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drawing3.xml" ContentType="application/vnd.openxmlformats-officedocument.drawing+xml"/>
  <Override PartName="/xl/drawings/vmlDrawing5.vml" ContentType="application/vnd.openxmlformats-officedocument.vmlDrawing"/>
  <Override PartName="/xl/drawings/drawing4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 USAR" sheetId="1" state="visible" r:id="rId3"/>
    <sheet name="CONFIG" sheetId="2" state="visible" r:id="rId4"/>
    <sheet name="LISTAS" sheetId="3" state="visible" r:id="rId5"/>
    <sheet name="COMPRAS" sheetId="4" state="visible" r:id="rId6"/>
    <sheet name="INVENTÁRIO" sheetId="5" state="visible" r:id="rId7"/>
    <sheet name="DECKS" sheetId="6" state="visible" r:id="rId8"/>
    <sheet name="CONSOLIDADO" sheetId="7" state="visible" r:id="rId9"/>
    <sheet name="FALTAS POR DECK" sheetId="8" state="visible" r:id="rId10"/>
    <sheet name="FALTAS GERAL" sheetId="9" state="visible" r:id="rId11"/>
    <sheet name="BULK" sheetId="10" state="visible" r:id="rId12"/>
    <sheet name="Update de Fotos" sheetId="11" state="visible" r:id="rId13"/>
    <sheet name="_LEITURA" sheetId="12" state="hidden" r:id="rId14"/>
    <sheet name="_AUX" sheetId="13" state="hidden" r:id="rId15"/>
  </sheets>
  <definedNames>
    <definedName function="false" hidden="true" localSheetId="3" name="_xlnm._FilterDatabase" vbProcedure="false">COMPRAS!$A$1:$J$2001</definedName>
    <definedName function="false" hidden="true" localSheetId="6" name="_xlnm._FilterDatabase" vbProcedure="false">CONSOLIDADO!$A$1:$J$801</definedName>
    <definedName function="false" hidden="true" localSheetId="5" name="_xlnm._FilterDatabase" vbProcedure="false">DECKS!$A$1:$I$1201</definedName>
    <definedName function="false" hidden="true" localSheetId="4" name="_xlnm._FilterDatabase" vbProcedure="false">INVENTÁRIO!$A$1:$C$801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Linha 1: nome do deck (escreva aqui). Linha 2: link do deck (só para referência). Linha 3: resumo automático. A partir da linha 4: cole a lista de cartas.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Código oficial da carta (ex.: EX13-035). Pode ser de qualquer carta, mesmo que não esteja em nenhum deck.</t>
        </r>
      </text>
    </comment>
    <comment ref="D1" authorId="0">
      <text>
        <r>
          <rPr>
            <sz val="10"/>
            <rFont val="Arial"/>
            <family val="2"/>
          </rPr>
          <t xml:space="preserve">Automático: se a carta está em algum deck, mostra o nome do deck; senão, mostra o nome digitado na coluna I; se a coluna I estiver vazia, fica em branco.</t>
        </r>
      </text>
    </comment>
    <comment ref="I1" authorId="0">
      <text>
        <r>
          <rPr>
            <sz val="10"/>
            <rFont val="Arial"/>
            <family val="2"/>
          </rPr>
          <t xml:space="preserve">Opcional. Preencha só quando a carta não estiver em nenhum deck: o nome aparece na coluna D e no INVENTÁRIO. Se a carta estiver em algum deck, o nome do deck é usado.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A MAIOR quantidade que um único deck pede. Os decks são montados um por vez, trocando as cartas entre eles. Ex.: carta que dois decks pedem 4 cada → necessidade 4.</t>
        </r>
      </text>
    </comment>
    <comment ref="I1" authorId="0">
      <text>
        <r>
          <rPr>
            <sz val="10"/>
            <rFont val="Arial"/>
            <family val="2"/>
          </rPr>
          <t xml:space="preserve">Referência: soma das quantidades de todos os decks. Só vale se você quiser deixar TODOS os decks montados ao mesmo tempo.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" authorId="0">
      <text>
        <r>
          <rPr>
            <sz val="10"/>
            <rFont val="Arial"/>
            <family val="2"/>
          </rPr>
          <t xml:space="preserve">Copie esta coluna (só as linhas preenchidas) e cole na compra por lista da Liga Digimon. Formato: 2 Nome (CÓDIGO). Cuidado: se a mesma carta falta em dois decks, ela aparece duas vezes; para comprar, prefira a lista da FALTAS GERAL.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Escolha o deck na lista. Abaixo aparecem as fotos das cartas que ainda faltam nele.</t>
        </r>
      </text>
    </comment>
  </commentList>
</comments>
</file>

<file path=xl/sharedStrings.xml><?xml version="1.0" encoding="utf-8"?>
<sst xmlns="http://schemas.openxmlformats.org/spreadsheetml/2006/main" count="185" uniqueCount="143">
  <si>
    <t xml:space="preserve">CONTROLE DE DECKS — DIGIMON TCG</t>
  </si>
  <si>
    <t xml:space="preserve">Cada pessoa deve usar a SUA PRÓPRIA CÓPIA desta planilha (Arquivo &gt; Fazer uma cópia), porque o inventário e as compras são pessoais.</t>
  </si>
  <si>
    <t xml:space="preserve">Células amarelo-claro com texto azul = onde você escreve. Todo o resto é calculado e fica protegido.</t>
  </si>
  <si>
    <t xml:space="preserve">1) PRIMEIRA VEZ (uma vez por cópia)</t>
  </si>
  <si>
    <t xml:space="preserve">   Extensões &gt; Apps Script &gt; cole o conteúdo do arquivo configurar_planilha.gs &gt; Salvar &gt; recarregue a planilha &gt; menu Digimon &gt; Configurar planilha.</t>
  </si>
  <si>
    <t xml:space="preserve">   Isso liga as fotos e trava as células que não devem ser editadas. Autorize o script quando o Google pedir.</t>
  </si>
  <si>
    <t xml:space="preserve">2) ADICIONAR UM DECK  (aba LISTAS)</t>
  </si>
  <si>
    <t xml:space="preserve">   No digimoncard.io: abra o deck &gt; Export &gt; Text &gt; Copy to Clipboard.  Ou copie a lista da Liga Digimon.</t>
  </si>
  <si>
    <t xml:space="preserve">   Na primeira coluna livre da aba LISTAS: escreva o nome do deck (linha 1), o link (linha 2) e cole a lista a partir da linha 4.</t>
  </si>
  <si>
    <t xml:space="preserve">   Os dois formatos funcionam:   1 BanchoMamemon BT8-068     e     4 Chuumon (EX13-027)</t>
  </si>
  <si>
    <t xml:space="preserve">   A linha 3 mostra quantas linhas e cartas foram lidas e avisa se alguma linha foi ignorada. Linhas que começam com // são comentários.</t>
  </si>
  <si>
    <t xml:space="preserve">   Capacidade: 20 decks, até 60 linhas cada.</t>
  </si>
  <si>
    <t xml:space="preserve">3) REGISTRAR UMA COMPRA  (aba COMPRAS)</t>
  </si>
  <si>
    <t xml:space="preserve">   Uma linha por compra: data, código e quantidade. Loja, preço e observação são opcionais.</t>
  </si>
  <si>
    <t xml:space="preserve">   O nome da carta (coluna D) é automático para cartas dos decks. Para cartas fora dos decks, digite o nome na coluna I (opcional); ele aparece na coluna D.</t>
  </si>
  <si>
    <t xml:space="preserve">   O estoque que você já tinha entrou como uma compra fictícia ("Estoque inicial"). Cartas novas = novas linhas. Capacidade: 2.000 linhas.</t>
  </si>
  <si>
    <t xml:space="preserve">4) ONDE VER O RESULTADO</t>
  </si>
  <si>
    <t xml:space="preserve">   FALTAS POR DECK: o que falta em cada deck, com foto.     FALTAS GERAL: tudo o que falta para montar todos os decks ao mesmo tempo, com foto.</t>
  </si>
  <si>
    <t xml:space="preserve">   CONSOLIDADO: uma linha por carta (tenho, necessidade total, falta, em quantos decks, necessidade por deck).     INVENTÁRIO: o que você tem (soma das compras, inclusive cartas fora dos decks).</t>
  </si>
  <si>
    <t xml:space="preserve">   Nas abas FALTAS POR DECK e FALTAS GERAL, use o seletor "Ordenar por" (no alto, à direita) para ordenar por código (ordem natural: BT2 antes de BT10), nome, falta ou deck.</t>
  </si>
  <si>
    <t xml:space="preserve">   BULK: escolha um deck na célula A1 e veja a foto de cada carta que falta nele, em grade de 5 colunas (ideal para conferir com o bulk na mão). A opção (Todas as cartas) junta os decks, sem repetir cartas, em ordem de código (BT2 antes de BT10).</t>
  </si>
  <si>
    <t xml:space="preserve">   DECKS: todas as cartas de todos os decks, lidas da aba LISTAS.</t>
  </si>
  <si>
    <t xml:space="preserve">REGRAS DE CÁLCULO</t>
  </si>
  <si>
    <t xml:space="preserve">   Falta para o deck = MÁX(0; necessário no deck − tenho).</t>
  </si>
  <si>
    <t xml:space="preserve">   Necessidade Total = a MAIOR quantidade que um único deck pede, porque você troca as cartas entre os decks e monta um por vez.</t>
  </si>
  <si>
    <t xml:space="preserve">   Ex.: o Motimon (P-246) é pedido com 4 cópias em dois decks, então a necessidade total é 4, e não 8.</t>
  </si>
  <si>
    <t xml:space="preserve">   Falta Total = MÁX(0; Necessidade Total − tenho). Para deixar TODOS os decks montados ao mesmo tempo, veja no CONSOLIDADO as colunas "Soma nos decks" e "Falta se montar todos ao mesmo tempo".</t>
  </si>
  <si>
    <t xml:space="preserve">   O estoque é UM só para todos os decks e nunca é abatido duas vezes. O código da carta é o identificador (nomes podem se repetir em sets diferentes).</t>
  </si>
  <si>
    <t xml:space="preserve">   Se o mesmo código aparecer com nomes diferentes em decks diferentes, a aba DECKS mostra um alerta para revisão.</t>
  </si>
  <si>
    <t xml:space="preserve">AS FOTOS</t>
  </si>
  <si>
    <t xml:space="preserve">   Vêm do repositório do GitHub e já estão configuradas na aba CONFIG (endereço, extensão, altura de 200 px). Cartas sem imagem no repositório mostram erro na célula da foto.</t>
  </si>
  <si>
    <t xml:space="preserve">   Para subir fotos novas: aba Update de Fotos &gt; menu Digimon &gt; Verificar fotos no repositório &gt; copie a lista em Python e cole no script do repositório.</t>
  </si>
  <si>
    <t xml:space="preserve">CONFIGURAÇÃO DAS FOTOS</t>
  </si>
  <si>
    <t xml:space="preserve">Endereço base das imagens</t>
  </si>
  <si>
    <t xml:space="preserve">https://raw.githubusercontent.com/matheusabarbosa/digimon-cg-2020-cards/main/digimon/cartas/</t>
  </si>
  <si>
    <t xml:space="preserve">Repositório de imagens no GitHub. Deve terminar com /</t>
  </si>
  <si>
    <t xml:space="preserve">Extensão das imagens</t>
  </si>
  <si>
    <t xml:space="preserve">.jpg</t>
  </si>
  <si>
    <t xml:space="preserve">Normalmente .jpg</t>
  </si>
  <si>
    <t xml:space="preserve">Mostrar fotos? (SIM/NÃO)</t>
  </si>
  <si>
    <t xml:space="preserve">SIM</t>
  </si>
  <si>
    <t xml:space="preserve">Mude para NÃO para desligar as fotos (a planilha fica mais leve)</t>
  </si>
  <si>
    <t xml:space="preserve">Altura da foto (pixels)</t>
  </si>
  <si>
    <t xml:space="preserve">Altura das linhas que têm foto</t>
  </si>
  <si>
    <t xml:space="preserve">Data</t>
  </si>
  <si>
    <t xml:space="preserve">Código</t>
  </si>
  <si>
    <t xml:space="preserve">Quantidade</t>
  </si>
  <si>
    <t xml:space="preserve">Nome da carta (automático)</t>
  </si>
  <si>
    <t xml:space="preserve">Loja (opcional)</t>
  </si>
  <si>
    <t xml:space="preserve">Preço unitário R$ (opcional)</t>
  </si>
  <si>
    <t xml:space="preserve">Observação (opcional)</t>
  </si>
  <si>
    <t xml:space="preserve">Valor total R$</t>
  </si>
  <si>
    <t xml:space="preserve">Nome manual (opcional)</t>
  </si>
  <si>
    <t xml:space="preserve">Aviso</t>
  </si>
  <si>
    <t xml:space="preserve">Código usado (aux)</t>
  </si>
  <si>
    <t xml:space="preserve">Código com nome digitado (aux)</t>
  </si>
  <si>
    <t xml:space="preserve">RESUMO DAS COMPRAS</t>
  </si>
  <si>
    <t xml:space="preserve">Cartas registradas (total de cópias)</t>
  </si>
  <si>
    <t xml:space="preserve">Gasto registrado (R$)</t>
  </si>
  <si>
    <t xml:space="preserve">Linhas com aviso</t>
  </si>
  <si>
    <t xml:space="preserve">Nome</t>
  </si>
  <si>
    <t xml:space="preserve">Tenho</t>
  </si>
  <si>
    <t xml:space="preserve">Esta aba é calculada: o Tenho é a soma das COMPRAS. Para mudar, registre uma compra na aba COMPRAS.</t>
  </si>
  <si>
    <t xml:space="preserve">Deck</t>
  </si>
  <si>
    <t xml:space="preserve">Quantidade necessária</t>
  </si>
  <si>
    <t xml:space="preserve">Tenho (global)</t>
  </si>
  <si>
    <t xml:space="preserve">Falta para o deck</t>
  </si>
  <si>
    <t xml:space="preserve">Compartilhada?</t>
  </si>
  <si>
    <t xml:space="preserve">Seq. falta (aux)</t>
  </si>
  <si>
    <t xml:space="preserve">Alerta</t>
  </si>
  <si>
    <t xml:space="preserve">Seq. deck da aba BULK (aux)</t>
  </si>
  <si>
    <t xml:space="preserve">Antes do hífen (aux)</t>
  </si>
  <si>
    <t xml:space="preserve">Nº de letras (aux)</t>
  </si>
  <si>
    <t xml:space="preserve">Chave do código (aux)</t>
  </si>
  <si>
    <t xml:space="preserve">Chave de ordenação (aux)</t>
  </si>
  <si>
    <t xml:space="preserve">Posição na ordenação (aux)</t>
  </si>
  <si>
    <t xml:space="preserve">Aba calculada a partir da aba LISTAS. Não edite aqui.</t>
  </si>
  <si>
    <t xml:space="preserve">Necessidade Total (um deck por vez)</t>
  </si>
  <si>
    <t xml:space="preserve">Falta Total</t>
  </si>
  <si>
    <t xml:space="preserve">Status</t>
  </si>
  <si>
    <t xml:space="preserve">Nº de decks</t>
  </si>
  <si>
    <t xml:space="preserve">Soma nos decks (todos ao mesmo tempo)</t>
  </si>
  <si>
    <t xml:space="preserve">Falta se montar todos ao mesmo tempo</t>
  </si>
  <si>
    <t xml:space="preserve">Posição por código (aux, BULK)</t>
  </si>
  <si>
    <t xml:space="preserve">RESUMO (todos os decks juntos)</t>
  </si>
  <si>
    <t xml:space="preserve">Cartas únicas</t>
  </si>
  <si>
    <t xml:space="preserve">Cartas únicas que faltam</t>
  </si>
  <si>
    <t xml:space="preserve">Cópias que faltam (um deck por vez)</t>
  </si>
  <si>
    <t xml:space="preserve">Cópias que faltam (todos ao mesmo tempo)</t>
  </si>
  <si>
    <t xml:space="preserve">Cartas compartilhadas entre decks</t>
  </si>
  <si>
    <t xml:space="preserve">Amarelo = carta usada em mais de um deck. Vermelho = ainda falta cópia para montar o deck que mais pede.</t>
  </si>
  <si>
    <t xml:space="preserve">Foto</t>
  </si>
  <si>
    <t xml:space="preserve">Necessário</t>
  </si>
  <si>
    <t xml:space="preserve">Falta</t>
  </si>
  <si>
    <t xml:space="preserve">Pos (aux)</t>
  </si>
  <si>
    <t xml:space="preserve">Lista p/ Liga Digimon</t>
  </si>
  <si>
    <t xml:space="preserve">Cartas do deck</t>
  </si>
  <si>
    <t xml:space="preserve">Cartas que faltam</t>
  </si>
  <si>
    <t xml:space="preserve">Ordenar por:</t>
  </si>
  <si>
    <t xml:space="preserve">Ordem do deck (padrão)</t>
  </si>
  <si>
    <t xml:space="preserve">Escolha a ordem da lista. O filtro nativo das colunas não funciona aqui porque a lista é calculada.</t>
  </si>
  <si>
    <t xml:space="preserve">Necessidade Total</t>
  </si>
  <si>
    <t xml:space="preserve">Ordem de cadastro (padrão)</t>
  </si>
  <si>
    <t xml:space="preserve">Todas as cartas que faltam para montar todos os decks, de uma vez (útil para procurar no bulk pela foto).</t>
  </si>
  <si>
    <t xml:space="preserve">(Todas as cartas)</t>
  </si>
  <si>
    <t xml:space="preserve">Lista do filtro (aux)</t>
  </si>
  <si>
    <t xml:space="preserve">Foto no repositório</t>
  </si>
  <si>
    <t xml:space="preserve">Seq (aux)</t>
  </si>
  <si>
    <t xml:space="preserve">Cole no script (Python)</t>
  </si>
  <si>
    <t xml:space="preserve">Resumo</t>
  </si>
  <si>
    <t xml:space="preserve">Código verificado</t>
  </si>
  <si>
    <t xml:space="preserve">Resultado</t>
  </si>
  <si>
    <t xml:space="preserve">Cartas na planilha</t>
  </si>
  <si>
    <t xml:space="preserve">Com foto no repositório</t>
  </si>
  <si>
    <t xml:space="preserve">Sem foto ou não verificadas</t>
  </si>
  <si>
    <t xml:space="preserve">Última verificação</t>
  </si>
  <si>
    <t xml:space="preserve">Como usar</t>
  </si>
  <si>
    <t xml:space="preserve">1) Menu Digimon &gt; Verificar fotos no repositório (consulta o GitHub e preenche a coluna C).</t>
  </si>
  <si>
    <t xml:space="preserve">2) Copie a coluna F inteira, da linha 2 até a linha do ]  (selecione as células e use Ctrl+C).</t>
  </si>
  <si>
    <t xml:space="preserve">3) No script do repositório, apague a lista NOVAS_CARTAS que já está lá e cole esta no lugar.</t>
  </si>
  <si>
    <t xml:space="preserve">4) Rode o script: ele baixa só essas imagens e envia para o GitHub (git add, commit e push).</t>
  </si>
  <si>
    <t xml:space="preserve">5) Rode a verificação de novo para as fotos aparecerem na planilha.</t>
  </si>
  <si>
    <t xml:space="preserve">Se a coluna C mostra "Não verificada", a carta entra na lista mesmo assim (o script ignora o que já existe).</t>
  </si>
  <si>
    <t xml:space="preserve">Slot</t>
  </si>
  <si>
    <t xml:space="preserve">Linha</t>
  </si>
  <si>
    <t xml:space="preserve">Texto</t>
  </si>
  <si>
    <t xml:space="preserve">Último token</t>
  </si>
  <si>
    <t xml:space="preserve">1º token</t>
  </si>
  <si>
    <t xml:space="preserve">Qtd</t>
  </si>
  <si>
    <t xml:space="preserve">Resto</t>
  </si>
  <si>
    <t xml:space="preserve">Válida</t>
  </si>
  <si>
    <t xml:space="preserve">Ignorada</t>
  </si>
  <si>
    <t xml:space="preserve">Seq</t>
  </si>
  <si>
    <t xml:space="preserve">Posição</t>
  </si>
  <si>
    <t xml:space="preserve">Slot nº</t>
  </si>
  <si>
    <t xml:space="preserve">Nome efetivo</t>
  </si>
  <si>
    <t xml:space="preserve">Usado</t>
  </si>
  <si>
    <t xml:space="preserve">Antes do hífen</t>
  </si>
  <si>
    <t xml:space="preserve">Nº letras</t>
  </si>
  <si>
    <t xml:space="preserve">Chave do código</t>
  </si>
  <si>
    <t xml:space="preserve">Chave deck+código</t>
  </si>
  <si>
    <t xml:space="preserve">Posição (ordem por código)</t>
  </si>
  <si>
    <t xml:space="preserve">Primeira ocorrência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</si>
</sst>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#,##0.00"/>
    <numFmt numFmtId="167" formatCode="General"/>
    <numFmt numFmtId="168" formatCode="0;\-0;;@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9"/>
      <name val="Arial"/>
      <family val="0"/>
      <charset val="1"/>
    </font>
    <font>
      <sz val="10"/>
      <name val="Consola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9E5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9E5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ont>
        <name val="Arial"/>
        <charset val="1"/>
        <family val="0"/>
        <b val="1"/>
        <color rgb="FFC00000"/>
      </font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9E5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2C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4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3" t="s">
        <v>16</v>
      </c>
    </row>
    <row r="23" customFormat="false" ht="15" hidden="false" customHeight="false" outlineLevel="0" collapsed="false">
      <c r="A23" s="2" t="s">
        <v>17</v>
      </c>
    </row>
    <row r="24" customFormat="false" ht="15" hidden="false" customHeight="false" outlineLevel="0" collapsed="false">
      <c r="A24" s="2" t="s">
        <v>18</v>
      </c>
    </row>
    <row r="25" customFormat="false" ht="15" hidden="false" customHeight="false" outlineLevel="0" collapsed="false">
      <c r="A25" s="2" t="s">
        <v>19</v>
      </c>
    </row>
    <row r="26" customFormat="false" ht="15" hidden="false" customHeight="false" outlineLevel="0" collapsed="false">
      <c r="A26" s="2" t="s">
        <v>20</v>
      </c>
    </row>
    <row r="27" customFormat="false" ht="15" hidden="false" customHeight="false" outlineLevel="0" collapsed="false">
      <c r="A27" s="2" t="s">
        <v>21</v>
      </c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3" t="s">
        <v>22</v>
      </c>
    </row>
    <row r="30" customFormat="false" ht="15" hidden="false" customHeight="false" outlineLevel="0" collapsed="false">
      <c r="A30" s="2" t="s">
        <v>23</v>
      </c>
    </row>
    <row r="31" customFormat="false" ht="15" hidden="false" customHeight="false" outlineLevel="0" collapsed="false">
      <c r="A31" s="2" t="s">
        <v>24</v>
      </c>
    </row>
    <row r="32" customFormat="false" ht="15" hidden="false" customHeight="false" outlineLevel="0" collapsed="false">
      <c r="A32" s="2" t="s">
        <v>25</v>
      </c>
    </row>
    <row r="33" customFormat="false" ht="15" hidden="false" customHeight="false" outlineLevel="0" collapsed="false">
      <c r="A33" s="2" t="s">
        <v>26</v>
      </c>
    </row>
    <row r="34" customFormat="false" ht="15" hidden="false" customHeight="false" outlineLevel="0" collapsed="false">
      <c r="A34" s="2" t="s">
        <v>27</v>
      </c>
    </row>
    <row r="35" customFormat="false" ht="15" hidden="false" customHeight="false" outlineLevel="0" collapsed="false">
      <c r="A35" s="2" t="s">
        <v>28</v>
      </c>
    </row>
    <row r="36" customFormat="false" ht="15" hidden="false" customHeight="false" outlineLevel="0" collapsed="false">
      <c r="A36" s="2"/>
    </row>
    <row r="37" customFormat="false" ht="15" hidden="false" customHeight="false" outlineLevel="0" collapsed="false">
      <c r="A37" s="3" t="s">
        <v>29</v>
      </c>
    </row>
    <row r="38" customFormat="false" ht="15" hidden="false" customHeight="false" outlineLevel="0" collapsed="false">
      <c r="A38" s="2" t="s">
        <v>30</v>
      </c>
    </row>
    <row r="39" customFormat="false" ht="15" hidden="false" customHeight="false" outlineLevel="0" collapsed="false">
      <c r="A39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2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1" t="s">
        <v>32</v>
      </c>
    </row>
    <row r="2" customFormat="false" ht="15" hidden="false" customHeight="false" outlineLevel="0" collapsed="false">
      <c r="A2" s="3" t="s">
        <v>33</v>
      </c>
      <c r="B2" s="4" t="s">
        <v>34</v>
      </c>
      <c r="C2" s="5" t="s">
        <v>35</v>
      </c>
    </row>
    <row r="3" customFormat="false" ht="15" hidden="false" customHeight="false" outlineLevel="0" collapsed="false">
      <c r="A3" s="3" t="s">
        <v>36</v>
      </c>
      <c r="B3" s="4" t="s">
        <v>37</v>
      </c>
      <c r="C3" s="5" t="s">
        <v>38</v>
      </c>
    </row>
    <row r="4" customFormat="false" ht="15" hidden="false" customHeight="false" outlineLevel="0" collapsed="false">
      <c r="A4" s="3" t="s">
        <v>39</v>
      </c>
      <c r="B4" s="4" t="s">
        <v>40</v>
      </c>
      <c r="C4" s="5" t="s">
        <v>41</v>
      </c>
    </row>
    <row r="5" customFormat="false" ht="15" hidden="false" customHeight="false" outlineLevel="0" collapsed="false">
      <c r="A5" s="3" t="s">
        <v>42</v>
      </c>
      <c r="B5" s="4" t="n">
        <v>200</v>
      </c>
      <c r="C5" s="5" t="s">
        <v>43</v>
      </c>
    </row>
  </sheetData>
  <dataValidations count="1">
    <dataValidation allowBlank="false" errorStyle="stop" operator="between" showDropDown="false" showErrorMessage="false" showInputMessage="false" sqref="B4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0" min="1" style="0" width="36"/>
  </cols>
  <sheetData>
    <row r="1" customFormat="false" ht="21.75" hidden="false" customHeight="true" outlineLevel="0" collapsed="false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customFormat="false" ht="15" hidden="false" customHeight="fals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customFormat="false" ht="27.75" hidden="false" customHeight="true" outlineLevel="0" collapsed="false">
      <c r="A3" s="7" t="str">
        <f aca="false">IF(COUNTA(A4:A63)=0,"",COUNTIFS(_LEITURA!$A$2:$A$1201,1,_LEITURA!$I$2:$I$1201,1)&amp;" linhas lidas · "&amp;SUMIFS(_LEITURA!$G$2:$G$1201,_LEITURA!$A$2:$A$1201,1,_LEITURA!$I$2:$I$1201,1)&amp;" cartas"&amp;IF(COUNTIFS(_LEITURA!$A$2:$A$1201,1,_LEITURA!$L$2:$L$1201,1)&gt;0," · ATENÇÃO: "&amp;COUNTIFS(_LEITURA!$A$2:$A$1201,1,_LEITURA!$L$2:$L$1201,1)&amp;" linha(s) ignorada(s)",""))</f>
        <v/>
      </c>
      <c r="B3" s="7" t="str">
        <f aca="false">IF(COUNTA(B4:B63)=0,"",COUNTIFS(_LEITURA!$A$2:$A$1201,2,_LEITURA!$I$2:$I$1201,1)&amp;" linhas lidas · "&amp;SUMIFS(_LEITURA!$G$2:$G$1201,_LEITURA!$A$2:$A$1201,2,_LEITURA!$I$2:$I$1201,1)&amp;" cartas"&amp;IF(COUNTIFS(_LEITURA!$A$2:$A$1201,2,_LEITURA!$L$2:$L$1201,1)&gt;0," · ATENÇÃO: "&amp;COUNTIFS(_LEITURA!$A$2:$A$1201,2,_LEITURA!$L$2:$L$1201,1)&amp;" linha(s) ignorada(s)",""))</f>
        <v/>
      </c>
      <c r="C3" s="7" t="str">
        <f aca="false">IF(COUNTA(C4:C63)=0,"",COUNTIFS(_LEITURA!$A$2:$A$1201,3,_LEITURA!$I$2:$I$1201,1)&amp;" linhas lidas · "&amp;SUMIFS(_LEITURA!$G$2:$G$1201,_LEITURA!$A$2:$A$1201,3,_LEITURA!$I$2:$I$1201,1)&amp;" cartas"&amp;IF(COUNTIFS(_LEITURA!$A$2:$A$1201,3,_LEITURA!$L$2:$L$1201,1)&gt;0," · ATENÇÃO: "&amp;COUNTIFS(_LEITURA!$A$2:$A$1201,3,_LEITURA!$L$2:$L$1201,1)&amp;" linha(s) ignorada(s)",""))</f>
        <v/>
      </c>
      <c r="D3" s="7" t="str">
        <f aca="false">IF(COUNTA(D4:D63)=0,"",COUNTIFS(_LEITURA!$A$2:$A$1201,4,_LEITURA!$I$2:$I$1201,1)&amp;" linhas lidas · "&amp;SUMIFS(_LEITURA!$G$2:$G$1201,_LEITURA!$A$2:$A$1201,4,_LEITURA!$I$2:$I$1201,1)&amp;" cartas"&amp;IF(COUNTIFS(_LEITURA!$A$2:$A$1201,4,_LEITURA!$L$2:$L$1201,1)&gt;0," · ATENÇÃO: "&amp;COUNTIFS(_LEITURA!$A$2:$A$1201,4,_LEITURA!$L$2:$L$1201,1)&amp;" linha(s) ignorada(s)",""))</f>
        <v/>
      </c>
      <c r="E3" s="7" t="str">
        <f aca="false">IF(COUNTA(E4:E63)=0,"",COUNTIFS(_LEITURA!$A$2:$A$1201,5,_LEITURA!$I$2:$I$1201,1)&amp;" linhas lidas · "&amp;SUMIFS(_LEITURA!$G$2:$G$1201,_LEITURA!$A$2:$A$1201,5,_LEITURA!$I$2:$I$1201,1)&amp;" cartas"&amp;IF(COUNTIFS(_LEITURA!$A$2:$A$1201,5,_LEITURA!$L$2:$L$1201,1)&gt;0," · ATENÇÃO: "&amp;COUNTIFS(_LEITURA!$A$2:$A$1201,5,_LEITURA!$L$2:$L$1201,1)&amp;" linha(s) ignorada(s)",""))</f>
        <v/>
      </c>
      <c r="F3" s="7" t="str">
        <f aca="false">IF(COUNTA(F4:F63)=0,"",COUNTIFS(_LEITURA!$A$2:$A$1201,6,_LEITURA!$I$2:$I$1201,1)&amp;" linhas lidas · "&amp;SUMIFS(_LEITURA!$G$2:$G$1201,_LEITURA!$A$2:$A$1201,6,_LEITURA!$I$2:$I$1201,1)&amp;" cartas"&amp;IF(COUNTIFS(_LEITURA!$A$2:$A$1201,6,_LEITURA!$L$2:$L$1201,1)&gt;0," · ATENÇÃO: "&amp;COUNTIFS(_LEITURA!$A$2:$A$1201,6,_LEITURA!$L$2:$L$1201,1)&amp;" linha(s) ignorada(s)",""))</f>
        <v/>
      </c>
      <c r="G3" s="7" t="str">
        <f aca="false">IF(COUNTA(G4:G63)=0,"",COUNTIFS(_LEITURA!$A$2:$A$1201,7,_LEITURA!$I$2:$I$1201,1)&amp;" linhas lidas · "&amp;SUMIFS(_LEITURA!$G$2:$G$1201,_LEITURA!$A$2:$A$1201,7,_LEITURA!$I$2:$I$1201,1)&amp;" cartas"&amp;IF(COUNTIFS(_LEITURA!$A$2:$A$1201,7,_LEITURA!$L$2:$L$1201,1)&gt;0," · ATENÇÃO: "&amp;COUNTIFS(_LEITURA!$A$2:$A$1201,7,_LEITURA!$L$2:$L$1201,1)&amp;" linha(s) ignorada(s)",""))</f>
        <v/>
      </c>
      <c r="H3" s="7" t="str">
        <f aca="false">IF(COUNTA(H4:H63)=0,"",COUNTIFS(_LEITURA!$A$2:$A$1201,8,_LEITURA!$I$2:$I$1201,1)&amp;" linhas lidas · "&amp;SUMIFS(_LEITURA!$G$2:$G$1201,_LEITURA!$A$2:$A$1201,8,_LEITURA!$I$2:$I$1201,1)&amp;" cartas"&amp;IF(COUNTIFS(_LEITURA!$A$2:$A$1201,8,_LEITURA!$L$2:$L$1201,1)&gt;0," · ATENÇÃO: "&amp;COUNTIFS(_LEITURA!$A$2:$A$1201,8,_LEITURA!$L$2:$L$1201,1)&amp;" linha(s) ignorada(s)",""))</f>
        <v/>
      </c>
      <c r="I3" s="7" t="str">
        <f aca="false">IF(COUNTA(I4:I63)=0,"",COUNTIFS(_LEITURA!$A$2:$A$1201,9,_LEITURA!$I$2:$I$1201,1)&amp;" linhas lidas · "&amp;SUMIFS(_LEITURA!$G$2:$G$1201,_LEITURA!$A$2:$A$1201,9,_LEITURA!$I$2:$I$1201,1)&amp;" cartas"&amp;IF(COUNTIFS(_LEITURA!$A$2:$A$1201,9,_LEITURA!$L$2:$L$1201,1)&gt;0," · ATENÇÃO: "&amp;COUNTIFS(_LEITURA!$A$2:$A$1201,9,_LEITURA!$L$2:$L$1201,1)&amp;" linha(s) ignorada(s)",""))</f>
        <v/>
      </c>
      <c r="J3" s="7" t="str">
        <f aca="false">IF(COUNTA(J4:J63)=0,"",COUNTIFS(_LEITURA!$A$2:$A$1201,10,_LEITURA!$I$2:$I$1201,1)&amp;" linhas lidas · "&amp;SUMIFS(_LEITURA!$G$2:$G$1201,_LEITURA!$A$2:$A$1201,10,_LEITURA!$I$2:$I$1201,1)&amp;" cartas"&amp;IF(COUNTIFS(_LEITURA!$A$2:$A$1201,10,_LEITURA!$L$2:$L$1201,1)&gt;0," · ATENÇÃO: "&amp;COUNTIFS(_LEITURA!$A$2:$A$1201,10,_LEITURA!$L$2:$L$1201,1)&amp;" linha(s) ignorada(s)",""))</f>
        <v/>
      </c>
      <c r="K3" s="7" t="str">
        <f aca="false">IF(COUNTA(K4:K63)=0,"",COUNTIFS(_LEITURA!$A$2:$A$1201,11,_LEITURA!$I$2:$I$1201,1)&amp;" linhas lidas · "&amp;SUMIFS(_LEITURA!$G$2:$G$1201,_LEITURA!$A$2:$A$1201,11,_LEITURA!$I$2:$I$1201,1)&amp;" cartas"&amp;IF(COUNTIFS(_LEITURA!$A$2:$A$1201,11,_LEITURA!$L$2:$L$1201,1)&gt;0," · ATENÇÃO: "&amp;COUNTIFS(_LEITURA!$A$2:$A$1201,11,_LEITURA!$L$2:$L$1201,1)&amp;" linha(s) ignorada(s)",""))</f>
        <v/>
      </c>
      <c r="L3" s="7" t="str">
        <f aca="false">IF(COUNTA(L4:L63)=0,"",COUNTIFS(_LEITURA!$A$2:$A$1201,12,_LEITURA!$I$2:$I$1201,1)&amp;" linhas lidas · "&amp;SUMIFS(_LEITURA!$G$2:$G$1201,_LEITURA!$A$2:$A$1201,12,_LEITURA!$I$2:$I$1201,1)&amp;" cartas"&amp;IF(COUNTIFS(_LEITURA!$A$2:$A$1201,12,_LEITURA!$L$2:$L$1201,1)&gt;0," · ATENÇÃO: "&amp;COUNTIFS(_LEITURA!$A$2:$A$1201,12,_LEITURA!$L$2:$L$1201,1)&amp;" linha(s) ignorada(s)",""))</f>
        <v/>
      </c>
      <c r="M3" s="7" t="str">
        <f aca="false">IF(COUNTA(M4:M63)=0,"",COUNTIFS(_LEITURA!$A$2:$A$1201,13,_LEITURA!$I$2:$I$1201,1)&amp;" linhas lidas · "&amp;SUMIFS(_LEITURA!$G$2:$G$1201,_LEITURA!$A$2:$A$1201,13,_LEITURA!$I$2:$I$1201,1)&amp;" cartas"&amp;IF(COUNTIFS(_LEITURA!$A$2:$A$1201,13,_LEITURA!$L$2:$L$1201,1)&gt;0," · ATENÇÃO: "&amp;COUNTIFS(_LEITURA!$A$2:$A$1201,13,_LEITURA!$L$2:$L$1201,1)&amp;" linha(s) ignorada(s)",""))</f>
        <v/>
      </c>
      <c r="N3" s="7" t="str">
        <f aca="false">IF(COUNTA(N4:N63)=0,"",COUNTIFS(_LEITURA!$A$2:$A$1201,14,_LEITURA!$I$2:$I$1201,1)&amp;" linhas lidas · "&amp;SUMIFS(_LEITURA!$G$2:$G$1201,_LEITURA!$A$2:$A$1201,14,_LEITURA!$I$2:$I$1201,1)&amp;" cartas"&amp;IF(COUNTIFS(_LEITURA!$A$2:$A$1201,14,_LEITURA!$L$2:$L$1201,1)&gt;0," · ATENÇÃO: "&amp;COUNTIFS(_LEITURA!$A$2:$A$1201,14,_LEITURA!$L$2:$L$1201,1)&amp;" linha(s) ignorada(s)",""))</f>
        <v/>
      </c>
      <c r="O3" s="7" t="str">
        <f aca="false">IF(COUNTA(O4:O63)=0,"",COUNTIFS(_LEITURA!$A$2:$A$1201,15,_LEITURA!$I$2:$I$1201,1)&amp;" linhas lidas · "&amp;SUMIFS(_LEITURA!$G$2:$G$1201,_LEITURA!$A$2:$A$1201,15,_LEITURA!$I$2:$I$1201,1)&amp;" cartas"&amp;IF(COUNTIFS(_LEITURA!$A$2:$A$1201,15,_LEITURA!$L$2:$L$1201,1)&gt;0," · ATENÇÃO: "&amp;COUNTIFS(_LEITURA!$A$2:$A$1201,15,_LEITURA!$L$2:$L$1201,1)&amp;" linha(s) ignorada(s)",""))</f>
        <v/>
      </c>
      <c r="P3" s="7" t="str">
        <f aca="false">IF(COUNTA(P4:P63)=0,"",COUNTIFS(_LEITURA!$A$2:$A$1201,16,_LEITURA!$I$2:$I$1201,1)&amp;" linhas lidas · "&amp;SUMIFS(_LEITURA!$G$2:$G$1201,_LEITURA!$A$2:$A$1201,16,_LEITURA!$I$2:$I$1201,1)&amp;" cartas"&amp;IF(COUNTIFS(_LEITURA!$A$2:$A$1201,16,_LEITURA!$L$2:$L$1201,1)&gt;0," · ATENÇÃO: "&amp;COUNTIFS(_LEITURA!$A$2:$A$1201,16,_LEITURA!$L$2:$L$1201,1)&amp;" linha(s) ignorada(s)",""))</f>
        <v/>
      </c>
      <c r="Q3" s="7" t="str">
        <f aca="false">IF(COUNTA(Q4:Q63)=0,"",COUNTIFS(_LEITURA!$A$2:$A$1201,17,_LEITURA!$I$2:$I$1201,1)&amp;" linhas lidas · "&amp;SUMIFS(_LEITURA!$G$2:$G$1201,_LEITURA!$A$2:$A$1201,17,_LEITURA!$I$2:$I$1201,1)&amp;" cartas"&amp;IF(COUNTIFS(_LEITURA!$A$2:$A$1201,17,_LEITURA!$L$2:$L$1201,1)&gt;0," · ATENÇÃO: "&amp;COUNTIFS(_LEITURA!$A$2:$A$1201,17,_LEITURA!$L$2:$L$1201,1)&amp;" linha(s) ignorada(s)",""))</f>
        <v/>
      </c>
      <c r="R3" s="7" t="str">
        <f aca="false">IF(COUNTA(R4:R63)=0,"",COUNTIFS(_LEITURA!$A$2:$A$1201,18,_LEITURA!$I$2:$I$1201,1)&amp;" linhas lidas · "&amp;SUMIFS(_LEITURA!$G$2:$G$1201,_LEITURA!$A$2:$A$1201,18,_LEITURA!$I$2:$I$1201,1)&amp;" cartas"&amp;IF(COUNTIFS(_LEITURA!$A$2:$A$1201,18,_LEITURA!$L$2:$L$1201,1)&gt;0," · ATENÇÃO: "&amp;COUNTIFS(_LEITURA!$A$2:$A$1201,18,_LEITURA!$L$2:$L$1201,1)&amp;" linha(s) ignorada(s)",""))</f>
        <v/>
      </c>
      <c r="S3" s="7" t="str">
        <f aca="false">IF(COUNTA(S4:S63)=0,"",COUNTIFS(_LEITURA!$A$2:$A$1201,19,_LEITURA!$I$2:$I$1201,1)&amp;" linhas lidas · "&amp;SUMIFS(_LEITURA!$G$2:$G$1201,_LEITURA!$A$2:$A$1201,19,_LEITURA!$I$2:$I$1201,1)&amp;" cartas"&amp;IF(COUNTIFS(_LEITURA!$A$2:$A$1201,19,_LEITURA!$L$2:$L$1201,1)&gt;0," · ATENÇÃO: "&amp;COUNTIFS(_LEITURA!$A$2:$A$1201,19,_LEITURA!$L$2:$L$1201,1)&amp;" linha(s) ignorada(s)",""))</f>
        <v/>
      </c>
      <c r="T3" s="7" t="str">
        <f aca="false">IF(COUNTA(T4:T63)=0,"",COUNTIFS(_LEITURA!$A$2:$A$1201,20,_LEITURA!$I$2:$I$1201,1)&amp;" linhas lidas · "&amp;SUMIFS(_LEITURA!$G$2:$G$1201,_LEITURA!$A$2:$A$1201,20,_LEITURA!$I$2:$I$1201,1)&amp;" cartas"&amp;IF(COUNTIFS(_LEITURA!$A$2:$A$1201,20,_LEITURA!$L$2:$L$1201,1)&gt;0," · ATENÇÃO: "&amp;COUNTIFS(_LEITURA!$A$2:$A$1201,20,_LEITURA!$L$2:$L$1201,1)&amp;" linha(s) ignorada(s)",""))</f>
        <v/>
      </c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44"/>
    <col collapsed="false" customWidth="true" hidden="false" outlineLevel="0" max="8" min="8" style="0" width="14"/>
    <col collapsed="false" customWidth="true" hidden="false" outlineLevel="0" max="9" min="9" style="0" width="30"/>
    <col collapsed="false" customWidth="true" hidden="false" outlineLevel="0" max="10" min="10" style="0" width="44"/>
    <col collapsed="false" customWidth="true" hidden="true" outlineLevel="0" max="12" min="11" style="0" width="14"/>
    <col collapsed="false" customWidth="true" hidden="false" outlineLevel="0" max="13" min="13" style="0" width="3"/>
    <col collapsed="false" customWidth="true" hidden="false" outlineLevel="0" max="14" min="14" style="0" width="34"/>
    <col collapsed="false" customWidth="true" hidden="false" outlineLevel="0" max="15" min="15" style="0" width="14"/>
  </cols>
  <sheetData>
    <row r="1" customFormat="false" ht="33.75" hidden="false" customHeight="true" outlineLevel="0" collapsed="false">
      <c r="A1" s="8" t="s">
        <v>44</v>
      </c>
      <c r="B1" s="8" t="s">
        <v>45</v>
      </c>
      <c r="C1" s="8" t="s">
        <v>46</v>
      </c>
      <c r="D1" s="8" t="s">
        <v>47</v>
      </c>
      <c r="E1" s="8" t="s">
        <v>48</v>
      </c>
      <c r="F1" s="8" t="s">
        <v>49</v>
      </c>
      <c r="G1" s="8" t="s">
        <v>50</v>
      </c>
      <c r="H1" s="8" t="s">
        <v>51</v>
      </c>
      <c r="I1" s="8" t="s">
        <v>52</v>
      </c>
      <c r="J1" s="8" t="s">
        <v>53</v>
      </c>
      <c r="K1" s="8" t="s">
        <v>54</v>
      </c>
      <c r="L1" s="8" t="s">
        <v>55</v>
      </c>
      <c r="N1" s="1" t="s">
        <v>56</v>
      </c>
    </row>
    <row r="2" customFormat="false" ht="15" hidden="false" customHeight="false" outlineLevel="0" collapsed="false">
      <c r="A2" s="9"/>
      <c r="B2" s="4"/>
      <c r="C2" s="10"/>
      <c r="D2" s="11" t="str">
        <f aca="false">IF(K2="","",IFERROR(INDEX(DECKS!$C$2:$C$1201,MATCH(K2,DECKS!$B$2:$B$1201,0)),TRIM(I2&amp;"")))</f>
        <v/>
      </c>
      <c r="E2" s="4"/>
      <c r="F2" s="12"/>
      <c r="G2" s="4"/>
      <c r="H2" s="13" t="str">
        <f aca="false">IF(OR(N(C2)=0,N(F2)=0),"",C2*F2)</f>
        <v/>
      </c>
      <c r="I2" s="4"/>
      <c r="J2" s="11" t="str">
        <f aca="false">IF(K2="","",IF(N(C2)&lt;=0,"Informe a quantidade",IF(IFERROR(INDEX(INVENTÁRIO!$B$2:$B$801,MATCH(K2,INVENTÁRIO!$A$2:$A$801,0)),"")="(sem nome)","Carta fora dos decks: digite o nome na coluna I (opcional)","")))</f>
        <v/>
      </c>
      <c r="K2" s="11" t="str">
        <f aca="false">UPPER(TRIM(SUBSTITUTE(B2&amp;"",CHAR(160)," ")))</f>
        <v/>
      </c>
      <c r="L2" s="11" t="str">
        <f aca="false">IF(AND(K2&lt;&gt;"",TRIM(I2&amp;"")&lt;&gt;""),K2,"")</f>
        <v/>
      </c>
      <c r="N2" s="11" t="s">
        <v>57</v>
      </c>
      <c r="O2" s="14" t="n">
        <f aca="false">SUM(C2:C2001)</f>
        <v>0</v>
      </c>
    </row>
    <row r="3" customFormat="false" ht="15" hidden="false" customHeight="false" outlineLevel="0" collapsed="false">
      <c r="A3" s="9"/>
      <c r="B3" s="4"/>
      <c r="C3" s="10"/>
      <c r="D3" s="11" t="str">
        <f aca="false">IF(K3="","",IFERROR(INDEX(DECKS!$C$2:$C$1201,MATCH(K3,DECKS!$B$2:$B$1201,0)),TRIM(I3&amp;"")))</f>
        <v/>
      </c>
      <c r="E3" s="4"/>
      <c r="F3" s="12"/>
      <c r="G3" s="4"/>
      <c r="H3" s="13" t="str">
        <f aca="false">IF(OR(N(C3)=0,N(F3)=0),"",C3*F3)</f>
        <v/>
      </c>
      <c r="I3" s="4"/>
      <c r="J3" s="11" t="str">
        <f aca="false">IF(K3="","",IF(N(C3)&lt;=0,"Informe a quantidade",IF(IFERROR(INDEX(INVENTÁRIO!$B$2:$B$801,MATCH(K3,INVENTÁRIO!$A$2:$A$801,0)),"")="(sem nome)","Carta fora dos decks: digite o nome na coluna I (opcional)","")))</f>
        <v/>
      </c>
      <c r="K3" s="11" t="str">
        <f aca="false">UPPER(TRIM(SUBSTITUTE(B3&amp;"",CHAR(160)," ")))</f>
        <v/>
      </c>
      <c r="L3" s="11" t="str">
        <f aca="false">IF(AND(K3&lt;&gt;"",TRIM(I3&amp;"")&lt;&gt;""),K3,"")</f>
        <v/>
      </c>
      <c r="N3" s="11" t="s">
        <v>58</v>
      </c>
      <c r="O3" s="15" t="n">
        <f aca="false">SUM(H2:H2001)</f>
        <v>0</v>
      </c>
    </row>
    <row r="4" customFormat="false" ht="15" hidden="false" customHeight="false" outlineLevel="0" collapsed="false">
      <c r="A4" s="9"/>
      <c r="B4" s="4"/>
      <c r="C4" s="10"/>
      <c r="D4" s="11" t="str">
        <f aca="false">IF(K4="","",IFERROR(INDEX(DECKS!$C$2:$C$1201,MATCH(K4,DECKS!$B$2:$B$1201,0)),TRIM(I4&amp;"")))</f>
        <v/>
      </c>
      <c r="E4" s="4"/>
      <c r="F4" s="12"/>
      <c r="G4" s="4"/>
      <c r="H4" s="13" t="str">
        <f aca="false">IF(OR(N(C4)=0,N(F4)=0),"",C4*F4)</f>
        <v/>
      </c>
      <c r="I4" s="4"/>
      <c r="J4" s="11" t="str">
        <f aca="false">IF(K4="","",IF(N(C4)&lt;=0,"Informe a quantidade",IF(IFERROR(INDEX(INVENTÁRIO!$B$2:$B$801,MATCH(K4,INVENTÁRIO!$A$2:$A$801,0)),"")="(sem nome)","Carta fora dos decks: digite o nome na coluna I (opcional)","")))</f>
        <v/>
      </c>
      <c r="K4" s="11" t="str">
        <f aca="false">UPPER(TRIM(SUBSTITUTE(B4&amp;"",CHAR(160)," ")))</f>
        <v/>
      </c>
      <c r="L4" s="11" t="str">
        <f aca="false">IF(AND(K4&lt;&gt;"",TRIM(I4&amp;"")&lt;&gt;""),K4,"")</f>
        <v/>
      </c>
      <c r="N4" s="11" t="s">
        <v>59</v>
      </c>
      <c r="O4" s="14" t="n">
        <f aca="false">COUNTIF(J2:J2001,"?*")</f>
        <v>0</v>
      </c>
    </row>
    <row r="5" customFormat="false" ht="15" hidden="false" customHeight="false" outlineLevel="0" collapsed="false">
      <c r="A5" s="9"/>
      <c r="B5" s="4"/>
      <c r="C5" s="10"/>
      <c r="D5" s="11" t="str">
        <f aca="false">IF(K5="","",IFERROR(INDEX(DECKS!$C$2:$C$1201,MATCH(K5,DECKS!$B$2:$B$1201,0)),TRIM(I5&amp;"")))</f>
        <v/>
      </c>
      <c r="E5" s="4"/>
      <c r="F5" s="12"/>
      <c r="G5" s="4"/>
      <c r="H5" s="13" t="str">
        <f aca="false">IF(OR(N(C5)=0,N(F5)=0),"",C5*F5)</f>
        <v/>
      </c>
      <c r="I5" s="4"/>
      <c r="J5" s="11" t="str">
        <f aca="false">IF(K5="","",IF(N(C5)&lt;=0,"Informe a quantidade",IF(IFERROR(INDEX(INVENTÁRIO!$B$2:$B$801,MATCH(K5,INVENTÁRIO!$A$2:$A$801,0)),"")="(sem nome)","Carta fora dos decks: digite o nome na coluna I (opcional)","")))</f>
        <v/>
      </c>
      <c r="K5" s="11" t="str">
        <f aca="false">UPPER(TRIM(SUBSTITUTE(B5&amp;"",CHAR(160)," ")))</f>
        <v/>
      </c>
      <c r="L5" s="11" t="str">
        <f aca="false">IF(AND(K5&lt;&gt;"",TRIM(I5&amp;"")&lt;&gt;""),K5,"")</f>
        <v/>
      </c>
    </row>
    <row r="6" customFormat="false" ht="15" hidden="false" customHeight="false" outlineLevel="0" collapsed="false">
      <c r="A6" s="9"/>
      <c r="B6" s="4"/>
      <c r="C6" s="10"/>
      <c r="D6" s="11" t="str">
        <f aca="false">IF(K6="","",IFERROR(INDEX(DECKS!$C$2:$C$1201,MATCH(K6,DECKS!$B$2:$B$1201,0)),TRIM(I6&amp;"")))</f>
        <v/>
      </c>
      <c r="E6" s="4"/>
      <c r="F6" s="12"/>
      <c r="G6" s="4"/>
      <c r="H6" s="13" t="str">
        <f aca="false">IF(OR(N(C6)=0,N(F6)=0),"",C6*F6)</f>
        <v/>
      </c>
      <c r="I6" s="4"/>
      <c r="J6" s="11" t="str">
        <f aca="false">IF(K6="","",IF(N(C6)&lt;=0,"Informe a quantidade",IF(IFERROR(INDEX(INVENTÁRIO!$B$2:$B$801,MATCH(K6,INVENTÁRIO!$A$2:$A$801,0)),"")="(sem nome)","Carta fora dos decks: digite o nome na coluna I (opcional)","")))</f>
        <v/>
      </c>
      <c r="K6" s="11" t="str">
        <f aca="false">UPPER(TRIM(SUBSTITUTE(B6&amp;"",CHAR(160)," ")))</f>
        <v/>
      </c>
      <c r="L6" s="11" t="str">
        <f aca="false">IF(AND(K6&lt;&gt;"",TRIM(I6&amp;"")&lt;&gt;""),K6,"")</f>
        <v/>
      </c>
    </row>
    <row r="7" customFormat="false" ht="15" hidden="false" customHeight="false" outlineLevel="0" collapsed="false">
      <c r="A7" s="9"/>
      <c r="B7" s="4"/>
      <c r="C7" s="10"/>
      <c r="D7" s="11" t="str">
        <f aca="false">IF(K7="","",IFERROR(INDEX(DECKS!$C$2:$C$1201,MATCH(K7,DECKS!$B$2:$B$1201,0)),TRIM(I7&amp;"")))</f>
        <v/>
      </c>
      <c r="E7" s="4"/>
      <c r="F7" s="12"/>
      <c r="G7" s="4"/>
      <c r="H7" s="13" t="str">
        <f aca="false">IF(OR(N(C7)=0,N(F7)=0),"",C7*F7)</f>
        <v/>
      </c>
      <c r="I7" s="4"/>
      <c r="J7" s="11" t="str">
        <f aca="false">IF(K7="","",IF(N(C7)&lt;=0,"Informe a quantidade",IF(IFERROR(INDEX(INVENTÁRIO!$B$2:$B$801,MATCH(K7,INVENTÁRIO!$A$2:$A$801,0)),"")="(sem nome)","Carta fora dos decks: digite o nome na coluna I (opcional)","")))</f>
        <v/>
      </c>
      <c r="K7" s="11" t="str">
        <f aca="false">UPPER(TRIM(SUBSTITUTE(B7&amp;"",CHAR(160)," ")))</f>
        <v/>
      </c>
      <c r="L7" s="11" t="str">
        <f aca="false">IF(AND(K7&lt;&gt;"",TRIM(I7&amp;"")&lt;&gt;""),K7,"")</f>
        <v/>
      </c>
    </row>
    <row r="8" customFormat="false" ht="15" hidden="false" customHeight="false" outlineLevel="0" collapsed="false">
      <c r="A8" s="9"/>
      <c r="B8" s="4"/>
      <c r="C8" s="10"/>
      <c r="D8" s="11" t="str">
        <f aca="false">IF(K8="","",IFERROR(INDEX(DECKS!$C$2:$C$1201,MATCH(K8,DECKS!$B$2:$B$1201,0)),TRIM(I8&amp;"")))</f>
        <v/>
      </c>
      <c r="E8" s="4"/>
      <c r="F8" s="12"/>
      <c r="G8" s="4"/>
      <c r="H8" s="13" t="str">
        <f aca="false">IF(OR(N(C8)=0,N(F8)=0),"",C8*F8)</f>
        <v/>
      </c>
      <c r="I8" s="4"/>
      <c r="J8" s="11" t="str">
        <f aca="false">IF(K8="","",IF(N(C8)&lt;=0,"Informe a quantidade",IF(IFERROR(INDEX(INVENTÁRIO!$B$2:$B$801,MATCH(K8,INVENTÁRIO!$A$2:$A$801,0)),"")="(sem nome)","Carta fora dos decks: digite o nome na coluna I (opcional)","")))</f>
        <v/>
      </c>
      <c r="K8" s="11" t="str">
        <f aca="false">UPPER(TRIM(SUBSTITUTE(B8&amp;"",CHAR(160)," ")))</f>
        <v/>
      </c>
      <c r="L8" s="11" t="str">
        <f aca="false">IF(AND(K8&lt;&gt;"",TRIM(I8&amp;"")&lt;&gt;""),K8,"")</f>
        <v/>
      </c>
    </row>
    <row r="9" customFormat="false" ht="15" hidden="false" customHeight="false" outlineLevel="0" collapsed="false">
      <c r="A9" s="9"/>
      <c r="B9" s="4"/>
      <c r="C9" s="10"/>
      <c r="D9" s="11" t="str">
        <f aca="false">IF(K9="","",IFERROR(INDEX(DECKS!$C$2:$C$1201,MATCH(K9,DECKS!$B$2:$B$1201,0)),TRIM(I9&amp;"")))</f>
        <v/>
      </c>
      <c r="E9" s="4"/>
      <c r="F9" s="12"/>
      <c r="G9" s="4"/>
      <c r="H9" s="13" t="str">
        <f aca="false">IF(OR(N(C9)=0,N(F9)=0),"",C9*F9)</f>
        <v/>
      </c>
      <c r="I9" s="4"/>
      <c r="J9" s="11" t="str">
        <f aca="false">IF(K9="","",IF(N(C9)&lt;=0,"Informe a quantidade",IF(IFERROR(INDEX(INVENTÁRIO!$B$2:$B$801,MATCH(K9,INVENTÁRIO!$A$2:$A$801,0)),"")="(sem nome)","Carta fora dos decks: digite o nome na coluna I (opcional)","")))</f>
        <v/>
      </c>
      <c r="K9" s="11" t="str">
        <f aca="false">UPPER(TRIM(SUBSTITUTE(B9&amp;"",CHAR(160)," ")))</f>
        <v/>
      </c>
      <c r="L9" s="11" t="str">
        <f aca="false">IF(AND(K9&lt;&gt;"",TRIM(I9&amp;"")&lt;&gt;""),K9,"")</f>
        <v/>
      </c>
    </row>
    <row r="10" customFormat="false" ht="15" hidden="false" customHeight="false" outlineLevel="0" collapsed="false">
      <c r="A10" s="9"/>
      <c r="B10" s="4"/>
      <c r="C10" s="10"/>
      <c r="D10" s="11" t="str">
        <f aca="false">IF(K10="","",IFERROR(INDEX(DECKS!$C$2:$C$1201,MATCH(K10,DECKS!$B$2:$B$1201,0)),TRIM(I10&amp;"")))</f>
        <v/>
      </c>
      <c r="E10" s="4"/>
      <c r="F10" s="12"/>
      <c r="G10" s="4"/>
      <c r="H10" s="13" t="str">
        <f aca="false">IF(OR(N(C10)=0,N(F10)=0),"",C10*F10)</f>
        <v/>
      </c>
      <c r="I10" s="4"/>
      <c r="J10" s="11" t="str">
        <f aca="false">IF(K10="","",IF(N(C10)&lt;=0,"Informe a quantidade",IF(IFERROR(INDEX(INVENTÁRIO!$B$2:$B$801,MATCH(K10,INVENTÁRIO!$A$2:$A$801,0)),"")="(sem nome)","Carta fora dos decks: digite o nome na coluna I (opcional)","")))</f>
        <v/>
      </c>
      <c r="K10" s="11" t="str">
        <f aca="false">UPPER(TRIM(SUBSTITUTE(B10&amp;"",CHAR(160)," ")))</f>
        <v/>
      </c>
      <c r="L10" s="11" t="str">
        <f aca="false">IF(AND(K10&lt;&gt;"",TRIM(I10&amp;"")&lt;&gt;""),K10,"")</f>
        <v/>
      </c>
    </row>
    <row r="11" customFormat="false" ht="15" hidden="false" customHeight="false" outlineLevel="0" collapsed="false">
      <c r="A11" s="9"/>
      <c r="B11" s="4"/>
      <c r="C11" s="10"/>
      <c r="D11" s="11" t="str">
        <f aca="false">IF(K11="","",IFERROR(INDEX(DECKS!$C$2:$C$1201,MATCH(K11,DECKS!$B$2:$B$1201,0)),TRIM(I11&amp;"")))</f>
        <v/>
      </c>
      <c r="E11" s="4"/>
      <c r="F11" s="12"/>
      <c r="G11" s="4"/>
      <c r="H11" s="13" t="str">
        <f aca="false">IF(OR(N(C11)=0,N(F11)=0),"",C11*F11)</f>
        <v/>
      </c>
      <c r="I11" s="4"/>
      <c r="J11" s="11" t="str">
        <f aca="false">IF(K11="","",IF(N(C11)&lt;=0,"Informe a quantidade",IF(IFERROR(INDEX(INVENTÁRIO!$B$2:$B$801,MATCH(K11,INVENTÁRIO!$A$2:$A$801,0)),"")="(sem nome)","Carta fora dos decks: digite o nome na coluna I (opcional)","")))</f>
        <v/>
      </c>
      <c r="K11" s="11" t="str">
        <f aca="false">UPPER(TRIM(SUBSTITUTE(B11&amp;"",CHAR(160)," ")))</f>
        <v/>
      </c>
      <c r="L11" s="11" t="str">
        <f aca="false">IF(AND(K11&lt;&gt;"",TRIM(I11&amp;"")&lt;&gt;""),K11,"")</f>
        <v/>
      </c>
    </row>
    <row r="12" customFormat="false" ht="15" hidden="false" customHeight="false" outlineLevel="0" collapsed="false">
      <c r="A12" s="9"/>
      <c r="B12" s="4"/>
      <c r="C12" s="10"/>
      <c r="D12" s="11" t="str">
        <f aca="false">IF(K12="","",IFERROR(INDEX(DECKS!$C$2:$C$1201,MATCH(K12,DECKS!$B$2:$B$1201,0)),TRIM(I12&amp;"")))</f>
        <v/>
      </c>
      <c r="E12" s="4"/>
      <c r="F12" s="12"/>
      <c r="G12" s="4"/>
      <c r="H12" s="13" t="str">
        <f aca="false">IF(OR(N(C12)=0,N(F12)=0),"",C12*F12)</f>
        <v/>
      </c>
      <c r="I12" s="4"/>
      <c r="J12" s="11" t="str">
        <f aca="false">IF(K12="","",IF(N(C12)&lt;=0,"Informe a quantidade",IF(IFERROR(INDEX(INVENTÁRIO!$B$2:$B$801,MATCH(K12,INVENTÁRIO!$A$2:$A$801,0)),"")="(sem nome)","Carta fora dos decks: digite o nome na coluna I (opcional)","")))</f>
        <v/>
      </c>
      <c r="K12" s="11" t="str">
        <f aca="false">UPPER(TRIM(SUBSTITUTE(B12&amp;"",CHAR(160)," ")))</f>
        <v/>
      </c>
      <c r="L12" s="11" t="str">
        <f aca="false">IF(AND(K12&lt;&gt;"",TRIM(I12&amp;"")&lt;&gt;""),K12,"")</f>
        <v/>
      </c>
    </row>
    <row r="13" customFormat="false" ht="15" hidden="false" customHeight="false" outlineLevel="0" collapsed="false">
      <c r="A13" s="9"/>
      <c r="B13" s="4"/>
      <c r="C13" s="10"/>
      <c r="D13" s="11" t="str">
        <f aca="false">IF(K13="","",IFERROR(INDEX(DECKS!$C$2:$C$1201,MATCH(K13,DECKS!$B$2:$B$1201,0)),TRIM(I13&amp;"")))</f>
        <v/>
      </c>
      <c r="E13" s="4"/>
      <c r="F13" s="12"/>
      <c r="G13" s="4"/>
      <c r="H13" s="13" t="str">
        <f aca="false">IF(OR(N(C13)=0,N(F13)=0),"",C13*F13)</f>
        <v/>
      </c>
      <c r="I13" s="4"/>
      <c r="J13" s="11" t="str">
        <f aca="false">IF(K13="","",IF(N(C13)&lt;=0,"Informe a quantidade",IF(IFERROR(INDEX(INVENTÁRIO!$B$2:$B$801,MATCH(K13,INVENTÁRIO!$A$2:$A$801,0)),"")="(sem nome)","Carta fora dos decks: digite o nome na coluna I (opcional)","")))</f>
        <v/>
      </c>
      <c r="K13" s="11" t="str">
        <f aca="false">UPPER(TRIM(SUBSTITUTE(B13&amp;"",CHAR(160)," ")))</f>
        <v/>
      </c>
      <c r="L13" s="11" t="str">
        <f aca="false">IF(AND(K13&lt;&gt;"",TRIM(I13&amp;"")&lt;&gt;""),K13,"")</f>
        <v/>
      </c>
    </row>
    <row r="14" customFormat="false" ht="15" hidden="false" customHeight="false" outlineLevel="0" collapsed="false">
      <c r="A14" s="9"/>
      <c r="B14" s="4"/>
      <c r="C14" s="10"/>
      <c r="D14" s="11" t="str">
        <f aca="false">IF(K14="","",IFERROR(INDEX(DECKS!$C$2:$C$1201,MATCH(K14,DECKS!$B$2:$B$1201,0)),TRIM(I14&amp;"")))</f>
        <v/>
      </c>
      <c r="E14" s="4"/>
      <c r="F14" s="12"/>
      <c r="G14" s="4"/>
      <c r="H14" s="13" t="str">
        <f aca="false">IF(OR(N(C14)=0,N(F14)=0),"",C14*F14)</f>
        <v/>
      </c>
      <c r="I14" s="4"/>
      <c r="J14" s="11" t="str">
        <f aca="false">IF(K14="","",IF(N(C14)&lt;=0,"Informe a quantidade",IF(IFERROR(INDEX(INVENTÁRIO!$B$2:$B$801,MATCH(K14,INVENTÁRIO!$A$2:$A$801,0)),"")="(sem nome)","Carta fora dos decks: digite o nome na coluna I (opcional)","")))</f>
        <v/>
      </c>
      <c r="K14" s="11" t="str">
        <f aca="false">UPPER(TRIM(SUBSTITUTE(B14&amp;"",CHAR(160)," ")))</f>
        <v/>
      </c>
      <c r="L14" s="11" t="str">
        <f aca="false">IF(AND(K14&lt;&gt;"",TRIM(I14&amp;"")&lt;&gt;""),K14,"")</f>
        <v/>
      </c>
    </row>
    <row r="15" customFormat="false" ht="15" hidden="false" customHeight="false" outlineLevel="0" collapsed="false">
      <c r="A15" s="9"/>
      <c r="B15" s="4"/>
      <c r="C15" s="10"/>
      <c r="D15" s="11" t="str">
        <f aca="false">IF(K15="","",IFERROR(INDEX(DECKS!$C$2:$C$1201,MATCH(K15,DECKS!$B$2:$B$1201,0)),TRIM(I15&amp;"")))</f>
        <v/>
      </c>
      <c r="E15" s="4"/>
      <c r="F15" s="12"/>
      <c r="G15" s="4"/>
      <c r="H15" s="13" t="str">
        <f aca="false">IF(OR(N(C15)=0,N(F15)=0),"",C15*F15)</f>
        <v/>
      </c>
      <c r="I15" s="4"/>
      <c r="J15" s="11" t="str">
        <f aca="false">IF(K15="","",IF(N(C15)&lt;=0,"Informe a quantidade",IF(IFERROR(INDEX(INVENTÁRIO!$B$2:$B$801,MATCH(K15,INVENTÁRIO!$A$2:$A$801,0)),"")="(sem nome)","Carta fora dos decks: digite o nome na coluna I (opcional)","")))</f>
        <v/>
      </c>
      <c r="K15" s="11" t="str">
        <f aca="false">UPPER(TRIM(SUBSTITUTE(B15&amp;"",CHAR(160)," ")))</f>
        <v/>
      </c>
      <c r="L15" s="11" t="str">
        <f aca="false">IF(AND(K15&lt;&gt;"",TRIM(I15&amp;"")&lt;&gt;""),K15,"")</f>
        <v/>
      </c>
    </row>
    <row r="16" customFormat="false" ht="15" hidden="false" customHeight="false" outlineLevel="0" collapsed="false">
      <c r="A16" s="9"/>
      <c r="B16" s="4"/>
      <c r="C16" s="10"/>
      <c r="D16" s="11" t="str">
        <f aca="false">IF(K16="","",IFERROR(INDEX(DECKS!$C$2:$C$1201,MATCH(K16,DECKS!$B$2:$B$1201,0)),TRIM(I16&amp;"")))</f>
        <v/>
      </c>
      <c r="E16" s="4"/>
      <c r="F16" s="12"/>
      <c r="G16" s="4"/>
      <c r="H16" s="13" t="str">
        <f aca="false">IF(OR(N(C16)=0,N(F16)=0),"",C16*F16)</f>
        <v/>
      </c>
      <c r="I16" s="4"/>
      <c r="J16" s="11" t="str">
        <f aca="false">IF(K16="","",IF(N(C16)&lt;=0,"Informe a quantidade",IF(IFERROR(INDEX(INVENTÁRIO!$B$2:$B$801,MATCH(K16,INVENTÁRIO!$A$2:$A$801,0)),"")="(sem nome)","Carta fora dos decks: digite o nome na coluna I (opcional)","")))</f>
        <v/>
      </c>
      <c r="K16" s="11" t="str">
        <f aca="false">UPPER(TRIM(SUBSTITUTE(B16&amp;"",CHAR(160)," ")))</f>
        <v/>
      </c>
      <c r="L16" s="11" t="str">
        <f aca="false">IF(AND(K16&lt;&gt;"",TRIM(I16&amp;"")&lt;&gt;""),K16,"")</f>
        <v/>
      </c>
    </row>
    <row r="17" customFormat="false" ht="15" hidden="false" customHeight="false" outlineLevel="0" collapsed="false">
      <c r="A17" s="9"/>
      <c r="B17" s="4"/>
      <c r="C17" s="10"/>
      <c r="D17" s="11" t="str">
        <f aca="false">IF(K17="","",IFERROR(INDEX(DECKS!$C$2:$C$1201,MATCH(K17,DECKS!$B$2:$B$1201,0)),TRIM(I17&amp;"")))</f>
        <v/>
      </c>
      <c r="E17" s="4"/>
      <c r="F17" s="12"/>
      <c r="G17" s="4"/>
      <c r="H17" s="13" t="str">
        <f aca="false">IF(OR(N(C17)=0,N(F17)=0),"",C17*F17)</f>
        <v/>
      </c>
      <c r="I17" s="4"/>
      <c r="J17" s="11" t="str">
        <f aca="false">IF(K17="","",IF(N(C17)&lt;=0,"Informe a quantidade",IF(IFERROR(INDEX(INVENTÁRIO!$B$2:$B$801,MATCH(K17,INVENTÁRIO!$A$2:$A$801,0)),"")="(sem nome)","Carta fora dos decks: digite o nome na coluna I (opcional)","")))</f>
        <v/>
      </c>
      <c r="K17" s="11" t="str">
        <f aca="false">UPPER(TRIM(SUBSTITUTE(B17&amp;"",CHAR(160)," ")))</f>
        <v/>
      </c>
      <c r="L17" s="11" t="str">
        <f aca="false">IF(AND(K17&lt;&gt;"",TRIM(I17&amp;"")&lt;&gt;""),K17,"")</f>
        <v/>
      </c>
    </row>
    <row r="18" customFormat="false" ht="15" hidden="false" customHeight="false" outlineLevel="0" collapsed="false">
      <c r="A18" s="9"/>
      <c r="B18" s="4"/>
      <c r="C18" s="10"/>
      <c r="D18" s="11" t="str">
        <f aca="false">IF(K18="","",IFERROR(INDEX(DECKS!$C$2:$C$1201,MATCH(K18,DECKS!$B$2:$B$1201,0)),TRIM(I18&amp;"")))</f>
        <v/>
      </c>
      <c r="E18" s="4"/>
      <c r="F18" s="12"/>
      <c r="G18" s="4"/>
      <c r="H18" s="13" t="str">
        <f aca="false">IF(OR(N(C18)=0,N(F18)=0),"",C18*F18)</f>
        <v/>
      </c>
      <c r="I18" s="4"/>
      <c r="J18" s="11" t="str">
        <f aca="false">IF(K18="","",IF(N(C18)&lt;=0,"Informe a quantidade",IF(IFERROR(INDEX(INVENTÁRIO!$B$2:$B$801,MATCH(K18,INVENTÁRIO!$A$2:$A$801,0)),"")="(sem nome)","Carta fora dos decks: digite o nome na coluna I (opcional)","")))</f>
        <v/>
      </c>
      <c r="K18" s="11" t="str">
        <f aca="false">UPPER(TRIM(SUBSTITUTE(B18&amp;"",CHAR(160)," ")))</f>
        <v/>
      </c>
      <c r="L18" s="11" t="str">
        <f aca="false">IF(AND(K18&lt;&gt;"",TRIM(I18&amp;"")&lt;&gt;""),K18,"")</f>
        <v/>
      </c>
    </row>
    <row r="19" customFormat="false" ht="15" hidden="false" customHeight="false" outlineLevel="0" collapsed="false">
      <c r="A19" s="9"/>
      <c r="B19" s="4"/>
      <c r="C19" s="10"/>
      <c r="D19" s="11" t="str">
        <f aca="false">IF(K19="","",IFERROR(INDEX(DECKS!$C$2:$C$1201,MATCH(K19,DECKS!$B$2:$B$1201,0)),TRIM(I19&amp;"")))</f>
        <v/>
      </c>
      <c r="E19" s="4"/>
      <c r="F19" s="12"/>
      <c r="G19" s="4"/>
      <c r="H19" s="13" t="str">
        <f aca="false">IF(OR(N(C19)=0,N(F19)=0),"",C19*F19)</f>
        <v/>
      </c>
      <c r="I19" s="4"/>
      <c r="J19" s="11" t="str">
        <f aca="false">IF(K19="","",IF(N(C19)&lt;=0,"Informe a quantidade",IF(IFERROR(INDEX(INVENTÁRIO!$B$2:$B$801,MATCH(K19,INVENTÁRIO!$A$2:$A$801,0)),"")="(sem nome)","Carta fora dos decks: digite o nome na coluna I (opcional)","")))</f>
        <v/>
      </c>
      <c r="K19" s="11" t="str">
        <f aca="false">UPPER(TRIM(SUBSTITUTE(B19&amp;"",CHAR(160)," ")))</f>
        <v/>
      </c>
      <c r="L19" s="11" t="str">
        <f aca="false">IF(AND(K19&lt;&gt;"",TRIM(I19&amp;"")&lt;&gt;""),K19,"")</f>
        <v/>
      </c>
    </row>
    <row r="20" customFormat="false" ht="15" hidden="false" customHeight="false" outlineLevel="0" collapsed="false">
      <c r="A20" s="9"/>
      <c r="B20" s="4"/>
      <c r="C20" s="10"/>
      <c r="D20" s="11" t="str">
        <f aca="false">IF(K20="","",IFERROR(INDEX(DECKS!$C$2:$C$1201,MATCH(K20,DECKS!$B$2:$B$1201,0)),TRIM(I20&amp;"")))</f>
        <v/>
      </c>
      <c r="E20" s="4"/>
      <c r="F20" s="12"/>
      <c r="G20" s="4"/>
      <c r="H20" s="13" t="str">
        <f aca="false">IF(OR(N(C20)=0,N(F20)=0),"",C20*F20)</f>
        <v/>
      </c>
      <c r="I20" s="4"/>
      <c r="J20" s="11" t="str">
        <f aca="false">IF(K20="","",IF(N(C20)&lt;=0,"Informe a quantidade",IF(IFERROR(INDEX(INVENTÁRIO!$B$2:$B$801,MATCH(K20,INVENTÁRIO!$A$2:$A$801,0)),"")="(sem nome)","Carta fora dos decks: digite o nome na coluna I (opcional)","")))</f>
        <v/>
      </c>
      <c r="K20" s="11" t="str">
        <f aca="false">UPPER(TRIM(SUBSTITUTE(B20&amp;"",CHAR(160)," ")))</f>
        <v/>
      </c>
      <c r="L20" s="11" t="str">
        <f aca="false">IF(AND(K20&lt;&gt;"",TRIM(I20&amp;"")&lt;&gt;""),K20,"")</f>
        <v/>
      </c>
    </row>
    <row r="21" customFormat="false" ht="15" hidden="false" customHeight="false" outlineLevel="0" collapsed="false">
      <c r="A21" s="9"/>
      <c r="B21" s="4"/>
      <c r="C21" s="10"/>
      <c r="D21" s="11" t="str">
        <f aca="false">IF(K21="","",IFERROR(INDEX(DECKS!$C$2:$C$1201,MATCH(K21,DECKS!$B$2:$B$1201,0)),TRIM(I21&amp;"")))</f>
        <v/>
      </c>
      <c r="E21" s="4"/>
      <c r="F21" s="12"/>
      <c r="G21" s="4"/>
      <c r="H21" s="13" t="str">
        <f aca="false">IF(OR(N(C21)=0,N(F21)=0),"",C21*F21)</f>
        <v/>
      </c>
      <c r="I21" s="4"/>
      <c r="J21" s="11" t="str">
        <f aca="false">IF(K21="","",IF(N(C21)&lt;=0,"Informe a quantidade",IF(IFERROR(INDEX(INVENTÁRIO!$B$2:$B$801,MATCH(K21,INVENTÁRIO!$A$2:$A$801,0)),"")="(sem nome)","Carta fora dos decks: digite o nome na coluna I (opcional)","")))</f>
        <v/>
      </c>
      <c r="K21" s="11" t="str">
        <f aca="false">UPPER(TRIM(SUBSTITUTE(B21&amp;"",CHAR(160)," ")))</f>
        <v/>
      </c>
      <c r="L21" s="11" t="str">
        <f aca="false">IF(AND(K21&lt;&gt;"",TRIM(I21&amp;"")&lt;&gt;""),K21,"")</f>
        <v/>
      </c>
    </row>
    <row r="22" customFormat="false" ht="15" hidden="false" customHeight="false" outlineLevel="0" collapsed="false">
      <c r="A22" s="9"/>
      <c r="B22" s="4"/>
      <c r="C22" s="10"/>
      <c r="D22" s="11" t="str">
        <f aca="false">IF(K22="","",IFERROR(INDEX(DECKS!$C$2:$C$1201,MATCH(K22,DECKS!$B$2:$B$1201,0)),TRIM(I22&amp;"")))</f>
        <v/>
      </c>
      <c r="E22" s="4"/>
      <c r="F22" s="12"/>
      <c r="G22" s="4"/>
      <c r="H22" s="13" t="str">
        <f aca="false">IF(OR(N(C22)=0,N(F22)=0),"",C22*F22)</f>
        <v/>
      </c>
      <c r="I22" s="4"/>
      <c r="J22" s="11" t="str">
        <f aca="false">IF(K22="","",IF(N(C22)&lt;=0,"Informe a quantidade",IF(IFERROR(INDEX(INVENTÁRIO!$B$2:$B$801,MATCH(K22,INVENTÁRIO!$A$2:$A$801,0)),"")="(sem nome)","Carta fora dos decks: digite o nome na coluna I (opcional)","")))</f>
        <v/>
      </c>
      <c r="K22" s="11" t="str">
        <f aca="false">UPPER(TRIM(SUBSTITUTE(B22&amp;"",CHAR(160)," ")))</f>
        <v/>
      </c>
      <c r="L22" s="11" t="str">
        <f aca="false">IF(AND(K22&lt;&gt;"",TRIM(I22&amp;"")&lt;&gt;""),K22,"")</f>
        <v/>
      </c>
    </row>
    <row r="23" customFormat="false" ht="15" hidden="false" customHeight="false" outlineLevel="0" collapsed="false">
      <c r="A23" s="9"/>
      <c r="B23" s="4"/>
      <c r="C23" s="10"/>
      <c r="D23" s="11" t="str">
        <f aca="false">IF(K23="","",IFERROR(INDEX(DECKS!$C$2:$C$1201,MATCH(K23,DECKS!$B$2:$B$1201,0)),TRIM(I23&amp;"")))</f>
        <v/>
      </c>
      <c r="E23" s="4"/>
      <c r="F23" s="12"/>
      <c r="G23" s="4"/>
      <c r="H23" s="13" t="str">
        <f aca="false">IF(OR(N(C23)=0,N(F23)=0),"",C23*F23)</f>
        <v/>
      </c>
      <c r="I23" s="4"/>
      <c r="J23" s="11" t="str">
        <f aca="false">IF(K23="","",IF(N(C23)&lt;=0,"Informe a quantidade",IF(IFERROR(INDEX(INVENTÁRIO!$B$2:$B$801,MATCH(K23,INVENTÁRIO!$A$2:$A$801,0)),"")="(sem nome)","Carta fora dos decks: digite o nome na coluna I (opcional)","")))</f>
        <v/>
      </c>
      <c r="K23" s="11" t="str">
        <f aca="false">UPPER(TRIM(SUBSTITUTE(B23&amp;"",CHAR(160)," ")))</f>
        <v/>
      </c>
      <c r="L23" s="11" t="str">
        <f aca="false">IF(AND(K23&lt;&gt;"",TRIM(I23&amp;"")&lt;&gt;""),K23,"")</f>
        <v/>
      </c>
    </row>
    <row r="24" customFormat="false" ht="15" hidden="false" customHeight="false" outlineLevel="0" collapsed="false">
      <c r="A24" s="9"/>
      <c r="B24" s="4"/>
      <c r="C24" s="10"/>
      <c r="D24" s="11" t="str">
        <f aca="false">IF(K24="","",IFERROR(INDEX(DECKS!$C$2:$C$1201,MATCH(K24,DECKS!$B$2:$B$1201,0)),TRIM(I24&amp;"")))</f>
        <v/>
      </c>
      <c r="E24" s="4"/>
      <c r="F24" s="12"/>
      <c r="G24" s="4"/>
      <c r="H24" s="13" t="str">
        <f aca="false">IF(OR(N(C24)=0,N(F24)=0),"",C24*F24)</f>
        <v/>
      </c>
      <c r="I24" s="4"/>
      <c r="J24" s="11" t="str">
        <f aca="false">IF(K24="","",IF(N(C24)&lt;=0,"Informe a quantidade",IF(IFERROR(INDEX(INVENTÁRIO!$B$2:$B$801,MATCH(K24,INVENTÁRIO!$A$2:$A$801,0)),"")="(sem nome)","Carta fora dos decks: digite o nome na coluna I (opcional)","")))</f>
        <v/>
      </c>
      <c r="K24" s="11" t="str">
        <f aca="false">UPPER(TRIM(SUBSTITUTE(B24&amp;"",CHAR(160)," ")))</f>
        <v/>
      </c>
      <c r="L24" s="11" t="str">
        <f aca="false">IF(AND(K24&lt;&gt;"",TRIM(I24&amp;"")&lt;&gt;""),K24,"")</f>
        <v/>
      </c>
    </row>
    <row r="25" customFormat="false" ht="15" hidden="false" customHeight="false" outlineLevel="0" collapsed="false">
      <c r="A25" s="9"/>
      <c r="B25" s="4"/>
      <c r="C25" s="10"/>
      <c r="D25" s="11" t="str">
        <f aca="false">IF(K25="","",IFERROR(INDEX(DECKS!$C$2:$C$1201,MATCH(K25,DECKS!$B$2:$B$1201,0)),TRIM(I25&amp;"")))</f>
        <v/>
      </c>
      <c r="E25" s="4"/>
      <c r="F25" s="12"/>
      <c r="G25" s="4"/>
      <c r="H25" s="13" t="str">
        <f aca="false">IF(OR(N(C25)=0,N(F25)=0),"",C25*F25)</f>
        <v/>
      </c>
      <c r="I25" s="4"/>
      <c r="J25" s="11" t="str">
        <f aca="false">IF(K25="","",IF(N(C25)&lt;=0,"Informe a quantidade",IF(IFERROR(INDEX(INVENTÁRIO!$B$2:$B$801,MATCH(K25,INVENTÁRIO!$A$2:$A$801,0)),"")="(sem nome)","Carta fora dos decks: digite o nome na coluna I (opcional)","")))</f>
        <v/>
      </c>
      <c r="K25" s="11" t="str">
        <f aca="false">UPPER(TRIM(SUBSTITUTE(B25&amp;"",CHAR(160)," ")))</f>
        <v/>
      </c>
      <c r="L25" s="11" t="str">
        <f aca="false">IF(AND(K25&lt;&gt;"",TRIM(I25&amp;"")&lt;&gt;""),K25,"")</f>
        <v/>
      </c>
    </row>
    <row r="26" customFormat="false" ht="15" hidden="false" customHeight="false" outlineLevel="0" collapsed="false">
      <c r="A26" s="9"/>
      <c r="B26" s="4"/>
      <c r="C26" s="10"/>
      <c r="D26" s="11" t="str">
        <f aca="false">IF(K26="","",IFERROR(INDEX(DECKS!$C$2:$C$1201,MATCH(K26,DECKS!$B$2:$B$1201,0)),TRIM(I26&amp;"")))</f>
        <v/>
      </c>
      <c r="E26" s="4"/>
      <c r="F26" s="12"/>
      <c r="G26" s="4"/>
      <c r="H26" s="13" t="str">
        <f aca="false">IF(OR(N(C26)=0,N(F26)=0),"",C26*F26)</f>
        <v/>
      </c>
      <c r="I26" s="4"/>
      <c r="J26" s="11" t="str">
        <f aca="false">IF(K26="","",IF(N(C26)&lt;=0,"Informe a quantidade",IF(IFERROR(INDEX(INVENTÁRIO!$B$2:$B$801,MATCH(K26,INVENTÁRIO!$A$2:$A$801,0)),"")="(sem nome)","Carta fora dos decks: digite o nome na coluna I (opcional)","")))</f>
        <v/>
      </c>
      <c r="K26" s="11" t="str">
        <f aca="false">UPPER(TRIM(SUBSTITUTE(B26&amp;"",CHAR(160)," ")))</f>
        <v/>
      </c>
      <c r="L26" s="11" t="str">
        <f aca="false">IF(AND(K26&lt;&gt;"",TRIM(I26&amp;"")&lt;&gt;""),K26,"")</f>
        <v/>
      </c>
    </row>
    <row r="27" customFormat="false" ht="15" hidden="false" customHeight="false" outlineLevel="0" collapsed="false">
      <c r="A27" s="9"/>
      <c r="B27" s="4"/>
      <c r="C27" s="10"/>
      <c r="D27" s="11" t="str">
        <f aca="false">IF(K27="","",IFERROR(INDEX(DECKS!$C$2:$C$1201,MATCH(K27,DECKS!$B$2:$B$1201,0)),TRIM(I27&amp;"")))</f>
        <v/>
      </c>
      <c r="E27" s="4"/>
      <c r="F27" s="12"/>
      <c r="G27" s="4"/>
      <c r="H27" s="13" t="str">
        <f aca="false">IF(OR(N(C27)=0,N(F27)=0),"",C27*F27)</f>
        <v/>
      </c>
      <c r="I27" s="4"/>
      <c r="J27" s="11" t="str">
        <f aca="false">IF(K27="","",IF(N(C27)&lt;=0,"Informe a quantidade",IF(IFERROR(INDEX(INVENTÁRIO!$B$2:$B$801,MATCH(K27,INVENTÁRIO!$A$2:$A$801,0)),"")="(sem nome)","Carta fora dos decks: digite o nome na coluna I (opcional)","")))</f>
        <v/>
      </c>
      <c r="K27" s="11" t="str">
        <f aca="false">UPPER(TRIM(SUBSTITUTE(B27&amp;"",CHAR(160)," ")))</f>
        <v/>
      </c>
      <c r="L27" s="11" t="str">
        <f aca="false">IF(AND(K27&lt;&gt;"",TRIM(I27&amp;"")&lt;&gt;""),K27,"")</f>
        <v/>
      </c>
    </row>
    <row r="28" customFormat="false" ht="15" hidden="false" customHeight="false" outlineLevel="0" collapsed="false">
      <c r="A28" s="9"/>
      <c r="B28" s="4"/>
      <c r="C28" s="10"/>
      <c r="D28" s="11" t="str">
        <f aca="false">IF(K28="","",IFERROR(INDEX(DECKS!$C$2:$C$1201,MATCH(K28,DECKS!$B$2:$B$1201,0)),TRIM(I28&amp;"")))</f>
        <v/>
      </c>
      <c r="E28" s="4"/>
      <c r="F28" s="12"/>
      <c r="G28" s="4"/>
      <c r="H28" s="13" t="str">
        <f aca="false">IF(OR(N(C28)=0,N(F28)=0),"",C28*F28)</f>
        <v/>
      </c>
      <c r="I28" s="4"/>
      <c r="J28" s="11" t="str">
        <f aca="false">IF(K28="","",IF(N(C28)&lt;=0,"Informe a quantidade",IF(IFERROR(INDEX(INVENTÁRIO!$B$2:$B$801,MATCH(K28,INVENTÁRIO!$A$2:$A$801,0)),"")="(sem nome)","Carta fora dos decks: digite o nome na coluna I (opcional)","")))</f>
        <v/>
      </c>
      <c r="K28" s="11" t="str">
        <f aca="false">UPPER(TRIM(SUBSTITUTE(B28&amp;"",CHAR(160)," ")))</f>
        <v/>
      </c>
      <c r="L28" s="11" t="str">
        <f aca="false">IF(AND(K28&lt;&gt;"",TRIM(I28&amp;"")&lt;&gt;""),K28,"")</f>
        <v/>
      </c>
    </row>
    <row r="29" customFormat="false" ht="15" hidden="false" customHeight="false" outlineLevel="0" collapsed="false">
      <c r="A29" s="9"/>
      <c r="B29" s="4"/>
      <c r="C29" s="10"/>
      <c r="D29" s="11" t="str">
        <f aca="false">IF(K29="","",IFERROR(INDEX(DECKS!$C$2:$C$1201,MATCH(K29,DECKS!$B$2:$B$1201,0)),TRIM(I29&amp;"")))</f>
        <v/>
      </c>
      <c r="E29" s="4"/>
      <c r="F29" s="12"/>
      <c r="G29" s="4"/>
      <c r="H29" s="13" t="str">
        <f aca="false">IF(OR(N(C29)=0,N(F29)=0),"",C29*F29)</f>
        <v/>
      </c>
      <c r="I29" s="4"/>
      <c r="J29" s="11" t="str">
        <f aca="false">IF(K29="","",IF(N(C29)&lt;=0,"Informe a quantidade",IF(IFERROR(INDEX(INVENTÁRIO!$B$2:$B$801,MATCH(K29,INVENTÁRIO!$A$2:$A$801,0)),"")="(sem nome)","Carta fora dos decks: digite o nome na coluna I (opcional)","")))</f>
        <v/>
      </c>
      <c r="K29" s="11" t="str">
        <f aca="false">UPPER(TRIM(SUBSTITUTE(B29&amp;"",CHAR(160)," ")))</f>
        <v/>
      </c>
      <c r="L29" s="11" t="str">
        <f aca="false">IF(AND(K29&lt;&gt;"",TRIM(I29&amp;"")&lt;&gt;""),K29,"")</f>
        <v/>
      </c>
    </row>
    <row r="30" customFormat="false" ht="15" hidden="false" customHeight="false" outlineLevel="0" collapsed="false">
      <c r="A30" s="9"/>
      <c r="B30" s="4"/>
      <c r="C30" s="10"/>
      <c r="D30" s="11" t="str">
        <f aca="false">IF(K30="","",IFERROR(INDEX(DECKS!$C$2:$C$1201,MATCH(K30,DECKS!$B$2:$B$1201,0)),TRIM(I30&amp;"")))</f>
        <v/>
      </c>
      <c r="E30" s="4"/>
      <c r="F30" s="12"/>
      <c r="G30" s="4"/>
      <c r="H30" s="13" t="str">
        <f aca="false">IF(OR(N(C30)=0,N(F30)=0),"",C30*F30)</f>
        <v/>
      </c>
      <c r="I30" s="4"/>
      <c r="J30" s="11" t="str">
        <f aca="false">IF(K30="","",IF(N(C30)&lt;=0,"Informe a quantidade",IF(IFERROR(INDEX(INVENTÁRIO!$B$2:$B$801,MATCH(K30,INVENTÁRIO!$A$2:$A$801,0)),"")="(sem nome)","Carta fora dos decks: digite o nome na coluna I (opcional)","")))</f>
        <v/>
      </c>
      <c r="K30" s="11" t="str">
        <f aca="false">UPPER(TRIM(SUBSTITUTE(B30&amp;"",CHAR(160)," ")))</f>
        <v/>
      </c>
      <c r="L30" s="11" t="str">
        <f aca="false">IF(AND(K30&lt;&gt;"",TRIM(I30&amp;"")&lt;&gt;""),K30,"")</f>
        <v/>
      </c>
    </row>
    <row r="31" customFormat="false" ht="15" hidden="false" customHeight="false" outlineLevel="0" collapsed="false">
      <c r="A31" s="9"/>
      <c r="B31" s="4"/>
      <c r="C31" s="10"/>
      <c r="D31" s="11" t="str">
        <f aca="false">IF(K31="","",IFERROR(INDEX(DECKS!$C$2:$C$1201,MATCH(K31,DECKS!$B$2:$B$1201,0)),TRIM(I31&amp;"")))</f>
        <v/>
      </c>
      <c r="E31" s="4"/>
      <c r="F31" s="12"/>
      <c r="G31" s="4"/>
      <c r="H31" s="13" t="str">
        <f aca="false">IF(OR(N(C31)=0,N(F31)=0),"",C31*F31)</f>
        <v/>
      </c>
      <c r="I31" s="4"/>
      <c r="J31" s="11" t="str">
        <f aca="false">IF(K31="","",IF(N(C31)&lt;=0,"Informe a quantidade",IF(IFERROR(INDEX(INVENTÁRIO!$B$2:$B$801,MATCH(K31,INVENTÁRIO!$A$2:$A$801,0)),"")="(sem nome)","Carta fora dos decks: digite o nome na coluna I (opcional)","")))</f>
        <v/>
      </c>
      <c r="K31" s="11" t="str">
        <f aca="false">UPPER(TRIM(SUBSTITUTE(B31&amp;"",CHAR(160)," ")))</f>
        <v/>
      </c>
      <c r="L31" s="11" t="str">
        <f aca="false">IF(AND(K31&lt;&gt;"",TRIM(I31&amp;"")&lt;&gt;""),K31,"")</f>
        <v/>
      </c>
    </row>
    <row r="32" customFormat="false" ht="15" hidden="false" customHeight="false" outlineLevel="0" collapsed="false">
      <c r="A32" s="9"/>
      <c r="B32" s="4"/>
      <c r="C32" s="10"/>
      <c r="D32" s="11" t="str">
        <f aca="false">IF(K32="","",IFERROR(INDEX(DECKS!$C$2:$C$1201,MATCH(K32,DECKS!$B$2:$B$1201,0)),TRIM(I32&amp;"")))</f>
        <v/>
      </c>
      <c r="E32" s="4"/>
      <c r="F32" s="12"/>
      <c r="G32" s="4"/>
      <c r="H32" s="13" t="str">
        <f aca="false">IF(OR(N(C32)=0,N(F32)=0),"",C32*F32)</f>
        <v/>
      </c>
      <c r="I32" s="4"/>
      <c r="J32" s="11" t="str">
        <f aca="false">IF(K32="","",IF(N(C32)&lt;=0,"Informe a quantidade",IF(IFERROR(INDEX(INVENTÁRIO!$B$2:$B$801,MATCH(K32,INVENTÁRIO!$A$2:$A$801,0)),"")="(sem nome)","Carta fora dos decks: digite o nome na coluna I (opcional)","")))</f>
        <v/>
      </c>
      <c r="K32" s="11" t="str">
        <f aca="false">UPPER(TRIM(SUBSTITUTE(B32&amp;"",CHAR(160)," ")))</f>
        <v/>
      </c>
      <c r="L32" s="11" t="str">
        <f aca="false">IF(AND(K32&lt;&gt;"",TRIM(I32&amp;"")&lt;&gt;""),K32,"")</f>
        <v/>
      </c>
    </row>
    <row r="33" customFormat="false" ht="15" hidden="false" customHeight="false" outlineLevel="0" collapsed="false">
      <c r="A33" s="9"/>
      <c r="B33" s="4"/>
      <c r="C33" s="10"/>
      <c r="D33" s="11" t="str">
        <f aca="false">IF(K33="","",IFERROR(INDEX(DECKS!$C$2:$C$1201,MATCH(K33,DECKS!$B$2:$B$1201,0)),TRIM(I33&amp;"")))</f>
        <v/>
      </c>
      <c r="E33" s="4"/>
      <c r="F33" s="12"/>
      <c r="G33" s="4"/>
      <c r="H33" s="13" t="str">
        <f aca="false">IF(OR(N(C33)=0,N(F33)=0),"",C33*F33)</f>
        <v/>
      </c>
      <c r="I33" s="4"/>
      <c r="J33" s="11" t="str">
        <f aca="false">IF(K33="","",IF(N(C33)&lt;=0,"Informe a quantidade",IF(IFERROR(INDEX(INVENTÁRIO!$B$2:$B$801,MATCH(K33,INVENTÁRIO!$A$2:$A$801,0)),"")="(sem nome)","Carta fora dos decks: digite o nome na coluna I (opcional)","")))</f>
        <v/>
      </c>
      <c r="K33" s="11" t="str">
        <f aca="false">UPPER(TRIM(SUBSTITUTE(B33&amp;"",CHAR(160)," ")))</f>
        <v/>
      </c>
      <c r="L33" s="11" t="str">
        <f aca="false">IF(AND(K33&lt;&gt;"",TRIM(I33&amp;"")&lt;&gt;""),K33,"")</f>
        <v/>
      </c>
    </row>
    <row r="34" customFormat="false" ht="15" hidden="false" customHeight="false" outlineLevel="0" collapsed="false">
      <c r="A34" s="9"/>
      <c r="B34" s="4"/>
      <c r="C34" s="10"/>
      <c r="D34" s="11" t="str">
        <f aca="false">IF(K34="","",IFERROR(INDEX(DECKS!$C$2:$C$1201,MATCH(K34,DECKS!$B$2:$B$1201,0)),TRIM(I34&amp;"")))</f>
        <v/>
      </c>
      <c r="E34" s="4"/>
      <c r="F34" s="12"/>
      <c r="G34" s="4"/>
      <c r="H34" s="13" t="str">
        <f aca="false">IF(OR(N(C34)=0,N(F34)=0),"",C34*F34)</f>
        <v/>
      </c>
      <c r="I34" s="4"/>
      <c r="J34" s="11" t="str">
        <f aca="false">IF(K34="","",IF(N(C34)&lt;=0,"Informe a quantidade",IF(IFERROR(INDEX(INVENTÁRIO!$B$2:$B$801,MATCH(K34,INVENTÁRIO!$A$2:$A$801,0)),"")="(sem nome)","Carta fora dos decks: digite o nome na coluna I (opcional)","")))</f>
        <v/>
      </c>
      <c r="K34" s="11" t="str">
        <f aca="false">UPPER(TRIM(SUBSTITUTE(B34&amp;"",CHAR(160)," ")))</f>
        <v/>
      </c>
      <c r="L34" s="11" t="str">
        <f aca="false">IF(AND(K34&lt;&gt;"",TRIM(I34&amp;"")&lt;&gt;""),K34,"")</f>
        <v/>
      </c>
    </row>
    <row r="35" customFormat="false" ht="15" hidden="false" customHeight="false" outlineLevel="0" collapsed="false">
      <c r="A35" s="9"/>
      <c r="B35" s="4"/>
      <c r="C35" s="10"/>
      <c r="D35" s="11" t="str">
        <f aca="false">IF(K35="","",IFERROR(INDEX(DECKS!$C$2:$C$1201,MATCH(K35,DECKS!$B$2:$B$1201,0)),TRIM(I35&amp;"")))</f>
        <v/>
      </c>
      <c r="E35" s="4"/>
      <c r="F35" s="12"/>
      <c r="G35" s="4"/>
      <c r="H35" s="13" t="str">
        <f aca="false">IF(OR(N(C35)=0,N(F35)=0),"",C35*F35)</f>
        <v/>
      </c>
      <c r="I35" s="4"/>
      <c r="J35" s="11" t="str">
        <f aca="false">IF(K35="","",IF(N(C35)&lt;=0,"Informe a quantidade",IF(IFERROR(INDEX(INVENTÁRIO!$B$2:$B$801,MATCH(K35,INVENTÁRIO!$A$2:$A$801,0)),"")="(sem nome)","Carta fora dos decks: digite o nome na coluna I (opcional)","")))</f>
        <v/>
      </c>
      <c r="K35" s="11" t="str">
        <f aca="false">UPPER(TRIM(SUBSTITUTE(B35&amp;"",CHAR(160)," ")))</f>
        <v/>
      </c>
      <c r="L35" s="11" t="str">
        <f aca="false">IF(AND(K35&lt;&gt;"",TRIM(I35&amp;"")&lt;&gt;""),K35,"")</f>
        <v/>
      </c>
    </row>
    <row r="36" customFormat="false" ht="15" hidden="false" customHeight="false" outlineLevel="0" collapsed="false">
      <c r="A36" s="9"/>
      <c r="B36" s="4"/>
      <c r="C36" s="10"/>
      <c r="D36" s="11" t="str">
        <f aca="false">IF(K36="","",IFERROR(INDEX(DECKS!$C$2:$C$1201,MATCH(K36,DECKS!$B$2:$B$1201,0)),TRIM(I36&amp;"")))</f>
        <v/>
      </c>
      <c r="E36" s="4"/>
      <c r="F36" s="12"/>
      <c r="G36" s="4"/>
      <c r="H36" s="13" t="str">
        <f aca="false">IF(OR(N(C36)=0,N(F36)=0),"",C36*F36)</f>
        <v/>
      </c>
      <c r="I36" s="4"/>
      <c r="J36" s="11" t="str">
        <f aca="false">IF(K36="","",IF(N(C36)&lt;=0,"Informe a quantidade",IF(IFERROR(INDEX(INVENTÁRIO!$B$2:$B$801,MATCH(K36,INVENTÁRIO!$A$2:$A$801,0)),"")="(sem nome)","Carta fora dos decks: digite o nome na coluna I (opcional)","")))</f>
        <v/>
      </c>
      <c r="K36" s="11" t="str">
        <f aca="false">UPPER(TRIM(SUBSTITUTE(B36&amp;"",CHAR(160)," ")))</f>
        <v/>
      </c>
      <c r="L36" s="11" t="str">
        <f aca="false">IF(AND(K36&lt;&gt;"",TRIM(I36&amp;"")&lt;&gt;""),K36,"")</f>
        <v/>
      </c>
    </row>
    <row r="37" customFormat="false" ht="15" hidden="false" customHeight="false" outlineLevel="0" collapsed="false">
      <c r="A37" s="9"/>
      <c r="B37" s="4"/>
      <c r="C37" s="10"/>
      <c r="D37" s="11" t="str">
        <f aca="false">IF(K37="","",IFERROR(INDEX(DECKS!$C$2:$C$1201,MATCH(K37,DECKS!$B$2:$B$1201,0)),TRIM(I37&amp;"")))</f>
        <v/>
      </c>
      <c r="E37" s="4"/>
      <c r="F37" s="12"/>
      <c r="G37" s="4"/>
      <c r="H37" s="13" t="str">
        <f aca="false">IF(OR(N(C37)=0,N(F37)=0),"",C37*F37)</f>
        <v/>
      </c>
      <c r="I37" s="4"/>
      <c r="J37" s="11" t="str">
        <f aca="false">IF(K37="","",IF(N(C37)&lt;=0,"Informe a quantidade",IF(IFERROR(INDEX(INVENTÁRIO!$B$2:$B$801,MATCH(K37,INVENTÁRIO!$A$2:$A$801,0)),"")="(sem nome)","Carta fora dos decks: digite o nome na coluna I (opcional)","")))</f>
        <v/>
      </c>
      <c r="K37" s="11" t="str">
        <f aca="false">UPPER(TRIM(SUBSTITUTE(B37&amp;"",CHAR(160)," ")))</f>
        <v/>
      </c>
      <c r="L37" s="11" t="str">
        <f aca="false">IF(AND(K37&lt;&gt;"",TRIM(I37&amp;"")&lt;&gt;""),K37,"")</f>
        <v/>
      </c>
    </row>
    <row r="38" customFormat="false" ht="15" hidden="false" customHeight="false" outlineLevel="0" collapsed="false">
      <c r="A38" s="9"/>
      <c r="B38" s="4"/>
      <c r="C38" s="10"/>
      <c r="D38" s="11" t="str">
        <f aca="false">IF(K38="","",IFERROR(INDEX(DECKS!$C$2:$C$1201,MATCH(K38,DECKS!$B$2:$B$1201,0)),TRIM(I38&amp;"")))</f>
        <v/>
      </c>
      <c r="E38" s="4"/>
      <c r="F38" s="12"/>
      <c r="G38" s="4"/>
      <c r="H38" s="13" t="str">
        <f aca="false">IF(OR(N(C38)=0,N(F38)=0),"",C38*F38)</f>
        <v/>
      </c>
      <c r="I38" s="4"/>
      <c r="J38" s="11" t="str">
        <f aca="false">IF(K38="","",IF(N(C38)&lt;=0,"Informe a quantidade",IF(IFERROR(INDEX(INVENTÁRIO!$B$2:$B$801,MATCH(K38,INVENTÁRIO!$A$2:$A$801,0)),"")="(sem nome)","Carta fora dos decks: digite o nome na coluna I (opcional)","")))</f>
        <v/>
      </c>
      <c r="K38" s="11" t="str">
        <f aca="false">UPPER(TRIM(SUBSTITUTE(B38&amp;"",CHAR(160)," ")))</f>
        <v/>
      </c>
      <c r="L38" s="11" t="str">
        <f aca="false">IF(AND(K38&lt;&gt;"",TRIM(I38&amp;"")&lt;&gt;""),K38,"")</f>
        <v/>
      </c>
    </row>
    <row r="39" customFormat="false" ht="15" hidden="false" customHeight="false" outlineLevel="0" collapsed="false">
      <c r="A39" s="9"/>
      <c r="B39" s="4"/>
      <c r="C39" s="10"/>
      <c r="D39" s="11" t="str">
        <f aca="false">IF(K39="","",IFERROR(INDEX(DECKS!$C$2:$C$1201,MATCH(K39,DECKS!$B$2:$B$1201,0)),TRIM(I39&amp;"")))</f>
        <v/>
      </c>
      <c r="E39" s="4"/>
      <c r="F39" s="12"/>
      <c r="G39" s="4"/>
      <c r="H39" s="13" t="str">
        <f aca="false">IF(OR(N(C39)=0,N(F39)=0),"",C39*F39)</f>
        <v/>
      </c>
      <c r="I39" s="4"/>
      <c r="J39" s="11" t="str">
        <f aca="false">IF(K39="","",IF(N(C39)&lt;=0,"Informe a quantidade",IF(IFERROR(INDEX(INVENTÁRIO!$B$2:$B$801,MATCH(K39,INVENTÁRIO!$A$2:$A$801,0)),"")="(sem nome)","Carta fora dos decks: digite o nome na coluna I (opcional)","")))</f>
        <v/>
      </c>
      <c r="K39" s="11" t="str">
        <f aca="false">UPPER(TRIM(SUBSTITUTE(B39&amp;"",CHAR(160)," ")))</f>
        <v/>
      </c>
      <c r="L39" s="11" t="str">
        <f aca="false">IF(AND(K39&lt;&gt;"",TRIM(I39&amp;"")&lt;&gt;""),K39,"")</f>
        <v/>
      </c>
    </row>
    <row r="40" customFormat="false" ht="15" hidden="false" customHeight="false" outlineLevel="0" collapsed="false">
      <c r="A40" s="9"/>
      <c r="B40" s="4"/>
      <c r="C40" s="10"/>
      <c r="D40" s="11" t="str">
        <f aca="false">IF(K40="","",IFERROR(INDEX(DECKS!$C$2:$C$1201,MATCH(K40,DECKS!$B$2:$B$1201,0)),TRIM(I40&amp;"")))</f>
        <v/>
      </c>
      <c r="E40" s="4"/>
      <c r="F40" s="12"/>
      <c r="G40" s="4"/>
      <c r="H40" s="13" t="str">
        <f aca="false">IF(OR(N(C40)=0,N(F40)=0),"",C40*F40)</f>
        <v/>
      </c>
      <c r="I40" s="4"/>
      <c r="J40" s="11" t="str">
        <f aca="false">IF(K40="","",IF(N(C40)&lt;=0,"Informe a quantidade",IF(IFERROR(INDEX(INVENTÁRIO!$B$2:$B$801,MATCH(K40,INVENTÁRIO!$A$2:$A$801,0)),"")="(sem nome)","Carta fora dos decks: digite o nome na coluna I (opcional)","")))</f>
        <v/>
      </c>
      <c r="K40" s="11" t="str">
        <f aca="false">UPPER(TRIM(SUBSTITUTE(B40&amp;"",CHAR(160)," ")))</f>
        <v/>
      </c>
      <c r="L40" s="11" t="str">
        <f aca="false">IF(AND(K40&lt;&gt;"",TRIM(I40&amp;"")&lt;&gt;""),K40,"")</f>
        <v/>
      </c>
    </row>
    <row r="41" customFormat="false" ht="15" hidden="false" customHeight="false" outlineLevel="0" collapsed="false">
      <c r="A41" s="9"/>
      <c r="B41" s="4"/>
      <c r="C41" s="10"/>
      <c r="D41" s="11" t="str">
        <f aca="false">IF(K41="","",IFERROR(INDEX(DECKS!$C$2:$C$1201,MATCH(K41,DECKS!$B$2:$B$1201,0)),TRIM(I41&amp;"")))</f>
        <v/>
      </c>
      <c r="E41" s="4"/>
      <c r="F41" s="12"/>
      <c r="G41" s="4"/>
      <c r="H41" s="13" t="str">
        <f aca="false">IF(OR(N(C41)=0,N(F41)=0),"",C41*F41)</f>
        <v/>
      </c>
      <c r="I41" s="4"/>
      <c r="J41" s="11" t="str">
        <f aca="false">IF(K41="","",IF(N(C41)&lt;=0,"Informe a quantidade",IF(IFERROR(INDEX(INVENTÁRIO!$B$2:$B$801,MATCH(K41,INVENTÁRIO!$A$2:$A$801,0)),"")="(sem nome)","Carta fora dos decks: digite o nome na coluna I (opcional)","")))</f>
        <v/>
      </c>
      <c r="K41" s="11" t="str">
        <f aca="false">UPPER(TRIM(SUBSTITUTE(B41&amp;"",CHAR(160)," ")))</f>
        <v/>
      </c>
      <c r="L41" s="11" t="str">
        <f aca="false">IF(AND(K41&lt;&gt;"",TRIM(I41&amp;"")&lt;&gt;""),K41,"")</f>
        <v/>
      </c>
    </row>
    <row r="42" customFormat="false" ht="15" hidden="false" customHeight="false" outlineLevel="0" collapsed="false">
      <c r="A42" s="9"/>
      <c r="B42" s="4"/>
      <c r="C42" s="10"/>
      <c r="D42" s="11" t="str">
        <f aca="false">IF(K42="","",IFERROR(INDEX(DECKS!$C$2:$C$1201,MATCH(K42,DECKS!$B$2:$B$1201,0)),TRIM(I42&amp;"")))</f>
        <v/>
      </c>
      <c r="E42" s="4"/>
      <c r="F42" s="12"/>
      <c r="G42" s="4"/>
      <c r="H42" s="13" t="str">
        <f aca="false">IF(OR(N(C42)=0,N(F42)=0),"",C42*F42)</f>
        <v/>
      </c>
      <c r="I42" s="4"/>
      <c r="J42" s="11" t="str">
        <f aca="false">IF(K42="","",IF(N(C42)&lt;=0,"Informe a quantidade",IF(IFERROR(INDEX(INVENTÁRIO!$B$2:$B$801,MATCH(K42,INVENTÁRIO!$A$2:$A$801,0)),"")="(sem nome)","Carta fora dos decks: digite o nome na coluna I (opcional)","")))</f>
        <v/>
      </c>
      <c r="K42" s="11" t="str">
        <f aca="false">UPPER(TRIM(SUBSTITUTE(B42&amp;"",CHAR(160)," ")))</f>
        <v/>
      </c>
      <c r="L42" s="11" t="str">
        <f aca="false">IF(AND(K42&lt;&gt;"",TRIM(I42&amp;"")&lt;&gt;""),K42,"")</f>
        <v/>
      </c>
    </row>
    <row r="43" customFormat="false" ht="15" hidden="false" customHeight="false" outlineLevel="0" collapsed="false">
      <c r="A43" s="9"/>
      <c r="B43" s="4"/>
      <c r="C43" s="10"/>
      <c r="D43" s="11" t="str">
        <f aca="false">IF(K43="","",IFERROR(INDEX(DECKS!$C$2:$C$1201,MATCH(K43,DECKS!$B$2:$B$1201,0)),TRIM(I43&amp;"")))</f>
        <v/>
      </c>
      <c r="E43" s="4"/>
      <c r="F43" s="12"/>
      <c r="G43" s="4"/>
      <c r="H43" s="13" t="str">
        <f aca="false">IF(OR(N(C43)=0,N(F43)=0),"",C43*F43)</f>
        <v/>
      </c>
      <c r="I43" s="4"/>
      <c r="J43" s="11" t="str">
        <f aca="false">IF(K43="","",IF(N(C43)&lt;=0,"Informe a quantidade",IF(IFERROR(INDEX(INVENTÁRIO!$B$2:$B$801,MATCH(K43,INVENTÁRIO!$A$2:$A$801,0)),"")="(sem nome)","Carta fora dos decks: digite o nome na coluna I (opcional)","")))</f>
        <v/>
      </c>
      <c r="K43" s="11" t="str">
        <f aca="false">UPPER(TRIM(SUBSTITUTE(B43&amp;"",CHAR(160)," ")))</f>
        <v/>
      </c>
      <c r="L43" s="11" t="str">
        <f aca="false">IF(AND(K43&lt;&gt;"",TRIM(I43&amp;"")&lt;&gt;""),K43,"")</f>
        <v/>
      </c>
    </row>
    <row r="44" customFormat="false" ht="15" hidden="false" customHeight="false" outlineLevel="0" collapsed="false">
      <c r="A44" s="9"/>
      <c r="B44" s="4"/>
      <c r="C44" s="10"/>
      <c r="D44" s="11" t="str">
        <f aca="false">IF(K44="","",IFERROR(INDEX(DECKS!$C$2:$C$1201,MATCH(K44,DECKS!$B$2:$B$1201,0)),TRIM(I44&amp;"")))</f>
        <v/>
      </c>
      <c r="E44" s="4"/>
      <c r="F44" s="12"/>
      <c r="G44" s="4"/>
      <c r="H44" s="13" t="str">
        <f aca="false">IF(OR(N(C44)=0,N(F44)=0),"",C44*F44)</f>
        <v/>
      </c>
      <c r="I44" s="4"/>
      <c r="J44" s="11" t="str">
        <f aca="false">IF(K44="","",IF(N(C44)&lt;=0,"Informe a quantidade",IF(IFERROR(INDEX(INVENTÁRIO!$B$2:$B$801,MATCH(K44,INVENTÁRIO!$A$2:$A$801,0)),"")="(sem nome)","Carta fora dos decks: digite o nome na coluna I (opcional)","")))</f>
        <v/>
      </c>
      <c r="K44" s="11" t="str">
        <f aca="false">UPPER(TRIM(SUBSTITUTE(B44&amp;"",CHAR(160)," ")))</f>
        <v/>
      </c>
      <c r="L44" s="11" t="str">
        <f aca="false">IF(AND(K44&lt;&gt;"",TRIM(I44&amp;"")&lt;&gt;""),K44,"")</f>
        <v/>
      </c>
    </row>
    <row r="45" customFormat="false" ht="15" hidden="false" customHeight="false" outlineLevel="0" collapsed="false">
      <c r="A45" s="9"/>
      <c r="B45" s="4"/>
      <c r="C45" s="10"/>
      <c r="D45" s="11" t="str">
        <f aca="false">IF(K45="","",IFERROR(INDEX(DECKS!$C$2:$C$1201,MATCH(K45,DECKS!$B$2:$B$1201,0)),TRIM(I45&amp;"")))</f>
        <v/>
      </c>
      <c r="E45" s="4"/>
      <c r="F45" s="12"/>
      <c r="G45" s="4"/>
      <c r="H45" s="13" t="str">
        <f aca="false">IF(OR(N(C45)=0,N(F45)=0),"",C45*F45)</f>
        <v/>
      </c>
      <c r="I45" s="4"/>
      <c r="J45" s="11" t="str">
        <f aca="false">IF(K45="","",IF(N(C45)&lt;=0,"Informe a quantidade",IF(IFERROR(INDEX(INVENTÁRIO!$B$2:$B$801,MATCH(K45,INVENTÁRIO!$A$2:$A$801,0)),"")="(sem nome)","Carta fora dos decks: digite o nome na coluna I (opcional)","")))</f>
        <v/>
      </c>
      <c r="K45" s="11" t="str">
        <f aca="false">UPPER(TRIM(SUBSTITUTE(B45&amp;"",CHAR(160)," ")))</f>
        <v/>
      </c>
      <c r="L45" s="11" t="str">
        <f aca="false">IF(AND(K45&lt;&gt;"",TRIM(I45&amp;"")&lt;&gt;""),K45,"")</f>
        <v/>
      </c>
    </row>
    <row r="46" customFormat="false" ht="15" hidden="false" customHeight="false" outlineLevel="0" collapsed="false">
      <c r="A46" s="9"/>
      <c r="B46" s="4"/>
      <c r="C46" s="10"/>
      <c r="D46" s="11" t="str">
        <f aca="false">IF(K46="","",IFERROR(INDEX(DECKS!$C$2:$C$1201,MATCH(K46,DECKS!$B$2:$B$1201,0)),TRIM(I46&amp;"")))</f>
        <v/>
      </c>
      <c r="E46" s="4"/>
      <c r="F46" s="12"/>
      <c r="G46" s="4"/>
      <c r="H46" s="13" t="str">
        <f aca="false">IF(OR(N(C46)=0,N(F46)=0),"",C46*F46)</f>
        <v/>
      </c>
      <c r="I46" s="4"/>
      <c r="J46" s="11" t="str">
        <f aca="false">IF(K46="","",IF(N(C46)&lt;=0,"Informe a quantidade",IF(IFERROR(INDEX(INVENTÁRIO!$B$2:$B$801,MATCH(K46,INVENTÁRIO!$A$2:$A$801,0)),"")="(sem nome)","Carta fora dos decks: digite o nome na coluna I (opcional)","")))</f>
        <v/>
      </c>
      <c r="K46" s="11" t="str">
        <f aca="false">UPPER(TRIM(SUBSTITUTE(B46&amp;"",CHAR(160)," ")))</f>
        <v/>
      </c>
      <c r="L46" s="11" t="str">
        <f aca="false">IF(AND(K46&lt;&gt;"",TRIM(I46&amp;"")&lt;&gt;""),K46,"")</f>
        <v/>
      </c>
    </row>
    <row r="47" customFormat="false" ht="15" hidden="false" customHeight="false" outlineLevel="0" collapsed="false">
      <c r="A47" s="9"/>
      <c r="B47" s="4"/>
      <c r="C47" s="10"/>
      <c r="D47" s="11" t="str">
        <f aca="false">IF(K47="","",IFERROR(INDEX(DECKS!$C$2:$C$1201,MATCH(K47,DECKS!$B$2:$B$1201,0)),TRIM(I47&amp;"")))</f>
        <v/>
      </c>
      <c r="E47" s="4"/>
      <c r="F47" s="12"/>
      <c r="G47" s="4"/>
      <c r="H47" s="13" t="str">
        <f aca="false">IF(OR(N(C47)=0,N(F47)=0),"",C47*F47)</f>
        <v/>
      </c>
      <c r="I47" s="4"/>
      <c r="J47" s="11" t="str">
        <f aca="false">IF(K47="","",IF(N(C47)&lt;=0,"Informe a quantidade",IF(IFERROR(INDEX(INVENTÁRIO!$B$2:$B$801,MATCH(K47,INVENTÁRIO!$A$2:$A$801,0)),"")="(sem nome)","Carta fora dos decks: digite o nome na coluna I (opcional)","")))</f>
        <v/>
      </c>
      <c r="K47" s="11" t="str">
        <f aca="false">UPPER(TRIM(SUBSTITUTE(B47&amp;"",CHAR(160)," ")))</f>
        <v/>
      </c>
      <c r="L47" s="11" t="str">
        <f aca="false">IF(AND(K47&lt;&gt;"",TRIM(I47&amp;"")&lt;&gt;""),K47,"")</f>
        <v/>
      </c>
    </row>
    <row r="48" customFormat="false" ht="15" hidden="false" customHeight="false" outlineLevel="0" collapsed="false">
      <c r="A48" s="9"/>
      <c r="B48" s="4"/>
      <c r="C48" s="10"/>
      <c r="D48" s="11" t="str">
        <f aca="false">IF(K48="","",IFERROR(INDEX(DECKS!$C$2:$C$1201,MATCH(K48,DECKS!$B$2:$B$1201,0)),TRIM(I48&amp;"")))</f>
        <v/>
      </c>
      <c r="E48" s="4"/>
      <c r="F48" s="12"/>
      <c r="G48" s="4"/>
      <c r="H48" s="13" t="str">
        <f aca="false">IF(OR(N(C48)=0,N(F48)=0),"",C48*F48)</f>
        <v/>
      </c>
      <c r="I48" s="4"/>
      <c r="J48" s="11" t="str">
        <f aca="false">IF(K48="","",IF(N(C48)&lt;=0,"Informe a quantidade",IF(IFERROR(INDEX(INVENTÁRIO!$B$2:$B$801,MATCH(K48,INVENTÁRIO!$A$2:$A$801,0)),"")="(sem nome)","Carta fora dos decks: digite o nome na coluna I (opcional)","")))</f>
        <v/>
      </c>
      <c r="K48" s="11" t="str">
        <f aca="false">UPPER(TRIM(SUBSTITUTE(B48&amp;"",CHAR(160)," ")))</f>
        <v/>
      </c>
      <c r="L48" s="11" t="str">
        <f aca="false">IF(AND(K48&lt;&gt;"",TRIM(I48&amp;"")&lt;&gt;""),K48,"")</f>
        <v/>
      </c>
    </row>
    <row r="49" customFormat="false" ht="15" hidden="false" customHeight="false" outlineLevel="0" collapsed="false">
      <c r="A49" s="9"/>
      <c r="B49" s="4"/>
      <c r="C49" s="10"/>
      <c r="D49" s="11" t="str">
        <f aca="false">IF(K49="","",IFERROR(INDEX(DECKS!$C$2:$C$1201,MATCH(K49,DECKS!$B$2:$B$1201,0)),TRIM(I49&amp;"")))</f>
        <v/>
      </c>
      <c r="E49" s="4"/>
      <c r="F49" s="12"/>
      <c r="G49" s="4"/>
      <c r="H49" s="13" t="str">
        <f aca="false">IF(OR(N(C49)=0,N(F49)=0),"",C49*F49)</f>
        <v/>
      </c>
      <c r="I49" s="4"/>
      <c r="J49" s="11" t="str">
        <f aca="false">IF(K49="","",IF(N(C49)&lt;=0,"Informe a quantidade",IF(IFERROR(INDEX(INVENTÁRIO!$B$2:$B$801,MATCH(K49,INVENTÁRIO!$A$2:$A$801,0)),"")="(sem nome)","Carta fora dos decks: digite o nome na coluna I (opcional)","")))</f>
        <v/>
      </c>
      <c r="K49" s="11" t="str">
        <f aca="false">UPPER(TRIM(SUBSTITUTE(B49&amp;"",CHAR(160)," ")))</f>
        <v/>
      </c>
      <c r="L49" s="11" t="str">
        <f aca="false">IF(AND(K49&lt;&gt;"",TRIM(I49&amp;"")&lt;&gt;""),K49,"")</f>
        <v/>
      </c>
    </row>
    <row r="50" customFormat="false" ht="15" hidden="false" customHeight="false" outlineLevel="0" collapsed="false">
      <c r="A50" s="9"/>
      <c r="B50" s="4"/>
      <c r="C50" s="10"/>
      <c r="D50" s="11" t="str">
        <f aca="false">IF(K50="","",IFERROR(INDEX(DECKS!$C$2:$C$1201,MATCH(K50,DECKS!$B$2:$B$1201,0)),TRIM(I50&amp;"")))</f>
        <v/>
      </c>
      <c r="E50" s="4"/>
      <c r="F50" s="12"/>
      <c r="G50" s="4"/>
      <c r="H50" s="13" t="str">
        <f aca="false">IF(OR(N(C50)=0,N(F50)=0),"",C50*F50)</f>
        <v/>
      </c>
      <c r="I50" s="4"/>
      <c r="J50" s="11" t="str">
        <f aca="false">IF(K50="","",IF(N(C50)&lt;=0,"Informe a quantidade",IF(IFERROR(INDEX(INVENTÁRIO!$B$2:$B$801,MATCH(K50,INVENTÁRIO!$A$2:$A$801,0)),"")="(sem nome)","Carta fora dos decks: digite o nome na coluna I (opcional)","")))</f>
        <v/>
      </c>
      <c r="K50" s="11" t="str">
        <f aca="false">UPPER(TRIM(SUBSTITUTE(B50&amp;"",CHAR(160)," ")))</f>
        <v/>
      </c>
      <c r="L50" s="11" t="str">
        <f aca="false">IF(AND(K50&lt;&gt;"",TRIM(I50&amp;"")&lt;&gt;""),K50,"")</f>
        <v/>
      </c>
    </row>
    <row r="51" customFormat="false" ht="15" hidden="false" customHeight="false" outlineLevel="0" collapsed="false">
      <c r="A51" s="9"/>
      <c r="B51" s="4"/>
      <c r="C51" s="10"/>
      <c r="D51" s="11" t="str">
        <f aca="false">IF(K51="","",IFERROR(INDEX(DECKS!$C$2:$C$1201,MATCH(K51,DECKS!$B$2:$B$1201,0)),TRIM(I51&amp;"")))</f>
        <v/>
      </c>
      <c r="E51" s="4"/>
      <c r="F51" s="12"/>
      <c r="G51" s="4"/>
      <c r="H51" s="13" t="str">
        <f aca="false">IF(OR(N(C51)=0,N(F51)=0),"",C51*F51)</f>
        <v/>
      </c>
      <c r="I51" s="4"/>
      <c r="J51" s="11" t="str">
        <f aca="false">IF(K51="","",IF(N(C51)&lt;=0,"Informe a quantidade",IF(IFERROR(INDEX(INVENTÁRIO!$B$2:$B$801,MATCH(K51,INVENTÁRIO!$A$2:$A$801,0)),"")="(sem nome)","Carta fora dos decks: digite o nome na coluna I (opcional)","")))</f>
        <v/>
      </c>
      <c r="K51" s="11" t="str">
        <f aca="false">UPPER(TRIM(SUBSTITUTE(B51&amp;"",CHAR(160)," ")))</f>
        <v/>
      </c>
      <c r="L51" s="11" t="str">
        <f aca="false">IF(AND(K51&lt;&gt;"",TRIM(I51&amp;"")&lt;&gt;""),K51,"")</f>
        <v/>
      </c>
    </row>
    <row r="52" customFormat="false" ht="15" hidden="false" customHeight="false" outlineLevel="0" collapsed="false">
      <c r="A52" s="9"/>
      <c r="B52" s="4"/>
      <c r="C52" s="10"/>
      <c r="D52" s="11" t="str">
        <f aca="false">IF(K52="","",IFERROR(INDEX(DECKS!$C$2:$C$1201,MATCH(K52,DECKS!$B$2:$B$1201,0)),TRIM(I52&amp;"")))</f>
        <v/>
      </c>
      <c r="E52" s="4"/>
      <c r="F52" s="12"/>
      <c r="G52" s="4"/>
      <c r="H52" s="13" t="str">
        <f aca="false">IF(OR(N(C52)=0,N(F52)=0),"",C52*F52)</f>
        <v/>
      </c>
      <c r="I52" s="4"/>
      <c r="J52" s="11" t="str">
        <f aca="false">IF(K52="","",IF(N(C52)&lt;=0,"Informe a quantidade",IF(IFERROR(INDEX(INVENTÁRIO!$B$2:$B$801,MATCH(K52,INVENTÁRIO!$A$2:$A$801,0)),"")="(sem nome)","Carta fora dos decks: digite o nome na coluna I (opcional)","")))</f>
        <v/>
      </c>
      <c r="K52" s="11" t="str">
        <f aca="false">UPPER(TRIM(SUBSTITUTE(B52&amp;"",CHAR(160)," ")))</f>
        <v/>
      </c>
      <c r="L52" s="11" t="str">
        <f aca="false">IF(AND(K52&lt;&gt;"",TRIM(I52&amp;"")&lt;&gt;""),K52,"")</f>
        <v/>
      </c>
    </row>
    <row r="53" customFormat="false" ht="15" hidden="false" customHeight="false" outlineLevel="0" collapsed="false">
      <c r="A53" s="9"/>
      <c r="B53" s="4"/>
      <c r="C53" s="10"/>
      <c r="D53" s="11" t="str">
        <f aca="false">IF(K53="","",IFERROR(INDEX(DECKS!$C$2:$C$1201,MATCH(K53,DECKS!$B$2:$B$1201,0)),TRIM(I53&amp;"")))</f>
        <v/>
      </c>
      <c r="E53" s="4"/>
      <c r="F53" s="12"/>
      <c r="G53" s="4"/>
      <c r="H53" s="13" t="str">
        <f aca="false">IF(OR(N(C53)=0,N(F53)=0),"",C53*F53)</f>
        <v/>
      </c>
      <c r="I53" s="4"/>
      <c r="J53" s="11" t="str">
        <f aca="false">IF(K53="","",IF(N(C53)&lt;=0,"Informe a quantidade",IF(IFERROR(INDEX(INVENTÁRIO!$B$2:$B$801,MATCH(K53,INVENTÁRIO!$A$2:$A$801,0)),"")="(sem nome)","Carta fora dos decks: digite o nome na coluna I (opcional)","")))</f>
        <v/>
      </c>
      <c r="K53" s="11" t="str">
        <f aca="false">UPPER(TRIM(SUBSTITUTE(B53&amp;"",CHAR(160)," ")))</f>
        <v/>
      </c>
      <c r="L53" s="11" t="str">
        <f aca="false">IF(AND(K53&lt;&gt;"",TRIM(I53&amp;"")&lt;&gt;""),K53,"")</f>
        <v/>
      </c>
    </row>
    <row r="54" customFormat="false" ht="15" hidden="false" customHeight="false" outlineLevel="0" collapsed="false">
      <c r="A54" s="9"/>
      <c r="B54" s="4"/>
      <c r="C54" s="10"/>
      <c r="D54" s="11" t="str">
        <f aca="false">IF(K54="","",IFERROR(INDEX(DECKS!$C$2:$C$1201,MATCH(K54,DECKS!$B$2:$B$1201,0)),TRIM(I54&amp;"")))</f>
        <v/>
      </c>
      <c r="E54" s="4"/>
      <c r="F54" s="12"/>
      <c r="G54" s="4"/>
      <c r="H54" s="13" t="str">
        <f aca="false">IF(OR(N(C54)=0,N(F54)=0),"",C54*F54)</f>
        <v/>
      </c>
      <c r="I54" s="4"/>
      <c r="J54" s="11" t="str">
        <f aca="false">IF(K54="","",IF(N(C54)&lt;=0,"Informe a quantidade",IF(IFERROR(INDEX(INVENTÁRIO!$B$2:$B$801,MATCH(K54,INVENTÁRIO!$A$2:$A$801,0)),"")="(sem nome)","Carta fora dos decks: digite o nome na coluna I (opcional)","")))</f>
        <v/>
      </c>
      <c r="K54" s="11" t="str">
        <f aca="false">UPPER(TRIM(SUBSTITUTE(B54&amp;"",CHAR(160)," ")))</f>
        <v/>
      </c>
      <c r="L54" s="11" t="str">
        <f aca="false">IF(AND(K54&lt;&gt;"",TRIM(I54&amp;"")&lt;&gt;""),K54,"")</f>
        <v/>
      </c>
    </row>
    <row r="55" customFormat="false" ht="15" hidden="false" customHeight="false" outlineLevel="0" collapsed="false">
      <c r="A55" s="9"/>
      <c r="B55" s="4"/>
      <c r="C55" s="10"/>
      <c r="D55" s="11" t="str">
        <f aca="false">IF(K55="","",IFERROR(INDEX(DECKS!$C$2:$C$1201,MATCH(K55,DECKS!$B$2:$B$1201,0)),TRIM(I55&amp;"")))</f>
        <v/>
      </c>
      <c r="E55" s="4"/>
      <c r="F55" s="12"/>
      <c r="G55" s="4"/>
      <c r="H55" s="13" t="str">
        <f aca="false">IF(OR(N(C55)=0,N(F55)=0),"",C55*F55)</f>
        <v/>
      </c>
      <c r="I55" s="4"/>
      <c r="J55" s="11" t="str">
        <f aca="false">IF(K55="","",IF(N(C55)&lt;=0,"Informe a quantidade",IF(IFERROR(INDEX(INVENTÁRIO!$B$2:$B$801,MATCH(K55,INVENTÁRIO!$A$2:$A$801,0)),"")="(sem nome)","Carta fora dos decks: digite o nome na coluna I (opcional)","")))</f>
        <v/>
      </c>
      <c r="K55" s="11" t="str">
        <f aca="false">UPPER(TRIM(SUBSTITUTE(B55&amp;"",CHAR(160)," ")))</f>
        <v/>
      </c>
      <c r="L55" s="11" t="str">
        <f aca="false">IF(AND(K55&lt;&gt;"",TRIM(I55&amp;"")&lt;&gt;""),K55,"")</f>
        <v/>
      </c>
    </row>
    <row r="56" customFormat="false" ht="15" hidden="false" customHeight="false" outlineLevel="0" collapsed="false">
      <c r="A56" s="9"/>
      <c r="B56" s="4"/>
      <c r="C56" s="10"/>
      <c r="D56" s="11" t="str">
        <f aca="false">IF(K56="","",IFERROR(INDEX(DECKS!$C$2:$C$1201,MATCH(K56,DECKS!$B$2:$B$1201,0)),TRIM(I56&amp;"")))</f>
        <v/>
      </c>
      <c r="E56" s="4"/>
      <c r="F56" s="12"/>
      <c r="G56" s="4"/>
      <c r="H56" s="13" t="str">
        <f aca="false">IF(OR(N(C56)=0,N(F56)=0),"",C56*F56)</f>
        <v/>
      </c>
      <c r="I56" s="4"/>
      <c r="J56" s="11" t="str">
        <f aca="false">IF(K56="","",IF(N(C56)&lt;=0,"Informe a quantidade",IF(IFERROR(INDEX(INVENTÁRIO!$B$2:$B$801,MATCH(K56,INVENTÁRIO!$A$2:$A$801,0)),"")="(sem nome)","Carta fora dos decks: digite o nome na coluna I (opcional)","")))</f>
        <v/>
      </c>
      <c r="K56" s="11" t="str">
        <f aca="false">UPPER(TRIM(SUBSTITUTE(B56&amp;"",CHAR(160)," ")))</f>
        <v/>
      </c>
      <c r="L56" s="11" t="str">
        <f aca="false">IF(AND(K56&lt;&gt;"",TRIM(I56&amp;"")&lt;&gt;""),K56,"")</f>
        <v/>
      </c>
    </row>
    <row r="57" customFormat="false" ht="15" hidden="false" customHeight="false" outlineLevel="0" collapsed="false">
      <c r="A57" s="9"/>
      <c r="B57" s="4"/>
      <c r="C57" s="10"/>
      <c r="D57" s="11" t="str">
        <f aca="false">IF(K57="","",IFERROR(INDEX(DECKS!$C$2:$C$1201,MATCH(K57,DECKS!$B$2:$B$1201,0)),TRIM(I57&amp;"")))</f>
        <v/>
      </c>
      <c r="E57" s="4"/>
      <c r="F57" s="12"/>
      <c r="G57" s="4"/>
      <c r="H57" s="13" t="str">
        <f aca="false">IF(OR(N(C57)=0,N(F57)=0),"",C57*F57)</f>
        <v/>
      </c>
      <c r="I57" s="4"/>
      <c r="J57" s="11" t="str">
        <f aca="false">IF(K57="","",IF(N(C57)&lt;=0,"Informe a quantidade",IF(IFERROR(INDEX(INVENTÁRIO!$B$2:$B$801,MATCH(K57,INVENTÁRIO!$A$2:$A$801,0)),"")="(sem nome)","Carta fora dos decks: digite o nome na coluna I (opcional)","")))</f>
        <v/>
      </c>
      <c r="K57" s="11" t="str">
        <f aca="false">UPPER(TRIM(SUBSTITUTE(B57&amp;"",CHAR(160)," ")))</f>
        <v/>
      </c>
      <c r="L57" s="11" t="str">
        <f aca="false">IF(AND(K57&lt;&gt;"",TRIM(I57&amp;"")&lt;&gt;""),K57,"")</f>
        <v/>
      </c>
    </row>
    <row r="58" customFormat="false" ht="15" hidden="false" customHeight="false" outlineLevel="0" collapsed="false">
      <c r="A58" s="9"/>
      <c r="B58" s="4"/>
      <c r="C58" s="10"/>
      <c r="D58" s="11" t="str">
        <f aca="false">IF(K58="","",IFERROR(INDEX(DECKS!$C$2:$C$1201,MATCH(K58,DECKS!$B$2:$B$1201,0)),TRIM(I58&amp;"")))</f>
        <v/>
      </c>
      <c r="E58" s="4"/>
      <c r="F58" s="12"/>
      <c r="G58" s="4"/>
      <c r="H58" s="13" t="str">
        <f aca="false">IF(OR(N(C58)=0,N(F58)=0),"",C58*F58)</f>
        <v/>
      </c>
      <c r="I58" s="4"/>
      <c r="J58" s="11" t="str">
        <f aca="false">IF(K58="","",IF(N(C58)&lt;=0,"Informe a quantidade",IF(IFERROR(INDEX(INVENTÁRIO!$B$2:$B$801,MATCH(K58,INVENTÁRIO!$A$2:$A$801,0)),"")="(sem nome)","Carta fora dos decks: digite o nome na coluna I (opcional)","")))</f>
        <v/>
      </c>
      <c r="K58" s="11" t="str">
        <f aca="false">UPPER(TRIM(SUBSTITUTE(B58&amp;"",CHAR(160)," ")))</f>
        <v/>
      </c>
      <c r="L58" s="11" t="str">
        <f aca="false">IF(AND(K58&lt;&gt;"",TRIM(I58&amp;"")&lt;&gt;""),K58,"")</f>
        <v/>
      </c>
    </row>
    <row r="59" customFormat="false" ht="15" hidden="false" customHeight="false" outlineLevel="0" collapsed="false">
      <c r="A59" s="9"/>
      <c r="B59" s="4"/>
      <c r="C59" s="10"/>
      <c r="D59" s="11" t="str">
        <f aca="false">IF(K59="","",IFERROR(INDEX(DECKS!$C$2:$C$1201,MATCH(K59,DECKS!$B$2:$B$1201,0)),TRIM(I59&amp;"")))</f>
        <v/>
      </c>
      <c r="E59" s="4"/>
      <c r="F59" s="12"/>
      <c r="G59" s="4"/>
      <c r="H59" s="13" t="str">
        <f aca="false">IF(OR(N(C59)=0,N(F59)=0),"",C59*F59)</f>
        <v/>
      </c>
      <c r="I59" s="4"/>
      <c r="J59" s="11" t="str">
        <f aca="false">IF(K59="","",IF(N(C59)&lt;=0,"Informe a quantidade",IF(IFERROR(INDEX(INVENTÁRIO!$B$2:$B$801,MATCH(K59,INVENTÁRIO!$A$2:$A$801,0)),"")="(sem nome)","Carta fora dos decks: digite o nome na coluna I (opcional)","")))</f>
        <v/>
      </c>
      <c r="K59" s="11" t="str">
        <f aca="false">UPPER(TRIM(SUBSTITUTE(B59&amp;"",CHAR(160)," ")))</f>
        <v/>
      </c>
      <c r="L59" s="11" t="str">
        <f aca="false">IF(AND(K59&lt;&gt;"",TRIM(I59&amp;"")&lt;&gt;""),K59,"")</f>
        <v/>
      </c>
    </row>
    <row r="60" customFormat="false" ht="15" hidden="false" customHeight="false" outlineLevel="0" collapsed="false">
      <c r="A60" s="9"/>
      <c r="B60" s="4"/>
      <c r="C60" s="10"/>
      <c r="D60" s="11" t="str">
        <f aca="false">IF(K60="","",IFERROR(INDEX(DECKS!$C$2:$C$1201,MATCH(K60,DECKS!$B$2:$B$1201,0)),TRIM(I60&amp;"")))</f>
        <v/>
      </c>
      <c r="E60" s="4"/>
      <c r="F60" s="12"/>
      <c r="G60" s="4"/>
      <c r="H60" s="13" t="str">
        <f aca="false">IF(OR(N(C60)=0,N(F60)=0),"",C60*F60)</f>
        <v/>
      </c>
      <c r="I60" s="4"/>
      <c r="J60" s="11" t="str">
        <f aca="false">IF(K60="","",IF(N(C60)&lt;=0,"Informe a quantidade",IF(IFERROR(INDEX(INVENTÁRIO!$B$2:$B$801,MATCH(K60,INVENTÁRIO!$A$2:$A$801,0)),"")="(sem nome)","Carta fora dos decks: digite o nome na coluna I (opcional)","")))</f>
        <v/>
      </c>
      <c r="K60" s="11" t="str">
        <f aca="false">UPPER(TRIM(SUBSTITUTE(B60&amp;"",CHAR(160)," ")))</f>
        <v/>
      </c>
      <c r="L60" s="11" t="str">
        <f aca="false">IF(AND(K60&lt;&gt;"",TRIM(I60&amp;"")&lt;&gt;""),K60,"")</f>
        <v/>
      </c>
    </row>
    <row r="61" customFormat="false" ht="15" hidden="false" customHeight="false" outlineLevel="0" collapsed="false">
      <c r="A61" s="9"/>
      <c r="B61" s="4"/>
      <c r="C61" s="10"/>
      <c r="D61" s="11" t="str">
        <f aca="false">IF(K61="","",IFERROR(INDEX(DECKS!$C$2:$C$1201,MATCH(K61,DECKS!$B$2:$B$1201,0)),TRIM(I61&amp;"")))</f>
        <v/>
      </c>
      <c r="E61" s="4"/>
      <c r="F61" s="12"/>
      <c r="G61" s="4"/>
      <c r="H61" s="13" t="str">
        <f aca="false">IF(OR(N(C61)=0,N(F61)=0),"",C61*F61)</f>
        <v/>
      </c>
      <c r="I61" s="4"/>
      <c r="J61" s="11" t="str">
        <f aca="false">IF(K61="","",IF(N(C61)&lt;=0,"Informe a quantidade",IF(IFERROR(INDEX(INVENTÁRIO!$B$2:$B$801,MATCH(K61,INVENTÁRIO!$A$2:$A$801,0)),"")="(sem nome)","Carta fora dos decks: digite o nome na coluna I (opcional)","")))</f>
        <v/>
      </c>
      <c r="K61" s="11" t="str">
        <f aca="false">UPPER(TRIM(SUBSTITUTE(B61&amp;"",CHAR(160)," ")))</f>
        <v/>
      </c>
      <c r="L61" s="11" t="str">
        <f aca="false">IF(AND(K61&lt;&gt;"",TRIM(I61&amp;"")&lt;&gt;""),K61,"")</f>
        <v/>
      </c>
    </row>
    <row r="62" customFormat="false" ht="15" hidden="false" customHeight="false" outlineLevel="0" collapsed="false">
      <c r="A62" s="9"/>
      <c r="B62" s="4"/>
      <c r="C62" s="10"/>
      <c r="D62" s="11" t="str">
        <f aca="false">IF(K62="","",IFERROR(INDEX(DECKS!$C$2:$C$1201,MATCH(K62,DECKS!$B$2:$B$1201,0)),TRIM(I62&amp;"")))</f>
        <v/>
      </c>
      <c r="E62" s="4"/>
      <c r="F62" s="12"/>
      <c r="G62" s="4"/>
      <c r="H62" s="13" t="str">
        <f aca="false">IF(OR(N(C62)=0,N(F62)=0),"",C62*F62)</f>
        <v/>
      </c>
      <c r="I62" s="4"/>
      <c r="J62" s="11" t="str">
        <f aca="false">IF(K62="","",IF(N(C62)&lt;=0,"Informe a quantidade",IF(IFERROR(INDEX(INVENTÁRIO!$B$2:$B$801,MATCH(K62,INVENTÁRIO!$A$2:$A$801,0)),"")="(sem nome)","Carta fora dos decks: digite o nome na coluna I (opcional)","")))</f>
        <v/>
      </c>
      <c r="K62" s="11" t="str">
        <f aca="false">UPPER(TRIM(SUBSTITUTE(B62&amp;"",CHAR(160)," ")))</f>
        <v/>
      </c>
      <c r="L62" s="11" t="str">
        <f aca="false">IF(AND(K62&lt;&gt;"",TRIM(I62&amp;"")&lt;&gt;""),K62,"")</f>
        <v/>
      </c>
    </row>
    <row r="63" customFormat="false" ht="15" hidden="false" customHeight="false" outlineLevel="0" collapsed="false">
      <c r="A63" s="9"/>
      <c r="B63" s="4"/>
      <c r="C63" s="10"/>
      <c r="D63" s="11" t="str">
        <f aca="false">IF(K63="","",IFERROR(INDEX(DECKS!$C$2:$C$1201,MATCH(K63,DECKS!$B$2:$B$1201,0)),TRIM(I63&amp;"")))</f>
        <v/>
      </c>
      <c r="E63" s="4"/>
      <c r="F63" s="12"/>
      <c r="G63" s="4"/>
      <c r="H63" s="13" t="str">
        <f aca="false">IF(OR(N(C63)=0,N(F63)=0),"",C63*F63)</f>
        <v/>
      </c>
      <c r="I63" s="4"/>
      <c r="J63" s="11" t="str">
        <f aca="false">IF(K63="","",IF(N(C63)&lt;=0,"Informe a quantidade",IF(IFERROR(INDEX(INVENTÁRIO!$B$2:$B$801,MATCH(K63,INVENTÁRIO!$A$2:$A$801,0)),"")="(sem nome)","Carta fora dos decks: digite o nome na coluna I (opcional)","")))</f>
        <v/>
      </c>
      <c r="K63" s="11" t="str">
        <f aca="false">UPPER(TRIM(SUBSTITUTE(B63&amp;"",CHAR(160)," ")))</f>
        <v/>
      </c>
      <c r="L63" s="11" t="str">
        <f aca="false">IF(AND(K63&lt;&gt;"",TRIM(I63&amp;"")&lt;&gt;""),K63,"")</f>
        <v/>
      </c>
    </row>
    <row r="64" customFormat="false" ht="15" hidden="false" customHeight="false" outlineLevel="0" collapsed="false">
      <c r="A64" s="9"/>
      <c r="B64" s="4"/>
      <c r="C64" s="10"/>
      <c r="D64" s="11" t="str">
        <f aca="false">IF(K64="","",IFERROR(INDEX(DECKS!$C$2:$C$1201,MATCH(K64,DECKS!$B$2:$B$1201,0)),TRIM(I64&amp;"")))</f>
        <v/>
      </c>
      <c r="E64" s="4"/>
      <c r="F64" s="12"/>
      <c r="G64" s="4"/>
      <c r="H64" s="13" t="str">
        <f aca="false">IF(OR(N(C64)=0,N(F64)=0),"",C64*F64)</f>
        <v/>
      </c>
      <c r="I64" s="4"/>
      <c r="J64" s="11" t="str">
        <f aca="false">IF(K64="","",IF(N(C64)&lt;=0,"Informe a quantidade",IF(IFERROR(INDEX(INVENTÁRIO!$B$2:$B$801,MATCH(K64,INVENTÁRIO!$A$2:$A$801,0)),"")="(sem nome)","Carta fora dos decks: digite o nome na coluna I (opcional)","")))</f>
        <v/>
      </c>
      <c r="K64" s="11" t="str">
        <f aca="false">UPPER(TRIM(SUBSTITUTE(B64&amp;"",CHAR(160)," ")))</f>
        <v/>
      </c>
      <c r="L64" s="11" t="str">
        <f aca="false">IF(AND(K64&lt;&gt;"",TRIM(I64&amp;"")&lt;&gt;""),K64,"")</f>
        <v/>
      </c>
    </row>
    <row r="65" customFormat="false" ht="15" hidden="false" customHeight="false" outlineLevel="0" collapsed="false">
      <c r="A65" s="9"/>
      <c r="B65" s="4"/>
      <c r="C65" s="10"/>
      <c r="D65" s="11" t="str">
        <f aca="false">IF(K65="","",IFERROR(INDEX(DECKS!$C$2:$C$1201,MATCH(K65,DECKS!$B$2:$B$1201,0)),TRIM(I65&amp;"")))</f>
        <v/>
      </c>
      <c r="E65" s="4"/>
      <c r="F65" s="12"/>
      <c r="G65" s="4"/>
      <c r="H65" s="13" t="str">
        <f aca="false">IF(OR(N(C65)=0,N(F65)=0),"",C65*F65)</f>
        <v/>
      </c>
      <c r="I65" s="4"/>
      <c r="J65" s="11" t="str">
        <f aca="false">IF(K65="","",IF(N(C65)&lt;=0,"Informe a quantidade",IF(IFERROR(INDEX(INVENTÁRIO!$B$2:$B$801,MATCH(K65,INVENTÁRIO!$A$2:$A$801,0)),"")="(sem nome)","Carta fora dos decks: digite o nome na coluna I (opcional)","")))</f>
        <v/>
      </c>
      <c r="K65" s="11" t="str">
        <f aca="false">UPPER(TRIM(SUBSTITUTE(B65&amp;"",CHAR(160)," ")))</f>
        <v/>
      </c>
      <c r="L65" s="11" t="str">
        <f aca="false">IF(AND(K65&lt;&gt;"",TRIM(I65&amp;"")&lt;&gt;""),K65,"")</f>
        <v/>
      </c>
    </row>
    <row r="66" customFormat="false" ht="15" hidden="false" customHeight="false" outlineLevel="0" collapsed="false">
      <c r="A66" s="9"/>
      <c r="B66" s="4"/>
      <c r="C66" s="10"/>
      <c r="D66" s="11" t="str">
        <f aca="false">IF(K66="","",IFERROR(INDEX(DECKS!$C$2:$C$1201,MATCH(K66,DECKS!$B$2:$B$1201,0)),TRIM(I66&amp;"")))</f>
        <v/>
      </c>
      <c r="E66" s="4"/>
      <c r="F66" s="12"/>
      <c r="G66" s="4"/>
      <c r="H66" s="13" t="str">
        <f aca="false">IF(OR(N(C66)=0,N(F66)=0),"",C66*F66)</f>
        <v/>
      </c>
      <c r="I66" s="4"/>
      <c r="J66" s="11" t="str">
        <f aca="false">IF(K66="","",IF(N(C66)&lt;=0,"Informe a quantidade",IF(IFERROR(INDEX(INVENTÁRIO!$B$2:$B$801,MATCH(K66,INVENTÁRIO!$A$2:$A$801,0)),"")="(sem nome)","Carta fora dos decks: digite o nome na coluna I (opcional)","")))</f>
        <v/>
      </c>
      <c r="K66" s="11" t="str">
        <f aca="false">UPPER(TRIM(SUBSTITUTE(B66&amp;"",CHAR(160)," ")))</f>
        <v/>
      </c>
      <c r="L66" s="11" t="str">
        <f aca="false">IF(AND(K66&lt;&gt;"",TRIM(I66&amp;"")&lt;&gt;""),K66,"")</f>
        <v/>
      </c>
    </row>
    <row r="67" customFormat="false" ht="15" hidden="false" customHeight="false" outlineLevel="0" collapsed="false">
      <c r="A67" s="9"/>
      <c r="B67" s="4"/>
      <c r="C67" s="10"/>
      <c r="D67" s="11" t="str">
        <f aca="false">IF(K67="","",IFERROR(INDEX(DECKS!$C$2:$C$1201,MATCH(K67,DECKS!$B$2:$B$1201,0)),TRIM(I67&amp;"")))</f>
        <v/>
      </c>
      <c r="E67" s="4"/>
      <c r="F67" s="12"/>
      <c r="G67" s="4"/>
      <c r="H67" s="13" t="str">
        <f aca="false">IF(OR(N(C67)=0,N(F67)=0),"",C67*F67)</f>
        <v/>
      </c>
      <c r="I67" s="4"/>
      <c r="J67" s="11" t="str">
        <f aca="false">IF(K67="","",IF(N(C67)&lt;=0,"Informe a quantidade",IF(IFERROR(INDEX(INVENTÁRIO!$B$2:$B$801,MATCH(K67,INVENTÁRIO!$A$2:$A$801,0)),"")="(sem nome)","Carta fora dos decks: digite o nome na coluna I (opcional)","")))</f>
        <v/>
      </c>
      <c r="K67" s="11" t="str">
        <f aca="false">UPPER(TRIM(SUBSTITUTE(B67&amp;"",CHAR(160)," ")))</f>
        <v/>
      </c>
      <c r="L67" s="11" t="str">
        <f aca="false">IF(AND(K67&lt;&gt;"",TRIM(I67&amp;"")&lt;&gt;""),K67,"")</f>
        <v/>
      </c>
    </row>
    <row r="68" customFormat="false" ht="15" hidden="false" customHeight="false" outlineLevel="0" collapsed="false">
      <c r="A68" s="9"/>
      <c r="B68" s="4"/>
      <c r="C68" s="10"/>
      <c r="D68" s="11" t="str">
        <f aca="false">IF(K68="","",IFERROR(INDEX(DECKS!$C$2:$C$1201,MATCH(K68,DECKS!$B$2:$B$1201,0)),TRIM(I68&amp;"")))</f>
        <v/>
      </c>
      <c r="E68" s="4"/>
      <c r="F68" s="12"/>
      <c r="G68" s="4"/>
      <c r="H68" s="13" t="str">
        <f aca="false">IF(OR(N(C68)=0,N(F68)=0),"",C68*F68)</f>
        <v/>
      </c>
      <c r="I68" s="4"/>
      <c r="J68" s="11" t="str">
        <f aca="false">IF(K68="","",IF(N(C68)&lt;=0,"Informe a quantidade",IF(IFERROR(INDEX(INVENTÁRIO!$B$2:$B$801,MATCH(K68,INVENTÁRIO!$A$2:$A$801,0)),"")="(sem nome)","Carta fora dos decks: digite o nome na coluna I (opcional)","")))</f>
        <v/>
      </c>
      <c r="K68" s="11" t="str">
        <f aca="false">UPPER(TRIM(SUBSTITUTE(B68&amp;"",CHAR(160)," ")))</f>
        <v/>
      </c>
      <c r="L68" s="11" t="str">
        <f aca="false">IF(AND(K68&lt;&gt;"",TRIM(I68&amp;"")&lt;&gt;""),K68,"")</f>
        <v/>
      </c>
    </row>
    <row r="69" customFormat="false" ht="15" hidden="false" customHeight="false" outlineLevel="0" collapsed="false">
      <c r="A69" s="9"/>
      <c r="B69" s="4"/>
      <c r="C69" s="10"/>
      <c r="D69" s="11" t="str">
        <f aca="false">IF(K69="","",IFERROR(INDEX(DECKS!$C$2:$C$1201,MATCH(K69,DECKS!$B$2:$B$1201,0)),TRIM(I69&amp;"")))</f>
        <v/>
      </c>
      <c r="E69" s="4"/>
      <c r="F69" s="12"/>
      <c r="G69" s="4"/>
      <c r="H69" s="13" t="str">
        <f aca="false">IF(OR(N(C69)=0,N(F69)=0),"",C69*F69)</f>
        <v/>
      </c>
      <c r="I69" s="4"/>
      <c r="J69" s="11" t="str">
        <f aca="false">IF(K69="","",IF(N(C69)&lt;=0,"Informe a quantidade",IF(IFERROR(INDEX(INVENTÁRIO!$B$2:$B$801,MATCH(K69,INVENTÁRIO!$A$2:$A$801,0)),"")="(sem nome)","Carta fora dos decks: digite o nome na coluna I (opcional)","")))</f>
        <v/>
      </c>
      <c r="K69" s="11" t="str">
        <f aca="false">UPPER(TRIM(SUBSTITUTE(B69&amp;"",CHAR(160)," ")))</f>
        <v/>
      </c>
      <c r="L69" s="11" t="str">
        <f aca="false">IF(AND(K69&lt;&gt;"",TRIM(I69&amp;"")&lt;&gt;""),K69,"")</f>
        <v/>
      </c>
    </row>
    <row r="70" customFormat="false" ht="15" hidden="false" customHeight="false" outlineLevel="0" collapsed="false">
      <c r="A70" s="9"/>
      <c r="B70" s="4"/>
      <c r="C70" s="10"/>
      <c r="D70" s="11" t="str">
        <f aca="false">IF(K70="","",IFERROR(INDEX(DECKS!$C$2:$C$1201,MATCH(K70,DECKS!$B$2:$B$1201,0)),TRIM(I70&amp;"")))</f>
        <v/>
      </c>
      <c r="E70" s="4"/>
      <c r="F70" s="12"/>
      <c r="G70" s="4"/>
      <c r="H70" s="13" t="str">
        <f aca="false">IF(OR(N(C70)=0,N(F70)=0),"",C70*F70)</f>
        <v/>
      </c>
      <c r="I70" s="4"/>
      <c r="J70" s="11" t="str">
        <f aca="false">IF(K70="","",IF(N(C70)&lt;=0,"Informe a quantidade",IF(IFERROR(INDEX(INVENTÁRIO!$B$2:$B$801,MATCH(K70,INVENTÁRIO!$A$2:$A$801,0)),"")="(sem nome)","Carta fora dos decks: digite o nome na coluna I (opcional)","")))</f>
        <v/>
      </c>
      <c r="K70" s="11" t="str">
        <f aca="false">UPPER(TRIM(SUBSTITUTE(B70&amp;"",CHAR(160)," ")))</f>
        <v/>
      </c>
      <c r="L70" s="11" t="str">
        <f aca="false">IF(AND(K70&lt;&gt;"",TRIM(I70&amp;"")&lt;&gt;""),K70,"")</f>
        <v/>
      </c>
    </row>
    <row r="71" customFormat="false" ht="15" hidden="false" customHeight="false" outlineLevel="0" collapsed="false">
      <c r="A71" s="9"/>
      <c r="B71" s="4"/>
      <c r="C71" s="10"/>
      <c r="D71" s="11" t="str">
        <f aca="false">IF(K71="","",IFERROR(INDEX(DECKS!$C$2:$C$1201,MATCH(K71,DECKS!$B$2:$B$1201,0)),TRIM(I71&amp;"")))</f>
        <v/>
      </c>
      <c r="E71" s="4"/>
      <c r="F71" s="12"/>
      <c r="G71" s="4"/>
      <c r="H71" s="13" t="str">
        <f aca="false">IF(OR(N(C71)=0,N(F71)=0),"",C71*F71)</f>
        <v/>
      </c>
      <c r="I71" s="4"/>
      <c r="J71" s="11" t="str">
        <f aca="false">IF(K71="","",IF(N(C71)&lt;=0,"Informe a quantidade",IF(IFERROR(INDEX(INVENTÁRIO!$B$2:$B$801,MATCH(K71,INVENTÁRIO!$A$2:$A$801,0)),"")="(sem nome)","Carta fora dos decks: digite o nome na coluna I (opcional)","")))</f>
        <v/>
      </c>
      <c r="K71" s="11" t="str">
        <f aca="false">UPPER(TRIM(SUBSTITUTE(B71&amp;"",CHAR(160)," ")))</f>
        <v/>
      </c>
      <c r="L71" s="11" t="str">
        <f aca="false">IF(AND(K71&lt;&gt;"",TRIM(I71&amp;"")&lt;&gt;""),K71,"")</f>
        <v/>
      </c>
    </row>
    <row r="72" customFormat="false" ht="15" hidden="false" customHeight="false" outlineLevel="0" collapsed="false">
      <c r="A72" s="9"/>
      <c r="B72" s="4"/>
      <c r="C72" s="10"/>
      <c r="D72" s="11" t="str">
        <f aca="false">IF(K72="","",IFERROR(INDEX(DECKS!$C$2:$C$1201,MATCH(K72,DECKS!$B$2:$B$1201,0)),TRIM(I72&amp;"")))</f>
        <v/>
      </c>
      <c r="E72" s="4"/>
      <c r="F72" s="12"/>
      <c r="G72" s="4"/>
      <c r="H72" s="13" t="str">
        <f aca="false">IF(OR(N(C72)=0,N(F72)=0),"",C72*F72)</f>
        <v/>
      </c>
      <c r="I72" s="4"/>
      <c r="J72" s="11" t="str">
        <f aca="false">IF(K72="","",IF(N(C72)&lt;=0,"Informe a quantidade",IF(IFERROR(INDEX(INVENTÁRIO!$B$2:$B$801,MATCH(K72,INVENTÁRIO!$A$2:$A$801,0)),"")="(sem nome)","Carta fora dos decks: digite o nome na coluna I (opcional)","")))</f>
        <v/>
      </c>
      <c r="K72" s="11" t="str">
        <f aca="false">UPPER(TRIM(SUBSTITUTE(B72&amp;"",CHAR(160)," ")))</f>
        <v/>
      </c>
      <c r="L72" s="11" t="str">
        <f aca="false">IF(AND(K72&lt;&gt;"",TRIM(I72&amp;"")&lt;&gt;""),K72,"")</f>
        <v/>
      </c>
    </row>
    <row r="73" customFormat="false" ht="15" hidden="false" customHeight="false" outlineLevel="0" collapsed="false">
      <c r="A73" s="9"/>
      <c r="B73" s="4"/>
      <c r="C73" s="10"/>
      <c r="D73" s="11" t="str">
        <f aca="false">IF(K73="","",IFERROR(INDEX(DECKS!$C$2:$C$1201,MATCH(K73,DECKS!$B$2:$B$1201,0)),TRIM(I73&amp;"")))</f>
        <v/>
      </c>
      <c r="E73" s="4"/>
      <c r="F73" s="12"/>
      <c r="G73" s="4"/>
      <c r="H73" s="13" t="str">
        <f aca="false">IF(OR(N(C73)=0,N(F73)=0),"",C73*F73)</f>
        <v/>
      </c>
      <c r="I73" s="4"/>
      <c r="J73" s="11" t="str">
        <f aca="false">IF(K73="","",IF(N(C73)&lt;=0,"Informe a quantidade",IF(IFERROR(INDEX(INVENTÁRIO!$B$2:$B$801,MATCH(K73,INVENTÁRIO!$A$2:$A$801,0)),"")="(sem nome)","Carta fora dos decks: digite o nome na coluna I (opcional)","")))</f>
        <v/>
      </c>
      <c r="K73" s="11" t="str">
        <f aca="false">UPPER(TRIM(SUBSTITUTE(B73&amp;"",CHAR(160)," ")))</f>
        <v/>
      </c>
      <c r="L73" s="11" t="str">
        <f aca="false">IF(AND(K73&lt;&gt;"",TRIM(I73&amp;"")&lt;&gt;""),K73,"")</f>
        <v/>
      </c>
    </row>
    <row r="74" customFormat="false" ht="15" hidden="false" customHeight="false" outlineLevel="0" collapsed="false">
      <c r="A74" s="9"/>
      <c r="B74" s="4"/>
      <c r="C74" s="10"/>
      <c r="D74" s="11" t="str">
        <f aca="false">IF(K74="","",IFERROR(INDEX(DECKS!$C$2:$C$1201,MATCH(K74,DECKS!$B$2:$B$1201,0)),TRIM(I74&amp;"")))</f>
        <v/>
      </c>
      <c r="E74" s="4"/>
      <c r="F74" s="12"/>
      <c r="G74" s="4"/>
      <c r="H74" s="13" t="str">
        <f aca="false">IF(OR(N(C74)=0,N(F74)=0),"",C74*F74)</f>
        <v/>
      </c>
      <c r="I74" s="4"/>
      <c r="J74" s="11" t="str">
        <f aca="false">IF(K74="","",IF(N(C74)&lt;=0,"Informe a quantidade",IF(IFERROR(INDEX(INVENTÁRIO!$B$2:$B$801,MATCH(K74,INVENTÁRIO!$A$2:$A$801,0)),"")="(sem nome)","Carta fora dos decks: digite o nome na coluna I (opcional)","")))</f>
        <v/>
      </c>
      <c r="K74" s="11" t="str">
        <f aca="false">UPPER(TRIM(SUBSTITUTE(B74&amp;"",CHAR(160)," ")))</f>
        <v/>
      </c>
      <c r="L74" s="11" t="str">
        <f aca="false">IF(AND(K74&lt;&gt;"",TRIM(I74&amp;"")&lt;&gt;""),K74,"")</f>
        <v/>
      </c>
    </row>
    <row r="75" customFormat="false" ht="15" hidden="false" customHeight="false" outlineLevel="0" collapsed="false">
      <c r="A75" s="9"/>
      <c r="B75" s="4"/>
      <c r="C75" s="10"/>
      <c r="D75" s="11" t="str">
        <f aca="false">IF(K75="","",IFERROR(INDEX(DECKS!$C$2:$C$1201,MATCH(K75,DECKS!$B$2:$B$1201,0)),TRIM(I75&amp;"")))</f>
        <v/>
      </c>
      <c r="E75" s="4"/>
      <c r="F75" s="12"/>
      <c r="G75" s="4"/>
      <c r="H75" s="13" t="str">
        <f aca="false">IF(OR(N(C75)=0,N(F75)=0),"",C75*F75)</f>
        <v/>
      </c>
      <c r="I75" s="4"/>
      <c r="J75" s="11" t="str">
        <f aca="false">IF(K75="","",IF(N(C75)&lt;=0,"Informe a quantidade",IF(IFERROR(INDEX(INVENTÁRIO!$B$2:$B$801,MATCH(K75,INVENTÁRIO!$A$2:$A$801,0)),"")="(sem nome)","Carta fora dos decks: digite o nome na coluna I (opcional)","")))</f>
        <v/>
      </c>
      <c r="K75" s="11" t="str">
        <f aca="false">UPPER(TRIM(SUBSTITUTE(B75&amp;"",CHAR(160)," ")))</f>
        <v/>
      </c>
      <c r="L75" s="11" t="str">
        <f aca="false">IF(AND(K75&lt;&gt;"",TRIM(I75&amp;"")&lt;&gt;""),K75,"")</f>
        <v/>
      </c>
    </row>
    <row r="76" customFormat="false" ht="15" hidden="false" customHeight="false" outlineLevel="0" collapsed="false">
      <c r="A76" s="9"/>
      <c r="B76" s="4"/>
      <c r="C76" s="10"/>
      <c r="D76" s="11" t="str">
        <f aca="false">IF(K76="","",IFERROR(INDEX(DECKS!$C$2:$C$1201,MATCH(K76,DECKS!$B$2:$B$1201,0)),TRIM(I76&amp;"")))</f>
        <v/>
      </c>
      <c r="E76" s="4"/>
      <c r="F76" s="12"/>
      <c r="G76" s="4"/>
      <c r="H76" s="13" t="str">
        <f aca="false">IF(OR(N(C76)=0,N(F76)=0),"",C76*F76)</f>
        <v/>
      </c>
      <c r="I76" s="4"/>
      <c r="J76" s="11" t="str">
        <f aca="false">IF(K76="","",IF(N(C76)&lt;=0,"Informe a quantidade",IF(IFERROR(INDEX(INVENTÁRIO!$B$2:$B$801,MATCH(K76,INVENTÁRIO!$A$2:$A$801,0)),"")="(sem nome)","Carta fora dos decks: digite o nome na coluna I (opcional)","")))</f>
        <v/>
      </c>
      <c r="K76" s="11" t="str">
        <f aca="false">UPPER(TRIM(SUBSTITUTE(B76&amp;"",CHAR(160)," ")))</f>
        <v/>
      </c>
      <c r="L76" s="11" t="str">
        <f aca="false">IF(AND(K76&lt;&gt;"",TRIM(I76&amp;"")&lt;&gt;""),K76,"")</f>
        <v/>
      </c>
    </row>
    <row r="77" customFormat="false" ht="15" hidden="false" customHeight="false" outlineLevel="0" collapsed="false">
      <c r="A77" s="9"/>
      <c r="B77" s="4"/>
      <c r="C77" s="10"/>
      <c r="D77" s="11" t="str">
        <f aca="false">IF(K77="","",IFERROR(INDEX(DECKS!$C$2:$C$1201,MATCH(K77,DECKS!$B$2:$B$1201,0)),TRIM(I77&amp;"")))</f>
        <v/>
      </c>
      <c r="E77" s="4"/>
      <c r="F77" s="12"/>
      <c r="G77" s="4"/>
      <c r="H77" s="13" t="str">
        <f aca="false">IF(OR(N(C77)=0,N(F77)=0),"",C77*F77)</f>
        <v/>
      </c>
      <c r="I77" s="4"/>
      <c r="J77" s="11" t="str">
        <f aca="false">IF(K77="","",IF(N(C77)&lt;=0,"Informe a quantidade",IF(IFERROR(INDEX(INVENTÁRIO!$B$2:$B$801,MATCH(K77,INVENTÁRIO!$A$2:$A$801,0)),"")="(sem nome)","Carta fora dos decks: digite o nome na coluna I (opcional)","")))</f>
        <v/>
      </c>
      <c r="K77" s="11" t="str">
        <f aca="false">UPPER(TRIM(SUBSTITUTE(B77&amp;"",CHAR(160)," ")))</f>
        <v/>
      </c>
      <c r="L77" s="11" t="str">
        <f aca="false">IF(AND(K77&lt;&gt;"",TRIM(I77&amp;"")&lt;&gt;""),K77,"")</f>
        <v/>
      </c>
    </row>
    <row r="78" customFormat="false" ht="15" hidden="false" customHeight="false" outlineLevel="0" collapsed="false">
      <c r="A78" s="9"/>
      <c r="B78" s="4"/>
      <c r="C78" s="10"/>
      <c r="D78" s="11" t="str">
        <f aca="false">IF(K78="","",IFERROR(INDEX(DECKS!$C$2:$C$1201,MATCH(K78,DECKS!$B$2:$B$1201,0)),TRIM(I78&amp;"")))</f>
        <v/>
      </c>
      <c r="E78" s="4"/>
      <c r="F78" s="12"/>
      <c r="G78" s="4"/>
      <c r="H78" s="13" t="str">
        <f aca="false">IF(OR(N(C78)=0,N(F78)=0),"",C78*F78)</f>
        <v/>
      </c>
      <c r="I78" s="4"/>
      <c r="J78" s="11" t="str">
        <f aca="false">IF(K78="","",IF(N(C78)&lt;=0,"Informe a quantidade",IF(IFERROR(INDEX(INVENTÁRIO!$B$2:$B$801,MATCH(K78,INVENTÁRIO!$A$2:$A$801,0)),"")="(sem nome)","Carta fora dos decks: digite o nome na coluna I (opcional)","")))</f>
        <v/>
      </c>
      <c r="K78" s="11" t="str">
        <f aca="false">UPPER(TRIM(SUBSTITUTE(B78&amp;"",CHAR(160)," ")))</f>
        <v/>
      </c>
      <c r="L78" s="11" t="str">
        <f aca="false">IF(AND(K78&lt;&gt;"",TRIM(I78&amp;"")&lt;&gt;""),K78,"")</f>
        <v/>
      </c>
    </row>
    <row r="79" customFormat="false" ht="15" hidden="false" customHeight="false" outlineLevel="0" collapsed="false">
      <c r="A79" s="9"/>
      <c r="B79" s="4"/>
      <c r="C79" s="10"/>
      <c r="D79" s="11" t="str">
        <f aca="false">IF(K79="","",IFERROR(INDEX(DECKS!$C$2:$C$1201,MATCH(K79,DECKS!$B$2:$B$1201,0)),TRIM(I79&amp;"")))</f>
        <v/>
      </c>
      <c r="E79" s="4"/>
      <c r="F79" s="12"/>
      <c r="G79" s="4"/>
      <c r="H79" s="13" t="str">
        <f aca="false">IF(OR(N(C79)=0,N(F79)=0),"",C79*F79)</f>
        <v/>
      </c>
      <c r="I79" s="4"/>
      <c r="J79" s="11" t="str">
        <f aca="false">IF(K79="","",IF(N(C79)&lt;=0,"Informe a quantidade",IF(IFERROR(INDEX(INVENTÁRIO!$B$2:$B$801,MATCH(K79,INVENTÁRIO!$A$2:$A$801,0)),"")="(sem nome)","Carta fora dos decks: digite o nome na coluna I (opcional)","")))</f>
        <v/>
      </c>
      <c r="K79" s="11" t="str">
        <f aca="false">UPPER(TRIM(SUBSTITUTE(B79&amp;"",CHAR(160)," ")))</f>
        <v/>
      </c>
      <c r="L79" s="11" t="str">
        <f aca="false">IF(AND(K79&lt;&gt;"",TRIM(I79&amp;"")&lt;&gt;""),K79,"")</f>
        <v/>
      </c>
    </row>
    <row r="80" customFormat="false" ht="15" hidden="false" customHeight="false" outlineLevel="0" collapsed="false">
      <c r="A80" s="9"/>
      <c r="B80" s="4"/>
      <c r="C80" s="10"/>
      <c r="D80" s="11" t="str">
        <f aca="false">IF(K80="","",IFERROR(INDEX(DECKS!$C$2:$C$1201,MATCH(K80,DECKS!$B$2:$B$1201,0)),TRIM(I80&amp;"")))</f>
        <v/>
      </c>
      <c r="E80" s="4"/>
      <c r="F80" s="12"/>
      <c r="G80" s="4"/>
      <c r="H80" s="13" t="str">
        <f aca="false">IF(OR(N(C80)=0,N(F80)=0),"",C80*F80)</f>
        <v/>
      </c>
      <c r="I80" s="4"/>
      <c r="J80" s="11" t="str">
        <f aca="false">IF(K80="","",IF(N(C80)&lt;=0,"Informe a quantidade",IF(IFERROR(INDEX(INVENTÁRIO!$B$2:$B$801,MATCH(K80,INVENTÁRIO!$A$2:$A$801,0)),"")="(sem nome)","Carta fora dos decks: digite o nome na coluna I (opcional)","")))</f>
        <v/>
      </c>
      <c r="K80" s="11" t="str">
        <f aca="false">UPPER(TRIM(SUBSTITUTE(B80&amp;"",CHAR(160)," ")))</f>
        <v/>
      </c>
      <c r="L80" s="11" t="str">
        <f aca="false">IF(AND(K80&lt;&gt;"",TRIM(I80&amp;"")&lt;&gt;""),K80,"")</f>
        <v/>
      </c>
    </row>
    <row r="81" customFormat="false" ht="15" hidden="false" customHeight="false" outlineLevel="0" collapsed="false">
      <c r="A81" s="9"/>
      <c r="B81" s="4"/>
      <c r="C81" s="10"/>
      <c r="D81" s="11" t="str">
        <f aca="false">IF(K81="","",IFERROR(INDEX(DECKS!$C$2:$C$1201,MATCH(K81,DECKS!$B$2:$B$1201,0)),TRIM(I81&amp;"")))</f>
        <v/>
      </c>
      <c r="E81" s="4"/>
      <c r="F81" s="12"/>
      <c r="G81" s="4"/>
      <c r="H81" s="13" t="str">
        <f aca="false">IF(OR(N(C81)=0,N(F81)=0),"",C81*F81)</f>
        <v/>
      </c>
      <c r="I81" s="4"/>
      <c r="J81" s="11" t="str">
        <f aca="false">IF(K81="","",IF(N(C81)&lt;=0,"Informe a quantidade",IF(IFERROR(INDEX(INVENTÁRIO!$B$2:$B$801,MATCH(K81,INVENTÁRIO!$A$2:$A$801,0)),"")="(sem nome)","Carta fora dos decks: digite o nome na coluna I (opcional)","")))</f>
        <v/>
      </c>
      <c r="K81" s="11" t="str">
        <f aca="false">UPPER(TRIM(SUBSTITUTE(B81&amp;"",CHAR(160)," ")))</f>
        <v/>
      </c>
      <c r="L81" s="11" t="str">
        <f aca="false">IF(AND(K81&lt;&gt;"",TRIM(I81&amp;"")&lt;&gt;""),K81,"")</f>
        <v/>
      </c>
    </row>
    <row r="82" customFormat="false" ht="15" hidden="false" customHeight="false" outlineLevel="0" collapsed="false">
      <c r="A82" s="9"/>
      <c r="B82" s="4"/>
      <c r="C82" s="10"/>
      <c r="D82" s="11" t="str">
        <f aca="false">IF(K82="","",IFERROR(INDEX(DECKS!$C$2:$C$1201,MATCH(K82,DECKS!$B$2:$B$1201,0)),TRIM(I82&amp;"")))</f>
        <v/>
      </c>
      <c r="E82" s="4"/>
      <c r="F82" s="12"/>
      <c r="G82" s="4"/>
      <c r="H82" s="13" t="str">
        <f aca="false">IF(OR(N(C82)=0,N(F82)=0),"",C82*F82)</f>
        <v/>
      </c>
      <c r="I82" s="4"/>
      <c r="J82" s="11" t="str">
        <f aca="false">IF(K82="","",IF(N(C82)&lt;=0,"Informe a quantidade",IF(IFERROR(INDEX(INVENTÁRIO!$B$2:$B$801,MATCH(K82,INVENTÁRIO!$A$2:$A$801,0)),"")="(sem nome)","Carta fora dos decks: digite o nome na coluna I (opcional)","")))</f>
        <v/>
      </c>
      <c r="K82" s="11" t="str">
        <f aca="false">UPPER(TRIM(SUBSTITUTE(B82&amp;"",CHAR(160)," ")))</f>
        <v/>
      </c>
      <c r="L82" s="11" t="str">
        <f aca="false">IF(AND(K82&lt;&gt;"",TRIM(I82&amp;"")&lt;&gt;""),K82,"")</f>
        <v/>
      </c>
    </row>
    <row r="83" customFormat="false" ht="15" hidden="false" customHeight="false" outlineLevel="0" collapsed="false">
      <c r="A83" s="9"/>
      <c r="B83" s="4"/>
      <c r="C83" s="10"/>
      <c r="D83" s="11" t="str">
        <f aca="false">IF(K83="","",IFERROR(INDEX(DECKS!$C$2:$C$1201,MATCH(K83,DECKS!$B$2:$B$1201,0)),TRIM(I83&amp;"")))</f>
        <v/>
      </c>
      <c r="E83" s="4"/>
      <c r="F83" s="12"/>
      <c r="G83" s="4"/>
      <c r="H83" s="13" t="str">
        <f aca="false">IF(OR(N(C83)=0,N(F83)=0),"",C83*F83)</f>
        <v/>
      </c>
      <c r="I83" s="4"/>
      <c r="J83" s="11" t="str">
        <f aca="false">IF(K83="","",IF(N(C83)&lt;=0,"Informe a quantidade",IF(IFERROR(INDEX(INVENTÁRIO!$B$2:$B$801,MATCH(K83,INVENTÁRIO!$A$2:$A$801,0)),"")="(sem nome)","Carta fora dos decks: digite o nome na coluna I (opcional)","")))</f>
        <v/>
      </c>
      <c r="K83" s="11" t="str">
        <f aca="false">UPPER(TRIM(SUBSTITUTE(B83&amp;"",CHAR(160)," ")))</f>
        <v/>
      </c>
      <c r="L83" s="11" t="str">
        <f aca="false">IF(AND(K83&lt;&gt;"",TRIM(I83&amp;"")&lt;&gt;""),K83,"")</f>
        <v/>
      </c>
    </row>
    <row r="84" customFormat="false" ht="15" hidden="false" customHeight="false" outlineLevel="0" collapsed="false">
      <c r="A84" s="9"/>
      <c r="B84" s="4"/>
      <c r="C84" s="10"/>
      <c r="D84" s="11" t="str">
        <f aca="false">IF(K84="","",IFERROR(INDEX(DECKS!$C$2:$C$1201,MATCH(K84,DECKS!$B$2:$B$1201,0)),TRIM(I84&amp;"")))</f>
        <v/>
      </c>
      <c r="E84" s="4"/>
      <c r="F84" s="12"/>
      <c r="G84" s="4"/>
      <c r="H84" s="13" t="str">
        <f aca="false">IF(OR(N(C84)=0,N(F84)=0),"",C84*F84)</f>
        <v/>
      </c>
      <c r="I84" s="4"/>
      <c r="J84" s="11" t="str">
        <f aca="false">IF(K84="","",IF(N(C84)&lt;=0,"Informe a quantidade",IF(IFERROR(INDEX(INVENTÁRIO!$B$2:$B$801,MATCH(K84,INVENTÁRIO!$A$2:$A$801,0)),"")="(sem nome)","Carta fora dos decks: digite o nome na coluna I (opcional)","")))</f>
        <v/>
      </c>
      <c r="K84" s="11" t="str">
        <f aca="false">UPPER(TRIM(SUBSTITUTE(B84&amp;"",CHAR(160)," ")))</f>
        <v/>
      </c>
      <c r="L84" s="11" t="str">
        <f aca="false">IF(AND(K84&lt;&gt;"",TRIM(I84&amp;"")&lt;&gt;""),K84,"")</f>
        <v/>
      </c>
    </row>
    <row r="85" customFormat="false" ht="15" hidden="false" customHeight="false" outlineLevel="0" collapsed="false">
      <c r="A85" s="9"/>
      <c r="B85" s="4"/>
      <c r="C85" s="10"/>
      <c r="D85" s="11" t="str">
        <f aca="false">IF(K85="","",IFERROR(INDEX(DECKS!$C$2:$C$1201,MATCH(K85,DECKS!$B$2:$B$1201,0)),TRIM(I85&amp;"")))</f>
        <v/>
      </c>
      <c r="E85" s="4"/>
      <c r="F85" s="12"/>
      <c r="G85" s="4"/>
      <c r="H85" s="13" t="str">
        <f aca="false">IF(OR(N(C85)=0,N(F85)=0),"",C85*F85)</f>
        <v/>
      </c>
      <c r="I85" s="4"/>
      <c r="J85" s="11" t="str">
        <f aca="false">IF(K85="","",IF(N(C85)&lt;=0,"Informe a quantidade",IF(IFERROR(INDEX(INVENTÁRIO!$B$2:$B$801,MATCH(K85,INVENTÁRIO!$A$2:$A$801,0)),"")="(sem nome)","Carta fora dos decks: digite o nome na coluna I (opcional)","")))</f>
        <v/>
      </c>
      <c r="K85" s="11" t="str">
        <f aca="false">UPPER(TRIM(SUBSTITUTE(B85&amp;"",CHAR(160)," ")))</f>
        <v/>
      </c>
      <c r="L85" s="11" t="str">
        <f aca="false">IF(AND(K85&lt;&gt;"",TRIM(I85&amp;"")&lt;&gt;""),K85,"")</f>
        <v/>
      </c>
    </row>
    <row r="86" customFormat="false" ht="15" hidden="false" customHeight="false" outlineLevel="0" collapsed="false">
      <c r="A86" s="9"/>
      <c r="B86" s="4"/>
      <c r="C86" s="10"/>
      <c r="D86" s="11" t="str">
        <f aca="false">IF(K86="","",IFERROR(INDEX(DECKS!$C$2:$C$1201,MATCH(K86,DECKS!$B$2:$B$1201,0)),TRIM(I86&amp;"")))</f>
        <v/>
      </c>
      <c r="E86" s="4"/>
      <c r="F86" s="12"/>
      <c r="G86" s="4"/>
      <c r="H86" s="13" t="str">
        <f aca="false">IF(OR(N(C86)=0,N(F86)=0),"",C86*F86)</f>
        <v/>
      </c>
      <c r="I86" s="4"/>
      <c r="J86" s="11" t="str">
        <f aca="false">IF(K86="","",IF(N(C86)&lt;=0,"Informe a quantidade",IF(IFERROR(INDEX(INVENTÁRIO!$B$2:$B$801,MATCH(K86,INVENTÁRIO!$A$2:$A$801,0)),"")="(sem nome)","Carta fora dos decks: digite o nome na coluna I (opcional)","")))</f>
        <v/>
      </c>
      <c r="K86" s="11" t="str">
        <f aca="false">UPPER(TRIM(SUBSTITUTE(B86&amp;"",CHAR(160)," ")))</f>
        <v/>
      </c>
      <c r="L86" s="11" t="str">
        <f aca="false">IF(AND(K86&lt;&gt;"",TRIM(I86&amp;"")&lt;&gt;""),K86,"")</f>
        <v/>
      </c>
    </row>
    <row r="87" customFormat="false" ht="15" hidden="false" customHeight="false" outlineLevel="0" collapsed="false">
      <c r="A87" s="9"/>
      <c r="B87" s="4"/>
      <c r="C87" s="10"/>
      <c r="D87" s="11" t="str">
        <f aca="false">IF(K87="","",IFERROR(INDEX(DECKS!$C$2:$C$1201,MATCH(K87,DECKS!$B$2:$B$1201,0)),TRIM(I87&amp;"")))</f>
        <v/>
      </c>
      <c r="E87" s="4"/>
      <c r="F87" s="12"/>
      <c r="G87" s="4"/>
      <c r="H87" s="13" t="str">
        <f aca="false">IF(OR(N(C87)=0,N(F87)=0),"",C87*F87)</f>
        <v/>
      </c>
      <c r="I87" s="4"/>
      <c r="J87" s="11" t="str">
        <f aca="false">IF(K87="","",IF(N(C87)&lt;=0,"Informe a quantidade",IF(IFERROR(INDEX(INVENTÁRIO!$B$2:$B$801,MATCH(K87,INVENTÁRIO!$A$2:$A$801,0)),"")="(sem nome)","Carta fora dos decks: digite o nome na coluna I (opcional)","")))</f>
        <v/>
      </c>
      <c r="K87" s="11" t="str">
        <f aca="false">UPPER(TRIM(SUBSTITUTE(B87&amp;"",CHAR(160)," ")))</f>
        <v/>
      </c>
      <c r="L87" s="11" t="str">
        <f aca="false">IF(AND(K87&lt;&gt;"",TRIM(I87&amp;"")&lt;&gt;""),K87,"")</f>
        <v/>
      </c>
    </row>
    <row r="88" customFormat="false" ht="15" hidden="false" customHeight="false" outlineLevel="0" collapsed="false">
      <c r="A88" s="9"/>
      <c r="B88" s="4"/>
      <c r="C88" s="10"/>
      <c r="D88" s="11" t="str">
        <f aca="false">IF(K88="","",IFERROR(INDEX(DECKS!$C$2:$C$1201,MATCH(K88,DECKS!$B$2:$B$1201,0)),TRIM(I88&amp;"")))</f>
        <v/>
      </c>
      <c r="E88" s="4"/>
      <c r="F88" s="12"/>
      <c r="G88" s="4"/>
      <c r="H88" s="13" t="str">
        <f aca="false">IF(OR(N(C88)=0,N(F88)=0),"",C88*F88)</f>
        <v/>
      </c>
      <c r="I88" s="4"/>
      <c r="J88" s="11" t="str">
        <f aca="false">IF(K88="","",IF(N(C88)&lt;=0,"Informe a quantidade",IF(IFERROR(INDEX(INVENTÁRIO!$B$2:$B$801,MATCH(K88,INVENTÁRIO!$A$2:$A$801,0)),"")="(sem nome)","Carta fora dos decks: digite o nome na coluna I (opcional)","")))</f>
        <v/>
      </c>
      <c r="K88" s="11" t="str">
        <f aca="false">UPPER(TRIM(SUBSTITUTE(B88&amp;"",CHAR(160)," ")))</f>
        <v/>
      </c>
      <c r="L88" s="11" t="str">
        <f aca="false">IF(AND(K88&lt;&gt;"",TRIM(I88&amp;"")&lt;&gt;""),K88,"")</f>
        <v/>
      </c>
    </row>
    <row r="89" customFormat="false" ht="15" hidden="false" customHeight="false" outlineLevel="0" collapsed="false">
      <c r="A89" s="9"/>
      <c r="B89" s="4"/>
      <c r="C89" s="10"/>
      <c r="D89" s="11" t="str">
        <f aca="false">IF(K89="","",IFERROR(INDEX(DECKS!$C$2:$C$1201,MATCH(K89,DECKS!$B$2:$B$1201,0)),TRIM(I89&amp;"")))</f>
        <v/>
      </c>
      <c r="E89" s="4"/>
      <c r="F89" s="12"/>
      <c r="G89" s="4"/>
      <c r="H89" s="13" t="str">
        <f aca="false">IF(OR(N(C89)=0,N(F89)=0),"",C89*F89)</f>
        <v/>
      </c>
      <c r="I89" s="4"/>
      <c r="J89" s="11" t="str">
        <f aca="false">IF(K89="","",IF(N(C89)&lt;=0,"Informe a quantidade",IF(IFERROR(INDEX(INVENTÁRIO!$B$2:$B$801,MATCH(K89,INVENTÁRIO!$A$2:$A$801,0)),"")="(sem nome)","Carta fora dos decks: digite o nome na coluna I (opcional)","")))</f>
        <v/>
      </c>
      <c r="K89" s="11" t="str">
        <f aca="false">UPPER(TRIM(SUBSTITUTE(B89&amp;"",CHAR(160)," ")))</f>
        <v/>
      </c>
      <c r="L89" s="11" t="str">
        <f aca="false">IF(AND(K89&lt;&gt;"",TRIM(I89&amp;"")&lt;&gt;""),K89,"")</f>
        <v/>
      </c>
    </row>
    <row r="90" customFormat="false" ht="15" hidden="false" customHeight="false" outlineLevel="0" collapsed="false">
      <c r="A90" s="9"/>
      <c r="B90" s="4"/>
      <c r="C90" s="10"/>
      <c r="D90" s="11" t="str">
        <f aca="false">IF(K90="","",IFERROR(INDEX(DECKS!$C$2:$C$1201,MATCH(K90,DECKS!$B$2:$B$1201,0)),TRIM(I90&amp;"")))</f>
        <v/>
      </c>
      <c r="E90" s="4"/>
      <c r="F90" s="12"/>
      <c r="G90" s="4"/>
      <c r="H90" s="13" t="str">
        <f aca="false">IF(OR(N(C90)=0,N(F90)=0),"",C90*F90)</f>
        <v/>
      </c>
      <c r="I90" s="4"/>
      <c r="J90" s="11" t="str">
        <f aca="false">IF(K90="","",IF(N(C90)&lt;=0,"Informe a quantidade",IF(IFERROR(INDEX(INVENTÁRIO!$B$2:$B$801,MATCH(K90,INVENTÁRIO!$A$2:$A$801,0)),"")="(sem nome)","Carta fora dos decks: digite o nome na coluna I (opcional)","")))</f>
        <v/>
      </c>
      <c r="K90" s="11" t="str">
        <f aca="false">UPPER(TRIM(SUBSTITUTE(B90&amp;"",CHAR(160)," ")))</f>
        <v/>
      </c>
      <c r="L90" s="11" t="str">
        <f aca="false">IF(AND(K90&lt;&gt;"",TRIM(I90&amp;"")&lt;&gt;""),K90,"")</f>
        <v/>
      </c>
    </row>
    <row r="91" customFormat="false" ht="15" hidden="false" customHeight="false" outlineLevel="0" collapsed="false">
      <c r="A91" s="9"/>
      <c r="B91" s="4"/>
      <c r="C91" s="10"/>
      <c r="D91" s="11" t="str">
        <f aca="false">IF(K91="","",IFERROR(INDEX(DECKS!$C$2:$C$1201,MATCH(K91,DECKS!$B$2:$B$1201,0)),TRIM(I91&amp;"")))</f>
        <v/>
      </c>
      <c r="E91" s="4"/>
      <c r="F91" s="12"/>
      <c r="G91" s="4"/>
      <c r="H91" s="13" t="str">
        <f aca="false">IF(OR(N(C91)=0,N(F91)=0),"",C91*F91)</f>
        <v/>
      </c>
      <c r="I91" s="4"/>
      <c r="J91" s="11" t="str">
        <f aca="false">IF(K91="","",IF(N(C91)&lt;=0,"Informe a quantidade",IF(IFERROR(INDEX(INVENTÁRIO!$B$2:$B$801,MATCH(K91,INVENTÁRIO!$A$2:$A$801,0)),"")="(sem nome)","Carta fora dos decks: digite o nome na coluna I (opcional)","")))</f>
        <v/>
      </c>
      <c r="K91" s="11" t="str">
        <f aca="false">UPPER(TRIM(SUBSTITUTE(B91&amp;"",CHAR(160)," ")))</f>
        <v/>
      </c>
      <c r="L91" s="11" t="str">
        <f aca="false">IF(AND(K91&lt;&gt;"",TRIM(I91&amp;"")&lt;&gt;""),K91,"")</f>
        <v/>
      </c>
    </row>
    <row r="92" customFormat="false" ht="15" hidden="false" customHeight="false" outlineLevel="0" collapsed="false">
      <c r="A92" s="9"/>
      <c r="B92" s="4"/>
      <c r="C92" s="10"/>
      <c r="D92" s="11" t="str">
        <f aca="false">IF(K92="","",IFERROR(INDEX(DECKS!$C$2:$C$1201,MATCH(K92,DECKS!$B$2:$B$1201,0)),TRIM(I92&amp;"")))</f>
        <v/>
      </c>
      <c r="E92" s="4"/>
      <c r="F92" s="12"/>
      <c r="G92" s="4"/>
      <c r="H92" s="13" t="str">
        <f aca="false">IF(OR(N(C92)=0,N(F92)=0),"",C92*F92)</f>
        <v/>
      </c>
      <c r="I92" s="4"/>
      <c r="J92" s="11" t="str">
        <f aca="false">IF(K92="","",IF(N(C92)&lt;=0,"Informe a quantidade",IF(IFERROR(INDEX(INVENTÁRIO!$B$2:$B$801,MATCH(K92,INVENTÁRIO!$A$2:$A$801,0)),"")="(sem nome)","Carta fora dos decks: digite o nome na coluna I (opcional)","")))</f>
        <v/>
      </c>
      <c r="K92" s="11" t="str">
        <f aca="false">UPPER(TRIM(SUBSTITUTE(B92&amp;"",CHAR(160)," ")))</f>
        <v/>
      </c>
      <c r="L92" s="11" t="str">
        <f aca="false">IF(AND(K92&lt;&gt;"",TRIM(I92&amp;"")&lt;&gt;""),K92,"")</f>
        <v/>
      </c>
    </row>
    <row r="93" customFormat="false" ht="15" hidden="false" customHeight="false" outlineLevel="0" collapsed="false">
      <c r="A93" s="9"/>
      <c r="B93" s="4"/>
      <c r="C93" s="10"/>
      <c r="D93" s="11" t="str">
        <f aca="false">IF(K93="","",IFERROR(INDEX(DECKS!$C$2:$C$1201,MATCH(K93,DECKS!$B$2:$B$1201,0)),TRIM(I93&amp;"")))</f>
        <v/>
      </c>
      <c r="E93" s="4"/>
      <c r="F93" s="12"/>
      <c r="G93" s="4"/>
      <c r="H93" s="13" t="str">
        <f aca="false">IF(OR(N(C93)=0,N(F93)=0),"",C93*F93)</f>
        <v/>
      </c>
      <c r="I93" s="4"/>
      <c r="J93" s="11" t="str">
        <f aca="false">IF(K93="","",IF(N(C93)&lt;=0,"Informe a quantidade",IF(IFERROR(INDEX(INVENTÁRIO!$B$2:$B$801,MATCH(K93,INVENTÁRIO!$A$2:$A$801,0)),"")="(sem nome)","Carta fora dos decks: digite o nome na coluna I (opcional)","")))</f>
        <v/>
      </c>
      <c r="K93" s="11" t="str">
        <f aca="false">UPPER(TRIM(SUBSTITUTE(B93&amp;"",CHAR(160)," ")))</f>
        <v/>
      </c>
      <c r="L93" s="11" t="str">
        <f aca="false">IF(AND(K93&lt;&gt;"",TRIM(I93&amp;"")&lt;&gt;""),K93,"")</f>
        <v/>
      </c>
    </row>
    <row r="94" customFormat="false" ht="15" hidden="false" customHeight="false" outlineLevel="0" collapsed="false">
      <c r="A94" s="9"/>
      <c r="B94" s="4"/>
      <c r="C94" s="10"/>
      <c r="D94" s="11" t="str">
        <f aca="false">IF(K94="","",IFERROR(INDEX(DECKS!$C$2:$C$1201,MATCH(K94,DECKS!$B$2:$B$1201,0)),TRIM(I94&amp;"")))</f>
        <v/>
      </c>
      <c r="E94" s="4"/>
      <c r="F94" s="12"/>
      <c r="G94" s="4"/>
      <c r="H94" s="13" t="str">
        <f aca="false">IF(OR(N(C94)=0,N(F94)=0),"",C94*F94)</f>
        <v/>
      </c>
      <c r="I94" s="4"/>
      <c r="J94" s="11" t="str">
        <f aca="false">IF(K94="","",IF(N(C94)&lt;=0,"Informe a quantidade",IF(IFERROR(INDEX(INVENTÁRIO!$B$2:$B$801,MATCH(K94,INVENTÁRIO!$A$2:$A$801,0)),"")="(sem nome)","Carta fora dos decks: digite o nome na coluna I (opcional)","")))</f>
        <v/>
      </c>
      <c r="K94" s="11" t="str">
        <f aca="false">UPPER(TRIM(SUBSTITUTE(B94&amp;"",CHAR(160)," ")))</f>
        <v/>
      </c>
      <c r="L94" s="11" t="str">
        <f aca="false">IF(AND(K94&lt;&gt;"",TRIM(I94&amp;"")&lt;&gt;""),K94,"")</f>
        <v/>
      </c>
    </row>
    <row r="95" customFormat="false" ht="15" hidden="false" customHeight="false" outlineLevel="0" collapsed="false">
      <c r="A95" s="9"/>
      <c r="B95" s="4"/>
      <c r="C95" s="10"/>
      <c r="D95" s="11" t="str">
        <f aca="false">IF(K95="","",IFERROR(INDEX(DECKS!$C$2:$C$1201,MATCH(K95,DECKS!$B$2:$B$1201,0)),TRIM(I95&amp;"")))</f>
        <v/>
      </c>
      <c r="E95" s="4"/>
      <c r="F95" s="12"/>
      <c r="G95" s="4"/>
      <c r="H95" s="13" t="str">
        <f aca="false">IF(OR(N(C95)=0,N(F95)=0),"",C95*F95)</f>
        <v/>
      </c>
      <c r="I95" s="4"/>
      <c r="J95" s="11" t="str">
        <f aca="false">IF(K95="","",IF(N(C95)&lt;=0,"Informe a quantidade",IF(IFERROR(INDEX(INVENTÁRIO!$B$2:$B$801,MATCH(K95,INVENTÁRIO!$A$2:$A$801,0)),"")="(sem nome)","Carta fora dos decks: digite o nome na coluna I (opcional)","")))</f>
        <v/>
      </c>
      <c r="K95" s="11" t="str">
        <f aca="false">UPPER(TRIM(SUBSTITUTE(B95&amp;"",CHAR(160)," ")))</f>
        <v/>
      </c>
      <c r="L95" s="11" t="str">
        <f aca="false">IF(AND(K95&lt;&gt;"",TRIM(I95&amp;"")&lt;&gt;""),K95,"")</f>
        <v/>
      </c>
    </row>
    <row r="96" customFormat="false" ht="15" hidden="false" customHeight="false" outlineLevel="0" collapsed="false">
      <c r="A96" s="9"/>
      <c r="B96" s="4"/>
      <c r="C96" s="10"/>
      <c r="D96" s="11" t="str">
        <f aca="false">IF(K96="","",IFERROR(INDEX(DECKS!$C$2:$C$1201,MATCH(K96,DECKS!$B$2:$B$1201,0)),TRIM(I96&amp;"")))</f>
        <v/>
      </c>
      <c r="E96" s="4"/>
      <c r="F96" s="12"/>
      <c r="G96" s="4"/>
      <c r="H96" s="13" t="str">
        <f aca="false">IF(OR(N(C96)=0,N(F96)=0),"",C96*F96)</f>
        <v/>
      </c>
      <c r="I96" s="4"/>
      <c r="J96" s="11" t="str">
        <f aca="false">IF(K96="","",IF(N(C96)&lt;=0,"Informe a quantidade",IF(IFERROR(INDEX(INVENTÁRIO!$B$2:$B$801,MATCH(K96,INVENTÁRIO!$A$2:$A$801,0)),"")="(sem nome)","Carta fora dos decks: digite o nome na coluna I (opcional)","")))</f>
        <v/>
      </c>
      <c r="K96" s="11" t="str">
        <f aca="false">UPPER(TRIM(SUBSTITUTE(B96&amp;"",CHAR(160)," ")))</f>
        <v/>
      </c>
      <c r="L96" s="11" t="str">
        <f aca="false">IF(AND(K96&lt;&gt;"",TRIM(I96&amp;"")&lt;&gt;""),K96,"")</f>
        <v/>
      </c>
    </row>
    <row r="97" customFormat="false" ht="15" hidden="false" customHeight="false" outlineLevel="0" collapsed="false">
      <c r="A97" s="9"/>
      <c r="B97" s="4"/>
      <c r="C97" s="10"/>
      <c r="D97" s="11" t="str">
        <f aca="false">IF(K97="","",IFERROR(INDEX(DECKS!$C$2:$C$1201,MATCH(K97,DECKS!$B$2:$B$1201,0)),TRIM(I97&amp;"")))</f>
        <v/>
      </c>
      <c r="E97" s="4"/>
      <c r="F97" s="12"/>
      <c r="G97" s="4"/>
      <c r="H97" s="13" t="str">
        <f aca="false">IF(OR(N(C97)=0,N(F97)=0),"",C97*F97)</f>
        <v/>
      </c>
      <c r="I97" s="4"/>
      <c r="J97" s="11" t="str">
        <f aca="false">IF(K97="","",IF(N(C97)&lt;=0,"Informe a quantidade",IF(IFERROR(INDEX(INVENTÁRIO!$B$2:$B$801,MATCH(K97,INVENTÁRIO!$A$2:$A$801,0)),"")="(sem nome)","Carta fora dos decks: digite o nome na coluna I (opcional)","")))</f>
        <v/>
      </c>
      <c r="K97" s="11" t="str">
        <f aca="false">UPPER(TRIM(SUBSTITUTE(B97&amp;"",CHAR(160)," ")))</f>
        <v/>
      </c>
      <c r="L97" s="11" t="str">
        <f aca="false">IF(AND(K97&lt;&gt;"",TRIM(I97&amp;"")&lt;&gt;""),K97,"")</f>
        <v/>
      </c>
    </row>
    <row r="98" customFormat="false" ht="15" hidden="false" customHeight="false" outlineLevel="0" collapsed="false">
      <c r="A98" s="9"/>
      <c r="B98" s="4"/>
      <c r="C98" s="10"/>
      <c r="D98" s="11" t="str">
        <f aca="false">IF(K98="","",IFERROR(INDEX(DECKS!$C$2:$C$1201,MATCH(K98,DECKS!$B$2:$B$1201,0)),TRIM(I98&amp;"")))</f>
        <v/>
      </c>
      <c r="E98" s="4"/>
      <c r="F98" s="12"/>
      <c r="G98" s="4"/>
      <c r="H98" s="13" t="str">
        <f aca="false">IF(OR(N(C98)=0,N(F98)=0),"",C98*F98)</f>
        <v/>
      </c>
      <c r="I98" s="4"/>
      <c r="J98" s="11" t="str">
        <f aca="false">IF(K98="","",IF(N(C98)&lt;=0,"Informe a quantidade",IF(IFERROR(INDEX(INVENTÁRIO!$B$2:$B$801,MATCH(K98,INVENTÁRIO!$A$2:$A$801,0)),"")="(sem nome)","Carta fora dos decks: digite o nome na coluna I (opcional)","")))</f>
        <v/>
      </c>
      <c r="K98" s="11" t="str">
        <f aca="false">UPPER(TRIM(SUBSTITUTE(B98&amp;"",CHAR(160)," ")))</f>
        <v/>
      </c>
      <c r="L98" s="11" t="str">
        <f aca="false">IF(AND(K98&lt;&gt;"",TRIM(I98&amp;"")&lt;&gt;""),K98,"")</f>
        <v/>
      </c>
    </row>
    <row r="99" customFormat="false" ht="15" hidden="false" customHeight="false" outlineLevel="0" collapsed="false">
      <c r="A99" s="9"/>
      <c r="B99" s="4"/>
      <c r="C99" s="10"/>
      <c r="D99" s="11" t="str">
        <f aca="false">IF(K99="","",IFERROR(INDEX(DECKS!$C$2:$C$1201,MATCH(K99,DECKS!$B$2:$B$1201,0)),TRIM(I99&amp;"")))</f>
        <v/>
      </c>
      <c r="E99" s="4"/>
      <c r="F99" s="12"/>
      <c r="G99" s="4"/>
      <c r="H99" s="13" t="str">
        <f aca="false">IF(OR(N(C99)=0,N(F99)=0),"",C99*F99)</f>
        <v/>
      </c>
      <c r="I99" s="4"/>
      <c r="J99" s="11" t="str">
        <f aca="false">IF(K99="","",IF(N(C99)&lt;=0,"Informe a quantidade",IF(IFERROR(INDEX(INVENTÁRIO!$B$2:$B$801,MATCH(K99,INVENTÁRIO!$A$2:$A$801,0)),"")="(sem nome)","Carta fora dos decks: digite o nome na coluna I (opcional)","")))</f>
        <v/>
      </c>
      <c r="K99" s="11" t="str">
        <f aca="false">UPPER(TRIM(SUBSTITUTE(B99&amp;"",CHAR(160)," ")))</f>
        <v/>
      </c>
      <c r="L99" s="11" t="str">
        <f aca="false">IF(AND(K99&lt;&gt;"",TRIM(I99&amp;"")&lt;&gt;""),K99,"")</f>
        <v/>
      </c>
    </row>
    <row r="100" customFormat="false" ht="15" hidden="false" customHeight="false" outlineLevel="0" collapsed="false">
      <c r="A100" s="9"/>
      <c r="B100" s="4"/>
      <c r="C100" s="10"/>
      <c r="D100" s="11" t="str">
        <f aca="false">IF(K100="","",IFERROR(INDEX(DECKS!$C$2:$C$1201,MATCH(K100,DECKS!$B$2:$B$1201,0)),TRIM(I100&amp;"")))</f>
        <v/>
      </c>
      <c r="E100" s="4"/>
      <c r="F100" s="12"/>
      <c r="G100" s="4"/>
      <c r="H100" s="13" t="str">
        <f aca="false">IF(OR(N(C100)=0,N(F100)=0),"",C100*F100)</f>
        <v/>
      </c>
      <c r="I100" s="4"/>
      <c r="J100" s="11" t="str">
        <f aca="false">IF(K100="","",IF(N(C100)&lt;=0,"Informe a quantidade",IF(IFERROR(INDEX(INVENTÁRIO!$B$2:$B$801,MATCH(K100,INVENTÁRIO!$A$2:$A$801,0)),"")="(sem nome)","Carta fora dos decks: digite o nome na coluna I (opcional)","")))</f>
        <v/>
      </c>
      <c r="K100" s="11" t="str">
        <f aca="false">UPPER(TRIM(SUBSTITUTE(B100&amp;"",CHAR(160)," ")))</f>
        <v/>
      </c>
      <c r="L100" s="11" t="str">
        <f aca="false">IF(AND(K100&lt;&gt;"",TRIM(I100&amp;"")&lt;&gt;""),K100,"")</f>
        <v/>
      </c>
    </row>
    <row r="101" customFormat="false" ht="15" hidden="false" customHeight="false" outlineLevel="0" collapsed="false">
      <c r="A101" s="9"/>
      <c r="B101" s="4"/>
      <c r="C101" s="10"/>
      <c r="D101" s="11" t="str">
        <f aca="false">IF(K101="","",IFERROR(INDEX(DECKS!$C$2:$C$1201,MATCH(K101,DECKS!$B$2:$B$1201,0)),TRIM(I101&amp;"")))</f>
        <v/>
      </c>
      <c r="E101" s="4"/>
      <c r="F101" s="12"/>
      <c r="G101" s="4"/>
      <c r="H101" s="13" t="str">
        <f aca="false">IF(OR(N(C101)=0,N(F101)=0),"",C101*F101)</f>
        <v/>
      </c>
      <c r="I101" s="4"/>
      <c r="J101" s="11" t="str">
        <f aca="false">IF(K101="","",IF(N(C101)&lt;=0,"Informe a quantidade",IF(IFERROR(INDEX(INVENTÁRIO!$B$2:$B$801,MATCH(K101,INVENTÁRIO!$A$2:$A$801,0)),"")="(sem nome)","Carta fora dos decks: digite o nome na coluna I (opcional)","")))</f>
        <v/>
      </c>
      <c r="K101" s="11" t="str">
        <f aca="false">UPPER(TRIM(SUBSTITUTE(B101&amp;"",CHAR(160)," ")))</f>
        <v/>
      </c>
      <c r="L101" s="11" t="str">
        <f aca="false">IF(AND(K101&lt;&gt;"",TRIM(I101&amp;"")&lt;&gt;""),K101,"")</f>
        <v/>
      </c>
    </row>
    <row r="102" customFormat="false" ht="15" hidden="false" customHeight="false" outlineLevel="0" collapsed="false">
      <c r="A102" s="9"/>
      <c r="B102" s="4"/>
      <c r="C102" s="10"/>
      <c r="D102" s="11" t="str">
        <f aca="false">IF(K102="","",IFERROR(INDEX(DECKS!$C$2:$C$1201,MATCH(K102,DECKS!$B$2:$B$1201,0)),TRIM(I102&amp;"")))</f>
        <v/>
      </c>
      <c r="E102" s="4"/>
      <c r="F102" s="12"/>
      <c r="G102" s="4"/>
      <c r="H102" s="13" t="str">
        <f aca="false">IF(OR(N(C102)=0,N(F102)=0),"",C102*F102)</f>
        <v/>
      </c>
      <c r="I102" s="4"/>
      <c r="J102" s="11" t="str">
        <f aca="false">IF(K102="","",IF(N(C102)&lt;=0,"Informe a quantidade",IF(IFERROR(INDEX(INVENTÁRIO!$B$2:$B$801,MATCH(K102,INVENTÁRIO!$A$2:$A$801,0)),"")="(sem nome)","Carta fora dos decks: digite o nome na coluna I (opcional)","")))</f>
        <v/>
      </c>
      <c r="K102" s="11" t="str">
        <f aca="false">UPPER(TRIM(SUBSTITUTE(B102&amp;"",CHAR(160)," ")))</f>
        <v/>
      </c>
      <c r="L102" s="11" t="str">
        <f aca="false">IF(AND(K102&lt;&gt;"",TRIM(I102&amp;"")&lt;&gt;""),K102,"")</f>
        <v/>
      </c>
    </row>
    <row r="103" customFormat="false" ht="15" hidden="false" customHeight="false" outlineLevel="0" collapsed="false">
      <c r="A103" s="9"/>
      <c r="B103" s="4"/>
      <c r="C103" s="10"/>
      <c r="D103" s="11" t="str">
        <f aca="false">IF(K103="","",IFERROR(INDEX(DECKS!$C$2:$C$1201,MATCH(K103,DECKS!$B$2:$B$1201,0)),TRIM(I103&amp;"")))</f>
        <v/>
      </c>
      <c r="E103" s="4"/>
      <c r="F103" s="12"/>
      <c r="G103" s="4"/>
      <c r="H103" s="13" t="str">
        <f aca="false">IF(OR(N(C103)=0,N(F103)=0),"",C103*F103)</f>
        <v/>
      </c>
      <c r="I103" s="4"/>
      <c r="J103" s="11" t="str">
        <f aca="false">IF(K103="","",IF(N(C103)&lt;=0,"Informe a quantidade",IF(IFERROR(INDEX(INVENTÁRIO!$B$2:$B$801,MATCH(K103,INVENTÁRIO!$A$2:$A$801,0)),"")="(sem nome)","Carta fora dos decks: digite o nome na coluna I (opcional)","")))</f>
        <v/>
      </c>
      <c r="K103" s="11" t="str">
        <f aca="false">UPPER(TRIM(SUBSTITUTE(B103&amp;"",CHAR(160)," ")))</f>
        <v/>
      </c>
      <c r="L103" s="11" t="str">
        <f aca="false">IF(AND(K103&lt;&gt;"",TRIM(I103&amp;"")&lt;&gt;""),K103,"")</f>
        <v/>
      </c>
    </row>
    <row r="104" customFormat="false" ht="15" hidden="false" customHeight="false" outlineLevel="0" collapsed="false">
      <c r="A104" s="9"/>
      <c r="B104" s="4"/>
      <c r="C104" s="10"/>
      <c r="D104" s="11" t="str">
        <f aca="false">IF(K104="","",IFERROR(INDEX(DECKS!$C$2:$C$1201,MATCH(K104,DECKS!$B$2:$B$1201,0)),TRIM(I104&amp;"")))</f>
        <v/>
      </c>
      <c r="E104" s="4"/>
      <c r="F104" s="12"/>
      <c r="G104" s="4"/>
      <c r="H104" s="13" t="str">
        <f aca="false">IF(OR(N(C104)=0,N(F104)=0),"",C104*F104)</f>
        <v/>
      </c>
      <c r="I104" s="4"/>
      <c r="J104" s="11" t="str">
        <f aca="false">IF(K104="","",IF(N(C104)&lt;=0,"Informe a quantidade",IF(IFERROR(INDEX(INVENTÁRIO!$B$2:$B$801,MATCH(K104,INVENTÁRIO!$A$2:$A$801,0)),"")="(sem nome)","Carta fora dos decks: digite o nome na coluna I (opcional)","")))</f>
        <v/>
      </c>
      <c r="K104" s="11" t="str">
        <f aca="false">UPPER(TRIM(SUBSTITUTE(B104&amp;"",CHAR(160)," ")))</f>
        <v/>
      </c>
      <c r="L104" s="11" t="str">
        <f aca="false">IF(AND(K104&lt;&gt;"",TRIM(I104&amp;"")&lt;&gt;""),K104,"")</f>
        <v/>
      </c>
    </row>
    <row r="105" customFormat="false" ht="15" hidden="false" customHeight="false" outlineLevel="0" collapsed="false">
      <c r="A105" s="9"/>
      <c r="B105" s="4"/>
      <c r="C105" s="10"/>
      <c r="D105" s="11" t="str">
        <f aca="false">IF(K105="","",IFERROR(INDEX(DECKS!$C$2:$C$1201,MATCH(K105,DECKS!$B$2:$B$1201,0)),TRIM(I105&amp;"")))</f>
        <v/>
      </c>
      <c r="E105" s="4"/>
      <c r="F105" s="12"/>
      <c r="G105" s="4"/>
      <c r="H105" s="13" t="str">
        <f aca="false">IF(OR(N(C105)=0,N(F105)=0),"",C105*F105)</f>
        <v/>
      </c>
      <c r="I105" s="4"/>
      <c r="J105" s="11" t="str">
        <f aca="false">IF(K105="","",IF(N(C105)&lt;=0,"Informe a quantidade",IF(IFERROR(INDEX(INVENTÁRIO!$B$2:$B$801,MATCH(K105,INVENTÁRIO!$A$2:$A$801,0)),"")="(sem nome)","Carta fora dos decks: digite o nome na coluna I (opcional)","")))</f>
        <v/>
      </c>
      <c r="K105" s="11" t="str">
        <f aca="false">UPPER(TRIM(SUBSTITUTE(B105&amp;"",CHAR(160)," ")))</f>
        <v/>
      </c>
      <c r="L105" s="11" t="str">
        <f aca="false">IF(AND(K105&lt;&gt;"",TRIM(I105&amp;"")&lt;&gt;""),K105,"")</f>
        <v/>
      </c>
    </row>
    <row r="106" customFormat="false" ht="15" hidden="false" customHeight="false" outlineLevel="0" collapsed="false">
      <c r="A106" s="9"/>
      <c r="B106" s="4"/>
      <c r="C106" s="10"/>
      <c r="D106" s="11" t="str">
        <f aca="false">IF(K106="","",IFERROR(INDEX(DECKS!$C$2:$C$1201,MATCH(K106,DECKS!$B$2:$B$1201,0)),TRIM(I106&amp;"")))</f>
        <v/>
      </c>
      <c r="E106" s="4"/>
      <c r="F106" s="12"/>
      <c r="G106" s="4"/>
      <c r="H106" s="13" t="str">
        <f aca="false">IF(OR(N(C106)=0,N(F106)=0),"",C106*F106)</f>
        <v/>
      </c>
      <c r="I106" s="4"/>
      <c r="J106" s="11" t="str">
        <f aca="false">IF(K106="","",IF(N(C106)&lt;=0,"Informe a quantidade",IF(IFERROR(INDEX(INVENTÁRIO!$B$2:$B$801,MATCH(K106,INVENTÁRIO!$A$2:$A$801,0)),"")="(sem nome)","Carta fora dos decks: digite o nome na coluna I (opcional)","")))</f>
        <v/>
      </c>
      <c r="K106" s="11" t="str">
        <f aca="false">UPPER(TRIM(SUBSTITUTE(B106&amp;"",CHAR(160)," ")))</f>
        <v/>
      </c>
      <c r="L106" s="11" t="str">
        <f aca="false">IF(AND(K106&lt;&gt;"",TRIM(I106&amp;"")&lt;&gt;""),K106,"")</f>
        <v/>
      </c>
    </row>
    <row r="107" customFormat="false" ht="15" hidden="false" customHeight="false" outlineLevel="0" collapsed="false">
      <c r="A107" s="9"/>
      <c r="B107" s="4"/>
      <c r="C107" s="10"/>
      <c r="D107" s="11" t="str">
        <f aca="false">IF(K107="","",IFERROR(INDEX(DECKS!$C$2:$C$1201,MATCH(K107,DECKS!$B$2:$B$1201,0)),TRIM(I107&amp;"")))</f>
        <v/>
      </c>
      <c r="E107" s="4"/>
      <c r="F107" s="12"/>
      <c r="G107" s="4"/>
      <c r="H107" s="13" t="str">
        <f aca="false">IF(OR(N(C107)=0,N(F107)=0),"",C107*F107)</f>
        <v/>
      </c>
      <c r="I107" s="4"/>
      <c r="J107" s="11" t="str">
        <f aca="false">IF(K107="","",IF(N(C107)&lt;=0,"Informe a quantidade",IF(IFERROR(INDEX(INVENTÁRIO!$B$2:$B$801,MATCH(K107,INVENTÁRIO!$A$2:$A$801,0)),"")="(sem nome)","Carta fora dos decks: digite o nome na coluna I (opcional)","")))</f>
        <v/>
      </c>
      <c r="K107" s="11" t="str">
        <f aca="false">UPPER(TRIM(SUBSTITUTE(B107&amp;"",CHAR(160)," ")))</f>
        <v/>
      </c>
      <c r="L107" s="11" t="str">
        <f aca="false">IF(AND(K107&lt;&gt;"",TRIM(I107&amp;"")&lt;&gt;""),K107,"")</f>
        <v/>
      </c>
    </row>
    <row r="108" customFormat="false" ht="15" hidden="false" customHeight="false" outlineLevel="0" collapsed="false">
      <c r="A108" s="9"/>
      <c r="B108" s="4"/>
      <c r="C108" s="10"/>
      <c r="D108" s="11" t="str">
        <f aca="false">IF(K108="","",IFERROR(INDEX(DECKS!$C$2:$C$1201,MATCH(K108,DECKS!$B$2:$B$1201,0)),TRIM(I108&amp;"")))</f>
        <v/>
      </c>
      <c r="E108" s="4"/>
      <c r="F108" s="12"/>
      <c r="G108" s="4"/>
      <c r="H108" s="13" t="str">
        <f aca="false">IF(OR(N(C108)=0,N(F108)=0),"",C108*F108)</f>
        <v/>
      </c>
      <c r="I108" s="4"/>
      <c r="J108" s="11" t="str">
        <f aca="false">IF(K108="","",IF(N(C108)&lt;=0,"Informe a quantidade",IF(IFERROR(INDEX(INVENTÁRIO!$B$2:$B$801,MATCH(K108,INVENTÁRIO!$A$2:$A$801,0)),"")="(sem nome)","Carta fora dos decks: digite o nome na coluna I (opcional)","")))</f>
        <v/>
      </c>
      <c r="K108" s="11" t="str">
        <f aca="false">UPPER(TRIM(SUBSTITUTE(B108&amp;"",CHAR(160)," ")))</f>
        <v/>
      </c>
      <c r="L108" s="11" t="str">
        <f aca="false">IF(AND(K108&lt;&gt;"",TRIM(I108&amp;"")&lt;&gt;""),K108,"")</f>
        <v/>
      </c>
    </row>
    <row r="109" customFormat="false" ht="15" hidden="false" customHeight="false" outlineLevel="0" collapsed="false">
      <c r="A109" s="9"/>
      <c r="B109" s="4"/>
      <c r="C109" s="10"/>
      <c r="D109" s="11" t="str">
        <f aca="false">IF(K109="","",IFERROR(INDEX(DECKS!$C$2:$C$1201,MATCH(K109,DECKS!$B$2:$B$1201,0)),TRIM(I109&amp;"")))</f>
        <v/>
      </c>
      <c r="E109" s="4"/>
      <c r="F109" s="12"/>
      <c r="G109" s="4"/>
      <c r="H109" s="13" t="str">
        <f aca="false">IF(OR(N(C109)=0,N(F109)=0),"",C109*F109)</f>
        <v/>
      </c>
      <c r="I109" s="4"/>
      <c r="J109" s="11" t="str">
        <f aca="false">IF(K109="","",IF(N(C109)&lt;=0,"Informe a quantidade",IF(IFERROR(INDEX(INVENTÁRIO!$B$2:$B$801,MATCH(K109,INVENTÁRIO!$A$2:$A$801,0)),"")="(sem nome)","Carta fora dos decks: digite o nome na coluna I (opcional)","")))</f>
        <v/>
      </c>
      <c r="K109" s="11" t="str">
        <f aca="false">UPPER(TRIM(SUBSTITUTE(B109&amp;"",CHAR(160)," ")))</f>
        <v/>
      </c>
      <c r="L109" s="11" t="str">
        <f aca="false">IF(AND(K109&lt;&gt;"",TRIM(I109&amp;"")&lt;&gt;""),K109,"")</f>
        <v/>
      </c>
    </row>
    <row r="110" customFormat="false" ht="15" hidden="false" customHeight="false" outlineLevel="0" collapsed="false">
      <c r="A110" s="9"/>
      <c r="B110" s="4"/>
      <c r="C110" s="10"/>
      <c r="D110" s="11" t="str">
        <f aca="false">IF(K110="","",IFERROR(INDEX(DECKS!$C$2:$C$1201,MATCH(K110,DECKS!$B$2:$B$1201,0)),TRIM(I110&amp;"")))</f>
        <v/>
      </c>
      <c r="E110" s="4"/>
      <c r="F110" s="12"/>
      <c r="G110" s="4"/>
      <c r="H110" s="13" t="str">
        <f aca="false">IF(OR(N(C110)=0,N(F110)=0),"",C110*F110)</f>
        <v/>
      </c>
      <c r="I110" s="4"/>
      <c r="J110" s="11" t="str">
        <f aca="false">IF(K110="","",IF(N(C110)&lt;=0,"Informe a quantidade",IF(IFERROR(INDEX(INVENTÁRIO!$B$2:$B$801,MATCH(K110,INVENTÁRIO!$A$2:$A$801,0)),"")="(sem nome)","Carta fora dos decks: digite o nome na coluna I (opcional)","")))</f>
        <v/>
      </c>
      <c r="K110" s="11" t="str">
        <f aca="false">UPPER(TRIM(SUBSTITUTE(B110&amp;"",CHAR(160)," ")))</f>
        <v/>
      </c>
      <c r="L110" s="11" t="str">
        <f aca="false">IF(AND(K110&lt;&gt;"",TRIM(I110&amp;"")&lt;&gt;""),K110,"")</f>
        <v/>
      </c>
    </row>
    <row r="111" customFormat="false" ht="15" hidden="false" customHeight="false" outlineLevel="0" collapsed="false">
      <c r="A111" s="9"/>
      <c r="B111" s="4"/>
      <c r="C111" s="10"/>
      <c r="D111" s="11" t="str">
        <f aca="false">IF(K111="","",IFERROR(INDEX(DECKS!$C$2:$C$1201,MATCH(K111,DECKS!$B$2:$B$1201,0)),TRIM(I111&amp;"")))</f>
        <v/>
      </c>
      <c r="E111" s="4"/>
      <c r="F111" s="12"/>
      <c r="G111" s="4"/>
      <c r="H111" s="13" t="str">
        <f aca="false">IF(OR(N(C111)=0,N(F111)=0),"",C111*F111)</f>
        <v/>
      </c>
      <c r="I111" s="4"/>
      <c r="J111" s="11" t="str">
        <f aca="false">IF(K111="","",IF(N(C111)&lt;=0,"Informe a quantidade",IF(IFERROR(INDEX(INVENTÁRIO!$B$2:$B$801,MATCH(K111,INVENTÁRIO!$A$2:$A$801,0)),"")="(sem nome)","Carta fora dos decks: digite o nome na coluna I (opcional)","")))</f>
        <v/>
      </c>
      <c r="K111" s="11" t="str">
        <f aca="false">UPPER(TRIM(SUBSTITUTE(B111&amp;"",CHAR(160)," ")))</f>
        <v/>
      </c>
      <c r="L111" s="11" t="str">
        <f aca="false">IF(AND(K111&lt;&gt;"",TRIM(I111&amp;"")&lt;&gt;""),K111,"")</f>
        <v/>
      </c>
    </row>
    <row r="112" customFormat="false" ht="15" hidden="false" customHeight="false" outlineLevel="0" collapsed="false">
      <c r="A112" s="9"/>
      <c r="B112" s="4"/>
      <c r="C112" s="10"/>
      <c r="D112" s="11" t="str">
        <f aca="false">IF(K112="","",IFERROR(INDEX(DECKS!$C$2:$C$1201,MATCH(K112,DECKS!$B$2:$B$1201,0)),TRIM(I112&amp;"")))</f>
        <v/>
      </c>
      <c r="E112" s="4"/>
      <c r="F112" s="12"/>
      <c r="G112" s="4"/>
      <c r="H112" s="13" t="str">
        <f aca="false">IF(OR(N(C112)=0,N(F112)=0),"",C112*F112)</f>
        <v/>
      </c>
      <c r="I112" s="4"/>
      <c r="J112" s="11" t="str">
        <f aca="false">IF(K112="","",IF(N(C112)&lt;=0,"Informe a quantidade",IF(IFERROR(INDEX(INVENTÁRIO!$B$2:$B$801,MATCH(K112,INVENTÁRIO!$A$2:$A$801,0)),"")="(sem nome)","Carta fora dos decks: digite o nome na coluna I (opcional)","")))</f>
        <v/>
      </c>
      <c r="K112" s="11" t="str">
        <f aca="false">UPPER(TRIM(SUBSTITUTE(B112&amp;"",CHAR(160)," ")))</f>
        <v/>
      </c>
      <c r="L112" s="11" t="str">
        <f aca="false">IF(AND(K112&lt;&gt;"",TRIM(I112&amp;"")&lt;&gt;""),K112,"")</f>
        <v/>
      </c>
    </row>
    <row r="113" customFormat="false" ht="15" hidden="false" customHeight="false" outlineLevel="0" collapsed="false">
      <c r="A113" s="9"/>
      <c r="B113" s="4"/>
      <c r="C113" s="10"/>
      <c r="D113" s="11" t="str">
        <f aca="false">IF(K113="","",IFERROR(INDEX(DECKS!$C$2:$C$1201,MATCH(K113,DECKS!$B$2:$B$1201,0)),TRIM(I113&amp;"")))</f>
        <v/>
      </c>
      <c r="E113" s="4"/>
      <c r="F113" s="12"/>
      <c r="G113" s="4"/>
      <c r="H113" s="13" t="str">
        <f aca="false">IF(OR(N(C113)=0,N(F113)=0),"",C113*F113)</f>
        <v/>
      </c>
      <c r="I113" s="4"/>
      <c r="J113" s="11" t="str">
        <f aca="false">IF(K113="","",IF(N(C113)&lt;=0,"Informe a quantidade",IF(IFERROR(INDEX(INVENTÁRIO!$B$2:$B$801,MATCH(K113,INVENTÁRIO!$A$2:$A$801,0)),"")="(sem nome)","Carta fora dos decks: digite o nome na coluna I (opcional)","")))</f>
        <v/>
      </c>
      <c r="K113" s="11" t="str">
        <f aca="false">UPPER(TRIM(SUBSTITUTE(B113&amp;"",CHAR(160)," ")))</f>
        <v/>
      </c>
      <c r="L113" s="11" t="str">
        <f aca="false">IF(AND(K113&lt;&gt;"",TRIM(I113&amp;"")&lt;&gt;""),K113,"")</f>
        <v/>
      </c>
    </row>
    <row r="114" customFormat="false" ht="15" hidden="false" customHeight="false" outlineLevel="0" collapsed="false">
      <c r="A114" s="9"/>
      <c r="B114" s="4"/>
      <c r="C114" s="10"/>
      <c r="D114" s="11" t="str">
        <f aca="false">IF(K114="","",IFERROR(INDEX(DECKS!$C$2:$C$1201,MATCH(K114,DECKS!$B$2:$B$1201,0)),TRIM(I114&amp;"")))</f>
        <v/>
      </c>
      <c r="E114" s="4"/>
      <c r="F114" s="12"/>
      <c r="G114" s="4"/>
      <c r="H114" s="13" t="str">
        <f aca="false">IF(OR(N(C114)=0,N(F114)=0),"",C114*F114)</f>
        <v/>
      </c>
      <c r="I114" s="4"/>
      <c r="J114" s="11" t="str">
        <f aca="false">IF(K114="","",IF(N(C114)&lt;=0,"Informe a quantidade",IF(IFERROR(INDEX(INVENTÁRIO!$B$2:$B$801,MATCH(K114,INVENTÁRIO!$A$2:$A$801,0)),"")="(sem nome)","Carta fora dos decks: digite o nome na coluna I (opcional)","")))</f>
        <v/>
      </c>
      <c r="K114" s="11" t="str">
        <f aca="false">UPPER(TRIM(SUBSTITUTE(B114&amp;"",CHAR(160)," ")))</f>
        <v/>
      </c>
      <c r="L114" s="11" t="str">
        <f aca="false">IF(AND(K114&lt;&gt;"",TRIM(I114&amp;"")&lt;&gt;""),K114,"")</f>
        <v/>
      </c>
    </row>
    <row r="115" customFormat="false" ht="15" hidden="false" customHeight="false" outlineLevel="0" collapsed="false">
      <c r="A115" s="9"/>
      <c r="B115" s="4"/>
      <c r="C115" s="10"/>
      <c r="D115" s="11" t="str">
        <f aca="false">IF(K115="","",IFERROR(INDEX(DECKS!$C$2:$C$1201,MATCH(K115,DECKS!$B$2:$B$1201,0)),TRIM(I115&amp;"")))</f>
        <v/>
      </c>
      <c r="E115" s="4"/>
      <c r="F115" s="12"/>
      <c r="G115" s="4"/>
      <c r="H115" s="13" t="str">
        <f aca="false">IF(OR(N(C115)=0,N(F115)=0),"",C115*F115)</f>
        <v/>
      </c>
      <c r="I115" s="4"/>
      <c r="J115" s="11" t="str">
        <f aca="false">IF(K115="","",IF(N(C115)&lt;=0,"Informe a quantidade",IF(IFERROR(INDEX(INVENTÁRIO!$B$2:$B$801,MATCH(K115,INVENTÁRIO!$A$2:$A$801,0)),"")="(sem nome)","Carta fora dos decks: digite o nome na coluna I (opcional)","")))</f>
        <v/>
      </c>
      <c r="K115" s="11" t="str">
        <f aca="false">UPPER(TRIM(SUBSTITUTE(B115&amp;"",CHAR(160)," ")))</f>
        <v/>
      </c>
      <c r="L115" s="11" t="str">
        <f aca="false">IF(AND(K115&lt;&gt;"",TRIM(I115&amp;"")&lt;&gt;""),K115,"")</f>
        <v/>
      </c>
    </row>
    <row r="116" customFormat="false" ht="15" hidden="false" customHeight="false" outlineLevel="0" collapsed="false">
      <c r="A116" s="9"/>
      <c r="B116" s="4"/>
      <c r="C116" s="10"/>
      <c r="D116" s="11" t="str">
        <f aca="false">IF(K116="","",IFERROR(INDEX(DECKS!$C$2:$C$1201,MATCH(K116,DECKS!$B$2:$B$1201,0)),TRIM(I116&amp;"")))</f>
        <v/>
      </c>
      <c r="E116" s="4"/>
      <c r="F116" s="12"/>
      <c r="G116" s="4"/>
      <c r="H116" s="13" t="str">
        <f aca="false">IF(OR(N(C116)=0,N(F116)=0),"",C116*F116)</f>
        <v/>
      </c>
      <c r="I116" s="4"/>
      <c r="J116" s="11" t="str">
        <f aca="false">IF(K116="","",IF(N(C116)&lt;=0,"Informe a quantidade",IF(IFERROR(INDEX(INVENTÁRIO!$B$2:$B$801,MATCH(K116,INVENTÁRIO!$A$2:$A$801,0)),"")="(sem nome)","Carta fora dos decks: digite o nome na coluna I (opcional)","")))</f>
        <v/>
      </c>
      <c r="K116" s="11" t="str">
        <f aca="false">UPPER(TRIM(SUBSTITUTE(B116&amp;"",CHAR(160)," ")))</f>
        <v/>
      </c>
      <c r="L116" s="11" t="str">
        <f aca="false">IF(AND(K116&lt;&gt;"",TRIM(I116&amp;"")&lt;&gt;""),K116,"")</f>
        <v/>
      </c>
    </row>
    <row r="117" customFormat="false" ht="15" hidden="false" customHeight="false" outlineLevel="0" collapsed="false">
      <c r="A117" s="9"/>
      <c r="B117" s="4"/>
      <c r="C117" s="10"/>
      <c r="D117" s="11" t="str">
        <f aca="false">IF(K117="","",IFERROR(INDEX(DECKS!$C$2:$C$1201,MATCH(K117,DECKS!$B$2:$B$1201,0)),TRIM(I117&amp;"")))</f>
        <v/>
      </c>
      <c r="E117" s="4"/>
      <c r="F117" s="12"/>
      <c r="G117" s="4"/>
      <c r="H117" s="13" t="str">
        <f aca="false">IF(OR(N(C117)=0,N(F117)=0),"",C117*F117)</f>
        <v/>
      </c>
      <c r="I117" s="4"/>
      <c r="J117" s="11" t="str">
        <f aca="false">IF(K117="","",IF(N(C117)&lt;=0,"Informe a quantidade",IF(IFERROR(INDEX(INVENTÁRIO!$B$2:$B$801,MATCH(K117,INVENTÁRIO!$A$2:$A$801,0)),"")="(sem nome)","Carta fora dos decks: digite o nome na coluna I (opcional)","")))</f>
        <v/>
      </c>
      <c r="K117" s="11" t="str">
        <f aca="false">UPPER(TRIM(SUBSTITUTE(B117&amp;"",CHAR(160)," ")))</f>
        <v/>
      </c>
      <c r="L117" s="11" t="str">
        <f aca="false">IF(AND(K117&lt;&gt;"",TRIM(I117&amp;"")&lt;&gt;""),K117,"")</f>
        <v/>
      </c>
    </row>
    <row r="118" customFormat="false" ht="15" hidden="false" customHeight="false" outlineLevel="0" collapsed="false">
      <c r="A118" s="9"/>
      <c r="B118" s="4"/>
      <c r="C118" s="10"/>
      <c r="D118" s="11" t="str">
        <f aca="false">IF(K118="","",IFERROR(INDEX(DECKS!$C$2:$C$1201,MATCH(K118,DECKS!$B$2:$B$1201,0)),TRIM(I118&amp;"")))</f>
        <v/>
      </c>
      <c r="E118" s="4"/>
      <c r="F118" s="12"/>
      <c r="G118" s="4"/>
      <c r="H118" s="13" t="str">
        <f aca="false">IF(OR(N(C118)=0,N(F118)=0),"",C118*F118)</f>
        <v/>
      </c>
      <c r="I118" s="4"/>
      <c r="J118" s="11" t="str">
        <f aca="false">IF(K118="","",IF(N(C118)&lt;=0,"Informe a quantidade",IF(IFERROR(INDEX(INVENTÁRIO!$B$2:$B$801,MATCH(K118,INVENTÁRIO!$A$2:$A$801,0)),"")="(sem nome)","Carta fora dos decks: digite o nome na coluna I (opcional)","")))</f>
        <v/>
      </c>
      <c r="K118" s="11" t="str">
        <f aca="false">UPPER(TRIM(SUBSTITUTE(B118&amp;"",CHAR(160)," ")))</f>
        <v/>
      </c>
      <c r="L118" s="11" t="str">
        <f aca="false">IF(AND(K118&lt;&gt;"",TRIM(I118&amp;"")&lt;&gt;""),K118,"")</f>
        <v/>
      </c>
    </row>
    <row r="119" customFormat="false" ht="15" hidden="false" customHeight="false" outlineLevel="0" collapsed="false">
      <c r="A119" s="9"/>
      <c r="B119" s="4"/>
      <c r="C119" s="10"/>
      <c r="D119" s="11" t="str">
        <f aca="false">IF(K119="","",IFERROR(INDEX(DECKS!$C$2:$C$1201,MATCH(K119,DECKS!$B$2:$B$1201,0)),TRIM(I119&amp;"")))</f>
        <v/>
      </c>
      <c r="E119" s="4"/>
      <c r="F119" s="12"/>
      <c r="G119" s="4"/>
      <c r="H119" s="13" t="str">
        <f aca="false">IF(OR(N(C119)=0,N(F119)=0),"",C119*F119)</f>
        <v/>
      </c>
      <c r="I119" s="4"/>
      <c r="J119" s="11" t="str">
        <f aca="false">IF(K119="","",IF(N(C119)&lt;=0,"Informe a quantidade",IF(IFERROR(INDEX(INVENTÁRIO!$B$2:$B$801,MATCH(K119,INVENTÁRIO!$A$2:$A$801,0)),"")="(sem nome)","Carta fora dos decks: digite o nome na coluna I (opcional)","")))</f>
        <v/>
      </c>
      <c r="K119" s="11" t="str">
        <f aca="false">UPPER(TRIM(SUBSTITUTE(B119&amp;"",CHAR(160)," ")))</f>
        <v/>
      </c>
      <c r="L119" s="11" t="str">
        <f aca="false">IF(AND(K119&lt;&gt;"",TRIM(I119&amp;"")&lt;&gt;""),K119,"")</f>
        <v/>
      </c>
    </row>
    <row r="120" customFormat="false" ht="15" hidden="false" customHeight="false" outlineLevel="0" collapsed="false">
      <c r="A120" s="9"/>
      <c r="B120" s="4"/>
      <c r="C120" s="10"/>
      <c r="D120" s="11" t="str">
        <f aca="false">IF(K120="","",IFERROR(INDEX(DECKS!$C$2:$C$1201,MATCH(K120,DECKS!$B$2:$B$1201,0)),TRIM(I120&amp;"")))</f>
        <v/>
      </c>
      <c r="E120" s="4"/>
      <c r="F120" s="12"/>
      <c r="G120" s="4"/>
      <c r="H120" s="13" t="str">
        <f aca="false">IF(OR(N(C120)=0,N(F120)=0),"",C120*F120)</f>
        <v/>
      </c>
      <c r="I120" s="4"/>
      <c r="J120" s="11" t="str">
        <f aca="false">IF(K120="","",IF(N(C120)&lt;=0,"Informe a quantidade",IF(IFERROR(INDEX(INVENTÁRIO!$B$2:$B$801,MATCH(K120,INVENTÁRIO!$A$2:$A$801,0)),"")="(sem nome)","Carta fora dos decks: digite o nome na coluna I (opcional)","")))</f>
        <v/>
      </c>
      <c r="K120" s="11" t="str">
        <f aca="false">UPPER(TRIM(SUBSTITUTE(B120&amp;"",CHAR(160)," ")))</f>
        <v/>
      </c>
      <c r="L120" s="11" t="str">
        <f aca="false">IF(AND(K120&lt;&gt;"",TRIM(I120&amp;"")&lt;&gt;""),K120,"")</f>
        <v/>
      </c>
    </row>
    <row r="121" customFormat="false" ht="15" hidden="false" customHeight="false" outlineLevel="0" collapsed="false">
      <c r="A121" s="9"/>
      <c r="B121" s="4"/>
      <c r="C121" s="10"/>
      <c r="D121" s="11" t="str">
        <f aca="false">IF(K121="","",IFERROR(INDEX(DECKS!$C$2:$C$1201,MATCH(K121,DECKS!$B$2:$B$1201,0)),TRIM(I121&amp;"")))</f>
        <v/>
      </c>
      <c r="E121" s="4"/>
      <c r="F121" s="12"/>
      <c r="G121" s="4"/>
      <c r="H121" s="13" t="str">
        <f aca="false">IF(OR(N(C121)=0,N(F121)=0),"",C121*F121)</f>
        <v/>
      </c>
      <c r="I121" s="4"/>
      <c r="J121" s="11" t="str">
        <f aca="false">IF(K121="","",IF(N(C121)&lt;=0,"Informe a quantidade",IF(IFERROR(INDEX(INVENTÁRIO!$B$2:$B$801,MATCH(K121,INVENTÁRIO!$A$2:$A$801,0)),"")="(sem nome)","Carta fora dos decks: digite o nome na coluna I (opcional)","")))</f>
        <v/>
      </c>
      <c r="K121" s="11" t="str">
        <f aca="false">UPPER(TRIM(SUBSTITUTE(B121&amp;"",CHAR(160)," ")))</f>
        <v/>
      </c>
      <c r="L121" s="11" t="str">
        <f aca="false">IF(AND(K121&lt;&gt;"",TRIM(I121&amp;"")&lt;&gt;""),K121,"")</f>
        <v/>
      </c>
    </row>
    <row r="122" customFormat="false" ht="15" hidden="false" customHeight="false" outlineLevel="0" collapsed="false">
      <c r="A122" s="9"/>
      <c r="B122" s="4"/>
      <c r="C122" s="10"/>
      <c r="D122" s="11" t="str">
        <f aca="false">IF(K122="","",IFERROR(INDEX(DECKS!$C$2:$C$1201,MATCH(K122,DECKS!$B$2:$B$1201,0)),TRIM(I122&amp;"")))</f>
        <v/>
      </c>
      <c r="E122" s="4"/>
      <c r="F122" s="12"/>
      <c r="G122" s="4"/>
      <c r="H122" s="13" t="str">
        <f aca="false">IF(OR(N(C122)=0,N(F122)=0),"",C122*F122)</f>
        <v/>
      </c>
      <c r="I122" s="4"/>
      <c r="J122" s="11" t="str">
        <f aca="false">IF(K122="","",IF(N(C122)&lt;=0,"Informe a quantidade",IF(IFERROR(INDEX(INVENTÁRIO!$B$2:$B$801,MATCH(K122,INVENTÁRIO!$A$2:$A$801,0)),"")="(sem nome)","Carta fora dos decks: digite o nome na coluna I (opcional)","")))</f>
        <v/>
      </c>
      <c r="K122" s="11" t="str">
        <f aca="false">UPPER(TRIM(SUBSTITUTE(B122&amp;"",CHAR(160)," ")))</f>
        <v/>
      </c>
      <c r="L122" s="11" t="str">
        <f aca="false">IF(AND(K122&lt;&gt;"",TRIM(I122&amp;"")&lt;&gt;""),K122,"")</f>
        <v/>
      </c>
    </row>
    <row r="123" customFormat="false" ht="15" hidden="false" customHeight="false" outlineLevel="0" collapsed="false">
      <c r="A123" s="9"/>
      <c r="B123" s="4"/>
      <c r="C123" s="10"/>
      <c r="D123" s="11" t="str">
        <f aca="false">IF(K123="","",IFERROR(INDEX(DECKS!$C$2:$C$1201,MATCH(K123,DECKS!$B$2:$B$1201,0)),TRIM(I123&amp;"")))</f>
        <v/>
      </c>
      <c r="E123" s="4"/>
      <c r="F123" s="12"/>
      <c r="G123" s="4"/>
      <c r="H123" s="13" t="str">
        <f aca="false">IF(OR(N(C123)=0,N(F123)=0),"",C123*F123)</f>
        <v/>
      </c>
      <c r="I123" s="4"/>
      <c r="J123" s="11" t="str">
        <f aca="false">IF(K123="","",IF(N(C123)&lt;=0,"Informe a quantidade",IF(IFERROR(INDEX(INVENTÁRIO!$B$2:$B$801,MATCH(K123,INVENTÁRIO!$A$2:$A$801,0)),"")="(sem nome)","Carta fora dos decks: digite o nome na coluna I (opcional)","")))</f>
        <v/>
      </c>
      <c r="K123" s="11" t="str">
        <f aca="false">UPPER(TRIM(SUBSTITUTE(B123&amp;"",CHAR(160)," ")))</f>
        <v/>
      </c>
      <c r="L123" s="11" t="str">
        <f aca="false">IF(AND(K123&lt;&gt;"",TRIM(I123&amp;"")&lt;&gt;""),K123,"")</f>
        <v/>
      </c>
    </row>
    <row r="124" customFormat="false" ht="15" hidden="false" customHeight="false" outlineLevel="0" collapsed="false">
      <c r="A124" s="9"/>
      <c r="B124" s="4"/>
      <c r="C124" s="10"/>
      <c r="D124" s="11" t="str">
        <f aca="false">IF(K124="","",IFERROR(INDEX(DECKS!$C$2:$C$1201,MATCH(K124,DECKS!$B$2:$B$1201,0)),TRIM(I124&amp;"")))</f>
        <v/>
      </c>
      <c r="E124" s="4"/>
      <c r="F124" s="12"/>
      <c r="G124" s="4"/>
      <c r="H124" s="13" t="str">
        <f aca="false">IF(OR(N(C124)=0,N(F124)=0),"",C124*F124)</f>
        <v/>
      </c>
      <c r="I124" s="4"/>
      <c r="J124" s="11" t="str">
        <f aca="false">IF(K124="","",IF(N(C124)&lt;=0,"Informe a quantidade",IF(IFERROR(INDEX(INVENTÁRIO!$B$2:$B$801,MATCH(K124,INVENTÁRIO!$A$2:$A$801,0)),"")="(sem nome)","Carta fora dos decks: digite o nome na coluna I (opcional)","")))</f>
        <v/>
      </c>
      <c r="K124" s="11" t="str">
        <f aca="false">UPPER(TRIM(SUBSTITUTE(B124&amp;"",CHAR(160)," ")))</f>
        <v/>
      </c>
      <c r="L124" s="11" t="str">
        <f aca="false">IF(AND(K124&lt;&gt;"",TRIM(I124&amp;"")&lt;&gt;""),K124,"")</f>
        <v/>
      </c>
    </row>
    <row r="125" customFormat="false" ht="15" hidden="false" customHeight="false" outlineLevel="0" collapsed="false">
      <c r="A125" s="9"/>
      <c r="B125" s="4"/>
      <c r="C125" s="10"/>
      <c r="D125" s="11" t="str">
        <f aca="false">IF(K125="","",IFERROR(INDEX(DECKS!$C$2:$C$1201,MATCH(K125,DECKS!$B$2:$B$1201,0)),TRIM(I125&amp;"")))</f>
        <v/>
      </c>
      <c r="E125" s="4"/>
      <c r="F125" s="12"/>
      <c r="G125" s="4"/>
      <c r="H125" s="13" t="str">
        <f aca="false">IF(OR(N(C125)=0,N(F125)=0),"",C125*F125)</f>
        <v/>
      </c>
      <c r="I125" s="4"/>
      <c r="J125" s="11" t="str">
        <f aca="false">IF(K125="","",IF(N(C125)&lt;=0,"Informe a quantidade",IF(IFERROR(INDEX(INVENTÁRIO!$B$2:$B$801,MATCH(K125,INVENTÁRIO!$A$2:$A$801,0)),"")="(sem nome)","Carta fora dos decks: digite o nome na coluna I (opcional)","")))</f>
        <v/>
      </c>
      <c r="K125" s="11" t="str">
        <f aca="false">UPPER(TRIM(SUBSTITUTE(B125&amp;"",CHAR(160)," ")))</f>
        <v/>
      </c>
      <c r="L125" s="11" t="str">
        <f aca="false">IF(AND(K125&lt;&gt;"",TRIM(I125&amp;"")&lt;&gt;""),K125,"")</f>
        <v/>
      </c>
    </row>
    <row r="126" customFormat="false" ht="15" hidden="false" customHeight="false" outlineLevel="0" collapsed="false">
      <c r="A126" s="9"/>
      <c r="B126" s="4"/>
      <c r="C126" s="10"/>
      <c r="D126" s="11" t="str">
        <f aca="false">IF(K126="","",IFERROR(INDEX(DECKS!$C$2:$C$1201,MATCH(K126,DECKS!$B$2:$B$1201,0)),TRIM(I126&amp;"")))</f>
        <v/>
      </c>
      <c r="E126" s="4"/>
      <c r="F126" s="12"/>
      <c r="G126" s="4"/>
      <c r="H126" s="13" t="str">
        <f aca="false">IF(OR(N(C126)=0,N(F126)=0),"",C126*F126)</f>
        <v/>
      </c>
      <c r="I126" s="4"/>
      <c r="J126" s="11" t="str">
        <f aca="false">IF(K126="","",IF(N(C126)&lt;=0,"Informe a quantidade",IF(IFERROR(INDEX(INVENTÁRIO!$B$2:$B$801,MATCH(K126,INVENTÁRIO!$A$2:$A$801,0)),"")="(sem nome)","Carta fora dos decks: digite o nome na coluna I (opcional)","")))</f>
        <v/>
      </c>
      <c r="K126" s="11" t="str">
        <f aca="false">UPPER(TRIM(SUBSTITUTE(B126&amp;"",CHAR(160)," ")))</f>
        <v/>
      </c>
      <c r="L126" s="11" t="str">
        <f aca="false">IF(AND(K126&lt;&gt;"",TRIM(I126&amp;"")&lt;&gt;""),K126,"")</f>
        <v/>
      </c>
    </row>
    <row r="127" customFormat="false" ht="15" hidden="false" customHeight="false" outlineLevel="0" collapsed="false">
      <c r="A127" s="9"/>
      <c r="B127" s="4"/>
      <c r="C127" s="10"/>
      <c r="D127" s="11" t="str">
        <f aca="false">IF(K127="","",IFERROR(INDEX(DECKS!$C$2:$C$1201,MATCH(K127,DECKS!$B$2:$B$1201,0)),TRIM(I127&amp;"")))</f>
        <v/>
      </c>
      <c r="E127" s="4"/>
      <c r="F127" s="12"/>
      <c r="G127" s="4"/>
      <c r="H127" s="13" t="str">
        <f aca="false">IF(OR(N(C127)=0,N(F127)=0),"",C127*F127)</f>
        <v/>
      </c>
      <c r="I127" s="4"/>
      <c r="J127" s="11" t="str">
        <f aca="false">IF(K127="","",IF(N(C127)&lt;=0,"Informe a quantidade",IF(IFERROR(INDEX(INVENTÁRIO!$B$2:$B$801,MATCH(K127,INVENTÁRIO!$A$2:$A$801,0)),"")="(sem nome)","Carta fora dos decks: digite o nome na coluna I (opcional)","")))</f>
        <v/>
      </c>
      <c r="K127" s="11" t="str">
        <f aca="false">UPPER(TRIM(SUBSTITUTE(B127&amp;"",CHAR(160)," ")))</f>
        <v/>
      </c>
      <c r="L127" s="11" t="str">
        <f aca="false">IF(AND(K127&lt;&gt;"",TRIM(I127&amp;"")&lt;&gt;""),K127,"")</f>
        <v/>
      </c>
    </row>
    <row r="128" customFormat="false" ht="15" hidden="false" customHeight="false" outlineLevel="0" collapsed="false">
      <c r="A128" s="9"/>
      <c r="B128" s="4"/>
      <c r="C128" s="10"/>
      <c r="D128" s="11" t="str">
        <f aca="false">IF(K128="","",IFERROR(INDEX(DECKS!$C$2:$C$1201,MATCH(K128,DECKS!$B$2:$B$1201,0)),TRIM(I128&amp;"")))</f>
        <v/>
      </c>
      <c r="E128" s="4"/>
      <c r="F128" s="12"/>
      <c r="G128" s="4"/>
      <c r="H128" s="13" t="str">
        <f aca="false">IF(OR(N(C128)=0,N(F128)=0),"",C128*F128)</f>
        <v/>
      </c>
      <c r="I128" s="4"/>
      <c r="J128" s="11" t="str">
        <f aca="false">IF(K128="","",IF(N(C128)&lt;=0,"Informe a quantidade",IF(IFERROR(INDEX(INVENTÁRIO!$B$2:$B$801,MATCH(K128,INVENTÁRIO!$A$2:$A$801,0)),"")="(sem nome)","Carta fora dos decks: digite o nome na coluna I (opcional)","")))</f>
        <v/>
      </c>
      <c r="K128" s="11" t="str">
        <f aca="false">UPPER(TRIM(SUBSTITUTE(B128&amp;"",CHAR(160)," ")))</f>
        <v/>
      </c>
      <c r="L128" s="11" t="str">
        <f aca="false">IF(AND(K128&lt;&gt;"",TRIM(I128&amp;"")&lt;&gt;""),K128,"")</f>
        <v/>
      </c>
    </row>
    <row r="129" customFormat="false" ht="15" hidden="false" customHeight="false" outlineLevel="0" collapsed="false">
      <c r="A129" s="9"/>
      <c r="B129" s="4"/>
      <c r="C129" s="10"/>
      <c r="D129" s="11" t="str">
        <f aca="false">IF(K129="","",IFERROR(INDEX(DECKS!$C$2:$C$1201,MATCH(K129,DECKS!$B$2:$B$1201,0)),TRIM(I129&amp;"")))</f>
        <v/>
      </c>
      <c r="E129" s="4"/>
      <c r="F129" s="12"/>
      <c r="G129" s="4"/>
      <c r="H129" s="13" t="str">
        <f aca="false">IF(OR(N(C129)=0,N(F129)=0),"",C129*F129)</f>
        <v/>
      </c>
      <c r="I129" s="4"/>
      <c r="J129" s="11" t="str">
        <f aca="false">IF(K129="","",IF(N(C129)&lt;=0,"Informe a quantidade",IF(IFERROR(INDEX(INVENTÁRIO!$B$2:$B$801,MATCH(K129,INVENTÁRIO!$A$2:$A$801,0)),"")="(sem nome)","Carta fora dos decks: digite o nome na coluna I (opcional)","")))</f>
        <v/>
      </c>
      <c r="K129" s="11" t="str">
        <f aca="false">UPPER(TRIM(SUBSTITUTE(B129&amp;"",CHAR(160)," ")))</f>
        <v/>
      </c>
      <c r="L129" s="11" t="str">
        <f aca="false">IF(AND(K129&lt;&gt;"",TRIM(I129&amp;"")&lt;&gt;""),K129,"")</f>
        <v/>
      </c>
    </row>
    <row r="130" customFormat="false" ht="15" hidden="false" customHeight="false" outlineLevel="0" collapsed="false">
      <c r="A130" s="9"/>
      <c r="B130" s="4"/>
      <c r="C130" s="10"/>
      <c r="D130" s="11" t="str">
        <f aca="false">IF(K130="","",IFERROR(INDEX(DECKS!$C$2:$C$1201,MATCH(K130,DECKS!$B$2:$B$1201,0)),TRIM(I130&amp;"")))</f>
        <v/>
      </c>
      <c r="E130" s="4"/>
      <c r="F130" s="12"/>
      <c r="G130" s="4"/>
      <c r="H130" s="13" t="str">
        <f aca="false">IF(OR(N(C130)=0,N(F130)=0),"",C130*F130)</f>
        <v/>
      </c>
      <c r="I130" s="4"/>
      <c r="J130" s="11" t="str">
        <f aca="false">IF(K130="","",IF(N(C130)&lt;=0,"Informe a quantidade",IF(IFERROR(INDEX(INVENTÁRIO!$B$2:$B$801,MATCH(K130,INVENTÁRIO!$A$2:$A$801,0)),"")="(sem nome)","Carta fora dos decks: digite o nome na coluna I (opcional)","")))</f>
        <v/>
      </c>
      <c r="K130" s="11" t="str">
        <f aca="false">UPPER(TRIM(SUBSTITUTE(B130&amp;"",CHAR(160)," ")))</f>
        <v/>
      </c>
      <c r="L130" s="11" t="str">
        <f aca="false">IF(AND(K130&lt;&gt;"",TRIM(I130&amp;"")&lt;&gt;""),K130,"")</f>
        <v/>
      </c>
    </row>
    <row r="131" customFormat="false" ht="15" hidden="false" customHeight="false" outlineLevel="0" collapsed="false">
      <c r="A131" s="9"/>
      <c r="B131" s="4"/>
      <c r="C131" s="10"/>
      <c r="D131" s="11" t="str">
        <f aca="false">IF(K131="","",IFERROR(INDEX(DECKS!$C$2:$C$1201,MATCH(K131,DECKS!$B$2:$B$1201,0)),TRIM(I131&amp;"")))</f>
        <v/>
      </c>
      <c r="E131" s="4"/>
      <c r="F131" s="12"/>
      <c r="G131" s="4"/>
      <c r="H131" s="13" t="str">
        <f aca="false">IF(OR(N(C131)=0,N(F131)=0),"",C131*F131)</f>
        <v/>
      </c>
      <c r="I131" s="4"/>
      <c r="J131" s="11" t="str">
        <f aca="false">IF(K131="","",IF(N(C131)&lt;=0,"Informe a quantidade",IF(IFERROR(INDEX(INVENTÁRIO!$B$2:$B$801,MATCH(K131,INVENTÁRIO!$A$2:$A$801,0)),"")="(sem nome)","Carta fora dos decks: digite o nome na coluna I (opcional)","")))</f>
        <v/>
      </c>
      <c r="K131" s="11" t="str">
        <f aca="false">UPPER(TRIM(SUBSTITUTE(B131&amp;"",CHAR(160)," ")))</f>
        <v/>
      </c>
      <c r="L131" s="11" t="str">
        <f aca="false">IF(AND(K131&lt;&gt;"",TRIM(I131&amp;"")&lt;&gt;""),K131,"")</f>
        <v/>
      </c>
    </row>
    <row r="132" customFormat="false" ht="15" hidden="false" customHeight="false" outlineLevel="0" collapsed="false">
      <c r="A132" s="9"/>
      <c r="B132" s="4"/>
      <c r="C132" s="10"/>
      <c r="D132" s="11" t="str">
        <f aca="false">IF(K132="","",IFERROR(INDEX(DECKS!$C$2:$C$1201,MATCH(K132,DECKS!$B$2:$B$1201,0)),TRIM(I132&amp;"")))</f>
        <v/>
      </c>
      <c r="E132" s="4"/>
      <c r="F132" s="12"/>
      <c r="G132" s="4"/>
      <c r="H132" s="13" t="str">
        <f aca="false">IF(OR(N(C132)=0,N(F132)=0),"",C132*F132)</f>
        <v/>
      </c>
      <c r="I132" s="4"/>
      <c r="J132" s="11" t="str">
        <f aca="false">IF(K132="","",IF(N(C132)&lt;=0,"Informe a quantidade",IF(IFERROR(INDEX(INVENTÁRIO!$B$2:$B$801,MATCH(K132,INVENTÁRIO!$A$2:$A$801,0)),"")="(sem nome)","Carta fora dos decks: digite o nome na coluna I (opcional)","")))</f>
        <v/>
      </c>
      <c r="K132" s="11" t="str">
        <f aca="false">UPPER(TRIM(SUBSTITUTE(B132&amp;"",CHAR(160)," ")))</f>
        <v/>
      </c>
      <c r="L132" s="11" t="str">
        <f aca="false">IF(AND(K132&lt;&gt;"",TRIM(I132&amp;"")&lt;&gt;""),K132,"")</f>
        <v/>
      </c>
    </row>
    <row r="133" customFormat="false" ht="15" hidden="false" customHeight="false" outlineLevel="0" collapsed="false">
      <c r="A133" s="9"/>
      <c r="B133" s="4"/>
      <c r="C133" s="10"/>
      <c r="D133" s="11" t="str">
        <f aca="false">IF(K133="","",IFERROR(INDEX(DECKS!$C$2:$C$1201,MATCH(K133,DECKS!$B$2:$B$1201,0)),TRIM(I133&amp;"")))</f>
        <v/>
      </c>
      <c r="E133" s="4"/>
      <c r="F133" s="12"/>
      <c r="G133" s="4"/>
      <c r="H133" s="13" t="str">
        <f aca="false">IF(OR(N(C133)=0,N(F133)=0),"",C133*F133)</f>
        <v/>
      </c>
      <c r="I133" s="4"/>
      <c r="J133" s="11" t="str">
        <f aca="false">IF(K133="","",IF(N(C133)&lt;=0,"Informe a quantidade",IF(IFERROR(INDEX(INVENTÁRIO!$B$2:$B$801,MATCH(K133,INVENTÁRIO!$A$2:$A$801,0)),"")="(sem nome)","Carta fora dos decks: digite o nome na coluna I (opcional)","")))</f>
        <v/>
      </c>
      <c r="K133" s="11" t="str">
        <f aca="false">UPPER(TRIM(SUBSTITUTE(B133&amp;"",CHAR(160)," ")))</f>
        <v/>
      </c>
      <c r="L133" s="11" t="str">
        <f aca="false">IF(AND(K133&lt;&gt;"",TRIM(I133&amp;"")&lt;&gt;""),K133,"")</f>
        <v/>
      </c>
    </row>
    <row r="134" customFormat="false" ht="15" hidden="false" customHeight="false" outlineLevel="0" collapsed="false">
      <c r="A134" s="9"/>
      <c r="B134" s="4"/>
      <c r="C134" s="10"/>
      <c r="D134" s="11" t="str">
        <f aca="false">IF(K134="","",IFERROR(INDEX(DECKS!$C$2:$C$1201,MATCH(K134,DECKS!$B$2:$B$1201,0)),TRIM(I134&amp;"")))</f>
        <v/>
      </c>
      <c r="E134" s="4"/>
      <c r="F134" s="12"/>
      <c r="G134" s="4"/>
      <c r="H134" s="13" t="str">
        <f aca="false">IF(OR(N(C134)=0,N(F134)=0),"",C134*F134)</f>
        <v/>
      </c>
      <c r="I134" s="4"/>
      <c r="J134" s="11" t="str">
        <f aca="false">IF(K134="","",IF(N(C134)&lt;=0,"Informe a quantidade",IF(IFERROR(INDEX(INVENTÁRIO!$B$2:$B$801,MATCH(K134,INVENTÁRIO!$A$2:$A$801,0)),"")="(sem nome)","Carta fora dos decks: digite o nome na coluna I (opcional)","")))</f>
        <v/>
      </c>
      <c r="K134" s="11" t="str">
        <f aca="false">UPPER(TRIM(SUBSTITUTE(B134&amp;"",CHAR(160)," ")))</f>
        <v/>
      </c>
      <c r="L134" s="11" t="str">
        <f aca="false">IF(AND(K134&lt;&gt;"",TRIM(I134&amp;"")&lt;&gt;""),K134,"")</f>
        <v/>
      </c>
    </row>
    <row r="135" customFormat="false" ht="15" hidden="false" customHeight="false" outlineLevel="0" collapsed="false">
      <c r="A135" s="9"/>
      <c r="B135" s="4"/>
      <c r="C135" s="10"/>
      <c r="D135" s="11" t="str">
        <f aca="false">IF(K135="","",IFERROR(INDEX(DECKS!$C$2:$C$1201,MATCH(K135,DECKS!$B$2:$B$1201,0)),TRIM(I135&amp;"")))</f>
        <v/>
      </c>
      <c r="E135" s="4"/>
      <c r="F135" s="12"/>
      <c r="G135" s="4"/>
      <c r="H135" s="13" t="str">
        <f aca="false">IF(OR(N(C135)=0,N(F135)=0),"",C135*F135)</f>
        <v/>
      </c>
      <c r="I135" s="4"/>
      <c r="J135" s="11" t="str">
        <f aca="false">IF(K135="","",IF(N(C135)&lt;=0,"Informe a quantidade",IF(IFERROR(INDEX(INVENTÁRIO!$B$2:$B$801,MATCH(K135,INVENTÁRIO!$A$2:$A$801,0)),"")="(sem nome)","Carta fora dos decks: digite o nome na coluna I (opcional)","")))</f>
        <v/>
      </c>
      <c r="K135" s="11" t="str">
        <f aca="false">UPPER(TRIM(SUBSTITUTE(B135&amp;"",CHAR(160)," ")))</f>
        <v/>
      </c>
      <c r="L135" s="11" t="str">
        <f aca="false">IF(AND(K135&lt;&gt;"",TRIM(I135&amp;"")&lt;&gt;""),K135,"")</f>
        <v/>
      </c>
    </row>
    <row r="136" customFormat="false" ht="15" hidden="false" customHeight="false" outlineLevel="0" collapsed="false">
      <c r="A136" s="9"/>
      <c r="B136" s="4"/>
      <c r="C136" s="10"/>
      <c r="D136" s="11" t="str">
        <f aca="false">IF(K136="","",IFERROR(INDEX(DECKS!$C$2:$C$1201,MATCH(K136,DECKS!$B$2:$B$1201,0)),TRIM(I136&amp;"")))</f>
        <v/>
      </c>
      <c r="E136" s="4"/>
      <c r="F136" s="12"/>
      <c r="G136" s="4"/>
      <c r="H136" s="13" t="str">
        <f aca="false">IF(OR(N(C136)=0,N(F136)=0),"",C136*F136)</f>
        <v/>
      </c>
      <c r="I136" s="4"/>
      <c r="J136" s="11" t="str">
        <f aca="false">IF(K136="","",IF(N(C136)&lt;=0,"Informe a quantidade",IF(IFERROR(INDEX(INVENTÁRIO!$B$2:$B$801,MATCH(K136,INVENTÁRIO!$A$2:$A$801,0)),"")="(sem nome)","Carta fora dos decks: digite o nome na coluna I (opcional)","")))</f>
        <v/>
      </c>
      <c r="K136" s="11" t="str">
        <f aca="false">UPPER(TRIM(SUBSTITUTE(B136&amp;"",CHAR(160)," ")))</f>
        <v/>
      </c>
      <c r="L136" s="11" t="str">
        <f aca="false">IF(AND(K136&lt;&gt;"",TRIM(I136&amp;"")&lt;&gt;""),K136,"")</f>
        <v/>
      </c>
    </row>
    <row r="137" customFormat="false" ht="15" hidden="false" customHeight="false" outlineLevel="0" collapsed="false">
      <c r="A137" s="9"/>
      <c r="B137" s="4"/>
      <c r="C137" s="10"/>
      <c r="D137" s="11" t="str">
        <f aca="false">IF(K137="","",IFERROR(INDEX(DECKS!$C$2:$C$1201,MATCH(K137,DECKS!$B$2:$B$1201,0)),TRIM(I137&amp;"")))</f>
        <v/>
      </c>
      <c r="E137" s="4"/>
      <c r="F137" s="12"/>
      <c r="G137" s="4"/>
      <c r="H137" s="13" t="str">
        <f aca="false">IF(OR(N(C137)=0,N(F137)=0),"",C137*F137)</f>
        <v/>
      </c>
      <c r="I137" s="4"/>
      <c r="J137" s="11" t="str">
        <f aca="false">IF(K137="","",IF(N(C137)&lt;=0,"Informe a quantidade",IF(IFERROR(INDEX(INVENTÁRIO!$B$2:$B$801,MATCH(K137,INVENTÁRIO!$A$2:$A$801,0)),"")="(sem nome)","Carta fora dos decks: digite o nome na coluna I (opcional)","")))</f>
        <v/>
      </c>
      <c r="K137" s="11" t="str">
        <f aca="false">UPPER(TRIM(SUBSTITUTE(B137&amp;"",CHAR(160)," ")))</f>
        <v/>
      </c>
      <c r="L137" s="11" t="str">
        <f aca="false">IF(AND(K137&lt;&gt;"",TRIM(I137&amp;"")&lt;&gt;""),K137,"")</f>
        <v/>
      </c>
    </row>
    <row r="138" customFormat="false" ht="15" hidden="false" customHeight="false" outlineLevel="0" collapsed="false">
      <c r="A138" s="9"/>
      <c r="B138" s="4"/>
      <c r="C138" s="10"/>
      <c r="D138" s="11" t="str">
        <f aca="false">IF(K138="","",IFERROR(INDEX(DECKS!$C$2:$C$1201,MATCH(K138,DECKS!$B$2:$B$1201,0)),TRIM(I138&amp;"")))</f>
        <v/>
      </c>
      <c r="E138" s="4"/>
      <c r="F138" s="12"/>
      <c r="G138" s="4"/>
      <c r="H138" s="13" t="str">
        <f aca="false">IF(OR(N(C138)=0,N(F138)=0),"",C138*F138)</f>
        <v/>
      </c>
      <c r="I138" s="4"/>
      <c r="J138" s="11" t="str">
        <f aca="false">IF(K138="","",IF(N(C138)&lt;=0,"Informe a quantidade",IF(IFERROR(INDEX(INVENTÁRIO!$B$2:$B$801,MATCH(K138,INVENTÁRIO!$A$2:$A$801,0)),"")="(sem nome)","Carta fora dos decks: digite o nome na coluna I (opcional)","")))</f>
        <v/>
      </c>
      <c r="K138" s="11" t="str">
        <f aca="false">UPPER(TRIM(SUBSTITUTE(B138&amp;"",CHAR(160)," ")))</f>
        <v/>
      </c>
      <c r="L138" s="11" t="str">
        <f aca="false">IF(AND(K138&lt;&gt;"",TRIM(I138&amp;"")&lt;&gt;""),K138,"")</f>
        <v/>
      </c>
    </row>
    <row r="139" customFormat="false" ht="15" hidden="false" customHeight="false" outlineLevel="0" collapsed="false">
      <c r="A139" s="9"/>
      <c r="B139" s="4"/>
      <c r="C139" s="10"/>
      <c r="D139" s="11" t="str">
        <f aca="false">IF(K139="","",IFERROR(INDEX(DECKS!$C$2:$C$1201,MATCH(K139,DECKS!$B$2:$B$1201,0)),TRIM(I139&amp;"")))</f>
        <v/>
      </c>
      <c r="E139" s="4"/>
      <c r="F139" s="12"/>
      <c r="G139" s="4"/>
      <c r="H139" s="13" t="str">
        <f aca="false">IF(OR(N(C139)=0,N(F139)=0),"",C139*F139)</f>
        <v/>
      </c>
      <c r="I139" s="4"/>
      <c r="J139" s="11" t="str">
        <f aca="false">IF(K139="","",IF(N(C139)&lt;=0,"Informe a quantidade",IF(IFERROR(INDEX(INVENTÁRIO!$B$2:$B$801,MATCH(K139,INVENTÁRIO!$A$2:$A$801,0)),"")="(sem nome)","Carta fora dos decks: digite o nome na coluna I (opcional)","")))</f>
        <v/>
      </c>
      <c r="K139" s="11" t="str">
        <f aca="false">UPPER(TRIM(SUBSTITUTE(B139&amp;"",CHAR(160)," ")))</f>
        <v/>
      </c>
      <c r="L139" s="11" t="str">
        <f aca="false">IF(AND(K139&lt;&gt;"",TRIM(I139&amp;"")&lt;&gt;""),K139,"")</f>
        <v/>
      </c>
    </row>
    <row r="140" customFormat="false" ht="15" hidden="false" customHeight="false" outlineLevel="0" collapsed="false">
      <c r="A140" s="9"/>
      <c r="B140" s="4"/>
      <c r="C140" s="10"/>
      <c r="D140" s="11" t="str">
        <f aca="false">IF(K140="","",IFERROR(INDEX(DECKS!$C$2:$C$1201,MATCH(K140,DECKS!$B$2:$B$1201,0)),TRIM(I140&amp;"")))</f>
        <v/>
      </c>
      <c r="E140" s="4"/>
      <c r="F140" s="12"/>
      <c r="G140" s="4"/>
      <c r="H140" s="13" t="str">
        <f aca="false">IF(OR(N(C140)=0,N(F140)=0),"",C140*F140)</f>
        <v/>
      </c>
      <c r="I140" s="4"/>
      <c r="J140" s="11" t="str">
        <f aca="false">IF(K140="","",IF(N(C140)&lt;=0,"Informe a quantidade",IF(IFERROR(INDEX(INVENTÁRIO!$B$2:$B$801,MATCH(K140,INVENTÁRIO!$A$2:$A$801,0)),"")="(sem nome)","Carta fora dos decks: digite o nome na coluna I (opcional)","")))</f>
        <v/>
      </c>
      <c r="K140" s="11" t="str">
        <f aca="false">UPPER(TRIM(SUBSTITUTE(B140&amp;"",CHAR(160)," ")))</f>
        <v/>
      </c>
      <c r="L140" s="11" t="str">
        <f aca="false">IF(AND(K140&lt;&gt;"",TRIM(I140&amp;"")&lt;&gt;""),K140,"")</f>
        <v/>
      </c>
    </row>
    <row r="141" customFormat="false" ht="15" hidden="false" customHeight="false" outlineLevel="0" collapsed="false">
      <c r="A141" s="9"/>
      <c r="B141" s="4"/>
      <c r="C141" s="10"/>
      <c r="D141" s="11" t="str">
        <f aca="false">IF(K141="","",IFERROR(INDEX(DECKS!$C$2:$C$1201,MATCH(K141,DECKS!$B$2:$B$1201,0)),TRIM(I141&amp;"")))</f>
        <v/>
      </c>
      <c r="E141" s="4"/>
      <c r="F141" s="12"/>
      <c r="G141" s="4"/>
      <c r="H141" s="13" t="str">
        <f aca="false">IF(OR(N(C141)=0,N(F141)=0),"",C141*F141)</f>
        <v/>
      </c>
      <c r="I141" s="4"/>
      <c r="J141" s="11" t="str">
        <f aca="false">IF(K141="","",IF(N(C141)&lt;=0,"Informe a quantidade",IF(IFERROR(INDEX(INVENTÁRIO!$B$2:$B$801,MATCH(K141,INVENTÁRIO!$A$2:$A$801,0)),"")="(sem nome)","Carta fora dos decks: digite o nome na coluna I (opcional)","")))</f>
        <v/>
      </c>
      <c r="K141" s="11" t="str">
        <f aca="false">UPPER(TRIM(SUBSTITUTE(B141&amp;"",CHAR(160)," ")))</f>
        <v/>
      </c>
      <c r="L141" s="11" t="str">
        <f aca="false">IF(AND(K141&lt;&gt;"",TRIM(I141&amp;"")&lt;&gt;""),K141,"")</f>
        <v/>
      </c>
    </row>
    <row r="142" customFormat="false" ht="15" hidden="false" customHeight="false" outlineLevel="0" collapsed="false">
      <c r="A142" s="9"/>
      <c r="B142" s="4"/>
      <c r="C142" s="10"/>
      <c r="D142" s="11" t="str">
        <f aca="false">IF(K142="","",IFERROR(INDEX(DECKS!$C$2:$C$1201,MATCH(K142,DECKS!$B$2:$B$1201,0)),TRIM(I142&amp;"")))</f>
        <v/>
      </c>
      <c r="E142" s="4"/>
      <c r="F142" s="12"/>
      <c r="G142" s="4"/>
      <c r="H142" s="13" t="str">
        <f aca="false">IF(OR(N(C142)=0,N(F142)=0),"",C142*F142)</f>
        <v/>
      </c>
      <c r="I142" s="4"/>
      <c r="J142" s="11" t="str">
        <f aca="false">IF(K142="","",IF(N(C142)&lt;=0,"Informe a quantidade",IF(IFERROR(INDEX(INVENTÁRIO!$B$2:$B$801,MATCH(K142,INVENTÁRIO!$A$2:$A$801,0)),"")="(sem nome)","Carta fora dos decks: digite o nome na coluna I (opcional)","")))</f>
        <v/>
      </c>
      <c r="K142" s="11" t="str">
        <f aca="false">UPPER(TRIM(SUBSTITUTE(B142&amp;"",CHAR(160)," ")))</f>
        <v/>
      </c>
      <c r="L142" s="11" t="str">
        <f aca="false">IF(AND(K142&lt;&gt;"",TRIM(I142&amp;"")&lt;&gt;""),K142,"")</f>
        <v/>
      </c>
    </row>
    <row r="143" customFormat="false" ht="15" hidden="false" customHeight="false" outlineLevel="0" collapsed="false">
      <c r="A143" s="9"/>
      <c r="B143" s="4"/>
      <c r="C143" s="10"/>
      <c r="D143" s="11" t="str">
        <f aca="false">IF(K143="","",IFERROR(INDEX(DECKS!$C$2:$C$1201,MATCH(K143,DECKS!$B$2:$B$1201,0)),TRIM(I143&amp;"")))</f>
        <v/>
      </c>
      <c r="E143" s="4"/>
      <c r="F143" s="12"/>
      <c r="G143" s="4"/>
      <c r="H143" s="13" t="str">
        <f aca="false">IF(OR(N(C143)=0,N(F143)=0),"",C143*F143)</f>
        <v/>
      </c>
      <c r="I143" s="4"/>
      <c r="J143" s="11" t="str">
        <f aca="false">IF(K143="","",IF(N(C143)&lt;=0,"Informe a quantidade",IF(IFERROR(INDEX(INVENTÁRIO!$B$2:$B$801,MATCH(K143,INVENTÁRIO!$A$2:$A$801,0)),"")="(sem nome)","Carta fora dos decks: digite o nome na coluna I (opcional)","")))</f>
        <v/>
      </c>
      <c r="K143" s="11" t="str">
        <f aca="false">UPPER(TRIM(SUBSTITUTE(B143&amp;"",CHAR(160)," ")))</f>
        <v/>
      </c>
      <c r="L143" s="11" t="str">
        <f aca="false">IF(AND(K143&lt;&gt;"",TRIM(I143&amp;"")&lt;&gt;""),K143,"")</f>
        <v/>
      </c>
    </row>
    <row r="144" customFormat="false" ht="15" hidden="false" customHeight="false" outlineLevel="0" collapsed="false">
      <c r="A144" s="9"/>
      <c r="B144" s="4"/>
      <c r="C144" s="10"/>
      <c r="D144" s="11" t="str">
        <f aca="false">IF(K144="","",IFERROR(INDEX(DECKS!$C$2:$C$1201,MATCH(K144,DECKS!$B$2:$B$1201,0)),TRIM(I144&amp;"")))</f>
        <v/>
      </c>
      <c r="E144" s="4"/>
      <c r="F144" s="12"/>
      <c r="G144" s="4"/>
      <c r="H144" s="13" t="str">
        <f aca="false">IF(OR(N(C144)=0,N(F144)=0),"",C144*F144)</f>
        <v/>
      </c>
      <c r="I144" s="4"/>
      <c r="J144" s="11" t="str">
        <f aca="false">IF(K144="","",IF(N(C144)&lt;=0,"Informe a quantidade",IF(IFERROR(INDEX(INVENTÁRIO!$B$2:$B$801,MATCH(K144,INVENTÁRIO!$A$2:$A$801,0)),"")="(sem nome)","Carta fora dos decks: digite o nome na coluna I (opcional)","")))</f>
        <v/>
      </c>
      <c r="K144" s="11" t="str">
        <f aca="false">UPPER(TRIM(SUBSTITUTE(B144&amp;"",CHAR(160)," ")))</f>
        <v/>
      </c>
      <c r="L144" s="11" t="str">
        <f aca="false">IF(AND(K144&lt;&gt;"",TRIM(I144&amp;"")&lt;&gt;""),K144,"")</f>
        <v/>
      </c>
    </row>
    <row r="145" customFormat="false" ht="15" hidden="false" customHeight="false" outlineLevel="0" collapsed="false">
      <c r="A145" s="9"/>
      <c r="B145" s="4"/>
      <c r="C145" s="10"/>
      <c r="D145" s="11" t="str">
        <f aca="false">IF(K145="","",IFERROR(INDEX(DECKS!$C$2:$C$1201,MATCH(K145,DECKS!$B$2:$B$1201,0)),TRIM(I145&amp;"")))</f>
        <v/>
      </c>
      <c r="E145" s="4"/>
      <c r="F145" s="12"/>
      <c r="G145" s="4"/>
      <c r="H145" s="13" t="str">
        <f aca="false">IF(OR(N(C145)=0,N(F145)=0),"",C145*F145)</f>
        <v/>
      </c>
      <c r="I145" s="4"/>
      <c r="J145" s="11" t="str">
        <f aca="false">IF(K145="","",IF(N(C145)&lt;=0,"Informe a quantidade",IF(IFERROR(INDEX(INVENTÁRIO!$B$2:$B$801,MATCH(K145,INVENTÁRIO!$A$2:$A$801,0)),"")="(sem nome)","Carta fora dos decks: digite o nome na coluna I (opcional)","")))</f>
        <v/>
      </c>
      <c r="K145" s="11" t="str">
        <f aca="false">UPPER(TRIM(SUBSTITUTE(B145&amp;"",CHAR(160)," ")))</f>
        <v/>
      </c>
      <c r="L145" s="11" t="str">
        <f aca="false">IF(AND(K145&lt;&gt;"",TRIM(I145&amp;"")&lt;&gt;""),K145,"")</f>
        <v/>
      </c>
    </row>
    <row r="146" customFormat="false" ht="15" hidden="false" customHeight="false" outlineLevel="0" collapsed="false">
      <c r="A146" s="9"/>
      <c r="B146" s="4"/>
      <c r="C146" s="10"/>
      <c r="D146" s="11" t="str">
        <f aca="false">IF(K146="","",IFERROR(INDEX(DECKS!$C$2:$C$1201,MATCH(K146,DECKS!$B$2:$B$1201,0)),TRIM(I146&amp;"")))</f>
        <v/>
      </c>
      <c r="E146" s="4"/>
      <c r="F146" s="12"/>
      <c r="G146" s="4"/>
      <c r="H146" s="13" t="str">
        <f aca="false">IF(OR(N(C146)=0,N(F146)=0),"",C146*F146)</f>
        <v/>
      </c>
      <c r="I146" s="4"/>
      <c r="J146" s="11" t="str">
        <f aca="false">IF(K146="","",IF(N(C146)&lt;=0,"Informe a quantidade",IF(IFERROR(INDEX(INVENTÁRIO!$B$2:$B$801,MATCH(K146,INVENTÁRIO!$A$2:$A$801,0)),"")="(sem nome)","Carta fora dos decks: digite o nome na coluna I (opcional)","")))</f>
        <v/>
      </c>
      <c r="K146" s="11" t="str">
        <f aca="false">UPPER(TRIM(SUBSTITUTE(B146&amp;"",CHAR(160)," ")))</f>
        <v/>
      </c>
      <c r="L146" s="11" t="str">
        <f aca="false">IF(AND(K146&lt;&gt;"",TRIM(I146&amp;"")&lt;&gt;""),K146,"")</f>
        <v/>
      </c>
    </row>
    <row r="147" customFormat="false" ht="15" hidden="false" customHeight="false" outlineLevel="0" collapsed="false">
      <c r="A147" s="9"/>
      <c r="B147" s="4"/>
      <c r="C147" s="10"/>
      <c r="D147" s="11" t="str">
        <f aca="false">IF(K147="","",IFERROR(INDEX(DECKS!$C$2:$C$1201,MATCH(K147,DECKS!$B$2:$B$1201,0)),TRIM(I147&amp;"")))</f>
        <v/>
      </c>
      <c r="E147" s="4"/>
      <c r="F147" s="12"/>
      <c r="G147" s="4"/>
      <c r="H147" s="13" t="str">
        <f aca="false">IF(OR(N(C147)=0,N(F147)=0),"",C147*F147)</f>
        <v/>
      </c>
      <c r="I147" s="4"/>
      <c r="J147" s="11" t="str">
        <f aca="false">IF(K147="","",IF(N(C147)&lt;=0,"Informe a quantidade",IF(IFERROR(INDEX(INVENTÁRIO!$B$2:$B$801,MATCH(K147,INVENTÁRIO!$A$2:$A$801,0)),"")="(sem nome)","Carta fora dos decks: digite o nome na coluna I (opcional)","")))</f>
        <v/>
      </c>
      <c r="K147" s="11" t="str">
        <f aca="false">UPPER(TRIM(SUBSTITUTE(B147&amp;"",CHAR(160)," ")))</f>
        <v/>
      </c>
      <c r="L147" s="11" t="str">
        <f aca="false">IF(AND(K147&lt;&gt;"",TRIM(I147&amp;"")&lt;&gt;""),K147,"")</f>
        <v/>
      </c>
    </row>
    <row r="148" customFormat="false" ht="15" hidden="false" customHeight="false" outlineLevel="0" collapsed="false">
      <c r="A148" s="9"/>
      <c r="B148" s="4"/>
      <c r="C148" s="10"/>
      <c r="D148" s="11" t="str">
        <f aca="false">IF(K148="","",IFERROR(INDEX(DECKS!$C$2:$C$1201,MATCH(K148,DECKS!$B$2:$B$1201,0)),TRIM(I148&amp;"")))</f>
        <v/>
      </c>
      <c r="E148" s="4"/>
      <c r="F148" s="12"/>
      <c r="G148" s="4"/>
      <c r="H148" s="13" t="str">
        <f aca="false">IF(OR(N(C148)=0,N(F148)=0),"",C148*F148)</f>
        <v/>
      </c>
      <c r="I148" s="4"/>
      <c r="J148" s="11" t="str">
        <f aca="false">IF(K148="","",IF(N(C148)&lt;=0,"Informe a quantidade",IF(IFERROR(INDEX(INVENTÁRIO!$B$2:$B$801,MATCH(K148,INVENTÁRIO!$A$2:$A$801,0)),"")="(sem nome)","Carta fora dos decks: digite o nome na coluna I (opcional)","")))</f>
        <v/>
      </c>
      <c r="K148" s="11" t="str">
        <f aca="false">UPPER(TRIM(SUBSTITUTE(B148&amp;"",CHAR(160)," ")))</f>
        <v/>
      </c>
      <c r="L148" s="11" t="str">
        <f aca="false">IF(AND(K148&lt;&gt;"",TRIM(I148&amp;"")&lt;&gt;""),K148,"")</f>
        <v/>
      </c>
    </row>
    <row r="149" customFormat="false" ht="15" hidden="false" customHeight="false" outlineLevel="0" collapsed="false">
      <c r="A149" s="9"/>
      <c r="B149" s="4"/>
      <c r="C149" s="10"/>
      <c r="D149" s="11" t="str">
        <f aca="false">IF(K149="","",IFERROR(INDEX(DECKS!$C$2:$C$1201,MATCH(K149,DECKS!$B$2:$B$1201,0)),TRIM(I149&amp;"")))</f>
        <v/>
      </c>
      <c r="E149" s="4"/>
      <c r="F149" s="12"/>
      <c r="G149" s="4"/>
      <c r="H149" s="13" t="str">
        <f aca="false">IF(OR(N(C149)=0,N(F149)=0),"",C149*F149)</f>
        <v/>
      </c>
      <c r="I149" s="4"/>
      <c r="J149" s="11" t="str">
        <f aca="false">IF(K149="","",IF(N(C149)&lt;=0,"Informe a quantidade",IF(IFERROR(INDEX(INVENTÁRIO!$B$2:$B$801,MATCH(K149,INVENTÁRIO!$A$2:$A$801,0)),"")="(sem nome)","Carta fora dos decks: digite o nome na coluna I (opcional)","")))</f>
        <v/>
      </c>
      <c r="K149" s="11" t="str">
        <f aca="false">UPPER(TRIM(SUBSTITUTE(B149&amp;"",CHAR(160)," ")))</f>
        <v/>
      </c>
      <c r="L149" s="11" t="str">
        <f aca="false">IF(AND(K149&lt;&gt;"",TRIM(I149&amp;"")&lt;&gt;""),K149,"")</f>
        <v/>
      </c>
    </row>
    <row r="150" customFormat="false" ht="15" hidden="false" customHeight="false" outlineLevel="0" collapsed="false">
      <c r="A150" s="9"/>
      <c r="B150" s="4"/>
      <c r="C150" s="10"/>
      <c r="D150" s="11" t="str">
        <f aca="false">IF(K150="","",IFERROR(INDEX(DECKS!$C$2:$C$1201,MATCH(K150,DECKS!$B$2:$B$1201,0)),TRIM(I150&amp;"")))</f>
        <v/>
      </c>
      <c r="E150" s="4"/>
      <c r="F150" s="12"/>
      <c r="G150" s="4"/>
      <c r="H150" s="13" t="str">
        <f aca="false">IF(OR(N(C150)=0,N(F150)=0),"",C150*F150)</f>
        <v/>
      </c>
      <c r="I150" s="4"/>
      <c r="J150" s="11" t="str">
        <f aca="false">IF(K150="","",IF(N(C150)&lt;=0,"Informe a quantidade",IF(IFERROR(INDEX(INVENTÁRIO!$B$2:$B$801,MATCH(K150,INVENTÁRIO!$A$2:$A$801,0)),"")="(sem nome)","Carta fora dos decks: digite o nome na coluna I (opcional)","")))</f>
        <v/>
      </c>
      <c r="K150" s="11" t="str">
        <f aca="false">UPPER(TRIM(SUBSTITUTE(B150&amp;"",CHAR(160)," ")))</f>
        <v/>
      </c>
      <c r="L150" s="11" t="str">
        <f aca="false">IF(AND(K150&lt;&gt;"",TRIM(I150&amp;"")&lt;&gt;""),K150,"")</f>
        <v/>
      </c>
    </row>
    <row r="151" customFormat="false" ht="15" hidden="false" customHeight="false" outlineLevel="0" collapsed="false">
      <c r="A151" s="9"/>
      <c r="B151" s="4"/>
      <c r="C151" s="10"/>
      <c r="D151" s="11" t="str">
        <f aca="false">IF(K151="","",IFERROR(INDEX(DECKS!$C$2:$C$1201,MATCH(K151,DECKS!$B$2:$B$1201,0)),TRIM(I151&amp;"")))</f>
        <v/>
      </c>
      <c r="E151" s="4"/>
      <c r="F151" s="12"/>
      <c r="G151" s="4"/>
      <c r="H151" s="13" t="str">
        <f aca="false">IF(OR(N(C151)=0,N(F151)=0),"",C151*F151)</f>
        <v/>
      </c>
      <c r="I151" s="4"/>
      <c r="J151" s="11" t="str">
        <f aca="false">IF(K151="","",IF(N(C151)&lt;=0,"Informe a quantidade",IF(IFERROR(INDEX(INVENTÁRIO!$B$2:$B$801,MATCH(K151,INVENTÁRIO!$A$2:$A$801,0)),"")="(sem nome)","Carta fora dos decks: digite o nome na coluna I (opcional)","")))</f>
        <v/>
      </c>
      <c r="K151" s="11" t="str">
        <f aca="false">UPPER(TRIM(SUBSTITUTE(B151&amp;"",CHAR(160)," ")))</f>
        <v/>
      </c>
      <c r="L151" s="11" t="str">
        <f aca="false">IF(AND(K151&lt;&gt;"",TRIM(I151&amp;"")&lt;&gt;""),K151,"")</f>
        <v/>
      </c>
    </row>
    <row r="152" customFormat="false" ht="15" hidden="false" customHeight="false" outlineLevel="0" collapsed="false">
      <c r="A152" s="9"/>
      <c r="B152" s="4"/>
      <c r="C152" s="10"/>
      <c r="D152" s="11" t="str">
        <f aca="false">IF(K152="","",IFERROR(INDEX(DECKS!$C$2:$C$1201,MATCH(K152,DECKS!$B$2:$B$1201,0)),TRIM(I152&amp;"")))</f>
        <v/>
      </c>
      <c r="E152" s="4"/>
      <c r="F152" s="12"/>
      <c r="G152" s="4"/>
      <c r="H152" s="13" t="str">
        <f aca="false">IF(OR(N(C152)=0,N(F152)=0),"",C152*F152)</f>
        <v/>
      </c>
      <c r="I152" s="4"/>
      <c r="J152" s="11" t="str">
        <f aca="false">IF(K152="","",IF(N(C152)&lt;=0,"Informe a quantidade",IF(IFERROR(INDEX(INVENTÁRIO!$B$2:$B$801,MATCH(K152,INVENTÁRIO!$A$2:$A$801,0)),"")="(sem nome)","Carta fora dos decks: digite o nome na coluna I (opcional)","")))</f>
        <v/>
      </c>
      <c r="K152" s="11" t="str">
        <f aca="false">UPPER(TRIM(SUBSTITUTE(B152&amp;"",CHAR(160)," ")))</f>
        <v/>
      </c>
      <c r="L152" s="11" t="str">
        <f aca="false">IF(AND(K152&lt;&gt;"",TRIM(I152&amp;"")&lt;&gt;""),K152,"")</f>
        <v/>
      </c>
    </row>
    <row r="153" customFormat="false" ht="15" hidden="false" customHeight="false" outlineLevel="0" collapsed="false">
      <c r="A153" s="9"/>
      <c r="B153" s="4"/>
      <c r="C153" s="10"/>
      <c r="D153" s="11" t="str">
        <f aca="false">IF(K153="","",IFERROR(INDEX(DECKS!$C$2:$C$1201,MATCH(K153,DECKS!$B$2:$B$1201,0)),TRIM(I153&amp;"")))</f>
        <v/>
      </c>
      <c r="E153" s="4"/>
      <c r="F153" s="12"/>
      <c r="G153" s="4"/>
      <c r="H153" s="13" t="str">
        <f aca="false">IF(OR(N(C153)=0,N(F153)=0),"",C153*F153)</f>
        <v/>
      </c>
      <c r="I153" s="4"/>
      <c r="J153" s="11" t="str">
        <f aca="false">IF(K153="","",IF(N(C153)&lt;=0,"Informe a quantidade",IF(IFERROR(INDEX(INVENTÁRIO!$B$2:$B$801,MATCH(K153,INVENTÁRIO!$A$2:$A$801,0)),"")="(sem nome)","Carta fora dos decks: digite o nome na coluna I (opcional)","")))</f>
        <v/>
      </c>
      <c r="K153" s="11" t="str">
        <f aca="false">UPPER(TRIM(SUBSTITUTE(B153&amp;"",CHAR(160)," ")))</f>
        <v/>
      </c>
      <c r="L153" s="11" t="str">
        <f aca="false">IF(AND(K153&lt;&gt;"",TRIM(I153&amp;"")&lt;&gt;""),K153,"")</f>
        <v/>
      </c>
    </row>
    <row r="154" customFormat="false" ht="15" hidden="false" customHeight="false" outlineLevel="0" collapsed="false">
      <c r="A154" s="9"/>
      <c r="B154" s="4"/>
      <c r="C154" s="10"/>
      <c r="D154" s="11" t="str">
        <f aca="false">IF(K154="","",IFERROR(INDEX(DECKS!$C$2:$C$1201,MATCH(K154,DECKS!$B$2:$B$1201,0)),TRIM(I154&amp;"")))</f>
        <v/>
      </c>
      <c r="E154" s="4"/>
      <c r="F154" s="12"/>
      <c r="G154" s="4"/>
      <c r="H154" s="13" t="str">
        <f aca="false">IF(OR(N(C154)=0,N(F154)=0),"",C154*F154)</f>
        <v/>
      </c>
      <c r="I154" s="4"/>
      <c r="J154" s="11" t="str">
        <f aca="false">IF(K154="","",IF(N(C154)&lt;=0,"Informe a quantidade",IF(IFERROR(INDEX(INVENTÁRIO!$B$2:$B$801,MATCH(K154,INVENTÁRIO!$A$2:$A$801,0)),"")="(sem nome)","Carta fora dos decks: digite o nome na coluna I (opcional)","")))</f>
        <v/>
      </c>
      <c r="K154" s="11" t="str">
        <f aca="false">UPPER(TRIM(SUBSTITUTE(B154&amp;"",CHAR(160)," ")))</f>
        <v/>
      </c>
      <c r="L154" s="11" t="str">
        <f aca="false">IF(AND(K154&lt;&gt;"",TRIM(I154&amp;"")&lt;&gt;""),K154,"")</f>
        <v/>
      </c>
    </row>
    <row r="155" customFormat="false" ht="15" hidden="false" customHeight="false" outlineLevel="0" collapsed="false">
      <c r="A155" s="9"/>
      <c r="B155" s="4"/>
      <c r="C155" s="10"/>
      <c r="D155" s="11" t="str">
        <f aca="false">IF(K155="","",IFERROR(INDEX(DECKS!$C$2:$C$1201,MATCH(K155,DECKS!$B$2:$B$1201,0)),TRIM(I155&amp;"")))</f>
        <v/>
      </c>
      <c r="E155" s="4"/>
      <c r="F155" s="12"/>
      <c r="G155" s="4"/>
      <c r="H155" s="13" t="str">
        <f aca="false">IF(OR(N(C155)=0,N(F155)=0),"",C155*F155)</f>
        <v/>
      </c>
      <c r="I155" s="4"/>
      <c r="J155" s="11" t="str">
        <f aca="false">IF(K155="","",IF(N(C155)&lt;=0,"Informe a quantidade",IF(IFERROR(INDEX(INVENTÁRIO!$B$2:$B$801,MATCH(K155,INVENTÁRIO!$A$2:$A$801,0)),"")="(sem nome)","Carta fora dos decks: digite o nome na coluna I (opcional)","")))</f>
        <v/>
      </c>
      <c r="K155" s="11" t="str">
        <f aca="false">UPPER(TRIM(SUBSTITUTE(B155&amp;"",CHAR(160)," ")))</f>
        <v/>
      </c>
      <c r="L155" s="11" t="str">
        <f aca="false">IF(AND(K155&lt;&gt;"",TRIM(I155&amp;"")&lt;&gt;""),K155,"")</f>
        <v/>
      </c>
    </row>
    <row r="156" customFormat="false" ht="15" hidden="false" customHeight="false" outlineLevel="0" collapsed="false">
      <c r="A156" s="9"/>
      <c r="B156" s="4"/>
      <c r="C156" s="10"/>
      <c r="D156" s="11" t="str">
        <f aca="false">IF(K156="","",IFERROR(INDEX(DECKS!$C$2:$C$1201,MATCH(K156,DECKS!$B$2:$B$1201,0)),TRIM(I156&amp;"")))</f>
        <v/>
      </c>
      <c r="E156" s="4"/>
      <c r="F156" s="12"/>
      <c r="G156" s="4"/>
      <c r="H156" s="13" t="str">
        <f aca="false">IF(OR(N(C156)=0,N(F156)=0),"",C156*F156)</f>
        <v/>
      </c>
      <c r="I156" s="4"/>
      <c r="J156" s="11" t="str">
        <f aca="false">IF(K156="","",IF(N(C156)&lt;=0,"Informe a quantidade",IF(IFERROR(INDEX(INVENTÁRIO!$B$2:$B$801,MATCH(K156,INVENTÁRIO!$A$2:$A$801,0)),"")="(sem nome)","Carta fora dos decks: digite o nome na coluna I (opcional)","")))</f>
        <v/>
      </c>
      <c r="K156" s="11" t="str">
        <f aca="false">UPPER(TRIM(SUBSTITUTE(B156&amp;"",CHAR(160)," ")))</f>
        <v/>
      </c>
      <c r="L156" s="11" t="str">
        <f aca="false">IF(AND(K156&lt;&gt;"",TRIM(I156&amp;"")&lt;&gt;""),K156,"")</f>
        <v/>
      </c>
    </row>
    <row r="157" customFormat="false" ht="15" hidden="false" customHeight="false" outlineLevel="0" collapsed="false">
      <c r="A157" s="9"/>
      <c r="B157" s="4"/>
      <c r="C157" s="10"/>
      <c r="D157" s="11" t="str">
        <f aca="false">IF(K157="","",IFERROR(INDEX(DECKS!$C$2:$C$1201,MATCH(K157,DECKS!$B$2:$B$1201,0)),TRIM(I157&amp;"")))</f>
        <v/>
      </c>
      <c r="E157" s="4"/>
      <c r="F157" s="12"/>
      <c r="G157" s="4"/>
      <c r="H157" s="13" t="str">
        <f aca="false">IF(OR(N(C157)=0,N(F157)=0),"",C157*F157)</f>
        <v/>
      </c>
      <c r="I157" s="4"/>
      <c r="J157" s="11" t="str">
        <f aca="false">IF(K157="","",IF(N(C157)&lt;=0,"Informe a quantidade",IF(IFERROR(INDEX(INVENTÁRIO!$B$2:$B$801,MATCH(K157,INVENTÁRIO!$A$2:$A$801,0)),"")="(sem nome)","Carta fora dos decks: digite o nome na coluna I (opcional)","")))</f>
        <v/>
      </c>
      <c r="K157" s="11" t="str">
        <f aca="false">UPPER(TRIM(SUBSTITUTE(B157&amp;"",CHAR(160)," ")))</f>
        <v/>
      </c>
      <c r="L157" s="11" t="str">
        <f aca="false">IF(AND(K157&lt;&gt;"",TRIM(I157&amp;"")&lt;&gt;""),K157,"")</f>
        <v/>
      </c>
    </row>
    <row r="158" customFormat="false" ht="15" hidden="false" customHeight="false" outlineLevel="0" collapsed="false">
      <c r="A158" s="9"/>
      <c r="B158" s="4"/>
      <c r="C158" s="10"/>
      <c r="D158" s="11" t="str">
        <f aca="false">IF(K158="","",IFERROR(INDEX(DECKS!$C$2:$C$1201,MATCH(K158,DECKS!$B$2:$B$1201,0)),TRIM(I158&amp;"")))</f>
        <v/>
      </c>
      <c r="E158" s="4"/>
      <c r="F158" s="12"/>
      <c r="G158" s="4"/>
      <c r="H158" s="13" t="str">
        <f aca="false">IF(OR(N(C158)=0,N(F158)=0),"",C158*F158)</f>
        <v/>
      </c>
      <c r="I158" s="4"/>
      <c r="J158" s="11" t="str">
        <f aca="false">IF(K158="","",IF(N(C158)&lt;=0,"Informe a quantidade",IF(IFERROR(INDEX(INVENTÁRIO!$B$2:$B$801,MATCH(K158,INVENTÁRIO!$A$2:$A$801,0)),"")="(sem nome)","Carta fora dos decks: digite o nome na coluna I (opcional)","")))</f>
        <v/>
      </c>
      <c r="K158" s="11" t="str">
        <f aca="false">UPPER(TRIM(SUBSTITUTE(B158&amp;"",CHAR(160)," ")))</f>
        <v/>
      </c>
      <c r="L158" s="11" t="str">
        <f aca="false">IF(AND(K158&lt;&gt;"",TRIM(I158&amp;"")&lt;&gt;""),K158,"")</f>
        <v/>
      </c>
    </row>
    <row r="159" customFormat="false" ht="15" hidden="false" customHeight="false" outlineLevel="0" collapsed="false">
      <c r="A159" s="9"/>
      <c r="B159" s="4"/>
      <c r="C159" s="10"/>
      <c r="D159" s="11" t="str">
        <f aca="false">IF(K159="","",IFERROR(INDEX(DECKS!$C$2:$C$1201,MATCH(K159,DECKS!$B$2:$B$1201,0)),TRIM(I159&amp;"")))</f>
        <v/>
      </c>
      <c r="E159" s="4"/>
      <c r="F159" s="12"/>
      <c r="G159" s="4"/>
      <c r="H159" s="13" t="str">
        <f aca="false">IF(OR(N(C159)=0,N(F159)=0),"",C159*F159)</f>
        <v/>
      </c>
      <c r="I159" s="4"/>
      <c r="J159" s="11" t="str">
        <f aca="false">IF(K159="","",IF(N(C159)&lt;=0,"Informe a quantidade",IF(IFERROR(INDEX(INVENTÁRIO!$B$2:$B$801,MATCH(K159,INVENTÁRIO!$A$2:$A$801,0)),"")="(sem nome)","Carta fora dos decks: digite o nome na coluna I (opcional)","")))</f>
        <v/>
      </c>
      <c r="K159" s="11" t="str">
        <f aca="false">UPPER(TRIM(SUBSTITUTE(B159&amp;"",CHAR(160)," ")))</f>
        <v/>
      </c>
      <c r="L159" s="11" t="str">
        <f aca="false">IF(AND(K159&lt;&gt;"",TRIM(I159&amp;"")&lt;&gt;""),K159,"")</f>
        <v/>
      </c>
    </row>
    <row r="160" customFormat="false" ht="15" hidden="false" customHeight="false" outlineLevel="0" collapsed="false">
      <c r="A160" s="9"/>
      <c r="B160" s="4"/>
      <c r="C160" s="10"/>
      <c r="D160" s="11" t="str">
        <f aca="false">IF(K160="","",IFERROR(INDEX(DECKS!$C$2:$C$1201,MATCH(K160,DECKS!$B$2:$B$1201,0)),TRIM(I160&amp;"")))</f>
        <v/>
      </c>
      <c r="E160" s="4"/>
      <c r="F160" s="12"/>
      <c r="G160" s="4"/>
      <c r="H160" s="13" t="str">
        <f aca="false">IF(OR(N(C160)=0,N(F160)=0),"",C160*F160)</f>
        <v/>
      </c>
      <c r="I160" s="4"/>
      <c r="J160" s="11" t="str">
        <f aca="false">IF(K160="","",IF(N(C160)&lt;=0,"Informe a quantidade",IF(IFERROR(INDEX(INVENTÁRIO!$B$2:$B$801,MATCH(K160,INVENTÁRIO!$A$2:$A$801,0)),"")="(sem nome)","Carta fora dos decks: digite o nome na coluna I (opcional)","")))</f>
        <v/>
      </c>
      <c r="K160" s="11" t="str">
        <f aca="false">UPPER(TRIM(SUBSTITUTE(B160&amp;"",CHAR(160)," ")))</f>
        <v/>
      </c>
      <c r="L160" s="11" t="str">
        <f aca="false">IF(AND(K160&lt;&gt;"",TRIM(I160&amp;"")&lt;&gt;""),K160,"")</f>
        <v/>
      </c>
    </row>
    <row r="161" customFormat="false" ht="15" hidden="false" customHeight="false" outlineLevel="0" collapsed="false">
      <c r="A161" s="9"/>
      <c r="B161" s="4"/>
      <c r="C161" s="10"/>
      <c r="D161" s="11" t="str">
        <f aca="false">IF(K161="","",IFERROR(INDEX(DECKS!$C$2:$C$1201,MATCH(K161,DECKS!$B$2:$B$1201,0)),TRIM(I161&amp;"")))</f>
        <v/>
      </c>
      <c r="E161" s="4"/>
      <c r="F161" s="12"/>
      <c r="G161" s="4"/>
      <c r="H161" s="13" t="str">
        <f aca="false">IF(OR(N(C161)=0,N(F161)=0),"",C161*F161)</f>
        <v/>
      </c>
      <c r="I161" s="4"/>
      <c r="J161" s="11" t="str">
        <f aca="false">IF(K161="","",IF(N(C161)&lt;=0,"Informe a quantidade",IF(IFERROR(INDEX(INVENTÁRIO!$B$2:$B$801,MATCH(K161,INVENTÁRIO!$A$2:$A$801,0)),"")="(sem nome)","Carta fora dos decks: digite o nome na coluna I (opcional)","")))</f>
        <v/>
      </c>
      <c r="K161" s="11" t="str">
        <f aca="false">UPPER(TRIM(SUBSTITUTE(B161&amp;"",CHAR(160)," ")))</f>
        <v/>
      </c>
      <c r="L161" s="11" t="str">
        <f aca="false">IF(AND(K161&lt;&gt;"",TRIM(I161&amp;"")&lt;&gt;""),K161,"")</f>
        <v/>
      </c>
    </row>
    <row r="162" customFormat="false" ht="15" hidden="false" customHeight="false" outlineLevel="0" collapsed="false">
      <c r="A162" s="9"/>
      <c r="B162" s="4"/>
      <c r="C162" s="10"/>
      <c r="D162" s="11" t="str">
        <f aca="false">IF(K162="","",IFERROR(INDEX(DECKS!$C$2:$C$1201,MATCH(K162,DECKS!$B$2:$B$1201,0)),TRIM(I162&amp;"")))</f>
        <v/>
      </c>
      <c r="E162" s="4"/>
      <c r="F162" s="12"/>
      <c r="G162" s="4"/>
      <c r="H162" s="13" t="str">
        <f aca="false">IF(OR(N(C162)=0,N(F162)=0),"",C162*F162)</f>
        <v/>
      </c>
      <c r="I162" s="4"/>
      <c r="J162" s="11" t="str">
        <f aca="false">IF(K162="","",IF(N(C162)&lt;=0,"Informe a quantidade",IF(IFERROR(INDEX(INVENTÁRIO!$B$2:$B$801,MATCH(K162,INVENTÁRIO!$A$2:$A$801,0)),"")="(sem nome)","Carta fora dos decks: digite o nome na coluna I (opcional)","")))</f>
        <v/>
      </c>
      <c r="K162" s="11" t="str">
        <f aca="false">UPPER(TRIM(SUBSTITUTE(B162&amp;"",CHAR(160)," ")))</f>
        <v/>
      </c>
      <c r="L162" s="11" t="str">
        <f aca="false">IF(AND(K162&lt;&gt;"",TRIM(I162&amp;"")&lt;&gt;""),K162,"")</f>
        <v/>
      </c>
    </row>
    <row r="163" customFormat="false" ht="15" hidden="false" customHeight="false" outlineLevel="0" collapsed="false">
      <c r="A163" s="9"/>
      <c r="B163" s="4"/>
      <c r="C163" s="10"/>
      <c r="D163" s="11" t="str">
        <f aca="false">IF(K163="","",IFERROR(INDEX(DECKS!$C$2:$C$1201,MATCH(K163,DECKS!$B$2:$B$1201,0)),TRIM(I163&amp;"")))</f>
        <v/>
      </c>
      <c r="E163" s="4"/>
      <c r="F163" s="12"/>
      <c r="G163" s="4"/>
      <c r="H163" s="13" t="str">
        <f aca="false">IF(OR(N(C163)=0,N(F163)=0),"",C163*F163)</f>
        <v/>
      </c>
      <c r="I163" s="4"/>
      <c r="J163" s="11" t="str">
        <f aca="false">IF(K163="","",IF(N(C163)&lt;=0,"Informe a quantidade",IF(IFERROR(INDEX(INVENTÁRIO!$B$2:$B$801,MATCH(K163,INVENTÁRIO!$A$2:$A$801,0)),"")="(sem nome)","Carta fora dos decks: digite o nome na coluna I (opcional)","")))</f>
        <v/>
      </c>
      <c r="K163" s="11" t="str">
        <f aca="false">UPPER(TRIM(SUBSTITUTE(B163&amp;"",CHAR(160)," ")))</f>
        <v/>
      </c>
      <c r="L163" s="11" t="str">
        <f aca="false">IF(AND(K163&lt;&gt;"",TRIM(I163&amp;"")&lt;&gt;""),K163,"")</f>
        <v/>
      </c>
    </row>
    <row r="164" customFormat="false" ht="15" hidden="false" customHeight="false" outlineLevel="0" collapsed="false">
      <c r="A164" s="9"/>
      <c r="B164" s="4"/>
      <c r="C164" s="10"/>
      <c r="D164" s="11" t="str">
        <f aca="false">IF(K164="","",IFERROR(INDEX(DECKS!$C$2:$C$1201,MATCH(K164,DECKS!$B$2:$B$1201,0)),TRIM(I164&amp;"")))</f>
        <v/>
      </c>
      <c r="E164" s="4"/>
      <c r="F164" s="12"/>
      <c r="G164" s="4"/>
      <c r="H164" s="13" t="str">
        <f aca="false">IF(OR(N(C164)=0,N(F164)=0),"",C164*F164)</f>
        <v/>
      </c>
      <c r="I164" s="4"/>
      <c r="J164" s="11" t="str">
        <f aca="false">IF(K164="","",IF(N(C164)&lt;=0,"Informe a quantidade",IF(IFERROR(INDEX(INVENTÁRIO!$B$2:$B$801,MATCH(K164,INVENTÁRIO!$A$2:$A$801,0)),"")="(sem nome)","Carta fora dos decks: digite o nome na coluna I (opcional)","")))</f>
        <v/>
      </c>
      <c r="K164" s="11" t="str">
        <f aca="false">UPPER(TRIM(SUBSTITUTE(B164&amp;"",CHAR(160)," ")))</f>
        <v/>
      </c>
      <c r="L164" s="11" t="str">
        <f aca="false">IF(AND(K164&lt;&gt;"",TRIM(I164&amp;"")&lt;&gt;""),K164,"")</f>
        <v/>
      </c>
    </row>
    <row r="165" customFormat="false" ht="15" hidden="false" customHeight="false" outlineLevel="0" collapsed="false">
      <c r="A165" s="9"/>
      <c r="B165" s="4"/>
      <c r="C165" s="10"/>
      <c r="D165" s="11" t="str">
        <f aca="false">IF(K165="","",IFERROR(INDEX(DECKS!$C$2:$C$1201,MATCH(K165,DECKS!$B$2:$B$1201,0)),TRIM(I165&amp;"")))</f>
        <v/>
      </c>
      <c r="E165" s="4"/>
      <c r="F165" s="12"/>
      <c r="G165" s="4"/>
      <c r="H165" s="13" t="str">
        <f aca="false">IF(OR(N(C165)=0,N(F165)=0),"",C165*F165)</f>
        <v/>
      </c>
      <c r="I165" s="4"/>
      <c r="J165" s="11" t="str">
        <f aca="false">IF(K165="","",IF(N(C165)&lt;=0,"Informe a quantidade",IF(IFERROR(INDEX(INVENTÁRIO!$B$2:$B$801,MATCH(K165,INVENTÁRIO!$A$2:$A$801,0)),"")="(sem nome)","Carta fora dos decks: digite o nome na coluna I (opcional)","")))</f>
        <v/>
      </c>
      <c r="K165" s="11" t="str">
        <f aca="false">UPPER(TRIM(SUBSTITUTE(B165&amp;"",CHAR(160)," ")))</f>
        <v/>
      </c>
      <c r="L165" s="11" t="str">
        <f aca="false">IF(AND(K165&lt;&gt;"",TRIM(I165&amp;"")&lt;&gt;""),K165,"")</f>
        <v/>
      </c>
    </row>
    <row r="166" customFormat="false" ht="15" hidden="false" customHeight="false" outlineLevel="0" collapsed="false">
      <c r="A166" s="9"/>
      <c r="B166" s="4"/>
      <c r="C166" s="10"/>
      <c r="D166" s="11" t="str">
        <f aca="false">IF(K166="","",IFERROR(INDEX(DECKS!$C$2:$C$1201,MATCH(K166,DECKS!$B$2:$B$1201,0)),TRIM(I166&amp;"")))</f>
        <v/>
      </c>
      <c r="E166" s="4"/>
      <c r="F166" s="12"/>
      <c r="G166" s="4"/>
      <c r="H166" s="13" t="str">
        <f aca="false">IF(OR(N(C166)=0,N(F166)=0),"",C166*F166)</f>
        <v/>
      </c>
      <c r="I166" s="4"/>
      <c r="J166" s="11" t="str">
        <f aca="false">IF(K166="","",IF(N(C166)&lt;=0,"Informe a quantidade",IF(IFERROR(INDEX(INVENTÁRIO!$B$2:$B$801,MATCH(K166,INVENTÁRIO!$A$2:$A$801,0)),"")="(sem nome)","Carta fora dos decks: digite o nome na coluna I (opcional)","")))</f>
        <v/>
      </c>
      <c r="K166" s="11" t="str">
        <f aca="false">UPPER(TRIM(SUBSTITUTE(B166&amp;"",CHAR(160)," ")))</f>
        <v/>
      </c>
      <c r="L166" s="11" t="str">
        <f aca="false">IF(AND(K166&lt;&gt;"",TRIM(I166&amp;"")&lt;&gt;""),K166,"")</f>
        <v/>
      </c>
    </row>
    <row r="167" customFormat="false" ht="15" hidden="false" customHeight="false" outlineLevel="0" collapsed="false">
      <c r="A167" s="9"/>
      <c r="B167" s="4"/>
      <c r="C167" s="10"/>
      <c r="D167" s="11" t="str">
        <f aca="false">IF(K167="","",IFERROR(INDEX(DECKS!$C$2:$C$1201,MATCH(K167,DECKS!$B$2:$B$1201,0)),TRIM(I167&amp;"")))</f>
        <v/>
      </c>
      <c r="E167" s="4"/>
      <c r="F167" s="12"/>
      <c r="G167" s="4"/>
      <c r="H167" s="13" t="str">
        <f aca="false">IF(OR(N(C167)=0,N(F167)=0),"",C167*F167)</f>
        <v/>
      </c>
      <c r="I167" s="4"/>
      <c r="J167" s="11" t="str">
        <f aca="false">IF(K167="","",IF(N(C167)&lt;=0,"Informe a quantidade",IF(IFERROR(INDEX(INVENTÁRIO!$B$2:$B$801,MATCH(K167,INVENTÁRIO!$A$2:$A$801,0)),"")="(sem nome)","Carta fora dos decks: digite o nome na coluna I (opcional)","")))</f>
        <v/>
      </c>
      <c r="K167" s="11" t="str">
        <f aca="false">UPPER(TRIM(SUBSTITUTE(B167&amp;"",CHAR(160)," ")))</f>
        <v/>
      </c>
      <c r="L167" s="11" t="str">
        <f aca="false">IF(AND(K167&lt;&gt;"",TRIM(I167&amp;"")&lt;&gt;""),K167,"")</f>
        <v/>
      </c>
    </row>
    <row r="168" customFormat="false" ht="15" hidden="false" customHeight="false" outlineLevel="0" collapsed="false">
      <c r="A168" s="9"/>
      <c r="B168" s="4"/>
      <c r="C168" s="10"/>
      <c r="D168" s="11" t="str">
        <f aca="false">IF(K168="","",IFERROR(INDEX(DECKS!$C$2:$C$1201,MATCH(K168,DECKS!$B$2:$B$1201,0)),TRIM(I168&amp;"")))</f>
        <v/>
      </c>
      <c r="E168" s="4"/>
      <c r="F168" s="12"/>
      <c r="G168" s="4"/>
      <c r="H168" s="13" t="str">
        <f aca="false">IF(OR(N(C168)=0,N(F168)=0),"",C168*F168)</f>
        <v/>
      </c>
      <c r="I168" s="4"/>
      <c r="J168" s="11" t="str">
        <f aca="false">IF(K168="","",IF(N(C168)&lt;=0,"Informe a quantidade",IF(IFERROR(INDEX(INVENTÁRIO!$B$2:$B$801,MATCH(K168,INVENTÁRIO!$A$2:$A$801,0)),"")="(sem nome)","Carta fora dos decks: digite o nome na coluna I (opcional)","")))</f>
        <v/>
      </c>
      <c r="K168" s="11" t="str">
        <f aca="false">UPPER(TRIM(SUBSTITUTE(B168&amp;"",CHAR(160)," ")))</f>
        <v/>
      </c>
      <c r="L168" s="11" t="str">
        <f aca="false">IF(AND(K168&lt;&gt;"",TRIM(I168&amp;"")&lt;&gt;""),K168,"")</f>
        <v/>
      </c>
    </row>
    <row r="169" customFormat="false" ht="15" hidden="false" customHeight="false" outlineLevel="0" collapsed="false">
      <c r="A169" s="9"/>
      <c r="B169" s="4"/>
      <c r="C169" s="10"/>
      <c r="D169" s="11" t="str">
        <f aca="false">IF(K169="","",IFERROR(INDEX(DECKS!$C$2:$C$1201,MATCH(K169,DECKS!$B$2:$B$1201,0)),TRIM(I169&amp;"")))</f>
        <v/>
      </c>
      <c r="E169" s="4"/>
      <c r="F169" s="12"/>
      <c r="G169" s="4"/>
      <c r="H169" s="13" t="str">
        <f aca="false">IF(OR(N(C169)=0,N(F169)=0),"",C169*F169)</f>
        <v/>
      </c>
      <c r="I169" s="4"/>
      <c r="J169" s="11" t="str">
        <f aca="false">IF(K169="","",IF(N(C169)&lt;=0,"Informe a quantidade",IF(IFERROR(INDEX(INVENTÁRIO!$B$2:$B$801,MATCH(K169,INVENTÁRIO!$A$2:$A$801,0)),"")="(sem nome)","Carta fora dos decks: digite o nome na coluna I (opcional)","")))</f>
        <v/>
      </c>
      <c r="K169" s="11" t="str">
        <f aca="false">UPPER(TRIM(SUBSTITUTE(B169&amp;"",CHAR(160)," ")))</f>
        <v/>
      </c>
      <c r="L169" s="11" t="str">
        <f aca="false">IF(AND(K169&lt;&gt;"",TRIM(I169&amp;"")&lt;&gt;""),K169,"")</f>
        <v/>
      </c>
    </row>
    <row r="170" customFormat="false" ht="15" hidden="false" customHeight="false" outlineLevel="0" collapsed="false">
      <c r="A170" s="9"/>
      <c r="B170" s="4"/>
      <c r="C170" s="10"/>
      <c r="D170" s="11" t="str">
        <f aca="false">IF(K170="","",IFERROR(INDEX(DECKS!$C$2:$C$1201,MATCH(K170,DECKS!$B$2:$B$1201,0)),TRIM(I170&amp;"")))</f>
        <v/>
      </c>
      <c r="E170" s="4"/>
      <c r="F170" s="12"/>
      <c r="G170" s="4"/>
      <c r="H170" s="13" t="str">
        <f aca="false">IF(OR(N(C170)=0,N(F170)=0),"",C170*F170)</f>
        <v/>
      </c>
      <c r="I170" s="4"/>
      <c r="J170" s="11" t="str">
        <f aca="false">IF(K170="","",IF(N(C170)&lt;=0,"Informe a quantidade",IF(IFERROR(INDEX(INVENTÁRIO!$B$2:$B$801,MATCH(K170,INVENTÁRIO!$A$2:$A$801,0)),"")="(sem nome)","Carta fora dos decks: digite o nome na coluna I (opcional)","")))</f>
        <v/>
      </c>
      <c r="K170" s="11" t="str">
        <f aca="false">UPPER(TRIM(SUBSTITUTE(B170&amp;"",CHAR(160)," ")))</f>
        <v/>
      </c>
      <c r="L170" s="11" t="str">
        <f aca="false">IF(AND(K170&lt;&gt;"",TRIM(I170&amp;"")&lt;&gt;""),K170,"")</f>
        <v/>
      </c>
    </row>
    <row r="171" customFormat="false" ht="15" hidden="false" customHeight="false" outlineLevel="0" collapsed="false">
      <c r="A171" s="9"/>
      <c r="B171" s="4"/>
      <c r="C171" s="10"/>
      <c r="D171" s="11" t="str">
        <f aca="false">IF(K171="","",IFERROR(INDEX(DECKS!$C$2:$C$1201,MATCH(K171,DECKS!$B$2:$B$1201,0)),TRIM(I171&amp;"")))</f>
        <v/>
      </c>
      <c r="E171" s="4"/>
      <c r="F171" s="12"/>
      <c r="G171" s="4"/>
      <c r="H171" s="13" t="str">
        <f aca="false">IF(OR(N(C171)=0,N(F171)=0),"",C171*F171)</f>
        <v/>
      </c>
      <c r="I171" s="4"/>
      <c r="J171" s="11" t="str">
        <f aca="false">IF(K171="","",IF(N(C171)&lt;=0,"Informe a quantidade",IF(IFERROR(INDEX(INVENTÁRIO!$B$2:$B$801,MATCH(K171,INVENTÁRIO!$A$2:$A$801,0)),"")="(sem nome)","Carta fora dos decks: digite o nome na coluna I (opcional)","")))</f>
        <v/>
      </c>
      <c r="K171" s="11" t="str">
        <f aca="false">UPPER(TRIM(SUBSTITUTE(B171&amp;"",CHAR(160)," ")))</f>
        <v/>
      </c>
      <c r="L171" s="11" t="str">
        <f aca="false">IF(AND(K171&lt;&gt;"",TRIM(I171&amp;"")&lt;&gt;""),K171,"")</f>
        <v/>
      </c>
    </row>
    <row r="172" customFormat="false" ht="15" hidden="false" customHeight="false" outlineLevel="0" collapsed="false">
      <c r="A172" s="9"/>
      <c r="B172" s="4"/>
      <c r="C172" s="10"/>
      <c r="D172" s="11" t="str">
        <f aca="false">IF(K172="","",IFERROR(INDEX(DECKS!$C$2:$C$1201,MATCH(K172,DECKS!$B$2:$B$1201,0)),TRIM(I172&amp;"")))</f>
        <v/>
      </c>
      <c r="E172" s="4"/>
      <c r="F172" s="12"/>
      <c r="G172" s="4"/>
      <c r="H172" s="13" t="str">
        <f aca="false">IF(OR(N(C172)=0,N(F172)=0),"",C172*F172)</f>
        <v/>
      </c>
      <c r="I172" s="4"/>
      <c r="J172" s="11" t="str">
        <f aca="false">IF(K172="","",IF(N(C172)&lt;=0,"Informe a quantidade",IF(IFERROR(INDEX(INVENTÁRIO!$B$2:$B$801,MATCH(K172,INVENTÁRIO!$A$2:$A$801,0)),"")="(sem nome)","Carta fora dos decks: digite o nome na coluna I (opcional)","")))</f>
        <v/>
      </c>
      <c r="K172" s="11" t="str">
        <f aca="false">UPPER(TRIM(SUBSTITUTE(B172&amp;"",CHAR(160)," ")))</f>
        <v/>
      </c>
      <c r="L172" s="11" t="str">
        <f aca="false">IF(AND(K172&lt;&gt;"",TRIM(I172&amp;"")&lt;&gt;""),K172,"")</f>
        <v/>
      </c>
    </row>
    <row r="173" customFormat="false" ht="15" hidden="false" customHeight="false" outlineLevel="0" collapsed="false">
      <c r="A173" s="9"/>
      <c r="B173" s="4"/>
      <c r="C173" s="10"/>
      <c r="D173" s="11" t="str">
        <f aca="false">IF(K173="","",IFERROR(INDEX(DECKS!$C$2:$C$1201,MATCH(K173,DECKS!$B$2:$B$1201,0)),TRIM(I173&amp;"")))</f>
        <v/>
      </c>
      <c r="E173" s="4"/>
      <c r="F173" s="12"/>
      <c r="G173" s="4"/>
      <c r="H173" s="13" t="str">
        <f aca="false">IF(OR(N(C173)=0,N(F173)=0),"",C173*F173)</f>
        <v/>
      </c>
      <c r="I173" s="4"/>
      <c r="J173" s="11" t="str">
        <f aca="false">IF(K173="","",IF(N(C173)&lt;=0,"Informe a quantidade",IF(IFERROR(INDEX(INVENTÁRIO!$B$2:$B$801,MATCH(K173,INVENTÁRIO!$A$2:$A$801,0)),"")="(sem nome)","Carta fora dos decks: digite o nome na coluna I (opcional)","")))</f>
        <v/>
      </c>
      <c r="K173" s="11" t="str">
        <f aca="false">UPPER(TRIM(SUBSTITUTE(B173&amp;"",CHAR(160)," ")))</f>
        <v/>
      </c>
      <c r="L173" s="11" t="str">
        <f aca="false">IF(AND(K173&lt;&gt;"",TRIM(I173&amp;"")&lt;&gt;""),K173,"")</f>
        <v/>
      </c>
    </row>
    <row r="174" customFormat="false" ht="15" hidden="false" customHeight="false" outlineLevel="0" collapsed="false">
      <c r="A174" s="9"/>
      <c r="B174" s="4"/>
      <c r="C174" s="10"/>
      <c r="D174" s="11" t="str">
        <f aca="false">IF(K174="","",IFERROR(INDEX(DECKS!$C$2:$C$1201,MATCH(K174,DECKS!$B$2:$B$1201,0)),TRIM(I174&amp;"")))</f>
        <v/>
      </c>
      <c r="E174" s="4"/>
      <c r="F174" s="12"/>
      <c r="G174" s="4"/>
      <c r="H174" s="13" t="str">
        <f aca="false">IF(OR(N(C174)=0,N(F174)=0),"",C174*F174)</f>
        <v/>
      </c>
      <c r="I174" s="4"/>
      <c r="J174" s="11" t="str">
        <f aca="false">IF(K174="","",IF(N(C174)&lt;=0,"Informe a quantidade",IF(IFERROR(INDEX(INVENTÁRIO!$B$2:$B$801,MATCH(K174,INVENTÁRIO!$A$2:$A$801,0)),"")="(sem nome)","Carta fora dos decks: digite o nome na coluna I (opcional)","")))</f>
        <v/>
      </c>
      <c r="K174" s="11" t="str">
        <f aca="false">UPPER(TRIM(SUBSTITUTE(B174&amp;"",CHAR(160)," ")))</f>
        <v/>
      </c>
      <c r="L174" s="11" t="str">
        <f aca="false">IF(AND(K174&lt;&gt;"",TRIM(I174&amp;"")&lt;&gt;""),K174,"")</f>
        <v/>
      </c>
    </row>
    <row r="175" customFormat="false" ht="15" hidden="false" customHeight="false" outlineLevel="0" collapsed="false">
      <c r="A175" s="9"/>
      <c r="B175" s="4"/>
      <c r="C175" s="10"/>
      <c r="D175" s="11" t="str">
        <f aca="false">IF(K175="","",IFERROR(INDEX(DECKS!$C$2:$C$1201,MATCH(K175,DECKS!$B$2:$B$1201,0)),TRIM(I175&amp;"")))</f>
        <v/>
      </c>
      <c r="E175" s="4"/>
      <c r="F175" s="12"/>
      <c r="G175" s="4"/>
      <c r="H175" s="13" t="str">
        <f aca="false">IF(OR(N(C175)=0,N(F175)=0),"",C175*F175)</f>
        <v/>
      </c>
      <c r="I175" s="4"/>
      <c r="J175" s="11" t="str">
        <f aca="false">IF(K175="","",IF(N(C175)&lt;=0,"Informe a quantidade",IF(IFERROR(INDEX(INVENTÁRIO!$B$2:$B$801,MATCH(K175,INVENTÁRIO!$A$2:$A$801,0)),"")="(sem nome)","Carta fora dos decks: digite o nome na coluna I (opcional)","")))</f>
        <v/>
      </c>
      <c r="K175" s="11" t="str">
        <f aca="false">UPPER(TRIM(SUBSTITUTE(B175&amp;"",CHAR(160)," ")))</f>
        <v/>
      </c>
      <c r="L175" s="11" t="str">
        <f aca="false">IF(AND(K175&lt;&gt;"",TRIM(I175&amp;"")&lt;&gt;""),K175,"")</f>
        <v/>
      </c>
    </row>
    <row r="176" customFormat="false" ht="15" hidden="false" customHeight="false" outlineLevel="0" collapsed="false">
      <c r="A176" s="9"/>
      <c r="B176" s="4"/>
      <c r="C176" s="10"/>
      <c r="D176" s="11" t="str">
        <f aca="false">IF(K176="","",IFERROR(INDEX(DECKS!$C$2:$C$1201,MATCH(K176,DECKS!$B$2:$B$1201,0)),TRIM(I176&amp;"")))</f>
        <v/>
      </c>
      <c r="E176" s="4"/>
      <c r="F176" s="12"/>
      <c r="G176" s="4"/>
      <c r="H176" s="13" t="str">
        <f aca="false">IF(OR(N(C176)=0,N(F176)=0),"",C176*F176)</f>
        <v/>
      </c>
      <c r="I176" s="4"/>
      <c r="J176" s="11" t="str">
        <f aca="false">IF(K176="","",IF(N(C176)&lt;=0,"Informe a quantidade",IF(IFERROR(INDEX(INVENTÁRIO!$B$2:$B$801,MATCH(K176,INVENTÁRIO!$A$2:$A$801,0)),"")="(sem nome)","Carta fora dos decks: digite o nome na coluna I (opcional)","")))</f>
        <v/>
      </c>
      <c r="K176" s="11" t="str">
        <f aca="false">UPPER(TRIM(SUBSTITUTE(B176&amp;"",CHAR(160)," ")))</f>
        <v/>
      </c>
      <c r="L176" s="11" t="str">
        <f aca="false">IF(AND(K176&lt;&gt;"",TRIM(I176&amp;"")&lt;&gt;""),K176,"")</f>
        <v/>
      </c>
    </row>
    <row r="177" customFormat="false" ht="15" hidden="false" customHeight="false" outlineLevel="0" collapsed="false">
      <c r="A177" s="9"/>
      <c r="B177" s="4"/>
      <c r="C177" s="10"/>
      <c r="D177" s="11" t="str">
        <f aca="false">IF(K177="","",IFERROR(INDEX(DECKS!$C$2:$C$1201,MATCH(K177,DECKS!$B$2:$B$1201,0)),TRIM(I177&amp;"")))</f>
        <v/>
      </c>
      <c r="E177" s="4"/>
      <c r="F177" s="12"/>
      <c r="G177" s="4"/>
      <c r="H177" s="13" t="str">
        <f aca="false">IF(OR(N(C177)=0,N(F177)=0),"",C177*F177)</f>
        <v/>
      </c>
      <c r="I177" s="4"/>
      <c r="J177" s="11" t="str">
        <f aca="false">IF(K177="","",IF(N(C177)&lt;=0,"Informe a quantidade",IF(IFERROR(INDEX(INVENTÁRIO!$B$2:$B$801,MATCH(K177,INVENTÁRIO!$A$2:$A$801,0)),"")="(sem nome)","Carta fora dos decks: digite o nome na coluna I (opcional)","")))</f>
        <v/>
      </c>
      <c r="K177" s="11" t="str">
        <f aca="false">UPPER(TRIM(SUBSTITUTE(B177&amp;"",CHAR(160)," ")))</f>
        <v/>
      </c>
      <c r="L177" s="11" t="str">
        <f aca="false">IF(AND(K177&lt;&gt;"",TRIM(I177&amp;"")&lt;&gt;""),K177,"")</f>
        <v/>
      </c>
    </row>
    <row r="178" customFormat="false" ht="15" hidden="false" customHeight="false" outlineLevel="0" collapsed="false">
      <c r="A178" s="9"/>
      <c r="B178" s="4"/>
      <c r="C178" s="10"/>
      <c r="D178" s="11" t="str">
        <f aca="false">IF(K178="","",IFERROR(INDEX(DECKS!$C$2:$C$1201,MATCH(K178,DECKS!$B$2:$B$1201,0)),TRIM(I178&amp;"")))</f>
        <v/>
      </c>
      <c r="E178" s="4"/>
      <c r="F178" s="12"/>
      <c r="G178" s="4"/>
      <c r="H178" s="13" t="str">
        <f aca="false">IF(OR(N(C178)=0,N(F178)=0),"",C178*F178)</f>
        <v/>
      </c>
      <c r="I178" s="4"/>
      <c r="J178" s="11" t="str">
        <f aca="false">IF(K178="","",IF(N(C178)&lt;=0,"Informe a quantidade",IF(IFERROR(INDEX(INVENTÁRIO!$B$2:$B$801,MATCH(K178,INVENTÁRIO!$A$2:$A$801,0)),"")="(sem nome)","Carta fora dos decks: digite o nome na coluna I (opcional)","")))</f>
        <v/>
      </c>
      <c r="K178" s="11" t="str">
        <f aca="false">UPPER(TRIM(SUBSTITUTE(B178&amp;"",CHAR(160)," ")))</f>
        <v/>
      </c>
      <c r="L178" s="11" t="str">
        <f aca="false">IF(AND(K178&lt;&gt;"",TRIM(I178&amp;"")&lt;&gt;""),K178,"")</f>
        <v/>
      </c>
    </row>
    <row r="179" customFormat="false" ht="15" hidden="false" customHeight="false" outlineLevel="0" collapsed="false">
      <c r="A179" s="9"/>
      <c r="B179" s="4"/>
      <c r="C179" s="10"/>
      <c r="D179" s="11" t="str">
        <f aca="false">IF(K179="","",IFERROR(INDEX(DECKS!$C$2:$C$1201,MATCH(K179,DECKS!$B$2:$B$1201,0)),TRIM(I179&amp;"")))</f>
        <v/>
      </c>
      <c r="E179" s="4"/>
      <c r="F179" s="12"/>
      <c r="G179" s="4"/>
      <c r="H179" s="13" t="str">
        <f aca="false">IF(OR(N(C179)=0,N(F179)=0),"",C179*F179)</f>
        <v/>
      </c>
      <c r="I179" s="4"/>
      <c r="J179" s="11" t="str">
        <f aca="false">IF(K179="","",IF(N(C179)&lt;=0,"Informe a quantidade",IF(IFERROR(INDEX(INVENTÁRIO!$B$2:$B$801,MATCH(K179,INVENTÁRIO!$A$2:$A$801,0)),"")="(sem nome)","Carta fora dos decks: digite o nome na coluna I (opcional)","")))</f>
        <v/>
      </c>
      <c r="K179" s="11" t="str">
        <f aca="false">UPPER(TRIM(SUBSTITUTE(B179&amp;"",CHAR(160)," ")))</f>
        <v/>
      </c>
      <c r="L179" s="11" t="str">
        <f aca="false">IF(AND(K179&lt;&gt;"",TRIM(I179&amp;"")&lt;&gt;""),K179,"")</f>
        <v/>
      </c>
    </row>
    <row r="180" customFormat="false" ht="15" hidden="false" customHeight="false" outlineLevel="0" collapsed="false">
      <c r="A180" s="9"/>
      <c r="B180" s="4"/>
      <c r="C180" s="10"/>
      <c r="D180" s="11" t="str">
        <f aca="false">IF(K180="","",IFERROR(INDEX(DECKS!$C$2:$C$1201,MATCH(K180,DECKS!$B$2:$B$1201,0)),TRIM(I180&amp;"")))</f>
        <v/>
      </c>
      <c r="E180" s="4"/>
      <c r="F180" s="12"/>
      <c r="G180" s="4"/>
      <c r="H180" s="13" t="str">
        <f aca="false">IF(OR(N(C180)=0,N(F180)=0),"",C180*F180)</f>
        <v/>
      </c>
      <c r="I180" s="4"/>
      <c r="J180" s="11" t="str">
        <f aca="false">IF(K180="","",IF(N(C180)&lt;=0,"Informe a quantidade",IF(IFERROR(INDEX(INVENTÁRIO!$B$2:$B$801,MATCH(K180,INVENTÁRIO!$A$2:$A$801,0)),"")="(sem nome)","Carta fora dos decks: digite o nome na coluna I (opcional)","")))</f>
        <v/>
      </c>
      <c r="K180" s="11" t="str">
        <f aca="false">UPPER(TRIM(SUBSTITUTE(B180&amp;"",CHAR(160)," ")))</f>
        <v/>
      </c>
      <c r="L180" s="11" t="str">
        <f aca="false">IF(AND(K180&lt;&gt;"",TRIM(I180&amp;"")&lt;&gt;""),K180,"")</f>
        <v/>
      </c>
    </row>
    <row r="181" customFormat="false" ht="15" hidden="false" customHeight="false" outlineLevel="0" collapsed="false">
      <c r="A181" s="9"/>
      <c r="B181" s="4"/>
      <c r="C181" s="10"/>
      <c r="D181" s="11" t="str">
        <f aca="false">IF(K181="","",IFERROR(INDEX(DECKS!$C$2:$C$1201,MATCH(K181,DECKS!$B$2:$B$1201,0)),TRIM(I181&amp;"")))</f>
        <v/>
      </c>
      <c r="E181" s="4"/>
      <c r="F181" s="12"/>
      <c r="G181" s="4"/>
      <c r="H181" s="13" t="str">
        <f aca="false">IF(OR(N(C181)=0,N(F181)=0),"",C181*F181)</f>
        <v/>
      </c>
      <c r="I181" s="4"/>
      <c r="J181" s="11" t="str">
        <f aca="false">IF(K181="","",IF(N(C181)&lt;=0,"Informe a quantidade",IF(IFERROR(INDEX(INVENTÁRIO!$B$2:$B$801,MATCH(K181,INVENTÁRIO!$A$2:$A$801,0)),"")="(sem nome)","Carta fora dos decks: digite o nome na coluna I (opcional)","")))</f>
        <v/>
      </c>
      <c r="K181" s="11" t="str">
        <f aca="false">UPPER(TRIM(SUBSTITUTE(B181&amp;"",CHAR(160)," ")))</f>
        <v/>
      </c>
      <c r="L181" s="11" t="str">
        <f aca="false">IF(AND(K181&lt;&gt;"",TRIM(I181&amp;"")&lt;&gt;""),K181,"")</f>
        <v/>
      </c>
    </row>
    <row r="182" customFormat="false" ht="15" hidden="false" customHeight="false" outlineLevel="0" collapsed="false">
      <c r="A182" s="9"/>
      <c r="B182" s="4"/>
      <c r="C182" s="10"/>
      <c r="D182" s="11" t="str">
        <f aca="false">IF(K182="","",IFERROR(INDEX(DECKS!$C$2:$C$1201,MATCH(K182,DECKS!$B$2:$B$1201,0)),TRIM(I182&amp;"")))</f>
        <v/>
      </c>
      <c r="E182" s="4"/>
      <c r="F182" s="12"/>
      <c r="G182" s="4"/>
      <c r="H182" s="13" t="str">
        <f aca="false">IF(OR(N(C182)=0,N(F182)=0),"",C182*F182)</f>
        <v/>
      </c>
      <c r="I182" s="4"/>
      <c r="J182" s="11" t="str">
        <f aca="false">IF(K182="","",IF(N(C182)&lt;=0,"Informe a quantidade",IF(IFERROR(INDEX(INVENTÁRIO!$B$2:$B$801,MATCH(K182,INVENTÁRIO!$A$2:$A$801,0)),"")="(sem nome)","Carta fora dos decks: digite o nome na coluna I (opcional)","")))</f>
        <v/>
      </c>
      <c r="K182" s="11" t="str">
        <f aca="false">UPPER(TRIM(SUBSTITUTE(B182&amp;"",CHAR(160)," ")))</f>
        <v/>
      </c>
      <c r="L182" s="11" t="str">
        <f aca="false">IF(AND(K182&lt;&gt;"",TRIM(I182&amp;"")&lt;&gt;""),K182,"")</f>
        <v/>
      </c>
    </row>
    <row r="183" customFormat="false" ht="15" hidden="false" customHeight="false" outlineLevel="0" collapsed="false">
      <c r="A183" s="9"/>
      <c r="B183" s="4"/>
      <c r="C183" s="10"/>
      <c r="D183" s="11" t="str">
        <f aca="false">IF(K183="","",IFERROR(INDEX(DECKS!$C$2:$C$1201,MATCH(K183,DECKS!$B$2:$B$1201,0)),TRIM(I183&amp;"")))</f>
        <v/>
      </c>
      <c r="E183" s="4"/>
      <c r="F183" s="12"/>
      <c r="G183" s="4"/>
      <c r="H183" s="13" t="str">
        <f aca="false">IF(OR(N(C183)=0,N(F183)=0),"",C183*F183)</f>
        <v/>
      </c>
      <c r="I183" s="4"/>
      <c r="J183" s="11" t="str">
        <f aca="false">IF(K183="","",IF(N(C183)&lt;=0,"Informe a quantidade",IF(IFERROR(INDEX(INVENTÁRIO!$B$2:$B$801,MATCH(K183,INVENTÁRIO!$A$2:$A$801,0)),"")="(sem nome)","Carta fora dos decks: digite o nome na coluna I (opcional)","")))</f>
        <v/>
      </c>
      <c r="K183" s="11" t="str">
        <f aca="false">UPPER(TRIM(SUBSTITUTE(B183&amp;"",CHAR(160)," ")))</f>
        <v/>
      </c>
      <c r="L183" s="11" t="str">
        <f aca="false">IF(AND(K183&lt;&gt;"",TRIM(I183&amp;"")&lt;&gt;""),K183,"")</f>
        <v/>
      </c>
    </row>
    <row r="184" customFormat="false" ht="15" hidden="false" customHeight="false" outlineLevel="0" collapsed="false">
      <c r="A184" s="9"/>
      <c r="B184" s="4"/>
      <c r="C184" s="10"/>
      <c r="D184" s="11" t="str">
        <f aca="false">IF(K184="","",IFERROR(INDEX(DECKS!$C$2:$C$1201,MATCH(K184,DECKS!$B$2:$B$1201,0)),TRIM(I184&amp;"")))</f>
        <v/>
      </c>
      <c r="E184" s="4"/>
      <c r="F184" s="12"/>
      <c r="G184" s="4"/>
      <c r="H184" s="13" t="str">
        <f aca="false">IF(OR(N(C184)=0,N(F184)=0),"",C184*F184)</f>
        <v/>
      </c>
      <c r="I184" s="4"/>
      <c r="J184" s="11" t="str">
        <f aca="false">IF(K184="","",IF(N(C184)&lt;=0,"Informe a quantidade",IF(IFERROR(INDEX(INVENTÁRIO!$B$2:$B$801,MATCH(K184,INVENTÁRIO!$A$2:$A$801,0)),"")="(sem nome)","Carta fora dos decks: digite o nome na coluna I (opcional)","")))</f>
        <v/>
      </c>
      <c r="K184" s="11" t="str">
        <f aca="false">UPPER(TRIM(SUBSTITUTE(B184&amp;"",CHAR(160)," ")))</f>
        <v/>
      </c>
      <c r="L184" s="11" t="str">
        <f aca="false">IF(AND(K184&lt;&gt;"",TRIM(I184&amp;"")&lt;&gt;""),K184,"")</f>
        <v/>
      </c>
    </row>
    <row r="185" customFormat="false" ht="15" hidden="false" customHeight="false" outlineLevel="0" collapsed="false">
      <c r="A185" s="9"/>
      <c r="B185" s="4"/>
      <c r="C185" s="10"/>
      <c r="D185" s="11" t="str">
        <f aca="false">IF(K185="","",IFERROR(INDEX(DECKS!$C$2:$C$1201,MATCH(K185,DECKS!$B$2:$B$1201,0)),TRIM(I185&amp;"")))</f>
        <v/>
      </c>
      <c r="E185" s="4"/>
      <c r="F185" s="12"/>
      <c r="G185" s="4"/>
      <c r="H185" s="13" t="str">
        <f aca="false">IF(OR(N(C185)=0,N(F185)=0),"",C185*F185)</f>
        <v/>
      </c>
      <c r="I185" s="4"/>
      <c r="J185" s="11" t="str">
        <f aca="false">IF(K185="","",IF(N(C185)&lt;=0,"Informe a quantidade",IF(IFERROR(INDEX(INVENTÁRIO!$B$2:$B$801,MATCH(K185,INVENTÁRIO!$A$2:$A$801,0)),"")="(sem nome)","Carta fora dos decks: digite o nome na coluna I (opcional)","")))</f>
        <v/>
      </c>
      <c r="K185" s="11" t="str">
        <f aca="false">UPPER(TRIM(SUBSTITUTE(B185&amp;"",CHAR(160)," ")))</f>
        <v/>
      </c>
      <c r="L185" s="11" t="str">
        <f aca="false">IF(AND(K185&lt;&gt;"",TRIM(I185&amp;"")&lt;&gt;""),K185,"")</f>
        <v/>
      </c>
    </row>
    <row r="186" customFormat="false" ht="15" hidden="false" customHeight="false" outlineLevel="0" collapsed="false">
      <c r="A186" s="9"/>
      <c r="B186" s="4"/>
      <c r="C186" s="10"/>
      <c r="D186" s="11" t="str">
        <f aca="false">IF(K186="","",IFERROR(INDEX(DECKS!$C$2:$C$1201,MATCH(K186,DECKS!$B$2:$B$1201,0)),TRIM(I186&amp;"")))</f>
        <v/>
      </c>
      <c r="E186" s="4"/>
      <c r="F186" s="12"/>
      <c r="G186" s="4"/>
      <c r="H186" s="13" t="str">
        <f aca="false">IF(OR(N(C186)=0,N(F186)=0),"",C186*F186)</f>
        <v/>
      </c>
      <c r="I186" s="4"/>
      <c r="J186" s="11" t="str">
        <f aca="false">IF(K186="","",IF(N(C186)&lt;=0,"Informe a quantidade",IF(IFERROR(INDEX(INVENTÁRIO!$B$2:$B$801,MATCH(K186,INVENTÁRIO!$A$2:$A$801,0)),"")="(sem nome)","Carta fora dos decks: digite o nome na coluna I (opcional)","")))</f>
        <v/>
      </c>
      <c r="K186" s="11" t="str">
        <f aca="false">UPPER(TRIM(SUBSTITUTE(B186&amp;"",CHAR(160)," ")))</f>
        <v/>
      </c>
      <c r="L186" s="11" t="str">
        <f aca="false">IF(AND(K186&lt;&gt;"",TRIM(I186&amp;"")&lt;&gt;""),K186,"")</f>
        <v/>
      </c>
    </row>
    <row r="187" customFormat="false" ht="15" hidden="false" customHeight="false" outlineLevel="0" collapsed="false">
      <c r="A187" s="9"/>
      <c r="B187" s="4"/>
      <c r="C187" s="10"/>
      <c r="D187" s="11" t="str">
        <f aca="false">IF(K187="","",IFERROR(INDEX(DECKS!$C$2:$C$1201,MATCH(K187,DECKS!$B$2:$B$1201,0)),TRIM(I187&amp;"")))</f>
        <v/>
      </c>
      <c r="E187" s="4"/>
      <c r="F187" s="12"/>
      <c r="G187" s="4"/>
      <c r="H187" s="13" t="str">
        <f aca="false">IF(OR(N(C187)=0,N(F187)=0),"",C187*F187)</f>
        <v/>
      </c>
      <c r="I187" s="4"/>
      <c r="J187" s="11" t="str">
        <f aca="false">IF(K187="","",IF(N(C187)&lt;=0,"Informe a quantidade",IF(IFERROR(INDEX(INVENTÁRIO!$B$2:$B$801,MATCH(K187,INVENTÁRIO!$A$2:$A$801,0)),"")="(sem nome)","Carta fora dos decks: digite o nome na coluna I (opcional)","")))</f>
        <v/>
      </c>
      <c r="K187" s="11" t="str">
        <f aca="false">UPPER(TRIM(SUBSTITUTE(B187&amp;"",CHAR(160)," ")))</f>
        <v/>
      </c>
      <c r="L187" s="11" t="str">
        <f aca="false">IF(AND(K187&lt;&gt;"",TRIM(I187&amp;"")&lt;&gt;""),K187,"")</f>
        <v/>
      </c>
    </row>
    <row r="188" customFormat="false" ht="15" hidden="false" customHeight="false" outlineLevel="0" collapsed="false">
      <c r="A188" s="9"/>
      <c r="B188" s="4"/>
      <c r="C188" s="10"/>
      <c r="D188" s="11" t="str">
        <f aca="false">IF(K188="","",IFERROR(INDEX(DECKS!$C$2:$C$1201,MATCH(K188,DECKS!$B$2:$B$1201,0)),TRIM(I188&amp;"")))</f>
        <v/>
      </c>
      <c r="E188" s="4"/>
      <c r="F188" s="12"/>
      <c r="G188" s="4"/>
      <c r="H188" s="13" t="str">
        <f aca="false">IF(OR(N(C188)=0,N(F188)=0),"",C188*F188)</f>
        <v/>
      </c>
      <c r="I188" s="4"/>
      <c r="J188" s="11" t="str">
        <f aca="false">IF(K188="","",IF(N(C188)&lt;=0,"Informe a quantidade",IF(IFERROR(INDEX(INVENTÁRIO!$B$2:$B$801,MATCH(K188,INVENTÁRIO!$A$2:$A$801,0)),"")="(sem nome)","Carta fora dos decks: digite o nome na coluna I (opcional)","")))</f>
        <v/>
      </c>
      <c r="K188" s="11" t="str">
        <f aca="false">UPPER(TRIM(SUBSTITUTE(B188&amp;"",CHAR(160)," ")))</f>
        <v/>
      </c>
      <c r="L188" s="11" t="str">
        <f aca="false">IF(AND(K188&lt;&gt;"",TRIM(I188&amp;"")&lt;&gt;""),K188,"")</f>
        <v/>
      </c>
    </row>
    <row r="189" customFormat="false" ht="15" hidden="false" customHeight="false" outlineLevel="0" collapsed="false">
      <c r="A189" s="9"/>
      <c r="B189" s="4"/>
      <c r="C189" s="10"/>
      <c r="D189" s="11" t="str">
        <f aca="false">IF(K189="","",IFERROR(INDEX(DECKS!$C$2:$C$1201,MATCH(K189,DECKS!$B$2:$B$1201,0)),TRIM(I189&amp;"")))</f>
        <v/>
      </c>
      <c r="E189" s="4"/>
      <c r="F189" s="12"/>
      <c r="G189" s="4"/>
      <c r="H189" s="13" t="str">
        <f aca="false">IF(OR(N(C189)=0,N(F189)=0),"",C189*F189)</f>
        <v/>
      </c>
      <c r="I189" s="4"/>
      <c r="J189" s="11" t="str">
        <f aca="false">IF(K189="","",IF(N(C189)&lt;=0,"Informe a quantidade",IF(IFERROR(INDEX(INVENTÁRIO!$B$2:$B$801,MATCH(K189,INVENTÁRIO!$A$2:$A$801,0)),"")="(sem nome)","Carta fora dos decks: digite o nome na coluna I (opcional)","")))</f>
        <v/>
      </c>
      <c r="K189" s="11" t="str">
        <f aca="false">UPPER(TRIM(SUBSTITUTE(B189&amp;"",CHAR(160)," ")))</f>
        <v/>
      </c>
      <c r="L189" s="11" t="str">
        <f aca="false">IF(AND(K189&lt;&gt;"",TRIM(I189&amp;"")&lt;&gt;""),K189,"")</f>
        <v/>
      </c>
    </row>
    <row r="190" customFormat="false" ht="15" hidden="false" customHeight="false" outlineLevel="0" collapsed="false">
      <c r="A190" s="9"/>
      <c r="B190" s="4"/>
      <c r="C190" s="10"/>
      <c r="D190" s="11" t="str">
        <f aca="false">IF(K190="","",IFERROR(INDEX(DECKS!$C$2:$C$1201,MATCH(K190,DECKS!$B$2:$B$1201,0)),TRIM(I190&amp;"")))</f>
        <v/>
      </c>
      <c r="E190" s="4"/>
      <c r="F190" s="12"/>
      <c r="G190" s="4"/>
      <c r="H190" s="13" t="str">
        <f aca="false">IF(OR(N(C190)=0,N(F190)=0),"",C190*F190)</f>
        <v/>
      </c>
      <c r="I190" s="4"/>
      <c r="J190" s="11" t="str">
        <f aca="false">IF(K190="","",IF(N(C190)&lt;=0,"Informe a quantidade",IF(IFERROR(INDEX(INVENTÁRIO!$B$2:$B$801,MATCH(K190,INVENTÁRIO!$A$2:$A$801,0)),"")="(sem nome)","Carta fora dos decks: digite o nome na coluna I (opcional)","")))</f>
        <v/>
      </c>
      <c r="K190" s="11" t="str">
        <f aca="false">UPPER(TRIM(SUBSTITUTE(B190&amp;"",CHAR(160)," ")))</f>
        <v/>
      </c>
      <c r="L190" s="11" t="str">
        <f aca="false">IF(AND(K190&lt;&gt;"",TRIM(I190&amp;"")&lt;&gt;""),K190,"")</f>
        <v/>
      </c>
    </row>
    <row r="191" customFormat="false" ht="15" hidden="false" customHeight="false" outlineLevel="0" collapsed="false">
      <c r="A191" s="9"/>
      <c r="B191" s="4"/>
      <c r="C191" s="10"/>
      <c r="D191" s="11" t="str">
        <f aca="false">IF(K191="","",IFERROR(INDEX(DECKS!$C$2:$C$1201,MATCH(K191,DECKS!$B$2:$B$1201,0)),TRIM(I191&amp;"")))</f>
        <v/>
      </c>
      <c r="E191" s="4"/>
      <c r="F191" s="12"/>
      <c r="G191" s="4"/>
      <c r="H191" s="13" t="str">
        <f aca="false">IF(OR(N(C191)=0,N(F191)=0),"",C191*F191)</f>
        <v/>
      </c>
      <c r="I191" s="4"/>
      <c r="J191" s="11" t="str">
        <f aca="false">IF(K191="","",IF(N(C191)&lt;=0,"Informe a quantidade",IF(IFERROR(INDEX(INVENTÁRIO!$B$2:$B$801,MATCH(K191,INVENTÁRIO!$A$2:$A$801,0)),"")="(sem nome)","Carta fora dos decks: digite o nome na coluna I (opcional)","")))</f>
        <v/>
      </c>
      <c r="K191" s="11" t="str">
        <f aca="false">UPPER(TRIM(SUBSTITUTE(B191&amp;"",CHAR(160)," ")))</f>
        <v/>
      </c>
      <c r="L191" s="11" t="str">
        <f aca="false">IF(AND(K191&lt;&gt;"",TRIM(I191&amp;"")&lt;&gt;""),K191,"")</f>
        <v/>
      </c>
    </row>
    <row r="192" customFormat="false" ht="15" hidden="false" customHeight="false" outlineLevel="0" collapsed="false">
      <c r="A192" s="9"/>
      <c r="B192" s="4"/>
      <c r="C192" s="10"/>
      <c r="D192" s="11" t="str">
        <f aca="false">IF(K192="","",IFERROR(INDEX(DECKS!$C$2:$C$1201,MATCH(K192,DECKS!$B$2:$B$1201,0)),TRIM(I192&amp;"")))</f>
        <v/>
      </c>
      <c r="E192" s="4"/>
      <c r="F192" s="12"/>
      <c r="G192" s="4"/>
      <c r="H192" s="13" t="str">
        <f aca="false">IF(OR(N(C192)=0,N(F192)=0),"",C192*F192)</f>
        <v/>
      </c>
      <c r="I192" s="4"/>
      <c r="J192" s="11" t="str">
        <f aca="false">IF(K192="","",IF(N(C192)&lt;=0,"Informe a quantidade",IF(IFERROR(INDEX(INVENTÁRIO!$B$2:$B$801,MATCH(K192,INVENTÁRIO!$A$2:$A$801,0)),"")="(sem nome)","Carta fora dos decks: digite o nome na coluna I (opcional)","")))</f>
        <v/>
      </c>
      <c r="K192" s="11" t="str">
        <f aca="false">UPPER(TRIM(SUBSTITUTE(B192&amp;"",CHAR(160)," ")))</f>
        <v/>
      </c>
      <c r="L192" s="11" t="str">
        <f aca="false">IF(AND(K192&lt;&gt;"",TRIM(I192&amp;"")&lt;&gt;""),K192,"")</f>
        <v/>
      </c>
    </row>
    <row r="193" customFormat="false" ht="15" hidden="false" customHeight="false" outlineLevel="0" collapsed="false">
      <c r="A193" s="9"/>
      <c r="B193" s="4"/>
      <c r="C193" s="10"/>
      <c r="D193" s="11" t="str">
        <f aca="false">IF(K193="","",IFERROR(INDEX(DECKS!$C$2:$C$1201,MATCH(K193,DECKS!$B$2:$B$1201,0)),TRIM(I193&amp;"")))</f>
        <v/>
      </c>
      <c r="E193" s="4"/>
      <c r="F193" s="12"/>
      <c r="G193" s="4"/>
      <c r="H193" s="13" t="str">
        <f aca="false">IF(OR(N(C193)=0,N(F193)=0),"",C193*F193)</f>
        <v/>
      </c>
      <c r="I193" s="4"/>
      <c r="J193" s="11" t="str">
        <f aca="false">IF(K193="","",IF(N(C193)&lt;=0,"Informe a quantidade",IF(IFERROR(INDEX(INVENTÁRIO!$B$2:$B$801,MATCH(K193,INVENTÁRIO!$A$2:$A$801,0)),"")="(sem nome)","Carta fora dos decks: digite o nome na coluna I (opcional)","")))</f>
        <v/>
      </c>
      <c r="K193" s="11" t="str">
        <f aca="false">UPPER(TRIM(SUBSTITUTE(B193&amp;"",CHAR(160)," ")))</f>
        <v/>
      </c>
      <c r="L193" s="11" t="str">
        <f aca="false">IF(AND(K193&lt;&gt;"",TRIM(I193&amp;"")&lt;&gt;""),K193,"")</f>
        <v/>
      </c>
    </row>
    <row r="194" customFormat="false" ht="15" hidden="false" customHeight="false" outlineLevel="0" collapsed="false">
      <c r="A194" s="9"/>
      <c r="B194" s="4"/>
      <c r="C194" s="10"/>
      <c r="D194" s="11" t="str">
        <f aca="false">IF(K194="","",IFERROR(INDEX(DECKS!$C$2:$C$1201,MATCH(K194,DECKS!$B$2:$B$1201,0)),TRIM(I194&amp;"")))</f>
        <v/>
      </c>
      <c r="E194" s="4"/>
      <c r="F194" s="12"/>
      <c r="G194" s="4"/>
      <c r="H194" s="13" t="str">
        <f aca="false">IF(OR(N(C194)=0,N(F194)=0),"",C194*F194)</f>
        <v/>
      </c>
      <c r="I194" s="4"/>
      <c r="J194" s="11" t="str">
        <f aca="false">IF(K194="","",IF(N(C194)&lt;=0,"Informe a quantidade",IF(IFERROR(INDEX(INVENTÁRIO!$B$2:$B$801,MATCH(K194,INVENTÁRIO!$A$2:$A$801,0)),"")="(sem nome)","Carta fora dos decks: digite o nome na coluna I (opcional)","")))</f>
        <v/>
      </c>
      <c r="K194" s="11" t="str">
        <f aca="false">UPPER(TRIM(SUBSTITUTE(B194&amp;"",CHAR(160)," ")))</f>
        <v/>
      </c>
      <c r="L194" s="11" t="str">
        <f aca="false">IF(AND(K194&lt;&gt;"",TRIM(I194&amp;"")&lt;&gt;""),K194,"")</f>
        <v/>
      </c>
    </row>
    <row r="195" customFormat="false" ht="15" hidden="false" customHeight="false" outlineLevel="0" collapsed="false">
      <c r="A195" s="9"/>
      <c r="B195" s="4"/>
      <c r="C195" s="10"/>
      <c r="D195" s="11" t="str">
        <f aca="false">IF(K195="","",IFERROR(INDEX(DECKS!$C$2:$C$1201,MATCH(K195,DECKS!$B$2:$B$1201,0)),TRIM(I195&amp;"")))</f>
        <v/>
      </c>
      <c r="E195" s="4"/>
      <c r="F195" s="12"/>
      <c r="G195" s="4"/>
      <c r="H195" s="13" t="str">
        <f aca="false">IF(OR(N(C195)=0,N(F195)=0),"",C195*F195)</f>
        <v/>
      </c>
      <c r="I195" s="4"/>
      <c r="J195" s="11" t="str">
        <f aca="false">IF(K195="","",IF(N(C195)&lt;=0,"Informe a quantidade",IF(IFERROR(INDEX(INVENTÁRIO!$B$2:$B$801,MATCH(K195,INVENTÁRIO!$A$2:$A$801,0)),"")="(sem nome)","Carta fora dos decks: digite o nome na coluna I (opcional)","")))</f>
        <v/>
      </c>
      <c r="K195" s="11" t="str">
        <f aca="false">UPPER(TRIM(SUBSTITUTE(B195&amp;"",CHAR(160)," ")))</f>
        <v/>
      </c>
      <c r="L195" s="11" t="str">
        <f aca="false">IF(AND(K195&lt;&gt;"",TRIM(I195&amp;"")&lt;&gt;""),K195,"")</f>
        <v/>
      </c>
    </row>
    <row r="196" customFormat="false" ht="15" hidden="false" customHeight="false" outlineLevel="0" collapsed="false">
      <c r="A196" s="9"/>
      <c r="B196" s="4"/>
      <c r="C196" s="10"/>
      <c r="D196" s="11" t="str">
        <f aca="false">IF(K196="","",IFERROR(INDEX(DECKS!$C$2:$C$1201,MATCH(K196,DECKS!$B$2:$B$1201,0)),TRIM(I196&amp;"")))</f>
        <v/>
      </c>
      <c r="E196" s="4"/>
      <c r="F196" s="12"/>
      <c r="G196" s="4"/>
      <c r="H196" s="13" t="str">
        <f aca="false">IF(OR(N(C196)=0,N(F196)=0),"",C196*F196)</f>
        <v/>
      </c>
      <c r="I196" s="4"/>
      <c r="J196" s="11" t="str">
        <f aca="false">IF(K196="","",IF(N(C196)&lt;=0,"Informe a quantidade",IF(IFERROR(INDEX(INVENTÁRIO!$B$2:$B$801,MATCH(K196,INVENTÁRIO!$A$2:$A$801,0)),"")="(sem nome)","Carta fora dos decks: digite o nome na coluna I (opcional)","")))</f>
        <v/>
      </c>
      <c r="K196" s="11" t="str">
        <f aca="false">UPPER(TRIM(SUBSTITUTE(B196&amp;"",CHAR(160)," ")))</f>
        <v/>
      </c>
      <c r="L196" s="11" t="str">
        <f aca="false">IF(AND(K196&lt;&gt;"",TRIM(I196&amp;"")&lt;&gt;""),K196,"")</f>
        <v/>
      </c>
    </row>
    <row r="197" customFormat="false" ht="15" hidden="false" customHeight="false" outlineLevel="0" collapsed="false">
      <c r="A197" s="9"/>
      <c r="B197" s="4"/>
      <c r="C197" s="10"/>
      <c r="D197" s="11" t="str">
        <f aca="false">IF(K197="","",IFERROR(INDEX(DECKS!$C$2:$C$1201,MATCH(K197,DECKS!$B$2:$B$1201,0)),TRIM(I197&amp;"")))</f>
        <v/>
      </c>
      <c r="E197" s="4"/>
      <c r="F197" s="12"/>
      <c r="G197" s="4"/>
      <c r="H197" s="13" t="str">
        <f aca="false">IF(OR(N(C197)=0,N(F197)=0),"",C197*F197)</f>
        <v/>
      </c>
      <c r="I197" s="4"/>
      <c r="J197" s="11" t="str">
        <f aca="false">IF(K197="","",IF(N(C197)&lt;=0,"Informe a quantidade",IF(IFERROR(INDEX(INVENTÁRIO!$B$2:$B$801,MATCH(K197,INVENTÁRIO!$A$2:$A$801,0)),"")="(sem nome)","Carta fora dos decks: digite o nome na coluna I (opcional)","")))</f>
        <v/>
      </c>
      <c r="K197" s="11" t="str">
        <f aca="false">UPPER(TRIM(SUBSTITUTE(B197&amp;"",CHAR(160)," ")))</f>
        <v/>
      </c>
      <c r="L197" s="11" t="str">
        <f aca="false">IF(AND(K197&lt;&gt;"",TRIM(I197&amp;"")&lt;&gt;""),K197,"")</f>
        <v/>
      </c>
    </row>
    <row r="198" customFormat="false" ht="15" hidden="false" customHeight="false" outlineLevel="0" collapsed="false">
      <c r="A198" s="9"/>
      <c r="B198" s="4"/>
      <c r="C198" s="10"/>
      <c r="D198" s="11" t="str">
        <f aca="false">IF(K198="","",IFERROR(INDEX(DECKS!$C$2:$C$1201,MATCH(K198,DECKS!$B$2:$B$1201,0)),TRIM(I198&amp;"")))</f>
        <v/>
      </c>
      <c r="E198" s="4"/>
      <c r="F198" s="12"/>
      <c r="G198" s="4"/>
      <c r="H198" s="13" t="str">
        <f aca="false">IF(OR(N(C198)=0,N(F198)=0),"",C198*F198)</f>
        <v/>
      </c>
      <c r="I198" s="4"/>
      <c r="J198" s="11" t="str">
        <f aca="false">IF(K198="","",IF(N(C198)&lt;=0,"Informe a quantidade",IF(IFERROR(INDEX(INVENTÁRIO!$B$2:$B$801,MATCH(K198,INVENTÁRIO!$A$2:$A$801,0)),"")="(sem nome)","Carta fora dos decks: digite o nome na coluna I (opcional)","")))</f>
        <v/>
      </c>
      <c r="K198" s="11" t="str">
        <f aca="false">UPPER(TRIM(SUBSTITUTE(B198&amp;"",CHAR(160)," ")))</f>
        <v/>
      </c>
      <c r="L198" s="11" t="str">
        <f aca="false">IF(AND(K198&lt;&gt;"",TRIM(I198&amp;"")&lt;&gt;""),K198,"")</f>
        <v/>
      </c>
    </row>
    <row r="199" customFormat="false" ht="15" hidden="false" customHeight="false" outlineLevel="0" collapsed="false">
      <c r="A199" s="9"/>
      <c r="B199" s="4"/>
      <c r="C199" s="10"/>
      <c r="D199" s="11" t="str">
        <f aca="false">IF(K199="","",IFERROR(INDEX(DECKS!$C$2:$C$1201,MATCH(K199,DECKS!$B$2:$B$1201,0)),TRIM(I199&amp;"")))</f>
        <v/>
      </c>
      <c r="E199" s="4"/>
      <c r="F199" s="12"/>
      <c r="G199" s="4"/>
      <c r="H199" s="13" t="str">
        <f aca="false">IF(OR(N(C199)=0,N(F199)=0),"",C199*F199)</f>
        <v/>
      </c>
      <c r="I199" s="4"/>
      <c r="J199" s="11" t="str">
        <f aca="false">IF(K199="","",IF(N(C199)&lt;=0,"Informe a quantidade",IF(IFERROR(INDEX(INVENTÁRIO!$B$2:$B$801,MATCH(K199,INVENTÁRIO!$A$2:$A$801,0)),"")="(sem nome)","Carta fora dos decks: digite o nome na coluna I (opcional)","")))</f>
        <v/>
      </c>
      <c r="K199" s="11" t="str">
        <f aca="false">UPPER(TRIM(SUBSTITUTE(B199&amp;"",CHAR(160)," ")))</f>
        <v/>
      </c>
      <c r="L199" s="11" t="str">
        <f aca="false">IF(AND(K199&lt;&gt;"",TRIM(I199&amp;"")&lt;&gt;""),K199,"")</f>
        <v/>
      </c>
    </row>
    <row r="200" customFormat="false" ht="15" hidden="false" customHeight="false" outlineLevel="0" collapsed="false">
      <c r="A200" s="9"/>
      <c r="B200" s="4"/>
      <c r="C200" s="10"/>
      <c r="D200" s="11" t="str">
        <f aca="false">IF(K200="","",IFERROR(INDEX(DECKS!$C$2:$C$1201,MATCH(K200,DECKS!$B$2:$B$1201,0)),TRIM(I200&amp;"")))</f>
        <v/>
      </c>
      <c r="E200" s="4"/>
      <c r="F200" s="12"/>
      <c r="G200" s="4"/>
      <c r="H200" s="13" t="str">
        <f aca="false">IF(OR(N(C200)=0,N(F200)=0),"",C200*F200)</f>
        <v/>
      </c>
      <c r="I200" s="4"/>
      <c r="J200" s="11" t="str">
        <f aca="false">IF(K200="","",IF(N(C200)&lt;=0,"Informe a quantidade",IF(IFERROR(INDEX(INVENTÁRIO!$B$2:$B$801,MATCH(K200,INVENTÁRIO!$A$2:$A$801,0)),"")="(sem nome)","Carta fora dos decks: digite o nome na coluna I (opcional)","")))</f>
        <v/>
      </c>
      <c r="K200" s="11" t="str">
        <f aca="false">UPPER(TRIM(SUBSTITUTE(B200&amp;"",CHAR(160)," ")))</f>
        <v/>
      </c>
      <c r="L200" s="11" t="str">
        <f aca="false">IF(AND(K200&lt;&gt;"",TRIM(I200&amp;"")&lt;&gt;""),K200,"")</f>
        <v/>
      </c>
    </row>
    <row r="201" customFormat="false" ht="15" hidden="false" customHeight="false" outlineLevel="0" collapsed="false">
      <c r="A201" s="9"/>
      <c r="B201" s="4"/>
      <c r="C201" s="10"/>
      <c r="D201" s="11" t="str">
        <f aca="false">IF(K201="","",IFERROR(INDEX(DECKS!$C$2:$C$1201,MATCH(K201,DECKS!$B$2:$B$1201,0)),TRIM(I201&amp;"")))</f>
        <v/>
      </c>
      <c r="E201" s="4"/>
      <c r="F201" s="12"/>
      <c r="G201" s="4"/>
      <c r="H201" s="13" t="str">
        <f aca="false">IF(OR(N(C201)=0,N(F201)=0),"",C201*F201)</f>
        <v/>
      </c>
      <c r="I201" s="4"/>
      <c r="J201" s="11" t="str">
        <f aca="false">IF(K201="","",IF(N(C201)&lt;=0,"Informe a quantidade",IF(IFERROR(INDEX(INVENTÁRIO!$B$2:$B$801,MATCH(K201,INVENTÁRIO!$A$2:$A$801,0)),"")="(sem nome)","Carta fora dos decks: digite o nome na coluna I (opcional)","")))</f>
        <v/>
      </c>
      <c r="K201" s="11" t="str">
        <f aca="false">UPPER(TRIM(SUBSTITUTE(B201&amp;"",CHAR(160)," ")))</f>
        <v/>
      </c>
      <c r="L201" s="11" t="str">
        <f aca="false">IF(AND(K201&lt;&gt;"",TRIM(I201&amp;"")&lt;&gt;""),K201,"")</f>
        <v/>
      </c>
    </row>
    <row r="202" customFormat="false" ht="15" hidden="false" customHeight="false" outlineLevel="0" collapsed="false">
      <c r="A202" s="9"/>
      <c r="B202" s="4"/>
      <c r="C202" s="10"/>
      <c r="D202" s="11" t="str">
        <f aca="false">IF(K202="","",IFERROR(INDEX(DECKS!$C$2:$C$1201,MATCH(K202,DECKS!$B$2:$B$1201,0)),TRIM(I202&amp;"")))</f>
        <v/>
      </c>
      <c r="E202" s="4"/>
      <c r="F202" s="12"/>
      <c r="G202" s="4"/>
      <c r="H202" s="13" t="str">
        <f aca="false">IF(OR(N(C202)=0,N(F202)=0),"",C202*F202)</f>
        <v/>
      </c>
      <c r="I202" s="4"/>
      <c r="J202" s="11" t="str">
        <f aca="false">IF(K202="","",IF(N(C202)&lt;=0,"Informe a quantidade",IF(IFERROR(INDEX(INVENTÁRIO!$B$2:$B$801,MATCH(K202,INVENTÁRIO!$A$2:$A$801,0)),"")="(sem nome)","Carta fora dos decks: digite o nome na coluna I (opcional)","")))</f>
        <v/>
      </c>
      <c r="K202" s="11" t="str">
        <f aca="false">UPPER(TRIM(SUBSTITUTE(B202&amp;"",CHAR(160)," ")))</f>
        <v/>
      </c>
      <c r="L202" s="11" t="str">
        <f aca="false">IF(AND(K202&lt;&gt;"",TRIM(I202&amp;"")&lt;&gt;""),K202,"")</f>
        <v/>
      </c>
    </row>
    <row r="203" customFormat="false" ht="15" hidden="false" customHeight="false" outlineLevel="0" collapsed="false">
      <c r="A203" s="9"/>
      <c r="B203" s="4"/>
      <c r="C203" s="10"/>
      <c r="D203" s="11" t="str">
        <f aca="false">IF(K203="","",IFERROR(INDEX(DECKS!$C$2:$C$1201,MATCH(K203,DECKS!$B$2:$B$1201,0)),TRIM(I203&amp;"")))</f>
        <v/>
      </c>
      <c r="E203" s="4"/>
      <c r="F203" s="12"/>
      <c r="G203" s="4"/>
      <c r="H203" s="13" t="str">
        <f aca="false">IF(OR(N(C203)=0,N(F203)=0),"",C203*F203)</f>
        <v/>
      </c>
      <c r="I203" s="4"/>
      <c r="J203" s="11" t="str">
        <f aca="false">IF(K203="","",IF(N(C203)&lt;=0,"Informe a quantidade",IF(IFERROR(INDEX(INVENTÁRIO!$B$2:$B$801,MATCH(K203,INVENTÁRIO!$A$2:$A$801,0)),"")="(sem nome)","Carta fora dos decks: digite o nome na coluna I (opcional)","")))</f>
        <v/>
      </c>
      <c r="K203" s="11" t="str">
        <f aca="false">UPPER(TRIM(SUBSTITUTE(B203&amp;"",CHAR(160)," ")))</f>
        <v/>
      </c>
      <c r="L203" s="11" t="str">
        <f aca="false">IF(AND(K203&lt;&gt;"",TRIM(I203&amp;"")&lt;&gt;""),K203,"")</f>
        <v/>
      </c>
    </row>
    <row r="204" customFormat="false" ht="15" hidden="false" customHeight="false" outlineLevel="0" collapsed="false">
      <c r="A204" s="9"/>
      <c r="B204" s="4"/>
      <c r="C204" s="10"/>
      <c r="D204" s="11" t="str">
        <f aca="false">IF(K204="","",IFERROR(INDEX(DECKS!$C$2:$C$1201,MATCH(K204,DECKS!$B$2:$B$1201,0)),TRIM(I204&amp;"")))</f>
        <v/>
      </c>
      <c r="E204" s="4"/>
      <c r="F204" s="12"/>
      <c r="G204" s="4"/>
      <c r="H204" s="13" t="str">
        <f aca="false">IF(OR(N(C204)=0,N(F204)=0),"",C204*F204)</f>
        <v/>
      </c>
      <c r="I204" s="4"/>
      <c r="J204" s="11" t="str">
        <f aca="false">IF(K204="","",IF(N(C204)&lt;=0,"Informe a quantidade",IF(IFERROR(INDEX(INVENTÁRIO!$B$2:$B$801,MATCH(K204,INVENTÁRIO!$A$2:$A$801,0)),"")="(sem nome)","Carta fora dos decks: digite o nome na coluna I (opcional)","")))</f>
        <v/>
      </c>
      <c r="K204" s="11" t="str">
        <f aca="false">UPPER(TRIM(SUBSTITUTE(B204&amp;"",CHAR(160)," ")))</f>
        <v/>
      </c>
      <c r="L204" s="11" t="str">
        <f aca="false">IF(AND(K204&lt;&gt;"",TRIM(I204&amp;"")&lt;&gt;""),K204,"")</f>
        <v/>
      </c>
    </row>
    <row r="205" customFormat="false" ht="15" hidden="false" customHeight="false" outlineLevel="0" collapsed="false">
      <c r="A205" s="9"/>
      <c r="B205" s="4"/>
      <c r="C205" s="10"/>
      <c r="D205" s="11" t="str">
        <f aca="false">IF(K205="","",IFERROR(INDEX(DECKS!$C$2:$C$1201,MATCH(K205,DECKS!$B$2:$B$1201,0)),TRIM(I205&amp;"")))</f>
        <v/>
      </c>
      <c r="E205" s="4"/>
      <c r="F205" s="12"/>
      <c r="G205" s="4"/>
      <c r="H205" s="13" t="str">
        <f aca="false">IF(OR(N(C205)=0,N(F205)=0),"",C205*F205)</f>
        <v/>
      </c>
      <c r="I205" s="4"/>
      <c r="J205" s="11" t="str">
        <f aca="false">IF(K205="","",IF(N(C205)&lt;=0,"Informe a quantidade",IF(IFERROR(INDEX(INVENTÁRIO!$B$2:$B$801,MATCH(K205,INVENTÁRIO!$A$2:$A$801,0)),"")="(sem nome)","Carta fora dos decks: digite o nome na coluna I (opcional)","")))</f>
        <v/>
      </c>
      <c r="K205" s="11" t="str">
        <f aca="false">UPPER(TRIM(SUBSTITUTE(B205&amp;"",CHAR(160)," ")))</f>
        <v/>
      </c>
      <c r="L205" s="11" t="str">
        <f aca="false">IF(AND(K205&lt;&gt;"",TRIM(I205&amp;"")&lt;&gt;""),K205,"")</f>
        <v/>
      </c>
    </row>
    <row r="206" customFormat="false" ht="15" hidden="false" customHeight="false" outlineLevel="0" collapsed="false">
      <c r="A206" s="9"/>
      <c r="B206" s="4"/>
      <c r="C206" s="10"/>
      <c r="D206" s="11" t="str">
        <f aca="false">IF(K206="","",IFERROR(INDEX(DECKS!$C$2:$C$1201,MATCH(K206,DECKS!$B$2:$B$1201,0)),TRIM(I206&amp;"")))</f>
        <v/>
      </c>
      <c r="E206" s="4"/>
      <c r="F206" s="12"/>
      <c r="G206" s="4"/>
      <c r="H206" s="13" t="str">
        <f aca="false">IF(OR(N(C206)=0,N(F206)=0),"",C206*F206)</f>
        <v/>
      </c>
      <c r="I206" s="4"/>
      <c r="J206" s="11" t="str">
        <f aca="false">IF(K206="","",IF(N(C206)&lt;=0,"Informe a quantidade",IF(IFERROR(INDEX(INVENTÁRIO!$B$2:$B$801,MATCH(K206,INVENTÁRIO!$A$2:$A$801,0)),"")="(sem nome)","Carta fora dos decks: digite o nome na coluna I (opcional)","")))</f>
        <v/>
      </c>
      <c r="K206" s="11" t="str">
        <f aca="false">UPPER(TRIM(SUBSTITUTE(B206&amp;"",CHAR(160)," ")))</f>
        <v/>
      </c>
      <c r="L206" s="11" t="str">
        <f aca="false">IF(AND(K206&lt;&gt;"",TRIM(I206&amp;"")&lt;&gt;""),K206,"")</f>
        <v/>
      </c>
    </row>
    <row r="207" customFormat="false" ht="15" hidden="false" customHeight="false" outlineLevel="0" collapsed="false">
      <c r="A207" s="9"/>
      <c r="B207" s="4"/>
      <c r="C207" s="10"/>
      <c r="D207" s="11" t="str">
        <f aca="false">IF(K207="","",IFERROR(INDEX(DECKS!$C$2:$C$1201,MATCH(K207,DECKS!$B$2:$B$1201,0)),TRIM(I207&amp;"")))</f>
        <v/>
      </c>
      <c r="E207" s="4"/>
      <c r="F207" s="12"/>
      <c r="G207" s="4"/>
      <c r="H207" s="13" t="str">
        <f aca="false">IF(OR(N(C207)=0,N(F207)=0),"",C207*F207)</f>
        <v/>
      </c>
      <c r="I207" s="4"/>
      <c r="J207" s="11" t="str">
        <f aca="false">IF(K207="","",IF(N(C207)&lt;=0,"Informe a quantidade",IF(IFERROR(INDEX(INVENTÁRIO!$B$2:$B$801,MATCH(K207,INVENTÁRIO!$A$2:$A$801,0)),"")="(sem nome)","Carta fora dos decks: digite o nome na coluna I (opcional)","")))</f>
        <v/>
      </c>
      <c r="K207" s="11" t="str">
        <f aca="false">UPPER(TRIM(SUBSTITUTE(B207&amp;"",CHAR(160)," ")))</f>
        <v/>
      </c>
      <c r="L207" s="11" t="str">
        <f aca="false">IF(AND(K207&lt;&gt;"",TRIM(I207&amp;"")&lt;&gt;""),K207,"")</f>
        <v/>
      </c>
    </row>
    <row r="208" customFormat="false" ht="15" hidden="false" customHeight="false" outlineLevel="0" collapsed="false">
      <c r="A208" s="9"/>
      <c r="B208" s="4"/>
      <c r="C208" s="10"/>
      <c r="D208" s="11" t="str">
        <f aca="false">IF(K208="","",IFERROR(INDEX(DECKS!$C$2:$C$1201,MATCH(K208,DECKS!$B$2:$B$1201,0)),TRIM(I208&amp;"")))</f>
        <v/>
      </c>
      <c r="E208" s="4"/>
      <c r="F208" s="12"/>
      <c r="G208" s="4"/>
      <c r="H208" s="13" t="str">
        <f aca="false">IF(OR(N(C208)=0,N(F208)=0),"",C208*F208)</f>
        <v/>
      </c>
      <c r="I208" s="4"/>
      <c r="J208" s="11" t="str">
        <f aca="false">IF(K208="","",IF(N(C208)&lt;=0,"Informe a quantidade",IF(IFERROR(INDEX(INVENTÁRIO!$B$2:$B$801,MATCH(K208,INVENTÁRIO!$A$2:$A$801,0)),"")="(sem nome)","Carta fora dos decks: digite o nome na coluna I (opcional)","")))</f>
        <v/>
      </c>
      <c r="K208" s="11" t="str">
        <f aca="false">UPPER(TRIM(SUBSTITUTE(B208&amp;"",CHAR(160)," ")))</f>
        <v/>
      </c>
      <c r="L208" s="11" t="str">
        <f aca="false">IF(AND(K208&lt;&gt;"",TRIM(I208&amp;"")&lt;&gt;""),K208,"")</f>
        <v/>
      </c>
    </row>
    <row r="209" customFormat="false" ht="15" hidden="false" customHeight="false" outlineLevel="0" collapsed="false">
      <c r="A209" s="9"/>
      <c r="B209" s="4"/>
      <c r="C209" s="10"/>
      <c r="D209" s="11" t="str">
        <f aca="false">IF(K209="","",IFERROR(INDEX(DECKS!$C$2:$C$1201,MATCH(K209,DECKS!$B$2:$B$1201,0)),TRIM(I209&amp;"")))</f>
        <v/>
      </c>
      <c r="E209" s="4"/>
      <c r="F209" s="12"/>
      <c r="G209" s="4"/>
      <c r="H209" s="13" t="str">
        <f aca="false">IF(OR(N(C209)=0,N(F209)=0),"",C209*F209)</f>
        <v/>
      </c>
      <c r="I209" s="4"/>
      <c r="J209" s="11" t="str">
        <f aca="false">IF(K209="","",IF(N(C209)&lt;=0,"Informe a quantidade",IF(IFERROR(INDEX(INVENTÁRIO!$B$2:$B$801,MATCH(K209,INVENTÁRIO!$A$2:$A$801,0)),"")="(sem nome)","Carta fora dos decks: digite o nome na coluna I (opcional)","")))</f>
        <v/>
      </c>
      <c r="K209" s="11" t="str">
        <f aca="false">UPPER(TRIM(SUBSTITUTE(B209&amp;"",CHAR(160)," ")))</f>
        <v/>
      </c>
      <c r="L209" s="11" t="str">
        <f aca="false">IF(AND(K209&lt;&gt;"",TRIM(I209&amp;"")&lt;&gt;""),K209,"")</f>
        <v/>
      </c>
    </row>
    <row r="210" customFormat="false" ht="15" hidden="false" customHeight="false" outlineLevel="0" collapsed="false">
      <c r="A210" s="9"/>
      <c r="B210" s="4"/>
      <c r="C210" s="10"/>
      <c r="D210" s="11" t="str">
        <f aca="false">IF(K210="","",IFERROR(INDEX(DECKS!$C$2:$C$1201,MATCH(K210,DECKS!$B$2:$B$1201,0)),TRIM(I210&amp;"")))</f>
        <v/>
      </c>
      <c r="E210" s="4"/>
      <c r="F210" s="12"/>
      <c r="G210" s="4"/>
      <c r="H210" s="13" t="str">
        <f aca="false">IF(OR(N(C210)=0,N(F210)=0),"",C210*F210)</f>
        <v/>
      </c>
      <c r="I210" s="4"/>
      <c r="J210" s="11" t="str">
        <f aca="false">IF(K210="","",IF(N(C210)&lt;=0,"Informe a quantidade",IF(IFERROR(INDEX(INVENTÁRIO!$B$2:$B$801,MATCH(K210,INVENTÁRIO!$A$2:$A$801,0)),"")="(sem nome)","Carta fora dos decks: digite o nome na coluna I (opcional)","")))</f>
        <v/>
      </c>
      <c r="K210" s="11" t="str">
        <f aca="false">UPPER(TRIM(SUBSTITUTE(B210&amp;"",CHAR(160)," ")))</f>
        <v/>
      </c>
      <c r="L210" s="11" t="str">
        <f aca="false">IF(AND(K210&lt;&gt;"",TRIM(I210&amp;"")&lt;&gt;""),K210,"")</f>
        <v/>
      </c>
    </row>
    <row r="211" customFormat="false" ht="15" hidden="false" customHeight="false" outlineLevel="0" collapsed="false">
      <c r="A211" s="9"/>
      <c r="B211" s="4"/>
      <c r="C211" s="10"/>
      <c r="D211" s="11" t="str">
        <f aca="false">IF(K211="","",IFERROR(INDEX(DECKS!$C$2:$C$1201,MATCH(K211,DECKS!$B$2:$B$1201,0)),TRIM(I211&amp;"")))</f>
        <v/>
      </c>
      <c r="E211" s="4"/>
      <c r="F211" s="12"/>
      <c r="G211" s="4"/>
      <c r="H211" s="13" t="str">
        <f aca="false">IF(OR(N(C211)=0,N(F211)=0),"",C211*F211)</f>
        <v/>
      </c>
      <c r="I211" s="4"/>
      <c r="J211" s="11" t="str">
        <f aca="false">IF(K211="","",IF(N(C211)&lt;=0,"Informe a quantidade",IF(IFERROR(INDEX(INVENTÁRIO!$B$2:$B$801,MATCH(K211,INVENTÁRIO!$A$2:$A$801,0)),"")="(sem nome)","Carta fora dos decks: digite o nome na coluna I (opcional)","")))</f>
        <v/>
      </c>
      <c r="K211" s="11" t="str">
        <f aca="false">UPPER(TRIM(SUBSTITUTE(B211&amp;"",CHAR(160)," ")))</f>
        <v/>
      </c>
      <c r="L211" s="11" t="str">
        <f aca="false">IF(AND(K211&lt;&gt;"",TRIM(I211&amp;"")&lt;&gt;""),K211,"")</f>
        <v/>
      </c>
    </row>
    <row r="212" customFormat="false" ht="15" hidden="false" customHeight="false" outlineLevel="0" collapsed="false">
      <c r="A212" s="9"/>
      <c r="B212" s="4"/>
      <c r="C212" s="10"/>
      <c r="D212" s="11" t="str">
        <f aca="false">IF(K212="","",IFERROR(INDEX(DECKS!$C$2:$C$1201,MATCH(K212,DECKS!$B$2:$B$1201,0)),TRIM(I212&amp;"")))</f>
        <v/>
      </c>
      <c r="E212" s="4"/>
      <c r="F212" s="12"/>
      <c r="G212" s="4"/>
      <c r="H212" s="13" t="str">
        <f aca="false">IF(OR(N(C212)=0,N(F212)=0),"",C212*F212)</f>
        <v/>
      </c>
      <c r="I212" s="4"/>
      <c r="J212" s="11" t="str">
        <f aca="false">IF(K212="","",IF(N(C212)&lt;=0,"Informe a quantidade",IF(IFERROR(INDEX(INVENTÁRIO!$B$2:$B$801,MATCH(K212,INVENTÁRIO!$A$2:$A$801,0)),"")="(sem nome)","Carta fora dos decks: digite o nome na coluna I (opcional)","")))</f>
        <v/>
      </c>
      <c r="K212" s="11" t="str">
        <f aca="false">UPPER(TRIM(SUBSTITUTE(B212&amp;"",CHAR(160)," ")))</f>
        <v/>
      </c>
      <c r="L212" s="11" t="str">
        <f aca="false">IF(AND(K212&lt;&gt;"",TRIM(I212&amp;"")&lt;&gt;""),K212,"")</f>
        <v/>
      </c>
    </row>
    <row r="213" customFormat="false" ht="15" hidden="false" customHeight="false" outlineLevel="0" collapsed="false">
      <c r="A213" s="9"/>
      <c r="B213" s="4"/>
      <c r="C213" s="10"/>
      <c r="D213" s="11" t="str">
        <f aca="false">IF(K213="","",IFERROR(INDEX(DECKS!$C$2:$C$1201,MATCH(K213,DECKS!$B$2:$B$1201,0)),TRIM(I213&amp;"")))</f>
        <v/>
      </c>
      <c r="E213" s="4"/>
      <c r="F213" s="12"/>
      <c r="G213" s="4"/>
      <c r="H213" s="13" t="str">
        <f aca="false">IF(OR(N(C213)=0,N(F213)=0),"",C213*F213)</f>
        <v/>
      </c>
      <c r="I213" s="4"/>
      <c r="J213" s="11" t="str">
        <f aca="false">IF(K213="","",IF(N(C213)&lt;=0,"Informe a quantidade",IF(IFERROR(INDEX(INVENTÁRIO!$B$2:$B$801,MATCH(K213,INVENTÁRIO!$A$2:$A$801,0)),"")="(sem nome)","Carta fora dos decks: digite o nome na coluna I (opcional)","")))</f>
        <v/>
      </c>
      <c r="K213" s="11" t="str">
        <f aca="false">UPPER(TRIM(SUBSTITUTE(B213&amp;"",CHAR(160)," ")))</f>
        <v/>
      </c>
      <c r="L213" s="11" t="str">
        <f aca="false">IF(AND(K213&lt;&gt;"",TRIM(I213&amp;"")&lt;&gt;""),K213,"")</f>
        <v/>
      </c>
    </row>
    <row r="214" customFormat="false" ht="15" hidden="false" customHeight="false" outlineLevel="0" collapsed="false">
      <c r="A214" s="9"/>
      <c r="B214" s="4"/>
      <c r="C214" s="10"/>
      <c r="D214" s="11" t="str">
        <f aca="false">IF(K214="","",IFERROR(INDEX(DECKS!$C$2:$C$1201,MATCH(K214,DECKS!$B$2:$B$1201,0)),TRIM(I214&amp;"")))</f>
        <v/>
      </c>
      <c r="E214" s="4"/>
      <c r="F214" s="12"/>
      <c r="G214" s="4"/>
      <c r="H214" s="13" t="str">
        <f aca="false">IF(OR(N(C214)=0,N(F214)=0),"",C214*F214)</f>
        <v/>
      </c>
      <c r="I214" s="4"/>
      <c r="J214" s="11" t="str">
        <f aca="false">IF(K214="","",IF(N(C214)&lt;=0,"Informe a quantidade",IF(IFERROR(INDEX(INVENTÁRIO!$B$2:$B$801,MATCH(K214,INVENTÁRIO!$A$2:$A$801,0)),"")="(sem nome)","Carta fora dos decks: digite o nome na coluna I (opcional)","")))</f>
        <v/>
      </c>
      <c r="K214" s="11" t="str">
        <f aca="false">UPPER(TRIM(SUBSTITUTE(B214&amp;"",CHAR(160)," ")))</f>
        <v/>
      </c>
      <c r="L214" s="11" t="str">
        <f aca="false">IF(AND(K214&lt;&gt;"",TRIM(I214&amp;"")&lt;&gt;""),K214,"")</f>
        <v/>
      </c>
    </row>
    <row r="215" customFormat="false" ht="15" hidden="false" customHeight="false" outlineLevel="0" collapsed="false">
      <c r="A215" s="9"/>
      <c r="B215" s="4"/>
      <c r="C215" s="10"/>
      <c r="D215" s="11" t="str">
        <f aca="false">IF(K215="","",IFERROR(INDEX(DECKS!$C$2:$C$1201,MATCH(K215,DECKS!$B$2:$B$1201,0)),TRIM(I215&amp;"")))</f>
        <v/>
      </c>
      <c r="E215" s="4"/>
      <c r="F215" s="12"/>
      <c r="G215" s="4"/>
      <c r="H215" s="13" t="str">
        <f aca="false">IF(OR(N(C215)=0,N(F215)=0),"",C215*F215)</f>
        <v/>
      </c>
      <c r="I215" s="4"/>
      <c r="J215" s="11" t="str">
        <f aca="false">IF(K215="","",IF(N(C215)&lt;=0,"Informe a quantidade",IF(IFERROR(INDEX(INVENTÁRIO!$B$2:$B$801,MATCH(K215,INVENTÁRIO!$A$2:$A$801,0)),"")="(sem nome)","Carta fora dos decks: digite o nome na coluna I (opcional)","")))</f>
        <v/>
      </c>
      <c r="K215" s="11" t="str">
        <f aca="false">UPPER(TRIM(SUBSTITUTE(B215&amp;"",CHAR(160)," ")))</f>
        <v/>
      </c>
      <c r="L215" s="11" t="str">
        <f aca="false">IF(AND(K215&lt;&gt;"",TRIM(I215&amp;"")&lt;&gt;""),K215,"")</f>
        <v/>
      </c>
    </row>
    <row r="216" customFormat="false" ht="15" hidden="false" customHeight="false" outlineLevel="0" collapsed="false">
      <c r="A216" s="9"/>
      <c r="B216" s="4"/>
      <c r="C216" s="10"/>
      <c r="D216" s="11" t="str">
        <f aca="false">IF(K216="","",IFERROR(INDEX(DECKS!$C$2:$C$1201,MATCH(K216,DECKS!$B$2:$B$1201,0)),TRIM(I216&amp;"")))</f>
        <v/>
      </c>
      <c r="E216" s="4"/>
      <c r="F216" s="12"/>
      <c r="G216" s="4"/>
      <c r="H216" s="13" t="str">
        <f aca="false">IF(OR(N(C216)=0,N(F216)=0),"",C216*F216)</f>
        <v/>
      </c>
      <c r="I216" s="4"/>
      <c r="J216" s="11" t="str">
        <f aca="false">IF(K216="","",IF(N(C216)&lt;=0,"Informe a quantidade",IF(IFERROR(INDEX(INVENTÁRIO!$B$2:$B$801,MATCH(K216,INVENTÁRIO!$A$2:$A$801,0)),"")="(sem nome)","Carta fora dos decks: digite o nome na coluna I (opcional)","")))</f>
        <v/>
      </c>
      <c r="K216" s="11" t="str">
        <f aca="false">UPPER(TRIM(SUBSTITUTE(B216&amp;"",CHAR(160)," ")))</f>
        <v/>
      </c>
      <c r="L216" s="11" t="str">
        <f aca="false">IF(AND(K216&lt;&gt;"",TRIM(I216&amp;"")&lt;&gt;""),K216,"")</f>
        <v/>
      </c>
    </row>
    <row r="217" customFormat="false" ht="15" hidden="false" customHeight="false" outlineLevel="0" collapsed="false">
      <c r="A217" s="9"/>
      <c r="B217" s="4"/>
      <c r="C217" s="10"/>
      <c r="D217" s="11" t="str">
        <f aca="false">IF(K217="","",IFERROR(INDEX(DECKS!$C$2:$C$1201,MATCH(K217,DECKS!$B$2:$B$1201,0)),TRIM(I217&amp;"")))</f>
        <v/>
      </c>
      <c r="E217" s="4"/>
      <c r="F217" s="12"/>
      <c r="G217" s="4"/>
      <c r="H217" s="13" t="str">
        <f aca="false">IF(OR(N(C217)=0,N(F217)=0),"",C217*F217)</f>
        <v/>
      </c>
      <c r="I217" s="4"/>
      <c r="J217" s="11" t="str">
        <f aca="false">IF(K217="","",IF(N(C217)&lt;=0,"Informe a quantidade",IF(IFERROR(INDEX(INVENTÁRIO!$B$2:$B$801,MATCH(K217,INVENTÁRIO!$A$2:$A$801,0)),"")="(sem nome)","Carta fora dos decks: digite o nome na coluna I (opcional)","")))</f>
        <v/>
      </c>
      <c r="K217" s="11" t="str">
        <f aca="false">UPPER(TRIM(SUBSTITUTE(B217&amp;"",CHAR(160)," ")))</f>
        <v/>
      </c>
      <c r="L217" s="11" t="str">
        <f aca="false">IF(AND(K217&lt;&gt;"",TRIM(I217&amp;"")&lt;&gt;""),K217,"")</f>
        <v/>
      </c>
    </row>
    <row r="218" customFormat="false" ht="15" hidden="false" customHeight="false" outlineLevel="0" collapsed="false">
      <c r="A218" s="9"/>
      <c r="B218" s="4"/>
      <c r="C218" s="10"/>
      <c r="D218" s="11" t="str">
        <f aca="false">IF(K218="","",IFERROR(INDEX(DECKS!$C$2:$C$1201,MATCH(K218,DECKS!$B$2:$B$1201,0)),TRIM(I218&amp;"")))</f>
        <v/>
      </c>
      <c r="E218" s="4"/>
      <c r="F218" s="12"/>
      <c r="G218" s="4"/>
      <c r="H218" s="13" t="str">
        <f aca="false">IF(OR(N(C218)=0,N(F218)=0),"",C218*F218)</f>
        <v/>
      </c>
      <c r="I218" s="4"/>
      <c r="J218" s="11" t="str">
        <f aca="false">IF(K218="","",IF(N(C218)&lt;=0,"Informe a quantidade",IF(IFERROR(INDEX(INVENTÁRIO!$B$2:$B$801,MATCH(K218,INVENTÁRIO!$A$2:$A$801,0)),"")="(sem nome)","Carta fora dos decks: digite o nome na coluna I (opcional)","")))</f>
        <v/>
      </c>
      <c r="K218" s="11" t="str">
        <f aca="false">UPPER(TRIM(SUBSTITUTE(B218&amp;"",CHAR(160)," ")))</f>
        <v/>
      </c>
      <c r="L218" s="11" t="str">
        <f aca="false">IF(AND(K218&lt;&gt;"",TRIM(I218&amp;"")&lt;&gt;""),K218,"")</f>
        <v/>
      </c>
    </row>
    <row r="219" customFormat="false" ht="15" hidden="false" customHeight="false" outlineLevel="0" collapsed="false">
      <c r="A219" s="9"/>
      <c r="B219" s="4"/>
      <c r="C219" s="10"/>
      <c r="D219" s="11" t="str">
        <f aca="false">IF(K219="","",IFERROR(INDEX(DECKS!$C$2:$C$1201,MATCH(K219,DECKS!$B$2:$B$1201,0)),TRIM(I219&amp;"")))</f>
        <v/>
      </c>
      <c r="E219" s="4"/>
      <c r="F219" s="12"/>
      <c r="G219" s="4"/>
      <c r="H219" s="13" t="str">
        <f aca="false">IF(OR(N(C219)=0,N(F219)=0),"",C219*F219)</f>
        <v/>
      </c>
      <c r="I219" s="4"/>
      <c r="J219" s="11" t="str">
        <f aca="false">IF(K219="","",IF(N(C219)&lt;=0,"Informe a quantidade",IF(IFERROR(INDEX(INVENTÁRIO!$B$2:$B$801,MATCH(K219,INVENTÁRIO!$A$2:$A$801,0)),"")="(sem nome)","Carta fora dos decks: digite o nome na coluna I (opcional)","")))</f>
        <v/>
      </c>
      <c r="K219" s="11" t="str">
        <f aca="false">UPPER(TRIM(SUBSTITUTE(B219&amp;"",CHAR(160)," ")))</f>
        <v/>
      </c>
      <c r="L219" s="11" t="str">
        <f aca="false">IF(AND(K219&lt;&gt;"",TRIM(I219&amp;"")&lt;&gt;""),K219,"")</f>
        <v/>
      </c>
    </row>
    <row r="220" customFormat="false" ht="15" hidden="false" customHeight="false" outlineLevel="0" collapsed="false">
      <c r="A220" s="9"/>
      <c r="B220" s="4"/>
      <c r="C220" s="10"/>
      <c r="D220" s="11" t="str">
        <f aca="false">IF(K220="","",IFERROR(INDEX(DECKS!$C$2:$C$1201,MATCH(K220,DECKS!$B$2:$B$1201,0)),TRIM(I220&amp;"")))</f>
        <v/>
      </c>
      <c r="E220" s="4"/>
      <c r="F220" s="12"/>
      <c r="G220" s="4"/>
      <c r="H220" s="13" t="str">
        <f aca="false">IF(OR(N(C220)=0,N(F220)=0),"",C220*F220)</f>
        <v/>
      </c>
      <c r="I220" s="4"/>
      <c r="J220" s="11" t="str">
        <f aca="false">IF(K220="","",IF(N(C220)&lt;=0,"Informe a quantidade",IF(IFERROR(INDEX(INVENTÁRIO!$B$2:$B$801,MATCH(K220,INVENTÁRIO!$A$2:$A$801,0)),"")="(sem nome)","Carta fora dos decks: digite o nome na coluna I (opcional)","")))</f>
        <v/>
      </c>
      <c r="K220" s="11" t="str">
        <f aca="false">UPPER(TRIM(SUBSTITUTE(B220&amp;"",CHAR(160)," ")))</f>
        <v/>
      </c>
      <c r="L220" s="11" t="str">
        <f aca="false">IF(AND(K220&lt;&gt;"",TRIM(I220&amp;"")&lt;&gt;""),K220,"")</f>
        <v/>
      </c>
    </row>
    <row r="221" customFormat="false" ht="15" hidden="false" customHeight="false" outlineLevel="0" collapsed="false">
      <c r="A221" s="9"/>
      <c r="B221" s="4"/>
      <c r="C221" s="10"/>
      <c r="D221" s="11" t="str">
        <f aca="false">IF(K221="","",IFERROR(INDEX(DECKS!$C$2:$C$1201,MATCH(K221,DECKS!$B$2:$B$1201,0)),TRIM(I221&amp;"")))</f>
        <v/>
      </c>
      <c r="E221" s="4"/>
      <c r="F221" s="12"/>
      <c r="G221" s="4"/>
      <c r="H221" s="13" t="str">
        <f aca="false">IF(OR(N(C221)=0,N(F221)=0),"",C221*F221)</f>
        <v/>
      </c>
      <c r="I221" s="4"/>
      <c r="J221" s="11" t="str">
        <f aca="false">IF(K221="","",IF(N(C221)&lt;=0,"Informe a quantidade",IF(IFERROR(INDEX(INVENTÁRIO!$B$2:$B$801,MATCH(K221,INVENTÁRIO!$A$2:$A$801,0)),"")="(sem nome)","Carta fora dos decks: digite o nome na coluna I (opcional)","")))</f>
        <v/>
      </c>
      <c r="K221" s="11" t="str">
        <f aca="false">UPPER(TRIM(SUBSTITUTE(B221&amp;"",CHAR(160)," ")))</f>
        <v/>
      </c>
      <c r="L221" s="11" t="str">
        <f aca="false">IF(AND(K221&lt;&gt;"",TRIM(I221&amp;"")&lt;&gt;""),K221,"")</f>
        <v/>
      </c>
    </row>
    <row r="222" customFormat="false" ht="15" hidden="false" customHeight="false" outlineLevel="0" collapsed="false">
      <c r="A222" s="9"/>
      <c r="B222" s="4"/>
      <c r="C222" s="10"/>
      <c r="D222" s="11" t="str">
        <f aca="false">IF(K222="","",IFERROR(INDEX(DECKS!$C$2:$C$1201,MATCH(K222,DECKS!$B$2:$B$1201,0)),TRIM(I222&amp;"")))</f>
        <v/>
      </c>
      <c r="E222" s="4"/>
      <c r="F222" s="12"/>
      <c r="G222" s="4"/>
      <c r="H222" s="13" t="str">
        <f aca="false">IF(OR(N(C222)=0,N(F222)=0),"",C222*F222)</f>
        <v/>
      </c>
      <c r="I222" s="4"/>
      <c r="J222" s="11" t="str">
        <f aca="false">IF(K222="","",IF(N(C222)&lt;=0,"Informe a quantidade",IF(IFERROR(INDEX(INVENTÁRIO!$B$2:$B$801,MATCH(K222,INVENTÁRIO!$A$2:$A$801,0)),"")="(sem nome)","Carta fora dos decks: digite o nome na coluna I (opcional)","")))</f>
        <v/>
      </c>
      <c r="K222" s="11" t="str">
        <f aca="false">UPPER(TRIM(SUBSTITUTE(B222&amp;"",CHAR(160)," ")))</f>
        <v/>
      </c>
      <c r="L222" s="11" t="str">
        <f aca="false">IF(AND(K222&lt;&gt;"",TRIM(I222&amp;"")&lt;&gt;""),K222,"")</f>
        <v/>
      </c>
    </row>
    <row r="223" customFormat="false" ht="15" hidden="false" customHeight="false" outlineLevel="0" collapsed="false">
      <c r="A223" s="9"/>
      <c r="B223" s="4"/>
      <c r="C223" s="10"/>
      <c r="D223" s="11" t="str">
        <f aca="false">IF(K223="","",IFERROR(INDEX(DECKS!$C$2:$C$1201,MATCH(K223,DECKS!$B$2:$B$1201,0)),TRIM(I223&amp;"")))</f>
        <v/>
      </c>
      <c r="E223" s="4"/>
      <c r="F223" s="12"/>
      <c r="G223" s="4"/>
      <c r="H223" s="13" t="str">
        <f aca="false">IF(OR(N(C223)=0,N(F223)=0),"",C223*F223)</f>
        <v/>
      </c>
      <c r="I223" s="4"/>
      <c r="J223" s="11" t="str">
        <f aca="false">IF(K223="","",IF(N(C223)&lt;=0,"Informe a quantidade",IF(IFERROR(INDEX(INVENTÁRIO!$B$2:$B$801,MATCH(K223,INVENTÁRIO!$A$2:$A$801,0)),"")="(sem nome)","Carta fora dos decks: digite o nome na coluna I (opcional)","")))</f>
        <v/>
      </c>
      <c r="K223" s="11" t="str">
        <f aca="false">UPPER(TRIM(SUBSTITUTE(B223&amp;"",CHAR(160)," ")))</f>
        <v/>
      </c>
      <c r="L223" s="11" t="str">
        <f aca="false">IF(AND(K223&lt;&gt;"",TRIM(I223&amp;"")&lt;&gt;""),K223,"")</f>
        <v/>
      </c>
    </row>
    <row r="224" customFormat="false" ht="15" hidden="false" customHeight="false" outlineLevel="0" collapsed="false">
      <c r="A224" s="9"/>
      <c r="B224" s="4"/>
      <c r="C224" s="10"/>
      <c r="D224" s="11" t="str">
        <f aca="false">IF(K224="","",IFERROR(INDEX(DECKS!$C$2:$C$1201,MATCH(K224,DECKS!$B$2:$B$1201,0)),TRIM(I224&amp;"")))</f>
        <v/>
      </c>
      <c r="E224" s="4"/>
      <c r="F224" s="12"/>
      <c r="G224" s="4"/>
      <c r="H224" s="13" t="str">
        <f aca="false">IF(OR(N(C224)=0,N(F224)=0),"",C224*F224)</f>
        <v/>
      </c>
      <c r="I224" s="4"/>
      <c r="J224" s="11" t="str">
        <f aca="false">IF(K224="","",IF(N(C224)&lt;=0,"Informe a quantidade",IF(IFERROR(INDEX(INVENTÁRIO!$B$2:$B$801,MATCH(K224,INVENTÁRIO!$A$2:$A$801,0)),"")="(sem nome)","Carta fora dos decks: digite o nome na coluna I (opcional)","")))</f>
        <v/>
      </c>
      <c r="K224" s="11" t="str">
        <f aca="false">UPPER(TRIM(SUBSTITUTE(B224&amp;"",CHAR(160)," ")))</f>
        <v/>
      </c>
      <c r="L224" s="11" t="str">
        <f aca="false">IF(AND(K224&lt;&gt;"",TRIM(I224&amp;"")&lt;&gt;""),K224,"")</f>
        <v/>
      </c>
    </row>
    <row r="225" customFormat="false" ht="15" hidden="false" customHeight="false" outlineLevel="0" collapsed="false">
      <c r="A225" s="9"/>
      <c r="B225" s="4"/>
      <c r="C225" s="10"/>
      <c r="D225" s="11" t="str">
        <f aca="false">IF(K225="","",IFERROR(INDEX(DECKS!$C$2:$C$1201,MATCH(K225,DECKS!$B$2:$B$1201,0)),TRIM(I225&amp;"")))</f>
        <v/>
      </c>
      <c r="E225" s="4"/>
      <c r="F225" s="12"/>
      <c r="G225" s="4"/>
      <c r="H225" s="13" t="str">
        <f aca="false">IF(OR(N(C225)=0,N(F225)=0),"",C225*F225)</f>
        <v/>
      </c>
      <c r="I225" s="4"/>
      <c r="J225" s="11" t="str">
        <f aca="false">IF(K225="","",IF(N(C225)&lt;=0,"Informe a quantidade",IF(IFERROR(INDEX(INVENTÁRIO!$B$2:$B$801,MATCH(K225,INVENTÁRIO!$A$2:$A$801,0)),"")="(sem nome)","Carta fora dos decks: digite o nome na coluna I (opcional)","")))</f>
        <v/>
      </c>
      <c r="K225" s="11" t="str">
        <f aca="false">UPPER(TRIM(SUBSTITUTE(B225&amp;"",CHAR(160)," ")))</f>
        <v/>
      </c>
      <c r="L225" s="11" t="str">
        <f aca="false">IF(AND(K225&lt;&gt;"",TRIM(I225&amp;"")&lt;&gt;""),K225,"")</f>
        <v/>
      </c>
    </row>
    <row r="226" customFormat="false" ht="15" hidden="false" customHeight="false" outlineLevel="0" collapsed="false">
      <c r="A226" s="9"/>
      <c r="B226" s="4"/>
      <c r="C226" s="10"/>
      <c r="D226" s="11" t="str">
        <f aca="false">IF(K226="","",IFERROR(INDEX(DECKS!$C$2:$C$1201,MATCH(K226,DECKS!$B$2:$B$1201,0)),TRIM(I226&amp;"")))</f>
        <v/>
      </c>
      <c r="E226" s="4"/>
      <c r="F226" s="12"/>
      <c r="G226" s="4"/>
      <c r="H226" s="13" t="str">
        <f aca="false">IF(OR(N(C226)=0,N(F226)=0),"",C226*F226)</f>
        <v/>
      </c>
      <c r="I226" s="4"/>
      <c r="J226" s="11" t="str">
        <f aca="false">IF(K226="","",IF(N(C226)&lt;=0,"Informe a quantidade",IF(IFERROR(INDEX(INVENTÁRIO!$B$2:$B$801,MATCH(K226,INVENTÁRIO!$A$2:$A$801,0)),"")="(sem nome)","Carta fora dos decks: digite o nome na coluna I (opcional)","")))</f>
        <v/>
      </c>
      <c r="K226" s="11" t="str">
        <f aca="false">UPPER(TRIM(SUBSTITUTE(B226&amp;"",CHAR(160)," ")))</f>
        <v/>
      </c>
      <c r="L226" s="11" t="str">
        <f aca="false">IF(AND(K226&lt;&gt;"",TRIM(I226&amp;"")&lt;&gt;""),K226,"")</f>
        <v/>
      </c>
    </row>
    <row r="227" customFormat="false" ht="15" hidden="false" customHeight="false" outlineLevel="0" collapsed="false">
      <c r="A227" s="9"/>
      <c r="B227" s="4"/>
      <c r="C227" s="10"/>
      <c r="D227" s="11" t="str">
        <f aca="false">IF(K227="","",IFERROR(INDEX(DECKS!$C$2:$C$1201,MATCH(K227,DECKS!$B$2:$B$1201,0)),TRIM(I227&amp;"")))</f>
        <v/>
      </c>
      <c r="E227" s="4"/>
      <c r="F227" s="12"/>
      <c r="G227" s="4"/>
      <c r="H227" s="13" t="str">
        <f aca="false">IF(OR(N(C227)=0,N(F227)=0),"",C227*F227)</f>
        <v/>
      </c>
      <c r="I227" s="4"/>
      <c r="J227" s="11" t="str">
        <f aca="false">IF(K227="","",IF(N(C227)&lt;=0,"Informe a quantidade",IF(IFERROR(INDEX(INVENTÁRIO!$B$2:$B$801,MATCH(K227,INVENTÁRIO!$A$2:$A$801,0)),"")="(sem nome)","Carta fora dos decks: digite o nome na coluna I (opcional)","")))</f>
        <v/>
      </c>
      <c r="K227" s="11" t="str">
        <f aca="false">UPPER(TRIM(SUBSTITUTE(B227&amp;"",CHAR(160)," ")))</f>
        <v/>
      </c>
      <c r="L227" s="11" t="str">
        <f aca="false">IF(AND(K227&lt;&gt;"",TRIM(I227&amp;"")&lt;&gt;""),K227,"")</f>
        <v/>
      </c>
    </row>
    <row r="228" customFormat="false" ht="15" hidden="false" customHeight="false" outlineLevel="0" collapsed="false">
      <c r="A228" s="9"/>
      <c r="B228" s="4"/>
      <c r="C228" s="10"/>
      <c r="D228" s="11" t="str">
        <f aca="false">IF(K228="","",IFERROR(INDEX(DECKS!$C$2:$C$1201,MATCH(K228,DECKS!$B$2:$B$1201,0)),TRIM(I228&amp;"")))</f>
        <v/>
      </c>
      <c r="E228" s="4"/>
      <c r="F228" s="12"/>
      <c r="G228" s="4"/>
      <c r="H228" s="13" t="str">
        <f aca="false">IF(OR(N(C228)=0,N(F228)=0),"",C228*F228)</f>
        <v/>
      </c>
      <c r="I228" s="4"/>
      <c r="J228" s="11" t="str">
        <f aca="false">IF(K228="","",IF(N(C228)&lt;=0,"Informe a quantidade",IF(IFERROR(INDEX(INVENTÁRIO!$B$2:$B$801,MATCH(K228,INVENTÁRIO!$A$2:$A$801,0)),"")="(sem nome)","Carta fora dos decks: digite o nome na coluna I (opcional)","")))</f>
        <v/>
      </c>
      <c r="K228" s="11" t="str">
        <f aca="false">UPPER(TRIM(SUBSTITUTE(B228&amp;"",CHAR(160)," ")))</f>
        <v/>
      </c>
      <c r="L228" s="11" t="str">
        <f aca="false">IF(AND(K228&lt;&gt;"",TRIM(I228&amp;"")&lt;&gt;""),K228,"")</f>
        <v/>
      </c>
    </row>
    <row r="229" customFormat="false" ht="15" hidden="false" customHeight="false" outlineLevel="0" collapsed="false">
      <c r="A229" s="9"/>
      <c r="B229" s="4"/>
      <c r="C229" s="10"/>
      <c r="D229" s="11" t="str">
        <f aca="false">IF(K229="","",IFERROR(INDEX(DECKS!$C$2:$C$1201,MATCH(K229,DECKS!$B$2:$B$1201,0)),TRIM(I229&amp;"")))</f>
        <v/>
      </c>
      <c r="E229" s="4"/>
      <c r="F229" s="12"/>
      <c r="G229" s="4"/>
      <c r="H229" s="13" t="str">
        <f aca="false">IF(OR(N(C229)=0,N(F229)=0),"",C229*F229)</f>
        <v/>
      </c>
      <c r="I229" s="4"/>
      <c r="J229" s="11" t="str">
        <f aca="false">IF(K229="","",IF(N(C229)&lt;=0,"Informe a quantidade",IF(IFERROR(INDEX(INVENTÁRIO!$B$2:$B$801,MATCH(K229,INVENTÁRIO!$A$2:$A$801,0)),"")="(sem nome)","Carta fora dos decks: digite o nome na coluna I (opcional)","")))</f>
        <v/>
      </c>
      <c r="K229" s="11" t="str">
        <f aca="false">UPPER(TRIM(SUBSTITUTE(B229&amp;"",CHAR(160)," ")))</f>
        <v/>
      </c>
      <c r="L229" s="11" t="str">
        <f aca="false">IF(AND(K229&lt;&gt;"",TRIM(I229&amp;"")&lt;&gt;""),K229,"")</f>
        <v/>
      </c>
    </row>
    <row r="230" customFormat="false" ht="15" hidden="false" customHeight="false" outlineLevel="0" collapsed="false">
      <c r="A230" s="9"/>
      <c r="B230" s="4"/>
      <c r="C230" s="10"/>
      <c r="D230" s="11" t="str">
        <f aca="false">IF(K230="","",IFERROR(INDEX(DECKS!$C$2:$C$1201,MATCH(K230,DECKS!$B$2:$B$1201,0)),TRIM(I230&amp;"")))</f>
        <v/>
      </c>
      <c r="E230" s="4"/>
      <c r="F230" s="12"/>
      <c r="G230" s="4"/>
      <c r="H230" s="13" t="str">
        <f aca="false">IF(OR(N(C230)=0,N(F230)=0),"",C230*F230)</f>
        <v/>
      </c>
      <c r="I230" s="4"/>
      <c r="J230" s="11" t="str">
        <f aca="false">IF(K230="","",IF(N(C230)&lt;=0,"Informe a quantidade",IF(IFERROR(INDEX(INVENTÁRIO!$B$2:$B$801,MATCH(K230,INVENTÁRIO!$A$2:$A$801,0)),"")="(sem nome)","Carta fora dos decks: digite o nome na coluna I (opcional)","")))</f>
        <v/>
      </c>
      <c r="K230" s="11" t="str">
        <f aca="false">UPPER(TRIM(SUBSTITUTE(B230&amp;"",CHAR(160)," ")))</f>
        <v/>
      </c>
      <c r="L230" s="11" t="str">
        <f aca="false">IF(AND(K230&lt;&gt;"",TRIM(I230&amp;"")&lt;&gt;""),K230,"")</f>
        <v/>
      </c>
    </row>
    <row r="231" customFormat="false" ht="15" hidden="false" customHeight="false" outlineLevel="0" collapsed="false">
      <c r="A231" s="9"/>
      <c r="B231" s="4"/>
      <c r="C231" s="10"/>
      <c r="D231" s="11" t="str">
        <f aca="false">IF(K231="","",IFERROR(INDEX(DECKS!$C$2:$C$1201,MATCH(K231,DECKS!$B$2:$B$1201,0)),TRIM(I231&amp;"")))</f>
        <v/>
      </c>
      <c r="E231" s="4"/>
      <c r="F231" s="12"/>
      <c r="G231" s="4"/>
      <c r="H231" s="13" t="str">
        <f aca="false">IF(OR(N(C231)=0,N(F231)=0),"",C231*F231)</f>
        <v/>
      </c>
      <c r="I231" s="4"/>
      <c r="J231" s="11" t="str">
        <f aca="false">IF(K231="","",IF(N(C231)&lt;=0,"Informe a quantidade",IF(IFERROR(INDEX(INVENTÁRIO!$B$2:$B$801,MATCH(K231,INVENTÁRIO!$A$2:$A$801,0)),"")="(sem nome)","Carta fora dos decks: digite o nome na coluna I (opcional)","")))</f>
        <v/>
      </c>
      <c r="K231" s="11" t="str">
        <f aca="false">UPPER(TRIM(SUBSTITUTE(B231&amp;"",CHAR(160)," ")))</f>
        <v/>
      </c>
      <c r="L231" s="11" t="str">
        <f aca="false">IF(AND(K231&lt;&gt;"",TRIM(I231&amp;"")&lt;&gt;""),K231,"")</f>
        <v/>
      </c>
    </row>
    <row r="232" customFormat="false" ht="15" hidden="false" customHeight="false" outlineLevel="0" collapsed="false">
      <c r="A232" s="9"/>
      <c r="B232" s="4"/>
      <c r="C232" s="10"/>
      <c r="D232" s="11" t="str">
        <f aca="false">IF(K232="","",IFERROR(INDEX(DECKS!$C$2:$C$1201,MATCH(K232,DECKS!$B$2:$B$1201,0)),TRIM(I232&amp;"")))</f>
        <v/>
      </c>
      <c r="E232" s="4"/>
      <c r="F232" s="12"/>
      <c r="G232" s="4"/>
      <c r="H232" s="13" t="str">
        <f aca="false">IF(OR(N(C232)=0,N(F232)=0),"",C232*F232)</f>
        <v/>
      </c>
      <c r="I232" s="4"/>
      <c r="J232" s="11" t="str">
        <f aca="false">IF(K232="","",IF(N(C232)&lt;=0,"Informe a quantidade",IF(IFERROR(INDEX(INVENTÁRIO!$B$2:$B$801,MATCH(K232,INVENTÁRIO!$A$2:$A$801,0)),"")="(sem nome)","Carta fora dos decks: digite o nome na coluna I (opcional)","")))</f>
        <v/>
      </c>
      <c r="K232" s="11" t="str">
        <f aca="false">UPPER(TRIM(SUBSTITUTE(B232&amp;"",CHAR(160)," ")))</f>
        <v/>
      </c>
      <c r="L232" s="11" t="str">
        <f aca="false">IF(AND(K232&lt;&gt;"",TRIM(I232&amp;"")&lt;&gt;""),K232,"")</f>
        <v/>
      </c>
    </row>
    <row r="233" customFormat="false" ht="15" hidden="false" customHeight="false" outlineLevel="0" collapsed="false">
      <c r="A233" s="9"/>
      <c r="B233" s="4"/>
      <c r="C233" s="10"/>
      <c r="D233" s="11" t="str">
        <f aca="false">IF(K233="","",IFERROR(INDEX(DECKS!$C$2:$C$1201,MATCH(K233,DECKS!$B$2:$B$1201,0)),TRIM(I233&amp;"")))</f>
        <v/>
      </c>
      <c r="E233" s="4"/>
      <c r="F233" s="12"/>
      <c r="G233" s="4"/>
      <c r="H233" s="13" t="str">
        <f aca="false">IF(OR(N(C233)=0,N(F233)=0),"",C233*F233)</f>
        <v/>
      </c>
      <c r="I233" s="4"/>
      <c r="J233" s="11" t="str">
        <f aca="false">IF(K233="","",IF(N(C233)&lt;=0,"Informe a quantidade",IF(IFERROR(INDEX(INVENTÁRIO!$B$2:$B$801,MATCH(K233,INVENTÁRIO!$A$2:$A$801,0)),"")="(sem nome)","Carta fora dos decks: digite o nome na coluna I (opcional)","")))</f>
        <v/>
      </c>
      <c r="K233" s="11" t="str">
        <f aca="false">UPPER(TRIM(SUBSTITUTE(B233&amp;"",CHAR(160)," ")))</f>
        <v/>
      </c>
      <c r="L233" s="11" t="str">
        <f aca="false">IF(AND(K233&lt;&gt;"",TRIM(I233&amp;"")&lt;&gt;""),K233,"")</f>
        <v/>
      </c>
    </row>
    <row r="234" customFormat="false" ht="15" hidden="false" customHeight="false" outlineLevel="0" collapsed="false">
      <c r="A234" s="9"/>
      <c r="B234" s="4"/>
      <c r="C234" s="10"/>
      <c r="D234" s="11" t="str">
        <f aca="false">IF(K234="","",IFERROR(INDEX(DECKS!$C$2:$C$1201,MATCH(K234,DECKS!$B$2:$B$1201,0)),TRIM(I234&amp;"")))</f>
        <v/>
      </c>
      <c r="E234" s="4"/>
      <c r="F234" s="12"/>
      <c r="G234" s="4"/>
      <c r="H234" s="13" t="str">
        <f aca="false">IF(OR(N(C234)=0,N(F234)=0),"",C234*F234)</f>
        <v/>
      </c>
      <c r="I234" s="4"/>
      <c r="J234" s="11" t="str">
        <f aca="false">IF(K234="","",IF(N(C234)&lt;=0,"Informe a quantidade",IF(IFERROR(INDEX(INVENTÁRIO!$B$2:$B$801,MATCH(K234,INVENTÁRIO!$A$2:$A$801,0)),"")="(sem nome)","Carta fora dos decks: digite o nome na coluna I (opcional)","")))</f>
        <v/>
      </c>
      <c r="K234" s="11" t="str">
        <f aca="false">UPPER(TRIM(SUBSTITUTE(B234&amp;"",CHAR(160)," ")))</f>
        <v/>
      </c>
      <c r="L234" s="11" t="str">
        <f aca="false">IF(AND(K234&lt;&gt;"",TRIM(I234&amp;"")&lt;&gt;""),K234,"")</f>
        <v/>
      </c>
    </row>
    <row r="235" customFormat="false" ht="15" hidden="false" customHeight="false" outlineLevel="0" collapsed="false">
      <c r="A235" s="9"/>
      <c r="B235" s="4"/>
      <c r="C235" s="10"/>
      <c r="D235" s="11" t="str">
        <f aca="false">IF(K235="","",IFERROR(INDEX(DECKS!$C$2:$C$1201,MATCH(K235,DECKS!$B$2:$B$1201,0)),TRIM(I235&amp;"")))</f>
        <v/>
      </c>
      <c r="E235" s="4"/>
      <c r="F235" s="12"/>
      <c r="G235" s="4"/>
      <c r="H235" s="13" t="str">
        <f aca="false">IF(OR(N(C235)=0,N(F235)=0),"",C235*F235)</f>
        <v/>
      </c>
      <c r="I235" s="4"/>
      <c r="J235" s="11" t="str">
        <f aca="false">IF(K235="","",IF(N(C235)&lt;=0,"Informe a quantidade",IF(IFERROR(INDEX(INVENTÁRIO!$B$2:$B$801,MATCH(K235,INVENTÁRIO!$A$2:$A$801,0)),"")="(sem nome)","Carta fora dos decks: digite o nome na coluna I (opcional)","")))</f>
        <v/>
      </c>
      <c r="K235" s="11" t="str">
        <f aca="false">UPPER(TRIM(SUBSTITUTE(B235&amp;"",CHAR(160)," ")))</f>
        <v/>
      </c>
      <c r="L235" s="11" t="str">
        <f aca="false">IF(AND(K235&lt;&gt;"",TRIM(I235&amp;"")&lt;&gt;""),K235,"")</f>
        <v/>
      </c>
    </row>
    <row r="236" customFormat="false" ht="15" hidden="false" customHeight="false" outlineLevel="0" collapsed="false">
      <c r="A236" s="9"/>
      <c r="B236" s="4"/>
      <c r="C236" s="10"/>
      <c r="D236" s="11" t="str">
        <f aca="false">IF(K236="","",IFERROR(INDEX(DECKS!$C$2:$C$1201,MATCH(K236,DECKS!$B$2:$B$1201,0)),TRIM(I236&amp;"")))</f>
        <v/>
      </c>
      <c r="E236" s="4"/>
      <c r="F236" s="12"/>
      <c r="G236" s="4"/>
      <c r="H236" s="13" t="str">
        <f aca="false">IF(OR(N(C236)=0,N(F236)=0),"",C236*F236)</f>
        <v/>
      </c>
      <c r="I236" s="4"/>
      <c r="J236" s="11" t="str">
        <f aca="false">IF(K236="","",IF(N(C236)&lt;=0,"Informe a quantidade",IF(IFERROR(INDEX(INVENTÁRIO!$B$2:$B$801,MATCH(K236,INVENTÁRIO!$A$2:$A$801,0)),"")="(sem nome)","Carta fora dos decks: digite o nome na coluna I (opcional)","")))</f>
        <v/>
      </c>
      <c r="K236" s="11" t="str">
        <f aca="false">UPPER(TRIM(SUBSTITUTE(B236&amp;"",CHAR(160)," ")))</f>
        <v/>
      </c>
      <c r="L236" s="11" t="str">
        <f aca="false">IF(AND(K236&lt;&gt;"",TRIM(I236&amp;"")&lt;&gt;""),K236,"")</f>
        <v/>
      </c>
    </row>
    <row r="237" customFormat="false" ht="15" hidden="false" customHeight="false" outlineLevel="0" collapsed="false">
      <c r="A237" s="9"/>
      <c r="B237" s="4"/>
      <c r="C237" s="10"/>
      <c r="D237" s="11" t="str">
        <f aca="false">IF(K237="","",IFERROR(INDEX(DECKS!$C$2:$C$1201,MATCH(K237,DECKS!$B$2:$B$1201,0)),TRIM(I237&amp;"")))</f>
        <v/>
      </c>
      <c r="E237" s="4"/>
      <c r="F237" s="12"/>
      <c r="G237" s="4"/>
      <c r="H237" s="13" t="str">
        <f aca="false">IF(OR(N(C237)=0,N(F237)=0),"",C237*F237)</f>
        <v/>
      </c>
      <c r="I237" s="4"/>
      <c r="J237" s="11" t="str">
        <f aca="false">IF(K237="","",IF(N(C237)&lt;=0,"Informe a quantidade",IF(IFERROR(INDEX(INVENTÁRIO!$B$2:$B$801,MATCH(K237,INVENTÁRIO!$A$2:$A$801,0)),"")="(sem nome)","Carta fora dos decks: digite o nome na coluna I (opcional)","")))</f>
        <v/>
      </c>
      <c r="K237" s="11" t="str">
        <f aca="false">UPPER(TRIM(SUBSTITUTE(B237&amp;"",CHAR(160)," ")))</f>
        <v/>
      </c>
      <c r="L237" s="11" t="str">
        <f aca="false">IF(AND(K237&lt;&gt;"",TRIM(I237&amp;"")&lt;&gt;""),K237,"")</f>
        <v/>
      </c>
    </row>
    <row r="238" customFormat="false" ht="15" hidden="false" customHeight="false" outlineLevel="0" collapsed="false">
      <c r="A238" s="9"/>
      <c r="B238" s="4"/>
      <c r="C238" s="10"/>
      <c r="D238" s="11" t="str">
        <f aca="false">IF(K238="","",IFERROR(INDEX(DECKS!$C$2:$C$1201,MATCH(K238,DECKS!$B$2:$B$1201,0)),TRIM(I238&amp;"")))</f>
        <v/>
      </c>
      <c r="E238" s="4"/>
      <c r="F238" s="12"/>
      <c r="G238" s="4"/>
      <c r="H238" s="13" t="str">
        <f aca="false">IF(OR(N(C238)=0,N(F238)=0),"",C238*F238)</f>
        <v/>
      </c>
      <c r="I238" s="4"/>
      <c r="J238" s="11" t="str">
        <f aca="false">IF(K238="","",IF(N(C238)&lt;=0,"Informe a quantidade",IF(IFERROR(INDEX(INVENTÁRIO!$B$2:$B$801,MATCH(K238,INVENTÁRIO!$A$2:$A$801,0)),"")="(sem nome)","Carta fora dos decks: digite o nome na coluna I (opcional)","")))</f>
        <v/>
      </c>
      <c r="K238" s="11" t="str">
        <f aca="false">UPPER(TRIM(SUBSTITUTE(B238&amp;"",CHAR(160)," ")))</f>
        <v/>
      </c>
      <c r="L238" s="11" t="str">
        <f aca="false">IF(AND(K238&lt;&gt;"",TRIM(I238&amp;"")&lt;&gt;""),K238,"")</f>
        <v/>
      </c>
    </row>
    <row r="239" customFormat="false" ht="15" hidden="false" customHeight="false" outlineLevel="0" collapsed="false">
      <c r="A239" s="9"/>
      <c r="B239" s="4"/>
      <c r="C239" s="10"/>
      <c r="D239" s="11" t="str">
        <f aca="false">IF(K239="","",IFERROR(INDEX(DECKS!$C$2:$C$1201,MATCH(K239,DECKS!$B$2:$B$1201,0)),TRIM(I239&amp;"")))</f>
        <v/>
      </c>
      <c r="E239" s="4"/>
      <c r="F239" s="12"/>
      <c r="G239" s="4"/>
      <c r="H239" s="13" t="str">
        <f aca="false">IF(OR(N(C239)=0,N(F239)=0),"",C239*F239)</f>
        <v/>
      </c>
      <c r="I239" s="4"/>
      <c r="J239" s="11" t="str">
        <f aca="false">IF(K239="","",IF(N(C239)&lt;=0,"Informe a quantidade",IF(IFERROR(INDEX(INVENTÁRIO!$B$2:$B$801,MATCH(K239,INVENTÁRIO!$A$2:$A$801,0)),"")="(sem nome)","Carta fora dos decks: digite o nome na coluna I (opcional)","")))</f>
        <v/>
      </c>
      <c r="K239" s="11" t="str">
        <f aca="false">UPPER(TRIM(SUBSTITUTE(B239&amp;"",CHAR(160)," ")))</f>
        <v/>
      </c>
      <c r="L239" s="11" t="str">
        <f aca="false">IF(AND(K239&lt;&gt;"",TRIM(I239&amp;"")&lt;&gt;""),K239,"")</f>
        <v/>
      </c>
    </row>
    <row r="240" customFormat="false" ht="15" hidden="false" customHeight="false" outlineLevel="0" collapsed="false">
      <c r="A240" s="9"/>
      <c r="B240" s="4"/>
      <c r="C240" s="10"/>
      <c r="D240" s="11" t="str">
        <f aca="false">IF(K240="","",IFERROR(INDEX(DECKS!$C$2:$C$1201,MATCH(K240,DECKS!$B$2:$B$1201,0)),TRIM(I240&amp;"")))</f>
        <v/>
      </c>
      <c r="E240" s="4"/>
      <c r="F240" s="12"/>
      <c r="G240" s="4"/>
      <c r="H240" s="13" t="str">
        <f aca="false">IF(OR(N(C240)=0,N(F240)=0),"",C240*F240)</f>
        <v/>
      </c>
      <c r="I240" s="4"/>
      <c r="J240" s="11" t="str">
        <f aca="false">IF(K240="","",IF(N(C240)&lt;=0,"Informe a quantidade",IF(IFERROR(INDEX(INVENTÁRIO!$B$2:$B$801,MATCH(K240,INVENTÁRIO!$A$2:$A$801,0)),"")="(sem nome)","Carta fora dos decks: digite o nome na coluna I (opcional)","")))</f>
        <v/>
      </c>
      <c r="K240" s="11" t="str">
        <f aca="false">UPPER(TRIM(SUBSTITUTE(B240&amp;"",CHAR(160)," ")))</f>
        <v/>
      </c>
      <c r="L240" s="11" t="str">
        <f aca="false">IF(AND(K240&lt;&gt;"",TRIM(I240&amp;"")&lt;&gt;""),K240,"")</f>
        <v/>
      </c>
    </row>
    <row r="241" customFormat="false" ht="15" hidden="false" customHeight="false" outlineLevel="0" collapsed="false">
      <c r="A241" s="9"/>
      <c r="B241" s="4"/>
      <c r="C241" s="10"/>
      <c r="D241" s="11" t="str">
        <f aca="false">IF(K241="","",IFERROR(INDEX(DECKS!$C$2:$C$1201,MATCH(K241,DECKS!$B$2:$B$1201,0)),TRIM(I241&amp;"")))</f>
        <v/>
      </c>
      <c r="E241" s="4"/>
      <c r="F241" s="12"/>
      <c r="G241" s="4"/>
      <c r="H241" s="13" t="str">
        <f aca="false">IF(OR(N(C241)=0,N(F241)=0),"",C241*F241)</f>
        <v/>
      </c>
      <c r="I241" s="4"/>
      <c r="J241" s="11" t="str">
        <f aca="false">IF(K241="","",IF(N(C241)&lt;=0,"Informe a quantidade",IF(IFERROR(INDEX(INVENTÁRIO!$B$2:$B$801,MATCH(K241,INVENTÁRIO!$A$2:$A$801,0)),"")="(sem nome)","Carta fora dos decks: digite o nome na coluna I (opcional)","")))</f>
        <v/>
      </c>
      <c r="K241" s="11" t="str">
        <f aca="false">UPPER(TRIM(SUBSTITUTE(B241&amp;"",CHAR(160)," ")))</f>
        <v/>
      </c>
      <c r="L241" s="11" t="str">
        <f aca="false">IF(AND(K241&lt;&gt;"",TRIM(I241&amp;"")&lt;&gt;""),K241,"")</f>
        <v/>
      </c>
    </row>
    <row r="242" customFormat="false" ht="15" hidden="false" customHeight="false" outlineLevel="0" collapsed="false">
      <c r="A242" s="9"/>
      <c r="B242" s="4"/>
      <c r="C242" s="10"/>
      <c r="D242" s="11" t="str">
        <f aca="false">IF(K242="","",IFERROR(INDEX(DECKS!$C$2:$C$1201,MATCH(K242,DECKS!$B$2:$B$1201,0)),TRIM(I242&amp;"")))</f>
        <v/>
      </c>
      <c r="E242" s="4"/>
      <c r="F242" s="12"/>
      <c r="G242" s="4"/>
      <c r="H242" s="13" t="str">
        <f aca="false">IF(OR(N(C242)=0,N(F242)=0),"",C242*F242)</f>
        <v/>
      </c>
      <c r="I242" s="4"/>
      <c r="J242" s="11" t="str">
        <f aca="false">IF(K242="","",IF(N(C242)&lt;=0,"Informe a quantidade",IF(IFERROR(INDEX(INVENTÁRIO!$B$2:$B$801,MATCH(K242,INVENTÁRIO!$A$2:$A$801,0)),"")="(sem nome)","Carta fora dos decks: digite o nome na coluna I (opcional)","")))</f>
        <v/>
      </c>
      <c r="K242" s="11" t="str">
        <f aca="false">UPPER(TRIM(SUBSTITUTE(B242&amp;"",CHAR(160)," ")))</f>
        <v/>
      </c>
      <c r="L242" s="11" t="str">
        <f aca="false">IF(AND(K242&lt;&gt;"",TRIM(I242&amp;"")&lt;&gt;""),K242,"")</f>
        <v/>
      </c>
    </row>
    <row r="243" customFormat="false" ht="15" hidden="false" customHeight="false" outlineLevel="0" collapsed="false">
      <c r="A243" s="9"/>
      <c r="B243" s="4"/>
      <c r="C243" s="10"/>
      <c r="D243" s="11" t="str">
        <f aca="false">IF(K243="","",IFERROR(INDEX(DECKS!$C$2:$C$1201,MATCH(K243,DECKS!$B$2:$B$1201,0)),TRIM(I243&amp;"")))</f>
        <v/>
      </c>
      <c r="E243" s="4"/>
      <c r="F243" s="12"/>
      <c r="G243" s="4"/>
      <c r="H243" s="13" t="str">
        <f aca="false">IF(OR(N(C243)=0,N(F243)=0),"",C243*F243)</f>
        <v/>
      </c>
      <c r="I243" s="4"/>
      <c r="J243" s="11" t="str">
        <f aca="false">IF(K243="","",IF(N(C243)&lt;=0,"Informe a quantidade",IF(IFERROR(INDEX(INVENTÁRIO!$B$2:$B$801,MATCH(K243,INVENTÁRIO!$A$2:$A$801,0)),"")="(sem nome)","Carta fora dos decks: digite o nome na coluna I (opcional)","")))</f>
        <v/>
      </c>
      <c r="K243" s="11" t="str">
        <f aca="false">UPPER(TRIM(SUBSTITUTE(B243&amp;"",CHAR(160)," ")))</f>
        <v/>
      </c>
      <c r="L243" s="11" t="str">
        <f aca="false">IF(AND(K243&lt;&gt;"",TRIM(I243&amp;"")&lt;&gt;""),K243,"")</f>
        <v/>
      </c>
    </row>
    <row r="244" customFormat="false" ht="15" hidden="false" customHeight="false" outlineLevel="0" collapsed="false">
      <c r="A244" s="9"/>
      <c r="B244" s="4"/>
      <c r="C244" s="10"/>
      <c r="D244" s="11" t="str">
        <f aca="false">IF(K244="","",IFERROR(INDEX(DECKS!$C$2:$C$1201,MATCH(K244,DECKS!$B$2:$B$1201,0)),TRIM(I244&amp;"")))</f>
        <v/>
      </c>
      <c r="E244" s="4"/>
      <c r="F244" s="12"/>
      <c r="G244" s="4"/>
      <c r="H244" s="13" t="str">
        <f aca="false">IF(OR(N(C244)=0,N(F244)=0),"",C244*F244)</f>
        <v/>
      </c>
      <c r="I244" s="4"/>
      <c r="J244" s="11" t="str">
        <f aca="false">IF(K244="","",IF(N(C244)&lt;=0,"Informe a quantidade",IF(IFERROR(INDEX(INVENTÁRIO!$B$2:$B$801,MATCH(K244,INVENTÁRIO!$A$2:$A$801,0)),"")="(sem nome)","Carta fora dos decks: digite o nome na coluna I (opcional)","")))</f>
        <v/>
      </c>
      <c r="K244" s="11" t="str">
        <f aca="false">UPPER(TRIM(SUBSTITUTE(B244&amp;"",CHAR(160)," ")))</f>
        <v/>
      </c>
      <c r="L244" s="11" t="str">
        <f aca="false">IF(AND(K244&lt;&gt;"",TRIM(I244&amp;"")&lt;&gt;""),K244,"")</f>
        <v/>
      </c>
    </row>
    <row r="245" customFormat="false" ht="15" hidden="false" customHeight="false" outlineLevel="0" collapsed="false">
      <c r="A245" s="9"/>
      <c r="B245" s="4"/>
      <c r="C245" s="10"/>
      <c r="D245" s="11" t="str">
        <f aca="false">IF(K245="","",IFERROR(INDEX(DECKS!$C$2:$C$1201,MATCH(K245,DECKS!$B$2:$B$1201,0)),TRIM(I245&amp;"")))</f>
        <v/>
      </c>
      <c r="E245" s="4"/>
      <c r="F245" s="12"/>
      <c r="G245" s="4"/>
      <c r="H245" s="13" t="str">
        <f aca="false">IF(OR(N(C245)=0,N(F245)=0),"",C245*F245)</f>
        <v/>
      </c>
      <c r="I245" s="4"/>
      <c r="J245" s="11" t="str">
        <f aca="false">IF(K245="","",IF(N(C245)&lt;=0,"Informe a quantidade",IF(IFERROR(INDEX(INVENTÁRIO!$B$2:$B$801,MATCH(K245,INVENTÁRIO!$A$2:$A$801,0)),"")="(sem nome)","Carta fora dos decks: digite o nome na coluna I (opcional)","")))</f>
        <v/>
      </c>
      <c r="K245" s="11" t="str">
        <f aca="false">UPPER(TRIM(SUBSTITUTE(B245&amp;"",CHAR(160)," ")))</f>
        <v/>
      </c>
      <c r="L245" s="11" t="str">
        <f aca="false">IF(AND(K245&lt;&gt;"",TRIM(I245&amp;"")&lt;&gt;""),K245,"")</f>
        <v/>
      </c>
    </row>
    <row r="246" customFormat="false" ht="15" hidden="false" customHeight="false" outlineLevel="0" collapsed="false">
      <c r="A246" s="9"/>
      <c r="B246" s="4"/>
      <c r="C246" s="10"/>
      <c r="D246" s="11" t="str">
        <f aca="false">IF(K246="","",IFERROR(INDEX(DECKS!$C$2:$C$1201,MATCH(K246,DECKS!$B$2:$B$1201,0)),TRIM(I246&amp;"")))</f>
        <v/>
      </c>
      <c r="E246" s="4"/>
      <c r="F246" s="12"/>
      <c r="G246" s="4"/>
      <c r="H246" s="13" t="str">
        <f aca="false">IF(OR(N(C246)=0,N(F246)=0),"",C246*F246)</f>
        <v/>
      </c>
      <c r="I246" s="4"/>
      <c r="J246" s="11" t="str">
        <f aca="false">IF(K246="","",IF(N(C246)&lt;=0,"Informe a quantidade",IF(IFERROR(INDEX(INVENTÁRIO!$B$2:$B$801,MATCH(K246,INVENTÁRIO!$A$2:$A$801,0)),"")="(sem nome)","Carta fora dos decks: digite o nome na coluna I (opcional)","")))</f>
        <v/>
      </c>
      <c r="K246" s="11" t="str">
        <f aca="false">UPPER(TRIM(SUBSTITUTE(B246&amp;"",CHAR(160)," ")))</f>
        <v/>
      </c>
      <c r="L246" s="11" t="str">
        <f aca="false">IF(AND(K246&lt;&gt;"",TRIM(I246&amp;"")&lt;&gt;""),K246,"")</f>
        <v/>
      </c>
    </row>
    <row r="247" customFormat="false" ht="15" hidden="false" customHeight="false" outlineLevel="0" collapsed="false">
      <c r="A247" s="9"/>
      <c r="B247" s="4"/>
      <c r="C247" s="10"/>
      <c r="D247" s="11" t="str">
        <f aca="false">IF(K247="","",IFERROR(INDEX(DECKS!$C$2:$C$1201,MATCH(K247,DECKS!$B$2:$B$1201,0)),TRIM(I247&amp;"")))</f>
        <v/>
      </c>
      <c r="E247" s="4"/>
      <c r="F247" s="12"/>
      <c r="G247" s="4"/>
      <c r="H247" s="13" t="str">
        <f aca="false">IF(OR(N(C247)=0,N(F247)=0),"",C247*F247)</f>
        <v/>
      </c>
      <c r="I247" s="4"/>
      <c r="J247" s="11" t="str">
        <f aca="false">IF(K247="","",IF(N(C247)&lt;=0,"Informe a quantidade",IF(IFERROR(INDEX(INVENTÁRIO!$B$2:$B$801,MATCH(K247,INVENTÁRIO!$A$2:$A$801,0)),"")="(sem nome)","Carta fora dos decks: digite o nome na coluna I (opcional)","")))</f>
        <v/>
      </c>
      <c r="K247" s="11" t="str">
        <f aca="false">UPPER(TRIM(SUBSTITUTE(B247&amp;"",CHAR(160)," ")))</f>
        <v/>
      </c>
      <c r="L247" s="11" t="str">
        <f aca="false">IF(AND(K247&lt;&gt;"",TRIM(I247&amp;"")&lt;&gt;""),K247,"")</f>
        <v/>
      </c>
    </row>
    <row r="248" customFormat="false" ht="15" hidden="false" customHeight="false" outlineLevel="0" collapsed="false">
      <c r="A248" s="9"/>
      <c r="B248" s="4"/>
      <c r="C248" s="10"/>
      <c r="D248" s="11" t="str">
        <f aca="false">IF(K248="","",IFERROR(INDEX(DECKS!$C$2:$C$1201,MATCH(K248,DECKS!$B$2:$B$1201,0)),TRIM(I248&amp;"")))</f>
        <v/>
      </c>
      <c r="E248" s="4"/>
      <c r="F248" s="12"/>
      <c r="G248" s="4"/>
      <c r="H248" s="13" t="str">
        <f aca="false">IF(OR(N(C248)=0,N(F248)=0),"",C248*F248)</f>
        <v/>
      </c>
      <c r="I248" s="4"/>
      <c r="J248" s="11" t="str">
        <f aca="false">IF(K248="","",IF(N(C248)&lt;=0,"Informe a quantidade",IF(IFERROR(INDEX(INVENTÁRIO!$B$2:$B$801,MATCH(K248,INVENTÁRIO!$A$2:$A$801,0)),"")="(sem nome)","Carta fora dos decks: digite o nome na coluna I (opcional)","")))</f>
        <v/>
      </c>
      <c r="K248" s="11" t="str">
        <f aca="false">UPPER(TRIM(SUBSTITUTE(B248&amp;"",CHAR(160)," ")))</f>
        <v/>
      </c>
      <c r="L248" s="11" t="str">
        <f aca="false">IF(AND(K248&lt;&gt;"",TRIM(I248&amp;"")&lt;&gt;""),K248,"")</f>
        <v/>
      </c>
    </row>
    <row r="249" customFormat="false" ht="15" hidden="false" customHeight="false" outlineLevel="0" collapsed="false">
      <c r="A249" s="9"/>
      <c r="B249" s="4"/>
      <c r="C249" s="10"/>
      <c r="D249" s="11" t="str">
        <f aca="false">IF(K249="","",IFERROR(INDEX(DECKS!$C$2:$C$1201,MATCH(K249,DECKS!$B$2:$B$1201,0)),TRIM(I249&amp;"")))</f>
        <v/>
      </c>
      <c r="E249" s="4"/>
      <c r="F249" s="12"/>
      <c r="G249" s="4"/>
      <c r="H249" s="13" t="str">
        <f aca="false">IF(OR(N(C249)=0,N(F249)=0),"",C249*F249)</f>
        <v/>
      </c>
      <c r="I249" s="4"/>
      <c r="J249" s="11" t="str">
        <f aca="false">IF(K249="","",IF(N(C249)&lt;=0,"Informe a quantidade",IF(IFERROR(INDEX(INVENTÁRIO!$B$2:$B$801,MATCH(K249,INVENTÁRIO!$A$2:$A$801,0)),"")="(sem nome)","Carta fora dos decks: digite o nome na coluna I (opcional)","")))</f>
        <v/>
      </c>
      <c r="K249" s="11" t="str">
        <f aca="false">UPPER(TRIM(SUBSTITUTE(B249&amp;"",CHAR(160)," ")))</f>
        <v/>
      </c>
      <c r="L249" s="11" t="str">
        <f aca="false">IF(AND(K249&lt;&gt;"",TRIM(I249&amp;"")&lt;&gt;""),K249,"")</f>
        <v/>
      </c>
    </row>
    <row r="250" customFormat="false" ht="15" hidden="false" customHeight="false" outlineLevel="0" collapsed="false">
      <c r="A250" s="9"/>
      <c r="B250" s="4"/>
      <c r="C250" s="10"/>
      <c r="D250" s="11" t="str">
        <f aca="false">IF(K250="","",IFERROR(INDEX(DECKS!$C$2:$C$1201,MATCH(K250,DECKS!$B$2:$B$1201,0)),TRIM(I250&amp;"")))</f>
        <v/>
      </c>
      <c r="E250" s="4"/>
      <c r="F250" s="12"/>
      <c r="G250" s="4"/>
      <c r="H250" s="13" t="str">
        <f aca="false">IF(OR(N(C250)=0,N(F250)=0),"",C250*F250)</f>
        <v/>
      </c>
      <c r="I250" s="4"/>
      <c r="J250" s="11" t="str">
        <f aca="false">IF(K250="","",IF(N(C250)&lt;=0,"Informe a quantidade",IF(IFERROR(INDEX(INVENTÁRIO!$B$2:$B$801,MATCH(K250,INVENTÁRIO!$A$2:$A$801,0)),"")="(sem nome)","Carta fora dos decks: digite o nome na coluna I (opcional)","")))</f>
        <v/>
      </c>
      <c r="K250" s="11" t="str">
        <f aca="false">UPPER(TRIM(SUBSTITUTE(B250&amp;"",CHAR(160)," ")))</f>
        <v/>
      </c>
      <c r="L250" s="11" t="str">
        <f aca="false">IF(AND(K250&lt;&gt;"",TRIM(I250&amp;"")&lt;&gt;""),K250,"")</f>
        <v/>
      </c>
    </row>
    <row r="251" customFormat="false" ht="15" hidden="false" customHeight="false" outlineLevel="0" collapsed="false">
      <c r="A251" s="9"/>
      <c r="B251" s="4"/>
      <c r="C251" s="10"/>
      <c r="D251" s="11" t="str">
        <f aca="false">IF(K251="","",IFERROR(INDEX(DECKS!$C$2:$C$1201,MATCH(K251,DECKS!$B$2:$B$1201,0)),TRIM(I251&amp;"")))</f>
        <v/>
      </c>
      <c r="E251" s="4"/>
      <c r="F251" s="12"/>
      <c r="G251" s="4"/>
      <c r="H251" s="13" t="str">
        <f aca="false">IF(OR(N(C251)=0,N(F251)=0),"",C251*F251)</f>
        <v/>
      </c>
      <c r="I251" s="4"/>
      <c r="J251" s="11" t="str">
        <f aca="false">IF(K251="","",IF(N(C251)&lt;=0,"Informe a quantidade",IF(IFERROR(INDEX(INVENTÁRIO!$B$2:$B$801,MATCH(K251,INVENTÁRIO!$A$2:$A$801,0)),"")="(sem nome)","Carta fora dos decks: digite o nome na coluna I (opcional)","")))</f>
        <v/>
      </c>
      <c r="K251" s="11" t="str">
        <f aca="false">UPPER(TRIM(SUBSTITUTE(B251&amp;"",CHAR(160)," ")))</f>
        <v/>
      </c>
      <c r="L251" s="11" t="str">
        <f aca="false">IF(AND(K251&lt;&gt;"",TRIM(I251&amp;"")&lt;&gt;""),K251,"")</f>
        <v/>
      </c>
    </row>
    <row r="252" customFormat="false" ht="15" hidden="false" customHeight="false" outlineLevel="0" collapsed="false">
      <c r="A252" s="9"/>
      <c r="B252" s="4"/>
      <c r="C252" s="10"/>
      <c r="D252" s="11" t="str">
        <f aca="false">IF(K252="","",IFERROR(INDEX(DECKS!$C$2:$C$1201,MATCH(K252,DECKS!$B$2:$B$1201,0)),TRIM(I252&amp;"")))</f>
        <v/>
      </c>
      <c r="E252" s="4"/>
      <c r="F252" s="12"/>
      <c r="G252" s="4"/>
      <c r="H252" s="13" t="str">
        <f aca="false">IF(OR(N(C252)=0,N(F252)=0),"",C252*F252)</f>
        <v/>
      </c>
      <c r="I252" s="4"/>
      <c r="J252" s="11" t="str">
        <f aca="false">IF(K252="","",IF(N(C252)&lt;=0,"Informe a quantidade",IF(IFERROR(INDEX(INVENTÁRIO!$B$2:$B$801,MATCH(K252,INVENTÁRIO!$A$2:$A$801,0)),"")="(sem nome)","Carta fora dos decks: digite o nome na coluna I (opcional)","")))</f>
        <v/>
      </c>
      <c r="K252" s="11" t="str">
        <f aca="false">UPPER(TRIM(SUBSTITUTE(B252&amp;"",CHAR(160)," ")))</f>
        <v/>
      </c>
      <c r="L252" s="11" t="str">
        <f aca="false">IF(AND(K252&lt;&gt;"",TRIM(I252&amp;"")&lt;&gt;""),K252,"")</f>
        <v/>
      </c>
    </row>
    <row r="253" customFormat="false" ht="15" hidden="false" customHeight="false" outlineLevel="0" collapsed="false">
      <c r="A253" s="9"/>
      <c r="B253" s="4"/>
      <c r="C253" s="10"/>
      <c r="D253" s="11" t="str">
        <f aca="false">IF(K253="","",IFERROR(INDEX(DECKS!$C$2:$C$1201,MATCH(K253,DECKS!$B$2:$B$1201,0)),TRIM(I253&amp;"")))</f>
        <v/>
      </c>
      <c r="E253" s="4"/>
      <c r="F253" s="12"/>
      <c r="G253" s="4"/>
      <c r="H253" s="13" t="str">
        <f aca="false">IF(OR(N(C253)=0,N(F253)=0),"",C253*F253)</f>
        <v/>
      </c>
      <c r="I253" s="4"/>
      <c r="J253" s="11" t="str">
        <f aca="false">IF(K253="","",IF(N(C253)&lt;=0,"Informe a quantidade",IF(IFERROR(INDEX(INVENTÁRIO!$B$2:$B$801,MATCH(K253,INVENTÁRIO!$A$2:$A$801,0)),"")="(sem nome)","Carta fora dos decks: digite o nome na coluna I (opcional)","")))</f>
        <v/>
      </c>
      <c r="K253" s="11" t="str">
        <f aca="false">UPPER(TRIM(SUBSTITUTE(B253&amp;"",CHAR(160)," ")))</f>
        <v/>
      </c>
      <c r="L253" s="11" t="str">
        <f aca="false">IF(AND(K253&lt;&gt;"",TRIM(I253&amp;"")&lt;&gt;""),K253,"")</f>
        <v/>
      </c>
    </row>
    <row r="254" customFormat="false" ht="15" hidden="false" customHeight="false" outlineLevel="0" collapsed="false">
      <c r="A254" s="9"/>
      <c r="B254" s="4"/>
      <c r="C254" s="10"/>
      <c r="D254" s="11" t="str">
        <f aca="false">IF(K254="","",IFERROR(INDEX(DECKS!$C$2:$C$1201,MATCH(K254,DECKS!$B$2:$B$1201,0)),TRIM(I254&amp;"")))</f>
        <v/>
      </c>
      <c r="E254" s="4"/>
      <c r="F254" s="12"/>
      <c r="G254" s="4"/>
      <c r="H254" s="13" t="str">
        <f aca="false">IF(OR(N(C254)=0,N(F254)=0),"",C254*F254)</f>
        <v/>
      </c>
      <c r="I254" s="4"/>
      <c r="J254" s="11" t="str">
        <f aca="false">IF(K254="","",IF(N(C254)&lt;=0,"Informe a quantidade",IF(IFERROR(INDEX(INVENTÁRIO!$B$2:$B$801,MATCH(K254,INVENTÁRIO!$A$2:$A$801,0)),"")="(sem nome)","Carta fora dos decks: digite o nome na coluna I (opcional)","")))</f>
        <v/>
      </c>
      <c r="K254" s="11" t="str">
        <f aca="false">UPPER(TRIM(SUBSTITUTE(B254&amp;"",CHAR(160)," ")))</f>
        <v/>
      </c>
      <c r="L254" s="11" t="str">
        <f aca="false">IF(AND(K254&lt;&gt;"",TRIM(I254&amp;"")&lt;&gt;""),K254,"")</f>
        <v/>
      </c>
    </row>
    <row r="255" customFormat="false" ht="15" hidden="false" customHeight="false" outlineLevel="0" collapsed="false">
      <c r="A255" s="9"/>
      <c r="B255" s="4"/>
      <c r="C255" s="10"/>
      <c r="D255" s="11" t="str">
        <f aca="false">IF(K255="","",IFERROR(INDEX(DECKS!$C$2:$C$1201,MATCH(K255,DECKS!$B$2:$B$1201,0)),TRIM(I255&amp;"")))</f>
        <v/>
      </c>
      <c r="E255" s="4"/>
      <c r="F255" s="12"/>
      <c r="G255" s="4"/>
      <c r="H255" s="13" t="str">
        <f aca="false">IF(OR(N(C255)=0,N(F255)=0),"",C255*F255)</f>
        <v/>
      </c>
      <c r="I255" s="4"/>
      <c r="J255" s="11" t="str">
        <f aca="false">IF(K255="","",IF(N(C255)&lt;=0,"Informe a quantidade",IF(IFERROR(INDEX(INVENTÁRIO!$B$2:$B$801,MATCH(K255,INVENTÁRIO!$A$2:$A$801,0)),"")="(sem nome)","Carta fora dos decks: digite o nome na coluna I (opcional)","")))</f>
        <v/>
      </c>
      <c r="K255" s="11" t="str">
        <f aca="false">UPPER(TRIM(SUBSTITUTE(B255&amp;"",CHAR(160)," ")))</f>
        <v/>
      </c>
      <c r="L255" s="11" t="str">
        <f aca="false">IF(AND(K255&lt;&gt;"",TRIM(I255&amp;"")&lt;&gt;""),K255,"")</f>
        <v/>
      </c>
    </row>
    <row r="256" customFormat="false" ht="15" hidden="false" customHeight="false" outlineLevel="0" collapsed="false">
      <c r="A256" s="9"/>
      <c r="B256" s="4"/>
      <c r="C256" s="10"/>
      <c r="D256" s="11" t="str">
        <f aca="false">IF(K256="","",IFERROR(INDEX(DECKS!$C$2:$C$1201,MATCH(K256,DECKS!$B$2:$B$1201,0)),TRIM(I256&amp;"")))</f>
        <v/>
      </c>
      <c r="E256" s="4"/>
      <c r="F256" s="12"/>
      <c r="G256" s="4"/>
      <c r="H256" s="13" t="str">
        <f aca="false">IF(OR(N(C256)=0,N(F256)=0),"",C256*F256)</f>
        <v/>
      </c>
      <c r="I256" s="4"/>
      <c r="J256" s="11" t="str">
        <f aca="false">IF(K256="","",IF(N(C256)&lt;=0,"Informe a quantidade",IF(IFERROR(INDEX(INVENTÁRIO!$B$2:$B$801,MATCH(K256,INVENTÁRIO!$A$2:$A$801,0)),"")="(sem nome)","Carta fora dos decks: digite o nome na coluna I (opcional)","")))</f>
        <v/>
      </c>
      <c r="K256" s="11" t="str">
        <f aca="false">UPPER(TRIM(SUBSTITUTE(B256&amp;"",CHAR(160)," ")))</f>
        <v/>
      </c>
      <c r="L256" s="11" t="str">
        <f aca="false">IF(AND(K256&lt;&gt;"",TRIM(I256&amp;"")&lt;&gt;""),K256,"")</f>
        <v/>
      </c>
    </row>
    <row r="257" customFormat="false" ht="15" hidden="false" customHeight="false" outlineLevel="0" collapsed="false">
      <c r="A257" s="9"/>
      <c r="B257" s="4"/>
      <c r="C257" s="10"/>
      <c r="D257" s="11" t="str">
        <f aca="false">IF(K257="","",IFERROR(INDEX(DECKS!$C$2:$C$1201,MATCH(K257,DECKS!$B$2:$B$1201,0)),TRIM(I257&amp;"")))</f>
        <v/>
      </c>
      <c r="E257" s="4"/>
      <c r="F257" s="12"/>
      <c r="G257" s="4"/>
      <c r="H257" s="13" t="str">
        <f aca="false">IF(OR(N(C257)=0,N(F257)=0),"",C257*F257)</f>
        <v/>
      </c>
      <c r="I257" s="4"/>
      <c r="J257" s="11" t="str">
        <f aca="false">IF(K257="","",IF(N(C257)&lt;=0,"Informe a quantidade",IF(IFERROR(INDEX(INVENTÁRIO!$B$2:$B$801,MATCH(K257,INVENTÁRIO!$A$2:$A$801,0)),"")="(sem nome)","Carta fora dos decks: digite o nome na coluna I (opcional)","")))</f>
        <v/>
      </c>
      <c r="K257" s="11" t="str">
        <f aca="false">UPPER(TRIM(SUBSTITUTE(B257&amp;"",CHAR(160)," ")))</f>
        <v/>
      </c>
      <c r="L257" s="11" t="str">
        <f aca="false">IF(AND(K257&lt;&gt;"",TRIM(I257&amp;"")&lt;&gt;""),K257,"")</f>
        <v/>
      </c>
    </row>
    <row r="258" customFormat="false" ht="15" hidden="false" customHeight="false" outlineLevel="0" collapsed="false">
      <c r="A258" s="9"/>
      <c r="B258" s="4"/>
      <c r="C258" s="10"/>
      <c r="D258" s="11" t="str">
        <f aca="false">IF(K258="","",IFERROR(INDEX(DECKS!$C$2:$C$1201,MATCH(K258,DECKS!$B$2:$B$1201,0)),TRIM(I258&amp;"")))</f>
        <v/>
      </c>
      <c r="E258" s="4"/>
      <c r="F258" s="12"/>
      <c r="G258" s="4"/>
      <c r="H258" s="13" t="str">
        <f aca="false">IF(OR(N(C258)=0,N(F258)=0),"",C258*F258)</f>
        <v/>
      </c>
      <c r="I258" s="4"/>
      <c r="J258" s="11" t="str">
        <f aca="false">IF(K258="","",IF(N(C258)&lt;=0,"Informe a quantidade",IF(IFERROR(INDEX(INVENTÁRIO!$B$2:$B$801,MATCH(K258,INVENTÁRIO!$A$2:$A$801,0)),"")="(sem nome)","Carta fora dos decks: digite o nome na coluna I (opcional)","")))</f>
        <v/>
      </c>
      <c r="K258" s="11" t="str">
        <f aca="false">UPPER(TRIM(SUBSTITUTE(B258&amp;"",CHAR(160)," ")))</f>
        <v/>
      </c>
      <c r="L258" s="11" t="str">
        <f aca="false">IF(AND(K258&lt;&gt;"",TRIM(I258&amp;"")&lt;&gt;""),K258,"")</f>
        <v/>
      </c>
    </row>
    <row r="259" customFormat="false" ht="15" hidden="false" customHeight="false" outlineLevel="0" collapsed="false">
      <c r="A259" s="9"/>
      <c r="B259" s="4"/>
      <c r="C259" s="10"/>
      <c r="D259" s="11" t="str">
        <f aca="false">IF(K259="","",IFERROR(INDEX(DECKS!$C$2:$C$1201,MATCH(K259,DECKS!$B$2:$B$1201,0)),TRIM(I259&amp;"")))</f>
        <v/>
      </c>
      <c r="E259" s="4"/>
      <c r="F259" s="12"/>
      <c r="G259" s="4"/>
      <c r="H259" s="13" t="str">
        <f aca="false">IF(OR(N(C259)=0,N(F259)=0),"",C259*F259)</f>
        <v/>
      </c>
      <c r="I259" s="4"/>
      <c r="J259" s="11" t="str">
        <f aca="false">IF(K259="","",IF(N(C259)&lt;=0,"Informe a quantidade",IF(IFERROR(INDEX(INVENTÁRIO!$B$2:$B$801,MATCH(K259,INVENTÁRIO!$A$2:$A$801,0)),"")="(sem nome)","Carta fora dos decks: digite o nome na coluna I (opcional)","")))</f>
        <v/>
      </c>
      <c r="K259" s="11" t="str">
        <f aca="false">UPPER(TRIM(SUBSTITUTE(B259&amp;"",CHAR(160)," ")))</f>
        <v/>
      </c>
      <c r="L259" s="11" t="str">
        <f aca="false">IF(AND(K259&lt;&gt;"",TRIM(I259&amp;"")&lt;&gt;""),K259,"")</f>
        <v/>
      </c>
    </row>
    <row r="260" customFormat="false" ht="15" hidden="false" customHeight="false" outlineLevel="0" collapsed="false">
      <c r="A260" s="9"/>
      <c r="B260" s="4"/>
      <c r="C260" s="10"/>
      <c r="D260" s="11" t="str">
        <f aca="false">IF(K260="","",IFERROR(INDEX(DECKS!$C$2:$C$1201,MATCH(K260,DECKS!$B$2:$B$1201,0)),TRIM(I260&amp;"")))</f>
        <v/>
      </c>
      <c r="E260" s="4"/>
      <c r="F260" s="12"/>
      <c r="G260" s="4"/>
      <c r="H260" s="13" t="str">
        <f aca="false">IF(OR(N(C260)=0,N(F260)=0),"",C260*F260)</f>
        <v/>
      </c>
      <c r="I260" s="4"/>
      <c r="J260" s="11" t="str">
        <f aca="false">IF(K260="","",IF(N(C260)&lt;=0,"Informe a quantidade",IF(IFERROR(INDEX(INVENTÁRIO!$B$2:$B$801,MATCH(K260,INVENTÁRIO!$A$2:$A$801,0)),"")="(sem nome)","Carta fora dos decks: digite o nome na coluna I (opcional)","")))</f>
        <v/>
      </c>
      <c r="K260" s="11" t="str">
        <f aca="false">UPPER(TRIM(SUBSTITUTE(B260&amp;"",CHAR(160)," ")))</f>
        <v/>
      </c>
      <c r="L260" s="11" t="str">
        <f aca="false">IF(AND(K260&lt;&gt;"",TRIM(I260&amp;"")&lt;&gt;""),K260,"")</f>
        <v/>
      </c>
    </row>
    <row r="261" customFormat="false" ht="15" hidden="false" customHeight="false" outlineLevel="0" collapsed="false">
      <c r="A261" s="9"/>
      <c r="B261" s="4"/>
      <c r="C261" s="10"/>
      <c r="D261" s="11" t="str">
        <f aca="false">IF(K261="","",IFERROR(INDEX(DECKS!$C$2:$C$1201,MATCH(K261,DECKS!$B$2:$B$1201,0)),TRIM(I261&amp;"")))</f>
        <v/>
      </c>
      <c r="E261" s="4"/>
      <c r="F261" s="12"/>
      <c r="G261" s="4"/>
      <c r="H261" s="13" t="str">
        <f aca="false">IF(OR(N(C261)=0,N(F261)=0),"",C261*F261)</f>
        <v/>
      </c>
      <c r="I261" s="4"/>
      <c r="J261" s="11" t="str">
        <f aca="false">IF(K261="","",IF(N(C261)&lt;=0,"Informe a quantidade",IF(IFERROR(INDEX(INVENTÁRIO!$B$2:$B$801,MATCH(K261,INVENTÁRIO!$A$2:$A$801,0)),"")="(sem nome)","Carta fora dos decks: digite o nome na coluna I (opcional)","")))</f>
        <v/>
      </c>
      <c r="K261" s="11" t="str">
        <f aca="false">UPPER(TRIM(SUBSTITUTE(B261&amp;"",CHAR(160)," ")))</f>
        <v/>
      </c>
      <c r="L261" s="11" t="str">
        <f aca="false">IF(AND(K261&lt;&gt;"",TRIM(I261&amp;"")&lt;&gt;""),K261,"")</f>
        <v/>
      </c>
    </row>
    <row r="262" customFormat="false" ht="15" hidden="false" customHeight="false" outlineLevel="0" collapsed="false">
      <c r="A262" s="9"/>
      <c r="B262" s="4"/>
      <c r="C262" s="10"/>
      <c r="D262" s="11" t="str">
        <f aca="false">IF(K262="","",IFERROR(INDEX(DECKS!$C$2:$C$1201,MATCH(K262,DECKS!$B$2:$B$1201,0)),TRIM(I262&amp;"")))</f>
        <v/>
      </c>
      <c r="E262" s="4"/>
      <c r="F262" s="12"/>
      <c r="G262" s="4"/>
      <c r="H262" s="13" t="str">
        <f aca="false">IF(OR(N(C262)=0,N(F262)=0),"",C262*F262)</f>
        <v/>
      </c>
      <c r="I262" s="4"/>
      <c r="J262" s="11" t="str">
        <f aca="false">IF(K262="","",IF(N(C262)&lt;=0,"Informe a quantidade",IF(IFERROR(INDEX(INVENTÁRIO!$B$2:$B$801,MATCH(K262,INVENTÁRIO!$A$2:$A$801,0)),"")="(sem nome)","Carta fora dos decks: digite o nome na coluna I (opcional)","")))</f>
        <v/>
      </c>
      <c r="K262" s="11" t="str">
        <f aca="false">UPPER(TRIM(SUBSTITUTE(B262&amp;"",CHAR(160)," ")))</f>
        <v/>
      </c>
      <c r="L262" s="11" t="str">
        <f aca="false">IF(AND(K262&lt;&gt;"",TRIM(I262&amp;"")&lt;&gt;""),K262,"")</f>
        <v/>
      </c>
    </row>
    <row r="263" customFormat="false" ht="15" hidden="false" customHeight="false" outlineLevel="0" collapsed="false">
      <c r="A263" s="9"/>
      <c r="B263" s="4"/>
      <c r="C263" s="10"/>
      <c r="D263" s="11" t="str">
        <f aca="false">IF(K263="","",IFERROR(INDEX(DECKS!$C$2:$C$1201,MATCH(K263,DECKS!$B$2:$B$1201,0)),TRIM(I263&amp;"")))</f>
        <v/>
      </c>
      <c r="E263" s="4"/>
      <c r="F263" s="12"/>
      <c r="G263" s="4"/>
      <c r="H263" s="13" t="str">
        <f aca="false">IF(OR(N(C263)=0,N(F263)=0),"",C263*F263)</f>
        <v/>
      </c>
      <c r="I263" s="4"/>
      <c r="J263" s="11" t="str">
        <f aca="false">IF(K263="","",IF(N(C263)&lt;=0,"Informe a quantidade",IF(IFERROR(INDEX(INVENTÁRIO!$B$2:$B$801,MATCH(K263,INVENTÁRIO!$A$2:$A$801,0)),"")="(sem nome)","Carta fora dos decks: digite o nome na coluna I (opcional)","")))</f>
        <v/>
      </c>
      <c r="K263" s="11" t="str">
        <f aca="false">UPPER(TRIM(SUBSTITUTE(B263&amp;"",CHAR(160)," ")))</f>
        <v/>
      </c>
      <c r="L263" s="11" t="str">
        <f aca="false">IF(AND(K263&lt;&gt;"",TRIM(I263&amp;"")&lt;&gt;""),K263,"")</f>
        <v/>
      </c>
    </row>
    <row r="264" customFormat="false" ht="15" hidden="false" customHeight="false" outlineLevel="0" collapsed="false">
      <c r="A264" s="9"/>
      <c r="B264" s="4"/>
      <c r="C264" s="10"/>
      <c r="D264" s="11" t="str">
        <f aca="false">IF(K264="","",IFERROR(INDEX(DECKS!$C$2:$C$1201,MATCH(K264,DECKS!$B$2:$B$1201,0)),TRIM(I264&amp;"")))</f>
        <v/>
      </c>
      <c r="E264" s="4"/>
      <c r="F264" s="12"/>
      <c r="G264" s="4"/>
      <c r="H264" s="13" t="str">
        <f aca="false">IF(OR(N(C264)=0,N(F264)=0),"",C264*F264)</f>
        <v/>
      </c>
      <c r="I264" s="4"/>
      <c r="J264" s="11" t="str">
        <f aca="false">IF(K264="","",IF(N(C264)&lt;=0,"Informe a quantidade",IF(IFERROR(INDEX(INVENTÁRIO!$B$2:$B$801,MATCH(K264,INVENTÁRIO!$A$2:$A$801,0)),"")="(sem nome)","Carta fora dos decks: digite o nome na coluna I (opcional)","")))</f>
        <v/>
      </c>
      <c r="K264" s="11" t="str">
        <f aca="false">UPPER(TRIM(SUBSTITUTE(B264&amp;"",CHAR(160)," ")))</f>
        <v/>
      </c>
      <c r="L264" s="11" t="str">
        <f aca="false">IF(AND(K264&lt;&gt;"",TRIM(I264&amp;"")&lt;&gt;""),K264,"")</f>
        <v/>
      </c>
    </row>
    <row r="265" customFormat="false" ht="15" hidden="false" customHeight="false" outlineLevel="0" collapsed="false">
      <c r="A265" s="9"/>
      <c r="B265" s="4"/>
      <c r="C265" s="10"/>
      <c r="D265" s="11" t="str">
        <f aca="false">IF(K265="","",IFERROR(INDEX(DECKS!$C$2:$C$1201,MATCH(K265,DECKS!$B$2:$B$1201,0)),TRIM(I265&amp;"")))</f>
        <v/>
      </c>
      <c r="E265" s="4"/>
      <c r="F265" s="12"/>
      <c r="G265" s="4"/>
      <c r="H265" s="13" t="str">
        <f aca="false">IF(OR(N(C265)=0,N(F265)=0),"",C265*F265)</f>
        <v/>
      </c>
      <c r="I265" s="4"/>
      <c r="J265" s="11" t="str">
        <f aca="false">IF(K265="","",IF(N(C265)&lt;=0,"Informe a quantidade",IF(IFERROR(INDEX(INVENTÁRIO!$B$2:$B$801,MATCH(K265,INVENTÁRIO!$A$2:$A$801,0)),"")="(sem nome)","Carta fora dos decks: digite o nome na coluna I (opcional)","")))</f>
        <v/>
      </c>
      <c r="K265" s="11" t="str">
        <f aca="false">UPPER(TRIM(SUBSTITUTE(B265&amp;"",CHAR(160)," ")))</f>
        <v/>
      </c>
      <c r="L265" s="11" t="str">
        <f aca="false">IF(AND(K265&lt;&gt;"",TRIM(I265&amp;"")&lt;&gt;""),K265,"")</f>
        <v/>
      </c>
    </row>
    <row r="266" customFormat="false" ht="15" hidden="false" customHeight="false" outlineLevel="0" collapsed="false">
      <c r="A266" s="9"/>
      <c r="B266" s="4"/>
      <c r="C266" s="10"/>
      <c r="D266" s="11" t="str">
        <f aca="false">IF(K266="","",IFERROR(INDEX(DECKS!$C$2:$C$1201,MATCH(K266,DECKS!$B$2:$B$1201,0)),TRIM(I266&amp;"")))</f>
        <v/>
      </c>
      <c r="E266" s="4"/>
      <c r="F266" s="12"/>
      <c r="G266" s="4"/>
      <c r="H266" s="13" t="str">
        <f aca="false">IF(OR(N(C266)=0,N(F266)=0),"",C266*F266)</f>
        <v/>
      </c>
      <c r="I266" s="4"/>
      <c r="J266" s="11" t="str">
        <f aca="false">IF(K266="","",IF(N(C266)&lt;=0,"Informe a quantidade",IF(IFERROR(INDEX(INVENTÁRIO!$B$2:$B$801,MATCH(K266,INVENTÁRIO!$A$2:$A$801,0)),"")="(sem nome)","Carta fora dos decks: digite o nome na coluna I (opcional)","")))</f>
        <v/>
      </c>
      <c r="K266" s="11" t="str">
        <f aca="false">UPPER(TRIM(SUBSTITUTE(B266&amp;"",CHAR(160)," ")))</f>
        <v/>
      </c>
      <c r="L266" s="11" t="str">
        <f aca="false">IF(AND(K266&lt;&gt;"",TRIM(I266&amp;"")&lt;&gt;""),K266,"")</f>
        <v/>
      </c>
    </row>
    <row r="267" customFormat="false" ht="15" hidden="false" customHeight="false" outlineLevel="0" collapsed="false">
      <c r="A267" s="9"/>
      <c r="B267" s="4"/>
      <c r="C267" s="10"/>
      <c r="D267" s="11" t="str">
        <f aca="false">IF(K267="","",IFERROR(INDEX(DECKS!$C$2:$C$1201,MATCH(K267,DECKS!$B$2:$B$1201,0)),TRIM(I267&amp;"")))</f>
        <v/>
      </c>
      <c r="E267" s="4"/>
      <c r="F267" s="12"/>
      <c r="G267" s="4"/>
      <c r="H267" s="13" t="str">
        <f aca="false">IF(OR(N(C267)=0,N(F267)=0),"",C267*F267)</f>
        <v/>
      </c>
      <c r="I267" s="4"/>
      <c r="J267" s="11" t="str">
        <f aca="false">IF(K267="","",IF(N(C267)&lt;=0,"Informe a quantidade",IF(IFERROR(INDEX(INVENTÁRIO!$B$2:$B$801,MATCH(K267,INVENTÁRIO!$A$2:$A$801,0)),"")="(sem nome)","Carta fora dos decks: digite o nome na coluna I (opcional)","")))</f>
        <v/>
      </c>
      <c r="K267" s="11" t="str">
        <f aca="false">UPPER(TRIM(SUBSTITUTE(B267&amp;"",CHAR(160)," ")))</f>
        <v/>
      </c>
      <c r="L267" s="11" t="str">
        <f aca="false">IF(AND(K267&lt;&gt;"",TRIM(I267&amp;"")&lt;&gt;""),K267,"")</f>
        <v/>
      </c>
    </row>
    <row r="268" customFormat="false" ht="15" hidden="false" customHeight="false" outlineLevel="0" collapsed="false">
      <c r="A268" s="9"/>
      <c r="B268" s="4"/>
      <c r="C268" s="10"/>
      <c r="D268" s="11" t="str">
        <f aca="false">IF(K268="","",IFERROR(INDEX(DECKS!$C$2:$C$1201,MATCH(K268,DECKS!$B$2:$B$1201,0)),TRIM(I268&amp;"")))</f>
        <v/>
      </c>
      <c r="E268" s="4"/>
      <c r="F268" s="12"/>
      <c r="G268" s="4"/>
      <c r="H268" s="13" t="str">
        <f aca="false">IF(OR(N(C268)=0,N(F268)=0),"",C268*F268)</f>
        <v/>
      </c>
      <c r="I268" s="4"/>
      <c r="J268" s="11" t="str">
        <f aca="false">IF(K268="","",IF(N(C268)&lt;=0,"Informe a quantidade",IF(IFERROR(INDEX(INVENTÁRIO!$B$2:$B$801,MATCH(K268,INVENTÁRIO!$A$2:$A$801,0)),"")="(sem nome)","Carta fora dos decks: digite o nome na coluna I (opcional)","")))</f>
        <v/>
      </c>
      <c r="K268" s="11" t="str">
        <f aca="false">UPPER(TRIM(SUBSTITUTE(B268&amp;"",CHAR(160)," ")))</f>
        <v/>
      </c>
      <c r="L268" s="11" t="str">
        <f aca="false">IF(AND(K268&lt;&gt;"",TRIM(I268&amp;"")&lt;&gt;""),K268,"")</f>
        <v/>
      </c>
    </row>
    <row r="269" customFormat="false" ht="15" hidden="false" customHeight="false" outlineLevel="0" collapsed="false">
      <c r="A269" s="9"/>
      <c r="B269" s="4"/>
      <c r="C269" s="10"/>
      <c r="D269" s="11" t="str">
        <f aca="false">IF(K269="","",IFERROR(INDEX(DECKS!$C$2:$C$1201,MATCH(K269,DECKS!$B$2:$B$1201,0)),TRIM(I269&amp;"")))</f>
        <v/>
      </c>
      <c r="E269" s="4"/>
      <c r="F269" s="12"/>
      <c r="G269" s="4"/>
      <c r="H269" s="13" t="str">
        <f aca="false">IF(OR(N(C269)=0,N(F269)=0),"",C269*F269)</f>
        <v/>
      </c>
      <c r="I269" s="4"/>
      <c r="J269" s="11" t="str">
        <f aca="false">IF(K269="","",IF(N(C269)&lt;=0,"Informe a quantidade",IF(IFERROR(INDEX(INVENTÁRIO!$B$2:$B$801,MATCH(K269,INVENTÁRIO!$A$2:$A$801,0)),"")="(sem nome)","Carta fora dos decks: digite o nome na coluna I (opcional)","")))</f>
        <v/>
      </c>
      <c r="K269" s="11" t="str">
        <f aca="false">UPPER(TRIM(SUBSTITUTE(B269&amp;"",CHAR(160)," ")))</f>
        <v/>
      </c>
      <c r="L269" s="11" t="str">
        <f aca="false">IF(AND(K269&lt;&gt;"",TRIM(I269&amp;"")&lt;&gt;""),K269,"")</f>
        <v/>
      </c>
    </row>
    <row r="270" customFormat="false" ht="15" hidden="false" customHeight="false" outlineLevel="0" collapsed="false">
      <c r="A270" s="9"/>
      <c r="B270" s="4"/>
      <c r="C270" s="10"/>
      <c r="D270" s="11" t="str">
        <f aca="false">IF(K270="","",IFERROR(INDEX(DECKS!$C$2:$C$1201,MATCH(K270,DECKS!$B$2:$B$1201,0)),TRIM(I270&amp;"")))</f>
        <v/>
      </c>
      <c r="E270" s="4"/>
      <c r="F270" s="12"/>
      <c r="G270" s="4"/>
      <c r="H270" s="13" t="str">
        <f aca="false">IF(OR(N(C270)=0,N(F270)=0),"",C270*F270)</f>
        <v/>
      </c>
      <c r="I270" s="4"/>
      <c r="J270" s="11" t="str">
        <f aca="false">IF(K270="","",IF(N(C270)&lt;=0,"Informe a quantidade",IF(IFERROR(INDEX(INVENTÁRIO!$B$2:$B$801,MATCH(K270,INVENTÁRIO!$A$2:$A$801,0)),"")="(sem nome)","Carta fora dos decks: digite o nome na coluna I (opcional)","")))</f>
        <v/>
      </c>
      <c r="K270" s="11" t="str">
        <f aca="false">UPPER(TRIM(SUBSTITUTE(B270&amp;"",CHAR(160)," ")))</f>
        <v/>
      </c>
      <c r="L270" s="11" t="str">
        <f aca="false">IF(AND(K270&lt;&gt;"",TRIM(I270&amp;"")&lt;&gt;""),K270,"")</f>
        <v/>
      </c>
    </row>
    <row r="271" customFormat="false" ht="15" hidden="false" customHeight="false" outlineLevel="0" collapsed="false">
      <c r="A271" s="9"/>
      <c r="B271" s="4"/>
      <c r="C271" s="10"/>
      <c r="D271" s="11" t="str">
        <f aca="false">IF(K271="","",IFERROR(INDEX(DECKS!$C$2:$C$1201,MATCH(K271,DECKS!$B$2:$B$1201,0)),TRIM(I271&amp;"")))</f>
        <v/>
      </c>
      <c r="E271" s="4"/>
      <c r="F271" s="12"/>
      <c r="G271" s="4"/>
      <c r="H271" s="13" t="str">
        <f aca="false">IF(OR(N(C271)=0,N(F271)=0),"",C271*F271)</f>
        <v/>
      </c>
      <c r="I271" s="4"/>
      <c r="J271" s="11" t="str">
        <f aca="false">IF(K271="","",IF(N(C271)&lt;=0,"Informe a quantidade",IF(IFERROR(INDEX(INVENTÁRIO!$B$2:$B$801,MATCH(K271,INVENTÁRIO!$A$2:$A$801,0)),"")="(sem nome)","Carta fora dos decks: digite o nome na coluna I (opcional)","")))</f>
        <v/>
      </c>
      <c r="K271" s="11" t="str">
        <f aca="false">UPPER(TRIM(SUBSTITUTE(B271&amp;"",CHAR(160)," ")))</f>
        <v/>
      </c>
      <c r="L271" s="11" t="str">
        <f aca="false">IF(AND(K271&lt;&gt;"",TRIM(I271&amp;"")&lt;&gt;""),K271,"")</f>
        <v/>
      </c>
    </row>
    <row r="272" customFormat="false" ht="15" hidden="false" customHeight="false" outlineLevel="0" collapsed="false">
      <c r="A272" s="9"/>
      <c r="B272" s="4"/>
      <c r="C272" s="10"/>
      <c r="D272" s="11" t="str">
        <f aca="false">IF(K272="","",IFERROR(INDEX(DECKS!$C$2:$C$1201,MATCH(K272,DECKS!$B$2:$B$1201,0)),TRIM(I272&amp;"")))</f>
        <v/>
      </c>
      <c r="E272" s="4"/>
      <c r="F272" s="12"/>
      <c r="G272" s="4"/>
      <c r="H272" s="13" t="str">
        <f aca="false">IF(OR(N(C272)=0,N(F272)=0),"",C272*F272)</f>
        <v/>
      </c>
      <c r="I272" s="4"/>
      <c r="J272" s="11" t="str">
        <f aca="false">IF(K272="","",IF(N(C272)&lt;=0,"Informe a quantidade",IF(IFERROR(INDEX(INVENTÁRIO!$B$2:$B$801,MATCH(K272,INVENTÁRIO!$A$2:$A$801,0)),"")="(sem nome)","Carta fora dos decks: digite o nome na coluna I (opcional)","")))</f>
        <v/>
      </c>
      <c r="K272" s="11" t="str">
        <f aca="false">UPPER(TRIM(SUBSTITUTE(B272&amp;"",CHAR(160)," ")))</f>
        <v/>
      </c>
      <c r="L272" s="11" t="str">
        <f aca="false">IF(AND(K272&lt;&gt;"",TRIM(I272&amp;"")&lt;&gt;""),K272,"")</f>
        <v/>
      </c>
    </row>
    <row r="273" customFormat="false" ht="15" hidden="false" customHeight="false" outlineLevel="0" collapsed="false">
      <c r="A273" s="9"/>
      <c r="B273" s="4"/>
      <c r="C273" s="10"/>
      <c r="D273" s="11" t="str">
        <f aca="false">IF(K273="","",IFERROR(INDEX(DECKS!$C$2:$C$1201,MATCH(K273,DECKS!$B$2:$B$1201,0)),TRIM(I273&amp;"")))</f>
        <v/>
      </c>
      <c r="E273" s="4"/>
      <c r="F273" s="12"/>
      <c r="G273" s="4"/>
      <c r="H273" s="13" t="str">
        <f aca="false">IF(OR(N(C273)=0,N(F273)=0),"",C273*F273)</f>
        <v/>
      </c>
      <c r="I273" s="4"/>
      <c r="J273" s="11" t="str">
        <f aca="false">IF(K273="","",IF(N(C273)&lt;=0,"Informe a quantidade",IF(IFERROR(INDEX(INVENTÁRIO!$B$2:$B$801,MATCH(K273,INVENTÁRIO!$A$2:$A$801,0)),"")="(sem nome)","Carta fora dos decks: digite o nome na coluna I (opcional)","")))</f>
        <v/>
      </c>
      <c r="K273" s="11" t="str">
        <f aca="false">UPPER(TRIM(SUBSTITUTE(B273&amp;"",CHAR(160)," ")))</f>
        <v/>
      </c>
      <c r="L273" s="11" t="str">
        <f aca="false">IF(AND(K273&lt;&gt;"",TRIM(I273&amp;"")&lt;&gt;""),K273,"")</f>
        <v/>
      </c>
    </row>
    <row r="274" customFormat="false" ht="15" hidden="false" customHeight="false" outlineLevel="0" collapsed="false">
      <c r="A274" s="9"/>
      <c r="B274" s="4"/>
      <c r="C274" s="10"/>
      <c r="D274" s="11" t="str">
        <f aca="false">IF(K274="","",IFERROR(INDEX(DECKS!$C$2:$C$1201,MATCH(K274,DECKS!$B$2:$B$1201,0)),TRIM(I274&amp;"")))</f>
        <v/>
      </c>
      <c r="E274" s="4"/>
      <c r="F274" s="12"/>
      <c r="G274" s="4"/>
      <c r="H274" s="13" t="str">
        <f aca="false">IF(OR(N(C274)=0,N(F274)=0),"",C274*F274)</f>
        <v/>
      </c>
      <c r="I274" s="4"/>
      <c r="J274" s="11" t="str">
        <f aca="false">IF(K274="","",IF(N(C274)&lt;=0,"Informe a quantidade",IF(IFERROR(INDEX(INVENTÁRIO!$B$2:$B$801,MATCH(K274,INVENTÁRIO!$A$2:$A$801,0)),"")="(sem nome)","Carta fora dos decks: digite o nome na coluna I (opcional)","")))</f>
        <v/>
      </c>
      <c r="K274" s="11" t="str">
        <f aca="false">UPPER(TRIM(SUBSTITUTE(B274&amp;"",CHAR(160)," ")))</f>
        <v/>
      </c>
      <c r="L274" s="11" t="str">
        <f aca="false">IF(AND(K274&lt;&gt;"",TRIM(I274&amp;"")&lt;&gt;""),K274,"")</f>
        <v/>
      </c>
    </row>
    <row r="275" customFormat="false" ht="15" hidden="false" customHeight="false" outlineLevel="0" collapsed="false">
      <c r="A275" s="9"/>
      <c r="B275" s="4"/>
      <c r="C275" s="10"/>
      <c r="D275" s="11" t="str">
        <f aca="false">IF(K275="","",IFERROR(INDEX(DECKS!$C$2:$C$1201,MATCH(K275,DECKS!$B$2:$B$1201,0)),TRIM(I275&amp;"")))</f>
        <v/>
      </c>
      <c r="E275" s="4"/>
      <c r="F275" s="12"/>
      <c r="G275" s="4"/>
      <c r="H275" s="13" t="str">
        <f aca="false">IF(OR(N(C275)=0,N(F275)=0),"",C275*F275)</f>
        <v/>
      </c>
      <c r="I275" s="4"/>
      <c r="J275" s="11" t="str">
        <f aca="false">IF(K275="","",IF(N(C275)&lt;=0,"Informe a quantidade",IF(IFERROR(INDEX(INVENTÁRIO!$B$2:$B$801,MATCH(K275,INVENTÁRIO!$A$2:$A$801,0)),"")="(sem nome)","Carta fora dos decks: digite o nome na coluna I (opcional)","")))</f>
        <v/>
      </c>
      <c r="K275" s="11" t="str">
        <f aca="false">UPPER(TRIM(SUBSTITUTE(B275&amp;"",CHAR(160)," ")))</f>
        <v/>
      </c>
      <c r="L275" s="11" t="str">
        <f aca="false">IF(AND(K275&lt;&gt;"",TRIM(I275&amp;"")&lt;&gt;""),K275,"")</f>
        <v/>
      </c>
    </row>
    <row r="276" customFormat="false" ht="15" hidden="false" customHeight="false" outlineLevel="0" collapsed="false">
      <c r="A276" s="9"/>
      <c r="B276" s="4"/>
      <c r="C276" s="10"/>
      <c r="D276" s="11" t="str">
        <f aca="false">IF(K276="","",IFERROR(INDEX(DECKS!$C$2:$C$1201,MATCH(K276,DECKS!$B$2:$B$1201,0)),TRIM(I276&amp;"")))</f>
        <v/>
      </c>
      <c r="E276" s="4"/>
      <c r="F276" s="12"/>
      <c r="G276" s="4"/>
      <c r="H276" s="13" t="str">
        <f aca="false">IF(OR(N(C276)=0,N(F276)=0),"",C276*F276)</f>
        <v/>
      </c>
      <c r="I276" s="4"/>
      <c r="J276" s="11" t="str">
        <f aca="false">IF(K276="","",IF(N(C276)&lt;=0,"Informe a quantidade",IF(IFERROR(INDEX(INVENTÁRIO!$B$2:$B$801,MATCH(K276,INVENTÁRIO!$A$2:$A$801,0)),"")="(sem nome)","Carta fora dos decks: digite o nome na coluna I (opcional)","")))</f>
        <v/>
      </c>
      <c r="K276" s="11" t="str">
        <f aca="false">UPPER(TRIM(SUBSTITUTE(B276&amp;"",CHAR(160)," ")))</f>
        <v/>
      </c>
      <c r="L276" s="11" t="str">
        <f aca="false">IF(AND(K276&lt;&gt;"",TRIM(I276&amp;"")&lt;&gt;""),K276,"")</f>
        <v/>
      </c>
    </row>
    <row r="277" customFormat="false" ht="15" hidden="false" customHeight="false" outlineLevel="0" collapsed="false">
      <c r="A277" s="9"/>
      <c r="B277" s="4"/>
      <c r="C277" s="10"/>
      <c r="D277" s="11" t="str">
        <f aca="false">IF(K277="","",IFERROR(INDEX(DECKS!$C$2:$C$1201,MATCH(K277,DECKS!$B$2:$B$1201,0)),TRIM(I277&amp;"")))</f>
        <v/>
      </c>
      <c r="E277" s="4"/>
      <c r="F277" s="12"/>
      <c r="G277" s="4"/>
      <c r="H277" s="13" t="str">
        <f aca="false">IF(OR(N(C277)=0,N(F277)=0),"",C277*F277)</f>
        <v/>
      </c>
      <c r="I277" s="4"/>
      <c r="J277" s="11" t="str">
        <f aca="false">IF(K277="","",IF(N(C277)&lt;=0,"Informe a quantidade",IF(IFERROR(INDEX(INVENTÁRIO!$B$2:$B$801,MATCH(K277,INVENTÁRIO!$A$2:$A$801,0)),"")="(sem nome)","Carta fora dos decks: digite o nome na coluna I (opcional)","")))</f>
        <v/>
      </c>
      <c r="K277" s="11" t="str">
        <f aca="false">UPPER(TRIM(SUBSTITUTE(B277&amp;"",CHAR(160)," ")))</f>
        <v/>
      </c>
      <c r="L277" s="11" t="str">
        <f aca="false">IF(AND(K277&lt;&gt;"",TRIM(I277&amp;"")&lt;&gt;""),K277,"")</f>
        <v/>
      </c>
    </row>
    <row r="278" customFormat="false" ht="15" hidden="false" customHeight="false" outlineLevel="0" collapsed="false">
      <c r="A278" s="9"/>
      <c r="B278" s="4"/>
      <c r="C278" s="10"/>
      <c r="D278" s="11" t="str">
        <f aca="false">IF(K278="","",IFERROR(INDEX(DECKS!$C$2:$C$1201,MATCH(K278,DECKS!$B$2:$B$1201,0)),TRIM(I278&amp;"")))</f>
        <v/>
      </c>
      <c r="E278" s="4"/>
      <c r="F278" s="12"/>
      <c r="G278" s="4"/>
      <c r="H278" s="13" t="str">
        <f aca="false">IF(OR(N(C278)=0,N(F278)=0),"",C278*F278)</f>
        <v/>
      </c>
      <c r="I278" s="4"/>
      <c r="J278" s="11" t="str">
        <f aca="false">IF(K278="","",IF(N(C278)&lt;=0,"Informe a quantidade",IF(IFERROR(INDEX(INVENTÁRIO!$B$2:$B$801,MATCH(K278,INVENTÁRIO!$A$2:$A$801,0)),"")="(sem nome)","Carta fora dos decks: digite o nome na coluna I (opcional)","")))</f>
        <v/>
      </c>
      <c r="K278" s="11" t="str">
        <f aca="false">UPPER(TRIM(SUBSTITUTE(B278&amp;"",CHAR(160)," ")))</f>
        <v/>
      </c>
      <c r="L278" s="11" t="str">
        <f aca="false">IF(AND(K278&lt;&gt;"",TRIM(I278&amp;"")&lt;&gt;""),K278,"")</f>
        <v/>
      </c>
    </row>
    <row r="279" customFormat="false" ht="15" hidden="false" customHeight="false" outlineLevel="0" collapsed="false">
      <c r="A279" s="9"/>
      <c r="B279" s="4"/>
      <c r="C279" s="10"/>
      <c r="D279" s="11" t="str">
        <f aca="false">IF(K279="","",IFERROR(INDEX(DECKS!$C$2:$C$1201,MATCH(K279,DECKS!$B$2:$B$1201,0)),TRIM(I279&amp;"")))</f>
        <v/>
      </c>
      <c r="E279" s="4"/>
      <c r="F279" s="12"/>
      <c r="G279" s="4"/>
      <c r="H279" s="13" t="str">
        <f aca="false">IF(OR(N(C279)=0,N(F279)=0),"",C279*F279)</f>
        <v/>
      </c>
      <c r="I279" s="4"/>
      <c r="J279" s="11" t="str">
        <f aca="false">IF(K279="","",IF(N(C279)&lt;=0,"Informe a quantidade",IF(IFERROR(INDEX(INVENTÁRIO!$B$2:$B$801,MATCH(K279,INVENTÁRIO!$A$2:$A$801,0)),"")="(sem nome)","Carta fora dos decks: digite o nome na coluna I (opcional)","")))</f>
        <v/>
      </c>
      <c r="K279" s="11" t="str">
        <f aca="false">UPPER(TRIM(SUBSTITUTE(B279&amp;"",CHAR(160)," ")))</f>
        <v/>
      </c>
      <c r="L279" s="11" t="str">
        <f aca="false">IF(AND(K279&lt;&gt;"",TRIM(I279&amp;"")&lt;&gt;""),K279,"")</f>
        <v/>
      </c>
    </row>
    <row r="280" customFormat="false" ht="15" hidden="false" customHeight="false" outlineLevel="0" collapsed="false">
      <c r="A280" s="9"/>
      <c r="B280" s="4"/>
      <c r="C280" s="10"/>
      <c r="D280" s="11" t="str">
        <f aca="false">IF(K280="","",IFERROR(INDEX(DECKS!$C$2:$C$1201,MATCH(K280,DECKS!$B$2:$B$1201,0)),TRIM(I280&amp;"")))</f>
        <v/>
      </c>
      <c r="E280" s="4"/>
      <c r="F280" s="12"/>
      <c r="G280" s="4"/>
      <c r="H280" s="13" t="str">
        <f aca="false">IF(OR(N(C280)=0,N(F280)=0),"",C280*F280)</f>
        <v/>
      </c>
      <c r="I280" s="4"/>
      <c r="J280" s="11" t="str">
        <f aca="false">IF(K280="","",IF(N(C280)&lt;=0,"Informe a quantidade",IF(IFERROR(INDEX(INVENTÁRIO!$B$2:$B$801,MATCH(K280,INVENTÁRIO!$A$2:$A$801,0)),"")="(sem nome)","Carta fora dos decks: digite o nome na coluna I (opcional)","")))</f>
        <v/>
      </c>
      <c r="K280" s="11" t="str">
        <f aca="false">UPPER(TRIM(SUBSTITUTE(B280&amp;"",CHAR(160)," ")))</f>
        <v/>
      </c>
      <c r="L280" s="11" t="str">
        <f aca="false">IF(AND(K280&lt;&gt;"",TRIM(I280&amp;"")&lt;&gt;""),K280,"")</f>
        <v/>
      </c>
    </row>
    <row r="281" customFormat="false" ht="15" hidden="false" customHeight="false" outlineLevel="0" collapsed="false">
      <c r="A281" s="9"/>
      <c r="B281" s="4"/>
      <c r="C281" s="10"/>
      <c r="D281" s="11" t="str">
        <f aca="false">IF(K281="","",IFERROR(INDEX(DECKS!$C$2:$C$1201,MATCH(K281,DECKS!$B$2:$B$1201,0)),TRIM(I281&amp;"")))</f>
        <v/>
      </c>
      <c r="E281" s="4"/>
      <c r="F281" s="12"/>
      <c r="G281" s="4"/>
      <c r="H281" s="13" t="str">
        <f aca="false">IF(OR(N(C281)=0,N(F281)=0),"",C281*F281)</f>
        <v/>
      </c>
      <c r="I281" s="4"/>
      <c r="J281" s="11" t="str">
        <f aca="false">IF(K281="","",IF(N(C281)&lt;=0,"Informe a quantidade",IF(IFERROR(INDEX(INVENTÁRIO!$B$2:$B$801,MATCH(K281,INVENTÁRIO!$A$2:$A$801,0)),"")="(sem nome)","Carta fora dos decks: digite o nome na coluna I (opcional)","")))</f>
        <v/>
      </c>
      <c r="K281" s="11" t="str">
        <f aca="false">UPPER(TRIM(SUBSTITUTE(B281&amp;"",CHAR(160)," ")))</f>
        <v/>
      </c>
      <c r="L281" s="11" t="str">
        <f aca="false">IF(AND(K281&lt;&gt;"",TRIM(I281&amp;"")&lt;&gt;""),K281,"")</f>
        <v/>
      </c>
    </row>
    <row r="282" customFormat="false" ht="15" hidden="false" customHeight="false" outlineLevel="0" collapsed="false">
      <c r="A282" s="9"/>
      <c r="B282" s="4"/>
      <c r="C282" s="10"/>
      <c r="D282" s="11" t="str">
        <f aca="false">IF(K282="","",IFERROR(INDEX(DECKS!$C$2:$C$1201,MATCH(K282,DECKS!$B$2:$B$1201,0)),TRIM(I282&amp;"")))</f>
        <v/>
      </c>
      <c r="E282" s="4"/>
      <c r="F282" s="12"/>
      <c r="G282" s="4"/>
      <c r="H282" s="13" t="str">
        <f aca="false">IF(OR(N(C282)=0,N(F282)=0),"",C282*F282)</f>
        <v/>
      </c>
      <c r="I282" s="4"/>
      <c r="J282" s="11" t="str">
        <f aca="false">IF(K282="","",IF(N(C282)&lt;=0,"Informe a quantidade",IF(IFERROR(INDEX(INVENTÁRIO!$B$2:$B$801,MATCH(K282,INVENTÁRIO!$A$2:$A$801,0)),"")="(sem nome)","Carta fora dos decks: digite o nome na coluna I (opcional)","")))</f>
        <v/>
      </c>
      <c r="K282" s="11" t="str">
        <f aca="false">UPPER(TRIM(SUBSTITUTE(B282&amp;"",CHAR(160)," ")))</f>
        <v/>
      </c>
      <c r="L282" s="11" t="str">
        <f aca="false">IF(AND(K282&lt;&gt;"",TRIM(I282&amp;"")&lt;&gt;""),K282,"")</f>
        <v/>
      </c>
    </row>
    <row r="283" customFormat="false" ht="15" hidden="false" customHeight="false" outlineLevel="0" collapsed="false">
      <c r="A283" s="9"/>
      <c r="B283" s="4"/>
      <c r="C283" s="10"/>
      <c r="D283" s="11" t="str">
        <f aca="false">IF(K283="","",IFERROR(INDEX(DECKS!$C$2:$C$1201,MATCH(K283,DECKS!$B$2:$B$1201,0)),TRIM(I283&amp;"")))</f>
        <v/>
      </c>
      <c r="E283" s="4"/>
      <c r="F283" s="12"/>
      <c r="G283" s="4"/>
      <c r="H283" s="13" t="str">
        <f aca="false">IF(OR(N(C283)=0,N(F283)=0),"",C283*F283)</f>
        <v/>
      </c>
      <c r="I283" s="4"/>
      <c r="J283" s="11" t="str">
        <f aca="false">IF(K283="","",IF(N(C283)&lt;=0,"Informe a quantidade",IF(IFERROR(INDEX(INVENTÁRIO!$B$2:$B$801,MATCH(K283,INVENTÁRIO!$A$2:$A$801,0)),"")="(sem nome)","Carta fora dos decks: digite o nome na coluna I (opcional)","")))</f>
        <v/>
      </c>
      <c r="K283" s="11" t="str">
        <f aca="false">UPPER(TRIM(SUBSTITUTE(B283&amp;"",CHAR(160)," ")))</f>
        <v/>
      </c>
      <c r="L283" s="11" t="str">
        <f aca="false">IF(AND(K283&lt;&gt;"",TRIM(I283&amp;"")&lt;&gt;""),K283,"")</f>
        <v/>
      </c>
    </row>
    <row r="284" customFormat="false" ht="15" hidden="false" customHeight="false" outlineLevel="0" collapsed="false">
      <c r="A284" s="9"/>
      <c r="B284" s="4"/>
      <c r="C284" s="10"/>
      <c r="D284" s="11" t="str">
        <f aca="false">IF(K284="","",IFERROR(INDEX(DECKS!$C$2:$C$1201,MATCH(K284,DECKS!$B$2:$B$1201,0)),TRIM(I284&amp;"")))</f>
        <v/>
      </c>
      <c r="E284" s="4"/>
      <c r="F284" s="12"/>
      <c r="G284" s="4"/>
      <c r="H284" s="13" t="str">
        <f aca="false">IF(OR(N(C284)=0,N(F284)=0),"",C284*F284)</f>
        <v/>
      </c>
      <c r="I284" s="4"/>
      <c r="J284" s="11" t="str">
        <f aca="false">IF(K284="","",IF(N(C284)&lt;=0,"Informe a quantidade",IF(IFERROR(INDEX(INVENTÁRIO!$B$2:$B$801,MATCH(K284,INVENTÁRIO!$A$2:$A$801,0)),"")="(sem nome)","Carta fora dos decks: digite o nome na coluna I (opcional)","")))</f>
        <v/>
      </c>
      <c r="K284" s="11" t="str">
        <f aca="false">UPPER(TRIM(SUBSTITUTE(B284&amp;"",CHAR(160)," ")))</f>
        <v/>
      </c>
      <c r="L284" s="11" t="str">
        <f aca="false">IF(AND(K284&lt;&gt;"",TRIM(I284&amp;"")&lt;&gt;""),K284,"")</f>
        <v/>
      </c>
    </row>
    <row r="285" customFormat="false" ht="15" hidden="false" customHeight="false" outlineLevel="0" collapsed="false">
      <c r="A285" s="9"/>
      <c r="B285" s="4"/>
      <c r="C285" s="10"/>
      <c r="D285" s="11" t="str">
        <f aca="false">IF(K285="","",IFERROR(INDEX(DECKS!$C$2:$C$1201,MATCH(K285,DECKS!$B$2:$B$1201,0)),TRIM(I285&amp;"")))</f>
        <v/>
      </c>
      <c r="E285" s="4"/>
      <c r="F285" s="12"/>
      <c r="G285" s="4"/>
      <c r="H285" s="13" t="str">
        <f aca="false">IF(OR(N(C285)=0,N(F285)=0),"",C285*F285)</f>
        <v/>
      </c>
      <c r="I285" s="4"/>
      <c r="J285" s="11" t="str">
        <f aca="false">IF(K285="","",IF(N(C285)&lt;=0,"Informe a quantidade",IF(IFERROR(INDEX(INVENTÁRIO!$B$2:$B$801,MATCH(K285,INVENTÁRIO!$A$2:$A$801,0)),"")="(sem nome)","Carta fora dos decks: digite o nome na coluna I (opcional)","")))</f>
        <v/>
      </c>
      <c r="K285" s="11" t="str">
        <f aca="false">UPPER(TRIM(SUBSTITUTE(B285&amp;"",CHAR(160)," ")))</f>
        <v/>
      </c>
      <c r="L285" s="11" t="str">
        <f aca="false">IF(AND(K285&lt;&gt;"",TRIM(I285&amp;"")&lt;&gt;""),K285,"")</f>
        <v/>
      </c>
    </row>
    <row r="286" customFormat="false" ht="15" hidden="false" customHeight="false" outlineLevel="0" collapsed="false">
      <c r="A286" s="9"/>
      <c r="B286" s="4"/>
      <c r="C286" s="10"/>
      <c r="D286" s="11" t="str">
        <f aca="false">IF(K286="","",IFERROR(INDEX(DECKS!$C$2:$C$1201,MATCH(K286,DECKS!$B$2:$B$1201,0)),TRIM(I286&amp;"")))</f>
        <v/>
      </c>
      <c r="E286" s="4"/>
      <c r="F286" s="12"/>
      <c r="G286" s="4"/>
      <c r="H286" s="13" t="str">
        <f aca="false">IF(OR(N(C286)=0,N(F286)=0),"",C286*F286)</f>
        <v/>
      </c>
      <c r="I286" s="4"/>
      <c r="J286" s="11" t="str">
        <f aca="false">IF(K286="","",IF(N(C286)&lt;=0,"Informe a quantidade",IF(IFERROR(INDEX(INVENTÁRIO!$B$2:$B$801,MATCH(K286,INVENTÁRIO!$A$2:$A$801,0)),"")="(sem nome)","Carta fora dos decks: digite o nome na coluna I (opcional)","")))</f>
        <v/>
      </c>
      <c r="K286" s="11" t="str">
        <f aca="false">UPPER(TRIM(SUBSTITUTE(B286&amp;"",CHAR(160)," ")))</f>
        <v/>
      </c>
      <c r="L286" s="11" t="str">
        <f aca="false">IF(AND(K286&lt;&gt;"",TRIM(I286&amp;"")&lt;&gt;""),K286,"")</f>
        <v/>
      </c>
    </row>
    <row r="287" customFormat="false" ht="15" hidden="false" customHeight="false" outlineLevel="0" collapsed="false">
      <c r="A287" s="9"/>
      <c r="B287" s="4"/>
      <c r="C287" s="10"/>
      <c r="D287" s="11" t="str">
        <f aca="false">IF(K287="","",IFERROR(INDEX(DECKS!$C$2:$C$1201,MATCH(K287,DECKS!$B$2:$B$1201,0)),TRIM(I287&amp;"")))</f>
        <v/>
      </c>
      <c r="E287" s="4"/>
      <c r="F287" s="12"/>
      <c r="G287" s="4"/>
      <c r="H287" s="13" t="str">
        <f aca="false">IF(OR(N(C287)=0,N(F287)=0),"",C287*F287)</f>
        <v/>
      </c>
      <c r="I287" s="4"/>
      <c r="J287" s="11" t="str">
        <f aca="false">IF(K287="","",IF(N(C287)&lt;=0,"Informe a quantidade",IF(IFERROR(INDEX(INVENTÁRIO!$B$2:$B$801,MATCH(K287,INVENTÁRIO!$A$2:$A$801,0)),"")="(sem nome)","Carta fora dos decks: digite o nome na coluna I (opcional)","")))</f>
        <v/>
      </c>
      <c r="K287" s="11" t="str">
        <f aca="false">UPPER(TRIM(SUBSTITUTE(B287&amp;"",CHAR(160)," ")))</f>
        <v/>
      </c>
      <c r="L287" s="11" t="str">
        <f aca="false">IF(AND(K287&lt;&gt;"",TRIM(I287&amp;"")&lt;&gt;""),K287,"")</f>
        <v/>
      </c>
    </row>
    <row r="288" customFormat="false" ht="15" hidden="false" customHeight="false" outlineLevel="0" collapsed="false">
      <c r="A288" s="9"/>
      <c r="B288" s="4"/>
      <c r="C288" s="10"/>
      <c r="D288" s="11" t="str">
        <f aca="false">IF(K288="","",IFERROR(INDEX(DECKS!$C$2:$C$1201,MATCH(K288,DECKS!$B$2:$B$1201,0)),TRIM(I288&amp;"")))</f>
        <v/>
      </c>
      <c r="E288" s="4"/>
      <c r="F288" s="12"/>
      <c r="G288" s="4"/>
      <c r="H288" s="13" t="str">
        <f aca="false">IF(OR(N(C288)=0,N(F288)=0),"",C288*F288)</f>
        <v/>
      </c>
      <c r="I288" s="4"/>
      <c r="J288" s="11" t="str">
        <f aca="false">IF(K288="","",IF(N(C288)&lt;=0,"Informe a quantidade",IF(IFERROR(INDEX(INVENTÁRIO!$B$2:$B$801,MATCH(K288,INVENTÁRIO!$A$2:$A$801,0)),"")="(sem nome)","Carta fora dos decks: digite o nome na coluna I (opcional)","")))</f>
        <v/>
      </c>
      <c r="K288" s="11" t="str">
        <f aca="false">UPPER(TRIM(SUBSTITUTE(B288&amp;"",CHAR(160)," ")))</f>
        <v/>
      </c>
      <c r="L288" s="11" t="str">
        <f aca="false">IF(AND(K288&lt;&gt;"",TRIM(I288&amp;"")&lt;&gt;""),K288,"")</f>
        <v/>
      </c>
    </row>
    <row r="289" customFormat="false" ht="15" hidden="false" customHeight="false" outlineLevel="0" collapsed="false">
      <c r="A289" s="9"/>
      <c r="B289" s="4"/>
      <c r="C289" s="10"/>
      <c r="D289" s="11" t="str">
        <f aca="false">IF(K289="","",IFERROR(INDEX(DECKS!$C$2:$C$1201,MATCH(K289,DECKS!$B$2:$B$1201,0)),TRIM(I289&amp;"")))</f>
        <v/>
      </c>
      <c r="E289" s="4"/>
      <c r="F289" s="12"/>
      <c r="G289" s="4"/>
      <c r="H289" s="13" t="str">
        <f aca="false">IF(OR(N(C289)=0,N(F289)=0),"",C289*F289)</f>
        <v/>
      </c>
      <c r="I289" s="4"/>
      <c r="J289" s="11" t="str">
        <f aca="false">IF(K289="","",IF(N(C289)&lt;=0,"Informe a quantidade",IF(IFERROR(INDEX(INVENTÁRIO!$B$2:$B$801,MATCH(K289,INVENTÁRIO!$A$2:$A$801,0)),"")="(sem nome)","Carta fora dos decks: digite o nome na coluna I (opcional)","")))</f>
        <v/>
      </c>
      <c r="K289" s="11" t="str">
        <f aca="false">UPPER(TRIM(SUBSTITUTE(B289&amp;"",CHAR(160)," ")))</f>
        <v/>
      </c>
      <c r="L289" s="11" t="str">
        <f aca="false">IF(AND(K289&lt;&gt;"",TRIM(I289&amp;"")&lt;&gt;""),K289,"")</f>
        <v/>
      </c>
    </row>
    <row r="290" customFormat="false" ht="15" hidden="false" customHeight="false" outlineLevel="0" collapsed="false">
      <c r="A290" s="9"/>
      <c r="B290" s="4"/>
      <c r="C290" s="10"/>
      <c r="D290" s="11" t="str">
        <f aca="false">IF(K290="","",IFERROR(INDEX(DECKS!$C$2:$C$1201,MATCH(K290,DECKS!$B$2:$B$1201,0)),TRIM(I290&amp;"")))</f>
        <v/>
      </c>
      <c r="E290" s="4"/>
      <c r="F290" s="12"/>
      <c r="G290" s="4"/>
      <c r="H290" s="13" t="str">
        <f aca="false">IF(OR(N(C290)=0,N(F290)=0),"",C290*F290)</f>
        <v/>
      </c>
      <c r="I290" s="4"/>
      <c r="J290" s="11" t="str">
        <f aca="false">IF(K290="","",IF(N(C290)&lt;=0,"Informe a quantidade",IF(IFERROR(INDEX(INVENTÁRIO!$B$2:$B$801,MATCH(K290,INVENTÁRIO!$A$2:$A$801,0)),"")="(sem nome)","Carta fora dos decks: digite o nome na coluna I (opcional)","")))</f>
        <v/>
      </c>
      <c r="K290" s="11" t="str">
        <f aca="false">UPPER(TRIM(SUBSTITUTE(B290&amp;"",CHAR(160)," ")))</f>
        <v/>
      </c>
      <c r="L290" s="11" t="str">
        <f aca="false">IF(AND(K290&lt;&gt;"",TRIM(I290&amp;"")&lt;&gt;""),K290,"")</f>
        <v/>
      </c>
    </row>
    <row r="291" customFormat="false" ht="15" hidden="false" customHeight="false" outlineLevel="0" collapsed="false">
      <c r="A291" s="9"/>
      <c r="B291" s="4"/>
      <c r="C291" s="10"/>
      <c r="D291" s="11" t="str">
        <f aca="false">IF(K291="","",IFERROR(INDEX(DECKS!$C$2:$C$1201,MATCH(K291,DECKS!$B$2:$B$1201,0)),TRIM(I291&amp;"")))</f>
        <v/>
      </c>
      <c r="E291" s="4"/>
      <c r="F291" s="12"/>
      <c r="G291" s="4"/>
      <c r="H291" s="13" t="str">
        <f aca="false">IF(OR(N(C291)=0,N(F291)=0),"",C291*F291)</f>
        <v/>
      </c>
      <c r="I291" s="4"/>
      <c r="J291" s="11" t="str">
        <f aca="false">IF(K291="","",IF(N(C291)&lt;=0,"Informe a quantidade",IF(IFERROR(INDEX(INVENTÁRIO!$B$2:$B$801,MATCH(K291,INVENTÁRIO!$A$2:$A$801,0)),"")="(sem nome)","Carta fora dos decks: digite o nome na coluna I (opcional)","")))</f>
        <v/>
      </c>
      <c r="K291" s="11" t="str">
        <f aca="false">UPPER(TRIM(SUBSTITUTE(B291&amp;"",CHAR(160)," ")))</f>
        <v/>
      </c>
      <c r="L291" s="11" t="str">
        <f aca="false">IF(AND(K291&lt;&gt;"",TRIM(I291&amp;"")&lt;&gt;""),K291,"")</f>
        <v/>
      </c>
    </row>
    <row r="292" customFormat="false" ht="15" hidden="false" customHeight="false" outlineLevel="0" collapsed="false">
      <c r="A292" s="9"/>
      <c r="B292" s="4"/>
      <c r="C292" s="10"/>
      <c r="D292" s="11" t="str">
        <f aca="false">IF(K292="","",IFERROR(INDEX(DECKS!$C$2:$C$1201,MATCH(K292,DECKS!$B$2:$B$1201,0)),TRIM(I292&amp;"")))</f>
        <v/>
      </c>
      <c r="E292" s="4"/>
      <c r="F292" s="12"/>
      <c r="G292" s="4"/>
      <c r="H292" s="13" t="str">
        <f aca="false">IF(OR(N(C292)=0,N(F292)=0),"",C292*F292)</f>
        <v/>
      </c>
      <c r="I292" s="4"/>
      <c r="J292" s="11" t="str">
        <f aca="false">IF(K292="","",IF(N(C292)&lt;=0,"Informe a quantidade",IF(IFERROR(INDEX(INVENTÁRIO!$B$2:$B$801,MATCH(K292,INVENTÁRIO!$A$2:$A$801,0)),"")="(sem nome)","Carta fora dos decks: digite o nome na coluna I (opcional)","")))</f>
        <v/>
      </c>
      <c r="K292" s="11" t="str">
        <f aca="false">UPPER(TRIM(SUBSTITUTE(B292&amp;"",CHAR(160)," ")))</f>
        <v/>
      </c>
      <c r="L292" s="11" t="str">
        <f aca="false">IF(AND(K292&lt;&gt;"",TRIM(I292&amp;"")&lt;&gt;""),K292,"")</f>
        <v/>
      </c>
    </row>
    <row r="293" customFormat="false" ht="15" hidden="false" customHeight="false" outlineLevel="0" collapsed="false">
      <c r="A293" s="9"/>
      <c r="B293" s="4"/>
      <c r="C293" s="10"/>
      <c r="D293" s="11" t="str">
        <f aca="false">IF(K293="","",IFERROR(INDEX(DECKS!$C$2:$C$1201,MATCH(K293,DECKS!$B$2:$B$1201,0)),TRIM(I293&amp;"")))</f>
        <v/>
      </c>
      <c r="E293" s="4"/>
      <c r="F293" s="12"/>
      <c r="G293" s="4"/>
      <c r="H293" s="13" t="str">
        <f aca="false">IF(OR(N(C293)=0,N(F293)=0),"",C293*F293)</f>
        <v/>
      </c>
      <c r="I293" s="4"/>
      <c r="J293" s="11" t="str">
        <f aca="false">IF(K293="","",IF(N(C293)&lt;=0,"Informe a quantidade",IF(IFERROR(INDEX(INVENTÁRIO!$B$2:$B$801,MATCH(K293,INVENTÁRIO!$A$2:$A$801,0)),"")="(sem nome)","Carta fora dos decks: digite o nome na coluna I (opcional)","")))</f>
        <v/>
      </c>
      <c r="K293" s="11" t="str">
        <f aca="false">UPPER(TRIM(SUBSTITUTE(B293&amp;"",CHAR(160)," ")))</f>
        <v/>
      </c>
      <c r="L293" s="11" t="str">
        <f aca="false">IF(AND(K293&lt;&gt;"",TRIM(I293&amp;"")&lt;&gt;""),K293,"")</f>
        <v/>
      </c>
    </row>
    <row r="294" customFormat="false" ht="15" hidden="false" customHeight="false" outlineLevel="0" collapsed="false">
      <c r="A294" s="9"/>
      <c r="B294" s="4"/>
      <c r="C294" s="10"/>
      <c r="D294" s="11" t="str">
        <f aca="false">IF(K294="","",IFERROR(INDEX(DECKS!$C$2:$C$1201,MATCH(K294,DECKS!$B$2:$B$1201,0)),TRIM(I294&amp;"")))</f>
        <v/>
      </c>
      <c r="E294" s="4"/>
      <c r="F294" s="12"/>
      <c r="G294" s="4"/>
      <c r="H294" s="13" t="str">
        <f aca="false">IF(OR(N(C294)=0,N(F294)=0),"",C294*F294)</f>
        <v/>
      </c>
      <c r="I294" s="4"/>
      <c r="J294" s="11" t="str">
        <f aca="false">IF(K294="","",IF(N(C294)&lt;=0,"Informe a quantidade",IF(IFERROR(INDEX(INVENTÁRIO!$B$2:$B$801,MATCH(K294,INVENTÁRIO!$A$2:$A$801,0)),"")="(sem nome)","Carta fora dos decks: digite o nome na coluna I (opcional)","")))</f>
        <v/>
      </c>
      <c r="K294" s="11" t="str">
        <f aca="false">UPPER(TRIM(SUBSTITUTE(B294&amp;"",CHAR(160)," ")))</f>
        <v/>
      </c>
      <c r="L294" s="11" t="str">
        <f aca="false">IF(AND(K294&lt;&gt;"",TRIM(I294&amp;"")&lt;&gt;""),K294,"")</f>
        <v/>
      </c>
    </row>
    <row r="295" customFormat="false" ht="15" hidden="false" customHeight="false" outlineLevel="0" collapsed="false">
      <c r="A295" s="9"/>
      <c r="B295" s="4"/>
      <c r="C295" s="10"/>
      <c r="D295" s="11" t="str">
        <f aca="false">IF(K295="","",IFERROR(INDEX(DECKS!$C$2:$C$1201,MATCH(K295,DECKS!$B$2:$B$1201,0)),TRIM(I295&amp;"")))</f>
        <v/>
      </c>
      <c r="E295" s="4"/>
      <c r="F295" s="12"/>
      <c r="G295" s="4"/>
      <c r="H295" s="13" t="str">
        <f aca="false">IF(OR(N(C295)=0,N(F295)=0),"",C295*F295)</f>
        <v/>
      </c>
      <c r="I295" s="4"/>
      <c r="J295" s="11" t="str">
        <f aca="false">IF(K295="","",IF(N(C295)&lt;=0,"Informe a quantidade",IF(IFERROR(INDEX(INVENTÁRIO!$B$2:$B$801,MATCH(K295,INVENTÁRIO!$A$2:$A$801,0)),"")="(sem nome)","Carta fora dos decks: digite o nome na coluna I (opcional)","")))</f>
        <v/>
      </c>
      <c r="K295" s="11" t="str">
        <f aca="false">UPPER(TRIM(SUBSTITUTE(B295&amp;"",CHAR(160)," ")))</f>
        <v/>
      </c>
      <c r="L295" s="11" t="str">
        <f aca="false">IF(AND(K295&lt;&gt;"",TRIM(I295&amp;"")&lt;&gt;""),K295,"")</f>
        <v/>
      </c>
    </row>
    <row r="296" customFormat="false" ht="15" hidden="false" customHeight="false" outlineLevel="0" collapsed="false">
      <c r="A296" s="9"/>
      <c r="B296" s="4"/>
      <c r="C296" s="10"/>
      <c r="D296" s="11" t="str">
        <f aca="false">IF(K296="","",IFERROR(INDEX(DECKS!$C$2:$C$1201,MATCH(K296,DECKS!$B$2:$B$1201,0)),TRIM(I296&amp;"")))</f>
        <v/>
      </c>
      <c r="E296" s="4"/>
      <c r="F296" s="12"/>
      <c r="G296" s="4"/>
      <c r="H296" s="13" t="str">
        <f aca="false">IF(OR(N(C296)=0,N(F296)=0),"",C296*F296)</f>
        <v/>
      </c>
      <c r="I296" s="4"/>
      <c r="J296" s="11" t="str">
        <f aca="false">IF(K296="","",IF(N(C296)&lt;=0,"Informe a quantidade",IF(IFERROR(INDEX(INVENTÁRIO!$B$2:$B$801,MATCH(K296,INVENTÁRIO!$A$2:$A$801,0)),"")="(sem nome)","Carta fora dos decks: digite o nome na coluna I (opcional)","")))</f>
        <v/>
      </c>
      <c r="K296" s="11" t="str">
        <f aca="false">UPPER(TRIM(SUBSTITUTE(B296&amp;"",CHAR(160)," ")))</f>
        <v/>
      </c>
      <c r="L296" s="11" t="str">
        <f aca="false">IF(AND(K296&lt;&gt;"",TRIM(I296&amp;"")&lt;&gt;""),K296,"")</f>
        <v/>
      </c>
    </row>
    <row r="297" customFormat="false" ht="15" hidden="false" customHeight="false" outlineLevel="0" collapsed="false">
      <c r="A297" s="9"/>
      <c r="B297" s="4"/>
      <c r="C297" s="10"/>
      <c r="D297" s="11" t="str">
        <f aca="false">IF(K297="","",IFERROR(INDEX(DECKS!$C$2:$C$1201,MATCH(K297,DECKS!$B$2:$B$1201,0)),TRIM(I297&amp;"")))</f>
        <v/>
      </c>
      <c r="E297" s="4"/>
      <c r="F297" s="12"/>
      <c r="G297" s="4"/>
      <c r="H297" s="13" t="str">
        <f aca="false">IF(OR(N(C297)=0,N(F297)=0),"",C297*F297)</f>
        <v/>
      </c>
      <c r="I297" s="4"/>
      <c r="J297" s="11" t="str">
        <f aca="false">IF(K297="","",IF(N(C297)&lt;=0,"Informe a quantidade",IF(IFERROR(INDEX(INVENTÁRIO!$B$2:$B$801,MATCH(K297,INVENTÁRIO!$A$2:$A$801,0)),"")="(sem nome)","Carta fora dos decks: digite o nome na coluna I (opcional)","")))</f>
        <v/>
      </c>
      <c r="K297" s="11" t="str">
        <f aca="false">UPPER(TRIM(SUBSTITUTE(B297&amp;"",CHAR(160)," ")))</f>
        <v/>
      </c>
      <c r="L297" s="11" t="str">
        <f aca="false">IF(AND(K297&lt;&gt;"",TRIM(I297&amp;"")&lt;&gt;""),K297,"")</f>
        <v/>
      </c>
    </row>
    <row r="298" customFormat="false" ht="15" hidden="false" customHeight="false" outlineLevel="0" collapsed="false">
      <c r="A298" s="9"/>
      <c r="B298" s="4"/>
      <c r="C298" s="10"/>
      <c r="D298" s="11" t="str">
        <f aca="false">IF(K298="","",IFERROR(INDEX(DECKS!$C$2:$C$1201,MATCH(K298,DECKS!$B$2:$B$1201,0)),TRIM(I298&amp;"")))</f>
        <v/>
      </c>
      <c r="E298" s="4"/>
      <c r="F298" s="12"/>
      <c r="G298" s="4"/>
      <c r="H298" s="13" t="str">
        <f aca="false">IF(OR(N(C298)=0,N(F298)=0),"",C298*F298)</f>
        <v/>
      </c>
      <c r="I298" s="4"/>
      <c r="J298" s="11" t="str">
        <f aca="false">IF(K298="","",IF(N(C298)&lt;=0,"Informe a quantidade",IF(IFERROR(INDEX(INVENTÁRIO!$B$2:$B$801,MATCH(K298,INVENTÁRIO!$A$2:$A$801,0)),"")="(sem nome)","Carta fora dos decks: digite o nome na coluna I (opcional)","")))</f>
        <v/>
      </c>
      <c r="K298" s="11" t="str">
        <f aca="false">UPPER(TRIM(SUBSTITUTE(B298&amp;"",CHAR(160)," ")))</f>
        <v/>
      </c>
      <c r="L298" s="11" t="str">
        <f aca="false">IF(AND(K298&lt;&gt;"",TRIM(I298&amp;"")&lt;&gt;""),K298,"")</f>
        <v/>
      </c>
    </row>
    <row r="299" customFormat="false" ht="15" hidden="false" customHeight="false" outlineLevel="0" collapsed="false">
      <c r="A299" s="9"/>
      <c r="B299" s="4"/>
      <c r="C299" s="10"/>
      <c r="D299" s="11" t="str">
        <f aca="false">IF(K299="","",IFERROR(INDEX(DECKS!$C$2:$C$1201,MATCH(K299,DECKS!$B$2:$B$1201,0)),TRIM(I299&amp;"")))</f>
        <v/>
      </c>
      <c r="E299" s="4"/>
      <c r="F299" s="12"/>
      <c r="G299" s="4"/>
      <c r="H299" s="13" t="str">
        <f aca="false">IF(OR(N(C299)=0,N(F299)=0),"",C299*F299)</f>
        <v/>
      </c>
      <c r="I299" s="4"/>
      <c r="J299" s="11" t="str">
        <f aca="false">IF(K299="","",IF(N(C299)&lt;=0,"Informe a quantidade",IF(IFERROR(INDEX(INVENTÁRIO!$B$2:$B$801,MATCH(K299,INVENTÁRIO!$A$2:$A$801,0)),"")="(sem nome)","Carta fora dos decks: digite o nome na coluna I (opcional)","")))</f>
        <v/>
      </c>
      <c r="K299" s="11" t="str">
        <f aca="false">UPPER(TRIM(SUBSTITUTE(B299&amp;"",CHAR(160)," ")))</f>
        <v/>
      </c>
      <c r="L299" s="11" t="str">
        <f aca="false">IF(AND(K299&lt;&gt;"",TRIM(I299&amp;"")&lt;&gt;""),K299,"")</f>
        <v/>
      </c>
    </row>
    <row r="300" customFormat="false" ht="15" hidden="false" customHeight="false" outlineLevel="0" collapsed="false">
      <c r="A300" s="9"/>
      <c r="B300" s="4"/>
      <c r="C300" s="10"/>
      <c r="D300" s="11" t="str">
        <f aca="false">IF(K300="","",IFERROR(INDEX(DECKS!$C$2:$C$1201,MATCH(K300,DECKS!$B$2:$B$1201,0)),TRIM(I300&amp;"")))</f>
        <v/>
      </c>
      <c r="E300" s="4"/>
      <c r="F300" s="12"/>
      <c r="G300" s="4"/>
      <c r="H300" s="13" t="str">
        <f aca="false">IF(OR(N(C300)=0,N(F300)=0),"",C300*F300)</f>
        <v/>
      </c>
      <c r="I300" s="4"/>
      <c r="J300" s="11" t="str">
        <f aca="false">IF(K300="","",IF(N(C300)&lt;=0,"Informe a quantidade",IF(IFERROR(INDEX(INVENTÁRIO!$B$2:$B$801,MATCH(K300,INVENTÁRIO!$A$2:$A$801,0)),"")="(sem nome)","Carta fora dos decks: digite o nome na coluna I (opcional)","")))</f>
        <v/>
      </c>
      <c r="K300" s="11" t="str">
        <f aca="false">UPPER(TRIM(SUBSTITUTE(B300&amp;"",CHAR(160)," ")))</f>
        <v/>
      </c>
      <c r="L300" s="11" t="str">
        <f aca="false">IF(AND(K300&lt;&gt;"",TRIM(I300&amp;"")&lt;&gt;""),K300,"")</f>
        <v/>
      </c>
    </row>
    <row r="301" customFormat="false" ht="15" hidden="false" customHeight="false" outlineLevel="0" collapsed="false">
      <c r="A301" s="9"/>
      <c r="B301" s="4"/>
      <c r="C301" s="10"/>
      <c r="D301" s="11" t="str">
        <f aca="false">IF(K301="","",IFERROR(INDEX(DECKS!$C$2:$C$1201,MATCH(K301,DECKS!$B$2:$B$1201,0)),TRIM(I301&amp;"")))</f>
        <v/>
      </c>
      <c r="E301" s="4"/>
      <c r="F301" s="12"/>
      <c r="G301" s="4"/>
      <c r="H301" s="13" t="str">
        <f aca="false">IF(OR(N(C301)=0,N(F301)=0),"",C301*F301)</f>
        <v/>
      </c>
      <c r="I301" s="4"/>
      <c r="J301" s="11" t="str">
        <f aca="false">IF(K301="","",IF(N(C301)&lt;=0,"Informe a quantidade",IF(IFERROR(INDEX(INVENTÁRIO!$B$2:$B$801,MATCH(K301,INVENTÁRIO!$A$2:$A$801,0)),"")="(sem nome)","Carta fora dos decks: digite o nome na coluna I (opcional)","")))</f>
        <v/>
      </c>
      <c r="K301" s="11" t="str">
        <f aca="false">UPPER(TRIM(SUBSTITUTE(B301&amp;"",CHAR(160)," ")))</f>
        <v/>
      </c>
      <c r="L301" s="11" t="str">
        <f aca="false">IF(AND(K301&lt;&gt;"",TRIM(I301&amp;"")&lt;&gt;""),K301,"")</f>
        <v/>
      </c>
    </row>
    <row r="302" customFormat="false" ht="15" hidden="false" customHeight="false" outlineLevel="0" collapsed="false">
      <c r="A302" s="9"/>
      <c r="B302" s="4"/>
      <c r="C302" s="10"/>
      <c r="D302" s="11" t="str">
        <f aca="false">IF(K302="","",IFERROR(INDEX(DECKS!$C$2:$C$1201,MATCH(K302,DECKS!$B$2:$B$1201,0)),TRIM(I302&amp;"")))</f>
        <v/>
      </c>
      <c r="E302" s="4"/>
      <c r="F302" s="12"/>
      <c r="G302" s="4"/>
      <c r="H302" s="13" t="str">
        <f aca="false">IF(OR(N(C302)=0,N(F302)=0),"",C302*F302)</f>
        <v/>
      </c>
      <c r="I302" s="4"/>
      <c r="J302" s="11" t="str">
        <f aca="false">IF(K302="","",IF(N(C302)&lt;=0,"Informe a quantidade",IF(IFERROR(INDEX(INVENTÁRIO!$B$2:$B$801,MATCH(K302,INVENTÁRIO!$A$2:$A$801,0)),"")="(sem nome)","Carta fora dos decks: digite o nome na coluna I (opcional)","")))</f>
        <v/>
      </c>
      <c r="K302" s="11" t="str">
        <f aca="false">UPPER(TRIM(SUBSTITUTE(B302&amp;"",CHAR(160)," ")))</f>
        <v/>
      </c>
      <c r="L302" s="11" t="str">
        <f aca="false">IF(AND(K302&lt;&gt;"",TRIM(I302&amp;"")&lt;&gt;""),K302,"")</f>
        <v/>
      </c>
    </row>
    <row r="303" customFormat="false" ht="15" hidden="false" customHeight="false" outlineLevel="0" collapsed="false">
      <c r="A303" s="9"/>
      <c r="B303" s="4"/>
      <c r="C303" s="10"/>
      <c r="D303" s="11" t="str">
        <f aca="false">IF(K303="","",IFERROR(INDEX(DECKS!$C$2:$C$1201,MATCH(K303,DECKS!$B$2:$B$1201,0)),TRIM(I303&amp;"")))</f>
        <v/>
      </c>
      <c r="E303" s="4"/>
      <c r="F303" s="12"/>
      <c r="G303" s="4"/>
      <c r="H303" s="13" t="str">
        <f aca="false">IF(OR(N(C303)=0,N(F303)=0),"",C303*F303)</f>
        <v/>
      </c>
      <c r="I303" s="4"/>
      <c r="J303" s="11" t="str">
        <f aca="false">IF(K303="","",IF(N(C303)&lt;=0,"Informe a quantidade",IF(IFERROR(INDEX(INVENTÁRIO!$B$2:$B$801,MATCH(K303,INVENTÁRIO!$A$2:$A$801,0)),"")="(sem nome)","Carta fora dos decks: digite o nome na coluna I (opcional)","")))</f>
        <v/>
      </c>
      <c r="K303" s="11" t="str">
        <f aca="false">UPPER(TRIM(SUBSTITUTE(B303&amp;"",CHAR(160)," ")))</f>
        <v/>
      </c>
      <c r="L303" s="11" t="str">
        <f aca="false">IF(AND(K303&lt;&gt;"",TRIM(I303&amp;"")&lt;&gt;""),K303,"")</f>
        <v/>
      </c>
    </row>
    <row r="304" customFormat="false" ht="15" hidden="false" customHeight="false" outlineLevel="0" collapsed="false">
      <c r="A304" s="9"/>
      <c r="B304" s="4"/>
      <c r="C304" s="10"/>
      <c r="D304" s="11" t="str">
        <f aca="false">IF(K304="","",IFERROR(INDEX(DECKS!$C$2:$C$1201,MATCH(K304,DECKS!$B$2:$B$1201,0)),TRIM(I304&amp;"")))</f>
        <v/>
      </c>
      <c r="E304" s="4"/>
      <c r="F304" s="12"/>
      <c r="G304" s="4"/>
      <c r="H304" s="13" t="str">
        <f aca="false">IF(OR(N(C304)=0,N(F304)=0),"",C304*F304)</f>
        <v/>
      </c>
      <c r="I304" s="4"/>
      <c r="J304" s="11" t="str">
        <f aca="false">IF(K304="","",IF(N(C304)&lt;=0,"Informe a quantidade",IF(IFERROR(INDEX(INVENTÁRIO!$B$2:$B$801,MATCH(K304,INVENTÁRIO!$A$2:$A$801,0)),"")="(sem nome)","Carta fora dos decks: digite o nome na coluna I (opcional)","")))</f>
        <v/>
      </c>
      <c r="K304" s="11" t="str">
        <f aca="false">UPPER(TRIM(SUBSTITUTE(B304&amp;"",CHAR(160)," ")))</f>
        <v/>
      </c>
      <c r="L304" s="11" t="str">
        <f aca="false">IF(AND(K304&lt;&gt;"",TRIM(I304&amp;"")&lt;&gt;""),K304,"")</f>
        <v/>
      </c>
    </row>
    <row r="305" customFormat="false" ht="15" hidden="false" customHeight="false" outlineLevel="0" collapsed="false">
      <c r="A305" s="9"/>
      <c r="B305" s="4"/>
      <c r="C305" s="10"/>
      <c r="D305" s="11" t="str">
        <f aca="false">IF(K305="","",IFERROR(INDEX(DECKS!$C$2:$C$1201,MATCH(K305,DECKS!$B$2:$B$1201,0)),TRIM(I305&amp;"")))</f>
        <v/>
      </c>
      <c r="E305" s="4"/>
      <c r="F305" s="12"/>
      <c r="G305" s="4"/>
      <c r="H305" s="13" t="str">
        <f aca="false">IF(OR(N(C305)=0,N(F305)=0),"",C305*F305)</f>
        <v/>
      </c>
      <c r="I305" s="4"/>
      <c r="J305" s="11" t="str">
        <f aca="false">IF(K305="","",IF(N(C305)&lt;=0,"Informe a quantidade",IF(IFERROR(INDEX(INVENTÁRIO!$B$2:$B$801,MATCH(K305,INVENTÁRIO!$A$2:$A$801,0)),"")="(sem nome)","Carta fora dos decks: digite o nome na coluna I (opcional)","")))</f>
        <v/>
      </c>
      <c r="K305" s="11" t="str">
        <f aca="false">UPPER(TRIM(SUBSTITUTE(B305&amp;"",CHAR(160)," ")))</f>
        <v/>
      </c>
      <c r="L305" s="11" t="str">
        <f aca="false">IF(AND(K305&lt;&gt;"",TRIM(I305&amp;"")&lt;&gt;""),K305,"")</f>
        <v/>
      </c>
    </row>
    <row r="306" customFormat="false" ht="15" hidden="false" customHeight="false" outlineLevel="0" collapsed="false">
      <c r="A306" s="9"/>
      <c r="B306" s="4"/>
      <c r="C306" s="10"/>
      <c r="D306" s="11" t="str">
        <f aca="false">IF(K306="","",IFERROR(INDEX(DECKS!$C$2:$C$1201,MATCH(K306,DECKS!$B$2:$B$1201,0)),TRIM(I306&amp;"")))</f>
        <v/>
      </c>
      <c r="E306" s="4"/>
      <c r="F306" s="12"/>
      <c r="G306" s="4"/>
      <c r="H306" s="13" t="str">
        <f aca="false">IF(OR(N(C306)=0,N(F306)=0),"",C306*F306)</f>
        <v/>
      </c>
      <c r="I306" s="4"/>
      <c r="J306" s="11" t="str">
        <f aca="false">IF(K306="","",IF(N(C306)&lt;=0,"Informe a quantidade",IF(IFERROR(INDEX(INVENTÁRIO!$B$2:$B$801,MATCH(K306,INVENTÁRIO!$A$2:$A$801,0)),"")="(sem nome)","Carta fora dos decks: digite o nome na coluna I (opcional)","")))</f>
        <v/>
      </c>
      <c r="K306" s="11" t="str">
        <f aca="false">UPPER(TRIM(SUBSTITUTE(B306&amp;"",CHAR(160)," ")))</f>
        <v/>
      </c>
      <c r="L306" s="11" t="str">
        <f aca="false">IF(AND(K306&lt;&gt;"",TRIM(I306&amp;"")&lt;&gt;""),K306,"")</f>
        <v/>
      </c>
    </row>
    <row r="307" customFormat="false" ht="15" hidden="false" customHeight="false" outlineLevel="0" collapsed="false">
      <c r="A307" s="9"/>
      <c r="B307" s="4"/>
      <c r="C307" s="10"/>
      <c r="D307" s="11" t="str">
        <f aca="false">IF(K307="","",IFERROR(INDEX(DECKS!$C$2:$C$1201,MATCH(K307,DECKS!$B$2:$B$1201,0)),TRIM(I307&amp;"")))</f>
        <v/>
      </c>
      <c r="E307" s="4"/>
      <c r="F307" s="12"/>
      <c r="G307" s="4"/>
      <c r="H307" s="13" t="str">
        <f aca="false">IF(OR(N(C307)=0,N(F307)=0),"",C307*F307)</f>
        <v/>
      </c>
      <c r="I307" s="4"/>
      <c r="J307" s="11" t="str">
        <f aca="false">IF(K307="","",IF(N(C307)&lt;=0,"Informe a quantidade",IF(IFERROR(INDEX(INVENTÁRIO!$B$2:$B$801,MATCH(K307,INVENTÁRIO!$A$2:$A$801,0)),"")="(sem nome)","Carta fora dos decks: digite o nome na coluna I (opcional)","")))</f>
        <v/>
      </c>
      <c r="K307" s="11" t="str">
        <f aca="false">UPPER(TRIM(SUBSTITUTE(B307&amp;"",CHAR(160)," ")))</f>
        <v/>
      </c>
      <c r="L307" s="11" t="str">
        <f aca="false">IF(AND(K307&lt;&gt;"",TRIM(I307&amp;"")&lt;&gt;""),K307,"")</f>
        <v/>
      </c>
    </row>
    <row r="308" customFormat="false" ht="15" hidden="false" customHeight="false" outlineLevel="0" collapsed="false">
      <c r="A308" s="9"/>
      <c r="B308" s="4"/>
      <c r="C308" s="10"/>
      <c r="D308" s="11" t="str">
        <f aca="false">IF(K308="","",IFERROR(INDEX(DECKS!$C$2:$C$1201,MATCH(K308,DECKS!$B$2:$B$1201,0)),TRIM(I308&amp;"")))</f>
        <v/>
      </c>
      <c r="E308" s="4"/>
      <c r="F308" s="12"/>
      <c r="G308" s="4"/>
      <c r="H308" s="13" t="str">
        <f aca="false">IF(OR(N(C308)=0,N(F308)=0),"",C308*F308)</f>
        <v/>
      </c>
      <c r="I308" s="4"/>
      <c r="J308" s="11" t="str">
        <f aca="false">IF(K308="","",IF(N(C308)&lt;=0,"Informe a quantidade",IF(IFERROR(INDEX(INVENTÁRIO!$B$2:$B$801,MATCH(K308,INVENTÁRIO!$A$2:$A$801,0)),"")="(sem nome)","Carta fora dos decks: digite o nome na coluna I (opcional)","")))</f>
        <v/>
      </c>
      <c r="K308" s="11" t="str">
        <f aca="false">UPPER(TRIM(SUBSTITUTE(B308&amp;"",CHAR(160)," ")))</f>
        <v/>
      </c>
      <c r="L308" s="11" t="str">
        <f aca="false">IF(AND(K308&lt;&gt;"",TRIM(I308&amp;"")&lt;&gt;""),K308,"")</f>
        <v/>
      </c>
    </row>
    <row r="309" customFormat="false" ht="15" hidden="false" customHeight="false" outlineLevel="0" collapsed="false">
      <c r="A309" s="9"/>
      <c r="B309" s="4"/>
      <c r="C309" s="10"/>
      <c r="D309" s="11" t="str">
        <f aca="false">IF(K309="","",IFERROR(INDEX(DECKS!$C$2:$C$1201,MATCH(K309,DECKS!$B$2:$B$1201,0)),TRIM(I309&amp;"")))</f>
        <v/>
      </c>
      <c r="E309" s="4"/>
      <c r="F309" s="12"/>
      <c r="G309" s="4"/>
      <c r="H309" s="13" t="str">
        <f aca="false">IF(OR(N(C309)=0,N(F309)=0),"",C309*F309)</f>
        <v/>
      </c>
      <c r="I309" s="4"/>
      <c r="J309" s="11" t="str">
        <f aca="false">IF(K309="","",IF(N(C309)&lt;=0,"Informe a quantidade",IF(IFERROR(INDEX(INVENTÁRIO!$B$2:$B$801,MATCH(K309,INVENTÁRIO!$A$2:$A$801,0)),"")="(sem nome)","Carta fora dos decks: digite o nome na coluna I (opcional)","")))</f>
        <v/>
      </c>
      <c r="K309" s="11" t="str">
        <f aca="false">UPPER(TRIM(SUBSTITUTE(B309&amp;"",CHAR(160)," ")))</f>
        <v/>
      </c>
      <c r="L309" s="11" t="str">
        <f aca="false">IF(AND(K309&lt;&gt;"",TRIM(I309&amp;"")&lt;&gt;""),K309,"")</f>
        <v/>
      </c>
    </row>
    <row r="310" customFormat="false" ht="15" hidden="false" customHeight="false" outlineLevel="0" collapsed="false">
      <c r="A310" s="9"/>
      <c r="B310" s="4"/>
      <c r="C310" s="10"/>
      <c r="D310" s="11" t="str">
        <f aca="false">IF(K310="","",IFERROR(INDEX(DECKS!$C$2:$C$1201,MATCH(K310,DECKS!$B$2:$B$1201,0)),TRIM(I310&amp;"")))</f>
        <v/>
      </c>
      <c r="E310" s="4"/>
      <c r="F310" s="12"/>
      <c r="G310" s="4"/>
      <c r="H310" s="13" t="str">
        <f aca="false">IF(OR(N(C310)=0,N(F310)=0),"",C310*F310)</f>
        <v/>
      </c>
      <c r="I310" s="4"/>
      <c r="J310" s="11" t="str">
        <f aca="false">IF(K310="","",IF(N(C310)&lt;=0,"Informe a quantidade",IF(IFERROR(INDEX(INVENTÁRIO!$B$2:$B$801,MATCH(K310,INVENTÁRIO!$A$2:$A$801,0)),"")="(sem nome)","Carta fora dos decks: digite o nome na coluna I (opcional)","")))</f>
        <v/>
      </c>
      <c r="K310" s="11" t="str">
        <f aca="false">UPPER(TRIM(SUBSTITUTE(B310&amp;"",CHAR(160)," ")))</f>
        <v/>
      </c>
      <c r="L310" s="11" t="str">
        <f aca="false">IF(AND(K310&lt;&gt;"",TRIM(I310&amp;"")&lt;&gt;""),K310,"")</f>
        <v/>
      </c>
    </row>
    <row r="311" customFormat="false" ht="15" hidden="false" customHeight="false" outlineLevel="0" collapsed="false">
      <c r="A311" s="9"/>
      <c r="B311" s="4"/>
      <c r="C311" s="10"/>
      <c r="D311" s="11" t="str">
        <f aca="false">IF(K311="","",IFERROR(INDEX(DECKS!$C$2:$C$1201,MATCH(K311,DECKS!$B$2:$B$1201,0)),TRIM(I311&amp;"")))</f>
        <v/>
      </c>
      <c r="E311" s="4"/>
      <c r="F311" s="12"/>
      <c r="G311" s="4"/>
      <c r="H311" s="13" t="str">
        <f aca="false">IF(OR(N(C311)=0,N(F311)=0),"",C311*F311)</f>
        <v/>
      </c>
      <c r="I311" s="4"/>
      <c r="J311" s="11" t="str">
        <f aca="false">IF(K311="","",IF(N(C311)&lt;=0,"Informe a quantidade",IF(IFERROR(INDEX(INVENTÁRIO!$B$2:$B$801,MATCH(K311,INVENTÁRIO!$A$2:$A$801,0)),"")="(sem nome)","Carta fora dos decks: digite o nome na coluna I (opcional)","")))</f>
        <v/>
      </c>
      <c r="K311" s="11" t="str">
        <f aca="false">UPPER(TRIM(SUBSTITUTE(B311&amp;"",CHAR(160)," ")))</f>
        <v/>
      </c>
      <c r="L311" s="11" t="str">
        <f aca="false">IF(AND(K311&lt;&gt;"",TRIM(I311&amp;"")&lt;&gt;""),K311,"")</f>
        <v/>
      </c>
    </row>
    <row r="312" customFormat="false" ht="15" hidden="false" customHeight="false" outlineLevel="0" collapsed="false">
      <c r="A312" s="9"/>
      <c r="B312" s="4"/>
      <c r="C312" s="10"/>
      <c r="D312" s="11" t="str">
        <f aca="false">IF(K312="","",IFERROR(INDEX(DECKS!$C$2:$C$1201,MATCH(K312,DECKS!$B$2:$B$1201,0)),TRIM(I312&amp;"")))</f>
        <v/>
      </c>
      <c r="E312" s="4"/>
      <c r="F312" s="12"/>
      <c r="G312" s="4"/>
      <c r="H312" s="13" t="str">
        <f aca="false">IF(OR(N(C312)=0,N(F312)=0),"",C312*F312)</f>
        <v/>
      </c>
      <c r="I312" s="4"/>
      <c r="J312" s="11" t="str">
        <f aca="false">IF(K312="","",IF(N(C312)&lt;=0,"Informe a quantidade",IF(IFERROR(INDEX(INVENTÁRIO!$B$2:$B$801,MATCH(K312,INVENTÁRIO!$A$2:$A$801,0)),"")="(sem nome)","Carta fora dos decks: digite o nome na coluna I (opcional)","")))</f>
        <v/>
      </c>
      <c r="K312" s="11" t="str">
        <f aca="false">UPPER(TRIM(SUBSTITUTE(B312&amp;"",CHAR(160)," ")))</f>
        <v/>
      </c>
      <c r="L312" s="11" t="str">
        <f aca="false">IF(AND(K312&lt;&gt;"",TRIM(I312&amp;"")&lt;&gt;""),K312,"")</f>
        <v/>
      </c>
    </row>
    <row r="313" customFormat="false" ht="15" hidden="false" customHeight="false" outlineLevel="0" collapsed="false">
      <c r="A313" s="9"/>
      <c r="B313" s="4"/>
      <c r="C313" s="10"/>
      <c r="D313" s="11" t="str">
        <f aca="false">IF(K313="","",IFERROR(INDEX(DECKS!$C$2:$C$1201,MATCH(K313,DECKS!$B$2:$B$1201,0)),TRIM(I313&amp;"")))</f>
        <v/>
      </c>
      <c r="E313" s="4"/>
      <c r="F313" s="12"/>
      <c r="G313" s="4"/>
      <c r="H313" s="13" t="str">
        <f aca="false">IF(OR(N(C313)=0,N(F313)=0),"",C313*F313)</f>
        <v/>
      </c>
      <c r="I313" s="4"/>
      <c r="J313" s="11" t="str">
        <f aca="false">IF(K313="","",IF(N(C313)&lt;=0,"Informe a quantidade",IF(IFERROR(INDEX(INVENTÁRIO!$B$2:$B$801,MATCH(K313,INVENTÁRIO!$A$2:$A$801,0)),"")="(sem nome)","Carta fora dos decks: digite o nome na coluna I (opcional)","")))</f>
        <v/>
      </c>
      <c r="K313" s="11" t="str">
        <f aca="false">UPPER(TRIM(SUBSTITUTE(B313&amp;"",CHAR(160)," ")))</f>
        <v/>
      </c>
      <c r="L313" s="11" t="str">
        <f aca="false">IF(AND(K313&lt;&gt;"",TRIM(I313&amp;"")&lt;&gt;""),K313,"")</f>
        <v/>
      </c>
    </row>
    <row r="314" customFormat="false" ht="15" hidden="false" customHeight="false" outlineLevel="0" collapsed="false">
      <c r="A314" s="9"/>
      <c r="B314" s="4"/>
      <c r="C314" s="10"/>
      <c r="D314" s="11" t="str">
        <f aca="false">IF(K314="","",IFERROR(INDEX(DECKS!$C$2:$C$1201,MATCH(K314,DECKS!$B$2:$B$1201,0)),TRIM(I314&amp;"")))</f>
        <v/>
      </c>
      <c r="E314" s="4"/>
      <c r="F314" s="12"/>
      <c r="G314" s="4"/>
      <c r="H314" s="13" t="str">
        <f aca="false">IF(OR(N(C314)=0,N(F314)=0),"",C314*F314)</f>
        <v/>
      </c>
      <c r="I314" s="4"/>
      <c r="J314" s="11" t="str">
        <f aca="false">IF(K314="","",IF(N(C314)&lt;=0,"Informe a quantidade",IF(IFERROR(INDEX(INVENTÁRIO!$B$2:$B$801,MATCH(K314,INVENTÁRIO!$A$2:$A$801,0)),"")="(sem nome)","Carta fora dos decks: digite o nome na coluna I (opcional)","")))</f>
        <v/>
      </c>
      <c r="K314" s="11" t="str">
        <f aca="false">UPPER(TRIM(SUBSTITUTE(B314&amp;"",CHAR(160)," ")))</f>
        <v/>
      </c>
      <c r="L314" s="11" t="str">
        <f aca="false">IF(AND(K314&lt;&gt;"",TRIM(I314&amp;"")&lt;&gt;""),K314,"")</f>
        <v/>
      </c>
    </row>
    <row r="315" customFormat="false" ht="15" hidden="false" customHeight="false" outlineLevel="0" collapsed="false">
      <c r="A315" s="9"/>
      <c r="B315" s="4"/>
      <c r="C315" s="10"/>
      <c r="D315" s="11" t="str">
        <f aca="false">IF(K315="","",IFERROR(INDEX(DECKS!$C$2:$C$1201,MATCH(K315,DECKS!$B$2:$B$1201,0)),TRIM(I315&amp;"")))</f>
        <v/>
      </c>
      <c r="E315" s="4"/>
      <c r="F315" s="12"/>
      <c r="G315" s="4"/>
      <c r="H315" s="13" t="str">
        <f aca="false">IF(OR(N(C315)=0,N(F315)=0),"",C315*F315)</f>
        <v/>
      </c>
      <c r="I315" s="4"/>
      <c r="J315" s="11" t="str">
        <f aca="false">IF(K315="","",IF(N(C315)&lt;=0,"Informe a quantidade",IF(IFERROR(INDEX(INVENTÁRIO!$B$2:$B$801,MATCH(K315,INVENTÁRIO!$A$2:$A$801,0)),"")="(sem nome)","Carta fora dos decks: digite o nome na coluna I (opcional)","")))</f>
        <v/>
      </c>
      <c r="K315" s="11" t="str">
        <f aca="false">UPPER(TRIM(SUBSTITUTE(B315&amp;"",CHAR(160)," ")))</f>
        <v/>
      </c>
      <c r="L315" s="11" t="str">
        <f aca="false">IF(AND(K315&lt;&gt;"",TRIM(I315&amp;"")&lt;&gt;""),K315,"")</f>
        <v/>
      </c>
    </row>
    <row r="316" customFormat="false" ht="15" hidden="false" customHeight="false" outlineLevel="0" collapsed="false">
      <c r="A316" s="9"/>
      <c r="B316" s="4"/>
      <c r="C316" s="10"/>
      <c r="D316" s="11" t="str">
        <f aca="false">IF(K316="","",IFERROR(INDEX(DECKS!$C$2:$C$1201,MATCH(K316,DECKS!$B$2:$B$1201,0)),TRIM(I316&amp;"")))</f>
        <v/>
      </c>
      <c r="E316" s="4"/>
      <c r="F316" s="12"/>
      <c r="G316" s="4"/>
      <c r="H316" s="13" t="str">
        <f aca="false">IF(OR(N(C316)=0,N(F316)=0),"",C316*F316)</f>
        <v/>
      </c>
      <c r="I316" s="4"/>
      <c r="J316" s="11" t="str">
        <f aca="false">IF(K316="","",IF(N(C316)&lt;=0,"Informe a quantidade",IF(IFERROR(INDEX(INVENTÁRIO!$B$2:$B$801,MATCH(K316,INVENTÁRIO!$A$2:$A$801,0)),"")="(sem nome)","Carta fora dos decks: digite o nome na coluna I (opcional)","")))</f>
        <v/>
      </c>
      <c r="K316" s="11" t="str">
        <f aca="false">UPPER(TRIM(SUBSTITUTE(B316&amp;"",CHAR(160)," ")))</f>
        <v/>
      </c>
      <c r="L316" s="11" t="str">
        <f aca="false">IF(AND(K316&lt;&gt;"",TRIM(I316&amp;"")&lt;&gt;""),K316,"")</f>
        <v/>
      </c>
    </row>
    <row r="317" customFormat="false" ht="15" hidden="false" customHeight="false" outlineLevel="0" collapsed="false">
      <c r="A317" s="9"/>
      <c r="B317" s="4"/>
      <c r="C317" s="10"/>
      <c r="D317" s="11" t="str">
        <f aca="false">IF(K317="","",IFERROR(INDEX(DECKS!$C$2:$C$1201,MATCH(K317,DECKS!$B$2:$B$1201,0)),TRIM(I317&amp;"")))</f>
        <v/>
      </c>
      <c r="E317" s="4"/>
      <c r="F317" s="12"/>
      <c r="G317" s="4"/>
      <c r="H317" s="13" t="str">
        <f aca="false">IF(OR(N(C317)=0,N(F317)=0),"",C317*F317)</f>
        <v/>
      </c>
      <c r="I317" s="4"/>
      <c r="J317" s="11" t="str">
        <f aca="false">IF(K317="","",IF(N(C317)&lt;=0,"Informe a quantidade",IF(IFERROR(INDEX(INVENTÁRIO!$B$2:$B$801,MATCH(K317,INVENTÁRIO!$A$2:$A$801,0)),"")="(sem nome)","Carta fora dos decks: digite o nome na coluna I (opcional)","")))</f>
        <v/>
      </c>
      <c r="K317" s="11" t="str">
        <f aca="false">UPPER(TRIM(SUBSTITUTE(B317&amp;"",CHAR(160)," ")))</f>
        <v/>
      </c>
      <c r="L317" s="11" t="str">
        <f aca="false">IF(AND(K317&lt;&gt;"",TRIM(I317&amp;"")&lt;&gt;""),K317,"")</f>
        <v/>
      </c>
    </row>
    <row r="318" customFormat="false" ht="15" hidden="false" customHeight="false" outlineLevel="0" collapsed="false">
      <c r="A318" s="9"/>
      <c r="B318" s="4"/>
      <c r="C318" s="10"/>
      <c r="D318" s="11" t="str">
        <f aca="false">IF(K318="","",IFERROR(INDEX(DECKS!$C$2:$C$1201,MATCH(K318,DECKS!$B$2:$B$1201,0)),TRIM(I318&amp;"")))</f>
        <v/>
      </c>
      <c r="E318" s="4"/>
      <c r="F318" s="12"/>
      <c r="G318" s="4"/>
      <c r="H318" s="13" t="str">
        <f aca="false">IF(OR(N(C318)=0,N(F318)=0),"",C318*F318)</f>
        <v/>
      </c>
      <c r="I318" s="4"/>
      <c r="J318" s="11" t="str">
        <f aca="false">IF(K318="","",IF(N(C318)&lt;=0,"Informe a quantidade",IF(IFERROR(INDEX(INVENTÁRIO!$B$2:$B$801,MATCH(K318,INVENTÁRIO!$A$2:$A$801,0)),"")="(sem nome)","Carta fora dos decks: digite o nome na coluna I (opcional)","")))</f>
        <v/>
      </c>
      <c r="K318" s="11" t="str">
        <f aca="false">UPPER(TRIM(SUBSTITUTE(B318&amp;"",CHAR(160)," ")))</f>
        <v/>
      </c>
      <c r="L318" s="11" t="str">
        <f aca="false">IF(AND(K318&lt;&gt;"",TRIM(I318&amp;"")&lt;&gt;""),K318,"")</f>
        <v/>
      </c>
    </row>
    <row r="319" customFormat="false" ht="15" hidden="false" customHeight="false" outlineLevel="0" collapsed="false">
      <c r="A319" s="9"/>
      <c r="B319" s="4"/>
      <c r="C319" s="10"/>
      <c r="D319" s="11" t="str">
        <f aca="false">IF(K319="","",IFERROR(INDEX(DECKS!$C$2:$C$1201,MATCH(K319,DECKS!$B$2:$B$1201,0)),TRIM(I319&amp;"")))</f>
        <v/>
      </c>
      <c r="E319" s="4"/>
      <c r="F319" s="12"/>
      <c r="G319" s="4"/>
      <c r="H319" s="13" t="str">
        <f aca="false">IF(OR(N(C319)=0,N(F319)=0),"",C319*F319)</f>
        <v/>
      </c>
      <c r="I319" s="4"/>
      <c r="J319" s="11" t="str">
        <f aca="false">IF(K319="","",IF(N(C319)&lt;=0,"Informe a quantidade",IF(IFERROR(INDEX(INVENTÁRIO!$B$2:$B$801,MATCH(K319,INVENTÁRIO!$A$2:$A$801,0)),"")="(sem nome)","Carta fora dos decks: digite o nome na coluna I (opcional)","")))</f>
        <v/>
      </c>
      <c r="K319" s="11" t="str">
        <f aca="false">UPPER(TRIM(SUBSTITUTE(B319&amp;"",CHAR(160)," ")))</f>
        <v/>
      </c>
      <c r="L319" s="11" t="str">
        <f aca="false">IF(AND(K319&lt;&gt;"",TRIM(I319&amp;"")&lt;&gt;""),K319,"")</f>
        <v/>
      </c>
    </row>
    <row r="320" customFormat="false" ht="15" hidden="false" customHeight="false" outlineLevel="0" collapsed="false">
      <c r="A320" s="9"/>
      <c r="B320" s="4"/>
      <c r="C320" s="10"/>
      <c r="D320" s="11" t="str">
        <f aca="false">IF(K320="","",IFERROR(INDEX(DECKS!$C$2:$C$1201,MATCH(K320,DECKS!$B$2:$B$1201,0)),TRIM(I320&amp;"")))</f>
        <v/>
      </c>
      <c r="E320" s="4"/>
      <c r="F320" s="12"/>
      <c r="G320" s="4"/>
      <c r="H320" s="13" t="str">
        <f aca="false">IF(OR(N(C320)=0,N(F320)=0),"",C320*F320)</f>
        <v/>
      </c>
      <c r="I320" s="4"/>
      <c r="J320" s="11" t="str">
        <f aca="false">IF(K320="","",IF(N(C320)&lt;=0,"Informe a quantidade",IF(IFERROR(INDEX(INVENTÁRIO!$B$2:$B$801,MATCH(K320,INVENTÁRIO!$A$2:$A$801,0)),"")="(sem nome)","Carta fora dos decks: digite o nome na coluna I (opcional)","")))</f>
        <v/>
      </c>
      <c r="K320" s="11" t="str">
        <f aca="false">UPPER(TRIM(SUBSTITUTE(B320&amp;"",CHAR(160)," ")))</f>
        <v/>
      </c>
      <c r="L320" s="11" t="str">
        <f aca="false">IF(AND(K320&lt;&gt;"",TRIM(I320&amp;"")&lt;&gt;""),K320,"")</f>
        <v/>
      </c>
    </row>
    <row r="321" customFormat="false" ht="15" hidden="false" customHeight="false" outlineLevel="0" collapsed="false">
      <c r="A321" s="9"/>
      <c r="B321" s="4"/>
      <c r="C321" s="10"/>
      <c r="D321" s="11" t="str">
        <f aca="false">IF(K321="","",IFERROR(INDEX(DECKS!$C$2:$C$1201,MATCH(K321,DECKS!$B$2:$B$1201,0)),TRIM(I321&amp;"")))</f>
        <v/>
      </c>
      <c r="E321" s="4"/>
      <c r="F321" s="12"/>
      <c r="G321" s="4"/>
      <c r="H321" s="13" t="str">
        <f aca="false">IF(OR(N(C321)=0,N(F321)=0),"",C321*F321)</f>
        <v/>
      </c>
      <c r="I321" s="4"/>
      <c r="J321" s="11" t="str">
        <f aca="false">IF(K321="","",IF(N(C321)&lt;=0,"Informe a quantidade",IF(IFERROR(INDEX(INVENTÁRIO!$B$2:$B$801,MATCH(K321,INVENTÁRIO!$A$2:$A$801,0)),"")="(sem nome)","Carta fora dos decks: digite o nome na coluna I (opcional)","")))</f>
        <v/>
      </c>
      <c r="K321" s="11" t="str">
        <f aca="false">UPPER(TRIM(SUBSTITUTE(B321&amp;"",CHAR(160)," ")))</f>
        <v/>
      </c>
      <c r="L321" s="11" t="str">
        <f aca="false">IF(AND(K321&lt;&gt;"",TRIM(I321&amp;"")&lt;&gt;""),K321,"")</f>
        <v/>
      </c>
    </row>
    <row r="322" customFormat="false" ht="15" hidden="false" customHeight="false" outlineLevel="0" collapsed="false">
      <c r="A322" s="9"/>
      <c r="B322" s="4"/>
      <c r="C322" s="10"/>
      <c r="D322" s="11" t="str">
        <f aca="false">IF(K322="","",IFERROR(INDEX(DECKS!$C$2:$C$1201,MATCH(K322,DECKS!$B$2:$B$1201,0)),TRIM(I322&amp;"")))</f>
        <v/>
      </c>
      <c r="E322" s="4"/>
      <c r="F322" s="12"/>
      <c r="G322" s="4"/>
      <c r="H322" s="13" t="str">
        <f aca="false">IF(OR(N(C322)=0,N(F322)=0),"",C322*F322)</f>
        <v/>
      </c>
      <c r="I322" s="4"/>
      <c r="J322" s="11" t="str">
        <f aca="false">IF(K322="","",IF(N(C322)&lt;=0,"Informe a quantidade",IF(IFERROR(INDEX(INVENTÁRIO!$B$2:$B$801,MATCH(K322,INVENTÁRIO!$A$2:$A$801,0)),"")="(sem nome)","Carta fora dos decks: digite o nome na coluna I (opcional)","")))</f>
        <v/>
      </c>
      <c r="K322" s="11" t="str">
        <f aca="false">UPPER(TRIM(SUBSTITUTE(B322&amp;"",CHAR(160)," ")))</f>
        <v/>
      </c>
      <c r="L322" s="11" t="str">
        <f aca="false">IF(AND(K322&lt;&gt;"",TRIM(I322&amp;"")&lt;&gt;""),K322,"")</f>
        <v/>
      </c>
    </row>
    <row r="323" customFormat="false" ht="15" hidden="false" customHeight="false" outlineLevel="0" collapsed="false">
      <c r="A323" s="9"/>
      <c r="B323" s="4"/>
      <c r="C323" s="10"/>
      <c r="D323" s="11" t="str">
        <f aca="false">IF(K323="","",IFERROR(INDEX(DECKS!$C$2:$C$1201,MATCH(K323,DECKS!$B$2:$B$1201,0)),TRIM(I323&amp;"")))</f>
        <v/>
      </c>
      <c r="E323" s="4"/>
      <c r="F323" s="12"/>
      <c r="G323" s="4"/>
      <c r="H323" s="13" t="str">
        <f aca="false">IF(OR(N(C323)=0,N(F323)=0),"",C323*F323)</f>
        <v/>
      </c>
      <c r="I323" s="4"/>
      <c r="J323" s="11" t="str">
        <f aca="false">IF(K323="","",IF(N(C323)&lt;=0,"Informe a quantidade",IF(IFERROR(INDEX(INVENTÁRIO!$B$2:$B$801,MATCH(K323,INVENTÁRIO!$A$2:$A$801,0)),"")="(sem nome)","Carta fora dos decks: digite o nome na coluna I (opcional)","")))</f>
        <v/>
      </c>
      <c r="K323" s="11" t="str">
        <f aca="false">UPPER(TRIM(SUBSTITUTE(B323&amp;"",CHAR(160)," ")))</f>
        <v/>
      </c>
      <c r="L323" s="11" t="str">
        <f aca="false">IF(AND(K323&lt;&gt;"",TRIM(I323&amp;"")&lt;&gt;""),K323,"")</f>
        <v/>
      </c>
    </row>
    <row r="324" customFormat="false" ht="15" hidden="false" customHeight="false" outlineLevel="0" collapsed="false">
      <c r="A324" s="9"/>
      <c r="B324" s="4"/>
      <c r="C324" s="10"/>
      <c r="D324" s="11" t="str">
        <f aca="false">IF(K324="","",IFERROR(INDEX(DECKS!$C$2:$C$1201,MATCH(K324,DECKS!$B$2:$B$1201,0)),TRIM(I324&amp;"")))</f>
        <v/>
      </c>
      <c r="E324" s="4"/>
      <c r="F324" s="12"/>
      <c r="G324" s="4"/>
      <c r="H324" s="13" t="str">
        <f aca="false">IF(OR(N(C324)=0,N(F324)=0),"",C324*F324)</f>
        <v/>
      </c>
      <c r="I324" s="4"/>
      <c r="J324" s="11" t="str">
        <f aca="false">IF(K324="","",IF(N(C324)&lt;=0,"Informe a quantidade",IF(IFERROR(INDEX(INVENTÁRIO!$B$2:$B$801,MATCH(K324,INVENTÁRIO!$A$2:$A$801,0)),"")="(sem nome)","Carta fora dos decks: digite o nome na coluna I (opcional)","")))</f>
        <v/>
      </c>
      <c r="K324" s="11" t="str">
        <f aca="false">UPPER(TRIM(SUBSTITUTE(B324&amp;"",CHAR(160)," ")))</f>
        <v/>
      </c>
      <c r="L324" s="11" t="str">
        <f aca="false">IF(AND(K324&lt;&gt;"",TRIM(I324&amp;"")&lt;&gt;""),K324,"")</f>
        <v/>
      </c>
    </row>
    <row r="325" customFormat="false" ht="15" hidden="false" customHeight="false" outlineLevel="0" collapsed="false">
      <c r="A325" s="9"/>
      <c r="B325" s="4"/>
      <c r="C325" s="10"/>
      <c r="D325" s="11" t="str">
        <f aca="false">IF(K325="","",IFERROR(INDEX(DECKS!$C$2:$C$1201,MATCH(K325,DECKS!$B$2:$B$1201,0)),TRIM(I325&amp;"")))</f>
        <v/>
      </c>
      <c r="E325" s="4"/>
      <c r="F325" s="12"/>
      <c r="G325" s="4"/>
      <c r="H325" s="13" t="str">
        <f aca="false">IF(OR(N(C325)=0,N(F325)=0),"",C325*F325)</f>
        <v/>
      </c>
      <c r="I325" s="4"/>
      <c r="J325" s="11" t="str">
        <f aca="false">IF(K325="","",IF(N(C325)&lt;=0,"Informe a quantidade",IF(IFERROR(INDEX(INVENTÁRIO!$B$2:$B$801,MATCH(K325,INVENTÁRIO!$A$2:$A$801,0)),"")="(sem nome)","Carta fora dos decks: digite o nome na coluna I (opcional)","")))</f>
        <v/>
      </c>
      <c r="K325" s="11" t="str">
        <f aca="false">UPPER(TRIM(SUBSTITUTE(B325&amp;"",CHAR(160)," ")))</f>
        <v/>
      </c>
      <c r="L325" s="11" t="str">
        <f aca="false">IF(AND(K325&lt;&gt;"",TRIM(I325&amp;"")&lt;&gt;""),K325,"")</f>
        <v/>
      </c>
    </row>
    <row r="326" customFormat="false" ht="15" hidden="false" customHeight="false" outlineLevel="0" collapsed="false">
      <c r="A326" s="9"/>
      <c r="B326" s="4"/>
      <c r="C326" s="10"/>
      <c r="D326" s="11" t="str">
        <f aca="false">IF(K326="","",IFERROR(INDEX(DECKS!$C$2:$C$1201,MATCH(K326,DECKS!$B$2:$B$1201,0)),TRIM(I326&amp;"")))</f>
        <v/>
      </c>
      <c r="E326" s="4"/>
      <c r="F326" s="12"/>
      <c r="G326" s="4"/>
      <c r="H326" s="13" t="str">
        <f aca="false">IF(OR(N(C326)=0,N(F326)=0),"",C326*F326)</f>
        <v/>
      </c>
      <c r="I326" s="4"/>
      <c r="J326" s="11" t="str">
        <f aca="false">IF(K326="","",IF(N(C326)&lt;=0,"Informe a quantidade",IF(IFERROR(INDEX(INVENTÁRIO!$B$2:$B$801,MATCH(K326,INVENTÁRIO!$A$2:$A$801,0)),"")="(sem nome)","Carta fora dos decks: digite o nome na coluna I (opcional)","")))</f>
        <v/>
      </c>
      <c r="K326" s="11" t="str">
        <f aca="false">UPPER(TRIM(SUBSTITUTE(B326&amp;"",CHAR(160)," ")))</f>
        <v/>
      </c>
      <c r="L326" s="11" t="str">
        <f aca="false">IF(AND(K326&lt;&gt;"",TRIM(I326&amp;"")&lt;&gt;""),K326,"")</f>
        <v/>
      </c>
    </row>
    <row r="327" customFormat="false" ht="15" hidden="false" customHeight="false" outlineLevel="0" collapsed="false">
      <c r="A327" s="9"/>
      <c r="B327" s="4"/>
      <c r="C327" s="10"/>
      <c r="D327" s="11" t="str">
        <f aca="false">IF(K327="","",IFERROR(INDEX(DECKS!$C$2:$C$1201,MATCH(K327,DECKS!$B$2:$B$1201,0)),TRIM(I327&amp;"")))</f>
        <v/>
      </c>
      <c r="E327" s="4"/>
      <c r="F327" s="12"/>
      <c r="G327" s="4"/>
      <c r="H327" s="13" t="str">
        <f aca="false">IF(OR(N(C327)=0,N(F327)=0),"",C327*F327)</f>
        <v/>
      </c>
      <c r="I327" s="4"/>
      <c r="J327" s="11" t="str">
        <f aca="false">IF(K327="","",IF(N(C327)&lt;=0,"Informe a quantidade",IF(IFERROR(INDEX(INVENTÁRIO!$B$2:$B$801,MATCH(K327,INVENTÁRIO!$A$2:$A$801,0)),"")="(sem nome)","Carta fora dos decks: digite o nome na coluna I (opcional)","")))</f>
        <v/>
      </c>
      <c r="K327" s="11" t="str">
        <f aca="false">UPPER(TRIM(SUBSTITUTE(B327&amp;"",CHAR(160)," ")))</f>
        <v/>
      </c>
      <c r="L327" s="11" t="str">
        <f aca="false">IF(AND(K327&lt;&gt;"",TRIM(I327&amp;"")&lt;&gt;""),K327,"")</f>
        <v/>
      </c>
    </row>
    <row r="328" customFormat="false" ht="15" hidden="false" customHeight="false" outlineLevel="0" collapsed="false">
      <c r="A328" s="9"/>
      <c r="B328" s="4"/>
      <c r="C328" s="10"/>
      <c r="D328" s="11" t="str">
        <f aca="false">IF(K328="","",IFERROR(INDEX(DECKS!$C$2:$C$1201,MATCH(K328,DECKS!$B$2:$B$1201,0)),TRIM(I328&amp;"")))</f>
        <v/>
      </c>
      <c r="E328" s="4"/>
      <c r="F328" s="12"/>
      <c r="G328" s="4"/>
      <c r="H328" s="13" t="str">
        <f aca="false">IF(OR(N(C328)=0,N(F328)=0),"",C328*F328)</f>
        <v/>
      </c>
      <c r="I328" s="4"/>
      <c r="J328" s="11" t="str">
        <f aca="false">IF(K328="","",IF(N(C328)&lt;=0,"Informe a quantidade",IF(IFERROR(INDEX(INVENTÁRIO!$B$2:$B$801,MATCH(K328,INVENTÁRIO!$A$2:$A$801,0)),"")="(sem nome)","Carta fora dos decks: digite o nome na coluna I (opcional)","")))</f>
        <v/>
      </c>
      <c r="K328" s="11" t="str">
        <f aca="false">UPPER(TRIM(SUBSTITUTE(B328&amp;"",CHAR(160)," ")))</f>
        <v/>
      </c>
      <c r="L328" s="11" t="str">
        <f aca="false">IF(AND(K328&lt;&gt;"",TRIM(I328&amp;"")&lt;&gt;""),K328,"")</f>
        <v/>
      </c>
    </row>
    <row r="329" customFormat="false" ht="15" hidden="false" customHeight="false" outlineLevel="0" collapsed="false">
      <c r="A329" s="9"/>
      <c r="B329" s="4"/>
      <c r="C329" s="10"/>
      <c r="D329" s="11" t="str">
        <f aca="false">IF(K329="","",IFERROR(INDEX(DECKS!$C$2:$C$1201,MATCH(K329,DECKS!$B$2:$B$1201,0)),TRIM(I329&amp;"")))</f>
        <v/>
      </c>
      <c r="E329" s="4"/>
      <c r="F329" s="12"/>
      <c r="G329" s="4"/>
      <c r="H329" s="13" t="str">
        <f aca="false">IF(OR(N(C329)=0,N(F329)=0),"",C329*F329)</f>
        <v/>
      </c>
      <c r="I329" s="4"/>
      <c r="J329" s="11" t="str">
        <f aca="false">IF(K329="","",IF(N(C329)&lt;=0,"Informe a quantidade",IF(IFERROR(INDEX(INVENTÁRIO!$B$2:$B$801,MATCH(K329,INVENTÁRIO!$A$2:$A$801,0)),"")="(sem nome)","Carta fora dos decks: digite o nome na coluna I (opcional)","")))</f>
        <v/>
      </c>
      <c r="K329" s="11" t="str">
        <f aca="false">UPPER(TRIM(SUBSTITUTE(B329&amp;"",CHAR(160)," ")))</f>
        <v/>
      </c>
      <c r="L329" s="11" t="str">
        <f aca="false">IF(AND(K329&lt;&gt;"",TRIM(I329&amp;"")&lt;&gt;""),K329,"")</f>
        <v/>
      </c>
    </row>
    <row r="330" customFormat="false" ht="15" hidden="false" customHeight="false" outlineLevel="0" collapsed="false">
      <c r="A330" s="9"/>
      <c r="B330" s="4"/>
      <c r="C330" s="10"/>
      <c r="D330" s="11" t="str">
        <f aca="false">IF(K330="","",IFERROR(INDEX(DECKS!$C$2:$C$1201,MATCH(K330,DECKS!$B$2:$B$1201,0)),TRIM(I330&amp;"")))</f>
        <v/>
      </c>
      <c r="E330" s="4"/>
      <c r="F330" s="12"/>
      <c r="G330" s="4"/>
      <c r="H330" s="13" t="str">
        <f aca="false">IF(OR(N(C330)=0,N(F330)=0),"",C330*F330)</f>
        <v/>
      </c>
      <c r="I330" s="4"/>
      <c r="J330" s="11" t="str">
        <f aca="false">IF(K330="","",IF(N(C330)&lt;=0,"Informe a quantidade",IF(IFERROR(INDEX(INVENTÁRIO!$B$2:$B$801,MATCH(K330,INVENTÁRIO!$A$2:$A$801,0)),"")="(sem nome)","Carta fora dos decks: digite o nome na coluna I (opcional)","")))</f>
        <v/>
      </c>
      <c r="K330" s="11" t="str">
        <f aca="false">UPPER(TRIM(SUBSTITUTE(B330&amp;"",CHAR(160)," ")))</f>
        <v/>
      </c>
      <c r="L330" s="11" t="str">
        <f aca="false">IF(AND(K330&lt;&gt;"",TRIM(I330&amp;"")&lt;&gt;""),K330,"")</f>
        <v/>
      </c>
    </row>
    <row r="331" customFormat="false" ht="15" hidden="false" customHeight="false" outlineLevel="0" collapsed="false">
      <c r="A331" s="9"/>
      <c r="B331" s="4"/>
      <c r="C331" s="10"/>
      <c r="D331" s="11" t="str">
        <f aca="false">IF(K331="","",IFERROR(INDEX(DECKS!$C$2:$C$1201,MATCH(K331,DECKS!$B$2:$B$1201,0)),TRIM(I331&amp;"")))</f>
        <v/>
      </c>
      <c r="E331" s="4"/>
      <c r="F331" s="12"/>
      <c r="G331" s="4"/>
      <c r="H331" s="13" t="str">
        <f aca="false">IF(OR(N(C331)=0,N(F331)=0),"",C331*F331)</f>
        <v/>
      </c>
      <c r="I331" s="4"/>
      <c r="J331" s="11" t="str">
        <f aca="false">IF(K331="","",IF(N(C331)&lt;=0,"Informe a quantidade",IF(IFERROR(INDEX(INVENTÁRIO!$B$2:$B$801,MATCH(K331,INVENTÁRIO!$A$2:$A$801,0)),"")="(sem nome)","Carta fora dos decks: digite o nome na coluna I (opcional)","")))</f>
        <v/>
      </c>
      <c r="K331" s="11" t="str">
        <f aca="false">UPPER(TRIM(SUBSTITUTE(B331&amp;"",CHAR(160)," ")))</f>
        <v/>
      </c>
      <c r="L331" s="11" t="str">
        <f aca="false">IF(AND(K331&lt;&gt;"",TRIM(I331&amp;"")&lt;&gt;""),K331,"")</f>
        <v/>
      </c>
    </row>
    <row r="332" customFormat="false" ht="15" hidden="false" customHeight="false" outlineLevel="0" collapsed="false">
      <c r="A332" s="9"/>
      <c r="B332" s="4"/>
      <c r="C332" s="10"/>
      <c r="D332" s="11" t="str">
        <f aca="false">IF(K332="","",IFERROR(INDEX(DECKS!$C$2:$C$1201,MATCH(K332,DECKS!$B$2:$B$1201,0)),TRIM(I332&amp;"")))</f>
        <v/>
      </c>
      <c r="E332" s="4"/>
      <c r="F332" s="12"/>
      <c r="G332" s="4"/>
      <c r="H332" s="13" t="str">
        <f aca="false">IF(OR(N(C332)=0,N(F332)=0),"",C332*F332)</f>
        <v/>
      </c>
      <c r="I332" s="4"/>
      <c r="J332" s="11" t="str">
        <f aca="false">IF(K332="","",IF(N(C332)&lt;=0,"Informe a quantidade",IF(IFERROR(INDEX(INVENTÁRIO!$B$2:$B$801,MATCH(K332,INVENTÁRIO!$A$2:$A$801,0)),"")="(sem nome)","Carta fora dos decks: digite o nome na coluna I (opcional)","")))</f>
        <v/>
      </c>
      <c r="K332" s="11" t="str">
        <f aca="false">UPPER(TRIM(SUBSTITUTE(B332&amp;"",CHAR(160)," ")))</f>
        <v/>
      </c>
      <c r="L332" s="11" t="str">
        <f aca="false">IF(AND(K332&lt;&gt;"",TRIM(I332&amp;"")&lt;&gt;""),K332,"")</f>
        <v/>
      </c>
    </row>
    <row r="333" customFormat="false" ht="15" hidden="false" customHeight="false" outlineLevel="0" collapsed="false">
      <c r="A333" s="9"/>
      <c r="B333" s="4"/>
      <c r="C333" s="10"/>
      <c r="D333" s="11" t="str">
        <f aca="false">IF(K333="","",IFERROR(INDEX(DECKS!$C$2:$C$1201,MATCH(K333,DECKS!$B$2:$B$1201,0)),TRIM(I333&amp;"")))</f>
        <v/>
      </c>
      <c r="E333" s="4"/>
      <c r="F333" s="12"/>
      <c r="G333" s="4"/>
      <c r="H333" s="13" t="str">
        <f aca="false">IF(OR(N(C333)=0,N(F333)=0),"",C333*F333)</f>
        <v/>
      </c>
      <c r="I333" s="4"/>
      <c r="J333" s="11" t="str">
        <f aca="false">IF(K333="","",IF(N(C333)&lt;=0,"Informe a quantidade",IF(IFERROR(INDEX(INVENTÁRIO!$B$2:$B$801,MATCH(K333,INVENTÁRIO!$A$2:$A$801,0)),"")="(sem nome)","Carta fora dos decks: digite o nome na coluna I (opcional)","")))</f>
        <v/>
      </c>
      <c r="K333" s="11" t="str">
        <f aca="false">UPPER(TRIM(SUBSTITUTE(B333&amp;"",CHAR(160)," ")))</f>
        <v/>
      </c>
      <c r="L333" s="11" t="str">
        <f aca="false">IF(AND(K333&lt;&gt;"",TRIM(I333&amp;"")&lt;&gt;""),K333,"")</f>
        <v/>
      </c>
    </row>
    <row r="334" customFormat="false" ht="15" hidden="false" customHeight="false" outlineLevel="0" collapsed="false">
      <c r="A334" s="9"/>
      <c r="B334" s="4"/>
      <c r="C334" s="10"/>
      <c r="D334" s="11" t="str">
        <f aca="false">IF(K334="","",IFERROR(INDEX(DECKS!$C$2:$C$1201,MATCH(K334,DECKS!$B$2:$B$1201,0)),TRIM(I334&amp;"")))</f>
        <v/>
      </c>
      <c r="E334" s="4"/>
      <c r="F334" s="12"/>
      <c r="G334" s="4"/>
      <c r="H334" s="13" t="str">
        <f aca="false">IF(OR(N(C334)=0,N(F334)=0),"",C334*F334)</f>
        <v/>
      </c>
      <c r="I334" s="4"/>
      <c r="J334" s="11" t="str">
        <f aca="false">IF(K334="","",IF(N(C334)&lt;=0,"Informe a quantidade",IF(IFERROR(INDEX(INVENTÁRIO!$B$2:$B$801,MATCH(K334,INVENTÁRIO!$A$2:$A$801,0)),"")="(sem nome)","Carta fora dos decks: digite o nome na coluna I (opcional)","")))</f>
        <v/>
      </c>
      <c r="K334" s="11" t="str">
        <f aca="false">UPPER(TRIM(SUBSTITUTE(B334&amp;"",CHAR(160)," ")))</f>
        <v/>
      </c>
      <c r="L334" s="11" t="str">
        <f aca="false">IF(AND(K334&lt;&gt;"",TRIM(I334&amp;"")&lt;&gt;""),K334,"")</f>
        <v/>
      </c>
    </row>
    <row r="335" customFormat="false" ht="15" hidden="false" customHeight="false" outlineLevel="0" collapsed="false">
      <c r="A335" s="9"/>
      <c r="B335" s="4"/>
      <c r="C335" s="10"/>
      <c r="D335" s="11" t="str">
        <f aca="false">IF(K335="","",IFERROR(INDEX(DECKS!$C$2:$C$1201,MATCH(K335,DECKS!$B$2:$B$1201,0)),TRIM(I335&amp;"")))</f>
        <v/>
      </c>
      <c r="E335" s="4"/>
      <c r="F335" s="12"/>
      <c r="G335" s="4"/>
      <c r="H335" s="13" t="str">
        <f aca="false">IF(OR(N(C335)=0,N(F335)=0),"",C335*F335)</f>
        <v/>
      </c>
      <c r="I335" s="4"/>
      <c r="J335" s="11" t="str">
        <f aca="false">IF(K335="","",IF(N(C335)&lt;=0,"Informe a quantidade",IF(IFERROR(INDEX(INVENTÁRIO!$B$2:$B$801,MATCH(K335,INVENTÁRIO!$A$2:$A$801,0)),"")="(sem nome)","Carta fora dos decks: digite o nome na coluna I (opcional)","")))</f>
        <v/>
      </c>
      <c r="K335" s="11" t="str">
        <f aca="false">UPPER(TRIM(SUBSTITUTE(B335&amp;"",CHAR(160)," ")))</f>
        <v/>
      </c>
      <c r="L335" s="11" t="str">
        <f aca="false">IF(AND(K335&lt;&gt;"",TRIM(I335&amp;"")&lt;&gt;""),K335,"")</f>
        <v/>
      </c>
    </row>
    <row r="336" customFormat="false" ht="15" hidden="false" customHeight="false" outlineLevel="0" collapsed="false">
      <c r="A336" s="9"/>
      <c r="B336" s="4"/>
      <c r="C336" s="10"/>
      <c r="D336" s="11" t="str">
        <f aca="false">IF(K336="","",IFERROR(INDEX(DECKS!$C$2:$C$1201,MATCH(K336,DECKS!$B$2:$B$1201,0)),TRIM(I336&amp;"")))</f>
        <v/>
      </c>
      <c r="E336" s="4"/>
      <c r="F336" s="12"/>
      <c r="G336" s="4"/>
      <c r="H336" s="13" t="str">
        <f aca="false">IF(OR(N(C336)=0,N(F336)=0),"",C336*F336)</f>
        <v/>
      </c>
      <c r="I336" s="4"/>
      <c r="J336" s="11" t="str">
        <f aca="false">IF(K336="","",IF(N(C336)&lt;=0,"Informe a quantidade",IF(IFERROR(INDEX(INVENTÁRIO!$B$2:$B$801,MATCH(K336,INVENTÁRIO!$A$2:$A$801,0)),"")="(sem nome)","Carta fora dos decks: digite o nome na coluna I (opcional)","")))</f>
        <v/>
      </c>
      <c r="K336" s="11" t="str">
        <f aca="false">UPPER(TRIM(SUBSTITUTE(B336&amp;"",CHAR(160)," ")))</f>
        <v/>
      </c>
      <c r="L336" s="11" t="str">
        <f aca="false">IF(AND(K336&lt;&gt;"",TRIM(I336&amp;"")&lt;&gt;""),K336,"")</f>
        <v/>
      </c>
    </row>
    <row r="337" customFormat="false" ht="15" hidden="false" customHeight="false" outlineLevel="0" collapsed="false">
      <c r="A337" s="9"/>
      <c r="B337" s="4"/>
      <c r="C337" s="10"/>
      <c r="D337" s="11" t="str">
        <f aca="false">IF(K337="","",IFERROR(INDEX(DECKS!$C$2:$C$1201,MATCH(K337,DECKS!$B$2:$B$1201,0)),TRIM(I337&amp;"")))</f>
        <v/>
      </c>
      <c r="E337" s="4"/>
      <c r="F337" s="12"/>
      <c r="G337" s="4"/>
      <c r="H337" s="13" t="str">
        <f aca="false">IF(OR(N(C337)=0,N(F337)=0),"",C337*F337)</f>
        <v/>
      </c>
      <c r="I337" s="4"/>
      <c r="J337" s="11" t="str">
        <f aca="false">IF(K337="","",IF(N(C337)&lt;=0,"Informe a quantidade",IF(IFERROR(INDEX(INVENTÁRIO!$B$2:$B$801,MATCH(K337,INVENTÁRIO!$A$2:$A$801,0)),"")="(sem nome)","Carta fora dos decks: digite o nome na coluna I (opcional)","")))</f>
        <v/>
      </c>
      <c r="K337" s="11" t="str">
        <f aca="false">UPPER(TRIM(SUBSTITUTE(B337&amp;"",CHAR(160)," ")))</f>
        <v/>
      </c>
      <c r="L337" s="11" t="str">
        <f aca="false">IF(AND(K337&lt;&gt;"",TRIM(I337&amp;"")&lt;&gt;""),K337,"")</f>
        <v/>
      </c>
    </row>
    <row r="338" customFormat="false" ht="15" hidden="false" customHeight="false" outlineLevel="0" collapsed="false">
      <c r="A338" s="9"/>
      <c r="B338" s="4"/>
      <c r="C338" s="10"/>
      <c r="D338" s="11" t="str">
        <f aca="false">IF(K338="","",IFERROR(INDEX(DECKS!$C$2:$C$1201,MATCH(K338,DECKS!$B$2:$B$1201,0)),TRIM(I338&amp;"")))</f>
        <v/>
      </c>
      <c r="E338" s="4"/>
      <c r="F338" s="12"/>
      <c r="G338" s="4"/>
      <c r="H338" s="13" t="str">
        <f aca="false">IF(OR(N(C338)=0,N(F338)=0),"",C338*F338)</f>
        <v/>
      </c>
      <c r="I338" s="4"/>
      <c r="J338" s="11" t="str">
        <f aca="false">IF(K338="","",IF(N(C338)&lt;=0,"Informe a quantidade",IF(IFERROR(INDEX(INVENTÁRIO!$B$2:$B$801,MATCH(K338,INVENTÁRIO!$A$2:$A$801,0)),"")="(sem nome)","Carta fora dos decks: digite o nome na coluna I (opcional)","")))</f>
        <v/>
      </c>
      <c r="K338" s="11" t="str">
        <f aca="false">UPPER(TRIM(SUBSTITUTE(B338&amp;"",CHAR(160)," ")))</f>
        <v/>
      </c>
      <c r="L338" s="11" t="str">
        <f aca="false">IF(AND(K338&lt;&gt;"",TRIM(I338&amp;"")&lt;&gt;""),K338,"")</f>
        <v/>
      </c>
    </row>
    <row r="339" customFormat="false" ht="15" hidden="false" customHeight="false" outlineLevel="0" collapsed="false">
      <c r="A339" s="9"/>
      <c r="B339" s="4"/>
      <c r="C339" s="10"/>
      <c r="D339" s="11" t="str">
        <f aca="false">IF(K339="","",IFERROR(INDEX(DECKS!$C$2:$C$1201,MATCH(K339,DECKS!$B$2:$B$1201,0)),TRIM(I339&amp;"")))</f>
        <v/>
      </c>
      <c r="E339" s="4"/>
      <c r="F339" s="12"/>
      <c r="G339" s="4"/>
      <c r="H339" s="13" t="str">
        <f aca="false">IF(OR(N(C339)=0,N(F339)=0),"",C339*F339)</f>
        <v/>
      </c>
      <c r="I339" s="4"/>
      <c r="J339" s="11" t="str">
        <f aca="false">IF(K339="","",IF(N(C339)&lt;=0,"Informe a quantidade",IF(IFERROR(INDEX(INVENTÁRIO!$B$2:$B$801,MATCH(K339,INVENTÁRIO!$A$2:$A$801,0)),"")="(sem nome)","Carta fora dos decks: digite o nome na coluna I (opcional)","")))</f>
        <v/>
      </c>
      <c r="K339" s="11" t="str">
        <f aca="false">UPPER(TRIM(SUBSTITUTE(B339&amp;"",CHAR(160)," ")))</f>
        <v/>
      </c>
      <c r="L339" s="11" t="str">
        <f aca="false">IF(AND(K339&lt;&gt;"",TRIM(I339&amp;"")&lt;&gt;""),K339,"")</f>
        <v/>
      </c>
    </row>
    <row r="340" customFormat="false" ht="15" hidden="false" customHeight="false" outlineLevel="0" collapsed="false">
      <c r="A340" s="9"/>
      <c r="B340" s="4"/>
      <c r="C340" s="10"/>
      <c r="D340" s="11" t="str">
        <f aca="false">IF(K340="","",IFERROR(INDEX(DECKS!$C$2:$C$1201,MATCH(K340,DECKS!$B$2:$B$1201,0)),TRIM(I340&amp;"")))</f>
        <v/>
      </c>
      <c r="E340" s="4"/>
      <c r="F340" s="12"/>
      <c r="G340" s="4"/>
      <c r="H340" s="13" t="str">
        <f aca="false">IF(OR(N(C340)=0,N(F340)=0),"",C340*F340)</f>
        <v/>
      </c>
      <c r="I340" s="4"/>
      <c r="J340" s="11" t="str">
        <f aca="false">IF(K340="","",IF(N(C340)&lt;=0,"Informe a quantidade",IF(IFERROR(INDEX(INVENTÁRIO!$B$2:$B$801,MATCH(K340,INVENTÁRIO!$A$2:$A$801,0)),"")="(sem nome)","Carta fora dos decks: digite o nome na coluna I (opcional)","")))</f>
        <v/>
      </c>
      <c r="K340" s="11" t="str">
        <f aca="false">UPPER(TRIM(SUBSTITUTE(B340&amp;"",CHAR(160)," ")))</f>
        <v/>
      </c>
      <c r="L340" s="11" t="str">
        <f aca="false">IF(AND(K340&lt;&gt;"",TRIM(I340&amp;"")&lt;&gt;""),K340,"")</f>
        <v/>
      </c>
    </row>
    <row r="341" customFormat="false" ht="15" hidden="false" customHeight="false" outlineLevel="0" collapsed="false">
      <c r="A341" s="9"/>
      <c r="B341" s="4"/>
      <c r="C341" s="10"/>
      <c r="D341" s="11" t="str">
        <f aca="false">IF(K341="","",IFERROR(INDEX(DECKS!$C$2:$C$1201,MATCH(K341,DECKS!$B$2:$B$1201,0)),TRIM(I341&amp;"")))</f>
        <v/>
      </c>
      <c r="E341" s="4"/>
      <c r="F341" s="12"/>
      <c r="G341" s="4"/>
      <c r="H341" s="13" t="str">
        <f aca="false">IF(OR(N(C341)=0,N(F341)=0),"",C341*F341)</f>
        <v/>
      </c>
      <c r="I341" s="4"/>
      <c r="J341" s="11" t="str">
        <f aca="false">IF(K341="","",IF(N(C341)&lt;=0,"Informe a quantidade",IF(IFERROR(INDEX(INVENTÁRIO!$B$2:$B$801,MATCH(K341,INVENTÁRIO!$A$2:$A$801,0)),"")="(sem nome)","Carta fora dos decks: digite o nome na coluna I (opcional)","")))</f>
        <v/>
      </c>
      <c r="K341" s="11" t="str">
        <f aca="false">UPPER(TRIM(SUBSTITUTE(B341&amp;"",CHAR(160)," ")))</f>
        <v/>
      </c>
      <c r="L341" s="11" t="str">
        <f aca="false">IF(AND(K341&lt;&gt;"",TRIM(I341&amp;"")&lt;&gt;""),K341,"")</f>
        <v/>
      </c>
    </row>
    <row r="342" customFormat="false" ht="15" hidden="false" customHeight="false" outlineLevel="0" collapsed="false">
      <c r="A342" s="9"/>
      <c r="B342" s="4"/>
      <c r="C342" s="10"/>
      <c r="D342" s="11" t="str">
        <f aca="false">IF(K342="","",IFERROR(INDEX(DECKS!$C$2:$C$1201,MATCH(K342,DECKS!$B$2:$B$1201,0)),TRIM(I342&amp;"")))</f>
        <v/>
      </c>
      <c r="E342" s="4"/>
      <c r="F342" s="12"/>
      <c r="G342" s="4"/>
      <c r="H342" s="13" t="str">
        <f aca="false">IF(OR(N(C342)=0,N(F342)=0),"",C342*F342)</f>
        <v/>
      </c>
      <c r="I342" s="4"/>
      <c r="J342" s="11" t="str">
        <f aca="false">IF(K342="","",IF(N(C342)&lt;=0,"Informe a quantidade",IF(IFERROR(INDEX(INVENTÁRIO!$B$2:$B$801,MATCH(K342,INVENTÁRIO!$A$2:$A$801,0)),"")="(sem nome)","Carta fora dos decks: digite o nome na coluna I (opcional)","")))</f>
        <v/>
      </c>
      <c r="K342" s="11" t="str">
        <f aca="false">UPPER(TRIM(SUBSTITUTE(B342&amp;"",CHAR(160)," ")))</f>
        <v/>
      </c>
      <c r="L342" s="11" t="str">
        <f aca="false">IF(AND(K342&lt;&gt;"",TRIM(I342&amp;"")&lt;&gt;""),K342,"")</f>
        <v/>
      </c>
    </row>
    <row r="343" customFormat="false" ht="15" hidden="false" customHeight="false" outlineLevel="0" collapsed="false">
      <c r="A343" s="9"/>
      <c r="B343" s="4"/>
      <c r="C343" s="10"/>
      <c r="D343" s="11" t="str">
        <f aca="false">IF(K343="","",IFERROR(INDEX(DECKS!$C$2:$C$1201,MATCH(K343,DECKS!$B$2:$B$1201,0)),TRIM(I343&amp;"")))</f>
        <v/>
      </c>
      <c r="E343" s="4"/>
      <c r="F343" s="12"/>
      <c r="G343" s="4"/>
      <c r="H343" s="13" t="str">
        <f aca="false">IF(OR(N(C343)=0,N(F343)=0),"",C343*F343)</f>
        <v/>
      </c>
      <c r="I343" s="4"/>
      <c r="J343" s="11" t="str">
        <f aca="false">IF(K343="","",IF(N(C343)&lt;=0,"Informe a quantidade",IF(IFERROR(INDEX(INVENTÁRIO!$B$2:$B$801,MATCH(K343,INVENTÁRIO!$A$2:$A$801,0)),"")="(sem nome)","Carta fora dos decks: digite o nome na coluna I (opcional)","")))</f>
        <v/>
      </c>
      <c r="K343" s="11" t="str">
        <f aca="false">UPPER(TRIM(SUBSTITUTE(B343&amp;"",CHAR(160)," ")))</f>
        <v/>
      </c>
      <c r="L343" s="11" t="str">
        <f aca="false">IF(AND(K343&lt;&gt;"",TRIM(I343&amp;"")&lt;&gt;""),K343,"")</f>
        <v/>
      </c>
    </row>
    <row r="344" customFormat="false" ht="15" hidden="false" customHeight="false" outlineLevel="0" collapsed="false">
      <c r="A344" s="9"/>
      <c r="B344" s="4"/>
      <c r="C344" s="10"/>
      <c r="D344" s="11" t="str">
        <f aca="false">IF(K344="","",IFERROR(INDEX(DECKS!$C$2:$C$1201,MATCH(K344,DECKS!$B$2:$B$1201,0)),TRIM(I344&amp;"")))</f>
        <v/>
      </c>
      <c r="E344" s="4"/>
      <c r="F344" s="12"/>
      <c r="G344" s="4"/>
      <c r="H344" s="13" t="str">
        <f aca="false">IF(OR(N(C344)=0,N(F344)=0),"",C344*F344)</f>
        <v/>
      </c>
      <c r="I344" s="4"/>
      <c r="J344" s="11" t="str">
        <f aca="false">IF(K344="","",IF(N(C344)&lt;=0,"Informe a quantidade",IF(IFERROR(INDEX(INVENTÁRIO!$B$2:$B$801,MATCH(K344,INVENTÁRIO!$A$2:$A$801,0)),"")="(sem nome)","Carta fora dos decks: digite o nome na coluna I (opcional)","")))</f>
        <v/>
      </c>
      <c r="K344" s="11" t="str">
        <f aca="false">UPPER(TRIM(SUBSTITUTE(B344&amp;"",CHAR(160)," ")))</f>
        <v/>
      </c>
      <c r="L344" s="11" t="str">
        <f aca="false">IF(AND(K344&lt;&gt;"",TRIM(I344&amp;"")&lt;&gt;""),K344,"")</f>
        <v/>
      </c>
    </row>
    <row r="345" customFormat="false" ht="15" hidden="false" customHeight="false" outlineLevel="0" collapsed="false">
      <c r="A345" s="9"/>
      <c r="B345" s="4"/>
      <c r="C345" s="10"/>
      <c r="D345" s="11" t="str">
        <f aca="false">IF(K345="","",IFERROR(INDEX(DECKS!$C$2:$C$1201,MATCH(K345,DECKS!$B$2:$B$1201,0)),TRIM(I345&amp;"")))</f>
        <v/>
      </c>
      <c r="E345" s="4"/>
      <c r="F345" s="12"/>
      <c r="G345" s="4"/>
      <c r="H345" s="13" t="str">
        <f aca="false">IF(OR(N(C345)=0,N(F345)=0),"",C345*F345)</f>
        <v/>
      </c>
      <c r="I345" s="4"/>
      <c r="J345" s="11" t="str">
        <f aca="false">IF(K345="","",IF(N(C345)&lt;=0,"Informe a quantidade",IF(IFERROR(INDEX(INVENTÁRIO!$B$2:$B$801,MATCH(K345,INVENTÁRIO!$A$2:$A$801,0)),"")="(sem nome)","Carta fora dos decks: digite o nome na coluna I (opcional)","")))</f>
        <v/>
      </c>
      <c r="K345" s="11" t="str">
        <f aca="false">UPPER(TRIM(SUBSTITUTE(B345&amp;"",CHAR(160)," ")))</f>
        <v/>
      </c>
      <c r="L345" s="11" t="str">
        <f aca="false">IF(AND(K345&lt;&gt;"",TRIM(I345&amp;"")&lt;&gt;""),K345,"")</f>
        <v/>
      </c>
    </row>
    <row r="346" customFormat="false" ht="15" hidden="false" customHeight="false" outlineLevel="0" collapsed="false">
      <c r="A346" s="9"/>
      <c r="B346" s="4"/>
      <c r="C346" s="10"/>
      <c r="D346" s="11" t="str">
        <f aca="false">IF(K346="","",IFERROR(INDEX(DECKS!$C$2:$C$1201,MATCH(K346,DECKS!$B$2:$B$1201,0)),TRIM(I346&amp;"")))</f>
        <v/>
      </c>
      <c r="E346" s="4"/>
      <c r="F346" s="12"/>
      <c r="G346" s="4"/>
      <c r="H346" s="13" t="str">
        <f aca="false">IF(OR(N(C346)=0,N(F346)=0),"",C346*F346)</f>
        <v/>
      </c>
      <c r="I346" s="4"/>
      <c r="J346" s="11" t="str">
        <f aca="false">IF(K346="","",IF(N(C346)&lt;=0,"Informe a quantidade",IF(IFERROR(INDEX(INVENTÁRIO!$B$2:$B$801,MATCH(K346,INVENTÁRIO!$A$2:$A$801,0)),"")="(sem nome)","Carta fora dos decks: digite o nome na coluna I (opcional)","")))</f>
        <v/>
      </c>
      <c r="K346" s="11" t="str">
        <f aca="false">UPPER(TRIM(SUBSTITUTE(B346&amp;"",CHAR(160)," ")))</f>
        <v/>
      </c>
      <c r="L346" s="11" t="str">
        <f aca="false">IF(AND(K346&lt;&gt;"",TRIM(I346&amp;"")&lt;&gt;""),K346,"")</f>
        <v/>
      </c>
    </row>
    <row r="347" customFormat="false" ht="15" hidden="false" customHeight="false" outlineLevel="0" collapsed="false">
      <c r="A347" s="9"/>
      <c r="B347" s="4"/>
      <c r="C347" s="10"/>
      <c r="D347" s="11" t="str">
        <f aca="false">IF(K347="","",IFERROR(INDEX(DECKS!$C$2:$C$1201,MATCH(K347,DECKS!$B$2:$B$1201,0)),TRIM(I347&amp;"")))</f>
        <v/>
      </c>
      <c r="E347" s="4"/>
      <c r="F347" s="12"/>
      <c r="G347" s="4"/>
      <c r="H347" s="13" t="str">
        <f aca="false">IF(OR(N(C347)=0,N(F347)=0),"",C347*F347)</f>
        <v/>
      </c>
      <c r="I347" s="4"/>
      <c r="J347" s="11" t="str">
        <f aca="false">IF(K347="","",IF(N(C347)&lt;=0,"Informe a quantidade",IF(IFERROR(INDEX(INVENTÁRIO!$B$2:$B$801,MATCH(K347,INVENTÁRIO!$A$2:$A$801,0)),"")="(sem nome)","Carta fora dos decks: digite o nome na coluna I (opcional)","")))</f>
        <v/>
      </c>
      <c r="K347" s="11" t="str">
        <f aca="false">UPPER(TRIM(SUBSTITUTE(B347&amp;"",CHAR(160)," ")))</f>
        <v/>
      </c>
      <c r="L347" s="11" t="str">
        <f aca="false">IF(AND(K347&lt;&gt;"",TRIM(I347&amp;"")&lt;&gt;""),K347,"")</f>
        <v/>
      </c>
    </row>
    <row r="348" customFormat="false" ht="15" hidden="false" customHeight="false" outlineLevel="0" collapsed="false">
      <c r="A348" s="9"/>
      <c r="B348" s="4"/>
      <c r="C348" s="10"/>
      <c r="D348" s="11" t="str">
        <f aca="false">IF(K348="","",IFERROR(INDEX(DECKS!$C$2:$C$1201,MATCH(K348,DECKS!$B$2:$B$1201,0)),TRIM(I348&amp;"")))</f>
        <v/>
      </c>
      <c r="E348" s="4"/>
      <c r="F348" s="12"/>
      <c r="G348" s="4"/>
      <c r="H348" s="13" t="str">
        <f aca="false">IF(OR(N(C348)=0,N(F348)=0),"",C348*F348)</f>
        <v/>
      </c>
      <c r="I348" s="4"/>
      <c r="J348" s="11" t="str">
        <f aca="false">IF(K348="","",IF(N(C348)&lt;=0,"Informe a quantidade",IF(IFERROR(INDEX(INVENTÁRIO!$B$2:$B$801,MATCH(K348,INVENTÁRIO!$A$2:$A$801,0)),"")="(sem nome)","Carta fora dos decks: digite o nome na coluna I (opcional)","")))</f>
        <v/>
      </c>
      <c r="K348" s="11" t="str">
        <f aca="false">UPPER(TRIM(SUBSTITUTE(B348&amp;"",CHAR(160)," ")))</f>
        <v/>
      </c>
      <c r="L348" s="11" t="str">
        <f aca="false">IF(AND(K348&lt;&gt;"",TRIM(I348&amp;"")&lt;&gt;""),K348,"")</f>
        <v/>
      </c>
    </row>
    <row r="349" customFormat="false" ht="15" hidden="false" customHeight="false" outlineLevel="0" collapsed="false">
      <c r="A349" s="9"/>
      <c r="B349" s="4"/>
      <c r="C349" s="10"/>
      <c r="D349" s="11" t="str">
        <f aca="false">IF(K349="","",IFERROR(INDEX(DECKS!$C$2:$C$1201,MATCH(K349,DECKS!$B$2:$B$1201,0)),TRIM(I349&amp;"")))</f>
        <v/>
      </c>
      <c r="E349" s="4"/>
      <c r="F349" s="12"/>
      <c r="G349" s="4"/>
      <c r="H349" s="13" t="str">
        <f aca="false">IF(OR(N(C349)=0,N(F349)=0),"",C349*F349)</f>
        <v/>
      </c>
      <c r="I349" s="4"/>
      <c r="J349" s="11" t="str">
        <f aca="false">IF(K349="","",IF(N(C349)&lt;=0,"Informe a quantidade",IF(IFERROR(INDEX(INVENTÁRIO!$B$2:$B$801,MATCH(K349,INVENTÁRIO!$A$2:$A$801,0)),"")="(sem nome)","Carta fora dos decks: digite o nome na coluna I (opcional)","")))</f>
        <v/>
      </c>
      <c r="K349" s="11" t="str">
        <f aca="false">UPPER(TRIM(SUBSTITUTE(B349&amp;"",CHAR(160)," ")))</f>
        <v/>
      </c>
      <c r="L349" s="11" t="str">
        <f aca="false">IF(AND(K349&lt;&gt;"",TRIM(I349&amp;"")&lt;&gt;""),K349,"")</f>
        <v/>
      </c>
    </row>
    <row r="350" customFormat="false" ht="15" hidden="false" customHeight="false" outlineLevel="0" collapsed="false">
      <c r="A350" s="9"/>
      <c r="B350" s="4"/>
      <c r="C350" s="10"/>
      <c r="D350" s="11" t="str">
        <f aca="false">IF(K350="","",IFERROR(INDEX(DECKS!$C$2:$C$1201,MATCH(K350,DECKS!$B$2:$B$1201,0)),TRIM(I350&amp;"")))</f>
        <v/>
      </c>
      <c r="E350" s="4"/>
      <c r="F350" s="12"/>
      <c r="G350" s="4"/>
      <c r="H350" s="13" t="str">
        <f aca="false">IF(OR(N(C350)=0,N(F350)=0),"",C350*F350)</f>
        <v/>
      </c>
      <c r="I350" s="4"/>
      <c r="J350" s="11" t="str">
        <f aca="false">IF(K350="","",IF(N(C350)&lt;=0,"Informe a quantidade",IF(IFERROR(INDEX(INVENTÁRIO!$B$2:$B$801,MATCH(K350,INVENTÁRIO!$A$2:$A$801,0)),"")="(sem nome)","Carta fora dos decks: digite o nome na coluna I (opcional)","")))</f>
        <v/>
      </c>
      <c r="K350" s="11" t="str">
        <f aca="false">UPPER(TRIM(SUBSTITUTE(B350&amp;"",CHAR(160)," ")))</f>
        <v/>
      </c>
      <c r="L350" s="11" t="str">
        <f aca="false">IF(AND(K350&lt;&gt;"",TRIM(I350&amp;"")&lt;&gt;""),K350,"")</f>
        <v/>
      </c>
    </row>
    <row r="351" customFormat="false" ht="15" hidden="false" customHeight="false" outlineLevel="0" collapsed="false">
      <c r="A351" s="9"/>
      <c r="B351" s="4"/>
      <c r="C351" s="10"/>
      <c r="D351" s="11" t="str">
        <f aca="false">IF(K351="","",IFERROR(INDEX(DECKS!$C$2:$C$1201,MATCH(K351,DECKS!$B$2:$B$1201,0)),TRIM(I351&amp;"")))</f>
        <v/>
      </c>
      <c r="E351" s="4"/>
      <c r="F351" s="12"/>
      <c r="G351" s="4"/>
      <c r="H351" s="13" t="str">
        <f aca="false">IF(OR(N(C351)=0,N(F351)=0),"",C351*F351)</f>
        <v/>
      </c>
      <c r="I351" s="4"/>
      <c r="J351" s="11" t="str">
        <f aca="false">IF(K351="","",IF(N(C351)&lt;=0,"Informe a quantidade",IF(IFERROR(INDEX(INVENTÁRIO!$B$2:$B$801,MATCH(K351,INVENTÁRIO!$A$2:$A$801,0)),"")="(sem nome)","Carta fora dos decks: digite o nome na coluna I (opcional)","")))</f>
        <v/>
      </c>
      <c r="K351" s="11" t="str">
        <f aca="false">UPPER(TRIM(SUBSTITUTE(B351&amp;"",CHAR(160)," ")))</f>
        <v/>
      </c>
      <c r="L351" s="11" t="str">
        <f aca="false">IF(AND(K351&lt;&gt;"",TRIM(I351&amp;"")&lt;&gt;""),K351,"")</f>
        <v/>
      </c>
    </row>
    <row r="352" customFormat="false" ht="15" hidden="false" customHeight="false" outlineLevel="0" collapsed="false">
      <c r="A352" s="9"/>
      <c r="B352" s="4"/>
      <c r="C352" s="10"/>
      <c r="D352" s="11" t="str">
        <f aca="false">IF(K352="","",IFERROR(INDEX(DECKS!$C$2:$C$1201,MATCH(K352,DECKS!$B$2:$B$1201,0)),TRIM(I352&amp;"")))</f>
        <v/>
      </c>
      <c r="E352" s="4"/>
      <c r="F352" s="12"/>
      <c r="G352" s="4"/>
      <c r="H352" s="13" t="str">
        <f aca="false">IF(OR(N(C352)=0,N(F352)=0),"",C352*F352)</f>
        <v/>
      </c>
      <c r="I352" s="4"/>
      <c r="J352" s="11" t="str">
        <f aca="false">IF(K352="","",IF(N(C352)&lt;=0,"Informe a quantidade",IF(IFERROR(INDEX(INVENTÁRIO!$B$2:$B$801,MATCH(K352,INVENTÁRIO!$A$2:$A$801,0)),"")="(sem nome)","Carta fora dos decks: digite o nome na coluna I (opcional)","")))</f>
        <v/>
      </c>
      <c r="K352" s="11" t="str">
        <f aca="false">UPPER(TRIM(SUBSTITUTE(B352&amp;"",CHAR(160)," ")))</f>
        <v/>
      </c>
      <c r="L352" s="11" t="str">
        <f aca="false">IF(AND(K352&lt;&gt;"",TRIM(I352&amp;"")&lt;&gt;""),K352,"")</f>
        <v/>
      </c>
    </row>
    <row r="353" customFormat="false" ht="15" hidden="false" customHeight="false" outlineLevel="0" collapsed="false">
      <c r="A353" s="9"/>
      <c r="B353" s="4"/>
      <c r="C353" s="10"/>
      <c r="D353" s="11" t="str">
        <f aca="false">IF(K353="","",IFERROR(INDEX(DECKS!$C$2:$C$1201,MATCH(K353,DECKS!$B$2:$B$1201,0)),TRIM(I353&amp;"")))</f>
        <v/>
      </c>
      <c r="E353" s="4"/>
      <c r="F353" s="12"/>
      <c r="G353" s="4"/>
      <c r="H353" s="13" t="str">
        <f aca="false">IF(OR(N(C353)=0,N(F353)=0),"",C353*F353)</f>
        <v/>
      </c>
      <c r="I353" s="4"/>
      <c r="J353" s="11" t="str">
        <f aca="false">IF(K353="","",IF(N(C353)&lt;=0,"Informe a quantidade",IF(IFERROR(INDEX(INVENTÁRIO!$B$2:$B$801,MATCH(K353,INVENTÁRIO!$A$2:$A$801,0)),"")="(sem nome)","Carta fora dos decks: digite o nome na coluna I (opcional)","")))</f>
        <v/>
      </c>
      <c r="K353" s="11" t="str">
        <f aca="false">UPPER(TRIM(SUBSTITUTE(B353&amp;"",CHAR(160)," ")))</f>
        <v/>
      </c>
      <c r="L353" s="11" t="str">
        <f aca="false">IF(AND(K353&lt;&gt;"",TRIM(I353&amp;"")&lt;&gt;""),K353,"")</f>
        <v/>
      </c>
    </row>
    <row r="354" customFormat="false" ht="15" hidden="false" customHeight="false" outlineLevel="0" collapsed="false">
      <c r="A354" s="9"/>
      <c r="B354" s="4"/>
      <c r="C354" s="10"/>
      <c r="D354" s="11" t="str">
        <f aca="false">IF(K354="","",IFERROR(INDEX(DECKS!$C$2:$C$1201,MATCH(K354,DECKS!$B$2:$B$1201,0)),TRIM(I354&amp;"")))</f>
        <v/>
      </c>
      <c r="E354" s="4"/>
      <c r="F354" s="12"/>
      <c r="G354" s="4"/>
      <c r="H354" s="13" t="str">
        <f aca="false">IF(OR(N(C354)=0,N(F354)=0),"",C354*F354)</f>
        <v/>
      </c>
      <c r="I354" s="4"/>
      <c r="J354" s="11" t="str">
        <f aca="false">IF(K354="","",IF(N(C354)&lt;=0,"Informe a quantidade",IF(IFERROR(INDEX(INVENTÁRIO!$B$2:$B$801,MATCH(K354,INVENTÁRIO!$A$2:$A$801,0)),"")="(sem nome)","Carta fora dos decks: digite o nome na coluna I (opcional)","")))</f>
        <v/>
      </c>
      <c r="K354" s="11" t="str">
        <f aca="false">UPPER(TRIM(SUBSTITUTE(B354&amp;"",CHAR(160)," ")))</f>
        <v/>
      </c>
      <c r="L354" s="11" t="str">
        <f aca="false">IF(AND(K354&lt;&gt;"",TRIM(I354&amp;"")&lt;&gt;""),K354,"")</f>
        <v/>
      </c>
    </row>
    <row r="355" customFormat="false" ht="15" hidden="false" customHeight="false" outlineLevel="0" collapsed="false">
      <c r="A355" s="9"/>
      <c r="B355" s="4"/>
      <c r="C355" s="10"/>
      <c r="D355" s="11" t="str">
        <f aca="false">IF(K355="","",IFERROR(INDEX(DECKS!$C$2:$C$1201,MATCH(K355,DECKS!$B$2:$B$1201,0)),TRIM(I355&amp;"")))</f>
        <v/>
      </c>
      <c r="E355" s="4"/>
      <c r="F355" s="12"/>
      <c r="G355" s="4"/>
      <c r="H355" s="13" t="str">
        <f aca="false">IF(OR(N(C355)=0,N(F355)=0),"",C355*F355)</f>
        <v/>
      </c>
      <c r="I355" s="4"/>
      <c r="J355" s="11" t="str">
        <f aca="false">IF(K355="","",IF(N(C355)&lt;=0,"Informe a quantidade",IF(IFERROR(INDEX(INVENTÁRIO!$B$2:$B$801,MATCH(K355,INVENTÁRIO!$A$2:$A$801,0)),"")="(sem nome)","Carta fora dos decks: digite o nome na coluna I (opcional)","")))</f>
        <v/>
      </c>
      <c r="K355" s="11" t="str">
        <f aca="false">UPPER(TRIM(SUBSTITUTE(B355&amp;"",CHAR(160)," ")))</f>
        <v/>
      </c>
      <c r="L355" s="11" t="str">
        <f aca="false">IF(AND(K355&lt;&gt;"",TRIM(I355&amp;"")&lt;&gt;""),K355,"")</f>
        <v/>
      </c>
    </row>
    <row r="356" customFormat="false" ht="15" hidden="false" customHeight="false" outlineLevel="0" collapsed="false">
      <c r="A356" s="9"/>
      <c r="B356" s="4"/>
      <c r="C356" s="10"/>
      <c r="D356" s="11" t="str">
        <f aca="false">IF(K356="","",IFERROR(INDEX(DECKS!$C$2:$C$1201,MATCH(K356,DECKS!$B$2:$B$1201,0)),TRIM(I356&amp;"")))</f>
        <v/>
      </c>
      <c r="E356" s="4"/>
      <c r="F356" s="12"/>
      <c r="G356" s="4"/>
      <c r="H356" s="13" t="str">
        <f aca="false">IF(OR(N(C356)=0,N(F356)=0),"",C356*F356)</f>
        <v/>
      </c>
      <c r="I356" s="4"/>
      <c r="J356" s="11" t="str">
        <f aca="false">IF(K356="","",IF(N(C356)&lt;=0,"Informe a quantidade",IF(IFERROR(INDEX(INVENTÁRIO!$B$2:$B$801,MATCH(K356,INVENTÁRIO!$A$2:$A$801,0)),"")="(sem nome)","Carta fora dos decks: digite o nome na coluna I (opcional)","")))</f>
        <v/>
      </c>
      <c r="K356" s="11" t="str">
        <f aca="false">UPPER(TRIM(SUBSTITUTE(B356&amp;"",CHAR(160)," ")))</f>
        <v/>
      </c>
      <c r="L356" s="11" t="str">
        <f aca="false">IF(AND(K356&lt;&gt;"",TRIM(I356&amp;"")&lt;&gt;""),K356,"")</f>
        <v/>
      </c>
    </row>
    <row r="357" customFormat="false" ht="15" hidden="false" customHeight="false" outlineLevel="0" collapsed="false">
      <c r="A357" s="9"/>
      <c r="B357" s="4"/>
      <c r="C357" s="10"/>
      <c r="D357" s="11" t="str">
        <f aca="false">IF(K357="","",IFERROR(INDEX(DECKS!$C$2:$C$1201,MATCH(K357,DECKS!$B$2:$B$1201,0)),TRIM(I357&amp;"")))</f>
        <v/>
      </c>
      <c r="E357" s="4"/>
      <c r="F357" s="12"/>
      <c r="G357" s="4"/>
      <c r="H357" s="13" t="str">
        <f aca="false">IF(OR(N(C357)=0,N(F357)=0),"",C357*F357)</f>
        <v/>
      </c>
      <c r="I357" s="4"/>
      <c r="J357" s="11" t="str">
        <f aca="false">IF(K357="","",IF(N(C357)&lt;=0,"Informe a quantidade",IF(IFERROR(INDEX(INVENTÁRIO!$B$2:$B$801,MATCH(K357,INVENTÁRIO!$A$2:$A$801,0)),"")="(sem nome)","Carta fora dos decks: digite o nome na coluna I (opcional)","")))</f>
        <v/>
      </c>
      <c r="K357" s="11" t="str">
        <f aca="false">UPPER(TRIM(SUBSTITUTE(B357&amp;"",CHAR(160)," ")))</f>
        <v/>
      </c>
      <c r="L357" s="11" t="str">
        <f aca="false">IF(AND(K357&lt;&gt;"",TRIM(I357&amp;"")&lt;&gt;""),K357,"")</f>
        <v/>
      </c>
    </row>
    <row r="358" customFormat="false" ht="15" hidden="false" customHeight="false" outlineLevel="0" collapsed="false">
      <c r="A358" s="9"/>
      <c r="B358" s="4"/>
      <c r="C358" s="10"/>
      <c r="D358" s="11" t="str">
        <f aca="false">IF(K358="","",IFERROR(INDEX(DECKS!$C$2:$C$1201,MATCH(K358,DECKS!$B$2:$B$1201,0)),TRIM(I358&amp;"")))</f>
        <v/>
      </c>
      <c r="E358" s="4"/>
      <c r="F358" s="12"/>
      <c r="G358" s="4"/>
      <c r="H358" s="13" t="str">
        <f aca="false">IF(OR(N(C358)=0,N(F358)=0),"",C358*F358)</f>
        <v/>
      </c>
      <c r="I358" s="4"/>
      <c r="J358" s="11" t="str">
        <f aca="false">IF(K358="","",IF(N(C358)&lt;=0,"Informe a quantidade",IF(IFERROR(INDEX(INVENTÁRIO!$B$2:$B$801,MATCH(K358,INVENTÁRIO!$A$2:$A$801,0)),"")="(sem nome)","Carta fora dos decks: digite o nome na coluna I (opcional)","")))</f>
        <v/>
      </c>
      <c r="K358" s="11" t="str">
        <f aca="false">UPPER(TRIM(SUBSTITUTE(B358&amp;"",CHAR(160)," ")))</f>
        <v/>
      </c>
      <c r="L358" s="11" t="str">
        <f aca="false">IF(AND(K358&lt;&gt;"",TRIM(I358&amp;"")&lt;&gt;""),K358,"")</f>
        <v/>
      </c>
    </row>
    <row r="359" customFormat="false" ht="15" hidden="false" customHeight="false" outlineLevel="0" collapsed="false">
      <c r="A359" s="9"/>
      <c r="B359" s="4"/>
      <c r="C359" s="10"/>
      <c r="D359" s="11" t="str">
        <f aca="false">IF(K359="","",IFERROR(INDEX(DECKS!$C$2:$C$1201,MATCH(K359,DECKS!$B$2:$B$1201,0)),TRIM(I359&amp;"")))</f>
        <v/>
      </c>
      <c r="E359" s="4"/>
      <c r="F359" s="12"/>
      <c r="G359" s="4"/>
      <c r="H359" s="13" t="str">
        <f aca="false">IF(OR(N(C359)=0,N(F359)=0),"",C359*F359)</f>
        <v/>
      </c>
      <c r="I359" s="4"/>
      <c r="J359" s="11" t="str">
        <f aca="false">IF(K359="","",IF(N(C359)&lt;=0,"Informe a quantidade",IF(IFERROR(INDEX(INVENTÁRIO!$B$2:$B$801,MATCH(K359,INVENTÁRIO!$A$2:$A$801,0)),"")="(sem nome)","Carta fora dos decks: digite o nome na coluna I (opcional)","")))</f>
        <v/>
      </c>
      <c r="K359" s="11" t="str">
        <f aca="false">UPPER(TRIM(SUBSTITUTE(B359&amp;"",CHAR(160)," ")))</f>
        <v/>
      </c>
      <c r="L359" s="11" t="str">
        <f aca="false">IF(AND(K359&lt;&gt;"",TRIM(I359&amp;"")&lt;&gt;""),K359,"")</f>
        <v/>
      </c>
    </row>
    <row r="360" customFormat="false" ht="15" hidden="false" customHeight="false" outlineLevel="0" collapsed="false">
      <c r="A360" s="9"/>
      <c r="B360" s="4"/>
      <c r="C360" s="10"/>
      <c r="D360" s="11" t="str">
        <f aca="false">IF(K360="","",IFERROR(INDEX(DECKS!$C$2:$C$1201,MATCH(K360,DECKS!$B$2:$B$1201,0)),TRIM(I360&amp;"")))</f>
        <v/>
      </c>
      <c r="E360" s="4"/>
      <c r="F360" s="12"/>
      <c r="G360" s="4"/>
      <c r="H360" s="13" t="str">
        <f aca="false">IF(OR(N(C360)=0,N(F360)=0),"",C360*F360)</f>
        <v/>
      </c>
      <c r="I360" s="4"/>
      <c r="J360" s="11" t="str">
        <f aca="false">IF(K360="","",IF(N(C360)&lt;=0,"Informe a quantidade",IF(IFERROR(INDEX(INVENTÁRIO!$B$2:$B$801,MATCH(K360,INVENTÁRIO!$A$2:$A$801,0)),"")="(sem nome)","Carta fora dos decks: digite o nome na coluna I (opcional)","")))</f>
        <v/>
      </c>
      <c r="K360" s="11" t="str">
        <f aca="false">UPPER(TRIM(SUBSTITUTE(B360&amp;"",CHAR(160)," ")))</f>
        <v/>
      </c>
      <c r="L360" s="11" t="str">
        <f aca="false">IF(AND(K360&lt;&gt;"",TRIM(I360&amp;"")&lt;&gt;""),K360,"")</f>
        <v/>
      </c>
    </row>
    <row r="361" customFormat="false" ht="15" hidden="false" customHeight="false" outlineLevel="0" collapsed="false">
      <c r="A361" s="9"/>
      <c r="B361" s="4"/>
      <c r="C361" s="10"/>
      <c r="D361" s="11" t="str">
        <f aca="false">IF(K361="","",IFERROR(INDEX(DECKS!$C$2:$C$1201,MATCH(K361,DECKS!$B$2:$B$1201,0)),TRIM(I361&amp;"")))</f>
        <v/>
      </c>
      <c r="E361" s="4"/>
      <c r="F361" s="12"/>
      <c r="G361" s="4"/>
      <c r="H361" s="13" t="str">
        <f aca="false">IF(OR(N(C361)=0,N(F361)=0),"",C361*F361)</f>
        <v/>
      </c>
      <c r="I361" s="4"/>
      <c r="J361" s="11" t="str">
        <f aca="false">IF(K361="","",IF(N(C361)&lt;=0,"Informe a quantidade",IF(IFERROR(INDEX(INVENTÁRIO!$B$2:$B$801,MATCH(K361,INVENTÁRIO!$A$2:$A$801,0)),"")="(sem nome)","Carta fora dos decks: digite o nome na coluna I (opcional)","")))</f>
        <v/>
      </c>
      <c r="K361" s="11" t="str">
        <f aca="false">UPPER(TRIM(SUBSTITUTE(B361&amp;"",CHAR(160)," ")))</f>
        <v/>
      </c>
      <c r="L361" s="11" t="str">
        <f aca="false">IF(AND(K361&lt;&gt;"",TRIM(I361&amp;"")&lt;&gt;""),K361,"")</f>
        <v/>
      </c>
    </row>
    <row r="362" customFormat="false" ht="15" hidden="false" customHeight="false" outlineLevel="0" collapsed="false">
      <c r="A362" s="9"/>
      <c r="B362" s="4"/>
      <c r="C362" s="10"/>
      <c r="D362" s="11" t="str">
        <f aca="false">IF(K362="","",IFERROR(INDEX(DECKS!$C$2:$C$1201,MATCH(K362,DECKS!$B$2:$B$1201,0)),TRIM(I362&amp;"")))</f>
        <v/>
      </c>
      <c r="E362" s="4"/>
      <c r="F362" s="12"/>
      <c r="G362" s="4"/>
      <c r="H362" s="13" t="str">
        <f aca="false">IF(OR(N(C362)=0,N(F362)=0),"",C362*F362)</f>
        <v/>
      </c>
      <c r="I362" s="4"/>
      <c r="J362" s="11" t="str">
        <f aca="false">IF(K362="","",IF(N(C362)&lt;=0,"Informe a quantidade",IF(IFERROR(INDEX(INVENTÁRIO!$B$2:$B$801,MATCH(K362,INVENTÁRIO!$A$2:$A$801,0)),"")="(sem nome)","Carta fora dos decks: digite o nome na coluna I (opcional)","")))</f>
        <v/>
      </c>
      <c r="K362" s="11" t="str">
        <f aca="false">UPPER(TRIM(SUBSTITUTE(B362&amp;"",CHAR(160)," ")))</f>
        <v/>
      </c>
      <c r="L362" s="11" t="str">
        <f aca="false">IF(AND(K362&lt;&gt;"",TRIM(I362&amp;"")&lt;&gt;""),K362,"")</f>
        <v/>
      </c>
    </row>
    <row r="363" customFormat="false" ht="15" hidden="false" customHeight="false" outlineLevel="0" collapsed="false">
      <c r="A363" s="9"/>
      <c r="B363" s="4"/>
      <c r="C363" s="10"/>
      <c r="D363" s="11" t="str">
        <f aca="false">IF(K363="","",IFERROR(INDEX(DECKS!$C$2:$C$1201,MATCH(K363,DECKS!$B$2:$B$1201,0)),TRIM(I363&amp;"")))</f>
        <v/>
      </c>
      <c r="E363" s="4"/>
      <c r="F363" s="12"/>
      <c r="G363" s="4"/>
      <c r="H363" s="13" t="str">
        <f aca="false">IF(OR(N(C363)=0,N(F363)=0),"",C363*F363)</f>
        <v/>
      </c>
      <c r="I363" s="4"/>
      <c r="J363" s="11" t="str">
        <f aca="false">IF(K363="","",IF(N(C363)&lt;=0,"Informe a quantidade",IF(IFERROR(INDEX(INVENTÁRIO!$B$2:$B$801,MATCH(K363,INVENTÁRIO!$A$2:$A$801,0)),"")="(sem nome)","Carta fora dos decks: digite o nome na coluna I (opcional)","")))</f>
        <v/>
      </c>
      <c r="K363" s="11" t="str">
        <f aca="false">UPPER(TRIM(SUBSTITUTE(B363&amp;"",CHAR(160)," ")))</f>
        <v/>
      </c>
      <c r="L363" s="11" t="str">
        <f aca="false">IF(AND(K363&lt;&gt;"",TRIM(I363&amp;"")&lt;&gt;""),K363,"")</f>
        <v/>
      </c>
    </row>
    <row r="364" customFormat="false" ht="15" hidden="false" customHeight="false" outlineLevel="0" collapsed="false">
      <c r="A364" s="9"/>
      <c r="B364" s="4"/>
      <c r="C364" s="10"/>
      <c r="D364" s="11" t="str">
        <f aca="false">IF(K364="","",IFERROR(INDEX(DECKS!$C$2:$C$1201,MATCH(K364,DECKS!$B$2:$B$1201,0)),TRIM(I364&amp;"")))</f>
        <v/>
      </c>
      <c r="E364" s="4"/>
      <c r="F364" s="12"/>
      <c r="G364" s="4"/>
      <c r="H364" s="13" t="str">
        <f aca="false">IF(OR(N(C364)=0,N(F364)=0),"",C364*F364)</f>
        <v/>
      </c>
      <c r="I364" s="4"/>
      <c r="J364" s="11" t="str">
        <f aca="false">IF(K364="","",IF(N(C364)&lt;=0,"Informe a quantidade",IF(IFERROR(INDEX(INVENTÁRIO!$B$2:$B$801,MATCH(K364,INVENTÁRIO!$A$2:$A$801,0)),"")="(sem nome)","Carta fora dos decks: digite o nome na coluna I (opcional)","")))</f>
        <v/>
      </c>
      <c r="K364" s="11" t="str">
        <f aca="false">UPPER(TRIM(SUBSTITUTE(B364&amp;"",CHAR(160)," ")))</f>
        <v/>
      </c>
      <c r="L364" s="11" t="str">
        <f aca="false">IF(AND(K364&lt;&gt;"",TRIM(I364&amp;"")&lt;&gt;""),K364,"")</f>
        <v/>
      </c>
    </row>
    <row r="365" customFormat="false" ht="15" hidden="false" customHeight="false" outlineLevel="0" collapsed="false">
      <c r="A365" s="9"/>
      <c r="B365" s="4"/>
      <c r="C365" s="10"/>
      <c r="D365" s="11" t="str">
        <f aca="false">IF(K365="","",IFERROR(INDEX(DECKS!$C$2:$C$1201,MATCH(K365,DECKS!$B$2:$B$1201,0)),TRIM(I365&amp;"")))</f>
        <v/>
      </c>
      <c r="E365" s="4"/>
      <c r="F365" s="12"/>
      <c r="G365" s="4"/>
      <c r="H365" s="13" t="str">
        <f aca="false">IF(OR(N(C365)=0,N(F365)=0),"",C365*F365)</f>
        <v/>
      </c>
      <c r="I365" s="4"/>
      <c r="J365" s="11" t="str">
        <f aca="false">IF(K365="","",IF(N(C365)&lt;=0,"Informe a quantidade",IF(IFERROR(INDEX(INVENTÁRIO!$B$2:$B$801,MATCH(K365,INVENTÁRIO!$A$2:$A$801,0)),"")="(sem nome)","Carta fora dos decks: digite o nome na coluna I (opcional)","")))</f>
        <v/>
      </c>
      <c r="K365" s="11" t="str">
        <f aca="false">UPPER(TRIM(SUBSTITUTE(B365&amp;"",CHAR(160)," ")))</f>
        <v/>
      </c>
      <c r="L365" s="11" t="str">
        <f aca="false">IF(AND(K365&lt;&gt;"",TRIM(I365&amp;"")&lt;&gt;""),K365,"")</f>
        <v/>
      </c>
    </row>
    <row r="366" customFormat="false" ht="15" hidden="false" customHeight="false" outlineLevel="0" collapsed="false">
      <c r="A366" s="9"/>
      <c r="B366" s="4"/>
      <c r="C366" s="10"/>
      <c r="D366" s="11" t="str">
        <f aca="false">IF(K366="","",IFERROR(INDEX(DECKS!$C$2:$C$1201,MATCH(K366,DECKS!$B$2:$B$1201,0)),TRIM(I366&amp;"")))</f>
        <v/>
      </c>
      <c r="E366" s="4"/>
      <c r="F366" s="12"/>
      <c r="G366" s="4"/>
      <c r="H366" s="13" t="str">
        <f aca="false">IF(OR(N(C366)=0,N(F366)=0),"",C366*F366)</f>
        <v/>
      </c>
      <c r="I366" s="4"/>
      <c r="J366" s="11" t="str">
        <f aca="false">IF(K366="","",IF(N(C366)&lt;=0,"Informe a quantidade",IF(IFERROR(INDEX(INVENTÁRIO!$B$2:$B$801,MATCH(K366,INVENTÁRIO!$A$2:$A$801,0)),"")="(sem nome)","Carta fora dos decks: digite o nome na coluna I (opcional)","")))</f>
        <v/>
      </c>
      <c r="K366" s="11" t="str">
        <f aca="false">UPPER(TRIM(SUBSTITUTE(B366&amp;"",CHAR(160)," ")))</f>
        <v/>
      </c>
      <c r="L366" s="11" t="str">
        <f aca="false">IF(AND(K366&lt;&gt;"",TRIM(I366&amp;"")&lt;&gt;""),K366,"")</f>
        <v/>
      </c>
    </row>
    <row r="367" customFormat="false" ht="15" hidden="false" customHeight="false" outlineLevel="0" collapsed="false">
      <c r="A367" s="9"/>
      <c r="B367" s="4"/>
      <c r="C367" s="10"/>
      <c r="D367" s="11" t="str">
        <f aca="false">IF(K367="","",IFERROR(INDEX(DECKS!$C$2:$C$1201,MATCH(K367,DECKS!$B$2:$B$1201,0)),TRIM(I367&amp;"")))</f>
        <v/>
      </c>
      <c r="E367" s="4"/>
      <c r="F367" s="12"/>
      <c r="G367" s="4"/>
      <c r="H367" s="13" t="str">
        <f aca="false">IF(OR(N(C367)=0,N(F367)=0),"",C367*F367)</f>
        <v/>
      </c>
      <c r="I367" s="4"/>
      <c r="J367" s="11" t="str">
        <f aca="false">IF(K367="","",IF(N(C367)&lt;=0,"Informe a quantidade",IF(IFERROR(INDEX(INVENTÁRIO!$B$2:$B$801,MATCH(K367,INVENTÁRIO!$A$2:$A$801,0)),"")="(sem nome)","Carta fora dos decks: digite o nome na coluna I (opcional)","")))</f>
        <v/>
      </c>
      <c r="K367" s="11" t="str">
        <f aca="false">UPPER(TRIM(SUBSTITUTE(B367&amp;"",CHAR(160)," ")))</f>
        <v/>
      </c>
      <c r="L367" s="11" t="str">
        <f aca="false">IF(AND(K367&lt;&gt;"",TRIM(I367&amp;"")&lt;&gt;""),K367,"")</f>
        <v/>
      </c>
    </row>
    <row r="368" customFormat="false" ht="15" hidden="false" customHeight="false" outlineLevel="0" collapsed="false">
      <c r="A368" s="9"/>
      <c r="B368" s="4"/>
      <c r="C368" s="10"/>
      <c r="D368" s="11" t="str">
        <f aca="false">IF(K368="","",IFERROR(INDEX(DECKS!$C$2:$C$1201,MATCH(K368,DECKS!$B$2:$B$1201,0)),TRIM(I368&amp;"")))</f>
        <v/>
      </c>
      <c r="E368" s="4"/>
      <c r="F368" s="12"/>
      <c r="G368" s="4"/>
      <c r="H368" s="13" t="str">
        <f aca="false">IF(OR(N(C368)=0,N(F368)=0),"",C368*F368)</f>
        <v/>
      </c>
      <c r="I368" s="4"/>
      <c r="J368" s="11" t="str">
        <f aca="false">IF(K368="","",IF(N(C368)&lt;=0,"Informe a quantidade",IF(IFERROR(INDEX(INVENTÁRIO!$B$2:$B$801,MATCH(K368,INVENTÁRIO!$A$2:$A$801,0)),"")="(sem nome)","Carta fora dos decks: digite o nome na coluna I (opcional)","")))</f>
        <v/>
      </c>
      <c r="K368" s="11" t="str">
        <f aca="false">UPPER(TRIM(SUBSTITUTE(B368&amp;"",CHAR(160)," ")))</f>
        <v/>
      </c>
      <c r="L368" s="11" t="str">
        <f aca="false">IF(AND(K368&lt;&gt;"",TRIM(I368&amp;"")&lt;&gt;""),K368,"")</f>
        <v/>
      </c>
    </row>
    <row r="369" customFormat="false" ht="15" hidden="false" customHeight="false" outlineLevel="0" collapsed="false">
      <c r="A369" s="9"/>
      <c r="B369" s="4"/>
      <c r="C369" s="10"/>
      <c r="D369" s="11" t="str">
        <f aca="false">IF(K369="","",IFERROR(INDEX(DECKS!$C$2:$C$1201,MATCH(K369,DECKS!$B$2:$B$1201,0)),TRIM(I369&amp;"")))</f>
        <v/>
      </c>
      <c r="E369" s="4"/>
      <c r="F369" s="12"/>
      <c r="G369" s="4"/>
      <c r="H369" s="13" t="str">
        <f aca="false">IF(OR(N(C369)=0,N(F369)=0),"",C369*F369)</f>
        <v/>
      </c>
      <c r="I369" s="4"/>
      <c r="J369" s="11" t="str">
        <f aca="false">IF(K369="","",IF(N(C369)&lt;=0,"Informe a quantidade",IF(IFERROR(INDEX(INVENTÁRIO!$B$2:$B$801,MATCH(K369,INVENTÁRIO!$A$2:$A$801,0)),"")="(sem nome)","Carta fora dos decks: digite o nome na coluna I (opcional)","")))</f>
        <v/>
      </c>
      <c r="K369" s="11" t="str">
        <f aca="false">UPPER(TRIM(SUBSTITUTE(B369&amp;"",CHAR(160)," ")))</f>
        <v/>
      </c>
      <c r="L369" s="11" t="str">
        <f aca="false">IF(AND(K369&lt;&gt;"",TRIM(I369&amp;"")&lt;&gt;""),K369,"")</f>
        <v/>
      </c>
    </row>
    <row r="370" customFormat="false" ht="15" hidden="false" customHeight="false" outlineLevel="0" collapsed="false">
      <c r="A370" s="9"/>
      <c r="B370" s="4"/>
      <c r="C370" s="10"/>
      <c r="D370" s="11" t="str">
        <f aca="false">IF(K370="","",IFERROR(INDEX(DECKS!$C$2:$C$1201,MATCH(K370,DECKS!$B$2:$B$1201,0)),TRIM(I370&amp;"")))</f>
        <v/>
      </c>
      <c r="E370" s="4"/>
      <c r="F370" s="12"/>
      <c r="G370" s="4"/>
      <c r="H370" s="13" t="str">
        <f aca="false">IF(OR(N(C370)=0,N(F370)=0),"",C370*F370)</f>
        <v/>
      </c>
      <c r="I370" s="4"/>
      <c r="J370" s="11" t="str">
        <f aca="false">IF(K370="","",IF(N(C370)&lt;=0,"Informe a quantidade",IF(IFERROR(INDEX(INVENTÁRIO!$B$2:$B$801,MATCH(K370,INVENTÁRIO!$A$2:$A$801,0)),"")="(sem nome)","Carta fora dos decks: digite o nome na coluna I (opcional)","")))</f>
        <v/>
      </c>
      <c r="K370" s="11" t="str">
        <f aca="false">UPPER(TRIM(SUBSTITUTE(B370&amp;"",CHAR(160)," ")))</f>
        <v/>
      </c>
      <c r="L370" s="11" t="str">
        <f aca="false">IF(AND(K370&lt;&gt;"",TRIM(I370&amp;"")&lt;&gt;""),K370,"")</f>
        <v/>
      </c>
    </row>
    <row r="371" customFormat="false" ht="15" hidden="false" customHeight="false" outlineLevel="0" collapsed="false">
      <c r="A371" s="9"/>
      <c r="B371" s="4"/>
      <c r="C371" s="10"/>
      <c r="D371" s="11" t="str">
        <f aca="false">IF(K371="","",IFERROR(INDEX(DECKS!$C$2:$C$1201,MATCH(K371,DECKS!$B$2:$B$1201,0)),TRIM(I371&amp;"")))</f>
        <v/>
      </c>
      <c r="E371" s="4"/>
      <c r="F371" s="12"/>
      <c r="G371" s="4"/>
      <c r="H371" s="13" t="str">
        <f aca="false">IF(OR(N(C371)=0,N(F371)=0),"",C371*F371)</f>
        <v/>
      </c>
      <c r="I371" s="4"/>
      <c r="J371" s="11" t="str">
        <f aca="false">IF(K371="","",IF(N(C371)&lt;=0,"Informe a quantidade",IF(IFERROR(INDEX(INVENTÁRIO!$B$2:$B$801,MATCH(K371,INVENTÁRIO!$A$2:$A$801,0)),"")="(sem nome)","Carta fora dos decks: digite o nome na coluna I (opcional)","")))</f>
        <v/>
      </c>
      <c r="K371" s="11" t="str">
        <f aca="false">UPPER(TRIM(SUBSTITUTE(B371&amp;"",CHAR(160)," ")))</f>
        <v/>
      </c>
      <c r="L371" s="11" t="str">
        <f aca="false">IF(AND(K371&lt;&gt;"",TRIM(I371&amp;"")&lt;&gt;""),K371,"")</f>
        <v/>
      </c>
    </row>
    <row r="372" customFormat="false" ht="15" hidden="false" customHeight="false" outlineLevel="0" collapsed="false">
      <c r="A372" s="9"/>
      <c r="B372" s="4"/>
      <c r="C372" s="10"/>
      <c r="D372" s="11" t="str">
        <f aca="false">IF(K372="","",IFERROR(INDEX(DECKS!$C$2:$C$1201,MATCH(K372,DECKS!$B$2:$B$1201,0)),TRIM(I372&amp;"")))</f>
        <v/>
      </c>
      <c r="E372" s="4"/>
      <c r="F372" s="12"/>
      <c r="G372" s="4"/>
      <c r="H372" s="13" t="str">
        <f aca="false">IF(OR(N(C372)=0,N(F372)=0),"",C372*F372)</f>
        <v/>
      </c>
      <c r="I372" s="4"/>
      <c r="J372" s="11" t="str">
        <f aca="false">IF(K372="","",IF(N(C372)&lt;=0,"Informe a quantidade",IF(IFERROR(INDEX(INVENTÁRIO!$B$2:$B$801,MATCH(K372,INVENTÁRIO!$A$2:$A$801,0)),"")="(sem nome)","Carta fora dos decks: digite o nome na coluna I (opcional)","")))</f>
        <v/>
      </c>
      <c r="K372" s="11" t="str">
        <f aca="false">UPPER(TRIM(SUBSTITUTE(B372&amp;"",CHAR(160)," ")))</f>
        <v/>
      </c>
      <c r="L372" s="11" t="str">
        <f aca="false">IF(AND(K372&lt;&gt;"",TRIM(I372&amp;"")&lt;&gt;""),K372,"")</f>
        <v/>
      </c>
    </row>
    <row r="373" customFormat="false" ht="15" hidden="false" customHeight="false" outlineLevel="0" collapsed="false">
      <c r="A373" s="9"/>
      <c r="B373" s="4"/>
      <c r="C373" s="10"/>
      <c r="D373" s="11" t="str">
        <f aca="false">IF(K373="","",IFERROR(INDEX(DECKS!$C$2:$C$1201,MATCH(K373,DECKS!$B$2:$B$1201,0)),TRIM(I373&amp;"")))</f>
        <v/>
      </c>
      <c r="E373" s="4"/>
      <c r="F373" s="12"/>
      <c r="G373" s="4"/>
      <c r="H373" s="13" t="str">
        <f aca="false">IF(OR(N(C373)=0,N(F373)=0),"",C373*F373)</f>
        <v/>
      </c>
      <c r="I373" s="4"/>
      <c r="J373" s="11" t="str">
        <f aca="false">IF(K373="","",IF(N(C373)&lt;=0,"Informe a quantidade",IF(IFERROR(INDEX(INVENTÁRIO!$B$2:$B$801,MATCH(K373,INVENTÁRIO!$A$2:$A$801,0)),"")="(sem nome)","Carta fora dos decks: digite o nome na coluna I (opcional)","")))</f>
        <v/>
      </c>
      <c r="K373" s="11" t="str">
        <f aca="false">UPPER(TRIM(SUBSTITUTE(B373&amp;"",CHAR(160)," ")))</f>
        <v/>
      </c>
      <c r="L373" s="11" t="str">
        <f aca="false">IF(AND(K373&lt;&gt;"",TRIM(I373&amp;"")&lt;&gt;""),K373,"")</f>
        <v/>
      </c>
    </row>
    <row r="374" customFormat="false" ht="15" hidden="false" customHeight="false" outlineLevel="0" collapsed="false">
      <c r="A374" s="9"/>
      <c r="B374" s="4"/>
      <c r="C374" s="10"/>
      <c r="D374" s="11" t="str">
        <f aca="false">IF(K374="","",IFERROR(INDEX(DECKS!$C$2:$C$1201,MATCH(K374,DECKS!$B$2:$B$1201,0)),TRIM(I374&amp;"")))</f>
        <v/>
      </c>
      <c r="E374" s="4"/>
      <c r="F374" s="12"/>
      <c r="G374" s="4"/>
      <c r="H374" s="13" t="str">
        <f aca="false">IF(OR(N(C374)=0,N(F374)=0),"",C374*F374)</f>
        <v/>
      </c>
      <c r="I374" s="4"/>
      <c r="J374" s="11" t="str">
        <f aca="false">IF(K374="","",IF(N(C374)&lt;=0,"Informe a quantidade",IF(IFERROR(INDEX(INVENTÁRIO!$B$2:$B$801,MATCH(K374,INVENTÁRIO!$A$2:$A$801,0)),"")="(sem nome)","Carta fora dos decks: digite o nome na coluna I (opcional)","")))</f>
        <v/>
      </c>
      <c r="K374" s="11" t="str">
        <f aca="false">UPPER(TRIM(SUBSTITUTE(B374&amp;"",CHAR(160)," ")))</f>
        <v/>
      </c>
      <c r="L374" s="11" t="str">
        <f aca="false">IF(AND(K374&lt;&gt;"",TRIM(I374&amp;"")&lt;&gt;""),K374,"")</f>
        <v/>
      </c>
    </row>
    <row r="375" customFormat="false" ht="15" hidden="false" customHeight="false" outlineLevel="0" collapsed="false">
      <c r="A375" s="9"/>
      <c r="B375" s="4"/>
      <c r="C375" s="10"/>
      <c r="D375" s="11" t="str">
        <f aca="false">IF(K375="","",IFERROR(INDEX(DECKS!$C$2:$C$1201,MATCH(K375,DECKS!$B$2:$B$1201,0)),TRIM(I375&amp;"")))</f>
        <v/>
      </c>
      <c r="E375" s="4"/>
      <c r="F375" s="12"/>
      <c r="G375" s="4"/>
      <c r="H375" s="13" t="str">
        <f aca="false">IF(OR(N(C375)=0,N(F375)=0),"",C375*F375)</f>
        <v/>
      </c>
      <c r="I375" s="4"/>
      <c r="J375" s="11" t="str">
        <f aca="false">IF(K375="","",IF(N(C375)&lt;=0,"Informe a quantidade",IF(IFERROR(INDEX(INVENTÁRIO!$B$2:$B$801,MATCH(K375,INVENTÁRIO!$A$2:$A$801,0)),"")="(sem nome)","Carta fora dos decks: digite o nome na coluna I (opcional)","")))</f>
        <v/>
      </c>
      <c r="K375" s="11" t="str">
        <f aca="false">UPPER(TRIM(SUBSTITUTE(B375&amp;"",CHAR(160)," ")))</f>
        <v/>
      </c>
      <c r="L375" s="11" t="str">
        <f aca="false">IF(AND(K375&lt;&gt;"",TRIM(I375&amp;"")&lt;&gt;""),K375,"")</f>
        <v/>
      </c>
    </row>
    <row r="376" customFormat="false" ht="15" hidden="false" customHeight="false" outlineLevel="0" collapsed="false">
      <c r="A376" s="9"/>
      <c r="B376" s="4"/>
      <c r="C376" s="10"/>
      <c r="D376" s="11" t="str">
        <f aca="false">IF(K376="","",IFERROR(INDEX(DECKS!$C$2:$C$1201,MATCH(K376,DECKS!$B$2:$B$1201,0)),TRIM(I376&amp;"")))</f>
        <v/>
      </c>
      <c r="E376" s="4"/>
      <c r="F376" s="12"/>
      <c r="G376" s="4"/>
      <c r="H376" s="13" t="str">
        <f aca="false">IF(OR(N(C376)=0,N(F376)=0),"",C376*F376)</f>
        <v/>
      </c>
      <c r="I376" s="4"/>
      <c r="J376" s="11" t="str">
        <f aca="false">IF(K376="","",IF(N(C376)&lt;=0,"Informe a quantidade",IF(IFERROR(INDEX(INVENTÁRIO!$B$2:$B$801,MATCH(K376,INVENTÁRIO!$A$2:$A$801,0)),"")="(sem nome)","Carta fora dos decks: digite o nome na coluna I (opcional)","")))</f>
        <v/>
      </c>
      <c r="K376" s="11" t="str">
        <f aca="false">UPPER(TRIM(SUBSTITUTE(B376&amp;"",CHAR(160)," ")))</f>
        <v/>
      </c>
      <c r="L376" s="11" t="str">
        <f aca="false">IF(AND(K376&lt;&gt;"",TRIM(I376&amp;"")&lt;&gt;""),K376,"")</f>
        <v/>
      </c>
    </row>
    <row r="377" customFormat="false" ht="15" hidden="false" customHeight="false" outlineLevel="0" collapsed="false">
      <c r="A377" s="9"/>
      <c r="B377" s="4"/>
      <c r="C377" s="10"/>
      <c r="D377" s="11" t="str">
        <f aca="false">IF(K377="","",IFERROR(INDEX(DECKS!$C$2:$C$1201,MATCH(K377,DECKS!$B$2:$B$1201,0)),TRIM(I377&amp;"")))</f>
        <v/>
      </c>
      <c r="E377" s="4"/>
      <c r="F377" s="12"/>
      <c r="G377" s="4"/>
      <c r="H377" s="13" t="str">
        <f aca="false">IF(OR(N(C377)=0,N(F377)=0),"",C377*F377)</f>
        <v/>
      </c>
      <c r="I377" s="4"/>
      <c r="J377" s="11" t="str">
        <f aca="false">IF(K377="","",IF(N(C377)&lt;=0,"Informe a quantidade",IF(IFERROR(INDEX(INVENTÁRIO!$B$2:$B$801,MATCH(K377,INVENTÁRIO!$A$2:$A$801,0)),"")="(sem nome)","Carta fora dos decks: digite o nome na coluna I (opcional)","")))</f>
        <v/>
      </c>
      <c r="K377" s="11" t="str">
        <f aca="false">UPPER(TRIM(SUBSTITUTE(B377&amp;"",CHAR(160)," ")))</f>
        <v/>
      </c>
      <c r="L377" s="11" t="str">
        <f aca="false">IF(AND(K377&lt;&gt;"",TRIM(I377&amp;"")&lt;&gt;""),K377,"")</f>
        <v/>
      </c>
    </row>
    <row r="378" customFormat="false" ht="15" hidden="false" customHeight="false" outlineLevel="0" collapsed="false">
      <c r="A378" s="9"/>
      <c r="B378" s="4"/>
      <c r="C378" s="10"/>
      <c r="D378" s="11" t="str">
        <f aca="false">IF(K378="","",IFERROR(INDEX(DECKS!$C$2:$C$1201,MATCH(K378,DECKS!$B$2:$B$1201,0)),TRIM(I378&amp;"")))</f>
        <v/>
      </c>
      <c r="E378" s="4"/>
      <c r="F378" s="12"/>
      <c r="G378" s="4"/>
      <c r="H378" s="13" t="str">
        <f aca="false">IF(OR(N(C378)=0,N(F378)=0),"",C378*F378)</f>
        <v/>
      </c>
      <c r="I378" s="4"/>
      <c r="J378" s="11" t="str">
        <f aca="false">IF(K378="","",IF(N(C378)&lt;=0,"Informe a quantidade",IF(IFERROR(INDEX(INVENTÁRIO!$B$2:$B$801,MATCH(K378,INVENTÁRIO!$A$2:$A$801,0)),"")="(sem nome)","Carta fora dos decks: digite o nome na coluna I (opcional)","")))</f>
        <v/>
      </c>
      <c r="K378" s="11" t="str">
        <f aca="false">UPPER(TRIM(SUBSTITUTE(B378&amp;"",CHAR(160)," ")))</f>
        <v/>
      </c>
      <c r="L378" s="11" t="str">
        <f aca="false">IF(AND(K378&lt;&gt;"",TRIM(I378&amp;"")&lt;&gt;""),K378,"")</f>
        <v/>
      </c>
    </row>
    <row r="379" customFormat="false" ht="15" hidden="false" customHeight="false" outlineLevel="0" collapsed="false">
      <c r="A379" s="9"/>
      <c r="B379" s="4"/>
      <c r="C379" s="10"/>
      <c r="D379" s="11" t="str">
        <f aca="false">IF(K379="","",IFERROR(INDEX(DECKS!$C$2:$C$1201,MATCH(K379,DECKS!$B$2:$B$1201,0)),TRIM(I379&amp;"")))</f>
        <v/>
      </c>
      <c r="E379" s="4"/>
      <c r="F379" s="12"/>
      <c r="G379" s="4"/>
      <c r="H379" s="13" t="str">
        <f aca="false">IF(OR(N(C379)=0,N(F379)=0),"",C379*F379)</f>
        <v/>
      </c>
      <c r="I379" s="4"/>
      <c r="J379" s="11" t="str">
        <f aca="false">IF(K379="","",IF(N(C379)&lt;=0,"Informe a quantidade",IF(IFERROR(INDEX(INVENTÁRIO!$B$2:$B$801,MATCH(K379,INVENTÁRIO!$A$2:$A$801,0)),"")="(sem nome)","Carta fora dos decks: digite o nome na coluna I (opcional)","")))</f>
        <v/>
      </c>
      <c r="K379" s="11" t="str">
        <f aca="false">UPPER(TRIM(SUBSTITUTE(B379&amp;"",CHAR(160)," ")))</f>
        <v/>
      </c>
      <c r="L379" s="11" t="str">
        <f aca="false">IF(AND(K379&lt;&gt;"",TRIM(I379&amp;"")&lt;&gt;""),K379,"")</f>
        <v/>
      </c>
    </row>
    <row r="380" customFormat="false" ht="15" hidden="false" customHeight="false" outlineLevel="0" collapsed="false">
      <c r="A380" s="9"/>
      <c r="B380" s="4"/>
      <c r="C380" s="10"/>
      <c r="D380" s="11" t="str">
        <f aca="false">IF(K380="","",IFERROR(INDEX(DECKS!$C$2:$C$1201,MATCH(K380,DECKS!$B$2:$B$1201,0)),TRIM(I380&amp;"")))</f>
        <v/>
      </c>
      <c r="E380" s="4"/>
      <c r="F380" s="12"/>
      <c r="G380" s="4"/>
      <c r="H380" s="13" t="str">
        <f aca="false">IF(OR(N(C380)=0,N(F380)=0),"",C380*F380)</f>
        <v/>
      </c>
      <c r="I380" s="4"/>
      <c r="J380" s="11" t="str">
        <f aca="false">IF(K380="","",IF(N(C380)&lt;=0,"Informe a quantidade",IF(IFERROR(INDEX(INVENTÁRIO!$B$2:$B$801,MATCH(K380,INVENTÁRIO!$A$2:$A$801,0)),"")="(sem nome)","Carta fora dos decks: digite o nome na coluna I (opcional)","")))</f>
        <v/>
      </c>
      <c r="K380" s="11" t="str">
        <f aca="false">UPPER(TRIM(SUBSTITUTE(B380&amp;"",CHAR(160)," ")))</f>
        <v/>
      </c>
      <c r="L380" s="11" t="str">
        <f aca="false">IF(AND(K380&lt;&gt;"",TRIM(I380&amp;"")&lt;&gt;""),K380,"")</f>
        <v/>
      </c>
    </row>
    <row r="381" customFormat="false" ht="15" hidden="false" customHeight="false" outlineLevel="0" collapsed="false">
      <c r="A381" s="9"/>
      <c r="B381" s="4"/>
      <c r="C381" s="10"/>
      <c r="D381" s="11" t="str">
        <f aca="false">IF(K381="","",IFERROR(INDEX(DECKS!$C$2:$C$1201,MATCH(K381,DECKS!$B$2:$B$1201,0)),TRIM(I381&amp;"")))</f>
        <v/>
      </c>
      <c r="E381" s="4"/>
      <c r="F381" s="12"/>
      <c r="G381" s="4"/>
      <c r="H381" s="13" t="str">
        <f aca="false">IF(OR(N(C381)=0,N(F381)=0),"",C381*F381)</f>
        <v/>
      </c>
      <c r="I381" s="4"/>
      <c r="J381" s="11" t="str">
        <f aca="false">IF(K381="","",IF(N(C381)&lt;=0,"Informe a quantidade",IF(IFERROR(INDEX(INVENTÁRIO!$B$2:$B$801,MATCH(K381,INVENTÁRIO!$A$2:$A$801,0)),"")="(sem nome)","Carta fora dos decks: digite o nome na coluna I (opcional)","")))</f>
        <v/>
      </c>
      <c r="K381" s="11" t="str">
        <f aca="false">UPPER(TRIM(SUBSTITUTE(B381&amp;"",CHAR(160)," ")))</f>
        <v/>
      </c>
      <c r="L381" s="11" t="str">
        <f aca="false">IF(AND(K381&lt;&gt;"",TRIM(I381&amp;"")&lt;&gt;""),K381,"")</f>
        <v/>
      </c>
    </row>
    <row r="382" customFormat="false" ht="15" hidden="false" customHeight="false" outlineLevel="0" collapsed="false">
      <c r="A382" s="9"/>
      <c r="B382" s="4"/>
      <c r="C382" s="10"/>
      <c r="D382" s="11" t="str">
        <f aca="false">IF(K382="","",IFERROR(INDEX(DECKS!$C$2:$C$1201,MATCH(K382,DECKS!$B$2:$B$1201,0)),TRIM(I382&amp;"")))</f>
        <v/>
      </c>
      <c r="E382" s="4"/>
      <c r="F382" s="12"/>
      <c r="G382" s="4"/>
      <c r="H382" s="13" t="str">
        <f aca="false">IF(OR(N(C382)=0,N(F382)=0),"",C382*F382)</f>
        <v/>
      </c>
      <c r="I382" s="4"/>
      <c r="J382" s="11" t="str">
        <f aca="false">IF(K382="","",IF(N(C382)&lt;=0,"Informe a quantidade",IF(IFERROR(INDEX(INVENTÁRIO!$B$2:$B$801,MATCH(K382,INVENTÁRIO!$A$2:$A$801,0)),"")="(sem nome)","Carta fora dos decks: digite o nome na coluna I (opcional)","")))</f>
        <v/>
      </c>
      <c r="K382" s="11" t="str">
        <f aca="false">UPPER(TRIM(SUBSTITUTE(B382&amp;"",CHAR(160)," ")))</f>
        <v/>
      </c>
      <c r="L382" s="11" t="str">
        <f aca="false">IF(AND(K382&lt;&gt;"",TRIM(I382&amp;"")&lt;&gt;""),K382,"")</f>
        <v/>
      </c>
    </row>
    <row r="383" customFormat="false" ht="15" hidden="false" customHeight="false" outlineLevel="0" collapsed="false">
      <c r="A383" s="9"/>
      <c r="B383" s="4"/>
      <c r="C383" s="10"/>
      <c r="D383" s="11" t="str">
        <f aca="false">IF(K383="","",IFERROR(INDEX(DECKS!$C$2:$C$1201,MATCH(K383,DECKS!$B$2:$B$1201,0)),TRIM(I383&amp;"")))</f>
        <v/>
      </c>
      <c r="E383" s="4"/>
      <c r="F383" s="12"/>
      <c r="G383" s="4"/>
      <c r="H383" s="13" t="str">
        <f aca="false">IF(OR(N(C383)=0,N(F383)=0),"",C383*F383)</f>
        <v/>
      </c>
      <c r="I383" s="4"/>
      <c r="J383" s="11" t="str">
        <f aca="false">IF(K383="","",IF(N(C383)&lt;=0,"Informe a quantidade",IF(IFERROR(INDEX(INVENTÁRIO!$B$2:$B$801,MATCH(K383,INVENTÁRIO!$A$2:$A$801,0)),"")="(sem nome)","Carta fora dos decks: digite o nome na coluna I (opcional)","")))</f>
        <v/>
      </c>
      <c r="K383" s="11" t="str">
        <f aca="false">UPPER(TRIM(SUBSTITUTE(B383&amp;"",CHAR(160)," ")))</f>
        <v/>
      </c>
      <c r="L383" s="11" t="str">
        <f aca="false">IF(AND(K383&lt;&gt;"",TRIM(I383&amp;"")&lt;&gt;""),K383,"")</f>
        <v/>
      </c>
    </row>
    <row r="384" customFormat="false" ht="15" hidden="false" customHeight="false" outlineLevel="0" collapsed="false">
      <c r="A384" s="9"/>
      <c r="B384" s="4"/>
      <c r="C384" s="10"/>
      <c r="D384" s="11" t="str">
        <f aca="false">IF(K384="","",IFERROR(INDEX(DECKS!$C$2:$C$1201,MATCH(K384,DECKS!$B$2:$B$1201,0)),TRIM(I384&amp;"")))</f>
        <v/>
      </c>
      <c r="E384" s="4"/>
      <c r="F384" s="12"/>
      <c r="G384" s="4"/>
      <c r="H384" s="13" t="str">
        <f aca="false">IF(OR(N(C384)=0,N(F384)=0),"",C384*F384)</f>
        <v/>
      </c>
      <c r="I384" s="4"/>
      <c r="J384" s="11" t="str">
        <f aca="false">IF(K384="","",IF(N(C384)&lt;=0,"Informe a quantidade",IF(IFERROR(INDEX(INVENTÁRIO!$B$2:$B$801,MATCH(K384,INVENTÁRIO!$A$2:$A$801,0)),"")="(sem nome)","Carta fora dos decks: digite o nome na coluna I (opcional)","")))</f>
        <v/>
      </c>
      <c r="K384" s="11" t="str">
        <f aca="false">UPPER(TRIM(SUBSTITUTE(B384&amp;"",CHAR(160)," ")))</f>
        <v/>
      </c>
      <c r="L384" s="11" t="str">
        <f aca="false">IF(AND(K384&lt;&gt;"",TRIM(I384&amp;"")&lt;&gt;""),K384,"")</f>
        <v/>
      </c>
    </row>
    <row r="385" customFormat="false" ht="15" hidden="false" customHeight="false" outlineLevel="0" collapsed="false">
      <c r="A385" s="9"/>
      <c r="B385" s="4"/>
      <c r="C385" s="10"/>
      <c r="D385" s="11" t="str">
        <f aca="false">IF(K385="","",IFERROR(INDEX(DECKS!$C$2:$C$1201,MATCH(K385,DECKS!$B$2:$B$1201,0)),TRIM(I385&amp;"")))</f>
        <v/>
      </c>
      <c r="E385" s="4"/>
      <c r="F385" s="12"/>
      <c r="G385" s="4"/>
      <c r="H385" s="13" t="str">
        <f aca="false">IF(OR(N(C385)=0,N(F385)=0),"",C385*F385)</f>
        <v/>
      </c>
      <c r="I385" s="4"/>
      <c r="J385" s="11" t="str">
        <f aca="false">IF(K385="","",IF(N(C385)&lt;=0,"Informe a quantidade",IF(IFERROR(INDEX(INVENTÁRIO!$B$2:$B$801,MATCH(K385,INVENTÁRIO!$A$2:$A$801,0)),"")="(sem nome)","Carta fora dos decks: digite o nome na coluna I (opcional)","")))</f>
        <v/>
      </c>
      <c r="K385" s="11" t="str">
        <f aca="false">UPPER(TRIM(SUBSTITUTE(B385&amp;"",CHAR(160)," ")))</f>
        <v/>
      </c>
      <c r="L385" s="11" t="str">
        <f aca="false">IF(AND(K385&lt;&gt;"",TRIM(I385&amp;"")&lt;&gt;""),K385,"")</f>
        <v/>
      </c>
    </row>
    <row r="386" customFormat="false" ht="15" hidden="false" customHeight="false" outlineLevel="0" collapsed="false">
      <c r="A386" s="9"/>
      <c r="B386" s="4"/>
      <c r="C386" s="10"/>
      <c r="D386" s="11" t="str">
        <f aca="false">IF(K386="","",IFERROR(INDEX(DECKS!$C$2:$C$1201,MATCH(K386,DECKS!$B$2:$B$1201,0)),TRIM(I386&amp;"")))</f>
        <v/>
      </c>
      <c r="E386" s="4"/>
      <c r="F386" s="12"/>
      <c r="G386" s="4"/>
      <c r="H386" s="13" t="str">
        <f aca="false">IF(OR(N(C386)=0,N(F386)=0),"",C386*F386)</f>
        <v/>
      </c>
      <c r="I386" s="4"/>
      <c r="J386" s="11" t="str">
        <f aca="false">IF(K386="","",IF(N(C386)&lt;=0,"Informe a quantidade",IF(IFERROR(INDEX(INVENTÁRIO!$B$2:$B$801,MATCH(K386,INVENTÁRIO!$A$2:$A$801,0)),"")="(sem nome)","Carta fora dos decks: digite o nome na coluna I (opcional)","")))</f>
        <v/>
      </c>
      <c r="K386" s="11" t="str">
        <f aca="false">UPPER(TRIM(SUBSTITUTE(B386&amp;"",CHAR(160)," ")))</f>
        <v/>
      </c>
      <c r="L386" s="11" t="str">
        <f aca="false">IF(AND(K386&lt;&gt;"",TRIM(I386&amp;"")&lt;&gt;""),K386,"")</f>
        <v/>
      </c>
    </row>
    <row r="387" customFormat="false" ht="15" hidden="false" customHeight="false" outlineLevel="0" collapsed="false">
      <c r="A387" s="9"/>
      <c r="B387" s="4"/>
      <c r="C387" s="10"/>
      <c r="D387" s="11" t="str">
        <f aca="false">IF(K387="","",IFERROR(INDEX(DECKS!$C$2:$C$1201,MATCH(K387,DECKS!$B$2:$B$1201,0)),TRIM(I387&amp;"")))</f>
        <v/>
      </c>
      <c r="E387" s="4"/>
      <c r="F387" s="12"/>
      <c r="G387" s="4"/>
      <c r="H387" s="13" t="str">
        <f aca="false">IF(OR(N(C387)=0,N(F387)=0),"",C387*F387)</f>
        <v/>
      </c>
      <c r="I387" s="4"/>
      <c r="J387" s="11" t="str">
        <f aca="false">IF(K387="","",IF(N(C387)&lt;=0,"Informe a quantidade",IF(IFERROR(INDEX(INVENTÁRIO!$B$2:$B$801,MATCH(K387,INVENTÁRIO!$A$2:$A$801,0)),"")="(sem nome)","Carta fora dos decks: digite o nome na coluna I (opcional)","")))</f>
        <v/>
      </c>
      <c r="K387" s="11" t="str">
        <f aca="false">UPPER(TRIM(SUBSTITUTE(B387&amp;"",CHAR(160)," ")))</f>
        <v/>
      </c>
      <c r="L387" s="11" t="str">
        <f aca="false">IF(AND(K387&lt;&gt;"",TRIM(I387&amp;"")&lt;&gt;""),K387,"")</f>
        <v/>
      </c>
    </row>
    <row r="388" customFormat="false" ht="15" hidden="false" customHeight="false" outlineLevel="0" collapsed="false">
      <c r="A388" s="9"/>
      <c r="B388" s="4"/>
      <c r="C388" s="10"/>
      <c r="D388" s="11" t="str">
        <f aca="false">IF(K388="","",IFERROR(INDEX(DECKS!$C$2:$C$1201,MATCH(K388,DECKS!$B$2:$B$1201,0)),TRIM(I388&amp;"")))</f>
        <v/>
      </c>
      <c r="E388" s="4"/>
      <c r="F388" s="12"/>
      <c r="G388" s="4"/>
      <c r="H388" s="13" t="str">
        <f aca="false">IF(OR(N(C388)=0,N(F388)=0),"",C388*F388)</f>
        <v/>
      </c>
      <c r="I388" s="4"/>
      <c r="J388" s="11" t="str">
        <f aca="false">IF(K388="","",IF(N(C388)&lt;=0,"Informe a quantidade",IF(IFERROR(INDEX(INVENTÁRIO!$B$2:$B$801,MATCH(K388,INVENTÁRIO!$A$2:$A$801,0)),"")="(sem nome)","Carta fora dos decks: digite o nome na coluna I (opcional)","")))</f>
        <v/>
      </c>
      <c r="K388" s="11" t="str">
        <f aca="false">UPPER(TRIM(SUBSTITUTE(B388&amp;"",CHAR(160)," ")))</f>
        <v/>
      </c>
      <c r="L388" s="11" t="str">
        <f aca="false">IF(AND(K388&lt;&gt;"",TRIM(I388&amp;"")&lt;&gt;""),K388,"")</f>
        <v/>
      </c>
    </row>
    <row r="389" customFormat="false" ht="15" hidden="false" customHeight="false" outlineLevel="0" collapsed="false">
      <c r="A389" s="9"/>
      <c r="B389" s="4"/>
      <c r="C389" s="10"/>
      <c r="D389" s="11" t="str">
        <f aca="false">IF(K389="","",IFERROR(INDEX(DECKS!$C$2:$C$1201,MATCH(K389,DECKS!$B$2:$B$1201,0)),TRIM(I389&amp;"")))</f>
        <v/>
      </c>
      <c r="E389" s="4"/>
      <c r="F389" s="12"/>
      <c r="G389" s="4"/>
      <c r="H389" s="13" t="str">
        <f aca="false">IF(OR(N(C389)=0,N(F389)=0),"",C389*F389)</f>
        <v/>
      </c>
      <c r="I389" s="4"/>
      <c r="J389" s="11" t="str">
        <f aca="false">IF(K389="","",IF(N(C389)&lt;=0,"Informe a quantidade",IF(IFERROR(INDEX(INVENTÁRIO!$B$2:$B$801,MATCH(K389,INVENTÁRIO!$A$2:$A$801,0)),"")="(sem nome)","Carta fora dos decks: digite o nome na coluna I (opcional)","")))</f>
        <v/>
      </c>
      <c r="K389" s="11" t="str">
        <f aca="false">UPPER(TRIM(SUBSTITUTE(B389&amp;"",CHAR(160)," ")))</f>
        <v/>
      </c>
      <c r="L389" s="11" t="str">
        <f aca="false">IF(AND(K389&lt;&gt;"",TRIM(I389&amp;"")&lt;&gt;""),K389,"")</f>
        <v/>
      </c>
    </row>
    <row r="390" customFormat="false" ht="15" hidden="false" customHeight="false" outlineLevel="0" collapsed="false">
      <c r="A390" s="9"/>
      <c r="B390" s="4"/>
      <c r="C390" s="10"/>
      <c r="D390" s="11" t="str">
        <f aca="false">IF(K390="","",IFERROR(INDEX(DECKS!$C$2:$C$1201,MATCH(K390,DECKS!$B$2:$B$1201,0)),TRIM(I390&amp;"")))</f>
        <v/>
      </c>
      <c r="E390" s="4"/>
      <c r="F390" s="12"/>
      <c r="G390" s="4"/>
      <c r="H390" s="13" t="str">
        <f aca="false">IF(OR(N(C390)=0,N(F390)=0),"",C390*F390)</f>
        <v/>
      </c>
      <c r="I390" s="4"/>
      <c r="J390" s="11" t="str">
        <f aca="false">IF(K390="","",IF(N(C390)&lt;=0,"Informe a quantidade",IF(IFERROR(INDEX(INVENTÁRIO!$B$2:$B$801,MATCH(K390,INVENTÁRIO!$A$2:$A$801,0)),"")="(sem nome)","Carta fora dos decks: digite o nome na coluna I (opcional)","")))</f>
        <v/>
      </c>
      <c r="K390" s="11" t="str">
        <f aca="false">UPPER(TRIM(SUBSTITUTE(B390&amp;"",CHAR(160)," ")))</f>
        <v/>
      </c>
      <c r="L390" s="11" t="str">
        <f aca="false">IF(AND(K390&lt;&gt;"",TRIM(I390&amp;"")&lt;&gt;""),K390,"")</f>
        <v/>
      </c>
    </row>
    <row r="391" customFormat="false" ht="15" hidden="false" customHeight="false" outlineLevel="0" collapsed="false">
      <c r="A391" s="9"/>
      <c r="B391" s="4"/>
      <c r="C391" s="10"/>
      <c r="D391" s="11" t="str">
        <f aca="false">IF(K391="","",IFERROR(INDEX(DECKS!$C$2:$C$1201,MATCH(K391,DECKS!$B$2:$B$1201,0)),TRIM(I391&amp;"")))</f>
        <v/>
      </c>
      <c r="E391" s="4"/>
      <c r="F391" s="12"/>
      <c r="G391" s="4"/>
      <c r="H391" s="13" t="str">
        <f aca="false">IF(OR(N(C391)=0,N(F391)=0),"",C391*F391)</f>
        <v/>
      </c>
      <c r="I391" s="4"/>
      <c r="J391" s="11" t="str">
        <f aca="false">IF(K391="","",IF(N(C391)&lt;=0,"Informe a quantidade",IF(IFERROR(INDEX(INVENTÁRIO!$B$2:$B$801,MATCH(K391,INVENTÁRIO!$A$2:$A$801,0)),"")="(sem nome)","Carta fora dos decks: digite o nome na coluna I (opcional)","")))</f>
        <v/>
      </c>
      <c r="K391" s="11" t="str">
        <f aca="false">UPPER(TRIM(SUBSTITUTE(B391&amp;"",CHAR(160)," ")))</f>
        <v/>
      </c>
      <c r="L391" s="11" t="str">
        <f aca="false">IF(AND(K391&lt;&gt;"",TRIM(I391&amp;"")&lt;&gt;""),K391,"")</f>
        <v/>
      </c>
    </row>
    <row r="392" customFormat="false" ht="15" hidden="false" customHeight="false" outlineLevel="0" collapsed="false">
      <c r="A392" s="9"/>
      <c r="B392" s="4"/>
      <c r="C392" s="10"/>
      <c r="D392" s="11" t="str">
        <f aca="false">IF(K392="","",IFERROR(INDEX(DECKS!$C$2:$C$1201,MATCH(K392,DECKS!$B$2:$B$1201,0)),TRIM(I392&amp;"")))</f>
        <v/>
      </c>
      <c r="E392" s="4"/>
      <c r="F392" s="12"/>
      <c r="G392" s="4"/>
      <c r="H392" s="13" t="str">
        <f aca="false">IF(OR(N(C392)=0,N(F392)=0),"",C392*F392)</f>
        <v/>
      </c>
      <c r="I392" s="4"/>
      <c r="J392" s="11" t="str">
        <f aca="false">IF(K392="","",IF(N(C392)&lt;=0,"Informe a quantidade",IF(IFERROR(INDEX(INVENTÁRIO!$B$2:$B$801,MATCH(K392,INVENTÁRIO!$A$2:$A$801,0)),"")="(sem nome)","Carta fora dos decks: digite o nome na coluna I (opcional)","")))</f>
        <v/>
      </c>
      <c r="K392" s="11" t="str">
        <f aca="false">UPPER(TRIM(SUBSTITUTE(B392&amp;"",CHAR(160)," ")))</f>
        <v/>
      </c>
      <c r="L392" s="11" t="str">
        <f aca="false">IF(AND(K392&lt;&gt;"",TRIM(I392&amp;"")&lt;&gt;""),K392,"")</f>
        <v/>
      </c>
    </row>
    <row r="393" customFormat="false" ht="15" hidden="false" customHeight="false" outlineLevel="0" collapsed="false">
      <c r="A393" s="9"/>
      <c r="B393" s="4"/>
      <c r="C393" s="10"/>
      <c r="D393" s="11" t="str">
        <f aca="false">IF(K393="","",IFERROR(INDEX(DECKS!$C$2:$C$1201,MATCH(K393,DECKS!$B$2:$B$1201,0)),TRIM(I393&amp;"")))</f>
        <v/>
      </c>
      <c r="E393" s="4"/>
      <c r="F393" s="12"/>
      <c r="G393" s="4"/>
      <c r="H393" s="13" t="str">
        <f aca="false">IF(OR(N(C393)=0,N(F393)=0),"",C393*F393)</f>
        <v/>
      </c>
      <c r="I393" s="4"/>
      <c r="J393" s="11" t="str">
        <f aca="false">IF(K393="","",IF(N(C393)&lt;=0,"Informe a quantidade",IF(IFERROR(INDEX(INVENTÁRIO!$B$2:$B$801,MATCH(K393,INVENTÁRIO!$A$2:$A$801,0)),"")="(sem nome)","Carta fora dos decks: digite o nome na coluna I (opcional)","")))</f>
        <v/>
      </c>
      <c r="K393" s="11" t="str">
        <f aca="false">UPPER(TRIM(SUBSTITUTE(B393&amp;"",CHAR(160)," ")))</f>
        <v/>
      </c>
      <c r="L393" s="11" t="str">
        <f aca="false">IF(AND(K393&lt;&gt;"",TRIM(I393&amp;"")&lt;&gt;""),K393,"")</f>
        <v/>
      </c>
    </row>
    <row r="394" customFormat="false" ht="15" hidden="false" customHeight="false" outlineLevel="0" collapsed="false">
      <c r="A394" s="9"/>
      <c r="B394" s="4"/>
      <c r="C394" s="10"/>
      <c r="D394" s="11" t="str">
        <f aca="false">IF(K394="","",IFERROR(INDEX(DECKS!$C$2:$C$1201,MATCH(K394,DECKS!$B$2:$B$1201,0)),TRIM(I394&amp;"")))</f>
        <v/>
      </c>
      <c r="E394" s="4"/>
      <c r="F394" s="12"/>
      <c r="G394" s="4"/>
      <c r="H394" s="13" t="str">
        <f aca="false">IF(OR(N(C394)=0,N(F394)=0),"",C394*F394)</f>
        <v/>
      </c>
      <c r="I394" s="4"/>
      <c r="J394" s="11" t="str">
        <f aca="false">IF(K394="","",IF(N(C394)&lt;=0,"Informe a quantidade",IF(IFERROR(INDEX(INVENTÁRIO!$B$2:$B$801,MATCH(K394,INVENTÁRIO!$A$2:$A$801,0)),"")="(sem nome)","Carta fora dos decks: digite o nome na coluna I (opcional)","")))</f>
        <v/>
      </c>
      <c r="K394" s="11" t="str">
        <f aca="false">UPPER(TRIM(SUBSTITUTE(B394&amp;"",CHAR(160)," ")))</f>
        <v/>
      </c>
      <c r="L394" s="11" t="str">
        <f aca="false">IF(AND(K394&lt;&gt;"",TRIM(I394&amp;"")&lt;&gt;""),K394,"")</f>
        <v/>
      </c>
    </row>
    <row r="395" customFormat="false" ht="15" hidden="false" customHeight="false" outlineLevel="0" collapsed="false">
      <c r="A395" s="9"/>
      <c r="B395" s="4"/>
      <c r="C395" s="10"/>
      <c r="D395" s="11" t="str">
        <f aca="false">IF(K395="","",IFERROR(INDEX(DECKS!$C$2:$C$1201,MATCH(K395,DECKS!$B$2:$B$1201,0)),TRIM(I395&amp;"")))</f>
        <v/>
      </c>
      <c r="E395" s="4"/>
      <c r="F395" s="12"/>
      <c r="G395" s="4"/>
      <c r="H395" s="13" t="str">
        <f aca="false">IF(OR(N(C395)=0,N(F395)=0),"",C395*F395)</f>
        <v/>
      </c>
      <c r="I395" s="4"/>
      <c r="J395" s="11" t="str">
        <f aca="false">IF(K395="","",IF(N(C395)&lt;=0,"Informe a quantidade",IF(IFERROR(INDEX(INVENTÁRIO!$B$2:$B$801,MATCH(K395,INVENTÁRIO!$A$2:$A$801,0)),"")="(sem nome)","Carta fora dos decks: digite o nome na coluna I (opcional)","")))</f>
        <v/>
      </c>
      <c r="K395" s="11" t="str">
        <f aca="false">UPPER(TRIM(SUBSTITUTE(B395&amp;"",CHAR(160)," ")))</f>
        <v/>
      </c>
      <c r="L395" s="11" t="str">
        <f aca="false">IF(AND(K395&lt;&gt;"",TRIM(I395&amp;"")&lt;&gt;""),K395,"")</f>
        <v/>
      </c>
    </row>
    <row r="396" customFormat="false" ht="15" hidden="false" customHeight="false" outlineLevel="0" collapsed="false">
      <c r="A396" s="9"/>
      <c r="B396" s="4"/>
      <c r="C396" s="10"/>
      <c r="D396" s="11" t="str">
        <f aca="false">IF(K396="","",IFERROR(INDEX(DECKS!$C$2:$C$1201,MATCH(K396,DECKS!$B$2:$B$1201,0)),TRIM(I396&amp;"")))</f>
        <v/>
      </c>
      <c r="E396" s="4"/>
      <c r="F396" s="12"/>
      <c r="G396" s="4"/>
      <c r="H396" s="13" t="str">
        <f aca="false">IF(OR(N(C396)=0,N(F396)=0),"",C396*F396)</f>
        <v/>
      </c>
      <c r="I396" s="4"/>
      <c r="J396" s="11" t="str">
        <f aca="false">IF(K396="","",IF(N(C396)&lt;=0,"Informe a quantidade",IF(IFERROR(INDEX(INVENTÁRIO!$B$2:$B$801,MATCH(K396,INVENTÁRIO!$A$2:$A$801,0)),"")="(sem nome)","Carta fora dos decks: digite o nome na coluna I (opcional)","")))</f>
        <v/>
      </c>
      <c r="K396" s="11" t="str">
        <f aca="false">UPPER(TRIM(SUBSTITUTE(B396&amp;"",CHAR(160)," ")))</f>
        <v/>
      </c>
      <c r="L396" s="11" t="str">
        <f aca="false">IF(AND(K396&lt;&gt;"",TRIM(I396&amp;"")&lt;&gt;""),K396,"")</f>
        <v/>
      </c>
    </row>
    <row r="397" customFormat="false" ht="15" hidden="false" customHeight="false" outlineLevel="0" collapsed="false">
      <c r="A397" s="9"/>
      <c r="B397" s="4"/>
      <c r="C397" s="10"/>
      <c r="D397" s="11" t="str">
        <f aca="false">IF(K397="","",IFERROR(INDEX(DECKS!$C$2:$C$1201,MATCH(K397,DECKS!$B$2:$B$1201,0)),TRIM(I397&amp;"")))</f>
        <v/>
      </c>
      <c r="E397" s="4"/>
      <c r="F397" s="12"/>
      <c r="G397" s="4"/>
      <c r="H397" s="13" t="str">
        <f aca="false">IF(OR(N(C397)=0,N(F397)=0),"",C397*F397)</f>
        <v/>
      </c>
      <c r="I397" s="4"/>
      <c r="J397" s="11" t="str">
        <f aca="false">IF(K397="","",IF(N(C397)&lt;=0,"Informe a quantidade",IF(IFERROR(INDEX(INVENTÁRIO!$B$2:$B$801,MATCH(K397,INVENTÁRIO!$A$2:$A$801,0)),"")="(sem nome)","Carta fora dos decks: digite o nome na coluna I (opcional)","")))</f>
        <v/>
      </c>
      <c r="K397" s="11" t="str">
        <f aca="false">UPPER(TRIM(SUBSTITUTE(B397&amp;"",CHAR(160)," ")))</f>
        <v/>
      </c>
      <c r="L397" s="11" t="str">
        <f aca="false">IF(AND(K397&lt;&gt;"",TRIM(I397&amp;"")&lt;&gt;""),K397,"")</f>
        <v/>
      </c>
    </row>
    <row r="398" customFormat="false" ht="15" hidden="false" customHeight="false" outlineLevel="0" collapsed="false">
      <c r="A398" s="9"/>
      <c r="B398" s="4"/>
      <c r="C398" s="10"/>
      <c r="D398" s="11" t="str">
        <f aca="false">IF(K398="","",IFERROR(INDEX(DECKS!$C$2:$C$1201,MATCH(K398,DECKS!$B$2:$B$1201,0)),TRIM(I398&amp;"")))</f>
        <v/>
      </c>
      <c r="E398" s="4"/>
      <c r="F398" s="12"/>
      <c r="G398" s="4"/>
      <c r="H398" s="13" t="str">
        <f aca="false">IF(OR(N(C398)=0,N(F398)=0),"",C398*F398)</f>
        <v/>
      </c>
      <c r="I398" s="4"/>
      <c r="J398" s="11" t="str">
        <f aca="false">IF(K398="","",IF(N(C398)&lt;=0,"Informe a quantidade",IF(IFERROR(INDEX(INVENTÁRIO!$B$2:$B$801,MATCH(K398,INVENTÁRIO!$A$2:$A$801,0)),"")="(sem nome)","Carta fora dos decks: digite o nome na coluna I (opcional)","")))</f>
        <v/>
      </c>
      <c r="K398" s="11" t="str">
        <f aca="false">UPPER(TRIM(SUBSTITUTE(B398&amp;"",CHAR(160)," ")))</f>
        <v/>
      </c>
      <c r="L398" s="11" t="str">
        <f aca="false">IF(AND(K398&lt;&gt;"",TRIM(I398&amp;"")&lt;&gt;""),K398,"")</f>
        <v/>
      </c>
    </row>
    <row r="399" customFormat="false" ht="15" hidden="false" customHeight="false" outlineLevel="0" collapsed="false">
      <c r="A399" s="9"/>
      <c r="B399" s="4"/>
      <c r="C399" s="10"/>
      <c r="D399" s="11" t="str">
        <f aca="false">IF(K399="","",IFERROR(INDEX(DECKS!$C$2:$C$1201,MATCH(K399,DECKS!$B$2:$B$1201,0)),TRIM(I399&amp;"")))</f>
        <v/>
      </c>
      <c r="E399" s="4"/>
      <c r="F399" s="12"/>
      <c r="G399" s="4"/>
      <c r="H399" s="13" t="str">
        <f aca="false">IF(OR(N(C399)=0,N(F399)=0),"",C399*F399)</f>
        <v/>
      </c>
      <c r="I399" s="4"/>
      <c r="J399" s="11" t="str">
        <f aca="false">IF(K399="","",IF(N(C399)&lt;=0,"Informe a quantidade",IF(IFERROR(INDEX(INVENTÁRIO!$B$2:$B$801,MATCH(K399,INVENTÁRIO!$A$2:$A$801,0)),"")="(sem nome)","Carta fora dos decks: digite o nome na coluna I (opcional)","")))</f>
        <v/>
      </c>
      <c r="K399" s="11" t="str">
        <f aca="false">UPPER(TRIM(SUBSTITUTE(B399&amp;"",CHAR(160)," ")))</f>
        <v/>
      </c>
      <c r="L399" s="11" t="str">
        <f aca="false">IF(AND(K399&lt;&gt;"",TRIM(I399&amp;"")&lt;&gt;""),K399,"")</f>
        <v/>
      </c>
    </row>
    <row r="400" customFormat="false" ht="15" hidden="false" customHeight="false" outlineLevel="0" collapsed="false">
      <c r="A400" s="9"/>
      <c r="B400" s="4"/>
      <c r="C400" s="10"/>
      <c r="D400" s="11" t="str">
        <f aca="false">IF(K400="","",IFERROR(INDEX(DECKS!$C$2:$C$1201,MATCH(K400,DECKS!$B$2:$B$1201,0)),TRIM(I400&amp;"")))</f>
        <v/>
      </c>
      <c r="E400" s="4"/>
      <c r="F400" s="12"/>
      <c r="G400" s="4"/>
      <c r="H400" s="13" t="str">
        <f aca="false">IF(OR(N(C400)=0,N(F400)=0),"",C400*F400)</f>
        <v/>
      </c>
      <c r="I400" s="4"/>
      <c r="J400" s="11" t="str">
        <f aca="false">IF(K400="","",IF(N(C400)&lt;=0,"Informe a quantidade",IF(IFERROR(INDEX(INVENTÁRIO!$B$2:$B$801,MATCH(K400,INVENTÁRIO!$A$2:$A$801,0)),"")="(sem nome)","Carta fora dos decks: digite o nome na coluna I (opcional)","")))</f>
        <v/>
      </c>
      <c r="K400" s="11" t="str">
        <f aca="false">UPPER(TRIM(SUBSTITUTE(B400&amp;"",CHAR(160)," ")))</f>
        <v/>
      </c>
      <c r="L400" s="11" t="str">
        <f aca="false">IF(AND(K400&lt;&gt;"",TRIM(I400&amp;"")&lt;&gt;""),K400,"")</f>
        <v/>
      </c>
    </row>
    <row r="401" customFormat="false" ht="15" hidden="false" customHeight="false" outlineLevel="0" collapsed="false">
      <c r="A401" s="9"/>
      <c r="B401" s="4"/>
      <c r="C401" s="10"/>
      <c r="D401" s="11" t="str">
        <f aca="false">IF(K401="","",IFERROR(INDEX(DECKS!$C$2:$C$1201,MATCH(K401,DECKS!$B$2:$B$1201,0)),TRIM(I401&amp;"")))</f>
        <v/>
      </c>
      <c r="E401" s="4"/>
      <c r="F401" s="12"/>
      <c r="G401" s="4"/>
      <c r="H401" s="13" t="str">
        <f aca="false">IF(OR(N(C401)=0,N(F401)=0),"",C401*F401)</f>
        <v/>
      </c>
      <c r="I401" s="4"/>
      <c r="J401" s="11" t="str">
        <f aca="false">IF(K401="","",IF(N(C401)&lt;=0,"Informe a quantidade",IF(IFERROR(INDEX(INVENTÁRIO!$B$2:$B$801,MATCH(K401,INVENTÁRIO!$A$2:$A$801,0)),"")="(sem nome)","Carta fora dos decks: digite o nome na coluna I (opcional)","")))</f>
        <v/>
      </c>
      <c r="K401" s="11" t="str">
        <f aca="false">UPPER(TRIM(SUBSTITUTE(B401&amp;"",CHAR(160)," ")))</f>
        <v/>
      </c>
      <c r="L401" s="11" t="str">
        <f aca="false">IF(AND(K401&lt;&gt;"",TRIM(I401&amp;"")&lt;&gt;""),K401,"")</f>
        <v/>
      </c>
    </row>
    <row r="402" customFormat="false" ht="15" hidden="false" customHeight="false" outlineLevel="0" collapsed="false">
      <c r="A402" s="9"/>
      <c r="B402" s="4"/>
      <c r="C402" s="10"/>
      <c r="D402" s="11" t="str">
        <f aca="false">IF(K402="","",IFERROR(INDEX(DECKS!$C$2:$C$1201,MATCH(K402,DECKS!$B$2:$B$1201,0)),TRIM(I402&amp;"")))</f>
        <v/>
      </c>
      <c r="E402" s="4"/>
      <c r="F402" s="12"/>
      <c r="G402" s="4"/>
      <c r="H402" s="13" t="str">
        <f aca="false">IF(OR(N(C402)=0,N(F402)=0),"",C402*F402)</f>
        <v/>
      </c>
      <c r="I402" s="4"/>
      <c r="J402" s="11" t="str">
        <f aca="false">IF(K402="","",IF(N(C402)&lt;=0,"Informe a quantidade",IF(IFERROR(INDEX(INVENTÁRIO!$B$2:$B$801,MATCH(K402,INVENTÁRIO!$A$2:$A$801,0)),"")="(sem nome)","Carta fora dos decks: digite o nome na coluna I (opcional)","")))</f>
        <v/>
      </c>
      <c r="K402" s="11" t="str">
        <f aca="false">UPPER(TRIM(SUBSTITUTE(B402&amp;"",CHAR(160)," ")))</f>
        <v/>
      </c>
      <c r="L402" s="11" t="str">
        <f aca="false">IF(AND(K402&lt;&gt;"",TRIM(I402&amp;"")&lt;&gt;""),K402,"")</f>
        <v/>
      </c>
    </row>
    <row r="403" customFormat="false" ht="15" hidden="false" customHeight="false" outlineLevel="0" collapsed="false">
      <c r="A403" s="9"/>
      <c r="B403" s="4"/>
      <c r="C403" s="10"/>
      <c r="D403" s="11" t="str">
        <f aca="false">IF(K403="","",IFERROR(INDEX(DECKS!$C$2:$C$1201,MATCH(K403,DECKS!$B$2:$B$1201,0)),TRIM(I403&amp;"")))</f>
        <v/>
      </c>
      <c r="E403" s="4"/>
      <c r="F403" s="12"/>
      <c r="G403" s="4"/>
      <c r="H403" s="13" t="str">
        <f aca="false">IF(OR(N(C403)=0,N(F403)=0),"",C403*F403)</f>
        <v/>
      </c>
      <c r="I403" s="4"/>
      <c r="J403" s="11" t="str">
        <f aca="false">IF(K403="","",IF(N(C403)&lt;=0,"Informe a quantidade",IF(IFERROR(INDEX(INVENTÁRIO!$B$2:$B$801,MATCH(K403,INVENTÁRIO!$A$2:$A$801,0)),"")="(sem nome)","Carta fora dos decks: digite o nome na coluna I (opcional)","")))</f>
        <v/>
      </c>
      <c r="K403" s="11" t="str">
        <f aca="false">UPPER(TRIM(SUBSTITUTE(B403&amp;"",CHAR(160)," ")))</f>
        <v/>
      </c>
      <c r="L403" s="11" t="str">
        <f aca="false">IF(AND(K403&lt;&gt;"",TRIM(I403&amp;"")&lt;&gt;""),K403,"")</f>
        <v/>
      </c>
    </row>
    <row r="404" customFormat="false" ht="15" hidden="false" customHeight="false" outlineLevel="0" collapsed="false">
      <c r="A404" s="9"/>
      <c r="B404" s="4"/>
      <c r="C404" s="10"/>
      <c r="D404" s="11" t="str">
        <f aca="false">IF(K404="","",IFERROR(INDEX(DECKS!$C$2:$C$1201,MATCH(K404,DECKS!$B$2:$B$1201,0)),TRIM(I404&amp;"")))</f>
        <v/>
      </c>
      <c r="E404" s="4"/>
      <c r="F404" s="12"/>
      <c r="G404" s="4"/>
      <c r="H404" s="13" t="str">
        <f aca="false">IF(OR(N(C404)=0,N(F404)=0),"",C404*F404)</f>
        <v/>
      </c>
      <c r="I404" s="4"/>
      <c r="J404" s="11" t="str">
        <f aca="false">IF(K404="","",IF(N(C404)&lt;=0,"Informe a quantidade",IF(IFERROR(INDEX(INVENTÁRIO!$B$2:$B$801,MATCH(K404,INVENTÁRIO!$A$2:$A$801,0)),"")="(sem nome)","Carta fora dos decks: digite o nome na coluna I (opcional)","")))</f>
        <v/>
      </c>
      <c r="K404" s="11" t="str">
        <f aca="false">UPPER(TRIM(SUBSTITUTE(B404&amp;"",CHAR(160)," ")))</f>
        <v/>
      </c>
      <c r="L404" s="11" t="str">
        <f aca="false">IF(AND(K404&lt;&gt;"",TRIM(I404&amp;"")&lt;&gt;""),K404,"")</f>
        <v/>
      </c>
    </row>
    <row r="405" customFormat="false" ht="15" hidden="false" customHeight="false" outlineLevel="0" collapsed="false">
      <c r="A405" s="9"/>
      <c r="B405" s="4"/>
      <c r="C405" s="10"/>
      <c r="D405" s="11" t="str">
        <f aca="false">IF(K405="","",IFERROR(INDEX(DECKS!$C$2:$C$1201,MATCH(K405,DECKS!$B$2:$B$1201,0)),TRIM(I405&amp;"")))</f>
        <v/>
      </c>
      <c r="E405" s="4"/>
      <c r="F405" s="12"/>
      <c r="G405" s="4"/>
      <c r="H405" s="13" t="str">
        <f aca="false">IF(OR(N(C405)=0,N(F405)=0),"",C405*F405)</f>
        <v/>
      </c>
      <c r="I405" s="4"/>
      <c r="J405" s="11" t="str">
        <f aca="false">IF(K405="","",IF(N(C405)&lt;=0,"Informe a quantidade",IF(IFERROR(INDEX(INVENTÁRIO!$B$2:$B$801,MATCH(K405,INVENTÁRIO!$A$2:$A$801,0)),"")="(sem nome)","Carta fora dos decks: digite o nome na coluna I (opcional)","")))</f>
        <v/>
      </c>
      <c r="K405" s="11" t="str">
        <f aca="false">UPPER(TRIM(SUBSTITUTE(B405&amp;"",CHAR(160)," ")))</f>
        <v/>
      </c>
      <c r="L405" s="11" t="str">
        <f aca="false">IF(AND(K405&lt;&gt;"",TRIM(I405&amp;"")&lt;&gt;""),K405,"")</f>
        <v/>
      </c>
    </row>
    <row r="406" customFormat="false" ht="15" hidden="false" customHeight="false" outlineLevel="0" collapsed="false">
      <c r="A406" s="9"/>
      <c r="B406" s="4"/>
      <c r="C406" s="10"/>
      <c r="D406" s="11" t="str">
        <f aca="false">IF(K406="","",IFERROR(INDEX(DECKS!$C$2:$C$1201,MATCH(K406,DECKS!$B$2:$B$1201,0)),TRIM(I406&amp;"")))</f>
        <v/>
      </c>
      <c r="E406" s="4"/>
      <c r="F406" s="12"/>
      <c r="G406" s="4"/>
      <c r="H406" s="13" t="str">
        <f aca="false">IF(OR(N(C406)=0,N(F406)=0),"",C406*F406)</f>
        <v/>
      </c>
      <c r="I406" s="4"/>
      <c r="J406" s="11" t="str">
        <f aca="false">IF(K406="","",IF(N(C406)&lt;=0,"Informe a quantidade",IF(IFERROR(INDEX(INVENTÁRIO!$B$2:$B$801,MATCH(K406,INVENTÁRIO!$A$2:$A$801,0)),"")="(sem nome)","Carta fora dos decks: digite o nome na coluna I (opcional)","")))</f>
        <v/>
      </c>
      <c r="K406" s="11" t="str">
        <f aca="false">UPPER(TRIM(SUBSTITUTE(B406&amp;"",CHAR(160)," ")))</f>
        <v/>
      </c>
      <c r="L406" s="11" t="str">
        <f aca="false">IF(AND(K406&lt;&gt;"",TRIM(I406&amp;"")&lt;&gt;""),K406,"")</f>
        <v/>
      </c>
    </row>
    <row r="407" customFormat="false" ht="15" hidden="false" customHeight="false" outlineLevel="0" collapsed="false">
      <c r="A407" s="9"/>
      <c r="B407" s="4"/>
      <c r="C407" s="10"/>
      <c r="D407" s="11" t="str">
        <f aca="false">IF(K407="","",IFERROR(INDEX(DECKS!$C$2:$C$1201,MATCH(K407,DECKS!$B$2:$B$1201,0)),TRIM(I407&amp;"")))</f>
        <v/>
      </c>
      <c r="E407" s="4"/>
      <c r="F407" s="12"/>
      <c r="G407" s="4"/>
      <c r="H407" s="13" t="str">
        <f aca="false">IF(OR(N(C407)=0,N(F407)=0),"",C407*F407)</f>
        <v/>
      </c>
      <c r="I407" s="4"/>
      <c r="J407" s="11" t="str">
        <f aca="false">IF(K407="","",IF(N(C407)&lt;=0,"Informe a quantidade",IF(IFERROR(INDEX(INVENTÁRIO!$B$2:$B$801,MATCH(K407,INVENTÁRIO!$A$2:$A$801,0)),"")="(sem nome)","Carta fora dos decks: digite o nome na coluna I (opcional)","")))</f>
        <v/>
      </c>
      <c r="K407" s="11" t="str">
        <f aca="false">UPPER(TRIM(SUBSTITUTE(B407&amp;"",CHAR(160)," ")))</f>
        <v/>
      </c>
      <c r="L407" s="11" t="str">
        <f aca="false">IF(AND(K407&lt;&gt;"",TRIM(I407&amp;"")&lt;&gt;""),K407,"")</f>
        <v/>
      </c>
    </row>
    <row r="408" customFormat="false" ht="15" hidden="false" customHeight="false" outlineLevel="0" collapsed="false">
      <c r="A408" s="9"/>
      <c r="B408" s="4"/>
      <c r="C408" s="10"/>
      <c r="D408" s="11" t="str">
        <f aca="false">IF(K408="","",IFERROR(INDEX(DECKS!$C$2:$C$1201,MATCH(K408,DECKS!$B$2:$B$1201,0)),TRIM(I408&amp;"")))</f>
        <v/>
      </c>
      <c r="E408" s="4"/>
      <c r="F408" s="12"/>
      <c r="G408" s="4"/>
      <c r="H408" s="13" t="str">
        <f aca="false">IF(OR(N(C408)=0,N(F408)=0),"",C408*F408)</f>
        <v/>
      </c>
      <c r="I408" s="4"/>
      <c r="J408" s="11" t="str">
        <f aca="false">IF(K408="","",IF(N(C408)&lt;=0,"Informe a quantidade",IF(IFERROR(INDEX(INVENTÁRIO!$B$2:$B$801,MATCH(K408,INVENTÁRIO!$A$2:$A$801,0)),"")="(sem nome)","Carta fora dos decks: digite o nome na coluna I (opcional)","")))</f>
        <v/>
      </c>
      <c r="K408" s="11" t="str">
        <f aca="false">UPPER(TRIM(SUBSTITUTE(B408&amp;"",CHAR(160)," ")))</f>
        <v/>
      </c>
      <c r="L408" s="11" t="str">
        <f aca="false">IF(AND(K408&lt;&gt;"",TRIM(I408&amp;"")&lt;&gt;""),K408,"")</f>
        <v/>
      </c>
    </row>
    <row r="409" customFormat="false" ht="15" hidden="false" customHeight="false" outlineLevel="0" collapsed="false">
      <c r="A409" s="9"/>
      <c r="B409" s="4"/>
      <c r="C409" s="10"/>
      <c r="D409" s="11" t="str">
        <f aca="false">IF(K409="","",IFERROR(INDEX(DECKS!$C$2:$C$1201,MATCH(K409,DECKS!$B$2:$B$1201,0)),TRIM(I409&amp;"")))</f>
        <v/>
      </c>
      <c r="E409" s="4"/>
      <c r="F409" s="12"/>
      <c r="G409" s="4"/>
      <c r="H409" s="13" t="str">
        <f aca="false">IF(OR(N(C409)=0,N(F409)=0),"",C409*F409)</f>
        <v/>
      </c>
      <c r="I409" s="4"/>
      <c r="J409" s="11" t="str">
        <f aca="false">IF(K409="","",IF(N(C409)&lt;=0,"Informe a quantidade",IF(IFERROR(INDEX(INVENTÁRIO!$B$2:$B$801,MATCH(K409,INVENTÁRIO!$A$2:$A$801,0)),"")="(sem nome)","Carta fora dos decks: digite o nome na coluna I (opcional)","")))</f>
        <v/>
      </c>
      <c r="K409" s="11" t="str">
        <f aca="false">UPPER(TRIM(SUBSTITUTE(B409&amp;"",CHAR(160)," ")))</f>
        <v/>
      </c>
      <c r="L409" s="11" t="str">
        <f aca="false">IF(AND(K409&lt;&gt;"",TRIM(I409&amp;"")&lt;&gt;""),K409,"")</f>
        <v/>
      </c>
    </row>
    <row r="410" customFormat="false" ht="15" hidden="false" customHeight="false" outlineLevel="0" collapsed="false">
      <c r="A410" s="9"/>
      <c r="B410" s="4"/>
      <c r="C410" s="10"/>
      <c r="D410" s="11" t="str">
        <f aca="false">IF(K410="","",IFERROR(INDEX(DECKS!$C$2:$C$1201,MATCH(K410,DECKS!$B$2:$B$1201,0)),TRIM(I410&amp;"")))</f>
        <v/>
      </c>
      <c r="E410" s="4"/>
      <c r="F410" s="12"/>
      <c r="G410" s="4"/>
      <c r="H410" s="13" t="str">
        <f aca="false">IF(OR(N(C410)=0,N(F410)=0),"",C410*F410)</f>
        <v/>
      </c>
      <c r="I410" s="4"/>
      <c r="J410" s="11" t="str">
        <f aca="false">IF(K410="","",IF(N(C410)&lt;=0,"Informe a quantidade",IF(IFERROR(INDEX(INVENTÁRIO!$B$2:$B$801,MATCH(K410,INVENTÁRIO!$A$2:$A$801,0)),"")="(sem nome)","Carta fora dos decks: digite o nome na coluna I (opcional)","")))</f>
        <v/>
      </c>
      <c r="K410" s="11" t="str">
        <f aca="false">UPPER(TRIM(SUBSTITUTE(B410&amp;"",CHAR(160)," ")))</f>
        <v/>
      </c>
      <c r="L410" s="11" t="str">
        <f aca="false">IF(AND(K410&lt;&gt;"",TRIM(I410&amp;"")&lt;&gt;""),K410,"")</f>
        <v/>
      </c>
    </row>
    <row r="411" customFormat="false" ht="15" hidden="false" customHeight="false" outlineLevel="0" collapsed="false">
      <c r="A411" s="9"/>
      <c r="B411" s="4"/>
      <c r="C411" s="10"/>
      <c r="D411" s="11" t="str">
        <f aca="false">IF(K411="","",IFERROR(INDEX(DECKS!$C$2:$C$1201,MATCH(K411,DECKS!$B$2:$B$1201,0)),TRIM(I411&amp;"")))</f>
        <v/>
      </c>
      <c r="E411" s="4"/>
      <c r="F411" s="12"/>
      <c r="G411" s="4"/>
      <c r="H411" s="13" t="str">
        <f aca="false">IF(OR(N(C411)=0,N(F411)=0),"",C411*F411)</f>
        <v/>
      </c>
      <c r="I411" s="4"/>
      <c r="J411" s="11" t="str">
        <f aca="false">IF(K411="","",IF(N(C411)&lt;=0,"Informe a quantidade",IF(IFERROR(INDEX(INVENTÁRIO!$B$2:$B$801,MATCH(K411,INVENTÁRIO!$A$2:$A$801,0)),"")="(sem nome)","Carta fora dos decks: digite o nome na coluna I (opcional)","")))</f>
        <v/>
      </c>
      <c r="K411" s="11" t="str">
        <f aca="false">UPPER(TRIM(SUBSTITUTE(B411&amp;"",CHAR(160)," ")))</f>
        <v/>
      </c>
      <c r="L411" s="11" t="str">
        <f aca="false">IF(AND(K411&lt;&gt;"",TRIM(I411&amp;"")&lt;&gt;""),K411,"")</f>
        <v/>
      </c>
    </row>
    <row r="412" customFormat="false" ht="15" hidden="false" customHeight="false" outlineLevel="0" collapsed="false">
      <c r="A412" s="9"/>
      <c r="B412" s="4"/>
      <c r="C412" s="10"/>
      <c r="D412" s="11" t="str">
        <f aca="false">IF(K412="","",IFERROR(INDEX(DECKS!$C$2:$C$1201,MATCH(K412,DECKS!$B$2:$B$1201,0)),TRIM(I412&amp;"")))</f>
        <v/>
      </c>
      <c r="E412" s="4"/>
      <c r="F412" s="12"/>
      <c r="G412" s="4"/>
      <c r="H412" s="13" t="str">
        <f aca="false">IF(OR(N(C412)=0,N(F412)=0),"",C412*F412)</f>
        <v/>
      </c>
      <c r="I412" s="4"/>
      <c r="J412" s="11" t="str">
        <f aca="false">IF(K412="","",IF(N(C412)&lt;=0,"Informe a quantidade",IF(IFERROR(INDEX(INVENTÁRIO!$B$2:$B$801,MATCH(K412,INVENTÁRIO!$A$2:$A$801,0)),"")="(sem nome)","Carta fora dos decks: digite o nome na coluna I (opcional)","")))</f>
        <v/>
      </c>
      <c r="K412" s="11" t="str">
        <f aca="false">UPPER(TRIM(SUBSTITUTE(B412&amp;"",CHAR(160)," ")))</f>
        <v/>
      </c>
      <c r="L412" s="11" t="str">
        <f aca="false">IF(AND(K412&lt;&gt;"",TRIM(I412&amp;"")&lt;&gt;""),K412,"")</f>
        <v/>
      </c>
    </row>
    <row r="413" customFormat="false" ht="15" hidden="false" customHeight="false" outlineLevel="0" collapsed="false">
      <c r="A413" s="9"/>
      <c r="B413" s="4"/>
      <c r="C413" s="10"/>
      <c r="D413" s="11" t="str">
        <f aca="false">IF(K413="","",IFERROR(INDEX(DECKS!$C$2:$C$1201,MATCH(K413,DECKS!$B$2:$B$1201,0)),TRIM(I413&amp;"")))</f>
        <v/>
      </c>
      <c r="E413" s="4"/>
      <c r="F413" s="12"/>
      <c r="G413" s="4"/>
      <c r="H413" s="13" t="str">
        <f aca="false">IF(OR(N(C413)=0,N(F413)=0),"",C413*F413)</f>
        <v/>
      </c>
      <c r="I413" s="4"/>
      <c r="J413" s="11" t="str">
        <f aca="false">IF(K413="","",IF(N(C413)&lt;=0,"Informe a quantidade",IF(IFERROR(INDEX(INVENTÁRIO!$B$2:$B$801,MATCH(K413,INVENTÁRIO!$A$2:$A$801,0)),"")="(sem nome)","Carta fora dos decks: digite o nome na coluna I (opcional)","")))</f>
        <v/>
      </c>
      <c r="K413" s="11" t="str">
        <f aca="false">UPPER(TRIM(SUBSTITUTE(B413&amp;"",CHAR(160)," ")))</f>
        <v/>
      </c>
      <c r="L413" s="11" t="str">
        <f aca="false">IF(AND(K413&lt;&gt;"",TRIM(I413&amp;"")&lt;&gt;""),K413,"")</f>
        <v/>
      </c>
    </row>
    <row r="414" customFormat="false" ht="15" hidden="false" customHeight="false" outlineLevel="0" collapsed="false">
      <c r="A414" s="9"/>
      <c r="B414" s="4"/>
      <c r="C414" s="10"/>
      <c r="D414" s="11" t="str">
        <f aca="false">IF(K414="","",IFERROR(INDEX(DECKS!$C$2:$C$1201,MATCH(K414,DECKS!$B$2:$B$1201,0)),TRIM(I414&amp;"")))</f>
        <v/>
      </c>
      <c r="E414" s="4"/>
      <c r="F414" s="12"/>
      <c r="G414" s="4"/>
      <c r="H414" s="13" t="str">
        <f aca="false">IF(OR(N(C414)=0,N(F414)=0),"",C414*F414)</f>
        <v/>
      </c>
      <c r="I414" s="4"/>
      <c r="J414" s="11" t="str">
        <f aca="false">IF(K414="","",IF(N(C414)&lt;=0,"Informe a quantidade",IF(IFERROR(INDEX(INVENTÁRIO!$B$2:$B$801,MATCH(K414,INVENTÁRIO!$A$2:$A$801,0)),"")="(sem nome)","Carta fora dos decks: digite o nome na coluna I (opcional)","")))</f>
        <v/>
      </c>
      <c r="K414" s="11" t="str">
        <f aca="false">UPPER(TRIM(SUBSTITUTE(B414&amp;"",CHAR(160)," ")))</f>
        <v/>
      </c>
      <c r="L414" s="11" t="str">
        <f aca="false">IF(AND(K414&lt;&gt;"",TRIM(I414&amp;"")&lt;&gt;""),K414,"")</f>
        <v/>
      </c>
    </row>
    <row r="415" customFormat="false" ht="15" hidden="false" customHeight="false" outlineLevel="0" collapsed="false">
      <c r="A415" s="9"/>
      <c r="B415" s="4"/>
      <c r="C415" s="10"/>
      <c r="D415" s="11" t="str">
        <f aca="false">IF(K415="","",IFERROR(INDEX(DECKS!$C$2:$C$1201,MATCH(K415,DECKS!$B$2:$B$1201,0)),TRIM(I415&amp;"")))</f>
        <v/>
      </c>
      <c r="E415" s="4"/>
      <c r="F415" s="12"/>
      <c r="G415" s="4"/>
      <c r="H415" s="13" t="str">
        <f aca="false">IF(OR(N(C415)=0,N(F415)=0),"",C415*F415)</f>
        <v/>
      </c>
      <c r="I415" s="4"/>
      <c r="J415" s="11" t="str">
        <f aca="false">IF(K415="","",IF(N(C415)&lt;=0,"Informe a quantidade",IF(IFERROR(INDEX(INVENTÁRIO!$B$2:$B$801,MATCH(K415,INVENTÁRIO!$A$2:$A$801,0)),"")="(sem nome)","Carta fora dos decks: digite o nome na coluna I (opcional)","")))</f>
        <v/>
      </c>
      <c r="K415" s="11" t="str">
        <f aca="false">UPPER(TRIM(SUBSTITUTE(B415&amp;"",CHAR(160)," ")))</f>
        <v/>
      </c>
      <c r="L415" s="11" t="str">
        <f aca="false">IF(AND(K415&lt;&gt;"",TRIM(I415&amp;"")&lt;&gt;""),K415,"")</f>
        <v/>
      </c>
    </row>
    <row r="416" customFormat="false" ht="15" hidden="false" customHeight="false" outlineLevel="0" collapsed="false">
      <c r="A416" s="9"/>
      <c r="B416" s="4"/>
      <c r="C416" s="10"/>
      <c r="D416" s="11" t="str">
        <f aca="false">IF(K416="","",IFERROR(INDEX(DECKS!$C$2:$C$1201,MATCH(K416,DECKS!$B$2:$B$1201,0)),TRIM(I416&amp;"")))</f>
        <v/>
      </c>
      <c r="E416" s="4"/>
      <c r="F416" s="12"/>
      <c r="G416" s="4"/>
      <c r="H416" s="13" t="str">
        <f aca="false">IF(OR(N(C416)=0,N(F416)=0),"",C416*F416)</f>
        <v/>
      </c>
      <c r="I416" s="4"/>
      <c r="J416" s="11" t="str">
        <f aca="false">IF(K416="","",IF(N(C416)&lt;=0,"Informe a quantidade",IF(IFERROR(INDEX(INVENTÁRIO!$B$2:$B$801,MATCH(K416,INVENTÁRIO!$A$2:$A$801,0)),"")="(sem nome)","Carta fora dos decks: digite o nome na coluna I (opcional)","")))</f>
        <v/>
      </c>
      <c r="K416" s="11" t="str">
        <f aca="false">UPPER(TRIM(SUBSTITUTE(B416&amp;"",CHAR(160)," ")))</f>
        <v/>
      </c>
      <c r="L416" s="11" t="str">
        <f aca="false">IF(AND(K416&lt;&gt;"",TRIM(I416&amp;"")&lt;&gt;""),K416,"")</f>
        <v/>
      </c>
    </row>
    <row r="417" customFormat="false" ht="15" hidden="false" customHeight="false" outlineLevel="0" collapsed="false">
      <c r="A417" s="9"/>
      <c r="B417" s="4"/>
      <c r="C417" s="10"/>
      <c r="D417" s="11" t="str">
        <f aca="false">IF(K417="","",IFERROR(INDEX(DECKS!$C$2:$C$1201,MATCH(K417,DECKS!$B$2:$B$1201,0)),TRIM(I417&amp;"")))</f>
        <v/>
      </c>
      <c r="E417" s="4"/>
      <c r="F417" s="12"/>
      <c r="G417" s="4"/>
      <c r="H417" s="13" t="str">
        <f aca="false">IF(OR(N(C417)=0,N(F417)=0),"",C417*F417)</f>
        <v/>
      </c>
      <c r="I417" s="4"/>
      <c r="J417" s="11" t="str">
        <f aca="false">IF(K417="","",IF(N(C417)&lt;=0,"Informe a quantidade",IF(IFERROR(INDEX(INVENTÁRIO!$B$2:$B$801,MATCH(K417,INVENTÁRIO!$A$2:$A$801,0)),"")="(sem nome)","Carta fora dos decks: digite o nome na coluna I (opcional)","")))</f>
        <v/>
      </c>
      <c r="K417" s="11" t="str">
        <f aca="false">UPPER(TRIM(SUBSTITUTE(B417&amp;"",CHAR(160)," ")))</f>
        <v/>
      </c>
      <c r="L417" s="11" t="str">
        <f aca="false">IF(AND(K417&lt;&gt;"",TRIM(I417&amp;"")&lt;&gt;""),K417,"")</f>
        <v/>
      </c>
    </row>
    <row r="418" customFormat="false" ht="15" hidden="false" customHeight="false" outlineLevel="0" collapsed="false">
      <c r="A418" s="9"/>
      <c r="B418" s="4"/>
      <c r="C418" s="10"/>
      <c r="D418" s="11" t="str">
        <f aca="false">IF(K418="","",IFERROR(INDEX(DECKS!$C$2:$C$1201,MATCH(K418,DECKS!$B$2:$B$1201,0)),TRIM(I418&amp;"")))</f>
        <v/>
      </c>
      <c r="E418" s="4"/>
      <c r="F418" s="12"/>
      <c r="G418" s="4"/>
      <c r="H418" s="13" t="str">
        <f aca="false">IF(OR(N(C418)=0,N(F418)=0),"",C418*F418)</f>
        <v/>
      </c>
      <c r="I418" s="4"/>
      <c r="J418" s="11" t="str">
        <f aca="false">IF(K418="","",IF(N(C418)&lt;=0,"Informe a quantidade",IF(IFERROR(INDEX(INVENTÁRIO!$B$2:$B$801,MATCH(K418,INVENTÁRIO!$A$2:$A$801,0)),"")="(sem nome)","Carta fora dos decks: digite o nome na coluna I (opcional)","")))</f>
        <v/>
      </c>
      <c r="K418" s="11" t="str">
        <f aca="false">UPPER(TRIM(SUBSTITUTE(B418&amp;"",CHAR(160)," ")))</f>
        <v/>
      </c>
      <c r="L418" s="11" t="str">
        <f aca="false">IF(AND(K418&lt;&gt;"",TRIM(I418&amp;"")&lt;&gt;""),K418,"")</f>
        <v/>
      </c>
    </row>
    <row r="419" customFormat="false" ht="15" hidden="false" customHeight="false" outlineLevel="0" collapsed="false">
      <c r="A419" s="9"/>
      <c r="B419" s="4"/>
      <c r="C419" s="10"/>
      <c r="D419" s="11" t="str">
        <f aca="false">IF(K419="","",IFERROR(INDEX(DECKS!$C$2:$C$1201,MATCH(K419,DECKS!$B$2:$B$1201,0)),TRIM(I419&amp;"")))</f>
        <v/>
      </c>
      <c r="E419" s="4"/>
      <c r="F419" s="12"/>
      <c r="G419" s="4"/>
      <c r="H419" s="13" t="str">
        <f aca="false">IF(OR(N(C419)=0,N(F419)=0),"",C419*F419)</f>
        <v/>
      </c>
      <c r="I419" s="4"/>
      <c r="J419" s="11" t="str">
        <f aca="false">IF(K419="","",IF(N(C419)&lt;=0,"Informe a quantidade",IF(IFERROR(INDEX(INVENTÁRIO!$B$2:$B$801,MATCH(K419,INVENTÁRIO!$A$2:$A$801,0)),"")="(sem nome)","Carta fora dos decks: digite o nome na coluna I (opcional)","")))</f>
        <v/>
      </c>
      <c r="K419" s="11" t="str">
        <f aca="false">UPPER(TRIM(SUBSTITUTE(B419&amp;"",CHAR(160)," ")))</f>
        <v/>
      </c>
      <c r="L419" s="11" t="str">
        <f aca="false">IF(AND(K419&lt;&gt;"",TRIM(I419&amp;"")&lt;&gt;""),K419,"")</f>
        <v/>
      </c>
    </row>
    <row r="420" customFormat="false" ht="15" hidden="false" customHeight="false" outlineLevel="0" collapsed="false">
      <c r="A420" s="9"/>
      <c r="B420" s="4"/>
      <c r="C420" s="10"/>
      <c r="D420" s="11" t="str">
        <f aca="false">IF(K420="","",IFERROR(INDEX(DECKS!$C$2:$C$1201,MATCH(K420,DECKS!$B$2:$B$1201,0)),TRIM(I420&amp;"")))</f>
        <v/>
      </c>
      <c r="E420" s="4"/>
      <c r="F420" s="12"/>
      <c r="G420" s="4"/>
      <c r="H420" s="13" t="str">
        <f aca="false">IF(OR(N(C420)=0,N(F420)=0),"",C420*F420)</f>
        <v/>
      </c>
      <c r="I420" s="4"/>
      <c r="J420" s="11" t="str">
        <f aca="false">IF(K420="","",IF(N(C420)&lt;=0,"Informe a quantidade",IF(IFERROR(INDEX(INVENTÁRIO!$B$2:$B$801,MATCH(K420,INVENTÁRIO!$A$2:$A$801,0)),"")="(sem nome)","Carta fora dos decks: digite o nome na coluna I (opcional)","")))</f>
        <v/>
      </c>
      <c r="K420" s="11" t="str">
        <f aca="false">UPPER(TRIM(SUBSTITUTE(B420&amp;"",CHAR(160)," ")))</f>
        <v/>
      </c>
      <c r="L420" s="11" t="str">
        <f aca="false">IF(AND(K420&lt;&gt;"",TRIM(I420&amp;"")&lt;&gt;""),K420,"")</f>
        <v/>
      </c>
    </row>
    <row r="421" customFormat="false" ht="15" hidden="false" customHeight="false" outlineLevel="0" collapsed="false">
      <c r="A421" s="9"/>
      <c r="B421" s="4"/>
      <c r="C421" s="10"/>
      <c r="D421" s="11" t="str">
        <f aca="false">IF(K421="","",IFERROR(INDEX(DECKS!$C$2:$C$1201,MATCH(K421,DECKS!$B$2:$B$1201,0)),TRIM(I421&amp;"")))</f>
        <v/>
      </c>
      <c r="E421" s="4"/>
      <c r="F421" s="12"/>
      <c r="G421" s="4"/>
      <c r="H421" s="13" t="str">
        <f aca="false">IF(OR(N(C421)=0,N(F421)=0),"",C421*F421)</f>
        <v/>
      </c>
      <c r="I421" s="4"/>
      <c r="J421" s="11" t="str">
        <f aca="false">IF(K421="","",IF(N(C421)&lt;=0,"Informe a quantidade",IF(IFERROR(INDEX(INVENTÁRIO!$B$2:$B$801,MATCH(K421,INVENTÁRIO!$A$2:$A$801,0)),"")="(sem nome)","Carta fora dos decks: digite o nome na coluna I (opcional)","")))</f>
        <v/>
      </c>
      <c r="K421" s="11" t="str">
        <f aca="false">UPPER(TRIM(SUBSTITUTE(B421&amp;"",CHAR(160)," ")))</f>
        <v/>
      </c>
      <c r="L421" s="11" t="str">
        <f aca="false">IF(AND(K421&lt;&gt;"",TRIM(I421&amp;"")&lt;&gt;""),K421,"")</f>
        <v/>
      </c>
    </row>
    <row r="422" customFormat="false" ht="15" hidden="false" customHeight="false" outlineLevel="0" collapsed="false">
      <c r="A422" s="9"/>
      <c r="B422" s="4"/>
      <c r="C422" s="10"/>
      <c r="D422" s="11" t="str">
        <f aca="false">IF(K422="","",IFERROR(INDEX(DECKS!$C$2:$C$1201,MATCH(K422,DECKS!$B$2:$B$1201,0)),TRIM(I422&amp;"")))</f>
        <v/>
      </c>
      <c r="E422" s="4"/>
      <c r="F422" s="12"/>
      <c r="G422" s="4"/>
      <c r="H422" s="13" t="str">
        <f aca="false">IF(OR(N(C422)=0,N(F422)=0),"",C422*F422)</f>
        <v/>
      </c>
      <c r="I422" s="4"/>
      <c r="J422" s="11" t="str">
        <f aca="false">IF(K422="","",IF(N(C422)&lt;=0,"Informe a quantidade",IF(IFERROR(INDEX(INVENTÁRIO!$B$2:$B$801,MATCH(K422,INVENTÁRIO!$A$2:$A$801,0)),"")="(sem nome)","Carta fora dos decks: digite o nome na coluna I (opcional)","")))</f>
        <v/>
      </c>
      <c r="K422" s="11" t="str">
        <f aca="false">UPPER(TRIM(SUBSTITUTE(B422&amp;"",CHAR(160)," ")))</f>
        <v/>
      </c>
      <c r="L422" s="11" t="str">
        <f aca="false">IF(AND(K422&lt;&gt;"",TRIM(I422&amp;"")&lt;&gt;""),K422,"")</f>
        <v/>
      </c>
    </row>
    <row r="423" customFormat="false" ht="15" hidden="false" customHeight="false" outlineLevel="0" collapsed="false">
      <c r="A423" s="9"/>
      <c r="B423" s="4"/>
      <c r="C423" s="10"/>
      <c r="D423" s="11" t="str">
        <f aca="false">IF(K423="","",IFERROR(INDEX(DECKS!$C$2:$C$1201,MATCH(K423,DECKS!$B$2:$B$1201,0)),TRIM(I423&amp;"")))</f>
        <v/>
      </c>
      <c r="E423" s="4"/>
      <c r="F423" s="12"/>
      <c r="G423" s="4"/>
      <c r="H423" s="13" t="str">
        <f aca="false">IF(OR(N(C423)=0,N(F423)=0),"",C423*F423)</f>
        <v/>
      </c>
      <c r="I423" s="4"/>
      <c r="J423" s="11" t="str">
        <f aca="false">IF(K423="","",IF(N(C423)&lt;=0,"Informe a quantidade",IF(IFERROR(INDEX(INVENTÁRIO!$B$2:$B$801,MATCH(K423,INVENTÁRIO!$A$2:$A$801,0)),"")="(sem nome)","Carta fora dos decks: digite o nome na coluna I (opcional)","")))</f>
        <v/>
      </c>
      <c r="K423" s="11" t="str">
        <f aca="false">UPPER(TRIM(SUBSTITUTE(B423&amp;"",CHAR(160)," ")))</f>
        <v/>
      </c>
      <c r="L423" s="11" t="str">
        <f aca="false">IF(AND(K423&lt;&gt;"",TRIM(I423&amp;"")&lt;&gt;""),K423,"")</f>
        <v/>
      </c>
    </row>
    <row r="424" customFormat="false" ht="15" hidden="false" customHeight="false" outlineLevel="0" collapsed="false">
      <c r="A424" s="9"/>
      <c r="B424" s="4"/>
      <c r="C424" s="10"/>
      <c r="D424" s="11" t="str">
        <f aca="false">IF(K424="","",IFERROR(INDEX(DECKS!$C$2:$C$1201,MATCH(K424,DECKS!$B$2:$B$1201,0)),TRIM(I424&amp;"")))</f>
        <v/>
      </c>
      <c r="E424" s="4"/>
      <c r="F424" s="12"/>
      <c r="G424" s="4"/>
      <c r="H424" s="13" t="str">
        <f aca="false">IF(OR(N(C424)=0,N(F424)=0),"",C424*F424)</f>
        <v/>
      </c>
      <c r="I424" s="4"/>
      <c r="J424" s="11" t="str">
        <f aca="false">IF(K424="","",IF(N(C424)&lt;=0,"Informe a quantidade",IF(IFERROR(INDEX(INVENTÁRIO!$B$2:$B$801,MATCH(K424,INVENTÁRIO!$A$2:$A$801,0)),"")="(sem nome)","Carta fora dos decks: digite o nome na coluna I (opcional)","")))</f>
        <v/>
      </c>
      <c r="K424" s="11" t="str">
        <f aca="false">UPPER(TRIM(SUBSTITUTE(B424&amp;"",CHAR(160)," ")))</f>
        <v/>
      </c>
      <c r="L424" s="11" t="str">
        <f aca="false">IF(AND(K424&lt;&gt;"",TRIM(I424&amp;"")&lt;&gt;""),K424,"")</f>
        <v/>
      </c>
    </row>
    <row r="425" customFormat="false" ht="15" hidden="false" customHeight="false" outlineLevel="0" collapsed="false">
      <c r="A425" s="9"/>
      <c r="B425" s="4"/>
      <c r="C425" s="10"/>
      <c r="D425" s="11" t="str">
        <f aca="false">IF(K425="","",IFERROR(INDEX(DECKS!$C$2:$C$1201,MATCH(K425,DECKS!$B$2:$B$1201,0)),TRIM(I425&amp;"")))</f>
        <v/>
      </c>
      <c r="E425" s="4"/>
      <c r="F425" s="12"/>
      <c r="G425" s="4"/>
      <c r="H425" s="13" t="str">
        <f aca="false">IF(OR(N(C425)=0,N(F425)=0),"",C425*F425)</f>
        <v/>
      </c>
      <c r="I425" s="4"/>
      <c r="J425" s="11" t="str">
        <f aca="false">IF(K425="","",IF(N(C425)&lt;=0,"Informe a quantidade",IF(IFERROR(INDEX(INVENTÁRIO!$B$2:$B$801,MATCH(K425,INVENTÁRIO!$A$2:$A$801,0)),"")="(sem nome)","Carta fora dos decks: digite o nome na coluna I (opcional)","")))</f>
        <v/>
      </c>
      <c r="K425" s="11" t="str">
        <f aca="false">UPPER(TRIM(SUBSTITUTE(B425&amp;"",CHAR(160)," ")))</f>
        <v/>
      </c>
      <c r="L425" s="11" t="str">
        <f aca="false">IF(AND(K425&lt;&gt;"",TRIM(I425&amp;"")&lt;&gt;""),K425,"")</f>
        <v/>
      </c>
    </row>
    <row r="426" customFormat="false" ht="15" hidden="false" customHeight="false" outlineLevel="0" collapsed="false">
      <c r="A426" s="9"/>
      <c r="B426" s="4"/>
      <c r="C426" s="10"/>
      <c r="D426" s="11" t="str">
        <f aca="false">IF(K426="","",IFERROR(INDEX(DECKS!$C$2:$C$1201,MATCH(K426,DECKS!$B$2:$B$1201,0)),TRIM(I426&amp;"")))</f>
        <v/>
      </c>
      <c r="E426" s="4"/>
      <c r="F426" s="12"/>
      <c r="G426" s="4"/>
      <c r="H426" s="13" t="str">
        <f aca="false">IF(OR(N(C426)=0,N(F426)=0),"",C426*F426)</f>
        <v/>
      </c>
      <c r="I426" s="4"/>
      <c r="J426" s="11" t="str">
        <f aca="false">IF(K426="","",IF(N(C426)&lt;=0,"Informe a quantidade",IF(IFERROR(INDEX(INVENTÁRIO!$B$2:$B$801,MATCH(K426,INVENTÁRIO!$A$2:$A$801,0)),"")="(sem nome)","Carta fora dos decks: digite o nome na coluna I (opcional)","")))</f>
        <v/>
      </c>
      <c r="K426" s="11" t="str">
        <f aca="false">UPPER(TRIM(SUBSTITUTE(B426&amp;"",CHAR(160)," ")))</f>
        <v/>
      </c>
      <c r="L426" s="11" t="str">
        <f aca="false">IF(AND(K426&lt;&gt;"",TRIM(I426&amp;"")&lt;&gt;""),K426,"")</f>
        <v/>
      </c>
    </row>
    <row r="427" customFormat="false" ht="15" hidden="false" customHeight="false" outlineLevel="0" collapsed="false">
      <c r="A427" s="9"/>
      <c r="B427" s="4"/>
      <c r="C427" s="10"/>
      <c r="D427" s="11" t="str">
        <f aca="false">IF(K427="","",IFERROR(INDEX(DECKS!$C$2:$C$1201,MATCH(K427,DECKS!$B$2:$B$1201,0)),TRIM(I427&amp;"")))</f>
        <v/>
      </c>
      <c r="E427" s="4"/>
      <c r="F427" s="12"/>
      <c r="G427" s="4"/>
      <c r="H427" s="13" t="str">
        <f aca="false">IF(OR(N(C427)=0,N(F427)=0),"",C427*F427)</f>
        <v/>
      </c>
      <c r="I427" s="4"/>
      <c r="J427" s="11" t="str">
        <f aca="false">IF(K427="","",IF(N(C427)&lt;=0,"Informe a quantidade",IF(IFERROR(INDEX(INVENTÁRIO!$B$2:$B$801,MATCH(K427,INVENTÁRIO!$A$2:$A$801,0)),"")="(sem nome)","Carta fora dos decks: digite o nome na coluna I (opcional)","")))</f>
        <v/>
      </c>
      <c r="K427" s="11" t="str">
        <f aca="false">UPPER(TRIM(SUBSTITUTE(B427&amp;"",CHAR(160)," ")))</f>
        <v/>
      </c>
      <c r="L427" s="11" t="str">
        <f aca="false">IF(AND(K427&lt;&gt;"",TRIM(I427&amp;"")&lt;&gt;""),K427,"")</f>
        <v/>
      </c>
    </row>
    <row r="428" customFormat="false" ht="15" hidden="false" customHeight="false" outlineLevel="0" collapsed="false">
      <c r="A428" s="9"/>
      <c r="B428" s="4"/>
      <c r="C428" s="10"/>
      <c r="D428" s="11" t="str">
        <f aca="false">IF(K428="","",IFERROR(INDEX(DECKS!$C$2:$C$1201,MATCH(K428,DECKS!$B$2:$B$1201,0)),TRIM(I428&amp;"")))</f>
        <v/>
      </c>
      <c r="E428" s="4"/>
      <c r="F428" s="12"/>
      <c r="G428" s="4"/>
      <c r="H428" s="13" t="str">
        <f aca="false">IF(OR(N(C428)=0,N(F428)=0),"",C428*F428)</f>
        <v/>
      </c>
      <c r="I428" s="4"/>
      <c r="J428" s="11" t="str">
        <f aca="false">IF(K428="","",IF(N(C428)&lt;=0,"Informe a quantidade",IF(IFERROR(INDEX(INVENTÁRIO!$B$2:$B$801,MATCH(K428,INVENTÁRIO!$A$2:$A$801,0)),"")="(sem nome)","Carta fora dos decks: digite o nome na coluna I (opcional)","")))</f>
        <v/>
      </c>
      <c r="K428" s="11" t="str">
        <f aca="false">UPPER(TRIM(SUBSTITUTE(B428&amp;"",CHAR(160)," ")))</f>
        <v/>
      </c>
      <c r="L428" s="11" t="str">
        <f aca="false">IF(AND(K428&lt;&gt;"",TRIM(I428&amp;"")&lt;&gt;""),K428,"")</f>
        <v/>
      </c>
    </row>
    <row r="429" customFormat="false" ht="15" hidden="false" customHeight="false" outlineLevel="0" collapsed="false">
      <c r="A429" s="9"/>
      <c r="B429" s="4"/>
      <c r="C429" s="10"/>
      <c r="D429" s="11" t="str">
        <f aca="false">IF(K429="","",IFERROR(INDEX(DECKS!$C$2:$C$1201,MATCH(K429,DECKS!$B$2:$B$1201,0)),TRIM(I429&amp;"")))</f>
        <v/>
      </c>
      <c r="E429" s="4"/>
      <c r="F429" s="12"/>
      <c r="G429" s="4"/>
      <c r="H429" s="13" t="str">
        <f aca="false">IF(OR(N(C429)=0,N(F429)=0),"",C429*F429)</f>
        <v/>
      </c>
      <c r="I429" s="4"/>
      <c r="J429" s="11" t="str">
        <f aca="false">IF(K429="","",IF(N(C429)&lt;=0,"Informe a quantidade",IF(IFERROR(INDEX(INVENTÁRIO!$B$2:$B$801,MATCH(K429,INVENTÁRIO!$A$2:$A$801,0)),"")="(sem nome)","Carta fora dos decks: digite o nome na coluna I (opcional)","")))</f>
        <v/>
      </c>
      <c r="K429" s="11" t="str">
        <f aca="false">UPPER(TRIM(SUBSTITUTE(B429&amp;"",CHAR(160)," ")))</f>
        <v/>
      </c>
      <c r="L429" s="11" t="str">
        <f aca="false">IF(AND(K429&lt;&gt;"",TRIM(I429&amp;"")&lt;&gt;""),K429,"")</f>
        <v/>
      </c>
    </row>
    <row r="430" customFormat="false" ht="15" hidden="false" customHeight="false" outlineLevel="0" collapsed="false">
      <c r="A430" s="9"/>
      <c r="B430" s="4"/>
      <c r="C430" s="10"/>
      <c r="D430" s="11" t="str">
        <f aca="false">IF(K430="","",IFERROR(INDEX(DECKS!$C$2:$C$1201,MATCH(K430,DECKS!$B$2:$B$1201,0)),TRIM(I430&amp;"")))</f>
        <v/>
      </c>
      <c r="E430" s="4"/>
      <c r="F430" s="12"/>
      <c r="G430" s="4"/>
      <c r="H430" s="13" t="str">
        <f aca="false">IF(OR(N(C430)=0,N(F430)=0),"",C430*F430)</f>
        <v/>
      </c>
      <c r="I430" s="4"/>
      <c r="J430" s="11" t="str">
        <f aca="false">IF(K430="","",IF(N(C430)&lt;=0,"Informe a quantidade",IF(IFERROR(INDEX(INVENTÁRIO!$B$2:$B$801,MATCH(K430,INVENTÁRIO!$A$2:$A$801,0)),"")="(sem nome)","Carta fora dos decks: digite o nome na coluna I (opcional)","")))</f>
        <v/>
      </c>
      <c r="K430" s="11" t="str">
        <f aca="false">UPPER(TRIM(SUBSTITUTE(B430&amp;"",CHAR(160)," ")))</f>
        <v/>
      </c>
      <c r="L430" s="11" t="str">
        <f aca="false">IF(AND(K430&lt;&gt;"",TRIM(I430&amp;"")&lt;&gt;""),K430,"")</f>
        <v/>
      </c>
    </row>
    <row r="431" customFormat="false" ht="15" hidden="false" customHeight="false" outlineLevel="0" collapsed="false">
      <c r="A431" s="9"/>
      <c r="B431" s="4"/>
      <c r="C431" s="10"/>
      <c r="D431" s="11" t="str">
        <f aca="false">IF(K431="","",IFERROR(INDEX(DECKS!$C$2:$C$1201,MATCH(K431,DECKS!$B$2:$B$1201,0)),TRIM(I431&amp;"")))</f>
        <v/>
      </c>
      <c r="E431" s="4"/>
      <c r="F431" s="12"/>
      <c r="G431" s="4"/>
      <c r="H431" s="13" t="str">
        <f aca="false">IF(OR(N(C431)=0,N(F431)=0),"",C431*F431)</f>
        <v/>
      </c>
      <c r="I431" s="4"/>
      <c r="J431" s="11" t="str">
        <f aca="false">IF(K431="","",IF(N(C431)&lt;=0,"Informe a quantidade",IF(IFERROR(INDEX(INVENTÁRIO!$B$2:$B$801,MATCH(K431,INVENTÁRIO!$A$2:$A$801,0)),"")="(sem nome)","Carta fora dos decks: digite o nome na coluna I (opcional)","")))</f>
        <v/>
      </c>
      <c r="K431" s="11" t="str">
        <f aca="false">UPPER(TRIM(SUBSTITUTE(B431&amp;"",CHAR(160)," ")))</f>
        <v/>
      </c>
      <c r="L431" s="11" t="str">
        <f aca="false">IF(AND(K431&lt;&gt;"",TRIM(I431&amp;"")&lt;&gt;""),K431,"")</f>
        <v/>
      </c>
    </row>
    <row r="432" customFormat="false" ht="15" hidden="false" customHeight="false" outlineLevel="0" collapsed="false">
      <c r="A432" s="9"/>
      <c r="B432" s="4"/>
      <c r="C432" s="10"/>
      <c r="D432" s="11" t="str">
        <f aca="false">IF(K432="","",IFERROR(INDEX(DECKS!$C$2:$C$1201,MATCH(K432,DECKS!$B$2:$B$1201,0)),TRIM(I432&amp;"")))</f>
        <v/>
      </c>
      <c r="E432" s="4"/>
      <c r="F432" s="12"/>
      <c r="G432" s="4"/>
      <c r="H432" s="13" t="str">
        <f aca="false">IF(OR(N(C432)=0,N(F432)=0),"",C432*F432)</f>
        <v/>
      </c>
      <c r="I432" s="4"/>
      <c r="J432" s="11" t="str">
        <f aca="false">IF(K432="","",IF(N(C432)&lt;=0,"Informe a quantidade",IF(IFERROR(INDEX(INVENTÁRIO!$B$2:$B$801,MATCH(K432,INVENTÁRIO!$A$2:$A$801,0)),"")="(sem nome)","Carta fora dos decks: digite o nome na coluna I (opcional)","")))</f>
        <v/>
      </c>
      <c r="K432" s="11" t="str">
        <f aca="false">UPPER(TRIM(SUBSTITUTE(B432&amp;"",CHAR(160)," ")))</f>
        <v/>
      </c>
      <c r="L432" s="11" t="str">
        <f aca="false">IF(AND(K432&lt;&gt;"",TRIM(I432&amp;"")&lt;&gt;""),K432,"")</f>
        <v/>
      </c>
    </row>
    <row r="433" customFormat="false" ht="15" hidden="false" customHeight="false" outlineLevel="0" collapsed="false">
      <c r="A433" s="9"/>
      <c r="B433" s="4"/>
      <c r="C433" s="10"/>
      <c r="D433" s="11" t="str">
        <f aca="false">IF(K433="","",IFERROR(INDEX(DECKS!$C$2:$C$1201,MATCH(K433,DECKS!$B$2:$B$1201,0)),TRIM(I433&amp;"")))</f>
        <v/>
      </c>
      <c r="E433" s="4"/>
      <c r="F433" s="12"/>
      <c r="G433" s="4"/>
      <c r="H433" s="13" t="str">
        <f aca="false">IF(OR(N(C433)=0,N(F433)=0),"",C433*F433)</f>
        <v/>
      </c>
      <c r="I433" s="4"/>
      <c r="J433" s="11" t="str">
        <f aca="false">IF(K433="","",IF(N(C433)&lt;=0,"Informe a quantidade",IF(IFERROR(INDEX(INVENTÁRIO!$B$2:$B$801,MATCH(K433,INVENTÁRIO!$A$2:$A$801,0)),"")="(sem nome)","Carta fora dos decks: digite o nome na coluna I (opcional)","")))</f>
        <v/>
      </c>
      <c r="K433" s="11" t="str">
        <f aca="false">UPPER(TRIM(SUBSTITUTE(B433&amp;"",CHAR(160)," ")))</f>
        <v/>
      </c>
      <c r="L433" s="11" t="str">
        <f aca="false">IF(AND(K433&lt;&gt;"",TRIM(I433&amp;"")&lt;&gt;""),K433,"")</f>
        <v/>
      </c>
    </row>
    <row r="434" customFormat="false" ht="15" hidden="false" customHeight="false" outlineLevel="0" collapsed="false">
      <c r="A434" s="9"/>
      <c r="B434" s="4"/>
      <c r="C434" s="10"/>
      <c r="D434" s="11" t="str">
        <f aca="false">IF(K434="","",IFERROR(INDEX(DECKS!$C$2:$C$1201,MATCH(K434,DECKS!$B$2:$B$1201,0)),TRIM(I434&amp;"")))</f>
        <v/>
      </c>
      <c r="E434" s="4"/>
      <c r="F434" s="12"/>
      <c r="G434" s="4"/>
      <c r="H434" s="13" t="str">
        <f aca="false">IF(OR(N(C434)=0,N(F434)=0),"",C434*F434)</f>
        <v/>
      </c>
      <c r="I434" s="4"/>
      <c r="J434" s="11" t="str">
        <f aca="false">IF(K434="","",IF(N(C434)&lt;=0,"Informe a quantidade",IF(IFERROR(INDEX(INVENTÁRIO!$B$2:$B$801,MATCH(K434,INVENTÁRIO!$A$2:$A$801,0)),"")="(sem nome)","Carta fora dos decks: digite o nome na coluna I (opcional)","")))</f>
        <v/>
      </c>
      <c r="K434" s="11" t="str">
        <f aca="false">UPPER(TRIM(SUBSTITUTE(B434&amp;"",CHAR(160)," ")))</f>
        <v/>
      </c>
      <c r="L434" s="11" t="str">
        <f aca="false">IF(AND(K434&lt;&gt;"",TRIM(I434&amp;"")&lt;&gt;""),K434,"")</f>
        <v/>
      </c>
    </row>
    <row r="435" customFormat="false" ht="15" hidden="false" customHeight="false" outlineLevel="0" collapsed="false">
      <c r="A435" s="9"/>
      <c r="B435" s="4"/>
      <c r="C435" s="10"/>
      <c r="D435" s="11" t="str">
        <f aca="false">IF(K435="","",IFERROR(INDEX(DECKS!$C$2:$C$1201,MATCH(K435,DECKS!$B$2:$B$1201,0)),TRIM(I435&amp;"")))</f>
        <v/>
      </c>
      <c r="E435" s="4"/>
      <c r="F435" s="12"/>
      <c r="G435" s="4"/>
      <c r="H435" s="13" t="str">
        <f aca="false">IF(OR(N(C435)=0,N(F435)=0),"",C435*F435)</f>
        <v/>
      </c>
      <c r="I435" s="4"/>
      <c r="J435" s="11" t="str">
        <f aca="false">IF(K435="","",IF(N(C435)&lt;=0,"Informe a quantidade",IF(IFERROR(INDEX(INVENTÁRIO!$B$2:$B$801,MATCH(K435,INVENTÁRIO!$A$2:$A$801,0)),"")="(sem nome)","Carta fora dos decks: digite o nome na coluna I (opcional)","")))</f>
        <v/>
      </c>
      <c r="K435" s="11" t="str">
        <f aca="false">UPPER(TRIM(SUBSTITUTE(B435&amp;"",CHAR(160)," ")))</f>
        <v/>
      </c>
      <c r="L435" s="11" t="str">
        <f aca="false">IF(AND(K435&lt;&gt;"",TRIM(I435&amp;"")&lt;&gt;""),K435,"")</f>
        <v/>
      </c>
    </row>
    <row r="436" customFormat="false" ht="15" hidden="false" customHeight="false" outlineLevel="0" collapsed="false">
      <c r="A436" s="9"/>
      <c r="B436" s="4"/>
      <c r="C436" s="10"/>
      <c r="D436" s="11" t="str">
        <f aca="false">IF(K436="","",IFERROR(INDEX(DECKS!$C$2:$C$1201,MATCH(K436,DECKS!$B$2:$B$1201,0)),TRIM(I436&amp;"")))</f>
        <v/>
      </c>
      <c r="E436" s="4"/>
      <c r="F436" s="12"/>
      <c r="G436" s="4"/>
      <c r="H436" s="13" t="str">
        <f aca="false">IF(OR(N(C436)=0,N(F436)=0),"",C436*F436)</f>
        <v/>
      </c>
      <c r="I436" s="4"/>
      <c r="J436" s="11" t="str">
        <f aca="false">IF(K436="","",IF(N(C436)&lt;=0,"Informe a quantidade",IF(IFERROR(INDEX(INVENTÁRIO!$B$2:$B$801,MATCH(K436,INVENTÁRIO!$A$2:$A$801,0)),"")="(sem nome)","Carta fora dos decks: digite o nome na coluna I (opcional)","")))</f>
        <v/>
      </c>
      <c r="K436" s="11" t="str">
        <f aca="false">UPPER(TRIM(SUBSTITUTE(B436&amp;"",CHAR(160)," ")))</f>
        <v/>
      </c>
      <c r="L436" s="11" t="str">
        <f aca="false">IF(AND(K436&lt;&gt;"",TRIM(I436&amp;"")&lt;&gt;""),K436,"")</f>
        <v/>
      </c>
    </row>
    <row r="437" customFormat="false" ht="15" hidden="false" customHeight="false" outlineLevel="0" collapsed="false">
      <c r="A437" s="9"/>
      <c r="B437" s="4"/>
      <c r="C437" s="10"/>
      <c r="D437" s="11" t="str">
        <f aca="false">IF(K437="","",IFERROR(INDEX(DECKS!$C$2:$C$1201,MATCH(K437,DECKS!$B$2:$B$1201,0)),TRIM(I437&amp;"")))</f>
        <v/>
      </c>
      <c r="E437" s="4"/>
      <c r="F437" s="12"/>
      <c r="G437" s="4"/>
      <c r="H437" s="13" t="str">
        <f aca="false">IF(OR(N(C437)=0,N(F437)=0),"",C437*F437)</f>
        <v/>
      </c>
      <c r="I437" s="4"/>
      <c r="J437" s="11" t="str">
        <f aca="false">IF(K437="","",IF(N(C437)&lt;=0,"Informe a quantidade",IF(IFERROR(INDEX(INVENTÁRIO!$B$2:$B$801,MATCH(K437,INVENTÁRIO!$A$2:$A$801,0)),"")="(sem nome)","Carta fora dos decks: digite o nome na coluna I (opcional)","")))</f>
        <v/>
      </c>
      <c r="K437" s="11" t="str">
        <f aca="false">UPPER(TRIM(SUBSTITUTE(B437&amp;"",CHAR(160)," ")))</f>
        <v/>
      </c>
      <c r="L437" s="11" t="str">
        <f aca="false">IF(AND(K437&lt;&gt;"",TRIM(I437&amp;"")&lt;&gt;""),K437,"")</f>
        <v/>
      </c>
    </row>
    <row r="438" customFormat="false" ht="15" hidden="false" customHeight="false" outlineLevel="0" collapsed="false">
      <c r="A438" s="9"/>
      <c r="B438" s="4"/>
      <c r="C438" s="10"/>
      <c r="D438" s="11" t="str">
        <f aca="false">IF(K438="","",IFERROR(INDEX(DECKS!$C$2:$C$1201,MATCH(K438,DECKS!$B$2:$B$1201,0)),TRIM(I438&amp;"")))</f>
        <v/>
      </c>
      <c r="E438" s="4"/>
      <c r="F438" s="12"/>
      <c r="G438" s="4"/>
      <c r="H438" s="13" t="str">
        <f aca="false">IF(OR(N(C438)=0,N(F438)=0),"",C438*F438)</f>
        <v/>
      </c>
      <c r="I438" s="4"/>
      <c r="J438" s="11" t="str">
        <f aca="false">IF(K438="","",IF(N(C438)&lt;=0,"Informe a quantidade",IF(IFERROR(INDEX(INVENTÁRIO!$B$2:$B$801,MATCH(K438,INVENTÁRIO!$A$2:$A$801,0)),"")="(sem nome)","Carta fora dos decks: digite o nome na coluna I (opcional)","")))</f>
        <v/>
      </c>
      <c r="K438" s="11" t="str">
        <f aca="false">UPPER(TRIM(SUBSTITUTE(B438&amp;"",CHAR(160)," ")))</f>
        <v/>
      </c>
      <c r="L438" s="11" t="str">
        <f aca="false">IF(AND(K438&lt;&gt;"",TRIM(I438&amp;"")&lt;&gt;""),K438,"")</f>
        <v/>
      </c>
    </row>
    <row r="439" customFormat="false" ht="15" hidden="false" customHeight="false" outlineLevel="0" collapsed="false">
      <c r="A439" s="9"/>
      <c r="B439" s="4"/>
      <c r="C439" s="10"/>
      <c r="D439" s="11" t="str">
        <f aca="false">IF(K439="","",IFERROR(INDEX(DECKS!$C$2:$C$1201,MATCH(K439,DECKS!$B$2:$B$1201,0)),TRIM(I439&amp;"")))</f>
        <v/>
      </c>
      <c r="E439" s="4"/>
      <c r="F439" s="12"/>
      <c r="G439" s="4"/>
      <c r="H439" s="13" t="str">
        <f aca="false">IF(OR(N(C439)=0,N(F439)=0),"",C439*F439)</f>
        <v/>
      </c>
      <c r="I439" s="4"/>
      <c r="J439" s="11" t="str">
        <f aca="false">IF(K439="","",IF(N(C439)&lt;=0,"Informe a quantidade",IF(IFERROR(INDEX(INVENTÁRIO!$B$2:$B$801,MATCH(K439,INVENTÁRIO!$A$2:$A$801,0)),"")="(sem nome)","Carta fora dos decks: digite o nome na coluna I (opcional)","")))</f>
        <v/>
      </c>
      <c r="K439" s="11" t="str">
        <f aca="false">UPPER(TRIM(SUBSTITUTE(B439&amp;"",CHAR(160)," ")))</f>
        <v/>
      </c>
      <c r="L439" s="11" t="str">
        <f aca="false">IF(AND(K439&lt;&gt;"",TRIM(I439&amp;"")&lt;&gt;""),K439,"")</f>
        <v/>
      </c>
    </row>
    <row r="440" customFormat="false" ht="15" hidden="false" customHeight="false" outlineLevel="0" collapsed="false">
      <c r="A440" s="9"/>
      <c r="B440" s="4"/>
      <c r="C440" s="10"/>
      <c r="D440" s="11" t="str">
        <f aca="false">IF(K440="","",IFERROR(INDEX(DECKS!$C$2:$C$1201,MATCH(K440,DECKS!$B$2:$B$1201,0)),TRIM(I440&amp;"")))</f>
        <v/>
      </c>
      <c r="E440" s="4"/>
      <c r="F440" s="12"/>
      <c r="G440" s="4"/>
      <c r="H440" s="13" t="str">
        <f aca="false">IF(OR(N(C440)=0,N(F440)=0),"",C440*F440)</f>
        <v/>
      </c>
      <c r="I440" s="4"/>
      <c r="J440" s="11" t="str">
        <f aca="false">IF(K440="","",IF(N(C440)&lt;=0,"Informe a quantidade",IF(IFERROR(INDEX(INVENTÁRIO!$B$2:$B$801,MATCH(K440,INVENTÁRIO!$A$2:$A$801,0)),"")="(sem nome)","Carta fora dos decks: digite o nome na coluna I (opcional)","")))</f>
        <v/>
      </c>
      <c r="K440" s="11" t="str">
        <f aca="false">UPPER(TRIM(SUBSTITUTE(B440&amp;"",CHAR(160)," ")))</f>
        <v/>
      </c>
      <c r="L440" s="11" t="str">
        <f aca="false">IF(AND(K440&lt;&gt;"",TRIM(I440&amp;"")&lt;&gt;""),K440,"")</f>
        <v/>
      </c>
    </row>
    <row r="441" customFormat="false" ht="15" hidden="false" customHeight="false" outlineLevel="0" collapsed="false">
      <c r="A441" s="9"/>
      <c r="B441" s="4"/>
      <c r="C441" s="10"/>
      <c r="D441" s="11" t="str">
        <f aca="false">IF(K441="","",IFERROR(INDEX(DECKS!$C$2:$C$1201,MATCH(K441,DECKS!$B$2:$B$1201,0)),TRIM(I441&amp;"")))</f>
        <v/>
      </c>
      <c r="E441" s="4"/>
      <c r="F441" s="12"/>
      <c r="G441" s="4"/>
      <c r="H441" s="13" t="str">
        <f aca="false">IF(OR(N(C441)=0,N(F441)=0),"",C441*F441)</f>
        <v/>
      </c>
      <c r="I441" s="4"/>
      <c r="J441" s="11" t="str">
        <f aca="false">IF(K441="","",IF(N(C441)&lt;=0,"Informe a quantidade",IF(IFERROR(INDEX(INVENTÁRIO!$B$2:$B$801,MATCH(K441,INVENTÁRIO!$A$2:$A$801,0)),"")="(sem nome)","Carta fora dos decks: digite o nome na coluna I (opcional)","")))</f>
        <v/>
      </c>
      <c r="K441" s="11" t="str">
        <f aca="false">UPPER(TRIM(SUBSTITUTE(B441&amp;"",CHAR(160)," ")))</f>
        <v/>
      </c>
      <c r="L441" s="11" t="str">
        <f aca="false">IF(AND(K441&lt;&gt;"",TRIM(I441&amp;"")&lt;&gt;""),K441,"")</f>
        <v/>
      </c>
    </row>
    <row r="442" customFormat="false" ht="15" hidden="false" customHeight="false" outlineLevel="0" collapsed="false">
      <c r="A442" s="9"/>
      <c r="B442" s="4"/>
      <c r="C442" s="10"/>
      <c r="D442" s="11" t="str">
        <f aca="false">IF(K442="","",IFERROR(INDEX(DECKS!$C$2:$C$1201,MATCH(K442,DECKS!$B$2:$B$1201,0)),TRIM(I442&amp;"")))</f>
        <v/>
      </c>
      <c r="E442" s="4"/>
      <c r="F442" s="12"/>
      <c r="G442" s="4"/>
      <c r="H442" s="13" t="str">
        <f aca="false">IF(OR(N(C442)=0,N(F442)=0),"",C442*F442)</f>
        <v/>
      </c>
      <c r="I442" s="4"/>
      <c r="J442" s="11" t="str">
        <f aca="false">IF(K442="","",IF(N(C442)&lt;=0,"Informe a quantidade",IF(IFERROR(INDEX(INVENTÁRIO!$B$2:$B$801,MATCH(K442,INVENTÁRIO!$A$2:$A$801,0)),"")="(sem nome)","Carta fora dos decks: digite o nome na coluna I (opcional)","")))</f>
        <v/>
      </c>
      <c r="K442" s="11" t="str">
        <f aca="false">UPPER(TRIM(SUBSTITUTE(B442&amp;"",CHAR(160)," ")))</f>
        <v/>
      </c>
      <c r="L442" s="11" t="str">
        <f aca="false">IF(AND(K442&lt;&gt;"",TRIM(I442&amp;"")&lt;&gt;""),K442,"")</f>
        <v/>
      </c>
    </row>
    <row r="443" customFormat="false" ht="15" hidden="false" customHeight="false" outlineLevel="0" collapsed="false">
      <c r="A443" s="9"/>
      <c r="B443" s="4"/>
      <c r="C443" s="10"/>
      <c r="D443" s="11" t="str">
        <f aca="false">IF(K443="","",IFERROR(INDEX(DECKS!$C$2:$C$1201,MATCH(K443,DECKS!$B$2:$B$1201,0)),TRIM(I443&amp;"")))</f>
        <v/>
      </c>
      <c r="E443" s="4"/>
      <c r="F443" s="12"/>
      <c r="G443" s="4"/>
      <c r="H443" s="13" t="str">
        <f aca="false">IF(OR(N(C443)=0,N(F443)=0),"",C443*F443)</f>
        <v/>
      </c>
      <c r="I443" s="4"/>
      <c r="J443" s="11" t="str">
        <f aca="false">IF(K443="","",IF(N(C443)&lt;=0,"Informe a quantidade",IF(IFERROR(INDEX(INVENTÁRIO!$B$2:$B$801,MATCH(K443,INVENTÁRIO!$A$2:$A$801,0)),"")="(sem nome)","Carta fora dos decks: digite o nome na coluna I (opcional)","")))</f>
        <v/>
      </c>
      <c r="K443" s="11" t="str">
        <f aca="false">UPPER(TRIM(SUBSTITUTE(B443&amp;"",CHAR(160)," ")))</f>
        <v/>
      </c>
      <c r="L443" s="11" t="str">
        <f aca="false">IF(AND(K443&lt;&gt;"",TRIM(I443&amp;"")&lt;&gt;""),K443,"")</f>
        <v/>
      </c>
    </row>
    <row r="444" customFormat="false" ht="15" hidden="false" customHeight="false" outlineLevel="0" collapsed="false">
      <c r="A444" s="9"/>
      <c r="B444" s="4"/>
      <c r="C444" s="10"/>
      <c r="D444" s="11" t="str">
        <f aca="false">IF(K444="","",IFERROR(INDEX(DECKS!$C$2:$C$1201,MATCH(K444,DECKS!$B$2:$B$1201,0)),TRIM(I444&amp;"")))</f>
        <v/>
      </c>
      <c r="E444" s="4"/>
      <c r="F444" s="12"/>
      <c r="G444" s="4"/>
      <c r="H444" s="13" t="str">
        <f aca="false">IF(OR(N(C444)=0,N(F444)=0),"",C444*F444)</f>
        <v/>
      </c>
      <c r="I444" s="4"/>
      <c r="J444" s="11" t="str">
        <f aca="false">IF(K444="","",IF(N(C444)&lt;=0,"Informe a quantidade",IF(IFERROR(INDEX(INVENTÁRIO!$B$2:$B$801,MATCH(K444,INVENTÁRIO!$A$2:$A$801,0)),"")="(sem nome)","Carta fora dos decks: digite o nome na coluna I (opcional)","")))</f>
        <v/>
      </c>
      <c r="K444" s="11" t="str">
        <f aca="false">UPPER(TRIM(SUBSTITUTE(B444&amp;"",CHAR(160)," ")))</f>
        <v/>
      </c>
      <c r="L444" s="11" t="str">
        <f aca="false">IF(AND(K444&lt;&gt;"",TRIM(I444&amp;"")&lt;&gt;""),K444,"")</f>
        <v/>
      </c>
    </row>
    <row r="445" customFormat="false" ht="15" hidden="false" customHeight="false" outlineLevel="0" collapsed="false">
      <c r="A445" s="9"/>
      <c r="B445" s="4"/>
      <c r="C445" s="10"/>
      <c r="D445" s="11" t="str">
        <f aca="false">IF(K445="","",IFERROR(INDEX(DECKS!$C$2:$C$1201,MATCH(K445,DECKS!$B$2:$B$1201,0)),TRIM(I445&amp;"")))</f>
        <v/>
      </c>
      <c r="E445" s="4"/>
      <c r="F445" s="12"/>
      <c r="G445" s="4"/>
      <c r="H445" s="13" t="str">
        <f aca="false">IF(OR(N(C445)=0,N(F445)=0),"",C445*F445)</f>
        <v/>
      </c>
      <c r="I445" s="4"/>
      <c r="J445" s="11" t="str">
        <f aca="false">IF(K445="","",IF(N(C445)&lt;=0,"Informe a quantidade",IF(IFERROR(INDEX(INVENTÁRIO!$B$2:$B$801,MATCH(K445,INVENTÁRIO!$A$2:$A$801,0)),"")="(sem nome)","Carta fora dos decks: digite o nome na coluna I (opcional)","")))</f>
        <v/>
      </c>
      <c r="K445" s="11" t="str">
        <f aca="false">UPPER(TRIM(SUBSTITUTE(B445&amp;"",CHAR(160)," ")))</f>
        <v/>
      </c>
      <c r="L445" s="11" t="str">
        <f aca="false">IF(AND(K445&lt;&gt;"",TRIM(I445&amp;"")&lt;&gt;""),K445,"")</f>
        <v/>
      </c>
    </row>
    <row r="446" customFormat="false" ht="15" hidden="false" customHeight="false" outlineLevel="0" collapsed="false">
      <c r="A446" s="9"/>
      <c r="B446" s="4"/>
      <c r="C446" s="10"/>
      <c r="D446" s="11" t="str">
        <f aca="false">IF(K446="","",IFERROR(INDEX(DECKS!$C$2:$C$1201,MATCH(K446,DECKS!$B$2:$B$1201,0)),TRIM(I446&amp;"")))</f>
        <v/>
      </c>
      <c r="E446" s="4"/>
      <c r="F446" s="12"/>
      <c r="G446" s="4"/>
      <c r="H446" s="13" t="str">
        <f aca="false">IF(OR(N(C446)=0,N(F446)=0),"",C446*F446)</f>
        <v/>
      </c>
      <c r="I446" s="4"/>
      <c r="J446" s="11" t="str">
        <f aca="false">IF(K446="","",IF(N(C446)&lt;=0,"Informe a quantidade",IF(IFERROR(INDEX(INVENTÁRIO!$B$2:$B$801,MATCH(K446,INVENTÁRIO!$A$2:$A$801,0)),"")="(sem nome)","Carta fora dos decks: digite o nome na coluna I (opcional)","")))</f>
        <v/>
      </c>
      <c r="K446" s="11" t="str">
        <f aca="false">UPPER(TRIM(SUBSTITUTE(B446&amp;"",CHAR(160)," ")))</f>
        <v/>
      </c>
      <c r="L446" s="11" t="str">
        <f aca="false">IF(AND(K446&lt;&gt;"",TRIM(I446&amp;"")&lt;&gt;""),K446,"")</f>
        <v/>
      </c>
    </row>
    <row r="447" customFormat="false" ht="15" hidden="false" customHeight="false" outlineLevel="0" collapsed="false">
      <c r="A447" s="9"/>
      <c r="B447" s="4"/>
      <c r="C447" s="10"/>
      <c r="D447" s="11" t="str">
        <f aca="false">IF(K447="","",IFERROR(INDEX(DECKS!$C$2:$C$1201,MATCH(K447,DECKS!$B$2:$B$1201,0)),TRIM(I447&amp;"")))</f>
        <v/>
      </c>
      <c r="E447" s="4"/>
      <c r="F447" s="12"/>
      <c r="G447" s="4"/>
      <c r="H447" s="13" t="str">
        <f aca="false">IF(OR(N(C447)=0,N(F447)=0),"",C447*F447)</f>
        <v/>
      </c>
      <c r="I447" s="4"/>
      <c r="J447" s="11" t="str">
        <f aca="false">IF(K447="","",IF(N(C447)&lt;=0,"Informe a quantidade",IF(IFERROR(INDEX(INVENTÁRIO!$B$2:$B$801,MATCH(K447,INVENTÁRIO!$A$2:$A$801,0)),"")="(sem nome)","Carta fora dos decks: digite o nome na coluna I (opcional)","")))</f>
        <v/>
      </c>
      <c r="K447" s="11" t="str">
        <f aca="false">UPPER(TRIM(SUBSTITUTE(B447&amp;"",CHAR(160)," ")))</f>
        <v/>
      </c>
      <c r="L447" s="11" t="str">
        <f aca="false">IF(AND(K447&lt;&gt;"",TRIM(I447&amp;"")&lt;&gt;""),K447,"")</f>
        <v/>
      </c>
    </row>
    <row r="448" customFormat="false" ht="15" hidden="false" customHeight="false" outlineLevel="0" collapsed="false">
      <c r="A448" s="9"/>
      <c r="B448" s="4"/>
      <c r="C448" s="10"/>
      <c r="D448" s="11" t="str">
        <f aca="false">IF(K448="","",IFERROR(INDEX(DECKS!$C$2:$C$1201,MATCH(K448,DECKS!$B$2:$B$1201,0)),TRIM(I448&amp;"")))</f>
        <v/>
      </c>
      <c r="E448" s="4"/>
      <c r="F448" s="12"/>
      <c r="G448" s="4"/>
      <c r="H448" s="13" t="str">
        <f aca="false">IF(OR(N(C448)=0,N(F448)=0),"",C448*F448)</f>
        <v/>
      </c>
      <c r="I448" s="4"/>
      <c r="J448" s="11" t="str">
        <f aca="false">IF(K448="","",IF(N(C448)&lt;=0,"Informe a quantidade",IF(IFERROR(INDEX(INVENTÁRIO!$B$2:$B$801,MATCH(K448,INVENTÁRIO!$A$2:$A$801,0)),"")="(sem nome)","Carta fora dos decks: digite o nome na coluna I (opcional)","")))</f>
        <v/>
      </c>
      <c r="K448" s="11" t="str">
        <f aca="false">UPPER(TRIM(SUBSTITUTE(B448&amp;"",CHAR(160)," ")))</f>
        <v/>
      </c>
      <c r="L448" s="11" t="str">
        <f aca="false">IF(AND(K448&lt;&gt;"",TRIM(I448&amp;"")&lt;&gt;""),K448,"")</f>
        <v/>
      </c>
    </row>
    <row r="449" customFormat="false" ht="15" hidden="false" customHeight="false" outlineLevel="0" collapsed="false">
      <c r="A449" s="9"/>
      <c r="B449" s="4"/>
      <c r="C449" s="10"/>
      <c r="D449" s="11" t="str">
        <f aca="false">IF(K449="","",IFERROR(INDEX(DECKS!$C$2:$C$1201,MATCH(K449,DECKS!$B$2:$B$1201,0)),TRIM(I449&amp;"")))</f>
        <v/>
      </c>
      <c r="E449" s="4"/>
      <c r="F449" s="12"/>
      <c r="G449" s="4"/>
      <c r="H449" s="13" t="str">
        <f aca="false">IF(OR(N(C449)=0,N(F449)=0),"",C449*F449)</f>
        <v/>
      </c>
      <c r="I449" s="4"/>
      <c r="J449" s="11" t="str">
        <f aca="false">IF(K449="","",IF(N(C449)&lt;=0,"Informe a quantidade",IF(IFERROR(INDEX(INVENTÁRIO!$B$2:$B$801,MATCH(K449,INVENTÁRIO!$A$2:$A$801,0)),"")="(sem nome)","Carta fora dos decks: digite o nome na coluna I (opcional)","")))</f>
        <v/>
      </c>
      <c r="K449" s="11" t="str">
        <f aca="false">UPPER(TRIM(SUBSTITUTE(B449&amp;"",CHAR(160)," ")))</f>
        <v/>
      </c>
      <c r="L449" s="11" t="str">
        <f aca="false">IF(AND(K449&lt;&gt;"",TRIM(I449&amp;"")&lt;&gt;""),K449,"")</f>
        <v/>
      </c>
    </row>
    <row r="450" customFormat="false" ht="15" hidden="false" customHeight="false" outlineLevel="0" collapsed="false">
      <c r="A450" s="9"/>
      <c r="B450" s="4"/>
      <c r="C450" s="10"/>
      <c r="D450" s="11" t="str">
        <f aca="false">IF(K450="","",IFERROR(INDEX(DECKS!$C$2:$C$1201,MATCH(K450,DECKS!$B$2:$B$1201,0)),TRIM(I450&amp;"")))</f>
        <v/>
      </c>
      <c r="E450" s="4"/>
      <c r="F450" s="12"/>
      <c r="G450" s="4"/>
      <c r="H450" s="13" t="str">
        <f aca="false">IF(OR(N(C450)=0,N(F450)=0),"",C450*F450)</f>
        <v/>
      </c>
      <c r="I450" s="4"/>
      <c r="J450" s="11" t="str">
        <f aca="false">IF(K450="","",IF(N(C450)&lt;=0,"Informe a quantidade",IF(IFERROR(INDEX(INVENTÁRIO!$B$2:$B$801,MATCH(K450,INVENTÁRIO!$A$2:$A$801,0)),"")="(sem nome)","Carta fora dos decks: digite o nome na coluna I (opcional)","")))</f>
        <v/>
      </c>
      <c r="K450" s="11" t="str">
        <f aca="false">UPPER(TRIM(SUBSTITUTE(B450&amp;"",CHAR(160)," ")))</f>
        <v/>
      </c>
      <c r="L450" s="11" t="str">
        <f aca="false">IF(AND(K450&lt;&gt;"",TRIM(I450&amp;"")&lt;&gt;""),K450,"")</f>
        <v/>
      </c>
    </row>
    <row r="451" customFormat="false" ht="15" hidden="false" customHeight="false" outlineLevel="0" collapsed="false">
      <c r="A451" s="9"/>
      <c r="B451" s="4"/>
      <c r="C451" s="10"/>
      <c r="D451" s="11" t="str">
        <f aca="false">IF(K451="","",IFERROR(INDEX(DECKS!$C$2:$C$1201,MATCH(K451,DECKS!$B$2:$B$1201,0)),TRIM(I451&amp;"")))</f>
        <v/>
      </c>
      <c r="E451" s="4"/>
      <c r="F451" s="12"/>
      <c r="G451" s="4"/>
      <c r="H451" s="13" t="str">
        <f aca="false">IF(OR(N(C451)=0,N(F451)=0),"",C451*F451)</f>
        <v/>
      </c>
      <c r="I451" s="4"/>
      <c r="J451" s="11" t="str">
        <f aca="false">IF(K451="","",IF(N(C451)&lt;=0,"Informe a quantidade",IF(IFERROR(INDEX(INVENTÁRIO!$B$2:$B$801,MATCH(K451,INVENTÁRIO!$A$2:$A$801,0)),"")="(sem nome)","Carta fora dos decks: digite o nome na coluna I (opcional)","")))</f>
        <v/>
      </c>
      <c r="K451" s="11" t="str">
        <f aca="false">UPPER(TRIM(SUBSTITUTE(B451&amp;"",CHAR(160)," ")))</f>
        <v/>
      </c>
      <c r="L451" s="11" t="str">
        <f aca="false">IF(AND(K451&lt;&gt;"",TRIM(I451&amp;"")&lt;&gt;""),K451,"")</f>
        <v/>
      </c>
    </row>
    <row r="452" customFormat="false" ht="15" hidden="false" customHeight="false" outlineLevel="0" collapsed="false">
      <c r="A452" s="9"/>
      <c r="B452" s="4"/>
      <c r="C452" s="10"/>
      <c r="D452" s="11" t="str">
        <f aca="false">IF(K452="","",IFERROR(INDEX(DECKS!$C$2:$C$1201,MATCH(K452,DECKS!$B$2:$B$1201,0)),TRIM(I452&amp;"")))</f>
        <v/>
      </c>
      <c r="E452" s="4"/>
      <c r="F452" s="12"/>
      <c r="G452" s="4"/>
      <c r="H452" s="13" t="str">
        <f aca="false">IF(OR(N(C452)=0,N(F452)=0),"",C452*F452)</f>
        <v/>
      </c>
      <c r="I452" s="4"/>
      <c r="J452" s="11" t="str">
        <f aca="false">IF(K452="","",IF(N(C452)&lt;=0,"Informe a quantidade",IF(IFERROR(INDEX(INVENTÁRIO!$B$2:$B$801,MATCH(K452,INVENTÁRIO!$A$2:$A$801,0)),"")="(sem nome)","Carta fora dos decks: digite o nome na coluna I (opcional)","")))</f>
        <v/>
      </c>
      <c r="K452" s="11" t="str">
        <f aca="false">UPPER(TRIM(SUBSTITUTE(B452&amp;"",CHAR(160)," ")))</f>
        <v/>
      </c>
      <c r="L452" s="11" t="str">
        <f aca="false">IF(AND(K452&lt;&gt;"",TRIM(I452&amp;"")&lt;&gt;""),K452,"")</f>
        <v/>
      </c>
    </row>
    <row r="453" customFormat="false" ht="15" hidden="false" customHeight="false" outlineLevel="0" collapsed="false">
      <c r="A453" s="9"/>
      <c r="B453" s="4"/>
      <c r="C453" s="10"/>
      <c r="D453" s="11" t="str">
        <f aca="false">IF(K453="","",IFERROR(INDEX(DECKS!$C$2:$C$1201,MATCH(K453,DECKS!$B$2:$B$1201,0)),TRIM(I453&amp;"")))</f>
        <v/>
      </c>
      <c r="E453" s="4"/>
      <c r="F453" s="12"/>
      <c r="G453" s="4"/>
      <c r="H453" s="13" t="str">
        <f aca="false">IF(OR(N(C453)=0,N(F453)=0),"",C453*F453)</f>
        <v/>
      </c>
      <c r="I453" s="4"/>
      <c r="J453" s="11" t="str">
        <f aca="false">IF(K453="","",IF(N(C453)&lt;=0,"Informe a quantidade",IF(IFERROR(INDEX(INVENTÁRIO!$B$2:$B$801,MATCH(K453,INVENTÁRIO!$A$2:$A$801,0)),"")="(sem nome)","Carta fora dos decks: digite o nome na coluna I (opcional)","")))</f>
        <v/>
      </c>
      <c r="K453" s="11" t="str">
        <f aca="false">UPPER(TRIM(SUBSTITUTE(B453&amp;"",CHAR(160)," ")))</f>
        <v/>
      </c>
      <c r="L453" s="11" t="str">
        <f aca="false">IF(AND(K453&lt;&gt;"",TRIM(I453&amp;"")&lt;&gt;""),K453,"")</f>
        <v/>
      </c>
    </row>
    <row r="454" customFormat="false" ht="15" hidden="false" customHeight="false" outlineLevel="0" collapsed="false">
      <c r="A454" s="9"/>
      <c r="B454" s="4"/>
      <c r="C454" s="10"/>
      <c r="D454" s="11" t="str">
        <f aca="false">IF(K454="","",IFERROR(INDEX(DECKS!$C$2:$C$1201,MATCH(K454,DECKS!$B$2:$B$1201,0)),TRIM(I454&amp;"")))</f>
        <v/>
      </c>
      <c r="E454" s="4"/>
      <c r="F454" s="12"/>
      <c r="G454" s="4"/>
      <c r="H454" s="13" t="str">
        <f aca="false">IF(OR(N(C454)=0,N(F454)=0),"",C454*F454)</f>
        <v/>
      </c>
      <c r="I454" s="4"/>
      <c r="J454" s="11" t="str">
        <f aca="false">IF(K454="","",IF(N(C454)&lt;=0,"Informe a quantidade",IF(IFERROR(INDEX(INVENTÁRIO!$B$2:$B$801,MATCH(K454,INVENTÁRIO!$A$2:$A$801,0)),"")="(sem nome)","Carta fora dos decks: digite o nome na coluna I (opcional)","")))</f>
        <v/>
      </c>
      <c r="K454" s="11" t="str">
        <f aca="false">UPPER(TRIM(SUBSTITUTE(B454&amp;"",CHAR(160)," ")))</f>
        <v/>
      </c>
      <c r="L454" s="11" t="str">
        <f aca="false">IF(AND(K454&lt;&gt;"",TRIM(I454&amp;"")&lt;&gt;""),K454,"")</f>
        <v/>
      </c>
    </row>
    <row r="455" customFormat="false" ht="15" hidden="false" customHeight="false" outlineLevel="0" collapsed="false">
      <c r="A455" s="9"/>
      <c r="B455" s="4"/>
      <c r="C455" s="10"/>
      <c r="D455" s="11" t="str">
        <f aca="false">IF(K455="","",IFERROR(INDEX(DECKS!$C$2:$C$1201,MATCH(K455,DECKS!$B$2:$B$1201,0)),TRIM(I455&amp;"")))</f>
        <v/>
      </c>
      <c r="E455" s="4"/>
      <c r="F455" s="12"/>
      <c r="G455" s="4"/>
      <c r="H455" s="13" t="str">
        <f aca="false">IF(OR(N(C455)=0,N(F455)=0),"",C455*F455)</f>
        <v/>
      </c>
      <c r="I455" s="4"/>
      <c r="J455" s="11" t="str">
        <f aca="false">IF(K455="","",IF(N(C455)&lt;=0,"Informe a quantidade",IF(IFERROR(INDEX(INVENTÁRIO!$B$2:$B$801,MATCH(K455,INVENTÁRIO!$A$2:$A$801,0)),"")="(sem nome)","Carta fora dos decks: digite o nome na coluna I (opcional)","")))</f>
        <v/>
      </c>
      <c r="K455" s="11" t="str">
        <f aca="false">UPPER(TRIM(SUBSTITUTE(B455&amp;"",CHAR(160)," ")))</f>
        <v/>
      </c>
      <c r="L455" s="11" t="str">
        <f aca="false">IF(AND(K455&lt;&gt;"",TRIM(I455&amp;"")&lt;&gt;""),K455,"")</f>
        <v/>
      </c>
    </row>
    <row r="456" customFormat="false" ht="15" hidden="false" customHeight="false" outlineLevel="0" collapsed="false">
      <c r="A456" s="9"/>
      <c r="B456" s="4"/>
      <c r="C456" s="10"/>
      <c r="D456" s="11" t="str">
        <f aca="false">IF(K456="","",IFERROR(INDEX(DECKS!$C$2:$C$1201,MATCH(K456,DECKS!$B$2:$B$1201,0)),TRIM(I456&amp;"")))</f>
        <v/>
      </c>
      <c r="E456" s="4"/>
      <c r="F456" s="12"/>
      <c r="G456" s="4"/>
      <c r="H456" s="13" t="str">
        <f aca="false">IF(OR(N(C456)=0,N(F456)=0),"",C456*F456)</f>
        <v/>
      </c>
      <c r="I456" s="4"/>
      <c r="J456" s="11" t="str">
        <f aca="false">IF(K456="","",IF(N(C456)&lt;=0,"Informe a quantidade",IF(IFERROR(INDEX(INVENTÁRIO!$B$2:$B$801,MATCH(K456,INVENTÁRIO!$A$2:$A$801,0)),"")="(sem nome)","Carta fora dos decks: digite o nome na coluna I (opcional)","")))</f>
        <v/>
      </c>
      <c r="K456" s="11" t="str">
        <f aca="false">UPPER(TRIM(SUBSTITUTE(B456&amp;"",CHAR(160)," ")))</f>
        <v/>
      </c>
      <c r="L456" s="11" t="str">
        <f aca="false">IF(AND(K456&lt;&gt;"",TRIM(I456&amp;"")&lt;&gt;""),K456,"")</f>
        <v/>
      </c>
    </row>
    <row r="457" customFormat="false" ht="15" hidden="false" customHeight="false" outlineLevel="0" collapsed="false">
      <c r="A457" s="9"/>
      <c r="B457" s="4"/>
      <c r="C457" s="10"/>
      <c r="D457" s="11" t="str">
        <f aca="false">IF(K457="","",IFERROR(INDEX(DECKS!$C$2:$C$1201,MATCH(K457,DECKS!$B$2:$B$1201,0)),TRIM(I457&amp;"")))</f>
        <v/>
      </c>
      <c r="E457" s="4"/>
      <c r="F457" s="12"/>
      <c r="G457" s="4"/>
      <c r="H457" s="13" t="str">
        <f aca="false">IF(OR(N(C457)=0,N(F457)=0),"",C457*F457)</f>
        <v/>
      </c>
      <c r="I457" s="4"/>
      <c r="J457" s="11" t="str">
        <f aca="false">IF(K457="","",IF(N(C457)&lt;=0,"Informe a quantidade",IF(IFERROR(INDEX(INVENTÁRIO!$B$2:$B$801,MATCH(K457,INVENTÁRIO!$A$2:$A$801,0)),"")="(sem nome)","Carta fora dos decks: digite o nome na coluna I (opcional)","")))</f>
        <v/>
      </c>
      <c r="K457" s="11" t="str">
        <f aca="false">UPPER(TRIM(SUBSTITUTE(B457&amp;"",CHAR(160)," ")))</f>
        <v/>
      </c>
      <c r="L457" s="11" t="str">
        <f aca="false">IF(AND(K457&lt;&gt;"",TRIM(I457&amp;"")&lt;&gt;""),K457,"")</f>
        <v/>
      </c>
    </row>
    <row r="458" customFormat="false" ht="15" hidden="false" customHeight="false" outlineLevel="0" collapsed="false">
      <c r="A458" s="9"/>
      <c r="B458" s="4"/>
      <c r="C458" s="10"/>
      <c r="D458" s="11" t="str">
        <f aca="false">IF(K458="","",IFERROR(INDEX(DECKS!$C$2:$C$1201,MATCH(K458,DECKS!$B$2:$B$1201,0)),TRIM(I458&amp;"")))</f>
        <v/>
      </c>
      <c r="E458" s="4"/>
      <c r="F458" s="12"/>
      <c r="G458" s="4"/>
      <c r="H458" s="13" t="str">
        <f aca="false">IF(OR(N(C458)=0,N(F458)=0),"",C458*F458)</f>
        <v/>
      </c>
      <c r="I458" s="4"/>
      <c r="J458" s="11" t="str">
        <f aca="false">IF(K458="","",IF(N(C458)&lt;=0,"Informe a quantidade",IF(IFERROR(INDEX(INVENTÁRIO!$B$2:$B$801,MATCH(K458,INVENTÁRIO!$A$2:$A$801,0)),"")="(sem nome)","Carta fora dos decks: digite o nome na coluna I (opcional)","")))</f>
        <v/>
      </c>
      <c r="K458" s="11" t="str">
        <f aca="false">UPPER(TRIM(SUBSTITUTE(B458&amp;"",CHAR(160)," ")))</f>
        <v/>
      </c>
      <c r="L458" s="11" t="str">
        <f aca="false">IF(AND(K458&lt;&gt;"",TRIM(I458&amp;"")&lt;&gt;""),K458,"")</f>
        <v/>
      </c>
    </row>
    <row r="459" customFormat="false" ht="15" hidden="false" customHeight="false" outlineLevel="0" collapsed="false">
      <c r="A459" s="9"/>
      <c r="B459" s="4"/>
      <c r="C459" s="10"/>
      <c r="D459" s="11" t="str">
        <f aca="false">IF(K459="","",IFERROR(INDEX(DECKS!$C$2:$C$1201,MATCH(K459,DECKS!$B$2:$B$1201,0)),TRIM(I459&amp;"")))</f>
        <v/>
      </c>
      <c r="E459" s="4"/>
      <c r="F459" s="12"/>
      <c r="G459" s="4"/>
      <c r="H459" s="13" t="str">
        <f aca="false">IF(OR(N(C459)=0,N(F459)=0),"",C459*F459)</f>
        <v/>
      </c>
      <c r="I459" s="4"/>
      <c r="J459" s="11" t="str">
        <f aca="false">IF(K459="","",IF(N(C459)&lt;=0,"Informe a quantidade",IF(IFERROR(INDEX(INVENTÁRIO!$B$2:$B$801,MATCH(K459,INVENTÁRIO!$A$2:$A$801,0)),"")="(sem nome)","Carta fora dos decks: digite o nome na coluna I (opcional)","")))</f>
        <v/>
      </c>
      <c r="K459" s="11" t="str">
        <f aca="false">UPPER(TRIM(SUBSTITUTE(B459&amp;"",CHAR(160)," ")))</f>
        <v/>
      </c>
      <c r="L459" s="11" t="str">
        <f aca="false">IF(AND(K459&lt;&gt;"",TRIM(I459&amp;"")&lt;&gt;""),K459,"")</f>
        <v/>
      </c>
    </row>
    <row r="460" customFormat="false" ht="15" hidden="false" customHeight="false" outlineLevel="0" collapsed="false">
      <c r="A460" s="9"/>
      <c r="B460" s="4"/>
      <c r="C460" s="10"/>
      <c r="D460" s="11" t="str">
        <f aca="false">IF(K460="","",IFERROR(INDEX(DECKS!$C$2:$C$1201,MATCH(K460,DECKS!$B$2:$B$1201,0)),TRIM(I460&amp;"")))</f>
        <v/>
      </c>
      <c r="E460" s="4"/>
      <c r="F460" s="12"/>
      <c r="G460" s="4"/>
      <c r="H460" s="13" t="str">
        <f aca="false">IF(OR(N(C460)=0,N(F460)=0),"",C460*F460)</f>
        <v/>
      </c>
      <c r="I460" s="4"/>
      <c r="J460" s="11" t="str">
        <f aca="false">IF(K460="","",IF(N(C460)&lt;=0,"Informe a quantidade",IF(IFERROR(INDEX(INVENTÁRIO!$B$2:$B$801,MATCH(K460,INVENTÁRIO!$A$2:$A$801,0)),"")="(sem nome)","Carta fora dos decks: digite o nome na coluna I (opcional)","")))</f>
        <v/>
      </c>
      <c r="K460" s="11" t="str">
        <f aca="false">UPPER(TRIM(SUBSTITUTE(B460&amp;"",CHAR(160)," ")))</f>
        <v/>
      </c>
      <c r="L460" s="11" t="str">
        <f aca="false">IF(AND(K460&lt;&gt;"",TRIM(I460&amp;"")&lt;&gt;""),K460,"")</f>
        <v/>
      </c>
    </row>
    <row r="461" customFormat="false" ht="15" hidden="false" customHeight="false" outlineLevel="0" collapsed="false">
      <c r="A461" s="9"/>
      <c r="B461" s="4"/>
      <c r="C461" s="10"/>
      <c r="D461" s="11" t="str">
        <f aca="false">IF(K461="","",IFERROR(INDEX(DECKS!$C$2:$C$1201,MATCH(K461,DECKS!$B$2:$B$1201,0)),TRIM(I461&amp;"")))</f>
        <v/>
      </c>
      <c r="E461" s="4"/>
      <c r="F461" s="12"/>
      <c r="G461" s="4"/>
      <c r="H461" s="13" t="str">
        <f aca="false">IF(OR(N(C461)=0,N(F461)=0),"",C461*F461)</f>
        <v/>
      </c>
      <c r="I461" s="4"/>
      <c r="J461" s="11" t="str">
        <f aca="false">IF(K461="","",IF(N(C461)&lt;=0,"Informe a quantidade",IF(IFERROR(INDEX(INVENTÁRIO!$B$2:$B$801,MATCH(K461,INVENTÁRIO!$A$2:$A$801,0)),"")="(sem nome)","Carta fora dos decks: digite o nome na coluna I (opcional)","")))</f>
        <v/>
      </c>
      <c r="K461" s="11" t="str">
        <f aca="false">UPPER(TRIM(SUBSTITUTE(B461&amp;"",CHAR(160)," ")))</f>
        <v/>
      </c>
      <c r="L461" s="11" t="str">
        <f aca="false">IF(AND(K461&lt;&gt;"",TRIM(I461&amp;"")&lt;&gt;""),K461,"")</f>
        <v/>
      </c>
    </row>
    <row r="462" customFormat="false" ht="15" hidden="false" customHeight="false" outlineLevel="0" collapsed="false">
      <c r="A462" s="9"/>
      <c r="B462" s="4"/>
      <c r="C462" s="10"/>
      <c r="D462" s="11" t="str">
        <f aca="false">IF(K462="","",IFERROR(INDEX(DECKS!$C$2:$C$1201,MATCH(K462,DECKS!$B$2:$B$1201,0)),TRIM(I462&amp;"")))</f>
        <v/>
      </c>
      <c r="E462" s="4"/>
      <c r="F462" s="12"/>
      <c r="G462" s="4"/>
      <c r="H462" s="13" t="str">
        <f aca="false">IF(OR(N(C462)=0,N(F462)=0),"",C462*F462)</f>
        <v/>
      </c>
      <c r="I462" s="4"/>
      <c r="J462" s="11" t="str">
        <f aca="false">IF(K462="","",IF(N(C462)&lt;=0,"Informe a quantidade",IF(IFERROR(INDEX(INVENTÁRIO!$B$2:$B$801,MATCH(K462,INVENTÁRIO!$A$2:$A$801,0)),"")="(sem nome)","Carta fora dos decks: digite o nome na coluna I (opcional)","")))</f>
        <v/>
      </c>
      <c r="K462" s="11" t="str">
        <f aca="false">UPPER(TRIM(SUBSTITUTE(B462&amp;"",CHAR(160)," ")))</f>
        <v/>
      </c>
      <c r="L462" s="11" t="str">
        <f aca="false">IF(AND(K462&lt;&gt;"",TRIM(I462&amp;"")&lt;&gt;""),K462,"")</f>
        <v/>
      </c>
    </row>
    <row r="463" customFormat="false" ht="15" hidden="false" customHeight="false" outlineLevel="0" collapsed="false">
      <c r="A463" s="9"/>
      <c r="B463" s="4"/>
      <c r="C463" s="10"/>
      <c r="D463" s="11" t="str">
        <f aca="false">IF(K463="","",IFERROR(INDEX(DECKS!$C$2:$C$1201,MATCH(K463,DECKS!$B$2:$B$1201,0)),TRIM(I463&amp;"")))</f>
        <v/>
      </c>
      <c r="E463" s="4"/>
      <c r="F463" s="12"/>
      <c r="G463" s="4"/>
      <c r="H463" s="13" t="str">
        <f aca="false">IF(OR(N(C463)=0,N(F463)=0),"",C463*F463)</f>
        <v/>
      </c>
      <c r="I463" s="4"/>
      <c r="J463" s="11" t="str">
        <f aca="false">IF(K463="","",IF(N(C463)&lt;=0,"Informe a quantidade",IF(IFERROR(INDEX(INVENTÁRIO!$B$2:$B$801,MATCH(K463,INVENTÁRIO!$A$2:$A$801,0)),"")="(sem nome)","Carta fora dos decks: digite o nome na coluna I (opcional)","")))</f>
        <v/>
      </c>
      <c r="K463" s="11" t="str">
        <f aca="false">UPPER(TRIM(SUBSTITUTE(B463&amp;"",CHAR(160)," ")))</f>
        <v/>
      </c>
      <c r="L463" s="11" t="str">
        <f aca="false">IF(AND(K463&lt;&gt;"",TRIM(I463&amp;"")&lt;&gt;""),K463,"")</f>
        <v/>
      </c>
    </row>
    <row r="464" customFormat="false" ht="15" hidden="false" customHeight="false" outlineLevel="0" collapsed="false">
      <c r="A464" s="9"/>
      <c r="B464" s="4"/>
      <c r="C464" s="10"/>
      <c r="D464" s="11" t="str">
        <f aca="false">IF(K464="","",IFERROR(INDEX(DECKS!$C$2:$C$1201,MATCH(K464,DECKS!$B$2:$B$1201,0)),TRIM(I464&amp;"")))</f>
        <v/>
      </c>
      <c r="E464" s="4"/>
      <c r="F464" s="12"/>
      <c r="G464" s="4"/>
      <c r="H464" s="13" t="str">
        <f aca="false">IF(OR(N(C464)=0,N(F464)=0),"",C464*F464)</f>
        <v/>
      </c>
      <c r="I464" s="4"/>
      <c r="J464" s="11" t="str">
        <f aca="false">IF(K464="","",IF(N(C464)&lt;=0,"Informe a quantidade",IF(IFERROR(INDEX(INVENTÁRIO!$B$2:$B$801,MATCH(K464,INVENTÁRIO!$A$2:$A$801,0)),"")="(sem nome)","Carta fora dos decks: digite o nome na coluna I (opcional)","")))</f>
        <v/>
      </c>
      <c r="K464" s="11" t="str">
        <f aca="false">UPPER(TRIM(SUBSTITUTE(B464&amp;"",CHAR(160)," ")))</f>
        <v/>
      </c>
      <c r="L464" s="11" t="str">
        <f aca="false">IF(AND(K464&lt;&gt;"",TRIM(I464&amp;"")&lt;&gt;""),K464,"")</f>
        <v/>
      </c>
    </row>
    <row r="465" customFormat="false" ht="15" hidden="false" customHeight="false" outlineLevel="0" collapsed="false">
      <c r="A465" s="9"/>
      <c r="B465" s="4"/>
      <c r="C465" s="10"/>
      <c r="D465" s="11" t="str">
        <f aca="false">IF(K465="","",IFERROR(INDEX(DECKS!$C$2:$C$1201,MATCH(K465,DECKS!$B$2:$B$1201,0)),TRIM(I465&amp;"")))</f>
        <v/>
      </c>
      <c r="E465" s="4"/>
      <c r="F465" s="12"/>
      <c r="G465" s="4"/>
      <c r="H465" s="13" t="str">
        <f aca="false">IF(OR(N(C465)=0,N(F465)=0),"",C465*F465)</f>
        <v/>
      </c>
      <c r="I465" s="4"/>
      <c r="J465" s="11" t="str">
        <f aca="false">IF(K465="","",IF(N(C465)&lt;=0,"Informe a quantidade",IF(IFERROR(INDEX(INVENTÁRIO!$B$2:$B$801,MATCH(K465,INVENTÁRIO!$A$2:$A$801,0)),"")="(sem nome)","Carta fora dos decks: digite o nome na coluna I (opcional)","")))</f>
        <v/>
      </c>
      <c r="K465" s="11" t="str">
        <f aca="false">UPPER(TRIM(SUBSTITUTE(B465&amp;"",CHAR(160)," ")))</f>
        <v/>
      </c>
      <c r="L465" s="11" t="str">
        <f aca="false">IF(AND(K465&lt;&gt;"",TRIM(I465&amp;"")&lt;&gt;""),K465,"")</f>
        <v/>
      </c>
    </row>
    <row r="466" customFormat="false" ht="15" hidden="false" customHeight="false" outlineLevel="0" collapsed="false">
      <c r="A466" s="9"/>
      <c r="B466" s="4"/>
      <c r="C466" s="10"/>
      <c r="D466" s="11" t="str">
        <f aca="false">IF(K466="","",IFERROR(INDEX(DECKS!$C$2:$C$1201,MATCH(K466,DECKS!$B$2:$B$1201,0)),TRIM(I466&amp;"")))</f>
        <v/>
      </c>
      <c r="E466" s="4"/>
      <c r="F466" s="12"/>
      <c r="G466" s="4"/>
      <c r="H466" s="13" t="str">
        <f aca="false">IF(OR(N(C466)=0,N(F466)=0),"",C466*F466)</f>
        <v/>
      </c>
      <c r="I466" s="4"/>
      <c r="J466" s="11" t="str">
        <f aca="false">IF(K466="","",IF(N(C466)&lt;=0,"Informe a quantidade",IF(IFERROR(INDEX(INVENTÁRIO!$B$2:$B$801,MATCH(K466,INVENTÁRIO!$A$2:$A$801,0)),"")="(sem nome)","Carta fora dos decks: digite o nome na coluna I (opcional)","")))</f>
        <v/>
      </c>
      <c r="K466" s="11" t="str">
        <f aca="false">UPPER(TRIM(SUBSTITUTE(B466&amp;"",CHAR(160)," ")))</f>
        <v/>
      </c>
      <c r="L466" s="11" t="str">
        <f aca="false">IF(AND(K466&lt;&gt;"",TRIM(I466&amp;"")&lt;&gt;""),K466,"")</f>
        <v/>
      </c>
    </row>
    <row r="467" customFormat="false" ht="15" hidden="false" customHeight="false" outlineLevel="0" collapsed="false">
      <c r="A467" s="9"/>
      <c r="B467" s="4"/>
      <c r="C467" s="10"/>
      <c r="D467" s="11" t="str">
        <f aca="false">IF(K467="","",IFERROR(INDEX(DECKS!$C$2:$C$1201,MATCH(K467,DECKS!$B$2:$B$1201,0)),TRIM(I467&amp;"")))</f>
        <v/>
      </c>
      <c r="E467" s="4"/>
      <c r="F467" s="12"/>
      <c r="G467" s="4"/>
      <c r="H467" s="13" t="str">
        <f aca="false">IF(OR(N(C467)=0,N(F467)=0),"",C467*F467)</f>
        <v/>
      </c>
      <c r="I467" s="4"/>
      <c r="J467" s="11" t="str">
        <f aca="false">IF(K467="","",IF(N(C467)&lt;=0,"Informe a quantidade",IF(IFERROR(INDEX(INVENTÁRIO!$B$2:$B$801,MATCH(K467,INVENTÁRIO!$A$2:$A$801,0)),"")="(sem nome)","Carta fora dos decks: digite o nome na coluna I (opcional)","")))</f>
        <v/>
      </c>
      <c r="K467" s="11" t="str">
        <f aca="false">UPPER(TRIM(SUBSTITUTE(B467&amp;"",CHAR(160)," ")))</f>
        <v/>
      </c>
      <c r="L467" s="11" t="str">
        <f aca="false">IF(AND(K467&lt;&gt;"",TRIM(I467&amp;"")&lt;&gt;""),K467,"")</f>
        <v/>
      </c>
    </row>
    <row r="468" customFormat="false" ht="15" hidden="false" customHeight="false" outlineLevel="0" collapsed="false">
      <c r="A468" s="9"/>
      <c r="B468" s="4"/>
      <c r="C468" s="10"/>
      <c r="D468" s="11" t="str">
        <f aca="false">IF(K468="","",IFERROR(INDEX(DECKS!$C$2:$C$1201,MATCH(K468,DECKS!$B$2:$B$1201,0)),TRIM(I468&amp;"")))</f>
        <v/>
      </c>
      <c r="E468" s="4"/>
      <c r="F468" s="12"/>
      <c r="G468" s="4"/>
      <c r="H468" s="13" t="str">
        <f aca="false">IF(OR(N(C468)=0,N(F468)=0),"",C468*F468)</f>
        <v/>
      </c>
      <c r="I468" s="4"/>
      <c r="J468" s="11" t="str">
        <f aca="false">IF(K468="","",IF(N(C468)&lt;=0,"Informe a quantidade",IF(IFERROR(INDEX(INVENTÁRIO!$B$2:$B$801,MATCH(K468,INVENTÁRIO!$A$2:$A$801,0)),"")="(sem nome)","Carta fora dos decks: digite o nome na coluna I (opcional)","")))</f>
        <v/>
      </c>
      <c r="K468" s="11" t="str">
        <f aca="false">UPPER(TRIM(SUBSTITUTE(B468&amp;"",CHAR(160)," ")))</f>
        <v/>
      </c>
      <c r="L468" s="11" t="str">
        <f aca="false">IF(AND(K468&lt;&gt;"",TRIM(I468&amp;"")&lt;&gt;""),K468,"")</f>
        <v/>
      </c>
    </row>
    <row r="469" customFormat="false" ht="15" hidden="false" customHeight="false" outlineLevel="0" collapsed="false">
      <c r="A469" s="9"/>
      <c r="B469" s="4"/>
      <c r="C469" s="10"/>
      <c r="D469" s="11" t="str">
        <f aca="false">IF(K469="","",IFERROR(INDEX(DECKS!$C$2:$C$1201,MATCH(K469,DECKS!$B$2:$B$1201,0)),TRIM(I469&amp;"")))</f>
        <v/>
      </c>
      <c r="E469" s="4"/>
      <c r="F469" s="12"/>
      <c r="G469" s="4"/>
      <c r="H469" s="13" t="str">
        <f aca="false">IF(OR(N(C469)=0,N(F469)=0),"",C469*F469)</f>
        <v/>
      </c>
      <c r="I469" s="4"/>
      <c r="J469" s="11" t="str">
        <f aca="false">IF(K469="","",IF(N(C469)&lt;=0,"Informe a quantidade",IF(IFERROR(INDEX(INVENTÁRIO!$B$2:$B$801,MATCH(K469,INVENTÁRIO!$A$2:$A$801,0)),"")="(sem nome)","Carta fora dos decks: digite o nome na coluna I (opcional)","")))</f>
        <v/>
      </c>
      <c r="K469" s="11" t="str">
        <f aca="false">UPPER(TRIM(SUBSTITUTE(B469&amp;"",CHAR(160)," ")))</f>
        <v/>
      </c>
      <c r="L469" s="11" t="str">
        <f aca="false">IF(AND(K469&lt;&gt;"",TRIM(I469&amp;"")&lt;&gt;""),K469,"")</f>
        <v/>
      </c>
    </row>
    <row r="470" customFormat="false" ht="15" hidden="false" customHeight="false" outlineLevel="0" collapsed="false">
      <c r="A470" s="9"/>
      <c r="B470" s="4"/>
      <c r="C470" s="10"/>
      <c r="D470" s="11" t="str">
        <f aca="false">IF(K470="","",IFERROR(INDEX(DECKS!$C$2:$C$1201,MATCH(K470,DECKS!$B$2:$B$1201,0)),TRIM(I470&amp;"")))</f>
        <v/>
      </c>
      <c r="E470" s="4"/>
      <c r="F470" s="12"/>
      <c r="G470" s="4"/>
      <c r="H470" s="13" t="str">
        <f aca="false">IF(OR(N(C470)=0,N(F470)=0),"",C470*F470)</f>
        <v/>
      </c>
      <c r="I470" s="4"/>
      <c r="J470" s="11" t="str">
        <f aca="false">IF(K470="","",IF(N(C470)&lt;=0,"Informe a quantidade",IF(IFERROR(INDEX(INVENTÁRIO!$B$2:$B$801,MATCH(K470,INVENTÁRIO!$A$2:$A$801,0)),"")="(sem nome)","Carta fora dos decks: digite o nome na coluna I (opcional)","")))</f>
        <v/>
      </c>
      <c r="K470" s="11" t="str">
        <f aca="false">UPPER(TRIM(SUBSTITUTE(B470&amp;"",CHAR(160)," ")))</f>
        <v/>
      </c>
      <c r="L470" s="11" t="str">
        <f aca="false">IF(AND(K470&lt;&gt;"",TRIM(I470&amp;"")&lt;&gt;""),K470,"")</f>
        <v/>
      </c>
    </row>
    <row r="471" customFormat="false" ht="15" hidden="false" customHeight="false" outlineLevel="0" collapsed="false">
      <c r="A471" s="9"/>
      <c r="B471" s="4"/>
      <c r="C471" s="10"/>
      <c r="D471" s="11" t="str">
        <f aca="false">IF(K471="","",IFERROR(INDEX(DECKS!$C$2:$C$1201,MATCH(K471,DECKS!$B$2:$B$1201,0)),TRIM(I471&amp;"")))</f>
        <v/>
      </c>
      <c r="E471" s="4"/>
      <c r="F471" s="12"/>
      <c r="G471" s="4"/>
      <c r="H471" s="13" t="str">
        <f aca="false">IF(OR(N(C471)=0,N(F471)=0),"",C471*F471)</f>
        <v/>
      </c>
      <c r="I471" s="4"/>
      <c r="J471" s="11" t="str">
        <f aca="false">IF(K471="","",IF(N(C471)&lt;=0,"Informe a quantidade",IF(IFERROR(INDEX(INVENTÁRIO!$B$2:$B$801,MATCH(K471,INVENTÁRIO!$A$2:$A$801,0)),"")="(sem nome)","Carta fora dos decks: digite o nome na coluna I (opcional)","")))</f>
        <v/>
      </c>
      <c r="K471" s="11" t="str">
        <f aca="false">UPPER(TRIM(SUBSTITUTE(B471&amp;"",CHAR(160)," ")))</f>
        <v/>
      </c>
      <c r="L471" s="11" t="str">
        <f aca="false">IF(AND(K471&lt;&gt;"",TRIM(I471&amp;"")&lt;&gt;""),K471,"")</f>
        <v/>
      </c>
    </row>
    <row r="472" customFormat="false" ht="15" hidden="false" customHeight="false" outlineLevel="0" collapsed="false">
      <c r="A472" s="9"/>
      <c r="B472" s="4"/>
      <c r="C472" s="10"/>
      <c r="D472" s="11" t="str">
        <f aca="false">IF(K472="","",IFERROR(INDEX(DECKS!$C$2:$C$1201,MATCH(K472,DECKS!$B$2:$B$1201,0)),TRIM(I472&amp;"")))</f>
        <v/>
      </c>
      <c r="E472" s="4"/>
      <c r="F472" s="12"/>
      <c r="G472" s="4"/>
      <c r="H472" s="13" t="str">
        <f aca="false">IF(OR(N(C472)=0,N(F472)=0),"",C472*F472)</f>
        <v/>
      </c>
      <c r="I472" s="4"/>
      <c r="J472" s="11" t="str">
        <f aca="false">IF(K472="","",IF(N(C472)&lt;=0,"Informe a quantidade",IF(IFERROR(INDEX(INVENTÁRIO!$B$2:$B$801,MATCH(K472,INVENTÁRIO!$A$2:$A$801,0)),"")="(sem nome)","Carta fora dos decks: digite o nome na coluna I (opcional)","")))</f>
        <v/>
      </c>
      <c r="K472" s="11" t="str">
        <f aca="false">UPPER(TRIM(SUBSTITUTE(B472&amp;"",CHAR(160)," ")))</f>
        <v/>
      </c>
      <c r="L472" s="11" t="str">
        <f aca="false">IF(AND(K472&lt;&gt;"",TRIM(I472&amp;"")&lt;&gt;""),K472,"")</f>
        <v/>
      </c>
    </row>
    <row r="473" customFormat="false" ht="15" hidden="false" customHeight="false" outlineLevel="0" collapsed="false">
      <c r="A473" s="9"/>
      <c r="B473" s="4"/>
      <c r="C473" s="10"/>
      <c r="D473" s="11" t="str">
        <f aca="false">IF(K473="","",IFERROR(INDEX(DECKS!$C$2:$C$1201,MATCH(K473,DECKS!$B$2:$B$1201,0)),TRIM(I473&amp;"")))</f>
        <v/>
      </c>
      <c r="E473" s="4"/>
      <c r="F473" s="12"/>
      <c r="G473" s="4"/>
      <c r="H473" s="13" t="str">
        <f aca="false">IF(OR(N(C473)=0,N(F473)=0),"",C473*F473)</f>
        <v/>
      </c>
      <c r="I473" s="4"/>
      <c r="J473" s="11" t="str">
        <f aca="false">IF(K473="","",IF(N(C473)&lt;=0,"Informe a quantidade",IF(IFERROR(INDEX(INVENTÁRIO!$B$2:$B$801,MATCH(K473,INVENTÁRIO!$A$2:$A$801,0)),"")="(sem nome)","Carta fora dos decks: digite o nome na coluna I (opcional)","")))</f>
        <v/>
      </c>
      <c r="K473" s="11" t="str">
        <f aca="false">UPPER(TRIM(SUBSTITUTE(B473&amp;"",CHAR(160)," ")))</f>
        <v/>
      </c>
      <c r="L473" s="11" t="str">
        <f aca="false">IF(AND(K473&lt;&gt;"",TRIM(I473&amp;"")&lt;&gt;""),K473,"")</f>
        <v/>
      </c>
    </row>
    <row r="474" customFormat="false" ht="15" hidden="false" customHeight="false" outlineLevel="0" collapsed="false">
      <c r="A474" s="9"/>
      <c r="B474" s="4"/>
      <c r="C474" s="10"/>
      <c r="D474" s="11" t="str">
        <f aca="false">IF(K474="","",IFERROR(INDEX(DECKS!$C$2:$C$1201,MATCH(K474,DECKS!$B$2:$B$1201,0)),TRIM(I474&amp;"")))</f>
        <v/>
      </c>
      <c r="E474" s="4"/>
      <c r="F474" s="12"/>
      <c r="G474" s="4"/>
      <c r="H474" s="13" t="str">
        <f aca="false">IF(OR(N(C474)=0,N(F474)=0),"",C474*F474)</f>
        <v/>
      </c>
      <c r="I474" s="4"/>
      <c r="J474" s="11" t="str">
        <f aca="false">IF(K474="","",IF(N(C474)&lt;=0,"Informe a quantidade",IF(IFERROR(INDEX(INVENTÁRIO!$B$2:$B$801,MATCH(K474,INVENTÁRIO!$A$2:$A$801,0)),"")="(sem nome)","Carta fora dos decks: digite o nome na coluna I (opcional)","")))</f>
        <v/>
      </c>
      <c r="K474" s="11" t="str">
        <f aca="false">UPPER(TRIM(SUBSTITUTE(B474&amp;"",CHAR(160)," ")))</f>
        <v/>
      </c>
      <c r="L474" s="11" t="str">
        <f aca="false">IF(AND(K474&lt;&gt;"",TRIM(I474&amp;"")&lt;&gt;""),K474,"")</f>
        <v/>
      </c>
    </row>
    <row r="475" customFormat="false" ht="15" hidden="false" customHeight="false" outlineLevel="0" collapsed="false">
      <c r="A475" s="9"/>
      <c r="B475" s="4"/>
      <c r="C475" s="10"/>
      <c r="D475" s="11" t="str">
        <f aca="false">IF(K475="","",IFERROR(INDEX(DECKS!$C$2:$C$1201,MATCH(K475,DECKS!$B$2:$B$1201,0)),TRIM(I475&amp;"")))</f>
        <v/>
      </c>
      <c r="E475" s="4"/>
      <c r="F475" s="12"/>
      <c r="G475" s="4"/>
      <c r="H475" s="13" t="str">
        <f aca="false">IF(OR(N(C475)=0,N(F475)=0),"",C475*F475)</f>
        <v/>
      </c>
      <c r="I475" s="4"/>
      <c r="J475" s="11" t="str">
        <f aca="false">IF(K475="","",IF(N(C475)&lt;=0,"Informe a quantidade",IF(IFERROR(INDEX(INVENTÁRIO!$B$2:$B$801,MATCH(K475,INVENTÁRIO!$A$2:$A$801,0)),"")="(sem nome)","Carta fora dos decks: digite o nome na coluna I (opcional)","")))</f>
        <v/>
      </c>
      <c r="K475" s="11" t="str">
        <f aca="false">UPPER(TRIM(SUBSTITUTE(B475&amp;"",CHAR(160)," ")))</f>
        <v/>
      </c>
      <c r="L475" s="11" t="str">
        <f aca="false">IF(AND(K475&lt;&gt;"",TRIM(I475&amp;"")&lt;&gt;""),K475,"")</f>
        <v/>
      </c>
    </row>
    <row r="476" customFormat="false" ht="15" hidden="false" customHeight="false" outlineLevel="0" collapsed="false">
      <c r="A476" s="9"/>
      <c r="B476" s="4"/>
      <c r="C476" s="10"/>
      <c r="D476" s="11" t="str">
        <f aca="false">IF(K476="","",IFERROR(INDEX(DECKS!$C$2:$C$1201,MATCH(K476,DECKS!$B$2:$B$1201,0)),TRIM(I476&amp;"")))</f>
        <v/>
      </c>
      <c r="E476" s="4"/>
      <c r="F476" s="12"/>
      <c r="G476" s="4"/>
      <c r="H476" s="13" t="str">
        <f aca="false">IF(OR(N(C476)=0,N(F476)=0),"",C476*F476)</f>
        <v/>
      </c>
      <c r="I476" s="4"/>
      <c r="J476" s="11" t="str">
        <f aca="false">IF(K476="","",IF(N(C476)&lt;=0,"Informe a quantidade",IF(IFERROR(INDEX(INVENTÁRIO!$B$2:$B$801,MATCH(K476,INVENTÁRIO!$A$2:$A$801,0)),"")="(sem nome)","Carta fora dos decks: digite o nome na coluna I (opcional)","")))</f>
        <v/>
      </c>
      <c r="K476" s="11" t="str">
        <f aca="false">UPPER(TRIM(SUBSTITUTE(B476&amp;"",CHAR(160)," ")))</f>
        <v/>
      </c>
      <c r="L476" s="11" t="str">
        <f aca="false">IF(AND(K476&lt;&gt;"",TRIM(I476&amp;"")&lt;&gt;""),K476,"")</f>
        <v/>
      </c>
    </row>
    <row r="477" customFormat="false" ht="15" hidden="false" customHeight="false" outlineLevel="0" collapsed="false">
      <c r="A477" s="9"/>
      <c r="B477" s="4"/>
      <c r="C477" s="10"/>
      <c r="D477" s="11" t="str">
        <f aca="false">IF(K477="","",IFERROR(INDEX(DECKS!$C$2:$C$1201,MATCH(K477,DECKS!$B$2:$B$1201,0)),TRIM(I477&amp;"")))</f>
        <v/>
      </c>
      <c r="E477" s="4"/>
      <c r="F477" s="12"/>
      <c r="G477" s="4"/>
      <c r="H477" s="13" t="str">
        <f aca="false">IF(OR(N(C477)=0,N(F477)=0),"",C477*F477)</f>
        <v/>
      </c>
      <c r="I477" s="4"/>
      <c r="J477" s="11" t="str">
        <f aca="false">IF(K477="","",IF(N(C477)&lt;=0,"Informe a quantidade",IF(IFERROR(INDEX(INVENTÁRIO!$B$2:$B$801,MATCH(K477,INVENTÁRIO!$A$2:$A$801,0)),"")="(sem nome)","Carta fora dos decks: digite o nome na coluna I (opcional)","")))</f>
        <v/>
      </c>
      <c r="K477" s="11" t="str">
        <f aca="false">UPPER(TRIM(SUBSTITUTE(B477&amp;"",CHAR(160)," ")))</f>
        <v/>
      </c>
      <c r="L477" s="11" t="str">
        <f aca="false">IF(AND(K477&lt;&gt;"",TRIM(I477&amp;"")&lt;&gt;""),K477,"")</f>
        <v/>
      </c>
    </row>
    <row r="478" customFormat="false" ht="15" hidden="false" customHeight="false" outlineLevel="0" collapsed="false">
      <c r="A478" s="9"/>
      <c r="B478" s="4"/>
      <c r="C478" s="10"/>
      <c r="D478" s="11" t="str">
        <f aca="false">IF(K478="","",IFERROR(INDEX(DECKS!$C$2:$C$1201,MATCH(K478,DECKS!$B$2:$B$1201,0)),TRIM(I478&amp;"")))</f>
        <v/>
      </c>
      <c r="E478" s="4"/>
      <c r="F478" s="12"/>
      <c r="G478" s="4"/>
      <c r="H478" s="13" t="str">
        <f aca="false">IF(OR(N(C478)=0,N(F478)=0),"",C478*F478)</f>
        <v/>
      </c>
      <c r="I478" s="4"/>
      <c r="J478" s="11" t="str">
        <f aca="false">IF(K478="","",IF(N(C478)&lt;=0,"Informe a quantidade",IF(IFERROR(INDEX(INVENTÁRIO!$B$2:$B$801,MATCH(K478,INVENTÁRIO!$A$2:$A$801,0)),"")="(sem nome)","Carta fora dos decks: digite o nome na coluna I (opcional)","")))</f>
        <v/>
      </c>
      <c r="K478" s="11" t="str">
        <f aca="false">UPPER(TRIM(SUBSTITUTE(B478&amp;"",CHAR(160)," ")))</f>
        <v/>
      </c>
      <c r="L478" s="11" t="str">
        <f aca="false">IF(AND(K478&lt;&gt;"",TRIM(I478&amp;"")&lt;&gt;""),K478,"")</f>
        <v/>
      </c>
    </row>
    <row r="479" customFormat="false" ht="15" hidden="false" customHeight="false" outlineLevel="0" collapsed="false">
      <c r="A479" s="9"/>
      <c r="B479" s="4"/>
      <c r="C479" s="10"/>
      <c r="D479" s="11" t="str">
        <f aca="false">IF(K479="","",IFERROR(INDEX(DECKS!$C$2:$C$1201,MATCH(K479,DECKS!$B$2:$B$1201,0)),TRIM(I479&amp;"")))</f>
        <v/>
      </c>
      <c r="E479" s="4"/>
      <c r="F479" s="12"/>
      <c r="G479" s="4"/>
      <c r="H479" s="13" t="str">
        <f aca="false">IF(OR(N(C479)=0,N(F479)=0),"",C479*F479)</f>
        <v/>
      </c>
      <c r="I479" s="4"/>
      <c r="J479" s="11" t="str">
        <f aca="false">IF(K479="","",IF(N(C479)&lt;=0,"Informe a quantidade",IF(IFERROR(INDEX(INVENTÁRIO!$B$2:$B$801,MATCH(K479,INVENTÁRIO!$A$2:$A$801,0)),"")="(sem nome)","Carta fora dos decks: digite o nome na coluna I (opcional)","")))</f>
        <v/>
      </c>
      <c r="K479" s="11" t="str">
        <f aca="false">UPPER(TRIM(SUBSTITUTE(B479&amp;"",CHAR(160)," ")))</f>
        <v/>
      </c>
      <c r="L479" s="11" t="str">
        <f aca="false">IF(AND(K479&lt;&gt;"",TRIM(I479&amp;"")&lt;&gt;""),K479,"")</f>
        <v/>
      </c>
    </row>
    <row r="480" customFormat="false" ht="15" hidden="false" customHeight="false" outlineLevel="0" collapsed="false">
      <c r="A480" s="9"/>
      <c r="B480" s="4"/>
      <c r="C480" s="10"/>
      <c r="D480" s="11" t="str">
        <f aca="false">IF(K480="","",IFERROR(INDEX(DECKS!$C$2:$C$1201,MATCH(K480,DECKS!$B$2:$B$1201,0)),TRIM(I480&amp;"")))</f>
        <v/>
      </c>
      <c r="E480" s="4"/>
      <c r="F480" s="12"/>
      <c r="G480" s="4"/>
      <c r="H480" s="13" t="str">
        <f aca="false">IF(OR(N(C480)=0,N(F480)=0),"",C480*F480)</f>
        <v/>
      </c>
      <c r="I480" s="4"/>
      <c r="J480" s="11" t="str">
        <f aca="false">IF(K480="","",IF(N(C480)&lt;=0,"Informe a quantidade",IF(IFERROR(INDEX(INVENTÁRIO!$B$2:$B$801,MATCH(K480,INVENTÁRIO!$A$2:$A$801,0)),"")="(sem nome)","Carta fora dos decks: digite o nome na coluna I (opcional)","")))</f>
        <v/>
      </c>
      <c r="K480" s="11" t="str">
        <f aca="false">UPPER(TRIM(SUBSTITUTE(B480&amp;"",CHAR(160)," ")))</f>
        <v/>
      </c>
      <c r="L480" s="11" t="str">
        <f aca="false">IF(AND(K480&lt;&gt;"",TRIM(I480&amp;"")&lt;&gt;""),K480,"")</f>
        <v/>
      </c>
    </row>
    <row r="481" customFormat="false" ht="15" hidden="false" customHeight="false" outlineLevel="0" collapsed="false">
      <c r="A481" s="9"/>
      <c r="B481" s="4"/>
      <c r="C481" s="10"/>
      <c r="D481" s="11" t="str">
        <f aca="false">IF(K481="","",IFERROR(INDEX(DECKS!$C$2:$C$1201,MATCH(K481,DECKS!$B$2:$B$1201,0)),TRIM(I481&amp;"")))</f>
        <v/>
      </c>
      <c r="E481" s="4"/>
      <c r="F481" s="12"/>
      <c r="G481" s="4"/>
      <c r="H481" s="13" t="str">
        <f aca="false">IF(OR(N(C481)=0,N(F481)=0),"",C481*F481)</f>
        <v/>
      </c>
      <c r="I481" s="4"/>
      <c r="J481" s="11" t="str">
        <f aca="false">IF(K481="","",IF(N(C481)&lt;=0,"Informe a quantidade",IF(IFERROR(INDEX(INVENTÁRIO!$B$2:$B$801,MATCH(K481,INVENTÁRIO!$A$2:$A$801,0)),"")="(sem nome)","Carta fora dos decks: digite o nome na coluna I (opcional)","")))</f>
        <v/>
      </c>
      <c r="K481" s="11" t="str">
        <f aca="false">UPPER(TRIM(SUBSTITUTE(B481&amp;"",CHAR(160)," ")))</f>
        <v/>
      </c>
      <c r="L481" s="11" t="str">
        <f aca="false">IF(AND(K481&lt;&gt;"",TRIM(I481&amp;"")&lt;&gt;""),K481,"")</f>
        <v/>
      </c>
    </row>
    <row r="482" customFormat="false" ht="15" hidden="false" customHeight="false" outlineLevel="0" collapsed="false">
      <c r="A482" s="9"/>
      <c r="B482" s="4"/>
      <c r="C482" s="10"/>
      <c r="D482" s="11" t="str">
        <f aca="false">IF(K482="","",IFERROR(INDEX(DECKS!$C$2:$C$1201,MATCH(K482,DECKS!$B$2:$B$1201,0)),TRIM(I482&amp;"")))</f>
        <v/>
      </c>
      <c r="E482" s="4"/>
      <c r="F482" s="12"/>
      <c r="G482" s="4"/>
      <c r="H482" s="13" t="str">
        <f aca="false">IF(OR(N(C482)=0,N(F482)=0),"",C482*F482)</f>
        <v/>
      </c>
      <c r="I482" s="4"/>
      <c r="J482" s="11" t="str">
        <f aca="false">IF(K482="","",IF(N(C482)&lt;=0,"Informe a quantidade",IF(IFERROR(INDEX(INVENTÁRIO!$B$2:$B$801,MATCH(K482,INVENTÁRIO!$A$2:$A$801,0)),"")="(sem nome)","Carta fora dos decks: digite o nome na coluna I (opcional)","")))</f>
        <v/>
      </c>
      <c r="K482" s="11" t="str">
        <f aca="false">UPPER(TRIM(SUBSTITUTE(B482&amp;"",CHAR(160)," ")))</f>
        <v/>
      </c>
      <c r="L482" s="11" t="str">
        <f aca="false">IF(AND(K482&lt;&gt;"",TRIM(I482&amp;"")&lt;&gt;""),K482,"")</f>
        <v/>
      </c>
    </row>
    <row r="483" customFormat="false" ht="15" hidden="false" customHeight="false" outlineLevel="0" collapsed="false">
      <c r="A483" s="9"/>
      <c r="B483" s="4"/>
      <c r="C483" s="10"/>
      <c r="D483" s="11" t="str">
        <f aca="false">IF(K483="","",IFERROR(INDEX(DECKS!$C$2:$C$1201,MATCH(K483,DECKS!$B$2:$B$1201,0)),TRIM(I483&amp;"")))</f>
        <v/>
      </c>
      <c r="E483" s="4"/>
      <c r="F483" s="12"/>
      <c r="G483" s="4"/>
      <c r="H483" s="13" t="str">
        <f aca="false">IF(OR(N(C483)=0,N(F483)=0),"",C483*F483)</f>
        <v/>
      </c>
      <c r="I483" s="4"/>
      <c r="J483" s="11" t="str">
        <f aca="false">IF(K483="","",IF(N(C483)&lt;=0,"Informe a quantidade",IF(IFERROR(INDEX(INVENTÁRIO!$B$2:$B$801,MATCH(K483,INVENTÁRIO!$A$2:$A$801,0)),"")="(sem nome)","Carta fora dos decks: digite o nome na coluna I (opcional)","")))</f>
        <v/>
      </c>
      <c r="K483" s="11" t="str">
        <f aca="false">UPPER(TRIM(SUBSTITUTE(B483&amp;"",CHAR(160)," ")))</f>
        <v/>
      </c>
      <c r="L483" s="11" t="str">
        <f aca="false">IF(AND(K483&lt;&gt;"",TRIM(I483&amp;"")&lt;&gt;""),K483,"")</f>
        <v/>
      </c>
    </row>
    <row r="484" customFormat="false" ht="15" hidden="false" customHeight="false" outlineLevel="0" collapsed="false">
      <c r="A484" s="9"/>
      <c r="B484" s="4"/>
      <c r="C484" s="10"/>
      <c r="D484" s="11" t="str">
        <f aca="false">IF(K484="","",IFERROR(INDEX(DECKS!$C$2:$C$1201,MATCH(K484,DECKS!$B$2:$B$1201,0)),TRIM(I484&amp;"")))</f>
        <v/>
      </c>
      <c r="E484" s="4"/>
      <c r="F484" s="12"/>
      <c r="G484" s="4"/>
      <c r="H484" s="13" t="str">
        <f aca="false">IF(OR(N(C484)=0,N(F484)=0),"",C484*F484)</f>
        <v/>
      </c>
      <c r="I484" s="4"/>
      <c r="J484" s="11" t="str">
        <f aca="false">IF(K484="","",IF(N(C484)&lt;=0,"Informe a quantidade",IF(IFERROR(INDEX(INVENTÁRIO!$B$2:$B$801,MATCH(K484,INVENTÁRIO!$A$2:$A$801,0)),"")="(sem nome)","Carta fora dos decks: digite o nome na coluna I (opcional)","")))</f>
        <v/>
      </c>
      <c r="K484" s="11" t="str">
        <f aca="false">UPPER(TRIM(SUBSTITUTE(B484&amp;"",CHAR(160)," ")))</f>
        <v/>
      </c>
      <c r="L484" s="11" t="str">
        <f aca="false">IF(AND(K484&lt;&gt;"",TRIM(I484&amp;"")&lt;&gt;""),K484,"")</f>
        <v/>
      </c>
    </row>
    <row r="485" customFormat="false" ht="15" hidden="false" customHeight="false" outlineLevel="0" collapsed="false">
      <c r="A485" s="9"/>
      <c r="B485" s="4"/>
      <c r="C485" s="10"/>
      <c r="D485" s="11" t="str">
        <f aca="false">IF(K485="","",IFERROR(INDEX(DECKS!$C$2:$C$1201,MATCH(K485,DECKS!$B$2:$B$1201,0)),TRIM(I485&amp;"")))</f>
        <v/>
      </c>
      <c r="E485" s="4"/>
      <c r="F485" s="12"/>
      <c r="G485" s="4"/>
      <c r="H485" s="13" t="str">
        <f aca="false">IF(OR(N(C485)=0,N(F485)=0),"",C485*F485)</f>
        <v/>
      </c>
      <c r="I485" s="4"/>
      <c r="J485" s="11" t="str">
        <f aca="false">IF(K485="","",IF(N(C485)&lt;=0,"Informe a quantidade",IF(IFERROR(INDEX(INVENTÁRIO!$B$2:$B$801,MATCH(K485,INVENTÁRIO!$A$2:$A$801,0)),"")="(sem nome)","Carta fora dos decks: digite o nome na coluna I (opcional)","")))</f>
        <v/>
      </c>
      <c r="K485" s="11" t="str">
        <f aca="false">UPPER(TRIM(SUBSTITUTE(B485&amp;"",CHAR(160)," ")))</f>
        <v/>
      </c>
      <c r="L485" s="11" t="str">
        <f aca="false">IF(AND(K485&lt;&gt;"",TRIM(I485&amp;"")&lt;&gt;""),K485,"")</f>
        <v/>
      </c>
    </row>
    <row r="486" customFormat="false" ht="15" hidden="false" customHeight="false" outlineLevel="0" collapsed="false">
      <c r="A486" s="9"/>
      <c r="B486" s="4"/>
      <c r="C486" s="10"/>
      <c r="D486" s="11" t="str">
        <f aca="false">IF(K486="","",IFERROR(INDEX(DECKS!$C$2:$C$1201,MATCH(K486,DECKS!$B$2:$B$1201,0)),TRIM(I486&amp;"")))</f>
        <v/>
      </c>
      <c r="E486" s="4"/>
      <c r="F486" s="12"/>
      <c r="G486" s="4"/>
      <c r="H486" s="13" t="str">
        <f aca="false">IF(OR(N(C486)=0,N(F486)=0),"",C486*F486)</f>
        <v/>
      </c>
      <c r="I486" s="4"/>
      <c r="J486" s="11" t="str">
        <f aca="false">IF(K486="","",IF(N(C486)&lt;=0,"Informe a quantidade",IF(IFERROR(INDEX(INVENTÁRIO!$B$2:$B$801,MATCH(K486,INVENTÁRIO!$A$2:$A$801,0)),"")="(sem nome)","Carta fora dos decks: digite o nome na coluna I (opcional)","")))</f>
        <v/>
      </c>
      <c r="K486" s="11" t="str">
        <f aca="false">UPPER(TRIM(SUBSTITUTE(B486&amp;"",CHAR(160)," ")))</f>
        <v/>
      </c>
      <c r="L486" s="11" t="str">
        <f aca="false">IF(AND(K486&lt;&gt;"",TRIM(I486&amp;"")&lt;&gt;""),K486,"")</f>
        <v/>
      </c>
    </row>
    <row r="487" customFormat="false" ht="15" hidden="false" customHeight="false" outlineLevel="0" collapsed="false">
      <c r="A487" s="9"/>
      <c r="B487" s="4"/>
      <c r="C487" s="10"/>
      <c r="D487" s="11" t="str">
        <f aca="false">IF(K487="","",IFERROR(INDEX(DECKS!$C$2:$C$1201,MATCH(K487,DECKS!$B$2:$B$1201,0)),TRIM(I487&amp;"")))</f>
        <v/>
      </c>
      <c r="E487" s="4"/>
      <c r="F487" s="12"/>
      <c r="G487" s="4"/>
      <c r="H487" s="13" t="str">
        <f aca="false">IF(OR(N(C487)=0,N(F487)=0),"",C487*F487)</f>
        <v/>
      </c>
      <c r="I487" s="4"/>
      <c r="J487" s="11" t="str">
        <f aca="false">IF(K487="","",IF(N(C487)&lt;=0,"Informe a quantidade",IF(IFERROR(INDEX(INVENTÁRIO!$B$2:$B$801,MATCH(K487,INVENTÁRIO!$A$2:$A$801,0)),"")="(sem nome)","Carta fora dos decks: digite o nome na coluna I (opcional)","")))</f>
        <v/>
      </c>
      <c r="K487" s="11" t="str">
        <f aca="false">UPPER(TRIM(SUBSTITUTE(B487&amp;"",CHAR(160)," ")))</f>
        <v/>
      </c>
      <c r="L487" s="11" t="str">
        <f aca="false">IF(AND(K487&lt;&gt;"",TRIM(I487&amp;"")&lt;&gt;""),K487,"")</f>
        <v/>
      </c>
    </row>
    <row r="488" customFormat="false" ht="15" hidden="false" customHeight="false" outlineLevel="0" collapsed="false">
      <c r="A488" s="9"/>
      <c r="B488" s="4"/>
      <c r="C488" s="10"/>
      <c r="D488" s="11" t="str">
        <f aca="false">IF(K488="","",IFERROR(INDEX(DECKS!$C$2:$C$1201,MATCH(K488,DECKS!$B$2:$B$1201,0)),TRIM(I488&amp;"")))</f>
        <v/>
      </c>
      <c r="E488" s="4"/>
      <c r="F488" s="12"/>
      <c r="G488" s="4"/>
      <c r="H488" s="13" t="str">
        <f aca="false">IF(OR(N(C488)=0,N(F488)=0),"",C488*F488)</f>
        <v/>
      </c>
      <c r="I488" s="4"/>
      <c r="J488" s="11" t="str">
        <f aca="false">IF(K488="","",IF(N(C488)&lt;=0,"Informe a quantidade",IF(IFERROR(INDEX(INVENTÁRIO!$B$2:$B$801,MATCH(K488,INVENTÁRIO!$A$2:$A$801,0)),"")="(sem nome)","Carta fora dos decks: digite o nome na coluna I (opcional)","")))</f>
        <v/>
      </c>
      <c r="K488" s="11" t="str">
        <f aca="false">UPPER(TRIM(SUBSTITUTE(B488&amp;"",CHAR(160)," ")))</f>
        <v/>
      </c>
      <c r="L488" s="11" t="str">
        <f aca="false">IF(AND(K488&lt;&gt;"",TRIM(I488&amp;"")&lt;&gt;""),K488,"")</f>
        <v/>
      </c>
    </row>
    <row r="489" customFormat="false" ht="15" hidden="false" customHeight="false" outlineLevel="0" collapsed="false">
      <c r="A489" s="9"/>
      <c r="B489" s="4"/>
      <c r="C489" s="10"/>
      <c r="D489" s="11" t="str">
        <f aca="false">IF(K489="","",IFERROR(INDEX(DECKS!$C$2:$C$1201,MATCH(K489,DECKS!$B$2:$B$1201,0)),TRIM(I489&amp;"")))</f>
        <v/>
      </c>
      <c r="E489" s="4"/>
      <c r="F489" s="12"/>
      <c r="G489" s="4"/>
      <c r="H489" s="13" t="str">
        <f aca="false">IF(OR(N(C489)=0,N(F489)=0),"",C489*F489)</f>
        <v/>
      </c>
      <c r="I489" s="4"/>
      <c r="J489" s="11" t="str">
        <f aca="false">IF(K489="","",IF(N(C489)&lt;=0,"Informe a quantidade",IF(IFERROR(INDEX(INVENTÁRIO!$B$2:$B$801,MATCH(K489,INVENTÁRIO!$A$2:$A$801,0)),"")="(sem nome)","Carta fora dos decks: digite o nome na coluna I (opcional)","")))</f>
        <v/>
      </c>
      <c r="K489" s="11" t="str">
        <f aca="false">UPPER(TRIM(SUBSTITUTE(B489&amp;"",CHAR(160)," ")))</f>
        <v/>
      </c>
      <c r="L489" s="11" t="str">
        <f aca="false">IF(AND(K489&lt;&gt;"",TRIM(I489&amp;"")&lt;&gt;""),K489,"")</f>
        <v/>
      </c>
    </row>
    <row r="490" customFormat="false" ht="15" hidden="false" customHeight="false" outlineLevel="0" collapsed="false">
      <c r="A490" s="9"/>
      <c r="B490" s="4"/>
      <c r="C490" s="10"/>
      <c r="D490" s="11" t="str">
        <f aca="false">IF(K490="","",IFERROR(INDEX(DECKS!$C$2:$C$1201,MATCH(K490,DECKS!$B$2:$B$1201,0)),TRIM(I490&amp;"")))</f>
        <v/>
      </c>
      <c r="E490" s="4"/>
      <c r="F490" s="12"/>
      <c r="G490" s="4"/>
      <c r="H490" s="13" t="str">
        <f aca="false">IF(OR(N(C490)=0,N(F490)=0),"",C490*F490)</f>
        <v/>
      </c>
      <c r="I490" s="4"/>
      <c r="J490" s="11" t="str">
        <f aca="false">IF(K490="","",IF(N(C490)&lt;=0,"Informe a quantidade",IF(IFERROR(INDEX(INVENTÁRIO!$B$2:$B$801,MATCH(K490,INVENTÁRIO!$A$2:$A$801,0)),"")="(sem nome)","Carta fora dos decks: digite o nome na coluna I (opcional)","")))</f>
        <v/>
      </c>
      <c r="K490" s="11" t="str">
        <f aca="false">UPPER(TRIM(SUBSTITUTE(B490&amp;"",CHAR(160)," ")))</f>
        <v/>
      </c>
      <c r="L490" s="11" t="str">
        <f aca="false">IF(AND(K490&lt;&gt;"",TRIM(I490&amp;"")&lt;&gt;""),K490,"")</f>
        <v/>
      </c>
    </row>
    <row r="491" customFormat="false" ht="15" hidden="false" customHeight="false" outlineLevel="0" collapsed="false">
      <c r="A491" s="9"/>
      <c r="B491" s="4"/>
      <c r="C491" s="10"/>
      <c r="D491" s="11" t="str">
        <f aca="false">IF(K491="","",IFERROR(INDEX(DECKS!$C$2:$C$1201,MATCH(K491,DECKS!$B$2:$B$1201,0)),TRIM(I491&amp;"")))</f>
        <v/>
      </c>
      <c r="E491" s="4"/>
      <c r="F491" s="12"/>
      <c r="G491" s="4"/>
      <c r="H491" s="13" t="str">
        <f aca="false">IF(OR(N(C491)=0,N(F491)=0),"",C491*F491)</f>
        <v/>
      </c>
      <c r="I491" s="4"/>
      <c r="J491" s="11" t="str">
        <f aca="false">IF(K491="","",IF(N(C491)&lt;=0,"Informe a quantidade",IF(IFERROR(INDEX(INVENTÁRIO!$B$2:$B$801,MATCH(K491,INVENTÁRIO!$A$2:$A$801,0)),"")="(sem nome)","Carta fora dos decks: digite o nome na coluna I (opcional)","")))</f>
        <v/>
      </c>
      <c r="K491" s="11" t="str">
        <f aca="false">UPPER(TRIM(SUBSTITUTE(B491&amp;"",CHAR(160)," ")))</f>
        <v/>
      </c>
      <c r="L491" s="11" t="str">
        <f aca="false">IF(AND(K491&lt;&gt;"",TRIM(I491&amp;"")&lt;&gt;""),K491,"")</f>
        <v/>
      </c>
    </row>
    <row r="492" customFormat="false" ht="15" hidden="false" customHeight="false" outlineLevel="0" collapsed="false">
      <c r="A492" s="9"/>
      <c r="B492" s="4"/>
      <c r="C492" s="10"/>
      <c r="D492" s="11" t="str">
        <f aca="false">IF(K492="","",IFERROR(INDEX(DECKS!$C$2:$C$1201,MATCH(K492,DECKS!$B$2:$B$1201,0)),TRIM(I492&amp;"")))</f>
        <v/>
      </c>
      <c r="E492" s="4"/>
      <c r="F492" s="12"/>
      <c r="G492" s="4"/>
      <c r="H492" s="13" t="str">
        <f aca="false">IF(OR(N(C492)=0,N(F492)=0),"",C492*F492)</f>
        <v/>
      </c>
      <c r="I492" s="4"/>
      <c r="J492" s="11" t="str">
        <f aca="false">IF(K492="","",IF(N(C492)&lt;=0,"Informe a quantidade",IF(IFERROR(INDEX(INVENTÁRIO!$B$2:$B$801,MATCH(K492,INVENTÁRIO!$A$2:$A$801,0)),"")="(sem nome)","Carta fora dos decks: digite o nome na coluna I (opcional)","")))</f>
        <v/>
      </c>
      <c r="K492" s="11" t="str">
        <f aca="false">UPPER(TRIM(SUBSTITUTE(B492&amp;"",CHAR(160)," ")))</f>
        <v/>
      </c>
      <c r="L492" s="11" t="str">
        <f aca="false">IF(AND(K492&lt;&gt;"",TRIM(I492&amp;"")&lt;&gt;""),K492,"")</f>
        <v/>
      </c>
    </row>
    <row r="493" customFormat="false" ht="15" hidden="false" customHeight="false" outlineLevel="0" collapsed="false">
      <c r="A493" s="9"/>
      <c r="B493" s="4"/>
      <c r="C493" s="10"/>
      <c r="D493" s="11" t="str">
        <f aca="false">IF(K493="","",IFERROR(INDEX(DECKS!$C$2:$C$1201,MATCH(K493,DECKS!$B$2:$B$1201,0)),TRIM(I493&amp;"")))</f>
        <v/>
      </c>
      <c r="E493" s="4"/>
      <c r="F493" s="12"/>
      <c r="G493" s="4"/>
      <c r="H493" s="13" t="str">
        <f aca="false">IF(OR(N(C493)=0,N(F493)=0),"",C493*F493)</f>
        <v/>
      </c>
      <c r="I493" s="4"/>
      <c r="J493" s="11" t="str">
        <f aca="false">IF(K493="","",IF(N(C493)&lt;=0,"Informe a quantidade",IF(IFERROR(INDEX(INVENTÁRIO!$B$2:$B$801,MATCH(K493,INVENTÁRIO!$A$2:$A$801,0)),"")="(sem nome)","Carta fora dos decks: digite o nome na coluna I (opcional)","")))</f>
        <v/>
      </c>
      <c r="K493" s="11" t="str">
        <f aca="false">UPPER(TRIM(SUBSTITUTE(B493&amp;"",CHAR(160)," ")))</f>
        <v/>
      </c>
      <c r="L493" s="11" t="str">
        <f aca="false">IF(AND(K493&lt;&gt;"",TRIM(I493&amp;"")&lt;&gt;""),K493,"")</f>
        <v/>
      </c>
    </row>
    <row r="494" customFormat="false" ht="15" hidden="false" customHeight="false" outlineLevel="0" collapsed="false">
      <c r="A494" s="9"/>
      <c r="B494" s="4"/>
      <c r="C494" s="10"/>
      <c r="D494" s="11" t="str">
        <f aca="false">IF(K494="","",IFERROR(INDEX(DECKS!$C$2:$C$1201,MATCH(K494,DECKS!$B$2:$B$1201,0)),TRIM(I494&amp;"")))</f>
        <v/>
      </c>
      <c r="E494" s="4"/>
      <c r="F494" s="12"/>
      <c r="G494" s="4"/>
      <c r="H494" s="13" t="str">
        <f aca="false">IF(OR(N(C494)=0,N(F494)=0),"",C494*F494)</f>
        <v/>
      </c>
      <c r="I494" s="4"/>
      <c r="J494" s="11" t="str">
        <f aca="false">IF(K494="","",IF(N(C494)&lt;=0,"Informe a quantidade",IF(IFERROR(INDEX(INVENTÁRIO!$B$2:$B$801,MATCH(K494,INVENTÁRIO!$A$2:$A$801,0)),"")="(sem nome)","Carta fora dos decks: digite o nome na coluna I (opcional)","")))</f>
        <v/>
      </c>
      <c r="K494" s="11" t="str">
        <f aca="false">UPPER(TRIM(SUBSTITUTE(B494&amp;"",CHAR(160)," ")))</f>
        <v/>
      </c>
      <c r="L494" s="11" t="str">
        <f aca="false">IF(AND(K494&lt;&gt;"",TRIM(I494&amp;"")&lt;&gt;""),K494,"")</f>
        <v/>
      </c>
    </row>
    <row r="495" customFormat="false" ht="15" hidden="false" customHeight="false" outlineLevel="0" collapsed="false">
      <c r="A495" s="9"/>
      <c r="B495" s="4"/>
      <c r="C495" s="10"/>
      <c r="D495" s="11" t="str">
        <f aca="false">IF(K495="","",IFERROR(INDEX(DECKS!$C$2:$C$1201,MATCH(K495,DECKS!$B$2:$B$1201,0)),TRIM(I495&amp;"")))</f>
        <v/>
      </c>
      <c r="E495" s="4"/>
      <c r="F495" s="12"/>
      <c r="G495" s="4"/>
      <c r="H495" s="13" t="str">
        <f aca="false">IF(OR(N(C495)=0,N(F495)=0),"",C495*F495)</f>
        <v/>
      </c>
      <c r="I495" s="4"/>
      <c r="J495" s="11" t="str">
        <f aca="false">IF(K495="","",IF(N(C495)&lt;=0,"Informe a quantidade",IF(IFERROR(INDEX(INVENTÁRIO!$B$2:$B$801,MATCH(K495,INVENTÁRIO!$A$2:$A$801,0)),"")="(sem nome)","Carta fora dos decks: digite o nome na coluna I (opcional)","")))</f>
        <v/>
      </c>
      <c r="K495" s="11" t="str">
        <f aca="false">UPPER(TRIM(SUBSTITUTE(B495&amp;"",CHAR(160)," ")))</f>
        <v/>
      </c>
      <c r="L495" s="11" t="str">
        <f aca="false">IF(AND(K495&lt;&gt;"",TRIM(I495&amp;"")&lt;&gt;""),K495,"")</f>
        <v/>
      </c>
    </row>
    <row r="496" customFormat="false" ht="15" hidden="false" customHeight="false" outlineLevel="0" collapsed="false">
      <c r="A496" s="9"/>
      <c r="B496" s="4"/>
      <c r="C496" s="10"/>
      <c r="D496" s="11" t="str">
        <f aca="false">IF(K496="","",IFERROR(INDEX(DECKS!$C$2:$C$1201,MATCH(K496,DECKS!$B$2:$B$1201,0)),TRIM(I496&amp;"")))</f>
        <v/>
      </c>
      <c r="E496" s="4"/>
      <c r="F496" s="12"/>
      <c r="G496" s="4"/>
      <c r="H496" s="13" t="str">
        <f aca="false">IF(OR(N(C496)=0,N(F496)=0),"",C496*F496)</f>
        <v/>
      </c>
      <c r="I496" s="4"/>
      <c r="J496" s="11" t="str">
        <f aca="false">IF(K496="","",IF(N(C496)&lt;=0,"Informe a quantidade",IF(IFERROR(INDEX(INVENTÁRIO!$B$2:$B$801,MATCH(K496,INVENTÁRIO!$A$2:$A$801,0)),"")="(sem nome)","Carta fora dos decks: digite o nome na coluna I (opcional)","")))</f>
        <v/>
      </c>
      <c r="K496" s="11" t="str">
        <f aca="false">UPPER(TRIM(SUBSTITUTE(B496&amp;"",CHAR(160)," ")))</f>
        <v/>
      </c>
      <c r="L496" s="11" t="str">
        <f aca="false">IF(AND(K496&lt;&gt;"",TRIM(I496&amp;"")&lt;&gt;""),K496,"")</f>
        <v/>
      </c>
    </row>
    <row r="497" customFormat="false" ht="15" hidden="false" customHeight="false" outlineLevel="0" collapsed="false">
      <c r="A497" s="9"/>
      <c r="B497" s="4"/>
      <c r="C497" s="10"/>
      <c r="D497" s="11" t="str">
        <f aca="false">IF(K497="","",IFERROR(INDEX(DECKS!$C$2:$C$1201,MATCH(K497,DECKS!$B$2:$B$1201,0)),TRIM(I497&amp;"")))</f>
        <v/>
      </c>
      <c r="E497" s="4"/>
      <c r="F497" s="12"/>
      <c r="G497" s="4"/>
      <c r="H497" s="13" t="str">
        <f aca="false">IF(OR(N(C497)=0,N(F497)=0),"",C497*F497)</f>
        <v/>
      </c>
      <c r="I497" s="4"/>
      <c r="J497" s="11" t="str">
        <f aca="false">IF(K497="","",IF(N(C497)&lt;=0,"Informe a quantidade",IF(IFERROR(INDEX(INVENTÁRIO!$B$2:$B$801,MATCH(K497,INVENTÁRIO!$A$2:$A$801,0)),"")="(sem nome)","Carta fora dos decks: digite o nome na coluna I (opcional)","")))</f>
        <v/>
      </c>
      <c r="K497" s="11" t="str">
        <f aca="false">UPPER(TRIM(SUBSTITUTE(B497&amp;"",CHAR(160)," ")))</f>
        <v/>
      </c>
      <c r="L497" s="11" t="str">
        <f aca="false">IF(AND(K497&lt;&gt;"",TRIM(I497&amp;"")&lt;&gt;""),K497,"")</f>
        <v/>
      </c>
    </row>
    <row r="498" customFormat="false" ht="15" hidden="false" customHeight="false" outlineLevel="0" collapsed="false">
      <c r="A498" s="9"/>
      <c r="B498" s="4"/>
      <c r="C498" s="10"/>
      <c r="D498" s="11" t="str">
        <f aca="false">IF(K498="","",IFERROR(INDEX(DECKS!$C$2:$C$1201,MATCH(K498,DECKS!$B$2:$B$1201,0)),TRIM(I498&amp;"")))</f>
        <v/>
      </c>
      <c r="E498" s="4"/>
      <c r="F498" s="12"/>
      <c r="G498" s="4"/>
      <c r="H498" s="13" t="str">
        <f aca="false">IF(OR(N(C498)=0,N(F498)=0),"",C498*F498)</f>
        <v/>
      </c>
      <c r="I498" s="4"/>
      <c r="J498" s="11" t="str">
        <f aca="false">IF(K498="","",IF(N(C498)&lt;=0,"Informe a quantidade",IF(IFERROR(INDEX(INVENTÁRIO!$B$2:$B$801,MATCH(K498,INVENTÁRIO!$A$2:$A$801,0)),"")="(sem nome)","Carta fora dos decks: digite o nome na coluna I (opcional)","")))</f>
        <v/>
      </c>
      <c r="K498" s="11" t="str">
        <f aca="false">UPPER(TRIM(SUBSTITUTE(B498&amp;"",CHAR(160)," ")))</f>
        <v/>
      </c>
      <c r="L498" s="11" t="str">
        <f aca="false">IF(AND(K498&lt;&gt;"",TRIM(I498&amp;"")&lt;&gt;""),K498,"")</f>
        <v/>
      </c>
    </row>
    <row r="499" customFormat="false" ht="15" hidden="false" customHeight="false" outlineLevel="0" collapsed="false">
      <c r="A499" s="9"/>
      <c r="B499" s="4"/>
      <c r="C499" s="10"/>
      <c r="D499" s="11" t="str">
        <f aca="false">IF(K499="","",IFERROR(INDEX(DECKS!$C$2:$C$1201,MATCH(K499,DECKS!$B$2:$B$1201,0)),TRIM(I499&amp;"")))</f>
        <v/>
      </c>
      <c r="E499" s="4"/>
      <c r="F499" s="12"/>
      <c r="G499" s="4"/>
      <c r="H499" s="13" t="str">
        <f aca="false">IF(OR(N(C499)=0,N(F499)=0),"",C499*F499)</f>
        <v/>
      </c>
      <c r="I499" s="4"/>
      <c r="J499" s="11" t="str">
        <f aca="false">IF(K499="","",IF(N(C499)&lt;=0,"Informe a quantidade",IF(IFERROR(INDEX(INVENTÁRIO!$B$2:$B$801,MATCH(K499,INVENTÁRIO!$A$2:$A$801,0)),"")="(sem nome)","Carta fora dos decks: digite o nome na coluna I (opcional)","")))</f>
        <v/>
      </c>
      <c r="K499" s="11" t="str">
        <f aca="false">UPPER(TRIM(SUBSTITUTE(B499&amp;"",CHAR(160)," ")))</f>
        <v/>
      </c>
      <c r="L499" s="11" t="str">
        <f aca="false">IF(AND(K499&lt;&gt;"",TRIM(I499&amp;"")&lt;&gt;""),K499,"")</f>
        <v/>
      </c>
    </row>
    <row r="500" customFormat="false" ht="15" hidden="false" customHeight="false" outlineLevel="0" collapsed="false">
      <c r="A500" s="9"/>
      <c r="B500" s="4"/>
      <c r="C500" s="10"/>
      <c r="D500" s="11" t="str">
        <f aca="false">IF(K500="","",IFERROR(INDEX(DECKS!$C$2:$C$1201,MATCH(K500,DECKS!$B$2:$B$1201,0)),TRIM(I500&amp;"")))</f>
        <v/>
      </c>
      <c r="E500" s="4"/>
      <c r="F500" s="12"/>
      <c r="G500" s="4"/>
      <c r="H500" s="13" t="str">
        <f aca="false">IF(OR(N(C500)=0,N(F500)=0),"",C500*F500)</f>
        <v/>
      </c>
      <c r="I500" s="4"/>
      <c r="J500" s="11" t="str">
        <f aca="false">IF(K500="","",IF(N(C500)&lt;=0,"Informe a quantidade",IF(IFERROR(INDEX(INVENTÁRIO!$B$2:$B$801,MATCH(K500,INVENTÁRIO!$A$2:$A$801,0)),"")="(sem nome)","Carta fora dos decks: digite o nome na coluna I (opcional)","")))</f>
        <v/>
      </c>
      <c r="K500" s="11" t="str">
        <f aca="false">UPPER(TRIM(SUBSTITUTE(B500&amp;"",CHAR(160)," ")))</f>
        <v/>
      </c>
      <c r="L500" s="11" t="str">
        <f aca="false">IF(AND(K500&lt;&gt;"",TRIM(I500&amp;"")&lt;&gt;""),K500,"")</f>
        <v/>
      </c>
    </row>
    <row r="501" customFormat="false" ht="15" hidden="false" customHeight="false" outlineLevel="0" collapsed="false">
      <c r="A501" s="9"/>
      <c r="B501" s="4"/>
      <c r="C501" s="10"/>
      <c r="D501" s="11" t="str">
        <f aca="false">IF(K501="","",IFERROR(INDEX(DECKS!$C$2:$C$1201,MATCH(K501,DECKS!$B$2:$B$1201,0)),TRIM(I501&amp;"")))</f>
        <v/>
      </c>
      <c r="E501" s="4"/>
      <c r="F501" s="12"/>
      <c r="G501" s="4"/>
      <c r="H501" s="13" t="str">
        <f aca="false">IF(OR(N(C501)=0,N(F501)=0),"",C501*F501)</f>
        <v/>
      </c>
      <c r="I501" s="4"/>
      <c r="J501" s="11" t="str">
        <f aca="false">IF(K501="","",IF(N(C501)&lt;=0,"Informe a quantidade",IF(IFERROR(INDEX(INVENTÁRIO!$B$2:$B$801,MATCH(K501,INVENTÁRIO!$A$2:$A$801,0)),"")="(sem nome)","Carta fora dos decks: digite o nome na coluna I (opcional)","")))</f>
        <v/>
      </c>
      <c r="K501" s="11" t="str">
        <f aca="false">UPPER(TRIM(SUBSTITUTE(B501&amp;"",CHAR(160)," ")))</f>
        <v/>
      </c>
      <c r="L501" s="11" t="str">
        <f aca="false">IF(AND(K501&lt;&gt;"",TRIM(I501&amp;"")&lt;&gt;""),K501,"")</f>
        <v/>
      </c>
    </row>
    <row r="502" customFormat="false" ht="15" hidden="false" customHeight="false" outlineLevel="0" collapsed="false">
      <c r="A502" s="9"/>
      <c r="B502" s="4"/>
      <c r="C502" s="10"/>
      <c r="D502" s="11" t="str">
        <f aca="false">IF(K502="","",IFERROR(INDEX(DECKS!$C$2:$C$1201,MATCH(K502,DECKS!$B$2:$B$1201,0)),TRIM(I502&amp;"")))</f>
        <v/>
      </c>
      <c r="E502" s="4"/>
      <c r="F502" s="12"/>
      <c r="G502" s="4"/>
      <c r="H502" s="13" t="str">
        <f aca="false">IF(OR(N(C502)=0,N(F502)=0),"",C502*F502)</f>
        <v/>
      </c>
      <c r="I502" s="4"/>
      <c r="J502" s="11" t="str">
        <f aca="false">IF(K502="","",IF(N(C502)&lt;=0,"Informe a quantidade",IF(IFERROR(INDEX(INVENTÁRIO!$B$2:$B$801,MATCH(K502,INVENTÁRIO!$A$2:$A$801,0)),"")="(sem nome)","Carta fora dos decks: digite o nome na coluna I (opcional)","")))</f>
        <v/>
      </c>
      <c r="K502" s="11" t="str">
        <f aca="false">UPPER(TRIM(SUBSTITUTE(B502&amp;"",CHAR(160)," ")))</f>
        <v/>
      </c>
      <c r="L502" s="11" t="str">
        <f aca="false">IF(AND(K502&lt;&gt;"",TRIM(I502&amp;"")&lt;&gt;""),K502,"")</f>
        <v/>
      </c>
    </row>
    <row r="503" customFormat="false" ht="15" hidden="false" customHeight="false" outlineLevel="0" collapsed="false">
      <c r="A503" s="9"/>
      <c r="B503" s="4"/>
      <c r="C503" s="10"/>
      <c r="D503" s="11" t="str">
        <f aca="false">IF(K503="","",IFERROR(INDEX(DECKS!$C$2:$C$1201,MATCH(K503,DECKS!$B$2:$B$1201,0)),TRIM(I503&amp;"")))</f>
        <v/>
      </c>
      <c r="E503" s="4"/>
      <c r="F503" s="12"/>
      <c r="G503" s="4"/>
      <c r="H503" s="13" t="str">
        <f aca="false">IF(OR(N(C503)=0,N(F503)=0),"",C503*F503)</f>
        <v/>
      </c>
      <c r="I503" s="4"/>
      <c r="J503" s="11" t="str">
        <f aca="false">IF(K503="","",IF(N(C503)&lt;=0,"Informe a quantidade",IF(IFERROR(INDEX(INVENTÁRIO!$B$2:$B$801,MATCH(K503,INVENTÁRIO!$A$2:$A$801,0)),"")="(sem nome)","Carta fora dos decks: digite o nome na coluna I (opcional)","")))</f>
        <v/>
      </c>
      <c r="K503" s="11" t="str">
        <f aca="false">UPPER(TRIM(SUBSTITUTE(B503&amp;"",CHAR(160)," ")))</f>
        <v/>
      </c>
      <c r="L503" s="11" t="str">
        <f aca="false">IF(AND(K503&lt;&gt;"",TRIM(I503&amp;"")&lt;&gt;""),K503,"")</f>
        <v/>
      </c>
    </row>
    <row r="504" customFormat="false" ht="15" hidden="false" customHeight="false" outlineLevel="0" collapsed="false">
      <c r="A504" s="9"/>
      <c r="B504" s="4"/>
      <c r="C504" s="10"/>
      <c r="D504" s="11" t="str">
        <f aca="false">IF(K504="","",IFERROR(INDEX(DECKS!$C$2:$C$1201,MATCH(K504,DECKS!$B$2:$B$1201,0)),TRIM(I504&amp;"")))</f>
        <v/>
      </c>
      <c r="E504" s="4"/>
      <c r="F504" s="12"/>
      <c r="G504" s="4"/>
      <c r="H504" s="13" t="str">
        <f aca="false">IF(OR(N(C504)=0,N(F504)=0),"",C504*F504)</f>
        <v/>
      </c>
      <c r="I504" s="4"/>
      <c r="J504" s="11" t="str">
        <f aca="false">IF(K504="","",IF(N(C504)&lt;=0,"Informe a quantidade",IF(IFERROR(INDEX(INVENTÁRIO!$B$2:$B$801,MATCH(K504,INVENTÁRIO!$A$2:$A$801,0)),"")="(sem nome)","Carta fora dos decks: digite o nome na coluna I (opcional)","")))</f>
        <v/>
      </c>
      <c r="K504" s="11" t="str">
        <f aca="false">UPPER(TRIM(SUBSTITUTE(B504&amp;"",CHAR(160)," ")))</f>
        <v/>
      </c>
      <c r="L504" s="11" t="str">
        <f aca="false">IF(AND(K504&lt;&gt;"",TRIM(I504&amp;"")&lt;&gt;""),K504,"")</f>
        <v/>
      </c>
    </row>
    <row r="505" customFormat="false" ht="15" hidden="false" customHeight="false" outlineLevel="0" collapsed="false">
      <c r="A505" s="9"/>
      <c r="B505" s="4"/>
      <c r="C505" s="10"/>
      <c r="D505" s="11" t="str">
        <f aca="false">IF(K505="","",IFERROR(INDEX(DECKS!$C$2:$C$1201,MATCH(K505,DECKS!$B$2:$B$1201,0)),TRIM(I505&amp;"")))</f>
        <v/>
      </c>
      <c r="E505" s="4"/>
      <c r="F505" s="12"/>
      <c r="G505" s="4"/>
      <c r="H505" s="13" t="str">
        <f aca="false">IF(OR(N(C505)=0,N(F505)=0),"",C505*F505)</f>
        <v/>
      </c>
      <c r="I505" s="4"/>
      <c r="J505" s="11" t="str">
        <f aca="false">IF(K505="","",IF(N(C505)&lt;=0,"Informe a quantidade",IF(IFERROR(INDEX(INVENTÁRIO!$B$2:$B$801,MATCH(K505,INVENTÁRIO!$A$2:$A$801,0)),"")="(sem nome)","Carta fora dos decks: digite o nome na coluna I (opcional)","")))</f>
        <v/>
      </c>
      <c r="K505" s="11" t="str">
        <f aca="false">UPPER(TRIM(SUBSTITUTE(B505&amp;"",CHAR(160)," ")))</f>
        <v/>
      </c>
      <c r="L505" s="11" t="str">
        <f aca="false">IF(AND(K505&lt;&gt;"",TRIM(I505&amp;"")&lt;&gt;""),K505,"")</f>
        <v/>
      </c>
    </row>
    <row r="506" customFormat="false" ht="15" hidden="false" customHeight="false" outlineLevel="0" collapsed="false">
      <c r="A506" s="9"/>
      <c r="B506" s="4"/>
      <c r="C506" s="10"/>
      <c r="D506" s="11" t="str">
        <f aca="false">IF(K506="","",IFERROR(INDEX(DECKS!$C$2:$C$1201,MATCH(K506,DECKS!$B$2:$B$1201,0)),TRIM(I506&amp;"")))</f>
        <v/>
      </c>
      <c r="E506" s="4"/>
      <c r="F506" s="12"/>
      <c r="G506" s="4"/>
      <c r="H506" s="13" t="str">
        <f aca="false">IF(OR(N(C506)=0,N(F506)=0),"",C506*F506)</f>
        <v/>
      </c>
      <c r="I506" s="4"/>
      <c r="J506" s="11" t="str">
        <f aca="false">IF(K506="","",IF(N(C506)&lt;=0,"Informe a quantidade",IF(IFERROR(INDEX(INVENTÁRIO!$B$2:$B$801,MATCH(K506,INVENTÁRIO!$A$2:$A$801,0)),"")="(sem nome)","Carta fora dos decks: digite o nome na coluna I (opcional)","")))</f>
        <v/>
      </c>
      <c r="K506" s="11" t="str">
        <f aca="false">UPPER(TRIM(SUBSTITUTE(B506&amp;"",CHAR(160)," ")))</f>
        <v/>
      </c>
      <c r="L506" s="11" t="str">
        <f aca="false">IF(AND(K506&lt;&gt;"",TRIM(I506&amp;"")&lt;&gt;""),K506,"")</f>
        <v/>
      </c>
    </row>
    <row r="507" customFormat="false" ht="15" hidden="false" customHeight="false" outlineLevel="0" collapsed="false">
      <c r="A507" s="9"/>
      <c r="B507" s="4"/>
      <c r="C507" s="10"/>
      <c r="D507" s="11" t="str">
        <f aca="false">IF(K507="","",IFERROR(INDEX(DECKS!$C$2:$C$1201,MATCH(K507,DECKS!$B$2:$B$1201,0)),TRIM(I507&amp;"")))</f>
        <v/>
      </c>
      <c r="E507" s="4"/>
      <c r="F507" s="12"/>
      <c r="G507" s="4"/>
      <c r="H507" s="13" t="str">
        <f aca="false">IF(OR(N(C507)=0,N(F507)=0),"",C507*F507)</f>
        <v/>
      </c>
      <c r="I507" s="4"/>
      <c r="J507" s="11" t="str">
        <f aca="false">IF(K507="","",IF(N(C507)&lt;=0,"Informe a quantidade",IF(IFERROR(INDEX(INVENTÁRIO!$B$2:$B$801,MATCH(K507,INVENTÁRIO!$A$2:$A$801,0)),"")="(sem nome)","Carta fora dos decks: digite o nome na coluna I (opcional)","")))</f>
        <v/>
      </c>
      <c r="K507" s="11" t="str">
        <f aca="false">UPPER(TRIM(SUBSTITUTE(B507&amp;"",CHAR(160)," ")))</f>
        <v/>
      </c>
      <c r="L507" s="11" t="str">
        <f aca="false">IF(AND(K507&lt;&gt;"",TRIM(I507&amp;"")&lt;&gt;""),K507,"")</f>
        <v/>
      </c>
    </row>
    <row r="508" customFormat="false" ht="15" hidden="false" customHeight="false" outlineLevel="0" collapsed="false">
      <c r="A508" s="9"/>
      <c r="B508" s="4"/>
      <c r="C508" s="10"/>
      <c r="D508" s="11" t="str">
        <f aca="false">IF(K508="","",IFERROR(INDEX(DECKS!$C$2:$C$1201,MATCH(K508,DECKS!$B$2:$B$1201,0)),TRIM(I508&amp;"")))</f>
        <v/>
      </c>
      <c r="E508" s="4"/>
      <c r="F508" s="12"/>
      <c r="G508" s="4"/>
      <c r="H508" s="13" t="str">
        <f aca="false">IF(OR(N(C508)=0,N(F508)=0),"",C508*F508)</f>
        <v/>
      </c>
      <c r="I508" s="4"/>
      <c r="J508" s="11" t="str">
        <f aca="false">IF(K508="","",IF(N(C508)&lt;=0,"Informe a quantidade",IF(IFERROR(INDEX(INVENTÁRIO!$B$2:$B$801,MATCH(K508,INVENTÁRIO!$A$2:$A$801,0)),"")="(sem nome)","Carta fora dos decks: digite o nome na coluna I (opcional)","")))</f>
        <v/>
      </c>
      <c r="K508" s="11" t="str">
        <f aca="false">UPPER(TRIM(SUBSTITUTE(B508&amp;"",CHAR(160)," ")))</f>
        <v/>
      </c>
      <c r="L508" s="11" t="str">
        <f aca="false">IF(AND(K508&lt;&gt;"",TRIM(I508&amp;"")&lt;&gt;""),K508,"")</f>
        <v/>
      </c>
    </row>
    <row r="509" customFormat="false" ht="15" hidden="false" customHeight="false" outlineLevel="0" collapsed="false">
      <c r="A509" s="9"/>
      <c r="B509" s="4"/>
      <c r="C509" s="10"/>
      <c r="D509" s="11" t="str">
        <f aca="false">IF(K509="","",IFERROR(INDEX(DECKS!$C$2:$C$1201,MATCH(K509,DECKS!$B$2:$B$1201,0)),TRIM(I509&amp;"")))</f>
        <v/>
      </c>
      <c r="E509" s="4"/>
      <c r="F509" s="12"/>
      <c r="G509" s="4"/>
      <c r="H509" s="13" t="str">
        <f aca="false">IF(OR(N(C509)=0,N(F509)=0),"",C509*F509)</f>
        <v/>
      </c>
      <c r="I509" s="4"/>
      <c r="J509" s="11" t="str">
        <f aca="false">IF(K509="","",IF(N(C509)&lt;=0,"Informe a quantidade",IF(IFERROR(INDEX(INVENTÁRIO!$B$2:$B$801,MATCH(K509,INVENTÁRIO!$A$2:$A$801,0)),"")="(sem nome)","Carta fora dos decks: digite o nome na coluna I (opcional)","")))</f>
        <v/>
      </c>
      <c r="K509" s="11" t="str">
        <f aca="false">UPPER(TRIM(SUBSTITUTE(B509&amp;"",CHAR(160)," ")))</f>
        <v/>
      </c>
      <c r="L509" s="11" t="str">
        <f aca="false">IF(AND(K509&lt;&gt;"",TRIM(I509&amp;"")&lt;&gt;""),K509,"")</f>
        <v/>
      </c>
    </row>
    <row r="510" customFormat="false" ht="15" hidden="false" customHeight="false" outlineLevel="0" collapsed="false">
      <c r="A510" s="9"/>
      <c r="B510" s="4"/>
      <c r="C510" s="10"/>
      <c r="D510" s="11" t="str">
        <f aca="false">IF(K510="","",IFERROR(INDEX(DECKS!$C$2:$C$1201,MATCH(K510,DECKS!$B$2:$B$1201,0)),TRIM(I510&amp;"")))</f>
        <v/>
      </c>
      <c r="E510" s="4"/>
      <c r="F510" s="12"/>
      <c r="G510" s="4"/>
      <c r="H510" s="13" t="str">
        <f aca="false">IF(OR(N(C510)=0,N(F510)=0),"",C510*F510)</f>
        <v/>
      </c>
      <c r="I510" s="4"/>
      <c r="J510" s="11" t="str">
        <f aca="false">IF(K510="","",IF(N(C510)&lt;=0,"Informe a quantidade",IF(IFERROR(INDEX(INVENTÁRIO!$B$2:$B$801,MATCH(K510,INVENTÁRIO!$A$2:$A$801,0)),"")="(sem nome)","Carta fora dos decks: digite o nome na coluna I (opcional)","")))</f>
        <v/>
      </c>
      <c r="K510" s="11" t="str">
        <f aca="false">UPPER(TRIM(SUBSTITUTE(B510&amp;"",CHAR(160)," ")))</f>
        <v/>
      </c>
      <c r="L510" s="11" t="str">
        <f aca="false">IF(AND(K510&lt;&gt;"",TRIM(I510&amp;"")&lt;&gt;""),K510,"")</f>
        <v/>
      </c>
    </row>
    <row r="511" customFormat="false" ht="15" hidden="false" customHeight="false" outlineLevel="0" collapsed="false">
      <c r="A511" s="9"/>
      <c r="B511" s="4"/>
      <c r="C511" s="10"/>
      <c r="D511" s="11" t="str">
        <f aca="false">IF(K511="","",IFERROR(INDEX(DECKS!$C$2:$C$1201,MATCH(K511,DECKS!$B$2:$B$1201,0)),TRIM(I511&amp;"")))</f>
        <v/>
      </c>
      <c r="E511" s="4"/>
      <c r="F511" s="12"/>
      <c r="G511" s="4"/>
      <c r="H511" s="13" t="str">
        <f aca="false">IF(OR(N(C511)=0,N(F511)=0),"",C511*F511)</f>
        <v/>
      </c>
      <c r="I511" s="4"/>
      <c r="J511" s="11" t="str">
        <f aca="false">IF(K511="","",IF(N(C511)&lt;=0,"Informe a quantidade",IF(IFERROR(INDEX(INVENTÁRIO!$B$2:$B$801,MATCH(K511,INVENTÁRIO!$A$2:$A$801,0)),"")="(sem nome)","Carta fora dos decks: digite o nome na coluna I (opcional)","")))</f>
        <v/>
      </c>
      <c r="K511" s="11" t="str">
        <f aca="false">UPPER(TRIM(SUBSTITUTE(B511&amp;"",CHAR(160)," ")))</f>
        <v/>
      </c>
      <c r="L511" s="11" t="str">
        <f aca="false">IF(AND(K511&lt;&gt;"",TRIM(I511&amp;"")&lt;&gt;""),K511,"")</f>
        <v/>
      </c>
    </row>
    <row r="512" customFormat="false" ht="15" hidden="false" customHeight="false" outlineLevel="0" collapsed="false">
      <c r="A512" s="9"/>
      <c r="B512" s="4"/>
      <c r="C512" s="10"/>
      <c r="D512" s="11" t="str">
        <f aca="false">IF(K512="","",IFERROR(INDEX(DECKS!$C$2:$C$1201,MATCH(K512,DECKS!$B$2:$B$1201,0)),TRIM(I512&amp;"")))</f>
        <v/>
      </c>
      <c r="E512" s="4"/>
      <c r="F512" s="12"/>
      <c r="G512" s="4"/>
      <c r="H512" s="13" t="str">
        <f aca="false">IF(OR(N(C512)=0,N(F512)=0),"",C512*F512)</f>
        <v/>
      </c>
      <c r="I512" s="4"/>
      <c r="J512" s="11" t="str">
        <f aca="false">IF(K512="","",IF(N(C512)&lt;=0,"Informe a quantidade",IF(IFERROR(INDEX(INVENTÁRIO!$B$2:$B$801,MATCH(K512,INVENTÁRIO!$A$2:$A$801,0)),"")="(sem nome)","Carta fora dos decks: digite o nome na coluna I (opcional)","")))</f>
        <v/>
      </c>
      <c r="K512" s="11" t="str">
        <f aca="false">UPPER(TRIM(SUBSTITUTE(B512&amp;"",CHAR(160)," ")))</f>
        <v/>
      </c>
      <c r="L512" s="11" t="str">
        <f aca="false">IF(AND(K512&lt;&gt;"",TRIM(I512&amp;"")&lt;&gt;""),K512,"")</f>
        <v/>
      </c>
    </row>
    <row r="513" customFormat="false" ht="15" hidden="false" customHeight="false" outlineLevel="0" collapsed="false">
      <c r="A513" s="9"/>
      <c r="B513" s="4"/>
      <c r="C513" s="10"/>
      <c r="D513" s="11" t="str">
        <f aca="false">IF(K513="","",IFERROR(INDEX(DECKS!$C$2:$C$1201,MATCH(K513,DECKS!$B$2:$B$1201,0)),TRIM(I513&amp;"")))</f>
        <v/>
      </c>
      <c r="E513" s="4"/>
      <c r="F513" s="12"/>
      <c r="G513" s="4"/>
      <c r="H513" s="13" t="str">
        <f aca="false">IF(OR(N(C513)=0,N(F513)=0),"",C513*F513)</f>
        <v/>
      </c>
      <c r="I513" s="4"/>
      <c r="J513" s="11" t="str">
        <f aca="false">IF(K513="","",IF(N(C513)&lt;=0,"Informe a quantidade",IF(IFERROR(INDEX(INVENTÁRIO!$B$2:$B$801,MATCH(K513,INVENTÁRIO!$A$2:$A$801,0)),"")="(sem nome)","Carta fora dos decks: digite o nome na coluna I (opcional)","")))</f>
        <v/>
      </c>
      <c r="K513" s="11" t="str">
        <f aca="false">UPPER(TRIM(SUBSTITUTE(B513&amp;"",CHAR(160)," ")))</f>
        <v/>
      </c>
      <c r="L513" s="11" t="str">
        <f aca="false">IF(AND(K513&lt;&gt;"",TRIM(I513&amp;"")&lt;&gt;""),K513,"")</f>
        <v/>
      </c>
    </row>
    <row r="514" customFormat="false" ht="15" hidden="false" customHeight="false" outlineLevel="0" collapsed="false">
      <c r="A514" s="9"/>
      <c r="B514" s="4"/>
      <c r="C514" s="10"/>
      <c r="D514" s="11" t="str">
        <f aca="false">IF(K514="","",IFERROR(INDEX(DECKS!$C$2:$C$1201,MATCH(K514,DECKS!$B$2:$B$1201,0)),TRIM(I514&amp;"")))</f>
        <v/>
      </c>
      <c r="E514" s="4"/>
      <c r="F514" s="12"/>
      <c r="G514" s="4"/>
      <c r="H514" s="13" t="str">
        <f aca="false">IF(OR(N(C514)=0,N(F514)=0),"",C514*F514)</f>
        <v/>
      </c>
      <c r="I514" s="4"/>
      <c r="J514" s="11" t="str">
        <f aca="false">IF(K514="","",IF(N(C514)&lt;=0,"Informe a quantidade",IF(IFERROR(INDEX(INVENTÁRIO!$B$2:$B$801,MATCH(K514,INVENTÁRIO!$A$2:$A$801,0)),"")="(sem nome)","Carta fora dos decks: digite o nome na coluna I (opcional)","")))</f>
        <v/>
      </c>
      <c r="K514" s="11" t="str">
        <f aca="false">UPPER(TRIM(SUBSTITUTE(B514&amp;"",CHAR(160)," ")))</f>
        <v/>
      </c>
      <c r="L514" s="11" t="str">
        <f aca="false">IF(AND(K514&lt;&gt;"",TRIM(I514&amp;"")&lt;&gt;""),K514,"")</f>
        <v/>
      </c>
    </row>
    <row r="515" customFormat="false" ht="15" hidden="false" customHeight="false" outlineLevel="0" collapsed="false">
      <c r="A515" s="9"/>
      <c r="B515" s="4"/>
      <c r="C515" s="10"/>
      <c r="D515" s="11" t="str">
        <f aca="false">IF(K515="","",IFERROR(INDEX(DECKS!$C$2:$C$1201,MATCH(K515,DECKS!$B$2:$B$1201,0)),TRIM(I515&amp;"")))</f>
        <v/>
      </c>
      <c r="E515" s="4"/>
      <c r="F515" s="12"/>
      <c r="G515" s="4"/>
      <c r="H515" s="13" t="str">
        <f aca="false">IF(OR(N(C515)=0,N(F515)=0),"",C515*F515)</f>
        <v/>
      </c>
      <c r="I515" s="4"/>
      <c r="J515" s="11" t="str">
        <f aca="false">IF(K515="","",IF(N(C515)&lt;=0,"Informe a quantidade",IF(IFERROR(INDEX(INVENTÁRIO!$B$2:$B$801,MATCH(K515,INVENTÁRIO!$A$2:$A$801,0)),"")="(sem nome)","Carta fora dos decks: digite o nome na coluna I (opcional)","")))</f>
        <v/>
      </c>
      <c r="K515" s="11" t="str">
        <f aca="false">UPPER(TRIM(SUBSTITUTE(B515&amp;"",CHAR(160)," ")))</f>
        <v/>
      </c>
      <c r="L515" s="11" t="str">
        <f aca="false">IF(AND(K515&lt;&gt;"",TRIM(I515&amp;"")&lt;&gt;""),K515,"")</f>
        <v/>
      </c>
    </row>
    <row r="516" customFormat="false" ht="15" hidden="false" customHeight="false" outlineLevel="0" collapsed="false">
      <c r="A516" s="9"/>
      <c r="B516" s="4"/>
      <c r="C516" s="10"/>
      <c r="D516" s="11" t="str">
        <f aca="false">IF(K516="","",IFERROR(INDEX(DECKS!$C$2:$C$1201,MATCH(K516,DECKS!$B$2:$B$1201,0)),TRIM(I516&amp;"")))</f>
        <v/>
      </c>
      <c r="E516" s="4"/>
      <c r="F516" s="12"/>
      <c r="G516" s="4"/>
      <c r="H516" s="13" t="str">
        <f aca="false">IF(OR(N(C516)=0,N(F516)=0),"",C516*F516)</f>
        <v/>
      </c>
      <c r="I516" s="4"/>
      <c r="J516" s="11" t="str">
        <f aca="false">IF(K516="","",IF(N(C516)&lt;=0,"Informe a quantidade",IF(IFERROR(INDEX(INVENTÁRIO!$B$2:$B$801,MATCH(K516,INVENTÁRIO!$A$2:$A$801,0)),"")="(sem nome)","Carta fora dos decks: digite o nome na coluna I (opcional)","")))</f>
        <v/>
      </c>
      <c r="K516" s="11" t="str">
        <f aca="false">UPPER(TRIM(SUBSTITUTE(B516&amp;"",CHAR(160)," ")))</f>
        <v/>
      </c>
      <c r="L516" s="11" t="str">
        <f aca="false">IF(AND(K516&lt;&gt;"",TRIM(I516&amp;"")&lt;&gt;""),K516,"")</f>
        <v/>
      </c>
    </row>
    <row r="517" customFormat="false" ht="15" hidden="false" customHeight="false" outlineLevel="0" collapsed="false">
      <c r="A517" s="9"/>
      <c r="B517" s="4"/>
      <c r="C517" s="10"/>
      <c r="D517" s="11" t="str">
        <f aca="false">IF(K517="","",IFERROR(INDEX(DECKS!$C$2:$C$1201,MATCH(K517,DECKS!$B$2:$B$1201,0)),TRIM(I517&amp;"")))</f>
        <v/>
      </c>
      <c r="E517" s="4"/>
      <c r="F517" s="12"/>
      <c r="G517" s="4"/>
      <c r="H517" s="13" t="str">
        <f aca="false">IF(OR(N(C517)=0,N(F517)=0),"",C517*F517)</f>
        <v/>
      </c>
      <c r="I517" s="4"/>
      <c r="J517" s="11" t="str">
        <f aca="false">IF(K517="","",IF(N(C517)&lt;=0,"Informe a quantidade",IF(IFERROR(INDEX(INVENTÁRIO!$B$2:$B$801,MATCH(K517,INVENTÁRIO!$A$2:$A$801,0)),"")="(sem nome)","Carta fora dos decks: digite o nome na coluna I (opcional)","")))</f>
        <v/>
      </c>
      <c r="K517" s="11" t="str">
        <f aca="false">UPPER(TRIM(SUBSTITUTE(B517&amp;"",CHAR(160)," ")))</f>
        <v/>
      </c>
      <c r="L517" s="11" t="str">
        <f aca="false">IF(AND(K517&lt;&gt;"",TRIM(I517&amp;"")&lt;&gt;""),K517,"")</f>
        <v/>
      </c>
    </row>
    <row r="518" customFormat="false" ht="15" hidden="false" customHeight="false" outlineLevel="0" collapsed="false">
      <c r="A518" s="9"/>
      <c r="B518" s="4"/>
      <c r="C518" s="10"/>
      <c r="D518" s="11" t="str">
        <f aca="false">IF(K518="","",IFERROR(INDEX(DECKS!$C$2:$C$1201,MATCH(K518,DECKS!$B$2:$B$1201,0)),TRIM(I518&amp;"")))</f>
        <v/>
      </c>
      <c r="E518" s="4"/>
      <c r="F518" s="12"/>
      <c r="G518" s="4"/>
      <c r="H518" s="13" t="str">
        <f aca="false">IF(OR(N(C518)=0,N(F518)=0),"",C518*F518)</f>
        <v/>
      </c>
      <c r="I518" s="4"/>
      <c r="J518" s="11" t="str">
        <f aca="false">IF(K518="","",IF(N(C518)&lt;=0,"Informe a quantidade",IF(IFERROR(INDEX(INVENTÁRIO!$B$2:$B$801,MATCH(K518,INVENTÁRIO!$A$2:$A$801,0)),"")="(sem nome)","Carta fora dos decks: digite o nome na coluna I (opcional)","")))</f>
        <v/>
      </c>
      <c r="K518" s="11" t="str">
        <f aca="false">UPPER(TRIM(SUBSTITUTE(B518&amp;"",CHAR(160)," ")))</f>
        <v/>
      </c>
      <c r="L518" s="11" t="str">
        <f aca="false">IF(AND(K518&lt;&gt;"",TRIM(I518&amp;"")&lt;&gt;""),K518,"")</f>
        <v/>
      </c>
    </row>
    <row r="519" customFormat="false" ht="15" hidden="false" customHeight="false" outlineLevel="0" collapsed="false">
      <c r="A519" s="9"/>
      <c r="B519" s="4"/>
      <c r="C519" s="10"/>
      <c r="D519" s="11" t="str">
        <f aca="false">IF(K519="","",IFERROR(INDEX(DECKS!$C$2:$C$1201,MATCH(K519,DECKS!$B$2:$B$1201,0)),TRIM(I519&amp;"")))</f>
        <v/>
      </c>
      <c r="E519" s="4"/>
      <c r="F519" s="12"/>
      <c r="G519" s="4"/>
      <c r="H519" s="13" t="str">
        <f aca="false">IF(OR(N(C519)=0,N(F519)=0),"",C519*F519)</f>
        <v/>
      </c>
      <c r="I519" s="4"/>
      <c r="J519" s="11" t="str">
        <f aca="false">IF(K519="","",IF(N(C519)&lt;=0,"Informe a quantidade",IF(IFERROR(INDEX(INVENTÁRIO!$B$2:$B$801,MATCH(K519,INVENTÁRIO!$A$2:$A$801,0)),"")="(sem nome)","Carta fora dos decks: digite o nome na coluna I (opcional)","")))</f>
        <v/>
      </c>
      <c r="K519" s="11" t="str">
        <f aca="false">UPPER(TRIM(SUBSTITUTE(B519&amp;"",CHAR(160)," ")))</f>
        <v/>
      </c>
      <c r="L519" s="11" t="str">
        <f aca="false">IF(AND(K519&lt;&gt;"",TRIM(I519&amp;"")&lt;&gt;""),K519,"")</f>
        <v/>
      </c>
    </row>
    <row r="520" customFormat="false" ht="15" hidden="false" customHeight="false" outlineLevel="0" collapsed="false">
      <c r="A520" s="9"/>
      <c r="B520" s="4"/>
      <c r="C520" s="10"/>
      <c r="D520" s="11" t="str">
        <f aca="false">IF(K520="","",IFERROR(INDEX(DECKS!$C$2:$C$1201,MATCH(K520,DECKS!$B$2:$B$1201,0)),TRIM(I520&amp;"")))</f>
        <v/>
      </c>
      <c r="E520" s="4"/>
      <c r="F520" s="12"/>
      <c r="G520" s="4"/>
      <c r="H520" s="13" t="str">
        <f aca="false">IF(OR(N(C520)=0,N(F520)=0),"",C520*F520)</f>
        <v/>
      </c>
      <c r="I520" s="4"/>
      <c r="J520" s="11" t="str">
        <f aca="false">IF(K520="","",IF(N(C520)&lt;=0,"Informe a quantidade",IF(IFERROR(INDEX(INVENTÁRIO!$B$2:$B$801,MATCH(K520,INVENTÁRIO!$A$2:$A$801,0)),"")="(sem nome)","Carta fora dos decks: digite o nome na coluna I (opcional)","")))</f>
        <v/>
      </c>
      <c r="K520" s="11" t="str">
        <f aca="false">UPPER(TRIM(SUBSTITUTE(B520&amp;"",CHAR(160)," ")))</f>
        <v/>
      </c>
      <c r="L520" s="11" t="str">
        <f aca="false">IF(AND(K520&lt;&gt;"",TRIM(I520&amp;"")&lt;&gt;""),K520,"")</f>
        <v/>
      </c>
    </row>
    <row r="521" customFormat="false" ht="15" hidden="false" customHeight="false" outlineLevel="0" collapsed="false">
      <c r="A521" s="9"/>
      <c r="B521" s="4"/>
      <c r="C521" s="10"/>
      <c r="D521" s="11" t="str">
        <f aca="false">IF(K521="","",IFERROR(INDEX(DECKS!$C$2:$C$1201,MATCH(K521,DECKS!$B$2:$B$1201,0)),TRIM(I521&amp;"")))</f>
        <v/>
      </c>
      <c r="E521" s="4"/>
      <c r="F521" s="12"/>
      <c r="G521" s="4"/>
      <c r="H521" s="13" t="str">
        <f aca="false">IF(OR(N(C521)=0,N(F521)=0),"",C521*F521)</f>
        <v/>
      </c>
      <c r="I521" s="4"/>
      <c r="J521" s="11" t="str">
        <f aca="false">IF(K521="","",IF(N(C521)&lt;=0,"Informe a quantidade",IF(IFERROR(INDEX(INVENTÁRIO!$B$2:$B$801,MATCH(K521,INVENTÁRIO!$A$2:$A$801,0)),"")="(sem nome)","Carta fora dos decks: digite o nome na coluna I (opcional)","")))</f>
        <v/>
      </c>
      <c r="K521" s="11" t="str">
        <f aca="false">UPPER(TRIM(SUBSTITUTE(B521&amp;"",CHAR(160)," ")))</f>
        <v/>
      </c>
      <c r="L521" s="11" t="str">
        <f aca="false">IF(AND(K521&lt;&gt;"",TRIM(I521&amp;"")&lt;&gt;""),K521,"")</f>
        <v/>
      </c>
    </row>
    <row r="522" customFormat="false" ht="15" hidden="false" customHeight="false" outlineLevel="0" collapsed="false">
      <c r="A522" s="9"/>
      <c r="B522" s="4"/>
      <c r="C522" s="10"/>
      <c r="D522" s="11" t="str">
        <f aca="false">IF(K522="","",IFERROR(INDEX(DECKS!$C$2:$C$1201,MATCH(K522,DECKS!$B$2:$B$1201,0)),TRIM(I522&amp;"")))</f>
        <v/>
      </c>
      <c r="E522" s="4"/>
      <c r="F522" s="12"/>
      <c r="G522" s="4"/>
      <c r="H522" s="13" t="str">
        <f aca="false">IF(OR(N(C522)=0,N(F522)=0),"",C522*F522)</f>
        <v/>
      </c>
      <c r="I522" s="4"/>
      <c r="J522" s="11" t="str">
        <f aca="false">IF(K522="","",IF(N(C522)&lt;=0,"Informe a quantidade",IF(IFERROR(INDEX(INVENTÁRIO!$B$2:$B$801,MATCH(K522,INVENTÁRIO!$A$2:$A$801,0)),"")="(sem nome)","Carta fora dos decks: digite o nome na coluna I (opcional)","")))</f>
        <v/>
      </c>
      <c r="K522" s="11" t="str">
        <f aca="false">UPPER(TRIM(SUBSTITUTE(B522&amp;"",CHAR(160)," ")))</f>
        <v/>
      </c>
      <c r="L522" s="11" t="str">
        <f aca="false">IF(AND(K522&lt;&gt;"",TRIM(I522&amp;"")&lt;&gt;""),K522,"")</f>
        <v/>
      </c>
    </row>
    <row r="523" customFormat="false" ht="15" hidden="false" customHeight="false" outlineLevel="0" collapsed="false">
      <c r="A523" s="9"/>
      <c r="B523" s="4"/>
      <c r="C523" s="10"/>
      <c r="D523" s="11" t="str">
        <f aca="false">IF(K523="","",IFERROR(INDEX(DECKS!$C$2:$C$1201,MATCH(K523,DECKS!$B$2:$B$1201,0)),TRIM(I523&amp;"")))</f>
        <v/>
      </c>
      <c r="E523" s="4"/>
      <c r="F523" s="12"/>
      <c r="G523" s="4"/>
      <c r="H523" s="13" t="str">
        <f aca="false">IF(OR(N(C523)=0,N(F523)=0),"",C523*F523)</f>
        <v/>
      </c>
      <c r="I523" s="4"/>
      <c r="J523" s="11" t="str">
        <f aca="false">IF(K523="","",IF(N(C523)&lt;=0,"Informe a quantidade",IF(IFERROR(INDEX(INVENTÁRIO!$B$2:$B$801,MATCH(K523,INVENTÁRIO!$A$2:$A$801,0)),"")="(sem nome)","Carta fora dos decks: digite o nome na coluna I (opcional)","")))</f>
        <v/>
      </c>
      <c r="K523" s="11" t="str">
        <f aca="false">UPPER(TRIM(SUBSTITUTE(B523&amp;"",CHAR(160)," ")))</f>
        <v/>
      </c>
      <c r="L523" s="11" t="str">
        <f aca="false">IF(AND(K523&lt;&gt;"",TRIM(I523&amp;"")&lt;&gt;""),K523,"")</f>
        <v/>
      </c>
    </row>
    <row r="524" customFormat="false" ht="15" hidden="false" customHeight="false" outlineLevel="0" collapsed="false">
      <c r="A524" s="9"/>
      <c r="B524" s="4"/>
      <c r="C524" s="10"/>
      <c r="D524" s="11" t="str">
        <f aca="false">IF(K524="","",IFERROR(INDEX(DECKS!$C$2:$C$1201,MATCH(K524,DECKS!$B$2:$B$1201,0)),TRIM(I524&amp;"")))</f>
        <v/>
      </c>
      <c r="E524" s="4"/>
      <c r="F524" s="12"/>
      <c r="G524" s="4"/>
      <c r="H524" s="13" t="str">
        <f aca="false">IF(OR(N(C524)=0,N(F524)=0),"",C524*F524)</f>
        <v/>
      </c>
      <c r="I524" s="4"/>
      <c r="J524" s="11" t="str">
        <f aca="false">IF(K524="","",IF(N(C524)&lt;=0,"Informe a quantidade",IF(IFERROR(INDEX(INVENTÁRIO!$B$2:$B$801,MATCH(K524,INVENTÁRIO!$A$2:$A$801,0)),"")="(sem nome)","Carta fora dos decks: digite o nome na coluna I (opcional)","")))</f>
        <v/>
      </c>
      <c r="K524" s="11" t="str">
        <f aca="false">UPPER(TRIM(SUBSTITUTE(B524&amp;"",CHAR(160)," ")))</f>
        <v/>
      </c>
      <c r="L524" s="11" t="str">
        <f aca="false">IF(AND(K524&lt;&gt;"",TRIM(I524&amp;"")&lt;&gt;""),K524,"")</f>
        <v/>
      </c>
    </row>
    <row r="525" customFormat="false" ht="15" hidden="false" customHeight="false" outlineLevel="0" collapsed="false">
      <c r="A525" s="9"/>
      <c r="B525" s="4"/>
      <c r="C525" s="10"/>
      <c r="D525" s="11" t="str">
        <f aca="false">IF(K525="","",IFERROR(INDEX(DECKS!$C$2:$C$1201,MATCH(K525,DECKS!$B$2:$B$1201,0)),TRIM(I525&amp;"")))</f>
        <v/>
      </c>
      <c r="E525" s="4"/>
      <c r="F525" s="12"/>
      <c r="G525" s="4"/>
      <c r="H525" s="13" t="str">
        <f aca="false">IF(OR(N(C525)=0,N(F525)=0),"",C525*F525)</f>
        <v/>
      </c>
      <c r="I525" s="4"/>
      <c r="J525" s="11" t="str">
        <f aca="false">IF(K525="","",IF(N(C525)&lt;=0,"Informe a quantidade",IF(IFERROR(INDEX(INVENTÁRIO!$B$2:$B$801,MATCH(K525,INVENTÁRIO!$A$2:$A$801,0)),"")="(sem nome)","Carta fora dos decks: digite o nome na coluna I (opcional)","")))</f>
        <v/>
      </c>
      <c r="K525" s="11" t="str">
        <f aca="false">UPPER(TRIM(SUBSTITUTE(B525&amp;"",CHAR(160)," ")))</f>
        <v/>
      </c>
      <c r="L525" s="11" t="str">
        <f aca="false">IF(AND(K525&lt;&gt;"",TRIM(I525&amp;"")&lt;&gt;""),K525,"")</f>
        <v/>
      </c>
    </row>
    <row r="526" customFormat="false" ht="15" hidden="false" customHeight="false" outlineLevel="0" collapsed="false">
      <c r="A526" s="9"/>
      <c r="B526" s="4"/>
      <c r="C526" s="10"/>
      <c r="D526" s="11" t="str">
        <f aca="false">IF(K526="","",IFERROR(INDEX(DECKS!$C$2:$C$1201,MATCH(K526,DECKS!$B$2:$B$1201,0)),TRIM(I526&amp;"")))</f>
        <v/>
      </c>
      <c r="E526" s="4"/>
      <c r="F526" s="12"/>
      <c r="G526" s="4"/>
      <c r="H526" s="13" t="str">
        <f aca="false">IF(OR(N(C526)=0,N(F526)=0),"",C526*F526)</f>
        <v/>
      </c>
      <c r="I526" s="4"/>
      <c r="J526" s="11" t="str">
        <f aca="false">IF(K526="","",IF(N(C526)&lt;=0,"Informe a quantidade",IF(IFERROR(INDEX(INVENTÁRIO!$B$2:$B$801,MATCH(K526,INVENTÁRIO!$A$2:$A$801,0)),"")="(sem nome)","Carta fora dos decks: digite o nome na coluna I (opcional)","")))</f>
        <v/>
      </c>
      <c r="K526" s="11" t="str">
        <f aca="false">UPPER(TRIM(SUBSTITUTE(B526&amp;"",CHAR(160)," ")))</f>
        <v/>
      </c>
      <c r="L526" s="11" t="str">
        <f aca="false">IF(AND(K526&lt;&gt;"",TRIM(I526&amp;"")&lt;&gt;""),K526,"")</f>
        <v/>
      </c>
    </row>
    <row r="527" customFormat="false" ht="15" hidden="false" customHeight="false" outlineLevel="0" collapsed="false">
      <c r="A527" s="9"/>
      <c r="B527" s="4"/>
      <c r="C527" s="10"/>
      <c r="D527" s="11" t="str">
        <f aca="false">IF(K527="","",IFERROR(INDEX(DECKS!$C$2:$C$1201,MATCH(K527,DECKS!$B$2:$B$1201,0)),TRIM(I527&amp;"")))</f>
        <v/>
      </c>
      <c r="E527" s="4"/>
      <c r="F527" s="12"/>
      <c r="G527" s="4"/>
      <c r="H527" s="13" t="str">
        <f aca="false">IF(OR(N(C527)=0,N(F527)=0),"",C527*F527)</f>
        <v/>
      </c>
      <c r="I527" s="4"/>
      <c r="J527" s="11" t="str">
        <f aca="false">IF(K527="","",IF(N(C527)&lt;=0,"Informe a quantidade",IF(IFERROR(INDEX(INVENTÁRIO!$B$2:$B$801,MATCH(K527,INVENTÁRIO!$A$2:$A$801,0)),"")="(sem nome)","Carta fora dos decks: digite o nome na coluna I (opcional)","")))</f>
        <v/>
      </c>
      <c r="K527" s="11" t="str">
        <f aca="false">UPPER(TRIM(SUBSTITUTE(B527&amp;"",CHAR(160)," ")))</f>
        <v/>
      </c>
      <c r="L527" s="11" t="str">
        <f aca="false">IF(AND(K527&lt;&gt;"",TRIM(I527&amp;"")&lt;&gt;""),K527,"")</f>
        <v/>
      </c>
    </row>
    <row r="528" customFormat="false" ht="15" hidden="false" customHeight="false" outlineLevel="0" collapsed="false">
      <c r="A528" s="9"/>
      <c r="B528" s="4"/>
      <c r="C528" s="10"/>
      <c r="D528" s="11" t="str">
        <f aca="false">IF(K528="","",IFERROR(INDEX(DECKS!$C$2:$C$1201,MATCH(K528,DECKS!$B$2:$B$1201,0)),TRIM(I528&amp;"")))</f>
        <v/>
      </c>
      <c r="E528" s="4"/>
      <c r="F528" s="12"/>
      <c r="G528" s="4"/>
      <c r="H528" s="13" t="str">
        <f aca="false">IF(OR(N(C528)=0,N(F528)=0),"",C528*F528)</f>
        <v/>
      </c>
      <c r="I528" s="4"/>
      <c r="J528" s="11" t="str">
        <f aca="false">IF(K528="","",IF(N(C528)&lt;=0,"Informe a quantidade",IF(IFERROR(INDEX(INVENTÁRIO!$B$2:$B$801,MATCH(K528,INVENTÁRIO!$A$2:$A$801,0)),"")="(sem nome)","Carta fora dos decks: digite o nome na coluna I (opcional)","")))</f>
        <v/>
      </c>
      <c r="K528" s="11" t="str">
        <f aca="false">UPPER(TRIM(SUBSTITUTE(B528&amp;"",CHAR(160)," ")))</f>
        <v/>
      </c>
      <c r="L528" s="11" t="str">
        <f aca="false">IF(AND(K528&lt;&gt;"",TRIM(I528&amp;"")&lt;&gt;""),K528,"")</f>
        <v/>
      </c>
    </row>
    <row r="529" customFormat="false" ht="15" hidden="false" customHeight="false" outlineLevel="0" collapsed="false">
      <c r="A529" s="9"/>
      <c r="B529" s="4"/>
      <c r="C529" s="10"/>
      <c r="D529" s="11" t="str">
        <f aca="false">IF(K529="","",IFERROR(INDEX(DECKS!$C$2:$C$1201,MATCH(K529,DECKS!$B$2:$B$1201,0)),TRIM(I529&amp;"")))</f>
        <v/>
      </c>
      <c r="E529" s="4"/>
      <c r="F529" s="12"/>
      <c r="G529" s="4"/>
      <c r="H529" s="13" t="str">
        <f aca="false">IF(OR(N(C529)=0,N(F529)=0),"",C529*F529)</f>
        <v/>
      </c>
      <c r="I529" s="4"/>
      <c r="J529" s="11" t="str">
        <f aca="false">IF(K529="","",IF(N(C529)&lt;=0,"Informe a quantidade",IF(IFERROR(INDEX(INVENTÁRIO!$B$2:$B$801,MATCH(K529,INVENTÁRIO!$A$2:$A$801,0)),"")="(sem nome)","Carta fora dos decks: digite o nome na coluna I (opcional)","")))</f>
        <v/>
      </c>
      <c r="K529" s="11" t="str">
        <f aca="false">UPPER(TRIM(SUBSTITUTE(B529&amp;"",CHAR(160)," ")))</f>
        <v/>
      </c>
      <c r="L529" s="11" t="str">
        <f aca="false">IF(AND(K529&lt;&gt;"",TRIM(I529&amp;"")&lt;&gt;""),K529,"")</f>
        <v/>
      </c>
    </row>
    <row r="530" customFormat="false" ht="15" hidden="false" customHeight="false" outlineLevel="0" collapsed="false">
      <c r="A530" s="9"/>
      <c r="B530" s="4"/>
      <c r="C530" s="10"/>
      <c r="D530" s="11" t="str">
        <f aca="false">IF(K530="","",IFERROR(INDEX(DECKS!$C$2:$C$1201,MATCH(K530,DECKS!$B$2:$B$1201,0)),TRIM(I530&amp;"")))</f>
        <v/>
      </c>
      <c r="E530" s="4"/>
      <c r="F530" s="12"/>
      <c r="G530" s="4"/>
      <c r="H530" s="13" t="str">
        <f aca="false">IF(OR(N(C530)=0,N(F530)=0),"",C530*F530)</f>
        <v/>
      </c>
      <c r="I530" s="4"/>
      <c r="J530" s="11" t="str">
        <f aca="false">IF(K530="","",IF(N(C530)&lt;=0,"Informe a quantidade",IF(IFERROR(INDEX(INVENTÁRIO!$B$2:$B$801,MATCH(K530,INVENTÁRIO!$A$2:$A$801,0)),"")="(sem nome)","Carta fora dos decks: digite o nome na coluna I (opcional)","")))</f>
        <v/>
      </c>
      <c r="K530" s="11" t="str">
        <f aca="false">UPPER(TRIM(SUBSTITUTE(B530&amp;"",CHAR(160)," ")))</f>
        <v/>
      </c>
      <c r="L530" s="11" t="str">
        <f aca="false">IF(AND(K530&lt;&gt;"",TRIM(I530&amp;"")&lt;&gt;""),K530,"")</f>
        <v/>
      </c>
    </row>
    <row r="531" customFormat="false" ht="15" hidden="false" customHeight="false" outlineLevel="0" collapsed="false">
      <c r="A531" s="9"/>
      <c r="B531" s="4"/>
      <c r="C531" s="10"/>
      <c r="D531" s="11" t="str">
        <f aca="false">IF(K531="","",IFERROR(INDEX(DECKS!$C$2:$C$1201,MATCH(K531,DECKS!$B$2:$B$1201,0)),TRIM(I531&amp;"")))</f>
        <v/>
      </c>
      <c r="E531" s="4"/>
      <c r="F531" s="12"/>
      <c r="G531" s="4"/>
      <c r="H531" s="13" t="str">
        <f aca="false">IF(OR(N(C531)=0,N(F531)=0),"",C531*F531)</f>
        <v/>
      </c>
      <c r="I531" s="4"/>
      <c r="J531" s="11" t="str">
        <f aca="false">IF(K531="","",IF(N(C531)&lt;=0,"Informe a quantidade",IF(IFERROR(INDEX(INVENTÁRIO!$B$2:$B$801,MATCH(K531,INVENTÁRIO!$A$2:$A$801,0)),"")="(sem nome)","Carta fora dos decks: digite o nome na coluna I (opcional)","")))</f>
        <v/>
      </c>
      <c r="K531" s="11" t="str">
        <f aca="false">UPPER(TRIM(SUBSTITUTE(B531&amp;"",CHAR(160)," ")))</f>
        <v/>
      </c>
      <c r="L531" s="11" t="str">
        <f aca="false">IF(AND(K531&lt;&gt;"",TRIM(I531&amp;"")&lt;&gt;""),K531,"")</f>
        <v/>
      </c>
    </row>
    <row r="532" customFormat="false" ht="15" hidden="false" customHeight="false" outlineLevel="0" collapsed="false">
      <c r="A532" s="9"/>
      <c r="B532" s="4"/>
      <c r="C532" s="10"/>
      <c r="D532" s="11" t="str">
        <f aca="false">IF(K532="","",IFERROR(INDEX(DECKS!$C$2:$C$1201,MATCH(K532,DECKS!$B$2:$B$1201,0)),TRIM(I532&amp;"")))</f>
        <v/>
      </c>
      <c r="E532" s="4"/>
      <c r="F532" s="12"/>
      <c r="G532" s="4"/>
      <c r="H532" s="13" t="str">
        <f aca="false">IF(OR(N(C532)=0,N(F532)=0),"",C532*F532)</f>
        <v/>
      </c>
      <c r="I532" s="4"/>
      <c r="J532" s="11" t="str">
        <f aca="false">IF(K532="","",IF(N(C532)&lt;=0,"Informe a quantidade",IF(IFERROR(INDEX(INVENTÁRIO!$B$2:$B$801,MATCH(K532,INVENTÁRIO!$A$2:$A$801,0)),"")="(sem nome)","Carta fora dos decks: digite o nome na coluna I (opcional)","")))</f>
        <v/>
      </c>
      <c r="K532" s="11" t="str">
        <f aca="false">UPPER(TRIM(SUBSTITUTE(B532&amp;"",CHAR(160)," ")))</f>
        <v/>
      </c>
      <c r="L532" s="11" t="str">
        <f aca="false">IF(AND(K532&lt;&gt;"",TRIM(I532&amp;"")&lt;&gt;""),K532,"")</f>
        <v/>
      </c>
    </row>
    <row r="533" customFormat="false" ht="15" hidden="false" customHeight="false" outlineLevel="0" collapsed="false">
      <c r="A533" s="9"/>
      <c r="B533" s="4"/>
      <c r="C533" s="10"/>
      <c r="D533" s="11" t="str">
        <f aca="false">IF(K533="","",IFERROR(INDEX(DECKS!$C$2:$C$1201,MATCH(K533,DECKS!$B$2:$B$1201,0)),TRIM(I533&amp;"")))</f>
        <v/>
      </c>
      <c r="E533" s="4"/>
      <c r="F533" s="12"/>
      <c r="G533" s="4"/>
      <c r="H533" s="13" t="str">
        <f aca="false">IF(OR(N(C533)=0,N(F533)=0),"",C533*F533)</f>
        <v/>
      </c>
      <c r="I533" s="4"/>
      <c r="J533" s="11" t="str">
        <f aca="false">IF(K533="","",IF(N(C533)&lt;=0,"Informe a quantidade",IF(IFERROR(INDEX(INVENTÁRIO!$B$2:$B$801,MATCH(K533,INVENTÁRIO!$A$2:$A$801,0)),"")="(sem nome)","Carta fora dos decks: digite o nome na coluna I (opcional)","")))</f>
        <v/>
      </c>
      <c r="K533" s="11" t="str">
        <f aca="false">UPPER(TRIM(SUBSTITUTE(B533&amp;"",CHAR(160)," ")))</f>
        <v/>
      </c>
      <c r="L533" s="11" t="str">
        <f aca="false">IF(AND(K533&lt;&gt;"",TRIM(I533&amp;"")&lt;&gt;""),K533,"")</f>
        <v/>
      </c>
    </row>
    <row r="534" customFormat="false" ht="15" hidden="false" customHeight="false" outlineLevel="0" collapsed="false">
      <c r="A534" s="9"/>
      <c r="B534" s="4"/>
      <c r="C534" s="10"/>
      <c r="D534" s="11" t="str">
        <f aca="false">IF(K534="","",IFERROR(INDEX(DECKS!$C$2:$C$1201,MATCH(K534,DECKS!$B$2:$B$1201,0)),TRIM(I534&amp;"")))</f>
        <v/>
      </c>
      <c r="E534" s="4"/>
      <c r="F534" s="12"/>
      <c r="G534" s="4"/>
      <c r="H534" s="13" t="str">
        <f aca="false">IF(OR(N(C534)=0,N(F534)=0),"",C534*F534)</f>
        <v/>
      </c>
      <c r="I534" s="4"/>
      <c r="J534" s="11" t="str">
        <f aca="false">IF(K534="","",IF(N(C534)&lt;=0,"Informe a quantidade",IF(IFERROR(INDEX(INVENTÁRIO!$B$2:$B$801,MATCH(K534,INVENTÁRIO!$A$2:$A$801,0)),"")="(sem nome)","Carta fora dos decks: digite o nome na coluna I (opcional)","")))</f>
        <v/>
      </c>
      <c r="K534" s="11" t="str">
        <f aca="false">UPPER(TRIM(SUBSTITUTE(B534&amp;"",CHAR(160)," ")))</f>
        <v/>
      </c>
      <c r="L534" s="11" t="str">
        <f aca="false">IF(AND(K534&lt;&gt;"",TRIM(I534&amp;"")&lt;&gt;""),K534,"")</f>
        <v/>
      </c>
    </row>
    <row r="535" customFormat="false" ht="15" hidden="false" customHeight="false" outlineLevel="0" collapsed="false">
      <c r="A535" s="9"/>
      <c r="B535" s="4"/>
      <c r="C535" s="10"/>
      <c r="D535" s="11" t="str">
        <f aca="false">IF(K535="","",IFERROR(INDEX(DECKS!$C$2:$C$1201,MATCH(K535,DECKS!$B$2:$B$1201,0)),TRIM(I535&amp;"")))</f>
        <v/>
      </c>
      <c r="E535" s="4"/>
      <c r="F535" s="12"/>
      <c r="G535" s="4"/>
      <c r="H535" s="13" t="str">
        <f aca="false">IF(OR(N(C535)=0,N(F535)=0),"",C535*F535)</f>
        <v/>
      </c>
      <c r="I535" s="4"/>
      <c r="J535" s="11" t="str">
        <f aca="false">IF(K535="","",IF(N(C535)&lt;=0,"Informe a quantidade",IF(IFERROR(INDEX(INVENTÁRIO!$B$2:$B$801,MATCH(K535,INVENTÁRIO!$A$2:$A$801,0)),"")="(sem nome)","Carta fora dos decks: digite o nome na coluna I (opcional)","")))</f>
        <v/>
      </c>
      <c r="K535" s="11" t="str">
        <f aca="false">UPPER(TRIM(SUBSTITUTE(B535&amp;"",CHAR(160)," ")))</f>
        <v/>
      </c>
      <c r="L535" s="11" t="str">
        <f aca="false">IF(AND(K535&lt;&gt;"",TRIM(I535&amp;"")&lt;&gt;""),K535,"")</f>
        <v/>
      </c>
    </row>
    <row r="536" customFormat="false" ht="15" hidden="false" customHeight="false" outlineLevel="0" collapsed="false">
      <c r="A536" s="9"/>
      <c r="B536" s="4"/>
      <c r="C536" s="10"/>
      <c r="D536" s="11" t="str">
        <f aca="false">IF(K536="","",IFERROR(INDEX(DECKS!$C$2:$C$1201,MATCH(K536,DECKS!$B$2:$B$1201,0)),TRIM(I536&amp;"")))</f>
        <v/>
      </c>
      <c r="E536" s="4"/>
      <c r="F536" s="12"/>
      <c r="G536" s="4"/>
      <c r="H536" s="13" t="str">
        <f aca="false">IF(OR(N(C536)=0,N(F536)=0),"",C536*F536)</f>
        <v/>
      </c>
      <c r="I536" s="4"/>
      <c r="J536" s="11" t="str">
        <f aca="false">IF(K536="","",IF(N(C536)&lt;=0,"Informe a quantidade",IF(IFERROR(INDEX(INVENTÁRIO!$B$2:$B$801,MATCH(K536,INVENTÁRIO!$A$2:$A$801,0)),"")="(sem nome)","Carta fora dos decks: digite o nome na coluna I (opcional)","")))</f>
        <v/>
      </c>
      <c r="K536" s="11" t="str">
        <f aca="false">UPPER(TRIM(SUBSTITUTE(B536&amp;"",CHAR(160)," ")))</f>
        <v/>
      </c>
      <c r="L536" s="11" t="str">
        <f aca="false">IF(AND(K536&lt;&gt;"",TRIM(I536&amp;"")&lt;&gt;""),K536,"")</f>
        <v/>
      </c>
    </row>
    <row r="537" customFormat="false" ht="15" hidden="false" customHeight="false" outlineLevel="0" collapsed="false">
      <c r="A537" s="9"/>
      <c r="B537" s="4"/>
      <c r="C537" s="10"/>
      <c r="D537" s="11" t="str">
        <f aca="false">IF(K537="","",IFERROR(INDEX(DECKS!$C$2:$C$1201,MATCH(K537,DECKS!$B$2:$B$1201,0)),TRIM(I537&amp;"")))</f>
        <v/>
      </c>
      <c r="E537" s="4"/>
      <c r="F537" s="12"/>
      <c r="G537" s="4"/>
      <c r="H537" s="13" t="str">
        <f aca="false">IF(OR(N(C537)=0,N(F537)=0),"",C537*F537)</f>
        <v/>
      </c>
      <c r="I537" s="4"/>
      <c r="J537" s="11" t="str">
        <f aca="false">IF(K537="","",IF(N(C537)&lt;=0,"Informe a quantidade",IF(IFERROR(INDEX(INVENTÁRIO!$B$2:$B$801,MATCH(K537,INVENTÁRIO!$A$2:$A$801,0)),"")="(sem nome)","Carta fora dos decks: digite o nome na coluna I (opcional)","")))</f>
        <v/>
      </c>
      <c r="K537" s="11" t="str">
        <f aca="false">UPPER(TRIM(SUBSTITUTE(B537&amp;"",CHAR(160)," ")))</f>
        <v/>
      </c>
      <c r="L537" s="11" t="str">
        <f aca="false">IF(AND(K537&lt;&gt;"",TRIM(I537&amp;"")&lt;&gt;""),K537,"")</f>
        <v/>
      </c>
    </row>
    <row r="538" customFormat="false" ht="15" hidden="false" customHeight="false" outlineLevel="0" collapsed="false">
      <c r="A538" s="9"/>
      <c r="B538" s="4"/>
      <c r="C538" s="10"/>
      <c r="D538" s="11" t="str">
        <f aca="false">IF(K538="","",IFERROR(INDEX(DECKS!$C$2:$C$1201,MATCH(K538,DECKS!$B$2:$B$1201,0)),TRIM(I538&amp;"")))</f>
        <v/>
      </c>
      <c r="E538" s="4"/>
      <c r="F538" s="12"/>
      <c r="G538" s="4"/>
      <c r="H538" s="13" t="str">
        <f aca="false">IF(OR(N(C538)=0,N(F538)=0),"",C538*F538)</f>
        <v/>
      </c>
      <c r="I538" s="4"/>
      <c r="J538" s="11" t="str">
        <f aca="false">IF(K538="","",IF(N(C538)&lt;=0,"Informe a quantidade",IF(IFERROR(INDEX(INVENTÁRIO!$B$2:$B$801,MATCH(K538,INVENTÁRIO!$A$2:$A$801,0)),"")="(sem nome)","Carta fora dos decks: digite o nome na coluna I (opcional)","")))</f>
        <v/>
      </c>
      <c r="K538" s="11" t="str">
        <f aca="false">UPPER(TRIM(SUBSTITUTE(B538&amp;"",CHAR(160)," ")))</f>
        <v/>
      </c>
      <c r="L538" s="11" t="str">
        <f aca="false">IF(AND(K538&lt;&gt;"",TRIM(I538&amp;"")&lt;&gt;""),K538,"")</f>
        <v/>
      </c>
    </row>
    <row r="539" customFormat="false" ht="15" hidden="false" customHeight="false" outlineLevel="0" collapsed="false">
      <c r="A539" s="9"/>
      <c r="B539" s="4"/>
      <c r="C539" s="10"/>
      <c r="D539" s="11" t="str">
        <f aca="false">IF(K539="","",IFERROR(INDEX(DECKS!$C$2:$C$1201,MATCH(K539,DECKS!$B$2:$B$1201,0)),TRIM(I539&amp;"")))</f>
        <v/>
      </c>
      <c r="E539" s="4"/>
      <c r="F539" s="12"/>
      <c r="G539" s="4"/>
      <c r="H539" s="13" t="str">
        <f aca="false">IF(OR(N(C539)=0,N(F539)=0),"",C539*F539)</f>
        <v/>
      </c>
      <c r="I539" s="4"/>
      <c r="J539" s="11" t="str">
        <f aca="false">IF(K539="","",IF(N(C539)&lt;=0,"Informe a quantidade",IF(IFERROR(INDEX(INVENTÁRIO!$B$2:$B$801,MATCH(K539,INVENTÁRIO!$A$2:$A$801,0)),"")="(sem nome)","Carta fora dos decks: digite o nome na coluna I (opcional)","")))</f>
        <v/>
      </c>
      <c r="K539" s="11" t="str">
        <f aca="false">UPPER(TRIM(SUBSTITUTE(B539&amp;"",CHAR(160)," ")))</f>
        <v/>
      </c>
      <c r="L539" s="11" t="str">
        <f aca="false">IF(AND(K539&lt;&gt;"",TRIM(I539&amp;"")&lt;&gt;""),K539,"")</f>
        <v/>
      </c>
    </row>
    <row r="540" customFormat="false" ht="15" hidden="false" customHeight="false" outlineLevel="0" collapsed="false">
      <c r="A540" s="9"/>
      <c r="B540" s="4"/>
      <c r="C540" s="10"/>
      <c r="D540" s="11" t="str">
        <f aca="false">IF(K540="","",IFERROR(INDEX(DECKS!$C$2:$C$1201,MATCH(K540,DECKS!$B$2:$B$1201,0)),TRIM(I540&amp;"")))</f>
        <v/>
      </c>
      <c r="E540" s="4"/>
      <c r="F540" s="12"/>
      <c r="G540" s="4"/>
      <c r="H540" s="13" t="str">
        <f aca="false">IF(OR(N(C540)=0,N(F540)=0),"",C540*F540)</f>
        <v/>
      </c>
      <c r="I540" s="4"/>
      <c r="J540" s="11" t="str">
        <f aca="false">IF(K540="","",IF(N(C540)&lt;=0,"Informe a quantidade",IF(IFERROR(INDEX(INVENTÁRIO!$B$2:$B$801,MATCH(K540,INVENTÁRIO!$A$2:$A$801,0)),"")="(sem nome)","Carta fora dos decks: digite o nome na coluna I (opcional)","")))</f>
        <v/>
      </c>
      <c r="K540" s="11" t="str">
        <f aca="false">UPPER(TRIM(SUBSTITUTE(B540&amp;"",CHAR(160)," ")))</f>
        <v/>
      </c>
      <c r="L540" s="11" t="str">
        <f aca="false">IF(AND(K540&lt;&gt;"",TRIM(I540&amp;"")&lt;&gt;""),K540,"")</f>
        <v/>
      </c>
    </row>
    <row r="541" customFormat="false" ht="15" hidden="false" customHeight="false" outlineLevel="0" collapsed="false">
      <c r="A541" s="9"/>
      <c r="B541" s="4"/>
      <c r="C541" s="10"/>
      <c r="D541" s="11" t="str">
        <f aca="false">IF(K541="","",IFERROR(INDEX(DECKS!$C$2:$C$1201,MATCH(K541,DECKS!$B$2:$B$1201,0)),TRIM(I541&amp;"")))</f>
        <v/>
      </c>
      <c r="E541" s="4"/>
      <c r="F541" s="12"/>
      <c r="G541" s="4"/>
      <c r="H541" s="13" t="str">
        <f aca="false">IF(OR(N(C541)=0,N(F541)=0),"",C541*F541)</f>
        <v/>
      </c>
      <c r="I541" s="4"/>
      <c r="J541" s="11" t="str">
        <f aca="false">IF(K541="","",IF(N(C541)&lt;=0,"Informe a quantidade",IF(IFERROR(INDEX(INVENTÁRIO!$B$2:$B$801,MATCH(K541,INVENTÁRIO!$A$2:$A$801,0)),"")="(sem nome)","Carta fora dos decks: digite o nome na coluna I (opcional)","")))</f>
        <v/>
      </c>
      <c r="K541" s="11" t="str">
        <f aca="false">UPPER(TRIM(SUBSTITUTE(B541&amp;"",CHAR(160)," ")))</f>
        <v/>
      </c>
      <c r="L541" s="11" t="str">
        <f aca="false">IF(AND(K541&lt;&gt;"",TRIM(I541&amp;"")&lt;&gt;""),K541,"")</f>
        <v/>
      </c>
    </row>
    <row r="542" customFormat="false" ht="15" hidden="false" customHeight="false" outlineLevel="0" collapsed="false">
      <c r="A542" s="9"/>
      <c r="B542" s="4"/>
      <c r="C542" s="10"/>
      <c r="D542" s="11" t="str">
        <f aca="false">IF(K542="","",IFERROR(INDEX(DECKS!$C$2:$C$1201,MATCH(K542,DECKS!$B$2:$B$1201,0)),TRIM(I542&amp;"")))</f>
        <v/>
      </c>
      <c r="E542" s="4"/>
      <c r="F542" s="12"/>
      <c r="G542" s="4"/>
      <c r="H542" s="13" t="str">
        <f aca="false">IF(OR(N(C542)=0,N(F542)=0),"",C542*F542)</f>
        <v/>
      </c>
      <c r="I542" s="4"/>
      <c r="J542" s="11" t="str">
        <f aca="false">IF(K542="","",IF(N(C542)&lt;=0,"Informe a quantidade",IF(IFERROR(INDEX(INVENTÁRIO!$B$2:$B$801,MATCH(K542,INVENTÁRIO!$A$2:$A$801,0)),"")="(sem nome)","Carta fora dos decks: digite o nome na coluna I (opcional)","")))</f>
        <v/>
      </c>
      <c r="K542" s="11" t="str">
        <f aca="false">UPPER(TRIM(SUBSTITUTE(B542&amp;"",CHAR(160)," ")))</f>
        <v/>
      </c>
      <c r="L542" s="11" t="str">
        <f aca="false">IF(AND(K542&lt;&gt;"",TRIM(I542&amp;"")&lt;&gt;""),K542,"")</f>
        <v/>
      </c>
    </row>
    <row r="543" customFormat="false" ht="15" hidden="false" customHeight="false" outlineLevel="0" collapsed="false">
      <c r="A543" s="9"/>
      <c r="B543" s="4"/>
      <c r="C543" s="10"/>
      <c r="D543" s="11" t="str">
        <f aca="false">IF(K543="","",IFERROR(INDEX(DECKS!$C$2:$C$1201,MATCH(K543,DECKS!$B$2:$B$1201,0)),TRIM(I543&amp;"")))</f>
        <v/>
      </c>
      <c r="E543" s="4"/>
      <c r="F543" s="12"/>
      <c r="G543" s="4"/>
      <c r="H543" s="13" t="str">
        <f aca="false">IF(OR(N(C543)=0,N(F543)=0),"",C543*F543)</f>
        <v/>
      </c>
      <c r="I543" s="4"/>
      <c r="J543" s="11" t="str">
        <f aca="false">IF(K543="","",IF(N(C543)&lt;=0,"Informe a quantidade",IF(IFERROR(INDEX(INVENTÁRIO!$B$2:$B$801,MATCH(K543,INVENTÁRIO!$A$2:$A$801,0)),"")="(sem nome)","Carta fora dos decks: digite o nome na coluna I (opcional)","")))</f>
        <v/>
      </c>
      <c r="K543" s="11" t="str">
        <f aca="false">UPPER(TRIM(SUBSTITUTE(B543&amp;"",CHAR(160)," ")))</f>
        <v/>
      </c>
      <c r="L543" s="11" t="str">
        <f aca="false">IF(AND(K543&lt;&gt;"",TRIM(I543&amp;"")&lt;&gt;""),K543,"")</f>
        <v/>
      </c>
    </row>
    <row r="544" customFormat="false" ht="15" hidden="false" customHeight="false" outlineLevel="0" collapsed="false">
      <c r="A544" s="9"/>
      <c r="B544" s="4"/>
      <c r="C544" s="10"/>
      <c r="D544" s="11" t="str">
        <f aca="false">IF(K544="","",IFERROR(INDEX(DECKS!$C$2:$C$1201,MATCH(K544,DECKS!$B$2:$B$1201,0)),TRIM(I544&amp;"")))</f>
        <v/>
      </c>
      <c r="E544" s="4"/>
      <c r="F544" s="12"/>
      <c r="G544" s="4"/>
      <c r="H544" s="13" t="str">
        <f aca="false">IF(OR(N(C544)=0,N(F544)=0),"",C544*F544)</f>
        <v/>
      </c>
      <c r="I544" s="4"/>
      <c r="J544" s="11" t="str">
        <f aca="false">IF(K544="","",IF(N(C544)&lt;=0,"Informe a quantidade",IF(IFERROR(INDEX(INVENTÁRIO!$B$2:$B$801,MATCH(K544,INVENTÁRIO!$A$2:$A$801,0)),"")="(sem nome)","Carta fora dos decks: digite o nome na coluna I (opcional)","")))</f>
        <v/>
      </c>
      <c r="K544" s="11" t="str">
        <f aca="false">UPPER(TRIM(SUBSTITUTE(B544&amp;"",CHAR(160)," ")))</f>
        <v/>
      </c>
      <c r="L544" s="11" t="str">
        <f aca="false">IF(AND(K544&lt;&gt;"",TRIM(I544&amp;"")&lt;&gt;""),K544,"")</f>
        <v/>
      </c>
    </row>
    <row r="545" customFormat="false" ht="15" hidden="false" customHeight="false" outlineLevel="0" collapsed="false">
      <c r="A545" s="9"/>
      <c r="B545" s="4"/>
      <c r="C545" s="10"/>
      <c r="D545" s="11" t="str">
        <f aca="false">IF(K545="","",IFERROR(INDEX(DECKS!$C$2:$C$1201,MATCH(K545,DECKS!$B$2:$B$1201,0)),TRIM(I545&amp;"")))</f>
        <v/>
      </c>
      <c r="E545" s="4"/>
      <c r="F545" s="12"/>
      <c r="G545" s="4"/>
      <c r="H545" s="13" t="str">
        <f aca="false">IF(OR(N(C545)=0,N(F545)=0),"",C545*F545)</f>
        <v/>
      </c>
      <c r="I545" s="4"/>
      <c r="J545" s="11" t="str">
        <f aca="false">IF(K545="","",IF(N(C545)&lt;=0,"Informe a quantidade",IF(IFERROR(INDEX(INVENTÁRIO!$B$2:$B$801,MATCH(K545,INVENTÁRIO!$A$2:$A$801,0)),"")="(sem nome)","Carta fora dos decks: digite o nome na coluna I (opcional)","")))</f>
        <v/>
      </c>
      <c r="K545" s="11" t="str">
        <f aca="false">UPPER(TRIM(SUBSTITUTE(B545&amp;"",CHAR(160)," ")))</f>
        <v/>
      </c>
      <c r="L545" s="11" t="str">
        <f aca="false">IF(AND(K545&lt;&gt;"",TRIM(I545&amp;"")&lt;&gt;""),K545,"")</f>
        <v/>
      </c>
    </row>
    <row r="546" customFormat="false" ht="15" hidden="false" customHeight="false" outlineLevel="0" collapsed="false">
      <c r="A546" s="9"/>
      <c r="B546" s="4"/>
      <c r="C546" s="10"/>
      <c r="D546" s="11" t="str">
        <f aca="false">IF(K546="","",IFERROR(INDEX(DECKS!$C$2:$C$1201,MATCH(K546,DECKS!$B$2:$B$1201,0)),TRIM(I546&amp;"")))</f>
        <v/>
      </c>
      <c r="E546" s="4"/>
      <c r="F546" s="12"/>
      <c r="G546" s="4"/>
      <c r="H546" s="13" t="str">
        <f aca="false">IF(OR(N(C546)=0,N(F546)=0),"",C546*F546)</f>
        <v/>
      </c>
      <c r="I546" s="4"/>
      <c r="J546" s="11" t="str">
        <f aca="false">IF(K546="","",IF(N(C546)&lt;=0,"Informe a quantidade",IF(IFERROR(INDEX(INVENTÁRIO!$B$2:$B$801,MATCH(K546,INVENTÁRIO!$A$2:$A$801,0)),"")="(sem nome)","Carta fora dos decks: digite o nome na coluna I (opcional)","")))</f>
        <v/>
      </c>
      <c r="K546" s="11" t="str">
        <f aca="false">UPPER(TRIM(SUBSTITUTE(B546&amp;"",CHAR(160)," ")))</f>
        <v/>
      </c>
      <c r="L546" s="11" t="str">
        <f aca="false">IF(AND(K546&lt;&gt;"",TRIM(I546&amp;"")&lt;&gt;""),K546,"")</f>
        <v/>
      </c>
    </row>
    <row r="547" customFormat="false" ht="15" hidden="false" customHeight="false" outlineLevel="0" collapsed="false">
      <c r="A547" s="9"/>
      <c r="B547" s="4"/>
      <c r="C547" s="10"/>
      <c r="D547" s="11" t="str">
        <f aca="false">IF(K547="","",IFERROR(INDEX(DECKS!$C$2:$C$1201,MATCH(K547,DECKS!$B$2:$B$1201,0)),TRIM(I547&amp;"")))</f>
        <v/>
      </c>
      <c r="E547" s="4"/>
      <c r="F547" s="12"/>
      <c r="G547" s="4"/>
      <c r="H547" s="13" t="str">
        <f aca="false">IF(OR(N(C547)=0,N(F547)=0),"",C547*F547)</f>
        <v/>
      </c>
      <c r="I547" s="4"/>
      <c r="J547" s="11" t="str">
        <f aca="false">IF(K547="","",IF(N(C547)&lt;=0,"Informe a quantidade",IF(IFERROR(INDEX(INVENTÁRIO!$B$2:$B$801,MATCH(K547,INVENTÁRIO!$A$2:$A$801,0)),"")="(sem nome)","Carta fora dos decks: digite o nome na coluna I (opcional)","")))</f>
        <v/>
      </c>
      <c r="K547" s="11" t="str">
        <f aca="false">UPPER(TRIM(SUBSTITUTE(B547&amp;"",CHAR(160)," ")))</f>
        <v/>
      </c>
      <c r="L547" s="11" t="str">
        <f aca="false">IF(AND(K547&lt;&gt;"",TRIM(I547&amp;"")&lt;&gt;""),K547,"")</f>
        <v/>
      </c>
    </row>
    <row r="548" customFormat="false" ht="15" hidden="false" customHeight="false" outlineLevel="0" collapsed="false">
      <c r="A548" s="9"/>
      <c r="B548" s="4"/>
      <c r="C548" s="10"/>
      <c r="D548" s="11" t="str">
        <f aca="false">IF(K548="","",IFERROR(INDEX(DECKS!$C$2:$C$1201,MATCH(K548,DECKS!$B$2:$B$1201,0)),TRIM(I548&amp;"")))</f>
        <v/>
      </c>
      <c r="E548" s="4"/>
      <c r="F548" s="12"/>
      <c r="G548" s="4"/>
      <c r="H548" s="13" t="str">
        <f aca="false">IF(OR(N(C548)=0,N(F548)=0),"",C548*F548)</f>
        <v/>
      </c>
      <c r="I548" s="4"/>
      <c r="J548" s="11" t="str">
        <f aca="false">IF(K548="","",IF(N(C548)&lt;=0,"Informe a quantidade",IF(IFERROR(INDEX(INVENTÁRIO!$B$2:$B$801,MATCH(K548,INVENTÁRIO!$A$2:$A$801,0)),"")="(sem nome)","Carta fora dos decks: digite o nome na coluna I (opcional)","")))</f>
        <v/>
      </c>
      <c r="K548" s="11" t="str">
        <f aca="false">UPPER(TRIM(SUBSTITUTE(B548&amp;"",CHAR(160)," ")))</f>
        <v/>
      </c>
      <c r="L548" s="11" t="str">
        <f aca="false">IF(AND(K548&lt;&gt;"",TRIM(I548&amp;"")&lt;&gt;""),K548,"")</f>
        <v/>
      </c>
    </row>
    <row r="549" customFormat="false" ht="15" hidden="false" customHeight="false" outlineLevel="0" collapsed="false">
      <c r="A549" s="9"/>
      <c r="B549" s="4"/>
      <c r="C549" s="10"/>
      <c r="D549" s="11" t="str">
        <f aca="false">IF(K549="","",IFERROR(INDEX(DECKS!$C$2:$C$1201,MATCH(K549,DECKS!$B$2:$B$1201,0)),TRIM(I549&amp;"")))</f>
        <v/>
      </c>
      <c r="E549" s="4"/>
      <c r="F549" s="12"/>
      <c r="G549" s="4"/>
      <c r="H549" s="13" t="str">
        <f aca="false">IF(OR(N(C549)=0,N(F549)=0),"",C549*F549)</f>
        <v/>
      </c>
      <c r="I549" s="4"/>
      <c r="J549" s="11" t="str">
        <f aca="false">IF(K549="","",IF(N(C549)&lt;=0,"Informe a quantidade",IF(IFERROR(INDEX(INVENTÁRIO!$B$2:$B$801,MATCH(K549,INVENTÁRIO!$A$2:$A$801,0)),"")="(sem nome)","Carta fora dos decks: digite o nome na coluna I (opcional)","")))</f>
        <v/>
      </c>
      <c r="K549" s="11" t="str">
        <f aca="false">UPPER(TRIM(SUBSTITUTE(B549&amp;"",CHAR(160)," ")))</f>
        <v/>
      </c>
      <c r="L549" s="11" t="str">
        <f aca="false">IF(AND(K549&lt;&gt;"",TRIM(I549&amp;"")&lt;&gt;""),K549,"")</f>
        <v/>
      </c>
    </row>
    <row r="550" customFormat="false" ht="15" hidden="false" customHeight="false" outlineLevel="0" collapsed="false">
      <c r="A550" s="9"/>
      <c r="B550" s="4"/>
      <c r="C550" s="10"/>
      <c r="D550" s="11" t="str">
        <f aca="false">IF(K550="","",IFERROR(INDEX(DECKS!$C$2:$C$1201,MATCH(K550,DECKS!$B$2:$B$1201,0)),TRIM(I550&amp;"")))</f>
        <v/>
      </c>
      <c r="E550" s="4"/>
      <c r="F550" s="12"/>
      <c r="G550" s="4"/>
      <c r="H550" s="13" t="str">
        <f aca="false">IF(OR(N(C550)=0,N(F550)=0),"",C550*F550)</f>
        <v/>
      </c>
      <c r="I550" s="4"/>
      <c r="J550" s="11" t="str">
        <f aca="false">IF(K550="","",IF(N(C550)&lt;=0,"Informe a quantidade",IF(IFERROR(INDEX(INVENTÁRIO!$B$2:$B$801,MATCH(K550,INVENTÁRIO!$A$2:$A$801,0)),"")="(sem nome)","Carta fora dos decks: digite o nome na coluna I (opcional)","")))</f>
        <v/>
      </c>
      <c r="K550" s="11" t="str">
        <f aca="false">UPPER(TRIM(SUBSTITUTE(B550&amp;"",CHAR(160)," ")))</f>
        <v/>
      </c>
      <c r="L550" s="11" t="str">
        <f aca="false">IF(AND(K550&lt;&gt;"",TRIM(I550&amp;"")&lt;&gt;""),K550,"")</f>
        <v/>
      </c>
    </row>
    <row r="551" customFormat="false" ht="15" hidden="false" customHeight="false" outlineLevel="0" collapsed="false">
      <c r="A551" s="9"/>
      <c r="B551" s="4"/>
      <c r="C551" s="10"/>
      <c r="D551" s="11" t="str">
        <f aca="false">IF(K551="","",IFERROR(INDEX(DECKS!$C$2:$C$1201,MATCH(K551,DECKS!$B$2:$B$1201,0)),TRIM(I551&amp;"")))</f>
        <v/>
      </c>
      <c r="E551" s="4"/>
      <c r="F551" s="12"/>
      <c r="G551" s="4"/>
      <c r="H551" s="13" t="str">
        <f aca="false">IF(OR(N(C551)=0,N(F551)=0),"",C551*F551)</f>
        <v/>
      </c>
      <c r="I551" s="4"/>
      <c r="J551" s="11" t="str">
        <f aca="false">IF(K551="","",IF(N(C551)&lt;=0,"Informe a quantidade",IF(IFERROR(INDEX(INVENTÁRIO!$B$2:$B$801,MATCH(K551,INVENTÁRIO!$A$2:$A$801,0)),"")="(sem nome)","Carta fora dos decks: digite o nome na coluna I (opcional)","")))</f>
        <v/>
      </c>
      <c r="K551" s="11" t="str">
        <f aca="false">UPPER(TRIM(SUBSTITUTE(B551&amp;"",CHAR(160)," ")))</f>
        <v/>
      </c>
      <c r="L551" s="11" t="str">
        <f aca="false">IF(AND(K551&lt;&gt;"",TRIM(I551&amp;"")&lt;&gt;""),K551,"")</f>
        <v/>
      </c>
    </row>
    <row r="552" customFormat="false" ht="15" hidden="false" customHeight="false" outlineLevel="0" collapsed="false">
      <c r="A552" s="9"/>
      <c r="B552" s="4"/>
      <c r="C552" s="10"/>
      <c r="D552" s="11" t="str">
        <f aca="false">IF(K552="","",IFERROR(INDEX(DECKS!$C$2:$C$1201,MATCH(K552,DECKS!$B$2:$B$1201,0)),TRIM(I552&amp;"")))</f>
        <v/>
      </c>
      <c r="E552" s="4"/>
      <c r="F552" s="12"/>
      <c r="G552" s="4"/>
      <c r="H552" s="13" t="str">
        <f aca="false">IF(OR(N(C552)=0,N(F552)=0),"",C552*F552)</f>
        <v/>
      </c>
      <c r="I552" s="4"/>
      <c r="J552" s="11" t="str">
        <f aca="false">IF(K552="","",IF(N(C552)&lt;=0,"Informe a quantidade",IF(IFERROR(INDEX(INVENTÁRIO!$B$2:$B$801,MATCH(K552,INVENTÁRIO!$A$2:$A$801,0)),"")="(sem nome)","Carta fora dos decks: digite o nome na coluna I (opcional)","")))</f>
        <v/>
      </c>
      <c r="K552" s="11" t="str">
        <f aca="false">UPPER(TRIM(SUBSTITUTE(B552&amp;"",CHAR(160)," ")))</f>
        <v/>
      </c>
      <c r="L552" s="11" t="str">
        <f aca="false">IF(AND(K552&lt;&gt;"",TRIM(I552&amp;"")&lt;&gt;""),K552,"")</f>
        <v/>
      </c>
    </row>
    <row r="553" customFormat="false" ht="15" hidden="false" customHeight="false" outlineLevel="0" collapsed="false">
      <c r="A553" s="9"/>
      <c r="B553" s="4"/>
      <c r="C553" s="10"/>
      <c r="D553" s="11" t="str">
        <f aca="false">IF(K553="","",IFERROR(INDEX(DECKS!$C$2:$C$1201,MATCH(K553,DECKS!$B$2:$B$1201,0)),TRIM(I553&amp;"")))</f>
        <v/>
      </c>
      <c r="E553" s="4"/>
      <c r="F553" s="12"/>
      <c r="G553" s="4"/>
      <c r="H553" s="13" t="str">
        <f aca="false">IF(OR(N(C553)=0,N(F553)=0),"",C553*F553)</f>
        <v/>
      </c>
      <c r="I553" s="4"/>
      <c r="J553" s="11" t="str">
        <f aca="false">IF(K553="","",IF(N(C553)&lt;=0,"Informe a quantidade",IF(IFERROR(INDEX(INVENTÁRIO!$B$2:$B$801,MATCH(K553,INVENTÁRIO!$A$2:$A$801,0)),"")="(sem nome)","Carta fora dos decks: digite o nome na coluna I (opcional)","")))</f>
        <v/>
      </c>
      <c r="K553" s="11" t="str">
        <f aca="false">UPPER(TRIM(SUBSTITUTE(B553&amp;"",CHAR(160)," ")))</f>
        <v/>
      </c>
      <c r="L553" s="11" t="str">
        <f aca="false">IF(AND(K553&lt;&gt;"",TRIM(I553&amp;"")&lt;&gt;""),K553,"")</f>
        <v/>
      </c>
    </row>
    <row r="554" customFormat="false" ht="15" hidden="false" customHeight="false" outlineLevel="0" collapsed="false">
      <c r="A554" s="9"/>
      <c r="B554" s="4"/>
      <c r="C554" s="10"/>
      <c r="D554" s="11" t="str">
        <f aca="false">IF(K554="","",IFERROR(INDEX(DECKS!$C$2:$C$1201,MATCH(K554,DECKS!$B$2:$B$1201,0)),TRIM(I554&amp;"")))</f>
        <v/>
      </c>
      <c r="E554" s="4"/>
      <c r="F554" s="12"/>
      <c r="G554" s="4"/>
      <c r="H554" s="13" t="str">
        <f aca="false">IF(OR(N(C554)=0,N(F554)=0),"",C554*F554)</f>
        <v/>
      </c>
      <c r="I554" s="4"/>
      <c r="J554" s="11" t="str">
        <f aca="false">IF(K554="","",IF(N(C554)&lt;=0,"Informe a quantidade",IF(IFERROR(INDEX(INVENTÁRIO!$B$2:$B$801,MATCH(K554,INVENTÁRIO!$A$2:$A$801,0)),"")="(sem nome)","Carta fora dos decks: digite o nome na coluna I (opcional)","")))</f>
        <v/>
      </c>
      <c r="K554" s="11" t="str">
        <f aca="false">UPPER(TRIM(SUBSTITUTE(B554&amp;"",CHAR(160)," ")))</f>
        <v/>
      </c>
      <c r="L554" s="11" t="str">
        <f aca="false">IF(AND(K554&lt;&gt;"",TRIM(I554&amp;"")&lt;&gt;""),K554,"")</f>
        <v/>
      </c>
    </row>
    <row r="555" customFormat="false" ht="15" hidden="false" customHeight="false" outlineLevel="0" collapsed="false">
      <c r="A555" s="9"/>
      <c r="B555" s="4"/>
      <c r="C555" s="10"/>
      <c r="D555" s="11" t="str">
        <f aca="false">IF(K555="","",IFERROR(INDEX(DECKS!$C$2:$C$1201,MATCH(K555,DECKS!$B$2:$B$1201,0)),TRIM(I555&amp;"")))</f>
        <v/>
      </c>
      <c r="E555" s="4"/>
      <c r="F555" s="12"/>
      <c r="G555" s="4"/>
      <c r="H555" s="13" t="str">
        <f aca="false">IF(OR(N(C555)=0,N(F555)=0),"",C555*F555)</f>
        <v/>
      </c>
      <c r="I555" s="4"/>
      <c r="J555" s="11" t="str">
        <f aca="false">IF(K555="","",IF(N(C555)&lt;=0,"Informe a quantidade",IF(IFERROR(INDEX(INVENTÁRIO!$B$2:$B$801,MATCH(K555,INVENTÁRIO!$A$2:$A$801,0)),"")="(sem nome)","Carta fora dos decks: digite o nome na coluna I (opcional)","")))</f>
        <v/>
      </c>
      <c r="K555" s="11" t="str">
        <f aca="false">UPPER(TRIM(SUBSTITUTE(B555&amp;"",CHAR(160)," ")))</f>
        <v/>
      </c>
      <c r="L555" s="11" t="str">
        <f aca="false">IF(AND(K555&lt;&gt;"",TRIM(I555&amp;"")&lt;&gt;""),K555,"")</f>
        <v/>
      </c>
    </row>
    <row r="556" customFormat="false" ht="15" hidden="false" customHeight="false" outlineLevel="0" collapsed="false">
      <c r="A556" s="9"/>
      <c r="B556" s="4"/>
      <c r="C556" s="10"/>
      <c r="D556" s="11" t="str">
        <f aca="false">IF(K556="","",IFERROR(INDEX(DECKS!$C$2:$C$1201,MATCH(K556,DECKS!$B$2:$B$1201,0)),TRIM(I556&amp;"")))</f>
        <v/>
      </c>
      <c r="E556" s="4"/>
      <c r="F556" s="12"/>
      <c r="G556" s="4"/>
      <c r="H556" s="13" t="str">
        <f aca="false">IF(OR(N(C556)=0,N(F556)=0),"",C556*F556)</f>
        <v/>
      </c>
      <c r="I556" s="4"/>
      <c r="J556" s="11" t="str">
        <f aca="false">IF(K556="","",IF(N(C556)&lt;=0,"Informe a quantidade",IF(IFERROR(INDEX(INVENTÁRIO!$B$2:$B$801,MATCH(K556,INVENTÁRIO!$A$2:$A$801,0)),"")="(sem nome)","Carta fora dos decks: digite o nome na coluna I (opcional)","")))</f>
        <v/>
      </c>
      <c r="K556" s="11" t="str">
        <f aca="false">UPPER(TRIM(SUBSTITUTE(B556&amp;"",CHAR(160)," ")))</f>
        <v/>
      </c>
      <c r="L556" s="11" t="str">
        <f aca="false">IF(AND(K556&lt;&gt;"",TRIM(I556&amp;"")&lt;&gt;""),K556,"")</f>
        <v/>
      </c>
    </row>
    <row r="557" customFormat="false" ht="15" hidden="false" customHeight="false" outlineLevel="0" collapsed="false">
      <c r="A557" s="9"/>
      <c r="B557" s="4"/>
      <c r="C557" s="10"/>
      <c r="D557" s="11" t="str">
        <f aca="false">IF(K557="","",IFERROR(INDEX(DECKS!$C$2:$C$1201,MATCH(K557,DECKS!$B$2:$B$1201,0)),TRIM(I557&amp;"")))</f>
        <v/>
      </c>
      <c r="E557" s="4"/>
      <c r="F557" s="12"/>
      <c r="G557" s="4"/>
      <c r="H557" s="13" t="str">
        <f aca="false">IF(OR(N(C557)=0,N(F557)=0),"",C557*F557)</f>
        <v/>
      </c>
      <c r="I557" s="4"/>
      <c r="J557" s="11" t="str">
        <f aca="false">IF(K557="","",IF(N(C557)&lt;=0,"Informe a quantidade",IF(IFERROR(INDEX(INVENTÁRIO!$B$2:$B$801,MATCH(K557,INVENTÁRIO!$A$2:$A$801,0)),"")="(sem nome)","Carta fora dos decks: digite o nome na coluna I (opcional)","")))</f>
        <v/>
      </c>
      <c r="K557" s="11" t="str">
        <f aca="false">UPPER(TRIM(SUBSTITUTE(B557&amp;"",CHAR(160)," ")))</f>
        <v/>
      </c>
      <c r="L557" s="11" t="str">
        <f aca="false">IF(AND(K557&lt;&gt;"",TRIM(I557&amp;"")&lt;&gt;""),K557,"")</f>
        <v/>
      </c>
    </row>
    <row r="558" customFormat="false" ht="15" hidden="false" customHeight="false" outlineLevel="0" collapsed="false">
      <c r="A558" s="9"/>
      <c r="B558" s="4"/>
      <c r="C558" s="10"/>
      <c r="D558" s="11" t="str">
        <f aca="false">IF(K558="","",IFERROR(INDEX(DECKS!$C$2:$C$1201,MATCH(K558,DECKS!$B$2:$B$1201,0)),TRIM(I558&amp;"")))</f>
        <v/>
      </c>
      <c r="E558" s="4"/>
      <c r="F558" s="12"/>
      <c r="G558" s="4"/>
      <c r="H558" s="13" t="str">
        <f aca="false">IF(OR(N(C558)=0,N(F558)=0),"",C558*F558)</f>
        <v/>
      </c>
      <c r="I558" s="4"/>
      <c r="J558" s="11" t="str">
        <f aca="false">IF(K558="","",IF(N(C558)&lt;=0,"Informe a quantidade",IF(IFERROR(INDEX(INVENTÁRIO!$B$2:$B$801,MATCH(K558,INVENTÁRIO!$A$2:$A$801,0)),"")="(sem nome)","Carta fora dos decks: digite o nome na coluna I (opcional)","")))</f>
        <v/>
      </c>
      <c r="K558" s="11" t="str">
        <f aca="false">UPPER(TRIM(SUBSTITUTE(B558&amp;"",CHAR(160)," ")))</f>
        <v/>
      </c>
      <c r="L558" s="11" t="str">
        <f aca="false">IF(AND(K558&lt;&gt;"",TRIM(I558&amp;"")&lt;&gt;""),K558,"")</f>
        <v/>
      </c>
    </row>
    <row r="559" customFormat="false" ht="15" hidden="false" customHeight="false" outlineLevel="0" collapsed="false">
      <c r="A559" s="9"/>
      <c r="B559" s="4"/>
      <c r="C559" s="10"/>
      <c r="D559" s="11" t="str">
        <f aca="false">IF(K559="","",IFERROR(INDEX(DECKS!$C$2:$C$1201,MATCH(K559,DECKS!$B$2:$B$1201,0)),TRIM(I559&amp;"")))</f>
        <v/>
      </c>
      <c r="E559" s="4"/>
      <c r="F559" s="12"/>
      <c r="G559" s="4"/>
      <c r="H559" s="13" t="str">
        <f aca="false">IF(OR(N(C559)=0,N(F559)=0),"",C559*F559)</f>
        <v/>
      </c>
      <c r="I559" s="4"/>
      <c r="J559" s="11" t="str">
        <f aca="false">IF(K559="","",IF(N(C559)&lt;=0,"Informe a quantidade",IF(IFERROR(INDEX(INVENTÁRIO!$B$2:$B$801,MATCH(K559,INVENTÁRIO!$A$2:$A$801,0)),"")="(sem nome)","Carta fora dos decks: digite o nome na coluna I (opcional)","")))</f>
        <v/>
      </c>
      <c r="K559" s="11" t="str">
        <f aca="false">UPPER(TRIM(SUBSTITUTE(B559&amp;"",CHAR(160)," ")))</f>
        <v/>
      </c>
      <c r="L559" s="11" t="str">
        <f aca="false">IF(AND(K559&lt;&gt;"",TRIM(I559&amp;"")&lt;&gt;""),K559,"")</f>
        <v/>
      </c>
    </row>
    <row r="560" customFormat="false" ht="15" hidden="false" customHeight="false" outlineLevel="0" collapsed="false">
      <c r="A560" s="9"/>
      <c r="B560" s="4"/>
      <c r="C560" s="10"/>
      <c r="D560" s="11" t="str">
        <f aca="false">IF(K560="","",IFERROR(INDEX(DECKS!$C$2:$C$1201,MATCH(K560,DECKS!$B$2:$B$1201,0)),TRIM(I560&amp;"")))</f>
        <v/>
      </c>
      <c r="E560" s="4"/>
      <c r="F560" s="12"/>
      <c r="G560" s="4"/>
      <c r="H560" s="13" t="str">
        <f aca="false">IF(OR(N(C560)=0,N(F560)=0),"",C560*F560)</f>
        <v/>
      </c>
      <c r="I560" s="4"/>
      <c r="J560" s="11" t="str">
        <f aca="false">IF(K560="","",IF(N(C560)&lt;=0,"Informe a quantidade",IF(IFERROR(INDEX(INVENTÁRIO!$B$2:$B$801,MATCH(K560,INVENTÁRIO!$A$2:$A$801,0)),"")="(sem nome)","Carta fora dos decks: digite o nome na coluna I (opcional)","")))</f>
        <v/>
      </c>
      <c r="K560" s="11" t="str">
        <f aca="false">UPPER(TRIM(SUBSTITUTE(B560&amp;"",CHAR(160)," ")))</f>
        <v/>
      </c>
      <c r="L560" s="11" t="str">
        <f aca="false">IF(AND(K560&lt;&gt;"",TRIM(I560&amp;"")&lt;&gt;""),K560,"")</f>
        <v/>
      </c>
    </row>
    <row r="561" customFormat="false" ht="15" hidden="false" customHeight="false" outlineLevel="0" collapsed="false">
      <c r="A561" s="9"/>
      <c r="B561" s="4"/>
      <c r="C561" s="10"/>
      <c r="D561" s="11" t="str">
        <f aca="false">IF(K561="","",IFERROR(INDEX(DECKS!$C$2:$C$1201,MATCH(K561,DECKS!$B$2:$B$1201,0)),TRIM(I561&amp;"")))</f>
        <v/>
      </c>
      <c r="E561" s="4"/>
      <c r="F561" s="12"/>
      <c r="G561" s="4"/>
      <c r="H561" s="13" t="str">
        <f aca="false">IF(OR(N(C561)=0,N(F561)=0),"",C561*F561)</f>
        <v/>
      </c>
      <c r="I561" s="4"/>
      <c r="J561" s="11" t="str">
        <f aca="false">IF(K561="","",IF(N(C561)&lt;=0,"Informe a quantidade",IF(IFERROR(INDEX(INVENTÁRIO!$B$2:$B$801,MATCH(K561,INVENTÁRIO!$A$2:$A$801,0)),"")="(sem nome)","Carta fora dos decks: digite o nome na coluna I (opcional)","")))</f>
        <v/>
      </c>
      <c r="K561" s="11" t="str">
        <f aca="false">UPPER(TRIM(SUBSTITUTE(B561&amp;"",CHAR(160)," ")))</f>
        <v/>
      </c>
      <c r="L561" s="11" t="str">
        <f aca="false">IF(AND(K561&lt;&gt;"",TRIM(I561&amp;"")&lt;&gt;""),K561,"")</f>
        <v/>
      </c>
    </row>
    <row r="562" customFormat="false" ht="15" hidden="false" customHeight="false" outlineLevel="0" collapsed="false">
      <c r="A562" s="9"/>
      <c r="B562" s="4"/>
      <c r="C562" s="10"/>
      <c r="D562" s="11" t="str">
        <f aca="false">IF(K562="","",IFERROR(INDEX(DECKS!$C$2:$C$1201,MATCH(K562,DECKS!$B$2:$B$1201,0)),TRIM(I562&amp;"")))</f>
        <v/>
      </c>
      <c r="E562" s="4"/>
      <c r="F562" s="12"/>
      <c r="G562" s="4"/>
      <c r="H562" s="13" t="str">
        <f aca="false">IF(OR(N(C562)=0,N(F562)=0),"",C562*F562)</f>
        <v/>
      </c>
      <c r="I562" s="4"/>
      <c r="J562" s="11" t="str">
        <f aca="false">IF(K562="","",IF(N(C562)&lt;=0,"Informe a quantidade",IF(IFERROR(INDEX(INVENTÁRIO!$B$2:$B$801,MATCH(K562,INVENTÁRIO!$A$2:$A$801,0)),"")="(sem nome)","Carta fora dos decks: digite o nome na coluna I (opcional)","")))</f>
        <v/>
      </c>
      <c r="K562" s="11" t="str">
        <f aca="false">UPPER(TRIM(SUBSTITUTE(B562&amp;"",CHAR(160)," ")))</f>
        <v/>
      </c>
      <c r="L562" s="11" t="str">
        <f aca="false">IF(AND(K562&lt;&gt;"",TRIM(I562&amp;"")&lt;&gt;""),K562,"")</f>
        <v/>
      </c>
    </row>
    <row r="563" customFormat="false" ht="15" hidden="false" customHeight="false" outlineLevel="0" collapsed="false">
      <c r="A563" s="9"/>
      <c r="B563" s="4"/>
      <c r="C563" s="10"/>
      <c r="D563" s="11" t="str">
        <f aca="false">IF(K563="","",IFERROR(INDEX(DECKS!$C$2:$C$1201,MATCH(K563,DECKS!$B$2:$B$1201,0)),TRIM(I563&amp;"")))</f>
        <v/>
      </c>
      <c r="E563" s="4"/>
      <c r="F563" s="12"/>
      <c r="G563" s="4"/>
      <c r="H563" s="13" t="str">
        <f aca="false">IF(OR(N(C563)=0,N(F563)=0),"",C563*F563)</f>
        <v/>
      </c>
      <c r="I563" s="4"/>
      <c r="J563" s="11" t="str">
        <f aca="false">IF(K563="","",IF(N(C563)&lt;=0,"Informe a quantidade",IF(IFERROR(INDEX(INVENTÁRIO!$B$2:$B$801,MATCH(K563,INVENTÁRIO!$A$2:$A$801,0)),"")="(sem nome)","Carta fora dos decks: digite o nome na coluna I (opcional)","")))</f>
        <v/>
      </c>
      <c r="K563" s="11" t="str">
        <f aca="false">UPPER(TRIM(SUBSTITUTE(B563&amp;"",CHAR(160)," ")))</f>
        <v/>
      </c>
      <c r="L563" s="11" t="str">
        <f aca="false">IF(AND(K563&lt;&gt;"",TRIM(I563&amp;"")&lt;&gt;""),K563,"")</f>
        <v/>
      </c>
    </row>
    <row r="564" customFormat="false" ht="15" hidden="false" customHeight="false" outlineLevel="0" collapsed="false">
      <c r="A564" s="9"/>
      <c r="B564" s="4"/>
      <c r="C564" s="10"/>
      <c r="D564" s="11" t="str">
        <f aca="false">IF(K564="","",IFERROR(INDEX(DECKS!$C$2:$C$1201,MATCH(K564,DECKS!$B$2:$B$1201,0)),TRIM(I564&amp;"")))</f>
        <v/>
      </c>
      <c r="E564" s="4"/>
      <c r="F564" s="12"/>
      <c r="G564" s="4"/>
      <c r="H564" s="13" t="str">
        <f aca="false">IF(OR(N(C564)=0,N(F564)=0),"",C564*F564)</f>
        <v/>
      </c>
      <c r="I564" s="4"/>
      <c r="J564" s="11" t="str">
        <f aca="false">IF(K564="","",IF(N(C564)&lt;=0,"Informe a quantidade",IF(IFERROR(INDEX(INVENTÁRIO!$B$2:$B$801,MATCH(K564,INVENTÁRIO!$A$2:$A$801,0)),"")="(sem nome)","Carta fora dos decks: digite o nome na coluna I (opcional)","")))</f>
        <v/>
      </c>
      <c r="K564" s="11" t="str">
        <f aca="false">UPPER(TRIM(SUBSTITUTE(B564&amp;"",CHAR(160)," ")))</f>
        <v/>
      </c>
      <c r="L564" s="11" t="str">
        <f aca="false">IF(AND(K564&lt;&gt;"",TRIM(I564&amp;"")&lt;&gt;""),K564,"")</f>
        <v/>
      </c>
    </row>
    <row r="565" customFormat="false" ht="15" hidden="false" customHeight="false" outlineLevel="0" collapsed="false">
      <c r="A565" s="9"/>
      <c r="B565" s="4"/>
      <c r="C565" s="10"/>
      <c r="D565" s="11" t="str">
        <f aca="false">IF(K565="","",IFERROR(INDEX(DECKS!$C$2:$C$1201,MATCH(K565,DECKS!$B$2:$B$1201,0)),TRIM(I565&amp;"")))</f>
        <v/>
      </c>
      <c r="E565" s="4"/>
      <c r="F565" s="12"/>
      <c r="G565" s="4"/>
      <c r="H565" s="13" t="str">
        <f aca="false">IF(OR(N(C565)=0,N(F565)=0),"",C565*F565)</f>
        <v/>
      </c>
      <c r="I565" s="4"/>
      <c r="J565" s="11" t="str">
        <f aca="false">IF(K565="","",IF(N(C565)&lt;=0,"Informe a quantidade",IF(IFERROR(INDEX(INVENTÁRIO!$B$2:$B$801,MATCH(K565,INVENTÁRIO!$A$2:$A$801,0)),"")="(sem nome)","Carta fora dos decks: digite o nome na coluna I (opcional)","")))</f>
        <v/>
      </c>
      <c r="K565" s="11" t="str">
        <f aca="false">UPPER(TRIM(SUBSTITUTE(B565&amp;"",CHAR(160)," ")))</f>
        <v/>
      </c>
      <c r="L565" s="11" t="str">
        <f aca="false">IF(AND(K565&lt;&gt;"",TRIM(I565&amp;"")&lt;&gt;""),K565,"")</f>
        <v/>
      </c>
    </row>
    <row r="566" customFormat="false" ht="15" hidden="false" customHeight="false" outlineLevel="0" collapsed="false">
      <c r="A566" s="9"/>
      <c r="B566" s="4"/>
      <c r="C566" s="10"/>
      <c r="D566" s="11" t="str">
        <f aca="false">IF(K566="","",IFERROR(INDEX(DECKS!$C$2:$C$1201,MATCH(K566,DECKS!$B$2:$B$1201,0)),TRIM(I566&amp;"")))</f>
        <v/>
      </c>
      <c r="E566" s="4"/>
      <c r="F566" s="12"/>
      <c r="G566" s="4"/>
      <c r="H566" s="13" t="str">
        <f aca="false">IF(OR(N(C566)=0,N(F566)=0),"",C566*F566)</f>
        <v/>
      </c>
      <c r="I566" s="4"/>
      <c r="J566" s="11" t="str">
        <f aca="false">IF(K566="","",IF(N(C566)&lt;=0,"Informe a quantidade",IF(IFERROR(INDEX(INVENTÁRIO!$B$2:$B$801,MATCH(K566,INVENTÁRIO!$A$2:$A$801,0)),"")="(sem nome)","Carta fora dos decks: digite o nome na coluna I (opcional)","")))</f>
        <v/>
      </c>
      <c r="K566" s="11" t="str">
        <f aca="false">UPPER(TRIM(SUBSTITUTE(B566&amp;"",CHAR(160)," ")))</f>
        <v/>
      </c>
      <c r="L566" s="11" t="str">
        <f aca="false">IF(AND(K566&lt;&gt;"",TRIM(I566&amp;"")&lt;&gt;""),K566,"")</f>
        <v/>
      </c>
    </row>
    <row r="567" customFormat="false" ht="15" hidden="false" customHeight="false" outlineLevel="0" collapsed="false">
      <c r="A567" s="9"/>
      <c r="B567" s="4"/>
      <c r="C567" s="10"/>
      <c r="D567" s="11" t="str">
        <f aca="false">IF(K567="","",IFERROR(INDEX(DECKS!$C$2:$C$1201,MATCH(K567,DECKS!$B$2:$B$1201,0)),TRIM(I567&amp;"")))</f>
        <v/>
      </c>
      <c r="E567" s="4"/>
      <c r="F567" s="12"/>
      <c r="G567" s="4"/>
      <c r="H567" s="13" t="str">
        <f aca="false">IF(OR(N(C567)=0,N(F567)=0),"",C567*F567)</f>
        <v/>
      </c>
      <c r="I567" s="4"/>
      <c r="J567" s="11" t="str">
        <f aca="false">IF(K567="","",IF(N(C567)&lt;=0,"Informe a quantidade",IF(IFERROR(INDEX(INVENTÁRIO!$B$2:$B$801,MATCH(K567,INVENTÁRIO!$A$2:$A$801,0)),"")="(sem nome)","Carta fora dos decks: digite o nome na coluna I (opcional)","")))</f>
        <v/>
      </c>
      <c r="K567" s="11" t="str">
        <f aca="false">UPPER(TRIM(SUBSTITUTE(B567&amp;"",CHAR(160)," ")))</f>
        <v/>
      </c>
      <c r="L567" s="11" t="str">
        <f aca="false">IF(AND(K567&lt;&gt;"",TRIM(I567&amp;"")&lt;&gt;""),K567,"")</f>
        <v/>
      </c>
    </row>
    <row r="568" customFormat="false" ht="15" hidden="false" customHeight="false" outlineLevel="0" collapsed="false">
      <c r="A568" s="9"/>
      <c r="B568" s="4"/>
      <c r="C568" s="10"/>
      <c r="D568" s="11" t="str">
        <f aca="false">IF(K568="","",IFERROR(INDEX(DECKS!$C$2:$C$1201,MATCH(K568,DECKS!$B$2:$B$1201,0)),TRIM(I568&amp;"")))</f>
        <v/>
      </c>
      <c r="E568" s="4"/>
      <c r="F568" s="12"/>
      <c r="G568" s="4"/>
      <c r="H568" s="13" t="str">
        <f aca="false">IF(OR(N(C568)=0,N(F568)=0),"",C568*F568)</f>
        <v/>
      </c>
      <c r="I568" s="4"/>
      <c r="J568" s="11" t="str">
        <f aca="false">IF(K568="","",IF(N(C568)&lt;=0,"Informe a quantidade",IF(IFERROR(INDEX(INVENTÁRIO!$B$2:$B$801,MATCH(K568,INVENTÁRIO!$A$2:$A$801,0)),"")="(sem nome)","Carta fora dos decks: digite o nome na coluna I (opcional)","")))</f>
        <v/>
      </c>
      <c r="K568" s="11" t="str">
        <f aca="false">UPPER(TRIM(SUBSTITUTE(B568&amp;"",CHAR(160)," ")))</f>
        <v/>
      </c>
      <c r="L568" s="11" t="str">
        <f aca="false">IF(AND(K568&lt;&gt;"",TRIM(I568&amp;"")&lt;&gt;""),K568,"")</f>
        <v/>
      </c>
    </row>
    <row r="569" customFormat="false" ht="15" hidden="false" customHeight="false" outlineLevel="0" collapsed="false">
      <c r="A569" s="9"/>
      <c r="B569" s="4"/>
      <c r="C569" s="10"/>
      <c r="D569" s="11" t="str">
        <f aca="false">IF(K569="","",IFERROR(INDEX(DECKS!$C$2:$C$1201,MATCH(K569,DECKS!$B$2:$B$1201,0)),TRIM(I569&amp;"")))</f>
        <v/>
      </c>
      <c r="E569" s="4"/>
      <c r="F569" s="12"/>
      <c r="G569" s="4"/>
      <c r="H569" s="13" t="str">
        <f aca="false">IF(OR(N(C569)=0,N(F569)=0),"",C569*F569)</f>
        <v/>
      </c>
      <c r="I569" s="4"/>
      <c r="J569" s="11" t="str">
        <f aca="false">IF(K569="","",IF(N(C569)&lt;=0,"Informe a quantidade",IF(IFERROR(INDEX(INVENTÁRIO!$B$2:$B$801,MATCH(K569,INVENTÁRIO!$A$2:$A$801,0)),"")="(sem nome)","Carta fora dos decks: digite o nome na coluna I (opcional)","")))</f>
        <v/>
      </c>
      <c r="K569" s="11" t="str">
        <f aca="false">UPPER(TRIM(SUBSTITUTE(B569&amp;"",CHAR(160)," ")))</f>
        <v/>
      </c>
      <c r="L569" s="11" t="str">
        <f aca="false">IF(AND(K569&lt;&gt;"",TRIM(I569&amp;"")&lt;&gt;""),K569,"")</f>
        <v/>
      </c>
    </row>
    <row r="570" customFormat="false" ht="15" hidden="false" customHeight="false" outlineLevel="0" collapsed="false">
      <c r="A570" s="9"/>
      <c r="B570" s="4"/>
      <c r="C570" s="10"/>
      <c r="D570" s="11" t="str">
        <f aca="false">IF(K570="","",IFERROR(INDEX(DECKS!$C$2:$C$1201,MATCH(K570,DECKS!$B$2:$B$1201,0)),TRIM(I570&amp;"")))</f>
        <v/>
      </c>
      <c r="E570" s="4"/>
      <c r="F570" s="12"/>
      <c r="G570" s="4"/>
      <c r="H570" s="13" t="str">
        <f aca="false">IF(OR(N(C570)=0,N(F570)=0),"",C570*F570)</f>
        <v/>
      </c>
      <c r="I570" s="4"/>
      <c r="J570" s="11" t="str">
        <f aca="false">IF(K570="","",IF(N(C570)&lt;=0,"Informe a quantidade",IF(IFERROR(INDEX(INVENTÁRIO!$B$2:$B$801,MATCH(K570,INVENTÁRIO!$A$2:$A$801,0)),"")="(sem nome)","Carta fora dos decks: digite o nome na coluna I (opcional)","")))</f>
        <v/>
      </c>
      <c r="K570" s="11" t="str">
        <f aca="false">UPPER(TRIM(SUBSTITUTE(B570&amp;"",CHAR(160)," ")))</f>
        <v/>
      </c>
      <c r="L570" s="11" t="str">
        <f aca="false">IF(AND(K570&lt;&gt;"",TRIM(I570&amp;"")&lt;&gt;""),K570,"")</f>
        <v/>
      </c>
    </row>
    <row r="571" customFormat="false" ht="15" hidden="false" customHeight="false" outlineLevel="0" collapsed="false">
      <c r="A571" s="9"/>
      <c r="B571" s="4"/>
      <c r="C571" s="10"/>
      <c r="D571" s="11" t="str">
        <f aca="false">IF(K571="","",IFERROR(INDEX(DECKS!$C$2:$C$1201,MATCH(K571,DECKS!$B$2:$B$1201,0)),TRIM(I571&amp;"")))</f>
        <v/>
      </c>
      <c r="E571" s="4"/>
      <c r="F571" s="12"/>
      <c r="G571" s="4"/>
      <c r="H571" s="13" t="str">
        <f aca="false">IF(OR(N(C571)=0,N(F571)=0),"",C571*F571)</f>
        <v/>
      </c>
      <c r="I571" s="4"/>
      <c r="J571" s="11" t="str">
        <f aca="false">IF(K571="","",IF(N(C571)&lt;=0,"Informe a quantidade",IF(IFERROR(INDEX(INVENTÁRIO!$B$2:$B$801,MATCH(K571,INVENTÁRIO!$A$2:$A$801,0)),"")="(sem nome)","Carta fora dos decks: digite o nome na coluna I (opcional)","")))</f>
        <v/>
      </c>
      <c r="K571" s="11" t="str">
        <f aca="false">UPPER(TRIM(SUBSTITUTE(B571&amp;"",CHAR(160)," ")))</f>
        <v/>
      </c>
      <c r="L571" s="11" t="str">
        <f aca="false">IF(AND(K571&lt;&gt;"",TRIM(I571&amp;"")&lt;&gt;""),K571,"")</f>
        <v/>
      </c>
    </row>
    <row r="572" customFormat="false" ht="15" hidden="false" customHeight="false" outlineLevel="0" collapsed="false">
      <c r="A572" s="9"/>
      <c r="B572" s="4"/>
      <c r="C572" s="10"/>
      <c r="D572" s="11" t="str">
        <f aca="false">IF(K572="","",IFERROR(INDEX(DECKS!$C$2:$C$1201,MATCH(K572,DECKS!$B$2:$B$1201,0)),TRIM(I572&amp;"")))</f>
        <v/>
      </c>
      <c r="E572" s="4"/>
      <c r="F572" s="12"/>
      <c r="G572" s="4"/>
      <c r="H572" s="13" t="str">
        <f aca="false">IF(OR(N(C572)=0,N(F572)=0),"",C572*F572)</f>
        <v/>
      </c>
      <c r="I572" s="4"/>
      <c r="J572" s="11" t="str">
        <f aca="false">IF(K572="","",IF(N(C572)&lt;=0,"Informe a quantidade",IF(IFERROR(INDEX(INVENTÁRIO!$B$2:$B$801,MATCH(K572,INVENTÁRIO!$A$2:$A$801,0)),"")="(sem nome)","Carta fora dos decks: digite o nome na coluna I (opcional)","")))</f>
        <v/>
      </c>
      <c r="K572" s="11" t="str">
        <f aca="false">UPPER(TRIM(SUBSTITUTE(B572&amp;"",CHAR(160)," ")))</f>
        <v/>
      </c>
      <c r="L572" s="11" t="str">
        <f aca="false">IF(AND(K572&lt;&gt;"",TRIM(I572&amp;"")&lt;&gt;""),K572,"")</f>
        <v/>
      </c>
    </row>
    <row r="573" customFormat="false" ht="15" hidden="false" customHeight="false" outlineLevel="0" collapsed="false">
      <c r="A573" s="9"/>
      <c r="B573" s="4"/>
      <c r="C573" s="10"/>
      <c r="D573" s="11" t="str">
        <f aca="false">IF(K573="","",IFERROR(INDEX(DECKS!$C$2:$C$1201,MATCH(K573,DECKS!$B$2:$B$1201,0)),TRIM(I573&amp;"")))</f>
        <v/>
      </c>
      <c r="E573" s="4"/>
      <c r="F573" s="12"/>
      <c r="G573" s="4"/>
      <c r="H573" s="13" t="str">
        <f aca="false">IF(OR(N(C573)=0,N(F573)=0),"",C573*F573)</f>
        <v/>
      </c>
      <c r="I573" s="4"/>
      <c r="J573" s="11" t="str">
        <f aca="false">IF(K573="","",IF(N(C573)&lt;=0,"Informe a quantidade",IF(IFERROR(INDEX(INVENTÁRIO!$B$2:$B$801,MATCH(K573,INVENTÁRIO!$A$2:$A$801,0)),"")="(sem nome)","Carta fora dos decks: digite o nome na coluna I (opcional)","")))</f>
        <v/>
      </c>
      <c r="K573" s="11" t="str">
        <f aca="false">UPPER(TRIM(SUBSTITUTE(B573&amp;"",CHAR(160)," ")))</f>
        <v/>
      </c>
      <c r="L573" s="11" t="str">
        <f aca="false">IF(AND(K573&lt;&gt;"",TRIM(I573&amp;"")&lt;&gt;""),K573,"")</f>
        <v/>
      </c>
    </row>
    <row r="574" customFormat="false" ht="15" hidden="false" customHeight="false" outlineLevel="0" collapsed="false">
      <c r="A574" s="9"/>
      <c r="B574" s="4"/>
      <c r="C574" s="10"/>
      <c r="D574" s="11" t="str">
        <f aca="false">IF(K574="","",IFERROR(INDEX(DECKS!$C$2:$C$1201,MATCH(K574,DECKS!$B$2:$B$1201,0)),TRIM(I574&amp;"")))</f>
        <v/>
      </c>
      <c r="E574" s="4"/>
      <c r="F574" s="12"/>
      <c r="G574" s="4"/>
      <c r="H574" s="13" t="str">
        <f aca="false">IF(OR(N(C574)=0,N(F574)=0),"",C574*F574)</f>
        <v/>
      </c>
      <c r="I574" s="4"/>
      <c r="J574" s="11" t="str">
        <f aca="false">IF(K574="","",IF(N(C574)&lt;=0,"Informe a quantidade",IF(IFERROR(INDEX(INVENTÁRIO!$B$2:$B$801,MATCH(K574,INVENTÁRIO!$A$2:$A$801,0)),"")="(sem nome)","Carta fora dos decks: digite o nome na coluna I (opcional)","")))</f>
        <v/>
      </c>
      <c r="K574" s="11" t="str">
        <f aca="false">UPPER(TRIM(SUBSTITUTE(B574&amp;"",CHAR(160)," ")))</f>
        <v/>
      </c>
      <c r="L574" s="11" t="str">
        <f aca="false">IF(AND(K574&lt;&gt;"",TRIM(I574&amp;"")&lt;&gt;""),K574,"")</f>
        <v/>
      </c>
    </row>
    <row r="575" customFormat="false" ht="15" hidden="false" customHeight="false" outlineLevel="0" collapsed="false">
      <c r="A575" s="9"/>
      <c r="B575" s="4"/>
      <c r="C575" s="10"/>
      <c r="D575" s="11" t="str">
        <f aca="false">IF(K575="","",IFERROR(INDEX(DECKS!$C$2:$C$1201,MATCH(K575,DECKS!$B$2:$B$1201,0)),TRIM(I575&amp;"")))</f>
        <v/>
      </c>
      <c r="E575" s="4"/>
      <c r="F575" s="12"/>
      <c r="G575" s="4"/>
      <c r="H575" s="13" t="str">
        <f aca="false">IF(OR(N(C575)=0,N(F575)=0),"",C575*F575)</f>
        <v/>
      </c>
      <c r="I575" s="4"/>
      <c r="J575" s="11" t="str">
        <f aca="false">IF(K575="","",IF(N(C575)&lt;=0,"Informe a quantidade",IF(IFERROR(INDEX(INVENTÁRIO!$B$2:$B$801,MATCH(K575,INVENTÁRIO!$A$2:$A$801,0)),"")="(sem nome)","Carta fora dos decks: digite o nome na coluna I (opcional)","")))</f>
        <v/>
      </c>
      <c r="K575" s="11" t="str">
        <f aca="false">UPPER(TRIM(SUBSTITUTE(B575&amp;"",CHAR(160)," ")))</f>
        <v/>
      </c>
      <c r="L575" s="11" t="str">
        <f aca="false">IF(AND(K575&lt;&gt;"",TRIM(I575&amp;"")&lt;&gt;""),K575,"")</f>
        <v/>
      </c>
    </row>
    <row r="576" customFormat="false" ht="15" hidden="false" customHeight="false" outlineLevel="0" collapsed="false">
      <c r="A576" s="9"/>
      <c r="B576" s="4"/>
      <c r="C576" s="10"/>
      <c r="D576" s="11" t="str">
        <f aca="false">IF(K576="","",IFERROR(INDEX(DECKS!$C$2:$C$1201,MATCH(K576,DECKS!$B$2:$B$1201,0)),TRIM(I576&amp;"")))</f>
        <v/>
      </c>
      <c r="E576" s="4"/>
      <c r="F576" s="12"/>
      <c r="G576" s="4"/>
      <c r="H576" s="13" t="str">
        <f aca="false">IF(OR(N(C576)=0,N(F576)=0),"",C576*F576)</f>
        <v/>
      </c>
      <c r="I576" s="4"/>
      <c r="J576" s="11" t="str">
        <f aca="false">IF(K576="","",IF(N(C576)&lt;=0,"Informe a quantidade",IF(IFERROR(INDEX(INVENTÁRIO!$B$2:$B$801,MATCH(K576,INVENTÁRIO!$A$2:$A$801,0)),"")="(sem nome)","Carta fora dos decks: digite o nome na coluna I (opcional)","")))</f>
        <v/>
      </c>
      <c r="K576" s="11" t="str">
        <f aca="false">UPPER(TRIM(SUBSTITUTE(B576&amp;"",CHAR(160)," ")))</f>
        <v/>
      </c>
      <c r="L576" s="11" t="str">
        <f aca="false">IF(AND(K576&lt;&gt;"",TRIM(I576&amp;"")&lt;&gt;""),K576,"")</f>
        <v/>
      </c>
    </row>
    <row r="577" customFormat="false" ht="15" hidden="false" customHeight="false" outlineLevel="0" collapsed="false">
      <c r="A577" s="9"/>
      <c r="B577" s="4"/>
      <c r="C577" s="10"/>
      <c r="D577" s="11" t="str">
        <f aca="false">IF(K577="","",IFERROR(INDEX(DECKS!$C$2:$C$1201,MATCH(K577,DECKS!$B$2:$B$1201,0)),TRIM(I577&amp;"")))</f>
        <v/>
      </c>
      <c r="E577" s="4"/>
      <c r="F577" s="12"/>
      <c r="G577" s="4"/>
      <c r="H577" s="13" t="str">
        <f aca="false">IF(OR(N(C577)=0,N(F577)=0),"",C577*F577)</f>
        <v/>
      </c>
      <c r="I577" s="4"/>
      <c r="J577" s="11" t="str">
        <f aca="false">IF(K577="","",IF(N(C577)&lt;=0,"Informe a quantidade",IF(IFERROR(INDEX(INVENTÁRIO!$B$2:$B$801,MATCH(K577,INVENTÁRIO!$A$2:$A$801,0)),"")="(sem nome)","Carta fora dos decks: digite o nome na coluna I (opcional)","")))</f>
        <v/>
      </c>
      <c r="K577" s="11" t="str">
        <f aca="false">UPPER(TRIM(SUBSTITUTE(B577&amp;"",CHAR(160)," ")))</f>
        <v/>
      </c>
      <c r="L577" s="11" t="str">
        <f aca="false">IF(AND(K577&lt;&gt;"",TRIM(I577&amp;"")&lt;&gt;""),K577,"")</f>
        <v/>
      </c>
    </row>
    <row r="578" customFormat="false" ht="15" hidden="false" customHeight="false" outlineLevel="0" collapsed="false">
      <c r="A578" s="9"/>
      <c r="B578" s="4"/>
      <c r="C578" s="10"/>
      <c r="D578" s="11" t="str">
        <f aca="false">IF(K578="","",IFERROR(INDEX(DECKS!$C$2:$C$1201,MATCH(K578,DECKS!$B$2:$B$1201,0)),TRIM(I578&amp;"")))</f>
        <v/>
      </c>
      <c r="E578" s="4"/>
      <c r="F578" s="12"/>
      <c r="G578" s="4"/>
      <c r="H578" s="13" t="str">
        <f aca="false">IF(OR(N(C578)=0,N(F578)=0),"",C578*F578)</f>
        <v/>
      </c>
      <c r="I578" s="4"/>
      <c r="J578" s="11" t="str">
        <f aca="false">IF(K578="","",IF(N(C578)&lt;=0,"Informe a quantidade",IF(IFERROR(INDEX(INVENTÁRIO!$B$2:$B$801,MATCH(K578,INVENTÁRIO!$A$2:$A$801,0)),"")="(sem nome)","Carta fora dos decks: digite o nome na coluna I (opcional)","")))</f>
        <v/>
      </c>
      <c r="K578" s="11" t="str">
        <f aca="false">UPPER(TRIM(SUBSTITUTE(B578&amp;"",CHAR(160)," ")))</f>
        <v/>
      </c>
      <c r="L578" s="11" t="str">
        <f aca="false">IF(AND(K578&lt;&gt;"",TRIM(I578&amp;"")&lt;&gt;""),K578,"")</f>
        <v/>
      </c>
    </row>
    <row r="579" customFormat="false" ht="15" hidden="false" customHeight="false" outlineLevel="0" collapsed="false">
      <c r="A579" s="9"/>
      <c r="B579" s="4"/>
      <c r="C579" s="10"/>
      <c r="D579" s="11" t="str">
        <f aca="false">IF(K579="","",IFERROR(INDEX(DECKS!$C$2:$C$1201,MATCH(K579,DECKS!$B$2:$B$1201,0)),TRIM(I579&amp;"")))</f>
        <v/>
      </c>
      <c r="E579" s="4"/>
      <c r="F579" s="12"/>
      <c r="G579" s="4"/>
      <c r="H579" s="13" t="str">
        <f aca="false">IF(OR(N(C579)=0,N(F579)=0),"",C579*F579)</f>
        <v/>
      </c>
      <c r="I579" s="4"/>
      <c r="J579" s="11" t="str">
        <f aca="false">IF(K579="","",IF(N(C579)&lt;=0,"Informe a quantidade",IF(IFERROR(INDEX(INVENTÁRIO!$B$2:$B$801,MATCH(K579,INVENTÁRIO!$A$2:$A$801,0)),"")="(sem nome)","Carta fora dos decks: digite o nome na coluna I (opcional)","")))</f>
        <v/>
      </c>
      <c r="K579" s="11" t="str">
        <f aca="false">UPPER(TRIM(SUBSTITUTE(B579&amp;"",CHAR(160)," ")))</f>
        <v/>
      </c>
      <c r="L579" s="11" t="str">
        <f aca="false">IF(AND(K579&lt;&gt;"",TRIM(I579&amp;"")&lt;&gt;""),K579,"")</f>
        <v/>
      </c>
    </row>
    <row r="580" customFormat="false" ht="15" hidden="false" customHeight="false" outlineLevel="0" collapsed="false">
      <c r="A580" s="9"/>
      <c r="B580" s="4"/>
      <c r="C580" s="10"/>
      <c r="D580" s="11" t="str">
        <f aca="false">IF(K580="","",IFERROR(INDEX(DECKS!$C$2:$C$1201,MATCH(K580,DECKS!$B$2:$B$1201,0)),TRIM(I580&amp;"")))</f>
        <v/>
      </c>
      <c r="E580" s="4"/>
      <c r="F580" s="12"/>
      <c r="G580" s="4"/>
      <c r="H580" s="13" t="str">
        <f aca="false">IF(OR(N(C580)=0,N(F580)=0),"",C580*F580)</f>
        <v/>
      </c>
      <c r="I580" s="4"/>
      <c r="J580" s="11" t="str">
        <f aca="false">IF(K580="","",IF(N(C580)&lt;=0,"Informe a quantidade",IF(IFERROR(INDEX(INVENTÁRIO!$B$2:$B$801,MATCH(K580,INVENTÁRIO!$A$2:$A$801,0)),"")="(sem nome)","Carta fora dos decks: digite o nome na coluna I (opcional)","")))</f>
        <v/>
      </c>
      <c r="K580" s="11" t="str">
        <f aca="false">UPPER(TRIM(SUBSTITUTE(B580&amp;"",CHAR(160)," ")))</f>
        <v/>
      </c>
      <c r="L580" s="11" t="str">
        <f aca="false">IF(AND(K580&lt;&gt;"",TRIM(I580&amp;"")&lt;&gt;""),K580,"")</f>
        <v/>
      </c>
    </row>
    <row r="581" customFormat="false" ht="15" hidden="false" customHeight="false" outlineLevel="0" collapsed="false">
      <c r="A581" s="9"/>
      <c r="B581" s="4"/>
      <c r="C581" s="10"/>
      <c r="D581" s="11" t="str">
        <f aca="false">IF(K581="","",IFERROR(INDEX(DECKS!$C$2:$C$1201,MATCH(K581,DECKS!$B$2:$B$1201,0)),TRIM(I581&amp;"")))</f>
        <v/>
      </c>
      <c r="E581" s="4"/>
      <c r="F581" s="12"/>
      <c r="G581" s="4"/>
      <c r="H581" s="13" t="str">
        <f aca="false">IF(OR(N(C581)=0,N(F581)=0),"",C581*F581)</f>
        <v/>
      </c>
      <c r="I581" s="4"/>
      <c r="J581" s="11" t="str">
        <f aca="false">IF(K581="","",IF(N(C581)&lt;=0,"Informe a quantidade",IF(IFERROR(INDEX(INVENTÁRIO!$B$2:$B$801,MATCH(K581,INVENTÁRIO!$A$2:$A$801,0)),"")="(sem nome)","Carta fora dos decks: digite o nome na coluna I (opcional)","")))</f>
        <v/>
      </c>
      <c r="K581" s="11" t="str">
        <f aca="false">UPPER(TRIM(SUBSTITUTE(B581&amp;"",CHAR(160)," ")))</f>
        <v/>
      </c>
      <c r="L581" s="11" t="str">
        <f aca="false">IF(AND(K581&lt;&gt;"",TRIM(I581&amp;"")&lt;&gt;""),K581,"")</f>
        <v/>
      </c>
    </row>
    <row r="582" customFormat="false" ht="15" hidden="false" customHeight="false" outlineLevel="0" collapsed="false">
      <c r="A582" s="9"/>
      <c r="B582" s="4"/>
      <c r="C582" s="10"/>
      <c r="D582" s="11" t="str">
        <f aca="false">IF(K582="","",IFERROR(INDEX(DECKS!$C$2:$C$1201,MATCH(K582,DECKS!$B$2:$B$1201,0)),TRIM(I582&amp;"")))</f>
        <v/>
      </c>
      <c r="E582" s="4"/>
      <c r="F582" s="12"/>
      <c r="G582" s="4"/>
      <c r="H582" s="13" t="str">
        <f aca="false">IF(OR(N(C582)=0,N(F582)=0),"",C582*F582)</f>
        <v/>
      </c>
      <c r="I582" s="4"/>
      <c r="J582" s="11" t="str">
        <f aca="false">IF(K582="","",IF(N(C582)&lt;=0,"Informe a quantidade",IF(IFERROR(INDEX(INVENTÁRIO!$B$2:$B$801,MATCH(K582,INVENTÁRIO!$A$2:$A$801,0)),"")="(sem nome)","Carta fora dos decks: digite o nome na coluna I (opcional)","")))</f>
        <v/>
      </c>
      <c r="K582" s="11" t="str">
        <f aca="false">UPPER(TRIM(SUBSTITUTE(B582&amp;"",CHAR(160)," ")))</f>
        <v/>
      </c>
      <c r="L582" s="11" t="str">
        <f aca="false">IF(AND(K582&lt;&gt;"",TRIM(I582&amp;"")&lt;&gt;""),K582,"")</f>
        <v/>
      </c>
    </row>
    <row r="583" customFormat="false" ht="15" hidden="false" customHeight="false" outlineLevel="0" collapsed="false">
      <c r="A583" s="9"/>
      <c r="B583" s="4"/>
      <c r="C583" s="10"/>
      <c r="D583" s="11" t="str">
        <f aca="false">IF(K583="","",IFERROR(INDEX(DECKS!$C$2:$C$1201,MATCH(K583,DECKS!$B$2:$B$1201,0)),TRIM(I583&amp;"")))</f>
        <v/>
      </c>
      <c r="E583" s="4"/>
      <c r="F583" s="12"/>
      <c r="G583" s="4"/>
      <c r="H583" s="13" t="str">
        <f aca="false">IF(OR(N(C583)=0,N(F583)=0),"",C583*F583)</f>
        <v/>
      </c>
      <c r="I583" s="4"/>
      <c r="J583" s="11" t="str">
        <f aca="false">IF(K583="","",IF(N(C583)&lt;=0,"Informe a quantidade",IF(IFERROR(INDEX(INVENTÁRIO!$B$2:$B$801,MATCH(K583,INVENTÁRIO!$A$2:$A$801,0)),"")="(sem nome)","Carta fora dos decks: digite o nome na coluna I (opcional)","")))</f>
        <v/>
      </c>
      <c r="K583" s="11" t="str">
        <f aca="false">UPPER(TRIM(SUBSTITUTE(B583&amp;"",CHAR(160)," ")))</f>
        <v/>
      </c>
      <c r="L583" s="11" t="str">
        <f aca="false">IF(AND(K583&lt;&gt;"",TRIM(I583&amp;"")&lt;&gt;""),K583,"")</f>
        <v/>
      </c>
    </row>
    <row r="584" customFormat="false" ht="15" hidden="false" customHeight="false" outlineLevel="0" collapsed="false">
      <c r="A584" s="9"/>
      <c r="B584" s="4"/>
      <c r="C584" s="10"/>
      <c r="D584" s="11" t="str">
        <f aca="false">IF(K584="","",IFERROR(INDEX(DECKS!$C$2:$C$1201,MATCH(K584,DECKS!$B$2:$B$1201,0)),TRIM(I584&amp;"")))</f>
        <v/>
      </c>
      <c r="E584" s="4"/>
      <c r="F584" s="12"/>
      <c r="G584" s="4"/>
      <c r="H584" s="13" t="str">
        <f aca="false">IF(OR(N(C584)=0,N(F584)=0),"",C584*F584)</f>
        <v/>
      </c>
      <c r="I584" s="4"/>
      <c r="J584" s="11" t="str">
        <f aca="false">IF(K584="","",IF(N(C584)&lt;=0,"Informe a quantidade",IF(IFERROR(INDEX(INVENTÁRIO!$B$2:$B$801,MATCH(K584,INVENTÁRIO!$A$2:$A$801,0)),"")="(sem nome)","Carta fora dos decks: digite o nome na coluna I (opcional)","")))</f>
        <v/>
      </c>
      <c r="K584" s="11" t="str">
        <f aca="false">UPPER(TRIM(SUBSTITUTE(B584&amp;"",CHAR(160)," ")))</f>
        <v/>
      </c>
      <c r="L584" s="11" t="str">
        <f aca="false">IF(AND(K584&lt;&gt;"",TRIM(I584&amp;"")&lt;&gt;""),K584,"")</f>
        <v/>
      </c>
    </row>
    <row r="585" customFormat="false" ht="15" hidden="false" customHeight="false" outlineLevel="0" collapsed="false">
      <c r="A585" s="9"/>
      <c r="B585" s="4"/>
      <c r="C585" s="10"/>
      <c r="D585" s="11" t="str">
        <f aca="false">IF(K585="","",IFERROR(INDEX(DECKS!$C$2:$C$1201,MATCH(K585,DECKS!$B$2:$B$1201,0)),TRIM(I585&amp;"")))</f>
        <v/>
      </c>
      <c r="E585" s="4"/>
      <c r="F585" s="12"/>
      <c r="G585" s="4"/>
      <c r="H585" s="13" t="str">
        <f aca="false">IF(OR(N(C585)=0,N(F585)=0),"",C585*F585)</f>
        <v/>
      </c>
      <c r="I585" s="4"/>
      <c r="J585" s="11" t="str">
        <f aca="false">IF(K585="","",IF(N(C585)&lt;=0,"Informe a quantidade",IF(IFERROR(INDEX(INVENTÁRIO!$B$2:$B$801,MATCH(K585,INVENTÁRIO!$A$2:$A$801,0)),"")="(sem nome)","Carta fora dos decks: digite o nome na coluna I (opcional)","")))</f>
        <v/>
      </c>
      <c r="K585" s="11" t="str">
        <f aca="false">UPPER(TRIM(SUBSTITUTE(B585&amp;"",CHAR(160)," ")))</f>
        <v/>
      </c>
      <c r="L585" s="11" t="str">
        <f aca="false">IF(AND(K585&lt;&gt;"",TRIM(I585&amp;"")&lt;&gt;""),K585,"")</f>
        <v/>
      </c>
    </row>
    <row r="586" customFormat="false" ht="15" hidden="false" customHeight="false" outlineLevel="0" collapsed="false">
      <c r="A586" s="9"/>
      <c r="B586" s="4"/>
      <c r="C586" s="10"/>
      <c r="D586" s="11" t="str">
        <f aca="false">IF(K586="","",IFERROR(INDEX(DECKS!$C$2:$C$1201,MATCH(K586,DECKS!$B$2:$B$1201,0)),TRIM(I586&amp;"")))</f>
        <v/>
      </c>
      <c r="E586" s="4"/>
      <c r="F586" s="12"/>
      <c r="G586" s="4"/>
      <c r="H586" s="13" t="str">
        <f aca="false">IF(OR(N(C586)=0,N(F586)=0),"",C586*F586)</f>
        <v/>
      </c>
      <c r="I586" s="4"/>
      <c r="J586" s="11" t="str">
        <f aca="false">IF(K586="","",IF(N(C586)&lt;=0,"Informe a quantidade",IF(IFERROR(INDEX(INVENTÁRIO!$B$2:$B$801,MATCH(K586,INVENTÁRIO!$A$2:$A$801,0)),"")="(sem nome)","Carta fora dos decks: digite o nome na coluna I (opcional)","")))</f>
        <v/>
      </c>
      <c r="K586" s="11" t="str">
        <f aca="false">UPPER(TRIM(SUBSTITUTE(B586&amp;"",CHAR(160)," ")))</f>
        <v/>
      </c>
      <c r="L586" s="11" t="str">
        <f aca="false">IF(AND(K586&lt;&gt;"",TRIM(I586&amp;"")&lt;&gt;""),K586,"")</f>
        <v/>
      </c>
    </row>
    <row r="587" customFormat="false" ht="15" hidden="false" customHeight="false" outlineLevel="0" collapsed="false">
      <c r="A587" s="9"/>
      <c r="B587" s="4"/>
      <c r="C587" s="10"/>
      <c r="D587" s="11" t="str">
        <f aca="false">IF(K587="","",IFERROR(INDEX(DECKS!$C$2:$C$1201,MATCH(K587,DECKS!$B$2:$B$1201,0)),TRIM(I587&amp;"")))</f>
        <v/>
      </c>
      <c r="E587" s="4"/>
      <c r="F587" s="12"/>
      <c r="G587" s="4"/>
      <c r="H587" s="13" t="str">
        <f aca="false">IF(OR(N(C587)=0,N(F587)=0),"",C587*F587)</f>
        <v/>
      </c>
      <c r="I587" s="4"/>
      <c r="J587" s="11" t="str">
        <f aca="false">IF(K587="","",IF(N(C587)&lt;=0,"Informe a quantidade",IF(IFERROR(INDEX(INVENTÁRIO!$B$2:$B$801,MATCH(K587,INVENTÁRIO!$A$2:$A$801,0)),"")="(sem nome)","Carta fora dos decks: digite o nome na coluna I (opcional)","")))</f>
        <v/>
      </c>
      <c r="K587" s="11" t="str">
        <f aca="false">UPPER(TRIM(SUBSTITUTE(B587&amp;"",CHAR(160)," ")))</f>
        <v/>
      </c>
      <c r="L587" s="11" t="str">
        <f aca="false">IF(AND(K587&lt;&gt;"",TRIM(I587&amp;"")&lt;&gt;""),K587,"")</f>
        <v/>
      </c>
    </row>
    <row r="588" customFormat="false" ht="15" hidden="false" customHeight="false" outlineLevel="0" collapsed="false">
      <c r="A588" s="9"/>
      <c r="B588" s="4"/>
      <c r="C588" s="10"/>
      <c r="D588" s="11" t="str">
        <f aca="false">IF(K588="","",IFERROR(INDEX(DECKS!$C$2:$C$1201,MATCH(K588,DECKS!$B$2:$B$1201,0)),TRIM(I588&amp;"")))</f>
        <v/>
      </c>
      <c r="E588" s="4"/>
      <c r="F588" s="12"/>
      <c r="G588" s="4"/>
      <c r="H588" s="13" t="str">
        <f aca="false">IF(OR(N(C588)=0,N(F588)=0),"",C588*F588)</f>
        <v/>
      </c>
      <c r="I588" s="4"/>
      <c r="J588" s="11" t="str">
        <f aca="false">IF(K588="","",IF(N(C588)&lt;=0,"Informe a quantidade",IF(IFERROR(INDEX(INVENTÁRIO!$B$2:$B$801,MATCH(K588,INVENTÁRIO!$A$2:$A$801,0)),"")="(sem nome)","Carta fora dos decks: digite o nome na coluna I (opcional)","")))</f>
        <v/>
      </c>
      <c r="K588" s="11" t="str">
        <f aca="false">UPPER(TRIM(SUBSTITUTE(B588&amp;"",CHAR(160)," ")))</f>
        <v/>
      </c>
      <c r="L588" s="11" t="str">
        <f aca="false">IF(AND(K588&lt;&gt;"",TRIM(I588&amp;"")&lt;&gt;""),K588,"")</f>
        <v/>
      </c>
    </row>
    <row r="589" customFormat="false" ht="15" hidden="false" customHeight="false" outlineLevel="0" collapsed="false">
      <c r="A589" s="9"/>
      <c r="B589" s="4"/>
      <c r="C589" s="10"/>
      <c r="D589" s="11" t="str">
        <f aca="false">IF(K589="","",IFERROR(INDEX(DECKS!$C$2:$C$1201,MATCH(K589,DECKS!$B$2:$B$1201,0)),TRIM(I589&amp;"")))</f>
        <v/>
      </c>
      <c r="E589" s="4"/>
      <c r="F589" s="12"/>
      <c r="G589" s="4"/>
      <c r="H589" s="13" t="str">
        <f aca="false">IF(OR(N(C589)=0,N(F589)=0),"",C589*F589)</f>
        <v/>
      </c>
      <c r="I589" s="4"/>
      <c r="J589" s="11" t="str">
        <f aca="false">IF(K589="","",IF(N(C589)&lt;=0,"Informe a quantidade",IF(IFERROR(INDEX(INVENTÁRIO!$B$2:$B$801,MATCH(K589,INVENTÁRIO!$A$2:$A$801,0)),"")="(sem nome)","Carta fora dos decks: digite o nome na coluna I (opcional)","")))</f>
        <v/>
      </c>
      <c r="K589" s="11" t="str">
        <f aca="false">UPPER(TRIM(SUBSTITUTE(B589&amp;"",CHAR(160)," ")))</f>
        <v/>
      </c>
      <c r="L589" s="11" t="str">
        <f aca="false">IF(AND(K589&lt;&gt;"",TRIM(I589&amp;"")&lt;&gt;""),K589,"")</f>
        <v/>
      </c>
    </row>
    <row r="590" customFormat="false" ht="15" hidden="false" customHeight="false" outlineLevel="0" collapsed="false">
      <c r="A590" s="9"/>
      <c r="B590" s="4"/>
      <c r="C590" s="10"/>
      <c r="D590" s="11" t="str">
        <f aca="false">IF(K590="","",IFERROR(INDEX(DECKS!$C$2:$C$1201,MATCH(K590,DECKS!$B$2:$B$1201,0)),TRIM(I590&amp;"")))</f>
        <v/>
      </c>
      <c r="E590" s="4"/>
      <c r="F590" s="12"/>
      <c r="G590" s="4"/>
      <c r="H590" s="13" t="str">
        <f aca="false">IF(OR(N(C590)=0,N(F590)=0),"",C590*F590)</f>
        <v/>
      </c>
      <c r="I590" s="4"/>
      <c r="J590" s="11" t="str">
        <f aca="false">IF(K590="","",IF(N(C590)&lt;=0,"Informe a quantidade",IF(IFERROR(INDEX(INVENTÁRIO!$B$2:$B$801,MATCH(K590,INVENTÁRIO!$A$2:$A$801,0)),"")="(sem nome)","Carta fora dos decks: digite o nome na coluna I (opcional)","")))</f>
        <v/>
      </c>
      <c r="K590" s="11" t="str">
        <f aca="false">UPPER(TRIM(SUBSTITUTE(B590&amp;"",CHAR(160)," ")))</f>
        <v/>
      </c>
      <c r="L590" s="11" t="str">
        <f aca="false">IF(AND(K590&lt;&gt;"",TRIM(I590&amp;"")&lt;&gt;""),K590,"")</f>
        <v/>
      </c>
    </row>
    <row r="591" customFormat="false" ht="15" hidden="false" customHeight="false" outlineLevel="0" collapsed="false">
      <c r="A591" s="9"/>
      <c r="B591" s="4"/>
      <c r="C591" s="10"/>
      <c r="D591" s="11" t="str">
        <f aca="false">IF(K591="","",IFERROR(INDEX(DECKS!$C$2:$C$1201,MATCH(K591,DECKS!$B$2:$B$1201,0)),TRIM(I591&amp;"")))</f>
        <v/>
      </c>
      <c r="E591" s="4"/>
      <c r="F591" s="12"/>
      <c r="G591" s="4"/>
      <c r="H591" s="13" t="str">
        <f aca="false">IF(OR(N(C591)=0,N(F591)=0),"",C591*F591)</f>
        <v/>
      </c>
      <c r="I591" s="4"/>
      <c r="J591" s="11" t="str">
        <f aca="false">IF(K591="","",IF(N(C591)&lt;=0,"Informe a quantidade",IF(IFERROR(INDEX(INVENTÁRIO!$B$2:$B$801,MATCH(K591,INVENTÁRIO!$A$2:$A$801,0)),"")="(sem nome)","Carta fora dos decks: digite o nome na coluna I (opcional)","")))</f>
        <v/>
      </c>
      <c r="K591" s="11" t="str">
        <f aca="false">UPPER(TRIM(SUBSTITUTE(B591&amp;"",CHAR(160)," ")))</f>
        <v/>
      </c>
      <c r="L591" s="11" t="str">
        <f aca="false">IF(AND(K591&lt;&gt;"",TRIM(I591&amp;"")&lt;&gt;""),K591,"")</f>
        <v/>
      </c>
    </row>
    <row r="592" customFormat="false" ht="15" hidden="false" customHeight="false" outlineLevel="0" collapsed="false">
      <c r="A592" s="9"/>
      <c r="B592" s="4"/>
      <c r="C592" s="10"/>
      <c r="D592" s="11" t="str">
        <f aca="false">IF(K592="","",IFERROR(INDEX(DECKS!$C$2:$C$1201,MATCH(K592,DECKS!$B$2:$B$1201,0)),TRIM(I592&amp;"")))</f>
        <v/>
      </c>
      <c r="E592" s="4"/>
      <c r="F592" s="12"/>
      <c r="G592" s="4"/>
      <c r="H592" s="13" t="str">
        <f aca="false">IF(OR(N(C592)=0,N(F592)=0),"",C592*F592)</f>
        <v/>
      </c>
      <c r="I592" s="4"/>
      <c r="J592" s="11" t="str">
        <f aca="false">IF(K592="","",IF(N(C592)&lt;=0,"Informe a quantidade",IF(IFERROR(INDEX(INVENTÁRIO!$B$2:$B$801,MATCH(K592,INVENTÁRIO!$A$2:$A$801,0)),"")="(sem nome)","Carta fora dos decks: digite o nome na coluna I (opcional)","")))</f>
        <v/>
      </c>
      <c r="K592" s="11" t="str">
        <f aca="false">UPPER(TRIM(SUBSTITUTE(B592&amp;"",CHAR(160)," ")))</f>
        <v/>
      </c>
      <c r="L592" s="11" t="str">
        <f aca="false">IF(AND(K592&lt;&gt;"",TRIM(I592&amp;"")&lt;&gt;""),K592,"")</f>
        <v/>
      </c>
    </row>
    <row r="593" customFormat="false" ht="15" hidden="false" customHeight="false" outlineLevel="0" collapsed="false">
      <c r="A593" s="9"/>
      <c r="B593" s="4"/>
      <c r="C593" s="10"/>
      <c r="D593" s="11" t="str">
        <f aca="false">IF(K593="","",IFERROR(INDEX(DECKS!$C$2:$C$1201,MATCH(K593,DECKS!$B$2:$B$1201,0)),TRIM(I593&amp;"")))</f>
        <v/>
      </c>
      <c r="E593" s="4"/>
      <c r="F593" s="12"/>
      <c r="G593" s="4"/>
      <c r="H593" s="13" t="str">
        <f aca="false">IF(OR(N(C593)=0,N(F593)=0),"",C593*F593)</f>
        <v/>
      </c>
      <c r="I593" s="4"/>
      <c r="J593" s="11" t="str">
        <f aca="false">IF(K593="","",IF(N(C593)&lt;=0,"Informe a quantidade",IF(IFERROR(INDEX(INVENTÁRIO!$B$2:$B$801,MATCH(K593,INVENTÁRIO!$A$2:$A$801,0)),"")="(sem nome)","Carta fora dos decks: digite o nome na coluna I (opcional)","")))</f>
        <v/>
      </c>
      <c r="K593" s="11" t="str">
        <f aca="false">UPPER(TRIM(SUBSTITUTE(B593&amp;"",CHAR(160)," ")))</f>
        <v/>
      </c>
      <c r="L593" s="11" t="str">
        <f aca="false">IF(AND(K593&lt;&gt;"",TRIM(I593&amp;"")&lt;&gt;""),K593,"")</f>
        <v/>
      </c>
    </row>
    <row r="594" customFormat="false" ht="15" hidden="false" customHeight="false" outlineLevel="0" collapsed="false">
      <c r="A594" s="9"/>
      <c r="B594" s="4"/>
      <c r="C594" s="10"/>
      <c r="D594" s="11" t="str">
        <f aca="false">IF(K594="","",IFERROR(INDEX(DECKS!$C$2:$C$1201,MATCH(K594,DECKS!$B$2:$B$1201,0)),TRIM(I594&amp;"")))</f>
        <v/>
      </c>
      <c r="E594" s="4"/>
      <c r="F594" s="12"/>
      <c r="G594" s="4"/>
      <c r="H594" s="13" t="str">
        <f aca="false">IF(OR(N(C594)=0,N(F594)=0),"",C594*F594)</f>
        <v/>
      </c>
      <c r="I594" s="4"/>
      <c r="J594" s="11" t="str">
        <f aca="false">IF(K594="","",IF(N(C594)&lt;=0,"Informe a quantidade",IF(IFERROR(INDEX(INVENTÁRIO!$B$2:$B$801,MATCH(K594,INVENTÁRIO!$A$2:$A$801,0)),"")="(sem nome)","Carta fora dos decks: digite o nome na coluna I (opcional)","")))</f>
        <v/>
      </c>
      <c r="K594" s="11" t="str">
        <f aca="false">UPPER(TRIM(SUBSTITUTE(B594&amp;"",CHAR(160)," ")))</f>
        <v/>
      </c>
      <c r="L594" s="11" t="str">
        <f aca="false">IF(AND(K594&lt;&gt;"",TRIM(I594&amp;"")&lt;&gt;""),K594,"")</f>
        <v/>
      </c>
    </row>
    <row r="595" customFormat="false" ht="15" hidden="false" customHeight="false" outlineLevel="0" collapsed="false">
      <c r="A595" s="9"/>
      <c r="B595" s="4"/>
      <c r="C595" s="10"/>
      <c r="D595" s="11" t="str">
        <f aca="false">IF(K595="","",IFERROR(INDEX(DECKS!$C$2:$C$1201,MATCH(K595,DECKS!$B$2:$B$1201,0)),TRIM(I595&amp;"")))</f>
        <v/>
      </c>
      <c r="E595" s="4"/>
      <c r="F595" s="12"/>
      <c r="G595" s="4"/>
      <c r="H595" s="13" t="str">
        <f aca="false">IF(OR(N(C595)=0,N(F595)=0),"",C595*F595)</f>
        <v/>
      </c>
      <c r="I595" s="4"/>
      <c r="J595" s="11" t="str">
        <f aca="false">IF(K595="","",IF(N(C595)&lt;=0,"Informe a quantidade",IF(IFERROR(INDEX(INVENTÁRIO!$B$2:$B$801,MATCH(K595,INVENTÁRIO!$A$2:$A$801,0)),"")="(sem nome)","Carta fora dos decks: digite o nome na coluna I (opcional)","")))</f>
        <v/>
      </c>
      <c r="K595" s="11" t="str">
        <f aca="false">UPPER(TRIM(SUBSTITUTE(B595&amp;"",CHAR(160)," ")))</f>
        <v/>
      </c>
      <c r="L595" s="11" t="str">
        <f aca="false">IF(AND(K595&lt;&gt;"",TRIM(I595&amp;"")&lt;&gt;""),K595,"")</f>
        <v/>
      </c>
    </row>
    <row r="596" customFormat="false" ht="15" hidden="false" customHeight="false" outlineLevel="0" collapsed="false">
      <c r="A596" s="9"/>
      <c r="B596" s="4"/>
      <c r="C596" s="10"/>
      <c r="D596" s="11" t="str">
        <f aca="false">IF(K596="","",IFERROR(INDEX(DECKS!$C$2:$C$1201,MATCH(K596,DECKS!$B$2:$B$1201,0)),TRIM(I596&amp;"")))</f>
        <v/>
      </c>
      <c r="E596" s="4"/>
      <c r="F596" s="12"/>
      <c r="G596" s="4"/>
      <c r="H596" s="13" t="str">
        <f aca="false">IF(OR(N(C596)=0,N(F596)=0),"",C596*F596)</f>
        <v/>
      </c>
      <c r="I596" s="4"/>
      <c r="J596" s="11" t="str">
        <f aca="false">IF(K596="","",IF(N(C596)&lt;=0,"Informe a quantidade",IF(IFERROR(INDEX(INVENTÁRIO!$B$2:$B$801,MATCH(K596,INVENTÁRIO!$A$2:$A$801,0)),"")="(sem nome)","Carta fora dos decks: digite o nome na coluna I (opcional)","")))</f>
        <v/>
      </c>
      <c r="K596" s="11" t="str">
        <f aca="false">UPPER(TRIM(SUBSTITUTE(B596&amp;"",CHAR(160)," ")))</f>
        <v/>
      </c>
      <c r="L596" s="11" t="str">
        <f aca="false">IF(AND(K596&lt;&gt;"",TRIM(I596&amp;"")&lt;&gt;""),K596,"")</f>
        <v/>
      </c>
    </row>
    <row r="597" customFormat="false" ht="15" hidden="false" customHeight="false" outlineLevel="0" collapsed="false">
      <c r="A597" s="9"/>
      <c r="B597" s="4"/>
      <c r="C597" s="10"/>
      <c r="D597" s="11" t="str">
        <f aca="false">IF(K597="","",IFERROR(INDEX(DECKS!$C$2:$C$1201,MATCH(K597,DECKS!$B$2:$B$1201,0)),TRIM(I597&amp;"")))</f>
        <v/>
      </c>
      <c r="E597" s="4"/>
      <c r="F597" s="12"/>
      <c r="G597" s="4"/>
      <c r="H597" s="13" t="str">
        <f aca="false">IF(OR(N(C597)=0,N(F597)=0),"",C597*F597)</f>
        <v/>
      </c>
      <c r="I597" s="4"/>
      <c r="J597" s="11" t="str">
        <f aca="false">IF(K597="","",IF(N(C597)&lt;=0,"Informe a quantidade",IF(IFERROR(INDEX(INVENTÁRIO!$B$2:$B$801,MATCH(K597,INVENTÁRIO!$A$2:$A$801,0)),"")="(sem nome)","Carta fora dos decks: digite o nome na coluna I (opcional)","")))</f>
        <v/>
      </c>
      <c r="K597" s="11" t="str">
        <f aca="false">UPPER(TRIM(SUBSTITUTE(B597&amp;"",CHAR(160)," ")))</f>
        <v/>
      </c>
      <c r="L597" s="11" t="str">
        <f aca="false">IF(AND(K597&lt;&gt;"",TRIM(I597&amp;"")&lt;&gt;""),K597,"")</f>
        <v/>
      </c>
    </row>
    <row r="598" customFormat="false" ht="15" hidden="false" customHeight="false" outlineLevel="0" collapsed="false">
      <c r="A598" s="9"/>
      <c r="B598" s="4"/>
      <c r="C598" s="10"/>
      <c r="D598" s="11" t="str">
        <f aca="false">IF(K598="","",IFERROR(INDEX(DECKS!$C$2:$C$1201,MATCH(K598,DECKS!$B$2:$B$1201,0)),TRIM(I598&amp;"")))</f>
        <v/>
      </c>
      <c r="E598" s="4"/>
      <c r="F598" s="12"/>
      <c r="G598" s="4"/>
      <c r="H598" s="13" t="str">
        <f aca="false">IF(OR(N(C598)=0,N(F598)=0),"",C598*F598)</f>
        <v/>
      </c>
      <c r="I598" s="4"/>
      <c r="J598" s="11" t="str">
        <f aca="false">IF(K598="","",IF(N(C598)&lt;=0,"Informe a quantidade",IF(IFERROR(INDEX(INVENTÁRIO!$B$2:$B$801,MATCH(K598,INVENTÁRIO!$A$2:$A$801,0)),"")="(sem nome)","Carta fora dos decks: digite o nome na coluna I (opcional)","")))</f>
        <v/>
      </c>
      <c r="K598" s="11" t="str">
        <f aca="false">UPPER(TRIM(SUBSTITUTE(B598&amp;"",CHAR(160)," ")))</f>
        <v/>
      </c>
      <c r="L598" s="11" t="str">
        <f aca="false">IF(AND(K598&lt;&gt;"",TRIM(I598&amp;"")&lt;&gt;""),K598,"")</f>
        <v/>
      </c>
    </row>
    <row r="599" customFormat="false" ht="15" hidden="false" customHeight="false" outlineLevel="0" collapsed="false">
      <c r="A599" s="9"/>
      <c r="B599" s="4"/>
      <c r="C599" s="10"/>
      <c r="D599" s="11" t="str">
        <f aca="false">IF(K599="","",IFERROR(INDEX(DECKS!$C$2:$C$1201,MATCH(K599,DECKS!$B$2:$B$1201,0)),TRIM(I599&amp;"")))</f>
        <v/>
      </c>
      <c r="E599" s="4"/>
      <c r="F599" s="12"/>
      <c r="G599" s="4"/>
      <c r="H599" s="13" t="str">
        <f aca="false">IF(OR(N(C599)=0,N(F599)=0),"",C599*F599)</f>
        <v/>
      </c>
      <c r="I599" s="4"/>
      <c r="J599" s="11" t="str">
        <f aca="false">IF(K599="","",IF(N(C599)&lt;=0,"Informe a quantidade",IF(IFERROR(INDEX(INVENTÁRIO!$B$2:$B$801,MATCH(K599,INVENTÁRIO!$A$2:$A$801,0)),"")="(sem nome)","Carta fora dos decks: digite o nome na coluna I (opcional)","")))</f>
        <v/>
      </c>
      <c r="K599" s="11" t="str">
        <f aca="false">UPPER(TRIM(SUBSTITUTE(B599&amp;"",CHAR(160)," ")))</f>
        <v/>
      </c>
      <c r="L599" s="11" t="str">
        <f aca="false">IF(AND(K599&lt;&gt;"",TRIM(I599&amp;"")&lt;&gt;""),K599,"")</f>
        <v/>
      </c>
    </row>
    <row r="600" customFormat="false" ht="15" hidden="false" customHeight="false" outlineLevel="0" collapsed="false">
      <c r="A600" s="9"/>
      <c r="B600" s="4"/>
      <c r="C600" s="10"/>
      <c r="D600" s="11" t="str">
        <f aca="false">IF(K600="","",IFERROR(INDEX(DECKS!$C$2:$C$1201,MATCH(K600,DECKS!$B$2:$B$1201,0)),TRIM(I600&amp;"")))</f>
        <v/>
      </c>
      <c r="E600" s="4"/>
      <c r="F600" s="12"/>
      <c r="G600" s="4"/>
      <c r="H600" s="13" t="str">
        <f aca="false">IF(OR(N(C600)=0,N(F600)=0),"",C600*F600)</f>
        <v/>
      </c>
      <c r="I600" s="4"/>
      <c r="J600" s="11" t="str">
        <f aca="false">IF(K600="","",IF(N(C600)&lt;=0,"Informe a quantidade",IF(IFERROR(INDEX(INVENTÁRIO!$B$2:$B$801,MATCH(K600,INVENTÁRIO!$A$2:$A$801,0)),"")="(sem nome)","Carta fora dos decks: digite o nome na coluna I (opcional)","")))</f>
        <v/>
      </c>
      <c r="K600" s="11" t="str">
        <f aca="false">UPPER(TRIM(SUBSTITUTE(B600&amp;"",CHAR(160)," ")))</f>
        <v/>
      </c>
      <c r="L600" s="11" t="str">
        <f aca="false">IF(AND(K600&lt;&gt;"",TRIM(I600&amp;"")&lt;&gt;""),K600,"")</f>
        <v/>
      </c>
    </row>
    <row r="601" customFormat="false" ht="15" hidden="false" customHeight="false" outlineLevel="0" collapsed="false">
      <c r="A601" s="9"/>
      <c r="B601" s="4"/>
      <c r="C601" s="10"/>
      <c r="D601" s="11" t="str">
        <f aca="false">IF(K601="","",IFERROR(INDEX(DECKS!$C$2:$C$1201,MATCH(K601,DECKS!$B$2:$B$1201,0)),TRIM(I601&amp;"")))</f>
        <v/>
      </c>
      <c r="E601" s="4"/>
      <c r="F601" s="12"/>
      <c r="G601" s="4"/>
      <c r="H601" s="13" t="str">
        <f aca="false">IF(OR(N(C601)=0,N(F601)=0),"",C601*F601)</f>
        <v/>
      </c>
      <c r="I601" s="4"/>
      <c r="J601" s="11" t="str">
        <f aca="false">IF(K601="","",IF(N(C601)&lt;=0,"Informe a quantidade",IF(IFERROR(INDEX(INVENTÁRIO!$B$2:$B$801,MATCH(K601,INVENTÁRIO!$A$2:$A$801,0)),"")="(sem nome)","Carta fora dos decks: digite o nome na coluna I (opcional)","")))</f>
        <v/>
      </c>
      <c r="K601" s="11" t="str">
        <f aca="false">UPPER(TRIM(SUBSTITUTE(B601&amp;"",CHAR(160)," ")))</f>
        <v/>
      </c>
      <c r="L601" s="11" t="str">
        <f aca="false">IF(AND(K601&lt;&gt;"",TRIM(I601&amp;"")&lt;&gt;""),K601,"")</f>
        <v/>
      </c>
    </row>
    <row r="602" customFormat="false" ht="15" hidden="false" customHeight="false" outlineLevel="0" collapsed="false">
      <c r="A602" s="9"/>
      <c r="B602" s="4"/>
      <c r="C602" s="10"/>
      <c r="D602" s="11" t="str">
        <f aca="false">IF(K602="","",IFERROR(INDEX(DECKS!$C$2:$C$1201,MATCH(K602,DECKS!$B$2:$B$1201,0)),TRIM(I602&amp;"")))</f>
        <v/>
      </c>
      <c r="E602" s="4"/>
      <c r="F602" s="12"/>
      <c r="G602" s="4"/>
      <c r="H602" s="13" t="str">
        <f aca="false">IF(OR(N(C602)=0,N(F602)=0),"",C602*F602)</f>
        <v/>
      </c>
      <c r="I602" s="4"/>
      <c r="J602" s="11" t="str">
        <f aca="false">IF(K602="","",IF(N(C602)&lt;=0,"Informe a quantidade",IF(IFERROR(INDEX(INVENTÁRIO!$B$2:$B$801,MATCH(K602,INVENTÁRIO!$A$2:$A$801,0)),"")="(sem nome)","Carta fora dos decks: digite o nome na coluna I (opcional)","")))</f>
        <v/>
      </c>
      <c r="K602" s="11" t="str">
        <f aca="false">UPPER(TRIM(SUBSTITUTE(B602&amp;"",CHAR(160)," ")))</f>
        <v/>
      </c>
      <c r="L602" s="11" t="str">
        <f aca="false">IF(AND(K602&lt;&gt;"",TRIM(I602&amp;"")&lt;&gt;""),K602,"")</f>
        <v/>
      </c>
    </row>
    <row r="603" customFormat="false" ht="15" hidden="false" customHeight="false" outlineLevel="0" collapsed="false">
      <c r="A603" s="9"/>
      <c r="B603" s="4"/>
      <c r="C603" s="10"/>
      <c r="D603" s="11" t="str">
        <f aca="false">IF(K603="","",IFERROR(INDEX(DECKS!$C$2:$C$1201,MATCH(K603,DECKS!$B$2:$B$1201,0)),TRIM(I603&amp;"")))</f>
        <v/>
      </c>
      <c r="E603" s="4"/>
      <c r="F603" s="12"/>
      <c r="G603" s="4"/>
      <c r="H603" s="13" t="str">
        <f aca="false">IF(OR(N(C603)=0,N(F603)=0),"",C603*F603)</f>
        <v/>
      </c>
      <c r="I603" s="4"/>
      <c r="J603" s="11" t="str">
        <f aca="false">IF(K603="","",IF(N(C603)&lt;=0,"Informe a quantidade",IF(IFERROR(INDEX(INVENTÁRIO!$B$2:$B$801,MATCH(K603,INVENTÁRIO!$A$2:$A$801,0)),"")="(sem nome)","Carta fora dos decks: digite o nome na coluna I (opcional)","")))</f>
        <v/>
      </c>
      <c r="K603" s="11" t="str">
        <f aca="false">UPPER(TRIM(SUBSTITUTE(B603&amp;"",CHAR(160)," ")))</f>
        <v/>
      </c>
      <c r="L603" s="11" t="str">
        <f aca="false">IF(AND(K603&lt;&gt;"",TRIM(I603&amp;"")&lt;&gt;""),K603,"")</f>
        <v/>
      </c>
    </row>
    <row r="604" customFormat="false" ht="15" hidden="false" customHeight="false" outlineLevel="0" collapsed="false">
      <c r="A604" s="9"/>
      <c r="B604" s="4"/>
      <c r="C604" s="10"/>
      <c r="D604" s="11" t="str">
        <f aca="false">IF(K604="","",IFERROR(INDEX(DECKS!$C$2:$C$1201,MATCH(K604,DECKS!$B$2:$B$1201,0)),TRIM(I604&amp;"")))</f>
        <v/>
      </c>
      <c r="E604" s="4"/>
      <c r="F604" s="12"/>
      <c r="G604" s="4"/>
      <c r="H604" s="13" t="str">
        <f aca="false">IF(OR(N(C604)=0,N(F604)=0),"",C604*F604)</f>
        <v/>
      </c>
      <c r="I604" s="4"/>
      <c r="J604" s="11" t="str">
        <f aca="false">IF(K604="","",IF(N(C604)&lt;=0,"Informe a quantidade",IF(IFERROR(INDEX(INVENTÁRIO!$B$2:$B$801,MATCH(K604,INVENTÁRIO!$A$2:$A$801,0)),"")="(sem nome)","Carta fora dos decks: digite o nome na coluna I (opcional)","")))</f>
        <v/>
      </c>
      <c r="K604" s="11" t="str">
        <f aca="false">UPPER(TRIM(SUBSTITUTE(B604&amp;"",CHAR(160)," ")))</f>
        <v/>
      </c>
      <c r="L604" s="11" t="str">
        <f aca="false">IF(AND(K604&lt;&gt;"",TRIM(I604&amp;"")&lt;&gt;""),K604,"")</f>
        <v/>
      </c>
    </row>
    <row r="605" customFormat="false" ht="15" hidden="false" customHeight="false" outlineLevel="0" collapsed="false">
      <c r="A605" s="9"/>
      <c r="B605" s="4"/>
      <c r="C605" s="10"/>
      <c r="D605" s="11" t="str">
        <f aca="false">IF(K605="","",IFERROR(INDEX(DECKS!$C$2:$C$1201,MATCH(K605,DECKS!$B$2:$B$1201,0)),TRIM(I605&amp;"")))</f>
        <v/>
      </c>
      <c r="E605" s="4"/>
      <c r="F605" s="12"/>
      <c r="G605" s="4"/>
      <c r="H605" s="13" t="str">
        <f aca="false">IF(OR(N(C605)=0,N(F605)=0),"",C605*F605)</f>
        <v/>
      </c>
      <c r="I605" s="4"/>
      <c r="J605" s="11" t="str">
        <f aca="false">IF(K605="","",IF(N(C605)&lt;=0,"Informe a quantidade",IF(IFERROR(INDEX(INVENTÁRIO!$B$2:$B$801,MATCH(K605,INVENTÁRIO!$A$2:$A$801,0)),"")="(sem nome)","Carta fora dos decks: digite o nome na coluna I (opcional)","")))</f>
        <v/>
      </c>
      <c r="K605" s="11" t="str">
        <f aca="false">UPPER(TRIM(SUBSTITUTE(B605&amp;"",CHAR(160)," ")))</f>
        <v/>
      </c>
      <c r="L605" s="11" t="str">
        <f aca="false">IF(AND(K605&lt;&gt;"",TRIM(I605&amp;"")&lt;&gt;""),K605,"")</f>
        <v/>
      </c>
    </row>
    <row r="606" customFormat="false" ht="15" hidden="false" customHeight="false" outlineLevel="0" collapsed="false">
      <c r="A606" s="9"/>
      <c r="B606" s="4"/>
      <c r="C606" s="10"/>
      <c r="D606" s="11" t="str">
        <f aca="false">IF(K606="","",IFERROR(INDEX(DECKS!$C$2:$C$1201,MATCH(K606,DECKS!$B$2:$B$1201,0)),TRIM(I606&amp;"")))</f>
        <v/>
      </c>
      <c r="E606" s="4"/>
      <c r="F606" s="12"/>
      <c r="G606" s="4"/>
      <c r="H606" s="13" t="str">
        <f aca="false">IF(OR(N(C606)=0,N(F606)=0),"",C606*F606)</f>
        <v/>
      </c>
      <c r="I606" s="4"/>
      <c r="J606" s="11" t="str">
        <f aca="false">IF(K606="","",IF(N(C606)&lt;=0,"Informe a quantidade",IF(IFERROR(INDEX(INVENTÁRIO!$B$2:$B$801,MATCH(K606,INVENTÁRIO!$A$2:$A$801,0)),"")="(sem nome)","Carta fora dos decks: digite o nome na coluna I (opcional)","")))</f>
        <v/>
      </c>
      <c r="K606" s="11" t="str">
        <f aca="false">UPPER(TRIM(SUBSTITUTE(B606&amp;"",CHAR(160)," ")))</f>
        <v/>
      </c>
      <c r="L606" s="11" t="str">
        <f aca="false">IF(AND(K606&lt;&gt;"",TRIM(I606&amp;"")&lt;&gt;""),K606,"")</f>
        <v/>
      </c>
    </row>
    <row r="607" customFormat="false" ht="15" hidden="false" customHeight="false" outlineLevel="0" collapsed="false">
      <c r="A607" s="9"/>
      <c r="B607" s="4"/>
      <c r="C607" s="10"/>
      <c r="D607" s="11" t="str">
        <f aca="false">IF(K607="","",IFERROR(INDEX(DECKS!$C$2:$C$1201,MATCH(K607,DECKS!$B$2:$B$1201,0)),TRIM(I607&amp;"")))</f>
        <v/>
      </c>
      <c r="E607" s="4"/>
      <c r="F607" s="12"/>
      <c r="G607" s="4"/>
      <c r="H607" s="13" t="str">
        <f aca="false">IF(OR(N(C607)=0,N(F607)=0),"",C607*F607)</f>
        <v/>
      </c>
      <c r="I607" s="4"/>
      <c r="J607" s="11" t="str">
        <f aca="false">IF(K607="","",IF(N(C607)&lt;=0,"Informe a quantidade",IF(IFERROR(INDEX(INVENTÁRIO!$B$2:$B$801,MATCH(K607,INVENTÁRIO!$A$2:$A$801,0)),"")="(sem nome)","Carta fora dos decks: digite o nome na coluna I (opcional)","")))</f>
        <v/>
      </c>
      <c r="K607" s="11" t="str">
        <f aca="false">UPPER(TRIM(SUBSTITUTE(B607&amp;"",CHAR(160)," ")))</f>
        <v/>
      </c>
      <c r="L607" s="11" t="str">
        <f aca="false">IF(AND(K607&lt;&gt;"",TRIM(I607&amp;"")&lt;&gt;""),K607,"")</f>
        <v/>
      </c>
    </row>
    <row r="608" customFormat="false" ht="15" hidden="false" customHeight="false" outlineLevel="0" collapsed="false">
      <c r="A608" s="9"/>
      <c r="B608" s="4"/>
      <c r="C608" s="10"/>
      <c r="D608" s="11" t="str">
        <f aca="false">IF(K608="","",IFERROR(INDEX(DECKS!$C$2:$C$1201,MATCH(K608,DECKS!$B$2:$B$1201,0)),TRIM(I608&amp;"")))</f>
        <v/>
      </c>
      <c r="E608" s="4"/>
      <c r="F608" s="12"/>
      <c r="G608" s="4"/>
      <c r="H608" s="13" t="str">
        <f aca="false">IF(OR(N(C608)=0,N(F608)=0),"",C608*F608)</f>
        <v/>
      </c>
      <c r="I608" s="4"/>
      <c r="J608" s="11" t="str">
        <f aca="false">IF(K608="","",IF(N(C608)&lt;=0,"Informe a quantidade",IF(IFERROR(INDEX(INVENTÁRIO!$B$2:$B$801,MATCH(K608,INVENTÁRIO!$A$2:$A$801,0)),"")="(sem nome)","Carta fora dos decks: digite o nome na coluna I (opcional)","")))</f>
        <v/>
      </c>
      <c r="K608" s="11" t="str">
        <f aca="false">UPPER(TRIM(SUBSTITUTE(B608&amp;"",CHAR(160)," ")))</f>
        <v/>
      </c>
      <c r="L608" s="11" t="str">
        <f aca="false">IF(AND(K608&lt;&gt;"",TRIM(I608&amp;"")&lt;&gt;""),K608,"")</f>
        <v/>
      </c>
    </row>
    <row r="609" customFormat="false" ht="15" hidden="false" customHeight="false" outlineLevel="0" collapsed="false">
      <c r="A609" s="9"/>
      <c r="B609" s="4"/>
      <c r="C609" s="10"/>
      <c r="D609" s="11" t="str">
        <f aca="false">IF(K609="","",IFERROR(INDEX(DECKS!$C$2:$C$1201,MATCH(K609,DECKS!$B$2:$B$1201,0)),TRIM(I609&amp;"")))</f>
        <v/>
      </c>
      <c r="E609" s="4"/>
      <c r="F609" s="12"/>
      <c r="G609" s="4"/>
      <c r="H609" s="13" t="str">
        <f aca="false">IF(OR(N(C609)=0,N(F609)=0),"",C609*F609)</f>
        <v/>
      </c>
      <c r="I609" s="4"/>
      <c r="J609" s="11" t="str">
        <f aca="false">IF(K609="","",IF(N(C609)&lt;=0,"Informe a quantidade",IF(IFERROR(INDEX(INVENTÁRIO!$B$2:$B$801,MATCH(K609,INVENTÁRIO!$A$2:$A$801,0)),"")="(sem nome)","Carta fora dos decks: digite o nome na coluna I (opcional)","")))</f>
        <v/>
      </c>
      <c r="K609" s="11" t="str">
        <f aca="false">UPPER(TRIM(SUBSTITUTE(B609&amp;"",CHAR(160)," ")))</f>
        <v/>
      </c>
      <c r="L609" s="11" t="str">
        <f aca="false">IF(AND(K609&lt;&gt;"",TRIM(I609&amp;"")&lt;&gt;""),K609,"")</f>
        <v/>
      </c>
    </row>
    <row r="610" customFormat="false" ht="15" hidden="false" customHeight="false" outlineLevel="0" collapsed="false">
      <c r="A610" s="9"/>
      <c r="B610" s="4"/>
      <c r="C610" s="10"/>
      <c r="D610" s="11" t="str">
        <f aca="false">IF(K610="","",IFERROR(INDEX(DECKS!$C$2:$C$1201,MATCH(K610,DECKS!$B$2:$B$1201,0)),TRIM(I610&amp;"")))</f>
        <v/>
      </c>
      <c r="E610" s="4"/>
      <c r="F610" s="12"/>
      <c r="G610" s="4"/>
      <c r="H610" s="13" t="str">
        <f aca="false">IF(OR(N(C610)=0,N(F610)=0),"",C610*F610)</f>
        <v/>
      </c>
      <c r="I610" s="4"/>
      <c r="J610" s="11" t="str">
        <f aca="false">IF(K610="","",IF(N(C610)&lt;=0,"Informe a quantidade",IF(IFERROR(INDEX(INVENTÁRIO!$B$2:$B$801,MATCH(K610,INVENTÁRIO!$A$2:$A$801,0)),"")="(sem nome)","Carta fora dos decks: digite o nome na coluna I (opcional)","")))</f>
        <v/>
      </c>
      <c r="K610" s="11" t="str">
        <f aca="false">UPPER(TRIM(SUBSTITUTE(B610&amp;"",CHAR(160)," ")))</f>
        <v/>
      </c>
      <c r="L610" s="11" t="str">
        <f aca="false">IF(AND(K610&lt;&gt;"",TRIM(I610&amp;"")&lt;&gt;""),K610,"")</f>
        <v/>
      </c>
    </row>
    <row r="611" customFormat="false" ht="15" hidden="false" customHeight="false" outlineLevel="0" collapsed="false">
      <c r="A611" s="9"/>
      <c r="B611" s="4"/>
      <c r="C611" s="10"/>
      <c r="D611" s="11" t="str">
        <f aca="false">IF(K611="","",IFERROR(INDEX(DECKS!$C$2:$C$1201,MATCH(K611,DECKS!$B$2:$B$1201,0)),TRIM(I611&amp;"")))</f>
        <v/>
      </c>
      <c r="E611" s="4"/>
      <c r="F611" s="12"/>
      <c r="G611" s="4"/>
      <c r="H611" s="13" t="str">
        <f aca="false">IF(OR(N(C611)=0,N(F611)=0),"",C611*F611)</f>
        <v/>
      </c>
      <c r="I611" s="4"/>
      <c r="J611" s="11" t="str">
        <f aca="false">IF(K611="","",IF(N(C611)&lt;=0,"Informe a quantidade",IF(IFERROR(INDEX(INVENTÁRIO!$B$2:$B$801,MATCH(K611,INVENTÁRIO!$A$2:$A$801,0)),"")="(sem nome)","Carta fora dos decks: digite o nome na coluna I (opcional)","")))</f>
        <v/>
      </c>
      <c r="K611" s="11" t="str">
        <f aca="false">UPPER(TRIM(SUBSTITUTE(B611&amp;"",CHAR(160)," ")))</f>
        <v/>
      </c>
      <c r="L611" s="11" t="str">
        <f aca="false">IF(AND(K611&lt;&gt;"",TRIM(I611&amp;"")&lt;&gt;""),K611,"")</f>
        <v/>
      </c>
    </row>
    <row r="612" customFormat="false" ht="15" hidden="false" customHeight="false" outlineLevel="0" collapsed="false">
      <c r="A612" s="9"/>
      <c r="B612" s="4"/>
      <c r="C612" s="10"/>
      <c r="D612" s="11" t="str">
        <f aca="false">IF(K612="","",IFERROR(INDEX(DECKS!$C$2:$C$1201,MATCH(K612,DECKS!$B$2:$B$1201,0)),TRIM(I612&amp;"")))</f>
        <v/>
      </c>
      <c r="E612" s="4"/>
      <c r="F612" s="12"/>
      <c r="G612" s="4"/>
      <c r="H612" s="13" t="str">
        <f aca="false">IF(OR(N(C612)=0,N(F612)=0),"",C612*F612)</f>
        <v/>
      </c>
      <c r="I612" s="4"/>
      <c r="J612" s="11" t="str">
        <f aca="false">IF(K612="","",IF(N(C612)&lt;=0,"Informe a quantidade",IF(IFERROR(INDEX(INVENTÁRIO!$B$2:$B$801,MATCH(K612,INVENTÁRIO!$A$2:$A$801,0)),"")="(sem nome)","Carta fora dos decks: digite o nome na coluna I (opcional)","")))</f>
        <v/>
      </c>
      <c r="K612" s="11" t="str">
        <f aca="false">UPPER(TRIM(SUBSTITUTE(B612&amp;"",CHAR(160)," ")))</f>
        <v/>
      </c>
      <c r="L612" s="11" t="str">
        <f aca="false">IF(AND(K612&lt;&gt;"",TRIM(I612&amp;"")&lt;&gt;""),K612,"")</f>
        <v/>
      </c>
    </row>
    <row r="613" customFormat="false" ht="15" hidden="false" customHeight="false" outlineLevel="0" collapsed="false">
      <c r="A613" s="9"/>
      <c r="B613" s="4"/>
      <c r="C613" s="10"/>
      <c r="D613" s="11" t="str">
        <f aca="false">IF(K613="","",IFERROR(INDEX(DECKS!$C$2:$C$1201,MATCH(K613,DECKS!$B$2:$B$1201,0)),TRIM(I613&amp;"")))</f>
        <v/>
      </c>
      <c r="E613" s="4"/>
      <c r="F613" s="12"/>
      <c r="G613" s="4"/>
      <c r="H613" s="13" t="str">
        <f aca="false">IF(OR(N(C613)=0,N(F613)=0),"",C613*F613)</f>
        <v/>
      </c>
      <c r="I613" s="4"/>
      <c r="J613" s="11" t="str">
        <f aca="false">IF(K613="","",IF(N(C613)&lt;=0,"Informe a quantidade",IF(IFERROR(INDEX(INVENTÁRIO!$B$2:$B$801,MATCH(K613,INVENTÁRIO!$A$2:$A$801,0)),"")="(sem nome)","Carta fora dos decks: digite o nome na coluna I (opcional)","")))</f>
        <v/>
      </c>
      <c r="K613" s="11" t="str">
        <f aca="false">UPPER(TRIM(SUBSTITUTE(B613&amp;"",CHAR(160)," ")))</f>
        <v/>
      </c>
      <c r="L613" s="11" t="str">
        <f aca="false">IF(AND(K613&lt;&gt;"",TRIM(I613&amp;"")&lt;&gt;""),K613,"")</f>
        <v/>
      </c>
    </row>
    <row r="614" customFormat="false" ht="15" hidden="false" customHeight="false" outlineLevel="0" collapsed="false">
      <c r="A614" s="9"/>
      <c r="B614" s="4"/>
      <c r="C614" s="10"/>
      <c r="D614" s="11" t="str">
        <f aca="false">IF(K614="","",IFERROR(INDEX(DECKS!$C$2:$C$1201,MATCH(K614,DECKS!$B$2:$B$1201,0)),TRIM(I614&amp;"")))</f>
        <v/>
      </c>
      <c r="E614" s="4"/>
      <c r="F614" s="12"/>
      <c r="G614" s="4"/>
      <c r="H614" s="13" t="str">
        <f aca="false">IF(OR(N(C614)=0,N(F614)=0),"",C614*F614)</f>
        <v/>
      </c>
      <c r="I614" s="4"/>
      <c r="J614" s="11" t="str">
        <f aca="false">IF(K614="","",IF(N(C614)&lt;=0,"Informe a quantidade",IF(IFERROR(INDEX(INVENTÁRIO!$B$2:$B$801,MATCH(K614,INVENTÁRIO!$A$2:$A$801,0)),"")="(sem nome)","Carta fora dos decks: digite o nome na coluna I (opcional)","")))</f>
        <v/>
      </c>
      <c r="K614" s="11" t="str">
        <f aca="false">UPPER(TRIM(SUBSTITUTE(B614&amp;"",CHAR(160)," ")))</f>
        <v/>
      </c>
      <c r="L614" s="11" t="str">
        <f aca="false">IF(AND(K614&lt;&gt;"",TRIM(I614&amp;"")&lt;&gt;""),K614,"")</f>
        <v/>
      </c>
    </row>
    <row r="615" customFormat="false" ht="15" hidden="false" customHeight="false" outlineLevel="0" collapsed="false">
      <c r="A615" s="9"/>
      <c r="B615" s="4"/>
      <c r="C615" s="10"/>
      <c r="D615" s="11" t="str">
        <f aca="false">IF(K615="","",IFERROR(INDEX(DECKS!$C$2:$C$1201,MATCH(K615,DECKS!$B$2:$B$1201,0)),TRIM(I615&amp;"")))</f>
        <v/>
      </c>
      <c r="E615" s="4"/>
      <c r="F615" s="12"/>
      <c r="G615" s="4"/>
      <c r="H615" s="13" t="str">
        <f aca="false">IF(OR(N(C615)=0,N(F615)=0),"",C615*F615)</f>
        <v/>
      </c>
      <c r="I615" s="4"/>
      <c r="J615" s="11" t="str">
        <f aca="false">IF(K615="","",IF(N(C615)&lt;=0,"Informe a quantidade",IF(IFERROR(INDEX(INVENTÁRIO!$B$2:$B$801,MATCH(K615,INVENTÁRIO!$A$2:$A$801,0)),"")="(sem nome)","Carta fora dos decks: digite o nome na coluna I (opcional)","")))</f>
        <v/>
      </c>
      <c r="K615" s="11" t="str">
        <f aca="false">UPPER(TRIM(SUBSTITUTE(B615&amp;"",CHAR(160)," ")))</f>
        <v/>
      </c>
      <c r="L615" s="11" t="str">
        <f aca="false">IF(AND(K615&lt;&gt;"",TRIM(I615&amp;"")&lt;&gt;""),K615,"")</f>
        <v/>
      </c>
    </row>
    <row r="616" customFormat="false" ht="15" hidden="false" customHeight="false" outlineLevel="0" collapsed="false">
      <c r="A616" s="9"/>
      <c r="B616" s="4"/>
      <c r="C616" s="10"/>
      <c r="D616" s="11" t="str">
        <f aca="false">IF(K616="","",IFERROR(INDEX(DECKS!$C$2:$C$1201,MATCH(K616,DECKS!$B$2:$B$1201,0)),TRIM(I616&amp;"")))</f>
        <v/>
      </c>
      <c r="E616" s="4"/>
      <c r="F616" s="12"/>
      <c r="G616" s="4"/>
      <c r="H616" s="13" t="str">
        <f aca="false">IF(OR(N(C616)=0,N(F616)=0),"",C616*F616)</f>
        <v/>
      </c>
      <c r="I616" s="4"/>
      <c r="J616" s="11" t="str">
        <f aca="false">IF(K616="","",IF(N(C616)&lt;=0,"Informe a quantidade",IF(IFERROR(INDEX(INVENTÁRIO!$B$2:$B$801,MATCH(K616,INVENTÁRIO!$A$2:$A$801,0)),"")="(sem nome)","Carta fora dos decks: digite o nome na coluna I (opcional)","")))</f>
        <v/>
      </c>
      <c r="K616" s="11" t="str">
        <f aca="false">UPPER(TRIM(SUBSTITUTE(B616&amp;"",CHAR(160)," ")))</f>
        <v/>
      </c>
      <c r="L616" s="11" t="str">
        <f aca="false">IF(AND(K616&lt;&gt;"",TRIM(I616&amp;"")&lt;&gt;""),K616,"")</f>
        <v/>
      </c>
    </row>
    <row r="617" customFormat="false" ht="15" hidden="false" customHeight="false" outlineLevel="0" collapsed="false">
      <c r="A617" s="9"/>
      <c r="B617" s="4"/>
      <c r="C617" s="10"/>
      <c r="D617" s="11" t="str">
        <f aca="false">IF(K617="","",IFERROR(INDEX(DECKS!$C$2:$C$1201,MATCH(K617,DECKS!$B$2:$B$1201,0)),TRIM(I617&amp;"")))</f>
        <v/>
      </c>
      <c r="E617" s="4"/>
      <c r="F617" s="12"/>
      <c r="G617" s="4"/>
      <c r="H617" s="13" t="str">
        <f aca="false">IF(OR(N(C617)=0,N(F617)=0),"",C617*F617)</f>
        <v/>
      </c>
      <c r="I617" s="4"/>
      <c r="J617" s="11" t="str">
        <f aca="false">IF(K617="","",IF(N(C617)&lt;=0,"Informe a quantidade",IF(IFERROR(INDEX(INVENTÁRIO!$B$2:$B$801,MATCH(K617,INVENTÁRIO!$A$2:$A$801,0)),"")="(sem nome)","Carta fora dos decks: digite o nome na coluna I (opcional)","")))</f>
        <v/>
      </c>
      <c r="K617" s="11" t="str">
        <f aca="false">UPPER(TRIM(SUBSTITUTE(B617&amp;"",CHAR(160)," ")))</f>
        <v/>
      </c>
      <c r="L617" s="11" t="str">
        <f aca="false">IF(AND(K617&lt;&gt;"",TRIM(I617&amp;"")&lt;&gt;""),K617,"")</f>
        <v/>
      </c>
    </row>
    <row r="618" customFormat="false" ht="15" hidden="false" customHeight="false" outlineLevel="0" collapsed="false">
      <c r="A618" s="9"/>
      <c r="B618" s="4"/>
      <c r="C618" s="10"/>
      <c r="D618" s="11" t="str">
        <f aca="false">IF(K618="","",IFERROR(INDEX(DECKS!$C$2:$C$1201,MATCH(K618,DECKS!$B$2:$B$1201,0)),TRIM(I618&amp;"")))</f>
        <v/>
      </c>
      <c r="E618" s="4"/>
      <c r="F618" s="12"/>
      <c r="G618" s="4"/>
      <c r="H618" s="13" t="str">
        <f aca="false">IF(OR(N(C618)=0,N(F618)=0),"",C618*F618)</f>
        <v/>
      </c>
      <c r="I618" s="4"/>
      <c r="J618" s="11" t="str">
        <f aca="false">IF(K618="","",IF(N(C618)&lt;=0,"Informe a quantidade",IF(IFERROR(INDEX(INVENTÁRIO!$B$2:$B$801,MATCH(K618,INVENTÁRIO!$A$2:$A$801,0)),"")="(sem nome)","Carta fora dos decks: digite o nome na coluna I (opcional)","")))</f>
        <v/>
      </c>
      <c r="K618" s="11" t="str">
        <f aca="false">UPPER(TRIM(SUBSTITUTE(B618&amp;"",CHAR(160)," ")))</f>
        <v/>
      </c>
      <c r="L618" s="11" t="str">
        <f aca="false">IF(AND(K618&lt;&gt;"",TRIM(I618&amp;"")&lt;&gt;""),K618,"")</f>
        <v/>
      </c>
    </row>
    <row r="619" customFormat="false" ht="15" hidden="false" customHeight="false" outlineLevel="0" collapsed="false">
      <c r="A619" s="9"/>
      <c r="B619" s="4"/>
      <c r="C619" s="10"/>
      <c r="D619" s="11" t="str">
        <f aca="false">IF(K619="","",IFERROR(INDEX(DECKS!$C$2:$C$1201,MATCH(K619,DECKS!$B$2:$B$1201,0)),TRIM(I619&amp;"")))</f>
        <v/>
      </c>
      <c r="E619" s="4"/>
      <c r="F619" s="12"/>
      <c r="G619" s="4"/>
      <c r="H619" s="13" t="str">
        <f aca="false">IF(OR(N(C619)=0,N(F619)=0),"",C619*F619)</f>
        <v/>
      </c>
      <c r="I619" s="4"/>
      <c r="J619" s="11" t="str">
        <f aca="false">IF(K619="","",IF(N(C619)&lt;=0,"Informe a quantidade",IF(IFERROR(INDEX(INVENTÁRIO!$B$2:$B$801,MATCH(K619,INVENTÁRIO!$A$2:$A$801,0)),"")="(sem nome)","Carta fora dos decks: digite o nome na coluna I (opcional)","")))</f>
        <v/>
      </c>
      <c r="K619" s="11" t="str">
        <f aca="false">UPPER(TRIM(SUBSTITUTE(B619&amp;"",CHAR(160)," ")))</f>
        <v/>
      </c>
      <c r="L619" s="11" t="str">
        <f aca="false">IF(AND(K619&lt;&gt;"",TRIM(I619&amp;"")&lt;&gt;""),K619,"")</f>
        <v/>
      </c>
    </row>
    <row r="620" customFormat="false" ht="15" hidden="false" customHeight="false" outlineLevel="0" collapsed="false">
      <c r="A620" s="9"/>
      <c r="B620" s="4"/>
      <c r="C620" s="10"/>
      <c r="D620" s="11" t="str">
        <f aca="false">IF(K620="","",IFERROR(INDEX(DECKS!$C$2:$C$1201,MATCH(K620,DECKS!$B$2:$B$1201,0)),TRIM(I620&amp;"")))</f>
        <v/>
      </c>
      <c r="E620" s="4"/>
      <c r="F620" s="12"/>
      <c r="G620" s="4"/>
      <c r="H620" s="13" t="str">
        <f aca="false">IF(OR(N(C620)=0,N(F620)=0),"",C620*F620)</f>
        <v/>
      </c>
      <c r="I620" s="4"/>
      <c r="J620" s="11" t="str">
        <f aca="false">IF(K620="","",IF(N(C620)&lt;=0,"Informe a quantidade",IF(IFERROR(INDEX(INVENTÁRIO!$B$2:$B$801,MATCH(K620,INVENTÁRIO!$A$2:$A$801,0)),"")="(sem nome)","Carta fora dos decks: digite o nome na coluna I (opcional)","")))</f>
        <v/>
      </c>
      <c r="K620" s="11" t="str">
        <f aca="false">UPPER(TRIM(SUBSTITUTE(B620&amp;"",CHAR(160)," ")))</f>
        <v/>
      </c>
      <c r="L620" s="11" t="str">
        <f aca="false">IF(AND(K620&lt;&gt;"",TRIM(I620&amp;"")&lt;&gt;""),K620,"")</f>
        <v/>
      </c>
    </row>
    <row r="621" customFormat="false" ht="15" hidden="false" customHeight="false" outlineLevel="0" collapsed="false">
      <c r="A621" s="9"/>
      <c r="B621" s="4"/>
      <c r="C621" s="10"/>
      <c r="D621" s="11" t="str">
        <f aca="false">IF(K621="","",IFERROR(INDEX(DECKS!$C$2:$C$1201,MATCH(K621,DECKS!$B$2:$B$1201,0)),TRIM(I621&amp;"")))</f>
        <v/>
      </c>
      <c r="E621" s="4"/>
      <c r="F621" s="12"/>
      <c r="G621" s="4"/>
      <c r="H621" s="13" t="str">
        <f aca="false">IF(OR(N(C621)=0,N(F621)=0),"",C621*F621)</f>
        <v/>
      </c>
      <c r="I621" s="4"/>
      <c r="J621" s="11" t="str">
        <f aca="false">IF(K621="","",IF(N(C621)&lt;=0,"Informe a quantidade",IF(IFERROR(INDEX(INVENTÁRIO!$B$2:$B$801,MATCH(K621,INVENTÁRIO!$A$2:$A$801,0)),"")="(sem nome)","Carta fora dos decks: digite o nome na coluna I (opcional)","")))</f>
        <v/>
      </c>
      <c r="K621" s="11" t="str">
        <f aca="false">UPPER(TRIM(SUBSTITUTE(B621&amp;"",CHAR(160)," ")))</f>
        <v/>
      </c>
      <c r="L621" s="11" t="str">
        <f aca="false">IF(AND(K621&lt;&gt;"",TRIM(I621&amp;"")&lt;&gt;""),K621,"")</f>
        <v/>
      </c>
    </row>
    <row r="622" customFormat="false" ht="15" hidden="false" customHeight="false" outlineLevel="0" collapsed="false">
      <c r="A622" s="9"/>
      <c r="B622" s="4"/>
      <c r="C622" s="10"/>
      <c r="D622" s="11" t="str">
        <f aca="false">IF(K622="","",IFERROR(INDEX(DECKS!$C$2:$C$1201,MATCH(K622,DECKS!$B$2:$B$1201,0)),TRIM(I622&amp;"")))</f>
        <v/>
      </c>
      <c r="E622" s="4"/>
      <c r="F622" s="12"/>
      <c r="G622" s="4"/>
      <c r="H622" s="13" t="str">
        <f aca="false">IF(OR(N(C622)=0,N(F622)=0),"",C622*F622)</f>
        <v/>
      </c>
      <c r="I622" s="4"/>
      <c r="J622" s="11" t="str">
        <f aca="false">IF(K622="","",IF(N(C622)&lt;=0,"Informe a quantidade",IF(IFERROR(INDEX(INVENTÁRIO!$B$2:$B$801,MATCH(K622,INVENTÁRIO!$A$2:$A$801,0)),"")="(sem nome)","Carta fora dos decks: digite o nome na coluna I (opcional)","")))</f>
        <v/>
      </c>
      <c r="K622" s="11" t="str">
        <f aca="false">UPPER(TRIM(SUBSTITUTE(B622&amp;"",CHAR(160)," ")))</f>
        <v/>
      </c>
      <c r="L622" s="11" t="str">
        <f aca="false">IF(AND(K622&lt;&gt;"",TRIM(I622&amp;"")&lt;&gt;""),K622,"")</f>
        <v/>
      </c>
    </row>
    <row r="623" customFormat="false" ht="15" hidden="false" customHeight="false" outlineLevel="0" collapsed="false">
      <c r="A623" s="9"/>
      <c r="B623" s="4"/>
      <c r="C623" s="10"/>
      <c r="D623" s="11" t="str">
        <f aca="false">IF(K623="","",IFERROR(INDEX(DECKS!$C$2:$C$1201,MATCH(K623,DECKS!$B$2:$B$1201,0)),TRIM(I623&amp;"")))</f>
        <v/>
      </c>
      <c r="E623" s="4"/>
      <c r="F623" s="12"/>
      <c r="G623" s="4"/>
      <c r="H623" s="13" t="str">
        <f aca="false">IF(OR(N(C623)=0,N(F623)=0),"",C623*F623)</f>
        <v/>
      </c>
      <c r="I623" s="4"/>
      <c r="J623" s="11" t="str">
        <f aca="false">IF(K623="","",IF(N(C623)&lt;=0,"Informe a quantidade",IF(IFERROR(INDEX(INVENTÁRIO!$B$2:$B$801,MATCH(K623,INVENTÁRIO!$A$2:$A$801,0)),"")="(sem nome)","Carta fora dos decks: digite o nome na coluna I (opcional)","")))</f>
        <v/>
      </c>
      <c r="K623" s="11" t="str">
        <f aca="false">UPPER(TRIM(SUBSTITUTE(B623&amp;"",CHAR(160)," ")))</f>
        <v/>
      </c>
      <c r="L623" s="11" t="str">
        <f aca="false">IF(AND(K623&lt;&gt;"",TRIM(I623&amp;"")&lt;&gt;""),K623,"")</f>
        <v/>
      </c>
    </row>
    <row r="624" customFormat="false" ht="15" hidden="false" customHeight="false" outlineLevel="0" collapsed="false">
      <c r="A624" s="9"/>
      <c r="B624" s="4"/>
      <c r="C624" s="10"/>
      <c r="D624" s="11" t="str">
        <f aca="false">IF(K624="","",IFERROR(INDEX(DECKS!$C$2:$C$1201,MATCH(K624,DECKS!$B$2:$B$1201,0)),TRIM(I624&amp;"")))</f>
        <v/>
      </c>
      <c r="E624" s="4"/>
      <c r="F624" s="12"/>
      <c r="G624" s="4"/>
      <c r="H624" s="13" t="str">
        <f aca="false">IF(OR(N(C624)=0,N(F624)=0),"",C624*F624)</f>
        <v/>
      </c>
      <c r="I624" s="4"/>
      <c r="J624" s="11" t="str">
        <f aca="false">IF(K624="","",IF(N(C624)&lt;=0,"Informe a quantidade",IF(IFERROR(INDEX(INVENTÁRIO!$B$2:$B$801,MATCH(K624,INVENTÁRIO!$A$2:$A$801,0)),"")="(sem nome)","Carta fora dos decks: digite o nome na coluna I (opcional)","")))</f>
        <v/>
      </c>
      <c r="K624" s="11" t="str">
        <f aca="false">UPPER(TRIM(SUBSTITUTE(B624&amp;"",CHAR(160)," ")))</f>
        <v/>
      </c>
      <c r="L624" s="11" t="str">
        <f aca="false">IF(AND(K624&lt;&gt;"",TRIM(I624&amp;"")&lt;&gt;""),K624,"")</f>
        <v/>
      </c>
    </row>
    <row r="625" customFormat="false" ht="15" hidden="false" customHeight="false" outlineLevel="0" collapsed="false">
      <c r="A625" s="9"/>
      <c r="B625" s="4"/>
      <c r="C625" s="10"/>
      <c r="D625" s="11" t="str">
        <f aca="false">IF(K625="","",IFERROR(INDEX(DECKS!$C$2:$C$1201,MATCH(K625,DECKS!$B$2:$B$1201,0)),TRIM(I625&amp;"")))</f>
        <v/>
      </c>
      <c r="E625" s="4"/>
      <c r="F625" s="12"/>
      <c r="G625" s="4"/>
      <c r="H625" s="13" t="str">
        <f aca="false">IF(OR(N(C625)=0,N(F625)=0),"",C625*F625)</f>
        <v/>
      </c>
      <c r="I625" s="4"/>
      <c r="J625" s="11" t="str">
        <f aca="false">IF(K625="","",IF(N(C625)&lt;=0,"Informe a quantidade",IF(IFERROR(INDEX(INVENTÁRIO!$B$2:$B$801,MATCH(K625,INVENTÁRIO!$A$2:$A$801,0)),"")="(sem nome)","Carta fora dos decks: digite o nome na coluna I (opcional)","")))</f>
        <v/>
      </c>
      <c r="K625" s="11" t="str">
        <f aca="false">UPPER(TRIM(SUBSTITUTE(B625&amp;"",CHAR(160)," ")))</f>
        <v/>
      </c>
      <c r="L625" s="11" t="str">
        <f aca="false">IF(AND(K625&lt;&gt;"",TRIM(I625&amp;"")&lt;&gt;""),K625,"")</f>
        <v/>
      </c>
    </row>
    <row r="626" customFormat="false" ht="15" hidden="false" customHeight="false" outlineLevel="0" collapsed="false">
      <c r="A626" s="9"/>
      <c r="B626" s="4"/>
      <c r="C626" s="10"/>
      <c r="D626" s="11" t="str">
        <f aca="false">IF(K626="","",IFERROR(INDEX(DECKS!$C$2:$C$1201,MATCH(K626,DECKS!$B$2:$B$1201,0)),TRIM(I626&amp;"")))</f>
        <v/>
      </c>
      <c r="E626" s="4"/>
      <c r="F626" s="12"/>
      <c r="G626" s="4"/>
      <c r="H626" s="13" t="str">
        <f aca="false">IF(OR(N(C626)=0,N(F626)=0),"",C626*F626)</f>
        <v/>
      </c>
      <c r="I626" s="4"/>
      <c r="J626" s="11" t="str">
        <f aca="false">IF(K626="","",IF(N(C626)&lt;=0,"Informe a quantidade",IF(IFERROR(INDEX(INVENTÁRIO!$B$2:$B$801,MATCH(K626,INVENTÁRIO!$A$2:$A$801,0)),"")="(sem nome)","Carta fora dos decks: digite o nome na coluna I (opcional)","")))</f>
        <v/>
      </c>
      <c r="K626" s="11" t="str">
        <f aca="false">UPPER(TRIM(SUBSTITUTE(B626&amp;"",CHAR(160)," ")))</f>
        <v/>
      </c>
      <c r="L626" s="11" t="str">
        <f aca="false">IF(AND(K626&lt;&gt;"",TRIM(I626&amp;"")&lt;&gt;""),K626,"")</f>
        <v/>
      </c>
    </row>
    <row r="627" customFormat="false" ht="15" hidden="false" customHeight="false" outlineLevel="0" collapsed="false">
      <c r="A627" s="9"/>
      <c r="B627" s="4"/>
      <c r="C627" s="10"/>
      <c r="D627" s="11" t="str">
        <f aca="false">IF(K627="","",IFERROR(INDEX(DECKS!$C$2:$C$1201,MATCH(K627,DECKS!$B$2:$B$1201,0)),TRIM(I627&amp;"")))</f>
        <v/>
      </c>
      <c r="E627" s="4"/>
      <c r="F627" s="12"/>
      <c r="G627" s="4"/>
      <c r="H627" s="13" t="str">
        <f aca="false">IF(OR(N(C627)=0,N(F627)=0),"",C627*F627)</f>
        <v/>
      </c>
      <c r="I627" s="4"/>
      <c r="J627" s="11" t="str">
        <f aca="false">IF(K627="","",IF(N(C627)&lt;=0,"Informe a quantidade",IF(IFERROR(INDEX(INVENTÁRIO!$B$2:$B$801,MATCH(K627,INVENTÁRIO!$A$2:$A$801,0)),"")="(sem nome)","Carta fora dos decks: digite o nome na coluna I (opcional)","")))</f>
        <v/>
      </c>
      <c r="K627" s="11" t="str">
        <f aca="false">UPPER(TRIM(SUBSTITUTE(B627&amp;"",CHAR(160)," ")))</f>
        <v/>
      </c>
      <c r="L627" s="11" t="str">
        <f aca="false">IF(AND(K627&lt;&gt;"",TRIM(I627&amp;"")&lt;&gt;""),K627,"")</f>
        <v/>
      </c>
    </row>
    <row r="628" customFormat="false" ht="15" hidden="false" customHeight="false" outlineLevel="0" collapsed="false">
      <c r="A628" s="9"/>
      <c r="B628" s="4"/>
      <c r="C628" s="10"/>
      <c r="D628" s="11" t="str">
        <f aca="false">IF(K628="","",IFERROR(INDEX(DECKS!$C$2:$C$1201,MATCH(K628,DECKS!$B$2:$B$1201,0)),TRIM(I628&amp;"")))</f>
        <v/>
      </c>
      <c r="E628" s="4"/>
      <c r="F628" s="12"/>
      <c r="G628" s="4"/>
      <c r="H628" s="13" t="str">
        <f aca="false">IF(OR(N(C628)=0,N(F628)=0),"",C628*F628)</f>
        <v/>
      </c>
      <c r="I628" s="4"/>
      <c r="J628" s="11" t="str">
        <f aca="false">IF(K628="","",IF(N(C628)&lt;=0,"Informe a quantidade",IF(IFERROR(INDEX(INVENTÁRIO!$B$2:$B$801,MATCH(K628,INVENTÁRIO!$A$2:$A$801,0)),"")="(sem nome)","Carta fora dos decks: digite o nome na coluna I (opcional)","")))</f>
        <v/>
      </c>
      <c r="K628" s="11" t="str">
        <f aca="false">UPPER(TRIM(SUBSTITUTE(B628&amp;"",CHAR(160)," ")))</f>
        <v/>
      </c>
      <c r="L628" s="11" t="str">
        <f aca="false">IF(AND(K628&lt;&gt;"",TRIM(I628&amp;"")&lt;&gt;""),K628,"")</f>
        <v/>
      </c>
    </row>
    <row r="629" customFormat="false" ht="15" hidden="false" customHeight="false" outlineLevel="0" collapsed="false">
      <c r="A629" s="9"/>
      <c r="B629" s="4"/>
      <c r="C629" s="10"/>
      <c r="D629" s="11" t="str">
        <f aca="false">IF(K629="","",IFERROR(INDEX(DECKS!$C$2:$C$1201,MATCH(K629,DECKS!$B$2:$B$1201,0)),TRIM(I629&amp;"")))</f>
        <v/>
      </c>
      <c r="E629" s="4"/>
      <c r="F629" s="12"/>
      <c r="G629" s="4"/>
      <c r="H629" s="13" t="str">
        <f aca="false">IF(OR(N(C629)=0,N(F629)=0),"",C629*F629)</f>
        <v/>
      </c>
      <c r="I629" s="4"/>
      <c r="J629" s="11" t="str">
        <f aca="false">IF(K629="","",IF(N(C629)&lt;=0,"Informe a quantidade",IF(IFERROR(INDEX(INVENTÁRIO!$B$2:$B$801,MATCH(K629,INVENTÁRIO!$A$2:$A$801,0)),"")="(sem nome)","Carta fora dos decks: digite o nome na coluna I (opcional)","")))</f>
        <v/>
      </c>
      <c r="K629" s="11" t="str">
        <f aca="false">UPPER(TRIM(SUBSTITUTE(B629&amp;"",CHAR(160)," ")))</f>
        <v/>
      </c>
      <c r="L629" s="11" t="str">
        <f aca="false">IF(AND(K629&lt;&gt;"",TRIM(I629&amp;"")&lt;&gt;""),K629,"")</f>
        <v/>
      </c>
    </row>
    <row r="630" customFormat="false" ht="15" hidden="false" customHeight="false" outlineLevel="0" collapsed="false">
      <c r="A630" s="9"/>
      <c r="B630" s="4"/>
      <c r="C630" s="10"/>
      <c r="D630" s="11" t="str">
        <f aca="false">IF(K630="","",IFERROR(INDEX(DECKS!$C$2:$C$1201,MATCH(K630,DECKS!$B$2:$B$1201,0)),TRIM(I630&amp;"")))</f>
        <v/>
      </c>
      <c r="E630" s="4"/>
      <c r="F630" s="12"/>
      <c r="G630" s="4"/>
      <c r="H630" s="13" t="str">
        <f aca="false">IF(OR(N(C630)=0,N(F630)=0),"",C630*F630)</f>
        <v/>
      </c>
      <c r="I630" s="4"/>
      <c r="J630" s="11" t="str">
        <f aca="false">IF(K630="","",IF(N(C630)&lt;=0,"Informe a quantidade",IF(IFERROR(INDEX(INVENTÁRIO!$B$2:$B$801,MATCH(K630,INVENTÁRIO!$A$2:$A$801,0)),"")="(sem nome)","Carta fora dos decks: digite o nome na coluna I (opcional)","")))</f>
        <v/>
      </c>
      <c r="K630" s="11" t="str">
        <f aca="false">UPPER(TRIM(SUBSTITUTE(B630&amp;"",CHAR(160)," ")))</f>
        <v/>
      </c>
      <c r="L630" s="11" t="str">
        <f aca="false">IF(AND(K630&lt;&gt;"",TRIM(I630&amp;"")&lt;&gt;""),K630,"")</f>
        <v/>
      </c>
    </row>
    <row r="631" customFormat="false" ht="15" hidden="false" customHeight="false" outlineLevel="0" collapsed="false">
      <c r="A631" s="9"/>
      <c r="B631" s="4"/>
      <c r="C631" s="10"/>
      <c r="D631" s="11" t="str">
        <f aca="false">IF(K631="","",IFERROR(INDEX(DECKS!$C$2:$C$1201,MATCH(K631,DECKS!$B$2:$B$1201,0)),TRIM(I631&amp;"")))</f>
        <v/>
      </c>
      <c r="E631" s="4"/>
      <c r="F631" s="12"/>
      <c r="G631" s="4"/>
      <c r="H631" s="13" t="str">
        <f aca="false">IF(OR(N(C631)=0,N(F631)=0),"",C631*F631)</f>
        <v/>
      </c>
      <c r="I631" s="4"/>
      <c r="J631" s="11" t="str">
        <f aca="false">IF(K631="","",IF(N(C631)&lt;=0,"Informe a quantidade",IF(IFERROR(INDEX(INVENTÁRIO!$B$2:$B$801,MATCH(K631,INVENTÁRIO!$A$2:$A$801,0)),"")="(sem nome)","Carta fora dos decks: digite o nome na coluna I (opcional)","")))</f>
        <v/>
      </c>
      <c r="K631" s="11" t="str">
        <f aca="false">UPPER(TRIM(SUBSTITUTE(B631&amp;"",CHAR(160)," ")))</f>
        <v/>
      </c>
      <c r="L631" s="11" t="str">
        <f aca="false">IF(AND(K631&lt;&gt;"",TRIM(I631&amp;"")&lt;&gt;""),K631,"")</f>
        <v/>
      </c>
    </row>
    <row r="632" customFormat="false" ht="15" hidden="false" customHeight="false" outlineLevel="0" collapsed="false">
      <c r="A632" s="9"/>
      <c r="B632" s="4"/>
      <c r="C632" s="10"/>
      <c r="D632" s="11" t="str">
        <f aca="false">IF(K632="","",IFERROR(INDEX(DECKS!$C$2:$C$1201,MATCH(K632,DECKS!$B$2:$B$1201,0)),TRIM(I632&amp;"")))</f>
        <v/>
      </c>
      <c r="E632" s="4"/>
      <c r="F632" s="12"/>
      <c r="G632" s="4"/>
      <c r="H632" s="13" t="str">
        <f aca="false">IF(OR(N(C632)=0,N(F632)=0),"",C632*F632)</f>
        <v/>
      </c>
      <c r="I632" s="4"/>
      <c r="J632" s="11" t="str">
        <f aca="false">IF(K632="","",IF(N(C632)&lt;=0,"Informe a quantidade",IF(IFERROR(INDEX(INVENTÁRIO!$B$2:$B$801,MATCH(K632,INVENTÁRIO!$A$2:$A$801,0)),"")="(sem nome)","Carta fora dos decks: digite o nome na coluna I (opcional)","")))</f>
        <v/>
      </c>
      <c r="K632" s="11" t="str">
        <f aca="false">UPPER(TRIM(SUBSTITUTE(B632&amp;"",CHAR(160)," ")))</f>
        <v/>
      </c>
      <c r="L632" s="11" t="str">
        <f aca="false">IF(AND(K632&lt;&gt;"",TRIM(I632&amp;"")&lt;&gt;""),K632,"")</f>
        <v/>
      </c>
    </row>
    <row r="633" customFormat="false" ht="15" hidden="false" customHeight="false" outlineLevel="0" collapsed="false">
      <c r="A633" s="9"/>
      <c r="B633" s="4"/>
      <c r="C633" s="10"/>
      <c r="D633" s="11" t="str">
        <f aca="false">IF(K633="","",IFERROR(INDEX(DECKS!$C$2:$C$1201,MATCH(K633,DECKS!$B$2:$B$1201,0)),TRIM(I633&amp;"")))</f>
        <v/>
      </c>
      <c r="E633" s="4"/>
      <c r="F633" s="12"/>
      <c r="G633" s="4"/>
      <c r="H633" s="13" t="str">
        <f aca="false">IF(OR(N(C633)=0,N(F633)=0),"",C633*F633)</f>
        <v/>
      </c>
      <c r="I633" s="4"/>
      <c r="J633" s="11" t="str">
        <f aca="false">IF(K633="","",IF(N(C633)&lt;=0,"Informe a quantidade",IF(IFERROR(INDEX(INVENTÁRIO!$B$2:$B$801,MATCH(K633,INVENTÁRIO!$A$2:$A$801,0)),"")="(sem nome)","Carta fora dos decks: digite o nome na coluna I (opcional)","")))</f>
        <v/>
      </c>
      <c r="K633" s="11" t="str">
        <f aca="false">UPPER(TRIM(SUBSTITUTE(B633&amp;"",CHAR(160)," ")))</f>
        <v/>
      </c>
      <c r="L633" s="11" t="str">
        <f aca="false">IF(AND(K633&lt;&gt;"",TRIM(I633&amp;"")&lt;&gt;""),K633,"")</f>
        <v/>
      </c>
    </row>
    <row r="634" customFormat="false" ht="15" hidden="false" customHeight="false" outlineLevel="0" collapsed="false">
      <c r="A634" s="9"/>
      <c r="B634" s="4"/>
      <c r="C634" s="10"/>
      <c r="D634" s="11" t="str">
        <f aca="false">IF(K634="","",IFERROR(INDEX(DECKS!$C$2:$C$1201,MATCH(K634,DECKS!$B$2:$B$1201,0)),TRIM(I634&amp;"")))</f>
        <v/>
      </c>
      <c r="E634" s="4"/>
      <c r="F634" s="12"/>
      <c r="G634" s="4"/>
      <c r="H634" s="13" t="str">
        <f aca="false">IF(OR(N(C634)=0,N(F634)=0),"",C634*F634)</f>
        <v/>
      </c>
      <c r="I634" s="4"/>
      <c r="J634" s="11" t="str">
        <f aca="false">IF(K634="","",IF(N(C634)&lt;=0,"Informe a quantidade",IF(IFERROR(INDEX(INVENTÁRIO!$B$2:$B$801,MATCH(K634,INVENTÁRIO!$A$2:$A$801,0)),"")="(sem nome)","Carta fora dos decks: digite o nome na coluna I (opcional)","")))</f>
        <v/>
      </c>
      <c r="K634" s="11" t="str">
        <f aca="false">UPPER(TRIM(SUBSTITUTE(B634&amp;"",CHAR(160)," ")))</f>
        <v/>
      </c>
      <c r="L634" s="11" t="str">
        <f aca="false">IF(AND(K634&lt;&gt;"",TRIM(I634&amp;"")&lt;&gt;""),K634,"")</f>
        <v/>
      </c>
    </row>
    <row r="635" customFormat="false" ht="15" hidden="false" customHeight="false" outlineLevel="0" collapsed="false">
      <c r="A635" s="9"/>
      <c r="B635" s="4"/>
      <c r="C635" s="10"/>
      <c r="D635" s="11" t="str">
        <f aca="false">IF(K635="","",IFERROR(INDEX(DECKS!$C$2:$C$1201,MATCH(K635,DECKS!$B$2:$B$1201,0)),TRIM(I635&amp;"")))</f>
        <v/>
      </c>
      <c r="E635" s="4"/>
      <c r="F635" s="12"/>
      <c r="G635" s="4"/>
      <c r="H635" s="13" t="str">
        <f aca="false">IF(OR(N(C635)=0,N(F635)=0),"",C635*F635)</f>
        <v/>
      </c>
      <c r="I635" s="4"/>
      <c r="J635" s="11" t="str">
        <f aca="false">IF(K635="","",IF(N(C635)&lt;=0,"Informe a quantidade",IF(IFERROR(INDEX(INVENTÁRIO!$B$2:$B$801,MATCH(K635,INVENTÁRIO!$A$2:$A$801,0)),"")="(sem nome)","Carta fora dos decks: digite o nome na coluna I (opcional)","")))</f>
        <v/>
      </c>
      <c r="K635" s="11" t="str">
        <f aca="false">UPPER(TRIM(SUBSTITUTE(B635&amp;"",CHAR(160)," ")))</f>
        <v/>
      </c>
      <c r="L635" s="11" t="str">
        <f aca="false">IF(AND(K635&lt;&gt;"",TRIM(I635&amp;"")&lt;&gt;""),K635,"")</f>
        <v/>
      </c>
    </row>
    <row r="636" customFormat="false" ht="15" hidden="false" customHeight="false" outlineLevel="0" collapsed="false">
      <c r="A636" s="9"/>
      <c r="B636" s="4"/>
      <c r="C636" s="10"/>
      <c r="D636" s="11" t="str">
        <f aca="false">IF(K636="","",IFERROR(INDEX(DECKS!$C$2:$C$1201,MATCH(K636,DECKS!$B$2:$B$1201,0)),TRIM(I636&amp;"")))</f>
        <v/>
      </c>
      <c r="E636" s="4"/>
      <c r="F636" s="12"/>
      <c r="G636" s="4"/>
      <c r="H636" s="13" t="str">
        <f aca="false">IF(OR(N(C636)=0,N(F636)=0),"",C636*F636)</f>
        <v/>
      </c>
      <c r="I636" s="4"/>
      <c r="J636" s="11" t="str">
        <f aca="false">IF(K636="","",IF(N(C636)&lt;=0,"Informe a quantidade",IF(IFERROR(INDEX(INVENTÁRIO!$B$2:$B$801,MATCH(K636,INVENTÁRIO!$A$2:$A$801,0)),"")="(sem nome)","Carta fora dos decks: digite o nome na coluna I (opcional)","")))</f>
        <v/>
      </c>
      <c r="K636" s="11" t="str">
        <f aca="false">UPPER(TRIM(SUBSTITUTE(B636&amp;"",CHAR(160)," ")))</f>
        <v/>
      </c>
      <c r="L636" s="11" t="str">
        <f aca="false">IF(AND(K636&lt;&gt;"",TRIM(I636&amp;"")&lt;&gt;""),K636,"")</f>
        <v/>
      </c>
    </row>
    <row r="637" customFormat="false" ht="15" hidden="false" customHeight="false" outlineLevel="0" collapsed="false">
      <c r="A637" s="9"/>
      <c r="B637" s="4"/>
      <c r="C637" s="10"/>
      <c r="D637" s="11" t="str">
        <f aca="false">IF(K637="","",IFERROR(INDEX(DECKS!$C$2:$C$1201,MATCH(K637,DECKS!$B$2:$B$1201,0)),TRIM(I637&amp;"")))</f>
        <v/>
      </c>
      <c r="E637" s="4"/>
      <c r="F637" s="12"/>
      <c r="G637" s="4"/>
      <c r="H637" s="13" t="str">
        <f aca="false">IF(OR(N(C637)=0,N(F637)=0),"",C637*F637)</f>
        <v/>
      </c>
      <c r="I637" s="4"/>
      <c r="J637" s="11" t="str">
        <f aca="false">IF(K637="","",IF(N(C637)&lt;=0,"Informe a quantidade",IF(IFERROR(INDEX(INVENTÁRIO!$B$2:$B$801,MATCH(K637,INVENTÁRIO!$A$2:$A$801,0)),"")="(sem nome)","Carta fora dos decks: digite o nome na coluna I (opcional)","")))</f>
        <v/>
      </c>
      <c r="K637" s="11" t="str">
        <f aca="false">UPPER(TRIM(SUBSTITUTE(B637&amp;"",CHAR(160)," ")))</f>
        <v/>
      </c>
      <c r="L637" s="11" t="str">
        <f aca="false">IF(AND(K637&lt;&gt;"",TRIM(I637&amp;"")&lt;&gt;""),K637,"")</f>
        <v/>
      </c>
    </row>
    <row r="638" customFormat="false" ht="15" hidden="false" customHeight="false" outlineLevel="0" collapsed="false">
      <c r="A638" s="9"/>
      <c r="B638" s="4"/>
      <c r="C638" s="10"/>
      <c r="D638" s="11" t="str">
        <f aca="false">IF(K638="","",IFERROR(INDEX(DECKS!$C$2:$C$1201,MATCH(K638,DECKS!$B$2:$B$1201,0)),TRIM(I638&amp;"")))</f>
        <v/>
      </c>
      <c r="E638" s="4"/>
      <c r="F638" s="12"/>
      <c r="G638" s="4"/>
      <c r="H638" s="13" t="str">
        <f aca="false">IF(OR(N(C638)=0,N(F638)=0),"",C638*F638)</f>
        <v/>
      </c>
      <c r="I638" s="4"/>
      <c r="J638" s="11" t="str">
        <f aca="false">IF(K638="","",IF(N(C638)&lt;=0,"Informe a quantidade",IF(IFERROR(INDEX(INVENTÁRIO!$B$2:$B$801,MATCH(K638,INVENTÁRIO!$A$2:$A$801,0)),"")="(sem nome)","Carta fora dos decks: digite o nome na coluna I (opcional)","")))</f>
        <v/>
      </c>
      <c r="K638" s="11" t="str">
        <f aca="false">UPPER(TRIM(SUBSTITUTE(B638&amp;"",CHAR(160)," ")))</f>
        <v/>
      </c>
      <c r="L638" s="11" t="str">
        <f aca="false">IF(AND(K638&lt;&gt;"",TRIM(I638&amp;"")&lt;&gt;""),K638,"")</f>
        <v/>
      </c>
    </row>
    <row r="639" customFormat="false" ht="15" hidden="false" customHeight="false" outlineLevel="0" collapsed="false">
      <c r="A639" s="9"/>
      <c r="B639" s="4"/>
      <c r="C639" s="10"/>
      <c r="D639" s="11" t="str">
        <f aca="false">IF(K639="","",IFERROR(INDEX(DECKS!$C$2:$C$1201,MATCH(K639,DECKS!$B$2:$B$1201,0)),TRIM(I639&amp;"")))</f>
        <v/>
      </c>
      <c r="E639" s="4"/>
      <c r="F639" s="12"/>
      <c r="G639" s="4"/>
      <c r="H639" s="13" t="str">
        <f aca="false">IF(OR(N(C639)=0,N(F639)=0),"",C639*F639)</f>
        <v/>
      </c>
      <c r="I639" s="4"/>
      <c r="J639" s="11" t="str">
        <f aca="false">IF(K639="","",IF(N(C639)&lt;=0,"Informe a quantidade",IF(IFERROR(INDEX(INVENTÁRIO!$B$2:$B$801,MATCH(K639,INVENTÁRIO!$A$2:$A$801,0)),"")="(sem nome)","Carta fora dos decks: digite o nome na coluna I (opcional)","")))</f>
        <v/>
      </c>
      <c r="K639" s="11" t="str">
        <f aca="false">UPPER(TRIM(SUBSTITUTE(B639&amp;"",CHAR(160)," ")))</f>
        <v/>
      </c>
      <c r="L639" s="11" t="str">
        <f aca="false">IF(AND(K639&lt;&gt;"",TRIM(I639&amp;"")&lt;&gt;""),K639,"")</f>
        <v/>
      </c>
    </row>
    <row r="640" customFormat="false" ht="15" hidden="false" customHeight="false" outlineLevel="0" collapsed="false">
      <c r="A640" s="9"/>
      <c r="B640" s="4"/>
      <c r="C640" s="10"/>
      <c r="D640" s="11" t="str">
        <f aca="false">IF(K640="","",IFERROR(INDEX(DECKS!$C$2:$C$1201,MATCH(K640,DECKS!$B$2:$B$1201,0)),TRIM(I640&amp;"")))</f>
        <v/>
      </c>
      <c r="E640" s="4"/>
      <c r="F640" s="12"/>
      <c r="G640" s="4"/>
      <c r="H640" s="13" t="str">
        <f aca="false">IF(OR(N(C640)=0,N(F640)=0),"",C640*F640)</f>
        <v/>
      </c>
      <c r="I640" s="4"/>
      <c r="J640" s="11" t="str">
        <f aca="false">IF(K640="","",IF(N(C640)&lt;=0,"Informe a quantidade",IF(IFERROR(INDEX(INVENTÁRIO!$B$2:$B$801,MATCH(K640,INVENTÁRIO!$A$2:$A$801,0)),"")="(sem nome)","Carta fora dos decks: digite o nome na coluna I (opcional)","")))</f>
        <v/>
      </c>
      <c r="K640" s="11" t="str">
        <f aca="false">UPPER(TRIM(SUBSTITUTE(B640&amp;"",CHAR(160)," ")))</f>
        <v/>
      </c>
      <c r="L640" s="11" t="str">
        <f aca="false">IF(AND(K640&lt;&gt;"",TRIM(I640&amp;"")&lt;&gt;""),K640,"")</f>
        <v/>
      </c>
    </row>
    <row r="641" customFormat="false" ht="15" hidden="false" customHeight="false" outlineLevel="0" collapsed="false">
      <c r="A641" s="9"/>
      <c r="B641" s="4"/>
      <c r="C641" s="10"/>
      <c r="D641" s="11" t="str">
        <f aca="false">IF(K641="","",IFERROR(INDEX(DECKS!$C$2:$C$1201,MATCH(K641,DECKS!$B$2:$B$1201,0)),TRIM(I641&amp;"")))</f>
        <v/>
      </c>
      <c r="E641" s="4"/>
      <c r="F641" s="12"/>
      <c r="G641" s="4"/>
      <c r="H641" s="13" t="str">
        <f aca="false">IF(OR(N(C641)=0,N(F641)=0),"",C641*F641)</f>
        <v/>
      </c>
      <c r="I641" s="4"/>
      <c r="J641" s="11" t="str">
        <f aca="false">IF(K641="","",IF(N(C641)&lt;=0,"Informe a quantidade",IF(IFERROR(INDEX(INVENTÁRIO!$B$2:$B$801,MATCH(K641,INVENTÁRIO!$A$2:$A$801,0)),"")="(sem nome)","Carta fora dos decks: digite o nome na coluna I (opcional)","")))</f>
        <v/>
      </c>
      <c r="K641" s="11" t="str">
        <f aca="false">UPPER(TRIM(SUBSTITUTE(B641&amp;"",CHAR(160)," ")))</f>
        <v/>
      </c>
      <c r="L641" s="11" t="str">
        <f aca="false">IF(AND(K641&lt;&gt;"",TRIM(I641&amp;"")&lt;&gt;""),K641,"")</f>
        <v/>
      </c>
    </row>
    <row r="642" customFormat="false" ht="15" hidden="false" customHeight="false" outlineLevel="0" collapsed="false">
      <c r="A642" s="9"/>
      <c r="B642" s="4"/>
      <c r="C642" s="10"/>
      <c r="D642" s="11" t="str">
        <f aca="false">IF(K642="","",IFERROR(INDEX(DECKS!$C$2:$C$1201,MATCH(K642,DECKS!$B$2:$B$1201,0)),TRIM(I642&amp;"")))</f>
        <v/>
      </c>
      <c r="E642" s="4"/>
      <c r="F642" s="12"/>
      <c r="G642" s="4"/>
      <c r="H642" s="13" t="str">
        <f aca="false">IF(OR(N(C642)=0,N(F642)=0),"",C642*F642)</f>
        <v/>
      </c>
      <c r="I642" s="4"/>
      <c r="J642" s="11" t="str">
        <f aca="false">IF(K642="","",IF(N(C642)&lt;=0,"Informe a quantidade",IF(IFERROR(INDEX(INVENTÁRIO!$B$2:$B$801,MATCH(K642,INVENTÁRIO!$A$2:$A$801,0)),"")="(sem nome)","Carta fora dos decks: digite o nome na coluna I (opcional)","")))</f>
        <v/>
      </c>
      <c r="K642" s="11" t="str">
        <f aca="false">UPPER(TRIM(SUBSTITUTE(B642&amp;"",CHAR(160)," ")))</f>
        <v/>
      </c>
      <c r="L642" s="11" t="str">
        <f aca="false">IF(AND(K642&lt;&gt;"",TRIM(I642&amp;"")&lt;&gt;""),K642,"")</f>
        <v/>
      </c>
    </row>
    <row r="643" customFormat="false" ht="15" hidden="false" customHeight="false" outlineLevel="0" collapsed="false">
      <c r="A643" s="9"/>
      <c r="B643" s="4"/>
      <c r="C643" s="10"/>
      <c r="D643" s="11" t="str">
        <f aca="false">IF(K643="","",IFERROR(INDEX(DECKS!$C$2:$C$1201,MATCH(K643,DECKS!$B$2:$B$1201,0)),TRIM(I643&amp;"")))</f>
        <v/>
      </c>
      <c r="E643" s="4"/>
      <c r="F643" s="12"/>
      <c r="G643" s="4"/>
      <c r="H643" s="13" t="str">
        <f aca="false">IF(OR(N(C643)=0,N(F643)=0),"",C643*F643)</f>
        <v/>
      </c>
      <c r="I643" s="4"/>
      <c r="J643" s="11" t="str">
        <f aca="false">IF(K643="","",IF(N(C643)&lt;=0,"Informe a quantidade",IF(IFERROR(INDEX(INVENTÁRIO!$B$2:$B$801,MATCH(K643,INVENTÁRIO!$A$2:$A$801,0)),"")="(sem nome)","Carta fora dos decks: digite o nome na coluna I (opcional)","")))</f>
        <v/>
      </c>
      <c r="K643" s="11" t="str">
        <f aca="false">UPPER(TRIM(SUBSTITUTE(B643&amp;"",CHAR(160)," ")))</f>
        <v/>
      </c>
      <c r="L643" s="11" t="str">
        <f aca="false">IF(AND(K643&lt;&gt;"",TRIM(I643&amp;"")&lt;&gt;""),K643,"")</f>
        <v/>
      </c>
    </row>
    <row r="644" customFormat="false" ht="15" hidden="false" customHeight="false" outlineLevel="0" collapsed="false">
      <c r="A644" s="9"/>
      <c r="B644" s="4"/>
      <c r="C644" s="10"/>
      <c r="D644" s="11" t="str">
        <f aca="false">IF(K644="","",IFERROR(INDEX(DECKS!$C$2:$C$1201,MATCH(K644,DECKS!$B$2:$B$1201,0)),TRIM(I644&amp;"")))</f>
        <v/>
      </c>
      <c r="E644" s="4"/>
      <c r="F644" s="12"/>
      <c r="G644" s="4"/>
      <c r="H644" s="13" t="str">
        <f aca="false">IF(OR(N(C644)=0,N(F644)=0),"",C644*F644)</f>
        <v/>
      </c>
      <c r="I644" s="4"/>
      <c r="J644" s="11" t="str">
        <f aca="false">IF(K644="","",IF(N(C644)&lt;=0,"Informe a quantidade",IF(IFERROR(INDEX(INVENTÁRIO!$B$2:$B$801,MATCH(K644,INVENTÁRIO!$A$2:$A$801,0)),"")="(sem nome)","Carta fora dos decks: digite o nome na coluna I (opcional)","")))</f>
        <v/>
      </c>
      <c r="K644" s="11" t="str">
        <f aca="false">UPPER(TRIM(SUBSTITUTE(B644&amp;"",CHAR(160)," ")))</f>
        <v/>
      </c>
      <c r="L644" s="11" t="str">
        <f aca="false">IF(AND(K644&lt;&gt;"",TRIM(I644&amp;"")&lt;&gt;""),K644,"")</f>
        <v/>
      </c>
    </row>
    <row r="645" customFormat="false" ht="15" hidden="false" customHeight="false" outlineLevel="0" collapsed="false">
      <c r="A645" s="9"/>
      <c r="B645" s="4"/>
      <c r="C645" s="10"/>
      <c r="D645" s="11" t="str">
        <f aca="false">IF(K645="","",IFERROR(INDEX(DECKS!$C$2:$C$1201,MATCH(K645,DECKS!$B$2:$B$1201,0)),TRIM(I645&amp;"")))</f>
        <v/>
      </c>
      <c r="E645" s="4"/>
      <c r="F645" s="12"/>
      <c r="G645" s="4"/>
      <c r="H645" s="13" t="str">
        <f aca="false">IF(OR(N(C645)=0,N(F645)=0),"",C645*F645)</f>
        <v/>
      </c>
      <c r="I645" s="4"/>
      <c r="J645" s="11" t="str">
        <f aca="false">IF(K645="","",IF(N(C645)&lt;=0,"Informe a quantidade",IF(IFERROR(INDEX(INVENTÁRIO!$B$2:$B$801,MATCH(K645,INVENTÁRIO!$A$2:$A$801,0)),"")="(sem nome)","Carta fora dos decks: digite o nome na coluna I (opcional)","")))</f>
        <v/>
      </c>
      <c r="K645" s="11" t="str">
        <f aca="false">UPPER(TRIM(SUBSTITUTE(B645&amp;"",CHAR(160)," ")))</f>
        <v/>
      </c>
      <c r="L645" s="11" t="str">
        <f aca="false">IF(AND(K645&lt;&gt;"",TRIM(I645&amp;"")&lt;&gt;""),K645,"")</f>
        <v/>
      </c>
    </row>
    <row r="646" customFormat="false" ht="15" hidden="false" customHeight="false" outlineLevel="0" collapsed="false">
      <c r="A646" s="9"/>
      <c r="B646" s="4"/>
      <c r="C646" s="10"/>
      <c r="D646" s="11" t="str">
        <f aca="false">IF(K646="","",IFERROR(INDEX(DECKS!$C$2:$C$1201,MATCH(K646,DECKS!$B$2:$B$1201,0)),TRIM(I646&amp;"")))</f>
        <v/>
      </c>
      <c r="E646" s="4"/>
      <c r="F646" s="12"/>
      <c r="G646" s="4"/>
      <c r="H646" s="13" t="str">
        <f aca="false">IF(OR(N(C646)=0,N(F646)=0),"",C646*F646)</f>
        <v/>
      </c>
      <c r="I646" s="4"/>
      <c r="J646" s="11" t="str">
        <f aca="false">IF(K646="","",IF(N(C646)&lt;=0,"Informe a quantidade",IF(IFERROR(INDEX(INVENTÁRIO!$B$2:$B$801,MATCH(K646,INVENTÁRIO!$A$2:$A$801,0)),"")="(sem nome)","Carta fora dos decks: digite o nome na coluna I (opcional)","")))</f>
        <v/>
      </c>
      <c r="K646" s="11" t="str">
        <f aca="false">UPPER(TRIM(SUBSTITUTE(B646&amp;"",CHAR(160)," ")))</f>
        <v/>
      </c>
      <c r="L646" s="11" t="str">
        <f aca="false">IF(AND(K646&lt;&gt;"",TRIM(I646&amp;"")&lt;&gt;""),K646,"")</f>
        <v/>
      </c>
    </row>
    <row r="647" customFormat="false" ht="15" hidden="false" customHeight="false" outlineLevel="0" collapsed="false">
      <c r="A647" s="9"/>
      <c r="B647" s="4"/>
      <c r="C647" s="10"/>
      <c r="D647" s="11" t="str">
        <f aca="false">IF(K647="","",IFERROR(INDEX(DECKS!$C$2:$C$1201,MATCH(K647,DECKS!$B$2:$B$1201,0)),TRIM(I647&amp;"")))</f>
        <v/>
      </c>
      <c r="E647" s="4"/>
      <c r="F647" s="12"/>
      <c r="G647" s="4"/>
      <c r="H647" s="13" t="str">
        <f aca="false">IF(OR(N(C647)=0,N(F647)=0),"",C647*F647)</f>
        <v/>
      </c>
      <c r="I647" s="4"/>
      <c r="J647" s="11" t="str">
        <f aca="false">IF(K647="","",IF(N(C647)&lt;=0,"Informe a quantidade",IF(IFERROR(INDEX(INVENTÁRIO!$B$2:$B$801,MATCH(K647,INVENTÁRIO!$A$2:$A$801,0)),"")="(sem nome)","Carta fora dos decks: digite o nome na coluna I (opcional)","")))</f>
        <v/>
      </c>
      <c r="K647" s="11" t="str">
        <f aca="false">UPPER(TRIM(SUBSTITUTE(B647&amp;"",CHAR(160)," ")))</f>
        <v/>
      </c>
      <c r="L647" s="11" t="str">
        <f aca="false">IF(AND(K647&lt;&gt;"",TRIM(I647&amp;"")&lt;&gt;""),K647,"")</f>
        <v/>
      </c>
    </row>
    <row r="648" customFormat="false" ht="15" hidden="false" customHeight="false" outlineLevel="0" collapsed="false">
      <c r="A648" s="9"/>
      <c r="B648" s="4"/>
      <c r="C648" s="10"/>
      <c r="D648" s="11" t="str">
        <f aca="false">IF(K648="","",IFERROR(INDEX(DECKS!$C$2:$C$1201,MATCH(K648,DECKS!$B$2:$B$1201,0)),TRIM(I648&amp;"")))</f>
        <v/>
      </c>
      <c r="E648" s="4"/>
      <c r="F648" s="12"/>
      <c r="G648" s="4"/>
      <c r="H648" s="13" t="str">
        <f aca="false">IF(OR(N(C648)=0,N(F648)=0),"",C648*F648)</f>
        <v/>
      </c>
      <c r="I648" s="4"/>
      <c r="J648" s="11" t="str">
        <f aca="false">IF(K648="","",IF(N(C648)&lt;=0,"Informe a quantidade",IF(IFERROR(INDEX(INVENTÁRIO!$B$2:$B$801,MATCH(K648,INVENTÁRIO!$A$2:$A$801,0)),"")="(sem nome)","Carta fora dos decks: digite o nome na coluna I (opcional)","")))</f>
        <v/>
      </c>
      <c r="K648" s="11" t="str">
        <f aca="false">UPPER(TRIM(SUBSTITUTE(B648&amp;"",CHAR(160)," ")))</f>
        <v/>
      </c>
      <c r="L648" s="11" t="str">
        <f aca="false">IF(AND(K648&lt;&gt;"",TRIM(I648&amp;"")&lt;&gt;""),K648,"")</f>
        <v/>
      </c>
    </row>
    <row r="649" customFormat="false" ht="15" hidden="false" customHeight="false" outlineLevel="0" collapsed="false">
      <c r="A649" s="9"/>
      <c r="B649" s="4"/>
      <c r="C649" s="10"/>
      <c r="D649" s="11" t="str">
        <f aca="false">IF(K649="","",IFERROR(INDEX(DECKS!$C$2:$C$1201,MATCH(K649,DECKS!$B$2:$B$1201,0)),TRIM(I649&amp;"")))</f>
        <v/>
      </c>
      <c r="E649" s="4"/>
      <c r="F649" s="12"/>
      <c r="G649" s="4"/>
      <c r="H649" s="13" t="str">
        <f aca="false">IF(OR(N(C649)=0,N(F649)=0),"",C649*F649)</f>
        <v/>
      </c>
      <c r="I649" s="4"/>
      <c r="J649" s="11" t="str">
        <f aca="false">IF(K649="","",IF(N(C649)&lt;=0,"Informe a quantidade",IF(IFERROR(INDEX(INVENTÁRIO!$B$2:$B$801,MATCH(K649,INVENTÁRIO!$A$2:$A$801,0)),"")="(sem nome)","Carta fora dos decks: digite o nome na coluna I (opcional)","")))</f>
        <v/>
      </c>
      <c r="K649" s="11" t="str">
        <f aca="false">UPPER(TRIM(SUBSTITUTE(B649&amp;"",CHAR(160)," ")))</f>
        <v/>
      </c>
      <c r="L649" s="11" t="str">
        <f aca="false">IF(AND(K649&lt;&gt;"",TRIM(I649&amp;"")&lt;&gt;""),K649,"")</f>
        <v/>
      </c>
    </row>
    <row r="650" customFormat="false" ht="15" hidden="false" customHeight="false" outlineLevel="0" collapsed="false">
      <c r="A650" s="9"/>
      <c r="B650" s="4"/>
      <c r="C650" s="10"/>
      <c r="D650" s="11" t="str">
        <f aca="false">IF(K650="","",IFERROR(INDEX(DECKS!$C$2:$C$1201,MATCH(K650,DECKS!$B$2:$B$1201,0)),TRIM(I650&amp;"")))</f>
        <v/>
      </c>
      <c r="E650" s="4"/>
      <c r="F650" s="12"/>
      <c r="G650" s="4"/>
      <c r="H650" s="13" t="str">
        <f aca="false">IF(OR(N(C650)=0,N(F650)=0),"",C650*F650)</f>
        <v/>
      </c>
      <c r="I650" s="4"/>
      <c r="J650" s="11" t="str">
        <f aca="false">IF(K650="","",IF(N(C650)&lt;=0,"Informe a quantidade",IF(IFERROR(INDEX(INVENTÁRIO!$B$2:$B$801,MATCH(K650,INVENTÁRIO!$A$2:$A$801,0)),"")="(sem nome)","Carta fora dos decks: digite o nome na coluna I (opcional)","")))</f>
        <v/>
      </c>
      <c r="K650" s="11" t="str">
        <f aca="false">UPPER(TRIM(SUBSTITUTE(B650&amp;"",CHAR(160)," ")))</f>
        <v/>
      </c>
      <c r="L650" s="11" t="str">
        <f aca="false">IF(AND(K650&lt;&gt;"",TRIM(I650&amp;"")&lt;&gt;""),K650,"")</f>
        <v/>
      </c>
    </row>
    <row r="651" customFormat="false" ht="15" hidden="false" customHeight="false" outlineLevel="0" collapsed="false">
      <c r="A651" s="9"/>
      <c r="B651" s="4"/>
      <c r="C651" s="10"/>
      <c r="D651" s="11" t="str">
        <f aca="false">IF(K651="","",IFERROR(INDEX(DECKS!$C$2:$C$1201,MATCH(K651,DECKS!$B$2:$B$1201,0)),TRIM(I651&amp;"")))</f>
        <v/>
      </c>
      <c r="E651" s="4"/>
      <c r="F651" s="12"/>
      <c r="G651" s="4"/>
      <c r="H651" s="13" t="str">
        <f aca="false">IF(OR(N(C651)=0,N(F651)=0),"",C651*F651)</f>
        <v/>
      </c>
      <c r="I651" s="4"/>
      <c r="J651" s="11" t="str">
        <f aca="false">IF(K651="","",IF(N(C651)&lt;=0,"Informe a quantidade",IF(IFERROR(INDEX(INVENTÁRIO!$B$2:$B$801,MATCH(K651,INVENTÁRIO!$A$2:$A$801,0)),"")="(sem nome)","Carta fora dos decks: digite o nome na coluna I (opcional)","")))</f>
        <v/>
      </c>
      <c r="K651" s="11" t="str">
        <f aca="false">UPPER(TRIM(SUBSTITUTE(B651&amp;"",CHAR(160)," ")))</f>
        <v/>
      </c>
      <c r="L651" s="11" t="str">
        <f aca="false">IF(AND(K651&lt;&gt;"",TRIM(I651&amp;"")&lt;&gt;""),K651,"")</f>
        <v/>
      </c>
    </row>
    <row r="652" customFormat="false" ht="15" hidden="false" customHeight="false" outlineLevel="0" collapsed="false">
      <c r="A652" s="9"/>
      <c r="B652" s="4"/>
      <c r="C652" s="10"/>
      <c r="D652" s="11" t="str">
        <f aca="false">IF(K652="","",IFERROR(INDEX(DECKS!$C$2:$C$1201,MATCH(K652,DECKS!$B$2:$B$1201,0)),TRIM(I652&amp;"")))</f>
        <v/>
      </c>
      <c r="E652" s="4"/>
      <c r="F652" s="12"/>
      <c r="G652" s="4"/>
      <c r="H652" s="13" t="str">
        <f aca="false">IF(OR(N(C652)=0,N(F652)=0),"",C652*F652)</f>
        <v/>
      </c>
      <c r="I652" s="4"/>
      <c r="J652" s="11" t="str">
        <f aca="false">IF(K652="","",IF(N(C652)&lt;=0,"Informe a quantidade",IF(IFERROR(INDEX(INVENTÁRIO!$B$2:$B$801,MATCH(K652,INVENTÁRIO!$A$2:$A$801,0)),"")="(sem nome)","Carta fora dos decks: digite o nome na coluna I (opcional)","")))</f>
        <v/>
      </c>
      <c r="K652" s="11" t="str">
        <f aca="false">UPPER(TRIM(SUBSTITUTE(B652&amp;"",CHAR(160)," ")))</f>
        <v/>
      </c>
      <c r="L652" s="11" t="str">
        <f aca="false">IF(AND(K652&lt;&gt;"",TRIM(I652&amp;"")&lt;&gt;""),K652,"")</f>
        <v/>
      </c>
    </row>
    <row r="653" customFormat="false" ht="15" hidden="false" customHeight="false" outlineLevel="0" collapsed="false">
      <c r="A653" s="9"/>
      <c r="B653" s="4"/>
      <c r="C653" s="10"/>
      <c r="D653" s="11" t="str">
        <f aca="false">IF(K653="","",IFERROR(INDEX(DECKS!$C$2:$C$1201,MATCH(K653,DECKS!$B$2:$B$1201,0)),TRIM(I653&amp;"")))</f>
        <v/>
      </c>
      <c r="E653" s="4"/>
      <c r="F653" s="12"/>
      <c r="G653" s="4"/>
      <c r="H653" s="13" t="str">
        <f aca="false">IF(OR(N(C653)=0,N(F653)=0),"",C653*F653)</f>
        <v/>
      </c>
      <c r="I653" s="4"/>
      <c r="J653" s="11" t="str">
        <f aca="false">IF(K653="","",IF(N(C653)&lt;=0,"Informe a quantidade",IF(IFERROR(INDEX(INVENTÁRIO!$B$2:$B$801,MATCH(K653,INVENTÁRIO!$A$2:$A$801,0)),"")="(sem nome)","Carta fora dos decks: digite o nome na coluna I (opcional)","")))</f>
        <v/>
      </c>
      <c r="K653" s="11" t="str">
        <f aca="false">UPPER(TRIM(SUBSTITUTE(B653&amp;"",CHAR(160)," ")))</f>
        <v/>
      </c>
      <c r="L653" s="11" t="str">
        <f aca="false">IF(AND(K653&lt;&gt;"",TRIM(I653&amp;"")&lt;&gt;""),K653,"")</f>
        <v/>
      </c>
    </row>
    <row r="654" customFormat="false" ht="15" hidden="false" customHeight="false" outlineLevel="0" collapsed="false">
      <c r="A654" s="9"/>
      <c r="B654" s="4"/>
      <c r="C654" s="10"/>
      <c r="D654" s="11" t="str">
        <f aca="false">IF(K654="","",IFERROR(INDEX(DECKS!$C$2:$C$1201,MATCH(K654,DECKS!$B$2:$B$1201,0)),TRIM(I654&amp;"")))</f>
        <v/>
      </c>
      <c r="E654" s="4"/>
      <c r="F654" s="12"/>
      <c r="G654" s="4"/>
      <c r="H654" s="13" t="str">
        <f aca="false">IF(OR(N(C654)=0,N(F654)=0),"",C654*F654)</f>
        <v/>
      </c>
      <c r="I654" s="4"/>
      <c r="J654" s="11" t="str">
        <f aca="false">IF(K654="","",IF(N(C654)&lt;=0,"Informe a quantidade",IF(IFERROR(INDEX(INVENTÁRIO!$B$2:$B$801,MATCH(K654,INVENTÁRIO!$A$2:$A$801,0)),"")="(sem nome)","Carta fora dos decks: digite o nome na coluna I (opcional)","")))</f>
        <v/>
      </c>
      <c r="K654" s="11" t="str">
        <f aca="false">UPPER(TRIM(SUBSTITUTE(B654&amp;"",CHAR(160)," ")))</f>
        <v/>
      </c>
      <c r="L654" s="11" t="str">
        <f aca="false">IF(AND(K654&lt;&gt;"",TRIM(I654&amp;"")&lt;&gt;""),K654,"")</f>
        <v/>
      </c>
    </row>
    <row r="655" customFormat="false" ht="15" hidden="false" customHeight="false" outlineLevel="0" collapsed="false">
      <c r="A655" s="9"/>
      <c r="B655" s="4"/>
      <c r="C655" s="10"/>
      <c r="D655" s="11" t="str">
        <f aca="false">IF(K655="","",IFERROR(INDEX(DECKS!$C$2:$C$1201,MATCH(K655,DECKS!$B$2:$B$1201,0)),TRIM(I655&amp;"")))</f>
        <v/>
      </c>
      <c r="E655" s="4"/>
      <c r="F655" s="12"/>
      <c r="G655" s="4"/>
      <c r="H655" s="13" t="str">
        <f aca="false">IF(OR(N(C655)=0,N(F655)=0),"",C655*F655)</f>
        <v/>
      </c>
      <c r="I655" s="4"/>
      <c r="J655" s="11" t="str">
        <f aca="false">IF(K655="","",IF(N(C655)&lt;=0,"Informe a quantidade",IF(IFERROR(INDEX(INVENTÁRIO!$B$2:$B$801,MATCH(K655,INVENTÁRIO!$A$2:$A$801,0)),"")="(sem nome)","Carta fora dos decks: digite o nome na coluna I (opcional)","")))</f>
        <v/>
      </c>
      <c r="K655" s="11" t="str">
        <f aca="false">UPPER(TRIM(SUBSTITUTE(B655&amp;"",CHAR(160)," ")))</f>
        <v/>
      </c>
      <c r="L655" s="11" t="str">
        <f aca="false">IF(AND(K655&lt;&gt;"",TRIM(I655&amp;"")&lt;&gt;""),K655,"")</f>
        <v/>
      </c>
    </row>
    <row r="656" customFormat="false" ht="15" hidden="false" customHeight="false" outlineLevel="0" collapsed="false">
      <c r="A656" s="9"/>
      <c r="B656" s="4"/>
      <c r="C656" s="10"/>
      <c r="D656" s="11" t="str">
        <f aca="false">IF(K656="","",IFERROR(INDEX(DECKS!$C$2:$C$1201,MATCH(K656,DECKS!$B$2:$B$1201,0)),TRIM(I656&amp;"")))</f>
        <v/>
      </c>
      <c r="E656" s="4"/>
      <c r="F656" s="12"/>
      <c r="G656" s="4"/>
      <c r="H656" s="13" t="str">
        <f aca="false">IF(OR(N(C656)=0,N(F656)=0),"",C656*F656)</f>
        <v/>
      </c>
      <c r="I656" s="4"/>
      <c r="J656" s="11" t="str">
        <f aca="false">IF(K656="","",IF(N(C656)&lt;=0,"Informe a quantidade",IF(IFERROR(INDEX(INVENTÁRIO!$B$2:$B$801,MATCH(K656,INVENTÁRIO!$A$2:$A$801,0)),"")="(sem nome)","Carta fora dos decks: digite o nome na coluna I (opcional)","")))</f>
        <v/>
      </c>
      <c r="K656" s="11" t="str">
        <f aca="false">UPPER(TRIM(SUBSTITUTE(B656&amp;"",CHAR(160)," ")))</f>
        <v/>
      </c>
      <c r="L656" s="11" t="str">
        <f aca="false">IF(AND(K656&lt;&gt;"",TRIM(I656&amp;"")&lt;&gt;""),K656,"")</f>
        <v/>
      </c>
    </row>
    <row r="657" customFormat="false" ht="15" hidden="false" customHeight="false" outlineLevel="0" collapsed="false">
      <c r="A657" s="9"/>
      <c r="B657" s="4"/>
      <c r="C657" s="10"/>
      <c r="D657" s="11" t="str">
        <f aca="false">IF(K657="","",IFERROR(INDEX(DECKS!$C$2:$C$1201,MATCH(K657,DECKS!$B$2:$B$1201,0)),TRIM(I657&amp;"")))</f>
        <v/>
      </c>
      <c r="E657" s="4"/>
      <c r="F657" s="12"/>
      <c r="G657" s="4"/>
      <c r="H657" s="13" t="str">
        <f aca="false">IF(OR(N(C657)=0,N(F657)=0),"",C657*F657)</f>
        <v/>
      </c>
      <c r="I657" s="4"/>
      <c r="J657" s="11" t="str">
        <f aca="false">IF(K657="","",IF(N(C657)&lt;=0,"Informe a quantidade",IF(IFERROR(INDEX(INVENTÁRIO!$B$2:$B$801,MATCH(K657,INVENTÁRIO!$A$2:$A$801,0)),"")="(sem nome)","Carta fora dos decks: digite o nome na coluna I (opcional)","")))</f>
        <v/>
      </c>
      <c r="K657" s="11" t="str">
        <f aca="false">UPPER(TRIM(SUBSTITUTE(B657&amp;"",CHAR(160)," ")))</f>
        <v/>
      </c>
      <c r="L657" s="11" t="str">
        <f aca="false">IF(AND(K657&lt;&gt;"",TRIM(I657&amp;"")&lt;&gt;""),K657,"")</f>
        <v/>
      </c>
    </row>
    <row r="658" customFormat="false" ht="15" hidden="false" customHeight="false" outlineLevel="0" collapsed="false">
      <c r="A658" s="9"/>
      <c r="B658" s="4"/>
      <c r="C658" s="10"/>
      <c r="D658" s="11" t="str">
        <f aca="false">IF(K658="","",IFERROR(INDEX(DECKS!$C$2:$C$1201,MATCH(K658,DECKS!$B$2:$B$1201,0)),TRIM(I658&amp;"")))</f>
        <v/>
      </c>
      <c r="E658" s="4"/>
      <c r="F658" s="12"/>
      <c r="G658" s="4"/>
      <c r="H658" s="13" t="str">
        <f aca="false">IF(OR(N(C658)=0,N(F658)=0),"",C658*F658)</f>
        <v/>
      </c>
      <c r="I658" s="4"/>
      <c r="J658" s="11" t="str">
        <f aca="false">IF(K658="","",IF(N(C658)&lt;=0,"Informe a quantidade",IF(IFERROR(INDEX(INVENTÁRIO!$B$2:$B$801,MATCH(K658,INVENTÁRIO!$A$2:$A$801,0)),"")="(sem nome)","Carta fora dos decks: digite o nome na coluna I (opcional)","")))</f>
        <v/>
      </c>
      <c r="K658" s="11" t="str">
        <f aca="false">UPPER(TRIM(SUBSTITUTE(B658&amp;"",CHAR(160)," ")))</f>
        <v/>
      </c>
      <c r="L658" s="11" t="str">
        <f aca="false">IF(AND(K658&lt;&gt;"",TRIM(I658&amp;"")&lt;&gt;""),K658,"")</f>
        <v/>
      </c>
    </row>
    <row r="659" customFormat="false" ht="15" hidden="false" customHeight="false" outlineLevel="0" collapsed="false">
      <c r="A659" s="9"/>
      <c r="B659" s="4"/>
      <c r="C659" s="10"/>
      <c r="D659" s="11" t="str">
        <f aca="false">IF(K659="","",IFERROR(INDEX(DECKS!$C$2:$C$1201,MATCH(K659,DECKS!$B$2:$B$1201,0)),TRIM(I659&amp;"")))</f>
        <v/>
      </c>
      <c r="E659" s="4"/>
      <c r="F659" s="12"/>
      <c r="G659" s="4"/>
      <c r="H659" s="13" t="str">
        <f aca="false">IF(OR(N(C659)=0,N(F659)=0),"",C659*F659)</f>
        <v/>
      </c>
      <c r="I659" s="4"/>
      <c r="J659" s="11" t="str">
        <f aca="false">IF(K659="","",IF(N(C659)&lt;=0,"Informe a quantidade",IF(IFERROR(INDEX(INVENTÁRIO!$B$2:$B$801,MATCH(K659,INVENTÁRIO!$A$2:$A$801,0)),"")="(sem nome)","Carta fora dos decks: digite o nome na coluna I (opcional)","")))</f>
        <v/>
      </c>
      <c r="K659" s="11" t="str">
        <f aca="false">UPPER(TRIM(SUBSTITUTE(B659&amp;"",CHAR(160)," ")))</f>
        <v/>
      </c>
      <c r="L659" s="11" t="str">
        <f aca="false">IF(AND(K659&lt;&gt;"",TRIM(I659&amp;"")&lt;&gt;""),K659,"")</f>
        <v/>
      </c>
    </row>
    <row r="660" customFormat="false" ht="15" hidden="false" customHeight="false" outlineLevel="0" collapsed="false">
      <c r="A660" s="9"/>
      <c r="B660" s="4"/>
      <c r="C660" s="10"/>
      <c r="D660" s="11" t="str">
        <f aca="false">IF(K660="","",IFERROR(INDEX(DECKS!$C$2:$C$1201,MATCH(K660,DECKS!$B$2:$B$1201,0)),TRIM(I660&amp;"")))</f>
        <v/>
      </c>
      <c r="E660" s="4"/>
      <c r="F660" s="12"/>
      <c r="G660" s="4"/>
      <c r="H660" s="13" t="str">
        <f aca="false">IF(OR(N(C660)=0,N(F660)=0),"",C660*F660)</f>
        <v/>
      </c>
      <c r="I660" s="4"/>
      <c r="J660" s="11" t="str">
        <f aca="false">IF(K660="","",IF(N(C660)&lt;=0,"Informe a quantidade",IF(IFERROR(INDEX(INVENTÁRIO!$B$2:$B$801,MATCH(K660,INVENTÁRIO!$A$2:$A$801,0)),"")="(sem nome)","Carta fora dos decks: digite o nome na coluna I (opcional)","")))</f>
        <v/>
      </c>
      <c r="K660" s="11" t="str">
        <f aca="false">UPPER(TRIM(SUBSTITUTE(B660&amp;"",CHAR(160)," ")))</f>
        <v/>
      </c>
      <c r="L660" s="11" t="str">
        <f aca="false">IF(AND(K660&lt;&gt;"",TRIM(I660&amp;"")&lt;&gt;""),K660,"")</f>
        <v/>
      </c>
    </row>
    <row r="661" customFormat="false" ht="15" hidden="false" customHeight="false" outlineLevel="0" collapsed="false">
      <c r="A661" s="9"/>
      <c r="B661" s="4"/>
      <c r="C661" s="10"/>
      <c r="D661" s="11" t="str">
        <f aca="false">IF(K661="","",IFERROR(INDEX(DECKS!$C$2:$C$1201,MATCH(K661,DECKS!$B$2:$B$1201,0)),TRIM(I661&amp;"")))</f>
        <v/>
      </c>
      <c r="E661" s="4"/>
      <c r="F661" s="12"/>
      <c r="G661" s="4"/>
      <c r="H661" s="13" t="str">
        <f aca="false">IF(OR(N(C661)=0,N(F661)=0),"",C661*F661)</f>
        <v/>
      </c>
      <c r="I661" s="4"/>
      <c r="J661" s="11" t="str">
        <f aca="false">IF(K661="","",IF(N(C661)&lt;=0,"Informe a quantidade",IF(IFERROR(INDEX(INVENTÁRIO!$B$2:$B$801,MATCH(K661,INVENTÁRIO!$A$2:$A$801,0)),"")="(sem nome)","Carta fora dos decks: digite o nome na coluna I (opcional)","")))</f>
        <v/>
      </c>
      <c r="K661" s="11" t="str">
        <f aca="false">UPPER(TRIM(SUBSTITUTE(B661&amp;"",CHAR(160)," ")))</f>
        <v/>
      </c>
      <c r="L661" s="11" t="str">
        <f aca="false">IF(AND(K661&lt;&gt;"",TRIM(I661&amp;"")&lt;&gt;""),K661,"")</f>
        <v/>
      </c>
    </row>
    <row r="662" customFormat="false" ht="15" hidden="false" customHeight="false" outlineLevel="0" collapsed="false">
      <c r="A662" s="9"/>
      <c r="B662" s="4"/>
      <c r="C662" s="10"/>
      <c r="D662" s="11" t="str">
        <f aca="false">IF(K662="","",IFERROR(INDEX(DECKS!$C$2:$C$1201,MATCH(K662,DECKS!$B$2:$B$1201,0)),TRIM(I662&amp;"")))</f>
        <v/>
      </c>
      <c r="E662" s="4"/>
      <c r="F662" s="12"/>
      <c r="G662" s="4"/>
      <c r="H662" s="13" t="str">
        <f aca="false">IF(OR(N(C662)=0,N(F662)=0),"",C662*F662)</f>
        <v/>
      </c>
      <c r="I662" s="4"/>
      <c r="J662" s="11" t="str">
        <f aca="false">IF(K662="","",IF(N(C662)&lt;=0,"Informe a quantidade",IF(IFERROR(INDEX(INVENTÁRIO!$B$2:$B$801,MATCH(K662,INVENTÁRIO!$A$2:$A$801,0)),"")="(sem nome)","Carta fora dos decks: digite o nome na coluna I (opcional)","")))</f>
        <v/>
      </c>
      <c r="K662" s="11" t="str">
        <f aca="false">UPPER(TRIM(SUBSTITUTE(B662&amp;"",CHAR(160)," ")))</f>
        <v/>
      </c>
      <c r="L662" s="11" t="str">
        <f aca="false">IF(AND(K662&lt;&gt;"",TRIM(I662&amp;"")&lt;&gt;""),K662,"")</f>
        <v/>
      </c>
    </row>
    <row r="663" customFormat="false" ht="15" hidden="false" customHeight="false" outlineLevel="0" collapsed="false">
      <c r="A663" s="9"/>
      <c r="B663" s="4"/>
      <c r="C663" s="10"/>
      <c r="D663" s="11" t="str">
        <f aca="false">IF(K663="","",IFERROR(INDEX(DECKS!$C$2:$C$1201,MATCH(K663,DECKS!$B$2:$B$1201,0)),TRIM(I663&amp;"")))</f>
        <v/>
      </c>
      <c r="E663" s="4"/>
      <c r="F663" s="12"/>
      <c r="G663" s="4"/>
      <c r="H663" s="13" t="str">
        <f aca="false">IF(OR(N(C663)=0,N(F663)=0),"",C663*F663)</f>
        <v/>
      </c>
      <c r="I663" s="4"/>
      <c r="J663" s="11" t="str">
        <f aca="false">IF(K663="","",IF(N(C663)&lt;=0,"Informe a quantidade",IF(IFERROR(INDEX(INVENTÁRIO!$B$2:$B$801,MATCH(K663,INVENTÁRIO!$A$2:$A$801,0)),"")="(sem nome)","Carta fora dos decks: digite o nome na coluna I (opcional)","")))</f>
        <v/>
      </c>
      <c r="K663" s="11" t="str">
        <f aca="false">UPPER(TRIM(SUBSTITUTE(B663&amp;"",CHAR(160)," ")))</f>
        <v/>
      </c>
      <c r="L663" s="11" t="str">
        <f aca="false">IF(AND(K663&lt;&gt;"",TRIM(I663&amp;"")&lt;&gt;""),K663,"")</f>
        <v/>
      </c>
    </row>
    <row r="664" customFormat="false" ht="15" hidden="false" customHeight="false" outlineLevel="0" collapsed="false">
      <c r="A664" s="9"/>
      <c r="B664" s="4"/>
      <c r="C664" s="10"/>
      <c r="D664" s="11" t="str">
        <f aca="false">IF(K664="","",IFERROR(INDEX(DECKS!$C$2:$C$1201,MATCH(K664,DECKS!$B$2:$B$1201,0)),TRIM(I664&amp;"")))</f>
        <v/>
      </c>
      <c r="E664" s="4"/>
      <c r="F664" s="12"/>
      <c r="G664" s="4"/>
      <c r="H664" s="13" t="str">
        <f aca="false">IF(OR(N(C664)=0,N(F664)=0),"",C664*F664)</f>
        <v/>
      </c>
      <c r="I664" s="4"/>
      <c r="J664" s="11" t="str">
        <f aca="false">IF(K664="","",IF(N(C664)&lt;=0,"Informe a quantidade",IF(IFERROR(INDEX(INVENTÁRIO!$B$2:$B$801,MATCH(K664,INVENTÁRIO!$A$2:$A$801,0)),"")="(sem nome)","Carta fora dos decks: digite o nome na coluna I (opcional)","")))</f>
        <v/>
      </c>
      <c r="K664" s="11" t="str">
        <f aca="false">UPPER(TRIM(SUBSTITUTE(B664&amp;"",CHAR(160)," ")))</f>
        <v/>
      </c>
      <c r="L664" s="11" t="str">
        <f aca="false">IF(AND(K664&lt;&gt;"",TRIM(I664&amp;"")&lt;&gt;""),K664,"")</f>
        <v/>
      </c>
    </row>
    <row r="665" customFormat="false" ht="15" hidden="false" customHeight="false" outlineLevel="0" collapsed="false">
      <c r="A665" s="9"/>
      <c r="B665" s="4"/>
      <c r="C665" s="10"/>
      <c r="D665" s="11" t="str">
        <f aca="false">IF(K665="","",IFERROR(INDEX(DECKS!$C$2:$C$1201,MATCH(K665,DECKS!$B$2:$B$1201,0)),TRIM(I665&amp;"")))</f>
        <v/>
      </c>
      <c r="E665" s="4"/>
      <c r="F665" s="12"/>
      <c r="G665" s="4"/>
      <c r="H665" s="13" t="str">
        <f aca="false">IF(OR(N(C665)=0,N(F665)=0),"",C665*F665)</f>
        <v/>
      </c>
      <c r="I665" s="4"/>
      <c r="J665" s="11" t="str">
        <f aca="false">IF(K665="","",IF(N(C665)&lt;=0,"Informe a quantidade",IF(IFERROR(INDEX(INVENTÁRIO!$B$2:$B$801,MATCH(K665,INVENTÁRIO!$A$2:$A$801,0)),"")="(sem nome)","Carta fora dos decks: digite o nome na coluna I (opcional)","")))</f>
        <v/>
      </c>
      <c r="K665" s="11" t="str">
        <f aca="false">UPPER(TRIM(SUBSTITUTE(B665&amp;"",CHAR(160)," ")))</f>
        <v/>
      </c>
      <c r="L665" s="11" t="str">
        <f aca="false">IF(AND(K665&lt;&gt;"",TRIM(I665&amp;"")&lt;&gt;""),K665,"")</f>
        <v/>
      </c>
    </row>
    <row r="666" customFormat="false" ht="15" hidden="false" customHeight="false" outlineLevel="0" collapsed="false">
      <c r="A666" s="9"/>
      <c r="B666" s="4"/>
      <c r="C666" s="10"/>
      <c r="D666" s="11" t="str">
        <f aca="false">IF(K666="","",IFERROR(INDEX(DECKS!$C$2:$C$1201,MATCH(K666,DECKS!$B$2:$B$1201,0)),TRIM(I666&amp;"")))</f>
        <v/>
      </c>
      <c r="E666" s="4"/>
      <c r="F666" s="12"/>
      <c r="G666" s="4"/>
      <c r="H666" s="13" t="str">
        <f aca="false">IF(OR(N(C666)=0,N(F666)=0),"",C666*F666)</f>
        <v/>
      </c>
      <c r="I666" s="4"/>
      <c r="J666" s="11" t="str">
        <f aca="false">IF(K666="","",IF(N(C666)&lt;=0,"Informe a quantidade",IF(IFERROR(INDEX(INVENTÁRIO!$B$2:$B$801,MATCH(K666,INVENTÁRIO!$A$2:$A$801,0)),"")="(sem nome)","Carta fora dos decks: digite o nome na coluna I (opcional)","")))</f>
        <v/>
      </c>
      <c r="K666" s="11" t="str">
        <f aca="false">UPPER(TRIM(SUBSTITUTE(B666&amp;"",CHAR(160)," ")))</f>
        <v/>
      </c>
      <c r="L666" s="11" t="str">
        <f aca="false">IF(AND(K666&lt;&gt;"",TRIM(I666&amp;"")&lt;&gt;""),K666,"")</f>
        <v/>
      </c>
    </row>
    <row r="667" customFormat="false" ht="15" hidden="false" customHeight="false" outlineLevel="0" collapsed="false">
      <c r="A667" s="9"/>
      <c r="B667" s="4"/>
      <c r="C667" s="10"/>
      <c r="D667" s="11" t="str">
        <f aca="false">IF(K667="","",IFERROR(INDEX(DECKS!$C$2:$C$1201,MATCH(K667,DECKS!$B$2:$B$1201,0)),TRIM(I667&amp;"")))</f>
        <v/>
      </c>
      <c r="E667" s="4"/>
      <c r="F667" s="12"/>
      <c r="G667" s="4"/>
      <c r="H667" s="13" t="str">
        <f aca="false">IF(OR(N(C667)=0,N(F667)=0),"",C667*F667)</f>
        <v/>
      </c>
      <c r="I667" s="4"/>
      <c r="J667" s="11" t="str">
        <f aca="false">IF(K667="","",IF(N(C667)&lt;=0,"Informe a quantidade",IF(IFERROR(INDEX(INVENTÁRIO!$B$2:$B$801,MATCH(K667,INVENTÁRIO!$A$2:$A$801,0)),"")="(sem nome)","Carta fora dos decks: digite o nome na coluna I (opcional)","")))</f>
        <v/>
      </c>
      <c r="K667" s="11" t="str">
        <f aca="false">UPPER(TRIM(SUBSTITUTE(B667&amp;"",CHAR(160)," ")))</f>
        <v/>
      </c>
      <c r="L667" s="11" t="str">
        <f aca="false">IF(AND(K667&lt;&gt;"",TRIM(I667&amp;"")&lt;&gt;""),K667,"")</f>
        <v/>
      </c>
    </row>
    <row r="668" customFormat="false" ht="15" hidden="false" customHeight="false" outlineLevel="0" collapsed="false">
      <c r="A668" s="9"/>
      <c r="B668" s="4"/>
      <c r="C668" s="10"/>
      <c r="D668" s="11" t="str">
        <f aca="false">IF(K668="","",IFERROR(INDEX(DECKS!$C$2:$C$1201,MATCH(K668,DECKS!$B$2:$B$1201,0)),TRIM(I668&amp;"")))</f>
        <v/>
      </c>
      <c r="E668" s="4"/>
      <c r="F668" s="12"/>
      <c r="G668" s="4"/>
      <c r="H668" s="13" t="str">
        <f aca="false">IF(OR(N(C668)=0,N(F668)=0),"",C668*F668)</f>
        <v/>
      </c>
      <c r="I668" s="4"/>
      <c r="J668" s="11" t="str">
        <f aca="false">IF(K668="","",IF(N(C668)&lt;=0,"Informe a quantidade",IF(IFERROR(INDEX(INVENTÁRIO!$B$2:$B$801,MATCH(K668,INVENTÁRIO!$A$2:$A$801,0)),"")="(sem nome)","Carta fora dos decks: digite o nome na coluna I (opcional)","")))</f>
        <v/>
      </c>
      <c r="K668" s="11" t="str">
        <f aca="false">UPPER(TRIM(SUBSTITUTE(B668&amp;"",CHAR(160)," ")))</f>
        <v/>
      </c>
      <c r="L668" s="11" t="str">
        <f aca="false">IF(AND(K668&lt;&gt;"",TRIM(I668&amp;"")&lt;&gt;""),K668,"")</f>
        <v/>
      </c>
    </row>
    <row r="669" customFormat="false" ht="15" hidden="false" customHeight="false" outlineLevel="0" collapsed="false">
      <c r="A669" s="9"/>
      <c r="B669" s="4"/>
      <c r="C669" s="10"/>
      <c r="D669" s="11" t="str">
        <f aca="false">IF(K669="","",IFERROR(INDEX(DECKS!$C$2:$C$1201,MATCH(K669,DECKS!$B$2:$B$1201,0)),TRIM(I669&amp;"")))</f>
        <v/>
      </c>
      <c r="E669" s="4"/>
      <c r="F669" s="12"/>
      <c r="G669" s="4"/>
      <c r="H669" s="13" t="str">
        <f aca="false">IF(OR(N(C669)=0,N(F669)=0),"",C669*F669)</f>
        <v/>
      </c>
      <c r="I669" s="4"/>
      <c r="J669" s="11" t="str">
        <f aca="false">IF(K669="","",IF(N(C669)&lt;=0,"Informe a quantidade",IF(IFERROR(INDEX(INVENTÁRIO!$B$2:$B$801,MATCH(K669,INVENTÁRIO!$A$2:$A$801,0)),"")="(sem nome)","Carta fora dos decks: digite o nome na coluna I (opcional)","")))</f>
        <v/>
      </c>
      <c r="K669" s="11" t="str">
        <f aca="false">UPPER(TRIM(SUBSTITUTE(B669&amp;"",CHAR(160)," ")))</f>
        <v/>
      </c>
      <c r="L669" s="11" t="str">
        <f aca="false">IF(AND(K669&lt;&gt;"",TRIM(I669&amp;"")&lt;&gt;""),K669,"")</f>
        <v/>
      </c>
    </row>
    <row r="670" customFormat="false" ht="15" hidden="false" customHeight="false" outlineLevel="0" collapsed="false">
      <c r="A670" s="9"/>
      <c r="B670" s="4"/>
      <c r="C670" s="10"/>
      <c r="D670" s="11" t="str">
        <f aca="false">IF(K670="","",IFERROR(INDEX(DECKS!$C$2:$C$1201,MATCH(K670,DECKS!$B$2:$B$1201,0)),TRIM(I670&amp;"")))</f>
        <v/>
      </c>
      <c r="E670" s="4"/>
      <c r="F670" s="12"/>
      <c r="G670" s="4"/>
      <c r="H670" s="13" t="str">
        <f aca="false">IF(OR(N(C670)=0,N(F670)=0),"",C670*F670)</f>
        <v/>
      </c>
      <c r="I670" s="4"/>
      <c r="J670" s="11" t="str">
        <f aca="false">IF(K670="","",IF(N(C670)&lt;=0,"Informe a quantidade",IF(IFERROR(INDEX(INVENTÁRIO!$B$2:$B$801,MATCH(K670,INVENTÁRIO!$A$2:$A$801,0)),"")="(sem nome)","Carta fora dos decks: digite o nome na coluna I (opcional)","")))</f>
        <v/>
      </c>
      <c r="K670" s="11" t="str">
        <f aca="false">UPPER(TRIM(SUBSTITUTE(B670&amp;"",CHAR(160)," ")))</f>
        <v/>
      </c>
      <c r="L670" s="11" t="str">
        <f aca="false">IF(AND(K670&lt;&gt;"",TRIM(I670&amp;"")&lt;&gt;""),K670,"")</f>
        <v/>
      </c>
    </row>
    <row r="671" customFormat="false" ht="15" hidden="false" customHeight="false" outlineLevel="0" collapsed="false">
      <c r="A671" s="9"/>
      <c r="B671" s="4"/>
      <c r="C671" s="10"/>
      <c r="D671" s="11" t="str">
        <f aca="false">IF(K671="","",IFERROR(INDEX(DECKS!$C$2:$C$1201,MATCH(K671,DECKS!$B$2:$B$1201,0)),TRIM(I671&amp;"")))</f>
        <v/>
      </c>
      <c r="E671" s="4"/>
      <c r="F671" s="12"/>
      <c r="G671" s="4"/>
      <c r="H671" s="13" t="str">
        <f aca="false">IF(OR(N(C671)=0,N(F671)=0),"",C671*F671)</f>
        <v/>
      </c>
      <c r="I671" s="4"/>
      <c r="J671" s="11" t="str">
        <f aca="false">IF(K671="","",IF(N(C671)&lt;=0,"Informe a quantidade",IF(IFERROR(INDEX(INVENTÁRIO!$B$2:$B$801,MATCH(K671,INVENTÁRIO!$A$2:$A$801,0)),"")="(sem nome)","Carta fora dos decks: digite o nome na coluna I (opcional)","")))</f>
        <v/>
      </c>
      <c r="K671" s="11" t="str">
        <f aca="false">UPPER(TRIM(SUBSTITUTE(B671&amp;"",CHAR(160)," ")))</f>
        <v/>
      </c>
      <c r="L671" s="11" t="str">
        <f aca="false">IF(AND(K671&lt;&gt;"",TRIM(I671&amp;"")&lt;&gt;""),K671,"")</f>
        <v/>
      </c>
    </row>
    <row r="672" customFormat="false" ht="15" hidden="false" customHeight="false" outlineLevel="0" collapsed="false">
      <c r="A672" s="9"/>
      <c r="B672" s="4"/>
      <c r="C672" s="10"/>
      <c r="D672" s="11" t="str">
        <f aca="false">IF(K672="","",IFERROR(INDEX(DECKS!$C$2:$C$1201,MATCH(K672,DECKS!$B$2:$B$1201,0)),TRIM(I672&amp;"")))</f>
        <v/>
      </c>
      <c r="E672" s="4"/>
      <c r="F672" s="12"/>
      <c r="G672" s="4"/>
      <c r="H672" s="13" t="str">
        <f aca="false">IF(OR(N(C672)=0,N(F672)=0),"",C672*F672)</f>
        <v/>
      </c>
      <c r="I672" s="4"/>
      <c r="J672" s="11" t="str">
        <f aca="false">IF(K672="","",IF(N(C672)&lt;=0,"Informe a quantidade",IF(IFERROR(INDEX(INVENTÁRIO!$B$2:$B$801,MATCH(K672,INVENTÁRIO!$A$2:$A$801,0)),"")="(sem nome)","Carta fora dos decks: digite o nome na coluna I (opcional)","")))</f>
        <v/>
      </c>
      <c r="K672" s="11" t="str">
        <f aca="false">UPPER(TRIM(SUBSTITUTE(B672&amp;"",CHAR(160)," ")))</f>
        <v/>
      </c>
      <c r="L672" s="11" t="str">
        <f aca="false">IF(AND(K672&lt;&gt;"",TRIM(I672&amp;"")&lt;&gt;""),K672,"")</f>
        <v/>
      </c>
    </row>
    <row r="673" customFormat="false" ht="15" hidden="false" customHeight="false" outlineLevel="0" collapsed="false">
      <c r="A673" s="9"/>
      <c r="B673" s="4"/>
      <c r="C673" s="10"/>
      <c r="D673" s="11" t="str">
        <f aca="false">IF(K673="","",IFERROR(INDEX(DECKS!$C$2:$C$1201,MATCH(K673,DECKS!$B$2:$B$1201,0)),TRIM(I673&amp;"")))</f>
        <v/>
      </c>
      <c r="E673" s="4"/>
      <c r="F673" s="12"/>
      <c r="G673" s="4"/>
      <c r="H673" s="13" t="str">
        <f aca="false">IF(OR(N(C673)=0,N(F673)=0),"",C673*F673)</f>
        <v/>
      </c>
      <c r="I673" s="4"/>
      <c r="J673" s="11" t="str">
        <f aca="false">IF(K673="","",IF(N(C673)&lt;=0,"Informe a quantidade",IF(IFERROR(INDEX(INVENTÁRIO!$B$2:$B$801,MATCH(K673,INVENTÁRIO!$A$2:$A$801,0)),"")="(sem nome)","Carta fora dos decks: digite o nome na coluna I (opcional)","")))</f>
        <v/>
      </c>
      <c r="K673" s="11" t="str">
        <f aca="false">UPPER(TRIM(SUBSTITUTE(B673&amp;"",CHAR(160)," ")))</f>
        <v/>
      </c>
      <c r="L673" s="11" t="str">
        <f aca="false">IF(AND(K673&lt;&gt;"",TRIM(I673&amp;"")&lt;&gt;""),K673,"")</f>
        <v/>
      </c>
    </row>
    <row r="674" customFormat="false" ht="15" hidden="false" customHeight="false" outlineLevel="0" collapsed="false">
      <c r="A674" s="9"/>
      <c r="B674" s="4"/>
      <c r="C674" s="10"/>
      <c r="D674" s="11" t="str">
        <f aca="false">IF(K674="","",IFERROR(INDEX(DECKS!$C$2:$C$1201,MATCH(K674,DECKS!$B$2:$B$1201,0)),TRIM(I674&amp;"")))</f>
        <v/>
      </c>
      <c r="E674" s="4"/>
      <c r="F674" s="12"/>
      <c r="G674" s="4"/>
      <c r="H674" s="13" t="str">
        <f aca="false">IF(OR(N(C674)=0,N(F674)=0),"",C674*F674)</f>
        <v/>
      </c>
      <c r="I674" s="4"/>
      <c r="J674" s="11" t="str">
        <f aca="false">IF(K674="","",IF(N(C674)&lt;=0,"Informe a quantidade",IF(IFERROR(INDEX(INVENTÁRIO!$B$2:$B$801,MATCH(K674,INVENTÁRIO!$A$2:$A$801,0)),"")="(sem nome)","Carta fora dos decks: digite o nome na coluna I (opcional)","")))</f>
        <v/>
      </c>
      <c r="K674" s="11" t="str">
        <f aca="false">UPPER(TRIM(SUBSTITUTE(B674&amp;"",CHAR(160)," ")))</f>
        <v/>
      </c>
      <c r="L674" s="11" t="str">
        <f aca="false">IF(AND(K674&lt;&gt;"",TRIM(I674&amp;"")&lt;&gt;""),K674,"")</f>
        <v/>
      </c>
    </row>
    <row r="675" customFormat="false" ht="15" hidden="false" customHeight="false" outlineLevel="0" collapsed="false">
      <c r="A675" s="9"/>
      <c r="B675" s="4"/>
      <c r="C675" s="10"/>
      <c r="D675" s="11" t="str">
        <f aca="false">IF(K675="","",IFERROR(INDEX(DECKS!$C$2:$C$1201,MATCH(K675,DECKS!$B$2:$B$1201,0)),TRIM(I675&amp;"")))</f>
        <v/>
      </c>
      <c r="E675" s="4"/>
      <c r="F675" s="12"/>
      <c r="G675" s="4"/>
      <c r="H675" s="13" t="str">
        <f aca="false">IF(OR(N(C675)=0,N(F675)=0),"",C675*F675)</f>
        <v/>
      </c>
      <c r="I675" s="4"/>
      <c r="J675" s="11" t="str">
        <f aca="false">IF(K675="","",IF(N(C675)&lt;=0,"Informe a quantidade",IF(IFERROR(INDEX(INVENTÁRIO!$B$2:$B$801,MATCH(K675,INVENTÁRIO!$A$2:$A$801,0)),"")="(sem nome)","Carta fora dos decks: digite o nome na coluna I (opcional)","")))</f>
        <v/>
      </c>
      <c r="K675" s="11" t="str">
        <f aca="false">UPPER(TRIM(SUBSTITUTE(B675&amp;"",CHAR(160)," ")))</f>
        <v/>
      </c>
      <c r="L675" s="11" t="str">
        <f aca="false">IF(AND(K675&lt;&gt;"",TRIM(I675&amp;"")&lt;&gt;""),K675,"")</f>
        <v/>
      </c>
    </row>
    <row r="676" customFormat="false" ht="15" hidden="false" customHeight="false" outlineLevel="0" collapsed="false">
      <c r="A676" s="9"/>
      <c r="B676" s="4"/>
      <c r="C676" s="10"/>
      <c r="D676" s="11" t="str">
        <f aca="false">IF(K676="","",IFERROR(INDEX(DECKS!$C$2:$C$1201,MATCH(K676,DECKS!$B$2:$B$1201,0)),TRIM(I676&amp;"")))</f>
        <v/>
      </c>
      <c r="E676" s="4"/>
      <c r="F676" s="12"/>
      <c r="G676" s="4"/>
      <c r="H676" s="13" t="str">
        <f aca="false">IF(OR(N(C676)=0,N(F676)=0),"",C676*F676)</f>
        <v/>
      </c>
      <c r="I676" s="4"/>
      <c r="J676" s="11" t="str">
        <f aca="false">IF(K676="","",IF(N(C676)&lt;=0,"Informe a quantidade",IF(IFERROR(INDEX(INVENTÁRIO!$B$2:$B$801,MATCH(K676,INVENTÁRIO!$A$2:$A$801,0)),"")="(sem nome)","Carta fora dos decks: digite o nome na coluna I (opcional)","")))</f>
        <v/>
      </c>
      <c r="K676" s="11" t="str">
        <f aca="false">UPPER(TRIM(SUBSTITUTE(B676&amp;"",CHAR(160)," ")))</f>
        <v/>
      </c>
      <c r="L676" s="11" t="str">
        <f aca="false">IF(AND(K676&lt;&gt;"",TRIM(I676&amp;"")&lt;&gt;""),K676,"")</f>
        <v/>
      </c>
    </row>
    <row r="677" customFormat="false" ht="15" hidden="false" customHeight="false" outlineLevel="0" collapsed="false">
      <c r="A677" s="9"/>
      <c r="B677" s="4"/>
      <c r="C677" s="10"/>
      <c r="D677" s="11" t="str">
        <f aca="false">IF(K677="","",IFERROR(INDEX(DECKS!$C$2:$C$1201,MATCH(K677,DECKS!$B$2:$B$1201,0)),TRIM(I677&amp;"")))</f>
        <v/>
      </c>
      <c r="E677" s="4"/>
      <c r="F677" s="12"/>
      <c r="G677" s="4"/>
      <c r="H677" s="13" t="str">
        <f aca="false">IF(OR(N(C677)=0,N(F677)=0),"",C677*F677)</f>
        <v/>
      </c>
      <c r="I677" s="4"/>
      <c r="J677" s="11" t="str">
        <f aca="false">IF(K677="","",IF(N(C677)&lt;=0,"Informe a quantidade",IF(IFERROR(INDEX(INVENTÁRIO!$B$2:$B$801,MATCH(K677,INVENTÁRIO!$A$2:$A$801,0)),"")="(sem nome)","Carta fora dos decks: digite o nome na coluna I (opcional)","")))</f>
        <v/>
      </c>
      <c r="K677" s="11" t="str">
        <f aca="false">UPPER(TRIM(SUBSTITUTE(B677&amp;"",CHAR(160)," ")))</f>
        <v/>
      </c>
      <c r="L677" s="11" t="str">
        <f aca="false">IF(AND(K677&lt;&gt;"",TRIM(I677&amp;"")&lt;&gt;""),K677,"")</f>
        <v/>
      </c>
    </row>
    <row r="678" customFormat="false" ht="15" hidden="false" customHeight="false" outlineLevel="0" collapsed="false">
      <c r="A678" s="9"/>
      <c r="B678" s="4"/>
      <c r="C678" s="10"/>
      <c r="D678" s="11" t="str">
        <f aca="false">IF(K678="","",IFERROR(INDEX(DECKS!$C$2:$C$1201,MATCH(K678,DECKS!$B$2:$B$1201,0)),TRIM(I678&amp;"")))</f>
        <v/>
      </c>
      <c r="E678" s="4"/>
      <c r="F678" s="12"/>
      <c r="G678" s="4"/>
      <c r="H678" s="13" t="str">
        <f aca="false">IF(OR(N(C678)=0,N(F678)=0),"",C678*F678)</f>
        <v/>
      </c>
      <c r="I678" s="4"/>
      <c r="J678" s="11" t="str">
        <f aca="false">IF(K678="","",IF(N(C678)&lt;=0,"Informe a quantidade",IF(IFERROR(INDEX(INVENTÁRIO!$B$2:$B$801,MATCH(K678,INVENTÁRIO!$A$2:$A$801,0)),"")="(sem nome)","Carta fora dos decks: digite o nome na coluna I (opcional)","")))</f>
        <v/>
      </c>
      <c r="K678" s="11" t="str">
        <f aca="false">UPPER(TRIM(SUBSTITUTE(B678&amp;"",CHAR(160)," ")))</f>
        <v/>
      </c>
      <c r="L678" s="11" t="str">
        <f aca="false">IF(AND(K678&lt;&gt;"",TRIM(I678&amp;"")&lt;&gt;""),K678,"")</f>
        <v/>
      </c>
    </row>
    <row r="679" customFormat="false" ht="15" hidden="false" customHeight="false" outlineLevel="0" collapsed="false">
      <c r="A679" s="9"/>
      <c r="B679" s="4"/>
      <c r="C679" s="10"/>
      <c r="D679" s="11" t="str">
        <f aca="false">IF(K679="","",IFERROR(INDEX(DECKS!$C$2:$C$1201,MATCH(K679,DECKS!$B$2:$B$1201,0)),TRIM(I679&amp;"")))</f>
        <v/>
      </c>
      <c r="E679" s="4"/>
      <c r="F679" s="12"/>
      <c r="G679" s="4"/>
      <c r="H679" s="13" t="str">
        <f aca="false">IF(OR(N(C679)=0,N(F679)=0),"",C679*F679)</f>
        <v/>
      </c>
      <c r="I679" s="4"/>
      <c r="J679" s="11" t="str">
        <f aca="false">IF(K679="","",IF(N(C679)&lt;=0,"Informe a quantidade",IF(IFERROR(INDEX(INVENTÁRIO!$B$2:$B$801,MATCH(K679,INVENTÁRIO!$A$2:$A$801,0)),"")="(sem nome)","Carta fora dos decks: digite o nome na coluna I (opcional)","")))</f>
        <v/>
      </c>
      <c r="K679" s="11" t="str">
        <f aca="false">UPPER(TRIM(SUBSTITUTE(B679&amp;"",CHAR(160)," ")))</f>
        <v/>
      </c>
      <c r="L679" s="11" t="str">
        <f aca="false">IF(AND(K679&lt;&gt;"",TRIM(I679&amp;"")&lt;&gt;""),K679,"")</f>
        <v/>
      </c>
    </row>
    <row r="680" customFormat="false" ht="15" hidden="false" customHeight="false" outlineLevel="0" collapsed="false">
      <c r="A680" s="9"/>
      <c r="B680" s="4"/>
      <c r="C680" s="10"/>
      <c r="D680" s="11" t="str">
        <f aca="false">IF(K680="","",IFERROR(INDEX(DECKS!$C$2:$C$1201,MATCH(K680,DECKS!$B$2:$B$1201,0)),TRIM(I680&amp;"")))</f>
        <v/>
      </c>
      <c r="E680" s="4"/>
      <c r="F680" s="12"/>
      <c r="G680" s="4"/>
      <c r="H680" s="13" t="str">
        <f aca="false">IF(OR(N(C680)=0,N(F680)=0),"",C680*F680)</f>
        <v/>
      </c>
      <c r="I680" s="4"/>
      <c r="J680" s="11" t="str">
        <f aca="false">IF(K680="","",IF(N(C680)&lt;=0,"Informe a quantidade",IF(IFERROR(INDEX(INVENTÁRIO!$B$2:$B$801,MATCH(K680,INVENTÁRIO!$A$2:$A$801,0)),"")="(sem nome)","Carta fora dos decks: digite o nome na coluna I (opcional)","")))</f>
        <v/>
      </c>
      <c r="K680" s="11" t="str">
        <f aca="false">UPPER(TRIM(SUBSTITUTE(B680&amp;"",CHAR(160)," ")))</f>
        <v/>
      </c>
      <c r="L680" s="11" t="str">
        <f aca="false">IF(AND(K680&lt;&gt;"",TRIM(I680&amp;"")&lt;&gt;""),K680,"")</f>
        <v/>
      </c>
    </row>
    <row r="681" customFormat="false" ht="15" hidden="false" customHeight="false" outlineLevel="0" collapsed="false">
      <c r="A681" s="9"/>
      <c r="B681" s="4"/>
      <c r="C681" s="10"/>
      <c r="D681" s="11" t="str">
        <f aca="false">IF(K681="","",IFERROR(INDEX(DECKS!$C$2:$C$1201,MATCH(K681,DECKS!$B$2:$B$1201,0)),TRIM(I681&amp;"")))</f>
        <v/>
      </c>
      <c r="E681" s="4"/>
      <c r="F681" s="12"/>
      <c r="G681" s="4"/>
      <c r="H681" s="13" t="str">
        <f aca="false">IF(OR(N(C681)=0,N(F681)=0),"",C681*F681)</f>
        <v/>
      </c>
      <c r="I681" s="4"/>
      <c r="J681" s="11" t="str">
        <f aca="false">IF(K681="","",IF(N(C681)&lt;=0,"Informe a quantidade",IF(IFERROR(INDEX(INVENTÁRIO!$B$2:$B$801,MATCH(K681,INVENTÁRIO!$A$2:$A$801,0)),"")="(sem nome)","Carta fora dos decks: digite o nome na coluna I (opcional)","")))</f>
        <v/>
      </c>
      <c r="K681" s="11" t="str">
        <f aca="false">UPPER(TRIM(SUBSTITUTE(B681&amp;"",CHAR(160)," ")))</f>
        <v/>
      </c>
      <c r="L681" s="11" t="str">
        <f aca="false">IF(AND(K681&lt;&gt;"",TRIM(I681&amp;"")&lt;&gt;""),K681,"")</f>
        <v/>
      </c>
    </row>
    <row r="682" customFormat="false" ht="15" hidden="false" customHeight="false" outlineLevel="0" collapsed="false">
      <c r="A682" s="9"/>
      <c r="B682" s="4"/>
      <c r="C682" s="10"/>
      <c r="D682" s="11" t="str">
        <f aca="false">IF(K682="","",IFERROR(INDEX(DECKS!$C$2:$C$1201,MATCH(K682,DECKS!$B$2:$B$1201,0)),TRIM(I682&amp;"")))</f>
        <v/>
      </c>
      <c r="E682" s="4"/>
      <c r="F682" s="12"/>
      <c r="G682" s="4"/>
      <c r="H682" s="13" t="str">
        <f aca="false">IF(OR(N(C682)=0,N(F682)=0),"",C682*F682)</f>
        <v/>
      </c>
      <c r="I682" s="4"/>
      <c r="J682" s="11" t="str">
        <f aca="false">IF(K682="","",IF(N(C682)&lt;=0,"Informe a quantidade",IF(IFERROR(INDEX(INVENTÁRIO!$B$2:$B$801,MATCH(K682,INVENTÁRIO!$A$2:$A$801,0)),"")="(sem nome)","Carta fora dos decks: digite o nome na coluna I (opcional)","")))</f>
        <v/>
      </c>
      <c r="K682" s="11" t="str">
        <f aca="false">UPPER(TRIM(SUBSTITUTE(B682&amp;"",CHAR(160)," ")))</f>
        <v/>
      </c>
      <c r="L682" s="11" t="str">
        <f aca="false">IF(AND(K682&lt;&gt;"",TRIM(I682&amp;"")&lt;&gt;""),K682,"")</f>
        <v/>
      </c>
    </row>
    <row r="683" customFormat="false" ht="15" hidden="false" customHeight="false" outlineLevel="0" collapsed="false">
      <c r="A683" s="9"/>
      <c r="B683" s="4"/>
      <c r="C683" s="10"/>
      <c r="D683" s="11" t="str">
        <f aca="false">IF(K683="","",IFERROR(INDEX(DECKS!$C$2:$C$1201,MATCH(K683,DECKS!$B$2:$B$1201,0)),TRIM(I683&amp;"")))</f>
        <v/>
      </c>
      <c r="E683" s="4"/>
      <c r="F683" s="12"/>
      <c r="G683" s="4"/>
      <c r="H683" s="13" t="str">
        <f aca="false">IF(OR(N(C683)=0,N(F683)=0),"",C683*F683)</f>
        <v/>
      </c>
      <c r="I683" s="4"/>
      <c r="J683" s="11" t="str">
        <f aca="false">IF(K683="","",IF(N(C683)&lt;=0,"Informe a quantidade",IF(IFERROR(INDEX(INVENTÁRIO!$B$2:$B$801,MATCH(K683,INVENTÁRIO!$A$2:$A$801,0)),"")="(sem nome)","Carta fora dos decks: digite o nome na coluna I (opcional)","")))</f>
        <v/>
      </c>
      <c r="K683" s="11" t="str">
        <f aca="false">UPPER(TRIM(SUBSTITUTE(B683&amp;"",CHAR(160)," ")))</f>
        <v/>
      </c>
      <c r="L683" s="11" t="str">
        <f aca="false">IF(AND(K683&lt;&gt;"",TRIM(I683&amp;"")&lt;&gt;""),K683,"")</f>
        <v/>
      </c>
    </row>
    <row r="684" customFormat="false" ht="15" hidden="false" customHeight="false" outlineLevel="0" collapsed="false">
      <c r="A684" s="9"/>
      <c r="B684" s="4"/>
      <c r="C684" s="10"/>
      <c r="D684" s="11" t="str">
        <f aca="false">IF(K684="","",IFERROR(INDEX(DECKS!$C$2:$C$1201,MATCH(K684,DECKS!$B$2:$B$1201,0)),TRIM(I684&amp;"")))</f>
        <v/>
      </c>
      <c r="E684" s="4"/>
      <c r="F684" s="12"/>
      <c r="G684" s="4"/>
      <c r="H684" s="13" t="str">
        <f aca="false">IF(OR(N(C684)=0,N(F684)=0),"",C684*F684)</f>
        <v/>
      </c>
      <c r="I684" s="4"/>
      <c r="J684" s="11" t="str">
        <f aca="false">IF(K684="","",IF(N(C684)&lt;=0,"Informe a quantidade",IF(IFERROR(INDEX(INVENTÁRIO!$B$2:$B$801,MATCH(K684,INVENTÁRIO!$A$2:$A$801,0)),"")="(sem nome)","Carta fora dos decks: digite o nome na coluna I (opcional)","")))</f>
        <v/>
      </c>
      <c r="K684" s="11" t="str">
        <f aca="false">UPPER(TRIM(SUBSTITUTE(B684&amp;"",CHAR(160)," ")))</f>
        <v/>
      </c>
      <c r="L684" s="11" t="str">
        <f aca="false">IF(AND(K684&lt;&gt;"",TRIM(I684&amp;"")&lt;&gt;""),K684,"")</f>
        <v/>
      </c>
    </row>
    <row r="685" customFormat="false" ht="15" hidden="false" customHeight="false" outlineLevel="0" collapsed="false">
      <c r="A685" s="9"/>
      <c r="B685" s="4"/>
      <c r="C685" s="10"/>
      <c r="D685" s="11" t="str">
        <f aca="false">IF(K685="","",IFERROR(INDEX(DECKS!$C$2:$C$1201,MATCH(K685,DECKS!$B$2:$B$1201,0)),TRIM(I685&amp;"")))</f>
        <v/>
      </c>
      <c r="E685" s="4"/>
      <c r="F685" s="12"/>
      <c r="G685" s="4"/>
      <c r="H685" s="13" t="str">
        <f aca="false">IF(OR(N(C685)=0,N(F685)=0),"",C685*F685)</f>
        <v/>
      </c>
      <c r="I685" s="4"/>
      <c r="J685" s="11" t="str">
        <f aca="false">IF(K685="","",IF(N(C685)&lt;=0,"Informe a quantidade",IF(IFERROR(INDEX(INVENTÁRIO!$B$2:$B$801,MATCH(K685,INVENTÁRIO!$A$2:$A$801,0)),"")="(sem nome)","Carta fora dos decks: digite o nome na coluna I (opcional)","")))</f>
        <v/>
      </c>
      <c r="K685" s="11" t="str">
        <f aca="false">UPPER(TRIM(SUBSTITUTE(B685&amp;"",CHAR(160)," ")))</f>
        <v/>
      </c>
      <c r="L685" s="11" t="str">
        <f aca="false">IF(AND(K685&lt;&gt;"",TRIM(I685&amp;"")&lt;&gt;""),K685,"")</f>
        <v/>
      </c>
    </row>
    <row r="686" customFormat="false" ht="15" hidden="false" customHeight="false" outlineLevel="0" collapsed="false">
      <c r="A686" s="9"/>
      <c r="B686" s="4"/>
      <c r="C686" s="10"/>
      <c r="D686" s="11" t="str">
        <f aca="false">IF(K686="","",IFERROR(INDEX(DECKS!$C$2:$C$1201,MATCH(K686,DECKS!$B$2:$B$1201,0)),TRIM(I686&amp;"")))</f>
        <v/>
      </c>
      <c r="E686" s="4"/>
      <c r="F686" s="12"/>
      <c r="G686" s="4"/>
      <c r="H686" s="13" t="str">
        <f aca="false">IF(OR(N(C686)=0,N(F686)=0),"",C686*F686)</f>
        <v/>
      </c>
      <c r="I686" s="4"/>
      <c r="J686" s="11" t="str">
        <f aca="false">IF(K686="","",IF(N(C686)&lt;=0,"Informe a quantidade",IF(IFERROR(INDEX(INVENTÁRIO!$B$2:$B$801,MATCH(K686,INVENTÁRIO!$A$2:$A$801,0)),"")="(sem nome)","Carta fora dos decks: digite o nome na coluna I (opcional)","")))</f>
        <v/>
      </c>
      <c r="K686" s="11" t="str">
        <f aca="false">UPPER(TRIM(SUBSTITUTE(B686&amp;"",CHAR(160)," ")))</f>
        <v/>
      </c>
      <c r="L686" s="11" t="str">
        <f aca="false">IF(AND(K686&lt;&gt;"",TRIM(I686&amp;"")&lt;&gt;""),K686,"")</f>
        <v/>
      </c>
    </row>
    <row r="687" customFormat="false" ht="15" hidden="false" customHeight="false" outlineLevel="0" collapsed="false">
      <c r="A687" s="9"/>
      <c r="B687" s="4"/>
      <c r="C687" s="10"/>
      <c r="D687" s="11" t="str">
        <f aca="false">IF(K687="","",IFERROR(INDEX(DECKS!$C$2:$C$1201,MATCH(K687,DECKS!$B$2:$B$1201,0)),TRIM(I687&amp;"")))</f>
        <v/>
      </c>
      <c r="E687" s="4"/>
      <c r="F687" s="12"/>
      <c r="G687" s="4"/>
      <c r="H687" s="13" t="str">
        <f aca="false">IF(OR(N(C687)=0,N(F687)=0),"",C687*F687)</f>
        <v/>
      </c>
      <c r="I687" s="4"/>
      <c r="J687" s="11" t="str">
        <f aca="false">IF(K687="","",IF(N(C687)&lt;=0,"Informe a quantidade",IF(IFERROR(INDEX(INVENTÁRIO!$B$2:$B$801,MATCH(K687,INVENTÁRIO!$A$2:$A$801,0)),"")="(sem nome)","Carta fora dos decks: digite o nome na coluna I (opcional)","")))</f>
        <v/>
      </c>
      <c r="K687" s="11" t="str">
        <f aca="false">UPPER(TRIM(SUBSTITUTE(B687&amp;"",CHAR(160)," ")))</f>
        <v/>
      </c>
      <c r="L687" s="11" t="str">
        <f aca="false">IF(AND(K687&lt;&gt;"",TRIM(I687&amp;"")&lt;&gt;""),K687,"")</f>
        <v/>
      </c>
    </row>
    <row r="688" customFormat="false" ht="15" hidden="false" customHeight="false" outlineLevel="0" collapsed="false">
      <c r="A688" s="9"/>
      <c r="B688" s="4"/>
      <c r="C688" s="10"/>
      <c r="D688" s="11" t="str">
        <f aca="false">IF(K688="","",IFERROR(INDEX(DECKS!$C$2:$C$1201,MATCH(K688,DECKS!$B$2:$B$1201,0)),TRIM(I688&amp;"")))</f>
        <v/>
      </c>
      <c r="E688" s="4"/>
      <c r="F688" s="12"/>
      <c r="G688" s="4"/>
      <c r="H688" s="13" t="str">
        <f aca="false">IF(OR(N(C688)=0,N(F688)=0),"",C688*F688)</f>
        <v/>
      </c>
      <c r="I688" s="4"/>
      <c r="J688" s="11" t="str">
        <f aca="false">IF(K688="","",IF(N(C688)&lt;=0,"Informe a quantidade",IF(IFERROR(INDEX(INVENTÁRIO!$B$2:$B$801,MATCH(K688,INVENTÁRIO!$A$2:$A$801,0)),"")="(sem nome)","Carta fora dos decks: digite o nome na coluna I (opcional)","")))</f>
        <v/>
      </c>
      <c r="K688" s="11" t="str">
        <f aca="false">UPPER(TRIM(SUBSTITUTE(B688&amp;"",CHAR(160)," ")))</f>
        <v/>
      </c>
      <c r="L688" s="11" t="str">
        <f aca="false">IF(AND(K688&lt;&gt;"",TRIM(I688&amp;"")&lt;&gt;""),K688,"")</f>
        <v/>
      </c>
    </row>
    <row r="689" customFormat="false" ht="15" hidden="false" customHeight="false" outlineLevel="0" collapsed="false">
      <c r="A689" s="9"/>
      <c r="B689" s="4"/>
      <c r="C689" s="10"/>
      <c r="D689" s="11" t="str">
        <f aca="false">IF(K689="","",IFERROR(INDEX(DECKS!$C$2:$C$1201,MATCH(K689,DECKS!$B$2:$B$1201,0)),TRIM(I689&amp;"")))</f>
        <v/>
      </c>
      <c r="E689" s="4"/>
      <c r="F689" s="12"/>
      <c r="G689" s="4"/>
      <c r="H689" s="13" t="str">
        <f aca="false">IF(OR(N(C689)=0,N(F689)=0),"",C689*F689)</f>
        <v/>
      </c>
      <c r="I689" s="4"/>
      <c r="J689" s="11" t="str">
        <f aca="false">IF(K689="","",IF(N(C689)&lt;=0,"Informe a quantidade",IF(IFERROR(INDEX(INVENTÁRIO!$B$2:$B$801,MATCH(K689,INVENTÁRIO!$A$2:$A$801,0)),"")="(sem nome)","Carta fora dos decks: digite o nome na coluna I (opcional)","")))</f>
        <v/>
      </c>
      <c r="K689" s="11" t="str">
        <f aca="false">UPPER(TRIM(SUBSTITUTE(B689&amp;"",CHAR(160)," ")))</f>
        <v/>
      </c>
      <c r="L689" s="11" t="str">
        <f aca="false">IF(AND(K689&lt;&gt;"",TRIM(I689&amp;"")&lt;&gt;""),K689,"")</f>
        <v/>
      </c>
    </row>
    <row r="690" customFormat="false" ht="15" hidden="false" customHeight="false" outlineLevel="0" collapsed="false">
      <c r="A690" s="9"/>
      <c r="B690" s="4"/>
      <c r="C690" s="10"/>
      <c r="D690" s="11" t="str">
        <f aca="false">IF(K690="","",IFERROR(INDEX(DECKS!$C$2:$C$1201,MATCH(K690,DECKS!$B$2:$B$1201,0)),TRIM(I690&amp;"")))</f>
        <v/>
      </c>
      <c r="E690" s="4"/>
      <c r="F690" s="12"/>
      <c r="G690" s="4"/>
      <c r="H690" s="13" t="str">
        <f aca="false">IF(OR(N(C690)=0,N(F690)=0),"",C690*F690)</f>
        <v/>
      </c>
      <c r="I690" s="4"/>
      <c r="J690" s="11" t="str">
        <f aca="false">IF(K690="","",IF(N(C690)&lt;=0,"Informe a quantidade",IF(IFERROR(INDEX(INVENTÁRIO!$B$2:$B$801,MATCH(K690,INVENTÁRIO!$A$2:$A$801,0)),"")="(sem nome)","Carta fora dos decks: digite o nome na coluna I (opcional)","")))</f>
        <v/>
      </c>
      <c r="K690" s="11" t="str">
        <f aca="false">UPPER(TRIM(SUBSTITUTE(B690&amp;"",CHAR(160)," ")))</f>
        <v/>
      </c>
      <c r="L690" s="11" t="str">
        <f aca="false">IF(AND(K690&lt;&gt;"",TRIM(I690&amp;"")&lt;&gt;""),K690,"")</f>
        <v/>
      </c>
    </row>
    <row r="691" customFormat="false" ht="15" hidden="false" customHeight="false" outlineLevel="0" collapsed="false">
      <c r="A691" s="9"/>
      <c r="B691" s="4"/>
      <c r="C691" s="10"/>
      <c r="D691" s="11" t="str">
        <f aca="false">IF(K691="","",IFERROR(INDEX(DECKS!$C$2:$C$1201,MATCH(K691,DECKS!$B$2:$B$1201,0)),TRIM(I691&amp;"")))</f>
        <v/>
      </c>
      <c r="E691" s="4"/>
      <c r="F691" s="12"/>
      <c r="G691" s="4"/>
      <c r="H691" s="13" t="str">
        <f aca="false">IF(OR(N(C691)=0,N(F691)=0),"",C691*F691)</f>
        <v/>
      </c>
      <c r="I691" s="4"/>
      <c r="J691" s="11" t="str">
        <f aca="false">IF(K691="","",IF(N(C691)&lt;=0,"Informe a quantidade",IF(IFERROR(INDEX(INVENTÁRIO!$B$2:$B$801,MATCH(K691,INVENTÁRIO!$A$2:$A$801,0)),"")="(sem nome)","Carta fora dos decks: digite o nome na coluna I (opcional)","")))</f>
        <v/>
      </c>
      <c r="K691" s="11" t="str">
        <f aca="false">UPPER(TRIM(SUBSTITUTE(B691&amp;"",CHAR(160)," ")))</f>
        <v/>
      </c>
      <c r="L691" s="11" t="str">
        <f aca="false">IF(AND(K691&lt;&gt;"",TRIM(I691&amp;"")&lt;&gt;""),K691,"")</f>
        <v/>
      </c>
    </row>
    <row r="692" customFormat="false" ht="15" hidden="false" customHeight="false" outlineLevel="0" collapsed="false">
      <c r="A692" s="9"/>
      <c r="B692" s="4"/>
      <c r="C692" s="10"/>
      <c r="D692" s="11" t="str">
        <f aca="false">IF(K692="","",IFERROR(INDEX(DECKS!$C$2:$C$1201,MATCH(K692,DECKS!$B$2:$B$1201,0)),TRIM(I692&amp;"")))</f>
        <v/>
      </c>
      <c r="E692" s="4"/>
      <c r="F692" s="12"/>
      <c r="G692" s="4"/>
      <c r="H692" s="13" t="str">
        <f aca="false">IF(OR(N(C692)=0,N(F692)=0),"",C692*F692)</f>
        <v/>
      </c>
      <c r="I692" s="4"/>
      <c r="J692" s="11" t="str">
        <f aca="false">IF(K692="","",IF(N(C692)&lt;=0,"Informe a quantidade",IF(IFERROR(INDEX(INVENTÁRIO!$B$2:$B$801,MATCH(K692,INVENTÁRIO!$A$2:$A$801,0)),"")="(sem nome)","Carta fora dos decks: digite o nome na coluna I (opcional)","")))</f>
        <v/>
      </c>
      <c r="K692" s="11" t="str">
        <f aca="false">UPPER(TRIM(SUBSTITUTE(B692&amp;"",CHAR(160)," ")))</f>
        <v/>
      </c>
      <c r="L692" s="11" t="str">
        <f aca="false">IF(AND(K692&lt;&gt;"",TRIM(I692&amp;"")&lt;&gt;""),K692,"")</f>
        <v/>
      </c>
    </row>
    <row r="693" customFormat="false" ht="15" hidden="false" customHeight="false" outlineLevel="0" collapsed="false">
      <c r="A693" s="9"/>
      <c r="B693" s="4"/>
      <c r="C693" s="10"/>
      <c r="D693" s="11" t="str">
        <f aca="false">IF(K693="","",IFERROR(INDEX(DECKS!$C$2:$C$1201,MATCH(K693,DECKS!$B$2:$B$1201,0)),TRIM(I693&amp;"")))</f>
        <v/>
      </c>
      <c r="E693" s="4"/>
      <c r="F693" s="12"/>
      <c r="G693" s="4"/>
      <c r="H693" s="13" t="str">
        <f aca="false">IF(OR(N(C693)=0,N(F693)=0),"",C693*F693)</f>
        <v/>
      </c>
      <c r="I693" s="4"/>
      <c r="J693" s="11" t="str">
        <f aca="false">IF(K693="","",IF(N(C693)&lt;=0,"Informe a quantidade",IF(IFERROR(INDEX(INVENTÁRIO!$B$2:$B$801,MATCH(K693,INVENTÁRIO!$A$2:$A$801,0)),"")="(sem nome)","Carta fora dos decks: digite o nome na coluna I (opcional)","")))</f>
        <v/>
      </c>
      <c r="K693" s="11" t="str">
        <f aca="false">UPPER(TRIM(SUBSTITUTE(B693&amp;"",CHAR(160)," ")))</f>
        <v/>
      </c>
      <c r="L693" s="11" t="str">
        <f aca="false">IF(AND(K693&lt;&gt;"",TRIM(I693&amp;"")&lt;&gt;""),K693,"")</f>
        <v/>
      </c>
    </row>
    <row r="694" customFormat="false" ht="15" hidden="false" customHeight="false" outlineLevel="0" collapsed="false">
      <c r="A694" s="9"/>
      <c r="B694" s="4"/>
      <c r="C694" s="10"/>
      <c r="D694" s="11" t="str">
        <f aca="false">IF(K694="","",IFERROR(INDEX(DECKS!$C$2:$C$1201,MATCH(K694,DECKS!$B$2:$B$1201,0)),TRIM(I694&amp;"")))</f>
        <v/>
      </c>
      <c r="E694" s="4"/>
      <c r="F694" s="12"/>
      <c r="G694" s="4"/>
      <c r="H694" s="13" t="str">
        <f aca="false">IF(OR(N(C694)=0,N(F694)=0),"",C694*F694)</f>
        <v/>
      </c>
      <c r="I694" s="4"/>
      <c r="J694" s="11" t="str">
        <f aca="false">IF(K694="","",IF(N(C694)&lt;=0,"Informe a quantidade",IF(IFERROR(INDEX(INVENTÁRIO!$B$2:$B$801,MATCH(K694,INVENTÁRIO!$A$2:$A$801,0)),"")="(sem nome)","Carta fora dos decks: digite o nome na coluna I (opcional)","")))</f>
        <v/>
      </c>
      <c r="K694" s="11" t="str">
        <f aca="false">UPPER(TRIM(SUBSTITUTE(B694&amp;"",CHAR(160)," ")))</f>
        <v/>
      </c>
      <c r="L694" s="11" t="str">
        <f aca="false">IF(AND(K694&lt;&gt;"",TRIM(I694&amp;"")&lt;&gt;""),K694,"")</f>
        <v/>
      </c>
    </row>
    <row r="695" customFormat="false" ht="15" hidden="false" customHeight="false" outlineLevel="0" collapsed="false">
      <c r="A695" s="9"/>
      <c r="B695" s="4"/>
      <c r="C695" s="10"/>
      <c r="D695" s="11" t="str">
        <f aca="false">IF(K695="","",IFERROR(INDEX(DECKS!$C$2:$C$1201,MATCH(K695,DECKS!$B$2:$B$1201,0)),TRIM(I695&amp;"")))</f>
        <v/>
      </c>
      <c r="E695" s="4"/>
      <c r="F695" s="12"/>
      <c r="G695" s="4"/>
      <c r="H695" s="13" t="str">
        <f aca="false">IF(OR(N(C695)=0,N(F695)=0),"",C695*F695)</f>
        <v/>
      </c>
      <c r="I695" s="4"/>
      <c r="J695" s="11" t="str">
        <f aca="false">IF(K695="","",IF(N(C695)&lt;=0,"Informe a quantidade",IF(IFERROR(INDEX(INVENTÁRIO!$B$2:$B$801,MATCH(K695,INVENTÁRIO!$A$2:$A$801,0)),"")="(sem nome)","Carta fora dos decks: digite o nome na coluna I (opcional)","")))</f>
        <v/>
      </c>
      <c r="K695" s="11" t="str">
        <f aca="false">UPPER(TRIM(SUBSTITUTE(B695&amp;"",CHAR(160)," ")))</f>
        <v/>
      </c>
      <c r="L695" s="11" t="str">
        <f aca="false">IF(AND(K695&lt;&gt;"",TRIM(I695&amp;"")&lt;&gt;""),K695,"")</f>
        <v/>
      </c>
    </row>
    <row r="696" customFormat="false" ht="15" hidden="false" customHeight="false" outlineLevel="0" collapsed="false">
      <c r="A696" s="9"/>
      <c r="B696" s="4"/>
      <c r="C696" s="10"/>
      <c r="D696" s="11" t="str">
        <f aca="false">IF(K696="","",IFERROR(INDEX(DECKS!$C$2:$C$1201,MATCH(K696,DECKS!$B$2:$B$1201,0)),TRIM(I696&amp;"")))</f>
        <v/>
      </c>
      <c r="E696" s="4"/>
      <c r="F696" s="12"/>
      <c r="G696" s="4"/>
      <c r="H696" s="13" t="str">
        <f aca="false">IF(OR(N(C696)=0,N(F696)=0),"",C696*F696)</f>
        <v/>
      </c>
      <c r="I696" s="4"/>
      <c r="J696" s="11" t="str">
        <f aca="false">IF(K696="","",IF(N(C696)&lt;=0,"Informe a quantidade",IF(IFERROR(INDEX(INVENTÁRIO!$B$2:$B$801,MATCH(K696,INVENTÁRIO!$A$2:$A$801,0)),"")="(sem nome)","Carta fora dos decks: digite o nome na coluna I (opcional)","")))</f>
        <v/>
      </c>
      <c r="K696" s="11" t="str">
        <f aca="false">UPPER(TRIM(SUBSTITUTE(B696&amp;"",CHAR(160)," ")))</f>
        <v/>
      </c>
      <c r="L696" s="11" t="str">
        <f aca="false">IF(AND(K696&lt;&gt;"",TRIM(I696&amp;"")&lt;&gt;""),K696,"")</f>
        <v/>
      </c>
    </row>
    <row r="697" customFormat="false" ht="15" hidden="false" customHeight="false" outlineLevel="0" collapsed="false">
      <c r="A697" s="9"/>
      <c r="B697" s="4"/>
      <c r="C697" s="10"/>
      <c r="D697" s="11" t="str">
        <f aca="false">IF(K697="","",IFERROR(INDEX(DECKS!$C$2:$C$1201,MATCH(K697,DECKS!$B$2:$B$1201,0)),TRIM(I697&amp;"")))</f>
        <v/>
      </c>
      <c r="E697" s="4"/>
      <c r="F697" s="12"/>
      <c r="G697" s="4"/>
      <c r="H697" s="13" t="str">
        <f aca="false">IF(OR(N(C697)=0,N(F697)=0),"",C697*F697)</f>
        <v/>
      </c>
      <c r="I697" s="4"/>
      <c r="J697" s="11" t="str">
        <f aca="false">IF(K697="","",IF(N(C697)&lt;=0,"Informe a quantidade",IF(IFERROR(INDEX(INVENTÁRIO!$B$2:$B$801,MATCH(K697,INVENTÁRIO!$A$2:$A$801,0)),"")="(sem nome)","Carta fora dos decks: digite o nome na coluna I (opcional)","")))</f>
        <v/>
      </c>
      <c r="K697" s="11" t="str">
        <f aca="false">UPPER(TRIM(SUBSTITUTE(B697&amp;"",CHAR(160)," ")))</f>
        <v/>
      </c>
      <c r="L697" s="11" t="str">
        <f aca="false">IF(AND(K697&lt;&gt;"",TRIM(I697&amp;"")&lt;&gt;""),K697,"")</f>
        <v/>
      </c>
    </row>
    <row r="698" customFormat="false" ht="15" hidden="false" customHeight="false" outlineLevel="0" collapsed="false">
      <c r="A698" s="9"/>
      <c r="B698" s="4"/>
      <c r="C698" s="10"/>
      <c r="D698" s="11" t="str">
        <f aca="false">IF(K698="","",IFERROR(INDEX(DECKS!$C$2:$C$1201,MATCH(K698,DECKS!$B$2:$B$1201,0)),TRIM(I698&amp;"")))</f>
        <v/>
      </c>
      <c r="E698" s="4"/>
      <c r="F698" s="12"/>
      <c r="G698" s="4"/>
      <c r="H698" s="13" t="str">
        <f aca="false">IF(OR(N(C698)=0,N(F698)=0),"",C698*F698)</f>
        <v/>
      </c>
      <c r="I698" s="4"/>
      <c r="J698" s="11" t="str">
        <f aca="false">IF(K698="","",IF(N(C698)&lt;=0,"Informe a quantidade",IF(IFERROR(INDEX(INVENTÁRIO!$B$2:$B$801,MATCH(K698,INVENTÁRIO!$A$2:$A$801,0)),"")="(sem nome)","Carta fora dos decks: digite o nome na coluna I (opcional)","")))</f>
        <v/>
      </c>
      <c r="K698" s="11" t="str">
        <f aca="false">UPPER(TRIM(SUBSTITUTE(B698&amp;"",CHAR(160)," ")))</f>
        <v/>
      </c>
      <c r="L698" s="11" t="str">
        <f aca="false">IF(AND(K698&lt;&gt;"",TRIM(I698&amp;"")&lt;&gt;""),K698,"")</f>
        <v/>
      </c>
    </row>
    <row r="699" customFormat="false" ht="15" hidden="false" customHeight="false" outlineLevel="0" collapsed="false">
      <c r="A699" s="9"/>
      <c r="B699" s="4"/>
      <c r="C699" s="10"/>
      <c r="D699" s="11" t="str">
        <f aca="false">IF(K699="","",IFERROR(INDEX(DECKS!$C$2:$C$1201,MATCH(K699,DECKS!$B$2:$B$1201,0)),TRIM(I699&amp;"")))</f>
        <v/>
      </c>
      <c r="E699" s="4"/>
      <c r="F699" s="12"/>
      <c r="G699" s="4"/>
      <c r="H699" s="13" t="str">
        <f aca="false">IF(OR(N(C699)=0,N(F699)=0),"",C699*F699)</f>
        <v/>
      </c>
      <c r="I699" s="4"/>
      <c r="J699" s="11" t="str">
        <f aca="false">IF(K699="","",IF(N(C699)&lt;=0,"Informe a quantidade",IF(IFERROR(INDEX(INVENTÁRIO!$B$2:$B$801,MATCH(K699,INVENTÁRIO!$A$2:$A$801,0)),"")="(sem nome)","Carta fora dos decks: digite o nome na coluna I (opcional)","")))</f>
        <v/>
      </c>
      <c r="K699" s="11" t="str">
        <f aca="false">UPPER(TRIM(SUBSTITUTE(B699&amp;"",CHAR(160)," ")))</f>
        <v/>
      </c>
      <c r="L699" s="11" t="str">
        <f aca="false">IF(AND(K699&lt;&gt;"",TRIM(I699&amp;"")&lt;&gt;""),K699,"")</f>
        <v/>
      </c>
    </row>
    <row r="700" customFormat="false" ht="15" hidden="false" customHeight="false" outlineLevel="0" collapsed="false">
      <c r="A700" s="9"/>
      <c r="B700" s="4"/>
      <c r="C700" s="10"/>
      <c r="D700" s="11" t="str">
        <f aca="false">IF(K700="","",IFERROR(INDEX(DECKS!$C$2:$C$1201,MATCH(K700,DECKS!$B$2:$B$1201,0)),TRIM(I700&amp;"")))</f>
        <v/>
      </c>
      <c r="E700" s="4"/>
      <c r="F700" s="12"/>
      <c r="G700" s="4"/>
      <c r="H700" s="13" t="str">
        <f aca="false">IF(OR(N(C700)=0,N(F700)=0),"",C700*F700)</f>
        <v/>
      </c>
      <c r="I700" s="4"/>
      <c r="J700" s="11" t="str">
        <f aca="false">IF(K700="","",IF(N(C700)&lt;=0,"Informe a quantidade",IF(IFERROR(INDEX(INVENTÁRIO!$B$2:$B$801,MATCH(K700,INVENTÁRIO!$A$2:$A$801,0)),"")="(sem nome)","Carta fora dos decks: digite o nome na coluna I (opcional)","")))</f>
        <v/>
      </c>
      <c r="K700" s="11" t="str">
        <f aca="false">UPPER(TRIM(SUBSTITUTE(B700&amp;"",CHAR(160)," ")))</f>
        <v/>
      </c>
      <c r="L700" s="11" t="str">
        <f aca="false">IF(AND(K700&lt;&gt;"",TRIM(I700&amp;"")&lt;&gt;""),K700,"")</f>
        <v/>
      </c>
    </row>
    <row r="701" customFormat="false" ht="15" hidden="false" customHeight="false" outlineLevel="0" collapsed="false">
      <c r="A701" s="9"/>
      <c r="B701" s="4"/>
      <c r="C701" s="10"/>
      <c r="D701" s="11" t="str">
        <f aca="false">IF(K701="","",IFERROR(INDEX(DECKS!$C$2:$C$1201,MATCH(K701,DECKS!$B$2:$B$1201,0)),TRIM(I701&amp;"")))</f>
        <v/>
      </c>
      <c r="E701" s="4"/>
      <c r="F701" s="12"/>
      <c r="G701" s="4"/>
      <c r="H701" s="13" t="str">
        <f aca="false">IF(OR(N(C701)=0,N(F701)=0),"",C701*F701)</f>
        <v/>
      </c>
      <c r="I701" s="4"/>
      <c r="J701" s="11" t="str">
        <f aca="false">IF(K701="","",IF(N(C701)&lt;=0,"Informe a quantidade",IF(IFERROR(INDEX(INVENTÁRIO!$B$2:$B$801,MATCH(K701,INVENTÁRIO!$A$2:$A$801,0)),"")="(sem nome)","Carta fora dos decks: digite o nome na coluna I (opcional)","")))</f>
        <v/>
      </c>
      <c r="K701" s="11" t="str">
        <f aca="false">UPPER(TRIM(SUBSTITUTE(B701&amp;"",CHAR(160)," ")))</f>
        <v/>
      </c>
      <c r="L701" s="11" t="str">
        <f aca="false">IF(AND(K701&lt;&gt;"",TRIM(I701&amp;"")&lt;&gt;""),K701,"")</f>
        <v/>
      </c>
    </row>
    <row r="702" customFormat="false" ht="15" hidden="false" customHeight="false" outlineLevel="0" collapsed="false">
      <c r="A702" s="9"/>
      <c r="B702" s="4"/>
      <c r="C702" s="10"/>
      <c r="D702" s="11" t="str">
        <f aca="false">IF(K702="","",IFERROR(INDEX(DECKS!$C$2:$C$1201,MATCH(K702,DECKS!$B$2:$B$1201,0)),TRIM(I702&amp;"")))</f>
        <v/>
      </c>
      <c r="E702" s="4"/>
      <c r="F702" s="12"/>
      <c r="G702" s="4"/>
      <c r="H702" s="13" t="str">
        <f aca="false">IF(OR(N(C702)=0,N(F702)=0),"",C702*F702)</f>
        <v/>
      </c>
      <c r="I702" s="4"/>
      <c r="J702" s="11" t="str">
        <f aca="false">IF(K702="","",IF(N(C702)&lt;=0,"Informe a quantidade",IF(IFERROR(INDEX(INVENTÁRIO!$B$2:$B$801,MATCH(K702,INVENTÁRIO!$A$2:$A$801,0)),"")="(sem nome)","Carta fora dos decks: digite o nome na coluna I (opcional)","")))</f>
        <v/>
      </c>
      <c r="K702" s="11" t="str">
        <f aca="false">UPPER(TRIM(SUBSTITUTE(B702&amp;"",CHAR(160)," ")))</f>
        <v/>
      </c>
      <c r="L702" s="11" t="str">
        <f aca="false">IF(AND(K702&lt;&gt;"",TRIM(I702&amp;"")&lt;&gt;""),K702,"")</f>
        <v/>
      </c>
    </row>
    <row r="703" customFormat="false" ht="15" hidden="false" customHeight="false" outlineLevel="0" collapsed="false">
      <c r="A703" s="9"/>
      <c r="B703" s="4"/>
      <c r="C703" s="10"/>
      <c r="D703" s="11" t="str">
        <f aca="false">IF(K703="","",IFERROR(INDEX(DECKS!$C$2:$C$1201,MATCH(K703,DECKS!$B$2:$B$1201,0)),TRIM(I703&amp;"")))</f>
        <v/>
      </c>
      <c r="E703" s="4"/>
      <c r="F703" s="12"/>
      <c r="G703" s="4"/>
      <c r="H703" s="13" t="str">
        <f aca="false">IF(OR(N(C703)=0,N(F703)=0),"",C703*F703)</f>
        <v/>
      </c>
      <c r="I703" s="4"/>
      <c r="J703" s="11" t="str">
        <f aca="false">IF(K703="","",IF(N(C703)&lt;=0,"Informe a quantidade",IF(IFERROR(INDEX(INVENTÁRIO!$B$2:$B$801,MATCH(K703,INVENTÁRIO!$A$2:$A$801,0)),"")="(sem nome)","Carta fora dos decks: digite o nome na coluna I (opcional)","")))</f>
        <v/>
      </c>
      <c r="K703" s="11" t="str">
        <f aca="false">UPPER(TRIM(SUBSTITUTE(B703&amp;"",CHAR(160)," ")))</f>
        <v/>
      </c>
      <c r="L703" s="11" t="str">
        <f aca="false">IF(AND(K703&lt;&gt;"",TRIM(I703&amp;"")&lt;&gt;""),K703,"")</f>
        <v/>
      </c>
    </row>
    <row r="704" customFormat="false" ht="15" hidden="false" customHeight="false" outlineLevel="0" collapsed="false">
      <c r="A704" s="9"/>
      <c r="B704" s="4"/>
      <c r="C704" s="10"/>
      <c r="D704" s="11" t="str">
        <f aca="false">IF(K704="","",IFERROR(INDEX(DECKS!$C$2:$C$1201,MATCH(K704,DECKS!$B$2:$B$1201,0)),TRIM(I704&amp;"")))</f>
        <v/>
      </c>
      <c r="E704" s="4"/>
      <c r="F704" s="12"/>
      <c r="G704" s="4"/>
      <c r="H704" s="13" t="str">
        <f aca="false">IF(OR(N(C704)=0,N(F704)=0),"",C704*F704)</f>
        <v/>
      </c>
      <c r="I704" s="4"/>
      <c r="J704" s="11" t="str">
        <f aca="false">IF(K704="","",IF(N(C704)&lt;=0,"Informe a quantidade",IF(IFERROR(INDEX(INVENTÁRIO!$B$2:$B$801,MATCH(K704,INVENTÁRIO!$A$2:$A$801,0)),"")="(sem nome)","Carta fora dos decks: digite o nome na coluna I (opcional)","")))</f>
        <v/>
      </c>
      <c r="K704" s="11" t="str">
        <f aca="false">UPPER(TRIM(SUBSTITUTE(B704&amp;"",CHAR(160)," ")))</f>
        <v/>
      </c>
      <c r="L704" s="11" t="str">
        <f aca="false">IF(AND(K704&lt;&gt;"",TRIM(I704&amp;"")&lt;&gt;""),K704,"")</f>
        <v/>
      </c>
    </row>
    <row r="705" customFormat="false" ht="15" hidden="false" customHeight="false" outlineLevel="0" collapsed="false">
      <c r="A705" s="9"/>
      <c r="B705" s="4"/>
      <c r="C705" s="10"/>
      <c r="D705" s="11" t="str">
        <f aca="false">IF(K705="","",IFERROR(INDEX(DECKS!$C$2:$C$1201,MATCH(K705,DECKS!$B$2:$B$1201,0)),TRIM(I705&amp;"")))</f>
        <v/>
      </c>
      <c r="E705" s="4"/>
      <c r="F705" s="12"/>
      <c r="G705" s="4"/>
      <c r="H705" s="13" t="str">
        <f aca="false">IF(OR(N(C705)=0,N(F705)=0),"",C705*F705)</f>
        <v/>
      </c>
      <c r="I705" s="4"/>
      <c r="J705" s="11" t="str">
        <f aca="false">IF(K705="","",IF(N(C705)&lt;=0,"Informe a quantidade",IF(IFERROR(INDEX(INVENTÁRIO!$B$2:$B$801,MATCH(K705,INVENTÁRIO!$A$2:$A$801,0)),"")="(sem nome)","Carta fora dos decks: digite o nome na coluna I (opcional)","")))</f>
        <v/>
      </c>
      <c r="K705" s="11" t="str">
        <f aca="false">UPPER(TRIM(SUBSTITUTE(B705&amp;"",CHAR(160)," ")))</f>
        <v/>
      </c>
      <c r="L705" s="11" t="str">
        <f aca="false">IF(AND(K705&lt;&gt;"",TRIM(I705&amp;"")&lt;&gt;""),K705,"")</f>
        <v/>
      </c>
    </row>
    <row r="706" customFormat="false" ht="15" hidden="false" customHeight="false" outlineLevel="0" collapsed="false">
      <c r="A706" s="9"/>
      <c r="B706" s="4"/>
      <c r="C706" s="10"/>
      <c r="D706" s="11" t="str">
        <f aca="false">IF(K706="","",IFERROR(INDEX(DECKS!$C$2:$C$1201,MATCH(K706,DECKS!$B$2:$B$1201,0)),TRIM(I706&amp;"")))</f>
        <v/>
      </c>
      <c r="E706" s="4"/>
      <c r="F706" s="12"/>
      <c r="G706" s="4"/>
      <c r="H706" s="13" t="str">
        <f aca="false">IF(OR(N(C706)=0,N(F706)=0),"",C706*F706)</f>
        <v/>
      </c>
      <c r="I706" s="4"/>
      <c r="J706" s="11" t="str">
        <f aca="false">IF(K706="","",IF(N(C706)&lt;=0,"Informe a quantidade",IF(IFERROR(INDEX(INVENTÁRIO!$B$2:$B$801,MATCH(K706,INVENTÁRIO!$A$2:$A$801,0)),"")="(sem nome)","Carta fora dos decks: digite o nome na coluna I (opcional)","")))</f>
        <v/>
      </c>
      <c r="K706" s="11" t="str">
        <f aca="false">UPPER(TRIM(SUBSTITUTE(B706&amp;"",CHAR(160)," ")))</f>
        <v/>
      </c>
      <c r="L706" s="11" t="str">
        <f aca="false">IF(AND(K706&lt;&gt;"",TRIM(I706&amp;"")&lt;&gt;""),K706,"")</f>
        <v/>
      </c>
    </row>
    <row r="707" customFormat="false" ht="15" hidden="false" customHeight="false" outlineLevel="0" collapsed="false">
      <c r="A707" s="9"/>
      <c r="B707" s="4"/>
      <c r="C707" s="10"/>
      <c r="D707" s="11" t="str">
        <f aca="false">IF(K707="","",IFERROR(INDEX(DECKS!$C$2:$C$1201,MATCH(K707,DECKS!$B$2:$B$1201,0)),TRIM(I707&amp;"")))</f>
        <v/>
      </c>
      <c r="E707" s="4"/>
      <c r="F707" s="12"/>
      <c r="G707" s="4"/>
      <c r="H707" s="13" t="str">
        <f aca="false">IF(OR(N(C707)=0,N(F707)=0),"",C707*F707)</f>
        <v/>
      </c>
      <c r="I707" s="4"/>
      <c r="J707" s="11" t="str">
        <f aca="false">IF(K707="","",IF(N(C707)&lt;=0,"Informe a quantidade",IF(IFERROR(INDEX(INVENTÁRIO!$B$2:$B$801,MATCH(K707,INVENTÁRIO!$A$2:$A$801,0)),"")="(sem nome)","Carta fora dos decks: digite o nome na coluna I (opcional)","")))</f>
        <v/>
      </c>
      <c r="K707" s="11" t="str">
        <f aca="false">UPPER(TRIM(SUBSTITUTE(B707&amp;"",CHAR(160)," ")))</f>
        <v/>
      </c>
      <c r="L707" s="11" t="str">
        <f aca="false">IF(AND(K707&lt;&gt;"",TRIM(I707&amp;"")&lt;&gt;""),K707,"")</f>
        <v/>
      </c>
    </row>
    <row r="708" customFormat="false" ht="15" hidden="false" customHeight="false" outlineLevel="0" collapsed="false">
      <c r="A708" s="9"/>
      <c r="B708" s="4"/>
      <c r="C708" s="10"/>
      <c r="D708" s="11" t="str">
        <f aca="false">IF(K708="","",IFERROR(INDEX(DECKS!$C$2:$C$1201,MATCH(K708,DECKS!$B$2:$B$1201,0)),TRIM(I708&amp;"")))</f>
        <v/>
      </c>
      <c r="E708" s="4"/>
      <c r="F708" s="12"/>
      <c r="G708" s="4"/>
      <c r="H708" s="13" t="str">
        <f aca="false">IF(OR(N(C708)=0,N(F708)=0),"",C708*F708)</f>
        <v/>
      </c>
      <c r="I708" s="4"/>
      <c r="J708" s="11" t="str">
        <f aca="false">IF(K708="","",IF(N(C708)&lt;=0,"Informe a quantidade",IF(IFERROR(INDEX(INVENTÁRIO!$B$2:$B$801,MATCH(K708,INVENTÁRIO!$A$2:$A$801,0)),"")="(sem nome)","Carta fora dos decks: digite o nome na coluna I (opcional)","")))</f>
        <v/>
      </c>
      <c r="K708" s="11" t="str">
        <f aca="false">UPPER(TRIM(SUBSTITUTE(B708&amp;"",CHAR(160)," ")))</f>
        <v/>
      </c>
      <c r="L708" s="11" t="str">
        <f aca="false">IF(AND(K708&lt;&gt;"",TRIM(I708&amp;"")&lt;&gt;""),K708,"")</f>
        <v/>
      </c>
    </row>
    <row r="709" customFormat="false" ht="15" hidden="false" customHeight="false" outlineLevel="0" collapsed="false">
      <c r="A709" s="9"/>
      <c r="B709" s="4"/>
      <c r="C709" s="10"/>
      <c r="D709" s="11" t="str">
        <f aca="false">IF(K709="","",IFERROR(INDEX(DECKS!$C$2:$C$1201,MATCH(K709,DECKS!$B$2:$B$1201,0)),TRIM(I709&amp;"")))</f>
        <v/>
      </c>
      <c r="E709" s="4"/>
      <c r="F709" s="12"/>
      <c r="G709" s="4"/>
      <c r="H709" s="13" t="str">
        <f aca="false">IF(OR(N(C709)=0,N(F709)=0),"",C709*F709)</f>
        <v/>
      </c>
      <c r="I709" s="4"/>
      <c r="J709" s="11" t="str">
        <f aca="false">IF(K709="","",IF(N(C709)&lt;=0,"Informe a quantidade",IF(IFERROR(INDEX(INVENTÁRIO!$B$2:$B$801,MATCH(K709,INVENTÁRIO!$A$2:$A$801,0)),"")="(sem nome)","Carta fora dos decks: digite o nome na coluna I (opcional)","")))</f>
        <v/>
      </c>
      <c r="K709" s="11" t="str">
        <f aca="false">UPPER(TRIM(SUBSTITUTE(B709&amp;"",CHAR(160)," ")))</f>
        <v/>
      </c>
      <c r="L709" s="11" t="str">
        <f aca="false">IF(AND(K709&lt;&gt;"",TRIM(I709&amp;"")&lt;&gt;""),K709,"")</f>
        <v/>
      </c>
    </row>
    <row r="710" customFormat="false" ht="15" hidden="false" customHeight="false" outlineLevel="0" collapsed="false">
      <c r="A710" s="9"/>
      <c r="B710" s="4"/>
      <c r="C710" s="10"/>
      <c r="D710" s="11" t="str">
        <f aca="false">IF(K710="","",IFERROR(INDEX(DECKS!$C$2:$C$1201,MATCH(K710,DECKS!$B$2:$B$1201,0)),TRIM(I710&amp;"")))</f>
        <v/>
      </c>
      <c r="E710" s="4"/>
      <c r="F710" s="12"/>
      <c r="G710" s="4"/>
      <c r="H710" s="13" t="str">
        <f aca="false">IF(OR(N(C710)=0,N(F710)=0),"",C710*F710)</f>
        <v/>
      </c>
      <c r="I710" s="4"/>
      <c r="J710" s="11" t="str">
        <f aca="false">IF(K710="","",IF(N(C710)&lt;=0,"Informe a quantidade",IF(IFERROR(INDEX(INVENTÁRIO!$B$2:$B$801,MATCH(K710,INVENTÁRIO!$A$2:$A$801,0)),"")="(sem nome)","Carta fora dos decks: digite o nome na coluna I (opcional)","")))</f>
        <v/>
      </c>
      <c r="K710" s="11" t="str">
        <f aca="false">UPPER(TRIM(SUBSTITUTE(B710&amp;"",CHAR(160)," ")))</f>
        <v/>
      </c>
      <c r="L710" s="11" t="str">
        <f aca="false">IF(AND(K710&lt;&gt;"",TRIM(I710&amp;"")&lt;&gt;""),K710,"")</f>
        <v/>
      </c>
    </row>
    <row r="711" customFormat="false" ht="15" hidden="false" customHeight="false" outlineLevel="0" collapsed="false">
      <c r="A711" s="9"/>
      <c r="B711" s="4"/>
      <c r="C711" s="10"/>
      <c r="D711" s="11" t="str">
        <f aca="false">IF(K711="","",IFERROR(INDEX(DECKS!$C$2:$C$1201,MATCH(K711,DECKS!$B$2:$B$1201,0)),TRIM(I711&amp;"")))</f>
        <v/>
      </c>
      <c r="E711" s="4"/>
      <c r="F711" s="12"/>
      <c r="G711" s="4"/>
      <c r="H711" s="13" t="str">
        <f aca="false">IF(OR(N(C711)=0,N(F711)=0),"",C711*F711)</f>
        <v/>
      </c>
      <c r="I711" s="4"/>
      <c r="J711" s="11" t="str">
        <f aca="false">IF(K711="","",IF(N(C711)&lt;=0,"Informe a quantidade",IF(IFERROR(INDEX(INVENTÁRIO!$B$2:$B$801,MATCH(K711,INVENTÁRIO!$A$2:$A$801,0)),"")="(sem nome)","Carta fora dos decks: digite o nome na coluna I (opcional)","")))</f>
        <v/>
      </c>
      <c r="K711" s="11" t="str">
        <f aca="false">UPPER(TRIM(SUBSTITUTE(B711&amp;"",CHAR(160)," ")))</f>
        <v/>
      </c>
      <c r="L711" s="11" t="str">
        <f aca="false">IF(AND(K711&lt;&gt;"",TRIM(I711&amp;"")&lt;&gt;""),K711,"")</f>
        <v/>
      </c>
    </row>
    <row r="712" customFormat="false" ht="15" hidden="false" customHeight="false" outlineLevel="0" collapsed="false">
      <c r="A712" s="9"/>
      <c r="B712" s="4"/>
      <c r="C712" s="10"/>
      <c r="D712" s="11" t="str">
        <f aca="false">IF(K712="","",IFERROR(INDEX(DECKS!$C$2:$C$1201,MATCH(K712,DECKS!$B$2:$B$1201,0)),TRIM(I712&amp;"")))</f>
        <v/>
      </c>
      <c r="E712" s="4"/>
      <c r="F712" s="12"/>
      <c r="G712" s="4"/>
      <c r="H712" s="13" t="str">
        <f aca="false">IF(OR(N(C712)=0,N(F712)=0),"",C712*F712)</f>
        <v/>
      </c>
      <c r="I712" s="4"/>
      <c r="J712" s="11" t="str">
        <f aca="false">IF(K712="","",IF(N(C712)&lt;=0,"Informe a quantidade",IF(IFERROR(INDEX(INVENTÁRIO!$B$2:$B$801,MATCH(K712,INVENTÁRIO!$A$2:$A$801,0)),"")="(sem nome)","Carta fora dos decks: digite o nome na coluna I (opcional)","")))</f>
        <v/>
      </c>
      <c r="K712" s="11" t="str">
        <f aca="false">UPPER(TRIM(SUBSTITUTE(B712&amp;"",CHAR(160)," ")))</f>
        <v/>
      </c>
      <c r="L712" s="11" t="str">
        <f aca="false">IF(AND(K712&lt;&gt;"",TRIM(I712&amp;"")&lt;&gt;""),K712,"")</f>
        <v/>
      </c>
    </row>
    <row r="713" customFormat="false" ht="15" hidden="false" customHeight="false" outlineLevel="0" collapsed="false">
      <c r="A713" s="9"/>
      <c r="B713" s="4"/>
      <c r="C713" s="10"/>
      <c r="D713" s="11" t="str">
        <f aca="false">IF(K713="","",IFERROR(INDEX(DECKS!$C$2:$C$1201,MATCH(K713,DECKS!$B$2:$B$1201,0)),TRIM(I713&amp;"")))</f>
        <v/>
      </c>
      <c r="E713" s="4"/>
      <c r="F713" s="12"/>
      <c r="G713" s="4"/>
      <c r="H713" s="13" t="str">
        <f aca="false">IF(OR(N(C713)=0,N(F713)=0),"",C713*F713)</f>
        <v/>
      </c>
      <c r="I713" s="4"/>
      <c r="J713" s="11" t="str">
        <f aca="false">IF(K713="","",IF(N(C713)&lt;=0,"Informe a quantidade",IF(IFERROR(INDEX(INVENTÁRIO!$B$2:$B$801,MATCH(K713,INVENTÁRIO!$A$2:$A$801,0)),"")="(sem nome)","Carta fora dos decks: digite o nome na coluna I (opcional)","")))</f>
        <v/>
      </c>
      <c r="K713" s="11" t="str">
        <f aca="false">UPPER(TRIM(SUBSTITUTE(B713&amp;"",CHAR(160)," ")))</f>
        <v/>
      </c>
      <c r="L713" s="11" t="str">
        <f aca="false">IF(AND(K713&lt;&gt;"",TRIM(I713&amp;"")&lt;&gt;""),K713,"")</f>
        <v/>
      </c>
    </row>
    <row r="714" customFormat="false" ht="15" hidden="false" customHeight="false" outlineLevel="0" collapsed="false">
      <c r="A714" s="9"/>
      <c r="B714" s="4"/>
      <c r="C714" s="10"/>
      <c r="D714" s="11" t="str">
        <f aca="false">IF(K714="","",IFERROR(INDEX(DECKS!$C$2:$C$1201,MATCH(K714,DECKS!$B$2:$B$1201,0)),TRIM(I714&amp;"")))</f>
        <v/>
      </c>
      <c r="E714" s="4"/>
      <c r="F714" s="12"/>
      <c r="G714" s="4"/>
      <c r="H714" s="13" t="str">
        <f aca="false">IF(OR(N(C714)=0,N(F714)=0),"",C714*F714)</f>
        <v/>
      </c>
      <c r="I714" s="4"/>
      <c r="J714" s="11" t="str">
        <f aca="false">IF(K714="","",IF(N(C714)&lt;=0,"Informe a quantidade",IF(IFERROR(INDEX(INVENTÁRIO!$B$2:$B$801,MATCH(K714,INVENTÁRIO!$A$2:$A$801,0)),"")="(sem nome)","Carta fora dos decks: digite o nome na coluna I (opcional)","")))</f>
        <v/>
      </c>
      <c r="K714" s="11" t="str">
        <f aca="false">UPPER(TRIM(SUBSTITUTE(B714&amp;"",CHAR(160)," ")))</f>
        <v/>
      </c>
      <c r="L714" s="11" t="str">
        <f aca="false">IF(AND(K714&lt;&gt;"",TRIM(I714&amp;"")&lt;&gt;""),K714,"")</f>
        <v/>
      </c>
    </row>
    <row r="715" customFormat="false" ht="15" hidden="false" customHeight="false" outlineLevel="0" collapsed="false">
      <c r="A715" s="9"/>
      <c r="B715" s="4"/>
      <c r="C715" s="10"/>
      <c r="D715" s="11" t="str">
        <f aca="false">IF(K715="","",IFERROR(INDEX(DECKS!$C$2:$C$1201,MATCH(K715,DECKS!$B$2:$B$1201,0)),TRIM(I715&amp;"")))</f>
        <v/>
      </c>
      <c r="E715" s="4"/>
      <c r="F715" s="12"/>
      <c r="G715" s="4"/>
      <c r="H715" s="13" t="str">
        <f aca="false">IF(OR(N(C715)=0,N(F715)=0),"",C715*F715)</f>
        <v/>
      </c>
      <c r="I715" s="4"/>
      <c r="J715" s="11" t="str">
        <f aca="false">IF(K715="","",IF(N(C715)&lt;=0,"Informe a quantidade",IF(IFERROR(INDEX(INVENTÁRIO!$B$2:$B$801,MATCH(K715,INVENTÁRIO!$A$2:$A$801,0)),"")="(sem nome)","Carta fora dos decks: digite o nome na coluna I (opcional)","")))</f>
        <v/>
      </c>
      <c r="K715" s="11" t="str">
        <f aca="false">UPPER(TRIM(SUBSTITUTE(B715&amp;"",CHAR(160)," ")))</f>
        <v/>
      </c>
      <c r="L715" s="11" t="str">
        <f aca="false">IF(AND(K715&lt;&gt;"",TRIM(I715&amp;"")&lt;&gt;""),K715,"")</f>
        <v/>
      </c>
    </row>
    <row r="716" customFormat="false" ht="15" hidden="false" customHeight="false" outlineLevel="0" collapsed="false">
      <c r="A716" s="9"/>
      <c r="B716" s="4"/>
      <c r="C716" s="10"/>
      <c r="D716" s="11" t="str">
        <f aca="false">IF(K716="","",IFERROR(INDEX(DECKS!$C$2:$C$1201,MATCH(K716,DECKS!$B$2:$B$1201,0)),TRIM(I716&amp;"")))</f>
        <v/>
      </c>
      <c r="E716" s="4"/>
      <c r="F716" s="12"/>
      <c r="G716" s="4"/>
      <c r="H716" s="13" t="str">
        <f aca="false">IF(OR(N(C716)=0,N(F716)=0),"",C716*F716)</f>
        <v/>
      </c>
      <c r="I716" s="4"/>
      <c r="J716" s="11" t="str">
        <f aca="false">IF(K716="","",IF(N(C716)&lt;=0,"Informe a quantidade",IF(IFERROR(INDEX(INVENTÁRIO!$B$2:$B$801,MATCH(K716,INVENTÁRIO!$A$2:$A$801,0)),"")="(sem nome)","Carta fora dos decks: digite o nome na coluna I (opcional)","")))</f>
        <v/>
      </c>
      <c r="K716" s="11" t="str">
        <f aca="false">UPPER(TRIM(SUBSTITUTE(B716&amp;"",CHAR(160)," ")))</f>
        <v/>
      </c>
      <c r="L716" s="11" t="str">
        <f aca="false">IF(AND(K716&lt;&gt;"",TRIM(I716&amp;"")&lt;&gt;""),K716,"")</f>
        <v/>
      </c>
    </row>
    <row r="717" customFormat="false" ht="15" hidden="false" customHeight="false" outlineLevel="0" collapsed="false">
      <c r="A717" s="9"/>
      <c r="B717" s="4"/>
      <c r="C717" s="10"/>
      <c r="D717" s="11" t="str">
        <f aca="false">IF(K717="","",IFERROR(INDEX(DECKS!$C$2:$C$1201,MATCH(K717,DECKS!$B$2:$B$1201,0)),TRIM(I717&amp;"")))</f>
        <v/>
      </c>
      <c r="E717" s="4"/>
      <c r="F717" s="12"/>
      <c r="G717" s="4"/>
      <c r="H717" s="13" t="str">
        <f aca="false">IF(OR(N(C717)=0,N(F717)=0),"",C717*F717)</f>
        <v/>
      </c>
      <c r="I717" s="4"/>
      <c r="J717" s="11" t="str">
        <f aca="false">IF(K717="","",IF(N(C717)&lt;=0,"Informe a quantidade",IF(IFERROR(INDEX(INVENTÁRIO!$B$2:$B$801,MATCH(K717,INVENTÁRIO!$A$2:$A$801,0)),"")="(sem nome)","Carta fora dos decks: digite o nome na coluna I (opcional)","")))</f>
        <v/>
      </c>
      <c r="K717" s="11" t="str">
        <f aca="false">UPPER(TRIM(SUBSTITUTE(B717&amp;"",CHAR(160)," ")))</f>
        <v/>
      </c>
      <c r="L717" s="11" t="str">
        <f aca="false">IF(AND(K717&lt;&gt;"",TRIM(I717&amp;"")&lt;&gt;""),K717,"")</f>
        <v/>
      </c>
    </row>
    <row r="718" customFormat="false" ht="15" hidden="false" customHeight="false" outlineLevel="0" collapsed="false">
      <c r="A718" s="9"/>
      <c r="B718" s="4"/>
      <c r="C718" s="10"/>
      <c r="D718" s="11" t="str">
        <f aca="false">IF(K718="","",IFERROR(INDEX(DECKS!$C$2:$C$1201,MATCH(K718,DECKS!$B$2:$B$1201,0)),TRIM(I718&amp;"")))</f>
        <v/>
      </c>
      <c r="E718" s="4"/>
      <c r="F718" s="12"/>
      <c r="G718" s="4"/>
      <c r="H718" s="13" t="str">
        <f aca="false">IF(OR(N(C718)=0,N(F718)=0),"",C718*F718)</f>
        <v/>
      </c>
      <c r="I718" s="4"/>
      <c r="J718" s="11" t="str">
        <f aca="false">IF(K718="","",IF(N(C718)&lt;=0,"Informe a quantidade",IF(IFERROR(INDEX(INVENTÁRIO!$B$2:$B$801,MATCH(K718,INVENTÁRIO!$A$2:$A$801,0)),"")="(sem nome)","Carta fora dos decks: digite o nome na coluna I (opcional)","")))</f>
        <v/>
      </c>
      <c r="K718" s="11" t="str">
        <f aca="false">UPPER(TRIM(SUBSTITUTE(B718&amp;"",CHAR(160)," ")))</f>
        <v/>
      </c>
      <c r="L718" s="11" t="str">
        <f aca="false">IF(AND(K718&lt;&gt;"",TRIM(I718&amp;"")&lt;&gt;""),K718,"")</f>
        <v/>
      </c>
    </row>
    <row r="719" customFormat="false" ht="15" hidden="false" customHeight="false" outlineLevel="0" collapsed="false">
      <c r="A719" s="9"/>
      <c r="B719" s="4"/>
      <c r="C719" s="10"/>
      <c r="D719" s="11" t="str">
        <f aca="false">IF(K719="","",IFERROR(INDEX(DECKS!$C$2:$C$1201,MATCH(K719,DECKS!$B$2:$B$1201,0)),TRIM(I719&amp;"")))</f>
        <v/>
      </c>
      <c r="E719" s="4"/>
      <c r="F719" s="12"/>
      <c r="G719" s="4"/>
      <c r="H719" s="13" t="str">
        <f aca="false">IF(OR(N(C719)=0,N(F719)=0),"",C719*F719)</f>
        <v/>
      </c>
      <c r="I719" s="4"/>
      <c r="J719" s="11" t="str">
        <f aca="false">IF(K719="","",IF(N(C719)&lt;=0,"Informe a quantidade",IF(IFERROR(INDEX(INVENTÁRIO!$B$2:$B$801,MATCH(K719,INVENTÁRIO!$A$2:$A$801,0)),"")="(sem nome)","Carta fora dos decks: digite o nome na coluna I (opcional)","")))</f>
        <v/>
      </c>
      <c r="K719" s="11" t="str">
        <f aca="false">UPPER(TRIM(SUBSTITUTE(B719&amp;"",CHAR(160)," ")))</f>
        <v/>
      </c>
      <c r="L719" s="11" t="str">
        <f aca="false">IF(AND(K719&lt;&gt;"",TRIM(I719&amp;"")&lt;&gt;""),K719,"")</f>
        <v/>
      </c>
    </row>
    <row r="720" customFormat="false" ht="15" hidden="false" customHeight="false" outlineLevel="0" collapsed="false">
      <c r="A720" s="9"/>
      <c r="B720" s="4"/>
      <c r="C720" s="10"/>
      <c r="D720" s="11" t="str">
        <f aca="false">IF(K720="","",IFERROR(INDEX(DECKS!$C$2:$C$1201,MATCH(K720,DECKS!$B$2:$B$1201,0)),TRIM(I720&amp;"")))</f>
        <v/>
      </c>
      <c r="E720" s="4"/>
      <c r="F720" s="12"/>
      <c r="G720" s="4"/>
      <c r="H720" s="13" t="str">
        <f aca="false">IF(OR(N(C720)=0,N(F720)=0),"",C720*F720)</f>
        <v/>
      </c>
      <c r="I720" s="4"/>
      <c r="J720" s="11" t="str">
        <f aca="false">IF(K720="","",IF(N(C720)&lt;=0,"Informe a quantidade",IF(IFERROR(INDEX(INVENTÁRIO!$B$2:$B$801,MATCH(K720,INVENTÁRIO!$A$2:$A$801,0)),"")="(sem nome)","Carta fora dos decks: digite o nome na coluna I (opcional)","")))</f>
        <v/>
      </c>
      <c r="K720" s="11" t="str">
        <f aca="false">UPPER(TRIM(SUBSTITUTE(B720&amp;"",CHAR(160)," ")))</f>
        <v/>
      </c>
      <c r="L720" s="11" t="str">
        <f aca="false">IF(AND(K720&lt;&gt;"",TRIM(I720&amp;"")&lt;&gt;""),K720,"")</f>
        <v/>
      </c>
    </row>
    <row r="721" customFormat="false" ht="15" hidden="false" customHeight="false" outlineLevel="0" collapsed="false">
      <c r="A721" s="9"/>
      <c r="B721" s="4"/>
      <c r="C721" s="10"/>
      <c r="D721" s="11" t="str">
        <f aca="false">IF(K721="","",IFERROR(INDEX(DECKS!$C$2:$C$1201,MATCH(K721,DECKS!$B$2:$B$1201,0)),TRIM(I721&amp;"")))</f>
        <v/>
      </c>
      <c r="E721" s="4"/>
      <c r="F721" s="12"/>
      <c r="G721" s="4"/>
      <c r="H721" s="13" t="str">
        <f aca="false">IF(OR(N(C721)=0,N(F721)=0),"",C721*F721)</f>
        <v/>
      </c>
      <c r="I721" s="4"/>
      <c r="J721" s="11" t="str">
        <f aca="false">IF(K721="","",IF(N(C721)&lt;=0,"Informe a quantidade",IF(IFERROR(INDEX(INVENTÁRIO!$B$2:$B$801,MATCH(K721,INVENTÁRIO!$A$2:$A$801,0)),"")="(sem nome)","Carta fora dos decks: digite o nome na coluna I (opcional)","")))</f>
        <v/>
      </c>
      <c r="K721" s="11" t="str">
        <f aca="false">UPPER(TRIM(SUBSTITUTE(B721&amp;"",CHAR(160)," ")))</f>
        <v/>
      </c>
      <c r="L721" s="11" t="str">
        <f aca="false">IF(AND(K721&lt;&gt;"",TRIM(I721&amp;"")&lt;&gt;""),K721,"")</f>
        <v/>
      </c>
    </row>
    <row r="722" customFormat="false" ht="15" hidden="false" customHeight="false" outlineLevel="0" collapsed="false">
      <c r="A722" s="9"/>
      <c r="B722" s="4"/>
      <c r="C722" s="10"/>
      <c r="D722" s="11" t="str">
        <f aca="false">IF(K722="","",IFERROR(INDEX(DECKS!$C$2:$C$1201,MATCH(K722,DECKS!$B$2:$B$1201,0)),TRIM(I722&amp;"")))</f>
        <v/>
      </c>
      <c r="E722" s="4"/>
      <c r="F722" s="12"/>
      <c r="G722" s="4"/>
      <c r="H722" s="13" t="str">
        <f aca="false">IF(OR(N(C722)=0,N(F722)=0),"",C722*F722)</f>
        <v/>
      </c>
      <c r="I722" s="4"/>
      <c r="J722" s="11" t="str">
        <f aca="false">IF(K722="","",IF(N(C722)&lt;=0,"Informe a quantidade",IF(IFERROR(INDEX(INVENTÁRIO!$B$2:$B$801,MATCH(K722,INVENTÁRIO!$A$2:$A$801,0)),"")="(sem nome)","Carta fora dos decks: digite o nome na coluna I (opcional)","")))</f>
        <v/>
      </c>
      <c r="K722" s="11" t="str">
        <f aca="false">UPPER(TRIM(SUBSTITUTE(B722&amp;"",CHAR(160)," ")))</f>
        <v/>
      </c>
      <c r="L722" s="11" t="str">
        <f aca="false">IF(AND(K722&lt;&gt;"",TRIM(I722&amp;"")&lt;&gt;""),K722,"")</f>
        <v/>
      </c>
    </row>
    <row r="723" customFormat="false" ht="15" hidden="false" customHeight="false" outlineLevel="0" collapsed="false">
      <c r="A723" s="9"/>
      <c r="B723" s="4"/>
      <c r="C723" s="10"/>
      <c r="D723" s="11" t="str">
        <f aca="false">IF(K723="","",IFERROR(INDEX(DECKS!$C$2:$C$1201,MATCH(K723,DECKS!$B$2:$B$1201,0)),TRIM(I723&amp;"")))</f>
        <v/>
      </c>
      <c r="E723" s="4"/>
      <c r="F723" s="12"/>
      <c r="G723" s="4"/>
      <c r="H723" s="13" t="str">
        <f aca="false">IF(OR(N(C723)=0,N(F723)=0),"",C723*F723)</f>
        <v/>
      </c>
      <c r="I723" s="4"/>
      <c r="J723" s="11" t="str">
        <f aca="false">IF(K723="","",IF(N(C723)&lt;=0,"Informe a quantidade",IF(IFERROR(INDEX(INVENTÁRIO!$B$2:$B$801,MATCH(K723,INVENTÁRIO!$A$2:$A$801,0)),"")="(sem nome)","Carta fora dos decks: digite o nome na coluna I (opcional)","")))</f>
        <v/>
      </c>
      <c r="K723" s="11" t="str">
        <f aca="false">UPPER(TRIM(SUBSTITUTE(B723&amp;"",CHAR(160)," ")))</f>
        <v/>
      </c>
      <c r="L723" s="11" t="str">
        <f aca="false">IF(AND(K723&lt;&gt;"",TRIM(I723&amp;"")&lt;&gt;""),K723,"")</f>
        <v/>
      </c>
    </row>
    <row r="724" customFormat="false" ht="15" hidden="false" customHeight="false" outlineLevel="0" collapsed="false">
      <c r="A724" s="9"/>
      <c r="B724" s="4"/>
      <c r="C724" s="10"/>
      <c r="D724" s="11" t="str">
        <f aca="false">IF(K724="","",IFERROR(INDEX(DECKS!$C$2:$C$1201,MATCH(K724,DECKS!$B$2:$B$1201,0)),TRIM(I724&amp;"")))</f>
        <v/>
      </c>
      <c r="E724" s="4"/>
      <c r="F724" s="12"/>
      <c r="G724" s="4"/>
      <c r="H724" s="13" t="str">
        <f aca="false">IF(OR(N(C724)=0,N(F724)=0),"",C724*F724)</f>
        <v/>
      </c>
      <c r="I724" s="4"/>
      <c r="J724" s="11" t="str">
        <f aca="false">IF(K724="","",IF(N(C724)&lt;=0,"Informe a quantidade",IF(IFERROR(INDEX(INVENTÁRIO!$B$2:$B$801,MATCH(K724,INVENTÁRIO!$A$2:$A$801,0)),"")="(sem nome)","Carta fora dos decks: digite o nome na coluna I (opcional)","")))</f>
        <v/>
      </c>
      <c r="K724" s="11" t="str">
        <f aca="false">UPPER(TRIM(SUBSTITUTE(B724&amp;"",CHAR(160)," ")))</f>
        <v/>
      </c>
      <c r="L724" s="11" t="str">
        <f aca="false">IF(AND(K724&lt;&gt;"",TRIM(I724&amp;"")&lt;&gt;""),K724,"")</f>
        <v/>
      </c>
    </row>
    <row r="725" customFormat="false" ht="15" hidden="false" customHeight="false" outlineLevel="0" collapsed="false">
      <c r="A725" s="9"/>
      <c r="B725" s="4"/>
      <c r="C725" s="10"/>
      <c r="D725" s="11" t="str">
        <f aca="false">IF(K725="","",IFERROR(INDEX(DECKS!$C$2:$C$1201,MATCH(K725,DECKS!$B$2:$B$1201,0)),TRIM(I725&amp;"")))</f>
        <v/>
      </c>
      <c r="E725" s="4"/>
      <c r="F725" s="12"/>
      <c r="G725" s="4"/>
      <c r="H725" s="13" t="str">
        <f aca="false">IF(OR(N(C725)=0,N(F725)=0),"",C725*F725)</f>
        <v/>
      </c>
      <c r="I725" s="4"/>
      <c r="J725" s="11" t="str">
        <f aca="false">IF(K725="","",IF(N(C725)&lt;=0,"Informe a quantidade",IF(IFERROR(INDEX(INVENTÁRIO!$B$2:$B$801,MATCH(K725,INVENTÁRIO!$A$2:$A$801,0)),"")="(sem nome)","Carta fora dos decks: digite o nome na coluna I (opcional)","")))</f>
        <v/>
      </c>
      <c r="K725" s="11" t="str">
        <f aca="false">UPPER(TRIM(SUBSTITUTE(B725&amp;"",CHAR(160)," ")))</f>
        <v/>
      </c>
      <c r="L725" s="11" t="str">
        <f aca="false">IF(AND(K725&lt;&gt;"",TRIM(I725&amp;"")&lt;&gt;""),K725,"")</f>
        <v/>
      </c>
    </row>
    <row r="726" customFormat="false" ht="15" hidden="false" customHeight="false" outlineLevel="0" collapsed="false">
      <c r="A726" s="9"/>
      <c r="B726" s="4"/>
      <c r="C726" s="10"/>
      <c r="D726" s="11" t="str">
        <f aca="false">IF(K726="","",IFERROR(INDEX(DECKS!$C$2:$C$1201,MATCH(K726,DECKS!$B$2:$B$1201,0)),TRIM(I726&amp;"")))</f>
        <v/>
      </c>
      <c r="E726" s="4"/>
      <c r="F726" s="12"/>
      <c r="G726" s="4"/>
      <c r="H726" s="13" t="str">
        <f aca="false">IF(OR(N(C726)=0,N(F726)=0),"",C726*F726)</f>
        <v/>
      </c>
      <c r="I726" s="4"/>
      <c r="J726" s="11" t="str">
        <f aca="false">IF(K726="","",IF(N(C726)&lt;=0,"Informe a quantidade",IF(IFERROR(INDEX(INVENTÁRIO!$B$2:$B$801,MATCH(K726,INVENTÁRIO!$A$2:$A$801,0)),"")="(sem nome)","Carta fora dos decks: digite o nome na coluna I (opcional)","")))</f>
        <v/>
      </c>
      <c r="K726" s="11" t="str">
        <f aca="false">UPPER(TRIM(SUBSTITUTE(B726&amp;"",CHAR(160)," ")))</f>
        <v/>
      </c>
      <c r="L726" s="11" t="str">
        <f aca="false">IF(AND(K726&lt;&gt;"",TRIM(I726&amp;"")&lt;&gt;""),K726,"")</f>
        <v/>
      </c>
    </row>
    <row r="727" customFormat="false" ht="15" hidden="false" customHeight="false" outlineLevel="0" collapsed="false">
      <c r="A727" s="9"/>
      <c r="B727" s="4"/>
      <c r="C727" s="10"/>
      <c r="D727" s="11" t="str">
        <f aca="false">IF(K727="","",IFERROR(INDEX(DECKS!$C$2:$C$1201,MATCH(K727,DECKS!$B$2:$B$1201,0)),TRIM(I727&amp;"")))</f>
        <v/>
      </c>
      <c r="E727" s="4"/>
      <c r="F727" s="12"/>
      <c r="G727" s="4"/>
      <c r="H727" s="13" t="str">
        <f aca="false">IF(OR(N(C727)=0,N(F727)=0),"",C727*F727)</f>
        <v/>
      </c>
      <c r="I727" s="4"/>
      <c r="J727" s="11" t="str">
        <f aca="false">IF(K727="","",IF(N(C727)&lt;=0,"Informe a quantidade",IF(IFERROR(INDEX(INVENTÁRIO!$B$2:$B$801,MATCH(K727,INVENTÁRIO!$A$2:$A$801,0)),"")="(sem nome)","Carta fora dos decks: digite o nome na coluna I (opcional)","")))</f>
        <v/>
      </c>
      <c r="K727" s="11" t="str">
        <f aca="false">UPPER(TRIM(SUBSTITUTE(B727&amp;"",CHAR(160)," ")))</f>
        <v/>
      </c>
      <c r="L727" s="11" t="str">
        <f aca="false">IF(AND(K727&lt;&gt;"",TRIM(I727&amp;"")&lt;&gt;""),K727,"")</f>
        <v/>
      </c>
    </row>
    <row r="728" customFormat="false" ht="15" hidden="false" customHeight="false" outlineLevel="0" collapsed="false">
      <c r="A728" s="9"/>
      <c r="B728" s="4"/>
      <c r="C728" s="10"/>
      <c r="D728" s="11" t="str">
        <f aca="false">IF(K728="","",IFERROR(INDEX(DECKS!$C$2:$C$1201,MATCH(K728,DECKS!$B$2:$B$1201,0)),TRIM(I728&amp;"")))</f>
        <v/>
      </c>
      <c r="E728" s="4"/>
      <c r="F728" s="12"/>
      <c r="G728" s="4"/>
      <c r="H728" s="13" t="str">
        <f aca="false">IF(OR(N(C728)=0,N(F728)=0),"",C728*F728)</f>
        <v/>
      </c>
      <c r="I728" s="4"/>
      <c r="J728" s="11" t="str">
        <f aca="false">IF(K728="","",IF(N(C728)&lt;=0,"Informe a quantidade",IF(IFERROR(INDEX(INVENTÁRIO!$B$2:$B$801,MATCH(K728,INVENTÁRIO!$A$2:$A$801,0)),"")="(sem nome)","Carta fora dos decks: digite o nome na coluna I (opcional)","")))</f>
        <v/>
      </c>
      <c r="K728" s="11" t="str">
        <f aca="false">UPPER(TRIM(SUBSTITUTE(B728&amp;"",CHAR(160)," ")))</f>
        <v/>
      </c>
      <c r="L728" s="11" t="str">
        <f aca="false">IF(AND(K728&lt;&gt;"",TRIM(I728&amp;"")&lt;&gt;""),K728,"")</f>
        <v/>
      </c>
    </row>
    <row r="729" customFormat="false" ht="15" hidden="false" customHeight="false" outlineLevel="0" collapsed="false">
      <c r="A729" s="9"/>
      <c r="B729" s="4"/>
      <c r="C729" s="10"/>
      <c r="D729" s="11" t="str">
        <f aca="false">IF(K729="","",IFERROR(INDEX(DECKS!$C$2:$C$1201,MATCH(K729,DECKS!$B$2:$B$1201,0)),TRIM(I729&amp;"")))</f>
        <v/>
      </c>
      <c r="E729" s="4"/>
      <c r="F729" s="12"/>
      <c r="G729" s="4"/>
      <c r="H729" s="13" t="str">
        <f aca="false">IF(OR(N(C729)=0,N(F729)=0),"",C729*F729)</f>
        <v/>
      </c>
      <c r="I729" s="4"/>
      <c r="J729" s="11" t="str">
        <f aca="false">IF(K729="","",IF(N(C729)&lt;=0,"Informe a quantidade",IF(IFERROR(INDEX(INVENTÁRIO!$B$2:$B$801,MATCH(K729,INVENTÁRIO!$A$2:$A$801,0)),"")="(sem nome)","Carta fora dos decks: digite o nome na coluna I (opcional)","")))</f>
        <v/>
      </c>
      <c r="K729" s="11" t="str">
        <f aca="false">UPPER(TRIM(SUBSTITUTE(B729&amp;"",CHAR(160)," ")))</f>
        <v/>
      </c>
      <c r="L729" s="11" t="str">
        <f aca="false">IF(AND(K729&lt;&gt;"",TRIM(I729&amp;"")&lt;&gt;""),K729,"")</f>
        <v/>
      </c>
    </row>
    <row r="730" customFormat="false" ht="15" hidden="false" customHeight="false" outlineLevel="0" collapsed="false">
      <c r="A730" s="9"/>
      <c r="B730" s="4"/>
      <c r="C730" s="10"/>
      <c r="D730" s="11" t="str">
        <f aca="false">IF(K730="","",IFERROR(INDEX(DECKS!$C$2:$C$1201,MATCH(K730,DECKS!$B$2:$B$1201,0)),TRIM(I730&amp;"")))</f>
        <v/>
      </c>
      <c r="E730" s="4"/>
      <c r="F730" s="12"/>
      <c r="G730" s="4"/>
      <c r="H730" s="13" t="str">
        <f aca="false">IF(OR(N(C730)=0,N(F730)=0),"",C730*F730)</f>
        <v/>
      </c>
      <c r="I730" s="4"/>
      <c r="J730" s="11" t="str">
        <f aca="false">IF(K730="","",IF(N(C730)&lt;=0,"Informe a quantidade",IF(IFERROR(INDEX(INVENTÁRIO!$B$2:$B$801,MATCH(K730,INVENTÁRIO!$A$2:$A$801,0)),"")="(sem nome)","Carta fora dos decks: digite o nome na coluna I (opcional)","")))</f>
        <v/>
      </c>
      <c r="K730" s="11" t="str">
        <f aca="false">UPPER(TRIM(SUBSTITUTE(B730&amp;"",CHAR(160)," ")))</f>
        <v/>
      </c>
      <c r="L730" s="11" t="str">
        <f aca="false">IF(AND(K730&lt;&gt;"",TRIM(I730&amp;"")&lt;&gt;""),K730,"")</f>
        <v/>
      </c>
    </row>
    <row r="731" customFormat="false" ht="15" hidden="false" customHeight="false" outlineLevel="0" collapsed="false">
      <c r="A731" s="9"/>
      <c r="B731" s="4"/>
      <c r="C731" s="10"/>
      <c r="D731" s="11" t="str">
        <f aca="false">IF(K731="","",IFERROR(INDEX(DECKS!$C$2:$C$1201,MATCH(K731,DECKS!$B$2:$B$1201,0)),TRIM(I731&amp;"")))</f>
        <v/>
      </c>
      <c r="E731" s="4"/>
      <c r="F731" s="12"/>
      <c r="G731" s="4"/>
      <c r="H731" s="13" t="str">
        <f aca="false">IF(OR(N(C731)=0,N(F731)=0),"",C731*F731)</f>
        <v/>
      </c>
      <c r="I731" s="4"/>
      <c r="J731" s="11" t="str">
        <f aca="false">IF(K731="","",IF(N(C731)&lt;=0,"Informe a quantidade",IF(IFERROR(INDEX(INVENTÁRIO!$B$2:$B$801,MATCH(K731,INVENTÁRIO!$A$2:$A$801,0)),"")="(sem nome)","Carta fora dos decks: digite o nome na coluna I (opcional)","")))</f>
        <v/>
      </c>
      <c r="K731" s="11" t="str">
        <f aca="false">UPPER(TRIM(SUBSTITUTE(B731&amp;"",CHAR(160)," ")))</f>
        <v/>
      </c>
      <c r="L731" s="11" t="str">
        <f aca="false">IF(AND(K731&lt;&gt;"",TRIM(I731&amp;"")&lt;&gt;""),K731,"")</f>
        <v/>
      </c>
    </row>
    <row r="732" customFormat="false" ht="15" hidden="false" customHeight="false" outlineLevel="0" collapsed="false">
      <c r="A732" s="9"/>
      <c r="B732" s="4"/>
      <c r="C732" s="10"/>
      <c r="D732" s="11" t="str">
        <f aca="false">IF(K732="","",IFERROR(INDEX(DECKS!$C$2:$C$1201,MATCH(K732,DECKS!$B$2:$B$1201,0)),TRIM(I732&amp;"")))</f>
        <v/>
      </c>
      <c r="E732" s="4"/>
      <c r="F732" s="12"/>
      <c r="G732" s="4"/>
      <c r="H732" s="13" t="str">
        <f aca="false">IF(OR(N(C732)=0,N(F732)=0),"",C732*F732)</f>
        <v/>
      </c>
      <c r="I732" s="4"/>
      <c r="J732" s="11" t="str">
        <f aca="false">IF(K732="","",IF(N(C732)&lt;=0,"Informe a quantidade",IF(IFERROR(INDEX(INVENTÁRIO!$B$2:$B$801,MATCH(K732,INVENTÁRIO!$A$2:$A$801,0)),"")="(sem nome)","Carta fora dos decks: digite o nome na coluna I (opcional)","")))</f>
        <v/>
      </c>
      <c r="K732" s="11" t="str">
        <f aca="false">UPPER(TRIM(SUBSTITUTE(B732&amp;"",CHAR(160)," ")))</f>
        <v/>
      </c>
      <c r="L732" s="11" t="str">
        <f aca="false">IF(AND(K732&lt;&gt;"",TRIM(I732&amp;"")&lt;&gt;""),K732,"")</f>
        <v/>
      </c>
    </row>
    <row r="733" customFormat="false" ht="15" hidden="false" customHeight="false" outlineLevel="0" collapsed="false">
      <c r="A733" s="9"/>
      <c r="B733" s="4"/>
      <c r="C733" s="10"/>
      <c r="D733" s="11" t="str">
        <f aca="false">IF(K733="","",IFERROR(INDEX(DECKS!$C$2:$C$1201,MATCH(K733,DECKS!$B$2:$B$1201,0)),TRIM(I733&amp;"")))</f>
        <v/>
      </c>
      <c r="E733" s="4"/>
      <c r="F733" s="12"/>
      <c r="G733" s="4"/>
      <c r="H733" s="13" t="str">
        <f aca="false">IF(OR(N(C733)=0,N(F733)=0),"",C733*F733)</f>
        <v/>
      </c>
      <c r="I733" s="4"/>
      <c r="J733" s="11" t="str">
        <f aca="false">IF(K733="","",IF(N(C733)&lt;=0,"Informe a quantidade",IF(IFERROR(INDEX(INVENTÁRIO!$B$2:$B$801,MATCH(K733,INVENTÁRIO!$A$2:$A$801,0)),"")="(sem nome)","Carta fora dos decks: digite o nome na coluna I (opcional)","")))</f>
        <v/>
      </c>
      <c r="K733" s="11" t="str">
        <f aca="false">UPPER(TRIM(SUBSTITUTE(B733&amp;"",CHAR(160)," ")))</f>
        <v/>
      </c>
      <c r="L733" s="11" t="str">
        <f aca="false">IF(AND(K733&lt;&gt;"",TRIM(I733&amp;"")&lt;&gt;""),K733,"")</f>
        <v/>
      </c>
    </row>
    <row r="734" customFormat="false" ht="15" hidden="false" customHeight="false" outlineLevel="0" collapsed="false">
      <c r="A734" s="9"/>
      <c r="B734" s="4"/>
      <c r="C734" s="10"/>
      <c r="D734" s="11" t="str">
        <f aca="false">IF(K734="","",IFERROR(INDEX(DECKS!$C$2:$C$1201,MATCH(K734,DECKS!$B$2:$B$1201,0)),TRIM(I734&amp;"")))</f>
        <v/>
      </c>
      <c r="E734" s="4"/>
      <c r="F734" s="12"/>
      <c r="G734" s="4"/>
      <c r="H734" s="13" t="str">
        <f aca="false">IF(OR(N(C734)=0,N(F734)=0),"",C734*F734)</f>
        <v/>
      </c>
      <c r="I734" s="4"/>
      <c r="J734" s="11" t="str">
        <f aca="false">IF(K734="","",IF(N(C734)&lt;=0,"Informe a quantidade",IF(IFERROR(INDEX(INVENTÁRIO!$B$2:$B$801,MATCH(K734,INVENTÁRIO!$A$2:$A$801,0)),"")="(sem nome)","Carta fora dos decks: digite o nome na coluna I (opcional)","")))</f>
        <v/>
      </c>
      <c r="K734" s="11" t="str">
        <f aca="false">UPPER(TRIM(SUBSTITUTE(B734&amp;"",CHAR(160)," ")))</f>
        <v/>
      </c>
      <c r="L734" s="11" t="str">
        <f aca="false">IF(AND(K734&lt;&gt;"",TRIM(I734&amp;"")&lt;&gt;""),K734,"")</f>
        <v/>
      </c>
    </row>
    <row r="735" customFormat="false" ht="15" hidden="false" customHeight="false" outlineLevel="0" collapsed="false">
      <c r="A735" s="9"/>
      <c r="B735" s="4"/>
      <c r="C735" s="10"/>
      <c r="D735" s="11" t="str">
        <f aca="false">IF(K735="","",IFERROR(INDEX(DECKS!$C$2:$C$1201,MATCH(K735,DECKS!$B$2:$B$1201,0)),TRIM(I735&amp;"")))</f>
        <v/>
      </c>
      <c r="E735" s="4"/>
      <c r="F735" s="12"/>
      <c r="G735" s="4"/>
      <c r="H735" s="13" t="str">
        <f aca="false">IF(OR(N(C735)=0,N(F735)=0),"",C735*F735)</f>
        <v/>
      </c>
      <c r="I735" s="4"/>
      <c r="J735" s="11" t="str">
        <f aca="false">IF(K735="","",IF(N(C735)&lt;=0,"Informe a quantidade",IF(IFERROR(INDEX(INVENTÁRIO!$B$2:$B$801,MATCH(K735,INVENTÁRIO!$A$2:$A$801,0)),"")="(sem nome)","Carta fora dos decks: digite o nome na coluna I (opcional)","")))</f>
        <v/>
      </c>
      <c r="K735" s="11" t="str">
        <f aca="false">UPPER(TRIM(SUBSTITUTE(B735&amp;"",CHAR(160)," ")))</f>
        <v/>
      </c>
      <c r="L735" s="11" t="str">
        <f aca="false">IF(AND(K735&lt;&gt;"",TRIM(I735&amp;"")&lt;&gt;""),K735,"")</f>
        <v/>
      </c>
    </row>
    <row r="736" customFormat="false" ht="15" hidden="false" customHeight="false" outlineLevel="0" collapsed="false">
      <c r="A736" s="9"/>
      <c r="B736" s="4"/>
      <c r="C736" s="10"/>
      <c r="D736" s="11" t="str">
        <f aca="false">IF(K736="","",IFERROR(INDEX(DECKS!$C$2:$C$1201,MATCH(K736,DECKS!$B$2:$B$1201,0)),TRIM(I736&amp;"")))</f>
        <v/>
      </c>
      <c r="E736" s="4"/>
      <c r="F736" s="12"/>
      <c r="G736" s="4"/>
      <c r="H736" s="13" t="str">
        <f aca="false">IF(OR(N(C736)=0,N(F736)=0),"",C736*F736)</f>
        <v/>
      </c>
      <c r="I736" s="4"/>
      <c r="J736" s="11" t="str">
        <f aca="false">IF(K736="","",IF(N(C736)&lt;=0,"Informe a quantidade",IF(IFERROR(INDEX(INVENTÁRIO!$B$2:$B$801,MATCH(K736,INVENTÁRIO!$A$2:$A$801,0)),"")="(sem nome)","Carta fora dos decks: digite o nome na coluna I (opcional)","")))</f>
        <v/>
      </c>
      <c r="K736" s="11" t="str">
        <f aca="false">UPPER(TRIM(SUBSTITUTE(B736&amp;"",CHAR(160)," ")))</f>
        <v/>
      </c>
      <c r="L736" s="11" t="str">
        <f aca="false">IF(AND(K736&lt;&gt;"",TRIM(I736&amp;"")&lt;&gt;""),K736,"")</f>
        <v/>
      </c>
    </row>
    <row r="737" customFormat="false" ht="15" hidden="false" customHeight="false" outlineLevel="0" collapsed="false">
      <c r="A737" s="9"/>
      <c r="B737" s="4"/>
      <c r="C737" s="10"/>
      <c r="D737" s="11" t="str">
        <f aca="false">IF(K737="","",IFERROR(INDEX(DECKS!$C$2:$C$1201,MATCH(K737,DECKS!$B$2:$B$1201,0)),TRIM(I737&amp;"")))</f>
        <v/>
      </c>
      <c r="E737" s="4"/>
      <c r="F737" s="12"/>
      <c r="G737" s="4"/>
      <c r="H737" s="13" t="str">
        <f aca="false">IF(OR(N(C737)=0,N(F737)=0),"",C737*F737)</f>
        <v/>
      </c>
      <c r="I737" s="4"/>
      <c r="J737" s="11" t="str">
        <f aca="false">IF(K737="","",IF(N(C737)&lt;=0,"Informe a quantidade",IF(IFERROR(INDEX(INVENTÁRIO!$B$2:$B$801,MATCH(K737,INVENTÁRIO!$A$2:$A$801,0)),"")="(sem nome)","Carta fora dos decks: digite o nome na coluna I (opcional)","")))</f>
        <v/>
      </c>
      <c r="K737" s="11" t="str">
        <f aca="false">UPPER(TRIM(SUBSTITUTE(B737&amp;"",CHAR(160)," ")))</f>
        <v/>
      </c>
      <c r="L737" s="11" t="str">
        <f aca="false">IF(AND(K737&lt;&gt;"",TRIM(I737&amp;"")&lt;&gt;""),K737,"")</f>
        <v/>
      </c>
    </row>
    <row r="738" customFormat="false" ht="15" hidden="false" customHeight="false" outlineLevel="0" collapsed="false">
      <c r="A738" s="9"/>
      <c r="B738" s="4"/>
      <c r="C738" s="10"/>
      <c r="D738" s="11" t="str">
        <f aca="false">IF(K738="","",IFERROR(INDEX(DECKS!$C$2:$C$1201,MATCH(K738,DECKS!$B$2:$B$1201,0)),TRIM(I738&amp;"")))</f>
        <v/>
      </c>
      <c r="E738" s="4"/>
      <c r="F738" s="12"/>
      <c r="G738" s="4"/>
      <c r="H738" s="13" t="str">
        <f aca="false">IF(OR(N(C738)=0,N(F738)=0),"",C738*F738)</f>
        <v/>
      </c>
      <c r="I738" s="4"/>
      <c r="J738" s="11" t="str">
        <f aca="false">IF(K738="","",IF(N(C738)&lt;=0,"Informe a quantidade",IF(IFERROR(INDEX(INVENTÁRIO!$B$2:$B$801,MATCH(K738,INVENTÁRIO!$A$2:$A$801,0)),"")="(sem nome)","Carta fora dos decks: digite o nome na coluna I (opcional)","")))</f>
        <v/>
      </c>
      <c r="K738" s="11" t="str">
        <f aca="false">UPPER(TRIM(SUBSTITUTE(B738&amp;"",CHAR(160)," ")))</f>
        <v/>
      </c>
      <c r="L738" s="11" t="str">
        <f aca="false">IF(AND(K738&lt;&gt;"",TRIM(I738&amp;"")&lt;&gt;""),K738,"")</f>
        <v/>
      </c>
    </row>
    <row r="739" customFormat="false" ht="15" hidden="false" customHeight="false" outlineLevel="0" collapsed="false">
      <c r="A739" s="9"/>
      <c r="B739" s="4"/>
      <c r="C739" s="10"/>
      <c r="D739" s="11" t="str">
        <f aca="false">IF(K739="","",IFERROR(INDEX(DECKS!$C$2:$C$1201,MATCH(K739,DECKS!$B$2:$B$1201,0)),TRIM(I739&amp;"")))</f>
        <v/>
      </c>
      <c r="E739" s="4"/>
      <c r="F739" s="12"/>
      <c r="G739" s="4"/>
      <c r="H739" s="13" t="str">
        <f aca="false">IF(OR(N(C739)=0,N(F739)=0),"",C739*F739)</f>
        <v/>
      </c>
      <c r="I739" s="4"/>
      <c r="J739" s="11" t="str">
        <f aca="false">IF(K739="","",IF(N(C739)&lt;=0,"Informe a quantidade",IF(IFERROR(INDEX(INVENTÁRIO!$B$2:$B$801,MATCH(K739,INVENTÁRIO!$A$2:$A$801,0)),"")="(sem nome)","Carta fora dos decks: digite o nome na coluna I (opcional)","")))</f>
        <v/>
      </c>
      <c r="K739" s="11" t="str">
        <f aca="false">UPPER(TRIM(SUBSTITUTE(B739&amp;"",CHAR(160)," ")))</f>
        <v/>
      </c>
      <c r="L739" s="11" t="str">
        <f aca="false">IF(AND(K739&lt;&gt;"",TRIM(I739&amp;"")&lt;&gt;""),K739,"")</f>
        <v/>
      </c>
    </row>
    <row r="740" customFormat="false" ht="15" hidden="false" customHeight="false" outlineLevel="0" collapsed="false">
      <c r="A740" s="9"/>
      <c r="B740" s="4"/>
      <c r="C740" s="10"/>
      <c r="D740" s="11" t="str">
        <f aca="false">IF(K740="","",IFERROR(INDEX(DECKS!$C$2:$C$1201,MATCH(K740,DECKS!$B$2:$B$1201,0)),TRIM(I740&amp;"")))</f>
        <v/>
      </c>
      <c r="E740" s="4"/>
      <c r="F740" s="12"/>
      <c r="G740" s="4"/>
      <c r="H740" s="13" t="str">
        <f aca="false">IF(OR(N(C740)=0,N(F740)=0),"",C740*F740)</f>
        <v/>
      </c>
      <c r="I740" s="4"/>
      <c r="J740" s="11" t="str">
        <f aca="false">IF(K740="","",IF(N(C740)&lt;=0,"Informe a quantidade",IF(IFERROR(INDEX(INVENTÁRIO!$B$2:$B$801,MATCH(K740,INVENTÁRIO!$A$2:$A$801,0)),"")="(sem nome)","Carta fora dos decks: digite o nome na coluna I (opcional)","")))</f>
        <v/>
      </c>
      <c r="K740" s="11" t="str">
        <f aca="false">UPPER(TRIM(SUBSTITUTE(B740&amp;"",CHAR(160)," ")))</f>
        <v/>
      </c>
      <c r="L740" s="11" t="str">
        <f aca="false">IF(AND(K740&lt;&gt;"",TRIM(I740&amp;"")&lt;&gt;""),K740,"")</f>
        <v/>
      </c>
    </row>
    <row r="741" customFormat="false" ht="15" hidden="false" customHeight="false" outlineLevel="0" collapsed="false">
      <c r="A741" s="9"/>
      <c r="B741" s="4"/>
      <c r="C741" s="10"/>
      <c r="D741" s="11" t="str">
        <f aca="false">IF(K741="","",IFERROR(INDEX(DECKS!$C$2:$C$1201,MATCH(K741,DECKS!$B$2:$B$1201,0)),TRIM(I741&amp;"")))</f>
        <v/>
      </c>
      <c r="E741" s="4"/>
      <c r="F741" s="12"/>
      <c r="G741" s="4"/>
      <c r="H741" s="13" t="str">
        <f aca="false">IF(OR(N(C741)=0,N(F741)=0),"",C741*F741)</f>
        <v/>
      </c>
      <c r="I741" s="4"/>
      <c r="J741" s="11" t="str">
        <f aca="false">IF(K741="","",IF(N(C741)&lt;=0,"Informe a quantidade",IF(IFERROR(INDEX(INVENTÁRIO!$B$2:$B$801,MATCH(K741,INVENTÁRIO!$A$2:$A$801,0)),"")="(sem nome)","Carta fora dos decks: digite o nome na coluna I (opcional)","")))</f>
        <v/>
      </c>
      <c r="K741" s="11" t="str">
        <f aca="false">UPPER(TRIM(SUBSTITUTE(B741&amp;"",CHAR(160)," ")))</f>
        <v/>
      </c>
      <c r="L741" s="11" t="str">
        <f aca="false">IF(AND(K741&lt;&gt;"",TRIM(I741&amp;"")&lt;&gt;""),K741,"")</f>
        <v/>
      </c>
    </row>
    <row r="742" customFormat="false" ht="15" hidden="false" customHeight="false" outlineLevel="0" collapsed="false">
      <c r="A742" s="9"/>
      <c r="B742" s="4"/>
      <c r="C742" s="10"/>
      <c r="D742" s="11" t="str">
        <f aca="false">IF(K742="","",IFERROR(INDEX(DECKS!$C$2:$C$1201,MATCH(K742,DECKS!$B$2:$B$1201,0)),TRIM(I742&amp;"")))</f>
        <v/>
      </c>
      <c r="E742" s="4"/>
      <c r="F742" s="12"/>
      <c r="G742" s="4"/>
      <c r="H742" s="13" t="str">
        <f aca="false">IF(OR(N(C742)=0,N(F742)=0),"",C742*F742)</f>
        <v/>
      </c>
      <c r="I742" s="4"/>
      <c r="J742" s="11" t="str">
        <f aca="false">IF(K742="","",IF(N(C742)&lt;=0,"Informe a quantidade",IF(IFERROR(INDEX(INVENTÁRIO!$B$2:$B$801,MATCH(K742,INVENTÁRIO!$A$2:$A$801,0)),"")="(sem nome)","Carta fora dos decks: digite o nome na coluna I (opcional)","")))</f>
        <v/>
      </c>
      <c r="K742" s="11" t="str">
        <f aca="false">UPPER(TRIM(SUBSTITUTE(B742&amp;"",CHAR(160)," ")))</f>
        <v/>
      </c>
      <c r="L742" s="11" t="str">
        <f aca="false">IF(AND(K742&lt;&gt;"",TRIM(I742&amp;"")&lt;&gt;""),K742,"")</f>
        <v/>
      </c>
    </row>
    <row r="743" customFormat="false" ht="15" hidden="false" customHeight="false" outlineLevel="0" collapsed="false">
      <c r="A743" s="9"/>
      <c r="B743" s="4"/>
      <c r="C743" s="10"/>
      <c r="D743" s="11" t="str">
        <f aca="false">IF(K743="","",IFERROR(INDEX(DECKS!$C$2:$C$1201,MATCH(K743,DECKS!$B$2:$B$1201,0)),TRIM(I743&amp;"")))</f>
        <v/>
      </c>
      <c r="E743" s="4"/>
      <c r="F743" s="12"/>
      <c r="G743" s="4"/>
      <c r="H743" s="13" t="str">
        <f aca="false">IF(OR(N(C743)=0,N(F743)=0),"",C743*F743)</f>
        <v/>
      </c>
      <c r="I743" s="4"/>
      <c r="J743" s="11" t="str">
        <f aca="false">IF(K743="","",IF(N(C743)&lt;=0,"Informe a quantidade",IF(IFERROR(INDEX(INVENTÁRIO!$B$2:$B$801,MATCH(K743,INVENTÁRIO!$A$2:$A$801,0)),"")="(sem nome)","Carta fora dos decks: digite o nome na coluna I (opcional)","")))</f>
        <v/>
      </c>
      <c r="K743" s="11" t="str">
        <f aca="false">UPPER(TRIM(SUBSTITUTE(B743&amp;"",CHAR(160)," ")))</f>
        <v/>
      </c>
      <c r="L743" s="11" t="str">
        <f aca="false">IF(AND(K743&lt;&gt;"",TRIM(I743&amp;"")&lt;&gt;""),K743,"")</f>
        <v/>
      </c>
    </row>
    <row r="744" customFormat="false" ht="15" hidden="false" customHeight="false" outlineLevel="0" collapsed="false">
      <c r="A744" s="9"/>
      <c r="B744" s="4"/>
      <c r="C744" s="10"/>
      <c r="D744" s="11" t="str">
        <f aca="false">IF(K744="","",IFERROR(INDEX(DECKS!$C$2:$C$1201,MATCH(K744,DECKS!$B$2:$B$1201,0)),TRIM(I744&amp;"")))</f>
        <v/>
      </c>
      <c r="E744" s="4"/>
      <c r="F744" s="12"/>
      <c r="G744" s="4"/>
      <c r="H744" s="13" t="str">
        <f aca="false">IF(OR(N(C744)=0,N(F744)=0),"",C744*F744)</f>
        <v/>
      </c>
      <c r="I744" s="4"/>
      <c r="J744" s="11" t="str">
        <f aca="false">IF(K744="","",IF(N(C744)&lt;=0,"Informe a quantidade",IF(IFERROR(INDEX(INVENTÁRIO!$B$2:$B$801,MATCH(K744,INVENTÁRIO!$A$2:$A$801,0)),"")="(sem nome)","Carta fora dos decks: digite o nome na coluna I (opcional)","")))</f>
        <v/>
      </c>
      <c r="K744" s="11" t="str">
        <f aca="false">UPPER(TRIM(SUBSTITUTE(B744&amp;"",CHAR(160)," ")))</f>
        <v/>
      </c>
      <c r="L744" s="11" t="str">
        <f aca="false">IF(AND(K744&lt;&gt;"",TRIM(I744&amp;"")&lt;&gt;""),K744,"")</f>
        <v/>
      </c>
    </row>
    <row r="745" customFormat="false" ht="15" hidden="false" customHeight="false" outlineLevel="0" collapsed="false">
      <c r="A745" s="9"/>
      <c r="B745" s="4"/>
      <c r="C745" s="10"/>
      <c r="D745" s="11" t="str">
        <f aca="false">IF(K745="","",IFERROR(INDEX(DECKS!$C$2:$C$1201,MATCH(K745,DECKS!$B$2:$B$1201,0)),TRIM(I745&amp;"")))</f>
        <v/>
      </c>
      <c r="E745" s="4"/>
      <c r="F745" s="12"/>
      <c r="G745" s="4"/>
      <c r="H745" s="13" t="str">
        <f aca="false">IF(OR(N(C745)=0,N(F745)=0),"",C745*F745)</f>
        <v/>
      </c>
      <c r="I745" s="4"/>
      <c r="J745" s="11" t="str">
        <f aca="false">IF(K745="","",IF(N(C745)&lt;=0,"Informe a quantidade",IF(IFERROR(INDEX(INVENTÁRIO!$B$2:$B$801,MATCH(K745,INVENTÁRIO!$A$2:$A$801,0)),"")="(sem nome)","Carta fora dos decks: digite o nome na coluna I (opcional)","")))</f>
        <v/>
      </c>
      <c r="K745" s="11" t="str">
        <f aca="false">UPPER(TRIM(SUBSTITUTE(B745&amp;"",CHAR(160)," ")))</f>
        <v/>
      </c>
      <c r="L745" s="11" t="str">
        <f aca="false">IF(AND(K745&lt;&gt;"",TRIM(I745&amp;"")&lt;&gt;""),K745,"")</f>
        <v/>
      </c>
    </row>
    <row r="746" customFormat="false" ht="15" hidden="false" customHeight="false" outlineLevel="0" collapsed="false">
      <c r="A746" s="9"/>
      <c r="B746" s="4"/>
      <c r="C746" s="10"/>
      <c r="D746" s="11" t="str">
        <f aca="false">IF(K746="","",IFERROR(INDEX(DECKS!$C$2:$C$1201,MATCH(K746,DECKS!$B$2:$B$1201,0)),TRIM(I746&amp;"")))</f>
        <v/>
      </c>
      <c r="E746" s="4"/>
      <c r="F746" s="12"/>
      <c r="G746" s="4"/>
      <c r="H746" s="13" t="str">
        <f aca="false">IF(OR(N(C746)=0,N(F746)=0),"",C746*F746)</f>
        <v/>
      </c>
      <c r="I746" s="4"/>
      <c r="J746" s="11" t="str">
        <f aca="false">IF(K746="","",IF(N(C746)&lt;=0,"Informe a quantidade",IF(IFERROR(INDEX(INVENTÁRIO!$B$2:$B$801,MATCH(K746,INVENTÁRIO!$A$2:$A$801,0)),"")="(sem nome)","Carta fora dos decks: digite o nome na coluna I (opcional)","")))</f>
        <v/>
      </c>
      <c r="K746" s="11" t="str">
        <f aca="false">UPPER(TRIM(SUBSTITUTE(B746&amp;"",CHAR(160)," ")))</f>
        <v/>
      </c>
      <c r="L746" s="11" t="str">
        <f aca="false">IF(AND(K746&lt;&gt;"",TRIM(I746&amp;"")&lt;&gt;""),K746,"")</f>
        <v/>
      </c>
    </row>
    <row r="747" customFormat="false" ht="15" hidden="false" customHeight="false" outlineLevel="0" collapsed="false">
      <c r="A747" s="9"/>
      <c r="B747" s="4"/>
      <c r="C747" s="10"/>
      <c r="D747" s="11" t="str">
        <f aca="false">IF(K747="","",IFERROR(INDEX(DECKS!$C$2:$C$1201,MATCH(K747,DECKS!$B$2:$B$1201,0)),TRIM(I747&amp;"")))</f>
        <v/>
      </c>
      <c r="E747" s="4"/>
      <c r="F747" s="12"/>
      <c r="G747" s="4"/>
      <c r="H747" s="13" t="str">
        <f aca="false">IF(OR(N(C747)=0,N(F747)=0),"",C747*F747)</f>
        <v/>
      </c>
      <c r="I747" s="4"/>
      <c r="J747" s="11" t="str">
        <f aca="false">IF(K747="","",IF(N(C747)&lt;=0,"Informe a quantidade",IF(IFERROR(INDEX(INVENTÁRIO!$B$2:$B$801,MATCH(K747,INVENTÁRIO!$A$2:$A$801,0)),"")="(sem nome)","Carta fora dos decks: digite o nome na coluna I (opcional)","")))</f>
        <v/>
      </c>
      <c r="K747" s="11" t="str">
        <f aca="false">UPPER(TRIM(SUBSTITUTE(B747&amp;"",CHAR(160)," ")))</f>
        <v/>
      </c>
      <c r="L747" s="11" t="str">
        <f aca="false">IF(AND(K747&lt;&gt;"",TRIM(I747&amp;"")&lt;&gt;""),K747,"")</f>
        <v/>
      </c>
    </row>
    <row r="748" customFormat="false" ht="15" hidden="false" customHeight="false" outlineLevel="0" collapsed="false">
      <c r="A748" s="9"/>
      <c r="B748" s="4"/>
      <c r="C748" s="10"/>
      <c r="D748" s="11" t="str">
        <f aca="false">IF(K748="","",IFERROR(INDEX(DECKS!$C$2:$C$1201,MATCH(K748,DECKS!$B$2:$B$1201,0)),TRIM(I748&amp;"")))</f>
        <v/>
      </c>
      <c r="E748" s="4"/>
      <c r="F748" s="12"/>
      <c r="G748" s="4"/>
      <c r="H748" s="13" t="str">
        <f aca="false">IF(OR(N(C748)=0,N(F748)=0),"",C748*F748)</f>
        <v/>
      </c>
      <c r="I748" s="4"/>
      <c r="J748" s="11" t="str">
        <f aca="false">IF(K748="","",IF(N(C748)&lt;=0,"Informe a quantidade",IF(IFERROR(INDEX(INVENTÁRIO!$B$2:$B$801,MATCH(K748,INVENTÁRIO!$A$2:$A$801,0)),"")="(sem nome)","Carta fora dos decks: digite o nome na coluna I (opcional)","")))</f>
        <v/>
      </c>
      <c r="K748" s="11" t="str">
        <f aca="false">UPPER(TRIM(SUBSTITUTE(B748&amp;"",CHAR(160)," ")))</f>
        <v/>
      </c>
      <c r="L748" s="11" t="str">
        <f aca="false">IF(AND(K748&lt;&gt;"",TRIM(I748&amp;"")&lt;&gt;""),K748,"")</f>
        <v/>
      </c>
    </row>
    <row r="749" customFormat="false" ht="15" hidden="false" customHeight="false" outlineLevel="0" collapsed="false">
      <c r="A749" s="9"/>
      <c r="B749" s="4"/>
      <c r="C749" s="10"/>
      <c r="D749" s="11" t="str">
        <f aca="false">IF(K749="","",IFERROR(INDEX(DECKS!$C$2:$C$1201,MATCH(K749,DECKS!$B$2:$B$1201,0)),TRIM(I749&amp;"")))</f>
        <v/>
      </c>
      <c r="E749" s="4"/>
      <c r="F749" s="12"/>
      <c r="G749" s="4"/>
      <c r="H749" s="13" t="str">
        <f aca="false">IF(OR(N(C749)=0,N(F749)=0),"",C749*F749)</f>
        <v/>
      </c>
      <c r="I749" s="4"/>
      <c r="J749" s="11" t="str">
        <f aca="false">IF(K749="","",IF(N(C749)&lt;=0,"Informe a quantidade",IF(IFERROR(INDEX(INVENTÁRIO!$B$2:$B$801,MATCH(K749,INVENTÁRIO!$A$2:$A$801,0)),"")="(sem nome)","Carta fora dos decks: digite o nome na coluna I (opcional)","")))</f>
        <v/>
      </c>
      <c r="K749" s="11" t="str">
        <f aca="false">UPPER(TRIM(SUBSTITUTE(B749&amp;"",CHAR(160)," ")))</f>
        <v/>
      </c>
      <c r="L749" s="11" t="str">
        <f aca="false">IF(AND(K749&lt;&gt;"",TRIM(I749&amp;"")&lt;&gt;""),K749,"")</f>
        <v/>
      </c>
    </row>
    <row r="750" customFormat="false" ht="15" hidden="false" customHeight="false" outlineLevel="0" collapsed="false">
      <c r="A750" s="9"/>
      <c r="B750" s="4"/>
      <c r="C750" s="10"/>
      <c r="D750" s="11" t="str">
        <f aca="false">IF(K750="","",IFERROR(INDEX(DECKS!$C$2:$C$1201,MATCH(K750,DECKS!$B$2:$B$1201,0)),TRIM(I750&amp;"")))</f>
        <v/>
      </c>
      <c r="E750" s="4"/>
      <c r="F750" s="12"/>
      <c r="G750" s="4"/>
      <c r="H750" s="13" t="str">
        <f aca="false">IF(OR(N(C750)=0,N(F750)=0),"",C750*F750)</f>
        <v/>
      </c>
      <c r="I750" s="4"/>
      <c r="J750" s="11" t="str">
        <f aca="false">IF(K750="","",IF(N(C750)&lt;=0,"Informe a quantidade",IF(IFERROR(INDEX(INVENTÁRIO!$B$2:$B$801,MATCH(K750,INVENTÁRIO!$A$2:$A$801,0)),"")="(sem nome)","Carta fora dos decks: digite o nome na coluna I (opcional)","")))</f>
        <v/>
      </c>
      <c r="K750" s="11" t="str">
        <f aca="false">UPPER(TRIM(SUBSTITUTE(B750&amp;"",CHAR(160)," ")))</f>
        <v/>
      </c>
      <c r="L750" s="11" t="str">
        <f aca="false">IF(AND(K750&lt;&gt;"",TRIM(I750&amp;"")&lt;&gt;""),K750,"")</f>
        <v/>
      </c>
    </row>
    <row r="751" customFormat="false" ht="15" hidden="false" customHeight="false" outlineLevel="0" collapsed="false">
      <c r="A751" s="9"/>
      <c r="B751" s="4"/>
      <c r="C751" s="10"/>
      <c r="D751" s="11" t="str">
        <f aca="false">IF(K751="","",IFERROR(INDEX(DECKS!$C$2:$C$1201,MATCH(K751,DECKS!$B$2:$B$1201,0)),TRIM(I751&amp;"")))</f>
        <v/>
      </c>
      <c r="E751" s="4"/>
      <c r="F751" s="12"/>
      <c r="G751" s="4"/>
      <c r="H751" s="13" t="str">
        <f aca="false">IF(OR(N(C751)=0,N(F751)=0),"",C751*F751)</f>
        <v/>
      </c>
      <c r="I751" s="4"/>
      <c r="J751" s="11" t="str">
        <f aca="false">IF(K751="","",IF(N(C751)&lt;=0,"Informe a quantidade",IF(IFERROR(INDEX(INVENTÁRIO!$B$2:$B$801,MATCH(K751,INVENTÁRIO!$A$2:$A$801,0)),"")="(sem nome)","Carta fora dos decks: digite o nome na coluna I (opcional)","")))</f>
        <v/>
      </c>
      <c r="K751" s="11" t="str">
        <f aca="false">UPPER(TRIM(SUBSTITUTE(B751&amp;"",CHAR(160)," ")))</f>
        <v/>
      </c>
      <c r="L751" s="11" t="str">
        <f aca="false">IF(AND(K751&lt;&gt;"",TRIM(I751&amp;"")&lt;&gt;""),K751,"")</f>
        <v/>
      </c>
    </row>
    <row r="752" customFormat="false" ht="15" hidden="false" customHeight="false" outlineLevel="0" collapsed="false">
      <c r="A752" s="9"/>
      <c r="B752" s="4"/>
      <c r="C752" s="10"/>
      <c r="D752" s="11" t="str">
        <f aca="false">IF(K752="","",IFERROR(INDEX(DECKS!$C$2:$C$1201,MATCH(K752,DECKS!$B$2:$B$1201,0)),TRIM(I752&amp;"")))</f>
        <v/>
      </c>
      <c r="E752" s="4"/>
      <c r="F752" s="12"/>
      <c r="G752" s="4"/>
      <c r="H752" s="13" t="str">
        <f aca="false">IF(OR(N(C752)=0,N(F752)=0),"",C752*F752)</f>
        <v/>
      </c>
      <c r="I752" s="4"/>
      <c r="J752" s="11" t="str">
        <f aca="false">IF(K752="","",IF(N(C752)&lt;=0,"Informe a quantidade",IF(IFERROR(INDEX(INVENTÁRIO!$B$2:$B$801,MATCH(K752,INVENTÁRIO!$A$2:$A$801,0)),"")="(sem nome)","Carta fora dos decks: digite o nome na coluna I (opcional)","")))</f>
        <v/>
      </c>
      <c r="K752" s="11" t="str">
        <f aca="false">UPPER(TRIM(SUBSTITUTE(B752&amp;"",CHAR(160)," ")))</f>
        <v/>
      </c>
      <c r="L752" s="11" t="str">
        <f aca="false">IF(AND(K752&lt;&gt;"",TRIM(I752&amp;"")&lt;&gt;""),K752,"")</f>
        <v/>
      </c>
    </row>
    <row r="753" customFormat="false" ht="15" hidden="false" customHeight="false" outlineLevel="0" collapsed="false">
      <c r="A753" s="9"/>
      <c r="B753" s="4"/>
      <c r="C753" s="10"/>
      <c r="D753" s="11" t="str">
        <f aca="false">IF(K753="","",IFERROR(INDEX(DECKS!$C$2:$C$1201,MATCH(K753,DECKS!$B$2:$B$1201,0)),TRIM(I753&amp;"")))</f>
        <v/>
      </c>
      <c r="E753" s="4"/>
      <c r="F753" s="12"/>
      <c r="G753" s="4"/>
      <c r="H753" s="13" t="str">
        <f aca="false">IF(OR(N(C753)=0,N(F753)=0),"",C753*F753)</f>
        <v/>
      </c>
      <c r="I753" s="4"/>
      <c r="J753" s="11" t="str">
        <f aca="false">IF(K753="","",IF(N(C753)&lt;=0,"Informe a quantidade",IF(IFERROR(INDEX(INVENTÁRIO!$B$2:$B$801,MATCH(K753,INVENTÁRIO!$A$2:$A$801,0)),"")="(sem nome)","Carta fora dos decks: digite o nome na coluna I (opcional)","")))</f>
        <v/>
      </c>
      <c r="K753" s="11" t="str">
        <f aca="false">UPPER(TRIM(SUBSTITUTE(B753&amp;"",CHAR(160)," ")))</f>
        <v/>
      </c>
      <c r="L753" s="11" t="str">
        <f aca="false">IF(AND(K753&lt;&gt;"",TRIM(I753&amp;"")&lt;&gt;""),K753,"")</f>
        <v/>
      </c>
    </row>
    <row r="754" customFormat="false" ht="15" hidden="false" customHeight="false" outlineLevel="0" collapsed="false">
      <c r="A754" s="9"/>
      <c r="B754" s="4"/>
      <c r="C754" s="10"/>
      <c r="D754" s="11" t="str">
        <f aca="false">IF(K754="","",IFERROR(INDEX(DECKS!$C$2:$C$1201,MATCH(K754,DECKS!$B$2:$B$1201,0)),TRIM(I754&amp;"")))</f>
        <v/>
      </c>
      <c r="E754" s="4"/>
      <c r="F754" s="12"/>
      <c r="G754" s="4"/>
      <c r="H754" s="13" t="str">
        <f aca="false">IF(OR(N(C754)=0,N(F754)=0),"",C754*F754)</f>
        <v/>
      </c>
      <c r="I754" s="4"/>
      <c r="J754" s="11" t="str">
        <f aca="false">IF(K754="","",IF(N(C754)&lt;=0,"Informe a quantidade",IF(IFERROR(INDEX(INVENTÁRIO!$B$2:$B$801,MATCH(K754,INVENTÁRIO!$A$2:$A$801,0)),"")="(sem nome)","Carta fora dos decks: digite o nome na coluna I (opcional)","")))</f>
        <v/>
      </c>
      <c r="K754" s="11" t="str">
        <f aca="false">UPPER(TRIM(SUBSTITUTE(B754&amp;"",CHAR(160)," ")))</f>
        <v/>
      </c>
      <c r="L754" s="11" t="str">
        <f aca="false">IF(AND(K754&lt;&gt;"",TRIM(I754&amp;"")&lt;&gt;""),K754,"")</f>
        <v/>
      </c>
    </row>
    <row r="755" customFormat="false" ht="15" hidden="false" customHeight="false" outlineLevel="0" collapsed="false">
      <c r="A755" s="9"/>
      <c r="B755" s="4"/>
      <c r="C755" s="10"/>
      <c r="D755" s="11" t="str">
        <f aca="false">IF(K755="","",IFERROR(INDEX(DECKS!$C$2:$C$1201,MATCH(K755,DECKS!$B$2:$B$1201,0)),TRIM(I755&amp;"")))</f>
        <v/>
      </c>
      <c r="E755" s="4"/>
      <c r="F755" s="12"/>
      <c r="G755" s="4"/>
      <c r="H755" s="13" t="str">
        <f aca="false">IF(OR(N(C755)=0,N(F755)=0),"",C755*F755)</f>
        <v/>
      </c>
      <c r="I755" s="4"/>
      <c r="J755" s="11" t="str">
        <f aca="false">IF(K755="","",IF(N(C755)&lt;=0,"Informe a quantidade",IF(IFERROR(INDEX(INVENTÁRIO!$B$2:$B$801,MATCH(K755,INVENTÁRIO!$A$2:$A$801,0)),"")="(sem nome)","Carta fora dos decks: digite o nome na coluna I (opcional)","")))</f>
        <v/>
      </c>
      <c r="K755" s="11" t="str">
        <f aca="false">UPPER(TRIM(SUBSTITUTE(B755&amp;"",CHAR(160)," ")))</f>
        <v/>
      </c>
      <c r="L755" s="11" t="str">
        <f aca="false">IF(AND(K755&lt;&gt;"",TRIM(I755&amp;"")&lt;&gt;""),K755,"")</f>
        <v/>
      </c>
    </row>
    <row r="756" customFormat="false" ht="15" hidden="false" customHeight="false" outlineLevel="0" collapsed="false">
      <c r="A756" s="9"/>
      <c r="B756" s="4"/>
      <c r="C756" s="10"/>
      <c r="D756" s="11" t="str">
        <f aca="false">IF(K756="","",IFERROR(INDEX(DECKS!$C$2:$C$1201,MATCH(K756,DECKS!$B$2:$B$1201,0)),TRIM(I756&amp;"")))</f>
        <v/>
      </c>
      <c r="E756" s="4"/>
      <c r="F756" s="12"/>
      <c r="G756" s="4"/>
      <c r="H756" s="13" t="str">
        <f aca="false">IF(OR(N(C756)=0,N(F756)=0),"",C756*F756)</f>
        <v/>
      </c>
      <c r="I756" s="4"/>
      <c r="J756" s="11" t="str">
        <f aca="false">IF(K756="","",IF(N(C756)&lt;=0,"Informe a quantidade",IF(IFERROR(INDEX(INVENTÁRIO!$B$2:$B$801,MATCH(K756,INVENTÁRIO!$A$2:$A$801,0)),"")="(sem nome)","Carta fora dos decks: digite o nome na coluna I (opcional)","")))</f>
        <v/>
      </c>
      <c r="K756" s="11" t="str">
        <f aca="false">UPPER(TRIM(SUBSTITUTE(B756&amp;"",CHAR(160)," ")))</f>
        <v/>
      </c>
      <c r="L756" s="11" t="str">
        <f aca="false">IF(AND(K756&lt;&gt;"",TRIM(I756&amp;"")&lt;&gt;""),K756,"")</f>
        <v/>
      </c>
    </row>
    <row r="757" customFormat="false" ht="15" hidden="false" customHeight="false" outlineLevel="0" collapsed="false">
      <c r="A757" s="9"/>
      <c r="B757" s="4"/>
      <c r="C757" s="10"/>
      <c r="D757" s="11" t="str">
        <f aca="false">IF(K757="","",IFERROR(INDEX(DECKS!$C$2:$C$1201,MATCH(K757,DECKS!$B$2:$B$1201,0)),TRIM(I757&amp;"")))</f>
        <v/>
      </c>
      <c r="E757" s="4"/>
      <c r="F757" s="12"/>
      <c r="G757" s="4"/>
      <c r="H757" s="13" t="str">
        <f aca="false">IF(OR(N(C757)=0,N(F757)=0),"",C757*F757)</f>
        <v/>
      </c>
      <c r="I757" s="4"/>
      <c r="J757" s="11" t="str">
        <f aca="false">IF(K757="","",IF(N(C757)&lt;=0,"Informe a quantidade",IF(IFERROR(INDEX(INVENTÁRIO!$B$2:$B$801,MATCH(K757,INVENTÁRIO!$A$2:$A$801,0)),"")="(sem nome)","Carta fora dos decks: digite o nome na coluna I (opcional)","")))</f>
        <v/>
      </c>
      <c r="K757" s="11" t="str">
        <f aca="false">UPPER(TRIM(SUBSTITUTE(B757&amp;"",CHAR(160)," ")))</f>
        <v/>
      </c>
      <c r="L757" s="11" t="str">
        <f aca="false">IF(AND(K757&lt;&gt;"",TRIM(I757&amp;"")&lt;&gt;""),K757,"")</f>
        <v/>
      </c>
    </row>
    <row r="758" customFormat="false" ht="15" hidden="false" customHeight="false" outlineLevel="0" collapsed="false">
      <c r="A758" s="9"/>
      <c r="B758" s="4"/>
      <c r="C758" s="10"/>
      <c r="D758" s="11" t="str">
        <f aca="false">IF(K758="","",IFERROR(INDEX(DECKS!$C$2:$C$1201,MATCH(K758,DECKS!$B$2:$B$1201,0)),TRIM(I758&amp;"")))</f>
        <v/>
      </c>
      <c r="E758" s="4"/>
      <c r="F758" s="12"/>
      <c r="G758" s="4"/>
      <c r="H758" s="13" t="str">
        <f aca="false">IF(OR(N(C758)=0,N(F758)=0),"",C758*F758)</f>
        <v/>
      </c>
      <c r="I758" s="4"/>
      <c r="J758" s="11" t="str">
        <f aca="false">IF(K758="","",IF(N(C758)&lt;=0,"Informe a quantidade",IF(IFERROR(INDEX(INVENTÁRIO!$B$2:$B$801,MATCH(K758,INVENTÁRIO!$A$2:$A$801,0)),"")="(sem nome)","Carta fora dos decks: digite o nome na coluna I (opcional)","")))</f>
        <v/>
      </c>
      <c r="K758" s="11" t="str">
        <f aca="false">UPPER(TRIM(SUBSTITUTE(B758&amp;"",CHAR(160)," ")))</f>
        <v/>
      </c>
      <c r="L758" s="11" t="str">
        <f aca="false">IF(AND(K758&lt;&gt;"",TRIM(I758&amp;"")&lt;&gt;""),K758,"")</f>
        <v/>
      </c>
    </row>
    <row r="759" customFormat="false" ht="15" hidden="false" customHeight="false" outlineLevel="0" collapsed="false">
      <c r="A759" s="9"/>
      <c r="B759" s="4"/>
      <c r="C759" s="10"/>
      <c r="D759" s="11" t="str">
        <f aca="false">IF(K759="","",IFERROR(INDEX(DECKS!$C$2:$C$1201,MATCH(K759,DECKS!$B$2:$B$1201,0)),TRIM(I759&amp;"")))</f>
        <v/>
      </c>
      <c r="E759" s="4"/>
      <c r="F759" s="12"/>
      <c r="G759" s="4"/>
      <c r="H759" s="13" t="str">
        <f aca="false">IF(OR(N(C759)=0,N(F759)=0),"",C759*F759)</f>
        <v/>
      </c>
      <c r="I759" s="4"/>
      <c r="J759" s="11" t="str">
        <f aca="false">IF(K759="","",IF(N(C759)&lt;=0,"Informe a quantidade",IF(IFERROR(INDEX(INVENTÁRIO!$B$2:$B$801,MATCH(K759,INVENTÁRIO!$A$2:$A$801,0)),"")="(sem nome)","Carta fora dos decks: digite o nome na coluna I (opcional)","")))</f>
        <v/>
      </c>
      <c r="K759" s="11" t="str">
        <f aca="false">UPPER(TRIM(SUBSTITUTE(B759&amp;"",CHAR(160)," ")))</f>
        <v/>
      </c>
      <c r="L759" s="11" t="str">
        <f aca="false">IF(AND(K759&lt;&gt;"",TRIM(I759&amp;"")&lt;&gt;""),K759,"")</f>
        <v/>
      </c>
    </row>
    <row r="760" customFormat="false" ht="15" hidden="false" customHeight="false" outlineLevel="0" collapsed="false">
      <c r="A760" s="9"/>
      <c r="B760" s="4"/>
      <c r="C760" s="10"/>
      <c r="D760" s="11" t="str">
        <f aca="false">IF(K760="","",IFERROR(INDEX(DECKS!$C$2:$C$1201,MATCH(K760,DECKS!$B$2:$B$1201,0)),TRIM(I760&amp;"")))</f>
        <v/>
      </c>
      <c r="E760" s="4"/>
      <c r="F760" s="12"/>
      <c r="G760" s="4"/>
      <c r="H760" s="13" t="str">
        <f aca="false">IF(OR(N(C760)=0,N(F760)=0),"",C760*F760)</f>
        <v/>
      </c>
      <c r="I760" s="4"/>
      <c r="J760" s="11" t="str">
        <f aca="false">IF(K760="","",IF(N(C760)&lt;=0,"Informe a quantidade",IF(IFERROR(INDEX(INVENTÁRIO!$B$2:$B$801,MATCH(K760,INVENTÁRIO!$A$2:$A$801,0)),"")="(sem nome)","Carta fora dos decks: digite o nome na coluna I (opcional)","")))</f>
        <v/>
      </c>
      <c r="K760" s="11" t="str">
        <f aca="false">UPPER(TRIM(SUBSTITUTE(B760&amp;"",CHAR(160)," ")))</f>
        <v/>
      </c>
      <c r="L760" s="11" t="str">
        <f aca="false">IF(AND(K760&lt;&gt;"",TRIM(I760&amp;"")&lt;&gt;""),K760,"")</f>
        <v/>
      </c>
    </row>
    <row r="761" customFormat="false" ht="15" hidden="false" customHeight="false" outlineLevel="0" collapsed="false">
      <c r="A761" s="9"/>
      <c r="B761" s="4"/>
      <c r="C761" s="10"/>
      <c r="D761" s="11" t="str">
        <f aca="false">IF(K761="","",IFERROR(INDEX(DECKS!$C$2:$C$1201,MATCH(K761,DECKS!$B$2:$B$1201,0)),TRIM(I761&amp;"")))</f>
        <v/>
      </c>
      <c r="E761" s="4"/>
      <c r="F761" s="12"/>
      <c r="G761" s="4"/>
      <c r="H761" s="13" t="str">
        <f aca="false">IF(OR(N(C761)=0,N(F761)=0),"",C761*F761)</f>
        <v/>
      </c>
      <c r="I761" s="4"/>
      <c r="J761" s="11" t="str">
        <f aca="false">IF(K761="","",IF(N(C761)&lt;=0,"Informe a quantidade",IF(IFERROR(INDEX(INVENTÁRIO!$B$2:$B$801,MATCH(K761,INVENTÁRIO!$A$2:$A$801,0)),"")="(sem nome)","Carta fora dos decks: digite o nome na coluna I (opcional)","")))</f>
        <v/>
      </c>
      <c r="K761" s="11" t="str">
        <f aca="false">UPPER(TRIM(SUBSTITUTE(B761&amp;"",CHAR(160)," ")))</f>
        <v/>
      </c>
      <c r="L761" s="11" t="str">
        <f aca="false">IF(AND(K761&lt;&gt;"",TRIM(I761&amp;"")&lt;&gt;""),K761,"")</f>
        <v/>
      </c>
    </row>
    <row r="762" customFormat="false" ht="15" hidden="false" customHeight="false" outlineLevel="0" collapsed="false">
      <c r="A762" s="9"/>
      <c r="B762" s="4"/>
      <c r="C762" s="10"/>
      <c r="D762" s="11" t="str">
        <f aca="false">IF(K762="","",IFERROR(INDEX(DECKS!$C$2:$C$1201,MATCH(K762,DECKS!$B$2:$B$1201,0)),TRIM(I762&amp;"")))</f>
        <v/>
      </c>
      <c r="E762" s="4"/>
      <c r="F762" s="12"/>
      <c r="G762" s="4"/>
      <c r="H762" s="13" t="str">
        <f aca="false">IF(OR(N(C762)=0,N(F762)=0),"",C762*F762)</f>
        <v/>
      </c>
      <c r="I762" s="4"/>
      <c r="J762" s="11" t="str">
        <f aca="false">IF(K762="","",IF(N(C762)&lt;=0,"Informe a quantidade",IF(IFERROR(INDEX(INVENTÁRIO!$B$2:$B$801,MATCH(K762,INVENTÁRIO!$A$2:$A$801,0)),"")="(sem nome)","Carta fora dos decks: digite o nome na coluna I (opcional)","")))</f>
        <v/>
      </c>
      <c r="K762" s="11" t="str">
        <f aca="false">UPPER(TRIM(SUBSTITUTE(B762&amp;"",CHAR(160)," ")))</f>
        <v/>
      </c>
      <c r="L762" s="11" t="str">
        <f aca="false">IF(AND(K762&lt;&gt;"",TRIM(I762&amp;"")&lt;&gt;""),K762,"")</f>
        <v/>
      </c>
    </row>
    <row r="763" customFormat="false" ht="15" hidden="false" customHeight="false" outlineLevel="0" collapsed="false">
      <c r="A763" s="9"/>
      <c r="B763" s="4"/>
      <c r="C763" s="10"/>
      <c r="D763" s="11" t="str">
        <f aca="false">IF(K763="","",IFERROR(INDEX(DECKS!$C$2:$C$1201,MATCH(K763,DECKS!$B$2:$B$1201,0)),TRIM(I763&amp;"")))</f>
        <v/>
      </c>
      <c r="E763" s="4"/>
      <c r="F763" s="12"/>
      <c r="G763" s="4"/>
      <c r="H763" s="13" t="str">
        <f aca="false">IF(OR(N(C763)=0,N(F763)=0),"",C763*F763)</f>
        <v/>
      </c>
      <c r="I763" s="4"/>
      <c r="J763" s="11" t="str">
        <f aca="false">IF(K763="","",IF(N(C763)&lt;=0,"Informe a quantidade",IF(IFERROR(INDEX(INVENTÁRIO!$B$2:$B$801,MATCH(K763,INVENTÁRIO!$A$2:$A$801,0)),"")="(sem nome)","Carta fora dos decks: digite o nome na coluna I (opcional)","")))</f>
        <v/>
      </c>
      <c r="K763" s="11" t="str">
        <f aca="false">UPPER(TRIM(SUBSTITUTE(B763&amp;"",CHAR(160)," ")))</f>
        <v/>
      </c>
      <c r="L763" s="11" t="str">
        <f aca="false">IF(AND(K763&lt;&gt;"",TRIM(I763&amp;"")&lt;&gt;""),K763,"")</f>
        <v/>
      </c>
    </row>
    <row r="764" customFormat="false" ht="15" hidden="false" customHeight="false" outlineLevel="0" collapsed="false">
      <c r="A764" s="9"/>
      <c r="B764" s="4"/>
      <c r="C764" s="10"/>
      <c r="D764" s="11" t="str">
        <f aca="false">IF(K764="","",IFERROR(INDEX(DECKS!$C$2:$C$1201,MATCH(K764,DECKS!$B$2:$B$1201,0)),TRIM(I764&amp;"")))</f>
        <v/>
      </c>
      <c r="E764" s="4"/>
      <c r="F764" s="12"/>
      <c r="G764" s="4"/>
      <c r="H764" s="13" t="str">
        <f aca="false">IF(OR(N(C764)=0,N(F764)=0),"",C764*F764)</f>
        <v/>
      </c>
      <c r="I764" s="4"/>
      <c r="J764" s="11" t="str">
        <f aca="false">IF(K764="","",IF(N(C764)&lt;=0,"Informe a quantidade",IF(IFERROR(INDEX(INVENTÁRIO!$B$2:$B$801,MATCH(K764,INVENTÁRIO!$A$2:$A$801,0)),"")="(sem nome)","Carta fora dos decks: digite o nome na coluna I (opcional)","")))</f>
        <v/>
      </c>
      <c r="K764" s="11" t="str">
        <f aca="false">UPPER(TRIM(SUBSTITUTE(B764&amp;"",CHAR(160)," ")))</f>
        <v/>
      </c>
      <c r="L764" s="11" t="str">
        <f aca="false">IF(AND(K764&lt;&gt;"",TRIM(I764&amp;"")&lt;&gt;""),K764,"")</f>
        <v/>
      </c>
    </row>
    <row r="765" customFormat="false" ht="15" hidden="false" customHeight="false" outlineLevel="0" collapsed="false">
      <c r="A765" s="9"/>
      <c r="B765" s="4"/>
      <c r="C765" s="10"/>
      <c r="D765" s="11" t="str">
        <f aca="false">IF(K765="","",IFERROR(INDEX(DECKS!$C$2:$C$1201,MATCH(K765,DECKS!$B$2:$B$1201,0)),TRIM(I765&amp;"")))</f>
        <v/>
      </c>
      <c r="E765" s="4"/>
      <c r="F765" s="12"/>
      <c r="G765" s="4"/>
      <c r="H765" s="13" t="str">
        <f aca="false">IF(OR(N(C765)=0,N(F765)=0),"",C765*F765)</f>
        <v/>
      </c>
      <c r="I765" s="4"/>
      <c r="J765" s="11" t="str">
        <f aca="false">IF(K765="","",IF(N(C765)&lt;=0,"Informe a quantidade",IF(IFERROR(INDEX(INVENTÁRIO!$B$2:$B$801,MATCH(K765,INVENTÁRIO!$A$2:$A$801,0)),"")="(sem nome)","Carta fora dos decks: digite o nome na coluna I (opcional)","")))</f>
        <v/>
      </c>
      <c r="K765" s="11" t="str">
        <f aca="false">UPPER(TRIM(SUBSTITUTE(B765&amp;"",CHAR(160)," ")))</f>
        <v/>
      </c>
      <c r="L765" s="11" t="str">
        <f aca="false">IF(AND(K765&lt;&gt;"",TRIM(I765&amp;"")&lt;&gt;""),K765,"")</f>
        <v/>
      </c>
    </row>
    <row r="766" customFormat="false" ht="15" hidden="false" customHeight="false" outlineLevel="0" collapsed="false">
      <c r="A766" s="9"/>
      <c r="B766" s="4"/>
      <c r="C766" s="10"/>
      <c r="D766" s="11" t="str">
        <f aca="false">IF(K766="","",IFERROR(INDEX(DECKS!$C$2:$C$1201,MATCH(K766,DECKS!$B$2:$B$1201,0)),TRIM(I766&amp;"")))</f>
        <v/>
      </c>
      <c r="E766" s="4"/>
      <c r="F766" s="12"/>
      <c r="G766" s="4"/>
      <c r="H766" s="13" t="str">
        <f aca="false">IF(OR(N(C766)=0,N(F766)=0),"",C766*F766)</f>
        <v/>
      </c>
      <c r="I766" s="4"/>
      <c r="J766" s="11" t="str">
        <f aca="false">IF(K766="","",IF(N(C766)&lt;=0,"Informe a quantidade",IF(IFERROR(INDEX(INVENTÁRIO!$B$2:$B$801,MATCH(K766,INVENTÁRIO!$A$2:$A$801,0)),"")="(sem nome)","Carta fora dos decks: digite o nome na coluna I (opcional)","")))</f>
        <v/>
      </c>
      <c r="K766" s="11" t="str">
        <f aca="false">UPPER(TRIM(SUBSTITUTE(B766&amp;"",CHAR(160)," ")))</f>
        <v/>
      </c>
      <c r="L766" s="11" t="str">
        <f aca="false">IF(AND(K766&lt;&gt;"",TRIM(I766&amp;"")&lt;&gt;""),K766,"")</f>
        <v/>
      </c>
    </row>
    <row r="767" customFormat="false" ht="15" hidden="false" customHeight="false" outlineLevel="0" collapsed="false">
      <c r="A767" s="9"/>
      <c r="B767" s="4"/>
      <c r="C767" s="10"/>
      <c r="D767" s="11" t="str">
        <f aca="false">IF(K767="","",IFERROR(INDEX(DECKS!$C$2:$C$1201,MATCH(K767,DECKS!$B$2:$B$1201,0)),TRIM(I767&amp;"")))</f>
        <v/>
      </c>
      <c r="E767" s="4"/>
      <c r="F767" s="12"/>
      <c r="G767" s="4"/>
      <c r="H767" s="13" t="str">
        <f aca="false">IF(OR(N(C767)=0,N(F767)=0),"",C767*F767)</f>
        <v/>
      </c>
      <c r="I767" s="4"/>
      <c r="J767" s="11" t="str">
        <f aca="false">IF(K767="","",IF(N(C767)&lt;=0,"Informe a quantidade",IF(IFERROR(INDEX(INVENTÁRIO!$B$2:$B$801,MATCH(K767,INVENTÁRIO!$A$2:$A$801,0)),"")="(sem nome)","Carta fora dos decks: digite o nome na coluna I (opcional)","")))</f>
        <v/>
      </c>
      <c r="K767" s="11" t="str">
        <f aca="false">UPPER(TRIM(SUBSTITUTE(B767&amp;"",CHAR(160)," ")))</f>
        <v/>
      </c>
      <c r="L767" s="11" t="str">
        <f aca="false">IF(AND(K767&lt;&gt;"",TRIM(I767&amp;"")&lt;&gt;""),K767,"")</f>
        <v/>
      </c>
    </row>
    <row r="768" customFormat="false" ht="15" hidden="false" customHeight="false" outlineLevel="0" collapsed="false">
      <c r="A768" s="9"/>
      <c r="B768" s="4"/>
      <c r="C768" s="10"/>
      <c r="D768" s="11" t="str">
        <f aca="false">IF(K768="","",IFERROR(INDEX(DECKS!$C$2:$C$1201,MATCH(K768,DECKS!$B$2:$B$1201,0)),TRIM(I768&amp;"")))</f>
        <v/>
      </c>
      <c r="E768" s="4"/>
      <c r="F768" s="12"/>
      <c r="G768" s="4"/>
      <c r="H768" s="13" t="str">
        <f aca="false">IF(OR(N(C768)=0,N(F768)=0),"",C768*F768)</f>
        <v/>
      </c>
      <c r="I768" s="4"/>
      <c r="J768" s="11" t="str">
        <f aca="false">IF(K768="","",IF(N(C768)&lt;=0,"Informe a quantidade",IF(IFERROR(INDEX(INVENTÁRIO!$B$2:$B$801,MATCH(K768,INVENTÁRIO!$A$2:$A$801,0)),"")="(sem nome)","Carta fora dos decks: digite o nome na coluna I (opcional)","")))</f>
        <v/>
      </c>
      <c r="K768" s="11" t="str">
        <f aca="false">UPPER(TRIM(SUBSTITUTE(B768&amp;"",CHAR(160)," ")))</f>
        <v/>
      </c>
      <c r="L768" s="11" t="str">
        <f aca="false">IF(AND(K768&lt;&gt;"",TRIM(I768&amp;"")&lt;&gt;""),K768,"")</f>
        <v/>
      </c>
    </row>
    <row r="769" customFormat="false" ht="15" hidden="false" customHeight="false" outlineLevel="0" collapsed="false">
      <c r="A769" s="9"/>
      <c r="B769" s="4"/>
      <c r="C769" s="10"/>
      <c r="D769" s="11" t="str">
        <f aca="false">IF(K769="","",IFERROR(INDEX(DECKS!$C$2:$C$1201,MATCH(K769,DECKS!$B$2:$B$1201,0)),TRIM(I769&amp;"")))</f>
        <v/>
      </c>
      <c r="E769" s="4"/>
      <c r="F769" s="12"/>
      <c r="G769" s="4"/>
      <c r="H769" s="13" t="str">
        <f aca="false">IF(OR(N(C769)=0,N(F769)=0),"",C769*F769)</f>
        <v/>
      </c>
      <c r="I769" s="4"/>
      <c r="J769" s="11" t="str">
        <f aca="false">IF(K769="","",IF(N(C769)&lt;=0,"Informe a quantidade",IF(IFERROR(INDEX(INVENTÁRIO!$B$2:$B$801,MATCH(K769,INVENTÁRIO!$A$2:$A$801,0)),"")="(sem nome)","Carta fora dos decks: digite o nome na coluna I (opcional)","")))</f>
        <v/>
      </c>
      <c r="K769" s="11" t="str">
        <f aca="false">UPPER(TRIM(SUBSTITUTE(B769&amp;"",CHAR(160)," ")))</f>
        <v/>
      </c>
      <c r="L769" s="11" t="str">
        <f aca="false">IF(AND(K769&lt;&gt;"",TRIM(I769&amp;"")&lt;&gt;""),K769,"")</f>
        <v/>
      </c>
    </row>
    <row r="770" customFormat="false" ht="15" hidden="false" customHeight="false" outlineLevel="0" collapsed="false">
      <c r="A770" s="9"/>
      <c r="B770" s="4"/>
      <c r="C770" s="10"/>
      <c r="D770" s="11" t="str">
        <f aca="false">IF(K770="","",IFERROR(INDEX(DECKS!$C$2:$C$1201,MATCH(K770,DECKS!$B$2:$B$1201,0)),TRIM(I770&amp;"")))</f>
        <v/>
      </c>
      <c r="E770" s="4"/>
      <c r="F770" s="12"/>
      <c r="G770" s="4"/>
      <c r="H770" s="13" t="str">
        <f aca="false">IF(OR(N(C770)=0,N(F770)=0),"",C770*F770)</f>
        <v/>
      </c>
      <c r="I770" s="4"/>
      <c r="J770" s="11" t="str">
        <f aca="false">IF(K770="","",IF(N(C770)&lt;=0,"Informe a quantidade",IF(IFERROR(INDEX(INVENTÁRIO!$B$2:$B$801,MATCH(K770,INVENTÁRIO!$A$2:$A$801,0)),"")="(sem nome)","Carta fora dos decks: digite o nome na coluna I (opcional)","")))</f>
        <v/>
      </c>
      <c r="K770" s="11" t="str">
        <f aca="false">UPPER(TRIM(SUBSTITUTE(B770&amp;"",CHAR(160)," ")))</f>
        <v/>
      </c>
      <c r="L770" s="11" t="str">
        <f aca="false">IF(AND(K770&lt;&gt;"",TRIM(I770&amp;"")&lt;&gt;""),K770,"")</f>
        <v/>
      </c>
    </row>
    <row r="771" customFormat="false" ht="15" hidden="false" customHeight="false" outlineLevel="0" collapsed="false">
      <c r="A771" s="9"/>
      <c r="B771" s="4"/>
      <c r="C771" s="10"/>
      <c r="D771" s="11" t="str">
        <f aca="false">IF(K771="","",IFERROR(INDEX(DECKS!$C$2:$C$1201,MATCH(K771,DECKS!$B$2:$B$1201,0)),TRIM(I771&amp;"")))</f>
        <v/>
      </c>
      <c r="E771" s="4"/>
      <c r="F771" s="12"/>
      <c r="G771" s="4"/>
      <c r="H771" s="13" t="str">
        <f aca="false">IF(OR(N(C771)=0,N(F771)=0),"",C771*F771)</f>
        <v/>
      </c>
      <c r="I771" s="4"/>
      <c r="J771" s="11" t="str">
        <f aca="false">IF(K771="","",IF(N(C771)&lt;=0,"Informe a quantidade",IF(IFERROR(INDEX(INVENTÁRIO!$B$2:$B$801,MATCH(K771,INVENTÁRIO!$A$2:$A$801,0)),"")="(sem nome)","Carta fora dos decks: digite o nome na coluna I (opcional)","")))</f>
        <v/>
      </c>
      <c r="K771" s="11" t="str">
        <f aca="false">UPPER(TRIM(SUBSTITUTE(B771&amp;"",CHAR(160)," ")))</f>
        <v/>
      </c>
      <c r="L771" s="11" t="str">
        <f aca="false">IF(AND(K771&lt;&gt;"",TRIM(I771&amp;"")&lt;&gt;""),K771,"")</f>
        <v/>
      </c>
    </row>
    <row r="772" customFormat="false" ht="15" hidden="false" customHeight="false" outlineLevel="0" collapsed="false">
      <c r="A772" s="9"/>
      <c r="B772" s="4"/>
      <c r="C772" s="10"/>
      <c r="D772" s="11" t="str">
        <f aca="false">IF(K772="","",IFERROR(INDEX(DECKS!$C$2:$C$1201,MATCH(K772,DECKS!$B$2:$B$1201,0)),TRIM(I772&amp;"")))</f>
        <v/>
      </c>
      <c r="E772" s="4"/>
      <c r="F772" s="12"/>
      <c r="G772" s="4"/>
      <c r="H772" s="13" t="str">
        <f aca="false">IF(OR(N(C772)=0,N(F772)=0),"",C772*F772)</f>
        <v/>
      </c>
      <c r="I772" s="4"/>
      <c r="J772" s="11" t="str">
        <f aca="false">IF(K772="","",IF(N(C772)&lt;=0,"Informe a quantidade",IF(IFERROR(INDEX(INVENTÁRIO!$B$2:$B$801,MATCH(K772,INVENTÁRIO!$A$2:$A$801,0)),"")="(sem nome)","Carta fora dos decks: digite o nome na coluna I (opcional)","")))</f>
        <v/>
      </c>
      <c r="K772" s="11" t="str">
        <f aca="false">UPPER(TRIM(SUBSTITUTE(B772&amp;"",CHAR(160)," ")))</f>
        <v/>
      </c>
      <c r="L772" s="11" t="str">
        <f aca="false">IF(AND(K772&lt;&gt;"",TRIM(I772&amp;"")&lt;&gt;""),K772,"")</f>
        <v/>
      </c>
    </row>
    <row r="773" customFormat="false" ht="15" hidden="false" customHeight="false" outlineLevel="0" collapsed="false">
      <c r="A773" s="9"/>
      <c r="B773" s="4"/>
      <c r="C773" s="10"/>
      <c r="D773" s="11" t="str">
        <f aca="false">IF(K773="","",IFERROR(INDEX(DECKS!$C$2:$C$1201,MATCH(K773,DECKS!$B$2:$B$1201,0)),TRIM(I773&amp;"")))</f>
        <v/>
      </c>
      <c r="E773" s="4"/>
      <c r="F773" s="12"/>
      <c r="G773" s="4"/>
      <c r="H773" s="13" t="str">
        <f aca="false">IF(OR(N(C773)=0,N(F773)=0),"",C773*F773)</f>
        <v/>
      </c>
      <c r="I773" s="4"/>
      <c r="J773" s="11" t="str">
        <f aca="false">IF(K773="","",IF(N(C773)&lt;=0,"Informe a quantidade",IF(IFERROR(INDEX(INVENTÁRIO!$B$2:$B$801,MATCH(K773,INVENTÁRIO!$A$2:$A$801,0)),"")="(sem nome)","Carta fora dos decks: digite o nome na coluna I (opcional)","")))</f>
        <v/>
      </c>
      <c r="K773" s="11" t="str">
        <f aca="false">UPPER(TRIM(SUBSTITUTE(B773&amp;"",CHAR(160)," ")))</f>
        <v/>
      </c>
      <c r="L773" s="11" t="str">
        <f aca="false">IF(AND(K773&lt;&gt;"",TRIM(I773&amp;"")&lt;&gt;""),K773,"")</f>
        <v/>
      </c>
    </row>
    <row r="774" customFormat="false" ht="15" hidden="false" customHeight="false" outlineLevel="0" collapsed="false">
      <c r="A774" s="9"/>
      <c r="B774" s="4"/>
      <c r="C774" s="10"/>
      <c r="D774" s="11" t="str">
        <f aca="false">IF(K774="","",IFERROR(INDEX(DECKS!$C$2:$C$1201,MATCH(K774,DECKS!$B$2:$B$1201,0)),TRIM(I774&amp;"")))</f>
        <v/>
      </c>
      <c r="E774" s="4"/>
      <c r="F774" s="12"/>
      <c r="G774" s="4"/>
      <c r="H774" s="13" t="str">
        <f aca="false">IF(OR(N(C774)=0,N(F774)=0),"",C774*F774)</f>
        <v/>
      </c>
      <c r="I774" s="4"/>
      <c r="J774" s="11" t="str">
        <f aca="false">IF(K774="","",IF(N(C774)&lt;=0,"Informe a quantidade",IF(IFERROR(INDEX(INVENTÁRIO!$B$2:$B$801,MATCH(K774,INVENTÁRIO!$A$2:$A$801,0)),"")="(sem nome)","Carta fora dos decks: digite o nome na coluna I (opcional)","")))</f>
        <v/>
      </c>
      <c r="K774" s="11" t="str">
        <f aca="false">UPPER(TRIM(SUBSTITUTE(B774&amp;"",CHAR(160)," ")))</f>
        <v/>
      </c>
      <c r="L774" s="11" t="str">
        <f aca="false">IF(AND(K774&lt;&gt;"",TRIM(I774&amp;"")&lt;&gt;""),K774,"")</f>
        <v/>
      </c>
    </row>
    <row r="775" customFormat="false" ht="15" hidden="false" customHeight="false" outlineLevel="0" collapsed="false">
      <c r="A775" s="9"/>
      <c r="B775" s="4"/>
      <c r="C775" s="10"/>
      <c r="D775" s="11" t="str">
        <f aca="false">IF(K775="","",IFERROR(INDEX(DECKS!$C$2:$C$1201,MATCH(K775,DECKS!$B$2:$B$1201,0)),TRIM(I775&amp;"")))</f>
        <v/>
      </c>
      <c r="E775" s="4"/>
      <c r="F775" s="12"/>
      <c r="G775" s="4"/>
      <c r="H775" s="13" t="str">
        <f aca="false">IF(OR(N(C775)=0,N(F775)=0),"",C775*F775)</f>
        <v/>
      </c>
      <c r="I775" s="4"/>
      <c r="J775" s="11" t="str">
        <f aca="false">IF(K775="","",IF(N(C775)&lt;=0,"Informe a quantidade",IF(IFERROR(INDEX(INVENTÁRIO!$B$2:$B$801,MATCH(K775,INVENTÁRIO!$A$2:$A$801,0)),"")="(sem nome)","Carta fora dos decks: digite o nome na coluna I (opcional)","")))</f>
        <v/>
      </c>
      <c r="K775" s="11" t="str">
        <f aca="false">UPPER(TRIM(SUBSTITUTE(B775&amp;"",CHAR(160)," ")))</f>
        <v/>
      </c>
      <c r="L775" s="11" t="str">
        <f aca="false">IF(AND(K775&lt;&gt;"",TRIM(I775&amp;"")&lt;&gt;""),K775,"")</f>
        <v/>
      </c>
    </row>
    <row r="776" customFormat="false" ht="15" hidden="false" customHeight="false" outlineLevel="0" collapsed="false">
      <c r="A776" s="9"/>
      <c r="B776" s="4"/>
      <c r="C776" s="10"/>
      <c r="D776" s="11" t="str">
        <f aca="false">IF(K776="","",IFERROR(INDEX(DECKS!$C$2:$C$1201,MATCH(K776,DECKS!$B$2:$B$1201,0)),TRIM(I776&amp;"")))</f>
        <v/>
      </c>
      <c r="E776" s="4"/>
      <c r="F776" s="12"/>
      <c r="G776" s="4"/>
      <c r="H776" s="13" t="str">
        <f aca="false">IF(OR(N(C776)=0,N(F776)=0),"",C776*F776)</f>
        <v/>
      </c>
      <c r="I776" s="4"/>
      <c r="J776" s="11" t="str">
        <f aca="false">IF(K776="","",IF(N(C776)&lt;=0,"Informe a quantidade",IF(IFERROR(INDEX(INVENTÁRIO!$B$2:$B$801,MATCH(K776,INVENTÁRIO!$A$2:$A$801,0)),"")="(sem nome)","Carta fora dos decks: digite o nome na coluna I (opcional)","")))</f>
        <v/>
      </c>
      <c r="K776" s="11" t="str">
        <f aca="false">UPPER(TRIM(SUBSTITUTE(B776&amp;"",CHAR(160)," ")))</f>
        <v/>
      </c>
      <c r="L776" s="11" t="str">
        <f aca="false">IF(AND(K776&lt;&gt;"",TRIM(I776&amp;"")&lt;&gt;""),K776,"")</f>
        <v/>
      </c>
    </row>
    <row r="777" customFormat="false" ht="15" hidden="false" customHeight="false" outlineLevel="0" collapsed="false">
      <c r="A777" s="9"/>
      <c r="B777" s="4"/>
      <c r="C777" s="10"/>
      <c r="D777" s="11" t="str">
        <f aca="false">IF(K777="","",IFERROR(INDEX(DECKS!$C$2:$C$1201,MATCH(K777,DECKS!$B$2:$B$1201,0)),TRIM(I777&amp;"")))</f>
        <v/>
      </c>
      <c r="E777" s="4"/>
      <c r="F777" s="12"/>
      <c r="G777" s="4"/>
      <c r="H777" s="13" t="str">
        <f aca="false">IF(OR(N(C777)=0,N(F777)=0),"",C777*F777)</f>
        <v/>
      </c>
      <c r="I777" s="4"/>
      <c r="J777" s="11" t="str">
        <f aca="false">IF(K777="","",IF(N(C777)&lt;=0,"Informe a quantidade",IF(IFERROR(INDEX(INVENTÁRIO!$B$2:$B$801,MATCH(K777,INVENTÁRIO!$A$2:$A$801,0)),"")="(sem nome)","Carta fora dos decks: digite o nome na coluna I (opcional)","")))</f>
        <v/>
      </c>
      <c r="K777" s="11" t="str">
        <f aca="false">UPPER(TRIM(SUBSTITUTE(B777&amp;"",CHAR(160)," ")))</f>
        <v/>
      </c>
      <c r="L777" s="11" t="str">
        <f aca="false">IF(AND(K777&lt;&gt;"",TRIM(I777&amp;"")&lt;&gt;""),K777,"")</f>
        <v/>
      </c>
    </row>
    <row r="778" customFormat="false" ht="15" hidden="false" customHeight="false" outlineLevel="0" collapsed="false">
      <c r="A778" s="9"/>
      <c r="B778" s="4"/>
      <c r="C778" s="10"/>
      <c r="D778" s="11" t="str">
        <f aca="false">IF(K778="","",IFERROR(INDEX(DECKS!$C$2:$C$1201,MATCH(K778,DECKS!$B$2:$B$1201,0)),TRIM(I778&amp;"")))</f>
        <v/>
      </c>
      <c r="E778" s="4"/>
      <c r="F778" s="12"/>
      <c r="G778" s="4"/>
      <c r="H778" s="13" t="str">
        <f aca="false">IF(OR(N(C778)=0,N(F778)=0),"",C778*F778)</f>
        <v/>
      </c>
      <c r="I778" s="4"/>
      <c r="J778" s="11" t="str">
        <f aca="false">IF(K778="","",IF(N(C778)&lt;=0,"Informe a quantidade",IF(IFERROR(INDEX(INVENTÁRIO!$B$2:$B$801,MATCH(K778,INVENTÁRIO!$A$2:$A$801,0)),"")="(sem nome)","Carta fora dos decks: digite o nome na coluna I (opcional)","")))</f>
        <v/>
      </c>
      <c r="K778" s="11" t="str">
        <f aca="false">UPPER(TRIM(SUBSTITUTE(B778&amp;"",CHAR(160)," ")))</f>
        <v/>
      </c>
      <c r="L778" s="11" t="str">
        <f aca="false">IF(AND(K778&lt;&gt;"",TRIM(I778&amp;"")&lt;&gt;""),K778,"")</f>
        <v/>
      </c>
    </row>
    <row r="779" customFormat="false" ht="15" hidden="false" customHeight="false" outlineLevel="0" collapsed="false">
      <c r="A779" s="9"/>
      <c r="B779" s="4"/>
      <c r="C779" s="10"/>
      <c r="D779" s="11" t="str">
        <f aca="false">IF(K779="","",IFERROR(INDEX(DECKS!$C$2:$C$1201,MATCH(K779,DECKS!$B$2:$B$1201,0)),TRIM(I779&amp;"")))</f>
        <v/>
      </c>
      <c r="E779" s="4"/>
      <c r="F779" s="12"/>
      <c r="G779" s="4"/>
      <c r="H779" s="13" t="str">
        <f aca="false">IF(OR(N(C779)=0,N(F779)=0),"",C779*F779)</f>
        <v/>
      </c>
      <c r="I779" s="4"/>
      <c r="J779" s="11" t="str">
        <f aca="false">IF(K779="","",IF(N(C779)&lt;=0,"Informe a quantidade",IF(IFERROR(INDEX(INVENTÁRIO!$B$2:$B$801,MATCH(K779,INVENTÁRIO!$A$2:$A$801,0)),"")="(sem nome)","Carta fora dos decks: digite o nome na coluna I (opcional)","")))</f>
        <v/>
      </c>
      <c r="K779" s="11" t="str">
        <f aca="false">UPPER(TRIM(SUBSTITUTE(B779&amp;"",CHAR(160)," ")))</f>
        <v/>
      </c>
      <c r="L779" s="11" t="str">
        <f aca="false">IF(AND(K779&lt;&gt;"",TRIM(I779&amp;"")&lt;&gt;""),K779,"")</f>
        <v/>
      </c>
    </row>
    <row r="780" customFormat="false" ht="15" hidden="false" customHeight="false" outlineLevel="0" collapsed="false">
      <c r="A780" s="9"/>
      <c r="B780" s="4"/>
      <c r="C780" s="10"/>
      <c r="D780" s="11" t="str">
        <f aca="false">IF(K780="","",IFERROR(INDEX(DECKS!$C$2:$C$1201,MATCH(K780,DECKS!$B$2:$B$1201,0)),TRIM(I780&amp;"")))</f>
        <v/>
      </c>
      <c r="E780" s="4"/>
      <c r="F780" s="12"/>
      <c r="G780" s="4"/>
      <c r="H780" s="13" t="str">
        <f aca="false">IF(OR(N(C780)=0,N(F780)=0),"",C780*F780)</f>
        <v/>
      </c>
      <c r="I780" s="4"/>
      <c r="J780" s="11" t="str">
        <f aca="false">IF(K780="","",IF(N(C780)&lt;=0,"Informe a quantidade",IF(IFERROR(INDEX(INVENTÁRIO!$B$2:$B$801,MATCH(K780,INVENTÁRIO!$A$2:$A$801,0)),"")="(sem nome)","Carta fora dos decks: digite o nome na coluna I (opcional)","")))</f>
        <v/>
      </c>
      <c r="K780" s="11" t="str">
        <f aca="false">UPPER(TRIM(SUBSTITUTE(B780&amp;"",CHAR(160)," ")))</f>
        <v/>
      </c>
      <c r="L780" s="11" t="str">
        <f aca="false">IF(AND(K780&lt;&gt;"",TRIM(I780&amp;"")&lt;&gt;""),K780,"")</f>
        <v/>
      </c>
    </row>
    <row r="781" customFormat="false" ht="15" hidden="false" customHeight="false" outlineLevel="0" collapsed="false">
      <c r="A781" s="9"/>
      <c r="B781" s="4"/>
      <c r="C781" s="10"/>
      <c r="D781" s="11" t="str">
        <f aca="false">IF(K781="","",IFERROR(INDEX(DECKS!$C$2:$C$1201,MATCH(K781,DECKS!$B$2:$B$1201,0)),TRIM(I781&amp;"")))</f>
        <v/>
      </c>
      <c r="E781" s="4"/>
      <c r="F781" s="12"/>
      <c r="G781" s="4"/>
      <c r="H781" s="13" t="str">
        <f aca="false">IF(OR(N(C781)=0,N(F781)=0),"",C781*F781)</f>
        <v/>
      </c>
      <c r="I781" s="4"/>
      <c r="J781" s="11" t="str">
        <f aca="false">IF(K781="","",IF(N(C781)&lt;=0,"Informe a quantidade",IF(IFERROR(INDEX(INVENTÁRIO!$B$2:$B$801,MATCH(K781,INVENTÁRIO!$A$2:$A$801,0)),"")="(sem nome)","Carta fora dos decks: digite o nome na coluna I (opcional)","")))</f>
        <v/>
      </c>
      <c r="K781" s="11" t="str">
        <f aca="false">UPPER(TRIM(SUBSTITUTE(B781&amp;"",CHAR(160)," ")))</f>
        <v/>
      </c>
      <c r="L781" s="11" t="str">
        <f aca="false">IF(AND(K781&lt;&gt;"",TRIM(I781&amp;"")&lt;&gt;""),K781,"")</f>
        <v/>
      </c>
    </row>
    <row r="782" customFormat="false" ht="15" hidden="false" customHeight="false" outlineLevel="0" collapsed="false">
      <c r="A782" s="9"/>
      <c r="B782" s="4"/>
      <c r="C782" s="10"/>
      <c r="D782" s="11" t="str">
        <f aca="false">IF(K782="","",IFERROR(INDEX(DECKS!$C$2:$C$1201,MATCH(K782,DECKS!$B$2:$B$1201,0)),TRIM(I782&amp;"")))</f>
        <v/>
      </c>
      <c r="E782" s="4"/>
      <c r="F782" s="12"/>
      <c r="G782" s="4"/>
      <c r="H782" s="13" t="str">
        <f aca="false">IF(OR(N(C782)=0,N(F782)=0),"",C782*F782)</f>
        <v/>
      </c>
      <c r="I782" s="4"/>
      <c r="J782" s="11" t="str">
        <f aca="false">IF(K782="","",IF(N(C782)&lt;=0,"Informe a quantidade",IF(IFERROR(INDEX(INVENTÁRIO!$B$2:$B$801,MATCH(K782,INVENTÁRIO!$A$2:$A$801,0)),"")="(sem nome)","Carta fora dos decks: digite o nome na coluna I (opcional)","")))</f>
        <v/>
      </c>
      <c r="K782" s="11" t="str">
        <f aca="false">UPPER(TRIM(SUBSTITUTE(B782&amp;"",CHAR(160)," ")))</f>
        <v/>
      </c>
      <c r="L782" s="11" t="str">
        <f aca="false">IF(AND(K782&lt;&gt;"",TRIM(I782&amp;"")&lt;&gt;""),K782,"")</f>
        <v/>
      </c>
    </row>
    <row r="783" customFormat="false" ht="15" hidden="false" customHeight="false" outlineLevel="0" collapsed="false">
      <c r="A783" s="9"/>
      <c r="B783" s="4"/>
      <c r="C783" s="10"/>
      <c r="D783" s="11" t="str">
        <f aca="false">IF(K783="","",IFERROR(INDEX(DECKS!$C$2:$C$1201,MATCH(K783,DECKS!$B$2:$B$1201,0)),TRIM(I783&amp;"")))</f>
        <v/>
      </c>
      <c r="E783" s="4"/>
      <c r="F783" s="12"/>
      <c r="G783" s="4"/>
      <c r="H783" s="13" t="str">
        <f aca="false">IF(OR(N(C783)=0,N(F783)=0),"",C783*F783)</f>
        <v/>
      </c>
      <c r="I783" s="4"/>
      <c r="J783" s="11" t="str">
        <f aca="false">IF(K783="","",IF(N(C783)&lt;=0,"Informe a quantidade",IF(IFERROR(INDEX(INVENTÁRIO!$B$2:$B$801,MATCH(K783,INVENTÁRIO!$A$2:$A$801,0)),"")="(sem nome)","Carta fora dos decks: digite o nome na coluna I (opcional)","")))</f>
        <v/>
      </c>
      <c r="K783" s="11" t="str">
        <f aca="false">UPPER(TRIM(SUBSTITUTE(B783&amp;"",CHAR(160)," ")))</f>
        <v/>
      </c>
      <c r="L783" s="11" t="str">
        <f aca="false">IF(AND(K783&lt;&gt;"",TRIM(I783&amp;"")&lt;&gt;""),K783,"")</f>
        <v/>
      </c>
    </row>
    <row r="784" customFormat="false" ht="15" hidden="false" customHeight="false" outlineLevel="0" collapsed="false">
      <c r="A784" s="9"/>
      <c r="B784" s="4"/>
      <c r="C784" s="10"/>
      <c r="D784" s="11" t="str">
        <f aca="false">IF(K784="","",IFERROR(INDEX(DECKS!$C$2:$C$1201,MATCH(K784,DECKS!$B$2:$B$1201,0)),TRIM(I784&amp;"")))</f>
        <v/>
      </c>
      <c r="E784" s="4"/>
      <c r="F784" s="12"/>
      <c r="G784" s="4"/>
      <c r="H784" s="13" t="str">
        <f aca="false">IF(OR(N(C784)=0,N(F784)=0),"",C784*F784)</f>
        <v/>
      </c>
      <c r="I784" s="4"/>
      <c r="J784" s="11" t="str">
        <f aca="false">IF(K784="","",IF(N(C784)&lt;=0,"Informe a quantidade",IF(IFERROR(INDEX(INVENTÁRIO!$B$2:$B$801,MATCH(K784,INVENTÁRIO!$A$2:$A$801,0)),"")="(sem nome)","Carta fora dos decks: digite o nome na coluna I (opcional)","")))</f>
        <v/>
      </c>
      <c r="K784" s="11" t="str">
        <f aca="false">UPPER(TRIM(SUBSTITUTE(B784&amp;"",CHAR(160)," ")))</f>
        <v/>
      </c>
      <c r="L784" s="11" t="str">
        <f aca="false">IF(AND(K784&lt;&gt;"",TRIM(I784&amp;"")&lt;&gt;""),K784,"")</f>
        <v/>
      </c>
    </row>
    <row r="785" customFormat="false" ht="15" hidden="false" customHeight="false" outlineLevel="0" collapsed="false">
      <c r="A785" s="9"/>
      <c r="B785" s="4"/>
      <c r="C785" s="10"/>
      <c r="D785" s="11" t="str">
        <f aca="false">IF(K785="","",IFERROR(INDEX(DECKS!$C$2:$C$1201,MATCH(K785,DECKS!$B$2:$B$1201,0)),TRIM(I785&amp;"")))</f>
        <v/>
      </c>
      <c r="E785" s="4"/>
      <c r="F785" s="12"/>
      <c r="G785" s="4"/>
      <c r="H785" s="13" t="str">
        <f aca="false">IF(OR(N(C785)=0,N(F785)=0),"",C785*F785)</f>
        <v/>
      </c>
      <c r="I785" s="4"/>
      <c r="J785" s="11" t="str">
        <f aca="false">IF(K785="","",IF(N(C785)&lt;=0,"Informe a quantidade",IF(IFERROR(INDEX(INVENTÁRIO!$B$2:$B$801,MATCH(K785,INVENTÁRIO!$A$2:$A$801,0)),"")="(sem nome)","Carta fora dos decks: digite o nome na coluna I (opcional)","")))</f>
        <v/>
      </c>
      <c r="K785" s="11" t="str">
        <f aca="false">UPPER(TRIM(SUBSTITUTE(B785&amp;"",CHAR(160)," ")))</f>
        <v/>
      </c>
      <c r="L785" s="11" t="str">
        <f aca="false">IF(AND(K785&lt;&gt;"",TRIM(I785&amp;"")&lt;&gt;""),K785,"")</f>
        <v/>
      </c>
    </row>
    <row r="786" customFormat="false" ht="15" hidden="false" customHeight="false" outlineLevel="0" collapsed="false">
      <c r="A786" s="9"/>
      <c r="B786" s="4"/>
      <c r="C786" s="10"/>
      <c r="D786" s="11" t="str">
        <f aca="false">IF(K786="","",IFERROR(INDEX(DECKS!$C$2:$C$1201,MATCH(K786,DECKS!$B$2:$B$1201,0)),TRIM(I786&amp;"")))</f>
        <v/>
      </c>
      <c r="E786" s="4"/>
      <c r="F786" s="12"/>
      <c r="G786" s="4"/>
      <c r="H786" s="13" t="str">
        <f aca="false">IF(OR(N(C786)=0,N(F786)=0),"",C786*F786)</f>
        <v/>
      </c>
      <c r="I786" s="4"/>
      <c r="J786" s="11" t="str">
        <f aca="false">IF(K786="","",IF(N(C786)&lt;=0,"Informe a quantidade",IF(IFERROR(INDEX(INVENTÁRIO!$B$2:$B$801,MATCH(K786,INVENTÁRIO!$A$2:$A$801,0)),"")="(sem nome)","Carta fora dos decks: digite o nome na coluna I (opcional)","")))</f>
        <v/>
      </c>
      <c r="K786" s="11" t="str">
        <f aca="false">UPPER(TRIM(SUBSTITUTE(B786&amp;"",CHAR(160)," ")))</f>
        <v/>
      </c>
      <c r="L786" s="11" t="str">
        <f aca="false">IF(AND(K786&lt;&gt;"",TRIM(I786&amp;"")&lt;&gt;""),K786,"")</f>
        <v/>
      </c>
    </row>
    <row r="787" customFormat="false" ht="15" hidden="false" customHeight="false" outlineLevel="0" collapsed="false">
      <c r="A787" s="9"/>
      <c r="B787" s="4"/>
      <c r="C787" s="10"/>
      <c r="D787" s="11" t="str">
        <f aca="false">IF(K787="","",IFERROR(INDEX(DECKS!$C$2:$C$1201,MATCH(K787,DECKS!$B$2:$B$1201,0)),TRIM(I787&amp;"")))</f>
        <v/>
      </c>
      <c r="E787" s="4"/>
      <c r="F787" s="12"/>
      <c r="G787" s="4"/>
      <c r="H787" s="13" t="str">
        <f aca="false">IF(OR(N(C787)=0,N(F787)=0),"",C787*F787)</f>
        <v/>
      </c>
      <c r="I787" s="4"/>
      <c r="J787" s="11" t="str">
        <f aca="false">IF(K787="","",IF(N(C787)&lt;=0,"Informe a quantidade",IF(IFERROR(INDEX(INVENTÁRIO!$B$2:$B$801,MATCH(K787,INVENTÁRIO!$A$2:$A$801,0)),"")="(sem nome)","Carta fora dos decks: digite o nome na coluna I (opcional)","")))</f>
        <v/>
      </c>
      <c r="K787" s="11" t="str">
        <f aca="false">UPPER(TRIM(SUBSTITUTE(B787&amp;"",CHAR(160)," ")))</f>
        <v/>
      </c>
      <c r="L787" s="11" t="str">
        <f aca="false">IF(AND(K787&lt;&gt;"",TRIM(I787&amp;"")&lt;&gt;""),K787,"")</f>
        <v/>
      </c>
    </row>
    <row r="788" customFormat="false" ht="15" hidden="false" customHeight="false" outlineLevel="0" collapsed="false">
      <c r="A788" s="9"/>
      <c r="B788" s="4"/>
      <c r="C788" s="10"/>
      <c r="D788" s="11" t="str">
        <f aca="false">IF(K788="","",IFERROR(INDEX(DECKS!$C$2:$C$1201,MATCH(K788,DECKS!$B$2:$B$1201,0)),TRIM(I788&amp;"")))</f>
        <v/>
      </c>
      <c r="E788" s="4"/>
      <c r="F788" s="12"/>
      <c r="G788" s="4"/>
      <c r="H788" s="13" t="str">
        <f aca="false">IF(OR(N(C788)=0,N(F788)=0),"",C788*F788)</f>
        <v/>
      </c>
      <c r="I788" s="4"/>
      <c r="J788" s="11" t="str">
        <f aca="false">IF(K788="","",IF(N(C788)&lt;=0,"Informe a quantidade",IF(IFERROR(INDEX(INVENTÁRIO!$B$2:$B$801,MATCH(K788,INVENTÁRIO!$A$2:$A$801,0)),"")="(sem nome)","Carta fora dos decks: digite o nome na coluna I (opcional)","")))</f>
        <v/>
      </c>
      <c r="K788" s="11" t="str">
        <f aca="false">UPPER(TRIM(SUBSTITUTE(B788&amp;"",CHAR(160)," ")))</f>
        <v/>
      </c>
      <c r="L788" s="11" t="str">
        <f aca="false">IF(AND(K788&lt;&gt;"",TRIM(I788&amp;"")&lt;&gt;""),K788,"")</f>
        <v/>
      </c>
    </row>
    <row r="789" customFormat="false" ht="15" hidden="false" customHeight="false" outlineLevel="0" collapsed="false">
      <c r="A789" s="9"/>
      <c r="B789" s="4"/>
      <c r="C789" s="10"/>
      <c r="D789" s="11" t="str">
        <f aca="false">IF(K789="","",IFERROR(INDEX(DECKS!$C$2:$C$1201,MATCH(K789,DECKS!$B$2:$B$1201,0)),TRIM(I789&amp;"")))</f>
        <v/>
      </c>
      <c r="E789" s="4"/>
      <c r="F789" s="12"/>
      <c r="G789" s="4"/>
      <c r="H789" s="13" t="str">
        <f aca="false">IF(OR(N(C789)=0,N(F789)=0),"",C789*F789)</f>
        <v/>
      </c>
      <c r="I789" s="4"/>
      <c r="J789" s="11" t="str">
        <f aca="false">IF(K789="","",IF(N(C789)&lt;=0,"Informe a quantidade",IF(IFERROR(INDEX(INVENTÁRIO!$B$2:$B$801,MATCH(K789,INVENTÁRIO!$A$2:$A$801,0)),"")="(sem nome)","Carta fora dos decks: digite o nome na coluna I (opcional)","")))</f>
        <v/>
      </c>
      <c r="K789" s="11" t="str">
        <f aca="false">UPPER(TRIM(SUBSTITUTE(B789&amp;"",CHAR(160)," ")))</f>
        <v/>
      </c>
      <c r="L789" s="11" t="str">
        <f aca="false">IF(AND(K789&lt;&gt;"",TRIM(I789&amp;"")&lt;&gt;""),K789,"")</f>
        <v/>
      </c>
    </row>
    <row r="790" customFormat="false" ht="15" hidden="false" customHeight="false" outlineLevel="0" collapsed="false">
      <c r="A790" s="9"/>
      <c r="B790" s="4"/>
      <c r="C790" s="10"/>
      <c r="D790" s="11" t="str">
        <f aca="false">IF(K790="","",IFERROR(INDEX(DECKS!$C$2:$C$1201,MATCH(K790,DECKS!$B$2:$B$1201,0)),TRIM(I790&amp;"")))</f>
        <v/>
      </c>
      <c r="E790" s="4"/>
      <c r="F790" s="12"/>
      <c r="G790" s="4"/>
      <c r="H790" s="13" t="str">
        <f aca="false">IF(OR(N(C790)=0,N(F790)=0),"",C790*F790)</f>
        <v/>
      </c>
      <c r="I790" s="4"/>
      <c r="J790" s="11" t="str">
        <f aca="false">IF(K790="","",IF(N(C790)&lt;=0,"Informe a quantidade",IF(IFERROR(INDEX(INVENTÁRIO!$B$2:$B$801,MATCH(K790,INVENTÁRIO!$A$2:$A$801,0)),"")="(sem nome)","Carta fora dos decks: digite o nome na coluna I (opcional)","")))</f>
        <v/>
      </c>
      <c r="K790" s="11" t="str">
        <f aca="false">UPPER(TRIM(SUBSTITUTE(B790&amp;"",CHAR(160)," ")))</f>
        <v/>
      </c>
      <c r="L790" s="11" t="str">
        <f aca="false">IF(AND(K790&lt;&gt;"",TRIM(I790&amp;"")&lt;&gt;""),K790,"")</f>
        <v/>
      </c>
    </row>
    <row r="791" customFormat="false" ht="15" hidden="false" customHeight="false" outlineLevel="0" collapsed="false">
      <c r="A791" s="9"/>
      <c r="B791" s="4"/>
      <c r="C791" s="10"/>
      <c r="D791" s="11" t="str">
        <f aca="false">IF(K791="","",IFERROR(INDEX(DECKS!$C$2:$C$1201,MATCH(K791,DECKS!$B$2:$B$1201,0)),TRIM(I791&amp;"")))</f>
        <v/>
      </c>
      <c r="E791" s="4"/>
      <c r="F791" s="12"/>
      <c r="G791" s="4"/>
      <c r="H791" s="13" t="str">
        <f aca="false">IF(OR(N(C791)=0,N(F791)=0),"",C791*F791)</f>
        <v/>
      </c>
      <c r="I791" s="4"/>
      <c r="J791" s="11" t="str">
        <f aca="false">IF(K791="","",IF(N(C791)&lt;=0,"Informe a quantidade",IF(IFERROR(INDEX(INVENTÁRIO!$B$2:$B$801,MATCH(K791,INVENTÁRIO!$A$2:$A$801,0)),"")="(sem nome)","Carta fora dos decks: digite o nome na coluna I (opcional)","")))</f>
        <v/>
      </c>
      <c r="K791" s="11" t="str">
        <f aca="false">UPPER(TRIM(SUBSTITUTE(B791&amp;"",CHAR(160)," ")))</f>
        <v/>
      </c>
      <c r="L791" s="11" t="str">
        <f aca="false">IF(AND(K791&lt;&gt;"",TRIM(I791&amp;"")&lt;&gt;""),K791,"")</f>
        <v/>
      </c>
    </row>
    <row r="792" customFormat="false" ht="15" hidden="false" customHeight="false" outlineLevel="0" collapsed="false">
      <c r="A792" s="9"/>
      <c r="B792" s="4"/>
      <c r="C792" s="10"/>
      <c r="D792" s="11" t="str">
        <f aca="false">IF(K792="","",IFERROR(INDEX(DECKS!$C$2:$C$1201,MATCH(K792,DECKS!$B$2:$B$1201,0)),TRIM(I792&amp;"")))</f>
        <v/>
      </c>
      <c r="E792" s="4"/>
      <c r="F792" s="12"/>
      <c r="G792" s="4"/>
      <c r="H792" s="13" t="str">
        <f aca="false">IF(OR(N(C792)=0,N(F792)=0),"",C792*F792)</f>
        <v/>
      </c>
      <c r="I792" s="4"/>
      <c r="J792" s="11" t="str">
        <f aca="false">IF(K792="","",IF(N(C792)&lt;=0,"Informe a quantidade",IF(IFERROR(INDEX(INVENTÁRIO!$B$2:$B$801,MATCH(K792,INVENTÁRIO!$A$2:$A$801,0)),"")="(sem nome)","Carta fora dos decks: digite o nome na coluna I (opcional)","")))</f>
        <v/>
      </c>
      <c r="K792" s="11" t="str">
        <f aca="false">UPPER(TRIM(SUBSTITUTE(B792&amp;"",CHAR(160)," ")))</f>
        <v/>
      </c>
      <c r="L792" s="11" t="str">
        <f aca="false">IF(AND(K792&lt;&gt;"",TRIM(I792&amp;"")&lt;&gt;""),K792,"")</f>
        <v/>
      </c>
    </row>
    <row r="793" customFormat="false" ht="15" hidden="false" customHeight="false" outlineLevel="0" collapsed="false">
      <c r="A793" s="9"/>
      <c r="B793" s="4"/>
      <c r="C793" s="10"/>
      <c r="D793" s="11" t="str">
        <f aca="false">IF(K793="","",IFERROR(INDEX(DECKS!$C$2:$C$1201,MATCH(K793,DECKS!$B$2:$B$1201,0)),TRIM(I793&amp;"")))</f>
        <v/>
      </c>
      <c r="E793" s="4"/>
      <c r="F793" s="12"/>
      <c r="G793" s="4"/>
      <c r="H793" s="13" t="str">
        <f aca="false">IF(OR(N(C793)=0,N(F793)=0),"",C793*F793)</f>
        <v/>
      </c>
      <c r="I793" s="4"/>
      <c r="J793" s="11" t="str">
        <f aca="false">IF(K793="","",IF(N(C793)&lt;=0,"Informe a quantidade",IF(IFERROR(INDEX(INVENTÁRIO!$B$2:$B$801,MATCH(K793,INVENTÁRIO!$A$2:$A$801,0)),"")="(sem nome)","Carta fora dos decks: digite o nome na coluna I (opcional)","")))</f>
        <v/>
      </c>
      <c r="K793" s="11" t="str">
        <f aca="false">UPPER(TRIM(SUBSTITUTE(B793&amp;"",CHAR(160)," ")))</f>
        <v/>
      </c>
      <c r="L793" s="11" t="str">
        <f aca="false">IF(AND(K793&lt;&gt;"",TRIM(I793&amp;"")&lt;&gt;""),K793,"")</f>
        <v/>
      </c>
    </row>
    <row r="794" customFormat="false" ht="15" hidden="false" customHeight="false" outlineLevel="0" collapsed="false">
      <c r="A794" s="9"/>
      <c r="B794" s="4"/>
      <c r="C794" s="10"/>
      <c r="D794" s="11" t="str">
        <f aca="false">IF(K794="","",IFERROR(INDEX(DECKS!$C$2:$C$1201,MATCH(K794,DECKS!$B$2:$B$1201,0)),TRIM(I794&amp;"")))</f>
        <v/>
      </c>
      <c r="E794" s="4"/>
      <c r="F794" s="12"/>
      <c r="G794" s="4"/>
      <c r="H794" s="13" t="str">
        <f aca="false">IF(OR(N(C794)=0,N(F794)=0),"",C794*F794)</f>
        <v/>
      </c>
      <c r="I794" s="4"/>
      <c r="J794" s="11" t="str">
        <f aca="false">IF(K794="","",IF(N(C794)&lt;=0,"Informe a quantidade",IF(IFERROR(INDEX(INVENTÁRIO!$B$2:$B$801,MATCH(K794,INVENTÁRIO!$A$2:$A$801,0)),"")="(sem nome)","Carta fora dos decks: digite o nome na coluna I (opcional)","")))</f>
        <v/>
      </c>
      <c r="K794" s="11" t="str">
        <f aca="false">UPPER(TRIM(SUBSTITUTE(B794&amp;"",CHAR(160)," ")))</f>
        <v/>
      </c>
      <c r="L794" s="11" t="str">
        <f aca="false">IF(AND(K794&lt;&gt;"",TRIM(I794&amp;"")&lt;&gt;""),K794,"")</f>
        <v/>
      </c>
    </row>
    <row r="795" customFormat="false" ht="15" hidden="false" customHeight="false" outlineLevel="0" collapsed="false">
      <c r="A795" s="9"/>
      <c r="B795" s="4"/>
      <c r="C795" s="10"/>
      <c r="D795" s="11" t="str">
        <f aca="false">IF(K795="","",IFERROR(INDEX(DECKS!$C$2:$C$1201,MATCH(K795,DECKS!$B$2:$B$1201,0)),TRIM(I795&amp;"")))</f>
        <v/>
      </c>
      <c r="E795" s="4"/>
      <c r="F795" s="12"/>
      <c r="G795" s="4"/>
      <c r="H795" s="13" t="str">
        <f aca="false">IF(OR(N(C795)=0,N(F795)=0),"",C795*F795)</f>
        <v/>
      </c>
      <c r="I795" s="4"/>
      <c r="J795" s="11" t="str">
        <f aca="false">IF(K795="","",IF(N(C795)&lt;=0,"Informe a quantidade",IF(IFERROR(INDEX(INVENTÁRIO!$B$2:$B$801,MATCH(K795,INVENTÁRIO!$A$2:$A$801,0)),"")="(sem nome)","Carta fora dos decks: digite o nome na coluna I (opcional)","")))</f>
        <v/>
      </c>
      <c r="K795" s="11" t="str">
        <f aca="false">UPPER(TRIM(SUBSTITUTE(B795&amp;"",CHAR(160)," ")))</f>
        <v/>
      </c>
      <c r="L795" s="11" t="str">
        <f aca="false">IF(AND(K795&lt;&gt;"",TRIM(I795&amp;"")&lt;&gt;""),K795,"")</f>
        <v/>
      </c>
    </row>
    <row r="796" customFormat="false" ht="15" hidden="false" customHeight="false" outlineLevel="0" collapsed="false">
      <c r="A796" s="9"/>
      <c r="B796" s="4"/>
      <c r="C796" s="10"/>
      <c r="D796" s="11" t="str">
        <f aca="false">IF(K796="","",IFERROR(INDEX(DECKS!$C$2:$C$1201,MATCH(K796,DECKS!$B$2:$B$1201,0)),TRIM(I796&amp;"")))</f>
        <v/>
      </c>
      <c r="E796" s="4"/>
      <c r="F796" s="12"/>
      <c r="G796" s="4"/>
      <c r="H796" s="13" t="str">
        <f aca="false">IF(OR(N(C796)=0,N(F796)=0),"",C796*F796)</f>
        <v/>
      </c>
      <c r="I796" s="4"/>
      <c r="J796" s="11" t="str">
        <f aca="false">IF(K796="","",IF(N(C796)&lt;=0,"Informe a quantidade",IF(IFERROR(INDEX(INVENTÁRIO!$B$2:$B$801,MATCH(K796,INVENTÁRIO!$A$2:$A$801,0)),"")="(sem nome)","Carta fora dos decks: digite o nome na coluna I (opcional)","")))</f>
        <v/>
      </c>
      <c r="K796" s="11" t="str">
        <f aca="false">UPPER(TRIM(SUBSTITUTE(B796&amp;"",CHAR(160)," ")))</f>
        <v/>
      </c>
      <c r="L796" s="11" t="str">
        <f aca="false">IF(AND(K796&lt;&gt;"",TRIM(I796&amp;"")&lt;&gt;""),K796,"")</f>
        <v/>
      </c>
    </row>
    <row r="797" customFormat="false" ht="15" hidden="false" customHeight="false" outlineLevel="0" collapsed="false">
      <c r="A797" s="9"/>
      <c r="B797" s="4"/>
      <c r="C797" s="10"/>
      <c r="D797" s="11" t="str">
        <f aca="false">IF(K797="","",IFERROR(INDEX(DECKS!$C$2:$C$1201,MATCH(K797,DECKS!$B$2:$B$1201,0)),TRIM(I797&amp;"")))</f>
        <v/>
      </c>
      <c r="E797" s="4"/>
      <c r="F797" s="12"/>
      <c r="G797" s="4"/>
      <c r="H797" s="13" t="str">
        <f aca="false">IF(OR(N(C797)=0,N(F797)=0),"",C797*F797)</f>
        <v/>
      </c>
      <c r="I797" s="4"/>
      <c r="J797" s="11" t="str">
        <f aca="false">IF(K797="","",IF(N(C797)&lt;=0,"Informe a quantidade",IF(IFERROR(INDEX(INVENTÁRIO!$B$2:$B$801,MATCH(K797,INVENTÁRIO!$A$2:$A$801,0)),"")="(sem nome)","Carta fora dos decks: digite o nome na coluna I (opcional)","")))</f>
        <v/>
      </c>
      <c r="K797" s="11" t="str">
        <f aca="false">UPPER(TRIM(SUBSTITUTE(B797&amp;"",CHAR(160)," ")))</f>
        <v/>
      </c>
      <c r="L797" s="11" t="str">
        <f aca="false">IF(AND(K797&lt;&gt;"",TRIM(I797&amp;"")&lt;&gt;""),K797,"")</f>
        <v/>
      </c>
    </row>
    <row r="798" customFormat="false" ht="15" hidden="false" customHeight="false" outlineLevel="0" collapsed="false">
      <c r="A798" s="9"/>
      <c r="B798" s="4"/>
      <c r="C798" s="10"/>
      <c r="D798" s="11" t="str">
        <f aca="false">IF(K798="","",IFERROR(INDEX(DECKS!$C$2:$C$1201,MATCH(K798,DECKS!$B$2:$B$1201,0)),TRIM(I798&amp;"")))</f>
        <v/>
      </c>
      <c r="E798" s="4"/>
      <c r="F798" s="12"/>
      <c r="G798" s="4"/>
      <c r="H798" s="13" t="str">
        <f aca="false">IF(OR(N(C798)=0,N(F798)=0),"",C798*F798)</f>
        <v/>
      </c>
      <c r="I798" s="4"/>
      <c r="J798" s="11" t="str">
        <f aca="false">IF(K798="","",IF(N(C798)&lt;=0,"Informe a quantidade",IF(IFERROR(INDEX(INVENTÁRIO!$B$2:$B$801,MATCH(K798,INVENTÁRIO!$A$2:$A$801,0)),"")="(sem nome)","Carta fora dos decks: digite o nome na coluna I (opcional)","")))</f>
        <v/>
      </c>
      <c r="K798" s="11" t="str">
        <f aca="false">UPPER(TRIM(SUBSTITUTE(B798&amp;"",CHAR(160)," ")))</f>
        <v/>
      </c>
      <c r="L798" s="11" t="str">
        <f aca="false">IF(AND(K798&lt;&gt;"",TRIM(I798&amp;"")&lt;&gt;""),K798,"")</f>
        <v/>
      </c>
    </row>
    <row r="799" customFormat="false" ht="15" hidden="false" customHeight="false" outlineLevel="0" collapsed="false">
      <c r="A799" s="9"/>
      <c r="B799" s="4"/>
      <c r="C799" s="10"/>
      <c r="D799" s="11" t="str">
        <f aca="false">IF(K799="","",IFERROR(INDEX(DECKS!$C$2:$C$1201,MATCH(K799,DECKS!$B$2:$B$1201,0)),TRIM(I799&amp;"")))</f>
        <v/>
      </c>
      <c r="E799" s="4"/>
      <c r="F799" s="12"/>
      <c r="G799" s="4"/>
      <c r="H799" s="13" t="str">
        <f aca="false">IF(OR(N(C799)=0,N(F799)=0),"",C799*F799)</f>
        <v/>
      </c>
      <c r="I799" s="4"/>
      <c r="J799" s="11" t="str">
        <f aca="false">IF(K799="","",IF(N(C799)&lt;=0,"Informe a quantidade",IF(IFERROR(INDEX(INVENTÁRIO!$B$2:$B$801,MATCH(K799,INVENTÁRIO!$A$2:$A$801,0)),"")="(sem nome)","Carta fora dos decks: digite o nome na coluna I (opcional)","")))</f>
        <v/>
      </c>
      <c r="K799" s="11" t="str">
        <f aca="false">UPPER(TRIM(SUBSTITUTE(B799&amp;"",CHAR(160)," ")))</f>
        <v/>
      </c>
      <c r="L799" s="11" t="str">
        <f aca="false">IF(AND(K799&lt;&gt;"",TRIM(I799&amp;"")&lt;&gt;""),K799,"")</f>
        <v/>
      </c>
    </row>
    <row r="800" customFormat="false" ht="15" hidden="false" customHeight="false" outlineLevel="0" collapsed="false">
      <c r="A800" s="9"/>
      <c r="B800" s="4"/>
      <c r="C800" s="10"/>
      <c r="D800" s="11" t="str">
        <f aca="false">IF(K800="","",IFERROR(INDEX(DECKS!$C$2:$C$1201,MATCH(K800,DECKS!$B$2:$B$1201,0)),TRIM(I800&amp;"")))</f>
        <v/>
      </c>
      <c r="E800" s="4"/>
      <c r="F800" s="12"/>
      <c r="G800" s="4"/>
      <c r="H800" s="13" t="str">
        <f aca="false">IF(OR(N(C800)=0,N(F800)=0),"",C800*F800)</f>
        <v/>
      </c>
      <c r="I800" s="4"/>
      <c r="J800" s="11" t="str">
        <f aca="false">IF(K800="","",IF(N(C800)&lt;=0,"Informe a quantidade",IF(IFERROR(INDEX(INVENTÁRIO!$B$2:$B$801,MATCH(K800,INVENTÁRIO!$A$2:$A$801,0)),"")="(sem nome)","Carta fora dos decks: digite o nome na coluna I (opcional)","")))</f>
        <v/>
      </c>
      <c r="K800" s="11" t="str">
        <f aca="false">UPPER(TRIM(SUBSTITUTE(B800&amp;"",CHAR(160)," ")))</f>
        <v/>
      </c>
      <c r="L800" s="11" t="str">
        <f aca="false">IF(AND(K800&lt;&gt;"",TRIM(I800&amp;"")&lt;&gt;""),K800,"")</f>
        <v/>
      </c>
    </row>
    <row r="801" customFormat="false" ht="15" hidden="false" customHeight="false" outlineLevel="0" collapsed="false">
      <c r="A801" s="9"/>
      <c r="B801" s="4"/>
      <c r="C801" s="10"/>
      <c r="D801" s="11" t="str">
        <f aca="false">IF(K801="","",IFERROR(INDEX(DECKS!$C$2:$C$1201,MATCH(K801,DECKS!$B$2:$B$1201,0)),TRIM(I801&amp;"")))</f>
        <v/>
      </c>
      <c r="E801" s="4"/>
      <c r="F801" s="12"/>
      <c r="G801" s="4"/>
      <c r="H801" s="13" t="str">
        <f aca="false">IF(OR(N(C801)=0,N(F801)=0),"",C801*F801)</f>
        <v/>
      </c>
      <c r="I801" s="4"/>
      <c r="J801" s="11" t="str">
        <f aca="false">IF(K801="","",IF(N(C801)&lt;=0,"Informe a quantidade",IF(IFERROR(INDEX(INVENTÁRIO!$B$2:$B$801,MATCH(K801,INVENTÁRIO!$A$2:$A$801,0)),"")="(sem nome)","Carta fora dos decks: digite o nome na coluna I (opcional)","")))</f>
        <v/>
      </c>
      <c r="K801" s="11" t="str">
        <f aca="false">UPPER(TRIM(SUBSTITUTE(B801&amp;"",CHAR(160)," ")))</f>
        <v/>
      </c>
      <c r="L801" s="11" t="str">
        <f aca="false">IF(AND(K801&lt;&gt;"",TRIM(I801&amp;"")&lt;&gt;""),K801,"")</f>
        <v/>
      </c>
    </row>
    <row r="802" customFormat="false" ht="15" hidden="false" customHeight="false" outlineLevel="0" collapsed="false">
      <c r="A802" s="9"/>
      <c r="B802" s="4"/>
      <c r="C802" s="10"/>
      <c r="D802" s="11" t="str">
        <f aca="false">IF(K802="","",IFERROR(INDEX(DECKS!$C$2:$C$1201,MATCH(K802,DECKS!$B$2:$B$1201,0)),TRIM(I802&amp;"")))</f>
        <v/>
      </c>
      <c r="E802" s="4"/>
      <c r="F802" s="12"/>
      <c r="G802" s="4"/>
      <c r="H802" s="13" t="str">
        <f aca="false">IF(OR(N(C802)=0,N(F802)=0),"",C802*F802)</f>
        <v/>
      </c>
      <c r="I802" s="4"/>
      <c r="J802" s="11" t="str">
        <f aca="false">IF(K802="","",IF(N(C802)&lt;=0,"Informe a quantidade",IF(IFERROR(INDEX(INVENTÁRIO!$B$2:$B$801,MATCH(K802,INVENTÁRIO!$A$2:$A$801,0)),"")="(sem nome)","Carta fora dos decks: digite o nome na coluna I (opcional)","")))</f>
        <v/>
      </c>
      <c r="K802" s="11" t="str">
        <f aca="false">UPPER(TRIM(SUBSTITUTE(B802&amp;"",CHAR(160)," ")))</f>
        <v/>
      </c>
      <c r="L802" s="11" t="str">
        <f aca="false">IF(AND(K802&lt;&gt;"",TRIM(I802&amp;"")&lt;&gt;""),K802,"")</f>
        <v/>
      </c>
    </row>
    <row r="803" customFormat="false" ht="15" hidden="false" customHeight="false" outlineLevel="0" collapsed="false">
      <c r="A803" s="9"/>
      <c r="B803" s="4"/>
      <c r="C803" s="10"/>
      <c r="D803" s="11" t="str">
        <f aca="false">IF(K803="","",IFERROR(INDEX(DECKS!$C$2:$C$1201,MATCH(K803,DECKS!$B$2:$B$1201,0)),TRIM(I803&amp;"")))</f>
        <v/>
      </c>
      <c r="E803" s="4"/>
      <c r="F803" s="12"/>
      <c r="G803" s="4"/>
      <c r="H803" s="13" t="str">
        <f aca="false">IF(OR(N(C803)=0,N(F803)=0),"",C803*F803)</f>
        <v/>
      </c>
      <c r="I803" s="4"/>
      <c r="J803" s="11" t="str">
        <f aca="false">IF(K803="","",IF(N(C803)&lt;=0,"Informe a quantidade",IF(IFERROR(INDEX(INVENTÁRIO!$B$2:$B$801,MATCH(K803,INVENTÁRIO!$A$2:$A$801,0)),"")="(sem nome)","Carta fora dos decks: digite o nome na coluna I (opcional)","")))</f>
        <v/>
      </c>
      <c r="K803" s="11" t="str">
        <f aca="false">UPPER(TRIM(SUBSTITUTE(B803&amp;"",CHAR(160)," ")))</f>
        <v/>
      </c>
      <c r="L803" s="11" t="str">
        <f aca="false">IF(AND(K803&lt;&gt;"",TRIM(I803&amp;"")&lt;&gt;""),K803,"")</f>
        <v/>
      </c>
    </row>
    <row r="804" customFormat="false" ht="15" hidden="false" customHeight="false" outlineLevel="0" collapsed="false">
      <c r="A804" s="9"/>
      <c r="B804" s="4"/>
      <c r="C804" s="10"/>
      <c r="D804" s="11" t="str">
        <f aca="false">IF(K804="","",IFERROR(INDEX(DECKS!$C$2:$C$1201,MATCH(K804,DECKS!$B$2:$B$1201,0)),TRIM(I804&amp;"")))</f>
        <v/>
      </c>
      <c r="E804" s="4"/>
      <c r="F804" s="12"/>
      <c r="G804" s="4"/>
      <c r="H804" s="13" t="str">
        <f aca="false">IF(OR(N(C804)=0,N(F804)=0),"",C804*F804)</f>
        <v/>
      </c>
      <c r="I804" s="4"/>
      <c r="J804" s="11" t="str">
        <f aca="false">IF(K804="","",IF(N(C804)&lt;=0,"Informe a quantidade",IF(IFERROR(INDEX(INVENTÁRIO!$B$2:$B$801,MATCH(K804,INVENTÁRIO!$A$2:$A$801,0)),"")="(sem nome)","Carta fora dos decks: digite o nome na coluna I (opcional)","")))</f>
        <v/>
      </c>
      <c r="K804" s="11" t="str">
        <f aca="false">UPPER(TRIM(SUBSTITUTE(B804&amp;"",CHAR(160)," ")))</f>
        <v/>
      </c>
      <c r="L804" s="11" t="str">
        <f aca="false">IF(AND(K804&lt;&gt;"",TRIM(I804&amp;"")&lt;&gt;""),K804,"")</f>
        <v/>
      </c>
    </row>
    <row r="805" customFormat="false" ht="15" hidden="false" customHeight="false" outlineLevel="0" collapsed="false">
      <c r="A805" s="9"/>
      <c r="B805" s="4"/>
      <c r="C805" s="10"/>
      <c r="D805" s="11" t="str">
        <f aca="false">IF(K805="","",IFERROR(INDEX(DECKS!$C$2:$C$1201,MATCH(K805,DECKS!$B$2:$B$1201,0)),TRIM(I805&amp;"")))</f>
        <v/>
      </c>
      <c r="E805" s="4"/>
      <c r="F805" s="12"/>
      <c r="G805" s="4"/>
      <c r="H805" s="13" t="str">
        <f aca="false">IF(OR(N(C805)=0,N(F805)=0),"",C805*F805)</f>
        <v/>
      </c>
      <c r="I805" s="4"/>
      <c r="J805" s="11" t="str">
        <f aca="false">IF(K805="","",IF(N(C805)&lt;=0,"Informe a quantidade",IF(IFERROR(INDEX(INVENTÁRIO!$B$2:$B$801,MATCH(K805,INVENTÁRIO!$A$2:$A$801,0)),"")="(sem nome)","Carta fora dos decks: digite o nome na coluna I (opcional)","")))</f>
        <v/>
      </c>
      <c r="K805" s="11" t="str">
        <f aca="false">UPPER(TRIM(SUBSTITUTE(B805&amp;"",CHAR(160)," ")))</f>
        <v/>
      </c>
      <c r="L805" s="11" t="str">
        <f aca="false">IF(AND(K805&lt;&gt;"",TRIM(I805&amp;"")&lt;&gt;""),K805,"")</f>
        <v/>
      </c>
    </row>
    <row r="806" customFormat="false" ht="15" hidden="false" customHeight="false" outlineLevel="0" collapsed="false">
      <c r="A806" s="9"/>
      <c r="B806" s="4"/>
      <c r="C806" s="10"/>
      <c r="D806" s="11" t="str">
        <f aca="false">IF(K806="","",IFERROR(INDEX(DECKS!$C$2:$C$1201,MATCH(K806,DECKS!$B$2:$B$1201,0)),TRIM(I806&amp;"")))</f>
        <v/>
      </c>
      <c r="E806" s="4"/>
      <c r="F806" s="12"/>
      <c r="G806" s="4"/>
      <c r="H806" s="13" t="str">
        <f aca="false">IF(OR(N(C806)=0,N(F806)=0),"",C806*F806)</f>
        <v/>
      </c>
      <c r="I806" s="4"/>
      <c r="J806" s="11" t="str">
        <f aca="false">IF(K806="","",IF(N(C806)&lt;=0,"Informe a quantidade",IF(IFERROR(INDEX(INVENTÁRIO!$B$2:$B$801,MATCH(K806,INVENTÁRIO!$A$2:$A$801,0)),"")="(sem nome)","Carta fora dos decks: digite o nome na coluna I (opcional)","")))</f>
        <v/>
      </c>
      <c r="K806" s="11" t="str">
        <f aca="false">UPPER(TRIM(SUBSTITUTE(B806&amp;"",CHAR(160)," ")))</f>
        <v/>
      </c>
      <c r="L806" s="11" t="str">
        <f aca="false">IF(AND(K806&lt;&gt;"",TRIM(I806&amp;"")&lt;&gt;""),K806,"")</f>
        <v/>
      </c>
    </row>
    <row r="807" customFormat="false" ht="15" hidden="false" customHeight="false" outlineLevel="0" collapsed="false">
      <c r="A807" s="9"/>
      <c r="B807" s="4"/>
      <c r="C807" s="10"/>
      <c r="D807" s="11" t="str">
        <f aca="false">IF(K807="","",IFERROR(INDEX(DECKS!$C$2:$C$1201,MATCH(K807,DECKS!$B$2:$B$1201,0)),TRIM(I807&amp;"")))</f>
        <v/>
      </c>
      <c r="E807" s="4"/>
      <c r="F807" s="12"/>
      <c r="G807" s="4"/>
      <c r="H807" s="13" t="str">
        <f aca="false">IF(OR(N(C807)=0,N(F807)=0),"",C807*F807)</f>
        <v/>
      </c>
      <c r="I807" s="4"/>
      <c r="J807" s="11" t="str">
        <f aca="false">IF(K807="","",IF(N(C807)&lt;=0,"Informe a quantidade",IF(IFERROR(INDEX(INVENTÁRIO!$B$2:$B$801,MATCH(K807,INVENTÁRIO!$A$2:$A$801,0)),"")="(sem nome)","Carta fora dos decks: digite o nome na coluna I (opcional)","")))</f>
        <v/>
      </c>
      <c r="K807" s="11" t="str">
        <f aca="false">UPPER(TRIM(SUBSTITUTE(B807&amp;"",CHAR(160)," ")))</f>
        <v/>
      </c>
      <c r="L807" s="11" t="str">
        <f aca="false">IF(AND(K807&lt;&gt;"",TRIM(I807&amp;"")&lt;&gt;""),K807,"")</f>
        <v/>
      </c>
    </row>
    <row r="808" customFormat="false" ht="15" hidden="false" customHeight="false" outlineLevel="0" collapsed="false">
      <c r="A808" s="9"/>
      <c r="B808" s="4"/>
      <c r="C808" s="10"/>
      <c r="D808" s="11" t="str">
        <f aca="false">IF(K808="","",IFERROR(INDEX(DECKS!$C$2:$C$1201,MATCH(K808,DECKS!$B$2:$B$1201,0)),TRIM(I808&amp;"")))</f>
        <v/>
      </c>
      <c r="E808" s="4"/>
      <c r="F808" s="12"/>
      <c r="G808" s="4"/>
      <c r="H808" s="13" t="str">
        <f aca="false">IF(OR(N(C808)=0,N(F808)=0),"",C808*F808)</f>
        <v/>
      </c>
      <c r="I808" s="4"/>
      <c r="J808" s="11" t="str">
        <f aca="false">IF(K808="","",IF(N(C808)&lt;=0,"Informe a quantidade",IF(IFERROR(INDEX(INVENTÁRIO!$B$2:$B$801,MATCH(K808,INVENTÁRIO!$A$2:$A$801,0)),"")="(sem nome)","Carta fora dos decks: digite o nome na coluna I (opcional)","")))</f>
        <v/>
      </c>
      <c r="K808" s="11" t="str">
        <f aca="false">UPPER(TRIM(SUBSTITUTE(B808&amp;"",CHAR(160)," ")))</f>
        <v/>
      </c>
      <c r="L808" s="11" t="str">
        <f aca="false">IF(AND(K808&lt;&gt;"",TRIM(I808&amp;"")&lt;&gt;""),K808,"")</f>
        <v/>
      </c>
    </row>
    <row r="809" customFormat="false" ht="15" hidden="false" customHeight="false" outlineLevel="0" collapsed="false">
      <c r="A809" s="9"/>
      <c r="B809" s="4"/>
      <c r="C809" s="10"/>
      <c r="D809" s="11" t="str">
        <f aca="false">IF(K809="","",IFERROR(INDEX(DECKS!$C$2:$C$1201,MATCH(K809,DECKS!$B$2:$B$1201,0)),TRIM(I809&amp;"")))</f>
        <v/>
      </c>
      <c r="E809" s="4"/>
      <c r="F809" s="12"/>
      <c r="G809" s="4"/>
      <c r="H809" s="13" t="str">
        <f aca="false">IF(OR(N(C809)=0,N(F809)=0),"",C809*F809)</f>
        <v/>
      </c>
      <c r="I809" s="4"/>
      <c r="J809" s="11" t="str">
        <f aca="false">IF(K809="","",IF(N(C809)&lt;=0,"Informe a quantidade",IF(IFERROR(INDEX(INVENTÁRIO!$B$2:$B$801,MATCH(K809,INVENTÁRIO!$A$2:$A$801,0)),"")="(sem nome)","Carta fora dos decks: digite o nome na coluna I (opcional)","")))</f>
        <v/>
      </c>
      <c r="K809" s="11" t="str">
        <f aca="false">UPPER(TRIM(SUBSTITUTE(B809&amp;"",CHAR(160)," ")))</f>
        <v/>
      </c>
      <c r="L809" s="11" t="str">
        <f aca="false">IF(AND(K809&lt;&gt;"",TRIM(I809&amp;"")&lt;&gt;""),K809,"")</f>
        <v/>
      </c>
    </row>
    <row r="810" customFormat="false" ht="15" hidden="false" customHeight="false" outlineLevel="0" collapsed="false">
      <c r="A810" s="9"/>
      <c r="B810" s="4"/>
      <c r="C810" s="10"/>
      <c r="D810" s="11" t="str">
        <f aca="false">IF(K810="","",IFERROR(INDEX(DECKS!$C$2:$C$1201,MATCH(K810,DECKS!$B$2:$B$1201,0)),TRIM(I810&amp;"")))</f>
        <v/>
      </c>
      <c r="E810" s="4"/>
      <c r="F810" s="12"/>
      <c r="G810" s="4"/>
      <c r="H810" s="13" t="str">
        <f aca="false">IF(OR(N(C810)=0,N(F810)=0),"",C810*F810)</f>
        <v/>
      </c>
      <c r="I810" s="4"/>
      <c r="J810" s="11" t="str">
        <f aca="false">IF(K810="","",IF(N(C810)&lt;=0,"Informe a quantidade",IF(IFERROR(INDEX(INVENTÁRIO!$B$2:$B$801,MATCH(K810,INVENTÁRIO!$A$2:$A$801,0)),"")="(sem nome)","Carta fora dos decks: digite o nome na coluna I (opcional)","")))</f>
        <v/>
      </c>
      <c r="K810" s="11" t="str">
        <f aca="false">UPPER(TRIM(SUBSTITUTE(B810&amp;"",CHAR(160)," ")))</f>
        <v/>
      </c>
      <c r="L810" s="11" t="str">
        <f aca="false">IF(AND(K810&lt;&gt;"",TRIM(I810&amp;"")&lt;&gt;""),K810,"")</f>
        <v/>
      </c>
    </row>
    <row r="811" customFormat="false" ht="15" hidden="false" customHeight="false" outlineLevel="0" collapsed="false">
      <c r="A811" s="9"/>
      <c r="B811" s="4"/>
      <c r="C811" s="10"/>
      <c r="D811" s="11" t="str">
        <f aca="false">IF(K811="","",IFERROR(INDEX(DECKS!$C$2:$C$1201,MATCH(K811,DECKS!$B$2:$B$1201,0)),TRIM(I811&amp;"")))</f>
        <v/>
      </c>
      <c r="E811" s="4"/>
      <c r="F811" s="12"/>
      <c r="G811" s="4"/>
      <c r="H811" s="13" t="str">
        <f aca="false">IF(OR(N(C811)=0,N(F811)=0),"",C811*F811)</f>
        <v/>
      </c>
      <c r="I811" s="4"/>
      <c r="J811" s="11" t="str">
        <f aca="false">IF(K811="","",IF(N(C811)&lt;=0,"Informe a quantidade",IF(IFERROR(INDEX(INVENTÁRIO!$B$2:$B$801,MATCH(K811,INVENTÁRIO!$A$2:$A$801,0)),"")="(sem nome)","Carta fora dos decks: digite o nome na coluna I (opcional)","")))</f>
        <v/>
      </c>
      <c r="K811" s="11" t="str">
        <f aca="false">UPPER(TRIM(SUBSTITUTE(B811&amp;"",CHAR(160)," ")))</f>
        <v/>
      </c>
      <c r="L811" s="11" t="str">
        <f aca="false">IF(AND(K811&lt;&gt;"",TRIM(I811&amp;"")&lt;&gt;""),K811,"")</f>
        <v/>
      </c>
    </row>
    <row r="812" customFormat="false" ht="15" hidden="false" customHeight="false" outlineLevel="0" collapsed="false">
      <c r="A812" s="9"/>
      <c r="B812" s="4"/>
      <c r="C812" s="10"/>
      <c r="D812" s="11" t="str">
        <f aca="false">IF(K812="","",IFERROR(INDEX(DECKS!$C$2:$C$1201,MATCH(K812,DECKS!$B$2:$B$1201,0)),TRIM(I812&amp;"")))</f>
        <v/>
      </c>
      <c r="E812" s="4"/>
      <c r="F812" s="12"/>
      <c r="G812" s="4"/>
      <c r="H812" s="13" t="str">
        <f aca="false">IF(OR(N(C812)=0,N(F812)=0),"",C812*F812)</f>
        <v/>
      </c>
      <c r="I812" s="4"/>
      <c r="J812" s="11" t="str">
        <f aca="false">IF(K812="","",IF(N(C812)&lt;=0,"Informe a quantidade",IF(IFERROR(INDEX(INVENTÁRIO!$B$2:$B$801,MATCH(K812,INVENTÁRIO!$A$2:$A$801,0)),"")="(sem nome)","Carta fora dos decks: digite o nome na coluna I (opcional)","")))</f>
        <v/>
      </c>
      <c r="K812" s="11" t="str">
        <f aca="false">UPPER(TRIM(SUBSTITUTE(B812&amp;"",CHAR(160)," ")))</f>
        <v/>
      </c>
      <c r="L812" s="11" t="str">
        <f aca="false">IF(AND(K812&lt;&gt;"",TRIM(I812&amp;"")&lt;&gt;""),K812,"")</f>
        <v/>
      </c>
    </row>
    <row r="813" customFormat="false" ht="15" hidden="false" customHeight="false" outlineLevel="0" collapsed="false">
      <c r="A813" s="9"/>
      <c r="B813" s="4"/>
      <c r="C813" s="10"/>
      <c r="D813" s="11" t="str">
        <f aca="false">IF(K813="","",IFERROR(INDEX(DECKS!$C$2:$C$1201,MATCH(K813,DECKS!$B$2:$B$1201,0)),TRIM(I813&amp;"")))</f>
        <v/>
      </c>
      <c r="E813" s="4"/>
      <c r="F813" s="12"/>
      <c r="G813" s="4"/>
      <c r="H813" s="13" t="str">
        <f aca="false">IF(OR(N(C813)=0,N(F813)=0),"",C813*F813)</f>
        <v/>
      </c>
      <c r="I813" s="4"/>
      <c r="J813" s="11" t="str">
        <f aca="false">IF(K813="","",IF(N(C813)&lt;=0,"Informe a quantidade",IF(IFERROR(INDEX(INVENTÁRIO!$B$2:$B$801,MATCH(K813,INVENTÁRIO!$A$2:$A$801,0)),"")="(sem nome)","Carta fora dos decks: digite o nome na coluna I (opcional)","")))</f>
        <v/>
      </c>
      <c r="K813" s="11" t="str">
        <f aca="false">UPPER(TRIM(SUBSTITUTE(B813&amp;"",CHAR(160)," ")))</f>
        <v/>
      </c>
      <c r="L813" s="11" t="str">
        <f aca="false">IF(AND(K813&lt;&gt;"",TRIM(I813&amp;"")&lt;&gt;""),K813,"")</f>
        <v/>
      </c>
    </row>
    <row r="814" customFormat="false" ht="15" hidden="false" customHeight="false" outlineLevel="0" collapsed="false">
      <c r="A814" s="9"/>
      <c r="B814" s="4"/>
      <c r="C814" s="10"/>
      <c r="D814" s="11" t="str">
        <f aca="false">IF(K814="","",IFERROR(INDEX(DECKS!$C$2:$C$1201,MATCH(K814,DECKS!$B$2:$B$1201,0)),TRIM(I814&amp;"")))</f>
        <v/>
      </c>
      <c r="E814" s="4"/>
      <c r="F814" s="12"/>
      <c r="G814" s="4"/>
      <c r="H814" s="13" t="str">
        <f aca="false">IF(OR(N(C814)=0,N(F814)=0),"",C814*F814)</f>
        <v/>
      </c>
      <c r="I814" s="4"/>
      <c r="J814" s="11" t="str">
        <f aca="false">IF(K814="","",IF(N(C814)&lt;=0,"Informe a quantidade",IF(IFERROR(INDEX(INVENTÁRIO!$B$2:$B$801,MATCH(K814,INVENTÁRIO!$A$2:$A$801,0)),"")="(sem nome)","Carta fora dos decks: digite o nome na coluna I (opcional)","")))</f>
        <v/>
      </c>
      <c r="K814" s="11" t="str">
        <f aca="false">UPPER(TRIM(SUBSTITUTE(B814&amp;"",CHAR(160)," ")))</f>
        <v/>
      </c>
      <c r="L814" s="11" t="str">
        <f aca="false">IF(AND(K814&lt;&gt;"",TRIM(I814&amp;"")&lt;&gt;""),K814,"")</f>
        <v/>
      </c>
    </row>
    <row r="815" customFormat="false" ht="15" hidden="false" customHeight="false" outlineLevel="0" collapsed="false">
      <c r="A815" s="9"/>
      <c r="B815" s="4"/>
      <c r="C815" s="10"/>
      <c r="D815" s="11" t="str">
        <f aca="false">IF(K815="","",IFERROR(INDEX(DECKS!$C$2:$C$1201,MATCH(K815,DECKS!$B$2:$B$1201,0)),TRIM(I815&amp;"")))</f>
        <v/>
      </c>
      <c r="E815" s="4"/>
      <c r="F815" s="12"/>
      <c r="G815" s="4"/>
      <c r="H815" s="13" t="str">
        <f aca="false">IF(OR(N(C815)=0,N(F815)=0),"",C815*F815)</f>
        <v/>
      </c>
      <c r="I815" s="4"/>
      <c r="J815" s="11" t="str">
        <f aca="false">IF(K815="","",IF(N(C815)&lt;=0,"Informe a quantidade",IF(IFERROR(INDEX(INVENTÁRIO!$B$2:$B$801,MATCH(K815,INVENTÁRIO!$A$2:$A$801,0)),"")="(sem nome)","Carta fora dos decks: digite o nome na coluna I (opcional)","")))</f>
        <v/>
      </c>
      <c r="K815" s="11" t="str">
        <f aca="false">UPPER(TRIM(SUBSTITUTE(B815&amp;"",CHAR(160)," ")))</f>
        <v/>
      </c>
      <c r="L815" s="11" t="str">
        <f aca="false">IF(AND(K815&lt;&gt;"",TRIM(I815&amp;"")&lt;&gt;""),K815,"")</f>
        <v/>
      </c>
    </row>
    <row r="816" customFormat="false" ht="15" hidden="false" customHeight="false" outlineLevel="0" collapsed="false">
      <c r="A816" s="9"/>
      <c r="B816" s="4"/>
      <c r="C816" s="10"/>
      <c r="D816" s="11" t="str">
        <f aca="false">IF(K816="","",IFERROR(INDEX(DECKS!$C$2:$C$1201,MATCH(K816,DECKS!$B$2:$B$1201,0)),TRIM(I816&amp;"")))</f>
        <v/>
      </c>
      <c r="E816" s="4"/>
      <c r="F816" s="12"/>
      <c r="G816" s="4"/>
      <c r="H816" s="13" t="str">
        <f aca="false">IF(OR(N(C816)=0,N(F816)=0),"",C816*F816)</f>
        <v/>
      </c>
      <c r="I816" s="4"/>
      <c r="J816" s="11" t="str">
        <f aca="false">IF(K816="","",IF(N(C816)&lt;=0,"Informe a quantidade",IF(IFERROR(INDEX(INVENTÁRIO!$B$2:$B$801,MATCH(K816,INVENTÁRIO!$A$2:$A$801,0)),"")="(sem nome)","Carta fora dos decks: digite o nome na coluna I (opcional)","")))</f>
        <v/>
      </c>
      <c r="K816" s="11" t="str">
        <f aca="false">UPPER(TRIM(SUBSTITUTE(B816&amp;"",CHAR(160)," ")))</f>
        <v/>
      </c>
      <c r="L816" s="11" t="str">
        <f aca="false">IF(AND(K816&lt;&gt;"",TRIM(I816&amp;"")&lt;&gt;""),K816,"")</f>
        <v/>
      </c>
    </row>
    <row r="817" customFormat="false" ht="15" hidden="false" customHeight="false" outlineLevel="0" collapsed="false">
      <c r="A817" s="9"/>
      <c r="B817" s="4"/>
      <c r="C817" s="10"/>
      <c r="D817" s="11" t="str">
        <f aca="false">IF(K817="","",IFERROR(INDEX(DECKS!$C$2:$C$1201,MATCH(K817,DECKS!$B$2:$B$1201,0)),TRIM(I817&amp;"")))</f>
        <v/>
      </c>
      <c r="E817" s="4"/>
      <c r="F817" s="12"/>
      <c r="G817" s="4"/>
      <c r="H817" s="13" t="str">
        <f aca="false">IF(OR(N(C817)=0,N(F817)=0),"",C817*F817)</f>
        <v/>
      </c>
      <c r="I817" s="4"/>
      <c r="J817" s="11" t="str">
        <f aca="false">IF(K817="","",IF(N(C817)&lt;=0,"Informe a quantidade",IF(IFERROR(INDEX(INVENTÁRIO!$B$2:$B$801,MATCH(K817,INVENTÁRIO!$A$2:$A$801,0)),"")="(sem nome)","Carta fora dos decks: digite o nome na coluna I (opcional)","")))</f>
        <v/>
      </c>
      <c r="K817" s="11" t="str">
        <f aca="false">UPPER(TRIM(SUBSTITUTE(B817&amp;"",CHAR(160)," ")))</f>
        <v/>
      </c>
      <c r="L817" s="11" t="str">
        <f aca="false">IF(AND(K817&lt;&gt;"",TRIM(I817&amp;"")&lt;&gt;""),K817,"")</f>
        <v/>
      </c>
    </row>
    <row r="818" customFormat="false" ht="15" hidden="false" customHeight="false" outlineLevel="0" collapsed="false">
      <c r="A818" s="9"/>
      <c r="B818" s="4"/>
      <c r="C818" s="10"/>
      <c r="D818" s="11" t="str">
        <f aca="false">IF(K818="","",IFERROR(INDEX(DECKS!$C$2:$C$1201,MATCH(K818,DECKS!$B$2:$B$1201,0)),TRIM(I818&amp;"")))</f>
        <v/>
      </c>
      <c r="E818" s="4"/>
      <c r="F818" s="12"/>
      <c r="G818" s="4"/>
      <c r="H818" s="13" t="str">
        <f aca="false">IF(OR(N(C818)=0,N(F818)=0),"",C818*F818)</f>
        <v/>
      </c>
      <c r="I818" s="4"/>
      <c r="J818" s="11" t="str">
        <f aca="false">IF(K818="","",IF(N(C818)&lt;=0,"Informe a quantidade",IF(IFERROR(INDEX(INVENTÁRIO!$B$2:$B$801,MATCH(K818,INVENTÁRIO!$A$2:$A$801,0)),"")="(sem nome)","Carta fora dos decks: digite o nome na coluna I (opcional)","")))</f>
        <v/>
      </c>
      <c r="K818" s="11" t="str">
        <f aca="false">UPPER(TRIM(SUBSTITUTE(B818&amp;"",CHAR(160)," ")))</f>
        <v/>
      </c>
      <c r="L818" s="11" t="str">
        <f aca="false">IF(AND(K818&lt;&gt;"",TRIM(I818&amp;"")&lt;&gt;""),K818,"")</f>
        <v/>
      </c>
    </row>
    <row r="819" customFormat="false" ht="15" hidden="false" customHeight="false" outlineLevel="0" collapsed="false">
      <c r="A819" s="9"/>
      <c r="B819" s="4"/>
      <c r="C819" s="10"/>
      <c r="D819" s="11" t="str">
        <f aca="false">IF(K819="","",IFERROR(INDEX(DECKS!$C$2:$C$1201,MATCH(K819,DECKS!$B$2:$B$1201,0)),TRIM(I819&amp;"")))</f>
        <v/>
      </c>
      <c r="E819" s="4"/>
      <c r="F819" s="12"/>
      <c r="G819" s="4"/>
      <c r="H819" s="13" t="str">
        <f aca="false">IF(OR(N(C819)=0,N(F819)=0),"",C819*F819)</f>
        <v/>
      </c>
      <c r="I819" s="4"/>
      <c r="J819" s="11" t="str">
        <f aca="false">IF(K819="","",IF(N(C819)&lt;=0,"Informe a quantidade",IF(IFERROR(INDEX(INVENTÁRIO!$B$2:$B$801,MATCH(K819,INVENTÁRIO!$A$2:$A$801,0)),"")="(sem nome)","Carta fora dos decks: digite o nome na coluna I (opcional)","")))</f>
        <v/>
      </c>
      <c r="K819" s="11" t="str">
        <f aca="false">UPPER(TRIM(SUBSTITUTE(B819&amp;"",CHAR(160)," ")))</f>
        <v/>
      </c>
      <c r="L819" s="11" t="str">
        <f aca="false">IF(AND(K819&lt;&gt;"",TRIM(I819&amp;"")&lt;&gt;""),K819,"")</f>
        <v/>
      </c>
    </row>
    <row r="820" customFormat="false" ht="15" hidden="false" customHeight="false" outlineLevel="0" collapsed="false">
      <c r="A820" s="9"/>
      <c r="B820" s="4"/>
      <c r="C820" s="10"/>
      <c r="D820" s="11" t="str">
        <f aca="false">IF(K820="","",IFERROR(INDEX(DECKS!$C$2:$C$1201,MATCH(K820,DECKS!$B$2:$B$1201,0)),TRIM(I820&amp;"")))</f>
        <v/>
      </c>
      <c r="E820" s="4"/>
      <c r="F820" s="12"/>
      <c r="G820" s="4"/>
      <c r="H820" s="13" t="str">
        <f aca="false">IF(OR(N(C820)=0,N(F820)=0),"",C820*F820)</f>
        <v/>
      </c>
      <c r="I820" s="4"/>
      <c r="J820" s="11" t="str">
        <f aca="false">IF(K820="","",IF(N(C820)&lt;=0,"Informe a quantidade",IF(IFERROR(INDEX(INVENTÁRIO!$B$2:$B$801,MATCH(K820,INVENTÁRIO!$A$2:$A$801,0)),"")="(sem nome)","Carta fora dos decks: digite o nome na coluna I (opcional)","")))</f>
        <v/>
      </c>
      <c r="K820" s="11" t="str">
        <f aca="false">UPPER(TRIM(SUBSTITUTE(B820&amp;"",CHAR(160)," ")))</f>
        <v/>
      </c>
      <c r="L820" s="11" t="str">
        <f aca="false">IF(AND(K820&lt;&gt;"",TRIM(I820&amp;"")&lt;&gt;""),K820,"")</f>
        <v/>
      </c>
    </row>
    <row r="821" customFormat="false" ht="15" hidden="false" customHeight="false" outlineLevel="0" collapsed="false">
      <c r="A821" s="9"/>
      <c r="B821" s="4"/>
      <c r="C821" s="10"/>
      <c r="D821" s="11" t="str">
        <f aca="false">IF(K821="","",IFERROR(INDEX(DECKS!$C$2:$C$1201,MATCH(K821,DECKS!$B$2:$B$1201,0)),TRIM(I821&amp;"")))</f>
        <v/>
      </c>
      <c r="E821" s="4"/>
      <c r="F821" s="12"/>
      <c r="G821" s="4"/>
      <c r="H821" s="13" t="str">
        <f aca="false">IF(OR(N(C821)=0,N(F821)=0),"",C821*F821)</f>
        <v/>
      </c>
      <c r="I821" s="4"/>
      <c r="J821" s="11" t="str">
        <f aca="false">IF(K821="","",IF(N(C821)&lt;=0,"Informe a quantidade",IF(IFERROR(INDEX(INVENTÁRIO!$B$2:$B$801,MATCH(K821,INVENTÁRIO!$A$2:$A$801,0)),"")="(sem nome)","Carta fora dos decks: digite o nome na coluna I (opcional)","")))</f>
        <v/>
      </c>
      <c r="K821" s="11" t="str">
        <f aca="false">UPPER(TRIM(SUBSTITUTE(B821&amp;"",CHAR(160)," ")))</f>
        <v/>
      </c>
      <c r="L821" s="11" t="str">
        <f aca="false">IF(AND(K821&lt;&gt;"",TRIM(I821&amp;"")&lt;&gt;""),K821,"")</f>
        <v/>
      </c>
    </row>
    <row r="822" customFormat="false" ht="15" hidden="false" customHeight="false" outlineLevel="0" collapsed="false">
      <c r="A822" s="9"/>
      <c r="B822" s="4"/>
      <c r="C822" s="10"/>
      <c r="D822" s="11" t="str">
        <f aca="false">IF(K822="","",IFERROR(INDEX(DECKS!$C$2:$C$1201,MATCH(K822,DECKS!$B$2:$B$1201,0)),TRIM(I822&amp;"")))</f>
        <v/>
      </c>
      <c r="E822" s="4"/>
      <c r="F822" s="12"/>
      <c r="G822" s="4"/>
      <c r="H822" s="13" t="str">
        <f aca="false">IF(OR(N(C822)=0,N(F822)=0),"",C822*F822)</f>
        <v/>
      </c>
      <c r="I822" s="4"/>
      <c r="J822" s="11" t="str">
        <f aca="false">IF(K822="","",IF(N(C822)&lt;=0,"Informe a quantidade",IF(IFERROR(INDEX(INVENTÁRIO!$B$2:$B$801,MATCH(K822,INVENTÁRIO!$A$2:$A$801,0)),"")="(sem nome)","Carta fora dos decks: digite o nome na coluna I (opcional)","")))</f>
        <v/>
      </c>
      <c r="K822" s="11" t="str">
        <f aca="false">UPPER(TRIM(SUBSTITUTE(B822&amp;"",CHAR(160)," ")))</f>
        <v/>
      </c>
      <c r="L822" s="11" t="str">
        <f aca="false">IF(AND(K822&lt;&gt;"",TRIM(I822&amp;"")&lt;&gt;""),K822,"")</f>
        <v/>
      </c>
    </row>
    <row r="823" customFormat="false" ht="15" hidden="false" customHeight="false" outlineLevel="0" collapsed="false">
      <c r="A823" s="9"/>
      <c r="B823" s="4"/>
      <c r="C823" s="10"/>
      <c r="D823" s="11" t="str">
        <f aca="false">IF(K823="","",IFERROR(INDEX(DECKS!$C$2:$C$1201,MATCH(K823,DECKS!$B$2:$B$1201,0)),TRIM(I823&amp;"")))</f>
        <v/>
      </c>
      <c r="E823" s="4"/>
      <c r="F823" s="12"/>
      <c r="G823" s="4"/>
      <c r="H823" s="13" t="str">
        <f aca="false">IF(OR(N(C823)=0,N(F823)=0),"",C823*F823)</f>
        <v/>
      </c>
      <c r="I823" s="4"/>
      <c r="J823" s="11" t="str">
        <f aca="false">IF(K823="","",IF(N(C823)&lt;=0,"Informe a quantidade",IF(IFERROR(INDEX(INVENTÁRIO!$B$2:$B$801,MATCH(K823,INVENTÁRIO!$A$2:$A$801,0)),"")="(sem nome)","Carta fora dos decks: digite o nome na coluna I (opcional)","")))</f>
        <v/>
      </c>
      <c r="K823" s="11" t="str">
        <f aca="false">UPPER(TRIM(SUBSTITUTE(B823&amp;"",CHAR(160)," ")))</f>
        <v/>
      </c>
      <c r="L823" s="11" t="str">
        <f aca="false">IF(AND(K823&lt;&gt;"",TRIM(I823&amp;"")&lt;&gt;""),K823,"")</f>
        <v/>
      </c>
    </row>
    <row r="824" customFormat="false" ht="15" hidden="false" customHeight="false" outlineLevel="0" collapsed="false">
      <c r="A824" s="9"/>
      <c r="B824" s="4"/>
      <c r="C824" s="10"/>
      <c r="D824" s="11" t="str">
        <f aca="false">IF(K824="","",IFERROR(INDEX(DECKS!$C$2:$C$1201,MATCH(K824,DECKS!$B$2:$B$1201,0)),TRIM(I824&amp;"")))</f>
        <v/>
      </c>
      <c r="E824" s="4"/>
      <c r="F824" s="12"/>
      <c r="G824" s="4"/>
      <c r="H824" s="13" t="str">
        <f aca="false">IF(OR(N(C824)=0,N(F824)=0),"",C824*F824)</f>
        <v/>
      </c>
      <c r="I824" s="4"/>
      <c r="J824" s="11" t="str">
        <f aca="false">IF(K824="","",IF(N(C824)&lt;=0,"Informe a quantidade",IF(IFERROR(INDEX(INVENTÁRIO!$B$2:$B$801,MATCH(K824,INVENTÁRIO!$A$2:$A$801,0)),"")="(sem nome)","Carta fora dos decks: digite o nome na coluna I (opcional)","")))</f>
        <v/>
      </c>
      <c r="K824" s="11" t="str">
        <f aca="false">UPPER(TRIM(SUBSTITUTE(B824&amp;"",CHAR(160)," ")))</f>
        <v/>
      </c>
      <c r="L824" s="11" t="str">
        <f aca="false">IF(AND(K824&lt;&gt;"",TRIM(I824&amp;"")&lt;&gt;""),K824,"")</f>
        <v/>
      </c>
    </row>
    <row r="825" customFormat="false" ht="15" hidden="false" customHeight="false" outlineLevel="0" collapsed="false">
      <c r="A825" s="9"/>
      <c r="B825" s="4"/>
      <c r="C825" s="10"/>
      <c r="D825" s="11" t="str">
        <f aca="false">IF(K825="","",IFERROR(INDEX(DECKS!$C$2:$C$1201,MATCH(K825,DECKS!$B$2:$B$1201,0)),TRIM(I825&amp;"")))</f>
        <v/>
      </c>
      <c r="E825" s="4"/>
      <c r="F825" s="12"/>
      <c r="G825" s="4"/>
      <c r="H825" s="13" t="str">
        <f aca="false">IF(OR(N(C825)=0,N(F825)=0),"",C825*F825)</f>
        <v/>
      </c>
      <c r="I825" s="4"/>
      <c r="J825" s="11" t="str">
        <f aca="false">IF(K825="","",IF(N(C825)&lt;=0,"Informe a quantidade",IF(IFERROR(INDEX(INVENTÁRIO!$B$2:$B$801,MATCH(K825,INVENTÁRIO!$A$2:$A$801,0)),"")="(sem nome)","Carta fora dos decks: digite o nome na coluna I (opcional)","")))</f>
        <v/>
      </c>
      <c r="K825" s="11" t="str">
        <f aca="false">UPPER(TRIM(SUBSTITUTE(B825&amp;"",CHAR(160)," ")))</f>
        <v/>
      </c>
      <c r="L825" s="11" t="str">
        <f aca="false">IF(AND(K825&lt;&gt;"",TRIM(I825&amp;"")&lt;&gt;""),K825,"")</f>
        <v/>
      </c>
    </row>
    <row r="826" customFormat="false" ht="15" hidden="false" customHeight="false" outlineLevel="0" collapsed="false">
      <c r="A826" s="9"/>
      <c r="B826" s="4"/>
      <c r="C826" s="10"/>
      <c r="D826" s="11" t="str">
        <f aca="false">IF(K826="","",IFERROR(INDEX(DECKS!$C$2:$C$1201,MATCH(K826,DECKS!$B$2:$B$1201,0)),TRIM(I826&amp;"")))</f>
        <v/>
      </c>
      <c r="E826" s="4"/>
      <c r="F826" s="12"/>
      <c r="G826" s="4"/>
      <c r="H826" s="13" t="str">
        <f aca="false">IF(OR(N(C826)=0,N(F826)=0),"",C826*F826)</f>
        <v/>
      </c>
      <c r="I826" s="4"/>
      <c r="J826" s="11" t="str">
        <f aca="false">IF(K826="","",IF(N(C826)&lt;=0,"Informe a quantidade",IF(IFERROR(INDEX(INVENTÁRIO!$B$2:$B$801,MATCH(K826,INVENTÁRIO!$A$2:$A$801,0)),"")="(sem nome)","Carta fora dos decks: digite o nome na coluna I (opcional)","")))</f>
        <v/>
      </c>
      <c r="K826" s="11" t="str">
        <f aca="false">UPPER(TRIM(SUBSTITUTE(B826&amp;"",CHAR(160)," ")))</f>
        <v/>
      </c>
      <c r="L826" s="11" t="str">
        <f aca="false">IF(AND(K826&lt;&gt;"",TRIM(I826&amp;"")&lt;&gt;""),K826,"")</f>
        <v/>
      </c>
    </row>
    <row r="827" customFormat="false" ht="15" hidden="false" customHeight="false" outlineLevel="0" collapsed="false">
      <c r="A827" s="9"/>
      <c r="B827" s="4"/>
      <c r="C827" s="10"/>
      <c r="D827" s="11" t="str">
        <f aca="false">IF(K827="","",IFERROR(INDEX(DECKS!$C$2:$C$1201,MATCH(K827,DECKS!$B$2:$B$1201,0)),TRIM(I827&amp;"")))</f>
        <v/>
      </c>
      <c r="E827" s="4"/>
      <c r="F827" s="12"/>
      <c r="G827" s="4"/>
      <c r="H827" s="13" t="str">
        <f aca="false">IF(OR(N(C827)=0,N(F827)=0),"",C827*F827)</f>
        <v/>
      </c>
      <c r="I827" s="4"/>
      <c r="J827" s="11" t="str">
        <f aca="false">IF(K827="","",IF(N(C827)&lt;=0,"Informe a quantidade",IF(IFERROR(INDEX(INVENTÁRIO!$B$2:$B$801,MATCH(K827,INVENTÁRIO!$A$2:$A$801,0)),"")="(sem nome)","Carta fora dos decks: digite o nome na coluna I (opcional)","")))</f>
        <v/>
      </c>
      <c r="K827" s="11" t="str">
        <f aca="false">UPPER(TRIM(SUBSTITUTE(B827&amp;"",CHAR(160)," ")))</f>
        <v/>
      </c>
      <c r="L827" s="11" t="str">
        <f aca="false">IF(AND(K827&lt;&gt;"",TRIM(I827&amp;"")&lt;&gt;""),K827,"")</f>
        <v/>
      </c>
    </row>
    <row r="828" customFormat="false" ht="15" hidden="false" customHeight="false" outlineLevel="0" collapsed="false">
      <c r="A828" s="9"/>
      <c r="B828" s="4"/>
      <c r="C828" s="10"/>
      <c r="D828" s="11" t="str">
        <f aca="false">IF(K828="","",IFERROR(INDEX(DECKS!$C$2:$C$1201,MATCH(K828,DECKS!$B$2:$B$1201,0)),TRIM(I828&amp;"")))</f>
        <v/>
      </c>
      <c r="E828" s="4"/>
      <c r="F828" s="12"/>
      <c r="G828" s="4"/>
      <c r="H828" s="13" t="str">
        <f aca="false">IF(OR(N(C828)=0,N(F828)=0),"",C828*F828)</f>
        <v/>
      </c>
      <c r="I828" s="4"/>
      <c r="J828" s="11" t="str">
        <f aca="false">IF(K828="","",IF(N(C828)&lt;=0,"Informe a quantidade",IF(IFERROR(INDEX(INVENTÁRIO!$B$2:$B$801,MATCH(K828,INVENTÁRIO!$A$2:$A$801,0)),"")="(sem nome)","Carta fora dos decks: digite o nome na coluna I (opcional)","")))</f>
        <v/>
      </c>
      <c r="K828" s="11" t="str">
        <f aca="false">UPPER(TRIM(SUBSTITUTE(B828&amp;"",CHAR(160)," ")))</f>
        <v/>
      </c>
      <c r="L828" s="11" t="str">
        <f aca="false">IF(AND(K828&lt;&gt;"",TRIM(I828&amp;"")&lt;&gt;""),K828,"")</f>
        <v/>
      </c>
    </row>
    <row r="829" customFormat="false" ht="15" hidden="false" customHeight="false" outlineLevel="0" collapsed="false">
      <c r="A829" s="9"/>
      <c r="B829" s="4"/>
      <c r="C829" s="10"/>
      <c r="D829" s="11" t="str">
        <f aca="false">IF(K829="","",IFERROR(INDEX(DECKS!$C$2:$C$1201,MATCH(K829,DECKS!$B$2:$B$1201,0)),TRIM(I829&amp;"")))</f>
        <v/>
      </c>
      <c r="E829" s="4"/>
      <c r="F829" s="12"/>
      <c r="G829" s="4"/>
      <c r="H829" s="13" t="str">
        <f aca="false">IF(OR(N(C829)=0,N(F829)=0),"",C829*F829)</f>
        <v/>
      </c>
      <c r="I829" s="4"/>
      <c r="J829" s="11" t="str">
        <f aca="false">IF(K829="","",IF(N(C829)&lt;=0,"Informe a quantidade",IF(IFERROR(INDEX(INVENTÁRIO!$B$2:$B$801,MATCH(K829,INVENTÁRIO!$A$2:$A$801,0)),"")="(sem nome)","Carta fora dos decks: digite o nome na coluna I (opcional)","")))</f>
        <v/>
      </c>
      <c r="K829" s="11" t="str">
        <f aca="false">UPPER(TRIM(SUBSTITUTE(B829&amp;"",CHAR(160)," ")))</f>
        <v/>
      </c>
      <c r="L829" s="11" t="str">
        <f aca="false">IF(AND(K829&lt;&gt;"",TRIM(I829&amp;"")&lt;&gt;""),K829,"")</f>
        <v/>
      </c>
    </row>
    <row r="830" customFormat="false" ht="15" hidden="false" customHeight="false" outlineLevel="0" collapsed="false">
      <c r="A830" s="9"/>
      <c r="B830" s="4"/>
      <c r="C830" s="10"/>
      <c r="D830" s="11" t="str">
        <f aca="false">IF(K830="","",IFERROR(INDEX(DECKS!$C$2:$C$1201,MATCH(K830,DECKS!$B$2:$B$1201,0)),TRIM(I830&amp;"")))</f>
        <v/>
      </c>
      <c r="E830" s="4"/>
      <c r="F830" s="12"/>
      <c r="G830" s="4"/>
      <c r="H830" s="13" t="str">
        <f aca="false">IF(OR(N(C830)=0,N(F830)=0),"",C830*F830)</f>
        <v/>
      </c>
      <c r="I830" s="4"/>
      <c r="J830" s="11" t="str">
        <f aca="false">IF(K830="","",IF(N(C830)&lt;=0,"Informe a quantidade",IF(IFERROR(INDEX(INVENTÁRIO!$B$2:$B$801,MATCH(K830,INVENTÁRIO!$A$2:$A$801,0)),"")="(sem nome)","Carta fora dos decks: digite o nome na coluna I (opcional)","")))</f>
        <v/>
      </c>
      <c r="K830" s="11" t="str">
        <f aca="false">UPPER(TRIM(SUBSTITUTE(B830&amp;"",CHAR(160)," ")))</f>
        <v/>
      </c>
      <c r="L830" s="11" t="str">
        <f aca="false">IF(AND(K830&lt;&gt;"",TRIM(I830&amp;"")&lt;&gt;""),K830,"")</f>
        <v/>
      </c>
    </row>
    <row r="831" customFormat="false" ht="15" hidden="false" customHeight="false" outlineLevel="0" collapsed="false">
      <c r="A831" s="9"/>
      <c r="B831" s="4"/>
      <c r="C831" s="10"/>
      <c r="D831" s="11" t="str">
        <f aca="false">IF(K831="","",IFERROR(INDEX(DECKS!$C$2:$C$1201,MATCH(K831,DECKS!$B$2:$B$1201,0)),TRIM(I831&amp;"")))</f>
        <v/>
      </c>
      <c r="E831" s="4"/>
      <c r="F831" s="12"/>
      <c r="G831" s="4"/>
      <c r="H831" s="13" t="str">
        <f aca="false">IF(OR(N(C831)=0,N(F831)=0),"",C831*F831)</f>
        <v/>
      </c>
      <c r="I831" s="4"/>
      <c r="J831" s="11" t="str">
        <f aca="false">IF(K831="","",IF(N(C831)&lt;=0,"Informe a quantidade",IF(IFERROR(INDEX(INVENTÁRIO!$B$2:$B$801,MATCH(K831,INVENTÁRIO!$A$2:$A$801,0)),"")="(sem nome)","Carta fora dos decks: digite o nome na coluna I (opcional)","")))</f>
        <v/>
      </c>
      <c r="K831" s="11" t="str">
        <f aca="false">UPPER(TRIM(SUBSTITUTE(B831&amp;"",CHAR(160)," ")))</f>
        <v/>
      </c>
      <c r="L831" s="11" t="str">
        <f aca="false">IF(AND(K831&lt;&gt;"",TRIM(I831&amp;"")&lt;&gt;""),K831,"")</f>
        <v/>
      </c>
    </row>
    <row r="832" customFormat="false" ht="15" hidden="false" customHeight="false" outlineLevel="0" collapsed="false">
      <c r="A832" s="9"/>
      <c r="B832" s="4"/>
      <c r="C832" s="10"/>
      <c r="D832" s="11" t="str">
        <f aca="false">IF(K832="","",IFERROR(INDEX(DECKS!$C$2:$C$1201,MATCH(K832,DECKS!$B$2:$B$1201,0)),TRIM(I832&amp;"")))</f>
        <v/>
      </c>
      <c r="E832" s="4"/>
      <c r="F832" s="12"/>
      <c r="G832" s="4"/>
      <c r="H832" s="13" t="str">
        <f aca="false">IF(OR(N(C832)=0,N(F832)=0),"",C832*F832)</f>
        <v/>
      </c>
      <c r="I832" s="4"/>
      <c r="J832" s="11" t="str">
        <f aca="false">IF(K832="","",IF(N(C832)&lt;=0,"Informe a quantidade",IF(IFERROR(INDEX(INVENTÁRIO!$B$2:$B$801,MATCH(K832,INVENTÁRIO!$A$2:$A$801,0)),"")="(sem nome)","Carta fora dos decks: digite o nome na coluna I (opcional)","")))</f>
        <v/>
      </c>
      <c r="K832" s="11" t="str">
        <f aca="false">UPPER(TRIM(SUBSTITUTE(B832&amp;"",CHAR(160)," ")))</f>
        <v/>
      </c>
      <c r="L832" s="11" t="str">
        <f aca="false">IF(AND(K832&lt;&gt;"",TRIM(I832&amp;"")&lt;&gt;""),K832,"")</f>
        <v/>
      </c>
    </row>
    <row r="833" customFormat="false" ht="15" hidden="false" customHeight="false" outlineLevel="0" collapsed="false">
      <c r="A833" s="9"/>
      <c r="B833" s="4"/>
      <c r="C833" s="10"/>
      <c r="D833" s="11" t="str">
        <f aca="false">IF(K833="","",IFERROR(INDEX(DECKS!$C$2:$C$1201,MATCH(K833,DECKS!$B$2:$B$1201,0)),TRIM(I833&amp;"")))</f>
        <v/>
      </c>
      <c r="E833" s="4"/>
      <c r="F833" s="12"/>
      <c r="G833" s="4"/>
      <c r="H833" s="13" t="str">
        <f aca="false">IF(OR(N(C833)=0,N(F833)=0),"",C833*F833)</f>
        <v/>
      </c>
      <c r="I833" s="4"/>
      <c r="J833" s="11" t="str">
        <f aca="false">IF(K833="","",IF(N(C833)&lt;=0,"Informe a quantidade",IF(IFERROR(INDEX(INVENTÁRIO!$B$2:$B$801,MATCH(K833,INVENTÁRIO!$A$2:$A$801,0)),"")="(sem nome)","Carta fora dos decks: digite o nome na coluna I (opcional)","")))</f>
        <v/>
      </c>
      <c r="K833" s="11" t="str">
        <f aca="false">UPPER(TRIM(SUBSTITUTE(B833&amp;"",CHAR(160)," ")))</f>
        <v/>
      </c>
      <c r="L833" s="11" t="str">
        <f aca="false">IF(AND(K833&lt;&gt;"",TRIM(I833&amp;"")&lt;&gt;""),K833,"")</f>
        <v/>
      </c>
    </row>
    <row r="834" customFormat="false" ht="15" hidden="false" customHeight="false" outlineLevel="0" collapsed="false">
      <c r="A834" s="9"/>
      <c r="B834" s="4"/>
      <c r="C834" s="10"/>
      <c r="D834" s="11" t="str">
        <f aca="false">IF(K834="","",IFERROR(INDEX(DECKS!$C$2:$C$1201,MATCH(K834,DECKS!$B$2:$B$1201,0)),TRIM(I834&amp;"")))</f>
        <v/>
      </c>
      <c r="E834" s="4"/>
      <c r="F834" s="12"/>
      <c r="G834" s="4"/>
      <c r="H834" s="13" t="str">
        <f aca="false">IF(OR(N(C834)=0,N(F834)=0),"",C834*F834)</f>
        <v/>
      </c>
      <c r="I834" s="4"/>
      <c r="J834" s="11" t="str">
        <f aca="false">IF(K834="","",IF(N(C834)&lt;=0,"Informe a quantidade",IF(IFERROR(INDEX(INVENTÁRIO!$B$2:$B$801,MATCH(K834,INVENTÁRIO!$A$2:$A$801,0)),"")="(sem nome)","Carta fora dos decks: digite o nome na coluna I (opcional)","")))</f>
        <v/>
      </c>
      <c r="K834" s="11" t="str">
        <f aca="false">UPPER(TRIM(SUBSTITUTE(B834&amp;"",CHAR(160)," ")))</f>
        <v/>
      </c>
      <c r="L834" s="11" t="str">
        <f aca="false">IF(AND(K834&lt;&gt;"",TRIM(I834&amp;"")&lt;&gt;""),K834,"")</f>
        <v/>
      </c>
    </row>
    <row r="835" customFormat="false" ht="15" hidden="false" customHeight="false" outlineLevel="0" collapsed="false">
      <c r="A835" s="9"/>
      <c r="B835" s="4"/>
      <c r="C835" s="10"/>
      <c r="D835" s="11" t="str">
        <f aca="false">IF(K835="","",IFERROR(INDEX(DECKS!$C$2:$C$1201,MATCH(K835,DECKS!$B$2:$B$1201,0)),TRIM(I835&amp;"")))</f>
        <v/>
      </c>
      <c r="E835" s="4"/>
      <c r="F835" s="12"/>
      <c r="G835" s="4"/>
      <c r="H835" s="13" t="str">
        <f aca="false">IF(OR(N(C835)=0,N(F835)=0),"",C835*F835)</f>
        <v/>
      </c>
      <c r="I835" s="4"/>
      <c r="J835" s="11" t="str">
        <f aca="false">IF(K835="","",IF(N(C835)&lt;=0,"Informe a quantidade",IF(IFERROR(INDEX(INVENTÁRIO!$B$2:$B$801,MATCH(K835,INVENTÁRIO!$A$2:$A$801,0)),"")="(sem nome)","Carta fora dos decks: digite o nome na coluna I (opcional)","")))</f>
        <v/>
      </c>
      <c r="K835" s="11" t="str">
        <f aca="false">UPPER(TRIM(SUBSTITUTE(B835&amp;"",CHAR(160)," ")))</f>
        <v/>
      </c>
      <c r="L835" s="11" t="str">
        <f aca="false">IF(AND(K835&lt;&gt;"",TRIM(I835&amp;"")&lt;&gt;""),K835,"")</f>
        <v/>
      </c>
    </row>
    <row r="836" customFormat="false" ht="15" hidden="false" customHeight="false" outlineLevel="0" collapsed="false">
      <c r="A836" s="9"/>
      <c r="B836" s="4"/>
      <c r="C836" s="10"/>
      <c r="D836" s="11" t="str">
        <f aca="false">IF(K836="","",IFERROR(INDEX(DECKS!$C$2:$C$1201,MATCH(K836,DECKS!$B$2:$B$1201,0)),TRIM(I836&amp;"")))</f>
        <v/>
      </c>
      <c r="E836" s="4"/>
      <c r="F836" s="12"/>
      <c r="G836" s="4"/>
      <c r="H836" s="13" t="str">
        <f aca="false">IF(OR(N(C836)=0,N(F836)=0),"",C836*F836)</f>
        <v/>
      </c>
      <c r="I836" s="4"/>
      <c r="J836" s="11" t="str">
        <f aca="false">IF(K836="","",IF(N(C836)&lt;=0,"Informe a quantidade",IF(IFERROR(INDEX(INVENTÁRIO!$B$2:$B$801,MATCH(K836,INVENTÁRIO!$A$2:$A$801,0)),"")="(sem nome)","Carta fora dos decks: digite o nome na coluna I (opcional)","")))</f>
        <v/>
      </c>
      <c r="K836" s="11" t="str">
        <f aca="false">UPPER(TRIM(SUBSTITUTE(B836&amp;"",CHAR(160)," ")))</f>
        <v/>
      </c>
      <c r="L836" s="11" t="str">
        <f aca="false">IF(AND(K836&lt;&gt;"",TRIM(I836&amp;"")&lt;&gt;""),K836,"")</f>
        <v/>
      </c>
    </row>
    <row r="837" customFormat="false" ht="15" hidden="false" customHeight="false" outlineLevel="0" collapsed="false">
      <c r="A837" s="9"/>
      <c r="B837" s="4"/>
      <c r="C837" s="10"/>
      <c r="D837" s="11" t="str">
        <f aca="false">IF(K837="","",IFERROR(INDEX(DECKS!$C$2:$C$1201,MATCH(K837,DECKS!$B$2:$B$1201,0)),TRIM(I837&amp;"")))</f>
        <v/>
      </c>
      <c r="E837" s="4"/>
      <c r="F837" s="12"/>
      <c r="G837" s="4"/>
      <c r="H837" s="13" t="str">
        <f aca="false">IF(OR(N(C837)=0,N(F837)=0),"",C837*F837)</f>
        <v/>
      </c>
      <c r="I837" s="4"/>
      <c r="J837" s="11" t="str">
        <f aca="false">IF(K837="","",IF(N(C837)&lt;=0,"Informe a quantidade",IF(IFERROR(INDEX(INVENTÁRIO!$B$2:$B$801,MATCH(K837,INVENTÁRIO!$A$2:$A$801,0)),"")="(sem nome)","Carta fora dos decks: digite o nome na coluna I (opcional)","")))</f>
        <v/>
      </c>
      <c r="K837" s="11" t="str">
        <f aca="false">UPPER(TRIM(SUBSTITUTE(B837&amp;"",CHAR(160)," ")))</f>
        <v/>
      </c>
      <c r="L837" s="11" t="str">
        <f aca="false">IF(AND(K837&lt;&gt;"",TRIM(I837&amp;"")&lt;&gt;""),K837,"")</f>
        <v/>
      </c>
    </row>
    <row r="838" customFormat="false" ht="15" hidden="false" customHeight="false" outlineLevel="0" collapsed="false">
      <c r="A838" s="9"/>
      <c r="B838" s="4"/>
      <c r="C838" s="10"/>
      <c r="D838" s="11" t="str">
        <f aca="false">IF(K838="","",IFERROR(INDEX(DECKS!$C$2:$C$1201,MATCH(K838,DECKS!$B$2:$B$1201,0)),TRIM(I838&amp;"")))</f>
        <v/>
      </c>
      <c r="E838" s="4"/>
      <c r="F838" s="12"/>
      <c r="G838" s="4"/>
      <c r="H838" s="13" t="str">
        <f aca="false">IF(OR(N(C838)=0,N(F838)=0),"",C838*F838)</f>
        <v/>
      </c>
      <c r="I838" s="4"/>
      <c r="J838" s="11" t="str">
        <f aca="false">IF(K838="","",IF(N(C838)&lt;=0,"Informe a quantidade",IF(IFERROR(INDEX(INVENTÁRIO!$B$2:$B$801,MATCH(K838,INVENTÁRIO!$A$2:$A$801,0)),"")="(sem nome)","Carta fora dos decks: digite o nome na coluna I (opcional)","")))</f>
        <v/>
      </c>
      <c r="K838" s="11" t="str">
        <f aca="false">UPPER(TRIM(SUBSTITUTE(B838&amp;"",CHAR(160)," ")))</f>
        <v/>
      </c>
      <c r="L838" s="11" t="str">
        <f aca="false">IF(AND(K838&lt;&gt;"",TRIM(I838&amp;"")&lt;&gt;""),K838,"")</f>
        <v/>
      </c>
    </row>
    <row r="839" customFormat="false" ht="15" hidden="false" customHeight="false" outlineLevel="0" collapsed="false">
      <c r="A839" s="9"/>
      <c r="B839" s="4"/>
      <c r="C839" s="10"/>
      <c r="D839" s="11" t="str">
        <f aca="false">IF(K839="","",IFERROR(INDEX(DECKS!$C$2:$C$1201,MATCH(K839,DECKS!$B$2:$B$1201,0)),TRIM(I839&amp;"")))</f>
        <v/>
      </c>
      <c r="E839" s="4"/>
      <c r="F839" s="12"/>
      <c r="G839" s="4"/>
      <c r="H839" s="13" t="str">
        <f aca="false">IF(OR(N(C839)=0,N(F839)=0),"",C839*F839)</f>
        <v/>
      </c>
      <c r="I839" s="4"/>
      <c r="J839" s="11" t="str">
        <f aca="false">IF(K839="","",IF(N(C839)&lt;=0,"Informe a quantidade",IF(IFERROR(INDEX(INVENTÁRIO!$B$2:$B$801,MATCH(K839,INVENTÁRIO!$A$2:$A$801,0)),"")="(sem nome)","Carta fora dos decks: digite o nome na coluna I (opcional)","")))</f>
        <v/>
      </c>
      <c r="K839" s="11" t="str">
        <f aca="false">UPPER(TRIM(SUBSTITUTE(B839&amp;"",CHAR(160)," ")))</f>
        <v/>
      </c>
      <c r="L839" s="11" t="str">
        <f aca="false">IF(AND(K839&lt;&gt;"",TRIM(I839&amp;"")&lt;&gt;""),K839,"")</f>
        <v/>
      </c>
    </row>
    <row r="840" customFormat="false" ht="15" hidden="false" customHeight="false" outlineLevel="0" collapsed="false">
      <c r="A840" s="9"/>
      <c r="B840" s="4"/>
      <c r="C840" s="10"/>
      <c r="D840" s="11" t="str">
        <f aca="false">IF(K840="","",IFERROR(INDEX(DECKS!$C$2:$C$1201,MATCH(K840,DECKS!$B$2:$B$1201,0)),TRIM(I840&amp;"")))</f>
        <v/>
      </c>
      <c r="E840" s="4"/>
      <c r="F840" s="12"/>
      <c r="G840" s="4"/>
      <c r="H840" s="13" t="str">
        <f aca="false">IF(OR(N(C840)=0,N(F840)=0),"",C840*F840)</f>
        <v/>
      </c>
      <c r="I840" s="4"/>
      <c r="J840" s="11" t="str">
        <f aca="false">IF(K840="","",IF(N(C840)&lt;=0,"Informe a quantidade",IF(IFERROR(INDEX(INVENTÁRIO!$B$2:$B$801,MATCH(K840,INVENTÁRIO!$A$2:$A$801,0)),"")="(sem nome)","Carta fora dos decks: digite o nome na coluna I (opcional)","")))</f>
        <v/>
      </c>
      <c r="K840" s="11" t="str">
        <f aca="false">UPPER(TRIM(SUBSTITUTE(B840&amp;"",CHAR(160)," ")))</f>
        <v/>
      </c>
      <c r="L840" s="11" t="str">
        <f aca="false">IF(AND(K840&lt;&gt;"",TRIM(I840&amp;"")&lt;&gt;""),K840,"")</f>
        <v/>
      </c>
    </row>
    <row r="841" customFormat="false" ht="15" hidden="false" customHeight="false" outlineLevel="0" collapsed="false">
      <c r="A841" s="9"/>
      <c r="B841" s="4"/>
      <c r="C841" s="10"/>
      <c r="D841" s="11" t="str">
        <f aca="false">IF(K841="","",IFERROR(INDEX(DECKS!$C$2:$C$1201,MATCH(K841,DECKS!$B$2:$B$1201,0)),TRIM(I841&amp;"")))</f>
        <v/>
      </c>
      <c r="E841" s="4"/>
      <c r="F841" s="12"/>
      <c r="G841" s="4"/>
      <c r="H841" s="13" t="str">
        <f aca="false">IF(OR(N(C841)=0,N(F841)=0),"",C841*F841)</f>
        <v/>
      </c>
      <c r="I841" s="4"/>
      <c r="J841" s="11" t="str">
        <f aca="false">IF(K841="","",IF(N(C841)&lt;=0,"Informe a quantidade",IF(IFERROR(INDEX(INVENTÁRIO!$B$2:$B$801,MATCH(K841,INVENTÁRIO!$A$2:$A$801,0)),"")="(sem nome)","Carta fora dos decks: digite o nome na coluna I (opcional)","")))</f>
        <v/>
      </c>
      <c r="K841" s="11" t="str">
        <f aca="false">UPPER(TRIM(SUBSTITUTE(B841&amp;"",CHAR(160)," ")))</f>
        <v/>
      </c>
      <c r="L841" s="11" t="str">
        <f aca="false">IF(AND(K841&lt;&gt;"",TRIM(I841&amp;"")&lt;&gt;""),K841,"")</f>
        <v/>
      </c>
    </row>
    <row r="842" customFormat="false" ht="15" hidden="false" customHeight="false" outlineLevel="0" collapsed="false">
      <c r="A842" s="9"/>
      <c r="B842" s="4"/>
      <c r="C842" s="10"/>
      <c r="D842" s="11" t="str">
        <f aca="false">IF(K842="","",IFERROR(INDEX(DECKS!$C$2:$C$1201,MATCH(K842,DECKS!$B$2:$B$1201,0)),TRIM(I842&amp;"")))</f>
        <v/>
      </c>
      <c r="E842" s="4"/>
      <c r="F842" s="12"/>
      <c r="G842" s="4"/>
      <c r="H842" s="13" t="str">
        <f aca="false">IF(OR(N(C842)=0,N(F842)=0),"",C842*F842)</f>
        <v/>
      </c>
      <c r="I842" s="4"/>
      <c r="J842" s="11" t="str">
        <f aca="false">IF(K842="","",IF(N(C842)&lt;=0,"Informe a quantidade",IF(IFERROR(INDEX(INVENTÁRIO!$B$2:$B$801,MATCH(K842,INVENTÁRIO!$A$2:$A$801,0)),"")="(sem nome)","Carta fora dos decks: digite o nome na coluna I (opcional)","")))</f>
        <v/>
      </c>
      <c r="K842" s="11" t="str">
        <f aca="false">UPPER(TRIM(SUBSTITUTE(B842&amp;"",CHAR(160)," ")))</f>
        <v/>
      </c>
      <c r="L842" s="11" t="str">
        <f aca="false">IF(AND(K842&lt;&gt;"",TRIM(I842&amp;"")&lt;&gt;""),K842,"")</f>
        <v/>
      </c>
    </row>
    <row r="843" customFormat="false" ht="15" hidden="false" customHeight="false" outlineLevel="0" collapsed="false">
      <c r="A843" s="9"/>
      <c r="B843" s="4"/>
      <c r="C843" s="10"/>
      <c r="D843" s="11" t="str">
        <f aca="false">IF(K843="","",IFERROR(INDEX(DECKS!$C$2:$C$1201,MATCH(K843,DECKS!$B$2:$B$1201,0)),TRIM(I843&amp;"")))</f>
        <v/>
      </c>
      <c r="E843" s="4"/>
      <c r="F843" s="12"/>
      <c r="G843" s="4"/>
      <c r="H843" s="13" t="str">
        <f aca="false">IF(OR(N(C843)=0,N(F843)=0),"",C843*F843)</f>
        <v/>
      </c>
      <c r="I843" s="4"/>
      <c r="J843" s="11" t="str">
        <f aca="false">IF(K843="","",IF(N(C843)&lt;=0,"Informe a quantidade",IF(IFERROR(INDEX(INVENTÁRIO!$B$2:$B$801,MATCH(K843,INVENTÁRIO!$A$2:$A$801,0)),"")="(sem nome)","Carta fora dos decks: digite o nome na coluna I (opcional)","")))</f>
        <v/>
      </c>
      <c r="K843" s="11" t="str">
        <f aca="false">UPPER(TRIM(SUBSTITUTE(B843&amp;"",CHAR(160)," ")))</f>
        <v/>
      </c>
      <c r="L843" s="11" t="str">
        <f aca="false">IF(AND(K843&lt;&gt;"",TRIM(I843&amp;"")&lt;&gt;""),K843,"")</f>
        <v/>
      </c>
    </row>
    <row r="844" customFormat="false" ht="15" hidden="false" customHeight="false" outlineLevel="0" collapsed="false">
      <c r="A844" s="9"/>
      <c r="B844" s="4"/>
      <c r="C844" s="10"/>
      <c r="D844" s="11" t="str">
        <f aca="false">IF(K844="","",IFERROR(INDEX(DECKS!$C$2:$C$1201,MATCH(K844,DECKS!$B$2:$B$1201,0)),TRIM(I844&amp;"")))</f>
        <v/>
      </c>
      <c r="E844" s="4"/>
      <c r="F844" s="12"/>
      <c r="G844" s="4"/>
      <c r="H844" s="13" t="str">
        <f aca="false">IF(OR(N(C844)=0,N(F844)=0),"",C844*F844)</f>
        <v/>
      </c>
      <c r="I844" s="4"/>
      <c r="J844" s="11" t="str">
        <f aca="false">IF(K844="","",IF(N(C844)&lt;=0,"Informe a quantidade",IF(IFERROR(INDEX(INVENTÁRIO!$B$2:$B$801,MATCH(K844,INVENTÁRIO!$A$2:$A$801,0)),"")="(sem nome)","Carta fora dos decks: digite o nome na coluna I (opcional)","")))</f>
        <v/>
      </c>
      <c r="K844" s="11" t="str">
        <f aca="false">UPPER(TRIM(SUBSTITUTE(B844&amp;"",CHAR(160)," ")))</f>
        <v/>
      </c>
      <c r="L844" s="11" t="str">
        <f aca="false">IF(AND(K844&lt;&gt;"",TRIM(I844&amp;"")&lt;&gt;""),K844,"")</f>
        <v/>
      </c>
    </row>
    <row r="845" customFormat="false" ht="15" hidden="false" customHeight="false" outlineLevel="0" collapsed="false">
      <c r="A845" s="9"/>
      <c r="B845" s="4"/>
      <c r="C845" s="10"/>
      <c r="D845" s="11" t="str">
        <f aca="false">IF(K845="","",IFERROR(INDEX(DECKS!$C$2:$C$1201,MATCH(K845,DECKS!$B$2:$B$1201,0)),TRIM(I845&amp;"")))</f>
        <v/>
      </c>
      <c r="E845" s="4"/>
      <c r="F845" s="12"/>
      <c r="G845" s="4"/>
      <c r="H845" s="13" t="str">
        <f aca="false">IF(OR(N(C845)=0,N(F845)=0),"",C845*F845)</f>
        <v/>
      </c>
      <c r="I845" s="4"/>
      <c r="J845" s="11" t="str">
        <f aca="false">IF(K845="","",IF(N(C845)&lt;=0,"Informe a quantidade",IF(IFERROR(INDEX(INVENTÁRIO!$B$2:$B$801,MATCH(K845,INVENTÁRIO!$A$2:$A$801,0)),"")="(sem nome)","Carta fora dos decks: digite o nome na coluna I (opcional)","")))</f>
        <v/>
      </c>
      <c r="K845" s="11" t="str">
        <f aca="false">UPPER(TRIM(SUBSTITUTE(B845&amp;"",CHAR(160)," ")))</f>
        <v/>
      </c>
      <c r="L845" s="11" t="str">
        <f aca="false">IF(AND(K845&lt;&gt;"",TRIM(I845&amp;"")&lt;&gt;""),K845,"")</f>
        <v/>
      </c>
    </row>
    <row r="846" customFormat="false" ht="15" hidden="false" customHeight="false" outlineLevel="0" collapsed="false">
      <c r="A846" s="9"/>
      <c r="B846" s="4"/>
      <c r="C846" s="10"/>
      <c r="D846" s="11" t="str">
        <f aca="false">IF(K846="","",IFERROR(INDEX(DECKS!$C$2:$C$1201,MATCH(K846,DECKS!$B$2:$B$1201,0)),TRIM(I846&amp;"")))</f>
        <v/>
      </c>
      <c r="E846" s="4"/>
      <c r="F846" s="12"/>
      <c r="G846" s="4"/>
      <c r="H846" s="13" t="str">
        <f aca="false">IF(OR(N(C846)=0,N(F846)=0),"",C846*F846)</f>
        <v/>
      </c>
      <c r="I846" s="4"/>
      <c r="J846" s="11" t="str">
        <f aca="false">IF(K846="","",IF(N(C846)&lt;=0,"Informe a quantidade",IF(IFERROR(INDEX(INVENTÁRIO!$B$2:$B$801,MATCH(K846,INVENTÁRIO!$A$2:$A$801,0)),"")="(sem nome)","Carta fora dos decks: digite o nome na coluna I (opcional)","")))</f>
        <v/>
      </c>
      <c r="K846" s="11" t="str">
        <f aca="false">UPPER(TRIM(SUBSTITUTE(B846&amp;"",CHAR(160)," ")))</f>
        <v/>
      </c>
      <c r="L846" s="11" t="str">
        <f aca="false">IF(AND(K846&lt;&gt;"",TRIM(I846&amp;"")&lt;&gt;""),K846,"")</f>
        <v/>
      </c>
    </row>
    <row r="847" customFormat="false" ht="15" hidden="false" customHeight="false" outlineLevel="0" collapsed="false">
      <c r="A847" s="9"/>
      <c r="B847" s="4"/>
      <c r="C847" s="10"/>
      <c r="D847" s="11" t="str">
        <f aca="false">IF(K847="","",IFERROR(INDEX(DECKS!$C$2:$C$1201,MATCH(K847,DECKS!$B$2:$B$1201,0)),TRIM(I847&amp;"")))</f>
        <v/>
      </c>
      <c r="E847" s="4"/>
      <c r="F847" s="12"/>
      <c r="G847" s="4"/>
      <c r="H847" s="13" t="str">
        <f aca="false">IF(OR(N(C847)=0,N(F847)=0),"",C847*F847)</f>
        <v/>
      </c>
      <c r="I847" s="4"/>
      <c r="J847" s="11" t="str">
        <f aca="false">IF(K847="","",IF(N(C847)&lt;=0,"Informe a quantidade",IF(IFERROR(INDEX(INVENTÁRIO!$B$2:$B$801,MATCH(K847,INVENTÁRIO!$A$2:$A$801,0)),"")="(sem nome)","Carta fora dos decks: digite o nome na coluna I (opcional)","")))</f>
        <v/>
      </c>
      <c r="K847" s="11" t="str">
        <f aca="false">UPPER(TRIM(SUBSTITUTE(B847&amp;"",CHAR(160)," ")))</f>
        <v/>
      </c>
      <c r="L847" s="11" t="str">
        <f aca="false">IF(AND(K847&lt;&gt;"",TRIM(I847&amp;"")&lt;&gt;""),K847,"")</f>
        <v/>
      </c>
    </row>
    <row r="848" customFormat="false" ht="15" hidden="false" customHeight="false" outlineLevel="0" collapsed="false">
      <c r="A848" s="9"/>
      <c r="B848" s="4"/>
      <c r="C848" s="10"/>
      <c r="D848" s="11" t="str">
        <f aca="false">IF(K848="","",IFERROR(INDEX(DECKS!$C$2:$C$1201,MATCH(K848,DECKS!$B$2:$B$1201,0)),TRIM(I848&amp;"")))</f>
        <v/>
      </c>
      <c r="E848" s="4"/>
      <c r="F848" s="12"/>
      <c r="G848" s="4"/>
      <c r="H848" s="13" t="str">
        <f aca="false">IF(OR(N(C848)=0,N(F848)=0),"",C848*F848)</f>
        <v/>
      </c>
      <c r="I848" s="4"/>
      <c r="J848" s="11" t="str">
        <f aca="false">IF(K848="","",IF(N(C848)&lt;=0,"Informe a quantidade",IF(IFERROR(INDEX(INVENTÁRIO!$B$2:$B$801,MATCH(K848,INVENTÁRIO!$A$2:$A$801,0)),"")="(sem nome)","Carta fora dos decks: digite o nome na coluna I (opcional)","")))</f>
        <v/>
      </c>
      <c r="K848" s="11" t="str">
        <f aca="false">UPPER(TRIM(SUBSTITUTE(B848&amp;"",CHAR(160)," ")))</f>
        <v/>
      </c>
      <c r="L848" s="11" t="str">
        <f aca="false">IF(AND(K848&lt;&gt;"",TRIM(I848&amp;"")&lt;&gt;""),K848,"")</f>
        <v/>
      </c>
    </row>
    <row r="849" customFormat="false" ht="15" hidden="false" customHeight="false" outlineLevel="0" collapsed="false">
      <c r="A849" s="9"/>
      <c r="B849" s="4"/>
      <c r="C849" s="10"/>
      <c r="D849" s="11" t="str">
        <f aca="false">IF(K849="","",IFERROR(INDEX(DECKS!$C$2:$C$1201,MATCH(K849,DECKS!$B$2:$B$1201,0)),TRIM(I849&amp;"")))</f>
        <v/>
      </c>
      <c r="E849" s="4"/>
      <c r="F849" s="12"/>
      <c r="G849" s="4"/>
      <c r="H849" s="13" t="str">
        <f aca="false">IF(OR(N(C849)=0,N(F849)=0),"",C849*F849)</f>
        <v/>
      </c>
      <c r="I849" s="4"/>
      <c r="J849" s="11" t="str">
        <f aca="false">IF(K849="","",IF(N(C849)&lt;=0,"Informe a quantidade",IF(IFERROR(INDEX(INVENTÁRIO!$B$2:$B$801,MATCH(K849,INVENTÁRIO!$A$2:$A$801,0)),"")="(sem nome)","Carta fora dos decks: digite o nome na coluna I (opcional)","")))</f>
        <v/>
      </c>
      <c r="K849" s="11" t="str">
        <f aca="false">UPPER(TRIM(SUBSTITUTE(B849&amp;"",CHAR(160)," ")))</f>
        <v/>
      </c>
      <c r="L849" s="11" t="str">
        <f aca="false">IF(AND(K849&lt;&gt;"",TRIM(I849&amp;"")&lt;&gt;""),K849,"")</f>
        <v/>
      </c>
    </row>
    <row r="850" customFormat="false" ht="15" hidden="false" customHeight="false" outlineLevel="0" collapsed="false">
      <c r="A850" s="9"/>
      <c r="B850" s="4"/>
      <c r="C850" s="10"/>
      <c r="D850" s="11" t="str">
        <f aca="false">IF(K850="","",IFERROR(INDEX(DECKS!$C$2:$C$1201,MATCH(K850,DECKS!$B$2:$B$1201,0)),TRIM(I850&amp;"")))</f>
        <v/>
      </c>
      <c r="E850" s="4"/>
      <c r="F850" s="12"/>
      <c r="G850" s="4"/>
      <c r="H850" s="13" t="str">
        <f aca="false">IF(OR(N(C850)=0,N(F850)=0),"",C850*F850)</f>
        <v/>
      </c>
      <c r="I850" s="4"/>
      <c r="J850" s="11" t="str">
        <f aca="false">IF(K850="","",IF(N(C850)&lt;=0,"Informe a quantidade",IF(IFERROR(INDEX(INVENTÁRIO!$B$2:$B$801,MATCH(K850,INVENTÁRIO!$A$2:$A$801,0)),"")="(sem nome)","Carta fora dos decks: digite o nome na coluna I (opcional)","")))</f>
        <v/>
      </c>
      <c r="K850" s="11" t="str">
        <f aca="false">UPPER(TRIM(SUBSTITUTE(B850&amp;"",CHAR(160)," ")))</f>
        <v/>
      </c>
      <c r="L850" s="11" t="str">
        <f aca="false">IF(AND(K850&lt;&gt;"",TRIM(I850&amp;"")&lt;&gt;""),K850,"")</f>
        <v/>
      </c>
    </row>
    <row r="851" customFormat="false" ht="15" hidden="false" customHeight="false" outlineLevel="0" collapsed="false">
      <c r="A851" s="9"/>
      <c r="B851" s="4"/>
      <c r="C851" s="10"/>
      <c r="D851" s="11" t="str">
        <f aca="false">IF(K851="","",IFERROR(INDEX(DECKS!$C$2:$C$1201,MATCH(K851,DECKS!$B$2:$B$1201,0)),TRIM(I851&amp;"")))</f>
        <v/>
      </c>
      <c r="E851" s="4"/>
      <c r="F851" s="12"/>
      <c r="G851" s="4"/>
      <c r="H851" s="13" t="str">
        <f aca="false">IF(OR(N(C851)=0,N(F851)=0),"",C851*F851)</f>
        <v/>
      </c>
      <c r="I851" s="4"/>
      <c r="J851" s="11" t="str">
        <f aca="false">IF(K851="","",IF(N(C851)&lt;=0,"Informe a quantidade",IF(IFERROR(INDEX(INVENTÁRIO!$B$2:$B$801,MATCH(K851,INVENTÁRIO!$A$2:$A$801,0)),"")="(sem nome)","Carta fora dos decks: digite o nome na coluna I (opcional)","")))</f>
        <v/>
      </c>
      <c r="K851" s="11" t="str">
        <f aca="false">UPPER(TRIM(SUBSTITUTE(B851&amp;"",CHAR(160)," ")))</f>
        <v/>
      </c>
      <c r="L851" s="11" t="str">
        <f aca="false">IF(AND(K851&lt;&gt;"",TRIM(I851&amp;"")&lt;&gt;""),K851,"")</f>
        <v/>
      </c>
    </row>
    <row r="852" customFormat="false" ht="15" hidden="false" customHeight="false" outlineLevel="0" collapsed="false">
      <c r="A852" s="9"/>
      <c r="B852" s="4"/>
      <c r="C852" s="10"/>
      <c r="D852" s="11" t="str">
        <f aca="false">IF(K852="","",IFERROR(INDEX(DECKS!$C$2:$C$1201,MATCH(K852,DECKS!$B$2:$B$1201,0)),TRIM(I852&amp;"")))</f>
        <v/>
      </c>
      <c r="E852" s="4"/>
      <c r="F852" s="12"/>
      <c r="G852" s="4"/>
      <c r="H852" s="13" t="str">
        <f aca="false">IF(OR(N(C852)=0,N(F852)=0),"",C852*F852)</f>
        <v/>
      </c>
      <c r="I852" s="4"/>
      <c r="J852" s="11" t="str">
        <f aca="false">IF(K852="","",IF(N(C852)&lt;=0,"Informe a quantidade",IF(IFERROR(INDEX(INVENTÁRIO!$B$2:$B$801,MATCH(K852,INVENTÁRIO!$A$2:$A$801,0)),"")="(sem nome)","Carta fora dos decks: digite o nome na coluna I (opcional)","")))</f>
        <v/>
      </c>
      <c r="K852" s="11" t="str">
        <f aca="false">UPPER(TRIM(SUBSTITUTE(B852&amp;"",CHAR(160)," ")))</f>
        <v/>
      </c>
      <c r="L852" s="11" t="str">
        <f aca="false">IF(AND(K852&lt;&gt;"",TRIM(I852&amp;"")&lt;&gt;""),K852,"")</f>
        <v/>
      </c>
    </row>
    <row r="853" customFormat="false" ht="15" hidden="false" customHeight="false" outlineLevel="0" collapsed="false">
      <c r="A853" s="9"/>
      <c r="B853" s="4"/>
      <c r="C853" s="10"/>
      <c r="D853" s="11" t="str">
        <f aca="false">IF(K853="","",IFERROR(INDEX(DECKS!$C$2:$C$1201,MATCH(K853,DECKS!$B$2:$B$1201,0)),TRIM(I853&amp;"")))</f>
        <v/>
      </c>
      <c r="E853" s="4"/>
      <c r="F853" s="12"/>
      <c r="G853" s="4"/>
      <c r="H853" s="13" t="str">
        <f aca="false">IF(OR(N(C853)=0,N(F853)=0),"",C853*F853)</f>
        <v/>
      </c>
      <c r="I853" s="4"/>
      <c r="J853" s="11" t="str">
        <f aca="false">IF(K853="","",IF(N(C853)&lt;=0,"Informe a quantidade",IF(IFERROR(INDEX(INVENTÁRIO!$B$2:$B$801,MATCH(K853,INVENTÁRIO!$A$2:$A$801,0)),"")="(sem nome)","Carta fora dos decks: digite o nome na coluna I (opcional)","")))</f>
        <v/>
      </c>
      <c r="K853" s="11" t="str">
        <f aca="false">UPPER(TRIM(SUBSTITUTE(B853&amp;"",CHAR(160)," ")))</f>
        <v/>
      </c>
      <c r="L853" s="11" t="str">
        <f aca="false">IF(AND(K853&lt;&gt;"",TRIM(I853&amp;"")&lt;&gt;""),K853,"")</f>
        <v/>
      </c>
    </row>
    <row r="854" customFormat="false" ht="15" hidden="false" customHeight="false" outlineLevel="0" collapsed="false">
      <c r="A854" s="9"/>
      <c r="B854" s="4"/>
      <c r="C854" s="10"/>
      <c r="D854" s="11" t="str">
        <f aca="false">IF(K854="","",IFERROR(INDEX(DECKS!$C$2:$C$1201,MATCH(K854,DECKS!$B$2:$B$1201,0)),TRIM(I854&amp;"")))</f>
        <v/>
      </c>
      <c r="E854" s="4"/>
      <c r="F854" s="12"/>
      <c r="G854" s="4"/>
      <c r="H854" s="13" t="str">
        <f aca="false">IF(OR(N(C854)=0,N(F854)=0),"",C854*F854)</f>
        <v/>
      </c>
      <c r="I854" s="4"/>
      <c r="J854" s="11" t="str">
        <f aca="false">IF(K854="","",IF(N(C854)&lt;=0,"Informe a quantidade",IF(IFERROR(INDEX(INVENTÁRIO!$B$2:$B$801,MATCH(K854,INVENTÁRIO!$A$2:$A$801,0)),"")="(sem nome)","Carta fora dos decks: digite o nome na coluna I (opcional)","")))</f>
        <v/>
      </c>
      <c r="K854" s="11" t="str">
        <f aca="false">UPPER(TRIM(SUBSTITUTE(B854&amp;"",CHAR(160)," ")))</f>
        <v/>
      </c>
      <c r="L854" s="11" t="str">
        <f aca="false">IF(AND(K854&lt;&gt;"",TRIM(I854&amp;"")&lt;&gt;""),K854,"")</f>
        <v/>
      </c>
    </row>
    <row r="855" customFormat="false" ht="15" hidden="false" customHeight="false" outlineLevel="0" collapsed="false">
      <c r="A855" s="9"/>
      <c r="B855" s="4"/>
      <c r="C855" s="10"/>
      <c r="D855" s="11" t="str">
        <f aca="false">IF(K855="","",IFERROR(INDEX(DECKS!$C$2:$C$1201,MATCH(K855,DECKS!$B$2:$B$1201,0)),TRIM(I855&amp;"")))</f>
        <v/>
      </c>
      <c r="E855" s="4"/>
      <c r="F855" s="12"/>
      <c r="G855" s="4"/>
      <c r="H855" s="13" t="str">
        <f aca="false">IF(OR(N(C855)=0,N(F855)=0),"",C855*F855)</f>
        <v/>
      </c>
      <c r="I855" s="4"/>
      <c r="J855" s="11" t="str">
        <f aca="false">IF(K855="","",IF(N(C855)&lt;=0,"Informe a quantidade",IF(IFERROR(INDEX(INVENTÁRIO!$B$2:$B$801,MATCH(K855,INVENTÁRIO!$A$2:$A$801,0)),"")="(sem nome)","Carta fora dos decks: digite o nome na coluna I (opcional)","")))</f>
        <v/>
      </c>
      <c r="K855" s="11" t="str">
        <f aca="false">UPPER(TRIM(SUBSTITUTE(B855&amp;"",CHAR(160)," ")))</f>
        <v/>
      </c>
      <c r="L855" s="11" t="str">
        <f aca="false">IF(AND(K855&lt;&gt;"",TRIM(I855&amp;"")&lt;&gt;""),K855,"")</f>
        <v/>
      </c>
    </row>
    <row r="856" customFormat="false" ht="15" hidden="false" customHeight="false" outlineLevel="0" collapsed="false">
      <c r="A856" s="9"/>
      <c r="B856" s="4"/>
      <c r="C856" s="10"/>
      <c r="D856" s="11" t="str">
        <f aca="false">IF(K856="","",IFERROR(INDEX(DECKS!$C$2:$C$1201,MATCH(K856,DECKS!$B$2:$B$1201,0)),TRIM(I856&amp;"")))</f>
        <v/>
      </c>
      <c r="E856" s="4"/>
      <c r="F856" s="12"/>
      <c r="G856" s="4"/>
      <c r="H856" s="13" t="str">
        <f aca="false">IF(OR(N(C856)=0,N(F856)=0),"",C856*F856)</f>
        <v/>
      </c>
      <c r="I856" s="4"/>
      <c r="J856" s="11" t="str">
        <f aca="false">IF(K856="","",IF(N(C856)&lt;=0,"Informe a quantidade",IF(IFERROR(INDEX(INVENTÁRIO!$B$2:$B$801,MATCH(K856,INVENTÁRIO!$A$2:$A$801,0)),"")="(sem nome)","Carta fora dos decks: digite o nome na coluna I (opcional)","")))</f>
        <v/>
      </c>
      <c r="K856" s="11" t="str">
        <f aca="false">UPPER(TRIM(SUBSTITUTE(B856&amp;"",CHAR(160)," ")))</f>
        <v/>
      </c>
      <c r="L856" s="11" t="str">
        <f aca="false">IF(AND(K856&lt;&gt;"",TRIM(I856&amp;"")&lt;&gt;""),K856,"")</f>
        <v/>
      </c>
    </row>
    <row r="857" customFormat="false" ht="15" hidden="false" customHeight="false" outlineLevel="0" collapsed="false">
      <c r="A857" s="9"/>
      <c r="B857" s="4"/>
      <c r="C857" s="10"/>
      <c r="D857" s="11" t="str">
        <f aca="false">IF(K857="","",IFERROR(INDEX(DECKS!$C$2:$C$1201,MATCH(K857,DECKS!$B$2:$B$1201,0)),TRIM(I857&amp;"")))</f>
        <v/>
      </c>
      <c r="E857" s="4"/>
      <c r="F857" s="12"/>
      <c r="G857" s="4"/>
      <c r="H857" s="13" t="str">
        <f aca="false">IF(OR(N(C857)=0,N(F857)=0),"",C857*F857)</f>
        <v/>
      </c>
      <c r="I857" s="4"/>
      <c r="J857" s="11" t="str">
        <f aca="false">IF(K857="","",IF(N(C857)&lt;=0,"Informe a quantidade",IF(IFERROR(INDEX(INVENTÁRIO!$B$2:$B$801,MATCH(K857,INVENTÁRIO!$A$2:$A$801,0)),"")="(sem nome)","Carta fora dos decks: digite o nome na coluna I (opcional)","")))</f>
        <v/>
      </c>
      <c r="K857" s="11" t="str">
        <f aca="false">UPPER(TRIM(SUBSTITUTE(B857&amp;"",CHAR(160)," ")))</f>
        <v/>
      </c>
      <c r="L857" s="11" t="str">
        <f aca="false">IF(AND(K857&lt;&gt;"",TRIM(I857&amp;"")&lt;&gt;""),K857,"")</f>
        <v/>
      </c>
    </row>
    <row r="858" customFormat="false" ht="15" hidden="false" customHeight="false" outlineLevel="0" collapsed="false">
      <c r="A858" s="9"/>
      <c r="B858" s="4"/>
      <c r="C858" s="10"/>
      <c r="D858" s="11" t="str">
        <f aca="false">IF(K858="","",IFERROR(INDEX(DECKS!$C$2:$C$1201,MATCH(K858,DECKS!$B$2:$B$1201,0)),TRIM(I858&amp;"")))</f>
        <v/>
      </c>
      <c r="E858" s="4"/>
      <c r="F858" s="12"/>
      <c r="G858" s="4"/>
      <c r="H858" s="13" t="str">
        <f aca="false">IF(OR(N(C858)=0,N(F858)=0),"",C858*F858)</f>
        <v/>
      </c>
      <c r="I858" s="4"/>
      <c r="J858" s="11" t="str">
        <f aca="false">IF(K858="","",IF(N(C858)&lt;=0,"Informe a quantidade",IF(IFERROR(INDEX(INVENTÁRIO!$B$2:$B$801,MATCH(K858,INVENTÁRIO!$A$2:$A$801,0)),"")="(sem nome)","Carta fora dos decks: digite o nome na coluna I (opcional)","")))</f>
        <v/>
      </c>
      <c r="K858" s="11" t="str">
        <f aca="false">UPPER(TRIM(SUBSTITUTE(B858&amp;"",CHAR(160)," ")))</f>
        <v/>
      </c>
      <c r="L858" s="11" t="str">
        <f aca="false">IF(AND(K858&lt;&gt;"",TRIM(I858&amp;"")&lt;&gt;""),K858,"")</f>
        <v/>
      </c>
    </row>
    <row r="859" customFormat="false" ht="15" hidden="false" customHeight="false" outlineLevel="0" collapsed="false">
      <c r="A859" s="9"/>
      <c r="B859" s="4"/>
      <c r="C859" s="10"/>
      <c r="D859" s="11" t="str">
        <f aca="false">IF(K859="","",IFERROR(INDEX(DECKS!$C$2:$C$1201,MATCH(K859,DECKS!$B$2:$B$1201,0)),TRIM(I859&amp;"")))</f>
        <v/>
      </c>
      <c r="E859" s="4"/>
      <c r="F859" s="12"/>
      <c r="G859" s="4"/>
      <c r="H859" s="13" t="str">
        <f aca="false">IF(OR(N(C859)=0,N(F859)=0),"",C859*F859)</f>
        <v/>
      </c>
      <c r="I859" s="4"/>
      <c r="J859" s="11" t="str">
        <f aca="false">IF(K859="","",IF(N(C859)&lt;=0,"Informe a quantidade",IF(IFERROR(INDEX(INVENTÁRIO!$B$2:$B$801,MATCH(K859,INVENTÁRIO!$A$2:$A$801,0)),"")="(sem nome)","Carta fora dos decks: digite o nome na coluna I (opcional)","")))</f>
        <v/>
      </c>
      <c r="K859" s="11" t="str">
        <f aca="false">UPPER(TRIM(SUBSTITUTE(B859&amp;"",CHAR(160)," ")))</f>
        <v/>
      </c>
      <c r="L859" s="11" t="str">
        <f aca="false">IF(AND(K859&lt;&gt;"",TRIM(I859&amp;"")&lt;&gt;""),K859,"")</f>
        <v/>
      </c>
    </row>
    <row r="860" customFormat="false" ht="15" hidden="false" customHeight="false" outlineLevel="0" collapsed="false">
      <c r="A860" s="9"/>
      <c r="B860" s="4"/>
      <c r="C860" s="10"/>
      <c r="D860" s="11" t="str">
        <f aca="false">IF(K860="","",IFERROR(INDEX(DECKS!$C$2:$C$1201,MATCH(K860,DECKS!$B$2:$B$1201,0)),TRIM(I860&amp;"")))</f>
        <v/>
      </c>
      <c r="E860" s="4"/>
      <c r="F860" s="12"/>
      <c r="G860" s="4"/>
      <c r="H860" s="13" t="str">
        <f aca="false">IF(OR(N(C860)=0,N(F860)=0),"",C860*F860)</f>
        <v/>
      </c>
      <c r="I860" s="4"/>
      <c r="J860" s="11" t="str">
        <f aca="false">IF(K860="","",IF(N(C860)&lt;=0,"Informe a quantidade",IF(IFERROR(INDEX(INVENTÁRIO!$B$2:$B$801,MATCH(K860,INVENTÁRIO!$A$2:$A$801,0)),"")="(sem nome)","Carta fora dos decks: digite o nome na coluna I (opcional)","")))</f>
        <v/>
      </c>
      <c r="K860" s="11" t="str">
        <f aca="false">UPPER(TRIM(SUBSTITUTE(B860&amp;"",CHAR(160)," ")))</f>
        <v/>
      </c>
      <c r="L860" s="11" t="str">
        <f aca="false">IF(AND(K860&lt;&gt;"",TRIM(I860&amp;"")&lt;&gt;""),K860,"")</f>
        <v/>
      </c>
    </row>
    <row r="861" customFormat="false" ht="15" hidden="false" customHeight="false" outlineLevel="0" collapsed="false">
      <c r="A861" s="9"/>
      <c r="B861" s="4"/>
      <c r="C861" s="10"/>
      <c r="D861" s="11" t="str">
        <f aca="false">IF(K861="","",IFERROR(INDEX(DECKS!$C$2:$C$1201,MATCH(K861,DECKS!$B$2:$B$1201,0)),TRIM(I861&amp;"")))</f>
        <v/>
      </c>
      <c r="E861" s="4"/>
      <c r="F861" s="12"/>
      <c r="G861" s="4"/>
      <c r="H861" s="13" t="str">
        <f aca="false">IF(OR(N(C861)=0,N(F861)=0),"",C861*F861)</f>
        <v/>
      </c>
      <c r="I861" s="4"/>
      <c r="J861" s="11" t="str">
        <f aca="false">IF(K861="","",IF(N(C861)&lt;=0,"Informe a quantidade",IF(IFERROR(INDEX(INVENTÁRIO!$B$2:$B$801,MATCH(K861,INVENTÁRIO!$A$2:$A$801,0)),"")="(sem nome)","Carta fora dos decks: digite o nome na coluna I (opcional)","")))</f>
        <v/>
      </c>
      <c r="K861" s="11" t="str">
        <f aca="false">UPPER(TRIM(SUBSTITUTE(B861&amp;"",CHAR(160)," ")))</f>
        <v/>
      </c>
      <c r="L861" s="11" t="str">
        <f aca="false">IF(AND(K861&lt;&gt;"",TRIM(I861&amp;"")&lt;&gt;""),K861,"")</f>
        <v/>
      </c>
    </row>
    <row r="862" customFormat="false" ht="15" hidden="false" customHeight="false" outlineLevel="0" collapsed="false">
      <c r="A862" s="9"/>
      <c r="B862" s="4"/>
      <c r="C862" s="10"/>
      <c r="D862" s="11" t="str">
        <f aca="false">IF(K862="","",IFERROR(INDEX(DECKS!$C$2:$C$1201,MATCH(K862,DECKS!$B$2:$B$1201,0)),TRIM(I862&amp;"")))</f>
        <v/>
      </c>
      <c r="E862" s="4"/>
      <c r="F862" s="12"/>
      <c r="G862" s="4"/>
      <c r="H862" s="13" t="str">
        <f aca="false">IF(OR(N(C862)=0,N(F862)=0),"",C862*F862)</f>
        <v/>
      </c>
      <c r="I862" s="4"/>
      <c r="J862" s="11" t="str">
        <f aca="false">IF(K862="","",IF(N(C862)&lt;=0,"Informe a quantidade",IF(IFERROR(INDEX(INVENTÁRIO!$B$2:$B$801,MATCH(K862,INVENTÁRIO!$A$2:$A$801,0)),"")="(sem nome)","Carta fora dos decks: digite o nome na coluna I (opcional)","")))</f>
        <v/>
      </c>
      <c r="K862" s="11" t="str">
        <f aca="false">UPPER(TRIM(SUBSTITUTE(B862&amp;"",CHAR(160)," ")))</f>
        <v/>
      </c>
      <c r="L862" s="11" t="str">
        <f aca="false">IF(AND(K862&lt;&gt;"",TRIM(I862&amp;"")&lt;&gt;""),K862,"")</f>
        <v/>
      </c>
    </row>
    <row r="863" customFormat="false" ht="15" hidden="false" customHeight="false" outlineLevel="0" collapsed="false">
      <c r="A863" s="9"/>
      <c r="B863" s="4"/>
      <c r="C863" s="10"/>
      <c r="D863" s="11" t="str">
        <f aca="false">IF(K863="","",IFERROR(INDEX(DECKS!$C$2:$C$1201,MATCH(K863,DECKS!$B$2:$B$1201,0)),TRIM(I863&amp;"")))</f>
        <v/>
      </c>
      <c r="E863" s="4"/>
      <c r="F863" s="12"/>
      <c r="G863" s="4"/>
      <c r="H863" s="13" t="str">
        <f aca="false">IF(OR(N(C863)=0,N(F863)=0),"",C863*F863)</f>
        <v/>
      </c>
      <c r="I863" s="4"/>
      <c r="J863" s="11" t="str">
        <f aca="false">IF(K863="","",IF(N(C863)&lt;=0,"Informe a quantidade",IF(IFERROR(INDEX(INVENTÁRIO!$B$2:$B$801,MATCH(K863,INVENTÁRIO!$A$2:$A$801,0)),"")="(sem nome)","Carta fora dos decks: digite o nome na coluna I (opcional)","")))</f>
        <v/>
      </c>
      <c r="K863" s="11" t="str">
        <f aca="false">UPPER(TRIM(SUBSTITUTE(B863&amp;"",CHAR(160)," ")))</f>
        <v/>
      </c>
      <c r="L863" s="11" t="str">
        <f aca="false">IF(AND(K863&lt;&gt;"",TRIM(I863&amp;"")&lt;&gt;""),K863,"")</f>
        <v/>
      </c>
    </row>
    <row r="864" customFormat="false" ht="15" hidden="false" customHeight="false" outlineLevel="0" collapsed="false">
      <c r="A864" s="9"/>
      <c r="B864" s="4"/>
      <c r="C864" s="10"/>
      <c r="D864" s="11" t="str">
        <f aca="false">IF(K864="","",IFERROR(INDEX(DECKS!$C$2:$C$1201,MATCH(K864,DECKS!$B$2:$B$1201,0)),TRIM(I864&amp;"")))</f>
        <v/>
      </c>
      <c r="E864" s="4"/>
      <c r="F864" s="12"/>
      <c r="G864" s="4"/>
      <c r="H864" s="13" t="str">
        <f aca="false">IF(OR(N(C864)=0,N(F864)=0),"",C864*F864)</f>
        <v/>
      </c>
      <c r="I864" s="4"/>
      <c r="J864" s="11" t="str">
        <f aca="false">IF(K864="","",IF(N(C864)&lt;=0,"Informe a quantidade",IF(IFERROR(INDEX(INVENTÁRIO!$B$2:$B$801,MATCH(K864,INVENTÁRIO!$A$2:$A$801,0)),"")="(sem nome)","Carta fora dos decks: digite o nome na coluna I (opcional)","")))</f>
        <v/>
      </c>
      <c r="K864" s="11" t="str">
        <f aca="false">UPPER(TRIM(SUBSTITUTE(B864&amp;"",CHAR(160)," ")))</f>
        <v/>
      </c>
      <c r="L864" s="11" t="str">
        <f aca="false">IF(AND(K864&lt;&gt;"",TRIM(I864&amp;"")&lt;&gt;""),K864,"")</f>
        <v/>
      </c>
    </row>
    <row r="865" customFormat="false" ht="15" hidden="false" customHeight="false" outlineLevel="0" collapsed="false">
      <c r="A865" s="9"/>
      <c r="B865" s="4"/>
      <c r="C865" s="10"/>
      <c r="D865" s="11" t="str">
        <f aca="false">IF(K865="","",IFERROR(INDEX(DECKS!$C$2:$C$1201,MATCH(K865,DECKS!$B$2:$B$1201,0)),TRIM(I865&amp;"")))</f>
        <v/>
      </c>
      <c r="E865" s="4"/>
      <c r="F865" s="12"/>
      <c r="G865" s="4"/>
      <c r="H865" s="13" t="str">
        <f aca="false">IF(OR(N(C865)=0,N(F865)=0),"",C865*F865)</f>
        <v/>
      </c>
      <c r="I865" s="4"/>
      <c r="J865" s="11" t="str">
        <f aca="false">IF(K865="","",IF(N(C865)&lt;=0,"Informe a quantidade",IF(IFERROR(INDEX(INVENTÁRIO!$B$2:$B$801,MATCH(K865,INVENTÁRIO!$A$2:$A$801,0)),"")="(sem nome)","Carta fora dos decks: digite o nome na coluna I (opcional)","")))</f>
        <v/>
      </c>
      <c r="K865" s="11" t="str">
        <f aca="false">UPPER(TRIM(SUBSTITUTE(B865&amp;"",CHAR(160)," ")))</f>
        <v/>
      </c>
      <c r="L865" s="11" t="str">
        <f aca="false">IF(AND(K865&lt;&gt;"",TRIM(I865&amp;"")&lt;&gt;""),K865,"")</f>
        <v/>
      </c>
    </row>
    <row r="866" customFormat="false" ht="15" hidden="false" customHeight="false" outlineLevel="0" collapsed="false">
      <c r="A866" s="9"/>
      <c r="B866" s="4"/>
      <c r="C866" s="10"/>
      <c r="D866" s="11" t="str">
        <f aca="false">IF(K866="","",IFERROR(INDEX(DECKS!$C$2:$C$1201,MATCH(K866,DECKS!$B$2:$B$1201,0)),TRIM(I866&amp;"")))</f>
        <v/>
      </c>
      <c r="E866" s="4"/>
      <c r="F866" s="12"/>
      <c r="G866" s="4"/>
      <c r="H866" s="13" t="str">
        <f aca="false">IF(OR(N(C866)=0,N(F866)=0),"",C866*F866)</f>
        <v/>
      </c>
      <c r="I866" s="4"/>
      <c r="J866" s="11" t="str">
        <f aca="false">IF(K866="","",IF(N(C866)&lt;=0,"Informe a quantidade",IF(IFERROR(INDEX(INVENTÁRIO!$B$2:$B$801,MATCH(K866,INVENTÁRIO!$A$2:$A$801,0)),"")="(sem nome)","Carta fora dos decks: digite o nome na coluna I (opcional)","")))</f>
        <v/>
      </c>
      <c r="K866" s="11" t="str">
        <f aca="false">UPPER(TRIM(SUBSTITUTE(B866&amp;"",CHAR(160)," ")))</f>
        <v/>
      </c>
      <c r="L866" s="11" t="str">
        <f aca="false">IF(AND(K866&lt;&gt;"",TRIM(I866&amp;"")&lt;&gt;""),K866,"")</f>
        <v/>
      </c>
    </row>
    <row r="867" customFormat="false" ht="15" hidden="false" customHeight="false" outlineLevel="0" collapsed="false">
      <c r="A867" s="9"/>
      <c r="B867" s="4"/>
      <c r="C867" s="10"/>
      <c r="D867" s="11" t="str">
        <f aca="false">IF(K867="","",IFERROR(INDEX(DECKS!$C$2:$C$1201,MATCH(K867,DECKS!$B$2:$B$1201,0)),TRIM(I867&amp;"")))</f>
        <v/>
      </c>
      <c r="E867" s="4"/>
      <c r="F867" s="12"/>
      <c r="G867" s="4"/>
      <c r="H867" s="13" t="str">
        <f aca="false">IF(OR(N(C867)=0,N(F867)=0),"",C867*F867)</f>
        <v/>
      </c>
      <c r="I867" s="4"/>
      <c r="J867" s="11" t="str">
        <f aca="false">IF(K867="","",IF(N(C867)&lt;=0,"Informe a quantidade",IF(IFERROR(INDEX(INVENTÁRIO!$B$2:$B$801,MATCH(K867,INVENTÁRIO!$A$2:$A$801,0)),"")="(sem nome)","Carta fora dos decks: digite o nome na coluna I (opcional)","")))</f>
        <v/>
      </c>
      <c r="K867" s="11" t="str">
        <f aca="false">UPPER(TRIM(SUBSTITUTE(B867&amp;"",CHAR(160)," ")))</f>
        <v/>
      </c>
      <c r="L867" s="11" t="str">
        <f aca="false">IF(AND(K867&lt;&gt;"",TRIM(I867&amp;"")&lt;&gt;""),K867,"")</f>
        <v/>
      </c>
    </row>
    <row r="868" customFormat="false" ht="15" hidden="false" customHeight="false" outlineLevel="0" collapsed="false">
      <c r="A868" s="9"/>
      <c r="B868" s="4"/>
      <c r="C868" s="10"/>
      <c r="D868" s="11" t="str">
        <f aca="false">IF(K868="","",IFERROR(INDEX(DECKS!$C$2:$C$1201,MATCH(K868,DECKS!$B$2:$B$1201,0)),TRIM(I868&amp;"")))</f>
        <v/>
      </c>
      <c r="E868" s="4"/>
      <c r="F868" s="12"/>
      <c r="G868" s="4"/>
      <c r="H868" s="13" t="str">
        <f aca="false">IF(OR(N(C868)=0,N(F868)=0),"",C868*F868)</f>
        <v/>
      </c>
      <c r="I868" s="4"/>
      <c r="J868" s="11" t="str">
        <f aca="false">IF(K868="","",IF(N(C868)&lt;=0,"Informe a quantidade",IF(IFERROR(INDEX(INVENTÁRIO!$B$2:$B$801,MATCH(K868,INVENTÁRIO!$A$2:$A$801,0)),"")="(sem nome)","Carta fora dos decks: digite o nome na coluna I (opcional)","")))</f>
        <v/>
      </c>
      <c r="K868" s="11" t="str">
        <f aca="false">UPPER(TRIM(SUBSTITUTE(B868&amp;"",CHAR(160)," ")))</f>
        <v/>
      </c>
      <c r="L868" s="11" t="str">
        <f aca="false">IF(AND(K868&lt;&gt;"",TRIM(I868&amp;"")&lt;&gt;""),K868,"")</f>
        <v/>
      </c>
    </row>
    <row r="869" customFormat="false" ht="15" hidden="false" customHeight="false" outlineLevel="0" collapsed="false">
      <c r="A869" s="9"/>
      <c r="B869" s="4"/>
      <c r="C869" s="10"/>
      <c r="D869" s="11" t="str">
        <f aca="false">IF(K869="","",IFERROR(INDEX(DECKS!$C$2:$C$1201,MATCH(K869,DECKS!$B$2:$B$1201,0)),TRIM(I869&amp;"")))</f>
        <v/>
      </c>
      <c r="E869" s="4"/>
      <c r="F869" s="12"/>
      <c r="G869" s="4"/>
      <c r="H869" s="13" t="str">
        <f aca="false">IF(OR(N(C869)=0,N(F869)=0),"",C869*F869)</f>
        <v/>
      </c>
      <c r="I869" s="4"/>
      <c r="J869" s="11" t="str">
        <f aca="false">IF(K869="","",IF(N(C869)&lt;=0,"Informe a quantidade",IF(IFERROR(INDEX(INVENTÁRIO!$B$2:$B$801,MATCH(K869,INVENTÁRIO!$A$2:$A$801,0)),"")="(sem nome)","Carta fora dos decks: digite o nome na coluna I (opcional)","")))</f>
        <v/>
      </c>
      <c r="K869" s="11" t="str">
        <f aca="false">UPPER(TRIM(SUBSTITUTE(B869&amp;"",CHAR(160)," ")))</f>
        <v/>
      </c>
      <c r="L869" s="11" t="str">
        <f aca="false">IF(AND(K869&lt;&gt;"",TRIM(I869&amp;"")&lt;&gt;""),K869,"")</f>
        <v/>
      </c>
    </row>
    <row r="870" customFormat="false" ht="15" hidden="false" customHeight="false" outlineLevel="0" collapsed="false">
      <c r="A870" s="9"/>
      <c r="B870" s="4"/>
      <c r="C870" s="10"/>
      <c r="D870" s="11" t="str">
        <f aca="false">IF(K870="","",IFERROR(INDEX(DECKS!$C$2:$C$1201,MATCH(K870,DECKS!$B$2:$B$1201,0)),TRIM(I870&amp;"")))</f>
        <v/>
      </c>
      <c r="E870" s="4"/>
      <c r="F870" s="12"/>
      <c r="G870" s="4"/>
      <c r="H870" s="13" t="str">
        <f aca="false">IF(OR(N(C870)=0,N(F870)=0),"",C870*F870)</f>
        <v/>
      </c>
      <c r="I870" s="4"/>
      <c r="J870" s="11" t="str">
        <f aca="false">IF(K870="","",IF(N(C870)&lt;=0,"Informe a quantidade",IF(IFERROR(INDEX(INVENTÁRIO!$B$2:$B$801,MATCH(K870,INVENTÁRIO!$A$2:$A$801,0)),"")="(sem nome)","Carta fora dos decks: digite o nome na coluna I (opcional)","")))</f>
        <v/>
      </c>
      <c r="K870" s="11" t="str">
        <f aca="false">UPPER(TRIM(SUBSTITUTE(B870&amp;"",CHAR(160)," ")))</f>
        <v/>
      </c>
      <c r="L870" s="11" t="str">
        <f aca="false">IF(AND(K870&lt;&gt;"",TRIM(I870&amp;"")&lt;&gt;""),K870,"")</f>
        <v/>
      </c>
    </row>
    <row r="871" customFormat="false" ht="15" hidden="false" customHeight="false" outlineLevel="0" collapsed="false">
      <c r="A871" s="9"/>
      <c r="B871" s="4"/>
      <c r="C871" s="10"/>
      <c r="D871" s="11" t="str">
        <f aca="false">IF(K871="","",IFERROR(INDEX(DECKS!$C$2:$C$1201,MATCH(K871,DECKS!$B$2:$B$1201,0)),TRIM(I871&amp;"")))</f>
        <v/>
      </c>
      <c r="E871" s="4"/>
      <c r="F871" s="12"/>
      <c r="G871" s="4"/>
      <c r="H871" s="13" t="str">
        <f aca="false">IF(OR(N(C871)=0,N(F871)=0),"",C871*F871)</f>
        <v/>
      </c>
      <c r="I871" s="4"/>
      <c r="J871" s="11" t="str">
        <f aca="false">IF(K871="","",IF(N(C871)&lt;=0,"Informe a quantidade",IF(IFERROR(INDEX(INVENTÁRIO!$B$2:$B$801,MATCH(K871,INVENTÁRIO!$A$2:$A$801,0)),"")="(sem nome)","Carta fora dos decks: digite o nome na coluna I (opcional)","")))</f>
        <v/>
      </c>
      <c r="K871" s="11" t="str">
        <f aca="false">UPPER(TRIM(SUBSTITUTE(B871&amp;"",CHAR(160)," ")))</f>
        <v/>
      </c>
      <c r="L871" s="11" t="str">
        <f aca="false">IF(AND(K871&lt;&gt;"",TRIM(I871&amp;"")&lt;&gt;""),K871,"")</f>
        <v/>
      </c>
    </row>
    <row r="872" customFormat="false" ht="15" hidden="false" customHeight="false" outlineLevel="0" collapsed="false">
      <c r="A872" s="9"/>
      <c r="B872" s="4"/>
      <c r="C872" s="10"/>
      <c r="D872" s="11" t="str">
        <f aca="false">IF(K872="","",IFERROR(INDEX(DECKS!$C$2:$C$1201,MATCH(K872,DECKS!$B$2:$B$1201,0)),TRIM(I872&amp;"")))</f>
        <v/>
      </c>
      <c r="E872" s="4"/>
      <c r="F872" s="12"/>
      <c r="G872" s="4"/>
      <c r="H872" s="13" t="str">
        <f aca="false">IF(OR(N(C872)=0,N(F872)=0),"",C872*F872)</f>
        <v/>
      </c>
      <c r="I872" s="4"/>
      <c r="J872" s="11" t="str">
        <f aca="false">IF(K872="","",IF(N(C872)&lt;=0,"Informe a quantidade",IF(IFERROR(INDEX(INVENTÁRIO!$B$2:$B$801,MATCH(K872,INVENTÁRIO!$A$2:$A$801,0)),"")="(sem nome)","Carta fora dos decks: digite o nome na coluna I (opcional)","")))</f>
        <v/>
      </c>
      <c r="K872" s="11" t="str">
        <f aca="false">UPPER(TRIM(SUBSTITUTE(B872&amp;"",CHAR(160)," ")))</f>
        <v/>
      </c>
      <c r="L872" s="11" t="str">
        <f aca="false">IF(AND(K872&lt;&gt;"",TRIM(I872&amp;"")&lt;&gt;""),K872,"")</f>
        <v/>
      </c>
    </row>
    <row r="873" customFormat="false" ht="15" hidden="false" customHeight="false" outlineLevel="0" collapsed="false">
      <c r="A873" s="9"/>
      <c r="B873" s="4"/>
      <c r="C873" s="10"/>
      <c r="D873" s="11" t="str">
        <f aca="false">IF(K873="","",IFERROR(INDEX(DECKS!$C$2:$C$1201,MATCH(K873,DECKS!$B$2:$B$1201,0)),TRIM(I873&amp;"")))</f>
        <v/>
      </c>
      <c r="E873" s="4"/>
      <c r="F873" s="12"/>
      <c r="G873" s="4"/>
      <c r="H873" s="13" t="str">
        <f aca="false">IF(OR(N(C873)=0,N(F873)=0),"",C873*F873)</f>
        <v/>
      </c>
      <c r="I873" s="4"/>
      <c r="J873" s="11" t="str">
        <f aca="false">IF(K873="","",IF(N(C873)&lt;=0,"Informe a quantidade",IF(IFERROR(INDEX(INVENTÁRIO!$B$2:$B$801,MATCH(K873,INVENTÁRIO!$A$2:$A$801,0)),"")="(sem nome)","Carta fora dos decks: digite o nome na coluna I (opcional)","")))</f>
        <v/>
      </c>
      <c r="K873" s="11" t="str">
        <f aca="false">UPPER(TRIM(SUBSTITUTE(B873&amp;"",CHAR(160)," ")))</f>
        <v/>
      </c>
      <c r="L873" s="11" t="str">
        <f aca="false">IF(AND(K873&lt;&gt;"",TRIM(I873&amp;"")&lt;&gt;""),K873,"")</f>
        <v/>
      </c>
    </row>
    <row r="874" customFormat="false" ht="15" hidden="false" customHeight="false" outlineLevel="0" collapsed="false">
      <c r="A874" s="9"/>
      <c r="B874" s="4"/>
      <c r="C874" s="10"/>
      <c r="D874" s="11" t="str">
        <f aca="false">IF(K874="","",IFERROR(INDEX(DECKS!$C$2:$C$1201,MATCH(K874,DECKS!$B$2:$B$1201,0)),TRIM(I874&amp;"")))</f>
        <v/>
      </c>
      <c r="E874" s="4"/>
      <c r="F874" s="12"/>
      <c r="G874" s="4"/>
      <c r="H874" s="13" t="str">
        <f aca="false">IF(OR(N(C874)=0,N(F874)=0),"",C874*F874)</f>
        <v/>
      </c>
      <c r="I874" s="4"/>
      <c r="J874" s="11" t="str">
        <f aca="false">IF(K874="","",IF(N(C874)&lt;=0,"Informe a quantidade",IF(IFERROR(INDEX(INVENTÁRIO!$B$2:$B$801,MATCH(K874,INVENTÁRIO!$A$2:$A$801,0)),"")="(sem nome)","Carta fora dos decks: digite o nome na coluna I (opcional)","")))</f>
        <v/>
      </c>
      <c r="K874" s="11" t="str">
        <f aca="false">UPPER(TRIM(SUBSTITUTE(B874&amp;"",CHAR(160)," ")))</f>
        <v/>
      </c>
      <c r="L874" s="11" t="str">
        <f aca="false">IF(AND(K874&lt;&gt;"",TRIM(I874&amp;"")&lt;&gt;""),K874,"")</f>
        <v/>
      </c>
    </row>
    <row r="875" customFormat="false" ht="15" hidden="false" customHeight="false" outlineLevel="0" collapsed="false">
      <c r="A875" s="9"/>
      <c r="B875" s="4"/>
      <c r="C875" s="10"/>
      <c r="D875" s="11" t="str">
        <f aca="false">IF(K875="","",IFERROR(INDEX(DECKS!$C$2:$C$1201,MATCH(K875,DECKS!$B$2:$B$1201,0)),TRIM(I875&amp;"")))</f>
        <v/>
      </c>
      <c r="E875" s="4"/>
      <c r="F875" s="12"/>
      <c r="G875" s="4"/>
      <c r="H875" s="13" t="str">
        <f aca="false">IF(OR(N(C875)=0,N(F875)=0),"",C875*F875)</f>
        <v/>
      </c>
      <c r="I875" s="4"/>
      <c r="J875" s="11" t="str">
        <f aca="false">IF(K875="","",IF(N(C875)&lt;=0,"Informe a quantidade",IF(IFERROR(INDEX(INVENTÁRIO!$B$2:$B$801,MATCH(K875,INVENTÁRIO!$A$2:$A$801,0)),"")="(sem nome)","Carta fora dos decks: digite o nome na coluna I (opcional)","")))</f>
        <v/>
      </c>
      <c r="K875" s="11" t="str">
        <f aca="false">UPPER(TRIM(SUBSTITUTE(B875&amp;"",CHAR(160)," ")))</f>
        <v/>
      </c>
      <c r="L875" s="11" t="str">
        <f aca="false">IF(AND(K875&lt;&gt;"",TRIM(I875&amp;"")&lt;&gt;""),K875,"")</f>
        <v/>
      </c>
    </row>
    <row r="876" customFormat="false" ht="15" hidden="false" customHeight="false" outlineLevel="0" collapsed="false">
      <c r="A876" s="9"/>
      <c r="B876" s="4"/>
      <c r="C876" s="10"/>
      <c r="D876" s="11" t="str">
        <f aca="false">IF(K876="","",IFERROR(INDEX(DECKS!$C$2:$C$1201,MATCH(K876,DECKS!$B$2:$B$1201,0)),TRIM(I876&amp;"")))</f>
        <v/>
      </c>
      <c r="E876" s="4"/>
      <c r="F876" s="12"/>
      <c r="G876" s="4"/>
      <c r="H876" s="13" t="str">
        <f aca="false">IF(OR(N(C876)=0,N(F876)=0),"",C876*F876)</f>
        <v/>
      </c>
      <c r="I876" s="4"/>
      <c r="J876" s="11" t="str">
        <f aca="false">IF(K876="","",IF(N(C876)&lt;=0,"Informe a quantidade",IF(IFERROR(INDEX(INVENTÁRIO!$B$2:$B$801,MATCH(K876,INVENTÁRIO!$A$2:$A$801,0)),"")="(sem nome)","Carta fora dos decks: digite o nome na coluna I (opcional)","")))</f>
        <v/>
      </c>
      <c r="K876" s="11" t="str">
        <f aca="false">UPPER(TRIM(SUBSTITUTE(B876&amp;"",CHAR(160)," ")))</f>
        <v/>
      </c>
      <c r="L876" s="11" t="str">
        <f aca="false">IF(AND(K876&lt;&gt;"",TRIM(I876&amp;"")&lt;&gt;""),K876,"")</f>
        <v/>
      </c>
    </row>
    <row r="877" customFormat="false" ht="15" hidden="false" customHeight="false" outlineLevel="0" collapsed="false">
      <c r="A877" s="9"/>
      <c r="B877" s="4"/>
      <c r="C877" s="10"/>
      <c r="D877" s="11" t="str">
        <f aca="false">IF(K877="","",IFERROR(INDEX(DECKS!$C$2:$C$1201,MATCH(K877,DECKS!$B$2:$B$1201,0)),TRIM(I877&amp;"")))</f>
        <v/>
      </c>
      <c r="E877" s="4"/>
      <c r="F877" s="12"/>
      <c r="G877" s="4"/>
      <c r="H877" s="13" t="str">
        <f aca="false">IF(OR(N(C877)=0,N(F877)=0),"",C877*F877)</f>
        <v/>
      </c>
      <c r="I877" s="4"/>
      <c r="J877" s="11" t="str">
        <f aca="false">IF(K877="","",IF(N(C877)&lt;=0,"Informe a quantidade",IF(IFERROR(INDEX(INVENTÁRIO!$B$2:$B$801,MATCH(K877,INVENTÁRIO!$A$2:$A$801,0)),"")="(sem nome)","Carta fora dos decks: digite o nome na coluna I (opcional)","")))</f>
        <v/>
      </c>
      <c r="K877" s="11" t="str">
        <f aca="false">UPPER(TRIM(SUBSTITUTE(B877&amp;"",CHAR(160)," ")))</f>
        <v/>
      </c>
      <c r="L877" s="11" t="str">
        <f aca="false">IF(AND(K877&lt;&gt;"",TRIM(I877&amp;"")&lt;&gt;""),K877,"")</f>
        <v/>
      </c>
    </row>
    <row r="878" customFormat="false" ht="15" hidden="false" customHeight="false" outlineLevel="0" collapsed="false">
      <c r="A878" s="9"/>
      <c r="B878" s="4"/>
      <c r="C878" s="10"/>
      <c r="D878" s="11" t="str">
        <f aca="false">IF(K878="","",IFERROR(INDEX(DECKS!$C$2:$C$1201,MATCH(K878,DECKS!$B$2:$B$1201,0)),TRIM(I878&amp;"")))</f>
        <v/>
      </c>
      <c r="E878" s="4"/>
      <c r="F878" s="12"/>
      <c r="G878" s="4"/>
      <c r="H878" s="13" t="str">
        <f aca="false">IF(OR(N(C878)=0,N(F878)=0),"",C878*F878)</f>
        <v/>
      </c>
      <c r="I878" s="4"/>
      <c r="J878" s="11" t="str">
        <f aca="false">IF(K878="","",IF(N(C878)&lt;=0,"Informe a quantidade",IF(IFERROR(INDEX(INVENTÁRIO!$B$2:$B$801,MATCH(K878,INVENTÁRIO!$A$2:$A$801,0)),"")="(sem nome)","Carta fora dos decks: digite o nome na coluna I (opcional)","")))</f>
        <v/>
      </c>
      <c r="K878" s="11" t="str">
        <f aca="false">UPPER(TRIM(SUBSTITUTE(B878&amp;"",CHAR(160)," ")))</f>
        <v/>
      </c>
      <c r="L878" s="11" t="str">
        <f aca="false">IF(AND(K878&lt;&gt;"",TRIM(I878&amp;"")&lt;&gt;""),K878,"")</f>
        <v/>
      </c>
    </row>
    <row r="879" customFormat="false" ht="15" hidden="false" customHeight="false" outlineLevel="0" collapsed="false">
      <c r="A879" s="9"/>
      <c r="B879" s="4"/>
      <c r="C879" s="10"/>
      <c r="D879" s="11" t="str">
        <f aca="false">IF(K879="","",IFERROR(INDEX(DECKS!$C$2:$C$1201,MATCH(K879,DECKS!$B$2:$B$1201,0)),TRIM(I879&amp;"")))</f>
        <v/>
      </c>
      <c r="E879" s="4"/>
      <c r="F879" s="12"/>
      <c r="G879" s="4"/>
      <c r="H879" s="13" t="str">
        <f aca="false">IF(OR(N(C879)=0,N(F879)=0),"",C879*F879)</f>
        <v/>
      </c>
      <c r="I879" s="4"/>
      <c r="J879" s="11" t="str">
        <f aca="false">IF(K879="","",IF(N(C879)&lt;=0,"Informe a quantidade",IF(IFERROR(INDEX(INVENTÁRIO!$B$2:$B$801,MATCH(K879,INVENTÁRIO!$A$2:$A$801,0)),"")="(sem nome)","Carta fora dos decks: digite o nome na coluna I (opcional)","")))</f>
        <v/>
      </c>
      <c r="K879" s="11" t="str">
        <f aca="false">UPPER(TRIM(SUBSTITUTE(B879&amp;"",CHAR(160)," ")))</f>
        <v/>
      </c>
      <c r="L879" s="11" t="str">
        <f aca="false">IF(AND(K879&lt;&gt;"",TRIM(I879&amp;"")&lt;&gt;""),K879,"")</f>
        <v/>
      </c>
    </row>
    <row r="880" customFormat="false" ht="15" hidden="false" customHeight="false" outlineLevel="0" collapsed="false">
      <c r="A880" s="9"/>
      <c r="B880" s="4"/>
      <c r="C880" s="10"/>
      <c r="D880" s="11" t="str">
        <f aca="false">IF(K880="","",IFERROR(INDEX(DECKS!$C$2:$C$1201,MATCH(K880,DECKS!$B$2:$B$1201,0)),TRIM(I880&amp;"")))</f>
        <v/>
      </c>
      <c r="E880" s="4"/>
      <c r="F880" s="12"/>
      <c r="G880" s="4"/>
      <c r="H880" s="13" t="str">
        <f aca="false">IF(OR(N(C880)=0,N(F880)=0),"",C880*F880)</f>
        <v/>
      </c>
      <c r="I880" s="4"/>
      <c r="J880" s="11" t="str">
        <f aca="false">IF(K880="","",IF(N(C880)&lt;=0,"Informe a quantidade",IF(IFERROR(INDEX(INVENTÁRIO!$B$2:$B$801,MATCH(K880,INVENTÁRIO!$A$2:$A$801,0)),"")="(sem nome)","Carta fora dos decks: digite o nome na coluna I (opcional)","")))</f>
        <v/>
      </c>
      <c r="K880" s="11" t="str">
        <f aca="false">UPPER(TRIM(SUBSTITUTE(B880&amp;"",CHAR(160)," ")))</f>
        <v/>
      </c>
      <c r="L880" s="11" t="str">
        <f aca="false">IF(AND(K880&lt;&gt;"",TRIM(I880&amp;"")&lt;&gt;""),K880,"")</f>
        <v/>
      </c>
    </row>
    <row r="881" customFormat="false" ht="15" hidden="false" customHeight="false" outlineLevel="0" collapsed="false">
      <c r="A881" s="9"/>
      <c r="B881" s="4"/>
      <c r="C881" s="10"/>
      <c r="D881" s="11" t="str">
        <f aca="false">IF(K881="","",IFERROR(INDEX(DECKS!$C$2:$C$1201,MATCH(K881,DECKS!$B$2:$B$1201,0)),TRIM(I881&amp;"")))</f>
        <v/>
      </c>
      <c r="E881" s="4"/>
      <c r="F881" s="12"/>
      <c r="G881" s="4"/>
      <c r="H881" s="13" t="str">
        <f aca="false">IF(OR(N(C881)=0,N(F881)=0),"",C881*F881)</f>
        <v/>
      </c>
      <c r="I881" s="4"/>
      <c r="J881" s="11" t="str">
        <f aca="false">IF(K881="","",IF(N(C881)&lt;=0,"Informe a quantidade",IF(IFERROR(INDEX(INVENTÁRIO!$B$2:$B$801,MATCH(K881,INVENTÁRIO!$A$2:$A$801,0)),"")="(sem nome)","Carta fora dos decks: digite o nome na coluna I (opcional)","")))</f>
        <v/>
      </c>
      <c r="K881" s="11" t="str">
        <f aca="false">UPPER(TRIM(SUBSTITUTE(B881&amp;"",CHAR(160)," ")))</f>
        <v/>
      </c>
      <c r="L881" s="11" t="str">
        <f aca="false">IF(AND(K881&lt;&gt;"",TRIM(I881&amp;"")&lt;&gt;""),K881,"")</f>
        <v/>
      </c>
    </row>
    <row r="882" customFormat="false" ht="15" hidden="false" customHeight="false" outlineLevel="0" collapsed="false">
      <c r="A882" s="9"/>
      <c r="B882" s="4"/>
      <c r="C882" s="10"/>
      <c r="D882" s="11" t="str">
        <f aca="false">IF(K882="","",IFERROR(INDEX(DECKS!$C$2:$C$1201,MATCH(K882,DECKS!$B$2:$B$1201,0)),TRIM(I882&amp;"")))</f>
        <v/>
      </c>
      <c r="E882" s="4"/>
      <c r="F882" s="12"/>
      <c r="G882" s="4"/>
      <c r="H882" s="13" t="str">
        <f aca="false">IF(OR(N(C882)=0,N(F882)=0),"",C882*F882)</f>
        <v/>
      </c>
      <c r="I882" s="4"/>
      <c r="J882" s="11" t="str">
        <f aca="false">IF(K882="","",IF(N(C882)&lt;=0,"Informe a quantidade",IF(IFERROR(INDEX(INVENTÁRIO!$B$2:$B$801,MATCH(K882,INVENTÁRIO!$A$2:$A$801,0)),"")="(sem nome)","Carta fora dos decks: digite o nome na coluna I (opcional)","")))</f>
        <v/>
      </c>
      <c r="K882" s="11" t="str">
        <f aca="false">UPPER(TRIM(SUBSTITUTE(B882&amp;"",CHAR(160)," ")))</f>
        <v/>
      </c>
      <c r="L882" s="11" t="str">
        <f aca="false">IF(AND(K882&lt;&gt;"",TRIM(I882&amp;"")&lt;&gt;""),K882,"")</f>
        <v/>
      </c>
    </row>
    <row r="883" customFormat="false" ht="15" hidden="false" customHeight="false" outlineLevel="0" collapsed="false">
      <c r="A883" s="9"/>
      <c r="B883" s="4"/>
      <c r="C883" s="10"/>
      <c r="D883" s="11" t="str">
        <f aca="false">IF(K883="","",IFERROR(INDEX(DECKS!$C$2:$C$1201,MATCH(K883,DECKS!$B$2:$B$1201,0)),TRIM(I883&amp;"")))</f>
        <v/>
      </c>
      <c r="E883" s="4"/>
      <c r="F883" s="12"/>
      <c r="G883" s="4"/>
      <c r="H883" s="13" t="str">
        <f aca="false">IF(OR(N(C883)=0,N(F883)=0),"",C883*F883)</f>
        <v/>
      </c>
      <c r="I883" s="4"/>
      <c r="J883" s="11" t="str">
        <f aca="false">IF(K883="","",IF(N(C883)&lt;=0,"Informe a quantidade",IF(IFERROR(INDEX(INVENTÁRIO!$B$2:$B$801,MATCH(K883,INVENTÁRIO!$A$2:$A$801,0)),"")="(sem nome)","Carta fora dos decks: digite o nome na coluna I (opcional)","")))</f>
        <v/>
      </c>
      <c r="K883" s="11" t="str">
        <f aca="false">UPPER(TRIM(SUBSTITUTE(B883&amp;"",CHAR(160)," ")))</f>
        <v/>
      </c>
      <c r="L883" s="11" t="str">
        <f aca="false">IF(AND(K883&lt;&gt;"",TRIM(I883&amp;"")&lt;&gt;""),K883,"")</f>
        <v/>
      </c>
    </row>
    <row r="884" customFormat="false" ht="15" hidden="false" customHeight="false" outlineLevel="0" collapsed="false">
      <c r="A884" s="9"/>
      <c r="B884" s="4"/>
      <c r="C884" s="10"/>
      <c r="D884" s="11" t="str">
        <f aca="false">IF(K884="","",IFERROR(INDEX(DECKS!$C$2:$C$1201,MATCH(K884,DECKS!$B$2:$B$1201,0)),TRIM(I884&amp;"")))</f>
        <v/>
      </c>
      <c r="E884" s="4"/>
      <c r="F884" s="12"/>
      <c r="G884" s="4"/>
      <c r="H884" s="13" t="str">
        <f aca="false">IF(OR(N(C884)=0,N(F884)=0),"",C884*F884)</f>
        <v/>
      </c>
      <c r="I884" s="4"/>
      <c r="J884" s="11" t="str">
        <f aca="false">IF(K884="","",IF(N(C884)&lt;=0,"Informe a quantidade",IF(IFERROR(INDEX(INVENTÁRIO!$B$2:$B$801,MATCH(K884,INVENTÁRIO!$A$2:$A$801,0)),"")="(sem nome)","Carta fora dos decks: digite o nome na coluna I (opcional)","")))</f>
        <v/>
      </c>
      <c r="K884" s="11" t="str">
        <f aca="false">UPPER(TRIM(SUBSTITUTE(B884&amp;"",CHAR(160)," ")))</f>
        <v/>
      </c>
      <c r="L884" s="11" t="str">
        <f aca="false">IF(AND(K884&lt;&gt;"",TRIM(I884&amp;"")&lt;&gt;""),K884,"")</f>
        <v/>
      </c>
    </row>
    <row r="885" customFormat="false" ht="15" hidden="false" customHeight="false" outlineLevel="0" collapsed="false">
      <c r="A885" s="9"/>
      <c r="B885" s="4"/>
      <c r="C885" s="10"/>
      <c r="D885" s="11" t="str">
        <f aca="false">IF(K885="","",IFERROR(INDEX(DECKS!$C$2:$C$1201,MATCH(K885,DECKS!$B$2:$B$1201,0)),TRIM(I885&amp;"")))</f>
        <v/>
      </c>
      <c r="E885" s="4"/>
      <c r="F885" s="12"/>
      <c r="G885" s="4"/>
      <c r="H885" s="13" t="str">
        <f aca="false">IF(OR(N(C885)=0,N(F885)=0),"",C885*F885)</f>
        <v/>
      </c>
      <c r="I885" s="4"/>
      <c r="J885" s="11" t="str">
        <f aca="false">IF(K885="","",IF(N(C885)&lt;=0,"Informe a quantidade",IF(IFERROR(INDEX(INVENTÁRIO!$B$2:$B$801,MATCH(K885,INVENTÁRIO!$A$2:$A$801,0)),"")="(sem nome)","Carta fora dos decks: digite o nome na coluna I (opcional)","")))</f>
        <v/>
      </c>
      <c r="K885" s="11" t="str">
        <f aca="false">UPPER(TRIM(SUBSTITUTE(B885&amp;"",CHAR(160)," ")))</f>
        <v/>
      </c>
      <c r="L885" s="11" t="str">
        <f aca="false">IF(AND(K885&lt;&gt;"",TRIM(I885&amp;"")&lt;&gt;""),K885,"")</f>
        <v/>
      </c>
    </row>
    <row r="886" customFormat="false" ht="15" hidden="false" customHeight="false" outlineLevel="0" collapsed="false">
      <c r="A886" s="9"/>
      <c r="B886" s="4"/>
      <c r="C886" s="10"/>
      <c r="D886" s="11" t="str">
        <f aca="false">IF(K886="","",IFERROR(INDEX(DECKS!$C$2:$C$1201,MATCH(K886,DECKS!$B$2:$B$1201,0)),TRIM(I886&amp;"")))</f>
        <v/>
      </c>
      <c r="E886" s="4"/>
      <c r="F886" s="12"/>
      <c r="G886" s="4"/>
      <c r="H886" s="13" t="str">
        <f aca="false">IF(OR(N(C886)=0,N(F886)=0),"",C886*F886)</f>
        <v/>
      </c>
      <c r="I886" s="4"/>
      <c r="J886" s="11" t="str">
        <f aca="false">IF(K886="","",IF(N(C886)&lt;=0,"Informe a quantidade",IF(IFERROR(INDEX(INVENTÁRIO!$B$2:$B$801,MATCH(K886,INVENTÁRIO!$A$2:$A$801,0)),"")="(sem nome)","Carta fora dos decks: digite o nome na coluna I (opcional)","")))</f>
        <v/>
      </c>
      <c r="K886" s="11" t="str">
        <f aca="false">UPPER(TRIM(SUBSTITUTE(B886&amp;"",CHAR(160)," ")))</f>
        <v/>
      </c>
      <c r="L886" s="11" t="str">
        <f aca="false">IF(AND(K886&lt;&gt;"",TRIM(I886&amp;"")&lt;&gt;""),K886,"")</f>
        <v/>
      </c>
    </row>
    <row r="887" customFormat="false" ht="15" hidden="false" customHeight="false" outlineLevel="0" collapsed="false">
      <c r="A887" s="9"/>
      <c r="B887" s="4"/>
      <c r="C887" s="10"/>
      <c r="D887" s="11" t="str">
        <f aca="false">IF(K887="","",IFERROR(INDEX(DECKS!$C$2:$C$1201,MATCH(K887,DECKS!$B$2:$B$1201,0)),TRIM(I887&amp;"")))</f>
        <v/>
      </c>
      <c r="E887" s="4"/>
      <c r="F887" s="12"/>
      <c r="G887" s="4"/>
      <c r="H887" s="13" t="str">
        <f aca="false">IF(OR(N(C887)=0,N(F887)=0),"",C887*F887)</f>
        <v/>
      </c>
      <c r="I887" s="4"/>
      <c r="J887" s="11" t="str">
        <f aca="false">IF(K887="","",IF(N(C887)&lt;=0,"Informe a quantidade",IF(IFERROR(INDEX(INVENTÁRIO!$B$2:$B$801,MATCH(K887,INVENTÁRIO!$A$2:$A$801,0)),"")="(sem nome)","Carta fora dos decks: digite o nome na coluna I (opcional)","")))</f>
        <v/>
      </c>
      <c r="K887" s="11" t="str">
        <f aca="false">UPPER(TRIM(SUBSTITUTE(B887&amp;"",CHAR(160)," ")))</f>
        <v/>
      </c>
      <c r="L887" s="11" t="str">
        <f aca="false">IF(AND(K887&lt;&gt;"",TRIM(I887&amp;"")&lt;&gt;""),K887,"")</f>
        <v/>
      </c>
    </row>
    <row r="888" customFormat="false" ht="15" hidden="false" customHeight="false" outlineLevel="0" collapsed="false">
      <c r="A888" s="9"/>
      <c r="B888" s="4"/>
      <c r="C888" s="10"/>
      <c r="D888" s="11" t="str">
        <f aca="false">IF(K888="","",IFERROR(INDEX(DECKS!$C$2:$C$1201,MATCH(K888,DECKS!$B$2:$B$1201,0)),TRIM(I888&amp;"")))</f>
        <v/>
      </c>
      <c r="E888" s="4"/>
      <c r="F888" s="12"/>
      <c r="G888" s="4"/>
      <c r="H888" s="13" t="str">
        <f aca="false">IF(OR(N(C888)=0,N(F888)=0),"",C888*F888)</f>
        <v/>
      </c>
      <c r="I888" s="4"/>
      <c r="J888" s="11" t="str">
        <f aca="false">IF(K888="","",IF(N(C888)&lt;=0,"Informe a quantidade",IF(IFERROR(INDEX(INVENTÁRIO!$B$2:$B$801,MATCH(K888,INVENTÁRIO!$A$2:$A$801,0)),"")="(sem nome)","Carta fora dos decks: digite o nome na coluna I (opcional)","")))</f>
        <v/>
      </c>
      <c r="K888" s="11" t="str">
        <f aca="false">UPPER(TRIM(SUBSTITUTE(B888&amp;"",CHAR(160)," ")))</f>
        <v/>
      </c>
      <c r="L888" s="11" t="str">
        <f aca="false">IF(AND(K888&lt;&gt;"",TRIM(I888&amp;"")&lt;&gt;""),K888,"")</f>
        <v/>
      </c>
    </row>
    <row r="889" customFormat="false" ht="15" hidden="false" customHeight="false" outlineLevel="0" collapsed="false">
      <c r="A889" s="9"/>
      <c r="B889" s="4"/>
      <c r="C889" s="10"/>
      <c r="D889" s="11" t="str">
        <f aca="false">IF(K889="","",IFERROR(INDEX(DECKS!$C$2:$C$1201,MATCH(K889,DECKS!$B$2:$B$1201,0)),TRIM(I889&amp;"")))</f>
        <v/>
      </c>
      <c r="E889" s="4"/>
      <c r="F889" s="12"/>
      <c r="G889" s="4"/>
      <c r="H889" s="13" t="str">
        <f aca="false">IF(OR(N(C889)=0,N(F889)=0),"",C889*F889)</f>
        <v/>
      </c>
      <c r="I889" s="4"/>
      <c r="J889" s="11" t="str">
        <f aca="false">IF(K889="","",IF(N(C889)&lt;=0,"Informe a quantidade",IF(IFERROR(INDEX(INVENTÁRIO!$B$2:$B$801,MATCH(K889,INVENTÁRIO!$A$2:$A$801,0)),"")="(sem nome)","Carta fora dos decks: digite o nome na coluna I (opcional)","")))</f>
        <v/>
      </c>
      <c r="K889" s="11" t="str">
        <f aca="false">UPPER(TRIM(SUBSTITUTE(B889&amp;"",CHAR(160)," ")))</f>
        <v/>
      </c>
      <c r="L889" s="11" t="str">
        <f aca="false">IF(AND(K889&lt;&gt;"",TRIM(I889&amp;"")&lt;&gt;""),K889,"")</f>
        <v/>
      </c>
    </row>
    <row r="890" customFormat="false" ht="15" hidden="false" customHeight="false" outlineLevel="0" collapsed="false">
      <c r="A890" s="9"/>
      <c r="B890" s="4"/>
      <c r="C890" s="10"/>
      <c r="D890" s="11" t="str">
        <f aca="false">IF(K890="","",IFERROR(INDEX(DECKS!$C$2:$C$1201,MATCH(K890,DECKS!$B$2:$B$1201,0)),TRIM(I890&amp;"")))</f>
        <v/>
      </c>
      <c r="E890" s="4"/>
      <c r="F890" s="12"/>
      <c r="G890" s="4"/>
      <c r="H890" s="13" t="str">
        <f aca="false">IF(OR(N(C890)=0,N(F890)=0),"",C890*F890)</f>
        <v/>
      </c>
      <c r="I890" s="4"/>
      <c r="J890" s="11" t="str">
        <f aca="false">IF(K890="","",IF(N(C890)&lt;=0,"Informe a quantidade",IF(IFERROR(INDEX(INVENTÁRIO!$B$2:$B$801,MATCH(K890,INVENTÁRIO!$A$2:$A$801,0)),"")="(sem nome)","Carta fora dos decks: digite o nome na coluna I (opcional)","")))</f>
        <v/>
      </c>
      <c r="K890" s="11" t="str">
        <f aca="false">UPPER(TRIM(SUBSTITUTE(B890&amp;"",CHAR(160)," ")))</f>
        <v/>
      </c>
      <c r="L890" s="11" t="str">
        <f aca="false">IF(AND(K890&lt;&gt;"",TRIM(I890&amp;"")&lt;&gt;""),K890,"")</f>
        <v/>
      </c>
    </row>
    <row r="891" customFormat="false" ht="15" hidden="false" customHeight="false" outlineLevel="0" collapsed="false">
      <c r="A891" s="9"/>
      <c r="B891" s="4"/>
      <c r="C891" s="10"/>
      <c r="D891" s="11" t="str">
        <f aca="false">IF(K891="","",IFERROR(INDEX(DECKS!$C$2:$C$1201,MATCH(K891,DECKS!$B$2:$B$1201,0)),TRIM(I891&amp;"")))</f>
        <v/>
      </c>
      <c r="E891" s="4"/>
      <c r="F891" s="12"/>
      <c r="G891" s="4"/>
      <c r="H891" s="13" t="str">
        <f aca="false">IF(OR(N(C891)=0,N(F891)=0),"",C891*F891)</f>
        <v/>
      </c>
      <c r="I891" s="4"/>
      <c r="J891" s="11" t="str">
        <f aca="false">IF(K891="","",IF(N(C891)&lt;=0,"Informe a quantidade",IF(IFERROR(INDEX(INVENTÁRIO!$B$2:$B$801,MATCH(K891,INVENTÁRIO!$A$2:$A$801,0)),"")="(sem nome)","Carta fora dos decks: digite o nome na coluna I (opcional)","")))</f>
        <v/>
      </c>
      <c r="K891" s="11" t="str">
        <f aca="false">UPPER(TRIM(SUBSTITUTE(B891&amp;"",CHAR(160)," ")))</f>
        <v/>
      </c>
      <c r="L891" s="11" t="str">
        <f aca="false">IF(AND(K891&lt;&gt;"",TRIM(I891&amp;"")&lt;&gt;""),K891,"")</f>
        <v/>
      </c>
    </row>
    <row r="892" customFormat="false" ht="15" hidden="false" customHeight="false" outlineLevel="0" collapsed="false">
      <c r="A892" s="9"/>
      <c r="B892" s="4"/>
      <c r="C892" s="10"/>
      <c r="D892" s="11" t="str">
        <f aca="false">IF(K892="","",IFERROR(INDEX(DECKS!$C$2:$C$1201,MATCH(K892,DECKS!$B$2:$B$1201,0)),TRIM(I892&amp;"")))</f>
        <v/>
      </c>
      <c r="E892" s="4"/>
      <c r="F892" s="12"/>
      <c r="G892" s="4"/>
      <c r="H892" s="13" t="str">
        <f aca="false">IF(OR(N(C892)=0,N(F892)=0),"",C892*F892)</f>
        <v/>
      </c>
      <c r="I892" s="4"/>
      <c r="J892" s="11" t="str">
        <f aca="false">IF(K892="","",IF(N(C892)&lt;=0,"Informe a quantidade",IF(IFERROR(INDEX(INVENTÁRIO!$B$2:$B$801,MATCH(K892,INVENTÁRIO!$A$2:$A$801,0)),"")="(sem nome)","Carta fora dos decks: digite o nome na coluna I (opcional)","")))</f>
        <v/>
      </c>
      <c r="K892" s="11" t="str">
        <f aca="false">UPPER(TRIM(SUBSTITUTE(B892&amp;"",CHAR(160)," ")))</f>
        <v/>
      </c>
      <c r="L892" s="11" t="str">
        <f aca="false">IF(AND(K892&lt;&gt;"",TRIM(I892&amp;"")&lt;&gt;""),K892,"")</f>
        <v/>
      </c>
    </row>
    <row r="893" customFormat="false" ht="15" hidden="false" customHeight="false" outlineLevel="0" collapsed="false">
      <c r="A893" s="9"/>
      <c r="B893" s="4"/>
      <c r="C893" s="10"/>
      <c r="D893" s="11" t="str">
        <f aca="false">IF(K893="","",IFERROR(INDEX(DECKS!$C$2:$C$1201,MATCH(K893,DECKS!$B$2:$B$1201,0)),TRIM(I893&amp;"")))</f>
        <v/>
      </c>
      <c r="E893" s="4"/>
      <c r="F893" s="12"/>
      <c r="G893" s="4"/>
      <c r="H893" s="13" t="str">
        <f aca="false">IF(OR(N(C893)=0,N(F893)=0),"",C893*F893)</f>
        <v/>
      </c>
      <c r="I893" s="4"/>
      <c r="J893" s="11" t="str">
        <f aca="false">IF(K893="","",IF(N(C893)&lt;=0,"Informe a quantidade",IF(IFERROR(INDEX(INVENTÁRIO!$B$2:$B$801,MATCH(K893,INVENTÁRIO!$A$2:$A$801,0)),"")="(sem nome)","Carta fora dos decks: digite o nome na coluna I (opcional)","")))</f>
        <v/>
      </c>
      <c r="K893" s="11" t="str">
        <f aca="false">UPPER(TRIM(SUBSTITUTE(B893&amp;"",CHAR(160)," ")))</f>
        <v/>
      </c>
      <c r="L893" s="11" t="str">
        <f aca="false">IF(AND(K893&lt;&gt;"",TRIM(I893&amp;"")&lt;&gt;""),K893,"")</f>
        <v/>
      </c>
    </row>
    <row r="894" customFormat="false" ht="15" hidden="false" customHeight="false" outlineLevel="0" collapsed="false">
      <c r="A894" s="9"/>
      <c r="B894" s="4"/>
      <c r="C894" s="10"/>
      <c r="D894" s="11" t="str">
        <f aca="false">IF(K894="","",IFERROR(INDEX(DECKS!$C$2:$C$1201,MATCH(K894,DECKS!$B$2:$B$1201,0)),TRIM(I894&amp;"")))</f>
        <v/>
      </c>
      <c r="E894" s="4"/>
      <c r="F894" s="12"/>
      <c r="G894" s="4"/>
      <c r="H894" s="13" t="str">
        <f aca="false">IF(OR(N(C894)=0,N(F894)=0),"",C894*F894)</f>
        <v/>
      </c>
      <c r="I894" s="4"/>
      <c r="J894" s="11" t="str">
        <f aca="false">IF(K894="","",IF(N(C894)&lt;=0,"Informe a quantidade",IF(IFERROR(INDEX(INVENTÁRIO!$B$2:$B$801,MATCH(K894,INVENTÁRIO!$A$2:$A$801,0)),"")="(sem nome)","Carta fora dos decks: digite o nome na coluna I (opcional)","")))</f>
        <v/>
      </c>
      <c r="K894" s="11" t="str">
        <f aca="false">UPPER(TRIM(SUBSTITUTE(B894&amp;"",CHAR(160)," ")))</f>
        <v/>
      </c>
      <c r="L894" s="11" t="str">
        <f aca="false">IF(AND(K894&lt;&gt;"",TRIM(I894&amp;"")&lt;&gt;""),K894,"")</f>
        <v/>
      </c>
    </row>
    <row r="895" customFormat="false" ht="15" hidden="false" customHeight="false" outlineLevel="0" collapsed="false">
      <c r="A895" s="9"/>
      <c r="B895" s="4"/>
      <c r="C895" s="10"/>
      <c r="D895" s="11" t="str">
        <f aca="false">IF(K895="","",IFERROR(INDEX(DECKS!$C$2:$C$1201,MATCH(K895,DECKS!$B$2:$B$1201,0)),TRIM(I895&amp;"")))</f>
        <v/>
      </c>
      <c r="E895" s="4"/>
      <c r="F895" s="12"/>
      <c r="G895" s="4"/>
      <c r="H895" s="13" t="str">
        <f aca="false">IF(OR(N(C895)=0,N(F895)=0),"",C895*F895)</f>
        <v/>
      </c>
      <c r="I895" s="4"/>
      <c r="J895" s="11" t="str">
        <f aca="false">IF(K895="","",IF(N(C895)&lt;=0,"Informe a quantidade",IF(IFERROR(INDEX(INVENTÁRIO!$B$2:$B$801,MATCH(K895,INVENTÁRIO!$A$2:$A$801,0)),"")="(sem nome)","Carta fora dos decks: digite o nome na coluna I (opcional)","")))</f>
        <v/>
      </c>
      <c r="K895" s="11" t="str">
        <f aca="false">UPPER(TRIM(SUBSTITUTE(B895&amp;"",CHAR(160)," ")))</f>
        <v/>
      </c>
      <c r="L895" s="11" t="str">
        <f aca="false">IF(AND(K895&lt;&gt;"",TRIM(I895&amp;"")&lt;&gt;""),K895,"")</f>
        <v/>
      </c>
    </row>
    <row r="896" customFormat="false" ht="15" hidden="false" customHeight="false" outlineLevel="0" collapsed="false">
      <c r="A896" s="9"/>
      <c r="B896" s="4"/>
      <c r="C896" s="10"/>
      <c r="D896" s="11" t="str">
        <f aca="false">IF(K896="","",IFERROR(INDEX(DECKS!$C$2:$C$1201,MATCH(K896,DECKS!$B$2:$B$1201,0)),TRIM(I896&amp;"")))</f>
        <v/>
      </c>
      <c r="E896" s="4"/>
      <c r="F896" s="12"/>
      <c r="G896" s="4"/>
      <c r="H896" s="13" t="str">
        <f aca="false">IF(OR(N(C896)=0,N(F896)=0),"",C896*F896)</f>
        <v/>
      </c>
      <c r="I896" s="4"/>
      <c r="J896" s="11" t="str">
        <f aca="false">IF(K896="","",IF(N(C896)&lt;=0,"Informe a quantidade",IF(IFERROR(INDEX(INVENTÁRIO!$B$2:$B$801,MATCH(K896,INVENTÁRIO!$A$2:$A$801,0)),"")="(sem nome)","Carta fora dos decks: digite o nome na coluna I (opcional)","")))</f>
        <v/>
      </c>
      <c r="K896" s="11" t="str">
        <f aca="false">UPPER(TRIM(SUBSTITUTE(B896&amp;"",CHAR(160)," ")))</f>
        <v/>
      </c>
      <c r="L896" s="11" t="str">
        <f aca="false">IF(AND(K896&lt;&gt;"",TRIM(I896&amp;"")&lt;&gt;""),K896,"")</f>
        <v/>
      </c>
    </row>
    <row r="897" customFormat="false" ht="15" hidden="false" customHeight="false" outlineLevel="0" collapsed="false">
      <c r="A897" s="9"/>
      <c r="B897" s="4"/>
      <c r="C897" s="10"/>
      <c r="D897" s="11" t="str">
        <f aca="false">IF(K897="","",IFERROR(INDEX(DECKS!$C$2:$C$1201,MATCH(K897,DECKS!$B$2:$B$1201,0)),TRIM(I897&amp;"")))</f>
        <v/>
      </c>
      <c r="E897" s="4"/>
      <c r="F897" s="12"/>
      <c r="G897" s="4"/>
      <c r="H897" s="13" t="str">
        <f aca="false">IF(OR(N(C897)=0,N(F897)=0),"",C897*F897)</f>
        <v/>
      </c>
      <c r="I897" s="4"/>
      <c r="J897" s="11" t="str">
        <f aca="false">IF(K897="","",IF(N(C897)&lt;=0,"Informe a quantidade",IF(IFERROR(INDEX(INVENTÁRIO!$B$2:$B$801,MATCH(K897,INVENTÁRIO!$A$2:$A$801,0)),"")="(sem nome)","Carta fora dos decks: digite o nome na coluna I (opcional)","")))</f>
        <v/>
      </c>
      <c r="K897" s="11" t="str">
        <f aca="false">UPPER(TRIM(SUBSTITUTE(B897&amp;"",CHAR(160)," ")))</f>
        <v/>
      </c>
      <c r="L897" s="11" t="str">
        <f aca="false">IF(AND(K897&lt;&gt;"",TRIM(I897&amp;"")&lt;&gt;""),K897,"")</f>
        <v/>
      </c>
    </row>
    <row r="898" customFormat="false" ht="15" hidden="false" customHeight="false" outlineLevel="0" collapsed="false">
      <c r="A898" s="9"/>
      <c r="B898" s="4"/>
      <c r="C898" s="10"/>
      <c r="D898" s="11" t="str">
        <f aca="false">IF(K898="","",IFERROR(INDEX(DECKS!$C$2:$C$1201,MATCH(K898,DECKS!$B$2:$B$1201,0)),TRIM(I898&amp;"")))</f>
        <v/>
      </c>
      <c r="E898" s="4"/>
      <c r="F898" s="12"/>
      <c r="G898" s="4"/>
      <c r="H898" s="13" t="str">
        <f aca="false">IF(OR(N(C898)=0,N(F898)=0),"",C898*F898)</f>
        <v/>
      </c>
      <c r="I898" s="4"/>
      <c r="J898" s="11" t="str">
        <f aca="false">IF(K898="","",IF(N(C898)&lt;=0,"Informe a quantidade",IF(IFERROR(INDEX(INVENTÁRIO!$B$2:$B$801,MATCH(K898,INVENTÁRIO!$A$2:$A$801,0)),"")="(sem nome)","Carta fora dos decks: digite o nome na coluna I (opcional)","")))</f>
        <v/>
      </c>
      <c r="K898" s="11" t="str">
        <f aca="false">UPPER(TRIM(SUBSTITUTE(B898&amp;"",CHAR(160)," ")))</f>
        <v/>
      </c>
      <c r="L898" s="11" t="str">
        <f aca="false">IF(AND(K898&lt;&gt;"",TRIM(I898&amp;"")&lt;&gt;""),K898,"")</f>
        <v/>
      </c>
    </row>
    <row r="899" customFormat="false" ht="15" hidden="false" customHeight="false" outlineLevel="0" collapsed="false">
      <c r="A899" s="9"/>
      <c r="B899" s="4"/>
      <c r="C899" s="10"/>
      <c r="D899" s="11" t="str">
        <f aca="false">IF(K899="","",IFERROR(INDEX(DECKS!$C$2:$C$1201,MATCH(K899,DECKS!$B$2:$B$1201,0)),TRIM(I899&amp;"")))</f>
        <v/>
      </c>
      <c r="E899" s="4"/>
      <c r="F899" s="12"/>
      <c r="G899" s="4"/>
      <c r="H899" s="13" t="str">
        <f aca="false">IF(OR(N(C899)=0,N(F899)=0),"",C899*F899)</f>
        <v/>
      </c>
      <c r="I899" s="4"/>
      <c r="J899" s="11" t="str">
        <f aca="false">IF(K899="","",IF(N(C899)&lt;=0,"Informe a quantidade",IF(IFERROR(INDEX(INVENTÁRIO!$B$2:$B$801,MATCH(K899,INVENTÁRIO!$A$2:$A$801,0)),"")="(sem nome)","Carta fora dos decks: digite o nome na coluna I (opcional)","")))</f>
        <v/>
      </c>
      <c r="K899" s="11" t="str">
        <f aca="false">UPPER(TRIM(SUBSTITUTE(B899&amp;"",CHAR(160)," ")))</f>
        <v/>
      </c>
      <c r="L899" s="11" t="str">
        <f aca="false">IF(AND(K899&lt;&gt;"",TRIM(I899&amp;"")&lt;&gt;""),K899,"")</f>
        <v/>
      </c>
    </row>
    <row r="900" customFormat="false" ht="15" hidden="false" customHeight="false" outlineLevel="0" collapsed="false">
      <c r="A900" s="9"/>
      <c r="B900" s="4"/>
      <c r="C900" s="10"/>
      <c r="D900" s="11" t="str">
        <f aca="false">IF(K900="","",IFERROR(INDEX(DECKS!$C$2:$C$1201,MATCH(K900,DECKS!$B$2:$B$1201,0)),TRIM(I900&amp;"")))</f>
        <v/>
      </c>
      <c r="E900" s="4"/>
      <c r="F900" s="12"/>
      <c r="G900" s="4"/>
      <c r="H900" s="13" t="str">
        <f aca="false">IF(OR(N(C900)=0,N(F900)=0),"",C900*F900)</f>
        <v/>
      </c>
      <c r="I900" s="4"/>
      <c r="J900" s="11" t="str">
        <f aca="false">IF(K900="","",IF(N(C900)&lt;=0,"Informe a quantidade",IF(IFERROR(INDEX(INVENTÁRIO!$B$2:$B$801,MATCH(K900,INVENTÁRIO!$A$2:$A$801,0)),"")="(sem nome)","Carta fora dos decks: digite o nome na coluna I (opcional)","")))</f>
        <v/>
      </c>
      <c r="K900" s="11" t="str">
        <f aca="false">UPPER(TRIM(SUBSTITUTE(B900&amp;"",CHAR(160)," ")))</f>
        <v/>
      </c>
      <c r="L900" s="11" t="str">
        <f aca="false">IF(AND(K900&lt;&gt;"",TRIM(I900&amp;"")&lt;&gt;""),K900,"")</f>
        <v/>
      </c>
    </row>
    <row r="901" customFormat="false" ht="15" hidden="false" customHeight="false" outlineLevel="0" collapsed="false">
      <c r="A901" s="9"/>
      <c r="B901" s="4"/>
      <c r="C901" s="10"/>
      <c r="D901" s="11" t="str">
        <f aca="false">IF(K901="","",IFERROR(INDEX(DECKS!$C$2:$C$1201,MATCH(K901,DECKS!$B$2:$B$1201,0)),TRIM(I901&amp;"")))</f>
        <v/>
      </c>
      <c r="E901" s="4"/>
      <c r="F901" s="12"/>
      <c r="G901" s="4"/>
      <c r="H901" s="13" t="str">
        <f aca="false">IF(OR(N(C901)=0,N(F901)=0),"",C901*F901)</f>
        <v/>
      </c>
      <c r="I901" s="4"/>
      <c r="J901" s="11" t="str">
        <f aca="false">IF(K901="","",IF(N(C901)&lt;=0,"Informe a quantidade",IF(IFERROR(INDEX(INVENTÁRIO!$B$2:$B$801,MATCH(K901,INVENTÁRIO!$A$2:$A$801,0)),"")="(sem nome)","Carta fora dos decks: digite o nome na coluna I (opcional)","")))</f>
        <v/>
      </c>
      <c r="K901" s="11" t="str">
        <f aca="false">UPPER(TRIM(SUBSTITUTE(B901&amp;"",CHAR(160)," ")))</f>
        <v/>
      </c>
      <c r="L901" s="11" t="str">
        <f aca="false">IF(AND(K901&lt;&gt;"",TRIM(I901&amp;"")&lt;&gt;""),K901,"")</f>
        <v/>
      </c>
    </row>
    <row r="902" customFormat="false" ht="15" hidden="false" customHeight="false" outlineLevel="0" collapsed="false">
      <c r="A902" s="9"/>
      <c r="B902" s="4"/>
      <c r="C902" s="10"/>
      <c r="D902" s="11" t="str">
        <f aca="false">IF(K902="","",IFERROR(INDEX(DECKS!$C$2:$C$1201,MATCH(K902,DECKS!$B$2:$B$1201,0)),TRIM(I902&amp;"")))</f>
        <v/>
      </c>
      <c r="E902" s="4"/>
      <c r="F902" s="12"/>
      <c r="G902" s="4"/>
      <c r="H902" s="13" t="str">
        <f aca="false">IF(OR(N(C902)=0,N(F902)=0),"",C902*F902)</f>
        <v/>
      </c>
      <c r="I902" s="4"/>
      <c r="J902" s="11" t="str">
        <f aca="false">IF(K902="","",IF(N(C902)&lt;=0,"Informe a quantidade",IF(IFERROR(INDEX(INVENTÁRIO!$B$2:$B$801,MATCH(K902,INVENTÁRIO!$A$2:$A$801,0)),"")="(sem nome)","Carta fora dos decks: digite o nome na coluna I (opcional)","")))</f>
        <v/>
      </c>
      <c r="K902" s="11" t="str">
        <f aca="false">UPPER(TRIM(SUBSTITUTE(B902&amp;"",CHAR(160)," ")))</f>
        <v/>
      </c>
      <c r="L902" s="11" t="str">
        <f aca="false">IF(AND(K902&lt;&gt;"",TRIM(I902&amp;"")&lt;&gt;""),K902,"")</f>
        <v/>
      </c>
    </row>
    <row r="903" customFormat="false" ht="15" hidden="false" customHeight="false" outlineLevel="0" collapsed="false">
      <c r="A903" s="9"/>
      <c r="B903" s="4"/>
      <c r="C903" s="10"/>
      <c r="D903" s="11" t="str">
        <f aca="false">IF(K903="","",IFERROR(INDEX(DECKS!$C$2:$C$1201,MATCH(K903,DECKS!$B$2:$B$1201,0)),TRIM(I903&amp;"")))</f>
        <v/>
      </c>
      <c r="E903" s="4"/>
      <c r="F903" s="12"/>
      <c r="G903" s="4"/>
      <c r="H903" s="13" t="str">
        <f aca="false">IF(OR(N(C903)=0,N(F903)=0),"",C903*F903)</f>
        <v/>
      </c>
      <c r="I903" s="4"/>
      <c r="J903" s="11" t="str">
        <f aca="false">IF(K903="","",IF(N(C903)&lt;=0,"Informe a quantidade",IF(IFERROR(INDEX(INVENTÁRIO!$B$2:$B$801,MATCH(K903,INVENTÁRIO!$A$2:$A$801,0)),"")="(sem nome)","Carta fora dos decks: digite o nome na coluna I (opcional)","")))</f>
        <v/>
      </c>
      <c r="K903" s="11" t="str">
        <f aca="false">UPPER(TRIM(SUBSTITUTE(B903&amp;"",CHAR(160)," ")))</f>
        <v/>
      </c>
      <c r="L903" s="11" t="str">
        <f aca="false">IF(AND(K903&lt;&gt;"",TRIM(I903&amp;"")&lt;&gt;""),K903,"")</f>
        <v/>
      </c>
    </row>
    <row r="904" customFormat="false" ht="15" hidden="false" customHeight="false" outlineLevel="0" collapsed="false">
      <c r="A904" s="9"/>
      <c r="B904" s="4"/>
      <c r="C904" s="10"/>
      <c r="D904" s="11" t="str">
        <f aca="false">IF(K904="","",IFERROR(INDEX(DECKS!$C$2:$C$1201,MATCH(K904,DECKS!$B$2:$B$1201,0)),TRIM(I904&amp;"")))</f>
        <v/>
      </c>
      <c r="E904" s="4"/>
      <c r="F904" s="12"/>
      <c r="G904" s="4"/>
      <c r="H904" s="13" t="str">
        <f aca="false">IF(OR(N(C904)=0,N(F904)=0),"",C904*F904)</f>
        <v/>
      </c>
      <c r="I904" s="4"/>
      <c r="J904" s="11" t="str">
        <f aca="false">IF(K904="","",IF(N(C904)&lt;=0,"Informe a quantidade",IF(IFERROR(INDEX(INVENTÁRIO!$B$2:$B$801,MATCH(K904,INVENTÁRIO!$A$2:$A$801,0)),"")="(sem nome)","Carta fora dos decks: digite o nome na coluna I (opcional)","")))</f>
        <v/>
      </c>
      <c r="K904" s="11" t="str">
        <f aca="false">UPPER(TRIM(SUBSTITUTE(B904&amp;"",CHAR(160)," ")))</f>
        <v/>
      </c>
      <c r="L904" s="11" t="str">
        <f aca="false">IF(AND(K904&lt;&gt;"",TRIM(I904&amp;"")&lt;&gt;""),K904,"")</f>
        <v/>
      </c>
    </row>
    <row r="905" customFormat="false" ht="15" hidden="false" customHeight="false" outlineLevel="0" collapsed="false">
      <c r="A905" s="9"/>
      <c r="B905" s="4"/>
      <c r="C905" s="10"/>
      <c r="D905" s="11" t="str">
        <f aca="false">IF(K905="","",IFERROR(INDEX(DECKS!$C$2:$C$1201,MATCH(K905,DECKS!$B$2:$B$1201,0)),TRIM(I905&amp;"")))</f>
        <v/>
      </c>
      <c r="E905" s="4"/>
      <c r="F905" s="12"/>
      <c r="G905" s="4"/>
      <c r="H905" s="13" t="str">
        <f aca="false">IF(OR(N(C905)=0,N(F905)=0),"",C905*F905)</f>
        <v/>
      </c>
      <c r="I905" s="4"/>
      <c r="J905" s="11" t="str">
        <f aca="false">IF(K905="","",IF(N(C905)&lt;=0,"Informe a quantidade",IF(IFERROR(INDEX(INVENTÁRIO!$B$2:$B$801,MATCH(K905,INVENTÁRIO!$A$2:$A$801,0)),"")="(sem nome)","Carta fora dos decks: digite o nome na coluna I (opcional)","")))</f>
        <v/>
      </c>
      <c r="K905" s="11" t="str">
        <f aca="false">UPPER(TRIM(SUBSTITUTE(B905&amp;"",CHAR(160)," ")))</f>
        <v/>
      </c>
      <c r="L905" s="11" t="str">
        <f aca="false">IF(AND(K905&lt;&gt;"",TRIM(I905&amp;"")&lt;&gt;""),K905,"")</f>
        <v/>
      </c>
    </row>
    <row r="906" customFormat="false" ht="15" hidden="false" customHeight="false" outlineLevel="0" collapsed="false">
      <c r="A906" s="9"/>
      <c r="B906" s="4"/>
      <c r="C906" s="10"/>
      <c r="D906" s="11" t="str">
        <f aca="false">IF(K906="","",IFERROR(INDEX(DECKS!$C$2:$C$1201,MATCH(K906,DECKS!$B$2:$B$1201,0)),TRIM(I906&amp;"")))</f>
        <v/>
      </c>
      <c r="E906" s="4"/>
      <c r="F906" s="12"/>
      <c r="G906" s="4"/>
      <c r="H906" s="13" t="str">
        <f aca="false">IF(OR(N(C906)=0,N(F906)=0),"",C906*F906)</f>
        <v/>
      </c>
      <c r="I906" s="4"/>
      <c r="J906" s="11" t="str">
        <f aca="false">IF(K906="","",IF(N(C906)&lt;=0,"Informe a quantidade",IF(IFERROR(INDEX(INVENTÁRIO!$B$2:$B$801,MATCH(K906,INVENTÁRIO!$A$2:$A$801,0)),"")="(sem nome)","Carta fora dos decks: digite o nome na coluna I (opcional)","")))</f>
        <v/>
      </c>
      <c r="K906" s="11" t="str">
        <f aca="false">UPPER(TRIM(SUBSTITUTE(B906&amp;"",CHAR(160)," ")))</f>
        <v/>
      </c>
      <c r="L906" s="11" t="str">
        <f aca="false">IF(AND(K906&lt;&gt;"",TRIM(I906&amp;"")&lt;&gt;""),K906,"")</f>
        <v/>
      </c>
    </row>
    <row r="907" customFormat="false" ht="15" hidden="false" customHeight="false" outlineLevel="0" collapsed="false">
      <c r="A907" s="9"/>
      <c r="B907" s="4"/>
      <c r="C907" s="10"/>
      <c r="D907" s="11" t="str">
        <f aca="false">IF(K907="","",IFERROR(INDEX(DECKS!$C$2:$C$1201,MATCH(K907,DECKS!$B$2:$B$1201,0)),TRIM(I907&amp;"")))</f>
        <v/>
      </c>
      <c r="E907" s="4"/>
      <c r="F907" s="12"/>
      <c r="G907" s="4"/>
      <c r="H907" s="13" t="str">
        <f aca="false">IF(OR(N(C907)=0,N(F907)=0),"",C907*F907)</f>
        <v/>
      </c>
      <c r="I907" s="4"/>
      <c r="J907" s="11" t="str">
        <f aca="false">IF(K907="","",IF(N(C907)&lt;=0,"Informe a quantidade",IF(IFERROR(INDEX(INVENTÁRIO!$B$2:$B$801,MATCH(K907,INVENTÁRIO!$A$2:$A$801,0)),"")="(sem nome)","Carta fora dos decks: digite o nome na coluna I (opcional)","")))</f>
        <v/>
      </c>
      <c r="K907" s="11" t="str">
        <f aca="false">UPPER(TRIM(SUBSTITUTE(B907&amp;"",CHAR(160)," ")))</f>
        <v/>
      </c>
      <c r="L907" s="11" t="str">
        <f aca="false">IF(AND(K907&lt;&gt;"",TRIM(I907&amp;"")&lt;&gt;""),K907,"")</f>
        <v/>
      </c>
    </row>
    <row r="908" customFormat="false" ht="15" hidden="false" customHeight="false" outlineLevel="0" collapsed="false">
      <c r="A908" s="9"/>
      <c r="B908" s="4"/>
      <c r="C908" s="10"/>
      <c r="D908" s="11" t="str">
        <f aca="false">IF(K908="","",IFERROR(INDEX(DECKS!$C$2:$C$1201,MATCH(K908,DECKS!$B$2:$B$1201,0)),TRIM(I908&amp;"")))</f>
        <v/>
      </c>
      <c r="E908" s="4"/>
      <c r="F908" s="12"/>
      <c r="G908" s="4"/>
      <c r="H908" s="13" t="str">
        <f aca="false">IF(OR(N(C908)=0,N(F908)=0),"",C908*F908)</f>
        <v/>
      </c>
      <c r="I908" s="4"/>
      <c r="J908" s="11" t="str">
        <f aca="false">IF(K908="","",IF(N(C908)&lt;=0,"Informe a quantidade",IF(IFERROR(INDEX(INVENTÁRIO!$B$2:$B$801,MATCH(K908,INVENTÁRIO!$A$2:$A$801,0)),"")="(sem nome)","Carta fora dos decks: digite o nome na coluna I (opcional)","")))</f>
        <v/>
      </c>
      <c r="K908" s="11" t="str">
        <f aca="false">UPPER(TRIM(SUBSTITUTE(B908&amp;"",CHAR(160)," ")))</f>
        <v/>
      </c>
      <c r="L908" s="11" t="str">
        <f aca="false">IF(AND(K908&lt;&gt;"",TRIM(I908&amp;"")&lt;&gt;""),K908,"")</f>
        <v/>
      </c>
    </row>
    <row r="909" customFormat="false" ht="15" hidden="false" customHeight="false" outlineLevel="0" collapsed="false">
      <c r="A909" s="9"/>
      <c r="B909" s="4"/>
      <c r="C909" s="10"/>
      <c r="D909" s="11" t="str">
        <f aca="false">IF(K909="","",IFERROR(INDEX(DECKS!$C$2:$C$1201,MATCH(K909,DECKS!$B$2:$B$1201,0)),TRIM(I909&amp;"")))</f>
        <v/>
      </c>
      <c r="E909" s="4"/>
      <c r="F909" s="12"/>
      <c r="G909" s="4"/>
      <c r="H909" s="13" t="str">
        <f aca="false">IF(OR(N(C909)=0,N(F909)=0),"",C909*F909)</f>
        <v/>
      </c>
      <c r="I909" s="4"/>
      <c r="J909" s="11" t="str">
        <f aca="false">IF(K909="","",IF(N(C909)&lt;=0,"Informe a quantidade",IF(IFERROR(INDEX(INVENTÁRIO!$B$2:$B$801,MATCH(K909,INVENTÁRIO!$A$2:$A$801,0)),"")="(sem nome)","Carta fora dos decks: digite o nome na coluna I (opcional)","")))</f>
        <v/>
      </c>
      <c r="K909" s="11" t="str">
        <f aca="false">UPPER(TRIM(SUBSTITUTE(B909&amp;"",CHAR(160)," ")))</f>
        <v/>
      </c>
      <c r="L909" s="11" t="str">
        <f aca="false">IF(AND(K909&lt;&gt;"",TRIM(I909&amp;"")&lt;&gt;""),K909,"")</f>
        <v/>
      </c>
    </row>
    <row r="910" customFormat="false" ht="15" hidden="false" customHeight="false" outlineLevel="0" collapsed="false">
      <c r="A910" s="9"/>
      <c r="B910" s="4"/>
      <c r="C910" s="10"/>
      <c r="D910" s="11" t="str">
        <f aca="false">IF(K910="","",IFERROR(INDEX(DECKS!$C$2:$C$1201,MATCH(K910,DECKS!$B$2:$B$1201,0)),TRIM(I910&amp;"")))</f>
        <v/>
      </c>
      <c r="E910" s="4"/>
      <c r="F910" s="12"/>
      <c r="G910" s="4"/>
      <c r="H910" s="13" t="str">
        <f aca="false">IF(OR(N(C910)=0,N(F910)=0),"",C910*F910)</f>
        <v/>
      </c>
      <c r="I910" s="4"/>
      <c r="J910" s="11" t="str">
        <f aca="false">IF(K910="","",IF(N(C910)&lt;=0,"Informe a quantidade",IF(IFERROR(INDEX(INVENTÁRIO!$B$2:$B$801,MATCH(K910,INVENTÁRIO!$A$2:$A$801,0)),"")="(sem nome)","Carta fora dos decks: digite o nome na coluna I (opcional)","")))</f>
        <v/>
      </c>
      <c r="K910" s="11" t="str">
        <f aca="false">UPPER(TRIM(SUBSTITUTE(B910&amp;"",CHAR(160)," ")))</f>
        <v/>
      </c>
      <c r="L910" s="11" t="str">
        <f aca="false">IF(AND(K910&lt;&gt;"",TRIM(I910&amp;"")&lt;&gt;""),K910,"")</f>
        <v/>
      </c>
    </row>
    <row r="911" customFormat="false" ht="15" hidden="false" customHeight="false" outlineLevel="0" collapsed="false">
      <c r="A911" s="9"/>
      <c r="B911" s="4"/>
      <c r="C911" s="10"/>
      <c r="D911" s="11" t="str">
        <f aca="false">IF(K911="","",IFERROR(INDEX(DECKS!$C$2:$C$1201,MATCH(K911,DECKS!$B$2:$B$1201,0)),TRIM(I911&amp;"")))</f>
        <v/>
      </c>
      <c r="E911" s="4"/>
      <c r="F911" s="12"/>
      <c r="G911" s="4"/>
      <c r="H911" s="13" t="str">
        <f aca="false">IF(OR(N(C911)=0,N(F911)=0),"",C911*F911)</f>
        <v/>
      </c>
      <c r="I911" s="4"/>
      <c r="J911" s="11" t="str">
        <f aca="false">IF(K911="","",IF(N(C911)&lt;=0,"Informe a quantidade",IF(IFERROR(INDEX(INVENTÁRIO!$B$2:$B$801,MATCH(K911,INVENTÁRIO!$A$2:$A$801,0)),"")="(sem nome)","Carta fora dos decks: digite o nome na coluna I (opcional)","")))</f>
        <v/>
      </c>
      <c r="K911" s="11" t="str">
        <f aca="false">UPPER(TRIM(SUBSTITUTE(B911&amp;"",CHAR(160)," ")))</f>
        <v/>
      </c>
      <c r="L911" s="11" t="str">
        <f aca="false">IF(AND(K911&lt;&gt;"",TRIM(I911&amp;"")&lt;&gt;""),K911,"")</f>
        <v/>
      </c>
    </row>
    <row r="912" customFormat="false" ht="15" hidden="false" customHeight="false" outlineLevel="0" collapsed="false">
      <c r="A912" s="9"/>
      <c r="B912" s="4"/>
      <c r="C912" s="10"/>
      <c r="D912" s="11" t="str">
        <f aca="false">IF(K912="","",IFERROR(INDEX(DECKS!$C$2:$C$1201,MATCH(K912,DECKS!$B$2:$B$1201,0)),TRIM(I912&amp;"")))</f>
        <v/>
      </c>
      <c r="E912" s="4"/>
      <c r="F912" s="12"/>
      <c r="G912" s="4"/>
      <c r="H912" s="13" t="str">
        <f aca="false">IF(OR(N(C912)=0,N(F912)=0),"",C912*F912)</f>
        <v/>
      </c>
      <c r="I912" s="4"/>
      <c r="J912" s="11" t="str">
        <f aca="false">IF(K912="","",IF(N(C912)&lt;=0,"Informe a quantidade",IF(IFERROR(INDEX(INVENTÁRIO!$B$2:$B$801,MATCH(K912,INVENTÁRIO!$A$2:$A$801,0)),"")="(sem nome)","Carta fora dos decks: digite o nome na coluna I (opcional)","")))</f>
        <v/>
      </c>
      <c r="K912" s="11" t="str">
        <f aca="false">UPPER(TRIM(SUBSTITUTE(B912&amp;"",CHAR(160)," ")))</f>
        <v/>
      </c>
      <c r="L912" s="11" t="str">
        <f aca="false">IF(AND(K912&lt;&gt;"",TRIM(I912&amp;"")&lt;&gt;""),K912,"")</f>
        <v/>
      </c>
    </row>
    <row r="913" customFormat="false" ht="15" hidden="false" customHeight="false" outlineLevel="0" collapsed="false">
      <c r="A913" s="9"/>
      <c r="B913" s="4"/>
      <c r="C913" s="10"/>
      <c r="D913" s="11" t="str">
        <f aca="false">IF(K913="","",IFERROR(INDEX(DECKS!$C$2:$C$1201,MATCH(K913,DECKS!$B$2:$B$1201,0)),TRIM(I913&amp;"")))</f>
        <v/>
      </c>
      <c r="E913" s="4"/>
      <c r="F913" s="12"/>
      <c r="G913" s="4"/>
      <c r="H913" s="13" t="str">
        <f aca="false">IF(OR(N(C913)=0,N(F913)=0),"",C913*F913)</f>
        <v/>
      </c>
      <c r="I913" s="4"/>
      <c r="J913" s="11" t="str">
        <f aca="false">IF(K913="","",IF(N(C913)&lt;=0,"Informe a quantidade",IF(IFERROR(INDEX(INVENTÁRIO!$B$2:$B$801,MATCH(K913,INVENTÁRIO!$A$2:$A$801,0)),"")="(sem nome)","Carta fora dos decks: digite o nome na coluna I (opcional)","")))</f>
        <v/>
      </c>
      <c r="K913" s="11" t="str">
        <f aca="false">UPPER(TRIM(SUBSTITUTE(B913&amp;"",CHAR(160)," ")))</f>
        <v/>
      </c>
      <c r="L913" s="11" t="str">
        <f aca="false">IF(AND(K913&lt;&gt;"",TRIM(I913&amp;"")&lt;&gt;""),K913,"")</f>
        <v/>
      </c>
    </row>
    <row r="914" customFormat="false" ht="15" hidden="false" customHeight="false" outlineLevel="0" collapsed="false">
      <c r="A914" s="9"/>
      <c r="B914" s="4"/>
      <c r="C914" s="10"/>
      <c r="D914" s="11" t="str">
        <f aca="false">IF(K914="","",IFERROR(INDEX(DECKS!$C$2:$C$1201,MATCH(K914,DECKS!$B$2:$B$1201,0)),TRIM(I914&amp;"")))</f>
        <v/>
      </c>
      <c r="E914" s="4"/>
      <c r="F914" s="12"/>
      <c r="G914" s="4"/>
      <c r="H914" s="13" t="str">
        <f aca="false">IF(OR(N(C914)=0,N(F914)=0),"",C914*F914)</f>
        <v/>
      </c>
      <c r="I914" s="4"/>
      <c r="J914" s="11" t="str">
        <f aca="false">IF(K914="","",IF(N(C914)&lt;=0,"Informe a quantidade",IF(IFERROR(INDEX(INVENTÁRIO!$B$2:$B$801,MATCH(K914,INVENTÁRIO!$A$2:$A$801,0)),"")="(sem nome)","Carta fora dos decks: digite o nome na coluna I (opcional)","")))</f>
        <v/>
      </c>
      <c r="K914" s="11" t="str">
        <f aca="false">UPPER(TRIM(SUBSTITUTE(B914&amp;"",CHAR(160)," ")))</f>
        <v/>
      </c>
      <c r="L914" s="11" t="str">
        <f aca="false">IF(AND(K914&lt;&gt;"",TRIM(I914&amp;"")&lt;&gt;""),K914,"")</f>
        <v/>
      </c>
    </row>
    <row r="915" customFormat="false" ht="15" hidden="false" customHeight="false" outlineLevel="0" collapsed="false">
      <c r="A915" s="9"/>
      <c r="B915" s="4"/>
      <c r="C915" s="10"/>
      <c r="D915" s="11" t="str">
        <f aca="false">IF(K915="","",IFERROR(INDEX(DECKS!$C$2:$C$1201,MATCH(K915,DECKS!$B$2:$B$1201,0)),TRIM(I915&amp;"")))</f>
        <v/>
      </c>
      <c r="E915" s="4"/>
      <c r="F915" s="12"/>
      <c r="G915" s="4"/>
      <c r="H915" s="13" t="str">
        <f aca="false">IF(OR(N(C915)=0,N(F915)=0),"",C915*F915)</f>
        <v/>
      </c>
      <c r="I915" s="4"/>
      <c r="J915" s="11" t="str">
        <f aca="false">IF(K915="","",IF(N(C915)&lt;=0,"Informe a quantidade",IF(IFERROR(INDEX(INVENTÁRIO!$B$2:$B$801,MATCH(K915,INVENTÁRIO!$A$2:$A$801,0)),"")="(sem nome)","Carta fora dos decks: digite o nome na coluna I (opcional)","")))</f>
        <v/>
      </c>
      <c r="K915" s="11" t="str">
        <f aca="false">UPPER(TRIM(SUBSTITUTE(B915&amp;"",CHAR(160)," ")))</f>
        <v/>
      </c>
      <c r="L915" s="11" t="str">
        <f aca="false">IF(AND(K915&lt;&gt;"",TRIM(I915&amp;"")&lt;&gt;""),K915,"")</f>
        <v/>
      </c>
    </row>
    <row r="916" customFormat="false" ht="15" hidden="false" customHeight="false" outlineLevel="0" collapsed="false">
      <c r="A916" s="9"/>
      <c r="B916" s="4"/>
      <c r="C916" s="10"/>
      <c r="D916" s="11" t="str">
        <f aca="false">IF(K916="","",IFERROR(INDEX(DECKS!$C$2:$C$1201,MATCH(K916,DECKS!$B$2:$B$1201,0)),TRIM(I916&amp;"")))</f>
        <v/>
      </c>
      <c r="E916" s="4"/>
      <c r="F916" s="12"/>
      <c r="G916" s="4"/>
      <c r="H916" s="13" t="str">
        <f aca="false">IF(OR(N(C916)=0,N(F916)=0),"",C916*F916)</f>
        <v/>
      </c>
      <c r="I916" s="4"/>
      <c r="J916" s="11" t="str">
        <f aca="false">IF(K916="","",IF(N(C916)&lt;=0,"Informe a quantidade",IF(IFERROR(INDEX(INVENTÁRIO!$B$2:$B$801,MATCH(K916,INVENTÁRIO!$A$2:$A$801,0)),"")="(sem nome)","Carta fora dos decks: digite o nome na coluna I (opcional)","")))</f>
        <v/>
      </c>
      <c r="K916" s="11" t="str">
        <f aca="false">UPPER(TRIM(SUBSTITUTE(B916&amp;"",CHAR(160)," ")))</f>
        <v/>
      </c>
      <c r="L916" s="11" t="str">
        <f aca="false">IF(AND(K916&lt;&gt;"",TRIM(I916&amp;"")&lt;&gt;""),K916,"")</f>
        <v/>
      </c>
    </row>
    <row r="917" customFormat="false" ht="15" hidden="false" customHeight="false" outlineLevel="0" collapsed="false">
      <c r="A917" s="9"/>
      <c r="B917" s="4"/>
      <c r="C917" s="10"/>
      <c r="D917" s="11" t="str">
        <f aca="false">IF(K917="","",IFERROR(INDEX(DECKS!$C$2:$C$1201,MATCH(K917,DECKS!$B$2:$B$1201,0)),TRIM(I917&amp;"")))</f>
        <v/>
      </c>
      <c r="E917" s="4"/>
      <c r="F917" s="12"/>
      <c r="G917" s="4"/>
      <c r="H917" s="13" t="str">
        <f aca="false">IF(OR(N(C917)=0,N(F917)=0),"",C917*F917)</f>
        <v/>
      </c>
      <c r="I917" s="4"/>
      <c r="J917" s="11" t="str">
        <f aca="false">IF(K917="","",IF(N(C917)&lt;=0,"Informe a quantidade",IF(IFERROR(INDEX(INVENTÁRIO!$B$2:$B$801,MATCH(K917,INVENTÁRIO!$A$2:$A$801,0)),"")="(sem nome)","Carta fora dos decks: digite o nome na coluna I (opcional)","")))</f>
        <v/>
      </c>
      <c r="K917" s="11" t="str">
        <f aca="false">UPPER(TRIM(SUBSTITUTE(B917&amp;"",CHAR(160)," ")))</f>
        <v/>
      </c>
      <c r="L917" s="11" t="str">
        <f aca="false">IF(AND(K917&lt;&gt;"",TRIM(I917&amp;"")&lt;&gt;""),K917,"")</f>
        <v/>
      </c>
    </row>
    <row r="918" customFormat="false" ht="15" hidden="false" customHeight="false" outlineLevel="0" collapsed="false">
      <c r="A918" s="9"/>
      <c r="B918" s="4"/>
      <c r="C918" s="10"/>
      <c r="D918" s="11" t="str">
        <f aca="false">IF(K918="","",IFERROR(INDEX(DECKS!$C$2:$C$1201,MATCH(K918,DECKS!$B$2:$B$1201,0)),TRIM(I918&amp;"")))</f>
        <v/>
      </c>
      <c r="E918" s="4"/>
      <c r="F918" s="12"/>
      <c r="G918" s="4"/>
      <c r="H918" s="13" t="str">
        <f aca="false">IF(OR(N(C918)=0,N(F918)=0),"",C918*F918)</f>
        <v/>
      </c>
      <c r="I918" s="4"/>
      <c r="J918" s="11" t="str">
        <f aca="false">IF(K918="","",IF(N(C918)&lt;=0,"Informe a quantidade",IF(IFERROR(INDEX(INVENTÁRIO!$B$2:$B$801,MATCH(K918,INVENTÁRIO!$A$2:$A$801,0)),"")="(sem nome)","Carta fora dos decks: digite o nome na coluna I (opcional)","")))</f>
        <v/>
      </c>
      <c r="K918" s="11" t="str">
        <f aca="false">UPPER(TRIM(SUBSTITUTE(B918&amp;"",CHAR(160)," ")))</f>
        <v/>
      </c>
      <c r="L918" s="11" t="str">
        <f aca="false">IF(AND(K918&lt;&gt;"",TRIM(I918&amp;"")&lt;&gt;""),K918,"")</f>
        <v/>
      </c>
    </row>
    <row r="919" customFormat="false" ht="15" hidden="false" customHeight="false" outlineLevel="0" collapsed="false">
      <c r="A919" s="9"/>
      <c r="B919" s="4"/>
      <c r="C919" s="10"/>
      <c r="D919" s="11" t="str">
        <f aca="false">IF(K919="","",IFERROR(INDEX(DECKS!$C$2:$C$1201,MATCH(K919,DECKS!$B$2:$B$1201,0)),TRIM(I919&amp;"")))</f>
        <v/>
      </c>
      <c r="E919" s="4"/>
      <c r="F919" s="12"/>
      <c r="G919" s="4"/>
      <c r="H919" s="13" t="str">
        <f aca="false">IF(OR(N(C919)=0,N(F919)=0),"",C919*F919)</f>
        <v/>
      </c>
      <c r="I919" s="4"/>
      <c r="J919" s="11" t="str">
        <f aca="false">IF(K919="","",IF(N(C919)&lt;=0,"Informe a quantidade",IF(IFERROR(INDEX(INVENTÁRIO!$B$2:$B$801,MATCH(K919,INVENTÁRIO!$A$2:$A$801,0)),"")="(sem nome)","Carta fora dos decks: digite o nome na coluna I (opcional)","")))</f>
        <v/>
      </c>
      <c r="K919" s="11" t="str">
        <f aca="false">UPPER(TRIM(SUBSTITUTE(B919&amp;"",CHAR(160)," ")))</f>
        <v/>
      </c>
      <c r="L919" s="11" t="str">
        <f aca="false">IF(AND(K919&lt;&gt;"",TRIM(I919&amp;"")&lt;&gt;""),K919,"")</f>
        <v/>
      </c>
    </row>
    <row r="920" customFormat="false" ht="15" hidden="false" customHeight="false" outlineLevel="0" collapsed="false">
      <c r="A920" s="9"/>
      <c r="B920" s="4"/>
      <c r="C920" s="10"/>
      <c r="D920" s="11" t="str">
        <f aca="false">IF(K920="","",IFERROR(INDEX(DECKS!$C$2:$C$1201,MATCH(K920,DECKS!$B$2:$B$1201,0)),TRIM(I920&amp;"")))</f>
        <v/>
      </c>
      <c r="E920" s="4"/>
      <c r="F920" s="12"/>
      <c r="G920" s="4"/>
      <c r="H920" s="13" t="str">
        <f aca="false">IF(OR(N(C920)=0,N(F920)=0),"",C920*F920)</f>
        <v/>
      </c>
      <c r="I920" s="4"/>
      <c r="J920" s="11" t="str">
        <f aca="false">IF(K920="","",IF(N(C920)&lt;=0,"Informe a quantidade",IF(IFERROR(INDEX(INVENTÁRIO!$B$2:$B$801,MATCH(K920,INVENTÁRIO!$A$2:$A$801,0)),"")="(sem nome)","Carta fora dos decks: digite o nome na coluna I (opcional)","")))</f>
        <v/>
      </c>
      <c r="K920" s="11" t="str">
        <f aca="false">UPPER(TRIM(SUBSTITUTE(B920&amp;"",CHAR(160)," ")))</f>
        <v/>
      </c>
      <c r="L920" s="11" t="str">
        <f aca="false">IF(AND(K920&lt;&gt;"",TRIM(I920&amp;"")&lt;&gt;""),K920,"")</f>
        <v/>
      </c>
    </row>
    <row r="921" customFormat="false" ht="15" hidden="false" customHeight="false" outlineLevel="0" collapsed="false">
      <c r="A921" s="9"/>
      <c r="B921" s="4"/>
      <c r="C921" s="10"/>
      <c r="D921" s="11" t="str">
        <f aca="false">IF(K921="","",IFERROR(INDEX(DECKS!$C$2:$C$1201,MATCH(K921,DECKS!$B$2:$B$1201,0)),TRIM(I921&amp;"")))</f>
        <v/>
      </c>
      <c r="E921" s="4"/>
      <c r="F921" s="12"/>
      <c r="G921" s="4"/>
      <c r="H921" s="13" t="str">
        <f aca="false">IF(OR(N(C921)=0,N(F921)=0),"",C921*F921)</f>
        <v/>
      </c>
      <c r="I921" s="4"/>
      <c r="J921" s="11" t="str">
        <f aca="false">IF(K921="","",IF(N(C921)&lt;=0,"Informe a quantidade",IF(IFERROR(INDEX(INVENTÁRIO!$B$2:$B$801,MATCH(K921,INVENTÁRIO!$A$2:$A$801,0)),"")="(sem nome)","Carta fora dos decks: digite o nome na coluna I (opcional)","")))</f>
        <v/>
      </c>
      <c r="K921" s="11" t="str">
        <f aca="false">UPPER(TRIM(SUBSTITUTE(B921&amp;"",CHAR(160)," ")))</f>
        <v/>
      </c>
      <c r="L921" s="11" t="str">
        <f aca="false">IF(AND(K921&lt;&gt;"",TRIM(I921&amp;"")&lt;&gt;""),K921,"")</f>
        <v/>
      </c>
    </row>
    <row r="922" customFormat="false" ht="15" hidden="false" customHeight="false" outlineLevel="0" collapsed="false">
      <c r="A922" s="9"/>
      <c r="B922" s="4"/>
      <c r="C922" s="10"/>
      <c r="D922" s="11" t="str">
        <f aca="false">IF(K922="","",IFERROR(INDEX(DECKS!$C$2:$C$1201,MATCH(K922,DECKS!$B$2:$B$1201,0)),TRIM(I922&amp;"")))</f>
        <v/>
      </c>
      <c r="E922" s="4"/>
      <c r="F922" s="12"/>
      <c r="G922" s="4"/>
      <c r="H922" s="13" t="str">
        <f aca="false">IF(OR(N(C922)=0,N(F922)=0),"",C922*F922)</f>
        <v/>
      </c>
      <c r="I922" s="4"/>
      <c r="J922" s="11" t="str">
        <f aca="false">IF(K922="","",IF(N(C922)&lt;=0,"Informe a quantidade",IF(IFERROR(INDEX(INVENTÁRIO!$B$2:$B$801,MATCH(K922,INVENTÁRIO!$A$2:$A$801,0)),"")="(sem nome)","Carta fora dos decks: digite o nome na coluna I (opcional)","")))</f>
        <v/>
      </c>
      <c r="K922" s="11" t="str">
        <f aca="false">UPPER(TRIM(SUBSTITUTE(B922&amp;"",CHAR(160)," ")))</f>
        <v/>
      </c>
      <c r="L922" s="11" t="str">
        <f aca="false">IF(AND(K922&lt;&gt;"",TRIM(I922&amp;"")&lt;&gt;""),K922,"")</f>
        <v/>
      </c>
    </row>
    <row r="923" customFormat="false" ht="15" hidden="false" customHeight="false" outlineLevel="0" collapsed="false">
      <c r="A923" s="9"/>
      <c r="B923" s="4"/>
      <c r="C923" s="10"/>
      <c r="D923" s="11" t="str">
        <f aca="false">IF(K923="","",IFERROR(INDEX(DECKS!$C$2:$C$1201,MATCH(K923,DECKS!$B$2:$B$1201,0)),TRIM(I923&amp;"")))</f>
        <v/>
      </c>
      <c r="E923" s="4"/>
      <c r="F923" s="12"/>
      <c r="G923" s="4"/>
      <c r="H923" s="13" t="str">
        <f aca="false">IF(OR(N(C923)=0,N(F923)=0),"",C923*F923)</f>
        <v/>
      </c>
      <c r="I923" s="4"/>
      <c r="J923" s="11" t="str">
        <f aca="false">IF(K923="","",IF(N(C923)&lt;=0,"Informe a quantidade",IF(IFERROR(INDEX(INVENTÁRIO!$B$2:$B$801,MATCH(K923,INVENTÁRIO!$A$2:$A$801,0)),"")="(sem nome)","Carta fora dos decks: digite o nome na coluna I (opcional)","")))</f>
        <v/>
      </c>
      <c r="K923" s="11" t="str">
        <f aca="false">UPPER(TRIM(SUBSTITUTE(B923&amp;"",CHAR(160)," ")))</f>
        <v/>
      </c>
      <c r="L923" s="11" t="str">
        <f aca="false">IF(AND(K923&lt;&gt;"",TRIM(I923&amp;"")&lt;&gt;""),K923,"")</f>
        <v/>
      </c>
    </row>
    <row r="924" customFormat="false" ht="15" hidden="false" customHeight="false" outlineLevel="0" collapsed="false">
      <c r="A924" s="9"/>
      <c r="B924" s="4"/>
      <c r="C924" s="10"/>
      <c r="D924" s="11" t="str">
        <f aca="false">IF(K924="","",IFERROR(INDEX(DECKS!$C$2:$C$1201,MATCH(K924,DECKS!$B$2:$B$1201,0)),TRIM(I924&amp;"")))</f>
        <v/>
      </c>
      <c r="E924" s="4"/>
      <c r="F924" s="12"/>
      <c r="G924" s="4"/>
      <c r="H924" s="13" t="str">
        <f aca="false">IF(OR(N(C924)=0,N(F924)=0),"",C924*F924)</f>
        <v/>
      </c>
      <c r="I924" s="4"/>
      <c r="J924" s="11" t="str">
        <f aca="false">IF(K924="","",IF(N(C924)&lt;=0,"Informe a quantidade",IF(IFERROR(INDEX(INVENTÁRIO!$B$2:$B$801,MATCH(K924,INVENTÁRIO!$A$2:$A$801,0)),"")="(sem nome)","Carta fora dos decks: digite o nome na coluna I (opcional)","")))</f>
        <v/>
      </c>
      <c r="K924" s="11" t="str">
        <f aca="false">UPPER(TRIM(SUBSTITUTE(B924&amp;"",CHAR(160)," ")))</f>
        <v/>
      </c>
      <c r="L924" s="11" t="str">
        <f aca="false">IF(AND(K924&lt;&gt;"",TRIM(I924&amp;"")&lt;&gt;""),K924,"")</f>
        <v/>
      </c>
    </row>
    <row r="925" customFormat="false" ht="15" hidden="false" customHeight="false" outlineLevel="0" collapsed="false">
      <c r="A925" s="9"/>
      <c r="B925" s="4"/>
      <c r="C925" s="10"/>
      <c r="D925" s="11" t="str">
        <f aca="false">IF(K925="","",IFERROR(INDEX(DECKS!$C$2:$C$1201,MATCH(K925,DECKS!$B$2:$B$1201,0)),TRIM(I925&amp;"")))</f>
        <v/>
      </c>
      <c r="E925" s="4"/>
      <c r="F925" s="12"/>
      <c r="G925" s="4"/>
      <c r="H925" s="13" t="str">
        <f aca="false">IF(OR(N(C925)=0,N(F925)=0),"",C925*F925)</f>
        <v/>
      </c>
      <c r="I925" s="4"/>
      <c r="J925" s="11" t="str">
        <f aca="false">IF(K925="","",IF(N(C925)&lt;=0,"Informe a quantidade",IF(IFERROR(INDEX(INVENTÁRIO!$B$2:$B$801,MATCH(K925,INVENTÁRIO!$A$2:$A$801,0)),"")="(sem nome)","Carta fora dos decks: digite o nome na coluna I (opcional)","")))</f>
        <v/>
      </c>
      <c r="K925" s="11" t="str">
        <f aca="false">UPPER(TRIM(SUBSTITUTE(B925&amp;"",CHAR(160)," ")))</f>
        <v/>
      </c>
      <c r="L925" s="11" t="str">
        <f aca="false">IF(AND(K925&lt;&gt;"",TRIM(I925&amp;"")&lt;&gt;""),K925,"")</f>
        <v/>
      </c>
    </row>
    <row r="926" customFormat="false" ht="15" hidden="false" customHeight="false" outlineLevel="0" collapsed="false">
      <c r="A926" s="9"/>
      <c r="B926" s="4"/>
      <c r="C926" s="10"/>
      <c r="D926" s="11" t="str">
        <f aca="false">IF(K926="","",IFERROR(INDEX(DECKS!$C$2:$C$1201,MATCH(K926,DECKS!$B$2:$B$1201,0)),TRIM(I926&amp;"")))</f>
        <v/>
      </c>
      <c r="E926" s="4"/>
      <c r="F926" s="12"/>
      <c r="G926" s="4"/>
      <c r="H926" s="13" t="str">
        <f aca="false">IF(OR(N(C926)=0,N(F926)=0),"",C926*F926)</f>
        <v/>
      </c>
      <c r="I926" s="4"/>
      <c r="J926" s="11" t="str">
        <f aca="false">IF(K926="","",IF(N(C926)&lt;=0,"Informe a quantidade",IF(IFERROR(INDEX(INVENTÁRIO!$B$2:$B$801,MATCH(K926,INVENTÁRIO!$A$2:$A$801,0)),"")="(sem nome)","Carta fora dos decks: digite o nome na coluna I (opcional)","")))</f>
        <v/>
      </c>
      <c r="K926" s="11" t="str">
        <f aca="false">UPPER(TRIM(SUBSTITUTE(B926&amp;"",CHAR(160)," ")))</f>
        <v/>
      </c>
      <c r="L926" s="11" t="str">
        <f aca="false">IF(AND(K926&lt;&gt;"",TRIM(I926&amp;"")&lt;&gt;""),K926,"")</f>
        <v/>
      </c>
    </row>
    <row r="927" customFormat="false" ht="15" hidden="false" customHeight="false" outlineLevel="0" collapsed="false">
      <c r="A927" s="9"/>
      <c r="B927" s="4"/>
      <c r="C927" s="10"/>
      <c r="D927" s="11" t="str">
        <f aca="false">IF(K927="","",IFERROR(INDEX(DECKS!$C$2:$C$1201,MATCH(K927,DECKS!$B$2:$B$1201,0)),TRIM(I927&amp;"")))</f>
        <v/>
      </c>
      <c r="E927" s="4"/>
      <c r="F927" s="12"/>
      <c r="G927" s="4"/>
      <c r="H927" s="13" t="str">
        <f aca="false">IF(OR(N(C927)=0,N(F927)=0),"",C927*F927)</f>
        <v/>
      </c>
      <c r="I927" s="4"/>
      <c r="J927" s="11" t="str">
        <f aca="false">IF(K927="","",IF(N(C927)&lt;=0,"Informe a quantidade",IF(IFERROR(INDEX(INVENTÁRIO!$B$2:$B$801,MATCH(K927,INVENTÁRIO!$A$2:$A$801,0)),"")="(sem nome)","Carta fora dos decks: digite o nome na coluna I (opcional)","")))</f>
        <v/>
      </c>
      <c r="K927" s="11" t="str">
        <f aca="false">UPPER(TRIM(SUBSTITUTE(B927&amp;"",CHAR(160)," ")))</f>
        <v/>
      </c>
      <c r="L927" s="11" t="str">
        <f aca="false">IF(AND(K927&lt;&gt;"",TRIM(I927&amp;"")&lt;&gt;""),K927,"")</f>
        <v/>
      </c>
    </row>
    <row r="928" customFormat="false" ht="15" hidden="false" customHeight="false" outlineLevel="0" collapsed="false">
      <c r="A928" s="9"/>
      <c r="B928" s="4"/>
      <c r="C928" s="10"/>
      <c r="D928" s="11" t="str">
        <f aca="false">IF(K928="","",IFERROR(INDEX(DECKS!$C$2:$C$1201,MATCH(K928,DECKS!$B$2:$B$1201,0)),TRIM(I928&amp;"")))</f>
        <v/>
      </c>
      <c r="E928" s="4"/>
      <c r="F928" s="12"/>
      <c r="G928" s="4"/>
      <c r="H928" s="13" t="str">
        <f aca="false">IF(OR(N(C928)=0,N(F928)=0),"",C928*F928)</f>
        <v/>
      </c>
      <c r="I928" s="4"/>
      <c r="J928" s="11" t="str">
        <f aca="false">IF(K928="","",IF(N(C928)&lt;=0,"Informe a quantidade",IF(IFERROR(INDEX(INVENTÁRIO!$B$2:$B$801,MATCH(K928,INVENTÁRIO!$A$2:$A$801,0)),"")="(sem nome)","Carta fora dos decks: digite o nome na coluna I (opcional)","")))</f>
        <v/>
      </c>
      <c r="K928" s="11" t="str">
        <f aca="false">UPPER(TRIM(SUBSTITUTE(B928&amp;"",CHAR(160)," ")))</f>
        <v/>
      </c>
      <c r="L928" s="11" t="str">
        <f aca="false">IF(AND(K928&lt;&gt;"",TRIM(I928&amp;"")&lt;&gt;""),K928,"")</f>
        <v/>
      </c>
    </row>
    <row r="929" customFormat="false" ht="15" hidden="false" customHeight="false" outlineLevel="0" collapsed="false">
      <c r="A929" s="9"/>
      <c r="B929" s="4"/>
      <c r="C929" s="10"/>
      <c r="D929" s="11" t="str">
        <f aca="false">IF(K929="","",IFERROR(INDEX(DECKS!$C$2:$C$1201,MATCH(K929,DECKS!$B$2:$B$1201,0)),TRIM(I929&amp;"")))</f>
        <v/>
      </c>
      <c r="E929" s="4"/>
      <c r="F929" s="12"/>
      <c r="G929" s="4"/>
      <c r="H929" s="13" t="str">
        <f aca="false">IF(OR(N(C929)=0,N(F929)=0),"",C929*F929)</f>
        <v/>
      </c>
      <c r="I929" s="4"/>
      <c r="J929" s="11" t="str">
        <f aca="false">IF(K929="","",IF(N(C929)&lt;=0,"Informe a quantidade",IF(IFERROR(INDEX(INVENTÁRIO!$B$2:$B$801,MATCH(K929,INVENTÁRIO!$A$2:$A$801,0)),"")="(sem nome)","Carta fora dos decks: digite o nome na coluna I (opcional)","")))</f>
        <v/>
      </c>
      <c r="K929" s="11" t="str">
        <f aca="false">UPPER(TRIM(SUBSTITUTE(B929&amp;"",CHAR(160)," ")))</f>
        <v/>
      </c>
      <c r="L929" s="11" t="str">
        <f aca="false">IF(AND(K929&lt;&gt;"",TRIM(I929&amp;"")&lt;&gt;""),K929,"")</f>
        <v/>
      </c>
    </row>
    <row r="930" customFormat="false" ht="15" hidden="false" customHeight="false" outlineLevel="0" collapsed="false">
      <c r="A930" s="9"/>
      <c r="B930" s="4"/>
      <c r="C930" s="10"/>
      <c r="D930" s="11" t="str">
        <f aca="false">IF(K930="","",IFERROR(INDEX(DECKS!$C$2:$C$1201,MATCH(K930,DECKS!$B$2:$B$1201,0)),TRIM(I930&amp;"")))</f>
        <v/>
      </c>
      <c r="E930" s="4"/>
      <c r="F930" s="12"/>
      <c r="G930" s="4"/>
      <c r="H930" s="13" t="str">
        <f aca="false">IF(OR(N(C930)=0,N(F930)=0),"",C930*F930)</f>
        <v/>
      </c>
      <c r="I930" s="4"/>
      <c r="J930" s="11" t="str">
        <f aca="false">IF(K930="","",IF(N(C930)&lt;=0,"Informe a quantidade",IF(IFERROR(INDEX(INVENTÁRIO!$B$2:$B$801,MATCH(K930,INVENTÁRIO!$A$2:$A$801,0)),"")="(sem nome)","Carta fora dos decks: digite o nome na coluna I (opcional)","")))</f>
        <v/>
      </c>
      <c r="K930" s="11" t="str">
        <f aca="false">UPPER(TRIM(SUBSTITUTE(B930&amp;"",CHAR(160)," ")))</f>
        <v/>
      </c>
      <c r="L930" s="11" t="str">
        <f aca="false">IF(AND(K930&lt;&gt;"",TRIM(I930&amp;"")&lt;&gt;""),K930,"")</f>
        <v/>
      </c>
    </row>
    <row r="931" customFormat="false" ht="15" hidden="false" customHeight="false" outlineLevel="0" collapsed="false">
      <c r="A931" s="9"/>
      <c r="B931" s="4"/>
      <c r="C931" s="10"/>
      <c r="D931" s="11" t="str">
        <f aca="false">IF(K931="","",IFERROR(INDEX(DECKS!$C$2:$C$1201,MATCH(K931,DECKS!$B$2:$B$1201,0)),TRIM(I931&amp;"")))</f>
        <v/>
      </c>
      <c r="E931" s="4"/>
      <c r="F931" s="12"/>
      <c r="G931" s="4"/>
      <c r="H931" s="13" t="str">
        <f aca="false">IF(OR(N(C931)=0,N(F931)=0),"",C931*F931)</f>
        <v/>
      </c>
      <c r="I931" s="4"/>
      <c r="J931" s="11" t="str">
        <f aca="false">IF(K931="","",IF(N(C931)&lt;=0,"Informe a quantidade",IF(IFERROR(INDEX(INVENTÁRIO!$B$2:$B$801,MATCH(K931,INVENTÁRIO!$A$2:$A$801,0)),"")="(sem nome)","Carta fora dos decks: digite o nome na coluna I (opcional)","")))</f>
        <v/>
      </c>
      <c r="K931" s="11" t="str">
        <f aca="false">UPPER(TRIM(SUBSTITUTE(B931&amp;"",CHAR(160)," ")))</f>
        <v/>
      </c>
      <c r="L931" s="11" t="str">
        <f aca="false">IF(AND(K931&lt;&gt;"",TRIM(I931&amp;"")&lt;&gt;""),K931,"")</f>
        <v/>
      </c>
    </row>
    <row r="932" customFormat="false" ht="15" hidden="false" customHeight="false" outlineLevel="0" collapsed="false">
      <c r="A932" s="9"/>
      <c r="B932" s="4"/>
      <c r="C932" s="10"/>
      <c r="D932" s="11" t="str">
        <f aca="false">IF(K932="","",IFERROR(INDEX(DECKS!$C$2:$C$1201,MATCH(K932,DECKS!$B$2:$B$1201,0)),TRIM(I932&amp;"")))</f>
        <v/>
      </c>
      <c r="E932" s="4"/>
      <c r="F932" s="12"/>
      <c r="G932" s="4"/>
      <c r="H932" s="13" t="str">
        <f aca="false">IF(OR(N(C932)=0,N(F932)=0),"",C932*F932)</f>
        <v/>
      </c>
      <c r="I932" s="4"/>
      <c r="J932" s="11" t="str">
        <f aca="false">IF(K932="","",IF(N(C932)&lt;=0,"Informe a quantidade",IF(IFERROR(INDEX(INVENTÁRIO!$B$2:$B$801,MATCH(K932,INVENTÁRIO!$A$2:$A$801,0)),"")="(sem nome)","Carta fora dos decks: digite o nome na coluna I (opcional)","")))</f>
        <v/>
      </c>
      <c r="K932" s="11" t="str">
        <f aca="false">UPPER(TRIM(SUBSTITUTE(B932&amp;"",CHAR(160)," ")))</f>
        <v/>
      </c>
      <c r="L932" s="11" t="str">
        <f aca="false">IF(AND(K932&lt;&gt;"",TRIM(I932&amp;"")&lt;&gt;""),K932,"")</f>
        <v/>
      </c>
    </row>
    <row r="933" customFormat="false" ht="15" hidden="false" customHeight="false" outlineLevel="0" collapsed="false">
      <c r="A933" s="9"/>
      <c r="B933" s="4"/>
      <c r="C933" s="10"/>
      <c r="D933" s="11" t="str">
        <f aca="false">IF(K933="","",IFERROR(INDEX(DECKS!$C$2:$C$1201,MATCH(K933,DECKS!$B$2:$B$1201,0)),TRIM(I933&amp;"")))</f>
        <v/>
      </c>
      <c r="E933" s="4"/>
      <c r="F933" s="12"/>
      <c r="G933" s="4"/>
      <c r="H933" s="13" t="str">
        <f aca="false">IF(OR(N(C933)=0,N(F933)=0),"",C933*F933)</f>
        <v/>
      </c>
      <c r="I933" s="4"/>
      <c r="J933" s="11" t="str">
        <f aca="false">IF(K933="","",IF(N(C933)&lt;=0,"Informe a quantidade",IF(IFERROR(INDEX(INVENTÁRIO!$B$2:$B$801,MATCH(K933,INVENTÁRIO!$A$2:$A$801,0)),"")="(sem nome)","Carta fora dos decks: digite o nome na coluna I (opcional)","")))</f>
        <v/>
      </c>
      <c r="K933" s="11" t="str">
        <f aca="false">UPPER(TRIM(SUBSTITUTE(B933&amp;"",CHAR(160)," ")))</f>
        <v/>
      </c>
      <c r="L933" s="11" t="str">
        <f aca="false">IF(AND(K933&lt;&gt;"",TRIM(I933&amp;"")&lt;&gt;""),K933,"")</f>
        <v/>
      </c>
    </row>
    <row r="934" customFormat="false" ht="15" hidden="false" customHeight="false" outlineLevel="0" collapsed="false">
      <c r="A934" s="9"/>
      <c r="B934" s="4"/>
      <c r="C934" s="10"/>
      <c r="D934" s="11" t="str">
        <f aca="false">IF(K934="","",IFERROR(INDEX(DECKS!$C$2:$C$1201,MATCH(K934,DECKS!$B$2:$B$1201,0)),TRIM(I934&amp;"")))</f>
        <v/>
      </c>
      <c r="E934" s="4"/>
      <c r="F934" s="12"/>
      <c r="G934" s="4"/>
      <c r="H934" s="13" t="str">
        <f aca="false">IF(OR(N(C934)=0,N(F934)=0),"",C934*F934)</f>
        <v/>
      </c>
      <c r="I934" s="4"/>
      <c r="J934" s="11" t="str">
        <f aca="false">IF(K934="","",IF(N(C934)&lt;=0,"Informe a quantidade",IF(IFERROR(INDEX(INVENTÁRIO!$B$2:$B$801,MATCH(K934,INVENTÁRIO!$A$2:$A$801,0)),"")="(sem nome)","Carta fora dos decks: digite o nome na coluna I (opcional)","")))</f>
        <v/>
      </c>
      <c r="K934" s="11" t="str">
        <f aca="false">UPPER(TRIM(SUBSTITUTE(B934&amp;"",CHAR(160)," ")))</f>
        <v/>
      </c>
      <c r="L934" s="11" t="str">
        <f aca="false">IF(AND(K934&lt;&gt;"",TRIM(I934&amp;"")&lt;&gt;""),K934,"")</f>
        <v/>
      </c>
    </row>
    <row r="935" customFormat="false" ht="15" hidden="false" customHeight="false" outlineLevel="0" collapsed="false">
      <c r="A935" s="9"/>
      <c r="B935" s="4"/>
      <c r="C935" s="10"/>
      <c r="D935" s="11" t="str">
        <f aca="false">IF(K935="","",IFERROR(INDEX(DECKS!$C$2:$C$1201,MATCH(K935,DECKS!$B$2:$B$1201,0)),TRIM(I935&amp;"")))</f>
        <v/>
      </c>
      <c r="E935" s="4"/>
      <c r="F935" s="12"/>
      <c r="G935" s="4"/>
      <c r="H935" s="13" t="str">
        <f aca="false">IF(OR(N(C935)=0,N(F935)=0),"",C935*F935)</f>
        <v/>
      </c>
      <c r="I935" s="4"/>
      <c r="J935" s="11" t="str">
        <f aca="false">IF(K935="","",IF(N(C935)&lt;=0,"Informe a quantidade",IF(IFERROR(INDEX(INVENTÁRIO!$B$2:$B$801,MATCH(K935,INVENTÁRIO!$A$2:$A$801,0)),"")="(sem nome)","Carta fora dos decks: digite o nome na coluna I (opcional)","")))</f>
        <v/>
      </c>
      <c r="K935" s="11" t="str">
        <f aca="false">UPPER(TRIM(SUBSTITUTE(B935&amp;"",CHAR(160)," ")))</f>
        <v/>
      </c>
      <c r="L935" s="11" t="str">
        <f aca="false">IF(AND(K935&lt;&gt;"",TRIM(I935&amp;"")&lt;&gt;""),K935,"")</f>
        <v/>
      </c>
    </row>
    <row r="936" customFormat="false" ht="15" hidden="false" customHeight="false" outlineLevel="0" collapsed="false">
      <c r="A936" s="9"/>
      <c r="B936" s="4"/>
      <c r="C936" s="10"/>
      <c r="D936" s="11" t="str">
        <f aca="false">IF(K936="","",IFERROR(INDEX(DECKS!$C$2:$C$1201,MATCH(K936,DECKS!$B$2:$B$1201,0)),TRIM(I936&amp;"")))</f>
        <v/>
      </c>
      <c r="E936" s="4"/>
      <c r="F936" s="12"/>
      <c r="G936" s="4"/>
      <c r="H936" s="13" t="str">
        <f aca="false">IF(OR(N(C936)=0,N(F936)=0),"",C936*F936)</f>
        <v/>
      </c>
      <c r="I936" s="4"/>
      <c r="J936" s="11" t="str">
        <f aca="false">IF(K936="","",IF(N(C936)&lt;=0,"Informe a quantidade",IF(IFERROR(INDEX(INVENTÁRIO!$B$2:$B$801,MATCH(K936,INVENTÁRIO!$A$2:$A$801,0)),"")="(sem nome)","Carta fora dos decks: digite o nome na coluna I (opcional)","")))</f>
        <v/>
      </c>
      <c r="K936" s="11" t="str">
        <f aca="false">UPPER(TRIM(SUBSTITUTE(B936&amp;"",CHAR(160)," ")))</f>
        <v/>
      </c>
      <c r="L936" s="11" t="str">
        <f aca="false">IF(AND(K936&lt;&gt;"",TRIM(I936&amp;"")&lt;&gt;""),K936,"")</f>
        <v/>
      </c>
    </row>
    <row r="937" customFormat="false" ht="15" hidden="false" customHeight="false" outlineLevel="0" collapsed="false">
      <c r="A937" s="9"/>
      <c r="B937" s="4"/>
      <c r="C937" s="10"/>
      <c r="D937" s="11" t="str">
        <f aca="false">IF(K937="","",IFERROR(INDEX(DECKS!$C$2:$C$1201,MATCH(K937,DECKS!$B$2:$B$1201,0)),TRIM(I937&amp;"")))</f>
        <v/>
      </c>
      <c r="E937" s="4"/>
      <c r="F937" s="12"/>
      <c r="G937" s="4"/>
      <c r="H937" s="13" t="str">
        <f aca="false">IF(OR(N(C937)=0,N(F937)=0),"",C937*F937)</f>
        <v/>
      </c>
      <c r="I937" s="4"/>
      <c r="J937" s="11" t="str">
        <f aca="false">IF(K937="","",IF(N(C937)&lt;=0,"Informe a quantidade",IF(IFERROR(INDEX(INVENTÁRIO!$B$2:$B$801,MATCH(K937,INVENTÁRIO!$A$2:$A$801,0)),"")="(sem nome)","Carta fora dos decks: digite o nome na coluna I (opcional)","")))</f>
        <v/>
      </c>
      <c r="K937" s="11" t="str">
        <f aca="false">UPPER(TRIM(SUBSTITUTE(B937&amp;"",CHAR(160)," ")))</f>
        <v/>
      </c>
      <c r="L937" s="11" t="str">
        <f aca="false">IF(AND(K937&lt;&gt;"",TRIM(I937&amp;"")&lt;&gt;""),K937,"")</f>
        <v/>
      </c>
    </row>
    <row r="938" customFormat="false" ht="15" hidden="false" customHeight="false" outlineLevel="0" collapsed="false">
      <c r="A938" s="9"/>
      <c r="B938" s="4"/>
      <c r="C938" s="10"/>
      <c r="D938" s="11" t="str">
        <f aca="false">IF(K938="","",IFERROR(INDEX(DECKS!$C$2:$C$1201,MATCH(K938,DECKS!$B$2:$B$1201,0)),TRIM(I938&amp;"")))</f>
        <v/>
      </c>
      <c r="E938" s="4"/>
      <c r="F938" s="12"/>
      <c r="G938" s="4"/>
      <c r="H938" s="13" t="str">
        <f aca="false">IF(OR(N(C938)=0,N(F938)=0),"",C938*F938)</f>
        <v/>
      </c>
      <c r="I938" s="4"/>
      <c r="J938" s="11" t="str">
        <f aca="false">IF(K938="","",IF(N(C938)&lt;=0,"Informe a quantidade",IF(IFERROR(INDEX(INVENTÁRIO!$B$2:$B$801,MATCH(K938,INVENTÁRIO!$A$2:$A$801,0)),"")="(sem nome)","Carta fora dos decks: digite o nome na coluna I (opcional)","")))</f>
        <v/>
      </c>
      <c r="K938" s="11" t="str">
        <f aca="false">UPPER(TRIM(SUBSTITUTE(B938&amp;"",CHAR(160)," ")))</f>
        <v/>
      </c>
      <c r="L938" s="11" t="str">
        <f aca="false">IF(AND(K938&lt;&gt;"",TRIM(I938&amp;"")&lt;&gt;""),K938,"")</f>
        <v/>
      </c>
    </row>
    <row r="939" customFormat="false" ht="15" hidden="false" customHeight="false" outlineLevel="0" collapsed="false">
      <c r="A939" s="9"/>
      <c r="B939" s="4"/>
      <c r="C939" s="10"/>
      <c r="D939" s="11" t="str">
        <f aca="false">IF(K939="","",IFERROR(INDEX(DECKS!$C$2:$C$1201,MATCH(K939,DECKS!$B$2:$B$1201,0)),TRIM(I939&amp;"")))</f>
        <v/>
      </c>
      <c r="E939" s="4"/>
      <c r="F939" s="12"/>
      <c r="G939" s="4"/>
      <c r="H939" s="13" t="str">
        <f aca="false">IF(OR(N(C939)=0,N(F939)=0),"",C939*F939)</f>
        <v/>
      </c>
      <c r="I939" s="4"/>
      <c r="J939" s="11" t="str">
        <f aca="false">IF(K939="","",IF(N(C939)&lt;=0,"Informe a quantidade",IF(IFERROR(INDEX(INVENTÁRIO!$B$2:$B$801,MATCH(K939,INVENTÁRIO!$A$2:$A$801,0)),"")="(sem nome)","Carta fora dos decks: digite o nome na coluna I (opcional)","")))</f>
        <v/>
      </c>
      <c r="K939" s="11" t="str">
        <f aca="false">UPPER(TRIM(SUBSTITUTE(B939&amp;"",CHAR(160)," ")))</f>
        <v/>
      </c>
      <c r="L939" s="11" t="str">
        <f aca="false">IF(AND(K939&lt;&gt;"",TRIM(I939&amp;"")&lt;&gt;""),K939,"")</f>
        <v/>
      </c>
    </row>
    <row r="940" customFormat="false" ht="15" hidden="false" customHeight="false" outlineLevel="0" collapsed="false">
      <c r="A940" s="9"/>
      <c r="B940" s="4"/>
      <c r="C940" s="10"/>
      <c r="D940" s="11" t="str">
        <f aca="false">IF(K940="","",IFERROR(INDEX(DECKS!$C$2:$C$1201,MATCH(K940,DECKS!$B$2:$B$1201,0)),TRIM(I940&amp;"")))</f>
        <v/>
      </c>
      <c r="E940" s="4"/>
      <c r="F940" s="12"/>
      <c r="G940" s="4"/>
      <c r="H940" s="13" t="str">
        <f aca="false">IF(OR(N(C940)=0,N(F940)=0),"",C940*F940)</f>
        <v/>
      </c>
      <c r="I940" s="4"/>
      <c r="J940" s="11" t="str">
        <f aca="false">IF(K940="","",IF(N(C940)&lt;=0,"Informe a quantidade",IF(IFERROR(INDEX(INVENTÁRIO!$B$2:$B$801,MATCH(K940,INVENTÁRIO!$A$2:$A$801,0)),"")="(sem nome)","Carta fora dos decks: digite o nome na coluna I (opcional)","")))</f>
        <v/>
      </c>
      <c r="K940" s="11" t="str">
        <f aca="false">UPPER(TRIM(SUBSTITUTE(B940&amp;"",CHAR(160)," ")))</f>
        <v/>
      </c>
      <c r="L940" s="11" t="str">
        <f aca="false">IF(AND(K940&lt;&gt;"",TRIM(I940&amp;"")&lt;&gt;""),K940,"")</f>
        <v/>
      </c>
    </row>
    <row r="941" customFormat="false" ht="15" hidden="false" customHeight="false" outlineLevel="0" collapsed="false">
      <c r="A941" s="9"/>
      <c r="B941" s="4"/>
      <c r="C941" s="10"/>
      <c r="D941" s="11" t="str">
        <f aca="false">IF(K941="","",IFERROR(INDEX(DECKS!$C$2:$C$1201,MATCH(K941,DECKS!$B$2:$B$1201,0)),TRIM(I941&amp;"")))</f>
        <v/>
      </c>
      <c r="E941" s="4"/>
      <c r="F941" s="12"/>
      <c r="G941" s="4"/>
      <c r="H941" s="13" t="str">
        <f aca="false">IF(OR(N(C941)=0,N(F941)=0),"",C941*F941)</f>
        <v/>
      </c>
      <c r="I941" s="4"/>
      <c r="J941" s="11" t="str">
        <f aca="false">IF(K941="","",IF(N(C941)&lt;=0,"Informe a quantidade",IF(IFERROR(INDEX(INVENTÁRIO!$B$2:$B$801,MATCH(K941,INVENTÁRIO!$A$2:$A$801,0)),"")="(sem nome)","Carta fora dos decks: digite o nome na coluna I (opcional)","")))</f>
        <v/>
      </c>
      <c r="K941" s="11" t="str">
        <f aca="false">UPPER(TRIM(SUBSTITUTE(B941&amp;"",CHAR(160)," ")))</f>
        <v/>
      </c>
      <c r="L941" s="11" t="str">
        <f aca="false">IF(AND(K941&lt;&gt;"",TRIM(I941&amp;"")&lt;&gt;""),K941,"")</f>
        <v/>
      </c>
    </row>
    <row r="942" customFormat="false" ht="15" hidden="false" customHeight="false" outlineLevel="0" collapsed="false">
      <c r="A942" s="9"/>
      <c r="B942" s="4"/>
      <c r="C942" s="10"/>
      <c r="D942" s="11" t="str">
        <f aca="false">IF(K942="","",IFERROR(INDEX(DECKS!$C$2:$C$1201,MATCH(K942,DECKS!$B$2:$B$1201,0)),TRIM(I942&amp;"")))</f>
        <v/>
      </c>
      <c r="E942" s="4"/>
      <c r="F942" s="12"/>
      <c r="G942" s="4"/>
      <c r="H942" s="13" t="str">
        <f aca="false">IF(OR(N(C942)=0,N(F942)=0),"",C942*F942)</f>
        <v/>
      </c>
      <c r="I942" s="4"/>
      <c r="J942" s="11" t="str">
        <f aca="false">IF(K942="","",IF(N(C942)&lt;=0,"Informe a quantidade",IF(IFERROR(INDEX(INVENTÁRIO!$B$2:$B$801,MATCH(K942,INVENTÁRIO!$A$2:$A$801,0)),"")="(sem nome)","Carta fora dos decks: digite o nome na coluna I (opcional)","")))</f>
        <v/>
      </c>
      <c r="K942" s="11" t="str">
        <f aca="false">UPPER(TRIM(SUBSTITUTE(B942&amp;"",CHAR(160)," ")))</f>
        <v/>
      </c>
      <c r="L942" s="11" t="str">
        <f aca="false">IF(AND(K942&lt;&gt;"",TRIM(I942&amp;"")&lt;&gt;""),K942,"")</f>
        <v/>
      </c>
    </row>
    <row r="943" customFormat="false" ht="15" hidden="false" customHeight="false" outlineLevel="0" collapsed="false">
      <c r="A943" s="9"/>
      <c r="B943" s="4"/>
      <c r="C943" s="10"/>
      <c r="D943" s="11" t="str">
        <f aca="false">IF(K943="","",IFERROR(INDEX(DECKS!$C$2:$C$1201,MATCH(K943,DECKS!$B$2:$B$1201,0)),TRIM(I943&amp;"")))</f>
        <v/>
      </c>
      <c r="E943" s="4"/>
      <c r="F943" s="12"/>
      <c r="G943" s="4"/>
      <c r="H943" s="13" t="str">
        <f aca="false">IF(OR(N(C943)=0,N(F943)=0),"",C943*F943)</f>
        <v/>
      </c>
      <c r="I943" s="4"/>
      <c r="J943" s="11" t="str">
        <f aca="false">IF(K943="","",IF(N(C943)&lt;=0,"Informe a quantidade",IF(IFERROR(INDEX(INVENTÁRIO!$B$2:$B$801,MATCH(K943,INVENTÁRIO!$A$2:$A$801,0)),"")="(sem nome)","Carta fora dos decks: digite o nome na coluna I (opcional)","")))</f>
        <v/>
      </c>
      <c r="K943" s="11" t="str">
        <f aca="false">UPPER(TRIM(SUBSTITUTE(B943&amp;"",CHAR(160)," ")))</f>
        <v/>
      </c>
      <c r="L943" s="11" t="str">
        <f aca="false">IF(AND(K943&lt;&gt;"",TRIM(I943&amp;"")&lt;&gt;""),K943,"")</f>
        <v/>
      </c>
    </row>
    <row r="944" customFormat="false" ht="15" hidden="false" customHeight="false" outlineLevel="0" collapsed="false">
      <c r="A944" s="9"/>
      <c r="B944" s="4"/>
      <c r="C944" s="10"/>
      <c r="D944" s="11" t="str">
        <f aca="false">IF(K944="","",IFERROR(INDEX(DECKS!$C$2:$C$1201,MATCH(K944,DECKS!$B$2:$B$1201,0)),TRIM(I944&amp;"")))</f>
        <v/>
      </c>
      <c r="E944" s="4"/>
      <c r="F944" s="12"/>
      <c r="G944" s="4"/>
      <c r="H944" s="13" t="str">
        <f aca="false">IF(OR(N(C944)=0,N(F944)=0),"",C944*F944)</f>
        <v/>
      </c>
      <c r="I944" s="4"/>
      <c r="J944" s="11" t="str">
        <f aca="false">IF(K944="","",IF(N(C944)&lt;=0,"Informe a quantidade",IF(IFERROR(INDEX(INVENTÁRIO!$B$2:$B$801,MATCH(K944,INVENTÁRIO!$A$2:$A$801,0)),"")="(sem nome)","Carta fora dos decks: digite o nome na coluna I (opcional)","")))</f>
        <v/>
      </c>
      <c r="K944" s="11" t="str">
        <f aca="false">UPPER(TRIM(SUBSTITUTE(B944&amp;"",CHAR(160)," ")))</f>
        <v/>
      </c>
      <c r="L944" s="11" t="str">
        <f aca="false">IF(AND(K944&lt;&gt;"",TRIM(I944&amp;"")&lt;&gt;""),K944,"")</f>
        <v/>
      </c>
    </row>
    <row r="945" customFormat="false" ht="15" hidden="false" customHeight="false" outlineLevel="0" collapsed="false">
      <c r="A945" s="9"/>
      <c r="B945" s="4"/>
      <c r="C945" s="10"/>
      <c r="D945" s="11" t="str">
        <f aca="false">IF(K945="","",IFERROR(INDEX(DECKS!$C$2:$C$1201,MATCH(K945,DECKS!$B$2:$B$1201,0)),TRIM(I945&amp;"")))</f>
        <v/>
      </c>
      <c r="E945" s="4"/>
      <c r="F945" s="12"/>
      <c r="G945" s="4"/>
      <c r="H945" s="13" t="str">
        <f aca="false">IF(OR(N(C945)=0,N(F945)=0),"",C945*F945)</f>
        <v/>
      </c>
      <c r="I945" s="4"/>
      <c r="J945" s="11" t="str">
        <f aca="false">IF(K945="","",IF(N(C945)&lt;=0,"Informe a quantidade",IF(IFERROR(INDEX(INVENTÁRIO!$B$2:$B$801,MATCH(K945,INVENTÁRIO!$A$2:$A$801,0)),"")="(sem nome)","Carta fora dos decks: digite o nome na coluna I (opcional)","")))</f>
        <v/>
      </c>
      <c r="K945" s="11" t="str">
        <f aca="false">UPPER(TRIM(SUBSTITUTE(B945&amp;"",CHAR(160)," ")))</f>
        <v/>
      </c>
      <c r="L945" s="11" t="str">
        <f aca="false">IF(AND(K945&lt;&gt;"",TRIM(I945&amp;"")&lt;&gt;""),K945,"")</f>
        <v/>
      </c>
    </row>
    <row r="946" customFormat="false" ht="15" hidden="false" customHeight="false" outlineLevel="0" collapsed="false">
      <c r="A946" s="9"/>
      <c r="B946" s="4"/>
      <c r="C946" s="10"/>
      <c r="D946" s="11" t="str">
        <f aca="false">IF(K946="","",IFERROR(INDEX(DECKS!$C$2:$C$1201,MATCH(K946,DECKS!$B$2:$B$1201,0)),TRIM(I946&amp;"")))</f>
        <v/>
      </c>
      <c r="E946" s="4"/>
      <c r="F946" s="12"/>
      <c r="G946" s="4"/>
      <c r="H946" s="13" t="str">
        <f aca="false">IF(OR(N(C946)=0,N(F946)=0),"",C946*F946)</f>
        <v/>
      </c>
      <c r="I946" s="4"/>
      <c r="J946" s="11" t="str">
        <f aca="false">IF(K946="","",IF(N(C946)&lt;=0,"Informe a quantidade",IF(IFERROR(INDEX(INVENTÁRIO!$B$2:$B$801,MATCH(K946,INVENTÁRIO!$A$2:$A$801,0)),"")="(sem nome)","Carta fora dos decks: digite o nome na coluna I (opcional)","")))</f>
        <v/>
      </c>
      <c r="K946" s="11" t="str">
        <f aca="false">UPPER(TRIM(SUBSTITUTE(B946&amp;"",CHAR(160)," ")))</f>
        <v/>
      </c>
      <c r="L946" s="11" t="str">
        <f aca="false">IF(AND(K946&lt;&gt;"",TRIM(I946&amp;"")&lt;&gt;""),K946,"")</f>
        <v/>
      </c>
    </row>
    <row r="947" customFormat="false" ht="15" hidden="false" customHeight="false" outlineLevel="0" collapsed="false">
      <c r="A947" s="9"/>
      <c r="B947" s="4"/>
      <c r="C947" s="10"/>
      <c r="D947" s="11" t="str">
        <f aca="false">IF(K947="","",IFERROR(INDEX(DECKS!$C$2:$C$1201,MATCH(K947,DECKS!$B$2:$B$1201,0)),TRIM(I947&amp;"")))</f>
        <v/>
      </c>
      <c r="E947" s="4"/>
      <c r="F947" s="12"/>
      <c r="G947" s="4"/>
      <c r="H947" s="13" t="str">
        <f aca="false">IF(OR(N(C947)=0,N(F947)=0),"",C947*F947)</f>
        <v/>
      </c>
      <c r="I947" s="4"/>
      <c r="J947" s="11" t="str">
        <f aca="false">IF(K947="","",IF(N(C947)&lt;=0,"Informe a quantidade",IF(IFERROR(INDEX(INVENTÁRIO!$B$2:$B$801,MATCH(K947,INVENTÁRIO!$A$2:$A$801,0)),"")="(sem nome)","Carta fora dos decks: digite o nome na coluna I (opcional)","")))</f>
        <v/>
      </c>
      <c r="K947" s="11" t="str">
        <f aca="false">UPPER(TRIM(SUBSTITUTE(B947&amp;"",CHAR(160)," ")))</f>
        <v/>
      </c>
      <c r="L947" s="11" t="str">
        <f aca="false">IF(AND(K947&lt;&gt;"",TRIM(I947&amp;"")&lt;&gt;""),K947,"")</f>
        <v/>
      </c>
    </row>
    <row r="948" customFormat="false" ht="15" hidden="false" customHeight="false" outlineLevel="0" collapsed="false">
      <c r="A948" s="9"/>
      <c r="B948" s="4"/>
      <c r="C948" s="10"/>
      <c r="D948" s="11" t="str">
        <f aca="false">IF(K948="","",IFERROR(INDEX(DECKS!$C$2:$C$1201,MATCH(K948,DECKS!$B$2:$B$1201,0)),TRIM(I948&amp;"")))</f>
        <v/>
      </c>
      <c r="E948" s="4"/>
      <c r="F948" s="12"/>
      <c r="G948" s="4"/>
      <c r="H948" s="13" t="str">
        <f aca="false">IF(OR(N(C948)=0,N(F948)=0),"",C948*F948)</f>
        <v/>
      </c>
      <c r="I948" s="4"/>
      <c r="J948" s="11" t="str">
        <f aca="false">IF(K948="","",IF(N(C948)&lt;=0,"Informe a quantidade",IF(IFERROR(INDEX(INVENTÁRIO!$B$2:$B$801,MATCH(K948,INVENTÁRIO!$A$2:$A$801,0)),"")="(sem nome)","Carta fora dos decks: digite o nome na coluna I (opcional)","")))</f>
        <v/>
      </c>
      <c r="K948" s="11" t="str">
        <f aca="false">UPPER(TRIM(SUBSTITUTE(B948&amp;"",CHAR(160)," ")))</f>
        <v/>
      </c>
      <c r="L948" s="11" t="str">
        <f aca="false">IF(AND(K948&lt;&gt;"",TRIM(I948&amp;"")&lt;&gt;""),K948,"")</f>
        <v/>
      </c>
    </row>
    <row r="949" customFormat="false" ht="15" hidden="false" customHeight="false" outlineLevel="0" collapsed="false">
      <c r="A949" s="9"/>
      <c r="B949" s="4"/>
      <c r="C949" s="10"/>
      <c r="D949" s="11" t="str">
        <f aca="false">IF(K949="","",IFERROR(INDEX(DECKS!$C$2:$C$1201,MATCH(K949,DECKS!$B$2:$B$1201,0)),TRIM(I949&amp;"")))</f>
        <v/>
      </c>
      <c r="E949" s="4"/>
      <c r="F949" s="12"/>
      <c r="G949" s="4"/>
      <c r="H949" s="13" t="str">
        <f aca="false">IF(OR(N(C949)=0,N(F949)=0),"",C949*F949)</f>
        <v/>
      </c>
      <c r="I949" s="4"/>
      <c r="J949" s="11" t="str">
        <f aca="false">IF(K949="","",IF(N(C949)&lt;=0,"Informe a quantidade",IF(IFERROR(INDEX(INVENTÁRIO!$B$2:$B$801,MATCH(K949,INVENTÁRIO!$A$2:$A$801,0)),"")="(sem nome)","Carta fora dos decks: digite o nome na coluna I (opcional)","")))</f>
        <v/>
      </c>
      <c r="K949" s="11" t="str">
        <f aca="false">UPPER(TRIM(SUBSTITUTE(B949&amp;"",CHAR(160)," ")))</f>
        <v/>
      </c>
      <c r="L949" s="11" t="str">
        <f aca="false">IF(AND(K949&lt;&gt;"",TRIM(I949&amp;"")&lt;&gt;""),K949,"")</f>
        <v/>
      </c>
    </row>
    <row r="950" customFormat="false" ht="15" hidden="false" customHeight="false" outlineLevel="0" collapsed="false">
      <c r="A950" s="9"/>
      <c r="B950" s="4"/>
      <c r="C950" s="10"/>
      <c r="D950" s="11" t="str">
        <f aca="false">IF(K950="","",IFERROR(INDEX(DECKS!$C$2:$C$1201,MATCH(K950,DECKS!$B$2:$B$1201,0)),TRIM(I950&amp;"")))</f>
        <v/>
      </c>
      <c r="E950" s="4"/>
      <c r="F950" s="12"/>
      <c r="G950" s="4"/>
      <c r="H950" s="13" t="str">
        <f aca="false">IF(OR(N(C950)=0,N(F950)=0),"",C950*F950)</f>
        <v/>
      </c>
      <c r="I950" s="4"/>
      <c r="J950" s="11" t="str">
        <f aca="false">IF(K950="","",IF(N(C950)&lt;=0,"Informe a quantidade",IF(IFERROR(INDEX(INVENTÁRIO!$B$2:$B$801,MATCH(K950,INVENTÁRIO!$A$2:$A$801,0)),"")="(sem nome)","Carta fora dos decks: digite o nome na coluna I (opcional)","")))</f>
        <v/>
      </c>
      <c r="K950" s="11" t="str">
        <f aca="false">UPPER(TRIM(SUBSTITUTE(B950&amp;"",CHAR(160)," ")))</f>
        <v/>
      </c>
      <c r="L950" s="11" t="str">
        <f aca="false">IF(AND(K950&lt;&gt;"",TRIM(I950&amp;"")&lt;&gt;""),K950,"")</f>
        <v/>
      </c>
    </row>
    <row r="951" customFormat="false" ht="15" hidden="false" customHeight="false" outlineLevel="0" collapsed="false">
      <c r="A951" s="9"/>
      <c r="B951" s="4"/>
      <c r="C951" s="10"/>
      <c r="D951" s="11" t="str">
        <f aca="false">IF(K951="","",IFERROR(INDEX(DECKS!$C$2:$C$1201,MATCH(K951,DECKS!$B$2:$B$1201,0)),TRIM(I951&amp;"")))</f>
        <v/>
      </c>
      <c r="E951" s="4"/>
      <c r="F951" s="12"/>
      <c r="G951" s="4"/>
      <c r="H951" s="13" t="str">
        <f aca="false">IF(OR(N(C951)=0,N(F951)=0),"",C951*F951)</f>
        <v/>
      </c>
      <c r="I951" s="4"/>
      <c r="J951" s="11" t="str">
        <f aca="false">IF(K951="","",IF(N(C951)&lt;=0,"Informe a quantidade",IF(IFERROR(INDEX(INVENTÁRIO!$B$2:$B$801,MATCH(K951,INVENTÁRIO!$A$2:$A$801,0)),"")="(sem nome)","Carta fora dos decks: digite o nome na coluna I (opcional)","")))</f>
        <v/>
      </c>
      <c r="K951" s="11" t="str">
        <f aca="false">UPPER(TRIM(SUBSTITUTE(B951&amp;"",CHAR(160)," ")))</f>
        <v/>
      </c>
      <c r="L951" s="11" t="str">
        <f aca="false">IF(AND(K951&lt;&gt;"",TRIM(I951&amp;"")&lt;&gt;""),K951,"")</f>
        <v/>
      </c>
    </row>
    <row r="952" customFormat="false" ht="15" hidden="false" customHeight="false" outlineLevel="0" collapsed="false">
      <c r="A952" s="9"/>
      <c r="B952" s="4"/>
      <c r="C952" s="10"/>
      <c r="D952" s="11" t="str">
        <f aca="false">IF(K952="","",IFERROR(INDEX(DECKS!$C$2:$C$1201,MATCH(K952,DECKS!$B$2:$B$1201,0)),TRIM(I952&amp;"")))</f>
        <v/>
      </c>
      <c r="E952" s="4"/>
      <c r="F952" s="12"/>
      <c r="G952" s="4"/>
      <c r="H952" s="13" t="str">
        <f aca="false">IF(OR(N(C952)=0,N(F952)=0),"",C952*F952)</f>
        <v/>
      </c>
      <c r="I952" s="4"/>
      <c r="J952" s="11" t="str">
        <f aca="false">IF(K952="","",IF(N(C952)&lt;=0,"Informe a quantidade",IF(IFERROR(INDEX(INVENTÁRIO!$B$2:$B$801,MATCH(K952,INVENTÁRIO!$A$2:$A$801,0)),"")="(sem nome)","Carta fora dos decks: digite o nome na coluna I (opcional)","")))</f>
        <v/>
      </c>
      <c r="K952" s="11" t="str">
        <f aca="false">UPPER(TRIM(SUBSTITUTE(B952&amp;"",CHAR(160)," ")))</f>
        <v/>
      </c>
      <c r="L952" s="11" t="str">
        <f aca="false">IF(AND(K952&lt;&gt;"",TRIM(I952&amp;"")&lt;&gt;""),K952,"")</f>
        <v/>
      </c>
    </row>
    <row r="953" customFormat="false" ht="15" hidden="false" customHeight="false" outlineLevel="0" collapsed="false">
      <c r="A953" s="9"/>
      <c r="B953" s="4"/>
      <c r="C953" s="10"/>
      <c r="D953" s="11" t="str">
        <f aca="false">IF(K953="","",IFERROR(INDEX(DECKS!$C$2:$C$1201,MATCH(K953,DECKS!$B$2:$B$1201,0)),TRIM(I953&amp;"")))</f>
        <v/>
      </c>
      <c r="E953" s="4"/>
      <c r="F953" s="12"/>
      <c r="G953" s="4"/>
      <c r="H953" s="13" t="str">
        <f aca="false">IF(OR(N(C953)=0,N(F953)=0),"",C953*F953)</f>
        <v/>
      </c>
      <c r="I953" s="4"/>
      <c r="J953" s="11" t="str">
        <f aca="false">IF(K953="","",IF(N(C953)&lt;=0,"Informe a quantidade",IF(IFERROR(INDEX(INVENTÁRIO!$B$2:$B$801,MATCH(K953,INVENTÁRIO!$A$2:$A$801,0)),"")="(sem nome)","Carta fora dos decks: digite o nome na coluna I (opcional)","")))</f>
        <v/>
      </c>
      <c r="K953" s="11" t="str">
        <f aca="false">UPPER(TRIM(SUBSTITUTE(B953&amp;"",CHAR(160)," ")))</f>
        <v/>
      </c>
      <c r="L953" s="11" t="str">
        <f aca="false">IF(AND(K953&lt;&gt;"",TRIM(I953&amp;"")&lt;&gt;""),K953,"")</f>
        <v/>
      </c>
    </row>
    <row r="954" customFormat="false" ht="15" hidden="false" customHeight="false" outlineLevel="0" collapsed="false">
      <c r="A954" s="9"/>
      <c r="B954" s="4"/>
      <c r="C954" s="10"/>
      <c r="D954" s="11" t="str">
        <f aca="false">IF(K954="","",IFERROR(INDEX(DECKS!$C$2:$C$1201,MATCH(K954,DECKS!$B$2:$B$1201,0)),TRIM(I954&amp;"")))</f>
        <v/>
      </c>
      <c r="E954" s="4"/>
      <c r="F954" s="12"/>
      <c r="G954" s="4"/>
      <c r="H954" s="13" t="str">
        <f aca="false">IF(OR(N(C954)=0,N(F954)=0),"",C954*F954)</f>
        <v/>
      </c>
      <c r="I954" s="4"/>
      <c r="J954" s="11" t="str">
        <f aca="false">IF(K954="","",IF(N(C954)&lt;=0,"Informe a quantidade",IF(IFERROR(INDEX(INVENTÁRIO!$B$2:$B$801,MATCH(K954,INVENTÁRIO!$A$2:$A$801,0)),"")="(sem nome)","Carta fora dos decks: digite o nome na coluna I (opcional)","")))</f>
        <v/>
      </c>
      <c r="K954" s="11" t="str">
        <f aca="false">UPPER(TRIM(SUBSTITUTE(B954&amp;"",CHAR(160)," ")))</f>
        <v/>
      </c>
      <c r="L954" s="11" t="str">
        <f aca="false">IF(AND(K954&lt;&gt;"",TRIM(I954&amp;"")&lt;&gt;""),K954,"")</f>
        <v/>
      </c>
    </row>
    <row r="955" customFormat="false" ht="15" hidden="false" customHeight="false" outlineLevel="0" collapsed="false">
      <c r="A955" s="9"/>
      <c r="B955" s="4"/>
      <c r="C955" s="10"/>
      <c r="D955" s="11" t="str">
        <f aca="false">IF(K955="","",IFERROR(INDEX(DECKS!$C$2:$C$1201,MATCH(K955,DECKS!$B$2:$B$1201,0)),TRIM(I955&amp;"")))</f>
        <v/>
      </c>
      <c r="E955" s="4"/>
      <c r="F955" s="12"/>
      <c r="G955" s="4"/>
      <c r="H955" s="13" t="str">
        <f aca="false">IF(OR(N(C955)=0,N(F955)=0),"",C955*F955)</f>
        <v/>
      </c>
      <c r="I955" s="4"/>
      <c r="J955" s="11" t="str">
        <f aca="false">IF(K955="","",IF(N(C955)&lt;=0,"Informe a quantidade",IF(IFERROR(INDEX(INVENTÁRIO!$B$2:$B$801,MATCH(K955,INVENTÁRIO!$A$2:$A$801,0)),"")="(sem nome)","Carta fora dos decks: digite o nome na coluna I (opcional)","")))</f>
        <v/>
      </c>
      <c r="K955" s="11" t="str">
        <f aca="false">UPPER(TRIM(SUBSTITUTE(B955&amp;"",CHAR(160)," ")))</f>
        <v/>
      </c>
      <c r="L955" s="11" t="str">
        <f aca="false">IF(AND(K955&lt;&gt;"",TRIM(I955&amp;"")&lt;&gt;""),K955,"")</f>
        <v/>
      </c>
    </row>
    <row r="956" customFormat="false" ht="15" hidden="false" customHeight="false" outlineLevel="0" collapsed="false">
      <c r="A956" s="9"/>
      <c r="B956" s="4"/>
      <c r="C956" s="10"/>
      <c r="D956" s="11" t="str">
        <f aca="false">IF(K956="","",IFERROR(INDEX(DECKS!$C$2:$C$1201,MATCH(K956,DECKS!$B$2:$B$1201,0)),TRIM(I956&amp;"")))</f>
        <v/>
      </c>
      <c r="E956" s="4"/>
      <c r="F956" s="12"/>
      <c r="G956" s="4"/>
      <c r="H956" s="13" t="str">
        <f aca="false">IF(OR(N(C956)=0,N(F956)=0),"",C956*F956)</f>
        <v/>
      </c>
      <c r="I956" s="4"/>
      <c r="J956" s="11" t="str">
        <f aca="false">IF(K956="","",IF(N(C956)&lt;=0,"Informe a quantidade",IF(IFERROR(INDEX(INVENTÁRIO!$B$2:$B$801,MATCH(K956,INVENTÁRIO!$A$2:$A$801,0)),"")="(sem nome)","Carta fora dos decks: digite o nome na coluna I (opcional)","")))</f>
        <v/>
      </c>
      <c r="K956" s="11" t="str">
        <f aca="false">UPPER(TRIM(SUBSTITUTE(B956&amp;"",CHAR(160)," ")))</f>
        <v/>
      </c>
      <c r="L956" s="11" t="str">
        <f aca="false">IF(AND(K956&lt;&gt;"",TRIM(I956&amp;"")&lt;&gt;""),K956,"")</f>
        <v/>
      </c>
    </row>
    <row r="957" customFormat="false" ht="15" hidden="false" customHeight="false" outlineLevel="0" collapsed="false">
      <c r="A957" s="9"/>
      <c r="B957" s="4"/>
      <c r="C957" s="10"/>
      <c r="D957" s="11" t="str">
        <f aca="false">IF(K957="","",IFERROR(INDEX(DECKS!$C$2:$C$1201,MATCH(K957,DECKS!$B$2:$B$1201,0)),TRIM(I957&amp;"")))</f>
        <v/>
      </c>
      <c r="E957" s="4"/>
      <c r="F957" s="12"/>
      <c r="G957" s="4"/>
      <c r="H957" s="13" t="str">
        <f aca="false">IF(OR(N(C957)=0,N(F957)=0),"",C957*F957)</f>
        <v/>
      </c>
      <c r="I957" s="4"/>
      <c r="J957" s="11" t="str">
        <f aca="false">IF(K957="","",IF(N(C957)&lt;=0,"Informe a quantidade",IF(IFERROR(INDEX(INVENTÁRIO!$B$2:$B$801,MATCH(K957,INVENTÁRIO!$A$2:$A$801,0)),"")="(sem nome)","Carta fora dos decks: digite o nome na coluna I (opcional)","")))</f>
        <v/>
      </c>
      <c r="K957" s="11" t="str">
        <f aca="false">UPPER(TRIM(SUBSTITUTE(B957&amp;"",CHAR(160)," ")))</f>
        <v/>
      </c>
      <c r="L957" s="11" t="str">
        <f aca="false">IF(AND(K957&lt;&gt;"",TRIM(I957&amp;"")&lt;&gt;""),K957,"")</f>
        <v/>
      </c>
    </row>
    <row r="958" customFormat="false" ht="15" hidden="false" customHeight="false" outlineLevel="0" collapsed="false">
      <c r="A958" s="9"/>
      <c r="B958" s="4"/>
      <c r="C958" s="10"/>
      <c r="D958" s="11" t="str">
        <f aca="false">IF(K958="","",IFERROR(INDEX(DECKS!$C$2:$C$1201,MATCH(K958,DECKS!$B$2:$B$1201,0)),TRIM(I958&amp;"")))</f>
        <v/>
      </c>
      <c r="E958" s="4"/>
      <c r="F958" s="12"/>
      <c r="G958" s="4"/>
      <c r="H958" s="13" t="str">
        <f aca="false">IF(OR(N(C958)=0,N(F958)=0),"",C958*F958)</f>
        <v/>
      </c>
      <c r="I958" s="4"/>
      <c r="J958" s="11" t="str">
        <f aca="false">IF(K958="","",IF(N(C958)&lt;=0,"Informe a quantidade",IF(IFERROR(INDEX(INVENTÁRIO!$B$2:$B$801,MATCH(K958,INVENTÁRIO!$A$2:$A$801,0)),"")="(sem nome)","Carta fora dos decks: digite o nome na coluna I (opcional)","")))</f>
        <v/>
      </c>
      <c r="K958" s="11" t="str">
        <f aca="false">UPPER(TRIM(SUBSTITUTE(B958&amp;"",CHAR(160)," ")))</f>
        <v/>
      </c>
      <c r="L958" s="11" t="str">
        <f aca="false">IF(AND(K958&lt;&gt;"",TRIM(I958&amp;"")&lt;&gt;""),K958,"")</f>
        <v/>
      </c>
    </row>
    <row r="959" customFormat="false" ht="15" hidden="false" customHeight="false" outlineLevel="0" collapsed="false">
      <c r="A959" s="9"/>
      <c r="B959" s="4"/>
      <c r="C959" s="10"/>
      <c r="D959" s="11" t="str">
        <f aca="false">IF(K959="","",IFERROR(INDEX(DECKS!$C$2:$C$1201,MATCH(K959,DECKS!$B$2:$B$1201,0)),TRIM(I959&amp;"")))</f>
        <v/>
      </c>
      <c r="E959" s="4"/>
      <c r="F959" s="12"/>
      <c r="G959" s="4"/>
      <c r="H959" s="13" t="str">
        <f aca="false">IF(OR(N(C959)=0,N(F959)=0),"",C959*F959)</f>
        <v/>
      </c>
      <c r="I959" s="4"/>
      <c r="J959" s="11" t="str">
        <f aca="false">IF(K959="","",IF(N(C959)&lt;=0,"Informe a quantidade",IF(IFERROR(INDEX(INVENTÁRIO!$B$2:$B$801,MATCH(K959,INVENTÁRIO!$A$2:$A$801,0)),"")="(sem nome)","Carta fora dos decks: digite o nome na coluna I (opcional)","")))</f>
        <v/>
      </c>
      <c r="K959" s="11" t="str">
        <f aca="false">UPPER(TRIM(SUBSTITUTE(B959&amp;"",CHAR(160)," ")))</f>
        <v/>
      </c>
      <c r="L959" s="11" t="str">
        <f aca="false">IF(AND(K959&lt;&gt;"",TRIM(I959&amp;"")&lt;&gt;""),K959,"")</f>
        <v/>
      </c>
    </row>
    <row r="960" customFormat="false" ht="15" hidden="false" customHeight="false" outlineLevel="0" collapsed="false">
      <c r="A960" s="9"/>
      <c r="B960" s="4"/>
      <c r="C960" s="10"/>
      <c r="D960" s="11" t="str">
        <f aca="false">IF(K960="","",IFERROR(INDEX(DECKS!$C$2:$C$1201,MATCH(K960,DECKS!$B$2:$B$1201,0)),TRIM(I960&amp;"")))</f>
        <v/>
      </c>
      <c r="E960" s="4"/>
      <c r="F960" s="12"/>
      <c r="G960" s="4"/>
      <c r="H960" s="13" t="str">
        <f aca="false">IF(OR(N(C960)=0,N(F960)=0),"",C960*F960)</f>
        <v/>
      </c>
      <c r="I960" s="4"/>
      <c r="J960" s="11" t="str">
        <f aca="false">IF(K960="","",IF(N(C960)&lt;=0,"Informe a quantidade",IF(IFERROR(INDEX(INVENTÁRIO!$B$2:$B$801,MATCH(K960,INVENTÁRIO!$A$2:$A$801,0)),"")="(sem nome)","Carta fora dos decks: digite o nome na coluna I (opcional)","")))</f>
        <v/>
      </c>
      <c r="K960" s="11" t="str">
        <f aca="false">UPPER(TRIM(SUBSTITUTE(B960&amp;"",CHAR(160)," ")))</f>
        <v/>
      </c>
      <c r="L960" s="11" t="str">
        <f aca="false">IF(AND(K960&lt;&gt;"",TRIM(I960&amp;"")&lt;&gt;""),K960,"")</f>
        <v/>
      </c>
    </row>
    <row r="961" customFormat="false" ht="15" hidden="false" customHeight="false" outlineLevel="0" collapsed="false">
      <c r="A961" s="9"/>
      <c r="B961" s="4"/>
      <c r="C961" s="10"/>
      <c r="D961" s="11" t="str">
        <f aca="false">IF(K961="","",IFERROR(INDEX(DECKS!$C$2:$C$1201,MATCH(K961,DECKS!$B$2:$B$1201,0)),TRIM(I961&amp;"")))</f>
        <v/>
      </c>
      <c r="E961" s="4"/>
      <c r="F961" s="12"/>
      <c r="G961" s="4"/>
      <c r="H961" s="13" t="str">
        <f aca="false">IF(OR(N(C961)=0,N(F961)=0),"",C961*F961)</f>
        <v/>
      </c>
      <c r="I961" s="4"/>
      <c r="J961" s="11" t="str">
        <f aca="false">IF(K961="","",IF(N(C961)&lt;=0,"Informe a quantidade",IF(IFERROR(INDEX(INVENTÁRIO!$B$2:$B$801,MATCH(K961,INVENTÁRIO!$A$2:$A$801,0)),"")="(sem nome)","Carta fora dos decks: digite o nome na coluna I (opcional)","")))</f>
        <v/>
      </c>
      <c r="K961" s="11" t="str">
        <f aca="false">UPPER(TRIM(SUBSTITUTE(B961&amp;"",CHAR(160)," ")))</f>
        <v/>
      </c>
      <c r="L961" s="11" t="str">
        <f aca="false">IF(AND(K961&lt;&gt;"",TRIM(I961&amp;"")&lt;&gt;""),K961,"")</f>
        <v/>
      </c>
    </row>
    <row r="962" customFormat="false" ht="15" hidden="false" customHeight="false" outlineLevel="0" collapsed="false">
      <c r="A962" s="9"/>
      <c r="B962" s="4"/>
      <c r="C962" s="10"/>
      <c r="D962" s="11" t="str">
        <f aca="false">IF(K962="","",IFERROR(INDEX(DECKS!$C$2:$C$1201,MATCH(K962,DECKS!$B$2:$B$1201,0)),TRIM(I962&amp;"")))</f>
        <v/>
      </c>
      <c r="E962" s="4"/>
      <c r="F962" s="12"/>
      <c r="G962" s="4"/>
      <c r="H962" s="13" t="str">
        <f aca="false">IF(OR(N(C962)=0,N(F962)=0),"",C962*F962)</f>
        <v/>
      </c>
      <c r="I962" s="4"/>
      <c r="J962" s="11" t="str">
        <f aca="false">IF(K962="","",IF(N(C962)&lt;=0,"Informe a quantidade",IF(IFERROR(INDEX(INVENTÁRIO!$B$2:$B$801,MATCH(K962,INVENTÁRIO!$A$2:$A$801,0)),"")="(sem nome)","Carta fora dos decks: digite o nome na coluna I (opcional)","")))</f>
        <v/>
      </c>
      <c r="K962" s="11" t="str">
        <f aca="false">UPPER(TRIM(SUBSTITUTE(B962&amp;"",CHAR(160)," ")))</f>
        <v/>
      </c>
      <c r="L962" s="11" t="str">
        <f aca="false">IF(AND(K962&lt;&gt;"",TRIM(I962&amp;"")&lt;&gt;""),K962,"")</f>
        <v/>
      </c>
    </row>
    <row r="963" customFormat="false" ht="15" hidden="false" customHeight="false" outlineLevel="0" collapsed="false">
      <c r="A963" s="9"/>
      <c r="B963" s="4"/>
      <c r="C963" s="10"/>
      <c r="D963" s="11" t="str">
        <f aca="false">IF(K963="","",IFERROR(INDEX(DECKS!$C$2:$C$1201,MATCH(K963,DECKS!$B$2:$B$1201,0)),TRIM(I963&amp;"")))</f>
        <v/>
      </c>
      <c r="E963" s="4"/>
      <c r="F963" s="12"/>
      <c r="G963" s="4"/>
      <c r="H963" s="13" t="str">
        <f aca="false">IF(OR(N(C963)=0,N(F963)=0),"",C963*F963)</f>
        <v/>
      </c>
      <c r="I963" s="4"/>
      <c r="J963" s="11" t="str">
        <f aca="false">IF(K963="","",IF(N(C963)&lt;=0,"Informe a quantidade",IF(IFERROR(INDEX(INVENTÁRIO!$B$2:$B$801,MATCH(K963,INVENTÁRIO!$A$2:$A$801,0)),"")="(sem nome)","Carta fora dos decks: digite o nome na coluna I (opcional)","")))</f>
        <v/>
      </c>
      <c r="K963" s="11" t="str">
        <f aca="false">UPPER(TRIM(SUBSTITUTE(B963&amp;"",CHAR(160)," ")))</f>
        <v/>
      </c>
      <c r="L963" s="11" t="str">
        <f aca="false">IF(AND(K963&lt;&gt;"",TRIM(I963&amp;"")&lt;&gt;""),K963,"")</f>
        <v/>
      </c>
    </row>
    <row r="964" customFormat="false" ht="15" hidden="false" customHeight="false" outlineLevel="0" collapsed="false">
      <c r="A964" s="9"/>
      <c r="B964" s="4"/>
      <c r="C964" s="10"/>
      <c r="D964" s="11" t="str">
        <f aca="false">IF(K964="","",IFERROR(INDEX(DECKS!$C$2:$C$1201,MATCH(K964,DECKS!$B$2:$B$1201,0)),TRIM(I964&amp;"")))</f>
        <v/>
      </c>
      <c r="E964" s="4"/>
      <c r="F964" s="12"/>
      <c r="G964" s="4"/>
      <c r="H964" s="13" t="str">
        <f aca="false">IF(OR(N(C964)=0,N(F964)=0),"",C964*F964)</f>
        <v/>
      </c>
      <c r="I964" s="4"/>
      <c r="J964" s="11" t="str">
        <f aca="false">IF(K964="","",IF(N(C964)&lt;=0,"Informe a quantidade",IF(IFERROR(INDEX(INVENTÁRIO!$B$2:$B$801,MATCH(K964,INVENTÁRIO!$A$2:$A$801,0)),"")="(sem nome)","Carta fora dos decks: digite o nome na coluna I (opcional)","")))</f>
        <v/>
      </c>
      <c r="K964" s="11" t="str">
        <f aca="false">UPPER(TRIM(SUBSTITUTE(B964&amp;"",CHAR(160)," ")))</f>
        <v/>
      </c>
      <c r="L964" s="11" t="str">
        <f aca="false">IF(AND(K964&lt;&gt;"",TRIM(I964&amp;"")&lt;&gt;""),K964,"")</f>
        <v/>
      </c>
    </row>
    <row r="965" customFormat="false" ht="15" hidden="false" customHeight="false" outlineLevel="0" collapsed="false">
      <c r="A965" s="9"/>
      <c r="B965" s="4"/>
      <c r="C965" s="10"/>
      <c r="D965" s="11" t="str">
        <f aca="false">IF(K965="","",IFERROR(INDEX(DECKS!$C$2:$C$1201,MATCH(K965,DECKS!$B$2:$B$1201,0)),TRIM(I965&amp;"")))</f>
        <v/>
      </c>
      <c r="E965" s="4"/>
      <c r="F965" s="12"/>
      <c r="G965" s="4"/>
      <c r="H965" s="13" t="str">
        <f aca="false">IF(OR(N(C965)=0,N(F965)=0),"",C965*F965)</f>
        <v/>
      </c>
      <c r="I965" s="4"/>
      <c r="J965" s="11" t="str">
        <f aca="false">IF(K965="","",IF(N(C965)&lt;=0,"Informe a quantidade",IF(IFERROR(INDEX(INVENTÁRIO!$B$2:$B$801,MATCH(K965,INVENTÁRIO!$A$2:$A$801,0)),"")="(sem nome)","Carta fora dos decks: digite o nome na coluna I (opcional)","")))</f>
        <v/>
      </c>
      <c r="K965" s="11" t="str">
        <f aca="false">UPPER(TRIM(SUBSTITUTE(B965&amp;"",CHAR(160)," ")))</f>
        <v/>
      </c>
      <c r="L965" s="11" t="str">
        <f aca="false">IF(AND(K965&lt;&gt;"",TRIM(I965&amp;"")&lt;&gt;""),K965,"")</f>
        <v/>
      </c>
    </row>
    <row r="966" customFormat="false" ht="15" hidden="false" customHeight="false" outlineLevel="0" collapsed="false">
      <c r="A966" s="9"/>
      <c r="B966" s="4"/>
      <c r="C966" s="10"/>
      <c r="D966" s="11" t="str">
        <f aca="false">IF(K966="","",IFERROR(INDEX(DECKS!$C$2:$C$1201,MATCH(K966,DECKS!$B$2:$B$1201,0)),TRIM(I966&amp;"")))</f>
        <v/>
      </c>
      <c r="E966" s="4"/>
      <c r="F966" s="12"/>
      <c r="G966" s="4"/>
      <c r="H966" s="13" t="str">
        <f aca="false">IF(OR(N(C966)=0,N(F966)=0),"",C966*F966)</f>
        <v/>
      </c>
      <c r="I966" s="4"/>
      <c r="J966" s="11" t="str">
        <f aca="false">IF(K966="","",IF(N(C966)&lt;=0,"Informe a quantidade",IF(IFERROR(INDEX(INVENTÁRIO!$B$2:$B$801,MATCH(K966,INVENTÁRIO!$A$2:$A$801,0)),"")="(sem nome)","Carta fora dos decks: digite o nome na coluna I (opcional)","")))</f>
        <v/>
      </c>
      <c r="K966" s="11" t="str">
        <f aca="false">UPPER(TRIM(SUBSTITUTE(B966&amp;"",CHAR(160)," ")))</f>
        <v/>
      </c>
      <c r="L966" s="11" t="str">
        <f aca="false">IF(AND(K966&lt;&gt;"",TRIM(I966&amp;"")&lt;&gt;""),K966,"")</f>
        <v/>
      </c>
    </row>
    <row r="967" customFormat="false" ht="15" hidden="false" customHeight="false" outlineLevel="0" collapsed="false">
      <c r="A967" s="9"/>
      <c r="B967" s="4"/>
      <c r="C967" s="10"/>
      <c r="D967" s="11" t="str">
        <f aca="false">IF(K967="","",IFERROR(INDEX(DECKS!$C$2:$C$1201,MATCH(K967,DECKS!$B$2:$B$1201,0)),TRIM(I967&amp;"")))</f>
        <v/>
      </c>
      <c r="E967" s="4"/>
      <c r="F967" s="12"/>
      <c r="G967" s="4"/>
      <c r="H967" s="13" t="str">
        <f aca="false">IF(OR(N(C967)=0,N(F967)=0),"",C967*F967)</f>
        <v/>
      </c>
      <c r="I967" s="4"/>
      <c r="J967" s="11" t="str">
        <f aca="false">IF(K967="","",IF(N(C967)&lt;=0,"Informe a quantidade",IF(IFERROR(INDEX(INVENTÁRIO!$B$2:$B$801,MATCH(K967,INVENTÁRIO!$A$2:$A$801,0)),"")="(sem nome)","Carta fora dos decks: digite o nome na coluna I (opcional)","")))</f>
        <v/>
      </c>
      <c r="K967" s="11" t="str">
        <f aca="false">UPPER(TRIM(SUBSTITUTE(B967&amp;"",CHAR(160)," ")))</f>
        <v/>
      </c>
      <c r="L967" s="11" t="str">
        <f aca="false">IF(AND(K967&lt;&gt;"",TRIM(I967&amp;"")&lt;&gt;""),K967,"")</f>
        <v/>
      </c>
    </row>
    <row r="968" customFormat="false" ht="15" hidden="false" customHeight="false" outlineLevel="0" collapsed="false">
      <c r="A968" s="9"/>
      <c r="B968" s="4"/>
      <c r="C968" s="10"/>
      <c r="D968" s="11" t="str">
        <f aca="false">IF(K968="","",IFERROR(INDEX(DECKS!$C$2:$C$1201,MATCH(K968,DECKS!$B$2:$B$1201,0)),TRIM(I968&amp;"")))</f>
        <v/>
      </c>
      <c r="E968" s="4"/>
      <c r="F968" s="12"/>
      <c r="G968" s="4"/>
      <c r="H968" s="13" t="str">
        <f aca="false">IF(OR(N(C968)=0,N(F968)=0),"",C968*F968)</f>
        <v/>
      </c>
      <c r="I968" s="4"/>
      <c r="J968" s="11" t="str">
        <f aca="false">IF(K968="","",IF(N(C968)&lt;=0,"Informe a quantidade",IF(IFERROR(INDEX(INVENTÁRIO!$B$2:$B$801,MATCH(K968,INVENTÁRIO!$A$2:$A$801,0)),"")="(sem nome)","Carta fora dos decks: digite o nome na coluna I (opcional)","")))</f>
        <v/>
      </c>
      <c r="K968" s="11" t="str">
        <f aca="false">UPPER(TRIM(SUBSTITUTE(B968&amp;"",CHAR(160)," ")))</f>
        <v/>
      </c>
      <c r="L968" s="11" t="str">
        <f aca="false">IF(AND(K968&lt;&gt;"",TRIM(I968&amp;"")&lt;&gt;""),K968,"")</f>
        <v/>
      </c>
    </row>
    <row r="969" customFormat="false" ht="15" hidden="false" customHeight="false" outlineLevel="0" collapsed="false">
      <c r="A969" s="9"/>
      <c r="B969" s="4"/>
      <c r="C969" s="10"/>
      <c r="D969" s="11" t="str">
        <f aca="false">IF(K969="","",IFERROR(INDEX(DECKS!$C$2:$C$1201,MATCH(K969,DECKS!$B$2:$B$1201,0)),TRIM(I969&amp;"")))</f>
        <v/>
      </c>
      <c r="E969" s="4"/>
      <c r="F969" s="12"/>
      <c r="G969" s="4"/>
      <c r="H969" s="13" t="str">
        <f aca="false">IF(OR(N(C969)=0,N(F969)=0),"",C969*F969)</f>
        <v/>
      </c>
      <c r="I969" s="4"/>
      <c r="J969" s="11" t="str">
        <f aca="false">IF(K969="","",IF(N(C969)&lt;=0,"Informe a quantidade",IF(IFERROR(INDEX(INVENTÁRIO!$B$2:$B$801,MATCH(K969,INVENTÁRIO!$A$2:$A$801,0)),"")="(sem nome)","Carta fora dos decks: digite o nome na coluna I (opcional)","")))</f>
        <v/>
      </c>
      <c r="K969" s="11" t="str">
        <f aca="false">UPPER(TRIM(SUBSTITUTE(B969&amp;"",CHAR(160)," ")))</f>
        <v/>
      </c>
      <c r="L969" s="11" t="str">
        <f aca="false">IF(AND(K969&lt;&gt;"",TRIM(I969&amp;"")&lt;&gt;""),K969,"")</f>
        <v/>
      </c>
    </row>
    <row r="970" customFormat="false" ht="15" hidden="false" customHeight="false" outlineLevel="0" collapsed="false">
      <c r="A970" s="9"/>
      <c r="B970" s="4"/>
      <c r="C970" s="10"/>
      <c r="D970" s="11" t="str">
        <f aca="false">IF(K970="","",IFERROR(INDEX(DECKS!$C$2:$C$1201,MATCH(K970,DECKS!$B$2:$B$1201,0)),TRIM(I970&amp;"")))</f>
        <v/>
      </c>
      <c r="E970" s="4"/>
      <c r="F970" s="12"/>
      <c r="G970" s="4"/>
      <c r="H970" s="13" t="str">
        <f aca="false">IF(OR(N(C970)=0,N(F970)=0),"",C970*F970)</f>
        <v/>
      </c>
      <c r="I970" s="4"/>
      <c r="J970" s="11" t="str">
        <f aca="false">IF(K970="","",IF(N(C970)&lt;=0,"Informe a quantidade",IF(IFERROR(INDEX(INVENTÁRIO!$B$2:$B$801,MATCH(K970,INVENTÁRIO!$A$2:$A$801,0)),"")="(sem nome)","Carta fora dos decks: digite o nome na coluna I (opcional)","")))</f>
        <v/>
      </c>
      <c r="K970" s="11" t="str">
        <f aca="false">UPPER(TRIM(SUBSTITUTE(B970&amp;"",CHAR(160)," ")))</f>
        <v/>
      </c>
      <c r="L970" s="11" t="str">
        <f aca="false">IF(AND(K970&lt;&gt;"",TRIM(I970&amp;"")&lt;&gt;""),K970,"")</f>
        <v/>
      </c>
    </row>
    <row r="971" customFormat="false" ht="15" hidden="false" customHeight="false" outlineLevel="0" collapsed="false">
      <c r="A971" s="9"/>
      <c r="B971" s="4"/>
      <c r="C971" s="10"/>
      <c r="D971" s="11" t="str">
        <f aca="false">IF(K971="","",IFERROR(INDEX(DECKS!$C$2:$C$1201,MATCH(K971,DECKS!$B$2:$B$1201,0)),TRIM(I971&amp;"")))</f>
        <v/>
      </c>
      <c r="E971" s="4"/>
      <c r="F971" s="12"/>
      <c r="G971" s="4"/>
      <c r="H971" s="13" t="str">
        <f aca="false">IF(OR(N(C971)=0,N(F971)=0),"",C971*F971)</f>
        <v/>
      </c>
      <c r="I971" s="4"/>
      <c r="J971" s="11" t="str">
        <f aca="false">IF(K971="","",IF(N(C971)&lt;=0,"Informe a quantidade",IF(IFERROR(INDEX(INVENTÁRIO!$B$2:$B$801,MATCH(K971,INVENTÁRIO!$A$2:$A$801,0)),"")="(sem nome)","Carta fora dos decks: digite o nome na coluna I (opcional)","")))</f>
        <v/>
      </c>
      <c r="K971" s="11" t="str">
        <f aca="false">UPPER(TRIM(SUBSTITUTE(B971&amp;"",CHAR(160)," ")))</f>
        <v/>
      </c>
      <c r="L971" s="11" t="str">
        <f aca="false">IF(AND(K971&lt;&gt;"",TRIM(I971&amp;"")&lt;&gt;""),K971,"")</f>
        <v/>
      </c>
    </row>
    <row r="972" customFormat="false" ht="15" hidden="false" customHeight="false" outlineLevel="0" collapsed="false">
      <c r="A972" s="9"/>
      <c r="B972" s="4"/>
      <c r="C972" s="10"/>
      <c r="D972" s="11" t="str">
        <f aca="false">IF(K972="","",IFERROR(INDEX(DECKS!$C$2:$C$1201,MATCH(K972,DECKS!$B$2:$B$1201,0)),TRIM(I972&amp;"")))</f>
        <v/>
      </c>
      <c r="E972" s="4"/>
      <c r="F972" s="12"/>
      <c r="G972" s="4"/>
      <c r="H972" s="13" t="str">
        <f aca="false">IF(OR(N(C972)=0,N(F972)=0),"",C972*F972)</f>
        <v/>
      </c>
      <c r="I972" s="4"/>
      <c r="J972" s="11" t="str">
        <f aca="false">IF(K972="","",IF(N(C972)&lt;=0,"Informe a quantidade",IF(IFERROR(INDEX(INVENTÁRIO!$B$2:$B$801,MATCH(K972,INVENTÁRIO!$A$2:$A$801,0)),"")="(sem nome)","Carta fora dos decks: digite o nome na coluna I (opcional)","")))</f>
        <v/>
      </c>
      <c r="K972" s="11" t="str">
        <f aca="false">UPPER(TRIM(SUBSTITUTE(B972&amp;"",CHAR(160)," ")))</f>
        <v/>
      </c>
      <c r="L972" s="11" t="str">
        <f aca="false">IF(AND(K972&lt;&gt;"",TRIM(I972&amp;"")&lt;&gt;""),K972,"")</f>
        <v/>
      </c>
    </row>
    <row r="973" customFormat="false" ht="15" hidden="false" customHeight="false" outlineLevel="0" collapsed="false">
      <c r="A973" s="9"/>
      <c r="B973" s="4"/>
      <c r="C973" s="10"/>
      <c r="D973" s="11" t="str">
        <f aca="false">IF(K973="","",IFERROR(INDEX(DECKS!$C$2:$C$1201,MATCH(K973,DECKS!$B$2:$B$1201,0)),TRIM(I973&amp;"")))</f>
        <v/>
      </c>
      <c r="E973" s="4"/>
      <c r="F973" s="12"/>
      <c r="G973" s="4"/>
      <c r="H973" s="13" t="str">
        <f aca="false">IF(OR(N(C973)=0,N(F973)=0),"",C973*F973)</f>
        <v/>
      </c>
      <c r="I973" s="4"/>
      <c r="J973" s="11" t="str">
        <f aca="false">IF(K973="","",IF(N(C973)&lt;=0,"Informe a quantidade",IF(IFERROR(INDEX(INVENTÁRIO!$B$2:$B$801,MATCH(K973,INVENTÁRIO!$A$2:$A$801,0)),"")="(sem nome)","Carta fora dos decks: digite o nome na coluna I (opcional)","")))</f>
        <v/>
      </c>
      <c r="K973" s="11" t="str">
        <f aca="false">UPPER(TRIM(SUBSTITUTE(B973&amp;"",CHAR(160)," ")))</f>
        <v/>
      </c>
      <c r="L973" s="11" t="str">
        <f aca="false">IF(AND(K973&lt;&gt;"",TRIM(I973&amp;"")&lt;&gt;""),K973,"")</f>
        <v/>
      </c>
    </row>
    <row r="974" customFormat="false" ht="15" hidden="false" customHeight="false" outlineLevel="0" collapsed="false">
      <c r="A974" s="9"/>
      <c r="B974" s="4"/>
      <c r="C974" s="10"/>
      <c r="D974" s="11" t="str">
        <f aca="false">IF(K974="","",IFERROR(INDEX(DECKS!$C$2:$C$1201,MATCH(K974,DECKS!$B$2:$B$1201,0)),TRIM(I974&amp;"")))</f>
        <v/>
      </c>
      <c r="E974" s="4"/>
      <c r="F974" s="12"/>
      <c r="G974" s="4"/>
      <c r="H974" s="13" t="str">
        <f aca="false">IF(OR(N(C974)=0,N(F974)=0),"",C974*F974)</f>
        <v/>
      </c>
      <c r="I974" s="4"/>
      <c r="J974" s="11" t="str">
        <f aca="false">IF(K974="","",IF(N(C974)&lt;=0,"Informe a quantidade",IF(IFERROR(INDEX(INVENTÁRIO!$B$2:$B$801,MATCH(K974,INVENTÁRIO!$A$2:$A$801,0)),"")="(sem nome)","Carta fora dos decks: digite o nome na coluna I (opcional)","")))</f>
        <v/>
      </c>
      <c r="K974" s="11" t="str">
        <f aca="false">UPPER(TRIM(SUBSTITUTE(B974&amp;"",CHAR(160)," ")))</f>
        <v/>
      </c>
      <c r="L974" s="11" t="str">
        <f aca="false">IF(AND(K974&lt;&gt;"",TRIM(I974&amp;"")&lt;&gt;""),K974,"")</f>
        <v/>
      </c>
    </row>
    <row r="975" customFormat="false" ht="15" hidden="false" customHeight="false" outlineLevel="0" collapsed="false">
      <c r="A975" s="9"/>
      <c r="B975" s="4"/>
      <c r="C975" s="10"/>
      <c r="D975" s="11" t="str">
        <f aca="false">IF(K975="","",IFERROR(INDEX(DECKS!$C$2:$C$1201,MATCH(K975,DECKS!$B$2:$B$1201,0)),TRIM(I975&amp;"")))</f>
        <v/>
      </c>
      <c r="E975" s="4"/>
      <c r="F975" s="12"/>
      <c r="G975" s="4"/>
      <c r="H975" s="13" t="str">
        <f aca="false">IF(OR(N(C975)=0,N(F975)=0),"",C975*F975)</f>
        <v/>
      </c>
      <c r="I975" s="4"/>
      <c r="J975" s="11" t="str">
        <f aca="false">IF(K975="","",IF(N(C975)&lt;=0,"Informe a quantidade",IF(IFERROR(INDEX(INVENTÁRIO!$B$2:$B$801,MATCH(K975,INVENTÁRIO!$A$2:$A$801,0)),"")="(sem nome)","Carta fora dos decks: digite o nome na coluna I (opcional)","")))</f>
        <v/>
      </c>
      <c r="K975" s="11" t="str">
        <f aca="false">UPPER(TRIM(SUBSTITUTE(B975&amp;"",CHAR(160)," ")))</f>
        <v/>
      </c>
      <c r="L975" s="11" t="str">
        <f aca="false">IF(AND(K975&lt;&gt;"",TRIM(I975&amp;"")&lt;&gt;""),K975,"")</f>
        <v/>
      </c>
    </row>
    <row r="976" customFormat="false" ht="15" hidden="false" customHeight="false" outlineLevel="0" collapsed="false">
      <c r="A976" s="9"/>
      <c r="B976" s="4"/>
      <c r="C976" s="10"/>
      <c r="D976" s="11" t="str">
        <f aca="false">IF(K976="","",IFERROR(INDEX(DECKS!$C$2:$C$1201,MATCH(K976,DECKS!$B$2:$B$1201,0)),TRIM(I976&amp;"")))</f>
        <v/>
      </c>
      <c r="E976" s="4"/>
      <c r="F976" s="12"/>
      <c r="G976" s="4"/>
      <c r="H976" s="13" t="str">
        <f aca="false">IF(OR(N(C976)=0,N(F976)=0),"",C976*F976)</f>
        <v/>
      </c>
      <c r="I976" s="4"/>
      <c r="J976" s="11" t="str">
        <f aca="false">IF(K976="","",IF(N(C976)&lt;=0,"Informe a quantidade",IF(IFERROR(INDEX(INVENTÁRIO!$B$2:$B$801,MATCH(K976,INVENTÁRIO!$A$2:$A$801,0)),"")="(sem nome)","Carta fora dos decks: digite o nome na coluna I (opcional)","")))</f>
        <v/>
      </c>
      <c r="K976" s="11" t="str">
        <f aca="false">UPPER(TRIM(SUBSTITUTE(B976&amp;"",CHAR(160)," ")))</f>
        <v/>
      </c>
      <c r="L976" s="11" t="str">
        <f aca="false">IF(AND(K976&lt;&gt;"",TRIM(I976&amp;"")&lt;&gt;""),K976,"")</f>
        <v/>
      </c>
    </row>
    <row r="977" customFormat="false" ht="15" hidden="false" customHeight="false" outlineLevel="0" collapsed="false">
      <c r="A977" s="9"/>
      <c r="B977" s="4"/>
      <c r="C977" s="10"/>
      <c r="D977" s="11" t="str">
        <f aca="false">IF(K977="","",IFERROR(INDEX(DECKS!$C$2:$C$1201,MATCH(K977,DECKS!$B$2:$B$1201,0)),TRIM(I977&amp;"")))</f>
        <v/>
      </c>
      <c r="E977" s="4"/>
      <c r="F977" s="12"/>
      <c r="G977" s="4"/>
      <c r="H977" s="13" t="str">
        <f aca="false">IF(OR(N(C977)=0,N(F977)=0),"",C977*F977)</f>
        <v/>
      </c>
      <c r="I977" s="4"/>
      <c r="J977" s="11" t="str">
        <f aca="false">IF(K977="","",IF(N(C977)&lt;=0,"Informe a quantidade",IF(IFERROR(INDEX(INVENTÁRIO!$B$2:$B$801,MATCH(K977,INVENTÁRIO!$A$2:$A$801,0)),"")="(sem nome)","Carta fora dos decks: digite o nome na coluna I (opcional)","")))</f>
        <v/>
      </c>
      <c r="K977" s="11" t="str">
        <f aca="false">UPPER(TRIM(SUBSTITUTE(B977&amp;"",CHAR(160)," ")))</f>
        <v/>
      </c>
      <c r="L977" s="11" t="str">
        <f aca="false">IF(AND(K977&lt;&gt;"",TRIM(I977&amp;"")&lt;&gt;""),K977,"")</f>
        <v/>
      </c>
    </row>
    <row r="978" customFormat="false" ht="15" hidden="false" customHeight="false" outlineLevel="0" collapsed="false">
      <c r="A978" s="9"/>
      <c r="B978" s="4"/>
      <c r="C978" s="10"/>
      <c r="D978" s="11" t="str">
        <f aca="false">IF(K978="","",IFERROR(INDEX(DECKS!$C$2:$C$1201,MATCH(K978,DECKS!$B$2:$B$1201,0)),TRIM(I978&amp;"")))</f>
        <v/>
      </c>
      <c r="E978" s="4"/>
      <c r="F978" s="12"/>
      <c r="G978" s="4"/>
      <c r="H978" s="13" t="str">
        <f aca="false">IF(OR(N(C978)=0,N(F978)=0),"",C978*F978)</f>
        <v/>
      </c>
      <c r="I978" s="4"/>
      <c r="J978" s="11" t="str">
        <f aca="false">IF(K978="","",IF(N(C978)&lt;=0,"Informe a quantidade",IF(IFERROR(INDEX(INVENTÁRIO!$B$2:$B$801,MATCH(K978,INVENTÁRIO!$A$2:$A$801,0)),"")="(sem nome)","Carta fora dos decks: digite o nome na coluna I (opcional)","")))</f>
        <v/>
      </c>
      <c r="K978" s="11" t="str">
        <f aca="false">UPPER(TRIM(SUBSTITUTE(B978&amp;"",CHAR(160)," ")))</f>
        <v/>
      </c>
      <c r="L978" s="11" t="str">
        <f aca="false">IF(AND(K978&lt;&gt;"",TRIM(I978&amp;"")&lt;&gt;""),K978,"")</f>
        <v/>
      </c>
    </row>
    <row r="979" customFormat="false" ht="15" hidden="false" customHeight="false" outlineLevel="0" collapsed="false">
      <c r="A979" s="9"/>
      <c r="B979" s="4"/>
      <c r="C979" s="10"/>
      <c r="D979" s="11" t="str">
        <f aca="false">IF(K979="","",IFERROR(INDEX(DECKS!$C$2:$C$1201,MATCH(K979,DECKS!$B$2:$B$1201,0)),TRIM(I979&amp;"")))</f>
        <v/>
      </c>
      <c r="E979" s="4"/>
      <c r="F979" s="12"/>
      <c r="G979" s="4"/>
      <c r="H979" s="13" t="str">
        <f aca="false">IF(OR(N(C979)=0,N(F979)=0),"",C979*F979)</f>
        <v/>
      </c>
      <c r="I979" s="4"/>
      <c r="J979" s="11" t="str">
        <f aca="false">IF(K979="","",IF(N(C979)&lt;=0,"Informe a quantidade",IF(IFERROR(INDEX(INVENTÁRIO!$B$2:$B$801,MATCH(K979,INVENTÁRIO!$A$2:$A$801,0)),"")="(sem nome)","Carta fora dos decks: digite o nome na coluna I (opcional)","")))</f>
        <v/>
      </c>
      <c r="K979" s="11" t="str">
        <f aca="false">UPPER(TRIM(SUBSTITUTE(B979&amp;"",CHAR(160)," ")))</f>
        <v/>
      </c>
      <c r="L979" s="11" t="str">
        <f aca="false">IF(AND(K979&lt;&gt;"",TRIM(I979&amp;"")&lt;&gt;""),K979,"")</f>
        <v/>
      </c>
    </row>
    <row r="980" customFormat="false" ht="15" hidden="false" customHeight="false" outlineLevel="0" collapsed="false">
      <c r="A980" s="9"/>
      <c r="B980" s="4"/>
      <c r="C980" s="10"/>
      <c r="D980" s="11" t="str">
        <f aca="false">IF(K980="","",IFERROR(INDEX(DECKS!$C$2:$C$1201,MATCH(K980,DECKS!$B$2:$B$1201,0)),TRIM(I980&amp;"")))</f>
        <v/>
      </c>
      <c r="E980" s="4"/>
      <c r="F980" s="12"/>
      <c r="G980" s="4"/>
      <c r="H980" s="13" t="str">
        <f aca="false">IF(OR(N(C980)=0,N(F980)=0),"",C980*F980)</f>
        <v/>
      </c>
      <c r="I980" s="4"/>
      <c r="J980" s="11" t="str">
        <f aca="false">IF(K980="","",IF(N(C980)&lt;=0,"Informe a quantidade",IF(IFERROR(INDEX(INVENTÁRIO!$B$2:$B$801,MATCH(K980,INVENTÁRIO!$A$2:$A$801,0)),"")="(sem nome)","Carta fora dos decks: digite o nome na coluna I (opcional)","")))</f>
        <v/>
      </c>
      <c r="K980" s="11" t="str">
        <f aca="false">UPPER(TRIM(SUBSTITUTE(B980&amp;"",CHAR(160)," ")))</f>
        <v/>
      </c>
      <c r="L980" s="11" t="str">
        <f aca="false">IF(AND(K980&lt;&gt;"",TRIM(I980&amp;"")&lt;&gt;""),K980,"")</f>
        <v/>
      </c>
    </row>
    <row r="981" customFormat="false" ht="15" hidden="false" customHeight="false" outlineLevel="0" collapsed="false">
      <c r="A981" s="9"/>
      <c r="B981" s="4"/>
      <c r="C981" s="10"/>
      <c r="D981" s="11" t="str">
        <f aca="false">IF(K981="","",IFERROR(INDEX(DECKS!$C$2:$C$1201,MATCH(K981,DECKS!$B$2:$B$1201,0)),TRIM(I981&amp;"")))</f>
        <v/>
      </c>
      <c r="E981" s="4"/>
      <c r="F981" s="12"/>
      <c r="G981" s="4"/>
      <c r="H981" s="13" t="str">
        <f aca="false">IF(OR(N(C981)=0,N(F981)=0),"",C981*F981)</f>
        <v/>
      </c>
      <c r="I981" s="4"/>
      <c r="J981" s="11" t="str">
        <f aca="false">IF(K981="","",IF(N(C981)&lt;=0,"Informe a quantidade",IF(IFERROR(INDEX(INVENTÁRIO!$B$2:$B$801,MATCH(K981,INVENTÁRIO!$A$2:$A$801,0)),"")="(sem nome)","Carta fora dos decks: digite o nome na coluna I (opcional)","")))</f>
        <v/>
      </c>
      <c r="K981" s="11" t="str">
        <f aca="false">UPPER(TRIM(SUBSTITUTE(B981&amp;"",CHAR(160)," ")))</f>
        <v/>
      </c>
      <c r="L981" s="11" t="str">
        <f aca="false">IF(AND(K981&lt;&gt;"",TRIM(I981&amp;"")&lt;&gt;""),K981,"")</f>
        <v/>
      </c>
    </row>
    <row r="982" customFormat="false" ht="15" hidden="false" customHeight="false" outlineLevel="0" collapsed="false">
      <c r="A982" s="9"/>
      <c r="B982" s="4"/>
      <c r="C982" s="10"/>
      <c r="D982" s="11" t="str">
        <f aca="false">IF(K982="","",IFERROR(INDEX(DECKS!$C$2:$C$1201,MATCH(K982,DECKS!$B$2:$B$1201,0)),TRIM(I982&amp;"")))</f>
        <v/>
      </c>
      <c r="E982" s="4"/>
      <c r="F982" s="12"/>
      <c r="G982" s="4"/>
      <c r="H982" s="13" t="str">
        <f aca="false">IF(OR(N(C982)=0,N(F982)=0),"",C982*F982)</f>
        <v/>
      </c>
      <c r="I982" s="4"/>
      <c r="J982" s="11" t="str">
        <f aca="false">IF(K982="","",IF(N(C982)&lt;=0,"Informe a quantidade",IF(IFERROR(INDEX(INVENTÁRIO!$B$2:$B$801,MATCH(K982,INVENTÁRIO!$A$2:$A$801,0)),"")="(sem nome)","Carta fora dos decks: digite o nome na coluna I (opcional)","")))</f>
        <v/>
      </c>
      <c r="K982" s="11" t="str">
        <f aca="false">UPPER(TRIM(SUBSTITUTE(B982&amp;"",CHAR(160)," ")))</f>
        <v/>
      </c>
      <c r="L982" s="11" t="str">
        <f aca="false">IF(AND(K982&lt;&gt;"",TRIM(I982&amp;"")&lt;&gt;""),K982,"")</f>
        <v/>
      </c>
    </row>
    <row r="983" customFormat="false" ht="15" hidden="false" customHeight="false" outlineLevel="0" collapsed="false">
      <c r="A983" s="9"/>
      <c r="B983" s="4"/>
      <c r="C983" s="10"/>
      <c r="D983" s="11" t="str">
        <f aca="false">IF(K983="","",IFERROR(INDEX(DECKS!$C$2:$C$1201,MATCH(K983,DECKS!$B$2:$B$1201,0)),TRIM(I983&amp;"")))</f>
        <v/>
      </c>
      <c r="E983" s="4"/>
      <c r="F983" s="12"/>
      <c r="G983" s="4"/>
      <c r="H983" s="13" t="str">
        <f aca="false">IF(OR(N(C983)=0,N(F983)=0),"",C983*F983)</f>
        <v/>
      </c>
      <c r="I983" s="4"/>
      <c r="J983" s="11" t="str">
        <f aca="false">IF(K983="","",IF(N(C983)&lt;=0,"Informe a quantidade",IF(IFERROR(INDEX(INVENTÁRIO!$B$2:$B$801,MATCH(K983,INVENTÁRIO!$A$2:$A$801,0)),"")="(sem nome)","Carta fora dos decks: digite o nome na coluna I (opcional)","")))</f>
        <v/>
      </c>
      <c r="K983" s="11" t="str">
        <f aca="false">UPPER(TRIM(SUBSTITUTE(B983&amp;"",CHAR(160)," ")))</f>
        <v/>
      </c>
      <c r="L983" s="11" t="str">
        <f aca="false">IF(AND(K983&lt;&gt;"",TRIM(I983&amp;"")&lt;&gt;""),K983,"")</f>
        <v/>
      </c>
    </row>
    <row r="984" customFormat="false" ht="15" hidden="false" customHeight="false" outlineLevel="0" collapsed="false">
      <c r="A984" s="9"/>
      <c r="B984" s="4"/>
      <c r="C984" s="10"/>
      <c r="D984" s="11" t="str">
        <f aca="false">IF(K984="","",IFERROR(INDEX(DECKS!$C$2:$C$1201,MATCH(K984,DECKS!$B$2:$B$1201,0)),TRIM(I984&amp;"")))</f>
        <v/>
      </c>
      <c r="E984" s="4"/>
      <c r="F984" s="12"/>
      <c r="G984" s="4"/>
      <c r="H984" s="13" t="str">
        <f aca="false">IF(OR(N(C984)=0,N(F984)=0),"",C984*F984)</f>
        <v/>
      </c>
      <c r="I984" s="4"/>
      <c r="J984" s="11" t="str">
        <f aca="false">IF(K984="","",IF(N(C984)&lt;=0,"Informe a quantidade",IF(IFERROR(INDEX(INVENTÁRIO!$B$2:$B$801,MATCH(K984,INVENTÁRIO!$A$2:$A$801,0)),"")="(sem nome)","Carta fora dos decks: digite o nome na coluna I (opcional)","")))</f>
        <v/>
      </c>
      <c r="K984" s="11" t="str">
        <f aca="false">UPPER(TRIM(SUBSTITUTE(B984&amp;"",CHAR(160)," ")))</f>
        <v/>
      </c>
      <c r="L984" s="11" t="str">
        <f aca="false">IF(AND(K984&lt;&gt;"",TRIM(I984&amp;"")&lt;&gt;""),K984,"")</f>
        <v/>
      </c>
    </row>
    <row r="985" customFormat="false" ht="15" hidden="false" customHeight="false" outlineLevel="0" collapsed="false">
      <c r="A985" s="9"/>
      <c r="B985" s="4"/>
      <c r="C985" s="10"/>
      <c r="D985" s="11" t="str">
        <f aca="false">IF(K985="","",IFERROR(INDEX(DECKS!$C$2:$C$1201,MATCH(K985,DECKS!$B$2:$B$1201,0)),TRIM(I985&amp;"")))</f>
        <v/>
      </c>
      <c r="E985" s="4"/>
      <c r="F985" s="12"/>
      <c r="G985" s="4"/>
      <c r="H985" s="13" t="str">
        <f aca="false">IF(OR(N(C985)=0,N(F985)=0),"",C985*F985)</f>
        <v/>
      </c>
      <c r="I985" s="4"/>
      <c r="J985" s="11" t="str">
        <f aca="false">IF(K985="","",IF(N(C985)&lt;=0,"Informe a quantidade",IF(IFERROR(INDEX(INVENTÁRIO!$B$2:$B$801,MATCH(K985,INVENTÁRIO!$A$2:$A$801,0)),"")="(sem nome)","Carta fora dos decks: digite o nome na coluna I (opcional)","")))</f>
        <v/>
      </c>
      <c r="K985" s="11" t="str">
        <f aca="false">UPPER(TRIM(SUBSTITUTE(B985&amp;"",CHAR(160)," ")))</f>
        <v/>
      </c>
      <c r="L985" s="11" t="str">
        <f aca="false">IF(AND(K985&lt;&gt;"",TRIM(I985&amp;"")&lt;&gt;""),K985,"")</f>
        <v/>
      </c>
    </row>
    <row r="986" customFormat="false" ht="15" hidden="false" customHeight="false" outlineLevel="0" collapsed="false">
      <c r="A986" s="9"/>
      <c r="B986" s="4"/>
      <c r="C986" s="10"/>
      <c r="D986" s="11" t="str">
        <f aca="false">IF(K986="","",IFERROR(INDEX(DECKS!$C$2:$C$1201,MATCH(K986,DECKS!$B$2:$B$1201,0)),TRIM(I986&amp;"")))</f>
        <v/>
      </c>
      <c r="E986" s="4"/>
      <c r="F986" s="12"/>
      <c r="G986" s="4"/>
      <c r="H986" s="13" t="str">
        <f aca="false">IF(OR(N(C986)=0,N(F986)=0),"",C986*F986)</f>
        <v/>
      </c>
      <c r="I986" s="4"/>
      <c r="J986" s="11" t="str">
        <f aca="false">IF(K986="","",IF(N(C986)&lt;=0,"Informe a quantidade",IF(IFERROR(INDEX(INVENTÁRIO!$B$2:$B$801,MATCH(K986,INVENTÁRIO!$A$2:$A$801,0)),"")="(sem nome)","Carta fora dos decks: digite o nome na coluna I (opcional)","")))</f>
        <v/>
      </c>
      <c r="K986" s="11" t="str">
        <f aca="false">UPPER(TRIM(SUBSTITUTE(B986&amp;"",CHAR(160)," ")))</f>
        <v/>
      </c>
      <c r="L986" s="11" t="str">
        <f aca="false">IF(AND(K986&lt;&gt;"",TRIM(I986&amp;"")&lt;&gt;""),K986,"")</f>
        <v/>
      </c>
    </row>
    <row r="987" customFormat="false" ht="15" hidden="false" customHeight="false" outlineLevel="0" collapsed="false">
      <c r="A987" s="9"/>
      <c r="B987" s="4"/>
      <c r="C987" s="10"/>
      <c r="D987" s="11" t="str">
        <f aca="false">IF(K987="","",IFERROR(INDEX(DECKS!$C$2:$C$1201,MATCH(K987,DECKS!$B$2:$B$1201,0)),TRIM(I987&amp;"")))</f>
        <v/>
      </c>
      <c r="E987" s="4"/>
      <c r="F987" s="12"/>
      <c r="G987" s="4"/>
      <c r="H987" s="13" t="str">
        <f aca="false">IF(OR(N(C987)=0,N(F987)=0),"",C987*F987)</f>
        <v/>
      </c>
      <c r="I987" s="4"/>
      <c r="J987" s="11" t="str">
        <f aca="false">IF(K987="","",IF(N(C987)&lt;=0,"Informe a quantidade",IF(IFERROR(INDEX(INVENTÁRIO!$B$2:$B$801,MATCH(K987,INVENTÁRIO!$A$2:$A$801,0)),"")="(sem nome)","Carta fora dos decks: digite o nome na coluna I (opcional)","")))</f>
        <v/>
      </c>
      <c r="K987" s="11" t="str">
        <f aca="false">UPPER(TRIM(SUBSTITUTE(B987&amp;"",CHAR(160)," ")))</f>
        <v/>
      </c>
      <c r="L987" s="11" t="str">
        <f aca="false">IF(AND(K987&lt;&gt;"",TRIM(I987&amp;"")&lt;&gt;""),K987,"")</f>
        <v/>
      </c>
    </row>
    <row r="988" customFormat="false" ht="15" hidden="false" customHeight="false" outlineLevel="0" collapsed="false">
      <c r="A988" s="9"/>
      <c r="B988" s="4"/>
      <c r="C988" s="10"/>
      <c r="D988" s="11" t="str">
        <f aca="false">IF(K988="","",IFERROR(INDEX(DECKS!$C$2:$C$1201,MATCH(K988,DECKS!$B$2:$B$1201,0)),TRIM(I988&amp;"")))</f>
        <v/>
      </c>
      <c r="E988" s="4"/>
      <c r="F988" s="12"/>
      <c r="G988" s="4"/>
      <c r="H988" s="13" t="str">
        <f aca="false">IF(OR(N(C988)=0,N(F988)=0),"",C988*F988)</f>
        <v/>
      </c>
      <c r="I988" s="4"/>
      <c r="J988" s="11" t="str">
        <f aca="false">IF(K988="","",IF(N(C988)&lt;=0,"Informe a quantidade",IF(IFERROR(INDEX(INVENTÁRIO!$B$2:$B$801,MATCH(K988,INVENTÁRIO!$A$2:$A$801,0)),"")="(sem nome)","Carta fora dos decks: digite o nome na coluna I (opcional)","")))</f>
        <v/>
      </c>
      <c r="K988" s="11" t="str">
        <f aca="false">UPPER(TRIM(SUBSTITUTE(B988&amp;"",CHAR(160)," ")))</f>
        <v/>
      </c>
      <c r="L988" s="11" t="str">
        <f aca="false">IF(AND(K988&lt;&gt;"",TRIM(I988&amp;"")&lt;&gt;""),K988,"")</f>
        <v/>
      </c>
    </row>
    <row r="989" customFormat="false" ht="15" hidden="false" customHeight="false" outlineLevel="0" collapsed="false">
      <c r="A989" s="9"/>
      <c r="B989" s="4"/>
      <c r="C989" s="10"/>
      <c r="D989" s="11" t="str">
        <f aca="false">IF(K989="","",IFERROR(INDEX(DECKS!$C$2:$C$1201,MATCH(K989,DECKS!$B$2:$B$1201,0)),TRIM(I989&amp;"")))</f>
        <v/>
      </c>
      <c r="E989" s="4"/>
      <c r="F989" s="12"/>
      <c r="G989" s="4"/>
      <c r="H989" s="13" t="str">
        <f aca="false">IF(OR(N(C989)=0,N(F989)=0),"",C989*F989)</f>
        <v/>
      </c>
      <c r="I989" s="4"/>
      <c r="J989" s="11" t="str">
        <f aca="false">IF(K989="","",IF(N(C989)&lt;=0,"Informe a quantidade",IF(IFERROR(INDEX(INVENTÁRIO!$B$2:$B$801,MATCH(K989,INVENTÁRIO!$A$2:$A$801,0)),"")="(sem nome)","Carta fora dos decks: digite o nome na coluna I (opcional)","")))</f>
        <v/>
      </c>
      <c r="K989" s="11" t="str">
        <f aca="false">UPPER(TRIM(SUBSTITUTE(B989&amp;"",CHAR(160)," ")))</f>
        <v/>
      </c>
      <c r="L989" s="11" t="str">
        <f aca="false">IF(AND(K989&lt;&gt;"",TRIM(I989&amp;"")&lt;&gt;""),K989,"")</f>
        <v/>
      </c>
    </row>
    <row r="990" customFormat="false" ht="15" hidden="false" customHeight="false" outlineLevel="0" collapsed="false">
      <c r="A990" s="9"/>
      <c r="B990" s="4"/>
      <c r="C990" s="10"/>
      <c r="D990" s="11" t="str">
        <f aca="false">IF(K990="","",IFERROR(INDEX(DECKS!$C$2:$C$1201,MATCH(K990,DECKS!$B$2:$B$1201,0)),TRIM(I990&amp;"")))</f>
        <v/>
      </c>
      <c r="E990" s="4"/>
      <c r="F990" s="12"/>
      <c r="G990" s="4"/>
      <c r="H990" s="13" t="str">
        <f aca="false">IF(OR(N(C990)=0,N(F990)=0),"",C990*F990)</f>
        <v/>
      </c>
      <c r="I990" s="4"/>
      <c r="J990" s="11" t="str">
        <f aca="false">IF(K990="","",IF(N(C990)&lt;=0,"Informe a quantidade",IF(IFERROR(INDEX(INVENTÁRIO!$B$2:$B$801,MATCH(K990,INVENTÁRIO!$A$2:$A$801,0)),"")="(sem nome)","Carta fora dos decks: digite o nome na coluna I (opcional)","")))</f>
        <v/>
      </c>
      <c r="K990" s="11" t="str">
        <f aca="false">UPPER(TRIM(SUBSTITUTE(B990&amp;"",CHAR(160)," ")))</f>
        <v/>
      </c>
      <c r="L990" s="11" t="str">
        <f aca="false">IF(AND(K990&lt;&gt;"",TRIM(I990&amp;"")&lt;&gt;""),K990,"")</f>
        <v/>
      </c>
    </row>
    <row r="991" customFormat="false" ht="15" hidden="false" customHeight="false" outlineLevel="0" collapsed="false">
      <c r="A991" s="9"/>
      <c r="B991" s="4"/>
      <c r="C991" s="10"/>
      <c r="D991" s="11" t="str">
        <f aca="false">IF(K991="","",IFERROR(INDEX(DECKS!$C$2:$C$1201,MATCH(K991,DECKS!$B$2:$B$1201,0)),TRIM(I991&amp;"")))</f>
        <v/>
      </c>
      <c r="E991" s="4"/>
      <c r="F991" s="12"/>
      <c r="G991" s="4"/>
      <c r="H991" s="13" t="str">
        <f aca="false">IF(OR(N(C991)=0,N(F991)=0),"",C991*F991)</f>
        <v/>
      </c>
      <c r="I991" s="4"/>
      <c r="J991" s="11" t="str">
        <f aca="false">IF(K991="","",IF(N(C991)&lt;=0,"Informe a quantidade",IF(IFERROR(INDEX(INVENTÁRIO!$B$2:$B$801,MATCH(K991,INVENTÁRIO!$A$2:$A$801,0)),"")="(sem nome)","Carta fora dos decks: digite o nome na coluna I (opcional)","")))</f>
        <v/>
      </c>
      <c r="K991" s="11" t="str">
        <f aca="false">UPPER(TRIM(SUBSTITUTE(B991&amp;"",CHAR(160)," ")))</f>
        <v/>
      </c>
      <c r="L991" s="11" t="str">
        <f aca="false">IF(AND(K991&lt;&gt;"",TRIM(I991&amp;"")&lt;&gt;""),K991,"")</f>
        <v/>
      </c>
    </row>
    <row r="992" customFormat="false" ht="15" hidden="false" customHeight="false" outlineLevel="0" collapsed="false">
      <c r="A992" s="9"/>
      <c r="B992" s="4"/>
      <c r="C992" s="10"/>
      <c r="D992" s="11" t="str">
        <f aca="false">IF(K992="","",IFERROR(INDEX(DECKS!$C$2:$C$1201,MATCH(K992,DECKS!$B$2:$B$1201,0)),TRIM(I992&amp;"")))</f>
        <v/>
      </c>
      <c r="E992" s="4"/>
      <c r="F992" s="12"/>
      <c r="G992" s="4"/>
      <c r="H992" s="13" t="str">
        <f aca="false">IF(OR(N(C992)=0,N(F992)=0),"",C992*F992)</f>
        <v/>
      </c>
      <c r="I992" s="4"/>
      <c r="J992" s="11" t="str">
        <f aca="false">IF(K992="","",IF(N(C992)&lt;=0,"Informe a quantidade",IF(IFERROR(INDEX(INVENTÁRIO!$B$2:$B$801,MATCH(K992,INVENTÁRIO!$A$2:$A$801,0)),"")="(sem nome)","Carta fora dos decks: digite o nome na coluna I (opcional)","")))</f>
        <v/>
      </c>
      <c r="K992" s="11" t="str">
        <f aca="false">UPPER(TRIM(SUBSTITUTE(B992&amp;"",CHAR(160)," ")))</f>
        <v/>
      </c>
      <c r="L992" s="11" t="str">
        <f aca="false">IF(AND(K992&lt;&gt;"",TRIM(I992&amp;"")&lt;&gt;""),K992,"")</f>
        <v/>
      </c>
    </row>
    <row r="993" customFormat="false" ht="15" hidden="false" customHeight="false" outlineLevel="0" collapsed="false">
      <c r="A993" s="9"/>
      <c r="B993" s="4"/>
      <c r="C993" s="10"/>
      <c r="D993" s="11" t="str">
        <f aca="false">IF(K993="","",IFERROR(INDEX(DECKS!$C$2:$C$1201,MATCH(K993,DECKS!$B$2:$B$1201,0)),TRIM(I993&amp;"")))</f>
        <v/>
      </c>
      <c r="E993" s="4"/>
      <c r="F993" s="12"/>
      <c r="G993" s="4"/>
      <c r="H993" s="13" t="str">
        <f aca="false">IF(OR(N(C993)=0,N(F993)=0),"",C993*F993)</f>
        <v/>
      </c>
      <c r="I993" s="4"/>
      <c r="J993" s="11" t="str">
        <f aca="false">IF(K993="","",IF(N(C993)&lt;=0,"Informe a quantidade",IF(IFERROR(INDEX(INVENTÁRIO!$B$2:$B$801,MATCH(K993,INVENTÁRIO!$A$2:$A$801,0)),"")="(sem nome)","Carta fora dos decks: digite o nome na coluna I (opcional)","")))</f>
        <v/>
      </c>
      <c r="K993" s="11" t="str">
        <f aca="false">UPPER(TRIM(SUBSTITUTE(B993&amp;"",CHAR(160)," ")))</f>
        <v/>
      </c>
      <c r="L993" s="11" t="str">
        <f aca="false">IF(AND(K993&lt;&gt;"",TRIM(I993&amp;"")&lt;&gt;""),K993,"")</f>
        <v/>
      </c>
    </row>
    <row r="994" customFormat="false" ht="15" hidden="false" customHeight="false" outlineLevel="0" collapsed="false">
      <c r="A994" s="9"/>
      <c r="B994" s="4"/>
      <c r="C994" s="10"/>
      <c r="D994" s="11" t="str">
        <f aca="false">IF(K994="","",IFERROR(INDEX(DECKS!$C$2:$C$1201,MATCH(K994,DECKS!$B$2:$B$1201,0)),TRIM(I994&amp;"")))</f>
        <v/>
      </c>
      <c r="E994" s="4"/>
      <c r="F994" s="12"/>
      <c r="G994" s="4"/>
      <c r="H994" s="13" t="str">
        <f aca="false">IF(OR(N(C994)=0,N(F994)=0),"",C994*F994)</f>
        <v/>
      </c>
      <c r="I994" s="4"/>
      <c r="J994" s="11" t="str">
        <f aca="false">IF(K994="","",IF(N(C994)&lt;=0,"Informe a quantidade",IF(IFERROR(INDEX(INVENTÁRIO!$B$2:$B$801,MATCH(K994,INVENTÁRIO!$A$2:$A$801,0)),"")="(sem nome)","Carta fora dos decks: digite o nome na coluna I (opcional)","")))</f>
        <v/>
      </c>
      <c r="K994" s="11" t="str">
        <f aca="false">UPPER(TRIM(SUBSTITUTE(B994&amp;"",CHAR(160)," ")))</f>
        <v/>
      </c>
      <c r="L994" s="11" t="str">
        <f aca="false">IF(AND(K994&lt;&gt;"",TRIM(I994&amp;"")&lt;&gt;""),K994,"")</f>
        <v/>
      </c>
    </row>
    <row r="995" customFormat="false" ht="15" hidden="false" customHeight="false" outlineLevel="0" collapsed="false">
      <c r="A995" s="9"/>
      <c r="B995" s="4"/>
      <c r="C995" s="10"/>
      <c r="D995" s="11" t="str">
        <f aca="false">IF(K995="","",IFERROR(INDEX(DECKS!$C$2:$C$1201,MATCH(K995,DECKS!$B$2:$B$1201,0)),TRIM(I995&amp;"")))</f>
        <v/>
      </c>
      <c r="E995" s="4"/>
      <c r="F995" s="12"/>
      <c r="G995" s="4"/>
      <c r="H995" s="13" t="str">
        <f aca="false">IF(OR(N(C995)=0,N(F995)=0),"",C995*F995)</f>
        <v/>
      </c>
      <c r="I995" s="4"/>
      <c r="J995" s="11" t="str">
        <f aca="false">IF(K995="","",IF(N(C995)&lt;=0,"Informe a quantidade",IF(IFERROR(INDEX(INVENTÁRIO!$B$2:$B$801,MATCH(K995,INVENTÁRIO!$A$2:$A$801,0)),"")="(sem nome)","Carta fora dos decks: digite o nome na coluna I (opcional)","")))</f>
        <v/>
      </c>
      <c r="K995" s="11" t="str">
        <f aca="false">UPPER(TRIM(SUBSTITUTE(B995&amp;"",CHAR(160)," ")))</f>
        <v/>
      </c>
      <c r="L995" s="11" t="str">
        <f aca="false">IF(AND(K995&lt;&gt;"",TRIM(I995&amp;"")&lt;&gt;""),K995,"")</f>
        <v/>
      </c>
    </row>
    <row r="996" customFormat="false" ht="15" hidden="false" customHeight="false" outlineLevel="0" collapsed="false">
      <c r="A996" s="9"/>
      <c r="B996" s="4"/>
      <c r="C996" s="10"/>
      <c r="D996" s="11" t="str">
        <f aca="false">IF(K996="","",IFERROR(INDEX(DECKS!$C$2:$C$1201,MATCH(K996,DECKS!$B$2:$B$1201,0)),TRIM(I996&amp;"")))</f>
        <v/>
      </c>
      <c r="E996" s="4"/>
      <c r="F996" s="12"/>
      <c r="G996" s="4"/>
      <c r="H996" s="13" t="str">
        <f aca="false">IF(OR(N(C996)=0,N(F996)=0),"",C996*F996)</f>
        <v/>
      </c>
      <c r="I996" s="4"/>
      <c r="J996" s="11" t="str">
        <f aca="false">IF(K996="","",IF(N(C996)&lt;=0,"Informe a quantidade",IF(IFERROR(INDEX(INVENTÁRIO!$B$2:$B$801,MATCH(K996,INVENTÁRIO!$A$2:$A$801,0)),"")="(sem nome)","Carta fora dos decks: digite o nome na coluna I (opcional)","")))</f>
        <v/>
      </c>
      <c r="K996" s="11" t="str">
        <f aca="false">UPPER(TRIM(SUBSTITUTE(B996&amp;"",CHAR(160)," ")))</f>
        <v/>
      </c>
      <c r="L996" s="11" t="str">
        <f aca="false">IF(AND(K996&lt;&gt;"",TRIM(I996&amp;"")&lt;&gt;""),K996,"")</f>
        <v/>
      </c>
    </row>
    <row r="997" customFormat="false" ht="15" hidden="false" customHeight="false" outlineLevel="0" collapsed="false">
      <c r="A997" s="9"/>
      <c r="B997" s="4"/>
      <c r="C997" s="10"/>
      <c r="D997" s="11" t="str">
        <f aca="false">IF(K997="","",IFERROR(INDEX(DECKS!$C$2:$C$1201,MATCH(K997,DECKS!$B$2:$B$1201,0)),TRIM(I997&amp;"")))</f>
        <v/>
      </c>
      <c r="E997" s="4"/>
      <c r="F997" s="12"/>
      <c r="G997" s="4"/>
      <c r="H997" s="13" t="str">
        <f aca="false">IF(OR(N(C997)=0,N(F997)=0),"",C997*F997)</f>
        <v/>
      </c>
      <c r="I997" s="4"/>
      <c r="J997" s="11" t="str">
        <f aca="false">IF(K997="","",IF(N(C997)&lt;=0,"Informe a quantidade",IF(IFERROR(INDEX(INVENTÁRIO!$B$2:$B$801,MATCH(K997,INVENTÁRIO!$A$2:$A$801,0)),"")="(sem nome)","Carta fora dos decks: digite o nome na coluna I (opcional)","")))</f>
        <v/>
      </c>
      <c r="K997" s="11" t="str">
        <f aca="false">UPPER(TRIM(SUBSTITUTE(B997&amp;"",CHAR(160)," ")))</f>
        <v/>
      </c>
      <c r="L997" s="11" t="str">
        <f aca="false">IF(AND(K997&lt;&gt;"",TRIM(I997&amp;"")&lt;&gt;""),K997,"")</f>
        <v/>
      </c>
    </row>
    <row r="998" customFormat="false" ht="15" hidden="false" customHeight="false" outlineLevel="0" collapsed="false">
      <c r="A998" s="9"/>
      <c r="B998" s="4"/>
      <c r="C998" s="10"/>
      <c r="D998" s="11" t="str">
        <f aca="false">IF(K998="","",IFERROR(INDEX(DECKS!$C$2:$C$1201,MATCH(K998,DECKS!$B$2:$B$1201,0)),TRIM(I998&amp;"")))</f>
        <v/>
      </c>
      <c r="E998" s="4"/>
      <c r="F998" s="12"/>
      <c r="G998" s="4"/>
      <c r="H998" s="13" t="str">
        <f aca="false">IF(OR(N(C998)=0,N(F998)=0),"",C998*F998)</f>
        <v/>
      </c>
      <c r="I998" s="4"/>
      <c r="J998" s="11" t="str">
        <f aca="false">IF(K998="","",IF(N(C998)&lt;=0,"Informe a quantidade",IF(IFERROR(INDEX(INVENTÁRIO!$B$2:$B$801,MATCH(K998,INVENTÁRIO!$A$2:$A$801,0)),"")="(sem nome)","Carta fora dos decks: digite o nome na coluna I (opcional)","")))</f>
        <v/>
      </c>
      <c r="K998" s="11" t="str">
        <f aca="false">UPPER(TRIM(SUBSTITUTE(B998&amp;"",CHAR(160)," ")))</f>
        <v/>
      </c>
      <c r="L998" s="11" t="str">
        <f aca="false">IF(AND(K998&lt;&gt;"",TRIM(I998&amp;"")&lt;&gt;""),K998,"")</f>
        <v/>
      </c>
    </row>
    <row r="999" customFormat="false" ht="15" hidden="false" customHeight="false" outlineLevel="0" collapsed="false">
      <c r="A999" s="9"/>
      <c r="B999" s="4"/>
      <c r="C999" s="10"/>
      <c r="D999" s="11" t="str">
        <f aca="false">IF(K999="","",IFERROR(INDEX(DECKS!$C$2:$C$1201,MATCH(K999,DECKS!$B$2:$B$1201,0)),TRIM(I999&amp;"")))</f>
        <v/>
      </c>
      <c r="E999" s="4"/>
      <c r="F999" s="12"/>
      <c r="G999" s="4"/>
      <c r="H999" s="13" t="str">
        <f aca="false">IF(OR(N(C999)=0,N(F999)=0),"",C999*F999)</f>
        <v/>
      </c>
      <c r="I999" s="4"/>
      <c r="J999" s="11" t="str">
        <f aca="false">IF(K999="","",IF(N(C999)&lt;=0,"Informe a quantidade",IF(IFERROR(INDEX(INVENTÁRIO!$B$2:$B$801,MATCH(K999,INVENTÁRIO!$A$2:$A$801,0)),"")="(sem nome)","Carta fora dos decks: digite o nome na coluna I (opcional)","")))</f>
        <v/>
      </c>
      <c r="K999" s="11" t="str">
        <f aca="false">UPPER(TRIM(SUBSTITUTE(B999&amp;"",CHAR(160)," ")))</f>
        <v/>
      </c>
      <c r="L999" s="11" t="str">
        <f aca="false">IF(AND(K999&lt;&gt;"",TRIM(I999&amp;"")&lt;&gt;""),K999,"")</f>
        <v/>
      </c>
    </row>
    <row r="1000" customFormat="false" ht="15" hidden="false" customHeight="false" outlineLevel="0" collapsed="false">
      <c r="A1000" s="9"/>
      <c r="B1000" s="4"/>
      <c r="C1000" s="10"/>
      <c r="D1000" s="11" t="str">
        <f aca="false">IF(K1000="","",IFERROR(INDEX(DECKS!$C$2:$C$1201,MATCH(K1000,DECKS!$B$2:$B$1201,0)),TRIM(I1000&amp;"")))</f>
        <v/>
      </c>
      <c r="E1000" s="4"/>
      <c r="F1000" s="12"/>
      <c r="G1000" s="4"/>
      <c r="H1000" s="13" t="str">
        <f aca="false">IF(OR(N(C1000)=0,N(F1000)=0),"",C1000*F1000)</f>
        <v/>
      </c>
      <c r="I1000" s="4"/>
      <c r="J1000" s="11" t="str">
        <f aca="false">IF(K1000="","",IF(N(C1000)&lt;=0,"Informe a quantidade",IF(IFERROR(INDEX(INVENTÁRIO!$B$2:$B$801,MATCH(K1000,INVENTÁRIO!$A$2:$A$801,0)),"")="(sem nome)","Carta fora dos decks: digite o nome na coluna I (opcional)","")))</f>
        <v/>
      </c>
      <c r="K1000" s="11" t="str">
        <f aca="false">UPPER(TRIM(SUBSTITUTE(B1000&amp;"",CHAR(160)," ")))</f>
        <v/>
      </c>
      <c r="L1000" s="11" t="str">
        <f aca="false">IF(AND(K1000&lt;&gt;"",TRIM(I1000&amp;"")&lt;&gt;""),K1000,"")</f>
        <v/>
      </c>
    </row>
    <row r="1001" customFormat="false" ht="15" hidden="false" customHeight="false" outlineLevel="0" collapsed="false">
      <c r="A1001" s="9"/>
      <c r="B1001" s="4"/>
      <c r="C1001" s="10"/>
      <c r="D1001" s="11" t="str">
        <f aca="false">IF(K1001="","",IFERROR(INDEX(DECKS!$C$2:$C$1201,MATCH(K1001,DECKS!$B$2:$B$1201,0)),TRIM(I1001&amp;"")))</f>
        <v/>
      </c>
      <c r="E1001" s="4"/>
      <c r="F1001" s="12"/>
      <c r="G1001" s="4"/>
      <c r="H1001" s="13" t="str">
        <f aca="false">IF(OR(N(C1001)=0,N(F1001)=0),"",C1001*F1001)</f>
        <v/>
      </c>
      <c r="I1001" s="4"/>
      <c r="J1001" s="11" t="str">
        <f aca="false">IF(K1001="","",IF(N(C1001)&lt;=0,"Informe a quantidade",IF(IFERROR(INDEX(INVENTÁRIO!$B$2:$B$801,MATCH(K1001,INVENTÁRIO!$A$2:$A$801,0)),"")="(sem nome)","Carta fora dos decks: digite o nome na coluna I (opcional)","")))</f>
        <v/>
      </c>
      <c r="K1001" s="11" t="str">
        <f aca="false">UPPER(TRIM(SUBSTITUTE(B1001&amp;"",CHAR(160)," ")))</f>
        <v/>
      </c>
      <c r="L1001" s="11" t="str">
        <f aca="false">IF(AND(K1001&lt;&gt;"",TRIM(I1001&amp;"")&lt;&gt;""),K1001,"")</f>
        <v/>
      </c>
    </row>
    <row r="1002" customFormat="false" ht="15" hidden="false" customHeight="false" outlineLevel="0" collapsed="false">
      <c r="A1002" s="9"/>
      <c r="B1002" s="4"/>
      <c r="C1002" s="10"/>
      <c r="D1002" s="11" t="str">
        <f aca="false">IF(K1002="","",IFERROR(INDEX(DECKS!$C$2:$C$1201,MATCH(K1002,DECKS!$B$2:$B$1201,0)),TRIM(I1002&amp;"")))</f>
        <v/>
      </c>
      <c r="E1002" s="4"/>
      <c r="F1002" s="12"/>
      <c r="G1002" s="4"/>
      <c r="H1002" s="13" t="str">
        <f aca="false">IF(OR(N(C1002)=0,N(F1002)=0),"",C1002*F1002)</f>
        <v/>
      </c>
      <c r="I1002" s="4"/>
      <c r="J1002" s="11" t="str">
        <f aca="false">IF(K1002="","",IF(N(C1002)&lt;=0,"Informe a quantidade",IF(IFERROR(INDEX(INVENTÁRIO!$B$2:$B$801,MATCH(K1002,INVENTÁRIO!$A$2:$A$801,0)),"")="(sem nome)","Carta fora dos decks: digite o nome na coluna I (opcional)","")))</f>
        <v/>
      </c>
      <c r="K1002" s="11" t="str">
        <f aca="false">UPPER(TRIM(SUBSTITUTE(B1002&amp;"",CHAR(160)," ")))</f>
        <v/>
      </c>
      <c r="L1002" s="11" t="str">
        <f aca="false">IF(AND(K1002&lt;&gt;"",TRIM(I1002&amp;"")&lt;&gt;""),K1002,"")</f>
        <v/>
      </c>
    </row>
    <row r="1003" customFormat="false" ht="15" hidden="false" customHeight="false" outlineLevel="0" collapsed="false">
      <c r="A1003" s="9"/>
      <c r="B1003" s="4"/>
      <c r="C1003" s="10"/>
      <c r="D1003" s="11" t="str">
        <f aca="false">IF(K1003="","",IFERROR(INDEX(DECKS!$C$2:$C$1201,MATCH(K1003,DECKS!$B$2:$B$1201,0)),TRIM(I1003&amp;"")))</f>
        <v/>
      </c>
      <c r="E1003" s="4"/>
      <c r="F1003" s="12"/>
      <c r="G1003" s="4"/>
      <c r="H1003" s="13" t="str">
        <f aca="false">IF(OR(N(C1003)=0,N(F1003)=0),"",C1003*F1003)</f>
        <v/>
      </c>
      <c r="I1003" s="4"/>
      <c r="J1003" s="11" t="str">
        <f aca="false">IF(K1003="","",IF(N(C1003)&lt;=0,"Informe a quantidade",IF(IFERROR(INDEX(INVENTÁRIO!$B$2:$B$801,MATCH(K1003,INVENTÁRIO!$A$2:$A$801,0)),"")="(sem nome)","Carta fora dos decks: digite o nome na coluna I (opcional)","")))</f>
        <v/>
      </c>
      <c r="K1003" s="11" t="str">
        <f aca="false">UPPER(TRIM(SUBSTITUTE(B1003&amp;"",CHAR(160)," ")))</f>
        <v/>
      </c>
      <c r="L1003" s="11" t="str">
        <f aca="false">IF(AND(K1003&lt;&gt;"",TRIM(I1003&amp;"")&lt;&gt;""),K1003,"")</f>
        <v/>
      </c>
    </row>
    <row r="1004" customFormat="false" ht="15" hidden="false" customHeight="false" outlineLevel="0" collapsed="false">
      <c r="A1004" s="9"/>
      <c r="B1004" s="4"/>
      <c r="C1004" s="10"/>
      <c r="D1004" s="11" t="str">
        <f aca="false">IF(K1004="","",IFERROR(INDEX(DECKS!$C$2:$C$1201,MATCH(K1004,DECKS!$B$2:$B$1201,0)),TRIM(I1004&amp;"")))</f>
        <v/>
      </c>
      <c r="E1004" s="4"/>
      <c r="F1004" s="12"/>
      <c r="G1004" s="4"/>
      <c r="H1004" s="13" t="str">
        <f aca="false">IF(OR(N(C1004)=0,N(F1004)=0),"",C1004*F1004)</f>
        <v/>
      </c>
      <c r="I1004" s="4"/>
      <c r="J1004" s="11" t="str">
        <f aca="false">IF(K1004="","",IF(N(C1004)&lt;=0,"Informe a quantidade",IF(IFERROR(INDEX(INVENTÁRIO!$B$2:$B$801,MATCH(K1004,INVENTÁRIO!$A$2:$A$801,0)),"")="(sem nome)","Carta fora dos decks: digite o nome na coluna I (opcional)","")))</f>
        <v/>
      </c>
      <c r="K1004" s="11" t="str">
        <f aca="false">UPPER(TRIM(SUBSTITUTE(B1004&amp;"",CHAR(160)," ")))</f>
        <v/>
      </c>
      <c r="L1004" s="11" t="str">
        <f aca="false">IF(AND(K1004&lt;&gt;"",TRIM(I1004&amp;"")&lt;&gt;""),K1004,"")</f>
        <v/>
      </c>
    </row>
    <row r="1005" customFormat="false" ht="15" hidden="false" customHeight="false" outlineLevel="0" collapsed="false">
      <c r="A1005" s="9"/>
      <c r="B1005" s="4"/>
      <c r="C1005" s="10"/>
      <c r="D1005" s="11" t="str">
        <f aca="false">IF(K1005="","",IFERROR(INDEX(DECKS!$C$2:$C$1201,MATCH(K1005,DECKS!$B$2:$B$1201,0)),TRIM(I1005&amp;"")))</f>
        <v/>
      </c>
      <c r="E1005" s="4"/>
      <c r="F1005" s="12"/>
      <c r="G1005" s="4"/>
      <c r="H1005" s="13" t="str">
        <f aca="false">IF(OR(N(C1005)=0,N(F1005)=0),"",C1005*F1005)</f>
        <v/>
      </c>
      <c r="I1005" s="4"/>
      <c r="J1005" s="11" t="str">
        <f aca="false">IF(K1005="","",IF(N(C1005)&lt;=0,"Informe a quantidade",IF(IFERROR(INDEX(INVENTÁRIO!$B$2:$B$801,MATCH(K1005,INVENTÁRIO!$A$2:$A$801,0)),"")="(sem nome)","Carta fora dos decks: digite o nome na coluna I (opcional)","")))</f>
        <v/>
      </c>
      <c r="K1005" s="11" t="str">
        <f aca="false">UPPER(TRIM(SUBSTITUTE(B1005&amp;"",CHAR(160)," ")))</f>
        <v/>
      </c>
      <c r="L1005" s="11" t="str">
        <f aca="false">IF(AND(K1005&lt;&gt;"",TRIM(I1005&amp;"")&lt;&gt;""),K1005,"")</f>
        <v/>
      </c>
    </row>
    <row r="1006" customFormat="false" ht="15" hidden="false" customHeight="false" outlineLevel="0" collapsed="false">
      <c r="A1006" s="9"/>
      <c r="B1006" s="4"/>
      <c r="C1006" s="10"/>
      <c r="D1006" s="11" t="str">
        <f aca="false">IF(K1006="","",IFERROR(INDEX(DECKS!$C$2:$C$1201,MATCH(K1006,DECKS!$B$2:$B$1201,0)),TRIM(I1006&amp;"")))</f>
        <v/>
      </c>
      <c r="E1006" s="4"/>
      <c r="F1006" s="12"/>
      <c r="G1006" s="4"/>
      <c r="H1006" s="13" t="str">
        <f aca="false">IF(OR(N(C1006)=0,N(F1006)=0),"",C1006*F1006)</f>
        <v/>
      </c>
      <c r="I1006" s="4"/>
      <c r="J1006" s="11" t="str">
        <f aca="false">IF(K1006="","",IF(N(C1006)&lt;=0,"Informe a quantidade",IF(IFERROR(INDEX(INVENTÁRIO!$B$2:$B$801,MATCH(K1006,INVENTÁRIO!$A$2:$A$801,0)),"")="(sem nome)","Carta fora dos decks: digite o nome na coluna I (opcional)","")))</f>
        <v/>
      </c>
      <c r="K1006" s="11" t="str">
        <f aca="false">UPPER(TRIM(SUBSTITUTE(B1006&amp;"",CHAR(160)," ")))</f>
        <v/>
      </c>
      <c r="L1006" s="11" t="str">
        <f aca="false">IF(AND(K1006&lt;&gt;"",TRIM(I1006&amp;"")&lt;&gt;""),K1006,"")</f>
        <v/>
      </c>
    </row>
    <row r="1007" customFormat="false" ht="15" hidden="false" customHeight="false" outlineLevel="0" collapsed="false">
      <c r="A1007" s="9"/>
      <c r="B1007" s="4"/>
      <c r="C1007" s="10"/>
      <c r="D1007" s="11" t="str">
        <f aca="false">IF(K1007="","",IFERROR(INDEX(DECKS!$C$2:$C$1201,MATCH(K1007,DECKS!$B$2:$B$1201,0)),TRIM(I1007&amp;"")))</f>
        <v/>
      </c>
      <c r="E1007" s="4"/>
      <c r="F1007" s="12"/>
      <c r="G1007" s="4"/>
      <c r="H1007" s="13" t="str">
        <f aca="false">IF(OR(N(C1007)=0,N(F1007)=0),"",C1007*F1007)</f>
        <v/>
      </c>
      <c r="I1007" s="4"/>
      <c r="J1007" s="11" t="str">
        <f aca="false">IF(K1007="","",IF(N(C1007)&lt;=0,"Informe a quantidade",IF(IFERROR(INDEX(INVENTÁRIO!$B$2:$B$801,MATCH(K1007,INVENTÁRIO!$A$2:$A$801,0)),"")="(sem nome)","Carta fora dos decks: digite o nome na coluna I (opcional)","")))</f>
        <v/>
      </c>
      <c r="K1007" s="11" t="str">
        <f aca="false">UPPER(TRIM(SUBSTITUTE(B1007&amp;"",CHAR(160)," ")))</f>
        <v/>
      </c>
      <c r="L1007" s="11" t="str">
        <f aca="false">IF(AND(K1007&lt;&gt;"",TRIM(I1007&amp;"")&lt;&gt;""),K1007,"")</f>
        <v/>
      </c>
    </row>
    <row r="1008" customFormat="false" ht="15" hidden="false" customHeight="false" outlineLevel="0" collapsed="false">
      <c r="A1008" s="9"/>
      <c r="B1008" s="4"/>
      <c r="C1008" s="10"/>
      <c r="D1008" s="11" t="str">
        <f aca="false">IF(K1008="","",IFERROR(INDEX(DECKS!$C$2:$C$1201,MATCH(K1008,DECKS!$B$2:$B$1201,0)),TRIM(I1008&amp;"")))</f>
        <v/>
      </c>
      <c r="E1008" s="4"/>
      <c r="F1008" s="12"/>
      <c r="G1008" s="4"/>
      <c r="H1008" s="13" t="str">
        <f aca="false">IF(OR(N(C1008)=0,N(F1008)=0),"",C1008*F1008)</f>
        <v/>
      </c>
      <c r="I1008" s="4"/>
      <c r="J1008" s="11" t="str">
        <f aca="false">IF(K1008="","",IF(N(C1008)&lt;=0,"Informe a quantidade",IF(IFERROR(INDEX(INVENTÁRIO!$B$2:$B$801,MATCH(K1008,INVENTÁRIO!$A$2:$A$801,0)),"")="(sem nome)","Carta fora dos decks: digite o nome na coluna I (opcional)","")))</f>
        <v/>
      </c>
      <c r="K1008" s="11" t="str">
        <f aca="false">UPPER(TRIM(SUBSTITUTE(B1008&amp;"",CHAR(160)," ")))</f>
        <v/>
      </c>
      <c r="L1008" s="11" t="str">
        <f aca="false">IF(AND(K1008&lt;&gt;"",TRIM(I1008&amp;"")&lt;&gt;""),K1008,"")</f>
        <v/>
      </c>
    </row>
    <row r="1009" customFormat="false" ht="15" hidden="false" customHeight="false" outlineLevel="0" collapsed="false">
      <c r="A1009" s="9"/>
      <c r="B1009" s="4"/>
      <c r="C1009" s="10"/>
      <c r="D1009" s="11" t="str">
        <f aca="false">IF(K1009="","",IFERROR(INDEX(DECKS!$C$2:$C$1201,MATCH(K1009,DECKS!$B$2:$B$1201,0)),TRIM(I1009&amp;"")))</f>
        <v/>
      </c>
      <c r="E1009" s="4"/>
      <c r="F1009" s="12"/>
      <c r="G1009" s="4"/>
      <c r="H1009" s="13" t="str">
        <f aca="false">IF(OR(N(C1009)=0,N(F1009)=0),"",C1009*F1009)</f>
        <v/>
      </c>
      <c r="I1009" s="4"/>
      <c r="J1009" s="11" t="str">
        <f aca="false">IF(K1009="","",IF(N(C1009)&lt;=0,"Informe a quantidade",IF(IFERROR(INDEX(INVENTÁRIO!$B$2:$B$801,MATCH(K1009,INVENTÁRIO!$A$2:$A$801,0)),"")="(sem nome)","Carta fora dos decks: digite o nome na coluna I (opcional)","")))</f>
        <v/>
      </c>
      <c r="K1009" s="11" t="str">
        <f aca="false">UPPER(TRIM(SUBSTITUTE(B1009&amp;"",CHAR(160)," ")))</f>
        <v/>
      </c>
      <c r="L1009" s="11" t="str">
        <f aca="false">IF(AND(K1009&lt;&gt;"",TRIM(I1009&amp;"")&lt;&gt;""),K1009,"")</f>
        <v/>
      </c>
    </row>
    <row r="1010" customFormat="false" ht="15" hidden="false" customHeight="false" outlineLevel="0" collapsed="false">
      <c r="A1010" s="9"/>
      <c r="B1010" s="4"/>
      <c r="C1010" s="10"/>
      <c r="D1010" s="11" t="str">
        <f aca="false">IF(K1010="","",IFERROR(INDEX(DECKS!$C$2:$C$1201,MATCH(K1010,DECKS!$B$2:$B$1201,0)),TRIM(I1010&amp;"")))</f>
        <v/>
      </c>
      <c r="E1010" s="4"/>
      <c r="F1010" s="12"/>
      <c r="G1010" s="4"/>
      <c r="H1010" s="13" t="str">
        <f aca="false">IF(OR(N(C1010)=0,N(F1010)=0),"",C1010*F1010)</f>
        <v/>
      </c>
      <c r="I1010" s="4"/>
      <c r="J1010" s="11" t="str">
        <f aca="false">IF(K1010="","",IF(N(C1010)&lt;=0,"Informe a quantidade",IF(IFERROR(INDEX(INVENTÁRIO!$B$2:$B$801,MATCH(K1010,INVENTÁRIO!$A$2:$A$801,0)),"")="(sem nome)","Carta fora dos decks: digite o nome na coluna I (opcional)","")))</f>
        <v/>
      </c>
      <c r="K1010" s="11" t="str">
        <f aca="false">UPPER(TRIM(SUBSTITUTE(B1010&amp;"",CHAR(160)," ")))</f>
        <v/>
      </c>
      <c r="L1010" s="11" t="str">
        <f aca="false">IF(AND(K1010&lt;&gt;"",TRIM(I1010&amp;"")&lt;&gt;""),K1010,"")</f>
        <v/>
      </c>
    </row>
    <row r="1011" customFormat="false" ht="15" hidden="false" customHeight="false" outlineLevel="0" collapsed="false">
      <c r="A1011" s="9"/>
      <c r="B1011" s="4"/>
      <c r="C1011" s="10"/>
      <c r="D1011" s="11" t="str">
        <f aca="false">IF(K1011="","",IFERROR(INDEX(DECKS!$C$2:$C$1201,MATCH(K1011,DECKS!$B$2:$B$1201,0)),TRIM(I1011&amp;"")))</f>
        <v/>
      </c>
      <c r="E1011" s="4"/>
      <c r="F1011" s="12"/>
      <c r="G1011" s="4"/>
      <c r="H1011" s="13" t="str">
        <f aca="false">IF(OR(N(C1011)=0,N(F1011)=0),"",C1011*F1011)</f>
        <v/>
      </c>
      <c r="I1011" s="4"/>
      <c r="J1011" s="11" t="str">
        <f aca="false">IF(K1011="","",IF(N(C1011)&lt;=0,"Informe a quantidade",IF(IFERROR(INDEX(INVENTÁRIO!$B$2:$B$801,MATCH(K1011,INVENTÁRIO!$A$2:$A$801,0)),"")="(sem nome)","Carta fora dos decks: digite o nome na coluna I (opcional)","")))</f>
        <v/>
      </c>
      <c r="K1011" s="11" t="str">
        <f aca="false">UPPER(TRIM(SUBSTITUTE(B1011&amp;"",CHAR(160)," ")))</f>
        <v/>
      </c>
      <c r="L1011" s="11" t="str">
        <f aca="false">IF(AND(K1011&lt;&gt;"",TRIM(I1011&amp;"")&lt;&gt;""),K1011,"")</f>
        <v/>
      </c>
    </row>
    <row r="1012" customFormat="false" ht="15" hidden="false" customHeight="false" outlineLevel="0" collapsed="false">
      <c r="A1012" s="9"/>
      <c r="B1012" s="4"/>
      <c r="C1012" s="10"/>
      <c r="D1012" s="11" t="str">
        <f aca="false">IF(K1012="","",IFERROR(INDEX(DECKS!$C$2:$C$1201,MATCH(K1012,DECKS!$B$2:$B$1201,0)),TRIM(I1012&amp;"")))</f>
        <v/>
      </c>
      <c r="E1012" s="4"/>
      <c r="F1012" s="12"/>
      <c r="G1012" s="4"/>
      <c r="H1012" s="13" t="str">
        <f aca="false">IF(OR(N(C1012)=0,N(F1012)=0),"",C1012*F1012)</f>
        <v/>
      </c>
      <c r="I1012" s="4"/>
      <c r="J1012" s="11" t="str">
        <f aca="false">IF(K1012="","",IF(N(C1012)&lt;=0,"Informe a quantidade",IF(IFERROR(INDEX(INVENTÁRIO!$B$2:$B$801,MATCH(K1012,INVENTÁRIO!$A$2:$A$801,0)),"")="(sem nome)","Carta fora dos decks: digite o nome na coluna I (opcional)","")))</f>
        <v/>
      </c>
      <c r="K1012" s="11" t="str">
        <f aca="false">UPPER(TRIM(SUBSTITUTE(B1012&amp;"",CHAR(160)," ")))</f>
        <v/>
      </c>
      <c r="L1012" s="11" t="str">
        <f aca="false">IF(AND(K1012&lt;&gt;"",TRIM(I1012&amp;"")&lt;&gt;""),K1012,"")</f>
        <v/>
      </c>
    </row>
    <row r="1013" customFormat="false" ht="15" hidden="false" customHeight="false" outlineLevel="0" collapsed="false">
      <c r="A1013" s="9"/>
      <c r="B1013" s="4"/>
      <c r="C1013" s="10"/>
      <c r="D1013" s="11" t="str">
        <f aca="false">IF(K1013="","",IFERROR(INDEX(DECKS!$C$2:$C$1201,MATCH(K1013,DECKS!$B$2:$B$1201,0)),TRIM(I1013&amp;"")))</f>
        <v/>
      </c>
      <c r="E1013" s="4"/>
      <c r="F1013" s="12"/>
      <c r="G1013" s="4"/>
      <c r="H1013" s="13" t="str">
        <f aca="false">IF(OR(N(C1013)=0,N(F1013)=0),"",C1013*F1013)</f>
        <v/>
      </c>
      <c r="I1013" s="4"/>
      <c r="J1013" s="11" t="str">
        <f aca="false">IF(K1013="","",IF(N(C1013)&lt;=0,"Informe a quantidade",IF(IFERROR(INDEX(INVENTÁRIO!$B$2:$B$801,MATCH(K1013,INVENTÁRIO!$A$2:$A$801,0)),"")="(sem nome)","Carta fora dos decks: digite o nome na coluna I (opcional)","")))</f>
        <v/>
      </c>
      <c r="K1013" s="11" t="str">
        <f aca="false">UPPER(TRIM(SUBSTITUTE(B1013&amp;"",CHAR(160)," ")))</f>
        <v/>
      </c>
      <c r="L1013" s="11" t="str">
        <f aca="false">IF(AND(K1013&lt;&gt;"",TRIM(I1013&amp;"")&lt;&gt;""),K1013,"")</f>
        <v/>
      </c>
    </row>
    <row r="1014" customFormat="false" ht="15" hidden="false" customHeight="false" outlineLevel="0" collapsed="false">
      <c r="A1014" s="9"/>
      <c r="B1014" s="4"/>
      <c r="C1014" s="10"/>
      <c r="D1014" s="11" t="str">
        <f aca="false">IF(K1014="","",IFERROR(INDEX(DECKS!$C$2:$C$1201,MATCH(K1014,DECKS!$B$2:$B$1201,0)),TRIM(I1014&amp;"")))</f>
        <v/>
      </c>
      <c r="E1014" s="4"/>
      <c r="F1014" s="12"/>
      <c r="G1014" s="4"/>
      <c r="H1014" s="13" t="str">
        <f aca="false">IF(OR(N(C1014)=0,N(F1014)=0),"",C1014*F1014)</f>
        <v/>
      </c>
      <c r="I1014" s="4"/>
      <c r="J1014" s="11" t="str">
        <f aca="false">IF(K1014="","",IF(N(C1014)&lt;=0,"Informe a quantidade",IF(IFERROR(INDEX(INVENTÁRIO!$B$2:$B$801,MATCH(K1014,INVENTÁRIO!$A$2:$A$801,0)),"")="(sem nome)","Carta fora dos decks: digite o nome na coluna I (opcional)","")))</f>
        <v/>
      </c>
      <c r="K1014" s="11" t="str">
        <f aca="false">UPPER(TRIM(SUBSTITUTE(B1014&amp;"",CHAR(160)," ")))</f>
        <v/>
      </c>
      <c r="L1014" s="11" t="str">
        <f aca="false">IF(AND(K1014&lt;&gt;"",TRIM(I1014&amp;"")&lt;&gt;""),K1014,"")</f>
        <v/>
      </c>
    </row>
    <row r="1015" customFormat="false" ht="15" hidden="false" customHeight="false" outlineLevel="0" collapsed="false">
      <c r="A1015" s="9"/>
      <c r="B1015" s="4"/>
      <c r="C1015" s="10"/>
      <c r="D1015" s="11" t="str">
        <f aca="false">IF(K1015="","",IFERROR(INDEX(DECKS!$C$2:$C$1201,MATCH(K1015,DECKS!$B$2:$B$1201,0)),TRIM(I1015&amp;"")))</f>
        <v/>
      </c>
      <c r="E1015" s="4"/>
      <c r="F1015" s="12"/>
      <c r="G1015" s="4"/>
      <c r="H1015" s="13" t="str">
        <f aca="false">IF(OR(N(C1015)=0,N(F1015)=0),"",C1015*F1015)</f>
        <v/>
      </c>
      <c r="I1015" s="4"/>
      <c r="J1015" s="11" t="str">
        <f aca="false">IF(K1015="","",IF(N(C1015)&lt;=0,"Informe a quantidade",IF(IFERROR(INDEX(INVENTÁRIO!$B$2:$B$801,MATCH(K1015,INVENTÁRIO!$A$2:$A$801,0)),"")="(sem nome)","Carta fora dos decks: digite o nome na coluna I (opcional)","")))</f>
        <v/>
      </c>
      <c r="K1015" s="11" t="str">
        <f aca="false">UPPER(TRIM(SUBSTITUTE(B1015&amp;"",CHAR(160)," ")))</f>
        <v/>
      </c>
      <c r="L1015" s="11" t="str">
        <f aca="false">IF(AND(K1015&lt;&gt;"",TRIM(I1015&amp;"")&lt;&gt;""),K1015,"")</f>
        <v/>
      </c>
    </row>
    <row r="1016" customFormat="false" ht="15" hidden="false" customHeight="false" outlineLevel="0" collapsed="false">
      <c r="A1016" s="9"/>
      <c r="B1016" s="4"/>
      <c r="C1016" s="10"/>
      <c r="D1016" s="11" t="str">
        <f aca="false">IF(K1016="","",IFERROR(INDEX(DECKS!$C$2:$C$1201,MATCH(K1016,DECKS!$B$2:$B$1201,0)),TRIM(I1016&amp;"")))</f>
        <v/>
      </c>
      <c r="E1016" s="4"/>
      <c r="F1016" s="12"/>
      <c r="G1016" s="4"/>
      <c r="H1016" s="13" t="str">
        <f aca="false">IF(OR(N(C1016)=0,N(F1016)=0),"",C1016*F1016)</f>
        <v/>
      </c>
      <c r="I1016" s="4"/>
      <c r="J1016" s="11" t="str">
        <f aca="false">IF(K1016="","",IF(N(C1016)&lt;=0,"Informe a quantidade",IF(IFERROR(INDEX(INVENTÁRIO!$B$2:$B$801,MATCH(K1016,INVENTÁRIO!$A$2:$A$801,0)),"")="(sem nome)","Carta fora dos decks: digite o nome na coluna I (opcional)","")))</f>
        <v/>
      </c>
      <c r="K1016" s="11" t="str">
        <f aca="false">UPPER(TRIM(SUBSTITUTE(B1016&amp;"",CHAR(160)," ")))</f>
        <v/>
      </c>
      <c r="L1016" s="11" t="str">
        <f aca="false">IF(AND(K1016&lt;&gt;"",TRIM(I1016&amp;"")&lt;&gt;""),K1016,"")</f>
        <v/>
      </c>
    </row>
    <row r="1017" customFormat="false" ht="15" hidden="false" customHeight="false" outlineLevel="0" collapsed="false">
      <c r="A1017" s="9"/>
      <c r="B1017" s="4"/>
      <c r="C1017" s="10"/>
      <c r="D1017" s="11" t="str">
        <f aca="false">IF(K1017="","",IFERROR(INDEX(DECKS!$C$2:$C$1201,MATCH(K1017,DECKS!$B$2:$B$1201,0)),TRIM(I1017&amp;"")))</f>
        <v/>
      </c>
      <c r="E1017" s="4"/>
      <c r="F1017" s="12"/>
      <c r="G1017" s="4"/>
      <c r="H1017" s="13" t="str">
        <f aca="false">IF(OR(N(C1017)=0,N(F1017)=0),"",C1017*F1017)</f>
        <v/>
      </c>
      <c r="I1017" s="4"/>
      <c r="J1017" s="11" t="str">
        <f aca="false">IF(K1017="","",IF(N(C1017)&lt;=0,"Informe a quantidade",IF(IFERROR(INDEX(INVENTÁRIO!$B$2:$B$801,MATCH(K1017,INVENTÁRIO!$A$2:$A$801,0)),"")="(sem nome)","Carta fora dos decks: digite o nome na coluna I (opcional)","")))</f>
        <v/>
      </c>
      <c r="K1017" s="11" t="str">
        <f aca="false">UPPER(TRIM(SUBSTITUTE(B1017&amp;"",CHAR(160)," ")))</f>
        <v/>
      </c>
      <c r="L1017" s="11" t="str">
        <f aca="false">IF(AND(K1017&lt;&gt;"",TRIM(I1017&amp;"")&lt;&gt;""),K1017,"")</f>
        <v/>
      </c>
    </row>
    <row r="1018" customFormat="false" ht="15" hidden="false" customHeight="false" outlineLevel="0" collapsed="false">
      <c r="A1018" s="9"/>
      <c r="B1018" s="4"/>
      <c r="C1018" s="10"/>
      <c r="D1018" s="11" t="str">
        <f aca="false">IF(K1018="","",IFERROR(INDEX(DECKS!$C$2:$C$1201,MATCH(K1018,DECKS!$B$2:$B$1201,0)),TRIM(I1018&amp;"")))</f>
        <v/>
      </c>
      <c r="E1018" s="4"/>
      <c r="F1018" s="12"/>
      <c r="G1018" s="4"/>
      <c r="H1018" s="13" t="str">
        <f aca="false">IF(OR(N(C1018)=0,N(F1018)=0),"",C1018*F1018)</f>
        <v/>
      </c>
      <c r="I1018" s="4"/>
      <c r="J1018" s="11" t="str">
        <f aca="false">IF(K1018="","",IF(N(C1018)&lt;=0,"Informe a quantidade",IF(IFERROR(INDEX(INVENTÁRIO!$B$2:$B$801,MATCH(K1018,INVENTÁRIO!$A$2:$A$801,0)),"")="(sem nome)","Carta fora dos decks: digite o nome na coluna I (opcional)","")))</f>
        <v/>
      </c>
      <c r="K1018" s="11" t="str">
        <f aca="false">UPPER(TRIM(SUBSTITUTE(B1018&amp;"",CHAR(160)," ")))</f>
        <v/>
      </c>
      <c r="L1018" s="11" t="str">
        <f aca="false">IF(AND(K1018&lt;&gt;"",TRIM(I1018&amp;"")&lt;&gt;""),K1018,"")</f>
        <v/>
      </c>
    </row>
    <row r="1019" customFormat="false" ht="15" hidden="false" customHeight="false" outlineLevel="0" collapsed="false">
      <c r="A1019" s="9"/>
      <c r="B1019" s="4"/>
      <c r="C1019" s="10"/>
      <c r="D1019" s="11" t="str">
        <f aca="false">IF(K1019="","",IFERROR(INDEX(DECKS!$C$2:$C$1201,MATCH(K1019,DECKS!$B$2:$B$1201,0)),TRIM(I1019&amp;"")))</f>
        <v/>
      </c>
      <c r="E1019" s="4"/>
      <c r="F1019" s="12"/>
      <c r="G1019" s="4"/>
      <c r="H1019" s="13" t="str">
        <f aca="false">IF(OR(N(C1019)=0,N(F1019)=0),"",C1019*F1019)</f>
        <v/>
      </c>
      <c r="I1019" s="4"/>
      <c r="J1019" s="11" t="str">
        <f aca="false">IF(K1019="","",IF(N(C1019)&lt;=0,"Informe a quantidade",IF(IFERROR(INDEX(INVENTÁRIO!$B$2:$B$801,MATCH(K1019,INVENTÁRIO!$A$2:$A$801,0)),"")="(sem nome)","Carta fora dos decks: digite o nome na coluna I (opcional)","")))</f>
        <v/>
      </c>
      <c r="K1019" s="11" t="str">
        <f aca="false">UPPER(TRIM(SUBSTITUTE(B1019&amp;"",CHAR(160)," ")))</f>
        <v/>
      </c>
      <c r="L1019" s="11" t="str">
        <f aca="false">IF(AND(K1019&lt;&gt;"",TRIM(I1019&amp;"")&lt;&gt;""),K1019,"")</f>
        <v/>
      </c>
    </row>
    <row r="1020" customFormat="false" ht="15" hidden="false" customHeight="false" outlineLevel="0" collapsed="false">
      <c r="A1020" s="9"/>
      <c r="B1020" s="4"/>
      <c r="C1020" s="10"/>
      <c r="D1020" s="11" t="str">
        <f aca="false">IF(K1020="","",IFERROR(INDEX(DECKS!$C$2:$C$1201,MATCH(K1020,DECKS!$B$2:$B$1201,0)),TRIM(I1020&amp;"")))</f>
        <v/>
      </c>
      <c r="E1020" s="4"/>
      <c r="F1020" s="12"/>
      <c r="G1020" s="4"/>
      <c r="H1020" s="13" t="str">
        <f aca="false">IF(OR(N(C1020)=0,N(F1020)=0),"",C1020*F1020)</f>
        <v/>
      </c>
      <c r="I1020" s="4"/>
      <c r="J1020" s="11" t="str">
        <f aca="false">IF(K1020="","",IF(N(C1020)&lt;=0,"Informe a quantidade",IF(IFERROR(INDEX(INVENTÁRIO!$B$2:$B$801,MATCH(K1020,INVENTÁRIO!$A$2:$A$801,0)),"")="(sem nome)","Carta fora dos decks: digite o nome na coluna I (opcional)","")))</f>
        <v/>
      </c>
      <c r="K1020" s="11" t="str">
        <f aca="false">UPPER(TRIM(SUBSTITUTE(B1020&amp;"",CHAR(160)," ")))</f>
        <v/>
      </c>
      <c r="L1020" s="11" t="str">
        <f aca="false">IF(AND(K1020&lt;&gt;"",TRIM(I1020&amp;"")&lt;&gt;""),K1020,"")</f>
        <v/>
      </c>
    </row>
    <row r="1021" customFormat="false" ht="15" hidden="false" customHeight="false" outlineLevel="0" collapsed="false">
      <c r="A1021" s="9"/>
      <c r="B1021" s="4"/>
      <c r="C1021" s="10"/>
      <c r="D1021" s="11" t="str">
        <f aca="false">IF(K1021="","",IFERROR(INDEX(DECKS!$C$2:$C$1201,MATCH(K1021,DECKS!$B$2:$B$1201,0)),TRIM(I1021&amp;"")))</f>
        <v/>
      </c>
      <c r="E1021" s="4"/>
      <c r="F1021" s="12"/>
      <c r="G1021" s="4"/>
      <c r="H1021" s="13" t="str">
        <f aca="false">IF(OR(N(C1021)=0,N(F1021)=0),"",C1021*F1021)</f>
        <v/>
      </c>
      <c r="I1021" s="4"/>
      <c r="J1021" s="11" t="str">
        <f aca="false">IF(K1021="","",IF(N(C1021)&lt;=0,"Informe a quantidade",IF(IFERROR(INDEX(INVENTÁRIO!$B$2:$B$801,MATCH(K1021,INVENTÁRIO!$A$2:$A$801,0)),"")="(sem nome)","Carta fora dos decks: digite o nome na coluna I (opcional)","")))</f>
        <v/>
      </c>
      <c r="K1021" s="11" t="str">
        <f aca="false">UPPER(TRIM(SUBSTITUTE(B1021&amp;"",CHAR(160)," ")))</f>
        <v/>
      </c>
      <c r="L1021" s="11" t="str">
        <f aca="false">IF(AND(K1021&lt;&gt;"",TRIM(I1021&amp;"")&lt;&gt;""),K1021,"")</f>
        <v/>
      </c>
    </row>
    <row r="1022" customFormat="false" ht="15" hidden="false" customHeight="false" outlineLevel="0" collapsed="false">
      <c r="A1022" s="9"/>
      <c r="B1022" s="4"/>
      <c r="C1022" s="10"/>
      <c r="D1022" s="11" t="str">
        <f aca="false">IF(K1022="","",IFERROR(INDEX(DECKS!$C$2:$C$1201,MATCH(K1022,DECKS!$B$2:$B$1201,0)),TRIM(I1022&amp;"")))</f>
        <v/>
      </c>
      <c r="E1022" s="4"/>
      <c r="F1022" s="12"/>
      <c r="G1022" s="4"/>
      <c r="H1022" s="13" t="str">
        <f aca="false">IF(OR(N(C1022)=0,N(F1022)=0),"",C1022*F1022)</f>
        <v/>
      </c>
      <c r="I1022" s="4"/>
      <c r="J1022" s="11" t="str">
        <f aca="false">IF(K1022="","",IF(N(C1022)&lt;=0,"Informe a quantidade",IF(IFERROR(INDEX(INVENTÁRIO!$B$2:$B$801,MATCH(K1022,INVENTÁRIO!$A$2:$A$801,0)),"")="(sem nome)","Carta fora dos decks: digite o nome na coluna I (opcional)","")))</f>
        <v/>
      </c>
      <c r="K1022" s="11" t="str">
        <f aca="false">UPPER(TRIM(SUBSTITUTE(B1022&amp;"",CHAR(160)," ")))</f>
        <v/>
      </c>
      <c r="L1022" s="11" t="str">
        <f aca="false">IF(AND(K1022&lt;&gt;"",TRIM(I1022&amp;"")&lt;&gt;""),K1022,"")</f>
        <v/>
      </c>
    </row>
    <row r="1023" customFormat="false" ht="15" hidden="false" customHeight="false" outlineLevel="0" collapsed="false">
      <c r="A1023" s="9"/>
      <c r="B1023" s="4"/>
      <c r="C1023" s="10"/>
      <c r="D1023" s="11" t="str">
        <f aca="false">IF(K1023="","",IFERROR(INDEX(DECKS!$C$2:$C$1201,MATCH(K1023,DECKS!$B$2:$B$1201,0)),TRIM(I1023&amp;"")))</f>
        <v/>
      </c>
      <c r="E1023" s="4"/>
      <c r="F1023" s="12"/>
      <c r="G1023" s="4"/>
      <c r="H1023" s="13" t="str">
        <f aca="false">IF(OR(N(C1023)=0,N(F1023)=0),"",C1023*F1023)</f>
        <v/>
      </c>
      <c r="I1023" s="4"/>
      <c r="J1023" s="11" t="str">
        <f aca="false">IF(K1023="","",IF(N(C1023)&lt;=0,"Informe a quantidade",IF(IFERROR(INDEX(INVENTÁRIO!$B$2:$B$801,MATCH(K1023,INVENTÁRIO!$A$2:$A$801,0)),"")="(sem nome)","Carta fora dos decks: digite o nome na coluna I (opcional)","")))</f>
        <v/>
      </c>
      <c r="K1023" s="11" t="str">
        <f aca="false">UPPER(TRIM(SUBSTITUTE(B1023&amp;"",CHAR(160)," ")))</f>
        <v/>
      </c>
      <c r="L1023" s="11" t="str">
        <f aca="false">IF(AND(K1023&lt;&gt;"",TRIM(I1023&amp;"")&lt;&gt;""),K1023,"")</f>
        <v/>
      </c>
    </row>
    <row r="1024" customFormat="false" ht="15" hidden="false" customHeight="false" outlineLevel="0" collapsed="false">
      <c r="A1024" s="9"/>
      <c r="B1024" s="4"/>
      <c r="C1024" s="10"/>
      <c r="D1024" s="11" t="str">
        <f aca="false">IF(K1024="","",IFERROR(INDEX(DECKS!$C$2:$C$1201,MATCH(K1024,DECKS!$B$2:$B$1201,0)),TRIM(I1024&amp;"")))</f>
        <v/>
      </c>
      <c r="E1024" s="4"/>
      <c r="F1024" s="12"/>
      <c r="G1024" s="4"/>
      <c r="H1024" s="13" t="str">
        <f aca="false">IF(OR(N(C1024)=0,N(F1024)=0),"",C1024*F1024)</f>
        <v/>
      </c>
      <c r="I1024" s="4"/>
      <c r="J1024" s="11" t="str">
        <f aca="false">IF(K1024="","",IF(N(C1024)&lt;=0,"Informe a quantidade",IF(IFERROR(INDEX(INVENTÁRIO!$B$2:$B$801,MATCH(K1024,INVENTÁRIO!$A$2:$A$801,0)),"")="(sem nome)","Carta fora dos decks: digite o nome na coluna I (opcional)","")))</f>
        <v/>
      </c>
      <c r="K1024" s="11" t="str">
        <f aca="false">UPPER(TRIM(SUBSTITUTE(B1024&amp;"",CHAR(160)," ")))</f>
        <v/>
      </c>
      <c r="L1024" s="11" t="str">
        <f aca="false">IF(AND(K1024&lt;&gt;"",TRIM(I1024&amp;"")&lt;&gt;""),K1024,"")</f>
        <v/>
      </c>
    </row>
    <row r="1025" customFormat="false" ht="15" hidden="false" customHeight="false" outlineLevel="0" collapsed="false">
      <c r="A1025" s="9"/>
      <c r="B1025" s="4"/>
      <c r="C1025" s="10"/>
      <c r="D1025" s="11" t="str">
        <f aca="false">IF(K1025="","",IFERROR(INDEX(DECKS!$C$2:$C$1201,MATCH(K1025,DECKS!$B$2:$B$1201,0)),TRIM(I1025&amp;"")))</f>
        <v/>
      </c>
      <c r="E1025" s="4"/>
      <c r="F1025" s="12"/>
      <c r="G1025" s="4"/>
      <c r="H1025" s="13" t="str">
        <f aca="false">IF(OR(N(C1025)=0,N(F1025)=0),"",C1025*F1025)</f>
        <v/>
      </c>
      <c r="I1025" s="4"/>
      <c r="J1025" s="11" t="str">
        <f aca="false">IF(K1025="","",IF(N(C1025)&lt;=0,"Informe a quantidade",IF(IFERROR(INDEX(INVENTÁRIO!$B$2:$B$801,MATCH(K1025,INVENTÁRIO!$A$2:$A$801,0)),"")="(sem nome)","Carta fora dos decks: digite o nome na coluna I (opcional)","")))</f>
        <v/>
      </c>
      <c r="K1025" s="11" t="str">
        <f aca="false">UPPER(TRIM(SUBSTITUTE(B1025&amp;"",CHAR(160)," ")))</f>
        <v/>
      </c>
      <c r="L1025" s="11" t="str">
        <f aca="false">IF(AND(K1025&lt;&gt;"",TRIM(I1025&amp;"")&lt;&gt;""),K1025,"")</f>
        <v/>
      </c>
    </row>
    <row r="1026" customFormat="false" ht="15" hidden="false" customHeight="false" outlineLevel="0" collapsed="false">
      <c r="A1026" s="9"/>
      <c r="B1026" s="4"/>
      <c r="C1026" s="10"/>
      <c r="D1026" s="11" t="str">
        <f aca="false">IF(K1026="","",IFERROR(INDEX(DECKS!$C$2:$C$1201,MATCH(K1026,DECKS!$B$2:$B$1201,0)),TRIM(I1026&amp;"")))</f>
        <v/>
      </c>
      <c r="E1026" s="4"/>
      <c r="F1026" s="12"/>
      <c r="G1026" s="4"/>
      <c r="H1026" s="13" t="str">
        <f aca="false">IF(OR(N(C1026)=0,N(F1026)=0),"",C1026*F1026)</f>
        <v/>
      </c>
      <c r="I1026" s="4"/>
      <c r="J1026" s="11" t="str">
        <f aca="false">IF(K1026="","",IF(N(C1026)&lt;=0,"Informe a quantidade",IF(IFERROR(INDEX(INVENTÁRIO!$B$2:$B$801,MATCH(K1026,INVENTÁRIO!$A$2:$A$801,0)),"")="(sem nome)","Carta fora dos decks: digite o nome na coluna I (opcional)","")))</f>
        <v/>
      </c>
      <c r="K1026" s="11" t="str">
        <f aca="false">UPPER(TRIM(SUBSTITUTE(B1026&amp;"",CHAR(160)," ")))</f>
        <v/>
      </c>
      <c r="L1026" s="11" t="str">
        <f aca="false">IF(AND(K1026&lt;&gt;"",TRIM(I1026&amp;"")&lt;&gt;""),K1026,"")</f>
        <v/>
      </c>
    </row>
    <row r="1027" customFormat="false" ht="15" hidden="false" customHeight="false" outlineLevel="0" collapsed="false">
      <c r="A1027" s="9"/>
      <c r="B1027" s="4"/>
      <c r="C1027" s="10"/>
      <c r="D1027" s="11" t="str">
        <f aca="false">IF(K1027="","",IFERROR(INDEX(DECKS!$C$2:$C$1201,MATCH(K1027,DECKS!$B$2:$B$1201,0)),TRIM(I1027&amp;"")))</f>
        <v/>
      </c>
      <c r="E1027" s="4"/>
      <c r="F1027" s="12"/>
      <c r="G1027" s="4"/>
      <c r="H1027" s="13" t="str">
        <f aca="false">IF(OR(N(C1027)=0,N(F1027)=0),"",C1027*F1027)</f>
        <v/>
      </c>
      <c r="I1027" s="4"/>
      <c r="J1027" s="11" t="str">
        <f aca="false">IF(K1027="","",IF(N(C1027)&lt;=0,"Informe a quantidade",IF(IFERROR(INDEX(INVENTÁRIO!$B$2:$B$801,MATCH(K1027,INVENTÁRIO!$A$2:$A$801,0)),"")="(sem nome)","Carta fora dos decks: digite o nome na coluna I (opcional)","")))</f>
        <v/>
      </c>
      <c r="K1027" s="11" t="str">
        <f aca="false">UPPER(TRIM(SUBSTITUTE(B1027&amp;"",CHAR(160)," ")))</f>
        <v/>
      </c>
      <c r="L1027" s="11" t="str">
        <f aca="false">IF(AND(K1027&lt;&gt;"",TRIM(I1027&amp;"")&lt;&gt;""),K1027,"")</f>
        <v/>
      </c>
    </row>
    <row r="1028" customFormat="false" ht="15" hidden="false" customHeight="false" outlineLevel="0" collapsed="false">
      <c r="A1028" s="9"/>
      <c r="B1028" s="4"/>
      <c r="C1028" s="10"/>
      <c r="D1028" s="11" t="str">
        <f aca="false">IF(K1028="","",IFERROR(INDEX(DECKS!$C$2:$C$1201,MATCH(K1028,DECKS!$B$2:$B$1201,0)),TRIM(I1028&amp;"")))</f>
        <v/>
      </c>
      <c r="E1028" s="4"/>
      <c r="F1028" s="12"/>
      <c r="G1028" s="4"/>
      <c r="H1028" s="13" t="str">
        <f aca="false">IF(OR(N(C1028)=0,N(F1028)=0),"",C1028*F1028)</f>
        <v/>
      </c>
      <c r="I1028" s="4"/>
      <c r="J1028" s="11" t="str">
        <f aca="false">IF(K1028="","",IF(N(C1028)&lt;=0,"Informe a quantidade",IF(IFERROR(INDEX(INVENTÁRIO!$B$2:$B$801,MATCH(K1028,INVENTÁRIO!$A$2:$A$801,0)),"")="(sem nome)","Carta fora dos decks: digite o nome na coluna I (opcional)","")))</f>
        <v/>
      </c>
      <c r="K1028" s="11" t="str">
        <f aca="false">UPPER(TRIM(SUBSTITUTE(B1028&amp;"",CHAR(160)," ")))</f>
        <v/>
      </c>
      <c r="L1028" s="11" t="str">
        <f aca="false">IF(AND(K1028&lt;&gt;"",TRIM(I1028&amp;"")&lt;&gt;""),K1028,"")</f>
        <v/>
      </c>
    </row>
    <row r="1029" customFormat="false" ht="15" hidden="false" customHeight="false" outlineLevel="0" collapsed="false">
      <c r="A1029" s="9"/>
      <c r="B1029" s="4"/>
      <c r="C1029" s="10"/>
      <c r="D1029" s="11" t="str">
        <f aca="false">IF(K1029="","",IFERROR(INDEX(DECKS!$C$2:$C$1201,MATCH(K1029,DECKS!$B$2:$B$1201,0)),TRIM(I1029&amp;"")))</f>
        <v/>
      </c>
      <c r="E1029" s="4"/>
      <c r="F1029" s="12"/>
      <c r="G1029" s="4"/>
      <c r="H1029" s="13" t="str">
        <f aca="false">IF(OR(N(C1029)=0,N(F1029)=0),"",C1029*F1029)</f>
        <v/>
      </c>
      <c r="I1029" s="4"/>
      <c r="J1029" s="11" t="str">
        <f aca="false">IF(K1029="","",IF(N(C1029)&lt;=0,"Informe a quantidade",IF(IFERROR(INDEX(INVENTÁRIO!$B$2:$B$801,MATCH(K1029,INVENTÁRIO!$A$2:$A$801,0)),"")="(sem nome)","Carta fora dos decks: digite o nome na coluna I (opcional)","")))</f>
        <v/>
      </c>
      <c r="K1029" s="11" t="str">
        <f aca="false">UPPER(TRIM(SUBSTITUTE(B1029&amp;"",CHAR(160)," ")))</f>
        <v/>
      </c>
      <c r="L1029" s="11" t="str">
        <f aca="false">IF(AND(K1029&lt;&gt;"",TRIM(I1029&amp;"")&lt;&gt;""),K1029,"")</f>
        <v/>
      </c>
    </row>
    <row r="1030" customFormat="false" ht="15" hidden="false" customHeight="false" outlineLevel="0" collapsed="false">
      <c r="A1030" s="9"/>
      <c r="B1030" s="4"/>
      <c r="C1030" s="10"/>
      <c r="D1030" s="11" t="str">
        <f aca="false">IF(K1030="","",IFERROR(INDEX(DECKS!$C$2:$C$1201,MATCH(K1030,DECKS!$B$2:$B$1201,0)),TRIM(I1030&amp;"")))</f>
        <v/>
      </c>
      <c r="E1030" s="4"/>
      <c r="F1030" s="12"/>
      <c r="G1030" s="4"/>
      <c r="H1030" s="13" t="str">
        <f aca="false">IF(OR(N(C1030)=0,N(F1030)=0),"",C1030*F1030)</f>
        <v/>
      </c>
      <c r="I1030" s="4"/>
      <c r="J1030" s="11" t="str">
        <f aca="false">IF(K1030="","",IF(N(C1030)&lt;=0,"Informe a quantidade",IF(IFERROR(INDEX(INVENTÁRIO!$B$2:$B$801,MATCH(K1030,INVENTÁRIO!$A$2:$A$801,0)),"")="(sem nome)","Carta fora dos decks: digite o nome na coluna I (opcional)","")))</f>
        <v/>
      </c>
      <c r="K1030" s="11" t="str">
        <f aca="false">UPPER(TRIM(SUBSTITUTE(B1030&amp;"",CHAR(160)," ")))</f>
        <v/>
      </c>
      <c r="L1030" s="11" t="str">
        <f aca="false">IF(AND(K1030&lt;&gt;"",TRIM(I1030&amp;"")&lt;&gt;""),K1030,"")</f>
        <v/>
      </c>
    </row>
    <row r="1031" customFormat="false" ht="15" hidden="false" customHeight="false" outlineLevel="0" collapsed="false">
      <c r="A1031" s="9"/>
      <c r="B1031" s="4"/>
      <c r="C1031" s="10"/>
      <c r="D1031" s="11" t="str">
        <f aca="false">IF(K1031="","",IFERROR(INDEX(DECKS!$C$2:$C$1201,MATCH(K1031,DECKS!$B$2:$B$1201,0)),TRIM(I1031&amp;"")))</f>
        <v/>
      </c>
      <c r="E1031" s="4"/>
      <c r="F1031" s="12"/>
      <c r="G1031" s="4"/>
      <c r="H1031" s="13" t="str">
        <f aca="false">IF(OR(N(C1031)=0,N(F1031)=0),"",C1031*F1031)</f>
        <v/>
      </c>
      <c r="I1031" s="4"/>
      <c r="J1031" s="11" t="str">
        <f aca="false">IF(K1031="","",IF(N(C1031)&lt;=0,"Informe a quantidade",IF(IFERROR(INDEX(INVENTÁRIO!$B$2:$B$801,MATCH(K1031,INVENTÁRIO!$A$2:$A$801,0)),"")="(sem nome)","Carta fora dos decks: digite o nome na coluna I (opcional)","")))</f>
        <v/>
      </c>
      <c r="K1031" s="11" t="str">
        <f aca="false">UPPER(TRIM(SUBSTITUTE(B1031&amp;"",CHAR(160)," ")))</f>
        <v/>
      </c>
      <c r="L1031" s="11" t="str">
        <f aca="false">IF(AND(K1031&lt;&gt;"",TRIM(I1031&amp;"")&lt;&gt;""),K1031,"")</f>
        <v/>
      </c>
    </row>
    <row r="1032" customFormat="false" ht="15" hidden="false" customHeight="false" outlineLevel="0" collapsed="false">
      <c r="A1032" s="9"/>
      <c r="B1032" s="4"/>
      <c r="C1032" s="10"/>
      <c r="D1032" s="11" t="str">
        <f aca="false">IF(K1032="","",IFERROR(INDEX(DECKS!$C$2:$C$1201,MATCH(K1032,DECKS!$B$2:$B$1201,0)),TRIM(I1032&amp;"")))</f>
        <v/>
      </c>
      <c r="E1032" s="4"/>
      <c r="F1032" s="12"/>
      <c r="G1032" s="4"/>
      <c r="H1032" s="13" t="str">
        <f aca="false">IF(OR(N(C1032)=0,N(F1032)=0),"",C1032*F1032)</f>
        <v/>
      </c>
      <c r="I1032" s="4"/>
      <c r="J1032" s="11" t="str">
        <f aca="false">IF(K1032="","",IF(N(C1032)&lt;=0,"Informe a quantidade",IF(IFERROR(INDEX(INVENTÁRIO!$B$2:$B$801,MATCH(K1032,INVENTÁRIO!$A$2:$A$801,0)),"")="(sem nome)","Carta fora dos decks: digite o nome na coluna I (opcional)","")))</f>
        <v/>
      </c>
      <c r="K1032" s="11" t="str">
        <f aca="false">UPPER(TRIM(SUBSTITUTE(B1032&amp;"",CHAR(160)," ")))</f>
        <v/>
      </c>
      <c r="L1032" s="11" t="str">
        <f aca="false">IF(AND(K1032&lt;&gt;"",TRIM(I1032&amp;"")&lt;&gt;""),K1032,"")</f>
        <v/>
      </c>
    </row>
    <row r="1033" customFormat="false" ht="15" hidden="false" customHeight="false" outlineLevel="0" collapsed="false">
      <c r="A1033" s="9"/>
      <c r="B1033" s="4"/>
      <c r="C1033" s="10"/>
      <c r="D1033" s="11" t="str">
        <f aca="false">IF(K1033="","",IFERROR(INDEX(DECKS!$C$2:$C$1201,MATCH(K1033,DECKS!$B$2:$B$1201,0)),TRIM(I1033&amp;"")))</f>
        <v/>
      </c>
      <c r="E1033" s="4"/>
      <c r="F1033" s="12"/>
      <c r="G1033" s="4"/>
      <c r="H1033" s="13" t="str">
        <f aca="false">IF(OR(N(C1033)=0,N(F1033)=0),"",C1033*F1033)</f>
        <v/>
      </c>
      <c r="I1033" s="4"/>
      <c r="J1033" s="11" t="str">
        <f aca="false">IF(K1033="","",IF(N(C1033)&lt;=0,"Informe a quantidade",IF(IFERROR(INDEX(INVENTÁRIO!$B$2:$B$801,MATCH(K1033,INVENTÁRIO!$A$2:$A$801,0)),"")="(sem nome)","Carta fora dos decks: digite o nome na coluna I (opcional)","")))</f>
        <v/>
      </c>
      <c r="K1033" s="11" t="str">
        <f aca="false">UPPER(TRIM(SUBSTITUTE(B1033&amp;"",CHAR(160)," ")))</f>
        <v/>
      </c>
      <c r="L1033" s="11" t="str">
        <f aca="false">IF(AND(K1033&lt;&gt;"",TRIM(I1033&amp;"")&lt;&gt;""),K1033,"")</f>
        <v/>
      </c>
    </row>
    <row r="1034" customFormat="false" ht="15" hidden="false" customHeight="false" outlineLevel="0" collapsed="false">
      <c r="A1034" s="9"/>
      <c r="B1034" s="4"/>
      <c r="C1034" s="10"/>
      <c r="D1034" s="11" t="str">
        <f aca="false">IF(K1034="","",IFERROR(INDEX(DECKS!$C$2:$C$1201,MATCH(K1034,DECKS!$B$2:$B$1201,0)),TRIM(I1034&amp;"")))</f>
        <v/>
      </c>
      <c r="E1034" s="4"/>
      <c r="F1034" s="12"/>
      <c r="G1034" s="4"/>
      <c r="H1034" s="13" t="str">
        <f aca="false">IF(OR(N(C1034)=0,N(F1034)=0),"",C1034*F1034)</f>
        <v/>
      </c>
      <c r="I1034" s="4"/>
      <c r="J1034" s="11" t="str">
        <f aca="false">IF(K1034="","",IF(N(C1034)&lt;=0,"Informe a quantidade",IF(IFERROR(INDEX(INVENTÁRIO!$B$2:$B$801,MATCH(K1034,INVENTÁRIO!$A$2:$A$801,0)),"")="(sem nome)","Carta fora dos decks: digite o nome na coluna I (opcional)","")))</f>
        <v/>
      </c>
      <c r="K1034" s="11" t="str">
        <f aca="false">UPPER(TRIM(SUBSTITUTE(B1034&amp;"",CHAR(160)," ")))</f>
        <v/>
      </c>
      <c r="L1034" s="11" t="str">
        <f aca="false">IF(AND(K1034&lt;&gt;"",TRIM(I1034&amp;"")&lt;&gt;""),K1034,"")</f>
        <v/>
      </c>
    </row>
    <row r="1035" customFormat="false" ht="15" hidden="false" customHeight="false" outlineLevel="0" collapsed="false">
      <c r="A1035" s="9"/>
      <c r="B1035" s="4"/>
      <c r="C1035" s="10"/>
      <c r="D1035" s="11" t="str">
        <f aca="false">IF(K1035="","",IFERROR(INDEX(DECKS!$C$2:$C$1201,MATCH(K1035,DECKS!$B$2:$B$1201,0)),TRIM(I1035&amp;"")))</f>
        <v/>
      </c>
      <c r="E1035" s="4"/>
      <c r="F1035" s="12"/>
      <c r="G1035" s="4"/>
      <c r="H1035" s="13" t="str">
        <f aca="false">IF(OR(N(C1035)=0,N(F1035)=0),"",C1035*F1035)</f>
        <v/>
      </c>
      <c r="I1035" s="4"/>
      <c r="J1035" s="11" t="str">
        <f aca="false">IF(K1035="","",IF(N(C1035)&lt;=0,"Informe a quantidade",IF(IFERROR(INDEX(INVENTÁRIO!$B$2:$B$801,MATCH(K1035,INVENTÁRIO!$A$2:$A$801,0)),"")="(sem nome)","Carta fora dos decks: digite o nome na coluna I (opcional)","")))</f>
        <v/>
      </c>
      <c r="K1035" s="11" t="str">
        <f aca="false">UPPER(TRIM(SUBSTITUTE(B1035&amp;"",CHAR(160)," ")))</f>
        <v/>
      </c>
      <c r="L1035" s="11" t="str">
        <f aca="false">IF(AND(K1035&lt;&gt;"",TRIM(I1035&amp;"")&lt;&gt;""),K1035,"")</f>
        <v/>
      </c>
    </row>
    <row r="1036" customFormat="false" ht="15" hidden="false" customHeight="false" outlineLevel="0" collapsed="false">
      <c r="A1036" s="9"/>
      <c r="B1036" s="4"/>
      <c r="C1036" s="10"/>
      <c r="D1036" s="11" t="str">
        <f aca="false">IF(K1036="","",IFERROR(INDEX(DECKS!$C$2:$C$1201,MATCH(K1036,DECKS!$B$2:$B$1201,0)),TRIM(I1036&amp;"")))</f>
        <v/>
      </c>
      <c r="E1036" s="4"/>
      <c r="F1036" s="12"/>
      <c r="G1036" s="4"/>
      <c r="H1036" s="13" t="str">
        <f aca="false">IF(OR(N(C1036)=0,N(F1036)=0),"",C1036*F1036)</f>
        <v/>
      </c>
      <c r="I1036" s="4"/>
      <c r="J1036" s="11" t="str">
        <f aca="false">IF(K1036="","",IF(N(C1036)&lt;=0,"Informe a quantidade",IF(IFERROR(INDEX(INVENTÁRIO!$B$2:$B$801,MATCH(K1036,INVENTÁRIO!$A$2:$A$801,0)),"")="(sem nome)","Carta fora dos decks: digite o nome na coluna I (opcional)","")))</f>
        <v/>
      </c>
      <c r="K1036" s="11" t="str">
        <f aca="false">UPPER(TRIM(SUBSTITUTE(B1036&amp;"",CHAR(160)," ")))</f>
        <v/>
      </c>
      <c r="L1036" s="11" t="str">
        <f aca="false">IF(AND(K1036&lt;&gt;"",TRIM(I1036&amp;"")&lt;&gt;""),K1036,"")</f>
        <v/>
      </c>
    </row>
    <row r="1037" customFormat="false" ht="15" hidden="false" customHeight="false" outlineLevel="0" collapsed="false">
      <c r="A1037" s="9"/>
      <c r="B1037" s="4"/>
      <c r="C1037" s="10"/>
      <c r="D1037" s="11" t="str">
        <f aca="false">IF(K1037="","",IFERROR(INDEX(DECKS!$C$2:$C$1201,MATCH(K1037,DECKS!$B$2:$B$1201,0)),TRIM(I1037&amp;"")))</f>
        <v/>
      </c>
      <c r="E1037" s="4"/>
      <c r="F1037" s="12"/>
      <c r="G1037" s="4"/>
      <c r="H1037" s="13" t="str">
        <f aca="false">IF(OR(N(C1037)=0,N(F1037)=0),"",C1037*F1037)</f>
        <v/>
      </c>
      <c r="I1037" s="4"/>
      <c r="J1037" s="11" t="str">
        <f aca="false">IF(K1037="","",IF(N(C1037)&lt;=0,"Informe a quantidade",IF(IFERROR(INDEX(INVENTÁRIO!$B$2:$B$801,MATCH(K1037,INVENTÁRIO!$A$2:$A$801,0)),"")="(sem nome)","Carta fora dos decks: digite o nome na coluna I (opcional)","")))</f>
        <v/>
      </c>
      <c r="K1037" s="11" t="str">
        <f aca="false">UPPER(TRIM(SUBSTITUTE(B1037&amp;"",CHAR(160)," ")))</f>
        <v/>
      </c>
      <c r="L1037" s="11" t="str">
        <f aca="false">IF(AND(K1037&lt;&gt;"",TRIM(I1037&amp;"")&lt;&gt;""),K1037,"")</f>
        <v/>
      </c>
    </row>
    <row r="1038" customFormat="false" ht="15" hidden="false" customHeight="false" outlineLevel="0" collapsed="false">
      <c r="A1038" s="9"/>
      <c r="B1038" s="4"/>
      <c r="C1038" s="10"/>
      <c r="D1038" s="11" t="str">
        <f aca="false">IF(K1038="","",IFERROR(INDEX(DECKS!$C$2:$C$1201,MATCH(K1038,DECKS!$B$2:$B$1201,0)),TRIM(I1038&amp;"")))</f>
        <v/>
      </c>
      <c r="E1038" s="4"/>
      <c r="F1038" s="12"/>
      <c r="G1038" s="4"/>
      <c r="H1038" s="13" t="str">
        <f aca="false">IF(OR(N(C1038)=0,N(F1038)=0),"",C1038*F1038)</f>
        <v/>
      </c>
      <c r="I1038" s="4"/>
      <c r="J1038" s="11" t="str">
        <f aca="false">IF(K1038="","",IF(N(C1038)&lt;=0,"Informe a quantidade",IF(IFERROR(INDEX(INVENTÁRIO!$B$2:$B$801,MATCH(K1038,INVENTÁRIO!$A$2:$A$801,0)),"")="(sem nome)","Carta fora dos decks: digite o nome na coluna I (opcional)","")))</f>
        <v/>
      </c>
      <c r="K1038" s="11" t="str">
        <f aca="false">UPPER(TRIM(SUBSTITUTE(B1038&amp;"",CHAR(160)," ")))</f>
        <v/>
      </c>
      <c r="L1038" s="11" t="str">
        <f aca="false">IF(AND(K1038&lt;&gt;"",TRIM(I1038&amp;"")&lt;&gt;""),K1038,"")</f>
        <v/>
      </c>
    </row>
    <row r="1039" customFormat="false" ht="15" hidden="false" customHeight="false" outlineLevel="0" collapsed="false">
      <c r="A1039" s="9"/>
      <c r="B1039" s="4"/>
      <c r="C1039" s="10"/>
      <c r="D1039" s="11" t="str">
        <f aca="false">IF(K1039="","",IFERROR(INDEX(DECKS!$C$2:$C$1201,MATCH(K1039,DECKS!$B$2:$B$1201,0)),TRIM(I1039&amp;"")))</f>
        <v/>
      </c>
      <c r="E1039" s="4"/>
      <c r="F1039" s="12"/>
      <c r="G1039" s="4"/>
      <c r="H1039" s="13" t="str">
        <f aca="false">IF(OR(N(C1039)=0,N(F1039)=0),"",C1039*F1039)</f>
        <v/>
      </c>
      <c r="I1039" s="4"/>
      <c r="J1039" s="11" t="str">
        <f aca="false">IF(K1039="","",IF(N(C1039)&lt;=0,"Informe a quantidade",IF(IFERROR(INDEX(INVENTÁRIO!$B$2:$B$801,MATCH(K1039,INVENTÁRIO!$A$2:$A$801,0)),"")="(sem nome)","Carta fora dos decks: digite o nome na coluna I (opcional)","")))</f>
        <v/>
      </c>
      <c r="K1039" s="11" t="str">
        <f aca="false">UPPER(TRIM(SUBSTITUTE(B1039&amp;"",CHAR(160)," ")))</f>
        <v/>
      </c>
      <c r="L1039" s="11" t="str">
        <f aca="false">IF(AND(K1039&lt;&gt;"",TRIM(I1039&amp;"")&lt;&gt;""),K1039,"")</f>
        <v/>
      </c>
    </row>
    <row r="1040" customFormat="false" ht="15" hidden="false" customHeight="false" outlineLevel="0" collapsed="false">
      <c r="A1040" s="9"/>
      <c r="B1040" s="4"/>
      <c r="C1040" s="10"/>
      <c r="D1040" s="11" t="str">
        <f aca="false">IF(K1040="","",IFERROR(INDEX(DECKS!$C$2:$C$1201,MATCH(K1040,DECKS!$B$2:$B$1201,0)),TRIM(I1040&amp;"")))</f>
        <v/>
      </c>
      <c r="E1040" s="4"/>
      <c r="F1040" s="12"/>
      <c r="G1040" s="4"/>
      <c r="H1040" s="13" t="str">
        <f aca="false">IF(OR(N(C1040)=0,N(F1040)=0),"",C1040*F1040)</f>
        <v/>
      </c>
      <c r="I1040" s="4"/>
      <c r="J1040" s="11" t="str">
        <f aca="false">IF(K1040="","",IF(N(C1040)&lt;=0,"Informe a quantidade",IF(IFERROR(INDEX(INVENTÁRIO!$B$2:$B$801,MATCH(K1040,INVENTÁRIO!$A$2:$A$801,0)),"")="(sem nome)","Carta fora dos decks: digite o nome na coluna I (opcional)","")))</f>
        <v/>
      </c>
      <c r="K1040" s="11" t="str">
        <f aca="false">UPPER(TRIM(SUBSTITUTE(B1040&amp;"",CHAR(160)," ")))</f>
        <v/>
      </c>
      <c r="L1040" s="11" t="str">
        <f aca="false">IF(AND(K1040&lt;&gt;"",TRIM(I1040&amp;"")&lt;&gt;""),K1040,"")</f>
        <v/>
      </c>
    </row>
    <row r="1041" customFormat="false" ht="15" hidden="false" customHeight="false" outlineLevel="0" collapsed="false">
      <c r="A1041" s="9"/>
      <c r="B1041" s="4"/>
      <c r="C1041" s="10"/>
      <c r="D1041" s="11" t="str">
        <f aca="false">IF(K1041="","",IFERROR(INDEX(DECKS!$C$2:$C$1201,MATCH(K1041,DECKS!$B$2:$B$1201,0)),TRIM(I1041&amp;"")))</f>
        <v/>
      </c>
      <c r="E1041" s="4"/>
      <c r="F1041" s="12"/>
      <c r="G1041" s="4"/>
      <c r="H1041" s="13" t="str">
        <f aca="false">IF(OR(N(C1041)=0,N(F1041)=0),"",C1041*F1041)</f>
        <v/>
      </c>
      <c r="I1041" s="4"/>
      <c r="J1041" s="11" t="str">
        <f aca="false">IF(K1041="","",IF(N(C1041)&lt;=0,"Informe a quantidade",IF(IFERROR(INDEX(INVENTÁRIO!$B$2:$B$801,MATCH(K1041,INVENTÁRIO!$A$2:$A$801,0)),"")="(sem nome)","Carta fora dos decks: digite o nome na coluna I (opcional)","")))</f>
        <v/>
      </c>
      <c r="K1041" s="11" t="str">
        <f aca="false">UPPER(TRIM(SUBSTITUTE(B1041&amp;"",CHAR(160)," ")))</f>
        <v/>
      </c>
      <c r="L1041" s="11" t="str">
        <f aca="false">IF(AND(K1041&lt;&gt;"",TRIM(I1041&amp;"")&lt;&gt;""),K1041,"")</f>
        <v/>
      </c>
    </row>
    <row r="1042" customFormat="false" ht="15" hidden="false" customHeight="false" outlineLevel="0" collapsed="false">
      <c r="A1042" s="9"/>
      <c r="B1042" s="4"/>
      <c r="C1042" s="10"/>
      <c r="D1042" s="11" t="str">
        <f aca="false">IF(K1042="","",IFERROR(INDEX(DECKS!$C$2:$C$1201,MATCH(K1042,DECKS!$B$2:$B$1201,0)),TRIM(I1042&amp;"")))</f>
        <v/>
      </c>
      <c r="E1042" s="4"/>
      <c r="F1042" s="12"/>
      <c r="G1042" s="4"/>
      <c r="H1042" s="13" t="str">
        <f aca="false">IF(OR(N(C1042)=0,N(F1042)=0),"",C1042*F1042)</f>
        <v/>
      </c>
      <c r="I1042" s="4"/>
      <c r="J1042" s="11" t="str">
        <f aca="false">IF(K1042="","",IF(N(C1042)&lt;=0,"Informe a quantidade",IF(IFERROR(INDEX(INVENTÁRIO!$B$2:$B$801,MATCH(K1042,INVENTÁRIO!$A$2:$A$801,0)),"")="(sem nome)","Carta fora dos decks: digite o nome na coluna I (opcional)","")))</f>
        <v/>
      </c>
      <c r="K1042" s="11" t="str">
        <f aca="false">UPPER(TRIM(SUBSTITUTE(B1042&amp;"",CHAR(160)," ")))</f>
        <v/>
      </c>
      <c r="L1042" s="11" t="str">
        <f aca="false">IF(AND(K1042&lt;&gt;"",TRIM(I1042&amp;"")&lt;&gt;""),K1042,"")</f>
        <v/>
      </c>
    </row>
    <row r="1043" customFormat="false" ht="15" hidden="false" customHeight="false" outlineLevel="0" collapsed="false">
      <c r="A1043" s="9"/>
      <c r="B1043" s="4"/>
      <c r="C1043" s="10"/>
      <c r="D1043" s="11" t="str">
        <f aca="false">IF(K1043="","",IFERROR(INDEX(DECKS!$C$2:$C$1201,MATCH(K1043,DECKS!$B$2:$B$1201,0)),TRIM(I1043&amp;"")))</f>
        <v/>
      </c>
      <c r="E1043" s="4"/>
      <c r="F1043" s="12"/>
      <c r="G1043" s="4"/>
      <c r="H1043" s="13" t="str">
        <f aca="false">IF(OR(N(C1043)=0,N(F1043)=0),"",C1043*F1043)</f>
        <v/>
      </c>
      <c r="I1043" s="4"/>
      <c r="J1043" s="11" t="str">
        <f aca="false">IF(K1043="","",IF(N(C1043)&lt;=0,"Informe a quantidade",IF(IFERROR(INDEX(INVENTÁRIO!$B$2:$B$801,MATCH(K1043,INVENTÁRIO!$A$2:$A$801,0)),"")="(sem nome)","Carta fora dos decks: digite o nome na coluna I (opcional)","")))</f>
        <v/>
      </c>
      <c r="K1043" s="11" t="str">
        <f aca="false">UPPER(TRIM(SUBSTITUTE(B1043&amp;"",CHAR(160)," ")))</f>
        <v/>
      </c>
      <c r="L1043" s="11" t="str">
        <f aca="false">IF(AND(K1043&lt;&gt;"",TRIM(I1043&amp;"")&lt;&gt;""),K1043,"")</f>
        <v/>
      </c>
    </row>
    <row r="1044" customFormat="false" ht="15" hidden="false" customHeight="false" outlineLevel="0" collapsed="false">
      <c r="A1044" s="9"/>
      <c r="B1044" s="4"/>
      <c r="C1044" s="10"/>
      <c r="D1044" s="11" t="str">
        <f aca="false">IF(K1044="","",IFERROR(INDEX(DECKS!$C$2:$C$1201,MATCH(K1044,DECKS!$B$2:$B$1201,0)),TRIM(I1044&amp;"")))</f>
        <v/>
      </c>
      <c r="E1044" s="4"/>
      <c r="F1044" s="12"/>
      <c r="G1044" s="4"/>
      <c r="H1044" s="13" t="str">
        <f aca="false">IF(OR(N(C1044)=0,N(F1044)=0),"",C1044*F1044)</f>
        <v/>
      </c>
      <c r="I1044" s="4"/>
      <c r="J1044" s="11" t="str">
        <f aca="false">IF(K1044="","",IF(N(C1044)&lt;=0,"Informe a quantidade",IF(IFERROR(INDEX(INVENTÁRIO!$B$2:$B$801,MATCH(K1044,INVENTÁRIO!$A$2:$A$801,0)),"")="(sem nome)","Carta fora dos decks: digite o nome na coluna I (opcional)","")))</f>
        <v/>
      </c>
      <c r="K1044" s="11" t="str">
        <f aca="false">UPPER(TRIM(SUBSTITUTE(B1044&amp;"",CHAR(160)," ")))</f>
        <v/>
      </c>
      <c r="L1044" s="11" t="str">
        <f aca="false">IF(AND(K1044&lt;&gt;"",TRIM(I1044&amp;"")&lt;&gt;""),K1044,"")</f>
        <v/>
      </c>
    </row>
    <row r="1045" customFormat="false" ht="15" hidden="false" customHeight="false" outlineLevel="0" collapsed="false">
      <c r="A1045" s="9"/>
      <c r="B1045" s="4"/>
      <c r="C1045" s="10"/>
      <c r="D1045" s="11" t="str">
        <f aca="false">IF(K1045="","",IFERROR(INDEX(DECKS!$C$2:$C$1201,MATCH(K1045,DECKS!$B$2:$B$1201,0)),TRIM(I1045&amp;"")))</f>
        <v/>
      </c>
      <c r="E1045" s="4"/>
      <c r="F1045" s="12"/>
      <c r="G1045" s="4"/>
      <c r="H1045" s="13" t="str">
        <f aca="false">IF(OR(N(C1045)=0,N(F1045)=0),"",C1045*F1045)</f>
        <v/>
      </c>
      <c r="I1045" s="4"/>
      <c r="J1045" s="11" t="str">
        <f aca="false">IF(K1045="","",IF(N(C1045)&lt;=0,"Informe a quantidade",IF(IFERROR(INDEX(INVENTÁRIO!$B$2:$B$801,MATCH(K1045,INVENTÁRIO!$A$2:$A$801,0)),"")="(sem nome)","Carta fora dos decks: digite o nome na coluna I (opcional)","")))</f>
        <v/>
      </c>
      <c r="K1045" s="11" t="str">
        <f aca="false">UPPER(TRIM(SUBSTITUTE(B1045&amp;"",CHAR(160)," ")))</f>
        <v/>
      </c>
      <c r="L1045" s="11" t="str">
        <f aca="false">IF(AND(K1045&lt;&gt;"",TRIM(I1045&amp;"")&lt;&gt;""),K1045,"")</f>
        <v/>
      </c>
    </row>
    <row r="1046" customFormat="false" ht="15" hidden="false" customHeight="false" outlineLevel="0" collapsed="false">
      <c r="A1046" s="9"/>
      <c r="B1046" s="4"/>
      <c r="C1046" s="10"/>
      <c r="D1046" s="11" t="str">
        <f aca="false">IF(K1046="","",IFERROR(INDEX(DECKS!$C$2:$C$1201,MATCH(K1046,DECKS!$B$2:$B$1201,0)),TRIM(I1046&amp;"")))</f>
        <v/>
      </c>
      <c r="E1046" s="4"/>
      <c r="F1046" s="12"/>
      <c r="G1046" s="4"/>
      <c r="H1046" s="13" t="str">
        <f aca="false">IF(OR(N(C1046)=0,N(F1046)=0),"",C1046*F1046)</f>
        <v/>
      </c>
      <c r="I1046" s="4"/>
      <c r="J1046" s="11" t="str">
        <f aca="false">IF(K1046="","",IF(N(C1046)&lt;=0,"Informe a quantidade",IF(IFERROR(INDEX(INVENTÁRIO!$B$2:$B$801,MATCH(K1046,INVENTÁRIO!$A$2:$A$801,0)),"")="(sem nome)","Carta fora dos decks: digite o nome na coluna I (opcional)","")))</f>
        <v/>
      </c>
      <c r="K1046" s="11" t="str">
        <f aca="false">UPPER(TRIM(SUBSTITUTE(B1046&amp;"",CHAR(160)," ")))</f>
        <v/>
      </c>
      <c r="L1046" s="11" t="str">
        <f aca="false">IF(AND(K1046&lt;&gt;"",TRIM(I1046&amp;"")&lt;&gt;""),K1046,"")</f>
        <v/>
      </c>
    </row>
    <row r="1047" customFormat="false" ht="15" hidden="false" customHeight="false" outlineLevel="0" collapsed="false">
      <c r="A1047" s="9"/>
      <c r="B1047" s="4"/>
      <c r="C1047" s="10"/>
      <c r="D1047" s="11" t="str">
        <f aca="false">IF(K1047="","",IFERROR(INDEX(DECKS!$C$2:$C$1201,MATCH(K1047,DECKS!$B$2:$B$1201,0)),TRIM(I1047&amp;"")))</f>
        <v/>
      </c>
      <c r="E1047" s="4"/>
      <c r="F1047" s="12"/>
      <c r="G1047" s="4"/>
      <c r="H1047" s="13" t="str">
        <f aca="false">IF(OR(N(C1047)=0,N(F1047)=0),"",C1047*F1047)</f>
        <v/>
      </c>
      <c r="I1047" s="4"/>
      <c r="J1047" s="11" t="str">
        <f aca="false">IF(K1047="","",IF(N(C1047)&lt;=0,"Informe a quantidade",IF(IFERROR(INDEX(INVENTÁRIO!$B$2:$B$801,MATCH(K1047,INVENTÁRIO!$A$2:$A$801,0)),"")="(sem nome)","Carta fora dos decks: digite o nome na coluna I (opcional)","")))</f>
        <v/>
      </c>
      <c r="K1047" s="11" t="str">
        <f aca="false">UPPER(TRIM(SUBSTITUTE(B1047&amp;"",CHAR(160)," ")))</f>
        <v/>
      </c>
      <c r="L1047" s="11" t="str">
        <f aca="false">IF(AND(K1047&lt;&gt;"",TRIM(I1047&amp;"")&lt;&gt;""),K1047,"")</f>
        <v/>
      </c>
    </row>
    <row r="1048" customFormat="false" ht="15" hidden="false" customHeight="false" outlineLevel="0" collapsed="false">
      <c r="A1048" s="9"/>
      <c r="B1048" s="4"/>
      <c r="C1048" s="10"/>
      <c r="D1048" s="11" t="str">
        <f aca="false">IF(K1048="","",IFERROR(INDEX(DECKS!$C$2:$C$1201,MATCH(K1048,DECKS!$B$2:$B$1201,0)),TRIM(I1048&amp;"")))</f>
        <v/>
      </c>
      <c r="E1048" s="4"/>
      <c r="F1048" s="12"/>
      <c r="G1048" s="4"/>
      <c r="H1048" s="13" t="str">
        <f aca="false">IF(OR(N(C1048)=0,N(F1048)=0),"",C1048*F1048)</f>
        <v/>
      </c>
      <c r="I1048" s="4"/>
      <c r="J1048" s="11" t="str">
        <f aca="false">IF(K1048="","",IF(N(C1048)&lt;=0,"Informe a quantidade",IF(IFERROR(INDEX(INVENTÁRIO!$B$2:$B$801,MATCH(K1048,INVENTÁRIO!$A$2:$A$801,0)),"")="(sem nome)","Carta fora dos decks: digite o nome na coluna I (opcional)","")))</f>
        <v/>
      </c>
      <c r="K1048" s="11" t="str">
        <f aca="false">UPPER(TRIM(SUBSTITUTE(B1048&amp;"",CHAR(160)," ")))</f>
        <v/>
      </c>
      <c r="L1048" s="11" t="str">
        <f aca="false">IF(AND(K1048&lt;&gt;"",TRIM(I1048&amp;"")&lt;&gt;""),K1048,"")</f>
        <v/>
      </c>
    </row>
    <row r="1049" customFormat="false" ht="15" hidden="false" customHeight="false" outlineLevel="0" collapsed="false">
      <c r="A1049" s="9"/>
      <c r="B1049" s="4"/>
      <c r="C1049" s="10"/>
      <c r="D1049" s="11" t="str">
        <f aca="false">IF(K1049="","",IFERROR(INDEX(DECKS!$C$2:$C$1201,MATCH(K1049,DECKS!$B$2:$B$1201,0)),TRIM(I1049&amp;"")))</f>
        <v/>
      </c>
      <c r="E1049" s="4"/>
      <c r="F1049" s="12"/>
      <c r="G1049" s="4"/>
      <c r="H1049" s="13" t="str">
        <f aca="false">IF(OR(N(C1049)=0,N(F1049)=0),"",C1049*F1049)</f>
        <v/>
      </c>
      <c r="I1049" s="4"/>
      <c r="J1049" s="11" t="str">
        <f aca="false">IF(K1049="","",IF(N(C1049)&lt;=0,"Informe a quantidade",IF(IFERROR(INDEX(INVENTÁRIO!$B$2:$B$801,MATCH(K1049,INVENTÁRIO!$A$2:$A$801,0)),"")="(sem nome)","Carta fora dos decks: digite o nome na coluna I (opcional)","")))</f>
        <v/>
      </c>
      <c r="K1049" s="11" t="str">
        <f aca="false">UPPER(TRIM(SUBSTITUTE(B1049&amp;"",CHAR(160)," ")))</f>
        <v/>
      </c>
      <c r="L1049" s="11" t="str">
        <f aca="false">IF(AND(K1049&lt;&gt;"",TRIM(I1049&amp;"")&lt;&gt;""),K1049,"")</f>
        <v/>
      </c>
    </row>
    <row r="1050" customFormat="false" ht="15" hidden="false" customHeight="false" outlineLevel="0" collapsed="false">
      <c r="A1050" s="9"/>
      <c r="B1050" s="4"/>
      <c r="C1050" s="10"/>
      <c r="D1050" s="11" t="str">
        <f aca="false">IF(K1050="","",IFERROR(INDEX(DECKS!$C$2:$C$1201,MATCH(K1050,DECKS!$B$2:$B$1201,0)),TRIM(I1050&amp;"")))</f>
        <v/>
      </c>
      <c r="E1050" s="4"/>
      <c r="F1050" s="12"/>
      <c r="G1050" s="4"/>
      <c r="H1050" s="13" t="str">
        <f aca="false">IF(OR(N(C1050)=0,N(F1050)=0),"",C1050*F1050)</f>
        <v/>
      </c>
      <c r="I1050" s="4"/>
      <c r="J1050" s="11" t="str">
        <f aca="false">IF(K1050="","",IF(N(C1050)&lt;=0,"Informe a quantidade",IF(IFERROR(INDEX(INVENTÁRIO!$B$2:$B$801,MATCH(K1050,INVENTÁRIO!$A$2:$A$801,0)),"")="(sem nome)","Carta fora dos decks: digite o nome na coluna I (opcional)","")))</f>
        <v/>
      </c>
      <c r="K1050" s="11" t="str">
        <f aca="false">UPPER(TRIM(SUBSTITUTE(B1050&amp;"",CHAR(160)," ")))</f>
        <v/>
      </c>
      <c r="L1050" s="11" t="str">
        <f aca="false">IF(AND(K1050&lt;&gt;"",TRIM(I1050&amp;"")&lt;&gt;""),K1050,"")</f>
        <v/>
      </c>
    </row>
    <row r="1051" customFormat="false" ht="15" hidden="false" customHeight="false" outlineLevel="0" collapsed="false">
      <c r="A1051" s="9"/>
      <c r="B1051" s="4"/>
      <c r="C1051" s="10"/>
      <c r="D1051" s="11" t="str">
        <f aca="false">IF(K1051="","",IFERROR(INDEX(DECKS!$C$2:$C$1201,MATCH(K1051,DECKS!$B$2:$B$1201,0)),TRIM(I1051&amp;"")))</f>
        <v/>
      </c>
      <c r="E1051" s="4"/>
      <c r="F1051" s="12"/>
      <c r="G1051" s="4"/>
      <c r="H1051" s="13" t="str">
        <f aca="false">IF(OR(N(C1051)=0,N(F1051)=0),"",C1051*F1051)</f>
        <v/>
      </c>
      <c r="I1051" s="4"/>
      <c r="J1051" s="11" t="str">
        <f aca="false">IF(K1051="","",IF(N(C1051)&lt;=0,"Informe a quantidade",IF(IFERROR(INDEX(INVENTÁRIO!$B$2:$B$801,MATCH(K1051,INVENTÁRIO!$A$2:$A$801,0)),"")="(sem nome)","Carta fora dos decks: digite o nome na coluna I (opcional)","")))</f>
        <v/>
      </c>
      <c r="K1051" s="11" t="str">
        <f aca="false">UPPER(TRIM(SUBSTITUTE(B1051&amp;"",CHAR(160)," ")))</f>
        <v/>
      </c>
      <c r="L1051" s="11" t="str">
        <f aca="false">IF(AND(K1051&lt;&gt;"",TRIM(I1051&amp;"")&lt;&gt;""),K1051,"")</f>
        <v/>
      </c>
    </row>
    <row r="1052" customFormat="false" ht="15" hidden="false" customHeight="false" outlineLevel="0" collapsed="false">
      <c r="A1052" s="9"/>
      <c r="B1052" s="4"/>
      <c r="C1052" s="10"/>
      <c r="D1052" s="11" t="str">
        <f aca="false">IF(K1052="","",IFERROR(INDEX(DECKS!$C$2:$C$1201,MATCH(K1052,DECKS!$B$2:$B$1201,0)),TRIM(I1052&amp;"")))</f>
        <v/>
      </c>
      <c r="E1052" s="4"/>
      <c r="F1052" s="12"/>
      <c r="G1052" s="4"/>
      <c r="H1052" s="13" t="str">
        <f aca="false">IF(OR(N(C1052)=0,N(F1052)=0),"",C1052*F1052)</f>
        <v/>
      </c>
      <c r="I1052" s="4"/>
      <c r="J1052" s="11" t="str">
        <f aca="false">IF(K1052="","",IF(N(C1052)&lt;=0,"Informe a quantidade",IF(IFERROR(INDEX(INVENTÁRIO!$B$2:$B$801,MATCH(K1052,INVENTÁRIO!$A$2:$A$801,0)),"")="(sem nome)","Carta fora dos decks: digite o nome na coluna I (opcional)","")))</f>
        <v/>
      </c>
      <c r="K1052" s="11" t="str">
        <f aca="false">UPPER(TRIM(SUBSTITUTE(B1052&amp;"",CHAR(160)," ")))</f>
        <v/>
      </c>
      <c r="L1052" s="11" t="str">
        <f aca="false">IF(AND(K1052&lt;&gt;"",TRIM(I1052&amp;"")&lt;&gt;""),K1052,"")</f>
        <v/>
      </c>
    </row>
    <row r="1053" customFormat="false" ht="15" hidden="false" customHeight="false" outlineLevel="0" collapsed="false">
      <c r="A1053" s="9"/>
      <c r="B1053" s="4"/>
      <c r="C1053" s="10"/>
      <c r="D1053" s="11" t="str">
        <f aca="false">IF(K1053="","",IFERROR(INDEX(DECKS!$C$2:$C$1201,MATCH(K1053,DECKS!$B$2:$B$1201,0)),TRIM(I1053&amp;"")))</f>
        <v/>
      </c>
      <c r="E1053" s="4"/>
      <c r="F1053" s="12"/>
      <c r="G1053" s="4"/>
      <c r="H1053" s="13" t="str">
        <f aca="false">IF(OR(N(C1053)=0,N(F1053)=0),"",C1053*F1053)</f>
        <v/>
      </c>
      <c r="I1053" s="4"/>
      <c r="J1053" s="11" t="str">
        <f aca="false">IF(K1053="","",IF(N(C1053)&lt;=0,"Informe a quantidade",IF(IFERROR(INDEX(INVENTÁRIO!$B$2:$B$801,MATCH(K1053,INVENTÁRIO!$A$2:$A$801,0)),"")="(sem nome)","Carta fora dos decks: digite o nome na coluna I (opcional)","")))</f>
        <v/>
      </c>
      <c r="K1053" s="11" t="str">
        <f aca="false">UPPER(TRIM(SUBSTITUTE(B1053&amp;"",CHAR(160)," ")))</f>
        <v/>
      </c>
      <c r="L1053" s="11" t="str">
        <f aca="false">IF(AND(K1053&lt;&gt;"",TRIM(I1053&amp;"")&lt;&gt;""),K1053,"")</f>
        <v/>
      </c>
    </row>
    <row r="1054" customFormat="false" ht="15" hidden="false" customHeight="false" outlineLevel="0" collapsed="false">
      <c r="A1054" s="9"/>
      <c r="B1054" s="4"/>
      <c r="C1054" s="10"/>
      <c r="D1054" s="11" t="str">
        <f aca="false">IF(K1054="","",IFERROR(INDEX(DECKS!$C$2:$C$1201,MATCH(K1054,DECKS!$B$2:$B$1201,0)),TRIM(I1054&amp;"")))</f>
        <v/>
      </c>
      <c r="E1054" s="4"/>
      <c r="F1054" s="12"/>
      <c r="G1054" s="4"/>
      <c r="H1054" s="13" t="str">
        <f aca="false">IF(OR(N(C1054)=0,N(F1054)=0),"",C1054*F1054)</f>
        <v/>
      </c>
      <c r="I1054" s="4"/>
      <c r="J1054" s="11" t="str">
        <f aca="false">IF(K1054="","",IF(N(C1054)&lt;=0,"Informe a quantidade",IF(IFERROR(INDEX(INVENTÁRIO!$B$2:$B$801,MATCH(K1054,INVENTÁRIO!$A$2:$A$801,0)),"")="(sem nome)","Carta fora dos decks: digite o nome na coluna I (opcional)","")))</f>
        <v/>
      </c>
      <c r="K1054" s="11" t="str">
        <f aca="false">UPPER(TRIM(SUBSTITUTE(B1054&amp;"",CHAR(160)," ")))</f>
        <v/>
      </c>
      <c r="L1054" s="11" t="str">
        <f aca="false">IF(AND(K1054&lt;&gt;"",TRIM(I1054&amp;"")&lt;&gt;""),K1054,"")</f>
        <v/>
      </c>
    </row>
    <row r="1055" customFormat="false" ht="15" hidden="false" customHeight="false" outlineLevel="0" collapsed="false">
      <c r="A1055" s="9"/>
      <c r="B1055" s="4"/>
      <c r="C1055" s="10"/>
      <c r="D1055" s="11" t="str">
        <f aca="false">IF(K1055="","",IFERROR(INDEX(DECKS!$C$2:$C$1201,MATCH(K1055,DECKS!$B$2:$B$1201,0)),TRIM(I1055&amp;"")))</f>
        <v/>
      </c>
      <c r="E1055" s="4"/>
      <c r="F1055" s="12"/>
      <c r="G1055" s="4"/>
      <c r="H1055" s="13" t="str">
        <f aca="false">IF(OR(N(C1055)=0,N(F1055)=0),"",C1055*F1055)</f>
        <v/>
      </c>
      <c r="I1055" s="4"/>
      <c r="J1055" s="11" t="str">
        <f aca="false">IF(K1055="","",IF(N(C1055)&lt;=0,"Informe a quantidade",IF(IFERROR(INDEX(INVENTÁRIO!$B$2:$B$801,MATCH(K1055,INVENTÁRIO!$A$2:$A$801,0)),"")="(sem nome)","Carta fora dos decks: digite o nome na coluna I (opcional)","")))</f>
        <v/>
      </c>
      <c r="K1055" s="11" t="str">
        <f aca="false">UPPER(TRIM(SUBSTITUTE(B1055&amp;"",CHAR(160)," ")))</f>
        <v/>
      </c>
      <c r="L1055" s="11" t="str">
        <f aca="false">IF(AND(K1055&lt;&gt;"",TRIM(I1055&amp;"")&lt;&gt;""),K1055,"")</f>
        <v/>
      </c>
    </row>
    <row r="1056" customFormat="false" ht="15" hidden="false" customHeight="false" outlineLevel="0" collapsed="false">
      <c r="A1056" s="9"/>
      <c r="B1056" s="4"/>
      <c r="C1056" s="10"/>
      <c r="D1056" s="11" t="str">
        <f aca="false">IF(K1056="","",IFERROR(INDEX(DECKS!$C$2:$C$1201,MATCH(K1056,DECKS!$B$2:$B$1201,0)),TRIM(I1056&amp;"")))</f>
        <v/>
      </c>
      <c r="E1056" s="4"/>
      <c r="F1056" s="12"/>
      <c r="G1056" s="4"/>
      <c r="H1056" s="13" t="str">
        <f aca="false">IF(OR(N(C1056)=0,N(F1056)=0),"",C1056*F1056)</f>
        <v/>
      </c>
      <c r="I1056" s="4"/>
      <c r="J1056" s="11" t="str">
        <f aca="false">IF(K1056="","",IF(N(C1056)&lt;=0,"Informe a quantidade",IF(IFERROR(INDEX(INVENTÁRIO!$B$2:$B$801,MATCH(K1056,INVENTÁRIO!$A$2:$A$801,0)),"")="(sem nome)","Carta fora dos decks: digite o nome na coluna I (opcional)","")))</f>
        <v/>
      </c>
      <c r="K1056" s="11" t="str">
        <f aca="false">UPPER(TRIM(SUBSTITUTE(B1056&amp;"",CHAR(160)," ")))</f>
        <v/>
      </c>
      <c r="L1056" s="11" t="str">
        <f aca="false">IF(AND(K1056&lt;&gt;"",TRIM(I1056&amp;"")&lt;&gt;""),K1056,"")</f>
        <v/>
      </c>
    </row>
    <row r="1057" customFormat="false" ht="15" hidden="false" customHeight="false" outlineLevel="0" collapsed="false">
      <c r="A1057" s="9"/>
      <c r="B1057" s="4"/>
      <c r="C1057" s="10"/>
      <c r="D1057" s="11" t="str">
        <f aca="false">IF(K1057="","",IFERROR(INDEX(DECKS!$C$2:$C$1201,MATCH(K1057,DECKS!$B$2:$B$1201,0)),TRIM(I1057&amp;"")))</f>
        <v/>
      </c>
      <c r="E1057" s="4"/>
      <c r="F1057" s="12"/>
      <c r="G1057" s="4"/>
      <c r="H1057" s="13" t="str">
        <f aca="false">IF(OR(N(C1057)=0,N(F1057)=0),"",C1057*F1057)</f>
        <v/>
      </c>
      <c r="I1057" s="4"/>
      <c r="J1057" s="11" t="str">
        <f aca="false">IF(K1057="","",IF(N(C1057)&lt;=0,"Informe a quantidade",IF(IFERROR(INDEX(INVENTÁRIO!$B$2:$B$801,MATCH(K1057,INVENTÁRIO!$A$2:$A$801,0)),"")="(sem nome)","Carta fora dos decks: digite o nome na coluna I (opcional)","")))</f>
        <v/>
      </c>
      <c r="K1057" s="11" t="str">
        <f aca="false">UPPER(TRIM(SUBSTITUTE(B1057&amp;"",CHAR(160)," ")))</f>
        <v/>
      </c>
      <c r="L1057" s="11" t="str">
        <f aca="false">IF(AND(K1057&lt;&gt;"",TRIM(I1057&amp;"")&lt;&gt;""),K1057,"")</f>
        <v/>
      </c>
    </row>
    <row r="1058" customFormat="false" ht="15" hidden="false" customHeight="false" outlineLevel="0" collapsed="false">
      <c r="A1058" s="9"/>
      <c r="B1058" s="4"/>
      <c r="C1058" s="10"/>
      <c r="D1058" s="11" t="str">
        <f aca="false">IF(K1058="","",IFERROR(INDEX(DECKS!$C$2:$C$1201,MATCH(K1058,DECKS!$B$2:$B$1201,0)),TRIM(I1058&amp;"")))</f>
        <v/>
      </c>
      <c r="E1058" s="4"/>
      <c r="F1058" s="12"/>
      <c r="G1058" s="4"/>
      <c r="H1058" s="13" t="str">
        <f aca="false">IF(OR(N(C1058)=0,N(F1058)=0),"",C1058*F1058)</f>
        <v/>
      </c>
      <c r="I1058" s="4"/>
      <c r="J1058" s="11" t="str">
        <f aca="false">IF(K1058="","",IF(N(C1058)&lt;=0,"Informe a quantidade",IF(IFERROR(INDEX(INVENTÁRIO!$B$2:$B$801,MATCH(K1058,INVENTÁRIO!$A$2:$A$801,0)),"")="(sem nome)","Carta fora dos decks: digite o nome na coluna I (opcional)","")))</f>
        <v/>
      </c>
      <c r="K1058" s="11" t="str">
        <f aca="false">UPPER(TRIM(SUBSTITUTE(B1058&amp;"",CHAR(160)," ")))</f>
        <v/>
      </c>
      <c r="L1058" s="11" t="str">
        <f aca="false">IF(AND(K1058&lt;&gt;"",TRIM(I1058&amp;"")&lt;&gt;""),K1058,"")</f>
        <v/>
      </c>
    </row>
    <row r="1059" customFormat="false" ht="15" hidden="false" customHeight="false" outlineLevel="0" collapsed="false">
      <c r="A1059" s="9"/>
      <c r="B1059" s="4"/>
      <c r="C1059" s="10"/>
      <c r="D1059" s="11" t="str">
        <f aca="false">IF(K1059="","",IFERROR(INDEX(DECKS!$C$2:$C$1201,MATCH(K1059,DECKS!$B$2:$B$1201,0)),TRIM(I1059&amp;"")))</f>
        <v/>
      </c>
      <c r="E1059" s="4"/>
      <c r="F1059" s="12"/>
      <c r="G1059" s="4"/>
      <c r="H1059" s="13" t="str">
        <f aca="false">IF(OR(N(C1059)=0,N(F1059)=0),"",C1059*F1059)</f>
        <v/>
      </c>
      <c r="I1059" s="4"/>
      <c r="J1059" s="11" t="str">
        <f aca="false">IF(K1059="","",IF(N(C1059)&lt;=0,"Informe a quantidade",IF(IFERROR(INDEX(INVENTÁRIO!$B$2:$B$801,MATCH(K1059,INVENTÁRIO!$A$2:$A$801,0)),"")="(sem nome)","Carta fora dos decks: digite o nome na coluna I (opcional)","")))</f>
        <v/>
      </c>
      <c r="K1059" s="11" t="str">
        <f aca="false">UPPER(TRIM(SUBSTITUTE(B1059&amp;"",CHAR(160)," ")))</f>
        <v/>
      </c>
      <c r="L1059" s="11" t="str">
        <f aca="false">IF(AND(K1059&lt;&gt;"",TRIM(I1059&amp;"")&lt;&gt;""),K1059,"")</f>
        <v/>
      </c>
    </row>
    <row r="1060" customFormat="false" ht="15" hidden="false" customHeight="false" outlineLevel="0" collapsed="false">
      <c r="A1060" s="9"/>
      <c r="B1060" s="4"/>
      <c r="C1060" s="10"/>
      <c r="D1060" s="11" t="str">
        <f aca="false">IF(K1060="","",IFERROR(INDEX(DECKS!$C$2:$C$1201,MATCH(K1060,DECKS!$B$2:$B$1201,0)),TRIM(I1060&amp;"")))</f>
        <v/>
      </c>
      <c r="E1060" s="4"/>
      <c r="F1060" s="12"/>
      <c r="G1060" s="4"/>
      <c r="H1060" s="13" t="str">
        <f aca="false">IF(OR(N(C1060)=0,N(F1060)=0),"",C1060*F1060)</f>
        <v/>
      </c>
      <c r="I1060" s="4"/>
      <c r="J1060" s="11" t="str">
        <f aca="false">IF(K1060="","",IF(N(C1060)&lt;=0,"Informe a quantidade",IF(IFERROR(INDEX(INVENTÁRIO!$B$2:$B$801,MATCH(K1060,INVENTÁRIO!$A$2:$A$801,0)),"")="(sem nome)","Carta fora dos decks: digite o nome na coluna I (opcional)","")))</f>
        <v/>
      </c>
      <c r="K1060" s="11" t="str">
        <f aca="false">UPPER(TRIM(SUBSTITUTE(B1060&amp;"",CHAR(160)," ")))</f>
        <v/>
      </c>
      <c r="L1060" s="11" t="str">
        <f aca="false">IF(AND(K1060&lt;&gt;"",TRIM(I1060&amp;"")&lt;&gt;""),K1060,"")</f>
        <v/>
      </c>
    </row>
    <row r="1061" customFormat="false" ht="15" hidden="false" customHeight="false" outlineLevel="0" collapsed="false">
      <c r="A1061" s="9"/>
      <c r="B1061" s="4"/>
      <c r="C1061" s="10"/>
      <c r="D1061" s="11" t="str">
        <f aca="false">IF(K1061="","",IFERROR(INDEX(DECKS!$C$2:$C$1201,MATCH(K1061,DECKS!$B$2:$B$1201,0)),TRIM(I1061&amp;"")))</f>
        <v/>
      </c>
      <c r="E1061" s="4"/>
      <c r="F1061" s="12"/>
      <c r="G1061" s="4"/>
      <c r="H1061" s="13" t="str">
        <f aca="false">IF(OR(N(C1061)=0,N(F1061)=0),"",C1061*F1061)</f>
        <v/>
      </c>
      <c r="I1061" s="4"/>
      <c r="J1061" s="11" t="str">
        <f aca="false">IF(K1061="","",IF(N(C1061)&lt;=0,"Informe a quantidade",IF(IFERROR(INDEX(INVENTÁRIO!$B$2:$B$801,MATCH(K1061,INVENTÁRIO!$A$2:$A$801,0)),"")="(sem nome)","Carta fora dos decks: digite o nome na coluna I (opcional)","")))</f>
        <v/>
      </c>
      <c r="K1061" s="11" t="str">
        <f aca="false">UPPER(TRIM(SUBSTITUTE(B1061&amp;"",CHAR(160)," ")))</f>
        <v/>
      </c>
      <c r="L1061" s="11" t="str">
        <f aca="false">IF(AND(K1061&lt;&gt;"",TRIM(I1061&amp;"")&lt;&gt;""),K1061,"")</f>
        <v/>
      </c>
    </row>
    <row r="1062" customFormat="false" ht="15" hidden="false" customHeight="false" outlineLevel="0" collapsed="false">
      <c r="A1062" s="9"/>
      <c r="B1062" s="4"/>
      <c r="C1062" s="10"/>
      <c r="D1062" s="11" t="str">
        <f aca="false">IF(K1062="","",IFERROR(INDEX(DECKS!$C$2:$C$1201,MATCH(K1062,DECKS!$B$2:$B$1201,0)),TRIM(I1062&amp;"")))</f>
        <v/>
      </c>
      <c r="E1062" s="4"/>
      <c r="F1062" s="12"/>
      <c r="G1062" s="4"/>
      <c r="H1062" s="13" t="str">
        <f aca="false">IF(OR(N(C1062)=0,N(F1062)=0),"",C1062*F1062)</f>
        <v/>
      </c>
      <c r="I1062" s="4"/>
      <c r="J1062" s="11" t="str">
        <f aca="false">IF(K1062="","",IF(N(C1062)&lt;=0,"Informe a quantidade",IF(IFERROR(INDEX(INVENTÁRIO!$B$2:$B$801,MATCH(K1062,INVENTÁRIO!$A$2:$A$801,0)),"")="(sem nome)","Carta fora dos decks: digite o nome na coluna I (opcional)","")))</f>
        <v/>
      </c>
      <c r="K1062" s="11" t="str">
        <f aca="false">UPPER(TRIM(SUBSTITUTE(B1062&amp;"",CHAR(160)," ")))</f>
        <v/>
      </c>
      <c r="L1062" s="11" t="str">
        <f aca="false">IF(AND(K1062&lt;&gt;"",TRIM(I1062&amp;"")&lt;&gt;""),K1062,"")</f>
        <v/>
      </c>
    </row>
    <row r="1063" customFormat="false" ht="15" hidden="false" customHeight="false" outlineLevel="0" collapsed="false">
      <c r="A1063" s="9"/>
      <c r="B1063" s="4"/>
      <c r="C1063" s="10"/>
      <c r="D1063" s="11" t="str">
        <f aca="false">IF(K1063="","",IFERROR(INDEX(DECKS!$C$2:$C$1201,MATCH(K1063,DECKS!$B$2:$B$1201,0)),TRIM(I1063&amp;"")))</f>
        <v/>
      </c>
      <c r="E1063" s="4"/>
      <c r="F1063" s="12"/>
      <c r="G1063" s="4"/>
      <c r="H1063" s="13" t="str">
        <f aca="false">IF(OR(N(C1063)=0,N(F1063)=0),"",C1063*F1063)</f>
        <v/>
      </c>
      <c r="I1063" s="4"/>
      <c r="J1063" s="11" t="str">
        <f aca="false">IF(K1063="","",IF(N(C1063)&lt;=0,"Informe a quantidade",IF(IFERROR(INDEX(INVENTÁRIO!$B$2:$B$801,MATCH(K1063,INVENTÁRIO!$A$2:$A$801,0)),"")="(sem nome)","Carta fora dos decks: digite o nome na coluna I (opcional)","")))</f>
        <v/>
      </c>
      <c r="K1063" s="11" t="str">
        <f aca="false">UPPER(TRIM(SUBSTITUTE(B1063&amp;"",CHAR(160)," ")))</f>
        <v/>
      </c>
      <c r="L1063" s="11" t="str">
        <f aca="false">IF(AND(K1063&lt;&gt;"",TRIM(I1063&amp;"")&lt;&gt;""),K1063,"")</f>
        <v/>
      </c>
    </row>
    <row r="1064" customFormat="false" ht="15" hidden="false" customHeight="false" outlineLevel="0" collapsed="false">
      <c r="A1064" s="9"/>
      <c r="B1064" s="4"/>
      <c r="C1064" s="10"/>
      <c r="D1064" s="11" t="str">
        <f aca="false">IF(K1064="","",IFERROR(INDEX(DECKS!$C$2:$C$1201,MATCH(K1064,DECKS!$B$2:$B$1201,0)),TRIM(I1064&amp;"")))</f>
        <v/>
      </c>
      <c r="E1064" s="4"/>
      <c r="F1064" s="12"/>
      <c r="G1064" s="4"/>
      <c r="H1064" s="13" t="str">
        <f aca="false">IF(OR(N(C1064)=0,N(F1064)=0),"",C1064*F1064)</f>
        <v/>
      </c>
      <c r="I1064" s="4"/>
      <c r="J1064" s="11" t="str">
        <f aca="false">IF(K1064="","",IF(N(C1064)&lt;=0,"Informe a quantidade",IF(IFERROR(INDEX(INVENTÁRIO!$B$2:$B$801,MATCH(K1064,INVENTÁRIO!$A$2:$A$801,0)),"")="(sem nome)","Carta fora dos decks: digite o nome na coluna I (opcional)","")))</f>
        <v/>
      </c>
      <c r="K1064" s="11" t="str">
        <f aca="false">UPPER(TRIM(SUBSTITUTE(B1064&amp;"",CHAR(160)," ")))</f>
        <v/>
      </c>
      <c r="L1064" s="11" t="str">
        <f aca="false">IF(AND(K1064&lt;&gt;"",TRIM(I1064&amp;"")&lt;&gt;""),K1064,"")</f>
        <v/>
      </c>
    </row>
    <row r="1065" customFormat="false" ht="15" hidden="false" customHeight="false" outlineLevel="0" collapsed="false">
      <c r="A1065" s="9"/>
      <c r="B1065" s="4"/>
      <c r="C1065" s="10"/>
      <c r="D1065" s="11" t="str">
        <f aca="false">IF(K1065="","",IFERROR(INDEX(DECKS!$C$2:$C$1201,MATCH(K1065,DECKS!$B$2:$B$1201,0)),TRIM(I1065&amp;"")))</f>
        <v/>
      </c>
      <c r="E1065" s="4"/>
      <c r="F1065" s="12"/>
      <c r="G1065" s="4"/>
      <c r="H1065" s="13" t="str">
        <f aca="false">IF(OR(N(C1065)=0,N(F1065)=0),"",C1065*F1065)</f>
        <v/>
      </c>
      <c r="I1065" s="4"/>
      <c r="J1065" s="11" t="str">
        <f aca="false">IF(K1065="","",IF(N(C1065)&lt;=0,"Informe a quantidade",IF(IFERROR(INDEX(INVENTÁRIO!$B$2:$B$801,MATCH(K1065,INVENTÁRIO!$A$2:$A$801,0)),"")="(sem nome)","Carta fora dos decks: digite o nome na coluna I (opcional)","")))</f>
        <v/>
      </c>
      <c r="K1065" s="11" t="str">
        <f aca="false">UPPER(TRIM(SUBSTITUTE(B1065&amp;"",CHAR(160)," ")))</f>
        <v/>
      </c>
      <c r="L1065" s="11" t="str">
        <f aca="false">IF(AND(K1065&lt;&gt;"",TRIM(I1065&amp;"")&lt;&gt;""),K1065,"")</f>
        <v/>
      </c>
    </row>
    <row r="1066" customFormat="false" ht="15" hidden="false" customHeight="false" outlineLevel="0" collapsed="false">
      <c r="A1066" s="9"/>
      <c r="B1066" s="4"/>
      <c r="C1066" s="10"/>
      <c r="D1066" s="11" t="str">
        <f aca="false">IF(K1066="","",IFERROR(INDEX(DECKS!$C$2:$C$1201,MATCH(K1066,DECKS!$B$2:$B$1201,0)),TRIM(I1066&amp;"")))</f>
        <v/>
      </c>
      <c r="E1066" s="4"/>
      <c r="F1066" s="12"/>
      <c r="G1066" s="4"/>
      <c r="H1066" s="13" t="str">
        <f aca="false">IF(OR(N(C1066)=0,N(F1066)=0),"",C1066*F1066)</f>
        <v/>
      </c>
      <c r="I1066" s="4"/>
      <c r="J1066" s="11" t="str">
        <f aca="false">IF(K1066="","",IF(N(C1066)&lt;=0,"Informe a quantidade",IF(IFERROR(INDEX(INVENTÁRIO!$B$2:$B$801,MATCH(K1066,INVENTÁRIO!$A$2:$A$801,0)),"")="(sem nome)","Carta fora dos decks: digite o nome na coluna I (opcional)","")))</f>
        <v/>
      </c>
      <c r="K1066" s="11" t="str">
        <f aca="false">UPPER(TRIM(SUBSTITUTE(B1066&amp;"",CHAR(160)," ")))</f>
        <v/>
      </c>
      <c r="L1066" s="11" t="str">
        <f aca="false">IF(AND(K1066&lt;&gt;"",TRIM(I1066&amp;"")&lt;&gt;""),K1066,"")</f>
        <v/>
      </c>
    </row>
    <row r="1067" customFormat="false" ht="15" hidden="false" customHeight="false" outlineLevel="0" collapsed="false">
      <c r="A1067" s="9"/>
      <c r="B1067" s="4"/>
      <c r="C1067" s="10"/>
      <c r="D1067" s="11" t="str">
        <f aca="false">IF(K1067="","",IFERROR(INDEX(DECKS!$C$2:$C$1201,MATCH(K1067,DECKS!$B$2:$B$1201,0)),TRIM(I1067&amp;"")))</f>
        <v/>
      </c>
      <c r="E1067" s="4"/>
      <c r="F1067" s="12"/>
      <c r="G1067" s="4"/>
      <c r="H1067" s="13" t="str">
        <f aca="false">IF(OR(N(C1067)=0,N(F1067)=0),"",C1067*F1067)</f>
        <v/>
      </c>
      <c r="I1067" s="4"/>
      <c r="J1067" s="11" t="str">
        <f aca="false">IF(K1067="","",IF(N(C1067)&lt;=0,"Informe a quantidade",IF(IFERROR(INDEX(INVENTÁRIO!$B$2:$B$801,MATCH(K1067,INVENTÁRIO!$A$2:$A$801,0)),"")="(sem nome)","Carta fora dos decks: digite o nome na coluna I (opcional)","")))</f>
        <v/>
      </c>
      <c r="K1067" s="11" t="str">
        <f aca="false">UPPER(TRIM(SUBSTITUTE(B1067&amp;"",CHAR(160)," ")))</f>
        <v/>
      </c>
      <c r="L1067" s="11" t="str">
        <f aca="false">IF(AND(K1067&lt;&gt;"",TRIM(I1067&amp;"")&lt;&gt;""),K1067,"")</f>
        <v/>
      </c>
    </row>
    <row r="1068" customFormat="false" ht="15" hidden="false" customHeight="false" outlineLevel="0" collapsed="false">
      <c r="A1068" s="9"/>
      <c r="B1068" s="4"/>
      <c r="C1068" s="10"/>
      <c r="D1068" s="11" t="str">
        <f aca="false">IF(K1068="","",IFERROR(INDEX(DECKS!$C$2:$C$1201,MATCH(K1068,DECKS!$B$2:$B$1201,0)),TRIM(I1068&amp;"")))</f>
        <v/>
      </c>
      <c r="E1068" s="4"/>
      <c r="F1068" s="12"/>
      <c r="G1068" s="4"/>
      <c r="H1068" s="13" t="str">
        <f aca="false">IF(OR(N(C1068)=0,N(F1068)=0),"",C1068*F1068)</f>
        <v/>
      </c>
      <c r="I1068" s="4"/>
      <c r="J1068" s="11" t="str">
        <f aca="false">IF(K1068="","",IF(N(C1068)&lt;=0,"Informe a quantidade",IF(IFERROR(INDEX(INVENTÁRIO!$B$2:$B$801,MATCH(K1068,INVENTÁRIO!$A$2:$A$801,0)),"")="(sem nome)","Carta fora dos decks: digite o nome na coluna I (opcional)","")))</f>
        <v/>
      </c>
      <c r="K1068" s="11" t="str">
        <f aca="false">UPPER(TRIM(SUBSTITUTE(B1068&amp;"",CHAR(160)," ")))</f>
        <v/>
      </c>
      <c r="L1068" s="11" t="str">
        <f aca="false">IF(AND(K1068&lt;&gt;"",TRIM(I1068&amp;"")&lt;&gt;""),K1068,"")</f>
        <v/>
      </c>
    </row>
    <row r="1069" customFormat="false" ht="15" hidden="false" customHeight="false" outlineLevel="0" collapsed="false">
      <c r="A1069" s="9"/>
      <c r="B1069" s="4"/>
      <c r="C1069" s="10"/>
      <c r="D1069" s="11" t="str">
        <f aca="false">IF(K1069="","",IFERROR(INDEX(DECKS!$C$2:$C$1201,MATCH(K1069,DECKS!$B$2:$B$1201,0)),TRIM(I1069&amp;"")))</f>
        <v/>
      </c>
      <c r="E1069" s="4"/>
      <c r="F1069" s="12"/>
      <c r="G1069" s="4"/>
      <c r="H1069" s="13" t="str">
        <f aca="false">IF(OR(N(C1069)=0,N(F1069)=0),"",C1069*F1069)</f>
        <v/>
      </c>
      <c r="I1069" s="4"/>
      <c r="J1069" s="11" t="str">
        <f aca="false">IF(K1069="","",IF(N(C1069)&lt;=0,"Informe a quantidade",IF(IFERROR(INDEX(INVENTÁRIO!$B$2:$B$801,MATCH(K1069,INVENTÁRIO!$A$2:$A$801,0)),"")="(sem nome)","Carta fora dos decks: digite o nome na coluna I (opcional)","")))</f>
        <v/>
      </c>
      <c r="K1069" s="11" t="str">
        <f aca="false">UPPER(TRIM(SUBSTITUTE(B1069&amp;"",CHAR(160)," ")))</f>
        <v/>
      </c>
      <c r="L1069" s="11" t="str">
        <f aca="false">IF(AND(K1069&lt;&gt;"",TRIM(I1069&amp;"")&lt;&gt;""),K1069,"")</f>
        <v/>
      </c>
    </row>
    <row r="1070" customFormat="false" ht="15" hidden="false" customHeight="false" outlineLevel="0" collapsed="false">
      <c r="A1070" s="9"/>
      <c r="B1070" s="4"/>
      <c r="C1070" s="10"/>
      <c r="D1070" s="11" t="str">
        <f aca="false">IF(K1070="","",IFERROR(INDEX(DECKS!$C$2:$C$1201,MATCH(K1070,DECKS!$B$2:$B$1201,0)),TRIM(I1070&amp;"")))</f>
        <v/>
      </c>
      <c r="E1070" s="4"/>
      <c r="F1070" s="12"/>
      <c r="G1070" s="4"/>
      <c r="H1070" s="13" t="str">
        <f aca="false">IF(OR(N(C1070)=0,N(F1070)=0),"",C1070*F1070)</f>
        <v/>
      </c>
      <c r="I1070" s="4"/>
      <c r="J1070" s="11" t="str">
        <f aca="false">IF(K1070="","",IF(N(C1070)&lt;=0,"Informe a quantidade",IF(IFERROR(INDEX(INVENTÁRIO!$B$2:$B$801,MATCH(K1070,INVENTÁRIO!$A$2:$A$801,0)),"")="(sem nome)","Carta fora dos decks: digite o nome na coluna I (opcional)","")))</f>
        <v/>
      </c>
      <c r="K1070" s="11" t="str">
        <f aca="false">UPPER(TRIM(SUBSTITUTE(B1070&amp;"",CHAR(160)," ")))</f>
        <v/>
      </c>
      <c r="L1070" s="11" t="str">
        <f aca="false">IF(AND(K1070&lt;&gt;"",TRIM(I1070&amp;"")&lt;&gt;""),K1070,"")</f>
        <v/>
      </c>
    </row>
    <row r="1071" customFormat="false" ht="15" hidden="false" customHeight="false" outlineLevel="0" collapsed="false">
      <c r="A1071" s="9"/>
      <c r="B1071" s="4"/>
      <c r="C1071" s="10"/>
      <c r="D1071" s="11" t="str">
        <f aca="false">IF(K1071="","",IFERROR(INDEX(DECKS!$C$2:$C$1201,MATCH(K1071,DECKS!$B$2:$B$1201,0)),TRIM(I1071&amp;"")))</f>
        <v/>
      </c>
      <c r="E1071" s="4"/>
      <c r="F1071" s="12"/>
      <c r="G1071" s="4"/>
      <c r="H1071" s="13" t="str">
        <f aca="false">IF(OR(N(C1071)=0,N(F1071)=0),"",C1071*F1071)</f>
        <v/>
      </c>
      <c r="I1071" s="4"/>
      <c r="J1071" s="11" t="str">
        <f aca="false">IF(K1071="","",IF(N(C1071)&lt;=0,"Informe a quantidade",IF(IFERROR(INDEX(INVENTÁRIO!$B$2:$B$801,MATCH(K1071,INVENTÁRIO!$A$2:$A$801,0)),"")="(sem nome)","Carta fora dos decks: digite o nome na coluna I (opcional)","")))</f>
        <v/>
      </c>
      <c r="K1071" s="11" t="str">
        <f aca="false">UPPER(TRIM(SUBSTITUTE(B1071&amp;"",CHAR(160)," ")))</f>
        <v/>
      </c>
      <c r="L1071" s="11" t="str">
        <f aca="false">IF(AND(K1071&lt;&gt;"",TRIM(I1071&amp;"")&lt;&gt;""),K1071,"")</f>
        <v/>
      </c>
    </row>
    <row r="1072" customFormat="false" ht="15" hidden="false" customHeight="false" outlineLevel="0" collapsed="false">
      <c r="A1072" s="9"/>
      <c r="B1072" s="4"/>
      <c r="C1072" s="10"/>
      <c r="D1072" s="11" t="str">
        <f aca="false">IF(K1072="","",IFERROR(INDEX(DECKS!$C$2:$C$1201,MATCH(K1072,DECKS!$B$2:$B$1201,0)),TRIM(I1072&amp;"")))</f>
        <v/>
      </c>
      <c r="E1072" s="4"/>
      <c r="F1072" s="12"/>
      <c r="G1072" s="4"/>
      <c r="H1072" s="13" t="str">
        <f aca="false">IF(OR(N(C1072)=0,N(F1072)=0),"",C1072*F1072)</f>
        <v/>
      </c>
      <c r="I1072" s="4"/>
      <c r="J1072" s="11" t="str">
        <f aca="false">IF(K1072="","",IF(N(C1072)&lt;=0,"Informe a quantidade",IF(IFERROR(INDEX(INVENTÁRIO!$B$2:$B$801,MATCH(K1072,INVENTÁRIO!$A$2:$A$801,0)),"")="(sem nome)","Carta fora dos decks: digite o nome na coluna I (opcional)","")))</f>
        <v/>
      </c>
      <c r="K1072" s="11" t="str">
        <f aca="false">UPPER(TRIM(SUBSTITUTE(B1072&amp;"",CHAR(160)," ")))</f>
        <v/>
      </c>
      <c r="L1072" s="11" t="str">
        <f aca="false">IF(AND(K1072&lt;&gt;"",TRIM(I1072&amp;"")&lt;&gt;""),K1072,"")</f>
        <v/>
      </c>
    </row>
    <row r="1073" customFormat="false" ht="15" hidden="false" customHeight="false" outlineLevel="0" collapsed="false">
      <c r="A1073" s="9"/>
      <c r="B1073" s="4"/>
      <c r="C1073" s="10"/>
      <c r="D1073" s="11" t="str">
        <f aca="false">IF(K1073="","",IFERROR(INDEX(DECKS!$C$2:$C$1201,MATCH(K1073,DECKS!$B$2:$B$1201,0)),TRIM(I1073&amp;"")))</f>
        <v/>
      </c>
      <c r="E1073" s="4"/>
      <c r="F1073" s="12"/>
      <c r="G1073" s="4"/>
      <c r="H1073" s="13" t="str">
        <f aca="false">IF(OR(N(C1073)=0,N(F1073)=0),"",C1073*F1073)</f>
        <v/>
      </c>
      <c r="I1073" s="4"/>
      <c r="J1073" s="11" t="str">
        <f aca="false">IF(K1073="","",IF(N(C1073)&lt;=0,"Informe a quantidade",IF(IFERROR(INDEX(INVENTÁRIO!$B$2:$B$801,MATCH(K1073,INVENTÁRIO!$A$2:$A$801,0)),"")="(sem nome)","Carta fora dos decks: digite o nome na coluna I (opcional)","")))</f>
        <v/>
      </c>
      <c r="K1073" s="11" t="str">
        <f aca="false">UPPER(TRIM(SUBSTITUTE(B1073&amp;"",CHAR(160)," ")))</f>
        <v/>
      </c>
      <c r="L1073" s="11" t="str">
        <f aca="false">IF(AND(K1073&lt;&gt;"",TRIM(I1073&amp;"")&lt;&gt;""),K1073,"")</f>
        <v/>
      </c>
    </row>
    <row r="1074" customFormat="false" ht="15" hidden="false" customHeight="false" outlineLevel="0" collapsed="false">
      <c r="A1074" s="9"/>
      <c r="B1074" s="4"/>
      <c r="C1074" s="10"/>
      <c r="D1074" s="11" t="str">
        <f aca="false">IF(K1074="","",IFERROR(INDEX(DECKS!$C$2:$C$1201,MATCH(K1074,DECKS!$B$2:$B$1201,0)),TRIM(I1074&amp;"")))</f>
        <v/>
      </c>
      <c r="E1074" s="4"/>
      <c r="F1074" s="12"/>
      <c r="G1074" s="4"/>
      <c r="H1074" s="13" t="str">
        <f aca="false">IF(OR(N(C1074)=0,N(F1074)=0),"",C1074*F1074)</f>
        <v/>
      </c>
      <c r="I1074" s="4"/>
      <c r="J1074" s="11" t="str">
        <f aca="false">IF(K1074="","",IF(N(C1074)&lt;=0,"Informe a quantidade",IF(IFERROR(INDEX(INVENTÁRIO!$B$2:$B$801,MATCH(K1074,INVENTÁRIO!$A$2:$A$801,0)),"")="(sem nome)","Carta fora dos decks: digite o nome na coluna I (opcional)","")))</f>
        <v/>
      </c>
      <c r="K1074" s="11" t="str">
        <f aca="false">UPPER(TRIM(SUBSTITUTE(B1074&amp;"",CHAR(160)," ")))</f>
        <v/>
      </c>
      <c r="L1074" s="11" t="str">
        <f aca="false">IF(AND(K1074&lt;&gt;"",TRIM(I1074&amp;"")&lt;&gt;""),K1074,"")</f>
        <v/>
      </c>
    </row>
    <row r="1075" customFormat="false" ht="15" hidden="false" customHeight="false" outlineLevel="0" collapsed="false">
      <c r="A1075" s="9"/>
      <c r="B1075" s="4"/>
      <c r="C1075" s="10"/>
      <c r="D1075" s="11" t="str">
        <f aca="false">IF(K1075="","",IFERROR(INDEX(DECKS!$C$2:$C$1201,MATCH(K1075,DECKS!$B$2:$B$1201,0)),TRIM(I1075&amp;"")))</f>
        <v/>
      </c>
      <c r="E1075" s="4"/>
      <c r="F1075" s="12"/>
      <c r="G1075" s="4"/>
      <c r="H1075" s="13" t="str">
        <f aca="false">IF(OR(N(C1075)=0,N(F1075)=0),"",C1075*F1075)</f>
        <v/>
      </c>
      <c r="I1075" s="4"/>
      <c r="J1075" s="11" t="str">
        <f aca="false">IF(K1075="","",IF(N(C1075)&lt;=0,"Informe a quantidade",IF(IFERROR(INDEX(INVENTÁRIO!$B$2:$B$801,MATCH(K1075,INVENTÁRIO!$A$2:$A$801,0)),"")="(sem nome)","Carta fora dos decks: digite o nome na coluna I (opcional)","")))</f>
        <v/>
      </c>
      <c r="K1075" s="11" t="str">
        <f aca="false">UPPER(TRIM(SUBSTITUTE(B1075&amp;"",CHAR(160)," ")))</f>
        <v/>
      </c>
      <c r="L1075" s="11" t="str">
        <f aca="false">IF(AND(K1075&lt;&gt;"",TRIM(I1075&amp;"")&lt;&gt;""),K1075,"")</f>
        <v/>
      </c>
    </row>
    <row r="1076" customFormat="false" ht="15" hidden="false" customHeight="false" outlineLevel="0" collapsed="false">
      <c r="A1076" s="9"/>
      <c r="B1076" s="4"/>
      <c r="C1076" s="10"/>
      <c r="D1076" s="11" t="str">
        <f aca="false">IF(K1076="","",IFERROR(INDEX(DECKS!$C$2:$C$1201,MATCH(K1076,DECKS!$B$2:$B$1201,0)),TRIM(I1076&amp;"")))</f>
        <v/>
      </c>
      <c r="E1076" s="4"/>
      <c r="F1076" s="12"/>
      <c r="G1076" s="4"/>
      <c r="H1076" s="13" t="str">
        <f aca="false">IF(OR(N(C1076)=0,N(F1076)=0),"",C1076*F1076)</f>
        <v/>
      </c>
      <c r="I1076" s="4"/>
      <c r="J1076" s="11" t="str">
        <f aca="false">IF(K1076="","",IF(N(C1076)&lt;=0,"Informe a quantidade",IF(IFERROR(INDEX(INVENTÁRIO!$B$2:$B$801,MATCH(K1076,INVENTÁRIO!$A$2:$A$801,0)),"")="(sem nome)","Carta fora dos decks: digite o nome na coluna I (opcional)","")))</f>
        <v/>
      </c>
      <c r="K1076" s="11" t="str">
        <f aca="false">UPPER(TRIM(SUBSTITUTE(B1076&amp;"",CHAR(160)," ")))</f>
        <v/>
      </c>
      <c r="L1076" s="11" t="str">
        <f aca="false">IF(AND(K1076&lt;&gt;"",TRIM(I1076&amp;"")&lt;&gt;""),K1076,"")</f>
        <v/>
      </c>
    </row>
    <row r="1077" customFormat="false" ht="15" hidden="false" customHeight="false" outlineLevel="0" collapsed="false">
      <c r="A1077" s="9"/>
      <c r="B1077" s="4"/>
      <c r="C1077" s="10"/>
      <c r="D1077" s="11" t="str">
        <f aca="false">IF(K1077="","",IFERROR(INDEX(DECKS!$C$2:$C$1201,MATCH(K1077,DECKS!$B$2:$B$1201,0)),TRIM(I1077&amp;"")))</f>
        <v/>
      </c>
      <c r="E1077" s="4"/>
      <c r="F1077" s="12"/>
      <c r="G1077" s="4"/>
      <c r="H1077" s="13" t="str">
        <f aca="false">IF(OR(N(C1077)=0,N(F1077)=0),"",C1077*F1077)</f>
        <v/>
      </c>
      <c r="I1077" s="4"/>
      <c r="J1077" s="11" t="str">
        <f aca="false">IF(K1077="","",IF(N(C1077)&lt;=0,"Informe a quantidade",IF(IFERROR(INDEX(INVENTÁRIO!$B$2:$B$801,MATCH(K1077,INVENTÁRIO!$A$2:$A$801,0)),"")="(sem nome)","Carta fora dos decks: digite o nome na coluna I (opcional)","")))</f>
        <v/>
      </c>
      <c r="K1077" s="11" t="str">
        <f aca="false">UPPER(TRIM(SUBSTITUTE(B1077&amp;"",CHAR(160)," ")))</f>
        <v/>
      </c>
      <c r="L1077" s="11" t="str">
        <f aca="false">IF(AND(K1077&lt;&gt;"",TRIM(I1077&amp;"")&lt;&gt;""),K1077,"")</f>
        <v/>
      </c>
    </row>
    <row r="1078" customFormat="false" ht="15" hidden="false" customHeight="false" outlineLevel="0" collapsed="false">
      <c r="A1078" s="9"/>
      <c r="B1078" s="4"/>
      <c r="C1078" s="10"/>
      <c r="D1078" s="11" t="str">
        <f aca="false">IF(K1078="","",IFERROR(INDEX(DECKS!$C$2:$C$1201,MATCH(K1078,DECKS!$B$2:$B$1201,0)),TRIM(I1078&amp;"")))</f>
        <v/>
      </c>
      <c r="E1078" s="4"/>
      <c r="F1078" s="12"/>
      <c r="G1078" s="4"/>
      <c r="H1078" s="13" t="str">
        <f aca="false">IF(OR(N(C1078)=0,N(F1078)=0),"",C1078*F1078)</f>
        <v/>
      </c>
      <c r="I1078" s="4"/>
      <c r="J1078" s="11" t="str">
        <f aca="false">IF(K1078="","",IF(N(C1078)&lt;=0,"Informe a quantidade",IF(IFERROR(INDEX(INVENTÁRIO!$B$2:$B$801,MATCH(K1078,INVENTÁRIO!$A$2:$A$801,0)),"")="(sem nome)","Carta fora dos decks: digite o nome na coluna I (opcional)","")))</f>
        <v/>
      </c>
      <c r="K1078" s="11" t="str">
        <f aca="false">UPPER(TRIM(SUBSTITUTE(B1078&amp;"",CHAR(160)," ")))</f>
        <v/>
      </c>
      <c r="L1078" s="11" t="str">
        <f aca="false">IF(AND(K1078&lt;&gt;"",TRIM(I1078&amp;"")&lt;&gt;""),K1078,"")</f>
        <v/>
      </c>
    </row>
    <row r="1079" customFormat="false" ht="15" hidden="false" customHeight="false" outlineLevel="0" collapsed="false">
      <c r="A1079" s="9"/>
      <c r="B1079" s="4"/>
      <c r="C1079" s="10"/>
      <c r="D1079" s="11" t="str">
        <f aca="false">IF(K1079="","",IFERROR(INDEX(DECKS!$C$2:$C$1201,MATCH(K1079,DECKS!$B$2:$B$1201,0)),TRIM(I1079&amp;"")))</f>
        <v/>
      </c>
      <c r="E1079" s="4"/>
      <c r="F1079" s="12"/>
      <c r="G1079" s="4"/>
      <c r="H1079" s="13" t="str">
        <f aca="false">IF(OR(N(C1079)=0,N(F1079)=0),"",C1079*F1079)</f>
        <v/>
      </c>
      <c r="I1079" s="4"/>
      <c r="J1079" s="11" t="str">
        <f aca="false">IF(K1079="","",IF(N(C1079)&lt;=0,"Informe a quantidade",IF(IFERROR(INDEX(INVENTÁRIO!$B$2:$B$801,MATCH(K1079,INVENTÁRIO!$A$2:$A$801,0)),"")="(sem nome)","Carta fora dos decks: digite o nome na coluna I (opcional)","")))</f>
        <v/>
      </c>
      <c r="K1079" s="11" t="str">
        <f aca="false">UPPER(TRIM(SUBSTITUTE(B1079&amp;"",CHAR(160)," ")))</f>
        <v/>
      </c>
      <c r="L1079" s="11" t="str">
        <f aca="false">IF(AND(K1079&lt;&gt;"",TRIM(I1079&amp;"")&lt;&gt;""),K1079,"")</f>
        <v/>
      </c>
    </row>
    <row r="1080" customFormat="false" ht="15" hidden="false" customHeight="false" outlineLevel="0" collapsed="false">
      <c r="A1080" s="9"/>
      <c r="B1080" s="4"/>
      <c r="C1080" s="10"/>
      <c r="D1080" s="11" t="str">
        <f aca="false">IF(K1080="","",IFERROR(INDEX(DECKS!$C$2:$C$1201,MATCH(K1080,DECKS!$B$2:$B$1201,0)),TRIM(I1080&amp;"")))</f>
        <v/>
      </c>
      <c r="E1080" s="4"/>
      <c r="F1080" s="12"/>
      <c r="G1080" s="4"/>
      <c r="H1080" s="13" t="str">
        <f aca="false">IF(OR(N(C1080)=0,N(F1080)=0),"",C1080*F1080)</f>
        <v/>
      </c>
      <c r="I1080" s="4"/>
      <c r="J1080" s="11" t="str">
        <f aca="false">IF(K1080="","",IF(N(C1080)&lt;=0,"Informe a quantidade",IF(IFERROR(INDEX(INVENTÁRIO!$B$2:$B$801,MATCH(K1080,INVENTÁRIO!$A$2:$A$801,0)),"")="(sem nome)","Carta fora dos decks: digite o nome na coluna I (opcional)","")))</f>
        <v/>
      </c>
      <c r="K1080" s="11" t="str">
        <f aca="false">UPPER(TRIM(SUBSTITUTE(B1080&amp;"",CHAR(160)," ")))</f>
        <v/>
      </c>
      <c r="L1080" s="11" t="str">
        <f aca="false">IF(AND(K1080&lt;&gt;"",TRIM(I1080&amp;"")&lt;&gt;""),K1080,"")</f>
        <v/>
      </c>
    </row>
    <row r="1081" customFormat="false" ht="15" hidden="false" customHeight="false" outlineLevel="0" collapsed="false">
      <c r="A1081" s="9"/>
      <c r="B1081" s="4"/>
      <c r="C1081" s="10"/>
      <c r="D1081" s="11" t="str">
        <f aca="false">IF(K1081="","",IFERROR(INDEX(DECKS!$C$2:$C$1201,MATCH(K1081,DECKS!$B$2:$B$1201,0)),TRIM(I1081&amp;"")))</f>
        <v/>
      </c>
      <c r="E1081" s="4"/>
      <c r="F1081" s="12"/>
      <c r="G1081" s="4"/>
      <c r="H1081" s="13" t="str">
        <f aca="false">IF(OR(N(C1081)=0,N(F1081)=0),"",C1081*F1081)</f>
        <v/>
      </c>
      <c r="I1081" s="4"/>
      <c r="J1081" s="11" t="str">
        <f aca="false">IF(K1081="","",IF(N(C1081)&lt;=0,"Informe a quantidade",IF(IFERROR(INDEX(INVENTÁRIO!$B$2:$B$801,MATCH(K1081,INVENTÁRIO!$A$2:$A$801,0)),"")="(sem nome)","Carta fora dos decks: digite o nome na coluna I (opcional)","")))</f>
        <v/>
      </c>
      <c r="K1081" s="11" t="str">
        <f aca="false">UPPER(TRIM(SUBSTITUTE(B1081&amp;"",CHAR(160)," ")))</f>
        <v/>
      </c>
      <c r="L1081" s="11" t="str">
        <f aca="false">IF(AND(K1081&lt;&gt;"",TRIM(I1081&amp;"")&lt;&gt;""),K1081,"")</f>
        <v/>
      </c>
    </row>
    <row r="1082" customFormat="false" ht="15" hidden="false" customHeight="false" outlineLevel="0" collapsed="false">
      <c r="A1082" s="9"/>
      <c r="B1082" s="4"/>
      <c r="C1082" s="10"/>
      <c r="D1082" s="11" t="str">
        <f aca="false">IF(K1082="","",IFERROR(INDEX(DECKS!$C$2:$C$1201,MATCH(K1082,DECKS!$B$2:$B$1201,0)),TRIM(I1082&amp;"")))</f>
        <v/>
      </c>
      <c r="E1082" s="4"/>
      <c r="F1082" s="12"/>
      <c r="G1082" s="4"/>
      <c r="H1082" s="13" t="str">
        <f aca="false">IF(OR(N(C1082)=0,N(F1082)=0),"",C1082*F1082)</f>
        <v/>
      </c>
      <c r="I1082" s="4"/>
      <c r="J1082" s="11" t="str">
        <f aca="false">IF(K1082="","",IF(N(C1082)&lt;=0,"Informe a quantidade",IF(IFERROR(INDEX(INVENTÁRIO!$B$2:$B$801,MATCH(K1082,INVENTÁRIO!$A$2:$A$801,0)),"")="(sem nome)","Carta fora dos decks: digite o nome na coluna I (opcional)","")))</f>
        <v/>
      </c>
      <c r="K1082" s="11" t="str">
        <f aca="false">UPPER(TRIM(SUBSTITUTE(B1082&amp;"",CHAR(160)," ")))</f>
        <v/>
      </c>
      <c r="L1082" s="11" t="str">
        <f aca="false">IF(AND(K1082&lt;&gt;"",TRIM(I1082&amp;"")&lt;&gt;""),K1082,"")</f>
        <v/>
      </c>
    </row>
    <row r="1083" customFormat="false" ht="15" hidden="false" customHeight="false" outlineLevel="0" collapsed="false">
      <c r="A1083" s="9"/>
      <c r="B1083" s="4"/>
      <c r="C1083" s="10"/>
      <c r="D1083" s="11" t="str">
        <f aca="false">IF(K1083="","",IFERROR(INDEX(DECKS!$C$2:$C$1201,MATCH(K1083,DECKS!$B$2:$B$1201,0)),TRIM(I1083&amp;"")))</f>
        <v/>
      </c>
      <c r="E1083" s="4"/>
      <c r="F1083" s="12"/>
      <c r="G1083" s="4"/>
      <c r="H1083" s="13" t="str">
        <f aca="false">IF(OR(N(C1083)=0,N(F1083)=0),"",C1083*F1083)</f>
        <v/>
      </c>
      <c r="I1083" s="4"/>
      <c r="J1083" s="11" t="str">
        <f aca="false">IF(K1083="","",IF(N(C1083)&lt;=0,"Informe a quantidade",IF(IFERROR(INDEX(INVENTÁRIO!$B$2:$B$801,MATCH(K1083,INVENTÁRIO!$A$2:$A$801,0)),"")="(sem nome)","Carta fora dos decks: digite o nome na coluna I (opcional)","")))</f>
        <v/>
      </c>
      <c r="K1083" s="11" t="str">
        <f aca="false">UPPER(TRIM(SUBSTITUTE(B1083&amp;"",CHAR(160)," ")))</f>
        <v/>
      </c>
      <c r="L1083" s="11" t="str">
        <f aca="false">IF(AND(K1083&lt;&gt;"",TRIM(I1083&amp;"")&lt;&gt;""),K1083,"")</f>
        <v/>
      </c>
    </row>
    <row r="1084" customFormat="false" ht="15" hidden="false" customHeight="false" outlineLevel="0" collapsed="false">
      <c r="A1084" s="9"/>
      <c r="B1084" s="4"/>
      <c r="C1084" s="10"/>
      <c r="D1084" s="11" t="str">
        <f aca="false">IF(K1084="","",IFERROR(INDEX(DECKS!$C$2:$C$1201,MATCH(K1084,DECKS!$B$2:$B$1201,0)),TRIM(I1084&amp;"")))</f>
        <v/>
      </c>
      <c r="E1084" s="4"/>
      <c r="F1084" s="12"/>
      <c r="G1084" s="4"/>
      <c r="H1084" s="13" t="str">
        <f aca="false">IF(OR(N(C1084)=0,N(F1084)=0),"",C1084*F1084)</f>
        <v/>
      </c>
      <c r="I1084" s="4"/>
      <c r="J1084" s="11" t="str">
        <f aca="false">IF(K1084="","",IF(N(C1084)&lt;=0,"Informe a quantidade",IF(IFERROR(INDEX(INVENTÁRIO!$B$2:$B$801,MATCH(K1084,INVENTÁRIO!$A$2:$A$801,0)),"")="(sem nome)","Carta fora dos decks: digite o nome na coluna I (opcional)","")))</f>
        <v/>
      </c>
      <c r="K1084" s="11" t="str">
        <f aca="false">UPPER(TRIM(SUBSTITUTE(B1084&amp;"",CHAR(160)," ")))</f>
        <v/>
      </c>
      <c r="L1084" s="11" t="str">
        <f aca="false">IF(AND(K1084&lt;&gt;"",TRIM(I1084&amp;"")&lt;&gt;""),K1084,"")</f>
        <v/>
      </c>
    </row>
    <row r="1085" customFormat="false" ht="15" hidden="false" customHeight="false" outlineLevel="0" collapsed="false">
      <c r="A1085" s="9"/>
      <c r="B1085" s="4"/>
      <c r="C1085" s="10"/>
      <c r="D1085" s="11" t="str">
        <f aca="false">IF(K1085="","",IFERROR(INDEX(DECKS!$C$2:$C$1201,MATCH(K1085,DECKS!$B$2:$B$1201,0)),TRIM(I1085&amp;"")))</f>
        <v/>
      </c>
      <c r="E1085" s="4"/>
      <c r="F1085" s="12"/>
      <c r="G1085" s="4"/>
      <c r="H1085" s="13" t="str">
        <f aca="false">IF(OR(N(C1085)=0,N(F1085)=0),"",C1085*F1085)</f>
        <v/>
      </c>
      <c r="I1085" s="4"/>
      <c r="J1085" s="11" t="str">
        <f aca="false">IF(K1085="","",IF(N(C1085)&lt;=0,"Informe a quantidade",IF(IFERROR(INDEX(INVENTÁRIO!$B$2:$B$801,MATCH(K1085,INVENTÁRIO!$A$2:$A$801,0)),"")="(sem nome)","Carta fora dos decks: digite o nome na coluna I (opcional)","")))</f>
        <v/>
      </c>
      <c r="K1085" s="11" t="str">
        <f aca="false">UPPER(TRIM(SUBSTITUTE(B1085&amp;"",CHAR(160)," ")))</f>
        <v/>
      </c>
      <c r="L1085" s="11" t="str">
        <f aca="false">IF(AND(K1085&lt;&gt;"",TRIM(I1085&amp;"")&lt;&gt;""),K1085,"")</f>
        <v/>
      </c>
    </row>
    <row r="1086" customFormat="false" ht="15" hidden="false" customHeight="false" outlineLevel="0" collapsed="false">
      <c r="A1086" s="9"/>
      <c r="B1086" s="4"/>
      <c r="C1086" s="10"/>
      <c r="D1086" s="11" t="str">
        <f aca="false">IF(K1086="","",IFERROR(INDEX(DECKS!$C$2:$C$1201,MATCH(K1086,DECKS!$B$2:$B$1201,0)),TRIM(I1086&amp;"")))</f>
        <v/>
      </c>
      <c r="E1086" s="4"/>
      <c r="F1086" s="12"/>
      <c r="G1086" s="4"/>
      <c r="H1086" s="13" t="str">
        <f aca="false">IF(OR(N(C1086)=0,N(F1086)=0),"",C1086*F1086)</f>
        <v/>
      </c>
      <c r="I1086" s="4"/>
      <c r="J1086" s="11" t="str">
        <f aca="false">IF(K1086="","",IF(N(C1086)&lt;=0,"Informe a quantidade",IF(IFERROR(INDEX(INVENTÁRIO!$B$2:$B$801,MATCH(K1086,INVENTÁRIO!$A$2:$A$801,0)),"")="(sem nome)","Carta fora dos decks: digite o nome na coluna I (opcional)","")))</f>
        <v/>
      </c>
      <c r="K1086" s="11" t="str">
        <f aca="false">UPPER(TRIM(SUBSTITUTE(B1086&amp;"",CHAR(160)," ")))</f>
        <v/>
      </c>
      <c r="L1086" s="11" t="str">
        <f aca="false">IF(AND(K1086&lt;&gt;"",TRIM(I1086&amp;"")&lt;&gt;""),K1086,"")</f>
        <v/>
      </c>
    </row>
    <row r="1087" customFormat="false" ht="15" hidden="false" customHeight="false" outlineLevel="0" collapsed="false">
      <c r="A1087" s="9"/>
      <c r="B1087" s="4"/>
      <c r="C1087" s="10"/>
      <c r="D1087" s="11" t="str">
        <f aca="false">IF(K1087="","",IFERROR(INDEX(DECKS!$C$2:$C$1201,MATCH(K1087,DECKS!$B$2:$B$1201,0)),TRIM(I1087&amp;"")))</f>
        <v/>
      </c>
      <c r="E1087" s="4"/>
      <c r="F1087" s="12"/>
      <c r="G1087" s="4"/>
      <c r="H1087" s="13" t="str">
        <f aca="false">IF(OR(N(C1087)=0,N(F1087)=0),"",C1087*F1087)</f>
        <v/>
      </c>
      <c r="I1087" s="4"/>
      <c r="J1087" s="11" t="str">
        <f aca="false">IF(K1087="","",IF(N(C1087)&lt;=0,"Informe a quantidade",IF(IFERROR(INDEX(INVENTÁRIO!$B$2:$B$801,MATCH(K1087,INVENTÁRIO!$A$2:$A$801,0)),"")="(sem nome)","Carta fora dos decks: digite o nome na coluna I (opcional)","")))</f>
        <v/>
      </c>
      <c r="K1087" s="11" t="str">
        <f aca="false">UPPER(TRIM(SUBSTITUTE(B1087&amp;"",CHAR(160)," ")))</f>
        <v/>
      </c>
      <c r="L1087" s="11" t="str">
        <f aca="false">IF(AND(K1087&lt;&gt;"",TRIM(I1087&amp;"")&lt;&gt;""),K1087,"")</f>
        <v/>
      </c>
    </row>
    <row r="1088" customFormat="false" ht="15" hidden="false" customHeight="false" outlineLevel="0" collapsed="false">
      <c r="A1088" s="9"/>
      <c r="B1088" s="4"/>
      <c r="C1088" s="10"/>
      <c r="D1088" s="11" t="str">
        <f aca="false">IF(K1088="","",IFERROR(INDEX(DECKS!$C$2:$C$1201,MATCH(K1088,DECKS!$B$2:$B$1201,0)),TRIM(I1088&amp;"")))</f>
        <v/>
      </c>
      <c r="E1088" s="4"/>
      <c r="F1088" s="12"/>
      <c r="G1088" s="4"/>
      <c r="H1088" s="13" t="str">
        <f aca="false">IF(OR(N(C1088)=0,N(F1088)=0),"",C1088*F1088)</f>
        <v/>
      </c>
      <c r="I1088" s="4"/>
      <c r="J1088" s="11" t="str">
        <f aca="false">IF(K1088="","",IF(N(C1088)&lt;=0,"Informe a quantidade",IF(IFERROR(INDEX(INVENTÁRIO!$B$2:$B$801,MATCH(K1088,INVENTÁRIO!$A$2:$A$801,0)),"")="(sem nome)","Carta fora dos decks: digite o nome na coluna I (opcional)","")))</f>
        <v/>
      </c>
      <c r="K1088" s="11" t="str">
        <f aca="false">UPPER(TRIM(SUBSTITUTE(B1088&amp;"",CHAR(160)," ")))</f>
        <v/>
      </c>
      <c r="L1088" s="11" t="str">
        <f aca="false">IF(AND(K1088&lt;&gt;"",TRIM(I1088&amp;"")&lt;&gt;""),K1088,"")</f>
        <v/>
      </c>
    </row>
    <row r="1089" customFormat="false" ht="15" hidden="false" customHeight="false" outlineLevel="0" collapsed="false">
      <c r="A1089" s="9"/>
      <c r="B1089" s="4"/>
      <c r="C1089" s="10"/>
      <c r="D1089" s="11" t="str">
        <f aca="false">IF(K1089="","",IFERROR(INDEX(DECKS!$C$2:$C$1201,MATCH(K1089,DECKS!$B$2:$B$1201,0)),TRIM(I1089&amp;"")))</f>
        <v/>
      </c>
      <c r="E1089" s="4"/>
      <c r="F1089" s="12"/>
      <c r="G1089" s="4"/>
      <c r="H1089" s="13" t="str">
        <f aca="false">IF(OR(N(C1089)=0,N(F1089)=0),"",C1089*F1089)</f>
        <v/>
      </c>
      <c r="I1089" s="4"/>
      <c r="J1089" s="11" t="str">
        <f aca="false">IF(K1089="","",IF(N(C1089)&lt;=0,"Informe a quantidade",IF(IFERROR(INDEX(INVENTÁRIO!$B$2:$B$801,MATCH(K1089,INVENTÁRIO!$A$2:$A$801,0)),"")="(sem nome)","Carta fora dos decks: digite o nome na coluna I (opcional)","")))</f>
        <v/>
      </c>
      <c r="K1089" s="11" t="str">
        <f aca="false">UPPER(TRIM(SUBSTITUTE(B1089&amp;"",CHAR(160)," ")))</f>
        <v/>
      </c>
      <c r="L1089" s="11" t="str">
        <f aca="false">IF(AND(K1089&lt;&gt;"",TRIM(I1089&amp;"")&lt;&gt;""),K1089,"")</f>
        <v/>
      </c>
    </row>
    <row r="1090" customFormat="false" ht="15" hidden="false" customHeight="false" outlineLevel="0" collapsed="false">
      <c r="A1090" s="9"/>
      <c r="B1090" s="4"/>
      <c r="C1090" s="10"/>
      <c r="D1090" s="11" t="str">
        <f aca="false">IF(K1090="","",IFERROR(INDEX(DECKS!$C$2:$C$1201,MATCH(K1090,DECKS!$B$2:$B$1201,0)),TRIM(I1090&amp;"")))</f>
        <v/>
      </c>
      <c r="E1090" s="4"/>
      <c r="F1090" s="12"/>
      <c r="G1090" s="4"/>
      <c r="H1090" s="13" t="str">
        <f aca="false">IF(OR(N(C1090)=0,N(F1090)=0),"",C1090*F1090)</f>
        <v/>
      </c>
      <c r="I1090" s="4"/>
      <c r="J1090" s="11" t="str">
        <f aca="false">IF(K1090="","",IF(N(C1090)&lt;=0,"Informe a quantidade",IF(IFERROR(INDEX(INVENTÁRIO!$B$2:$B$801,MATCH(K1090,INVENTÁRIO!$A$2:$A$801,0)),"")="(sem nome)","Carta fora dos decks: digite o nome na coluna I (opcional)","")))</f>
        <v/>
      </c>
      <c r="K1090" s="11" t="str">
        <f aca="false">UPPER(TRIM(SUBSTITUTE(B1090&amp;"",CHAR(160)," ")))</f>
        <v/>
      </c>
      <c r="L1090" s="11" t="str">
        <f aca="false">IF(AND(K1090&lt;&gt;"",TRIM(I1090&amp;"")&lt;&gt;""),K1090,"")</f>
        <v/>
      </c>
    </row>
    <row r="1091" customFormat="false" ht="15" hidden="false" customHeight="false" outlineLevel="0" collapsed="false">
      <c r="A1091" s="9"/>
      <c r="B1091" s="4"/>
      <c r="C1091" s="10"/>
      <c r="D1091" s="11" t="str">
        <f aca="false">IF(K1091="","",IFERROR(INDEX(DECKS!$C$2:$C$1201,MATCH(K1091,DECKS!$B$2:$B$1201,0)),TRIM(I1091&amp;"")))</f>
        <v/>
      </c>
      <c r="E1091" s="4"/>
      <c r="F1091" s="12"/>
      <c r="G1091" s="4"/>
      <c r="H1091" s="13" t="str">
        <f aca="false">IF(OR(N(C1091)=0,N(F1091)=0),"",C1091*F1091)</f>
        <v/>
      </c>
      <c r="I1091" s="4"/>
      <c r="J1091" s="11" t="str">
        <f aca="false">IF(K1091="","",IF(N(C1091)&lt;=0,"Informe a quantidade",IF(IFERROR(INDEX(INVENTÁRIO!$B$2:$B$801,MATCH(K1091,INVENTÁRIO!$A$2:$A$801,0)),"")="(sem nome)","Carta fora dos decks: digite o nome na coluna I (opcional)","")))</f>
        <v/>
      </c>
      <c r="K1091" s="11" t="str">
        <f aca="false">UPPER(TRIM(SUBSTITUTE(B1091&amp;"",CHAR(160)," ")))</f>
        <v/>
      </c>
      <c r="L1091" s="11" t="str">
        <f aca="false">IF(AND(K1091&lt;&gt;"",TRIM(I1091&amp;"")&lt;&gt;""),K1091,"")</f>
        <v/>
      </c>
    </row>
    <row r="1092" customFormat="false" ht="15" hidden="false" customHeight="false" outlineLevel="0" collapsed="false">
      <c r="A1092" s="9"/>
      <c r="B1092" s="4"/>
      <c r="C1092" s="10"/>
      <c r="D1092" s="11" t="str">
        <f aca="false">IF(K1092="","",IFERROR(INDEX(DECKS!$C$2:$C$1201,MATCH(K1092,DECKS!$B$2:$B$1201,0)),TRIM(I1092&amp;"")))</f>
        <v/>
      </c>
      <c r="E1092" s="4"/>
      <c r="F1092" s="12"/>
      <c r="G1092" s="4"/>
      <c r="H1092" s="13" t="str">
        <f aca="false">IF(OR(N(C1092)=0,N(F1092)=0),"",C1092*F1092)</f>
        <v/>
      </c>
      <c r="I1092" s="4"/>
      <c r="J1092" s="11" t="str">
        <f aca="false">IF(K1092="","",IF(N(C1092)&lt;=0,"Informe a quantidade",IF(IFERROR(INDEX(INVENTÁRIO!$B$2:$B$801,MATCH(K1092,INVENTÁRIO!$A$2:$A$801,0)),"")="(sem nome)","Carta fora dos decks: digite o nome na coluna I (opcional)","")))</f>
        <v/>
      </c>
      <c r="K1092" s="11" t="str">
        <f aca="false">UPPER(TRIM(SUBSTITUTE(B1092&amp;"",CHAR(160)," ")))</f>
        <v/>
      </c>
      <c r="L1092" s="11" t="str">
        <f aca="false">IF(AND(K1092&lt;&gt;"",TRIM(I1092&amp;"")&lt;&gt;""),K1092,"")</f>
        <v/>
      </c>
    </row>
    <row r="1093" customFormat="false" ht="15" hidden="false" customHeight="false" outlineLevel="0" collapsed="false">
      <c r="A1093" s="9"/>
      <c r="B1093" s="4"/>
      <c r="C1093" s="10"/>
      <c r="D1093" s="11" t="str">
        <f aca="false">IF(K1093="","",IFERROR(INDEX(DECKS!$C$2:$C$1201,MATCH(K1093,DECKS!$B$2:$B$1201,0)),TRIM(I1093&amp;"")))</f>
        <v/>
      </c>
      <c r="E1093" s="4"/>
      <c r="F1093" s="12"/>
      <c r="G1093" s="4"/>
      <c r="H1093" s="13" t="str">
        <f aca="false">IF(OR(N(C1093)=0,N(F1093)=0),"",C1093*F1093)</f>
        <v/>
      </c>
      <c r="I1093" s="4"/>
      <c r="J1093" s="11" t="str">
        <f aca="false">IF(K1093="","",IF(N(C1093)&lt;=0,"Informe a quantidade",IF(IFERROR(INDEX(INVENTÁRIO!$B$2:$B$801,MATCH(K1093,INVENTÁRIO!$A$2:$A$801,0)),"")="(sem nome)","Carta fora dos decks: digite o nome na coluna I (opcional)","")))</f>
        <v/>
      </c>
      <c r="K1093" s="11" t="str">
        <f aca="false">UPPER(TRIM(SUBSTITUTE(B1093&amp;"",CHAR(160)," ")))</f>
        <v/>
      </c>
      <c r="L1093" s="11" t="str">
        <f aca="false">IF(AND(K1093&lt;&gt;"",TRIM(I1093&amp;"")&lt;&gt;""),K1093,"")</f>
        <v/>
      </c>
    </row>
    <row r="1094" customFormat="false" ht="15" hidden="false" customHeight="false" outlineLevel="0" collapsed="false">
      <c r="A1094" s="9"/>
      <c r="B1094" s="4"/>
      <c r="C1094" s="10"/>
      <c r="D1094" s="11" t="str">
        <f aca="false">IF(K1094="","",IFERROR(INDEX(DECKS!$C$2:$C$1201,MATCH(K1094,DECKS!$B$2:$B$1201,0)),TRIM(I1094&amp;"")))</f>
        <v/>
      </c>
      <c r="E1094" s="4"/>
      <c r="F1094" s="12"/>
      <c r="G1094" s="4"/>
      <c r="H1094" s="13" t="str">
        <f aca="false">IF(OR(N(C1094)=0,N(F1094)=0),"",C1094*F1094)</f>
        <v/>
      </c>
      <c r="I1094" s="4"/>
      <c r="J1094" s="11" t="str">
        <f aca="false">IF(K1094="","",IF(N(C1094)&lt;=0,"Informe a quantidade",IF(IFERROR(INDEX(INVENTÁRIO!$B$2:$B$801,MATCH(K1094,INVENTÁRIO!$A$2:$A$801,0)),"")="(sem nome)","Carta fora dos decks: digite o nome na coluna I (opcional)","")))</f>
        <v/>
      </c>
      <c r="K1094" s="11" t="str">
        <f aca="false">UPPER(TRIM(SUBSTITUTE(B1094&amp;"",CHAR(160)," ")))</f>
        <v/>
      </c>
      <c r="L1094" s="11" t="str">
        <f aca="false">IF(AND(K1094&lt;&gt;"",TRIM(I1094&amp;"")&lt;&gt;""),K1094,"")</f>
        <v/>
      </c>
    </row>
    <row r="1095" customFormat="false" ht="15" hidden="false" customHeight="false" outlineLevel="0" collapsed="false">
      <c r="A1095" s="9"/>
      <c r="B1095" s="4"/>
      <c r="C1095" s="10"/>
      <c r="D1095" s="11" t="str">
        <f aca="false">IF(K1095="","",IFERROR(INDEX(DECKS!$C$2:$C$1201,MATCH(K1095,DECKS!$B$2:$B$1201,0)),TRIM(I1095&amp;"")))</f>
        <v/>
      </c>
      <c r="E1095" s="4"/>
      <c r="F1095" s="12"/>
      <c r="G1095" s="4"/>
      <c r="H1095" s="13" t="str">
        <f aca="false">IF(OR(N(C1095)=0,N(F1095)=0),"",C1095*F1095)</f>
        <v/>
      </c>
      <c r="I1095" s="4"/>
      <c r="J1095" s="11" t="str">
        <f aca="false">IF(K1095="","",IF(N(C1095)&lt;=0,"Informe a quantidade",IF(IFERROR(INDEX(INVENTÁRIO!$B$2:$B$801,MATCH(K1095,INVENTÁRIO!$A$2:$A$801,0)),"")="(sem nome)","Carta fora dos decks: digite o nome na coluna I (opcional)","")))</f>
        <v/>
      </c>
      <c r="K1095" s="11" t="str">
        <f aca="false">UPPER(TRIM(SUBSTITUTE(B1095&amp;"",CHAR(160)," ")))</f>
        <v/>
      </c>
      <c r="L1095" s="11" t="str">
        <f aca="false">IF(AND(K1095&lt;&gt;"",TRIM(I1095&amp;"")&lt;&gt;""),K1095,"")</f>
        <v/>
      </c>
    </row>
    <row r="1096" customFormat="false" ht="15" hidden="false" customHeight="false" outlineLevel="0" collapsed="false">
      <c r="A1096" s="9"/>
      <c r="B1096" s="4"/>
      <c r="C1096" s="10"/>
      <c r="D1096" s="11" t="str">
        <f aca="false">IF(K1096="","",IFERROR(INDEX(DECKS!$C$2:$C$1201,MATCH(K1096,DECKS!$B$2:$B$1201,0)),TRIM(I1096&amp;"")))</f>
        <v/>
      </c>
      <c r="E1096" s="4"/>
      <c r="F1096" s="12"/>
      <c r="G1096" s="4"/>
      <c r="H1096" s="13" t="str">
        <f aca="false">IF(OR(N(C1096)=0,N(F1096)=0),"",C1096*F1096)</f>
        <v/>
      </c>
      <c r="I1096" s="4"/>
      <c r="J1096" s="11" t="str">
        <f aca="false">IF(K1096="","",IF(N(C1096)&lt;=0,"Informe a quantidade",IF(IFERROR(INDEX(INVENTÁRIO!$B$2:$B$801,MATCH(K1096,INVENTÁRIO!$A$2:$A$801,0)),"")="(sem nome)","Carta fora dos decks: digite o nome na coluna I (opcional)","")))</f>
        <v/>
      </c>
      <c r="K1096" s="11" t="str">
        <f aca="false">UPPER(TRIM(SUBSTITUTE(B1096&amp;"",CHAR(160)," ")))</f>
        <v/>
      </c>
      <c r="L1096" s="11" t="str">
        <f aca="false">IF(AND(K1096&lt;&gt;"",TRIM(I1096&amp;"")&lt;&gt;""),K1096,"")</f>
        <v/>
      </c>
    </row>
    <row r="1097" customFormat="false" ht="15" hidden="false" customHeight="false" outlineLevel="0" collapsed="false">
      <c r="A1097" s="9"/>
      <c r="B1097" s="4"/>
      <c r="C1097" s="10"/>
      <c r="D1097" s="11" t="str">
        <f aca="false">IF(K1097="","",IFERROR(INDEX(DECKS!$C$2:$C$1201,MATCH(K1097,DECKS!$B$2:$B$1201,0)),TRIM(I1097&amp;"")))</f>
        <v/>
      </c>
      <c r="E1097" s="4"/>
      <c r="F1097" s="12"/>
      <c r="G1097" s="4"/>
      <c r="H1097" s="13" t="str">
        <f aca="false">IF(OR(N(C1097)=0,N(F1097)=0),"",C1097*F1097)</f>
        <v/>
      </c>
      <c r="I1097" s="4"/>
      <c r="J1097" s="11" t="str">
        <f aca="false">IF(K1097="","",IF(N(C1097)&lt;=0,"Informe a quantidade",IF(IFERROR(INDEX(INVENTÁRIO!$B$2:$B$801,MATCH(K1097,INVENTÁRIO!$A$2:$A$801,0)),"")="(sem nome)","Carta fora dos decks: digite o nome na coluna I (opcional)","")))</f>
        <v/>
      </c>
      <c r="K1097" s="11" t="str">
        <f aca="false">UPPER(TRIM(SUBSTITUTE(B1097&amp;"",CHAR(160)," ")))</f>
        <v/>
      </c>
      <c r="L1097" s="11" t="str">
        <f aca="false">IF(AND(K1097&lt;&gt;"",TRIM(I1097&amp;"")&lt;&gt;""),K1097,"")</f>
        <v/>
      </c>
    </row>
    <row r="1098" customFormat="false" ht="15" hidden="false" customHeight="false" outlineLevel="0" collapsed="false">
      <c r="A1098" s="9"/>
      <c r="B1098" s="4"/>
      <c r="C1098" s="10"/>
      <c r="D1098" s="11" t="str">
        <f aca="false">IF(K1098="","",IFERROR(INDEX(DECKS!$C$2:$C$1201,MATCH(K1098,DECKS!$B$2:$B$1201,0)),TRIM(I1098&amp;"")))</f>
        <v/>
      </c>
      <c r="E1098" s="4"/>
      <c r="F1098" s="12"/>
      <c r="G1098" s="4"/>
      <c r="H1098" s="13" t="str">
        <f aca="false">IF(OR(N(C1098)=0,N(F1098)=0),"",C1098*F1098)</f>
        <v/>
      </c>
      <c r="I1098" s="4"/>
      <c r="J1098" s="11" t="str">
        <f aca="false">IF(K1098="","",IF(N(C1098)&lt;=0,"Informe a quantidade",IF(IFERROR(INDEX(INVENTÁRIO!$B$2:$B$801,MATCH(K1098,INVENTÁRIO!$A$2:$A$801,0)),"")="(sem nome)","Carta fora dos decks: digite o nome na coluna I (opcional)","")))</f>
        <v/>
      </c>
      <c r="K1098" s="11" t="str">
        <f aca="false">UPPER(TRIM(SUBSTITUTE(B1098&amp;"",CHAR(160)," ")))</f>
        <v/>
      </c>
      <c r="L1098" s="11" t="str">
        <f aca="false">IF(AND(K1098&lt;&gt;"",TRIM(I1098&amp;"")&lt;&gt;""),K1098,"")</f>
        <v/>
      </c>
    </row>
    <row r="1099" customFormat="false" ht="15" hidden="false" customHeight="false" outlineLevel="0" collapsed="false">
      <c r="A1099" s="9"/>
      <c r="B1099" s="4"/>
      <c r="C1099" s="10"/>
      <c r="D1099" s="11" t="str">
        <f aca="false">IF(K1099="","",IFERROR(INDEX(DECKS!$C$2:$C$1201,MATCH(K1099,DECKS!$B$2:$B$1201,0)),TRIM(I1099&amp;"")))</f>
        <v/>
      </c>
      <c r="E1099" s="4"/>
      <c r="F1099" s="12"/>
      <c r="G1099" s="4"/>
      <c r="H1099" s="13" t="str">
        <f aca="false">IF(OR(N(C1099)=0,N(F1099)=0),"",C1099*F1099)</f>
        <v/>
      </c>
      <c r="I1099" s="4"/>
      <c r="J1099" s="11" t="str">
        <f aca="false">IF(K1099="","",IF(N(C1099)&lt;=0,"Informe a quantidade",IF(IFERROR(INDEX(INVENTÁRIO!$B$2:$B$801,MATCH(K1099,INVENTÁRIO!$A$2:$A$801,0)),"")="(sem nome)","Carta fora dos decks: digite o nome na coluna I (opcional)","")))</f>
        <v/>
      </c>
      <c r="K1099" s="11" t="str">
        <f aca="false">UPPER(TRIM(SUBSTITUTE(B1099&amp;"",CHAR(160)," ")))</f>
        <v/>
      </c>
      <c r="L1099" s="11" t="str">
        <f aca="false">IF(AND(K1099&lt;&gt;"",TRIM(I1099&amp;"")&lt;&gt;""),K1099,"")</f>
        <v/>
      </c>
    </row>
    <row r="1100" customFormat="false" ht="15" hidden="false" customHeight="false" outlineLevel="0" collapsed="false">
      <c r="A1100" s="9"/>
      <c r="B1100" s="4"/>
      <c r="C1100" s="10"/>
      <c r="D1100" s="11" t="str">
        <f aca="false">IF(K1100="","",IFERROR(INDEX(DECKS!$C$2:$C$1201,MATCH(K1100,DECKS!$B$2:$B$1201,0)),TRIM(I1100&amp;"")))</f>
        <v/>
      </c>
      <c r="E1100" s="4"/>
      <c r="F1100" s="12"/>
      <c r="G1100" s="4"/>
      <c r="H1100" s="13" t="str">
        <f aca="false">IF(OR(N(C1100)=0,N(F1100)=0),"",C1100*F1100)</f>
        <v/>
      </c>
      <c r="I1100" s="4"/>
      <c r="J1100" s="11" t="str">
        <f aca="false">IF(K1100="","",IF(N(C1100)&lt;=0,"Informe a quantidade",IF(IFERROR(INDEX(INVENTÁRIO!$B$2:$B$801,MATCH(K1100,INVENTÁRIO!$A$2:$A$801,0)),"")="(sem nome)","Carta fora dos decks: digite o nome na coluna I (opcional)","")))</f>
        <v/>
      </c>
      <c r="K1100" s="11" t="str">
        <f aca="false">UPPER(TRIM(SUBSTITUTE(B1100&amp;"",CHAR(160)," ")))</f>
        <v/>
      </c>
      <c r="L1100" s="11" t="str">
        <f aca="false">IF(AND(K1100&lt;&gt;"",TRIM(I1100&amp;"")&lt;&gt;""),K1100,"")</f>
        <v/>
      </c>
    </row>
    <row r="1101" customFormat="false" ht="15" hidden="false" customHeight="false" outlineLevel="0" collapsed="false">
      <c r="A1101" s="9"/>
      <c r="B1101" s="4"/>
      <c r="C1101" s="10"/>
      <c r="D1101" s="11" t="str">
        <f aca="false">IF(K1101="","",IFERROR(INDEX(DECKS!$C$2:$C$1201,MATCH(K1101,DECKS!$B$2:$B$1201,0)),TRIM(I1101&amp;"")))</f>
        <v/>
      </c>
      <c r="E1101" s="4"/>
      <c r="F1101" s="12"/>
      <c r="G1101" s="4"/>
      <c r="H1101" s="13" t="str">
        <f aca="false">IF(OR(N(C1101)=0,N(F1101)=0),"",C1101*F1101)</f>
        <v/>
      </c>
      <c r="I1101" s="4"/>
      <c r="J1101" s="11" t="str">
        <f aca="false">IF(K1101="","",IF(N(C1101)&lt;=0,"Informe a quantidade",IF(IFERROR(INDEX(INVENTÁRIO!$B$2:$B$801,MATCH(K1101,INVENTÁRIO!$A$2:$A$801,0)),"")="(sem nome)","Carta fora dos decks: digite o nome na coluna I (opcional)","")))</f>
        <v/>
      </c>
      <c r="K1101" s="11" t="str">
        <f aca="false">UPPER(TRIM(SUBSTITUTE(B1101&amp;"",CHAR(160)," ")))</f>
        <v/>
      </c>
      <c r="L1101" s="11" t="str">
        <f aca="false">IF(AND(K1101&lt;&gt;"",TRIM(I1101&amp;"")&lt;&gt;""),K1101,"")</f>
        <v/>
      </c>
    </row>
    <row r="1102" customFormat="false" ht="15" hidden="false" customHeight="false" outlineLevel="0" collapsed="false">
      <c r="A1102" s="9"/>
      <c r="B1102" s="4"/>
      <c r="C1102" s="10"/>
      <c r="D1102" s="11" t="str">
        <f aca="false">IF(K1102="","",IFERROR(INDEX(DECKS!$C$2:$C$1201,MATCH(K1102,DECKS!$B$2:$B$1201,0)),TRIM(I1102&amp;"")))</f>
        <v/>
      </c>
      <c r="E1102" s="4"/>
      <c r="F1102" s="12"/>
      <c r="G1102" s="4"/>
      <c r="H1102" s="13" t="str">
        <f aca="false">IF(OR(N(C1102)=0,N(F1102)=0),"",C1102*F1102)</f>
        <v/>
      </c>
      <c r="I1102" s="4"/>
      <c r="J1102" s="11" t="str">
        <f aca="false">IF(K1102="","",IF(N(C1102)&lt;=0,"Informe a quantidade",IF(IFERROR(INDEX(INVENTÁRIO!$B$2:$B$801,MATCH(K1102,INVENTÁRIO!$A$2:$A$801,0)),"")="(sem nome)","Carta fora dos decks: digite o nome na coluna I (opcional)","")))</f>
        <v/>
      </c>
      <c r="K1102" s="11" t="str">
        <f aca="false">UPPER(TRIM(SUBSTITUTE(B1102&amp;"",CHAR(160)," ")))</f>
        <v/>
      </c>
      <c r="L1102" s="11" t="str">
        <f aca="false">IF(AND(K1102&lt;&gt;"",TRIM(I1102&amp;"")&lt;&gt;""),K1102,"")</f>
        <v/>
      </c>
    </row>
    <row r="1103" customFormat="false" ht="15" hidden="false" customHeight="false" outlineLevel="0" collapsed="false">
      <c r="A1103" s="9"/>
      <c r="B1103" s="4"/>
      <c r="C1103" s="10"/>
      <c r="D1103" s="11" t="str">
        <f aca="false">IF(K1103="","",IFERROR(INDEX(DECKS!$C$2:$C$1201,MATCH(K1103,DECKS!$B$2:$B$1201,0)),TRIM(I1103&amp;"")))</f>
        <v/>
      </c>
      <c r="E1103" s="4"/>
      <c r="F1103" s="12"/>
      <c r="G1103" s="4"/>
      <c r="H1103" s="13" t="str">
        <f aca="false">IF(OR(N(C1103)=0,N(F1103)=0),"",C1103*F1103)</f>
        <v/>
      </c>
      <c r="I1103" s="4"/>
      <c r="J1103" s="11" t="str">
        <f aca="false">IF(K1103="","",IF(N(C1103)&lt;=0,"Informe a quantidade",IF(IFERROR(INDEX(INVENTÁRIO!$B$2:$B$801,MATCH(K1103,INVENTÁRIO!$A$2:$A$801,0)),"")="(sem nome)","Carta fora dos decks: digite o nome na coluna I (opcional)","")))</f>
        <v/>
      </c>
      <c r="K1103" s="11" t="str">
        <f aca="false">UPPER(TRIM(SUBSTITUTE(B1103&amp;"",CHAR(160)," ")))</f>
        <v/>
      </c>
      <c r="L1103" s="11" t="str">
        <f aca="false">IF(AND(K1103&lt;&gt;"",TRIM(I1103&amp;"")&lt;&gt;""),K1103,"")</f>
        <v/>
      </c>
    </row>
    <row r="1104" customFormat="false" ht="15" hidden="false" customHeight="false" outlineLevel="0" collapsed="false">
      <c r="A1104" s="9"/>
      <c r="B1104" s="4"/>
      <c r="C1104" s="10"/>
      <c r="D1104" s="11" t="str">
        <f aca="false">IF(K1104="","",IFERROR(INDEX(DECKS!$C$2:$C$1201,MATCH(K1104,DECKS!$B$2:$B$1201,0)),TRIM(I1104&amp;"")))</f>
        <v/>
      </c>
      <c r="E1104" s="4"/>
      <c r="F1104" s="12"/>
      <c r="G1104" s="4"/>
      <c r="H1104" s="13" t="str">
        <f aca="false">IF(OR(N(C1104)=0,N(F1104)=0),"",C1104*F1104)</f>
        <v/>
      </c>
      <c r="I1104" s="4"/>
      <c r="J1104" s="11" t="str">
        <f aca="false">IF(K1104="","",IF(N(C1104)&lt;=0,"Informe a quantidade",IF(IFERROR(INDEX(INVENTÁRIO!$B$2:$B$801,MATCH(K1104,INVENTÁRIO!$A$2:$A$801,0)),"")="(sem nome)","Carta fora dos decks: digite o nome na coluna I (opcional)","")))</f>
        <v/>
      </c>
      <c r="K1104" s="11" t="str">
        <f aca="false">UPPER(TRIM(SUBSTITUTE(B1104&amp;"",CHAR(160)," ")))</f>
        <v/>
      </c>
      <c r="L1104" s="11" t="str">
        <f aca="false">IF(AND(K1104&lt;&gt;"",TRIM(I1104&amp;"")&lt;&gt;""),K1104,"")</f>
        <v/>
      </c>
    </row>
    <row r="1105" customFormat="false" ht="15" hidden="false" customHeight="false" outlineLevel="0" collapsed="false">
      <c r="A1105" s="9"/>
      <c r="B1105" s="4"/>
      <c r="C1105" s="10"/>
      <c r="D1105" s="11" t="str">
        <f aca="false">IF(K1105="","",IFERROR(INDEX(DECKS!$C$2:$C$1201,MATCH(K1105,DECKS!$B$2:$B$1201,0)),TRIM(I1105&amp;"")))</f>
        <v/>
      </c>
      <c r="E1105" s="4"/>
      <c r="F1105" s="12"/>
      <c r="G1105" s="4"/>
      <c r="H1105" s="13" t="str">
        <f aca="false">IF(OR(N(C1105)=0,N(F1105)=0),"",C1105*F1105)</f>
        <v/>
      </c>
      <c r="I1105" s="4"/>
      <c r="J1105" s="11" t="str">
        <f aca="false">IF(K1105="","",IF(N(C1105)&lt;=0,"Informe a quantidade",IF(IFERROR(INDEX(INVENTÁRIO!$B$2:$B$801,MATCH(K1105,INVENTÁRIO!$A$2:$A$801,0)),"")="(sem nome)","Carta fora dos decks: digite o nome na coluna I (opcional)","")))</f>
        <v/>
      </c>
      <c r="K1105" s="11" t="str">
        <f aca="false">UPPER(TRIM(SUBSTITUTE(B1105&amp;"",CHAR(160)," ")))</f>
        <v/>
      </c>
      <c r="L1105" s="11" t="str">
        <f aca="false">IF(AND(K1105&lt;&gt;"",TRIM(I1105&amp;"")&lt;&gt;""),K1105,"")</f>
        <v/>
      </c>
    </row>
    <row r="1106" customFormat="false" ht="15" hidden="false" customHeight="false" outlineLevel="0" collapsed="false">
      <c r="A1106" s="9"/>
      <c r="B1106" s="4"/>
      <c r="C1106" s="10"/>
      <c r="D1106" s="11" t="str">
        <f aca="false">IF(K1106="","",IFERROR(INDEX(DECKS!$C$2:$C$1201,MATCH(K1106,DECKS!$B$2:$B$1201,0)),TRIM(I1106&amp;"")))</f>
        <v/>
      </c>
      <c r="E1106" s="4"/>
      <c r="F1106" s="12"/>
      <c r="G1106" s="4"/>
      <c r="H1106" s="13" t="str">
        <f aca="false">IF(OR(N(C1106)=0,N(F1106)=0),"",C1106*F1106)</f>
        <v/>
      </c>
      <c r="I1106" s="4"/>
      <c r="J1106" s="11" t="str">
        <f aca="false">IF(K1106="","",IF(N(C1106)&lt;=0,"Informe a quantidade",IF(IFERROR(INDEX(INVENTÁRIO!$B$2:$B$801,MATCH(K1106,INVENTÁRIO!$A$2:$A$801,0)),"")="(sem nome)","Carta fora dos decks: digite o nome na coluna I (opcional)","")))</f>
        <v/>
      </c>
      <c r="K1106" s="11" t="str">
        <f aca="false">UPPER(TRIM(SUBSTITUTE(B1106&amp;"",CHAR(160)," ")))</f>
        <v/>
      </c>
      <c r="L1106" s="11" t="str">
        <f aca="false">IF(AND(K1106&lt;&gt;"",TRIM(I1106&amp;"")&lt;&gt;""),K1106,"")</f>
        <v/>
      </c>
    </row>
    <row r="1107" customFormat="false" ht="15" hidden="false" customHeight="false" outlineLevel="0" collapsed="false">
      <c r="A1107" s="9"/>
      <c r="B1107" s="4"/>
      <c r="C1107" s="10"/>
      <c r="D1107" s="11" t="str">
        <f aca="false">IF(K1107="","",IFERROR(INDEX(DECKS!$C$2:$C$1201,MATCH(K1107,DECKS!$B$2:$B$1201,0)),TRIM(I1107&amp;"")))</f>
        <v/>
      </c>
      <c r="E1107" s="4"/>
      <c r="F1107" s="12"/>
      <c r="G1107" s="4"/>
      <c r="H1107" s="13" t="str">
        <f aca="false">IF(OR(N(C1107)=0,N(F1107)=0),"",C1107*F1107)</f>
        <v/>
      </c>
      <c r="I1107" s="4"/>
      <c r="J1107" s="11" t="str">
        <f aca="false">IF(K1107="","",IF(N(C1107)&lt;=0,"Informe a quantidade",IF(IFERROR(INDEX(INVENTÁRIO!$B$2:$B$801,MATCH(K1107,INVENTÁRIO!$A$2:$A$801,0)),"")="(sem nome)","Carta fora dos decks: digite o nome na coluna I (opcional)","")))</f>
        <v/>
      </c>
      <c r="K1107" s="11" t="str">
        <f aca="false">UPPER(TRIM(SUBSTITUTE(B1107&amp;"",CHAR(160)," ")))</f>
        <v/>
      </c>
      <c r="L1107" s="11" t="str">
        <f aca="false">IF(AND(K1107&lt;&gt;"",TRIM(I1107&amp;"")&lt;&gt;""),K1107,"")</f>
        <v/>
      </c>
    </row>
    <row r="1108" customFormat="false" ht="15" hidden="false" customHeight="false" outlineLevel="0" collapsed="false">
      <c r="A1108" s="9"/>
      <c r="B1108" s="4"/>
      <c r="C1108" s="10"/>
      <c r="D1108" s="11" t="str">
        <f aca="false">IF(K1108="","",IFERROR(INDEX(DECKS!$C$2:$C$1201,MATCH(K1108,DECKS!$B$2:$B$1201,0)),TRIM(I1108&amp;"")))</f>
        <v/>
      </c>
      <c r="E1108" s="4"/>
      <c r="F1108" s="12"/>
      <c r="G1108" s="4"/>
      <c r="H1108" s="13" t="str">
        <f aca="false">IF(OR(N(C1108)=0,N(F1108)=0),"",C1108*F1108)</f>
        <v/>
      </c>
      <c r="I1108" s="4"/>
      <c r="J1108" s="11" t="str">
        <f aca="false">IF(K1108="","",IF(N(C1108)&lt;=0,"Informe a quantidade",IF(IFERROR(INDEX(INVENTÁRIO!$B$2:$B$801,MATCH(K1108,INVENTÁRIO!$A$2:$A$801,0)),"")="(sem nome)","Carta fora dos decks: digite o nome na coluna I (opcional)","")))</f>
        <v/>
      </c>
      <c r="K1108" s="11" t="str">
        <f aca="false">UPPER(TRIM(SUBSTITUTE(B1108&amp;"",CHAR(160)," ")))</f>
        <v/>
      </c>
      <c r="L1108" s="11" t="str">
        <f aca="false">IF(AND(K1108&lt;&gt;"",TRIM(I1108&amp;"")&lt;&gt;""),K1108,"")</f>
        <v/>
      </c>
    </row>
    <row r="1109" customFormat="false" ht="15" hidden="false" customHeight="false" outlineLevel="0" collapsed="false">
      <c r="A1109" s="9"/>
      <c r="B1109" s="4"/>
      <c r="C1109" s="10"/>
      <c r="D1109" s="11" t="str">
        <f aca="false">IF(K1109="","",IFERROR(INDEX(DECKS!$C$2:$C$1201,MATCH(K1109,DECKS!$B$2:$B$1201,0)),TRIM(I1109&amp;"")))</f>
        <v/>
      </c>
      <c r="E1109" s="4"/>
      <c r="F1109" s="12"/>
      <c r="G1109" s="4"/>
      <c r="H1109" s="13" t="str">
        <f aca="false">IF(OR(N(C1109)=0,N(F1109)=0),"",C1109*F1109)</f>
        <v/>
      </c>
      <c r="I1109" s="4"/>
      <c r="J1109" s="11" t="str">
        <f aca="false">IF(K1109="","",IF(N(C1109)&lt;=0,"Informe a quantidade",IF(IFERROR(INDEX(INVENTÁRIO!$B$2:$B$801,MATCH(K1109,INVENTÁRIO!$A$2:$A$801,0)),"")="(sem nome)","Carta fora dos decks: digite o nome na coluna I (opcional)","")))</f>
        <v/>
      </c>
      <c r="K1109" s="11" t="str">
        <f aca="false">UPPER(TRIM(SUBSTITUTE(B1109&amp;"",CHAR(160)," ")))</f>
        <v/>
      </c>
      <c r="L1109" s="11" t="str">
        <f aca="false">IF(AND(K1109&lt;&gt;"",TRIM(I1109&amp;"")&lt;&gt;""),K1109,"")</f>
        <v/>
      </c>
    </row>
    <row r="1110" customFormat="false" ht="15" hidden="false" customHeight="false" outlineLevel="0" collapsed="false">
      <c r="A1110" s="9"/>
      <c r="B1110" s="4"/>
      <c r="C1110" s="10"/>
      <c r="D1110" s="11" t="str">
        <f aca="false">IF(K1110="","",IFERROR(INDEX(DECKS!$C$2:$C$1201,MATCH(K1110,DECKS!$B$2:$B$1201,0)),TRIM(I1110&amp;"")))</f>
        <v/>
      </c>
      <c r="E1110" s="4"/>
      <c r="F1110" s="12"/>
      <c r="G1110" s="4"/>
      <c r="H1110" s="13" t="str">
        <f aca="false">IF(OR(N(C1110)=0,N(F1110)=0),"",C1110*F1110)</f>
        <v/>
      </c>
      <c r="I1110" s="4"/>
      <c r="J1110" s="11" t="str">
        <f aca="false">IF(K1110="","",IF(N(C1110)&lt;=0,"Informe a quantidade",IF(IFERROR(INDEX(INVENTÁRIO!$B$2:$B$801,MATCH(K1110,INVENTÁRIO!$A$2:$A$801,0)),"")="(sem nome)","Carta fora dos decks: digite o nome na coluna I (opcional)","")))</f>
        <v/>
      </c>
      <c r="K1110" s="11" t="str">
        <f aca="false">UPPER(TRIM(SUBSTITUTE(B1110&amp;"",CHAR(160)," ")))</f>
        <v/>
      </c>
      <c r="L1110" s="11" t="str">
        <f aca="false">IF(AND(K1110&lt;&gt;"",TRIM(I1110&amp;"")&lt;&gt;""),K1110,"")</f>
        <v/>
      </c>
    </row>
    <row r="1111" customFormat="false" ht="15" hidden="false" customHeight="false" outlineLevel="0" collapsed="false">
      <c r="A1111" s="9"/>
      <c r="B1111" s="4"/>
      <c r="C1111" s="10"/>
      <c r="D1111" s="11" t="str">
        <f aca="false">IF(K1111="","",IFERROR(INDEX(DECKS!$C$2:$C$1201,MATCH(K1111,DECKS!$B$2:$B$1201,0)),TRIM(I1111&amp;"")))</f>
        <v/>
      </c>
      <c r="E1111" s="4"/>
      <c r="F1111" s="12"/>
      <c r="G1111" s="4"/>
      <c r="H1111" s="13" t="str">
        <f aca="false">IF(OR(N(C1111)=0,N(F1111)=0),"",C1111*F1111)</f>
        <v/>
      </c>
      <c r="I1111" s="4"/>
      <c r="J1111" s="11" t="str">
        <f aca="false">IF(K1111="","",IF(N(C1111)&lt;=0,"Informe a quantidade",IF(IFERROR(INDEX(INVENTÁRIO!$B$2:$B$801,MATCH(K1111,INVENTÁRIO!$A$2:$A$801,0)),"")="(sem nome)","Carta fora dos decks: digite o nome na coluna I (opcional)","")))</f>
        <v/>
      </c>
      <c r="K1111" s="11" t="str">
        <f aca="false">UPPER(TRIM(SUBSTITUTE(B1111&amp;"",CHAR(160)," ")))</f>
        <v/>
      </c>
      <c r="L1111" s="11" t="str">
        <f aca="false">IF(AND(K1111&lt;&gt;"",TRIM(I1111&amp;"")&lt;&gt;""),K1111,"")</f>
        <v/>
      </c>
    </row>
    <row r="1112" customFormat="false" ht="15" hidden="false" customHeight="false" outlineLevel="0" collapsed="false">
      <c r="A1112" s="9"/>
      <c r="B1112" s="4"/>
      <c r="C1112" s="10"/>
      <c r="D1112" s="11" t="str">
        <f aca="false">IF(K1112="","",IFERROR(INDEX(DECKS!$C$2:$C$1201,MATCH(K1112,DECKS!$B$2:$B$1201,0)),TRIM(I1112&amp;"")))</f>
        <v/>
      </c>
      <c r="E1112" s="4"/>
      <c r="F1112" s="12"/>
      <c r="G1112" s="4"/>
      <c r="H1112" s="13" t="str">
        <f aca="false">IF(OR(N(C1112)=0,N(F1112)=0),"",C1112*F1112)</f>
        <v/>
      </c>
      <c r="I1112" s="4"/>
      <c r="J1112" s="11" t="str">
        <f aca="false">IF(K1112="","",IF(N(C1112)&lt;=0,"Informe a quantidade",IF(IFERROR(INDEX(INVENTÁRIO!$B$2:$B$801,MATCH(K1112,INVENTÁRIO!$A$2:$A$801,0)),"")="(sem nome)","Carta fora dos decks: digite o nome na coluna I (opcional)","")))</f>
        <v/>
      </c>
      <c r="K1112" s="11" t="str">
        <f aca="false">UPPER(TRIM(SUBSTITUTE(B1112&amp;"",CHAR(160)," ")))</f>
        <v/>
      </c>
      <c r="L1112" s="11" t="str">
        <f aca="false">IF(AND(K1112&lt;&gt;"",TRIM(I1112&amp;"")&lt;&gt;""),K1112,"")</f>
        <v/>
      </c>
    </row>
    <row r="1113" customFormat="false" ht="15" hidden="false" customHeight="false" outlineLevel="0" collapsed="false">
      <c r="A1113" s="9"/>
      <c r="B1113" s="4"/>
      <c r="C1113" s="10"/>
      <c r="D1113" s="11" t="str">
        <f aca="false">IF(K1113="","",IFERROR(INDEX(DECKS!$C$2:$C$1201,MATCH(K1113,DECKS!$B$2:$B$1201,0)),TRIM(I1113&amp;"")))</f>
        <v/>
      </c>
      <c r="E1113" s="4"/>
      <c r="F1113" s="12"/>
      <c r="G1113" s="4"/>
      <c r="H1113" s="13" t="str">
        <f aca="false">IF(OR(N(C1113)=0,N(F1113)=0),"",C1113*F1113)</f>
        <v/>
      </c>
      <c r="I1113" s="4"/>
      <c r="J1113" s="11" t="str">
        <f aca="false">IF(K1113="","",IF(N(C1113)&lt;=0,"Informe a quantidade",IF(IFERROR(INDEX(INVENTÁRIO!$B$2:$B$801,MATCH(K1113,INVENTÁRIO!$A$2:$A$801,0)),"")="(sem nome)","Carta fora dos decks: digite o nome na coluna I (opcional)","")))</f>
        <v/>
      </c>
      <c r="K1113" s="11" t="str">
        <f aca="false">UPPER(TRIM(SUBSTITUTE(B1113&amp;"",CHAR(160)," ")))</f>
        <v/>
      </c>
      <c r="L1113" s="11" t="str">
        <f aca="false">IF(AND(K1113&lt;&gt;"",TRIM(I1113&amp;"")&lt;&gt;""),K1113,"")</f>
        <v/>
      </c>
    </row>
    <row r="1114" customFormat="false" ht="15" hidden="false" customHeight="false" outlineLevel="0" collapsed="false">
      <c r="A1114" s="9"/>
      <c r="B1114" s="4"/>
      <c r="C1114" s="10"/>
      <c r="D1114" s="11" t="str">
        <f aca="false">IF(K1114="","",IFERROR(INDEX(DECKS!$C$2:$C$1201,MATCH(K1114,DECKS!$B$2:$B$1201,0)),TRIM(I1114&amp;"")))</f>
        <v/>
      </c>
      <c r="E1114" s="4"/>
      <c r="F1114" s="12"/>
      <c r="G1114" s="4"/>
      <c r="H1114" s="13" t="str">
        <f aca="false">IF(OR(N(C1114)=0,N(F1114)=0),"",C1114*F1114)</f>
        <v/>
      </c>
      <c r="I1114" s="4"/>
      <c r="J1114" s="11" t="str">
        <f aca="false">IF(K1114="","",IF(N(C1114)&lt;=0,"Informe a quantidade",IF(IFERROR(INDEX(INVENTÁRIO!$B$2:$B$801,MATCH(K1114,INVENTÁRIO!$A$2:$A$801,0)),"")="(sem nome)","Carta fora dos decks: digite o nome na coluna I (opcional)","")))</f>
        <v/>
      </c>
      <c r="K1114" s="11" t="str">
        <f aca="false">UPPER(TRIM(SUBSTITUTE(B1114&amp;"",CHAR(160)," ")))</f>
        <v/>
      </c>
      <c r="L1114" s="11" t="str">
        <f aca="false">IF(AND(K1114&lt;&gt;"",TRIM(I1114&amp;"")&lt;&gt;""),K1114,"")</f>
        <v/>
      </c>
    </row>
    <row r="1115" customFormat="false" ht="15" hidden="false" customHeight="false" outlineLevel="0" collapsed="false">
      <c r="A1115" s="9"/>
      <c r="B1115" s="4"/>
      <c r="C1115" s="10"/>
      <c r="D1115" s="11" t="str">
        <f aca="false">IF(K1115="","",IFERROR(INDEX(DECKS!$C$2:$C$1201,MATCH(K1115,DECKS!$B$2:$B$1201,0)),TRIM(I1115&amp;"")))</f>
        <v/>
      </c>
      <c r="E1115" s="4"/>
      <c r="F1115" s="12"/>
      <c r="G1115" s="4"/>
      <c r="H1115" s="13" t="str">
        <f aca="false">IF(OR(N(C1115)=0,N(F1115)=0),"",C1115*F1115)</f>
        <v/>
      </c>
      <c r="I1115" s="4"/>
      <c r="J1115" s="11" t="str">
        <f aca="false">IF(K1115="","",IF(N(C1115)&lt;=0,"Informe a quantidade",IF(IFERROR(INDEX(INVENTÁRIO!$B$2:$B$801,MATCH(K1115,INVENTÁRIO!$A$2:$A$801,0)),"")="(sem nome)","Carta fora dos decks: digite o nome na coluna I (opcional)","")))</f>
        <v/>
      </c>
      <c r="K1115" s="11" t="str">
        <f aca="false">UPPER(TRIM(SUBSTITUTE(B1115&amp;"",CHAR(160)," ")))</f>
        <v/>
      </c>
      <c r="L1115" s="11" t="str">
        <f aca="false">IF(AND(K1115&lt;&gt;"",TRIM(I1115&amp;"")&lt;&gt;""),K1115,"")</f>
        <v/>
      </c>
    </row>
    <row r="1116" customFormat="false" ht="15" hidden="false" customHeight="false" outlineLevel="0" collapsed="false">
      <c r="A1116" s="9"/>
      <c r="B1116" s="4"/>
      <c r="C1116" s="10"/>
      <c r="D1116" s="11" t="str">
        <f aca="false">IF(K1116="","",IFERROR(INDEX(DECKS!$C$2:$C$1201,MATCH(K1116,DECKS!$B$2:$B$1201,0)),TRIM(I1116&amp;"")))</f>
        <v/>
      </c>
      <c r="E1116" s="4"/>
      <c r="F1116" s="12"/>
      <c r="G1116" s="4"/>
      <c r="H1116" s="13" t="str">
        <f aca="false">IF(OR(N(C1116)=0,N(F1116)=0),"",C1116*F1116)</f>
        <v/>
      </c>
      <c r="I1116" s="4"/>
      <c r="J1116" s="11" t="str">
        <f aca="false">IF(K1116="","",IF(N(C1116)&lt;=0,"Informe a quantidade",IF(IFERROR(INDEX(INVENTÁRIO!$B$2:$B$801,MATCH(K1116,INVENTÁRIO!$A$2:$A$801,0)),"")="(sem nome)","Carta fora dos decks: digite o nome na coluna I (opcional)","")))</f>
        <v/>
      </c>
      <c r="K1116" s="11" t="str">
        <f aca="false">UPPER(TRIM(SUBSTITUTE(B1116&amp;"",CHAR(160)," ")))</f>
        <v/>
      </c>
      <c r="L1116" s="11" t="str">
        <f aca="false">IF(AND(K1116&lt;&gt;"",TRIM(I1116&amp;"")&lt;&gt;""),K1116,"")</f>
        <v/>
      </c>
    </row>
    <row r="1117" customFormat="false" ht="15" hidden="false" customHeight="false" outlineLevel="0" collapsed="false">
      <c r="A1117" s="9"/>
      <c r="B1117" s="4"/>
      <c r="C1117" s="10"/>
      <c r="D1117" s="11" t="str">
        <f aca="false">IF(K1117="","",IFERROR(INDEX(DECKS!$C$2:$C$1201,MATCH(K1117,DECKS!$B$2:$B$1201,0)),TRIM(I1117&amp;"")))</f>
        <v/>
      </c>
      <c r="E1117" s="4"/>
      <c r="F1117" s="12"/>
      <c r="G1117" s="4"/>
      <c r="H1117" s="13" t="str">
        <f aca="false">IF(OR(N(C1117)=0,N(F1117)=0),"",C1117*F1117)</f>
        <v/>
      </c>
      <c r="I1117" s="4"/>
      <c r="J1117" s="11" t="str">
        <f aca="false">IF(K1117="","",IF(N(C1117)&lt;=0,"Informe a quantidade",IF(IFERROR(INDEX(INVENTÁRIO!$B$2:$B$801,MATCH(K1117,INVENTÁRIO!$A$2:$A$801,0)),"")="(sem nome)","Carta fora dos decks: digite o nome na coluna I (opcional)","")))</f>
        <v/>
      </c>
      <c r="K1117" s="11" t="str">
        <f aca="false">UPPER(TRIM(SUBSTITUTE(B1117&amp;"",CHAR(160)," ")))</f>
        <v/>
      </c>
      <c r="L1117" s="11" t="str">
        <f aca="false">IF(AND(K1117&lt;&gt;"",TRIM(I1117&amp;"")&lt;&gt;""),K1117,"")</f>
        <v/>
      </c>
    </row>
    <row r="1118" customFormat="false" ht="15" hidden="false" customHeight="false" outlineLevel="0" collapsed="false">
      <c r="A1118" s="9"/>
      <c r="B1118" s="4"/>
      <c r="C1118" s="10"/>
      <c r="D1118" s="11" t="str">
        <f aca="false">IF(K1118="","",IFERROR(INDEX(DECKS!$C$2:$C$1201,MATCH(K1118,DECKS!$B$2:$B$1201,0)),TRIM(I1118&amp;"")))</f>
        <v/>
      </c>
      <c r="E1118" s="4"/>
      <c r="F1118" s="12"/>
      <c r="G1118" s="4"/>
      <c r="H1118" s="13" t="str">
        <f aca="false">IF(OR(N(C1118)=0,N(F1118)=0),"",C1118*F1118)</f>
        <v/>
      </c>
      <c r="I1118" s="4"/>
      <c r="J1118" s="11" t="str">
        <f aca="false">IF(K1118="","",IF(N(C1118)&lt;=0,"Informe a quantidade",IF(IFERROR(INDEX(INVENTÁRIO!$B$2:$B$801,MATCH(K1118,INVENTÁRIO!$A$2:$A$801,0)),"")="(sem nome)","Carta fora dos decks: digite o nome na coluna I (opcional)","")))</f>
        <v/>
      </c>
      <c r="K1118" s="11" t="str">
        <f aca="false">UPPER(TRIM(SUBSTITUTE(B1118&amp;"",CHAR(160)," ")))</f>
        <v/>
      </c>
      <c r="L1118" s="11" t="str">
        <f aca="false">IF(AND(K1118&lt;&gt;"",TRIM(I1118&amp;"")&lt;&gt;""),K1118,"")</f>
        <v/>
      </c>
    </row>
    <row r="1119" customFormat="false" ht="15" hidden="false" customHeight="false" outlineLevel="0" collapsed="false">
      <c r="A1119" s="9"/>
      <c r="B1119" s="4"/>
      <c r="C1119" s="10"/>
      <c r="D1119" s="11" t="str">
        <f aca="false">IF(K1119="","",IFERROR(INDEX(DECKS!$C$2:$C$1201,MATCH(K1119,DECKS!$B$2:$B$1201,0)),TRIM(I1119&amp;"")))</f>
        <v/>
      </c>
      <c r="E1119" s="4"/>
      <c r="F1119" s="12"/>
      <c r="G1119" s="4"/>
      <c r="H1119" s="13" t="str">
        <f aca="false">IF(OR(N(C1119)=0,N(F1119)=0),"",C1119*F1119)</f>
        <v/>
      </c>
      <c r="I1119" s="4"/>
      <c r="J1119" s="11" t="str">
        <f aca="false">IF(K1119="","",IF(N(C1119)&lt;=0,"Informe a quantidade",IF(IFERROR(INDEX(INVENTÁRIO!$B$2:$B$801,MATCH(K1119,INVENTÁRIO!$A$2:$A$801,0)),"")="(sem nome)","Carta fora dos decks: digite o nome na coluna I (opcional)","")))</f>
        <v/>
      </c>
      <c r="K1119" s="11" t="str">
        <f aca="false">UPPER(TRIM(SUBSTITUTE(B1119&amp;"",CHAR(160)," ")))</f>
        <v/>
      </c>
      <c r="L1119" s="11" t="str">
        <f aca="false">IF(AND(K1119&lt;&gt;"",TRIM(I1119&amp;"")&lt;&gt;""),K1119,"")</f>
        <v/>
      </c>
    </row>
    <row r="1120" customFormat="false" ht="15" hidden="false" customHeight="false" outlineLevel="0" collapsed="false">
      <c r="A1120" s="9"/>
      <c r="B1120" s="4"/>
      <c r="C1120" s="10"/>
      <c r="D1120" s="11" t="str">
        <f aca="false">IF(K1120="","",IFERROR(INDEX(DECKS!$C$2:$C$1201,MATCH(K1120,DECKS!$B$2:$B$1201,0)),TRIM(I1120&amp;"")))</f>
        <v/>
      </c>
      <c r="E1120" s="4"/>
      <c r="F1120" s="12"/>
      <c r="G1120" s="4"/>
      <c r="H1120" s="13" t="str">
        <f aca="false">IF(OR(N(C1120)=0,N(F1120)=0),"",C1120*F1120)</f>
        <v/>
      </c>
      <c r="I1120" s="4"/>
      <c r="J1120" s="11" t="str">
        <f aca="false">IF(K1120="","",IF(N(C1120)&lt;=0,"Informe a quantidade",IF(IFERROR(INDEX(INVENTÁRIO!$B$2:$B$801,MATCH(K1120,INVENTÁRIO!$A$2:$A$801,0)),"")="(sem nome)","Carta fora dos decks: digite o nome na coluna I (opcional)","")))</f>
        <v/>
      </c>
      <c r="K1120" s="11" t="str">
        <f aca="false">UPPER(TRIM(SUBSTITUTE(B1120&amp;"",CHAR(160)," ")))</f>
        <v/>
      </c>
      <c r="L1120" s="11" t="str">
        <f aca="false">IF(AND(K1120&lt;&gt;"",TRIM(I1120&amp;"")&lt;&gt;""),K1120,"")</f>
        <v/>
      </c>
    </row>
    <row r="1121" customFormat="false" ht="15" hidden="false" customHeight="false" outlineLevel="0" collapsed="false">
      <c r="A1121" s="9"/>
      <c r="B1121" s="4"/>
      <c r="C1121" s="10"/>
      <c r="D1121" s="11" t="str">
        <f aca="false">IF(K1121="","",IFERROR(INDEX(DECKS!$C$2:$C$1201,MATCH(K1121,DECKS!$B$2:$B$1201,0)),TRIM(I1121&amp;"")))</f>
        <v/>
      </c>
      <c r="E1121" s="4"/>
      <c r="F1121" s="12"/>
      <c r="G1121" s="4"/>
      <c r="H1121" s="13" t="str">
        <f aca="false">IF(OR(N(C1121)=0,N(F1121)=0),"",C1121*F1121)</f>
        <v/>
      </c>
      <c r="I1121" s="4"/>
      <c r="J1121" s="11" t="str">
        <f aca="false">IF(K1121="","",IF(N(C1121)&lt;=0,"Informe a quantidade",IF(IFERROR(INDEX(INVENTÁRIO!$B$2:$B$801,MATCH(K1121,INVENTÁRIO!$A$2:$A$801,0)),"")="(sem nome)","Carta fora dos decks: digite o nome na coluna I (opcional)","")))</f>
        <v/>
      </c>
      <c r="K1121" s="11" t="str">
        <f aca="false">UPPER(TRIM(SUBSTITUTE(B1121&amp;"",CHAR(160)," ")))</f>
        <v/>
      </c>
      <c r="L1121" s="11" t="str">
        <f aca="false">IF(AND(K1121&lt;&gt;"",TRIM(I1121&amp;"")&lt;&gt;""),K1121,"")</f>
        <v/>
      </c>
    </row>
    <row r="1122" customFormat="false" ht="15" hidden="false" customHeight="false" outlineLevel="0" collapsed="false">
      <c r="A1122" s="9"/>
      <c r="B1122" s="4"/>
      <c r="C1122" s="10"/>
      <c r="D1122" s="11" t="str">
        <f aca="false">IF(K1122="","",IFERROR(INDEX(DECKS!$C$2:$C$1201,MATCH(K1122,DECKS!$B$2:$B$1201,0)),TRIM(I1122&amp;"")))</f>
        <v/>
      </c>
      <c r="E1122" s="4"/>
      <c r="F1122" s="12"/>
      <c r="G1122" s="4"/>
      <c r="H1122" s="13" t="str">
        <f aca="false">IF(OR(N(C1122)=0,N(F1122)=0),"",C1122*F1122)</f>
        <v/>
      </c>
      <c r="I1122" s="4"/>
      <c r="J1122" s="11" t="str">
        <f aca="false">IF(K1122="","",IF(N(C1122)&lt;=0,"Informe a quantidade",IF(IFERROR(INDEX(INVENTÁRIO!$B$2:$B$801,MATCH(K1122,INVENTÁRIO!$A$2:$A$801,0)),"")="(sem nome)","Carta fora dos decks: digite o nome na coluna I (opcional)","")))</f>
        <v/>
      </c>
      <c r="K1122" s="11" t="str">
        <f aca="false">UPPER(TRIM(SUBSTITUTE(B1122&amp;"",CHAR(160)," ")))</f>
        <v/>
      </c>
      <c r="L1122" s="11" t="str">
        <f aca="false">IF(AND(K1122&lt;&gt;"",TRIM(I1122&amp;"")&lt;&gt;""),K1122,"")</f>
        <v/>
      </c>
    </row>
    <row r="1123" customFormat="false" ht="15" hidden="false" customHeight="false" outlineLevel="0" collapsed="false">
      <c r="A1123" s="9"/>
      <c r="B1123" s="4"/>
      <c r="C1123" s="10"/>
      <c r="D1123" s="11" t="str">
        <f aca="false">IF(K1123="","",IFERROR(INDEX(DECKS!$C$2:$C$1201,MATCH(K1123,DECKS!$B$2:$B$1201,0)),TRIM(I1123&amp;"")))</f>
        <v/>
      </c>
      <c r="E1123" s="4"/>
      <c r="F1123" s="12"/>
      <c r="G1123" s="4"/>
      <c r="H1123" s="13" t="str">
        <f aca="false">IF(OR(N(C1123)=0,N(F1123)=0),"",C1123*F1123)</f>
        <v/>
      </c>
      <c r="I1123" s="4"/>
      <c r="J1123" s="11" t="str">
        <f aca="false">IF(K1123="","",IF(N(C1123)&lt;=0,"Informe a quantidade",IF(IFERROR(INDEX(INVENTÁRIO!$B$2:$B$801,MATCH(K1123,INVENTÁRIO!$A$2:$A$801,0)),"")="(sem nome)","Carta fora dos decks: digite o nome na coluna I (opcional)","")))</f>
        <v/>
      </c>
      <c r="K1123" s="11" t="str">
        <f aca="false">UPPER(TRIM(SUBSTITUTE(B1123&amp;"",CHAR(160)," ")))</f>
        <v/>
      </c>
      <c r="L1123" s="11" t="str">
        <f aca="false">IF(AND(K1123&lt;&gt;"",TRIM(I1123&amp;"")&lt;&gt;""),K1123,"")</f>
        <v/>
      </c>
    </row>
    <row r="1124" customFormat="false" ht="15" hidden="false" customHeight="false" outlineLevel="0" collapsed="false">
      <c r="A1124" s="9"/>
      <c r="B1124" s="4"/>
      <c r="C1124" s="10"/>
      <c r="D1124" s="11" t="str">
        <f aca="false">IF(K1124="","",IFERROR(INDEX(DECKS!$C$2:$C$1201,MATCH(K1124,DECKS!$B$2:$B$1201,0)),TRIM(I1124&amp;"")))</f>
        <v/>
      </c>
      <c r="E1124" s="4"/>
      <c r="F1124" s="12"/>
      <c r="G1124" s="4"/>
      <c r="H1124" s="13" t="str">
        <f aca="false">IF(OR(N(C1124)=0,N(F1124)=0),"",C1124*F1124)</f>
        <v/>
      </c>
      <c r="I1124" s="4"/>
      <c r="J1124" s="11" t="str">
        <f aca="false">IF(K1124="","",IF(N(C1124)&lt;=0,"Informe a quantidade",IF(IFERROR(INDEX(INVENTÁRIO!$B$2:$B$801,MATCH(K1124,INVENTÁRIO!$A$2:$A$801,0)),"")="(sem nome)","Carta fora dos decks: digite o nome na coluna I (opcional)","")))</f>
        <v/>
      </c>
      <c r="K1124" s="11" t="str">
        <f aca="false">UPPER(TRIM(SUBSTITUTE(B1124&amp;"",CHAR(160)," ")))</f>
        <v/>
      </c>
      <c r="L1124" s="11" t="str">
        <f aca="false">IF(AND(K1124&lt;&gt;"",TRIM(I1124&amp;"")&lt;&gt;""),K1124,"")</f>
        <v/>
      </c>
    </row>
    <row r="1125" customFormat="false" ht="15" hidden="false" customHeight="false" outlineLevel="0" collapsed="false">
      <c r="A1125" s="9"/>
      <c r="B1125" s="4"/>
      <c r="C1125" s="10"/>
      <c r="D1125" s="11" t="str">
        <f aca="false">IF(K1125="","",IFERROR(INDEX(DECKS!$C$2:$C$1201,MATCH(K1125,DECKS!$B$2:$B$1201,0)),TRIM(I1125&amp;"")))</f>
        <v/>
      </c>
      <c r="E1125" s="4"/>
      <c r="F1125" s="12"/>
      <c r="G1125" s="4"/>
      <c r="H1125" s="13" t="str">
        <f aca="false">IF(OR(N(C1125)=0,N(F1125)=0),"",C1125*F1125)</f>
        <v/>
      </c>
      <c r="I1125" s="4"/>
      <c r="J1125" s="11" t="str">
        <f aca="false">IF(K1125="","",IF(N(C1125)&lt;=0,"Informe a quantidade",IF(IFERROR(INDEX(INVENTÁRIO!$B$2:$B$801,MATCH(K1125,INVENTÁRIO!$A$2:$A$801,0)),"")="(sem nome)","Carta fora dos decks: digite o nome na coluna I (opcional)","")))</f>
        <v/>
      </c>
      <c r="K1125" s="11" t="str">
        <f aca="false">UPPER(TRIM(SUBSTITUTE(B1125&amp;"",CHAR(160)," ")))</f>
        <v/>
      </c>
      <c r="L1125" s="11" t="str">
        <f aca="false">IF(AND(K1125&lt;&gt;"",TRIM(I1125&amp;"")&lt;&gt;""),K1125,"")</f>
        <v/>
      </c>
    </row>
    <row r="1126" customFormat="false" ht="15" hidden="false" customHeight="false" outlineLevel="0" collapsed="false">
      <c r="A1126" s="9"/>
      <c r="B1126" s="4"/>
      <c r="C1126" s="10"/>
      <c r="D1126" s="11" t="str">
        <f aca="false">IF(K1126="","",IFERROR(INDEX(DECKS!$C$2:$C$1201,MATCH(K1126,DECKS!$B$2:$B$1201,0)),TRIM(I1126&amp;"")))</f>
        <v/>
      </c>
      <c r="E1126" s="4"/>
      <c r="F1126" s="12"/>
      <c r="G1126" s="4"/>
      <c r="H1126" s="13" t="str">
        <f aca="false">IF(OR(N(C1126)=0,N(F1126)=0),"",C1126*F1126)</f>
        <v/>
      </c>
      <c r="I1126" s="4"/>
      <c r="J1126" s="11" t="str">
        <f aca="false">IF(K1126="","",IF(N(C1126)&lt;=0,"Informe a quantidade",IF(IFERROR(INDEX(INVENTÁRIO!$B$2:$B$801,MATCH(K1126,INVENTÁRIO!$A$2:$A$801,0)),"")="(sem nome)","Carta fora dos decks: digite o nome na coluna I (opcional)","")))</f>
        <v/>
      </c>
      <c r="K1126" s="11" t="str">
        <f aca="false">UPPER(TRIM(SUBSTITUTE(B1126&amp;"",CHAR(160)," ")))</f>
        <v/>
      </c>
      <c r="L1126" s="11" t="str">
        <f aca="false">IF(AND(K1126&lt;&gt;"",TRIM(I1126&amp;"")&lt;&gt;""),K1126,"")</f>
        <v/>
      </c>
    </row>
    <row r="1127" customFormat="false" ht="15" hidden="false" customHeight="false" outlineLevel="0" collapsed="false">
      <c r="A1127" s="9"/>
      <c r="B1127" s="4"/>
      <c r="C1127" s="10"/>
      <c r="D1127" s="11" t="str">
        <f aca="false">IF(K1127="","",IFERROR(INDEX(DECKS!$C$2:$C$1201,MATCH(K1127,DECKS!$B$2:$B$1201,0)),TRIM(I1127&amp;"")))</f>
        <v/>
      </c>
      <c r="E1127" s="4"/>
      <c r="F1127" s="12"/>
      <c r="G1127" s="4"/>
      <c r="H1127" s="13" t="str">
        <f aca="false">IF(OR(N(C1127)=0,N(F1127)=0),"",C1127*F1127)</f>
        <v/>
      </c>
      <c r="I1127" s="4"/>
      <c r="J1127" s="11" t="str">
        <f aca="false">IF(K1127="","",IF(N(C1127)&lt;=0,"Informe a quantidade",IF(IFERROR(INDEX(INVENTÁRIO!$B$2:$B$801,MATCH(K1127,INVENTÁRIO!$A$2:$A$801,0)),"")="(sem nome)","Carta fora dos decks: digite o nome na coluna I (opcional)","")))</f>
        <v/>
      </c>
      <c r="K1127" s="11" t="str">
        <f aca="false">UPPER(TRIM(SUBSTITUTE(B1127&amp;"",CHAR(160)," ")))</f>
        <v/>
      </c>
      <c r="L1127" s="11" t="str">
        <f aca="false">IF(AND(K1127&lt;&gt;"",TRIM(I1127&amp;"")&lt;&gt;""),K1127,"")</f>
        <v/>
      </c>
    </row>
    <row r="1128" customFormat="false" ht="15" hidden="false" customHeight="false" outlineLevel="0" collapsed="false">
      <c r="A1128" s="9"/>
      <c r="B1128" s="4"/>
      <c r="C1128" s="10"/>
      <c r="D1128" s="11" t="str">
        <f aca="false">IF(K1128="","",IFERROR(INDEX(DECKS!$C$2:$C$1201,MATCH(K1128,DECKS!$B$2:$B$1201,0)),TRIM(I1128&amp;"")))</f>
        <v/>
      </c>
      <c r="E1128" s="4"/>
      <c r="F1128" s="12"/>
      <c r="G1128" s="4"/>
      <c r="H1128" s="13" t="str">
        <f aca="false">IF(OR(N(C1128)=0,N(F1128)=0),"",C1128*F1128)</f>
        <v/>
      </c>
      <c r="I1128" s="4"/>
      <c r="J1128" s="11" t="str">
        <f aca="false">IF(K1128="","",IF(N(C1128)&lt;=0,"Informe a quantidade",IF(IFERROR(INDEX(INVENTÁRIO!$B$2:$B$801,MATCH(K1128,INVENTÁRIO!$A$2:$A$801,0)),"")="(sem nome)","Carta fora dos decks: digite o nome na coluna I (opcional)","")))</f>
        <v/>
      </c>
      <c r="K1128" s="11" t="str">
        <f aca="false">UPPER(TRIM(SUBSTITUTE(B1128&amp;"",CHAR(160)," ")))</f>
        <v/>
      </c>
      <c r="L1128" s="11" t="str">
        <f aca="false">IF(AND(K1128&lt;&gt;"",TRIM(I1128&amp;"")&lt;&gt;""),K1128,"")</f>
        <v/>
      </c>
    </row>
    <row r="1129" customFormat="false" ht="15" hidden="false" customHeight="false" outlineLevel="0" collapsed="false">
      <c r="A1129" s="9"/>
      <c r="B1129" s="4"/>
      <c r="C1129" s="10"/>
      <c r="D1129" s="11" t="str">
        <f aca="false">IF(K1129="","",IFERROR(INDEX(DECKS!$C$2:$C$1201,MATCH(K1129,DECKS!$B$2:$B$1201,0)),TRIM(I1129&amp;"")))</f>
        <v/>
      </c>
      <c r="E1129" s="4"/>
      <c r="F1129" s="12"/>
      <c r="G1129" s="4"/>
      <c r="H1129" s="13" t="str">
        <f aca="false">IF(OR(N(C1129)=0,N(F1129)=0),"",C1129*F1129)</f>
        <v/>
      </c>
      <c r="I1129" s="4"/>
      <c r="J1129" s="11" t="str">
        <f aca="false">IF(K1129="","",IF(N(C1129)&lt;=0,"Informe a quantidade",IF(IFERROR(INDEX(INVENTÁRIO!$B$2:$B$801,MATCH(K1129,INVENTÁRIO!$A$2:$A$801,0)),"")="(sem nome)","Carta fora dos decks: digite o nome na coluna I (opcional)","")))</f>
        <v/>
      </c>
      <c r="K1129" s="11" t="str">
        <f aca="false">UPPER(TRIM(SUBSTITUTE(B1129&amp;"",CHAR(160)," ")))</f>
        <v/>
      </c>
      <c r="L1129" s="11" t="str">
        <f aca="false">IF(AND(K1129&lt;&gt;"",TRIM(I1129&amp;"")&lt;&gt;""),K1129,"")</f>
        <v/>
      </c>
    </row>
    <row r="1130" customFormat="false" ht="15" hidden="false" customHeight="false" outlineLevel="0" collapsed="false">
      <c r="A1130" s="9"/>
      <c r="B1130" s="4"/>
      <c r="C1130" s="10"/>
      <c r="D1130" s="11" t="str">
        <f aca="false">IF(K1130="","",IFERROR(INDEX(DECKS!$C$2:$C$1201,MATCH(K1130,DECKS!$B$2:$B$1201,0)),TRIM(I1130&amp;"")))</f>
        <v/>
      </c>
      <c r="E1130" s="4"/>
      <c r="F1130" s="12"/>
      <c r="G1130" s="4"/>
      <c r="H1130" s="13" t="str">
        <f aca="false">IF(OR(N(C1130)=0,N(F1130)=0),"",C1130*F1130)</f>
        <v/>
      </c>
      <c r="I1130" s="4"/>
      <c r="J1130" s="11" t="str">
        <f aca="false">IF(K1130="","",IF(N(C1130)&lt;=0,"Informe a quantidade",IF(IFERROR(INDEX(INVENTÁRIO!$B$2:$B$801,MATCH(K1130,INVENTÁRIO!$A$2:$A$801,0)),"")="(sem nome)","Carta fora dos decks: digite o nome na coluna I (opcional)","")))</f>
        <v/>
      </c>
      <c r="K1130" s="11" t="str">
        <f aca="false">UPPER(TRIM(SUBSTITUTE(B1130&amp;"",CHAR(160)," ")))</f>
        <v/>
      </c>
      <c r="L1130" s="11" t="str">
        <f aca="false">IF(AND(K1130&lt;&gt;"",TRIM(I1130&amp;"")&lt;&gt;""),K1130,"")</f>
        <v/>
      </c>
    </row>
    <row r="1131" customFormat="false" ht="15" hidden="false" customHeight="false" outlineLevel="0" collapsed="false">
      <c r="A1131" s="9"/>
      <c r="B1131" s="4"/>
      <c r="C1131" s="10"/>
      <c r="D1131" s="11" t="str">
        <f aca="false">IF(K1131="","",IFERROR(INDEX(DECKS!$C$2:$C$1201,MATCH(K1131,DECKS!$B$2:$B$1201,0)),TRIM(I1131&amp;"")))</f>
        <v/>
      </c>
      <c r="E1131" s="4"/>
      <c r="F1131" s="12"/>
      <c r="G1131" s="4"/>
      <c r="H1131" s="13" t="str">
        <f aca="false">IF(OR(N(C1131)=0,N(F1131)=0),"",C1131*F1131)</f>
        <v/>
      </c>
      <c r="I1131" s="4"/>
      <c r="J1131" s="11" t="str">
        <f aca="false">IF(K1131="","",IF(N(C1131)&lt;=0,"Informe a quantidade",IF(IFERROR(INDEX(INVENTÁRIO!$B$2:$B$801,MATCH(K1131,INVENTÁRIO!$A$2:$A$801,0)),"")="(sem nome)","Carta fora dos decks: digite o nome na coluna I (opcional)","")))</f>
        <v/>
      </c>
      <c r="K1131" s="11" t="str">
        <f aca="false">UPPER(TRIM(SUBSTITUTE(B1131&amp;"",CHAR(160)," ")))</f>
        <v/>
      </c>
      <c r="L1131" s="11" t="str">
        <f aca="false">IF(AND(K1131&lt;&gt;"",TRIM(I1131&amp;"")&lt;&gt;""),K1131,"")</f>
        <v/>
      </c>
    </row>
    <row r="1132" customFormat="false" ht="15" hidden="false" customHeight="false" outlineLevel="0" collapsed="false">
      <c r="A1132" s="9"/>
      <c r="B1132" s="4"/>
      <c r="C1132" s="10"/>
      <c r="D1132" s="11" t="str">
        <f aca="false">IF(K1132="","",IFERROR(INDEX(DECKS!$C$2:$C$1201,MATCH(K1132,DECKS!$B$2:$B$1201,0)),TRIM(I1132&amp;"")))</f>
        <v/>
      </c>
      <c r="E1132" s="4"/>
      <c r="F1132" s="12"/>
      <c r="G1132" s="4"/>
      <c r="H1132" s="13" t="str">
        <f aca="false">IF(OR(N(C1132)=0,N(F1132)=0),"",C1132*F1132)</f>
        <v/>
      </c>
      <c r="I1132" s="4"/>
      <c r="J1132" s="11" t="str">
        <f aca="false">IF(K1132="","",IF(N(C1132)&lt;=0,"Informe a quantidade",IF(IFERROR(INDEX(INVENTÁRIO!$B$2:$B$801,MATCH(K1132,INVENTÁRIO!$A$2:$A$801,0)),"")="(sem nome)","Carta fora dos decks: digite o nome na coluna I (opcional)","")))</f>
        <v/>
      </c>
      <c r="K1132" s="11" t="str">
        <f aca="false">UPPER(TRIM(SUBSTITUTE(B1132&amp;"",CHAR(160)," ")))</f>
        <v/>
      </c>
      <c r="L1132" s="11" t="str">
        <f aca="false">IF(AND(K1132&lt;&gt;"",TRIM(I1132&amp;"")&lt;&gt;""),K1132,"")</f>
        <v/>
      </c>
    </row>
    <row r="1133" customFormat="false" ht="15" hidden="false" customHeight="false" outlineLevel="0" collapsed="false">
      <c r="A1133" s="9"/>
      <c r="B1133" s="4"/>
      <c r="C1133" s="10"/>
      <c r="D1133" s="11" t="str">
        <f aca="false">IF(K1133="","",IFERROR(INDEX(DECKS!$C$2:$C$1201,MATCH(K1133,DECKS!$B$2:$B$1201,0)),TRIM(I1133&amp;"")))</f>
        <v/>
      </c>
      <c r="E1133" s="4"/>
      <c r="F1133" s="12"/>
      <c r="G1133" s="4"/>
      <c r="H1133" s="13" t="str">
        <f aca="false">IF(OR(N(C1133)=0,N(F1133)=0),"",C1133*F1133)</f>
        <v/>
      </c>
      <c r="I1133" s="4"/>
      <c r="J1133" s="11" t="str">
        <f aca="false">IF(K1133="","",IF(N(C1133)&lt;=0,"Informe a quantidade",IF(IFERROR(INDEX(INVENTÁRIO!$B$2:$B$801,MATCH(K1133,INVENTÁRIO!$A$2:$A$801,0)),"")="(sem nome)","Carta fora dos decks: digite o nome na coluna I (opcional)","")))</f>
        <v/>
      </c>
      <c r="K1133" s="11" t="str">
        <f aca="false">UPPER(TRIM(SUBSTITUTE(B1133&amp;"",CHAR(160)," ")))</f>
        <v/>
      </c>
      <c r="L1133" s="11" t="str">
        <f aca="false">IF(AND(K1133&lt;&gt;"",TRIM(I1133&amp;"")&lt;&gt;""),K1133,"")</f>
        <v/>
      </c>
    </row>
    <row r="1134" customFormat="false" ht="15" hidden="false" customHeight="false" outlineLevel="0" collapsed="false">
      <c r="A1134" s="9"/>
      <c r="B1134" s="4"/>
      <c r="C1134" s="10"/>
      <c r="D1134" s="11" t="str">
        <f aca="false">IF(K1134="","",IFERROR(INDEX(DECKS!$C$2:$C$1201,MATCH(K1134,DECKS!$B$2:$B$1201,0)),TRIM(I1134&amp;"")))</f>
        <v/>
      </c>
      <c r="E1134" s="4"/>
      <c r="F1134" s="12"/>
      <c r="G1134" s="4"/>
      <c r="H1134" s="13" t="str">
        <f aca="false">IF(OR(N(C1134)=0,N(F1134)=0),"",C1134*F1134)</f>
        <v/>
      </c>
      <c r="I1134" s="4"/>
      <c r="J1134" s="11" t="str">
        <f aca="false">IF(K1134="","",IF(N(C1134)&lt;=0,"Informe a quantidade",IF(IFERROR(INDEX(INVENTÁRIO!$B$2:$B$801,MATCH(K1134,INVENTÁRIO!$A$2:$A$801,0)),"")="(sem nome)","Carta fora dos decks: digite o nome na coluna I (opcional)","")))</f>
        <v/>
      </c>
      <c r="K1134" s="11" t="str">
        <f aca="false">UPPER(TRIM(SUBSTITUTE(B1134&amp;"",CHAR(160)," ")))</f>
        <v/>
      </c>
      <c r="L1134" s="11" t="str">
        <f aca="false">IF(AND(K1134&lt;&gt;"",TRIM(I1134&amp;"")&lt;&gt;""),K1134,"")</f>
        <v/>
      </c>
    </row>
    <row r="1135" customFormat="false" ht="15" hidden="false" customHeight="false" outlineLevel="0" collapsed="false">
      <c r="A1135" s="9"/>
      <c r="B1135" s="4"/>
      <c r="C1135" s="10"/>
      <c r="D1135" s="11" t="str">
        <f aca="false">IF(K1135="","",IFERROR(INDEX(DECKS!$C$2:$C$1201,MATCH(K1135,DECKS!$B$2:$B$1201,0)),TRIM(I1135&amp;"")))</f>
        <v/>
      </c>
      <c r="E1135" s="4"/>
      <c r="F1135" s="12"/>
      <c r="G1135" s="4"/>
      <c r="H1135" s="13" t="str">
        <f aca="false">IF(OR(N(C1135)=0,N(F1135)=0),"",C1135*F1135)</f>
        <v/>
      </c>
      <c r="I1135" s="4"/>
      <c r="J1135" s="11" t="str">
        <f aca="false">IF(K1135="","",IF(N(C1135)&lt;=0,"Informe a quantidade",IF(IFERROR(INDEX(INVENTÁRIO!$B$2:$B$801,MATCH(K1135,INVENTÁRIO!$A$2:$A$801,0)),"")="(sem nome)","Carta fora dos decks: digite o nome na coluna I (opcional)","")))</f>
        <v/>
      </c>
      <c r="K1135" s="11" t="str">
        <f aca="false">UPPER(TRIM(SUBSTITUTE(B1135&amp;"",CHAR(160)," ")))</f>
        <v/>
      </c>
      <c r="L1135" s="11" t="str">
        <f aca="false">IF(AND(K1135&lt;&gt;"",TRIM(I1135&amp;"")&lt;&gt;""),K1135,"")</f>
        <v/>
      </c>
    </row>
    <row r="1136" customFormat="false" ht="15" hidden="false" customHeight="false" outlineLevel="0" collapsed="false">
      <c r="A1136" s="9"/>
      <c r="B1136" s="4"/>
      <c r="C1136" s="10"/>
      <c r="D1136" s="11" t="str">
        <f aca="false">IF(K1136="","",IFERROR(INDEX(DECKS!$C$2:$C$1201,MATCH(K1136,DECKS!$B$2:$B$1201,0)),TRIM(I1136&amp;"")))</f>
        <v/>
      </c>
      <c r="E1136" s="4"/>
      <c r="F1136" s="12"/>
      <c r="G1136" s="4"/>
      <c r="H1136" s="13" t="str">
        <f aca="false">IF(OR(N(C1136)=0,N(F1136)=0),"",C1136*F1136)</f>
        <v/>
      </c>
      <c r="I1136" s="4"/>
      <c r="J1136" s="11" t="str">
        <f aca="false">IF(K1136="","",IF(N(C1136)&lt;=0,"Informe a quantidade",IF(IFERROR(INDEX(INVENTÁRIO!$B$2:$B$801,MATCH(K1136,INVENTÁRIO!$A$2:$A$801,0)),"")="(sem nome)","Carta fora dos decks: digite o nome na coluna I (opcional)","")))</f>
        <v/>
      </c>
      <c r="K1136" s="11" t="str">
        <f aca="false">UPPER(TRIM(SUBSTITUTE(B1136&amp;"",CHAR(160)," ")))</f>
        <v/>
      </c>
      <c r="L1136" s="11" t="str">
        <f aca="false">IF(AND(K1136&lt;&gt;"",TRIM(I1136&amp;"")&lt;&gt;""),K1136,"")</f>
        <v/>
      </c>
    </row>
    <row r="1137" customFormat="false" ht="15" hidden="false" customHeight="false" outlineLevel="0" collapsed="false">
      <c r="A1137" s="9"/>
      <c r="B1137" s="4"/>
      <c r="C1137" s="10"/>
      <c r="D1137" s="11" t="str">
        <f aca="false">IF(K1137="","",IFERROR(INDEX(DECKS!$C$2:$C$1201,MATCH(K1137,DECKS!$B$2:$B$1201,0)),TRIM(I1137&amp;"")))</f>
        <v/>
      </c>
      <c r="E1137" s="4"/>
      <c r="F1137" s="12"/>
      <c r="G1137" s="4"/>
      <c r="H1137" s="13" t="str">
        <f aca="false">IF(OR(N(C1137)=0,N(F1137)=0),"",C1137*F1137)</f>
        <v/>
      </c>
      <c r="I1137" s="4"/>
      <c r="J1137" s="11" t="str">
        <f aca="false">IF(K1137="","",IF(N(C1137)&lt;=0,"Informe a quantidade",IF(IFERROR(INDEX(INVENTÁRIO!$B$2:$B$801,MATCH(K1137,INVENTÁRIO!$A$2:$A$801,0)),"")="(sem nome)","Carta fora dos decks: digite o nome na coluna I (opcional)","")))</f>
        <v/>
      </c>
      <c r="K1137" s="11" t="str">
        <f aca="false">UPPER(TRIM(SUBSTITUTE(B1137&amp;"",CHAR(160)," ")))</f>
        <v/>
      </c>
      <c r="L1137" s="11" t="str">
        <f aca="false">IF(AND(K1137&lt;&gt;"",TRIM(I1137&amp;"")&lt;&gt;""),K1137,"")</f>
        <v/>
      </c>
    </row>
    <row r="1138" customFormat="false" ht="15" hidden="false" customHeight="false" outlineLevel="0" collapsed="false">
      <c r="A1138" s="9"/>
      <c r="B1138" s="4"/>
      <c r="C1138" s="10"/>
      <c r="D1138" s="11" t="str">
        <f aca="false">IF(K1138="","",IFERROR(INDEX(DECKS!$C$2:$C$1201,MATCH(K1138,DECKS!$B$2:$B$1201,0)),TRIM(I1138&amp;"")))</f>
        <v/>
      </c>
      <c r="E1138" s="4"/>
      <c r="F1138" s="12"/>
      <c r="G1138" s="4"/>
      <c r="H1138" s="13" t="str">
        <f aca="false">IF(OR(N(C1138)=0,N(F1138)=0),"",C1138*F1138)</f>
        <v/>
      </c>
      <c r="I1138" s="4"/>
      <c r="J1138" s="11" t="str">
        <f aca="false">IF(K1138="","",IF(N(C1138)&lt;=0,"Informe a quantidade",IF(IFERROR(INDEX(INVENTÁRIO!$B$2:$B$801,MATCH(K1138,INVENTÁRIO!$A$2:$A$801,0)),"")="(sem nome)","Carta fora dos decks: digite o nome na coluna I (opcional)","")))</f>
        <v/>
      </c>
      <c r="K1138" s="11" t="str">
        <f aca="false">UPPER(TRIM(SUBSTITUTE(B1138&amp;"",CHAR(160)," ")))</f>
        <v/>
      </c>
      <c r="L1138" s="11" t="str">
        <f aca="false">IF(AND(K1138&lt;&gt;"",TRIM(I1138&amp;"")&lt;&gt;""),K1138,"")</f>
        <v/>
      </c>
    </row>
    <row r="1139" customFormat="false" ht="15" hidden="false" customHeight="false" outlineLevel="0" collapsed="false">
      <c r="A1139" s="9"/>
      <c r="B1139" s="4"/>
      <c r="C1139" s="10"/>
      <c r="D1139" s="11" t="str">
        <f aca="false">IF(K1139="","",IFERROR(INDEX(DECKS!$C$2:$C$1201,MATCH(K1139,DECKS!$B$2:$B$1201,0)),TRIM(I1139&amp;"")))</f>
        <v/>
      </c>
      <c r="E1139" s="4"/>
      <c r="F1139" s="12"/>
      <c r="G1139" s="4"/>
      <c r="H1139" s="13" t="str">
        <f aca="false">IF(OR(N(C1139)=0,N(F1139)=0),"",C1139*F1139)</f>
        <v/>
      </c>
      <c r="I1139" s="4"/>
      <c r="J1139" s="11" t="str">
        <f aca="false">IF(K1139="","",IF(N(C1139)&lt;=0,"Informe a quantidade",IF(IFERROR(INDEX(INVENTÁRIO!$B$2:$B$801,MATCH(K1139,INVENTÁRIO!$A$2:$A$801,0)),"")="(sem nome)","Carta fora dos decks: digite o nome na coluna I (opcional)","")))</f>
        <v/>
      </c>
      <c r="K1139" s="11" t="str">
        <f aca="false">UPPER(TRIM(SUBSTITUTE(B1139&amp;"",CHAR(160)," ")))</f>
        <v/>
      </c>
      <c r="L1139" s="11" t="str">
        <f aca="false">IF(AND(K1139&lt;&gt;"",TRIM(I1139&amp;"")&lt;&gt;""),K1139,"")</f>
        <v/>
      </c>
    </row>
    <row r="1140" customFormat="false" ht="15" hidden="false" customHeight="false" outlineLevel="0" collapsed="false">
      <c r="A1140" s="9"/>
      <c r="B1140" s="4"/>
      <c r="C1140" s="10"/>
      <c r="D1140" s="11" t="str">
        <f aca="false">IF(K1140="","",IFERROR(INDEX(DECKS!$C$2:$C$1201,MATCH(K1140,DECKS!$B$2:$B$1201,0)),TRIM(I1140&amp;"")))</f>
        <v/>
      </c>
      <c r="E1140" s="4"/>
      <c r="F1140" s="12"/>
      <c r="G1140" s="4"/>
      <c r="H1140" s="13" t="str">
        <f aca="false">IF(OR(N(C1140)=0,N(F1140)=0),"",C1140*F1140)</f>
        <v/>
      </c>
      <c r="I1140" s="4"/>
      <c r="J1140" s="11" t="str">
        <f aca="false">IF(K1140="","",IF(N(C1140)&lt;=0,"Informe a quantidade",IF(IFERROR(INDEX(INVENTÁRIO!$B$2:$B$801,MATCH(K1140,INVENTÁRIO!$A$2:$A$801,0)),"")="(sem nome)","Carta fora dos decks: digite o nome na coluna I (opcional)","")))</f>
        <v/>
      </c>
      <c r="K1140" s="11" t="str">
        <f aca="false">UPPER(TRIM(SUBSTITUTE(B1140&amp;"",CHAR(160)," ")))</f>
        <v/>
      </c>
      <c r="L1140" s="11" t="str">
        <f aca="false">IF(AND(K1140&lt;&gt;"",TRIM(I1140&amp;"")&lt;&gt;""),K1140,"")</f>
        <v/>
      </c>
    </row>
    <row r="1141" customFormat="false" ht="15" hidden="false" customHeight="false" outlineLevel="0" collapsed="false">
      <c r="A1141" s="9"/>
      <c r="B1141" s="4"/>
      <c r="C1141" s="10"/>
      <c r="D1141" s="11" t="str">
        <f aca="false">IF(K1141="","",IFERROR(INDEX(DECKS!$C$2:$C$1201,MATCH(K1141,DECKS!$B$2:$B$1201,0)),TRIM(I1141&amp;"")))</f>
        <v/>
      </c>
      <c r="E1141" s="4"/>
      <c r="F1141" s="12"/>
      <c r="G1141" s="4"/>
      <c r="H1141" s="13" t="str">
        <f aca="false">IF(OR(N(C1141)=0,N(F1141)=0),"",C1141*F1141)</f>
        <v/>
      </c>
      <c r="I1141" s="4"/>
      <c r="J1141" s="11" t="str">
        <f aca="false">IF(K1141="","",IF(N(C1141)&lt;=0,"Informe a quantidade",IF(IFERROR(INDEX(INVENTÁRIO!$B$2:$B$801,MATCH(K1141,INVENTÁRIO!$A$2:$A$801,0)),"")="(sem nome)","Carta fora dos decks: digite o nome na coluna I (opcional)","")))</f>
        <v/>
      </c>
      <c r="K1141" s="11" t="str">
        <f aca="false">UPPER(TRIM(SUBSTITUTE(B1141&amp;"",CHAR(160)," ")))</f>
        <v/>
      </c>
      <c r="L1141" s="11" t="str">
        <f aca="false">IF(AND(K1141&lt;&gt;"",TRIM(I1141&amp;"")&lt;&gt;""),K1141,"")</f>
        <v/>
      </c>
    </row>
    <row r="1142" customFormat="false" ht="15" hidden="false" customHeight="false" outlineLevel="0" collapsed="false">
      <c r="A1142" s="9"/>
      <c r="B1142" s="4"/>
      <c r="C1142" s="10"/>
      <c r="D1142" s="11" t="str">
        <f aca="false">IF(K1142="","",IFERROR(INDEX(DECKS!$C$2:$C$1201,MATCH(K1142,DECKS!$B$2:$B$1201,0)),TRIM(I1142&amp;"")))</f>
        <v/>
      </c>
      <c r="E1142" s="4"/>
      <c r="F1142" s="12"/>
      <c r="G1142" s="4"/>
      <c r="H1142" s="13" t="str">
        <f aca="false">IF(OR(N(C1142)=0,N(F1142)=0),"",C1142*F1142)</f>
        <v/>
      </c>
      <c r="I1142" s="4"/>
      <c r="J1142" s="11" t="str">
        <f aca="false">IF(K1142="","",IF(N(C1142)&lt;=0,"Informe a quantidade",IF(IFERROR(INDEX(INVENTÁRIO!$B$2:$B$801,MATCH(K1142,INVENTÁRIO!$A$2:$A$801,0)),"")="(sem nome)","Carta fora dos decks: digite o nome na coluna I (opcional)","")))</f>
        <v/>
      </c>
      <c r="K1142" s="11" t="str">
        <f aca="false">UPPER(TRIM(SUBSTITUTE(B1142&amp;"",CHAR(160)," ")))</f>
        <v/>
      </c>
      <c r="L1142" s="11" t="str">
        <f aca="false">IF(AND(K1142&lt;&gt;"",TRIM(I1142&amp;"")&lt;&gt;""),K1142,"")</f>
        <v/>
      </c>
    </row>
    <row r="1143" customFormat="false" ht="15" hidden="false" customHeight="false" outlineLevel="0" collapsed="false">
      <c r="A1143" s="9"/>
      <c r="B1143" s="4"/>
      <c r="C1143" s="10"/>
      <c r="D1143" s="11" t="str">
        <f aca="false">IF(K1143="","",IFERROR(INDEX(DECKS!$C$2:$C$1201,MATCH(K1143,DECKS!$B$2:$B$1201,0)),TRIM(I1143&amp;"")))</f>
        <v/>
      </c>
      <c r="E1143" s="4"/>
      <c r="F1143" s="12"/>
      <c r="G1143" s="4"/>
      <c r="H1143" s="13" t="str">
        <f aca="false">IF(OR(N(C1143)=0,N(F1143)=0),"",C1143*F1143)</f>
        <v/>
      </c>
      <c r="I1143" s="4"/>
      <c r="J1143" s="11" t="str">
        <f aca="false">IF(K1143="","",IF(N(C1143)&lt;=0,"Informe a quantidade",IF(IFERROR(INDEX(INVENTÁRIO!$B$2:$B$801,MATCH(K1143,INVENTÁRIO!$A$2:$A$801,0)),"")="(sem nome)","Carta fora dos decks: digite o nome na coluna I (opcional)","")))</f>
        <v/>
      </c>
      <c r="K1143" s="11" t="str">
        <f aca="false">UPPER(TRIM(SUBSTITUTE(B1143&amp;"",CHAR(160)," ")))</f>
        <v/>
      </c>
      <c r="L1143" s="11" t="str">
        <f aca="false">IF(AND(K1143&lt;&gt;"",TRIM(I1143&amp;"")&lt;&gt;""),K1143,"")</f>
        <v/>
      </c>
    </row>
    <row r="1144" customFormat="false" ht="15" hidden="false" customHeight="false" outlineLevel="0" collapsed="false">
      <c r="A1144" s="9"/>
      <c r="B1144" s="4"/>
      <c r="C1144" s="10"/>
      <c r="D1144" s="11" t="str">
        <f aca="false">IF(K1144="","",IFERROR(INDEX(DECKS!$C$2:$C$1201,MATCH(K1144,DECKS!$B$2:$B$1201,0)),TRIM(I1144&amp;"")))</f>
        <v/>
      </c>
      <c r="E1144" s="4"/>
      <c r="F1144" s="12"/>
      <c r="G1144" s="4"/>
      <c r="H1144" s="13" t="str">
        <f aca="false">IF(OR(N(C1144)=0,N(F1144)=0),"",C1144*F1144)</f>
        <v/>
      </c>
      <c r="I1144" s="4"/>
      <c r="J1144" s="11" t="str">
        <f aca="false">IF(K1144="","",IF(N(C1144)&lt;=0,"Informe a quantidade",IF(IFERROR(INDEX(INVENTÁRIO!$B$2:$B$801,MATCH(K1144,INVENTÁRIO!$A$2:$A$801,0)),"")="(sem nome)","Carta fora dos decks: digite o nome na coluna I (opcional)","")))</f>
        <v/>
      </c>
      <c r="K1144" s="11" t="str">
        <f aca="false">UPPER(TRIM(SUBSTITUTE(B1144&amp;"",CHAR(160)," ")))</f>
        <v/>
      </c>
      <c r="L1144" s="11" t="str">
        <f aca="false">IF(AND(K1144&lt;&gt;"",TRIM(I1144&amp;"")&lt;&gt;""),K1144,"")</f>
        <v/>
      </c>
    </row>
    <row r="1145" customFormat="false" ht="15" hidden="false" customHeight="false" outlineLevel="0" collapsed="false">
      <c r="A1145" s="9"/>
      <c r="B1145" s="4"/>
      <c r="C1145" s="10"/>
      <c r="D1145" s="11" t="str">
        <f aca="false">IF(K1145="","",IFERROR(INDEX(DECKS!$C$2:$C$1201,MATCH(K1145,DECKS!$B$2:$B$1201,0)),TRIM(I1145&amp;"")))</f>
        <v/>
      </c>
      <c r="E1145" s="4"/>
      <c r="F1145" s="12"/>
      <c r="G1145" s="4"/>
      <c r="H1145" s="13" t="str">
        <f aca="false">IF(OR(N(C1145)=0,N(F1145)=0),"",C1145*F1145)</f>
        <v/>
      </c>
      <c r="I1145" s="4"/>
      <c r="J1145" s="11" t="str">
        <f aca="false">IF(K1145="","",IF(N(C1145)&lt;=0,"Informe a quantidade",IF(IFERROR(INDEX(INVENTÁRIO!$B$2:$B$801,MATCH(K1145,INVENTÁRIO!$A$2:$A$801,0)),"")="(sem nome)","Carta fora dos decks: digite o nome na coluna I (opcional)","")))</f>
        <v/>
      </c>
      <c r="K1145" s="11" t="str">
        <f aca="false">UPPER(TRIM(SUBSTITUTE(B1145&amp;"",CHAR(160)," ")))</f>
        <v/>
      </c>
      <c r="L1145" s="11" t="str">
        <f aca="false">IF(AND(K1145&lt;&gt;"",TRIM(I1145&amp;"")&lt;&gt;""),K1145,"")</f>
        <v/>
      </c>
    </row>
    <row r="1146" customFormat="false" ht="15" hidden="false" customHeight="false" outlineLevel="0" collapsed="false">
      <c r="A1146" s="9"/>
      <c r="B1146" s="4"/>
      <c r="C1146" s="10"/>
      <c r="D1146" s="11" t="str">
        <f aca="false">IF(K1146="","",IFERROR(INDEX(DECKS!$C$2:$C$1201,MATCH(K1146,DECKS!$B$2:$B$1201,0)),TRIM(I1146&amp;"")))</f>
        <v/>
      </c>
      <c r="E1146" s="4"/>
      <c r="F1146" s="12"/>
      <c r="G1146" s="4"/>
      <c r="H1146" s="13" t="str">
        <f aca="false">IF(OR(N(C1146)=0,N(F1146)=0),"",C1146*F1146)</f>
        <v/>
      </c>
      <c r="I1146" s="4"/>
      <c r="J1146" s="11" t="str">
        <f aca="false">IF(K1146="","",IF(N(C1146)&lt;=0,"Informe a quantidade",IF(IFERROR(INDEX(INVENTÁRIO!$B$2:$B$801,MATCH(K1146,INVENTÁRIO!$A$2:$A$801,0)),"")="(sem nome)","Carta fora dos decks: digite o nome na coluna I (opcional)","")))</f>
        <v/>
      </c>
      <c r="K1146" s="11" t="str">
        <f aca="false">UPPER(TRIM(SUBSTITUTE(B1146&amp;"",CHAR(160)," ")))</f>
        <v/>
      </c>
      <c r="L1146" s="11" t="str">
        <f aca="false">IF(AND(K1146&lt;&gt;"",TRIM(I1146&amp;"")&lt;&gt;""),K1146,"")</f>
        <v/>
      </c>
    </row>
    <row r="1147" customFormat="false" ht="15" hidden="false" customHeight="false" outlineLevel="0" collapsed="false">
      <c r="A1147" s="9"/>
      <c r="B1147" s="4"/>
      <c r="C1147" s="10"/>
      <c r="D1147" s="11" t="str">
        <f aca="false">IF(K1147="","",IFERROR(INDEX(DECKS!$C$2:$C$1201,MATCH(K1147,DECKS!$B$2:$B$1201,0)),TRIM(I1147&amp;"")))</f>
        <v/>
      </c>
      <c r="E1147" s="4"/>
      <c r="F1147" s="12"/>
      <c r="G1147" s="4"/>
      <c r="H1147" s="13" t="str">
        <f aca="false">IF(OR(N(C1147)=0,N(F1147)=0),"",C1147*F1147)</f>
        <v/>
      </c>
      <c r="I1147" s="4"/>
      <c r="J1147" s="11" t="str">
        <f aca="false">IF(K1147="","",IF(N(C1147)&lt;=0,"Informe a quantidade",IF(IFERROR(INDEX(INVENTÁRIO!$B$2:$B$801,MATCH(K1147,INVENTÁRIO!$A$2:$A$801,0)),"")="(sem nome)","Carta fora dos decks: digite o nome na coluna I (opcional)","")))</f>
        <v/>
      </c>
      <c r="K1147" s="11" t="str">
        <f aca="false">UPPER(TRIM(SUBSTITUTE(B1147&amp;"",CHAR(160)," ")))</f>
        <v/>
      </c>
      <c r="L1147" s="11" t="str">
        <f aca="false">IF(AND(K1147&lt;&gt;"",TRIM(I1147&amp;"")&lt;&gt;""),K1147,"")</f>
        <v/>
      </c>
    </row>
    <row r="1148" customFormat="false" ht="15" hidden="false" customHeight="false" outlineLevel="0" collapsed="false">
      <c r="A1148" s="9"/>
      <c r="B1148" s="4"/>
      <c r="C1148" s="10"/>
      <c r="D1148" s="11" t="str">
        <f aca="false">IF(K1148="","",IFERROR(INDEX(DECKS!$C$2:$C$1201,MATCH(K1148,DECKS!$B$2:$B$1201,0)),TRIM(I1148&amp;"")))</f>
        <v/>
      </c>
      <c r="E1148" s="4"/>
      <c r="F1148" s="12"/>
      <c r="G1148" s="4"/>
      <c r="H1148" s="13" t="str">
        <f aca="false">IF(OR(N(C1148)=0,N(F1148)=0),"",C1148*F1148)</f>
        <v/>
      </c>
      <c r="I1148" s="4"/>
      <c r="J1148" s="11" t="str">
        <f aca="false">IF(K1148="","",IF(N(C1148)&lt;=0,"Informe a quantidade",IF(IFERROR(INDEX(INVENTÁRIO!$B$2:$B$801,MATCH(K1148,INVENTÁRIO!$A$2:$A$801,0)),"")="(sem nome)","Carta fora dos decks: digite o nome na coluna I (opcional)","")))</f>
        <v/>
      </c>
      <c r="K1148" s="11" t="str">
        <f aca="false">UPPER(TRIM(SUBSTITUTE(B1148&amp;"",CHAR(160)," ")))</f>
        <v/>
      </c>
      <c r="L1148" s="11" t="str">
        <f aca="false">IF(AND(K1148&lt;&gt;"",TRIM(I1148&amp;"")&lt;&gt;""),K1148,"")</f>
        <v/>
      </c>
    </row>
    <row r="1149" customFormat="false" ht="15" hidden="false" customHeight="false" outlineLevel="0" collapsed="false">
      <c r="A1149" s="9"/>
      <c r="B1149" s="4"/>
      <c r="C1149" s="10"/>
      <c r="D1149" s="11" t="str">
        <f aca="false">IF(K1149="","",IFERROR(INDEX(DECKS!$C$2:$C$1201,MATCH(K1149,DECKS!$B$2:$B$1201,0)),TRIM(I1149&amp;"")))</f>
        <v/>
      </c>
      <c r="E1149" s="4"/>
      <c r="F1149" s="12"/>
      <c r="G1149" s="4"/>
      <c r="H1149" s="13" t="str">
        <f aca="false">IF(OR(N(C1149)=0,N(F1149)=0),"",C1149*F1149)</f>
        <v/>
      </c>
      <c r="I1149" s="4"/>
      <c r="J1149" s="11" t="str">
        <f aca="false">IF(K1149="","",IF(N(C1149)&lt;=0,"Informe a quantidade",IF(IFERROR(INDEX(INVENTÁRIO!$B$2:$B$801,MATCH(K1149,INVENTÁRIO!$A$2:$A$801,0)),"")="(sem nome)","Carta fora dos decks: digite o nome na coluna I (opcional)","")))</f>
        <v/>
      </c>
      <c r="K1149" s="11" t="str">
        <f aca="false">UPPER(TRIM(SUBSTITUTE(B1149&amp;"",CHAR(160)," ")))</f>
        <v/>
      </c>
      <c r="L1149" s="11" t="str">
        <f aca="false">IF(AND(K1149&lt;&gt;"",TRIM(I1149&amp;"")&lt;&gt;""),K1149,"")</f>
        <v/>
      </c>
    </row>
    <row r="1150" customFormat="false" ht="15" hidden="false" customHeight="false" outlineLevel="0" collapsed="false">
      <c r="A1150" s="9"/>
      <c r="B1150" s="4"/>
      <c r="C1150" s="10"/>
      <c r="D1150" s="11" t="str">
        <f aca="false">IF(K1150="","",IFERROR(INDEX(DECKS!$C$2:$C$1201,MATCH(K1150,DECKS!$B$2:$B$1201,0)),TRIM(I1150&amp;"")))</f>
        <v/>
      </c>
      <c r="E1150" s="4"/>
      <c r="F1150" s="12"/>
      <c r="G1150" s="4"/>
      <c r="H1150" s="13" t="str">
        <f aca="false">IF(OR(N(C1150)=0,N(F1150)=0),"",C1150*F1150)</f>
        <v/>
      </c>
      <c r="I1150" s="4"/>
      <c r="J1150" s="11" t="str">
        <f aca="false">IF(K1150="","",IF(N(C1150)&lt;=0,"Informe a quantidade",IF(IFERROR(INDEX(INVENTÁRIO!$B$2:$B$801,MATCH(K1150,INVENTÁRIO!$A$2:$A$801,0)),"")="(sem nome)","Carta fora dos decks: digite o nome na coluna I (opcional)","")))</f>
        <v/>
      </c>
      <c r="K1150" s="11" t="str">
        <f aca="false">UPPER(TRIM(SUBSTITUTE(B1150&amp;"",CHAR(160)," ")))</f>
        <v/>
      </c>
      <c r="L1150" s="11" t="str">
        <f aca="false">IF(AND(K1150&lt;&gt;"",TRIM(I1150&amp;"")&lt;&gt;""),K1150,"")</f>
        <v/>
      </c>
    </row>
    <row r="1151" customFormat="false" ht="15" hidden="false" customHeight="false" outlineLevel="0" collapsed="false">
      <c r="A1151" s="9"/>
      <c r="B1151" s="4"/>
      <c r="C1151" s="10"/>
      <c r="D1151" s="11" t="str">
        <f aca="false">IF(K1151="","",IFERROR(INDEX(DECKS!$C$2:$C$1201,MATCH(K1151,DECKS!$B$2:$B$1201,0)),TRIM(I1151&amp;"")))</f>
        <v/>
      </c>
      <c r="E1151" s="4"/>
      <c r="F1151" s="12"/>
      <c r="G1151" s="4"/>
      <c r="H1151" s="13" t="str">
        <f aca="false">IF(OR(N(C1151)=0,N(F1151)=0),"",C1151*F1151)</f>
        <v/>
      </c>
      <c r="I1151" s="4"/>
      <c r="J1151" s="11" t="str">
        <f aca="false">IF(K1151="","",IF(N(C1151)&lt;=0,"Informe a quantidade",IF(IFERROR(INDEX(INVENTÁRIO!$B$2:$B$801,MATCH(K1151,INVENTÁRIO!$A$2:$A$801,0)),"")="(sem nome)","Carta fora dos decks: digite o nome na coluna I (opcional)","")))</f>
        <v/>
      </c>
      <c r="K1151" s="11" t="str">
        <f aca="false">UPPER(TRIM(SUBSTITUTE(B1151&amp;"",CHAR(160)," ")))</f>
        <v/>
      </c>
      <c r="L1151" s="11" t="str">
        <f aca="false">IF(AND(K1151&lt;&gt;"",TRIM(I1151&amp;"")&lt;&gt;""),K1151,"")</f>
        <v/>
      </c>
    </row>
    <row r="1152" customFormat="false" ht="15" hidden="false" customHeight="false" outlineLevel="0" collapsed="false">
      <c r="A1152" s="9"/>
      <c r="B1152" s="4"/>
      <c r="C1152" s="10"/>
      <c r="D1152" s="11" t="str">
        <f aca="false">IF(K1152="","",IFERROR(INDEX(DECKS!$C$2:$C$1201,MATCH(K1152,DECKS!$B$2:$B$1201,0)),TRIM(I1152&amp;"")))</f>
        <v/>
      </c>
      <c r="E1152" s="4"/>
      <c r="F1152" s="12"/>
      <c r="G1152" s="4"/>
      <c r="H1152" s="13" t="str">
        <f aca="false">IF(OR(N(C1152)=0,N(F1152)=0),"",C1152*F1152)</f>
        <v/>
      </c>
      <c r="I1152" s="4"/>
      <c r="J1152" s="11" t="str">
        <f aca="false">IF(K1152="","",IF(N(C1152)&lt;=0,"Informe a quantidade",IF(IFERROR(INDEX(INVENTÁRIO!$B$2:$B$801,MATCH(K1152,INVENTÁRIO!$A$2:$A$801,0)),"")="(sem nome)","Carta fora dos decks: digite o nome na coluna I (opcional)","")))</f>
        <v/>
      </c>
      <c r="K1152" s="11" t="str">
        <f aca="false">UPPER(TRIM(SUBSTITUTE(B1152&amp;"",CHAR(160)," ")))</f>
        <v/>
      </c>
      <c r="L1152" s="11" t="str">
        <f aca="false">IF(AND(K1152&lt;&gt;"",TRIM(I1152&amp;"")&lt;&gt;""),K1152,"")</f>
        <v/>
      </c>
    </row>
    <row r="1153" customFormat="false" ht="15" hidden="false" customHeight="false" outlineLevel="0" collapsed="false">
      <c r="A1153" s="9"/>
      <c r="B1153" s="4"/>
      <c r="C1153" s="10"/>
      <c r="D1153" s="11" t="str">
        <f aca="false">IF(K1153="","",IFERROR(INDEX(DECKS!$C$2:$C$1201,MATCH(K1153,DECKS!$B$2:$B$1201,0)),TRIM(I1153&amp;"")))</f>
        <v/>
      </c>
      <c r="E1153" s="4"/>
      <c r="F1153" s="12"/>
      <c r="G1153" s="4"/>
      <c r="H1153" s="13" t="str">
        <f aca="false">IF(OR(N(C1153)=0,N(F1153)=0),"",C1153*F1153)</f>
        <v/>
      </c>
      <c r="I1153" s="4"/>
      <c r="J1153" s="11" t="str">
        <f aca="false">IF(K1153="","",IF(N(C1153)&lt;=0,"Informe a quantidade",IF(IFERROR(INDEX(INVENTÁRIO!$B$2:$B$801,MATCH(K1153,INVENTÁRIO!$A$2:$A$801,0)),"")="(sem nome)","Carta fora dos decks: digite o nome na coluna I (opcional)","")))</f>
        <v/>
      </c>
      <c r="K1153" s="11" t="str">
        <f aca="false">UPPER(TRIM(SUBSTITUTE(B1153&amp;"",CHAR(160)," ")))</f>
        <v/>
      </c>
      <c r="L1153" s="11" t="str">
        <f aca="false">IF(AND(K1153&lt;&gt;"",TRIM(I1153&amp;"")&lt;&gt;""),K1153,"")</f>
        <v/>
      </c>
    </row>
    <row r="1154" customFormat="false" ht="15" hidden="false" customHeight="false" outlineLevel="0" collapsed="false">
      <c r="A1154" s="9"/>
      <c r="B1154" s="4"/>
      <c r="C1154" s="10"/>
      <c r="D1154" s="11" t="str">
        <f aca="false">IF(K1154="","",IFERROR(INDEX(DECKS!$C$2:$C$1201,MATCH(K1154,DECKS!$B$2:$B$1201,0)),TRIM(I1154&amp;"")))</f>
        <v/>
      </c>
      <c r="E1154" s="4"/>
      <c r="F1154" s="12"/>
      <c r="G1154" s="4"/>
      <c r="H1154" s="13" t="str">
        <f aca="false">IF(OR(N(C1154)=0,N(F1154)=0),"",C1154*F1154)</f>
        <v/>
      </c>
      <c r="I1154" s="4"/>
      <c r="J1154" s="11" t="str">
        <f aca="false">IF(K1154="","",IF(N(C1154)&lt;=0,"Informe a quantidade",IF(IFERROR(INDEX(INVENTÁRIO!$B$2:$B$801,MATCH(K1154,INVENTÁRIO!$A$2:$A$801,0)),"")="(sem nome)","Carta fora dos decks: digite o nome na coluna I (opcional)","")))</f>
        <v/>
      </c>
      <c r="K1154" s="11" t="str">
        <f aca="false">UPPER(TRIM(SUBSTITUTE(B1154&amp;"",CHAR(160)," ")))</f>
        <v/>
      </c>
      <c r="L1154" s="11" t="str">
        <f aca="false">IF(AND(K1154&lt;&gt;"",TRIM(I1154&amp;"")&lt;&gt;""),K1154,"")</f>
        <v/>
      </c>
    </row>
    <row r="1155" customFormat="false" ht="15" hidden="false" customHeight="false" outlineLevel="0" collapsed="false">
      <c r="A1155" s="9"/>
      <c r="B1155" s="4"/>
      <c r="C1155" s="10"/>
      <c r="D1155" s="11" t="str">
        <f aca="false">IF(K1155="","",IFERROR(INDEX(DECKS!$C$2:$C$1201,MATCH(K1155,DECKS!$B$2:$B$1201,0)),TRIM(I1155&amp;"")))</f>
        <v/>
      </c>
      <c r="E1155" s="4"/>
      <c r="F1155" s="12"/>
      <c r="G1155" s="4"/>
      <c r="H1155" s="13" t="str">
        <f aca="false">IF(OR(N(C1155)=0,N(F1155)=0),"",C1155*F1155)</f>
        <v/>
      </c>
      <c r="I1155" s="4"/>
      <c r="J1155" s="11" t="str">
        <f aca="false">IF(K1155="","",IF(N(C1155)&lt;=0,"Informe a quantidade",IF(IFERROR(INDEX(INVENTÁRIO!$B$2:$B$801,MATCH(K1155,INVENTÁRIO!$A$2:$A$801,0)),"")="(sem nome)","Carta fora dos decks: digite o nome na coluna I (opcional)","")))</f>
        <v/>
      </c>
      <c r="K1155" s="11" t="str">
        <f aca="false">UPPER(TRIM(SUBSTITUTE(B1155&amp;"",CHAR(160)," ")))</f>
        <v/>
      </c>
      <c r="L1155" s="11" t="str">
        <f aca="false">IF(AND(K1155&lt;&gt;"",TRIM(I1155&amp;"")&lt;&gt;""),K1155,"")</f>
        <v/>
      </c>
    </row>
    <row r="1156" customFormat="false" ht="15" hidden="false" customHeight="false" outlineLevel="0" collapsed="false">
      <c r="A1156" s="9"/>
      <c r="B1156" s="4"/>
      <c r="C1156" s="10"/>
      <c r="D1156" s="11" t="str">
        <f aca="false">IF(K1156="","",IFERROR(INDEX(DECKS!$C$2:$C$1201,MATCH(K1156,DECKS!$B$2:$B$1201,0)),TRIM(I1156&amp;"")))</f>
        <v/>
      </c>
      <c r="E1156" s="4"/>
      <c r="F1156" s="12"/>
      <c r="G1156" s="4"/>
      <c r="H1156" s="13" t="str">
        <f aca="false">IF(OR(N(C1156)=0,N(F1156)=0),"",C1156*F1156)</f>
        <v/>
      </c>
      <c r="I1156" s="4"/>
      <c r="J1156" s="11" t="str">
        <f aca="false">IF(K1156="","",IF(N(C1156)&lt;=0,"Informe a quantidade",IF(IFERROR(INDEX(INVENTÁRIO!$B$2:$B$801,MATCH(K1156,INVENTÁRIO!$A$2:$A$801,0)),"")="(sem nome)","Carta fora dos decks: digite o nome na coluna I (opcional)","")))</f>
        <v/>
      </c>
      <c r="K1156" s="11" t="str">
        <f aca="false">UPPER(TRIM(SUBSTITUTE(B1156&amp;"",CHAR(160)," ")))</f>
        <v/>
      </c>
      <c r="L1156" s="11" t="str">
        <f aca="false">IF(AND(K1156&lt;&gt;"",TRIM(I1156&amp;"")&lt;&gt;""),K1156,"")</f>
        <v/>
      </c>
    </row>
    <row r="1157" customFormat="false" ht="15" hidden="false" customHeight="false" outlineLevel="0" collapsed="false">
      <c r="A1157" s="9"/>
      <c r="B1157" s="4"/>
      <c r="C1157" s="10"/>
      <c r="D1157" s="11" t="str">
        <f aca="false">IF(K1157="","",IFERROR(INDEX(DECKS!$C$2:$C$1201,MATCH(K1157,DECKS!$B$2:$B$1201,0)),TRIM(I1157&amp;"")))</f>
        <v/>
      </c>
      <c r="E1157" s="4"/>
      <c r="F1157" s="12"/>
      <c r="G1157" s="4"/>
      <c r="H1157" s="13" t="str">
        <f aca="false">IF(OR(N(C1157)=0,N(F1157)=0),"",C1157*F1157)</f>
        <v/>
      </c>
      <c r="I1157" s="4"/>
      <c r="J1157" s="11" t="str">
        <f aca="false">IF(K1157="","",IF(N(C1157)&lt;=0,"Informe a quantidade",IF(IFERROR(INDEX(INVENTÁRIO!$B$2:$B$801,MATCH(K1157,INVENTÁRIO!$A$2:$A$801,0)),"")="(sem nome)","Carta fora dos decks: digite o nome na coluna I (opcional)","")))</f>
        <v/>
      </c>
      <c r="K1157" s="11" t="str">
        <f aca="false">UPPER(TRIM(SUBSTITUTE(B1157&amp;"",CHAR(160)," ")))</f>
        <v/>
      </c>
      <c r="L1157" s="11" t="str">
        <f aca="false">IF(AND(K1157&lt;&gt;"",TRIM(I1157&amp;"")&lt;&gt;""),K1157,"")</f>
        <v/>
      </c>
    </row>
    <row r="1158" customFormat="false" ht="15" hidden="false" customHeight="false" outlineLevel="0" collapsed="false">
      <c r="A1158" s="9"/>
      <c r="B1158" s="4"/>
      <c r="C1158" s="10"/>
      <c r="D1158" s="11" t="str">
        <f aca="false">IF(K1158="","",IFERROR(INDEX(DECKS!$C$2:$C$1201,MATCH(K1158,DECKS!$B$2:$B$1201,0)),TRIM(I1158&amp;"")))</f>
        <v/>
      </c>
      <c r="E1158" s="4"/>
      <c r="F1158" s="12"/>
      <c r="G1158" s="4"/>
      <c r="H1158" s="13" t="str">
        <f aca="false">IF(OR(N(C1158)=0,N(F1158)=0),"",C1158*F1158)</f>
        <v/>
      </c>
      <c r="I1158" s="4"/>
      <c r="J1158" s="11" t="str">
        <f aca="false">IF(K1158="","",IF(N(C1158)&lt;=0,"Informe a quantidade",IF(IFERROR(INDEX(INVENTÁRIO!$B$2:$B$801,MATCH(K1158,INVENTÁRIO!$A$2:$A$801,0)),"")="(sem nome)","Carta fora dos decks: digite o nome na coluna I (opcional)","")))</f>
        <v/>
      </c>
      <c r="K1158" s="11" t="str">
        <f aca="false">UPPER(TRIM(SUBSTITUTE(B1158&amp;"",CHAR(160)," ")))</f>
        <v/>
      </c>
      <c r="L1158" s="11" t="str">
        <f aca="false">IF(AND(K1158&lt;&gt;"",TRIM(I1158&amp;"")&lt;&gt;""),K1158,"")</f>
        <v/>
      </c>
    </row>
    <row r="1159" customFormat="false" ht="15" hidden="false" customHeight="false" outlineLevel="0" collapsed="false">
      <c r="A1159" s="9"/>
      <c r="B1159" s="4"/>
      <c r="C1159" s="10"/>
      <c r="D1159" s="11" t="str">
        <f aca="false">IF(K1159="","",IFERROR(INDEX(DECKS!$C$2:$C$1201,MATCH(K1159,DECKS!$B$2:$B$1201,0)),TRIM(I1159&amp;"")))</f>
        <v/>
      </c>
      <c r="E1159" s="4"/>
      <c r="F1159" s="12"/>
      <c r="G1159" s="4"/>
      <c r="H1159" s="13" t="str">
        <f aca="false">IF(OR(N(C1159)=0,N(F1159)=0),"",C1159*F1159)</f>
        <v/>
      </c>
      <c r="I1159" s="4"/>
      <c r="J1159" s="11" t="str">
        <f aca="false">IF(K1159="","",IF(N(C1159)&lt;=0,"Informe a quantidade",IF(IFERROR(INDEX(INVENTÁRIO!$B$2:$B$801,MATCH(K1159,INVENTÁRIO!$A$2:$A$801,0)),"")="(sem nome)","Carta fora dos decks: digite o nome na coluna I (opcional)","")))</f>
        <v/>
      </c>
      <c r="K1159" s="11" t="str">
        <f aca="false">UPPER(TRIM(SUBSTITUTE(B1159&amp;"",CHAR(160)," ")))</f>
        <v/>
      </c>
      <c r="L1159" s="11" t="str">
        <f aca="false">IF(AND(K1159&lt;&gt;"",TRIM(I1159&amp;"")&lt;&gt;""),K1159,"")</f>
        <v/>
      </c>
    </row>
    <row r="1160" customFormat="false" ht="15" hidden="false" customHeight="false" outlineLevel="0" collapsed="false">
      <c r="A1160" s="9"/>
      <c r="B1160" s="4"/>
      <c r="C1160" s="10"/>
      <c r="D1160" s="11" t="str">
        <f aca="false">IF(K1160="","",IFERROR(INDEX(DECKS!$C$2:$C$1201,MATCH(K1160,DECKS!$B$2:$B$1201,0)),TRIM(I1160&amp;"")))</f>
        <v/>
      </c>
      <c r="E1160" s="4"/>
      <c r="F1160" s="12"/>
      <c r="G1160" s="4"/>
      <c r="H1160" s="13" t="str">
        <f aca="false">IF(OR(N(C1160)=0,N(F1160)=0),"",C1160*F1160)</f>
        <v/>
      </c>
      <c r="I1160" s="4"/>
      <c r="J1160" s="11" t="str">
        <f aca="false">IF(K1160="","",IF(N(C1160)&lt;=0,"Informe a quantidade",IF(IFERROR(INDEX(INVENTÁRIO!$B$2:$B$801,MATCH(K1160,INVENTÁRIO!$A$2:$A$801,0)),"")="(sem nome)","Carta fora dos decks: digite o nome na coluna I (opcional)","")))</f>
        <v/>
      </c>
      <c r="K1160" s="11" t="str">
        <f aca="false">UPPER(TRIM(SUBSTITUTE(B1160&amp;"",CHAR(160)," ")))</f>
        <v/>
      </c>
      <c r="L1160" s="11" t="str">
        <f aca="false">IF(AND(K1160&lt;&gt;"",TRIM(I1160&amp;"")&lt;&gt;""),K1160,"")</f>
        <v/>
      </c>
    </row>
    <row r="1161" customFormat="false" ht="15" hidden="false" customHeight="false" outlineLevel="0" collapsed="false">
      <c r="A1161" s="9"/>
      <c r="B1161" s="4"/>
      <c r="C1161" s="10"/>
      <c r="D1161" s="11" t="str">
        <f aca="false">IF(K1161="","",IFERROR(INDEX(DECKS!$C$2:$C$1201,MATCH(K1161,DECKS!$B$2:$B$1201,0)),TRIM(I1161&amp;"")))</f>
        <v/>
      </c>
      <c r="E1161" s="4"/>
      <c r="F1161" s="12"/>
      <c r="G1161" s="4"/>
      <c r="H1161" s="13" t="str">
        <f aca="false">IF(OR(N(C1161)=0,N(F1161)=0),"",C1161*F1161)</f>
        <v/>
      </c>
      <c r="I1161" s="4"/>
      <c r="J1161" s="11" t="str">
        <f aca="false">IF(K1161="","",IF(N(C1161)&lt;=0,"Informe a quantidade",IF(IFERROR(INDEX(INVENTÁRIO!$B$2:$B$801,MATCH(K1161,INVENTÁRIO!$A$2:$A$801,0)),"")="(sem nome)","Carta fora dos decks: digite o nome na coluna I (opcional)","")))</f>
        <v/>
      </c>
      <c r="K1161" s="11" t="str">
        <f aca="false">UPPER(TRIM(SUBSTITUTE(B1161&amp;"",CHAR(160)," ")))</f>
        <v/>
      </c>
      <c r="L1161" s="11" t="str">
        <f aca="false">IF(AND(K1161&lt;&gt;"",TRIM(I1161&amp;"")&lt;&gt;""),K1161,"")</f>
        <v/>
      </c>
    </row>
    <row r="1162" customFormat="false" ht="15" hidden="false" customHeight="false" outlineLevel="0" collapsed="false">
      <c r="A1162" s="9"/>
      <c r="B1162" s="4"/>
      <c r="C1162" s="10"/>
      <c r="D1162" s="11" t="str">
        <f aca="false">IF(K1162="","",IFERROR(INDEX(DECKS!$C$2:$C$1201,MATCH(K1162,DECKS!$B$2:$B$1201,0)),TRIM(I1162&amp;"")))</f>
        <v/>
      </c>
      <c r="E1162" s="4"/>
      <c r="F1162" s="12"/>
      <c r="G1162" s="4"/>
      <c r="H1162" s="13" t="str">
        <f aca="false">IF(OR(N(C1162)=0,N(F1162)=0),"",C1162*F1162)</f>
        <v/>
      </c>
      <c r="I1162" s="4"/>
      <c r="J1162" s="11" t="str">
        <f aca="false">IF(K1162="","",IF(N(C1162)&lt;=0,"Informe a quantidade",IF(IFERROR(INDEX(INVENTÁRIO!$B$2:$B$801,MATCH(K1162,INVENTÁRIO!$A$2:$A$801,0)),"")="(sem nome)","Carta fora dos decks: digite o nome na coluna I (opcional)","")))</f>
        <v/>
      </c>
      <c r="K1162" s="11" t="str">
        <f aca="false">UPPER(TRIM(SUBSTITUTE(B1162&amp;"",CHAR(160)," ")))</f>
        <v/>
      </c>
      <c r="L1162" s="11" t="str">
        <f aca="false">IF(AND(K1162&lt;&gt;"",TRIM(I1162&amp;"")&lt;&gt;""),K1162,"")</f>
        <v/>
      </c>
    </row>
    <row r="1163" customFormat="false" ht="15" hidden="false" customHeight="false" outlineLevel="0" collapsed="false">
      <c r="A1163" s="9"/>
      <c r="B1163" s="4"/>
      <c r="C1163" s="10"/>
      <c r="D1163" s="11" t="str">
        <f aca="false">IF(K1163="","",IFERROR(INDEX(DECKS!$C$2:$C$1201,MATCH(K1163,DECKS!$B$2:$B$1201,0)),TRIM(I1163&amp;"")))</f>
        <v/>
      </c>
      <c r="E1163" s="4"/>
      <c r="F1163" s="12"/>
      <c r="G1163" s="4"/>
      <c r="H1163" s="13" t="str">
        <f aca="false">IF(OR(N(C1163)=0,N(F1163)=0),"",C1163*F1163)</f>
        <v/>
      </c>
      <c r="I1163" s="4"/>
      <c r="J1163" s="11" t="str">
        <f aca="false">IF(K1163="","",IF(N(C1163)&lt;=0,"Informe a quantidade",IF(IFERROR(INDEX(INVENTÁRIO!$B$2:$B$801,MATCH(K1163,INVENTÁRIO!$A$2:$A$801,0)),"")="(sem nome)","Carta fora dos decks: digite o nome na coluna I (opcional)","")))</f>
        <v/>
      </c>
      <c r="K1163" s="11" t="str">
        <f aca="false">UPPER(TRIM(SUBSTITUTE(B1163&amp;"",CHAR(160)," ")))</f>
        <v/>
      </c>
      <c r="L1163" s="11" t="str">
        <f aca="false">IF(AND(K1163&lt;&gt;"",TRIM(I1163&amp;"")&lt;&gt;""),K1163,"")</f>
        <v/>
      </c>
    </row>
    <row r="1164" customFormat="false" ht="15" hidden="false" customHeight="false" outlineLevel="0" collapsed="false">
      <c r="A1164" s="9"/>
      <c r="B1164" s="4"/>
      <c r="C1164" s="10"/>
      <c r="D1164" s="11" t="str">
        <f aca="false">IF(K1164="","",IFERROR(INDEX(DECKS!$C$2:$C$1201,MATCH(K1164,DECKS!$B$2:$B$1201,0)),TRIM(I1164&amp;"")))</f>
        <v/>
      </c>
      <c r="E1164" s="4"/>
      <c r="F1164" s="12"/>
      <c r="G1164" s="4"/>
      <c r="H1164" s="13" t="str">
        <f aca="false">IF(OR(N(C1164)=0,N(F1164)=0),"",C1164*F1164)</f>
        <v/>
      </c>
      <c r="I1164" s="4"/>
      <c r="J1164" s="11" t="str">
        <f aca="false">IF(K1164="","",IF(N(C1164)&lt;=0,"Informe a quantidade",IF(IFERROR(INDEX(INVENTÁRIO!$B$2:$B$801,MATCH(K1164,INVENTÁRIO!$A$2:$A$801,0)),"")="(sem nome)","Carta fora dos decks: digite o nome na coluna I (opcional)","")))</f>
        <v/>
      </c>
      <c r="K1164" s="11" t="str">
        <f aca="false">UPPER(TRIM(SUBSTITUTE(B1164&amp;"",CHAR(160)," ")))</f>
        <v/>
      </c>
      <c r="L1164" s="11" t="str">
        <f aca="false">IF(AND(K1164&lt;&gt;"",TRIM(I1164&amp;"")&lt;&gt;""),K1164,"")</f>
        <v/>
      </c>
    </row>
    <row r="1165" customFormat="false" ht="15" hidden="false" customHeight="false" outlineLevel="0" collapsed="false">
      <c r="A1165" s="9"/>
      <c r="B1165" s="4"/>
      <c r="C1165" s="10"/>
      <c r="D1165" s="11" t="str">
        <f aca="false">IF(K1165="","",IFERROR(INDEX(DECKS!$C$2:$C$1201,MATCH(K1165,DECKS!$B$2:$B$1201,0)),TRIM(I1165&amp;"")))</f>
        <v/>
      </c>
      <c r="E1165" s="4"/>
      <c r="F1165" s="12"/>
      <c r="G1165" s="4"/>
      <c r="H1165" s="13" t="str">
        <f aca="false">IF(OR(N(C1165)=0,N(F1165)=0),"",C1165*F1165)</f>
        <v/>
      </c>
      <c r="I1165" s="4"/>
      <c r="J1165" s="11" t="str">
        <f aca="false">IF(K1165="","",IF(N(C1165)&lt;=0,"Informe a quantidade",IF(IFERROR(INDEX(INVENTÁRIO!$B$2:$B$801,MATCH(K1165,INVENTÁRIO!$A$2:$A$801,0)),"")="(sem nome)","Carta fora dos decks: digite o nome na coluna I (opcional)","")))</f>
        <v/>
      </c>
      <c r="K1165" s="11" t="str">
        <f aca="false">UPPER(TRIM(SUBSTITUTE(B1165&amp;"",CHAR(160)," ")))</f>
        <v/>
      </c>
      <c r="L1165" s="11" t="str">
        <f aca="false">IF(AND(K1165&lt;&gt;"",TRIM(I1165&amp;"")&lt;&gt;""),K1165,"")</f>
        <v/>
      </c>
    </row>
    <row r="1166" customFormat="false" ht="15" hidden="false" customHeight="false" outlineLevel="0" collapsed="false">
      <c r="A1166" s="9"/>
      <c r="B1166" s="4"/>
      <c r="C1166" s="10"/>
      <c r="D1166" s="11" t="str">
        <f aca="false">IF(K1166="","",IFERROR(INDEX(DECKS!$C$2:$C$1201,MATCH(K1166,DECKS!$B$2:$B$1201,0)),TRIM(I1166&amp;"")))</f>
        <v/>
      </c>
      <c r="E1166" s="4"/>
      <c r="F1166" s="12"/>
      <c r="G1166" s="4"/>
      <c r="H1166" s="13" t="str">
        <f aca="false">IF(OR(N(C1166)=0,N(F1166)=0),"",C1166*F1166)</f>
        <v/>
      </c>
      <c r="I1166" s="4"/>
      <c r="J1166" s="11" t="str">
        <f aca="false">IF(K1166="","",IF(N(C1166)&lt;=0,"Informe a quantidade",IF(IFERROR(INDEX(INVENTÁRIO!$B$2:$B$801,MATCH(K1166,INVENTÁRIO!$A$2:$A$801,0)),"")="(sem nome)","Carta fora dos decks: digite o nome na coluna I (opcional)","")))</f>
        <v/>
      </c>
      <c r="K1166" s="11" t="str">
        <f aca="false">UPPER(TRIM(SUBSTITUTE(B1166&amp;"",CHAR(160)," ")))</f>
        <v/>
      </c>
      <c r="L1166" s="11" t="str">
        <f aca="false">IF(AND(K1166&lt;&gt;"",TRIM(I1166&amp;"")&lt;&gt;""),K1166,"")</f>
        <v/>
      </c>
    </row>
    <row r="1167" customFormat="false" ht="15" hidden="false" customHeight="false" outlineLevel="0" collapsed="false">
      <c r="A1167" s="9"/>
      <c r="B1167" s="4"/>
      <c r="C1167" s="10"/>
      <c r="D1167" s="11" t="str">
        <f aca="false">IF(K1167="","",IFERROR(INDEX(DECKS!$C$2:$C$1201,MATCH(K1167,DECKS!$B$2:$B$1201,0)),TRIM(I1167&amp;"")))</f>
        <v/>
      </c>
      <c r="E1167" s="4"/>
      <c r="F1167" s="12"/>
      <c r="G1167" s="4"/>
      <c r="H1167" s="13" t="str">
        <f aca="false">IF(OR(N(C1167)=0,N(F1167)=0),"",C1167*F1167)</f>
        <v/>
      </c>
      <c r="I1167" s="4"/>
      <c r="J1167" s="11" t="str">
        <f aca="false">IF(K1167="","",IF(N(C1167)&lt;=0,"Informe a quantidade",IF(IFERROR(INDEX(INVENTÁRIO!$B$2:$B$801,MATCH(K1167,INVENTÁRIO!$A$2:$A$801,0)),"")="(sem nome)","Carta fora dos decks: digite o nome na coluna I (opcional)","")))</f>
        <v/>
      </c>
      <c r="K1167" s="11" t="str">
        <f aca="false">UPPER(TRIM(SUBSTITUTE(B1167&amp;"",CHAR(160)," ")))</f>
        <v/>
      </c>
      <c r="L1167" s="11" t="str">
        <f aca="false">IF(AND(K1167&lt;&gt;"",TRIM(I1167&amp;"")&lt;&gt;""),K1167,"")</f>
        <v/>
      </c>
    </row>
    <row r="1168" customFormat="false" ht="15" hidden="false" customHeight="false" outlineLevel="0" collapsed="false">
      <c r="A1168" s="9"/>
      <c r="B1168" s="4"/>
      <c r="C1168" s="10"/>
      <c r="D1168" s="11" t="str">
        <f aca="false">IF(K1168="","",IFERROR(INDEX(DECKS!$C$2:$C$1201,MATCH(K1168,DECKS!$B$2:$B$1201,0)),TRIM(I1168&amp;"")))</f>
        <v/>
      </c>
      <c r="E1168" s="4"/>
      <c r="F1168" s="12"/>
      <c r="G1168" s="4"/>
      <c r="H1168" s="13" t="str">
        <f aca="false">IF(OR(N(C1168)=0,N(F1168)=0),"",C1168*F1168)</f>
        <v/>
      </c>
      <c r="I1168" s="4"/>
      <c r="J1168" s="11" t="str">
        <f aca="false">IF(K1168="","",IF(N(C1168)&lt;=0,"Informe a quantidade",IF(IFERROR(INDEX(INVENTÁRIO!$B$2:$B$801,MATCH(K1168,INVENTÁRIO!$A$2:$A$801,0)),"")="(sem nome)","Carta fora dos decks: digite o nome na coluna I (opcional)","")))</f>
        <v/>
      </c>
      <c r="K1168" s="11" t="str">
        <f aca="false">UPPER(TRIM(SUBSTITUTE(B1168&amp;"",CHAR(160)," ")))</f>
        <v/>
      </c>
      <c r="L1168" s="11" t="str">
        <f aca="false">IF(AND(K1168&lt;&gt;"",TRIM(I1168&amp;"")&lt;&gt;""),K1168,"")</f>
        <v/>
      </c>
    </row>
    <row r="1169" customFormat="false" ht="15" hidden="false" customHeight="false" outlineLevel="0" collapsed="false">
      <c r="A1169" s="9"/>
      <c r="B1169" s="4"/>
      <c r="C1169" s="10"/>
      <c r="D1169" s="11" t="str">
        <f aca="false">IF(K1169="","",IFERROR(INDEX(DECKS!$C$2:$C$1201,MATCH(K1169,DECKS!$B$2:$B$1201,0)),TRIM(I1169&amp;"")))</f>
        <v/>
      </c>
      <c r="E1169" s="4"/>
      <c r="F1169" s="12"/>
      <c r="G1169" s="4"/>
      <c r="H1169" s="13" t="str">
        <f aca="false">IF(OR(N(C1169)=0,N(F1169)=0),"",C1169*F1169)</f>
        <v/>
      </c>
      <c r="I1169" s="4"/>
      <c r="J1169" s="11" t="str">
        <f aca="false">IF(K1169="","",IF(N(C1169)&lt;=0,"Informe a quantidade",IF(IFERROR(INDEX(INVENTÁRIO!$B$2:$B$801,MATCH(K1169,INVENTÁRIO!$A$2:$A$801,0)),"")="(sem nome)","Carta fora dos decks: digite o nome na coluna I (opcional)","")))</f>
        <v/>
      </c>
      <c r="K1169" s="11" t="str">
        <f aca="false">UPPER(TRIM(SUBSTITUTE(B1169&amp;"",CHAR(160)," ")))</f>
        <v/>
      </c>
      <c r="L1169" s="11" t="str">
        <f aca="false">IF(AND(K1169&lt;&gt;"",TRIM(I1169&amp;"")&lt;&gt;""),K1169,"")</f>
        <v/>
      </c>
    </row>
    <row r="1170" customFormat="false" ht="15" hidden="false" customHeight="false" outlineLevel="0" collapsed="false">
      <c r="A1170" s="9"/>
      <c r="B1170" s="4"/>
      <c r="C1170" s="10"/>
      <c r="D1170" s="11" t="str">
        <f aca="false">IF(K1170="","",IFERROR(INDEX(DECKS!$C$2:$C$1201,MATCH(K1170,DECKS!$B$2:$B$1201,0)),TRIM(I1170&amp;"")))</f>
        <v/>
      </c>
      <c r="E1170" s="4"/>
      <c r="F1170" s="12"/>
      <c r="G1170" s="4"/>
      <c r="H1170" s="13" t="str">
        <f aca="false">IF(OR(N(C1170)=0,N(F1170)=0),"",C1170*F1170)</f>
        <v/>
      </c>
      <c r="I1170" s="4"/>
      <c r="J1170" s="11" t="str">
        <f aca="false">IF(K1170="","",IF(N(C1170)&lt;=0,"Informe a quantidade",IF(IFERROR(INDEX(INVENTÁRIO!$B$2:$B$801,MATCH(K1170,INVENTÁRIO!$A$2:$A$801,0)),"")="(sem nome)","Carta fora dos decks: digite o nome na coluna I (opcional)","")))</f>
        <v/>
      </c>
      <c r="K1170" s="11" t="str">
        <f aca="false">UPPER(TRIM(SUBSTITUTE(B1170&amp;"",CHAR(160)," ")))</f>
        <v/>
      </c>
      <c r="L1170" s="11" t="str">
        <f aca="false">IF(AND(K1170&lt;&gt;"",TRIM(I1170&amp;"")&lt;&gt;""),K1170,"")</f>
        <v/>
      </c>
    </row>
    <row r="1171" customFormat="false" ht="15" hidden="false" customHeight="false" outlineLevel="0" collapsed="false">
      <c r="A1171" s="9"/>
      <c r="B1171" s="4"/>
      <c r="C1171" s="10"/>
      <c r="D1171" s="11" t="str">
        <f aca="false">IF(K1171="","",IFERROR(INDEX(DECKS!$C$2:$C$1201,MATCH(K1171,DECKS!$B$2:$B$1201,0)),TRIM(I1171&amp;"")))</f>
        <v/>
      </c>
      <c r="E1171" s="4"/>
      <c r="F1171" s="12"/>
      <c r="G1171" s="4"/>
      <c r="H1171" s="13" t="str">
        <f aca="false">IF(OR(N(C1171)=0,N(F1171)=0),"",C1171*F1171)</f>
        <v/>
      </c>
      <c r="I1171" s="4"/>
      <c r="J1171" s="11" t="str">
        <f aca="false">IF(K1171="","",IF(N(C1171)&lt;=0,"Informe a quantidade",IF(IFERROR(INDEX(INVENTÁRIO!$B$2:$B$801,MATCH(K1171,INVENTÁRIO!$A$2:$A$801,0)),"")="(sem nome)","Carta fora dos decks: digite o nome na coluna I (opcional)","")))</f>
        <v/>
      </c>
      <c r="K1171" s="11" t="str">
        <f aca="false">UPPER(TRIM(SUBSTITUTE(B1171&amp;"",CHAR(160)," ")))</f>
        <v/>
      </c>
      <c r="L1171" s="11" t="str">
        <f aca="false">IF(AND(K1171&lt;&gt;"",TRIM(I1171&amp;"")&lt;&gt;""),K1171,"")</f>
        <v/>
      </c>
    </row>
    <row r="1172" customFormat="false" ht="15" hidden="false" customHeight="false" outlineLevel="0" collapsed="false">
      <c r="A1172" s="9"/>
      <c r="B1172" s="4"/>
      <c r="C1172" s="10"/>
      <c r="D1172" s="11" t="str">
        <f aca="false">IF(K1172="","",IFERROR(INDEX(DECKS!$C$2:$C$1201,MATCH(K1172,DECKS!$B$2:$B$1201,0)),TRIM(I1172&amp;"")))</f>
        <v/>
      </c>
      <c r="E1172" s="4"/>
      <c r="F1172" s="12"/>
      <c r="G1172" s="4"/>
      <c r="H1172" s="13" t="str">
        <f aca="false">IF(OR(N(C1172)=0,N(F1172)=0),"",C1172*F1172)</f>
        <v/>
      </c>
      <c r="I1172" s="4"/>
      <c r="J1172" s="11" t="str">
        <f aca="false">IF(K1172="","",IF(N(C1172)&lt;=0,"Informe a quantidade",IF(IFERROR(INDEX(INVENTÁRIO!$B$2:$B$801,MATCH(K1172,INVENTÁRIO!$A$2:$A$801,0)),"")="(sem nome)","Carta fora dos decks: digite o nome na coluna I (opcional)","")))</f>
        <v/>
      </c>
      <c r="K1172" s="11" t="str">
        <f aca="false">UPPER(TRIM(SUBSTITUTE(B1172&amp;"",CHAR(160)," ")))</f>
        <v/>
      </c>
      <c r="L1172" s="11" t="str">
        <f aca="false">IF(AND(K1172&lt;&gt;"",TRIM(I1172&amp;"")&lt;&gt;""),K1172,"")</f>
        <v/>
      </c>
    </row>
    <row r="1173" customFormat="false" ht="15" hidden="false" customHeight="false" outlineLevel="0" collapsed="false">
      <c r="A1173" s="9"/>
      <c r="B1173" s="4"/>
      <c r="C1173" s="10"/>
      <c r="D1173" s="11" t="str">
        <f aca="false">IF(K1173="","",IFERROR(INDEX(DECKS!$C$2:$C$1201,MATCH(K1173,DECKS!$B$2:$B$1201,0)),TRIM(I1173&amp;"")))</f>
        <v/>
      </c>
      <c r="E1173" s="4"/>
      <c r="F1173" s="12"/>
      <c r="G1173" s="4"/>
      <c r="H1173" s="13" t="str">
        <f aca="false">IF(OR(N(C1173)=0,N(F1173)=0),"",C1173*F1173)</f>
        <v/>
      </c>
      <c r="I1173" s="4"/>
      <c r="J1173" s="11" t="str">
        <f aca="false">IF(K1173="","",IF(N(C1173)&lt;=0,"Informe a quantidade",IF(IFERROR(INDEX(INVENTÁRIO!$B$2:$B$801,MATCH(K1173,INVENTÁRIO!$A$2:$A$801,0)),"")="(sem nome)","Carta fora dos decks: digite o nome na coluna I (opcional)","")))</f>
        <v/>
      </c>
      <c r="K1173" s="11" t="str">
        <f aca="false">UPPER(TRIM(SUBSTITUTE(B1173&amp;"",CHAR(160)," ")))</f>
        <v/>
      </c>
      <c r="L1173" s="11" t="str">
        <f aca="false">IF(AND(K1173&lt;&gt;"",TRIM(I1173&amp;"")&lt;&gt;""),K1173,"")</f>
        <v/>
      </c>
    </row>
    <row r="1174" customFormat="false" ht="15" hidden="false" customHeight="false" outlineLevel="0" collapsed="false">
      <c r="A1174" s="9"/>
      <c r="B1174" s="4"/>
      <c r="C1174" s="10"/>
      <c r="D1174" s="11" t="str">
        <f aca="false">IF(K1174="","",IFERROR(INDEX(DECKS!$C$2:$C$1201,MATCH(K1174,DECKS!$B$2:$B$1201,0)),TRIM(I1174&amp;"")))</f>
        <v/>
      </c>
      <c r="E1174" s="4"/>
      <c r="F1174" s="12"/>
      <c r="G1174" s="4"/>
      <c r="H1174" s="13" t="str">
        <f aca="false">IF(OR(N(C1174)=0,N(F1174)=0),"",C1174*F1174)</f>
        <v/>
      </c>
      <c r="I1174" s="4"/>
      <c r="J1174" s="11" t="str">
        <f aca="false">IF(K1174="","",IF(N(C1174)&lt;=0,"Informe a quantidade",IF(IFERROR(INDEX(INVENTÁRIO!$B$2:$B$801,MATCH(K1174,INVENTÁRIO!$A$2:$A$801,0)),"")="(sem nome)","Carta fora dos decks: digite o nome na coluna I (opcional)","")))</f>
        <v/>
      </c>
      <c r="K1174" s="11" t="str">
        <f aca="false">UPPER(TRIM(SUBSTITUTE(B1174&amp;"",CHAR(160)," ")))</f>
        <v/>
      </c>
      <c r="L1174" s="11" t="str">
        <f aca="false">IF(AND(K1174&lt;&gt;"",TRIM(I1174&amp;"")&lt;&gt;""),K1174,"")</f>
        <v/>
      </c>
    </row>
    <row r="1175" customFormat="false" ht="15" hidden="false" customHeight="false" outlineLevel="0" collapsed="false">
      <c r="A1175" s="9"/>
      <c r="B1175" s="4"/>
      <c r="C1175" s="10"/>
      <c r="D1175" s="11" t="str">
        <f aca="false">IF(K1175="","",IFERROR(INDEX(DECKS!$C$2:$C$1201,MATCH(K1175,DECKS!$B$2:$B$1201,0)),TRIM(I1175&amp;"")))</f>
        <v/>
      </c>
      <c r="E1175" s="4"/>
      <c r="F1175" s="12"/>
      <c r="G1175" s="4"/>
      <c r="H1175" s="13" t="str">
        <f aca="false">IF(OR(N(C1175)=0,N(F1175)=0),"",C1175*F1175)</f>
        <v/>
      </c>
      <c r="I1175" s="4"/>
      <c r="J1175" s="11" t="str">
        <f aca="false">IF(K1175="","",IF(N(C1175)&lt;=0,"Informe a quantidade",IF(IFERROR(INDEX(INVENTÁRIO!$B$2:$B$801,MATCH(K1175,INVENTÁRIO!$A$2:$A$801,0)),"")="(sem nome)","Carta fora dos decks: digite o nome na coluna I (opcional)","")))</f>
        <v/>
      </c>
      <c r="K1175" s="11" t="str">
        <f aca="false">UPPER(TRIM(SUBSTITUTE(B1175&amp;"",CHAR(160)," ")))</f>
        <v/>
      </c>
      <c r="L1175" s="11" t="str">
        <f aca="false">IF(AND(K1175&lt;&gt;"",TRIM(I1175&amp;"")&lt;&gt;""),K1175,"")</f>
        <v/>
      </c>
    </row>
    <row r="1176" customFormat="false" ht="15" hidden="false" customHeight="false" outlineLevel="0" collapsed="false">
      <c r="A1176" s="9"/>
      <c r="B1176" s="4"/>
      <c r="C1176" s="10"/>
      <c r="D1176" s="11" t="str">
        <f aca="false">IF(K1176="","",IFERROR(INDEX(DECKS!$C$2:$C$1201,MATCH(K1176,DECKS!$B$2:$B$1201,0)),TRIM(I1176&amp;"")))</f>
        <v/>
      </c>
      <c r="E1176" s="4"/>
      <c r="F1176" s="12"/>
      <c r="G1176" s="4"/>
      <c r="H1176" s="13" t="str">
        <f aca="false">IF(OR(N(C1176)=0,N(F1176)=0),"",C1176*F1176)</f>
        <v/>
      </c>
      <c r="I1176" s="4"/>
      <c r="J1176" s="11" t="str">
        <f aca="false">IF(K1176="","",IF(N(C1176)&lt;=0,"Informe a quantidade",IF(IFERROR(INDEX(INVENTÁRIO!$B$2:$B$801,MATCH(K1176,INVENTÁRIO!$A$2:$A$801,0)),"")="(sem nome)","Carta fora dos decks: digite o nome na coluna I (opcional)","")))</f>
        <v/>
      </c>
      <c r="K1176" s="11" t="str">
        <f aca="false">UPPER(TRIM(SUBSTITUTE(B1176&amp;"",CHAR(160)," ")))</f>
        <v/>
      </c>
      <c r="L1176" s="11" t="str">
        <f aca="false">IF(AND(K1176&lt;&gt;"",TRIM(I1176&amp;"")&lt;&gt;""),K1176,"")</f>
        <v/>
      </c>
    </row>
    <row r="1177" customFormat="false" ht="15" hidden="false" customHeight="false" outlineLevel="0" collapsed="false">
      <c r="A1177" s="9"/>
      <c r="B1177" s="4"/>
      <c r="C1177" s="10"/>
      <c r="D1177" s="11" t="str">
        <f aca="false">IF(K1177="","",IFERROR(INDEX(DECKS!$C$2:$C$1201,MATCH(K1177,DECKS!$B$2:$B$1201,0)),TRIM(I1177&amp;"")))</f>
        <v/>
      </c>
      <c r="E1177" s="4"/>
      <c r="F1177" s="12"/>
      <c r="G1177" s="4"/>
      <c r="H1177" s="13" t="str">
        <f aca="false">IF(OR(N(C1177)=0,N(F1177)=0),"",C1177*F1177)</f>
        <v/>
      </c>
      <c r="I1177" s="4"/>
      <c r="J1177" s="11" t="str">
        <f aca="false">IF(K1177="","",IF(N(C1177)&lt;=0,"Informe a quantidade",IF(IFERROR(INDEX(INVENTÁRIO!$B$2:$B$801,MATCH(K1177,INVENTÁRIO!$A$2:$A$801,0)),"")="(sem nome)","Carta fora dos decks: digite o nome na coluna I (opcional)","")))</f>
        <v/>
      </c>
      <c r="K1177" s="11" t="str">
        <f aca="false">UPPER(TRIM(SUBSTITUTE(B1177&amp;"",CHAR(160)," ")))</f>
        <v/>
      </c>
      <c r="L1177" s="11" t="str">
        <f aca="false">IF(AND(K1177&lt;&gt;"",TRIM(I1177&amp;"")&lt;&gt;""),K1177,"")</f>
        <v/>
      </c>
    </row>
    <row r="1178" customFormat="false" ht="15" hidden="false" customHeight="false" outlineLevel="0" collapsed="false">
      <c r="A1178" s="9"/>
      <c r="B1178" s="4"/>
      <c r="C1178" s="10"/>
      <c r="D1178" s="11" t="str">
        <f aca="false">IF(K1178="","",IFERROR(INDEX(DECKS!$C$2:$C$1201,MATCH(K1178,DECKS!$B$2:$B$1201,0)),TRIM(I1178&amp;"")))</f>
        <v/>
      </c>
      <c r="E1178" s="4"/>
      <c r="F1178" s="12"/>
      <c r="G1178" s="4"/>
      <c r="H1178" s="13" t="str">
        <f aca="false">IF(OR(N(C1178)=0,N(F1178)=0),"",C1178*F1178)</f>
        <v/>
      </c>
      <c r="I1178" s="4"/>
      <c r="J1178" s="11" t="str">
        <f aca="false">IF(K1178="","",IF(N(C1178)&lt;=0,"Informe a quantidade",IF(IFERROR(INDEX(INVENTÁRIO!$B$2:$B$801,MATCH(K1178,INVENTÁRIO!$A$2:$A$801,0)),"")="(sem nome)","Carta fora dos decks: digite o nome na coluna I (opcional)","")))</f>
        <v/>
      </c>
      <c r="K1178" s="11" t="str">
        <f aca="false">UPPER(TRIM(SUBSTITUTE(B1178&amp;"",CHAR(160)," ")))</f>
        <v/>
      </c>
      <c r="L1178" s="11" t="str">
        <f aca="false">IF(AND(K1178&lt;&gt;"",TRIM(I1178&amp;"")&lt;&gt;""),K1178,"")</f>
        <v/>
      </c>
    </row>
    <row r="1179" customFormat="false" ht="15" hidden="false" customHeight="false" outlineLevel="0" collapsed="false">
      <c r="A1179" s="9"/>
      <c r="B1179" s="4"/>
      <c r="C1179" s="10"/>
      <c r="D1179" s="11" t="str">
        <f aca="false">IF(K1179="","",IFERROR(INDEX(DECKS!$C$2:$C$1201,MATCH(K1179,DECKS!$B$2:$B$1201,0)),TRIM(I1179&amp;"")))</f>
        <v/>
      </c>
      <c r="E1179" s="4"/>
      <c r="F1179" s="12"/>
      <c r="G1179" s="4"/>
      <c r="H1179" s="13" t="str">
        <f aca="false">IF(OR(N(C1179)=0,N(F1179)=0),"",C1179*F1179)</f>
        <v/>
      </c>
      <c r="I1179" s="4"/>
      <c r="J1179" s="11" t="str">
        <f aca="false">IF(K1179="","",IF(N(C1179)&lt;=0,"Informe a quantidade",IF(IFERROR(INDEX(INVENTÁRIO!$B$2:$B$801,MATCH(K1179,INVENTÁRIO!$A$2:$A$801,0)),"")="(sem nome)","Carta fora dos decks: digite o nome na coluna I (opcional)","")))</f>
        <v/>
      </c>
      <c r="K1179" s="11" t="str">
        <f aca="false">UPPER(TRIM(SUBSTITUTE(B1179&amp;"",CHAR(160)," ")))</f>
        <v/>
      </c>
      <c r="L1179" s="11" t="str">
        <f aca="false">IF(AND(K1179&lt;&gt;"",TRIM(I1179&amp;"")&lt;&gt;""),K1179,"")</f>
        <v/>
      </c>
    </row>
    <row r="1180" customFormat="false" ht="15" hidden="false" customHeight="false" outlineLevel="0" collapsed="false">
      <c r="A1180" s="9"/>
      <c r="B1180" s="4"/>
      <c r="C1180" s="10"/>
      <c r="D1180" s="11" t="str">
        <f aca="false">IF(K1180="","",IFERROR(INDEX(DECKS!$C$2:$C$1201,MATCH(K1180,DECKS!$B$2:$B$1201,0)),TRIM(I1180&amp;"")))</f>
        <v/>
      </c>
      <c r="E1180" s="4"/>
      <c r="F1180" s="12"/>
      <c r="G1180" s="4"/>
      <c r="H1180" s="13" t="str">
        <f aca="false">IF(OR(N(C1180)=0,N(F1180)=0),"",C1180*F1180)</f>
        <v/>
      </c>
      <c r="I1180" s="4"/>
      <c r="J1180" s="11" t="str">
        <f aca="false">IF(K1180="","",IF(N(C1180)&lt;=0,"Informe a quantidade",IF(IFERROR(INDEX(INVENTÁRIO!$B$2:$B$801,MATCH(K1180,INVENTÁRIO!$A$2:$A$801,0)),"")="(sem nome)","Carta fora dos decks: digite o nome na coluna I (opcional)","")))</f>
        <v/>
      </c>
      <c r="K1180" s="11" t="str">
        <f aca="false">UPPER(TRIM(SUBSTITUTE(B1180&amp;"",CHAR(160)," ")))</f>
        <v/>
      </c>
      <c r="L1180" s="11" t="str">
        <f aca="false">IF(AND(K1180&lt;&gt;"",TRIM(I1180&amp;"")&lt;&gt;""),K1180,"")</f>
        <v/>
      </c>
    </row>
    <row r="1181" customFormat="false" ht="15" hidden="false" customHeight="false" outlineLevel="0" collapsed="false">
      <c r="A1181" s="9"/>
      <c r="B1181" s="4"/>
      <c r="C1181" s="10"/>
      <c r="D1181" s="11" t="str">
        <f aca="false">IF(K1181="","",IFERROR(INDEX(DECKS!$C$2:$C$1201,MATCH(K1181,DECKS!$B$2:$B$1201,0)),TRIM(I1181&amp;"")))</f>
        <v/>
      </c>
      <c r="E1181" s="4"/>
      <c r="F1181" s="12"/>
      <c r="G1181" s="4"/>
      <c r="H1181" s="13" t="str">
        <f aca="false">IF(OR(N(C1181)=0,N(F1181)=0),"",C1181*F1181)</f>
        <v/>
      </c>
      <c r="I1181" s="4"/>
      <c r="J1181" s="11" t="str">
        <f aca="false">IF(K1181="","",IF(N(C1181)&lt;=0,"Informe a quantidade",IF(IFERROR(INDEX(INVENTÁRIO!$B$2:$B$801,MATCH(K1181,INVENTÁRIO!$A$2:$A$801,0)),"")="(sem nome)","Carta fora dos decks: digite o nome na coluna I (opcional)","")))</f>
        <v/>
      </c>
      <c r="K1181" s="11" t="str">
        <f aca="false">UPPER(TRIM(SUBSTITUTE(B1181&amp;"",CHAR(160)," ")))</f>
        <v/>
      </c>
      <c r="L1181" s="11" t="str">
        <f aca="false">IF(AND(K1181&lt;&gt;"",TRIM(I1181&amp;"")&lt;&gt;""),K1181,"")</f>
        <v/>
      </c>
    </row>
    <row r="1182" customFormat="false" ht="15" hidden="false" customHeight="false" outlineLevel="0" collapsed="false">
      <c r="A1182" s="9"/>
      <c r="B1182" s="4"/>
      <c r="C1182" s="10"/>
      <c r="D1182" s="11" t="str">
        <f aca="false">IF(K1182="","",IFERROR(INDEX(DECKS!$C$2:$C$1201,MATCH(K1182,DECKS!$B$2:$B$1201,0)),TRIM(I1182&amp;"")))</f>
        <v/>
      </c>
      <c r="E1182" s="4"/>
      <c r="F1182" s="12"/>
      <c r="G1182" s="4"/>
      <c r="H1182" s="13" t="str">
        <f aca="false">IF(OR(N(C1182)=0,N(F1182)=0),"",C1182*F1182)</f>
        <v/>
      </c>
      <c r="I1182" s="4"/>
      <c r="J1182" s="11" t="str">
        <f aca="false">IF(K1182="","",IF(N(C1182)&lt;=0,"Informe a quantidade",IF(IFERROR(INDEX(INVENTÁRIO!$B$2:$B$801,MATCH(K1182,INVENTÁRIO!$A$2:$A$801,0)),"")="(sem nome)","Carta fora dos decks: digite o nome na coluna I (opcional)","")))</f>
        <v/>
      </c>
      <c r="K1182" s="11" t="str">
        <f aca="false">UPPER(TRIM(SUBSTITUTE(B1182&amp;"",CHAR(160)," ")))</f>
        <v/>
      </c>
      <c r="L1182" s="11" t="str">
        <f aca="false">IF(AND(K1182&lt;&gt;"",TRIM(I1182&amp;"")&lt;&gt;""),K1182,"")</f>
        <v/>
      </c>
    </row>
    <row r="1183" customFormat="false" ht="15" hidden="false" customHeight="false" outlineLevel="0" collapsed="false">
      <c r="A1183" s="9"/>
      <c r="B1183" s="4"/>
      <c r="C1183" s="10"/>
      <c r="D1183" s="11" t="str">
        <f aca="false">IF(K1183="","",IFERROR(INDEX(DECKS!$C$2:$C$1201,MATCH(K1183,DECKS!$B$2:$B$1201,0)),TRIM(I1183&amp;"")))</f>
        <v/>
      </c>
      <c r="E1183" s="4"/>
      <c r="F1183" s="12"/>
      <c r="G1183" s="4"/>
      <c r="H1183" s="13" t="str">
        <f aca="false">IF(OR(N(C1183)=0,N(F1183)=0),"",C1183*F1183)</f>
        <v/>
      </c>
      <c r="I1183" s="4"/>
      <c r="J1183" s="11" t="str">
        <f aca="false">IF(K1183="","",IF(N(C1183)&lt;=0,"Informe a quantidade",IF(IFERROR(INDEX(INVENTÁRIO!$B$2:$B$801,MATCH(K1183,INVENTÁRIO!$A$2:$A$801,0)),"")="(sem nome)","Carta fora dos decks: digite o nome na coluna I (opcional)","")))</f>
        <v/>
      </c>
      <c r="K1183" s="11" t="str">
        <f aca="false">UPPER(TRIM(SUBSTITUTE(B1183&amp;"",CHAR(160)," ")))</f>
        <v/>
      </c>
      <c r="L1183" s="11" t="str">
        <f aca="false">IF(AND(K1183&lt;&gt;"",TRIM(I1183&amp;"")&lt;&gt;""),K1183,"")</f>
        <v/>
      </c>
    </row>
    <row r="1184" customFormat="false" ht="15" hidden="false" customHeight="false" outlineLevel="0" collapsed="false">
      <c r="A1184" s="9"/>
      <c r="B1184" s="4"/>
      <c r="C1184" s="10"/>
      <c r="D1184" s="11" t="str">
        <f aca="false">IF(K1184="","",IFERROR(INDEX(DECKS!$C$2:$C$1201,MATCH(K1184,DECKS!$B$2:$B$1201,0)),TRIM(I1184&amp;"")))</f>
        <v/>
      </c>
      <c r="E1184" s="4"/>
      <c r="F1184" s="12"/>
      <c r="G1184" s="4"/>
      <c r="H1184" s="13" t="str">
        <f aca="false">IF(OR(N(C1184)=0,N(F1184)=0),"",C1184*F1184)</f>
        <v/>
      </c>
      <c r="I1184" s="4"/>
      <c r="J1184" s="11" t="str">
        <f aca="false">IF(K1184="","",IF(N(C1184)&lt;=0,"Informe a quantidade",IF(IFERROR(INDEX(INVENTÁRIO!$B$2:$B$801,MATCH(K1184,INVENTÁRIO!$A$2:$A$801,0)),"")="(sem nome)","Carta fora dos decks: digite o nome na coluna I (opcional)","")))</f>
        <v/>
      </c>
      <c r="K1184" s="11" t="str">
        <f aca="false">UPPER(TRIM(SUBSTITUTE(B1184&amp;"",CHAR(160)," ")))</f>
        <v/>
      </c>
      <c r="L1184" s="11" t="str">
        <f aca="false">IF(AND(K1184&lt;&gt;"",TRIM(I1184&amp;"")&lt;&gt;""),K1184,"")</f>
        <v/>
      </c>
    </row>
    <row r="1185" customFormat="false" ht="15" hidden="false" customHeight="false" outlineLevel="0" collapsed="false">
      <c r="A1185" s="9"/>
      <c r="B1185" s="4"/>
      <c r="C1185" s="10"/>
      <c r="D1185" s="11" t="str">
        <f aca="false">IF(K1185="","",IFERROR(INDEX(DECKS!$C$2:$C$1201,MATCH(K1185,DECKS!$B$2:$B$1201,0)),TRIM(I1185&amp;"")))</f>
        <v/>
      </c>
      <c r="E1185" s="4"/>
      <c r="F1185" s="12"/>
      <c r="G1185" s="4"/>
      <c r="H1185" s="13" t="str">
        <f aca="false">IF(OR(N(C1185)=0,N(F1185)=0),"",C1185*F1185)</f>
        <v/>
      </c>
      <c r="I1185" s="4"/>
      <c r="J1185" s="11" t="str">
        <f aca="false">IF(K1185="","",IF(N(C1185)&lt;=0,"Informe a quantidade",IF(IFERROR(INDEX(INVENTÁRIO!$B$2:$B$801,MATCH(K1185,INVENTÁRIO!$A$2:$A$801,0)),"")="(sem nome)","Carta fora dos decks: digite o nome na coluna I (opcional)","")))</f>
        <v/>
      </c>
      <c r="K1185" s="11" t="str">
        <f aca="false">UPPER(TRIM(SUBSTITUTE(B1185&amp;"",CHAR(160)," ")))</f>
        <v/>
      </c>
      <c r="L1185" s="11" t="str">
        <f aca="false">IF(AND(K1185&lt;&gt;"",TRIM(I1185&amp;"")&lt;&gt;""),K1185,"")</f>
        <v/>
      </c>
    </row>
    <row r="1186" customFormat="false" ht="15" hidden="false" customHeight="false" outlineLevel="0" collapsed="false">
      <c r="A1186" s="9"/>
      <c r="B1186" s="4"/>
      <c r="C1186" s="10"/>
      <c r="D1186" s="11" t="str">
        <f aca="false">IF(K1186="","",IFERROR(INDEX(DECKS!$C$2:$C$1201,MATCH(K1186,DECKS!$B$2:$B$1201,0)),TRIM(I1186&amp;"")))</f>
        <v/>
      </c>
      <c r="E1186" s="4"/>
      <c r="F1186" s="12"/>
      <c r="G1186" s="4"/>
      <c r="H1186" s="13" t="str">
        <f aca="false">IF(OR(N(C1186)=0,N(F1186)=0),"",C1186*F1186)</f>
        <v/>
      </c>
      <c r="I1186" s="4"/>
      <c r="J1186" s="11" t="str">
        <f aca="false">IF(K1186="","",IF(N(C1186)&lt;=0,"Informe a quantidade",IF(IFERROR(INDEX(INVENTÁRIO!$B$2:$B$801,MATCH(K1186,INVENTÁRIO!$A$2:$A$801,0)),"")="(sem nome)","Carta fora dos decks: digite o nome na coluna I (opcional)","")))</f>
        <v/>
      </c>
      <c r="K1186" s="11" t="str">
        <f aca="false">UPPER(TRIM(SUBSTITUTE(B1186&amp;"",CHAR(160)," ")))</f>
        <v/>
      </c>
      <c r="L1186" s="11" t="str">
        <f aca="false">IF(AND(K1186&lt;&gt;"",TRIM(I1186&amp;"")&lt;&gt;""),K1186,"")</f>
        <v/>
      </c>
    </row>
    <row r="1187" customFormat="false" ht="15" hidden="false" customHeight="false" outlineLevel="0" collapsed="false">
      <c r="A1187" s="9"/>
      <c r="B1187" s="4"/>
      <c r="C1187" s="10"/>
      <c r="D1187" s="11" t="str">
        <f aca="false">IF(K1187="","",IFERROR(INDEX(DECKS!$C$2:$C$1201,MATCH(K1187,DECKS!$B$2:$B$1201,0)),TRIM(I1187&amp;"")))</f>
        <v/>
      </c>
      <c r="E1187" s="4"/>
      <c r="F1187" s="12"/>
      <c r="G1187" s="4"/>
      <c r="H1187" s="13" t="str">
        <f aca="false">IF(OR(N(C1187)=0,N(F1187)=0),"",C1187*F1187)</f>
        <v/>
      </c>
      <c r="I1187" s="4"/>
      <c r="J1187" s="11" t="str">
        <f aca="false">IF(K1187="","",IF(N(C1187)&lt;=0,"Informe a quantidade",IF(IFERROR(INDEX(INVENTÁRIO!$B$2:$B$801,MATCH(K1187,INVENTÁRIO!$A$2:$A$801,0)),"")="(sem nome)","Carta fora dos decks: digite o nome na coluna I (opcional)","")))</f>
        <v/>
      </c>
      <c r="K1187" s="11" t="str">
        <f aca="false">UPPER(TRIM(SUBSTITUTE(B1187&amp;"",CHAR(160)," ")))</f>
        <v/>
      </c>
      <c r="L1187" s="11" t="str">
        <f aca="false">IF(AND(K1187&lt;&gt;"",TRIM(I1187&amp;"")&lt;&gt;""),K1187,"")</f>
        <v/>
      </c>
    </row>
    <row r="1188" customFormat="false" ht="15" hidden="false" customHeight="false" outlineLevel="0" collapsed="false">
      <c r="A1188" s="9"/>
      <c r="B1188" s="4"/>
      <c r="C1188" s="10"/>
      <c r="D1188" s="11" t="str">
        <f aca="false">IF(K1188="","",IFERROR(INDEX(DECKS!$C$2:$C$1201,MATCH(K1188,DECKS!$B$2:$B$1201,0)),TRIM(I1188&amp;"")))</f>
        <v/>
      </c>
      <c r="E1188" s="4"/>
      <c r="F1188" s="12"/>
      <c r="G1188" s="4"/>
      <c r="H1188" s="13" t="str">
        <f aca="false">IF(OR(N(C1188)=0,N(F1188)=0),"",C1188*F1188)</f>
        <v/>
      </c>
      <c r="I1188" s="4"/>
      <c r="J1188" s="11" t="str">
        <f aca="false">IF(K1188="","",IF(N(C1188)&lt;=0,"Informe a quantidade",IF(IFERROR(INDEX(INVENTÁRIO!$B$2:$B$801,MATCH(K1188,INVENTÁRIO!$A$2:$A$801,0)),"")="(sem nome)","Carta fora dos decks: digite o nome na coluna I (opcional)","")))</f>
        <v/>
      </c>
      <c r="K1188" s="11" t="str">
        <f aca="false">UPPER(TRIM(SUBSTITUTE(B1188&amp;"",CHAR(160)," ")))</f>
        <v/>
      </c>
      <c r="L1188" s="11" t="str">
        <f aca="false">IF(AND(K1188&lt;&gt;"",TRIM(I1188&amp;"")&lt;&gt;""),K1188,"")</f>
        <v/>
      </c>
    </row>
    <row r="1189" customFormat="false" ht="15" hidden="false" customHeight="false" outlineLevel="0" collapsed="false">
      <c r="A1189" s="9"/>
      <c r="B1189" s="4"/>
      <c r="C1189" s="10"/>
      <c r="D1189" s="11" t="str">
        <f aca="false">IF(K1189="","",IFERROR(INDEX(DECKS!$C$2:$C$1201,MATCH(K1189,DECKS!$B$2:$B$1201,0)),TRIM(I1189&amp;"")))</f>
        <v/>
      </c>
      <c r="E1189" s="4"/>
      <c r="F1189" s="12"/>
      <c r="G1189" s="4"/>
      <c r="H1189" s="13" t="str">
        <f aca="false">IF(OR(N(C1189)=0,N(F1189)=0),"",C1189*F1189)</f>
        <v/>
      </c>
      <c r="I1189" s="4"/>
      <c r="J1189" s="11" t="str">
        <f aca="false">IF(K1189="","",IF(N(C1189)&lt;=0,"Informe a quantidade",IF(IFERROR(INDEX(INVENTÁRIO!$B$2:$B$801,MATCH(K1189,INVENTÁRIO!$A$2:$A$801,0)),"")="(sem nome)","Carta fora dos decks: digite o nome na coluna I (opcional)","")))</f>
        <v/>
      </c>
      <c r="K1189" s="11" t="str">
        <f aca="false">UPPER(TRIM(SUBSTITUTE(B1189&amp;"",CHAR(160)," ")))</f>
        <v/>
      </c>
      <c r="L1189" s="11" t="str">
        <f aca="false">IF(AND(K1189&lt;&gt;"",TRIM(I1189&amp;"")&lt;&gt;""),K1189,"")</f>
        <v/>
      </c>
    </row>
    <row r="1190" customFormat="false" ht="15" hidden="false" customHeight="false" outlineLevel="0" collapsed="false">
      <c r="A1190" s="9"/>
      <c r="B1190" s="4"/>
      <c r="C1190" s="10"/>
      <c r="D1190" s="11" t="str">
        <f aca="false">IF(K1190="","",IFERROR(INDEX(DECKS!$C$2:$C$1201,MATCH(K1190,DECKS!$B$2:$B$1201,0)),TRIM(I1190&amp;"")))</f>
        <v/>
      </c>
      <c r="E1190" s="4"/>
      <c r="F1190" s="12"/>
      <c r="G1190" s="4"/>
      <c r="H1190" s="13" t="str">
        <f aca="false">IF(OR(N(C1190)=0,N(F1190)=0),"",C1190*F1190)</f>
        <v/>
      </c>
      <c r="I1190" s="4"/>
      <c r="J1190" s="11" t="str">
        <f aca="false">IF(K1190="","",IF(N(C1190)&lt;=0,"Informe a quantidade",IF(IFERROR(INDEX(INVENTÁRIO!$B$2:$B$801,MATCH(K1190,INVENTÁRIO!$A$2:$A$801,0)),"")="(sem nome)","Carta fora dos decks: digite o nome na coluna I (opcional)","")))</f>
        <v/>
      </c>
      <c r="K1190" s="11" t="str">
        <f aca="false">UPPER(TRIM(SUBSTITUTE(B1190&amp;"",CHAR(160)," ")))</f>
        <v/>
      </c>
      <c r="L1190" s="11" t="str">
        <f aca="false">IF(AND(K1190&lt;&gt;"",TRIM(I1190&amp;"")&lt;&gt;""),K1190,"")</f>
        <v/>
      </c>
    </row>
    <row r="1191" customFormat="false" ht="15" hidden="false" customHeight="false" outlineLevel="0" collapsed="false">
      <c r="A1191" s="9"/>
      <c r="B1191" s="4"/>
      <c r="C1191" s="10"/>
      <c r="D1191" s="11" t="str">
        <f aca="false">IF(K1191="","",IFERROR(INDEX(DECKS!$C$2:$C$1201,MATCH(K1191,DECKS!$B$2:$B$1201,0)),TRIM(I1191&amp;"")))</f>
        <v/>
      </c>
      <c r="E1191" s="4"/>
      <c r="F1191" s="12"/>
      <c r="G1191" s="4"/>
      <c r="H1191" s="13" t="str">
        <f aca="false">IF(OR(N(C1191)=0,N(F1191)=0),"",C1191*F1191)</f>
        <v/>
      </c>
      <c r="I1191" s="4"/>
      <c r="J1191" s="11" t="str">
        <f aca="false">IF(K1191="","",IF(N(C1191)&lt;=0,"Informe a quantidade",IF(IFERROR(INDEX(INVENTÁRIO!$B$2:$B$801,MATCH(K1191,INVENTÁRIO!$A$2:$A$801,0)),"")="(sem nome)","Carta fora dos decks: digite o nome na coluna I (opcional)","")))</f>
        <v/>
      </c>
      <c r="K1191" s="11" t="str">
        <f aca="false">UPPER(TRIM(SUBSTITUTE(B1191&amp;"",CHAR(160)," ")))</f>
        <v/>
      </c>
      <c r="L1191" s="11" t="str">
        <f aca="false">IF(AND(K1191&lt;&gt;"",TRIM(I1191&amp;"")&lt;&gt;""),K1191,"")</f>
        <v/>
      </c>
    </row>
    <row r="1192" customFormat="false" ht="15" hidden="false" customHeight="false" outlineLevel="0" collapsed="false">
      <c r="A1192" s="9"/>
      <c r="B1192" s="4"/>
      <c r="C1192" s="10"/>
      <c r="D1192" s="11" t="str">
        <f aca="false">IF(K1192="","",IFERROR(INDEX(DECKS!$C$2:$C$1201,MATCH(K1192,DECKS!$B$2:$B$1201,0)),TRIM(I1192&amp;"")))</f>
        <v/>
      </c>
      <c r="E1192" s="4"/>
      <c r="F1192" s="12"/>
      <c r="G1192" s="4"/>
      <c r="H1192" s="13" t="str">
        <f aca="false">IF(OR(N(C1192)=0,N(F1192)=0),"",C1192*F1192)</f>
        <v/>
      </c>
      <c r="I1192" s="4"/>
      <c r="J1192" s="11" t="str">
        <f aca="false">IF(K1192="","",IF(N(C1192)&lt;=0,"Informe a quantidade",IF(IFERROR(INDEX(INVENTÁRIO!$B$2:$B$801,MATCH(K1192,INVENTÁRIO!$A$2:$A$801,0)),"")="(sem nome)","Carta fora dos decks: digite o nome na coluna I (opcional)","")))</f>
        <v/>
      </c>
      <c r="K1192" s="11" t="str">
        <f aca="false">UPPER(TRIM(SUBSTITUTE(B1192&amp;"",CHAR(160)," ")))</f>
        <v/>
      </c>
      <c r="L1192" s="11" t="str">
        <f aca="false">IF(AND(K1192&lt;&gt;"",TRIM(I1192&amp;"")&lt;&gt;""),K1192,"")</f>
        <v/>
      </c>
    </row>
    <row r="1193" customFormat="false" ht="15" hidden="false" customHeight="false" outlineLevel="0" collapsed="false">
      <c r="A1193" s="9"/>
      <c r="B1193" s="4"/>
      <c r="C1193" s="10"/>
      <c r="D1193" s="11" t="str">
        <f aca="false">IF(K1193="","",IFERROR(INDEX(DECKS!$C$2:$C$1201,MATCH(K1193,DECKS!$B$2:$B$1201,0)),TRIM(I1193&amp;"")))</f>
        <v/>
      </c>
      <c r="E1193" s="4"/>
      <c r="F1193" s="12"/>
      <c r="G1193" s="4"/>
      <c r="H1193" s="13" t="str">
        <f aca="false">IF(OR(N(C1193)=0,N(F1193)=0),"",C1193*F1193)</f>
        <v/>
      </c>
      <c r="I1193" s="4"/>
      <c r="J1193" s="11" t="str">
        <f aca="false">IF(K1193="","",IF(N(C1193)&lt;=0,"Informe a quantidade",IF(IFERROR(INDEX(INVENTÁRIO!$B$2:$B$801,MATCH(K1193,INVENTÁRIO!$A$2:$A$801,0)),"")="(sem nome)","Carta fora dos decks: digite o nome na coluna I (opcional)","")))</f>
        <v/>
      </c>
      <c r="K1193" s="11" t="str">
        <f aca="false">UPPER(TRIM(SUBSTITUTE(B1193&amp;"",CHAR(160)," ")))</f>
        <v/>
      </c>
      <c r="L1193" s="11" t="str">
        <f aca="false">IF(AND(K1193&lt;&gt;"",TRIM(I1193&amp;"")&lt;&gt;""),K1193,"")</f>
        <v/>
      </c>
    </row>
    <row r="1194" customFormat="false" ht="15" hidden="false" customHeight="false" outlineLevel="0" collapsed="false">
      <c r="A1194" s="9"/>
      <c r="B1194" s="4"/>
      <c r="C1194" s="10"/>
      <c r="D1194" s="11" t="str">
        <f aca="false">IF(K1194="","",IFERROR(INDEX(DECKS!$C$2:$C$1201,MATCH(K1194,DECKS!$B$2:$B$1201,0)),TRIM(I1194&amp;"")))</f>
        <v/>
      </c>
      <c r="E1194" s="4"/>
      <c r="F1194" s="12"/>
      <c r="G1194" s="4"/>
      <c r="H1194" s="13" t="str">
        <f aca="false">IF(OR(N(C1194)=0,N(F1194)=0),"",C1194*F1194)</f>
        <v/>
      </c>
      <c r="I1194" s="4"/>
      <c r="J1194" s="11" t="str">
        <f aca="false">IF(K1194="","",IF(N(C1194)&lt;=0,"Informe a quantidade",IF(IFERROR(INDEX(INVENTÁRIO!$B$2:$B$801,MATCH(K1194,INVENTÁRIO!$A$2:$A$801,0)),"")="(sem nome)","Carta fora dos decks: digite o nome na coluna I (opcional)","")))</f>
        <v/>
      </c>
      <c r="K1194" s="11" t="str">
        <f aca="false">UPPER(TRIM(SUBSTITUTE(B1194&amp;"",CHAR(160)," ")))</f>
        <v/>
      </c>
      <c r="L1194" s="11" t="str">
        <f aca="false">IF(AND(K1194&lt;&gt;"",TRIM(I1194&amp;"")&lt;&gt;""),K1194,"")</f>
        <v/>
      </c>
    </row>
    <row r="1195" customFormat="false" ht="15" hidden="false" customHeight="false" outlineLevel="0" collapsed="false">
      <c r="A1195" s="9"/>
      <c r="B1195" s="4"/>
      <c r="C1195" s="10"/>
      <c r="D1195" s="11" t="str">
        <f aca="false">IF(K1195="","",IFERROR(INDEX(DECKS!$C$2:$C$1201,MATCH(K1195,DECKS!$B$2:$B$1201,0)),TRIM(I1195&amp;"")))</f>
        <v/>
      </c>
      <c r="E1195" s="4"/>
      <c r="F1195" s="12"/>
      <c r="G1195" s="4"/>
      <c r="H1195" s="13" t="str">
        <f aca="false">IF(OR(N(C1195)=0,N(F1195)=0),"",C1195*F1195)</f>
        <v/>
      </c>
      <c r="I1195" s="4"/>
      <c r="J1195" s="11" t="str">
        <f aca="false">IF(K1195="","",IF(N(C1195)&lt;=0,"Informe a quantidade",IF(IFERROR(INDEX(INVENTÁRIO!$B$2:$B$801,MATCH(K1195,INVENTÁRIO!$A$2:$A$801,0)),"")="(sem nome)","Carta fora dos decks: digite o nome na coluna I (opcional)","")))</f>
        <v/>
      </c>
      <c r="K1195" s="11" t="str">
        <f aca="false">UPPER(TRIM(SUBSTITUTE(B1195&amp;"",CHAR(160)," ")))</f>
        <v/>
      </c>
      <c r="L1195" s="11" t="str">
        <f aca="false">IF(AND(K1195&lt;&gt;"",TRIM(I1195&amp;"")&lt;&gt;""),K1195,"")</f>
        <v/>
      </c>
    </row>
    <row r="1196" customFormat="false" ht="15" hidden="false" customHeight="false" outlineLevel="0" collapsed="false">
      <c r="A1196" s="9"/>
      <c r="B1196" s="4"/>
      <c r="C1196" s="10"/>
      <c r="D1196" s="11" t="str">
        <f aca="false">IF(K1196="","",IFERROR(INDEX(DECKS!$C$2:$C$1201,MATCH(K1196,DECKS!$B$2:$B$1201,0)),TRIM(I1196&amp;"")))</f>
        <v/>
      </c>
      <c r="E1196" s="4"/>
      <c r="F1196" s="12"/>
      <c r="G1196" s="4"/>
      <c r="H1196" s="13" t="str">
        <f aca="false">IF(OR(N(C1196)=0,N(F1196)=0),"",C1196*F1196)</f>
        <v/>
      </c>
      <c r="I1196" s="4"/>
      <c r="J1196" s="11" t="str">
        <f aca="false">IF(K1196="","",IF(N(C1196)&lt;=0,"Informe a quantidade",IF(IFERROR(INDEX(INVENTÁRIO!$B$2:$B$801,MATCH(K1196,INVENTÁRIO!$A$2:$A$801,0)),"")="(sem nome)","Carta fora dos decks: digite o nome na coluna I (opcional)","")))</f>
        <v/>
      </c>
      <c r="K1196" s="11" t="str">
        <f aca="false">UPPER(TRIM(SUBSTITUTE(B1196&amp;"",CHAR(160)," ")))</f>
        <v/>
      </c>
      <c r="L1196" s="11" t="str">
        <f aca="false">IF(AND(K1196&lt;&gt;"",TRIM(I1196&amp;"")&lt;&gt;""),K1196,"")</f>
        <v/>
      </c>
    </row>
    <row r="1197" customFormat="false" ht="15" hidden="false" customHeight="false" outlineLevel="0" collapsed="false">
      <c r="A1197" s="9"/>
      <c r="B1197" s="4"/>
      <c r="C1197" s="10"/>
      <c r="D1197" s="11" t="str">
        <f aca="false">IF(K1197="","",IFERROR(INDEX(DECKS!$C$2:$C$1201,MATCH(K1197,DECKS!$B$2:$B$1201,0)),TRIM(I1197&amp;"")))</f>
        <v/>
      </c>
      <c r="E1197" s="4"/>
      <c r="F1197" s="12"/>
      <c r="G1197" s="4"/>
      <c r="H1197" s="13" t="str">
        <f aca="false">IF(OR(N(C1197)=0,N(F1197)=0),"",C1197*F1197)</f>
        <v/>
      </c>
      <c r="I1197" s="4"/>
      <c r="J1197" s="11" t="str">
        <f aca="false">IF(K1197="","",IF(N(C1197)&lt;=0,"Informe a quantidade",IF(IFERROR(INDEX(INVENTÁRIO!$B$2:$B$801,MATCH(K1197,INVENTÁRIO!$A$2:$A$801,0)),"")="(sem nome)","Carta fora dos decks: digite o nome na coluna I (opcional)","")))</f>
        <v/>
      </c>
      <c r="K1197" s="11" t="str">
        <f aca="false">UPPER(TRIM(SUBSTITUTE(B1197&amp;"",CHAR(160)," ")))</f>
        <v/>
      </c>
      <c r="L1197" s="11" t="str">
        <f aca="false">IF(AND(K1197&lt;&gt;"",TRIM(I1197&amp;"")&lt;&gt;""),K1197,"")</f>
        <v/>
      </c>
    </row>
    <row r="1198" customFormat="false" ht="15" hidden="false" customHeight="false" outlineLevel="0" collapsed="false">
      <c r="A1198" s="9"/>
      <c r="B1198" s="4"/>
      <c r="C1198" s="10"/>
      <c r="D1198" s="11" t="str">
        <f aca="false">IF(K1198="","",IFERROR(INDEX(DECKS!$C$2:$C$1201,MATCH(K1198,DECKS!$B$2:$B$1201,0)),TRIM(I1198&amp;"")))</f>
        <v/>
      </c>
      <c r="E1198" s="4"/>
      <c r="F1198" s="12"/>
      <c r="G1198" s="4"/>
      <c r="H1198" s="13" t="str">
        <f aca="false">IF(OR(N(C1198)=0,N(F1198)=0),"",C1198*F1198)</f>
        <v/>
      </c>
      <c r="I1198" s="4"/>
      <c r="J1198" s="11" t="str">
        <f aca="false">IF(K1198="","",IF(N(C1198)&lt;=0,"Informe a quantidade",IF(IFERROR(INDEX(INVENTÁRIO!$B$2:$B$801,MATCH(K1198,INVENTÁRIO!$A$2:$A$801,0)),"")="(sem nome)","Carta fora dos decks: digite o nome na coluna I (opcional)","")))</f>
        <v/>
      </c>
      <c r="K1198" s="11" t="str">
        <f aca="false">UPPER(TRIM(SUBSTITUTE(B1198&amp;"",CHAR(160)," ")))</f>
        <v/>
      </c>
      <c r="L1198" s="11" t="str">
        <f aca="false">IF(AND(K1198&lt;&gt;"",TRIM(I1198&amp;"")&lt;&gt;""),K1198,"")</f>
        <v/>
      </c>
    </row>
    <row r="1199" customFormat="false" ht="15" hidden="false" customHeight="false" outlineLevel="0" collapsed="false">
      <c r="A1199" s="9"/>
      <c r="B1199" s="4"/>
      <c r="C1199" s="10"/>
      <c r="D1199" s="11" t="str">
        <f aca="false">IF(K1199="","",IFERROR(INDEX(DECKS!$C$2:$C$1201,MATCH(K1199,DECKS!$B$2:$B$1201,0)),TRIM(I1199&amp;"")))</f>
        <v/>
      </c>
      <c r="E1199" s="4"/>
      <c r="F1199" s="12"/>
      <c r="G1199" s="4"/>
      <c r="H1199" s="13" t="str">
        <f aca="false">IF(OR(N(C1199)=0,N(F1199)=0),"",C1199*F1199)</f>
        <v/>
      </c>
      <c r="I1199" s="4"/>
      <c r="J1199" s="11" t="str">
        <f aca="false">IF(K1199="","",IF(N(C1199)&lt;=0,"Informe a quantidade",IF(IFERROR(INDEX(INVENTÁRIO!$B$2:$B$801,MATCH(K1199,INVENTÁRIO!$A$2:$A$801,0)),"")="(sem nome)","Carta fora dos decks: digite o nome na coluna I (opcional)","")))</f>
        <v/>
      </c>
      <c r="K1199" s="11" t="str">
        <f aca="false">UPPER(TRIM(SUBSTITUTE(B1199&amp;"",CHAR(160)," ")))</f>
        <v/>
      </c>
      <c r="L1199" s="11" t="str">
        <f aca="false">IF(AND(K1199&lt;&gt;"",TRIM(I1199&amp;"")&lt;&gt;""),K1199,"")</f>
        <v/>
      </c>
    </row>
    <row r="1200" customFormat="false" ht="15" hidden="false" customHeight="false" outlineLevel="0" collapsed="false">
      <c r="A1200" s="9"/>
      <c r="B1200" s="4"/>
      <c r="C1200" s="10"/>
      <c r="D1200" s="11" t="str">
        <f aca="false">IF(K1200="","",IFERROR(INDEX(DECKS!$C$2:$C$1201,MATCH(K1200,DECKS!$B$2:$B$1201,0)),TRIM(I1200&amp;"")))</f>
        <v/>
      </c>
      <c r="E1200" s="4"/>
      <c r="F1200" s="12"/>
      <c r="G1200" s="4"/>
      <c r="H1200" s="13" t="str">
        <f aca="false">IF(OR(N(C1200)=0,N(F1200)=0),"",C1200*F1200)</f>
        <v/>
      </c>
      <c r="I1200" s="4"/>
      <c r="J1200" s="11" t="str">
        <f aca="false">IF(K1200="","",IF(N(C1200)&lt;=0,"Informe a quantidade",IF(IFERROR(INDEX(INVENTÁRIO!$B$2:$B$801,MATCH(K1200,INVENTÁRIO!$A$2:$A$801,0)),"")="(sem nome)","Carta fora dos decks: digite o nome na coluna I (opcional)","")))</f>
        <v/>
      </c>
      <c r="K1200" s="11" t="str">
        <f aca="false">UPPER(TRIM(SUBSTITUTE(B1200&amp;"",CHAR(160)," ")))</f>
        <v/>
      </c>
      <c r="L1200" s="11" t="str">
        <f aca="false">IF(AND(K1200&lt;&gt;"",TRIM(I1200&amp;"")&lt;&gt;""),K1200,"")</f>
        <v/>
      </c>
    </row>
    <row r="1201" customFormat="false" ht="15" hidden="false" customHeight="false" outlineLevel="0" collapsed="false">
      <c r="A1201" s="9"/>
      <c r="B1201" s="4"/>
      <c r="C1201" s="10"/>
      <c r="D1201" s="11" t="str">
        <f aca="false">IF(K1201="","",IFERROR(INDEX(DECKS!$C$2:$C$1201,MATCH(K1201,DECKS!$B$2:$B$1201,0)),TRIM(I1201&amp;"")))</f>
        <v/>
      </c>
      <c r="E1201" s="4"/>
      <c r="F1201" s="12"/>
      <c r="G1201" s="4"/>
      <c r="H1201" s="13" t="str">
        <f aca="false">IF(OR(N(C1201)=0,N(F1201)=0),"",C1201*F1201)</f>
        <v/>
      </c>
      <c r="I1201" s="4"/>
      <c r="J1201" s="11" t="str">
        <f aca="false">IF(K1201="","",IF(N(C1201)&lt;=0,"Informe a quantidade",IF(IFERROR(INDEX(INVENTÁRIO!$B$2:$B$801,MATCH(K1201,INVENTÁRIO!$A$2:$A$801,0)),"")="(sem nome)","Carta fora dos decks: digite o nome na coluna I (opcional)","")))</f>
        <v/>
      </c>
      <c r="K1201" s="11" t="str">
        <f aca="false">UPPER(TRIM(SUBSTITUTE(B1201&amp;"",CHAR(160)," ")))</f>
        <v/>
      </c>
      <c r="L1201" s="11" t="str">
        <f aca="false">IF(AND(K1201&lt;&gt;"",TRIM(I1201&amp;"")&lt;&gt;""),K1201,"")</f>
        <v/>
      </c>
    </row>
    <row r="1202" customFormat="false" ht="15" hidden="false" customHeight="false" outlineLevel="0" collapsed="false">
      <c r="A1202" s="9"/>
      <c r="B1202" s="4"/>
      <c r="C1202" s="10"/>
      <c r="D1202" s="11" t="str">
        <f aca="false">IF(K1202="","",IFERROR(INDEX(DECKS!$C$2:$C$1201,MATCH(K1202,DECKS!$B$2:$B$1201,0)),TRIM(I1202&amp;"")))</f>
        <v/>
      </c>
      <c r="E1202" s="4"/>
      <c r="F1202" s="12"/>
      <c r="G1202" s="4"/>
      <c r="H1202" s="13" t="str">
        <f aca="false">IF(OR(N(C1202)=0,N(F1202)=0),"",C1202*F1202)</f>
        <v/>
      </c>
      <c r="I1202" s="4"/>
      <c r="J1202" s="11" t="str">
        <f aca="false">IF(K1202="","",IF(N(C1202)&lt;=0,"Informe a quantidade",IF(IFERROR(INDEX(INVENTÁRIO!$B$2:$B$801,MATCH(K1202,INVENTÁRIO!$A$2:$A$801,0)),"")="(sem nome)","Carta fora dos decks: digite o nome na coluna I (opcional)","")))</f>
        <v/>
      </c>
      <c r="K1202" s="11" t="str">
        <f aca="false">UPPER(TRIM(SUBSTITUTE(B1202&amp;"",CHAR(160)," ")))</f>
        <v/>
      </c>
      <c r="L1202" s="11" t="str">
        <f aca="false">IF(AND(K1202&lt;&gt;"",TRIM(I1202&amp;"")&lt;&gt;""),K1202,"")</f>
        <v/>
      </c>
    </row>
    <row r="1203" customFormat="false" ht="15" hidden="false" customHeight="false" outlineLevel="0" collapsed="false">
      <c r="A1203" s="9"/>
      <c r="B1203" s="4"/>
      <c r="C1203" s="10"/>
      <c r="D1203" s="11" t="str">
        <f aca="false">IF(K1203="","",IFERROR(INDEX(DECKS!$C$2:$C$1201,MATCH(K1203,DECKS!$B$2:$B$1201,0)),TRIM(I1203&amp;"")))</f>
        <v/>
      </c>
      <c r="E1203" s="4"/>
      <c r="F1203" s="12"/>
      <c r="G1203" s="4"/>
      <c r="H1203" s="13" t="str">
        <f aca="false">IF(OR(N(C1203)=0,N(F1203)=0),"",C1203*F1203)</f>
        <v/>
      </c>
      <c r="I1203" s="4"/>
      <c r="J1203" s="11" t="str">
        <f aca="false">IF(K1203="","",IF(N(C1203)&lt;=0,"Informe a quantidade",IF(IFERROR(INDEX(INVENTÁRIO!$B$2:$B$801,MATCH(K1203,INVENTÁRIO!$A$2:$A$801,0)),"")="(sem nome)","Carta fora dos decks: digite o nome na coluna I (opcional)","")))</f>
        <v/>
      </c>
      <c r="K1203" s="11" t="str">
        <f aca="false">UPPER(TRIM(SUBSTITUTE(B1203&amp;"",CHAR(160)," ")))</f>
        <v/>
      </c>
      <c r="L1203" s="11" t="str">
        <f aca="false">IF(AND(K1203&lt;&gt;"",TRIM(I1203&amp;"")&lt;&gt;""),K1203,"")</f>
        <v/>
      </c>
    </row>
    <row r="1204" customFormat="false" ht="15" hidden="false" customHeight="false" outlineLevel="0" collapsed="false">
      <c r="A1204" s="9"/>
      <c r="B1204" s="4"/>
      <c r="C1204" s="10"/>
      <c r="D1204" s="11" t="str">
        <f aca="false">IF(K1204="","",IFERROR(INDEX(DECKS!$C$2:$C$1201,MATCH(K1204,DECKS!$B$2:$B$1201,0)),TRIM(I1204&amp;"")))</f>
        <v/>
      </c>
      <c r="E1204" s="4"/>
      <c r="F1204" s="12"/>
      <c r="G1204" s="4"/>
      <c r="H1204" s="13" t="str">
        <f aca="false">IF(OR(N(C1204)=0,N(F1204)=0),"",C1204*F1204)</f>
        <v/>
      </c>
      <c r="I1204" s="4"/>
      <c r="J1204" s="11" t="str">
        <f aca="false">IF(K1204="","",IF(N(C1204)&lt;=0,"Informe a quantidade",IF(IFERROR(INDEX(INVENTÁRIO!$B$2:$B$801,MATCH(K1204,INVENTÁRIO!$A$2:$A$801,0)),"")="(sem nome)","Carta fora dos decks: digite o nome na coluna I (opcional)","")))</f>
        <v/>
      </c>
      <c r="K1204" s="11" t="str">
        <f aca="false">UPPER(TRIM(SUBSTITUTE(B1204&amp;"",CHAR(160)," ")))</f>
        <v/>
      </c>
      <c r="L1204" s="11" t="str">
        <f aca="false">IF(AND(K1204&lt;&gt;"",TRIM(I1204&amp;"")&lt;&gt;""),K1204,"")</f>
        <v/>
      </c>
    </row>
    <row r="1205" customFormat="false" ht="15" hidden="false" customHeight="false" outlineLevel="0" collapsed="false">
      <c r="A1205" s="9"/>
      <c r="B1205" s="4"/>
      <c r="C1205" s="10"/>
      <c r="D1205" s="11" t="str">
        <f aca="false">IF(K1205="","",IFERROR(INDEX(DECKS!$C$2:$C$1201,MATCH(K1205,DECKS!$B$2:$B$1201,0)),TRIM(I1205&amp;"")))</f>
        <v/>
      </c>
      <c r="E1205" s="4"/>
      <c r="F1205" s="12"/>
      <c r="G1205" s="4"/>
      <c r="H1205" s="13" t="str">
        <f aca="false">IF(OR(N(C1205)=0,N(F1205)=0),"",C1205*F1205)</f>
        <v/>
      </c>
      <c r="I1205" s="4"/>
      <c r="J1205" s="11" t="str">
        <f aca="false">IF(K1205="","",IF(N(C1205)&lt;=0,"Informe a quantidade",IF(IFERROR(INDEX(INVENTÁRIO!$B$2:$B$801,MATCH(K1205,INVENTÁRIO!$A$2:$A$801,0)),"")="(sem nome)","Carta fora dos decks: digite o nome na coluna I (opcional)","")))</f>
        <v/>
      </c>
      <c r="K1205" s="11" t="str">
        <f aca="false">UPPER(TRIM(SUBSTITUTE(B1205&amp;"",CHAR(160)," ")))</f>
        <v/>
      </c>
      <c r="L1205" s="11" t="str">
        <f aca="false">IF(AND(K1205&lt;&gt;"",TRIM(I1205&amp;"")&lt;&gt;""),K1205,"")</f>
        <v/>
      </c>
    </row>
    <row r="1206" customFormat="false" ht="15" hidden="false" customHeight="false" outlineLevel="0" collapsed="false">
      <c r="A1206" s="9"/>
      <c r="B1206" s="4"/>
      <c r="C1206" s="10"/>
      <c r="D1206" s="11" t="str">
        <f aca="false">IF(K1206="","",IFERROR(INDEX(DECKS!$C$2:$C$1201,MATCH(K1206,DECKS!$B$2:$B$1201,0)),TRIM(I1206&amp;"")))</f>
        <v/>
      </c>
      <c r="E1206" s="4"/>
      <c r="F1206" s="12"/>
      <c r="G1206" s="4"/>
      <c r="H1206" s="13" t="str">
        <f aca="false">IF(OR(N(C1206)=0,N(F1206)=0),"",C1206*F1206)</f>
        <v/>
      </c>
      <c r="I1206" s="4"/>
      <c r="J1206" s="11" t="str">
        <f aca="false">IF(K1206="","",IF(N(C1206)&lt;=0,"Informe a quantidade",IF(IFERROR(INDEX(INVENTÁRIO!$B$2:$B$801,MATCH(K1206,INVENTÁRIO!$A$2:$A$801,0)),"")="(sem nome)","Carta fora dos decks: digite o nome na coluna I (opcional)","")))</f>
        <v/>
      </c>
      <c r="K1206" s="11" t="str">
        <f aca="false">UPPER(TRIM(SUBSTITUTE(B1206&amp;"",CHAR(160)," ")))</f>
        <v/>
      </c>
      <c r="L1206" s="11" t="str">
        <f aca="false">IF(AND(K1206&lt;&gt;"",TRIM(I1206&amp;"")&lt;&gt;""),K1206,"")</f>
        <v/>
      </c>
    </row>
    <row r="1207" customFormat="false" ht="15" hidden="false" customHeight="false" outlineLevel="0" collapsed="false">
      <c r="A1207" s="9"/>
      <c r="B1207" s="4"/>
      <c r="C1207" s="10"/>
      <c r="D1207" s="11" t="str">
        <f aca="false">IF(K1207="","",IFERROR(INDEX(DECKS!$C$2:$C$1201,MATCH(K1207,DECKS!$B$2:$B$1201,0)),TRIM(I1207&amp;"")))</f>
        <v/>
      </c>
      <c r="E1207" s="4"/>
      <c r="F1207" s="12"/>
      <c r="G1207" s="4"/>
      <c r="H1207" s="13" t="str">
        <f aca="false">IF(OR(N(C1207)=0,N(F1207)=0),"",C1207*F1207)</f>
        <v/>
      </c>
      <c r="I1207" s="4"/>
      <c r="J1207" s="11" t="str">
        <f aca="false">IF(K1207="","",IF(N(C1207)&lt;=0,"Informe a quantidade",IF(IFERROR(INDEX(INVENTÁRIO!$B$2:$B$801,MATCH(K1207,INVENTÁRIO!$A$2:$A$801,0)),"")="(sem nome)","Carta fora dos decks: digite o nome na coluna I (opcional)","")))</f>
        <v/>
      </c>
      <c r="K1207" s="11" t="str">
        <f aca="false">UPPER(TRIM(SUBSTITUTE(B1207&amp;"",CHAR(160)," ")))</f>
        <v/>
      </c>
      <c r="L1207" s="11" t="str">
        <f aca="false">IF(AND(K1207&lt;&gt;"",TRIM(I1207&amp;"")&lt;&gt;""),K1207,"")</f>
        <v/>
      </c>
    </row>
    <row r="1208" customFormat="false" ht="15" hidden="false" customHeight="false" outlineLevel="0" collapsed="false">
      <c r="A1208" s="9"/>
      <c r="B1208" s="4"/>
      <c r="C1208" s="10"/>
      <c r="D1208" s="11" t="str">
        <f aca="false">IF(K1208="","",IFERROR(INDEX(DECKS!$C$2:$C$1201,MATCH(K1208,DECKS!$B$2:$B$1201,0)),TRIM(I1208&amp;"")))</f>
        <v/>
      </c>
      <c r="E1208" s="4"/>
      <c r="F1208" s="12"/>
      <c r="G1208" s="4"/>
      <c r="H1208" s="13" t="str">
        <f aca="false">IF(OR(N(C1208)=0,N(F1208)=0),"",C1208*F1208)</f>
        <v/>
      </c>
      <c r="I1208" s="4"/>
      <c r="J1208" s="11" t="str">
        <f aca="false">IF(K1208="","",IF(N(C1208)&lt;=0,"Informe a quantidade",IF(IFERROR(INDEX(INVENTÁRIO!$B$2:$B$801,MATCH(K1208,INVENTÁRIO!$A$2:$A$801,0)),"")="(sem nome)","Carta fora dos decks: digite o nome na coluna I (opcional)","")))</f>
        <v/>
      </c>
      <c r="K1208" s="11" t="str">
        <f aca="false">UPPER(TRIM(SUBSTITUTE(B1208&amp;"",CHAR(160)," ")))</f>
        <v/>
      </c>
      <c r="L1208" s="11" t="str">
        <f aca="false">IF(AND(K1208&lt;&gt;"",TRIM(I1208&amp;"")&lt;&gt;""),K1208,"")</f>
        <v/>
      </c>
    </row>
    <row r="1209" customFormat="false" ht="15" hidden="false" customHeight="false" outlineLevel="0" collapsed="false">
      <c r="A1209" s="9"/>
      <c r="B1209" s="4"/>
      <c r="C1209" s="10"/>
      <c r="D1209" s="11" t="str">
        <f aca="false">IF(K1209="","",IFERROR(INDEX(DECKS!$C$2:$C$1201,MATCH(K1209,DECKS!$B$2:$B$1201,0)),TRIM(I1209&amp;"")))</f>
        <v/>
      </c>
      <c r="E1209" s="4"/>
      <c r="F1209" s="12"/>
      <c r="G1209" s="4"/>
      <c r="H1209" s="13" t="str">
        <f aca="false">IF(OR(N(C1209)=0,N(F1209)=0),"",C1209*F1209)</f>
        <v/>
      </c>
      <c r="I1209" s="4"/>
      <c r="J1209" s="11" t="str">
        <f aca="false">IF(K1209="","",IF(N(C1209)&lt;=0,"Informe a quantidade",IF(IFERROR(INDEX(INVENTÁRIO!$B$2:$B$801,MATCH(K1209,INVENTÁRIO!$A$2:$A$801,0)),"")="(sem nome)","Carta fora dos decks: digite o nome na coluna I (opcional)","")))</f>
        <v/>
      </c>
      <c r="K1209" s="11" t="str">
        <f aca="false">UPPER(TRIM(SUBSTITUTE(B1209&amp;"",CHAR(160)," ")))</f>
        <v/>
      </c>
      <c r="L1209" s="11" t="str">
        <f aca="false">IF(AND(K1209&lt;&gt;"",TRIM(I1209&amp;"")&lt;&gt;""),K1209,"")</f>
        <v/>
      </c>
    </row>
    <row r="1210" customFormat="false" ht="15" hidden="false" customHeight="false" outlineLevel="0" collapsed="false">
      <c r="A1210" s="9"/>
      <c r="B1210" s="4"/>
      <c r="C1210" s="10"/>
      <c r="D1210" s="11" t="str">
        <f aca="false">IF(K1210="","",IFERROR(INDEX(DECKS!$C$2:$C$1201,MATCH(K1210,DECKS!$B$2:$B$1201,0)),TRIM(I1210&amp;"")))</f>
        <v/>
      </c>
      <c r="E1210" s="4"/>
      <c r="F1210" s="12"/>
      <c r="G1210" s="4"/>
      <c r="H1210" s="13" t="str">
        <f aca="false">IF(OR(N(C1210)=0,N(F1210)=0),"",C1210*F1210)</f>
        <v/>
      </c>
      <c r="I1210" s="4"/>
      <c r="J1210" s="11" t="str">
        <f aca="false">IF(K1210="","",IF(N(C1210)&lt;=0,"Informe a quantidade",IF(IFERROR(INDEX(INVENTÁRIO!$B$2:$B$801,MATCH(K1210,INVENTÁRIO!$A$2:$A$801,0)),"")="(sem nome)","Carta fora dos decks: digite o nome na coluna I (opcional)","")))</f>
        <v/>
      </c>
      <c r="K1210" s="11" t="str">
        <f aca="false">UPPER(TRIM(SUBSTITUTE(B1210&amp;"",CHAR(160)," ")))</f>
        <v/>
      </c>
      <c r="L1210" s="11" t="str">
        <f aca="false">IF(AND(K1210&lt;&gt;"",TRIM(I1210&amp;"")&lt;&gt;""),K1210,"")</f>
        <v/>
      </c>
    </row>
    <row r="1211" customFormat="false" ht="15" hidden="false" customHeight="false" outlineLevel="0" collapsed="false">
      <c r="A1211" s="9"/>
      <c r="B1211" s="4"/>
      <c r="C1211" s="10"/>
      <c r="D1211" s="11" t="str">
        <f aca="false">IF(K1211="","",IFERROR(INDEX(DECKS!$C$2:$C$1201,MATCH(K1211,DECKS!$B$2:$B$1201,0)),TRIM(I1211&amp;"")))</f>
        <v/>
      </c>
      <c r="E1211" s="4"/>
      <c r="F1211" s="12"/>
      <c r="G1211" s="4"/>
      <c r="H1211" s="13" t="str">
        <f aca="false">IF(OR(N(C1211)=0,N(F1211)=0),"",C1211*F1211)</f>
        <v/>
      </c>
      <c r="I1211" s="4"/>
      <c r="J1211" s="11" t="str">
        <f aca="false">IF(K1211="","",IF(N(C1211)&lt;=0,"Informe a quantidade",IF(IFERROR(INDEX(INVENTÁRIO!$B$2:$B$801,MATCH(K1211,INVENTÁRIO!$A$2:$A$801,0)),"")="(sem nome)","Carta fora dos decks: digite o nome na coluna I (opcional)","")))</f>
        <v/>
      </c>
      <c r="K1211" s="11" t="str">
        <f aca="false">UPPER(TRIM(SUBSTITUTE(B1211&amp;"",CHAR(160)," ")))</f>
        <v/>
      </c>
      <c r="L1211" s="11" t="str">
        <f aca="false">IF(AND(K1211&lt;&gt;"",TRIM(I1211&amp;"")&lt;&gt;""),K1211,"")</f>
        <v/>
      </c>
    </row>
    <row r="1212" customFormat="false" ht="15" hidden="false" customHeight="false" outlineLevel="0" collapsed="false">
      <c r="A1212" s="9"/>
      <c r="B1212" s="4"/>
      <c r="C1212" s="10"/>
      <c r="D1212" s="11" t="str">
        <f aca="false">IF(K1212="","",IFERROR(INDEX(DECKS!$C$2:$C$1201,MATCH(K1212,DECKS!$B$2:$B$1201,0)),TRIM(I1212&amp;"")))</f>
        <v/>
      </c>
      <c r="E1212" s="4"/>
      <c r="F1212" s="12"/>
      <c r="G1212" s="4"/>
      <c r="H1212" s="13" t="str">
        <f aca="false">IF(OR(N(C1212)=0,N(F1212)=0),"",C1212*F1212)</f>
        <v/>
      </c>
      <c r="I1212" s="4"/>
      <c r="J1212" s="11" t="str">
        <f aca="false">IF(K1212="","",IF(N(C1212)&lt;=0,"Informe a quantidade",IF(IFERROR(INDEX(INVENTÁRIO!$B$2:$B$801,MATCH(K1212,INVENTÁRIO!$A$2:$A$801,0)),"")="(sem nome)","Carta fora dos decks: digite o nome na coluna I (opcional)","")))</f>
        <v/>
      </c>
      <c r="K1212" s="11" t="str">
        <f aca="false">UPPER(TRIM(SUBSTITUTE(B1212&amp;"",CHAR(160)," ")))</f>
        <v/>
      </c>
      <c r="L1212" s="11" t="str">
        <f aca="false">IF(AND(K1212&lt;&gt;"",TRIM(I1212&amp;"")&lt;&gt;""),K1212,"")</f>
        <v/>
      </c>
    </row>
    <row r="1213" customFormat="false" ht="15" hidden="false" customHeight="false" outlineLevel="0" collapsed="false">
      <c r="A1213" s="9"/>
      <c r="B1213" s="4"/>
      <c r="C1213" s="10"/>
      <c r="D1213" s="11" t="str">
        <f aca="false">IF(K1213="","",IFERROR(INDEX(DECKS!$C$2:$C$1201,MATCH(K1213,DECKS!$B$2:$B$1201,0)),TRIM(I1213&amp;"")))</f>
        <v/>
      </c>
      <c r="E1213" s="4"/>
      <c r="F1213" s="12"/>
      <c r="G1213" s="4"/>
      <c r="H1213" s="13" t="str">
        <f aca="false">IF(OR(N(C1213)=0,N(F1213)=0),"",C1213*F1213)</f>
        <v/>
      </c>
      <c r="I1213" s="4"/>
      <c r="J1213" s="11" t="str">
        <f aca="false">IF(K1213="","",IF(N(C1213)&lt;=0,"Informe a quantidade",IF(IFERROR(INDEX(INVENTÁRIO!$B$2:$B$801,MATCH(K1213,INVENTÁRIO!$A$2:$A$801,0)),"")="(sem nome)","Carta fora dos decks: digite o nome na coluna I (opcional)","")))</f>
        <v/>
      </c>
      <c r="K1213" s="11" t="str">
        <f aca="false">UPPER(TRIM(SUBSTITUTE(B1213&amp;"",CHAR(160)," ")))</f>
        <v/>
      </c>
      <c r="L1213" s="11" t="str">
        <f aca="false">IF(AND(K1213&lt;&gt;"",TRIM(I1213&amp;"")&lt;&gt;""),K1213,"")</f>
        <v/>
      </c>
    </row>
    <row r="1214" customFormat="false" ht="15" hidden="false" customHeight="false" outlineLevel="0" collapsed="false">
      <c r="A1214" s="9"/>
      <c r="B1214" s="4"/>
      <c r="C1214" s="10"/>
      <c r="D1214" s="11" t="str">
        <f aca="false">IF(K1214="","",IFERROR(INDEX(DECKS!$C$2:$C$1201,MATCH(K1214,DECKS!$B$2:$B$1201,0)),TRIM(I1214&amp;"")))</f>
        <v/>
      </c>
      <c r="E1214" s="4"/>
      <c r="F1214" s="12"/>
      <c r="G1214" s="4"/>
      <c r="H1214" s="13" t="str">
        <f aca="false">IF(OR(N(C1214)=0,N(F1214)=0),"",C1214*F1214)</f>
        <v/>
      </c>
      <c r="I1214" s="4"/>
      <c r="J1214" s="11" t="str">
        <f aca="false">IF(K1214="","",IF(N(C1214)&lt;=0,"Informe a quantidade",IF(IFERROR(INDEX(INVENTÁRIO!$B$2:$B$801,MATCH(K1214,INVENTÁRIO!$A$2:$A$801,0)),"")="(sem nome)","Carta fora dos decks: digite o nome na coluna I (opcional)","")))</f>
        <v/>
      </c>
      <c r="K1214" s="11" t="str">
        <f aca="false">UPPER(TRIM(SUBSTITUTE(B1214&amp;"",CHAR(160)," ")))</f>
        <v/>
      </c>
      <c r="L1214" s="11" t="str">
        <f aca="false">IF(AND(K1214&lt;&gt;"",TRIM(I1214&amp;"")&lt;&gt;""),K1214,"")</f>
        <v/>
      </c>
    </row>
    <row r="1215" customFormat="false" ht="15" hidden="false" customHeight="false" outlineLevel="0" collapsed="false">
      <c r="A1215" s="9"/>
      <c r="B1215" s="4"/>
      <c r="C1215" s="10"/>
      <c r="D1215" s="11" t="str">
        <f aca="false">IF(K1215="","",IFERROR(INDEX(DECKS!$C$2:$C$1201,MATCH(K1215,DECKS!$B$2:$B$1201,0)),TRIM(I1215&amp;"")))</f>
        <v/>
      </c>
      <c r="E1215" s="4"/>
      <c r="F1215" s="12"/>
      <c r="G1215" s="4"/>
      <c r="H1215" s="13" t="str">
        <f aca="false">IF(OR(N(C1215)=0,N(F1215)=0),"",C1215*F1215)</f>
        <v/>
      </c>
      <c r="I1215" s="4"/>
      <c r="J1215" s="11" t="str">
        <f aca="false">IF(K1215="","",IF(N(C1215)&lt;=0,"Informe a quantidade",IF(IFERROR(INDEX(INVENTÁRIO!$B$2:$B$801,MATCH(K1215,INVENTÁRIO!$A$2:$A$801,0)),"")="(sem nome)","Carta fora dos decks: digite o nome na coluna I (opcional)","")))</f>
        <v/>
      </c>
      <c r="K1215" s="11" t="str">
        <f aca="false">UPPER(TRIM(SUBSTITUTE(B1215&amp;"",CHAR(160)," ")))</f>
        <v/>
      </c>
      <c r="L1215" s="11" t="str">
        <f aca="false">IF(AND(K1215&lt;&gt;"",TRIM(I1215&amp;"")&lt;&gt;""),K1215,"")</f>
        <v/>
      </c>
    </row>
    <row r="1216" customFormat="false" ht="15" hidden="false" customHeight="false" outlineLevel="0" collapsed="false">
      <c r="A1216" s="9"/>
      <c r="B1216" s="4"/>
      <c r="C1216" s="10"/>
      <c r="D1216" s="11" t="str">
        <f aca="false">IF(K1216="","",IFERROR(INDEX(DECKS!$C$2:$C$1201,MATCH(K1216,DECKS!$B$2:$B$1201,0)),TRIM(I1216&amp;"")))</f>
        <v/>
      </c>
      <c r="E1216" s="4"/>
      <c r="F1216" s="12"/>
      <c r="G1216" s="4"/>
      <c r="H1216" s="13" t="str">
        <f aca="false">IF(OR(N(C1216)=0,N(F1216)=0),"",C1216*F1216)</f>
        <v/>
      </c>
      <c r="I1216" s="4"/>
      <c r="J1216" s="11" t="str">
        <f aca="false">IF(K1216="","",IF(N(C1216)&lt;=0,"Informe a quantidade",IF(IFERROR(INDEX(INVENTÁRIO!$B$2:$B$801,MATCH(K1216,INVENTÁRIO!$A$2:$A$801,0)),"")="(sem nome)","Carta fora dos decks: digite o nome na coluna I (opcional)","")))</f>
        <v/>
      </c>
      <c r="K1216" s="11" t="str">
        <f aca="false">UPPER(TRIM(SUBSTITUTE(B1216&amp;"",CHAR(160)," ")))</f>
        <v/>
      </c>
      <c r="L1216" s="11" t="str">
        <f aca="false">IF(AND(K1216&lt;&gt;"",TRIM(I1216&amp;"")&lt;&gt;""),K1216,"")</f>
        <v/>
      </c>
    </row>
    <row r="1217" customFormat="false" ht="15" hidden="false" customHeight="false" outlineLevel="0" collapsed="false">
      <c r="A1217" s="9"/>
      <c r="B1217" s="4"/>
      <c r="C1217" s="10"/>
      <c r="D1217" s="11" t="str">
        <f aca="false">IF(K1217="","",IFERROR(INDEX(DECKS!$C$2:$C$1201,MATCH(K1217,DECKS!$B$2:$B$1201,0)),TRIM(I1217&amp;"")))</f>
        <v/>
      </c>
      <c r="E1217" s="4"/>
      <c r="F1217" s="12"/>
      <c r="G1217" s="4"/>
      <c r="H1217" s="13" t="str">
        <f aca="false">IF(OR(N(C1217)=0,N(F1217)=0),"",C1217*F1217)</f>
        <v/>
      </c>
      <c r="I1217" s="4"/>
      <c r="J1217" s="11" t="str">
        <f aca="false">IF(K1217="","",IF(N(C1217)&lt;=0,"Informe a quantidade",IF(IFERROR(INDEX(INVENTÁRIO!$B$2:$B$801,MATCH(K1217,INVENTÁRIO!$A$2:$A$801,0)),"")="(sem nome)","Carta fora dos decks: digite o nome na coluna I (opcional)","")))</f>
        <v/>
      </c>
      <c r="K1217" s="11" t="str">
        <f aca="false">UPPER(TRIM(SUBSTITUTE(B1217&amp;"",CHAR(160)," ")))</f>
        <v/>
      </c>
      <c r="L1217" s="11" t="str">
        <f aca="false">IF(AND(K1217&lt;&gt;"",TRIM(I1217&amp;"")&lt;&gt;""),K1217,"")</f>
        <v/>
      </c>
    </row>
    <row r="1218" customFormat="false" ht="15" hidden="false" customHeight="false" outlineLevel="0" collapsed="false">
      <c r="A1218" s="9"/>
      <c r="B1218" s="4"/>
      <c r="C1218" s="10"/>
      <c r="D1218" s="11" t="str">
        <f aca="false">IF(K1218="","",IFERROR(INDEX(DECKS!$C$2:$C$1201,MATCH(K1218,DECKS!$B$2:$B$1201,0)),TRIM(I1218&amp;"")))</f>
        <v/>
      </c>
      <c r="E1218" s="4"/>
      <c r="F1218" s="12"/>
      <c r="G1218" s="4"/>
      <c r="H1218" s="13" t="str">
        <f aca="false">IF(OR(N(C1218)=0,N(F1218)=0),"",C1218*F1218)</f>
        <v/>
      </c>
      <c r="I1218" s="4"/>
      <c r="J1218" s="11" t="str">
        <f aca="false">IF(K1218="","",IF(N(C1218)&lt;=0,"Informe a quantidade",IF(IFERROR(INDEX(INVENTÁRIO!$B$2:$B$801,MATCH(K1218,INVENTÁRIO!$A$2:$A$801,0)),"")="(sem nome)","Carta fora dos decks: digite o nome na coluna I (opcional)","")))</f>
        <v/>
      </c>
      <c r="K1218" s="11" t="str">
        <f aca="false">UPPER(TRIM(SUBSTITUTE(B1218&amp;"",CHAR(160)," ")))</f>
        <v/>
      </c>
      <c r="L1218" s="11" t="str">
        <f aca="false">IF(AND(K1218&lt;&gt;"",TRIM(I1218&amp;"")&lt;&gt;""),K1218,"")</f>
        <v/>
      </c>
    </row>
    <row r="1219" customFormat="false" ht="15" hidden="false" customHeight="false" outlineLevel="0" collapsed="false">
      <c r="A1219" s="9"/>
      <c r="B1219" s="4"/>
      <c r="C1219" s="10"/>
      <c r="D1219" s="11" t="str">
        <f aca="false">IF(K1219="","",IFERROR(INDEX(DECKS!$C$2:$C$1201,MATCH(K1219,DECKS!$B$2:$B$1201,0)),TRIM(I1219&amp;"")))</f>
        <v/>
      </c>
      <c r="E1219" s="4"/>
      <c r="F1219" s="12"/>
      <c r="G1219" s="4"/>
      <c r="H1219" s="13" t="str">
        <f aca="false">IF(OR(N(C1219)=0,N(F1219)=0),"",C1219*F1219)</f>
        <v/>
      </c>
      <c r="I1219" s="4"/>
      <c r="J1219" s="11" t="str">
        <f aca="false">IF(K1219="","",IF(N(C1219)&lt;=0,"Informe a quantidade",IF(IFERROR(INDEX(INVENTÁRIO!$B$2:$B$801,MATCH(K1219,INVENTÁRIO!$A$2:$A$801,0)),"")="(sem nome)","Carta fora dos decks: digite o nome na coluna I (opcional)","")))</f>
        <v/>
      </c>
      <c r="K1219" s="11" t="str">
        <f aca="false">UPPER(TRIM(SUBSTITUTE(B1219&amp;"",CHAR(160)," ")))</f>
        <v/>
      </c>
      <c r="L1219" s="11" t="str">
        <f aca="false">IF(AND(K1219&lt;&gt;"",TRIM(I1219&amp;"")&lt;&gt;""),K1219,"")</f>
        <v/>
      </c>
    </row>
    <row r="1220" customFormat="false" ht="15" hidden="false" customHeight="false" outlineLevel="0" collapsed="false">
      <c r="A1220" s="9"/>
      <c r="B1220" s="4"/>
      <c r="C1220" s="10"/>
      <c r="D1220" s="11" t="str">
        <f aca="false">IF(K1220="","",IFERROR(INDEX(DECKS!$C$2:$C$1201,MATCH(K1220,DECKS!$B$2:$B$1201,0)),TRIM(I1220&amp;"")))</f>
        <v/>
      </c>
      <c r="E1220" s="4"/>
      <c r="F1220" s="12"/>
      <c r="G1220" s="4"/>
      <c r="H1220" s="13" t="str">
        <f aca="false">IF(OR(N(C1220)=0,N(F1220)=0),"",C1220*F1220)</f>
        <v/>
      </c>
      <c r="I1220" s="4"/>
      <c r="J1220" s="11" t="str">
        <f aca="false">IF(K1220="","",IF(N(C1220)&lt;=0,"Informe a quantidade",IF(IFERROR(INDEX(INVENTÁRIO!$B$2:$B$801,MATCH(K1220,INVENTÁRIO!$A$2:$A$801,0)),"")="(sem nome)","Carta fora dos decks: digite o nome na coluna I (opcional)","")))</f>
        <v/>
      </c>
      <c r="K1220" s="11" t="str">
        <f aca="false">UPPER(TRIM(SUBSTITUTE(B1220&amp;"",CHAR(160)," ")))</f>
        <v/>
      </c>
      <c r="L1220" s="11" t="str">
        <f aca="false">IF(AND(K1220&lt;&gt;"",TRIM(I1220&amp;"")&lt;&gt;""),K1220,"")</f>
        <v/>
      </c>
    </row>
    <row r="1221" customFormat="false" ht="15" hidden="false" customHeight="false" outlineLevel="0" collapsed="false">
      <c r="A1221" s="9"/>
      <c r="B1221" s="4"/>
      <c r="C1221" s="10"/>
      <c r="D1221" s="11" t="str">
        <f aca="false">IF(K1221="","",IFERROR(INDEX(DECKS!$C$2:$C$1201,MATCH(K1221,DECKS!$B$2:$B$1201,0)),TRIM(I1221&amp;"")))</f>
        <v/>
      </c>
      <c r="E1221" s="4"/>
      <c r="F1221" s="12"/>
      <c r="G1221" s="4"/>
      <c r="H1221" s="13" t="str">
        <f aca="false">IF(OR(N(C1221)=0,N(F1221)=0),"",C1221*F1221)</f>
        <v/>
      </c>
      <c r="I1221" s="4"/>
      <c r="J1221" s="11" t="str">
        <f aca="false">IF(K1221="","",IF(N(C1221)&lt;=0,"Informe a quantidade",IF(IFERROR(INDEX(INVENTÁRIO!$B$2:$B$801,MATCH(K1221,INVENTÁRIO!$A$2:$A$801,0)),"")="(sem nome)","Carta fora dos decks: digite o nome na coluna I (opcional)","")))</f>
        <v/>
      </c>
      <c r="K1221" s="11" t="str">
        <f aca="false">UPPER(TRIM(SUBSTITUTE(B1221&amp;"",CHAR(160)," ")))</f>
        <v/>
      </c>
      <c r="L1221" s="11" t="str">
        <f aca="false">IF(AND(K1221&lt;&gt;"",TRIM(I1221&amp;"")&lt;&gt;""),K1221,"")</f>
        <v/>
      </c>
    </row>
    <row r="1222" customFormat="false" ht="15" hidden="false" customHeight="false" outlineLevel="0" collapsed="false">
      <c r="A1222" s="9"/>
      <c r="B1222" s="4"/>
      <c r="C1222" s="10"/>
      <c r="D1222" s="11" t="str">
        <f aca="false">IF(K1222="","",IFERROR(INDEX(DECKS!$C$2:$C$1201,MATCH(K1222,DECKS!$B$2:$B$1201,0)),TRIM(I1222&amp;"")))</f>
        <v/>
      </c>
      <c r="E1222" s="4"/>
      <c r="F1222" s="12"/>
      <c r="G1222" s="4"/>
      <c r="H1222" s="13" t="str">
        <f aca="false">IF(OR(N(C1222)=0,N(F1222)=0),"",C1222*F1222)</f>
        <v/>
      </c>
      <c r="I1222" s="4"/>
      <c r="J1222" s="11" t="str">
        <f aca="false">IF(K1222="","",IF(N(C1222)&lt;=0,"Informe a quantidade",IF(IFERROR(INDEX(INVENTÁRIO!$B$2:$B$801,MATCH(K1222,INVENTÁRIO!$A$2:$A$801,0)),"")="(sem nome)","Carta fora dos decks: digite o nome na coluna I (opcional)","")))</f>
        <v/>
      </c>
      <c r="K1222" s="11" t="str">
        <f aca="false">UPPER(TRIM(SUBSTITUTE(B1222&amp;"",CHAR(160)," ")))</f>
        <v/>
      </c>
      <c r="L1222" s="11" t="str">
        <f aca="false">IF(AND(K1222&lt;&gt;"",TRIM(I1222&amp;"")&lt;&gt;""),K1222,"")</f>
        <v/>
      </c>
    </row>
    <row r="1223" customFormat="false" ht="15" hidden="false" customHeight="false" outlineLevel="0" collapsed="false">
      <c r="A1223" s="9"/>
      <c r="B1223" s="4"/>
      <c r="C1223" s="10"/>
      <c r="D1223" s="11" t="str">
        <f aca="false">IF(K1223="","",IFERROR(INDEX(DECKS!$C$2:$C$1201,MATCH(K1223,DECKS!$B$2:$B$1201,0)),TRIM(I1223&amp;"")))</f>
        <v/>
      </c>
      <c r="E1223" s="4"/>
      <c r="F1223" s="12"/>
      <c r="G1223" s="4"/>
      <c r="H1223" s="13" t="str">
        <f aca="false">IF(OR(N(C1223)=0,N(F1223)=0),"",C1223*F1223)</f>
        <v/>
      </c>
      <c r="I1223" s="4"/>
      <c r="J1223" s="11" t="str">
        <f aca="false">IF(K1223="","",IF(N(C1223)&lt;=0,"Informe a quantidade",IF(IFERROR(INDEX(INVENTÁRIO!$B$2:$B$801,MATCH(K1223,INVENTÁRIO!$A$2:$A$801,0)),"")="(sem nome)","Carta fora dos decks: digite o nome na coluna I (opcional)","")))</f>
        <v/>
      </c>
      <c r="K1223" s="11" t="str">
        <f aca="false">UPPER(TRIM(SUBSTITUTE(B1223&amp;"",CHAR(160)," ")))</f>
        <v/>
      </c>
      <c r="L1223" s="11" t="str">
        <f aca="false">IF(AND(K1223&lt;&gt;"",TRIM(I1223&amp;"")&lt;&gt;""),K1223,"")</f>
        <v/>
      </c>
    </row>
    <row r="1224" customFormat="false" ht="15" hidden="false" customHeight="false" outlineLevel="0" collapsed="false">
      <c r="A1224" s="9"/>
      <c r="B1224" s="4"/>
      <c r="C1224" s="10"/>
      <c r="D1224" s="11" t="str">
        <f aca="false">IF(K1224="","",IFERROR(INDEX(DECKS!$C$2:$C$1201,MATCH(K1224,DECKS!$B$2:$B$1201,0)),TRIM(I1224&amp;"")))</f>
        <v/>
      </c>
      <c r="E1224" s="4"/>
      <c r="F1224" s="12"/>
      <c r="G1224" s="4"/>
      <c r="H1224" s="13" t="str">
        <f aca="false">IF(OR(N(C1224)=0,N(F1224)=0),"",C1224*F1224)</f>
        <v/>
      </c>
      <c r="I1224" s="4"/>
      <c r="J1224" s="11" t="str">
        <f aca="false">IF(K1224="","",IF(N(C1224)&lt;=0,"Informe a quantidade",IF(IFERROR(INDEX(INVENTÁRIO!$B$2:$B$801,MATCH(K1224,INVENTÁRIO!$A$2:$A$801,0)),"")="(sem nome)","Carta fora dos decks: digite o nome na coluna I (opcional)","")))</f>
        <v/>
      </c>
      <c r="K1224" s="11" t="str">
        <f aca="false">UPPER(TRIM(SUBSTITUTE(B1224&amp;"",CHAR(160)," ")))</f>
        <v/>
      </c>
      <c r="L1224" s="11" t="str">
        <f aca="false">IF(AND(K1224&lt;&gt;"",TRIM(I1224&amp;"")&lt;&gt;""),K1224,"")</f>
        <v/>
      </c>
    </row>
    <row r="1225" customFormat="false" ht="15" hidden="false" customHeight="false" outlineLevel="0" collapsed="false">
      <c r="A1225" s="9"/>
      <c r="B1225" s="4"/>
      <c r="C1225" s="10"/>
      <c r="D1225" s="11" t="str">
        <f aca="false">IF(K1225="","",IFERROR(INDEX(DECKS!$C$2:$C$1201,MATCH(K1225,DECKS!$B$2:$B$1201,0)),TRIM(I1225&amp;"")))</f>
        <v/>
      </c>
      <c r="E1225" s="4"/>
      <c r="F1225" s="12"/>
      <c r="G1225" s="4"/>
      <c r="H1225" s="13" t="str">
        <f aca="false">IF(OR(N(C1225)=0,N(F1225)=0),"",C1225*F1225)</f>
        <v/>
      </c>
      <c r="I1225" s="4"/>
      <c r="J1225" s="11" t="str">
        <f aca="false">IF(K1225="","",IF(N(C1225)&lt;=0,"Informe a quantidade",IF(IFERROR(INDEX(INVENTÁRIO!$B$2:$B$801,MATCH(K1225,INVENTÁRIO!$A$2:$A$801,0)),"")="(sem nome)","Carta fora dos decks: digite o nome na coluna I (opcional)","")))</f>
        <v/>
      </c>
      <c r="K1225" s="11" t="str">
        <f aca="false">UPPER(TRIM(SUBSTITUTE(B1225&amp;"",CHAR(160)," ")))</f>
        <v/>
      </c>
      <c r="L1225" s="11" t="str">
        <f aca="false">IF(AND(K1225&lt;&gt;"",TRIM(I1225&amp;"")&lt;&gt;""),K1225,"")</f>
        <v/>
      </c>
    </row>
    <row r="1226" customFormat="false" ht="15" hidden="false" customHeight="false" outlineLevel="0" collapsed="false">
      <c r="A1226" s="9"/>
      <c r="B1226" s="4"/>
      <c r="C1226" s="10"/>
      <c r="D1226" s="11" t="str">
        <f aca="false">IF(K1226="","",IFERROR(INDEX(DECKS!$C$2:$C$1201,MATCH(K1226,DECKS!$B$2:$B$1201,0)),TRIM(I1226&amp;"")))</f>
        <v/>
      </c>
      <c r="E1226" s="4"/>
      <c r="F1226" s="12"/>
      <c r="G1226" s="4"/>
      <c r="H1226" s="13" t="str">
        <f aca="false">IF(OR(N(C1226)=0,N(F1226)=0),"",C1226*F1226)</f>
        <v/>
      </c>
      <c r="I1226" s="4"/>
      <c r="J1226" s="11" t="str">
        <f aca="false">IF(K1226="","",IF(N(C1226)&lt;=0,"Informe a quantidade",IF(IFERROR(INDEX(INVENTÁRIO!$B$2:$B$801,MATCH(K1226,INVENTÁRIO!$A$2:$A$801,0)),"")="(sem nome)","Carta fora dos decks: digite o nome na coluna I (opcional)","")))</f>
        <v/>
      </c>
      <c r="K1226" s="11" t="str">
        <f aca="false">UPPER(TRIM(SUBSTITUTE(B1226&amp;"",CHAR(160)," ")))</f>
        <v/>
      </c>
      <c r="L1226" s="11" t="str">
        <f aca="false">IF(AND(K1226&lt;&gt;"",TRIM(I1226&amp;"")&lt;&gt;""),K1226,"")</f>
        <v/>
      </c>
    </row>
    <row r="1227" customFormat="false" ht="15" hidden="false" customHeight="false" outlineLevel="0" collapsed="false">
      <c r="A1227" s="9"/>
      <c r="B1227" s="4"/>
      <c r="C1227" s="10"/>
      <c r="D1227" s="11" t="str">
        <f aca="false">IF(K1227="","",IFERROR(INDEX(DECKS!$C$2:$C$1201,MATCH(K1227,DECKS!$B$2:$B$1201,0)),TRIM(I1227&amp;"")))</f>
        <v/>
      </c>
      <c r="E1227" s="4"/>
      <c r="F1227" s="12"/>
      <c r="G1227" s="4"/>
      <c r="H1227" s="13" t="str">
        <f aca="false">IF(OR(N(C1227)=0,N(F1227)=0),"",C1227*F1227)</f>
        <v/>
      </c>
      <c r="I1227" s="4"/>
      <c r="J1227" s="11" t="str">
        <f aca="false">IF(K1227="","",IF(N(C1227)&lt;=0,"Informe a quantidade",IF(IFERROR(INDEX(INVENTÁRIO!$B$2:$B$801,MATCH(K1227,INVENTÁRIO!$A$2:$A$801,0)),"")="(sem nome)","Carta fora dos decks: digite o nome na coluna I (opcional)","")))</f>
        <v/>
      </c>
      <c r="K1227" s="11" t="str">
        <f aca="false">UPPER(TRIM(SUBSTITUTE(B1227&amp;"",CHAR(160)," ")))</f>
        <v/>
      </c>
      <c r="L1227" s="11" t="str">
        <f aca="false">IF(AND(K1227&lt;&gt;"",TRIM(I1227&amp;"")&lt;&gt;""),K1227,"")</f>
        <v/>
      </c>
    </row>
    <row r="1228" customFormat="false" ht="15" hidden="false" customHeight="false" outlineLevel="0" collapsed="false">
      <c r="A1228" s="9"/>
      <c r="B1228" s="4"/>
      <c r="C1228" s="10"/>
      <c r="D1228" s="11" t="str">
        <f aca="false">IF(K1228="","",IFERROR(INDEX(DECKS!$C$2:$C$1201,MATCH(K1228,DECKS!$B$2:$B$1201,0)),TRIM(I1228&amp;"")))</f>
        <v/>
      </c>
      <c r="E1228" s="4"/>
      <c r="F1228" s="12"/>
      <c r="G1228" s="4"/>
      <c r="H1228" s="13" t="str">
        <f aca="false">IF(OR(N(C1228)=0,N(F1228)=0),"",C1228*F1228)</f>
        <v/>
      </c>
      <c r="I1228" s="4"/>
      <c r="J1228" s="11" t="str">
        <f aca="false">IF(K1228="","",IF(N(C1228)&lt;=0,"Informe a quantidade",IF(IFERROR(INDEX(INVENTÁRIO!$B$2:$B$801,MATCH(K1228,INVENTÁRIO!$A$2:$A$801,0)),"")="(sem nome)","Carta fora dos decks: digite o nome na coluna I (opcional)","")))</f>
        <v/>
      </c>
      <c r="K1228" s="11" t="str">
        <f aca="false">UPPER(TRIM(SUBSTITUTE(B1228&amp;"",CHAR(160)," ")))</f>
        <v/>
      </c>
      <c r="L1228" s="11" t="str">
        <f aca="false">IF(AND(K1228&lt;&gt;"",TRIM(I1228&amp;"")&lt;&gt;""),K1228,"")</f>
        <v/>
      </c>
    </row>
    <row r="1229" customFormat="false" ht="15" hidden="false" customHeight="false" outlineLevel="0" collapsed="false">
      <c r="A1229" s="9"/>
      <c r="B1229" s="4"/>
      <c r="C1229" s="10"/>
      <c r="D1229" s="11" t="str">
        <f aca="false">IF(K1229="","",IFERROR(INDEX(DECKS!$C$2:$C$1201,MATCH(K1229,DECKS!$B$2:$B$1201,0)),TRIM(I1229&amp;"")))</f>
        <v/>
      </c>
      <c r="E1229" s="4"/>
      <c r="F1229" s="12"/>
      <c r="G1229" s="4"/>
      <c r="H1229" s="13" t="str">
        <f aca="false">IF(OR(N(C1229)=0,N(F1229)=0),"",C1229*F1229)</f>
        <v/>
      </c>
      <c r="I1229" s="4"/>
      <c r="J1229" s="11" t="str">
        <f aca="false">IF(K1229="","",IF(N(C1229)&lt;=0,"Informe a quantidade",IF(IFERROR(INDEX(INVENTÁRIO!$B$2:$B$801,MATCH(K1229,INVENTÁRIO!$A$2:$A$801,0)),"")="(sem nome)","Carta fora dos decks: digite o nome na coluna I (opcional)","")))</f>
        <v/>
      </c>
      <c r="K1229" s="11" t="str">
        <f aca="false">UPPER(TRIM(SUBSTITUTE(B1229&amp;"",CHAR(160)," ")))</f>
        <v/>
      </c>
      <c r="L1229" s="11" t="str">
        <f aca="false">IF(AND(K1229&lt;&gt;"",TRIM(I1229&amp;"")&lt;&gt;""),K1229,"")</f>
        <v/>
      </c>
    </row>
    <row r="1230" customFormat="false" ht="15" hidden="false" customHeight="false" outlineLevel="0" collapsed="false">
      <c r="A1230" s="9"/>
      <c r="B1230" s="4"/>
      <c r="C1230" s="10"/>
      <c r="D1230" s="11" t="str">
        <f aca="false">IF(K1230="","",IFERROR(INDEX(DECKS!$C$2:$C$1201,MATCH(K1230,DECKS!$B$2:$B$1201,0)),TRIM(I1230&amp;"")))</f>
        <v/>
      </c>
      <c r="E1230" s="4"/>
      <c r="F1230" s="12"/>
      <c r="G1230" s="4"/>
      <c r="H1230" s="13" t="str">
        <f aca="false">IF(OR(N(C1230)=0,N(F1230)=0),"",C1230*F1230)</f>
        <v/>
      </c>
      <c r="I1230" s="4"/>
      <c r="J1230" s="11" t="str">
        <f aca="false">IF(K1230="","",IF(N(C1230)&lt;=0,"Informe a quantidade",IF(IFERROR(INDEX(INVENTÁRIO!$B$2:$B$801,MATCH(K1230,INVENTÁRIO!$A$2:$A$801,0)),"")="(sem nome)","Carta fora dos decks: digite o nome na coluna I (opcional)","")))</f>
        <v/>
      </c>
      <c r="K1230" s="11" t="str">
        <f aca="false">UPPER(TRIM(SUBSTITUTE(B1230&amp;"",CHAR(160)," ")))</f>
        <v/>
      </c>
      <c r="L1230" s="11" t="str">
        <f aca="false">IF(AND(K1230&lt;&gt;"",TRIM(I1230&amp;"")&lt;&gt;""),K1230,"")</f>
        <v/>
      </c>
    </row>
    <row r="1231" customFormat="false" ht="15" hidden="false" customHeight="false" outlineLevel="0" collapsed="false">
      <c r="A1231" s="9"/>
      <c r="B1231" s="4"/>
      <c r="C1231" s="10"/>
      <c r="D1231" s="11" t="str">
        <f aca="false">IF(K1231="","",IFERROR(INDEX(DECKS!$C$2:$C$1201,MATCH(K1231,DECKS!$B$2:$B$1201,0)),TRIM(I1231&amp;"")))</f>
        <v/>
      </c>
      <c r="E1231" s="4"/>
      <c r="F1231" s="12"/>
      <c r="G1231" s="4"/>
      <c r="H1231" s="13" t="str">
        <f aca="false">IF(OR(N(C1231)=0,N(F1231)=0),"",C1231*F1231)</f>
        <v/>
      </c>
      <c r="I1231" s="4"/>
      <c r="J1231" s="11" t="str">
        <f aca="false">IF(K1231="","",IF(N(C1231)&lt;=0,"Informe a quantidade",IF(IFERROR(INDEX(INVENTÁRIO!$B$2:$B$801,MATCH(K1231,INVENTÁRIO!$A$2:$A$801,0)),"")="(sem nome)","Carta fora dos decks: digite o nome na coluna I (opcional)","")))</f>
        <v/>
      </c>
      <c r="K1231" s="11" t="str">
        <f aca="false">UPPER(TRIM(SUBSTITUTE(B1231&amp;"",CHAR(160)," ")))</f>
        <v/>
      </c>
      <c r="L1231" s="11" t="str">
        <f aca="false">IF(AND(K1231&lt;&gt;"",TRIM(I1231&amp;"")&lt;&gt;""),K1231,"")</f>
        <v/>
      </c>
    </row>
    <row r="1232" customFormat="false" ht="15" hidden="false" customHeight="false" outlineLevel="0" collapsed="false">
      <c r="A1232" s="9"/>
      <c r="B1232" s="4"/>
      <c r="C1232" s="10"/>
      <c r="D1232" s="11" t="str">
        <f aca="false">IF(K1232="","",IFERROR(INDEX(DECKS!$C$2:$C$1201,MATCH(K1232,DECKS!$B$2:$B$1201,0)),TRIM(I1232&amp;"")))</f>
        <v/>
      </c>
      <c r="E1232" s="4"/>
      <c r="F1232" s="12"/>
      <c r="G1232" s="4"/>
      <c r="H1232" s="13" t="str">
        <f aca="false">IF(OR(N(C1232)=0,N(F1232)=0),"",C1232*F1232)</f>
        <v/>
      </c>
      <c r="I1232" s="4"/>
      <c r="J1232" s="11" t="str">
        <f aca="false">IF(K1232="","",IF(N(C1232)&lt;=0,"Informe a quantidade",IF(IFERROR(INDEX(INVENTÁRIO!$B$2:$B$801,MATCH(K1232,INVENTÁRIO!$A$2:$A$801,0)),"")="(sem nome)","Carta fora dos decks: digite o nome na coluna I (opcional)","")))</f>
        <v/>
      </c>
      <c r="K1232" s="11" t="str">
        <f aca="false">UPPER(TRIM(SUBSTITUTE(B1232&amp;"",CHAR(160)," ")))</f>
        <v/>
      </c>
      <c r="L1232" s="11" t="str">
        <f aca="false">IF(AND(K1232&lt;&gt;"",TRIM(I1232&amp;"")&lt;&gt;""),K1232,"")</f>
        <v/>
      </c>
    </row>
    <row r="1233" customFormat="false" ht="15" hidden="false" customHeight="false" outlineLevel="0" collapsed="false">
      <c r="A1233" s="9"/>
      <c r="B1233" s="4"/>
      <c r="C1233" s="10"/>
      <c r="D1233" s="11" t="str">
        <f aca="false">IF(K1233="","",IFERROR(INDEX(DECKS!$C$2:$C$1201,MATCH(K1233,DECKS!$B$2:$B$1201,0)),TRIM(I1233&amp;"")))</f>
        <v/>
      </c>
      <c r="E1233" s="4"/>
      <c r="F1233" s="12"/>
      <c r="G1233" s="4"/>
      <c r="H1233" s="13" t="str">
        <f aca="false">IF(OR(N(C1233)=0,N(F1233)=0),"",C1233*F1233)</f>
        <v/>
      </c>
      <c r="I1233" s="4"/>
      <c r="J1233" s="11" t="str">
        <f aca="false">IF(K1233="","",IF(N(C1233)&lt;=0,"Informe a quantidade",IF(IFERROR(INDEX(INVENTÁRIO!$B$2:$B$801,MATCH(K1233,INVENTÁRIO!$A$2:$A$801,0)),"")="(sem nome)","Carta fora dos decks: digite o nome na coluna I (opcional)","")))</f>
        <v/>
      </c>
      <c r="K1233" s="11" t="str">
        <f aca="false">UPPER(TRIM(SUBSTITUTE(B1233&amp;"",CHAR(160)," ")))</f>
        <v/>
      </c>
      <c r="L1233" s="11" t="str">
        <f aca="false">IF(AND(K1233&lt;&gt;"",TRIM(I1233&amp;"")&lt;&gt;""),K1233,"")</f>
        <v/>
      </c>
    </row>
    <row r="1234" customFormat="false" ht="15" hidden="false" customHeight="false" outlineLevel="0" collapsed="false">
      <c r="A1234" s="9"/>
      <c r="B1234" s="4"/>
      <c r="C1234" s="10"/>
      <c r="D1234" s="11" t="str">
        <f aca="false">IF(K1234="","",IFERROR(INDEX(DECKS!$C$2:$C$1201,MATCH(K1234,DECKS!$B$2:$B$1201,0)),TRIM(I1234&amp;"")))</f>
        <v/>
      </c>
      <c r="E1234" s="4"/>
      <c r="F1234" s="12"/>
      <c r="G1234" s="4"/>
      <c r="H1234" s="13" t="str">
        <f aca="false">IF(OR(N(C1234)=0,N(F1234)=0),"",C1234*F1234)</f>
        <v/>
      </c>
      <c r="I1234" s="4"/>
      <c r="J1234" s="11" t="str">
        <f aca="false">IF(K1234="","",IF(N(C1234)&lt;=0,"Informe a quantidade",IF(IFERROR(INDEX(INVENTÁRIO!$B$2:$B$801,MATCH(K1234,INVENTÁRIO!$A$2:$A$801,0)),"")="(sem nome)","Carta fora dos decks: digite o nome na coluna I (opcional)","")))</f>
        <v/>
      </c>
      <c r="K1234" s="11" t="str">
        <f aca="false">UPPER(TRIM(SUBSTITUTE(B1234&amp;"",CHAR(160)," ")))</f>
        <v/>
      </c>
      <c r="L1234" s="11" t="str">
        <f aca="false">IF(AND(K1234&lt;&gt;"",TRIM(I1234&amp;"")&lt;&gt;""),K1234,"")</f>
        <v/>
      </c>
    </row>
    <row r="1235" customFormat="false" ht="15" hidden="false" customHeight="false" outlineLevel="0" collapsed="false">
      <c r="A1235" s="9"/>
      <c r="B1235" s="4"/>
      <c r="C1235" s="10"/>
      <c r="D1235" s="11" t="str">
        <f aca="false">IF(K1235="","",IFERROR(INDEX(DECKS!$C$2:$C$1201,MATCH(K1235,DECKS!$B$2:$B$1201,0)),TRIM(I1235&amp;"")))</f>
        <v/>
      </c>
      <c r="E1235" s="4"/>
      <c r="F1235" s="12"/>
      <c r="G1235" s="4"/>
      <c r="H1235" s="13" t="str">
        <f aca="false">IF(OR(N(C1235)=0,N(F1235)=0),"",C1235*F1235)</f>
        <v/>
      </c>
      <c r="I1235" s="4"/>
      <c r="J1235" s="11" t="str">
        <f aca="false">IF(K1235="","",IF(N(C1235)&lt;=0,"Informe a quantidade",IF(IFERROR(INDEX(INVENTÁRIO!$B$2:$B$801,MATCH(K1235,INVENTÁRIO!$A$2:$A$801,0)),"")="(sem nome)","Carta fora dos decks: digite o nome na coluna I (opcional)","")))</f>
        <v/>
      </c>
      <c r="K1235" s="11" t="str">
        <f aca="false">UPPER(TRIM(SUBSTITUTE(B1235&amp;"",CHAR(160)," ")))</f>
        <v/>
      </c>
      <c r="L1235" s="11" t="str">
        <f aca="false">IF(AND(K1235&lt;&gt;"",TRIM(I1235&amp;"")&lt;&gt;""),K1235,"")</f>
        <v/>
      </c>
    </row>
    <row r="1236" customFormat="false" ht="15" hidden="false" customHeight="false" outlineLevel="0" collapsed="false">
      <c r="A1236" s="9"/>
      <c r="B1236" s="4"/>
      <c r="C1236" s="10"/>
      <c r="D1236" s="11" t="str">
        <f aca="false">IF(K1236="","",IFERROR(INDEX(DECKS!$C$2:$C$1201,MATCH(K1236,DECKS!$B$2:$B$1201,0)),TRIM(I1236&amp;"")))</f>
        <v/>
      </c>
      <c r="E1236" s="4"/>
      <c r="F1236" s="12"/>
      <c r="G1236" s="4"/>
      <c r="H1236" s="13" t="str">
        <f aca="false">IF(OR(N(C1236)=0,N(F1236)=0),"",C1236*F1236)</f>
        <v/>
      </c>
      <c r="I1236" s="4"/>
      <c r="J1236" s="11" t="str">
        <f aca="false">IF(K1236="","",IF(N(C1236)&lt;=0,"Informe a quantidade",IF(IFERROR(INDEX(INVENTÁRIO!$B$2:$B$801,MATCH(K1236,INVENTÁRIO!$A$2:$A$801,0)),"")="(sem nome)","Carta fora dos decks: digite o nome na coluna I (opcional)","")))</f>
        <v/>
      </c>
      <c r="K1236" s="11" t="str">
        <f aca="false">UPPER(TRIM(SUBSTITUTE(B1236&amp;"",CHAR(160)," ")))</f>
        <v/>
      </c>
      <c r="L1236" s="11" t="str">
        <f aca="false">IF(AND(K1236&lt;&gt;"",TRIM(I1236&amp;"")&lt;&gt;""),K1236,"")</f>
        <v/>
      </c>
    </row>
    <row r="1237" customFormat="false" ht="15" hidden="false" customHeight="false" outlineLevel="0" collapsed="false">
      <c r="A1237" s="9"/>
      <c r="B1237" s="4"/>
      <c r="C1237" s="10"/>
      <c r="D1237" s="11" t="str">
        <f aca="false">IF(K1237="","",IFERROR(INDEX(DECKS!$C$2:$C$1201,MATCH(K1237,DECKS!$B$2:$B$1201,0)),TRIM(I1237&amp;"")))</f>
        <v/>
      </c>
      <c r="E1237" s="4"/>
      <c r="F1237" s="12"/>
      <c r="G1237" s="4"/>
      <c r="H1237" s="13" t="str">
        <f aca="false">IF(OR(N(C1237)=0,N(F1237)=0),"",C1237*F1237)</f>
        <v/>
      </c>
      <c r="I1237" s="4"/>
      <c r="J1237" s="11" t="str">
        <f aca="false">IF(K1237="","",IF(N(C1237)&lt;=0,"Informe a quantidade",IF(IFERROR(INDEX(INVENTÁRIO!$B$2:$B$801,MATCH(K1237,INVENTÁRIO!$A$2:$A$801,0)),"")="(sem nome)","Carta fora dos decks: digite o nome na coluna I (opcional)","")))</f>
        <v/>
      </c>
      <c r="K1237" s="11" t="str">
        <f aca="false">UPPER(TRIM(SUBSTITUTE(B1237&amp;"",CHAR(160)," ")))</f>
        <v/>
      </c>
      <c r="L1237" s="11" t="str">
        <f aca="false">IF(AND(K1237&lt;&gt;"",TRIM(I1237&amp;"")&lt;&gt;""),K1237,"")</f>
        <v/>
      </c>
    </row>
    <row r="1238" customFormat="false" ht="15" hidden="false" customHeight="false" outlineLevel="0" collapsed="false">
      <c r="A1238" s="9"/>
      <c r="B1238" s="4"/>
      <c r="C1238" s="10"/>
      <c r="D1238" s="11" t="str">
        <f aca="false">IF(K1238="","",IFERROR(INDEX(DECKS!$C$2:$C$1201,MATCH(K1238,DECKS!$B$2:$B$1201,0)),TRIM(I1238&amp;"")))</f>
        <v/>
      </c>
      <c r="E1238" s="4"/>
      <c r="F1238" s="12"/>
      <c r="G1238" s="4"/>
      <c r="H1238" s="13" t="str">
        <f aca="false">IF(OR(N(C1238)=0,N(F1238)=0),"",C1238*F1238)</f>
        <v/>
      </c>
      <c r="I1238" s="4"/>
      <c r="J1238" s="11" t="str">
        <f aca="false">IF(K1238="","",IF(N(C1238)&lt;=0,"Informe a quantidade",IF(IFERROR(INDEX(INVENTÁRIO!$B$2:$B$801,MATCH(K1238,INVENTÁRIO!$A$2:$A$801,0)),"")="(sem nome)","Carta fora dos decks: digite o nome na coluna I (opcional)","")))</f>
        <v/>
      </c>
      <c r="K1238" s="11" t="str">
        <f aca="false">UPPER(TRIM(SUBSTITUTE(B1238&amp;"",CHAR(160)," ")))</f>
        <v/>
      </c>
      <c r="L1238" s="11" t="str">
        <f aca="false">IF(AND(K1238&lt;&gt;"",TRIM(I1238&amp;"")&lt;&gt;""),K1238,"")</f>
        <v/>
      </c>
    </row>
    <row r="1239" customFormat="false" ht="15" hidden="false" customHeight="false" outlineLevel="0" collapsed="false">
      <c r="A1239" s="9"/>
      <c r="B1239" s="4"/>
      <c r="C1239" s="10"/>
      <c r="D1239" s="11" t="str">
        <f aca="false">IF(K1239="","",IFERROR(INDEX(DECKS!$C$2:$C$1201,MATCH(K1239,DECKS!$B$2:$B$1201,0)),TRIM(I1239&amp;"")))</f>
        <v/>
      </c>
      <c r="E1239" s="4"/>
      <c r="F1239" s="12"/>
      <c r="G1239" s="4"/>
      <c r="H1239" s="13" t="str">
        <f aca="false">IF(OR(N(C1239)=0,N(F1239)=0),"",C1239*F1239)</f>
        <v/>
      </c>
      <c r="I1239" s="4"/>
      <c r="J1239" s="11" t="str">
        <f aca="false">IF(K1239="","",IF(N(C1239)&lt;=0,"Informe a quantidade",IF(IFERROR(INDEX(INVENTÁRIO!$B$2:$B$801,MATCH(K1239,INVENTÁRIO!$A$2:$A$801,0)),"")="(sem nome)","Carta fora dos decks: digite o nome na coluna I (opcional)","")))</f>
        <v/>
      </c>
      <c r="K1239" s="11" t="str">
        <f aca="false">UPPER(TRIM(SUBSTITUTE(B1239&amp;"",CHAR(160)," ")))</f>
        <v/>
      </c>
      <c r="L1239" s="11" t="str">
        <f aca="false">IF(AND(K1239&lt;&gt;"",TRIM(I1239&amp;"")&lt;&gt;""),K1239,"")</f>
        <v/>
      </c>
    </row>
    <row r="1240" customFormat="false" ht="15" hidden="false" customHeight="false" outlineLevel="0" collapsed="false">
      <c r="A1240" s="9"/>
      <c r="B1240" s="4"/>
      <c r="C1240" s="10"/>
      <c r="D1240" s="11" t="str">
        <f aca="false">IF(K1240="","",IFERROR(INDEX(DECKS!$C$2:$C$1201,MATCH(K1240,DECKS!$B$2:$B$1201,0)),TRIM(I1240&amp;"")))</f>
        <v/>
      </c>
      <c r="E1240" s="4"/>
      <c r="F1240" s="12"/>
      <c r="G1240" s="4"/>
      <c r="H1240" s="13" t="str">
        <f aca="false">IF(OR(N(C1240)=0,N(F1240)=0),"",C1240*F1240)</f>
        <v/>
      </c>
      <c r="I1240" s="4"/>
      <c r="J1240" s="11" t="str">
        <f aca="false">IF(K1240="","",IF(N(C1240)&lt;=0,"Informe a quantidade",IF(IFERROR(INDEX(INVENTÁRIO!$B$2:$B$801,MATCH(K1240,INVENTÁRIO!$A$2:$A$801,0)),"")="(sem nome)","Carta fora dos decks: digite o nome na coluna I (opcional)","")))</f>
        <v/>
      </c>
      <c r="K1240" s="11" t="str">
        <f aca="false">UPPER(TRIM(SUBSTITUTE(B1240&amp;"",CHAR(160)," ")))</f>
        <v/>
      </c>
      <c r="L1240" s="11" t="str">
        <f aca="false">IF(AND(K1240&lt;&gt;"",TRIM(I1240&amp;"")&lt;&gt;""),K1240,"")</f>
        <v/>
      </c>
    </row>
    <row r="1241" customFormat="false" ht="15" hidden="false" customHeight="false" outlineLevel="0" collapsed="false">
      <c r="A1241" s="9"/>
      <c r="B1241" s="4"/>
      <c r="C1241" s="10"/>
      <c r="D1241" s="11" t="str">
        <f aca="false">IF(K1241="","",IFERROR(INDEX(DECKS!$C$2:$C$1201,MATCH(K1241,DECKS!$B$2:$B$1201,0)),TRIM(I1241&amp;"")))</f>
        <v/>
      </c>
      <c r="E1241" s="4"/>
      <c r="F1241" s="12"/>
      <c r="G1241" s="4"/>
      <c r="H1241" s="13" t="str">
        <f aca="false">IF(OR(N(C1241)=0,N(F1241)=0),"",C1241*F1241)</f>
        <v/>
      </c>
      <c r="I1241" s="4"/>
      <c r="J1241" s="11" t="str">
        <f aca="false">IF(K1241="","",IF(N(C1241)&lt;=0,"Informe a quantidade",IF(IFERROR(INDEX(INVENTÁRIO!$B$2:$B$801,MATCH(K1241,INVENTÁRIO!$A$2:$A$801,0)),"")="(sem nome)","Carta fora dos decks: digite o nome na coluna I (opcional)","")))</f>
        <v/>
      </c>
      <c r="K1241" s="11" t="str">
        <f aca="false">UPPER(TRIM(SUBSTITUTE(B1241&amp;"",CHAR(160)," ")))</f>
        <v/>
      </c>
      <c r="L1241" s="11" t="str">
        <f aca="false">IF(AND(K1241&lt;&gt;"",TRIM(I1241&amp;"")&lt;&gt;""),K1241,"")</f>
        <v/>
      </c>
    </row>
    <row r="1242" customFormat="false" ht="15" hidden="false" customHeight="false" outlineLevel="0" collapsed="false">
      <c r="A1242" s="9"/>
      <c r="B1242" s="4"/>
      <c r="C1242" s="10"/>
      <c r="D1242" s="11" t="str">
        <f aca="false">IF(K1242="","",IFERROR(INDEX(DECKS!$C$2:$C$1201,MATCH(K1242,DECKS!$B$2:$B$1201,0)),TRIM(I1242&amp;"")))</f>
        <v/>
      </c>
      <c r="E1242" s="4"/>
      <c r="F1242" s="12"/>
      <c r="G1242" s="4"/>
      <c r="H1242" s="13" t="str">
        <f aca="false">IF(OR(N(C1242)=0,N(F1242)=0),"",C1242*F1242)</f>
        <v/>
      </c>
      <c r="I1242" s="4"/>
      <c r="J1242" s="11" t="str">
        <f aca="false">IF(K1242="","",IF(N(C1242)&lt;=0,"Informe a quantidade",IF(IFERROR(INDEX(INVENTÁRIO!$B$2:$B$801,MATCH(K1242,INVENTÁRIO!$A$2:$A$801,0)),"")="(sem nome)","Carta fora dos decks: digite o nome na coluna I (opcional)","")))</f>
        <v/>
      </c>
      <c r="K1242" s="11" t="str">
        <f aca="false">UPPER(TRIM(SUBSTITUTE(B1242&amp;"",CHAR(160)," ")))</f>
        <v/>
      </c>
      <c r="L1242" s="11" t="str">
        <f aca="false">IF(AND(K1242&lt;&gt;"",TRIM(I1242&amp;"")&lt;&gt;""),K1242,"")</f>
        <v/>
      </c>
    </row>
    <row r="1243" customFormat="false" ht="15" hidden="false" customHeight="false" outlineLevel="0" collapsed="false">
      <c r="A1243" s="9"/>
      <c r="B1243" s="4"/>
      <c r="C1243" s="10"/>
      <c r="D1243" s="11" t="str">
        <f aca="false">IF(K1243="","",IFERROR(INDEX(DECKS!$C$2:$C$1201,MATCH(K1243,DECKS!$B$2:$B$1201,0)),TRIM(I1243&amp;"")))</f>
        <v/>
      </c>
      <c r="E1243" s="4"/>
      <c r="F1243" s="12"/>
      <c r="G1243" s="4"/>
      <c r="H1243" s="13" t="str">
        <f aca="false">IF(OR(N(C1243)=0,N(F1243)=0),"",C1243*F1243)</f>
        <v/>
      </c>
      <c r="I1243" s="4"/>
      <c r="J1243" s="11" t="str">
        <f aca="false">IF(K1243="","",IF(N(C1243)&lt;=0,"Informe a quantidade",IF(IFERROR(INDEX(INVENTÁRIO!$B$2:$B$801,MATCH(K1243,INVENTÁRIO!$A$2:$A$801,0)),"")="(sem nome)","Carta fora dos decks: digite o nome na coluna I (opcional)","")))</f>
        <v/>
      </c>
      <c r="K1243" s="11" t="str">
        <f aca="false">UPPER(TRIM(SUBSTITUTE(B1243&amp;"",CHAR(160)," ")))</f>
        <v/>
      </c>
      <c r="L1243" s="11" t="str">
        <f aca="false">IF(AND(K1243&lt;&gt;"",TRIM(I1243&amp;"")&lt;&gt;""),K1243,"")</f>
        <v/>
      </c>
    </row>
    <row r="1244" customFormat="false" ht="15" hidden="false" customHeight="false" outlineLevel="0" collapsed="false">
      <c r="A1244" s="9"/>
      <c r="B1244" s="4"/>
      <c r="C1244" s="10"/>
      <c r="D1244" s="11" t="str">
        <f aca="false">IF(K1244="","",IFERROR(INDEX(DECKS!$C$2:$C$1201,MATCH(K1244,DECKS!$B$2:$B$1201,0)),TRIM(I1244&amp;"")))</f>
        <v/>
      </c>
      <c r="E1244" s="4"/>
      <c r="F1244" s="12"/>
      <c r="G1244" s="4"/>
      <c r="H1244" s="13" t="str">
        <f aca="false">IF(OR(N(C1244)=0,N(F1244)=0),"",C1244*F1244)</f>
        <v/>
      </c>
      <c r="I1244" s="4"/>
      <c r="J1244" s="11" t="str">
        <f aca="false">IF(K1244="","",IF(N(C1244)&lt;=0,"Informe a quantidade",IF(IFERROR(INDEX(INVENTÁRIO!$B$2:$B$801,MATCH(K1244,INVENTÁRIO!$A$2:$A$801,0)),"")="(sem nome)","Carta fora dos decks: digite o nome na coluna I (opcional)","")))</f>
        <v/>
      </c>
      <c r="K1244" s="11" t="str">
        <f aca="false">UPPER(TRIM(SUBSTITUTE(B1244&amp;"",CHAR(160)," ")))</f>
        <v/>
      </c>
      <c r="L1244" s="11" t="str">
        <f aca="false">IF(AND(K1244&lt;&gt;"",TRIM(I1244&amp;"")&lt;&gt;""),K1244,"")</f>
        <v/>
      </c>
    </row>
    <row r="1245" customFormat="false" ht="15" hidden="false" customHeight="false" outlineLevel="0" collapsed="false">
      <c r="A1245" s="9"/>
      <c r="B1245" s="4"/>
      <c r="C1245" s="10"/>
      <c r="D1245" s="11" t="str">
        <f aca="false">IF(K1245="","",IFERROR(INDEX(DECKS!$C$2:$C$1201,MATCH(K1245,DECKS!$B$2:$B$1201,0)),TRIM(I1245&amp;"")))</f>
        <v/>
      </c>
      <c r="E1245" s="4"/>
      <c r="F1245" s="12"/>
      <c r="G1245" s="4"/>
      <c r="H1245" s="13" t="str">
        <f aca="false">IF(OR(N(C1245)=0,N(F1245)=0),"",C1245*F1245)</f>
        <v/>
      </c>
      <c r="I1245" s="4"/>
      <c r="J1245" s="11" t="str">
        <f aca="false">IF(K1245="","",IF(N(C1245)&lt;=0,"Informe a quantidade",IF(IFERROR(INDEX(INVENTÁRIO!$B$2:$B$801,MATCH(K1245,INVENTÁRIO!$A$2:$A$801,0)),"")="(sem nome)","Carta fora dos decks: digite o nome na coluna I (opcional)","")))</f>
        <v/>
      </c>
      <c r="K1245" s="11" t="str">
        <f aca="false">UPPER(TRIM(SUBSTITUTE(B1245&amp;"",CHAR(160)," ")))</f>
        <v/>
      </c>
      <c r="L1245" s="11" t="str">
        <f aca="false">IF(AND(K1245&lt;&gt;"",TRIM(I1245&amp;"")&lt;&gt;""),K1245,"")</f>
        <v/>
      </c>
    </row>
    <row r="1246" customFormat="false" ht="15" hidden="false" customHeight="false" outlineLevel="0" collapsed="false">
      <c r="A1246" s="9"/>
      <c r="B1246" s="4"/>
      <c r="C1246" s="10"/>
      <c r="D1246" s="11" t="str">
        <f aca="false">IF(K1246="","",IFERROR(INDEX(DECKS!$C$2:$C$1201,MATCH(K1246,DECKS!$B$2:$B$1201,0)),TRIM(I1246&amp;"")))</f>
        <v/>
      </c>
      <c r="E1246" s="4"/>
      <c r="F1246" s="12"/>
      <c r="G1246" s="4"/>
      <c r="H1246" s="13" t="str">
        <f aca="false">IF(OR(N(C1246)=0,N(F1246)=0),"",C1246*F1246)</f>
        <v/>
      </c>
      <c r="I1246" s="4"/>
      <c r="J1246" s="11" t="str">
        <f aca="false">IF(K1246="","",IF(N(C1246)&lt;=0,"Informe a quantidade",IF(IFERROR(INDEX(INVENTÁRIO!$B$2:$B$801,MATCH(K1246,INVENTÁRIO!$A$2:$A$801,0)),"")="(sem nome)","Carta fora dos decks: digite o nome na coluna I (opcional)","")))</f>
        <v/>
      </c>
      <c r="K1246" s="11" t="str">
        <f aca="false">UPPER(TRIM(SUBSTITUTE(B1246&amp;"",CHAR(160)," ")))</f>
        <v/>
      </c>
      <c r="L1246" s="11" t="str">
        <f aca="false">IF(AND(K1246&lt;&gt;"",TRIM(I1246&amp;"")&lt;&gt;""),K1246,"")</f>
        <v/>
      </c>
    </row>
    <row r="1247" customFormat="false" ht="15" hidden="false" customHeight="false" outlineLevel="0" collapsed="false">
      <c r="A1247" s="9"/>
      <c r="B1247" s="4"/>
      <c r="C1247" s="10"/>
      <c r="D1247" s="11" t="str">
        <f aca="false">IF(K1247="","",IFERROR(INDEX(DECKS!$C$2:$C$1201,MATCH(K1247,DECKS!$B$2:$B$1201,0)),TRIM(I1247&amp;"")))</f>
        <v/>
      </c>
      <c r="E1247" s="4"/>
      <c r="F1247" s="12"/>
      <c r="G1247" s="4"/>
      <c r="H1247" s="13" t="str">
        <f aca="false">IF(OR(N(C1247)=0,N(F1247)=0),"",C1247*F1247)</f>
        <v/>
      </c>
      <c r="I1247" s="4"/>
      <c r="J1247" s="11" t="str">
        <f aca="false">IF(K1247="","",IF(N(C1247)&lt;=0,"Informe a quantidade",IF(IFERROR(INDEX(INVENTÁRIO!$B$2:$B$801,MATCH(K1247,INVENTÁRIO!$A$2:$A$801,0)),"")="(sem nome)","Carta fora dos decks: digite o nome na coluna I (opcional)","")))</f>
        <v/>
      </c>
      <c r="K1247" s="11" t="str">
        <f aca="false">UPPER(TRIM(SUBSTITUTE(B1247&amp;"",CHAR(160)," ")))</f>
        <v/>
      </c>
      <c r="L1247" s="11" t="str">
        <f aca="false">IF(AND(K1247&lt;&gt;"",TRIM(I1247&amp;"")&lt;&gt;""),K1247,"")</f>
        <v/>
      </c>
    </row>
    <row r="1248" customFormat="false" ht="15" hidden="false" customHeight="false" outlineLevel="0" collapsed="false">
      <c r="A1248" s="9"/>
      <c r="B1248" s="4"/>
      <c r="C1248" s="10"/>
      <c r="D1248" s="11" t="str">
        <f aca="false">IF(K1248="","",IFERROR(INDEX(DECKS!$C$2:$C$1201,MATCH(K1248,DECKS!$B$2:$B$1201,0)),TRIM(I1248&amp;"")))</f>
        <v/>
      </c>
      <c r="E1248" s="4"/>
      <c r="F1248" s="12"/>
      <c r="G1248" s="4"/>
      <c r="H1248" s="13" t="str">
        <f aca="false">IF(OR(N(C1248)=0,N(F1248)=0),"",C1248*F1248)</f>
        <v/>
      </c>
      <c r="I1248" s="4"/>
      <c r="J1248" s="11" t="str">
        <f aca="false">IF(K1248="","",IF(N(C1248)&lt;=0,"Informe a quantidade",IF(IFERROR(INDEX(INVENTÁRIO!$B$2:$B$801,MATCH(K1248,INVENTÁRIO!$A$2:$A$801,0)),"")="(sem nome)","Carta fora dos decks: digite o nome na coluna I (opcional)","")))</f>
        <v/>
      </c>
      <c r="K1248" s="11" t="str">
        <f aca="false">UPPER(TRIM(SUBSTITUTE(B1248&amp;"",CHAR(160)," ")))</f>
        <v/>
      </c>
      <c r="L1248" s="11" t="str">
        <f aca="false">IF(AND(K1248&lt;&gt;"",TRIM(I1248&amp;"")&lt;&gt;""),K1248,"")</f>
        <v/>
      </c>
    </row>
    <row r="1249" customFormat="false" ht="15" hidden="false" customHeight="false" outlineLevel="0" collapsed="false">
      <c r="A1249" s="9"/>
      <c r="B1249" s="4"/>
      <c r="C1249" s="10"/>
      <c r="D1249" s="11" t="str">
        <f aca="false">IF(K1249="","",IFERROR(INDEX(DECKS!$C$2:$C$1201,MATCH(K1249,DECKS!$B$2:$B$1201,0)),TRIM(I1249&amp;"")))</f>
        <v/>
      </c>
      <c r="E1249" s="4"/>
      <c r="F1249" s="12"/>
      <c r="G1249" s="4"/>
      <c r="H1249" s="13" t="str">
        <f aca="false">IF(OR(N(C1249)=0,N(F1249)=0),"",C1249*F1249)</f>
        <v/>
      </c>
      <c r="I1249" s="4"/>
      <c r="J1249" s="11" t="str">
        <f aca="false">IF(K1249="","",IF(N(C1249)&lt;=0,"Informe a quantidade",IF(IFERROR(INDEX(INVENTÁRIO!$B$2:$B$801,MATCH(K1249,INVENTÁRIO!$A$2:$A$801,0)),"")="(sem nome)","Carta fora dos decks: digite o nome na coluna I (opcional)","")))</f>
        <v/>
      </c>
      <c r="K1249" s="11" t="str">
        <f aca="false">UPPER(TRIM(SUBSTITUTE(B1249&amp;"",CHAR(160)," ")))</f>
        <v/>
      </c>
      <c r="L1249" s="11" t="str">
        <f aca="false">IF(AND(K1249&lt;&gt;"",TRIM(I1249&amp;"")&lt;&gt;""),K1249,"")</f>
        <v/>
      </c>
    </row>
    <row r="1250" customFormat="false" ht="15" hidden="false" customHeight="false" outlineLevel="0" collapsed="false">
      <c r="A1250" s="9"/>
      <c r="B1250" s="4"/>
      <c r="C1250" s="10"/>
      <c r="D1250" s="11" t="str">
        <f aca="false">IF(K1250="","",IFERROR(INDEX(DECKS!$C$2:$C$1201,MATCH(K1250,DECKS!$B$2:$B$1201,0)),TRIM(I1250&amp;"")))</f>
        <v/>
      </c>
      <c r="E1250" s="4"/>
      <c r="F1250" s="12"/>
      <c r="G1250" s="4"/>
      <c r="H1250" s="13" t="str">
        <f aca="false">IF(OR(N(C1250)=0,N(F1250)=0),"",C1250*F1250)</f>
        <v/>
      </c>
      <c r="I1250" s="4"/>
      <c r="J1250" s="11" t="str">
        <f aca="false">IF(K1250="","",IF(N(C1250)&lt;=0,"Informe a quantidade",IF(IFERROR(INDEX(INVENTÁRIO!$B$2:$B$801,MATCH(K1250,INVENTÁRIO!$A$2:$A$801,0)),"")="(sem nome)","Carta fora dos decks: digite o nome na coluna I (opcional)","")))</f>
        <v/>
      </c>
      <c r="K1250" s="11" t="str">
        <f aca="false">UPPER(TRIM(SUBSTITUTE(B1250&amp;"",CHAR(160)," ")))</f>
        <v/>
      </c>
      <c r="L1250" s="11" t="str">
        <f aca="false">IF(AND(K1250&lt;&gt;"",TRIM(I1250&amp;"")&lt;&gt;""),K1250,"")</f>
        <v/>
      </c>
    </row>
    <row r="1251" customFormat="false" ht="15" hidden="false" customHeight="false" outlineLevel="0" collapsed="false">
      <c r="A1251" s="9"/>
      <c r="B1251" s="4"/>
      <c r="C1251" s="10"/>
      <c r="D1251" s="11" t="str">
        <f aca="false">IF(K1251="","",IFERROR(INDEX(DECKS!$C$2:$C$1201,MATCH(K1251,DECKS!$B$2:$B$1201,0)),TRIM(I1251&amp;"")))</f>
        <v/>
      </c>
      <c r="E1251" s="4"/>
      <c r="F1251" s="12"/>
      <c r="G1251" s="4"/>
      <c r="H1251" s="13" t="str">
        <f aca="false">IF(OR(N(C1251)=0,N(F1251)=0),"",C1251*F1251)</f>
        <v/>
      </c>
      <c r="I1251" s="4"/>
      <c r="J1251" s="11" t="str">
        <f aca="false">IF(K1251="","",IF(N(C1251)&lt;=0,"Informe a quantidade",IF(IFERROR(INDEX(INVENTÁRIO!$B$2:$B$801,MATCH(K1251,INVENTÁRIO!$A$2:$A$801,0)),"")="(sem nome)","Carta fora dos decks: digite o nome na coluna I (opcional)","")))</f>
        <v/>
      </c>
      <c r="K1251" s="11" t="str">
        <f aca="false">UPPER(TRIM(SUBSTITUTE(B1251&amp;"",CHAR(160)," ")))</f>
        <v/>
      </c>
      <c r="L1251" s="11" t="str">
        <f aca="false">IF(AND(K1251&lt;&gt;"",TRIM(I1251&amp;"")&lt;&gt;""),K1251,"")</f>
        <v/>
      </c>
    </row>
    <row r="1252" customFormat="false" ht="15" hidden="false" customHeight="false" outlineLevel="0" collapsed="false">
      <c r="A1252" s="9"/>
      <c r="B1252" s="4"/>
      <c r="C1252" s="10"/>
      <c r="D1252" s="11" t="str">
        <f aca="false">IF(K1252="","",IFERROR(INDEX(DECKS!$C$2:$C$1201,MATCH(K1252,DECKS!$B$2:$B$1201,0)),TRIM(I1252&amp;"")))</f>
        <v/>
      </c>
      <c r="E1252" s="4"/>
      <c r="F1252" s="12"/>
      <c r="G1252" s="4"/>
      <c r="H1252" s="13" t="str">
        <f aca="false">IF(OR(N(C1252)=0,N(F1252)=0),"",C1252*F1252)</f>
        <v/>
      </c>
      <c r="I1252" s="4"/>
      <c r="J1252" s="11" t="str">
        <f aca="false">IF(K1252="","",IF(N(C1252)&lt;=0,"Informe a quantidade",IF(IFERROR(INDEX(INVENTÁRIO!$B$2:$B$801,MATCH(K1252,INVENTÁRIO!$A$2:$A$801,0)),"")="(sem nome)","Carta fora dos decks: digite o nome na coluna I (opcional)","")))</f>
        <v/>
      </c>
      <c r="K1252" s="11" t="str">
        <f aca="false">UPPER(TRIM(SUBSTITUTE(B1252&amp;"",CHAR(160)," ")))</f>
        <v/>
      </c>
      <c r="L1252" s="11" t="str">
        <f aca="false">IF(AND(K1252&lt;&gt;"",TRIM(I1252&amp;"")&lt;&gt;""),K1252,"")</f>
        <v/>
      </c>
    </row>
    <row r="1253" customFormat="false" ht="15" hidden="false" customHeight="false" outlineLevel="0" collapsed="false">
      <c r="A1253" s="9"/>
      <c r="B1253" s="4"/>
      <c r="C1253" s="10"/>
      <c r="D1253" s="11" t="str">
        <f aca="false">IF(K1253="","",IFERROR(INDEX(DECKS!$C$2:$C$1201,MATCH(K1253,DECKS!$B$2:$B$1201,0)),TRIM(I1253&amp;"")))</f>
        <v/>
      </c>
      <c r="E1253" s="4"/>
      <c r="F1253" s="12"/>
      <c r="G1253" s="4"/>
      <c r="H1253" s="13" t="str">
        <f aca="false">IF(OR(N(C1253)=0,N(F1253)=0),"",C1253*F1253)</f>
        <v/>
      </c>
      <c r="I1253" s="4"/>
      <c r="J1253" s="11" t="str">
        <f aca="false">IF(K1253="","",IF(N(C1253)&lt;=0,"Informe a quantidade",IF(IFERROR(INDEX(INVENTÁRIO!$B$2:$B$801,MATCH(K1253,INVENTÁRIO!$A$2:$A$801,0)),"")="(sem nome)","Carta fora dos decks: digite o nome na coluna I (opcional)","")))</f>
        <v/>
      </c>
      <c r="K1253" s="11" t="str">
        <f aca="false">UPPER(TRIM(SUBSTITUTE(B1253&amp;"",CHAR(160)," ")))</f>
        <v/>
      </c>
      <c r="L1253" s="11" t="str">
        <f aca="false">IF(AND(K1253&lt;&gt;"",TRIM(I1253&amp;"")&lt;&gt;""),K1253,"")</f>
        <v/>
      </c>
    </row>
    <row r="1254" customFormat="false" ht="15" hidden="false" customHeight="false" outlineLevel="0" collapsed="false">
      <c r="A1254" s="9"/>
      <c r="B1254" s="4"/>
      <c r="C1254" s="10"/>
      <c r="D1254" s="11" t="str">
        <f aca="false">IF(K1254="","",IFERROR(INDEX(DECKS!$C$2:$C$1201,MATCH(K1254,DECKS!$B$2:$B$1201,0)),TRIM(I1254&amp;"")))</f>
        <v/>
      </c>
      <c r="E1254" s="4"/>
      <c r="F1254" s="12"/>
      <c r="G1254" s="4"/>
      <c r="H1254" s="13" t="str">
        <f aca="false">IF(OR(N(C1254)=0,N(F1254)=0),"",C1254*F1254)</f>
        <v/>
      </c>
      <c r="I1254" s="4"/>
      <c r="J1254" s="11" t="str">
        <f aca="false">IF(K1254="","",IF(N(C1254)&lt;=0,"Informe a quantidade",IF(IFERROR(INDEX(INVENTÁRIO!$B$2:$B$801,MATCH(K1254,INVENTÁRIO!$A$2:$A$801,0)),"")="(sem nome)","Carta fora dos decks: digite o nome na coluna I (opcional)","")))</f>
        <v/>
      </c>
      <c r="K1254" s="11" t="str">
        <f aca="false">UPPER(TRIM(SUBSTITUTE(B1254&amp;"",CHAR(160)," ")))</f>
        <v/>
      </c>
      <c r="L1254" s="11" t="str">
        <f aca="false">IF(AND(K1254&lt;&gt;"",TRIM(I1254&amp;"")&lt;&gt;""),K1254,"")</f>
        <v/>
      </c>
    </row>
    <row r="1255" customFormat="false" ht="15" hidden="false" customHeight="false" outlineLevel="0" collapsed="false">
      <c r="A1255" s="9"/>
      <c r="B1255" s="4"/>
      <c r="C1255" s="10"/>
      <c r="D1255" s="11" t="str">
        <f aca="false">IF(K1255="","",IFERROR(INDEX(DECKS!$C$2:$C$1201,MATCH(K1255,DECKS!$B$2:$B$1201,0)),TRIM(I1255&amp;"")))</f>
        <v/>
      </c>
      <c r="E1255" s="4"/>
      <c r="F1255" s="12"/>
      <c r="G1255" s="4"/>
      <c r="H1255" s="13" t="str">
        <f aca="false">IF(OR(N(C1255)=0,N(F1255)=0),"",C1255*F1255)</f>
        <v/>
      </c>
      <c r="I1255" s="4"/>
      <c r="J1255" s="11" t="str">
        <f aca="false">IF(K1255="","",IF(N(C1255)&lt;=0,"Informe a quantidade",IF(IFERROR(INDEX(INVENTÁRIO!$B$2:$B$801,MATCH(K1255,INVENTÁRIO!$A$2:$A$801,0)),"")="(sem nome)","Carta fora dos decks: digite o nome na coluna I (opcional)","")))</f>
        <v/>
      </c>
      <c r="K1255" s="11" t="str">
        <f aca="false">UPPER(TRIM(SUBSTITUTE(B1255&amp;"",CHAR(160)," ")))</f>
        <v/>
      </c>
      <c r="L1255" s="11" t="str">
        <f aca="false">IF(AND(K1255&lt;&gt;"",TRIM(I1255&amp;"")&lt;&gt;""),K1255,"")</f>
        <v/>
      </c>
    </row>
    <row r="1256" customFormat="false" ht="15" hidden="false" customHeight="false" outlineLevel="0" collapsed="false">
      <c r="A1256" s="9"/>
      <c r="B1256" s="4"/>
      <c r="C1256" s="10"/>
      <c r="D1256" s="11" t="str">
        <f aca="false">IF(K1256="","",IFERROR(INDEX(DECKS!$C$2:$C$1201,MATCH(K1256,DECKS!$B$2:$B$1201,0)),TRIM(I1256&amp;"")))</f>
        <v/>
      </c>
      <c r="E1256" s="4"/>
      <c r="F1256" s="12"/>
      <c r="G1256" s="4"/>
      <c r="H1256" s="13" t="str">
        <f aca="false">IF(OR(N(C1256)=0,N(F1256)=0),"",C1256*F1256)</f>
        <v/>
      </c>
      <c r="I1256" s="4"/>
      <c r="J1256" s="11" t="str">
        <f aca="false">IF(K1256="","",IF(N(C1256)&lt;=0,"Informe a quantidade",IF(IFERROR(INDEX(INVENTÁRIO!$B$2:$B$801,MATCH(K1256,INVENTÁRIO!$A$2:$A$801,0)),"")="(sem nome)","Carta fora dos decks: digite o nome na coluna I (opcional)","")))</f>
        <v/>
      </c>
      <c r="K1256" s="11" t="str">
        <f aca="false">UPPER(TRIM(SUBSTITUTE(B1256&amp;"",CHAR(160)," ")))</f>
        <v/>
      </c>
      <c r="L1256" s="11" t="str">
        <f aca="false">IF(AND(K1256&lt;&gt;"",TRIM(I1256&amp;"")&lt;&gt;""),K1256,"")</f>
        <v/>
      </c>
    </row>
    <row r="1257" customFormat="false" ht="15" hidden="false" customHeight="false" outlineLevel="0" collapsed="false">
      <c r="A1257" s="9"/>
      <c r="B1257" s="4"/>
      <c r="C1257" s="10"/>
      <c r="D1257" s="11" t="str">
        <f aca="false">IF(K1257="","",IFERROR(INDEX(DECKS!$C$2:$C$1201,MATCH(K1257,DECKS!$B$2:$B$1201,0)),TRIM(I1257&amp;"")))</f>
        <v/>
      </c>
      <c r="E1257" s="4"/>
      <c r="F1257" s="12"/>
      <c r="G1257" s="4"/>
      <c r="H1257" s="13" t="str">
        <f aca="false">IF(OR(N(C1257)=0,N(F1257)=0),"",C1257*F1257)</f>
        <v/>
      </c>
      <c r="I1257" s="4"/>
      <c r="J1257" s="11" t="str">
        <f aca="false">IF(K1257="","",IF(N(C1257)&lt;=0,"Informe a quantidade",IF(IFERROR(INDEX(INVENTÁRIO!$B$2:$B$801,MATCH(K1257,INVENTÁRIO!$A$2:$A$801,0)),"")="(sem nome)","Carta fora dos decks: digite o nome na coluna I (opcional)","")))</f>
        <v/>
      </c>
      <c r="K1257" s="11" t="str">
        <f aca="false">UPPER(TRIM(SUBSTITUTE(B1257&amp;"",CHAR(160)," ")))</f>
        <v/>
      </c>
      <c r="L1257" s="11" t="str">
        <f aca="false">IF(AND(K1257&lt;&gt;"",TRIM(I1257&amp;"")&lt;&gt;""),K1257,"")</f>
        <v/>
      </c>
    </row>
    <row r="1258" customFormat="false" ht="15" hidden="false" customHeight="false" outlineLevel="0" collapsed="false">
      <c r="A1258" s="9"/>
      <c r="B1258" s="4"/>
      <c r="C1258" s="10"/>
      <c r="D1258" s="11" t="str">
        <f aca="false">IF(K1258="","",IFERROR(INDEX(DECKS!$C$2:$C$1201,MATCH(K1258,DECKS!$B$2:$B$1201,0)),TRIM(I1258&amp;"")))</f>
        <v/>
      </c>
      <c r="E1258" s="4"/>
      <c r="F1258" s="12"/>
      <c r="G1258" s="4"/>
      <c r="H1258" s="13" t="str">
        <f aca="false">IF(OR(N(C1258)=0,N(F1258)=0),"",C1258*F1258)</f>
        <v/>
      </c>
      <c r="I1258" s="4"/>
      <c r="J1258" s="11" t="str">
        <f aca="false">IF(K1258="","",IF(N(C1258)&lt;=0,"Informe a quantidade",IF(IFERROR(INDEX(INVENTÁRIO!$B$2:$B$801,MATCH(K1258,INVENTÁRIO!$A$2:$A$801,0)),"")="(sem nome)","Carta fora dos decks: digite o nome na coluna I (opcional)","")))</f>
        <v/>
      </c>
      <c r="K1258" s="11" t="str">
        <f aca="false">UPPER(TRIM(SUBSTITUTE(B1258&amp;"",CHAR(160)," ")))</f>
        <v/>
      </c>
      <c r="L1258" s="11" t="str">
        <f aca="false">IF(AND(K1258&lt;&gt;"",TRIM(I1258&amp;"")&lt;&gt;""),K1258,"")</f>
        <v/>
      </c>
    </row>
    <row r="1259" customFormat="false" ht="15" hidden="false" customHeight="false" outlineLevel="0" collapsed="false">
      <c r="A1259" s="9"/>
      <c r="B1259" s="4"/>
      <c r="C1259" s="10"/>
      <c r="D1259" s="11" t="str">
        <f aca="false">IF(K1259="","",IFERROR(INDEX(DECKS!$C$2:$C$1201,MATCH(K1259,DECKS!$B$2:$B$1201,0)),TRIM(I1259&amp;"")))</f>
        <v/>
      </c>
      <c r="E1259" s="4"/>
      <c r="F1259" s="12"/>
      <c r="G1259" s="4"/>
      <c r="H1259" s="13" t="str">
        <f aca="false">IF(OR(N(C1259)=0,N(F1259)=0),"",C1259*F1259)</f>
        <v/>
      </c>
      <c r="I1259" s="4"/>
      <c r="J1259" s="11" t="str">
        <f aca="false">IF(K1259="","",IF(N(C1259)&lt;=0,"Informe a quantidade",IF(IFERROR(INDEX(INVENTÁRIO!$B$2:$B$801,MATCH(K1259,INVENTÁRIO!$A$2:$A$801,0)),"")="(sem nome)","Carta fora dos decks: digite o nome na coluna I (opcional)","")))</f>
        <v/>
      </c>
      <c r="K1259" s="11" t="str">
        <f aca="false">UPPER(TRIM(SUBSTITUTE(B1259&amp;"",CHAR(160)," ")))</f>
        <v/>
      </c>
      <c r="L1259" s="11" t="str">
        <f aca="false">IF(AND(K1259&lt;&gt;"",TRIM(I1259&amp;"")&lt;&gt;""),K1259,"")</f>
        <v/>
      </c>
    </row>
    <row r="1260" customFormat="false" ht="15" hidden="false" customHeight="false" outlineLevel="0" collapsed="false">
      <c r="A1260" s="9"/>
      <c r="B1260" s="4"/>
      <c r="C1260" s="10"/>
      <c r="D1260" s="11" t="str">
        <f aca="false">IF(K1260="","",IFERROR(INDEX(DECKS!$C$2:$C$1201,MATCH(K1260,DECKS!$B$2:$B$1201,0)),TRIM(I1260&amp;"")))</f>
        <v/>
      </c>
      <c r="E1260" s="4"/>
      <c r="F1260" s="12"/>
      <c r="G1260" s="4"/>
      <c r="H1260" s="13" t="str">
        <f aca="false">IF(OR(N(C1260)=0,N(F1260)=0),"",C1260*F1260)</f>
        <v/>
      </c>
      <c r="I1260" s="4"/>
      <c r="J1260" s="11" t="str">
        <f aca="false">IF(K1260="","",IF(N(C1260)&lt;=0,"Informe a quantidade",IF(IFERROR(INDEX(INVENTÁRIO!$B$2:$B$801,MATCH(K1260,INVENTÁRIO!$A$2:$A$801,0)),"")="(sem nome)","Carta fora dos decks: digite o nome na coluna I (opcional)","")))</f>
        <v/>
      </c>
      <c r="K1260" s="11" t="str">
        <f aca="false">UPPER(TRIM(SUBSTITUTE(B1260&amp;"",CHAR(160)," ")))</f>
        <v/>
      </c>
      <c r="L1260" s="11" t="str">
        <f aca="false">IF(AND(K1260&lt;&gt;"",TRIM(I1260&amp;"")&lt;&gt;""),K1260,"")</f>
        <v/>
      </c>
    </row>
    <row r="1261" customFormat="false" ht="15" hidden="false" customHeight="false" outlineLevel="0" collapsed="false">
      <c r="A1261" s="9"/>
      <c r="B1261" s="4"/>
      <c r="C1261" s="10"/>
      <c r="D1261" s="11" t="str">
        <f aca="false">IF(K1261="","",IFERROR(INDEX(DECKS!$C$2:$C$1201,MATCH(K1261,DECKS!$B$2:$B$1201,0)),TRIM(I1261&amp;"")))</f>
        <v/>
      </c>
      <c r="E1261" s="4"/>
      <c r="F1261" s="12"/>
      <c r="G1261" s="4"/>
      <c r="H1261" s="13" t="str">
        <f aca="false">IF(OR(N(C1261)=0,N(F1261)=0),"",C1261*F1261)</f>
        <v/>
      </c>
      <c r="I1261" s="4"/>
      <c r="J1261" s="11" t="str">
        <f aca="false">IF(K1261="","",IF(N(C1261)&lt;=0,"Informe a quantidade",IF(IFERROR(INDEX(INVENTÁRIO!$B$2:$B$801,MATCH(K1261,INVENTÁRIO!$A$2:$A$801,0)),"")="(sem nome)","Carta fora dos decks: digite o nome na coluna I (opcional)","")))</f>
        <v/>
      </c>
      <c r="K1261" s="11" t="str">
        <f aca="false">UPPER(TRIM(SUBSTITUTE(B1261&amp;"",CHAR(160)," ")))</f>
        <v/>
      </c>
      <c r="L1261" s="11" t="str">
        <f aca="false">IF(AND(K1261&lt;&gt;"",TRIM(I1261&amp;"")&lt;&gt;""),K1261,"")</f>
        <v/>
      </c>
    </row>
    <row r="1262" customFormat="false" ht="15" hidden="false" customHeight="false" outlineLevel="0" collapsed="false">
      <c r="A1262" s="9"/>
      <c r="B1262" s="4"/>
      <c r="C1262" s="10"/>
      <c r="D1262" s="11" t="str">
        <f aca="false">IF(K1262="","",IFERROR(INDEX(DECKS!$C$2:$C$1201,MATCH(K1262,DECKS!$B$2:$B$1201,0)),TRIM(I1262&amp;"")))</f>
        <v/>
      </c>
      <c r="E1262" s="4"/>
      <c r="F1262" s="12"/>
      <c r="G1262" s="4"/>
      <c r="H1262" s="13" t="str">
        <f aca="false">IF(OR(N(C1262)=0,N(F1262)=0),"",C1262*F1262)</f>
        <v/>
      </c>
      <c r="I1262" s="4"/>
      <c r="J1262" s="11" t="str">
        <f aca="false">IF(K1262="","",IF(N(C1262)&lt;=0,"Informe a quantidade",IF(IFERROR(INDEX(INVENTÁRIO!$B$2:$B$801,MATCH(K1262,INVENTÁRIO!$A$2:$A$801,0)),"")="(sem nome)","Carta fora dos decks: digite o nome na coluna I (opcional)","")))</f>
        <v/>
      </c>
      <c r="K1262" s="11" t="str">
        <f aca="false">UPPER(TRIM(SUBSTITUTE(B1262&amp;"",CHAR(160)," ")))</f>
        <v/>
      </c>
      <c r="L1262" s="11" t="str">
        <f aca="false">IF(AND(K1262&lt;&gt;"",TRIM(I1262&amp;"")&lt;&gt;""),K1262,"")</f>
        <v/>
      </c>
    </row>
    <row r="1263" customFormat="false" ht="15" hidden="false" customHeight="false" outlineLevel="0" collapsed="false">
      <c r="A1263" s="9"/>
      <c r="B1263" s="4"/>
      <c r="C1263" s="10"/>
      <c r="D1263" s="11" t="str">
        <f aca="false">IF(K1263="","",IFERROR(INDEX(DECKS!$C$2:$C$1201,MATCH(K1263,DECKS!$B$2:$B$1201,0)),TRIM(I1263&amp;"")))</f>
        <v/>
      </c>
      <c r="E1263" s="4"/>
      <c r="F1263" s="12"/>
      <c r="G1263" s="4"/>
      <c r="H1263" s="13" t="str">
        <f aca="false">IF(OR(N(C1263)=0,N(F1263)=0),"",C1263*F1263)</f>
        <v/>
      </c>
      <c r="I1263" s="4"/>
      <c r="J1263" s="11" t="str">
        <f aca="false">IF(K1263="","",IF(N(C1263)&lt;=0,"Informe a quantidade",IF(IFERROR(INDEX(INVENTÁRIO!$B$2:$B$801,MATCH(K1263,INVENTÁRIO!$A$2:$A$801,0)),"")="(sem nome)","Carta fora dos decks: digite o nome na coluna I (opcional)","")))</f>
        <v/>
      </c>
      <c r="K1263" s="11" t="str">
        <f aca="false">UPPER(TRIM(SUBSTITUTE(B1263&amp;"",CHAR(160)," ")))</f>
        <v/>
      </c>
      <c r="L1263" s="11" t="str">
        <f aca="false">IF(AND(K1263&lt;&gt;"",TRIM(I1263&amp;"")&lt;&gt;""),K1263,"")</f>
        <v/>
      </c>
    </row>
    <row r="1264" customFormat="false" ht="15" hidden="false" customHeight="false" outlineLevel="0" collapsed="false">
      <c r="A1264" s="9"/>
      <c r="B1264" s="4"/>
      <c r="C1264" s="10"/>
      <c r="D1264" s="11" t="str">
        <f aca="false">IF(K1264="","",IFERROR(INDEX(DECKS!$C$2:$C$1201,MATCH(K1264,DECKS!$B$2:$B$1201,0)),TRIM(I1264&amp;"")))</f>
        <v/>
      </c>
      <c r="E1264" s="4"/>
      <c r="F1264" s="12"/>
      <c r="G1264" s="4"/>
      <c r="H1264" s="13" t="str">
        <f aca="false">IF(OR(N(C1264)=0,N(F1264)=0),"",C1264*F1264)</f>
        <v/>
      </c>
      <c r="I1264" s="4"/>
      <c r="J1264" s="11" t="str">
        <f aca="false">IF(K1264="","",IF(N(C1264)&lt;=0,"Informe a quantidade",IF(IFERROR(INDEX(INVENTÁRIO!$B$2:$B$801,MATCH(K1264,INVENTÁRIO!$A$2:$A$801,0)),"")="(sem nome)","Carta fora dos decks: digite o nome na coluna I (opcional)","")))</f>
        <v/>
      </c>
      <c r="K1264" s="11" t="str">
        <f aca="false">UPPER(TRIM(SUBSTITUTE(B1264&amp;"",CHAR(160)," ")))</f>
        <v/>
      </c>
      <c r="L1264" s="11" t="str">
        <f aca="false">IF(AND(K1264&lt;&gt;"",TRIM(I1264&amp;"")&lt;&gt;""),K1264,"")</f>
        <v/>
      </c>
    </row>
    <row r="1265" customFormat="false" ht="15" hidden="false" customHeight="false" outlineLevel="0" collapsed="false">
      <c r="A1265" s="9"/>
      <c r="B1265" s="4"/>
      <c r="C1265" s="10"/>
      <c r="D1265" s="11" t="str">
        <f aca="false">IF(K1265="","",IFERROR(INDEX(DECKS!$C$2:$C$1201,MATCH(K1265,DECKS!$B$2:$B$1201,0)),TRIM(I1265&amp;"")))</f>
        <v/>
      </c>
      <c r="E1265" s="4"/>
      <c r="F1265" s="12"/>
      <c r="G1265" s="4"/>
      <c r="H1265" s="13" t="str">
        <f aca="false">IF(OR(N(C1265)=0,N(F1265)=0),"",C1265*F1265)</f>
        <v/>
      </c>
      <c r="I1265" s="4"/>
      <c r="J1265" s="11" t="str">
        <f aca="false">IF(K1265="","",IF(N(C1265)&lt;=0,"Informe a quantidade",IF(IFERROR(INDEX(INVENTÁRIO!$B$2:$B$801,MATCH(K1265,INVENTÁRIO!$A$2:$A$801,0)),"")="(sem nome)","Carta fora dos decks: digite o nome na coluna I (opcional)","")))</f>
        <v/>
      </c>
      <c r="K1265" s="11" t="str">
        <f aca="false">UPPER(TRIM(SUBSTITUTE(B1265&amp;"",CHAR(160)," ")))</f>
        <v/>
      </c>
      <c r="L1265" s="11" t="str">
        <f aca="false">IF(AND(K1265&lt;&gt;"",TRIM(I1265&amp;"")&lt;&gt;""),K1265,"")</f>
        <v/>
      </c>
    </row>
    <row r="1266" customFormat="false" ht="15" hidden="false" customHeight="false" outlineLevel="0" collapsed="false">
      <c r="A1266" s="9"/>
      <c r="B1266" s="4"/>
      <c r="C1266" s="10"/>
      <c r="D1266" s="11" t="str">
        <f aca="false">IF(K1266="","",IFERROR(INDEX(DECKS!$C$2:$C$1201,MATCH(K1266,DECKS!$B$2:$B$1201,0)),TRIM(I1266&amp;"")))</f>
        <v/>
      </c>
      <c r="E1266" s="4"/>
      <c r="F1266" s="12"/>
      <c r="G1266" s="4"/>
      <c r="H1266" s="13" t="str">
        <f aca="false">IF(OR(N(C1266)=0,N(F1266)=0),"",C1266*F1266)</f>
        <v/>
      </c>
      <c r="I1266" s="4"/>
      <c r="J1266" s="11" t="str">
        <f aca="false">IF(K1266="","",IF(N(C1266)&lt;=0,"Informe a quantidade",IF(IFERROR(INDEX(INVENTÁRIO!$B$2:$B$801,MATCH(K1266,INVENTÁRIO!$A$2:$A$801,0)),"")="(sem nome)","Carta fora dos decks: digite o nome na coluna I (opcional)","")))</f>
        <v/>
      </c>
      <c r="K1266" s="11" t="str">
        <f aca="false">UPPER(TRIM(SUBSTITUTE(B1266&amp;"",CHAR(160)," ")))</f>
        <v/>
      </c>
      <c r="L1266" s="11" t="str">
        <f aca="false">IF(AND(K1266&lt;&gt;"",TRIM(I1266&amp;"")&lt;&gt;""),K1266,"")</f>
        <v/>
      </c>
    </row>
    <row r="1267" customFormat="false" ht="15" hidden="false" customHeight="false" outlineLevel="0" collapsed="false">
      <c r="A1267" s="9"/>
      <c r="B1267" s="4"/>
      <c r="C1267" s="10"/>
      <c r="D1267" s="11" t="str">
        <f aca="false">IF(K1267="","",IFERROR(INDEX(DECKS!$C$2:$C$1201,MATCH(K1267,DECKS!$B$2:$B$1201,0)),TRIM(I1267&amp;"")))</f>
        <v/>
      </c>
      <c r="E1267" s="4"/>
      <c r="F1267" s="12"/>
      <c r="G1267" s="4"/>
      <c r="H1267" s="13" t="str">
        <f aca="false">IF(OR(N(C1267)=0,N(F1267)=0),"",C1267*F1267)</f>
        <v/>
      </c>
      <c r="I1267" s="4"/>
      <c r="J1267" s="11" t="str">
        <f aca="false">IF(K1267="","",IF(N(C1267)&lt;=0,"Informe a quantidade",IF(IFERROR(INDEX(INVENTÁRIO!$B$2:$B$801,MATCH(K1267,INVENTÁRIO!$A$2:$A$801,0)),"")="(sem nome)","Carta fora dos decks: digite o nome na coluna I (opcional)","")))</f>
        <v/>
      </c>
      <c r="K1267" s="11" t="str">
        <f aca="false">UPPER(TRIM(SUBSTITUTE(B1267&amp;"",CHAR(160)," ")))</f>
        <v/>
      </c>
      <c r="L1267" s="11" t="str">
        <f aca="false">IF(AND(K1267&lt;&gt;"",TRIM(I1267&amp;"")&lt;&gt;""),K1267,"")</f>
        <v/>
      </c>
    </row>
    <row r="1268" customFormat="false" ht="15" hidden="false" customHeight="false" outlineLevel="0" collapsed="false">
      <c r="A1268" s="9"/>
      <c r="B1268" s="4"/>
      <c r="C1268" s="10"/>
      <c r="D1268" s="11" t="str">
        <f aca="false">IF(K1268="","",IFERROR(INDEX(DECKS!$C$2:$C$1201,MATCH(K1268,DECKS!$B$2:$B$1201,0)),TRIM(I1268&amp;"")))</f>
        <v/>
      </c>
      <c r="E1268" s="4"/>
      <c r="F1268" s="12"/>
      <c r="G1268" s="4"/>
      <c r="H1268" s="13" t="str">
        <f aca="false">IF(OR(N(C1268)=0,N(F1268)=0),"",C1268*F1268)</f>
        <v/>
      </c>
      <c r="I1268" s="4"/>
      <c r="J1268" s="11" t="str">
        <f aca="false">IF(K1268="","",IF(N(C1268)&lt;=0,"Informe a quantidade",IF(IFERROR(INDEX(INVENTÁRIO!$B$2:$B$801,MATCH(K1268,INVENTÁRIO!$A$2:$A$801,0)),"")="(sem nome)","Carta fora dos decks: digite o nome na coluna I (opcional)","")))</f>
        <v/>
      </c>
      <c r="K1268" s="11" t="str">
        <f aca="false">UPPER(TRIM(SUBSTITUTE(B1268&amp;"",CHAR(160)," ")))</f>
        <v/>
      </c>
      <c r="L1268" s="11" t="str">
        <f aca="false">IF(AND(K1268&lt;&gt;"",TRIM(I1268&amp;"")&lt;&gt;""),K1268,"")</f>
        <v/>
      </c>
    </row>
    <row r="1269" customFormat="false" ht="15" hidden="false" customHeight="false" outlineLevel="0" collapsed="false">
      <c r="A1269" s="9"/>
      <c r="B1269" s="4"/>
      <c r="C1269" s="10"/>
      <c r="D1269" s="11" t="str">
        <f aca="false">IF(K1269="","",IFERROR(INDEX(DECKS!$C$2:$C$1201,MATCH(K1269,DECKS!$B$2:$B$1201,0)),TRIM(I1269&amp;"")))</f>
        <v/>
      </c>
      <c r="E1269" s="4"/>
      <c r="F1269" s="12"/>
      <c r="G1269" s="4"/>
      <c r="H1269" s="13" t="str">
        <f aca="false">IF(OR(N(C1269)=0,N(F1269)=0),"",C1269*F1269)</f>
        <v/>
      </c>
      <c r="I1269" s="4"/>
      <c r="J1269" s="11" t="str">
        <f aca="false">IF(K1269="","",IF(N(C1269)&lt;=0,"Informe a quantidade",IF(IFERROR(INDEX(INVENTÁRIO!$B$2:$B$801,MATCH(K1269,INVENTÁRIO!$A$2:$A$801,0)),"")="(sem nome)","Carta fora dos decks: digite o nome na coluna I (opcional)","")))</f>
        <v/>
      </c>
      <c r="K1269" s="11" t="str">
        <f aca="false">UPPER(TRIM(SUBSTITUTE(B1269&amp;"",CHAR(160)," ")))</f>
        <v/>
      </c>
      <c r="L1269" s="11" t="str">
        <f aca="false">IF(AND(K1269&lt;&gt;"",TRIM(I1269&amp;"")&lt;&gt;""),K1269,"")</f>
        <v/>
      </c>
    </row>
    <row r="1270" customFormat="false" ht="15" hidden="false" customHeight="false" outlineLevel="0" collapsed="false">
      <c r="A1270" s="9"/>
      <c r="B1270" s="4"/>
      <c r="C1270" s="10"/>
      <c r="D1270" s="11" t="str">
        <f aca="false">IF(K1270="","",IFERROR(INDEX(DECKS!$C$2:$C$1201,MATCH(K1270,DECKS!$B$2:$B$1201,0)),TRIM(I1270&amp;"")))</f>
        <v/>
      </c>
      <c r="E1270" s="4"/>
      <c r="F1270" s="12"/>
      <c r="G1270" s="4"/>
      <c r="H1270" s="13" t="str">
        <f aca="false">IF(OR(N(C1270)=0,N(F1270)=0),"",C1270*F1270)</f>
        <v/>
      </c>
      <c r="I1270" s="4"/>
      <c r="J1270" s="11" t="str">
        <f aca="false">IF(K1270="","",IF(N(C1270)&lt;=0,"Informe a quantidade",IF(IFERROR(INDEX(INVENTÁRIO!$B$2:$B$801,MATCH(K1270,INVENTÁRIO!$A$2:$A$801,0)),"")="(sem nome)","Carta fora dos decks: digite o nome na coluna I (opcional)","")))</f>
        <v/>
      </c>
      <c r="K1270" s="11" t="str">
        <f aca="false">UPPER(TRIM(SUBSTITUTE(B1270&amp;"",CHAR(160)," ")))</f>
        <v/>
      </c>
      <c r="L1270" s="11" t="str">
        <f aca="false">IF(AND(K1270&lt;&gt;"",TRIM(I1270&amp;"")&lt;&gt;""),K1270,"")</f>
        <v/>
      </c>
    </row>
    <row r="1271" customFormat="false" ht="15" hidden="false" customHeight="false" outlineLevel="0" collapsed="false">
      <c r="A1271" s="9"/>
      <c r="B1271" s="4"/>
      <c r="C1271" s="10"/>
      <c r="D1271" s="11" t="str">
        <f aca="false">IF(K1271="","",IFERROR(INDEX(DECKS!$C$2:$C$1201,MATCH(K1271,DECKS!$B$2:$B$1201,0)),TRIM(I1271&amp;"")))</f>
        <v/>
      </c>
      <c r="E1271" s="4"/>
      <c r="F1271" s="12"/>
      <c r="G1271" s="4"/>
      <c r="H1271" s="13" t="str">
        <f aca="false">IF(OR(N(C1271)=0,N(F1271)=0),"",C1271*F1271)</f>
        <v/>
      </c>
      <c r="I1271" s="4"/>
      <c r="J1271" s="11" t="str">
        <f aca="false">IF(K1271="","",IF(N(C1271)&lt;=0,"Informe a quantidade",IF(IFERROR(INDEX(INVENTÁRIO!$B$2:$B$801,MATCH(K1271,INVENTÁRIO!$A$2:$A$801,0)),"")="(sem nome)","Carta fora dos decks: digite o nome na coluna I (opcional)","")))</f>
        <v/>
      </c>
      <c r="K1271" s="11" t="str">
        <f aca="false">UPPER(TRIM(SUBSTITUTE(B1271&amp;"",CHAR(160)," ")))</f>
        <v/>
      </c>
      <c r="L1271" s="11" t="str">
        <f aca="false">IF(AND(K1271&lt;&gt;"",TRIM(I1271&amp;"")&lt;&gt;""),K1271,"")</f>
        <v/>
      </c>
    </row>
    <row r="1272" customFormat="false" ht="15" hidden="false" customHeight="false" outlineLevel="0" collapsed="false">
      <c r="A1272" s="9"/>
      <c r="B1272" s="4"/>
      <c r="C1272" s="10"/>
      <c r="D1272" s="11" t="str">
        <f aca="false">IF(K1272="","",IFERROR(INDEX(DECKS!$C$2:$C$1201,MATCH(K1272,DECKS!$B$2:$B$1201,0)),TRIM(I1272&amp;"")))</f>
        <v/>
      </c>
      <c r="E1272" s="4"/>
      <c r="F1272" s="12"/>
      <c r="G1272" s="4"/>
      <c r="H1272" s="13" t="str">
        <f aca="false">IF(OR(N(C1272)=0,N(F1272)=0),"",C1272*F1272)</f>
        <v/>
      </c>
      <c r="I1272" s="4"/>
      <c r="J1272" s="11" t="str">
        <f aca="false">IF(K1272="","",IF(N(C1272)&lt;=0,"Informe a quantidade",IF(IFERROR(INDEX(INVENTÁRIO!$B$2:$B$801,MATCH(K1272,INVENTÁRIO!$A$2:$A$801,0)),"")="(sem nome)","Carta fora dos decks: digite o nome na coluna I (opcional)","")))</f>
        <v/>
      </c>
      <c r="K1272" s="11" t="str">
        <f aca="false">UPPER(TRIM(SUBSTITUTE(B1272&amp;"",CHAR(160)," ")))</f>
        <v/>
      </c>
      <c r="L1272" s="11" t="str">
        <f aca="false">IF(AND(K1272&lt;&gt;"",TRIM(I1272&amp;"")&lt;&gt;""),K1272,"")</f>
        <v/>
      </c>
    </row>
    <row r="1273" customFormat="false" ht="15" hidden="false" customHeight="false" outlineLevel="0" collapsed="false">
      <c r="A1273" s="9"/>
      <c r="B1273" s="4"/>
      <c r="C1273" s="10"/>
      <c r="D1273" s="11" t="str">
        <f aca="false">IF(K1273="","",IFERROR(INDEX(DECKS!$C$2:$C$1201,MATCH(K1273,DECKS!$B$2:$B$1201,0)),TRIM(I1273&amp;"")))</f>
        <v/>
      </c>
      <c r="E1273" s="4"/>
      <c r="F1273" s="12"/>
      <c r="G1273" s="4"/>
      <c r="H1273" s="13" t="str">
        <f aca="false">IF(OR(N(C1273)=0,N(F1273)=0),"",C1273*F1273)</f>
        <v/>
      </c>
      <c r="I1273" s="4"/>
      <c r="J1273" s="11" t="str">
        <f aca="false">IF(K1273="","",IF(N(C1273)&lt;=0,"Informe a quantidade",IF(IFERROR(INDEX(INVENTÁRIO!$B$2:$B$801,MATCH(K1273,INVENTÁRIO!$A$2:$A$801,0)),"")="(sem nome)","Carta fora dos decks: digite o nome na coluna I (opcional)","")))</f>
        <v/>
      </c>
      <c r="K1273" s="11" t="str">
        <f aca="false">UPPER(TRIM(SUBSTITUTE(B1273&amp;"",CHAR(160)," ")))</f>
        <v/>
      </c>
      <c r="L1273" s="11" t="str">
        <f aca="false">IF(AND(K1273&lt;&gt;"",TRIM(I1273&amp;"")&lt;&gt;""),K1273,"")</f>
        <v/>
      </c>
    </row>
    <row r="1274" customFormat="false" ht="15" hidden="false" customHeight="false" outlineLevel="0" collapsed="false">
      <c r="A1274" s="9"/>
      <c r="B1274" s="4"/>
      <c r="C1274" s="10"/>
      <c r="D1274" s="11" t="str">
        <f aca="false">IF(K1274="","",IFERROR(INDEX(DECKS!$C$2:$C$1201,MATCH(K1274,DECKS!$B$2:$B$1201,0)),TRIM(I1274&amp;"")))</f>
        <v/>
      </c>
      <c r="E1274" s="4"/>
      <c r="F1274" s="12"/>
      <c r="G1274" s="4"/>
      <c r="H1274" s="13" t="str">
        <f aca="false">IF(OR(N(C1274)=0,N(F1274)=0),"",C1274*F1274)</f>
        <v/>
      </c>
      <c r="I1274" s="4"/>
      <c r="J1274" s="11" t="str">
        <f aca="false">IF(K1274="","",IF(N(C1274)&lt;=0,"Informe a quantidade",IF(IFERROR(INDEX(INVENTÁRIO!$B$2:$B$801,MATCH(K1274,INVENTÁRIO!$A$2:$A$801,0)),"")="(sem nome)","Carta fora dos decks: digite o nome na coluna I (opcional)","")))</f>
        <v/>
      </c>
      <c r="K1274" s="11" t="str">
        <f aca="false">UPPER(TRIM(SUBSTITUTE(B1274&amp;"",CHAR(160)," ")))</f>
        <v/>
      </c>
      <c r="L1274" s="11" t="str">
        <f aca="false">IF(AND(K1274&lt;&gt;"",TRIM(I1274&amp;"")&lt;&gt;""),K1274,"")</f>
        <v/>
      </c>
    </row>
    <row r="1275" customFormat="false" ht="15" hidden="false" customHeight="false" outlineLevel="0" collapsed="false">
      <c r="A1275" s="9"/>
      <c r="B1275" s="4"/>
      <c r="C1275" s="10"/>
      <c r="D1275" s="11" t="str">
        <f aca="false">IF(K1275="","",IFERROR(INDEX(DECKS!$C$2:$C$1201,MATCH(K1275,DECKS!$B$2:$B$1201,0)),TRIM(I1275&amp;"")))</f>
        <v/>
      </c>
      <c r="E1275" s="4"/>
      <c r="F1275" s="12"/>
      <c r="G1275" s="4"/>
      <c r="H1275" s="13" t="str">
        <f aca="false">IF(OR(N(C1275)=0,N(F1275)=0),"",C1275*F1275)</f>
        <v/>
      </c>
      <c r="I1275" s="4"/>
      <c r="J1275" s="11" t="str">
        <f aca="false">IF(K1275="","",IF(N(C1275)&lt;=0,"Informe a quantidade",IF(IFERROR(INDEX(INVENTÁRIO!$B$2:$B$801,MATCH(K1275,INVENTÁRIO!$A$2:$A$801,0)),"")="(sem nome)","Carta fora dos decks: digite o nome na coluna I (opcional)","")))</f>
        <v/>
      </c>
      <c r="K1275" s="11" t="str">
        <f aca="false">UPPER(TRIM(SUBSTITUTE(B1275&amp;"",CHAR(160)," ")))</f>
        <v/>
      </c>
      <c r="L1275" s="11" t="str">
        <f aca="false">IF(AND(K1275&lt;&gt;"",TRIM(I1275&amp;"")&lt;&gt;""),K1275,"")</f>
        <v/>
      </c>
    </row>
    <row r="1276" customFormat="false" ht="15" hidden="false" customHeight="false" outlineLevel="0" collapsed="false">
      <c r="A1276" s="9"/>
      <c r="B1276" s="4"/>
      <c r="C1276" s="10"/>
      <c r="D1276" s="11" t="str">
        <f aca="false">IF(K1276="","",IFERROR(INDEX(DECKS!$C$2:$C$1201,MATCH(K1276,DECKS!$B$2:$B$1201,0)),TRIM(I1276&amp;"")))</f>
        <v/>
      </c>
      <c r="E1276" s="4"/>
      <c r="F1276" s="12"/>
      <c r="G1276" s="4"/>
      <c r="H1276" s="13" t="str">
        <f aca="false">IF(OR(N(C1276)=0,N(F1276)=0),"",C1276*F1276)</f>
        <v/>
      </c>
      <c r="I1276" s="4"/>
      <c r="J1276" s="11" t="str">
        <f aca="false">IF(K1276="","",IF(N(C1276)&lt;=0,"Informe a quantidade",IF(IFERROR(INDEX(INVENTÁRIO!$B$2:$B$801,MATCH(K1276,INVENTÁRIO!$A$2:$A$801,0)),"")="(sem nome)","Carta fora dos decks: digite o nome na coluna I (opcional)","")))</f>
        <v/>
      </c>
      <c r="K1276" s="11" t="str">
        <f aca="false">UPPER(TRIM(SUBSTITUTE(B1276&amp;"",CHAR(160)," ")))</f>
        <v/>
      </c>
      <c r="L1276" s="11" t="str">
        <f aca="false">IF(AND(K1276&lt;&gt;"",TRIM(I1276&amp;"")&lt;&gt;""),K1276,"")</f>
        <v/>
      </c>
    </row>
    <row r="1277" customFormat="false" ht="15" hidden="false" customHeight="false" outlineLevel="0" collapsed="false">
      <c r="A1277" s="9"/>
      <c r="B1277" s="4"/>
      <c r="C1277" s="10"/>
      <c r="D1277" s="11" t="str">
        <f aca="false">IF(K1277="","",IFERROR(INDEX(DECKS!$C$2:$C$1201,MATCH(K1277,DECKS!$B$2:$B$1201,0)),TRIM(I1277&amp;"")))</f>
        <v/>
      </c>
      <c r="E1277" s="4"/>
      <c r="F1277" s="12"/>
      <c r="G1277" s="4"/>
      <c r="H1277" s="13" t="str">
        <f aca="false">IF(OR(N(C1277)=0,N(F1277)=0),"",C1277*F1277)</f>
        <v/>
      </c>
      <c r="I1277" s="4"/>
      <c r="J1277" s="11" t="str">
        <f aca="false">IF(K1277="","",IF(N(C1277)&lt;=0,"Informe a quantidade",IF(IFERROR(INDEX(INVENTÁRIO!$B$2:$B$801,MATCH(K1277,INVENTÁRIO!$A$2:$A$801,0)),"")="(sem nome)","Carta fora dos decks: digite o nome na coluna I (opcional)","")))</f>
        <v/>
      </c>
      <c r="K1277" s="11" t="str">
        <f aca="false">UPPER(TRIM(SUBSTITUTE(B1277&amp;"",CHAR(160)," ")))</f>
        <v/>
      </c>
      <c r="L1277" s="11" t="str">
        <f aca="false">IF(AND(K1277&lt;&gt;"",TRIM(I1277&amp;"")&lt;&gt;""),K1277,"")</f>
        <v/>
      </c>
    </row>
    <row r="1278" customFormat="false" ht="15" hidden="false" customHeight="false" outlineLevel="0" collapsed="false">
      <c r="A1278" s="9"/>
      <c r="B1278" s="4"/>
      <c r="C1278" s="10"/>
      <c r="D1278" s="11" t="str">
        <f aca="false">IF(K1278="","",IFERROR(INDEX(DECKS!$C$2:$C$1201,MATCH(K1278,DECKS!$B$2:$B$1201,0)),TRIM(I1278&amp;"")))</f>
        <v/>
      </c>
      <c r="E1278" s="4"/>
      <c r="F1278" s="12"/>
      <c r="G1278" s="4"/>
      <c r="H1278" s="13" t="str">
        <f aca="false">IF(OR(N(C1278)=0,N(F1278)=0),"",C1278*F1278)</f>
        <v/>
      </c>
      <c r="I1278" s="4"/>
      <c r="J1278" s="11" t="str">
        <f aca="false">IF(K1278="","",IF(N(C1278)&lt;=0,"Informe a quantidade",IF(IFERROR(INDEX(INVENTÁRIO!$B$2:$B$801,MATCH(K1278,INVENTÁRIO!$A$2:$A$801,0)),"")="(sem nome)","Carta fora dos decks: digite o nome na coluna I (opcional)","")))</f>
        <v/>
      </c>
      <c r="K1278" s="11" t="str">
        <f aca="false">UPPER(TRIM(SUBSTITUTE(B1278&amp;"",CHAR(160)," ")))</f>
        <v/>
      </c>
      <c r="L1278" s="11" t="str">
        <f aca="false">IF(AND(K1278&lt;&gt;"",TRIM(I1278&amp;"")&lt;&gt;""),K1278,"")</f>
        <v/>
      </c>
    </row>
    <row r="1279" customFormat="false" ht="15" hidden="false" customHeight="false" outlineLevel="0" collapsed="false">
      <c r="A1279" s="9"/>
      <c r="B1279" s="4"/>
      <c r="C1279" s="10"/>
      <c r="D1279" s="11" t="str">
        <f aca="false">IF(K1279="","",IFERROR(INDEX(DECKS!$C$2:$C$1201,MATCH(K1279,DECKS!$B$2:$B$1201,0)),TRIM(I1279&amp;"")))</f>
        <v/>
      </c>
      <c r="E1279" s="4"/>
      <c r="F1279" s="12"/>
      <c r="G1279" s="4"/>
      <c r="H1279" s="13" t="str">
        <f aca="false">IF(OR(N(C1279)=0,N(F1279)=0),"",C1279*F1279)</f>
        <v/>
      </c>
      <c r="I1279" s="4"/>
      <c r="J1279" s="11" t="str">
        <f aca="false">IF(K1279="","",IF(N(C1279)&lt;=0,"Informe a quantidade",IF(IFERROR(INDEX(INVENTÁRIO!$B$2:$B$801,MATCH(K1279,INVENTÁRIO!$A$2:$A$801,0)),"")="(sem nome)","Carta fora dos decks: digite o nome na coluna I (opcional)","")))</f>
        <v/>
      </c>
      <c r="K1279" s="11" t="str">
        <f aca="false">UPPER(TRIM(SUBSTITUTE(B1279&amp;"",CHAR(160)," ")))</f>
        <v/>
      </c>
      <c r="L1279" s="11" t="str">
        <f aca="false">IF(AND(K1279&lt;&gt;"",TRIM(I1279&amp;"")&lt;&gt;""),K1279,"")</f>
        <v/>
      </c>
    </row>
    <row r="1280" customFormat="false" ht="15" hidden="false" customHeight="false" outlineLevel="0" collapsed="false">
      <c r="A1280" s="9"/>
      <c r="B1280" s="4"/>
      <c r="C1280" s="10"/>
      <c r="D1280" s="11" t="str">
        <f aca="false">IF(K1280="","",IFERROR(INDEX(DECKS!$C$2:$C$1201,MATCH(K1280,DECKS!$B$2:$B$1201,0)),TRIM(I1280&amp;"")))</f>
        <v/>
      </c>
      <c r="E1280" s="4"/>
      <c r="F1280" s="12"/>
      <c r="G1280" s="4"/>
      <c r="H1280" s="13" t="str">
        <f aca="false">IF(OR(N(C1280)=0,N(F1280)=0),"",C1280*F1280)</f>
        <v/>
      </c>
      <c r="I1280" s="4"/>
      <c r="J1280" s="11" t="str">
        <f aca="false">IF(K1280="","",IF(N(C1280)&lt;=0,"Informe a quantidade",IF(IFERROR(INDEX(INVENTÁRIO!$B$2:$B$801,MATCH(K1280,INVENTÁRIO!$A$2:$A$801,0)),"")="(sem nome)","Carta fora dos decks: digite o nome na coluna I (opcional)","")))</f>
        <v/>
      </c>
      <c r="K1280" s="11" t="str">
        <f aca="false">UPPER(TRIM(SUBSTITUTE(B1280&amp;"",CHAR(160)," ")))</f>
        <v/>
      </c>
      <c r="L1280" s="11" t="str">
        <f aca="false">IF(AND(K1280&lt;&gt;"",TRIM(I1280&amp;"")&lt;&gt;""),K1280,"")</f>
        <v/>
      </c>
    </row>
    <row r="1281" customFormat="false" ht="15" hidden="false" customHeight="false" outlineLevel="0" collapsed="false">
      <c r="A1281" s="9"/>
      <c r="B1281" s="4"/>
      <c r="C1281" s="10"/>
      <c r="D1281" s="11" t="str">
        <f aca="false">IF(K1281="","",IFERROR(INDEX(DECKS!$C$2:$C$1201,MATCH(K1281,DECKS!$B$2:$B$1201,0)),TRIM(I1281&amp;"")))</f>
        <v/>
      </c>
      <c r="E1281" s="4"/>
      <c r="F1281" s="12"/>
      <c r="G1281" s="4"/>
      <c r="H1281" s="13" t="str">
        <f aca="false">IF(OR(N(C1281)=0,N(F1281)=0),"",C1281*F1281)</f>
        <v/>
      </c>
      <c r="I1281" s="4"/>
      <c r="J1281" s="11" t="str">
        <f aca="false">IF(K1281="","",IF(N(C1281)&lt;=0,"Informe a quantidade",IF(IFERROR(INDEX(INVENTÁRIO!$B$2:$B$801,MATCH(K1281,INVENTÁRIO!$A$2:$A$801,0)),"")="(sem nome)","Carta fora dos decks: digite o nome na coluna I (opcional)","")))</f>
        <v/>
      </c>
      <c r="K1281" s="11" t="str">
        <f aca="false">UPPER(TRIM(SUBSTITUTE(B1281&amp;"",CHAR(160)," ")))</f>
        <v/>
      </c>
      <c r="L1281" s="11" t="str">
        <f aca="false">IF(AND(K1281&lt;&gt;"",TRIM(I1281&amp;"")&lt;&gt;""),K1281,"")</f>
        <v/>
      </c>
    </row>
    <row r="1282" customFormat="false" ht="15" hidden="false" customHeight="false" outlineLevel="0" collapsed="false">
      <c r="A1282" s="9"/>
      <c r="B1282" s="4"/>
      <c r="C1282" s="10"/>
      <c r="D1282" s="11" t="str">
        <f aca="false">IF(K1282="","",IFERROR(INDEX(DECKS!$C$2:$C$1201,MATCH(K1282,DECKS!$B$2:$B$1201,0)),TRIM(I1282&amp;"")))</f>
        <v/>
      </c>
      <c r="E1282" s="4"/>
      <c r="F1282" s="12"/>
      <c r="G1282" s="4"/>
      <c r="H1282" s="13" t="str">
        <f aca="false">IF(OR(N(C1282)=0,N(F1282)=0),"",C1282*F1282)</f>
        <v/>
      </c>
      <c r="I1282" s="4"/>
      <c r="J1282" s="11" t="str">
        <f aca="false">IF(K1282="","",IF(N(C1282)&lt;=0,"Informe a quantidade",IF(IFERROR(INDEX(INVENTÁRIO!$B$2:$B$801,MATCH(K1282,INVENTÁRIO!$A$2:$A$801,0)),"")="(sem nome)","Carta fora dos decks: digite o nome na coluna I (opcional)","")))</f>
        <v/>
      </c>
      <c r="K1282" s="11" t="str">
        <f aca="false">UPPER(TRIM(SUBSTITUTE(B1282&amp;"",CHAR(160)," ")))</f>
        <v/>
      </c>
      <c r="L1282" s="11" t="str">
        <f aca="false">IF(AND(K1282&lt;&gt;"",TRIM(I1282&amp;"")&lt;&gt;""),K1282,"")</f>
        <v/>
      </c>
    </row>
    <row r="1283" customFormat="false" ht="15" hidden="false" customHeight="false" outlineLevel="0" collapsed="false">
      <c r="A1283" s="9"/>
      <c r="B1283" s="4"/>
      <c r="C1283" s="10"/>
      <c r="D1283" s="11" t="str">
        <f aca="false">IF(K1283="","",IFERROR(INDEX(DECKS!$C$2:$C$1201,MATCH(K1283,DECKS!$B$2:$B$1201,0)),TRIM(I1283&amp;"")))</f>
        <v/>
      </c>
      <c r="E1283" s="4"/>
      <c r="F1283" s="12"/>
      <c r="G1283" s="4"/>
      <c r="H1283" s="13" t="str">
        <f aca="false">IF(OR(N(C1283)=0,N(F1283)=0),"",C1283*F1283)</f>
        <v/>
      </c>
      <c r="I1283" s="4"/>
      <c r="J1283" s="11" t="str">
        <f aca="false">IF(K1283="","",IF(N(C1283)&lt;=0,"Informe a quantidade",IF(IFERROR(INDEX(INVENTÁRIO!$B$2:$B$801,MATCH(K1283,INVENTÁRIO!$A$2:$A$801,0)),"")="(sem nome)","Carta fora dos decks: digite o nome na coluna I (opcional)","")))</f>
        <v/>
      </c>
      <c r="K1283" s="11" t="str">
        <f aca="false">UPPER(TRIM(SUBSTITUTE(B1283&amp;"",CHAR(160)," ")))</f>
        <v/>
      </c>
      <c r="L1283" s="11" t="str">
        <f aca="false">IF(AND(K1283&lt;&gt;"",TRIM(I1283&amp;"")&lt;&gt;""),K1283,"")</f>
        <v/>
      </c>
    </row>
    <row r="1284" customFormat="false" ht="15" hidden="false" customHeight="false" outlineLevel="0" collapsed="false">
      <c r="A1284" s="9"/>
      <c r="B1284" s="4"/>
      <c r="C1284" s="10"/>
      <c r="D1284" s="11" t="str">
        <f aca="false">IF(K1284="","",IFERROR(INDEX(DECKS!$C$2:$C$1201,MATCH(K1284,DECKS!$B$2:$B$1201,0)),TRIM(I1284&amp;"")))</f>
        <v/>
      </c>
      <c r="E1284" s="4"/>
      <c r="F1284" s="12"/>
      <c r="G1284" s="4"/>
      <c r="H1284" s="13" t="str">
        <f aca="false">IF(OR(N(C1284)=0,N(F1284)=0),"",C1284*F1284)</f>
        <v/>
      </c>
      <c r="I1284" s="4"/>
      <c r="J1284" s="11" t="str">
        <f aca="false">IF(K1284="","",IF(N(C1284)&lt;=0,"Informe a quantidade",IF(IFERROR(INDEX(INVENTÁRIO!$B$2:$B$801,MATCH(K1284,INVENTÁRIO!$A$2:$A$801,0)),"")="(sem nome)","Carta fora dos decks: digite o nome na coluna I (opcional)","")))</f>
        <v/>
      </c>
      <c r="K1284" s="11" t="str">
        <f aca="false">UPPER(TRIM(SUBSTITUTE(B1284&amp;"",CHAR(160)," ")))</f>
        <v/>
      </c>
      <c r="L1284" s="11" t="str">
        <f aca="false">IF(AND(K1284&lt;&gt;"",TRIM(I1284&amp;"")&lt;&gt;""),K1284,"")</f>
        <v/>
      </c>
    </row>
    <row r="1285" customFormat="false" ht="15" hidden="false" customHeight="false" outlineLevel="0" collapsed="false">
      <c r="A1285" s="9"/>
      <c r="B1285" s="4"/>
      <c r="C1285" s="10"/>
      <c r="D1285" s="11" t="str">
        <f aca="false">IF(K1285="","",IFERROR(INDEX(DECKS!$C$2:$C$1201,MATCH(K1285,DECKS!$B$2:$B$1201,0)),TRIM(I1285&amp;"")))</f>
        <v/>
      </c>
      <c r="E1285" s="4"/>
      <c r="F1285" s="12"/>
      <c r="G1285" s="4"/>
      <c r="H1285" s="13" t="str">
        <f aca="false">IF(OR(N(C1285)=0,N(F1285)=0),"",C1285*F1285)</f>
        <v/>
      </c>
      <c r="I1285" s="4"/>
      <c r="J1285" s="11" t="str">
        <f aca="false">IF(K1285="","",IF(N(C1285)&lt;=0,"Informe a quantidade",IF(IFERROR(INDEX(INVENTÁRIO!$B$2:$B$801,MATCH(K1285,INVENTÁRIO!$A$2:$A$801,0)),"")="(sem nome)","Carta fora dos decks: digite o nome na coluna I (opcional)","")))</f>
        <v/>
      </c>
      <c r="K1285" s="11" t="str">
        <f aca="false">UPPER(TRIM(SUBSTITUTE(B1285&amp;"",CHAR(160)," ")))</f>
        <v/>
      </c>
      <c r="L1285" s="11" t="str">
        <f aca="false">IF(AND(K1285&lt;&gt;"",TRIM(I1285&amp;"")&lt;&gt;""),K1285,"")</f>
        <v/>
      </c>
    </row>
    <row r="1286" customFormat="false" ht="15" hidden="false" customHeight="false" outlineLevel="0" collapsed="false">
      <c r="A1286" s="9"/>
      <c r="B1286" s="4"/>
      <c r="C1286" s="10"/>
      <c r="D1286" s="11" t="str">
        <f aca="false">IF(K1286="","",IFERROR(INDEX(DECKS!$C$2:$C$1201,MATCH(K1286,DECKS!$B$2:$B$1201,0)),TRIM(I1286&amp;"")))</f>
        <v/>
      </c>
      <c r="E1286" s="4"/>
      <c r="F1286" s="12"/>
      <c r="G1286" s="4"/>
      <c r="H1286" s="13" t="str">
        <f aca="false">IF(OR(N(C1286)=0,N(F1286)=0),"",C1286*F1286)</f>
        <v/>
      </c>
      <c r="I1286" s="4"/>
      <c r="J1286" s="11" t="str">
        <f aca="false">IF(K1286="","",IF(N(C1286)&lt;=0,"Informe a quantidade",IF(IFERROR(INDEX(INVENTÁRIO!$B$2:$B$801,MATCH(K1286,INVENTÁRIO!$A$2:$A$801,0)),"")="(sem nome)","Carta fora dos decks: digite o nome na coluna I (opcional)","")))</f>
        <v/>
      </c>
      <c r="K1286" s="11" t="str">
        <f aca="false">UPPER(TRIM(SUBSTITUTE(B1286&amp;"",CHAR(160)," ")))</f>
        <v/>
      </c>
      <c r="L1286" s="11" t="str">
        <f aca="false">IF(AND(K1286&lt;&gt;"",TRIM(I1286&amp;"")&lt;&gt;""),K1286,"")</f>
        <v/>
      </c>
    </row>
    <row r="1287" customFormat="false" ht="15" hidden="false" customHeight="false" outlineLevel="0" collapsed="false">
      <c r="A1287" s="9"/>
      <c r="B1287" s="4"/>
      <c r="C1287" s="10"/>
      <c r="D1287" s="11" t="str">
        <f aca="false">IF(K1287="","",IFERROR(INDEX(DECKS!$C$2:$C$1201,MATCH(K1287,DECKS!$B$2:$B$1201,0)),TRIM(I1287&amp;"")))</f>
        <v/>
      </c>
      <c r="E1287" s="4"/>
      <c r="F1287" s="12"/>
      <c r="G1287" s="4"/>
      <c r="H1287" s="13" t="str">
        <f aca="false">IF(OR(N(C1287)=0,N(F1287)=0),"",C1287*F1287)</f>
        <v/>
      </c>
      <c r="I1287" s="4"/>
      <c r="J1287" s="11" t="str">
        <f aca="false">IF(K1287="","",IF(N(C1287)&lt;=0,"Informe a quantidade",IF(IFERROR(INDEX(INVENTÁRIO!$B$2:$B$801,MATCH(K1287,INVENTÁRIO!$A$2:$A$801,0)),"")="(sem nome)","Carta fora dos decks: digite o nome na coluna I (opcional)","")))</f>
        <v/>
      </c>
      <c r="K1287" s="11" t="str">
        <f aca="false">UPPER(TRIM(SUBSTITUTE(B1287&amp;"",CHAR(160)," ")))</f>
        <v/>
      </c>
      <c r="L1287" s="11" t="str">
        <f aca="false">IF(AND(K1287&lt;&gt;"",TRIM(I1287&amp;"")&lt;&gt;""),K1287,"")</f>
        <v/>
      </c>
    </row>
    <row r="1288" customFormat="false" ht="15" hidden="false" customHeight="false" outlineLevel="0" collapsed="false">
      <c r="A1288" s="9"/>
      <c r="B1288" s="4"/>
      <c r="C1288" s="10"/>
      <c r="D1288" s="11" t="str">
        <f aca="false">IF(K1288="","",IFERROR(INDEX(DECKS!$C$2:$C$1201,MATCH(K1288,DECKS!$B$2:$B$1201,0)),TRIM(I1288&amp;"")))</f>
        <v/>
      </c>
      <c r="E1288" s="4"/>
      <c r="F1288" s="12"/>
      <c r="G1288" s="4"/>
      <c r="H1288" s="13" t="str">
        <f aca="false">IF(OR(N(C1288)=0,N(F1288)=0),"",C1288*F1288)</f>
        <v/>
      </c>
      <c r="I1288" s="4"/>
      <c r="J1288" s="11" t="str">
        <f aca="false">IF(K1288="","",IF(N(C1288)&lt;=0,"Informe a quantidade",IF(IFERROR(INDEX(INVENTÁRIO!$B$2:$B$801,MATCH(K1288,INVENTÁRIO!$A$2:$A$801,0)),"")="(sem nome)","Carta fora dos decks: digite o nome na coluna I (opcional)","")))</f>
        <v/>
      </c>
      <c r="K1288" s="11" t="str">
        <f aca="false">UPPER(TRIM(SUBSTITUTE(B1288&amp;"",CHAR(160)," ")))</f>
        <v/>
      </c>
      <c r="L1288" s="11" t="str">
        <f aca="false">IF(AND(K1288&lt;&gt;"",TRIM(I1288&amp;"")&lt;&gt;""),K1288,"")</f>
        <v/>
      </c>
    </row>
    <row r="1289" customFormat="false" ht="15" hidden="false" customHeight="false" outlineLevel="0" collapsed="false">
      <c r="A1289" s="9"/>
      <c r="B1289" s="4"/>
      <c r="C1289" s="10"/>
      <c r="D1289" s="11" t="str">
        <f aca="false">IF(K1289="","",IFERROR(INDEX(DECKS!$C$2:$C$1201,MATCH(K1289,DECKS!$B$2:$B$1201,0)),TRIM(I1289&amp;"")))</f>
        <v/>
      </c>
      <c r="E1289" s="4"/>
      <c r="F1289" s="12"/>
      <c r="G1289" s="4"/>
      <c r="H1289" s="13" t="str">
        <f aca="false">IF(OR(N(C1289)=0,N(F1289)=0),"",C1289*F1289)</f>
        <v/>
      </c>
      <c r="I1289" s="4"/>
      <c r="J1289" s="11" t="str">
        <f aca="false">IF(K1289="","",IF(N(C1289)&lt;=0,"Informe a quantidade",IF(IFERROR(INDEX(INVENTÁRIO!$B$2:$B$801,MATCH(K1289,INVENTÁRIO!$A$2:$A$801,0)),"")="(sem nome)","Carta fora dos decks: digite o nome na coluna I (opcional)","")))</f>
        <v/>
      </c>
      <c r="K1289" s="11" t="str">
        <f aca="false">UPPER(TRIM(SUBSTITUTE(B1289&amp;"",CHAR(160)," ")))</f>
        <v/>
      </c>
      <c r="L1289" s="11" t="str">
        <f aca="false">IF(AND(K1289&lt;&gt;"",TRIM(I1289&amp;"")&lt;&gt;""),K1289,"")</f>
        <v/>
      </c>
    </row>
    <row r="1290" customFormat="false" ht="15" hidden="false" customHeight="false" outlineLevel="0" collapsed="false">
      <c r="A1290" s="9"/>
      <c r="B1290" s="4"/>
      <c r="C1290" s="10"/>
      <c r="D1290" s="11" t="str">
        <f aca="false">IF(K1290="","",IFERROR(INDEX(DECKS!$C$2:$C$1201,MATCH(K1290,DECKS!$B$2:$B$1201,0)),TRIM(I1290&amp;"")))</f>
        <v/>
      </c>
      <c r="E1290" s="4"/>
      <c r="F1290" s="12"/>
      <c r="G1290" s="4"/>
      <c r="H1290" s="13" t="str">
        <f aca="false">IF(OR(N(C1290)=0,N(F1290)=0),"",C1290*F1290)</f>
        <v/>
      </c>
      <c r="I1290" s="4"/>
      <c r="J1290" s="11" t="str">
        <f aca="false">IF(K1290="","",IF(N(C1290)&lt;=0,"Informe a quantidade",IF(IFERROR(INDEX(INVENTÁRIO!$B$2:$B$801,MATCH(K1290,INVENTÁRIO!$A$2:$A$801,0)),"")="(sem nome)","Carta fora dos decks: digite o nome na coluna I (opcional)","")))</f>
        <v/>
      </c>
      <c r="K1290" s="11" t="str">
        <f aca="false">UPPER(TRIM(SUBSTITUTE(B1290&amp;"",CHAR(160)," ")))</f>
        <v/>
      </c>
      <c r="L1290" s="11" t="str">
        <f aca="false">IF(AND(K1290&lt;&gt;"",TRIM(I1290&amp;"")&lt;&gt;""),K1290,"")</f>
        <v/>
      </c>
    </row>
    <row r="1291" customFormat="false" ht="15" hidden="false" customHeight="false" outlineLevel="0" collapsed="false">
      <c r="A1291" s="9"/>
      <c r="B1291" s="4"/>
      <c r="C1291" s="10"/>
      <c r="D1291" s="11" t="str">
        <f aca="false">IF(K1291="","",IFERROR(INDEX(DECKS!$C$2:$C$1201,MATCH(K1291,DECKS!$B$2:$B$1201,0)),TRIM(I1291&amp;"")))</f>
        <v/>
      </c>
      <c r="E1291" s="4"/>
      <c r="F1291" s="12"/>
      <c r="G1291" s="4"/>
      <c r="H1291" s="13" t="str">
        <f aca="false">IF(OR(N(C1291)=0,N(F1291)=0),"",C1291*F1291)</f>
        <v/>
      </c>
      <c r="I1291" s="4"/>
      <c r="J1291" s="11" t="str">
        <f aca="false">IF(K1291="","",IF(N(C1291)&lt;=0,"Informe a quantidade",IF(IFERROR(INDEX(INVENTÁRIO!$B$2:$B$801,MATCH(K1291,INVENTÁRIO!$A$2:$A$801,0)),"")="(sem nome)","Carta fora dos decks: digite o nome na coluna I (opcional)","")))</f>
        <v/>
      </c>
      <c r="K1291" s="11" t="str">
        <f aca="false">UPPER(TRIM(SUBSTITUTE(B1291&amp;"",CHAR(160)," ")))</f>
        <v/>
      </c>
      <c r="L1291" s="11" t="str">
        <f aca="false">IF(AND(K1291&lt;&gt;"",TRIM(I1291&amp;"")&lt;&gt;""),K1291,"")</f>
        <v/>
      </c>
    </row>
    <row r="1292" customFormat="false" ht="15" hidden="false" customHeight="false" outlineLevel="0" collapsed="false">
      <c r="A1292" s="9"/>
      <c r="B1292" s="4"/>
      <c r="C1292" s="10"/>
      <c r="D1292" s="11" t="str">
        <f aca="false">IF(K1292="","",IFERROR(INDEX(DECKS!$C$2:$C$1201,MATCH(K1292,DECKS!$B$2:$B$1201,0)),TRIM(I1292&amp;"")))</f>
        <v/>
      </c>
      <c r="E1292" s="4"/>
      <c r="F1292" s="12"/>
      <c r="G1292" s="4"/>
      <c r="H1292" s="13" t="str">
        <f aca="false">IF(OR(N(C1292)=0,N(F1292)=0),"",C1292*F1292)</f>
        <v/>
      </c>
      <c r="I1292" s="4"/>
      <c r="J1292" s="11" t="str">
        <f aca="false">IF(K1292="","",IF(N(C1292)&lt;=0,"Informe a quantidade",IF(IFERROR(INDEX(INVENTÁRIO!$B$2:$B$801,MATCH(K1292,INVENTÁRIO!$A$2:$A$801,0)),"")="(sem nome)","Carta fora dos decks: digite o nome na coluna I (opcional)","")))</f>
        <v/>
      </c>
      <c r="K1292" s="11" t="str">
        <f aca="false">UPPER(TRIM(SUBSTITUTE(B1292&amp;"",CHAR(160)," ")))</f>
        <v/>
      </c>
      <c r="L1292" s="11" t="str">
        <f aca="false">IF(AND(K1292&lt;&gt;"",TRIM(I1292&amp;"")&lt;&gt;""),K1292,"")</f>
        <v/>
      </c>
    </row>
    <row r="1293" customFormat="false" ht="15" hidden="false" customHeight="false" outlineLevel="0" collapsed="false">
      <c r="A1293" s="9"/>
      <c r="B1293" s="4"/>
      <c r="C1293" s="10"/>
      <c r="D1293" s="11" t="str">
        <f aca="false">IF(K1293="","",IFERROR(INDEX(DECKS!$C$2:$C$1201,MATCH(K1293,DECKS!$B$2:$B$1201,0)),TRIM(I1293&amp;"")))</f>
        <v/>
      </c>
      <c r="E1293" s="4"/>
      <c r="F1293" s="12"/>
      <c r="G1293" s="4"/>
      <c r="H1293" s="13" t="str">
        <f aca="false">IF(OR(N(C1293)=0,N(F1293)=0),"",C1293*F1293)</f>
        <v/>
      </c>
      <c r="I1293" s="4"/>
      <c r="J1293" s="11" t="str">
        <f aca="false">IF(K1293="","",IF(N(C1293)&lt;=0,"Informe a quantidade",IF(IFERROR(INDEX(INVENTÁRIO!$B$2:$B$801,MATCH(K1293,INVENTÁRIO!$A$2:$A$801,0)),"")="(sem nome)","Carta fora dos decks: digite o nome na coluna I (opcional)","")))</f>
        <v/>
      </c>
      <c r="K1293" s="11" t="str">
        <f aca="false">UPPER(TRIM(SUBSTITUTE(B1293&amp;"",CHAR(160)," ")))</f>
        <v/>
      </c>
      <c r="L1293" s="11" t="str">
        <f aca="false">IF(AND(K1293&lt;&gt;"",TRIM(I1293&amp;"")&lt;&gt;""),K1293,"")</f>
        <v/>
      </c>
    </row>
    <row r="1294" customFormat="false" ht="15" hidden="false" customHeight="false" outlineLevel="0" collapsed="false">
      <c r="A1294" s="9"/>
      <c r="B1294" s="4"/>
      <c r="C1294" s="10"/>
      <c r="D1294" s="11" t="str">
        <f aca="false">IF(K1294="","",IFERROR(INDEX(DECKS!$C$2:$C$1201,MATCH(K1294,DECKS!$B$2:$B$1201,0)),TRIM(I1294&amp;"")))</f>
        <v/>
      </c>
      <c r="E1294" s="4"/>
      <c r="F1294" s="12"/>
      <c r="G1294" s="4"/>
      <c r="H1294" s="13" t="str">
        <f aca="false">IF(OR(N(C1294)=0,N(F1294)=0),"",C1294*F1294)</f>
        <v/>
      </c>
      <c r="I1294" s="4"/>
      <c r="J1294" s="11" t="str">
        <f aca="false">IF(K1294="","",IF(N(C1294)&lt;=0,"Informe a quantidade",IF(IFERROR(INDEX(INVENTÁRIO!$B$2:$B$801,MATCH(K1294,INVENTÁRIO!$A$2:$A$801,0)),"")="(sem nome)","Carta fora dos decks: digite o nome na coluna I (opcional)","")))</f>
        <v/>
      </c>
      <c r="K1294" s="11" t="str">
        <f aca="false">UPPER(TRIM(SUBSTITUTE(B1294&amp;"",CHAR(160)," ")))</f>
        <v/>
      </c>
      <c r="L1294" s="11" t="str">
        <f aca="false">IF(AND(K1294&lt;&gt;"",TRIM(I1294&amp;"")&lt;&gt;""),K1294,"")</f>
        <v/>
      </c>
    </row>
    <row r="1295" customFormat="false" ht="15" hidden="false" customHeight="false" outlineLevel="0" collapsed="false">
      <c r="A1295" s="9"/>
      <c r="B1295" s="4"/>
      <c r="C1295" s="10"/>
      <c r="D1295" s="11" t="str">
        <f aca="false">IF(K1295="","",IFERROR(INDEX(DECKS!$C$2:$C$1201,MATCH(K1295,DECKS!$B$2:$B$1201,0)),TRIM(I1295&amp;"")))</f>
        <v/>
      </c>
      <c r="E1295" s="4"/>
      <c r="F1295" s="12"/>
      <c r="G1295" s="4"/>
      <c r="H1295" s="13" t="str">
        <f aca="false">IF(OR(N(C1295)=0,N(F1295)=0),"",C1295*F1295)</f>
        <v/>
      </c>
      <c r="I1295" s="4"/>
      <c r="J1295" s="11" t="str">
        <f aca="false">IF(K1295="","",IF(N(C1295)&lt;=0,"Informe a quantidade",IF(IFERROR(INDEX(INVENTÁRIO!$B$2:$B$801,MATCH(K1295,INVENTÁRIO!$A$2:$A$801,0)),"")="(sem nome)","Carta fora dos decks: digite o nome na coluna I (opcional)","")))</f>
        <v/>
      </c>
      <c r="K1295" s="11" t="str">
        <f aca="false">UPPER(TRIM(SUBSTITUTE(B1295&amp;"",CHAR(160)," ")))</f>
        <v/>
      </c>
      <c r="L1295" s="11" t="str">
        <f aca="false">IF(AND(K1295&lt;&gt;"",TRIM(I1295&amp;"")&lt;&gt;""),K1295,"")</f>
        <v/>
      </c>
    </row>
    <row r="1296" customFormat="false" ht="15" hidden="false" customHeight="false" outlineLevel="0" collapsed="false">
      <c r="A1296" s="9"/>
      <c r="B1296" s="4"/>
      <c r="C1296" s="10"/>
      <c r="D1296" s="11" t="str">
        <f aca="false">IF(K1296="","",IFERROR(INDEX(DECKS!$C$2:$C$1201,MATCH(K1296,DECKS!$B$2:$B$1201,0)),TRIM(I1296&amp;"")))</f>
        <v/>
      </c>
      <c r="E1296" s="4"/>
      <c r="F1296" s="12"/>
      <c r="G1296" s="4"/>
      <c r="H1296" s="13" t="str">
        <f aca="false">IF(OR(N(C1296)=0,N(F1296)=0),"",C1296*F1296)</f>
        <v/>
      </c>
      <c r="I1296" s="4"/>
      <c r="J1296" s="11" t="str">
        <f aca="false">IF(K1296="","",IF(N(C1296)&lt;=0,"Informe a quantidade",IF(IFERROR(INDEX(INVENTÁRIO!$B$2:$B$801,MATCH(K1296,INVENTÁRIO!$A$2:$A$801,0)),"")="(sem nome)","Carta fora dos decks: digite o nome na coluna I (opcional)","")))</f>
        <v/>
      </c>
      <c r="K1296" s="11" t="str">
        <f aca="false">UPPER(TRIM(SUBSTITUTE(B1296&amp;"",CHAR(160)," ")))</f>
        <v/>
      </c>
      <c r="L1296" s="11" t="str">
        <f aca="false">IF(AND(K1296&lt;&gt;"",TRIM(I1296&amp;"")&lt;&gt;""),K1296,"")</f>
        <v/>
      </c>
    </row>
    <row r="1297" customFormat="false" ht="15" hidden="false" customHeight="false" outlineLevel="0" collapsed="false">
      <c r="A1297" s="9"/>
      <c r="B1297" s="4"/>
      <c r="C1297" s="10"/>
      <c r="D1297" s="11" t="str">
        <f aca="false">IF(K1297="","",IFERROR(INDEX(DECKS!$C$2:$C$1201,MATCH(K1297,DECKS!$B$2:$B$1201,0)),TRIM(I1297&amp;"")))</f>
        <v/>
      </c>
      <c r="E1297" s="4"/>
      <c r="F1297" s="12"/>
      <c r="G1297" s="4"/>
      <c r="H1297" s="13" t="str">
        <f aca="false">IF(OR(N(C1297)=0,N(F1297)=0),"",C1297*F1297)</f>
        <v/>
      </c>
      <c r="I1297" s="4"/>
      <c r="J1297" s="11" t="str">
        <f aca="false">IF(K1297="","",IF(N(C1297)&lt;=0,"Informe a quantidade",IF(IFERROR(INDEX(INVENTÁRIO!$B$2:$B$801,MATCH(K1297,INVENTÁRIO!$A$2:$A$801,0)),"")="(sem nome)","Carta fora dos decks: digite o nome na coluna I (opcional)","")))</f>
        <v/>
      </c>
      <c r="K1297" s="11" t="str">
        <f aca="false">UPPER(TRIM(SUBSTITUTE(B1297&amp;"",CHAR(160)," ")))</f>
        <v/>
      </c>
      <c r="L1297" s="11" t="str">
        <f aca="false">IF(AND(K1297&lt;&gt;"",TRIM(I1297&amp;"")&lt;&gt;""),K1297,"")</f>
        <v/>
      </c>
    </row>
    <row r="1298" customFormat="false" ht="15" hidden="false" customHeight="false" outlineLevel="0" collapsed="false">
      <c r="A1298" s="9"/>
      <c r="B1298" s="4"/>
      <c r="C1298" s="10"/>
      <c r="D1298" s="11" t="str">
        <f aca="false">IF(K1298="","",IFERROR(INDEX(DECKS!$C$2:$C$1201,MATCH(K1298,DECKS!$B$2:$B$1201,0)),TRIM(I1298&amp;"")))</f>
        <v/>
      </c>
      <c r="E1298" s="4"/>
      <c r="F1298" s="12"/>
      <c r="G1298" s="4"/>
      <c r="H1298" s="13" t="str">
        <f aca="false">IF(OR(N(C1298)=0,N(F1298)=0),"",C1298*F1298)</f>
        <v/>
      </c>
      <c r="I1298" s="4"/>
      <c r="J1298" s="11" t="str">
        <f aca="false">IF(K1298="","",IF(N(C1298)&lt;=0,"Informe a quantidade",IF(IFERROR(INDEX(INVENTÁRIO!$B$2:$B$801,MATCH(K1298,INVENTÁRIO!$A$2:$A$801,0)),"")="(sem nome)","Carta fora dos decks: digite o nome na coluna I (opcional)","")))</f>
        <v/>
      </c>
      <c r="K1298" s="11" t="str">
        <f aca="false">UPPER(TRIM(SUBSTITUTE(B1298&amp;"",CHAR(160)," ")))</f>
        <v/>
      </c>
      <c r="L1298" s="11" t="str">
        <f aca="false">IF(AND(K1298&lt;&gt;"",TRIM(I1298&amp;"")&lt;&gt;""),K1298,"")</f>
        <v/>
      </c>
    </row>
    <row r="1299" customFormat="false" ht="15" hidden="false" customHeight="false" outlineLevel="0" collapsed="false">
      <c r="A1299" s="9"/>
      <c r="B1299" s="4"/>
      <c r="C1299" s="10"/>
      <c r="D1299" s="11" t="str">
        <f aca="false">IF(K1299="","",IFERROR(INDEX(DECKS!$C$2:$C$1201,MATCH(K1299,DECKS!$B$2:$B$1201,0)),TRIM(I1299&amp;"")))</f>
        <v/>
      </c>
      <c r="E1299" s="4"/>
      <c r="F1299" s="12"/>
      <c r="G1299" s="4"/>
      <c r="H1299" s="13" t="str">
        <f aca="false">IF(OR(N(C1299)=0,N(F1299)=0),"",C1299*F1299)</f>
        <v/>
      </c>
      <c r="I1299" s="4"/>
      <c r="J1299" s="11" t="str">
        <f aca="false">IF(K1299="","",IF(N(C1299)&lt;=0,"Informe a quantidade",IF(IFERROR(INDEX(INVENTÁRIO!$B$2:$B$801,MATCH(K1299,INVENTÁRIO!$A$2:$A$801,0)),"")="(sem nome)","Carta fora dos decks: digite o nome na coluna I (opcional)","")))</f>
        <v/>
      </c>
      <c r="K1299" s="11" t="str">
        <f aca="false">UPPER(TRIM(SUBSTITUTE(B1299&amp;"",CHAR(160)," ")))</f>
        <v/>
      </c>
      <c r="L1299" s="11" t="str">
        <f aca="false">IF(AND(K1299&lt;&gt;"",TRIM(I1299&amp;"")&lt;&gt;""),K1299,"")</f>
        <v/>
      </c>
    </row>
    <row r="1300" customFormat="false" ht="15" hidden="false" customHeight="false" outlineLevel="0" collapsed="false">
      <c r="A1300" s="9"/>
      <c r="B1300" s="4"/>
      <c r="C1300" s="10"/>
      <c r="D1300" s="11" t="str">
        <f aca="false">IF(K1300="","",IFERROR(INDEX(DECKS!$C$2:$C$1201,MATCH(K1300,DECKS!$B$2:$B$1201,0)),TRIM(I1300&amp;"")))</f>
        <v/>
      </c>
      <c r="E1300" s="4"/>
      <c r="F1300" s="12"/>
      <c r="G1300" s="4"/>
      <c r="H1300" s="13" t="str">
        <f aca="false">IF(OR(N(C1300)=0,N(F1300)=0),"",C1300*F1300)</f>
        <v/>
      </c>
      <c r="I1300" s="4"/>
      <c r="J1300" s="11" t="str">
        <f aca="false">IF(K1300="","",IF(N(C1300)&lt;=0,"Informe a quantidade",IF(IFERROR(INDEX(INVENTÁRIO!$B$2:$B$801,MATCH(K1300,INVENTÁRIO!$A$2:$A$801,0)),"")="(sem nome)","Carta fora dos decks: digite o nome na coluna I (opcional)","")))</f>
        <v/>
      </c>
      <c r="K1300" s="11" t="str">
        <f aca="false">UPPER(TRIM(SUBSTITUTE(B1300&amp;"",CHAR(160)," ")))</f>
        <v/>
      </c>
      <c r="L1300" s="11" t="str">
        <f aca="false">IF(AND(K1300&lt;&gt;"",TRIM(I1300&amp;"")&lt;&gt;""),K1300,"")</f>
        <v/>
      </c>
    </row>
    <row r="1301" customFormat="false" ht="15" hidden="false" customHeight="false" outlineLevel="0" collapsed="false">
      <c r="A1301" s="9"/>
      <c r="B1301" s="4"/>
      <c r="C1301" s="10"/>
      <c r="D1301" s="11" t="str">
        <f aca="false">IF(K1301="","",IFERROR(INDEX(DECKS!$C$2:$C$1201,MATCH(K1301,DECKS!$B$2:$B$1201,0)),TRIM(I1301&amp;"")))</f>
        <v/>
      </c>
      <c r="E1301" s="4"/>
      <c r="F1301" s="12"/>
      <c r="G1301" s="4"/>
      <c r="H1301" s="13" t="str">
        <f aca="false">IF(OR(N(C1301)=0,N(F1301)=0),"",C1301*F1301)</f>
        <v/>
      </c>
      <c r="I1301" s="4"/>
      <c r="J1301" s="11" t="str">
        <f aca="false">IF(K1301="","",IF(N(C1301)&lt;=0,"Informe a quantidade",IF(IFERROR(INDEX(INVENTÁRIO!$B$2:$B$801,MATCH(K1301,INVENTÁRIO!$A$2:$A$801,0)),"")="(sem nome)","Carta fora dos decks: digite o nome na coluna I (opcional)","")))</f>
        <v/>
      </c>
      <c r="K1301" s="11" t="str">
        <f aca="false">UPPER(TRIM(SUBSTITUTE(B1301&amp;"",CHAR(160)," ")))</f>
        <v/>
      </c>
      <c r="L1301" s="11" t="str">
        <f aca="false">IF(AND(K1301&lt;&gt;"",TRIM(I1301&amp;"")&lt;&gt;""),K1301,"")</f>
        <v/>
      </c>
    </row>
    <row r="1302" customFormat="false" ht="15" hidden="false" customHeight="false" outlineLevel="0" collapsed="false">
      <c r="A1302" s="9"/>
      <c r="B1302" s="4"/>
      <c r="C1302" s="10"/>
      <c r="D1302" s="11" t="str">
        <f aca="false">IF(K1302="","",IFERROR(INDEX(DECKS!$C$2:$C$1201,MATCH(K1302,DECKS!$B$2:$B$1201,0)),TRIM(I1302&amp;"")))</f>
        <v/>
      </c>
      <c r="E1302" s="4"/>
      <c r="F1302" s="12"/>
      <c r="G1302" s="4"/>
      <c r="H1302" s="13" t="str">
        <f aca="false">IF(OR(N(C1302)=0,N(F1302)=0),"",C1302*F1302)</f>
        <v/>
      </c>
      <c r="I1302" s="4"/>
      <c r="J1302" s="11" t="str">
        <f aca="false">IF(K1302="","",IF(N(C1302)&lt;=0,"Informe a quantidade",IF(IFERROR(INDEX(INVENTÁRIO!$B$2:$B$801,MATCH(K1302,INVENTÁRIO!$A$2:$A$801,0)),"")="(sem nome)","Carta fora dos decks: digite o nome na coluna I (opcional)","")))</f>
        <v/>
      </c>
      <c r="K1302" s="11" t="str">
        <f aca="false">UPPER(TRIM(SUBSTITUTE(B1302&amp;"",CHAR(160)," ")))</f>
        <v/>
      </c>
      <c r="L1302" s="11" t="str">
        <f aca="false">IF(AND(K1302&lt;&gt;"",TRIM(I1302&amp;"")&lt;&gt;""),K1302,"")</f>
        <v/>
      </c>
    </row>
    <row r="1303" customFormat="false" ht="15" hidden="false" customHeight="false" outlineLevel="0" collapsed="false">
      <c r="A1303" s="9"/>
      <c r="B1303" s="4"/>
      <c r="C1303" s="10"/>
      <c r="D1303" s="11" t="str">
        <f aca="false">IF(K1303="","",IFERROR(INDEX(DECKS!$C$2:$C$1201,MATCH(K1303,DECKS!$B$2:$B$1201,0)),TRIM(I1303&amp;"")))</f>
        <v/>
      </c>
      <c r="E1303" s="4"/>
      <c r="F1303" s="12"/>
      <c r="G1303" s="4"/>
      <c r="H1303" s="13" t="str">
        <f aca="false">IF(OR(N(C1303)=0,N(F1303)=0),"",C1303*F1303)</f>
        <v/>
      </c>
      <c r="I1303" s="4"/>
      <c r="J1303" s="11" t="str">
        <f aca="false">IF(K1303="","",IF(N(C1303)&lt;=0,"Informe a quantidade",IF(IFERROR(INDEX(INVENTÁRIO!$B$2:$B$801,MATCH(K1303,INVENTÁRIO!$A$2:$A$801,0)),"")="(sem nome)","Carta fora dos decks: digite o nome na coluna I (opcional)","")))</f>
        <v/>
      </c>
      <c r="K1303" s="11" t="str">
        <f aca="false">UPPER(TRIM(SUBSTITUTE(B1303&amp;"",CHAR(160)," ")))</f>
        <v/>
      </c>
      <c r="L1303" s="11" t="str">
        <f aca="false">IF(AND(K1303&lt;&gt;"",TRIM(I1303&amp;"")&lt;&gt;""),K1303,"")</f>
        <v/>
      </c>
    </row>
    <row r="1304" customFormat="false" ht="15" hidden="false" customHeight="false" outlineLevel="0" collapsed="false">
      <c r="A1304" s="9"/>
      <c r="B1304" s="4"/>
      <c r="C1304" s="10"/>
      <c r="D1304" s="11" t="str">
        <f aca="false">IF(K1304="","",IFERROR(INDEX(DECKS!$C$2:$C$1201,MATCH(K1304,DECKS!$B$2:$B$1201,0)),TRIM(I1304&amp;"")))</f>
        <v/>
      </c>
      <c r="E1304" s="4"/>
      <c r="F1304" s="12"/>
      <c r="G1304" s="4"/>
      <c r="H1304" s="13" t="str">
        <f aca="false">IF(OR(N(C1304)=0,N(F1304)=0),"",C1304*F1304)</f>
        <v/>
      </c>
      <c r="I1304" s="4"/>
      <c r="J1304" s="11" t="str">
        <f aca="false">IF(K1304="","",IF(N(C1304)&lt;=0,"Informe a quantidade",IF(IFERROR(INDEX(INVENTÁRIO!$B$2:$B$801,MATCH(K1304,INVENTÁRIO!$A$2:$A$801,0)),"")="(sem nome)","Carta fora dos decks: digite o nome na coluna I (opcional)","")))</f>
        <v/>
      </c>
      <c r="K1304" s="11" t="str">
        <f aca="false">UPPER(TRIM(SUBSTITUTE(B1304&amp;"",CHAR(160)," ")))</f>
        <v/>
      </c>
      <c r="L1304" s="11" t="str">
        <f aca="false">IF(AND(K1304&lt;&gt;"",TRIM(I1304&amp;"")&lt;&gt;""),K1304,"")</f>
        <v/>
      </c>
    </row>
    <row r="1305" customFormat="false" ht="15" hidden="false" customHeight="false" outlineLevel="0" collapsed="false">
      <c r="A1305" s="9"/>
      <c r="B1305" s="4"/>
      <c r="C1305" s="10"/>
      <c r="D1305" s="11" t="str">
        <f aca="false">IF(K1305="","",IFERROR(INDEX(DECKS!$C$2:$C$1201,MATCH(K1305,DECKS!$B$2:$B$1201,0)),TRIM(I1305&amp;"")))</f>
        <v/>
      </c>
      <c r="E1305" s="4"/>
      <c r="F1305" s="12"/>
      <c r="G1305" s="4"/>
      <c r="H1305" s="13" t="str">
        <f aca="false">IF(OR(N(C1305)=0,N(F1305)=0),"",C1305*F1305)</f>
        <v/>
      </c>
      <c r="I1305" s="4"/>
      <c r="J1305" s="11" t="str">
        <f aca="false">IF(K1305="","",IF(N(C1305)&lt;=0,"Informe a quantidade",IF(IFERROR(INDEX(INVENTÁRIO!$B$2:$B$801,MATCH(K1305,INVENTÁRIO!$A$2:$A$801,0)),"")="(sem nome)","Carta fora dos decks: digite o nome na coluna I (opcional)","")))</f>
        <v/>
      </c>
      <c r="K1305" s="11" t="str">
        <f aca="false">UPPER(TRIM(SUBSTITUTE(B1305&amp;"",CHAR(160)," ")))</f>
        <v/>
      </c>
      <c r="L1305" s="11" t="str">
        <f aca="false">IF(AND(K1305&lt;&gt;"",TRIM(I1305&amp;"")&lt;&gt;""),K1305,"")</f>
        <v/>
      </c>
    </row>
    <row r="1306" customFormat="false" ht="15" hidden="false" customHeight="false" outlineLevel="0" collapsed="false">
      <c r="A1306" s="9"/>
      <c r="B1306" s="4"/>
      <c r="C1306" s="10"/>
      <c r="D1306" s="11" t="str">
        <f aca="false">IF(K1306="","",IFERROR(INDEX(DECKS!$C$2:$C$1201,MATCH(K1306,DECKS!$B$2:$B$1201,0)),TRIM(I1306&amp;"")))</f>
        <v/>
      </c>
      <c r="E1306" s="4"/>
      <c r="F1306" s="12"/>
      <c r="G1306" s="4"/>
      <c r="H1306" s="13" t="str">
        <f aca="false">IF(OR(N(C1306)=0,N(F1306)=0),"",C1306*F1306)</f>
        <v/>
      </c>
      <c r="I1306" s="4"/>
      <c r="J1306" s="11" t="str">
        <f aca="false">IF(K1306="","",IF(N(C1306)&lt;=0,"Informe a quantidade",IF(IFERROR(INDEX(INVENTÁRIO!$B$2:$B$801,MATCH(K1306,INVENTÁRIO!$A$2:$A$801,0)),"")="(sem nome)","Carta fora dos decks: digite o nome na coluna I (opcional)","")))</f>
        <v/>
      </c>
      <c r="K1306" s="11" t="str">
        <f aca="false">UPPER(TRIM(SUBSTITUTE(B1306&amp;"",CHAR(160)," ")))</f>
        <v/>
      </c>
      <c r="L1306" s="11" t="str">
        <f aca="false">IF(AND(K1306&lt;&gt;"",TRIM(I1306&amp;"")&lt;&gt;""),K1306,"")</f>
        <v/>
      </c>
    </row>
    <row r="1307" customFormat="false" ht="15" hidden="false" customHeight="false" outlineLevel="0" collapsed="false">
      <c r="A1307" s="9"/>
      <c r="B1307" s="4"/>
      <c r="C1307" s="10"/>
      <c r="D1307" s="11" t="str">
        <f aca="false">IF(K1307="","",IFERROR(INDEX(DECKS!$C$2:$C$1201,MATCH(K1307,DECKS!$B$2:$B$1201,0)),TRIM(I1307&amp;"")))</f>
        <v/>
      </c>
      <c r="E1307" s="4"/>
      <c r="F1307" s="12"/>
      <c r="G1307" s="4"/>
      <c r="H1307" s="13" t="str">
        <f aca="false">IF(OR(N(C1307)=0,N(F1307)=0),"",C1307*F1307)</f>
        <v/>
      </c>
      <c r="I1307" s="4"/>
      <c r="J1307" s="11" t="str">
        <f aca="false">IF(K1307="","",IF(N(C1307)&lt;=0,"Informe a quantidade",IF(IFERROR(INDEX(INVENTÁRIO!$B$2:$B$801,MATCH(K1307,INVENTÁRIO!$A$2:$A$801,0)),"")="(sem nome)","Carta fora dos decks: digite o nome na coluna I (opcional)","")))</f>
        <v/>
      </c>
      <c r="K1307" s="11" t="str">
        <f aca="false">UPPER(TRIM(SUBSTITUTE(B1307&amp;"",CHAR(160)," ")))</f>
        <v/>
      </c>
      <c r="L1307" s="11" t="str">
        <f aca="false">IF(AND(K1307&lt;&gt;"",TRIM(I1307&amp;"")&lt;&gt;""),K1307,"")</f>
        <v/>
      </c>
    </row>
    <row r="1308" customFormat="false" ht="15" hidden="false" customHeight="false" outlineLevel="0" collapsed="false">
      <c r="A1308" s="9"/>
      <c r="B1308" s="4"/>
      <c r="C1308" s="10"/>
      <c r="D1308" s="11" t="str">
        <f aca="false">IF(K1308="","",IFERROR(INDEX(DECKS!$C$2:$C$1201,MATCH(K1308,DECKS!$B$2:$B$1201,0)),TRIM(I1308&amp;"")))</f>
        <v/>
      </c>
      <c r="E1308" s="4"/>
      <c r="F1308" s="12"/>
      <c r="G1308" s="4"/>
      <c r="H1308" s="13" t="str">
        <f aca="false">IF(OR(N(C1308)=0,N(F1308)=0),"",C1308*F1308)</f>
        <v/>
      </c>
      <c r="I1308" s="4"/>
      <c r="J1308" s="11" t="str">
        <f aca="false">IF(K1308="","",IF(N(C1308)&lt;=0,"Informe a quantidade",IF(IFERROR(INDEX(INVENTÁRIO!$B$2:$B$801,MATCH(K1308,INVENTÁRIO!$A$2:$A$801,0)),"")="(sem nome)","Carta fora dos decks: digite o nome na coluna I (opcional)","")))</f>
        <v/>
      </c>
      <c r="K1308" s="11" t="str">
        <f aca="false">UPPER(TRIM(SUBSTITUTE(B1308&amp;"",CHAR(160)," ")))</f>
        <v/>
      </c>
      <c r="L1308" s="11" t="str">
        <f aca="false">IF(AND(K1308&lt;&gt;"",TRIM(I1308&amp;"")&lt;&gt;""),K1308,"")</f>
        <v/>
      </c>
    </row>
    <row r="1309" customFormat="false" ht="15" hidden="false" customHeight="false" outlineLevel="0" collapsed="false">
      <c r="A1309" s="9"/>
      <c r="B1309" s="4"/>
      <c r="C1309" s="10"/>
      <c r="D1309" s="11" t="str">
        <f aca="false">IF(K1309="","",IFERROR(INDEX(DECKS!$C$2:$C$1201,MATCH(K1309,DECKS!$B$2:$B$1201,0)),TRIM(I1309&amp;"")))</f>
        <v/>
      </c>
      <c r="E1309" s="4"/>
      <c r="F1309" s="12"/>
      <c r="G1309" s="4"/>
      <c r="H1309" s="13" t="str">
        <f aca="false">IF(OR(N(C1309)=0,N(F1309)=0),"",C1309*F1309)</f>
        <v/>
      </c>
      <c r="I1309" s="4"/>
      <c r="J1309" s="11" t="str">
        <f aca="false">IF(K1309="","",IF(N(C1309)&lt;=0,"Informe a quantidade",IF(IFERROR(INDEX(INVENTÁRIO!$B$2:$B$801,MATCH(K1309,INVENTÁRIO!$A$2:$A$801,0)),"")="(sem nome)","Carta fora dos decks: digite o nome na coluna I (opcional)","")))</f>
        <v/>
      </c>
      <c r="K1309" s="11" t="str">
        <f aca="false">UPPER(TRIM(SUBSTITUTE(B1309&amp;"",CHAR(160)," ")))</f>
        <v/>
      </c>
      <c r="L1309" s="11" t="str">
        <f aca="false">IF(AND(K1309&lt;&gt;"",TRIM(I1309&amp;"")&lt;&gt;""),K1309,"")</f>
        <v/>
      </c>
    </row>
    <row r="1310" customFormat="false" ht="15" hidden="false" customHeight="false" outlineLevel="0" collapsed="false">
      <c r="A1310" s="9"/>
      <c r="B1310" s="4"/>
      <c r="C1310" s="10"/>
      <c r="D1310" s="11" t="str">
        <f aca="false">IF(K1310="","",IFERROR(INDEX(DECKS!$C$2:$C$1201,MATCH(K1310,DECKS!$B$2:$B$1201,0)),TRIM(I1310&amp;"")))</f>
        <v/>
      </c>
      <c r="E1310" s="4"/>
      <c r="F1310" s="12"/>
      <c r="G1310" s="4"/>
      <c r="H1310" s="13" t="str">
        <f aca="false">IF(OR(N(C1310)=0,N(F1310)=0),"",C1310*F1310)</f>
        <v/>
      </c>
      <c r="I1310" s="4"/>
      <c r="J1310" s="11" t="str">
        <f aca="false">IF(K1310="","",IF(N(C1310)&lt;=0,"Informe a quantidade",IF(IFERROR(INDEX(INVENTÁRIO!$B$2:$B$801,MATCH(K1310,INVENTÁRIO!$A$2:$A$801,0)),"")="(sem nome)","Carta fora dos decks: digite o nome na coluna I (opcional)","")))</f>
        <v/>
      </c>
      <c r="K1310" s="11" t="str">
        <f aca="false">UPPER(TRIM(SUBSTITUTE(B1310&amp;"",CHAR(160)," ")))</f>
        <v/>
      </c>
      <c r="L1310" s="11" t="str">
        <f aca="false">IF(AND(K1310&lt;&gt;"",TRIM(I1310&amp;"")&lt;&gt;""),K1310,"")</f>
        <v/>
      </c>
    </row>
    <row r="1311" customFormat="false" ht="15" hidden="false" customHeight="false" outlineLevel="0" collapsed="false">
      <c r="A1311" s="9"/>
      <c r="B1311" s="4"/>
      <c r="C1311" s="10"/>
      <c r="D1311" s="11" t="str">
        <f aca="false">IF(K1311="","",IFERROR(INDEX(DECKS!$C$2:$C$1201,MATCH(K1311,DECKS!$B$2:$B$1201,0)),TRIM(I1311&amp;"")))</f>
        <v/>
      </c>
      <c r="E1311" s="4"/>
      <c r="F1311" s="12"/>
      <c r="G1311" s="4"/>
      <c r="H1311" s="13" t="str">
        <f aca="false">IF(OR(N(C1311)=0,N(F1311)=0),"",C1311*F1311)</f>
        <v/>
      </c>
      <c r="I1311" s="4"/>
      <c r="J1311" s="11" t="str">
        <f aca="false">IF(K1311="","",IF(N(C1311)&lt;=0,"Informe a quantidade",IF(IFERROR(INDEX(INVENTÁRIO!$B$2:$B$801,MATCH(K1311,INVENTÁRIO!$A$2:$A$801,0)),"")="(sem nome)","Carta fora dos decks: digite o nome na coluna I (opcional)","")))</f>
        <v/>
      </c>
      <c r="K1311" s="11" t="str">
        <f aca="false">UPPER(TRIM(SUBSTITUTE(B1311&amp;"",CHAR(160)," ")))</f>
        <v/>
      </c>
      <c r="L1311" s="11" t="str">
        <f aca="false">IF(AND(K1311&lt;&gt;"",TRIM(I1311&amp;"")&lt;&gt;""),K1311,"")</f>
        <v/>
      </c>
    </row>
    <row r="1312" customFormat="false" ht="15" hidden="false" customHeight="false" outlineLevel="0" collapsed="false">
      <c r="A1312" s="9"/>
      <c r="B1312" s="4"/>
      <c r="C1312" s="10"/>
      <c r="D1312" s="11" t="str">
        <f aca="false">IF(K1312="","",IFERROR(INDEX(DECKS!$C$2:$C$1201,MATCH(K1312,DECKS!$B$2:$B$1201,0)),TRIM(I1312&amp;"")))</f>
        <v/>
      </c>
      <c r="E1312" s="4"/>
      <c r="F1312" s="12"/>
      <c r="G1312" s="4"/>
      <c r="H1312" s="13" t="str">
        <f aca="false">IF(OR(N(C1312)=0,N(F1312)=0),"",C1312*F1312)</f>
        <v/>
      </c>
      <c r="I1312" s="4"/>
      <c r="J1312" s="11" t="str">
        <f aca="false">IF(K1312="","",IF(N(C1312)&lt;=0,"Informe a quantidade",IF(IFERROR(INDEX(INVENTÁRIO!$B$2:$B$801,MATCH(K1312,INVENTÁRIO!$A$2:$A$801,0)),"")="(sem nome)","Carta fora dos decks: digite o nome na coluna I (opcional)","")))</f>
        <v/>
      </c>
      <c r="K1312" s="11" t="str">
        <f aca="false">UPPER(TRIM(SUBSTITUTE(B1312&amp;"",CHAR(160)," ")))</f>
        <v/>
      </c>
      <c r="L1312" s="11" t="str">
        <f aca="false">IF(AND(K1312&lt;&gt;"",TRIM(I1312&amp;"")&lt;&gt;""),K1312,"")</f>
        <v/>
      </c>
    </row>
    <row r="1313" customFormat="false" ht="15" hidden="false" customHeight="false" outlineLevel="0" collapsed="false">
      <c r="A1313" s="9"/>
      <c r="B1313" s="4"/>
      <c r="C1313" s="10"/>
      <c r="D1313" s="11" t="str">
        <f aca="false">IF(K1313="","",IFERROR(INDEX(DECKS!$C$2:$C$1201,MATCH(K1313,DECKS!$B$2:$B$1201,0)),TRIM(I1313&amp;"")))</f>
        <v/>
      </c>
      <c r="E1313" s="4"/>
      <c r="F1313" s="12"/>
      <c r="G1313" s="4"/>
      <c r="H1313" s="13" t="str">
        <f aca="false">IF(OR(N(C1313)=0,N(F1313)=0),"",C1313*F1313)</f>
        <v/>
      </c>
      <c r="I1313" s="4"/>
      <c r="J1313" s="11" t="str">
        <f aca="false">IF(K1313="","",IF(N(C1313)&lt;=0,"Informe a quantidade",IF(IFERROR(INDEX(INVENTÁRIO!$B$2:$B$801,MATCH(K1313,INVENTÁRIO!$A$2:$A$801,0)),"")="(sem nome)","Carta fora dos decks: digite o nome na coluna I (opcional)","")))</f>
        <v/>
      </c>
      <c r="K1313" s="11" t="str">
        <f aca="false">UPPER(TRIM(SUBSTITUTE(B1313&amp;"",CHAR(160)," ")))</f>
        <v/>
      </c>
      <c r="L1313" s="11" t="str">
        <f aca="false">IF(AND(K1313&lt;&gt;"",TRIM(I1313&amp;"")&lt;&gt;""),K1313,"")</f>
        <v/>
      </c>
    </row>
    <row r="1314" customFormat="false" ht="15" hidden="false" customHeight="false" outlineLevel="0" collapsed="false">
      <c r="A1314" s="9"/>
      <c r="B1314" s="4"/>
      <c r="C1314" s="10"/>
      <c r="D1314" s="11" t="str">
        <f aca="false">IF(K1314="","",IFERROR(INDEX(DECKS!$C$2:$C$1201,MATCH(K1314,DECKS!$B$2:$B$1201,0)),TRIM(I1314&amp;"")))</f>
        <v/>
      </c>
      <c r="E1314" s="4"/>
      <c r="F1314" s="12"/>
      <c r="G1314" s="4"/>
      <c r="H1314" s="13" t="str">
        <f aca="false">IF(OR(N(C1314)=0,N(F1314)=0),"",C1314*F1314)</f>
        <v/>
      </c>
      <c r="I1314" s="4"/>
      <c r="J1314" s="11" t="str">
        <f aca="false">IF(K1314="","",IF(N(C1314)&lt;=0,"Informe a quantidade",IF(IFERROR(INDEX(INVENTÁRIO!$B$2:$B$801,MATCH(K1314,INVENTÁRIO!$A$2:$A$801,0)),"")="(sem nome)","Carta fora dos decks: digite o nome na coluna I (opcional)","")))</f>
        <v/>
      </c>
      <c r="K1314" s="11" t="str">
        <f aca="false">UPPER(TRIM(SUBSTITUTE(B1314&amp;"",CHAR(160)," ")))</f>
        <v/>
      </c>
      <c r="L1314" s="11" t="str">
        <f aca="false">IF(AND(K1314&lt;&gt;"",TRIM(I1314&amp;"")&lt;&gt;""),K1314,"")</f>
        <v/>
      </c>
    </row>
    <row r="1315" customFormat="false" ht="15" hidden="false" customHeight="false" outlineLevel="0" collapsed="false">
      <c r="A1315" s="9"/>
      <c r="B1315" s="4"/>
      <c r="C1315" s="10"/>
      <c r="D1315" s="11" t="str">
        <f aca="false">IF(K1315="","",IFERROR(INDEX(DECKS!$C$2:$C$1201,MATCH(K1315,DECKS!$B$2:$B$1201,0)),TRIM(I1315&amp;"")))</f>
        <v/>
      </c>
      <c r="E1315" s="4"/>
      <c r="F1315" s="12"/>
      <c r="G1315" s="4"/>
      <c r="H1315" s="13" t="str">
        <f aca="false">IF(OR(N(C1315)=0,N(F1315)=0),"",C1315*F1315)</f>
        <v/>
      </c>
      <c r="I1315" s="4"/>
      <c r="J1315" s="11" t="str">
        <f aca="false">IF(K1315="","",IF(N(C1315)&lt;=0,"Informe a quantidade",IF(IFERROR(INDEX(INVENTÁRIO!$B$2:$B$801,MATCH(K1315,INVENTÁRIO!$A$2:$A$801,0)),"")="(sem nome)","Carta fora dos decks: digite o nome na coluna I (opcional)","")))</f>
        <v/>
      </c>
      <c r="K1315" s="11" t="str">
        <f aca="false">UPPER(TRIM(SUBSTITUTE(B1315&amp;"",CHAR(160)," ")))</f>
        <v/>
      </c>
      <c r="L1315" s="11" t="str">
        <f aca="false">IF(AND(K1315&lt;&gt;"",TRIM(I1315&amp;"")&lt;&gt;""),K1315,"")</f>
        <v/>
      </c>
    </row>
    <row r="1316" customFormat="false" ht="15" hidden="false" customHeight="false" outlineLevel="0" collapsed="false">
      <c r="A1316" s="9"/>
      <c r="B1316" s="4"/>
      <c r="C1316" s="10"/>
      <c r="D1316" s="11" t="str">
        <f aca="false">IF(K1316="","",IFERROR(INDEX(DECKS!$C$2:$C$1201,MATCH(K1316,DECKS!$B$2:$B$1201,0)),TRIM(I1316&amp;"")))</f>
        <v/>
      </c>
      <c r="E1316" s="4"/>
      <c r="F1316" s="12"/>
      <c r="G1316" s="4"/>
      <c r="H1316" s="13" t="str">
        <f aca="false">IF(OR(N(C1316)=0,N(F1316)=0),"",C1316*F1316)</f>
        <v/>
      </c>
      <c r="I1316" s="4"/>
      <c r="J1316" s="11" t="str">
        <f aca="false">IF(K1316="","",IF(N(C1316)&lt;=0,"Informe a quantidade",IF(IFERROR(INDEX(INVENTÁRIO!$B$2:$B$801,MATCH(K1316,INVENTÁRIO!$A$2:$A$801,0)),"")="(sem nome)","Carta fora dos decks: digite o nome na coluna I (opcional)","")))</f>
        <v/>
      </c>
      <c r="K1316" s="11" t="str">
        <f aca="false">UPPER(TRIM(SUBSTITUTE(B1316&amp;"",CHAR(160)," ")))</f>
        <v/>
      </c>
      <c r="L1316" s="11" t="str">
        <f aca="false">IF(AND(K1316&lt;&gt;"",TRIM(I1316&amp;"")&lt;&gt;""),K1316,"")</f>
        <v/>
      </c>
    </row>
    <row r="1317" customFormat="false" ht="15" hidden="false" customHeight="false" outlineLevel="0" collapsed="false">
      <c r="A1317" s="9"/>
      <c r="B1317" s="4"/>
      <c r="C1317" s="10"/>
      <c r="D1317" s="11" t="str">
        <f aca="false">IF(K1317="","",IFERROR(INDEX(DECKS!$C$2:$C$1201,MATCH(K1317,DECKS!$B$2:$B$1201,0)),TRIM(I1317&amp;"")))</f>
        <v/>
      </c>
      <c r="E1317" s="4"/>
      <c r="F1317" s="12"/>
      <c r="G1317" s="4"/>
      <c r="H1317" s="13" t="str">
        <f aca="false">IF(OR(N(C1317)=0,N(F1317)=0),"",C1317*F1317)</f>
        <v/>
      </c>
      <c r="I1317" s="4"/>
      <c r="J1317" s="11" t="str">
        <f aca="false">IF(K1317="","",IF(N(C1317)&lt;=0,"Informe a quantidade",IF(IFERROR(INDEX(INVENTÁRIO!$B$2:$B$801,MATCH(K1317,INVENTÁRIO!$A$2:$A$801,0)),"")="(sem nome)","Carta fora dos decks: digite o nome na coluna I (opcional)","")))</f>
        <v/>
      </c>
      <c r="K1317" s="11" t="str">
        <f aca="false">UPPER(TRIM(SUBSTITUTE(B1317&amp;"",CHAR(160)," ")))</f>
        <v/>
      </c>
      <c r="L1317" s="11" t="str">
        <f aca="false">IF(AND(K1317&lt;&gt;"",TRIM(I1317&amp;"")&lt;&gt;""),K1317,"")</f>
        <v/>
      </c>
    </row>
    <row r="1318" customFormat="false" ht="15" hidden="false" customHeight="false" outlineLevel="0" collapsed="false">
      <c r="A1318" s="9"/>
      <c r="B1318" s="4"/>
      <c r="C1318" s="10"/>
      <c r="D1318" s="11" t="str">
        <f aca="false">IF(K1318="","",IFERROR(INDEX(DECKS!$C$2:$C$1201,MATCH(K1318,DECKS!$B$2:$B$1201,0)),TRIM(I1318&amp;"")))</f>
        <v/>
      </c>
      <c r="E1318" s="4"/>
      <c r="F1318" s="12"/>
      <c r="G1318" s="4"/>
      <c r="H1318" s="13" t="str">
        <f aca="false">IF(OR(N(C1318)=0,N(F1318)=0),"",C1318*F1318)</f>
        <v/>
      </c>
      <c r="I1318" s="4"/>
      <c r="J1318" s="11" t="str">
        <f aca="false">IF(K1318="","",IF(N(C1318)&lt;=0,"Informe a quantidade",IF(IFERROR(INDEX(INVENTÁRIO!$B$2:$B$801,MATCH(K1318,INVENTÁRIO!$A$2:$A$801,0)),"")="(sem nome)","Carta fora dos decks: digite o nome na coluna I (opcional)","")))</f>
        <v/>
      </c>
      <c r="K1318" s="11" t="str">
        <f aca="false">UPPER(TRIM(SUBSTITUTE(B1318&amp;"",CHAR(160)," ")))</f>
        <v/>
      </c>
      <c r="L1318" s="11" t="str">
        <f aca="false">IF(AND(K1318&lt;&gt;"",TRIM(I1318&amp;"")&lt;&gt;""),K1318,"")</f>
        <v/>
      </c>
    </row>
    <row r="1319" customFormat="false" ht="15" hidden="false" customHeight="false" outlineLevel="0" collapsed="false">
      <c r="A1319" s="9"/>
      <c r="B1319" s="4"/>
      <c r="C1319" s="10"/>
      <c r="D1319" s="11" t="str">
        <f aca="false">IF(K1319="","",IFERROR(INDEX(DECKS!$C$2:$C$1201,MATCH(K1319,DECKS!$B$2:$B$1201,0)),TRIM(I1319&amp;"")))</f>
        <v/>
      </c>
      <c r="E1319" s="4"/>
      <c r="F1319" s="12"/>
      <c r="G1319" s="4"/>
      <c r="H1319" s="13" t="str">
        <f aca="false">IF(OR(N(C1319)=0,N(F1319)=0),"",C1319*F1319)</f>
        <v/>
      </c>
      <c r="I1319" s="4"/>
      <c r="J1319" s="11" t="str">
        <f aca="false">IF(K1319="","",IF(N(C1319)&lt;=0,"Informe a quantidade",IF(IFERROR(INDEX(INVENTÁRIO!$B$2:$B$801,MATCH(K1319,INVENTÁRIO!$A$2:$A$801,0)),"")="(sem nome)","Carta fora dos decks: digite o nome na coluna I (opcional)","")))</f>
        <v/>
      </c>
      <c r="K1319" s="11" t="str">
        <f aca="false">UPPER(TRIM(SUBSTITUTE(B1319&amp;"",CHAR(160)," ")))</f>
        <v/>
      </c>
      <c r="L1319" s="11" t="str">
        <f aca="false">IF(AND(K1319&lt;&gt;"",TRIM(I1319&amp;"")&lt;&gt;""),K1319,"")</f>
        <v/>
      </c>
    </row>
    <row r="1320" customFormat="false" ht="15" hidden="false" customHeight="false" outlineLevel="0" collapsed="false">
      <c r="A1320" s="9"/>
      <c r="B1320" s="4"/>
      <c r="C1320" s="10"/>
      <c r="D1320" s="11" t="str">
        <f aca="false">IF(K1320="","",IFERROR(INDEX(DECKS!$C$2:$C$1201,MATCH(K1320,DECKS!$B$2:$B$1201,0)),TRIM(I1320&amp;"")))</f>
        <v/>
      </c>
      <c r="E1320" s="4"/>
      <c r="F1320" s="12"/>
      <c r="G1320" s="4"/>
      <c r="H1320" s="13" t="str">
        <f aca="false">IF(OR(N(C1320)=0,N(F1320)=0),"",C1320*F1320)</f>
        <v/>
      </c>
      <c r="I1320" s="4"/>
      <c r="J1320" s="11" t="str">
        <f aca="false">IF(K1320="","",IF(N(C1320)&lt;=0,"Informe a quantidade",IF(IFERROR(INDEX(INVENTÁRIO!$B$2:$B$801,MATCH(K1320,INVENTÁRIO!$A$2:$A$801,0)),"")="(sem nome)","Carta fora dos decks: digite o nome na coluna I (opcional)","")))</f>
        <v/>
      </c>
      <c r="K1320" s="11" t="str">
        <f aca="false">UPPER(TRIM(SUBSTITUTE(B1320&amp;"",CHAR(160)," ")))</f>
        <v/>
      </c>
      <c r="L1320" s="11" t="str">
        <f aca="false">IF(AND(K1320&lt;&gt;"",TRIM(I1320&amp;"")&lt;&gt;""),K1320,"")</f>
        <v/>
      </c>
    </row>
    <row r="1321" customFormat="false" ht="15" hidden="false" customHeight="false" outlineLevel="0" collapsed="false">
      <c r="A1321" s="9"/>
      <c r="B1321" s="4"/>
      <c r="C1321" s="10"/>
      <c r="D1321" s="11" t="str">
        <f aca="false">IF(K1321="","",IFERROR(INDEX(DECKS!$C$2:$C$1201,MATCH(K1321,DECKS!$B$2:$B$1201,0)),TRIM(I1321&amp;"")))</f>
        <v/>
      </c>
      <c r="E1321" s="4"/>
      <c r="F1321" s="12"/>
      <c r="G1321" s="4"/>
      <c r="H1321" s="13" t="str">
        <f aca="false">IF(OR(N(C1321)=0,N(F1321)=0),"",C1321*F1321)</f>
        <v/>
      </c>
      <c r="I1321" s="4"/>
      <c r="J1321" s="11" t="str">
        <f aca="false">IF(K1321="","",IF(N(C1321)&lt;=0,"Informe a quantidade",IF(IFERROR(INDEX(INVENTÁRIO!$B$2:$B$801,MATCH(K1321,INVENTÁRIO!$A$2:$A$801,0)),"")="(sem nome)","Carta fora dos decks: digite o nome na coluna I (opcional)","")))</f>
        <v/>
      </c>
      <c r="K1321" s="11" t="str">
        <f aca="false">UPPER(TRIM(SUBSTITUTE(B1321&amp;"",CHAR(160)," ")))</f>
        <v/>
      </c>
      <c r="L1321" s="11" t="str">
        <f aca="false">IF(AND(K1321&lt;&gt;"",TRIM(I1321&amp;"")&lt;&gt;""),K1321,"")</f>
        <v/>
      </c>
    </row>
    <row r="1322" customFormat="false" ht="15" hidden="false" customHeight="false" outlineLevel="0" collapsed="false">
      <c r="A1322" s="9"/>
      <c r="B1322" s="4"/>
      <c r="C1322" s="10"/>
      <c r="D1322" s="11" t="str">
        <f aca="false">IF(K1322="","",IFERROR(INDEX(DECKS!$C$2:$C$1201,MATCH(K1322,DECKS!$B$2:$B$1201,0)),TRIM(I1322&amp;"")))</f>
        <v/>
      </c>
      <c r="E1322" s="4"/>
      <c r="F1322" s="12"/>
      <c r="G1322" s="4"/>
      <c r="H1322" s="13" t="str">
        <f aca="false">IF(OR(N(C1322)=0,N(F1322)=0),"",C1322*F1322)</f>
        <v/>
      </c>
      <c r="I1322" s="4"/>
      <c r="J1322" s="11" t="str">
        <f aca="false">IF(K1322="","",IF(N(C1322)&lt;=0,"Informe a quantidade",IF(IFERROR(INDEX(INVENTÁRIO!$B$2:$B$801,MATCH(K1322,INVENTÁRIO!$A$2:$A$801,0)),"")="(sem nome)","Carta fora dos decks: digite o nome na coluna I (opcional)","")))</f>
        <v/>
      </c>
      <c r="K1322" s="11" t="str">
        <f aca="false">UPPER(TRIM(SUBSTITUTE(B1322&amp;"",CHAR(160)," ")))</f>
        <v/>
      </c>
      <c r="L1322" s="11" t="str">
        <f aca="false">IF(AND(K1322&lt;&gt;"",TRIM(I1322&amp;"")&lt;&gt;""),K1322,"")</f>
        <v/>
      </c>
    </row>
    <row r="1323" customFormat="false" ht="15" hidden="false" customHeight="false" outlineLevel="0" collapsed="false">
      <c r="A1323" s="9"/>
      <c r="B1323" s="4"/>
      <c r="C1323" s="10"/>
      <c r="D1323" s="11" t="str">
        <f aca="false">IF(K1323="","",IFERROR(INDEX(DECKS!$C$2:$C$1201,MATCH(K1323,DECKS!$B$2:$B$1201,0)),TRIM(I1323&amp;"")))</f>
        <v/>
      </c>
      <c r="E1323" s="4"/>
      <c r="F1323" s="12"/>
      <c r="G1323" s="4"/>
      <c r="H1323" s="13" t="str">
        <f aca="false">IF(OR(N(C1323)=0,N(F1323)=0),"",C1323*F1323)</f>
        <v/>
      </c>
      <c r="I1323" s="4"/>
      <c r="J1323" s="11" t="str">
        <f aca="false">IF(K1323="","",IF(N(C1323)&lt;=0,"Informe a quantidade",IF(IFERROR(INDEX(INVENTÁRIO!$B$2:$B$801,MATCH(K1323,INVENTÁRIO!$A$2:$A$801,0)),"")="(sem nome)","Carta fora dos decks: digite o nome na coluna I (opcional)","")))</f>
        <v/>
      </c>
      <c r="K1323" s="11" t="str">
        <f aca="false">UPPER(TRIM(SUBSTITUTE(B1323&amp;"",CHAR(160)," ")))</f>
        <v/>
      </c>
      <c r="L1323" s="11" t="str">
        <f aca="false">IF(AND(K1323&lt;&gt;"",TRIM(I1323&amp;"")&lt;&gt;""),K1323,"")</f>
        <v/>
      </c>
    </row>
    <row r="1324" customFormat="false" ht="15" hidden="false" customHeight="false" outlineLevel="0" collapsed="false">
      <c r="A1324" s="9"/>
      <c r="B1324" s="4"/>
      <c r="C1324" s="10"/>
      <c r="D1324" s="11" t="str">
        <f aca="false">IF(K1324="","",IFERROR(INDEX(DECKS!$C$2:$C$1201,MATCH(K1324,DECKS!$B$2:$B$1201,0)),TRIM(I1324&amp;"")))</f>
        <v/>
      </c>
      <c r="E1324" s="4"/>
      <c r="F1324" s="12"/>
      <c r="G1324" s="4"/>
      <c r="H1324" s="13" t="str">
        <f aca="false">IF(OR(N(C1324)=0,N(F1324)=0),"",C1324*F1324)</f>
        <v/>
      </c>
      <c r="I1324" s="4"/>
      <c r="J1324" s="11" t="str">
        <f aca="false">IF(K1324="","",IF(N(C1324)&lt;=0,"Informe a quantidade",IF(IFERROR(INDEX(INVENTÁRIO!$B$2:$B$801,MATCH(K1324,INVENTÁRIO!$A$2:$A$801,0)),"")="(sem nome)","Carta fora dos decks: digite o nome na coluna I (opcional)","")))</f>
        <v/>
      </c>
      <c r="K1324" s="11" t="str">
        <f aca="false">UPPER(TRIM(SUBSTITUTE(B1324&amp;"",CHAR(160)," ")))</f>
        <v/>
      </c>
      <c r="L1324" s="11" t="str">
        <f aca="false">IF(AND(K1324&lt;&gt;"",TRIM(I1324&amp;"")&lt;&gt;""),K1324,"")</f>
        <v/>
      </c>
    </row>
    <row r="1325" customFormat="false" ht="15" hidden="false" customHeight="false" outlineLevel="0" collapsed="false">
      <c r="A1325" s="9"/>
      <c r="B1325" s="4"/>
      <c r="C1325" s="10"/>
      <c r="D1325" s="11" t="str">
        <f aca="false">IF(K1325="","",IFERROR(INDEX(DECKS!$C$2:$C$1201,MATCH(K1325,DECKS!$B$2:$B$1201,0)),TRIM(I1325&amp;"")))</f>
        <v/>
      </c>
      <c r="E1325" s="4"/>
      <c r="F1325" s="12"/>
      <c r="G1325" s="4"/>
      <c r="H1325" s="13" t="str">
        <f aca="false">IF(OR(N(C1325)=0,N(F1325)=0),"",C1325*F1325)</f>
        <v/>
      </c>
      <c r="I1325" s="4"/>
      <c r="J1325" s="11" t="str">
        <f aca="false">IF(K1325="","",IF(N(C1325)&lt;=0,"Informe a quantidade",IF(IFERROR(INDEX(INVENTÁRIO!$B$2:$B$801,MATCH(K1325,INVENTÁRIO!$A$2:$A$801,0)),"")="(sem nome)","Carta fora dos decks: digite o nome na coluna I (opcional)","")))</f>
        <v/>
      </c>
      <c r="K1325" s="11" t="str">
        <f aca="false">UPPER(TRIM(SUBSTITUTE(B1325&amp;"",CHAR(160)," ")))</f>
        <v/>
      </c>
      <c r="L1325" s="11" t="str">
        <f aca="false">IF(AND(K1325&lt;&gt;"",TRIM(I1325&amp;"")&lt;&gt;""),K1325,"")</f>
        <v/>
      </c>
    </row>
    <row r="1326" customFormat="false" ht="15" hidden="false" customHeight="false" outlineLevel="0" collapsed="false">
      <c r="A1326" s="9"/>
      <c r="B1326" s="4"/>
      <c r="C1326" s="10"/>
      <c r="D1326" s="11" t="str">
        <f aca="false">IF(K1326="","",IFERROR(INDEX(DECKS!$C$2:$C$1201,MATCH(K1326,DECKS!$B$2:$B$1201,0)),TRIM(I1326&amp;"")))</f>
        <v/>
      </c>
      <c r="E1326" s="4"/>
      <c r="F1326" s="12"/>
      <c r="G1326" s="4"/>
      <c r="H1326" s="13" t="str">
        <f aca="false">IF(OR(N(C1326)=0,N(F1326)=0),"",C1326*F1326)</f>
        <v/>
      </c>
      <c r="I1326" s="4"/>
      <c r="J1326" s="11" t="str">
        <f aca="false">IF(K1326="","",IF(N(C1326)&lt;=0,"Informe a quantidade",IF(IFERROR(INDEX(INVENTÁRIO!$B$2:$B$801,MATCH(K1326,INVENTÁRIO!$A$2:$A$801,0)),"")="(sem nome)","Carta fora dos decks: digite o nome na coluna I (opcional)","")))</f>
        <v/>
      </c>
      <c r="K1326" s="11" t="str">
        <f aca="false">UPPER(TRIM(SUBSTITUTE(B1326&amp;"",CHAR(160)," ")))</f>
        <v/>
      </c>
      <c r="L1326" s="11" t="str">
        <f aca="false">IF(AND(K1326&lt;&gt;"",TRIM(I1326&amp;"")&lt;&gt;""),K1326,"")</f>
        <v/>
      </c>
    </row>
    <row r="1327" customFormat="false" ht="15" hidden="false" customHeight="false" outlineLevel="0" collapsed="false">
      <c r="A1327" s="9"/>
      <c r="B1327" s="4"/>
      <c r="C1327" s="10"/>
      <c r="D1327" s="11" t="str">
        <f aca="false">IF(K1327="","",IFERROR(INDEX(DECKS!$C$2:$C$1201,MATCH(K1327,DECKS!$B$2:$B$1201,0)),TRIM(I1327&amp;"")))</f>
        <v/>
      </c>
      <c r="E1327" s="4"/>
      <c r="F1327" s="12"/>
      <c r="G1327" s="4"/>
      <c r="H1327" s="13" t="str">
        <f aca="false">IF(OR(N(C1327)=0,N(F1327)=0),"",C1327*F1327)</f>
        <v/>
      </c>
      <c r="I1327" s="4"/>
      <c r="J1327" s="11" t="str">
        <f aca="false">IF(K1327="","",IF(N(C1327)&lt;=0,"Informe a quantidade",IF(IFERROR(INDEX(INVENTÁRIO!$B$2:$B$801,MATCH(K1327,INVENTÁRIO!$A$2:$A$801,0)),"")="(sem nome)","Carta fora dos decks: digite o nome na coluna I (opcional)","")))</f>
        <v/>
      </c>
      <c r="K1327" s="11" t="str">
        <f aca="false">UPPER(TRIM(SUBSTITUTE(B1327&amp;"",CHAR(160)," ")))</f>
        <v/>
      </c>
      <c r="L1327" s="11" t="str">
        <f aca="false">IF(AND(K1327&lt;&gt;"",TRIM(I1327&amp;"")&lt;&gt;""),K1327,"")</f>
        <v/>
      </c>
    </row>
    <row r="1328" customFormat="false" ht="15" hidden="false" customHeight="false" outlineLevel="0" collapsed="false">
      <c r="A1328" s="9"/>
      <c r="B1328" s="4"/>
      <c r="C1328" s="10"/>
      <c r="D1328" s="11" t="str">
        <f aca="false">IF(K1328="","",IFERROR(INDEX(DECKS!$C$2:$C$1201,MATCH(K1328,DECKS!$B$2:$B$1201,0)),TRIM(I1328&amp;"")))</f>
        <v/>
      </c>
      <c r="E1328" s="4"/>
      <c r="F1328" s="12"/>
      <c r="G1328" s="4"/>
      <c r="H1328" s="13" t="str">
        <f aca="false">IF(OR(N(C1328)=0,N(F1328)=0),"",C1328*F1328)</f>
        <v/>
      </c>
      <c r="I1328" s="4"/>
      <c r="J1328" s="11" t="str">
        <f aca="false">IF(K1328="","",IF(N(C1328)&lt;=0,"Informe a quantidade",IF(IFERROR(INDEX(INVENTÁRIO!$B$2:$B$801,MATCH(K1328,INVENTÁRIO!$A$2:$A$801,0)),"")="(sem nome)","Carta fora dos decks: digite o nome na coluna I (opcional)","")))</f>
        <v/>
      </c>
      <c r="K1328" s="11" t="str">
        <f aca="false">UPPER(TRIM(SUBSTITUTE(B1328&amp;"",CHAR(160)," ")))</f>
        <v/>
      </c>
      <c r="L1328" s="11" t="str">
        <f aca="false">IF(AND(K1328&lt;&gt;"",TRIM(I1328&amp;"")&lt;&gt;""),K1328,"")</f>
        <v/>
      </c>
    </row>
    <row r="1329" customFormat="false" ht="15" hidden="false" customHeight="false" outlineLevel="0" collapsed="false">
      <c r="A1329" s="9"/>
      <c r="B1329" s="4"/>
      <c r="C1329" s="10"/>
      <c r="D1329" s="11" t="str">
        <f aca="false">IF(K1329="","",IFERROR(INDEX(DECKS!$C$2:$C$1201,MATCH(K1329,DECKS!$B$2:$B$1201,0)),TRIM(I1329&amp;"")))</f>
        <v/>
      </c>
      <c r="E1329" s="4"/>
      <c r="F1329" s="12"/>
      <c r="G1329" s="4"/>
      <c r="H1329" s="13" t="str">
        <f aca="false">IF(OR(N(C1329)=0,N(F1329)=0),"",C1329*F1329)</f>
        <v/>
      </c>
      <c r="I1329" s="4"/>
      <c r="J1329" s="11" t="str">
        <f aca="false">IF(K1329="","",IF(N(C1329)&lt;=0,"Informe a quantidade",IF(IFERROR(INDEX(INVENTÁRIO!$B$2:$B$801,MATCH(K1329,INVENTÁRIO!$A$2:$A$801,0)),"")="(sem nome)","Carta fora dos decks: digite o nome na coluna I (opcional)","")))</f>
        <v/>
      </c>
      <c r="K1329" s="11" t="str">
        <f aca="false">UPPER(TRIM(SUBSTITUTE(B1329&amp;"",CHAR(160)," ")))</f>
        <v/>
      </c>
      <c r="L1329" s="11" t="str">
        <f aca="false">IF(AND(K1329&lt;&gt;"",TRIM(I1329&amp;"")&lt;&gt;""),K1329,"")</f>
        <v/>
      </c>
    </row>
    <row r="1330" customFormat="false" ht="15" hidden="false" customHeight="false" outlineLevel="0" collapsed="false">
      <c r="A1330" s="9"/>
      <c r="B1330" s="4"/>
      <c r="C1330" s="10"/>
      <c r="D1330" s="11" t="str">
        <f aca="false">IF(K1330="","",IFERROR(INDEX(DECKS!$C$2:$C$1201,MATCH(K1330,DECKS!$B$2:$B$1201,0)),TRIM(I1330&amp;"")))</f>
        <v/>
      </c>
      <c r="E1330" s="4"/>
      <c r="F1330" s="12"/>
      <c r="G1330" s="4"/>
      <c r="H1330" s="13" t="str">
        <f aca="false">IF(OR(N(C1330)=0,N(F1330)=0),"",C1330*F1330)</f>
        <v/>
      </c>
      <c r="I1330" s="4"/>
      <c r="J1330" s="11" t="str">
        <f aca="false">IF(K1330="","",IF(N(C1330)&lt;=0,"Informe a quantidade",IF(IFERROR(INDEX(INVENTÁRIO!$B$2:$B$801,MATCH(K1330,INVENTÁRIO!$A$2:$A$801,0)),"")="(sem nome)","Carta fora dos decks: digite o nome na coluna I (opcional)","")))</f>
        <v/>
      </c>
      <c r="K1330" s="11" t="str">
        <f aca="false">UPPER(TRIM(SUBSTITUTE(B1330&amp;"",CHAR(160)," ")))</f>
        <v/>
      </c>
      <c r="L1330" s="11" t="str">
        <f aca="false">IF(AND(K1330&lt;&gt;"",TRIM(I1330&amp;"")&lt;&gt;""),K1330,"")</f>
        <v/>
      </c>
    </row>
    <row r="1331" customFormat="false" ht="15" hidden="false" customHeight="false" outlineLevel="0" collapsed="false">
      <c r="A1331" s="9"/>
      <c r="B1331" s="4"/>
      <c r="C1331" s="10"/>
      <c r="D1331" s="11" t="str">
        <f aca="false">IF(K1331="","",IFERROR(INDEX(DECKS!$C$2:$C$1201,MATCH(K1331,DECKS!$B$2:$B$1201,0)),TRIM(I1331&amp;"")))</f>
        <v/>
      </c>
      <c r="E1331" s="4"/>
      <c r="F1331" s="12"/>
      <c r="G1331" s="4"/>
      <c r="H1331" s="13" t="str">
        <f aca="false">IF(OR(N(C1331)=0,N(F1331)=0),"",C1331*F1331)</f>
        <v/>
      </c>
      <c r="I1331" s="4"/>
      <c r="J1331" s="11" t="str">
        <f aca="false">IF(K1331="","",IF(N(C1331)&lt;=0,"Informe a quantidade",IF(IFERROR(INDEX(INVENTÁRIO!$B$2:$B$801,MATCH(K1331,INVENTÁRIO!$A$2:$A$801,0)),"")="(sem nome)","Carta fora dos decks: digite o nome na coluna I (opcional)","")))</f>
        <v/>
      </c>
      <c r="K1331" s="11" t="str">
        <f aca="false">UPPER(TRIM(SUBSTITUTE(B1331&amp;"",CHAR(160)," ")))</f>
        <v/>
      </c>
      <c r="L1331" s="11" t="str">
        <f aca="false">IF(AND(K1331&lt;&gt;"",TRIM(I1331&amp;"")&lt;&gt;""),K1331,"")</f>
        <v/>
      </c>
    </row>
    <row r="1332" customFormat="false" ht="15" hidden="false" customHeight="false" outlineLevel="0" collapsed="false">
      <c r="A1332" s="9"/>
      <c r="B1332" s="4"/>
      <c r="C1332" s="10"/>
      <c r="D1332" s="11" t="str">
        <f aca="false">IF(K1332="","",IFERROR(INDEX(DECKS!$C$2:$C$1201,MATCH(K1332,DECKS!$B$2:$B$1201,0)),TRIM(I1332&amp;"")))</f>
        <v/>
      </c>
      <c r="E1332" s="4"/>
      <c r="F1332" s="12"/>
      <c r="G1332" s="4"/>
      <c r="H1332" s="13" t="str">
        <f aca="false">IF(OR(N(C1332)=0,N(F1332)=0),"",C1332*F1332)</f>
        <v/>
      </c>
      <c r="I1332" s="4"/>
      <c r="J1332" s="11" t="str">
        <f aca="false">IF(K1332="","",IF(N(C1332)&lt;=0,"Informe a quantidade",IF(IFERROR(INDEX(INVENTÁRIO!$B$2:$B$801,MATCH(K1332,INVENTÁRIO!$A$2:$A$801,0)),"")="(sem nome)","Carta fora dos decks: digite o nome na coluna I (opcional)","")))</f>
        <v/>
      </c>
      <c r="K1332" s="11" t="str">
        <f aca="false">UPPER(TRIM(SUBSTITUTE(B1332&amp;"",CHAR(160)," ")))</f>
        <v/>
      </c>
      <c r="L1332" s="11" t="str">
        <f aca="false">IF(AND(K1332&lt;&gt;"",TRIM(I1332&amp;"")&lt;&gt;""),K1332,"")</f>
        <v/>
      </c>
    </row>
    <row r="1333" customFormat="false" ht="15" hidden="false" customHeight="false" outlineLevel="0" collapsed="false">
      <c r="A1333" s="9"/>
      <c r="B1333" s="4"/>
      <c r="C1333" s="10"/>
      <c r="D1333" s="11" t="str">
        <f aca="false">IF(K1333="","",IFERROR(INDEX(DECKS!$C$2:$C$1201,MATCH(K1333,DECKS!$B$2:$B$1201,0)),TRIM(I1333&amp;"")))</f>
        <v/>
      </c>
      <c r="E1333" s="4"/>
      <c r="F1333" s="12"/>
      <c r="G1333" s="4"/>
      <c r="H1333" s="13" t="str">
        <f aca="false">IF(OR(N(C1333)=0,N(F1333)=0),"",C1333*F1333)</f>
        <v/>
      </c>
      <c r="I1333" s="4"/>
      <c r="J1333" s="11" t="str">
        <f aca="false">IF(K1333="","",IF(N(C1333)&lt;=0,"Informe a quantidade",IF(IFERROR(INDEX(INVENTÁRIO!$B$2:$B$801,MATCH(K1333,INVENTÁRIO!$A$2:$A$801,0)),"")="(sem nome)","Carta fora dos decks: digite o nome na coluna I (opcional)","")))</f>
        <v/>
      </c>
      <c r="K1333" s="11" t="str">
        <f aca="false">UPPER(TRIM(SUBSTITUTE(B1333&amp;"",CHAR(160)," ")))</f>
        <v/>
      </c>
      <c r="L1333" s="11" t="str">
        <f aca="false">IF(AND(K1333&lt;&gt;"",TRIM(I1333&amp;"")&lt;&gt;""),K1333,"")</f>
        <v/>
      </c>
    </row>
    <row r="1334" customFormat="false" ht="15" hidden="false" customHeight="false" outlineLevel="0" collapsed="false">
      <c r="A1334" s="9"/>
      <c r="B1334" s="4"/>
      <c r="C1334" s="10"/>
      <c r="D1334" s="11" t="str">
        <f aca="false">IF(K1334="","",IFERROR(INDEX(DECKS!$C$2:$C$1201,MATCH(K1334,DECKS!$B$2:$B$1201,0)),TRIM(I1334&amp;"")))</f>
        <v/>
      </c>
      <c r="E1334" s="4"/>
      <c r="F1334" s="12"/>
      <c r="G1334" s="4"/>
      <c r="H1334" s="13" t="str">
        <f aca="false">IF(OR(N(C1334)=0,N(F1334)=0),"",C1334*F1334)</f>
        <v/>
      </c>
      <c r="I1334" s="4"/>
      <c r="J1334" s="11" t="str">
        <f aca="false">IF(K1334="","",IF(N(C1334)&lt;=0,"Informe a quantidade",IF(IFERROR(INDEX(INVENTÁRIO!$B$2:$B$801,MATCH(K1334,INVENTÁRIO!$A$2:$A$801,0)),"")="(sem nome)","Carta fora dos decks: digite o nome na coluna I (opcional)","")))</f>
        <v/>
      </c>
      <c r="K1334" s="11" t="str">
        <f aca="false">UPPER(TRIM(SUBSTITUTE(B1334&amp;"",CHAR(160)," ")))</f>
        <v/>
      </c>
      <c r="L1334" s="11" t="str">
        <f aca="false">IF(AND(K1334&lt;&gt;"",TRIM(I1334&amp;"")&lt;&gt;""),K1334,"")</f>
        <v/>
      </c>
    </row>
    <row r="1335" customFormat="false" ht="15" hidden="false" customHeight="false" outlineLevel="0" collapsed="false">
      <c r="A1335" s="9"/>
      <c r="B1335" s="4"/>
      <c r="C1335" s="10"/>
      <c r="D1335" s="11" t="str">
        <f aca="false">IF(K1335="","",IFERROR(INDEX(DECKS!$C$2:$C$1201,MATCH(K1335,DECKS!$B$2:$B$1201,0)),TRIM(I1335&amp;"")))</f>
        <v/>
      </c>
      <c r="E1335" s="4"/>
      <c r="F1335" s="12"/>
      <c r="G1335" s="4"/>
      <c r="H1335" s="13" t="str">
        <f aca="false">IF(OR(N(C1335)=0,N(F1335)=0),"",C1335*F1335)</f>
        <v/>
      </c>
      <c r="I1335" s="4"/>
      <c r="J1335" s="11" t="str">
        <f aca="false">IF(K1335="","",IF(N(C1335)&lt;=0,"Informe a quantidade",IF(IFERROR(INDEX(INVENTÁRIO!$B$2:$B$801,MATCH(K1335,INVENTÁRIO!$A$2:$A$801,0)),"")="(sem nome)","Carta fora dos decks: digite o nome na coluna I (opcional)","")))</f>
        <v/>
      </c>
      <c r="K1335" s="11" t="str">
        <f aca="false">UPPER(TRIM(SUBSTITUTE(B1335&amp;"",CHAR(160)," ")))</f>
        <v/>
      </c>
      <c r="L1335" s="11" t="str">
        <f aca="false">IF(AND(K1335&lt;&gt;"",TRIM(I1335&amp;"")&lt;&gt;""),K1335,"")</f>
        <v/>
      </c>
    </row>
    <row r="1336" customFormat="false" ht="15" hidden="false" customHeight="false" outlineLevel="0" collapsed="false">
      <c r="A1336" s="9"/>
      <c r="B1336" s="4"/>
      <c r="C1336" s="10"/>
      <c r="D1336" s="11" t="str">
        <f aca="false">IF(K1336="","",IFERROR(INDEX(DECKS!$C$2:$C$1201,MATCH(K1336,DECKS!$B$2:$B$1201,0)),TRIM(I1336&amp;"")))</f>
        <v/>
      </c>
      <c r="E1336" s="4"/>
      <c r="F1336" s="12"/>
      <c r="G1336" s="4"/>
      <c r="H1336" s="13" t="str">
        <f aca="false">IF(OR(N(C1336)=0,N(F1336)=0),"",C1336*F1336)</f>
        <v/>
      </c>
      <c r="I1336" s="4"/>
      <c r="J1336" s="11" t="str">
        <f aca="false">IF(K1336="","",IF(N(C1336)&lt;=0,"Informe a quantidade",IF(IFERROR(INDEX(INVENTÁRIO!$B$2:$B$801,MATCH(K1336,INVENTÁRIO!$A$2:$A$801,0)),"")="(sem nome)","Carta fora dos decks: digite o nome na coluna I (opcional)","")))</f>
        <v/>
      </c>
      <c r="K1336" s="11" t="str">
        <f aca="false">UPPER(TRIM(SUBSTITUTE(B1336&amp;"",CHAR(160)," ")))</f>
        <v/>
      </c>
      <c r="L1336" s="11" t="str">
        <f aca="false">IF(AND(K1336&lt;&gt;"",TRIM(I1336&amp;"")&lt;&gt;""),K1336,"")</f>
        <v/>
      </c>
    </row>
    <row r="1337" customFormat="false" ht="15" hidden="false" customHeight="false" outlineLevel="0" collapsed="false">
      <c r="A1337" s="9"/>
      <c r="B1337" s="4"/>
      <c r="C1337" s="10"/>
      <c r="D1337" s="11" t="str">
        <f aca="false">IF(K1337="","",IFERROR(INDEX(DECKS!$C$2:$C$1201,MATCH(K1337,DECKS!$B$2:$B$1201,0)),TRIM(I1337&amp;"")))</f>
        <v/>
      </c>
      <c r="E1337" s="4"/>
      <c r="F1337" s="12"/>
      <c r="G1337" s="4"/>
      <c r="H1337" s="13" t="str">
        <f aca="false">IF(OR(N(C1337)=0,N(F1337)=0),"",C1337*F1337)</f>
        <v/>
      </c>
      <c r="I1337" s="4"/>
      <c r="J1337" s="11" t="str">
        <f aca="false">IF(K1337="","",IF(N(C1337)&lt;=0,"Informe a quantidade",IF(IFERROR(INDEX(INVENTÁRIO!$B$2:$B$801,MATCH(K1337,INVENTÁRIO!$A$2:$A$801,0)),"")="(sem nome)","Carta fora dos decks: digite o nome na coluna I (opcional)","")))</f>
        <v/>
      </c>
      <c r="K1337" s="11" t="str">
        <f aca="false">UPPER(TRIM(SUBSTITUTE(B1337&amp;"",CHAR(160)," ")))</f>
        <v/>
      </c>
      <c r="L1337" s="11" t="str">
        <f aca="false">IF(AND(K1337&lt;&gt;"",TRIM(I1337&amp;"")&lt;&gt;""),K1337,"")</f>
        <v/>
      </c>
    </row>
    <row r="1338" customFormat="false" ht="15" hidden="false" customHeight="false" outlineLevel="0" collapsed="false">
      <c r="A1338" s="9"/>
      <c r="B1338" s="4"/>
      <c r="C1338" s="10"/>
      <c r="D1338" s="11" t="str">
        <f aca="false">IF(K1338="","",IFERROR(INDEX(DECKS!$C$2:$C$1201,MATCH(K1338,DECKS!$B$2:$B$1201,0)),TRIM(I1338&amp;"")))</f>
        <v/>
      </c>
      <c r="E1338" s="4"/>
      <c r="F1338" s="12"/>
      <c r="G1338" s="4"/>
      <c r="H1338" s="13" t="str">
        <f aca="false">IF(OR(N(C1338)=0,N(F1338)=0),"",C1338*F1338)</f>
        <v/>
      </c>
      <c r="I1338" s="4"/>
      <c r="J1338" s="11" t="str">
        <f aca="false">IF(K1338="","",IF(N(C1338)&lt;=0,"Informe a quantidade",IF(IFERROR(INDEX(INVENTÁRIO!$B$2:$B$801,MATCH(K1338,INVENTÁRIO!$A$2:$A$801,0)),"")="(sem nome)","Carta fora dos decks: digite o nome na coluna I (opcional)","")))</f>
        <v/>
      </c>
      <c r="K1338" s="11" t="str">
        <f aca="false">UPPER(TRIM(SUBSTITUTE(B1338&amp;"",CHAR(160)," ")))</f>
        <v/>
      </c>
      <c r="L1338" s="11" t="str">
        <f aca="false">IF(AND(K1338&lt;&gt;"",TRIM(I1338&amp;"")&lt;&gt;""),K1338,"")</f>
        <v/>
      </c>
    </row>
    <row r="1339" customFormat="false" ht="15" hidden="false" customHeight="false" outlineLevel="0" collapsed="false">
      <c r="A1339" s="9"/>
      <c r="B1339" s="4"/>
      <c r="C1339" s="10"/>
      <c r="D1339" s="11" t="str">
        <f aca="false">IF(K1339="","",IFERROR(INDEX(DECKS!$C$2:$C$1201,MATCH(K1339,DECKS!$B$2:$B$1201,0)),TRIM(I1339&amp;"")))</f>
        <v/>
      </c>
      <c r="E1339" s="4"/>
      <c r="F1339" s="12"/>
      <c r="G1339" s="4"/>
      <c r="H1339" s="13" t="str">
        <f aca="false">IF(OR(N(C1339)=0,N(F1339)=0),"",C1339*F1339)</f>
        <v/>
      </c>
      <c r="I1339" s="4"/>
      <c r="J1339" s="11" t="str">
        <f aca="false">IF(K1339="","",IF(N(C1339)&lt;=0,"Informe a quantidade",IF(IFERROR(INDEX(INVENTÁRIO!$B$2:$B$801,MATCH(K1339,INVENTÁRIO!$A$2:$A$801,0)),"")="(sem nome)","Carta fora dos decks: digite o nome na coluna I (opcional)","")))</f>
        <v/>
      </c>
      <c r="K1339" s="11" t="str">
        <f aca="false">UPPER(TRIM(SUBSTITUTE(B1339&amp;"",CHAR(160)," ")))</f>
        <v/>
      </c>
      <c r="L1339" s="11" t="str">
        <f aca="false">IF(AND(K1339&lt;&gt;"",TRIM(I1339&amp;"")&lt;&gt;""),K1339,"")</f>
        <v/>
      </c>
    </row>
    <row r="1340" customFormat="false" ht="15" hidden="false" customHeight="false" outlineLevel="0" collapsed="false">
      <c r="A1340" s="9"/>
      <c r="B1340" s="4"/>
      <c r="C1340" s="10"/>
      <c r="D1340" s="11" t="str">
        <f aca="false">IF(K1340="","",IFERROR(INDEX(DECKS!$C$2:$C$1201,MATCH(K1340,DECKS!$B$2:$B$1201,0)),TRIM(I1340&amp;"")))</f>
        <v/>
      </c>
      <c r="E1340" s="4"/>
      <c r="F1340" s="12"/>
      <c r="G1340" s="4"/>
      <c r="H1340" s="13" t="str">
        <f aca="false">IF(OR(N(C1340)=0,N(F1340)=0),"",C1340*F1340)</f>
        <v/>
      </c>
      <c r="I1340" s="4"/>
      <c r="J1340" s="11" t="str">
        <f aca="false">IF(K1340="","",IF(N(C1340)&lt;=0,"Informe a quantidade",IF(IFERROR(INDEX(INVENTÁRIO!$B$2:$B$801,MATCH(K1340,INVENTÁRIO!$A$2:$A$801,0)),"")="(sem nome)","Carta fora dos decks: digite o nome na coluna I (opcional)","")))</f>
        <v/>
      </c>
      <c r="K1340" s="11" t="str">
        <f aca="false">UPPER(TRIM(SUBSTITUTE(B1340&amp;"",CHAR(160)," ")))</f>
        <v/>
      </c>
      <c r="L1340" s="11" t="str">
        <f aca="false">IF(AND(K1340&lt;&gt;"",TRIM(I1340&amp;"")&lt;&gt;""),K1340,"")</f>
        <v/>
      </c>
    </row>
    <row r="1341" customFormat="false" ht="15" hidden="false" customHeight="false" outlineLevel="0" collapsed="false">
      <c r="A1341" s="9"/>
      <c r="B1341" s="4"/>
      <c r="C1341" s="10"/>
      <c r="D1341" s="11" t="str">
        <f aca="false">IF(K1341="","",IFERROR(INDEX(DECKS!$C$2:$C$1201,MATCH(K1341,DECKS!$B$2:$B$1201,0)),TRIM(I1341&amp;"")))</f>
        <v/>
      </c>
      <c r="E1341" s="4"/>
      <c r="F1341" s="12"/>
      <c r="G1341" s="4"/>
      <c r="H1341" s="13" t="str">
        <f aca="false">IF(OR(N(C1341)=0,N(F1341)=0),"",C1341*F1341)</f>
        <v/>
      </c>
      <c r="I1341" s="4"/>
      <c r="J1341" s="11" t="str">
        <f aca="false">IF(K1341="","",IF(N(C1341)&lt;=0,"Informe a quantidade",IF(IFERROR(INDEX(INVENTÁRIO!$B$2:$B$801,MATCH(K1341,INVENTÁRIO!$A$2:$A$801,0)),"")="(sem nome)","Carta fora dos decks: digite o nome na coluna I (opcional)","")))</f>
        <v/>
      </c>
      <c r="K1341" s="11" t="str">
        <f aca="false">UPPER(TRIM(SUBSTITUTE(B1341&amp;"",CHAR(160)," ")))</f>
        <v/>
      </c>
      <c r="L1341" s="11" t="str">
        <f aca="false">IF(AND(K1341&lt;&gt;"",TRIM(I1341&amp;"")&lt;&gt;""),K1341,"")</f>
        <v/>
      </c>
    </row>
    <row r="1342" customFormat="false" ht="15" hidden="false" customHeight="false" outlineLevel="0" collapsed="false">
      <c r="A1342" s="9"/>
      <c r="B1342" s="4"/>
      <c r="C1342" s="10"/>
      <c r="D1342" s="11" t="str">
        <f aca="false">IF(K1342="","",IFERROR(INDEX(DECKS!$C$2:$C$1201,MATCH(K1342,DECKS!$B$2:$B$1201,0)),TRIM(I1342&amp;"")))</f>
        <v/>
      </c>
      <c r="E1342" s="4"/>
      <c r="F1342" s="12"/>
      <c r="G1342" s="4"/>
      <c r="H1342" s="13" t="str">
        <f aca="false">IF(OR(N(C1342)=0,N(F1342)=0),"",C1342*F1342)</f>
        <v/>
      </c>
      <c r="I1342" s="4"/>
      <c r="J1342" s="11" t="str">
        <f aca="false">IF(K1342="","",IF(N(C1342)&lt;=0,"Informe a quantidade",IF(IFERROR(INDEX(INVENTÁRIO!$B$2:$B$801,MATCH(K1342,INVENTÁRIO!$A$2:$A$801,0)),"")="(sem nome)","Carta fora dos decks: digite o nome na coluna I (opcional)","")))</f>
        <v/>
      </c>
      <c r="K1342" s="11" t="str">
        <f aca="false">UPPER(TRIM(SUBSTITUTE(B1342&amp;"",CHAR(160)," ")))</f>
        <v/>
      </c>
      <c r="L1342" s="11" t="str">
        <f aca="false">IF(AND(K1342&lt;&gt;"",TRIM(I1342&amp;"")&lt;&gt;""),K1342,"")</f>
        <v/>
      </c>
    </row>
    <row r="1343" customFormat="false" ht="15" hidden="false" customHeight="false" outlineLevel="0" collapsed="false">
      <c r="A1343" s="9"/>
      <c r="B1343" s="4"/>
      <c r="C1343" s="10"/>
      <c r="D1343" s="11" t="str">
        <f aca="false">IF(K1343="","",IFERROR(INDEX(DECKS!$C$2:$C$1201,MATCH(K1343,DECKS!$B$2:$B$1201,0)),TRIM(I1343&amp;"")))</f>
        <v/>
      </c>
      <c r="E1343" s="4"/>
      <c r="F1343" s="12"/>
      <c r="G1343" s="4"/>
      <c r="H1343" s="13" t="str">
        <f aca="false">IF(OR(N(C1343)=0,N(F1343)=0),"",C1343*F1343)</f>
        <v/>
      </c>
      <c r="I1343" s="4"/>
      <c r="J1343" s="11" t="str">
        <f aca="false">IF(K1343="","",IF(N(C1343)&lt;=0,"Informe a quantidade",IF(IFERROR(INDEX(INVENTÁRIO!$B$2:$B$801,MATCH(K1343,INVENTÁRIO!$A$2:$A$801,0)),"")="(sem nome)","Carta fora dos decks: digite o nome na coluna I (opcional)","")))</f>
        <v/>
      </c>
      <c r="K1343" s="11" t="str">
        <f aca="false">UPPER(TRIM(SUBSTITUTE(B1343&amp;"",CHAR(160)," ")))</f>
        <v/>
      </c>
      <c r="L1343" s="11" t="str">
        <f aca="false">IF(AND(K1343&lt;&gt;"",TRIM(I1343&amp;"")&lt;&gt;""),K1343,"")</f>
        <v/>
      </c>
    </row>
    <row r="1344" customFormat="false" ht="15" hidden="false" customHeight="false" outlineLevel="0" collapsed="false">
      <c r="A1344" s="9"/>
      <c r="B1344" s="4"/>
      <c r="C1344" s="10"/>
      <c r="D1344" s="11" t="str">
        <f aca="false">IF(K1344="","",IFERROR(INDEX(DECKS!$C$2:$C$1201,MATCH(K1344,DECKS!$B$2:$B$1201,0)),TRIM(I1344&amp;"")))</f>
        <v/>
      </c>
      <c r="E1344" s="4"/>
      <c r="F1344" s="12"/>
      <c r="G1344" s="4"/>
      <c r="H1344" s="13" t="str">
        <f aca="false">IF(OR(N(C1344)=0,N(F1344)=0),"",C1344*F1344)</f>
        <v/>
      </c>
      <c r="I1344" s="4"/>
      <c r="J1344" s="11" t="str">
        <f aca="false">IF(K1344="","",IF(N(C1344)&lt;=0,"Informe a quantidade",IF(IFERROR(INDEX(INVENTÁRIO!$B$2:$B$801,MATCH(K1344,INVENTÁRIO!$A$2:$A$801,0)),"")="(sem nome)","Carta fora dos decks: digite o nome na coluna I (opcional)","")))</f>
        <v/>
      </c>
      <c r="K1344" s="11" t="str">
        <f aca="false">UPPER(TRIM(SUBSTITUTE(B1344&amp;"",CHAR(160)," ")))</f>
        <v/>
      </c>
      <c r="L1344" s="11" t="str">
        <f aca="false">IF(AND(K1344&lt;&gt;"",TRIM(I1344&amp;"")&lt;&gt;""),K1344,"")</f>
        <v/>
      </c>
    </row>
    <row r="1345" customFormat="false" ht="15" hidden="false" customHeight="false" outlineLevel="0" collapsed="false">
      <c r="A1345" s="9"/>
      <c r="B1345" s="4"/>
      <c r="C1345" s="10"/>
      <c r="D1345" s="11" t="str">
        <f aca="false">IF(K1345="","",IFERROR(INDEX(DECKS!$C$2:$C$1201,MATCH(K1345,DECKS!$B$2:$B$1201,0)),TRIM(I1345&amp;"")))</f>
        <v/>
      </c>
      <c r="E1345" s="4"/>
      <c r="F1345" s="12"/>
      <c r="G1345" s="4"/>
      <c r="H1345" s="13" t="str">
        <f aca="false">IF(OR(N(C1345)=0,N(F1345)=0),"",C1345*F1345)</f>
        <v/>
      </c>
      <c r="I1345" s="4"/>
      <c r="J1345" s="11" t="str">
        <f aca="false">IF(K1345="","",IF(N(C1345)&lt;=0,"Informe a quantidade",IF(IFERROR(INDEX(INVENTÁRIO!$B$2:$B$801,MATCH(K1345,INVENTÁRIO!$A$2:$A$801,0)),"")="(sem nome)","Carta fora dos decks: digite o nome na coluna I (opcional)","")))</f>
        <v/>
      </c>
      <c r="K1345" s="11" t="str">
        <f aca="false">UPPER(TRIM(SUBSTITUTE(B1345&amp;"",CHAR(160)," ")))</f>
        <v/>
      </c>
      <c r="L1345" s="11" t="str">
        <f aca="false">IF(AND(K1345&lt;&gt;"",TRIM(I1345&amp;"")&lt;&gt;""),K1345,"")</f>
        <v/>
      </c>
    </row>
    <row r="1346" customFormat="false" ht="15" hidden="false" customHeight="false" outlineLevel="0" collapsed="false">
      <c r="A1346" s="9"/>
      <c r="B1346" s="4"/>
      <c r="C1346" s="10"/>
      <c r="D1346" s="11" t="str">
        <f aca="false">IF(K1346="","",IFERROR(INDEX(DECKS!$C$2:$C$1201,MATCH(K1346,DECKS!$B$2:$B$1201,0)),TRIM(I1346&amp;"")))</f>
        <v/>
      </c>
      <c r="E1346" s="4"/>
      <c r="F1346" s="12"/>
      <c r="G1346" s="4"/>
      <c r="H1346" s="13" t="str">
        <f aca="false">IF(OR(N(C1346)=0,N(F1346)=0),"",C1346*F1346)</f>
        <v/>
      </c>
      <c r="I1346" s="4"/>
      <c r="J1346" s="11" t="str">
        <f aca="false">IF(K1346="","",IF(N(C1346)&lt;=0,"Informe a quantidade",IF(IFERROR(INDEX(INVENTÁRIO!$B$2:$B$801,MATCH(K1346,INVENTÁRIO!$A$2:$A$801,0)),"")="(sem nome)","Carta fora dos decks: digite o nome na coluna I (opcional)","")))</f>
        <v/>
      </c>
      <c r="K1346" s="11" t="str">
        <f aca="false">UPPER(TRIM(SUBSTITUTE(B1346&amp;"",CHAR(160)," ")))</f>
        <v/>
      </c>
      <c r="L1346" s="11" t="str">
        <f aca="false">IF(AND(K1346&lt;&gt;"",TRIM(I1346&amp;"")&lt;&gt;""),K1346,"")</f>
        <v/>
      </c>
    </row>
    <row r="1347" customFormat="false" ht="15" hidden="false" customHeight="false" outlineLevel="0" collapsed="false">
      <c r="A1347" s="9"/>
      <c r="B1347" s="4"/>
      <c r="C1347" s="10"/>
      <c r="D1347" s="11" t="str">
        <f aca="false">IF(K1347="","",IFERROR(INDEX(DECKS!$C$2:$C$1201,MATCH(K1347,DECKS!$B$2:$B$1201,0)),TRIM(I1347&amp;"")))</f>
        <v/>
      </c>
      <c r="E1347" s="4"/>
      <c r="F1347" s="12"/>
      <c r="G1347" s="4"/>
      <c r="H1347" s="13" t="str">
        <f aca="false">IF(OR(N(C1347)=0,N(F1347)=0),"",C1347*F1347)</f>
        <v/>
      </c>
      <c r="I1347" s="4"/>
      <c r="J1347" s="11" t="str">
        <f aca="false">IF(K1347="","",IF(N(C1347)&lt;=0,"Informe a quantidade",IF(IFERROR(INDEX(INVENTÁRIO!$B$2:$B$801,MATCH(K1347,INVENTÁRIO!$A$2:$A$801,0)),"")="(sem nome)","Carta fora dos decks: digite o nome na coluna I (opcional)","")))</f>
        <v/>
      </c>
      <c r="K1347" s="11" t="str">
        <f aca="false">UPPER(TRIM(SUBSTITUTE(B1347&amp;"",CHAR(160)," ")))</f>
        <v/>
      </c>
      <c r="L1347" s="11" t="str">
        <f aca="false">IF(AND(K1347&lt;&gt;"",TRIM(I1347&amp;"")&lt;&gt;""),K1347,"")</f>
        <v/>
      </c>
    </row>
    <row r="1348" customFormat="false" ht="15" hidden="false" customHeight="false" outlineLevel="0" collapsed="false">
      <c r="A1348" s="9"/>
      <c r="B1348" s="4"/>
      <c r="C1348" s="10"/>
      <c r="D1348" s="11" t="str">
        <f aca="false">IF(K1348="","",IFERROR(INDEX(DECKS!$C$2:$C$1201,MATCH(K1348,DECKS!$B$2:$B$1201,0)),TRIM(I1348&amp;"")))</f>
        <v/>
      </c>
      <c r="E1348" s="4"/>
      <c r="F1348" s="12"/>
      <c r="G1348" s="4"/>
      <c r="H1348" s="13" t="str">
        <f aca="false">IF(OR(N(C1348)=0,N(F1348)=0),"",C1348*F1348)</f>
        <v/>
      </c>
      <c r="I1348" s="4"/>
      <c r="J1348" s="11" t="str">
        <f aca="false">IF(K1348="","",IF(N(C1348)&lt;=0,"Informe a quantidade",IF(IFERROR(INDEX(INVENTÁRIO!$B$2:$B$801,MATCH(K1348,INVENTÁRIO!$A$2:$A$801,0)),"")="(sem nome)","Carta fora dos decks: digite o nome na coluna I (opcional)","")))</f>
        <v/>
      </c>
      <c r="K1348" s="11" t="str">
        <f aca="false">UPPER(TRIM(SUBSTITUTE(B1348&amp;"",CHAR(160)," ")))</f>
        <v/>
      </c>
      <c r="L1348" s="11" t="str">
        <f aca="false">IF(AND(K1348&lt;&gt;"",TRIM(I1348&amp;"")&lt;&gt;""),K1348,"")</f>
        <v/>
      </c>
    </row>
    <row r="1349" customFormat="false" ht="15" hidden="false" customHeight="false" outlineLevel="0" collapsed="false">
      <c r="A1349" s="9"/>
      <c r="B1349" s="4"/>
      <c r="C1349" s="10"/>
      <c r="D1349" s="11" t="str">
        <f aca="false">IF(K1349="","",IFERROR(INDEX(DECKS!$C$2:$C$1201,MATCH(K1349,DECKS!$B$2:$B$1201,0)),TRIM(I1349&amp;"")))</f>
        <v/>
      </c>
      <c r="E1349" s="4"/>
      <c r="F1349" s="12"/>
      <c r="G1349" s="4"/>
      <c r="H1349" s="13" t="str">
        <f aca="false">IF(OR(N(C1349)=0,N(F1349)=0),"",C1349*F1349)</f>
        <v/>
      </c>
      <c r="I1349" s="4"/>
      <c r="J1349" s="11" t="str">
        <f aca="false">IF(K1349="","",IF(N(C1349)&lt;=0,"Informe a quantidade",IF(IFERROR(INDEX(INVENTÁRIO!$B$2:$B$801,MATCH(K1349,INVENTÁRIO!$A$2:$A$801,0)),"")="(sem nome)","Carta fora dos decks: digite o nome na coluna I (opcional)","")))</f>
        <v/>
      </c>
      <c r="K1349" s="11" t="str">
        <f aca="false">UPPER(TRIM(SUBSTITUTE(B1349&amp;"",CHAR(160)," ")))</f>
        <v/>
      </c>
      <c r="L1349" s="11" t="str">
        <f aca="false">IF(AND(K1349&lt;&gt;"",TRIM(I1349&amp;"")&lt;&gt;""),K1349,"")</f>
        <v/>
      </c>
    </row>
    <row r="1350" customFormat="false" ht="15" hidden="false" customHeight="false" outlineLevel="0" collapsed="false">
      <c r="A1350" s="9"/>
      <c r="B1350" s="4"/>
      <c r="C1350" s="10"/>
      <c r="D1350" s="11" t="str">
        <f aca="false">IF(K1350="","",IFERROR(INDEX(DECKS!$C$2:$C$1201,MATCH(K1350,DECKS!$B$2:$B$1201,0)),TRIM(I1350&amp;"")))</f>
        <v/>
      </c>
      <c r="E1350" s="4"/>
      <c r="F1350" s="12"/>
      <c r="G1350" s="4"/>
      <c r="H1350" s="13" t="str">
        <f aca="false">IF(OR(N(C1350)=0,N(F1350)=0),"",C1350*F1350)</f>
        <v/>
      </c>
      <c r="I1350" s="4"/>
      <c r="J1350" s="11" t="str">
        <f aca="false">IF(K1350="","",IF(N(C1350)&lt;=0,"Informe a quantidade",IF(IFERROR(INDEX(INVENTÁRIO!$B$2:$B$801,MATCH(K1350,INVENTÁRIO!$A$2:$A$801,0)),"")="(sem nome)","Carta fora dos decks: digite o nome na coluna I (opcional)","")))</f>
        <v/>
      </c>
      <c r="K1350" s="11" t="str">
        <f aca="false">UPPER(TRIM(SUBSTITUTE(B1350&amp;"",CHAR(160)," ")))</f>
        <v/>
      </c>
      <c r="L1350" s="11" t="str">
        <f aca="false">IF(AND(K1350&lt;&gt;"",TRIM(I1350&amp;"")&lt;&gt;""),K1350,"")</f>
        <v/>
      </c>
    </row>
    <row r="1351" customFormat="false" ht="15" hidden="false" customHeight="false" outlineLevel="0" collapsed="false">
      <c r="A1351" s="9"/>
      <c r="B1351" s="4"/>
      <c r="C1351" s="10"/>
      <c r="D1351" s="11" t="str">
        <f aca="false">IF(K1351="","",IFERROR(INDEX(DECKS!$C$2:$C$1201,MATCH(K1351,DECKS!$B$2:$B$1201,0)),TRIM(I1351&amp;"")))</f>
        <v/>
      </c>
      <c r="E1351" s="4"/>
      <c r="F1351" s="12"/>
      <c r="G1351" s="4"/>
      <c r="H1351" s="13" t="str">
        <f aca="false">IF(OR(N(C1351)=0,N(F1351)=0),"",C1351*F1351)</f>
        <v/>
      </c>
      <c r="I1351" s="4"/>
      <c r="J1351" s="11" t="str">
        <f aca="false">IF(K1351="","",IF(N(C1351)&lt;=0,"Informe a quantidade",IF(IFERROR(INDEX(INVENTÁRIO!$B$2:$B$801,MATCH(K1351,INVENTÁRIO!$A$2:$A$801,0)),"")="(sem nome)","Carta fora dos decks: digite o nome na coluna I (opcional)","")))</f>
        <v/>
      </c>
      <c r="K1351" s="11" t="str">
        <f aca="false">UPPER(TRIM(SUBSTITUTE(B1351&amp;"",CHAR(160)," ")))</f>
        <v/>
      </c>
      <c r="L1351" s="11" t="str">
        <f aca="false">IF(AND(K1351&lt;&gt;"",TRIM(I1351&amp;"")&lt;&gt;""),K1351,"")</f>
        <v/>
      </c>
    </row>
    <row r="1352" customFormat="false" ht="15" hidden="false" customHeight="false" outlineLevel="0" collapsed="false">
      <c r="A1352" s="9"/>
      <c r="B1352" s="4"/>
      <c r="C1352" s="10"/>
      <c r="D1352" s="11" t="str">
        <f aca="false">IF(K1352="","",IFERROR(INDEX(DECKS!$C$2:$C$1201,MATCH(K1352,DECKS!$B$2:$B$1201,0)),TRIM(I1352&amp;"")))</f>
        <v/>
      </c>
      <c r="E1352" s="4"/>
      <c r="F1352" s="12"/>
      <c r="G1352" s="4"/>
      <c r="H1352" s="13" t="str">
        <f aca="false">IF(OR(N(C1352)=0,N(F1352)=0),"",C1352*F1352)</f>
        <v/>
      </c>
      <c r="I1352" s="4"/>
      <c r="J1352" s="11" t="str">
        <f aca="false">IF(K1352="","",IF(N(C1352)&lt;=0,"Informe a quantidade",IF(IFERROR(INDEX(INVENTÁRIO!$B$2:$B$801,MATCH(K1352,INVENTÁRIO!$A$2:$A$801,0)),"")="(sem nome)","Carta fora dos decks: digite o nome na coluna I (opcional)","")))</f>
        <v/>
      </c>
      <c r="K1352" s="11" t="str">
        <f aca="false">UPPER(TRIM(SUBSTITUTE(B1352&amp;"",CHAR(160)," ")))</f>
        <v/>
      </c>
      <c r="L1352" s="11" t="str">
        <f aca="false">IF(AND(K1352&lt;&gt;"",TRIM(I1352&amp;"")&lt;&gt;""),K1352,"")</f>
        <v/>
      </c>
    </row>
    <row r="1353" customFormat="false" ht="15" hidden="false" customHeight="false" outlineLevel="0" collapsed="false">
      <c r="A1353" s="9"/>
      <c r="B1353" s="4"/>
      <c r="C1353" s="10"/>
      <c r="D1353" s="11" t="str">
        <f aca="false">IF(K1353="","",IFERROR(INDEX(DECKS!$C$2:$C$1201,MATCH(K1353,DECKS!$B$2:$B$1201,0)),TRIM(I1353&amp;"")))</f>
        <v/>
      </c>
      <c r="E1353" s="4"/>
      <c r="F1353" s="12"/>
      <c r="G1353" s="4"/>
      <c r="H1353" s="13" t="str">
        <f aca="false">IF(OR(N(C1353)=0,N(F1353)=0),"",C1353*F1353)</f>
        <v/>
      </c>
      <c r="I1353" s="4"/>
      <c r="J1353" s="11" t="str">
        <f aca="false">IF(K1353="","",IF(N(C1353)&lt;=0,"Informe a quantidade",IF(IFERROR(INDEX(INVENTÁRIO!$B$2:$B$801,MATCH(K1353,INVENTÁRIO!$A$2:$A$801,0)),"")="(sem nome)","Carta fora dos decks: digite o nome na coluna I (opcional)","")))</f>
        <v/>
      </c>
      <c r="K1353" s="11" t="str">
        <f aca="false">UPPER(TRIM(SUBSTITUTE(B1353&amp;"",CHAR(160)," ")))</f>
        <v/>
      </c>
      <c r="L1353" s="11" t="str">
        <f aca="false">IF(AND(K1353&lt;&gt;"",TRIM(I1353&amp;"")&lt;&gt;""),K1353,"")</f>
        <v/>
      </c>
    </row>
    <row r="1354" customFormat="false" ht="15" hidden="false" customHeight="false" outlineLevel="0" collapsed="false">
      <c r="A1354" s="9"/>
      <c r="B1354" s="4"/>
      <c r="C1354" s="10"/>
      <c r="D1354" s="11" t="str">
        <f aca="false">IF(K1354="","",IFERROR(INDEX(DECKS!$C$2:$C$1201,MATCH(K1354,DECKS!$B$2:$B$1201,0)),TRIM(I1354&amp;"")))</f>
        <v/>
      </c>
      <c r="E1354" s="4"/>
      <c r="F1354" s="12"/>
      <c r="G1354" s="4"/>
      <c r="H1354" s="13" t="str">
        <f aca="false">IF(OR(N(C1354)=0,N(F1354)=0),"",C1354*F1354)</f>
        <v/>
      </c>
      <c r="I1354" s="4"/>
      <c r="J1354" s="11" t="str">
        <f aca="false">IF(K1354="","",IF(N(C1354)&lt;=0,"Informe a quantidade",IF(IFERROR(INDEX(INVENTÁRIO!$B$2:$B$801,MATCH(K1354,INVENTÁRIO!$A$2:$A$801,0)),"")="(sem nome)","Carta fora dos decks: digite o nome na coluna I (opcional)","")))</f>
        <v/>
      </c>
      <c r="K1354" s="11" t="str">
        <f aca="false">UPPER(TRIM(SUBSTITUTE(B1354&amp;"",CHAR(160)," ")))</f>
        <v/>
      </c>
      <c r="L1354" s="11" t="str">
        <f aca="false">IF(AND(K1354&lt;&gt;"",TRIM(I1354&amp;"")&lt;&gt;""),K1354,"")</f>
        <v/>
      </c>
    </row>
    <row r="1355" customFormat="false" ht="15" hidden="false" customHeight="false" outlineLevel="0" collapsed="false">
      <c r="A1355" s="9"/>
      <c r="B1355" s="4"/>
      <c r="C1355" s="10"/>
      <c r="D1355" s="11" t="str">
        <f aca="false">IF(K1355="","",IFERROR(INDEX(DECKS!$C$2:$C$1201,MATCH(K1355,DECKS!$B$2:$B$1201,0)),TRIM(I1355&amp;"")))</f>
        <v/>
      </c>
      <c r="E1355" s="4"/>
      <c r="F1355" s="12"/>
      <c r="G1355" s="4"/>
      <c r="H1355" s="13" t="str">
        <f aca="false">IF(OR(N(C1355)=0,N(F1355)=0),"",C1355*F1355)</f>
        <v/>
      </c>
      <c r="I1355" s="4"/>
      <c r="J1355" s="11" t="str">
        <f aca="false">IF(K1355="","",IF(N(C1355)&lt;=0,"Informe a quantidade",IF(IFERROR(INDEX(INVENTÁRIO!$B$2:$B$801,MATCH(K1355,INVENTÁRIO!$A$2:$A$801,0)),"")="(sem nome)","Carta fora dos decks: digite o nome na coluna I (opcional)","")))</f>
        <v/>
      </c>
      <c r="K1355" s="11" t="str">
        <f aca="false">UPPER(TRIM(SUBSTITUTE(B1355&amp;"",CHAR(160)," ")))</f>
        <v/>
      </c>
      <c r="L1355" s="11" t="str">
        <f aca="false">IF(AND(K1355&lt;&gt;"",TRIM(I1355&amp;"")&lt;&gt;""),K1355,"")</f>
        <v/>
      </c>
    </row>
    <row r="1356" customFormat="false" ht="15" hidden="false" customHeight="false" outlineLevel="0" collapsed="false">
      <c r="A1356" s="9"/>
      <c r="B1356" s="4"/>
      <c r="C1356" s="10"/>
      <c r="D1356" s="11" t="str">
        <f aca="false">IF(K1356="","",IFERROR(INDEX(DECKS!$C$2:$C$1201,MATCH(K1356,DECKS!$B$2:$B$1201,0)),TRIM(I1356&amp;"")))</f>
        <v/>
      </c>
      <c r="E1356" s="4"/>
      <c r="F1356" s="12"/>
      <c r="G1356" s="4"/>
      <c r="H1356" s="13" t="str">
        <f aca="false">IF(OR(N(C1356)=0,N(F1356)=0),"",C1356*F1356)</f>
        <v/>
      </c>
      <c r="I1356" s="4"/>
      <c r="J1356" s="11" t="str">
        <f aca="false">IF(K1356="","",IF(N(C1356)&lt;=0,"Informe a quantidade",IF(IFERROR(INDEX(INVENTÁRIO!$B$2:$B$801,MATCH(K1356,INVENTÁRIO!$A$2:$A$801,0)),"")="(sem nome)","Carta fora dos decks: digite o nome na coluna I (opcional)","")))</f>
        <v/>
      </c>
      <c r="K1356" s="11" t="str">
        <f aca="false">UPPER(TRIM(SUBSTITUTE(B1356&amp;"",CHAR(160)," ")))</f>
        <v/>
      </c>
      <c r="L1356" s="11" t="str">
        <f aca="false">IF(AND(K1356&lt;&gt;"",TRIM(I1356&amp;"")&lt;&gt;""),K1356,"")</f>
        <v/>
      </c>
    </row>
    <row r="1357" customFormat="false" ht="15" hidden="false" customHeight="false" outlineLevel="0" collapsed="false">
      <c r="A1357" s="9"/>
      <c r="B1357" s="4"/>
      <c r="C1357" s="10"/>
      <c r="D1357" s="11" t="str">
        <f aca="false">IF(K1357="","",IFERROR(INDEX(DECKS!$C$2:$C$1201,MATCH(K1357,DECKS!$B$2:$B$1201,0)),TRIM(I1357&amp;"")))</f>
        <v/>
      </c>
      <c r="E1357" s="4"/>
      <c r="F1357" s="12"/>
      <c r="G1357" s="4"/>
      <c r="H1357" s="13" t="str">
        <f aca="false">IF(OR(N(C1357)=0,N(F1357)=0),"",C1357*F1357)</f>
        <v/>
      </c>
      <c r="I1357" s="4"/>
      <c r="J1357" s="11" t="str">
        <f aca="false">IF(K1357="","",IF(N(C1357)&lt;=0,"Informe a quantidade",IF(IFERROR(INDEX(INVENTÁRIO!$B$2:$B$801,MATCH(K1357,INVENTÁRIO!$A$2:$A$801,0)),"")="(sem nome)","Carta fora dos decks: digite o nome na coluna I (opcional)","")))</f>
        <v/>
      </c>
      <c r="K1357" s="11" t="str">
        <f aca="false">UPPER(TRIM(SUBSTITUTE(B1357&amp;"",CHAR(160)," ")))</f>
        <v/>
      </c>
      <c r="L1357" s="11" t="str">
        <f aca="false">IF(AND(K1357&lt;&gt;"",TRIM(I1357&amp;"")&lt;&gt;""),K1357,"")</f>
        <v/>
      </c>
    </row>
    <row r="1358" customFormat="false" ht="15" hidden="false" customHeight="false" outlineLevel="0" collapsed="false">
      <c r="A1358" s="9"/>
      <c r="B1358" s="4"/>
      <c r="C1358" s="10"/>
      <c r="D1358" s="11" t="str">
        <f aca="false">IF(K1358="","",IFERROR(INDEX(DECKS!$C$2:$C$1201,MATCH(K1358,DECKS!$B$2:$B$1201,0)),TRIM(I1358&amp;"")))</f>
        <v/>
      </c>
      <c r="E1358" s="4"/>
      <c r="F1358" s="12"/>
      <c r="G1358" s="4"/>
      <c r="H1358" s="13" t="str">
        <f aca="false">IF(OR(N(C1358)=0,N(F1358)=0),"",C1358*F1358)</f>
        <v/>
      </c>
      <c r="I1358" s="4"/>
      <c r="J1358" s="11" t="str">
        <f aca="false">IF(K1358="","",IF(N(C1358)&lt;=0,"Informe a quantidade",IF(IFERROR(INDEX(INVENTÁRIO!$B$2:$B$801,MATCH(K1358,INVENTÁRIO!$A$2:$A$801,0)),"")="(sem nome)","Carta fora dos decks: digite o nome na coluna I (opcional)","")))</f>
        <v/>
      </c>
      <c r="K1358" s="11" t="str">
        <f aca="false">UPPER(TRIM(SUBSTITUTE(B1358&amp;"",CHAR(160)," ")))</f>
        <v/>
      </c>
      <c r="L1358" s="11" t="str">
        <f aca="false">IF(AND(K1358&lt;&gt;"",TRIM(I1358&amp;"")&lt;&gt;""),K1358,"")</f>
        <v/>
      </c>
    </row>
    <row r="1359" customFormat="false" ht="15" hidden="false" customHeight="false" outlineLevel="0" collapsed="false">
      <c r="A1359" s="9"/>
      <c r="B1359" s="4"/>
      <c r="C1359" s="10"/>
      <c r="D1359" s="11" t="str">
        <f aca="false">IF(K1359="","",IFERROR(INDEX(DECKS!$C$2:$C$1201,MATCH(K1359,DECKS!$B$2:$B$1201,0)),TRIM(I1359&amp;"")))</f>
        <v/>
      </c>
      <c r="E1359" s="4"/>
      <c r="F1359" s="12"/>
      <c r="G1359" s="4"/>
      <c r="H1359" s="13" t="str">
        <f aca="false">IF(OR(N(C1359)=0,N(F1359)=0),"",C1359*F1359)</f>
        <v/>
      </c>
      <c r="I1359" s="4"/>
      <c r="J1359" s="11" t="str">
        <f aca="false">IF(K1359="","",IF(N(C1359)&lt;=0,"Informe a quantidade",IF(IFERROR(INDEX(INVENTÁRIO!$B$2:$B$801,MATCH(K1359,INVENTÁRIO!$A$2:$A$801,0)),"")="(sem nome)","Carta fora dos decks: digite o nome na coluna I (opcional)","")))</f>
        <v/>
      </c>
      <c r="K1359" s="11" t="str">
        <f aca="false">UPPER(TRIM(SUBSTITUTE(B1359&amp;"",CHAR(160)," ")))</f>
        <v/>
      </c>
      <c r="L1359" s="11" t="str">
        <f aca="false">IF(AND(K1359&lt;&gt;"",TRIM(I1359&amp;"")&lt;&gt;""),K1359,"")</f>
        <v/>
      </c>
    </row>
    <row r="1360" customFormat="false" ht="15" hidden="false" customHeight="false" outlineLevel="0" collapsed="false">
      <c r="A1360" s="9"/>
      <c r="B1360" s="4"/>
      <c r="C1360" s="10"/>
      <c r="D1360" s="11" t="str">
        <f aca="false">IF(K1360="","",IFERROR(INDEX(DECKS!$C$2:$C$1201,MATCH(K1360,DECKS!$B$2:$B$1201,0)),TRIM(I1360&amp;"")))</f>
        <v/>
      </c>
      <c r="E1360" s="4"/>
      <c r="F1360" s="12"/>
      <c r="G1360" s="4"/>
      <c r="H1360" s="13" t="str">
        <f aca="false">IF(OR(N(C1360)=0,N(F1360)=0),"",C1360*F1360)</f>
        <v/>
      </c>
      <c r="I1360" s="4"/>
      <c r="J1360" s="11" t="str">
        <f aca="false">IF(K1360="","",IF(N(C1360)&lt;=0,"Informe a quantidade",IF(IFERROR(INDEX(INVENTÁRIO!$B$2:$B$801,MATCH(K1360,INVENTÁRIO!$A$2:$A$801,0)),"")="(sem nome)","Carta fora dos decks: digite o nome na coluna I (opcional)","")))</f>
        <v/>
      </c>
      <c r="K1360" s="11" t="str">
        <f aca="false">UPPER(TRIM(SUBSTITUTE(B1360&amp;"",CHAR(160)," ")))</f>
        <v/>
      </c>
      <c r="L1360" s="11" t="str">
        <f aca="false">IF(AND(K1360&lt;&gt;"",TRIM(I1360&amp;"")&lt;&gt;""),K1360,"")</f>
        <v/>
      </c>
    </row>
    <row r="1361" customFormat="false" ht="15" hidden="false" customHeight="false" outlineLevel="0" collapsed="false">
      <c r="A1361" s="9"/>
      <c r="B1361" s="4"/>
      <c r="C1361" s="10"/>
      <c r="D1361" s="11" t="str">
        <f aca="false">IF(K1361="","",IFERROR(INDEX(DECKS!$C$2:$C$1201,MATCH(K1361,DECKS!$B$2:$B$1201,0)),TRIM(I1361&amp;"")))</f>
        <v/>
      </c>
      <c r="E1361" s="4"/>
      <c r="F1361" s="12"/>
      <c r="G1361" s="4"/>
      <c r="H1361" s="13" t="str">
        <f aca="false">IF(OR(N(C1361)=0,N(F1361)=0),"",C1361*F1361)</f>
        <v/>
      </c>
      <c r="I1361" s="4"/>
      <c r="J1361" s="11" t="str">
        <f aca="false">IF(K1361="","",IF(N(C1361)&lt;=0,"Informe a quantidade",IF(IFERROR(INDEX(INVENTÁRIO!$B$2:$B$801,MATCH(K1361,INVENTÁRIO!$A$2:$A$801,0)),"")="(sem nome)","Carta fora dos decks: digite o nome na coluna I (opcional)","")))</f>
        <v/>
      </c>
      <c r="K1361" s="11" t="str">
        <f aca="false">UPPER(TRIM(SUBSTITUTE(B1361&amp;"",CHAR(160)," ")))</f>
        <v/>
      </c>
      <c r="L1361" s="11" t="str">
        <f aca="false">IF(AND(K1361&lt;&gt;"",TRIM(I1361&amp;"")&lt;&gt;""),K1361,"")</f>
        <v/>
      </c>
    </row>
    <row r="1362" customFormat="false" ht="15" hidden="false" customHeight="false" outlineLevel="0" collapsed="false">
      <c r="A1362" s="9"/>
      <c r="B1362" s="4"/>
      <c r="C1362" s="10"/>
      <c r="D1362" s="11" t="str">
        <f aca="false">IF(K1362="","",IFERROR(INDEX(DECKS!$C$2:$C$1201,MATCH(K1362,DECKS!$B$2:$B$1201,0)),TRIM(I1362&amp;"")))</f>
        <v/>
      </c>
      <c r="E1362" s="4"/>
      <c r="F1362" s="12"/>
      <c r="G1362" s="4"/>
      <c r="H1362" s="13" t="str">
        <f aca="false">IF(OR(N(C1362)=0,N(F1362)=0),"",C1362*F1362)</f>
        <v/>
      </c>
      <c r="I1362" s="4"/>
      <c r="J1362" s="11" t="str">
        <f aca="false">IF(K1362="","",IF(N(C1362)&lt;=0,"Informe a quantidade",IF(IFERROR(INDEX(INVENTÁRIO!$B$2:$B$801,MATCH(K1362,INVENTÁRIO!$A$2:$A$801,0)),"")="(sem nome)","Carta fora dos decks: digite o nome na coluna I (opcional)","")))</f>
        <v/>
      </c>
      <c r="K1362" s="11" t="str">
        <f aca="false">UPPER(TRIM(SUBSTITUTE(B1362&amp;"",CHAR(160)," ")))</f>
        <v/>
      </c>
      <c r="L1362" s="11" t="str">
        <f aca="false">IF(AND(K1362&lt;&gt;"",TRIM(I1362&amp;"")&lt;&gt;""),K1362,"")</f>
        <v/>
      </c>
    </row>
    <row r="1363" customFormat="false" ht="15" hidden="false" customHeight="false" outlineLevel="0" collapsed="false">
      <c r="A1363" s="9"/>
      <c r="B1363" s="4"/>
      <c r="C1363" s="10"/>
      <c r="D1363" s="11" t="str">
        <f aca="false">IF(K1363="","",IFERROR(INDEX(DECKS!$C$2:$C$1201,MATCH(K1363,DECKS!$B$2:$B$1201,0)),TRIM(I1363&amp;"")))</f>
        <v/>
      </c>
      <c r="E1363" s="4"/>
      <c r="F1363" s="12"/>
      <c r="G1363" s="4"/>
      <c r="H1363" s="13" t="str">
        <f aca="false">IF(OR(N(C1363)=0,N(F1363)=0),"",C1363*F1363)</f>
        <v/>
      </c>
      <c r="I1363" s="4"/>
      <c r="J1363" s="11" t="str">
        <f aca="false">IF(K1363="","",IF(N(C1363)&lt;=0,"Informe a quantidade",IF(IFERROR(INDEX(INVENTÁRIO!$B$2:$B$801,MATCH(K1363,INVENTÁRIO!$A$2:$A$801,0)),"")="(sem nome)","Carta fora dos decks: digite o nome na coluna I (opcional)","")))</f>
        <v/>
      </c>
      <c r="K1363" s="11" t="str">
        <f aca="false">UPPER(TRIM(SUBSTITUTE(B1363&amp;"",CHAR(160)," ")))</f>
        <v/>
      </c>
      <c r="L1363" s="11" t="str">
        <f aca="false">IF(AND(K1363&lt;&gt;"",TRIM(I1363&amp;"")&lt;&gt;""),K1363,"")</f>
        <v/>
      </c>
    </row>
    <row r="1364" customFormat="false" ht="15" hidden="false" customHeight="false" outlineLevel="0" collapsed="false">
      <c r="A1364" s="9"/>
      <c r="B1364" s="4"/>
      <c r="C1364" s="10"/>
      <c r="D1364" s="11" t="str">
        <f aca="false">IF(K1364="","",IFERROR(INDEX(DECKS!$C$2:$C$1201,MATCH(K1364,DECKS!$B$2:$B$1201,0)),TRIM(I1364&amp;"")))</f>
        <v/>
      </c>
      <c r="E1364" s="4"/>
      <c r="F1364" s="12"/>
      <c r="G1364" s="4"/>
      <c r="H1364" s="13" t="str">
        <f aca="false">IF(OR(N(C1364)=0,N(F1364)=0),"",C1364*F1364)</f>
        <v/>
      </c>
      <c r="I1364" s="4"/>
      <c r="J1364" s="11" t="str">
        <f aca="false">IF(K1364="","",IF(N(C1364)&lt;=0,"Informe a quantidade",IF(IFERROR(INDEX(INVENTÁRIO!$B$2:$B$801,MATCH(K1364,INVENTÁRIO!$A$2:$A$801,0)),"")="(sem nome)","Carta fora dos decks: digite o nome na coluna I (opcional)","")))</f>
        <v/>
      </c>
      <c r="K1364" s="11" t="str">
        <f aca="false">UPPER(TRIM(SUBSTITUTE(B1364&amp;"",CHAR(160)," ")))</f>
        <v/>
      </c>
      <c r="L1364" s="11" t="str">
        <f aca="false">IF(AND(K1364&lt;&gt;"",TRIM(I1364&amp;"")&lt;&gt;""),K1364,"")</f>
        <v/>
      </c>
    </row>
    <row r="1365" customFormat="false" ht="15" hidden="false" customHeight="false" outlineLevel="0" collapsed="false">
      <c r="A1365" s="9"/>
      <c r="B1365" s="4"/>
      <c r="C1365" s="10"/>
      <c r="D1365" s="11" t="str">
        <f aca="false">IF(K1365="","",IFERROR(INDEX(DECKS!$C$2:$C$1201,MATCH(K1365,DECKS!$B$2:$B$1201,0)),TRIM(I1365&amp;"")))</f>
        <v/>
      </c>
      <c r="E1365" s="4"/>
      <c r="F1365" s="12"/>
      <c r="G1365" s="4"/>
      <c r="H1365" s="13" t="str">
        <f aca="false">IF(OR(N(C1365)=0,N(F1365)=0),"",C1365*F1365)</f>
        <v/>
      </c>
      <c r="I1365" s="4"/>
      <c r="J1365" s="11" t="str">
        <f aca="false">IF(K1365="","",IF(N(C1365)&lt;=0,"Informe a quantidade",IF(IFERROR(INDEX(INVENTÁRIO!$B$2:$B$801,MATCH(K1365,INVENTÁRIO!$A$2:$A$801,0)),"")="(sem nome)","Carta fora dos decks: digite o nome na coluna I (opcional)","")))</f>
        <v/>
      </c>
      <c r="K1365" s="11" t="str">
        <f aca="false">UPPER(TRIM(SUBSTITUTE(B1365&amp;"",CHAR(160)," ")))</f>
        <v/>
      </c>
      <c r="L1365" s="11" t="str">
        <f aca="false">IF(AND(K1365&lt;&gt;"",TRIM(I1365&amp;"")&lt;&gt;""),K1365,"")</f>
        <v/>
      </c>
    </row>
    <row r="1366" customFormat="false" ht="15" hidden="false" customHeight="false" outlineLevel="0" collapsed="false">
      <c r="A1366" s="9"/>
      <c r="B1366" s="4"/>
      <c r="C1366" s="10"/>
      <c r="D1366" s="11" t="str">
        <f aca="false">IF(K1366="","",IFERROR(INDEX(DECKS!$C$2:$C$1201,MATCH(K1366,DECKS!$B$2:$B$1201,0)),TRIM(I1366&amp;"")))</f>
        <v/>
      </c>
      <c r="E1366" s="4"/>
      <c r="F1366" s="12"/>
      <c r="G1366" s="4"/>
      <c r="H1366" s="13" t="str">
        <f aca="false">IF(OR(N(C1366)=0,N(F1366)=0),"",C1366*F1366)</f>
        <v/>
      </c>
      <c r="I1366" s="4"/>
      <c r="J1366" s="11" t="str">
        <f aca="false">IF(K1366="","",IF(N(C1366)&lt;=0,"Informe a quantidade",IF(IFERROR(INDEX(INVENTÁRIO!$B$2:$B$801,MATCH(K1366,INVENTÁRIO!$A$2:$A$801,0)),"")="(sem nome)","Carta fora dos decks: digite o nome na coluna I (opcional)","")))</f>
        <v/>
      </c>
      <c r="K1366" s="11" t="str">
        <f aca="false">UPPER(TRIM(SUBSTITUTE(B1366&amp;"",CHAR(160)," ")))</f>
        <v/>
      </c>
      <c r="L1366" s="11" t="str">
        <f aca="false">IF(AND(K1366&lt;&gt;"",TRIM(I1366&amp;"")&lt;&gt;""),K1366,"")</f>
        <v/>
      </c>
    </row>
    <row r="1367" customFormat="false" ht="15" hidden="false" customHeight="false" outlineLevel="0" collapsed="false">
      <c r="A1367" s="9"/>
      <c r="B1367" s="4"/>
      <c r="C1367" s="10"/>
      <c r="D1367" s="11" t="str">
        <f aca="false">IF(K1367="","",IFERROR(INDEX(DECKS!$C$2:$C$1201,MATCH(K1367,DECKS!$B$2:$B$1201,0)),TRIM(I1367&amp;"")))</f>
        <v/>
      </c>
      <c r="E1367" s="4"/>
      <c r="F1367" s="12"/>
      <c r="G1367" s="4"/>
      <c r="H1367" s="13" t="str">
        <f aca="false">IF(OR(N(C1367)=0,N(F1367)=0),"",C1367*F1367)</f>
        <v/>
      </c>
      <c r="I1367" s="4"/>
      <c r="J1367" s="11" t="str">
        <f aca="false">IF(K1367="","",IF(N(C1367)&lt;=0,"Informe a quantidade",IF(IFERROR(INDEX(INVENTÁRIO!$B$2:$B$801,MATCH(K1367,INVENTÁRIO!$A$2:$A$801,0)),"")="(sem nome)","Carta fora dos decks: digite o nome na coluna I (opcional)","")))</f>
        <v/>
      </c>
      <c r="K1367" s="11" t="str">
        <f aca="false">UPPER(TRIM(SUBSTITUTE(B1367&amp;"",CHAR(160)," ")))</f>
        <v/>
      </c>
      <c r="L1367" s="11" t="str">
        <f aca="false">IF(AND(K1367&lt;&gt;"",TRIM(I1367&amp;"")&lt;&gt;""),K1367,"")</f>
        <v/>
      </c>
    </row>
    <row r="1368" customFormat="false" ht="15" hidden="false" customHeight="false" outlineLevel="0" collapsed="false">
      <c r="A1368" s="9"/>
      <c r="B1368" s="4"/>
      <c r="C1368" s="10"/>
      <c r="D1368" s="11" t="str">
        <f aca="false">IF(K1368="","",IFERROR(INDEX(DECKS!$C$2:$C$1201,MATCH(K1368,DECKS!$B$2:$B$1201,0)),TRIM(I1368&amp;"")))</f>
        <v/>
      </c>
      <c r="E1368" s="4"/>
      <c r="F1368" s="12"/>
      <c r="G1368" s="4"/>
      <c r="H1368" s="13" t="str">
        <f aca="false">IF(OR(N(C1368)=0,N(F1368)=0),"",C1368*F1368)</f>
        <v/>
      </c>
      <c r="I1368" s="4"/>
      <c r="J1368" s="11" t="str">
        <f aca="false">IF(K1368="","",IF(N(C1368)&lt;=0,"Informe a quantidade",IF(IFERROR(INDEX(INVENTÁRIO!$B$2:$B$801,MATCH(K1368,INVENTÁRIO!$A$2:$A$801,0)),"")="(sem nome)","Carta fora dos decks: digite o nome na coluna I (opcional)","")))</f>
        <v/>
      </c>
      <c r="K1368" s="11" t="str">
        <f aca="false">UPPER(TRIM(SUBSTITUTE(B1368&amp;"",CHAR(160)," ")))</f>
        <v/>
      </c>
      <c r="L1368" s="11" t="str">
        <f aca="false">IF(AND(K1368&lt;&gt;"",TRIM(I1368&amp;"")&lt;&gt;""),K1368,"")</f>
        <v/>
      </c>
    </row>
    <row r="1369" customFormat="false" ht="15" hidden="false" customHeight="false" outlineLevel="0" collapsed="false">
      <c r="A1369" s="9"/>
      <c r="B1369" s="4"/>
      <c r="C1369" s="10"/>
      <c r="D1369" s="11" t="str">
        <f aca="false">IF(K1369="","",IFERROR(INDEX(DECKS!$C$2:$C$1201,MATCH(K1369,DECKS!$B$2:$B$1201,0)),TRIM(I1369&amp;"")))</f>
        <v/>
      </c>
      <c r="E1369" s="4"/>
      <c r="F1369" s="12"/>
      <c r="G1369" s="4"/>
      <c r="H1369" s="13" t="str">
        <f aca="false">IF(OR(N(C1369)=0,N(F1369)=0),"",C1369*F1369)</f>
        <v/>
      </c>
      <c r="I1369" s="4"/>
      <c r="J1369" s="11" t="str">
        <f aca="false">IF(K1369="","",IF(N(C1369)&lt;=0,"Informe a quantidade",IF(IFERROR(INDEX(INVENTÁRIO!$B$2:$B$801,MATCH(K1369,INVENTÁRIO!$A$2:$A$801,0)),"")="(sem nome)","Carta fora dos decks: digite o nome na coluna I (opcional)","")))</f>
        <v/>
      </c>
      <c r="K1369" s="11" t="str">
        <f aca="false">UPPER(TRIM(SUBSTITUTE(B1369&amp;"",CHAR(160)," ")))</f>
        <v/>
      </c>
      <c r="L1369" s="11" t="str">
        <f aca="false">IF(AND(K1369&lt;&gt;"",TRIM(I1369&amp;"")&lt;&gt;""),K1369,"")</f>
        <v/>
      </c>
    </row>
    <row r="1370" customFormat="false" ht="15" hidden="false" customHeight="false" outlineLevel="0" collapsed="false">
      <c r="A1370" s="9"/>
      <c r="B1370" s="4"/>
      <c r="C1370" s="10"/>
      <c r="D1370" s="11" t="str">
        <f aca="false">IF(K1370="","",IFERROR(INDEX(DECKS!$C$2:$C$1201,MATCH(K1370,DECKS!$B$2:$B$1201,0)),TRIM(I1370&amp;"")))</f>
        <v/>
      </c>
      <c r="E1370" s="4"/>
      <c r="F1370" s="12"/>
      <c r="G1370" s="4"/>
      <c r="H1370" s="13" t="str">
        <f aca="false">IF(OR(N(C1370)=0,N(F1370)=0),"",C1370*F1370)</f>
        <v/>
      </c>
      <c r="I1370" s="4"/>
      <c r="J1370" s="11" t="str">
        <f aca="false">IF(K1370="","",IF(N(C1370)&lt;=0,"Informe a quantidade",IF(IFERROR(INDEX(INVENTÁRIO!$B$2:$B$801,MATCH(K1370,INVENTÁRIO!$A$2:$A$801,0)),"")="(sem nome)","Carta fora dos decks: digite o nome na coluna I (opcional)","")))</f>
        <v/>
      </c>
      <c r="K1370" s="11" t="str">
        <f aca="false">UPPER(TRIM(SUBSTITUTE(B1370&amp;"",CHAR(160)," ")))</f>
        <v/>
      </c>
      <c r="L1370" s="11" t="str">
        <f aca="false">IF(AND(K1370&lt;&gt;"",TRIM(I1370&amp;"")&lt;&gt;""),K1370,"")</f>
        <v/>
      </c>
    </row>
    <row r="1371" customFormat="false" ht="15" hidden="false" customHeight="false" outlineLevel="0" collapsed="false">
      <c r="A1371" s="9"/>
      <c r="B1371" s="4"/>
      <c r="C1371" s="10"/>
      <c r="D1371" s="11" t="str">
        <f aca="false">IF(K1371="","",IFERROR(INDEX(DECKS!$C$2:$C$1201,MATCH(K1371,DECKS!$B$2:$B$1201,0)),TRIM(I1371&amp;"")))</f>
        <v/>
      </c>
      <c r="E1371" s="4"/>
      <c r="F1371" s="12"/>
      <c r="G1371" s="4"/>
      <c r="H1371" s="13" t="str">
        <f aca="false">IF(OR(N(C1371)=0,N(F1371)=0),"",C1371*F1371)</f>
        <v/>
      </c>
      <c r="I1371" s="4"/>
      <c r="J1371" s="11" t="str">
        <f aca="false">IF(K1371="","",IF(N(C1371)&lt;=0,"Informe a quantidade",IF(IFERROR(INDEX(INVENTÁRIO!$B$2:$B$801,MATCH(K1371,INVENTÁRIO!$A$2:$A$801,0)),"")="(sem nome)","Carta fora dos decks: digite o nome na coluna I (opcional)","")))</f>
        <v/>
      </c>
      <c r="K1371" s="11" t="str">
        <f aca="false">UPPER(TRIM(SUBSTITUTE(B1371&amp;"",CHAR(160)," ")))</f>
        <v/>
      </c>
      <c r="L1371" s="11" t="str">
        <f aca="false">IF(AND(K1371&lt;&gt;"",TRIM(I1371&amp;"")&lt;&gt;""),K1371,"")</f>
        <v/>
      </c>
    </row>
    <row r="1372" customFormat="false" ht="15" hidden="false" customHeight="false" outlineLevel="0" collapsed="false">
      <c r="A1372" s="9"/>
      <c r="B1372" s="4"/>
      <c r="C1372" s="10"/>
      <c r="D1372" s="11" t="str">
        <f aca="false">IF(K1372="","",IFERROR(INDEX(DECKS!$C$2:$C$1201,MATCH(K1372,DECKS!$B$2:$B$1201,0)),TRIM(I1372&amp;"")))</f>
        <v/>
      </c>
      <c r="E1372" s="4"/>
      <c r="F1372" s="12"/>
      <c r="G1372" s="4"/>
      <c r="H1372" s="13" t="str">
        <f aca="false">IF(OR(N(C1372)=0,N(F1372)=0),"",C1372*F1372)</f>
        <v/>
      </c>
      <c r="I1372" s="4"/>
      <c r="J1372" s="11" t="str">
        <f aca="false">IF(K1372="","",IF(N(C1372)&lt;=0,"Informe a quantidade",IF(IFERROR(INDEX(INVENTÁRIO!$B$2:$B$801,MATCH(K1372,INVENTÁRIO!$A$2:$A$801,0)),"")="(sem nome)","Carta fora dos decks: digite o nome na coluna I (opcional)","")))</f>
        <v/>
      </c>
      <c r="K1372" s="11" t="str">
        <f aca="false">UPPER(TRIM(SUBSTITUTE(B1372&amp;"",CHAR(160)," ")))</f>
        <v/>
      </c>
      <c r="L1372" s="11" t="str">
        <f aca="false">IF(AND(K1372&lt;&gt;"",TRIM(I1372&amp;"")&lt;&gt;""),K1372,"")</f>
        <v/>
      </c>
    </row>
    <row r="1373" customFormat="false" ht="15" hidden="false" customHeight="false" outlineLevel="0" collapsed="false">
      <c r="A1373" s="9"/>
      <c r="B1373" s="4"/>
      <c r="C1373" s="10"/>
      <c r="D1373" s="11" t="str">
        <f aca="false">IF(K1373="","",IFERROR(INDEX(DECKS!$C$2:$C$1201,MATCH(K1373,DECKS!$B$2:$B$1201,0)),TRIM(I1373&amp;"")))</f>
        <v/>
      </c>
      <c r="E1373" s="4"/>
      <c r="F1373" s="12"/>
      <c r="G1373" s="4"/>
      <c r="H1373" s="13" t="str">
        <f aca="false">IF(OR(N(C1373)=0,N(F1373)=0),"",C1373*F1373)</f>
        <v/>
      </c>
      <c r="I1373" s="4"/>
      <c r="J1373" s="11" t="str">
        <f aca="false">IF(K1373="","",IF(N(C1373)&lt;=0,"Informe a quantidade",IF(IFERROR(INDEX(INVENTÁRIO!$B$2:$B$801,MATCH(K1373,INVENTÁRIO!$A$2:$A$801,0)),"")="(sem nome)","Carta fora dos decks: digite o nome na coluna I (opcional)","")))</f>
        <v/>
      </c>
      <c r="K1373" s="11" t="str">
        <f aca="false">UPPER(TRIM(SUBSTITUTE(B1373&amp;"",CHAR(160)," ")))</f>
        <v/>
      </c>
      <c r="L1373" s="11" t="str">
        <f aca="false">IF(AND(K1373&lt;&gt;"",TRIM(I1373&amp;"")&lt;&gt;""),K1373,"")</f>
        <v/>
      </c>
    </row>
    <row r="1374" customFormat="false" ht="15" hidden="false" customHeight="false" outlineLevel="0" collapsed="false">
      <c r="A1374" s="9"/>
      <c r="B1374" s="4"/>
      <c r="C1374" s="10"/>
      <c r="D1374" s="11" t="str">
        <f aca="false">IF(K1374="","",IFERROR(INDEX(DECKS!$C$2:$C$1201,MATCH(K1374,DECKS!$B$2:$B$1201,0)),TRIM(I1374&amp;"")))</f>
        <v/>
      </c>
      <c r="E1374" s="4"/>
      <c r="F1374" s="12"/>
      <c r="G1374" s="4"/>
      <c r="H1374" s="13" t="str">
        <f aca="false">IF(OR(N(C1374)=0,N(F1374)=0),"",C1374*F1374)</f>
        <v/>
      </c>
      <c r="I1374" s="4"/>
      <c r="J1374" s="11" t="str">
        <f aca="false">IF(K1374="","",IF(N(C1374)&lt;=0,"Informe a quantidade",IF(IFERROR(INDEX(INVENTÁRIO!$B$2:$B$801,MATCH(K1374,INVENTÁRIO!$A$2:$A$801,0)),"")="(sem nome)","Carta fora dos decks: digite o nome na coluna I (opcional)","")))</f>
        <v/>
      </c>
      <c r="K1374" s="11" t="str">
        <f aca="false">UPPER(TRIM(SUBSTITUTE(B1374&amp;"",CHAR(160)," ")))</f>
        <v/>
      </c>
      <c r="L1374" s="11" t="str">
        <f aca="false">IF(AND(K1374&lt;&gt;"",TRIM(I1374&amp;"")&lt;&gt;""),K1374,"")</f>
        <v/>
      </c>
    </row>
    <row r="1375" customFormat="false" ht="15" hidden="false" customHeight="false" outlineLevel="0" collapsed="false">
      <c r="A1375" s="9"/>
      <c r="B1375" s="4"/>
      <c r="C1375" s="10"/>
      <c r="D1375" s="11" t="str">
        <f aca="false">IF(K1375="","",IFERROR(INDEX(DECKS!$C$2:$C$1201,MATCH(K1375,DECKS!$B$2:$B$1201,0)),TRIM(I1375&amp;"")))</f>
        <v/>
      </c>
      <c r="E1375" s="4"/>
      <c r="F1375" s="12"/>
      <c r="G1375" s="4"/>
      <c r="H1375" s="13" t="str">
        <f aca="false">IF(OR(N(C1375)=0,N(F1375)=0),"",C1375*F1375)</f>
        <v/>
      </c>
      <c r="I1375" s="4"/>
      <c r="J1375" s="11" t="str">
        <f aca="false">IF(K1375="","",IF(N(C1375)&lt;=0,"Informe a quantidade",IF(IFERROR(INDEX(INVENTÁRIO!$B$2:$B$801,MATCH(K1375,INVENTÁRIO!$A$2:$A$801,0)),"")="(sem nome)","Carta fora dos decks: digite o nome na coluna I (opcional)","")))</f>
        <v/>
      </c>
      <c r="K1375" s="11" t="str">
        <f aca="false">UPPER(TRIM(SUBSTITUTE(B1375&amp;"",CHAR(160)," ")))</f>
        <v/>
      </c>
      <c r="L1375" s="11" t="str">
        <f aca="false">IF(AND(K1375&lt;&gt;"",TRIM(I1375&amp;"")&lt;&gt;""),K1375,"")</f>
        <v/>
      </c>
    </row>
    <row r="1376" customFormat="false" ht="15" hidden="false" customHeight="false" outlineLevel="0" collapsed="false">
      <c r="A1376" s="9"/>
      <c r="B1376" s="4"/>
      <c r="C1376" s="10"/>
      <c r="D1376" s="11" t="str">
        <f aca="false">IF(K1376="","",IFERROR(INDEX(DECKS!$C$2:$C$1201,MATCH(K1376,DECKS!$B$2:$B$1201,0)),TRIM(I1376&amp;"")))</f>
        <v/>
      </c>
      <c r="E1376" s="4"/>
      <c r="F1376" s="12"/>
      <c r="G1376" s="4"/>
      <c r="H1376" s="13" t="str">
        <f aca="false">IF(OR(N(C1376)=0,N(F1376)=0),"",C1376*F1376)</f>
        <v/>
      </c>
      <c r="I1376" s="4"/>
      <c r="J1376" s="11" t="str">
        <f aca="false">IF(K1376="","",IF(N(C1376)&lt;=0,"Informe a quantidade",IF(IFERROR(INDEX(INVENTÁRIO!$B$2:$B$801,MATCH(K1376,INVENTÁRIO!$A$2:$A$801,0)),"")="(sem nome)","Carta fora dos decks: digite o nome na coluna I (opcional)","")))</f>
        <v/>
      </c>
      <c r="K1376" s="11" t="str">
        <f aca="false">UPPER(TRIM(SUBSTITUTE(B1376&amp;"",CHAR(160)," ")))</f>
        <v/>
      </c>
      <c r="L1376" s="11" t="str">
        <f aca="false">IF(AND(K1376&lt;&gt;"",TRIM(I1376&amp;"")&lt;&gt;""),K1376,"")</f>
        <v/>
      </c>
    </row>
    <row r="1377" customFormat="false" ht="15" hidden="false" customHeight="false" outlineLevel="0" collapsed="false">
      <c r="A1377" s="9"/>
      <c r="B1377" s="4"/>
      <c r="C1377" s="10"/>
      <c r="D1377" s="11" t="str">
        <f aca="false">IF(K1377="","",IFERROR(INDEX(DECKS!$C$2:$C$1201,MATCH(K1377,DECKS!$B$2:$B$1201,0)),TRIM(I1377&amp;"")))</f>
        <v/>
      </c>
      <c r="E1377" s="4"/>
      <c r="F1377" s="12"/>
      <c r="G1377" s="4"/>
      <c r="H1377" s="13" t="str">
        <f aca="false">IF(OR(N(C1377)=0,N(F1377)=0),"",C1377*F1377)</f>
        <v/>
      </c>
      <c r="I1377" s="4"/>
      <c r="J1377" s="11" t="str">
        <f aca="false">IF(K1377="","",IF(N(C1377)&lt;=0,"Informe a quantidade",IF(IFERROR(INDEX(INVENTÁRIO!$B$2:$B$801,MATCH(K1377,INVENTÁRIO!$A$2:$A$801,0)),"")="(sem nome)","Carta fora dos decks: digite o nome na coluna I (opcional)","")))</f>
        <v/>
      </c>
      <c r="K1377" s="11" t="str">
        <f aca="false">UPPER(TRIM(SUBSTITUTE(B1377&amp;"",CHAR(160)," ")))</f>
        <v/>
      </c>
      <c r="L1377" s="11" t="str">
        <f aca="false">IF(AND(K1377&lt;&gt;"",TRIM(I1377&amp;"")&lt;&gt;""),K1377,"")</f>
        <v/>
      </c>
    </row>
    <row r="1378" customFormat="false" ht="15" hidden="false" customHeight="false" outlineLevel="0" collapsed="false">
      <c r="A1378" s="9"/>
      <c r="B1378" s="4"/>
      <c r="C1378" s="10"/>
      <c r="D1378" s="11" t="str">
        <f aca="false">IF(K1378="","",IFERROR(INDEX(DECKS!$C$2:$C$1201,MATCH(K1378,DECKS!$B$2:$B$1201,0)),TRIM(I1378&amp;"")))</f>
        <v/>
      </c>
      <c r="E1378" s="4"/>
      <c r="F1378" s="12"/>
      <c r="G1378" s="4"/>
      <c r="H1378" s="13" t="str">
        <f aca="false">IF(OR(N(C1378)=0,N(F1378)=0),"",C1378*F1378)</f>
        <v/>
      </c>
      <c r="I1378" s="4"/>
      <c r="J1378" s="11" t="str">
        <f aca="false">IF(K1378="","",IF(N(C1378)&lt;=0,"Informe a quantidade",IF(IFERROR(INDEX(INVENTÁRIO!$B$2:$B$801,MATCH(K1378,INVENTÁRIO!$A$2:$A$801,0)),"")="(sem nome)","Carta fora dos decks: digite o nome na coluna I (opcional)","")))</f>
        <v/>
      </c>
      <c r="K1378" s="11" t="str">
        <f aca="false">UPPER(TRIM(SUBSTITUTE(B1378&amp;"",CHAR(160)," ")))</f>
        <v/>
      </c>
      <c r="L1378" s="11" t="str">
        <f aca="false">IF(AND(K1378&lt;&gt;"",TRIM(I1378&amp;"")&lt;&gt;""),K1378,"")</f>
        <v/>
      </c>
    </row>
    <row r="1379" customFormat="false" ht="15" hidden="false" customHeight="false" outlineLevel="0" collapsed="false">
      <c r="A1379" s="9"/>
      <c r="B1379" s="4"/>
      <c r="C1379" s="10"/>
      <c r="D1379" s="11" t="str">
        <f aca="false">IF(K1379="","",IFERROR(INDEX(DECKS!$C$2:$C$1201,MATCH(K1379,DECKS!$B$2:$B$1201,0)),TRIM(I1379&amp;"")))</f>
        <v/>
      </c>
      <c r="E1379" s="4"/>
      <c r="F1379" s="12"/>
      <c r="G1379" s="4"/>
      <c r="H1379" s="13" t="str">
        <f aca="false">IF(OR(N(C1379)=0,N(F1379)=0),"",C1379*F1379)</f>
        <v/>
      </c>
      <c r="I1379" s="4"/>
      <c r="J1379" s="11" t="str">
        <f aca="false">IF(K1379="","",IF(N(C1379)&lt;=0,"Informe a quantidade",IF(IFERROR(INDEX(INVENTÁRIO!$B$2:$B$801,MATCH(K1379,INVENTÁRIO!$A$2:$A$801,0)),"")="(sem nome)","Carta fora dos decks: digite o nome na coluna I (opcional)","")))</f>
        <v/>
      </c>
      <c r="K1379" s="11" t="str">
        <f aca="false">UPPER(TRIM(SUBSTITUTE(B1379&amp;"",CHAR(160)," ")))</f>
        <v/>
      </c>
      <c r="L1379" s="11" t="str">
        <f aca="false">IF(AND(K1379&lt;&gt;"",TRIM(I1379&amp;"")&lt;&gt;""),K1379,"")</f>
        <v/>
      </c>
    </row>
    <row r="1380" customFormat="false" ht="15" hidden="false" customHeight="false" outlineLevel="0" collapsed="false">
      <c r="A1380" s="9"/>
      <c r="B1380" s="4"/>
      <c r="C1380" s="10"/>
      <c r="D1380" s="11" t="str">
        <f aca="false">IF(K1380="","",IFERROR(INDEX(DECKS!$C$2:$C$1201,MATCH(K1380,DECKS!$B$2:$B$1201,0)),TRIM(I1380&amp;"")))</f>
        <v/>
      </c>
      <c r="E1380" s="4"/>
      <c r="F1380" s="12"/>
      <c r="G1380" s="4"/>
      <c r="H1380" s="13" t="str">
        <f aca="false">IF(OR(N(C1380)=0,N(F1380)=0),"",C1380*F1380)</f>
        <v/>
      </c>
      <c r="I1380" s="4"/>
      <c r="J1380" s="11" t="str">
        <f aca="false">IF(K1380="","",IF(N(C1380)&lt;=0,"Informe a quantidade",IF(IFERROR(INDEX(INVENTÁRIO!$B$2:$B$801,MATCH(K1380,INVENTÁRIO!$A$2:$A$801,0)),"")="(sem nome)","Carta fora dos decks: digite o nome na coluna I (opcional)","")))</f>
        <v/>
      </c>
      <c r="K1380" s="11" t="str">
        <f aca="false">UPPER(TRIM(SUBSTITUTE(B1380&amp;"",CHAR(160)," ")))</f>
        <v/>
      </c>
      <c r="L1380" s="11" t="str">
        <f aca="false">IF(AND(K1380&lt;&gt;"",TRIM(I1380&amp;"")&lt;&gt;""),K1380,"")</f>
        <v/>
      </c>
    </row>
    <row r="1381" customFormat="false" ht="15" hidden="false" customHeight="false" outlineLevel="0" collapsed="false">
      <c r="A1381" s="9"/>
      <c r="B1381" s="4"/>
      <c r="C1381" s="10"/>
      <c r="D1381" s="11" t="str">
        <f aca="false">IF(K1381="","",IFERROR(INDEX(DECKS!$C$2:$C$1201,MATCH(K1381,DECKS!$B$2:$B$1201,0)),TRIM(I1381&amp;"")))</f>
        <v/>
      </c>
      <c r="E1381" s="4"/>
      <c r="F1381" s="12"/>
      <c r="G1381" s="4"/>
      <c r="H1381" s="13" t="str">
        <f aca="false">IF(OR(N(C1381)=0,N(F1381)=0),"",C1381*F1381)</f>
        <v/>
      </c>
      <c r="I1381" s="4"/>
      <c r="J1381" s="11" t="str">
        <f aca="false">IF(K1381="","",IF(N(C1381)&lt;=0,"Informe a quantidade",IF(IFERROR(INDEX(INVENTÁRIO!$B$2:$B$801,MATCH(K1381,INVENTÁRIO!$A$2:$A$801,0)),"")="(sem nome)","Carta fora dos decks: digite o nome na coluna I (opcional)","")))</f>
        <v/>
      </c>
      <c r="K1381" s="11" t="str">
        <f aca="false">UPPER(TRIM(SUBSTITUTE(B1381&amp;"",CHAR(160)," ")))</f>
        <v/>
      </c>
      <c r="L1381" s="11" t="str">
        <f aca="false">IF(AND(K1381&lt;&gt;"",TRIM(I1381&amp;"")&lt;&gt;""),K1381,"")</f>
        <v/>
      </c>
    </row>
    <row r="1382" customFormat="false" ht="15" hidden="false" customHeight="false" outlineLevel="0" collapsed="false">
      <c r="A1382" s="9"/>
      <c r="B1382" s="4"/>
      <c r="C1382" s="10"/>
      <c r="D1382" s="11" t="str">
        <f aca="false">IF(K1382="","",IFERROR(INDEX(DECKS!$C$2:$C$1201,MATCH(K1382,DECKS!$B$2:$B$1201,0)),TRIM(I1382&amp;"")))</f>
        <v/>
      </c>
      <c r="E1382" s="4"/>
      <c r="F1382" s="12"/>
      <c r="G1382" s="4"/>
      <c r="H1382" s="13" t="str">
        <f aca="false">IF(OR(N(C1382)=0,N(F1382)=0),"",C1382*F1382)</f>
        <v/>
      </c>
      <c r="I1382" s="4"/>
      <c r="J1382" s="11" t="str">
        <f aca="false">IF(K1382="","",IF(N(C1382)&lt;=0,"Informe a quantidade",IF(IFERROR(INDEX(INVENTÁRIO!$B$2:$B$801,MATCH(K1382,INVENTÁRIO!$A$2:$A$801,0)),"")="(sem nome)","Carta fora dos decks: digite o nome na coluna I (opcional)","")))</f>
        <v/>
      </c>
      <c r="K1382" s="11" t="str">
        <f aca="false">UPPER(TRIM(SUBSTITUTE(B1382&amp;"",CHAR(160)," ")))</f>
        <v/>
      </c>
      <c r="L1382" s="11" t="str">
        <f aca="false">IF(AND(K1382&lt;&gt;"",TRIM(I1382&amp;"")&lt;&gt;""),K1382,"")</f>
        <v/>
      </c>
    </row>
    <row r="1383" customFormat="false" ht="15" hidden="false" customHeight="false" outlineLevel="0" collapsed="false">
      <c r="A1383" s="9"/>
      <c r="B1383" s="4"/>
      <c r="C1383" s="10"/>
      <c r="D1383" s="11" t="str">
        <f aca="false">IF(K1383="","",IFERROR(INDEX(DECKS!$C$2:$C$1201,MATCH(K1383,DECKS!$B$2:$B$1201,0)),TRIM(I1383&amp;"")))</f>
        <v/>
      </c>
      <c r="E1383" s="4"/>
      <c r="F1383" s="12"/>
      <c r="G1383" s="4"/>
      <c r="H1383" s="13" t="str">
        <f aca="false">IF(OR(N(C1383)=0,N(F1383)=0),"",C1383*F1383)</f>
        <v/>
      </c>
      <c r="I1383" s="4"/>
      <c r="J1383" s="11" t="str">
        <f aca="false">IF(K1383="","",IF(N(C1383)&lt;=0,"Informe a quantidade",IF(IFERROR(INDEX(INVENTÁRIO!$B$2:$B$801,MATCH(K1383,INVENTÁRIO!$A$2:$A$801,0)),"")="(sem nome)","Carta fora dos decks: digite o nome na coluna I (opcional)","")))</f>
        <v/>
      </c>
      <c r="K1383" s="11" t="str">
        <f aca="false">UPPER(TRIM(SUBSTITUTE(B1383&amp;"",CHAR(160)," ")))</f>
        <v/>
      </c>
      <c r="L1383" s="11" t="str">
        <f aca="false">IF(AND(K1383&lt;&gt;"",TRIM(I1383&amp;"")&lt;&gt;""),K1383,"")</f>
        <v/>
      </c>
    </row>
    <row r="1384" customFormat="false" ht="15" hidden="false" customHeight="false" outlineLevel="0" collapsed="false">
      <c r="A1384" s="9"/>
      <c r="B1384" s="4"/>
      <c r="C1384" s="10"/>
      <c r="D1384" s="11" t="str">
        <f aca="false">IF(K1384="","",IFERROR(INDEX(DECKS!$C$2:$C$1201,MATCH(K1384,DECKS!$B$2:$B$1201,0)),TRIM(I1384&amp;"")))</f>
        <v/>
      </c>
      <c r="E1384" s="4"/>
      <c r="F1384" s="12"/>
      <c r="G1384" s="4"/>
      <c r="H1384" s="13" t="str">
        <f aca="false">IF(OR(N(C1384)=0,N(F1384)=0),"",C1384*F1384)</f>
        <v/>
      </c>
      <c r="I1384" s="4"/>
      <c r="J1384" s="11" t="str">
        <f aca="false">IF(K1384="","",IF(N(C1384)&lt;=0,"Informe a quantidade",IF(IFERROR(INDEX(INVENTÁRIO!$B$2:$B$801,MATCH(K1384,INVENTÁRIO!$A$2:$A$801,0)),"")="(sem nome)","Carta fora dos decks: digite o nome na coluna I (opcional)","")))</f>
        <v/>
      </c>
      <c r="K1384" s="11" t="str">
        <f aca="false">UPPER(TRIM(SUBSTITUTE(B1384&amp;"",CHAR(160)," ")))</f>
        <v/>
      </c>
      <c r="L1384" s="11" t="str">
        <f aca="false">IF(AND(K1384&lt;&gt;"",TRIM(I1384&amp;"")&lt;&gt;""),K1384,"")</f>
        <v/>
      </c>
    </row>
    <row r="1385" customFormat="false" ht="15" hidden="false" customHeight="false" outlineLevel="0" collapsed="false">
      <c r="A1385" s="9"/>
      <c r="B1385" s="4"/>
      <c r="C1385" s="10"/>
      <c r="D1385" s="11" t="str">
        <f aca="false">IF(K1385="","",IFERROR(INDEX(DECKS!$C$2:$C$1201,MATCH(K1385,DECKS!$B$2:$B$1201,0)),TRIM(I1385&amp;"")))</f>
        <v/>
      </c>
      <c r="E1385" s="4"/>
      <c r="F1385" s="12"/>
      <c r="G1385" s="4"/>
      <c r="H1385" s="13" t="str">
        <f aca="false">IF(OR(N(C1385)=0,N(F1385)=0),"",C1385*F1385)</f>
        <v/>
      </c>
      <c r="I1385" s="4"/>
      <c r="J1385" s="11" t="str">
        <f aca="false">IF(K1385="","",IF(N(C1385)&lt;=0,"Informe a quantidade",IF(IFERROR(INDEX(INVENTÁRIO!$B$2:$B$801,MATCH(K1385,INVENTÁRIO!$A$2:$A$801,0)),"")="(sem nome)","Carta fora dos decks: digite o nome na coluna I (opcional)","")))</f>
        <v/>
      </c>
      <c r="K1385" s="11" t="str">
        <f aca="false">UPPER(TRIM(SUBSTITUTE(B1385&amp;"",CHAR(160)," ")))</f>
        <v/>
      </c>
      <c r="L1385" s="11" t="str">
        <f aca="false">IF(AND(K1385&lt;&gt;"",TRIM(I1385&amp;"")&lt;&gt;""),K1385,"")</f>
        <v/>
      </c>
    </row>
    <row r="1386" customFormat="false" ht="15" hidden="false" customHeight="false" outlineLevel="0" collapsed="false">
      <c r="A1386" s="9"/>
      <c r="B1386" s="4"/>
      <c r="C1386" s="10"/>
      <c r="D1386" s="11" t="str">
        <f aca="false">IF(K1386="","",IFERROR(INDEX(DECKS!$C$2:$C$1201,MATCH(K1386,DECKS!$B$2:$B$1201,0)),TRIM(I1386&amp;"")))</f>
        <v/>
      </c>
      <c r="E1386" s="4"/>
      <c r="F1386" s="12"/>
      <c r="G1386" s="4"/>
      <c r="H1386" s="13" t="str">
        <f aca="false">IF(OR(N(C1386)=0,N(F1386)=0),"",C1386*F1386)</f>
        <v/>
      </c>
      <c r="I1386" s="4"/>
      <c r="J1386" s="11" t="str">
        <f aca="false">IF(K1386="","",IF(N(C1386)&lt;=0,"Informe a quantidade",IF(IFERROR(INDEX(INVENTÁRIO!$B$2:$B$801,MATCH(K1386,INVENTÁRIO!$A$2:$A$801,0)),"")="(sem nome)","Carta fora dos decks: digite o nome na coluna I (opcional)","")))</f>
        <v/>
      </c>
      <c r="K1386" s="11" t="str">
        <f aca="false">UPPER(TRIM(SUBSTITUTE(B1386&amp;"",CHAR(160)," ")))</f>
        <v/>
      </c>
      <c r="L1386" s="11" t="str">
        <f aca="false">IF(AND(K1386&lt;&gt;"",TRIM(I1386&amp;"")&lt;&gt;""),K1386,"")</f>
        <v/>
      </c>
    </row>
    <row r="1387" customFormat="false" ht="15" hidden="false" customHeight="false" outlineLevel="0" collapsed="false">
      <c r="A1387" s="9"/>
      <c r="B1387" s="4"/>
      <c r="C1387" s="10"/>
      <c r="D1387" s="11" t="str">
        <f aca="false">IF(K1387="","",IFERROR(INDEX(DECKS!$C$2:$C$1201,MATCH(K1387,DECKS!$B$2:$B$1201,0)),TRIM(I1387&amp;"")))</f>
        <v/>
      </c>
      <c r="E1387" s="4"/>
      <c r="F1387" s="12"/>
      <c r="G1387" s="4"/>
      <c r="H1387" s="13" t="str">
        <f aca="false">IF(OR(N(C1387)=0,N(F1387)=0),"",C1387*F1387)</f>
        <v/>
      </c>
      <c r="I1387" s="4"/>
      <c r="J1387" s="11" t="str">
        <f aca="false">IF(K1387="","",IF(N(C1387)&lt;=0,"Informe a quantidade",IF(IFERROR(INDEX(INVENTÁRIO!$B$2:$B$801,MATCH(K1387,INVENTÁRIO!$A$2:$A$801,0)),"")="(sem nome)","Carta fora dos decks: digite o nome na coluna I (opcional)","")))</f>
        <v/>
      </c>
      <c r="K1387" s="11" t="str">
        <f aca="false">UPPER(TRIM(SUBSTITUTE(B1387&amp;"",CHAR(160)," ")))</f>
        <v/>
      </c>
      <c r="L1387" s="11" t="str">
        <f aca="false">IF(AND(K1387&lt;&gt;"",TRIM(I1387&amp;"")&lt;&gt;""),K1387,"")</f>
        <v/>
      </c>
    </row>
    <row r="1388" customFormat="false" ht="15" hidden="false" customHeight="false" outlineLevel="0" collapsed="false">
      <c r="A1388" s="9"/>
      <c r="B1388" s="4"/>
      <c r="C1388" s="10"/>
      <c r="D1388" s="11" t="str">
        <f aca="false">IF(K1388="","",IFERROR(INDEX(DECKS!$C$2:$C$1201,MATCH(K1388,DECKS!$B$2:$B$1201,0)),TRIM(I1388&amp;"")))</f>
        <v/>
      </c>
      <c r="E1388" s="4"/>
      <c r="F1388" s="12"/>
      <c r="G1388" s="4"/>
      <c r="H1388" s="13" t="str">
        <f aca="false">IF(OR(N(C1388)=0,N(F1388)=0),"",C1388*F1388)</f>
        <v/>
      </c>
      <c r="I1388" s="4"/>
      <c r="J1388" s="11" t="str">
        <f aca="false">IF(K1388="","",IF(N(C1388)&lt;=0,"Informe a quantidade",IF(IFERROR(INDEX(INVENTÁRIO!$B$2:$B$801,MATCH(K1388,INVENTÁRIO!$A$2:$A$801,0)),"")="(sem nome)","Carta fora dos decks: digite o nome na coluna I (opcional)","")))</f>
        <v/>
      </c>
      <c r="K1388" s="11" t="str">
        <f aca="false">UPPER(TRIM(SUBSTITUTE(B1388&amp;"",CHAR(160)," ")))</f>
        <v/>
      </c>
      <c r="L1388" s="11" t="str">
        <f aca="false">IF(AND(K1388&lt;&gt;"",TRIM(I1388&amp;"")&lt;&gt;""),K1388,"")</f>
        <v/>
      </c>
    </row>
    <row r="1389" customFormat="false" ht="15" hidden="false" customHeight="false" outlineLevel="0" collapsed="false">
      <c r="A1389" s="9"/>
      <c r="B1389" s="4"/>
      <c r="C1389" s="10"/>
      <c r="D1389" s="11" t="str">
        <f aca="false">IF(K1389="","",IFERROR(INDEX(DECKS!$C$2:$C$1201,MATCH(K1389,DECKS!$B$2:$B$1201,0)),TRIM(I1389&amp;"")))</f>
        <v/>
      </c>
      <c r="E1389" s="4"/>
      <c r="F1389" s="12"/>
      <c r="G1389" s="4"/>
      <c r="H1389" s="13" t="str">
        <f aca="false">IF(OR(N(C1389)=0,N(F1389)=0),"",C1389*F1389)</f>
        <v/>
      </c>
      <c r="I1389" s="4"/>
      <c r="J1389" s="11" t="str">
        <f aca="false">IF(K1389="","",IF(N(C1389)&lt;=0,"Informe a quantidade",IF(IFERROR(INDEX(INVENTÁRIO!$B$2:$B$801,MATCH(K1389,INVENTÁRIO!$A$2:$A$801,0)),"")="(sem nome)","Carta fora dos decks: digite o nome na coluna I (opcional)","")))</f>
        <v/>
      </c>
      <c r="K1389" s="11" t="str">
        <f aca="false">UPPER(TRIM(SUBSTITUTE(B1389&amp;"",CHAR(160)," ")))</f>
        <v/>
      </c>
      <c r="L1389" s="11" t="str">
        <f aca="false">IF(AND(K1389&lt;&gt;"",TRIM(I1389&amp;"")&lt;&gt;""),K1389,"")</f>
        <v/>
      </c>
    </row>
    <row r="1390" customFormat="false" ht="15" hidden="false" customHeight="false" outlineLevel="0" collapsed="false">
      <c r="A1390" s="9"/>
      <c r="B1390" s="4"/>
      <c r="C1390" s="10"/>
      <c r="D1390" s="11" t="str">
        <f aca="false">IF(K1390="","",IFERROR(INDEX(DECKS!$C$2:$C$1201,MATCH(K1390,DECKS!$B$2:$B$1201,0)),TRIM(I1390&amp;"")))</f>
        <v/>
      </c>
      <c r="E1390" s="4"/>
      <c r="F1390" s="12"/>
      <c r="G1390" s="4"/>
      <c r="H1390" s="13" t="str">
        <f aca="false">IF(OR(N(C1390)=0,N(F1390)=0),"",C1390*F1390)</f>
        <v/>
      </c>
      <c r="I1390" s="4"/>
      <c r="J1390" s="11" t="str">
        <f aca="false">IF(K1390="","",IF(N(C1390)&lt;=0,"Informe a quantidade",IF(IFERROR(INDEX(INVENTÁRIO!$B$2:$B$801,MATCH(K1390,INVENTÁRIO!$A$2:$A$801,0)),"")="(sem nome)","Carta fora dos decks: digite o nome na coluna I (opcional)","")))</f>
        <v/>
      </c>
      <c r="K1390" s="11" t="str">
        <f aca="false">UPPER(TRIM(SUBSTITUTE(B1390&amp;"",CHAR(160)," ")))</f>
        <v/>
      </c>
      <c r="L1390" s="11" t="str">
        <f aca="false">IF(AND(K1390&lt;&gt;"",TRIM(I1390&amp;"")&lt;&gt;""),K1390,"")</f>
        <v/>
      </c>
    </row>
    <row r="1391" customFormat="false" ht="15" hidden="false" customHeight="false" outlineLevel="0" collapsed="false">
      <c r="A1391" s="9"/>
      <c r="B1391" s="4"/>
      <c r="C1391" s="10"/>
      <c r="D1391" s="11" t="str">
        <f aca="false">IF(K1391="","",IFERROR(INDEX(DECKS!$C$2:$C$1201,MATCH(K1391,DECKS!$B$2:$B$1201,0)),TRIM(I1391&amp;"")))</f>
        <v/>
      </c>
      <c r="E1391" s="4"/>
      <c r="F1391" s="12"/>
      <c r="G1391" s="4"/>
      <c r="H1391" s="13" t="str">
        <f aca="false">IF(OR(N(C1391)=0,N(F1391)=0),"",C1391*F1391)</f>
        <v/>
      </c>
      <c r="I1391" s="4"/>
      <c r="J1391" s="11" t="str">
        <f aca="false">IF(K1391="","",IF(N(C1391)&lt;=0,"Informe a quantidade",IF(IFERROR(INDEX(INVENTÁRIO!$B$2:$B$801,MATCH(K1391,INVENTÁRIO!$A$2:$A$801,0)),"")="(sem nome)","Carta fora dos decks: digite o nome na coluna I (opcional)","")))</f>
        <v/>
      </c>
      <c r="K1391" s="11" t="str">
        <f aca="false">UPPER(TRIM(SUBSTITUTE(B1391&amp;"",CHAR(160)," ")))</f>
        <v/>
      </c>
      <c r="L1391" s="11" t="str">
        <f aca="false">IF(AND(K1391&lt;&gt;"",TRIM(I1391&amp;"")&lt;&gt;""),K1391,"")</f>
        <v/>
      </c>
    </row>
    <row r="1392" customFormat="false" ht="15" hidden="false" customHeight="false" outlineLevel="0" collapsed="false">
      <c r="A1392" s="9"/>
      <c r="B1392" s="4"/>
      <c r="C1392" s="10"/>
      <c r="D1392" s="11" t="str">
        <f aca="false">IF(K1392="","",IFERROR(INDEX(DECKS!$C$2:$C$1201,MATCH(K1392,DECKS!$B$2:$B$1201,0)),TRIM(I1392&amp;"")))</f>
        <v/>
      </c>
      <c r="E1392" s="4"/>
      <c r="F1392" s="12"/>
      <c r="G1392" s="4"/>
      <c r="H1392" s="13" t="str">
        <f aca="false">IF(OR(N(C1392)=0,N(F1392)=0),"",C1392*F1392)</f>
        <v/>
      </c>
      <c r="I1392" s="4"/>
      <c r="J1392" s="11" t="str">
        <f aca="false">IF(K1392="","",IF(N(C1392)&lt;=0,"Informe a quantidade",IF(IFERROR(INDEX(INVENTÁRIO!$B$2:$B$801,MATCH(K1392,INVENTÁRIO!$A$2:$A$801,0)),"")="(sem nome)","Carta fora dos decks: digite o nome na coluna I (opcional)","")))</f>
        <v/>
      </c>
      <c r="K1392" s="11" t="str">
        <f aca="false">UPPER(TRIM(SUBSTITUTE(B1392&amp;"",CHAR(160)," ")))</f>
        <v/>
      </c>
      <c r="L1392" s="11" t="str">
        <f aca="false">IF(AND(K1392&lt;&gt;"",TRIM(I1392&amp;"")&lt;&gt;""),K1392,"")</f>
        <v/>
      </c>
    </row>
    <row r="1393" customFormat="false" ht="15" hidden="false" customHeight="false" outlineLevel="0" collapsed="false">
      <c r="A1393" s="9"/>
      <c r="B1393" s="4"/>
      <c r="C1393" s="10"/>
      <c r="D1393" s="11" t="str">
        <f aca="false">IF(K1393="","",IFERROR(INDEX(DECKS!$C$2:$C$1201,MATCH(K1393,DECKS!$B$2:$B$1201,0)),TRIM(I1393&amp;"")))</f>
        <v/>
      </c>
      <c r="E1393" s="4"/>
      <c r="F1393" s="12"/>
      <c r="G1393" s="4"/>
      <c r="H1393" s="13" t="str">
        <f aca="false">IF(OR(N(C1393)=0,N(F1393)=0),"",C1393*F1393)</f>
        <v/>
      </c>
      <c r="I1393" s="4"/>
      <c r="J1393" s="11" t="str">
        <f aca="false">IF(K1393="","",IF(N(C1393)&lt;=0,"Informe a quantidade",IF(IFERROR(INDEX(INVENTÁRIO!$B$2:$B$801,MATCH(K1393,INVENTÁRIO!$A$2:$A$801,0)),"")="(sem nome)","Carta fora dos decks: digite o nome na coluna I (opcional)","")))</f>
        <v/>
      </c>
      <c r="K1393" s="11" t="str">
        <f aca="false">UPPER(TRIM(SUBSTITUTE(B1393&amp;"",CHAR(160)," ")))</f>
        <v/>
      </c>
      <c r="L1393" s="11" t="str">
        <f aca="false">IF(AND(K1393&lt;&gt;"",TRIM(I1393&amp;"")&lt;&gt;""),K1393,"")</f>
        <v/>
      </c>
    </row>
    <row r="1394" customFormat="false" ht="15" hidden="false" customHeight="false" outlineLevel="0" collapsed="false">
      <c r="A1394" s="9"/>
      <c r="B1394" s="4"/>
      <c r="C1394" s="10"/>
      <c r="D1394" s="11" t="str">
        <f aca="false">IF(K1394="","",IFERROR(INDEX(DECKS!$C$2:$C$1201,MATCH(K1394,DECKS!$B$2:$B$1201,0)),TRIM(I1394&amp;"")))</f>
        <v/>
      </c>
      <c r="E1394" s="4"/>
      <c r="F1394" s="12"/>
      <c r="G1394" s="4"/>
      <c r="H1394" s="13" t="str">
        <f aca="false">IF(OR(N(C1394)=0,N(F1394)=0),"",C1394*F1394)</f>
        <v/>
      </c>
      <c r="I1394" s="4"/>
      <c r="J1394" s="11" t="str">
        <f aca="false">IF(K1394="","",IF(N(C1394)&lt;=0,"Informe a quantidade",IF(IFERROR(INDEX(INVENTÁRIO!$B$2:$B$801,MATCH(K1394,INVENTÁRIO!$A$2:$A$801,0)),"")="(sem nome)","Carta fora dos decks: digite o nome na coluna I (opcional)","")))</f>
        <v/>
      </c>
      <c r="K1394" s="11" t="str">
        <f aca="false">UPPER(TRIM(SUBSTITUTE(B1394&amp;"",CHAR(160)," ")))</f>
        <v/>
      </c>
      <c r="L1394" s="11" t="str">
        <f aca="false">IF(AND(K1394&lt;&gt;"",TRIM(I1394&amp;"")&lt;&gt;""),K1394,"")</f>
        <v/>
      </c>
    </row>
    <row r="1395" customFormat="false" ht="15" hidden="false" customHeight="false" outlineLevel="0" collapsed="false">
      <c r="A1395" s="9"/>
      <c r="B1395" s="4"/>
      <c r="C1395" s="10"/>
      <c r="D1395" s="11" t="str">
        <f aca="false">IF(K1395="","",IFERROR(INDEX(DECKS!$C$2:$C$1201,MATCH(K1395,DECKS!$B$2:$B$1201,0)),TRIM(I1395&amp;"")))</f>
        <v/>
      </c>
      <c r="E1395" s="4"/>
      <c r="F1395" s="12"/>
      <c r="G1395" s="4"/>
      <c r="H1395" s="13" t="str">
        <f aca="false">IF(OR(N(C1395)=0,N(F1395)=0),"",C1395*F1395)</f>
        <v/>
      </c>
      <c r="I1395" s="4"/>
      <c r="J1395" s="11" t="str">
        <f aca="false">IF(K1395="","",IF(N(C1395)&lt;=0,"Informe a quantidade",IF(IFERROR(INDEX(INVENTÁRIO!$B$2:$B$801,MATCH(K1395,INVENTÁRIO!$A$2:$A$801,0)),"")="(sem nome)","Carta fora dos decks: digite o nome na coluna I (opcional)","")))</f>
        <v/>
      </c>
      <c r="K1395" s="11" t="str">
        <f aca="false">UPPER(TRIM(SUBSTITUTE(B1395&amp;"",CHAR(160)," ")))</f>
        <v/>
      </c>
      <c r="L1395" s="11" t="str">
        <f aca="false">IF(AND(K1395&lt;&gt;"",TRIM(I1395&amp;"")&lt;&gt;""),K1395,"")</f>
        <v/>
      </c>
    </row>
    <row r="1396" customFormat="false" ht="15" hidden="false" customHeight="false" outlineLevel="0" collapsed="false">
      <c r="A1396" s="9"/>
      <c r="B1396" s="4"/>
      <c r="C1396" s="10"/>
      <c r="D1396" s="11" t="str">
        <f aca="false">IF(K1396="","",IFERROR(INDEX(DECKS!$C$2:$C$1201,MATCH(K1396,DECKS!$B$2:$B$1201,0)),TRIM(I1396&amp;"")))</f>
        <v/>
      </c>
      <c r="E1396" s="4"/>
      <c r="F1396" s="12"/>
      <c r="G1396" s="4"/>
      <c r="H1396" s="13" t="str">
        <f aca="false">IF(OR(N(C1396)=0,N(F1396)=0),"",C1396*F1396)</f>
        <v/>
      </c>
      <c r="I1396" s="4"/>
      <c r="J1396" s="11" t="str">
        <f aca="false">IF(K1396="","",IF(N(C1396)&lt;=0,"Informe a quantidade",IF(IFERROR(INDEX(INVENTÁRIO!$B$2:$B$801,MATCH(K1396,INVENTÁRIO!$A$2:$A$801,0)),"")="(sem nome)","Carta fora dos decks: digite o nome na coluna I (opcional)","")))</f>
        <v/>
      </c>
      <c r="K1396" s="11" t="str">
        <f aca="false">UPPER(TRIM(SUBSTITUTE(B1396&amp;"",CHAR(160)," ")))</f>
        <v/>
      </c>
      <c r="L1396" s="11" t="str">
        <f aca="false">IF(AND(K1396&lt;&gt;"",TRIM(I1396&amp;"")&lt;&gt;""),K1396,"")</f>
        <v/>
      </c>
    </row>
    <row r="1397" customFormat="false" ht="15" hidden="false" customHeight="false" outlineLevel="0" collapsed="false">
      <c r="A1397" s="9"/>
      <c r="B1397" s="4"/>
      <c r="C1397" s="10"/>
      <c r="D1397" s="11" t="str">
        <f aca="false">IF(K1397="","",IFERROR(INDEX(DECKS!$C$2:$C$1201,MATCH(K1397,DECKS!$B$2:$B$1201,0)),TRIM(I1397&amp;"")))</f>
        <v/>
      </c>
      <c r="E1397" s="4"/>
      <c r="F1397" s="12"/>
      <c r="G1397" s="4"/>
      <c r="H1397" s="13" t="str">
        <f aca="false">IF(OR(N(C1397)=0,N(F1397)=0),"",C1397*F1397)</f>
        <v/>
      </c>
      <c r="I1397" s="4"/>
      <c r="J1397" s="11" t="str">
        <f aca="false">IF(K1397="","",IF(N(C1397)&lt;=0,"Informe a quantidade",IF(IFERROR(INDEX(INVENTÁRIO!$B$2:$B$801,MATCH(K1397,INVENTÁRIO!$A$2:$A$801,0)),"")="(sem nome)","Carta fora dos decks: digite o nome na coluna I (opcional)","")))</f>
        <v/>
      </c>
      <c r="K1397" s="11" t="str">
        <f aca="false">UPPER(TRIM(SUBSTITUTE(B1397&amp;"",CHAR(160)," ")))</f>
        <v/>
      </c>
      <c r="L1397" s="11" t="str">
        <f aca="false">IF(AND(K1397&lt;&gt;"",TRIM(I1397&amp;"")&lt;&gt;""),K1397,"")</f>
        <v/>
      </c>
    </row>
    <row r="1398" customFormat="false" ht="15" hidden="false" customHeight="false" outlineLevel="0" collapsed="false">
      <c r="A1398" s="9"/>
      <c r="B1398" s="4"/>
      <c r="C1398" s="10"/>
      <c r="D1398" s="11" t="str">
        <f aca="false">IF(K1398="","",IFERROR(INDEX(DECKS!$C$2:$C$1201,MATCH(K1398,DECKS!$B$2:$B$1201,0)),TRIM(I1398&amp;"")))</f>
        <v/>
      </c>
      <c r="E1398" s="4"/>
      <c r="F1398" s="12"/>
      <c r="G1398" s="4"/>
      <c r="H1398" s="13" t="str">
        <f aca="false">IF(OR(N(C1398)=0,N(F1398)=0),"",C1398*F1398)</f>
        <v/>
      </c>
      <c r="I1398" s="4"/>
      <c r="J1398" s="11" t="str">
        <f aca="false">IF(K1398="","",IF(N(C1398)&lt;=0,"Informe a quantidade",IF(IFERROR(INDEX(INVENTÁRIO!$B$2:$B$801,MATCH(K1398,INVENTÁRIO!$A$2:$A$801,0)),"")="(sem nome)","Carta fora dos decks: digite o nome na coluna I (opcional)","")))</f>
        <v/>
      </c>
      <c r="K1398" s="11" t="str">
        <f aca="false">UPPER(TRIM(SUBSTITUTE(B1398&amp;"",CHAR(160)," ")))</f>
        <v/>
      </c>
      <c r="L1398" s="11" t="str">
        <f aca="false">IF(AND(K1398&lt;&gt;"",TRIM(I1398&amp;"")&lt;&gt;""),K1398,"")</f>
        <v/>
      </c>
    </row>
    <row r="1399" customFormat="false" ht="15" hidden="false" customHeight="false" outlineLevel="0" collapsed="false">
      <c r="A1399" s="9"/>
      <c r="B1399" s="4"/>
      <c r="C1399" s="10"/>
      <c r="D1399" s="11" t="str">
        <f aca="false">IF(K1399="","",IFERROR(INDEX(DECKS!$C$2:$C$1201,MATCH(K1399,DECKS!$B$2:$B$1201,0)),TRIM(I1399&amp;"")))</f>
        <v/>
      </c>
      <c r="E1399" s="4"/>
      <c r="F1399" s="12"/>
      <c r="G1399" s="4"/>
      <c r="H1399" s="13" t="str">
        <f aca="false">IF(OR(N(C1399)=0,N(F1399)=0),"",C1399*F1399)</f>
        <v/>
      </c>
      <c r="I1399" s="4"/>
      <c r="J1399" s="11" t="str">
        <f aca="false">IF(K1399="","",IF(N(C1399)&lt;=0,"Informe a quantidade",IF(IFERROR(INDEX(INVENTÁRIO!$B$2:$B$801,MATCH(K1399,INVENTÁRIO!$A$2:$A$801,0)),"")="(sem nome)","Carta fora dos decks: digite o nome na coluna I (opcional)","")))</f>
        <v/>
      </c>
      <c r="K1399" s="11" t="str">
        <f aca="false">UPPER(TRIM(SUBSTITUTE(B1399&amp;"",CHAR(160)," ")))</f>
        <v/>
      </c>
      <c r="L1399" s="11" t="str">
        <f aca="false">IF(AND(K1399&lt;&gt;"",TRIM(I1399&amp;"")&lt;&gt;""),K1399,"")</f>
        <v/>
      </c>
    </row>
    <row r="1400" customFormat="false" ht="15" hidden="false" customHeight="false" outlineLevel="0" collapsed="false">
      <c r="A1400" s="9"/>
      <c r="B1400" s="4"/>
      <c r="C1400" s="10"/>
      <c r="D1400" s="11" t="str">
        <f aca="false">IF(K1400="","",IFERROR(INDEX(DECKS!$C$2:$C$1201,MATCH(K1400,DECKS!$B$2:$B$1201,0)),TRIM(I1400&amp;"")))</f>
        <v/>
      </c>
      <c r="E1400" s="4"/>
      <c r="F1400" s="12"/>
      <c r="G1400" s="4"/>
      <c r="H1400" s="13" t="str">
        <f aca="false">IF(OR(N(C1400)=0,N(F1400)=0),"",C1400*F1400)</f>
        <v/>
      </c>
      <c r="I1400" s="4"/>
      <c r="J1400" s="11" t="str">
        <f aca="false">IF(K1400="","",IF(N(C1400)&lt;=0,"Informe a quantidade",IF(IFERROR(INDEX(INVENTÁRIO!$B$2:$B$801,MATCH(K1400,INVENTÁRIO!$A$2:$A$801,0)),"")="(sem nome)","Carta fora dos decks: digite o nome na coluna I (opcional)","")))</f>
        <v/>
      </c>
      <c r="K1400" s="11" t="str">
        <f aca="false">UPPER(TRIM(SUBSTITUTE(B1400&amp;"",CHAR(160)," ")))</f>
        <v/>
      </c>
      <c r="L1400" s="11" t="str">
        <f aca="false">IF(AND(K1400&lt;&gt;"",TRIM(I1400&amp;"")&lt;&gt;""),K1400,"")</f>
        <v/>
      </c>
    </row>
    <row r="1401" customFormat="false" ht="15" hidden="false" customHeight="false" outlineLevel="0" collapsed="false">
      <c r="A1401" s="9"/>
      <c r="B1401" s="4"/>
      <c r="C1401" s="10"/>
      <c r="D1401" s="11" t="str">
        <f aca="false">IF(K1401="","",IFERROR(INDEX(DECKS!$C$2:$C$1201,MATCH(K1401,DECKS!$B$2:$B$1201,0)),TRIM(I1401&amp;"")))</f>
        <v/>
      </c>
      <c r="E1401" s="4"/>
      <c r="F1401" s="12"/>
      <c r="G1401" s="4"/>
      <c r="H1401" s="13" t="str">
        <f aca="false">IF(OR(N(C1401)=0,N(F1401)=0),"",C1401*F1401)</f>
        <v/>
      </c>
      <c r="I1401" s="4"/>
      <c r="J1401" s="11" t="str">
        <f aca="false">IF(K1401="","",IF(N(C1401)&lt;=0,"Informe a quantidade",IF(IFERROR(INDEX(INVENTÁRIO!$B$2:$B$801,MATCH(K1401,INVENTÁRIO!$A$2:$A$801,0)),"")="(sem nome)","Carta fora dos decks: digite o nome na coluna I (opcional)","")))</f>
        <v/>
      </c>
      <c r="K1401" s="11" t="str">
        <f aca="false">UPPER(TRIM(SUBSTITUTE(B1401&amp;"",CHAR(160)," ")))</f>
        <v/>
      </c>
      <c r="L1401" s="11" t="str">
        <f aca="false">IF(AND(K1401&lt;&gt;"",TRIM(I1401&amp;"")&lt;&gt;""),K1401,"")</f>
        <v/>
      </c>
    </row>
    <row r="1402" customFormat="false" ht="15" hidden="false" customHeight="false" outlineLevel="0" collapsed="false">
      <c r="A1402" s="9"/>
      <c r="B1402" s="4"/>
      <c r="C1402" s="10"/>
      <c r="D1402" s="11" t="str">
        <f aca="false">IF(K1402="","",IFERROR(INDEX(DECKS!$C$2:$C$1201,MATCH(K1402,DECKS!$B$2:$B$1201,0)),TRIM(I1402&amp;"")))</f>
        <v/>
      </c>
      <c r="E1402" s="4"/>
      <c r="F1402" s="12"/>
      <c r="G1402" s="4"/>
      <c r="H1402" s="13" t="str">
        <f aca="false">IF(OR(N(C1402)=0,N(F1402)=0),"",C1402*F1402)</f>
        <v/>
      </c>
      <c r="I1402" s="4"/>
      <c r="J1402" s="11" t="str">
        <f aca="false">IF(K1402="","",IF(N(C1402)&lt;=0,"Informe a quantidade",IF(IFERROR(INDEX(INVENTÁRIO!$B$2:$B$801,MATCH(K1402,INVENTÁRIO!$A$2:$A$801,0)),"")="(sem nome)","Carta fora dos decks: digite o nome na coluna I (opcional)","")))</f>
        <v/>
      </c>
      <c r="K1402" s="11" t="str">
        <f aca="false">UPPER(TRIM(SUBSTITUTE(B1402&amp;"",CHAR(160)," ")))</f>
        <v/>
      </c>
      <c r="L1402" s="11" t="str">
        <f aca="false">IF(AND(K1402&lt;&gt;"",TRIM(I1402&amp;"")&lt;&gt;""),K1402,"")</f>
        <v/>
      </c>
    </row>
    <row r="1403" customFormat="false" ht="15" hidden="false" customHeight="false" outlineLevel="0" collapsed="false">
      <c r="A1403" s="9"/>
      <c r="B1403" s="4"/>
      <c r="C1403" s="10"/>
      <c r="D1403" s="11" t="str">
        <f aca="false">IF(K1403="","",IFERROR(INDEX(DECKS!$C$2:$C$1201,MATCH(K1403,DECKS!$B$2:$B$1201,0)),TRIM(I1403&amp;"")))</f>
        <v/>
      </c>
      <c r="E1403" s="4"/>
      <c r="F1403" s="12"/>
      <c r="G1403" s="4"/>
      <c r="H1403" s="13" t="str">
        <f aca="false">IF(OR(N(C1403)=0,N(F1403)=0),"",C1403*F1403)</f>
        <v/>
      </c>
      <c r="I1403" s="4"/>
      <c r="J1403" s="11" t="str">
        <f aca="false">IF(K1403="","",IF(N(C1403)&lt;=0,"Informe a quantidade",IF(IFERROR(INDEX(INVENTÁRIO!$B$2:$B$801,MATCH(K1403,INVENTÁRIO!$A$2:$A$801,0)),"")="(sem nome)","Carta fora dos decks: digite o nome na coluna I (opcional)","")))</f>
        <v/>
      </c>
      <c r="K1403" s="11" t="str">
        <f aca="false">UPPER(TRIM(SUBSTITUTE(B1403&amp;"",CHAR(160)," ")))</f>
        <v/>
      </c>
      <c r="L1403" s="11" t="str">
        <f aca="false">IF(AND(K1403&lt;&gt;"",TRIM(I1403&amp;"")&lt;&gt;""),K1403,"")</f>
        <v/>
      </c>
    </row>
    <row r="1404" customFormat="false" ht="15" hidden="false" customHeight="false" outlineLevel="0" collapsed="false">
      <c r="A1404" s="9"/>
      <c r="B1404" s="4"/>
      <c r="C1404" s="10"/>
      <c r="D1404" s="11" t="str">
        <f aca="false">IF(K1404="","",IFERROR(INDEX(DECKS!$C$2:$C$1201,MATCH(K1404,DECKS!$B$2:$B$1201,0)),TRIM(I1404&amp;"")))</f>
        <v/>
      </c>
      <c r="E1404" s="4"/>
      <c r="F1404" s="12"/>
      <c r="G1404" s="4"/>
      <c r="H1404" s="13" t="str">
        <f aca="false">IF(OR(N(C1404)=0,N(F1404)=0),"",C1404*F1404)</f>
        <v/>
      </c>
      <c r="I1404" s="4"/>
      <c r="J1404" s="11" t="str">
        <f aca="false">IF(K1404="","",IF(N(C1404)&lt;=0,"Informe a quantidade",IF(IFERROR(INDEX(INVENTÁRIO!$B$2:$B$801,MATCH(K1404,INVENTÁRIO!$A$2:$A$801,0)),"")="(sem nome)","Carta fora dos decks: digite o nome na coluna I (opcional)","")))</f>
        <v/>
      </c>
      <c r="K1404" s="11" t="str">
        <f aca="false">UPPER(TRIM(SUBSTITUTE(B1404&amp;"",CHAR(160)," ")))</f>
        <v/>
      </c>
      <c r="L1404" s="11" t="str">
        <f aca="false">IF(AND(K1404&lt;&gt;"",TRIM(I1404&amp;"")&lt;&gt;""),K1404,"")</f>
        <v/>
      </c>
    </row>
    <row r="1405" customFormat="false" ht="15" hidden="false" customHeight="false" outlineLevel="0" collapsed="false">
      <c r="A1405" s="9"/>
      <c r="B1405" s="4"/>
      <c r="C1405" s="10"/>
      <c r="D1405" s="11" t="str">
        <f aca="false">IF(K1405="","",IFERROR(INDEX(DECKS!$C$2:$C$1201,MATCH(K1405,DECKS!$B$2:$B$1201,0)),TRIM(I1405&amp;"")))</f>
        <v/>
      </c>
      <c r="E1405" s="4"/>
      <c r="F1405" s="12"/>
      <c r="G1405" s="4"/>
      <c r="H1405" s="13" t="str">
        <f aca="false">IF(OR(N(C1405)=0,N(F1405)=0),"",C1405*F1405)</f>
        <v/>
      </c>
      <c r="I1405" s="4"/>
      <c r="J1405" s="11" t="str">
        <f aca="false">IF(K1405="","",IF(N(C1405)&lt;=0,"Informe a quantidade",IF(IFERROR(INDEX(INVENTÁRIO!$B$2:$B$801,MATCH(K1405,INVENTÁRIO!$A$2:$A$801,0)),"")="(sem nome)","Carta fora dos decks: digite o nome na coluna I (opcional)","")))</f>
        <v/>
      </c>
      <c r="K1405" s="11" t="str">
        <f aca="false">UPPER(TRIM(SUBSTITUTE(B1405&amp;"",CHAR(160)," ")))</f>
        <v/>
      </c>
      <c r="L1405" s="11" t="str">
        <f aca="false">IF(AND(K1405&lt;&gt;"",TRIM(I1405&amp;"")&lt;&gt;""),K1405,"")</f>
        <v/>
      </c>
    </row>
    <row r="1406" customFormat="false" ht="15" hidden="false" customHeight="false" outlineLevel="0" collapsed="false">
      <c r="A1406" s="9"/>
      <c r="B1406" s="4"/>
      <c r="C1406" s="10"/>
      <c r="D1406" s="11" t="str">
        <f aca="false">IF(K1406="","",IFERROR(INDEX(DECKS!$C$2:$C$1201,MATCH(K1406,DECKS!$B$2:$B$1201,0)),TRIM(I1406&amp;"")))</f>
        <v/>
      </c>
      <c r="E1406" s="4"/>
      <c r="F1406" s="12"/>
      <c r="G1406" s="4"/>
      <c r="H1406" s="13" t="str">
        <f aca="false">IF(OR(N(C1406)=0,N(F1406)=0),"",C1406*F1406)</f>
        <v/>
      </c>
      <c r="I1406" s="4"/>
      <c r="J1406" s="11" t="str">
        <f aca="false">IF(K1406="","",IF(N(C1406)&lt;=0,"Informe a quantidade",IF(IFERROR(INDEX(INVENTÁRIO!$B$2:$B$801,MATCH(K1406,INVENTÁRIO!$A$2:$A$801,0)),"")="(sem nome)","Carta fora dos decks: digite o nome na coluna I (opcional)","")))</f>
        <v/>
      </c>
      <c r="K1406" s="11" t="str">
        <f aca="false">UPPER(TRIM(SUBSTITUTE(B1406&amp;"",CHAR(160)," ")))</f>
        <v/>
      </c>
      <c r="L1406" s="11" t="str">
        <f aca="false">IF(AND(K1406&lt;&gt;"",TRIM(I1406&amp;"")&lt;&gt;""),K1406,"")</f>
        <v/>
      </c>
    </row>
    <row r="1407" customFormat="false" ht="15" hidden="false" customHeight="false" outlineLevel="0" collapsed="false">
      <c r="A1407" s="9"/>
      <c r="B1407" s="4"/>
      <c r="C1407" s="10"/>
      <c r="D1407" s="11" t="str">
        <f aca="false">IF(K1407="","",IFERROR(INDEX(DECKS!$C$2:$C$1201,MATCH(K1407,DECKS!$B$2:$B$1201,0)),TRIM(I1407&amp;"")))</f>
        <v/>
      </c>
      <c r="E1407" s="4"/>
      <c r="F1407" s="12"/>
      <c r="G1407" s="4"/>
      <c r="H1407" s="13" t="str">
        <f aca="false">IF(OR(N(C1407)=0,N(F1407)=0),"",C1407*F1407)</f>
        <v/>
      </c>
      <c r="I1407" s="4"/>
      <c r="J1407" s="11" t="str">
        <f aca="false">IF(K1407="","",IF(N(C1407)&lt;=0,"Informe a quantidade",IF(IFERROR(INDEX(INVENTÁRIO!$B$2:$B$801,MATCH(K1407,INVENTÁRIO!$A$2:$A$801,0)),"")="(sem nome)","Carta fora dos decks: digite o nome na coluna I (opcional)","")))</f>
        <v/>
      </c>
      <c r="K1407" s="11" t="str">
        <f aca="false">UPPER(TRIM(SUBSTITUTE(B1407&amp;"",CHAR(160)," ")))</f>
        <v/>
      </c>
      <c r="L1407" s="11" t="str">
        <f aca="false">IF(AND(K1407&lt;&gt;"",TRIM(I1407&amp;"")&lt;&gt;""),K1407,"")</f>
        <v/>
      </c>
    </row>
    <row r="1408" customFormat="false" ht="15" hidden="false" customHeight="false" outlineLevel="0" collapsed="false">
      <c r="A1408" s="9"/>
      <c r="B1408" s="4"/>
      <c r="C1408" s="10"/>
      <c r="D1408" s="11" t="str">
        <f aca="false">IF(K1408="","",IFERROR(INDEX(DECKS!$C$2:$C$1201,MATCH(K1408,DECKS!$B$2:$B$1201,0)),TRIM(I1408&amp;"")))</f>
        <v/>
      </c>
      <c r="E1408" s="4"/>
      <c r="F1408" s="12"/>
      <c r="G1408" s="4"/>
      <c r="H1408" s="13" t="str">
        <f aca="false">IF(OR(N(C1408)=0,N(F1408)=0),"",C1408*F1408)</f>
        <v/>
      </c>
      <c r="I1408" s="4"/>
      <c r="J1408" s="11" t="str">
        <f aca="false">IF(K1408="","",IF(N(C1408)&lt;=0,"Informe a quantidade",IF(IFERROR(INDEX(INVENTÁRIO!$B$2:$B$801,MATCH(K1408,INVENTÁRIO!$A$2:$A$801,0)),"")="(sem nome)","Carta fora dos decks: digite o nome na coluna I (opcional)","")))</f>
        <v/>
      </c>
      <c r="K1408" s="11" t="str">
        <f aca="false">UPPER(TRIM(SUBSTITUTE(B1408&amp;"",CHAR(160)," ")))</f>
        <v/>
      </c>
      <c r="L1408" s="11" t="str">
        <f aca="false">IF(AND(K1408&lt;&gt;"",TRIM(I1408&amp;"")&lt;&gt;""),K1408,"")</f>
        <v/>
      </c>
    </row>
    <row r="1409" customFormat="false" ht="15" hidden="false" customHeight="false" outlineLevel="0" collapsed="false">
      <c r="A1409" s="9"/>
      <c r="B1409" s="4"/>
      <c r="C1409" s="10"/>
      <c r="D1409" s="11" t="str">
        <f aca="false">IF(K1409="","",IFERROR(INDEX(DECKS!$C$2:$C$1201,MATCH(K1409,DECKS!$B$2:$B$1201,0)),TRIM(I1409&amp;"")))</f>
        <v/>
      </c>
      <c r="E1409" s="4"/>
      <c r="F1409" s="12"/>
      <c r="G1409" s="4"/>
      <c r="H1409" s="13" t="str">
        <f aca="false">IF(OR(N(C1409)=0,N(F1409)=0),"",C1409*F1409)</f>
        <v/>
      </c>
      <c r="I1409" s="4"/>
      <c r="J1409" s="11" t="str">
        <f aca="false">IF(K1409="","",IF(N(C1409)&lt;=0,"Informe a quantidade",IF(IFERROR(INDEX(INVENTÁRIO!$B$2:$B$801,MATCH(K1409,INVENTÁRIO!$A$2:$A$801,0)),"")="(sem nome)","Carta fora dos decks: digite o nome na coluna I (opcional)","")))</f>
        <v/>
      </c>
      <c r="K1409" s="11" t="str">
        <f aca="false">UPPER(TRIM(SUBSTITUTE(B1409&amp;"",CHAR(160)," ")))</f>
        <v/>
      </c>
      <c r="L1409" s="11" t="str">
        <f aca="false">IF(AND(K1409&lt;&gt;"",TRIM(I1409&amp;"")&lt;&gt;""),K1409,"")</f>
        <v/>
      </c>
    </row>
    <row r="1410" customFormat="false" ht="15" hidden="false" customHeight="false" outlineLevel="0" collapsed="false">
      <c r="A1410" s="9"/>
      <c r="B1410" s="4"/>
      <c r="C1410" s="10"/>
      <c r="D1410" s="11" t="str">
        <f aca="false">IF(K1410="","",IFERROR(INDEX(DECKS!$C$2:$C$1201,MATCH(K1410,DECKS!$B$2:$B$1201,0)),TRIM(I1410&amp;"")))</f>
        <v/>
      </c>
      <c r="E1410" s="4"/>
      <c r="F1410" s="12"/>
      <c r="G1410" s="4"/>
      <c r="H1410" s="13" t="str">
        <f aca="false">IF(OR(N(C1410)=0,N(F1410)=0),"",C1410*F1410)</f>
        <v/>
      </c>
      <c r="I1410" s="4"/>
      <c r="J1410" s="11" t="str">
        <f aca="false">IF(K1410="","",IF(N(C1410)&lt;=0,"Informe a quantidade",IF(IFERROR(INDEX(INVENTÁRIO!$B$2:$B$801,MATCH(K1410,INVENTÁRIO!$A$2:$A$801,0)),"")="(sem nome)","Carta fora dos decks: digite o nome na coluna I (opcional)","")))</f>
        <v/>
      </c>
      <c r="K1410" s="11" t="str">
        <f aca="false">UPPER(TRIM(SUBSTITUTE(B1410&amp;"",CHAR(160)," ")))</f>
        <v/>
      </c>
      <c r="L1410" s="11" t="str">
        <f aca="false">IF(AND(K1410&lt;&gt;"",TRIM(I1410&amp;"")&lt;&gt;""),K1410,"")</f>
        <v/>
      </c>
    </row>
    <row r="1411" customFormat="false" ht="15" hidden="false" customHeight="false" outlineLevel="0" collapsed="false">
      <c r="A1411" s="9"/>
      <c r="B1411" s="4"/>
      <c r="C1411" s="10"/>
      <c r="D1411" s="11" t="str">
        <f aca="false">IF(K1411="","",IFERROR(INDEX(DECKS!$C$2:$C$1201,MATCH(K1411,DECKS!$B$2:$B$1201,0)),TRIM(I1411&amp;"")))</f>
        <v/>
      </c>
      <c r="E1411" s="4"/>
      <c r="F1411" s="12"/>
      <c r="G1411" s="4"/>
      <c r="H1411" s="13" t="str">
        <f aca="false">IF(OR(N(C1411)=0,N(F1411)=0),"",C1411*F1411)</f>
        <v/>
      </c>
      <c r="I1411" s="4"/>
      <c r="J1411" s="11" t="str">
        <f aca="false">IF(K1411="","",IF(N(C1411)&lt;=0,"Informe a quantidade",IF(IFERROR(INDEX(INVENTÁRIO!$B$2:$B$801,MATCH(K1411,INVENTÁRIO!$A$2:$A$801,0)),"")="(sem nome)","Carta fora dos decks: digite o nome na coluna I (opcional)","")))</f>
        <v/>
      </c>
      <c r="K1411" s="11" t="str">
        <f aca="false">UPPER(TRIM(SUBSTITUTE(B1411&amp;"",CHAR(160)," ")))</f>
        <v/>
      </c>
      <c r="L1411" s="11" t="str">
        <f aca="false">IF(AND(K1411&lt;&gt;"",TRIM(I1411&amp;"")&lt;&gt;""),K1411,"")</f>
        <v/>
      </c>
    </row>
    <row r="1412" customFormat="false" ht="15" hidden="false" customHeight="false" outlineLevel="0" collapsed="false">
      <c r="A1412" s="9"/>
      <c r="B1412" s="4"/>
      <c r="C1412" s="10"/>
      <c r="D1412" s="11" t="str">
        <f aca="false">IF(K1412="","",IFERROR(INDEX(DECKS!$C$2:$C$1201,MATCH(K1412,DECKS!$B$2:$B$1201,0)),TRIM(I1412&amp;"")))</f>
        <v/>
      </c>
      <c r="E1412" s="4"/>
      <c r="F1412" s="12"/>
      <c r="G1412" s="4"/>
      <c r="H1412" s="13" t="str">
        <f aca="false">IF(OR(N(C1412)=0,N(F1412)=0),"",C1412*F1412)</f>
        <v/>
      </c>
      <c r="I1412" s="4"/>
      <c r="J1412" s="11" t="str">
        <f aca="false">IF(K1412="","",IF(N(C1412)&lt;=0,"Informe a quantidade",IF(IFERROR(INDEX(INVENTÁRIO!$B$2:$B$801,MATCH(K1412,INVENTÁRIO!$A$2:$A$801,0)),"")="(sem nome)","Carta fora dos decks: digite o nome na coluna I (opcional)","")))</f>
        <v/>
      </c>
      <c r="K1412" s="11" t="str">
        <f aca="false">UPPER(TRIM(SUBSTITUTE(B1412&amp;"",CHAR(160)," ")))</f>
        <v/>
      </c>
      <c r="L1412" s="11" t="str">
        <f aca="false">IF(AND(K1412&lt;&gt;"",TRIM(I1412&amp;"")&lt;&gt;""),K1412,"")</f>
        <v/>
      </c>
    </row>
    <row r="1413" customFormat="false" ht="15" hidden="false" customHeight="false" outlineLevel="0" collapsed="false">
      <c r="A1413" s="9"/>
      <c r="B1413" s="4"/>
      <c r="C1413" s="10"/>
      <c r="D1413" s="11" t="str">
        <f aca="false">IF(K1413="","",IFERROR(INDEX(DECKS!$C$2:$C$1201,MATCH(K1413,DECKS!$B$2:$B$1201,0)),TRIM(I1413&amp;"")))</f>
        <v/>
      </c>
      <c r="E1413" s="4"/>
      <c r="F1413" s="12"/>
      <c r="G1413" s="4"/>
      <c r="H1413" s="13" t="str">
        <f aca="false">IF(OR(N(C1413)=0,N(F1413)=0),"",C1413*F1413)</f>
        <v/>
      </c>
      <c r="I1413" s="4"/>
      <c r="J1413" s="11" t="str">
        <f aca="false">IF(K1413="","",IF(N(C1413)&lt;=0,"Informe a quantidade",IF(IFERROR(INDEX(INVENTÁRIO!$B$2:$B$801,MATCH(K1413,INVENTÁRIO!$A$2:$A$801,0)),"")="(sem nome)","Carta fora dos decks: digite o nome na coluna I (opcional)","")))</f>
        <v/>
      </c>
      <c r="K1413" s="11" t="str">
        <f aca="false">UPPER(TRIM(SUBSTITUTE(B1413&amp;"",CHAR(160)," ")))</f>
        <v/>
      </c>
      <c r="L1413" s="11" t="str">
        <f aca="false">IF(AND(K1413&lt;&gt;"",TRIM(I1413&amp;"")&lt;&gt;""),K1413,"")</f>
        <v/>
      </c>
    </row>
    <row r="1414" customFormat="false" ht="15" hidden="false" customHeight="false" outlineLevel="0" collapsed="false">
      <c r="A1414" s="9"/>
      <c r="B1414" s="4"/>
      <c r="C1414" s="10"/>
      <c r="D1414" s="11" t="str">
        <f aca="false">IF(K1414="","",IFERROR(INDEX(DECKS!$C$2:$C$1201,MATCH(K1414,DECKS!$B$2:$B$1201,0)),TRIM(I1414&amp;"")))</f>
        <v/>
      </c>
      <c r="E1414" s="4"/>
      <c r="F1414" s="12"/>
      <c r="G1414" s="4"/>
      <c r="H1414" s="13" t="str">
        <f aca="false">IF(OR(N(C1414)=0,N(F1414)=0),"",C1414*F1414)</f>
        <v/>
      </c>
      <c r="I1414" s="4"/>
      <c r="J1414" s="11" t="str">
        <f aca="false">IF(K1414="","",IF(N(C1414)&lt;=0,"Informe a quantidade",IF(IFERROR(INDEX(INVENTÁRIO!$B$2:$B$801,MATCH(K1414,INVENTÁRIO!$A$2:$A$801,0)),"")="(sem nome)","Carta fora dos decks: digite o nome na coluna I (opcional)","")))</f>
        <v/>
      </c>
      <c r="K1414" s="11" t="str">
        <f aca="false">UPPER(TRIM(SUBSTITUTE(B1414&amp;"",CHAR(160)," ")))</f>
        <v/>
      </c>
      <c r="L1414" s="11" t="str">
        <f aca="false">IF(AND(K1414&lt;&gt;"",TRIM(I1414&amp;"")&lt;&gt;""),K1414,"")</f>
        <v/>
      </c>
    </row>
    <row r="1415" customFormat="false" ht="15" hidden="false" customHeight="false" outlineLevel="0" collapsed="false">
      <c r="A1415" s="9"/>
      <c r="B1415" s="4"/>
      <c r="C1415" s="10"/>
      <c r="D1415" s="11" t="str">
        <f aca="false">IF(K1415="","",IFERROR(INDEX(DECKS!$C$2:$C$1201,MATCH(K1415,DECKS!$B$2:$B$1201,0)),TRIM(I1415&amp;"")))</f>
        <v/>
      </c>
      <c r="E1415" s="4"/>
      <c r="F1415" s="12"/>
      <c r="G1415" s="4"/>
      <c r="H1415" s="13" t="str">
        <f aca="false">IF(OR(N(C1415)=0,N(F1415)=0),"",C1415*F1415)</f>
        <v/>
      </c>
      <c r="I1415" s="4"/>
      <c r="J1415" s="11" t="str">
        <f aca="false">IF(K1415="","",IF(N(C1415)&lt;=0,"Informe a quantidade",IF(IFERROR(INDEX(INVENTÁRIO!$B$2:$B$801,MATCH(K1415,INVENTÁRIO!$A$2:$A$801,0)),"")="(sem nome)","Carta fora dos decks: digite o nome na coluna I (opcional)","")))</f>
        <v/>
      </c>
      <c r="K1415" s="11" t="str">
        <f aca="false">UPPER(TRIM(SUBSTITUTE(B1415&amp;"",CHAR(160)," ")))</f>
        <v/>
      </c>
      <c r="L1415" s="11" t="str">
        <f aca="false">IF(AND(K1415&lt;&gt;"",TRIM(I1415&amp;"")&lt;&gt;""),K1415,"")</f>
        <v/>
      </c>
    </row>
    <row r="1416" customFormat="false" ht="15" hidden="false" customHeight="false" outlineLevel="0" collapsed="false">
      <c r="A1416" s="9"/>
      <c r="B1416" s="4"/>
      <c r="C1416" s="10"/>
      <c r="D1416" s="11" t="str">
        <f aca="false">IF(K1416="","",IFERROR(INDEX(DECKS!$C$2:$C$1201,MATCH(K1416,DECKS!$B$2:$B$1201,0)),TRIM(I1416&amp;"")))</f>
        <v/>
      </c>
      <c r="E1416" s="4"/>
      <c r="F1416" s="12"/>
      <c r="G1416" s="4"/>
      <c r="H1416" s="13" t="str">
        <f aca="false">IF(OR(N(C1416)=0,N(F1416)=0),"",C1416*F1416)</f>
        <v/>
      </c>
      <c r="I1416" s="4"/>
      <c r="J1416" s="11" t="str">
        <f aca="false">IF(K1416="","",IF(N(C1416)&lt;=0,"Informe a quantidade",IF(IFERROR(INDEX(INVENTÁRIO!$B$2:$B$801,MATCH(K1416,INVENTÁRIO!$A$2:$A$801,0)),"")="(sem nome)","Carta fora dos decks: digite o nome na coluna I (opcional)","")))</f>
        <v/>
      </c>
      <c r="K1416" s="11" t="str">
        <f aca="false">UPPER(TRIM(SUBSTITUTE(B1416&amp;"",CHAR(160)," ")))</f>
        <v/>
      </c>
      <c r="L1416" s="11" t="str">
        <f aca="false">IF(AND(K1416&lt;&gt;"",TRIM(I1416&amp;"")&lt;&gt;""),K1416,"")</f>
        <v/>
      </c>
    </row>
    <row r="1417" customFormat="false" ht="15" hidden="false" customHeight="false" outlineLevel="0" collapsed="false">
      <c r="A1417" s="9"/>
      <c r="B1417" s="4"/>
      <c r="C1417" s="10"/>
      <c r="D1417" s="11" t="str">
        <f aca="false">IF(K1417="","",IFERROR(INDEX(DECKS!$C$2:$C$1201,MATCH(K1417,DECKS!$B$2:$B$1201,0)),TRIM(I1417&amp;"")))</f>
        <v/>
      </c>
      <c r="E1417" s="4"/>
      <c r="F1417" s="12"/>
      <c r="G1417" s="4"/>
      <c r="H1417" s="13" t="str">
        <f aca="false">IF(OR(N(C1417)=0,N(F1417)=0),"",C1417*F1417)</f>
        <v/>
      </c>
      <c r="I1417" s="4"/>
      <c r="J1417" s="11" t="str">
        <f aca="false">IF(K1417="","",IF(N(C1417)&lt;=0,"Informe a quantidade",IF(IFERROR(INDEX(INVENTÁRIO!$B$2:$B$801,MATCH(K1417,INVENTÁRIO!$A$2:$A$801,0)),"")="(sem nome)","Carta fora dos decks: digite o nome na coluna I (opcional)","")))</f>
        <v/>
      </c>
      <c r="K1417" s="11" t="str">
        <f aca="false">UPPER(TRIM(SUBSTITUTE(B1417&amp;"",CHAR(160)," ")))</f>
        <v/>
      </c>
      <c r="L1417" s="11" t="str">
        <f aca="false">IF(AND(K1417&lt;&gt;"",TRIM(I1417&amp;"")&lt;&gt;""),K1417,"")</f>
        <v/>
      </c>
    </row>
    <row r="1418" customFormat="false" ht="15" hidden="false" customHeight="false" outlineLevel="0" collapsed="false">
      <c r="A1418" s="9"/>
      <c r="B1418" s="4"/>
      <c r="C1418" s="10"/>
      <c r="D1418" s="11" t="str">
        <f aca="false">IF(K1418="","",IFERROR(INDEX(DECKS!$C$2:$C$1201,MATCH(K1418,DECKS!$B$2:$B$1201,0)),TRIM(I1418&amp;"")))</f>
        <v/>
      </c>
      <c r="E1418" s="4"/>
      <c r="F1418" s="12"/>
      <c r="G1418" s="4"/>
      <c r="H1418" s="13" t="str">
        <f aca="false">IF(OR(N(C1418)=0,N(F1418)=0),"",C1418*F1418)</f>
        <v/>
      </c>
      <c r="I1418" s="4"/>
      <c r="J1418" s="11" t="str">
        <f aca="false">IF(K1418="","",IF(N(C1418)&lt;=0,"Informe a quantidade",IF(IFERROR(INDEX(INVENTÁRIO!$B$2:$B$801,MATCH(K1418,INVENTÁRIO!$A$2:$A$801,0)),"")="(sem nome)","Carta fora dos decks: digite o nome na coluna I (opcional)","")))</f>
        <v/>
      </c>
      <c r="K1418" s="11" t="str">
        <f aca="false">UPPER(TRIM(SUBSTITUTE(B1418&amp;"",CHAR(160)," ")))</f>
        <v/>
      </c>
      <c r="L1418" s="11" t="str">
        <f aca="false">IF(AND(K1418&lt;&gt;"",TRIM(I1418&amp;"")&lt;&gt;""),K1418,"")</f>
        <v/>
      </c>
    </row>
    <row r="1419" customFormat="false" ht="15" hidden="false" customHeight="false" outlineLevel="0" collapsed="false">
      <c r="A1419" s="9"/>
      <c r="B1419" s="4"/>
      <c r="C1419" s="10"/>
      <c r="D1419" s="11" t="str">
        <f aca="false">IF(K1419="","",IFERROR(INDEX(DECKS!$C$2:$C$1201,MATCH(K1419,DECKS!$B$2:$B$1201,0)),TRIM(I1419&amp;"")))</f>
        <v/>
      </c>
      <c r="E1419" s="4"/>
      <c r="F1419" s="12"/>
      <c r="G1419" s="4"/>
      <c r="H1419" s="13" t="str">
        <f aca="false">IF(OR(N(C1419)=0,N(F1419)=0),"",C1419*F1419)</f>
        <v/>
      </c>
      <c r="I1419" s="4"/>
      <c r="J1419" s="11" t="str">
        <f aca="false">IF(K1419="","",IF(N(C1419)&lt;=0,"Informe a quantidade",IF(IFERROR(INDEX(INVENTÁRIO!$B$2:$B$801,MATCH(K1419,INVENTÁRIO!$A$2:$A$801,0)),"")="(sem nome)","Carta fora dos decks: digite o nome na coluna I (opcional)","")))</f>
        <v/>
      </c>
      <c r="K1419" s="11" t="str">
        <f aca="false">UPPER(TRIM(SUBSTITUTE(B1419&amp;"",CHAR(160)," ")))</f>
        <v/>
      </c>
      <c r="L1419" s="11" t="str">
        <f aca="false">IF(AND(K1419&lt;&gt;"",TRIM(I1419&amp;"")&lt;&gt;""),K1419,"")</f>
        <v/>
      </c>
    </row>
    <row r="1420" customFormat="false" ht="15" hidden="false" customHeight="false" outlineLevel="0" collapsed="false">
      <c r="A1420" s="9"/>
      <c r="B1420" s="4"/>
      <c r="C1420" s="10"/>
      <c r="D1420" s="11" t="str">
        <f aca="false">IF(K1420="","",IFERROR(INDEX(DECKS!$C$2:$C$1201,MATCH(K1420,DECKS!$B$2:$B$1201,0)),TRIM(I1420&amp;"")))</f>
        <v/>
      </c>
      <c r="E1420" s="4"/>
      <c r="F1420" s="12"/>
      <c r="G1420" s="4"/>
      <c r="H1420" s="13" t="str">
        <f aca="false">IF(OR(N(C1420)=0,N(F1420)=0),"",C1420*F1420)</f>
        <v/>
      </c>
      <c r="I1420" s="4"/>
      <c r="J1420" s="11" t="str">
        <f aca="false">IF(K1420="","",IF(N(C1420)&lt;=0,"Informe a quantidade",IF(IFERROR(INDEX(INVENTÁRIO!$B$2:$B$801,MATCH(K1420,INVENTÁRIO!$A$2:$A$801,0)),"")="(sem nome)","Carta fora dos decks: digite o nome na coluna I (opcional)","")))</f>
        <v/>
      </c>
      <c r="K1420" s="11" t="str">
        <f aca="false">UPPER(TRIM(SUBSTITUTE(B1420&amp;"",CHAR(160)," ")))</f>
        <v/>
      </c>
      <c r="L1420" s="11" t="str">
        <f aca="false">IF(AND(K1420&lt;&gt;"",TRIM(I1420&amp;"")&lt;&gt;""),K1420,"")</f>
        <v/>
      </c>
    </row>
    <row r="1421" customFormat="false" ht="15" hidden="false" customHeight="false" outlineLevel="0" collapsed="false">
      <c r="A1421" s="9"/>
      <c r="B1421" s="4"/>
      <c r="C1421" s="10"/>
      <c r="D1421" s="11" t="str">
        <f aca="false">IF(K1421="","",IFERROR(INDEX(DECKS!$C$2:$C$1201,MATCH(K1421,DECKS!$B$2:$B$1201,0)),TRIM(I1421&amp;"")))</f>
        <v/>
      </c>
      <c r="E1421" s="4"/>
      <c r="F1421" s="12"/>
      <c r="G1421" s="4"/>
      <c r="H1421" s="13" t="str">
        <f aca="false">IF(OR(N(C1421)=0,N(F1421)=0),"",C1421*F1421)</f>
        <v/>
      </c>
      <c r="I1421" s="4"/>
      <c r="J1421" s="11" t="str">
        <f aca="false">IF(K1421="","",IF(N(C1421)&lt;=0,"Informe a quantidade",IF(IFERROR(INDEX(INVENTÁRIO!$B$2:$B$801,MATCH(K1421,INVENTÁRIO!$A$2:$A$801,0)),"")="(sem nome)","Carta fora dos decks: digite o nome na coluna I (opcional)","")))</f>
        <v/>
      </c>
      <c r="K1421" s="11" t="str">
        <f aca="false">UPPER(TRIM(SUBSTITUTE(B1421&amp;"",CHAR(160)," ")))</f>
        <v/>
      </c>
      <c r="L1421" s="11" t="str">
        <f aca="false">IF(AND(K1421&lt;&gt;"",TRIM(I1421&amp;"")&lt;&gt;""),K1421,"")</f>
        <v/>
      </c>
    </row>
    <row r="1422" customFormat="false" ht="15" hidden="false" customHeight="false" outlineLevel="0" collapsed="false">
      <c r="A1422" s="9"/>
      <c r="B1422" s="4"/>
      <c r="C1422" s="10"/>
      <c r="D1422" s="11" t="str">
        <f aca="false">IF(K1422="","",IFERROR(INDEX(DECKS!$C$2:$C$1201,MATCH(K1422,DECKS!$B$2:$B$1201,0)),TRIM(I1422&amp;"")))</f>
        <v/>
      </c>
      <c r="E1422" s="4"/>
      <c r="F1422" s="12"/>
      <c r="G1422" s="4"/>
      <c r="H1422" s="13" t="str">
        <f aca="false">IF(OR(N(C1422)=0,N(F1422)=0),"",C1422*F1422)</f>
        <v/>
      </c>
      <c r="I1422" s="4"/>
      <c r="J1422" s="11" t="str">
        <f aca="false">IF(K1422="","",IF(N(C1422)&lt;=0,"Informe a quantidade",IF(IFERROR(INDEX(INVENTÁRIO!$B$2:$B$801,MATCH(K1422,INVENTÁRIO!$A$2:$A$801,0)),"")="(sem nome)","Carta fora dos decks: digite o nome na coluna I (opcional)","")))</f>
        <v/>
      </c>
      <c r="K1422" s="11" t="str">
        <f aca="false">UPPER(TRIM(SUBSTITUTE(B1422&amp;"",CHAR(160)," ")))</f>
        <v/>
      </c>
      <c r="L1422" s="11" t="str">
        <f aca="false">IF(AND(K1422&lt;&gt;"",TRIM(I1422&amp;"")&lt;&gt;""),K1422,"")</f>
        <v/>
      </c>
    </row>
    <row r="1423" customFormat="false" ht="15" hidden="false" customHeight="false" outlineLevel="0" collapsed="false">
      <c r="A1423" s="9"/>
      <c r="B1423" s="4"/>
      <c r="C1423" s="10"/>
      <c r="D1423" s="11" t="str">
        <f aca="false">IF(K1423="","",IFERROR(INDEX(DECKS!$C$2:$C$1201,MATCH(K1423,DECKS!$B$2:$B$1201,0)),TRIM(I1423&amp;"")))</f>
        <v/>
      </c>
      <c r="E1423" s="4"/>
      <c r="F1423" s="12"/>
      <c r="G1423" s="4"/>
      <c r="H1423" s="13" t="str">
        <f aca="false">IF(OR(N(C1423)=0,N(F1423)=0),"",C1423*F1423)</f>
        <v/>
      </c>
      <c r="I1423" s="4"/>
      <c r="J1423" s="11" t="str">
        <f aca="false">IF(K1423="","",IF(N(C1423)&lt;=0,"Informe a quantidade",IF(IFERROR(INDEX(INVENTÁRIO!$B$2:$B$801,MATCH(K1423,INVENTÁRIO!$A$2:$A$801,0)),"")="(sem nome)","Carta fora dos decks: digite o nome na coluna I (opcional)","")))</f>
        <v/>
      </c>
      <c r="K1423" s="11" t="str">
        <f aca="false">UPPER(TRIM(SUBSTITUTE(B1423&amp;"",CHAR(160)," ")))</f>
        <v/>
      </c>
      <c r="L1423" s="11" t="str">
        <f aca="false">IF(AND(K1423&lt;&gt;"",TRIM(I1423&amp;"")&lt;&gt;""),K1423,"")</f>
        <v/>
      </c>
    </row>
    <row r="1424" customFormat="false" ht="15" hidden="false" customHeight="false" outlineLevel="0" collapsed="false">
      <c r="A1424" s="9"/>
      <c r="B1424" s="4"/>
      <c r="C1424" s="10"/>
      <c r="D1424" s="11" t="str">
        <f aca="false">IF(K1424="","",IFERROR(INDEX(DECKS!$C$2:$C$1201,MATCH(K1424,DECKS!$B$2:$B$1201,0)),TRIM(I1424&amp;"")))</f>
        <v/>
      </c>
      <c r="E1424" s="4"/>
      <c r="F1424" s="12"/>
      <c r="G1424" s="4"/>
      <c r="H1424" s="13" t="str">
        <f aca="false">IF(OR(N(C1424)=0,N(F1424)=0),"",C1424*F1424)</f>
        <v/>
      </c>
      <c r="I1424" s="4"/>
      <c r="J1424" s="11" t="str">
        <f aca="false">IF(K1424="","",IF(N(C1424)&lt;=0,"Informe a quantidade",IF(IFERROR(INDEX(INVENTÁRIO!$B$2:$B$801,MATCH(K1424,INVENTÁRIO!$A$2:$A$801,0)),"")="(sem nome)","Carta fora dos decks: digite o nome na coluna I (opcional)","")))</f>
        <v/>
      </c>
      <c r="K1424" s="11" t="str">
        <f aca="false">UPPER(TRIM(SUBSTITUTE(B1424&amp;"",CHAR(160)," ")))</f>
        <v/>
      </c>
      <c r="L1424" s="11" t="str">
        <f aca="false">IF(AND(K1424&lt;&gt;"",TRIM(I1424&amp;"")&lt;&gt;""),K1424,"")</f>
        <v/>
      </c>
    </row>
    <row r="1425" customFormat="false" ht="15" hidden="false" customHeight="false" outlineLevel="0" collapsed="false">
      <c r="A1425" s="9"/>
      <c r="B1425" s="4"/>
      <c r="C1425" s="10"/>
      <c r="D1425" s="11" t="str">
        <f aca="false">IF(K1425="","",IFERROR(INDEX(DECKS!$C$2:$C$1201,MATCH(K1425,DECKS!$B$2:$B$1201,0)),TRIM(I1425&amp;"")))</f>
        <v/>
      </c>
      <c r="E1425" s="4"/>
      <c r="F1425" s="12"/>
      <c r="G1425" s="4"/>
      <c r="H1425" s="13" t="str">
        <f aca="false">IF(OR(N(C1425)=0,N(F1425)=0),"",C1425*F1425)</f>
        <v/>
      </c>
      <c r="I1425" s="4"/>
      <c r="J1425" s="11" t="str">
        <f aca="false">IF(K1425="","",IF(N(C1425)&lt;=0,"Informe a quantidade",IF(IFERROR(INDEX(INVENTÁRIO!$B$2:$B$801,MATCH(K1425,INVENTÁRIO!$A$2:$A$801,0)),"")="(sem nome)","Carta fora dos decks: digite o nome na coluna I (opcional)","")))</f>
        <v/>
      </c>
      <c r="K1425" s="11" t="str">
        <f aca="false">UPPER(TRIM(SUBSTITUTE(B1425&amp;"",CHAR(160)," ")))</f>
        <v/>
      </c>
      <c r="L1425" s="11" t="str">
        <f aca="false">IF(AND(K1425&lt;&gt;"",TRIM(I1425&amp;"")&lt;&gt;""),K1425,"")</f>
        <v/>
      </c>
    </row>
    <row r="1426" customFormat="false" ht="15" hidden="false" customHeight="false" outlineLevel="0" collapsed="false">
      <c r="A1426" s="9"/>
      <c r="B1426" s="4"/>
      <c r="C1426" s="10"/>
      <c r="D1426" s="11" t="str">
        <f aca="false">IF(K1426="","",IFERROR(INDEX(DECKS!$C$2:$C$1201,MATCH(K1426,DECKS!$B$2:$B$1201,0)),TRIM(I1426&amp;"")))</f>
        <v/>
      </c>
      <c r="E1426" s="4"/>
      <c r="F1426" s="12"/>
      <c r="G1426" s="4"/>
      <c r="H1426" s="13" t="str">
        <f aca="false">IF(OR(N(C1426)=0,N(F1426)=0),"",C1426*F1426)</f>
        <v/>
      </c>
      <c r="I1426" s="4"/>
      <c r="J1426" s="11" t="str">
        <f aca="false">IF(K1426="","",IF(N(C1426)&lt;=0,"Informe a quantidade",IF(IFERROR(INDEX(INVENTÁRIO!$B$2:$B$801,MATCH(K1426,INVENTÁRIO!$A$2:$A$801,0)),"")="(sem nome)","Carta fora dos decks: digite o nome na coluna I (opcional)","")))</f>
        <v/>
      </c>
      <c r="K1426" s="11" t="str">
        <f aca="false">UPPER(TRIM(SUBSTITUTE(B1426&amp;"",CHAR(160)," ")))</f>
        <v/>
      </c>
      <c r="L1426" s="11" t="str">
        <f aca="false">IF(AND(K1426&lt;&gt;"",TRIM(I1426&amp;"")&lt;&gt;""),K1426,"")</f>
        <v/>
      </c>
    </row>
    <row r="1427" customFormat="false" ht="15" hidden="false" customHeight="false" outlineLevel="0" collapsed="false">
      <c r="A1427" s="9"/>
      <c r="B1427" s="4"/>
      <c r="C1427" s="10"/>
      <c r="D1427" s="11" t="str">
        <f aca="false">IF(K1427="","",IFERROR(INDEX(DECKS!$C$2:$C$1201,MATCH(K1427,DECKS!$B$2:$B$1201,0)),TRIM(I1427&amp;"")))</f>
        <v/>
      </c>
      <c r="E1427" s="4"/>
      <c r="F1427" s="12"/>
      <c r="G1427" s="4"/>
      <c r="H1427" s="13" t="str">
        <f aca="false">IF(OR(N(C1427)=0,N(F1427)=0),"",C1427*F1427)</f>
        <v/>
      </c>
      <c r="I1427" s="4"/>
      <c r="J1427" s="11" t="str">
        <f aca="false">IF(K1427="","",IF(N(C1427)&lt;=0,"Informe a quantidade",IF(IFERROR(INDEX(INVENTÁRIO!$B$2:$B$801,MATCH(K1427,INVENTÁRIO!$A$2:$A$801,0)),"")="(sem nome)","Carta fora dos decks: digite o nome na coluna I (opcional)","")))</f>
        <v/>
      </c>
      <c r="K1427" s="11" t="str">
        <f aca="false">UPPER(TRIM(SUBSTITUTE(B1427&amp;"",CHAR(160)," ")))</f>
        <v/>
      </c>
      <c r="L1427" s="11" t="str">
        <f aca="false">IF(AND(K1427&lt;&gt;"",TRIM(I1427&amp;"")&lt;&gt;""),K1427,"")</f>
        <v/>
      </c>
    </row>
    <row r="1428" customFormat="false" ht="15" hidden="false" customHeight="false" outlineLevel="0" collapsed="false">
      <c r="A1428" s="9"/>
      <c r="B1428" s="4"/>
      <c r="C1428" s="10"/>
      <c r="D1428" s="11" t="str">
        <f aca="false">IF(K1428="","",IFERROR(INDEX(DECKS!$C$2:$C$1201,MATCH(K1428,DECKS!$B$2:$B$1201,0)),TRIM(I1428&amp;"")))</f>
        <v/>
      </c>
      <c r="E1428" s="4"/>
      <c r="F1428" s="12"/>
      <c r="G1428" s="4"/>
      <c r="H1428" s="13" t="str">
        <f aca="false">IF(OR(N(C1428)=0,N(F1428)=0),"",C1428*F1428)</f>
        <v/>
      </c>
      <c r="I1428" s="4"/>
      <c r="J1428" s="11" t="str">
        <f aca="false">IF(K1428="","",IF(N(C1428)&lt;=0,"Informe a quantidade",IF(IFERROR(INDEX(INVENTÁRIO!$B$2:$B$801,MATCH(K1428,INVENTÁRIO!$A$2:$A$801,0)),"")="(sem nome)","Carta fora dos decks: digite o nome na coluna I (opcional)","")))</f>
        <v/>
      </c>
      <c r="K1428" s="11" t="str">
        <f aca="false">UPPER(TRIM(SUBSTITUTE(B1428&amp;"",CHAR(160)," ")))</f>
        <v/>
      </c>
      <c r="L1428" s="11" t="str">
        <f aca="false">IF(AND(K1428&lt;&gt;"",TRIM(I1428&amp;"")&lt;&gt;""),K1428,"")</f>
        <v/>
      </c>
    </row>
    <row r="1429" customFormat="false" ht="15" hidden="false" customHeight="false" outlineLevel="0" collapsed="false">
      <c r="A1429" s="9"/>
      <c r="B1429" s="4"/>
      <c r="C1429" s="10"/>
      <c r="D1429" s="11" t="str">
        <f aca="false">IF(K1429="","",IFERROR(INDEX(DECKS!$C$2:$C$1201,MATCH(K1429,DECKS!$B$2:$B$1201,0)),TRIM(I1429&amp;"")))</f>
        <v/>
      </c>
      <c r="E1429" s="4"/>
      <c r="F1429" s="12"/>
      <c r="G1429" s="4"/>
      <c r="H1429" s="13" t="str">
        <f aca="false">IF(OR(N(C1429)=0,N(F1429)=0),"",C1429*F1429)</f>
        <v/>
      </c>
      <c r="I1429" s="4"/>
      <c r="J1429" s="11" t="str">
        <f aca="false">IF(K1429="","",IF(N(C1429)&lt;=0,"Informe a quantidade",IF(IFERROR(INDEX(INVENTÁRIO!$B$2:$B$801,MATCH(K1429,INVENTÁRIO!$A$2:$A$801,0)),"")="(sem nome)","Carta fora dos decks: digite o nome na coluna I (opcional)","")))</f>
        <v/>
      </c>
      <c r="K1429" s="11" t="str">
        <f aca="false">UPPER(TRIM(SUBSTITUTE(B1429&amp;"",CHAR(160)," ")))</f>
        <v/>
      </c>
      <c r="L1429" s="11" t="str">
        <f aca="false">IF(AND(K1429&lt;&gt;"",TRIM(I1429&amp;"")&lt;&gt;""),K1429,"")</f>
        <v/>
      </c>
    </row>
    <row r="1430" customFormat="false" ht="15" hidden="false" customHeight="false" outlineLevel="0" collapsed="false">
      <c r="A1430" s="9"/>
      <c r="B1430" s="4"/>
      <c r="C1430" s="10"/>
      <c r="D1430" s="11" t="str">
        <f aca="false">IF(K1430="","",IFERROR(INDEX(DECKS!$C$2:$C$1201,MATCH(K1430,DECKS!$B$2:$B$1201,0)),TRIM(I1430&amp;"")))</f>
        <v/>
      </c>
      <c r="E1430" s="4"/>
      <c r="F1430" s="12"/>
      <c r="G1430" s="4"/>
      <c r="H1430" s="13" t="str">
        <f aca="false">IF(OR(N(C1430)=0,N(F1430)=0),"",C1430*F1430)</f>
        <v/>
      </c>
      <c r="I1430" s="4"/>
      <c r="J1430" s="11" t="str">
        <f aca="false">IF(K1430="","",IF(N(C1430)&lt;=0,"Informe a quantidade",IF(IFERROR(INDEX(INVENTÁRIO!$B$2:$B$801,MATCH(K1430,INVENTÁRIO!$A$2:$A$801,0)),"")="(sem nome)","Carta fora dos decks: digite o nome na coluna I (opcional)","")))</f>
        <v/>
      </c>
      <c r="K1430" s="11" t="str">
        <f aca="false">UPPER(TRIM(SUBSTITUTE(B1430&amp;"",CHAR(160)," ")))</f>
        <v/>
      </c>
      <c r="L1430" s="11" t="str">
        <f aca="false">IF(AND(K1430&lt;&gt;"",TRIM(I1430&amp;"")&lt;&gt;""),K1430,"")</f>
        <v/>
      </c>
    </row>
    <row r="1431" customFormat="false" ht="15" hidden="false" customHeight="false" outlineLevel="0" collapsed="false">
      <c r="A1431" s="9"/>
      <c r="B1431" s="4"/>
      <c r="C1431" s="10"/>
      <c r="D1431" s="11" t="str">
        <f aca="false">IF(K1431="","",IFERROR(INDEX(DECKS!$C$2:$C$1201,MATCH(K1431,DECKS!$B$2:$B$1201,0)),TRIM(I1431&amp;"")))</f>
        <v/>
      </c>
      <c r="E1431" s="4"/>
      <c r="F1431" s="12"/>
      <c r="G1431" s="4"/>
      <c r="H1431" s="13" t="str">
        <f aca="false">IF(OR(N(C1431)=0,N(F1431)=0),"",C1431*F1431)</f>
        <v/>
      </c>
      <c r="I1431" s="4"/>
      <c r="J1431" s="11" t="str">
        <f aca="false">IF(K1431="","",IF(N(C1431)&lt;=0,"Informe a quantidade",IF(IFERROR(INDEX(INVENTÁRIO!$B$2:$B$801,MATCH(K1431,INVENTÁRIO!$A$2:$A$801,0)),"")="(sem nome)","Carta fora dos decks: digite o nome na coluna I (opcional)","")))</f>
        <v/>
      </c>
      <c r="K1431" s="11" t="str">
        <f aca="false">UPPER(TRIM(SUBSTITUTE(B1431&amp;"",CHAR(160)," ")))</f>
        <v/>
      </c>
      <c r="L1431" s="11" t="str">
        <f aca="false">IF(AND(K1431&lt;&gt;"",TRIM(I1431&amp;"")&lt;&gt;""),K1431,"")</f>
        <v/>
      </c>
    </row>
    <row r="1432" customFormat="false" ht="15" hidden="false" customHeight="false" outlineLevel="0" collapsed="false">
      <c r="A1432" s="9"/>
      <c r="B1432" s="4"/>
      <c r="C1432" s="10"/>
      <c r="D1432" s="11" t="str">
        <f aca="false">IF(K1432="","",IFERROR(INDEX(DECKS!$C$2:$C$1201,MATCH(K1432,DECKS!$B$2:$B$1201,0)),TRIM(I1432&amp;"")))</f>
        <v/>
      </c>
      <c r="E1432" s="4"/>
      <c r="F1432" s="12"/>
      <c r="G1432" s="4"/>
      <c r="H1432" s="13" t="str">
        <f aca="false">IF(OR(N(C1432)=0,N(F1432)=0),"",C1432*F1432)</f>
        <v/>
      </c>
      <c r="I1432" s="4"/>
      <c r="J1432" s="11" t="str">
        <f aca="false">IF(K1432="","",IF(N(C1432)&lt;=0,"Informe a quantidade",IF(IFERROR(INDEX(INVENTÁRIO!$B$2:$B$801,MATCH(K1432,INVENTÁRIO!$A$2:$A$801,0)),"")="(sem nome)","Carta fora dos decks: digite o nome na coluna I (opcional)","")))</f>
        <v/>
      </c>
      <c r="K1432" s="11" t="str">
        <f aca="false">UPPER(TRIM(SUBSTITUTE(B1432&amp;"",CHAR(160)," ")))</f>
        <v/>
      </c>
      <c r="L1432" s="11" t="str">
        <f aca="false">IF(AND(K1432&lt;&gt;"",TRIM(I1432&amp;"")&lt;&gt;""),K1432,"")</f>
        <v/>
      </c>
    </row>
    <row r="1433" customFormat="false" ht="15" hidden="false" customHeight="false" outlineLevel="0" collapsed="false">
      <c r="A1433" s="9"/>
      <c r="B1433" s="4"/>
      <c r="C1433" s="10"/>
      <c r="D1433" s="11" t="str">
        <f aca="false">IF(K1433="","",IFERROR(INDEX(DECKS!$C$2:$C$1201,MATCH(K1433,DECKS!$B$2:$B$1201,0)),TRIM(I1433&amp;"")))</f>
        <v/>
      </c>
      <c r="E1433" s="4"/>
      <c r="F1433" s="12"/>
      <c r="G1433" s="4"/>
      <c r="H1433" s="13" t="str">
        <f aca="false">IF(OR(N(C1433)=0,N(F1433)=0),"",C1433*F1433)</f>
        <v/>
      </c>
      <c r="I1433" s="4"/>
      <c r="J1433" s="11" t="str">
        <f aca="false">IF(K1433="","",IF(N(C1433)&lt;=0,"Informe a quantidade",IF(IFERROR(INDEX(INVENTÁRIO!$B$2:$B$801,MATCH(K1433,INVENTÁRIO!$A$2:$A$801,0)),"")="(sem nome)","Carta fora dos decks: digite o nome na coluna I (opcional)","")))</f>
        <v/>
      </c>
      <c r="K1433" s="11" t="str">
        <f aca="false">UPPER(TRIM(SUBSTITUTE(B1433&amp;"",CHAR(160)," ")))</f>
        <v/>
      </c>
      <c r="L1433" s="11" t="str">
        <f aca="false">IF(AND(K1433&lt;&gt;"",TRIM(I1433&amp;"")&lt;&gt;""),K1433,"")</f>
        <v/>
      </c>
    </row>
    <row r="1434" customFormat="false" ht="15" hidden="false" customHeight="false" outlineLevel="0" collapsed="false">
      <c r="A1434" s="9"/>
      <c r="B1434" s="4"/>
      <c r="C1434" s="10"/>
      <c r="D1434" s="11" t="str">
        <f aca="false">IF(K1434="","",IFERROR(INDEX(DECKS!$C$2:$C$1201,MATCH(K1434,DECKS!$B$2:$B$1201,0)),TRIM(I1434&amp;"")))</f>
        <v/>
      </c>
      <c r="E1434" s="4"/>
      <c r="F1434" s="12"/>
      <c r="G1434" s="4"/>
      <c r="H1434" s="13" t="str">
        <f aca="false">IF(OR(N(C1434)=0,N(F1434)=0),"",C1434*F1434)</f>
        <v/>
      </c>
      <c r="I1434" s="4"/>
      <c r="J1434" s="11" t="str">
        <f aca="false">IF(K1434="","",IF(N(C1434)&lt;=0,"Informe a quantidade",IF(IFERROR(INDEX(INVENTÁRIO!$B$2:$B$801,MATCH(K1434,INVENTÁRIO!$A$2:$A$801,0)),"")="(sem nome)","Carta fora dos decks: digite o nome na coluna I (opcional)","")))</f>
        <v/>
      </c>
      <c r="K1434" s="11" t="str">
        <f aca="false">UPPER(TRIM(SUBSTITUTE(B1434&amp;"",CHAR(160)," ")))</f>
        <v/>
      </c>
      <c r="L1434" s="11" t="str">
        <f aca="false">IF(AND(K1434&lt;&gt;"",TRIM(I1434&amp;"")&lt;&gt;""),K1434,"")</f>
        <v/>
      </c>
    </row>
    <row r="1435" customFormat="false" ht="15" hidden="false" customHeight="false" outlineLevel="0" collapsed="false">
      <c r="A1435" s="9"/>
      <c r="B1435" s="4"/>
      <c r="C1435" s="10"/>
      <c r="D1435" s="11" t="str">
        <f aca="false">IF(K1435="","",IFERROR(INDEX(DECKS!$C$2:$C$1201,MATCH(K1435,DECKS!$B$2:$B$1201,0)),TRIM(I1435&amp;"")))</f>
        <v/>
      </c>
      <c r="E1435" s="4"/>
      <c r="F1435" s="12"/>
      <c r="G1435" s="4"/>
      <c r="H1435" s="13" t="str">
        <f aca="false">IF(OR(N(C1435)=0,N(F1435)=0),"",C1435*F1435)</f>
        <v/>
      </c>
      <c r="I1435" s="4"/>
      <c r="J1435" s="11" t="str">
        <f aca="false">IF(K1435="","",IF(N(C1435)&lt;=0,"Informe a quantidade",IF(IFERROR(INDEX(INVENTÁRIO!$B$2:$B$801,MATCH(K1435,INVENTÁRIO!$A$2:$A$801,0)),"")="(sem nome)","Carta fora dos decks: digite o nome na coluna I (opcional)","")))</f>
        <v/>
      </c>
      <c r="K1435" s="11" t="str">
        <f aca="false">UPPER(TRIM(SUBSTITUTE(B1435&amp;"",CHAR(160)," ")))</f>
        <v/>
      </c>
      <c r="L1435" s="11" t="str">
        <f aca="false">IF(AND(K1435&lt;&gt;"",TRIM(I1435&amp;"")&lt;&gt;""),K1435,"")</f>
        <v/>
      </c>
    </row>
    <row r="1436" customFormat="false" ht="15" hidden="false" customHeight="false" outlineLevel="0" collapsed="false">
      <c r="A1436" s="9"/>
      <c r="B1436" s="4"/>
      <c r="C1436" s="10"/>
      <c r="D1436" s="11" t="str">
        <f aca="false">IF(K1436="","",IFERROR(INDEX(DECKS!$C$2:$C$1201,MATCH(K1436,DECKS!$B$2:$B$1201,0)),TRIM(I1436&amp;"")))</f>
        <v/>
      </c>
      <c r="E1436" s="4"/>
      <c r="F1436" s="12"/>
      <c r="G1436" s="4"/>
      <c r="H1436" s="13" t="str">
        <f aca="false">IF(OR(N(C1436)=0,N(F1436)=0),"",C1436*F1436)</f>
        <v/>
      </c>
      <c r="I1436" s="4"/>
      <c r="J1436" s="11" t="str">
        <f aca="false">IF(K1436="","",IF(N(C1436)&lt;=0,"Informe a quantidade",IF(IFERROR(INDEX(INVENTÁRIO!$B$2:$B$801,MATCH(K1436,INVENTÁRIO!$A$2:$A$801,0)),"")="(sem nome)","Carta fora dos decks: digite o nome na coluna I (opcional)","")))</f>
        <v/>
      </c>
      <c r="K1436" s="11" t="str">
        <f aca="false">UPPER(TRIM(SUBSTITUTE(B1436&amp;"",CHAR(160)," ")))</f>
        <v/>
      </c>
      <c r="L1436" s="11" t="str">
        <f aca="false">IF(AND(K1436&lt;&gt;"",TRIM(I1436&amp;"")&lt;&gt;""),K1436,"")</f>
        <v/>
      </c>
    </row>
    <row r="1437" customFormat="false" ht="15" hidden="false" customHeight="false" outlineLevel="0" collapsed="false">
      <c r="A1437" s="9"/>
      <c r="B1437" s="4"/>
      <c r="C1437" s="10"/>
      <c r="D1437" s="11" t="str">
        <f aca="false">IF(K1437="","",IFERROR(INDEX(DECKS!$C$2:$C$1201,MATCH(K1437,DECKS!$B$2:$B$1201,0)),TRIM(I1437&amp;"")))</f>
        <v/>
      </c>
      <c r="E1437" s="4"/>
      <c r="F1437" s="12"/>
      <c r="G1437" s="4"/>
      <c r="H1437" s="13" t="str">
        <f aca="false">IF(OR(N(C1437)=0,N(F1437)=0),"",C1437*F1437)</f>
        <v/>
      </c>
      <c r="I1437" s="4"/>
      <c r="J1437" s="11" t="str">
        <f aca="false">IF(K1437="","",IF(N(C1437)&lt;=0,"Informe a quantidade",IF(IFERROR(INDEX(INVENTÁRIO!$B$2:$B$801,MATCH(K1437,INVENTÁRIO!$A$2:$A$801,0)),"")="(sem nome)","Carta fora dos decks: digite o nome na coluna I (opcional)","")))</f>
        <v/>
      </c>
      <c r="K1437" s="11" t="str">
        <f aca="false">UPPER(TRIM(SUBSTITUTE(B1437&amp;"",CHAR(160)," ")))</f>
        <v/>
      </c>
      <c r="L1437" s="11" t="str">
        <f aca="false">IF(AND(K1437&lt;&gt;"",TRIM(I1437&amp;"")&lt;&gt;""),K1437,"")</f>
        <v/>
      </c>
    </row>
    <row r="1438" customFormat="false" ht="15" hidden="false" customHeight="false" outlineLevel="0" collapsed="false">
      <c r="A1438" s="9"/>
      <c r="B1438" s="4"/>
      <c r="C1438" s="10"/>
      <c r="D1438" s="11" t="str">
        <f aca="false">IF(K1438="","",IFERROR(INDEX(DECKS!$C$2:$C$1201,MATCH(K1438,DECKS!$B$2:$B$1201,0)),TRIM(I1438&amp;"")))</f>
        <v/>
      </c>
      <c r="E1438" s="4"/>
      <c r="F1438" s="12"/>
      <c r="G1438" s="4"/>
      <c r="H1438" s="13" t="str">
        <f aca="false">IF(OR(N(C1438)=0,N(F1438)=0),"",C1438*F1438)</f>
        <v/>
      </c>
      <c r="I1438" s="4"/>
      <c r="J1438" s="11" t="str">
        <f aca="false">IF(K1438="","",IF(N(C1438)&lt;=0,"Informe a quantidade",IF(IFERROR(INDEX(INVENTÁRIO!$B$2:$B$801,MATCH(K1438,INVENTÁRIO!$A$2:$A$801,0)),"")="(sem nome)","Carta fora dos decks: digite o nome na coluna I (opcional)","")))</f>
        <v/>
      </c>
      <c r="K1438" s="11" t="str">
        <f aca="false">UPPER(TRIM(SUBSTITUTE(B1438&amp;"",CHAR(160)," ")))</f>
        <v/>
      </c>
      <c r="L1438" s="11" t="str">
        <f aca="false">IF(AND(K1438&lt;&gt;"",TRIM(I1438&amp;"")&lt;&gt;""),K1438,"")</f>
        <v/>
      </c>
    </row>
    <row r="1439" customFormat="false" ht="15" hidden="false" customHeight="false" outlineLevel="0" collapsed="false">
      <c r="A1439" s="9"/>
      <c r="B1439" s="4"/>
      <c r="C1439" s="10"/>
      <c r="D1439" s="11" t="str">
        <f aca="false">IF(K1439="","",IFERROR(INDEX(DECKS!$C$2:$C$1201,MATCH(K1439,DECKS!$B$2:$B$1201,0)),TRIM(I1439&amp;"")))</f>
        <v/>
      </c>
      <c r="E1439" s="4"/>
      <c r="F1439" s="12"/>
      <c r="G1439" s="4"/>
      <c r="H1439" s="13" t="str">
        <f aca="false">IF(OR(N(C1439)=0,N(F1439)=0),"",C1439*F1439)</f>
        <v/>
      </c>
      <c r="I1439" s="4"/>
      <c r="J1439" s="11" t="str">
        <f aca="false">IF(K1439="","",IF(N(C1439)&lt;=0,"Informe a quantidade",IF(IFERROR(INDEX(INVENTÁRIO!$B$2:$B$801,MATCH(K1439,INVENTÁRIO!$A$2:$A$801,0)),"")="(sem nome)","Carta fora dos decks: digite o nome na coluna I (opcional)","")))</f>
        <v/>
      </c>
      <c r="K1439" s="11" t="str">
        <f aca="false">UPPER(TRIM(SUBSTITUTE(B1439&amp;"",CHAR(160)," ")))</f>
        <v/>
      </c>
      <c r="L1439" s="11" t="str">
        <f aca="false">IF(AND(K1439&lt;&gt;"",TRIM(I1439&amp;"")&lt;&gt;""),K1439,"")</f>
        <v/>
      </c>
    </row>
    <row r="1440" customFormat="false" ht="15" hidden="false" customHeight="false" outlineLevel="0" collapsed="false">
      <c r="A1440" s="9"/>
      <c r="B1440" s="4"/>
      <c r="C1440" s="10"/>
      <c r="D1440" s="11" t="str">
        <f aca="false">IF(K1440="","",IFERROR(INDEX(DECKS!$C$2:$C$1201,MATCH(K1440,DECKS!$B$2:$B$1201,0)),TRIM(I1440&amp;"")))</f>
        <v/>
      </c>
      <c r="E1440" s="4"/>
      <c r="F1440" s="12"/>
      <c r="G1440" s="4"/>
      <c r="H1440" s="13" t="str">
        <f aca="false">IF(OR(N(C1440)=0,N(F1440)=0),"",C1440*F1440)</f>
        <v/>
      </c>
      <c r="I1440" s="4"/>
      <c r="J1440" s="11" t="str">
        <f aca="false">IF(K1440="","",IF(N(C1440)&lt;=0,"Informe a quantidade",IF(IFERROR(INDEX(INVENTÁRIO!$B$2:$B$801,MATCH(K1440,INVENTÁRIO!$A$2:$A$801,0)),"")="(sem nome)","Carta fora dos decks: digite o nome na coluna I (opcional)","")))</f>
        <v/>
      </c>
      <c r="K1440" s="11" t="str">
        <f aca="false">UPPER(TRIM(SUBSTITUTE(B1440&amp;"",CHAR(160)," ")))</f>
        <v/>
      </c>
      <c r="L1440" s="11" t="str">
        <f aca="false">IF(AND(K1440&lt;&gt;"",TRIM(I1440&amp;"")&lt;&gt;""),K1440,"")</f>
        <v/>
      </c>
    </row>
    <row r="1441" customFormat="false" ht="15" hidden="false" customHeight="false" outlineLevel="0" collapsed="false">
      <c r="A1441" s="9"/>
      <c r="B1441" s="4"/>
      <c r="C1441" s="10"/>
      <c r="D1441" s="11" t="str">
        <f aca="false">IF(K1441="","",IFERROR(INDEX(DECKS!$C$2:$C$1201,MATCH(K1441,DECKS!$B$2:$B$1201,0)),TRIM(I1441&amp;"")))</f>
        <v/>
      </c>
      <c r="E1441" s="4"/>
      <c r="F1441" s="12"/>
      <c r="G1441" s="4"/>
      <c r="H1441" s="13" t="str">
        <f aca="false">IF(OR(N(C1441)=0,N(F1441)=0),"",C1441*F1441)</f>
        <v/>
      </c>
      <c r="I1441" s="4"/>
      <c r="J1441" s="11" t="str">
        <f aca="false">IF(K1441="","",IF(N(C1441)&lt;=0,"Informe a quantidade",IF(IFERROR(INDEX(INVENTÁRIO!$B$2:$B$801,MATCH(K1441,INVENTÁRIO!$A$2:$A$801,0)),"")="(sem nome)","Carta fora dos decks: digite o nome na coluna I (opcional)","")))</f>
        <v/>
      </c>
      <c r="K1441" s="11" t="str">
        <f aca="false">UPPER(TRIM(SUBSTITUTE(B1441&amp;"",CHAR(160)," ")))</f>
        <v/>
      </c>
      <c r="L1441" s="11" t="str">
        <f aca="false">IF(AND(K1441&lt;&gt;"",TRIM(I1441&amp;"")&lt;&gt;""),K1441,"")</f>
        <v/>
      </c>
    </row>
    <row r="1442" customFormat="false" ht="15" hidden="false" customHeight="false" outlineLevel="0" collapsed="false">
      <c r="A1442" s="9"/>
      <c r="B1442" s="4"/>
      <c r="C1442" s="10"/>
      <c r="D1442" s="11" t="str">
        <f aca="false">IF(K1442="","",IFERROR(INDEX(DECKS!$C$2:$C$1201,MATCH(K1442,DECKS!$B$2:$B$1201,0)),TRIM(I1442&amp;"")))</f>
        <v/>
      </c>
      <c r="E1442" s="4"/>
      <c r="F1442" s="12"/>
      <c r="G1442" s="4"/>
      <c r="H1442" s="13" t="str">
        <f aca="false">IF(OR(N(C1442)=0,N(F1442)=0),"",C1442*F1442)</f>
        <v/>
      </c>
      <c r="I1442" s="4"/>
      <c r="J1442" s="11" t="str">
        <f aca="false">IF(K1442="","",IF(N(C1442)&lt;=0,"Informe a quantidade",IF(IFERROR(INDEX(INVENTÁRIO!$B$2:$B$801,MATCH(K1442,INVENTÁRIO!$A$2:$A$801,0)),"")="(sem nome)","Carta fora dos decks: digite o nome na coluna I (opcional)","")))</f>
        <v/>
      </c>
      <c r="K1442" s="11" t="str">
        <f aca="false">UPPER(TRIM(SUBSTITUTE(B1442&amp;"",CHAR(160)," ")))</f>
        <v/>
      </c>
      <c r="L1442" s="11" t="str">
        <f aca="false">IF(AND(K1442&lt;&gt;"",TRIM(I1442&amp;"")&lt;&gt;""),K1442,"")</f>
        <v/>
      </c>
    </row>
    <row r="1443" customFormat="false" ht="15" hidden="false" customHeight="false" outlineLevel="0" collapsed="false">
      <c r="A1443" s="9"/>
      <c r="B1443" s="4"/>
      <c r="C1443" s="10"/>
      <c r="D1443" s="11" t="str">
        <f aca="false">IF(K1443="","",IFERROR(INDEX(DECKS!$C$2:$C$1201,MATCH(K1443,DECKS!$B$2:$B$1201,0)),TRIM(I1443&amp;"")))</f>
        <v/>
      </c>
      <c r="E1443" s="4"/>
      <c r="F1443" s="12"/>
      <c r="G1443" s="4"/>
      <c r="H1443" s="13" t="str">
        <f aca="false">IF(OR(N(C1443)=0,N(F1443)=0),"",C1443*F1443)</f>
        <v/>
      </c>
      <c r="I1443" s="4"/>
      <c r="J1443" s="11" t="str">
        <f aca="false">IF(K1443="","",IF(N(C1443)&lt;=0,"Informe a quantidade",IF(IFERROR(INDEX(INVENTÁRIO!$B$2:$B$801,MATCH(K1443,INVENTÁRIO!$A$2:$A$801,0)),"")="(sem nome)","Carta fora dos decks: digite o nome na coluna I (opcional)","")))</f>
        <v/>
      </c>
      <c r="K1443" s="11" t="str">
        <f aca="false">UPPER(TRIM(SUBSTITUTE(B1443&amp;"",CHAR(160)," ")))</f>
        <v/>
      </c>
      <c r="L1443" s="11" t="str">
        <f aca="false">IF(AND(K1443&lt;&gt;"",TRIM(I1443&amp;"")&lt;&gt;""),K1443,"")</f>
        <v/>
      </c>
    </row>
    <row r="1444" customFormat="false" ht="15" hidden="false" customHeight="false" outlineLevel="0" collapsed="false">
      <c r="A1444" s="9"/>
      <c r="B1444" s="4"/>
      <c r="C1444" s="10"/>
      <c r="D1444" s="11" t="str">
        <f aca="false">IF(K1444="","",IFERROR(INDEX(DECKS!$C$2:$C$1201,MATCH(K1444,DECKS!$B$2:$B$1201,0)),TRIM(I1444&amp;"")))</f>
        <v/>
      </c>
      <c r="E1444" s="4"/>
      <c r="F1444" s="12"/>
      <c r="G1444" s="4"/>
      <c r="H1444" s="13" t="str">
        <f aca="false">IF(OR(N(C1444)=0,N(F1444)=0),"",C1444*F1444)</f>
        <v/>
      </c>
      <c r="I1444" s="4"/>
      <c r="J1444" s="11" t="str">
        <f aca="false">IF(K1444="","",IF(N(C1444)&lt;=0,"Informe a quantidade",IF(IFERROR(INDEX(INVENTÁRIO!$B$2:$B$801,MATCH(K1444,INVENTÁRIO!$A$2:$A$801,0)),"")="(sem nome)","Carta fora dos decks: digite o nome na coluna I (opcional)","")))</f>
        <v/>
      </c>
      <c r="K1444" s="11" t="str">
        <f aca="false">UPPER(TRIM(SUBSTITUTE(B1444&amp;"",CHAR(160)," ")))</f>
        <v/>
      </c>
      <c r="L1444" s="11" t="str">
        <f aca="false">IF(AND(K1444&lt;&gt;"",TRIM(I1444&amp;"")&lt;&gt;""),K1444,"")</f>
        <v/>
      </c>
    </row>
    <row r="1445" customFormat="false" ht="15" hidden="false" customHeight="false" outlineLevel="0" collapsed="false">
      <c r="A1445" s="9"/>
      <c r="B1445" s="4"/>
      <c r="C1445" s="10"/>
      <c r="D1445" s="11" t="str">
        <f aca="false">IF(K1445="","",IFERROR(INDEX(DECKS!$C$2:$C$1201,MATCH(K1445,DECKS!$B$2:$B$1201,0)),TRIM(I1445&amp;"")))</f>
        <v/>
      </c>
      <c r="E1445" s="4"/>
      <c r="F1445" s="12"/>
      <c r="G1445" s="4"/>
      <c r="H1445" s="13" t="str">
        <f aca="false">IF(OR(N(C1445)=0,N(F1445)=0),"",C1445*F1445)</f>
        <v/>
      </c>
      <c r="I1445" s="4"/>
      <c r="J1445" s="11" t="str">
        <f aca="false">IF(K1445="","",IF(N(C1445)&lt;=0,"Informe a quantidade",IF(IFERROR(INDEX(INVENTÁRIO!$B$2:$B$801,MATCH(K1445,INVENTÁRIO!$A$2:$A$801,0)),"")="(sem nome)","Carta fora dos decks: digite o nome na coluna I (opcional)","")))</f>
        <v/>
      </c>
      <c r="K1445" s="11" t="str">
        <f aca="false">UPPER(TRIM(SUBSTITUTE(B1445&amp;"",CHAR(160)," ")))</f>
        <v/>
      </c>
      <c r="L1445" s="11" t="str">
        <f aca="false">IF(AND(K1445&lt;&gt;"",TRIM(I1445&amp;"")&lt;&gt;""),K1445,"")</f>
        <v/>
      </c>
    </row>
    <row r="1446" customFormat="false" ht="15" hidden="false" customHeight="false" outlineLevel="0" collapsed="false">
      <c r="A1446" s="9"/>
      <c r="B1446" s="4"/>
      <c r="C1446" s="10"/>
      <c r="D1446" s="11" t="str">
        <f aca="false">IF(K1446="","",IFERROR(INDEX(DECKS!$C$2:$C$1201,MATCH(K1446,DECKS!$B$2:$B$1201,0)),TRIM(I1446&amp;"")))</f>
        <v/>
      </c>
      <c r="E1446" s="4"/>
      <c r="F1446" s="12"/>
      <c r="G1446" s="4"/>
      <c r="H1446" s="13" t="str">
        <f aca="false">IF(OR(N(C1446)=0,N(F1446)=0),"",C1446*F1446)</f>
        <v/>
      </c>
      <c r="I1446" s="4"/>
      <c r="J1446" s="11" t="str">
        <f aca="false">IF(K1446="","",IF(N(C1446)&lt;=0,"Informe a quantidade",IF(IFERROR(INDEX(INVENTÁRIO!$B$2:$B$801,MATCH(K1446,INVENTÁRIO!$A$2:$A$801,0)),"")="(sem nome)","Carta fora dos decks: digite o nome na coluna I (opcional)","")))</f>
        <v/>
      </c>
      <c r="K1446" s="11" t="str">
        <f aca="false">UPPER(TRIM(SUBSTITUTE(B1446&amp;"",CHAR(160)," ")))</f>
        <v/>
      </c>
      <c r="L1446" s="11" t="str">
        <f aca="false">IF(AND(K1446&lt;&gt;"",TRIM(I1446&amp;"")&lt;&gt;""),K1446,"")</f>
        <v/>
      </c>
    </row>
    <row r="1447" customFormat="false" ht="15" hidden="false" customHeight="false" outlineLevel="0" collapsed="false">
      <c r="A1447" s="9"/>
      <c r="B1447" s="4"/>
      <c r="C1447" s="10"/>
      <c r="D1447" s="11" t="str">
        <f aca="false">IF(K1447="","",IFERROR(INDEX(DECKS!$C$2:$C$1201,MATCH(K1447,DECKS!$B$2:$B$1201,0)),TRIM(I1447&amp;"")))</f>
        <v/>
      </c>
      <c r="E1447" s="4"/>
      <c r="F1447" s="12"/>
      <c r="G1447" s="4"/>
      <c r="H1447" s="13" t="str">
        <f aca="false">IF(OR(N(C1447)=0,N(F1447)=0),"",C1447*F1447)</f>
        <v/>
      </c>
      <c r="I1447" s="4"/>
      <c r="J1447" s="11" t="str">
        <f aca="false">IF(K1447="","",IF(N(C1447)&lt;=0,"Informe a quantidade",IF(IFERROR(INDEX(INVENTÁRIO!$B$2:$B$801,MATCH(K1447,INVENTÁRIO!$A$2:$A$801,0)),"")="(sem nome)","Carta fora dos decks: digite o nome na coluna I (opcional)","")))</f>
        <v/>
      </c>
      <c r="K1447" s="11" t="str">
        <f aca="false">UPPER(TRIM(SUBSTITUTE(B1447&amp;"",CHAR(160)," ")))</f>
        <v/>
      </c>
      <c r="L1447" s="11" t="str">
        <f aca="false">IF(AND(K1447&lt;&gt;"",TRIM(I1447&amp;"")&lt;&gt;""),K1447,"")</f>
        <v/>
      </c>
    </row>
    <row r="1448" customFormat="false" ht="15" hidden="false" customHeight="false" outlineLevel="0" collapsed="false">
      <c r="A1448" s="9"/>
      <c r="B1448" s="4"/>
      <c r="C1448" s="10"/>
      <c r="D1448" s="11" t="str">
        <f aca="false">IF(K1448="","",IFERROR(INDEX(DECKS!$C$2:$C$1201,MATCH(K1448,DECKS!$B$2:$B$1201,0)),TRIM(I1448&amp;"")))</f>
        <v/>
      </c>
      <c r="E1448" s="4"/>
      <c r="F1448" s="12"/>
      <c r="G1448" s="4"/>
      <c r="H1448" s="13" t="str">
        <f aca="false">IF(OR(N(C1448)=0,N(F1448)=0),"",C1448*F1448)</f>
        <v/>
      </c>
      <c r="I1448" s="4"/>
      <c r="J1448" s="11" t="str">
        <f aca="false">IF(K1448="","",IF(N(C1448)&lt;=0,"Informe a quantidade",IF(IFERROR(INDEX(INVENTÁRIO!$B$2:$B$801,MATCH(K1448,INVENTÁRIO!$A$2:$A$801,0)),"")="(sem nome)","Carta fora dos decks: digite o nome na coluna I (opcional)","")))</f>
        <v/>
      </c>
      <c r="K1448" s="11" t="str">
        <f aca="false">UPPER(TRIM(SUBSTITUTE(B1448&amp;"",CHAR(160)," ")))</f>
        <v/>
      </c>
      <c r="L1448" s="11" t="str">
        <f aca="false">IF(AND(K1448&lt;&gt;"",TRIM(I1448&amp;"")&lt;&gt;""),K1448,"")</f>
        <v/>
      </c>
    </row>
    <row r="1449" customFormat="false" ht="15" hidden="false" customHeight="false" outlineLevel="0" collapsed="false">
      <c r="A1449" s="9"/>
      <c r="B1449" s="4"/>
      <c r="C1449" s="10"/>
      <c r="D1449" s="11" t="str">
        <f aca="false">IF(K1449="","",IFERROR(INDEX(DECKS!$C$2:$C$1201,MATCH(K1449,DECKS!$B$2:$B$1201,0)),TRIM(I1449&amp;"")))</f>
        <v/>
      </c>
      <c r="E1449" s="4"/>
      <c r="F1449" s="12"/>
      <c r="G1449" s="4"/>
      <c r="H1449" s="13" t="str">
        <f aca="false">IF(OR(N(C1449)=0,N(F1449)=0),"",C1449*F1449)</f>
        <v/>
      </c>
      <c r="I1449" s="4"/>
      <c r="J1449" s="11" t="str">
        <f aca="false">IF(K1449="","",IF(N(C1449)&lt;=0,"Informe a quantidade",IF(IFERROR(INDEX(INVENTÁRIO!$B$2:$B$801,MATCH(K1449,INVENTÁRIO!$A$2:$A$801,0)),"")="(sem nome)","Carta fora dos decks: digite o nome na coluna I (opcional)","")))</f>
        <v/>
      </c>
      <c r="K1449" s="11" t="str">
        <f aca="false">UPPER(TRIM(SUBSTITUTE(B1449&amp;"",CHAR(160)," ")))</f>
        <v/>
      </c>
      <c r="L1449" s="11" t="str">
        <f aca="false">IF(AND(K1449&lt;&gt;"",TRIM(I1449&amp;"")&lt;&gt;""),K1449,"")</f>
        <v/>
      </c>
    </row>
    <row r="1450" customFormat="false" ht="15" hidden="false" customHeight="false" outlineLevel="0" collapsed="false">
      <c r="A1450" s="9"/>
      <c r="B1450" s="4"/>
      <c r="C1450" s="10"/>
      <c r="D1450" s="11" t="str">
        <f aca="false">IF(K1450="","",IFERROR(INDEX(DECKS!$C$2:$C$1201,MATCH(K1450,DECKS!$B$2:$B$1201,0)),TRIM(I1450&amp;"")))</f>
        <v/>
      </c>
      <c r="E1450" s="4"/>
      <c r="F1450" s="12"/>
      <c r="G1450" s="4"/>
      <c r="H1450" s="13" t="str">
        <f aca="false">IF(OR(N(C1450)=0,N(F1450)=0),"",C1450*F1450)</f>
        <v/>
      </c>
      <c r="I1450" s="4"/>
      <c r="J1450" s="11" t="str">
        <f aca="false">IF(K1450="","",IF(N(C1450)&lt;=0,"Informe a quantidade",IF(IFERROR(INDEX(INVENTÁRIO!$B$2:$B$801,MATCH(K1450,INVENTÁRIO!$A$2:$A$801,0)),"")="(sem nome)","Carta fora dos decks: digite o nome na coluna I (opcional)","")))</f>
        <v/>
      </c>
      <c r="K1450" s="11" t="str">
        <f aca="false">UPPER(TRIM(SUBSTITUTE(B1450&amp;"",CHAR(160)," ")))</f>
        <v/>
      </c>
      <c r="L1450" s="11" t="str">
        <f aca="false">IF(AND(K1450&lt;&gt;"",TRIM(I1450&amp;"")&lt;&gt;""),K1450,"")</f>
        <v/>
      </c>
    </row>
    <row r="1451" customFormat="false" ht="15" hidden="false" customHeight="false" outlineLevel="0" collapsed="false">
      <c r="A1451" s="9"/>
      <c r="B1451" s="4"/>
      <c r="C1451" s="10"/>
      <c r="D1451" s="11" t="str">
        <f aca="false">IF(K1451="","",IFERROR(INDEX(DECKS!$C$2:$C$1201,MATCH(K1451,DECKS!$B$2:$B$1201,0)),TRIM(I1451&amp;"")))</f>
        <v/>
      </c>
      <c r="E1451" s="4"/>
      <c r="F1451" s="12"/>
      <c r="G1451" s="4"/>
      <c r="H1451" s="13" t="str">
        <f aca="false">IF(OR(N(C1451)=0,N(F1451)=0),"",C1451*F1451)</f>
        <v/>
      </c>
      <c r="I1451" s="4"/>
      <c r="J1451" s="11" t="str">
        <f aca="false">IF(K1451="","",IF(N(C1451)&lt;=0,"Informe a quantidade",IF(IFERROR(INDEX(INVENTÁRIO!$B$2:$B$801,MATCH(K1451,INVENTÁRIO!$A$2:$A$801,0)),"")="(sem nome)","Carta fora dos decks: digite o nome na coluna I (opcional)","")))</f>
        <v/>
      </c>
      <c r="K1451" s="11" t="str">
        <f aca="false">UPPER(TRIM(SUBSTITUTE(B1451&amp;"",CHAR(160)," ")))</f>
        <v/>
      </c>
      <c r="L1451" s="11" t="str">
        <f aca="false">IF(AND(K1451&lt;&gt;"",TRIM(I1451&amp;"")&lt;&gt;""),K1451,"")</f>
        <v/>
      </c>
    </row>
    <row r="1452" customFormat="false" ht="15" hidden="false" customHeight="false" outlineLevel="0" collapsed="false">
      <c r="A1452" s="9"/>
      <c r="B1452" s="4"/>
      <c r="C1452" s="10"/>
      <c r="D1452" s="11" t="str">
        <f aca="false">IF(K1452="","",IFERROR(INDEX(DECKS!$C$2:$C$1201,MATCH(K1452,DECKS!$B$2:$B$1201,0)),TRIM(I1452&amp;"")))</f>
        <v/>
      </c>
      <c r="E1452" s="4"/>
      <c r="F1452" s="12"/>
      <c r="G1452" s="4"/>
      <c r="H1452" s="13" t="str">
        <f aca="false">IF(OR(N(C1452)=0,N(F1452)=0),"",C1452*F1452)</f>
        <v/>
      </c>
      <c r="I1452" s="4"/>
      <c r="J1452" s="11" t="str">
        <f aca="false">IF(K1452="","",IF(N(C1452)&lt;=0,"Informe a quantidade",IF(IFERROR(INDEX(INVENTÁRIO!$B$2:$B$801,MATCH(K1452,INVENTÁRIO!$A$2:$A$801,0)),"")="(sem nome)","Carta fora dos decks: digite o nome na coluna I (opcional)","")))</f>
        <v/>
      </c>
      <c r="K1452" s="11" t="str">
        <f aca="false">UPPER(TRIM(SUBSTITUTE(B1452&amp;"",CHAR(160)," ")))</f>
        <v/>
      </c>
      <c r="L1452" s="11" t="str">
        <f aca="false">IF(AND(K1452&lt;&gt;"",TRIM(I1452&amp;"")&lt;&gt;""),K1452,"")</f>
        <v/>
      </c>
    </row>
    <row r="1453" customFormat="false" ht="15" hidden="false" customHeight="false" outlineLevel="0" collapsed="false">
      <c r="A1453" s="9"/>
      <c r="B1453" s="4"/>
      <c r="C1453" s="10"/>
      <c r="D1453" s="11" t="str">
        <f aca="false">IF(K1453="","",IFERROR(INDEX(DECKS!$C$2:$C$1201,MATCH(K1453,DECKS!$B$2:$B$1201,0)),TRIM(I1453&amp;"")))</f>
        <v/>
      </c>
      <c r="E1453" s="4"/>
      <c r="F1453" s="12"/>
      <c r="G1453" s="4"/>
      <c r="H1453" s="13" t="str">
        <f aca="false">IF(OR(N(C1453)=0,N(F1453)=0),"",C1453*F1453)</f>
        <v/>
      </c>
      <c r="I1453" s="4"/>
      <c r="J1453" s="11" t="str">
        <f aca="false">IF(K1453="","",IF(N(C1453)&lt;=0,"Informe a quantidade",IF(IFERROR(INDEX(INVENTÁRIO!$B$2:$B$801,MATCH(K1453,INVENTÁRIO!$A$2:$A$801,0)),"")="(sem nome)","Carta fora dos decks: digite o nome na coluna I (opcional)","")))</f>
        <v/>
      </c>
      <c r="K1453" s="11" t="str">
        <f aca="false">UPPER(TRIM(SUBSTITUTE(B1453&amp;"",CHAR(160)," ")))</f>
        <v/>
      </c>
      <c r="L1453" s="11" t="str">
        <f aca="false">IF(AND(K1453&lt;&gt;"",TRIM(I1453&amp;"")&lt;&gt;""),K1453,"")</f>
        <v/>
      </c>
    </row>
    <row r="1454" customFormat="false" ht="15" hidden="false" customHeight="false" outlineLevel="0" collapsed="false">
      <c r="A1454" s="9"/>
      <c r="B1454" s="4"/>
      <c r="C1454" s="10"/>
      <c r="D1454" s="11" t="str">
        <f aca="false">IF(K1454="","",IFERROR(INDEX(DECKS!$C$2:$C$1201,MATCH(K1454,DECKS!$B$2:$B$1201,0)),TRIM(I1454&amp;"")))</f>
        <v/>
      </c>
      <c r="E1454" s="4"/>
      <c r="F1454" s="12"/>
      <c r="G1454" s="4"/>
      <c r="H1454" s="13" t="str">
        <f aca="false">IF(OR(N(C1454)=0,N(F1454)=0),"",C1454*F1454)</f>
        <v/>
      </c>
      <c r="I1454" s="4"/>
      <c r="J1454" s="11" t="str">
        <f aca="false">IF(K1454="","",IF(N(C1454)&lt;=0,"Informe a quantidade",IF(IFERROR(INDEX(INVENTÁRIO!$B$2:$B$801,MATCH(K1454,INVENTÁRIO!$A$2:$A$801,0)),"")="(sem nome)","Carta fora dos decks: digite o nome na coluna I (opcional)","")))</f>
        <v/>
      </c>
      <c r="K1454" s="11" t="str">
        <f aca="false">UPPER(TRIM(SUBSTITUTE(B1454&amp;"",CHAR(160)," ")))</f>
        <v/>
      </c>
      <c r="L1454" s="11" t="str">
        <f aca="false">IF(AND(K1454&lt;&gt;"",TRIM(I1454&amp;"")&lt;&gt;""),K1454,"")</f>
        <v/>
      </c>
    </row>
    <row r="1455" customFormat="false" ht="15" hidden="false" customHeight="false" outlineLevel="0" collapsed="false">
      <c r="A1455" s="9"/>
      <c r="B1455" s="4"/>
      <c r="C1455" s="10"/>
      <c r="D1455" s="11" t="str">
        <f aca="false">IF(K1455="","",IFERROR(INDEX(DECKS!$C$2:$C$1201,MATCH(K1455,DECKS!$B$2:$B$1201,0)),TRIM(I1455&amp;"")))</f>
        <v/>
      </c>
      <c r="E1455" s="4"/>
      <c r="F1455" s="12"/>
      <c r="G1455" s="4"/>
      <c r="H1455" s="13" t="str">
        <f aca="false">IF(OR(N(C1455)=0,N(F1455)=0),"",C1455*F1455)</f>
        <v/>
      </c>
      <c r="I1455" s="4"/>
      <c r="J1455" s="11" t="str">
        <f aca="false">IF(K1455="","",IF(N(C1455)&lt;=0,"Informe a quantidade",IF(IFERROR(INDEX(INVENTÁRIO!$B$2:$B$801,MATCH(K1455,INVENTÁRIO!$A$2:$A$801,0)),"")="(sem nome)","Carta fora dos decks: digite o nome na coluna I (opcional)","")))</f>
        <v/>
      </c>
      <c r="K1455" s="11" t="str">
        <f aca="false">UPPER(TRIM(SUBSTITUTE(B1455&amp;"",CHAR(160)," ")))</f>
        <v/>
      </c>
      <c r="L1455" s="11" t="str">
        <f aca="false">IF(AND(K1455&lt;&gt;"",TRIM(I1455&amp;"")&lt;&gt;""),K1455,"")</f>
        <v/>
      </c>
    </row>
    <row r="1456" customFormat="false" ht="15" hidden="false" customHeight="false" outlineLevel="0" collapsed="false">
      <c r="A1456" s="9"/>
      <c r="B1456" s="4"/>
      <c r="C1456" s="10"/>
      <c r="D1456" s="11" t="str">
        <f aca="false">IF(K1456="","",IFERROR(INDEX(DECKS!$C$2:$C$1201,MATCH(K1456,DECKS!$B$2:$B$1201,0)),TRIM(I1456&amp;"")))</f>
        <v/>
      </c>
      <c r="E1456" s="4"/>
      <c r="F1456" s="12"/>
      <c r="G1456" s="4"/>
      <c r="H1456" s="13" t="str">
        <f aca="false">IF(OR(N(C1456)=0,N(F1456)=0),"",C1456*F1456)</f>
        <v/>
      </c>
      <c r="I1456" s="4"/>
      <c r="J1456" s="11" t="str">
        <f aca="false">IF(K1456="","",IF(N(C1456)&lt;=0,"Informe a quantidade",IF(IFERROR(INDEX(INVENTÁRIO!$B$2:$B$801,MATCH(K1456,INVENTÁRIO!$A$2:$A$801,0)),"")="(sem nome)","Carta fora dos decks: digite o nome na coluna I (opcional)","")))</f>
        <v/>
      </c>
      <c r="K1456" s="11" t="str">
        <f aca="false">UPPER(TRIM(SUBSTITUTE(B1456&amp;"",CHAR(160)," ")))</f>
        <v/>
      </c>
      <c r="L1456" s="11" t="str">
        <f aca="false">IF(AND(K1456&lt;&gt;"",TRIM(I1456&amp;"")&lt;&gt;""),K1456,"")</f>
        <v/>
      </c>
    </row>
    <row r="1457" customFormat="false" ht="15" hidden="false" customHeight="false" outlineLevel="0" collapsed="false">
      <c r="A1457" s="9"/>
      <c r="B1457" s="4"/>
      <c r="C1457" s="10"/>
      <c r="D1457" s="11" t="str">
        <f aca="false">IF(K1457="","",IFERROR(INDEX(DECKS!$C$2:$C$1201,MATCH(K1457,DECKS!$B$2:$B$1201,0)),TRIM(I1457&amp;"")))</f>
        <v/>
      </c>
      <c r="E1457" s="4"/>
      <c r="F1457" s="12"/>
      <c r="G1457" s="4"/>
      <c r="H1457" s="13" t="str">
        <f aca="false">IF(OR(N(C1457)=0,N(F1457)=0),"",C1457*F1457)</f>
        <v/>
      </c>
      <c r="I1457" s="4"/>
      <c r="J1457" s="11" t="str">
        <f aca="false">IF(K1457="","",IF(N(C1457)&lt;=0,"Informe a quantidade",IF(IFERROR(INDEX(INVENTÁRIO!$B$2:$B$801,MATCH(K1457,INVENTÁRIO!$A$2:$A$801,0)),"")="(sem nome)","Carta fora dos decks: digite o nome na coluna I (opcional)","")))</f>
        <v/>
      </c>
      <c r="K1457" s="11" t="str">
        <f aca="false">UPPER(TRIM(SUBSTITUTE(B1457&amp;"",CHAR(160)," ")))</f>
        <v/>
      </c>
      <c r="L1457" s="11" t="str">
        <f aca="false">IF(AND(K1457&lt;&gt;"",TRIM(I1457&amp;"")&lt;&gt;""),K1457,"")</f>
        <v/>
      </c>
    </row>
    <row r="1458" customFormat="false" ht="15" hidden="false" customHeight="false" outlineLevel="0" collapsed="false">
      <c r="A1458" s="9"/>
      <c r="B1458" s="4"/>
      <c r="C1458" s="10"/>
      <c r="D1458" s="11" t="str">
        <f aca="false">IF(K1458="","",IFERROR(INDEX(DECKS!$C$2:$C$1201,MATCH(K1458,DECKS!$B$2:$B$1201,0)),TRIM(I1458&amp;"")))</f>
        <v/>
      </c>
      <c r="E1458" s="4"/>
      <c r="F1458" s="12"/>
      <c r="G1458" s="4"/>
      <c r="H1458" s="13" t="str">
        <f aca="false">IF(OR(N(C1458)=0,N(F1458)=0),"",C1458*F1458)</f>
        <v/>
      </c>
      <c r="I1458" s="4"/>
      <c r="J1458" s="11" t="str">
        <f aca="false">IF(K1458="","",IF(N(C1458)&lt;=0,"Informe a quantidade",IF(IFERROR(INDEX(INVENTÁRIO!$B$2:$B$801,MATCH(K1458,INVENTÁRIO!$A$2:$A$801,0)),"")="(sem nome)","Carta fora dos decks: digite o nome na coluna I (opcional)","")))</f>
        <v/>
      </c>
      <c r="K1458" s="11" t="str">
        <f aca="false">UPPER(TRIM(SUBSTITUTE(B1458&amp;"",CHAR(160)," ")))</f>
        <v/>
      </c>
      <c r="L1458" s="11" t="str">
        <f aca="false">IF(AND(K1458&lt;&gt;"",TRIM(I1458&amp;"")&lt;&gt;""),K1458,"")</f>
        <v/>
      </c>
    </row>
    <row r="1459" customFormat="false" ht="15" hidden="false" customHeight="false" outlineLevel="0" collapsed="false">
      <c r="A1459" s="9"/>
      <c r="B1459" s="4"/>
      <c r="C1459" s="10"/>
      <c r="D1459" s="11" t="str">
        <f aca="false">IF(K1459="","",IFERROR(INDEX(DECKS!$C$2:$C$1201,MATCH(K1459,DECKS!$B$2:$B$1201,0)),TRIM(I1459&amp;"")))</f>
        <v/>
      </c>
      <c r="E1459" s="4"/>
      <c r="F1459" s="12"/>
      <c r="G1459" s="4"/>
      <c r="H1459" s="13" t="str">
        <f aca="false">IF(OR(N(C1459)=0,N(F1459)=0),"",C1459*F1459)</f>
        <v/>
      </c>
      <c r="I1459" s="4"/>
      <c r="J1459" s="11" t="str">
        <f aca="false">IF(K1459="","",IF(N(C1459)&lt;=0,"Informe a quantidade",IF(IFERROR(INDEX(INVENTÁRIO!$B$2:$B$801,MATCH(K1459,INVENTÁRIO!$A$2:$A$801,0)),"")="(sem nome)","Carta fora dos decks: digite o nome na coluna I (opcional)","")))</f>
        <v/>
      </c>
      <c r="K1459" s="11" t="str">
        <f aca="false">UPPER(TRIM(SUBSTITUTE(B1459&amp;"",CHAR(160)," ")))</f>
        <v/>
      </c>
      <c r="L1459" s="11" t="str">
        <f aca="false">IF(AND(K1459&lt;&gt;"",TRIM(I1459&amp;"")&lt;&gt;""),K1459,"")</f>
        <v/>
      </c>
    </row>
    <row r="1460" customFormat="false" ht="15" hidden="false" customHeight="false" outlineLevel="0" collapsed="false">
      <c r="A1460" s="9"/>
      <c r="B1460" s="4"/>
      <c r="C1460" s="10"/>
      <c r="D1460" s="11" t="str">
        <f aca="false">IF(K1460="","",IFERROR(INDEX(DECKS!$C$2:$C$1201,MATCH(K1460,DECKS!$B$2:$B$1201,0)),TRIM(I1460&amp;"")))</f>
        <v/>
      </c>
      <c r="E1460" s="4"/>
      <c r="F1460" s="12"/>
      <c r="G1460" s="4"/>
      <c r="H1460" s="13" t="str">
        <f aca="false">IF(OR(N(C1460)=0,N(F1460)=0),"",C1460*F1460)</f>
        <v/>
      </c>
      <c r="I1460" s="4"/>
      <c r="J1460" s="11" t="str">
        <f aca="false">IF(K1460="","",IF(N(C1460)&lt;=0,"Informe a quantidade",IF(IFERROR(INDEX(INVENTÁRIO!$B$2:$B$801,MATCH(K1460,INVENTÁRIO!$A$2:$A$801,0)),"")="(sem nome)","Carta fora dos decks: digite o nome na coluna I (opcional)","")))</f>
        <v/>
      </c>
      <c r="K1460" s="11" t="str">
        <f aca="false">UPPER(TRIM(SUBSTITUTE(B1460&amp;"",CHAR(160)," ")))</f>
        <v/>
      </c>
      <c r="L1460" s="11" t="str">
        <f aca="false">IF(AND(K1460&lt;&gt;"",TRIM(I1460&amp;"")&lt;&gt;""),K1460,"")</f>
        <v/>
      </c>
    </row>
    <row r="1461" customFormat="false" ht="15" hidden="false" customHeight="false" outlineLevel="0" collapsed="false">
      <c r="A1461" s="9"/>
      <c r="B1461" s="4"/>
      <c r="C1461" s="10"/>
      <c r="D1461" s="11" t="str">
        <f aca="false">IF(K1461="","",IFERROR(INDEX(DECKS!$C$2:$C$1201,MATCH(K1461,DECKS!$B$2:$B$1201,0)),TRIM(I1461&amp;"")))</f>
        <v/>
      </c>
      <c r="E1461" s="4"/>
      <c r="F1461" s="12"/>
      <c r="G1461" s="4"/>
      <c r="H1461" s="13" t="str">
        <f aca="false">IF(OR(N(C1461)=0,N(F1461)=0),"",C1461*F1461)</f>
        <v/>
      </c>
      <c r="I1461" s="4"/>
      <c r="J1461" s="11" t="str">
        <f aca="false">IF(K1461="","",IF(N(C1461)&lt;=0,"Informe a quantidade",IF(IFERROR(INDEX(INVENTÁRIO!$B$2:$B$801,MATCH(K1461,INVENTÁRIO!$A$2:$A$801,0)),"")="(sem nome)","Carta fora dos decks: digite o nome na coluna I (opcional)","")))</f>
        <v/>
      </c>
      <c r="K1461" s="11" t="str">
        <f aca="false">UPPER(TRIM(SUBSTITUTE(B1461&amp;"",CHAR(160)," ")))</f>
        <v/>
      </c>
      <c r="L1461" s="11" t="str">
        <f aca="false">IF(AND(K1461&lt;&gt;"",TRIM(I1461&amp;"")&lt;&gt;""),K1461,"")</f>
        <v/>
      </c>
    </row>
    <row r="1462" customFormat="false" ht="15" hidden="false" customHeight="false" outlineLevel="0" collapsed="false">
      <c r="A1462" s="9"/>
      <c r="B1462" s="4"/>
      <c r="C1462" s="10"/>
      <c r="D1462" s="11" t="str">
        <f aca="false">IF(K1462="","",IFERROR(INDEX(DECKS!$C$2:$C$1201,MATCH(K1462,DECKS!$B$2:$B$1201,0)),TRIM(I1462&amp;"")))</f>
        <v/>
      </c>
      <c r="E1462" s="4"/>
      <c r="F1462" s="12"/>
      <c r="G1462" s="4"/>
      <c r="H1462" s="13" t="str">
        <f aca="false">IF(OR(N(C1462)=0,N(F1462)=0),"",C1462*F1462)</f>
        <v/>
      </c>
      <c r="I1462" s="4"/>
      <c r="J1462" s="11" t="str">
        <f aca="false">IF(K1462="","",IF(N(C1462)&lt;=0,"Informe a quantidade",IF(IFERROR(INDEX(INVENTÁRIO!$B$2:$B$801,MATCH(K1462,INVENTÁRIO!$A$2:$A$801,0)),"")="(sem nome)","Carta fora dos decks: digite o nome na coluna I (opcional)","")))</f>
        <v/>
      </c>
      <c r="K1462" s="11" t="str">
        <f aca="false">UPPER(TRIM(SUBSTITUTE(B1462&amp;"",CHAR(160)," ")))</f>
        <v/>
      </c>
      <c r="L1462" s="11" t="str">
        <f aca="false">IF(AND(K1462&lt;&gt;"",TRIM(I1462&amp;"")&lt;&gt;""),K1462,"")</f>
        <v/>
      </c>
    </row>
    <row r="1463" customFormat="false" ht="15" hidden="false" customHeight="false" outlineLevel="0" collapsed="false">
      <c r="A1463" s="9"/>
      <c r="B1463" s="4"/>
      <c r="C1463" s="10"/>
      <c r="D1463" s="11" t="str">
        <f aca="false">IF(K1463="","",IFERROR(INDEX(DECKS!$C$2:$C$1201,MATCH(K1463,DECKS!$B$2:$B$1201,0)),TRIM(I1463&amp;"")))</f>
        <v/>
      </c>
      <c r="E1463" s="4"/>
      <c r="F1463" s="12"/>
      <c r="G1463" s="4"/>
      <c r="H1463" s="13" t="str">
        <f aca="false">IF(OR(N(C1463)=0,N(F1463)=0),"",C1463*F1463)</f>
        <v/>
      </c>
      <c r="I1463" s="4"/>
      <c r="J1463" s="11" t="str">
        <f aca="false">IF(K1463="","",IF(N(C1463)&lt;=0,"Informe a quantidade",IF(IFERROR(INDEX(INVENTÁRIO!$B$2:$B$801,MATCH(K1463,INVENTÁRIO!$A$2:$A$801,0)),"")="(sem nome)","Carta fora dos decks: digite o nome na coluna I (opcional)","")))</f>
        <v/>
      </c>
      <c r="K1463" s="11" t="str">
        <f aca="false">UPPER(TRIM(SUBSTITUTE(B1463&amp;"",CHAR(160)," ")))</f>
        <v/>
      </c>
      <c r="L1463" s="11" t="str">
        <f aca="false">IF(AND(K1463&lt;&gt;"",TRIM(I1463&amp;"")&lt;&gt;""),K1463,"")</f>
        <v/>
      </c>
    </row>
    <row r="1464" customFormat="false" ht="15" hidden="false" customHeight="false" outlineLevel="0" collapsed="false">
      <c r="A1464" s="9"/>
      <c r="B1464" s="4"/>
      <c r="C1464" s="10"/>
      <c r="D1464" s="11" t="str">
        <f aca="false">IF(K1464="","",IFERROR(INDEX(DECKS!$C$2:$C$1201,MATCH(K1464,DECKS!$B$2:$B$1201,0)),TRIM(I1464&amp;"")))</f>
        <v/>
      </c>
      <c r="E1464" s="4"/>
      <c r="F1464" s="12"/>
      <c r="G1464" s="4"/>
      <c r="H1464" s="13" t="str">
        <f aca="false">IF(OR(N(C1464)=0,N(F1464)=0),"",C1464*F1464)</f>
        <v/>
      </c>
      <c r="I1464" s="4"/>
      <c r="J1464" s="11" t="str">
        <f aca="false">IF(K1464="","",IF(N(C1464)&lt;=0,"Informe a quantidade",IF(IFERROR(INDEX(INVENTÁRIO!$B$2:$B$801,MATCH(K1464,INVENTÁRIO!$A$2:$A$801,0)),"")="(sem nome)","Carta fora dos decks: digite o nome na coluna I (opcional)","")))</f>
        <v/>
      </c>
      <c r="K1464" s="11" t="str">
        <f aca="false">UPPER(TRIM(SUBSTITUTE(B1464&amp;"",CHAR(160)," ")))</f>
        <v/>
      </c>
      <c r="L1464" s="11" t="str">
        <f aca="false">IF(AND(K1464&lt;&gt;"",TRIM(I1464&amp;"")&lt;&gt;""),K1464,"")</f>
        <v/>
      </c>
    </row>
    <row r="1465" customFormat="false" ht="15" hidden="false" customHeight="false" outlineLevel="0" collapsed="false">
      <c r="A1465" s="9"/>
      <c r="B1465" s="4"/>
      <c r="C1465" s="10"/>
      <c r="D1465" s="11" t="str">
        <f aca="false">IF(K1465="","",IFERROR(INDEX(DECKS!$C$2:$C$1201,MATCH(K1465,DECKS!$B$2:$B$1201,0)),TRIM(I1465&amp;"")))</f>
        <v/>
      </c>
      <c r="E1465" s="4"/>
      <c r="F1465" s="12"/>
      <c r="G1465" s="4"/>
      <c r="H1465" s="13" t="str">
        <f aca="false">IF(OR(N(C1465)=0,N(F1465)=0),"",C1465*F1465)</f>
        <v/>
      </c>
      <c r="I1465" s="4"/>
      <c r="J1465" s="11" t="str">
        <f aca="false">IF(K1465="","",IF(N(C1465)&lt;=0,"Informe a quantidade",IF(IFERROR(INDEX(INVENTÁRIO!$B$2:$B$801,MATCH(K1465,INVENTÁRIO!$A$2:$A$801,0)),"")="(sem nome)","Carta fora dos decks: digite o nome na coluna I (opcional)","")))</f>
        <v/>
      </c>
      <c r="K1465" s="11" t="str">
        <f aca="false">UPPER(TRIM(SUBSTITUTE(B1465&amp;"",CHAR(160)," ")))</f>
        <v/>
      </c>
      <c r="L1465" s="11" t="str">
        <f aca="false">IF(AND(K1465&lt;&gt;"",TRIM(I1465&amp;"")&lt;&gt;""),K1465,"")</f>
        <v/>
      </c>
    </row>
    <row r="1466" customFormat="false" ht="15" hidden="false" customHeight="false" outlineLevel="0" collapsed="false">
      <c r="A1466" s="9"/>
      <c r="B1466" s="4"/>
      <c r="C1466" s="10"/>
      <c r="D1466" s="11" t="str">
        <f aca="false">IF(K1466="","",IFERROR(INDEX(DECKS!$C$2:$C$1201,MATCH(K1466,DECKS!$B$2:$B$1201,0)),TRIM(I1466&amp;"")))</f>
        <v/>
      </c>
      <c r="E1466" s="4"/>
      <c r="F1466" s="12"/>
      <c r="G1466" s="4"/>
      <c r="H1466" s="13" t="str">
        <f aca="false">IF(OR(N(C1466)=0,N(F1466)=0),"",C1466*F1466)</f>
        <v/>
      </c>
      <c r="I1466" s="4"/>
      <c r="J1466" s="11" t="str">
        <f aca="false">IF(K1466="","",IF(N(C1466)&lt;=0,"Informe a quantidade",IF(IFERROR(INDEX(INVENTÁRIO!$B$2:$B$801,MATCH(K1466,INVENTÁRIO!$A$2:$A$801,0)),"")="(sem nome)","Carta fora dos decks: digite o nome na coluna I (opcional)","")))</f>
        <v/>
      </c>
      <c r="K1466" s="11" t="str">
        <f aca="false">UPPER(TRIM(SUBSTITUTE(B1466&amp;"",CHAR(160)," ")))</f>
        <v/>
      </c>
      <c r="L1466" s="11" t="str">
        <f aca="false">IF(AND(K1466&lt;&gt;"",TRIM(I1466&amp;"")&lt;&gt;""),K1466,"")</f>
        <v/>
      </c>
    </row>
    <row r="1467" customFormat="false" ht="15" hidden="false" customHeight="false" outlineLevel="0" collapsed="false">
      <c r="A1467" s="9"/>
      <c r="B1467" s="4"/>
      <c r="C1467" s="10"/>
      <c r="D1467" s="11" t="str">
        <f aca="false">IF(K1467="","",IFERROR(INDEX(DECKS!$C$2:$C$1201,MATCH(K1467,DECKS!$B$2:$B$1201,0)),TRIM(I1467&amp;"")))</f>
        <v/>
      </c>
      <c r="E1467" s="4"/>
      <c r="F1467" s="12"/>
      <c r="G1467" s="4"/>
      <c r="H1467" s="13" t="str">
        <f aca="false">IF(OR(N(C1467)=0,N(F1467)=0),"",C1467*F1467)</f>
        <v/>
      </c>
      <c r="I1467" s="4"/>
      <c r="J1467" s="11" t="str">
        <f aca="false">IF(K1467="","",IF(N(C1467)&lt;=0,"Informe a quantidade",IF(IFERROR(INDEX(INVENTÁRIO!$B$2:$B$801,MATCH(K1467,INVENTÁRIO!$A$2:$A$801,0)),"")="(sem nome)","Carta fora dos decks: digite o nome na coluna I (opcional)","")))</f>
        <v/>
      </c>
      <c r="K1467" s="11" t="str">
        <f aca="false">UPPER(TRIM(SUBSTITUTE(B1467&amp;"",CHAR(160)," ")))</f>
        <v/>
      </c>
      <c r="L1467" s="11" t="str">
        <f aca="false">IF(AND(K1467&lt;&gt;"",TRIM(I1467&amp;"")&lt;&gt;""),K1467,"")</f>
        <v/>
      </c>
    </row>
    <row r="1468" customFormat="false" ht="15" hidden="false" customHeight="false" outlineLevel="0" collapsed="false">
      <c r="A1468" s="9"/>
      <c r="B1468" s="4"/>
      <c r="C1468" s="10"/>
      <c r="D1468" s="11" t="str">
        <f aca="false">IF(K1468="","",IFERROR(INDEX(DECKS!$C$2:$C$1201,MATCH(K1468,DECKS!$B$2:$B$1201,0)),TRIM(I1468&amp;"")))</f>
        <v/>
      </c>
      <c r="E1468" s="4"/>
      <c r="F1468" s="12"/>
      <c r="G1468" s="4"/>
      <c r="H1468" s="13" t="str">
        <f aca="false">IF(OR(N(C1468)=0,N(F1468)=0),"",C1468*F1468)</f>
        <v/>
      </c>
      <c r="I1468" s="4"/>
      <c r="J1468" s="11" t="str">
        <f aca="false">IF(K1468="","",IF(N(C1468)&lt;=0,"Informe a quantidade",IF(IFERROR(INDEX(INVENTÁRIO!$B$2:$B$801,MATCH(K1468,INVENTÁRIO!$A$2:$A$801,0)),"")="(sem nome)","Carta fora dos decks: digite o nome na coluna I (opcional)","")))</f>
        <v/>
      </c>
      <c r="K1468" s="11" t="str">
        <f aca="false">UPPER(TRIM(SUBSTITUTE(B1468&amp;"",CHAR(160)," ")))</f>
        <v/>
      </c>
      <c r="L1468" s="11" t="str">
        <f aca="false">IF(AND(K1468&lt;&gt;"",TRIM(I1468&amp;"")&lt;&gt;""),K1468,"")</f>
        <v/>
      </c>
    </row>
    <row r="1469" customFormat="false" ht="15" hidden="false" customHeight="false" outlineLevel="0" collapsed="false">
      <c r="A1469" s="9"/>
      <c r="B1469" s="4"/>
      <c r="C1469" s="10"/>
      <c r="D1469" s="11" t="str">
        <f aca="false">IF(K1469="","",IFERROR(INDEX(DECKS!$C$2:$C$1201,MATCH(K1469,DECKS!$B$2:$B$1201,0)),TRIM(I1469&amp;"")))</f>
        <v/>
      </c>
      <c r="E1469" s="4"/>
      <c r="F1469" s="12"/>
      <c r="G1469" s="4"/>
      <c r="H1469" s="13" t="str">
        <f aca="false">IF(OR(N(C1469)=0,N(F1469)=0),"",C1469*F1469)</f>
        <v/>
      </c>
      <c r="I1469" s="4"/>
      <c r="J1469" s="11" t="str">
        <f aca="false">IF(K1469="","",IF(N(C1469)&lt;=0,"Informe a quantidade",IF(IFERROR(INDEX(INVENTÁRIO!$B$2:$B$801,MATCH(K1469,INVENTÁRIO!$A$2:$A$801,0)),"")="(sem nome)","Carta fora dos decks: digite o nome na coluna I (opcional)","")))</f>
        <v/>
      </c>
      <c r="K1469" s="11" t="str">
        <f aca="false">UPPER(TRIM(SUBSTITUTE(B1469&amp;"",CHAR(160)," ")))</f>
        <v/>
      </c>
      <c r="L1469" s="11" t="str">
        <f aca="false">IF(AND(K1469&lt;&gt;"",TRIM(I1469&amp;"")&lt;&gt;""),K1469,"")</f>
        <v/>
      </c>
    </row>
    <row r="1470" customFormat="false" ht="15" hidden="false" customHeight="false" outlineLevel="0" collapsed="false">
      <c r="A1470" s="9"/>
      <c r="B1470" s="4"/>
      <c r="C1470" s="10"/>
      <c r="D1470" s="11" t="str">
        <f aca="false">IF(K1470="","",IFERROR(INDEX(DECKS!$C$2:$C$1201,MATCH(K1470,DECKS!$B$2:$B$1201,0)),TRIM(I1470&amp;"")))</f>
        <v/>
      </c>
      <c r="E1470" s="4"/>
      <c r="F1470" s="12"/>
      <c r="G1470" s="4"/>
      <c r="H1470" s="13" t="str">
        <f aca="false">IF(OR(N(C1470)=0,N(F1470)=0),"",C1470*F1470)</f>
        <v/>
      </c>
      <c r="I1470" s="4"/>
      <c r="J1470" s="11" t="str">
        <f aca="false">IF(K1470="","",IF(N(C1470)&lt;=0,"Informe a quantidade",IF(IFERROR(INDEX(INVENTÁRIO!$B$2:$B$801,MATCH(K1470,INVENTÁRIO!$A$2:$A$801,0)),"")="(sem nome)","Carta fora dos decks: digite o nome na coluna I (opcional)","")))</f>
        <v/>
      </c>
      <c r="K1470" s="11" t="str">
        <f aca="false">UPPER(TRIM(SUBSTITUTE(B1470&amp;"",CHAR(160)," ")))</f>
        <v/>
      </c>
      <c r="L1470" s="11" t="str">
        <f aca="false">IF(AND(K1470&lt;&gt;"",TRIM(I1470&amp;"")&lt;&gt;""),K1470,"")</f>
        <v/>
      </c>
    </row>
    <row r="1471" customFormat="false" ht="15" hidden="false" customHeight="false" outlineLevel="0" collapsed="false">
      <c r="A1471" s="9"/>
      <c r="B1471" s="4"/>
      <c r="C1471" s="10"/>
      <c r="D1471" s="11" t="str">
        <f aca="false">IF(K1471="","",IFERROR(INDEX(DECKS!$C$2:$C$1201,MATCH(K1471,DECKS!$B$2:$B$1201,0)),TRIM(I1471&amp;"")))</f>
        <v/>
      </c>
      <c r="E1471" s="4"/>
      <c r="F1471" s="12"/>
      <c r="G1471" s="4"/>
      <c r="H1471" s="13" t="str">
        <f aca="false">IF(OR(N(C1471)=0,N(F1471)=0),"",C1471*F1471)</f>
        <v/>
      </c>
      <c r="I1471" s="4"/>
      <c r="J1471" s="11" t="str">
        <f aca="false">IF(K1471="","",IF(N(C1471)&lt;=0,"Informe a quantidade",IF(IFERROR(INDEX(INVENTÁRIO!$B$2:$B$801,MATCH(K1471,INVENTÁRIO!$A$2:$A$801,0)),"")="(sem nome)","Carta fora dos decks: digite o nome na coluna I (opcional)","")))</f>
        <v/>
      </c>
      <c r="K1471" s="11" t="str">
        <f aca="false">UPPER(TRIM(SUBSTITUTE(B1471&amp;"",CHAR(160)," ")))</f>
        <v/>
      </c>
      <c r="L1471" s="11" t="str">
        <f aca="false">IF(AND(K1471&lt;&gt;"",TRIM(I1471&amp;"")&lt;&gt;""),K1471,"")</f>
        <v/>
      </c>
    </row>
    <row r="1472" customFormat="false" ht="15" hidden="false" customHeight="false" outlineLevel="0" collapsed="false">
      <c r="A1472" s="9"/>
      <c r="B1472" s="4"/>
      <c r="C1472" s="10"/>
      <c r="D1472" s="11" t="str">
        <f aca="false">IF(K1472="","",IFERROR(INDEX(DECKS!$C$2:$C$1201,MATCH(K1472,DECKS!$B$2:$B$1201,0)),TRIM(I1472&amp;"")))</f>
        <v/>
      </c>
      <c r="E1472" s="4"/>
      <c r="F1472" s="12"/>
      <c r="G1472" s="4"/>
      <c r="H1472" s="13" t="str">
        <f aca="false">IF(OR(N(C1472)=0,N(F1472)=0),"",C1472*F1472)</f>
        <v/>
      </c>
      <c r="I1472" s="4"/>
      <c r="J1472" s="11" t="str">
        <f aca="false">IF(K1472="","",IF(N(C1472)&lt;=0,"Informe a quantidade",IF(IFERROR(INDEX(INVENTÁRIO!$B$2:$B$801,MATCH(K1472,INVENTÁRIO!$A$2:$A$801,0)),"")="(sem nome)","Carta fora dos decks: digite o nome na coluna I (opcional)","")))</f>
        <v/>
      </c>
      <c r="K1472" s="11" t="str">
        <f aca="false">UPPER(TRIM(SUBSTITUTE(B1472&amp;"",CHAR(160)," ")))</f>
        <v/>
      </c>
      <c r="L1472" s="11" t="str">
        <f aca="false">IF(AND(K1472&lt;&gt;"",TRIM(I1472&amp;"")&lt;&gt;""),K1472,"")</f>
        <v/>
      </c>
    </row>
    <row r="1473" customFormat="false" ht="15" hidden="false" customHeight="false" outlineLevel="0" collapsed="false">
      <c r="A1473" s="9"/>
      <c r="B1473" s="4"/>
      <c r="C1473" s="10"/>
      <c r="D1473" s="11" t="str">
        <f aca="false">IF(K1473="","",IFERROR(INDEX(DECKS!$C$2:$C$1201,MATCH(K1473,DECKS!$B$2:$B$1201,0)),TRIM(I1473&amp;"")))</f>
        <v/>
      </c>
      <c r="E1473" s="4"/>
      <c r="F1473" s="12"/>
      <c r="G1473" s="4"/>
      <c r="H1473" s="13" t="str">
        <f aca="false">IF(OR(N(C1473)=0,N(F1473)=0),"",C1473*F1473)</f>
        <v/>
      </c>
      <c r="I1473" s="4"/>
      <c r="J1473" s="11" t="str">
        <f aca="false">IF(K1473="","",IF(N(C1473)&lt;=0,"Informe a quantidade",IF(IFERROR(INDEX(INVENTÁRIO!$B$2:$B$801,MATCH(K1473,INVENTÁRIO!$A$2:$A$801,0)),"")="(sem nome)","Carta fora dos decks: digite o nome na coluna I (opcional)","")))</f>
        <v/>
      </c>
      <c r="K1473" s="11" t="str">
        <f aca="false">UPPER(TRIM(SUBSTITUTE(B1473&amp;"",CHAR(160)," ")))</f>
        <v/>
      </c>
      <c r="L1473" s="11" t="str">
        <f aca="false">IF(AND(K1473&lt;&gt;"",TRIM(I1473&amp;"")&lt;&gt;""),K1473,"")</f>
        <v/>
      </c>
    </row>
    <row r="1474" customFormat="false" ht="15" hidden="false" customHeight="false" outlineLevel="0" collapsed="false">
      <c r="A1474" s="9"/>
      <c r="B1474" s="4"/>
      <c r="C1474" s="10"/>
      <c r="D1474" s="11" t="str">
        <f aca="false">IF(K1474="","",IFERROR(INDEX(DECKS!$C$2:$C$1201,MATCH(K1474,DECKS!$B$2:$B$1201,0)),TRIM(I1474&amp;"")))</f>
        <v/>
      </c>
      <c r="E1474" s="4"/>
      <c r="F1474" s="12"/>
      <c r="G1474" s="4"/>
      <c r="H1474" s="13" t="str">
        <f aca="false">IF(OR(N(C1474)=0,N(F1474)=0),"",C1474*F1474)</f>
        <v/>
      </c>
      <c r="I1474" s="4"/>
      <c r="J1474" s="11" t="str">
        <f aca="false">IF(K1474="","",IF(N(C1474)&lt;=0,"Informe a quantidade",IF(IFERROR(INDEX(INVENTÁRIO!$B$2:$B$801,MATCH(K1474,INVENTÁRIO!$A$2:$A$801,0)),"")="(sem nome)","Carta fora dos decks: digite o nome na coluna I (opcional)","")))</f>
        <v/>
      </c>
      <c r="K1474" s="11" t="str">
        <f aca="false">UPPER(TRIM(SUBSTITUTE(B1474&amp;"",CHAR(160)," ")))</f>
        <v/>
      </c>
      <c r="L1474" s="11" t="str">
        <f aca="false">IF(AND(K1474&lt;&gt;"",TRIM(I1474&amp;"")&lt;&gt;""),K1474,"")</f>
        <v/>
      </c>
    </row>
    <row r="1475" customFormat="false" ht="15" hidden="false" customHeight="false" outlineLevel="0" collapsed="false">
      <c r="A1475" s="9"/>
      <c r="B1475" s="4"/>
      <c r="C1475" s="10"/>
      <c r="D1475" s="11" t="str">
        <f aca="false">IF(K1475="","",IFERROR(INDEX(DECKS!$C$2:$C$1201,MATCH(K1475,DECKS!$B$2:$B$1201,0)),TRIM(I1475&amp;"")))</f>
        <v/>
      </c>
      <c r="E1475" s="4"/>
      <c r="F1475" s="12"/>
      <c r="G1475" s="4"/>
      <c r="H1475" s="13" t="str">
        <f aca="false">IF(OR(N(C1475)=0,N(F1475)=0),"",C1475*F1475)</f>
        <v/>
      </c>
      <c r="I1475" s="4"/>
      <c r="J1475" s="11" t="str">
        <f aca="false">IF(K1475="","",IF(N(C1475)&lt;=0,"Informe a quantidade",IF(IFERROR(INDEX(INVENTÁRIO!$B$2:$B$801,MATCH(K1475,INVENTÁRIO!$A$2:$A$801,0)),"")="(sem nome)","Carta fora dos decks: digite o nome na coluna I (opcional)","")))</f>
        <v/>
      </c>
      <c r="K1475" s="11" t="str">
        <f aca="false">UPPER(TRIM(SUBSTITUTE(B1475&amp;"",CHAR(160)," ")))</f>
        <v/>
      </c>
      <c r="L1475" s="11" t="str">
        <f aca="false">IF(AND(K1475&lt;&gt;"",TRIM(I1475&amp;"")&lt;&gt;""),K1475,"")</f>
        <v/>
      </c>
    </row>
    <row r="1476" customFormat="false" ht="15" hidden="false" customHeight="false" outlineLevel="0" collapsed="false">
      <c r="A1476" s="9"/>
      <c r="B1476" s="4"/>
      <c r="C1476" s="10"/>
      <c r="D1476" s="11" t="str">
        <f aca="false">IF(K1476="","",IFERROR(INDEX(DECKS!$C$2:$C$1201,MATCH(K1476,DECKS!$B$2:$B$1201,0)),TRIM(I1476&amp;"")))</f>
        <v/>
      </c>
      <c r="E1476" s="4"/>
      <c r="F1476" s="12"/>
      <c r="G1476" s="4"/>
      <c r="H1476" s="13" t="str">
        <f aca="false">IF(OR(N(C1476)=0,N(F1476)=0),"",C1476*F1476)</f>
        <v/>
      </c>
      <c r="I1476" s="4"/>
      <c r="J1476" s="11" t="str">
        <f aca="false">IF(K1476="","",IF(N(C1476)&lt;=0,"Informe a quantidade",IF(IFERROR(INDEX(INVENTÁRIO!$B$2:$B$801,MATCH(K1476,INVENTÁRIO!$A$2:$A$801,0)),"")="(sem nome)","Carta fora dos decks: digite o nome na coluna I (opcional)","")))</f>
        <v/>
      </c>
      <c r="K1476" s="11" t="str">
        <f aca="false">UPPER(TRIM(SUBSTITUTE(B1476&amp;"",CHAR(160)," ")))</f>
        <v/>
      </c>
      <c r="L1476" s="11" t="str">
        <f aca="false">IF(AND(K1476&lt;&gt;"",TRIM(I1476&amp;"")&lt;&gt;""),K1476,"")</f>
        <v/>
      </c>
    </row>
    <row r="1477" customFormat="false" ht="15" hidden="false" customHeight="false" outlineLevel="0" collapsed="false">
      <c r="A1477" s="9"/>
      <c r="B1477" s="4"/>
      <c r="C1477" s="10"/>
      <c r="D1477" s="11" t="str">
        <f aca="false">IF(K1477="","",IFERROR(INDEX(DECKS!$C$2:$C$1201,MATCH(K1477,DECKS!$B$2:$B$1201,0)),TRIM(I1477&amp;"")))</f>
        <v/>
      </c>
      <c r="E1477" s="4"/>
      <c r="F1477" s="12"/>
      <c r="G1477" s="4"/>
      <c r="H1477" s="13" t="str">
        <f aca="false">IF(OR(N(C1477)=0,N(F1477)=0),"",C1477*F1477)</f>
        <v/>
      </c>
      <c r="I1477" s="4"/>
      <c r="J1477" s="11" t="str">
        <f aca="false">IF(K1477="","",IF(N(C1477)&lt;=0,"Informe a quantidade",IF(IFERROR(INDEX(INVENTÁRIO!$B$2:$B$801,MATCH(K1477,INVENTÁRIO!$A$2:$A$801,0)),"")="(sem nome)","Carta fora dos decks: digite o nome na coluna I (opcional)","")))</f>
        <v/>
      </c>
      <c r="K1477" s="11" t="str">
        <f aca="false">UPPER(TRIM(SUBSTITUTE(B1477&amp;"",CHAR(160)," ")))</f>
        <v/>
      </c>
      <c r="L1477" s="11" t="str">
        <f aca="false">IF(AND(K1477&lt;&gt;"",TRIM(I1477&amp;"")&lt;&gt;""),K1477,"")</f>
        <v/>
      </c>
    </row>
    <row r="1478" customFormat="false" ht="15" hidden="false" customHeight="false" outlineLevel="0" collapsed="false">
      <c r="A1478" s="9"/>
      <c r="B1478" s="4"/>
      <c r="C1478" s="10"/>
      <c r="D1478" s="11" t="str">
        <f aca="false">IF(K1478="","",IFERROR(INDEX(DECKS!$C$2:$C$1201,MATCH(K1478,DECKS!$B$2:$B$1201,0)),TRIM(I1478&amp;"")))</f>
        <v/>
      </c>
      <c r="E1478" s="4"/>
      <c r="F1478" s="12"/>
      <c r="G1478" s="4"/>
      <c r="H1478" s="13" t="str">
        <f aca="false">IF(OR(N(C1478)=0,N(F1478)=0),"",C1478*F1478)</f>
        <v/>
      </c>
      <c r="I1478" s="4"/>
      <c r="J1478" s="11" t="str">
        <f aca="false">IF(K1478="","",IF(N(C1478)&lt;=0,"Informe a quantidade",IF(IFERROR(INDEX(INVENTÁRIO!$B$2:$B$801,MATCH(K1478,INVENTÁRIO!$A$2:$A$801,0)),"")="(sem nome)","Carta fora dos decks: digite o nome na coluna I (opcional)","")))</f>
        <v/>
      </c>
      <c r="K1478" s="11" t="str">
        <f aca="false">UPPER(TRIM(SUBSTITUTE(B1478&amp;"",CHAR(160)," ")))</f>
        <v/>
      </c>
      <c r="L1478" s="11" t="str">
        <f aca="false">IF(AND(K1478&lt;&gt;"",TRIM(I1478&amp;"")&lt;&gt;""),K1478,"")</f>
        <v/>
      </c>
    </row>
    <row r="1479" customFormat="false" ht="15" hidden="false" customHeight="false" outlineLevel="0" collapsed="false">
      <c r="A1479" s="9"/>
      <c r="B1479" s="4"/>
      <c r="C1479" s="10"/>
      <c r="D1479" s="11" t="str">
        <f aca="false">IF(K1479="","",IFERROR(INDEX(DECKS!$C$2:$C$1201,MATCH(K1479,DECKS!$B$2:$B$1201,0)),TRIM(I1479&amp;"")))</f>
        <v/>
      </c>
      <c r="E1479" s="4"/>
      <c r="F1479" s="12"/>
      <c r="G1479" s="4"/>
      <c r="H1479" s="13" t="str">
        <f aca="false">IF(OR(N(C1479)=0,N(F1479)=0),"",C1479*F1479)</f>
        <v/>
      </c>
      <c r="I1479" s="4"/>
      <c r="J1479" s="11" t="str">
        <f aca="false">IF(K1479="","",IF(N(C1479)&lt;=0,"Informe a quantidade",IF(IFERROR(INDEX(INVENTÁRIO!$B$2:$B$801,MATCH(K1479,INVENTÁRIO!$A$2:$A$801,0)),"")="(sem nome)","Carta fora dos decks: digite o nome na coluna I (opcional)","")))</f>
        <v/>
      </c>
      <c r="K1479" s="11" t="str">
        <f aca="false">UPPER(TRIM(SUBSTITUTE(B1479&amp;"",CHAR(160)," ")))</f>
        <v/>
      </c>
      <c r="L1479" s="11" t="str">
        <f aca="false">IF(AND(K1479&lt;&gt;"",TRIM(I1479&amp;"")&lt;&gt;""),K1479,"")</f>
        <v/>
      </c>
    </row>
    <row r="1480" customFormat="false" ht="15" hidden="false" customHeight="false" outlineLevel="0" collapsed="false">
      <c r="A1480" s="9"/>
      <c r="B1480" s="4"/>
      <c r="C1480" s="10"/>
      <c r="D1480" s="11" t="str">
        <f aca="false">IF(K1480="","",IFERROR(INDEX(DECKS!$C$2:$C$1201,MATCH(K1480,DECKS!$B$2:$B$1201,0)),TRIM(I1480&amp;"")))</f>
        <v/>
      </c>
      <c r="E1480" s="4"/>
      <c r="F1480" s="12"/>
      <c r="G1480" s="4"/>
      <c r="H1480" s="13" t="str">
        <f aca="false">IF(OR(N(C1480)=0,N(F1480)=0),"",C1480*F1480)</f>
        <v/>
      </c>
      <c r="I1480" s="4"/>
      <c r="J1480" s="11" t="str">
        <f aca="false">IF(K1480="","",IF(N(C1480)&lt;=0,"Informe a quantidade",IF(IFERROR(INDEX(INVENTÁRIO!$B$2:$B$801,MATCH(K1480,INVENTÁRIO!$A$2:$A$801,0)),"")="(sem nome)","Carta fora dos decks: digite o nome na coluna I (opcional)","")))</f>
        <v/>
      </c>
      <c r="K1480" s="11" t="str">
        <f aca="false">UPPER(TRIM(SUBSTITUTE(B1480&amp;"",CHAR(160)," ")))</f>
        <v/>
      </c>
      <c r="L1480" s="11" t="str">
        <f aca="false">IF(AND(K1480&lt;&gt;"",TRIM(I1480&amp;"")&lt;&gt;""),K1480,"")</f>
        <v/>
      </c>
    </row>
    <row r="1481" customFormat="false" ht="15" hidden="false" customHeight="false" outlineLevel="0" collapsed="false">
      <c r="A1481" s="9"/>
      <c r="B1481" s="4"/>
      <c r="C1481" s="10"/>
      <c r="D1481" s="11" t="str">
        <f aca="false">IF(K1481="","",IFERROR(INDEX(DECKS!$C$2:$C$1201,MATCH(K1481,DECKS!$B$2:$B$1201,0)),TRIM(I1481&amp;"")))</f>
        <v/>
      </c>
      <c r="E1481" s="4"/>
      <c r="F1481" s="12"/>
      <c r="G1481" s="4"/>
      <c r="H1481" s="13" t="str">
        <f aca="false">IF(OR(N(C1481)=0,N(F1481)=0),"",C1481*F1481)</f>
        <v/>
      </c>
      <c r="I1481" s="4"/>
      <c r="J1481" s="11" t="str">
        <f aca="false">IF(K1481="","",IF(N(C1481)&lt;=0,"Informe a quantidade",IF(IFERROR(INDEX(INVENTÁRIO!$B$2:$B$801,MATCH(K1481,INVENTÁRIO!$A$2:$A$801,0)),"")="(sem nome)","Carta fora dos decks: digite o nome na coluna I (opcional)","")))</f>
        <v/>
      </c>
      <c r="K1481" s="11" t="str">
        <f aca="false">UPPER(TRIM(SUBSTITUTE(B1481&amp;"",CHAR(160)," ")))</f>
        <v/>
      </c>
      <c r="L1481" s="11" t="str">
        <f aca="false">IF(AND(K1481&lt;&gt;"",TRIM(I1481&amp;"")&lt;&gt;""),K1481,"")</f>
        <v/>
      </c>
    </row>
    <row r="1482" customFormat="false" ht="15" hidden="false" customHeight="false" outlineLevel="0" collapsed="false">
      <c r="A1482" s="9"/>
      <c r="B1482" s="4"/>
      <c r="C1482" s="10"/>
      <c r="D1482" s="11" t="str">
        <f aca="false">IF(K1482="","",IFERROR(INDEX(DECKS!$C$2:$C$1201,MATCH(K1482,DECKS!$B$2:$B$1201,0)),TRIM(I1482&amp;"")))</f>
        <v/>
      </c>
      <c r="E1482" s="4"/>
      <c r="F1482" s="12"/>
      <c r="G1482" s="4"/>
      <c r="H1482" s="13" t="str">
        <f aca="false">IF(OR(N(C1482)=0,N(F1482)=0),"",C1482*F1482)</f>
        <v/>
      </c>
      <c r="I1482" s="4"/>
      <c r="J1482" s="11" t="str">
        <f aca="false">IF(K1482="","",IF(N(C1482)&lt;=0,"Informe a quantidade",IF(IFERROR(INDEX(INVENTÁRIO!$B$2:$B$801,MATCH(K1482,INVENTÁRIO!$A$2:$A$801,0)),"")="(sem nome)","Carta fora dos decks: digite o nome na coluna I (opcional)","")))</f>
        <v/>
      </c>
      <c r="K1482" s="11" t="str">
        <f aca="false">UPPER(TRIM(SUBSTITUTE(B1482&amp;"",CHAR(160)," ")))</f>
        <v/>
      </c>
      <c r="L1482" s="11" t="str">
        <f aca="false">IF(AND(K1482&lt;&gt;"",TRIM(I1482&amp;"")&lt;&gt;""),K1482,"")</f>
        <v/>
      </c>
    </row>
    <row r="1483" customFormat="false" ht="15" hidden="false" customHeight="false" outlineLevel="0" collapsed="false">
      <c r="A1483" s="9"/>
      <c r="B1483" s="4"/>
      <c r="C1483" s="10"/>
      <c r="D1483" s="11" t="str">
        <f aca="false">IF(K1483="","",IFERROR(INDEX(DECKS!$C$2:$C$1201,MATCH(K1483,DECKS!$B$2:$B$1201,0)),TRIM(I1483&amp;"")))</f>
        <v/>
      </c>
      <c r="E1483" s="4"/>
      <c r="F1483" s="12"/>
      <c r="G1483" s="4"/>
      <c r="H1483" s="13" t="str">
        <f aca="false">IF(OR(N(C1483)=0,N(F1483)=0),"",C1483*F1483)</f>
        <v/>
      </c>
      <c r="I1483" s="4"/>
      <c r="J1483" s="11" t="str">
        <f aca="false">IF(K1483="","",IF(N(C1483)&lt;=0,"Informe a quantidade",IF(IFERROR(INDEX(INVENTÁRIO!$B$2:$B$801,MATCH(K1483,INVENTÁRIO!$A$2:$A$801,0)),"")="(sem nome)","Carta fora dos decks: digite o nome na coluna I (opcional)","")))</f>
        <v/>
      </c>
      <c r="K1483" s="11" t="str">
        <f aca="false">UPPER(TRIM(SUBSTITUTE(B1483&amp;"",CHAR(160)," ")))</f>
        <v/>
      </c>
      <c r="L1483" s="11" t="str">
        <f aca="false">IF(AND(K1483&lt;&gt;"",TRIM(I1483&amp;"")&lt;&gt;""),K1483,"")</f>
        <v/>
      </c>
    </row>
    <row r="1484" customFormat="false" ht="15" hidden="false" customHeight="false" outlineLevel="0" collapsed="false">
      <c r="A1484" s="9"/>
      <c r="B1484" s="4"/>
      <c r="C1484" s="10"/>
      <c r="D1484" s="11" t="str">
        <f aca="false">IF(K1484="","",IFERROR(INDEX(DECKS!$C$2:$C$1201,MATCH(K1484,DECKS!$B$2:$B$1201,0)),TRIM(I1484&amp;"")))</f>
        <v/>
      </c>
      <c r="E1484" s="4"/>
      <c r="F1484" s="12"/>
      <c r="G1484" s="4"/>
      <c r="H1484" s="13" t="str">
        <f aca="false">IF(OR(N(C1484)=0,N(F1484)=0),"",C1484*F1484)</f>
        <v/>
      </c>
      <c r="I1484" s="4"/>
      <c r="J1484" s="11" t="str">
        <f aca="false">IF(K1484="","",IF(N(C1484)&lt;=0,"Informe a quantidade",IF(IFERROR(INDEX(INVENTÁRIO!$B$2:$B$801,MATCH(K1484,INVENTÁRIO!$A$2:$A$801,0)),"")="(sem nome)","Carta fora dos decks: digite o nome na coluna I (opcional)","")))</f>
        <v/>
      </c>
      <c r="K1484" s="11" t="str">
        <f aca="false">UPPER(TRIM(SUBSTITUTE(B1484&amp;"",CHAR(160)," ")))</f>
        <v/>
      </c>
      <c r="L1484" s="11" t="str">
        <f aca="false">IF(AND(K1484&lt;&gt;"",TRIM(I1484&amp;"")&lt;&gt;""),K1484,"")</f>
        <v/>
      </c>
    </row>
    <row r="1485" customFormat="false" ht="15" hidden="false" customHeight="false" outlineLevel="0" collapsed="false">
      <c r="A1485" s="9"/>
      <c r="B1485" s="4"/>
      <c r="C1485" s="10"/>
      <c r="D1485" s="11" t="str">
        <f aca="false">IF(K1485="","",IFERROR(INDEX(DECKS!$C$2:$C$1201,MATCH(K1485,DECKS!$B$2:$B$1201,0)),TRIM(I1485&amp;"")))</f>
        <v/>
      </c>
      <c r="E1485" s="4"/>
      <c r="F1485" s="12"/>
      <c r="G1485" s="4"/>
      <c r="H1485" s="13" t="str">
        <f aca="false">IF(OR(N(C1485)=0,N(F1485)=0),"",C1485*F1485)</f>
        <v/>
      </c>
      <c r="I1485" s="4"/>
      <c r="J1485" s="11" t="str">
        <f aca="false">IF(K1485="","",IF(N(C1485)&lt;=0,"Informe a quantidade",IF(IFERROR(INDEX(INVENTÁRIO!$B$2:$B$801,MATCH(K1485,INVENTÁRIO!$A$2:$A$801,0)),"")="(sem nome)","Carta fora dos decks: digite o nome na coluna I (opcional)","")))</f>
        <v/>
      </c>
      <c r="K1485" s="11" t="str">
        <f aca="false">UPPER(TRIM(SUBSTITUTE(B1485&amp;"",CHAR(160)," ")))</f>
        <v/>
      </c>
      <c r="L1485" s="11" t="str">
        <f aca="false">IF(AND(K1485&lt;&gt;"",TRIM(I1485&amp;"")&lt;&gt;""),K1485,"")</f>
        <v/>
      </c>
    </row>
    <row r="1486" customFormat="false" ht="15" hidden="false" customHeight="false" outlineLevel="0" collapsed="false">
      <c r="A1486" s="9"/>
      <c r="B1486" s="4"/>
      <c r="C1486" s="10"/>
      <c r="D1486" s="11" t="str">
        <f aca="false">IF(K1486="","",IFERROR(INDEX(DECKS!$C$2:$C$1201,MATCH(K1486,DECKS!$B$2:$B$1201,0)),TRIM(I1486&amp;"")))</f>
        <v/>
      </c>
      <c r="E1486" s="4"/>
      <c r="F1486" s="12"/>
      <c r="G1486" s="4"/>
      <c r="H1486" s="13" t="str">
        <f aca="false">IF(OR(N(C1486)=0,N(F1486)=0),"",C1486*F1486)</f>
        <v/>
      </c>
      <c r="I1486" s="4"/>
      <c r="J1486" s="11" t="str">
        <f aca="false">IF(K1486="","",IF(N(C1486)&lt;=0,"Informe a quantidade",IF(IFERROR(INDEX(INVENTÁRIO!$B$2:$B$801,MATCH(K1486,INVENTÁRIO!$A$2:$A$801,0)),"")="(sem nome)","Carta fora dos decks: digite o nome na coluna I (opcional)","")))</f>
        <v/>
      </c>
      <c r="K1486" s="11" t="str">
        <f aca="false">UPPER(TRIM(SUBSTITUTE(B1486&amp;"",CHAR(160)," ")))</f>
        <v/>
      </c>
      <c r="L1486" s="11" t="str">
        <f aca="false">IF(AND(K1486&lt;&gt;"",TRIM(I1486&amp;"")&lt;&gt;""),K1486,"")</f>
        <v/>
      </c>
    </row>
    <row r="1487" customFormat="false" ht="15" hidden="false" customHeight="false" outlineLevel="0" collapsed="false">
      <c r="A1487" s="9"/>
      <c r="B1487" s="4"/>
      <c r="C1487" s="10"/>
      <c r="D1487" s="11" t="str">
        <f aca="false">IF(K1487="","",IFERROR(INDEX(DECKS!$C$2:$C$1201,MATCH(K1487,DECKS!$B$2:$B$1201,0)),TRIM(I1487&amp;"")))</f>
        <v/>
      </c>
      <c r="E1487" s="4"/>
      <c r="F1487" s="12"/>
      <c r="G1487" s="4"/>
      <c r="H1487" s="13" t="str">
        <f aca="false">IF(OR(N(C1487)=0,N(F1487)=0),"",C1487*F1487)</f>
        <v/>
      </c>
      <c r="I1487" s="4"/>
      <c r="J1487" s="11" t="str">
        <f aca="false">IF(K1487="","",IF(N(C1487)&lt;=0,"Informe a quantidade",IF(IFERROR(INDEX(INVENTÁRIO!$B$2:$B$801,MATCH(K1487,INVENTÁRIO!$A$2:$A$801,0)),"")="(sem nome)","Carta fora dos decks: digite o nome na coluna I (opcional)","")))</f>
        <v/>
      </c>
      <c r="K1487" s="11" t="str">
        <f aca="false">UPPER(TRIM(SUBSTITUTE(B1487&amp;"",CHAR(160)," ")))</f>
        <v/>
      </c>
      <c r="L1487" s="11" t="str">
        <f aca="false">IF(AND(K1487&lt;&gt;"",TRIM(I1487&amp;"")&lt;&gt;""),K1487,"")</f>
        <v/>
      </c>
    </row>
    <row r="1488" customFormat="false" ht="15" hidden="false" customHeight="false" outlineLevel="0" collapsed="false">
      <c r="A1488" s="9"/>
      <c r="B1488" s="4"/>
      <c r="C1488" s="10"/>
      <c r="D1488" s="11" t="str">
        <f aca="false">IF(K1488="","",IFERROR(INDEX(DECKS!$C$2:$C$1201,MATCH(K1488,DECKS!$B$2:$B$1201,0)),TRIM(I1488&amp;"")))</f>
        <v/>
      </c>
      <c r="E1488" s="4"/>
      <c r="F1488" s="12"/>
      <c r="G1488" s="4"/>
      <c r="H1488" s="13" t="str">
        <f aca="false">IF(OR(N(C1488)=0,N(F1488)=0),"",C1488*F1488)</f>
        <v/>
      </c>
      <c r="I1488" s="4"/>
      <c r="J1488" s="11" t="str">
        <f aca="false">IF(K1488="","",IF(N(C1488)&lt;=0,"Informe a quantidade",IF(IFERROR(INDEX(INVENTÁRIO!$B$2:$B$801,MATCH(K1488,INVENTÁRIO!$A$2:$A$801,0)),"")="(sem nome)","Carta fora dos decks: digite o nome na coluna I (opcional)","")))</f>
        <v/>
      </c>
      <c r="K1488" s="11" t="str">
        <f aca="false">UPPER(TRIM(SUBSTITUTE(B1488&amp;"",CHAR(160)," ")))</f>
        <v/>
      </c>
      <c r="L1488" s="11" t="str">
        <f aca="false">IF(AND(K1488&lt;&gt;"",TRIM(I1488&amp;"")&lt;&gt;""),K1488,"")</f>
        <v/>
      </c>
    </row>
    <row r="1489" customFormat="false" ht="15" hidden="false" customHeight="false" outlineLevel="0" collapsed="false">
      <c r="A1489" s="9"/>
      <c r="B1489" s="4"/>
      <c r="C1489" s="10"/>
      <c r="D1489" s="11" t="str">
        <f aca="false">IF(K1489="","",IFERROR(INDEX(DECKS!$C$2:$C$1201,MATCH(K1489,DECKS!$B$2:$B$1201,0)),TRIM(I1489&amp;"")))</f>
        <v/>
      </c>
      <c r="E1489" s="4"/>
      <c r="F1489" s="12"/>
      <c r="G1489" s="4"/>
      <c r="H1489" s="13" t="str">
        <f aca="false">IF(OR(N(C1489)=0,N(F1489)=0),"",C1489*F1489)</f>
        <v/>
      </c>
      <c r="I1489" s="4"/>
      <c r="J1489" s="11" t="str">
        <f aca="false">IF(K1489="","",IF(N(C1489)&lt;=0,"Informe a quantidade",IF(IFERROR(INDEX(INVENTÁRIO!$B$2:$B$801,MATCH(K1489,INVENTÁRIO!$A$2:$A$801,0)),"")="(sem nome)","Carta fora dos decks: digite o nome na coluna I (opcional)","")))</f>
        <v/>
      </c>
      <c r="K1489" s="11" t="str">
        <f aca="false">UPPER(TRIM(SUBSTITUTE(B1489&amp;"",CHAR(160)," ")))</f>
        <v/>
      </c>
      <c r="L1489" s="11" t="str">
        <f aca="false">IF(AND(K1489&lt;&gt;"",TRIM(I1489&amp;"")&lt;&gt;""),K1489,"")</f>
        <v/>
      </c>
    </row>
    <row r="1490" customFormat="false" ht="15" hidden="false" customHeight="false" outlineLevel="0" collapsed="false">
      <c r="A1490" s="9"/>
      <c r="B1490" s="4"/>
      <c r="C1490" s="10"/>
      <c r="D1490" s="11" t="str">
        <f aca="false">IF(K1490="","",IFERROR(INDEX(DECKS!$C$2:$C$1201,MATCH(K1490,DECKS!$B$2:$B$1201,0)),TRIM(I1490&amp;"")))</f>
        <v/>
      </c>
      <c r="E1490" s="4"/>
      <c r="F1490" s="12"/>
      <c r="G1490" s="4"/>
      <c r="H1490" s="13" t="str">
        <f aca="false">IF(OR(N(C1490)=0,N(F1490)=0),"",C1490*F1490)</f>
        <v/>
      </c>
      <c r="I1490" s="4"/>
      <c r="J1490" s="11" t="str">
        <f aca="false">IF(K1490="","",IF(N(C1490)&lt;=0,"Informe a quantidade",IF(IFERROR(INDEX(INVENTÁRIO!$B$2:$B$801,MATCH(K1490,INVENTÁRIO!$A$2:$A$801,0)),"")="(sem nome)","Carta fora dos decks: digite o nome na coluna I (opcional)","")))</f>
        <v/>
      </c>
      <c r="K1490" s="11" t="str">
        <f aca="false">UPPER(TRIM(SUBSTITUTE(B1490&amp;"",CHAR(160)," ")))</f>
        <v/>
      </c>
      <c r="L1490" s="11" t="str">
        <f aca="false">IF(AND(K1490&lt;&gt;"",TRIM(I1490&amp;"")&lt;&gt;""),K1490,"")</f>
        <v/>
      </c>
    </row>
    <row r="1491" customFormat="false" ht="15" hidden="false" customHeight="false" outlineLevel="0" collapsed="false">
      <c r="A1491" s="9"/>
      <c r="B1491" s="4"/>
      <c r="C1491" s="10"/>
      <c r="D1491" s="11" t="str">
        <f aca="false">IF(K1491="","",IFERROR(INDEX(DECKS!$C$2:$C$1201,MATCH(K1491,DECKS!$B$2:$B$1201,0)),TRIM(I1491&amp;"")))</f>
        <v/>
      </c>
      <c r="E1491" s="4"/>
      <c r="F1491" s="12"/>
      <c r="G1491" s="4"/>
      <c r="H1491" s="13" t="str">
        <f aca="false">IF(OR(N(C1491)=0,N(F1491)=0),"",C1491*F1491)</f>
        <v/>
      </c>
      <c r="I1491" s="4"/>
      <c r="J1491" s="11" t="str">
        <f aca="false">IF(K1491="","",IF(N(C1491)&lt;=0,"Informe a quantidade",IF(IFERROR(INDEX(INVENTÁRIO!$B$2:$B$801,MATCH(K1491,INVENTÁRIO!$A$2:$A$801,0)),"")="(sem nome)","Carta fora dos decks: digite o nome na coluna I (opcional)","")))</f>
        <v/>
      </c>
      <c r="K1491" s="11" t="str">
        <f aca="false">UPPER(TRIM(SUBSTITUTE(B1491&amp;"",CHAR(160)," ")))</f>
        <v/>
      </c>
      <c r="L1491" s="11" t="str">
        <f aca="false">IF(AND(K1491&lt;&gt;"",TRIM(I1491&amp;"")&lt;&gt;""),K1491,"")</f>
        <v/>
      </c>
    </row>
    <row r="1492" customFormat="false" ht="15" hidden="false" customHeight="false" outlineLevel="0" collapsed="false">
      <c r="A1492" s="9"/>
      <c r="B1492" s="4"/>
      <c r="C1492" s="10"/>
      <c r="D1492" s="11" t="str">
        <f aca="false">IF(K1492="","",IFERROR(INDEX(DECKS!$C$2:$C$1201,MATCH(K1492,DECKS!$B$2:$B$1201,0)),TRIM(I1492&amp;"")))</f>
        <v/>
      </c>
      <c r="E1492" s="4"/>
      <c r="F1492" s="12"/>
      <c r="G1492" s="4"/>
      <c r="H1492" s="13" t="str">
        <f aca="false">IF(OR(N(C1492)=0,N(F1492)=0),"",C1492*F1492)</f>
        <v/>
      </c>
      <c r="I1492" s="4"/>
      <c r="J1492" s="11" t="str">
        <f aca="false">IF(K1492="","",IF(N(C1492)&lt;=0,"Informe a quantidade",IF(IFERROR(INDEX(INVENTÁRIO!$B$2:$B$801,MATCH(K1492,INVENTÁRIO!$A$2:$A$801,0)),"")="(sem nome)","Carta fora dos decks: digite o nome na coluna I (opcional)","")))</f>
        <v/>
      </c>
      <c r="K1492" s="11" t="str">
        <f aca="false">UPPER(TRIM(SUBSTITUTE(B1492&amp;"",CHAR(160)," ")))</f>
        <v/>
      </c>
      <c r="L1492" s="11" t="str">
        <f aca="false">IF(AND(K1492&lt;&gt;"",TRIM(I1492&amp;"")&lt;&gt;""),K1492,"")</f>
        <v/>
      </c>
    </row>
    <row r="1493" customFormat="false" ht="15" hidden="false" customHeight="false" outlineLevel="0" collapsed="false">
      <c r="A1493" s="9"/>
      <c r="B1493" s="4"/>
      <c r="C1493" s="10"/>
      <c r="D1493" s="11" t="str">
        <f aca="false">IF(K1493="","",IFERROR(INDEX(DECKS!$C$2:$C$1201,MATCH(K1493,DECKS!$B$2:$B$1201,0)),TRIM(I1493&amp;"")))</f>
        <v/>
      </c>
      <c r="E1493" s="4"/>
      <c r="F1493" s="12"/>
      <c r="G1493" s="4"/>
      <c r="H1493" s="13" t="str">
        <f aca="false">IF(OR(N(C1493)=0,N(F1493)=0),"",C1493*F1493)</f>
        <v/>
      </c>
      <c r="I1493" s="4"/>
      <c r="J1493" s="11" t="str">
        <f aca="false">IF(K1493="","",IF(N(C1493)&lt;=0,"Informe a quantidade",IF(IFERROR(INDEX(INVENTÁRIO!$B$2:$B$801,MATCH(K1493,INVENTÁRIO!$A$2:$A$801,0)),"")="(sem nome)","Carta fora dos decks: digite o nome na coluna I (opcional)","")))</f>
        <v/>
      </c>
      <c r="K1493" s="11" t="str">
        <f aca="false">UPPER(TRIM(SUBSTITUTE(B1493&amp;"",CHAR(160)," ")))</f>
        <v/>
      </c>
      <c r="L1493" s="11" t="str">
        <f aca="false">IF(AND(K1493&lt;&gt;"",TRIM(I1493&amp;"")&lt;&gt;""),K1493,"")</f>
        <v/>
      </c>
    </row>
    <row r="1494" customFormat="false" ht="15" hidden="false" customHeight="false" outlineLevel="0" collapsed="false">
      <c r="A1494" s="9"/>
      <c r="B1494" s="4"/>
      <c r="C1494" s="10"/>
      <c r="D1494" s="11" t="str">
        <f aca="false">IF(K1494="","",IFERROR(INDEX(DECKS!$C$2:$C$1201,MATCH(K1494,DECKS!$B$2:$B$1201,0)),TRIM(I1494&amp;"")))</f>
        <v/>
      </c>
      <c r="E1494" s="4"/>
      <c r="F1494" s="12"/>
      <c r="G1494" s="4"/>
      <c r="H1494" s="13" t="str">
        <f aca="false">IF(OR(N(C1494)=0,N(F1494)=0),"",C1494*F1494)</f>
        <v/>
      </c>
      <c r="I1494" s="4"/>
      <c r="J1494" s="11" t="str">
        <f aca="false">IF(K1494="","",IF(N(C1494)&lt;=0,"Informe a quantidade",IF(IFERROR(INDEX(INVENTÁRIO!$B$2:$B$801,MATCH(K1494,INVENTÁRIO!$A$2:$A$801,0)),"")="(sem nome)","Carta fora dos decks: digite o nome na coluna I (opcional)","")))</f>
        <v/>
      </c>
      <c r="K1494" s="11" t="str">
        <f aca="false">UPPER(TRIM(SUBSTITUTE(B1494&amp;"",CHAR(160)," ")))</f>
        <v/>
      </c>
      <c r="L1494" s="11" t="str">
        <f aca="false">IF(AND(K1494&lt;&gt;"",TRIM(I1494&amp;"")&lt;&gt;""),K1494,"")</f>
        <v/>
      </c>
    </row>
    <row r="1495" customFormat="false" ht="15" hidden="false" customHeight="false" outlineLevel="0" collapsed="false">
      <c r="A1495" s="9"/>
      <c r="B1495" s="4"/>
      <c r="C1495" s="10"/>
      <c r="D1495" s="11" t="str">
        <f aca="false">IF(K1495="","",IFERROR(INDEX(DECKS!$C$2:$C$1201,MATCH(K1495,DECKS!$B$2:$B$1201,0)),TRIM(I1495&amp;"")))</f>
        <v/>
      </c>
      <c r="E1495" s="4"/>
      <c r="F1495" s="12"/>
      <c r="G1495" s="4"/>
      <c r="H1495" s="13" t="str">
        <f aca="false">IF(OR(N(C1495)=0,N(F1495)=0),"",C1495*F1495)</f>
        <v/>
      </c>
      <c r="I1495" s="4"/>
      <c r="J1495" s="11" t="str">
        <f aca="false">IF(K1495="","",IF(N(C1495)&lt;=0,"Informe a quantidade",IF(IFERROR(INDEX(INVENTÁRIO!$B$2:$B$801,MATCH(K1495,INVENTÁRIO!$A$2:$A$801,0)),"")="(sem nome)","Carta fora dos decks: digite o nome na coluna I (opcional)","")))</f>
        <v/>
      </c>
      <c r="K1495" s="11" t="str">
        <f aca="false">UPPER(TRIM(SUBSTITUTE(B1495&amp;"",CHAR(160)," ")))</f>
        <v/>
      </c>
      <c r="L1495" s="11" t="str">
        <f aca="false">IF(AND(K1495&lt;&gt;"",TRIM(I1495&amp;"")&lt;&gt;""),K1495,"")</f>
        <v/>
      </c>
    </row>
    <row r="1496" customFormat="false" ht="15" hidden="false" customHeight="false" outlineLevel="0" collapsed="false">
      <c r="A1496" s="9"/>
      <c r="B1496" s="4"/>
      <c r="C1496" s="10"/>
      <c r="D1496" s="11" t="str">
        <f aca="false">IF(K1496="","",IFERROR(INDEX(DECKS!$C$2:$C$1201,MATCH(K1496,DECKS!$B$2:$B$1201,0)),TRIM(I1496&amp;"")))</f>
        <v/>
      </c>
      <c r="E1496" s="4"/>
      <c r="F1496" s="12"/>
      <c r="G1496" s="4"/>
      <c r="H1496" s="13" t="str">
        <f aca="false">IF(OR(N(C1496)=0,N(F1496)=0),"",C1496*F1496)</f>
        <v/>
      </c>
      <c r="I1496" s="4"/>
      <c r="J1496" s="11" t="str">
        <f aca="false">IF(K1496="","",IF(N(C1496)&lt;=0,"Informe a quantidade",IF(IFERROR(INDEX(INVENTÁRIO!$B$2:$B$801,MATCH(K1496,INVENTÁRIO!$A$2:$A$801,0)),"")="(sem nome)","Carta fora dos decks: digite o nome na coluna I (opcional)","")))</f>
        <v/>
      </c>
      <c r="K1496" s="11" t="str">
        <f aca="false">UPPER(TRIM(SUBSTITUTE(B1496&amp;"",CHAR(160)," ")))</f>
        <v/>
      </c>
      <c r="L1496" s="11" t="str">
        <f aca="false">IF(AND(K1496&lt;&gt;"",TRIM(I1496&amp;"")&lt;&gt;""),K1496,"")</f>
        <v/>
      </c>
    </row>
    <row r="1497" customFormat="false" ht="15" hidden="false" customHeight="false" outlineLevel="0" collapsed="false">
      <c r="A1497" s="9"/>
      <c r="B1497" s="4"/>
      <c r="C1497" s="10"/>
      <c r="D1497" s="11" t="str">
        <f aca="false">IF(K1497="","",IFERROR(INDEX(DECKS!$C$2:$C$1201,MATCH(K1497,DECKS!$B$2:$B$1201,0)),TRIM(I1497&amp;"")))</f>
        <v/>
      </c>
      <c r="E1497" s="4"/>
      <c r="F1497" s="12"/>
      <c r="G1497" s="4"/>
      <c r="H1497" s="13" t="str">
        <f aca="false">IF(OR(N(C1497)=0,N(F1497)=0),"",C1497*F1497)</f>
        <v/>
      </c>
      <c r="I1497" s="4"/>
      <c r="J1497" s="11" t="str">
        <f aca="false">IF(K1497="","",IF(N(C1497)&lt;=0,"Informe a quantidade",IF(IFERROR(INDEX(INVENTÁRIO!$B$2:$B$801,MATCH(K1497,INVENTÁRIO!$A$2:$A$801,0)),"")="(sem nome)","Carta fora dos decks: digite o nome na coluna I (opcional)","")))</f>
        <v/>
      </c>
      <c r="K1497" s="11" t="str">
        <f aca="false">UPPER(TRIM(SUBSTITUTE(B1497&amp;"",CHAR(160)," ")))</f>
        <v/>
      </c>
      <c r="L1497" s="11" t="str">
        <f aca="false">IF(AND(K1497&lt;&gt;"",TRIM(I1497&amp;"")&lt;&gt;""),K1497,"")</f>
        <v/>
      </c>
    </row>
    <row r="1498" customFormat="false" ht="15" hidden="false" customHeight="false" outlineLevel="0" collapsed="false">
      <c r="A1498" s="9"/>
      <c r="B1498" s="4"/>
      <c r="C1498" s="10"/>
      <c r="D1498" s="11" t="str">
        <f aca="false">IF(K1498="","",IFERROR(INDEX(DECKS!$C$2:$C$1201,MATCH(K1498,DECKS!$B$2:$B$1201,0)),TRIM(I1498&amp;"")))</f>
        <v/>
      </c>
      <c r="E1498" s="4"/>
      <c r="F1498" s="12"/>
      <c r="G1498" s="4"/>
      <c r="H1498" s="13" t="str">
        <f aca="false">IF(OR(N(C1498)=0,N(F1498)=0),"",C1498*F1498)</f>
        <v/>
      </c>
      <c r="I1498" s="4"/>
      <c r="J1498" s="11" t="str">
        <f aca="false">IF(K1498="","",IF(N(C1498)&lt;=0,"Informe a quantidade",IF(IFERROR(INDEX(INVENTÁRIO!$B$2:$B$801,MATCH(K1498,INVENTÁRIO!$A$2:$A$801,0)),"")="(sem nome)","Carta fora dos decks: digite o nome na coluna I (opcional)","")))</f>
        <v/>
      </c>
      <c r="K1498" s="11" t="str">
        <f aca="false">UPPER(TRIM(SUBSTITUTE(B1498&amp;"",CHAR(160)," ")))</f>
        <v/>
      </c>
      <c r="L1498" s="11" t="str">
        <f aca="false">IF(AND(K1498&lt;&gt;"",TRIM(I1498&amp;"")&lt;&gt;""),K1498,"")</f>
        <v/>
      </c>
    </row>
    <row r="1499" customFormat="false" ht="15" hidden="false" customHeight="false" outlineLevel="0" collapsed="false">
      <c r="A1499" s="9"/>
      <c r="B1499" s="4"/>
      <c r="C1499" s="10"/>
      <c r="D1499" s="11" t="str">
        <f aca="false">IF(K1499="","",IFERROR(INDEX(DECKS!$C$2:$C$1201,MATCH(K1499,DECKS!$B$2:$B$1201,0)),TRIM(I1499&amp;"")))</f>
        <v/>
      </c>
      <c r="E1499" s="4"/>
      <c r="F1499" s="12"/>
      <c r="G1499" s="4"/>
      <c r="H1499" s="13" t="str">
        <f aca="false">IF(OR(N(C1499)=0,N(F1499)=0),"",C1499*F1499)</f>
        <v/>
      </c>
      <c r="I1499" s="4"/>
      <c r="J1499" s="11" t="str">
        <f aca="false">IF(K1499="","",IF(N(C1499)&lt;=0,"Informe a quantidade",IF(IFERROR(INDEX(INVENTÁRIO!$B$2:$B$801,MATCH(K1499,INVENTÁRIO!$A$2:$A$801,0)),"")="(sem nome)","Carta fora dos decks: digite o nome na coluna I (opcional)","")))</f>
        <v/>
      </c>
      <c r="K1499" s="11" t="str">
        <f aca="false">UPPER(TRIM(SUBSTITUTE(B1499&amp;"",CHAR(160)," ")))</f>
        <v/>
      </c>
      <c r="L1499" s="11" t="str">
        <f aca="false">IF(AND(K1499&lt;&gt;"",TRIM(I1499&amp;"")&lt;&gt;""),K1499,"")</f>
        <v/>
      </c>
    </row>
    <row r="1500" customFormat="false" ht="15" hidden="false" customHeight="false" outlineLevel="0" collapsed="false">
      <c r="A1500" s="9"/>
      <c r="B1500" s="4"/>
      <c r="C1500" s="10"/>
      <c r="D1500" s="11" t="str">
        <f aca="false">IF(K1500="","",IFERROR(INDEX(DECKS!$C$2:$C$1201,MATCH(K1500,DECKS!$B$2:$B$1201,0)),TRIM(I1500&amp;"")))</f>
        <v/>
      </c>
      <c r="E1500" s="4"/>
      <c r="F1500" s="12"/>
      <c r="G1500" s="4"/>
      <c r="H1500" s="13" t="str">
        <f aca="false">IF(OR(N(C1500)=0,N(F1500)=0),"",C1500*F1500)</f>
        <v/>
      </c>
      <c r="I1500" s="4"/>
      <c r="J1500" s="11" t="str">
        <f aca="false">IF(K1500="","",IF(N(C1500)&lt;=0,"Informe a quantidade",IF(IFERROR(INDEX(INVENTÁRIO!$B$2:$B$801,MATCH(K1500,INVENTÁRIO!$A$2:$A$801,0)),"")="(sem nome)","Carta fora dos decks: digite o nome na coluna I (opcional)","")))</f>
        <v/>
      </c>
      <c r="K1500" s="11" t="str">
        <f aca="false">UPPER(TRIM(SUBSTITUTE(B1500&amp;"",CHAR(160)," ")))</f>
        <v/>
      </c>
      <c r="L1500" s="11" t="str">
        <f aca="false">IF(AND(K1500&lt;&gt;"",TRIM(I1500&amp;"")&lt;&gt;""),K1500,"")</f>
        <v/>
      </c>
    </row>
    <row r="1501" customFormat="false" ht="15" hidden="false" customHeight="false" outlineLevel="0" collapsed="false">
      <c r="A1501" s="9"/>
      <c r="B1501" s="4"/>
      <c r="C1501" s="10"/>
      <c r="D1501" s="11" t="str">
        <f aca="false">IF(K1501="","",IFERROR(INDEX(DECKS!$C$2:$C$1201,MATCH(K1501,DECKS!$B$2:$B$1201,0)),TRIM(I1501&amp;"")))</f>
        <v/>
      </c>
      <c r="E1501" s="4"/>
      <c r="F1501" s="12"/>
      <c r="G1501" s="4"/>
      <c r="H1501" s="13" t="str">
        <f aca="false">IF(OR(N(C1501)=0,N(F1501)=0),"",C1501*F1501)</f>
        <v/>
      </c>
      <c r="I1501" s="4"/>
      <c r="J1501" s="11" t="str">
        <f aca="false">IF(K1501="","",IF(N(C1501)&lt;=0,"Informe a quantidade",IF(IFERROR(INDEX(INVENTÁRIO!$B$2:$B$801,MATCH(K1501,INVENTÁRIO!$A$2:$A$801,0)),"")="(sem nome)","Carta fora dos decks: digite o nome na coluna I (opcional)","")))</f>
        <v/>
      </c>
      <c r="K1501" s="11" t="str">
        <f aca="false">UPPER(TRIM(SUBSTITUTE(B1501&amp;"",CHAR(160)," ")))</f>
        <v/>
      </c>
      <c r="L1501" s="11" t="str">
        <f aca="false">IF(AND(K1501&lt;&gt;"",TRIM(I1501&amp;"")&lt;&gt;""),K1501,"")</f>
        <v/>
      </c>
    </row>
    <row r="1502" customFormat="false" ht="15" hidden="false" customHeight="false" outlineLevel="0" collapsed="false">
      <c r="A1502" s="9"/>
      <c r="B1502" s="4"/>
      <c r="C1502" s="10"/>
      <c r="D1502" s="11" t="str">
        <f aca="false">IF(K1502="","",IFERROR(INDEX(DECKS!$C$2:$C$1201,MATCH(K1502,DECKS!$B$2:$B$1201,0)),TRIM(I1502&amp;"")))</f>
        <v/>
      </c>
      <c r="E1502" s="4"/>
      <c r="F1502" s="12"/>
      <c r="G1502" s="4"/>
      <c r="H1502" s="13" t="str">
        <f aca="false">IF(OR(N(C1502)=0,N(F1502)=0),"",C1502*F1502)</f>
        <v/>
      </c>
      <c r="I1502" s="4"/>
      <c r="J1502" s="11" t="str">
        <f aca="false">IF(K1502="","",IF(N(C1502)&lt;=0,"Informe a quantidade",IF(IFERROR(INDEX(INVENTÁRIO!$B$2:$B$801,MATCH(K1502,INVENTÁRIO!$A$2:$A$801,0)),"")="(sem nome)","Carta fora dos decks: digite o nome na coluna I (opcional)","")))</f>
        <v/>
      </c>
      <c r="K1502" s="11" t="str">
        <f aca="false">UPPER(TRIM(SUBSTITUTE(B1502&amp;"",CHAR(160)," ")))</f>
        <v/>
      </c>
      <c r="L1502" s="11" t="str">
        <f aca="false">IF(AND(K1502&lt;&gt;"",TRIM(I1502&amp;"")&lt;&gt;""),K1502,"")</f>
        <v/>
      </c>
    </row>
    <row r="1503" customFormat="false" ht="15" hidden="false" customHeight="false" outlineLevel="0" collapsed="false">
      <c r="A1503" s="9"/>
      <c r="B1503" s="4"/>
      <c r="C1503" s="10"/>
      <c r="D1503" s="11" t="str">
        <f aca="false">IF(K1503="","",IFERROR(INDEX(DECKS!$C$2:$C$1201,MATCH(K1503,DECKS!$B$2:$B$1201,0)),TRIM(I1503&amp;"")))</f>
        <v/>
      </c>
      <c r="E1503" s="4"/>
      <c r="F1503" s="12"/>
      <c r="G1503" s="4"/>
      <c r="H1503" s="13" t="str">
        <f aca="false">IF(OR(N(C1503)=0,N(F1503)=0),"",C1503*F1503)</f>
        <v/>
      </c>
      <c r="I1503" s="4"/>
      <c r="J1503" s="11" t="str">
        <f aca="false">IF(K1503="","",IF(N(C1503)&lt;=0,"Informe a quantidade",IF(IFERROR(INDEX(INVENTÁRIO!$B$2:$B$801,MATCH(K1503,INVENTÁRIO!$A$2:$A$801,0)),"")="(sem nome)","Carta fora dos decks: digite o nome na coluna I (opcional)","")))</f>
        <v/>
      </c>
      <c r="K1503" s="11" t="str">
        <f aca="false">UPPER(TRIM(SUBSTITUTE(B1503&amp;"",CHAR(160)," ")))</f>
        <v/>
      </c>
      <c r="L1503" s="11" t="str">
        <f aca="false">IF(AND(K1503&lt;&gt;"",TRIM(I1503&amp;"")&lt;&gt;""),K1503,"")</f>
        <v/>
      </c>
    </row>
    <row r="1504" customFormat="false" ht="15" hidden="false" customHeight="false" outlineLevel="0" collapsed="false">
      <c r="A1504" s="9"/>
      <c r="B1504" s="4"/>
      <c r="C1504" s="10"/>
      <c r="D1504" s="11" t="str">
        <f aca="false">IF(K1504="","",IFERROR(INDEX(DECKS!$C$2:$C$1201,MATCH(K1504,DECKS!$B$2:$B$1201,0)),TRIM(I1504&amp;"")))</f>
        <v/>
      </c>
      <c r="E1504" s="4"/>
      <c r="F1504" s="12"/>
      <c r="G1504" s="4"/>
      <c r="H1504" s="13" t="str">
        <f aca="false">IF(OR(N(C1504)=0,N(F1504)=0),"",C1504*F1504)</f>
        <v/>
      </c>
      <c r="I1504" s="4"/>
      <c r="J1504" s="11" t="str">
        <f aca="false">IF(K1504="","",IF(N(C1504)&lt;=0,"Informe a quantidade",IF(IFERROR(INDEX(INVENTÁRIO!$B$2:$B$801,MATCH(K1504,INVENTÁRIO!$A$2:$A$801,0)),"")="(sem nome)","Carta fora dos decks: digite o nome na coluna I (opcional)","")))</f>
        <v/>
      </c>
      <c r="K1504" s="11" t="str">
        <f aca="false">UPPER(TRIM(SUBSTITUTE(B1504&amp;"",CHAR(160)," ")))</f>
        <v/>
      </c>
      <c r="L1504" s="11" t="str">
        <f aca="false">IF(AND(K1504&lt;&gt;"",TRIM(I1504&amp;"")&lt;&gt;""),K1504,"")</f>
        <v/>
      </c>
    </row>
    <row r="1505" customFormat="false" ht="15" hidden="false" customHeight="false" outlineLevel="0" collapsed="false">
      <c r="A1505" s="9"/>
      <c r="B1505" s="4"/>
      <c r="C1505" s="10"/>
      <c r="D1505" s="11" t="str">
        <f aca="false">IF(K1505="","",IFERROR(INDEX(DECKS!$C$2:$C$1201,MATCH(K1505,DECKS!$B$2:$B$1201,0)),TRIM(I1505&amp;"")))</f>
        <v/>
      </c>
      <c r="E1505" s="4"/>
      <c r="F1505" s="12"/>
      <c r="G1505" s="4"/>
      <c r="H1505" s="13" t="str">
        <f aca="false">IF(OR(N(C1505)=0,N(F1505)=0),"",C1505*F1505)</f>
        <v/>
      </c>
      <c r="I1505" s="4"/>
      <c r="J1505" s="11" t="str">
        <f aca="false">IF(K1505="","",IF(N(C1505)&lt;=0,"Informe a quantidade",IF(IFERROR(INDEX(INVENTÁRIO!$B$2:$B$801,MATCH(K1505,INVENTÁRIO!$A$2:$A$801,0)),"")="(sem nome)","Carta fora dos decks: digite o nome na coluna I (opcional)","")))</f>
        <v/>
      </c>
      <c r="K1505" s="11" t="str">
        <f aca="false">UPPER(TRIM(SUBSTITUTE(B1505&amp;"",CHAR(160)," ")))</f>
        <v/>
      </c>
      <c r="L1505" s="11" t="str">
        <f aca="false">IF(AND(K1505&lt;&gt;"",TRIM(I1505&amp;"")&lt;&gt;""),K1505,"")</f>
        <v/>
      </c>
    </row>
    <row r="1506" customFormat="false" ht="15" hidden="false" customHeight="false" outlineLevel="0" collapsed="false">
      <c r="A1506" s="9"/>
      <c r="B1506" s="4"/>
      <c r="C1506" s="10"/>
      <c r="D1506" s="11" t="str">
        <f aca="false">IF(K1506="","",IFERROR(INDEX(DECKS!$C$2:$C$1201,MATCH(K1506,DECKS!$B$2:$B$1201,0)),TRIM(I1506&amp;"")))</f>
        <v/>
      </c>
      <c r="E1506" s="4"/>
      <c r="F1506" s="12"/>
      <c r="G1506" s="4"/>
      <c r="H1506" s="13" t="str">
        <f aca="false">IF(OR(N(C1506)=0,N(F1506)=0),"",C1506*F1506)</f>
        <v/>
      </c>
      <c r="I1506" s="4"/>
      <c r="J1506" s="11" t="str">
        <f aca="false">IF(K1506="","",IF(N(C1506)&lt;=0,"Informe a quantidade",IF(IFERROR(INDEX(INVENTÁRIO!$B$2:$B$801,MATCH(K1506,INVENTÁRIO!$A$2:$A$801,0)),"")="(sem nome)","Carta fora dos decks: digite o nome na coluna I (opcional)","")))</f>
        <v/>
      </c>
      <c r="K1506" s="11" t="str">
        <f aca="false">UPPER(TRIM(SUBSTITUTE(B1506&amp;"",CHAR(160)," ")))</f>
        <v/>
      </c>
      <c r="L1506" s="11" t="str">
        <f aca="false">IF(AND(K1506&lt;&gt;"",TRIM(I1506&amp;"")&lt;&gt;""),K1506,"")</f>
        <v/>
      </c>
    </row>
    <row r="1507" customFormat="false" ht="15" hidden="false" customHeight="false" outlineLevel="0" collapsed="false">
      <c r="A1507" s="9"/>
      <c r="B1507" s="4"/>
      <c r="C1507" s="10"/>
      <c r="D1507" s="11" t="str">
        <f aca="false">IF(K1507="","",IFERROR(INDEX(DECKS!$C$2:$C$1201,MATCH(K1507,DECKS!$B$2:$B$1201,0)),TRIM(I1507&amp;"")))</f>
        <v/>
      </c>
      <c r="E1507" s="4"/>
      <c r="F1507" s="12"/>
      <c r="G1507" s="4"/>
      <c r="H1507" s="13" t="str">
        <f aca="false">IF(OR(N(C1507)=0,N(F1507)=0),"",C1507*F1507)</f>
        <v/>
      </c>
      <c r="I1507" s="4"/>
      <c r="J1507" s="11" t="str">
        <f aca="false">IF(K1507="","",IF(N(C1507)&lt;=0,"Informe a quantidade",IF(IFERROR(INDEX(INVENTÁRIO!$B$2:$B$801,MATCH(K1507,INVENTÁRIO!$A$2:$A$801,0)),"")="(sem nome)","Carta fora dos decks: digite o nome na coluna I (opcional)","")))</f>
        <v/>
      </c>
      <c r="K1507" s="11" t="str">
        <f aca="false">UPPER(TRIM(SUBSTITUTE(B1507&amp;"",CHAR(160)," ")))</f>
        <v/>
      </c>
      <c r="L1507" s="11" t="str">
        <f aca="false">IF(AND(K1507&lt;&gt;"",TRIM(I1507&amp;"")&lt;&gt;""),K1507,"")</f>
        <v/>
      </c>
    </row>
    <row r="1508" customFormat="false" ht="15" hidden="false" customHeight="false" outlineLevel="0" collapsed="false">
      <c r="A1508" s="9"/>
      <c r="B1508" s="4"/>
      <c r="C1508" s="10"/>
      <c r="D1508" s="11" t="str">
        <f aca="false">IF(K1508="","",IFERROR(INDEX(DECKS!$C$2:$C$1201,MATCH(K1508,DECKS!$B$2:$B$1201,0)),TRIM(I1508&amp;"")))</f>
        <v/>
      </c>
      <c r="E1508" s="4"/>
      <c r="F1508" s="12"/>
      <c r="G1508" s="4"/>
      <c r="H1508" s="13" t="str">
        <f aca="false">IF(OR(N(C1508)=0,N(F1508)=0),"",C1508*F1508)</f>
        <v/>
      </c>
      <c r="I1508" s="4"/>
      <c r="J1508" s="11" t="str">
        <f aca="false">IF(K1508="","",IF(N(C1508)&lt;=0,"Informe a quantidade",IF(IFERROR(INDEX(INVENTÁRIO!$B$2:$B$801,MATCH(K1508,INVENTÁRIO!$A$2:$A$801,0)),"")="(sem nome)","Carta fora dos decks: digite o nome na coluna I (opcional)","")))</f>
        <v/>
      </c>
      <c r="K1508" s="11" t="str">
        <f aca="false">UPPER(TRIM(SUBSTITUTE(B1508&amp;"",CHAR(160)," ")))</f>
        <v/>
      </c>
      <c r="L1508" s="11" t="str">
        <f aca="false">IF(AND(K1508&lt;&gt;"",TRIM(I1508&amp;"")&lt;&gt;""),K1508,"")</f>
        <v/>
      </c>
    </row>
    <row r="1509" customFormat="false" ht="15" hidden="false" customHeight="false" outlineLevel="0" collapsed="false">
      <c r="A1509" s="9"/>
      <c r="B1509" s="4"/>
      <c r="C1509" s="10"/>
      <c r="D1509" s="11" t="str">
        <f aca="false">IF(K1509="","",IFERROR(INDEX(DECKS!$C$2:$C$1201,MATCH(K1509,DECKS!$B$2:$B$1201,0)),TRIM(I1509&amp;"")))</f>
        <v/>
      </c>
      <c r="E1509" s="4"/>
      <c r="F1509" s="12"/>
      <c r="G1509" s="4"/>
      <c r="H1509" s="13" t="str">
        <f aca="false">IF(OR(N(C1509)=0,N(F1509)=0),"",C1509*F1509)</f>
        <v/>
      </c>
      <c r="I1509" s="4"/>
      <c r="J1509" s="11" t="str">
        <f aca="false">IF(K1509="","",IF(N(C1509)&lt;=0,"Informe a quantidade",IF(IFERROR(INDEX(INVENTÁRIO!$B$2:$B$801,MATCH(K1509,INVENTÁRIO!$A$2:$A$801,0)),"")="(sem nome)","Carta fora dos decks: digite o nome na coluna I (opcional)","")))</f>
        <v/>
      </c>
      <c r="K1509" s="11" t="str">
        <f aca="false">UPPER(TRIM(SUBSTITUTE(B1509&amp;"",CHAR(160)," ")))</f>
        <v/>
      </c>
      <c r="L1509" s="11" t="str">
        <f aca="false">IF(AND(K1509&lt;&gt;"",TRIM(I1509&amp;"")&lt;&gt;""),K1509,"")</f>
        <v/>
      </c>
    </row>
    <row r="1510" customFormat="false" ht="15" hidden="false" customHeight="false" outlineLevel="0" collapsed="false">
      <c r="A1510" s="9"/>
      <c r="B1510" s="4"/>
      <c r="C1510" s="10"/>
      <c r="D1510" s="11" t="str">
        <f aca="false">IF(K1510="","",IFERROR(INDEX(DECKS!$C$2:$C$1201,MATCH(K1510,DECKS!$B$2:$B$1201,0)),TRIM(I1510&amp;"")))</f>
        <v/>
      </c>
      <c r="E1510" s="4"/>
      <c r="F1510" s="12"/>
      <c r="G1510" s="4"/>
      <c r="H1510" s="13" t="str">
        <f aca="false">IF(OR(N(C1510)=0,N(F1510)=0),"",C1510*F1510)</f>
        <v/>
      </c>
      <c r="I1510" s="4"/>
      <c r="J1510" s="11" t="str">
        <f aca="false">IF(K1510="","",IF(N(C1510)&lt;=0,"Informe a quantidade",IF(IFERROR(INDEX(INVENTÁRIO!$B$2:$B$801,MATCH(K1510,INVENTÁRIO!$A$2:$A$801,0)),"")="(sem nome)","Carta fora dos decks: digite o nome na coluna I (opcional)","")))</f>
        <v/>
      </c>
      <c r="K1510" s="11" t="str">
        <f aca="false">UPPER(TRIM(SUBSTITUTE(B1510&amp;"",CHAR(160)," ")))</f>
        <v/>
      </c>
      <c r="L1510" s="11" t="str">
        <f aca="false">IF(AND(K1510&lt;&gt;"",TRIM(I1510&amp;"")&lt;&gt;""),K1510,"")</f>
        <v/>
      </c>
    </row>
    <row r="1511" customFormat="false" ht="15" hidden="false" customHeight="false" outlineLevel="0" collapsed="false">
      <c r="A1511" s="9"/>
      <c r="B1511" s="4"/>
      <c r="C1511" s="10"/>
      <c r="D1511" s="11" t="str">
        <f aca="false">IF(K1511="","",IFERROR(INDEX(DECKS!$C$2:$C$1201,MATCH(K1511,DECKS!$B$2:$B$1201,0)),TRIM(I1511&amp;"")))</f>
        <v/>
      </c>
      <c r="E1511" s="4"/>
      <c r="F1511" s="12"/>
      <c r="G1511" s="4"/>
      <c r="H1511" s="13" t="str">
        <f aca="false">IF(OR(N(C1511)=0,N(F1511)=0),"",C1511*F1511)</f>
        <v/>
      </c>
      <c r="I1511" s="4"/>
      <c r="J1511" s="11" t="str">
        <f aca="false">IF(K1511="","",IF(N(C1511)&lt;=0,"Informe a quantidade",IF(IFERROR(INDEX(INVENTÁRIO!$B$2:$B$801,MATCH(K1511,INVENTÁRIO!$A$2:$A$801,0)),"")="(sem nome)","Carta fora dos decks: digite o nome na coluna I (opcional)","")))</f>
        <v/>
      </c>
      <c r="K1511" s="11" t="str">
        <f aca="false">UPPER(TRIM(SUBSTITUTE(B1511&amp;"",CHAR(160)," ")))</f>
        <v/>
      </c>
      <c r="L1511" s="11" t="str">
        <f aca="false">IF(AND(K1511&lt;&gt;"",TRIM(I1511&amp;"")&lt;&gt;""),K1511,"")</f>
        <v/>
      </c>
    </row>
    <row r="1512" customFormat="false" ht="15" hidden="false" customHeight="false" outlineLevel="0" collapsed="false">
      <c r="A1512" s="9"/>
      <c r="B1512" s="4"/>
      <c r="C1512" s="10"/>
      <c r="D1512" s="11" t="str">
        <f aca="false">IF(K1512="","",IFERROR(INDEX(DECKS!$C$2:$C$1201,MATCH(K1512,DECKS!$B$2:$B$1201,0)),TRIM(I1512&amp;"")))</f>
        <v/>
      </c>
      <c r="E1512" s="4"/>
      <c r="F1512" s="12"/>
      <c r="G1512" s="4"/>
      <c r="H1512" s="13" t="str">
        <f aca="false">IF(OR(N(C1512)=0,N(F1512)=0),"",C1512*F1512)</f>
        <v/>
      </c>
      <c r="I1512" s="4"/>
      <c r="J1512" s="11" t="str">
        <f aca="false">IF(K1512="","",IF(N(C1512)&lt;=0,"Informe a quantidade",IF(IFERROR(INDEX(INVENTÁRIO!$B$2:$B$801,MATCH(K1512,INVENTÁRIO!$A$2:$A$801,0)),"")="(sem nome)","Carta fora dos decks: digite o nome na coluna I (opcional)","")))</f>
        <v/>
      </c>
      <c r="K1512" s="11" t="str">
        <f aca="false">UPPER(TRIM(SUBSTITUTE(B1512&amp;"",CHAR(160)," ")))</f>
        <v/>
      </c>
      <c r="L1512" s="11" t="str">
        <f aca="false">IF(AND(K1512&lt;&gt;"",TRIM(I1512&amp;"")&lt;&gt;""),K1512,"")</f>
        <v/>
      </c>
    </row>
    <row r="1513" customFormat="false" ht="15" hidden="false" customHeight="false" outlineLevel="0" collapsed="false">
      <c r="A1513" s="9"/>
      <c r="B1513" s="4"/>
      <c r="C1513" s="10"/>
      <c r="D1513" s="11" t="str">
        <f aca="false">IF(K1513="","",IFERROR(INDEX(DECKS!$C$2:$C$1201,MATCH(K1513,DECKS!$B$2:$B$1201,0)),TRIM(I1513&amp;"")))</f>
        <v/>
      </c>
      <c r="E1513" s="4"/>
      <c r="F1513" s="12"/>
      <c r="G1513" s="4"/>
      <c r="H1513" s="13" t="str">
        <f aca="false">IF(OR(N(C1513)=0,N(F1513)=0),"",C1513*F1513)</f>
        <v/>
      </c>
      <c r="I1513" s="4"/>
      <c r="J1513" s="11" t="str">
        <f aca="false">IF(K1513="","",IF(N(C1513)&lt;=0,"Informe a quantidade",IF(IFERROR(INDEX(INVENTÁRIO!$B$2:$B$801,MATCH(K1513,INVENTÁRIO!$A$2:$A$801,0)),"")="(sem nome)","Carta fora dos decks: digite o nome na coluna I (opcional)","")))</f>
        <v/>
      </c>
      <c r="K1513" s="11" t="str">
        <f aca="false">UPPER(TRIM(SUBSTITUTE(B1513&amp;"",CHAR(160)," ")))</f>
        <v/>
      </c>
      <c r="L1513" s="11" t="str">
        <f aca="false">IF(AND(K1513&lt;&gt;"",TRIM(I1513&amp;"")&lt;&gt;""),K1513,"")</f>
        <v/>
      </c>
    </row>
    <row r="1514" customFormat="false" ht="15" hidden="false" customHeight="false" outlineLevel="0" collapsed="false">
      <c r="A1514" s="9"/>
      <c r="B1514" s="4"/>
      <c r="C1514" s="10"/>
      <c r="D1514" s="11" t="str">
        <f aca="false">IF(K1514="","",IFERROR(INDEX(DECKS!$C$2:$C$1201,MATCH(K1514,DECKS!$B$2:$B$1201,0)),TRIM(I1514&amp;"")))</f>
        <v/>
      </c>
      <c r="E1514" s="4"/>
      <c r="F1514" s="12"/>
      <c r="G1514" s="4"/>
      <c r="H1514" s="13" t="str">
        <f aca="false">IF(OR(N(C1514)=0,N(F1514)=0),"",C1514*F1514)</f>
        <v/>
      </c>
      <c r="I1514" s="4"/>
      <c r="J1514" s="11" t="str">
        <f aca="false">IF(K1514="","",IF(N(C1514)&lt;=0,"Informe a quantidade",IF(IFERROR(INDEX(INVENTÁRIO!$B$2:$B$801,MATCH(K1514,INVENTÁRIO!$A$2:$A$801,0)),"")="(sem nome)","Carta fora dos decks: digite o nome na coluna I (opcional)","")))</f>
        <v/>
      </c>
      <c r="K1514" s="11" t="str">
        <f aca="false">UPPER(TRIM(SUBSTITUTE(B1514&amp;"",CHAR(160)," ")))</f>
        <v/>
      </c>
      <c r="L1514" s="11" t="str">
        <f aca="false">IF(AND(K1514&lt;&gt;"",TRIM(I1514&amp;"")&lt;&gt;""),K1514,"")</f>
        <v/>
      </c>
    </row>
    <row r="1515" customFormat="false" ht="15" hidden="false" customHeight="false" outlineLevel="0" collapsed="false">
      <c r="A1515" s="9"/>
      <c r="B1515" s="4"/>
      <c r="C1515" s="10"/>
      <c r="D1515" s="11" t="str">
        <f aca="false">IF(K1515="","",IFERROR(INDEX(DECKS!$C$2:$C$1201,MATCH(K1515,DECKS!$B$2:$B$1201,0)),TRIM(I1515&amp;"")))</f>
        <v/>
      </c>
      <c r="E1515" s="4"/>
      <c r="F1515" s="12"/>
      <c r="G1515" s="4"/>
      <c r="H1515" s="13" t="str">
        <f aca="false">IF(OR(N(C1515)=0,N(F1515)=0),"",C1515*F1515)</f>
        <v/>
      </c>
      <c r="I1515" s="4"/>
      <c r="J1515" s="11" t="str">
        <f aca="false">IF(K1515="","",IF(N(C1515)&lt;=0,"Informe a quantidade",IF(IFERROR(INDEX(INVENTÁRIO!$B$2:$B$801,MATCH(K1515,INVENTÁRIO!$A$2:$A$801,0)),"")="(sem nome)","Carta fora dos decks: digite o nome na coluna I (opcional)","")))</f>
        <v/>
      </c>
      <c r="K1515" s="11" t="str">
        <f aca="false">UPPER(TRIM(SUBSTITUTE(B1515&amp;"",CHAR(160)," ")))</f>
        <v/>
      </c>
      <c r="L1515" s="11" t="str">
        <f aca="false">IF(AND(K1515&lt;&gt;"",TRIM(I1515&amp;"")&lt;&gt;""),K1515,"")</f>
        <v/>
      </c>
    </row>
    <row r="1516" customFormat="false" ht="15" hidden="false" customHeight="false" outlineLevel="0" collapsed="false">
      <c r="A1516" s="9"/>
      <c r="B1516" s="4"/>
      <c r="C1516" s="10"/>
      <c r="D1516" s="11" t="str">
        <f aca="false">IF(K1516="","",IFERROR(INDEX(DECKS!$C$2:$C$1201,MATCH(K1516,DECKS!$B$2:$B$1201,0)),TRIM(I1516&amp;"")))</f>
        <v/>
      </c>
      <c r="E1516" s="4"/>
      <c r="F1516" s="12"/>
      <c r="G1516" s="4"/>
      <c r="H1516" s="13" t="str">
        <f aca="false">IF(OR(N(C1516)=0,N(F1516)=0),"",C1516*F1516)</f>
        <v/>
      </c>
      <c r="I1516" s="4"/>
      <c r="J1516" s="11" t="str">
        <f aca="false">IF(K1516="","",IF(N(C1516)&lt;=0,"Informe a quantidade",IF(IFERROR(INDEX(INVENTÁRIO!$B$2:$B$801,MATCH(K1516,INVENTÁRIO!$A$2:$A$801,0)),"")="(sem nome)","Carta fora dos decks: digite o nome na coluna I (opcional)","")))</f>
        <v/>
      </c>
      <c r="K1516" s="11" t="str">
        <f aca="false">UPPER(TRIM(SUBSTITUTE(B1516&amp;"",CHAR(160)," ")))</f>
        <v/>
      </c>
      <c r="L1516" s="11" t="str">
        <f aca="false">IF(AND(K1516&lt;&gt;"",TRIM(I1516&amp;"")&lt;&gt;""),K1516,"")</f>
        <v/>
      </c>
    </row>
    <row r="1517" customFormat="false" ht="15" hidden="false" customHeight="false" outlineLevel="0" collapsed="false">
      <c r="A1517" s="9"/>
      <c r="B1517" s="4"/>
      <c r="C1517" s="10"/>
      <c r="D1517" s="11" t="str">
        <f aca="false">IF(K1517="","",IFERROR(INDEX(DECKS!$C$2:$C$1201,MATCH(K1517,DECKS!$B$2:$B$1201,0)),TRIM(I1517&amp;"")))</f>
        <v/>
      </c>
      <c r="E1517" s="4"/>
      <c r="F1517" s="12"/>
      <c r="G1517" s="4"/>
      <c r="H1517" s="13" t="str">
        <f aca="false">IF(OR(N(C1517)=0,N(F1517)=0),"",C1517*F1517)</f>
        <v/>
      </c>
      <c r="I1517" s="4"/>
      <c r="J1517" s="11" t="str">
        <f aca="false">IF(K1517="","",IF(N(C1517)&lt;=0,"Informe a quantidade",IF(IFERROR(INDEX(INVENTÁRIO!$B$2:$B$801,MATCH(K1517,INVENTÁRIO!$A$2:$A$801,0)),"")="(sem nome)","Carta fora dos decks: digite o nome na coluna I (opcional)","")))</f>
        <v/>
      </c>
      <c r="K1517" s="11" t="str">
        <f aca="false">UPPER(TRIM(SUBSTITUTE(B1517&amp;"",CHAR(160)," ")))</f>
        <v/>
      </c>
      <c r="L1517" s="11" t="str">
        <f aca="false">IF(AND(K1517&lt;&gt;"",TRIM(I1517&amp;"")&lt;&gt;""),K1517,"")</f>
        <v/>
      </c>
    </row>
    <row r="1518" customFormat="false" ht="15" hidden="false" customHeight="false" outlineLevel="0" collapsed="false">
      <c r="A1518" s="9"/>
      <c r="B1518" s="4"/>
      <c r="C1518" s="10"/>
      <c r="D1518" s="11" t="str">
        <f aca="false">IF(K1518="","",IFERROR(INDEX(DECKS!$C$2:$C$1201,MATCH(K1518,DECKS!$B$2:$B$1201,0)),TRIM(I1518&amp;"")))</f>
        <v/>
      </c>
      <c r="E1518" s="4"/>
      <c r="F1518" s="12"/>
      <c r="G1518" s="4"/>
      <c r="H1518" s="13" t="str">
        <f aca="false">IF(OR(N(C1518)=0,N(F1518)=0),"",C1518*F1518)</f>
        <v/>
      </c>
      <c r="I1518" s="4"/>
      <c r="J1518" s="11" t="str">
        <f aca="false">IF(K1518="","",IF(N(C1518)&lt;=0,"Informe a quantidade",IF(IFERROR(INDEX(INVENTÁRIO!$B$2:$B$801,MATCH(K1518,INVENTÁRIO!$A$2:$A$801,0)),"")="(sem nome)","Carta fora dos decks: digite o nome na coluna I (opcional)","")))</f>
        <v/>
      </c>
      <c r="K1518" s="11" t="str">
        <f aca="false">UPPER(TRIM(SUBSTITUTE(B1518&amp;"",CHAR(160)," ")))</f>
        <v/>
      </c>
      <c r="L1518" s="11" t="str">
        <f aca="false">IF(AND(K1518&lt;&gt;"",TRIM(I1518&amp;"")&lt;&gt;""),K1518,"")</f>
        <v/>
      </c>
    </row>
    <row r="1519" customFormat="false" ht="15" hidden="false" customHeight="false" outlineLevel="0" collapsed="false">
      <c r="A1519" s="9"/>
      <c r="B1519" s="4"/>
      <c r="C1519" s="10"/>
      <c r="D1519" s="11" t="str">
        <f aca="false">IF(K1519="","",IFERROR(INDEX(DECKS!$C$2:$C$1201,MATCH(K1519,DECKS!$B$2:$B$1201,0)),TRIM(I1519&amp;"")))</f>
        <v/>
      </c>
      <c r="E1519" s="4"/>
      <c r="F1519" s="12"/>
      <c r="G1519" s="4"/>
      <c r="H1519" s="13" t="str">
        <f aca="false">IF(OR(N(C1519)=0,N(F1519)=0),"",C1519*F1519)</f>
        <v/>
      </c>
      <c r="I1519" s="4"/>
      <c r="J1519" s="11" t="str">
        <f aca="false">IF(K1519="","",IF(N(C1519)&lt;=0,"Informe a quantidade",IF(IFERROR(INDEX(INVENTÁRIO!$B$2:$B$801,MATCH(K1519,INVENTÁRIO!$A$2:$A$801,0)),"")="(sem nome)","Carta fora dos decks: digite o nome na coluna I (opcional)","")))</f>
        <v/>
      </c>
      <c r="K1519" s="11" t="str">
        <f aca="false">UPPER(TRIM(SUBSTITUTE(B1519&amp;"",CHAR(160)," ")))</f>
        <v/>
      </c>
      <c r="L1519" s="11" t="str">
        <f aca="false">IF(AND(K1519&lt;&gt;"",TRIM(I1519&amp;"")&lt;&gt;""),K1519,"")</f>
        <v/>
      </c>
    </row>
    <row r="1520" customFormat="false" ht="15" hidden="false" customHeight="false" outlineLevel="0" collapsed="false">
      <c r="A1520" s="9"/>
      <c r="B1520" s="4"/>
      <c r="C1520" s="10"/>
      <c r="D1520" s="11" t="str">
        <f aca="false">IF(K1520="","",IFERROR(INDEX(DECKS!$C$2:$C$1201,MATCH(K1520,DECKS!$B$2:$B$1201,0)),TRIM(I1520&amp;"")))</f>
        <v/>
      </c>
      <c r="E1520" s="4"/>
      <c r="F1520" s="12"/>
      <c r="G1520" s="4"/>
      <c r="H1520" s="13" t="str">
        <f aca="false">IF(OR(N(C1520)=0,N(F1520)=0),"",C1520*F1520)</f>
        <v/>
      </c>
      <c r="I1520" s="4"/>
      <c r="J1520" s="11" t="str">
        <f aca="false">IF(K1520="","",IF(N(C1520)&lt;=0,"Informe a quantidade",IF(IFERROR(INDEX(INVENTÁRIO!$B$2:$B$801,MATCH(K1520,INVENTÁRIO!$A$2:$A$801,0)),"")="(sem nome)","Carta fora dos decks: digite o nome na coluna I (opcional)","")))</f>
        <v/>
      </c>
      <c r="K1520" s="11" t="str">
        <f aca="false">UPPER(TRIM(SUBSTITUTE(B1520&amp;"",CHAR(160)," ")))</f>
        <v/>
      </c>
      <c r="L1520" s="11" t="str">
        <f aca="false">IF(AND(K1520&lt;&gt;"",TRIM(I1520&amp;"")&lt;&gt;""),K1520,"")</f>
        <v/>
      </c>
    </row>
    <row r="1521" customFormat="false" ht="15" hidden="false" customHeight="false" outlineLevel="0" collapsed="false">
      <c r="A1521" s="9"/>
      <c r="B1521" s="4"/>
      <c r="C1521" s="10"/>
      <c r="D1521" s="11" t="str">
        <f aca="false">IF(K1521="","",IFERROR(INDEX(DECKS!$C$2:$C$1201,MATCH(K1521,DECKS!$B$2:$B$1201,0)),TRIM(I1521&amp;"")))</f>
        <v/>
      </c>
      <c r="E1521" s="4"/>
      <c r="F1521" s="12"/>
      <c r="G1521" s="4"/>
      <c r="H1521" s="13" t="str">
        <f aca="false">IF(OR(N(C1521)=0,N(F1521)=0),"",C1521*F1521)</f>
        <v/>
      </c>
      <c r="I1521" s="4"/>
      <c r="J1521" s="11" t="str">
        <f aca="false">IF(K1521="","",IF(N(C1521)&lt;=0,"Informe a quantidade",IF(IFERROR(INDEX(INVENTÁRIO!$B$2:$B$801,MATCH(K1521,INVENTÁRIO!$A$2:$A$801,0)),"")="(sem nome)","Carta fora dos decks: digite o nome na coluna I (opcional)","")))</f>
        <v/>
      </c>
      <c r="K1521" s="11" t="str">
        <f aca="false">UPPER(TRIM(SUBSTITUTE(B1521&amp;"",CHAR(160)," ")))</f>
        <v/>
      </c>
      <c r="L1521" s="11" t="str">
        <f aca="false">IF(AND(K1521&lt;&gt;"",TRIM(I1521&amp;"")&lt;&gt;""),K1521,"")</f>
        <v/>
      </c>
    </row>
    <row r="1522" customFormat="false" ht="15" hidden="false" customHeight="false" outlineLevel="0" collapsed="false">
      <c r="A1522" s="9"/>
      <c r="B1522" s="4"/>
      <c r="C1522" s="10"/>
      <c r="D1522" s="11" t="str">
        <f aca="false">IF(K1522="","",IFERROR(INDEX(DECKS!$C$2:$C$1201,MATCH(K1522,DECKS!$B$2:$B$1201,0)),TRIM(I1522&amp;"")))</f>
        <v/>
      </c>
      <c r="E1522" s="4"/>
      <c r="F1522" s="12"/>
      <c r="G1522" s="4"/>
      <c r="H1522" s="13" t="str">
        <f aca="false">IF(OR(N(C1522)=0,N(F1522)=0),"",C1522*F1522)</f>
        <v/>
      </c>
      <c r="I1522" s="4"/>
      <c r="J1522" s="11" t="str">
        <f aca="false">IF(K1522="","",IF(N(C1522)&lt;=0,"Informe a quantidade",IF(IFERROR(INDEX(INVENTÁRIO!$B$2:$B$801,MATCH(K1522,INVENTÁRIO!$A$2:$A$801,0)),"")="(sem nome)","Carta fora dos decks: digite o nome na coluna I (opcional)","")))</f>
        <v/>
      </c>
      <c r="K1522" s="11" t="str">
        <f aca="false">UPPER(TRIM(SUBSTITUTE(B1522&amp;"",CHAR(160)," ")))</f>
        <v/>
      </c>
      <c r="L1522" s="11" t="str">
        <f aca="false">IF(AND(K1522&lt;&gt;"",TRIM(I1522&amp;"")&lt;&gt;""),K1522,"")</f>
        <v/>
      </c>
    </row>
    <row r="1523" customFormat="false" ht="15" hidden="false" customHeight="false" outlineLevel="0" collapsed="false">
      <c r="A1523" s="9"/>
      <c r="B1523" s="4"/>
      <c r="C1523" s="10"/>
      <c r="D1523" s="11" t="str">
        <f aca="false">IF(K1523="","",IFERROR(INDEX(DECKS!$C$2:$C$1201,MATCH(K1523,DECKS!$B$2:$B$1201,0)),TRIM(I1523&amp;"")))</f>
        <v/>
      </c>
      <c r="E1523" s="4"/>
      <c r="F1523" s="12"/>
      <c r="G1523" s="4"/>
      <c r="H1523" s="13" t="str">
        <f aca="false">IF(OR(N(C1523)=0,N(F1523)=0),"",C1523*F1523)</f>
        <v/>
      </c>
      <c r="I1523" s="4"/>
      <c r="J1523" s="11" t="str">
        <f aca="false">IF(K1523="","",IF(N(C1523)&lt;=0,"Informe a quantidade",IF(IFERROR(INDEX(INVENTÁRIO!$B$2:$B$801,MATCH(K1523,INVENTÁRIO!$A$2:$A$801,0)),"")="(sem nome)","Carta fora dos decks: digite o nome na coluna I (opcional)","")))</f>
        <v/>
      </c>
      <c r="K1523" s="11" t="str">
        <f aca="false">UPPER(TRIM(SUBSTITUTE(B1523&amp;"",CHAR(160)," ")))</f>
        <v/>
      </c>
      <c r="L1523" s="11" t="str">
        <f aca="false">IF(AND(K1523&lt;&gt;"",TRIM(I1523&amp;"")&lt;&gt;""),K1523,"")</f>
        <v/>
      </c>
    </row>
    <row r="1524" customFormat="false" ht="15" hidden="false" customHeight="false" outlineLevel="0" collapsed="false">
      <c r="A1524" s="9"/>
      <c r="B1524" s="4"/>
      <c r="C1524" s="10"/>
      <c r="D1524" s="11" t="str">
        <f aca="false">IF(K1524="","",IFERROR(INDEX(DECKS!$C$2:$C$1201,MATCH(K1524,DECKS!$B$2:$B$1201,0)),TRIM(I1524&amp;"")))</f>
        <v/>
      </c>
      <c r="E1524" s="4"/>
      <c r="F1524" s="12"/>
      <c r="G1524" s="4"/>
      <c r="H1524" s="13" t="str">
        <f aca="false">IF(OR(N(C1524)=0,N(F1524)=0),"",C1524*F1524)</f>
        <v/>
      </c>
      <c r="I1524" s="4"/>
      <c r="J1524" s="11" t="str">
        <f aca="false">IF(K1524="","",IF(N(C1524)&lt;=0,"Informe a quantidade",IF(IFERROR(INDEX(INVENTÁRIO!$B$2:$B$801,MATCH(K1524,INVENTÁRIO!$A$2:$A$801,0)),"")="(sem nome)","Carta fora dos decks: digite o nome na coluna I (opcional)","")))</f>
        <v/>
      </c>
      <c r="K1524" s="11" t="str">
        <f aca="false">UPPER(TRIM(SUBSTITUTE(B1524&amp;"",CHAR(160)," ")))</f>
        <v/>
      </c>
      <c r="L1524" s="11" t="str">
        <f aca="false">IF(AND(K1524&lt;&gt;"",TRIM(I1524&amp;"")&lt;&gt;""),K1524,"")</f>
        <v/>
      </c>
    </row>
    <row r="1525" customFormat="false" ht="15" hidden="false" customHeight="false" outlineLevel="0" collapsed="false">
      <c r="A1525" s="9"/>
      <c r="B1525" s="4"/>
      <c r="C1525" s="10"/>
      <c r="D1525" s="11" t="str">
        <f aca="false">IF(K1525="","",IFERROR(INDEX(DECKS!$C$2:$C$1201,MATCH(K1525,DECKS!$B$2:$B$1201,0)),TRIM(I1525&amp;"")))</f>
        <v/>
      </c>
      <c r="E1525" s="4"/>
      <c r="F1525" s="12"/>
      <c r="G1525" s="4"/>
      <c r="H1525" s="13" t="str">
        <f aca="false">IF(OR(N(C1525)=0,N(F1525)=0),"",C1525*F1525)</f>
        <v/>
      </c>
      <c r="I1525" s="4"/>
      <c r="J1525" s="11" t="str">
        <f aca="false">IF(K1525="","",IF(N(C1525)&lt;=0,"Informe a quantidade",IF(IFERROR(INDEX(INVENTÁRIO!$B$2:$B$801,MATCH(K1525,INVENTÁRIO!$A$2:$A$801,0)),"")="(sem nome)","Carta fora dos decks: digite o nome na coluna I (opcional)","")))</f>
        <v/>
      </c>
      <c r="K1525" s="11" t="str">
        <f aca="false">UPPER(TRIM(SUBSTITUTE(B1525&amp;"",CHAR(160)," ")))</f>
        <v/>
      </c>
      <c r="L1525" s="11" t="str">
        <f aca="false">IF(AND(K1525&lt;&gt;"",TRIM(I1525&amp;"")&lt;&gt;""),K1525,"")</f>
        <v/>
      </c>
    </row>
    <row r="1526" customFormat="false" ht="15" hidden="false" customHeight="false" outlineLevel="0" collapsed="false">
      <c r="A1526" s="9"/>
      <c r="B1526" s="4"/>
      <c r="C1526" s="10"/>
      <c r="D1526" s="11" t="str">
        <f aca="false">IF(K1526="","",IFERROR(INDEX(DECKS!$C$2:$C$1201,MATCH(K1526,DECKS!$B$2:$B$1201,0)),TRIM(I1526&amp;"")))</f>
        <v/>
      </c>
      <c r="E1526" s="4"/>
      <c r="F1526" s="12"/>
      <c r="G1526" s="4"/>
      <c r="H1526" s="13" t="str">
        <f aca="false">IF(OR(N(C1526)=0,N(F1526)=0),"",C1526*F1526)</f>
        <v/>
      </c>
      <c r="I1526" s="4"/>
      <c r="J1526" s="11" t="str">
        <f aca="false">IF(K1526="","",IF(N(C1526)&lt;=0,"Informe a quantidade",IF(IFERROR(INDEX(INVENTÁRIO!$B$2:$B$801,MATCH(K1526,INVENTÁRIO!$A$2:$A$801,0)),"")="(sem nome)","Carta fora dos decks: digite o nome na coluna I (opcional)","")))</f>
        <v/>
      </c>
      <c r="K1526" s="11" t="str">
        <f aca="false">UPPER(TRIM(SUBSTITUTE(B1526&amp;"",CHAR(160)," ")))</f>
        <v/>
      </c>
      <c r="L1526" s="11" t="str">
        <f aca="false">IF(AND(K1526&lt;&gt;"",TRIM(I1526&amp;"")&lt;&gt;""),K1526,"")</f>
        <v/>
      </c>
    </row>
    <row r="1527" customFormat="false" ht="15" hidden="false" customHeight="false" outlineLevel="0" collapsed="false">
      <c r="A1527" s="9"/>
      <c r="B1527" s="4"/>
      <c r="C1527" s="10"/>
      <c r="D1527" s="11" t="str">
        <f aca="false">IF(K1527="","",IFERROR(INDEX(DECKS!$C$2:$C$1201,MATCH(K1527,DECKS!$B$2:$B$1201,0)),TRIM(I1527&amp;"")))</f>
        <v/>
      </c>
      <c r="E1527" s="4"/>
      <c r="F1527" s="12"/>
      <c r="G1527" s="4"/>
      <c r="H1527" s="13" t="str">
        <f aca="false">IF(OR(N(C1527)=0,N(F1527)=0),"",C1527*F1527)</f>
        <v/>
      </c>
      <c r="I1527" s="4"/>
      <c r="J1527" s="11" t="str">
        <f aca="false">IF(K1527="","",IF(N(C1527)&lt;=0,"Informe a quantidade",IF(IFERROR(INDEX(INVENTÁRIO!$B$2:$B$801,MATCH(K1527,INVENTÁRIO!$A$2:$A$801,0)),"")="(sem nome)","Carta fora dos decks: digite o nome na coluna I (opcional)","")))</f>
        <v/>
      </c>
      <c r="K1527" s="11" t="str">
        <f aca="false">UPPER(TRIM(SUBSTITUTE(B1527&amp;"",CHAR(160)," ")))</f>
        <v/>
      </c>
      <c r="L1527" s="11" t="str">
        <f aca="false">IF(AND(K1527&lt;&gt;"",TRIM(I1527&amp;"")&lt;&gt;""),K1527,"")</f>
        <v/>
      </c>
    </row>
    <row r="1528" customFormat="false" ht="15" hidden="false" customHeight="false" outlineLevel="0" collapsed="false">
      <c r="A1528" s="9"/>
      <c r="B1528" s="4"/>
      <c r="C1528" s="10"/>
      <c r="D1528" s="11" t="str">
        <f aca="false">IF(K1528="","",IFERROR(INDEX(DECKS!$C$2:$C$1201,MATCH(K1528,DECKS!$B$2:$B$1201,0)),TRIM(I1528&amp;"")))</f>
        <v/>
      </c>
      <c r="E1528" s="4"/>
      <c r="F1528" s="12"/>
      <c r="G1528" s="4"/>
      <c r="H1528" s="13" t="str">
        <f aca="false">IF(OR(N(C1528)=0,N(F1528)=0),"",C1528*F1528)</f>
        <v/>
      </c>
      <c r="I1528" s="4"/>
      <c r="J1528" s="11" t="str">
        <f aca="false">IF(K1528="","",IF(N(C1528)&lt;=0,"Informe a quantidade",IF(IFERROR(INDEX(INVENTÁRIO!$B$2:$B$801,MATCH(K1528,INVENTÁRIO!$A$2:$A$801,0)),"")="(sem nome)","Carta fora dos decks: digite o nome na coluna I (opcional)","")))</f>
        <v/>
      </c>
      <c r="K1528" s="11" t="str">
        <f aca="false">UPPER(TRIM(SUBSTITUTE(B1528&amp;"",CHAR(160)," ")))</f>
        <v/>
      </c>
      <c r="L1528" s="11" t="str">
        <f aca="false">IF(AND(K1528&lt;&gt;"",TRIM(I1528&amp;"")&lt;&gt;""),K1528,"")</f>
        <v/>
      </c>
    </row>
    <row r="1529" customFormat="false" ht="15" hidden="false" customHeight="false" outlineLevel="0" collapsed="false">
      <c r="A1529" s="9"/>
      <c r="B1529" s="4"/>
      <c r="C1529" s="10"/>
      <c r="D1529" s="11" t="str">
        <f aca="false">IF(K1529="","",IFERROR(INDEX(DECKS!$C$2:$C$1201,MATCH(K1529,DECKS!$B$2:$B$1201,0)),TRIM(I1529&amp;"")))</f>
        <v/>
      </c>
      <c r="E1529" s="4"/>
      <c r="F1529" s="12"/>
      <c r="G1529" s="4"/>
      <c r="H1529" s="13" t="str">
        <f aca="false">IF(OR(N(C1529)=0,N(F1529)=0),"",C1529*F1529)</f>
        <v/>
      </c>
      <c r="I1529" s="4"/>
      <c r="J1529" s="11" t="str">
        <f aca="false">IF(K1529="","",IF(N(C1529)&lt;=0,"Informe a quantidade",IF(IFERROR(INDEX(INVENTÁRIO!$B$2:$B$801,MATCH(K1529,INVENTÁRIO!$A$2:$A$801,0)),"")="(sem nome)","Carta fora dos decks: digite o nome na coluna I (opcional)","")))</f>
        <v/>
      </c>
      <c r="K1529" s="11" t="str">
        <f aca="false">UPPER(TRIM(SUBSTITUTE(B1529&amp;"",CHAR(160)," ")))</f>
        <v/>
      </c>
      <c r="L1529" s="11" t="str">
        <f aca="false">IF(AND(K1529&lt;&gt;"",TRIM(I1529&amp;"")&lt;&gt;""),K1529,"")</f>
        <v/>
      </c>
    </row>
    <row r="1530" customFormat="false" ht="15" hidden="false" customHeight="false" outlineLevel="0" collapsed="false">
      <c r="A1530" s="9"/>
      <c r="B1530" s="4"/>
      <c r="C1530" s="10"/>
      <c r="D1530" s="11" t="str">
        <f aca="false">IF(K1530="","",IFERROR(INDEX(DECKS!$C$2:$C$1201,MATCH(K1530,DECKS!$B$2:$B$1201,0)),TRIM(I1530&amp;"")))</f>
        <v/>
      </c>
      <c r="E1530" s="4"/>
      <c r="F1530" s="12"/>
      <c r="G1530" s="4"/>
      <c r="H1530" s="13" t="str">
        <f aca="false">IF(OR(N(C1530)=0,N(F1530)=0),"",C1530*F1530)</f>
        <v/>
      </c>
      <c r="I1530" s="4"/>
      <c r="J1530" s="11" t="str">
        <f aca="false">IF(K1530="","",IF(N(C1530)&lt;=0,"Informe a quantidade",IF(IFERROR(INDEX(INVENTÁRIO!$B$2:$B$801,MATCH(K1530,INVENTÁRIO!$A$2:$A$801,0)),"")="(sem nome)","Carta fora dos decks: digite o nome na coluna I (opcional)","")))</f>
        <v/>
      </c>
      <c r="K1530" s="11" t="str">
        <f aca="false">UPPER(TRIM(SUBSTITUTE(B1530&amp;"",CHAR(160)," ")))</f>
        <v/>
      </c>
      <c r="L1530" s="11" t="str">
        <f aca="false">IF(AND(K1530&lt;&gt;"",TRIM(I1530&amp;"")&lt;&gt;""),K1530,"")</f>
        <v/>
      </c>
    </row>
    <row r="1531" customFormat="false" ht="15" hidden="false" customHeight="false" outlineLevel="0" collapsed="false">
      <c r="A1531" s="9"/>
      <c r="B1531" s="4"/>
      <c r="C1531" s="10"/>
      <c r="D1531" s="11" t="str">
        <f aca="false">IF(K1531="","",IFERROR(INDEX(DECKS!$C$2:$C$1201,MATCH(K1531,DECKS!$B$2:$B$1201,0)),TRIM(I1531&amp;"")))</f>
        <v/>
      </c>
      <c r="E1531" s="4"/>
      <c r="F1531" s="12"/>
      <c r="G1531" s="4"/>
      <c r="H1531" s="13" t="str">
        <f aca="false">IF(OR(N(C1531)=0,N(F1531)=0),"",C1531*F1531)</f>
        <v/>
      </c>
      <c r="I1531" s="4"/>
      <c r="J1531" s="11" t="str">
        <f aca="false">IF(K1531="","",IF(N(C1531)&lt;=0,"Informe a quantidade",IF(IFERROR(INDEX(INVENTÁRIO!$B$2:$B$801,MATCH(K1531,INVENTÁRIO!$A$2:$A$801,0)),"")="(sem nome)","Carta fora dos decks: digite o nome na coluna I (opcional)","")))</f>
        <v/>
      </c>
      <c r="K1531" s="11" t="str">
        <f aca="false">UPPER(TRIM(SUBSTITUTE(B1531&amp;"",CHAR(160)," ")))</f>
        <v/>
      </c>
      <c r="L1531" s="11" t="str">
        <f aca="false">IF(AND(K1531&lt;&gt;"",TRIM(I1531&amp;"")&lt;&gt;""),K1531,"")</f>
        <v/>
      </c>
    </row>
    <row r="1532" customFormat="false" ht="15" hidden="false" customHeight="false" outlineLevel="0" collapsed="false">
      <c r="A1532" s="9"/>
      <c r="B1532" s="4"/>
      <c r="C1532" s="10"/>
      <c r="D1532" s="11" t="str">
        <f aca="false">IF(K1532="","",IFERROR(INDEX(DECKS!$C$2:$C$1201,MATCH(K1532,DECKS!$B$2:$B$1201,0)),TRIM(I1532&amp;"")))</f>
        <v/>
      </c>
      <c r="E1532" s="4"/>
      <c r="F1532" s="12"/>
      <c r="G1532" s="4"/>
      <c r="H1532" s="13" t="str">
        <f aca="false">IF(OR(N(C1532)=0,N(F1532)=0),"",C1532*F1532)</f>
        <v/>
      </c>
      <c r="I1532" s="4"/>
      <c r="J1532" s="11" t="str">
        <f aca="false">IF(K1532="","",IF(N(C1532)&lt;=0,"Informe a quantidade",IF(IFERROR(INDEX(INVENTÁRIO!$B$2:$B$801,MATCH(K1532,INVENTÁRIO!$A$2:$A$801,0)),"")="(sem nome)","Carta fora dos decks: digite o nome na coluna I (opcional)","")))</f>
        <v/>
      </c>
      <c r="K1532" s="11" t="str">
        <f aca="false">UPPER(TRIM(SUBSTITUTE(B1532&amp;"",CHAR(160)," ")))</f>
        <v/>
      </c>
      <c r="L1532" s="11" t="str">
        <f aca="false">IF(AND(K1532&lt;&gt;"",TRIM(I1532&amp;"")&lt;&gt;""),K1532,"")</f>
        <v/>
      </c>
    </row>
    <row r="1533" customFormat="false" ht="15" hidden="false" customHeight="false" outlineLevel="0" collapsed="false">
      <c r="A1533" s="9"/>
      <c r="B1533" s="4"/>
      <c r="C1533" s="10"/>
      <c r="D1533" s="11" t="str">
        <f aca="false">IF(K1533="","",IFERROR(INDEX(DECKS!$C$2:$C$1201,MATCH(K1533,DECKS!$B$2:$B$1201,0)),TRIM(I1533&amp;"")))</f>
        <v/>
      </c>
      <c r="E1533" s="4"/>
      <c r="F1533" s="12"/>
      <c r="G1533" s="4"/>
      <c r="H1533" s="13" t="str">
        <f aca="false">IF(OR(N(C1533)=0,N(F1533)=0),"",C1533*F1533)</f>
        <v/>
      </c>
      <c r="I1533" s="4"/>
      <c r="J1533" s="11" t="str">
        <f aca="false">IF(K1533="","",IF(N(C1533)&lt;=0,"Informe a quantidade",IF(IFERROR(INDEX(INVENTÁRIO!$B$2:$B$801,MATCH(K1533,INVENTÁRIO!$A$2:$A$801,0)),"")="(sem nome)","Carta fora dos decks: digite o nome na coluna I (opcional)","")))</f>
        <v/>
      </c>
      <c r="K1533" s="11" t="str">
        <f aca="false">UPPER(TRIM(SUBSTITUTE(B1533&amp;"",CHAR(160)," ")))</f>
        <v/>
      </c>
      <c r="L1533" s="11" t="str">
        <f aca="false">IF(AND(K1533&lt;&gt;"",TRIM(I1533&amp;"")&lt;&gt;""),K1533,"")</f>
        <v/>
      </c>
    </row>
    <row r="1534" customFormat="false" ht="15" hidden="false" customHeight="false" outlineLevel="0" collapsed="false">
      <c r="A1534" s="9"/>
      <c r="B1534" s="4"/>
      <c r="C1534" s="10"/>
      <c r="D1534" s="11" t="str">
        <f aca="false">IF(K1534="","",IFERROR(INDEX(DECKS!$C$2:$C$1201,MATCH(K1534,DECKS!$B$2:$B$1201,0)),TRIM(I1534&amp;"")))</f>
        <v/>
      </c>
      <c r="E1534" s="4"/>
      <c r="F1534" s="12"/>
      <c r="G1534" s="4"/>
      <c r="H1534" s="13" t="str">
        <f aca="false">IF(OR(N(C1534)=0,N(F1534)=0),"",C1534*F1534)</f>
        <v/>
      </c>
      <c r="I1534" s="4"/>
      <c r="J1534" s="11" t="str">
        <f aca="false">IF(K1534="","",IF(N(C1534)&lt;=0,"Informe a quantidade",IF(IFERROR(INDEX(INVENTÁRIO!$B$2:$B$801,MATCH(K1534,INVENTÁRIO!$A$2:$A$801,0)),"")="(sem nome)","Carta fora dos decks: digite o nome na coluna I (opcional)","")))</f>
        <v/>
      </c>
      <c r="K1534" s="11" t="str">
        <f aca="false">UPPER(TRIM(SUBSTITUTE(B1534&amp;"",CHAR(160)," ")))</f>
        <v/>
      </c>
      <c r="L1534" s="11" t="str">
        <f aca="false">IF(AND(K1534&lt;&gt;"",TRIM(I1534&amp;"")&lt;&gt;""),K1534,"")</f>
        <v/>
      </c>
    </row>
    <row r="1535" customFormat="false" ht="15" hidden="false" customHeight="false" outlineLevel="0" collapsed="false">
      <c r="A1535" s="9"/>
      <c r="B1535" s="4"/>
      <c r="C1535" s="10"/>
      <c r="D1535" s="11" t="str">
        <f aca="false">IF(K1535="","",IFERROR(INDEX(DECKS!$C$2:$C$1201,MATCH(K1535,DECKS!$B$2:$B$1201,0)),TRIM(I1535&amp;"")))</f>
        <v/>
      </c>
      <c r="E1535" s="4"/>
      <c r="F1535" s="12"/>
      <c r="G1535" s="4"/>
      <c r="H1535" s="13" t="str">
        <f aca="false">IF(OR(N(C1535)=0,N(F1535)=0),"",C1535*F1535)</f>
        <v/>
      </c>
      <c r="I1535" s="4"/>
      <c r="J1535" s="11" t="str">
        <f aca="false">IF(K1535="","",IF(N(C1535)&lt;=0,"Informe a quantidade",IF(IFERROR(INDEX(INVENTÁRIO!$B$2:$B$801,MATCH(K1535,INVENTÁRIO!$A$2:$A$801,0)),"")="(sem nome)","Carta fora dos decks: digite o nome na coluna I (opcional)","")))</f>
        <v/>
      </c>
      <c r="K1535" s="11" t="str">
        <f aca="false">UPPER(TRIM(SUBSTITUTE(B1535&amp;"",CHAR(160)," ")))</f>
        <v/>
      </c>
      <c r="L1535" s="11" t="str">
        <f aca="false">IF(AND(K1535&lt;&gt;"",TRIM(I1535&amp;"")&lt;&gt;""),K1535,"")</f>
        <v/>
      </c>
    </row>
    <row r="1536" customFormat="false" ht="15" hidden="false" customHeight="false" outlineLevel="0" collapsed="false">
      <c r="A1536" s="9"/>
      <c r="B1536" s="4"/>
      <c r="C1536" s="10"/>
      <c r="D1536" s="11" t="str">
        <f aca="false">IF(K1536="","",IFERROR(INDEX(DECKS!$C$2:$C$1201,MATCH(K1536,DECKS!$B$2:$B$1201,0)),TRIM(I1536&amp;"")))</f>
        <v/>
      </c>
      <c r="E1536" s="4"/>
      <c r="F1536" s="12"/>
      <c r="G1536" s="4"/>
      <c r="H1536" s="13" t="str">
        <f aca="false">IF(OR(N(C1536)=0,N(F1536)=0),"",C1536*F1536)</f>
        <v/>
      </c>
      <c r="I1536" s="4"/>
      <c r="J1536" s="11" t="str">
        <f aca="false">IF(K1536="","",IF(N(C1536)&lt;=0,"Informe a quantidade",IF(IFERROR(INDEX(INVENTÁRIO!$B$2:$B$801,MATCH(K1536,INVENTÁRIO!$A$2:$A$801,0)),"")="(sem nome)","Carta fora dos decks: digite o nome na coluna I (opcional)","")))</f>
        <v/>
      </c>
      <c r="K1536" s="11" t="str">
        <f aca="false">UPPER(TRIM(SUBSTITUTE(B1536&amp;"",CHAR(160)," ")))</f>
        <v/>
      </c>
      <c r="L1536" s="11" t="str">
        <f aca="false">IF(AND(K1536&lt;&gt;"",TRIM(I1536&amp;"")&lt;&gt;""),K1536,"")</f>
        <v/>
      </c>
    </row>
    <row r="1537" customFormat="false" ht="15" hidden="false" customHeight="false" outlineLevel="0" collapsed="false">
      <c r="A1537" s="9"/>
      <c r="B1537" s="4"/>
      <c r="C1537" s="10"/>
      <c r="D1537" s="11" t="str">
        <f aca="false">IF(K1537="","",IFERROR(INDEX(DECKS!$C$2:$C$1201,MATCH(K1537,DECKS!$B$2:$B$1201,0)),TRIM(I1537&amp;"")))</f>
        <v/>
      </c>
      <c r="E1537" s="4"/>
      <c r="F1537" s="12"/>
      <c r="G1537" s="4"/>
      <c r="H1537" s="13" t="str">
        <f aca="false">IF(OR(N(C1537)=0,N(F1537)=0),"",C1537*F1537)</f>
        <v/>
      </c>
      <c r="I1537" s="4"/>
      <c r="J1537" s="11" t="str">
        <f aca="false">IF(K1537="","",IF(N(C1537)&lt;=0,"Informe a quantidade",IF(IFERROR(INDEX(INVENTÁRIO!$B$2:$B$801,MATCH(K1537,INVENTÁRIO!$A$2:$A$801,0)),"")="(sem nome)","Carta fora dos decks: digite o nome na coluna I (opcional)","")))</f>
        <v/>
      </c>
      <c r="K1537" s="11" t="str">
        <f aca="false">UPPER(TRIM(SUBSTITUTE(B1537&amp;"",CHAR(160)," ")))</f>
        <v/>
      </c>
      <c r="L1537" s="11" t="str">
        <f aca="false">IF(AND(K1537&lt;&gt;"",TRIM(I1537&amp;"")&lt;&gt;""),K1537,"")</f>
        <v/>
      </c>
    </row>
    <row r="1538" customFormat="false" ht="15" hidden="false" customHeight="false" outlineLevel="0" collapsed="false">
      <c r="A1538" s="9"/>
      <c r="B1538" s="4"/>
      <c r="C1538" s="10"/>
      <c r="D1538" s="11" t="str">
        <f aca="false">IF(K1538="","",IFERROR(INDEX(DECKS!$C$2:$C$1201,MATCH(K1538,DECKS!$B$2:$B$1201,0)),TRIM(I1538&amp;"")))</f>
        <v/>
      </c>
      <c r="E1538" s="4"/>
      <c r="F1538" s="12"/>
      <c r="G1538" s="4"/>
      <c r="H1538" s="13" t="str">
        <f aca="false">IF(OR(N(C1538)=0,N(F1538)=0),"",C1538*F1538)</f>
        <v/>
      </c>
      <c r="I1538" s="4"/>
      <c r="J1538" s="11" t="str">
        <f aca="false">IF(K1538="","",IF(N(C1538)&lt;=0,"Informe a quantidade",IF(IFERROR(INDEX(INVENTÁRIO!$B$2:$B$801,MATCH(K1538,INVENTÁRIO!$A$2:$A$801,0)),"")="(sem nome)","Carta fora dos decks: digite o nome na coluna I (opcional)","")))</f>
        <v/>
      </c>
      <c r="K1538" s="11" t="str">
        <f aca="false">UPPER(TRIM(SUBSTITUTE(B1538&amp;"",CHAR(160)," ")))</f>
        <v/>
      </c>
      <c r="L1538" s="11" t="str">
        <f aca="false">IF(AND(K1538&lt;&gt;"",TRIM(I1538&amp;"")&lt;&gt;""),K1538,"")</f>
        <v/>
      </c>
    </row>
    <row r="1539" customFormat="false" ht="15" hidden="false" customHeight="false" outlineLevel="0" collapsed="false">
      <c r="A1539" s="9"/>
      <c r="B1539" s="4"/>
      <c r="C1539" s="10"/>
      <c r="D1539" s="11" t="str">
        <f aca="false">IF(K1539="","",IFERROR(INDEX(DECKS!$C$2:$C$1201,MATCH(K1539,DECKS!$B$2:$B$1201,0)),TRIM(I1539&amp;"")))</f>
        <v/>
      </c>
      <c r="E1539" s="4"/>
      <c r="F1539" s="12"/>
      <c r="G1539" s="4"/>
      <c r="H1539" s="13" t="str">
        <f aca="false">IF(OR(N(C1539)=0,N(F1539)=0),"",C1539*F1539)</f>
        <v/>
      </c>
      <c r="I1539" s="4"/>
      <c r="J1539" s="11" t="str">
        <f aca="false">IF(K1539="","",IF(N(C1539)&lt;=0,"Informe a quantidade",IF(IFERROR(INDEX(INVENTÁRIO!$B$2:$B$801,MATCH(K1539,INVENTÁRIO!$A$2:$A$801,0)),"")="(sem nome)","Carta fora dos decks: digite o nome na coluna I (opcional)","")))</f>
        <v/>
      </c>
      <c r="K1539" s="11" t="str">
        <f aca="false">UPPER(TRIM(SUBSTITUTE(B1539&amp;"",CHAR(160)," ")))</f>
        <v/>
      </c>
      <c r="L1539" s="11" t="str">
        <f aca="false">IF(AND(K1539&lt;&gt;"",TRIM(I1539&amp;"")&lt;&gt;""),K1539,"")</f>
        <v/>
      </c>
    </row>
    <row r="1540" customFormat="false" ht="15" hidden="false" customHeight="false" outlineLevel="0" collapsed="false">
      <c r="A1540" s="9"/>
      <c r="B1540" s="4"/>
      <c r="C1540" s="10"/>
      <c r="D1540" s="11" t="str">
        <f aca="false">IF(K1540="","",IFERROR(INDEX(DECKS!$C$2:$C$1201,MATCH(K1540,DECKS!$B$2:$B$1201,0)),TRIM(I1540&amp;"")))</f>
        <v/>
      </c>
      <c r="E1540" s="4"/>
      <c r="F1540" s="12"/>
      <c r="G1540" s="4"/>
      <c r="H1540" s="13" t="str">
        <f aca="false">IF(OR(N(C1540)=0,N(F1540)=0),"",C1540*F1540)</f>
        <v/>
      </c>
      <c r="I1540" s="4"/>
      <c r="J1540" s="11" t="str">
        <f aca="false">IF(K1540="","",IF(N(C1540)&lt;=0,"Informe a quantidade",IF(IFERROR(INDEX(INVENTÁRIO!$B$2:$B$801,MATCH(K1540,INVENTÁRIO!$A$2:$A$801,0)),"")="(sem nome)","Carta fora dos decks: digite o nome na coluna I (opcional)","")))</f>
        <v/>
      </c>
      <c r="K1540" s="11" t="str">
        <f aca="false">UPPER(TRIM(SUBSTITUTE(B1540&amp;"",CHAR(160)," ")))</f>
        <v/>
      </c>
      <c r="L1540" s="11" t="str">
        <f aca="false">IF(AND(K1540&lt;&gt;"",TRIM(I1540&amp;"")&lt;&gt;""),K1540,"")</f>
        <v/>
      </c>
    </row>
    <row r="1541" customFormat="false" ht="15" hidden="false" customHeight="false" outlineLevel="0" collapsed="false">
      <c r="A1541" s="9"/>
      <c r="B1541" s="4"/>
      <c r="C1541" s="10"/>
      <c r="D1541" s="11" t="str">
        <f aca="false">IF(K1541="","",IFERROR(INDEX(DECKS!$C$2:$C$1201,MATCH(K1541,DECKS!$B$2:$B$1201,0)),TRIM(I1541&amp;"")))</f>
        <v/>
      </c>
      <c r="E1541" s="4"/>
      <c r="F1541" s="12"/>
      <c r="G1541" s="4"/>
      <c r="H1541" s="13" t="str">
        <f aca="false">IF(OR(N(C1541)=0,N(F1541)=0),"",C1541*F1541)</f>
        <v/>
      </c>
      <c r="I1541" s="4"/>
      <c r="J1541" s="11" t="str">
        <f aca="false">IF(K1541="","",IF(N(C1541)&lt;=0,"Informe a quantidade",IF(IFERROR(INDEX(INVENTÁRIO!$B$2:$B$801,MATCH(K1541,INVENTÁRIO!$A$2:$A$801,0)),"")="(sem nome)","Carta fora dos decks: digite o nome na coluna I (opcional)","")))</f>
        <v/>
      </c>
      <c r="K1541" s="11" t="str">
        <f aca="false">UPPER(TRIM(SUBSTITUTE(B1541&amp;"",CHAR(160)," ")))</f>
        <v/>
      </c>
      <c r="L1541" s="11" t="str">
        <f aca="false">IF(AND(K1541&lt;&gt;"",TRIM(I1541&amp;"")&lt;&gt;""),K1541,"")</f>
        <v/>
      </c>
    </row>
    <row r="1542" customFormat="false" ht="15" hidden="false" customHeight="false" outlineLevel="0" collapsed="false">
      <c r="A1542" s="9"/>
      <c r="B1542" s="4"/>
      <c r="C1542" s="10"/>
      <c r="D1542" s="11" t="str">
        <f aca="false">IF(K1542="","",IFERROR(INDEX(DECKS!$C$2:$C$1201,MATCH(K1542,DECKS!$B$2:$B$1201,0)),TRIM(I1542&amp;"")))</f>
        <v/>
      </c>
      <c r="E1542" s="4"/>
      <c r="F1542" s="12"/>
      <c r="G1542" s="4"/>
      <c r="H1542" s="13" t="str">
        <f aca="false">IF(OR(N(C1542)=0,N(F1542)=0),"",C1542*F1542)</f>
        <v/>
      </c>
      <c r="I1542" s="4"/>
      <c r="J1542" s="11" t="str">
        <f aca="false">IF(K1542="","",IF(N(C1542)&lt;=0,"Informe a quantidade",IF(IFERROR(INDEX(INVENTÁRIO!$B$2:$B$801,MATCH(K1542,INVENTÁRIO!$A$2:$A$801,0)),"")="(sem nome)","Carta fora dos decks: digite o nome na coluna I (opcional)","")))</f>
        <v/>
      </c>
      <c r="K1542" s="11" t="str">
        <f aca="false">UPPER(TRIM(SUBSTITUTE(B1542&amp;"",CHAR(160)," ")))</f>
        <v/>
      </c>
      <c r="L1542" s="11" t="str">
        <f aca="false">IF(AND(K1542&lt;&gt;"",TRIM(I1542&amp;"")&lt;&gt;""),K1542,"")</f>
        <v/>
      </c>
    </row>
    <row r="1543" customFormat="false" ht="15" hidden="false" customHeight="false" outlineLevel="0" collapsed="false">
      <c r="A1543" s="9"/>
      <c r="B1543" s="4"/>
      <c r="C1543" s="10"/>
      <c r="D1543" s="11" t="str">
        <f aca="false">IF(K1543="","",IFERROR(INDEX(DECKS!$C$2:$C$1201,MATCH(K1543,DECKS!$B$2:$B$1201,0)),TRIM(I1543&amp;"")))</f>
        <v/>
      </c>
      <c r="E1543" s="4"/>
      <c r="F1543" s="12"/>
      <c r="G1543" s="4"/>
      <c r="H1543" s="13" t="str">
        <f aca="false">IF(OR(N(C1543)=0,N(F1543)=0),"",C1543*F1543)</f>
        <v/>
      </c>
      <c r="I1543" s="4"/>
      <c r="J1543" s="11" t="str">
        <f aca="false">IF(K1543="","",IF(N(C1543)&lt;=0,"Informe a quantidade",IF(IFERROR(INDEX(INVENTÁRIO!$B$2:$B$801,MATCH(K1543,INVENTÁRIO!$A$2:$A$801,0)),"")="(sem nome)","Carta fora dos decks: digite o nome na coluna I (opcional)","")))</f>
        <v/>
      </c>
      <c r="K1543" s="11" t="str">
        <f aca="false">UPPER(TRIM(SUBSTITUTE(B1543&amp;"",CHAR(160)," ")))</f>
        <v/>
      </c>
      <c r="L1543" s="11" t="str">
        <f aca="false">IF(AND(K1543&lt;&gt;"",TRIM(I1543&amp;"")&lt;&gt;""),K1543,"")</f>
        <v/>
      </c>
    </row>
    <row r="1544" customFormat="false" ht="15" hidden="false" customHeight="false" outlineLevel="0" collapsed="false">
      <c r="A1544" s="9"/>
      <c r="B1544" s="4"/>
      <c r="C1544" s="10"/>
      <c r="D1544" s="11" t="str">
        <f aca="false">IF(K1544="","",IFERROR(INDEX(DECKS!$C$2:$C$1201,MATCH(K1544,DECKS!$B$2:$B$1201,0)),TRIM(I1544&amp;"")))</f>
        <v/>
      </c>
      <c r="E1544" s="4"/>
      <c r="F1544" s="12"/>
      <c r="G1544" s="4"/>
      <c r="H1544" s="13" t="str">
        <f aca="false">IF(OR(N(C1544)=0,N(F1544)=0),"",C1544*F1544)</f>
        <v/>
      </c>
      <c r="I1544" s="4"/>
      <c r="J1544" s="11" t="str">
        <f aca="false">IF(K1544="","",IF(N(C1544)&lt;=0,"Informe a quantidade",IF(IFERROR(INDEX(INVENTÁRIO!$B$2:$B$801,MATCH(K1544,INVENTÁRIO!$A$2:$A$801,0)),"")="(sem nome)","Carta fora dos decks: digite o nome na coluna I (opcional)","")))</f>
        <v/>
      </c>
      <c r="K1544" s="11" t="str">
        <f aca="false">UPPER(TRIM(SUBSTITUTE(B1544&amp;"",CHAR(160)," ")))</f>
        <v/>
      </c>
      <c r="L1544" s="11" t="str">
        <f aca="false">IF(AND(K1544&lt;&gt;"",TRIM(I1544&amp;"")&lt;&gt;""),K1544,"")</f>
        <v/>
      </c>
    </row>
    <row r="1545" customFormat="false" ht="15" hidden="false" customHeight="false" outlineLevel="0" collapsed="false">
      <c r="A1545" s="9"/>
      <c r="B1545" s="4"/>
      <c r="C1545" s="10"/>
      <c r="D1545" s="11" t="str">
        <f aca="false">IF(K1545="","",IFERROR(INDEX(DECKS!$C$2:$C$1201,MATCH(K1545,DECKS!$B$2:$B$1201,0)),TRIM(I1545&amp;"")))</f>
        <v/>
      </c>
      <c r="E1545" s="4"/>
      <c r="F1545" s="12"/>
      <c r="G1545" s="4"/>
      <c r="H1545" s="13" t="str">
        <f aca="false">IF(OR(N(C1545)=0,N(F1545)=0),"",C1545*F1545)</f>
        <v/>
      </c>
      <c r="I1545" s="4"/>
      <c r="J1545" s="11" t="str">
        <f aca="false">IF(K1545="","",IF(N(C1545)&lt;=0,"Informe a quantidade",IF(IFERROR(INDEX(INVENTÁRIO!$B$2:$B$801,MATCH(K1545,INVENTÁRIO!$A$2:$A$801,0)),"")="(sem nome)","Carta fora dos decks: digite o nome na coluna I (opcional)","")))</f>
        <v/>
      </c>
      <c r="K1545" s="11" t="str">
        <f aca="false">UPPER(TRIM(SUBSTITUTE(B1545&amp;"",CHAR(160)," ")))</f>
        <v/>
      </c>
      <c r="L1545" s="11" t="str">
        <f aca="false">IF(AND(K1545&lt;&gt;"",TRIM(I1545&amp;"")&lt;&gt;""),K1545,"")</f>
        <v/>
      </c>
    </row>
    <row r="1546" customFormat="false" ht="15" hidden="false" customHeight="false" outlineLevel="0" collapsed="false">
      <c r="A1546" s="9"/>
      <c r="B1546" s="4"/>
      <c r="C1546" s="10"/>
      <c r="D1546" s="11" t="str">
        <f aca="false">IF(K1546="","",IFERROR(INDEX(DECKS!$C$2:$C$1201,MATCH(K1546,DECKS!$B$2:$B$1201,0)),TRIM(I1546&amp;"")))</f>
        <v/>
      </c>
      <c r="E1546" s="4"/>
      <c r="F1546" s="12"/>
      <c r="G1546" s="4"/>
      <c r="H1546" s="13" t="str">
        <f aca="false">IF(OR(N(C1546)=0,N(F1546)=0),"",C1546*F1546)</f>
        <v/>
      </c>
      <c r="I1546" s="4"/>
      <c r="J1546" s="11" t="str">
        <f aca="false">IF(K1546="","",IF(N(C1546)&lt;=0,"Informe a quantidade",IF(IFERROR(INDEX(INVENTÁRIO!$B$2:$B$801,MATCH(K1546,INVENTÁRIO!$A$2:$A$801,0)),"")="(sem nome)","Carta fora dos decks: digite o nome na coluna I (opcional)","")))</f>
        <v/>
      </c>
      <c r="K1546" s="11" t="str">
        <f aca="false">UPPER(TRIM(SUBSTITUTE(B1546&amp;"",CHAR(160)," ")))</f>
        <v/>
      </c>
      <c r="L1546" s="11" t="str">
        <f aca="false">IF(AND(K1546&lt;&gt;"",TRIM(I1546&amp;"")&lt;&gt;""),K1546,"")</f>
        <v/>
      </c>
    </row>
    <row r="1547" customFormat="false" ht="15" hidden="false" customHeight="false" outlineLevel="0" collapsed="false">
      <c r="A1547" s="9"/>
      <c r="B1547" s="4"/>
      <c r="C1547" s="10"/>
      <c r="D1547" s="11" t="str">
        <f aca="false">IF(K1547="","",IFERROR(INDEX(DECKS!$C$2:$C$1201,MATCH(K1547,DECKS!$B$2:$B$1201,0)),TRIM(I1547&amp;"")))</f>
        <v/>
      </c>
      <c r="E1547" s="4"/>
      <c r="F1547" s="12"/>
      <c r="G1547" s="4"/>
      <c r="H1547" s="13" t="str">
        <f aca="false">IF(OR(N(C1547)=0,N(F1547)=0),"",C1547*F1547)</f>
        <v/>
      </c>
      <c r="I1547" s="4"/>
      <c r="J1547" s="11" t="str">
        <f aca="false">IF(K1547="","",IF(N(C1547)&lt;=0,"Informe a quantidade",IF(IFERROR(INDEX(INVENTÁRIO!$B$2:$B$801,MATCH(K1547,INVENTÁRIO!$A$2:$A$801,0)),"")="(sem nome)","Carta fora dos decks: digite o nome na coluna I (opcional)","")))</f>
        <v/>
      </c>
      <c r="K1547" s="11" t="str">
        <f aca="false">UPPER(TRIM(SUBSTITUTE(B1547&amp;"",CHAR(160)," ")))</f>
        <v/>
      </c>
      <c r="L1547" s="11" t="str">
        <f aca="false">IF(AND(K1547&lt;&gt;"",TRIM(I1547&amp;"")&lt;&gt;""),K1547,"")</f>
        <v/>
      </c>
    </row>
    <row r="1548" customFormat="false" ht="15" hidden="false" customHeight="false" outlineLevel="0" collapsed="false">
      <c r="A1548" s="9"/>
      <c r="B1548" s="4"/>
      <c r="C1548" s="10"/>
      <c r="D1548" s="11" t="str">
        <f aca="false">IF(K1548="","",IFERROR(INDEX(DECKS!$C$2:$C$1201,MATCH(K1548,DECKS!$B$2:$B$1201,0)),TRIM(I1548&amp;"")))</f>
        <v/>
      </c>
      <c r="E1548" s="4"/>
      <c r="F1548" s="12"/>
      <c r="G1548" s="4"/>
      <c r="H1548" s="13" t="str">
        <f aca="false">IF(OR(N(C1548)=0,N(F1548)=0),"",C1548*F1548)</f>
        <v/>
      </c>
      <c r="I1548" s="4"/>
      <c r="J1548" s="11" t="str">
        <f aca="false">IF(K1548="","",IF(N(C1548)&lt;=0,"Informe a quantidade",IF(IFERROR(INDEX(INVENTÁRIO!$B$2:$B$801,MATCH(K1548,INVENTÁRIO!$A$2:$A$801,0)),"")="(sem nome)","Carta fora dos decks: digite o nome na coluna I (opcional)","")))</f>
        <v/>
      </c>
      <c r="K1548" s="11" t="str">
        <f aca="false">UPPER(TRIM(SUBSTITUTE(B1548&amp;"",CHAR(160)," ")))</f>
        <v/>
      </c>
      <c r="L1548" s="11" t="str">
        <f aca="false">IF(AND(K1548&lt;&gt;"",TRIM(I1548&amp;"")&lt;&gt;""),K1548,"")</f>
        <v/>
      </c>
    </row>
    <row r="1549" customFormat="false" ht="15" hidden="false" customHeight="false" outlineLevel="0" collapsed="false">
      <c r="A1549" s="9"/>
      <c r="B1549" s="4"/>
      <c r="C1549" s="10"/>
      <c r="D1549" s="11" t="str">
        <f aca="false">IF(K1549="","",IFERROR(INDEX(DECKS!$C$2:$C$1201,MATCH(K1549,DECKS!$B$2:$B$1201,0)),TRIM(I1549&amp;"")))</f>
        <v/>
      </c>
      <c r="E1549" s="4"/>
      <c r="F1549" s="12"/>
      <c r="G1549" s="4"/>
      <c r="H1549" s="13" t="str">
        <f aca="false">IF(OR(N(C1549)=0,N(F1549)=0),"",C1549*F1549)</f>
        <v/>
      </c>
      <c r="I1549" s="4"/>
      <c r="J1549" s="11" t="str">
        <f aca="false">IF(K1549="","",IF(N(C1549)&lt;=0,"Informe a quantidade",IF(IFERROR(INDEX(INVENTÁRIO!$B$2:$B$801,MATCH(K1549,INVENTÁRIO!$A$2:$A$801,0)),"")="(sem nome)","Carta fora dos decks: digite o nome na coluna I (opcional)","")))</f>
        <v/>
      </c>
      <c r="K1549" s="11" t="str">
        <f aca="false">UPPER(TRIM(SUBSTITUTE(B1549&amp;"",CHAR(160)," ")))</f>
        <v/>
      </c>
      <c r="L1549" s="11" t="str">
        <f aca="false">IF(AND(K1549&lt;&gt;"",TRIM(I1549&amp;"")&lt;&gt;""),K1549,"")</f>
        <v/>
      </c>
    </row>
    <row r="1550" customFormat="false" ht="15" hidden="false" customHeight="false" outlineLevel="0" collapsed="false">
      <c r="A1550" s="9"/>
      <c r="B1550" s="4"/>
      <c r="C1550" s="10"/>
      <c r="D1550" s="11" t="str">
        <f aca="false">IF(K1550="","",IFERROR(INDEX(DECKS!$C$2:$C$1201,MATCH(K1550,DECKS!$B$2:$B$1201,0)),TRIM(I1550&amp;"")))</f>
        <v/>
      </c>
      <c r="E1550" s="4"/>
      <c r="F1550" s="12"/>
      <c r="G1550" s="4"/>
      <c r="H1550" s="13" t="str">
        <f aca="false">IF(OR(N(C1550)=0,N(F1550)=0),"",C1550*F1550)</f>
        <v/>
      </c>
      <c r="I1550" s="4"/>
      <c r="J1550" s="11" t="str">
        <f aca="false">IF(K1550="","",IF(N(C1550)&lt;=0,"Informe a quantidade",IF(IFERROR(INDEX(INVENTÁRIO!$B$2:$B$801,MATCH(K1550,INVENTÁRIO!$A$2:$A$801,0)),"")="(sem nome)","Carta fora dos decks: digite o nome na coluna I (opcional)","")))</f>
        <v/>
      </c>
      <c r="K1550" s="11" t="str">
        <f aca="false">UPPER(TRIM(SUBSTITUTE(B1550&amp;"",CHAR(160)," ")))</f>
        <v/>
      </c>
      <c r="L1550" s="11" t="str">
        <f aca="false">IF(AND(K1550&lt;&gt;"",TRIM(I1550&amp;"")&lt;&gt;""),K1550,"")</f>
        <v/>
      </c>
    </row>
    <row r="1551" customFormat="false" ht="15" hidden="false" customHeight="false" outlineLevel="0" collapsed="false">
      <c r="A1551" s="9"/>
      <c r="B1551" s="4"/>
      <c r="C1551" s="10"/>
      <c r="D1551" s="11" t="str">
        <f aca="false">IF(K1551="","",IFERROR(INDEX(DECKS!$C$2:$C$1201,MATCH(K1551,DECKS!$B$2:$B$1201,0)),TRIM(I1551&amp;"")))</f>
        <v/>
      </c>
      <c r="E1551" s="4"/>
      <c r="F1551" s="12"/>
      <c r="G1551" s="4"/>
      <c r="H1551" s="13" t="str">
        <f aca="false">IF(OR(N(C1551)=0,N(F1551)=0),"",C1551*F1551)</f>
        <v/>
      </c>
      <c r="I1551" s="4"/>
      <c r="J1551" s="11" t="str">
        <f aca="false">IF(K1551="","",IF(N(C1551)&lt;=0,"Informe a quantidade",IF(IFERROR(INDEX(INVENTÁRIO!$B$2:$B$801,MATCH(K1551,INVENTÁRIO!$A$2:$A$801,0)),"")="(sem nome)","Carta fora dos decks: digite o nome na coluna I (opcional)","")))</f>
        <v/>
      </c>
      <c r="K1551" s="11" t="str">
        <f aca="false">UPPER(TRIM(SUBSTITUTE(B1551&amp;"",CHAR(160)," ")))</f>
        <v/>
      </c>
      <c r="L1551" s="11" t="str">
        <f aca="false">IF(AND(K1551&lt;&gt;"",TRIM(I1551&amp;"")&lt;&gt;""),K1551,"")</f>
        <v/>
      </c>
    </row>
    <row r="1552" customFormat="false" ht="15" hidden="false" customHeight="false" outlineLevel="0" collapsed="false">
      <c r="A1552" s="9"/>
      <c r="B1552" s="4"/>
      <c r="C1552" s="10"/>
      <c r="D1552" s="11" t="str">
        <f aca="false">IF(K1552="","",IFERROR(INDEX(DECKS!$C$2:$C$1201,MATCH(K1552,DECKS!$B$2:$B$1201,0)),TRIM(I1552&amp;"")))</f>
        <v/>
      </c>
      <c r="E1552" s="4"/>
      <c r="F1552" s="12"/>
      <c r="G1552" s="4"/>
      <c r="H1552" s="13" t="str">
        <f aca="false">IF(OR(N(C1552)=0,N(F1552)=0),"",C1552*F1552)</f>
        <v/>
      </c>
      <c r="I1552" s="4"/>
      <c r="J1552" s="11" t="str">
        <f aca="false">IF(K1552="","",IF(N(C1552)&lt;=0,"Informe a quantidade",IF(IFERROR(INDEX(INVENTÁRIO!$B$2:$B$801,MATCH(K1552,INVENTÁRIO!$A$2:$A$801,0)),"")="(sem nome)","Carta fora dos decks: digite o nome na coluna I (opcional)","")))</f>
        <v/>
      </c>
      <c r="K1552" s="11" t="str">
        <f aca="false">UPPER(TRIM(SUBSTITUTE(B1552&amp;"",CHAR(160)," ")))</f>
        <v/>
      </c>
      <c r="L1552" s="11" t="str">
        <f aca="false">IF(AND(K1552&lt;&gt;"",TRIM(I1552&amp;"")&lt;&gt;""),K1552,"")</f>
        <v/>
      </c>
    </row>
    <row r="1553" customFormat="false" ht="15" hidden="false" customHeight="false" outlineLevel="0" collapsed="false">
      <c r="A1553" s="9"/>
      <c r="B1553" s="4"/>
      <c r="C1553" s="10"/>
      <c r="D1553" s="11" t="str">
        <f aca="false">IF(K1553="","",IFERROR(INDEX(DECKS!$C$2:$C$1201,MATCH(K1553,DECKS!$B$2:$B$1201,0)),TRIM(I1553&amp;"")))</f>
        <v/>
      </c>
      <c r="E1553" s="4"/>
      <c r="F1553" s="12"/>
      <c r="G1553" s="4"/>
      <c r="H1553" s="13" t="str">
        <f aca="false">IF(OR(N(C1553)=0,N(F1553)=0),"",C1553*F1553)</f>
        <v/>
      </c>
      <c r="I1553" s="4"/>
      <c r="J1553" s="11" t="str">
        <f aca="false">IF(K1553="","",IF(N(C1553)&lt;=0,"Informe a quantidade",IF(IFERROR(INDEX(INVENTÁRIO!$B$2:$B$801,MATCH(K1553,INVENTÁRIO!$A$2:$A$801,0)),"")="(sem nome)","Carta fora dos decks: digite o nome na coluna I (opcional)","")))</f>
        <v/>
      </c>
      <c r="K1553" s="11" t="str">
        <f aca="false">UPPER(TRIM(SUBSTITUTE(B1553&amp;"",CHAR(160)," ")))</f>
        <v/>
      </c>
      <c r="L1553" s="11" t="str">
        <f aca="false">IF(AND(K1553&lt;&gt;"",TRIM(I1553&amp;"")&lt;&gt;""),K1553,"")</f>
        <v/>
      </c>
    </row>
    <row r="1554" customFormat="false" ht="15" hidden="false" customHeight="false" outlineLevel="0" collapsed="false">
      <c r="A1554" s="9"/>
      <c r="B1554" s="4"/>
      <c r="C1554" s="10"/>
      <c r="D1554" s="11" t="str">
        <f aca="false">IF(K1554="","",IFERROR(INDEX(DECKS!$C$2:$C$1201,MATCH(K1554,DECKS!$B$2:$B$1201,0)),TRIM(I1554&amp;"")))</f>
        <v/>
      </c>
      <c r="E1554" s="4"/>
      <c r="F1554" s="12"/>
      <c r="G1554" s="4"/>
      <c r="H1554" s="13" t="str">
        <f aca="false">IF(OR(N(C1554)=0,N(F1554)=0),"",C1554*F1554)</f>
        <v/>
      </c>
      <c r="I1554" s="4"/>
      <c r="J1554" s="11" t="str">
        <f aca="false">IF(K1554="","",IF(N(C1554)&lt;=0,"Informe a quantidade",IF(IFERROR(INDEX(INVENTÁRIO!$B$2:$B$801,MATCH(K1554,INVENTÁRIO!$A$2:$A$801,0)),"")="(sem nome)","Carta fora dos decks: digite o nome na coluna I (opcional)","")))</f>
        <v/>
      </c>
      <c r="K1554" s="11" t="str">
        <f aca="false">UPPER(TRIM(SUBSTITUTE(B1554&amp;"",CHAR(160)," ")))</f>
        <v/>
      </c>
      <c r="L1554" s="11" t="str">
        <f aca="false">IF(AND(K1554&lt;&gt;"",TRIM(I1554&amp;"")&lt;&gt;""),K1554,"")</f>
        <v/>
      </c>
    </row>
    <row r="1555" customFormat="false" ht="15" hidden="false" customHeight="false" outlineLevel="0" collapsed="false">
      <c r="A1555" s="9"/>
      <c r="B1555" s="4"/>
      <c r="C1555" s="10"/>
      <c r="D1555" s="11" t="str">
        <f aca="false">IF(K1555="","",IFERROR(INDEX(DECKS!$C$2:$C$1201,MATCH(K1555,DECKS!$B$2:$B$1201,0)),TRIM(I1555&amp;"")))</f>
        <v/>
      </c>
      <c r="E1555" s="4"/>
      <c r="F1555" s="12"/>
      <c r="G1555" s="4"/>
      <c r="H1555" s="13" t="str">
        <f aca="false">IF(OR(N(C1555)=0,N(F1555)=0),"",C1555*F1555)</f>
        <v/>
      </c>
      <c r="I1555" s="4"/>
      <c r="J1555" s="11" t="str">
        <f aca="false">IF(K1555="","",IF(N(C1555)&lt;=0,"Informe a quantidade",IF(IFERROR(INDEX(INVENTÁRIO!$B$2:$B$801,MATCH(K1555,INVENTÁRIO!$A$2:$A$801,0)),"")="(sem nome)","Carta fora dos decks: digite o nome na coluna I (opcional)","")))</f>
        <v/>
      </c>
      <c r="K1555" s="11" t="str">
        <f aca="false">UPPER(TRIM(SUBSTITUTE(B1555&amp;"",CHAR(160)," ")))</f>
        <v/>
      </c>
      <c r="L1555" s="11" t="str">
        <f aca="false">IF(AND(K1555&lt;&gt;"",TRIM(I1555&amp;"")&lt;&gt;""),K1555,"")</f>
        <v/>
      </c>
    </row>
    <row r="1556" customFormat="false" ht="15" hidden="false" customHeight="false" outlineLevel="0" collapsed="false">
      <c r="A1556" s="9"/>
      <c r="B1556" s="4"/>
      <c r="C1556" s="10"/>
      <c r="D1556" s="11" t="str">
        <f aca="false">IF(K1556="","",IFERROR(INDEX(DECKS!$C$2:$C$1201,MATCH(K1556,DECKS!$B$2:$B$1201,0)),TRIM(I1556&amp;"")))</f>
        <v/>
      </c>
      <c r="E1556" s="4"/>
      <c r="F1556" s="12"/>
      <c r="G1556" s="4"/>
      <c r="H1556" s="13" t="str">
        <f aca="false">IF(OR(N(C1556)=0,N(F1556)=0),"",C1556*F1556)</f>
        <v/>
      </c>
      <c r="I1556" s="4"/>
      <c r="J1556" s="11" t="str">
        <f aca="false">IF(K1556="","",IF(N(C1556)&lt;=0,"Informe a quantidade",IF(IFERROR(INDEX(INVENTÁRIO!$B$2:$B$801,MATCH(K1556,INVENTÁRIO!$A$2:$A$801,0)),"")="(sem nome)","Carta fora dos decks: digite o nome na coluna I (opcional)","")))</f>
        <v/>
      </c>
      <c r="K1556" s="11" t="str">
        <f aca="false">UPPER(TRIM(SUBSTITUTE(B1556&amp;"",CHAR(160)," ")))</f>
        <v/>
      </c>
      <c r="L1556" s="11" t="str">
        <f aca="false">IF(AND(K1556&lt;&gt;"",TRIM(I1556&amp;"")&lt;&gt;""),K1556,"")</f>
        <v/>
      </c>
    </row>
    <row r="1557" customFormat="false" ht="15" hidden="false" customHeight="false" outlineLevel="0" collapsed="false">
      <c r="A1557" s="9"/>
      <c r="B1557" s="4"/>
      <c r="C1557" s="10"/>
      <c r="D1557" s="11" t="str">
        <f aca="false">IF(K1557="","",IFERROR(INDEX(DECKS!$C$2:$C$1201,MATCH(K1557,DECKS!$B$2:$B$1201,0)),TRIM(I1557&amp;"")))</f>
        <v/>
      </c>
      <c r="E1557" s="4"/>
      <c r="F1557" s="12"/>
      <c r="G1557" s="4"/>
      <c r="H1557" s="13" t="str">
        <f aca="false">IF(OR(N(C1557)=0,N(F1557)=0),"",C1557*F1557)</f>
        <v/>
      </c>
      <c r="I1557" s="4"/>
      <c r="J1557" s="11" t="str">
        <f aca="false">IF(K1557="","",IF(N(C1557)&lt;=0,"Informe a quantidade",IF(IFERROR(INDEX(INVENTÁRIO!$B$2:$B$801,MATCH(K1557,INVENTÁRIO!$A$2:$A$801,0)),"")="(sem nome)","Carta fora dos decks: digite o nome na coluna I (opcional)","")))</f>
        <v/>
      </c>
      <c r="K1557" s="11" t="str">
        <f aca="false">UPPER(TRIM(SUBSTITUTE(B1557&amp;"",CHAR(160)," ")))</f>
        <v/>
      </c>
      <c r="L1557" s="11" t="str">
        <f aca="false">IF(AND(K1557&lt;&gt;"",TRIM(I1557&amp;"")&lt;&gt;""),K1557,"")</f>
        <v/>
      </c>
    </row>
    <row r="1558" customFormat="false" ht="15" hidden="false" customHeight="false" outlineLevel="0" collapsed="false">
      <c r="A1558" s="9"/>
      <c r="B1558" s="4"/>
      <c r="C1558" s="10"/>
      <c r="D1558" s="11" t="str">
        <f aca="false">IF(K1558="","",IFERROR(INDEX(DECKS!$C$2:$C$1201,MATCH(K1558,DECKS!$B$2:$B$1201,0)),TRIM(I1558&amp;"")))</f>
        <v/>
      </c>
      <c r="E1558" s="4"/>
      <c r="F1558" s="12"/>
      <c r="G1558" s="4"/>
      <c r="H1558" s="13" t="str">
        <f aca="false">IF(OR(N(C1558)=0,N(F1558)=0),"",C1558*F1558)</f>
        <v/>
      </c>
      <c r="I1558" s="4"/>
      <c r="J1558" s="11" t="str">
        <f aca="false">IF(K1558="","",IF(N(C1558)&lt;=0,"Informe a quantidade",IF(IFERROR(INDEX(INVENTÁRIO!$B$2:$B$801,MATCH(K1558,INVENTÁRIO!$A$2:$A$801,0)),"")="(sem nome)","Carta fora dos decks: digite o nome na coluna I (opcional)","")))</f>
        <v/>
      </c>
      <c r="K1558" s="11" t="str">
        <f aca="false">UPPER(TRIM(SUBSTITUTE(B1558&amp;"",CHAR(160)," ")))</f>
        <v/>
      </c>
      <c r="L1558" s="11" t="str">
        <f aca="false">IF(AND(K1558&lt;&gt;"",TRIM(I1558&amp;"")&lt;&gt;""),K1558,"")</f>
        <v/>
      </c>
    </row>
    <row r="1559" customFormat="false" ht="15" hidden="false" customHeight="false" outlineLevel="0" collapsed="false">
      <c r="A1559" s="9"/>
      <c r="B1559" s="4"/>
      <c r="C1559" s="10"/>
      <c r="D1559" s="11" t="str">
        <f aca="false">IF(K1559="","",IFERROR(INDEX(DECKS!$C$2:$C$1201,MATCH(K1559,DECKS!$B$2:$B$1201,0)),TRIM(I1559&amp;"")))</f>
        <v/>
      </c>
      <c r="E1559" s="4"/>
      <c r="F1559" s="12"/>
      <c r="G1559" s="4"/>
      <c r="H1559" s="13" t="str">
        <f aca="false">IF(OR(N(C1559)=0,N(F1559)=0),"",C1559*F1559)</f>
        <v/>
      </c>
      <c r="I1559" s="4"/>
      <c r="J1559" s="11" t="str">
        <f aca="false">IF(K1559="","",IF(N(C1559)&lt;=0,"Informe a quantidade",IF(IFERROR(INDEX(INVENTÁRIO!$B$2:$B$801,MATCH(K1559,INVENTÁRIO!$A$2:$A$801,0)),"")="(sem nome)","Carta fora dos decks: digite o nome na coluna I (opcional)","")))</f>
        <v/>
      </c>
      <c r="K1559" s="11" t="str">
        <f aca="false">UPPER(TRIM(SUBSTITUTE(B1559&amp;"",CHAR(160)," ")))</f>
        <v/>
      </c>
      <c r="L1559" s="11" t="str">
        <f aca="false">IF(AND(K1559&lt;&gt;"",TRIM(I1559&amp;"")&lt;&gt;""),K1559,"")</f>
        <v/>
      </c>
    </row>
    <row r="1560" customFormat="false" ht="15" hidden="false" customHeight="false" outlineLevel="0" collapsed="false">
      <c r="A1560" s="9"/>
      <c r="B1560" s="4"/>
      <c r="C1560" s="10"/>
      <c r="D1560" s="11" t="str">
        <f aca="false">IF(K1560="","",IFERROR(INDEX(DECKS!$C$2:$C$1201,MATCH(K1560,DECKS!$B$2:$B$1201,0)),TRIM(I1560&amp;"")))</f>
        <v/>
      </c>
      <c r="E1560" s="4"/>
      <c r="F1560" s="12"/>
      <c r="G1560" s="4"/>
      <c r="H1560" s="13" t="str">
        <f aca="false">IF(OR(N(C1560)=0,N(F1560)=0),"",C1560*F1560)</f>
        <v/>
      </c>
      <c r="I1560" s="4"/>
      <c r="J1560" s="11" t="str">
        <f aca="false">IF(K1560="","",IF(N(C1560)&lt;=0,"Informe a quantidade",IF(IFERROR(INDEX(INVENTÁRIO!$B$2:$B$801,MATCH(K1560,INVENTÁRIO!$A$2:$A$801,0)),"")="(sem nome)","Carta fora dos decks: digite o nome na coluna I (opcional)","")))</f>
        <v/>
      </c>
      <c r="K1560" s="11" t="str">
        <f aca="false">UPPER(TRIM(SUBSTITUTE(B1560&amp;"",CHAR(160)," ")))</f>
        <v/>
      </c>
      <c r="L1560" s="11" t="str">
        <f aca="false">IF(AND(K1560&lt;&gt;"",TRIM(I1560&amp;"")&lt;&gt;""),K1560,"")</f>
        <v/>
      </c>
    </row>
    <row r="1561" customFormat="false" ht="15" hidden="false" customHeight="false" outlineLevel="0" collapsed="false">
      <c r="A1561" s="9"/>
      <c r="B1561" s="4"/>
      <c r="C1561" s="10"/>
      <c r="D1561" s="11" t="str">
        <f aca="false">IF(K1561="","",IFERROR(INDEX(DECKS!$C$2:$C$1201,MATCH(K1561,DECKS!$B$2:$B$1201,0)),TRIM(I1561&amp;"")))</f>
        <v/>
      </c>
      <c r="E1561" s="4"/>
      <c r="F1561" s="12"/>
      <c r="G1561" s="4"/>
      <c r="H1561" s="13" t="str">
        <f aca="false">IF(OR(N(C1561)=0,N(F1561)=0),"",C1561*F1561)</f>
        <v/>
      </c>
      <c r="I1561" s="4"/>
      <c r="J1561" s="11" t="str">
        <f aca="false">IF(K1561="","",IF(N(C1561)&lt;=0,"Informe a quantidade",IF(IFERROR(INDEX(INVENTÁRIO!$B$2:$B$801,MATCH(K1561,INVENTÁRIO!$A$2:$A$801,0)),"")="(sem nome)","Carta fora dos decks: digite o nome na coluna I (opcional)","")))</f>
        <v/>
      </c>
      <c r="K1561" s="11" t="str">
        <f aca="false">UPPER(TRIM(SUBSTITUTE(B1561&amp;"",CHAR(160)," ")))</f>
        <v/>
      </c>
      <c r="L1561" s="11" t="str">
        <f aca="false">IF(AND(K1561&lt;&gt;"",TRIM(I1561&amp;"")&lt;&gt;""),K1561,"")</f>
        <v/>
      </c>
    </row>
    <row r="1562" customFormat="false" ht="15" hidden="false" customHeight="false" outlineLevel="0" collapsed="false">
      <c r="A1562" s="9"/>
      <c r="B1562" s="4"/>
      <c r="C1562" s="10"/>
      <c r="D1562" s="11" t="str">
        <f aca="false">IF(K1562="","",IFERROR(INDEX(DECKS!$C$2:$C$1201,MATCH(K1562,DECKS!$B$2:$B$1201,0)),TRIM(I1562&amp;"")))</f>
        <v/>
      </c>
      <c r="E1562" s="4"/>
      <c r="F1562" s="12"/>
      <c r="G1562" s="4"/>
      <c r="H1562" s="13" t="str">
        <f aca="false">IF(OR(N(C1562)=0,N(F1562)=0),"",C1562*F1562)</f>
        <v/>
      </c>
      <c r="I1562" s="4"/>
      <c r="J1562" s="11" t="str">
        <f aca="false">IF(K1562="","",IF(N(C1562)&lt;=0,"Informe a quantidade",IF(IFERROR(INDEX(INVENTÁRIO!$B$2:$B$801,MATCH(K1562,INVENTÁRIO!$A$2:$A$801,0)),"")="(sem nome)","Carta fora dos decks: digite o nome na coluna I (opcional)","")))</f>
        <v/>
      </c>
      <c r="K1562" s="11" t="str">
        <f aca="false">UPPER(TRIM(SUBSTITUTE(B1562&amp;"",CHAR(160)," ")))</f>
        <v/>
      </c>
      <c r="L1562" s="11" t="str">
        <f aca="false">IF(AND(K1562&lt;&gt;"",TRIM(I1562&amp;"")&lt;&gt;""),K1562,"")</f>
        <v/>
      </c>
    </row>
    <row r="1563" customFormat="false" ht="15" hidden="false" customHeight="false" outlineLevel="0" collapsed="false">
      <c r="A1563" s="9"/>
      <c r="B1563" s="4"/>
      <c r="C1563" s="10"/>
      <c r="D1563" s="11" t="str">
        <f aca="false">IF(K1563="","",IFERROR(INDEX(DECKS!$C$2:$C$1201,MATCH(K1563,DECKS!$B$2:$B$1201,0)),TRIM(I1563&amp;"")))</f>
        <v/>
      </c>
      <c r="E1563" s="4"/>
      <c r="F1563" s="12"/>
      <c r="G1563" s="4"/>
      <c r="H1563" s="13" t="str">
        <f aca="false">IF(OR(N(C1563)=0,N(F1563)=0),"",C1563*F1563)</f>
        <v/>
      </c>
      <c r="I1563" s="4"/>
      <c r="J1563" s="11" t="str">
        <f aca="false">IF(K1563="","",IF(N(C1563)&lt;=0,"Informe a quantidade",IF(IFERROR(INDEX(INVENTÁRIO!$B$2:$B$801,MATCH(K1563,INVENTÁRIO!$A$2:$A$801,0)),"")="(sem nome)","Carta fora dos decks: digite o nome na coluna I (opcional)","")))</f>
        <v/>
      </c>
      <c r="K1563" s="11" t="str">
        <f aca="false">UPPER(TRIM(SUBSTITUTE(B1563&amp;"",CHAR(160)," ")))</f>
        <v/>
      </c>
      <c r="L1563" s="11" t="str">
        <f aca="false">IF(AND(K1563&lt;&gt;"",TRIM(I1563&amp;"")&lt;&gt;""),K1563,"")</f>
        <v/>
      </c>
    </row>
    <row r="1564" customFormat="false" ht="15" hidden="false" customHeight="false" outlineLevel="0" collapsed="false">
      <c r="A1564" s="9"/>
      <c r="B1564" s="4"/>
      <c r="C1564" s="10"/>
      <c r="D1564" s="11" t="str">
        <f aca="false">IF(K1564="","",IFERROR(INDEX(DECKS!$C$2:$C$1201,MATCH(K1564,DECKS!$B$2:$B$1201,0)),TRIM(I1564&amp;"")))</f>
        <v/>
      </c>
      <c r="E1564" s="4"/>
      <c r="F1564" s="12"/>
      <c r="G1564" s="4"/>
      <c r="H1564" s="13" t="str">
        <f aca="false">IF(OR(N(C1564)=0,N(F1564)=0),"",C1564*F1564)</f>
        <v/>
      </c>
      <c r="I1564" s="4"/>
      <c r="J1564" s="11" t="str">
        <f aca="false">IF(K1564="","",IF(N(C1564)&lt;=0,"Informe a quantidade",IF(IFERROR(INDEX(INVENTÁRIO!$B$2:$B$801,MATCH(K1564,INVENTÁRIO!$A$2:$A$801,0)),"")="(sem nome)","Carta fora dos decks: digite o nome na coluna I (opcional)","")))</f>
        <v/>
      </c>
      <c r="K1564" s="11" t="str">
        <f aca="false">UPPER(TRIM(SUBSTITUTE(B1564&amp;"",CHAR(160)," ")))</f>
        <v/>
      </c>
      <c r="L1564" s="11" t="str">
        <f aca="false">IF(AND(K1564&lt;&gt;"",TRIM(I1564&amp;"")&lt;&gt;""),K1564,"")</f>
        <v/>
      </c>
    </row>
    <row r="1565" customFormat="false" ht="15" hidden="false" customHeight="false" outlineLevel="0" collapsed="false">
      <c r="A1565" s="9"/>
      <c r="B1565" s="4"/>
      <c r="C1565" s="10"/>
      <c r="D1565" s="11" t="str">
        <f aca="false">IF(K1565="","",IFERROR(INDEX(DECKS!$C$2:$C$1201,MATCH(K1565,DECKS!$B$2:$B$1201,0)),TRIM(I1565&amp;"")))</f>
        <v/>
      </c>
      <c r="E1565" s="4"/>
      <c r="F1565" s="12"/>
      <c r="G1565" s="4"/>
      <c r="H1565" s="13" t="str">
        <f aca="false">IF(OR(N(C1565)=0,N(F1565)=0),"",C1565*F1565)</f>
        <v/>
      </c>
      <c r="I1565" s="4"/>
      <c r="J1565" s="11" t="str">
        <f aca="false">IF(K1565="","",IF(N(C1565)&lt;=0,"Informe a quantidade",IF(IFERROR(INDEX(INVENTÁRIO!$B$2:$B$801,MATCH(K1565,INVENTÁRIO!$A$2:$A$801,0)),"")="(sem nome)","Carta fora dos decks: digite o nome na coluna I (opcional)","")))</f>
        <v/>
      </c>
      <c r="K1565" s="11" t="str">
        <f aca="false">UPPER(TRIM(SUBSTITUTE(B1565&amp;"",CHAR(160)," ")))</f>
        <v/>
      </c>
      <c r="L1565" s="11" t="str">
        <f aca="false">IF(AND(K1565&lt;&gt;"",TRIM(I1565&amp;"")&lt;&gt;""),K1565,"")</f>
        <v/>
      </c>
    </row>
    <row r="1566" customFormat="false" ht="15" hidden="false" customHeight="false" outlineLevel="0" collapsed="false">
      <c r="A1566" s="9"/>
      <c r="B1566" s="4"/>
      <c r="C1566" s="10"/>
      <c r="D1566" s="11" t="str">
        <f aca="false">IF(K1566="","",IFERROR(INDEX(DECKS!$C$2:$C$1201,MATCH(K1566,DECKS!$B$2:$B$1201,0)),TRIM(I1566&amp;"")))</f>
        <v/>
      </c>
      <c r="E1566" s="4"/>
      <c r="F1566" s="12"/>
      <c r="G1566" s="4"/>
      <c r="H1566" s="13" t="str">
        <f aca="false">IF(OR(N(C1566)=0,N(F1566)=0),"",C1566*F1566)</f>
        <v/>
      </c>
      <c r="I1566" s="4"/>
      <c r="J1566" s="11" t="str">
        <f aca="false">IF(K1566="","",IF(N(C1566)&lt;=0,"Informe a quantidade",IF(IFERROR(INDEX(INVENTÁRIO!$B$2:$B$801,MATCH(K1566,INVENTÁRIO!$A$2:$A$801,0)),"")="(sem nome)","Carta fora dos decks: digite o nome na coluna I (opcional)","")))</f>
        <v/>
      </c>
      <c r="K1566" s="11" t="str">
        <f aca="false">UPPER(TRIM(SUBSTITUTE(B1566&amp;"",CHAR(160)," ")))</f>
        <v/>
      </c>
      <c r="L1566" s="11" t="str">
        <f aca="false">IF(AND(K1566&lt;&gt;"",TRIM(I1566&amp;"")&lt;&gt;""),K1566,"")</f>
        <v/>
      </c>
    </row>
    <row r="1567" customFormat="false" ht="15" hidden="false" customHeight="false" outlineLevel="0" collapsed="false">
      <c r="A1567" s="9"/>
      <c r="B1567" s="4"/>
      <c r="C1567" s="10"/>
      <c r="D1567" s="11" t="str">
        <f aca="false">IF(K1567="","",IFERROR(INDEX(DECKS!$C$2:$C$1201,MATCH(K1567,DECKS!$B$2:$B$1201,0)),TRIM(I1567&amp;"")))</f>
        <v/>
      </c>
      <c r="E1567" s="4"/>
      <c r="F1567" s="12"/>
      <c r="G1567" s="4"/>
      <c r="H1567" s="13" t="str">
        <f aca="false">IF(OR(N(C1567)=0,N(F1567)=0),"",C1567*F1567)</f>
        <v/>
      </c>
      <c r="I1567" s="4"/>
      <c r="J1567" s="11" t="str">
        <f aca="false">IF(K1567="","",IF(N(C1567)&lt;=0,"Informe a quantidade",IF(IFERROR(INDEX(INVENTÁRIO!$B$2:$B$801,MATCH(K1567,INVENTÁRIO!$A$2:$A$801,0)),"")="(sem nome)","Carta fora dos decks: digite o nome na coluna I (opcional)","")))</f>
        <v/>
      </c>
      <c r="K1567" s="11" t="str">
        <f aca="false">UPPER(TRIM(SUBSTITUTE(B1567&amp;"",CHAR(160)," ")))</f>
        <v/>
      </c>
      <c r="L1567" s="11" t="str">
        <f aca="false">IF(AND(K1567&lt;&gt;"",TRIM(I1567&amp;"")&lt;&gt;""),K1567,"")</f>
        <v/>
      </c>
    </row>
    <row r="1568" customFormat="false" ht="15" hidden="false" customHeight="false" outlineLevel="0" collapsed="false">
      <c r="A1568" s="9"/>
      <c r="B1568" s="4"/>
      <c r="C1568" s="10"/>
      <c r="D1568" s="11" t="str">
        <f aca="false">IF(K1568="","",IFERROR(INDEX(DECKS!$C$2:$C$1201,MATCH(K1568,DECKS!$B$2:$B$1201,0)),TRIM(I1568&amp;"")))</f>
        <v/>
      </c>
      <c r="E1568" s="4"/>
      <c r="F1568" s="12"/>
      <c r="G1568" s="4"/>
      <c r="H1568" s="13" t="str">
        <f aca="false">IF(OR(N(C1568)=0,N(F1568)=0),"",C1568*F1568)</f>
        <v/>
      </c>
      <c r="I1568" s="4"/>
      <c r="J1568" s="11" t="str">
        <f aca="false">IF(K1568="","",IF(N(C1568)&lt;=0,"Informe a quantidade",IF(IFERROR(INDEX(INVENTÁRIO!$B$2:$B$801,MATCH(K1568,INVENTÁRIO!$A$2:$A$801,0)),"")="(sem nome)","Carta fora dos decks: digite o nome na coluna I (opcional)","")))</f>
        <v/>
      </c>
      <c r="K1568" s="11" t="str">
        <f aca="false">UPPER(TRIM(SUBSTITUTE(B1568&amp;"",CHAR(160)," ")))</f>
        <v/>
      </c>
      <c r="L1568" s="11" t="str">
        <f aca="false">IF(AND(K1568&lt;&gt;"",TRIM(I1568&amp;"")&lt;&gt;""),K1568,"")</f>
        <v/>
      </c>
    </row>
    <row r="1569" customFormat="false" ht="15" hidden="false" customHeight="false" outlineLevel="0" collapsed="false">
      <c r="A1569" s="9"/>
      <c r="B1569" s="4"/>
      <c r="C1569" s="10"/>
      <c r="D1569" s="11" t="str">
        <f aca="false">IF(K1569="","",IFERROR(INDEX(DECKS!$C$2:$C$1201,MATCH(K1569,DECKS!$B$2:$B$1201,0)),TRIM(I1569&amp;"")))</f>
        <v/>
      </c>
      <c r="E1569" s="4"/>
      <c r="F1569" s="12"/>
      <c r="G1569" s="4"/>
      <c r="H1569" s="13" t="str">
        <f aca="false">IF(OR(N(C1569)=0,N(F1569)=0),"",C1569*F1569)</f>
        <v/>
      </c>
      <c r="I1569" s="4"/>
      <c r="J1569" s="11" t="str">
        <f aca="false">IF(K1569="","",IF(N(C1569)&lt;=0,"Informe a quantidade",IF(IFERROR(INDEX(INVENTÁRIO!$B$2:$B$801,MATCH(K1569,INVENTÁRIO!$A$2:$A$801,0)),"")="(sem nome)","Carta fora dos decks: digite o nome na coluna I (opcional)","")))</f>
        <v/>
      </c>
      <c r="K1569" s="11" t="str">
        <f aca="false">UPPER(TRIM(SUBSTITUTE(B1569&amp;"",CHAR(160)," ")))</f>
        <v/>
      </c>
      <c r="L1569" s="11" t="str">
        <f aca="false">IF(AND(K1569&lt;&gt;"",TRIM(I1569&amp;"")&lt;&gt;""),K1569,"")</f>
        <v/>
      </c>
    </row>
    <row r="1570" customFormat="false" ht="15" hidden="false" customHeight="false" outlineLevel="0" collapsed="false">
      <c r="A1570" s="9"/>
      <c r="B1570" s="4"/>
      <c r="C1570" s="10"/>
      <c r="D1570" s="11" t="str">
        <f aca="false">IF(K1570="","",IFERROR(INDEX(DECKS!$C$2:$C$1201,MATCH(K1570,DECKS!$B$2:$B$1201,0)),TRIM(I1570&amp;"")))</f>
        <v/>
      </c>
      <c r="E1570" s="4"/>
      <c r="F1570" s="12"/>
      <c r="G1570" s="4"/>
      <c r="H1570" s="13" t="str">
        <f aca="false">IF(OR(N(C1570)=0,N(F1570)=0),"",C1570*F1570)</f>
        <v/>
      </c>
      <c r="I1570" s="4"/>
      <c r="J1570" s="11" t="str">
        <f aca="false">IF(K1570="","",IF(N(C1570)&lt;=0,"Informe a quantidade",IF(IFERROR(INDEX(INVENTÁRIO!$B$2:$B$801,MATCH(K1570,INVENTÁRIO!$A$2:$A$801,0)),"")="(sem nome)","Carta fora dos decks: digite o nome na coluna I (opcional)","")))</f>
        <v/>
      </c>
      <c r="K1570" s="11" t="str">
        <f aca="false">UPPER(TRIM(SUBSTITUTE(B1570&amp;"",CHAR(160)," ")))</f>
        <v/>
      </c>
      <c r="L1570" s="11" t="str">
        <f aca="false">IF(AND(K1570&lt;&gt;"",TRIM(I1570&amp;"")&lt;&gt;""),K1570,"")</f>
        <v/>
      </c>
    </row>
    <row r="1571" customFormat="false" ht="15" hidden="false" customHeight="false" outlineLevel="0" collapsed="false">
      <c r="A1571" s="9"/>
      <c r="B1571" s="4"/>
      <c r="C1571" s="10"/>
      <c r="D1571" s="11" t="str">
        <f aca="false">IF(K1571="","",IFERROR(INDEX(DECKS!$C$2:$C$1201,MATCH(K1571,DECKS!$B$2:$B$1201,0)),TRIM(I1571&amp;"")))</f>
        <v/>
      </c>
      <c r="E1571" s="4"/>
      <c r="F1571" s="12"/>
      <c r="G1571" s="4"/>
      <c r="H1571" s="13" t="str">
        <f aca="false">IF(OR(N(C1571)=0,N(F1571)=0),"",C1571*F1571)</f>
        <v/>
      </c>
      <c r="I1571" s="4"/>
      <c r="J1571" s="11" t="str">
        <f aca="false">IF(K1571="","",IF(N(C1571)&lt;=0,"Informe a quantidade",IF(IFERROR(INDEX(INVENTÁRIO!$B$2:$B$801,MATCH(K1571,INVENTÁRIO!$A$2:$A$801,0)),"")="(sem nome)","Carta fora dos decks: digite o nome na coluna I (opcional)","")))</f>
        <v/>
      </c>
      <c r="K1571" s="11" t="str">
        <f aca="false">UPPER(TRIM(SUBSTITUTE(B1571&amp;"",CHAR(160)," ")))</f>
        <v/>
      </c>
      <c r="L1571" s="11" t="str">
        <f aca="false">IF(AND(K1571&lt;&gt;"",TRIM(I1571&amp;"")&lt;&gt;""),K1571,"")</f>
        <v/>
      </c>
    </row>
    <row r="1572" customFormat="false" ht="15" hidden="false" customHeight="false" outlineLevel="0" collapsed="false">
      <c r="A1572" s="9"/>
      <c r="B1572" s="4"/>
      <c r="C1572" s="10"/>
      <c r="D1572" s="11" t="str">
        <f aca="false">IF(K1572="","",IFERROR(INDEX(DECKS!$C$2:$C$1201,MATCH(K1572,DECKS!$B$2:$B$1201,0)),TRIM(I1572&amp;"")))</f>
        <v/>
      </c>
      <c r="E1572" s="4"/>
      <c r="F1572" s="12"/>
      <c r="G1572" s="4"/>
      <c r="H1572" s="13" t="str">
        <f aca="false">IF(OR(N(C1572)=0,N(F1572)=0),"",C1572*F1572)</f>
        <v/>
      </c>
      <c r="I1572" s="4"/>
      <c r="J1572" s="11" t="str">
        <f aca="false">IF(K1572="","",IF(N(C1572)&lt;=0,"Informe a quantidade",IF(IFERROR(INDEX(INVENTÁRIO!$B$2:$B$801,MATCH(K1572,INVENTÁRIO!$A$2:$A$801,0)),"")="(sem nome)","Carta fora dos decks: digite o nome na coluna I (opcional)","")))</f>
        <v/>
      </c>
      <c r="K1572" s="11" t="str">
        <f aca="false">UPPER(TRIM(SUBSTITUTE(B1572&amp;"",CHAR(160)," ")))</f>
        <v/>
      </c>
      <c r="L1572" s="11" t="str">
        <f aca="false">IF(AND(K1572&lt;&gt;"",TRIM(I1572&amp;"")&lt;&gt;""),K1572,"")</f>
        <v/>
      </c>
    </row>
    <row r="1573" customFormat="false" ht="15" hidden="false" customHeight="false" outlineLevel="0" collapsed="false">
      <c r="A1573" s="9"/>
      <c r="B1573" s="4"/>
      <c r="C1573" s="10"/>
      <c r="D1573" s="11" t="str">
        <f aca="false">IF(K1573="","",IFERROR(INDEX(DECKS!$C$2:$C$1201,MATCH(K1573,DECKS!$B$2:$B$1201,0)),TRIM(I1573&amp;"")))</f>
        <v/>
      </c>
      <c r="E1573" s="4"/>
      <c r="F1573" s="12"/>
      <c r="G1573" s="4"/>
      <c r="H1573" s="13" t="str">
        <f aca="false">IF(OR(N(C1573)=0,N(F1573)=0),"",C1573*F1573)</f>
        <v/>
      </c>
      <c r="I1573" s="4"/>
      <c r="J1573" s="11" t="str">
        <f aca="false">IF(K1573="","",IF(N(C1573)&lt;=0,"Informe a quantidade",IF(IFERROR(INDEX(INVENTÁRIO!$B$2:$B$801,MATCH(K1573,INVENTÁRIO!$A$2:$A$801,0)),"")="(sem nome)","Carta fora dos decks: digite o nome na coluna I (opcional)","")))</f>
        <v/>
      </c>
      <c r="K1573" s="11" t="str">
        <f aca="false">UPPER(TRIM(SUBSTITUTE(B1573&amp;"",CHAR(160)," ")))</f>
        <v/>
      </c>
      <c r="L1573" s="11" t="str">
        <f aca="false">IF(AND(K1573&lt;&gt;"",TRIM(I1573&amp;"")&lt;&gt;""),K1573,"")</f>
        <v/>
      </c>
    </row>
    <row r="1574" customFormat="false" ht="15" hidden="false" customHeight="false" outlineLevel="0" collapsed="false">
      <c r="A1574" s="9"/>
      <c r="B1574" s="4"/>
      <c r="C1574" s="10"/>
      <c r="D1574" s="11" t="str">
        <f aca="false">IF(K1574="","",IFERROR(INDEX(DECKS!$C$2:$C$1201,MATCH(K1574,DECKS!$B$2:$B$1201,0)),TRIM(I1574&amp;"")))</f>
        <v/>
      </c>
      <c r="E1574" s="4"/>
      <c r="F1574" s="12"/>
      <c r="G1574" s="4"/>
      <c r="H1574" s="13" t="str">
        <f aca="false">IF(OR(N(C1574)=0,N(F1574)=0),"",C1574*F1574)</f>
        <v/>
      </c>
      <c r="I1574" s="4"/>
      <c r="J1574" s="11" t="str">
        <f aca="false">IF(K1574="","",IF(N(C1574)&lt;=0,"Informe a quantidade",IF(IFERROR(INDEX(INVENTÁRIO!$B$2:$B$801,MATCH(K1574,INVENTÁRIO!$A$2:$A$801,0)),"")="(sem nome)","Carta fora dos decks: digite o nome na coluna I (opcional)","")))</f>
        <v/>
      </c>
      <c r="K1574" s="11" t="str">
        <f aca="false">UPPER(TRIM(SUBSTITUTE(B1574&amp;"",CHAR(160)," ")))</f>
        <v/>
      </c>
      <c r="L1574" s="11" t="str">
        <f aca="false">IF(AND(K1574&lt;&gt;"",TRIM(I1574&amp;"")&lt;&gt;""),K1574,"")</f>
        <v/>
      </c>
    </row>
    <row r="1575" customFormat="false" ht="15" hidden="false" customHeight="false" outlineLevel="0" collapsed="false">
      <c r="A1575" s="9"/>
      <c r="B1575" s="4"/>
      <c r="C1575" s="10"/>
      <c r="D1575" s="11" t="str">
        <f aca="false">IF(K1575="","",IFERROR(INDEX(DECKS!$C$2:$C$1201,MATCH(K1575,DECKS!$B$2:$B$1201,0)),TRIM(I1575&amp;"")))</f>
        <v/>
      </c>
      <c r="E1575" s="4"/>
      <c r="F1575" s="12"/>
      <c r="G1575" s="4"/>
      <c r="H1575" s="13" t="str">
        <f aca="false">IF(OR(N(C1575)=0,N(F1575)=0),"",C1575*F1575)</f>
        <v/>
      </c>
      <c r="I1575" s="4"/>
      <c r="J1575" s="11" t="str">
        <f aca="false">IF(K1575="","",IF(N(C1575)&lt;=0,"Informe a quantidade",IF(IFERROR(INDEX(INVENTÁRIO!$B$2:$B$801,MATCH(K1575,INVENTÁRIO!$A$2:$A$801,0)),"")="(sem nome)","Carta fora dos decks: digite o nome na coluna I (opcional)","")))</f>
        <v/>
      </c>
      <c r="K1575" s="11" t="str">
        <f aca="false">UPPER(TRIM(SUBSTITUTE(B1575&amp;"",CHAR(160)," ")))</f>
        <v/>
      </c>
      <c r="L1575" s="11" t="str">
        <f aca="false">IF(AND(K1575&lt;&gt;"",TRIM(I1575&amp;"")&lt;&gt;""),K1575,"")</f>
        <v/>
      </c>
    </row>
    <row r="1576" customFormat="false" ht="15" hidden="false" customHeight="false" outlineLevel="0" collapsed="false">
      <c r="A1576" s="9"/>
      <c r="B1576" s="4"/>
      <c r="C1576" s="10"/>
      <c r="D1576" s="11" t="str">
        <f aca="false">IF(K1576="","",IFERROR(INDEX(DECKS!$C$2:$C$1201,MATCH(K1576,DECKS!$B$2:$B$1201,0)),TRIM(I1576&amp;"")))</f>
        <v/>
      </c>
      <c r="E1576" s="4"/>
      <c r="F1576" s="12"/>
      <c r="G1576" s="4"/>
      <c r="H1576" s="13" t="str">
        <f aca="false">IF(OR(N(C1576)=0,N(F1576)=0),"",C1576*F1576)</f>
        <v/>
      </c>
      <c r="I1576" s="4"/>
      <c r="J1576" s="11" t="str">
        <f aca="false">IF(K1576="","",IF(N(C1576)&lt;=0,"Informe a quantidade",IF(IFERROR(INDEX(INVENTÁRIO!$B$2:$B$801,MATCH(K1576,INVENTÁRIO!$A$2:$A$801,0)),"")="(sem nome)","Carta fora dos decks: digite o nome na coluna I (opcional)","")))</f>
        <v/>
      </c>
      <c r="K1576" s="11" t="str">
        <f aca="false">UPPER(TRIM(SUBSTITUTE(B1576&amp;"",CHAR(160)," ")))</f>
        <v/>
      </c>
      <c r="L1576" s="11" t="str">
        <f aca="false">IF(AND(K1576&lt;&gt;"",TRIM(I1576&amp;"")&lt;&gt;""),K1576,"")</f>
        <v/>
      </c>
    </row>
    <row r="1577" customFormat="false" ht="15" hidden="false" customHeight="false" outlineLevel="0" collapsed="false">
      <c r="A1577" s="9"/>
      <c r="B1577" s="4"/>
      <c r="C1577" s="10"/>
      <c r="D1577" s="11" t="str">
        <f aca="false">IF(K1577="","",IFERROR(INDEX(DECKS!$C$2:$C$1201,MATCH(K1577,DECKS!$B$2:$B$1201,0)),TRIM(I1577&amp;"")))</f>
        <v/>
      </c>
      <c r="E1577" s="4"/>
      <c r="F1577" s="12"/>
      <c r="G1577" s="4"/>
      <c r="H1577" s="13" t="str">
        <f aca="false">IF(OR(N(C1577)=0,N(F1577)=0),"",C1577*F1577)</f>
        <v/>
      </c>
      <c r="I1577" s="4"/>
      <c r="J1577" s="11" t="str">
        <f aca="false">IF(K1577="","",IF(N(C1577)&lt;=0,"Informe a quantidade",IF(IFERROR(INDEX(INVENTÁRIO!$B$2:$B$801,MATCH(K1577,INVENTÁRIO!$A$2:$A$801,0)),"")="(sem nome)","Carta fora dos decks: digite o nome na coluna I (opcional)","")))</f>
        <v/>
      </c>
      <c r="K1577" s="11" t="str">
        <f aca="false">UPPER(TRIM(SUBSTITUTE(B1577&amp;"",CHAR(160)," ")))</f>
        <v/>
      </c>
      <c r="L1577" s="11" t="str">
        <f aca="false">IF(AND(K1577&lt;&gt;"",TRIM(I1577&amp;"")&lt;&gt;""),K1577,"")</f>
        <v/>
      </c>
    </row>
    <row r="1578" customFormat="false" ht="15" hidden="false" customHeight="false" outlineLevel="0" collapsed="false">
      <c r="A1578" s="9"/>
      <c r="B1578" s="4"/>
      <c r="C1578" s="10"/>
      <c r="D1578" s="11" t="str">
        <f aca="false">IF(K1578="","",IFERROR(INDEX(DECKS!$C$2:$C$1201,MATCH(K1578,DECKS!$B$2:$B$1201,0)),TRIM(I1578&amp;"")))</f>
        <v/>
      </c>
      <c r="E1578" s="4"/>
      <c r="F1578" s="12"/>
      <c r="G1578" s="4"/>
      <c r="H1578" s="13" t="str">
        <f aca="false">IF(OR(N(C1578)=0,N(F1578)=0),"",C1578*F1578)</f>
        <v/>
      </c>
      <c r="I1578" s="4"/>
      <c r="J1578" s="11" t="str">
        <f aca="false">IF(K1578="","",IF(N(C1578)&lt;=0,"Informe a quantidade",IF(IFERROR(INDEX(INVENTÁRIO!$B$2:$B$801,MATCH(K1578,INVENTÁRIO!$A$2:$A$801,0)),"")="(sem nome)","Carta fora dos decks: digite o nome na coluna I (opcional)","")))</f>
        <v/>
      </c>
      <c r="K1578" s="11" t="str">
        <f aca="false">UPPER(TRIM(SUBSTITUTE(B1578&amp;"",CHAR(160)," ")))</f>
        <v/>
      </c>
      <c r="L1578" s="11" t="str">
        <f aca="false">IF(AND(K1578&lt;&gt;"",TRIM(I1578&amp;"")&lt;&gt;""),K1578,"")</f>
        <v/>
      </c>
    </row>
    <row r="1579" customFormat="false" ht="15" hidden="false" customHeight="false" outlineLevel="0" collapsed="false">
      <c r="A1579" s="9"/>
      <c r="B1579" s="4"/>
      <c r="C1579" s="10"/>
      <c r="D1579" s="11" t="str">
        <f aca="false">IF(K1579="","",IFERROR(INDEX(DECKS!$C$2:$C$1201,MATCH(K1579,DECKS!$B$2:$B$1201,0)),TRIM(I1579&amp;"")))</f>
        <v/>
      </c>
      <c r="E1579" s="4"/>
      <c r="F1579" s="12"/>
      <c r="G1579" s="4"/>
      <c r="H1579" s="13" t="str">
        <f aca="false">IF(OR(N(C1579)=0,N(F1579)=0),"",C1579*F1579)</f>
        <v/>
      </c>
      <c r="I1579" s="4"/>
      <c r="J1579" s="11" t="str">
        <f aca="false">IF(K1579="","",IF(N(C1579)&lt;=0,"Informe a quantidade",IF(IFERROR(INDEX(INVENTÁRIO!$B$2:$B$801,MATCH(K1579,INVENTÁRIO!$A$2:$A$801,0)),"")="(sem nome)","Carta fora dos decks: digite o nome na coluna I (opcional)","")))</f>
        <v/>
      </c>
      <c r="K1579" s="11" t="str">
        <f aca="false">UPPER(TRIM(SUBSTITUTE(B1579&amp;"",CHAR(160)," ")))</f>
        <v/>
      </c>
      <c r="L1579" s="11" t="str">
        <f aca="false">IF(AND(K1579&lt;&gt;"",TRIM(I1579&amp;"")&lt;&gt;""),K1579,"")</f>
        <v/>
      </c>
    </row>
    <row r="1580" customFormat="false" ht="15" hidden="false" customHeight="false" outlineLevel="0" collapsed="false">
      <c r="A1580" s="9"/>
      <c r="B1580" s="4"/>
      <c r="C1580" s="10"/>
      <c r="D1580" s="11" t="str">
        <f aca="false">IF(K1580="","",IFERROR(INDEX(DECKS!$C$2:$C$1201,MATCH(K1580,DECKS!$B$2:$B$1201,0)),TRIM(I1580&amp;"")))</f>
        <v/>
      </c>
      <c r="E1580" s="4"/>
      <c r="F1580" s="12"/>
      <c r="G1580" s="4"/>
      <c r="H1580" s="13" t="str">
        <f aca="false">IF(OR(N(C1580)=0,N(F1580)=0),"",C1580*F1580)</f>
        <v/>
      </c>
      <c r="I1580" s="4"/>
      <c r="J1580" s="11" t="str">
        <f aca="false">IF(K1580="","",IF(N(C1580)&lt;=0,"Informe a quantidade",IF(IFERROR(INDEX(INVENTÁRIO!$B$2:$B$801,MATCH(K1580,INVENTÁRIO!$A$2:$A$801,0)),"")="(sem nome)","Carta fora dos decks: digite o nome na coluna I (opcional)","")))</f>
        <v/>
      </c>
      <c r="K1580" s="11" t="str">
        <f aca="false">UPPER(TRIM(SUBSTITUTE(B1580&amp;"",CHAR(160)," ")))</f>
        <v/>
      </c>
      <c r="L1580" s="11" t="str">
        <f aca="false">IF(AND(K1580&lt;&gt;"",TRIM(I1580&amp;"")&lt;&gt;""),K1580,"")</f>
        <v/>
      </c>
    </row>
    <row r="1581" customFormat="false" ht="15" hidden="false" customHeight="false" outlineLevel="0" collapsed="false">
      <c r="A1581" s="9"/>
      <c r="B1581" s="4"/>
      <c r="C1581" s="10"/>
      <c r="D1581" s="11" t="str">
        <f aca="false">IF(K1581="","",IFERROR(INDEX(DECKS!$C$2:$C$1201,MATCH(K1581,DECKS!$B$2:$B$1201,0)),TRIM(I1581&amp;"")))</f>
        <v/>
      </c>
      <c r="E1581" s="4"/>
      <c r="F1581" s="12"/>
      <c r="G1581" s="4"/>
      <c r="H1581" s="13" t="str">
        <f aca="false">IF(OR(N(C1581)=0,N(F1581)=0),"",C1581*F1581)</f>
        <v/>
      </c>
      <c r="I1581" s="4"/>
      <c r="J1581" s="11" t="str">
        <f aca="false">IF(K1581="","",IF(N(C1581)&lt;=0,"Informe a quantidade",IF(IFERROR(INDEX(INVENTÁRIO!$B$2:$B$801,MATCH(K1581,INVENTÁRIO!$A$2:$A$801,0)),"")="(sem nome)","Carta fora dos decks: digite o nome na coluna I (opcional)","")))</f>
        <v/>
      </c>
      <c r="K1581" s="11" t="str">
        <f aca="false">UPPER(TRIM(SUBSTITUTE(B1581&amp;"",CHAR(160)," ")))</f>
        <v/>
      </c>
      <c r="L1581" s="11" t="str">
        <f aca="false">IF(AND(K1581&lt;&gt;"",TRIM(I1581&amp;"")&lt;&gt;""),K1581,"")</f>
        <v/>
      </c>
    </row>
    <row r="1582" customFormat="false" ht="15" hidden="false" customHeight="false" outlineLevel="0" collapsed="false">
      <c r="A1582" s="9"/>
      <c r="B1582" s="4"/>
      <c r="C1582" s="10"/>
      <c r="D1582" s="11" t="str">
        <f aca="false">IF(K1582="","",IFERROR(INDEX(DECKS!$C$2:$C$1201,MATCH(K1582,DECKS!$B$2:$B$1201,0)),TRIM(I1582&amp;"")))</f>
        <v/>
      </c>
      <c r="E1582" s="4"/>
      <c r="F1582" s="12"/>
      <c r="G1582" s="4"/>
      <c r="H1582" s="13" t="str">
        <f aca="false">IF(OR(N(C1582)=0,N(F1582)=0),"",C1582*F1582)</f>
        <v/>
      </c>
      <c r="I1582" s="4"/>
      <c r="J1582" s="11" t="str">
        <f aca="false">IF(K1582="","",IF(N(C1582)&lt;=0,"Informe a quantidade",IF(IFERROR(INDEX(INVENTÁRIO!$B$2:$B$801,MATCH(K1582,INVENTÁRIO!$A$2:$A$801,0)),"")="(sem nome)","Carta fora dos decks: digite o nome na coluna I (opcional)","")))</f>
        <v/>
      </c>
      <c r="K1582" s="11" t="str">
        <f aca="false">UPPER(TRIM(SUBSTITUTE(B1582&amp;"",CHAR(160)," ")))</f>
        <v/>
      </c>
      <c r="L1582" s="11" t="str">
        <f aca="false">IF(AND(K1582&lt;&gt;"",TRIM(I1582&amp;"")&lt;&gt;""),K1582,"")</f>
        <v/>
      </c>
    </row>
    <row r="1583" customFormat="false" ht="15" hidden="false" customHeight="false" outlineLevel="0" collapsed="false">
      <c r="A1583" s="9"/>
      <c r="B1583" s="4"/>
      <c r="C1583" s="10"/>
      <c r="D1583" s="11" t="str">
        <f aca="false">IF(K1583="","",IFERROR(INDEX(DECKS!$C$2:$C$1201,MATCH(K1583,DECKS!$B$2:$B$1201,0)),TRIM(I1583&amp;"")))</f>
        <v/>
      </c>
      <c r="E1583" s="4"/>
      <c r="F1583" s="12"/>
      <c r="G1583" s="4"/>
      <c r="H1583" s="13" t="str">
        <f aca="false">IF(OR(N(C1583)=0,N(F1583)=0),"",C1583*F1583)</f>
        <v/>
      </c>
      <c r="I1583" s="4"/>
      <c r="J1583" s="11" t="str">
        <f aca="false">IF(K1583="","",IF(N(C1583)&lt;=0,"Informe a quantidade",IF(IFERROR(INDEX(INVENTÁRIO!$B$2:$B$801,MATCH(K1583,INVENTÁRIO!$A$2:$A$801,0)),"")="(sem nome)","Carta fora dos decks: digite o nome na coluna I (opcional)","")))</f>
        <v/>
      </c>
      <c r="K1583" s="11" t="str">
        <f aca="false">UPPER(TRIM(SUBSTITUTE(B1583&amp;"",CHAR(160)," ")))</f>
        <v/>
      </c>
      <c r="L1583" s="11" t="str">
        <f aca="false">IF(AND(K1583&lt;&gt;"",TRIM(I1583&amp;"")&lt;&gt;""),K1583,"")</f>
        <v/>
      </c>
    </row>
    <row r="1584" customFormat="false" ht="15" hidden="false" customHeight="false" outlineLevel="0" collapsed="false">
      <c r="A1584" s="9"/>
      <c r="B1584" s="4"/>
      <c r="C1584" s="10"/>
      <c r="D1584" s="11" t="str">
        <f aca="false">IF(K1584="","",IFERROR(INDEX(DECKS!$C$2:$C$1201,MATCH(K1584,DECKS!$B$2:$B$1201,0)),TRIM(I1584&amp;"")))</f>
        <v/>
      </c>
      <c r="E1584" s="4"/>
      <c r="F1584" s="12"/>
      <c r="G1584" s="4"/>
      <c r="H1584" s="13" t="str">
        <f aca="false">IF(OR(N(C1584)=0,N(F1584)=0),"",C1584*F1584)</f>
        <v/>
      </c>
      <c r="I1584" s="4"/>
      <c r="J1584" s="11" t="str">
        <f aca="false">IF(K1584="","",IF(N(C1584)&lt;=0,"Informe a quantidade",IF(IFERROR(INDEX(INVENTÁRIO!$B$2:$B$801,MATCH(K1584,INVENTÁRIO!$A$2:$A$801,0)),"")="(sem nome)","Carta fora dos decks: digite o nome na coluna I (opcional)","")))</f>
        <v/>
      </c>
      <c r="K1584" s="11" t="str">
        <f aca="false">UPPER(TRIM(SUBSTITUTE(B1584&amp;"",CHAR(160)," ")))</f>
        <v/>
      </c>
      <c r="L1584" s="11" t="str">
        <f aca="false">IF(AND(K1584&lt;&gt;"",TRIM(I1584&amp;"")&lt;&gt;""),K1584,"")</f>
        <v/>
      </c>
    </row>
    <row r="1585" customFormat="false" ht="15" hidden="false" customHeight="false" outlineLevel="0" collapsed="false">
      <c r="A1585" s="9"/>
      <c r="B1585" s="4"/>
      <c r="C1585" s="10"/>
      <c r="D1585" s="11" t="str">
        <f aca="false">IF(K1585="","",IFERROR(INDEX(DECKS!$C$2:$C$1201,MATCH(K1585,DECKS!$B$2:$B$1201,0)),TRIM(I1585&amp;"")))</f>
        <v/>
      </c>
      <c r="E1585" s="4"/>
      <c r="F1585" s="12"/>
      <c r="G1585" s="4"/>
      <c r="H1585" s="13" t="str">
        <f aca="false">IF(OR(N(C1585)=0,N(F1585)=0),"",C1585*F1585)</f>
        <v/>
      </c>
      <c r="I1585" s="4"/>
      <c r="J1585" s="11" t="str">
        <f aca="false">IF(K1585="","",IF(N(C1585)&lt;=0,"Informe a quantidade",IF(IFERROR(INDEX(INVENTÁRIO!$B$2:$B$801,MATCH(K1585,INVENTÁRIO!$A$2:$A$801,0)),"")="(sem nome)","Carta fora dos decks: digite o nome na coluna I (opcional)","")))</f>
        <v/>
      </c>
      <c r="K1585" s="11" t="str">
        <f aca="false">UPPER(TRIM(SUBSTITUTE(B1585&amp;"",CHAR(160)," ")))</f>
        <v/>
      </c>
      <c r="L1585" s="11" t="str">
        <f aca="false">IF(AND(K1585&lt;&gt;"",TRIM(I1585&amp;"")&lt;&gt;""),K1585,"")</f>
        <v/>
      </c>
    </row>
    <row r="1586" customFormat="false" ht="15" hidden="false" customHeight="false" outlineLevel="0" collapsed="false">
      <c r="A1586" s="9"/>
      <c r="B1586" s="4"/>
      <c r="C1586" s="10"/>
      <c r="D1586" s="11" t="str">
        <f aca="false">IF(K1586="","",IFERROR(INDEX(DECKS!$C$2:$C$1201,MATCH(K1586,DECKS!$B$2:$B$1201,0)),TRIM(I1586&amp;"")))</f>
        <v/>
      </c>
      <c r="E1586" s="4"/>
      <c r="F1586" s="12"/>
      <c r="G1586" s="4"/>
      <c r="H1586" s="13" t="str">
        <f aca="false">IF(OR(N(C1586)=0,N(F1586)=0),"",C1586*F1586)</f>
        <v/>
      </c>
      <c r="I1586" s="4"/>
      <c r="J1586" s="11" t="str">
        <f aca="false">IF(K1586="","",IF(N(C1586)&lt;=0,"Informe a quantidade",IF(IFERROR(INDEX(INVENTÁRIO!$B$2:$B$801,MATCH(K1586,INVENTÁRIO!$A$2:$A$801,0)),"")="(sem nome)","Carta fora dos decks: digite o nome na coluna I (opcional)","")))</f>
        <v/>
      </c>
      <c r="K1586" s="11" t="str">
        <f aca="false">UPPER(TRIM(SUBSTITUTE(B1586&amp;"",CHAR(160)," ")))</f>
        <v/>
      </c>
      <c r="L1586" s="11" t="str">
        <f aca="false">IF(AND(K1586&lt;&gt;"",TRIM(I1586&amp;"")&lt;&gt;""),K1586,"")</f>
        <v/>
      </c>
    </row>
    <row r="1587" customFormat="false" ht="15" hidden="false" customHeight="false" outlineLevel="0" collapsed="false">
      <c r="A1587" s="9"/>
      <c r="B1587" s="4"/>
      <c r="C1587" s="10"/>
      <c r="D1587" s="11" t="str">
        <f aca="false">IF(K1587="","",IFERROR(INDEX(DECKS!$C$2:$C$1201,MATCH(K1587,DECKS!$B$2:$B$1201,0)),TRIM(I1587&amp;"")))</f>
        <v/>
      </c>
      <c r="E1587" s="4"/>
      <c r="F1587" s="12"/>
      <c r="G1587" s="4"/>
      <c r="H1587" s="13" t="str">
        <f aca="false">IF(OR(N(C1587)=0,N(F1587)=0),"",C1587*F1587)</f>
        <v/>
      </c>
      <c r="I1587" s="4"/>
      <c r="J1587" s="11" t="str">
        <f aca="false">IF(K1587="","",IF(N(C1587)&lt;=0,"Informe a quantidade",IF(IFERROR(INDEX(INVENTÁRIO!$B$2:$B$801,MATCH(K1587,INVENTÁRIO!$A$2:$A$801,0)),"")="(sem nome)","Carta fora dos decks: digite o nome na coluna I (opcional)","")))</f>
        <v/>
      </c>
      <c r="K1587" s="11" t="str">
        <f aca="false">UPPER(TRIM(SUBSTITUTE(B1587&amp;"",CHAR(160)," ")))</f>
        <v/>
      </c>
      <c r="L1587" s="11" t="str">
        <f aca="false">IF(AND(K1587&lt;&gt;"",TRIM(I1587&amp;"")&lt;&gt;""),K1587,"")</f>
        <v/>
      </c>
    </row>
    <row r="1588" customFormat="false" ht="15" hidden="false" customHeight="false" outlineLevel="0" collapsed="false">
      <c r="A1588" s="9"/>
      <c r="B1588" s="4"/>
      <c r="C1588" s="10"/>
      <c r="D1588" s="11" t="str">
        <f aca="false">IF(K1588="","",IFERROR(INDEX(DECKS!$C$2:$C$1201,MATCH(K1588,DECKS!$B$2:$B$1201,0)),TRIM(I1588&amp;"")))</f>
        <v/>
      </c>
      <c r="E1588" s="4"/>
      <c r="F1588" s="12"/>
      <c r="G1588" s="4"/>
      <c r="H1588" s="13" t="str">
        <f aca="false">IF(OR(N(C1588)=0,N(F1588)=0),"",C1588*F1588)</f>
        <v/>
      </c>
      <c r="I1588" s="4"/>
      <c r="J1588" s="11" t="str">
        <f aca="false">IF(K1588="","",IF(N(C1588)&lt;=0,"Informe a quantidade",IF(IFERROR(INDEX(INVENTÁRIO!$B$2:$B$801,MATCH(K1588,INVENTÁRIO!$A$2:$A$801,0)),"")="(sem nome)","Carta fora dos decks: digite o nome na coluna I (opcional)","")))</f>
        <v/>
      </c>
      <c r="K1588" s="11" t="str">
        <f aca="false">UPPER(TRIM(SUBSTITUTE(B1588&amp;"",CHAR(160)," ")))</f>
        <v/>
      </c>
      <c r="L1588" s="11" t="str">
        <f aca="false">IF(AND(K1588&lt;&gt;"",TRIM(I1588&amp;"")&lt;&gt;""),K1588,"")</f>
        <v/>
      </c>
    </row>
    <row r="1589" customFormat="false" ht="15" hidden="false" customHeight="false" outlineLevel="0" collapsed="false">
      <c r="A1589" s="9"/>
      <c r="B1589" s="4"/>
      <c r="C1589" s="10"/>
      <c r="D1589" s="11" t="str">
        <f aca="false">IF(K1589="","",IFERROR(INDEX(DECKS!$C$2:$C$1201,MATCH(K1589,DECKS!$B$2:$B$1201,0)),TRIM(I1589&amp;"")))</f>
        <v/>
      </c>
      <c r="E1589" s="4"/>
      <c r="F1589" s="12"/>
      <c r="G1589" s="4"/>
      <c r="H1589" s="13" t="str">
        <f aca="false">IF(OR(N(C1589)=0,N(F1589)=0),"",C1589*F1589)</f>
        <v/>
      </c>
      <c r="I1589" s="4"/>
      <c r="J1589" s="11" t="str">
        <f aca="false">IF(K1589="","",IF(N(C1589)&lt;=0,"Informe a quantidade",IF(IFERROR(INDEX(INVENTÁRIO!$B$2:$B$801,MATCH(K1589,INVENTÁRIO!$A$2:$A$801,0)),"")="(sem nome)","Carta fora dos decks: digite o nome na coluna I (opcional)","")))</f>
        <v/>
      </c>
      <c r="K1589" s="11" t="str">
        <f aca="false">UPPER(TRIM(SUBSTITUTE(B1589&amp;"",CHAR(160)," ")))</f>
        <v/>
      </c>
      <c r="L1589" s="11" t="str">
        <f aca="false">IF(AND(K1589&lt;&gt;"",TRIM(I1589&amp;"")&lt;&gt;""),K1589,"")</f>
        <v/>
      </c>
    </row>
    <row r="1590" customFormat="false" ht="15" hidden="false" customHeight="false" outlineLevel="0" collapsed="false">
      <c r="A1590" s="9"/>
      <c r="B1590" s="4"/>
      <c r="C1590" s="10"/>
      <c r="D1590" s="11" t="str">
        <f aca="false">IF(K1590="","",IFERROR(INDEX(DECKS!$C$2:$C$1201,MATCH(K1590,DECKS!$B$2:$B$1201,0)),TRIM(I1590&amp;"")))</f>
        <v/>
      </c>
      <c r="E1590" s="4"/>
      <c r="F1590" s="12"/>
      <c r="G1590" s="4"/>
      <c r="H1590" s="13" t="str">
        <f aca="false">IF(OR(N(C1590)=0,N(F1590)=0),"",C1590*F1590)</f>
        <v/>
      </c>
      <c r="I1590" s="4"/>
      <c r="J1590" s="11" t="str">
        <f aca="false">IF(K1590="","",IF(N(C1590)&lt;=0,"Informe a quantidade",IF(IFERROR(INDEX(INVENTÁRIO!$B$2:$B$801,MATCH(K1590,INVENTÁRIO!$A$2:$A$801,0)),"")="(sem nome)","Carta fora dos decks: digite o nome na coluna I (opcional)","")))</f>
        <v/>
      </c>
      <c r="K1590" s="11" t="str">
        <f aca="false">UPPER(TRIM(SUBSTITUTE(B1590&amp;"",CHAR(160)," ")))</f>
        <v/>
      </c>
      <c r="L1590" s="11" t="str">
        <f aca="false">IF(AND(K1590&lt;&gt;"",TRIM(I1590&amp;"")&lt;&gt;""),K1590,"")</f>
        <v/>
      </c>
    </row>
    <row r="1591" customFormat="false" ht="15" hidden="false" customHeight="false" outlineLevel="0" collapsed="false">
      <c r="A1591" s="9"/>
      <c r="B1591" s="4"/>
      <c r="C1591" s="10"/>
      <c r="D1591" s="11" t="str">
        <f aca="false">IF(K1591="","",IFERROR(INDEX(DECKS!$C$2:$C$1201,MATCH(K1591,DECKS!$B$2:$B$1201,0)),TRIM(I1591&amp;"")))</f>
        <v/>
      </c>
      <c r="E1591" s="4"/>
      <c r="F1591" s="12"/>
      <c r="G1591" s="4"/>
      <c r="H1591" s="13" t="str">
        <f aca="false">IF(OR(N(C1591)=0,N(F1591)=0),"",C1591*F1591)</f>
        <v/>
      </c>
      <c r="I1591" s="4"/>
      <c r="J1591" s="11" t="str">
        <f aca="false">IF(K1591="","",IF(N(C1591)&lt;=0,"Informe a quantidade",IF(IFERROR(INDEX(INVENTÁRIO!$B$2:$B$801,MATCH(K1591,INVENTÁRIO!$A$2:$A$801,0)),"")="(sem nome)","Carta fora dos decks: digite o nome na coluna I (opcional)","")))</f>
        <v/>
      </c>
      <c r="K1591" s="11" t="str">
        <f aca="false">UPPER(TRIM(SUBSTITUTE(B1591&amp;"",CHAR(160)," ")))</f>
        <v/>
      </c>
      <c r="L1591" s="11" t="str">
        <f aca="false">IF(AND(K1591&lt;&gt;"",TRIM(I1591&amp;"")&lt;&gt;""),K1591,"")</f>
        <v/>
      </c>
    </row>
    <row r="1592" customFormat="false" ht="15" hidden="false" customHeight="false" outlineLevel="0" collapsed="false">
      <c r="A1592" s="9"/>
      <c r="B1592" s="4"/>
      <c r="C1592" s="10"/>
      <c r="D1592" s="11" t="str">
        <f aca="false">IF(K1592="","",IFERROR(INDEX(DECKS!$C$2:$C$1201,MATCH(K1592,DECKS!$B$2:$B$1201,0)),TRIM(I1592&amp;"")))</f>
        <v/>
      </c>
      <c r="E1592" s="4"/>
      <c r="F1592" s="12"/>
      <c r="G1592" s="4"/>
      <c r="H1592" s="13" t="str">
        <f aca="false">IF(OR(N(C1592)=0,N(F1592)=0),"",C1592*F1592)</f>
        <v/>
      </c>
      <c r="I1592" s="4"/>
      <c r="J1592" s="11" t="str">
        <f aca="false">IF(K1592="","",IF(N(C1592)&lt;=0,"Informe a quantidade",IF(IFERROR(INDEX(INVENTÁRIO!$B$2:$B$801,MATCH(K1592,INVENTÁRIO!$A$2:$A$801,0)),"")="(sem nome)","Carta fora dos decks: digite o nome na coluna I (opcional)","")))</f>
        <v/>
      </c>
      <c r="K1592" s="11" t="str">
        <f aca="false">UPPER(TRIM(SUBSTITUTE(B1592&amp;"",CHAR(160)," ")))</f>
        <v/>
      </c>
      <c r="L1592" s="11" t="str">
        <f aca="false">IF(AND(K1592&lt;&gt;"",TRIM(I1592&amp;"")&lt;&gt;""),K1592,"")</f>
        <v/>
      </c>
    </row>
    <row r="1593" customFormat="false" ht="15" hidden="false" customHeight="false" outlineLevel="0" collapsed="false">
      <c r="A1593" s="9"/>
      <c r="B1593" s="4"/>
      <c r="C1593" s="10"/>
      <c r="D1593" s="11" t="str">
        <f aca="false">IF(K1593="","",IFERROR(INDEX(DECKS!$C$2:$C$1201,MATCH(K1593,DECKS!$B$2:$B$1201,0)),TRIM(I1593&amp;"")))</f>
        <v/>
      </c>
      <c r="E1593" s="4"/>
      <c r="F1593" s="12"/>
      <c r="G1593" s="4"/>
      <c r="H1593" s="13" t="str">
        <f aca="false">IF(OR(N(C1593)=0,N(F1593)=0),"",C1593*F1593)</f>
        <v/>
      </c>
      <c r="I1593" s="4"/>
      <c r="J1593" s="11" t="str">
        <f aca="false">IF(K1593="","",IF(N(C1593)&lt;=0,"Informe a quantidade",IF(IFERROR(INDEX(INVENTÁRIO!$B$2:$B$801,MATCH(K1593,INVENTÁRIO!$A$2:$A$801,0)),"")="(sem nome)","Carta fora dos decks: digite o nome na coluna I (opcional)","")))</f>
        <v/>
      </c>
      <c r="K1593" s="11" t="str">
        <f aca="false">UPPER(TRIM(SUBSTITUTE(B1593&amp;"",CHAR(160)," ")))</f>
        <v/>
      </c>
      <c r="L1593" s="11" t="str">
        <f aca="false">IF(AND(K1593&lt;&gt;"",TRIM(I1593&amp;"")&lt;&gt;""),K1593,"")</f>
        <v/>
      </c>
    </row>
    <row r="1594" customFormat="false" ht="15" hidden="false" customHeight="false" outlineLevel="0" collapsed="false">
      <c r="A1594" s="9"/>
      <c r="B1594" s="4"/>
      <c r="C1594" s="10"/>
      <c r="D1594" s="11" t="str">
        <f aca="false">IF(K1594="","",IFERROR(INDEX(DECKS!$C$2:$C$1201,MATCH(K1594,DECKS!$B$2:$B$1201,0)),TRIM(I1594&amp;"")))</f>
        <v/>
      </c>
      <c r="E1594" s="4"/>
      <c r="F1594" s="12"/>
      <c r="G1594" s="4"/>
      <c r="H1594" s="13" t="str">
        <f aca="false">IF(OR(N(C1594)=0,N(F1594)=0),"",C1594*F1594)</f>
        <v/>
      </c>
      <c r="I1594" s="4"/>
      <c r="J1594" s="11" t="str">
        <f aca="false">IF(K1594="","",IF(N(C1594)&lt;=0,"Informe a quantidade",IF(IFERROR(INDEX(INVENTÁRIO!$B$2:$B$801,MATCH(K1594,INVENTÁRIO!$A$2:$A$801,0)),"")="(sem nome)","Carta fora dos decks: digite o nome na coluna I (opcional)","")))</f>
        <v/>
      </c>
      <c r="K1594" s="11" t="str">
        <f aca="false">UPPER(TRIM(SUBSTITUTE(B1594&amp;"",CHAR(160)," ")))</f>
        <v/>
      </c>
      <c r="L1594" s="11" t="str">
        <f aca="false">IF(AND(K1594&lt;&gt;"",TRIM(I1594&amp;"")&lt;&gt;""),K1594,"")</f>
        <v/>
      </c>
    </row>
    <row r="1595" customFormat="false" ht="15" hidden="false" customHeight="false" outlineLevel="0" collapsed="false">
      <c r="A1595" s="9"/>
      <c r="B1595" s="4"/>
      <c r="C1595" s="10"/>
      <c r="D1595" s="11" t="str">
        <f aca="false">IF(K1595="","",IFERROR(INDEX(DECKS!$C$2:$C$1201,MATCH(K1595,DECKS!$B$2:$B$1201,0)),TRIM(I1595&amp;"")))</f>
        <v/>
      </c>
      <c r="E1595" s="4"/>
      <c r="F1595" s="12"/>
      <c r="G1595" s="4"/>
      <c r="H1595" s="13" t="str">
        <f aca="false">IF(OR(N(C1595)=0,N(F1595)=0),"",C1595*F1595)</f>
        <v/>
      </c>
      <c r="I1595" s="4"/>
      <c r="J1595" s="11" t="str">
        <f aca="false">IF(K1595="","",IF(N(C1595)&lt;=0,"Informe a quantidade",IF(IFERROR(INDEX(INVENTÁRIO!$B$2:$B$801,MATCH(K1595,INVENTÁRIO!$A$2:$A$801,0)),"")="(sem nome)","Carta fora dos decks: digite o nome na coluna I (opcional)","")))</f>
        <v/>
      </c>
      <c r="K1595" s="11" t="str">
        <f aca="false">UPPER(TRIM(SUBSTITUTE(B1595&amp;"",CHAR(160)," ")))</f>
        <v/>
      </c>
      <c r="L1595" s="11" t="str">
        <f aca="false">IF(AND(K1595&lt;&gt;"",TRIM(I1595&amp;"")&lt;&gt;""),K1595,"")</f>
        <v/>
      </c>
    </row>
    <row r="1596" customFormat="false" ht="15" hidden="false" customHeight="false" outlineLevel="0" collapsed="false">
      <c r="A1596" s="9"/>
      <c r="B1596" s="4"/>
      <c r="C1596" s="10"/>
      <c r="D1596" s="11" t="str">
        <f aca="false">IF(K1596="","",IFERROR(INDEX(DECKS!$C$2:$C$1201,MATCH(K1596,DECKS!$B$2:$B$1201,0)),TRIM(I1596&amp;"")))</f>
        <v/>
      </c>
      <c r="E1596" s="4"/>
      <c r="F1596" s="12"/>
      <c r="G1596" s="4"/>
      <c r="H1596" s="13" t="str">
        <f aca="false">IF(OR(N(C1596)=0,N(F1596)=0),"",C1596*F1596)</f>
        <v/>
      </c>
      <c r="I1596" s="4"/>
      <c r="J1596" s="11" t="str">
        <f aca="false">IF(K1596="","",IF(N(C1596)&lt;=0,"Informe a quantidade",IF(IFERROR(INDEX(INVENTÁRIO!$B$2:$B$801,MATCH(K1596,INVENTÁRIO!$A$2:$A$801,0)),"")="(sem nome)","Carta fora dos decks: digite o nome na coluna I (opcional)","")))</f>
        <v/>
      </c>
      <c r="K1596" s="11" t="str">
        <f aca="false">UPPER(TRIM(SUBSTITUTE(B1596&amp;"",CHAR(160)," ")))</f>
        <v/>
      </c>
      <c r="L1596" s="11" t="str">
        <f aca="false">IF(AND(K1596&lt;&gt;"",TRIM(I1596&amp;"")&lt;&gt;""),K1596,"")</f>
        <v/>
      </c>
    </row>
    <row r="1597" customFormat="false" ht="15" hidden="false" customHeight="false" outlineLevel="0" collapsed="false">
      <c r="A1597" s="9"/>
      <c r="B1597" s="4"/>
      <c r="C1597" s="10"/>
      <c r="D1597" s="11" t="str">
        <f aca="false">IF(K1597="","",IFERROR(INDEX(DECKS!$C$2:$C$1201,MATCH(K1597,DECKS!$B$2:$B$1201,0)),TRIM(I1597&amp;"")))</f>
        <v/>
      </c>
      <c r="E1597" s="4"/>
      <c r="F1597" s="12"/>
      <c r="G1597" s="4"/>
      <c r="H1597" s="13" t="str">
        <f aca="false">IF(OR(N(C1597)=0,N(F1597)=0),"",C1597*F1597)</f>
        <v/>
      </c>
      <c r="I1597" s="4"/>
      <c r="J1597" s="11" t="str">
        <f aca="false">IF(K1597="","",IF(N(C1597)&lt;=0,"Informe a quantidade",IF(IFERROR(INDEX(INVENTÁRIO!$B$2:$B$801,MATCH(K1597,INVENTÁRIO!$A$2:$A$801,0)),"")="(sem nome)","Carta fora dos decks: digite o nome na coluna I (opcional)","")))</f>
        <v/>
      </c>
      <c r="K1597" s="11" t="str">
        <f aca="false">UPPER(TRIM(SUBSTITUTE(B1597&amp;"",CHAR(160)," ")))</f>
        <v/>
      </c>
      <c r="L1597" s="11" t="str">
        <f aca="false">IF(AND(K1597&lt;&gt;"",TRIM(I1597&amp;"")&lt;&gt;""),K1597,"")</f>
        <v/>
      </c>
    </row>
    <row r="1598" customFormat="false" ht="15" hidden="false" customHeight="false" outlineLevel="0" collapsed="false">
      <c r="A1598" s="9"/>
      <c r="B1598" s="4"/>
      <c r="C1598" s="10"/>
      <c r="D1598" s="11" t="str">
        <f aca="false">IF(K1598="","",IFERROR(INDEX(DECKS!$C$2:$C$1201,MATCH(K1598,DECKS!$B$2:$B$1201,0)),TRIM(I1598&amp;"")))</f>
        <v/>
      </c>
      <c r="E1598" s="4"/>
      <c r="F1598" s="12"/>
      <c r="G1598" s="4"/>
      <c r="H1598" s="13" t="str">
        <f aca="false">IF(OR(N(C1598)=0,N(F1598)=0),"",C1598*F1598)</f>
        <v/>
      </c>
      <c r="I1598" s="4"/>
      <c r="J1598" s="11" t="str">
        <f aca="false">IF(K1598="","",IF(N(C1598)&lt;=0,"Informe a quantidade",IF(IFERROR(INDEX(INVENTÁRIO!$B$2:$B$801,MATCH(K1598,INVENTÁRIO!$A$2:$A$801,0)),"")="(sem nome)","Carta fora dos decks: digite o nome na coluna I (opcional)","")))</f>
        <v/>
      </c>
      <c r="K1598" s="11" t="str">
        <f aca="false">UPPER(TRIM(SUBSTITUTE(B1598&amp;"",CHAR(160)," ")))</f>
        <v/>
      </c>
      <c r="L1598" s="11" t="str">
        <f aca="false">IF(AND(K1598&lt;&gt;"",TRIM(I1598&amp;"")&lt;&gt;""),K1598,"")</f>
        <v/>
      </c>
    </row>
    <row r="1599" customFormat="false" ht="15" hidden="false" customHeight="false" outlineLevel="0" collapsed="false">
      <c r="A1599" s="9"/>
      <c r="B1599" s="4"/>
      <c r="C1599" s="10"/>
      <c r="D1599" s="11" t="str">
        <f aca="false">IF(K1599="","",IFERROR(INDEX(DECKS!$C$2:$C$1201,MATCH(K1599,DECKS!$B$2:$B$1201,0)),TRIM(I1599&amp;"")))</f>
        <v/>
      </c>
      <c r="E1599" s="4"/>
      <c r="F1599" s="12"/>
      <c r="G1599" s="4"/>
      <c r="H1599" s="13" t="str">
        <f aca="false">IF(OR(N(C1599)=0,N(F1599)=0),"",C1599*F1599)</f>
        <v/>
      </c>
      <c r="I1599" s="4"/>
      <c r="J1599" s="11" t="str">
        <f aca="false">IF(K1599="","",IF(N(C1599)&lt;=0,"Informe a quantidade",IF(IFERROR(INDEX(INVENTÁRIO!$B$2:$B$801,MATCH(K1599,INVENTÁRIO!$A$2:$A$801,0)),"")="(sem nome)","Carta fora dos decks: digite o nome na coluna I (opcional)","")))</f>
        <v/>
      </c>
      <c r="K1599" s="11" t="str">
        <f aca="false">UPPER(TRIM(SUBSTITUTE(B1599&amp;"",CHAR(160)," ")))</f>
        <v/>
      </c>
      <c r="L1599" s="11" t="str">
        <f aca="false">IF(AND(K1599&lt;&gt;"",TRIM(I1599&amp;"")&lt;&gt;""),K1599,"")</f>
        <v/>
      </c>
    </row>
    <row r="1600" customFormat="false" ht="15" hidden="false" customHeight="false" outlineLevel="0" collapsed="false">
      <c r="A1600" s="9"/>
      <c r="B1600" s="4"/>
      <c r="C1600" s="10"/>
      <c r="D1600" s="11" t="str">
        <f aca="false">IF(K1600="","",IFERROR(INDEX(DECKS!$C$2:$C$1201,MATCH(K1600,DECKS!$B$2:$B$1201,0)),TRIM(I1600&amp;"")))</f>
        <v/>
      </c>
      <c r="E1600" s="4"/>
      <c r="F1600" s="12"/>
      <c r="G1600" s="4"/>
      <c r="H1600" s="13" t="str">
        <f aca="false">IF(OR(N(C1600)=0,N(F1600)=0),"",C1600*F1600)</f>
        <v/>
      </c>
      <c r="I1600" s="4"/>
      <c r="J1600" s="11" t="str">
        <f aca="false">IF(K1600="","",IF(N(C1600)&lt;=0,"Informe a quantidade",IF(IFERROR(INDEX(INVENTÁRIO!$B$2:$B$801,MATCH(K1600,INVENTÁRIO!$A$2:$A$801,0)),"")="(sem nome)","Carta fora dos decks: digite o nome na coluna I (opcional)","")))</f>
        <v/>
      </c>
      <c r="K1600" s="11" t="str">
        <f aca="false">UPPER(TRIM(SUBSTITUTE(B1600&amp;"",CHAR(160)," ")))</f>
        <v/>
      </c>
      <c r="L1600" s="11" t="str">
        <f aca="false">IF(AND(K1600&lt;&gt;"",TRIM(I1600&amp;"")&lt;&gt;""),K1600,"")</f>
        <v/>
      </c>
    </row>
    <row r="1601" customFormat="false" ht="15" hidden="false" customHeight="false" outlineLevel="0" collapsed="false">
      <c r="A1601" s="9"/>
      <c r="B1601" s="4"/>
      <c r="C1601" s="10"/>
      <c r="D1601" s="11" t="str">
        <f aca="false">IF(K1601="","",IFERROR(INDEX(DECKS!$C$2:$C$1201,MATCH(K1601,DECKS!$B$2:$B$1201,0)),TRIM(I1601&amp;"")))</f>
        <v/>
      </c>
      <c r="E1601" s="4"/>
      <c r="F1601" s="12"/>
      <c r="G1601" s="4"/>
      <c r="H1601" s="13" t="str">
        <f aca="false">IF(OR(N(C1601)=0,N(F1601)=0),"",C1601*F1601)</f>
        <v/>
      </c>
      <c r="I1601" s="4"/>
      <c r="J1601" s="11" t="str">
        <f aca="false">IF(K1601="","",IF(N(C1601)&lt;=0,"Informe a quantidade",IF(IFERROR(INDEX(INVENTÁRIO!$B$2:$B$801,MATCH(K1601,INVENTÁRIO!$A$2:$A$801,0)),"")="(sem nome)","Carta fora dos decks: digite o nome na coluna I (opcional)","")))</f>
        <v/>
      </c>
      <c r="K1601" s="11" t="str">
        <f aca="false">UPPER(TRIM(SUBSTITUTE(B1601&amp;"",CHAR(160)," ")))</f>
        <v/>
      </c>
      <c r="L1601" s="11" t="str">
        <f aca="false">IF(AND(K1601&lt;&gt;"",TRIM(I1601&amp;"")&lt;&gt;""),K1601,"")</f>
        <v/>
      </c>
    </row>
    <row r="1602" customFormat="false" ht="15" hidden="false" customHeight="false" outlineLevel="0" collapsed="false">
      <c r="A1602" s="9"/>
      <c r="B1602" s="4"/>
      <c r="C1602" s="10"/>
      <c r="D1602" s="11" t="str">
        <f aca="false">IF(K1602="","",IFERROR(INDEX(DECKS!$C$2:$C$1201,MATCH(K1602,DECKS!$B$2:$B$1201,0)),TRIM(I1602&amp;"")))</f>
        <v/>
      </c>
      <c r="E1602" s="4"/>
      <c r="F1602" s="12"/>
      <c r="G1602" s="4"/>
      <c r="H1602" s="13" t="str">
        <f aca="false">IF(OR(N(C1602)=0,N(F1602)=0),"",C1602*F1602)</f>
        <v/>
      </c>
      <c r="I1602" s="4"/>
      <c r="J1602" s="11" t="str">
        <f aca="false">IF(K1602="","",IF(N(C1602)&lt;=0,"Informe a quantidade",IF(IFERROR(INDEX(INVENTÁRIO!$B$2:$B$801,MATCH(K1602,INVENTÁRIO!$A$2:$A$801,0)),"")="(sem nome)","Carta fora dos decks: digite o nome na coluna I (opcional)","")))</f>
        <v/>
      </c>
      <c r="K1602" s="11" t="str">
        <f aca="false">UPPER(TRIM(SUBSTITUTE(B1602&amp;"",CHAR(160)," ")))</f>
        <v/>
      </c>
      <c r="L1602" s="11" t="str">
        <f aca="false">IF(AND(K1602&lt;&gt;"",TRIM(I1602&amp;"")&lt;&gt;""),K1602,"")</f>
        <v/>
      </c>
    </row>
    <row r="1603" customFormat="false" ht="15" hidden="false" customHeight="false" outlineLevel="0" collapsed="false">
      <c r="A1603" s="9"/>
      <c r="B1603" s="4"/>
      <c r="C1603" s="10"/>
      <c r="D1603" s="11" t="str">
        <f aca="false">IF(K1603="","",IFERROR(INDEX(DECKS!$C$2:$C$1201,MATCH(K1603,DECKS!$B$2:$B$1201,0)),TRIM(I1603&amp;"")))</f>
        <v/>
      </c>
      <c r="E1603" s="4"/>
      <c r="F1603" s="12"/>
      <c r="G1603" s="4"/>
      <c r="H1603" s="13" t="str">
        <f aca="false">IF(OR(N(C1603)=0,N(F1603)=0),"",C1603*F1603)</f>
        <v/>
      </c>
      <c r="I1603" s="4"/>
      <c r="J1603" s="11" t="str">
        <f aca="false">IF(K1603="","",IF(N(C1603)&lt;=0,"Informe a quantidade",IF(IFERROR(INDEX(INVENTÁRIO!$B$2:$B$801,MATCH(K1603,INVENTÁRIO!$A$2:$A$801,0)),"")="(sem nome)","Carta fora dos decks: digite o nome na coluna I (opcional)","")))</f>
        <v/>
      </c>
      <c r="K1603" s="11" t="str">
        <f aca="false">UPPER(TRIM(SUBSTITUTE(B1603&amp;"",CHAR(160)," ")))</f>
        <v/>
      </c>
      <c r="L1603" s="11" t="str">
        <f aca="false">IF(AND(K1603&lt;&gt;"",TRIM(I1603&amp;"")&lt;&gt;""),K1603,"")</f>
        <v/>
      </c>
    </row>
    <row r="1604" customFormat="false" ht="15" hidden="false" customHeight="false" outlineLevel="0" collapsed="false">
      <c r="A1604" s="9"/>
      <c r="B1604" s="4"/>
      <c r="C1604" s="10"/>
      <c r="D1604" s="11" t="str">
        <f aca="false">IF(K1604="","",IFERROR(INDEX(DECKS!$C$2:$C$1201,MATCH(K1604,DECKS!$B$2:$B$1201,0)),TRIM(I1604&amp;"")))</f>
        <v/>
      </c>
      <c r="E1604" s="4"/>
      <c r="F1604" s="12"/>
      <c r="G1604" s="4"/>
      <c r="H1604" s="13" t="str">
        <f aca="false">IF(OR(N(C1604)=0,N(F1604)=0),"",C1604*F1604)</f>
        <v/>
      </c>
      <c r="I1604" s="4"/>
      <c r="J1604" s="11" t="str">
        <f aca="false">IF(K1604="","",IF(N(C1604)&lt;=0,"Informe a quantidade",IF(IFERROR(INDEX(INVENTÁRIO!$B$2:$B$801,MATCH(K1604,INVENTÁRIO!$A$2:$A$801,0)),"")="(sem nome)","Carta fora dos decks: digite o nome na coluna I (opcional)","")))</f>
        <v/>
      </c>
      <c r="K1604" s="11" t="str">
        <f aca="false">UPPER(TRIM(SUBSTITUTE(B1604&amp;"",CHAR(160)," ")))</f>
        <v/>
      </c>
      <c r="L1604" s="11" t="str">
        <f aca="false">IF(AND(K1604&lt;&gt;"",TRIM(I1604&amp;"")&lt;&gt;""),K1604,"")</f>
        <v/>
      </c>
    </row>
    <row r="1605" customFormat="false" ht="15" hidden="false" customHeight="false" outlineLevel="0" collapsed="false">
      <c r="A1605" s="9"/>
      <c r="B1605" s="4"/>
      <c r="C1605" s="10"/>
      <c r="D1605" s="11" t="str">
        <f aca="false">IF(K1605="","",IFERROR(INDEX(DECKS!$C$2:$C$1201,MATCH(K1605,DECKS!$B$2:$B$1201,0)),TRIM(I1605&amp;"")))</f>
        <v/>
      </c>
      <c r="E1605" s="4"/>
      <c r="F1605" s="12"/>
      <c r="G1605" s="4"/>
      <c r="H1605" s="13" t="str">
        <f aca="false">IF(OR(N(C1605)=0,N(F1605)=0),"",C1605*F1605)</f>
        <v/>
      </c>
      <c r="I1605" s="4"/>
      <c r="J1605" s="11" t="str">
        <f aca="false">IF(K1605="","",IF(N(C1605)&lt;=0,"Informe a quantidade",IF(IFERROR(INDEX(INVENTÁRIO!$B$2:$B$801,MATCH(K1605,INVENTÁRIO!$A$2:$A$801,0)),"")="(sem nome)","Carta fora dos decks: digite o nome na coluna I (opcional)","")))</f>
        <v/>
      </c>
      <c r="K1605" s="11" t="str">
        <f aca="false">UPPER(TRIM(SUBSTITUTE(B1605&amp;"",CHAR(160)," ")))</f>
        <v/>
      </c>
      <c r="L1605" s="11" t="str">
        <f aca="false">IF(AND(K1605&lt;&gt;"",TRIM(I1605&amp;"")&lt;&gt;""),K1605,"")</f>
        <v/>
      </c>
    </row>
    <row r="1606" customFormat="false" ht="15" hidden="false" customHeight="false" outlineLevel="0" collapsed="false">
      <c r="A1606" s="9"/>
      <c r="B1606" s="4"/>
      <c r="C1606" s="10"/>
      <c r="D1606" s="11" t="str">
        <f aca="false">IF(K1606="","",IFERROR(INDEX(DECKS!$C$2:$C$1201,MATCH(K1606,DECKS!$B$2:$B$1201,0)),TRIM(I1606&amp;"")))</f>
        <v/>
      </c>
      <c r="E1606" s="4"/>
      <c r="F1606" s="12"/>
      <c r="G1606" s="4"/>
      <c r="H1606" s="13" t="str">
        <f aca="false">IF(OR(N(C1606)=0,N(F1606)=0),"",C1606*F1606)</f>
        <v/>
      </c>
      <c r="I1606" s="4"/>
      <c r="J1606" s="11" t="str">
        <f aca="false">IF(K1606="","",IF(N(C1606)&lt;=0,"Informe a quantidade",IF(IFERROR(INDEX(INVENTÁRIO!$B$2:$B$801,MATCH(K1606,INVENTÁRIO!$A$2:$A$801,0)),"")="(sem nome)","Carta fora dos decks: digite o nome na coluna I (opcional)","")))</f>
        <v/>
      </c>
      <c r="K1606" s="11" t="str">
        <f aca="false">UPPER(TRIM(SUBSTITUTE(B1606&amp;"",CHAR(160)," ")))</f>
        <v/>
      </c>
      <c r="L1606" s="11" t="str">
        <f aca="false">IF(AND(K1606&lt;&gt;"",TRIM(I1606&amp;"")&lt;&gt;""),K1606,"")</f>
        <v/>
      </c>
    </row>
    <row r="1607" customFormat="false" ht="15" hidden="false" customHeight="false" outlineLevel="0" collapsed="false">
      <c r="A1607" s="9"/>
      <c r="B1607" s="4"/>
      <c r="C1607" s="10"/>
      <c r="D1607" s="11" t="str">
        <f aca="false">IF(K1607="","",IFERROR(INDEX(DECKS!$C$2:$C$1201,MATCH(K1607,DECKS!$B$2:$B$1201,0)),TRIM(I1607&amp;"")))</f>
        <v/>
      </c>
      <c r="E1607" s="4"/>
      <c r="F1607" s="12"/>
      <c r="G1607" s="4"/>
      <c r="H1607" s="13" t="str">
        <f aca="false">IF(OR(N(C1607)=0,N(F1607)=0),"",C1607*F1607)</f>
        <v/>
      </c>
      <c r="I1607" s="4"/>
      <c r="J1607" s="11" t="str">
        <f aca="false">IF(K1607="","",IF(N(C1607)&lt;=0,"Informe a quantidade",IF(IFERROR(INDEX(INVENTÁRIO!$B$2:$B$801,MATCH(K1607,INVENTÁRIO!$A$2:$A$801,0)),"")="(sem nome)","Carta fora dos decks: digite o nome na coluna I (opcional)","")))</f>
        <v/>
      </c>
      <c r="K1607" s="11" t="str">
        <f aca="false">UPPER(TRIM(SUBSTITUTE(B1607&amp;"",CHAR(160)," ")))</f>
        <v/>
      </c>
      <c r="L1607" s="11" t="str">
        <f aca="false">IF(AND(K1607&lt;&gt;"",TRIM(I1607&amp;"")&lt;&gt;""),K1607,"")</f>
        <v/>
      </c>
    </row>
    <row r="1608" customFormat="false" ht="15" hidden="false" customHeight="false" outlineLevel="0" collapsed="false">
      <c r="A1608" s="9"/>
      <c r="B1608" s="4"/>
      <c r="C1608" s="10"/>
      <c r="D1608" s="11" t="str">
        <f aca="false">IF(K1608="","",IFERROR(INDEX(DECKS!$C$2:$C$1201,MATCH(K1608,DECKS!$B$2:$B$1201,0)),TRIM(I1608&amp;"")))</f>
        <v/>
      </c>
      <c r="E1608" s="4"/>
      <c r="F1608" s="12"/>
      <c r="G1608" s="4"/>
      <c r="H1608" s="13" t="str">
        <f aca="false">IF(OR(N(C1608)=0,N(F1608)=0),"",C1608*F1608)</f>
        <v/>
      </c>
      <c r="I1608" s="4"/>
      <c r="J1608" s="11" t="str">
        <f aca="false">IF(K1608="","",IF(N(C1608)&lt;=0,"Informe a quantidade",IF(IFERROR(INDEX(INVENTÁRIO!$B$2:$B$801,MATCH(K1608,INVENTÁRIO!$A$2:$A$801,0)),"")="(sem nome)","Carta fora dos decks: digite o nome na coluna I (opcional)","")))</f>
        <v/>
      </c>
      <c r="K1608" s="11" t="str">
        <f aca="false">UPPER(TRIM(SUBSTITUTE(B1608&amp;"",CHAR(160)," ")))</f>
        <v/>
      </c>
      <c r="L1608" s="11" t="str">
        <f aca="false">IF(AND(K1608&lt;&gt;"",TRIM(I1608&amp;"")&lt;&gt;""),K1608,"")</f>
        <v/>
      </c>
    </row>
    <row r="1609" customFormat="false" ht="15" hidden="false" customHeight="false" outlineLevel="0" collapsed="false">
      <c r="A1609" s="9"/>
      <c r="B1609" s="4"/>
      <c r="C1609" s="10"/>
      <c r="D1609" s="11" t="str">
        <f aca="false">IF(K1609="","",IFERROR(INDEX(DECKS!$C$2:$C$1201,MATCH(K1609,DECKS!$B$2:$B$1201,0)),TRIM(I1609&amp;"")))</f>
        <v/>
      </c>
      <c r="E1609" s="4"/>
      <c r="F1609" s="12"/>
      <c r="G1609" s="4"/>
      <c r="H1609" s="13" t="str">
        <f aca="false">IF(OR(N(C1609)=0,N(F1609)=0),"",C1609*F1609)</f>
        <v/>
      </c>
      <c r="I1609" s="4"/>
      <c r="J1609" s="11" t="str">
        <f aca="false">IF(K1609="","",IF(N(C1609)&lt;=0,"Informe a quantidade",IF(IFERROR(INDEX(INVENTÁRIO!$B$2:$B$801,MATCH(K1609,INVENTÁRIO!$A$2:$A$801,0)),"")="(sem nome)","Carta fora dos decks: digite o nome na coluna I (opcional)","")))</f>
        <v/>
      </c>
      <c r="K1609" s="11" t="str">
        <f aca="false">UPPER(TRIM(SUBSTITUTE(B1609&amp;"",CHAR(160)," ")))</f>
        <v/>
      </c>
      <c r="L1609" s="11" t="str">
        <f aca="false">IF(AND(K1609&lt;&gt;"",TRIM(I1609&amp;"")&lt;&gt;""),K1609,"")</f>
        <v/>
      </c>
    </row>
    <row r="1610" customFormat="false" ht="15" hidden="false" customHeight="false" outlineLevel="0" collapsed="false">
      <c r="A1610" s="9"/>
      <c r="B1610" s="4"/>
      <c r="C1610" s="10"/>
      <c r="D1610" s="11" t="str">
        <f aca="false">IF(K1610="","",IFERROR(INDEX(DECKS!$C$2:$C$1201,MATCH(K1610,DECKS!$B$2:$B$1201,0)),TRIM(I1610&amp;"")))</f>
        <v/>
      </c>
      <c r="E1610" s="4"/>
      <c r="F1610" s="12"/>
      <c r="G1610" s="4"/>
      <c r="H1610" s="13" t="str">
        <f aca="false">IF(OR(N(C1610)=0,N(F1610)=0),"",C1610*F1610)</f>
        <v/>
      </c>
      <c r="I1610" s="4"/>
      <c r="J1610" s="11" t="str">
        <f aca="false">IF(K1610="","",IF(N(C1610)&lt;=0,"Informe a quantidade",IF(IFERROR(INDEX(INVENTÁRIO!$B$2:$B$801,MATCH(K1610,INVENTÁRIO!$A$2:$A$801,0)),"")="(sem nome)","Carta fora dos decks: digite o nome na coluna I (opcional)","")))</f>
        <v/>
      </c>
      <c r="K1610" s="11" t="str">
        <f aca="false">UPPER(TRIM(SUBSTITUTE(B1610&amp;"",CHAR(160)," ")))</f>
        <v/>
      </c>
      <c r="L1610" s="11" t="str">
        <f aca="false">IF(AND(K1610&lt;&gt;"",TRIM(I1610&amp;"")&lt;&gt;""),K1610,"")</f>
        <v/>
      </c>
    </row>
    <row r="1611" customFormat="false" ht="15" hidden="false" customHeight="false" outlineLevel="0" collapsed="false">
      <c r="A1611" s="9"/>
      <c r="B1611" s="4"/>
      <c r="C1611" s="10"/>
      <c r="D1611" s="11" t="str">
        <f aca="false">IF(K1611="","",IFERROR(INDEX(DECKS!$C$2:$C$1201,MATCH(K1611,DECKS!$B$2:$B$1201,0)),TRIM(I1611&amp;"")))</f>
        <v/>
      </c>
      <c r="E1611" s="4"/>
      <c r="F1611" s="12"/>
      <c r="G1611" s="4"/>
      <c r="H1611" s="13" t="str">
        <f aca="false">IF(OR(N(C1611)=0,N(F1611)=0),"",C1611*F1611)</f>
        <v/>
      </c>
      <c r="I1611" s="4"/>
      <c r="J1611" s="11" t="str">
        <f aca="false">IF(K1611="","",IF(N(C1611)&lt;=0,"Informe a quantidade",IF(IFERROR(INDEX(INVENTÁRIO!$B$2:$B$801,MATCH(K1611,INVENTÁRIO!$A$2:$A$801,0)),"")="(sem nome)","Carta fora dos decks: digite o nome na coluna I (opcional)","")))</f>
        <v/>
      </c>
      <c r="K1611" s="11" t="str">
        <f aca="false">UPPER(TRIM(SUBSTITUTE(B1611&amp;"",CHAR(160)," ")))</f>
        <v/>
      </c>
      <c r="L1611" s="11" t="str">
        <f aca="false">IF(AND(K1611&lt;&gt;"",TRIM(I1611&amp;"")&lt;&gt;""),K1611,"")</f>
        <v/>
      </c>
    </row>
    <row r="1612" customFormat="false" ht="15" hidden="false" customHeight="false" outlineLevel="0" collapsed="false">
      <c r="A1612" s="9"/>
      <c r="B1612" s="4"/>
      <c r="C1612" s="10"/>
      <c r="D1612" s="11" t="str">
        <f aca="false">IF(K1612="","",IFERROR(INDEX(DECKS!$C$2:$C$1201,MATCH(K1612,DECKS!$B$2:$B$1201,0)),TRIM(I1612&amp;"")))</f>
        <v/>
      </c>
      <c r="E1612" s="4"/>
      <c r="F1612" s="12"/>
      <c r="G1612" s="4"/>
      <c r="H1612" s="13" t="str">
        <f aca="false">IF(OR(N(C1612)=0,N(F1612)=0),"",C1612*F1612)</f>
        <v/>
      </c>
      <c r="I1612" s="4"/>
      <c r="J1612" s="11" t="str">
        <f aca="false">IF(K1612="","",IF(N(C1612)&lt;=0,"Informe a quantidade",IF(IFERROR(INDEX(INVENTÁRIO!$B$2:$B$801,MATCH(K1612,INVENTÁRIO!$A$2:$A$801,0)),"")="(sem nome)","Carta fora dos decks: digite o nome na coluna I (opcional)","")))</f>
        <v/>
      </c>
      <c r="K1612" s="11" t="str">
        <f aca="false">UPPER(TRIM(SUBSTITUTE(B1612&amp;"",CHAR(160)," ")))</f>
        <v/>
      </c>
      <c r="L1612" s="11" t="str">
        <f aca="false">IF(AND(K1612&lt;&gt;"",TRIM(I1612&amp;"")&lt;&gt;""),K1612,"")</f>
        <v/>
      </c>
    </row>
    <row r="1613" customFormat="false" ht="15" hidden="false" customHeight="false" outlineLevel="0" collapsed="false">
      <c r="A1613" s="9"/>
      <c r="B1613" s="4"/>
      <c r="C1613" s="10"/>
      <c r="D1613" s="11" t="str">
        <f aca="false">IF(K1613="","",IFERROR(INDEX(DECKS!$C$2:$C$1201,MATCH(K1613,DECKS!$B$2:$B$1201,0)),TRIM(I1613&amp;"")))</f>
        <v/>
      </c>
      <c r="E1613" s="4"/>
      <c r="F1613" s="12"/>
      <c r="G1613" s="4"/>
      <c r="H1613" s="13" t="str">
        <f aca="false">IF(OR(N(C1613)=0,N(F1613)=0),"",C1613*F1613)</f>
        <v/>
      </c>
      <c r="I1613" s="4"/>
      <c r="J1613" s="11" t="str">
        <f aca="false">IF(K1613="","",IF(N(C1613)&lt;=0,"Informe a quantidade",IF(IFERROR(INDEX(INVENTÁRIO!$B$2:$B$801,MATCH(K1613,INVENTÁRIO!$A$2:$A$801,0)),"")="(sem nome)","Carta fora dos decks: digite o nome na coluna I (opcional)","")))</f>
        <v/>
      </c>
      <c r="K1613" s="11" t="str">
        <f aca="false">UPPER(TRIM(SUBSTITUTE(B1613&amp;"",CHAR(160)," ")))</f>
        <v/>
      </c>
      <c r="L1613" s="11" t="str">
        <f aca="false">IF(AND(K1613&lt;&gt;"",TRIM(I1613&amp;"")&lt;&gt;""),K1613,"")</f>
        <v/>
      </c>
    </row>
    <row r="1614" customFormat="false" ht="15" hidden="false" customHeight="false" outlineLevel="0" collapsed="false">
      <c r="A1614" s="9"/>
      <c r="B1614" s="4"/>
      <c r="C1614" s="10"/>
      <c r="D1614" s="11" t="str">
        <f aca="false">IF(K1614="","",IFERROR(INDEX(DECKS!$C$2:$C$1201,MATCH(K1614,DECKS!$B$2:$B$1201,0)),TRIM(I1614&amp;"")))</f>
        <v/>
      </c>
      <c r="E1614" s="4"/>
      <c r="F1614" s="12"/>
      <c r="G1614" s="4"/>
      <c r="H1614" s="13" t="str">
        <f aca="false">IF(OR(N(C1614)=0,N(F1614)=0),"",C1614*F1614)</f>
        <v/>
      </c>
      <c r="I1614" s="4"/>
      <c r="J1614" s="11" t="str">
        <f aca="false">IF(K1614="","",IF(N(C1614)&lt;=0,"Informe a quantidade",IF(IFERROR(INDEX(INVENTÁRIO!$B$2:$B$801,MATCH(K1614,INVENTÁRIO!$A$2:$A$801,0)),"")="(sem nome)","Carta fora dos decks: digite o nome na coluna I (opcional)","")))</f>
        <v/>
      </c>
      <c r="K1614" s="11" t="str">
        <f aca="false">UPPER(TRIM(SUBSTITUTE(B1614&amp;"",CHAR(160)," ")))</f>
        <v/>
      </c>
      <c r="L1614" s="11" t="str">
        <f aca="false">IF(AND(K1614&lt;&gt;"",TRIM(I1614&amp;"")&lt;&gt;""),K1614,"")</f>
        <v/>
      </c>
    </row>
    <row r="1615" customFormat="false" ht="15" hidden="false" customHeight="false" outlineLevel="0" collapsed="false">
      <c r="A1615" s="9"/>
      <c r="B1615" s="4"/>
      <c r="C1615" s="10"/>
      <c r="D1615" s="11" t="str">
        <f aca="false">IF(K1615="","",IFERROR(INDEX(DECKS!$C$2:$C$1201,MATCH(K1615,DECKS!$B$2:$B$1201,0)),TRIM(I1615&amp;"")))</f>
        <v/>
      </c>
      <c r="E1615" s="4"/>
      <c r="F1615" s="12"/>
      <c r="G1615" s="4"/>
      <c r="H1615" s="13" t="str">
        <f aca="false">IF(OR(N(C1615)=0,N(F1615)=0),"",C1615*F1615)</f>
        <v/>
      </c>
      <c r="I1615" s="4"/>
      <c r="J1615" s="11" t="str">
        <f aca="false">IF(K1615="","",IF(N(C1615)&lt;=0,"Informe a quantidade",IF(IFERROR(INDEX(INVENTÁRIO!$B$2:$B$801,MATCH(K1615,INVENTÁRIO!$A$2:$A$801,0)),"")="(sem nome)","Carta fora dos decks: digite o nome na coluna I (opcional)","")))</f>
        <v/>
      </c>
      <c r="K1615" s="11" t="str">
        <f aca="false">UPPER(TRIM(SUBSTITUTE(B1615&amp;"",CHAR(160)," ")))</f>
        <v/>
      </c>
      <c r="L1615" s="11" t="str">
        <f aca="false">IF(AND(K1615&lt;&gt;"",TRIM(I1615&amp;"")&lt;&gt;""),K1615,"")</f>
        <v/>
      </c>
    </row>
    <row r="1616" customFormat="false" ht="15" hidden="false" customHeight="false" outlineLevel="0" collapsed="false">
      <c r="A1616" s="9"/>
      <c r="B1616" s="4"/>
      <c r="C1616" s="10"/>
      <c r="D1616" s="11" t="str">
        <f aca="false">IF(K1616="","",IFERROR(INDEX(DECKS!$C$2:$C$1201,MATCH(K1616,DECKS!$B$2:$B$1201,0)),TRIM(I1616&amp;"")))</f>
        <v/>
      </c>
      <c r="E1616" s="4"/>
      <c r="F1616" s="12"/>
      <c r="G1616" s="4"/>
      <c r="H1616" s="13" t="str">
        <f aca="false">IF(OR(N(C1616)=0,N(F1616)=0),"",C1616*F1616)</f>
        <v/>
      </c>
      <c r="I1616" s="4"/>
      <c r="J1616" s="11" t="str">
        <f aca="false">IF(K1616="","",IF(N(C1616)&lt;=0,"Informe a quantidade",IF(IFERROR(INDEX(INVENTÁRIO!$B$2:$B$801,MATCH(K1616,INVENTÁRIO!$A$2:$A$801,0)),"")="(sem nome)","Carta fora dos decks: digite o nome na coluna I (opcional)","")))</f>
        <v/>
      </c>
      <c r="K1616" s="11" t="str">
        <f aca="false">UPPER(TRIM(SUBSTITUTE(B1616&amp;"",CHAR(160)," ")))</f>
        <v/>
      </c>
      <c r="L1616" s="11" t="str">
        <f aca="false">IF(AND(K1616&lt;&gt;"",TRIM(I1616&amp;"")&lt;&gt;""),K1616,"")</f>
        <v/>
      </c>
    </row>
    <row r="1617" customFormat="false" ht="15" hidden="false" customHeight="false" outlineLevel="0" collapsed="false">
      <c r="A1617" s="9"/>
      <c r="B1617" s="4"/>
      <c r="C1617" s="10"/>
      <c r="D1617" s="11" t="str">
        <f aca="false">IF(K1617="","",IFERROR(INDEX(DECKS!$C$2:$C$1201,MATCH(K1617,DECKS!$B$2:$B$1201,0)),TRIM(I1617&amp;"")))</f>
        <v/>
      </c>
      <c r="E1617" s="4"/>
      <c r="F1617" s="12"/>
      <c r="G1617" s="4"/>
      <c r="H1617" s="13" t="str">
        <f aca="false">IF(OR(N(C1617)=0,N(F1617)=0),"",C1617*F1617)</f>
        <v/>
      </c>
      <c r="I1617" s="4"/>
      <c r="J1617" s="11" t="str">
        <f aca="false">IF(K1617="","",IF(N(C1617)&lt;=0,"Informe a quantidade",IF(IFERROR(INDEX(INVENTÁRIO!$B$2:$B$801,MATCH(K1617,INVENTÁRIO!$A$2:$A$801,0)),"")="(sem nome)","Carta fora dos decks: digite o nome na coluna I (opcional)","")))</f>
        <v/>
      </c>
      <c r="K1617" s="11" t="str">
        <f aca="false">UPPER(TRIM(SUBSTITUTE(B1617&amp;"",CHAR(160)," ")))</f>
        <v/>
      </c>
      <c r="L1617" s="11" t="str">
        <f aca="false">IF(AND(K1617&lt;&gt;"",TRIM(I1617&amp;"")&lt;&gt;""),K1617,"")</f>
        <v/>
      </c>
    </row>
    <row r="1618" customFormat="false" ht="15" hidden="false" customHeight="false" outlineLevel="0" collapsed="false">
      <c r="A1618" s="9"/>
      <c r="B1618" s="4"/>
      <c r="C1618" s="10"/>
      <c r="D1618" s="11" t="str">
        <f aca="false">IF(K1618="","",IFERROR(INDEX(DECKS!$C$2:$C$1201,MATCH(K1618,DECKS!$B$2:$B$1201,0)),TRIM(I1618&amp;"")))</f>
        <v/>
      </c>
      <c r="E1618" s="4"/>
      <c r="F1618" s="12"/>
      <c r="G1618" s="4"/>
      <c r="H1618" s="13" t="str">
        <f aca="false">IF(OR(N(C1618)=0,N(F1618)=0),"",C1618*F1618)</f>
        <v/>
      </c>
      <c r="I1618" s="4"/>
      <c r="J1618" s="11" t="str">
        <f aca="false">IF(K1618="","",IF(N(C1618)&lt;=0,"Informe a quantidade",IF(IFERROR(INDEX(INVENTÁRIO!$B$2:$B$801,MATCH(K1618,INVENTÁRIO!$A$2:$A$801,0)),"")="(sem nome)","Carta fora dos decks: digite o nome na coluna I (opcional)","")))</f>
        <v/>
      </c>
      <c r="K1618" s="11" t="str">
        <f aca="false">UPPER(TRIM(SUBSTITUTE(B1618&amp;"",CHAR(160)," ")))</f>
        <v/>
      </c>
      <c r="L1618" s="11" t="str">
        <f aca="false">IF(AND(K1618&lt;&gt;"",TRIM(I1618&amp;"")&lt;&gt;""),K1618,"")</f>
        <v/>
      </c>
    </row>
    <row r="1619" customFormat="false" ht="15" hidden="false" customHeight="false" outlineLevel="0" collapsed="false">
      <c r="A1619" s="9"/>
      <c r="B1619" s="4"/>
      <c r="C1619" s="10"/>
      <c r="D1619" s="11" t="str">
        <f aca="false">IF(K1619="","",IFERROR(INDEX(DECKS!$C$2:$C$1201,MATCH(K1619,DECKS!$B$2:$B$1201,0)),TRIM(I1619&amp;"")))</f>
        <v/>
      </c>
      <c r="E1619" s="4"/>
      <c r="F1619" s="12"/>
      <c r="G1619" s="4"/>
      <c r="H1619" s="13" t="str">
        <f aca="false">IF(OR(N(C1619)=0,N(F1619)=0),"",C1619*F1619)</f>
        <v/>
      </c>
      <c r="I1619" s="4"/>
      <c r="J1619" s="11" t="str">
        <f aca="false">IF(K1619="","",IF(N(C1619)&lt;=0,"Informe a quantidade",IF(IFERROR(INDEX(INVENTÁRIO!$B$2:$B$801,MATCH(K1619,INVENTÁRIO!$A$2:$A$801,0)),"")="(sem nome)","Carta fora dos decks: digite o nome na coluna I (opcional)","")))</f>
        <v/>
      </c>
      <c r="K1619" s="11" t="str">
        <f aca="false">UPPER(TRIM(SUBSTITUTE(B1619&amp;"",CHAR(160)," ")))</f>
        <v/>
      </c>
      <c r="L1619" s="11" t="str">
        <f aca="false">IF(AND(K1619&lt;&gt;"",TRIM(I1619&amp;"")&lt;&gt;""),K1619,"")</f>
        <v/>
      </c>
    </row>
    <row r="1620" customFormat="false" ht="15" hidden="false" customHeight="false" outlineLevel="0" collapsed="false">
      <c r="A1620" s="9"/>
      <c r="B1620" s="4"/>
      <c r="C1620" s="10"/>
      <c r="D1620" s="11" t="str">
        <f aca="false">IF(K1620="","",IFERROR(INDEX(DECKS!$C$2:$C$1201,MATCH(K1620,DECKS!$B$2:$B$1201,0)),TRIM(I1620&amp;"")))</f>
        <v/>
      </c>
      <c r="E1620" s="4"/>
      <c r="F1620" s="12"/>
      <c r="G1620" s="4"/>
      <c r="H1620" s="13" t="str">
        <f aca="false">IF(OR(N(C1620)=0,N(F1620)=0),"",C1620*F1620)</f>
        <v/>
      </c>
      <c r="I1620" s="4"/>
      <c r="J1620" s="11" t="str">
        <f aca="false">IF(K1620="","",IF(N(C1620)&lt;=0,"Informe a quantidade",IF(IFERROR(INDEX(INVENTÁRIO!$B$2:$B$801,MATCH(K1620,INVENTÁRIO!$A$2:$A$801,0)),"")="(sem nome)","Carta fora dos decks: digite o nome na coluna I (opcional)","")))</f>
        <v/>
      </c>
      <c r="K1620" s="11" t="str">
        <f aca="false">UPPER(TRIM(SUBSTITUTE(B1620&amp;"",CHAR(160)," ")))</f>
        <v/>
      </c>
      <c r="L1620" s="11" t="str">
        <f aca="false">IF(AND(K1620&lt;&gt;"",TRIM(I1620&amp;"")&lt;&gt;""),K1620,"")</f>
        <v/>
      </c>
    </row>
    <row r="1621" customFormat="false" ht="15" hidden="false" customHeight="false" outlineLevel="0" collapsed="false">
      <c r="A1621" s="9"/>
      <c r="B1621" s="4"/>
      <c r="C1621" s="10"/>
      <c r="D1621" s="11" t="str">
        <f aca="false">IF(K1621="","",IFERROR(INDEX(DECKS!$C$2:$C$1201,MATCH(K1621,DECKS!$B$2:$B$1201,0)),TRIM(I1621&amp;"")))</f>
        <v/>
      </c>
      <c r="E1621" s="4"/>
      <c r="F1621" s="12"/>
      <c r="G1621" s="4"/>
      <c r="H1621" s="13" t="str">
        <f aca="false">IF(OR(N(C1621)=0,N(F1621)=0),"",C1621*F1621)</f>
        <v/>
      </c>
      <c r="I1621" s="4"/>
      <c r="J1621" s="11" t="str">
        <f aca="false">IF(K1621="","",IF(N(C1621)&lt;=0,"Informe a quantidade",IF(IFERROR(INDEX(INVENTÁRIO!$B$2:$B$801,MATCH(K1621,INVENTÁRIO!$A$2:$A$801,0)),"")="(sem nome)","Carta fora dos decks: digite o nome na coluna I (opcional)","")))</f>
        <v/>
      </c>
      <c r="K1621" s="11" t="str">
        <f aca="false">UPPER(TRIM(SUBSTITUTE(B1621&amp;"",CHAR(160)," ")))</f>
        <v/>
      </c>
      <c r="L1621" s="11" t="str">
        <f aca="false">IF(AND(K1621&lt;&gt;"",TRIM(I1621&amp;"")&lt;&gt;""),K1621,"")</f>
        <v/>
      </c>
    </row>
    <row r="1622" customFormat="false" ht="15" hidden="false" customHeight="false" outlineLevel="0" collapsed="false">
      <c r="A1622" s="9"/>
      <c r="B1622" s="4"/>
      <c r="C1622" s="10"/>
      <c r="D1622" s="11" t="str">
        <f aca="false">IF(K1622="","",IFERROR(INDEX(DECKS!$C$2:$C$1201,MATCH(K1622,DECKS!$B$2:$B$1201,0)),TRIM(I1622&amp;"")))</f>
        <v/>
      </c>
      <c r="E1622" s="4"/>
      <c r="F1622" s="12"/>
      <c r="G1622" s="4"/>
      <c r="H1622" s="13" t="str">
        <f aca="false">IF(OR(N(C1622)=0,N(F1622)=0),"",C1622*F1622)</f>
        <v/>
      </c>
      <c r="I1622" s="4"/>
      <c r="J1622" s="11" t="str">
        <f aca="false">IF(K1622="","",IF(N(C1622)&lt;=0,"Informe a quantidade",IF(IFERROR(INDEX(INVENTÁRIO!$B$2:$B$801,MATCH(K1622,INVENTÁRIO!$A$2:$A$801,0)),"")="(sem nome)","Carta fora dos decks: digite o nome na coluna I (opcional)","")))</f>
        <v/>
      </c>
      <c r="K1622" s="11" t="str">
        <f aca="false">UPPER(TRIM(SUBSTITUTE(B1622&amp;"",CHAR(160)," ")))</f>
        <v/>
      </c>
      <c r="L1622" s="11" t="str">
        <f aca="false">IF(AND(K1622&lt;&gt;"",TRIM(I1622&amp;"")&lt;&gt;""),K1622,"")</f>
        <v/>
      </c>
    </row>
    <row r="1623" customFormat="false" ht="15" hidden="false" customHeight="false" outlineLevel="0" collapsed="false">
      <c r="A1623" s="9"/>
      <c r="B1623" s="4"/>
      <c r="C1623" s="10"/>
      <c r="D1623" s="11" t="str">
        <f aca="false">IF(K1623="","",IFERROR(INDEX(DECKS!$C$2:$C$1201,MATCH(K1623,DECKS!$B$2:$B$1201,0)),TRIM(I1623&amp;"")))</f>
        <v/>
      </c>
      <c r="E1623" s="4"/>
      <c r="F1623" s="12"/>
      <c r="G1623" s="4"/>
      <c r="H1623" s="13" t="str">
        <f aca="false">IF(OR(N(C1623)=0,N(F1623)=0),"",C1623*F1623)</f>
        <v/>
      </c>
      <c r="I1623" s="4"/>
      <c r="J1623" s="11" t="str">
        <f aca="false">IF(K1623="","",IF(N(C1623)&lt;=0,"Informe a quantidade",IF(IFERROR(INDEX(INVENTÁRIO!$B$2:$B$801,MATCH(K1623,INVENTÁRIO!$A$2:$A$801,0)),"")="(sem nome)","Carta fora dos decks: digite o nome na coluna I (opcional)","")))</f>
        <v/>
      </c>
      <c r="K1623" s="11" t="str">
        <f aca="false">UPPER(TRIM(SUBSTITUTE(B1623&amp;"",CHAR(160)," ")))</f>
        <v/>
      </c>
      <c r="L1623" s="11" t="str">
        <f aca="false">IF(AND(K1623&lt;&gt;"",TRIM(I1623&amp;"")&lt;&gt;""),K1623,"")</f>
        <v/>
      </c>
    </row>
    <row r="1624" customFormat="false" ht="15" hidden="false" customHeight="false" outlineLevel="0" collapsed="false">
      <c r="A1624" s="9"/>
      <c r="B1624" s="4"/>
      <c r="C1624" s="10"/>
      <c r="D1624" s="11" t="str">
        <f aca="false">IF(K1624="","",IFERROR(INDEX(DECKS!$C$2:$C$1201,MATCH(K1624,DECKS!$B$2:$B$1201,0)),TRIM(I1624&amp;"")))</f>
        <v/>
      </c>
      <c r="E1624" s="4"/>
      <c r="F1624" s="12"/>
      <c r="G1624" s="4"/>
      <c r="H1624" s="13" t="str">
        <f aca="false">IF(OR(N(C1624)=0,N(F1624)=0),"",C1624*F1624)</f>
        <v/>
      </c>
      <c r="I1624" s="4"/>
      <c r="J1624" s="11" t="str">
        <f aca="false">IF(K1624="","",IF(N(C1624)&lt;=0,"Informe a quantidade",IF(IFERROR(INDEX(INVENTÁRIO!$B$2:$B$801,MATCH(K1624,INVENTÁRIO!$A$2:$A$801,0)),"")="(sem nome)","Carta fora dos decks: digite o nome na coluna I (opcional)","")))</f>
        <v/>
      </c>
      <c r="K1624" s="11" t="str">
        <f aca="false">UPPER(TRIM(SUBSTITUTE(B1624&amp;"",CHAR(160)," ")))</f>
        <v/>
      </c>
      <c r="L1624" s="11" t="str">
        <f aca="false">IF(AND(K1624&lt;&gt;"",TRIM(I1624&amp;"")&lt;&gt;""),K1624,"")</f>
        <v/>
      </c>
    </row>
    <row r="1625" customFormat="false" ht="15" hidden="false" customHeight="false" outlineLevel="0" collapsed="false">
      <c r="A1625" s="9"/>
      <c r="B1625" s="4"/>
      <c r="C1625" s="10"/>
      <c r="D1625" s="11" t="str">
        <f aca="false">IF(K1625="","",IFERROR(INDEX(DECKS!$C$2:$C$1201,MATCH(K1625,DECKS!$B$2:$B$1201,0)),TRIM(I1625&amp;"")))</f>
        <v/>
      </c>
      <c r="E1625" s="4"/>
      <c r="F1625" s="12"/>
      <c r="G1625" s="4"/>
      <c r="H1625" s="13" t="str">
        <f aca="false">IF(OR(N(C1625)=0,N(F1625)=0),"",C1625*F1625)</f>
        <v/>
      </c>
      <c r="I1625" s="4"/>
      <c r="J1625" s="11" t="str">
        <f aca="false">IF(K1625="","",IF(N(C1625)&lt;=0,"Informe a quantidade",IF(IFERROR(INDEX(INVENTÁRIO!$B$2:$B$801,MATCH(K1625,INVENTÁRIO!$A$2:$A$801,0)),"")="(sem nome)","Carta fora dos decks: digite o nome na coluna I (opcional)","")))</f>
        <v/>
      </c>
      <c r="K1625" s="11" t="str">
        <f aca="false">UPPER(TRIM(SUBSTITUTE(B1625&amp;"",CHAR(160)," ")))</f>
        <v/>
      </c>
      <c r="L1625" s="11" t="str">
        <f aca="false">IF(AND(K1625&lt;&gt;"",TRIM(I1625&amp;"")&lt;&gt;""),K1625,"")</f>
        <v/>
      </c>
    </row>
    <row r="1626" customFormat="false" ht="15" hidden="false" customHeight="false" outlineLevel="0" collapsed="false">
      <c r="A1626" s="9"/>
      <c r="B1626" s="4"/>
      <c r="C1626" s="10"/>
      <c r="D1626" s="11" t="str">
        <f aca="false">IF(K1626="","",IFERROR(INDEX(DECKS!$C$2:$C$1201,MATCH(K1626,DECKS!$B$2:$B$1201,0)),TRIM(I1626&amp;"")))</f>
        <v/>
      </c>
      <c r="E1626" s="4"/>
      <c r="F1626" s="12"/>
      <c r="G1626" s="4"/>
      <c r="H1626" s="13" t="str">
        <f aca="false">IF(OR(N(C1626)=0,N(F1626)=0),"",C1626*F1626)</f>
        <v/>
      </c>
      <c r="I1626" s="4"/>
      <c r="J1626" s="11" t="str">
        <f aca="false">IF(K1626="","",IF(N(C1626)&lt;=0,"Informe a quantidade",IF(IFERROR(INDEX(INVENTÁRIO!$B$2:$B$801,MATCH(K1626,INVENTÁRIO!$A$2:$A$801,0)),"")="(sem nome)","Carta fora dos decks: digite o nome na coluna I (opcional)","")))</f>
        <v/>
      </c>
      <c r="K1626" s="11" t="str">
        <f aca="false">UPPER(TRIM(SUBSTITUTE(B1626&amp;"",CHAR(160)," ")))</f>
        <v/>
      </c>
      <c r="L1626" s="11" t="str">
        <f aca="false">IF(AND(K1626&lt;&gt;"",TRIM(I1626&amp;"")&lt;&gt;""),K1626,"")</f>
        <v/>
      </c>
    </row>
    <row r="1627" customFormat="false" ht="15" hidden="false" customHeight="false" outlineLevel="0" collapsed="false">
      <c r="A1627" s="9"/>
      <c r="B1627" s="4"/>
      <c r="C1627" s="10"/>
      <c r="D1627" s="11" t="str">
        <f aca="false">IF(K1627="","",IFERROR(INDEX(DECKS!$C$2:$C$1201,MATCH(K1627,DECKS!$B$2:$B$1201,0)),TRIM(I1627&amp;"")))</f>
        <v/>
      </c>
      <c r="E1627" s="4"/>
      <c r="F1627" s="12"/>
      <c r="G1627" s="4"/>
      <c r="H1627" s="13" t="str">
        <f aca="false">IF(OR(N(C1627)=0,N(F1627)=0),"",C1627*F1627)</f>
        <v/>
      </c>
      <c r="I1627" s="4"/>
      <c r="J1627" s="11" t="str">
        <f aca="false">IF(K1627="","",IF(N(C1627)&lt;=0,"Informe a quantidade",IF(IFERROR(INDEX(INVENTÁRIO!$B$2:$B$801,MATCH(K1627,INVENTÁRIO!$A$2:$A$801,0)),"")="(sem nome)","Carta fora dos decks: digite o nome na coluna I (opcional)","")))</f>
        <v/>
      </c>
      <c r="K1627" s="11" t="str">
        <f aca="false">UPPER(TRIM(SUBSTITUTE(B1627&amp;"",CHAR(160)," ")))</f>
        <v/>
      </c>
      <c r="L1627" s="11" t="str">
        <f aca="false">IF(AND(K1627&lt;&gt;"",TRIM(I1627&amp;"")&lt;&gt;""),K1627,"")</f>
        <v/>
      </c>
    </row>
    <row r="1628" customFormat="false" ht="15" hidden="false" customHeight="false" outlineLevel="0" collapsed="false">
      <c r="A1628" s="9"/>
      <c r="B1628" s="4"/>
      <c r="C1628" s="10"/>
      <c r="D1628" s="11" t="str">
        <f aca="false">IF(K1628="","",IFERROR(INDEX(DECKS!$C$2:$C$1201,MATCH(K1628,DECKS!$B$2:$B$1201,0)),TRIM(I1628&amp;"")))</f>
        <v/>
      </c>
      <c r="E1628" s="4"/>
      <c r="F1628" s="12"/>
      <c r="G1628" s="4"/>
      <c r="H1628" s="13" t="str">
        <f aca="false">IF(OR(N(C1628)=0,N(F1628)=0),"",C1628*F1628)</f>
        <v/>
      </c>
      <c r="I1628" s="4"/>
      <c r="J1628" s="11" t="str">
        <f aca="false">IF(K1628="","",IF(N(C1628)&lt;=0,"Informe a quantidade",IF(IFERROR(INDEX(INVENTÁRIO!$B$2:$B$801,MATCH(K1628,INVENTÁRIO!$A$2:$A$801,0)),"")="(sem nome)","Carta fora dos decks: digite o nome na coluna I (opcional)","")))</f>
        <v/>
      </c>
      <c r="K1628" s="11" t="str">
        <f aca="false">UPPER(TRIM(SUBSTITUTE(B1628&amp;"",CHAR(160)," ")))</f>
        <v/>
      </c>
      <c r="L1628" s="11" t="str">
        <f aca="false">IF(AND(K1628&lt;&gt;"",TRIM(I1628&amp;"")&lt;&gt;""),K1628,"")</f>
        <v/>
      </c>
    </row>
    <row r="1629" customFormat="false" ht="15" hidden="false" customHeight="false" outlineLevel="0" collapsed="false">
      <c r="A1629" s="9"/>
      <c r="B1629" s="4"/>
      <c r="C1629" s="10"/>
      <c r="D1629" s="11" t="str">
        <f aca="false">IF(K1629="","",IFERROR(INDEX(DECKS!$C$2:$C$1201,MATCH(K1629,DECKS!$B$2:$B$1201,0)),TRIM(I1629&amp;"")))</f>
        <v/>
      </c>
      <c r="E1629" s="4"/>
      <c r="F1629" s="12"/>
      <c r="G1629" s="4"/>
      <c r="H1629" s="13" t="str">
        <f aca="false">IF(OR(N(C1629)=0,N(F1629)=0),"",C1629*F1629)</f>
        <v/>
      </c>
      <c r="I1629" s="4"/>
      <c r="J1629" s="11" t="str">
        <f aca="false">IF(K1629="","",IF(N(C1629)&lt;=0,"Informe a quantidade",IF(IFERROR(INDEX(INVENTÁRIO!$B$2:$B$801,MATCH(K1629,INVENTÁRIO!$A$2:$A$801,0)),"")="(sem nome)","Carta fora dos decks: digite o nome na coluna I (opcional)","")))</f>
        <v/>
      </c>
      <c r="K1629" s="11" t="str">
        <f aca="false">UPPER(TRIM(SUBSTITUTE(B1629&amp;"",CHAR(160)," ")))</f>
        <v/>
      </c>
      <c r="L1629" s="11" t="str">
        <f aca="false">IF(AND(K1629&lt;&gt;"",TRIM(I1629&amp;"")&lt;&gt;""),K1629,"")</f>
        <v/>
      </c>
    </row>
    <row r="1630" customFormat="false" ht="15" hidden="false" customHeight="false" outlineLevel="0" collapsed="false">
      <c r="A1630" s="9"/>
      <c r="B1630" s="4"/>
      <c r="C1630" s="10"/>
      <c r="D1630" s="11" t="str">
        <f aca="false">IF(K1630="","",IFERROR(INDEX(DECKS!$C$2:$C$1201,MATCH(K1630,DECKS!$B$2:$B$1201,0)),TRIM(I1630&amp;"")))</f>
        <v/>
      </c>
      <c r="E1630" s="4"/>
      <c r="F1630" s="12"/>
      <c r="G1630" s="4"/>
      <c r="H1630" s="13" t="str">
        <f aca="false">IF(OR(N(C1630)=0,N(F1630)=0),"",C1630*F1630)</f>
        <v/>
      </c>
      <c r="I1630" s="4"/>
      <c r="J1630" s="11" t="str">
        <f aca="false">IF(K1630="","",IF(N(C1630)&lt;=0,"Informe a quantidade",IF(IFERROR(INDEX(INVENTÁRIO!$B$2:$B$801,MATCH(K1630,INVENTÁRIO!$A$2:$A$801,0)),"")="(sem nome)","Carta fora dos decks: digite o nome na coluna I (opcional)","")))</f>
        <v/>
      </c>
      <c r="K1630" s="11" t="str">
        <f aca="false">UPPER(TRIM(SUBSTITUTE(B1630&amp;"",CHAR(160)," ")))</f>
        <v/>
      </c>
      <c r="L1630" s="11" t="str">
        <f aca="false">IF(AND(K1630&lt;&gt;"",TRIM(I1630&amp;"")&lt;&gt;""),K1630,"")</f>
        <v/>
      </c>
    </row>
    <row r="1631" customFormat="false" ht="15" hidden="false" customHeight="false" outlineLevel="0" collapsed="false">
      <c r="A1631" s="9"/>
      <c r="B1631" s="4"/>
      <c r="C1631" s="10"/>
      <c r="D1631" s="11" t="str">
        <f aca="false">IF(K1631="","",IFERROR(INDEX(DECKS!$C$2:$C$1201,MATCH(K1631,DECKS!$B$2:$B$1201,0)),TRIM(I1631&amp;"")))</f>
        <v/>
      </c>
      <c r="E1631" s="4"/>
      <c r="F1631" s="12"/>
      <c r="G1631" s="4"/>
      <c r="H1631" s="13" t="str">
        <f aca="false">IF(OR(N(C1631)=0,N(F1631)=0),"",C1631*F1631)</f>
        <v/>
      </c>
      <c r="I1631" s="4"/>
      <c r="J1631" s="11" t="str">
        <f aca="false">IF(K1631="","",IF(N(C1631)&lt;=0,"Informe a quantidade",IF(IFERROR(INDEX(INVENTÁRIO!$B$2:$B$801,MATCH(K1631,INVENTÁRIO!$A$2:$A$801,0)),"")="(sem nome)","Carta fora dos decks: digite o nome na coluna I (opcional)","")))</f>
        <v/>
      </c>
      <c r="K1631" s="11" t="str">
        <f aca="false">UPPER(TRIM(SUBSTITUTE(B1631&amp;"",CHAR(160)," ")))</f>
        <v/>
      </c>
      <c r="L1631" s="11" t="str">
        <f aca="false">IF(AND(K1631&lt;&gt;"",TRIM(I1631&amp;"")&lt;&gt;""),K1631,"")</f>
        <v/>
      </c>
    </row>
    <row r="1632" customFormat="false" ht="15" hidden="false" customHeight="false" outlineLevel="0" collapsed="false">
      <c r="A1632" s="9"/>
      <c r="B1632" s="4"/>
      <c r="C1632" s="10"/>
      <c r="D1632" s="11" t="str">
        <f aca="false">IF(K1632="","",IFERROR(INDEX(DECKS!$C$2:$C$1201,MATCH(K1632,DECKS!$B$2:$B$1201,0)),TRIM(I1632&amp;"")))</f>
        <v/>
      </c>
      <c r="E1632" s="4"/>
      <c r="F1632" s="12"/>
      <c r="G1632" s="4"/>
      <c r="H1632" s="13" t="str">
        <f aca="false">IF(OR(N(C1632)=0,N(F1632)=0),"",C1632*F1632)</f>
        <v/>
      </c>
      <c r="I1632" s="4"/>
      <c r="J1632" s="11" t="str">
        <f aca="false">IF(K1632="","",IF(N(C1632)&lt;=0,"Informe a quantidade",IF(IFERROR(INDEX(INVENTÁRIO!$B$2:$B$801,MATCH(K1632,INVENTÁRIO!$A$2:$A$801,0)),"")="(sem nome)","Carta fora dos decks: digite o nome na coluna I (opcional)","")))</f>
        <v/>
      </c>
      <c r="K1632" s="11" t="str">
        <f aca="false">UPPER(TRIM(SUBSTITUTE(B1632&amp;"",CHAR(160)," ")))</f>
        <v/>
      </c>
      <c r="L1632" s="11" t="str">
        <f aca="false">IF(AND(K1632&lt;&gt;"",TRIM(I1632&amp;"")&lt;&gt;""),K1632,"")</f>
        <v/>
      </c>
    </row>
    <row r="1633" customFormat="false" ht="15" hidden="false" customHeight="false" outlineLevel="0" collapsed="false">
      <c r="A1633" s="9"/>
      <c r="B1633" s="4"/>
      <c r="C1633" s="10"/>
      <c r="D1633" s="11" t="str">
        <f aca="false">IF(K1633="","",IFERROR(INDEX(DECKS!$C$2:$C$1201,MATCH(K1633,DECKS!$B$2:$B$1201,0)),TRIM(I1633&amp;"")))</f>
        <v/>
      </c>
      <c r="E1633" s="4"/>
      <c r="F1633" s="12"/>
      <c r="G1633" s="4"/>
      <c r="H1633" s="13" t="str">
        <f aca="false">IF(OR(N(C1633)=0,N(F1633)=0),"",C1633*F1633)</f>
        <v/>
      </c>
      <c r="I1633" s="4"/>
      <c r="J1633" s="11" t="str">
        <f aca="false">IF(K1633="","",IF(N(C1633)&lt;=0,"Informe a quantidade",IF(IFERROR(INDEX(INVENTÁRIO!$B$2:$B$801,MATCH(K1633,INVENTÁRIO!$A$2:$A$801,0)),"")="(sem nome)","Carta fora dos decks: digite o nome na coluna I (opcional)","")))</f>
        <v/>
      </c>
      <c r="K1633" s="11" t="str">
        <f aca="false">UPPER(TRIM(SUBSTITUTE(B1633&amp;"",CHAR(160)," ")))</f>
        <v/>
      </c>
      <c r="L1633" s="11" t="str">
        <f aca="false">IF(AND(K1633&lt;&gt;"",TRIM(I1633&amp;"")&lt;&gt;""),K1633,"")</f>
        <v/>
      </c>
    </row>
    <row r="1634" customFormat="false" ht="15" hidden="false" customHeight="false" outlineLevel="0" collapsed="false">
      <c r="A1634" s="9"/>
      <c r="B1634" s="4"/>
      <c r="C1634" s="10"/>
      <c r="D1634" s="11" t="str">
        <f aca="false">IF(K1634="","",IFERROR(INDEX(DECKS!$C$2:$C$1201,MATCH(K1634,DECKS!$B$2:$B$1201,0)),TRIM(I1634&amp;"")))</f>
        <v/>
      </c>
      <c r="E1634" s="4"/>
      <c r="F1634" s="12"/>
      <c r="G1634" s="4"/>
      <c r="H1634" s="13" t="str">
        <f aca="false">IF(OR(N(C1634)=0,N(F1634)=0),"",C1634*F1634)</f>
        <v/>
      </c>
      <c r="I1634" s="4"/>
      <c r="J1634" s="11" t="str">
        <f aca="false">IF(K1634="","",IF(N(C1634)&lt;=0,"Informe a quantidade",IF(IFERROR(INDEX(INVENTÁRIO!$B$2:$B$801,MATCH(K1634,INVENTÁRIO!$A$2:$A$801,0)),"")="(sem nome)","Carta fora dos decks: digite o nome na coluna I (opcional)","")))</f>
        <v/>
      </c>
      <c r="K1634" s="11" t="str">
        <f aca="false">UPPER(TRIM(SUBSTITUTE(B1634&amp;"",CHAR(160)," ")))</f>
        <v/>
      </c>
      <c r="L1634" s="11" t="str">
        <f aca="false">IF(AND(K1634&lt;&gt;"",TRIM(I1634&amp;"")&lt;&gt;""),K1634,"")</f>
        <v/>
      </c>
    </row>
    <row r="1635" customFormat="false" ht="15" hidden="false" customHeight="false" outlineLevel="0" collapsed="false">
      <c r="A1635" s="9"/>
      <c r="B1635" s="4"/>
      <c r="C1635" s="10"/>
      <c r="D1635" s="11" t="str">
        <f aca="false">IF(K1635="","",IFERROR(INDEX(DECKS!$C$2:$C$1201,MATCH(K1635,DECKS!$B$2:$B$1201,0)),TRIM(I1635&amp;"")))</f>
        <v/>
      </c>
      <c r="E1635" s="4"/>
      <c r="F1635" s="12"/>
      <c r="G1635" s="4"/>
      <c r="H1635" s="13" t="str">
        <f aca="false">IF(OR(N(C1635)=0,N(F1635)=0),"",C1635*F1635)</f>
        <v/>
      </c>
      <c r="I1635" s="4"/>
      <c r="J1635" s="11" t="str">
        <f aca="false">IF(K1635="","",IF(N(C1635)&lt;=0,"Informe a quantidade",IF(IFERROR(INDEX(INVENTÁRIO!$B$2:$B$801,MATCH(K1635,INVENTÁRIO!$A$2:$A$801,0)),"")="(sem nome)","Carta fora dos decks: digite o nome na coluna I (opcional)","")))</f>
        <v/>
      </c>
      <c r="K1635" s="11" t="str">
        <f aca="false">UPPER(TRIM(SUBSTITUTE(B1635&amp;"",CHAR(160)," ")))</f>
        <v/>
      </c>
      <c r="L1635" s="11" t="str">
        <f aca="false">IF(AND(K1635&lt;&gt;"",TRIM(I1635&amp;"")&lt;&gt;""),K1635,"")</f>
        <v/>
      </c>
    </row>
    <row r="1636" customFormat="false" ht="15" hidden="false" customHeight="false" outlineLevel="0" collapsed="false">
      <c r="A1636" s="9"/>
      <c r="B1636" s="4"/>
      <c r="C1636" s="10"/>
      <c r="D1636" s="11" t="str">
        <f aca="false">IF(K1636="","",IFERROR(INDEX(DECKS!$C$2:$C$1201,MATCH(K1636,DECKS!$B$2:$B$1201,0)),TRIM(I1636&amp;"")))</f>
        <v/>
      </c>
      <c r="E1636" s="4"/>
      <c r="F1636" s="12"/>
      <c r="G1636" s="4"/>
      <c r="H1636" s="13" t="str">
        <f aca="false">IF(OR(N(C1636)=0,N(F1636)=0),"",C1636*F1636)</f>
        <v/>
      </c>
      <c r="I1636" s="4"/>
      <c r="J1636" s="11" t="str">
        <f aca="false">IF(K1636="","",IF(N(C1636)&lt;=0,"Informe a quantidade",IF(IFERROR(INDEX(INVENTÁRIO!$B$2:$B$801,MATCH(K1636,INVENTÁRIO!$A$2:$A$801,0)),"")="(sem nome)","Carta fora dos decks: digite o nome na coluna I (opcional)","")))</f>
        <v/>
      </c>
      <c r="K1636" s="11" t="str">
        <f aca="false">UPPER(TRIM(SUBSTITUTE(B1636&amp;"",CHAR(160)," ")))</f>
        <v/>
      </c>
      <c r="L1636" s="11" t="str">
        <f aca="false">IF(AND(K1636&lt;&gt;"",TRIM(I1636&amp;"")&lt;&gt;""),K1636,"")</f>
        <v/>
      </c>
    </row>
    <row r="1637" customFormat="false" ht="15" hidden="false" customHeight="false" outlineLevel="0" collapsed="false">
      <c r="A1637" s="9"/>
      <c r="B1637" s="4"/>
      <c r="C1637" s="10"/>
      <c r="D1637" s="11" t="str">
        <f aca="false">IF(K1637="","",IFERROR(INDEX(DECKS!$C$2:$C$1201,MATCH(K1637,DECKS!$B$2:$B$1201,0)),TRIM(I1637&amp;"")))</f>
        <v/>
      </c>
      <c r="E1637" s="4"/>
      <c r="F1637" s="12"/>
      <c r="G1637" s="4"/>
      <c r="H1637" s="13" t="str">
        <f aca="false">IF(OR(N(C1637)=0,N(F1637)=0),"",C1637*F1637)</f>
        <v/>
      </c>
      <c r="I1637" s="4"/>
      <c r="J1637" s="11" t="str">
        <f aca="false">IF(K1637="","",IF(N(C1637)&lt;=0,"Informe a quantidade",IF(IFERROR(INDEX(INVENTÁRIO!$B$2:$B$801,MATCH(K1637,INVENTÁRIO!$A$2:$A$801,0)),"")="(sem nome)","Carta fora dos decks: digite o nome na coluna I (opcional)","")))</f>
        <v/>
      </c>
      <c r="K1637" s="11" t="str">
        <f aca="false">UPPER(TRIM(SUBSTITUTE(B1637&amp;"",CHAR(160)," ")))</f>
        <v/>
      </c>
      <c r="L1637" s="11" t="str">
        <f aca="false">IF(AND(K1637&lt;&gt;"",TRIM(I1637&amp;"")&lt;&gt;""),K1637,"")</f>
        <v/>
      </c>
    </row>
    <row r="1638" customFormat="false" ht="15" hidden="false" customHeight="false" outlineLevel="0" collapsed="false">
      <c r="A1638" s="9"/>
      <c r="B1638" s="4"/>
      <c r="C1638" s="10"/>
      <c r="D1638" s="11" t="str">
        <f aca="false">IF(K1638="","",IFERROR(INDEX(DECKS!$C$2:$C$1201,MATCH(K1638,DECKS!$B$2:$B$1201,0)),TRIM(I1638&amp;"")))</f>
        <v/>
      </c>
      <c r="E1638" s="4"/>
      <c r="F1638" s="12"/>
      <c r="G1638" s="4"/>
      <c r="H1638" s="13" t="str">
        <f aca="false">IF(OR(N(C1638)=0,N(F1638)=0),"",C1638*F1638)</f>
        <v/>
      </c>
      <c r="I1638" s="4"/>
      <c r="J1638" s="11" t="str">
        <f aca="false">IF(K1638="","",IF(N(C1638)&lt;=0,"Informe a quantidade",IF(IFERROR(INDEX(INVENTÁRIO!$B$2:$B$801,MATCH(K1638,INVENTÁRIO!$A$2:$A$801,0)),"")="(sem nome)","Carta fora dos decks: digite o nome na coluna I (opcional)","")))</f>
        <v/>
      </c>
      <c r="K1638" s="11" t="str">
        <f aca="false">UPPER(TRIM(SUBSTITUTE(B1638&amp;"",CHAR(160)," ")))</f>
        <v/>
      </c>
      <c r="L1638" s="11" t="str">
        <f aca="false">IF(AND(K1638&lt;&gt;"",TRIM(I1638&amp;"")&lt;&gt;""),K1638,"")</f>
        <v/>
      </c>
    </row>
    <row r="1639" customFormat="false" ht="15" hidden="false" customHeight="false" outlineLevel="0" collapsed="false">
      <c r="A1639" s="9"/>
      <c r="B1639" s="4"/>
      <c r="C1639" s="10"/>
      <c r="D1639" s="11" t="str">
        <f aca="false">IF(K1639="","",IFERROR(INDEX(DECKS!$C$2:$C$1201,MATCH(K1639,DECKS!$B$2:$B$1201,0)),TRIM(I1639&amp;"")))</f>
        <v/>
      </c>
      <c r="E1639" s="4"/>
      <c r="F1639" s="12"/>
      <c r="G1639" s="4"/>
      <c r="H1639" s="13" t="str">
        <f aca="false">IF(OR(N(C1639)=0,N(F1639)=0),"",C1639*F1639)</f>
        <v/>
      </c>
      <c r="I1639" s="4"/>
      <c r="J1639" s="11" t="str">
        <f aca="false">IF(K1639="","",IF(N(C1639)&lt;=0,"Informe a quantidade",IF(IFERROR(INDEX(INVENTÁRIO!$B$2:$B$801,MATCH(K1639,INVENTÁRIO!$A$2:$A$801,0)),"")="(sem nome)","Carta fora dos decks: digite o nome na coluna I (opcional)","")))</f>
        <v/>
      </c>
      <c r="K1639" s="11" t="str">
        <f aca="false">UPPER(TRIM(SUBSTITUTE(B1639&amp;"",CHAR(160)," ")))</f>
        <v/>
      </c>
      <c r="L1639" s="11" t="str">
        <f aca="false">IF(AND(K1639&lt;&gt;"",TRIM(I1639&amp;"")&lt;&gt;""),K1639,"")</f>
        <v/>
      </c>
    </row>
    <row r="1640" customFormat="false" ht="15" hidden="false" customHeight="false" outlineLevel="0" collapsed="false">
      <c r="A1640" s="9"/>
      <c r="B1640" s="4"/>
      <c r="C1640" s="10"/>
      <c r="D1640" s="11" t="str">
        <f aca="false">IF(K1640="","",IFERROR(INDEX(DECKS!$C$2:$C$1201,MATCH(K1640,DECKS!$B$2:$B$1201,0)),TRIM(I1640&amp;"")))</f>
        <v/>
      </c>
      <c r="E1640" s="4"/>
      <c r="F1640" s="12"/>
      <c r="G1640" s="4"/>
      <c r="H1640" s="13" t="str">
        <f aca="false">IF(OR(N(C1640)=0,N(F1640)=0),"",C1640*F1640)</f>
        <v/>
      </c>
      <c r="I1640" s="4"/>
      <c r="J1640" s="11" t="str">
        <f aca="false">IF(K1640="","",IF(N(C1640)&lt;=0,"Informe a quantidade",IF(IFERROR(INDEX(INVENTÁRIO!$B$2:$B$801,MATCH(K1640,INVENTÁRIO!$A$2:$A$801,0)),"")="(sem nome)","Carta fora dos decks: digite o nome na coluna I (opcional)","")))</f>
        <v/>
      </c>
      <c r="K1640" s="11" t="str">
        <f aca="false">UPPER(TRIM(SUBSTITUTE(B1640&amp;"",CHAR(160)," ")))</f>
        <v/>
      </c>
      <c r="L1640" s="11" t="str">
        <f aca="false">IF(AND(K1640&lt;&gt;"",TRIM(I1640&amp;"")&lt;&gt;""),K1640,"")</f>
        <v/>
      </c>
    </row>
    <row r="1641" customFormat="false" ht="15" hidden="false" customHeight="false" outlineLevel="0" collapsed="false">
      <c r="A1641" s="9"/>
      <c r="B1641" s="4"/>
      <c r="C1641" s="10"/>
      <c r="D1641" s="11" t="str">
        <f aca="false">IF(K1641="","",IFERROR(INDEX(DECKS!$C$2:$C$1201,MATCH(K1641,DECKS!$B$2:$B$1201,0)),TRIM(I1641&amp;"")))</f>
        <v/>
      </c>
      <c r="E1641" s="4"/>
      <c r="F1641" s="12"/>
      <c r="G1641" s="4"/>
      <c r="H1641" s="13" t="str">
        <f aca="false">IF(OR(N(C1641)=0,N(F1641)=0),"",C1641*F1641)</f>
        <v/>
      </c>
      <c r="I1641" s="4"/>
      <c r="J1641" s="11" t="str">
        <f aca="false">IF(K1641="","",IF(N(C1641)&lt;=0,"Informe a quantidade",IF(IFERROR(INDEX(INVENTÁRIO!$B$2:$B$801,MATCH(K1641,INVENTÁRIO!$A$2:$A$801,0)),"")="(sem nome)","Carta fora dos decks: digite o nome na coluna I (opcional)","")))</f>
        <v/>
      </c>
      <c r="K1641" s="11" t="str">
        <f aca="false">UPPER(TRIM(SUBSTITUTE(B1641&amp;"",CHAR(160)," ")))</f>
        <v/>
      </c>
      <c r="L1641" s="11" t="str">
        <f aca="false">IF(AND(K1641&lt;&gt;"",TRIM(I1641&amp;"")&lt;&gt;""),K1641,"")</f>
        <v/>
      </c>
    </row>
    <row r="1642" customFormat="false" ht="15" hidden="false" customHeight="false" outlineLevel="0" collapsed="false">
      <c r="A1642" s="9"/>
      <c r="B1642" s="4"/>
      <c r="C1642" s="10"/>
      <c r="D1642" s="11" t="str">
        <f aca="false">IF(K1642="","",IFERROR(INDEX(DECKS!$C$2:$C$1201,MATCH(K1642,DECKS!$B$2:$B$1201,0)),TRIM(I1642&amp;"")))</f>
        <v/>
      </c>
      <c r="E1642" s="4"/>
      <c r="F1642" s="12"/>
      <c r="G1642" s="4"/>
      <c r="H1642" s="13" t="str">
        <f aca="false">IF(OR(N(C1642)=0,N(F1642)=0),"",C1642*F1642)</f>
        <v/>
      </c>
      <c r="I1642" s="4"/>
      <c r="J1642" s="11" t="str">
        <f aca="false">IF(K1642="","",IF(N(C1642)&lt;=0,"Informe a quantidade",IF(IFERROR(INDEX(INVENTÁRIO!$B$2:$B$801,MATCH(K1642,INVENTÁRIO!$A$2:$A$801,0)),"")="(sem nome)","Carta fora dos decks: digite o nome na coluna I (opcional)","")))</f>
        <v/>
      </c>
      <c r="K1642" s="11" t="str">
        <f aca="false">UPPER(TRIM(SUBSTITUTE(B1642&amp;"",CHAR(160)," ")))</f>
        <v/>
      </c>
      <c r="L1642" s="11" t="str">
        <f aca="false">IF(AND(K1642&lt;&gt;"",TRIM(I1642&amp;"")&lt;&gt;""),K1642,"")</f>
        <v/>
      </c>
    </row>
    <row r="1643" customFormat="false" ht="15" hidden="false" customHeight="false" outlineLevel="0" collapsed="false">
      <c r="A1643" s="9"/>
      <c r="B1643" s="4"/>
      <c r="C1643" s="10"/>
      <c r="D1643" s="11" t="str">
        <f aca="false">IF(K1643="","",IFERROR(INDEX(DECKS!$C$2:$C$1201,MATCH(K1643,DECKS!$B$2:$B$1201,0)),TRIM(I1643&amp;"")))</f>
        <v/>
      </c>
      <c r="E1643" s="4"/>
      <c r="F1643" s="12"/>
      <c r="G1643" s="4"/>
      <c r="H1643" s="13" t="str">
        <f aca="false">IF(OR(N(C1643)=0,N(F1643)=0),"",C1643*F1643)</f>
        <v/>
      </c>
      <c r="I1643" s="4"/>
      <c r="J1643" s="11" t="str">
        <f aca="false">IF(K1643="","",IF(N(C1643)&lt;=0,"Informe a quantidade",IF(IFERROR(INDEX(INVENTÁRIO!$B$2:$B$801,MATCH(K1643,INVENTÁRIO!$A$2:$A$801,0)),"")="(sem nome)","Carta fora dos decks: digite o nome na coluna I (opcional)","")))</f>
        <v/>
      </c>
      <c r="K1643" s="11" t="str">
        <f aca="false">UPPER(TRIM(SUBSTITUTE(B1643&amp;"",CHAR(160)," ")))</f>
        <v/>
      </c>
      <c r="L1643" s="11" t="str">
        <f aca="false">IF(AND(K1643&lt;&gt;"",TRIM(I1643&amp;"")&lt;&gt;""),K1643,"")</f>
        <v/>
      </c>
    </row>
    <row r="1644" customFormat="false" ht="15" hidden="false" customHeight="false" outlineLevel="0" collapsed="false">
      <c r="A1644" s="9"/>
      <c r="B1644" s="4"/>
      <c r="C1644" s="10"/>
      <c r="D1644" s="11" t="str">
        <f aca="false">IF(K1644="","",IFERROR(INDEX(DECKS!$C$2:$C$1201,MATCH(K1644,DECKS!$B$2:$B$1201,0)),TRIM(I1644&amp;"")))</f>
        <v/>
      </c>
      <c r="E1644" s="4"/>
      <c r="F1644" s="12"/>
      <c r="G1644" s="4"/>
      <c r="H1644" s="13" t="str">
        <f aca="false">IF(OR(N(C1644)=0,N(F1644)=0),"",C1644*F1644)</f>
        <v/>
      </c>
      <c r="I1644" s="4"/>
      <c r="J1644" s="11" t="str">
        <f aca="false">IF(K1644="","",IF(N(C1644)&lt;=0,"Informe a quantidade",IF(IFERROR(INDEX(INVENTÁRIO!$B$2:$B$801,MATCH(K1644,INVENTÁRIO!$A$2:$A$801,0)),"")="(sem nome)","Carta fora dos decks: digite o nome na coluna I (opcional)","")))</f>
        <v/>
      </c>
      <c r="K1644" s="11" t="str">
        <f aca="false">UPPER(TRIM(SUBSTITUTE(B1644&amp;"",CHAR(160)," ")))</f>
        <v/>
      </c>
      <c r="L1644" s="11" t="str">
        <f aca="false">IF(AND(K1644&lt;&gt;"",TRIM(I1644&amp;"")&lt;&gt;""),K1644,"")</f>
        <v/>
      </c>
    </row>
    <row r="1645" customFormat="false" ht="15" hidden="false" customHeight="false" outlineLevel="0" collapsed="false">
      <c r="A1645" s="9"/>
      <c r="B1645" s="4"/>
      <c r="C1645" s="10"/>
      <c r="D1645" s="11" t="str">
        <f aca="false">IF(K1645="","",IFERROR(INDEX(DECKS!$C$2:$C$1201,MATCH(K1645,DECKS!$B$2:$B$1201,0)),TRIM(I1645&amp;"")))</f>
        <v/>
      </c>
      <c r="E1645" s="4"/>
      <c r="F1645" s="12"/>
      <c r="G1645" s="4"/>
      <c r="H1645" s="13" t="str">
        <f aca="false">IF(OR(N(C1645)=0,N(F1645)=0),"",C1645*F1645)</f>
        <v/>
      </c>
      <c r="I1645" s="4"/>
      <c r="J1645" s="11" t="str">
        <f aca="false">IF(K1645="","",IF(N(C1645)&lt;=0,"Informe a quantidade",IF(IFERROR(INDEX(INVENTÁRIO!$B$2:$B$801,MATCH(K1645,INVENTÁRIO!$A$2:$A$801,0)),"")="(sem nome)","Carta fora dos decks: digite o nome na coluna I (opcional)","")))</f>
        <v/>
      </c>
      <c r="K1645" s="11" t="str">
        <f aca="false">UPPER(TRIM(SUBSTITUTE(B1645&amp;"",CHAR(160)," ")))</f>
        <v/>
      </c>
      <c r="L1645" s="11" t="str">
        <f aca="false">IF(AND(K1645&lt;&gt;"",TRIM(I1645&amp;"")&lt;&gt;""),K1645,"")</f>
        <v/>
      </c>
    </row>
    <row r="1646" customFormat="false" ht="15" hidden="false" customHeight="false" outlineLevel="0" collapsed="false">
      <c r="A1646" s="9"/>
      <c r="B1646" s="4"/>
      <c r="C1646" s="10"/>
      <c r="D1646" s="11" t="str">
        <f aca="false">IF(K1646="","",IFERROR(INDEX(DECKS!$C$2:$C$1201,MATCH(K1646,DECKS!$B$2:$B$1201,0)),TRIM(I1646&amp;"")))</f>
        <v/>
      </c>
      <c r="E1646" s="4"/>
      <c r="F1646" s="12"/>
      <c r="G1646" s="4"/>
      <c r="H1646" s="13" t="str">
        <f aca="false">IF(OR(N(C1646)=0,N(F1646)=0),"",C1646*F1646)</f>
        <v/>
      </c>
      <c r="I1646" s="4"/>
      <c r="J1646" s="11" t="str">
        <f aca="false">IF(K1646="","",IF(N(C1646)&lt;=0,"Informe a quantidade",IF(IFERROR(INDEX(INVENTÁRIO!$B$2:$B$801,MATCH(K1646,INVENTÁRIO!$A$2:$A$801,0)),"")="(sem nome)","Carta fora dos decks: digite o nome na coluna I (opcional)","")))</f>
        <v/>
      </c>
      <c r="K1646" s="11" t="str">
        <f aca="false">UPPER(TRIM(SUBSTITUTE(B1646&amp;"",CHAR(160)," ")))</f>
        <v/>
      </c>
      <c r="L1646" s="11" t="str">
        <f aca="false">IF(AND(K1646&lt;&gt;"",TRIM(I1646&amp;"")&lt;&gt;""),K1646,"")</f>
        <v/>
      </c>
    </row>
    <row r="1647" customFormat="false" ht="15" hidden="false" customHeight="false" outlineLevel="0" collapsed="false">
      <c r="A1647" s="9"/>
      <c r="B1647" s="4"/>
      <c r="C1647" s="10"/>
      <c r="D1647" s="11" t="str">
        <f aca="false">IF(K1647="","",IFERROR(INDEX(DECKS!$C$2:$C$1201,MATCH(K1647,DECKS!$B$2:$B$1201,0)),TRIM(I1647&amp;"")))</f>
        <v/>
      </c>
      <c r="E1647" s="4"/>
      <c r="F1647" s="12"/>
      <c r="G1647" s="4"/>
      <c r="H1647" s="13" t="str">
        <f aca="false">IF(OR(N(C1647)=0,N(F1647)=0),"",C1647*F1647)</f>
        <v/>
      </c>
      <c r="I1647" s="4"/>
      <c r="J1647" s="11" t="str">
        <f aca="false">IF(K1647="","",IF(N(C1647)&lt;=0,"Informe a quantidade",IF(IFERROR(INDEX(INVENTÁRIO!$B$2:$B$801,MATCH(K1647,INVENTÁRIO!$A$2:$A$801,0)),"")="(sem nome)","Carta fora dos decks: digite o nome na coluna I (opcional)","")))</f>
        <v/>
      </c>
      <c r="K1647" s="11" t="str">
        <f aca="false">UPPER(TRIM(SUBSTITUTE(B1647&amp;"",CHAR(160)," ")))</f>
        <v/>
      </c>
      <c r="L1647" s="11" t="str">
        <f aca="false">IF(AND(K1647&lt;&gt;"",TRIM(I1647&amp;"")&lt;&gt;""),K1647,"")</f>
        <v/>
      </c>
    </row>
    <row r="1648" customFormat="false" ht="15" hidden="false" customHeight="false" outlineLevel="0" collapsed="false">
      <c r="A1648" s="9"/>
      <c r="B1648" s="4"/>
      <c r="C1648" s="10"/>
      <c r="D1648" s="11" t="str">
        <f aca="false">IF(K1648="","",IFERROR(INDEX(DECKS!$C$2:$C$1201,MATCH(K1648,DECKS!$B$2:$B$1201,0)),TRIM(I1648&amp;"")))</f>
        <v/>
      </c>
      <c r="E1648" s="4"/>
      <c r="F1648" s="12"/>
      <c r="G1648" s="4"/>
      <c r="H1648" s="13" t="str">
        <f aca="false">IF(OR(N(C1648)=0,N(F1648)=0),"",C1648*F1648)</f>
        <v/>
      </c>
      <c r="I1648" s="4"/>
      <c r="J1648" s="11" t="str">
        <f aca="false">IF(K1648="","",IF(N(C1648)&lt;=0,"Informe a quantidade",IF(IFERROR(INDEX(INVENTÁRIO!$B$2:$B$801,MATCH(K1648,INVENTÁRIO!$A$2:$A$801,0)),"")="(sem nome)","Carta fora dos decks: digite o nome na coluna I (opcional)","")))</f>
        <v/>
      </c>
      <c r="K1648" s="11" t="str">
        <f aca="false">UPPER(TRIM(SUBSTITUTE(B1648&amp;"",CHAR(160)," ")))</f>
        <v/>
      </c>
      <c r="L1648" s="11" t="str">
        <f aca="false">IF(AND(K1648&lt;&gt;"",TRIM(I1648&amp;"")&lt;&gt;""),K1648,"")</f>
        <v/>
      </c>
    </row>
    <row r="1649" customFormat="false" ht="15" hidden="false" customHeight="false" outlineLevel="0" collapsed="false">
      <c r="A1649" s="9"/>
      <c r="B1649" s="4"/>
      <c r="C1649" s="10"/>
      <c r="D1649" s="11" t="str">
        <f aca="false">IF(K1649="","",IFERROR(INDEX(DECKS!$C$2:$C$1201,MATCH(K1649,DECKS!$B$2:$B$1201,0)),TRIM(I1649&amp;"")))</f>
        <v/>
      </c>
      <c r="E1649" s="4"/>
      <c r="F1649" s="12"/>
      <c r="G1649" s="4"/>
      <c r="H1649" s="13" t="str">
        <f aca="false">IF(OR(N(C1649)=0,N(F1649)=0),"",C1649*F1649)</f>
        <v/>
      </c>
      <c r="I1649" s="4"/>
      <c r="J1649" s="11" t="str">
        <f aca="false">IF(K1649="","",IF(N(C1649)&lt;=0,"Informe a quantidade",IF(IFERROR(INDEX(INVENTÁRIO!$B$2:$B$801,MATCH(K1649,INVENTÁRIO!$A$2:$A$801,0)),"")="(sem nome)","Carta fora dos decks: digite o nome na coluna I (opcional)","")))</f>
        <v/>
      </c>
      <c r="K1649" s="11" t="str">
        <f aca="false">UPPER(TRIM(SUBSTITUTE(B1649&amp;"",CHAR(160)," ")))</f>
        <v/>
      </c>
      <c r="L1649" s="11" t="str">
        <f aca="false">IF(AND(K1649&lt;&gt;"",TRIM(I1649&amp;"")&lt;&gt;""),K1649,"")</f>
        <v/>
      </c>
    </row>
    <row r="1650" customFormat="false" ht="15" hidden="false" customHeight="false" outlineLevel="0" collapsed="false">
      <c r="A1650" s="9"/>
      <c r="B1650" s="4"/>
      <c r="C1650" s="10"/>
      <c r="D1650" s="11" t="str">
        <f aca="false">IF(K1650="","",IFERROR(INDEX(DECKS!$C$2:$C$1201,MATCH(K1650,DECKS!$B$2:$B$1201,0)),TRIM(I1650&amp;"")))</f>
        <v/>
      </c>
      <c r="E1650" s="4"/>
      <c r="F1650" s="12"/>
      <c r="G1650" s="4"/>
      <c r="H1650" s="13" t="str">
        <f aca="false">IF(OR(N(C1650)=0,N(F1650)=0),"",C1650*F1650)</f>
        <v/>
      </c>
      <c r="I1650" s="4"/>
      <c r="J1650" s="11" t="str">
        <f aca="false">IF(K1650="","",IF(N(C1650)&lt;=0,"Informe a quantidade",IF(IFERROR(INDEX(INVENTÁRIO!$B$2:$B$801,MATCH(K1650,INVENTÁRIO!$A$2:$A$801,0)),"")="(sem nome)","Carta fora dos decks: digite o nome na coluna I (opcional)","")))</f>
        <v/>
      </c>
      <c r="K1650" s="11" t="str">
        <f aca="false">UPPER(TRIM(SUBSTITUTE(B1650&amp;"",CHAR(160)," ")))</f>
        <v/>
      </c>
      <c r="L1650" s="11" t="str">
        <f aca="false">IF(AND(K1650&lt;&gt;"",TRIM(I1650&amp;"")&lt;&gt;""),K1650,"")</f>
        <v/>
      </c>
    </row>
    <row r="1651" customFormat="false" ht="15" hidden="false" customHeight="false" outlineLevel="0" collapsed="false">
      <c r="A1651" s="9"/>
      <c r="B1651" s="4"/>
      <c r="C1651" s="10"/>
      <c r="D1651" s="11" t="str">
        <f aca="false">IF(K1651="","",IFERROR(INDEX(DECKS!$C$2:$C$1201,MATCH(K1651,DECKS!$B$2:$B$1201,0)),TRIM(I1651&amp;"")))</f>
        <v/>
      </c>
      <c r="E1651" s="4"/>
      <c r="F1651" s="12"/>
      <c r="G1651" s="4"/>
      <c r="H1651" s="13" t="str">
        <f aca="false">IF(OR(N(C1651)=0,N(F1651)=0),"",C1651*F1651)</f>
        <v/>
      </c>
      <c r="I1651" s="4"/>
      <c r="J1651" s="11" t="str">
        <f aca="false">IF(K1651="","",IF(N(C1651)&lt;=0,"Informe a quantidade",IF(IFERROR(INDEX(INVENTÁRIO!$B$2:$B$801,MATCH(K1651,INVENTÁRIO!$A$2:$A$801,0)),"")="(sem nome)","Carta fora dos decks: digite o nome na coluna I (opcional)","")))</f>
        <v/>
      </c>
      <c r="K1651" s="11" t="str">
        <f aca="false">UPPER(TRIM(SUBSTITUTE(B1651&amp;"",CHAR(160)," ")))</f>
        <v/>
      </c>
      <c r="L1651" s="11" t="str">
        <f aca="false">IF(AND(K1651&lt;&gt;"",TRIM(I1651&amp;"")&lt;&gt;""),K1651,"")</f>
        <v/>
      </c>
    </row>
    <row r="1652" customFormat="false" ht="15" hidden="false" customHeight="false" outlineLevel="0" collapsed="false">
      <c r="A1652" s="9"/>
      <c r="B1652" s="4"/>
      <c r="C1652" s="10"/>
      <c r="D1652" s="11" t="str">
        <f aca="false">IF(K1652="","",IFERROR(INDEX(DECKS!$C$2:$C$1201,MATCH(K1652,DECKS!$B$2:$B$1201,0)),TRIM(I1652&amp;"")))</f>
        <v/>
      </c>
      <c r="E1652" s="4"/>
      <c r="F1652" s="12"/>
      <c r="G1652" s="4"/>
      <c r="H1652" s="13" t="str">
        <f aca="false">IF(OR(N(C1652)=0,N(F1652)=0),"",C1652*F1652)</f>
        <v/>
      </c>
      <c r="I1652" s="4"/>
      <c r="J1652" s="11" t="str">
        <f aca="false">IF(K1652="","",IF(N(C1652)&lt;=0,"Informe a quantidade",IF(IFERROR(INDEX(INVENTÁRIO!$B$2:$B$801,MATCH(K1652,INVENTÁRIO!$A$2:$A$801,0)),"")="(sem nome)","Carta fora dos decks: digite o nome na coluna I (opcional)","")))</f>
        <v/>
      </c>
      <c r="K1652" s="11" t="str">
        <f aca="false">UPPER(TRIM(SUBSTITUTE(B1652&amp;"",CHAR(160)," ")))</f>
        <v/>
      </c>
      <c r="L1652" s="11" t="str">
        <f aca="false">IF(AND(K1652&lt;&gt;"",TRIM(I1652&amp;"")&lt;&gt;""),K1652,"")</f>
        <v/>
      </c>
    </row>
    <row r="1653" customFormat="false" ht="15" hidden="false" customHeight="false" outlineLevel="0" collapsed="false">
      <c r="A1653" s="9"/>
      <c r="B1653" s="4"/>
      <c r="C1653" s="10"/>
      <c r="D1653" s="11" t="str">
        <f aca="false">IF(K1653="","",IFERROR(INDEX(DECKS!$C$2:$C$1201,MATCH(K1653,DECKS!$B$2:$B$1201,0)),TRIM(I1653&amp;"")))</f>
        <v/>
      </c>
      <c r="E1653" s="4"/>
      <c r="F1653" s="12"/>
      <c r="G1653" s="4"/>
      <c r="H1653" s="13" t="str">
        <f aca="false">IF(OR(N(C1653)=0,N(F1653)=0),"",C1653*F1653)</f>
        <v/>
      </c>
      <c r="I1653" s="4"/>
      <c r="J1653" s="11" t="str">
        <f aca="false">IF(K1653="","",IF(N(C1653)&lt;=0,"Informe a quantidade",IF(IFERROR(INDEX(INVENTÁRIO!$B$2:$B$801,MATCH(K1653,INVENTÁRIO!$A$2:$A$801,0)),"")="(sem nome)","Carta fora dos decks: digite o nome na coluna I (opcional)","")))</f>
        <v/>
      </c>
      <c r="K1653" s="11" t="str">
        <f aca="false">UPPER(TRIM(SUBSTITUTE(B1653&amp;"",CHAR(160)," ")))</f>
        <v/>
      </c>
      <c r="L1653" s="11" t="str">
        <f aca="false">IF(AND(K1653&lt;&gt;"",TRIM(I1653&amp;"")&lt;&gt;""),K1653,"")</f>
        <v/>
      </c>
    </row>
    <row r="1654" customFormat="false" ht="15" hidden="false" customHeight="false" outlineLevel="0" collapsed="false">
      <c r="A1654" s="9"/>
      <c r="B1654" s="4"/>
      <c r="C1654" s="10"/>
      <c r="D1654" s="11" t="str">
        <f aca="false">IF(K1654="","",IFERROR(INDEX(DECKS!$C$2:$C$1201,MATCH(K1654,DECKS!$B$2:$B$1201,0)),TRIM(I1654&amp;"")))</f>
        <v/>
      </c>
      <c r="E1654" s="4"/>
      <c r="F1654" s="12"/>
      <c r="G1654" s="4"/>
      <c r="H1654" s="13" t="str">
        <f aca="false">IF(OR(N(C1654)=0,N(F1654)=0),"",C1654*F1654)</f>
        <v/>
      </c>
      <c r="I1654" s="4"/>
      <c r="J1654" s="11" t="str">
        <f aca="false">IF(K1654="","",IF(N(C1654)&lt;=0,"Informe a quantidade",IF(IFERROR(INDEX(INVENTÁRIO!$B$2:$B$801,MATCH(K1654,INVENTÁRIO!$A$2:$A$801,0)),"")="(sem nome)","Carta fora dos decks: digite o nome na coluna I (opcional)","")))</f>
        <v/>
      </c>
      <c r="K1654" s="11" t="str">
        <f aca="false">UPPER(TRIM(SUBSTITUTE(B1654&amp;"",CHAR(160)," ")))</f>
        <v/>
      </c>
      <c r="L1654" s="11" t="str">
        <f aca="false">IF(AND(K1654&lt;&gt;"",TRIM(I1654&amp;"")&lt;&gt;""),K1654,"")</f>
        <v/>
      </c>
    </row>
    <row r="1655" customFormat="false" ht="15" hidden="false" customHeight="false" outlineLevel="0" collapsed="false">
      <c r="A1655" s="9"/>
      <c r="B1655" s="4"/>
      <c r="C1655" s="10"/>
      <c r="D1655" s="11" t="str">
        <f aca="false">IF(K1655="","",IFERROR(INDEX(DECKS!$C$2:$C$1201,MATCH(K1655,DECKS!$B$2:$B$1201,0)),TRIM(I1655&amp;"")))</f>
        <v/>
      </c>
      <c r="E1655" s="4"/>
      <c r="F1655" s="12"/>
      <c r="G1655" s="4"/>
      <c r="H1655" s="13" t="str">
        <f aca="false">IF(OR(N(C1655)=0,N(F1655)=0),"",C1655*F1655)</f>
        <v/>
      </c>
      <c r="I1655" s="4"/>
      <c r="J1655" s="11" t="str">
        <f aca="false">IF(K1655="","",IF(N(C1655)&lt;=0,"Informe a quantidade",IF(IFERROR(INDEX(INVENTÁRIO!$B$2:$B$801,MATCH(K1655,INVENTÁRIO!$A$2:$A$801,0)),"")="(sem nome)","Carta fora dos decks: digite o nome na coluna I (opcional)","")))</f>
        <v/>
      </c>
      <c r="K1655" s="11" t="str">
        <f aca="false">UPPER(TRIM(SUBSTITUTE(B1655&amp;"",CHAR(160)," ")))</f>
        <v/>
      </c>
      <c r="L1655" s="11" t="str">
        <f aca="false">IF(AND(K1655&lt;&gt;"",TRIM(I1655&amp;"")&lt;&gt;""),K1655,"")</f>
        <v/>
      </c>
    </row>
    <row r="1656" customFormat="false" ht="15" hidden="false" customHeight="false" outlineLevel="0" collapsed="false">
      <c r="A1656" s="9"/>
      <c r="B1656" s="4"/>
      <c r="C1656" s="10"/>
      <c r="D1656" s="11" t="str">
        <f aca="false">IF(K1656="","",IFERROR(INDEX(DECKS!$C$2:$C$1201,MATCH(K1656,DECKS!$B$2:$B$1201,0)),TRIM(I1656&amp;"")))</f>
        <v/>
      </c>
      <c r="E1656" s="4"/>
      <c r="F1656" s="12"/>
      <c r="G1656" s="4"/>
      <c r="H1656" s="13" t="str">
        <f aca="false">IF(OR(N(C1656)=0,N(F1656)=0),"",C1656*F1656)</f>
        <v/>
      </c>
      <c r="I1656" s="4"/>
      <c r="J1656" s="11" t="str">
        <f aca="false">IF(K1656="","",IF(N(C1656)&lt;=0,"Informe a quantidade",IF(IFERROR(INDEX(INVENTÁRIO!$B$2:$B$801,MATCH(K1656,INVENTÁRIO!$A$2:$A$801,0)),"")="(sem nome)","Carta fora dos decks: digite o nome na coluna I (opcional)","")))</f>
        <v/>
      </c>
      <c r="K1656" s="11" t="str">
        <f aca="false">UPPER(TRIM(SUBSTITUTE(B1656&amp;"",CHAR(160)," ")))</f>
        <v/>
      </c>
      <c r="L1656" s="11" t="str">
        <f aca="false">IF(AND(K1656&lt;&gt;"",TRIM(I1656&amp;"")&lt;&gt;""),K1656,"")</f>
        <v/>
      </c>
    </row>
    <row r="1657" customFormat="false" ht="15" hidden="false" customHeight="false" outlineLevel="0" collapsed="false">
      <c r="A1657" s="9"/>
      <c r="B1657" s="4"/>
      <c r="C1657" s="10"/>
      <c r="D1657" s="11" t="str">
        <f aca="false">IF(K1657="","",IFERROR(INDEX(DECKS!$C$2:$C$1201,MATCH(K1657,DECKS!$B$2:$B$1201,0)),TRIM(I1657&amp;"")))</f>
        <v/>
      </c>
      <c r="E1657" s="4"/>
      <c r="F1657" s="12"/>
      <c r="G1657" s="4"/>
      <c r="H1657" s="13" t="str">
        <f aca="false">IF(OR(N(C1657)=0,N(F1657)=0),"",C1657*F1657)</f>
        <v/>
      </c>
      <c r="I1657" s="4"/>
      <c r="J1657" s="11" t="str">
        <f aca="false">IF(K1657="","",IF(N(C1657)&lt;=0,"Informe a quantidade",IF(IFERROR(INDEX(INVENTÁRIO!$B$2:$B$801,MATCH(K1657,INVENTÁRIO!$A$2:$A$801,0)),"")="(sem nome)","Carta fora dos decks: digite o nome na coluna I (opcional)","")))</f>
        <v/>
      </c>
      <c r="K1657" s="11" t="str">
        <f aca="false">UPPER(TRIM(SUBSTITUTE(B1657&amp;"",CHAR(160)," ")))</f>
        <v/>
      </c>
      <c r="L1657" s="11" t="str">
        <f aca="false">IF(AND(K1657&lt;&gt;"",TRIM(I1657&amp;"")&lt;&gt;""),K1657,"")</f>
        <v/>
      </c>
    </row>
    <row r="1658" customFormat="false" ht="15" hidden="false" customHeight="false" outlineLevel="0" collapsed="false">
      <c r="A1658" s="9"/>
      <c r="B1658" s="4"/>
      <c r="C1658" s="10"/>
      <c r="D1658" s="11" t="str">
        <f aca="false">IF(K1658="","",IFERROR(INDEX(DECKS!$C$2:$C$1201,MATCH(K1658,DECKS!$B$2:$B$1201,0)),TRIM(I1658&amp;"")))</f>
        <v/>
      </c>
      <c r="E1658" s="4"/>
      <c r="F1658" s="12"/>
      <c r="G1658" s="4"/>
      <c r="H1658" s="13" t="str">
        <f aca="false">IF(OR(N(C1658)=0,N(F1658)=0),"",C1658*F1658)</f>
        <v/>
      </c>
      <c r="I1658" s="4"/>
      <c r="J1658" s="11" t="str">
        <f aca="false">IF(K1658="","",IF(N(C1658)&lt;=0,"Informe a quantidade",IF(IFERROR(INDEX(INVENTÁRIO!$B$2:$B$801,MATCH(K1658,INVENTÁRIO!$A$2:$A$801,0)),"")="(sem nome)","Carta fora dos decks: digite o nome na coluna I (opcional)","")))</f>
        <v/>
      </c>
      <c r="K1658" s="11" t="str">
        <f aca="false">UPPER(TRIM(SUBSTITUTE(B1658&amp;"",CHAR(160)," ")))</f>
        <v/>
      </c>
      <c r="L1658" s="11" t="str">
        <f aca="false">IF(AND(K1658&lt;&gt;"",TRIM(I1658&amp;"")&lt;&gt;""),K1658,"")</f>
        <v/>
      </c>
    </row>
    <row r="1659" customFormat="false" ht="15" hidden="false" customHeight="false" outlineLevel="0" collapsed="false">
      <c r="A1659" s="9"/>
      <c r="B1659" s="4"/>
      <c r="C1659" s="10"/>
      <c r="D1659" s="11" t="str">
        <f aca="false">IF(K1659="","",IFERROR(INDEX(DECKS!$C$2:$C$1201,MATCH(K1659,DECKS!$B$2:$B$1201,0)),TRIM(I1659&amp;"")))</f>
        <v/>
      </c>
      <c r="E1659" s="4"/>
      <c r="F1659" s="12"/>
      <c r="G1659" s="4"/>
      <c r="H1659" s="13" t="str">
        <f aca="false">IF(OR(N(C1659)=0,N(F1659)=0),"",C1659*F1659)</f>
        <v/>
      </c>
      <c r="I1659" s="4"/>
      <c r="J1659" s="11" t="str">
        <f aca="false">IF(K1659="","",IF(N(C1659)&lt;=0,"Informe a quantidade",IF(IFERROR(INDEX(INVENTÁRIO!$B$2:$B$801,MATCH(K1659,INVENTÁRIO!$A$2:$A$801,0)),"")="(sem nome)","Carta fora dos decks: digite o nome na coluna I (opcional)","")))</f>
        <v/>
      </c>
      <c r="K1659" s="11" t="str">
        <f aca="false">UPPER(TRIM(SUBSTITUTE(B1659&amp;"",CHAR(160)," ")))</f>
        <v/>
      </c>
      <c r="L1659" s="11" t="str">
        <f aca="false">IF(AND(K1659&lt;&gt;"",TRIM(I1659&amp;"")&lt;&gt;""),K1659,"")</f>
        <v/>
      </c>
    </row>
    <row r="1660" customFormat="false" ht="15" hidden="false" customHeight="false" outlineLevel="0" collapsed="false">
      <c r="A1660" s="9"/>
      <c r="B1660" s="4"/>
      <c r="C1660" s="10"/>
      <c r="D1660" s="11" t="str">
        <f aca="false">IF(K1660="","",IFERROR(INDEX(DECKS!$C$2:$C$1201,MATCH(K1660,DECKS!$B$2:$B$1201,0)),TRIM(I1660&amp;"")))</f>
        <v/>
      </c>
      <c r="E1660" s="4"/>
      <c r="F1660" s="12"/>
      <c r="G1660" s="4"/>
      <c r="H1660" s="13" t="str">
        <f aca="false">IF(OR(N(C1660)=0,N(F1660)=0),"",C1660*F1660)</f>
        <v/>
      </c>
      <c r="I1660" s="4"/>
      <c r="J1660" s="11" t="str">
        <f aca="false">IF(K1660="","",IF(N(C1660)&lt;=0,"Informe a quantidade",IF(IFERROR(INDEX(INVENTÁRIO!$B$2:$B$801,MATCH(K1660,INVENTÁRIO!$A$2:$A$801,0)),"")="(sem nome)","Carta fora dos decks: digite o nome na coluna I (opcional)","")))</f>
        <v/>
      </c>
      <c r="K1660" s="11" t="str">
        <f aca="false">UPPER(TRIM(SUBSTITUTE(B1660&amp;"",CHAR(160)," ")))</f>
        <v/>
      </c>
      <c r="L1660" s="11" t="str">
        <f aca="false">IF(AND(K1660&lt;&gt;"",TRIM(I1660&amp;"")&lt;&gt;""),K1660,"")</f>
        <v/>
      </c>
    </row>
    <row r="1661" customFormat="false" ht="15" hidden="false" customHeight="false" outlineLevel="0" collapsed="false">
      <c r="A1661" s="9"/>
      <c r="B1661" s="4"/>
      <c r="C1661" s="10"/>
      <c r="D1661" s="11" t="str">
        <f aca="false">IF(K1661="","",IFERROR(INDEX(DECKS!$C$2:$C$1201,MATCH(K1661,DECKS!$B$2:$B$1201,0)),TRIM(I1661&amp;"")))</f>
        <v/>
      </c>
      <c r="E1661" s="4"/>
      <c r="F1661" s="12"/>
      <c r="G1661" s="4"/>
      <c r="H1661" s="13" t="str">
        <f aca="false">IF(OR(N(C1661)=0,N(F1661)=0),"",C1661*F1661)</f>
        <v/>
      </c>
      <c r="I1661" s="4"/>
      <c r="J1661" s="11" t="str">
        <f aca="false">IF(K1661="","",IF(N(C1661)&lt;=0,"Informe a quantidade",IF(IFERROR(INDEX(INVENTÁRIO!$B$2:$B$801,MATCH(K1661,INVENTÁRIO!$A$2:$A$801,0)),"")="(sem nome)","Carta fora dos decks: digite o nome na coluna I (opcional)","")))</f>
        <v/>
      </c>
      <c r="K1661" s="11" t="str">
        <f aca="false">UPPER(TRIM(SUBSTITUTE(B1661&amp;"",CHAR(160)," ")))</f>
        <v/>
      </c>
      <c r="L1661" s="11" t="str">
        <f aca="false">IF(AND(K1661&lt;&gt;"",TRIM(I1661&amp;"")&lt;&gt;""),K1661,"")</f>
        <v/>
      </c>
    </row>
    <row r="1662" customFormat="false" ht="15" hidden="false" customHeight="false" outlineLevel="0" collapsed="false">
      <c r="A1662" s="9"/>
      <c r="B1662" s="4"/>
      <c r="C1662" s="10"/>
      <c r="D1662" s="11" t="str">
        <f aca="false">IF(K1662="","",IFERROR(INDEX(DECKS!$C$2:$C$1201,MATCH(K1662,DECKS!$B$2:$B$1201,0)),TRIM(I1662&amp;"")))</f>
        <v/>
      </c>
      <c r="E1662" s="4"/>
      <c r="F1662" s="12"/>
      <c r="G1662" s="4"/>
      <c r="H1662" s="13" t="str">
        <f aca="false">IF(OR(N(C1662)=0,N(F1662)=0),"",C1662*F1662)</f>
        <v/>
      </c>
      <c r="I1662" s="4"/>
      <c r="J1662" s="11" t="str">
        <f aca="false">IF(K1662="","",IF(N(C1662)&lt;=0,"Informe a quantidade",IF(IFERROR(INDEX(INVENTÁRIO!$B$2:$B$801,MATCH(K1662,INVENTÁRIO!$A$2:$A$801,0)),"")="(sem nome)","Carta fora dos decks: digite o nome na coluna I (opcional)","")))</f>
        <v/>
      </c>
      <c r="K1662" s="11" t="str">
        <f aca="false">UPPER(TRIM(SUBSTITUTE(B1662&amp;"",CHAR(160)," ")))</f>
        <v/>
      </c>
      <c r="L1662" s="11" t="str">
        <f aca="false">IF(AND(K1662&lt;&gt;"",TRIM(I1662&amp;"")&lt;&gt;""),K1662,"")</f>
        <v/>
      </c>
    </row>
    <row r="1663" customFormat="false" ht="15" hidden="false" customHeight="false" outlineLevel="0" collapsed="false">
      <c r="A1663" s="9"/>
      <c r="B1663" s="4"/>
      <c r="C1663" s="10"/>
      <c r="D1663" s="11" t="str">
        <f aca="false">IF(K1663="","",IFERROR(INDEX(DECKS!$C$2:$C$1201,MATCH(K1663,DECKS!$B$2:$B$1201,0)),TRIM(I1663&amp;"")))</f>
        <v/>
      </c>
      <c r="E1663" s="4"/>
      <c r="F1663" s="12"/>
      <c r="G1663" s="4"/>
      <c r="H1663" s="13" t="str">
        <f aca="false">IF(OR(N(C1663)=0,N(F1663)=0),"",C1663*F1663)</f>
        <v/>
      </c>
      <c r="I1663" s="4"/>
      <c r="J1663" s="11" t="str">
        <f aca="false">IF(K1663="","",IF(N(C1663)&lt;=0,"Informe a quantidade",IF(IFERROR(INDEX(INVENTÁRIO!$B$2:$B$801,MATCH(K1663,INVENTÁRIO!$A$2:$A$801,0)),"")="(sem nome)","Carta fora dos decks: digite o nome na coluna I (opcional)","")))</f>
        <v/>
      </c>
      <c r="K1663" s="11" t="str">
        <f aca="false">UPPER(TRIM(SUBSTITUTE(B1663&amp;"",CHAR(160)," ")))</f>
        <v/>
      </c>
      <c r="L1663" s="11" t="str">
        <f aca="false">IF(AND(K1663&lt;&gt;"",TRIM(I1663&amp;"")&lt;&gt;""),K1663,"")</f>
        <v/>
      </c>
    </row>
    <row r="1664" customFormat="false" ht="15" hidden="false" customHeight="false" outlineLevel="0" collapsed="false">
      <c r="A1664" s="9"/>
      <c r="B1664" s="4"/>
      <c r="C1664" s="10"/>
      <c r="D1664" s="11" t="str">
        <f aca="false">IF(K1664="","",IFERROR(INDEX(DECKS!$C$2:$C$1201,MATCH(K1664,DECKS!$B$2:$B$1201,0)),TRIM(I1664&amp;"")))</f>
        <v/>
      </c>
      <c r="E1664" s="4"/>
      <c r="F1664" s="12"/>
      <c r="G1664" s="4"/>
      <c r="H1664" s="13" t="str">
        <f aca="false">IF(OR(N(C1664)=0,N(F1664)=0),"",C1664*F1664)</f>
        <v/>
      </c>
      <c r="I1664" s="4"/>
      <c r="J1664" s="11" t="str">
        <f aca="false">IF(K1664="","",IF(N(C1664)&lt;=0,"Informe a quantidade",IF(IFERROR(INDEX(INVENTÁRIO!$B$2:$B$801,MATCH(K1664,INVENTÁRIO!$A$2:$A$801,0)),"")="(sem nome)","Carta fora dos decks: digite o nome na coluna I (opcional)","")))</f>
        <v/>
      </c>
      <c r="K1664" s="11" t="str">
        <f aca="false">UPPER(TRIM(SUBSTITUTE(B1664&amp;"",CHAR(160)," ")))</f>
        <v/>
      </c>
      <c r="L1664" s="11" t="str">
        <f aca="false">IF(AND(K1664&lt;&gt;"",TRIM(I1664&amp;"")&lt;&gt;""),K1664,"")</f>
        <v/>
      </c>
    </row>
    <row r="1665" customFormat="false" ht="15" hidden="false" customHeight="false" outlineLevel="0" collapsed="false">
      <c r="A1665" s="9"/>
      <c r="B1665" s="4"/>
      <c r="C1665" s="10"/>
      <c r="D1665" s="11" t="str">
        <f aca="false">IF(K1665="","",IFERROR(INDEX(DECKS!$C$2:$C$1201,MATCH(K1665,DECKS!$B$2:$B$1201,0)),TRIM(I1665&amp;"")))</f>
        <v/>
      </c>
      <c r="E1665" s="4"/>
      <c r="F1665" s="12"/>
      <c r="G1665" s="4"/>
      <c r="H1665" s="13" t="str">
        <f aca="false">IF(OR(N(C1665)=0,N(F1665)=0),"",C1665*F1665)</f>
        <v/>
      </c>
      <c r="I1665" s="4"/>
      <c r="J1665" s="11" t="str">
        <f aca="false">IF(K1665="","",IF(N(C1665)&lt;=0,"Informe a quantidade",IF(IFERROR(INDEX(INVENTÁRIO!$B$2:$B$801,MATCH(K1665,INVENTÁRIO!$A$2:$A$801,0)),"")="(sem nome)","Carta fora dos decks: digite o nome na coluna I (opcional)","")))</f>
        <v/>
      </c>
      <c r="K1665" s="11" t="str">
        <f aca="false">UPPER(TRIM(SUBSTITUTE(B1665&amp;"",CHAR(160)," ")))</f>
        <v/>
      </c>
      <c r="L1665" s="11" t="str">
        <f aca="false">IF(AND(K1665&lt;&gt;"",TRIM(I1665&amp;"")&lt;&gt;""),K1665,"")</f>
        <v/>
      </c>
    </row>
    <row r="1666" customFormat="false" ht="15" hidden="false" customHeight="false" outlineLevel="0" collapsed="false">
      <c r="A1666" s="9"/>
      <c r="B1666" s="4"/>
      <c r="C1666" s="10"/>
      <c r="D1666" s="11" t="str">
        <f aca="false">IF(K1666="","",IFERROR(INDEX(DECKS!$C$2:$C$1201,MATCH(K1666,DECKS!$B$2:$B$1201,0)),TRIM(I1666&amp;"")))</f>
        <v/>
      </c>
      <c r="E1666" s="4"/>
      <c r="F1666" s="12"/>
      <c r="G1666" s="4"/>
      <c r="H1666" s="13" t="str">
        <f aca="false">IF(OR(N(C1666)=0,N(F1666)=0),"",C1666*F1666)</f>
        <v/>
      </c>
      <c r="I1666" s="4"/>
      <c r="J1666" s="11" t="str">
        <f aca="false">IF(K1666="","",IF(N(C1666)&lt;=0,"Informe a quantidade",IF(IFERROR(INDEX(INVENTÁRIO!$B$2:$B$801,MATCH(K1666,INVENTÁRIO!$A$2:$A$801,0)),"")="(sem nome)","Carta fora dos decks: digite o nome na coluna I (opcional)","")))</f>
        <v/>
      </c>
      <c r="K1666" s="11" t="str">
        <f aca="false">UPPER(TRIM(SUBSTITUTE(B1666&amp;"",CHAR(160)," ")))</f>
        <v/>
      </c>
      <c r="L1666" s="11" t="str">
        <f aca="false">IF(AND(K1666&lt;&gt;"",TRIM(I1666&amp;"")&lt;&gt;""),K1666,"")</f>
        <v/>
      </c>
    </row>
    <row r="1667" customFormat="false" ht="15" hidden="false" customHeight="false" outlineLevel="0" collapsed="false">
      <c r="A1667" s="9"/>
      <c r="B1667" s="4"/>
      <c r="C1667" s="10"/>
      <c r="D1667" s="11" t="str">
        <f aca="false">IF(K1667="","",IFERROR(INDEX(DECKS!$C$2:$C$1201,MATCH(K1667,DECKS!$B$2:$B$1201,0)),TRIM(I1667&amp;"")))</f>
        <v/>
      </c>
      <c r="E1667" s="4"/>
      <c r="F1667" s="12"/>
      <c r="G1667" s="4"/>
      <c r="H1667" s="13" t="str">
        <f aca="false">IF(OR(N(C1667)=0,N(F1667)=0),"",C1667*F1667)</f>
        <v/>
      </c>
      <c r="I1667" s="4"/>
      <c r="J1667" s="11" t="str">
        <f aca="false">IF(K1667="","",IF(N(C1667)&lt;=0,"Informe a quantidade",IF(IFERROR(INDEX(INVENTÁRIO!$B$2:$B$801,MATCH(K1667,INVENTÁRIO!$A$2:$A$801,0)),"")="(sem nome)","Carta fora dos decks: digite o nome na coluna I (opcional)","")))</f>
        <v/>
      </c>
      <c r="K1667" s="11" t="str">
        <f aca="false">UPPER(TRIM(SUBSTITUTE(B1667&amp;"",CHAR(160)," ")))</f>
        <v/>
      </c>
      <c r="L1667" s="11" t="str">
        <f aca="false">IF(AND(K1667&lt;&gt;"",TRIM(I1667&amp;"")&lt;&gt;""),K1667,"")</f>
        <v/>
      </c>
    </row>
    <row r="1668" customFormat="false" ht="15" hidden="false" customHeight="false" outlineLevel="0" collapsed="false">
      <c r="A1668" s="9"/>
      <c r="B1668" s="4"/>
      <c r="C1668" s="10"/>
      <c r="D1668" s="11" t="str">
        <f aca="false">IF(K1668="","",IFERROR(INDEX(DECKS!$C$2:$C$1201,MATCH(K1668,DECKS!$B$2:$B$1201,0)),TRIM(I1668&amp;"")))</f>
        <v/>
      </c>
      <c r="E1668" s="4"/>
      <c r="F1668" s="12"/>
      <c r="G1668" s="4"/>
      <c r="H1668" s="13" t="str">
        <f aca="false">IF(OR(N(C1668)=0,N(F1668)=0),"",C1668*F1668)</f>
        <v/>
      </c>
      <c r="I1668" s="4"/>
      <c r="J1668" s="11" t="str">
        <f aca="false">IF(K1668="","",IF(N(C1668)&lt;=0,"Informe a quantidade",IF(IFERROR(INDEX(INVENTÁRIO!$B$2:$B$801,MATCH(K1668,INVENTÁRIO!$A$2:$A$801,0)),"")="(sem nome)","Carta fora dos decks: digite o nome na coluna I (opcional)","")))</f>
        <v/>
      </c>
      <c r="K1668" s="11" t="str">
        <f aca="false">UPPER(TRIM(SUBSTITUTE(B1668&amp;"",CHAR(160)," ")))</f>
        <v/>
      </c>
      <c r="L1668" s="11" t="str">
        <f aca="false">IF(AND(K1668&lt;&gt;"",TRIM(I1668&amp;"")&lt;&gt;""),K1668,"")</f>
        <v/>
      </c>
    </row>
    <row r="1669" customFormat="false" ht="15" hidden="false" customHeight="false" outlineLevel="0" collapsed="false">
      <c r="A1669" s="9"/>
      <c r="B1669" s="4"/>
      <c r="C1669" s="10"/>
      <c r="D1669" s="11" t="str">
        <f aca="false">IF(K1669="","",IFERROR(INDEX(DECKS!$C$2:$C$1201,MATCH(K1669,DECKS!$B$2:$B$1201,0)),TRIM(I1669&amp;"")))</f>
        <v/>
      </c>
      <c r="E1669" s="4"/>
      <c r="F1669" s="12"/>
      <c r="G1669" s="4"/>
      <c r="H1669" s="13" t="str">
        <f aca="false">IF(OR(N(C1669)=0,N(F1669)=0),"",C1669*F1669)</f>
        <v/>
      </c>
      <c r="I1669" s="4"/>
      <c r="J1669" s="11" t="str">
        <f aca="false">IF(K1669="","",IF(N(C1669)&lt;=0,"Informe a quantidade",IF(IFERROR(INDEX(INVENTÁRIO!$B$2:$B$801,MATCH(K1669,INVENTÁRIO!$A$2:$A$801,0)),"")="(sem nome)","Carta fora dos decks: digite o nome na coluna I (opcional)","")))</f>
        <v/>
      </c>
      <c r="K1669" s="11" t="str">
        <f aca="false">UPPER(TRIM(SUBSTITUTE(B1669&amp;"",CHAR(160)," ")))</f>
        <v/>
      </c>
      <c r="L1669" s="11" t="str">
        <f aca="false">IF(AND(K1669&lt;&gt;"",TRIM(I1669&amp;"")&lt;&gt;""),K1669,"")</f>
        <v/>
      </c>
    </row>
    <row r="1670" customFormat="false" ht="15" hidden="false" customHeight="false" outlineLevel="0" collapsed="false">
      <c r="A1670" s="9"/>
      <c r="B1670" s="4"/>
      <c r="C1670" s="10"/>
      <c r="D1670" s="11" t="str">
        <f aca="false">IF(K1670="","",IFERROR(INDEX(DECKS!$C$2:$C$1201,MATCH(K1670,DECKS!$B$2:$B$1201,0)),TRIM(I1670&amp;"")))</f>
        <v/>
      </c>
      <c r="E1670" s="4"/>
      <c r="F1670" s="12"/>
      <c r="G1670" s="4"/>
      <c r="H1670" s="13" t="str">
        <f aca="false">IF(OR(N(C1670)=0,N(F1670)=0),"",C1670*F1670)</f>
        <v/>
      </c>
      <c r="I1670" s="4"/>
      <c r="J1670" s="11" t="str">
        <f aca="false">IF(K1670="","",IF(N(C1670)&lt;=0,"Informe a quantidade",IF(IFERROR(INDEX(INVENTÁRIO!$B$2:$B$801,MATCH(K1670,INVENTÁRIO!$A$2:$A$801,0)),"")="(sem nome)","Carta fora dos decks: digite o nome na coluna I (opcional)","")))</f>
        <v/>
      </c>
      <c r="K1670" s="11" t="str">
        <f aca="false">UPPER(TRIM(SUBSTITUTE(B1670&amp;"",CHAR(160)," ")))</f>
        <v/>
      </c>
      <c r="L1670" s="11" t="str">
        <f aca="false">IF(AND(K1670&lt;&gt;"",TRIM(I1670&amp;"")&lt;&gt;""),K1670,"")</f>
        <v/>
      </c>
    </row>
    <row r="1671" customFormat="false" ht="15" hidden="false" customHeight="false" outlineLevel="0" collapsed="false">
      <c r="A1671" s="9"/>
      <c r="B1671" s="4"/>
      <c r="C1671" s="10"/>
      <c r="D1671" s="11" t="str">
        <f aca="false">IF(K1671="","",IFERROR(INDEX(DECKS!$C$2:$C$1201,MATCH(K1671,DECKS!$B$2:$B$1201,0)),TRIM(I1671&amp;"")))</f>
        <v/>
      </c>
      <c r="E1671" s="4"/>
      <c r="F1671" s="12"/>
      <c r="G1671" s="4"/>
      <c r="H1671" s="13" t="str">
        <f aca="false">IF(OR(N(C1671)=0,N(F1671)=0),"",C1671*F1671)</f>
        <v/>
      </c>
      <c r="I1671" s="4"/>
      <c r="J1671" s="11" t="str">
        <f aca="false">IF(K1671="","",IF(N(C1671)&lt;=0,"Informe a quantidade",IF(IFERROR(INDEX(INVENTÁRIO!$B$2:$B$801,MATCH(K1671,INVENTÁRIO!$A$2:$A$801,0)),"")="(sem nome)","Carta fora dos decks: digite o nome na coluna I (opcional)","")))</f>
        <v/>
      </c>
      <c r="K1671" s="11" t="str">
        <f aca="false">UPPER(TRIM(SUBSTITUTE(B1671&amp;"",CHAR(160)," ")))</f>
        <v/>
      </c>
      <c r="L1671" s="11" t="str">
        <f aca="false">IF(AND(K1671&lt;&gt;"",TRIM(I1671&amp;"")&lt;&gt;""),K1671,"")</f>
        <v/>
      </c>
    </row>
    <row r="1672" customFormat="false" ht="15" hidden="false" customHeight="false" outlineLevel="0" collapsed="false">
      <c r="A1672" s="9"/>
      <c r="B1672" s="4"/>
      <c r="C1672" s="10"/>
      <c r="D1672" s="11" t="str">
        <f aca="false">IF(K1672="","",IFERROR(INDEX(DECKS!$C$2:$C$1201,MATCH(K1672,DECKS!$B$2:$B$1201,0)),TRIM(I1672&amp;"")))</f>
        <v/>
      </c>
      <c r="E1672" s="4"/>
      <c r="F1672" s="12"/>
      <c r="G1672" s="4"/>
      <c r="H1672" s="13" t="str">
        <f aca="false">IF(OR(N(C1672)=0,N(F1672)=0),"",C1672*F1672)</f>
        <v/>
      </c>
      <c r="I1672" s="4"/>
      <c r="J1672" s="11" t="str">
        <f aca="false">IF(K1672="","",IF(N(C1672)&lt;=0,"Informe a quantidade",IF(IFERROR(INDEX(INVENTÁRIO!$B$2:$B$801,MATCH(K1672,INVENTÁRIO!$A$2:$A$801,0)),"")="(sem nome)","Carta fora dos decks: digite o nome na coluna I (opcional)","")))</f>
        <v/>
      </c>
      <c r="K1672" s="11" t="str">
        <f aca="false">UPPER(TRIM(SUBSTITUTE(B1672&amp;"",CHAR(160)," ")))</f>
        <v/>
      </c>
      <c r="L1672" s="11" t="str">
        <f aca="false">IF(AND(K1672&lt;&gt;"",TRIM(I1672&amp;"")&lt;&gt;""),K1672,"")</f>
        <v/>
      </c>
    </row>
    <row r="1673" customFormat="false" ht="15" hidden="false" customHeight="false" outlineLevel="0" collapsed="false">
      <c r="A1673" s="9"/>
      <c r="B1673" s="4"/>
      <c r="C1673" s="10"/>
      <c r="D1673" s="11" t="str">
        <f aca="false">IF(K1673="","",IFERROR(INDEX(DECKS!$C$2:$C$1201,MATCH(K1673,DECKS!$B$2:$B$1201,0)),TRIM(I1673&amp;"")))</f>
        <v/>
      </c>
      <c r="E1673" s="4"/>
      <c r="F1673" s="12"/>
      <c r="G1673" s="4"/>
      <c r="H1673" s="13" t="str">
        <f aca="false">IF(OR(N(C1673)=0,N(F1673)=0),"",C1673*F1673)</f>
        <v/>
      </c>
      <c r="I1673" s="4"/>
      <c r="J1673" s="11" t="str">
        <f aca="false">IF(K1673="","",IF(N(C1673)&lt;=0,"Informe a quantidade",IF(IFERROR(INDEX(INVENTÁRIO!$B$2:$B$801,MATCH(K1673,INVENTÁRIO!$A$2:$A$801,0)),"")="(sem nome)","Carta fora dos decks: digite o nome na coluna I (opcional)","")))</f>
        <v/>
      </c>
      <c r="K1673" s="11" t="str">
        <f aca="false">UPPER(TRIM(SUBSTITUTE(B1673&amp;"",CHAR(160)," ")))</f>
        <v/>
      </c>
      <c r="L1673" s="11" t="str">
        <f aca="false">IF(AND(K1673&lt;&gt;"",TRIM(I1673&amp;"")&lt;&gt;""),K1673,"")</f>
        <v/>
      </c>
    </row>
    <row r="1674" customFormat="false" ht="15" hidden="false" customHeight="false" outlineLevel="0" collapsed="false">
      <c r="A1674" s="9"/>
      <c r="B1674" s="4"/>
      <c r="C1674" s="10"/>
      <c r="D1674" s="11" t="str">
        <f aca="false">IF(K1674="","",IFERROR(INDEX(DECKS!$C$2:$C$1201,MATCH(K1674,DECKS!$B$2:$B$1201,0)),TRIM(I1674&amp;"")))</f>
        <v/>
      </c>
      <c r="E1674" s="4"/>
      <c r="F1674" s="12"/>
      <c r="G1674" s="4"/>
      <c r="H1674" s="13" t="str">
        <f aca="false">IF(OR(N(C1674)=0,N(F1674)=0),"",C1674*F1674)</f>
        <v/>
      </c>
      <c r="I1674" s="4"/>
      <c r="J1674" s="11" t="str">
        <f aca="false">IF(K1674="","",IF(N(C1674)&lt;=0,"Informe a quantidade",IF(IFERROR(INDEX(INVENTÁRIO!$B$2:$B$801,MATCH(K1674,INVENTÁRIO!$A$2:$A$801,0)),"")="(sem nome)","Carta fora dos decks: digite o nome na coluna I (opcional)","")))</f>
        <v/>
      </c>
      <c r="K1674" s="11" t="str">
        <f aca="false">UPPER(TRIM(SUBSTITUTE(B1674&amp;"",CHAR(160)," ")))</f>
        <v/>
      </c>
      <c r="L1674" s="11" t="str">
        <f aca="false">IF(AND(K1674&lt;&gt;"",TRIM(I1674&amp;"")&lt;&gt;""),K1674,"")</f>
        <v/>
      </c>
    </row>
    <row r="1675" customFormat="false" ht="15" hidden="false" customHeight="false" outlineLevel="0" collapsed="false">
      <c r="A1675" s="9"/>
      <c r="B1675" s="4"/>
      <c r="C1675" s="10"/>
      <c r="D1675" s="11" t="str">
        <f aca="false">IF(K1675="","",IFERROR(INDEX(DECKS!$C$2:$C$1201,MATCH(K1675,DECKS!$B$2:$B$1201,0)),TRIM(I1675&amp;"")))</f>
        <v/>
      </c>
      <c r="E1675" s="4"/>
      <c r="F1675" s="12"/>
      <c r="G1675" s="4"/>
      <c r="H1675" s="13" t="str">
        <f aca="false">IF(OR(N(C1675)=0,N(F1675)=0),"",C1675*F1675)</f>
        <v/>
      </c>
      <c r="I1675" s="4"/>
      <c r="J1675" s="11" t="str">
        <f aca="false">IF(K1675="","",IF(N(C1675)&lt;=0,"Informe a quantidade",IF(IFERROR(INDEX(INVENTÁRIO!$B$2:$B$801,MATCH(K1675,INVENTÁRIO!$A$2:$A$801,0)),"")="(sem nome)","Carta fora dos decks: digite o nome na coluna I (opcional)","")))</f>
        <v/>
      </c>
      <c r="K1675" s="11" t="str">
        <f aca="false">UPPER(TRIM(SUBSTITUTE(B1675&amp;"",CHAR(160)," ")))</f>
        <v/>
      </c>
      <c r="L1675" s="11" t="str">
        <f aca="false">IF(AND(K1675&lt;&gt;"",TRIM(I1675&amp;"")&lt;&gt;""),K1675,"")</f>
        <v/>
      </c>
    </row>
    <row r="1676" customFormat="false" ht="15" hidden="false" customHeight="false" outlineLevel="0" collapsed="false">
      <c r="A1676" s="9"/>
      <c r="B1676" s="4"/>
      <c r="C1676" s="10"/>
      <c r="D1676" s="11" t="str">
        <f aca="false">IF(K1676="","",IFERROR(INDEX(DECKS!$C$2:$C$1201,MATCH(K1676,DECKS!$B$2:$B$1201,0)),TRIM(I1676&amp;"")))</f>
        <v/>
      </c>
      <c r="E1676" s="4"/>
      <c r="F1676" s="12"/>
      <c r="G1676" s="4"/>
      <c r="H1676" s="13" t="str">
        <f aca="false">IF(OR(N(C1676)=0,N(F1676)=0),"",C1676*F1676)</f>
        <v/>
      </c>
      <c r="I1676" s="4"/>
      <c r="J1676" s="11" t="str">
        <f aca="false">IF(K1676="","",IF(N(C1676)&lt;=0,"Informe a quantidade",IF(IFERROR(INDEX(INVENTÁRIO!$B$2:$B$801,MATCH(K1676,INVENTÁRIO!$A$2:$A$801,0)),"")="(sem nome)","Carta fora dos decks: digite o nome na coluna I (opcional)","")))</f>
        <v/>
      </c>
      <c r="K1676" s="11" t="str">
        <f aca="false">UPPER(TRIM(SUBSTITUTE(B1676&amp;"",CHAR(160)," ")))</f>
        <v/>
      </c>
      <c r="L1676" s="11" t="str">
        <f aca="false">IF(AND(K1676&lt;&gt;"",TRIM(I1676&amp;"")&lt;&gt;""),K1676,"")</f>
        <v/>
      </c>
    </row>
    <row r="1677" customFormat="false" ht="15" hidden="false" customHeight="false" outlineLevel="0" collapsed="false">
      <c r="A1677" s="9"/>
      <c r="B1677" s="4"/>
      <c r="C1677" s="10"/>
      <c r="D1677" s="11" t="str">
        <f aca="false">IF(K1677="","",IFERROR(INDEX(DECKS!$C$2:$C$1201,MATCH(K1677,DECKS!$B$2:$B$1201,0)),TRIM(I1677&amp;"")))</f>
        <v/>
      </c>
      <c r="E1677" s="4"/>
      <c r="F1677" s="12"/>
      <c r="G1677" s="4"/>
      <c r="H1677" s="13" t="str">
        <f aca="false">IF(OR(N(C1677)=0,N(F1677)=0),"",C1677*F1677)</f>
        <v/>
      </c>
      <c r="I1677" s="4"/>
      <c r="J1677" s="11" t="str">
        <f aca="false">IF(K1677="","",IF(N(C1677)&lt;=0,"Informe a quantidade",IF(IFERROR(INDEX(INVENTÁRIO!$B$2:$B$801,MATCH(K1677,INVENTÁRIO!$A$2:$A$801,0)),"")="(sem nome)","Carta fora dos decks: digite o nome na coluna I (opcional)","")))</f>
        <v/>
      </c>
      <c r="K1677" s="11" t="str">
        <f aca="false">UPPER(TRIM(SUBSTITUTE(B1677&amp;"",CHAR(160)," ")))</f>
        <v/>
      </c>
      <c r="L1677" s="11" t="str">
        <f aca="false">IF(AND(K1677&lt;&gt;"",TRIM(I1677&amp;"")&lt;&gt;""),K1677,"")</f>
        <v/>
      </c>
    </row>
    <row r="1678" customFormat="false" ht="15" hidden="false" customHeight="false" outlineLevel="0" collapsed="false">
      <c r="A1678" s="9"/>
      <c r="B1678" s="4"/>
      <c r="C1678" s="10"/>
      <c r="D1678" s="11" t="str">
        <f aca="false">IF(K1678="","",IFERROR(INDEX(DECKS!$C$2:$C$1201,MATCH(K1678,DECKS!$B$2:$B$1201,0)),TRIM(I1678&amp;"")))</f>
        <v/>
      </c>
      <c r="E1678" s="4"/>
      <c r="F1678" s="12"/>
      <c r="G1678" s="4"/>
      <c r="H1678" s="13" t="str">
        <f aca="false">IF(OR(N(C1678)=0,N(F1678)=0),"",C1678*F1678)</f>
        <v/>
      </c>
      <c r="I1678" s="4"/>
      <c r="J1678" s="11" t="str">
        <f aca="false">IF(K1678="","",IF(N(C1678)&lt;=0,"Informe a quantidade",IF(IFERROR(INDEX(INVENTÁRIO!$B$2:$B$801,MATCH(K1678,INVENTÁRIO!$A$2:$A$801,0)),"")="(sem nome)","Carta fora dos decks: digite o nome na coluna I (opcional)","")))</f>
        <v/>
      </c>
      <c r="K1678" s="11" t="str">
        <f aca="false">UPPER(TRIM(SUBSTITUTE(B1678&amp;"",CHAR(160)," ")))</f>
        <v/>
      </c>
      <c r="L1678" s="11" t="str">
        <f aca="false">IF(AND(K1678&lt;&gt;"",TRIM(I1678&amp;"")&lt;&gt;""),K1678,"")</f>
        <v/>
      </c>
    </row>
    <row r="1679" customFormat="false" ht="15" hidden="false" customHeight="false" outlineLevel="0" collapsed="false">
      <c r="A1679" s="9"/>
      <c r="B1679" s="4"/>
      <c r="C1679" s="10"/>
      <c r="D1679" s="11" t="str">
        <f aca="false">IF(K1679="","",IFERROR(INDEX(DECKS!$C$2:$C$1201,MATCH(K1679,DECKS!$B$2:$B$1201,0)),TRIM(I1679&amp;"")))</f>
        <v/>
      </c>
      <c r="E1679" s="4"/>
      <c r="F1679" s="12"/>
      <c r="G1679" s="4"/>
      <c r="H1679" s="13" t="str">
        <f aca="false">IF(OR(N(C1679)=0,N(F1679)=0),"",C1679*F1679)</f>
        <v/>
      </c>
      <c r="I1679" s="4"/>
      <c r="J1679" s="11" t="str">
        <f aca="false">IF(K1679="","",IF(N(C1679)&lt;=0,"Informe a quantidade",IF(IFERROR(INDEX(INVENTÁRIO!$B$2:$B$801,MATCH(K1679,INVENTÁRIO!$A$2:$A$801,0)),"")="(sem nome)","Carta fora dos decks: digite o nome na coluna I (opcional)","")))</f>
        <v/>
      </c>
      <c r="K1679" s="11" t="str">
        <f aca="false">UPPER(TRIM(SUBSTITUTE(B1679&amp;"",CHAR(160)," ")))</f>
        <v/>
      </c>
      <c r="L1679" s="11" t="str">
        <f aca="false">IF(AND(K1679&lt;&gt;"",TRIM(I1679&amp;"")&lt;&gt;""),K1679,"")</f>
        <v/>
      </c>
    </row>
    <row r="1680" customFormat="false" ht="15" hidden="false" customHeight="false" outlineLevel="0" collapsed="false">
      <c r="A1680" s="9"/>
      <c r="B1680" s="4"/>
      <c r="C1680" s="10"/>
      <c r="D1680" s="11" t="str">
        <f aca="false">IF(K1680="","",IFERROR(INDEX(DECKS!$C$2:$C$1201,MATCH(K1680,DECKS!$B$2:$B$1201,0)),TRIM(I1680&amp;"")))</f>
        <v/>
      </c>
      <c r="E1680" s="4"/>
      <c r="F1680" s="12"/>
      <c r="G1680" s="4"/>
      <c r="H1680" s="13" t="str">
        <f aca="false">IF(OR(N(C1680)=0,N(F1680)=0),"",C1680*F1680)</f>
        <v/>
      </c>
      <c r="I1680" s="4"/>
      <c r="J1680" s="11" t="str">
        <f aca="false">IF(K1680="","",IF(N(C1680)&lt;=0,"Informe a quantidade",IF(IFERROR(INDEX(INVENTÁRIO!$B$2:$B$801,MATCH(K1680,INVENTÁRIO!$A$2:$A$801,0)),"")="(sem nome)","Carta fora dos decks: digite o nome na coluna I (opcional)","")))</f>
        <v/>
      </c>
      <c r="K1680" s="11" t="str">
        <f aca="false">UPPER(TRIM(SUBSTITUTE(B1680&amp;"",CHAR(160)," ")))</f>
        <v/>
      </c>
      <c r="L1680" s="11" t="str">
        <f aca="false">IF(AND(K1680&lt;&gt;"",TRIM(I1680&amp;"")&lt;&gt;""),K1680,"")</f>
        <v/>
      </c>
    </row>
    <row r="1681" customFormat="false" ht="15" hidden="false" customHeight="false" outlineLevel="0" collapsed="false">
      <c r="A1681" s="9"/>
      <c r="B1681" s="4"/>
      <c r="C1681" s="10"/>
      <c r="D1681" s="11" t="str">
        <f aca="false">IF(K1681="","",IFERROR(INDEX(DECKS!$C$2:$C$1201,MATCH(K1681,DECKS!$B$2:$B$1201,0)),TRIM(I1681&amp;"")))</f>
        <v/>
      </c>
      <c r="E1681" s="4"/>
      <c r="F1681" s="12"/>
      <c r="G1681" s="4"/>
      <c r="H1681" s="13" t="str">
        <f aca="false">IF(OR(N(C1681)=0,N(F1681)=0),"",C1681*F1681)</f>
        <v/>
      </c>
      <c r="I1681" s="4"/>
      <c r="J1681" s="11" t="str">
        <f aca="false">IF(K1681="","",IF(N(C1681)&lt;=0,"Informe a quantidade",IF(IFERROR(INDEX(INVENTÁRIO!$B$2:$B$801,MATCH(K1681,INVENTÁRIO!$A$2:$A$801,0)),"")="(sem nome)","Carta fora dos decks: digite o nome na coluna I (opcional)","")))</f>
        <v/>
      </c>
      <c r="K1681" s="11" t="str">
        <f aca="false">UPPER(TRIM(SUBSTITUTE(B1681&amp;"",CHAR(160)," ")))</f>
        <v/>
      </c>
      <c r="L1681" s="11" t="str">
        <f aca="false">IF(AND(K1681&lt;&gt;"",TRIM(I1681&amp;"")&lt;&gt;""),K1681,"")</f>
        <v/>
      </c>
    </row>
    <row r="1682" customFormat="false" ht="15" hidden="false" customHeight="false" outlineLevel="0" collapsed="false">
      <c r="A1682" s="9"/>
      <c r="B1682" s="4"/>
      <c r="C1682" s="10"/>
      <c r="D1682" s="11" t="str">
        <f aca="false">IF(K1682="","",IFERROR(INDEX(DECKS!$C$2:$C$1201,MATCH(K1682,DECKS!$B$2:$B$1201,0)),TRIM(I1682&amp;"")))</f>
        <v/>
      </c>
      <c r="E1682" s="4"/>
      <c r="F1682" s="12"/>
      <c r="G1682" s="4"/>
      <c r="H1682" s="13" t="str">
        <f aca="false">IF(OR(N(C1682)=0,N(F1682)=0),"",C1682*F1682)</f>
        <v/>
      </c>
      <c r="I1682" s="4"/>
      <c r="J1682" s="11" t="str">
        <f aca="false">IF(K1682="","",IF(N(C1682)&lt;=0,"Informe a quantidade",IF(IFERROR(INDEX(INVENTÁRIO!$B$2:$B$801,MATCH(K1682,INVENTÁRIO!$A$2:$A$801,0)),"")="(sem nome)","Carta fora dos decks: digite o nome na coluna I (opcional)","")))</f>
        <v/>
      </c>
      <c r="K1682" s="11" t="str">
        <f aca="false">UPPER(TRIM(SUBSTITUTE(B1682&amp;"",CHAR(160)," ")))</f>
        <v/>
      </c>
      <c r="L1682" s="11" t="str">
        <f aca="false">IF(AND(K1682&lt;&gt;"",TRIM(I1682&amp;"")&lt;&gt;""),K1682,"")</f>
        <v/>
      </c>
    </row>
    <row r="1683" customFormat="false" ht="15" hidden="false" customHeight="false" outlineLevel="0" collapsed="false">
      <c r="A1683" s="9"/>
      <c r="B1683" s="4"/>
      <c r="C1683" s="10"/>
      <c r="D1683" s="11" t="str">
        <f aca="false">IF(K1683="","",IFERROR(INDEX(DECKS!$C$2:$C$1201,MATCH(K1683,DECKS!$B$2:$B$1201,0)),TRIM(I1683&amp;"")))</f>
        <v/>
      </c>
      <c r="E1683" s="4"/>
      <c r="F1683" s="12"/>
      <c r="G1683" s="4"/>
      <c r="H1683" s="13" t="str">
        <f aca="false">IF(OR(N(C1683)=0,N(F1683)=0),"",C1683*F1683)</f>
        <v/>
      </c>
      <c r="I1683" s="4"/>
      <c r="J1683" s="11" t="str">
        <f aca="false">IF(K1683="","",IF(N(C1683)&lt;=0,"Informe a quantidade",IF(IFERROR(INDEX(INVENTÁRIO!$B$2:$B$801,MATCH(K1683,INVENTÁRIO!$A$2:$A$801,0)),"")="(sem nome)","Carta fora dos decks: digite o nome na coluna I (opcional)","")))</f>
        <v/>
      </c>
      <c r="K1683" s="11" t="str">
        <f aca="false">UPPER(TRIM(SUBSTITUTE(B1683&amp;"",CHAR(160)," ")))</f>
        <v/>
      </c>
      <c r="L1683" s="11" t="str">
        <f aca="false">IF(AND(K1683&lt;&gt;"",TRIM(I1683&amp;"")&lt;&gt;""),K1683,"")</f>
        <v/>
      </c>
    </row>
    <row r="1684" customFormat="false" ht="15" hidden="false" customHeight="false" outlineLevel="0" collapsed="false">
      <c r="A1684" s="9"/>
      <c r="B1684" s="4"/>
      <c r="C1684" s="10"/>
      <c r="D1684" s="11" t="str">
        <f aca="false">IF(K1684="","",IFERROR(INDEX(DECKS!$C$2:$C$1201,MATCH(K1684,DECKS!$B$2:$B$1201,0)),TRIM(I1684&amp;"")))</f>
        <v/>
      </c>
      <c r="E1684" s="4"/>
      <c r="F1684" s="12"/>
      <c r="G1684" s="4"/>
      <c r="H1684" s="13" t="str">
        <f aca="false">IF(OR(N(C1684)=0,N(F1684)=0),"",C1684*F1684)</f>
        <v/>
      </c>
      <c r="I1684" s="4"/>
      <c r="J1684" s="11" t="str">
        <f aca="false">IF(K1684="","",IF(N(C1684)&lt;=0,"Informe a quantidade",IF(IFERROR(INDEX(INVENTÁRIO!$B$2:$B$801,MATCH(K1684,INVENTÁRIO!$A$2:$A$801,0)),"")="(sem nome)","Carta fora dos decks: digite o nome na coluna I (opcional)","")))</f>
        <v/>
      </c>
      <c r="K1684" s="11" t="str">
        <f aca="false">UPPER(TRIM(SUBSTITUTE(B1684&amp;"",CHAR(160)," ")))</f>
        <v/>
      </c>
      <c r="L1684" s="11" t="str">
        <f aca="false">IF(AND(K1684&lt;&gt;"",TRIM(I1684&amp;"")&lt;&gt;""),K1684,"")</f>
        <v/>
      </c>
    </row>
    <row r="1685" customFormat="false" ht="15" hidden="false" customHeight="false" outlineLevel="0" collapsed="false">
      <c r="A1685" s="9"/>
      <c r="B1685" s="4"/>
      <c r="C1685" s="10"/>
      <c r="D1685" s="11" t="str">
        <f aca="false">IF(K1685="","",IFERROR(INDEX(DECKS!$C$2:$C$1201,MATCH(K1685,DECKS!$B$2:$B$1201,0)),TRIM(I1685&amp;"")))</f>
        <v/>
      </c>
      <c r="E1685" s="4"/>
      <c r="F1685" s="12"/>
      <c r="G1685" s="4"/>
      <c r="H1685" s="13" t="str">
        <f aca="false">IF(OR(N(C1685)=0,N(F1685)=0),"",C1685*F1685)</f>
        <v/>
      </c>
      <c r="I1685" s="4"/>
      <c r="J1685" s="11" t="str">
        <f aca="false">IF(K1685="","",IF(N(C1685)&lt;=0,"Informe a quantidade",IF(IFERROR(INDEX(INVENTÁRIO!$B$2:$B$801,MATCH(K1685,INVENTÁRIO!$A$2:$A$801,0)),"")="(sem nome)","Carta fora dos decks: digite o nome na coluna I (opcional)","")))</f>
        <v/>
      </c>
      <c r="K1685" s="11" t="str">
        <f aca="false">UPPER(TRIM(SUBSTITUTE(B1685&amp;"",CHAR(160)," ")))</f>
        <v/>
      </c>
      <c r="L1685" s="11" t="str">
        <f aca="false">IF(AND(K1685&lt;&gt;"",TRIM(I1685&amp;"")&lt;&gt;""),K1685,"")</f>
        <v/>
      </c>
    </row>
    <row r="1686" customFormat="false" ht="15" hidden="false" customHeight="false" outlineLevel="0" collapsed="false">
      <c r="A1686" s="9"/>
      <c r="B1686" s="4"/>
      <c r="C1686" s="10"/>
      <c r="D1686" s="11" t="str">
        <f aca="false">IF(K1686="","",IFERROR(INDEX(DECKS!$C$2:$C$1201,MATCH(K1686,DECKS!$B$2:$B$1201,0)),TRIM(I1686&amp;"")))</f>
        <v/>
      </c>
      <c r="E1686" s="4"/>
      <c r="F1686" s="12"/>
      <c r="G1686" s="4"/>
      <c r="H1686" s="13" t="str">
        <f aca="false">IF(OR(N(C1686)=0,N(F1686)=0),"",C1686*F1686)</f>
        <v/>
      </c>
      <c r="I1686" s="4"/>
      <c r="J1686" s="11" t="str">
        <f aca="false">IF(K1686="","",IF(N(C1686)&lt;=0,"Informe a quantidade",IF(IFERROR(INDEX(INVENTÁRIO!$B$2:$B$801,MATCH(K1686,INVENTÁRIO!$A$2:$A$801,0)),"")="(sem nome)","Carta fora dos decks: digite o nome na coluna I (opcional)","")))</f>
        <v/>
      </c>
      <c r="K1686" s="11" t="str">
        <f aca="false">UPPER(TRIM(SUBSTITUTE(B1686&amp;"",CHAR(160)," ")))</f>
        <v/>
      </c>
      <c r="L1686" s="11" t="str">
        <f aca="false">IF(AND(K1686&lt;&gt;"",TRIM(I1686&amp;"")&lt;&gt;""),K1686,"")</f>
        <v/>
      </c>
    </row>
    <row r="1687" customFormat="false" ht="15" hidden="false" customHeight="false" outlineLevel="0" collapsed="false">
      <c r="A1687" s="9"/>
      <c r="B1687" s="4"/>
      <c r="C1687" s="10"/>
      <c r="D1687" s="11" t="str">
        <f aca="false">IF(K1687="","",IFERROR(INDEX(DECKS!$C$2:$C$1201,MATCH(K1687,DECKS!$B$2:$B$1201,0)),TRIM(I1687&amp;"")))</f>
        <v/>
      </c>
      <c r="E1687" s="4"/>
      <c r="F1687" s="12"/>
      <c r="G1687" s="4"/>
      <c r="H1687" s="13" t="str">
        <f aca="false">IF(OR(N(C1687)=0,N(F1687)=0),"",C1687*F1687)</f>
        <v/>
      </c>
      <c r="I1687" s="4"/>
      <c r="J1687" s="11" t="str">
        <f aca="false">IF(K1687="","",IF(N(C1687)&lt;=0,"Informe a quantidade",IF(IFERROR(INDEX(INVENTÁRIO!$B$2:$B$801,MATCH(K1687,INVENTÁRIO!$A$2:$A$801,0)),"")="(sem nome)","Carta fora dos decks: digite o nome na coluna I (opcional)","")))</f>
        <v/>
      </c>
      <c r="K1687" s="11" t="str">
        <f aca="false">UPPER(TRIM(SUBSTITUTE(B1687&amp;"",CHAR(160)," ")))</f>
        <v/>
      </c>
      <c r="L1687" s="11" t="str">
        <f aca="false">IF(AND(K1687&lt;&gt;"",TRIM(I1687&amp;"")&lt;&gt;""),K1687,"")</f>
        <v/>
      </c>
    </row>
    <row r="1688" customFormat="false" ht="15" hidden="false" customHeight="false" outlineLevel="0" collapsed="false">
      <c r="A1688" s="9"/>
      <c r="B1688" s="4"/>
      <c r="C1688" s="10"/>
      <c r="D1688" s="11" t="str">
        <f aca="false">IF(K1688="","",IFERROR(INDEX(DECKS!$C$2:$C$1201,MATCH(K1688,DECKS!$B$2:$B$1201,0)),TRIM(I1688&amp;"")))</f>
        <v/>
      </c>
      <c r="E1688" s="4"/>
      <c r="F1688" s="12"/>
      <c r="G1688" s="4"/>
      <c r="H1688" s="13" t="str">
        <f aca="false">IF(OR(N(C1688)=0,N(F1688)=0),"",C1688*F1688)</f>
        <v/>
      </c>
      <c r="I1688" s="4"/>
      <c r="J1688" s="11" t="str">
        <f aca="false">IF(K1688="","",IF(N(C1688)&lt;=0,"Informe a quantidade",IF(IFERROR(INDEX(INVENTÁRIO!$B$2:$B$801,MATCH(K1688,INVENTÁRIO!$A$2:$A$801,0)),"")="(sem nome)","Carta fora dos decks: digite o nome na coluna I (opcional)","")))</f>
        <v/>
      </c>
      <c r="K1688" s="11" t="str">
        <f aca="false">UPPER(TRIM(SUBSTITUTE(B1688&amp;"",CHAR(160)," ")))</f>
        <v/>
      </c>
      <c r="L1688" s="11" t="str">
        <f aca="false">IF(AND(K1688&lt;&gt;"",TRIM(I1688&amp;"")&lt;&gt;""),K1688,"")</f>
        <v/>
      </c>
    </row>
    <row r="1689" customFormat="false" ht="15" hidden="false" customHeight="false" outlineLevel="0" collapsed="false">
      <c r="A1689" s="9"/>
      <c r="B1689" s="4"/>
      <c r="C1689" s="10"/>
      <c r="D1689" s="11" t="str">
        <f aca="false">IF(K1689="","",IFERROR(INDEX(DECKS!$C$2:$C$1201,MATCH(K1689,DECKS!$B$2:$B$1201,0)),TRIM(I1689&amp;"")))</f>
        <v/>
      </c>
      <c r="E1689" s="4"/>
      <c r="F1689" s="12"/>
      <c r="G1689" s="4"/>
      <c r="H1689" s="13" t="str">
        <f aca="false">IF(OR(N(C1689)=0,N(F1689)=0),"",C1689*F1689)</f>
        <v/>
      </c>
      <c r="I1689" s="4"/>
      <c r="J1689" s="11" t="str">
        <f aca="false">IF(K1689="","",IF(N(C1689)&lt;=0,"Informe a quantidade",IF(IFERROR(INDEX(INVENTÁRIO!$B$2:$B$801,MATCH(K1689,INVENTÁRIO!$A$2:$A$801,0)),"")="(sem nome)","Carta fora dos decks: digite o nome na coluna I (opcional)","")))</f>
        <v/>
      </c>
      <c r="K1689" s="11" t="str">
        <f aca="false">UPPER(TRIM(SUBSTITUTE(B1689&amp;"",CHAR(160)," ")))</f>
        <v/>
      </c>
      <c r="L1689" s="11" t="str">
        <f aca="false">IF(AND(K1689&lt;&gt;"",TRIM(I1689&amp;"")&lt;&gt;""),K1689,"")</f>
        <v/>
      </c>
    </row>
    <row r="1690" customFormat="false" ht="15" hidden="false" customHeight="false" outlineLevel="0" collapsed="false">
      <c r="A1690" s="9"/>
      <c r="B1690" s="4"/>
      <c r="C1690" s="10"/>
      <c r="D1690" s="11" t="str">
        <f aca="false">IF(K1690="","",IFERROR(INDEX(DECKS!$C$2:$C$1201,MATCH(K1690,DECKS!$B$2:$B$1201,0)),TRIM(I1690&amp;"")))</f>
        <v/>
      </c>
      <c r="E1690" s="4"/>
      <c r="F1690" s="12"/>
      <c r="G1690" s="4"/>
      <c r="H1690" s="13" t="str">
        <f aca="false">IF(OR(N(C1690)=0,N(F1690)=0),"",C1690*F1690)</f>
        <v/>
      </c>
      <c r="I1690" s="4"/>
      <c r="J1690" s="11" t="str">
        <f aca="false">IF(K1690="","",IF(N(C1690)&lt;=0,"Informe a quantidade",IF(IFERROR(INDEX(INVENTÁRIO!$B$2:$B$801,MATCH(K1690,INVENTÁRIO!$A$2:$A$801,0)),"")="(sem nome)","Carta fora dos decks: digite o nome na coluna I (opcional)","")))</f>
        <v/>
      </c>
      <c r="K1690" s="11" t="str">
        <f aca="false">UPPER(TRIM(SUBSTITUTE(B1690&amp;"",CHAR(160)," ")))</f>
        <v/>
      </c>
      <c r="L1690" s="11" t="str">
        <f aca="false">IF(AND(K1690&lt;&gt;"",TRIM(I1690&amp;"")&lt;&gt;""),K1690,"")</f>
        <v/>
      </c>
    </row>
    <row r="1691" customFormat="false" ht="15" hidden="false" customHeight="false" outlineLevel="0" collapsed="false">
      <c r="A1691" s="9"/>
      <c r="B1691" s="4"/>
      <c r="C1691" s="10"/>
      <c r="D1691" s="11" t="str">
        <f aca="false">IF(K1691="","",IFERROR(INDEX(DECKS!$C$2:$C$1201,MATCH(K1691,DECKS!$B$2:$B$1201,0)),TRIM(I1691&amp;"")))</f>
        <v/>
      </c>
      <c r="E1691" s="4"/>
      <c r="F1691" s="12"/>
      <c r="G1691" s="4"/>
      <c r="H1691" s="13" t="str">
        <f aca="false">IF(OR(N(C1691)=0,N(F1691)=0),"",C1691*F1691)</f>
        <v/>
      </c>
      <c r="I1691" s="4"/>
      <c r="J1691" s="11" t="str">
        <f aca="false">IF(K1691="","",IF(N(C1691)&lt;=0,"Informe a quantidade",IF(IFERROR(INDEX(INVENTÁRIO!$B$2:$B$801,MATCH(K1691,INVENTÁRIO!$A$2:$A$801,0)),"")="(sem nome)","Carta fora dos decks: digite o nome na coluna I (opcional)","")))</f>
        <v/>
      </c>
      <c r="K1691" s="11" t="str">
        <f aca="false">UPPER(TRIM(SUBSTITUTE(B1691&amp;"",CHAR(160)," ")))</f>
        <v/>
      </c>
      <c r="L1691" s="11" t="str">
        <f aca="false">IF(AND(K1691&lt;&gt;"",TRIM(I1691&amp;"")&lt;&gt;""),K1691,"")</f>
        <v/>
      </c>
    </row>
    <row r="1692" customFormat="false" ht="15" hidden="false" customHeight="false" outlineLevel="0" collapsed="false">
      <c r="A1692" s="9"/>
      <c r="B1692" s="4"/>
      <c r="C1692" s="10"/>
      <c r="D1692" s="11" t="str">
        <f aca="false">IF(K1692="","",IFERROR(INDEX(DECKS!$C$2:$C$1201,MATCH(K1692,DECKS!$B$2:$B$1201,0)),TRIM(I1692&amp;"")))</f>
        <v/>
      </c>
      <c r="E1692" s="4"/>
      <c r="F1692" s="12"/>
      <c r="G1692" s="4"/>
      <c r="H1692" s="13" t="str">
        <f aca="false">IF(OR(N(C1692)=0,N(F1692)=0),"",C1692*F1692)</f>
        <v/>
      </c>
      <c r="I1692" s="4"/>
      <c r="J1692" s="11" t="str">
        <f aca="false">IF(K1692="","",IF(N(C1692)&lt;=0,"Informe a quantidade",IF(IFERROR(INDEX(INVENTÁRIO!$B$2:$B$801,MATCH(K1692,INVENTÁRIO!$A$2:$A$801,0)),"")="(sem nome)","Carta fora dos decks: digite o nome na coluna I (opcional)","")))</f>
        <v/>
      </c>
      <c r="K1692" s="11" t="str">
        <f aca="false">UPPER(TRIM(SUBSTITUTE(B1692&amp;"",CHAR(160)," ")))</f>
        <v/>
      </c>
      <c r="L1692" s="11" t="str">
        <f aca="false">IF(AND(K1692&lt;&gt;"",TRIM(I1692&amp;"")&lt;&gt;""),K1692,"")</f>
        <v/>
      </c>
    </row>
    <row r="1693" customFormat="false" ht="15" hidden="false" customHeight="false" outlineLevel="0" collapsed="false">
      <c r="A1693" s="9"/>
      <c r="B1693" s="4"/>
      <c r="C1693" s="10"/>
      <c r="D1693" s="11" t="str">
        <f aca="false">IF(K1693="","",IFERROR(INDEX(DECKS!$C$2:$C$1201,MATCH(K1693,DECKS!$B$2:$B$1201,0)),TRIM(I1693&amp;"")))</f>
        <v/>
      </c>
      <c r="E1693" s="4"/>
      <c r="F1693" s="12"/>
      <c r="G1693" s="4"/>
      <c r="H1693" s="13" t="str">
        <f aca="false">IF(OR(N(C1693)=0,N(F1693)=0),"",C1693*F1693)</f>
        <v/>
      </c>
      <c r="I1693" s="4"/>
      <c r="J1693" s="11" t="str">
        <f aca="false">IF(K1693="","",IF(N(C1693)&lt;=0,"Informe a quantidade",IF(IFERROR(INDEX(INVENTÁRIO!$B$2:$B$801,MATCH(K1693,INVENTÁRIO!$A$2:$A$801,0)),"")="(sem nome)","Carta fora dos decks: digite o nome na coluna I (opcional)","")))</f>
        <v/>
      </c>
      <c r="K1693" s="11" t="str">
        <f aca="false">UPPER(TRIM(SUBSTITUTE(B1693&amp;"",CHAR(160)," ")))</f>
        <v/>
      </c>
      <c r="L1693" s="11" t="str">
        <f aca="false">IF(AND(K1693&lt;&gt;"",TRIM(I1693&amp;"")&lt;&gt;""),K1693,"")</f>
        <v/>
      </c>
    </row>
    <row r="1694" customFormat="false" ht="15" hidden="false" customHeight="false" outlineLevel="0" collapsed="false">
      <c r="A1694" s="9"/>
      <c r="B1694" s="4"/>
      <c r="C1694" s="10"/>
      <c r="D1694" s="11" t="str">
        <f aca="false">IF(K1694="","",IFERROR(INDEX(DECKS!$C$2:$C$1201,MATCH(K1694,DECKS!$B$2:$B$1201,0)),TRIM(I1694&amp;"")))</f>
        <v/>
      </c>
      <c r="E1694" s="4"/>
      <c r="F1694" s="12"/>
      <c r="G1694" s="4"/>
      <c r="H1694" s="13" t="str">
        <f aca="false">IF(OR(N(C1694)=0,N(F1694)=0),"",C1694*F1694)</f>
        <v/>
      </c>
      <c r="I1694" s="4"/>
      <c r="J1694" s="11" t="str">
        <f aca="false">IF(K1694="","",IF(N(C1694)&lt;=0,"Informe a quantidade",IF(IFERROR(INDEX(INVENTÁRIO!$B$2:$B$801,MATCH(K1694,INVENTÁRIO!$A$2:$A$801,0)),"")="(sem nome)","Carta fora dos decks: digite o nome na coluna I (opcional)","")))</f>
        <v/>
      </c>
      <c r="K1694" s="11" t="str">
        <f aca="false">UPPER(TRIM(SUBSTITUTE(B1694&amp;"",CHAR(160)," ")))</f>
        <v/>
      </c>
      <c r="L1694" s="11" t="str">
        <f aca="false">IF(AND(K1694&lt;&gt;"",TRIM(I1694&amp;"")&lt;&gt;""),K1694,"")</f>
        <v/>
      </c>
    </row>
    <row r="1695" customFormat="false" ht="15" hidden="false" customHeight="false" outlineLevel="0" collapsed="false">
      <c r="A1695" s="9"/>
      <c r="B1695" s="4"/>
      <c r="C1695" s="10"/>
      <c r="D1695" s="11" t="str">
        <f aca="false">IF(K1695="","",IFERROR(INDEX(DECKS!$C$2:$C$1201,MATCH(K1695,DECKS!$B$2:$B$1201,0)),TRIM(I1695&amp;"")))</f>
        <v/>
      </c>
      <c r="E1695" s="4"/>
      <c r="F1695" s="12"/>
      <c r="G1695" s="4"/>
      <c r="H1695" s="13" t="str">
        <f aca="false">IF(OR(N(C1695)=0,N(F1695)=0),"",C1695*F1695)</f>
        <v/>
      </c>
      <c r="I1695" s="4"/>
      <c r="J1695" s="11" t="str">
        <f aca="false">IF(K1695="","",IF(N(C1695)&lt;=0,"Informe a quantidade",IF(IFERROR(INDEX(INVENTÁRIO!$B$2:$B$801,MATCH(K1695,INVENTÁRIO!$A$2:$A$801,0)),"")="(sem nome)","Carta fora dos decks: digite o nome na coluna I (opcional)","")))</f>
        <v/>
      </c>
      <c r="K1695" s="11" t="str">
        <f aca="false">UPPER(TRIM(SUBSTITUTE(B1695&amp;"",CHAR(160)," ")))</f>
        <v/>
      </c>
      <c r="L1695" s="11" t="str">
        <f aca="false">IF(AND(K1695&lt;&gt;"",TRIM(I1695&amp;"")&lt;&gt;""),K1695,"")</f>
        <v/>
      </c>
    </row>
    <row r="1696" customFormat="false" ht="15" hidden="false" customHeight="false" outlineLevel="0" collapsed="false">
      <c r="A1696" s="9"/>
      <c r="B1696" s="4"/>
      <c r="C1696" s="10"/>
      <c r="D1696" s="11" t="str">
        <f aca="false">IF(K1696="","",IFERROR(INDEX(DECKS!$C$2:$C$1201,MATCH(K1696,DECKS!$B$2:$B$1201,0)),TRIM(I1696&amp;"")))</f>
        <v/>
      </c>
      <c r="E1696" s="4"/>
      <c r="F1696" s="12"/>
      <c r="G1696" s="4"/>
      <c r="H1696" s="13" t="str">
        <f aca="false">IF(OR(N(C1696)=0,N(F1696)=0),"",C1696*F1696)</f>
        <v/>
      </c>
      <c r="I1696" s="4"/>
      <c r="J1696" s="11" t="str">
        <f aca="false">IF(K1696="","",IF(N(C1696)&lt;=0,"Informe a quantidade",IF(IFERROR(INDEX(INVENTÁRIO!$B$2:$B$801,MATCH(K1696,INVENTÁRIO!$A$2:$A$801,0)),"")="(sem nome)","Carta fora dos decks: digite o nome na coluna I (opcional)","")))</f>
        <v/>
      </c>
      <c r="K1696" s="11" t="str">
        <f aca="false">UPPER(TRIM(SUBSTITUTE(B1696&amp;"",CHAR(160)," ")))</f>
        <v/>
      </c>
      <c r="L1696" s="11" t="str">
        <f aca="false">IF(AND(K1696&lt;&gt;"",TRIM(I1696&amp;"")&lt;&gt;""),K1696,"")</f>
        <v/>
      </c>
    </row>
    <row r="1697" customFormat="false" ht="15" hidden="false" customHeight="false" outlineLevel="0" collapsed="false">
      <c r="A1697" s="9"/>
      <c r="B1697" s="4"/>
      <c r="C1697" s="10"/>
      <c r="D1697" s="11" t="str">
        <f aca="false">IF(K1697="","",IFERROR(INDEX(DECKS!$C$2:$C$1201,MATCH(K1697,DECKS!$B$2:$B$1201,0)),TRIM(I1697&amp;"")))</f>
        <v/>
      </c>
      <c r="E1697" s="4"/>
      <c r="F1697" s="12"/>
      <c r="G1697" s="4"/>
      <c r="H1697" s="13" t="str">
        <f aca="false">IF(OR(N(C1697)=0,N(F1697)=0),"",C1697*F1697)</f>
        <v/>
      </c>
      <c r="I1697" s="4"/>
      <c r="J1697" s="11" t="str">
        <f aca="false">IF(K1697="","",IF(N(C1697)&lt;=0,"Informe a quantidade",IF(IFERROR(INDEX(INVENTÁRIO!$B$2:$B$801,MATCH(K1697,INVENTÁRIO!$A$2:$A$801,0)),"")="(sem nome)","Carta fora dos decks: digite o nome na coluna I (opcional)","")))</f>
        <v/>
      </c>
      <c r="K1697" s="11" t="str">
        <f aca="false">UPPER(TRIM(SUBSTITUTE(B1697&amp;"",CHAR(160)," ")))</f>
        <v/>
      </c>
      <c r="L1697" s="11" t="str">
        <f aca="false">IF(AND(K1697&lt;&gt;"",TRIM(I1697&amp;"")&lt;&gt;""),K1697,"")</f>
        <v/>
      </c>
    </row>
    <row r="1698" customFormat="false" ht="15" hidden="false" customHeight="false" outlineLevel="0" collapsed="false">
      <c r="A1698" s="9"/>
      <c r="B1698" s="4"/>
      <c r="C1698" s="10"/>
      <c r="D1698" s="11" t="str">
        <f aca="false">IF(K1698="","",IFERROR(INDEX(DECKS!$C$2:$C$1201,MATCH(K1698,DECKS!$B$2:$B$1201,0)),TRIM(I1698&amp;"")))</f>
        <v/>
      </c>
      <c r="E1698" s="4"/>
      <c r="F1698" s="12"/>
      <c r="G1698" s="4"/>
      <c r="H1698" s="13" t="str">
        <f aca="false">IF(OR(N(C1698)=0,N(F1698)=0),"",C1698*F1698)</f>
        <v/>
      </c>
      <c r="I1698" s="4"/>
      <c r="J1698" s="11" t="str">
        <f aca="false">IF(K1698="","",IF(N(C1698)&lt;=0,"Informe a quantidade",IF(IFERROR(INDEX(INVENTÁRIO!$B$2:$B$801,MATCH(K1698,INVENTÁRIO!$A$2:$A$801,0)),"")="(sem nome)","Carta fora dos decks: digite o nome na coluna I (opcional)","")))</f>
        <v/>
      </c>
      <c r="K1698" s="11" t="str">
        <f aca="false">UPPER(TRIM(SUBSTITUTE(B1698&amp;"",CHAR(160)," ")))</f>
        <v/>
      </c>
      <c r="L1698" s="11" t="str">
        <f aca="false">IF(AND(K1698&lt;&gt;"",TRIM(I1698&amp;"")&lt;&gt;""),K1698,"")</f>
        <v/>
      </c>
    </row>
    <row r="1699" customFormat="false" ht="15" hidden="false" customHeight="false" outlineLevel="0" collapsed="false">
      <c r="A1699" s="9"/>
      <c r="B1699" s="4"/>
      <c r="C1699" s="10"/>
      <c r="D1699" s="11" t="str">
        <f aca="false">IF(K1699="","",IFERROR(INDEX(DECKS!$C$2:$C$1201,MATCH(K1699,DECKS!$B$2:$B$1201,0)),TRIM(I1699&amp;"")))</f>
        <v/>
      </c>
      <c r="E1699" s="4"/>
      <c r="F1699" s="12"/>
      <c r="G1699" s="4"/>
      <c r="H1699" s="13" t="str">
        <f aca="false">IF(OR(N(C1699)=0,N(F1699)=0),"",C1699*F1699)</f>
        <v/>
      </c>
      <c r="I1699" s="4"/>
      <c r="J1699" s="11" t="str">
        <f aca="false">IF(K1699="","",IF(N(C1699)&lt;=0,"Informe a quantidade",IF(IFERROR(INDEX(INVENTÁRIO!$B$2:$B$801,MATCH(K1699,INVENTÁRIO!$A$2:$A$801,0)),"")="(sem nome)","Carta fora dos decks: digite o nome na coluna I (opcional)","")))</f>
        <v/>
      </c>
      <c r="K1699" s="11" t="str">
        <f aca="false">UPPER(TRIM(SUBSTITUTE(B1699&amp;"",CHAR(160)," ")))</f>
        <v/>
      </c>
      <c r="L1699" s="11" t="str">
        <f aca="false">IF(AND(K1699&lt;&gt;"",TRIM(I1699&amp;"")&lt;&gt;""),K1699,"")</f>
        <v/>
      </c>
    </row>
    <row r="1700" customFormat="false" ht="15" hidden="false" customHeight="false" outlineLevel="0" collapsed="false">
      <c r="A1700" s="9"/>
      <c r="B1700" s="4"/>
      <c r="C1700" s="10"/>
      <c r="D1700" s="11" t="str">
        <f aca="false">IF(K1700="","",IFERROR(INDEX(DECKS!$C$2:$C$1201,MATCH(K1700,DECKS!$B$2:$B$1201,0)),TRIM(I1700&amp;"")))</f>
        <v/>
      </c>
      <c r="E1700" s="4"/>
      <c r="F1700" s="12"/>
      <c r="G1700" s="4"/>
      <c r="H1700" s="13" t="str">
        <f aca="false">IF(OR(N(C1700)=0,N(F1700)=0),"",C1700*F1700)</f>
        <v/>
      </c>
      <c r="I1700" s="4"/>
      <c r="J1700" s="11" t="str">
        <f aca="false">IF(K1700="","",IF(N(C1700)&lt;=0,"Informe a quantidade",IF(IFERROR(INDEX(INVENTÁRIO!$B$2:$B$801,MATCH(K1700,INVENTÁRIO!$A$2:$A$801,0)),"")="(sem nome)","Carta fora dos decks: digite o nome na coluna I (opcional)","")))</f>
        <v/>
      </c>
      <c r="K1700" s="11" t="str">
        <f aca="false">UPPER(TRIM(SUBSTITUTE(B1700&amp;"",CHAR(160)," ")))</f>
        <v/>
      </c>
      <c r="L1700" s="11" t="str">
        <f aca="false">IF(AND(K1700&lt;&gt;"",TRIM(I1700&amp;"")&lt;&gt;""),K1700,"")</f>
        <v/>
      </c>
    </row>
    <row r="1701" customFormat="false" ht="15" hidden="false" customHeight="false" outlineLevel="0" collapsed="false">
      <c r="A1701" s="9"/>
      <c r="B1701" s="4"/>
      <c r="C1701" s="10"/>
      <c r="D1701" s="11" t="str">
        <f aca="false">IF(K1701="","",IFERROR(INDEX(DECKS!$C$2:$C$1201,MATCH(K1701,DECKS!$B$2:$B$1201,0)),TRIM(I1701&amp;"")))</f>
        <v/>
      </c>
      <c r="E1701" s="4"/>
      <c r="F1701" s="12"/>
      <c r="G1701" s="4"/>
      <c r="H1701" s="13" t="str">
        <f aca="false">IF(OR(N(C1701)=0,N(F1701)=0),"",C1701*F1701)</f>
        <v/>
      </c>
      <c r="I1701" s="4"/>
      <c r="J1701" s="11" t="str">
        <f aca="false">IF(K1701="","",IF(N(C1701)&lt;=0,"Informe a quantidade",IF(IFERROR(INDEX(INVENTÁRIO!$B$2:$B$801,MATCH(K1701,INVENTÁRIO!$A$2:$A$801,0)),"")="(sem nome)","Carta fora dos decks: digite o nome na coluna I (opcional)","")))</f>
        <v/>
      </c>
      <c r="K1701" s="11" t="str">
        <f aca="false">UPPER(TRIM(SUBSTITUTE(B1701&amp;"",CHAR(160)," ")))</f>
        <v/>
      </c>
      <c r="L1701" s="11" t="str">
        <f aca="false">IF(AND(K1701&lt;&gt;"",TRIM(I1701&amp;"")&lt;&gt;""),K1701,"")</f>
        <v/>
      </c>
    </row>
    <row r="1702" customFormat="false" ht="15" hidden="false" customHeight="false" outlineLevel="0" collapsed="false">
      <c r="A1702" s="9"/>
      <c r="B1702" s="4"/>
      <c r="C1702" s="10"/>
      <c r="D1702" s="11" t="str">
        <f aca="false">IF(K1702="","",IFERROR(INDEX(DECKS!$C$2:$C$1201,MATCH(K1702,DECKS!$B$2:$B$1201,0)),TRIM(I1702&amp;"")))</f>
        <v/>
      </c>
      <c r="E1702" s="4"/>
      <c r="F1702" s="12"/>
      <c r="G1702" s="4"/>
      <c r="H1702" s="13" t="str">
        <f aca="false">IF(OR(N(C1702)=0,N(F1702)=0),"",C1702*F1702)</f>
        <v/>
      </c>
      <c r="I1702" s="4"/>
      <c r="J1702" s="11" t="str">
        <f aca="false">IF(K1702="","",IF(N(C1702)&lt;=0,"Informe a quantidade",IF(IFERROR(INDEX(INVENTÁRIO!$B$2:$B$801,MATCH(K1702,INVENTÁRIO!$A$2:$A$801,0)),"")="(sem nome)","Carta fora dos decks: digite o nome na coluna I (opcional)","")))</f>
        <v/>
      </c>
      <c r="K1702" s="11" t="str">
        <f aca="false">UPPER(TRIM(SUBSTITUTE(B1702&amp;"",CHAR(160)," ")))</f>
        <v/>
      </c>
      <c r="L1702" s="11" t="str">
        <f aca="false">IF(AND(K1702&lt;&gt;"",TRIM(I1702&amp;"")&lt;&gt;""),K1702,"")</f>
        <v/>
      </c>
    </row>
    <row r="1703" customFormat="false" ht="15" hidden="false" customHeight="false" outlineLevel="0" collapsed="false">
      <c r="A1703" s="9"/>
      <c r="B1703" s="4"/>
      <c r="C1703" s="10"/>
      <c r="D1703" s="11" t="str">
        <f aca="false">IF(K1703="","",IFERROR(INDEX(DECKS!$C$2:$C$1201,MATCH(K1703,DECKS!$B$2:$B$1201,0)),TRIM(I1703&amp;"")))</f>
        <v/>
      </c>
      <c r="E1703" s="4"/>
      <c r="F1703" s="12"/>
      <c r="G1703" s="4"/>
      <c r="H1703" s="13" t="str">
        <f aca="false">IF(OR(N(C1703)=0,N(F1703)=0),"",C1703*F1703)</f>
        <v/>
      </c>
      <c r="I1703" s="4"/>
      <c r="J1703" s="11" t="str">
        <f aca="false">IF(K1703="","",IF(N(C1703)&lt;=0,"Informe a quantidade",IF(IFERROR(INDEX(INVENTÁRIO!$B$2:$B$801,MATCH(K1703,INVENTÁRIO!$A$2:$A$801,0)),"")="(sem nome)","Carta fora dos decks: digite o nome na coluna I (opcional)","")))</f>
        <v/>
      </c>
      <c r="K1703" s="11" t="str">
        <f aca="false">UPPER(TRIM(SUBSTITUTE(B1703&amp;"",CHAR(160)," ")))</f>
        <v/>
      </c>
      <c r="L1703" s="11" t="str">
        <f aca="false">IF(AND(K1703&lt;&gt;"",TRIM(I1703&amp;"")&lt;&gt;""),K1703,"")</f>
        <v/>
      </c>
    </row>
    <row r="1704" customFormat="false" ht="15" hidden="false" customHeight="false" outlineLevel="0" collapsed="false">
      <c r="A1704" s="9"/>
      <c r="B1704" s="4"/>
      <c r="C1704" s="10"/>
      <c r="D1704" s="11" t="str">
        <f aca="false">IF(K1704="","",IFERROR(INDEX(DECKS!$C$2:$C$1201,MATCH(K1704,DECKS!$B$2:$B$1201,0)),TRIM(I1704&amp;"")))</f>
        <v/>
      </c>
      <c r="E1704" s="4"/>
      <c r="F1704" s="12"/>
      <c r="G1704" s="4"/>
      <c r="H1704" s="13" t="str">
        <f aca="false">IF(OR(N(C1704)=0,N(F1704)=0),"",C1704*F1704)</f>
        <v/>
      </c>
      <c r="I1704" s="4"/>
      <c r="J1704" s="11" t="str">
        <f aca="false">IF(K1704="","",IF(N(C1704)&lt;=0,"Informe a quantidade",IF(IFERROR(INDEX(INVENTÁRIO!$B$2:$B$801,MATCH(K1704,INVENTÁRIO!$A$2:$A$801,0)),"")="(sem nome)","Carta fora dos decks: digite o nome na coluna I (opcional)","")))</f>
        <v/>
      </c>
      <c r="K1704" s="11" t="str">
        <f aca="false">UPPER(TRIM(SUBSTITUTE(B1704&amp;"",CHAR(160)," ")))</f>
        <v/>
      </c>
      <c r="L1704" s="11" t="str">
        <f aca="false">IF(AND(K1704&lt;&gt;"",TRIM(I1704&amp;"")&lt;&gt;""),K1704,"")</f>
        <v/>
      </c>
    </row>
    <row r="1705" customFormat="false" ht="15" hidden="false" customHeight="false" outlineLevel="0" collapsed="false">
      <c r="A1705" s="9"/>
      <c r="B1705" s="4"/>
      <c r="C1705" s="10"/>
      <c r="D1705" s="11" t="str">
        <f aca="false">IF(K1705="","",IFERROR(INDEX(DECKS!$C$2:$C$1201,MATCH(K1705,DECKS!$B$2:$B$1201,0)),TRIM(I1705&amp;"")))</f>
        <v/>
      </c>
      <c r="E1705" s="4"/>
      <c r="F1705" s="12"/>
      <c r="G1705" s="4"/>
      <c r="H1705" s="13" t="str">
        <f aca="false">IF(OR(N(C1705)=0,N(F1705)=0),"",C1705*F1705)</f>
        <v/>
      </c>
      <c r="I1705" s="4"/>
      <c r="J1705" s="11" t="str">
        <f aca="false">IF(K1705="","",IF(N(C1705)&lt;=0,"Informe a quantidade",IF(IFERROR(INDEX(INVENTÁRIO!$B$2:$B$801,MATCH(K1705,INVENTÁRIO!$A$2:$A$801,0)),"")="(sem nome)","Carta fora dos decks: digite o nome na coluna I (opcional)","")))</f>
        <v/>
      </c>
      <c r="K1705" s="11" t="str">
        <f aca="false">UPPER(TRIM(SUBSTITUTE(B1705&amp;"",CHAR(160)," ")))</f>
        <v/>
      </c>
      <c r="L1705" s="11" t="str">
        <f aca="false">IF(AND(K1705&lt;&gt;"",TRIM(I1705&amp;"")&lt;&gt;""),K1705,"")</f>
        <v/>
      </c>
    </row>
    <row r="1706" customFormat="false" ht="15" hidden="false" customHeight="false" outlineLevel="0" collapsed="false">
      <c r="A1706" s="9"/>
      <c r="B1706" s="4"/>
      <c r="C1706" s="10"/>
      <c r="D1706" s="11" t="str">
        <f aca="false">IF(K1706="","",IFERROR(INDEX(DECKS!$C$2:$C$1201,MATCH(K1706,DECKS!$B$2:$B$1201,0)),TRIM(I1706&amp;"")))</f>
        <v/>
      </c>
      <c r="E1706" s="4"/>
      <c r="F1706" s="12"/>
      <c r="G1706" s="4"/>
      <c r="H1706" s="13" t="str">
        <f aca="false">IF(OR(N(C1706)=0,N(F1706)=0),"",C1706*F1706)</f>
        <v/>
      </c>
      <c r="I1706" s="4"/>
      <c r="J1706" s="11" t="str">
        <f aca="false">IF(K1706="","",IF(N(C1706)&lt;=0,"Informe a quantidade",IF(IFERROR(INDEX(INVENTÁRIO!$B$2:$B$801,MATCH(K1706,INVENTÁRIO!$A$2:$A$801,0)),"")="(sem nome)","Carta fora dos decks: digite o nome na coluna I (opcional)","")))</f>
        <v/>
      </c>
      <c r="K1706" s="11" t="str">
        <f aca="false">UPPER(TRIM(SUBSTITUTE(B1706&amp;"",CHAR(160)," ")))</f>
        <v/>
      </c>
      <c r="L1706" s="11" t="str">
        <f aca="false">IF(AND(K1706&lt;&gt;"",TRIM(I1706&amp;"")&lt;&gt;""),K1706,"")</f>
        <v/>
      </c>
    </row>
    <row r="1707" customFormat="false" ht="15" hidden="false" customHeight="false" outlineLevel="0" collapsed="false">
      <c r="A1707" s="9"/>
      <c r="B1707" s="4"/>
      <c r="C1707" s="10"/>
      <c r="D1707" s="11" t="str">
        <f aca="false">IF(K1707="","",IFERROR(INDEX(DECKS!$C$2:$C$1201,MATCH(K1707,DECKS!$B$2:$B$1201,0)),TRIM(I1707&amp;"")))</f>
        <v/>
      </c>
      <c r="E1707" s="4"/>
      <c r="F1707" s="12"/>
      <c r="G1707" s="4"/>
      <c r="H1707" s="13" t="str">
        <f aca="false">IF(OR(N(C1707)=0,N(F1707)=0),"",C1707*F1707)</f>
        <v/>
      </c>
      <c r="I1707" s="4"/>
      <c r="J1707" s="11" t="str">
        <f aca="false">IF(K1707="","",IF(N(C1707)&lt;=0,"Informe a quantidade",IF(IFERROR(INDEX(INVENTÁRIO!$B$2:$B$801,MATCH(K1707,INVENTÁRIO!$A$2:$A$801,0)),"")="(sem nome)","Carta fora dos decks: digite o nome na coluna I (opcional)","")))</f>
        <v/>
      </c>
      <c r="K1707" s="11" t="str">
        <f aca="false">UPPER(TRIM(SUBSTITUTE(B1707&amp;"",CHAR(160)," ")))</f>
        <v/>
      </c>
      <c r="L1707" s="11" t="str">
        <f aca="false">IF(AND(K1707&lt;&gt;"",TRIM(I1707&amp;"")&lt;&gt;""),K1707,"")</f>
        <v/>
      </c>
    </row>
    <row r="1708" customFormat="false" ht="15" hidden="false" customHeight="false" outlineLevel="0" collapsed="false">
      <c r="A1708" s="9"/>
      <c r="B1708" s="4"/>
      <c r="C1708" s="10"/>
      <c r="D1708" s="11" t="str">
        <f aca="false">IF(K1708="","",IFERROR(INDEX(DECKS!$C$2:$C$1201,MATCH(K1708,DECKS!$B$2:$B$1201,0)),TRIM(I1708&amp;"")))</f>
        <v/>
      </c>
      <c r="E1708" s="4"/>
      <c r="F1708" s="12"/>
      <c r="G1708" s="4"/>
      <c r="H1708" s="13" t="str">
        <f aca="false">IF(OR(N(C1708)=0,N(F1708)=0),"",C1708*F1708)</f>
        <v/>
      </c>
      <c r="I1708" s="4"/>
      <c r="J1708" s="11" t="str">
        <f aca="false">IF(K1708="","",IF(N(C1708)&lt;=0,"Informe a quantidade",IF(IFERROR(INDEX(INVENTÁRIO!$B$2:$B$801,MATCH(K1708,INVENTÁRIO!$A$2:$A$801,0)),"")="(sem nome)","Carta fora dos decks: digite o nome na coluna I (opcional)","")))</f>
        <v/>
      </c>
      <c r="K1708" s="11" t="str">
        <f aca="false">UPPER(TRIM(SUBSTITUTE(B1708&amp;"",CHAR(160)," ")))</f>
        <v/>
      </c>
      <c r="L1708" s="11" t="str">
        <f aca="false">IF(AND(K1708&lt;&gt;"",TRIM(I1708&amp;"")&lt;&gt;""),K1708,"")</f>
        <v/>
      </c>
    </row>
    <row r="1709" customFormat="false" ht="15" hidden="false" customHeight="false" outlineLevel="0" collapsed="false">
      <c r="A1709" s="9"/>
      <c r="B1709" s="4"/>
      <c r="C1709" s="10"/>
      <c r="D1709" s="11" t="str">
        <f aca="false">IF(K1709="","",IFERROR(INDEX(DECKS!$C$2:$C$1201,MATCH(K1709,DECKS!$B$2:$B$1201,0)),TRIM(I1709&amp;"")))</f>
        <v/>
      </c>
      <c r="E1709" s="4"/>
      <c r="F1709" s="12"/>
      <c r="G1709" s="4"/>
      <c r="H1709" s="13" t="str">
        <f aca="false">IF(OR(N(C1709)=0,N(F1709)=0),"",C1709*F1709)</f>
        <v/>
      </c>
      <c r="I1709" s="4"/>
      <c r="J1709" s="11" t="str">
        <f aca="false">IF(K1709="","",IF(N(C1709)&lt;=0,"Informe a quantidade",IF(IFERROR(INDEX(INVENTÁRIO!$B$2:$B$801,MATCH(K1709,INVENTÁRIO!$A$2:$A$801,0)),"")="(sem nome)","Carta fora dos decks: digite o nome na coluna I (opcional)","")))</f>
        <v/>
      </c>
      <c r="K1709" s="11" t="str">
        <f aca="false">UPPER(TRIM(SUBSTITUTE(B1709&amp;"",CHAR(160)," ")))</f>
        <v/>
      </c>
      <c r="L1709" s="11" t="str">
        <f aca="false">IF(AND(K1709&lt;&gt;"",TRIM(I1709&amp;"")&lt;&gt;""),K1709,"")</f>
        <v/>
      </c>
    </row>
    <row r="1710" customFormat="false" ht="15" hidden="false" customHeight="false" outlineLevel="0" collapsed="false">
      <c r="A1710" s="9"/>
      <c r="B1710" s="4"/>
      <c r="C1710" s="10"/>
      <c r="D1710" s="11" t="str">
        <f aca="false">IF(K1710="","",IFERROR(INDEX(DECKS!$C$2:$C$1201,MATCH(K1710,DECKS!$B$2:$B$1201,0)),TRIM(I1710&amp;"")))</f>
        <v/>
      </c>
      <c r="E1710" s="4"/>
      <c r="F1710" s="12"/>
      <c r="G1710" s="4"/>
      <c r="H1710" s="13" t="str">
        <f aca="false">IF(OR(N(C1710)=0,N(F1710)=0),"",C1710*F1710)</f>
        <v/>
      </c>
      <c r="I1710" s="4"/>
      <c r="J1710" s="11" t="str">
        <f aca="false">IF(K1710="","",IF(N(C1710)&lt;=0,"Informe a quantidade",IF(IFERROR(INDEX(INVENTÁRIO!$B$2:$B$801,MATCH(K1710,INVENTÁRIO!$A$2:$A$801,0)),"")="(sem nome)","Carta fora dos decks: digite o nome na coluna I (opcional)","")))</f>
        <v/>
      </c>
      <c r="K1710" s="11" t="str">
        <f aca="false">UPPER(TRIM(SUBSTITUTE(B1710&amp;"",CHAR(160)," ")))</f>
        <v/>
      </c>
      <c r="L1710" s="11" t="str">
        <f aca="false">IF(AND(K1710&lt;&gt;"",TRIM(I1710&amp;"")&lt;&gt;""),K1710,"")</f>
        <v/>
      </c>
    </row>
    <row r="1711" customFormat="false" ht="15" hidden="false" customHeight="false" outlineLevel="0" collapsed="false">
      <c r="A1711" s="9"/>
      <c r="B1711" s="4"/>
      <c r="C1711" s="10"/>
      <c r="D1711" s="11" t="str">
        <f aca="false">IF(K1711="","",IFERROR(INDEX(DECKS!$C$2:$C$1201,MATCH(K1711,DECKS!$B$2:$B$1201,0)),TRIM(I1711&amp;"")))</f>
        <v/>
      </c>
      <c r="E1711" s="4"/>
      <c r="F1711" s="12"/>
      <c r="G1711" s="4"/>
      <c r="H1711" s="13" t="str">
        <f aca="false">IF(OR(N(C1711)=0,N(F1711)=0),"",C1711*F1711)</f>
        <v/>
      </c>
      <c r="I1711" s="4"/>
      <c r="J1711" s="11" t="str">
        <f aca="false">IF(K1711="","",IF(N(C1711)&lt;=0,"Informe a quantidade",IF(IFERROR(INDEX(INVENTÁRIO!$B$2:$B$801,MATCH(K1711,INVENTÁRIO!$A$2:$A$801,0)),"")="(sem nome)","Carta fora dos decks: digite o nome na coluna I (opcional)","")))</f>
        <v/>
      </c>
      <c r="K1711" s="11" t="str">
        <f aca="false">UPPER(TRIM(SUBSTITUTE(B1711&amp;"",CHAR(160)," ")))</f>
        <v/>
      </c>
      <c r="L1711" s="11" t="str">
        <f aca="false">IF(AND(K1711&lt;&gt;"",TRIM(I1711&amp;"")&lt;&gt;""),K1711,"")</f>
        <v/>
      </c>
    </row>
    <row r="1712" customFormat="false" ht="15" hidden="false" customHeight="false" outlineLevel="0" collapsed="false">
      <c r="A1712" s="9"/>
      <c r="B1712" s="4"/>
      <c r="C1712" s="10"/>
      <c r="D1712" s="11" t="str">
        <f aca="false">IF(K1712="","",IFERROR(INDEX(DECKS!$C$2:$C$1201,MATCH(K1712,DECKS!$B$2:$B$1201,0)),TRIM(I1712&amp;"")))</f>
        <v/>
      </c>
      <c r="E1712" s="4"/>
      <c r="F1712" s="12"/>
      <c r="G1712" s="4"/>
      <c r="H1712" s="13" t="str">
        <f aca="false">IF(OR(N(C1712)=0,N(F1712)=0),"",C1712*F1712)</f>
        <v/>
      </c>
      <c r="I1712" s="4"/>
      <c r="J1712" s="11" t="str">
        <f aca="false">IF(K1712="","",IF(N(C1712)&lt;=0,"Informe a quantidade",IF(IFERROR(INDEX(INVENTÁRIO!$B$2:$B$801,MATCH(K1712,INVENTÁRIO!$A$2:$A$801,0)),"")="(sem nome)","Carta fora dos decks: digite o nome na coluna I (opcional)","")))</f>
        <v/>
      </c>
      <c r="K1712" s="11" t="str">
        <f aca="false">UPPER(TRIM(SUBSTITUTE(B1712&amp;"",CHAR(160)," ")))</f>
        <v/>
      </c>
      <c r="L1712" s="11" t="str">
        <f aca="false">IF(AND(K1712&lt;&gt;"",TRIM(I1712&amp;"")&lt;&gt;""),K1712,"")</f>
        <v/>
      </c>
    </row>
    <row r="1713" customFormat="false" ht="15" hidden="false" customHeight="false" outlineLevel="0" collapsed="false">
      <c r="A1713" s="9"/>
      <c r="B1713" s="4"/>
      <c r="C1713" s="10"/>
      <c r="D1713" s="11" t="str">
        <f aca="false">IF(K1713="","",IFERROR(INDEX(DECKS!$C$2:$C$1201,MATCH(K1713,DECKS!$B$2:$B$1201,0)),TRIM(I1713&amp;"")))</f>
        <v/>
      </c>
      <c r="E1713" s="4"/>
      <c r="F1713" s="12"/>
      <c r="G1713" s="4"/>
      <c r="H1713" s="13" t="str">
        <f aca="false">IF(OR(N(C1713)=0,N(F1713)=0),"",C1713*F1713)</f>
        <v/>
      </c>
      <c r="I1713" s="4"/>
      <c r="J1713" s="11" t="str">
        <f aca="false">IF(K1713="","",IF(N(C1713)&lt;=0,"Informe a quantidade",IF(IFERROR(INDEX(INVENTÁRIO!$B$2:$B$801,MATCH(K1713,INVENTÁRIO!$A$2:$A$801,0)),"")="(sem nome)","Carta fora dos decks: digite o nome na coluna I (opcional)","")))</f>
        <v/>
      </c>
      <c r="K1713" s="11" t="str">
        <f aca="false">UPPER(TRIM(SUBSTITUTE(B1713&amp;"",CHAR(160)," ")))</f>
        <v/>
      </c>
      <c r="L1713" s="11" t="str">
        <f aca="false">IF(AND(K1713&lt;&gt;"",TRIM(I1713&amp;"")&lt;&gt;""),K1713,"")</f>
        <v/>
      </c>
    </row>
    <row r="1714" customFormat="false" ht="15" hidden="false" customHeight="false" outlineLevel="0" collapsed="false">
      <c r="A1714" s="9"/>
      <c r="B1714" s="4"/>
      <c r="C1714" s="10"/>
      <c r="D1714" s="11" t="str">
        <f aca="false">IF(K1714="","",IFERROR(INDEX(DECKS!$C$2:$C$1201,MATCH(K1714,DECKS!$B$2:$B$1201,0)),TRIM(I1714&amp;"")))</f>
        <v/>
      </c>
      <c r="E1714" s="4"/>
      <c r="F1714" s="12"/>
      <c r="G1714" s="4"/>
      <c r="H1714" s="13" t="str">
        <f aca="false">IF(OR(N(C1714)=0,N(F1714)=0),"",C1714*F1714)</f>
        <v/>
      </c>
      <c r="I1714" s="4"/>
      <c r="J1714" s="11" t="str">
        <f aca="false">IF(K1714="","",IF(N(C1714)&lt;=0,"Informe a quantidade",IF(IFERROR(INDEX(INVENTÁRIO!$B$2:$B$801,MATCH(K1714,INVENTÁRIO!$A$2:$A$801,0)),"")="(sem nome)","Carta fora dos decks: digite o nome na coluna I (opcional)","")))</f>
        <v/>
      </c>
      <c r="K1714" s="11" t="str">
        <f aca="false">UPPER(TRIM(SUBSTITUTE(B1714&amp;"",CHAR(160)," ")))</f>
        <v/>
      </c>
      <c r="L1714" s="11" t="str">
        <f aca="false">IF(AND(K1714&lt;&gt;"",TRIM(I1714&amp;"")&lt;&gt;""),K1714,"")</f>
        <v/>
      </c>
    </row>
    <row r="1715" customFormat="false" ht="15" hidden="false" customHeight="false" outlineLevel="0" collapsed="false">
      <c r="A1715" s="9"/>
      <c r="B1715" s="4"/>
      <c r="C1715" s="10"/>
      <c r="D1715" s="11" t="str">
        <f aca="false">IF(K1715="","",IFERROR(INDEX(DECKS!$C$2:$C$1201,MATCH(K1715,DECKS!$B$2:$B$1201,0)),TRIM(I1715&amp;"")))</f>
        <v/>
      </c>
      <c r="E1715" s="4"/>
      <c r="F1715" s="12"/>
      <c r="G1715" s="4"/>
      <c r="H1715" s="13" t="str">
        <f aca="false">IF(OR(N(C1715)=0,N(F1715)=0),"",C1715*F1715)</f>
        <v/>
      </c>
      <c r="I1715" s="4"/>
      <c r="J1715" s="11" t="str">
        <f aca="false">IF(K1715="","",IF(N(C1715)&lt;=0,"Informe a quantidade",IF(IFERROR(INDEX(INVENTÁRIO!$B$2:$B$801,MATCH(K1715,INVENTÁRIO!$A$2:$A$801,0)),"")="(sem nome)","Carta fora dos decks: digite o nome na coluna I (opcional)","")))</f>
        <v/>
      </c>
      <c r="K1715" s="11" t="str">
        <f aca="false">UPPER(TRIM(SUBSTITUTE(B1715&amp;"",CHAR(160)," ")))</f>
        <v/>
      </c>
      <c r="L1715" s="11" t="str">
        <f aca="false">IF(AND(K1715&lt;&gt;"",TRIM(I1715&amp;"")&lt;&gt;""),K1715,"")</f>
        <v/>
      </c>
    </row>
    <row r="1716" customFormat="false" ht="15" hidden="false" customHeight="false" outlineLevel="0" collapsed="false">
      <c r="A1716" s="9"/>
      <c r="B1716" s="4"/>
      <c r="C1716" s="10"/>
      <c r="D1716" s="11" t="str">
        <f aca="false">IF(K1716="","",IFERROR(INDEX(DECKS!$C$2:$C$1201,MATCH(K1716,DECKS!$B$2:$B$1201,0)),TRIM(I1716&amp;"")))</f>
        <v/>
      </c>
      <c r="E1716" s="4"/>
      <c r="F1716" s="12"/>
      <c r="G1716" s="4"/>
      <c r="H1716" s="13" t="str">
        <f aca="false">IF(OR(N(C1716)=0,N(F1716)=0),"",C1716*F1716)</f>
        <v/>
      </c>
      <c r="I1716" s="4"/>
      <c r="J1716" s="11" t="str">
        <f aca="false">IF(K1716="","",IF(N(C1716)&lt;=0,"Informe a quantidade",IF(IFERROR(INDEX(INVENTÁRIO!$B$2:$B$801,MATCH(K1716,INVENTÁRIO!$A$2:$A$801,0)),"")="(sem nome)","Carta fora dos decks: digite o nome na coluna I (opcional)","")))</f>
        <v/>
      </c>
      <c r="K1716" s="11" t="str">
        <f aca="false">UPPER(TRIM(SUBSTITUTE(B1716&amp;"",CHAR(160)," ")))</f>
        <v/>
      </c>
      <c r="L1716" s="11" t="str">
        <f aca="false">IF(AND(K1716&lt;&gt;"",TRIM(I1716&amp;"")&lt;&gt;""),K1716,"")</f>
        <v/>
      </c>
    </row>
    <row r="1717" customFormat="false" ht="15" hidden="false" customHeight="false" outlineLevel="0" collapsed="false">
      <c r="A1717" s="9"/>
      <c r="B1717" s="4"/>
      <c r="C1717" s="10"/>
      <c r="D1717" s="11" t="str">
        <f aca="false">IF(K1717="","",IFERROR(INDEX(DECKS!$C$2:$C$1201,MATCH(K1717,DECKS!$B$2:$B$1201,0)),TRIM(I1717&amp;"")))</f>
        <v/>
      </c>
      <c r="E1717" s="4"/>
      <c r="F1717" s="12"/>
      <c r="G1717" s="4"/>
      <c r="H1717" s="13" t="str">
        <f aca="false">IF(OR(N(C1717)=0,N(F1717)=0),"",C1717*F1717)</f>
        <v/>
      </c>
      <c r="I1717" s="4"/>
      <c r="J1717" s="11" t="str">
        <f aca="false">IF(K1717="","",IF(N(C1717)&lt;=0,"Informe a quantidade",IF(IFERROR(INDEX(INVENTÁRIO!$B$2:$B$801,MATCH(K1717,INVENTÁRIO!$A$2:$A$801,0)),"")="(sem nome)","Carta fora dos decks: digite o nome na coluna I (opcional)","")))</f>
        <v/>
      </c>
      <c r="K1717" s="11" t="str">
        <f aca="false">UPPER(TRIM(SUBSTITUTE(B1717&amp;"",CHAR(160)," ")))</f>
        <v/>
      </c>
      <c r="L1717" s="11" t="str">
        <f aca="false">IF(AND(K1717&lt;&gt;"",TRIM(I1717&amp;"")&lt;&gt;""),K1717,"")</f>
        <v/>
      </c>
    </row>
    <row r="1718" customFormat="false" ht="15" hidden="false" customHeight="false" outlineLevel="0" collapsed="false">
      <c r="A1718" s="9"/>
      <c r="B1718" s="4"/>
      <c r="C1718" s="10"/>
      <c r="D1718" s="11" t="str">
        <f aca="false">IF(K1718="","",IFERROR(INDEX(DECKS!$C$2:$C$1201,MATCH(K1718,DECKS!$B$2:$B$1201,0)),TRIM(I1718&amp;"")))</f>
        <v/>
      </c>
      <c r="E1718" s="4"/>
      <c r="F1718" s="12"/>
      <c r="G1718" s="4"/>
      <c r="H1718" s="13" t="str">
        <f aca="false">IF(OR(N(C1718)=0,N(F1718)=0),"",C1718*F1718)</f>
        <v/>
      </c>
      <c r="I1718" s="4"/>
      <c r="J1718" s="11" t="str">
        <f aca="false">IF(K1718="","",IF(N(C1718)&lt;=0,"Informe a quantidade",IF(IFERROR(INDEX(INVENTÁRIO!$B$2:$B$801,MATCH(K1718,INVENTÁRIO!$A$2:$A$801,0)),"")="(sem nome)","Carta fora dos decks: digite o nome na coluna I (opcional)","")))</f>
        <v/>
      </c>
      <c r="K1718" s="11" t="str">
        <f aca="false">UPPER(TRIM(SUBSTITUTE(B1718&amp;"",CHAR(160)," ")))</f>
        <v/>
      </c>
      <c r="L1718" s="11" t="str">
        <f aca="false">IF(AND(K1718&lt;&gt;"",TRIM(I1718&amp;"")&lt;&gt;""),K1718,"")</f>
        <v/>
      </c>
    </row>
    <row r="1719" customFormat="false" ht="15" hidden="false" customHeight="false" outlineLevel="0" collapsed="false">
      <c r="A1719" s="9"/>
      <c r="B1719" s="4"/>
      <c r="C1719" s="10"/>
      <c r="D1719" s="11" t="str">
        <f aca="false">IF(K1719="","",IFERROR(INDEX(DECKS!$C$2:$C$1201,MATCH(K1719,DECKS!$B$2:$B$1201,0)),TRIM(I1719&amp;"")))</f>
        <v/>
      </c>
      <c r="E1719" s="4"/>
      <c r="F1719" s="12"/>
      <c r="G1719" s="4"/>
      <c r="H1719" s="13" t="str">
        <f aca="false">IF(OR(N(C1719)=0,N(F1719)=0),"",C1719*F1719)</f>
        <v/>
      </c>
      <c r="I1719" s="4"/>
      <c r="J1719" s="11" t="str">
        <f aca="false">IF(K1719="","",IF(N(C1719)&lt;=0,"Informe a quantidade",IF(IFERROR(INDEX(INVENTÁRIO!$B$2:$B$801,MATCH(K1719,INVENTÁRIO!$A$2:$A$801,0)),"")="(sem nome)","Carta fora dos decks: digite o nome na coluna I (opcional)","")))</f>
        <v/>
      </c>
      <c r="K1719" s="11" t="str">
        <f aca="false">UPPER(TRIM(SUBSTITUTE(B1719&amp;"",CHAR(160)," ")))</f>
        <v/>
      </c>
      <c r="L1719" s="11" t="str">
        <f aca="false">IF(AND(K1719&lt;&gt;"",TRIM(I1719&amp;"")&lt;&gt;""),K1719,"")</f>
        <v/>
      </c>
    </row>
    <row r="1720" customFormat="false" ht="15" hidden="false" customHeight="false" outlineLevel="0" collapsed="false">
      <c r="A1720" s="9"/>
      <c r="B1720" s="4"/>
      <c r="C1720" s="10"/>
      <c r="D1720" s="11" t="str">
        <f aca="false">IF(K1720="","",IFERROR(INDEX(DECKS!$C$2:$C$1201,MATCH(K1720,DECKS!$B$2:$B$1201,0)),TRIM(I1720&amp;"")))</f>
        <v/>
      </c>
      <c r="E1720" s="4"/>
      <c r="F1720" s="12"/>
      <c r="G1720" s="4"/>
      <c r="H1720" s="13" t="str">
        <f aca="false">IF(OR(N(C1720)=0,N(F1720)=0),"",C1720*F1720)</f>
        <v/>
      </c>
      <c r="I1720" s="4"/>
      <c r="J1720" s="11" t="str">
        <f aca="false">IF(K1720="","",IF(N(C1720)&lt;=0,"Informe a quantidade",IF(IFERROR(INDEX(INVENTÁRIO!$B$2:$B$801,MATCH(K1720,INVENTÁRIO!$A$2:$A$801,0)),"")="(sem nome)","Carta fora dos decks: digite o nome na coluna I (opcional)","")))</f>
        <v/>
      </c>
      <c r="K1720" s="11" t="str">
        <f aca="false">UPPER(TRIM(SUBSTITUTE(B1720&amp;"",CHAR(160)," ")))</f>
        <v/>
      </c>
      <c r="L1720" s="11" t="str">
        <f aca="false">IF(AND(K1720&lt;&gt;"",TRIM(I1720&amp;"")&lt;&gt;""),K1720,"")</f>
        <v/>
      </c>
    </row>
    <row r="1721" customFormat="false" ht="15" hidden="false" customHeight="false" outlineLevel="0" collapsed="false">
      <c r="A1721" s="9"/>
      <c r="B1721" s="4"/>
      <c r="C1721" s="10"/>
      <c r="D1721" s="11" t="str">
        <f aca="false">IF(K1721="","",IFERROR(INDEX(DECKS!$C$2:$C$1201,MATCH(K1721,DECKS!$B$2:$B$1201,0)),TRIM(I1721&amp;"")))</f>
        <v/>
      </c>
      <c r="E1721" s="4"/>
      <c r="F1721" s="12"/>
      <c r="G1721" s="4"/>
      <c r="H1721" s="13" t="str">
        <f aca="false">IF(OR(N(C1721)=0,N(F1721)=0),"",C1721*F1721)</f>
        <v/>
      </c>
      <c r="I1721" s="4"/>
      <c r="J1721" s="11" t="str">
        <f aca="false">IF(K1721="","",IF(N(C1721)&lt;=0,"Informe a quantidade",IF(IFERROR(INDEX(INVENTÁRIO!$B$2:$B$801,MATCH(K1721,INVENTÁRIO!$A$2:$A$801,0)),"")="(sem nome)","Carta fora dos decks: digite o nome na coluna I (opcional)","")))</f>
        <v/>
      </c>
      <c r="K1721" s="11" t="str">
        <f aca="false">UPPER(TRIM(SUBSTITUTE(B1721&amp;"",CHAR(160)," ")))</f>
        <v/>
      </c>
      <c r="L1721" s="11" t="str">
        <f aca="false">IF(AND(K1721&lt;&gt;"",TRIM(I1721&amp;"")&lt;&gt;""),K1721,"")</f>
        <v/>
      </c>
    </row>
    <row r="1722" customFormat="false" ht="15" hidden="false" customHeight="false" outlineLevel="0" collapsed="false">
      <c r="A1722" s="9"/>
      <c r="B1722" s="4"/>
      <c r="C1722" s="10"/>
      <c r="D1722" s="11" t="str">
        <f aca="false">IF(K1722="","",IFERROR(INDEX(DECKS!$C$2:$C$1201,MATCH(K1722,DECKS!$B$2:$B$1201,0)),TRIM(I1722&amp;"")))</f>
        <v/>
      </c>
      <c r="E1722" s="4"/>
      <c r="F1722" s="12"/>
      <c r="G1722" s="4"/>
      <c r="H1722" s="13" t="str">
        <f aca="false">IF(OR(N(C1722)=0,N(F1722)=0),"",C1722*F1722)</f>
        <v/>
      </c>
      <c r="I1722" s="4"/>
      <c r="J1722" s="11" t="str">
        <f aca="false">IF(K1722="","",IF(N(C1722)&lt;=0,"Informe a quantidade",IF(IFERROR(INDEX(INVENTÁRIO!$B$2:$B$801,MATCH(K1722,INVENTÁRIO!$A$2:$A$801,0)),"")="(sem nome)","Carta fora dos decks: digite o nome na coluna I (opcional)","")))</f>
        <v/>
      </c>
      <c r="K1722" s="11" t="str">
        <f aca="false">UPPER(TRIM(SUBSTITUTE(B1722&amp;"",CHAR(160)," ")))</f>
        <v/>
      </c>
      <c r="L1722" s="11" t="str">
        <f aca="false">IF(AND(K1722&lt;&gt;"",TRIM(I1722&amp;"")&lt;&gt;""),K1722,"")</f>
        <v/>
      </c>
    </row>
    <row r="1723" customFormat="false" ht="15" hidden="false" customHeight="false" outlineLevel="0" collapsed="false">
      <c r="A1723" s="9"/>
      <c r="B1723" s="4"/>
      <c r="C1723" s="10"/>
      <c r="D1723" s="11" t="str">
        <f aca="false">IF(K1723="","",IFERROR(INDEX(DECKS!$C$2:$C$1201,MATCH(K1723,DECKS!$B$2:$B$1201,0)),TRIM(I1723&amp;"")))</f>
        <v/>
      </c>
      <c r="E1723" s="4"/>
      <c r="F1723" s="12"/>
      <c r="G1723" s="4"/>
      <c r="H1723" s="13" t="str">
        <f aca="false">IF(OR(N(C1723)=0,N(F1723)=0),"",C1723*F1723)</f>
        <v/>
      </c>
      <c r="I1723" s="4"/>
      <c r="J1723" s="11" t="str">
        <f aca="false">IF(K1723="","",IF(N(C1723)&lt;=0,"Informe a quantidade",IF(IFERROR(INDEX(INVENTÁRIO!$B$2:$B$801,MATCH(K1723,INVENTÁRIO!$A$2:$A$801,0)),"")="(sem nome)","Carta fora dos decks: digite o nome na coluna I (opcional)","")))</f>
        <v/>
      </c>
      <c r="K1723" s="11" t="str">
        <f aca="false">UPPER(TRIM(SUBSTITUTE(B1723&amp;"",CHAR(160)," ")))</f>
        <v/>
      </c>
      <c r="L1723" s="11" t="str">
        <f aca="false">IF(AND(K1723&lt;&gt;"",TRIM(I1723&amp;"")&lt;&gt;""),K1723,"")</f>
        <v/>
      </c>
    </row>
    <row r="1724" customFormat="false" ht="15" hidden="false" customHeight="false" outlineLevel="0" collapsed="false">
      <c r="A1724" s="9"/>
      <c r="B1724" s="4"/>
      <c r="C1724" s="10"/>
      <c r="D1724" s="11" t="str">
        <f aca="false">IF(K1724="","",IFERROR(INDEX(DECKS!$C$2:$C$1201,MATCH(K1724,DECKS!$B$2:$B$1201,0)),TRIM(I1724&amp;"")))</f>
        <v/>
      </c>
      <c r="E1724" s="4"/>
      <c r="F1724" s="12"/>
      <c r="G1724" s="4"/>
      <c r="H1724" s="13" t="str">
        <f aca="false">IF(OR(N(C1724)=0,N(F1724)=0),"",C1724*F1724)</f>
        <v/>
      </c>
      <c r="I1724" s="4"/>
      <c r="J1724" s="11" t="str">
        <f aca="false">IF(K1724="","",IF(N(C1724)&lt;=0,"Informe a quantidade",IF(IFERROR(INDEX(INVENTÁRIO!$B$2:$B$801,MATCH(K1724,INVENTÁRIO!$A$2:$A$801,0)),"")="(sem nome)","Carta fora dos decks: digite o nome na coluna I (opcional)","")))</f>
        <v/>
      </c>
      <c r="K1724" s="11" t="str">
        <f aca="false">UPPER(TRIM(SUBSTITUTE(B1724&amp;"",CHAR(160)," ")))</f>
        <v/>
      </c>
      <c r="L1724" s="11" t="str">
        <f aca="false">IF(AND(K1724&lt;&gt;"",TRIM(I1724&amp;"")&lt;&gt;""),K1724,"")</f>
        <v/>
      </c>
    </row>
    <row r="1725" customFormat="false" ht="15" hidden="false" customHeight="false" outlineLevel="0" collapsed="false">
      <c r="A1725" s="9"/>
      <c r="B1725" s="4"/>
      <c r="C1725" s="10"/>
      <c r="D1725" s="11" t="str">
        <f aca="false">IF(K1725="","",IFERROR(INDEX(DECKS!$C$2:$C$1201,MATCH(K1725,DECKS!$B$2:$B$1201,0)),TRIM(I1725&amp;"")))</f>
        <v/>
      </c>
      <c r="E1725" s="4"/>
      <c r="F1725" s="12"/>
      <c r="G1725" s="4"/>
      <c r="H1725" s="13" t="str">
        <f aca="false">IF(OR(N(C1725)=0,N(F1725)=0),"",C1725*F1725)</f>
        <v/>
      </c>
      <c r="I1725" s="4"/>
      <c r="J1725" s="11" t="str">
        <f aca="false">IF(K1725="","",IF(N(C1725)&lt;=0,"Informe a quantidade",IF(IFERROR(INDEX(INVENTÁRIO!$B$2:$B$801,MATCH(K1725,INVENTÁRIO!$A$2:$A$801,0)),"")="(sem nome)","Carta fora dos decks: digite o nome na coluna I (opcional)","")))</f>
        <v/>
      </c>
      <c r="K1725" s="11" t="str">
        <f aca="false">UPPER(TRIM(SUBSTITUTE(B1725&amp;"",CHAR(160)," ")))</f>
        <v/>
      </c>
      <c r="L1725" s="11" t="str">
        <f aca="false">IF(AND(K1725&lt;&gt;"",TRIM(I1725&amp;"")&lt;&gt;""),K1725,"")</f>
        <v/>
      </c>
    </row>
    <row r="1726" customFormat="false" ht="15" hidden="false" customHeight="false" outlineLevel="0" collapsed="false">
      <c r="A1726" s="9"/>
      <c r="B1726" s="4"/>
      <c r="C1726" s="10"/>
      <c r="D1726" s="11" t="str">
        <f aca="false">IF(K1726="","",IFERROR(INDEX(DECKS!$C$2:$C$1201,MATCH(K1726,DECKS!$B$2:$B$1201,0)),TRIM(I1726&amp;"")))</f>
        <v/>
      </c>
      <c r="E1726" s="4"/>
      <c r="F1726" s="12"/>
      <c r="G1726" s="4"/>
      <c r="H1726" s="13" t="str">
        <f aca="false">IF(OR(N(C1726)=0,N(F1726)=0),"",C1726*F1726)</f>
        <v/>
      </c>
      <c r="I1726" s="4"/>
      <c r="J1726" s="11" t="str">
        <f aca="false">IF(K1726="","",IF(N(C1726)&lt;=0,"Informe a quantidade",IF(IFERROR(INDEX(INVENTÁRIO!$B$2:$B$801,MATCH(K1726,INVENTÁRIO!$A$2:$A$801,0)),"")="(sem nome)","Carta fora dos decks: digite o nome na coluna I (opcional)","")))</f>
        <v/>
      </c>
      <c r="K1726" s="11" t="str">
        <f aca="false">UPPER(TRIM(SUBSTITUTE(B1726&amp;"",CHAR(160)," ")))</f>
        <v/>
      </c>
      <c r="L1726" s="11" t="str">
        <f aca="false">IF(AND(K1726&lt;&gt;"",TRIM(I1726&amp;"")&lt;&gt;""),K1726,"")</f>
        <v/>
      </c>
    </row>
    <row r="1727" customFormat="false" ht="15" hidden="false" customHeight="false" outlineLevel="0" collapsed="false">
      <c r="A1727" s="9"/>
      <c r="B1727" s="4"/>
      <c r="C1727" s="10"/>
      <c r="D1727" s="11" t="str">
        <f aca="false">IF(K1727="","",IFERROR(INDEX(DECKS!$C$2:$C$1201,MATCH(K1727,DECKS!$B$2:$B$1201,0)),TRIM(I1727&amp;"")))</f>
        <v/>
      </c>
      <c r="E1727" s="4"/>
      <c r="F1727" s="12"/>
      <c r="G1727" s="4"/>
      <c r="H1727" s="13" t="str">
        <f aca="false">IF(OR(N(C1727)=0,N(F1727)=0),"",C1727*F1727)</f>
        <v/>
      </c>
      <c r="I1727" s="4"/>
      <c r="J1727" s="11" t="str">
        <f aca="false">IF(K1727="","",IF(N(C1727)&lt;=0,"Informe a quantidade",IF(IFERROR(INDEX(INVENTÁRIO!$B$2:$B$801,MATCH(K1727,INVENTÁRIO!$A$2:$A$801,0)),"")="(sem nome)","Carta fora dos decks: digite o nome na coluna I (opcional)","")))</f>
        <v/>
      </c>
      <c r="K1727" s="11" t="str">
        <f aca="false">UPPER(TRIM(SUBSTITUTE(B1727&amp;"",CHAR(160)," ")))</f>
        <v/>
      </c>
      <c r="L1727" s="11" t="str">
        <f aca="false">IF(AND(K1727&lt;&gt;"",TRIM(I1727&amp;"")&lt;&gt;""),K1727,"")</f>
        <v/>
      </c>
    </row>
    <row r="1728" customFormat="false" ht="15" hidden="false" customHeight="false" outlineLevel="0" collapsed="false">
      <c r="A1728" s="9"/>
      <c r="B1728" s="4"/>
      <c r="C1728" s="10"/>
      <c r="D1728" s="11" t="str">
        <f aca="false">IF(K1728="","",IFERROR(INDEX(DECKS!$C$2:$C$1201,MATCH(K1728,DECKS!$B$2:$B$1201,0)),TRIM(I1728&amp;"")))</f>
        <v/>
      </c>
      <c r="E1728" s="4"/>
      <c r="F1728" s="12"/>
      <c r="G1728" s="4"/>
      <c r="H1728" s="13" t="str">
        <f aca="false">IF(OR(N(C1728)=0,N(F1728)=0),"",C1728*F1728)</f>
        <v/>
      </c>
      <c r="I1728" s="4"/>
      <c r="J1728" s="11" t="str">
        <f aca="false">IF(K1728="","",IF(N(C1728)&lt;=0,"Informe a quantidade",IF(IFERROR(INDEX(INVENTÁRIO!$B$2:$B$801,MATCH(K1728,INVENTÁRIO!$A$2:$A$801,0)),"")="(sem nome)","Carta fora dos decks: digite o nome na coluna I (opcional)","")))</f>
        <v/>
      </c>
      <c r="K1728" s="11" t="str">
        <f aca="false">UPPER(TRIM(SUBSTITUTE(B1728&amp;"",CHAR(160)," ")))</f>
        <v/>
      </c>
      <c r="L1728" s="11" t="str">
        <f aca="false">IF(AND(K1728&lt;&gt;"",TRIM(I1728&amp;"")&lt;&gt;""),K1728,"")</f>
        <v/>
      </c>
    </row>
    <row r="1729" customFormat="false" ht="15" hidden="false" customHeight="false" outlineLevel="0" collapsed="false">
      <c r="A1729" s="9"/>
      <c r="B1729" s="4"/>
      <c r="C1729" s="10"/>
      <c r="D1729" s="11" t="str">
        <f aca="false">IF(K1729="","",IFERROR(INDEX(DECKS!$C$2:$C$1201,MATCH(K1729,DECKS!$B$2:$B$1201,0)),TRIM(I1729&amp;"")))</f>
        <v/>
      </c>
      <c r="E1729" s="4"/>
      <c r="F1729" s="12"/>
      <c r="G1729" s="4"/>
      <c r="H1729" s="13" t="str">
        <f aca="false">IF(OR(N(C1729)=0,N(F1729)=0),"",C1729*F1729)</f>
        <v/>
      </c>
      <c r="I1729" s="4"/>
      <c r="J1729" s="11" t="str">
        <f aca="false">IF(K1729="","",IF(N(C1729)&lt;=0,"Informe a quantidade",IF(IFERROR(INDEX(INVENTÁRIO!$B$2:$B$801,MATCH(K1729,INVENTÁRIO!$A$2:$A$801,0)),"")="(sem nome)","Carta fora dos decks: digite o nome na coluna I (opcional)","")))</f>
        <v/>
      </c>
      <c r="K1729" s="11" t="str">
        <f aca="false">UPPER(TRIM(SUBSTITUTE(B1729&amp;"",CHAR(160)," ")))</f>
        <v/>
      </c>
      <c r="L1729" s="11" t="str">
        <f aca="false">IF(AND(K1729&lt;&gt;"",TRIM(I1729&amp;"")&lt;&gt;""),K1729,"")</f>
        <v/>
      </c>
    </row>
    <row r="1730" customFormat="false" ht="15" hidden="false" customHeight="false" outlineLevel="0" collapsed="false">
      <c r="A1730" s="9"/>
      <c r="B1730" s="4"/>
      <c r="C1730" s="10"/>
      <c r="D1730" s="11" t="str">
        <f aca="false">IF(K1730="","",IFERROR(INDEX(DECKS!$C$2:$C$1201,MATCH(K1730,DECKS!$B$2:$B$1201,0)),TRIM(I1730&amp;"")))</f>
        <v/>
      </c>
      <c r="E1730" s="4"/>
      <c r="F1730" s="12"/>
      <c r="G1730" s="4"/>
      <c r="H1730" s="13" t="str">
        <f aca="false">IF(OR(N(C1730)=0,N(F1730)=0),"",C1730*F1730)</f>
        <v/>
      </c>
      <c r="I1730" s="4"/>
      <c r="J1730" s="11" t="str">
        <f aca="false">IF(K1730="","",IF(N(C1730)&lt;=0,"Informe a quantidade",IF(IFERROR(INDEX(INVENTÁRIO!$B$2:$B$801,MATCH(K1730,INVENTÁRIO!$A$2:$A$801,0)),"")="(sem nome)","Carta fora dos decks: digite o nome na coluna I (opcional)","")))</f>
        <v/>
      </c>
      <c r="K1730" s="11" t="str">
        <f aca="false">UPPER(TRIM(SUBSTITUTE(B1730&amp;"",CHAR(160)," ")))</f>
        <v/>
      </c>
      <c r="L1730" s="11" t="str">
        <f aca="false">IF(AND(K1730&lt;&gt;"",TRIM(I1730&amp;"")&lt;&gt;""),K1730,"")</f>
        <v/>
      </c>
    </row>
    <row r="1731" customFormat="false" ht="15" hidden="false" customHeight="false" outlineLevel="0" collapsed="false">
      <c r="A1731" s="9"/>
      <c r="B1731" s="4"/>
      <c r="C1731" s="10"/>
      <c r="D1731" s="11" t="str">
        <f aca="false">IF(K1731="","",IFERROR(INDEX(DECKS!$C$2:$C$1201,MATCH(K1731,DECKS!$B$2:$B$1201,0)),TRIM(I1731&amp;"")))</f>
        <v/>
      </c>
      <c r="E1731" s="4"/>
      <c r="F1731" s="12"/>
      <c r="G1731" s="4"/>
      <c r="H1731" s="13" t="str">
        <f aca="false">IF(OR(N(C1731)=0,N(F1731)=0),"",C1731*F1731)</f>
        <v/>
      </c>
      <c r="I1731" s="4"/>
      <c r="J1731" s="11" t="str">
        <f aca="false">IF(K1731="","",IF(N(C1731)&lt;=0,"Informe a quantidade",IF(IFERROR(INDEX(INVENTÁRIO!$B$2:$B$801,MATCH(K1731,INVENTÁRIO!$A$2:$A$801,0)),"")="(sem nome)","Carta fora dos decks: digite o nome na coluna I (opcional)","")))</f>
        <v/>
      </c>
      <c r="K1731" s="11" t="str">
        <f aca="false">UPPER(TRIM(SUBSTITUTE(B1731&amp;"",CHAR(160)," ")))</f>
        <v/>
      </c>
      <c r="L1731" s="11" t="str">
        <f aca="false">IF(AND(K1731&lt;&gt;"",TRIM(I1731&amp;"")&lt;&gt;""),K1731,"")</f>
        <v/>
      </c>
    </row>
    <row r="1732" customFormat="false" ht="15" hidden="false" customHeight="false" outlineLevel="0" collapsed="false">
      <c r="A1732" s="9"/>
      <c r="B1732" s="4"/>
      <c r="C1732" s="10"/>
      <c r="D1732" s="11" t="str">
        <f aca="false">IF(K1732="","",IFERROR(INDEX(DECKS!$C$2:$C$1201,MATCH(K1732,DECKS!$B$2:$B$1201,0)),TRIM(I1732&amp;"")))</f>
        <v/>
      </c>
      <c r="E1732" s="4"/>
      <c r="F1732" s="12"/>
      <c r="G1732" s="4"/>
      <c r="H1732" s="13" t="str">
        <f aca="false">IF(OR(N(C1732)=0,N(F1732)=0),"",C1732*F1732)</f>
        <v/>
      </c>
      <c r="I1732" s="4"/>
      <c r="J1732" s="11" t="str">
        <f aca="false">IF(K1732="","",IF(N(C1732)&lt;=0,"Informe a quantidade",IF(IFERROR(INDEX(INVENTÁRIO!$B$2:$B$801,MATCH(K1732,INVENTÁRIO!$A$2:$A$801,0)),"")="(sem nome)","Carta fora dos decks: digite o nome na coluna I (opcional)","")))</f>
        <v/>
      </c>
      <c r="K1732" s="11" t="str">
        <f aca="false">UPPER(TRIM(SUBSTITUTE(B1732&amp;"",CHAR(160)," ")))</f>
        <v/>
      </c>
      <c r="L1732" s="11" t="str">
        <f aca="false">IF(AND(K1732&lt;&gt;"",TRIM(I1732&amp;"")&lt;&gt;""),K1732,"")</f>
        <v/>
      </c>
    </row>
    <row r="1733" customFormat="false" ht="15" hidden="false" customHeight="false" outlineLevel="0" collapsed="false">
      <c r="A1733" s="9"/>
      <c r="B1733" s="4"/>
      <c r="C1733" s="10"/>
      <c r="D1733" s="11" t="str">
        <f aca="false">IF(K1733="","",IFERROR(INDEX(DECKS!$C$2:$C$1201,MATCH(K1733,DECKS!$B$2:$B$1201,0)),TRIM(I1733&amp;"")))</f>
        <v/>
      </c>
      <c r="E1733" s="4"/>
      <c r="F1733" s="12"/>
      <c r="G1733" s="4"/>
      <c r="H1733" s="13" t="str">
        <f aca="false">IF(OR(N(C1733)=0,N(F1733)=0),"",C1733*F1733)</f>
        <v/>
      </c>
      <c r="I1733" s="4"/>
      <c r="J1733" s="11" t="str">
        <f aca="false">IF(K1733="","",IF(N(C1733)&lt;=0,"Informe a quantidade",IF(IFERROR(INDEX(INVENTÁRIO!$B$2:$B$801,MATCH(K1733,INVENTÁRIO!$A$2:$A$801,0)),"")="(sem nome)","Carta fora dos decks: digite o nome na coluna I (opcional)","")))</f>
        <v/>
      </c>
      <c r="K1733" s="11" t="str">
        <f aca="false">UPPER(TRIM(SUBSTITUTE(B1733&amp;"",CHAR(160)," ")))</f>
        <v/>
      </c>
      <c r="L1733" s="11" t="str">
        <f aca="false">IF(AND(K1733&lt;&gt;"",TRIM(I1733&amp;"")&lt;&gt;""),K1733,"")</f>
        <v/>
      </c>
    </row>
    <row r="1734" customFormat="false" ht="15" hidden="false" customHeight="false" outlineLevel="0" collapsed="false">
      <c r="A1734" s="9"/>
      <c r="B1734" s="4"/>
      <c r="C1734" s="10"/>
      <c r="D1734" s="11" t="str">
        <f aca="false">IF(K1734="","",IFERROR(INDEX(DECKS!$C$2:$C$1201,MATCH(K1734,DECKS!$B$2:$B$1201,0)),TRIM(I1734&amp;"")))</f>
        <v/>
      </c>
      <c r="E1734" s="4"/>
      <c r="F1734" s="12"/>
      <c r="G1734" s="4"/>
      <c r="H1734" s="13" t="str">
        <f aca="false">IF(OR(N(C1734)=0,N(F1734)=0),"",C1734*F1734)</f>
        <v/>
      </c>
      <c r="I1734" s="4"/>
      <c r="J1734" s="11" t="str">
        <f aca="false">IF(K1734="","",IF(N(C1734)&lt;=0,"Informe a quantidade",IF(IFERROR(INDEX(INVENTÁRIO!$B$2:$B$801,MATCH(K1734,INVENTÁRIO!$A$2:$A$801,0)),"")="(sem nome)","Carta fora dos decks: digite o nome na coluna I (opcional)","")))</f>
        <v/>
      </c>
      <c r="K1734" s="11" t="str">
        <f aca="false">UPPER(TRIM(SUBSTITUTE(B1734&amp;"",CHAR(160)," ")))</f>
        <v/>
      </c>
      <c r="L1734" s="11" t="str">
        <f aca="false">IF(AND(K1734&lt;&gt;"",TRIM(I1734&amp;"")&lt;&gt;""),K1734,"")</f>
        <v/>
      </c>
    </row>
    <row r="1735" customFormat="false" ht="15" hidden="false" customHeight="false" outlineLevel="0" collapsed="false">
      <c r="A1735" s="9"/>
      <c r="B1735" s="4"/>
      <c r="C1735" s="10"/>
      <c r="D1735" s="11" t="str">
        <f aca="false">IF(K1735="","",IFERROR(INDEX(DECKS!$C$2:$C$1201,MATCH(K1735,DECKS!$B$2:$B$1201,0)),TRIM(I1735&amp;"")))</f>
        <v/>
      </c>
      <c r="E1735" s="4"/>
      <c r="F1735" s="12"/>
      <c r="G1735" s="4"/>
      <c r="H1735" s="13" t="str">
        <f aca="false">IF(OR(N(C1735)=0,N(F1735)=0),"",C1735*F1735)</f>
        <v/>
      </c>
      <c r="I1735" s="4"/>
      <c r="J1735" s="11" t="str">
        <f aca="false">IF(K1735="","",IF(N(C1735)&lt;=0,"Informe a quantidade",IF(IFERROR(INDEX(INVENTÁRIO!$B$2:$B$801,MATCH(K1735,INVENTÁRIO!$A$2:$A$801,0)),"")="(sem nome)","Carta fora dos decks: digite o nome na coluna I (opcional)","")))</f>
        <v/>
      </c>
      <c r="K1735" s="11" t="str">
        <f aca="false">UPPER(TRIM(SUBSTITUTE(B1735&amp;"",CHAR(160)," ")))</f>
        <v/>
      </c>
      <c r="L1735" s="11" t="str">
        <f aca="false">IF(AND(K1735&lt;&gt;"",TRIM(I1735&amp;"")&lt;&gt;""),K1735,"")</f>
        <v/>
      </c>
    </row>
    <row r="1736" customFormat="false" ht="15" hidden="false" customHeight="false" outlineLevel="0" collapsed="false">
      <c r="A1736" s="9"/>
      <c r="B1736" s="4"/>
      <c r="C1736" s="10"/>
      <c r="D1736" s="11" t="str">
        <f aca="false">IF(K1736="","",IFERROR(INDEX(DECKS!$C$2:$C$1201,MATCH(K1736,DECKS!$B$2:$B$1201,0)),TRIM(I1736&amp;"")))</f>
        <v/>
      </c>
      <c r="E1736" s="4"/>
      <c r="F1736" s="12"/>
      <c r="G1736" s="4"/>
      <c r="H1736" s="13" t="str">
        <f aca="false">IF(OR(N(C1736)=0,N(F1736)=0),"",C1736*F1736)</f>
        <v/>
      </c>
      <c r="I1736" s="4"/>
      <c r="J1736" s="11" t="str">
        <f aca="false">IF(K1736="","",IF(N(C1736)&lt;=0,"Informe a quantidade",IF(IFERROR(INDEX(INVENTÁRIO!$B$2:$B$801,MATCH(K1736,INVENTÁRIO!$A$2:$A$801,0)),"")="(sem nome)","Carta fora dos decks: digite o nome na coluna I (opcional)","")))</f>
        <v/>
      </c>
      <c r="K1736" s="11" t="str">
        <f aca="false">UPPER(TRIM(SUBSTITUTE(B1736&amp;"",CHAR(160)," ")))</f>
        <v/>
      </c>
      <c r="L1736" s="11" t="str">
        <f aca="false">IF(AND(K1736&lt;&gt;"",TRIM(I1736&amp;"")&lt;&gt;""),K1736,"")</f>
        <v/>
      </c>
    </row>
    <row r="1737" customFormat="false" ht="15" hidden="false" customHeight="false" outlineLevel="0" collapsed="false">
      <c r="A1737" s="9"/>
      <c r="B1737" s="4"/>
      <c r="C1737" s="10"/>
      <c r="D1737" s="11" t="str">
        <f aca="false">IF(K1737="","",IFERROR(INDEX(DECKS!$C$2:$C$1201,MATCH(K1737,DECKS!$B$2:$B$1201,0)),TRIM(I1737&amp;"")))</f>
        <v/>
      </c>
      <c r="E1737" s="4"/>
      <c r="F1737" s="12"/>
      <c r="G1737" s="4"/>
      <c r="H1737" s="13" t="str">
        <f aca="false">IF(OR(N(C1737)=0,N(F1737)=0),"",C1737*F1737)</f>
        <v/>
      </c>
      <c r="I1737" s="4"/>
      <c r="J1737" s="11" t="str">
        <f aca="false">IF(K1737="","",IF(N(C1737)&lt;=0,"Informe a quantidade",IF(IFERROR(INDEX(INVENTÁRIO!$B$2:$B$801,MATCH(K1737,INVENTÁRIO!$A$2:$A$801,0)),"")="(sem nome)","Carta fora dos decks: digite o nome na coluna I (opcional)","")))</f>
        <v/>
      </c>
      <c r="K1737" s="11" t="str">
        <f aca="false">UPPER(TRIM(SUBSTITUTE(B1737&amp;"",CHAR(160)," ")))</f>
        <v/>
      </c>
      <c r="L1737" s="11" t="str">
        <f aca="false">IF(AND(K1737&lt;&gt;"",TRIM(I1737&amp;"")&lt;&gt;""),K1737,"")</f>
        <v/>
      </c>
    </row>
    <row r="1738" customFormat="false" ht="15" hidden="false" customHeight="false" outlineLevel="0" collapsed="false">
      <c r="A1738" s="9"/>
      <c r="B1738" s="4"/>
      <c r="C1738" s="10"/>
      <c r="D1738" s="11" t="str">
        <f aca="false">IF(K1738="","",IFERROR(INDEX(DECKS!$C$2:$C$1201,MATCH(K1738,DECKS!$B$2:$B$1201,0)),TRIM(I1738&amp;"")))</f>
        <v/>
      </c>
      <c r="E1738" s="4"/>
      <c r="F1738" s="12"/>
      <c r="G1738" s="4"/>
      <c r="H1738" s="13" t="str">
        <f aca="false">IF(OR(N(C1738)=0,N(F1738)=0),"",C1738*F1738)</f>
        <v/>
      </c>
      <c r="I1738" s="4"/>
      <c r="J1738" s="11" t="str">
        <f aca="false">IF(K1738="","",IF(N(C1738)&lt;=0,"Informe a quantidade",IF(IFERROR(INDEX(INVENTÁRIO!$B$2:$B$801,MATCH(K1738,INVENTÁRIO!$A$2:$A$801,0)),"")="(sem nome)","Carta fora dos decks: digite o nome na coluna I (opcional)","")))</f>
        <v/>
      </c>
      <c r="K1738" s="11" t="str">
        <f aca="false">UPPER(TRIM(SUBSTITUTE(B1738&amp;"",CHAR(160)," ")))</f>
        <v/>
      </c>
      <c r="L1738" s="11" t="str">
        <f aca="false">IF(AND(K1738&lt;&gt;"",TRIM(I1738&amp;"")&lt;&gt;""),K1738,"")</f>
        <v/>
      </c>
    </row>
    <row r="1739" customFormat="false" ht="15" hidden="false" customHeight="false" outlineLevel="0" collapsed="false">
      <c r="A1739" s="9"/>
      <c r="B1739" s="4"/>
      <c r="C1739" s="10"/>
      <c r="D1739" s="11" t="str">
        <f aca="false">IF(K1739="","",IFERROR(INDEX(DECKS!$C$2:$C$1201,MATCH(K1739,DECKS!$B$2:$B$1201,0)),TRIM(I1739&amp;"")))</f>
        <v/>
      </c>
      <c r="E1739" s="4"/>
      <c r="F1739" s="12"/>
      <c r="G1739" s="4"/>
      <c r="H1739" s="13" t="str">
        <f aca="false">IF(OR(N(C1739)=0,N(F1739)=0),"",C1739*F1739)</f>
        <v/>
      </c>
      <c r="I1739" s="4"/>
      <c r="J1739" s="11" t="str">
        <f aca="false">IF(K1739="","",IF(N(C1739)&lt;=0,"Informe a quantidade",IF(IFERROR(INDEX(INVENTÁRIO!$B$2:$B$801,MATCH(K1739,INVENTÁRIO!$A$2:$A$801,0)),"")="(sem nome)","Carta fora dos decks: digite o nome na coluna I (opcional)","")))</f>
        <v/>
      </c>
      <c r="K1739" s="11" t="str">
        <f aca="false">UPPER(TRIM(SUBSTITUTE(B1739&amp;"",CHAR(160)," ")))</f>
        <v/>
      </c>
      <c r="L1739" s="11" t="str">
        <f aca="false">IF(AND(K1739&lt;&gt;"",TRIM(I1739&amp;"")&lt;&gt;""),K1739,"")</f>
        <v/>
      </c>
    </row>
    <row r="1740" customFormat="false" ht="15" hidden="false" customHeight="false" outlineLevel="0" collapsed="false">
      <c r="A1740" s="9"/>
      <c r="B1740" s="4"/>
      <c r="C1740" s="10"/>
      <c r="D1740" s="11" t="str">
        <f aca="false">IF(K1740="","",IFERROR(INDEX(DECKS!$C$2:$C$1201,MATCH(K1740,DECKS!$B$2:$B$1201,0)),TRIM(I1740&amp;"")))</f>
        <v/>
      </c>
      <c r="E1740" s="4"/>
      <c r="F1740" s="12"/>
      <c r="G1740" s="4"/>
      <c r="H1740" s="13" t="str">
        <f aca="false">IF(OR(N(C1740)=0,N(F1740)=0),"",C1740*F1740)</f>
        <v/>
      </c>
      <c r="I1740" s="4"/>
      <c r="J1740" s="11" t="str">
        <f aca="false">IF(K1740="","",IF(N(C1740)&lt;=0,"Informe a quantidade",IF(IFERROR(INDEX(INVENTÁRIO!$B$2:$B$801,MATCH(K1740,INVENTÁRIO!$A$2:$A$801,0)),"")="(sem nome)","Carta fora dos decks: digite o nome na coluna I (opcional)","")))</f>
        <v/>
      </c>
      <c r="K1740" s="11" t="str">
        <f aca="false">UPPER(TRIM(SUBSTITUTE(B1740&amp;"",CHAR(160)," ")))</f>
        <v/>
      </c>
      <c r="L1740" s="11" t="str">
        <f aca="false">IF(AND(K1740&lt;&gt;"",TRIM(I1740&amp;"")&lt;&gt;""),K1740,"")</f>
        <v/>
      </c>
    </row>
    <row r="1741" customFormat="false" ht="15" hidden="false" customHeight="false" outlineLevel="0" collapsed="false">
      <c r="A1741" s="9"/>
      <c r="B1741" s="4"/>
      <c r="C1741" s="10"/>
      <c r="D1741" s="11" t="str">
        <f aca="false">IF(K1741="","",IFERROR(INDEX(DECKS!$C$2:$C$1201,MATCH(K1741,DECKS!$B$2:$B$1201,0)),TRIM(I1741&amp;"")))</f>
        <v/>
      </c>
      <c r="E1741" s="4"/>
      <c r="F1741" s="12"/>
      <c r="G1741" s="4"/>
      <c r="H1741" s="13" t="str">
        <f aca="false">IF(OR(N(C1741)=0,N(F1741)=0),"",C1741*F1741)</f>
        <v/>
      </c>
      <c r="I1741" s="4"/>
      <c r="J1741" s="11" t="str">
        <f aca="false">IF(K1741="","",IF(N(C1741)&lt;=0,"Informe a quantidade",IF(IFERROR(INDEX(INVENTÁRIO!$B$2:$B$801,MATCH(K1741,INVENTÁRIO!$A$2:$A$801,0)),"")="(sem nome)","Carta fora dos decks: digite o nome na coluna I (opcional)","")))</f>
        <v/>
      </c>
      <c r="K1741" s="11" t="str">
        <f aca="false">UPPER(TRIM(SUBSTITUTE(B1741&amp;"",CHAR(160)," ")))</f>
        <v/>
      </c>
      <c r="L1741" s="11" t="str">
        <f aca="false">IF(AND(K1741&lt;&gt;"",TRIM(I1741&amp;"")&lt;&gt;""),K1741,"")</f>
        <v/>
      </c>
    </row>
    <row r="1742" customFormat="false" ht="15" hidden="false" customHeight="false" outlineLevel="0" collapsed="false">
      <c r="A1742" s="9"/>
      <c r="B1742" s="4"/>
      <c r="C1742" s="10"/>
      <c r="D1742" s="11" t="str">
        <f aca="false">IF(K1742="","",IFERROR(INDEX(DECKS!$C$2:$C$1201,MATCH(K1742,DECKS!$B$2:$B$1201,0)),TRIM(I1742&amp;"")))</f>
        <v/>
      </c>
      <c r="E1742" s="4"/>
      <c r="F1742" s="12"/>
      <c r="G1742" s="4"/>
      <c r="H1742" s="13" t="str">
        <f aca="false">IF(OR(N(C1742)=0,N(F1742)=0),"",C1742*F1742)</f>
        <v/>
      </c>
      <c r="I1742" s="4"/>
      <c r="J1742" s="11" t="str">
        <f aca="false">IF(K1742="","",IF(N(C1742)&lt;=0,"Informe a quantidade",IF(IFERROR(INDEX(INVENTÁRIO!$B$2:$B$801,MATCH(K1742,INVENTÁRIO!$A$2:$A$801,0)),"")="(sem nome)","Carta fora dos decks: digite o nome na coluna I (opcional)","")))</f>
        <v/>
      </c>
      <c r="K1742" s="11" t="str">
        <f aca="false">UPPER(TRIM(SUBSTITUTE(B1742&amp;"",CHAR(160)," ")))</f>
        <v/>
      </c>
      <c r="L1742" s="11" t="str">
        <f aca="false">IF(AND(K1742&lt;&gt;"",TRIM(I1742&amp;"")&lt;&gt;""),K1742,"")</f>
        <v/>
      </c>
    </row>
    <row r="1743" customFormat="false" ht="15" hidden="false" customHeight="false" outlineLevel="0" collapsed="false">
      <c r="A1743" s="9"/>
      <c r="B1743" s="4"/>
      <c r="C1743" s="10"/>
      <c r="D1743" s="11" t="str">
        <f aca="false">IF(K1743="","",IFERROR(INDEX(DECKS!$C$2:$C$1201,MATCH(K1743,DECKS!$B$2:$B$1201,0)),TRIM(I1743&amp;"")))</f>
        <v/>
      </c>
      <c r="E1743" s="4"/>
      <c r="F1743" s="12"/>
      <c r="G1743" s="4"/>
      <c r="H1743" s="13" t="str">
        <f aca="false">IF(OR(N(C1743)=0,N(F1743)=0),"",C1743*F1743)</f>
        <v/>
      </c>
      <c r="I1743" s="4"/>
      <c r="J1743" s="11" t="str">
        <f aca="false">IF(K1743="","",IF(N(C1743)&lt;=0,"Informe a quantidade",IF(IFERROR(INDEX(INVENTÁRIO!$B$2:$B$801,MATCH(K1743,INVENTÁRIO!$A$2:$A$801,0)),"")="(sem nome)","Carta fora dos decks: digite o nome na coluna I (opcional)","")))</f>
        <v/>
      </c>
      <c r="K1743" s="11" t="str">
        <f aca="false">UPPER(TRIM(SUBSTITUTE(B1743&amp;"",CHAR(160)," ")))</f>
        <v/>
      </c>
      <c r="L1743" s="11" t="str">
        <f aca="false">IF(AND(K1743&lt;&gt;"",TRIM(I1743&amp;"")&lt;&gt;""),K1743,"")</f>
        <v/>
      </c>
    </row>
    <row r="1744" customFormat="false" ht="15" hidden="false" customHeight="false" outlineLevel="0" collapsed="false">
      <c r="A1744" s="9"/>
      <c r="B1744" s="4"/>
      <c r="C1744" s="10"/>
      <c r="D1744" s="11" t="str">
        <f aca="false">IF(K1744="","",IFERROR(INDEX(DECKS!$C$2:$C$1201,MATCH(K1744,DECKS!$B$2:$B$1201,0)),TRIM(I1744&amp;"")))</f>
        <v/>
      </c>
      <c r="E1744" s="4"/>
      <c r="F1744" s="12"/>
      <c r="G1744" s="4"/>
      <c r="H1744" s="13" t="str">
        <f aca="false">IF(OR(N(C1744)=0,N(F1744)=0),"",C1744*F1744)</f>
        <v/>
      </c>
      <c r="I1744" s="4"/>
      <c r="J1744" s="11" t="str">
        <f aca="false">IF(K1744="","",IF(N(C1744)&lt;=0,"Informe a quantidade",IF(IFERROR(INDEX(INVENTÁRIO!$B$2:$B$801,MATCH(K1744,INVENTÁRIO!$A$2:$A$801,0)),"")="(sem nome)","Carta fora dos decks: digite o nome na coluna I (opcional)","")))</f>
        <v/>
      </c>
      <c r="K1744" s="11" t="str">
        <f aca="false">UPPER(TRIM(SUBSTITUTE(B1744&amp;"",CHAR(160)," ")))</f>
        <v/>
      </c>
      <c r="L1744" s="11" t="str">
        <f aca="false">IF(AND(K1744&lt;&gt;"",TRIM(I1744&amp;"")&lt;&gt;""),K1744,"")</f>
        <v/>
      </c>
    </row>
    <row r="1745" customFormat="false" ht="15" hidden="false" customHeight="false" outlineLevel="0" collapsed="false">
      <c r="A1745" s="9"/>
      <c r="B1745" s="4"/>
      <c r="C1745" s="10"/>
      <c r="D1745" s="11" t="str">
        <f aca="false">IF(K1745="","",IFERROR(INDEX(DECKS!$C$2:$C$1201,MATCH(K1745,DECKS!$B$2:$B$1201,0)),TRIM(I1745&amp;"")))</f>
        <v/>
      </c>
      <c r="E1745" s="4"/>
      <c r="F1745" s="12"/>
      <c r="G1745" s="4"/>
      <c r="H1745" s="13" t="str">
        <f aca="false">IF(OR(N(C1745)=0,N(F1745)=0),"",C1745*F1745)</f>
        <v/>
      </c>
      <c r="I1745" s="4"/>
      <c r="J1745" s="11" t="str">
        <f aca="false">IF(K1745="","",IF(N(C1745)&lt;=0,"Informe a quantidade",IF(IFERROR(INDEX(INVENTÁRIO!$B$2:$B$801,MATCH(K1745,INVENTÁRIO!$A$2:$A$801,0)),"")="(sem nome)","Carta fora dos decks: digite o nome na coluna I (opcional)","")))</f>
        <v/>
      </c>
      <c r="K1745" s="11" t="str">
        <f aca="false">UPPER(TRIM(SUBSTITUTE(B1745&amp;"",CHAR(160)," ")))</f>
        <v/>
      </c>
      <c r="L1745" s="11" t="str">
        <f aca="false">IF(AND(K1745&lt;&gt;"",TRIM(I1745&amp;"")&lt;&gt;""),K1745,"")</f>
        <v/>
      </c>
    </row>
    <row r="1746" customFormat="false" ht="15" hidden="false" customHeight="false" outlineLevel="0" collapsed="false">
      <c r="A1746" s="9"/>
      <c r="B1746" s="4"/>
      <c r="C1746" s="10"/>
      <c r="D1746" s="11" t="str">
        <f aca="false">IF(K1746="","",IFERROR(INDEX(DECKS!$C$2:$C$1201,MATCH(K1746,DECKS!$B$2:$B$1201,0)),TRIM(I1746&amp;"")))</f>
        <v/>
      </c>
      <c r="E1746" s="4"/>
      <c r="F1746" s="12"/>
      <c r="G1746" s="4"/>
      <c r="H1746" s="13" t="str">
        <f aca="false">IF(OR(N(C1746)=0,N(F1746)=0),"",C1746*F1746)</f>
        <v/>
      </c>
      <c r="I1746" s="4"/>
      <c r="J1746" s="11" t="str">
        <f aca="false">IF(K1746="","",IF(N(C1746)&lt;=0,"Informe a quantidade",IF(IFERROR(INDEX(INVENTÁRIO!$B$2:$B$801,MATCH(K1746,INVENTÁRIO!$A$2:$A$801,0)),"")="(sem nome)","Carta fora dos decks: digite o nome na coluna I (opcional)","")))</f>
        <v/>
      </c>
      <c r="K1746" s="11" t="str">
        <f aca="false">UPPER(TRIM(SUBSTITUTE(B1746&amp;"",CHAR(160)," ")))</f>
        <v/>
      </c>
      <c r="L1746" s="11" t="str">
        <f aca="false">IF(AND(K1746&lt;&gt;"",TRIM(I1746&amp;"")&lt;&gt;""),K1746,"")</f>
        <v/>
      </c>
    </row>
    <row r="1747" customFormat="false" ht="15" hidden="false" customHeight="false" outlineLevel="0" collapsed="false">
      <c r="A1747" s="9"/>
      <c r="B1747" s="4"/>
      <c r="C1747" s="10"/>
      <c r="D1747" s="11" t="str">
        <f aca="false">IF(K1747="","",IFERROR(INDEX(DECKS!$C$2:$C$1201,MATCH(K1747,DECKS!$B$2:$B$1201,0)),TRIM(I1747&amp;"")))</f>
        <v/>
      </c>
      <c r="E1747" s="4"/>
      <c r="F1747" s="12"/>
      <c r="G1747" s="4"/>
      <c r="H1747" s="13" t="str">
        <f aca="false">IF(OR(N(C1747)=0,N(F1747)=0),"",C1747*F1747)</f>
        <v/>
      </c>
      <c r="I1747" s="4"/>
      <c r="J1747" s="11" t="str">
        <f aca="false">IF(K1747="","",IF(N(C1747)&lt;=0,"Informe a quantidade",IF(IFERROR(INDEX(INVENTÁRIO!$B$2:$B$801,MATCH(K1747,INVENTÁRIO!$A$2:$A$801,0)),"")="(sem nome)","Carta fora dos decks: digite o nome na coluna I (opcional)","")))</f>
        <v/>
      </c>
      <c r="K1747" s="11" t="str">
        <f aca="false">UPPER(TRIM(SUBSTITUTE(B1747&amp;"",CHAR(160)," ")))</f>
        <v/>
      </c>
      <c r="L1747" s="11" t="str">
        <f aca="false">IF(AND(K1747&lt;&gt;"",TRIM(I1747&amp;"")&lt;&gt;""),K1747,"")</f>
        <v/>
      </c>
    </row>
    <row r="1748" customFormat="false" ht="15" hidden="false" customHeight="false" outlineLevel="0" collapsed="false">
      <c r="A1748" s="9"/>
      <c r="B1748" s="4"/>
      <c r="C1748" s="10"/>
      <c r="D1748" s="11" t="str">
        <f aca="false">IF(K1748="","",IFERROR(INDEX(DECKS!$C$2:$C$1201,MATCH(K1748,DECKS!$B$2:$B$1201,0)),TRIM(I1748&amp;"")))</f>
        <v/>
      </c>
      <c r="E1748" s="4"/>
      <c r="F1748" s="12"/>
      <c r="G1748" s="4"/>
      <c r="H1748" s="13" t="str">
        <f aca="false">IF(OR(N(C1748)=0,N(F1748)=0),"",C1748*F1748)</f>
        <v/>
      </c>
      <c r="I1748" s="4"/>
      <c r="J1748" s="11" t="str">
        <f aca="false">IF(K1748="","",IF(N(C1748)&lt;=0,"Informe a quantidade",IF(IFERROR(INDEX(INVENTÁRIO!$B$2:$B$801,MATCH(K1748,INVENTÁRIO!$A$2:$A$801,0)),"")="(sem nome)","Carta fora dos decks: digite o nome na coluna I (opcional)","")))</f>
        <v/>
      </c>
      <c r="K1748" s="11" t="str">
        <f aca="false">UPPER(TRIM(SUBSTITUTE(B1748&amp;"",CHAR(160)," ")))</f>
        <v/>
      </c>
      <c r="L1748" s="11" t="str">
        <f aca="false">IF(AND(K1748&lt;&gt;"",TRIM(I1748&amp;"")&lt;&gt;""),K1748,"")</f>
        <v/>
      </c>
    </row>
    <row r="1749" customFormat="false" ht="15" hidden="false" customHeight="false" outlineLevel="0" collapsed="false">
      <c r="A1749" s="9"/>
      <c r="B1749" s="4"/>
      <c r="C1749" s="10"/>
      <c r="D1749" s="11" t="str">
        <f aca="false">IF(K1749="","",IFERROR(INDEX(DECKS!$C$2:$C$1201,MATCH(K1749,DECKS!$B$2:$B$1201,0)),TRIM(I1749&amp;"")))</f>
        <v/>
      </c>
      <c r="E1749" s="4"/>
      <c r="F1749" s="12"/>
      <c r="G1749" s="4"/>
      <c r="H1749" s="13" t="str">
        <f aca="false">IF(OR(N(C1749)=0,N(F1749)=0),"",C1749*F1749)</f>
        <v/>
      </c>
      <c r="I1749" s="4"/>
      <c r="J1749" s="11" t="str">
        <f aca="false">IF(K1749="","",IF(N(C1749)&lt;=0,"Informe a quantidade",IF(IFERROR(INDEX(INVENTÁRIO!$B$2:$B$801,MATCH(K1749,INVENTÁRIO!$A$2:$A$801,0)),"")="(sem nome)","Carta fora dos decks: digite o nome na coluna I (opcional)","")))</f>
        <v/>
      </c>
      <c r="K1749" s="11" t="str">
        <f aca="false">UPPER(TRIM(SUBSTITUTE(B1749&amp;"",CHAR(160)," ")))</f>
        <v/>
      </c>
      <c r="L1749" s="11" t="str">
        <f aca="false">IF(AND(K1749&lt;&gt;"",TRIM(I1749&amp;"")&lt;&gt;""),K1749,"")</f>
        <v/>
      </c>
    </row>
    <row r="1750" customFormat="false" ht="15" hidden="false" customHeight="false" outlineLevel="0" collapsed="false">
      <c r="A1750" s="9"/>
      <c r="B1750" s="4"/>
      <c r="C1750" s="10"/>
      <c r="D1750" s="11" t="str">
        <f aca="false">IF(K1750="","",IFERROR(INDEX(DECKS!$C$2:$C$1201,MATCH(K1750,DECKS!$B$2:$B$1201,0)),TRIM(I1750&amp;"")))</f>
        <v/>
      </c>
      <c r="E1750" s="4"/>
      <c r="F1750" s="12"/>
      <c r="G1750" s="4"/>
      <c r="H1750" s="13" t="str">
        <f aca="false">IF(OR(N(C1750)=0,N(F1750)=0),"",C1750*F1750)</f>
        <v/>
      </c>
      <c r="I1750" s="4"/>
      <c r="J1750" s="11" t="str">
        <f aca="false">IF(K1750="","",IF(N(C1750)&lt;=0,"Informe a quantidade",IF(IFERROR(INDEX(INVENTÁRIO!$B$2:$B$801,MATCH(K1750,INVENTÁRIO!$A$2:$A$801,0)),"")="(sem nome)","Carta fora dos decks: digite o nome na coluna I (opcional)","")))</f>
        <v/>
      </c>
      <c r="K1750" s="11" t="str">
        <f aca="false">UPPER(TRIM(SUBSTITUTE(B1750&amp;"",CHAR(160)," ")))</f>
        <v/>
      </c>
      <c r="L1750" s="11" t="str">
        <f aca="false">IF(AND(K1750&lt;&gt;"",TRIM(I1750&amp;"")&lt;&gt;""),K1750,"")</f>
        <v/>
      </c>
    </row>
    <row r="1751" customFormat="false" ht="15" hidden="false" customHeight="false" outlineLevel="0" collapsed="false">
      <c r="A1751" s="9"/>
      <c r="B1751" s="4"/>
      <c r="C1751" s="10"/>
      <c r="D1751" s="11" t="str">
        <f aca="false">IF(K1751="","",IFERROR(INDEX(DECKS!$C$2:$C$1201,MATCH(K1751,DECKS!$B$2:$B$1201,0)),TRIM(I1751&amp;"")))</f>
        <v/>
      </c>
      <c r="E1751" s="4"/>
      <c r="F1751" s="12"/>
      <c r="G1751" s="4"/>
      <c r="H1751" s="13" t="str">
        <f aca="false">IF(OR(N(C1751)=0,N(F1751)=0),"",C1751*F1751)</f>
        <v/>
      </c>
      <c r="I1751" s="4"/>
      <c r="J1751" s="11" t="str">
        <f aca="false">IF(K1751="","",IF(N(C1751)&lt;=0,"Informe a quantidade",IF(IFERROR(INDEX(INVENTÁRIO!$B$2:$B$801,MATCH(K1751,INVENTÁRIO!$A$2:$A$801,0)),"")="(sem nome)","Carta fora dos decks: digite o nome na coluna I (opcional)","")))</f>
        <v/>
      </c>
      <c r="K1751" s="11" t="str">
        <f aca="false">UPPER(TRIM(SUBSTITUTE(B1751&amp;"",CHAR(160)," ")))</f>
        <v/>
      </c>
      <c r="L1751" s="11" t="str">
        <f aca="false">IF(AND(K1751&lt;&gt;"",TRIM(I1751&amp;"")&lt;&gt;""),K1751,"")</f>
        <v/>
      </c>
    </row>
    <row r="1752" customFormat="false" ht="15" hidden="false" customHeight="false" outlineLevel="0" collapsed="false">
      <c r="A1752" s="9"/>
      <c r="B1752" s="4"/>
      <c r="C1752" s="10"/>
      <c r="D1752" s="11" t="str">
        <f aca="false">IF(K1752="","",IFERROR(INDEX(DECKS!$C$2:$C$1201,MATCH(K1752,DECKS!$B$2:$B$1201,0)),TRIM(I1752&amp;"")))</f>
        <v/>
      </c>
      <c r="E1752" s="4"/>
      <c r="F1752" s="12"/>
      <c r="G1752" s="4"/>
      <c r="H1752" s="13" t="str">
        <f aca="false">IF(OR(N(C1752)=0,N(F1752)=0),"",C1752*F1752)</f>
        <v/>
      </c>
      <c r="I1752" s="4"/>
      <c r="J1752" s="11" t="str">
        <f aca="false">IF(K1752="","",IF(N(C1752)&lt;=0,"Informe a quantidade",IF(IFERROR(INDEX(INVENTÁRIO!$B$2:$B$801,MATCH(K1752,INVENTÁRIO!$A$2:$A$801,0)),"")="(sem nome)","Carta fora dos decks: digite o nome na coluna I (opcional)","")))</f>
        <v/>
      </c>
      <c r="K1752" s="11" t="str">
        <f aca="false">UPPER(TRIM(SUBSTITUTE(B1752&amp;"",CHAR(160)," ")))</f>
        <v/>
      </c>
      <c r="L1752" s="11" t="str">
        <f aca="false">IF(AND(K1752&lt;&gt;"",TRIM(I1752&amp;"")&lt;&gt;""),K1752,"")</f>
        <v/>
      </c>
    </row>
    <row r="1753" customFormat="false" ht="15" hidden="false" customHeight="false" outlineLevel="0" collapsed="false">
      <c r="A1753" s="9"/>
      <c r="B1753" s="4"/>
      <c r="C1753" s="10"/>
      <c r="D1753" s="11" t="str">
        <f aca="false">IF(K1753="","",IFERROR(INDEX(DECKS!$C$2:$C$1201,MATCH(K1753,DECKS!$B$2:$B$1201,0)),TRIM(I1753&amp;"")))</f>
        <v/>
      </c>
      <c r="E1753" s="4"/>
      <c r="F1753" s="12"/>
      <c r="G1753" s="4"/>
      <c r="H1753" s="13" t="str">
        <f aca="false">IF(OR(N(C1753)=0,N(F1753)=0),"",C1753*F1753)</f>
        <v/>
      </c>
      <c r="I1753" s="4"/>
      <c r="J1753" s="11" t="str">
        <f aca="false">IF(K1753="","",IF(N(C1753)&lt;=0,"Informe a quantidade",IF(IFERROR(INDEX(INVENTÁRIO!$B$2:$B$801,MATCH(K1753,INVENTÁRIO!$A$2:$A$801,0)),"")="(sem nome)","Carta fora dos decks: digite o nome na coluna I (opcional)","")))</f>
        <v/>
      </c>
      <c r="K1753" s="11" t="str">
        <f aca="false">UPPER(TRIM(SUBSTITUTE(B1753&amp;"",CHAR(160)," ")))</f>
        <v/>
      </c>
      <c r="L1753" s="11" t="str">
        <f aca="false">IF(AND(K1753&lt;&gt;"",TRIM(I1753&amp;"")&lt;&gt;""),K1753,"")</f>
        <v/>
      </c>
    </row>
    <row r="1754" customFormat="false" ht="15" hidden="false" customHeight="false" outlineLevel="0" collapsed="false">
      <c r="A1754" s="9"/>
      <c r="B1754" s="4"/>
      <c r="C1754" s="10"/>
      <c r="D1754" s="11" t="str">
        <f aca="false">IF(K1754="","",IFERROR(INDEX(DECKS!$C$2:$C$1201,MATCH(K1754,DECKS!$B$2:$B$1201,0)),TRIM(I1754&amp;"")))</f>
        <v/>
      </c>
      <c r="E1754" s="4"/>
      <c r="F1754" s="12"/>
      <c r="G1754" s="4"/>
      <c r="H1754" s="13" t="str">
        <f aca="false">IF(OR(N(C1754)=0,N(F1754)=0),"",C1754*F1754)</f>
        <v/>
      </c>
      <c r="I1754" s="4"/>
      <c r="J1754" s="11" t="str">
        <f aca="false">IF(K1754="","",IF(N(C1754)&lt;=0,"Informe a quantidade",IF(IFERROR(INDEX(INVENTÁRIO!$B$2:$B$801,MATCH(K1754,INVENTÁRIO!$A$2:$A$801,0)),"")="(sem nome)","Carta fora dos decks: digite o nome na coluna I (opcional)","")))</f>
        <v/>
      </c>
      <c r="K1754" s="11" t="str">
        <f aca="false">UPPER(TRIM(SUBSTITUTE(B1754&amp;"",CHAR(160)," ")))</f>
        <v/>
      </c>
      <c r="L1754" s="11" t="str">
        <f aca="false">IF(AND(K1754&lt;&gt;"",TRIM(I1754&amp;"")&lt;&gt;""),K1754,"")</f>
        <v/>
      </c>
    </row>
    <row r="1755" customFormat="false" ht="15" hidden="false" customHeight="false" outlineLevel="0" collapsed="false">
      <c r="A1755" s="9"/>
      <c r="B1755" s="4"/>
      <c r="C1755" s="10"/>
      <c r="D1755" s="11" t="str">
        <f aca="false">IF(K1755="","",IFERROR(INDEX(DECKS!$C$2:$C$1201,MATCH(K1755,DECKS!$B$2:$B$1201,0)),TRIM(I1755&amp;"")))</f>
        <v/>
      </c>
      <c r="E1755" s="4"/>
      <c r="F1755" s="12"/>
      <c r="G1755" s="4"/>
      <c r="H1755" s="13" t="str">
        <f aca="false">IF(OR(N(C1755)=0,N(F1755)=0),"",C1755*F1755)</f>
        <v/>
      </c>
      <c r="I1755" s="4"/>
      <c r="J1755" s="11" t="str">
        <f aca="false">IF(K1755="","",IF(N(C1755)&lt;=0,"Informe a quantidade",IF(IFERROR(INDEX(INVENTÁRIO!$B$2:$B$801,MATCH(K1755,INVENTÁRIO!$A$2:$A$801,0)),"")="(sem nome)","Carta fora dos decks: digite o nome na coluna I (opcional)","")))</f>
        <v/>
      </c>
      <c r="K1755" s="11" t="str">
        <f aca="false">UPPER(TRIM(SUBSTITUTE(B1755&amp;"",CHAR(160)," ")))</f>
        <v/>
      </c>
      <c r="L1755" s="11" t="str">
        <f aca="false">IF(AND(K1755&lt;&gt;"",TRIM(I1755&amp;"")&lt;&gt;""),K1755,"")</f>
        <v/>
      </c>
    </row>
    <row r="1756" customFormat="false" ht="15" hidden="false" customHeight="false" outlineLevel="0" collapsed="false">
      <c r="A1756" s="9"/>
      <c r="B1756" s="4"/>
      <c r="C1756" s="10"/>
      <c r="D1756" s="11" t="str">
        <f aca="false">IF(K1756="","",IFERROR(INDEX(DECKS!$C$2:$C$1201,MATCH(K1756,DECKS!$B$2:$B$1201,0)),TRIM(I1756&amp;"")))</f>
        <v/>
      </c>
      <c r="E1756" s="4"/>
      <c r="F1756" s="12"/>
      <c r="G1756" s="4"/>
      <c r="H1756" s="13" t="str">
        <f aca="false">IF(OR(N(C1756)=0,N(F1756)=0),"",C1756*F1756)</f>
        <v/>
      </c>
      <c r="I1756" s="4"/>
      <c r="J1756" s="11" t="str">
        <f aca="false">IF(K1756="","",IF(N(C1756)&lt;=0,"Informe a quantidade",IF(IFERROR(INDEX(INVENTÁRIO!$B$2:$B$801,MATCH(K1756,INVENTÁRIO!$A$2:$A$801,0)),"")="(sem nome)","Carta fora dos decks: digite o nome na coluna I (opcional)","")))</f>
        <v/>
      </c>
      <c r="K1756" s="11" t="str">
        <f aca="false">UPPER(TRIM(SUBSTITUTE(B1756&amp;"",CHAR(160)," ")))</f>
        <v/>
      </c>
      <c r="L1756" s="11" t="str">
        <f aca="false">IF(AND(K1756&lt;&gt;"",TRIM(I1756&amp;"")&lt;&gt;""),K1756,"")</f>
        <v/>
      </c>
    </row>
    <row r="1757" customFormat="false" ht="15" hidden="false" customHeight="false" outlineLevel="0" collapsed="false">
      <c r="A1757" s="9"/>
      <c r="B1757" s="4"/>
      <c r="C1757" s="10"/>
      <c r="D1757" s="11" t="str">
        <f aca="false">IF(K1757="","",IFERROR(INDEX(DECKS!$C$2:$C$1201,MATCH(K1757,DECKS!$B$2:$B$1201,0)),TRIM(I1757&amp;"")))</f>
        <v/>
      </c>
      <c r="E1757" s="4"/>
      <c r="F1757" s="12"/>
      <c r="G1757" s="4"/>
      <c r="H1757" s="13" t="str">
        <f aca="false">IF(OR(N(C1757)=0,N(F1757)=0),"",C1757*F1757)</f>
        <v/>
      </c>
      <c r="I1757" s="4"/>
      <c r="J1757" s="11" t="str">
        <f aca="false">IF(K1757="","",IF(N(C1757)&lt;=0,"Informe a quantidade",IF(IFERROR(INDEX(INVENTÁRIO!$B$2:$B$801,MATCH(K1757,INVENTÁRIO!$A$2:$A$801,0)),"")="(sem nome)","Carta fora dos decks: digite o nome na coluna I (opcional)","")))</f>
        <v/>
      </c>
      <c r="K1757" s="11" t="str">
        <f aca="false">UPPER(TRIM(SUBSTITUTE(B1757&amp;"",CHAR(160)," ")))</f>
        <v/>
      </c>
      <c r="L1757" s="11" t="str">
        <f aca="false">IF(AND(K1757&lt;&gt;"",TRIM(I1757&amp;"")&lt;&gt;""),K1757,"")</f>
        <v/>
      </c>
    </row>
    <row r="1758" customFormat="false" ht="15" hidden="false" customHeight="false" outlineLevel="0" collapsed="false">
      <c r="A1758" s="9"/>
      <c r="B1758" s="4"/>
      <c r="C1758" s="10"/>
      <c r="D1758" s="11" t="str">
        <f aca="false">IF(K1758="","",IFERROR(INDEX(DECKS!$C$2:$C$1201,MATCH(K1758,DECKS!$B$2:$B$1201,0)),TRIM(I1758&amp;"")))</f>
        <v/>
      </c>
      <c r="E1758" s="4"/>
      <c r="F1758" s="12"/>
      <c r="G1758" s="4"/>
      <c r="H1758" s="13" t="str">
        <f aca="false">IF(OR(N(C1758)=0,N(F1758)=0),"",C1758*F1758)</f>
        <v/>
      </c>
      <c r="I1758" s="4"/>
      <c r="J1758" s="11" t="str">
        <f aca="false">IF(K1758="","",IF(N(C1758)&lt;=0,"Informe a quantidade",IF(IFERROR(INDEX(INVENTÁRIO!$B$2:$B$801,MATCH(K1758,INVENTÁRIO!$A$2:$A$801,0)),"")="(sem nome)","Carta fora dos decks: digite o nome na coluna I (opcional)","")))</f>
        <v/>
      </c>
      <c r="K1758" s="11" t="str">
        <f aca="false">UPPER(TRIM(SUBSTITUTE(B1758&amp;"",CHAR(160)," ")))</f>
        <v/>
      </c>
      <c r="L1758" s="11" t="str">
        <f aca="false">IF(AND(K1758&lt;&gt;"",TRIM(I1758&amp;"")&lt;&gt;""),K1758,"")</f>
        <v/>
      </c>
    </row>
    <row r="1759" customFormat="false" ht="15" hidden="false" customHeight="false" outlineLevel="0" collapsed="false">
      <c r="A1759" s="9"/>
      <c r="B1759" s="4"/>
      <c r="C1759" s="10"/>
      <c r="D1759" s="11" t="str">
        <f aca="false">IF(K1759="","",IFERROR(INDEX(DECKS!$C$2:$C$1201,MATCH(K1759,DECKS!$B$2:$B$1201,0)),TRIM(I1759&amp;"")))</f>
        <v/>
      </c>
      <c r="E1759" s="4"/>
      <c r="F1759" s="12"/>
      <c r="G1759" s="4"/>
      <c r="H1759" s="13" t="str">
        <f aca="false">IF(OR(N(C1759)=0,N(F1759)=0),"",C1759*F1759)</f>
        <v/>
      </c>
      <c r="I1759" s="4"/>
      <c r="J1759" s="11" t="str">
        <f aca="false">IF(K1759="","",IF(N(C1759)&lt;=0,"Informe a quantidade",IF(IFERROR(INDEX(INVENTÁRIO!$B$2:$B$801,MATCH(K1759,INVENTÁRIO!$A$2:$A$801,0)),"")="(sem nome)","Carta fora dos decks: digite o nome na coluna I (opcional)","")))</f>
        <v/>
      </c>
      <c r="K1759" s="11" t="str">
        <f aca="false">UPPER(TRIM(SUBSTITUTE(B1759&amp;"",CHAR(160)," ")))</f>
        <v/>
      </c>
      <c r="L1759" s="11" t="str">
        <f aca="false">IF(AND(K1759&lt;&gt;"",TRIM(I1759&amp;"")&lt;&gt;""),K1759,"")</f>
        <v/>
      </c>
    </row>
    <row r="1760" customFormat="false" ht="15" hidden="false" customHeight="false" outlineLevel="0" collapsed="false">
      <c r="A1760" s="9"/>
      <c r="B1760" s="4"/>
      <c r="C1760" s="10"/>
      <c r="D1760" s="11" t="str">
        <f aca="false">IF(K1760="","",IFERROR(INDEX(DECKS!$C$2:$C$1201,MATCH(K1760,DECKS!$B$2:$B$1201,0)),TRIM(I1760&amp;"")))</f>
        <v/>
      </c>
      <c r="E1760" s="4"/>
      <c r="F1760" s="12"/>
      <c r="G1760" s="4"/>
      <c r="H1760" s="13" t="str">
        <f aca="false">IF(OR(N(C1760)=0,N(F1760)=0),"",C1760*F1760)</f>
        <v/>
      </c>
      <c r="I1760" s="4"/>
      <c r="J1760" s="11" t="str">
        <f aca="false">IF(K1760="","",IF(N(C1760)&lt;=0,"Informe a quantidade",IF(IFERROR(INDEX(INVENTÁRIO!$B$2:$B$801,MATCH(K1760,INVENTÁRIO!$A$2:$A$801,0)),"")="(sem nome)","Carta fora dos decks: digite o nome na coluna I (opcional)","")))</f>
        <v/>
      </c>
      <c r="K1760" s="11" t="str">
        <f aca="false">UPPER(TRIM(SUBSTITUTE(B1760&amp;"",CHAR(160)," ")))</f>
        <v/>
      </c>
      <c r="L1760" s="11" t="str">
        <f aca="false">IF(AND(K1760&lt;&gt;"",TRIM(I1760&amp;"")&lt;&gt;""),K1760,"")</f>
        <v/>
      </c>
    </row>
    <row r="1761" customFormat="false" ht="15" hidden="false" customHeight="false" outlineLevel="0" collapsed="false">
      <c r="A1761" s="9"/>
      <c r="B1761" s="4"/>
      <c r="C1761" s="10"/>
      <c r="D1761" s="11" t="str">
        <f aca="false">IF(K1761="","",IFERROR(INDEX(DECKS!$C$2:$C$1201,MATCH(K1761,DECKS!$B$2:$B$1201,0)),TRIM(I1761&amp;"")))</f>
        <v/>
      </c>
      <c r="E1761" s="4"/>
      <c r="F1761" s="12"/>
      <c r="G1761" s="4"/>
      <c r="H1761" s="13" t="str">
        <f aca="false">IF(OR(N(C1761)=0,N(F1761)=0),"",C1761*F1761)</f>
        <v/>
      </c>
      <c r="I1761" s="4"/>
      <c r="J1761" s="11" t="str">
        <f aca="false">IF(K1761="","",IF(N(C1761)&lt;=0,"Informe a quantidade",IF(IFERROR(INDEX(INVENTÁRIO!$B$2:$B$801,MATCH(K1761,INVENTÁRIO!$A$2:$A$801,0)),"")="(sem nome)","Carta fora dos decks: digite o nome na coluna I (opcional)","")))</f>
        <v/>
      </c>
      <c r="K1761" s="11" t="str">
        <f aca="false">UPPER(TRIM(SUBSTITUTE(B1761&amp;"",CHAR(160)," ")))</f>
        <v/>
      </c>
      <c r="L1761" s="11" t="str">
        <f aca="false">IF(AND(K1761&lt;&gt;"",TRIM(I1761&amp;"")&lt;&gt;""),K1761,"")</f>
        <v/>
      </c>
    </row>
    <row r="1762" customFormat="false" ht="15" hidden="false" customHeight="false" outlineLevel="0" collapsed="false">
      <c r="A1762" s="9"/>
      <c r="B1762" s="4"/>
      <c r="C1762" s="10"/>
      <c r="D1762" s="11" t="str">
        <f aca="false">IF(K1762="","",IFERROR(INDEX(DECKS!$C$2:$C$1201,MATCH(K1762,DECKS!$B$2:$B$1201,0)),TRIM(I1762&amp;"")))</f>
        <v/>
      </c>
      <c r="E1762" s="4"/>
      <c r="F1762" s="12"/>
      <c r="G1762" s="4"/>
      <c r="H1762" s="13" t="str">
        <f aca="false">IF(OR(N(C1762)=0,N(F1762)=0),"",C1762*F1762)</f>
        <v/>
      </c>
      <c r="I1762" s="4"/>
      <c r="J1762" s="11" t="str">
        <f aca="false">IF(K1762="","",IF(N(C1762)&lt;=0,"Informe a quantidade",IF(IFERROR(INDEX(INVENTÁRIO!$B$2:$B$801,MATCH(K1762,INVENTÁRIO!$A$2:$A$801,0)),"")="(sem nome)","Carta fora dos decks: digite o nome na coluna I (opcional)","")))</f>
        <v/>
      </c>
      <c r="K1762" s="11" t="str">
        <f aca="false">UPPER(TRIM(SUBSTITUTE(B1762&amp;"",CHAR(160)," ")))</f>
        <v/>
      </c>
      <c r="L1762" s="11" t="str">
        <f aca="false">IF(AND(K1762&lt;&gt;"",TRIM(I1762&amp;"")&lt;&gt;""),K1762,"")</f>
        <v/>
      </c>
    </row>
    <row r="1763" customFormat="false" ht="15" hidden="false" customHeight="false" outlineLevel="0" collapsed="false">
      <c r="A1763" s="9"/>
      <c r="B1763" s="4"/>
      <c r="C1763" s="10"/>
      <c r="D1763" s="11" t="str">
        <f aca="false">IF(K1763="","",IFERROR(INDEX(DECKS!$C$2:$C$1201,MATCH(K1763,DECKS!$B$2:$B$1201,0)),TRIM(I1763&amp;"")))</f>
        <v/>
      </c>
      <c r="E1763" s="4"/>
      <c r="F1763" s="12"/>
      <c r="G1763" s="4"/>
      <c r="H1763" s="13" t="str">
        <f aca="false">IF(OR(N(C1763)=0,N(F1763)=0),"",C1763*F1763)</f>
        <v/>
      </c>
      <c r="I1763" s="4"/>
      <c r="J1763" s="11" t="str">
        <f aca="false">IF(K1763="","",IF(N(C1763)&lt;=0,"Informe a quantidade",IF(IFERROR(INDEX(INVENTÁRIO!$B$2:$B$801,MATCH(K1763,INVENTÁRIO!$A$2:$A$801,0)),"")="(sem nome)","Carta fora dos decks: digite o nome na coluna I (opcional)","")))</f>
        <v/>
      </c>
      <c r="K1763" s="11" t="str">
        <f aca="false">UPPER(TRIM(SUBSTITUTE(B1763&amp;"",CHAR(160)," ")))</f>
        <v/>
      </c>
      <c r="L1763" s="11" t="str">
        <f aca="false">IF(AND(K1763&lt;&gt;"",TRIM(I1763&amp;"")&lt;&gt;""),K1763,"")</f>
        <v/>
      </c>
    </row>
    <row r="1764" customFormat="false" ht="15" hidden="false" customHeight="false" outlineLevel="0" collapsed="false">
      <c r="A1764" s="9"/>
      <c r="B1764" s="4"/>
      <c r="C1764" s="10"/>
      <c r="D1764" s="11" t="str">
        <f aca="false">IF(K1764="","",IFERROR(INDEX(DECKS!$C$2:$C$1201,MATCH(K1764,DECKS!$B$2:$B$1201,0)),TRIM(I1764&amp;"")))</f>
        <v/>
      </c>
      <c r="E1764" s="4"/>
      <c r="F1764" s="12"/>
      <c r="G1764" s="4"/>
      <c r="H1764" s="13" t="str">
        <f aca="false">IF(OR(N(C1764)=0,N(F1764)=0),"",C1764*F1764)</f>
        <v/>
      </c>
      <c r="I1764" s="4"/>
      <c r="J1764" s="11" t="str">
        <f aca="false">IF(K1764="","",IF(N(C1764)&lt;=0,"Informe a quantidade",IF(IFERROR(INDEX(INVENTÁRIO!$B$2:$B$801,MATCH(K1764,INVENTÁRIO!$A$2:$A$801,0)),"")="(sem nome)","Carta fora dos decks: digite o nome na coluna I (opcional)","")))</f>
        <v/>
      </c>
      <c r="K1764" s="11" t="str">
        <f aca="false">UPPER(TRIM(SUBSTITUTE(B1764&amp;"",CHAR(160)," ")))</f>
        <v/>
      </c>
      <c r="L1764" s="11" t="str">
        <f aca="false">IF(AND(K1764&lt;&gt;"",TRIM(I1764&amp;"")&lt;&gt;""),K1764,"")</f>
        <v/>
      </c>
    </row>
    <row r="1765" customFormat="false" ht="15" hidden="false" customHeight="false" outlineLevel="0" collapsed="false">
      <c r="A1765" s="9"/>
      <c r="B1765" s="4"/>
      <c r="C1765" s="10"/>
      <c r="D1765" s="11" t="str">
        <f aca="false">IF(K1765="","",IFERROR(INDEX(DECKS!$C$2:$C$1201,MATCH(K1765,DECKS!$B$2:$B$1201,0)),TRIM(I1765&amp;"")))</f>
        <v/>
      </c>
      <c r="E1765" s="4"/>
      <c r="F1765" s="12"/>
      <c r="G1765" s="4"/>
      <c r="H1765" s="13" t="str">
        <f aca="false">IF(OR(N(C1765)=0,N(F1765)=0),"",C1765*F1765)</f>
        <v/>
      </c>
      <c r="I1765" s="4"/>
      <c r="J1765" s="11" t="str">
        <f aca="false">IF(K1765="","",IF(N(C1765)&lt;=0,"Informe a quantidade",IF(IFERROR(INDEX(INVENTÁRIO!$B$2:$B$801,MATCH(K1765,INVENTÁRIO!$A$2:$A$801,0)),"")="(sem nome)","Carta fora dos decks: digite o nome na coluna I (opcional)","")))</f>
        <v/>
      </c>
      <c r="K1765" s="11" t="str">
        <f aca="false">UPPER(TRIM(SUBSTITUTE(B1765&amp;"",CHAR(160)," ")))</f>
        <v/>
      </c>
      <c r="L1765" s="11" t="str">
        <f aca="false">IF(AND(K1765&lt;&gt;"",TRIM(I1765&amp;"")&lt;&gt;""),K1765,"")</f>
        <v/>
      </c>
    </row>
    <row r="1766" customFormat="false" ht="15" hidden="false" customHeight="false" outlineLevel="0" collapsed="false">
      <c r="A1766" s="9"/>
      <c r="B1766" s="4"/>
      <c r="C1766" s="10"/>
      <c r="D1766" s="11" t="str">
        <f aca="false">IF(K1766="","",IFERROR(INDEX(DECKS!$C$2:$C$1201,MATCH(K1766,DECKS!$B$2:$B$1201,0)),TRIM(I1766&amp;"")))</f>
        <v/>
      </c>
      <c r="E1766" s="4"/>
      <c r="F1766" s="12"/>
      <c r="G1766" s="4"/>
      <c r="H1766" s="13" t="str">
        <f aca="false">IF(OR(N(C1766)=0,N(F1766)=0),"",C1766*F1766)</f>
        <v/>
      </c>
      <c r="I1766" s="4"/>
      <c r="J1766" s="11" t="str">
        <f aca="false">IF(K1766="","",IF(N(C1766)&lt;=0,"Informe a quantidade",IF(IFERROR(INDEX(INVENTÁRIO!$B$2:$B$801,MATCH(K1766,INVENTÁRIO!$A$2:$A$801,0)),"")="(sem nome)","Carta fora dos decks: digite o nome na coluna I (opcional)","")))</f>
        <v/>
      </c>
      <c r="K1766" s="11" t="str">
        <f aca="false">UPPER(TRIM(SUBSTITUTE(B1766&amp;"",CHAR(160)," ")))</f>
        <v/>
      </c>
      <c r="L1766" s="11" t="str">
        <f aca="false">IF(AND(K1766&lt;&gt;"",TRIM(I1766&amp;"")&lt;&gt;""),K1766,"")</f>
        <v/>
      </c>
    </row>
    <row r="1767" customFormat="false" ht="15" hidden="false" customHeight="false" outlineLevel="0" collapsed="false">
      <c r="A1767" s="9"/>
      <c r="B1767" s="4"/>
      <c r="C1767" s="10"/>
      <c r="D1767" s="11" t="str">
        <f aca="false">IF(K1767="","",IFERROR(INDEX(DECKS!$C$2:$C$1201,MATCH(K1767,DECKS!$B$2:$B$1201,0)),TRIM(I1767&amp;"")))</f>
        <v/>
      </c>
      <c r="E1767" s="4"/>
      <c r="F1767" s="12"/>
      <c r="G1767" s="4"/>
      <c r="H1767" s="13" t="str">
        <f aca="false">IF(OR(N(C1767)=0,N(F1767)=0),"",C1767*F1767)</f>
        <v/>
      </c>
      <c r="I1767" s="4"/>
      <c r="J1767" s="11" t="str">
        <f aca="false">IF(K1767="","",IF(N(C1767)&lt;=0,"Informe a quantidade",IF(IFERROR(INDEX(INVENTÁRIO!$B$2:$B$801,MATCH(K1767,INVENTÁRIO!$A$2:$A$801,0)),"")="(sem nome)","Carta fora dos decks: digite o nome na coluna I (opcional)","")))</f>
        <v/>
      </c>
      <c r="K1767" s="11" t="str">
        <f aca="false">UPPER(TRIM(SUBSTITUTE(B1767&amp;"",CHAR(160)," ")))</f>
        <v/>
      </c>
      <c r="L1767" s="11" t="str">
        <f aca="false">IF(AND(K1767&lt;&gt;"",TRIM(I1767&amp;"")&lt;&gt;""),K1767,"")</f>
        <v/>
      </c>
    </row>
    <row r="1768" customFormat="false" ht="15" hidden="false" customHeight="false" outlineLevel="0" collapsed="false">
      <c r="A1768" s="9"/>
      <c r="B1768" s="4"/>
      <c r="C1768" s="10"/>
      <c r="D1768" s="11" t="str">
        <f aca="false">IF(K1768="","",IFERROR(INDEX(DECKS!$C$2:$C$1201,MATCH(K1768,DECKS!$B$2:$B$1201,0)),TRIM(I1768&amp;"")))</f>
        <v/>
      </c>
      <c r="E1768" s="4"/>
      <c r="F1768" s="12"/>
      <c r="G1768" s="4"/>
      <c r="H1768" s="13" t="str">
        <f aca="false">IF(OR(N(C1768)=0,N(F1768)=0),"",C1768*F1768)</f>
        <v/>
      </c>
      <c r="I1768" s="4"/>
      <c r="J1768" s="11" t="str">
        <f aca="false">IF(K1768="","",IF(N(C1768)&lt;=0,"Informe a quantidade",IF(IFERROR(INDEX(INVENTÁRIO!$B$2:$B$801,MATCH(K1768,INVENTÁRIO!$A$2:$A$801,0)),"")="(sem nome)","Carta fora dos decks: digite o nome na coluna I (opcional)","")))</f>
        <v/>
      </c>
      <c r="K1768" s="11" t="str">
        <f aca="false">UPPER(TRIM(SUBSTITUTE(B1768&amp;"",CHAR(160)," ")))</f>
        <v/>
      </c>
      <c r="L1768" s="11" t="str">
        <f aca="false">IF(AND(K1768&lt;&gt;"",TRIM(I1768&amp;"")&lt;&gt;""),K1768,"")</f>
        <v/>
      </c>
    </row>
    <row r="1769" customFormat="false" ht="15" hidden="false" customHeight="false" outlineLevel="0" collapsed="false">
      <c r="A1769" s="9"/>
      <c r="B1769" s="4"/>
      <c r="C1769" s="10"/>
      <c r="D1769" s="11" t="str">
        <f aca="false">IF(K1769="","",IFERROR(INDEX(DECKS!$C$2:$C$1201,MATCH(K1769,DECKS!$B$2:$B$1201,0)),TRIM(I1769&amp;"")))</f>
        <v/>
      </c>
      <c r="E1769" s="4"/>
      <c r="F1769" s="12"/>
      <c r="G1769" s="4"/>
      <c r="H1769" s="13" t="str">
        <f aca="false">IF(OR(N(C1769)=0,N(F1769)=0),"",C1769*F1769)</f>
        <v/>
      </c>
      <c r="I1769" s="4"/>
      <c r="J1769" s="11" t="str">
        <f aca="false">IF(K1769="","",IF(N(C1769)&lt;=0,"Informe a quantidade",IF(IFERROR(INDEX(INVENTÁRIO!$B$2:$B$801,MATCH(K1769,INVENTÁRIO!$A$2:$A$801,0)),"")="(sem nome)","Carta fora dos decks: digite o nome na coluna I (opcional)","")))</f>
        <v/>
      </c>
      <c r="K1769" s="11" t="str">
        <f aca="false">UPPER(TRIM(SUBSTITUTE(B1769&amp;"",CHAR(160)," ")))</f>
        <v/>
      </c>
      <c r="L1769" s="11" t="str">
        <f aca="false">IF(AND(K1769&lt;&gt;"",TRIM(I1769&amp;"")&lt;&gt;""),K1769,"")</f>
        <v/>
      </c>
    </row>
    <row r="1770" customFormat="false" ht="15" hidden="false" customHeight="false" outlineLevel="0" collapsed="false">
      <c r="A1770" s="9"/>
      <c r="B1770" s="4"/>
      <c r="C1770" s="10"/>
      <c r="D1770" s="11" t="str">
        <f aca="false">IF(K1770="","",IFERROR(INDEX(DECKS!$C$2:$C$1201,MATCH(K1770,DECKS!$B$2:$B$1201,0)),TRIM(I1770&amp;"")))</f>
        <v/>
      </c>
      <c r="E1770" s="4"/>
      <c r="F1770" s="12"/>
      <c r="G1770" s="4"/>
      <c r="H1770" s="13" t="str">
        <f aca="false">IF(OR(N(C1770)=0,N(F1770)=0),"",C1770*F1770)</f>
        <v/>
      </c>
      <c r="I1770" s="4"/>
      <c r="J1770" s="11" t="str">
        <f aca="false">IF(K1770="","",IF(N(C1770)&lt;=0,"Informe a quantidade",IF(IFERROR(INDEX(INVENTÁRIO!$B$2:$B$801,MATCH(K1770,INVENTÁRIO!$A$2:$A$801,0)),"")="(sem nome)","Carta fora dos decks: digite o nome na coluna I (opcional)","")))</f>
        <v/>
      </c>
      <c r="K1770" s="11" t="str">
        <f aca="false">UPPER(TRIM(SUBSTITUTE(B1770&amp;"",CHAR(160)," ")))</f>
        <v/>
      </c>
      <c r="L1770" s="11" t="str">
        <f aca="false">IF(AND(K1770&lt;&gt;"",TRIM(I1770&amp;"")&lt;&gt;""),K1770,"")</f>
        <v/>
      </c>
    </row>
    <row r="1771" customFormat="false" ht="15" hidden="false" customHeight="false" outlineLevel="0" collapsed="false">
      <c r="A1771" s="9"/>
      <c r="B1771" s="4"/>
      <c r="C1771" s="10"/>
      <c r="D1771" s="11" t="str">
        <f aca="false">IF(K1771="","",IFERROR(INDEX(DECKS!$C$2:$C$1201,MATCH(K1771,DECKS!$B$2:$B$1201,0)),TRIM(I1771&amp;"")))</f>
        <v/>
      </c>
      <c r="E1771" s="4"/>
      <c r="F1771" s="12"/>
      <c r="G1771" s="4"/>
      <c r="H1771" s="13" t="str">
        <f aca="false">IF(OR(N(C1771)=0,N(F1771)=0),"",C1771*F1771)</f>
        <v/>
      </c>
      <c r="I1771" s="4"/>
      <c r="J1771" s="11" t="str">
        <f aca="false">IF(K1771="","",IF(N(C1771)&lt;=0,"Informe a quantidade",IF(IFERROR(INDEX(INVENTÁRIO!$B$2:$B$801,MATCH(K1771,INVENTÁRIO!$A$2:$A$801,0)),"")="(sem nome)","Carta fora dos decks: digite o nome na coluna I (opcional)","")))</f>
        <v/>
      </c>
      <c r="K1771" s="11" t="str">
        <f aca="false">UPPER(TRIM(SUBSTITUTE(B1771&amp;"",CHAR(160)," ")))</f>
        <v/>
      </c>
      <c r="L1771" s="11" t="str">
        <f aca="false">IF(AND(K1771&lt;&gt;"",TRIM(I1771&amp;"")&lt;&gt;""),K1771,"")</f>
        <v/>
      </c>
    </row>
    <row r="1772" customFormat="false" ht="15" hidden="false" customHeight="false" outlineLevel="0" collapsed="false">
      <c r="A1772" s="9"/>
      <c r="B1772" s="4"/>
      <c r="C1772" s="10"/>
      <c r="D1772" s="11" t="str">
        <f aca="false">IF(K1772="","",IFERROR(INDEX(DECKS!$C$2:$C$1201,MATCH(K1772,DECKS!$B$2:$B$1201,0)),TRIM(I1772&amp;"")))</f>
        <v/>
      </c>
      <c r="E1772" s="4"/>
      <c r="F1772" s="12"/>
      <c r="G1772" s="4"/>
      <c r="H1772" s="13" t="str">
        <f aca="false">IF(OR(N(C1772)=0,N(F1772)=0),"",C1772*F1772)</f>
        <v/>
      </c>
      <c r="I1772" s="4"/>
      <c r="J1772" s="11" t="str">
        <f aca="false">IF(K1772="","",IF(N(C1772)&lt;=0,"Informe a quantidade",IF(IFERROR(INDEX(INVENTÁRIO!$B$2:$B$801,MATCH(K1772,INVENTÁRIO!$A$2:$A$801,0)),"")="(sem nome)","Carta fora dos decks: digite o nome na coluna I (opcional)","")))</f>
        <v/>
      </c>
      <c r="K1772" s="11" t="str">
        <f aca="false">UPPER(TRIM(SUBSTITUTE(B1772&amp;"",CHAR(160)," ")))</f>
        <v/>
      </c>
      <c r="L1772" s="11" t="str">
        <f aca="false">IF(AND(K1772&lt;&gt;"",TRIM(I1772&amp;"")&lt;&gt;""),K1772,"")</f>
        <v/>
      </c>
    </row>
    <row r="1773" customFormat="false" ht="15" hidden="false" customHeight="false" outlineLevel="0" collapsed="false">
      <c r="A1773" s="9"/>
      <c r="B1773" s="4"/>
      <c r="C1773" s="10"/>
      <c r="D1773" s="11" t="str">
        <f aca="false">IF(K1773="","",IFERROR(INDEX(DECKS!$C$2:$C$1201,MATCH(K1773,DECKS!$B$2:$B$1201,0)),TRIM(I1773&amp;"")))</f>
        <v/>
      </c>
      <c r="E1773" s="4"/>
      <c r="F1773" s="12"/>
      <c r="G1773" s="4"/>
      <c r="H1773" s="13" t="str">
        <f aca="false">IF(OR(N(C1773)=0,N(F1773)=0),"",C1773*F1773)</f>
        <v/>
      </c>
      <c r="I1773" s="4"/>
      <c r="J1773" s="11" t="str">
        <f aca="false">IF(K1773="","",IF(N(C1773)&lt;=0,"Informe a quantidade",IF(IFERROR(INDEX(INVENTÁRIO!$B$2:$B$801,MATCH(K1773,INVENTÁRIO!$A$2:$A$801,0)),"")="(sem nome)","Carta fora dos decks: digite o nome na coluna I (opcional)","")))</f>
        <v/>
      </c>
      <c r="K1773" s="11" t="str">
        <f aca="false">UPPER(TRIM(SUBSTITUTE(B1773&amp;"",CHAR(160)," ")))</f>
        <v/>
      </c>
      <c r="L1773" s="11" t="str">
        <f aca="false">IF(AND(K1773&lt;&gt;"",TRIM(I1773&amp;"")&lt;&gt;""),K1773,"")</f>
        <v/>
      </c>
    </row>
    <row r="1774" customFormat="false" ht="15" hidden="false" customHeight="false" outlineLevel="0" collapsed="false">
      <c r="A1774" s="9"/>
      <c r="B1774" s="4"/>
      <c r="C1774" s="10"/>
      <c r="D1774" s="11" t="str">
        <f aca="false">IF(K1774="","",IFERROR(INDEX(DECKS!$C$2:$C$1201,MATCH(K1774,DECKS!$B$2:$B$1201,0)),TRIM(I1774&amp;"")))</f>
        <v/>
      </c>
      <c r="E1774" s="4"/>
      <c r="F1774" s="12"/>
      <c r="G1774" s="4"/>
      <c r="H1774" s="13" t="str">
        <f aca="false">IF(OR(N(C1774)=0,N(F1774)=0),"",C1774*F1774)</f>
        <v/>
      </c>
      <c r="I1774" s="4"/>
      <c r="J1774" s="11" t="str">
        <f aca="false">IF(K1774="","",IF(N(C1774)&lt;=0,"Informe a quantidade",IF(IFERROR(INDEX(INVENTÁRIO!$B$2:$B$801,MATCH(K1774,INVENTÁRIO!$A$2:$A$801,0)),"")="(sem nome)","Carta fora dos decks: digite o nome na coluna I (opcional)","")))</f>
        <v/>
      </c>
      <c r="K1774" s="11" t="str">
        <f aca="false">UPPER(TRIM(SUBSTITUTE(B1774&amp;"",CHAR(160)," ")))</f>
        <v/>
      </c>
      <c r="L1774" s="11" t="str">
        <f aca="false">IF(AND(K1774&lt;&gt;"",TRIM(I1774&amp;"")&lt;&gt;""),K1774,"")</f>
        <v/>
      </c>
    </row>
    <row r="1775" customFormat="false" ht="15" hidden="false" customHeight="false" outlineLevel="0" collapsed="false">
      <c r="A1775" s="9"/>
      <c r="B1775" s="4"/>
      <c r="C1775" s="10"/>
      <c r="D1775" s="11" t="str">
        <f aca="false">IF(K1775="","",IFERROR(INDEX(DECKS!$C$2:$C$1201,MATCH(K1775,DECKS!$B$2:$B$1201,0)),TRIM(I1775&amp;"")))</f>
        <v/>
      </c>
      <c r="E1775" s="4"/>
      <c r="F1775" s="12"/>
      <c r="G1775" s="4"/>
      <c r="H1775" s="13" t="str">
        <f aca="false">IF(OR(N(C1775)=0,N(F1775)=0),"",C1775*F1775)</f>
        <v/>
      </c>
      <c r="I1775" s="4"/>
      <c r="J1775" s="11" t="str">
        <f aca="false">IF(K1775="","",IF(N(C1775)&lt;=0,"Informe a quantidade",IF(IFERROR(INDEX(INVENTÁRIO!$B$2:$B$801,MATCH(K1775,INVENTÁRIO!$A$2:$A$801,0)),"")="(sem nome)","Carta fora dos decks: digite o nome na coluna I (opcional)","")))</f>
        <v/>
      </c>
      <c r="K1775" s="11" t="str">
        <f aca="false">UPPER(TRIM(SUBSTITUTE(B1775&amp;"",CHAR(160)," ")))</f>
        <v/>
      </c>
      <c r="L1775" s="11" t="str">
        <f aca="false">IF(AND(K1775&lt;&gt;"",TRIM(I1775&amp;"")&lt;&gt;""),K1775,"")</f>
        <v/>
      </c>
    </row>
    <row r="1776" customFormat="false" ht="15" hidden="false" customHeight="false" outlineLevel="0" collapsed="false">
      <c r="A1776" s="9"/>
      <c r="B1776" s="4"/>
      <c r="C1776" s="10"/>
      <c r="D1776" s="11" t="str">
        <f aca="false">IF(K1776="","",IFERROR(INDEX(DECKS!$C$2:$C$1201,MATCH(K1776,DECKS!$B$2:$B$1201,0)),TRIM(I1776&amp;"")))</f>
        <v/>
      </c>
      <c r="E1776" s="4"/>
      <c r="F1776" s="12"/>
      <c r="G1776" s="4"/>
      <c r="H1776" s="13" t="str">
        <f aca="false">IF(OR(N(C1776)=0,N(F1776)=0),"",C1776*F1776)</f>
        <v/>
      </c>
      <c r="I1776" s="4"/>
      <c r="J1776" s="11" t="str">
        <f aca="false">IF(K1776="","",IF(N(C1776)&lt;=0,"Informe a quantidade",IF(IFERROR(INDEX(INVENTÁRIO!$B$2:$B$801,MATCH(K1776,INVENTÁRIO!$A$2:$A$801,0)),"")="(sem nome)","Carta fora dos decks: digite o nome na coluna I (opcional)","")))</f>
        <v/>
      </c>
      <c r="K1776" s="11" t="str">
        <f aca="false">UPPER(TRIM(SUBSTITUTE(B1776&amp;"",CHAR(160)," ")))</f>
        <v/>
      </c>
      <c r="L1776" s="11" t="str">
        <f aca="false">IF(AND(K1776&lt;&gt;"",TRIM(I1776&amp;"")&lt;&gt;""),K1776,"")</f>
        <v/>
      </c>
    </row>
    <row r="1777" customFormat="false" ht="15" hidden="false" customHeight="false" outlineLevel="0" collapsed="false">
      <c r="A1777" s="9"/>
      <c r="B1777" s="4"/>
      <c r="C1777" s="10"/>
      <c r="D1777" s="11" t="str">
        <f aca="false">IF(K1777="","",IFERROR(INDEX(DECKS!$C$2:$C$1201,MATCH(K1777,DECKS!$B$2:$B$1201,0)),TRIM(I1777&amp;"")))</f>
        <v/>
      </c>
      <c r="E1777" s="4"/>
      <c r="F1777" s="12"/>
      <c r="G1777" s="4"/>
      <c r="H1777" s="13" t="str">
        <f aca="false">IF(OR(N(C1777)=0,N(F1777)=0),"",C1777*F1777)</f>
        <v/>
      </c>
      <c r="I1777" s="4"/>
      <c r="J1777" s="11" t="str">
        <f aca="false">IF(K1777="","",IF(N(C1777)&lt;=0,"Informe a quantidade",IF(IFERROR(INDEX(INVENTÁRIO!$B$2:$B$801,MATCH(K1777,INVENTÁRIO!$A$2:$A$801,0)),"")="(sem nome)","Carta fora dos decks: digite o nome na coluna I (opcional)","")))</f>
        <v/>
      </c>
      <c r="K1777" s="11" t="str">
        <f aca="false">UPPER(TRIM(SUBSTITUTE(B1777&amp;"",CHAR(160)," ")))</f>
        <v/>
      </c>
      <c r="L1777" s="11" t="str">
        <f aca="false">IF(AND(K1777&lt;&gt;"",TRIM(I1777&amp;"")&lt;&gt;""),K1777,"")</f>
        <v/>
      </c>
    </row>
    <row r="1778" customFormat="false" ht="15" hidden="false" customHeight="false" outlineLevel="0" collapsed="false">
      <c r="A1778" s="9"/>
      <c r="B1778" s="4"/>
      <c r="C1778" s="10"/>
      <c r="D1778" s="11" t="str">
        <f aca="false">IF(K1778="","",IFERROR(INDEX(DECKS!$C$2:$C$1201,MATCH(K1778,DECKS!$B$2:$B$1201,0)),TRIM(I1778&amp;"")))</f>
        <v/>
      </c>
      <c r="E1778" s="4"/>
      <c r="F1778" s="12"/>
      <c r="G1778" s="4"/>
      <c r="H1778" s="13" t="str">
        <f aca="false">IF(OR(N(C1778)=0,N(F1778)=0),"",C1778*F1778)</f>
        <v/>
      </c>
      <c r="I1778" s="4"/>
      <c r="J1778" s="11" t="str">
        <f aca="false">IF(K1778="","",IF(N(C1778)&lt;=0,"Informe a quantidade",IF(IFERROR(INDEX(INVENTÁRIO!$B$2:$B$801,MATCH(K1778,INVENTÁRIO!$A$2:$A$801,0)),"")="(sem nome)","Carta fora dos decks: digite o nome na coluna I (opcional)","")))</f>
        <v/>
      </c>
      <c r="K1778" s="11" t="str">
        <f aca="false">UPPER(TRIM(SUBSTITUTE(B1778&amp;"",CHAR(160)," ")))</f>
        <v/>
      </c>
      <c r="L1778" s="11" t="str">
        <f aca="false">IF(AND(K1778&lt;&gt;"",TRIM(I1778&amp;"")&lt;&gt;""),K1778,"")</f>
        <v/>
      </c>
    </row>
    <row r="1779" customFormat="false" ht="15" hidden="false" customHeight="false" outlineLevel="0" collapsed="false">
      <c r="A1779" s="9"/>
      <c r="B1779" s="4"/>
      <c r="C1779" s="10"/>
      <c r="D1779" s="11" t="str">
        <f aca="false">IF(K1779="","",IFERROR(INDEX(DECKS!$C$2:$C$1201,MATCH(K1779,DECKS!$B$2:$B$1201,0)),TRIM(I1779&amp;"")))</f>
        <v/>
      </c>
      <c r="E1779" s="4"/>
      <c r="F1779" s="12"/>
      <c r="G1779" s="4"/>
      <c r="H1779" s="13" t="str">
        <f aca="false">IF(OR(N(C1779)=0,N(F1779)=0),"",C1779*F1779)</f>
        <v/>
      </c>
      <c r="I1779" s="4"/>
      <c r="J1779" s="11" t="str">
        <f aca="false">IF(K1779="","",IF(N(C1779)&lt;=0,"Informe a quantidade",IF(IFERROR(INDEX(INVENTÁRIO!$B$2:$B$801,MATCH(K1779,INVENTÁRIO!$A$2:$A$801,0)),"")="(sem nome)","Carta fora dos decks: digite o nome na coluna I (opcional)","")))</f>
        <v/>
      </c>
      <c r="K1779" s="11" t="str">
        <f aca="false">UPPER(TRIM(SUBSTITUTE(B1779&amp;"",CHAR(160)," ")))</f>
        <v/>
      </c>
      <c r="L1779" s="11" t="str">
        <f aca="false">IF(AND(K1779&lt;&gt;"",TRIM(I1779&amp;"")&lt;&gt;""),K1779,"")</f>
        <v/>
      </c>
    </row>
    <row r="1780" customFormat="false" ht="15" hidden="false" customHeight="false" outlineLevel="0" collapsed="false">
      <c r="A1780" s="9"/>
      <c r="B1780" s="4"/>
      <c r="C1780" s="10"/>
      <c r="D1780" s="11" t="str">
        <f aca="false">IF(K1780="","",IFERROR(INDEX(DECKS!$C$2:$C$1201,MATCH(K1780,DECKS!$B$2:$B$1201,0)),TRIM(I1780&amp;"")))</f>
        <v/>
      </c>
      <c r="E1780" s="4"/>
      <c r="F1780" s="12"/>
      <c r="G1780" s="4"/>
      <c r="H1780" s="13" t="str">
        <f aca="false">IF(OR(N(C1780)=0,N(F1780)=0),"",C1780*F1780)</f>
        <v/>
      </c>
      <c r="I1780" s="4"/>
      <c r="J1780" s="11" t="str">
        <f aca="false">IF(K1780="","",IF(N(C1780)&lt;=0,"Informe a quantidade",IF(IFERROR(INDEX(INVENTÁRIO!$B$2:$B$801,MATCH(K1780,INVENTÁRIO!$A$2:$A$801,0)),"")="(sem nome)","Carta fora dos decks: digite o nome na coluna I (opcional)","")))</f>
        <v/>
      </c>
      <c r="K1780" s="11" t="str">
        <f aca="false">UPPER(TRIM(SUBSTITUTE(B1780&amp;"",CHAR(160)," ")))</f>
        <v/>
      </c>
      <c r="L1780" s="11" t="str">
        <f aca="false">IF(AND(K1780&lt;&gt;"",TRIM(I1780&amp;"")&lt;&gt;""),K1780,"")</f>
        <v/>
      </c>
    </row>
    <row r="1781" customFormat="false" ht="15" hidden="false" customHeight="false" outlineLevel="0" collapsed="false">
      <c r="A1781" s="9"/>
      <c r="B1781" s="4"/>
      <c r="C1781" s="10"/>
      <c r="D1781" s="11" t="str">
        <f aca="false">IF(K1781="","",IFERROR(INDEX(DECKS!$C$2:$C$1201,MATCH(K1781,DECKS!$B$2:$B$1201,0)),TRIM(I1781&amp;"")))</f>
        <v/>
      </c>
      <c r="E1781" s="4"/>
      <c r="F1781" s="12"/>
      <c r="G1781" s="4"/>
      <c r="H1781" s="13" t="str">
        <f aca="false">IF(OR(N(C1781)=0,N(F1781)=0),"",C1781*F1781)</f>
        <v/>
      </c>
      <c r="I1781" s="4"/>
      <c r="J1781" s="11" t="str">
        <f aca="false">IF(K1781="","",IF(N(C1781)&lt;=0,"Informe a quantidade",IF(IFERROR(INDEX(INVENTÁRIO!$B$2:$B$801,MATCH(K1781,INVENTÁRIO!$A$2:$A$801,0)),"")="(sem nome)","Carta fora dos decks: digite o nome na coluna I (opcional)","")))</f>
        <v/>
      </c>
      <c r="K1781" s="11" t="str">
        <f aca="false">UPPER(TRIM(SUBSTITUTE(B1781&amp;"",CHAR(160)," ")))</f>
        <v/>
      </c>
      <c r="L1781" s="11" t="str">
        <f aca="false">IF(AND(K1781&lt;&gt;"",TRIM(I1781&amp;"")&lt;&gt;""),K1781,"")</f>
        <v/>
      </c>
    </row>
    <row r="1782" customFormat="false" ht="15" hidden="false" customHeight="false" outlineLevel="0" collapsed="false">
      <c r="A1782" s="9"/>
      <c r="B1782" s="4"/>
      <c r="C1782" s="10"/>
      <c r="D1782" s="11" t="str">
        <f aca="false">IF(K1782="","",IFERROR(INDEX(DECKS!$C$2:$C$1201,MATCH(K1782,DECKS!$B$2:$B$1201,0)),TRIM(I1782&amp;"")))</f>
        <v/>
      </c>
      <c r="E1782" s="4"/>
      <c r="F1782" s="12"/>
      <c r="G1782" s="4"/>
      <c r="H1782" s="13" t="str">
        <f aca="false">IF(OR(N(C1782)=0,N(F1782)=0),"",C1782*F1782)</f>
        <v/>
      </c>
      <c r="I1782" s="4"/>
      <c r="J1782" s="11" t="str">
        <f aca="false">IF(K1782="","",IF(N(C1782)&lt;=0,"Informe a quantidade",IF(IFERROR(INDEX(INVENTÁRIO!$B$2:$B$801,MATCH(K1782,INVENTÁRIO!$A$2:$A$801,0)),"")="(sem nome)","Carta fora dos decks: digite o nome na coluna I (opcional)","")))</f>
        <v/>
      </c>
      <c r="K1782" s="11" t="str">
        <f aca="false">UPPER(TRIM(SUBSTITUTE(B1782&amp;"",CHAR(160)," ")))</f>
        <v/>
      </c>
      <c r="L1782" s="11" t="str">
        <f aca="false">IF(AND(K1782&lt;&gt;"",TRIM(I1782&amp;"")&lt;&gt;""),K1782,"")</f>
        <v/>
      </c>
    </row>
    <row r="1783" customFormat="false" ht="15" hidden="false" customHeight="false" outlineLevel="0" collapsed="false">
      <c r="A1783" s="9"/>
      <c r="B1783" s="4"/>
      <c r="C1783" s="10"/>
      <c r="D1783" s="11" t="str">
        <f aca="false">IF(K1783="","",IFERROR(INDEX(DECKS!$C$2:$C$1201,MATCH(K1783,DECKS!$B$2:$B$1201,0)),TRIM(I1783&amp;"")))</f>
        <v/>
      </c>
      <c r="E1783" s="4"/>
      <c r="F1783" s="12"/>
      <c r="G1783" s="4"/>
      <c r="H1783" s="13" t="str">
        <f aca="false">IF(OR(N(C1783)=0,N(F1783)=0),"",C1783*F1783)</f>
        <v/>
      </c>
      <c r="I1783" s="4"/>
      <c r="J1783" s="11" t="str">
        <f aca="false">IF(K1783="","",IF(N(C1783)&lt;=0,"Informe a quantidade",IF(IFERROR(INDEX(INVENTÁRIO!$B$2:$B$801,MATCH(K1783,INVENTÁRIO!$A$2:$A$801,0)),"")="(sem nome)","Carta fora dos decks: digite o nome na coluna I (opcional)","")))</f>
        <v/>
      </c>
      <c r="K1783" s="11" t="str">
        <f aca="false">UPPER(TRIM(SUBSTITUTE(B1783&amp;"",CHAR(160)," ")))</f>
        <v/>
      </c>
      <c r="L1783" s="11" t="str">
        <f aca="false">IF(AND(K1783&lt;&gt;"",TRIM(I1783&amp;"")&lt;&gt;""),K1783,"")</f>
        <v/>
      </c>
    </row>
    <row r="1784" customFormat="false" ht="15" hidden="false" customHeight="false" outlineLevel="0" collapsed="false">
      <c r="A1784" s="9"/>
      <c r="B1784" s="4"/>
      <c r="C1784" s="10"/>
      <c r="D1784" s="11" t="str">
        <f aca="false">IF(K1784="","",IFERROR(INDEX(DECKS!$C$2:$C$1201,MATCH(K1784,DECKS!$B$2:$B$1201,0)),TRIM(I1784&amp;"")))</f>
        <v/>
      </c>
      <c r="E1784" s="4"/>
      <c r="F1784" s="12"/>
      <c r="G1784" s="4"/>
      <c r="H1784" s="13" t="str">
        <f aca="false">IF(OR(N(C1784)=0,N(F1784)=0),"",C1784*F1784)</f>
        <v/>
      </c>
      <c r="I1784" s="4"/>
      <c r="J1784" s="11" t="str">
        <f aca="false">IF(K1784="","",IF(N(C1784)&lt;=0,"Informe a quantidade",IF(IFERROR(INDEX(INVENTÁRIO!$B$2:$B$801,MATCH(K1784,INVENTÁRIO!$A$2:$A$801,0)),"")="(sem nome)","Carta fora dos decks: digite o nome na coluna I (opcional)","")))</f>
        <v/>
      </c>
      <c r="K1784" s="11" t="str">
        <f aca="false">UPPER(TRIM(SUBSTITUTE(B1784&amp;"",CHAR(160)," ")))</f>
        <v/>
      </c>
      <c r="L1784" s="11" t="str">
        <f aca="false">IF(AND(K1784&lt;&gt;"",TRIM(I1784&amp;"")&lt;&gt;""),K1784,"")</f>
        <v/>
      </c>
    </row>
    <row r="1785" customFormat="false" ht="15" hidden="false" customHeight="false" outlineLevel="0" collapsed="false">
      <c r="A1785" s="9"/>
      <c r="B1785" s="4"/>
      <c r="C1785" s="10"/>
      <c r="D1785" s="11" t="str">
        <f aca="false">IF(K1785="","",IFERROR(INDEX(DECKS!$C$2:$C$1201,MATCH(K1785,DECKS!$B$2:$B$1201,0)),TRIM(I1785&amp;"")))</f>
        <v/>
      </c>
      <c r="E1785" s="4"/>
      <c r="F1785" s="12"/>
      <c r="G1785" s="4"/>
      <c r="H1785" s="13" t="str">
        <f aca="false">IF(OR(N(C1785)=0,N(F1785)=0),"",C1785*F1785)</f>
        <v/>
      </c>
      <c r="I1785" s="4"/>
      <c r="J1785" s="11" t="str">
        <f aca="false">IF(K1785="","",IF(N(C1785)&lt;=0,"Informe a quantidade",IF(IFERROR(INDEX(INVENTÁRIO!$B$2:$B$801,MATCH(K1785,INVENTÁRIO!$A$2:$A$801,0)),"")="(sem nome)","Carta fora dos decks: digite o nome na coluna I (opcional)","")))</f>
        <v/>
      </c>
      <c r="K1785" s="11" t="str">
        <f aca="false">UPPER(TRIM(SUBSTITUTE(B1785&amp;"",CHAR(160)," ")))</f>
        <v/>
      </c>
      <c r="L1785" s="11" t="str">
        <f aca="false">IF(AND(K1785&lt;&gt;"",TRIM(I1785&amp;"")&lt;&gt;""),K1785,"")</f>
        <v/>
      </c>
    </row>
    <row r="1786" customFormat="false" ht="15" hidden="false" customHeight="false" outlineLevel="0" collapsed="false">
      <c r="A1786" s="9"/>
      <c r="B1786" s="4"/>
      <c r="C1786" s="10"/>
      <c r="D1786" s="11" t="str">
        <f aca="false">IF(K1786="","",IFERROR(INDEX(DECKS!$C$2:$C$1201,MATCH(K1786,DECKS!$B$2:$B$1201,0)),TRIM(I1786&amp;"")))</f>
        <v/>
      </c>
      <c r="E1786" s="4"/>
      <c r="F1786" s="12"/>
      <c r="G1786" s="4"/>
      <c r="H1786" s="13" t="str">
        <f aca="false">IF(OR(N(C1786)=0,N(F1786)=0),"",C1786*F1786)</f>
        <v/>
      </c>
      <c r="I1786" s="4"/>
      <c r="J1786" s="11" t="str">
        <f aca="false">IF(K1786="","",IF(N(C1786)&lt;=0,"Informe a quantidade",IF(IFERROR(INDEX(INVENTÁRIO!$B$2:$B$801,MATCH(K1786,INVENTÁRIO!$A$2:$A$801,0)),"")="(sem nome)","Carta fora dos decks: digite o nome na coluna I (opcional)","")))</f>
        <v/>
      </c>
      <c r="K1786" s="11" t="str">
        <f aca="false">UPPER(TRIM(SUBSTITUTE(B1786&amp;"",CHAR(160)," ")))</f>
        <v/>
      </c>
      <c r="L1786" s="11" t="str">
        <f aca="false">IF(AND(K1786&lt;&gt;"",TRIM(I1786&amp;"")&lt;&gt;""),K1786,"")</f>
        <v/>
      </c>
    </row>
    <row r="1787" customFormat="false" ht="15" hidden="false" customHeight="false" outlineLevel="0" collapsed="false">
      <c r="A1787" s="9"/>
      <c r="B1787" s="4"/>
      <c r="C1787" s="10"/>
      <c r="D1787" s="11" t="str">
        <f aca="false">IF(K1787="","",IFERROR(INDEX(DECKS!$C$2:$C$1201,MATCH(K1787,DECKS!$B$2:$B$1201,0)),TRIM(I1787&amp;"")))</f>
        <v/>
      </c>
      <c r="E1787" s="4"/>
      <c r="F1787" s="12"/>
      <c r="G1787" s="4"/>
      <c r="H1787" s="13" t="str">
        <f aca="false">IF(OR(N(C1787)=0,N(F1787)=0),"",C1787*F1787)</f>
        <v/>
      </c>
      <c r="I1787" s="4"/>
      <c r="J1787" s="11" t="str">
        <f aca="false">IF(K1787="","",IF(N(C1787)&lt;=0,"Informe a quantidade",IF(IFERROR(INDEX(INVENTÁRIO!$B$2:$B$801,MATCH(K1787,INVENTÁRIO!$A$2:$A$801,0)),"")="(sem nome)","Carta fora dos decks: digite o nome na coluna I (opcional)","")))</f>
        <v/>
      </c>
      <c r="K1787" s="11" t="str">
        <f aca="false">UPPER(TRIM(SUBSTITUTE(B1787&amp;"",CHAR(160)," ")))</f>
        <v/>
      </c>
      <c r="L1787" s="11" t="str">
        <f aca="false">IF(AND(K1787&lt;&gt;"",TRIM(I1787&amp;"")&lt;&gt;""),K1787,"")</f>
        <v/>
      </c>
    </row>
    <row r="1788" customFormat="false" ht="15" hidden="false" customHeight="false" outlineLevel="0" collapsed="false">
      <c r="A1788" s="9"/>
      <c r="B1788" s="4"/>
      <c r="C1788" s="10"/>
      <c r="D1788" s="11" t="str">
        <f aca="false">IF(K1788="","",IFERROR(INDEX(DECKS!$C$2:$C$1201,MATCH(K1788,DECKS!$B$2:$B$1201,0)),TRIM(I1788&amp;"")))</f>
        <v/>
      </c>
      <c r="E1788" s="4"/>
      <c r="F1788" s="12"/>
      <c r="G1788" s="4"/>
      <c r="H1788" s="13" t="str">
        <f aca="false">IF(OR(N(C1788)=0,N(F1788)=0),"",C1788*F1788)</f>
        <v/>
      </c>
      <c r="I1788" s="4"/>
      <c r="J1788" s="11" t="str">
        <f aca="false">IF(K1788="","",IF(N(C1788)&lt;=0,"Informe a quantidade",IF(IFERROR(INDEX(INVENTÁRIO!$B$2:$B$801,MATCH(K1788,INVENTÁRIO!$A$2:$A$801,0)),"")="(sem nome)","Carta fora dos decks: digite o nome na coluna I (opcional)","")))</f>
        <v/>
      </c>
      <c r="K1788" s="11" t="str">
        <f aca="false">UPPER(TRIM(SUBSTITUTE(B1788&amp;"",CHAR(160)," ")))</f>
        <v/>
      </c>
      <c r="L1788" s="11" t="str">
        <f aca="false">IF(AND(K1788&lt;&gt;"",TRIM(I1788&amp;"")&lt;&gt;""),K1788,"")</f>
        <v/>
      </c>
    </row>
    <row r="1789" customFormat="false" ht="15" hidden="false" customHeight="false" outlineLevel="0" collapsed="false">
      <c r="A1789" s="9"/>
      <c r="B1789" s="4"/>
      <c r="C1789" s="10"/>
      <c r="D1789" s="11" t="str">
        <f aca="false">IF(K1789="","",IFERROR(INDEX(DECKS!$C$2:$C$1201,MATCH(K1789,DECKS!$B$2:$B$1201,0)),TRIM(I1789&amp;"")))</f>
        <v/>
      </c>
      <c r="E1789" s="4"/>
      <c r="F1789" s="12"/>
      <c r="G1789" s="4"/>
      <c r="H1789" s="13" t="str">
        <f aca="false">IF(OR(N(C1789)=0,N(F1789)=0),"",C1789*F1789)</f>
        <v/>
      </c>
      <c r="I1789" s="4"/>
      <c r="J1789" s="11" t="str">
        <f aca="false">IF(K1789="","",IF(N(C1789)&lt;=0,"Informe a quantidade",IF(IFERROR(INDEX(INVENTÁRIO!$B$2:$B$801,MATCH(K1789,INVENTÁRIO!$A$2:$A$801,0)),"")="(sem nome)","Carta fora dos decks: digite o nome na coluna I (opcional)","")))</f>
        <v/>
      </c>
      <c r="K1789" s="11" t="str">
        <f aca="false">UPPER(TRIM(SUBSTITUTE(B1789&amp;"",CHAR(160)," ")))</f>
        <v/>
      </c>
      <c r="L1789" s="11" t="str">
        <f aca="false">IF(AND(K1789&lt;&gt;"",TRIM(I1789&amp;"")&lt;&gt;""),K1789,"")</f>
        <v/>
      </c>
    </row>
    <row r="1790" customFormat="false" ht="15" hidden="false" customHeight="false" outlineLevel="0" collapsed="false">
      <c r="A1790" s="9"/>
      <c r="B1790" s="4"/>
      <c r="C1790" s="10"/>
      <c r="D1790" s="11" t="str">
        <f aca="false">IF(K1790="","",IFERROR(INDEX(DECKS!$C$2:$C$1201,MATCH(K1790,DECKS!$B$2:$B$1201,0)),TRIM(I1790&amp;"")))</f>
        <v/>
      </c>
      <c r="E1790" s="4"/>
      <c r="F1790" s="12"/>
      <c r="G1790" s="4"/>
      <c r="H1790" s="13" t="str">
        <f aca="false">IF(OR(N(C1790)=0,N(F1790)=0),"",C1790*F1790)</f>
        <v/>
      </c>
      <c r="I1790" s="4"/>
      <c r="J1790" s="11" t="str">
        <f aca="false">IF(K1790="","",IF(N(C1790)&lt;=0,"Informe a quantidade",IF(IFERROR(INDEX(INVENTÁRIO!$B$2:$B$801,MATCH(K1790,INVENTÁRIO!$A$2:$A$801,0)),"")="(sem nome)","Carta fora dos decks: digite o nome na coluna I (opcional)","")))</f>
        <v/>
      </c>
      <c r="K1790" s="11" t="str">
        <f aca="false">UPPER(TRIM(SUBSTITUTE(B1790&amp;"",CHAR(160)," ")))</f>
        <v/>
      </c>
      <c r="L1790" s="11" t="str">
        <f aca="false">IF(AND(K1790&lt;&gt;"",TRIM(I1790&amp;"")&lt;&gt;""),K1790,"")</f>
        <v/>
      </c>
    </row>
    <row r="1791" customFormat="false" ht="15" hidden="false" customHeight="false" outlineLevel="0" collapsed="false">
      <c r="A1791" s="9"/>
      <c r="B1791" s="4"/>
      <c r="C1791" s="10"/>
      <c r="D1791" s="11" t="str">
        <f aca="false">IF(K1791="","",IFERROR(INDEX(DECKS!$C$2:$C$1201,MATCH(K1791,DECKS!$B$2:$B$1201,0)),TRIM(I1791&amp;"")))</f>
        <v/>
      </c>
      <c r="E1791" s="4"/>
      <c r="F1791" s="12"/>
      <c r="G1791" s="4"/>
      <c r="H1791" s="13" t="str">
        <f aca="false">IF(OR(N(C1791)=0,N(F1791)=0),"",C1791*F1791)</f>
        <v/>
      </c>
      <c r="I1791" s="4"/>
      <c r="J1791" s="11" t="str">
        <f aca="false">IF(K1791="","",IF(N(C1791)&lt;=0,"Informe a quantidade",IF(IFERROR(INDEX(INVENTÁRIO!$B$2:$B$801,MATCH(K1791,INVENTÁRIO!$A$2:$A$801,0)),"")="(sem nome)","Carta fora dos decks: digite o nome na coluna I (opcional)","")))</f>
        <v/>
      </c>
      <c r="K1791" s="11" t="str">
        <f aca="false">UPPER(TRIM(SUBSTITUTE(B1791&amp;"",CHAR(160)," ")))</f>
        <v/>
      </c>
      <c r="L1791" s="11" t="str">
        <f aca="false">IF(AND(K1791&lt;&gt;"",TRIM(I1791&amp;"")&lt;&gt;""),K1791,"")</f>
        <v/>
      </c>
    </row>
    <row r="1792" customFormat="false" ht="15" hidden="false" customHeight="false" outlineLevel="0" collapsed="false">
      <c r="A1792" s="9"/>
      <c r="B1792" s="4"/>
      <c r="C1792" s="10"/>
      <c r="D1792" s="11" t="str">
        <f aca="false">IF(K1792="","",IFERROR(INDEX(DECKS!$C$2:$C$1201,MATCH(K1792,DECKS!$B$2:$B$1201,0)),TRIM(I1792&amp;"")))</f>
        <v/>
      </c>
      <c r="E1792" s="4"/>
      <c r="F1792" s="12"/>
      <c r="G1792" s="4"/>
      <c r="H1792" s="13" t="str">
        <f aca="false">IF(OR(N(C1792)=0,N(F1792)=0),"",C1792*F1792)</f>
        <v/>
      </c>
      <c r="I1792" s="4"/>
      <c r="J1792" s="11" t="str">
        <f aca="false">IF(K1792="","",IF(N(C1792)&lt;=0,"Informe a quantidade",IF(IFERROR(INDEX(INVENTÁRIO!$B$2:$B$801,MATCH(K1792,INVENTÁRIO!$A$2:$A$801,0)),"")="(sem nome)","Carta fora dos decks: digite o nome na coluna I (opcional)","")))</f>
        <v/>
      </c>
      <c r="K1792" s="11" t="str">
        <f aca="false">UPPER(TRIM(SUBSTITUTE(B1792&amp;"",CHAR(160)," ")))</f>
        <v/>
      </c>
      <c r="L1792" s="11" t="str">
        <f aca="false">IF(AND(K1792&lt;&gt;"",TRIM(I1792&amp;"")&lt;&gt;""),K1792,"")</f>
        <v/>
      </c>
    </row>
    <row r="1793" customFormat="false" ht="15" hidden="false" customHeight="false" outlineLevel="0" collapsed="false">
      <c r="A1793" s="9"/>
      <c r="B1793" s="4"/>
      <c r="C1793" s="10"/>
      <c r="D1793" s="11" t="str">
        <f aca="false">IF(K1793="","",IFERROR(INDEX(DECKS!$C$2:$C$1201,MATCH(K1793,DECKS!$B$2:$B$1201,0)),TRIM(I1793&amp;"")))</f>
        <v/>
      </c>
      <c r="E1793" s="4"/>
      <c r="F1793" s="12"/>
      <c r="G1793" s="4"/>
      <c r="H1793" s="13" t="str">
        <f aca="false">IF(OR(N(C1793)=0,N(F1793)=0),"",C1793*F1793)</f>
        <v/>
      </c>
      <c r="I1793" s="4"/>
      <c r="J1793" s="11" t="str">
        <f aca="false">IF(K1793="","",IF(N(C1793)&lt;=0,"Informe a quantidade",IF(IFERROR(INDEX(INVENTÁRIO!$B$2:$B$801,MATCH(K1793,INVENTÁRIO!$A$2:$A$801,0)),"")="(sem nome)","Carta fora dos decks: digite o nome na coluna I (opcional)","")))</f>
        <v/>
      </c>
      <c r="K1793" s="11" t="str">
        <f aca="false">UPPER(TRIM(SUBSTITUTE(B1793&amp;"",CHAR(160)," ")))</f>
        <v/>
      </c>
      <c r="L1793" s="11" t="str">
        <f aca="false">IF(AND(K1793&lt;&gt;"",TRIM(I1793&amp;"")&lt;&gt;""),K1793,"")</f>
        <v/>
      </c>
    </row>
    <row r="1794" customFormat="false" ht="15" hidden="false" customHeight="false" outlineLevel="0" collapsed="false">
      <c r="A1794" s="9"/>
      <c r="B1794" s="4"/>
      <c r="C1794" s="10"/>
      <c r="D1794" s="11" t="str">
        <f aca="false">IF(K1794="","",IFERROR(INDEX(DECKS!$C$2:$C$1201,MATCH(K1794,DECKS!$B$2:$B$1201,0)),TRIM(I1794&amp;"")))</f>
        <v/>
      </c>
      <c r="E1794" s="4"/>
      <c r="F1794" s="12"/>
      <c r="G1794" s="4"/>
      <c r="H1794" s="13" t="str">
        <f aca="false">IF(OR(N(C1794)=0,N(F1794)=0),"",C1794*F1794)</f>
        <v/>
      </c>
      <c r="I1794" s="4"/>
      <c r="J1794" s="11" t="str">
        <f aca="false">IF(K1794="","",IF(N(C1794)&lt;=0,"Informe a quantidade",IF(IFERROR(INDEX(INVENTÁRIO!$B$2:$B$801,MATCH(K1794,INVENTÁRIO!$A$2:$A$801,0)),"")="(sem nome)","Carta fora dos decks: digite o nome na coluna I (opcional)","")))</f>
        <v/>
      </c>
      <c r="K1794" s="11" t="str">
        <f aca="false">UPPER(TRIM(SUBSTITUTE(B1794&amp;"",CHAR(160)," ")))</f>
        <v/>
      </c>
      <c r="L1794" s="11" t="str">
        <f aca="false">IF(AND(K1794&lt;&gt;"",TRIM(I1794&amp;"")&lt;&gt;""),K1794,"")</f>
        <v/>
      </c>
    </row>
    <row r="1795" customFormat="false" ht="15" hidden="false" customHeight="false" outlineLevel="0" collapsed="false">
      <c r="A1795" s="9"/>
      <c r="B1795" s="4"/>
      <c r="C1795" s="10"/>
      <c r="D1795" s="11" t="str">
        <f aca="false">IF(K1795="","",IFERROR(INDEX(DECKS!$C$2:$C$1201,MATCH(K1795,DECKS!$B$2:$B$1201,0)),TRIM(I1795&amp;"")))</f>
        <v/>
      </c>
      <c r="E1795" s="4"/>
      <c r="F1795" s="12"/>
      <c r="G1795" s="4"/>
      <c r="H1795" s="13" t="str">
        <f aca="false">IF(OR(N(C1795)=0,N(F1795)=0),"",C1795*F1795)</f>
        <v/>
      </c>
      <c r="I1795" s="4"/>
      <c r="J1795" s="11" t="str">
        <f aca="false">IF(K1795="","",IF(N(C1795)&lt;=0,"Informe a quantidade",IF(IFERROR(INDEX(INVENTÁRIO!$B$2:$B$801,MATCH(K1795,INVENTÁRIO!$A$2:$A$801,0)),"")="(sem nome)","Carta fora dos decks: digite o nome na coluna I (opcional)","")))</f>
        <v/>
      </c>
      <c r="K1795" s="11" t="str">
        <f aca="false">UPPER(TRIM(SUBSTITUTE(B1795&amp;"",CHAR(160)," ")))</f>
        <v/>
      </c>
      <c r="L1795" s="11" t="str">
        <f aca="false">IF(AND(K1795&lt;&gt;"",TRIM(I1795&amp;"")&lt;&gt;""),K1795,"")</f>
        <v/>
      </c>
    </row>
    <row r="1796" customFormat="false" ht="15" hidden="false" customHeight="false" outlineLevel="0" collapsed="false">
      <c r="A1796" s="9"/>
      <c r="B1796" s="4"/>
      <c r="C1796" s="10"/>
      <c r="D1796" s="11" t="str">
        <f aca="false">IF(K1796="","",IFERROR(INDEX(DECKS!$C$2:$C$1201,MATCH(K1796,DECKS!$B$2:$B$1201,0)),TRIM(I1796&amp;"")))</f>
        <v/>
      </c>
      <c r="E1796" s="4"/>
      <c r="F1796" s="12"/>
      <c r="G1796" s="4"/>
      <c r="H1796" s="13" t="str">
        <f aca="false">IF(OR(N(C1796)=0,N(F1796)=0),"",C1796*F1796)</f>
        <v/>
      </c>
      <c r="I1796" s="4"/>
      <c r="J1796" s="11" t="str">
        <f aca="false">IF(K1796="","",IF(N(C1796)&lt;=0,"Informe a quantidade",IF(IFERROR(INDEX(INVENTÁRIO!$B$2:$B$801,MATCH(K1796,INVENTÁRIO!$A$2:$A$801,0)),"")="(sem nome)","Carta fora dos decks: digite o nome na coluna I (opcional)","")))</f>
        <v/>
      </c>
      <c r="K1796" s="11" t="str">
        <f aca="false">UPPER(TRIM(SUBSTITUTE(B1796&amp;"",CHAR(160)," ")))</f>
        <v/>
      </c>
      <c r="L1796" s="11" t="str">
        <f aca="false">IF(AND(K1796&lt;&gt;"",TRIM(I1796&amp;"")&lt;&gt;""),K1796,"")</f>
        <v/>
      </c>
    </row>
    <row r="1797" customFormat="false" ht="15" hidden="false" customHeight="false" outlineLevel="0" collapsed="false">
      <c r="A1797" s="9"/>
      <c r="B1797" s="4"/>
      <c r="C1797" s="10"/>
      <c r="D1797" s="11" t="str">
        <f aca="false">IF(K1797="","",IFERROR(INDEX(DECKS!$C$2:$C$1201,MATCH(K1797,DECKS!$B$2:$B$1201,0)),TRIM(I1797&amp;"")))</f>
        <v/>
      </c>
      <c r="E1797" s="4"/>
      <c r="F1797" s="12"/>
      <c r="G1797" s="4"/>
      <c r="H1797" s="13" t="str">
        <f aca="false">IF(OR(N(C1797)=0,N(F1797)=0),"",C1797*F1797)</f>
        <v/>
      </c>
      <c r="I1797" s="4"/>
      <c r="J1797" s="11" t="str">
        <f aca="false">IF(K1797="","",IF(N(C1797)&lt;=0,"Informe a quantidade",IF(IFERROR(INDEX(INVENTÁRIO!$B$2:$B$801,MATCH(K1797,INVENTÁRIO!$A$2:$A$801,0)),"")="(sem nome)","Carta fora dos decks: digite o nome na coluna I (opcional)","")))</f>
        <v/>
      </c>
      <c r="K1797" s="11" t="str">
        <f aca="false">UPPER(TRIM(SUBSTITUTE(B1797&amp;"",CHAR(160)," ")))</f>
        <v/>
      </c>
      <c r="L1797" s="11" t="str">
        <f aca="false">IF(AND(K1797&lt;&gt;"",TRIM(I1797&amp;"")&lt;&gt;""),K1797,"")</f>
        <v/>
      </c>
    </row>
    <row r="1798" customFormat="false" ht="15" hidden="false" customHeight="false" outlineLevel="0" collapsed="false">
      <c r="A1798" s="9"/>
      <c r="B1798" s="4"/>
      <c r="C1798" s="10"/>
      <c r="D1798" s="11" t="str">
        <f aca="false">IF(K1798="","",IFERROR(INDEX(DECKS!$C$2:$C$1201,MATCH(K1798,DECKS!$B$2:$B$1201,0)),TRIM(I1798&amp;"")))</f>
        <v/>
      </c>
      <c r="E1798" s="4"/>
      <c r="F1798" s="12"/>
      <c r="G1798" s="4"/>
      <c r="H1798" s="13" t="str">
        <f aca="false">IF(OR(N(C1798)=0,N(F1798)=0),"",C1798*F1798)</f>
        <v/>
      </c>
      <c r="I1798" s="4"/>
      <c r="J1798" s="11" t="str">
        <f aca="false">IF(K1798="","",IF(N(C1798)&lt;=0,"Informe a quantidade",IF(IFERROR(INDEX(INVENTÁRIO!$B$2:$B$801,MATCH(K1798,INVENTÁRIO!$A$2:$A$801,0)),"")="(sem nome)","Carta fora dos decks: digite o nome na coluna I (opcional)","")))</f>
        <v/>
      </c>
      <c r="K1798" s="11" t="str">
        <f aca="false">UPPER(TRIM(SUBSTITUTE(B1798&amp;"",CHAR(160)," ")))</f>
        <v/>
      </c>
      <c r="L1798" s="11" t="str">
        <f aca="false">IF(AND(K1798&lt;&gt;"",TRIM(I1798&amp;"")&lt;&gt;""),K1798,"")</f>
        <v/>
      </c>
    </row>
    <row r="1799" customFormat="false" ht="15" hidden="false" customHeight="false" outlineLevel="0" collapsed="false">
      <c r="A1799" s="9"/>
      <c r="B1799" s="4"/>
      <c r="C1799" s="10"/>
      <c r="D1799" s="11" t="str">
        <f aca="false">IF(K1799="","",IFERROR(INDEX(DECKS!$C$2:$C$1201,MATCH(K1799,DECKS!$B$2:$B$1201,0)),TRIM(I1799&amp;"")))</f>
        <v/>
      </c>
      <c r="E1799" s="4"/>
      <c r="F1799" s="12"/>
      <c r="G1799" s="4"/>
      <c r="H1799" s="13" t="str">
        <f aca="false">IF(OR(N(C1799)=0,N(F1799)=0),"",C1799*F1799)</f>
        <v/>
      </c>
      <c r="I1799" s="4"/>
      <c r="J1799" s="11" t="str">
        <f aca="false">IF(K1799="","",IF(N(C1799)&lt;=0,"Informe a quantidade",IF(IFERROR(INDEX(INVENTÁRIO!$B$2:$B$801,MATCH(K1799,INVENTÁRIO!$A$2:$A$801,0)),"")="(sem nome)","Carta fora dos decks: digite o nome na coluna I (opcional)","")))</f>
        <v/>
      </c>
      <c r="K1799" s="11" t="str">
        <f aca="false">UPPER(TRIM(SUBSTITUTE(B1799&amp;"",CHAR(160)," ")))</f>
        <v/>
      </c>
      <c r="L1799" s="11" t="str">
        <f aca="false">IF(AND(K1799&lt;&gt;"",TRIM(I1799&amp;"")&lt;&gt;""),K1799,"")</f>
        <v/>
      </c>
    </row>
    <row r="1800" customFormat="false" ht="15" hidden="false" customHeight="false" outlineLevel="0" collapsed="false">
      <c r="A1800" s="9"/>
      <c r="B1800" s="4"/>
      <c r="C1800" s="10"/>
      <c r="D1800" s="11" t="str">
        <f aca="false">IF(K1800="","",IFERROR(INDEX(DECKS!$C$2:$C$1201,MATCH(K1800,DECKS!$B$2:$B$1201,0)),TRIM(I1800&amp;"")))</f>
        <v/>
      </c>
      <c r="E1800" s="4"/>
      <c r="F1800" s="12"/>
      <c r="G1800" s="4"/>
      <c r="H1800" s="13" t="str">
        <f aca="false">IF(OR(N(C1800)=0,N(F1800)=0),"",C1800*F1800)</f>
        <v/>
      </c>
      <c r="I1800" s="4"/>
      <c r="J1800" s="11" t="str">
        <f aca="false">IF(K1800="","",IF(N(C1800)&lt;=0,"Informe a quantidade",IF(IFERROR(INDEX(INVENTÁRIO!$B$2:$B$801,MATCH(K1800,INVENTÁRIO!$A$2:$A$801,0)),"")="(sem nome)","Carta fora dos decks: digite o nome na coluna I (opcional)","")))</f>
        <v/>
      </c>
      <c r="K1800" s="11" t="str">
        <f aca="false">UPPER(TRIM(SUBSTITUTE(B1800&amp;"",CHAR(160)," ")))</f>
        <v/>
      </c>
      <c r="L1800" s="11" t="str">
        <f aca="false">IF(AND(K1800&lt;&gt;"",TRIM(I1800&amp;"")&lt;&gt;""),K1800,"")</f>
        <v/>
      </c>
    </row>
    <row r="1801" customFormat="false" ht="15" hidden="false" customHeight="false" outlineLevel="0" collapsed="false">
      <c r="A1801" s="9"/>
      <c r="B1801" s="4"/>
      <c r="C1801" s="10"/>
      <c r="D1801" s="11" t="str">
        <f aca="false">IF(K1801="","",IFERROR(INDEX(DECKS!$C$2:$C$1201,MATCH(K1801,DECKS!$B$2:$B$1201,0)),TRIM(I1801&amp;"")))</f>
        <v/>
      </c>
      <c r="E1801" s="4"/>
      <c r="F1801" s="12"/>
      <c r="G1801" s="4"/>
      <c r="H1801" s="13" t="str">
        <f aca="false">IF(OR(N(C1801)=0,N(F1801)=0),"",C1801*F1801)</f>
        <v/>
      </c>
      <c r="I1801" s="4"/>
      <c r="J1801" s="11" t="str">
        <f aca="false">IF(K1801="","",IF(N(C1801)&lt;=0,"Informe a quantidade",IF(IFERROR(INDEX(INVENTÁRIO!$B$2:$B$801,MATCH(K1801,INVENTÁRIO!$A$2:$A$801,0)),"")="(sem nome)","Carta fora dos decks: digite o nome na coluna I (opcional)","")))</f>
        <v/>
      </c>
      <c r="K1801" s="11" t="str">
        <f aca="false">UPPER(TRIM(SUBSTITUTE(B1801&amp;"",CHAR(160)," ")))</f>
        <v/>
      </c>
      <c r="L1801" s="11" t="str">
        <f aca="false">IF(AND(K1801&lt;&gt;"",TRIM(I1801&amp;"")&lt;&gt;""),K1801,"")</f>
        <v/>
      </c>
    </row>
    <row r="1802" customFormat="false" ht="15" hidden="false" customHeight="false" outlineLevel="0" collapsed="false">
      <c r="A1802" s="9"/>
      <c r="B1802" s="4"/>
      <c r="C1802" s="10"/>
      <c r="D1802" s="11" t="str">
        <f aca="false">IF(K1802="","",IFERROR(INDEX(DECKS!$C$2:$C$1201,MATCH(K1802,DECKS!$B$2:$B$1201,0)),TRIM(I1802&amp;"")))</f>
        <v/>
      </c>
      <c r="E1802" s="4"/>
      <c r="F1802" s="12"/>
      <c r="G1802" s="4"/>
      <c r="H1802" s="13" t="str">
        <f aca="false">IF(OR(N(C1802)=0,N(F1802)=0),"",C1802*F1802)</f>
        <v/>
      </c>
      <c r="I1802" s="4"/>
      <c r="J1802" s="11" t="str">
        <f aca="false">IF(K1802="","",IF(N(C1802)&lt;=0,"Informe a quantidade",IF(IFERROR(INDEX(INVENTÁRIO!$B$2:$B$801,MATCH(K1802,INVENTÁRIO!$A$2:$A$801,0)),"")="(sem nome)","Carta fora dos decks: digite o nome na coluna I (opcional)","")))</f>
        <v/>
      </c>
      <c r="K1802" s="11" t="str">
        <f aca="false">UPPER(TRIM(SUBSTITUTE(B1802&amp;"",CHAR(160)," ")))</f>
        <v/>
      </c>
      <c r="L1802" s="11" t="str">
        <f aca="false">IF(AND(K1802&lt;&gt;"",TRIM(I1802&amp;"")&lt;&gt;""),K1802,"")</f>
        <v/>
      </c>
    </row>
    <row r="1803" customFormat="false" ht="15" hidden="false" customHeight="false" outlineLevel="0" collapsed="false">
      <c r="A1803" s="9"/>
      <c r="B1803" s="4"/>
      <c r="C1803" s="10"/>
      <c r="D1803" s="11" t="str">
        <f aca="false">IF(K1803="","",IFERROR(INDEX(DECKS!$C$2:$C$1201,MATCH(K1803,DECKS!$B$2:$B$1201,0)),TRIM(I1803&amp;"")))</f>
        <v/>
      </c>
      <c r="E1803" s="4"/>
      <c r="F1803" s="12"/>
      <c r="G1803" s="4"/>
      <c r="H1803" s="13" t="str">
        <f aca="false">IF(OR(N(C1803)=0,N(F1803)=0),"",C1803*F1803)</f>
        <v/>
      </c>
      <c r="I1803" s="4"/>
      <c r="J1803" s="11" t="str">
        <f aca="false">IF(K1803="","",IF(N(C1803)&lt;=0,"Informe a quantidade",IF(IFERROR(INDEX(INVENTÁRIO!$B$2:$B$801,MATCH(K1803,INVENTÁRIO!$A$2:$A$801,0)),"")="(sem nome)","Carta fora dos decks: digite o nome na coluna I (opcional)","")))</f>
        <v/>
      </c>
      <c r="K1803" s="11" t="str">
        <f aca="false">UPPER(TRIM(SUBSTITUTE(B1803&amp;"",CHAR(160)," ")))</f>
        <v/>
      </c>
      <c r="L1803" s="11" t="str">
        <f aca="false">IF(AND(K1803&lt;&gt;"",TRIM(I1803&amp;"")&lt;&gt;""),K1803,"")</f>
        <v/>
      </c>
    </row>
    <row r="1804" customFormat="false" ht="15" hidden="false" customHeight="false" outlineLevel="0" collapsed="false">
      <c r="A1804" s="9"/>
      <c r="B1804" s="4"/>
      <c r="C1804" s="10"/>
      <c r="D1804" s="11" t="str">
        <f aca="false">IF(K1804="","",IFERROR(INDEX(DECKS!$C$2:$C$1201,MATCH(K1804,DECKS!$B$2:$B$1201,0)),TRIM(I1804&amp;"")))</f>
        <v/>
      </c>
      <c r="E1804" s="4"/>
      <c r="F1804" s="12"/>
      <c r="G1804" s="4"/>
      <c r="H1804" s="13" t="str">
        <f aca="false">IF(OR(N(C1804)=0,N(F1804)=0),"",C1804*F1804)</f>
        <v/>
      </c>
      <c r="I1804" s="4"/>
      <c r="J1804" s="11" t="str">
        <f aca="false">IF(K1804="","",IF(N(C1804)&lt;=0,"Informe a quantidade",IF(IFERROR(INDEX(INVENTÁRIO!$B$2:$B$801,MATCH(K1804,INVENTÁRIO!$A$2:$A$801,0)),"")="(sem nome)","Carta fora dos decks: digite o nome na coluna I (opcional)","")))</f>
        <v/>
      </c>
      <c r="K1804" s="11" t="str">
        <f aca="false">UPPER(TRIM(SUBSTITUTE(B1804&amp;"",CHAR(160)," ")))</f>
        <v/>
      </c>
      <c r="L1804" s="11" t="str">
        <f aca="false">IF(AND(K1804&lt;&gt;"",TRIM(I1804&amp;"")&lt;&gt;""),K1804,"")</f>
        <v/>
      </c>
    </row>
    <row r="1805" customFormat="false" ht="15" hidden="false" customHeight="false" outlineLevel="0" collapsed="false">
      <c r="A1805" s="9"/>
      <c r="B1805" s="4"/>
      <c r="C1805" s="10"/>
      <c r="D1805" s="11" t="str">
        <f aca="false">IF(K1805="","",IFERROR(INDEX(DECKS!$C$2:$C$1201,MATCH(K1805,DECKS!$B$2:$B$1201,0)),TRIM(I1805&amp;"")))</f>
        <v/>
      </c>
      <c r="E1805" s="4"/>
      <c r="F1805" s="12"/>
      <c r="G1805" s="4"/>
      <c r="H1805" s="13" t="str">
        <f aca="false">IF(OR(N(C1805)=0,N(F1805)=0),"",C1805*F1805)</f>
        <v/>
      </c>
      <c r="I1805" s="4"/>
      <c r="J1805" s="11" t="str">
        <f aca="false">IF(K1805="","",IF(N(C1805)&lt;=0,"Informe a quantidade",IF(IFERROR(INDEX(INVENTÁRIO!$B$2:$B$801,MATCH(K1805,INVENTÁRIO!$A$2:$A$801,0)),"")="(sem nome)","Carta fora dos decks: digite o nome na coluna I (opcional)","")))</f>
        <v/>
      </c>
      <c r="K1805" s="11" t="str">
        <f aca="false">UPPER(TRIM(SUBSTITUTE(B1805&amp;"",CHAR(160)," ")))</f>
        <v/>
      </c>
      <c r="L1805" s="11" t="str">
        <f aca="false">IF(AND(K1805&lt;&gt;"",TRIM(I1805&amp;"")&lt;&gt;""),K1805,"")</f>
        <v/>
      </c>
    </row>
    <row r="1806" customFormat="false" ht="15" hidden="false" customHeight="false" outlineLevel="0" collapsed="false">
      <c r="A1806" s="9"/>
      <c r="B1806" s="4"/>
      <c r="C1806" s="10"/>
      <c r="D1806" s="11" t="str">
        <f aca="false">IF(K1806="","",IFERROR(INDEX(DECKS!$C$2:$C$1201,MATCH(K1806,DECKS!$B$2:$B$1201,0)),TRIM(I1806&amp;"")))</f>
        <v/>
      </c>
      <c r="E1806" s="4"/>
      <c r="F1806" s="12"/>
      <c r="G1806" s="4"/>
      <c r="H1806" s="13" t="str">
        <f aca="false">IF(OR(N(C1806)=0,N(F1806)=0),"",C1806*F1806)</f>
        <v/>
      </c>
      <c r="I1806" s="4"/>
      <c r="J1806" s="11" t="str">
        <f aca="false">IF(K1806="","",IF(N(C1806)&lt;=0,"Informe a quantidade",IF(IFERROR(INDEX(INVENTÁRIO!$B$2:$B$801,MATCH(K1806,INVENTÁRIO!$A$2:$A$801,0)),"")="(sem nome)","Carta fora dos decks: digite o nome na coluna I (opcional)","")))</f>
        <v/>
      </c>
      <c r="K1806" s="11" t="str">
        <f aca="false">UPPER(TRIM(SUBSTITUTE(B1806&amp;"",CHAR(160)," ")))</f>
        <v/>
      </c>
      <c r="L1806" s="11" t="str">
        <f aca="false">IF(AND(K1806&lt;&gt;"",TRIM(I1806&amp;"")&lt;&gt;""),K1806,"")</f>
        <v/>
      </c>
    </row>
    <row r="1807" customFormat="false" ht="15" hidden="false" customHeight="false" outlineLevel="0" collapsed="false">
      <c r="A1807" s="9"/>
      <c r="B1807" s="4"/>
      <c r="C1807" s="10"/>
      <c r="D1807" s="11" t="str">
        <f aca="false">IF(K1807="","",IFERROR(INDEX(DECKS!$C$2:$C$1201,MATCH(K1807,DECKS!$B$2:$B$1201,0)),TRIM(I1807&amp;"")))</f>
        <v/>
      </c>
      <c r="E1807" s="4"/>
      <c r="F1807" s="12"/>
      <c r="G1807" s="4"/>
      <c r="H1807" s="13" t="str">
        <f aca="false">IF(OR(N(C1807)=0,N(F1807)=0),"",C1807*F1807)</f>
        <v/>
      </c>
      <c r="I1807" s="4"/>
      <c r="J1807" s="11" t="str">
        <f aca="false">IF(K1807="","",IF(N(C1807)&lt;=0,"Informe a quantidade",IF(IFERROR(INDEX(INVENTÁRIO!$B$2:$B$801,MATCH(K1807,INVENTÁRIO!$A$2:$A$801,0)),"")="(sem nome)","Carta fora dos decks: digite o nome na coluna I (opcional)","")))</f>
        <v/>
      </c>
      <c r="K1807" s="11" t="str">
        <f aca="false">UPPER(TRIM(SUBSTITUTE(B1807&amp;"",CHAR(160)," ")))</f>
        <v/>
      </c>
      <c r="L1807" s="11" t="str">
        <f aca="false">IF(AND(K1807&lt;&gt;"",TRIM(I1807&amp;"")&lt;&gt;""),K1807,"")</f>
        <v/>
      </c>
    </row>
    <row r="1808" customFormat="false" ht="15" hidden="false" customHeight="false" outlineLevel="0" collapsed="false">
      <c r="A1808" s="9"/>
      <c r="B1808" s="4"/>
      <c r="C1808" s="10"/>
      <c r="D1808" s="11" t="str">
        <f aca="false">IF(K1808="","",IFERROR(INDEX(DECKS!$C$2:$C$1201,MATCH(K1808,DECKS!$B$2:$B$1201,0)),TRIM(I1808&amp;"")))</f>
        <v/>
      </c>
      <c r="E1808" s="4"/>
      <c r="F1808" s="12"/>
      <c r="G1808" s="4"/>
      <c r="H1808" s="13" t="str">
        <f aca="false">IF(OR(N(C1808)=0,N(F1808)=0),"",C1808*F1808)</f>
        <v/>
      </c>
      <c r="I1808" s="4"/>
      <c r="J1808" s="11" t="str">
        <f aca="false">IF(K1808="","",IF(N(C1808)&lt;=0,"Informe a quantidade",IF(IFERROR(INDEX(INVENTÁRIO!$B$2:$B$801,MATCH(K1808,INVENTÁRIO!$A$2:$A$801,0)),"")="(sem nome)","Carta fora dos decks: digite o nome na coluna I (opcional)","")))</f>
        <v/>
      </c>
      <c r="K1808" s="11" t="str">
        <f aca="false">UPPER(TRIM(SUBSTITUTE(B1808&amp;"",CHAR(160)," ")))</f>
        <v/>
      </c>
      <c r="L1808" s="11" t="str">
        <f aca="false">IF(AND(K1808&lt;&gt;"",TRIM(I1808&amp;"")&lt;&gt;""),K1808,"")</f>
        <v/>
      </c>
    </row>
    <row r="1809" customFormat="false" ht="15" hidden="false" customHeight="false" outlineLevel="0" collapsed="false">
      <c r="A1809" s="9"/>
      <c r="B1809" s="4"/>
      <c r="C1809" s="10"/>
      <c r="D1809" s="11" t="str">
        <f aca="false">IF(K1809="","",IFERROR(INDEX(DECKS!$C$2:$C$1201,MATCH(K1809,DECKS!$B$2:$B$1201,0)),TRIM(I1809&amp;"")))</f>
        <v/>
      </c>
      <c r="E1809" s="4"/>
      <c r="F1809" s="12"/>
      <c r="G1809" s="4"/>
      <c r="H1809" s="13" t="str">
        <f aca="false">IF(OR(N(C1809)=0,N(F1809)=0),"",C1809*F1809)</f>
        <v/>
      </c>
      <c r="I1809" s="4"/>
      <c r="J1809" s="11" t="str">
        <f aca="false">IF(K1809="","",IF(N(C1809)&lt;=0,"Informe a quantidade",IF(IFERROR(INDEX(INVENTÁRIO!$B$2:$B$801,MATCH(K1809,INVENTÁRIO!$A$2:$A$801,0)),"")="(sem nome)","Carta fora dos decks: digite o nome na coluna I (opcional)","")))</f>
        <v/>
      </c>
      <c r="K1809" s="11" t="str">
        <f aca="false">UPPER(TRIM(SUBSTITUTE(B1809&amp;"",CHAR(160)," ")))</f>
        <v/>
      </c>
      <c r="L1809" s="11" t="str">
        <f aca="false">IF(AND(K1809&lt;&gt;"",TRIM(I1809&amp;"")&lt;&gt;""),K1809,"")</f>
        <v/>
      </c>
    </row>
    <row r="1810" customFormat="false" ht="15" hidden="false" customHeight="false" outlineLevel="0" collapsed="false">
      <c r="A1810" s="9"/>
      <c r="B1810" s="4"/>
      <c r="C1810" s="10"/>
      <c r="D1810" s="11" t="str">
        <f aca="false">IF(K1810="","",IFERROR(INDEX(DECKS!$C$2:$C$1201,MATCH(K1810,DECKS!$B$2:$B$1201,0)),TRIM(I1810&amp;"")))</f>
        <v/>
      </c>
      <c r="E1810" s="4"/>
      <c r="F1810" s="12"/>
      <c r="G1810" s="4"/>
      <c r="H1810" s="13" t="str">
        <f aca="false">IF(OR(N(C1810)=0,N(F1810)=0),"",C1810*F1810)</f>
        <v/>
      </c>
      <c r="I1810" s="4"/>
      <c r="J1810" s="11" t="str">
        <f aca="false">IF(K1810="","",IF(N(C1810)&lt;=0,"Informe a quantidade",IF(IFERROR(INDEX(INVENTÁRIO!$B$2:$B$801,MATCH(K1810,INVENTÁRIO!$A$2:$A$801,0)),"")="(sem nome)","Carta fora dos decks: digite o nome na coluna I (opcional)","")))</f>
        <v/>
      </c>
      <c r="K1810" s="11" t="str">
        <f aca="false">UPPER(TRIM(SUBSTITUTE(B1810&amp;"",CHAR(160)," ")))</f>
        <v/>
      </c>
      <c r="L1810" s="11" t="str">
        <f aca="false">IF(AND(K1810&lt;&gt;"",TRIM(I1810&amp;"")&lt;&gt;""),K1810,"")</f>
        <v/>
      </c>
    </row>
    <row r="1811" customFormat="false" ht="15" hidden="false" customHeight="false" outlineLevel="0" collapsed="false">
      <c r="A1811" s="9"/>
      <c r="B1811" s="4"/>
      <c r="C1811" s="10"/>
      <c r="D1811" s="11" t="str">
        <f aca="false">IF(K1811="","",IFERROR(INDEX(DECKS!$C$2:$C$1201,MATCH(K1811,DECKS!$B$2:$B$1201,0)),TRIM(I1811&amp;"")))</f>
        <v/>
      </c>
      <c r="E1811" s="4"/>
      <c r="F1811" s="12"/>
      <c r="G1811" s="4"/>
      <c r="H1811" s="13" t="str">
        <f aca="false">IF(OR(N(C1811)=0,N(F1811)=0),"",C1811*F1811)</f>
        <v/>
      </c>
      <c r="I1811" s="4"/>
      <c r="J1811" s="11" t="str">
        <f aca="false">IF(K1811="","",IF(N(C1811)&lt;=0,"Informe a quantidade",IF(IFERROR(INDEX(INVENTÁRIO!$B$2:$B$801,MATCH(K1811,INVENTÁRIO!$A$2:$A$801,0)),"")="(sem nome)","Carta fora dos decks: digite o nome na coluna I (opcional)","")))</f>
        <v/>
      </c>
      <c r="K1811" s="11" t="str">
        <f aca="false">UPPER(TRIM(SUBSTITUTE(B1811&amp;"",CHAR(160)," ")))</f>
        <v/>
      </c>
      <c r="L1811" s="11" t="str">
        <f aca="false">IF(AND(K1811&lt;&gt;"",TRIM(I1811&amp;"")&lt;&gt;""),K1811,"")</f>
        <v/>
      </c>
    </row>
    <row r="1812" customFormat="false" ht="15" hidden="false" customHeight="false" outlineLevel="0" collapsed="false">
      <c r="A1812" s="9"/>
      <c r="B1812" s="4"/>
      <c r="C1812" s="10"/>
      <c r="D1812" s="11" t="str">
        <f aca="false">IF(K1812="","",IFERROR(INDEX(DECKS!$C$2:$C$1201,MATCH(K1812,DECKS!$B$2:$B$1201,0)),TRIM(I1812&amp;"")))</f>
        <v/>
      </c>
      <c r="E1812" s="4"/>
      <c r="F1812" s="12"/>
      <c r="G1812" s="4"/>
      <c r="H1812" s="13" t="str">
        <f aca="false">IF(OR(N(C1812)=0,N(F1812)=0),"",C1812*F1812)</f>
        <v/>
      </c>
      <c r="I1812" s="4"/>
      <c r="J1812" s="11" t="str">
        <f aca="false">IF(K1812="","",IF(N(C1812)&lt;=0,"Informe a quantidade",IF(IFERROR(INDEX(INVENTÁRIO!$B$2:$B$801,MATCH(K1812,INVENTÁRIO!$A$2:$A$801,0)),"")="(sem nome)","Carta fora dos decks: digite o nome na coluna I (opcional)","")))</f>
        <v/>
      </c>
      <c r="K1812" s="11" t="str">
        <f aca="false">UPPER(TRIM(SUBSTITUTE(B1812&amp;"",CHAR(160)," ")))</f>
        <v/>
      </c>
      <c r="L1812" s="11" t="str">
        <f aca="false">IF(AND(K1812&lt;&gt;"",TRIM(I1812&amp;"")&lt;&gt;""),K1812,"")</f>
        <v/>
      </c>
    </row>
    <row r="1813" customFormat="false" ht="15" hidden="false" customHeight="false" outlineLevel="0" collapsed="false">
      <c r="A1813" s="9"/>
      <c r="B1813" s="4"/>
      <c r="C1813" s="10"/>
      <c r="D1813" s="11" t="str">
        <f aca="false">IF(K1813="","",IFERROR(INDEX(DECKS!$C$2:$C$1201,MATCH(K1813,DECKS!$B$2:$B$1201,0)),TRIM(I1813&amp;"")))</f>
        <v/>
      </c>
      <c r="E1813" s="4"/>
      <c r="F1813" s="12"/>
      <c r="G1813" s="4"/>
      <c r="H1813" s="13" t="str">
        <f aca="false">IF(OR(N(C1813)=0,N(F1813)=0),"",C1813*F1813)</f>
        <v/>
      </c>
      <c r="I1813" s="4"/>
      <c r="J1813" s="11" t="str">
        <f aca="false">IF(K1813="","",IF(N(C1813)&lt;=0,"Informe a quantidade",IF(IFERROR(INDEX(INVENTÁRIO!$B$2:$B$801,MATCH(K1813,INVENTÁRIO!$A$2:$A$801,0)),"")="(sem nome)","Carta fora dos decks: digite o nome na coluna I (opcional)","")))</f>
        <v/>
      </c>
      <c r="K1813" s="11" t="str">
        <f aca="false">UPPER(TRIM(SUBSTITUTE(B1813&amp;"",CHAR(160)," ")))</f>
        <v/>
      </c>
      <c r="L1813" s="11" t="str">
        <f aca="false">IF(AND(K1813&lt;&gt;"",TRIM(I1813&amp;"")&lt;&gt;""),K1813,"")</f>
        <v/>
      </c>
    </row>
    <row r="1814" customFormat="false" ht="15" hidden="false" customHeight="false" outlineLevel="0" collapsed="false">
      <c r="A1814" s="9"/>
      <c r="B1814" s="4"/>
      <c r="C1814" s="10"/>
      <c r="D1814" s="11" t="str">
        <f aca="false">IF(K1814="","",IFERROR(INDEX(DECKS!$C$2:$C$1201,MATCH(K1814,DECKS!$B$2:$B$1201,0)),TRIM(I1814&amp;"")))</f>
        <v/>
      </c>
      <c r="E1814" s="4"/>
      <c r="F1814" s="12"/>
      <c r="G1814" s="4"/>
      <c r="H1814" s="13" t="str">
        <f aca="false">IF(OR(N(C1814)=0,N(F1814)=0),"",C1814*F1814)</f>
        <v/>
      </c>
      <c r="I1814" s="4"/>
      <c r="J1814" s="11" t="str">
        <f aca="false">IF(K1814="","",IF(N(C1814)&lt;=0,"Informe a quantidade",IF(IFERROR(INDEX(INVENTÁRIO!$B$2:$B$801,MATCH(K1814,INVENTÁRIO!$A$2:$A$801,0)),"")="(sem nome)","Carta fora dos decks: digite o nome na coluna I (opcional)","")))</f>
        <v/>
      </c>
      <c r="K1814" s="11" t="str">
        <f aca="false">UPPER(TRIM(SUBSTITUTE(B1814&amp;"",CHAR(160)," ")))</f>
        <v/>
      </c>
      <c r="L1814" s="11" t="str">
        <f aca="false">IF(AND(K1814&lt;&gt;"",TRIM(I1814&amp;"")&lt;&gt;""),K1814,"")</f>
        <v/>
      </c>
    </row>
    <row r="1815" customFormat="false" ht="15" hidden="false" customHeight="false" outlineLevel="0" collapsed="false">
      <c r="A1815" s="9"/>
      <c r="B1815" s="4"/>
      <c r="C1815" s="10"/>
      <c r="D1815" s="11" t="str">
        <f aca="false">IF(K1815="","",IFERROR(INDEX(DECKS!$C$2:$C$1201,MATCH(K1815,DECKS!$B$2:$B$1201,0)),TRIM(I1815&amp;"")))</f>
        <v/>
      </c>
      <c r="E1815" s="4"/>
      <c r="F1815" s="12"/>
      <c r="G1815" s="4"/>
      <c r="H1815" s="13" t="str">
        <f aca="false">IF(OR(N(C1815)=0,N(F1815)=0),"",C1815*F1815)</f>
        <v/>
      </c>
      <c r="I1815" s="4"/>
      <c r="J1815" s="11" t="str">
        <f aca="false">IF(K1815="","",IF(N(C1815)&lt;=0,"Informe a quantidade",IF(IFERROR(INDEX(INVENTÁRIO!$B$2:$B$801,MATCH(K1815,INVENTÁRIO!$A$2:$A$801,0)),"")="(sem nome)","Carta fora dos decks: digite o nome na coluna I (opcional)","")))</f>
        <v/>
      </c>
      <c r="K1815" s="11" t="str">
        <f aca="false">UPPER(TRIM(SUBSTITUTE(B1815&amp;"",CHAR(160)," ")))</f>
        <v/>
      </c>
      <c r="L1815" s="11" t="str">
        <f aca="false">IF(AND(K1815&lt;&gt;"",TRIM(I1815&amp;"")&lt;&gt;""),K1815,"")</f>
        <v/>
      </c>
    </row>
    <row r="1816" customFormat="false" ht="15" hidden="false" customHeight="false" outlineLevel="0" collapsed="false">
      <c r="A1816" s="9"/>
      <c r="B1816" s="4"/>
      <c r="C1816" s="10"/>
      <c r="D1816" s="11" t="str">
        <f aca="false">IF(K1816="","",IFERROR(INDEX(DECKS!$C$2:$C$1201,MATCH(K1816,DECKS!$B$2:$B$1201,0)),TRIM(I1816&amp;"")))</f>
        <v/>
      </c>
      <c r="E1816" s="4"/>
      <c r="F1816" s="12"/>
      <c r="G1816" s="4"/>
      <c r="H1816" s="13" t="str">
        <f aca="false">IF(OR(N(C1816)=0,N(F1816)=0),"",C1816*F1816)</f>
        <v/>
      </c>
      <c r="I1816" s="4"/>
      <c r="J1816" s="11" t="str">
        <f aca="false">IF(K1816="","",IF(N(C1816)&lt;=0,"Informe a quantidade",IF(IFERROR(INDEX(INVENTÁRIO!$B$2:$B$801,MATCH(K1816,INVENTÁRIO!$A$2:$A$801,0)),"")="(sem nome)","Carta fora dos decks: digite o nome na coluna I (opcional)","")))</f>
        <v/>
      </c>
      <c r="K1816" s="11" t="str">
        <f aca="false">UPPER(TRIM(SUBSTITUTE(B1816&amp;"",CHAR(160)," ")))</f>
        <v/>
      </c>
      <c r="L1816" s="11" t="str">
        <f aca="false">IF(AND(K1816&lt;&gt;"",TRIM(I1816&amp;"")&lt;&gt;""),K1816,"")</f>
        <v/>
      </c>
    </row>
    <row r="1817" customFormat="false" ht="15" hidden="false" customHeight="false" outlineLevel="0" collapsed="false">
      <c r="A1817" s="9"/>
      <c r="B1817" s="4"/>
      <c r="C1817" s="10"/>
      <c r="D1817" s="11" t="str">
        <f aca="false">IF(K1817="","",IFERROR(INDEX(DECKS!$C$2:$C$1201,MATCH(K1817,DECKS!$B$2:$B$1201,0)),TRIM(I1817&amp;"")))</f>
        <v/>
      </c>
      <c r="E1817" s="4"/>
      <c r="F1817" s="12"/>
      <c r="G1817" s="4"/>
      <c r="H1817" s="13" t="str">
        <f aca="false">IF(OR(N(C1817)=0,N(F1817)=0),"",C1817*F1817)</f>
        <v/>
      </c>
      <c r="I1817" s="4"/>
      <c r="J1817" s="11" t="str">
        <f aca="false">IF(K1817="","",IF(N(C1817)&lt;=0,"Informe a quantidade",IF(IFERROR(INDEX(INVENTÁRIO!$B$2:$B$801,MATCH(K1817,INVENTÁRIO!$A$2:$A$801,0)),"")="(sem nome)","Carta fora dos decks: digite o nome na coluna I (opcional)","")))</f>
        <v/>
      </c>
      <c r="K1817" s="11" t="str">
        <f aca="false">UPPER(TRIM(SUBSTITUTE(B1817&amp;"",CHAR(160)," ")))</f>
        <v/>
      </c>
      <c r="L1817" s="11" t="str">
        <f aca="false">IF(AND(K1817&lt;&gt;"",TRIM(I1817&amp;"")&lt;&gt;""),K1817,"")</f>
        <v/>
      </c>
    </row>
    <row r="1818" customFormat="false" ht="15" hidden="false" customHeight="false" outlineLevel="0" collapsed="false">
      <c r="A1818" s="9"/>
      <c r="B1818" s="4"/>
      <c r="C1818" s="10"/>
      <c r="D1818" s="11" t="str">
        <f aca="false">IF(K1818="","",IFERROR(INDEX(DECKS!$C$2:$C$1201,MATCH(K1818,DECKS!$B$2:$B$1201,0)),TRIM(I1818&amp;"")))</f>
        <v/>
      </c>
      <c r="E1818" s="4"/>
      <c r="F1818" s="12"/>
      <c r="G1818" s="4"/>
      <c r="H1818" s="13" t="str">
        <f aca="false">IF(OR(N(C1818)=0,N(F1818)=0),"",C1818*F1818)</f>
        <v/>
      </c>
      <c r="I1818" s="4"/>
      <c r="J1818" s="11" t="str">
        <f aca="false">IF(K1818="","",IF(N(C1818)&lt;=0,"Informe a quantidade",IF(IFERROR(INDEX(INVENTÁRIO!$B$2:$B$801,MATCH(K1818,INVENTÁRIO!$A$2:$A$801,0)),"")="(sem nome)","Carta fora dos decks: digite o nome na coluna I (opcional)","")))</f>
        <v/>
      </c>
      <c r="K1818" s="11" t="str">
        <f aca="false">UPPER(TRIM(SUBSTITUTE(B1818&amp;"",CHAR(160)," ")))</f>
        <v/>
      </c>
      <c r="L1818" s="11" t="str">
        <f aca="false">IF(AND(K1818&lt;&gt;"",TRIM(I1818&amp;"")&lt;&gt;""),K1818,"")</f>
        <v/>
      </c>
    </row>
    <row r="1819" customFormat="false" ht="15" hidden="false" customHeight="false" outlineLevel="0" collapsed="false">
      <c r="A1819" s="9"/>
      <c r="B1819" s="4"/>
      <c r="C1819" s="10"/>
      <c r="D1819" s="11" t="str">
        <f aca="false">IF(K1819="","",IFERROR(INDEX(DECKS!$C$2:$C$1201,MATCH(K1819,DECKS!$B$2:$B$1201,0)),TRIM(I1819&amp;"")))</f>
        <v/>
      </c>
      <c r="E1819" s="4"/>
      <c r="F1819" s="12"/>
      <c r="G1819" s="4"/>
      <c r="H1819" s="13" t="str">
        <f aca="false">IF(OR(N(C1819)=0,N(F1819)=0),"",C1819*F1819)</f>
        <v/>
      </c>
      <c r="I1819" s="4"/>
      <c r="J1819" s="11" t="str">
        <f aca="false">IF(K1819="","",IF(N(C1819)&lt;=0,"Informe a quantidade",IF(IFERROR(INDEX(INVENTÁRIO!$B$2:$B$801,MATCH(K1819,INVENTÁRIO!$A$2:$A$801,0)),"")="(sem nome)","Carta fora dos decks: digite o nome na coluna I (opcional)","")))</f>
        <v/>
      </c>
      <c r="K1819" s="11" t="str">
        <f aca="false">UPPER(TRIM(SUBSTITUTE(B1819&amp;"",CHAR(160)," ")))</f>
        <v/>
      </c>
      <c r="L1819" s="11" t="str">
        <f aca="false">IF(AND(K1819&lt;&gt;"",TRIM(I1819&amp;"")&lt;&gt;""),K1819,"")</f>
        <v/>
      </c>
    </row>
    <row r="1820" customFormat="false" ht="15" hidden="false" customHeight="false" outlineLevel="0" collapsed="false">
      <c r="A1820" s="9"/>
      <c r="B1820" s="4"/>
      <c r="C1820" s="10"/>
      <c r="D1820" s="11" t="str">
        <f aca="false">IF(K1820="","",IFERROR(INDEX(DECKS!$C$2:$C$1201,MATCH(K1820,DECKS!$B$2:$B$1201,0)),TRIM(I1820&amp;"")))</f>
        <v/>
      </c>
      <c r="E1820" s="4"/>
      <c r="F1820" s="12"/>
      <c r="G1820" s="4"/>
      <c r="H1820" s="13" t="str">
        <f aca="false">IF(OR(N(C1820)=0,N(F1820)=0),"",C1820*F1820)</f>
        <v/>
      </c>
      <c r="I1820" s="4"/>
      <c r="J1820" s="11" t="str">
        <f aca="false">IF(K1820="","",IF(N(C1820)&lt;=0,"Informe a quantidade",IF(IFERROR(INDEX(INVENTÁRIO!$B$2:$B$801,MATCH(K1820,INVENTÁRIO!$A$2:$A$801,0)),"")="(sem nome)","Carta fora dos decks: digite o nome na coluna I (opcional)","")))</f>
        <v/>
      </c>
      <c r="K1820" s="11" t="str">
        <f aca="false">UPPER(TRIM(SUBSTITUTE(B1820&amp;"",CHAR(160)," ")))</f>
        <v/>
      </c>
      <c r="L1820" s="11" t="str">
        <f aca="false">IF(AND(K1820&lt;&gt;"",TRIM(I1820&amp;"")&lt;&gt;""),K1820,"")</f>
        <v/>
      </c>
    </row>
    <row r="1821" customFormat="false" ht="15" hidden="false" customHeight="false" outlineLevel="0" collapsed="false">
      <c r="A1821" s="9"/>
      <c r="B1821" s="4"/>
      <c r="C1821" s="10"/>
      <c r="D1821" s="11" t="str">
        <f aca="false">IF(K1821="","",IFERROR(INDEX(DECKS!$C$2:$C$1201,MATCH(K1821,DECKS!$B$2:$B$1201,0)),TRIM(I1821&amp;"")))</f>
        <v/>
      </c>
      <c r="E1821" s="4"/>
      <c r="F1821" s="12"/>
      <c r="G1821" s="4"/>
      <c r="H1821" s="13" t="str">
        <f aca="false">IF(OR(N(C1821)=0,N(F1821)=0),"",C1821*F1821)</f>
        <v/>
      </c>
      <c r="I1821" s="4"/>
      <c r="J1821" s="11" t="str">
        <f aca="false">IF(K1821="","",IF(N(C1821)&lt;=0,"Informe a quantidade",IF(IFERROR(INDEX(INVENTÁRIO!$B$2:$B$801,MATCH(K1821,INVENTÁRIO!$A$2:$A$801,0)),"")="(sem nome)","Carta fora dos decks: digite o nome na coluna I (opcional)","")))</f>
        <v/>
      </c>
      <c r="K1821" s="11" t="str">
        <f aca="false">UPPER(TRIM(SUBSTITUTE(B1821&amp;"",CHAR(160)," ")))</f>
        <v/>
      </c>
      <c r="L1821" s="11" t="str">
        <f aca="false">IF(AND(K1821&lt;&gt;"",TRIM(I1821&amp;"")&lt;&gt;""),K1821,"")</f>
        <v/>
      </c>
    </row>
    <row r="1822" customFormat="false" ht="15" hidden="false" customHeight="false" outlineLevel="0" collapsed="false">
      <c r="A1822" s="9"/>
      <c r="B1822" s="4"/>
      <c r="C1822" s="10"/>
      <c r="D1822" s="11" t="str">
        <f aca="false">IF(K1822="","",IFERROR(INDEX(DECKS!$C$2:$C$1201,MATCH(K1822,DECKS!$B$2:$B$1201,0)),TRIM(I1822&amp;"")))</f>
        <v/>
      </c>
      <c r="E1822" s="4"/>
      <c r="F1822" s="12"/>
      <c r="G1822" s="4"/>
      <c r="H1822" s="13" t="str">
        <f aca="false">IF(OR(N(C1822)=0,N(F1822)=0),"",C1822*F1822)</f>
        <v/>
      </c>
      <c r="I1822" s="4"/>
      <c r="J1822" s="11" t="str">
        <f aca="false">IF(K1822="","",IF(N(C1822)&lt;=0,"Informe a quantidade",IF(IFERROR(INDEX(INVENTÁRIO!$B$2:$B$801,MATCH(K1822,INVENTÁRIO!$A$2:$A$801,0)),"")="(sem nome)","Carta fora dos decks: digite o nome na coluna I (opcional)","")))</f>
        <v/>
      </c>
      <c r="K1822" s="11" t="str">
        <f aca="false">UPPER(TRIM(SUBSTITUTE(B1822&amp;"",CHAR(160)," ")))</f>
        <v/>
      </c>
      <c r="L1822" s="11" t="str">
        <f aca="false">IF(AND(K1822&lt;&gt;"",TRIM(I1822&amp;"")&lt;&gt;""),K1822,"")</f>
        <v/>
      </c>
    </row>
    <row r="1823" customFormat="false" ht="15" hidden="false" customHeight="false" outlineLevel="0" collapsed="false">
      <c r="A1823" s="9"/>
      <c r="B1823" s="4"/>
      <c r="C1823" s="10"/>
      <c r="D1823" s="11" t="str">
        <f aca="false">IF(K1823="","",IFERROR(INDEX(DECKS!$C$2:$C$1201,MATCH(K1823,DECKS!$B$2:$B$1201,0)),TRIM(I1823&amp;"")))</f>
        <v/>
      </c>
      <c r="E1823" s="4"/>
      <c r="F1823" s="12"/>
      <c r="G1823" s="4"/>
      <c r="H1823" s="13" t="str">
        <f aca="false">IF(OR(N(C1823)=0,N(F1823)=0),"",C1823*F1823)</f>
        <v/>
      </c>
      <c r="I1823" s="4"/>
      <c r="J1823" s="11" t="str">
        <f aca="false">IF(K1823="","",IF(N(C1823)&lt;=0,"Informe a quantidade",IF(IFERROR(INDEX(INVENTÁRIO!$B$2:$B$801,MATCH(K1823,INVENTÁRIO!$A$2:$A$801,0)),"")="(sem nome)","Carta fora dos decks: digite o nome na coluna I (opcional)","")))</f>
        <v/>
      </c>
      <c r="K1823" s="11" t="str">
        <f aca="false">UPPER(TRIM(SUBSTITUTE(B1823&amp;"",CHAR(160)," ")))</f>
        <v/>
      </c>
      <c r="L1823" s="11" t="str">
        <f aca="false">IF(AND(K1823&lt;&gt;"",TRIM(I1823&amp;"")&lt;&gt;""),K1823,"")</f>
        <v/>
      </c>
    </row>
    <row r="1824" customFormat="false" ht="15" hidden="false" customHeight="false" outlineLevel="0" collapsed="false">
      <c r="A1824" s="9"/>
      <c r="B1824" s="4"/>
      <c r="C1824" s="10"/>
      <c r="D1824" s="11" t="str">
        <f aca="false">IF(K1824="","",IFERROR(INDEX(DECKS!$C$2:$C$1201,MATCH(K1824,DECKS!$B$2:$B$1201,0)),TRIM(I1824&amp;"")))</f>
        <v/>
      </c>
      <c r="E1824" s="4"/>
      <c r="F1824" s="12"/>
      <c r="G1824" s="4"/>
      <c r="H1824" s="13" t="str">
        <f aca="false">IF(OR(N(C1824)=0,N(F1824)=0),"",C1824*F1824)</f>
        <v/>
      </c>
      <c r="I1824" s="4"/>
      <c r="J1824" s="11" t="str">
        <f aca="false">IF(K1824="","",IF(N(C1824)&lt;=0,"Informe a quantidade",IF(IFERROR(INDEX(INVENTÁRIO!$B$2:$B$801,MATCH(K1824,INVENTÁRIO!$A$2:$A$801,0)),"")="(sem nome)","Carta fora dos decks: digite o nome na coluna I (opcional)","")))</f>
        <v/>
      </c>
      <c r="K1824" s="11" t="str">
        <f aca="false">UPPER(TRIM(SUBSTITUTE(B1824&amp;"",CHAR(160)," ")))</f>
        <v/>
      </c>
      <c r="L1824" s="11" t="str">
        <f aca="false">IF(AND(K1824&lt;&gt;"",TRIM(I1824&amp;"")&lt;&gt;""),K1824,"")</f>
        <v/>
      </c>
    </row>
    <row r="1825" customFormat="false" ht="15" hidden="false" customHeight="false" outlineLevel="0" collapsed="false">
      <c r="A1825" s="9"/>
      <c r="B1825" s="4"/>
      <c r="C1825" s="10"/>
      <c r="D1825" s="11" t="str">
        <f aca="false">IF(K1825="","",IFERROR(INDEX(DECKS!$C$2:$C$1201,MATCH(K1825,DECKS!$B$2:$B$1201,0)),TRIM(I1825&amp;"")))</f>
        <v/>
      </c>
      <c r="E1825" s="4"/>
      <c r="F1825" s="12"/>
      <c r="G1825" s="4"/>
      <c r="H1825" s="13" t="str">
        <f aca="false">IF(OR(N(C1825)=0,N(F1825)=0),"",C1825*F1825)</f>
        <v/>
      </c>
      <c r="I1825" s="4"/>
      <c r="J1825" s="11" t="str">
        <f aca="false">IF(K1825="","",IF(N(C1825)&lt;=0,"Informe a quantidade",IF(IFERROR(INDEX(INVENTÁRIO!$B$2:$B$801,MATCH(K1825,INVENTÁRIO!$A$2:$A$801,0)),"")="(sem nome)","Carta fora dos decks: digite o nome na coluna I (opcional)","")))</f>
        <v/>
      </c>
      <c r="K1825" s="11" t="str">
        <f aca="false">UPPER(TRIM(SUBSTITUTE(B1825&amp;"",CHAR(160)," ")))</f>
        <v/>
      </c>
      <c r="L1825" s="11" t="str">
        <f aca="false">IF(AND(K1825&lt;&gt;"",TRIM(I1825&amp;"")&lt;&gt;""),K1825,"")</f>
        <v/>
      </c>
    </row>
    <row r="1826" customFormat="false" ht="15" hidden="false" customHeight="false" outlineLevel="0" collapsed="false">
      <c r="A1826" s="9"/>
      <c r="B1826" s="4"/>
      <c r="C1826" s="10"/>
      <c r="D1826" s="11" t="str">
        <f aca="false">IF(K1826="","",IFERROR(INDEX(DECKS!$C$2:$C$1201,MATCH(K1826,DECKS!$B$2:$B$1201,0)),TRIM(I1826&amp;"")))</f>
        <v/>
      </c>
      <c r="E1826" s="4"/>
      <c r="F1826" s="12"/>
      <c r="G1826" s="4"/>
      <c r="H1826" s="13" t="str">
        <f aca="false">IF(OR(N(C1826)=0,N(F1826)=0),"",C1826*F1826)</f>
        <v/>
      </c>
      <c r="I1826" s="4"/>
      <c r="J1826" s="11" t="str">
        <f aca="false">IF(K1826="","",IF(N(C1826)&lt;=0,"Informe a quantidade",IF(IFERROR(INDEX(INVENTÁRIO!$B$2:$B$801,MATCH(K1826,INVENTÁRIO!$A$2:$A$801,0)),"")="(sem nome)","Carta fora dos decks: digite o nome na coluna I (opcional)","")))</f>
        <v/>
      </c>
      <c r="K1826" s="11" t="str">
        <f aca="false">UPPER(TRIM(SUBSTITUTE(B1826&amp;"",CHAR(160)," ")))</f>
        <v/>
      </c>
      <c r="L1826" s="11" t="str">
        <f aca="false">IF(AND(K1826&lt;&gt;"",TRIM(I1826&amp;"")&lt;&gt;""),K1826,"")</f>
        <v/>
      </c>
    </row>
    <row r="1827" customFormat="false" ht="15" hidden="false" customHeight="false" outlineLevel="0" collapsed="false">
      <c r="A1827" s="9"/>
      <c r="B1827" s="4"/>
      <c r="C1827" s="10"/>
      <c r="D1827" s="11" t="str">
        <f aca="false">IF(K1827="","",IFERROR(INDEX(DECKS!$C$2:$C$1201,MATCH(K1827,DECKS!$B$2:$B$1201,0)),TRIM(I1827&amp;"")))</f>
        <v/>
      </c>
      <c r="E1827" s="4"/>
      <c r="F1827" s="12"/>
      <c r="G1827" s="4"/>
      <c r="H1827" s="13" t="str">
        <f aca="false">IF(OR(N(C1827)=0,N(F1827)=0),"",C1827*F1827)</f>
        <v/>
      </c>
      <c r="I1827" s="4"/>
      <c r="J1827" s="11" t="str">
        <f aca="false">IF(K1827="","",IF(N(C1827)&lt;=0,"Informe a quantidade",IF(IFERROR(INDEX(INVENTÁRIO!$B$2:$B$801,MATCH(K1827,INVENTÁRIO!$A$2:$A$801,0)),"")="(sem nome)","Carta fora dos decks: digite o nome na coluna I (opcional)","")))</f>
        <v/>
      </c>
      <c r="K1827" s="11" t="str">
        <f aca="false">UPPER(TRIM(SUBSTITUTE(B1827&amp;"",CHAR(160)," ")))</f>
        <v/>
      </c>
      <c r="L1827" s="11" t="str">
        <f aca="false">IF(AND(K1827&lt;&gt;"",TRIM(I1827&amp;"")&lt;&gt;""),K1827,"")</f>
        <v/>
      </c>
    </row>
    <row r="1828" customFormat="false" ht="15" hidden="false" customHeight="false" outlineLevel="0" collapsed="false">
      <c r="A1828" s="9"/>
      <c r="B1828" s="4"/>
      <c r="C1828" s="10"/>
      <c r="D1828" s="11" t="str">
        <f aca="false">IF(K1828="","",IFERROR(INDEX(DECKS!$C$2:$C$1201,MATCH(K1828,DECKS!$B$2:$B$1201,0)),TRIM(I1828&amp;"")))</f>
        <v/>
      </c>
      <c r="E1828" s="4"/>
      <c r="F1828" s="12"/>
      <c r="G1828" s="4"/>
      <c r="H1828" s="13" t="str">
        <f aca="false">IF(OR(N(C1828)=0,N(F1828)=0),"",C1828*F1828)</f>
        <v/>
      </c>
      <c r="I1828" s="4"/>
      <c r="J1828" s="11" t="str">
        <f aca="false">IF(K1828="","",IF(N(C1828)&lt;=0,"Informe a quantidade",IF(IFERROR(INDEX(INVENTÁRIO!$B$2:$B$801,MATCH(K1828,INVENTÁRIO!$A$2:$A$801,0)),"")="(sem nome)","Carta fora dos decks: digite o nome na coluna I (opcional)","")))</f>
        <v/>
      </c>
      <c r="K1828" s="11" t="str">
        <f aca="false">UPPER(TRIM(SUBSTITUTE(B1828&amp;"",CHAR(160)," ")))</f>
        <v/>
      </c>
      <c r="L1828" s="11" t="str">
        <f aca="false">IF(AND(K1828&lt;&gt;"",TRIM(I1828&amp;"")&lt;&gt;""),K1828,"")</f>
        <v/>
      </c>
    </row>
    <row r="1829" customFormat="false" ht="15" hidden="false" customHeight="false" outlineLevel="0" collapsed="false">
      <c r="A1829" s="9"/>
      <c r="B1829" s="4"/>
      <c r="C1829" s="10"/>
      <c r="D1829" s="11" t="str">
        <f aca="false">IF(K1829="","",IFERROR(INDEX(DECKS!$C$2:$C$1201,MATCH(K1829,DECKS!$B$2:$B$1201,0)),TRIM(I1829&amp;"")))</f>
        <v/>
      </c>
      <c r="E1829" s="4"/>
      <c r="F1829" s="12"/>
      <c r="G1829" s="4"/>
      <c r="H1829" s="13" t="str">
        <f aca="false">IF(OR(N(C1829)=0,N(F1829)=0),"",C1829*F1829)</f>
        <v/>
      </c>
      <c r="I1829" s="4"/>
      <c r="J1829" s="11" t="str">
        <f aca="false">IF(K1829="","",IF(N(C1829)&lt;=0,"Informe a quantidade",IF(IFERROR(INDEX(INVENTÁRIO!$B$2:$B$801,MATCH(K1829,INVENTÁRIO!$A$2:$A$801,0)),"")="(sem nome)","Carta fora dos decks: digite o nome na coluna I (opcional)","")))</f>
        <v/>
      </c>
      <c r="K1829" s="11" t="str">
        <f aca="false">UPPER(TRIM(SUBSTITUTE(B1829&amp;"",CHAR(160)," ")))</f>
        <v/>
      </c>
      <c r="L1829" s="11" t="str">
        <f aca="false">IF(AND(K1829&lt;&gt;"",TRIM(I1829&amp;"")&lt;&gt;""),K1829,"")</f>
        <v/>
      </c>
    </row>
    <row r="1830" customFormat="false" ht="15" hidden="false" customHeight="false" outlineLevel="0" collapsed="false">
      <c r="A1830" s="9"/>
      <c r="B1830" s="4"/>
      <c r="C1830" s="10"/>
      <c r="D1830" s="11" t="str">
        <f aca="false">IF(K1830="","",IFERROR(INDEX(DECKS!$C$2:$C$1201,MATCH(K1830,DECKS!$B$2:$B$1201,0)),TRIM(I1830&amp;"")))</f>
        <v/>
      </c>
      <c r="E1830" s="4"/>
      <c r="F1830" s="12"/>
      <c r="G1830" s="4"/>
      <c r="H1830" s="13" t="str">
        <f aca="false">IF(OR(N(C1830)=0,N(F1830)=0),"",C1830*F1830)</f>
        <v/>
      </c>
      <c r="I1830" s="4"/>
      <c r="J1830" s="11" t="str">
        <f aca="false">IF(K1830="","",IF(N(C1830)&lt;=0,"Informe a quantidade",IF(IFERROR(INDEX(INVENTÁRIO!$B$2:$B$801,MATCH(K1830,INVENTÁRIO!$A$2:$A$801,0)),"")="(sem nome)","Carta fora dos decks: digite o nome na coluna I (opcional)","")))</f>
        <v/>
      </c>
      <c r="K1830" s="11" t="str">
        <f aca="false">UPPER(TRIM(SUBSTITUTE(B1830&amp;"",CHAR(160)," ")))</f>
        <v/>
      </c>
      <c r="L1830" s="11" t="str">
        <f aca="false">IF(AND(K1830&lt;&gt;"",TRIM(I1830&amp;"")&lt;&gt;""),K1830,"")</f>
        <v/>
      </c>
    </row>
    <row r="1831" customFormat="false" ht="15" hidden="false" customHeight="false" outlineLevel="0" collapsed="false">
      <c r="A1831" s="9"/>
      <c r="B1831" s="4"/>
      <c r="C1831" s="10"/>
      <c r="D1831" s="11" t="str">
        <f aca="false">IF(K1831="","",IFERROR(INDEX(DECKS!$C$2:$C$1201,MATCH(K1831,DECKS!$B$2:$B$1201,0)),TRIM(I1831&amp;"")))</f>
        <v/>
      </c>
      <c r="E1831" s="4"/>
      <c r="F1831" s="12"/>
      <c r="G1831" s="4"/>
      <c r="H1831" s="13" t="str">
        <f aca="false">IF(OR(N(C1831)=0,N(F1831)=0),"",C1831*F1831)</f>
        <v/>
      </c>
      <c r="I1831" s="4"/>
      <c r="J1831" s="11" t="str">
        <f aca="false">IF(K1831="","",IF(N(C1831)&lt;=0,"Informe a quantidade",IF(IFERROR(INDEX(INVENTÁRIO!$B$2:$B$801,MATCH(K1831,INVENTÁRIO!$A$2:$A$801,0)),"")="(sem nome)","Carta fora dos decks: digite o nome na coluna I (opcional)","")))</f>
        <v/>
      </c>
      <c r="K1831" s="11" t="str">
        <f aca="false">UPPER(TRIM(SUBSTITUTE(B1831&amp;"",CHAR(160)," ")))</f>
        <v/>
      </c>
      <c r="L1831" s="11" t="str">
        <f aca="false">IF(AND(K1831&lt;&gt;"",TRIM(I1831&amp;"")&lt;&gt;""),K1831,"")</f>
        <v/>
      </c>
    </row>
    <row r="1832" customFormat="false" ht="15" hidden="false" customHeight="false" outlineLevel="0" collapsed="false">
      <c r="A1832" s="9"/>
      <c r="B1832" s="4"/>
      <c r="C1832" s="10"/>
      <c r="D1832" s="11" t="str">
        <f aca="false">IF(K1832="","",IFERROR(INDEX(DECKS!$C$2:$C$1201,MATCH(K1832,DECKS!$B$2:$B$1201,0)),TRIM(I1832&amp;"")))</f>
        <v/>
      </c>
      <c r="E1832" s="4"/>
      <c r="F1832" s="12"/>
      <c r="G1832" s="4"/>
      <c r="H1832" s="13" t="str">
        <f aca="false">IF(OR(N(C1832)=0,N(F1832)=0),"",C1832*F1832)</f>
        <v/>
      </c>
      <c r="I1832" s="4"/>
      <c r="J1832" s="11" t="str">
        <f aca="false">IF(K1832="","",IF(N(C1832)&lt;=0,"Informe a quantidade",IF(IFERROR(INDEX(INVENTÁRIO!$B$2:$B$801,MATCH(K1832,INVENTÁRIO!$A$2:$A$801,0)),"")="(sem nome)","Carta fora dos decks: digite o nome na coluna I (opcional)","")))</f>
        <v/>
      </c>
      <c r="K1832" s="11" t="str">
        <f aca="false">UPPER(TRIM(SUBSTITUTE(B1832&amp;"",CHAR(160)," ")))</f>
        <v/>
      </c>
      <c r="L1832" s="11" t="str">
        <f aca="false">IF(AND(K1832&lt;&gt;"",TRIM(I1832&amp;"")&lt;&gt;""),K1832,"")</f>
        <v/>
      </c>
    </row>
    <row r="1833" customFormat="false" ht="15" hidden="false" customHeight="false" outlineLevel="0" collapsed="false">
      <c r="A1833" s="9"/>
      <c r="B1833" s="4"/>
      <c r="C1833" s="10"/>
      <c r="D1833" s="11" t="str">
        <f aca="false">IF(K1833="","",IFERROR(INDEX(DECKS!$C$2:$C$1201,MATCH(K1833,DECKS!$B$2:$B$1201,0)),TRIM(I1833&amp;"")))</f>
        <v/>
      </c>
      <c r="E1833" s="4"/>
      <c r="F1833" s="12"/>
      <c r="G1833" s="4"/>
      <c r="H1833" s="13" t="str">
        <f aca="false">IF(OR(N(C1833)=0,N(F1833)=0),"",C1833*F1833)</f>
        <v/>
      </c>
      <c r="I1833" s="4"/>
      <c r="J1833" s="11" t="str">
        <f aca="false">IF(K1833="","",IF(N(C1833)&lt;=0,"Informe a quantidade",IF(IFERROR(INDEX(INVENTÁRIO!$B$2:$B$801,MATCH(K1833,INVENTÁRIO!$A$2:$A$801,0)),"")="(sem nome)","Carta fora dos decks: digite o nome na coluna I (opcional)","")))</f>
        <v/>
      </c>
      <c r="K1833" s="11" t="str">
        <f aca="false">UPPER(TRIM(SUBSTITUTE(B1833&amp;"",CHAR(160)," ")))</f>
        <v/>
      </c>
      <c r="L1833" s="11" t="str">
        <f aca="false">IF(AND(K1833&lt;&gt;"",TRIM(I1833&amp;"")&lt;&gt;""),K1833,"")</f>
        <v/>
      </c>
    </row>
    <row r="1834" customFormat="false" ht="15" hidden="false" customHeight="false" outlineLevel="0" collapsed="false">
      <c r="A1834" s="9"/>
      <c r="B1834" s="4"/>
      <c r="C1834" s="10"/>
      <c r="D1834" s="11" t="str">
        <f aca="false">IF(K1834="","",IFERROR(INDEX(DECKS!$C$2:$C$1201,MATCH(K1834,DECKS!$B$2:$B$1201,0)),TRIM(I1834&amp;"")))</f>
        <v/>
      </c>
      <c r="E1834" s="4"/>
      <c r="F1834" s="12"/>
      <c r="G1834" s="4"/>
      <c r="H1834" s="13" t="str">
        <f aca="false">IF(OR(N(C1834)=0,N(F1834)=0),"",C1834*F1834)</f>
        <v/>
      </c>
      <c r="I1834" s="4"/>
      <c r="J1834" s="11" t="str">
        <f aca="false">IF(K1834="","",IF(N(C1834)&lt;=0,"Informe a quantidade",IF(IFERROR(INDEX(INVENTÁRIO!$B$2:$B$801,MATCH(K1834,INVENTÁRIO!$A$2:$A$801,0)),"")="(sem nome)","Carta fora dos decks: digite o nome na coluna I (opcional)","")))</f>
        <v/>
      </c>
      <c r="K1834" s="11" t="str">
        <f aca="false">UPPER(TRIM(SUBSTITUTE(B1834&amp;"",CHAR(160)," ")))</f>
        <v/>
      </c>
      <c r="L1834" s="11" t="str">
        <f aca="false">IF(AND(K1834&lt;&gt;"",TRIM(I1834&amp;"")&lt;&gt;""),K1834,"")</f>
        <v/>
      </c>
    </row>
    <row r="1835" customFormat="false" ht="15" hidden="false" customHeight="false" outlineLevel="0" collapsed="false">
      <c r="A1835" s="9"/>
      <c r="B1835" s="4"/>
      <c r="C1835" s="10"/>
      <c r="D1835" s="11" t="str">
        <f aca="false">IF(K1835="","",IFERROR(INDEX(DECKS!$C$2:$C$1201,MATCH(K1835,DECKS!$B$2:$B$1201,0)),TRIM(I1835&amp;"")))</f>
        <v/>
      </c>
      <c r="E1835" s="4"/>
      <c r="F1835" s="12"/>
      <c r="G1835" s="4"/>
      <c r="H1835" s="13" t="str">
        <f aca="false">IF(OR(N(C1835)=0,N(F1835)=0),"",C1835*F1835)</f>
        <v/>
      </c>
      <c r="I1835" s="4"/>
      <c r="J1835" s="11" t="str">
        <f aca="false">IF(K1835="","",IF(N(C1835)&lt;=0,"Informe a quantidade",IF(IFERROR(INDEX(INVENTÁRIO!$B$2:$B$801,MATCH(K1835,INVENTÁRIO!$A$2:$A$801,0)),"")="(sem nome)","Carta fora dos decks: digite o nome na coluna I (opcional)","")))</f>
        <v/>
      </c>
      <c r="K1835" s="11" t="str">
        <f aca="false">UPPER(TRIM(SUBSTITUTE(B1835&amp;"",CHAR(160)," ")))</f>
        <v/>
      </c>
      <c r="L1835" s="11" t="str">
        <f aca="false">IF(AND(K1835&lt;&gt;"",TRIM(I1835&amp;"")&lt;&gt;""),K1835,"")</f>
        <v/>
      </c>
    </row>
    <row r="1836" customFormat="false" ht="15" hidden="false" customHeight="false" outlineLevel="0" collapsed="false">
      <c r="A1836" s="9"/>
      <c r="B1836" s="4"/>
      <c r="C1836" s="10"/>
      <c r="D1836" s="11" t="str">
        <f aca="false">IF(K1836="","",IFERROR(INDEX(DECKS!$C$2:$C$1201,MATCH(K1836,DECKS!$B$2:$B$1201,0)),TRIM(I1836&amp;"")))</f>
        <v/>
      </c>
      <c r="E1836" s="4"/>
      <c r="F1836" s="12"/>
      <c r="G1836" s="4"/>
      <c r="H1836" s="13" t="str">
        <f aca="false">IF(OR(N(C1836)=0,N(F1836)=0),"",C1836*F1836)</f>
        <v/>
      </c>
      <c r="I1836" s="4"/>
      <c r="J1836" s="11" t="str">
        <f aca="false">IF(K1836="","",IF(N(C1836)&lt;=0,"Informe a quantidade",IF(IFERROR(INDEX(INVENTÁRIO!$B$2:$B$801,MATCH(K1836,INVENTÁRIO!$A$2:$A$801,0)),"")="(sem nome)","Carta fora dos decks: digite o nome na coluna I (opcional)","")))</f>
        <v/>
      </c>
      <c r="K1836" s="11" t="str">
        <f aca="false">UPPER(TRIM(SUBSTITUTE(B1836&amp;"",CHAR(160)," ")))</f>
        <v/>
      </c>
      <c r="L1836" s="11" t="str">
        <f aca="false">IF(AND(K1836&lt;&gt;"",TRIM(I1836&amp;"")&lt;&gt;""),K1836,"")</f>
        <v/>
      </c>
    </row>
    <row r="1837" customFormat="false" ht="15" hidden="false" customHeight="false" outlineLevel="0" collapsed="false">
      <c r="A1837" s="9"/>
      <c r="B1837" s="4"/>
      <c r="C1837" s="10"/>
      <c r="D1837" s="11" t="str">
        <f aca="false">IF(K1837="","",IFERROR(INDEX(DECKS!$C$2:$C$1201,MATCH(K1837,DECKS!$B$2:$B$1201,0)),TRIM(I1837&amp;"")))</f>
        <v/>
      </c>
      <c r="E1837" s="4"/>
      <c r="F1837" s="12"/>
      <c r="G1837" s="4"/>
      <c r="H1837" s="13" t="str">
        <f aca="false">IF(OR(N(C1837)=0,N(F1837)=0),"",C1837*F1837)</f>
        <v/>
      </c>
      <c r="I1837" s="4"/>
      <c r="J1837" s="11" t="str">
        <f aca="false">IF(K1837="","",IF(N(C1837)&lt;=0,"Informe a quantidade",IF(IFERROR(INDEX(INVENTÁRIO!$B$2:$B$801,MATCH(K1837,INVENTÁRIO!$A$2:$A$801,0)),"")="(sem nome)","Carta fora dos decks: digite o nome na coluna I (opcional)","")))</f>
        <v/>
      </c>
      <c r="K1837" s="11" t="str">
        <f aca="false">UPPER(TRIM(SUBSTITUTE(B1837&amp;"",CHAR(160)," ")))</f>
        <v/>
      </c>
      <c r="L1837" s="11" t="str">
        <f aca="false">IF(AND(K1837&lt;&gt;"",TRIM(I1837&amp;"")&lt;&gt;""),K1837,"")</f>
        <v/>
      </c>
    </row>
    <row r="1838" customFormat="false" ht="15" hidden="false" customHeight="false" outlineLevel="0" collapsed="false">
      <c r="A1838" s="9"/>
      <c r="B1838" s="4"/>
      <c r="C1838" s="10"/>
      <c r="D1838" s="11" t="str">
        <f aca="false">IF(K1838="","",IFERROR(INDEX(DECKS!$C$2:$C$1201,MATCH(K1838,DECKS!$B$2:$B$1201,0)),TRIM(I1838&amp;"")))</f>
        <v/>
      </c>
      <c r="E1838" s="4"/>
      <c r="F1838" s="12"/>
      <c r="G1838" s="4"/>
      <c r="H1838" s="13" t="str">
        <f aca="false">IF(OR(N(C1838)=0,N(F1838)=0),"",C1838*F1838)</f>
        <v/>
      </c>
      <c r="I1838" s="4"/>
      <c r="J1838" s="11" t="str">
        <f aca="false">IF(K1838="","",IF(N(C1838)&lt;=0,"Informe a quantidade",IF(IFERROR(INDEX(INVENTÁRIO!$B$2:$B$801,MATCH(K1838,INVENTÁRIO!$A$2:$A$801,0)),"")="(sem nome)","Carta fora dos decks: digite o nome na coluna I (opcional)","")))</f>
        <v/>
      </c>
      <c r="K1838" s="11" t="str">
        <f aca="false">UPPER(TRIM(SUBSTITUTE(B1838&amp;"",CHAR(160)," ")))</f>
        <v/>
      </c>
      <c r="L1838" s="11" t="str">
        <f aca="false">IF(AND(K1838&lt;&gt;"",TRIM(I1838&amp;"")&lt;&gt;""),K1838,"")</f>
        <v/>
      </c>
    </row>
    <row r="1839" customFormat="false" ht="15" hidden="false" customHeight="false" outlineLevel="0" collapsed="false">
      <c r="A1839" s="9"/>
      <c r="B1839" s="4"/>
      <c r="C1839" s="10"/>
      <c r="D1839" s="11" t="str">
        <f aca="false">IF(K1839="","",IFERROR(INDEX(DECKS!$C$2:$C$1201,MATCH(K1839,DECKS!$B$2:$B$1201,0)),TRIM(I1839&amp;"")))</f>
        <v/>
      </c>
      <c r="E1839" s="4"/>
      <c r="F1839" s="12"/>
      <c r="G1839" s="4"/>
      <c r="H1839" s="13" t="str">
        <f aca="false">IF(OR(N(C1839)=0,N(F1839)=0),"",C1839*F1839)</f>
        <v/>
      </c>
      <c r="I1839" s="4"/>
      <c r="J1839" s="11" t="str">
        <f aca="false">IF(K1839="","",IF(N(C1839)&lt;=0,"Informe a quantidade",IF(IFERROR(INDEX(INVENTÁRIO!$B$2:$B$801,MATCH(K1839,INVENTÁRIO!$A$2:$A$801,0)),"")="(sem nome)","Carta fora dos decks: digite o nome na coluna I (opcional)","")))</f>
        <v/>
      </c>
      <c r="K1839" s="11" t="str">
        <f aca="false">UPPER(TRIM(SUBSTITUTE(B1839&amp;"",CHAR(160)," ")))</f>
        <v/>
      </c>
      <c r="L1839" s="11" t="str">
        <f aca="false">IF(AND(K1839&lt;&gt;"",TRIM(I1839&amp;"")&lt;&gt;""),K1839,"")</f>
        <v/>
      </c>
    </row>
    <row r="1840" customFormat="false" ht="15" hidden="false" customHeight="false" outlineLevel="0" collapsed="false">
      <c r="A1840" s="9"/>
      <c r="B1840" s="4"/>
      <c r="C1840" s="10"/>
      <c r="D1840" s="11" t="str">
        <f aca="false">IF(K1840="","",IFERROR(INDEX(DECKS!$C$2:$C$1201,MATCH(K1840,DECKS!$B$2:$B$1201,0)),TRIM(I1840&amp;"")))</f>
        <v/>
      </c>
      <c r="E1840" s="4"/>
      <c r="F1840" s="12"/>
      <c r="G1840" s="4"/>
      <c r="H1840" s="13" t="str">
        <f aca="false">IF(OR(N(C1840)=0,N(F1840)=0),"",C1840*F1840)</f>
        <v/>
      </c>
      <c r="I1840" s="4"/>
      <c r="J1840" s="11" t="str">
        <f aca="false">IF(K1840="","",IF(N(C1840)&lt;=0,"Informe a quantidade",IF(IFERROR(INDEX(INVENTÁRIO!$B$2:$B$801,MATCH(K1840,INVENTÁRIO!$A$2:$A$801,0)),"")="(sem nome)","Carta fora dos decks: digite o nome na coluna I (opcional)","")))</f>
        <v/>
      </c>
      <c r="K1840" s="11" t="str">
        <f aca="false">UPPER(TRIM(SUBSTITUTE(B1840&amp;"",CHAR(160)," ")))</f>
        <v/>
      </c>
      <c r="L1840" s="11" t="str">
        <f aca="false">IF(AND(K1840&lt;&gt;"",TRIM(I1840&amp;"")&lt;&gt;""),K1840,"")</f>
        <v/>
      </c>
    </row>
    <row r="1841" customFormat="false" ht="15" hidden="false" customHeight="false" outlineLevel="0" collapsed="false">
      <c r="A1841" s="9"/>
      <c r="B1841" s="4"/>
      <c r="C1841" s="10"/>
      <c r="D1841" s="11" t="str">
        <f aca="false">IF(K1841="","",IFERROR(INDEX(DECKS!$C$2:$C$1201,MATCH(K1841,DECKS!$B$2:$B$1201,0)),TRIM(I1841&amp;"")))</f>
        <v/>
      </c>
      <c r="E1841" s="4"/>
      <c r="F1841" s="12"/>
      <c r="G1841" s="4"/>
      <c r="H1841" s="13" t="str">
        <f aca="false">IF(OR(N(C1841)=0,N(F1841)=0),"",C1841*F1841)</f>
        <v/>
      </c>
      <c r="I1841" s="4"/>
      <c r="J1841" s="11" t="str">
        <f aca="false">IF(K1841="","",IF(N(C1841)&lt;=0,"Informe a quantidade",IF(IFERROR(INDEX(INVENTÁRIO!$B$2:$B$801,MATCH(K1841,INVENTÁRIO!$A$2:$A$801,0)),"")="(sem nome)","Carta fora dos decks: digite o nome na coluna I (opcional)","")))</f>
        <v/>
      </c>
      <c r="K1841" s="11" t="str">
        <f aca="false">UPPER(TRIM(SUBSTITUTE(B1841&amp;"",CHAR(160)," ")))</f>
        <v/>
      </c>
      <c r="L1841" s="11" t="str">
        <f aca="false">IF(AND(K1841&lt;&gt;"",TRIM(I1841&amp;"")&lt;&gt;""),K1841,"")</f>
        <v/>
      </c>
    </row>
    <row r="1842" customFormat="false" ht="15" hidden="false" customHeight="false" outlineLevel="0" collapsed="false">
      <c r="A1842" s="9"/>
      <c r="B1842" s="4"/>
      <c r="C1842" s="10"/>
      <c r="D1842" s="11" t="str">
        <f aca="false">IF(K1842="","",IFERROR(INDEX(DECKS!$C$2:$C$1201,MATCH(K1842,DECKS!$B$2:$B$1201,0)),TRIM(I1842&amp;"")))</f>
        <v/>
      </c>
      <c r="E1842" s="4"/>
      <c r="F1842" s="12"/>
      <c r="G1842" s="4"/>
      <c r="H1842" s="13" t="str">
        <f aca="false">IF(OR(N(C1842)=0,N(F1842)=0),"",C1842*F1842)</f>
        <v/>
      </c>
      <c r="I1842" s="4"/>
      <c r="J1842" s="11" t="str">
        <f aca="false">IF(K1842="","",IF(N(C1842)&lt;=0,"Informe a quantidade",IF(IFERROR(INDEX(INVENTÁRIO!$B$2:$B$801,MATCH(K1842,INVENTÁRIO!$A$2:$A$801,0)),"")="(sem nome)","Carta fora dos decks: digite o nome na coluna I (opcional)","")))</f>
        <v/>
      </c>
      <c r="K1842" s="11" t="str">
        <f aca="false">UPPER(TRIM(SUBSTITUTE(B1842&amp;"",CHAR(160)," ")))</f>
        <v/>
      </c>
      <c r="L1842" s="11" t="str">
        <f aca="false">IF(AND(K1842&lt;&gt;"",TRIM(I1842&amp;"")&lt;&gt;""),K1842,"")</f>
        <v/>
      </c>
    </row>
    <row r="1843" customFormat="false" ht="15" hidden="false" customHeight="false" outlineLevel="0" collapsed="false">
      <c r="A1843" s="9"/>
      <c r="B1843" s="4"/>
      <c r="C1843" s="10"/>
      <c r="D1843" s="11" t="str">
        <f aca="false">IF(K1843="","",IFERROR(INDEX(DECKS!$C$2:$C$1201,MATCH(K1843,DECKS!$B$2:$B$1201,0)),TRIM(I1843&amp;"")))</f>
        <v/>
      </c>
      <c r="E1843" s="4"/>
      <c r="F1843" s="12"/>
      <c r="G1843" s="4"/>
      <c r="H1843" s="13" t="str">
        <f aca="false">IF(OR(N(C1843)=0,N(F1843)=0),"",C1843*F1843)</f>
        <v/>
      </c>
      <c r="I1843" s="4"/>
      <c r="J1843" s="11" t="str">
        <f aca="false">IF(K1843="","",IF(N(C1843)&lt;=0,"Informe a quantidade",IF(IFERROR(INDEX(INVENTÁRIO!$B$2:$B$801,MATCH(K1843,INVENTÁRIO!$A$2:$A$801,0)),"")="(sem nome)","Carta fora dos decks: digite o nome na coluna I (opcional)","")))</f>
        <v/>
      </c>
      <c r="K1843" s="11" t="str">
        <f aca="false">UPPER(TRIM(SUBSTITUTE(B1843&amp;"",CHAR(160)," ")))</f>
        <v/>
      </c>
      <c r="L1843" s="11" t="str">
        <f aca="false">IF(AND(K1843&lt;&gt;"",TRIM(I1843&amp;"")&lt;&gt;""),K1843,"")</f>
        <v/>
      </c>
    </row>
    <row r="1844" customFormat="false" ht="15" hidden="false" customHeight="false" outlineLevel="0" collapsed="false">
      <c r="A1844" s="9"/>
      <c r="B1844" s="4"/>
      <c r="C1844" s="10"/>
      <c r="D1844" s="11" t="str">
        <f aca="false">IF(K1844="","",IFERROR(INDEX(DECKS!$C$2:$C$1201,MATCH(K1844,DECKS!$B$2:$B$1201,0)),TRIM(I1844&amp;"")))</f>
        <v/>
      </c>
      <c r="E1844" s="4"/>
      <c r="F1844" s="12"/>
      <c r="G1844" s="4"/>
      <c r="H1844" s="13" t="str">
        <f aca="false">IF(OR(N(C1844)=0,N(F1844)=0),"",C1844*F1844)</f>
        <v/>
      </c>
      <c r="I1844" s="4"/>
      <c r="J1844" s="11" t="str">
        <f aca="false">IF(K1844="","",IF(N(C1844)&lt;=0,"Informe a quantidade",IF(IFERROR(INDEX(INVENTÁRIO!$B$2:$B$801,MATCH(K1844,INVENTÁRIO!$A$2:$A$801,0)),"")="(sem nome)","Carta fora dos decks: digite o nome na coluna I (opcional)","")))</f>
        <v/>
      </c>
      <c r="K1844" s="11" t="str">
        <f aca="false">UPPER(TRIM(SUBSTITUTE(B1844&amp;"",CHAR(160)," ")))</f>
        <v/>
      </c>
      <c r="L1844" s="11" t="str">
        <f aca="false">IF(AND(K1844&lt;&gt;"",TRIM(I1844&amp;"")&lt;&gt;""),K1844,"")</f>
        <v/>
      </c>
    </row>
    <row r="1845" customFormat="false" ht="15" hidden="false" customHeight="false" outlineLevel="0" collapsed="false">
      <c r="A1845" s="9"/>
      <c r="B1845" s="4"/>
      <c r="C1845" s="10"/>
      <c r="D1845" s="11" t="str">
        <f aca="false">IF(K1845="","",IFERROR(INDEX(DECKS!$C$2:$C$1201,MATCH(K1845,DECKS!$B$2:$B$1201,0)),TRIM(I1845&amp;"")))</f>
        <v/>
      </c>
      <c r="E1845" s="4"/>
      <c r="F1845" s="12"/>
      <c r="G1845" s="4"/>
      <c r="H1845" s="13" t="str">
        <f aca="false">IF(OR(N(C1845)=0,N(F1845)=0),"",C1845*F1845)</f>
        <v/>
      </c>
      <c r="I1845" s="4"/>
      <c r="J1845" s="11" t="str">
        <f aca="false">IF(K1845="","",IF(N(C1845)&lt;=0,"Informe a quantidade",IF(IFERROR(INDEX(INVENTÁRIO!$B$2:$B$801,MATCH(K1845,INVENTÁRIO!$A$2:$A$801,0)),"")="(sem nome)","Carta fora dos decks: digite o nome na coluna I (opcional)","")))</f>
        <v/>
      </c>
      <c r="K1845" s="11" t="str">
        <f aca="false">UPPER(TRIM(SUBSTITUTE(B1845&amp;"",CHAR(160)," ")))</f>
        <v/>
      </c>
      <c r="L1845" s="11" t="str">
        <f aca="false">IF(AND(K1845&lt;&gt;"",TRIM(I1845&amp;"")&lt;&gt;""),K1845,"")</f>
        <v/>
      </c>
    </row>
    <row r="1846" customFormat="false" ht="15" hidden="false" customHeight="false" outlineLevel="0" collapsed="false">
      <c r="A1846" s="9"/>
      <c r="B1846" s="4"/>
      <c r="C1846" s="10"/>
      <c r="D1846" s="11" t="str">
        <f aca="false">IF(K1846="","",IFERROR(INDEX(DECKS!$C$2:$C$1201,MATCH(K1846,DECKS!$B$2:$B$1201,0)),TRIM(I1846&amp;"")))</f>
        <v/>
      </c>
      <c r="E1846" s="4"/>
      <c r="F1846" s="12"/>
      <c r="G1846" s="4"/>
      <c r="H1846" s="13" t="str">
        <f aca="false">IF(OR(N(C1846)=0,N(F1846)=0),"",C1846*F1846)</f>
        <v/>
      </c>
      <c r="I1846" s="4"/>
      <c r="J1846" s="11" t="str">
        <f aca="false">IF(K1846="","",IF(N(C1846)&lt;=0,"Informe a quantidade",IF(IFERROR(INDEX(INVENTÁRIO!$B$2:$B$801,MATCH(K1846,INVENTÁRIO!$A$2:$A$801,0)),"")="(sem nome)","Carta fora dos decks: digite o nome na coluna I (opcional)","")))</f>
        <v/>
      </c>
      <c r="K1846" s="11" t="str">
        <f aca="false">UPPER(TRIM(SUBSTITUTE(B1846&amp;"",CHAR(160)," ")))</f>
        <v/>
      </c>
      <c r="L1846" s="11" t="str">
        <f aca="false">IF(AND(K1846&lt;&gt;"",TRIM(I1846&amp;"")&lt;&gt;""),K1846,"")</f>
        <v/>
      </c>
    </row>
    <row r="1847" customFormat="false" ht="15" hidden="false" customHeight="false" outlineLevel="0" collapsed="false">
      <c r="A1847" s="9"/>
      <c r="B1847" s="4"/>
      <c r="C1847" s="10"/>
      <c r="D1847" s="11" t="str">
        <f aca="false">IF(K1847="","",IFERROR(INDEX(DECKS!$C$2:$C$1201,MATCH(K1847,DECKS!$B$2:$B$1201,0)),TRIM(I1847&amp;"")))</f>
        <v/>
      </c>
      <c r="E1847" s="4"/>
      <c r="F1847" s="12"/>
      <c r="G1847" s="4"/>
      <c r="H1847" s="13" t="str">
        <f aca="false">IF(OR(N(C1847)=0,N(F1847)=0),"",C1847*F1847)</f>
        <v/>
      </c>
      <c r="I1847" s="4"/>
      <c r="J1847" s="11" t="str">
        <f aca="false">IF(K1847="","",IF(N(C1847)&lt;=0,"Informe a quantidade",IF(IFERROR(INDEX(INVENTÁRIO!$B$2:$B$801,MATCH(K1847,INVENTÁRIO!$A$2:$A$801,0)),"")="(sem nome)","Carta fora dos decks: digite o nome na coluna I (opcional)","")))</f>
        <v/>
      </c>
      <c r="K1847" s="11" t="str">
        <f aca="false">UPPER(TRIM(SUBSTITUTE(B1847&amp;"",CHAR(160)," ")))</f>
        <v/>
      </c>
      <c r="L1847" s="11" t="str">
        <f aca="false">IF(AND(K1847&lt;&gt;"",TRIM(I1847&amp;"")&lt;&gt;""),K1847,"")</f>
        <v/>
      </c>
    </row>
    <row r="1848" customFormat="false" ht="15" hidden="false" customHeight="false" outlineLevel="0" collapsed="false">
      <c r="A1848" s="9"/>
      <c r="B1848" s="4"/>
      <c r="C1848" s="10"/>
      <c r="D1848" s="11" t="str">
        <f aca="false">IF(K1848="","",IFERROR(INDEX(DECKS!$C$2:$C$1201,MATCH(K1848,DECKS!$B$2:$B$1201,0)),TRIM(I1848&amp;"")))</f>
        <v/>
      </c>
      <c r="E1848" s="4"/>
      <c r="F1848" s="12"/>
      <c r="G1848" s="4"/>
      <c r="H1848" s="13" t="str">
        <f aca="false">IF(OR(N(C1848)=0,N(F1848)=0),"",C1848*F1848)</f>
        <v/>
      </c>
      <c r="I1848" s="4"/>
      <c r="J1848" s="11" t="str">
        <f aca="false">IF(K1848="","",IF(N(C1848)&lt;=0,"Informe a quantidade",IF(IFERROR(INDEX(INVENTÁRIO!$B$2:$B$801,MATCH(K1848,INVENTÁRIO!$A$2:$A$801,0)),"")="(sem nome)","Carta fora dos decks: digite o nome na coluna I (opcional)","")))</f>
        <v/>
      </c>
      <c r="K1848" s="11" t="str">
        <f aca="false">UPPER(TRIM(SUBSTITUTE(B1848&amp;"",CHAR(160)," ")))</f>
        <v/>
      </c>
      <c r="L1848" s="11" t="str">
        <f aca="false">IF(AND(K1848&lt;&gt;"",TRIM(I1848&amp;"")&lt;&gt;""),K1848,"")</f>
        <v/>
      </c>
    </row>
    <row r="1849" customFormat="false" ht="15" hidden="false" customHeight="false" outlineLevel="0" collapsed="false">
      <c r="A1849" s="9"/>
      <c r="B1849" s="4"/>
      <c r="C1849" s="10"/>
      <c r="D1849" s="11" t="str">
        <f aca="false">IF(K1849="","",IFERROR(INDEX(DECKS!$C$2:$C$1201,MATCH(K1849,DECKS!$B$2:$B$1201,0)),TRIM(I1849&amp;"")))</f>
        <v/>
      </c>
      <c r="E1849" s="4"/>
      <c r="F1849" s="12"/>
      <c r="G1849" s="4"/>
      <c r="H1849" s="13" t="str">
        <f aca="false">IF(OR(N(C1849)=0,N(F1849)=0),"",C1849*F1849)</f>
        <v/>
      </c>
      <c r="I1849" s="4"/>
      <c r="J1849" s="11" t="str">
        <f aca="false">IF(K1849="","",IF(N(C1849)&lt;=0,"Informe a quantidade",IF(IFERROR(INDEX(INVENTÁRIO!$B$2:$B$801,MATCH(K1849,INVENTÁRIO!$A$2:$A$801,0)),"")="(sem nome)","Carta fora dos decks: digite o nome na coluna I (opcional)","")))</f>
        <v/>
      </c>
      <c r="K1849" s="11" t="str">
        <f aca="false">UPPER(TRIM(SUBSTITUTE(B1849&amp;"",CHAR(160)," ")))</f>
        <v/>
      </c>
      <c r="L1849" s="11" t="str">
        <f aca="false">IF(AND(K1849&lt;&gt;"",TRIM(I1849&amp;"")&lt;&gt;""),K1849,"")</f>
        <v/>
      </c>
    </row>
    <row r="1850" customFormat="false" ht="15" hidden="false" customHeight="false" outlineLevel="0" collapsed="false">
      <c r="A1850" s="9"/>
      <c r="B1850" s="4"/>
      <c r="C1850" s="10"/>
      <c r="D1850" s="11" t="str">
        <f aca="false">IF(K1850="","",IFERROR(INDEX(DECKS!$C$2:$C$1201,MATCH(K1850,DECKS!$B$2:$B$1201,0)),TRIM(I1850&amp;"")))</f>
        <v/>
      </c>
      <c r="E1850" s="4"/>
      <c r="F1850" s="12"/>
      <c r="G1850" s="4"/>
      <c r="H1850" s="13" t="str">
        <f aca="false">IF(OR(N(C1850)=0,N(F1850)=0),"",C1850*F1850)</f>
        <v/>
      </c>
      <c r="I1850" s="4"/>
      <c r="J1850" s="11" t="str">
        <f aca="false">IF(K1850="","",IF(N(C1850)&lt;=0,"Informe a quantidade",IF(IFERROR(INDEX(INVENTÁRIO!$B$2:$B$801,MATCH(K1850,INVENTÁRIO!$A$2:$A$801,0)),"")="(sem nome)","Carta fora dos decks: digite o nome na coluna I (opcional)","")))</f>
        <v/>
      </c>
      <c r="K1850" s="11" t="str">
        <f aca="false">UPPER(TRIM(SUBSTITUTE(B1850&amp;"",CHAR(160)," ")))</f>
        <v/>
      </c>
      <c r="L1850" s="11" t="str">
        <f aca="false">IF(AND(K1850&lt;&gt;"",TRIM(I1850&amp;"")&lt;&gt;""),K1850,"")</f>
        <v/>
      </c>
    </row>
    <row r="1851" customFormat="false" ht="15" hidden="false" customHeight="false" outlineLevel="0" collapsed="false">
      <c r="A1851" s="9"/>
      <c r="B1851" s="4"/>
      <c r="C1851" s="10"/>
      <c r="D1851" s="11" t="str">
        <f aca="false">IF(K1851="","",IFERROR(INDEX(DECKS!$C$2:$C$1201,MATCH(K1851,DECKS!$B$2:$B$1201,0)),TRIM(I1851&amp;"")))</f>
        <v/>
      </c>
      <c r="E1851" s="4"/>
      <c r="F1851" s="12"/>
      <c r="G1851" s="4"/>
      <c r="H1851" s="13" t="str">
        <f aca="false">IF(OR(N(C1851)=0,N(F1851)=0),"",C1851*F1851)</f>
        <v/>
      </c>
      <c r="I1851" s="4"/>
      <c r="J1851" s="11" t="str">
        <f aca="false">IF(K1851="","",IF(N(C1851)&lt;=0,"Informe a quantidade",IF(IFERROR(INDEX(INVENTÁRIO!$B$2:$B$801,MATCH(K1851,INVENTÁRIO!$A$2:$A$801,0)),"")="(sem nome)","Carta fora dos decks: digite o nome na coluna I (opcional)","")))</f>
        <v/>
      </c>
      <c r="K1851" s="11" t="str">
        <f aca="false">UPPER(TRIM(SUBSTITUTE(B1851&amp;"",CHAR(160)," ")))</f>
        <v/>
      </c>
      <c r="L1851" s="11" t="str">
        <f aca="false">IF(AND(K1851&lt;&gt;"",TRIM(I1851&amp;"")&lt;&gt;""),K1851,"")</f>
        <v/>
      </c>
    </row>
    <row r="1852" customFormat="false" ht="15" hidden="false" customHeight="false" outlineLevel="0" collapsed="false">
      <c r="A1852" s="9"/>
      <c r="B1852" s="4"/>
      <c r="C1852" s="10"/>
      <c r="D1852" s="11" t="str">
        <f aca="false">IF(K1852="","",IFERROR(INDEX(DECKS!$C$2:$C$1201,MATCH(K1852,DECKS!$B$2:$B$1201,0)),TRIM(I1852&amp;"")))</f>
        <v/>
      </c>
      <c r="E1852" s="4"/>
      <c r="F1852" s="12"/>
      <c r="G1852" s="4"/>
      <c r="H1852" s="13" t="str">
        <f aca="false">IF(OR(N(C1852)=0,N(F1852)=0),"",C1852*F1852)</f>
        <v/>
      </c>
      <c r="I1852" s="4"/>
      <c r="J1852" s="11" t="str">
        <f aca="false">IF(K1852="","",IF(N(C1852)&lt;=0,"Informe a quantidade",IF(IFERROR(INDEX(INVENTÁRIO!$B$2:$B$801,MATCH(K1852,INVENTÁRIO!$A$2:$A$801,0)),"")="(sem nome)","Carta fora dos decks: digite o nome na coluna I (opcional)","")))</f>
        <v/>
      </c>
      <c r="K1852" s="11" t="str">
        <f aca="false">UPPER(TRIM(SUBSTITUTE(B1852&amp;"",CHAR(160)," ")))</f>
        <v/>
      </c>
      <c r="L1852" s="11" t="str">
        <f aca="false">IF(AND(K1852&lt;&gt;"",TRIM(I1852&amp;"")&lt;&gt;""),K1852,"")</f>
        <v/>
      </c>
    </row>
    <row r="1853" customFormat="false" ht="15" hidden="false" customHeight="false" outlineLevel="0" collapsed="false">
      <c r="A1853" s="9"/>
      <c r="B1853" s="4"/>
      <c r="C1853" s="10"/>
      <c r="D1853" s="11" t="str">
        <f aca="false">IF(K1853="","",IFERROR(INDEX(DECKS!$C$2:$C$1201,MATCH(K1853,DECKS!$B$2:$B$1201,0)),TRIM(I1853&amp;"")))</f>
        <v/>
      </c>
      <c r="E1853" s="4"/>
      <c r="F1853" s="12"/>
      <c r="G1853" s="4"/>
      <c r="H1853" s="13" t="str">
        <f aca="false">IF(OR(N(C1853)=0,N(F1853)=0),"",C1853*F1853)</f>
        <v/>
      </c>
      <c r="I1853" s="4"/>
      <c r="J1853" s="11" t="str">
        <f aca="false">IF(K1853="","",IF(N(C1853)&lt;=0,"Informe a quantidade",IF(IFERROR(INDEX(INVENTÁRIO!$B$2:$B$801,MATCH(K1853,INVENTÁRIO!$A$2:$A$801,0)),"")="(sem nome)","Carta fora dos decks: digite o nome na coluna I (opcional)","")))</f>
        <v/>
      </c>
      <c r="K1853" s="11" t="str">
        <f aca="false">UPPER(TRIM(SUBSTITUTE(B1853&amp;"",CHAR(160)," ")))</f>
        <v/>
      </c>
      <c r="L1853" s="11" t="str">
        <f aca="false">IF(AND(K1853&lt;&gt;"",TRIM(I1853&amp;"")&lt;&gt;""),K1853,"")</f>
        <v/>
      </c>
    </row>
    <row r="1854" customFormat="false" ht="15" hidden="false" customHeight="false" outlineLevel="0" collapsed="false">
      <c r="A1854" s="9"/>
      <c r="B1854" s="4"/>
      <c r="C1854" s="10"/>
      <c r="D1854" s="11" t="str">
        <f aca="false">IF(K1854="","",IFERROR(INDEX(DECKS!$C$2:$C$1201,MATCH(K1854,DECKS!$B$2:$B$1201,0)),TRIM(I1854&amp;"")))</f>
        <v/>
      </c>
      <c r="E1854" s="4"/>
      <c r="F1854" s="12"/>
      <c r="G1854" s="4"/>
      <c r="H1854" s="13" t="str">
        <f aca="false">IF(OR(N(C1854)=0,N(F1854)=0),"",C1854*F1854)</f>
        <v/>
      </c>
      <c r="I1854" s="4"/>
      <c r="J1854" s="11" t="str">
        <f aca="false">IF(K1854="","",IF(N(C1854)&lt;=0,"Informe a quantidade",IF(IFERROR(INDEX(INVENTÁRIO!$B$2:$B$801,MATCH(K1854,INVENTÁRIO!$A$2:$A$801,0)),"")="(sem nome)","Carta fora dos decks: digite o nome na coluna I (opcional)","")))</f>
        <v/>
      </c>
      <c r="K1854" s="11" t="str">
        <f aca="false">UPPER(TRIM(SUBSTITUTE(B1854&amp;"",CHAR(160)," ")))</f>
        <v/>
      </c>
      <c r="L1854" s="11" t="str">
        <f aca="false">IF(AND(K1854&lt;&gt;"",TRIM(I1854&amp;"")&lt;&gt;""),K1854,"")</f>
        <v/>
      </c>
    </row>
    <row r="1855" customFormat="false" ht="15" hidden="false" customHeight="false" outlineLevel="0" collapsed="false">
      <c r="A1855" s="9"/>
      <c r="B1855" s="4"/>
      <c r="C1855" s="10"/>
      <c r="D1855" s="11" t="str">
        <f aca="false">IF(K1855="","",IFERROR(INDEX(DECKS!$C$2:$C$1201,MATCH(K1855,DECKS!$B$2:$B$1201,0)),TRIM(I1855&amp;"")))</f>
        <v/>
      </c>
      <c r="E1855" s="4"/>
      <c r="F1855" s="12"/>
      <c r="G1855" s="4"/>
      <c r="H1855" s="13" t="str">
        <f aca="false">IF(OR(N(C1855)=0,N(F1855)=0),"",C1855*F1855)</f>
        <v/>
      </c>
      <c r="I1855" s="4"/>
      <c r="J1855" s="11" t="str">
        <f aca="false">IF(K1855="","",IF(N(C1855)&lt;=0,"Informe a quantidade",IF(IFERROR(INDEX(INVENTÁRIO!$B$2:$B$801,MATCH(K1855,INVENTÁRIO!$A$2:$A$801,0)),"")="(sem nome)","Carta fora dos decks: digite o nome na coluna I (opcional)","")))</f>
        <v/>
      </c>
      <c r="K1855" s="11" t="str">
        <f aca="false">UPPER(TRIM(SUBSTITUTE(B1855&amp;"",CHAR(160)," ")))</f>
        <v/>
      </c>
      <c r="L1855" s="11" t="str">
        <f aca="false">IF(AND(K1855&lt;&gt;"",TRIM(I1855&amp;"")&lt;&gt;""),K1855,"")</f>
        <v/>
      </c>
    </row>
    <row r="1856" customFormat="false" ht="15" hidden="false" customHeight="false" outlineLevel="0" collapsed="false">
      <c r="A1856" s="9"/>
      <c r="B1856" s="4"/>
      <c r="C1856" s="10"/>
      <c r="D1856" s="11" t="str">
        <f aca="false">IF(K1856="","",IFERROR(INDEX(DECKS!$C$2:$C$1201,MATCH(K1856,DECKS!$B$2:$B$1201,0)),TRIM(I1856&amp;"")))</f>
        <v/>
      </c>
      <c r="E1856" s="4"/>
      <c r="F1856" s="12"/>
      <c r="G1856" s="4"/>
      <c r="H1856" s="13" t="str">
        <f aca="false">IF(OR(N(C1856)=0,N(F1856)=0),"",C1856*F1856)</f>
        <v/>
      </c>
      <c r="I1856" s="4"/>
      <c r="J1856" s="11" t="str">
        <f aca="false">IF(K1856="","",IF(N(C1856)&lt;=0,"Informe a quantidade",IF(IFERROR(INDEX(INVENTÁRIO!$B$2:$B$801,MATCH(K1856,INVENTÁRIO!$A$2:$A$801,0)),"")="(sem nome)","Carta fora dos decks: digite o nome na coluna I (opcional)","")))</f>
        <v/>
      </c>
      <c r="K1856" s="11" t="str">
        <f aca="false">UPPER(TRIM(SUBSTITUTE(B1856&amp;"",CHAR(160)," ")))</f>
        <v/>
      </c>
      <c r="L1856" s="11" t="str">
        <f aca="false">IF(AND(K1856&lt;&gt;"",TRIM(I1856&amp;"")&lt;&gt;""),K1856,"")</f>
        <v/>
      </c>
    </row>
    <row r="1857" customFormat="false" ht="15" hidden="false" customHeight="false" outlineLevel="0" collapsed="false">
      <c r="A1857" s="9"/>
      <c r="B1857" s="4"/>
      <c r="C1857" s="10"/>
      <c r="D1857" s="11" t="str">
        <f aca="false">IF(K1857="","",IFERROR(INDEX(DECKS!$C$2:$C$1201,MATCH(K1857,DECKS!$B$2:$B$1201,0)),TRIM(I1857&amp;"")))</f>
        <v/>
      </c>
      <c r="E1857" s="4"/>
      <c r="F1857" s="12"/>
      <c r="G1857" s="4"/>
      <c r="H1857" s="13" t="str">
        <f aca="false">IF(OR(N(C1857)=0,N(F1857)=0),"",C1857*F1857)</f>
        <v/>
      </c>
      <c r="I1857" s="4"/>
      <c r="J1857" s="11" t="str">
        <f aca="false">IF(K1857="","",IF(N(C1857)&lt;=0,"Informe a quantidade",IF(IFERROR(INDEX(INVENTÁRIO!$B$2:$B$801,MATCH(K1857,INVENTÁRIO!$A$2:$A$801,0)),"")="(sem nome)","Carta fora dos decks: digite o nome na coluna I (opcional)","")))</f>
        <v/>
      </c>
      <c r="K1857" s="11" t="str">
        <f aca="false">UPPER(TRIM(SUBSTITUTE(B1857&amp;"",CHAR(160)," ")))</f>
        <v/>
      </c>
      <c r="L1857" s="11" t="str">
        <f aca="false">IF(AND(K1857&lt;&gt;"",TRIM(I1857&amp;"")&lt;&gt;""),K1857,"")</f>
        <v/>
      </c>
    </row>
    <row r="1858" customFormat="false" ht="15" hidden="false" customHeight="false" outlineLevel="0" collapsed="false">
      <c r="A1858" s="9"/>
      <c r="B1858" s="4"/>
      <c r="C1858" s="10"/>
      <c r="D1858" s="11" t="str">
        <f aca="false">IF(K1858="","",IFERROR(INDEX(DECKS!$C$2:$C$1201,MATCH(K1858,DECKS!$B$2:$B$1201,0)),TRIM(I1858&amp;"")))</f>
        <v/>
      </c>
      <c r="E1858" s="4"/>
      <c r="F1858" s="12"/>
      <c r="G1858" s="4"/>
      <c r="H1858" s="13" t="str">
        <f aca="false">IF(OR(N(C1858)=0,N(F1858)=0),"",C1858*F1858)</f>
        <v/>
      </c>
      <c r="I1858" s="4"/>
      <c r="J1858" s="11" t="str">
        <f aca="false">IF(K1858="","",IF(N(C1858)&lt;=0,"Informe a quantidade",IF(IFERROR(INDEX(INVENTÁRIO!$B$2:$B$801,MATCH(K1858,INVENTÁRIO!$A$2:$A$801,0)),"")="(sem nome)","Carta fora dos decks: digite o nome na coluna I (opcional)","")))</f>
        <v/>
      </c>
      <c r="K1858" s="11" t="str">
        <f aca="false">UPPER(TRIM(SUBSTITUTE(B1858&amp;"",CHAR(160)," ")))</f>
        <v/>
      </c>
      <c r="L1858" s="11" t="str">
        <f aca="false">IF(AND(K1858&lt;&gt;"",TRIM(I1858&amp;"")&lt;&gt;""),K1858,"")</f>
        <v/>
      </c>
    </row>
    <row r="1859" customFormat="false" ht="15" hidden="false" customHeight="false" outlineLevel="0" collapsed="false">
      <c r="A1859" s="9"/>
      <c r="B1859" s="4"/>
      <c r="C1859" s="10"/>
      <c r="D1859" s="11" t="str">
        <f aca="false">IF(K1859="","",IFERROR(INDEX(DECKS!$C$2:$C$1201,MATCH(K1859,DECKS!$B$2:$B$1201,0)),TRIM(I1859&amp;"")))</f>
        <v/>
      </c>
      <c r="E1859" s="4"/>
      <c r="F1859" s="12"/>
      <c r="G1859" s="4"/>
      <c r="H1859" s="13" t="str">
        <f aca="false">IF(OR(N(C1859)=0,N(F1859)=0),"",C1859*F1859)</f>
        <v/>
      </c>
      <c r="I1859" s="4"/>
      <c r="J1859" s="11" t="str">
        <f aca="false">IF(K1859="","",IF(N(C1859)&lt;=0,"Informe a quantidade",IF(IFERROR(INDEX(INVENTÁRIO!$B$2:$B$801,MATCH(K1859,INVENTÁRIO!$A$2:$A$801,0)),"")="(sem nome)","Carta fora dos decks: digite o nome na coluna I (opcional)","")))</f>
        <v/>
      </c>
      <c r="K1859" s="11" t="str">
        <f aca="false">UPPER(TRIM(SUBSTITUTE(B1859&amp;"",CHAR(160)," ")))</f>
        <v/>
      </c>
      <c r="L1859" s="11" t="str">
        <f aca="false">IF(AND(K1859&lt;&gt;"",TRIM(I1859&amp;"")&lt;&gt;""),K1859,"")</f>
        <v/>
      </c>
    </row>
    <row r="1860" customFormat="false" ht="15" hidden="false" customHeight="false" outlineLevel="0" collapsed="false">
      <c r="A1860" s="9"/>
      <c r="B1860" s="4"/>
      <c r="C1860" s="10"/>
      <c r="D1860" s="11" t="str">
        <f aca="false">IF(K1860="","",IFERROR(INDEX(DECKS!$C$2:$C$1201,MATCH(K1860,DECKS!$B$2:$B$1201,0)),TRIM(I1860&amp;"")))</f>
        <v/>
      </c>
      <c r="E1860" s="4"/>
      <c r="F1860" s="12"/>
      <c r="G1860" s="4"/>
      <c r="H1860" s="13" t="str">
        <f aca="false">IF(OR(N(C1860)=0,N(F1860)=0),"",C1860*F1860)</f>
        <v/>
      </c>
      <c r="I1860" s="4"/>
      <c r="J1860" s="11" t="str">
        <f aca="false">IF(K1860="","",IF(N(C1860)&lt;=0,"Informe a quantidade",IF(IFERROR(INDEX(INVENTÁRIO!$B$2:$B$801,MATCH(K1860,INVENTÁRIO!$A$2:$A$801,0)),"")="(sem nome)","Carta fora dos decks: digite o nome na coluna I (opcional)","")))</f>
        <v/>
      </c>
      <c r="K1860" s="11" t="str">
        <f aca="false">UPPER(TRIM(SUBSTITUTE(B1860&amp;"",CHAR(160)," ")))</f>
        <v/>
      </c>
      <c r="L1860" s="11" t="str">
        <f aca="false">IF(AND(K1860&lt;&gt;"",TRIM(I1860&amp;"")&lt;&gt;""),K1860,"")</f>
        <v/>
      </c>
    </row>
    <row r="1861" customFormat="false" ht="15" hidden="false" customHeight="false" outlineLevel="0" collapsed="false">
      <c r="A1861" s="9"/>
      <c r="B1861" s="4"/>
      <c r="C1861" s="10"/>
      <c r="D1861" s="11" t="str">
        <f aca="false">IF(K1861="","",IFERROR(INDEX(DECKS!$C$2:$C$1201,MATCH(K1861,DECKS!$B$2:$B$1201,0)),TRIM(I1861&amp;"")))</f>
        <v/>
      </c>
      <c r="E1861" s="4"/>
      <c r="F1861" s="12"/>
      <c r="G1861" s="4"/>
      <c r="H1861" s="13" t="str">
        <f aca="false">IF(OR(N(C1861)=0,N(F1861)=0),"",C1861*F1861)</f>
        <v/>
      </c>
      <c r="I1861" s="4"/>
      <c r="J1861" s="11" t="str">
        <f aca="false">IF(K1861="","",IF(N(C1861)&lt;=0,"Informe a quantidade",IF(IFERROR(INDEX(INVENTÁRIO!$B$2:$B$801,MATCH(K1861,INVENTÁRIO!$A$2:$A$801,0)),"")="(sem nome)","Carta fora dos decks: digite o nome na coluna I (opcional)","")))</f>
        <v/>
      </c>
      <c r="K1861" s="11" t="str">
        <f aca="false">UPPER(TRIM(SUBSTITUTE(B1861&amp;"",CHAR(160)," ")))</f>
        <v/>
      </c>
      <c r="L1861" s="11" t="str">
        <f aca="false">IF(AND(K1861&lt;&gt;"",TRIM(I1861&amp;"")&lt;&gt;""),K1861,"")</f>
        <v/>
      </c>
    </row>
    <row r="1862" customFormat="false" ht="15" hidden="false" customHeight="false" outlineLevel="0" collapsed="false">
      <c r="A1862" s="9"/>
      <c r="B1862" s="4"/>
      <c r="C1862" s="10"/>
      <c r="D1862" s="11" t="str">
        <f aca="false">IF(K1862="","",IFERROR(INDEX(DECKS!$C$2:$C$1201,MATCH(K1862,DECKS!$B$2:$B$1201,0)),TRIM(I1862&amp;"")))</f>
        <v/>
      </c>
      <c r="E1862" s="4"/>
      <c r="F1862" s="12"/>
      <c r="G1862" s="4"/>
      <c r="H1862" s="13" t="str">
        <f aca="false">IF(OR(N(C1862)=0,N(F1862)=0),"",C1862*F1862)</f>
        <v/>
      </c>
      <c r="I1862" s="4"/>
      <c r="J1862" s="11" t="str">
        <f aca="false">IF(K1862="","",IF(N(C1862)&lt;=0,"Informe a quantidade",IF(IFERROR(INDEX(INVENTÁRIO!$B$2:$B$801,MATCH(K1862,INVENTÁRIO!$A$2:$A$801,0)),"")="(sem nome)","Carta fora dos decks: digite o nome na coluna I (opcional)","")))</f>
        <v/>
      </c>
      <c r="K1862" s="11" t="str">
        <f aca="false">UPPER(TRIM(SUBSTITUTE(B1862&amp;"",CHAR(160)," ")))</f>
        <v/>
      </c>
      <c r="L1862" s="11" t="str">
        <f aca="false">IF(AND(K1862&lt;&gt;"",TRIM(I1862&amp;"")&lt;&gt;""),K1862,"")</f>
        <v/>
      </c>
    </row>
    <row r="1863" customFormat="false" ht="15" hidden="false" customHeight="false" outlineLevel="0" collapsed="false">
      <c r="A1863" s="9"/>
      <c r="B1863" s="4"/>
      <c r="C1863" s="10"/>
      <c r="D1863" s="11" t="str">
        <f aca="false">IF(K1863="","",IFERROR(INDEX(DECKS!$C$2:$C$1201,MATCH(K1863,DECKS!$B$2:$B$1201,0)),TRIM(I1863&amp;"")))</f>
        <v/>
      </c>
      <c r="E1863" s="4"/>
      <c r="F1863" s="12"/>
      <c r="G1863" s="4"/>
      <c r="H1863" s="13" t="str">
        <f aca="false">IF(OR(N(C1863)=0,N(F1863)=0),"",C1863*F1863)</f>
        <v/>
      </c>
      <c r="I1863" s="4"/>
      <c r="J1863" s="11" t="str">
        <f aca="false">IF(K1863="","",IF(N(C1863)&lt;=0,"Informe a quantidade",IF(IFERROR(INDEX(INVENTÁRIO!$B$2:$B$801,MATCH(K1863,INVENTÁRIO!$A$2:$A$801,0)),"")="(sem nome)","Carta fora dos decks: digite o nome na coluna I (opcional)","")))</f>
        <v/>
      </c>
      <c r="K1863" s="11" t="str">
        <f aca="false">UPPER(TRIM(SUBSTITUTE(B1863&amp;"",CHAR(160)," ")))</f>
        <v/>
      </c>
      <c r="L1863" s="11" t="str">
        <f aca="false">IF(AND(K1863&lt;&gt;"",TRIM(I1863&amp;"")&lt;&gt;""),K1863,"")</f>
        <v/>
      </c>
    </row>
    <row r="1864" customFormat="false" ht="15" hidden="false" customHeight="false" outlineLevel="0" collapsed="false">
      <c r="A1864" s="9"/>
      <c r="B1864" s="4"/>
      <c r="C1864" s="10"/>
      <c r="D1864" s="11" t="str">
        <f aca="false">IF(K1864="","",IFERROR(INDEX(DECKS!$C$2:$C$1201,MATCH(K1864,DECKS!$B$2:$B$1201,0)),TRIM(I1864&amp;"")))</f>
        <v/>
      </c>
      <c r="E1864" s="4"/>
      <c r="F1864" s="12"/>
      <c r="G1864" s="4"/>
      <c r="H1864" s="13" t="str">
        <f aca="false">IF(OR(N(C1864)=0,N(F1864)=0),"",C1864*F1864)</f>
        <v/>
      </c>
      <c r="I1864" s="4"/>
      <c r="J1864" s="11" t="str">
        <f aca="false">IF(K1864="","",IF(N(C1864)&lt;=0,"Informe a quantidade",IF(IFERROR(INDEX(INVENTÁRIO!$B$2:$B$801,MATCH(K1864,INVENTÁRIO!$A$2:$A$801,0)),"")="(sem nome)","Carta fora dos decks: digite o nome na coluna I (opcional)","")))</f>
        <v/>
      </c>
      <c r="K1864" s="11" t="str">
        <f aca="false">UPPER(TRIM(SUBSTITUTE(B1864&amp;"",CHAR(160)," ")))</f>
        <v/>
      </c>
      <c r="L1864" s="11" t="str">
        <f aca="false">IF(AND(K1864&lt;&gt;"",TRIM(I1864&amp;"")&lt;&gt;""),K1864,"")</f>
        <v/>
      </c>
    </row>
    <row r="1865" customFormat="false" ht="15" hidden="false" customHeight="false" outlineLevel="0" collapsed="false">
      <c r="A1865" s="9"/>
      <c r="B1865" s="4"/>
      <c r="C1865" s="10"/>
      <c r="D1865" s="11" t="str">
        <f aca="false">IF(K1865="","",IFERROR(INDEX(DECKS!$C$2:$C$1201,MATCH(K1865,DECKS!$B$2:$B$1201,0)),TRIM(I1865&amp;"")))</f>
        <v/>
      </c>
      <c r="E1865" s="4"/>
      <c r="F1865" s="12"/>
      <c r="G1865" s="4"/>
      <c r="H1865" s="13" t="str">
        <f aca="false">IF(OR(N(C1865)=0,N(F1865)=0),"",C1865*F1865)</f>
        <v/>
      </c>
      <c r="I1865" s="4"/>
      <c r="J1865" s="11" t="str">
        <f aca="false">IF(K1865="","",IF(N(C1865)&lt;=0,"Informe a quantidade",IF(IFERROR(INDEX(INVENTÁRIO!$B$2:$B$801,MATCH(K1865,INVENTÁRIO!$A$2:$A$801,0)),"")="(sem nome)","Carta fora dos decks: digite o nome na coluna I (opcional)","")))</f>
        <v/>
      </c>
      <c r="K1865" s="11" t="str">
        <f aca="false">UPPER(TRIM(SUBSTITUTE(B1865&amp;"",CHAR(160)," ")))</f>
        <v/>
      </c>
      <c r="L1865" s="11" t="str">
        <f aca="false">IF(AND(K1865&lt;&gt;"",TRIM(I1865&amp;"")&lt;&gt;""),K1865,"")</f>
        <v/>
      </c>
    </row>
    <row r="1866" customFormat="false" ht="15" hidden="false" customHeight="false" outlineLevel="0" collapsed="false">
      <c r="A1866" s="9"/>
      <c r="B1866" s="4"/>
      <c r="C1866" s="10"/>
      <c r="D1866" s="11" t="str">
        <f aca="false">IF(K1866="","",IFERROR(INDEX(DECKS!$C$2:$C$1201,MATCH(K1866,DECKS!$B$2:$B$1201,0)),TRIM(I1866&amp;"")))</f>
        <v/>
      </c>
      <c r="E1866" s="4"/>
      <c r="F1866" s="12"/>
      <c r="G1866" s="4"/>
      <c r="H1866" s="13" t="str">
        <f aca="false">IF(OR(N(C1866)=0,N(F1866)=0),"",C1866*F1866)</f>
        <v/>
      </c>
      <c r="I1866" s="4"/>
      <c r="J1866" s="11" t="str">
        <f aca="false">IF(K1866="","",IF(N(C1866)&lt;=0,"Informe a quantidade",IF(IFERROR(INDEX(INVENTÁRIO!$B$2:$B$801,MATCH(K1866,INVENTÁRIO!$A$2:$A$801,0)),"")="(sem nome)","Carta fora dos decks: digite o nome na coluna I (opcional)","")))</f>
        <v/>
      </c>
      <c r="K1866" s="11" t="str">
        <f aca="false">UPPER(TRIM(SUBSTITUTE(B1866&amp;"",CHAR(160)," ")))</f>
        <v/>
      </c>
      <c r="L1866" s="11" t="str">
        <f aca="false">IF(AND(K1866&lt;&gt;"",TRIM(I1866&amp;"")&lt;&gt;""),K1866,"")</f>
        <v/>
      </c>
    </row>
    <row r="1867" customFormat="false" ht="15" hidden="false" customHeight="false" outlineLevel="0" collapsed="false">
      <c r="A1867" s="9"/>
      <c r="B1867" s="4"/>
      <c r="C1867" s="10"/>
      <c r="D1867" s="11" t="str">
        <f aca="false">IF(K1867="","",IFERROR(INDEX(DECKS!$C$2:$C$1201,MATCH(K1867,DECKS!$B$2:$B$1201,0)),TRIM(I1867&amp;"")))</f>
        <v/>
      </c>
      <c r="E1867" s="4"/>
      <c r="F1867" s="12"/>
      <c r="G1867" s="4"/>
      <c r="H1867" s="13" t="str">
        <f aca="false">IF(OR(N(C1867)=0,N(F1867)=0),"",C1867*F1867)</f>
        <v/>
      </c>
      <c r="I1867" s="4"/>
      <c r="J1867" s="11" t="str">
        <f aca="false">IF(K1867="","",IF(N(C1867)&lt;=0,"Informe a quantidade",IF(IFERROR(INDEX(INVENTÁRIO!$B$2:$B$801,MATCH(K1867,INVENTÁRIO!$A$2:$A$801,0)),"")="(sem nome)","Carta fora dos decks: digite o nome na coluna I (opcional)","")))</f>
        <v/>
      </c>
      <c r="K1867" s="11" t="str">
        <f aca="false">UPPER(TRIM(SUBSTITUTE(B1867&amp;"",CHAR(160)," ")))</f>
        <v/>
      </c>
      <c r="L1867" s="11" t="str">
        <f aca="false">IF(AND(K1867&lt;&gt;"",TRIM(I1867&amp;"")&lt;&gt;""),K1867,"")</f>
        <v/>
      </c>
    </row>
    <row r="1868" customFormat="false" ht="15" hidden="false" customHeight="false" outlineLevel="0" collapsed="false">
      <c r="A1868" s="9"/>
      <c r="B1868" s="4"/>
      <c r="C1868" s="10"/>
      <c r="D1868" s="11" t="str">
        <f aca="false">IF(K1868="","",IFERROR(INDEX(DECKS!$C$2:$C$1201,MATCH(K1868,DECKS!$B$2:$B$1201,0)),TRIM(I1868&amp;"")))</f>
        <v/>
      </c>
      <c r="E1868" s="4"/>
      <c r="F1868" s="12"/>
      <c r="G1868" s="4"/>
      <c r="H1868" s="13" t="str">
        <f aca="false">IF(OR(N(C1868)=0,N(F1868)=0),"",C1868*F1868)</f>
        <v/>
      </c>
      <c r="I1868" s="4"/>
      <c r="J1868" s="11" t="str">
        <f aca="false">IF(K1868="","",IF(N(C1868)&lt;=0,"Informe a quantidade",IF(IFERROR(INDEX(INVENTÁRIO!$B$2:$B$801,MATCH(K1868,INVENTÁRIO!$A$2:$A$801,0)),"")="(sem nome)","Carta fora dos decks: digite o nome na coluna I (opcional)","")))</f>
        <v/>
      </c>
      <c r="K1868" s="11" t="str">
        <f aca="false">UPPER(TRIM(SUBSTITUTE(B1868&amp;"",CHAR(160)," ")))</f>
        <v/>
      </c>
      <c r="L1868" s="11" t="str">
        <f aca="false">IF(AND(K1868&lt;&gt;"",TRIM(I1868&amp;"")&lt;&gt;""),K1868,"")</f>
        <v/>
      </c>
    </row>
    <row r="1869" customFormat="false" ht="15" hidden="false" customHeight="false" outlineLevel="0" collapsed="false">
      <c r="A1869" s="9"/>
      <c r="B1869" s="4"/>
      <c r="C1869" s="10"/>
      <c r="D1869" s="11" t="str">
        <f aca="false">IF(K1869="","",IFERROR(INDEX(DECKS!$C$2:$C$1201,MATCH(K1869,DECKS!$B$2:$B$1201,0)),TRIM(I1869&amp;"")))</f>
        <v/>
      </c>
      <c r="E1869" s="4"/>
      <c r="F1869" s="12"/>
      <c r="G1869" s="4"/>
      <c r="H1869" s="13" t="str">
        <f aca="false">IF(OR(N(C1869)=0,N(F1869)=0),"",C1869*F1869)</f>
        <v/>
      </c>
      <c r="I1869" s="4"/>
      <c r="J1869" s="11" t="str">
        <f aca="false">IF(K1869="","",IF(N(C1869)&lt;=0,"Informe a quantidade",IF(IFERROR(INDEX(INVENTÁRIO!$B$2:$B$801,MATCH(K1869,INVENTÁRIO!$A$2:$A$801,0)),"")="(sem nome)","Carta fora dos decks: digite o nome na coluna I (opcional)","")))</f>
        <v/>
      </c>
      <c r="K1869" s="11" t="str">
        <f aca="false">UPPER(TRIM(SUBSTITUTE(B1869&amp;"",CHAR(160)," ")))</f>
        <v/>
      </c>
      <c r="L1869" s="11" t="str">
        <f aca="false">IF(AND(K1869&lt;&gt;"",TRIM(I1869&amp;"")&lt;&gt;""),K1869,"")</f>
        <v/>
      </c>
    </row>
    <row r="1870" customFormat="false" ht="15" hidden="false" customHeight="false" outlineLevel="0" collapsed="false">
      <c r="A1870" s="9"/>
      <c r="B1870" s="4"/>
      <c r="C1870" s="10"/>
      <c r="D1870" s="11" t="str">
        <f aca="false">IF(K1870="","",IFERROR(INDEX(DECKS!$C$2:$C$1201,MATCH(K1870,DECKS!$B$2:$B$1201,0)),TRIM(I1870&amp;"")))</f>
        <v/>
      </c>
      <c r="E1870" s="4"/>
      <c r="F1870" s="12"/>
      <c r="G1870" s="4"/>
      <c r="H1870" s="13" t="str">
        <f aca="false">IF(OR(N(C1870)=0,N(F1870)=0),"",C1870*F1870)</f>
        <v/>
      </c>
      <c r="I1870" s="4"/>
      <c r="J1870" s="11" t="str">
        <f aca="false">IF(K1870="","",IF(N(C1870)&lt;=0,"Informe a quantidade",IF(IFERROR(INDEX(INVENTÁRIO!$B$2:$B$801,MATCH(K1870,INVENTÁRIO!$A$2:$A$801,0)),"")="(sem nome)","Carta fora dos decks: digite o nome na coluna I (opcional)","")))</f>
        <v/>
      </c>
      <c r="K1870" s="11" t="str">
        <f aca="false">UPPER(TRIM(SUBSTITUTE(B1870&amp;"",CHAR(160)," ")))</f>
        <v/>
      </c>
      <c r="L1870" s="11" t="str">
        <f aca="false">IF(AND(K1870&lt;&gt;"",TRIM(I1870&amp;"")&lt;&gt;""),K1870,"")</f>
        <v/>
      </c>
    </row>
    <row r="1871" customFormat="false" ht="15" hidden="false" customHeight="false" outlineLevel="0" collapsed="false">
      <c r="A1871" s="9"/>
      <c r="B1871" s="4"/>
      <c r="C1871" s="10"/>
      <c r="D1871" s="11" t="str">
        <f aca="false">IF(K1871="","",IFERROR(INDEX(DECKS!$C$2:$C$1201,MATCH(K1871,DECKS!$B$2:$B$1201,0)),TRIM(I1871&amp;"")))</f>
        <v/>
      </c>
      <c r="E1871" s="4"/>
      <c r="F1871" s="12"/>
      <c r="G1871" s="4"/>
      <c r="H1871" s="13" t="str">
        <f aca="false">IF(OR(N(C1871)=0,N(F1871)=0),"",C1871*F1871)</f>
        <v/>
      </c>
      <c r="I1871" s="4"/>
      <c r="J1871" s="11" t="str">
        <f aca="false">IF(K1871="","",IF(N(C1871)&lt;=0,"Informe a quantidade",IF(IFERROR(INDEX(INVENTÁRIO!$B$2:$B$801,MATCH(K1871,INVENTÁRIO!$A$2:$A$801,0)),"")="(sem nome)","Carta fora dos decks: digite o nome na coluna I (opcional)","")))</f>
        <v/>
      </c>
      <c r="K1871" s="11" t="str">
        <f aca="false">UPPER(TRIM(SUBSTITUTE(B1871&amp;"",CHAR(160)," ")))</f>
        <v/>
      </c>
      <c r="L1871" s="11" t="str">
        <f aca="false">IF(AND(K1871&lt;&gt;"",TRIM(I1871&amp;"")&lt;&gt;""),K1871,"")</f>
        <v/>
      </c>
    </row>
    <row r="1872" customFormat="false" ht="15" hidden="false" customHeight="false" outlineLevel="0" collapsed="false">
      <c r="A1872" s="9"/>
      <c r="B1872" s="4"/>
      <c r="C1872" s="10"/>
      <c r="D1872" s="11" t="str">
        <f aca="false">IF(K1872="","",IFERROR(INDEX(DECKS!$C$2:$C$1201,MATCH(K1872,DECKS!$B$2:$B$1201,0)),TRIM(I1872&amp;"")))</f>
        <v/>
      </c>
      <c r="E1872" s="4"/>
      <c r="F1872" s="12"/>
      <c r="G1872" s="4"/>
      <c r="H1872" s="13" t="str">
        <f aca="false">IF(OR(N(C1872)=0,N(F1872)=0),"",C1872*F1872)</f>
        <v/>
      </c>
      <c r="I1872" s="4"/>
      <c r="J1872" s="11" t="str">
        <f aca="false">IF(K1872="","",IF(N(C1872)&lt;=0,"Informe a quantidade",IF(IFERROR(INDEX(INVENTÁRIO!$B$2:$B$801,MATCH(K1872,INVENTÁRIO!$A$2:$A$801,0)),"")="(sem nome)","Carta fora dos decks: digite o nome na coluna I (opcional)","")))</f>
        <v/>
      </c>
      <c r="K1872" s="11" t="str">
        <f aca="false">UPPER(TRIM(SUBSTITUTE(B1872&amp;"",CHAR(160)," ")))</f>
        <v/>
      </c>
      <c r="L1872" s="11" t="str">
        <f aca="false">IF(AND(K1872&lt;&gt;"",TRIM(I1872&amp;"")&lt;&gt;""),K1872,"")</f>
        <v/>
      </c>
    </row>
    <row r="1873" customFormat="false" ht="15" hidden="false" customHeight="false" outlineLevel="0" collapsed="false">
      <c r="A1873" s="9"/>
      <c r="B1873" s="4"/>
      <c r="C1873" s="10"/>
      <c r="D1873" s="11" t="str">
        <f aca="false">IF(K1873="","",IFERROR(INDEX(DECKS!$C$2:$C$1201,MATCH(K1873,DECKS!$B$2:$B$1201,0)),TRIM(I1873&amp;"")))</f>
        <v/>
      </c>
      <c r="E1873" s="4"/>
      <c r="F1873" s="12"/>
      <c r="G1873" s="4"/>
      <c r="H1873" s="13" t="str">
        <f aca="false">IF(OR(N(C1873)=0,N(F1873)=0),"",C1873*F1873)</f>
        <v/>
      </c>
      <c r="I1873" s="4"/>
      <c r="J1873" s="11" t="str">
        <f aca="false">IF(K1873="","",IF(N(C1873)&lt;=0,"Informe a quantidade",IF(IFERROR(INDEX(INVENTÁRIO!$B$2:$B$801,MATCH(K1873,INVENTÁRIO!$A$2:$A$801,0)),"")="(sem nome)","Carta fora dos decks: digite o nome na coluna I (opcional)","")))</f>
        <v/>
      </c>
      <c r="K1873" s="11" t="str">
        <f aca="false">UPPER(TRIM(SUBSTITUTE(B1873&amp;"",CHAR(160)," ")))</f>
        <v/>
      </c>
      <c r="L1873" s="11" t="str">
        <f aca="false">IF(AND(K1873&lt;&gt;"",TRIM(I1873&amp;"")&lt;&gt;""),K1873,"")</f>
        <v/>
      </c>
    </row>
    <row r="1874" customFormat="false" ht="15" hidden="false" customHeight="false" outlineLevel="0" collapsed="false">
      <c r="A1874" s="9"/>
      <c r="B1874" s="4"/>
      <c r="C1874" s="10"/>
      <c r="D1874" s="11" t="str">
        <f aca="false">IF(K1874="","",IFERROR(INDEX(DECKS!$C$2:$C$1201,MATCH(K1874,DECKS!$B$2:$B$1201,0)),TRIM(I1874&amp;"")))</f>
        <v/>
      </c>
      <c r="E1874" s="4"/>
      <c r="F1874" s="12"/>
      <c r="G1874" s="4"/>
      <c r="H1874" s="13" t="str">
        <f aca="false">IF(OR(N(C1874)=0,N(F1874)=0),"",C1874*F1874)</f>
        <v/>
      </c>
      <c r="I1874" s="4"/>
      <c r="J1874" s="11" t="str">
        <f aca="false">IF(K1874="","",IF(N(C1874)&lt;=0,"Informe a quantidade",IF(IFERROR(INDEX(INVENTÁRIO!$B$2:$B$801,MATCH(K1874,INVENTÁRIO!$A$2:$A$801,0)),"")="(sem nome)","Carta fora dos decks: digite o nome na coluna I (opcional)","")))</f>
        <v/>
      </c>
      <c r="K1874" s="11" t="str">
        <f aca="false">UPPER(TRIM(SUBSTITUTE(B1874&amp;"",CHAR(160)," ")))</f>
        <v/>
      </c>
      <c r="L1874" s="11" t="str">
        <f aca="false">IF(AND(K1874&lt;&gt;"",TRIM(I1874&amp;"")&lt;&gt;""),K1874,"")</f>
        <v/>
      </c>
    </row>
    <row r="1875" customFormat="false" ht="15" hidden="false" customHeight="false" outlineLevel="0" collapsed="false">
      <c r="A1875" s="9"/>
      <c r="B1875" s="4"/>
      <c r="C1875" s="10"/>
      <c r="D1875" s="11" t="str">
        <f aca="false">IF(K1875="","",IFERROR(INDEX(DECKS!$C$2:$C$1201,MATCH(K1875,DECKS!$B$2:$B$1201,0)),TRIM(I1875&amp;"")))</f>
        <v/>
      </c>
      <c r="E1875" s="4"/>
      <c r="F1875" s="12"/>
      <c r="G1875" s="4"/>
      <c r="H1875" s="13" t="str">
        <f aca="false">IF(OR(N(C1875)=0,N(F1875)=0),"",C1875*F1875)</f>
        <v/>
      </c>
      <c r="I1875" s="4"/>
      <c r="J1875" s="11" t="str">
        <f aca="false">IF(K1875="","",IF(N(C1875)&lt;=0,"Informe a quantidade",IF(IFERROR(INDEX(INVENTÁRIO!$B$2:$B$801,MATCH(K1875,INVENTÁRIO!$A$2:$A$801,0)),"")="(sem nome)","Carta fora dos decks: digite o nome na coluna I (opcional)","")))</f>
        <v/>
      </c>
      <c r="K1875" s="11" t="str">
        <f aca="false">UPPER(TRIM(SUBSTITUTE(B1875&amp;"",CHAR(160)," ")))</f>
        <v/>
      </c>
      <c r="L1875" s="11" t="str">
        <f aca="false">IF(AND(K1875&lt;&gt;"",TRIM(I1875&amp;"")&lt;&gt;""),K1875,"")</f>
        <v/>
      </c>
    </row>
    <row r="1876" customFormat="false" ht="15" hidden="false" customHeight="false" outlineLevel="0" collapsed="false">
      <c r="A1876" s="9"/>
      <c r="B1876" s="4"/>
      <c r="C1876" s="10"/>
      <c r="D1876" s="11" t="str">
        <f aca="false">IF(K1876="","",IFERROR(INDEX(DECKS!$C$2:$C$1201,MATCH(K1876,DECKS!$B$2:$B$1201,0)),TRIM(I1876&amp;"")))</f>
        <v/>
      </c>
      <c r="E1876" s="4"/>
      <c r="F1876" s="12"/>
      <c r="G1876" s="4"/>
      <c r="H1876" s="13" t="str">
        <f aca="false">IF(OR(N(C1876)=0,N(F1876)=0),"",C1876*F1876)</f>
        <v/>
      </c>
      <c r="I1876" s="4"/>
      <c r="J1876" s="11" t="str">
        <f aca="false">IF(K1876="","",IF(N(C1876)&lt;=0,"Informe a quantidade",IF(IFERROR(INDEX(INVENTÁRIO!$B$2:$B$801,MATCH(K1876,INVENTÁRIO!$A$2:$A$801,0)),"")="(sem nome)","Carta fora dos decks: digite o nome na coluna I (opcional)","")))</f>
        <v/>
      </c>
      <c r="K1876" s="11" t="str">
        <f aca="false">UPPER(TRIM(SUBSTITUTE(B1876&amp;"",CHAR(160)," ")))</f>
        <v/>
      </c>
      <c r="L1876" s="11" t="str">
        <f aca="false">IF(AND(K1876&lt;&gt;"",TRIM(I1876&amp;"")&lt;&gt;""),K1876,"")</f>
        <v/>
      </c>
    </row>
    <row r="1877" customFormat="false" ht="15" hidden="false" customHeight="false" outlineLevel="0" collapsed="false">
      <c r="A1877" s="9"/>
      <c r="B1877" s="4"/>
      <c r="C1877" s="10"/>
      <c r="D1877" s="11" t="str">
        <f aca="false">IF(K1877="","",IFERROR(INDEX(DECKS!$C$2:$C$1201,MATCH(K1877,DECKS!$B$2:$B$1201,0)),TRIM(I1877&amp;"")))</f>
        <v/>
      </c>
      <c r="E1877" s="4"/>
      <c r="F1877" s="12"/>
      <c r="G1877" s="4"/>
      <c r="H1877" s="13" t="str">
        <f aca="false">IF(OR(N(C1877)=0,N(F1877)=0),"",C1877*F1877)</f>
        <v/>
      </c>
      <c r="I1877" s="4"/>
      <c r="J1877" s="11" t="str">
        <f aca="false">IF(K1877="","",IF(N(C1877)&lt;=0,"Informe a quantidade",IF(IFERROR(INDEX(INVENTÁRIO!$B$2:$B$801,MATCH(K1877,INVENTÁRIO!$A$2:$A$801,0)),"")="(sem nome)","Carta fora dos decks: digite o nome na coluna I (opcional)","")))</f>
        <v/>
      </c>
      <c r="K1877" s="11" t="str">
        <f aca="false">UPPER(TRIM(SUBSTITUTE(B1877&amp;"",CHAR(160)," ")))</f>
        <v/>
      </c>
      <c r="L1877" s="11" t="str">
        <f aca="false">IF(AND(K1877&lt;&gt;"",TRIM(I1877&amp;"")&lt;&gt;""),K1877,"")</f>
        <v/>
      </c>
    </row>
    <row r="1878" customFormat="false" ht="15" hidden="false" customHeight="false" outlineLevel="0" collapsed="false">
      <c r="A1878" s="9"/>
      <c r="B1878" s="4"/>
      <c r="C1878" s="10"/>
      <c r="D1878" s="11" t="str">
        <f aca="false">IF(K1878="","",IFERROR(INDEX(DECKS!$C$2:$C$1201,MATCH(K1878,DECKS!$B$2:$B$1201,0)),TRIM(I1878&amp;"")))</f>
        <v/>
      </c>
      <c r="E1878" s="4"/>
      <c r="F1878" s="12"/>
      <c r="G1878" s="4"/>
      <c r="H1878" s="13" t="str">
        <f aca="false">IF(OR(N(C1878)=0,N(F1878)=0),"",C1878*F1878)</f>
        <v/>
      </c>
      <c r="I1878" s="4"/>
      <c r="J1878" s="11" t="str">
        <f aca="false">IF(K1878="","",IF(N(C1878)&lt;=0,"Informe a quantidade",IF(IFERROR(INDEX(INVENTÁRIO!$B$2:$B$801,MATCH(K1878,INVENTÁRIO!$A$2:$A$801,0)),"")="(sem nome)","Carta fora dos decks: digite o nome na coluna I (opcional)","")))</f>
        <v/>
      </c>
      <c r="K1878" s="11" t="str">
        <f aca="false">UPPER(TRIM(SUBSTITUTE(B1878&amp;"",CHAR(160)," ")))</f>
        <v/>
      </c>
      <c r="L1878" s="11" t="str">
        <f aca="false">IF(AND(K1878&lt;&gt;"",TRIM(I1878&amp;"")&lt;&gt;""),K1878,"")</f>
        <v/>
      </c>
    </row>
    <row r="1879" customFormat="false" ht="15" hidden="false" customHeight="false" outlineLevel="0" collapsed="false">
      <c r="A1879" s="9"/>
      <c r="B1879" s="4"/>
      <c r="C1879" s="10"/>
      <c r="D1879" s="11" t="str">
        <f aca="false">IF(K1879="","",IFERROR(INDEX(DECKS!$C$2:$C$1201,MATCH(K1879,DECKS!$B$2:$B$1201,0)),TRIM(I1879&amp;"")))</f>
        <v/>
      </c>
      <c r="E1879" s="4"/>
      <c r="F1879" s="12"/>
      <c r="G1879" s="4"/>
      <c r="H1879" s="13" t="str">
        <f aca="false">IF(OR(N(C1879)=0,N(F1879)=0),"",C1879*F1879)</f>
        <v/>
      </c>
      <c r="I1879" s="4"/>
      <c r="J1879" s="11" t="str">
        <f aca="false">IF(K1879="","",IF(N(C1879)&lt;=0,"Informe a quantidade",IF(IFERROR(INDEX(INVENTÁRIO!$B$2:$B$801,MATCH(K1879,INVENTÁRIO!$A$2:$A$801,0)),"")="(sem nome)","Carta fora dos decks: digite o nome na coluna I (opcional)","")))</f>
        <v/>
      </c>
      <c r="K1879" s="11" t="str">
        <f aca="false">UPPER(TRIM(SUBSTITUTE(B1879&amp;"",CHAR(160)," ")))</f>
        <v/>
      </c>
      <c r="L1879" s="11" t="str">
        <f aca="false">IF(AND(K1879&lt;&gt;"",TRIM(I1879&amp;"")&lt;&gt;""),K1879,"")</f>
        <v/>
      </c>
    </row>
    <row r="1880" customFormat="false" ht="15" hidden="false" customHeight="false" outlineLevel="0" collapsed="false">
      <c r="A1880" s="9"/>
      <c r="B1880" s="4"/>
      <c r="C1880" s="10"/>
      <c r="D1880" s="11" t="str">
        <f aca="false">IF(K1880="","",IFERROR(INDEX(DECKS!$C$2:$C$1201,MATCH(K1880,DECKS!$B$2:$B$1201,0)),TRIM(I1880&amp;"")))</f>
        <v/>
      </c>
      <c r="E1880" s="4"/>
      <c r="F1880" s="12"/>
      <c r="G1880" s="4"/>
      <c r="H1880" s="13" t="str">
        <f aca="false">IF(OR(N(C1880)=0,N(F1880)=0),"",C1880*F1880)</f>
        <v/>
      </c>
      <c r="I1880" s="4"/>
      <c r="J1880" s="11" t="str">
        <f aca="false">IF(K1880="","",IF(N(C1880)&lt;=0,"Informe a quantidade",IF(IFERROR(INDEX(INVENTÁRIO!$B$2:$B$801,MATCH(K1880,INVENTÁRIO!$A$2:$A$801,0)),"")="(sem nome)","Carta fora dos decks: digite o nome na coluna I (opcional)","")))</f>
        <v/>
      </c>
      <c r="K1880" s="11" t="str">
        <f aca="false">UPPER(TRIM(SUBSTITUTE(B1880&amp;"",CHAR(160)," ")))</f>
        <v/>
      </c>
      <c r="L1880" s="11" t="str">
        <f aca="false">IF(AND(K1880&lt;&gt;"",TRIM(I1880&amp;"")&lt;&gt;""),K1880,"")</f>
        <v/>
      </c>
    </row>
    <row r="1881" customFormat="false" ht="15" hidden="false" customHeight="false" outlineLevel="0" collapsed="false">
      <c r="A1881" s="9"/>
      <c r="B1881" s="4"/>
      <c r="C1881" s="10"/>
      <c r="D1881" s="11" t="str">
        <f aca="false">IF(K1881="","",IFERROR(INDEX(DECKS!$C$2:$C$1201,MATCH(K1881,DECKS!$B$2:$B$1201,0)),TRIM(I1881&amp;"")))</f>
        <v/>
      </c>
      <c r="E1881" s="4"/>
      <c r="F1881" s="12"/>
      <c r="G1881" s="4"/>
      <c r="H1881" s="13" t="str">
        <f aca="false">IF(OR(N(C1881)=0,N(F1881)=0),"",C1881*F1881)</f>
        <v/>
      </c>
      <c r="I1881" s="4"/>
      <c r="J1881" s="11" t="str">
        <f aca="false">IF(K1881="","",IF(N(C1881)&lt;=0,"Informe a quantidade",IF(IFERROR(INDEX(INVENTÁRIO!$B$2:$B$801,MATCH(K1881,INVENTÁRIO!$A$2:$A$801,0)),"")="(sem nome)","Carta fora dos decks: digite o nome na coluna I (opcional)","")))</f>
        <v/>
      </c>
      <c r="K1881" s="11" t="str">
        <f aca="false">UPPER(TRIM(SUBSTITUTE(B1881&amp;"",CHAR(160)," ")))</f>
        <v/>
      </c>
      <c r="L1881" s="11" t="str">
        <f aca="false">IF(AND(K1881&lt;&gt;"",TRIM(I1881&amp;"")&lt;&gt;""),K1881,"")</f>
        <v/>
      </c>
    </row>
    <row r="1882" customFormat="false" ht="15" hidden="false" customHeight="false" outlineLevel="0" collapsed="false">
      <c r="A1882" s="9"/>
      <c r="B1882" s="4"/>
      <c r="C1882" s="10"/>
      <c r="D1882" s="11" t="str">
        <f aca="false">IF(K1882="","",IFERROR(INDEX(DECKS!$C$2:$C$1201,MATCH(K1882,DECKS!$B$2:$B$1201,0)),TRIM(I1882&amp;"")))</f>
        <v/>
      </c>
      <c r="E1882" s="4"/>
      <c r="F1882" s="12"/>
      <c r="G1882" s="4"/>
      <c r="H1882" s="13" t="str">
        <f aca="false">IF(OR(N(C1882)=0,N(F1882)=0),"",C1882*F1882)</f>
        <v/>
      </c>
      <c r="I1882" s="4"/>
      <c r="J1882" s="11" t="str">
        <f aca="false">IF(K1882="","",IF(N(C1882)&lt;=0,"Informe a quantidade",IF(IFERROR(INDEX(INVENTÁRIO!$B$2:$B$801,MATCH(K1882,INVENTÁRIO!$A$2:$A$801,0)),"")="(sem nome)","Carta fora dos decks: digite o nome na coluna I (opcional)","")))</f>
        <v/>
      </c>
      <c r="K1882" s="11" t="str">
        <f aca="false">UPPER(TRIM(SUBSTITUTE(B1882&amp;"",CHAR(160)," ")))</f>
        <v/>
      </c>
      <c r="L1882" s="11" t="str">
        <f aca="false">IF(AND(K1882&lt;&gt;"",TRIM(I1882&amp;"")&lt;&gt;""),K1882,"")</f>
        <v/>
      </c>
    </row>
    <row r="1883" customFormat="false" ht="15" hidden="false" customHeight="false" outlineLevel="0" collapsed="false">
      <c r="A1883" s="9"/>
      <c r="B1883" s="4"/>
      <c r="C1883" s="10"/>
      <c r="D1883" s="11" t="str">
        <f aca="false">IF(K1883="","",IFERROR(INDEX(DECKS!$C$2:$C$1201,MATCH(K1883,DECKS!$B$2:$B$1201,0)),TRIM(I1883&amp;"")))</f>
        <v/>
      </c>
      <c r="E1883" s="4"/>
      <c r="F1883" s="12"/>
      <c r="G1883" s="4"/>
      <c r="H1883" s="13" t="str">
        <f aca="false">IF(OR(N(C1883)=0,N(F1883)=0),"",C1883*F1883)</f>
        <v/>
      </c>
      <c r="I1883" s="4"/>
      <c r="J1883" s="11" t="str">
        <f aca="false">IF(K1883="","",IF(N(C1883)&lt;=0,"Informe a quantidade",IF(IFERROR(INDEX(INVENTÁRIO!$B$2:$B$801,MATCH(K1883,INVENTÁRIO!$A$2:$A$801,0)),"")="(sem nome)","Carta fora dos decks: digite o nome na coluna I (opcional)","")))</f>
        <v/>
      </c>
      <c r="K1883" s="11" t="str">
        <f aca="false">UPPER(TRIM(SUBSTITUTE(B1883&amp;"",CHAR(160)," ")))</f>
        <v/>
      </c>
      <c r="L1883" s="11" t="str">
        <f aca="false">IF(AND(K1883&lt;&gt;"",TRIM(I1883&amp;"")&lt;&gt;""),K1883,"")</f>
        <v/>
      </c>
    </row>
    <row r="1884" customFormat="false" ht="15" hidden="false" customHeight="false" outlineLevel="0" collapsed="false">
      <c r="A1884" s="9"/>
      <c r="B1884" s="4"/>
      <c r="C1884" s="10"/>
      <c r="D1884" s="11" t="str">
        <f aca="false">IF(K1884="","",IFERROR(INDEX(DECKS!$C$2:$C$1201,MATCH(K1884,DECKS!$B$2:$B$1201,0)),TRIM(I1884&amp;"")))</f>
        <v/>
      </c>
      <c r="E1884" s="4"/>
      <c r="F1884" s="12"/>
      <c r="G1884" s="4"/>
      <c r="H1884" s="13" t="str">
        <f aca="false">IF(OR(N(C1884)=0,N(F1884)=0),"",C1884*F1884)</f>
        <v/>
      </c>
      <c r="I1884" s="4"/>
      <c r="J1884" s="11" t="str">
        <f aca="false">IF(K1884="","",IF(N(C1884)&lt;=0,"Informe a quantidade",IF(IFERROR(INDEX(INVENTÁRIO!$B$2:$B$801,MATCH(K1884,INVENTÁRIO!$A$2:$A$801,0)),"")="(sem nome)","Carta fora dos decks: digite o nome na coluna I (opcional)","")))</f>
        <v/>
      </c>
      <c r="K1884" s="11" t="str">
        <f aca="false">UPPER(TRIM(SUBSTITUTE(B1884&amp;"",CHAR(160)," ")))</f>
        <v/>
      </c>
      <c r="L1884" s="11" t="str">
        <f aca="false">IF(AND(K1884&lt;&gt;"",TRIM(I1884&amp;"")&lt;&gt;""),K1884,"")</f>
        <v/>
      </c>
    </row>
    <row r="1885" customFormat="false" ht="15" hidden="false" customHeight="false" outlineLevel="0" collapsed="false">
      <c r="A1885" s="9"/>
      <c r="B1885" s="4"/>
      <c r="C1885" s="10"/>
      <c r="D1885" s="11" t="str">
        <f aca="false">IF(K1885="","",IFERROR(INDEX(DECKS!$C$2:$C$1201,MATCH(K1885,DECKS!$B$2:$B$1201,0)),TRIM(I1885&amp;"")))</f>
        <v/>
      </c>
      <c r="E1885" s="4"/>
      <c r="F1885" s="12"/>
      <c r="G1885" s="4"/>
      <c r="H1885" s="13" t="str">
        <f aca="false">IF(OR(N(C1885)=0,N(F1885)=0),"",C1885*F1885)</f>
        <v/>
      </c>
      <c r="I1885" s="4"/>
      <c r="J1885" s="11" t="str">
        <f aca="false">IF(K1885="","",IF(N(C1885)&lt;=0,"Informe a quantidade",IF(IFERROR(INDEX(INVENTÁRIO!$B$2:$B$801,MATCH(K1885,INVENTÁRIO!$A$2:$A$801,0)),"")="(sem nome)","Carta fora dos decks: digite o nome na coluna I (opcional)","")))</f>
        <v/>
      </c>
      <c r="K1885" s="11" t="str">
        <f aca="false">UPPER(TRIM(SUBSTITUTE(B1885&amp;"",CHAR(160)," ")))</f>
        <v/>
      </c>
      <c r="L1885" s="11" t="str">
        <f aca="false">IF(AND(K1885&lt;&gt;"",TRIM(I1885&amp;"")&lt;&gt;""),K1885,"")</f>
        <v/>
      </c>
    </row>
    <row r="1886" customFormat="false" ht="15" hidden="false" customHeight="false" outlineLevel="0" collapsed="false">
      <c r="A1886" s="9"/>
      <c r="B1886" s="4"/>
      <c r="C1886" s="10"/>
      <c r="D1886" s="11" t="str">
        <f aca="false">IF(K1886="","",IFERROR(INDEX(DECKS!$C$2:$C$1201,MATCH(K1886,DECKS!$B$2:$B$1201,0)),TRIM(I1886&amp;"")))</f>
        <v/>
      </c>
      <c r="E1886" s="4"/>
      <c r="F1886" s="12"/>
      <c r="G1886" s="4"/>
      <c r="H1886" s="13" t="str">
        <f aca="false">IF(OR(N(C1886)=0,N(F1886)=0),"",C1886*F1886)</f>
        <v/>
      </c>
      <c r="I1886" s="4"/>
      <c r="J1886" s="11" t="str">
        <f aca="false">IF(K1886="","",IF(N(C1886)&lt;=0,"Informe a quantidade",IF(IFERROR(INDEX(INVENTÁRIO!$B$2:$B$801,MATCH(K1886,INVENTÁRIO!$A$2:$A$801,0)),"")="(sem nome)","Carta fora dos decks: digite o nome na coluna I (opcional)","")))</f>
        <v/>
      </c>
      <c r="K1886" s="11" t="str">
        <f aca="false">UPPER(TRIM(SUBSTITUTE(B1886&amp;"",CHAR(160)," ")))</f>
        <v/>
      </c>
      <c r="L1886" s="11" t="str">
        <f aca="false">IF(AND(K1886&lt;&gt;"",TRIM(I1886&amp;"")&lt;&gt;""),K1886,"")</f>
        <v/>
      </c>
    </row>
    <row r="1887" customFormat="false" ht="15" hidden="false" customHeight="false" outlineLevel="0" collapsed="false">
      <c r="A1887" s="9"/>
      <c r="B1887" s="4"/>
      <c r="C1887" s="10"/>
      <c r="D1887" s="11" t="str">
        <f aca="false">IF(K1887="","",IFERROR(INDEX(DECKS!$C$2:$C$1201,MATCH(K1887,DECKS!$B$2:$B$1201,0)),TRIM(I1887&amp;"")))</f>
        <v/>
      </c>
      <c r="E1887" s="4"/>
      <c r="F1887" s="12"/>
      <c r="G1887" s="4"/>
      <c r="H1887" s="13" t="str">
        <f aca="false">IF(OR(N(C1887)=0,N(F1887)=0),"",C1887*F1887)</f>
        <v/>
      </c>
      <c r="I1887" s="4"/>
      <c r="J1887" s="11" t="str">
        <f aca="false">IF(K1887="","",IF(N(C1887)&lt;=0,"Informe a quantidade",IF(IFERROR(INDEX(INVENTÁRIO!$B$2:$B$801,MATCH(K1887,INVENTÁRIO!$A$2:$A$801,0)),"")="(sem nome)","Carta fora dos decks: digite o nome na coluna I (opcional)","")))</f>
        <v/>
      </c>
      <c r="K1887" s="11" t="str">
        <f aca="false">UPPER(TRIM(SUBSTITUTE(B1887&amp;"",CHAR(160)," ")))</f>
        <v/>
      </c>
      <c r="L1887" s="11" t="str">
        <f aca="false">IF(AND(K1887&lt;&gt;"",TRIM(I1887&amp;"")&lt;&gt;""),K1887,"")</f>
        <v/>
      </c>
    </row>
    <row r="1888" customFormat="false" ht="15" hidden="false" customHeight="false" outlineLevel="0" collapsed="false">
      <c r="A1888" s="9"/>
      <c r="B1888" s="4"/>
      <c r="C1888" s="10"/>
      <c r="D1888" s="11" t="str">
        <f aca="false">IF(K1888="","",IFERROR(INDEX(DECKS!$C$2:$C$1201,MATCH(K1888,DECKS!$B$2:$B$1201,0)),TRIM(I1888&amp;"")))</f>
        <v/>
      </c>
      <c r="E1888" s="4"/>
      <c r="F1888" s="12"/>
      <c r="G1888" s="4"/>
      <c r="H1888" s="13" t="str">
        <f aca="false">IF(OR(N(C1888)=0,N(F1888)=0),"",C1888*F1888)</f>
        <v/>
      </c>
      <c r="I1888" s="4"/>
      <c r="J1888" s="11" t="str">
        <f aca="false">IF(K1888="","",IF(N(C1888)&lt;=0,"Informe a quantidade",IF(IFERROR(INDEX(INVENTÁRIO!$B$2:$B$801,MATCH(K1888,INVENTÁRIO!$A$2:$A$801,0)),"")="(sem nome)","Carta fora dos decks: digite o nome na coluna I (opcional)","")))</f>
        <v/>
      </c>
      <c r="K1888" s="11" t="str">
        <f aca="false">UPPER(TRIM(SUBSTITUTE(B1888&amp;"",CHAR(160)," ")))</f>
        <v/>
      </c>
      <c r="L1888" s="11" t="str">
        <f aca="false">IF(AND(K1888&lt;&gt;"",TRIM(I1888&amp;"")&lt;&gt;""),K1888,"")</f>
        <v/>
      </c>
    </row>
    <row r="1889" customFormat="false" ht="15" hidden="false" customHeight="false" outlineLevel="0" collapsed="false">
      <c r="A1889" s="9"/>
      <c r="B1889" s="4"/>
      <c r="C1889" s="10"/>
      <c r="D1889" s="11" t="str">
        <f aca="false">IF(K1889="","",IFERROR(INDEX(DECKS!$C$2:$C$1201,MATCH(K1889,DECKS!$B$2:$B$1201,0)),TRIM(I1889&amp;"")))</f>
        <v/>
      </c>
      <c r="E1889" s="4"/>
      <c r="F1889" s="12"/>
      <c r="G1889" s="4"/>
      <c r="H1889" s="13" t="str">
        <f aca="false">IF(OR(N(C1889)=0,N(F1889)=0),"",C1889*F1889)</f>
        <v/>
      </c>
      <c r="I1889" s="4"/>
      <c r="J1889" s="11" t="str">
        <f aca="false">IF(K1889="","",IF(N(C1889)&lt;=0,"Informe a quantidade",IF(IFERROR(INDEX(INVENTÁRIO!$B$2:$B$801,MATCH(K1889,INVENTÁRIO!$A$2:$A$801,0)),"")="(sem nome)","Carta fora dos decks: digite o nome na coluna I (opcional)","")))</f>
        <v/>
      </c>
      <c r="K1889" s="11" t="str">
        <f aca="false">UPPER(TRIM(SUBSTITUTE(B1889&amp;"",CHAR(160)," ")))</f>
        <v/>
      </c>
      <c r="L1889" s="11" t="str">
        <f aca="false">IF(AND(K1889&lt;&gt;"",TRIM(I1889&amp;"")&lt;&gt;""),K1889,"")</f>
        <v/>
      </c>
    </row>
    <row r="1890" customFormat="false" ht="15" hidden="false" customHeight="false" outlineLevel="0" collapsed="false">
      <c r="A1890" s="9"/>
      <c r="B1890" s="4"/>
      <c r="C1890" s="10"/>
      <c r="D1890" s="11" t="str">
        <f aca="false">IF(K1890="","",IFERROR(INDEX(DECKS!$C$2:$C$1201,MATCH(K1890,DECKS!$B$2:$B$1201,0)),TRIM(I1890&amp;"")))</f>
        <v/>
      </c>
      <c r="E1890" s="4"/>
      <c r="F1890" s="12"/>
      <c r="G1890" s="4"/>
      <c r="H1890" s="13" t="str">
        <f aca="false">IF(OR(N(C1890)=0,N(F1890)=0),"",C1890*F1890)</f>
        <v/>
      </c>
      <c r="I1890" s="4"/>
      <c r="J1890" s="11" t="str">
        <f aca="false">IF(K1890="","",IF(N(C1890)&lt;=0,"Informe a quantidade",IF(IFERROR(INDEX(INVENTÁRIO!$B$2:$B$801,MATCH(K1890,INVENTÁRIO!$A$2:$A$801,0)),"")="(sem nome)","Carta fora dos decks: digite o nome na coluna I (opcional)","")))</f>
        <v/>
      </c>
      <c r="K1890" s="11" t="str">
        <f aca="false">UPPER(TRIM(SUBSTITUTE(B1890&amp;"",CHAR(160)," ")))</f>
        <v/>
      </c>
      <c r="L1890" s="11" t="str">
        <f aca="false">IF(AND(K1890&lt;&gt;"",TRIM(I1890&amp;"")&lt;&gt;""),K1890,"")</f>
        <v/>
      </c>
    </row>
    <row r="1891" customFormat="false" ht="15" hidden="false" customHeight="false" outlineLevel="0" collapsed="false">
      <c r="A1891" s="9"/>
      <c r="B1891" s="4"/>
      <c r="C1891" s="10"/>
      <c r="D1891" s="11" t="str">
        <f aca="false">IF(K1891="","",IFERROR(INDEX(DECKS!$C$2:$C$1201,MATCH(K1891,DECKS!$B$2:$B$1201,0)),TRIM(I1891&amp;"")))</f>
        <v/>
      </c>
      <c r="E1891" s="4"/>
      <c r="F1891" s="12"/>
      <c r="G1891" s="4"/>
      <c r="H1891" s="13" t="str">
        <f aca="false">IF(OR(N(C1891)=0,N(F1891)=0),"",C1891*F1891)</f>
        <v/>
      </c>
      <c r="I1891" s="4"/>
      <c r="J1891" s="11" t="str">
        <f aca="false">IF(K1891="","",IF(N(C1891)&lt;=0,"Informe a quantidade",IF(IFERROR(INDEX(INVENTÁRIO!$B$2:$B$801,MATCH(K1891,INVENTÁRIO!$A$2:$A$801,0)),"")="(sem nome)","Carta fora dos decks: digite o nome na coluna I (opcional)","")))</f>
        <v/>
      </c>
      <c r="K1891" s="11" t="str">
        <f aca="false">UPPER(TRIM(SUBSTITUTE(B1891&amp;"",CHAR(160)," ")))</f>
        <v/>
      </c>
      <c r="L1891" s="11" t="str">
        <f aca="false">IF(AND(K1891&lt;&gt;"",TRIM(I1891&amp;"")&lt;&gt;""),K1891,"")</f>
        <v/>
      </c>
    </row>
    <row r="1892" customFormat="false" ht="15" hidden="false" customHeight="false" outlineLevel="0" collapsed="false">
      <c r="A1892" s="9"/>
      <c r="B1892" s="4"/>
      <c r="C1892" s="10"/>
      <c r="D1892" s="11" t="str">
        <f aca="false">IF(K1892="","",IFERROR(INDEX(DECKS!$C$2:$C$1201,MATCH(K1892,DECKS!$B$2:$B$1201,0)),TRIM(I1892&amp;"")))</f>
        <v/>
      </c>
      <c r="E1892" s="4"/>
      <c r="F1892" s="12"/>
      <c r="G1892" s="4"/>
      <c r="H1892" s="13" t="str">
        <f aca="false">IF(OR(N(C1892)=0,N(F1892)=0),"",C1892*F1892)</f>
        <v/>
      </c>
      <c r="I1892" s="4"/>
      <c r="J1892" s="11" t="str">
        <f aca="false">IF(K1892="","",IF(N(C1892)&lt;=0,"Informe a quantidade",IF(IFERROR(INDEX(INVENTÁRIO!$B$2:$B$801,MATCH(K1892,INVENTÁRIO!$A$2:$A$801,0)),"")="(sem nome)","Carta fora dos decks: digite o nome na coluna I (opcional)","")))</f>
        <v/>
      </c>
      <c r="K1892" s="11" t="str">
        <f aca="false">UPPER(TRIM(SUBSTITUTE(B1892&amp;"",CHAR(160)," ")))</f>
        <v/>
      </c>
      <c r="L1892" s="11" t="str">
        <f aca="false">IF(AND(K1892&lt;&gt;"",TRIM(I1892&amp;"")&lt;&gt;""),K1892,"")</f>
        <v/>
      </c>
    </row>
    <row r="1893" customFormat="false" ht="15" hidden="false" customHeight="false" outlineLevel="0" collapsed="false">
      <c r="A1893" s="9"/>
      <c r="B1893" s="4"/>
      <c r="C1893" s="10"/>
      <c r="D1893" s="11" t="str">
        <f aca="false">IF(K1893="","",IFERROR(INDEX(DECKS!$C$2:$C$1201,MATCH(K1893,DECKS!$B$2:$B$1201,0)),TRIM(I1893&amp;"")))</f>
        <v/>
      </c>
      <c r="E1893" s="4"/>
      <c r="F1893" s="12"/>
      <c r="G1893" s="4"/>
      <c r="H1893" s="13" t="str">
        <f aca="false">IF(OR(N(C1893)=0,N(F1893)=0),"",C1893*F1893)</f>
        <v/>
      </c>
      <c r="I1893" s="4"/>
      <c r="J1893" s="11" t="str">
        <f aca="false">IF(K1893="","",IF(N(C1893)&lt;=0,"Informe a quantidade",IF(IFERROR(INDEX(INVENTÁRIO!$B$2:$B$801,MATCH(K1893,INVENTÁRIO!$A$2:$A$801,0)),"")="(sem nome)","Carta fora dos decks: digite o nome na coluna I (opcional)","")))</f>
        <v/>
      </c>
      <c r="K1893" s="11" t="str">
        <f aca="false">UPPER(TRIM(SUBSTITUTE(B1893&amp;"",CHAR(160)," ")))</f>
        <v/>
      </c>
      <c r="L1893" s="11" t="str">
        <f aca="false">IF(AND(K1893&lt;&gt;"",TRIM(I1893&amp;"")&lt;&gt;""),K1893,"")</f>
        <v/>
      </c>
    </row>
    <row r="1894" customFormat="false" ht="15" hidden="false" customHeight="false" outlineLevel="0" collapsed="false">
      <c r="A1894" s="9"/>
      <c r="B1894" s="4"/>
      <c r="C1894" s="10"/>
      <c r="D1894" s="11" t="str">
        <f aca="false">IF(K1894="","",IFERROR(INDEX(DECKS!$C$2:$C$1201,MATCH(K1894,DECKS!$B$2:$B$1201,0)),TRIM(I1894&amp;"")))</f>
        <v/>
      </c>
      <c r="E1894" s="4"/>
      <c r="F1894" s="12"/>
      <c r="G1894" s="4"/>
      <c r="H1894" s="13" t="str">
        <f aca="false">IF(OR(N(C1894)=0,N(F1894)=0),"",C1894*F1894)</f>
        <v/>
      </c>
      <c r="I1894" s="4"/>
      <c r="J1894" s="11" t="str">
        <f aca="false">IF(K1894="","",IF(N(C1894)&lt;=0,"Informe a quantidade",IF(IFERROR(INDEX(INVENTÁRIO!$B$2:$B$801,MATCH(K1894,INVENTÁRIO!$A$2:$A$801,0)),"")="(sem nome)","Carta fora dos decks: digite o nome na coluna I (opcional)","")))</f>
        <v/>
      </c>
      <c r="K1894" s="11" t="str">
        <f aca="false">UPPER(TRIM(SUBSTITUTE(B1894&amp;"",CHAR(160)," ")))</f>
        <v/>
      </c>
      <c r="L1894" s="11" t="str">
        <f aca="false">IF(AND(K1894&lt;&gt;"",TRIM(I1894&amp;"")&lt;&gt;""),K1894,"")</f>
        <v/>
      </c>
    </row>
    <row r="1895" customFormat="false" ht="15" hidden="false" customHeight="false" outlineLevel="0" collapsed="false">
      <c r="A1895" s="9"/>
      <c r="B1895" s="4"/>
      <c r="C1895" s="10"/>
      <c r="D1895" s="11" t="str">
        <f aca="false">IF(K1895="","",IFERROR(INDEX(DECKS!$C$2:$C$1201,MATCH(K1895,DECKS!$B$2:$B$1201,0)),TRIM(I1895&amp;"")))</f>
        <v/>
      </c>
      <c r="E1895" s="4"/>
      <c r="F1895" s="12"/>
      <c r="G1895" s="4"/>
      <c r="H1895" s="13" t="str">
        <f aca="false">IF(OR(N(C1895)=0,N(F1895)=0),"",C1895*F1895)</f>
        <v/>
      </c>
      <c r="I1895" s="4"/>
      <c r="J1895" s="11" t="str">
        <f aca="false">IF(K1895="","",IF(N(C1895)&lt;=0,"Informe a quantidade",IF(IFERROR(INDEX(INVENTÁRIO!$B$2:$B$801,MATCH(K1895,INVENTÁRIO!$A$2:$A$801,0)),"")="(sem nome)","Carta fora dos decks: digite o nome na coluna I (opcional)","")))</f>
        <v/>
      </c>
      <c r="K1895" s="11" t="str">
        <f aca="false">UPPER(TRIM(SUBSTITUTE(B1895&amp;"",CHAR(160)," ")))</f>
        <v/>
      </c>
      <c r="L1895" s="11" t="str">
        <f aca="false">IF(AND(K1895&lt;&gt;"",TRIM(I1895&amp;"")&lt;&gt;""),K1895,"")</f>
        <v/>
      </c>
    </row>
    <row r="1896" customFormat="false" ht="15" hidden="false" customHeight="false" outlineLevel="0" collapsed="false">
      <c r="A1896" s="9"/>
      <c r="B1896" s="4"/>
      <c r="C1896" s="10"/>
      <c r="D1896" s="11" t="str">
        <f aca="false">IF(K1896="","",IFERROR(INDEX(DECKS!$C$2:$C$1201,MATCH(K1896,DECKS!$B$2:$B$1201,0)),TRIM(I1896&amp;"")))</f>
        <v/>
      </c>
      <c r="E1896" s="4"/>
      <c r="F1896" s="12"/>
      <c r="G1896" s="4"/>
      <c r="H1896" s="13" t="str">
        <f aca="false">IF(OR(N(C1896)=0,N(F1896)=0),"",C1896*F1896)</f>
        <v/>
      </c>
      <c r="I1896" s="4"/>
      <c r="J1896" s="11" t="str">
        <f aca="false">IF(K1896="","",IF(N(C1896)&lt;=0,"Informe a quantidade",IF(IFERROR(INDEX(INVENTÁRIO!$B$2:$B$801,MATCH(K1896,INVENTÁRIO!$A$2:$A$801,0)),"")="(sem nome)","Carta fora dos decks: digite o nome na coluna I (opcional)","")))</f>
        <v/>
      </c>
      <c r="K1896" s="11" t="str">
        <f aca="false">UPPER(TRIM(SUBSTITUTE(B1896&amp;"",CHAR(160)," ")))</f>
        <v/>
      </c>
      <c r="L1896" s="11" t="str">
        <f aca="false">IF(AND(K1896&lt;&gt;"",TRIM(I1896&amp;"")&lt;&gt;""),K1896,"")</f>
        <v/>
      </c>
    </row>
    <row r="1897" customFormat="false" ht="15" hidden="false" customHeight="false" outlineLevel="0" collapsed="false">
      <c r="A1897" s="9"/>
      <c r="B1897" s="4"/>
      <c r="C1897" s="10"/>
      <c r="D1897" s="11" t="str">
        <f aca="false">IF(K1897="","",IFERROR(INDEX(DECKS!$C$2:$C$1201,MATCH(K1897,DECKS!$B$2:$B$1201,0)),TRIM(I1897&amp;"")))</f>
        <v/>
      </c>
      <c r="E1897" s="4"/>
      <c r="F1897" s="12"/>
      <c r="G1897" s="4"/>
      <c r="H1897" s="13" t="str">
        <f aca="false">IF(OR(N(C1897)=0,N(F1897)=0),"",C1897*F1897)</f>
        <v/>
      </c>
      <c r="I1897" s="4"/>
      <c r="J1897" s="11" t="str">
        <f aca="false">IF(K1897="","",IF(N(C1897)&lt;=0,"Informe a quantidade",IF(IFERROR(INDEX(INVENTÁRIO!$B$2:$B$801,MATCH(K1897,INVENTÁRIO!$A$2:$A$801,0)),"")="(sem nome)","Carta fora dos decks: digite o nome na coluna I (opcional)","")))</f>
        <v/>
      </c>
      <c r="K1897" s="11" t="str">
        <f aca="false">UPPER(TRIM(SUBSTITUTE(B1897&amp;"",CHAR(160)," ")))</f>
        <v/>
      </c>
      <c r="L1897" s="11" t="str">
        <f aca="false">IF(AND(K1897&lt;&gt;"",TRIM(I1897&amp;"")&lt;&gt;""),K1897,"")</f>
        <v/>
      </c>
    </row>
    <row r="1898" customFormat="false" ht="15" hidden="false" customHeight="false" outlineLevel="0" collapsed="false">
      <c r="A1898" s="9"/>
      <c r="B1898" s="4"/>
      <c r="C1898" s="10"/>
      <c r="D1898" s="11" t="str">
        <f aca="false">IF(K1898="","",IFERROR(INDEX(DECKS!$C$2:$C$1201,MATCH(K1898,DECKS!$B$2:$B$1201,0)),TRIM(I1898&amp;"")))</f>
        <v/>
      </c>
      <c r="E1898" s="4"/>
      <c r="F1898" s="12"/>
      <c r="G1898" s="4"/>
      <c r="H1898" s="13" t="str">
        <f aca="false">IF(OR(N(C1898)=0,N(F1898)=0),"",C1898*F1898)</f>
        <v/>
      </c>
      <c r="I1898" s="4"/>
      <c r="J1898" s="11" t="str">
        <f aca="false">IF(K1898="","",IF(N(C1898)&lt;=0,"Informe a quantidade",IF(IFERROR(INDEX(INVENTÁRIO!$B$2:$B$801,MATCH(K1898,INVENTÁRIO!$A$2:$A$801,0)),"")="(sem nome)","Carta fora dos decks: digite o nome na coluna I (opcional)","")))</f>
        <v/>
      </c>
      <c r="K1898" s="11" t="str">
        <f aca="false">UPPER(TRIM(SUBSTITUTE(B1898&amp;"",CHAR(160)," ")))</f>
        <v/>
      </c>
      <c r="L1898" s="11" t="str">
        <f aca="false">IF(AND(K1898&lt;&gt;"",TRIM(I1898&amp;"")&lt;&gt;""),K1898,"")</f>
        <v/>
      </c>
    </row>
    <row r="1899" customFormat="false" ht="15" hidden="false" customHeight="false" outlineLevel="0" collapsed="false">
      <c r="A1899" s="9"/>
      <c r="B1899" s="4"/>
      <c r="C1899" s="10"/>
      <c r="D1899" s="11" t="str">
        <f aca="false">IF(K1899="","",IFERROR(INDEX(DECKS!$C$2:$C$1201,MATCH(K1899,DECKS!$B$2:$B$1201,0)),TRIM(I1899&amp;"")))</f>
        <v/>
      </c>
      <c r="E1899" s="4"/>
      <c r="F1899" s="12"/>
      <c r="G1899" s="4"/>
      <c r="H1899" s="13" t="str">
        <f aca="false">IF(OR(N(C1899)=0,N(F1899)=0),"",C1899*F1899)</f>
        <v/>
      </c>
      <c r="I1899" s="4"/>
      <c r="J1899" s="11" t="str">
        <f aca="false">IF(K1899="","",IF(N(C1899)&lt;=0,"Informe a quantidade",IF(IFERROR(INDEX(INVENTÁRIO!$B$2:$B$801,MATCH(K1899,INVENTÁRIO!$A$2:$A$801,0)),"")="(sem nome)","Carta fora dos decks: digite o nome na coluna I (opcional)","")))</f>
        <v/>
      </c>
      <c r="K1899" s="11" t="str">
        <f aca="false">UPPER(TRIM(SUBSTITUTE(B1899&amp;"",CHAR(160)," ")))</f>
        <v/>
      </c>
      <c r="L1899" s="11" t="str">
        <f aca="false">IF(AND(K1899&lt;&gt;"",TRIM(I1899&amp;"")&lt;&gt;""),K1899,"")</f>
        <v/>
      </c>
    </row>
    <row r="1900" customFormat="false" ht="15" hidden="false" customHeight="false" outlineLevel="0" collapsed="false">
      <c r="A1900" s="9"/>
      <c r="B1900" s="4"/>
      <c r="C1900" s="10"/>
      <c r="D1900" s="11" t="str">
        <f aca="false">IF(K1900="","",IFERROR(INDEX(DECKS!$C$2:$C$1201,MATCH(K1900,DECKS!$B$2:$B$1201,0)),TRIM(I1900&amp;"")))</f>
        <v/>
      </c>
      <c r="E1900" s="4"/>
      <c r="F1900" s="12"/>
      <c r="G1900" s="4"/>
      <c r="H1900" s="13" t="str">
        <f aca="false">IF(OR(N(C1900)=0,N(F1900)=0),"",C1900*F1900)</f>
        <v/>
      </c>
      <c r="I1900" s="4"/>
      <c r="J1900" s="11" t="str">
        <f aca="false">IF(K1900="","",IF(N(C1900)&lt;=0,"Informe a quantidade",IF(IFERROR(INDEX(INVENTÁRIO!$B$2:$B$801,MATCH(K1900,INVENTÁRIO!$A$2:$A$801,0)),"")="(sem nome)","Carta fora dos decks: digite o nome na coluna I (opcional)","")))</f>
        <v/>
      </c>
      <c r="K1900" s="11" t="str">
        <f aca="false">UPPER(TRIM(SUBSTITUTE(B1900&amp;"",CHAR(160)," ")))</f>
        <v/>
      </c>
      <c r="L1900" s="11" t="str">
        <f aca="false">IF(AND(K1900&lt;&gt;"",TRIM(I1900&amp;"")&lt;&gt;""),K1900,"")</f>
        <v/>
      </c>
    </row>
    <row r="1901" customFormat="false" ht="15" hidden="false" customHeight="false" outlineLevel="0" collapsed="false">
      <c r="A1901" s="9"/>
      <c r="B1901" s="4"/>
      <c r="C1901" s="10"/>
      <c r="D1901" s="11" t="str">
        <f aca="false">IF(K1901="","",IFERROR(INDEX(DECKS!$C$2:$C$1201,MATCH(K1901,DECKS!$B$2:$B$1201,0)),TRIM(I1901&amp;"")))</f>
        <v/>
      </c>
      <c r="E1901" s="4"/>
      <c r="F1901" s="12"/>
      <c r="G1901" s="4"/>
      <c r="H1901" s="13" t="str">
        <f aca="false">IF(OR(N(C1901)=0,N(F1901)=0),"",C1901*F1901)</f>
        <v/>
      </c>
      <c r="I1901" s="4"/>
      <c r="J1901" s="11" t="str">
        <f aca="false">IF(K1901="","",IF(N(C1901)&lt;=0,"Informe a quantidade",IF(IFERROR(INDEX(INVENTÁRIO!$B$2:$B$801,MATCH(K1901,INVENTÁRIO!$A$2:$A$801,0)),"")="(sem nome)","Carta fora dos decks: digite o nome na coluna I (opcional)","")))</f>
        <v/>
      </c>
      <c r="K1901" s="11" t="str">
        <f aca="false">UPPER(TRIM(SUBSTITUTE(B1901&amp;"",CHAR(160)," ")))</f>
        <v/>
      </c>
      <c r="L1901" s="11" t="str">
        <f aca="false">IF(AND(K1901&lt;&gt;"",TRIM(I1901&amp;"")&lt;&gt;""),K1901,"")</f>
        <v/>
      </c>
    </row>
    <row r="1902" customFormat="false" ht="15" hidden="false" customHeight="false" outlineLevel="0" collapsed="false">
      <c r="A1902" s="9"/>
      <c r="B1902" s="4"/>
      <c r="C1902" s="10"/>
      <c r="D1902" s="11" t="str">
        <f aca="false">IF(K1902="","",IFERROR(INDEX(DECKS!$C$2:$C$1201,MATCH(K1902,DECKS!$B$2:$B$1201,0)),TRIM(I1902&amp;"")))</f>
        <v/>
      </c>
      <c r="E1902" s="4"/>
      <c r="F1902" s="12"/>
      <c r="G1902" s="4"/>
      <c r="H1902" s="13" t="str">
        <f aca="false">IF(OR(N(C1902)=0,N(F1902)=0),"",C1902*F1902)</f>
        <v/>
      </c>
      <c r="I1902" s="4"/>
      <c r="J1902" s="11" t="str">
        <f aca="false">IF(K1902="","",IF(N(C1902)&lt;=0,"Informe a quantidade",IF(IFERROR(INDEX(INVENTÁRIO!$B$2:$B$801,MATCH(K1902,INVENTÁRIO!$A$2:$A$801,0)),"")="(sem nome)","Carta fora dos decks: digite o nome na coluna I (opcional)","")))</f>
        <v/>
      </c>
      <c r="K1902" s="11" t="str">
        <f aca="false">UPPER(TRIM(SUBSTITUTE(B1902&amp;"",CHAR(160)," ")))</f>
        <v/>
      </c>
      <c r="L1902" s="11" t="str">
        <f aca="false">IF(AND(K1902&lt;&gt;"",TRIM(I1902&amp;"")&lt;&gt;""),K1902,"")</f>
        <v/>
      </c>
    </row>
    <row r="1903" customFormat="false" ht="15" hidden="false" customHeight="false" outlineLevel="0" collapsed="false">
      <c r="A1903" s="9"/>
      <c r="B1903" s="4"/>
      <c r="C1903" s="10"/>
      <c r="D1903" s="11" t="str">
        <f aca="false">IF(K1903="","",IFERROR(INDEX(DECKS!$C$2:$C$1201,MATCH(K1903,DECKS!$B$2:$B$1201,0)),TRIM(I1903&amp;"")))</f>
        <v/>
      </c>
      <c r="E1903" s="4"/>
      <c r="F1903" s="12"/>
      <c r="G1903" s="4"/>
      <c r="H1903" s="13" t="str">
        <f aca="false">IF(OR(N(C1903)=0,N(F1903)=0),"",C1903*F1903)</f>
        <v/>
      </c>
      <c r="I1903" s="4"/>
      <c r="J1903" s="11" t="str">
        <f aca="false">IF(K1903="","",IF(N(C1903)&lt;=0,"Informe a quantidade",IF(IFERROR(INDEX(INVENTÁRIO!$B$2:$B$801,MATCH(K1903,INVENTÁRIO!$A$2:$A$801,0)),"")="(sem nome)","Carta fora dos decks: digite o nome na coluna I (opcional)","")))</f>
        <v/>
      </c>
      <c r="K1903" s="11" t="str">
        <f aca="false">UPPER(TRIM(SUBSTITUTE(B1903&amp;"",CHAR(160)," ")))</f>
        <v/>
      </c>
      <c r="L1903" s="11" t="str">
        <f aca="false">IF(AND(K1903&lt;&gt;"",TRIM(I1903&amp;"")&lt;&gt;""),K1903,"")</f>
        <v/>
      </c>
    </row>
    <row r="1904" customFormat="false" ht="15" hidden="false" customHeight="false" outlineLevel="0" collapsed="false">
      <c r="A1904" s="9"/>
      <c r="B1904" s="4"/>
      <c r="C1904" s="10"/>
      <c r="D1904" s="11" t="str">
        <f aca="false">IF(K1904="","",IFERROR(INDEX(DECKS!$C$2:$C$1201,MATCH(K1904,DECKS!$B$2:$B$1201,0)),TRIM(I1904&amp;"")))</f>
        <v/>
      </c>
      <c r="E1904" s="4"/>
      <c r="F1904" s="12"/>
      <c r="G1904" s="4"/>
      <c r="H1904" s="13" t="str">
        <f aca="false">IF(OR(N(C1904)=0,N(F1904)=0),"",C1904*F1904)</f>
        <v/>
      </c>
      <c r="I1904" s="4"/>
      <c r="J1904" s="11" t="str">
        <f aca="false">IF(K1904="","",IF(N(C1904)&lt;=0,"Informe a quantidade",IF(IFERROR(INDEX(INVENTÁRIO!$B$2:$B$801,MATCH(K1904,INVENTÁRIO!$A$2:$A$801,0)),"")="(sem nome)","Carta fora dos decks: digite o nome na coluna I (opcional)","")))</f>
        <v/>
      </c>
      <c r="K1904" s="11" t="str">
        <f aca="false">UPPER(TRIM(SUBSTITUTE(B1904&amp;"",CHAR(160)," ")))</f>
        <v/>
      </c>
      <c r="L1904" s="11" t="str">
        <f aca="false">IF(AND(K1904&lt;&gt;"",TRIM(I1904&amp;"")&lt;&gt;""),K1904,"")</f>
        <v/>
      </c>
    </row>
    <row r="1905" customFormat="false" ht="15" hidden="false" customHeight="false" outlineLevel="0" collapsed="false">
      <c r="A1905" s="9"/>
      <c r="B1905" s="4"/>
      <c r="C1905" s="10"/>
      <c r="D1905" s="11" t="str">
        <f aca="false">IF(K1905="","",IFERROR(INDEX(DECKS!$C$2:$C$1201,MATCH(K1905,DECKS!$B$2:$B$1201,0)),TRIM(I1905&amp;"")))</f>
        <v/>
      </c>
      <c r="E1905" s="4"/>
      <c r="F1905" s="12"/>
      <c r="G1905" s="4"/>
      <c r="H1905" s="13" t="str">
        <f aca="false">IF(OR(N(C1905)=0,N(F1905)=0),"",C1905*F1905)</f>
        <v/>
      </c>
      <c r="I1905" s="4"/>
      <c r="J1905" s="11" t="str">
        <f aca="false">IF(K1905="","",IF(N(C1905)&lt;=0,"Informe a quantidade",IF(IFERROR(INDEX(INVENTÁRIO!$B$2:$B$801,MATCH(K1905,INVENTÁRIO!$A$2:$A$801,0)),"")="(sem nome)","Carta fora dos decks: digite o nome na coluna I (opcional)","")))</f>
        <v/>
      </c>
      <c r="K1905" s="11" t="str">
        <f aca="false">UPPER(TRIM(SUBSTITUTE(B1905&amp;"",CHAR(160)," ")))</f>
        <v/>
      </c>
      <c r="L1905" s="11" t="str">
        <f aca="false">IF(AND(K1905&lt;&gt;"",TRIM(I1905&amp;"")&lt;&gt;""),K1905,"")</f>
        <v/>
      </c>
    </row>
    <row r="1906" customFormat="false" ht="15" hidden="false" customHeight="false" outlineLevel="0" collapsed="false">
      <c r="A1906" s="9"/>
      <c r="B1906" s="4"/>
      <c r="C1906" s="10"/>
      <c r="D1906" s="11" t="str">
        <f aca="false">IF(K1906="","",IFERROR(INDEX(DECKS!$C$2:$C$1201,MATCH(K1906,DECKS!$B$2:$B$1201,0)),TRIM(I1906&amp;"")))</f>
        <v/>
      </c>
      <c r="E1906" s="4"/>
      <c r="F1906" s="12"/>
      <c r="G1906" s="4"/>
      <c r="H1906" s="13" t="str">
        <f aca="false">IF(OR(N(C1906)=0,N(F1906)=0),"",C1906*F1906)</f>
        <v/>
      </c>
      <c r="I1906" s="4"/>
      <c r="J1906" s="11" t="str">
        <f aca="false">IF(K1906="","",IF(N(C1906)&lt;=0,"Informe a quantidade",IF(IFERROR(INDEX(INVENTÁRIO!$B$2:$B$801,MATCH(K1906,INVENTÁRIO!$A$2:$A$801,0)),"")="(sem nome)","Carta fora dos decks: digite o nome na coluna I (opcional)","")))</f>
        <v/>
      </c>
      <c r="K1906" s="11" t="str">
        <f aca="false">UPPER(TRIM(SUBSTITUTE(B1906&amp;"",CHAR(160)," ")))</f>
        <v/>
      </c>
      <c r="L1906" s="11" t="str">
        <f aca="false">IF(AND(K1906&lt;&gt;"",TRIM(I1906&amp;"")&lt;&gt;""),K1906,"")</f>
        <v/>
      </c>
    </row>
    <row r="1907" customFormat="false" ht="15" hidden="false" customHeight="false" outlineLevel="0" collapsed="false">
      <c r="A1907" s="9"/>
      <c r="B1907" s="4"/>
      <c r="C1907" s="10"/>
      <c r="D1907" s="11" t="str">
        <f aca="false">IF(K1907="","",IFERROR(INDEX(DECKS!$C$2:$C$1201,MATCH(K1907,DECKS!$B$2:$B$1201,0)),TRIM(I1907&amp;"")))</f>
        <v/>
      </c>
      <c r="E1907" s="4"/>
      <c r="F1907" s="12"/>
      <c r="G1907" s="4"/>
      <c r="H1907" s="13" t="str">
        <f aca="false">IF(OR(N(C1907)=0,N(F1907)=0),"",C1907*F1907)</f>
        <v/>
      </c>
      <c r="I1907" s="4"/>
      <c r="J1907" s="11" t="str">
        <f aca="false">IF(K1907="","",IF(N(C1907)&lt;=0,"Informe a quantidade",IF(IFERROR(INDEX(INVENTÁRIO!$B$2:$B$801,MATCH(K1907,INVENTÁRIO!$A$2:$A$801,0)),"")="(sem nome)","Carta fora dos decks: digite o nome na coluna I (opcional)","")))</f>
        <v/>
      </c>
      <c r="K1907" s="11" t="str">
        <f aca="false">UPPER(TRIM(SUBSTITUTE(B1907&amp;"",CHAR(160)," ")))</f>
        <v/>
      </c>
      <c r="L1907" s="11" t="str">
        <f aca="false">IF(AND(K1907&lt;&gt;"",TRIM(I1907&amp;"")&lt;&gt;""),K1907,"")</f>
        <v/>
      </c>
    </row>
    <row r="1908" customFormat="false" ht="15" hidden="false" customHeight="false" outlineLevel="0" collapsed="false">
      <c r="A1908" s="9"/>
      <c r="B1908" s="4"/>
      <c r="C1908" s="10"/>
      <c r="D1908" s="11" t="str">
        <f aca="false">IF(K1908="","",IFERROR(INDEX(DECKS!$C$2:$C$1201,MATCH(K1908,DECKS!$B$2:$B$1201,0)),TRIM(I1908&amp;"")))</f>
        <v/>
      </c>
      <c r="E1908" s="4"/>
      <c r="F1908" s="12"/>
      <c r="G1908" s="4"/>
      <c r="H1908" s="13" t="str">
        <f aca="false">IF(OR(N(C1908)=0,N(F1908)=0),"",C1908*F1908)</f>
        <v/>
      </c>
      <c r="I1908" s="4"/>
      <c r="J1908" s="11" t="str">
        <f aca="false">IF(K1908="","",IF(N(C1908)&lt;=0,"Informe a quantidade",IF(IFERROR(INDEX(INVENTÁRIO!$B$2:$B$801,MATCH(K1908,INVENTÁRIO!$A$2:$A$801,0)),"")="(sem nome)","Carta fora dos decks: digite o nome na coluna I (opcional)","")))</f>
        <v/>
      </c>
      <c r="K1908" s="11" t="str">
        <f aca="false">UPPER(TRIM(SUBSTITUTE(B1908&amp;"",CHAR(160)," ")))</f>
        <v/>
      </c>
      <c r="L1908" s="11" t="str">
        <f aca="false">IF(AND(K1908&lt;&gt;"",TRIM(I1908&amp;"")&lt;&gt;""),K1908,"")</f>
        <v/>
      </c>
    </row>
    <row r="1909" customFormat="false" ht="15" hidden="false" customHeight="false" outlineLevel="0" collapsed="false">
      <c r="A1909" s="9"/>
      <c r="B1909" s="4"/>
      <c r="C1909" s="10"/>
      <c r="D1909" s="11" t="str">
        <f aca="false">IF(K1909="","",IFERROR(INDEX(DECKS!$C$2:$C$1201,MATCH(K1909,DECKS!$B$2:$B$1201,0)),TRIM(I1909&amp;"")))</f>
        <v/>
      </c>
      <c r="E1909" s="4"/>
      <c r="F1909" s="12"/>
      <c r="G1909" s="4"/>
      <c r="H1909" s="13" t="str">
        <f aca="false">IF(OR(N(C1909)=0,N(F1909)=0),"",C1909*F1909)</f>
        <v/>
      </c>
      <c r="I1909" s="4"/>
      <c r="J1909" s="11" t="str">
        <f aca="false">IF(K1909="","",IF(N(C1909)&lt;=0,"Informe a quantidade",IF(IFERROR(INDEX(INVENTÁRIO!$B$2:$B$801,MATCH(K1909,INVENTÁRIO!$A$2:$A$801,0)),"")="(sem nome)","Carta fora dos decks: digite o nome na coluna I (opcional)","")))</f>
        <v/>
      </c>
      <c r="K1909" s="11" t="str">
        <f aca="false">UPPER(TRIM(SUBSTITUTE(B1909&amp;"",CHAR(160)," ")))</f>
        <v/>
      </c>
      <c r="L1909" s="11" t="str">
        <f aca="false">IF(AND(K1909&lt;&gt;"",TRIM(I1909&amp;"")&lt;&gt;""),K1909,"")</f>
        <v/>
      </c>
    </row>
    <row r="1910" customFormat="false" ht="15" hidden="false" customHeight="false" outlineLevel="0" collapsed="false">
      <c r="A1910" s="9"/>
      <c r="B1910" s="4"/>
      <c r="C1910" s="10"/>
      <c r="D1910" s="11" t="str">
        <f aca="false">IF(K1910="","",IFERROR(INDEX(DECKS!$C$2:$C$1201,MATCH(K1910,DECKS!$B$2:$B$1201,0)),TRIM(I1910&amp;"")))</f>
        <v/>
      </c>
      <c r="E1910" s="4"/>
      <c r="F1910" s="12"/>
      <c r="G1910" s="4"/>
      <c r="H1910" s="13" t="str">
        <f aca="false">IF(OR(N(C1910)=0,N(F1910)=0),"",C1910*F1910)</f>
        <v/>
      </c>
      <c r="I1910" s="4"/>
      <c r="J1910" s="11" t="str">
        <f aca="false">IF(K1910="","",IF(N(C1910)&lt;=0,"Informe a quantidade",IF(IFERROR(INDEX(INVENTÁRIO!$B$2:$B$801,MATCH(K1910,INVENTÁRIO!$A$2:$A$801,0)),"")="(sem nome)","Carta fora dos decks: digite o nome na coluna I (opcional)","")))</f>
        <v/>
      </c>
      <c r="K1910" s="11" t="str">
        <f aca="false">UPPER(TRIM(SUBSTITUTE(B1910&amp;"",CHAR(160)," ")))</f>
        <v/>
      </c>
      <c r="L1910" s="11" t="str">
        <f aca="false">IF(AND(K1910&lt;&gt;"",TRIM(I1910&amp;"")&lt;&gt;""),K1910,"")</f>
        <v/>
      </c>
    </row>
    <row r="1911" customFormat="false" ht="15" hidden="false" customHeight="false" outlineLevel="0" collapsed="false">
      <c r="A1911" s="9"/>
      <c r="B1911" s="4"/>
      <c r="C1911" s="10"/>
      <c r="D1911" s="11" t="str">
        <f aca="false">IF(K1911="","",IFERROR(INDEX(DECKS!$C$2:$C$1201,MATCH(K1911,DECKS!$B$2:$B$1201,0)),TRIM(I1911&amp;"")))</f>
        <v/>
      </c>
      <c r="E1911" s="4"/>
      <c r="F1911" s="12"/>
      <c r="G1911" s="4"/>
      <c r="H1911" s="13" t="str">
        <f aca="false">IF(OR(N(C1911)=0,N(F1911)=0),"",C1911*F1911)</f>
        <v/>
      </c>
      <c r="I1911" s="4"/>
      <c r="J1911" s="11" t="str">
        <f aca="false">IF(K1911="","",IF(N(C1911)&lt;=0,"Informe a quantidade",IF(IFERROR(INDEX(INVENTÁRIO!$B$2:$B$801,MATCH(K1911,INVENTÁRIO!$A$2:$A$801,0)),"")="(sem nome)","Carta fora dos decks: digite o nome na coluna I (opcional)","")))</f>
        <v/>
      </c>
      <c r="K1911" s="11" t="str">
        <f aca="false">UPPER(TRIM(SUBSTITUTE(B1911&amp;"",CHAR(160)," ")))</f>
        <v/>
      </c>
      <c r="L1911" s="11" t="str">
        <f aca="false">IF(AND(K1911&lt;&gt;"",TRIM(I1911&amp;"")&lt;&gt;""),K1911,"")</f>
        <v/>
      </c>
    </row>
    <row r="1912" customFormat="false" ht="15" hidden="false" customHeight="false" outlineLevel="0" collapsed="false">
      <c r="A1912" s="9"/>
      <c r="B1912" s="4"/>
      <c r="C1912" s="10"/>
      <c r="D1912" s="11" t="str">
        <f aca="false">IF(K1912="","",IFERROR(INDEX(DECKS!$C$2:$C$1201,MATCH(K1912,DECKS!$B$2:$B$1201,0)),TRIM(I1912&amp;"")))</f>
        <v/>
      </c>
      <c r="E1912" s="4"/>
      <c r="F1912" s="12"/>
      <c r="G1912" s="4"/>
      <c r="H1912" s="13" t="str">
        <f aca="false">IF(OR(N(C1912)=0,N(F1912)=0),"",C1912*F1912)</f>
        <v/>
      </c>
      <c r="I1912" s="4"/>
      <c r="J1912" s="11" t="str">
        <f aca="false">IF(K1912="","",IF(N(C1912)&lt;=0,"Informe a quantidade",IF(IFERROR(INDEX(INVENTÁRIO!$B$2:$B$801,MATCH(K1912,INVENTÁRIO!$A$2:$A$801,0)),"")="(sem nome)","Carta fora dos decks: digite o nome na coluna I (opcional)","")))</f>
        <v/>
      </c>
      <c r="K1912" s="11" t="str">
        <f aca="false">UPPER(TRIM(SUBSTITUTE(B1912&amp;"",CHAR(160)," ")))</f>
        <v/>
      </c>
      <c r="L1912" s="11" t="str">
        <f aca="false">IF(AND(K1912&lt;&gt;"",TRIM(I1912&amp;"")&lt;&gt;""),K1912,"")</f>
        <v/>
      </c>
    </row>
    <row r="1913" customFormat="false" ht="15" hidden="false" customHeight="false" outlineLevel="0" collapsed="false">
      <c r="A1913" s="9"/>
      <c r="B1913" s="4"/>
      <c r="C1913" s="10"/>
      <c r="D1913" s="11" t="str">
        <f aca="false">IF(K1913="","",IFERROR(INDEX(DECKS!$C$2:$C$1201,MATCH(K1913,DECKS!$B$2:$B$1201,0)),TRIM(I1913&amp;"")))</f>
        <v/>
      </c>
      <c r="E1913" s="4"/>
      <c r="F1913" s="12"/>
      <c r="G1913" s="4"/>
      <c r="H1913" s="13" t="str">
        <f aca="false">IF(OR(N(C1913)=0,N(F1913)=0),"",C1913*F1913)</f>
        <v/>
      </c>
      <c r="I1913" s="4"/>
      <c r="J1913" s="11" t="str">
        <f aca="false">IF(K1913="","",IF(N(C1913)&lt;=0,"Informe a quantidade",IF(IFERROR(INDEX(INVENTÁRIO!$B$2:$B$801,MATCH(K1913,INVENTÁRIO!$A$2:$A$801,0)),"")="(sem nome)","Carta fora dos decks: digite o nome na coluna I (opcional)","")))</f>
        <v/>
      </c>
      <c r="K1913" s="11" t="str">
        <f aca="false">UPPER(TRIM(SUBSTITUTE(B1913&amp;"",CHAR(160)," ")))</f>
        <v/>
      </c>
      <c r="L1913" s="11" t="str">
        <f aca="false">IF(AND(K1913&lt;&gt;"",TRIM(I1913&amp;"")&lt;&gt;""),K1913,"")</f>
        <v/>
      </c>
    </row>
    <row r="1914" customFormat="false" ht="15" hidden="false" customHeight="false" outlineLevel="0" collapsed="false">
      <c r="A1914" s="9"/>
      <c r="B1914" s="4"/>
      <c r="C1914" s="10"/>
      <c r="D1914" s="11" t="str">
        <f aca="false">IF(K1914="","",IFERROR(INDEX(DECKS!$C$2:$C$1201,MATCH(K1914,DECKS!$B$2:$B$1201,0)),TRIM(I1914&amp;"")))</f>
        <v/>
      </c>
      <c r="E1914" s="4"/>
      <c r="F1914" s="12"/>
      <c r="G1914" s="4"/>
      <c r="H1914" s="13" t="str">
        <f aca="false">IF(OR(N(C1914)=0,N(F1914)=0),"",C1914*F1914)</f>
        <v/>
      </c>
      <c r="I1914" s="4"/>
      <c r="J1914" s="11" t="str">
        <f aca="false">IF(K1914="","",IF(N(C1914)&lt;=0,"Informe a quantidade",IF(IFERROR(INDEX(INVENTÁRIO!$B$2:$B$801,MATCH(K1914,INVENTÁRIO!$A$2:$A$801,0)),"")="(sem nome)","Carta fora dos decks: digite o nome na coluna I (opcional)","")))</f>
        <v/>
      </c>
      <c r="K1914" s="11" t="str">
        <f aca="false">UPPER(TRIM(SUBSTITUTE(B1914&amp;"",CHAR(160)," ")))</f>
        <v/>
      </c>
      <c r="L1914" s="11" t="str">
        <f aca="false">IF(AND(K1914&lt;&gt;"",TRIM(I1914&amp;"")&lt;&gt;""),K1914,"")</f>
        <v/>
      </c>
    </row>
    <row r="1915" customFormat="false" ht="15" hidden="false" customHeight="false" outlineLevel="0" collapsed="false">
      <c r="A1915" s="9"/>
      <c r="B1915" s="4"/>
      <c r="C1915" s="10"/>
      <c r="D1915" s="11" t="str">
        <f aca="false">IF(K1915="","",IFERROR(INDEX(DECKS!$C$2:$C$1201,MATCH(K1915,DECKS!$B$2:$B$1201,0)),TRIM(I1915&amp;"")))</f>
        <v/>
      </c>
      <c r="E1915" s="4"/>
      <c r="F1915" s="12"/>
      <c r="G1915" s="4"/>
      <c r="H1915" s="13" t="str">
        <f aca="false">IF(OR(N(C1915)=0,N(F1915)=0),"",C1915*F1915)</f>
        <v/>
      </c>
      <c r="I1915" s="4"/>
      <c r="J1915" s="11" t="str">
        <f aca="false">IF(K1915="","",IF(N(C1915)&lt;=0,"Informe a quantidade",IF(IFERROR(INDEX(INVENTÁRIO!$B$2:$B$801,MATCH(K1915,INVENTÁRIO!$A$2:$A$801,0)),"")="(sem nome)","Carta fora dos decks: digite o nome na coluna I (opcional)","")))</f>
        <v/>
      </c>
      <c r="K1915" s="11" t="str">
        <f aca="false">UPPER(TRIM(SUBSTITUTE(B1915&amp;"",CHAR(160)," ")))</f>
        <v/>
      </c>
      <c r="L1915" s="11" t="str">
        <f aca="false">IF(AND(K1915&lt;&gt;"",TRIM(I1915&amp;"")&lt;&gt;""),K1915,"")</f>
        <v/>
      </c>
    </row>
    <row r="1916" customFormat="false" ht="15" hidden="false" customHeight="false" outlineLevel="0" collapsed="false">
      <c r="A1916" s="9"/>
      <c r="B1916" s="4"/>
      <c r="C1916" s="10"/>
      <c r="D1916" s="11" t="str">
        <f aca="false">IF(K1916="","",IFERROR(INDEX(DECKS!$C$2:$C$1201,MATCH(K1916,DECKS!$B$2:$B$1201,0)),TRIM(I1916&amp;"")))</f>
        <v/>
      </c>
      <c r="E1916" s="4"/>
      <c r="F1916" s="12"/>
      <c r="G1916" s="4"/>
      <c r="H1916" s="13" t="str">
        <f aca="false">IF(OR(N(C1916)=0,N(F1916)=0),"",C1916*F1916)</f>
        <v/>
      </c>
      <c r="I1916" s="4"/>
      <c r="J1916" s="11" t="str">
        <f aca="false">IF(K1916="","",IF(N(C1916)&lt;=0,"Informe a quantidade",IF(IFERROR(INDEX(INVENTÁRIO!$B$2:$B$801,MATCH(K1916,INVENTÁRIO!$A$2:$A$801,0)),"")="(sem nome)","Carta fora dos decks: digite o nome na coluna I (opcional)","")))</f>
        <v/>
      </c>
      <c r="K1916" s="11" t="str">
        <f aca="false">UPPER(TRIM(SUBSTITUTE(B1916&amp;"",CHAR(160)," ")))</f>
        <v/>
      </c>
      <c r="L1916" s="11" t="str">
        <f aca="false">IF(AND(K1916&lt;&gt;"",TRIM(I1916&amp;"")&lt;&gt;""),K1916,"")</f>
        <v/>
      </c>
    </row>
    <row r="1917" customFormat="false" ht="15" hidden="false" customHeight="false" outlineLevel="0" collapsed="false">
      <c r="A1917" s="9"/>
      <c r="B1917" s="4"/>
      <c r="C1917" s="10"/>
      <c r="D1917" s="11" t="str">
        <f aca="false">IF(K1917="","",IFERROR(INDEX(DECKS!$C$2:$C$1201,MATCH(K1917,DECKS!$B$2:$B$1201,0)),TRIM(I1917&amp;"")))</f>
        <v/>
      </c>
      <c r="E1917" s="4"/>
      <c r="F1917" s="12"/>
      <c r="G1917" s="4"/>
      <c r="H1917" s="13" t="str">
        <f aca="false">IF(OR(N(C1917)=0,N(F1917)=0),"",C1917*F1917)</f>
        <v/>
      </c>
      <c r="I1917" s="4"/>
      <c r="J1917" s="11" t="str">
        <f aca="false">IF(K1917="","",IF(N(C1917)&lt;=0,"Informe a quantidade",IF(IFERROR(INDEX(INVENTÁRIO!$B$2:$B$801,MATCH(K1917,INVENTÁRIO!$A$2:$A$801,0)),"")="(sem nome)","Carta fora dos decks: digite o nome na coluna I (opcional)","")))</f>
        <v/>
      </c>
      <c r="K1917" s="11" t="str">
        <f aca="false">UPPER(TRIM(SUBSTITUTE(B1917&amp;"",CHAR(160)," ")))</f>
        <v/>
      </c>
      <c r="L1917" s="11" t="str">
        <f aca="false">IF(AND(K1917&lt;&gt;"",TRIM(I1917&amp;"")&lt;&gt;""),K1917,"")</f>
        <v/>
      </c>
    </row>
    <row r="1918" customFormat="false" ht="15" hidden="false" customHeight="false" outlineLevel="0" collapsed="false">
      <c r="A1918" s="9"/>
      <c r="B1918" s="4"/>
      <c r="C1918" s="10"/>
      <c r="D1918" s="11" t="str">
        <f aca="false">IF(K1918="","",IFERROR(INDEX(DECKS!$C$2:$C$1201,MATCH(K1918,DECKS!$B$2:$B$1201,0)),TRIM(I1918&amp;"")))</f>
        <v/>
      </c>
      <c r="E1918" s="4"/>
      <c r="F1918" s="12"/>
      <c r="G1918" s="4"/>
      <c r="H1918" s="13" t="str">
        <f aca="false">IF(OR(N(C1918)=0,N(F1918)=0),"",C1918*F1918)</f>
        <v/>
      </c>
      <c r="I1918" s="4"/>
      <c r="J1918" s="11" t="str">
        <f aca="false">IF(K1918="","",IF(N(C1918)&lt;=0,"Informe a quantidade",IF(IFERROR(INDEX(INVENTÁRIO!$B$2:$B$801,MATCH(K1918,INVENTÁRIO!$A$2:$A$801,0)),"")="(sem nome)","Carta fora dos decks: digite o nome na coluna I (opcional)","")))</f>
        <v/>
      </c>
      <c r="K1918" s="11" t="str">
        <f aca="false">UPPER(TRIM(SUBSTITUTE(B1918&amp;"",CHAR(160)," ")))</f>
        <v/>
      </c>
      <c r="L1918" s="11" t="str">
        <f aca="false">IF(AND(K1918&lt;&gt;"",TRIM(I1918&amp;"")&lt;&gt;""),K1918,"")</f>
        <v/>
      </c>
    </row>
    <row r="1919" customFormat="false" ht="15" hidden="false" customHeight="false" outlineLevel="0" collapsed="false">
      <c r="A1919" s="9"/>
      <c r="B1919" s="4"/>
      <c r="C1919" s="10"/>
      <c r="D1919" s="11" t="str">
        <f aca="false">IF(K1919="","",IFERROR(INDEX(DECKS!$C$2:$C$1201,MATCH(K1919,DECKS!$B$2:$B$1201,0)),TRIM(I1919&amp;"")))</f>
        <v/>
      </c>
      <c r="E1919" s="4"/>
      <c r="F1919" s="12"/>
      <c r="G1919" s="4"/>
      <c r="H1919" s="13" t="str">
        <f aca="false">IF(OR(N(C1919)=0,N(F1919)=0),"",C1919*F1919)</f>
        <v/>
      </c>
      <c r="I1919" s="4"/>
      <c r="J1919" s="11" t="str">
        <f aca="false">IF(K1919="","",IF(N(C1919)&lt;=0,"Informe a quantidade",IF(IFERROR(INDEX(INVENTÁRIO!$B$2:$B$801,MATCH(K1919,INVENTÁRIO!$A$2:$A$801,0)),"")="(sem nome)","Carta fora dos decks: digite o nome na coluna I (opcional)","")))</f>
        <v/>
      </c>
      <c r="K1919" s="11" t="str">
        <f aca="false">UPPER(TRIM(SUBSTITUTE(B1919&amp;"",CHAR(160)," ")))</f>
        <v/>
      </c>
      <c r="L1919" s="11" t="str">
        <f aca="false">IF(AND(K1919&lt;&gt;"",TRIM(I1919&amp;"")&lt;&gt;""),K1919,"")</f>
        <v/>
      </c>
    </row>
    <row r="1920" customFormat="false" ht="15" hidden="false" customHeight="false" outlineLevel="0" collapsed="false">
      <c r="A1920" s="9"/>
      <c r="B1920" s="4"/>
      <c r="C1920" s="10"/>
      <c r="D1920" s="11" t="str">
        <f aca="false">IF(K1920="","",IFERROR(INDEX(DECKS!$C$2:$C$1201,MATCH(K1920,DECKS!$B$2:$B$1201,0)),TRIM(I1920&amp;"")))</f>
        <v/>
      </c>
      <c r="E1920" s="4"/>
      <c r="F1920" s="12"/>
      <c r="G1920" s="4"/>
      <c r="H1920" s="13" t="str">
        <f aca="false">IF(OR(N(C1920)=0,N(F1920)=0),"",C1920*F1920)</f>
        <v/>
      </c>
      <c r="I1920" s="4"/>
      <c r="J1920" s="11" t="str">
        <f aca="false">IF(K1920="","",IF(N(C1920)&lt;=0,"Informe a quantidade",IF(IFERROR(INDEX(INVENTÁRIO!$B$2:$B$801,MATCH(K1920,INVENTÁRIO!$A$2:$A$801,0)),"")="(sem nome)","Carta fora dos decks: digite o nome na coluna I (opcional)","")))</f>
        <v/>
      </c>
      <c r="K1920" s="11" t="str">
        <f aca="false">UPPER(TRIM(SUBSTITUTE(B1920&amp;"",CHAR(160)," ")))</f>
        <v/>
      </c>
      <c r="L1920" s="11" t="str">
        <f aca="false">IF(AND(K1920&lt;&gt;"",TRIM(I1920&amp;"")&lt;&gt;""),K1920,"")</f>
        <v/>
      </c>
    </row>
    <row r="1921" customFormat="false" ht="15" hidden="false" customHeight="false" outlineLevel="0" collapsed="false">
      <c r="A1921" s="9"/>
      <c r="B1921" s="4"/>
      <c r="C1921" s="10"/>
      <c r="D1921" s="11" t="str">
        <f aca="false">IF(K1921="","",IFERROR(INDEX(DECKS!$C$2:$C$1201,MATCH(K1921,DECKS!$B$2:$B$1201,0)),TRIM(I1921&amp;"")))</f>
        <v/>
      </c>
      <c r="E1921" s="4"/>
      <c r="F1921" s="12"/>
      <c r="G1921" s="4"/>
      <c r="H1921" s="13" t="str">
        <f aca="false">IF(OR(N(C1921)=0,N(F1921)=0),"",C1921*F1921)</f>
        <v/>
      </c>
      <c r="I1921" s="4"/>
      <c r="J1921" s="11" t="str">
        <f aca="false">IF(K1921="","",IF(N(C1921)&lt;=0,"Informe a quantidade",IF(IFERROR(INDEX(INVENTÁRIO!$B$2:$B$801,MATCH(K1921,INVENTÁRIO!$A$2:$A$801,0)),"")="(sem nome)","Carta fora dos decks: digite o nome na coluna I (opcional)","")))</f>
        <v/>
      </c>
      <c r="K1921" s="11" t="str">
        <f aca="false">UPPER(TRIM(SUBSTITUTE(B1921&amp;"",CHAR(160)," ")))</f>
        <v/>
      </c>
      <c r="L1921" s="11" t="str">
        <f aca="false">IF(AND(K1921&lt;&gt;"",TRIM(I1921&amp;"")&lt;&gt;""),K1921,"")</f>
        <v/>
      </c>
    </row>
    <row r="1922" customFormat="false" ht="15" hidden="false" customHeight="false" outlineLevel="0" collapsed="false">
      <c r="A1922" s="9"/>
      <c r="B1922" s="4"/>
      <c r="C1922" s="10"/>
      <c r="D1922" s="11" t="str">
        <f aca="false">IF(K1922="","",IFERROR(INDEX(DECKS!$C$2:$C$1201,MATCH(K1922,DECKS!$B$2:$B$1201,0)),TRIM(I1922&amp;"")))</f>
        <v/>
      </c>
      <c r="E1922" s="4"/>
      <c r="F1922" s="12"/>
      <c r="G1922" s="4"/>
      <c r="H1922" s="13" t="str">
        <f aca="false">IF(OR(N(C1922)=0,N(F1922)=0),"",C1922*F1922)</f>
        <v/>
      </c>
      <c r="I1922" s="4"/>
      <c r="J1922" s="11" t="str">
        <f aca="false">IF(K1922="","",IF(N(C1922)&lt;=0,"Informe a quantidade",IF(IFERROR(INDEX(INVENTÁRIO!$B$2:$B$801,MATCH(K1922,INVENTÁRIO!$A$2:$A$801,0)),"")="(sem nome)","Carta fora dos decks: digite o nome na coluna I (opcional)","")))</f>
        <v/>
      </c>
      <c r="K1922" s="11" t="str">
        <f aca="false">UPPER(TRIM(SUBSTITUTE(B1922&amp;"",CHAR(160)," ")))</f>
        <v/>
      </c>
      <c r="L1922" s="11" t="str">
        <f aca="false">IF(AND(K1922&lt;&gt;"",TRIM(I1922&amp;"")&lt;&gt;""),K1922,"")</f>
        <v/>
      </c>
    </row>
    <row r="1923" customFormat="false" ht="15" hidden="false" customHeight="false" outlineLevel="0" collapsed="false">
      <c r="A1923" s="9"/>
      <c r="B1923" s="4"/>
      <c r="C1923" s="10"/>
      <c r="D1923" s="11" t="str">
        <f aca="false">IF(K1923="","",IFERROR(INDEX(DECKS!$C$2:$C$1201,MATCH(K1923,DECKS!$B$2:$B$1201,0)),TRIM(I1923&amp;"")))</f>
        <v/>
      </c>
      <c r="E1923" s="4"/>
      <c r="F1923" s="12"/>
      <c r="G1923" s="4"/>
      <c r="H1923" s="13" t="str">
        <f aca="false">IF(OR(N(C1923)=0,N(F1923)=0),"",C1923*F1923)</f>
        <v/>
      </c>
      <c r="I1923" s="4"/>
      <c r="J1923" s="11" t="str">
        <f aca="false">IF(K1923="","",IF(N(C1923)&lt;=0,"Informe a quantidade",IF(IFERROR(INDEX(INVENTÁRIO!$B$2:$B$801,MATCH(K1923,INVENTÁRIO!$A$2:$A$801,0)),"")="(sem nome)","Carta fora dos decks: digite o nome na coluna I (opcional)","")))</f>
        <v/>
      </c>
      <c r="K1923" s="11" t="str">
        <f aca="false">UPPER(TRIM(SUBSTITUTE(B1923&amp;"",CHAR(160)," ")))</f>
        <v/>
      </c>
      <c r="L1923" s="11" t="str">
        <f aca="false">IF(AND(K1923&lt;&gt;"",TRIM(I1923&amp;"")&lt;&gt;""),K1923,"")</f>
        <v/>
      </c>
    </row>
    <row r="1924" customFormat="false" ht="15" hidden="false" customHeight="false" outlineLevel="0" collapsed="false">
      <c r="A1924" s="9"/>
      <c r="B1924" s="4"/>
      <c r="C1924" s="10"/>
      <c r="D1924" s="11" t="str">
        <f aca="false">IF(K1924="","",IFERROR(INDEX(DECKS!$C$2:$C$1201,MATCH(K1924,DECKS!$B$2:$B$1201,0)),TRIM(I1924&amp;"")))</f>
        <v/>
      </c>
      <c r="E1924" s="4"/>
      <c r="F1924" s="12"/>
      <c r="G1924" s="4"/>
      <c r="H1924" s="13" t="str">
        <f aca="false">IF(OR(N(C1924)=0,N(F1924)=0),"",C1924*F1924)</f>
        <v/>
      </c>
      <c r="I1924" s="4"/>
      <c r="J1924" s="11" t="str">
        <f aca="false">IF(K1924="","",IF(N(C1924)&lt;=0,"Informe a quantidade",IF(IFERROR(INDEX(INVENTÁRIO!$B$2:$B$801,MATCH(K1924,INVENTÁRIO!$A$2:$A$801,0)),"")="(sem nome)","Carta fora dos decks: digite o nome na coluna I (opcional)","")))</f>
        <v/>
      </c>
      <c r="K1924" s="11" t="str">
        <f aca="false">UPPER(TRIM(SUBSTITUTE(B1924&amp;"",CHAR(160)," ")))</f>
        <v/>
      </c>
      <c r="L1924" s="11" t="str">
        <f aca="false">IF(AND(K1924&lt;&gt;"",TRIM(I1924&amp;"")&lt;&gt;""),K1924,"")</f>
        <v/>
      </c>
    </row>
    <row r="1925" customFormat="false" ht="15" hidden="false" customHeight="false" outlineLevel="0" collapsed="false">
      <c r="A1925" s="9"/>
      <c r="B1925" s="4"/>
      <c r="C1925" s="10"/>
      <c r="D1925" s="11" t="str">
        <f aca="false">IF(K1925="","",IFERROR(INDEX(DECKS!$C$2:$C$1201,MATCH(K1925,DECKS!$B$2:$B$1201,0)),TRIM(I1925&amp;"")))</f>
        <v/>
      </c>
      <c r="E1925" s="4"/>
      <c r="F1925" s="12"/>
      <c r="G1925" s="4"/>
      <c r="H1925" s="13" t="str">
        <f aca="false">IF(OR(N(C1925)=0,N(F1925)=0),"",C1925*F1925)</f>
        <v/>
      </c>
      <c r="I1925" s="4"/>
      <c r="J1925" s="11" t="str">
        <f aca="false">IF(K1925="","",IF(N(C1925)&lt;=0,"Informe a quantidade",IF(IFERROR(INDEX(INVENTÁRIO!$B$2:$B$801,MATCH(K1925,INVENTÁRIO!$A$2:$A$801,0)),"")="(sem nome)","Carta fora dos decks: digite o nome na coluna I (opcional)","")))</f>
        <v/>
      </c>
      <c r="K1925" s="11" t="str">
        <f aca="false">UPPER(TRIM(SUBSTITUTE(B1925&amp;"",CHAR(160)," ")))</f>
        <v/>
      </c>
      <c r="L1925" s="11" t="str">
        <f aca="false">IF(AND(K1925&lt;&gt;"",TRIM(I1925&amp;"")&lt;&gt;""),K1925,"")</f>
        <v/>
      </c>
    </row>
    <row r="1926" customFormat="false" ht="15" hidden="false" customHeight="false" outlineLevel="0" collapsed="false">
      <c r="A1926" s="9"/>
      <c r="B1926" s="4"/>
      <c r="C1926" s="10"/>
      <c r="D1926" s="11" t="str">
        <f aca="false">IF(K1926="","",IFERROR(INDEX(DECKS!$C$2:$C$1201,MATCH(K1926,DECKS!$B$2:$B$1201,0)),TRIM(I1926&amp;"")))</f>
        <v/>
      </c>
      <c r="E1926" s="4"/>
      <c r="F1926" s="12"/>
      <c r="G1926" s="4"/>
      <c r="H1926" s="13" t="str">
        <f aca="false">IF(OR(N(C1926)=0,N(F1926)=0),"",C1926*F1926)</f>
        <v/>
      </c>
      <c r="I1926" s="4"/>
      <c r="J1926" s="11" t="str">
        <f aca="false">IF(K1926="","",IF(N(C1926)&lt;=0,"Informe a quantidade",IF(IFERROR(INDEX(INVENTÁRIO!$B$2:$B$801,MATCH(K1926,INVENTÁRIO!$A$2:$A$801,0)),"")="(sem nome)","Carta fora dos decks: digite o nome na coluna I (opcional)","")))</f>
        <v/>
      </c>
      <c r="K1926" s="11" t="str">
        <f aca="false">UPPER(TRIM(SUBSTITUTE(B1926&amp;"",CHAR(160)," ")))</f>
        <v/>
      </c>
      <c r="L1926" s="11" t="str">
        <f aca="false">IF(AND(K1926&lt;&gt;"",TRIM(I1926&amp;"")&lt;&gt;""),K1926,"")</f>
        <v/>
      </c>
    </row>
    <row r="1927" customFormat="false" ht="15" hidden="false" customHeight="false" outlineLevel="0" collapsed="false">
      <c r="A1927" s="9"/>
      <c r="B1927" s="4"/>
      <c r="C1927" s="10"/>
      <c r="D1927" s="11" t="str">
        <f aca="false">IF(K1927="","",IFERROR(INDEX(DECKS!$C$2:$C$1201,MATCH(K1927,DECKS!$B$2:$B$1201,0)),TRIM(I1927&amp;"")))</f>
        <v/>
      </c>
      <c r="E1927" s="4"/>
      <c r="F1927" s="12"/>
      <c r="G1927" s="4"/>
      <c r="H1927" s="13" t="str">
        <f aca="false">IF(OR(N(C1927)=0,N(F1927)=0),"",C1927*F1927)</f>
        <v/>
      </c>
      <c r="I1927" s="4"/>
      <c r="J1927" s="11" t="str">
        <f aca="false">IF(K1927="","",IF(N(C1927)&lt;=0,"Informe a quantidade",IF(IFERROR(INDEX(INVENTÁRIO!$B$2:$B$801,MATCH(K1927,INVENTÁRIO!$A$2:$A$801,0)),"")="(sem nome)","Carta fora dos decks: digite o nome na coluna I (opcional)","")))</f>
        <v/>
      </c>
      <c r="K1927" s="11" t="str">
        <f aca="false">UPPER(TRIM(SUBSTITUTE(B1927&amp;"",CHAR(160)," ")))</f>
        <v/>
      </c>
      <c r="L1927" s="11" t="str">
        <f aca="false">IF(AND(K1927&lt;&gt;"",TRIM(I1927&amp;"")&lt;&gt;""),K1927,"")</f>
        <v/>
      </c>
    </row>
    <row r="1928" customFormat="false" ht="15" hidden="false" customHeight="false" outlineLevel="0" collapsed="false">
      <c r="A1928" s="9"/>
      <c r="B1928" s="4"/>
      <c r="C1928" s="10"/>
      <c r="D1928" s="11" t="str">
        <f aca="false">IF(K1928="","",IFERROR(INDEX(DECKS!$C$2:$C$1201,MATCH(K1928,DECKS!$B$2:$B$1201,0)),TRIM(I1928&amp;"")))</f>
        <v/>
      </c>
      <c r="E1928" s="4"/>
      <c r="F1928" s="12"/>
      <c r="G1928" s="4"/>
      <c r="H1928" s="13" t="str">
        <f aca="false">IF(OR(N(C1928)=0,N(F1928)=0),"",C1928*F1928)</f>
        <v/>
      </c>
      <c r="I1928" s="4"/>
      <c r="J1928" s="11" t="str">
        <f aca="false">IF(K1928="","",IF(N(C1928)&lt;=0,"Informe a quantidade",IF(IFERROR(INDEX(INVENTÁRIO!$B$2:$B$801,MATCH(K1928,INVENTÁRIO!$A$2:$A$801,0)),"")="(sem nome)","Carta fora dos decks: digite o nome na coluna I (opcional)","")))</f>
        <v/>
      </c>
      <c r="K1928" s="11" t="str">
        <f aca="false">UPPER(TRIM(SUBSTITUTE(B1928&amp;"",CHAR(160)," ")))</f>
        <v/>
      </c>
      <c r="L1928" s="11" t="str">
        <f aca="false">IF(AND(K1928&lt;&gt;"",TRIM(I1928&amp;"")&lt;&gt;""),K1928,"")</f>
        <v/>
      </c>
    </row>
    <row r="1929" customFormat="false" ht="15" hidden="false" customHeight="false" outlineLevel="0" collapsed="false">
      <c r="A1929" s="9"/>
      <c r="B1929" s="4"/>
      <c r="C1929" s="10"/>
      <c r="D1929" s="11" t="str">
        <f aca="false">IF(K1929="","",IFERROR(INDEX(DECKS!$C$2:$C$1201,MATCH(K1929,DECKS!$B$2:$B$1201,0)),TRIM(I1929&amp;"")))</f>
        <v/>
      </c>
      <c r="E1929" s="4"/>
      <c r="F1929" s="12"/>
      <c r="G1929" s="4"/>
      <c r="H1929" s="13" t="str">
        <f aca="false">IF(OR(N(C1929)=0,N(F1929)=0),"",C1929*F1929)</f>
        <v/>
      </c>
      <c r="I1929" s="4"/>
      <c r="J1929" s="11" t="str">
        <f aca="false">IF(K1929="","",IF(N(C1929)&lt;=0,"Informe a quantidade",IF(IFERROR(INDEX(INVENTÁRIO!$B$2:$B$801,MATCH(K1929,INVENTÁRIO!$A$2:$A$801,0)),"")="(sem nome)","Carta fora dos decks: digite o nome na coluna I (opcional)","")))</f>
        <v/>
      </c>
      <c r="K1929" s="11" t="str">
        <f aca="false">UPPER(TRIM(SUBSTITUTE(B1929&amp;"",CHAR(160)," ")))</f>
        <v/>
      </c>
      <c r="L1929" s="11" t="str">
        <f aca="false">IF(AND(K1929&lt;&gt;"",TRIM(I1929&amp;"")&lt;&gt;""),K1929,"")</f>
        <v/>
      </c>
    </row>
    <row r="1930" customFormat="false" ht="15" hidden="false" customHeight="false" outlineLevel="0" collapsed="false">
      <c r="A1930" s="9"/>
      <c r="B1930" s="4"/>
      <c r="C1930" s="10"/>
      <c r="D1930" s="11" t="str">
        <f aca="false">IF(K1930="","",IFERROR(INDEX(DECKS!$C$2:$C$1201,MATCH(K1930,DECKS!$B$2:$B$1201,0)),TRIM(I1930&amp;"")))</f>
        <v/>
      </c>
      <c r="E1930" s="4"/>
      <c r="F1930" s="12"/>
      <c r="G1930" s="4"/>
      <c r="H1930" s="13" t="str">
        <f aca="false">IF(OR(N(C1930)=0,N(F1930)=0),"",C1930*F1930)</f>
        <v/>
      </c>
      <c r="I1930" s="4"/>
      <c r="J1930" s="11" t="str">
        <f aca="false">IF(K1930="","",IF(N(C1930)&lt;=0,"Informe a quantidade",IF(IFERROR(INDEX(INVENTÁRIO!$B$2:$B$801,MATCH(K1930,INVENTÁRIO!$A$2:$A$801,0)),"")="(sem nome)","Carta fora dos decks: digite o nome na coluna I (opcional)","")))</f>
        <v/>
      </c>
      <c r="K1930" s="11" t="str">
        <f aca="false">UPPER(TRIM(SUBSTITUTE(B1930&amp;"",CHAR(160)," ")))</f>
        <v/>
      </c>
      <c r="L1930" s="11" t="str">
        <f aca="false">IF(AND(K1930&lt;&gt;"",TRIM(I1930&amp;"")&lt;&gt;""),K1930,"")</f>
        <v/>
      </c>
    </row>
    <row r="1931" customFormat="false" ht="15" hidden="false" customHeight="false" outlineLevel="0" collapsed="false">
      <c r="A1931" s="9"/>
      <c r="B1931" s="4"/>
      <c r="C1931" s="10"/>
      <c r="D1931" s="11" t="str">
        <f aca="false">IF(K1931="","",IFERROR(INDEX(DECKS!$C$2:$C$1201,MATCH(K1931,DECKS!$B$2:$B$1201,0)),TRIM(I1931&amp;"")))</f>
        <v/>
      </c>
      <c r="E1931" s="4"/>
      <c r="F1931" s="12"/>
      <c r="G1931" s="4"/>
      <c r="H1931" s="13" t="str">
        <f aca="false">IF(OR(N(C1931)=0,N(F1931)=0),"",C1931*F1931)</f>
        <v/>
      </c>
      <c r="I1931" s="4"/>
      <c r="J1931" s="11" t="str">
        <f aca="false">IF(K1931="","",IF(N(C1931)&lt;=0,"Informe a quantidade",IF(IFERROR(INDEX(INVENTÁRIO!$B$2:$B$801,MATCH(K1931,INVENTÁRIO!$A$2:$A$801,0)),"")="(sem nome)","Carta fora dos decks: digite o nome na coluna I (opcional)","")))</f>
        <v/>
      </c>
      <c r="K1931" s="11" t="str">
        <f aca="false">UPPER(TRIM(SUBSTITUTE(B1931&amp;"",CHAR(160)," ")))</f>
        <v/>
      </c>
      <c r="L1931" s="11" t="str">
        <f aca="false">IF(AND(K1931&lt;&gt;"",TRIM(I1931&amp;"")&lt;&gt;""),K1931,"")</f>
        <v/>
      </c>
    </row>
    <row r="1932" customFormat="false" ht="15" hidden="false" customHeight="false" outlineLevel="0" collapsed="false">
      <c r="A1932" s="9"/>
      <c r="B1932" s="4"/>
      <c r="C1932" s="10"/>
      <c r="D1932" s="11" t="str">
        <f aca="false">IF(K1932="","",IFERROR(INDEX(DECKS!$C$2:$C$1201,MATCH(K1932,DECKS!$B$2:$B$1201,0)),TRIM(I1932&amp;"")))</f>
        <v/>
      </c>
      <c r="E1932" s="4"/>
      <c r="F1932" s="12"/>
      <c r="G1932" s="4"/>
      <c r="H1932" s="13" t="str">
        <f aca="false">IF(OR(N(C1932)=0,N(F1932)=0),"",C1932*F1932)</f>
        <v/>
      </c>
      <c r="I1932" s="4"/>
      <c r="J1932" s="11" t="str">
        <f aca="false">IF(K1932="","",IF(N(C1932)&lt;=0,"Informe a quantidade",IF(IFERROR(INDEX(INVENTÁRIO!$B$2:$B$801,MATCH(K1932,INVENTÁRIO!$A$2:$A$801,0)),"")="(sem nome)","Carta fora dos decks: digite o nome na coluna I (opcional)","")))</f>
        <v/>
      </c>
      <c r="K1932" s="11" t="str">
        <f aca="false">UPPER(TRIM(SUBSTITUTE(B1932&amp;"",CHAR(160)," ")))</f>
        <v/>
      </c>
      <c r="L1932" s="11" t="str">
        <f aca="false">IF(AND(K1932&lt;&gt;"",TRIM(I1932&amp;"")&lt;&gt;""),K1932,"")</f>
        <v/>
      </c>
    </row>
    <row r="1933" customFormat="false" ht="15" hidden="false" customHeight="false" outlineLevel="0" collapsed="false">
      <c r="A1933" s="9"/>
      <c r="B1933" s="4"/>
      <c r="C1933" s="10"/>
      <c r="D1933" s="11" t="str">
        <f aca="false">IF(K1933="","",IFERROR(INDEX(DECKS!$C$2:$C$1201,MATCH(K1933,DECKS!$B$2:$B$1201,0)),TRIM(I1933&amp;"")))</f>
        <v/>
      </c>
      <c r="E1933" s="4"/>
      <c r="F1933" s="12"/>
      <c r="G1933" s="4"/>
      <c r="H1933" s="13" t="str">
        <f aca="false">IF(OR(N(C1933)=0,N(F1933)=0),"",C1933*F1933)</f>
        <v/>
      </c>
      <c r="I1933" s="4"/>
      <c r="J1933" s="11" t="str">
        <f aca="false">IF(K1933="","",IF(N(C1933)&lt;=0,"Informe a quantidade",IF(IFERROR(INDEX(INVENTÁRIO!$B$2:$B$801,MATCH(K1933,INVENTÁRIO!$A$2:$A$801,0)),"")="(sem nome)","Carta fora dos decks: digite o nome na coluna I (opcional)","")))</f>
        <v/>
      </c>
      <c r="K1933" s="11" t="str">
        <f aca="false">UPPER(TRIM(SUBSTITUTE(B1933&amp;"",CHAR(160)," ")))</f>
        <v/>
      </c>
      <c r="L1933" s="11" t="str">
        <f aca="false">IF(AND(K1933&lt;&gt;"",TRIM(I1933&amp;"")&lt;&gt;""),K1933,"")</f>
        <v/>
      </c>
    </row>
    <row r="1934" customFormat="false" ht="15" hidden="false" customHeight="false" outlineLevel="0" collapsed="false">
      <c r="A1934" s="9"/>
      <c r="B1934" s="4"/>
      <c r="C1934" s="10"/>
      <c r="D1934" s="11" t="str">
        <f aca="false">IF(K1934="","",IFERROR(INDEX(DECKS!$C$2:$C$1201,MATCH(K1934,DECKS!$B$2:$B$1201,0)),TRIM(I1934&amp;"")))</f>
        <v/>
      </c>
      <c r="E1934" s="4"/>
      <c r="F1934" s="12"/>
      <c r="G1934" s="4"/>
      <c r="H1934" s="13" t="str">
        <f aca="false">IF(OR(N(C1934)=0,N(F1934)=0),"",C1934*F1934)</f>
        <v/>
      </c>
      <c r="I1934" s="4"/>
      <c r="J1934" s="11" t="str">
        <f aca="false">IF(K1934="","",IF(N(C1934)&lt;=0,"Informe a quantidade",IF(IFERROR(INDEX(INVENTÁRIO!$B$2:$B$801,MATCH(K1934,INVENTÁRIO!$A$2:$A$801,0)),"")="(sem nome)","Carta fora dos decks: digite o nome na coluna I (opcional)","")))</f>
        <v/>
      </c>
      <c r="K1934" s="11" t="str">
        <f aca="false">UPPER(TRIM(SUBSTITUTE(B1934&amp;"",CHAR(160)," ")))</f>
        <v/>
      </c>
      <c r="L1934" s="11" t="str">
        <f aca="false">IF(AND(K1934&lt;&gt;"",TRIM(I1934&amp;"")&lt;&gt;""),K1934,"")</f>
        <v/>
      </c>
    </row>
    <row r="1935" customFormat="false" ht="15" hidden="false" customHeight="false" outlineLevel="0" collapsed="false">
      <c r="A1935" s="9"/>
      <c r="B1935" s="4"/>
      <c r="C1935" s="10"/>
      <c r="D1935" s="11" t="str">
        <f aca="false">IF(K1935="","",IFERROR(INDEX(DECKS!$C$2:$C$1201,MATCH(K1935,DECKS!$B$2:$B$1201,0)),TRIM(I1935&amp;"")))</f>
        <v/>
      </c>
      <c r="E1935" s="4"/>
      <c r="F1935" s="12"/>
      <c r="G1935" s="4"/>
      <c r="H1935" s="13" t="str">
        <f aca="false">IF(OR(N(C1935)=0,N(F1935)=0),"",C1935*F1935)</f>
        <v/>
      </c>
      <c r="I1935" s="4"/>
      <c r="J1935" s="11" t="str">
        <f aca="false">IF(K1935="","",IF(N(C1935)&lt;=0,"Informe a quantidade",IF(IFERROR(INDEX(INVENTÁRIO!$B$2:$B$801,MATCH(K1935,INVENTÁRIO!$A$2:$A$801,0)),"")="(sem nome)","Carta fora dos decks: digite o nome na coluna I (opcional)","")))</f>
        <v/>
      </c>
      <c r="K1935" s="11" t="str">
        <f aca="false">UPPER(TRIM(SUBSTITUTE(B1935&amp;"",CHAR(160)," ")))</f>
        <v/>
      </c>
      <c r="L1935" s="11" t="str">
        <f aca="false">IF(AND(K1935&lt;&gt;"",TRIM(I1935&amp;"")&lt;&gt;""),K1935,"")</f>
        <v/>
      </c>
    </row>
    <row r="1936" customFormat="false" ht="15" hidden="false" customHeight="false" outlineLevel="0" collapsed="false">
      <c r="A1936" s="9"/>
      <c r="B1936" s="4"/>
      <c r="C1936" s="10"/>
      <c r="D1936" s="11" t="str">
        <f aca="false">IF(K1936="","",IFERROR(INDEX(DECKS!$C$2:$C$1201,MATCH(K1936,DECKS!$B$2:$B$1201,0)),TRIM(I1936&amp;"")))</f>
        <v/>
      </c>
      <c r="E1936" s="4"/>
      <c r="F1936" s="12"/>
      <c r="G1936" s="4"/>
      <c r="H1936" s="13" t="str">
        <f aca="false">IF(OR(N(C1936)=0,N(F1936)=0),"",C1936*F1936)</f>
        <v/>
      </c>
      <c r="I1936" s="4"/>
      <c r="J1936" s="11" t="str">
        <f aca="false">IF(K1936="","",IF(N(C1936)&lt;=0,"Informe a quantidade",IF(IFERROR(INDEX(INVENTÁRIO!$B$2:$B$801,MATCH(K1936,INVENTÁRIO!$A$2:$A$801,0)),"")="(sem nome)","Carta fora dos decks: digite o nome na coluna I (opcional)","")))</f>
        <v/>
      </c>
      <c r="K1936" s="11" t="str">
        <f aca="false">UPPER(TRIM(SUBSTITUTE(B1936&amp;"",CHAR(160)," ")))</f>
        <v/>
      </c>
      <c r="L1936" s="11" t="str">
        <f aca="false">IF(AND(K1936&lt;&gt;"",TRIM(I1936&amp;"")&lt;&gt;""),K1936,"")</f>
        <v/>
      </c>
    </row>
    <row r="1937" customFormat="false" ht="15" hidden="false" customHeight="false" outlineLevel="0" collapsed="false">
      <c r="A1937" s="9"/>
      <c r="B1937" s="4"/>
      <c r="C1937" s="10"/>
      <c r="D1937" s="11" t="str">
        <f aca="false">IF(K1937="","",IFERROR(INDEX(DECKS!$C$2:$C$1201,MATCH(K1937,DECKS!$B$2:$B$1201,0)),TRIM(I1937&amp;"")))</f>
        <v/>
      </c>
      <c r="E1937" s="4"/>
      <c r="F1937" s="12"/>
      <c r="G1937" s="4"/>
      <c r="H1937" s="13" t="str">
        <f aca="false">IF(OR(N(C1937)=0,N(F1937)=0),"",C1937*F1937)</f>
        <v/>
      </c>
      <c r="I1937" s="4"/>
      <c r="J1937" s="11" t="str">
        <f aca="false">IF(K1937="","",IF(N(C1937)&lt;=0,"Informe a quantidade",IF(IFERROR(INDEX(INVENTÁRIO!$B$2:$B$801,MATCH(K1937,INVENTÁRIO!$A$2:$A$801,0)),"")="(sem nome)","Carta fora dos decks: digite o nome na coluna I (opcional)","")))</f>
        <v/>
      </c>
      <c r="K1937" s="11" t="str">
        <f aca="false">UPPER(TRIM(SUBSTITUTE(B1937&amp;"",CHAR(160)," ")))</f>
        <v/>
      </c>
      <c r="L1937" s="11" t="str">
        <f aca="false">IF(AND(K1937&lt;&gt;"",TRIM(I1937&amp;"")&lt;&gt;""),K1937,"")</f>
        <v/>
      </c>
    </row>
    <row r="1938" customFormat="false" ht="15" hidden="false" customHeight="false" outlineLevel="0" collapsed="false">
      <c r="A1938" s="9"/>
      <c r="B1938" s="4"/>
      <c r="C1938" s="10"/>
      <c r="D1938" s="11" t="str">
        <f aca="false">IF(K1938="","",IFERROR(INDEX(DECKS!$C$2:$C$1201,MATCH(K1938,DECKS!$B$2:$B$1201,0)),TRIM(I1938&amp;"")))</f>
        <v/>
      </c>
      <c r="E1938" s="4"/>
      <c r="F1938" s="12"/>
      <c r="G1938" s="4"/>
      <c r="H1938" s="13" t="str">
        <f aca="false">IF(OR(N(C1938)=0,N(F1938)=0),"",C1938*F1938)</f>
        <v/>
      </c>
      <c r="I1938" s="4"/>
      <c r="J1938" s="11" t="str">
        <f aca="false">IF(K1938="","",IF(N(C1938)&lt;=0,"Informe a quantidade",IF(IFERROR(INDEX(INVENTÁRIO!$B$2:$B$801,MATCH(K1938,INVENTÁRIO!$A$2:$A$801,0)),"")="(sem nome)","Carta fora dos decks: digite o nome na coluna I (opcional)","")))</f>
        <v/>
      </c>
      <c r="K1938" s="11" t="str">
        <f aca="false">UPPER(TRIM(SUBSTITUTE(B1938&amp;"",CHAR(160)," ")))</f>
        <v/>
      </c>
      <c r="L1938" s="11" t="str">
        <f aca="false">IF(AND(K1938&lt;&gt;"",TRIM(I1938&amp;"")&lt;&gt;""),K1938,"")</f>
        <v/>
      </c>
    </row>
    <row r="1939" customFormat="false" ht="15" hidden="false" customHeight="false" outlineLevel="0" collapsed="false">
      <c r="A1939" s="9"/>
      <c r="B1939" s="4"/>
      <c r="C1939" s="10"/>
      <c r="D1939" s="11" t="str">
        <f aca="false">IF(K1939="","",IFERROR(INDEX(DECKS!$C$2:$C$1201,MATCH(K1939,DECKS!$B$2:$B$1201,0)),TRIM(I1939&amp;"")))</f>
        <v/>
      </c>
      <c r="E1939" s="4"/>
      <c r="F1939" s="12"/>
      <c r="G1939" s="4"/>
      <c r="H1939" s="13" t="str">
        <f aca="false">IF(OR(N(C1939)=0,N(F1939)=0),"",C1939*F1939)</f>
        <v/>
      </c>
      <c r="I1939" s="4"/>
      <c r="J1939" s="11" t="str">
        <f aca="false">IF(K1939="","",IF(N(C1939)&lt;=0,"Informe a quantidade",IF(IFERROR(INDEX(INVENTÁRIO!$B$2:$B$801,MATCH(K1939,INVENTÁRIO!$A$2:$A$801,0)),"")="(sem nome)","Carta fora dos decks: digite o nome na coluna I (opcional)","")))</f>
        <v/>
      </c>
      <c r="K1939" s="11" t="str">
        <f aca="false">UPPER(TRIM(SUBSTITUTE(B1939&amp;"",CHAR(160)," ")))</f>
        <v/>
      </c>
      <c r="L1939" s="11" t="str">
        <f aca="false">IF(AND(K1939&lt;&gt;"",TRIM(I1939&amp;"")&lt;&gt;""),K1939,"")</f>
        <v/>
      </c>
    </row>
    <row r="1940" customFormat="false" ht="15" hidden="false" customHeight="false" outlineLevel="0" collapsed="false">
      <c r="A1940" s="9"/>
      <c r="B1940" s="4"/>
      <c r="C1940" s="10"/>
      <c r="D1940" s="11" t="str">
        <f aca="false">IF(K1940="","",IFERROR(INDEX(DECKS!$C$2:$C$1201,MATCH(K1940,DECKS!$B$2:$B$1201,0)),TRIM(I1940&amp;"")))</f>
        <v/>
      </c>
      <c r="E1940" s="4"/>
      <c r="F1940" s="12"/>
      <c r="G1940" s="4"/>
      <c r="H1940" s="13" t="str">
        <f aca="false">IF(OR(N(C1940)=0,N(F1940)=0),"",C1940*F1940)</f>
        <v/>
      </c>
      <c r="I1940" s="4"/>
      <c r="J1940" s="11" t="str">
        <f aca="false">IF(K1940="","",IF(N(C1940)&lt;=0,"Informe a quantidade",IF(IFERROR(INDEX(INVENTÁRIO!$B$2:$B$801,MATCH(K1940,INVENTÁRIO!$A$2:$A$801,0)),"")="(sem nome)","Carta fora dos decks: digite o nome na coluna I (opcional)","")))</f>
        <v/>
      </c>
      <c r="K1940" s="11" t="str">
        <f aca="false">UPPER(TRIM(SUBSTITUTE(B1940&amp;"",CHAR(160)," ")))</f>
        <v/>
      </c>
      <c r="L1940" s="11" t="str">
        <f aca="false">IF(AND(K1940&lt;&gt;"",TRIM(I1940&amp;"")&lt;&gt;""),K1940,"")</f>
        <v/>
      </c>
    </row>
    <row r="1941" customFormat="false" ht="15" hidden="false" customHeight="false" outlineLevel="0" collapsed="false">
      <c r="A1941" s="9"/>
      <c r="B1941" s="4"/>
      <c r="C1941" s="10"/>
      <c r="D1941" s="11" t="str">
        <f aca="false">IF(K1941="","",IFERROR(INDEX(DECKS!$C$2:$C$1201,MATCH(K1941,DECKS!$B$2:$B$1201,0)),TRIM(I1941&amp;"")))</f>
        <v/>
      </c>
      <c r="E1941" s="4"/>
      <c r="F1941" s="12"/>
      <c r="G1941" s="4"/>
      <c r="H1941" s="13" t="str">
        <f aca="false">IF(OR(N(C1941)=0,N(F1941)=0),"",C1941*F1941)</f>
        <v/>
      </c>
      <c r="I1941" s="4"/>
      <c r="J1941" s="11" t="str">
        <f aca="false">IF(K1941="","",IF(N(C1941)&lt;=0,"Informe a quantidade",IF(IFERROR(INDEX(INVENTÁRIO!$B$2:$B$801,MATCH(K1941,INVENTÁRIO!$A$2:$A$801,0)),"")="(sem nome)","Carta fora dos decks: digite o nome na coluna I (opcional)","")))</f>
        <v/>
      </c>
      <c r="K1941" s="11" t="str">
        <f aca="false">UPPER(TRIM(SUBSTITUTE(B1941&amp;"",CHAR(160)," ")))</f>
        <v/>
      </c>
      <c r="L1941" s="11" t="str">
        <f aca="false">IF(AND(K1941&lt;&gt;"",TRIM(I1941&amp;"")&lt;&gt;""),K1941,"")</f>
        <v/>
      </c>
    </row>
    <row r="1942" customFormat="false" ht="15" hidden="false" customHeight="false" outlineLevel="0" collapsed="false">
      <c r="A1942" s="9"/>
      <c r="B1942" s="4"/>
      <c r="C1942" s="10"/>
      <c r="D1942" s="11" t="str">
        <f aca="false">IF(K1942="","",IFERROR(INDEX(DECKS!$C$2:$C$1201,MATCH(K1942,DECKS!$B$2:$B$1201,0)),TRIM(I1942&amp;"")))</f>
        <v/>
      </c>
      <c r="E1942" s="4"/>
      <c r="F1942" s="12"/>
      <c r="G1942" s="4"/>
      <c r="H1942" s="13" t="str">
        <f aca="false">IF(OR(N(C1942)=0,N(F1942)=0),"",C1942*F1942)</f>
        <v/>
      </c>
      <c r="I1942" s="4"/>
      <c r="J1942" s="11" t="str">
        <f aca="false">IF(K1942="","",IF(N(C1942)&lt;=0,"Informe a quantidade",IF(IFERROR(INDEX(INVENTÁRIO!$B$2:$B$801,MATCH(K1942,INVENTÁRIO!$A$2:$A$801,0)),"")="(sem nome)","Carta fora dos decks: digite o nome na coluna I (opcional)","")))</f>
        <v/>
      </c>
      <c r="K1942" s="11" t="str">
        <f aca="false">UPPER(TRIM(SUBSTITUTE(B1942&amp;"",CHAR(160)," ")))</f>
        <v/>
      </c>
      <c r="L1942" s="11" t="str">
        <f aca="false">IF(AND(K1942&lt;&gt;"",TRIM(I1942&amp;"")&lt;&gt;""),K1942,"")</f>
        <v/>
      </c>
    </row>
    <row r="1943" customFormat="false" ht="15" hidden="false" customHeight="false" outlineLevel="0" collapsed="false">
      <c r="A1943" s="9"/>
      <c r="B1943" s="4"/>
      <c r="C1943" s="10"/>
      <c r="D1943" s="11" t="str">
        <f aca="false">IF(K1943="","",IFERROR(INDEX(DECKS!$C$2:$C$1201,MATCH(K1943,DECKS!$B$2:$B$1201,0)),TRIM(I1943&amp;"")))</f>
        <v/>
      </c>
      <c r="E1943" s="4"/>
      <c r="F1943" s="12"/>
      <c r="G1943" s="4"/>
      <c r="H1943" s="13" t="str">
        <f aca="false">IF(OR(N(C1943)=0,N(F1943)=0),"",C1943*F1943)</f>
        <v/>
      </c>
      <c r="I1943" s="4"/>
      <c r="J1943" s="11" t="str">
        <f aca="false">IF(K1943="","",IF(N(C1943)&lt;=0,"Informe a quantidade",IF(IFERROR(INDEX(INVENTÁRIO!$B$2:$B$801,MATCH(K1943,INVENTÁRIO!$A$2:$A$801,0)),"")="(sem nome)","Carta fora dos decks: digite o nome na coluna I (opcional)","")))</f>
        <v/>
      </c>
      <c r="K1943" s="11" t="str">
        <f aca="false">UPPER(TRIM(SUBSTITUTE(B1943&amp;"",CHAR(160)," ")))</f>
        <v/>
      </c>
      <c r="L1943" s="11" t="str">
        <f aca="false">IF(AND(K1943&lt;&gt;"",TRIM(I1943&amp;"")&lt;&gt;""),K1943,"")</f>
        <v/>
      </c>
    </row>
    <row r="1944" customFormat="false" ht="15" hidden="false" customHeight="false" outlineLevel="0" collapsed="false">
      <c r="A1944" s="9"/>
      <c r="B1944" s="4"/>
      <c r="C1944" s="10"/>
      <c r="D1944" s="11" t="str">
        <f aca="false">IF(K1944="","",IFERROR(INDEX(DECKS!$C$2:$C$1201,MATCH(K1944,DECKS!$B$2:$B$1201,0)),TRIM(I1944&amp;"")))</f>
        <v/>
      </c>
      <c r="E1944" s="4"/>
      <c r="F1944" s="12"/>
      <c r="G1944" s="4"/>
      <c r="H1944" s="13" t="str">
        <f aca="false">IF(OR(N(C1944)=0,N(F1944)=0),"",C1944*F1944)</f>
        <v/>
      </c>
      <c r="I1944" s="4"/>
      <c r="J1944" s="11" t="str">
        <f aca="false">IF(K1944="","",IF(N(C1944)&lt;=0,"Informe a quantidade",IF(IFERROR(INDEX(INVENTÁRIO!$B$2:$B$801,MATCH(K1944,INVENTÁRIO!$A$2:$A$801,0)),"")="(sem nome)","Carta fora dos decks: digite o nome na coluna I (opcional)","")))</f>
        <v/>
      </c>
      <c r="K1944" s="11" t="str">
        <f aca="false">UPPER(TRIM(SUBSTITUTE(B1944&amp;"",CHAR(160)," ")))</f>
        <v/>
      </c>
      <c r="L1944" s="11" t="str">
        <f aca="false">IF(AND(K1944&lt;&gt;"",TRIM(I1944&amp;"")&lt;&gt;""),K1944,"")</f>
        <v/>
      </c>
    </row>
    <row r="1945" customFormat="false" ht="15" hidden="false" customHeight="false" outlineLevel="0" collapsed="false">
      <c r="A1945" s="9"/>
      <c r="B1945" s="4"/>
      <c r="C1945" s="10"/>
      <c r="D1945" s="11" t="str">
        <f aca="false">IF(K1945="","",IFERROR(INDEX(DECKS!$C$2:$C$1201,MATCH(K1945,DECKS!$B$2:$B$1201,0)),TRIM(I1945&amp;"")))</f>
        <v/>
      </c>
      <c r="E1945" s="4"/>
      <c r="F1945" s="12"/>
      <c r="G1945" s="4"/>
      <c r="H1945" s="13" t="str">
        <f aca="false">IF(OR(N(C1945)=0,N(F1945)=0),"",C1945*F1945)</f>
        <v/>
      </c>
      <c r="I1945" s="4"/>
      <c r="J1945" s="11" t="str">
        <f aca="false">IF(K1945="","",IF(N(C1945)&lt;=0,"Informe a quantidade",IF(IFERROR(INDEX(INVENTÁRIO!$B$2:$B$801,MATCH(K1945,INVENTÁRIO!$A$2:$A$801,0)),"")="(sem nome)","Carta fora dos decks: digite o nome na coluna I (opcional)","")))</f>
        <v/>
      </c>
      <c r="K1945" s="11" t="str">
        <f aca="false">UPPER(TRIM(SUBSTITUTE(B1945&amp;"",CHAR(160)," ")))</f>
        <v/>
      </c>
      <c r="L1945" s="11" t="str">
        <f aca="false">IF(AND(K1945&lt;&gt;"",TRIM(I1945&amp;"")&lt;&gt;""),K1945,"")</f>
        <v/>
      </c>
    </row>
    <row r="1946" customFormat="false" ht="15" hidden="false" customHeight="false" outlineLevel="0" collapsed="false">
      <c r="A1946" s="9"/>
      <c r="B1946" s="4"/>
      <c r="C1946" s="10"/>
      <c r="D1946" s="11" t="str">
        <f aca="false">IF(K1946="","",IFERROR(INDEX(DECKS!$C$2:$C$1201,MATCH(K1946,DECKS!$B$2:$B$1201,0)),TRIM(I1946&amp;"")))</f>
        <v/>
      </c>
      <c r="E1946" s="4"/>
      <c r="F1946" s="12"/>
      <c r="G1946" s="4"/>
      <c r="H1946" s="13" t="str">
        <f aca="false">IF(OR(N(C1946)=0,N(F1946)=0),"",C1946*F1946)</f>
        <v/>
      </c>
      <c r="I1946" s="4"/>
      <c r="J1946" s="11" t="str">
        <f aca="false">IF(K1946="","",IF(N(C1946)&lt;=0,"Informe a quantidade",IF(IFERROR(INDEX(INVENTÁRIO!$B$2:$B$801,MATCH(K1946,INVENTÁRIO!$A$2:$A$801,0)),"")="(sem nome)","Carta fora dos decks: digite o nome na coluna I (opcional)","")))</f>
        <v/>
      </c>
      <c r="K1946" s="11" t="str">
        <f aca="false">UPPER(TRIM(SUBSTITUTE(B1946&amp;"",CHAR(160)," ")))</f>
        <v/>
      </c>
      <c r="L1946" s="11" t="str">
        <f aca="false">IF(AND(K1946&lt;&gt;"",TRIM(I1946&amp;"")&lt;&gt;""),K1946,"")</f>
        <v/>
      </c>
    </row>
    <row r="1947" customFormat="false" ht="15" hidden="false" customHeight="false" outlineLevel="0" collapsed="false">
      <c r="A1947" s="9"/>
      <c r="B1947" s="4"/>
      <c r="C1947" s="10"/>
      <c r="D1947" s="11" t="str">
        <f aca="false">IF(K1947="","",IFERROR(INDEX(DECKS!$C$2:$C$1201,MATCH(K1947,DECKS!$B$2:$B$1201,0)),TRIM(I1947&amp;"")))</f>
        <v/>
      </c>
      <c r="E1947" s="4"/>
      <c r="F1947" s="12"/>
      <c r="G1947" s="4"/>
      <c r="H1947" s="13" t="str">
        <f aca="false">IF(OR(N(C1947)=0,N(F1947)=0),"",C1947*F1947)</f>
        <v/>
      </c>
      <c r="I1947" s="4"/>
      <c r="J1947" s="11" t="str">
        <f aca="false">IF(K1947="","",IF(N(C1947)&lt;=0,"Informe a quantidade",IF(IFERROR(INDEX(INVENTÁRIO!$B$2:$B$801,MATCH(K1947,INVENTÁRIO!$A$2:$A$801,0)),"")="(sem nome)","Carta fora dos decks: digite o nome na coluna I (opcional)","")))</f>
        <v/>
      </c>
      <c r="K1947" s="11" t="str">
        <f aca="false">UPPER(TRIM(SUBSTITUTE(B1947&amp;"",CHAR(160)," ")))</f>
        <v/>
      </c>
      <c r="L1947" s="11" t="str">
        <f aca="false">IF(AND(K1947&lt;&gt;"",TRIM(I1947&amp;"")&lt;&gt;""),K1947,"")</f>
        <v/>
      </c>
    </row>
    <row r="1948" customFormat="false" ht="15" hidden="false" customHeight="false" outlineLevel="0" collapsed="false">
      <c r="A1948" s="9"/>
      <c r="B1948" s="4"/>
      <c r="C1948" s="10"/>
      <c r="D1948" s="11" t="str">
        <f aca="false">IF(K1948="","",IFERROR(INDEX(DECKS!$C$2:$C$1201,MATCH(K1948,DECKS!$B$2:$B$1201,0)),TRIM(I1948&amp;"")))</f>
        <v/>
      </c>
      <c r="E1948" s="4"/>
      <c r="F1948" s="12"/>
      <c r="G1948" s="4"/>
      <c r="H1948" s="13" t="str">
        <f aca="false">IF(OR(N(C1948)=0,N(F1948)=0),"",C1948*F1948)</f>
        <v/>
      </c>
      <c r="I1948" s="4"/>
      <c r="J1948" s="11" t="str">
        <f aca="false">IF(K1948="","",IF(N(C1948)&lt;=0,"Informe a quantidade",IF(IFERROR(INDEX(INVENTÁRIO!$B$2:$B$801,MATCH(K1948,INVENTÁRIO!$A$2:$A$801,0)),"")="(sem nome)","Carta fora dos decks: digite o nome na coluna I (opcional)","")))</f>
        <v/>
      </c>
      <c r="K1948" s="11" t="str">
        <f aca="false">UPPER(TRIM(SUBSTITUTE(B1948&amp;"",CHAR(160)," ")))</f>
        <v/>
      </c>
      <c r="L1948" s="11" t="str">
        <f aca="false">IF(AND(K1948&lt;&gt;"",TRIM(I1948&amp;"")&lt;&gt;""),K1948,"")</f>
        <v/>
      </c>
    </row>
    <row r="1949" customFormat="false" ht="15" hidden="false" customHeight="false" outlineLevel="0" collapsed="false">
      <c r="A1949" s="9"/>
      <c r="B1949" s="4"/>
      <c r="C1949" s="10"/>
      <c r="D1949" s="11" t="str">
        <f aca="false">IF(K1949="","",IFERROR(INDEX(DECKS!$C$2:$C$1201,MATCH(K1949,DECKS!$B$2:$B$1201,0)),TRIM(I1949&amp;"")))</f>
        <v/>
      </c>
      <c r="E1949" s="4"/>
      <c r="F1949" s="12"/>
      <c r="G1949" s="4"/>
      <c r="H1949" s="13" t="str">
        <f aca="false">IF(OR(N(C1949)=0,N(F1949)=0),"",C1949*F1949)</f>
        <v/>
      </c>
      <c r="I1949" s="4"/>
      <c r="J1949" s="11" t="str">
        <f aca="false">IF(K1949="","",IF(N(C1949)&lt;=0,"Informe a quantidade",IF(IFERROR(INDEX(INVENTÁRIO!$B$2:$B$801,MATCH(K1949,INVENTÁRIO!$A$2:$A$801,0)),"")="(sem nome)","Carta fora dos decks: digite o nome na coluna I (opcional)","")))</f>
        <v/>
      </c>
      <c r="K1949" s="11" t="str">
        <f aca="false">UPPER(TRIM(SUBSTITUTE(B1949&amp;"",CHAR(160)," ")))</f>
        <v/>
      </c>
      <c r="L1949" s="11" t="str">
        <f aca="false">IF(AND(K1949&lt;&gt;"",TRIM(I1949&amp;"")&lt;&gt;""),K1949,"")</f>
        <v/>
      </c>
    </row>
    <row r="1950" customFormat="false" ht="15" hidden="false" customHeight="false" outlineLevel="0" collapsed="false">
      <c r="A1950" s="9"/>
      <c r="B1950" s="4"/>
      <c r="C1950" s="10"/>
      <c r="D1950" s="11" t="str">
        <f aca="false">IF(K1950="","",IFERROR(INDEX(DECKS!$C$2:$C$1201,MATCH(K1950,DECKS!$B$2:$B$1201,0)),TRIM(I1950&amp;"")))</f>
        <v/>
      </c>
      <c r="E1950" s="4"/>
      <c r="F1950" s="12"/>
      <c r="G1950" s="4"/>
      <c r="H1950" s="13" t="str">
        <f aca="false">IF(OR(N(C1950)=0,N(F1950)=0),"",C1950*F1950)</f>
        <v/>
      </c>
      <c r="I1950" s="4"/>
      <c r="J1950" s="11" t="str">
        <f aca="false">IF(K1950="","",IF(N(C1950)&lt;=0,"Informe a quantidade",IF(IFERROR(INDEX(INVENTÁRIO!$B$2:$B$801,MATCH(K1950,INVENTÁRIO!$A$2:$A$801,0)),"")="(sem nome)","Carta fora dos decks: digite o nome na coluna I (opcional)","")))</f>
        <v/>
      </c>
      <c r="K1950" s="11" t="str">
        <f aca="false">UPPER(TRIM(SUBSTITUTE(B1950&amp;"",CHAR(160)," ")))</f>
        <v/>
      </c>
      <c r="L1950" s="11" t="str">
        <f aca="false">IF(AND(K1950&lt;&gt;"",TRIM(I1950&amp;"")&lt;&gt;""),K1950,"")</f>
        <v/>
      </c>
    </row>
    <row r="1951" customFormat="false" ht="15" hidden="false" customHeight="false" outlineLevel="0" collapsed="false">
      <c r="A1951" s="9"/>
      <c r="B1951" s="4"/>
      <c r="C1951" s="10"/>
      <c r="D1951" s="11" t="str">
        <f aca="false">IF(K1951="","",IFERROR(INDEX(DECKS!$C$2:$C$1201,MATCH(K1951,DECKS!$B$2:$B$1201,0)),TRIM(I1951&amp;"")))</f>
        <v/>
      </c>
      <c r="E1951" s="4"/>
      <c r="F1951" s="12"/>
      <c r="G1951" s="4"/>
      <c r="H1951" s="13" t="str">
        <f aca="false">IF(OR(N(C1951)=0,N(F1951)=0),"",C1951*F1951)</f>
        <v/>
      </c>
      <c r="I1951" s="4"/>
      <c r="J1951" s="11" t="str">
        <f aca="false">IF(K1951="","",IF(N(C1951)&lt;=0,"Informe a quantidade",IF(IFERROR(INDEX(INVENTÁRIO!$B$2:$B$801,MATCH(K1951,INVENTÁRIO!$A$2:$A$801,0)),"")="(sem nome)","Carta fora dos decks: digite o nome na coluna I (opcional)","")))</f>
        <v/>
      </c>
      <c r="K1951" s="11" t="str">
        <f aca="false">UPPER(TRIM(SUBSTITUTE(B1951&amp;"",CHAR(160)," ")))</f>
        <v/>
      </c>
      <c r="L1951" s="11" t="str">
        <f aca="false">IF(AND(K1951&lt;&gt;"",TRIM(I1951&amp;"")&lt;&gt;""),K1951,"")</f>
        <v/>
      </c>
    </row>
    <row r="1952" customFormat="false" ht="15" hidden="false" customHeight="false" outlineLevel="0" collapsed="false">
      <c r="A1952" s="9"/>
      <c r="B1952" s="4"/>
      <c r="C1952" s="10"/>
      <c r="D1952" s="11" t="str">
        <f aca="false">IF(K1952="","",IFERROR(INDEX(DECKS!$C$2:$C$1201,MATCH(K1952,DECKS!$B$2:$B$1201,0)),TRIM(I1952&amp;"")))</f>
        <v/>
      </c>
      <c r="E1952" s="4"/>
      <c r="F1952" s="12"/>
      <c r="G1952" s="4"/>
      <c r="H1952" s="13" t="str">
        <f aca="false">IF(OR(N(C1952)=0,N(F1952)=0),"",C1952*F1952)</f>
        <v/>
      </c>
      <c r="I1952" s="4"/>
      <c r="J1952" s="11" t="str">
        <f aca="false">IF(K1952="","",IF(N(C1952)&lt;=0,"Informe a quantidade",IF(IFERROR(INDEX(INVENTÁRIO!$B$2:$B$801,MATCH(K1952,INVENTÁRIO!$A$2:$A$801,0)),"")="(sem nome)","Carta fora dos decks: digite o nome na coluna I (opcional)","")))</f>
        <v/>
      </c>
      <c r="K1952" s="11" t="str">
        <f aca="false">UPPER(TRIM(SUBSTITUTE(B1952&amp;"",CHAR(160)," ")))</f>
        <v/>
      </c>
      <c r="L1952" s="11" t="str">
        <f aca="false">IF(AND(K1952&lt;&gt;"",TRIM(I1952&amp;"")&lt;&gt;""),K1952,"")</f>
        <v/>
      </c>
    </row>
    <row r="1953" customFormat="false" ht="15" hidden="false" customHeight="false" outlineLevel="0" collapsed="false">
      <c r="A1953" s="9"/>
      <c r="B1953" s="4"/>
      <c r="C1953" s="10"/>
      <c r="D1953" s="11" t="str">
        <f aca="false">IF(K1953="","",IFERROR(INDEX(DECKS!$C$2:$C$1201,MATCH(K1953,DECKS!$B$2:$B$1201,0)),TRIM(I1953&amp;"")))</f>
        <v/>
      </c>
      <c r="E1953" s="4"/>
      <c r="F1953" s="12"/>
      <c r="G1953" s="4"/>
      <c r="H1953" s="13" t="str">
        <f aca="false">IF(OR(N(C1953)=0,N(F1953)=0),"",C1953*F1953)</f>
        <v/>
      </c>
      <c r="I1953" s="4"/>
      <c r="J1953" s="11" t="str">
        <f aca="false">IF(K1953="","",IF(N(C1953)&lt;=0,"Informe a quantidade",IF(IFERROR(INDEX(INVENTÁRIO!$B$2:$B$801,MATCH(K1953,INVENTÁRIO!$A$2:$A$801,0)),"")="(sem nome)","Carta fora dos decks: digite o nome na coluna I (opcional)","")))</f>
        <v/>
      </c>
      <c r="K1953" s="11" t="str">
        <f aca="false">UPPER(TRIM(SUBSTITUTE(B1953&amp;"",CHAR(160)," ")))</f>
        <v/>
      </c>
      <c r="L1953" s="11" t="str">
        <f aca="false">IF(AND(K1953&lt;&gt;"",TRIM(I1953&amp;"")&lt;&gt;""),K1953,"")</f>
        <v/>
      </c>
    </row>
    <row r="1954" customFormat="false" ht="15" hidden="false" customHeight="false" outlineLevel="0" collapsed="false">
      <c r="A1954" s="9"/>
      <c r="B1954" s="4"/>
      <c r="C1954" s="10"/>
      <c r="D1954" s="11" t="str">
        <f aca="false">IF(K1954="","",IFERROR(INDEX(DECKS!$C$2:$C$1201,MATCH(K1954,DECKS!$B$2:$B$1201,0)),TRIM(I1954&amp;"")))</f>
        <v/>
      </c>
      <c r="E1954" s="4"/>
      <c r="F1954" s="12"/>
      <c r="G1954" s="4"/>
      <c r="H1954" s="13" t="str">
        <f aca="false">IF(OR(N(C1954)=0,N(F1954)=0),"",C1954*F1954)</f>
        <v/>
      </c>
      <c r="I1954" s="4"/>
      <c r="J1954" s="11" t="str">
        <f aca="false">IF(K1954="","",IF(N(C1954)&lt;=0,"Informe a quantidade",IF(IFERROR(INDEX(INVENTÁRIO!$B$2:$B$801,MATCH(K1954,INVENTÁRIO!$A$2:$A$801,0)),"")="(sem nome)","Carta fora dos decks: digite o nome na coluna I (opcional)","")))</f>
        <v/>
      </c>
      <c r="K1954" s="11" t="str">
        <f aca="false">UPPER(TRIM(SUBSTITUTE(B1954&amp;"",CHAR(160)," ")))</f>
        <v/>
      </c>
      <c r="L1954" s="11" t="str">
        <f aca="false">IF(AND(K1954&lt;&gt;"",TRIM(I1954&amp;"")&lt;&gt;""),K1954,"")</f>
        <v/>
      </c>
    </row>
    <row r="1955" customFormat="false" ht="15" hidden="false" customHeight="false" outlineLevel="0" collapsed="false">
      <c r="A1955" s="9"/>
      <c r="B1955" s="4"/>
      <c r="C1955" s="10"/>
      <c r="D1955" s="11" t="str">
        <f aca="false">IF(K1955="","",IFERROR(INDEX(DECKS!$C$2:$C$1201,MATCH(K1955,DECKS!$B$2:$B$1201,0)),TRIM(I1955&amp;"")))</f>
        <v/>
      </c>
      <c r="E1955" s="4"/>
      <c r="F1955" s="12"/>
      <c r="G1955" s="4"/>
      <c r="H1955" s="13" t="str">
        <f aca="false">IF(OR(N(C1955)=0,N(F1955)=0),"",C1955*F1955)</f>
        <v/>
      </c>
      <c r="I1955" s="4"/>
      <c r="J1955" s="11" t="str">
        <f aca="false">IF(K1955="","",IF(N(C1955)&lt;=0,"Informe a quantidade",IF(IFERROR(INDEX(INVENTÁRIO!$B$2:$B$801,MATCH(K1955,INVENTÁRIO!$A$2:$A$801,0)),"")="(sem nome)","Carta fora dos decks: digite o nome na coluna I (opcional)","")))</f>
        <v/>
      </c>
      <c r="K1955" s="11" t="str">
        <f aca="false">UPPER(TRIM(SUBSTITUTE(B1955&amp;"",CHAR(160)," ")))</f>
        <v/>
      </c>
      <c r="L1955" s="11" t="str">
        <f aca="false">IF(AND(K1955&lt;&gt;"",TRIM(I1955&amp;"")&lt;&gt;""),K1955,"")</f>
        <v/>
      </c>
    </row>
    <row r="1956" customFormat="false" ht="15" hidden="false" customHeight="false" outlineLevel="0" collapsed="false">
      <c r="A1956" s="9"/>
      <c r="B1956" s="4"/>
      <c r="C1956" s="10"/>
      <c r="D1956" s="11" t="str">
        <f aca="false">IF(K1956="","",IFERROR(INDEX(DECKS!$C$2:$C$1201,MATCH(K1956,DECKS!$B$2:$B$1201,0)),TRIM(I1956&amp;"")))</f>
        <v/>
      </c>
      <c r="E1956" s="4"/>
      <c r="F1956" s="12"/>
      <c r="G1956" s="4"/>
      <c r="H1956" s="13" t="str">
        <f aca="false">IF(OR(N(C1956)=0,N(F1956)=0),"",C1956*F1956)</f>
        <v/>
      </c>
      <c r="I1956" s="4"/>
      <c r="J1956" s="11" t="str">
        <f aca="false">IF(K1956="","",IF(N(C1956)&lt;=0,"Informe a quantidade",IF(IFERROR(INDEX(INVENTÁRIO!$B$2:$B$801,MATCH(K1956,INVENTÁRIO!$A$2:$A$801,0)),"")="(sem nome)","Carta fora dos decks: digite o nome na coluna I (opcional)","")))</f>
        <v/>
      </c>
      <c r="K1956" s="11" t="str">
        <f aca="false">UPPER(TRIM(SUBSTITUTE(B1956&amp;"",CHAR(160)," ")))</f>
        <v/>
      </c>
      <c r="L1956" s="11" t="str">
        <f aca="false">IF(AND(K1956&lt;&gt;"",TRIM(I1956&amp;"")&lt;&gt;""),K1956,"")</f>
        <v/>
      </c>
    </row>
    <row r="1957" customFormat="false" ht="15" hidden="false" customHeight="false" outlineLevel="0" collapsed="false">
      <c r="A1957" s="9"/>
      <c r="B1957" s="4"/>
      <c r="C1957" s="10"/>
      <c r="D1957" s="11" t="str">
        <f aca="false">IF(K1957="","",IFERROR(INDEX(DECKS!$C$2:$C$1201,MATCH(K1957,DECKS!$B$2:$B$1201,0)),TRIM(I1957&amp;"")))</f>
        <v/>
      </c>
      <c r="E1957" s="4"/>
      <c r="F1957" s="12"/>
      <c r="G1957" s="4"/>
      <c r="H1957" s="13" t="str">
        <f aca="false">IF(OR(N(C1957)=0,N(F1957)=0),"",C1957*F1957)</f>
        <v/>
      </c>
      <c r="I1957" s="4"/>
      <c r="J1957" s="11" t="str">
        <f aca="false">IF(K1957="","",IF(N(C1957)&lt;=0,"Informe a quantidade",IF(IFERROR(INDEX(INVENTÁRIO!$B$2:$B$801,MATCH(K1957,INVENTÁRIO!$A$2:$A$801,0)),"")="(sem nome)","Carta fora dos decks: digite o nome na coluna I (opcional)","")))</f>
        <v/>
      </c>
      <c r="K1957" s="11" t="str">
        <f aca="false">UPPER(TRIM(SUBSTITUTE(B1957&amp;"",CHAR(160)," ")))</f>
        <v/>
      </c>
      <c r="L1957" s="11" t="str">
        <f aca="false">IF(AND(K1957&lt;&gt;"",TRIM(I1957&amp;"")&lt;&gt;""),K1957,"")</f>
        <v/>
      </c>
    </row>
    <row r="1958" customFormat="false" ht="15" hidden="false" customHeight="false" outlineLevel="0" collapsed="false">
      <c r="A1958" s="9"/>
      <c r="B1958" s="4"/>
      <c r="C1958" s="10"/>
      <c r="D1958" s="11" t="str">
        <f aca="false">IF(K1958="","",IFERROR(INDEX(DECKS!$C$2:$C$1201,MATCH(K1958,DECKS!$B$2:$B$1201,0)),TRIM(I1958&amp;"")))</f>
        <v/>
      </c>
      <c r="E1958" s="4"/>
      <c r="F1958" s="12"/>
      <c r="G1958" s="4"/>
      <c r="H1958" s="13" t="str">
        <f aca="false">IF(OR(N(C1958)=0,N(F1958)=0),"",C1958*F1958)</f>
        <v/>
      </c>
      <c r="I1958" s="4"/>
      <c r="J1958" s="11" t="str">
        <f aca="false">IF(K1958="","",IF(N(C1958)&lt;=0,"Informe a quantidade",IF(IFERROR(INDEX(INVENTÁRIO!$B$2:$B$801,MATCH(K1958,INVENTÁRIO!$A$2:$A$801,0)),"")="(sem nome)","Carta fora dos decks: digite o nome na coluna I (opcional)","")))</f>
        <v/>
      </c>
      <c r="K1958" s="11" t="str">
        <f aca="false">UPPER(TRIM(SUBSTITUTE(B1958&amp;"",CHAR(160)," ")))</f>
        <v/>
      </c>
      <c r="L1958" s="11" t="str">
        <f aca="false">IF(AND(K1958&lt;&gt;"",TRIM(I1958&amp;"")&lt;&gt;""),K1958,"")</f>
        <v/>
      </c>
    </row>
    <row r="1959" customFormat="false" ht="15" hidden="false" customHeight="false" outlineLevel="0" collapsed="false">
      <c r="A1959" s="9"/>
      <c r="B1959" s="4"/>
      <c r="C1959" s="10"/>
      <c r="D1959" s="11" t="str">
        <f aca="false">IF(K1959="","",IFERROR(INDEX(DECKS!$C$2:$C$1201,MATCH(K1959,DECKS!$B$2:$B$1201,0)),TRIM(I1959&amp;"")))</f>
        <v/>
      </c>
      <c r="E1959" s="4"/>
      <c r="F1959" s="12"/>
      <c r="G1959" s="4"/>
      <c r="H1959" s="13" t="str">
        <f aca="false">IF(OR(N(C1959)=0,N(F1959)=0),"",C1959*F1959)</f>
        <v/>
      </c>
      <c r="I1959" s="4"/>
      <c r="J1959" s="11" t="str">
        <f aca="false">IF(K1959="","",IF(N(C1959)&lt;=0,"Informe a quantidade",IF(IFERROR(INDEX(INVENTÁRIO!$B$2:$B$801,MATCH(K1959,INVENTÁRIO!$A$2:$A$801,0)),"")="(sem nome)","Carta fora dos decks: digite o nome na coluna I (opcional)","")))</f>
        <v/>
      </c>
      <c r="K1959" s="11" t="str">
        <f aca="false">UPPER(TRIM(SUBSTITUTE(B1959&amp;"",CHAR(160)," ")))</f>
        <v/>
      </c>
      <c r="L1959" s="11" t="str">
        <f aca="false">IF(AND(K1959&lt;&gt;"",TRIM(I1959&amp;"")&lt;&gt;""),K1959,"")</f>
        <v/>
      </c>
    </row>
    <row r="1960" customFormat="false" ht="15" hidden="false" customHeight="false" outlineLevel="0" collapsed="false">
      <c r="A1960" s="9"/>
      <c r="B1960" s="4"/>
      <c r="C1960" s="10"/>
      <c r="D1960" s="11" t="str">
        <f aca="false">IF(K1960="","",IFERROR(INDEX(DECKS!$C$2:$C$1201,MATCH(K1960,DECKS!$B$2:$B$1201,0)),TRIM(I1960&amp;"")))</f>
        <v/>
      </c>
      <c r="E1960" s="4"/>
      <c r="F1960" s="12"/>
      <c r="G1960" s="4"/>
      <c r="H1960" s="13" t="str">
        <f aca="false">IF(OR(N(C1960)=0,N(F1960)=0),"",C1960*F1960)</f>
        <v/>
      </c>
      <c r="I1960" s="4"/>
      <c r="J1960" s="11" t="str">
        <f aca="false">IF(K1960="","",IF(N(C1960)&lt;=0,"Informe a quantidade",IF(IFERROR(INDEX(INVENTÁRIO!$B$2:$B$801,MATCH(K1960,INVENTÁRIO!$A$2:$A$801,0)),"")="(sem nome)","Carta fora dos decks: digite o nome na coluna I (opcional)","")))</f>
        <v/>
      </c>
      <c r="K1960" s="11" t="str">
        <f aca="false">UPPER(TRIM(SUBSTITUTE(B1960&amp;"",CHAR(160)," ")))</f>
        <v/>
      </c>
      <c r="L1960" s="11" t="str">
        <f aca="false">IF(AND(K1960&lt;&gt;"",TRIM(I1960&amp;"")&lt;&gt;""),K1960,"")</f>
        <v/>
      </c>
    </row>
    <row r="1961" customFormat="false" ht="15" hidden="false" customHeight="false" outlineLevel="0" collapsed="false">
      <c r="A1961" s="9"/>
      <c r="B1961" s="4"/>
      <c r="C1961" s="10"/>
      <c r="D1961" s="11" t="str">
        <f aca="false">IF(K1961="","",IFERROR(INDEX(DECKS!$C$2:$C$1201,MATCH(K1961,DECKS!$B$2:$B$1201,0)),TRIM(I1961&amp;"")))</f>
        <v/>
      </c>
      <c r="E1961" s="4"/>
      <c r="F1961" s="12"/>
      <c r="G1961" s="4"/>
      <c r="H1961" s="13" t="str">
        <f aca="false">IF(OR(N(C1961)=0,N(F1961)=0),"",C1961*F1961)</f>
        <v/>
      </c>
      <c r="I1961" s="4"/>
      <c r="J1961" s="11" t="str">
        <f aca="false">IF(K1961="","",IF(N(C1961)&lt;=0,"Informe a quantidade",IF(IFERROR(INDEX(INVENTÁRIO!$B$2:$B$801,MATCH(K1961,INVENTÁRIO!$A$2:$A$801,0)),"")="(sem nome)","Carta fora dos decks: digite o nome na coluna I (opcional)","")))</f>
        <v/>
      </c>
      <c r="K1961" s="11" t="str">
        <f aca="false">UPPER(TRIM(SUBSTITUTE(B1961&amp;"",CHAR(160)," ")))</f>
        <v/>
      </c>
      <c r="L1961" s="11" t="str">
        <f aca="false">IF(AND(K1961&lt;&gt;"",TRIM(I1961&amp;"")&lt;&gt;""),K1961,"")</f>
        <v/>
      </c>
    </row>
    <row r="1962" customFormat="false" ht="15" hidden="false" customHeight="false" outlineLevel="0" collapsed="false">
      <c r="A1962" s="9"/>
      <c r="B1962" s="4"/>
      <c r="C1962" s="10"/>
      <c r="D1962" s="11" t="str">
        <f aca="false">IF(K1962="","",IFERROR(INDEX(DECKS!$C$2:$C$1201,MATCH(K1962,DECKS!$B$2:$B$1201,0)),TRIM(I1962&amp;"")))</f>
        <v/>
      </c>
      <c r="E1962" s="4"/>
      <c r="F1962" s="12"/>
      <c r="G1962" s="4"/>
      <c r="H1962" s="13" t="str">
        <f aca="false">IF(OR(N(C1962)=0,N(F1962)=0),"",C1962*F1962)</f>
        <v/>
      </c>
      <c r="I1962" s="4"/>
      <c r="J1962" s="11" t="str">
        <f aca="false">IF(K1962="","",IF(N(C1962)&lt;=0,"Informe a quantidade",IF(IFERROR(INDEX(INVENTÁRIO!$B$2:$B$801,MATCH(K1962,INVENTÁRIO!$A$2:$A$801,0)),"")="(sem nome)","Carta fora dos decks: digite o nome na coluna I (opcional)","")))</f>
        <v/>
      </c>
      <c r="K1962" s="11" t="str">
        <f aca="false">UPPER(TRIM(SUBSTITUTE(B1962&amp;"",CHAR(160)," ")))</f>
        <v/>
      </c>
      <c r="L1962" s="11" t="str">
        <f aca="false">IF(AND(K1962&lt;&gt;"",TRIM(I1962&amp;"")&lt;&gt;""),K1962,"")</f>
        <v/>
      </c>
    </row>
    <row r="1963" customFormat="false" ht="15" hidden="false" customHeight="false" outlineLevel="0" collapsed="false">
      <c r="A1963" s="9"/>
      <c r="B1963" s="4"/>
      <c r="C1963" s="10"/>
      <c r="D1963" s="11" t="str">
        <f aca="false">IF(K1963="","",IFERROR(INDEX(DECKS!$C$2:$C$1201,MATCH(K1963,DECKS!$B$2:$B$1201,0)),TRIM(I1963&amp;"")))</f>
        <v/>
      </c>
      <c r="E1963" s="4"/>
      <c r="F1963" s="12"/>
      <c r="G1963" s="4"/>
      <c r="H1963" s="13" t="str">
        <f aca="false">IF(OR(N(C1963)=0,N(F1963)=0),"",C1963*F1963)</f>
        <v/>
      </c>
      <c r="I1963" s="4"/>
      <c r="J1963" s="11" t="str">
        <f aca="false">IF(K1963="","",IF(N(C1963)&lt;=0,"Informe a quantidade",IF(IFERROR(INDEX(INVENTÁRIO!$B$2:$B$801,MATCH(K1963,INVENTÁRIO!$A$2:$A$801,0)),"")="(sem nome)","Carta fora dos decks: digite o nome na coluna I (opcional)","")))</f>
        <v/>
      </c>
      <c r="K1963" s="11" t="str">
        <f aca="false">UPPER(TRIM(SUBSTITUTE(B1963&amp;"",CHAR(160)," ")))</f>
        <v/>
      </c>
      <c r="L1963" s="11" t="str">
        <f aca="false">IF(AND(K1963&lt;&gt;"",TRIM(I1963&amp;"")&lt;&gt;""),K1963,"")</f>
        <v/>
      </c>
    </row>
    <row r="1964" customFormat="false" ht="15" hidden="false" customHeight="false" outlineLevel="0" collapsed="false">
      <c r="A1964" s="9"/>
      <c r="B1964" s="4"/>
      <c r="C1964" s="10"/>
      <c r="D1964" s="11" t="str">
        <f aca="false">IF(K1964="","",IFERROR(INDEX(DECKS!$C$2:$C$1201,MATCH(K1964,DECKS!$B$2:$B$1201,0)),TRIM(I1964&amp;"")))</f>
        <v/>
      </c>
      <c r="E1964" s="4"/>
      <c r="F1964" s="12"/>
      <c r="G1964" s="4"/>
      <c r="H1964" s="13" t="str">
        <f aca="false">IF(OR(N(C1964)=0,N(F1964)=0),"",C1964*F1964)</f>
        <v/>
      </c>
      <c r="I1964" s="4"/>
      <c r="J1964" s="11" t="str">
        <f aca="false">IF(K1964="","",IF(N(C1964)&lt;=0,"Informe a quantidade",IF(IFERROR(INDEX(INVENTÁRIO!$B$2:$B$801,MATCH(K1964,INVENTÁRIO!$A$2:$A$801,0)),"")="(sem nome)","Carta fora dos decks: digite o nome na coluna I (opcional)","")))</f>
        <v/>
      </c>
      <c r="K1964" s="11" t="str">
        <f aca="false">UPPER(TRIM(SUBSTITUTE(B1964&amp;"",CHAR(160)," ")))</f>
        <v/>
      </c>
      <c r="L1964" s="11" t="str">
        <f aca="false">IF(AND(K1964&lt;&gt;"",TRIM(I1964&amp;"")&lt;&gt;""),K1964,"")</f>
        <v/>
      </c>
    </row>
    <row r="1965" customFormat="false" ht="15" hidden="false" customHeight="false" outlineLevel="0" collapsed="false">
      <c r="A1965" s="9"/>
      <c r="B1965" s="4"/>
      <c r="C1965" s="10"/>
      <c r="D1965" s="11" t="str">
        <f aca="false">IF(K1965="","",IFERROR(INDEX(DECKS!$C$2:$C$1201,MATCH(K1965,DECKS!$B$2:$B$1201,0)),TRIM(I1965&amp;"")))</f>
        <v/>
      </c>
      <c r="E1965" s="4"/>
      <c r="F1965" s="12"/>
      <c r="G1965" s="4"/>
      <c r="H1965" s="13" t="str">
        <f aca="false">IF(OR(N(C1965)=0,N(F1965)=0),"",C1965*F1965)</f>
        <v/>
      </c>
      <c r="I1965" s="4"/>
      <c r="J1965" s="11" t="str">
        <f aca="false">IF(K1965="","",IF(N(C1965)&lt;=0,"Informe a quantidade",IF(IFERROR(INDEX(INVENTÁRIO!$B$2:$B$801,MATCH(K1965,INVENTÁRIO!$A$2:$A$801,0)),"")="(sem nome)","Carta fora dos decks: digite o nome na coluna I (opcional)","")))</f>
        <v/>
      </c>
      <c r="K1965" s="11" t="str">
        <f aca="false">UPPER(TRIM(SUBSTITUTE(B1965&amp;"",CHAR(160)," ")))</f>
        <v/>
      </c>
      <c r="L1965" s="11" t="str">
        <f aca="false">IF(AND(K1965&lt;&gt;"",TRIM(I1965&amp;"")&lt;&gt;""),K1965,"")</f>
        <v/>
      </c>
    </row>
    <row r="1966" customFormat="false" ht="15" hidden="false" customHeight="false" outlineLevel="0" collapsed="false">
      <c r="A1966" s="9"/>
      <c r="B1966" s="4"/>
      <c r="C1966" s="10"/>
      <c r="D1966" s="11" t="str">
        <f aca="false">IF(K1966="","",IFERROR(INDEX(DECKS!$C$2:$C$1201,MATCH(K1966,DECKS!$B$2:$B$1201,0)),TRIM(I1966&amp;"")))</f>
        <v/>
      </c>
      <c r="E1966" s="4"/>
      <c r="F1966" s="12"/>
      <c r="G1966" s="4"/>
      <c r="H1966" s="13" t="str">
        <f aca="false">IF(OR(N(C1966)=0,N(F1966)=0),"",C1966*F1966)</f>
        <v/>
      </c>
      <c r="I1966" s="4"/>
      <c r="J1966" s="11" t="str">
        <f aca="false">IF(K1966="","",IF(N(C1966)&lt;=0,"Informe a quantidade",IF(IFERROR(INDEX(INVENTÁRIO!$B$2:$B$801,MATCH(K1966,INVENTÁRIO!$A$2:$A$801,0)),"")="(sem nome)","Carta fora dos decks: digite o nome na coluna I (opcional)","")))</f>
        <v/>
      </c>
      <c r="K1966" s="11" t="str">
        <f aca="false">UPPER(TRIM(SUBSTITUTE(B1966&amp;"",CHAR(160)," ")))</f>
        <v/>
      </c>
      <c r="L1966" s="11" t="str">
        <f aca="false">IF(AND(K1966&lt;&gt;"",TRIM(I1966&amp;"")&lt;&gt;""),K1966,"")</f>
        <v/>
      </c>
    </row>
    <row r="1967" customFormat="false" ht="15" hidden="false" customHeight="false" outlineLevel="0" collapsed="false">
      <c r="A1967" s="9"/>
      <c r="B1967" s="4"/>
      <c r="C1967" s="10"/>
      <c r="D1967" s="11" t="str">
        <f aca="false">IF(K1967="","",IFERROR(INDEX(DECKS!$C$2:$C$1201,MATCH(K1967,DECKS!$B$2:$B$1201,0)),TRIM(I1967&amp;"")))</f>
        <v/>
      </c>
      <c r="E1967" s="4"/>
      <c r="F1967" s="12"/>
      <c r="G1967" s="4"/>
      <c r="H1967" s="13" t="str">
        <f aca="false">IF(OR(N(C1967)=0,N(F1967)=0),"",C1967*F1967)</f>
        <v/>
      </c>
      <c r="I1967" s="4"/>
      <c r="J1967" s="11" t="str">
        <f aca="false">IF(K1967="","",IF(N(C1967)&lt;=0,"Informe a quantidade",IF(IFERROR(INDEX(INVENTÁRIO!$B$2:$B$801,MATCH(K1967,INVENTÁRIO!$A$2:$A$801,0)),"")="(sem nome)","Carta fora dos decks: digite o nome na coluna I (opcional)","")))</f>
        <v/>
      </c>
      <c r="K1967" s="11" t="str">
        <f aca="false">UPPER(TRIM(SUBSTITUTE(B1967&amp;"",CHAR(160)," ")))</f>
        <v/>
      </c>
      <c r="L1967" s="11" t="str">
        <f aca="false">IF(AND(K1967&lt;&gt;"",TRIM(I1967&amp;"")&lt;&gt;""),K1967,"")</f>
        <v/>
      </c>
    </row>
    <row r="1968" customFormat="false" ht="15" hidden="false" customHeight="false" outlineLevel="0" collapsed="false">
      <c r="A1968" s="9"/>
      <c r="B1968" s="4"/>
      <c r="C1968" s="10"/>
      <c r="D1968" s="11" t="str">
        <f aca="false">IF(K1968="","",IFERROR(INDEX(DECKS!$C$2:$C$1201,MATCH(K1968,DECKS!$B$2:$B$1201,0)),TRIM(I1968&amp;"")))</f>
        <v/>
      </c>
      <c r="E1968" s="4"/>
      <c r="F1968" s="12"/>
      <c r="G1968" s="4"/>
      <c r="H1968" s="13" t="str">
        <f aca="false">IF(OR(N(C1968)=0,N(F1968)=0),"",C1968*F1968)</f>
        <v/>
      </c>
      <c r="I1968" s="4"/>
      <c r="J1968" s="11" t="str">
        <f aca="false">IF(K1968="","",IF(N(C1968)&lt;=0,"Informe a quantidade",IF(IFERROR(INDEX(INVENTÁRIO!$B$2:$B$801,MATCH(K1968,INVENTÁRIO!$A$2:$A$801,0)),"")="(sem nome)","Carta fora dos decks: digite o nome na coluna I (opcional)","")))</f>
        <v/>
      </c>
      <c r="K1968" s="11" t="str">
        <f aca="false">UPPER(TRIM(SUBSTITUTE(B1968&amp;"",CHAR(160)," ")))</f>
        <v/>
      </c>
      <c r="L1968" s="11" t="str">
        <f aca="false">IF(AND(K1968&lt;&gt;"",TRIM(I1968&amp;"")&lt;&gt;""),K1968,"")</f>
        <v/>
      </c>
    </row>
    <row r="1969" customFormat="false" ht="15" hidden="false" customHeight="false" outlineLevel="0" collapsed="false">
      <c r="A1969" s="9"/>
      <c r="B1969" s="4"/>
      <c r="C1969" s="10"/>
      <c r="D1969" s="11" t="str">
        <f aca="false">IF(K1969="","",IFERROR(INDEX(DECKS!$C$2:$C$1201,MATCH(K1969,DECKS!$B$2:$B$1201,0)),TRIM(I1969&amp;"")))</f>
        <v/>
      </c>
      <c r="E1969" s="4"/>
      <c r="F1969" s="12"/>
      <c r="G1969" s="4"/>
      <c r="H1969" s="13" t="str">
        <f aca="false">IF(OR(N(C1969)=0,N(F1969)=0),"",C1969*F1969)</f>
        <v/>
      </c>
      <c r="I1969" s="4"/>
      <c r="J1969" s="11" t="str">
        <f aca="false">IF(K1969="","",IF(N(C1969)&lt;=0,"Informe a quantidade",IF(IFERROR(INDEX(INVENTÁRIO!$B$2:$B$801,MATCH(K1969,INVENTÁRIO!$A$2:$A$801,0)),"")="(sem nome)","Carta fora dos decks: digite o nome na coluna I (opcional)","")))</f>
        <v/>
      </c>
      <c r="K1969" s="11" t="str">
        <f aca="false">UPPER(TRIM(SUBSTITUTE(B1969&amp;"",CHAR(160)," ")))</f>
        <v/>
      </c>
      <c r="L1969" s="11" t="str">
        <f aca="false">IF(AND(K1969&lt;&gt;"",TRIM(I1969&amp;"")&lt;&gt;""),K1969,"")</f>
        <v/>
      </c>
    </row>
    <row r="1970" customFormat="false" ht="15" hidden="false" customHeight="false" outlineLevel="0" collapsed="false">
      <c r="A1970" s="9"/>
      <c r="B1970" s="4"/>
      <c r="C1970" s="10"/>
      <c r="D1970" s="11" t="str">
        <f aca="false">IF(K1970="","",IFERROR(INDEX(DECKS!$C$2:$C$1201,MATCH(K1970,DECKS!$B$2:$B$1201,0)),TRIM(I1970&amp;"")))</f>
        <v/>
      </c>
      <c r="E1970" s="4"/>
      <c r="F1970" s="12"/>
      <c r="G1970" s="4"/>
      <c r="H1970" s="13" t="str">
        <f aca="false">IF(OR(N(C1970)=0,N(F1970)=0),"",C1970*F1970)</f>
        <v/>
      </c>
      <c r="I1970" s="4"/>
      <c r="J1970" s="11" t="str">
        <f aca="false">IF(K1970="","",IF(N(C1970)&lt;=0,"Informe a quantidade",IF(IFERROR(INDEX(INVENTÁRIO!$B$2:$B$801,MATCH(K1970,INVENTÁRIO!$A$2:$A$801,0)),"")="(sem nome)","Carta fora dos decks: digite o nome na coluna I (opcional)","")))</f>
        <v/>
      </c>
      <c r="K1970" s="11" t="str">
        <f aca="false">UPPER(TRIM(SUBSTITUTE(B1970&amp;"",CHAR(160)," ")))</f>
        <v/>
      </c>
      <c r="L1970" s="11" t="str">
        <f aca="false">IF(AND(K1970&lt;&gt;"",TRIM(I1970&amp;"")&lt;&gt;""),K1970,"")</f>
        <v/>
      </c>
    </row>
    <row r="1971" customFormat="false" ht="15" hidden="false" customHeight="false" outlineLevel="0" collapsed="false">
      <c r="A1971" s="9"/>
      <c r="B1971" s="4"/>
      <c r="C1971" s="10"/>
      <c r="D1971" s="11" t="str">
        <f aca="false">IF(K1971="","",IFERROR(INDEX(DECKS!$C$2:$C$1201,MATCH(K1971,DECKS!$B$2:$B$1201,0)),TRIM(I1971&amp;"")))</f>
        <v/>
      </c>
      <c r="E1971" s="4"/>
      <c r="F1971" s="12"/>
      <c r="G1971" s="4"/>
      <c r="H1971" s="13" t="str">
        <f aca="false">IF(OR(N(C1971)=0,N(F1971)=0),"",C1971*F1971)</f>
        <v/>
      </c>
      <c r="I1971" s="4"/>
      <c r="J1971" s="11" t="str">
        <f aca="false">IF(K1971="","",IF(N(C1971)&lt;=0,"Informe a quantidade",IF(IFERROR(INDEX(INVENTÁRIO!$B$2:$B$801,MATCH(K1971,INVENTÁRIO!$A$2:$A$801,0)),"")="(sem nome)","Carta fora dos decks: digite o nome na coluna I (opcional)","")))</f>
        <v/>
      </c>
      <c r="K1971" s="11" t="str">
        <f aca="false">UPPER(TRIM(SUBSTITUTE(B1971&amp;"",CHAR(160)," ")))</f>
        <v/>
      </c>
      <c r="L1971" s="11" t="str">
        <f aca="false">IF(AND(K1971&lt;&gt;"",TRIM(I1971&amp;"")&lt;&gt;""),K1971,"")</f>
        <v/>
      </c>
    </row>
    <row r="1972" customFormat="false" ht="15" hidden="false" customHeight="false" outlineLevel="0" collapsed="false">
      <c r="A1972" s="9"/>
      <c r="B1972" s="4"/>
      <c r="C1972" s="10"/>
      <c r="D1972" s="11" t="str">
        <f aca="false">IF(K1972="","",IFERROR(INDEX(DECKS!$C$2:$C$1201,MATCH(K1972,DECKS!$B$2:$B$1201,0)),TRIM(I1972&amp;"")))</f>
        <v/>
      </c>
      <c r="E1972" s="4"/>
      <c r="F1972" s="12"/>
      <c r="G1972" s="4"/>
      <c r="H1972" s="13" t="str">
        <f aca="false">IF(OR(N(C1972)=0,N(F1972)=0),"",C1972*F1972)</f>
        <v/>
      </c>
      <c r="I1972" s="4"/>
      <c r="J1972" s="11" t="str">
        <f aca="false">IF(K1972="","",IF(N(C1972)&lt;=0,"Informe a quantidade",IF(IFERROR(INDEX(INVENTÁRIO!$B$2:$B$801,MATCH(K1972,INVENTÁRIO!$A$2:$A$801,0)),"")="(sem nome)","Carta fora dos decks: digite o nome na coluna I (opcional)","")))</f>
        <v/>
      </c>
      <c r="K1972" s="11" t="str">
        <f aca="false">UPPER(TRIM(SUBSTITUTE(B1972&amp;"",CHAR(160)," ")))</f>
        <v/>
      </c>
      <c r="L1972" s="11" t="str">
        <f aca="false">IF(AND(K1972&lt;&gt;"",TRIM(I1972&amp;"")&lt;&gt;""),K1972,"")</f>
        <v/>
      </c>
    </row>
    <row r="1973" customFormat="false" ht="15" hidden="false" customHeight="false" outlineLevel="0" collapsed="false">
      <c r="A1973" s="9"/>
      <c r="B1973" s="4"/>
      <c r="C1973" s="10"/>
      <c r="D1973" s="11" t="str">
        <f aca="false">IF(K1973="","",IFERROR(INDEX(DECKS!$C$2:$C$1201,MATCH(K1973,DECKS!$B$2:$B$1201,0)),TRIM(I1973&amp;"")))</f>
        <v/>
      </c>
      <c r="E1973" s="4"/>
      <c r="F1973" s="12"/>
      <c r="G1973" s="4"/>
      <c r="H1973" s="13" t="str">
        <f aca="false">IF(OR(N(C1973)=0,N(F1973)=0),"",C1973*F1973)</f>
        <v/>
      </c>
      <c r="I1973" s="4"/>
      <c r="J1973" s="11" t="str">
        <f aca="false">IF(K1973="","",IF(N(C1973)&lt;=0,"Informe a quantidade",IF(IFERROR(INDEX(INVENTÁRIO!$B$2:$B$801,MATCH(K1973,INVENTÁRIO!$A$2:$A$801,0)),"")="(sem nome)","Carta fora dos decks: digite o nome na coluna I (opcional)","")))</f>
        <v/>
      </c>
      <c r="K1973" s="11" t="str">
        <f aca="false">UPPER(TRIM(SUBSTITUTE(B1973&amp;"",CHAR(160)," ")))</f>
        <v/>
      </c>
      <c r="L1973" s="11" t="str">
        <f aca="false">IF(AND(K1973&lt;&gt;"",TRIM(I1973&amp;"")&lt;&gt;""),K1973,"")</f>
        <v/>
      </c>
    </row>
    <row r="1974" customFormat="false" ht="15" hidden="false" customHeight="false" outlineLevel="0" collapsed="false">
      <c r="A1974" s="9"/>
      <c r="B1974" s="4"/>
      <c r="C1974" s="10"/>
      <c r="D1974" s="11" t="str">
        <f aca="false">IF(K1974="","",IFERROR(INDEX(DECKS!$C$2:$C$1201,MATCH(K1974,DECKS!$B$2:$B$1201,0)),TRIM(I1974&amp;"")))</f>
        <v/>
      </c>
      <c r="E1974" s="4"/>
      <c r="F1974" s="12"/>
      <c r="G1974" s="4"/>
      <c r="H1974" s="13" t="str">
        <f aca="false">IF(OR(N(C1974)=0,N(F1974)=0),"",C1974*F1974)</f>
        <v/>
      </c>
      <c r="I1974" s="4"/>
      <c r="J1974" s="11" t="str">
        <f aca="false">IF(K1974="","",IF(N(C1974)&lt;=0,"Informe a quantidade",IF(IFERROR(INDEX(INVENTÁRIO!$B$2:$B$801,MATCH(K1974,INVENTÁRIO!$A$2:$A$801,0)),"")="(sem nome)","Carta fora dos decks: digite o nome na coluna I (opcional)","")))</f>
        <v/>
      </c>
      <c r="K1974" s="11" t="str">
        <f aca="false">UPPER(TRIM(SUBSTITUTE(B1974&amp;"",CHAR(160)," ")))</f>
        <v/>
      </c>
      <c r="L1974" s="11" t="str">
        <f aca="false">IF(AND(K1974&lt;&gt;"",TRIM(I1974&amp;"")&lt;&gt;""),K1974,"")</f>
        <v/>
      </c>
    </row>
    <row r="1975" customFormat="false" ht="15" hidden="false" customHeight="false" outlineLevel="0" collapsed="false">
      <c r="A1975" s="9"/>
      <c r="B1975" s="4"/>
      <c r="C1975" s="10"/>
      <c r="D1975" s="11" t="str">
        <f aca="false">IF(K1975="","",IFERROR(INDEX(DECKS!$C$2:$C$1201,MATCH(K1975,DECKS!$B$2:$B$1201,0)),TRIM(I1975&amp;"")))</f>
        <v/>
      </c>
      <c r="E1975" s="4"/>
      <c r="F1975" s="12"/>
      <c r="G1975" s="4"/>
      <c r="H1975" s="13" t="str">
        <f aca="false">IF(OR(N(C1975)=0,N(F1975)=0),"",C1975*F1975)</f>
        <v/>
      </c>
      <c r="I1975" s="4"/>
      <c r="J1975" s="11" t="str">
        <f aca="false">IF(K1975="","",IF(N(C1975)&lt;=0,"Informe a quantidade",IF(IFERROR(INDEX(INVENTÁRIO!$B$2:$B$801,MATCH(K1975,INVENTÁRIO!$A$2:$A$801,0)),"")="(sem nome)","Carta fora dos decks: digite o nome na coluna I (opcional)","")))</f>
        <v/>
      </c>
      <c r="K1975" s="11" t="str">
        <f aca="false">UPPER(TRIM(SUBSTITUTE(B1975&amp;"",CHAR(160)," ")))</f>
        <v/>
      </c>
      <c r="L1975" s="11" t="str">
        <f aca="false">IF(AND(K1975&lt;&gt;"",TRIM(I1975&amp;"")&lt;&gt;""),K1975,"")</f>
        <v/>
      </c>
    </row>
    <row r="1976" customFormat="false" ht="15" hidden="false" customHeight="false" outlineLevel="0" collapsed="false">
      <c r="A1976" s="9"/>
      <c r="B1976" s="4"/>
      <c r="C1976" s="10"/>
      <c r="D1976" s="11" t="str">
        <f aca="false">IF(K1976="","",IFERROR(INDEX(DECKS!$C$2:$C$1201,MATCH(K1976,DECKS!$B$2:$B$1201,0)),TRIM(I1976&amp;"")))</f>
        <v/>
      </c>
      <c r="E1976" s="4"/>
      <c r="F1976" s="12"/>
      <c r="G1976" s="4"/>
      <c r="H1976" s="13" t="str">
        <f aca="false">IF(OR(N(C1976)=0,N(F1976)=0),"",C1976*F1976)</f>
        <v/>
      </c>
      <c r="I1976" s="4"/>
      <c r="J1976" s="11" t="str">
        <f aca="false">IF(K1976="","",IF(N(C1976)&lt;=0,"Informe a quantidade",IF(IFERROR(INDEX(INVENTÁRIO!$B$2:$B$801,MATCH(K1976,INVENTÁRIO!$A$2:$A$801,0)),"")="(sem nome)","Carta fora dos decks: digite o nome na coluna I (opcional)","")))</f>
        <v/>
      </c>
      <c r="K1976" s="11" t="str">
        <f aca="false">UPPER(TRIM(SUBSTITUTE(B1976&amp;"",CHAR(160)," ")))</f>
        <v/>
      </c>
      <c r="L1976" s="11" t="str">
        <f aca="false">IF(AND(K1976&lt;&gt;"",TRIM(I1976&amp;"")&lt;&gt;""),K1976,"")</f>
        <v/>
      </c>
    </row>
    <row r="1977" customFormat="false" ht="15" hidden="false" customHeight="false" outlineLevel="0" collapsed="false">
      <c r="A1977" s="9"/>
      <c r="B1977" s="4"/>
      <c r="C1977" s="10"/>
      <c r="D1977" s="11" t="str">
        <f aca="false">IF(K1977="","",IFERROR(INDEX(DECKS!$C$2:$C$1201,MATCH(K1977,DECKS!$B$2:$B$1201,0)),TRIM(I1977&amp;"")))</f>
        <v/>
      </c>
      <c r="E1977" s="4"/>
      <c r="F1977" s="12"/>
      <c r="G1977" s="4"/>
      <c r="H1977" s="13" t="str">
        <f aca="false">IF(OR(N(C1977)=0,N(F1977)=0),"",C1977*F1977)</f>
        <v/>
      </c>
      <c r="I1977" s="4"/>
      <c r="J1977" s="11" t="str">
        <f aca="false">IF(K1977="","",IF(N(C1977)&lt;=0,"Informe a quantidade",IF(IFERROR(INDEX(INVENTÁRIO!$B$2:$B$801,MATCH(K1977,INVENTÁRIO!$A$2:$A$801,0)),"")="(sem nome)","Carta fora dos decks: digite o nome na coluna I (opcional)","")))</f>
        <v/>
      </c>
      <c r="K1977" s="11" t="str">
        <f aca="false">UPPER(TRIM(SUBSTITUTE(B1977&amp;"",CHAR(160)," ")))</f>
        <v/>
      </c>
      <c r="L1977" s="11" t="str">
        <f aca="false">IF(AND(K1977&lt;&gt;"",TRIM(I1977&amp;"")&lt;&gt;""),K1977,"")</f>
        <v/>
      </c>
    </row>
    <row r="1978" customFormat="false" ht="15" hidden="false" customHeight="false" outlineLevel="0" collapsed="false">
      <c r="A1978" s="9"/>
      <c r="B1978" s="4"/>
      <c r="C1978" s="10"/>
      <c r="D1978" s="11" t="str">
        <f aca="false">IF(K1978="","",IFERROR(INDEX(DECKS!$C$2:$C$1201,MATCH(K1978,DECKS!$B$2:$B$1201,0)),TRIM(I1978&amp;"")))</f>
        <v/>
      </c>
      <c r="E1978" s="4"/>
      <c r="F1978" s="12"/>
      <c r="G1978" s="4"/>
      <c r="H1978" s="13" t="str">
        <f aca="false">IF(OR(N(C1978)=0,N(F1978)=0),"",C1978*F1978)</f>
        <v/>
      </c>
      <c r="I1978" s="4"/>
      <c r="J1978" s="11" t="str">
        <f aca="false">IF(K1978="","",IF(N(C1978)&lt;=0,"Informe a quantidade",IF(IFERROR(INDEX(INVENTÁRIO!$B$2:$B$801,MATCH(K1978,INVENTÁRIO!$A$2:$A$801,0)),"")="(sem nome)","Carta fora dos decks: digite o nome na coluna I (opcional)","")))</f>
        <v/>
      </c>
      <c r="K1978" s="11" t="str">
        <f aca="false">UPPER(TRIM(SUBSTITUTE(B1978&amp;"",CHAR(160)," ")))</f>
        <v/>
      </c>
      <c r="L1978" s="11" t="str">
        <f aca="false">IF(AND(K1978&lt;&gt;"",TRIM(I1978&amp;"")&lt;&gt;""),K1978,"")</f>
        <v/>
      </c>
    </row>
    <row r="1979" customFormat="false" ht="15" hidden="false" customHeight="false" outlineLevel="0" collapsed="false">
      <c r="A1979" s="9"/>
      <c r="B1979" s="4"/>
      <c r="C1979" s="10"/>
      <c r="D1979" s="11" t="str">
        <f aca="false">IF(K1979="","",IFERROR(INDEX(DECKS!$C$2:$C$1201,MATCH(K1979,DECKS!$B$2:$B$1201,0)),TRIM(I1979&amp;"")))</f>
        <v/>
      </c>
      <c r="E1979" s="4"/>
      <c r="F1979" s="12"/>
      <c r="G1979" s="4"/>
      <c r="H1979" s="13" t="str">
        <f aca="false">IF(OR(N(C1979)=0,N(F1979)=0),"",C1979*F1979)</f>
        <v/>
      </c>
      <c r="I1979" s="4"/>
      <c r="J1979" s="11" t="str">
        <f aca="false">IF(K1979="","",IF(N(C1979)&lt;=0,"Informe a quantidade",IF(IFERROR(INDEX(INVENTÁRIO!$B$2:$B$801,MATCH(K1979,INVENTÁRIO!$A$2:$A$801,0)),"")="(sem nome)","Carta fora dos decks: digite o nome na coluna I (opcional)","")))</f>
        <v/>
      </c>
      <c r="K1979" s="11" t="str">
        <f aca="false">UPPER(TRIM(SUBSTITUTE(B1979&amp;"",CHAR(160)," ")))</f>
        <v/>
      </c>
      <c r="L1979" s="11" t="str">
        <f aca="false">IF(AND(K1979&lt;&gt;"",TRIM(I1979&amp;"")&lt;&gt;""),K1979,"")</f>
        <v/>
      </c>
    </row>
    <row r="1980" customFormat="false" ht="15" hidden="false" customHeight="false" outlineLevel="0" collapsed="false">
      <c r="A1980" s="9"/>
      <c r="B1980" s="4"/>
      <c r="C1980" s="10"/>
      <c r="D1980" s="11" t="str">
        <f aca="false">IF(K1980="","",IFERROR(INDEX(DECKS!$C$2:$C$1201,MATCH(K1980,DECKS!$B$2:$B$1201,0)),TRIM(I1980&amp;"")))</f>
        <v/>
      </c>
      <c r="E1980" s="4"/>
      <c r="F1980" s="12"/>
      <c r="G1980" s="4"/>
      <c r="H1980" s="13" t="str">
        <f aca="false">IF(OR(N(C1980)=0,N(F1980)=0),"",C1980*F1980)</f>
        <v/>
      </c>
      <c r="I1980" s="4"/>
      <c r="J1980" s="11" t="str">
        <f aca="false">IF(K1980="","",IF(N(C1980)&lt;=0,"Informe a quantidade",IF(IFERROR(INDEX(INVENTÁRIO!$B$2:$B$801,MATCH(K1980,INVENTÁRIO!$A$2:$A$801,0)),"")="(sem nome)","Carta fora dos decks: digite o nome na coluna I (opcional)","")))</f>
        <v/>
      </c>
      <c r="K1980" s="11" t="str">
        <f aca="false">UPPER(TRIM(SUBSTITUTE(B1980&amp;"",CHAR(160)," ")))</f>
        <v/>
      </c>
      <c r="L1980" s="11" t="str">
        <f aca="false">IF(AND(K1980&lt;&gt;"",TRIM(I1980&amp;"")&lt;&gt;""),K1980,"")</f>
        <v/>
      </c>
    </row>
    <row r="1981" customFormat="false" ht="15" hidden="false" customHeight="false" outlineLevel="0" collapsed="false">
      <c r="A1981" s="9"/>
      <c r="B1981" s="4"/>
      <c r="C1981" s="10"/>
      <c r="D1981" s="11" t="str">
        <f aca="false">IF(K1981="","",IFERROR(INDEX(DECKS!$C$2:$C$1201,MATCH(K1981,DECKS!$B$2:$B$1201,0)),TRIM(I1981&amp;"")))</f>
        <v/>
      </c>
      <c r="E1981" s="4"/>
      <c r="F1981" s="12"/>
      <c r="G1981" s="4"/>
      <c r="H1981" s="13" t="str">
        <f aca="false">IF(OR(N(C1981)=0,N(F1981)=0),"",C1981*F1981)</f>
        <v/>
      </c>
      <c r="I1981" s="4"/>
      <c r="J1981" s="11" t="str">
        <f aca="false">IF(K1981="","",IF(N(C1981)&lt;=0,"Informe a quantidade",IF(IFERROR(INDEX(INVENTÁRIO!$B$2:$B$801,MATCH(K1981,INVENTÁRIO!$A$2:$A$801,0)),"")="(sem nome)","Carta fora dos decks: digite o nome na coluna I (opcional)","")))</f>
        <v/>
      </c>
      <c r="K1981" s="11" t="str">
        <f aca="false">UPPER(TRIM(SUBSTITUTE(B1981&amp;"",CHAR(160)," ")))</f>
        <v/>
      </c>
      <c r="L1981" s="11" t="str">
        <f aca="false">IF(AND(K1981&lt;&gt;"",TRIM(I1981&amp;"")&lt;&gt;""),K1981,"")</f>
        <v/>
      </c>
    </row>
    <row r="1982" customFormat="false" ht="15" hidden="false" customHeight="false" outlineLevel="0" collapsed="false">
      <c r="A1982" s="9"/>
      <c r="B1982" s="4"/>
      <c r="C1982" s="10"/>
      <c r="D1982" s="11" t="str">
        <f aca="false">IF(K1982="","",IFERROR(INDEX(DECKS!$C$2:$C$1201,MATCH(K1982,DECKS!$B$2:$B$1201,0)),TRIM(I1982&amp;"")))</f>
        <v/>
      </c>
      <c r="E1982" s="4"/>
      <c r="F1982" s="12"/>
      <c r="G1982" s="4"/>
      <c r="H1982" s="13" t="str">
        <f aca="false">IF(OR(N(C1982)=0,N(F1982)=0),"",C1982*F1982)</f>
        <v/>
      </c>
      <c r="I1982" s="4"/>
      <c r="J1982" s="11" t="str">
        <f aca="false">IF(K1982="","",IF(N(C1982)&lt;=0,"Informe a quantidade",IF(IFERROR(INDEX(INVENTÁRIO!$B$2:$B$801,MATCH(K1982,INVENTÁRIO!$A$2:$A$801,0)),"")="(sem nome)","Carta fora dos decks: digite o nome na coluna I (opcional)","")))</f>
        <v/>
      </c>
      <c r="K1982" s="11" t="str">
        <f aca="false">UPPER(TRIM(SUBSTITUTE(B1982&amp;"",CHAR(160)," ")))</f>
        <v/>
      </c>
      <c r="L1982" s="11" t="str">
        <f aca="false">IF(AND(K1982&lt;&gt;"",TRIM(I1982&amp;"")&lt;&gt;""),K1982,"")</f>
        <v/>
      </c>
    </row>
    <row r="1983" customFormat="false" ht="15" hidden="false" customHeight="false" outlineLevel="0" collapsed="false">
      <c r="A1983" s="9"/>
      <c r="B1983" s="4"/>
      <c r="C1983" s="10"/>
      <c r="D1983" s="11" t="str">
        <f aca="false">IF(K1983="","",IFERROR(INDEX(DECKS!$C$2:$C$1201,MATCH(K1983,DECKS!$B$2:$B$1201,0)),TRIM(I1983&amp;"")))</f>
        <v/>
      </c>
      <c r="E1983" s="4"/>
      <c r="F1983" s="12"/>
      <c r="G1983" s="4"/>
      <c r="H1983" s="13" t="str">
        <f aca="false">IF(OR(N(C1983)=0,N(F1983)=0),"",C1983*F1983)</f>
        <v/>
      </c>
      <c r="I1983" s="4"/>
      <c r="J1983" s="11" t="str">
        <f aca="false">IF(K1983="","",IF(N(C1983)&lt;=0,"Informe a quantidade",IF(IFERROR(INDEX(INVENTÁRIO!$B$2:$B$801,MATCH(K1983,INVENTÁRIO!$A$2:$A$801,0)),"")="(sem nome)","Carta fora dos decks: digite o nome na coluna I (opcional)","")))</f>
        <v/>
      </c>
      <c r="K1983" s="11" t="str">
        <f aca="false">UPPER(TRIM(SUBSTITUTE(B1983&amp;"",CHAR(160)," ")))</f>
        <v/>
      </c>
      <c r="L1983" s="11" t="str">
        <f aca="false">IF(AND(K1983&lt;&gt;"",TRIM(I1983&amp;"")&lt;&gt;""),K1983,"")</f>
        <v/>
      </c>
    </row>
    <row r="1984" customFormat="false" ht="15" hidden="false" customHeight="false" outlineLevel="0" collapsed="false">
      <c r="A1984" s="9"/>
      <c r="B1984" s="4"/>
      <c r="C1984" s="10"/>
      <c r="D1984" s="11" t="str">
        <f aca="false">IF(K1984="","",IFERROR(INDEX(DECKS!$C$2:$C$1201,MATCH(K1984,DECKS!$B$2:$B$1201,0)),TRIM(I1984&amp;"")))</f>
        <v/>
      </c>
      <c r="E1984" s="4"/>
      <c r="F1984" s="12"/>
      <c r="G1984" s="4"/>
      <c r="H1984" s="13" t="str">
        <f aca="false">IF(OR(N(C1984)=0,N(F1984)=0),"",C1984*F1984)</f>
        <v/>
      </c>
      <c r="I1984" s="4"/>
      <c r="J1984" s="11" t="str">
        <f aca="false">IF(K1984="","",IF(N(C1984)&lt;=0,"Informe a quantidade",IF(IFERROR(INDEX(INVENTÁRIO!$B$2:$B$801,MATCH(K1984,INVENTÁRIO!$A$2:$A$801,0)),"")="(sem nome)","Carta fora dos decks: digite o nome na coluna I (opcional)","")))</f>
        <v/>
      </c>
      <c r="K1984" s="11" t="str">
        <f aca="false">UPPER(TRIM(SUBSTITUTE(B1984&amp;"",CHAR(160)," ")))</f>
        <v/>
      </c>
      <c r="L1984" s="11" t="str">
        <f aca="false">IF(AND(K1984&lt;&gt;"",TRIM(I1984&amp;"")&lt;&gt;""),K1984,"")</f>
        <v/>
      </c>
    </row>
    <row r="1985" customFormat="false" ht="15" hidden="false" customHeight="false" outlineLevel="0" collapsed="false">
      <c r="A1985" s="9"/>
      <c r="B1985" s="4"/>
      <c r="C1985" s="10"/>
      <c r="D1985" s="11" t="str">
        <f aca="false">IF(K1985="","",IFERROR(INDEX(DECKS!$C$2:$C$1201,MATCH(K1985,DECKS!$B$2:$B$1201,0)),TRIM(I1985&amp;"")))</f>
        <v/>
      </c>
      <c r="E1985" s="4"/>
      <c r="F1985" s="12"/>
      <c r="G1985" s="4"/>
      <c r="H1985" s="13" t="str">
        <f aca="false">IF(OR(N(C1985)=0,N(F1985)=0),"",C1985*F1985)</f>
        <v/>
      </c>
      <c r="I1985" s="4"/>
      <c r="J1985" s="11" t="str">
        <f aca="false">IF(K1985="","",IF(N(C1985)&lt;=0,"Informe a quantidade",IF(IFERROR(INDEX(INVENTÁRIO!$B$2:$B$801,MATCH(K1985,INVENTÁRIO!$A$2:$A$801,0)),"")="(sem nome)","Carta fora dos decks: digite o nome na coluna I (opcional)","")))</f>
        <v/>
      </c>
      <c r="K1985" s="11" t="str">
        <f aca="false">UPPER(TRIM(SUBSTITUTE(B1985&amp;"",CHAR(160)," ")))</f>
        <v/>
      </c>
      <c r="L1985" s="11" t="str">
        <f aca="false">IF(AND(K1985&lt;&gt;"",TRIM(I1985&amp;"")&lt;&gt;""),K1985,"")</f>
        <v/>
      </c>
    </row>
    <row r="1986" customFormat="false" ht="15" hidden="false" customHeight="false" outlineLevel="0" collapsed="false">
      <c r="A1986" s="9"/>
      <c r="B1986" s="4"/>
      <c r="C1986" s="10"/>
      <c r="D1986" s="11" t="str">
        <f aca="false">IF(K1986="","",IFERROR(INDEX(DECKS!$C$2:$C$1201,MATCH(K1986,DECKS!$B$2:$B$1201,0)),TRIM(I1986&amp;"")))</f>
        <v/>
      </c>
      <c r="E1986" s="4"/>
      <c r="F1986" s="12"/>
      <c r="G1986" s="4"/>
      <c r="H1986" s="13" t="str">
        <f aca="false">IF(OR(N(C1986)=0,N(F1986)=0),"",C1986*F1986)</f>
        <v/>
      </c>
      <c r="I1986" s="4"/>
      <c r="J1986" s="11" t="str">
        <f aca="false">IF(K1986="","",IF(N(C1986)&lt;=0,"Informe a quantidade",IF(IFERROR(INDEX(INVENTÁRIO!$B$2:$B$801,MATCH(K1986,INVENTÁRIO!$A$2:$A$801,0)),"")="(sem nome)","Carta fora dos decks: digite o nome na coluna I (opcional)","")))</f>
        <v/>
      </c>
      <c r="K1986" s="11" t="str">
        <f aca="false">UPPER(TRIM(SUBSTITUTE(B1986&amp;"",CHAR(160)," ")))</f>
        <v/>
      </c>
      <c r="L1986" s="11" t="str">
        <f aca="false">IF(AND(K1986&lt;&gt;"",TRIM(I1986&amp;"")&lt;&gt;""),K1986,"")</f>
        <v/>
      </c>
    </row>
    <row r="1987" customFormat="false" ht="15" hidden="false" customHeight="false" outlineLevel="0" collapsed="false">
      <c r="A1987" s="9"/>
      <c r="B1987" s="4"/>
      <c r="C1987" s="10"/>
      <c r="D1987" s="11" t="str">
        <f aca="false">IF(K1987="","",IFERROR(INDEX(DECKS!$C$2:$C$1201,MATCH(K1987,DECKS!$B$2:$B$1201,0)),TRIM(I1987&amp;"")))</f>
        <v/>
      </c>
      <c r="E1987" s="4"/>
      <c r="F1987" s="12"/>
      <c r="G1987" s="4"/>
      <c r="H1987" s="13" t="str">
        <f aca="false">IF(OR(N(C1987)=0,N(F1987)=0),"",C1987*F1987)</f>
        <v/>
      </c>
      <c r="I1987" s="4"/>
      <c r="J1987" s="11" t="str">
        <f aca="false">IF(K1987="","",IF(N(C1987)&lt;=0,"Informe a quantidade",IF(IFERROR(INDEX(INVENTÁRIO!$B$2:$B$801,MATCH(K1987,INVENTÁRIO!$A$2:$A$801,0)),"")="(sem nome)","Carta fora dos decks: digite o nome na coluna I (opcional)","")))</f>
        <v/>
      </c>
      <c r="K1987" s="11" t="str">
        <f aca="false">UPPER(TRIM(SUBSTITUTE(B1987&amp;"",CHAR(160)," ")))</f>
        <v/>
      </c>
      <c r="L1987" s="11" t="str">
        <f aca="false">IF(AND(K1987&lt;&gt;"",TRIM(I1987&amp;"")&lt;&gt;""),K1987,"")</f>
        <v/>
      </c>
    </row>
    <row r="1988" customFormat="false" ht="15" hidden="false" customHeight="false" outlineLevel="0" collapsed="false">
      <c r="A1988" s="9"/>
      <c r="B1988" s="4"/>
      <c r="C1988" s="10"/>
      <c r="D1988" s="11" t="str">
        <f aca="false">IF(K1988="","",IFERROR(INDEX(DECKS!$C$2:$C$1201,MATCH(K1988,DECKS!$B$2:$B$1201,0)),TRIM(I1988&amp;"")))</f>
        <v/>
      </c>
      <c r="E1988" s="4"/>
      <c r="F1988" s="12"/>
      <c r="G1988" s="4"/>
      <c r="H1988" s="13" t="str">
        <f aca="false">IF(OR(N(C1988)=0,N(F1988)=0),"",C1988*F1988)</f>
        <v/>
      </c>
      <c r="I1988" s="4"/>
      <c r="J1988" s="11" t="str">
        <f aca="false">IF(K1988="","",IF(N(C1988)&lt;=0,"Informe a quantidade",IF(IFERROR(INDEX(INVENTÁRIO!$B$2:$B$801,MATCH(K1988,INVENTÁRIO!$A$2:$A$801,0)),"")="(sem nome)","Carta fora dos decks: digite o nome na coluna I (opcional)","")))</f>
        <v/>
      </c>
      <c r="K1988" s="11" t="str">
        <f aca="false">UPPER(TRIM(SUBSTITUTE(B1988&amp;"",CHAR(160)," ")))</f>
        <v/>
      </c>
      <c r="L1988" s="11" t="str">
        <f aca="false">IF(AND(K1988&lt;&gt;"",TRIM(I1988&amp;"")&lt;&gt;""),K1988,"")</f>
        <v/>
      </c>
    </row>
    <row r="1989" customFormat="false" ht="15" hidden="false" customHeight="false" outlineLevel="0" collapsed="false">
      <c r="A1989" s="9"/>
      <c r="B1989" s="4"/>
      <c r="C1989" s="10"/>
      <c r="D1989" s="11" t="str">
        <f aca="false">IF(K1989="","",IFERROR(INDEX(DECKS!$C$2:$C$1201,MATCH(K1989,DECKS!$B$2:$B$1201,0)),TRIM(I1989&amp;"")))</f>
        <v/>
      </c>
      <c r="E1989" s="4"/>
      <c r="F1989" s="12"/>
      <c r="G1989" s="4"/>
      <c r="H1989" s="13" t="str">
        <f aca="false">IF(OR(N(C1989)=0,N(F1989)=0),"",C1989*F1989)</f>
        <v/>
      </c>
      <c r="I1989" s="4"/>
      <c r="J1989" s="11" t="str">
        <f aca="false">IF(K1989="","",IF(N(C1989)&lt;=0,"Informe a quantidade",IF(IFERROR(INDEX(INVENTÁRIO!$B$2:$B$801,MATCH(K1989,INVENTÁRIO!$A$2:$A$801,0)),"")="(sem nome)","Carta fora dos decks: digite o nome na coluna I (opcional)","")))</f>
        <v/>
      </c>
      <c r="K1989" s="11" t="str">
        <f aca="false">UPPER(TRIM(SUBSTITUTE(B1989&amp;"",CHAR(160)," ")))</f>
        <v/>
      </c>
      <c r="L1989" s="11" t="str">
        <f aca="false">IF(AND(K1989&lt;&gt;"",TRIM(I1989&amp;"")&lt;&gt;""),K1989,"")</f>
        <v/>
      </c>
    </row>
    <row r="1990" customFormat="false" ht="15" hidden="false" customHeight="false" outlineLevel="0" collapsed="false">
      <c r="A1990" s="9"/>
      <c r="B1990" s="4"/>
      <c r="C1990" s="10"/>
      <c r="D1990" s="11" t="str">
        <f aca="false">IF(K1990="","",IFERROR(INDEX(DECKS!$C$2:$C$1201,MATCH(K1990,DECKS!$B$2:$B$1201,0)),TRIM(I1990&amp;"")))</f>
        <v/>
      </c>
      <c r="E1990" s="4"/>
      <c r="F1990" s="12"/>
      <c r="G1990" s="4"/>
      <c r="H1990" s="13" t="str">
        <f aca="false">IF(OR(N(C1990)=0,N(F1990)=0),"",C1990*F1990)</f>
        <v/>
      </c>
      <c r="I1990" s="4"/>
      <c r="J1990" s="11" t="str">
        <f aca="false">IF(K1990="","",IF(N(C1990)&lt;=0,"Informe a quantidade",IF(IFERROR(INDEX(INVENTÁRIO!$B$2:$B$801,MATCH(K1990,INVENTÁRIO!$A$2:$A$801,0)),"")="(sem nome)","Carta fora dos decks: digite o nome na coluna I (opcional)","")))</f>
        <v/>
      </c>
      <c r="K1990" s="11" t="str">
        <f aca="false">UPPER(TRIM(SUBSTITUTE(B1990&amp;"",CHAR(160)," ")))</f>
        <v/>
      </c>
      <c r="L1990" s="11" t="str">
        <f aca="false">IF(AND(K1990&lt;&gt;"",TRIM(I1990&amp;"")&lt;&gt;""),K1990,"")</f>
        <v/>
      </c>
    </row>
    <row r="1991" customFormat="false" ht="15" hidden="false" customHeight="false" outlineLevel="0" collapsed="false">
      <c r="A1991" s="9"/>
      <c r="B1991" s="4"/>
      <c r="C1991" s="10"/>
      <c r="D1991" s="11" t="str">
        <f aca="false">IF(K1991="","",IFERROR(INDEX(DECKS!$C$2:$C$1201,MATCH(K1991,DECKS!$B$2:$B$1201,0)),TRIM(I1991&amp;"")))</f>
        <v/>
      </c>
      <c r="E1991" s="4"/>
      <c r="F1991" s="12"/>
      <c r="G1991" s="4"/>
      <c r="H1991" s="13" t="str">
        <f aca="false">IF(OR(N(C1991)=0,N(F1991)=0),"",C1991*F1991)</f>
        <v/>
      </c>
      <c r="I1991" s="4"/>
      <c r="J1991" s="11" t="str">
        <f aca="false">IF(K1991="","",IF(N(C1991)&lt;=0,"Informe a quantidade",IF(IFERROR(INDEX(INVENTÁRIO!$B$2:$B$801,MATCH(K1991,INVENTÁRIO!$A$2:$A$801,0)),"")="(sem nome)","Carta fora dos decks: digite o nome na coluna I (opcional)","")))</f>
        <v/>
      </c>
      <c r="K1991" s="11" t="str">
        <f aca="false">UPPER(TRIM(SUBSTITUTE(B1991&amp;"",CHAR(160)," ")))</f>
        <v/>
      </c>
      <c r="L1991" s="11" t="str">
        <f aca="false">IF(AND(K1991&lt;&gt;"",TRIM(I1991&amp;"")&lt;&gt;""),K1991,"")</f>
        <v/>
      </c>
    </row>
    <row r="1992" customFormat="false" ht="15" hidden="false" customHeight="false" outlineLevel="0" collapsed="false">
      <c r="A1992" s="9"/>
      <c r="B1992" s="4"/>
      <c r="C1992" s="10"/>
      <c r="D1992" s="11" t="str">
        <f aca="false">IF(K1992="","",IFERROR(INDEX(DECKS!$C$2:$C$1201,MATCH(K1992,DECKS!$B$2:$B$1201,0)),TRIM(I1992&amp;"")))</f>
        <v/>
      </c>
      <c r="E1992" s="4"/>
      <c r="F1992" s="12"/>
      <c r="G1992" s="4"/>
      <c r="H1992" s="13" t="str">
        <f aca="false">IF(OR(N(C1992)=0,N(F1992)=0),"",C1992*F1992)</f>
        <v/>
      </c>
      <c r="I1992" s="4"/>
      <c r="J1992" s="11" t="str">
        <f aca="false">IF(K1992="","",IF(N(C1992)&lt;=0,"Informe a quantidade",IF(IFERROR(INDEX(INVENTÁRIO!$B$2:$B$801,MATCH(K1992,INVENTÁRIO!$A$2:$A$801,0)),"")="(sem nome)","Carta fora dos decks: digite o nome na coluna I (opcional)","")))</f>
        <v/>
      </c>
      <c r="K1992" s="11" t="str">
        <f aca="false">UPPER(TRIM(SUBSTITUTE(B1992&amp;"",CHAR(160)," ")))</f>
        <v/>
      </c>
      <c r="L1992" s="11" t="str">
        <f aca="false">IF(AND(K1992&lt;&gt;"",TRIM(I1992&amp;"")&lt;&gt;""),K1992,"")</f>
        <v/>
      </c>
    </row>
    <row r="1993" customFormat="false" ht="15" hidden="false" customHeight="false" outlineLevel="0" collapsed="false">
      <c r="A1993" s="9"/>
      <c r="B1993" s="4"/>
      <c r="C1993" s="10"/>
      <c r="D1993" s="11" t="str">
        <f aca="false">IF(K1993="","",IFERROR(INDEX(DECKS!$C$2:$C$1201,MATCH(K1993,DECKS!$B$2:$B$1201,0)),TRIM(I1993&amp;"")))</f>
        <v/>
      </c>
      <c r="E1993" s="4"/>
      <c r="F1993" s="12"/>
      <c r="G1993" s="4"/>
      <c r="H1993" s="13" t="str">
        <f aca="false">IF(OR(N(C1993)=0,N(F1993)=0),"",C1993*F1993)</f>
        <v/>
      </c>
      <c r="I1993" s="4"/>
      <c r="J1993" s="11" t="str">
        <f aca="false">IF(K1993="","",IF(N(C1993)&lt;=0,"Informe a quantidade",IF(IFERROR(INDEX(INVENTÁRIO!$B$2:$B$801,MATCH(K1993,INVENTÁRIO!$A$2:$A$801,0)),"")="(sem nome)","Carta fora dos decks: digite o nome na coluna I (opcional)","")))</f>
        <v/>
      </c>
      <c r="K1993" s="11" t="str">
        <f aca="false">UPPER(TRIM(SUBSTITUTE(B1993&amp;"",CHAR(160)," ")))</f>
        <v/>
      </c>
      <c r="L1993" s="11" t="str">
        <f aca="false">IF(AND(K1993&lt;&gt;"",TRIM(I1993&amp;"")&lt;&gt;""),K1993,"")</f>
        <v/>
      </c>
    </row>
    <row r="1994" customFormat="false" ht="15" hidden="false" customHeight="false" outlineLevel="0" collapsed="false">
      <c r="A1994" s="9"/>
      <c r="B1994" s="4"/>
      <c r="C1994" s="10"/>
      <c r="D1994" s="11" t="str">
        <f aca="false">IF(K1994="","",IFERROR(INDEX(DECKS!$C$2:$C$1201,MATCH(K1994,DECKS!$B$2:$B$1201,0)),TRIM(I1994&amp;"")))</f>
        <v/>
      </c>
      <c r="E1994" s="4"/>
      <c r="F1994" s="12"/>
      <c r="G1994" s="4"/>
      <c r="H1994" s="13" t="str">
        <f aca="false">IF(OR(N(C1994)=0,N(F1994)=0),"",C1994*F1994)</f>
        <v/>
      </c>
      <c r="I1994" s="4"/>
      <c r="J1994" s="11" t="str">
        <f aca="false">IF(K1994="","",IF(N(C1994)&lt;=0,"Informe a quantidade",IF(IFERROR(INDEX(INVENTÁRIO!$B$2:$B$801,MATCH(K1994,INVENTÁRIO!$A$2:$A$801,0)),"")="(sem nome)","Carta fora dos decks: digite o nome na coluna I (opcional)","")))</f>
        <v/>
      </c>
      <c r="K1994" s="11" t="str">
        <f aca="false">UPPER(TRIM(SUBSTITUTE(B1994&amp;"",CHAR(160)," ")))</f>
        <v/>
      </c>
      <c r="L1994" s="11" t="str">
        <f aca="false">IF(AND(K1994&lt;&gt;"",TRIM(I1994&amp;"")&lt;&gt;""),K1994,"")</f>
        <v/>
      </c>
    </row>
    <row r="1995" customFormat="false" ht="15" hidden="false" customHeight="false" outlineLevel="0" collapsed="false">
      <c r="A1995" s="9"/>
      <c r="B1995" s="4"/>
      <c r="C1995" s="10"/>
      <c r="D1995" s="11" t="str">
        <f aca="false">IF(K1995="","",IFERROR(INDEX(DECKS!$C$2:$C$1201,MATCH(K1995,DECKS!$B$2:$B$1201,0)),TRIM(I1995&amp;"")))</f>
        <v/>
      </c>
      <c r="E1995" s="4"/>
      <c r="F1995" s="12"/>
      <c r="G1995" s="4"/>
      <c r="H1995" s="13" t="str">
        <f aca="false">IF(OR(N(C1995)=0,N(F1995)=0),"",C1995*F1995)</f>
        <v/>
      </c>
      <c r="I1995" s="4"/>
      <c r="J1995" s="11" t="str">
        <f aca="false">IF(K1995="","",IF(N(C1995)&lt;=0,"Informe a quantidade",IF(IFERROR(INDEX(INVENTÁRIO!$B$2:$B$801,MATCH(K1995,INVENTÁRIO!$A$2:$A$801,0)),"")="(sem nome)","Carta fora dos decks: digite o nome na coluna I (opcional)","")))</f>
        <v/>
      </c>
      <c r="K1995" s="11" t="str">
        <f aca="false">UPPER(TRIM(SUBSTITUTE(B1995&amp;"",CHAR(160)," ")))</f>
        <v/>
      </c>
      <c r="L1995" s="11" t="str">
        <f aca="false">IF(AND(K1995&lt;&gt;"",TRIM(I1995&amp;"")&lt;&gt;""),K1995,"")</f>
        <v/>
      </c>
    </row>
    <row r="1996" customFormat="false" ht="15" hidden="false" customHeight="false" outlineLevel="0" collapsed="false">
      <c r="A1996" s="9"/>
      <c r="B1996" s="4"/>
      <c r="C1996" s="10"/>
      <c r="D1996" s="11" t="str">
        <f aca="false">IF(K1996="","",IFERROR(INDEX(DECKS!$C$2:$C$1201,MATCH(K1996,DECKS!$B$2:$B$1201,0)),TRIM(I1996&amp;"")))</f>
        <v/>
      </c>
      <c r="E1996" s="4"/>
      <c r="F1996" s="12"/>
      <c r="G1996" s="4"/>
      <c r="H1996" s="13" t="str">
        <f aca="false">IF(OR(N(C1996)=0,N(F1996)=0),"",C1996*F1996)</f>
        <v/>
      </c>
      <c r="I1996" s="4"/>
      <c r="J1996" s="11" t="str">
        <f aca="false">IF(K1996="","",IF(N(C1996)&lt;=0,"Informe a quantidade",IF(IFERROR(INDEX(INVENTÁRIO!$B$2:$B$801,MATCH(K1996,INVENTÁRIO!$A$2:$A$801,0)),"")="(sem nome)","Carta fora dos decks: digite o nome na coluna I (opcional)","")))</f>
        <v/>
      </c>
      <c r="K1996" s="11" t="str">
        <f aca="false">UPPER(TRIM(SUBSTITUTE(B1996&amp;"",CHAR(160)," ")))</f>
        <v/>
      </c>
      <c r="L1996" s="11" t="str">
        <f aca="false">IF(AND(K1996&lt;&gt;"",TRIM(I1996&amp;"")&lt;&gt;""),K1996,"")</f>
        <v/>
      </c>
    </row>
    <row r="1997" customFormat="false" ht="15" hidden="false" customHeight="false" outlineLevel="0" collapsed="false">
      <c r="A1997" s="9"/>
      <c r="B1997" s="4"/>
      <c r="C1997" s="10"/>
      <c r="D1997" s="11" t="str">
        <f aca="false">IF(K1997="","",IFERROR(INDEX(DECKS!$C$2:$C$1201,MATCH(K1997,DECKS!$B$2:$B$1201,0)),TRIM(I1997&amp;"")))</f>
        <v/>
      </c>
      <c r="E1997" s="4"/>
      <c r="F1997" s="12"/>
      <c r="G1997" s="4"/>
      <c r="H1997" s="13" t="str">
        <f aca="false">IF(OR(N(C1997)=0,N(F1997)=0),"",C1997*F1997)</f>
        <v/>
      </c>
      <c r="I1997" s="4"/>
      <c r="J1997" s="11" t="str">
        <f aca="false">IF(K1997="","",IF(N(C1997)&lt;=0,"Informe a quantidade",IF(IFERROR(INDEX(INVENTÁRIO!$B$2:$B$801,MATCH(K1997,INVENTÁRIO!$A$2:$A$801,0)),"")="(sem nome)","Carta fora dos decks: digite o nome na coluna I (opcional)","")))</f>
        <v/>
      </c>
      <c r="K1997" s="11" t="str">
        <f aca="false">UPPER(TRIM(SUBSTITUTE(B1997&amp;"",CHAR(160)," ")))</f>
        <v/>
      </c>
      <c r="L1997" s="11" t="str">
        <f aca="false">IF(AND(K1997&lt;&gt;"",TRIM(I1997&amp;"")&lt;&gt;""),K1997,"")</f>
        <v/>
      </c>
    </row>
    <row r="1998" customFormat="false" ht="15" hidden="false" customHeight="false" outlineLevel="0" collapsed="false">
      <c r="A1998" s="9"/>
      <c r="B1998" s="4"/>
      <c r="C1998" s="10"/>
      <c r="D1998" s="11" t="str">
        <f aca="false">IF(K1998="","",IFERROR(INDEX(DECKS!$C$2:$C$1201,MATCH(K1998,DECKS!$B$2:$B$1201,0)),TRIM(I1998&amp;"")))</f>
        <v/>
      </c>
      <c r="E1998" s="4"/>
      <c r="F1998" s="12"/>
      <c r="G1998" s="4"/>
      <c r="H1998" s="13" t="str">
        <f aca="false">IF(OR(N(C1998)=0,N(F1998)=0),"",C1998*F1998)</f>
        <v/>
      </c>
      <c r="I1998" s="4"/>
      <c r="J1998" s="11" t="str">
        <f aca="false">IF(K1998="","",IF(N(C1998)&lt;=0,"Informe a quantidade",IF(IFERROR(INDEX(INVENTÁRIO!$B$2:$B$801,MATCH(K1998,INVENTÁRIO!$A$2:$A$801,0)),"")="(sem nome)","Carta fora dos decks: digite o nome na coluna I (opcional)","")))</f>
        <v/>
      </c>
      <c r="K1998" s="11" t="str">
        <f aca="false">UPPER(TRIM(SUBSTITUTE(B1998&amp;"",CHAR(160)," ")))</f>
        <v/>
      </c>
      <c r="L1998" s="11" t="str">
        <f aca="false">IF(AND(K1998&lt;&gt;"",TRIM(I1998&amp;"")&lt;&gt;""),K1998,"")</f>
        <v/>
      </c>
    </row>
    <row r="1999" customFormat="false" ht="15" hidden="false" customHeight="false" outlineLevel="0" collapsed="false">
      <c r="A1999" s="9"/>
      <c r="B1999" s="4"/>
      <c r="C1999" s="10"/>
      <c r="D1999" s="11" t="str">
        <f aca="false">IF(K1999="","",IFERROR(INDEX(DECKS!$C$2:$C$1201,MATCH(K1999,DECKS!$B$2:$B$1201,0)),TRIM(I1999&amp;"")))</f>
        <v/>
      </c>
      <c r="E1999" s="4"/>
      <c r="F1999" s="12"/>
      <c r="G1999" s="4"/>
      <c r="H1999" s="13" t="str">
        <f aca="false">IF(OR(N(C1999)=0,N(F1999)=0),"",C1999*F1999)</f>
        <v/>
      </c>
      <c r="I1999" s="4"/>
      <c r="J1999" s="11" t="str">
        <f aca="false">IF(K1999="","",IF(N(C1999)&lt;=0,"Informe a quantidade",IF(IFERROR(INDEX(INVENTÁRIO!$B$2:$B$801,MATCH(K1999,INVENTÁRIO!$A$2:$A$801,0)),"")="(sem nome)","Carta fora dos decks: digite o nome na coluna I (opcional)","")))</f>
        <v/>
      </c>
      <c r="K1999" s="11" t="str">
        <f aca="false">UPPER(TRIM(SUBSTITUTE(B1999&amp;"",CHAR(160)," ")))</f>
        <v/>
      </c>
      <c r="L1999" s="11" t="str">
        <f aca="false">IF(AND(K1999&lt;&gt;"",TRIM(I1999&amp;"")&lt;&gt;""),K1999,"")</f>
        <v/>
      </c>
    </row>
    <row r="2000" customFormat="false" ht="15" hidden="false" customHeight="false" outlineLevel="0" collapsed="false">
      <c r="A2000" s="9"/>
      <c r="B2000" s="4"/>
      <c r="C2000" s="10"/>
      <c r="D2000" s="11" t="str">
        <f aca="false">IF(K2000="","",IFERROR(INDEX(DECKS!$C$2:$C$1201,MATCH(K2000,DECKS!$B$2:$B$1201,0)),TRIM(I2000&amp;"")))</f>
        <v/>
      </c>
      <c r="E2000" s="4"/>
      <c r="F2000" s="12"/>
      <c r="G2000" s="4"/>
      <c r="H2000" s="13" t="str">
        <f aca="false">IF(OR(N(C2000)=0,N(F2000)=0),"",C2000*F2000)</f>
        <v/>
      </c>
      <c r="I2000" s="4"/>
      <c r="J2000" s="11" t="str">
        <f aca="false">IF(K2000="","",IF(N(C2000)&lt;=0,"Informe a quantidade",IF(IFERROR(INDEX(INVENTÁRIO!$B$2:$B$801,MATCH(K2000,INVENTÁRIO!$A$2:$A$801,0)),"")="(sem nome)","Carta fora dos decks: digite o nome na coluna I (opcional)","")))</f>
        <v/>
      </c>
      <c r="K2000" s="11" t="str">
        <f aca="false">UPPER(TRIM(SUBSTITUTE(B2000&amp;"",CHAR(160)," ")))</f>
        <v/>
      </c>
      <c r="L2000" s="11" t="str">
        <f aca="false">IF(AND(K2000&lt;&gt;"",TRIM(I2000&amp;"")&lt;&gt;""),K2000,"")</f>
        <v/>
      </c>
    </row>
    <row r="2001" customFormat="false" ht="15" hidden="false" customHeight="false" outlineLevel="0" collapsed="false">
      <c r="A2001" s="9"/>
      <c r="B2001" s="4"/>
      <c r="C2001" s="10"/>
      <c r="D2001" s="11" t="str">
        <f aca="false">IF(K2001="","",IFERROR(INDEX(DECKS!$C$2:$C$1201,MATCH(K2001,DECKS!$B$2:$B$1201,0)),TRIM(I2001&amp;"")))</f>
        <v/>
      </c>
      <c r="E2001" s="4"/>
      <c r="F2001" s="12"/>
      <c r="G2001" s="4"/>
      <c r="H2001" s="13" t="str">
        <f aca="false">IF(OR(N(C2001)=0,N(F2001)=0),"",C2001*F2001)</f>
        <v/>
      </c>
      <c r="I2001" s="4"/>
      <c r="J2001" s="11" t="str">
        <f aca="false">IF(K2001="","",IF(N(C2001)&lt;=0,"Informe a quantidade",IF(IFERROR(INDEX(INVENTÁRIO!$B$2:$B$801,MATCH(K2001,INVENTÁRIO!$A$2:$A$801,0)),"")="(sem nome)","Carta fora dos decks: digite o nome na coluna I (opcional)","")))</f>
        <v/>
      </c>
      <c r="K2001" s="11" t="str">
        <f aca="false">UPPER(TRIM(SUBSTITUTE(B2001&amp;"",CHAR(160)," ")))</f>
        <v/>
      </c>
      <c r="L2001" s="11" t="str">
        <f aca="false">IF(AND(K2001&lt;&gt;"",TRIM(I2001&amp;"")&lt;&gt;""),K2001,"")</f>
        <v/>
      </c>
    </row>
  </sheetData>
  <autoFilter ref="A1:J2001"/>
  <conditionalFormatting sqref="J2:J2001">
    <cfRule type="expression" priority="2" aboveAverage="0" equalAverage="0" bottom="0" percent="0" rank="0" text="" dxfId="5">
      <formula>$J2&lt;&gt;""</formula>
    </cfRule>
  </conditionalFormatting>
  <dataValidations count="1">
    <dataValidation allowBlank="true" error="Informe um número inteiro maior ou igual a 1." errorStyle="stop" errorTitle="Quantidade inválida" operator="greaterThanOrEqual" showDropDown="false" showErrorMessage="false" showInputMessage="false" sqref="C2:C2001" type="whole">
      <formula1>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6"/>
    <col collapsed="false" customWidth="true" hidden="false" outlineLevel="0" max="3" min="3" style="0" width="9"/>
    <col collapsed="false" customWidth="true" hidden="false" outlineLevel="0" max="4" min="4" style="0" width="3"/>
    <col collapsed="false" customWidth="true" hidden="false" outlineLevel="0" max="5" min="5" style="0" width="80"/>
  </cols>
  <sheetData>
    <row r="1" customFormat="false" ht="33.75" hidden="false" customHeight="true" outlineLevel="0" collapsed="false">
      <c r="A1" s="8" t="s">
        <v>45</v>
      </c>
      <c r="B1" s="8" t="s">
        <v>60</v>
      </c>
      <c r="C1" s="8" t="s">
        <v>61</v>
      </c>
      <c r="E1" s="5" t="s">
        <v>62</v>
      </c>
    </row>
    <row r="2" customFormat="false" ht="15" hidden="false" customHeight="false" outlineLevel="0" collapsed="false">
      <c r="A2" s="11" t="str">
        <f aca="false">IFERROR(INDEX(_AUX!$A$2:$A$3201,MATCH(ROW()-1,_AUX!$C$2:$C$3201,0)),"")</f>
        <v/>
      </c>
      <c r="B2" s="11" t="str">
        <f aca="false">IF(A2="","",IFERROR(INDEX(DECKS!$C$2:$C$1201,MATCH(A2,DECKS!$B$2:$B$1201,0)),IFERROR(TRIM(INDEX(COMPRAS!$I$2:$I$2001,MATCH(A2,COMPRAS!$L$2:$L$2001,0))),"(sem nome)")))</f>
        <v/>
      </c>
      <c r="C2" s="16" t="str">
        <f aca="false">IF(A2="","",SUMIFS(COMPRAS!$C$2:$C$2001,COMPRAS!$K$2:$K$2001,A2))</f>
        <v/>
      </c>
    </row>
    <row r="3" customFormat="false" ht="15" hidden="false" customHeight="false" outlineLevel="0" collapsed="false">
      <c r="A3" s="11" t="str">
        <f aca="false">IFERROR(INDEX(_AUX!$A$2:$A$3201,MATCH(ROW()-1,_AUX!$C$2:$C$3201,0)),"")</f>
        <v/>
      </c>
      <c r="B3" s="11" t="str">
        <f aca="false">IF(A3="","",IFERROR(INDEX(DECKS!$C$2:$C$1201,MATCH(A3,DECKS!$B$2:$B$1201,0)),IFERROR(TRIM(INDEX(COMPRAS!$I$2:$I$2001,MATCH(A3,COMPRAS!$L$2:$L$2001,0))),"(sem nome)")))</f>
        <v/>
      </c>
      <c r="C3" s="16" t="str">
        <f aca="false">IF(A3="","",SUMIFS(COMPRAS!$C$2:$C$2001,COMPRAS!$K$2:$K$2001,A3))</f>
        <v/>
      </c>
    </row>
    <row r="4" customFormat="false" ht="15" hidden="false" customHeight="false" outlineLevel="0" collapsed="false">
      <c r="A4" s="11" t="str">
        <f aca="false">IFERROR(INDEX(_AUX!$A$2:$A$3201,MATCH(ROW()-1,_AUX!$C$2:$C$3201,0)),"")</f>
        <v/>
      </c>
      <c r="B4" s="11" t="str">
        <f aca="false">IF(A4="","",IFERROR(INDEX(DECKS!$C$2:$C$1201,MATCH(A4,DECKS!$B$2:$B$1201,0)),IFERROR(TRIM(INDEX(COMPRAS!$I$2:$I$2001,MATCH(A4,COMPRAS!$L$2:$L$2001,0))),"(sem nome)")))</f>
        <v/>
      </c>
      <c r="C4" s="16" t="str">
        <f aca="false">IF(A4="","",SUMIFS(COMPRAS!$C$2:$C$2001,COMPRAS!$K$2:$K$2001,A4))</f>
        <v/>
      </c>
    </row>
    <row r="5" customFormat="false" ht="15" hidden="false" customHeight="false" outlineLevel="0" collapsed="false">
      <c r="A5" s="11" t="str">
        <f aca="false">IFERROR(INDEX(_AUX!$A$2:$A$3201,MATCH(ROW()-1,_AUX!$C$2:$C$3201,0)),"")</f>
        <v/>
      </c>
      <c r="B5" s="11" t="str">
        <f aca="false">IF(A5="","",IFERROR(INDEX(DECKS!$C$2:$C$1201,MATCH(A5,DECKS!$B$2:$B$1201,0)),IFERROR(TRIM(INDEX(COMPRAS!$I$2:$I$2001,MATCH(A5,COMPRAS!$L$2:$L$2001,0))),"(sem nome)")))</f>
        <v/>
      </c>
      <c r="C5" s="16" t="str">
        <f aca="false">IF(A5="","",SUMIFS(COMPRAS!$C$2:$C$2001,COMPRAS!$K$2:$K$2001,A5))</f>
        <v/>
      </c>
    </row>
    <row r="6" customFormat="false" ht="15" hidden="false" customHeight="false" outlineLevel="0" collapsed="false">
      <c r="A6" s="11" t="str">
        <f aca="false">IFERROR(INDEX(_AUX!$A$2:$A$3201,MATCH(ROW()-1,_AUX!$C$2:$C$3201,0)),"")</f>
        <v/>
      </c>
      <c r="B6" s="11" t="str">
        <f aca="false">IF(A6="","",IFERROR(INDEX(DECKS!$C$2:$C$1201,MATCH(A6,DECKS!$B$2:$B$1201,0)),IFERROR(TRIM(INDEX(COMPRAS!$I$2:$I$2001,MATCH(A6,COMPRAS!$L$2:$L$2001,0))),"(sem nome)")))</f>
        <v/>
      </c>
      <c r="C6" s="16" t="str">
        <f aca="false">IF(A6="","",SUMIFS(COMPRAS!$C$2:$C$2001,COMPRAS!$K$2:$K$2001,A6))</f>
        <v/>
      </c>
    </row>
    <row r="7" customFormat="false" ht="15" hidden="false" customHeight="false" outlineLevel="0" collapsed="false">
      <c r="A7" s="11" t="str">
        <f aca="false">IFERROR(INDEX(_AUX!$A$2:$A$3201,MATCH(ROW()-1,_AUX!$C$2:$C$3201,0)),"")</f>
        <v/>
      </c>
      <c r="B7" s="11" t="str">
        <f aca="false">IF(A7="","",IFERROR(INDEX(DECKS!$C$2:$C$1201,MATCH(A7,DECKS!$B$2:$B$1201,0)),IFERROR(TRIM(INDEX(COMPRAS!$I$2:$I$2001,MATCH(A7,COMPRAS!$L$2:$L$2001,0))),"(sem nome)")))</f>
        <v/>
      </c>
      <c r="C7" s="16" t="str">
        <f aca="false">IF(A7="","",SUMIFS(COMPRAS!$C$2:$C$2001,COMPRAS!$K$2:$K$2001,A7))</f>
        <v/>
      </c>
    </row>
    <row r="8" customFormat="false" ht="15" hidden="false" customHeight="false" outlineLevel="0" collapsed="false">
      <c r="A8" s="11" t="str">
        <f aca="false">IFERROR(INDEX(_AUX!$A$2:$A$3201,MATCH(ROW()-1,_AUX!$C$2:$C$3201,0)),"")</f>
        <v/>
      </c>
      <c r="B8" s="11" t="str">
        <f aca="false">IF(A8="","",IFERROR(INDEX(DECKS!$C$2:$C$1201,MATCH(A8,DECKS!$B$2:$B$1201,0)),IFERROR(TRIM(INDEX(COMPRAS!$I$2:$I$2001,MATCH(A8,COMPRAS!$L$2:$L$2001,0))),"(sem nome)")))</f>
        <v/>
      </c>
      <c r="C8" s="16" t="str">
        <f aca="false">IF(A8="","",SUMIFS(COMPRAS!$C$2:$C$2001,COMPRAS!$K$2:$K$2001,A8))</f>
        <v/>
      </c>
    </row>
    <row r="9" customFormat="false" ht="15" hidden="false" customHeight="false" outlineLevel="0" collapsed="false">
      <c r="A9" s="11" t="str">
        <f aca="false">IFERROR(INDEX(_AUX!$A$2:$A$3201,MATCH(ROW()-1,_AUX!$C$2:$C$3201,0)),"")</f>
        <v/>
      </c>
      <c r="B9" s="11" t="str">
        <f aca="false">IF(A9="","",IFERROR(INDEX(DECKS!$C$2:$C$1201,MATCH(A9,DECKS!$B$2:$B$1201,0)),IFERROR(TRIM(INDEX(COMPRAS!$I$2:$I$2001,MATCH(A9,COMPRAS!$L$2:$L$2001,0))),"(sem nome)")))</f>
        <v/>
      </c>
      <c r="C9" s="16" t="str">
        <f aca="false">IF(A9="","",SUMIFS(COMPRAS!$C$2:$C$2001,COMPRAS!$K$2:$K$2001,A9))</f>
        <v/>
      </c>
    </row>
    <row r="10" customFormat="false" ht="15" hidden="false" customHeight="false" outlineLevel="0" collapsed="false">
      <c r="A10" s="11" t="str">
        <f aca="false">IFERROR(INDEX(_AUX!$A$2:$A$3201,MATCH(ROW()-1,_AUX!$C$2:$C$3201,0)),"")</f>
        <v/>
      </c>
      <c r="B10" s="11" t="str">
        <f aca="false">IF(A10="","",IFERROR(INDEX(DECKS!$C$2:$C$1201,MATCH(A10,DECKS!$B$2:$B$1201,0)),IFERROR(TRIM(INDEX(COMPRAS!$I$2:$I$2001,MATCH(A10,COMPRAS!$L$2:$L$2001,0))),"(sem nome)")))</f>
        <v/>
      </c>
      <c r="C10" s="16" t="str">
        <f aca="false">IF(A10="","",SUMIFS(COMPRAS!$C$2:$C$2001,COMPRAS!$K$2:$K$2001,A10))</f>
        <v/>
      </c>
    </row>
    <row r="11" customFormat="false" ht="15" hidden="false" customHeight="false" outlineLevel="0" collapsed="false">
      <c r="A11" s="11" t="str">
        <f aca="false">IFERROR(INDEX(_AUX!$A$2:$A$3201,MATCH(ROW()-1,_AUX!$C$2:$C$3201,0)),"")</f>
        <v/>
      </c>
      <c r="B11" s="11" t="str">
        <f aca="false">IF(A11="","",IFERROR(INDEX(DECKS!$C$2:$C$1201,MATCH(A11,DECKS!$B$2:$B$1201,0)),IFERROR(TRIM(INDEX(COMPRAS!$I$2:$I$2001,MATCH(A11,COMPRAS!$L$2:$L$2001,0))),"(sem nome)")))</f>
        <v/>
      </c>
      <c r="C11" s="16" t="str">
        <f aca="false">IF(A11="","",SUMIFS(COMPRAS!$C$2:$C$2001,COMPRAS!$K$2:$K$2001,A11))</f>
        <v/>
      </c>
    </row>
    <row r="12" customFormat="false" ht="15" hidden="false" customHeight="false" outlineLevel="0" collapsed="false">
      <c r="A12" s="11" t="str">
        <f aca="false">IFERROR(INDEX(_AUX!$A$2:$A$3201,MATCH(ROW()-1,_AUX!$C$2:$C$3201,0)),"")</f>
        <v/>
      </c>
      <c r="B12" s="11" t="str">
        <f aca="false">IF(A12="","",IFERROR(INDEX(DECKS!$C$2:$C$1201,MATCH(A12,DECKS!$B$2:$B$1201,0)),IFERROR(TRIM(INDEX(COMPRAS!$I$2:$I$2001,MATCH(A12,COMPRAS!$L$2:$L$2001,0))),"(sem nome)")))</f>
        <v/>
      </c>
      <c r="C12" s="16" t="str">
        <f aca="false">IF(A12="","",SUMIFS(COMPRAS!$C$2:$C$2001,COMPRAS!$K$2:$K$2001,A12))</f>
        <v/>
      </c>
    </row>
    <row r="13" customFormat="false" ht="15" hidden="false" customHeight="false" outlineLevel="0" collapsed="false">
      <c r="A13" s="11" t="str">
        <f aca="false">IFERROR(INDEX(_AUX!$A$2:$A$3201,MATCH(ROW()-1,_AUX!$C$2:$C$3201,0)),"")</f>
        <v/>
      </c>
      <c r="B13" s="11" t="str">
        <f aca="false">IF(A13="","",IFERROR(INDEX(DECKS!$C$2:$C$1201,MATCH(A13,DECKS!$B$2:$B$1201,0)),IFERROR(TRIM(INDEX(COMPRAS!$I$2:$I$2001,MATCH(A13,COMPRAS!$L$2:$L$2001,0))),"(sem nome)")))</f>
        <v/>
      </c>
      <c r="C13" s="16" t="str">
        <f aca="false">IF(A13="","",SUMIFS(COMPRAS!$C$2:$C$2001,COMPRAS!$K$2:$K$2001,A13))</f>
        <v/>
      </c>
    </row>
    <row r="14" customFormat="false" ht="15" hidden="false" customHeight="false" outlineLevel="0" collapsed="false">
      <c r="A14" s="11" t="str">
        <f aca="false">IFERROR(INDEX(_AUX!$A$2:$A$3201,MATCH(ROW()-1,_AUX!$C$2:$C$3201,0)),"")</f>
        <v/>
      </c>
      <c r="B14" s="11" t="str">
        <f aca="false">IF(A14="","",IFERROR(INDEX(DECKS!$C$2:$C$1201,MATCH(A14,DECKS!$B$2:$B$1201,0)),IFERROR(TRIM(INDEX(COMPRAS!$I$2:$I$2001,MATCH(A14,COMPRAS!$L$2:$L$2001,0))),"(sem nome)")))</f>
        <v/>
      </c>
      <c r="C14" s="16" t="str">
        <f aca="false">IF(A14="","",SUMIFS(COMPRAS!$C$2:$C$2001,COMPRAS!$K$2:$K$2001,A14))</f>
        <v/>
      </c>
    </row>
    <row r="15" customFormat="false" ht="15" hidden="false" customHeight="false" outlineLevel="0" collapsed="false">
      <c r="A15" s="11" t="str">
        <f aca="false">IFERROR(INDEX(_AUX!$A$2:$A$3201,MATCH(ROW()-1,_AUX!$C$2:$C$3201,0)),"")</f>
        <v/>
      </c>
      <c r="B15" s="11" t="str">
        <f aca="false">IF(A15="","",IFERROR(INDEX(DECKS!$C$2:$C$1201,MATCH(A15,DECKS!$B$2:$B$1201,0)),IFERROR(TRIM(INDEX(COMPRAS!$I$2:$I$2001,MATCH(A15,COMPRAS!$L$2:$L$2001,0))),"(sem nome)")))</f>
        <v/>
      </c>
      <c r="C15" s="16" t="str">
        <f aca="false">IF(A15="","",SUMIFS(COMPRAS!$C$2:$C$2001,COMPRAS!$K$2:$K$2001,A15))</f>
        <v/>
      </c>
    </row>
    <row r="16" customFormat="false" ht="15" hidden="false" customHeight="false" outlineLevel="0" collapsed="false">
      <c r="A16" s="11" t="str">
        <f aca="false">IFERROR(INDEX(_AUX!$A$2:$A$3201,MATCH(ROW()-1,_AUX!$C$2:$C$3201,0)),"")</f>
        <v/>
      </c>
      <c r="B16" s="11" t="str">
        <f aca="false">IF(A16="","",IFERROR(INDEX(DECKS!$C$2:$C$1201,MATCH(A16,DECKS!$B$2:$B$1201,0)),IFERROR(TRIM(INDEX(COMPRAS!$I$2:$I$2001,MATCH(A16,COMPRAS!$L$2:$L$2001,0))),"(sem nome)")))</f>
        <v/>
      </c>
      <c r="C16" s="16" t="str">
        <f aca="false">IF(A16="","",SUMIFS(COMPRAS!$C$2:$C$2001,COMPRAS!$K$2:$K$2001,A16))</f>
        <v/>
      </c>
    </row>
    <row r="17" customFormat="false" ht="15" hidden="false" customHeight="false" outlineLevel="0" collapsed="false">
      <c r="A17" s="11" t="str">
        <f aca="false">IFERROR(INDEX(_AUX!$A$2:$A$3201,MATCH(ROW()-1,_AUX!$C$2:$C$3201,0)),"")</f>
        <v/>
      </c>
      <c r="B17" s="11" t="str">
        <f aca="false">IF(A17="","",IFERROR(INDEX(DECKS!$C$2:$C$1201,MATCH(A17,DECKS!$B$2:$B$1201,0)),IFERROR(TRIM(INDEX(COMPRAS!$I$2:$I$2001,MATCH(A17,COMPRAS!$L$2:$L$2001,0))),"(sem nome)")))</f>
        <v/>
      </c>
      <c r="C17" s="16" t="str">
        <f aca="false">IF(A17="","",SUMIFS(COMPRAS!$C$2:$C$2001,COMPRAS!$K$2:$K$2001,A17))</f>
        <v/>
      </c>
    </row>
    <row r="18" customFormat="false" ht="15" hidden="false" customHeight="false" outlineLevel="0" collapsed="false">
      <c r="A18" s="11" t="str">
        <f aca="false">IFERROR(INDEX(_AUX!$A$2:$A$3201,MATCH(ROW()-1,_AUX!$C$2:$C$3201,0)),"")</f>
        <v/>
      </c>
      <c r="B18" s="11" t="str">
        <f aca="false">IF(A18="","",IFERROR(INDEX(DECKS!$C$2:$C$1201,MATCH(A18,DECKS!$B$2:$B$1201,0)),IFERROR(TRIM(INDEX(COMPRAS!$I$2:$I$2001,MATCH(A18,COMPRAS!$L$2:$L$2001,0))),"(sem nome)")))</f>
        <v/>
      </c>
      <c r="C18" s="16" t="str">
        <f aca="false">IF(A18="","",SUMIFS(COMPRAS!$C$2:$C$2001,COMPRAS!$K$2:$K$2001,A18))</f>
        <v/>
      </c>
    </row>
    <row r="19" customFormat="false" ht="15" hidden="false" customHeight="false" outlineLevel="0" collapsed="false">
      <c r="A19" s="11" t="str">
        <f aca="false">IFERROR(INDEX(_AUX!$A$2:$A$3201,MATCH(ROW()-1,_AUX!$C$2:$C$3201,0)),"")</f>
        <v/>
      </c>
      <c r="B19" s="11" t="str">
        <f aca="false">IF(A19="","",IFERROR(INDEX(DECKS!$C$2:$C$1201,MATCH(A19,DECKS!$B$2:$B$1201,0)),IFERROR(TRIM(INDEX(COMPRAS!$I$2:$I$2001,MATCH(A19,COMPRAS!$L$2:$L$2001,0))),"(sem nome)")))</f>
        <v/>
      </c>
      <c r="C19" s="16" t="str">
        <f aca="false">IF(A19="","",SUMIFS(COMPRAS!$C$2:$C$2001,COMPRAS!$K$2:$K$2001,A19))</f>
        <v/>
      </c>
    </row>
    <row r="20" customFormat="false" ht="15" hidden="false" customHeight="false" outlineLevel="0" collapsed="false">
      <c r="A20" s="11" t="str">
        <f aca="false">IFERROR(INDEX(_AUX!$A$2:$A$3201,MATCH(ROW()-1,_AUX!$C$2:$C$3201,0)),"")</f>
        <v/>
      </c>
      <c r="B20" s="11" t="str">
        <f aca="false">IF(A20="","",IFERROR(INDEX(DECKS!$C$2:$C$1201,MATCH(A20,DECKS!$B$2:$B$1201,0)),IFERROR(TRIM(INDEX(COMPRAS!$I$2:$I$2001,MATCH(A20,COMPRAS!$L$2:$L$2001,0))),"(sem nome)")))</f>
        <v/>
      </c>
      <c r="C20" s="16" t="str">
        <f aca="false">IF(A20="","",SUMIFS(COMPRAS!$C$2:$C$2001,COMPRAS!$K$2:$K$2001,A20))</f>
        <v/>
      </c>
    </row>
    <row r="21" customFormat="false" ht="15" hidden="false" customHeight="false" outlineLevel="0" collapsed="false">
      <c r="A21" s="11" t="str">
        <f aca="false">IFERROR(INDEX(_AUX!$A$2:$A$3201,MATCH(ROW()-1,_AUX!$C$2:$C$3201,0)),"")</f>
        <v/>
      </c>
      <c r="B21" s="11" t="str">
        <f aca="false">IF(A21="","",IFERROR(INDEX(DECKS!$C$2:$C$1201,MATCH(A21,DECKS!$B$2:$B$1201,0)),IFERROR(TRIM(INDEX(COMPRAS!$I$2:$I$2001,MATCH(A21,COMPRAS!$L$2:$L$2001,0))),"(sem nome)")))</f>
        <v/>
      </c>
      <c r="C21" s="16" t="str">
        <f aca="false">IF(A21="","",SUMIFS(COMPRAS!$C$2:$C$2001,COMPRAS!$K$2:$K$2001,A21))</f>
        <v/>
      </c>
    </row>
    <row r="22" customFormat="false" ht="15" hidden="false" customHeight="false" outlineLevel="0" collapsed="false">
      <c r="A22" s="11" t="str">
        <f aca="false">IFERROR(INDEX(_AUX!$A$2:$A$3201,MATCH(ROW()-1,_AUX!$C$2:$C$3201,0)),"")</f>
        <v/>
      </c>
      <c r="B22" s="11" t="str">
        <f aca="false">IF(A22="","",IFERROR(INDEX(DECKS!$C$2:$C$1201,MATCH(A22,DECKS!$B$2:$B$1201,0)),IFERROR(TRIM(INDEX(COMPRAS!$I$2:$I$2001,MATCH(A22,COMPRAS!$L$2:$L$2001,0))),"(sem nome)")))</f>
        <v/>
      </c>
      <c r="C22" s="16" t="str">
        <f aca="false">IF(A22="","",SUMIFS(COMPRAS!$C$2:$C$2001,COMPRAS!$K$2:$K$2001,A22))</f>
        <v/>
      </c>
    </row>
    <row r="23" customFormat="false" ht="15" hidden="false" customHeight="false" outlineLevel="0" collapsed="false">
      <c r="A23" s="11" t="str">
        <f aca="false">IFERROR(INDEX(_AUX!$A$2:$A$3201,MATCH(ROW()-1,_AUX!$C$2:$C$3201,0)),"")</f>
        <v/>
      </c>
      <c r="B23" s="11" t="str">
        <f aca="false">IF(A23="","",IFERROR(INDEX(DECKS!$C$2:$C$1201,MATCH(A23,DECKS!$B$2:$B$1201,0)),IFERROR(TRIM(INDEX(COMPRAS!$I$2:$I$2001,MATCH(A23,COMPRAS!$L$2:$L$2001,0))),"(sem nome)")))</f>
        <v/>
      </c>
      <c r="C23" s="16" t="str">
        <f aca="false">IF(A23="","",SUMIFS(COMPRAS!$C$2:$C$2001,COMPRAS!$K$2:$K$2001,A23))</f>
        <v/>
      </c>
    </row>
    <row r="24" customFormat="false" ht="15" hidden="false" customHeight="false" outlineLevel="0" collapsed="false">
      <c r="A24" s="11" t="str">
        <f aca="false">IFERROR(INDEX(_AUX!$A$2:$A$3201,MATCH(ROW()-1,_AUX!$C$2:$C$3201,0)),"")</f>
        <v/>
      </c>
      <c r="B24" s="11" t="str">
        <f aca="false">IF(A24="","",IFERROR(INDEX(DECKS!$C$2:$C$1201,MATCH(A24,DECKS!$B$2:$B$1201,0)),IFERROR(TRIM(INDEX(COMPRAS!$I$2:$I$2001,MATCH(A24,COMPRAS!$L$2:$L$2001,0))),"(sem nome)")))</f>
        <v/>
      </c>
      <c r="C24" s="16" t="str">
        <f aca="false">IF(A24="","",SUMIFS(COMPRAS!$C$2:$C$2001,COMPRAS!$K$2:$K$2001,A24))</f>
        <v/>
      </c>
    </row>
    <row r="25" customFormat="false" ht="15" hidden="false" customHeight="false" outlineLevel="0" collapsed="false">
      <c r="A25" s="11" t="str">
        <f aca="false">IFERROR(INDEX(_AUX!$A$2:$A$3201,MATCH(ROW()-1,_AUX!$C$2:$C$3201,0)),"")</f>
        <v/>
      </c>
      <c r="B25" s="11" t="str">
        <f aca="false">IF(A25="","",IFERROR(INDEX(DECKS!$C$2:$C$1201,MATCH(A25,DECKS!$B$2:$B$1201,0)),IFERROR(TRIM(INDEX(COMPRAS!$I$2:$I$2001,MATCH(A25,COMPRAS!$L$2:$L$2001,0))),"(sem nome)")))</f>
        <v/>
      </c>
      <c r="C25" s="16" t="str">
        <f aca="false">IF(A25="","",SUMIFS(COMPRAS!$C$2:$C$2001,COMPRAS!$K$2:$K$2001,A25))</f>
        <v/>
      </c>
    </row>
    <row r="26" customFormat="false" ht="15" hidden="false" customHeight="false" outlineLevel="0" collapsed="false">
      <c r="A26" s="11" t="str">
        <f aca="false">IFERROR(INDEX(_AUX!$A$2:$A$3201,MATCH(ROW()-1,_AUX!$C$2:$C$3201,0)),"")</f>
        <v/>
      </c>
      <c r="B26" s="11" t="str">
        <f aca="false">IF(A26="","",IFERROR(INDEX(DECKS!$C$2:$C$1201,MATCH(A26,DECKS!$B$2:$B$1201,0)),IFERROR(TRIM(INDEX(COMPRAS!$I$2:$I$2001,MATCH(A26,COMPRAS!$L$2:$L$2001,0))),"(sem nome)")))</f>
        <v/>
      </c>
      <c r="C26" s="16" t="str">
        <f aca="false">IF(A26="","",SUMIFS(COMPRAS!$C$2:$C$2001,COMPRAS!$K$2:$K$2001,A26))</f>
        <v/>
      </c>
    </row>
    <row r="27" customFormat="false" ht="15" hidden="false" customHeight="false" outlineLevel="0" collapsed="false">
      <c r="A27" s="11" t="str">
        <f aca="false">IFERROR(INDEX(_AUX!$A$2:$A$3201,MATCH(ROW()-1,_AUX!$C$2:$C$3201,0)),"")</f>
        <v/>
      </c>
      <c r="B27" s="11" t="str">
        <f aca="false">IF(A27="","",IFERROR(INDEX(DECKS!$C$2:$C$1201,MATCH(A27,DECKS!$B$2:$B$1201,0)),IFERROR(TRIM(INDEX(COMPRAS!$I$2:$I$2001,MATCH(A27,COMPRAS!$L$2:$L$2001,0))),"(sem nome)")))</f>
        <v/>
      </c>
      <c r="C27" s="16" t="str">
        <f aca="false">IF(A27="","",SUMIFS(COMPRAS!$C$2:$C$2001,COMPRAS!$K$2:$K$2001,A27))</f>
        <v/>
      </c>
    </row>
    <row r="28" customFormat="false" ht="15" hidden="false" customHeight="false" outlineLevel="0" collapsed="false">
      <c r="A28" s="11" t="str">
        <f aca="false">IFERROR(INDEX(_AUX!$A$2:$A$3201,MATCH(ROW()-1,_AUX!$C$2:$C$3201,0)),"")</f>
        <v/>
      </c>
      <c r="B28" s="11" t="str">
        <f aca="false">IF(A28="","",IFERROR(INDEX(DECKS!$C$2:$C$1201,MATCH(A28,DECKS!$B$2:$B$1201,0)),IFERROR(TRIM(INDEX(COMPRAS!$I$2:$I$2001,MATCH(A28,COMPRAS!$L$2:$L$2001,0))),"(sem nome)")))</f>
        <v/>
      </c>
      <c r="C28" s="16" t="str">
        <f aca="false">IF(A28="","",SUMIFS(COMPRAS!$C$2:$C$2001,COMPRAS!$K$2:$K$2001,A28))</f>
        <v/>
      </c>
    </row>
    <row r="29" customFormat="false" ht="15" hidden="false" customHeight="false" outlineLevel="0" collapsed="false">
      <c r="A29" s="11" t="str">
        <f aca="false">IFERROR(INDEX(_AUX!$A$2:$A$3201,MATCH(ROW()-1,_AUX!$C$2:$C$3201,0)),"")</f>
        <v/>
      </c>
      <c r="B29" s="11" t="str">
        <f aca="false">IF(A29="","",IFERROR(INDEX(DECKS!$C$2:$C$1201,MATCH(A29,DECKS!$B$2:$B$1201,0)),IFERROR(TRIM(INDEX(COMPRAS!$I$2:$I$2001,MATCH(A29,COMPRAS!$L$2:$L$2001,0))),"(sem nome)")))</f>
        <v/>
      </c>
      <c r="C29" s="16" t="str">
        <f aca="false">IF(A29="","",SUMIFS(COMPRAS!$C$2:$C$2001,COMPRAS!$K$2:$K$2001,A29))</f>
        <v/>
      </c>
    </row>
    <row r="30" customFormat="false" ht="15" hidden="false" customHeight="false" outlineLevel="0" collapsed="false">
      <c r="A30" s="11" t="str">
        <f aca="false">IFERROR(INDEX(_AUX!$A$2:$A$3201,MATCH(ROW()-1,_AUX!$C$2:$C$3201,0)),"")</f>
        <v/>
      </c>
      <c r="B30" s="11" t="str">
        <f aca="false">IF(A30="","",IFERROR(INDEX(DECKS!$C$2:$C$1201,MATCH(A30,DECKS!$B$2:$B$1201,0)),IFERROR(TRIM(INDEX(COMPRAS!$I$2:$I$2001,MATCH(A30,COMPRAS!$L$2:$L$2001,0))),"(sem nome)")))</f>
        <v/>
      </c>
      <c r="C30" s="16" t="str">
        <f aca="false">IF(A30="","",SUMIFS(COMPRAS!$C$2:$C$2001,COMPRAS!$K$2:$K$2001,A30))</f>
        <v/>
      </c>
    </row>
    <row r="31" customFormat="false" ht="15" hidden="false" customHeight="false" outlineLevel="0" collapsed="false">
      <c r="A31" s="11" t="str">
        <f aca="false">IFERROR(INDEX(_AUX!$A$2:$A$3201,MATCH(ROW()-1,_AUX!$C$2:$C$3201,0)),"")</f>
        <v/>
      </c>
      <c r="B31" s="11" t="str">
        <f aca="false">IF(A31="","",IFERROR(INDEX(DECKS!$C$2:$C$1201,MATCH(A31,DECKS!$B$2:$B$1201,0)),IFERROR(TRIM(INDEX(COMPRAS!$I$2:$I$2001,MATCH(A31,COMPRAS!$L$2:$L$2001,0))),"(sem nome)")))</f>
        <v/>
      </c>
      <c r="C31" s="16" t="str">
        <f aca="false">IF(A31="","",SUMIFS(COMPRAS!$C$2:$C$2001,COMPRAS!$K$2:$K$2001,A31))</f>
        <v/>
      </c>
    </row>
    <row r="32" customFormat="false" ht="15" hidden="false" customHeight="false" outlineLevel="0" collapsed="false">
      <c r="A32" s="11" t="str">
        <f aca="false">IFERROR(INDEX(_AUX!$A$2:$A$3201,MATCH(ROW()-1,_AUX!$C$2:$C$3201,0)),"")</f>
        <v/>
      </c>
      <c r="B32" s="11" t="str">
        <f aca="false">IF(A32="","",IFERROR(INDEX(DECKS!$C$2:$C$1201,MATCH(A32,DECKS!$B$2:$B$1201,0)),IFERROR(TRIM(INDEX(COMPRAS!$I$2:$I$2001,MATCH(A32,COMPRAS!$L$2:$L$2001,0))),"(sem nome)")))</f>
        <v/>
      </c>
      <c r="C32" s="16" t="str">
        <f aca="false">IF(A32="","",SUMIFS(COMPRAS!$C$2:$C$2001,COMPRAS!$K$2:$K$2001,A32))</f>
        <v/>
      </c>
    </row>
    <row r="33" customFormat="false" ht="15" hidden="false" customHeight="false" outlineLevel="0" collapsed="false">
      <c r="A33" s="11" t="str">
        <f aca="false">IFERROR(INDEX(_AUX!$A$2:$A$3201,MATCH(ROW()-1,_AUX!$C$2:$C$3201,0)),"")</f>
        <v/>
      </c>
      <c r="B33" s="11" t="str">
        <f aca="false">IF(A33="","",IFERROR(INDEX(DECKS!$C$2:$C$1201,MATCH(A33,DECKS!$B$2:$B$1201,0)),IFERROR(TRIM(INDEX(COMPRAS!$I$2:$I$2001,MATCH(A33,COMPRAS!$L$2:$L$2001,0))),"(sem nome)")))</f>
        <v/>
      </c>
      <c r="C33" s="16" t="str">
        <f aca="false">IF(A33="","",SUMIFS(COMPRAS!$C$2:$C$2001,COMPRAS!$K$2:$K$2001,A33))</f>
        <v/>
      </c>
    </row>
    <row r="34" customFormat="false" ht="15" hidden="false" customHeight="false" outlineLevel="0" collapsed="false">
      <c r="A34" s="11" t="str">
        <f aca="false">IFERROR(INDEX(_AUX!$A$2:$A$3201,MATCH(ROW()-1,_AUX!$C$2:$C$3201,0)),"")</f>
        <v/>
      </c>
      <c r="B34" s="11" t="str">
        <f aca="false">IF(A34="","",IFERROR(INDEX(DECKS!$C$2:$C$1201,MATCH(A34,DECKS!$B$2:$B$1201,0)),IFERROR(TRIM(INDEX(COMPRAS!$I$2:$I$2001,MATCH(A34,COMPRAS!$L$2:$L$2001,0))),"(sem nome)")))</f>
        <v/>
      </c>
      <c r="C34" s="16" t="str">
        <f aca="false">IF(A34="","",SUMIFS(COMPRAS!$C$2:$C$2001,COMPRAS!$K$2:$K$2001,A34))</f>
        <v/>
      </c>
    </row>
    <row r="35" customFormat="false" ht="15" hidden="false" customHeight="false" outlineLevel="0" collapsed="false">
      <c r="A35" s="11" t="str">
        <f aca="false">IFERROR(INDEX(_AUX!$A$2:$A$3201,MATCH(ROW()-1,_AUX!$C$2:$C$3201,0)),"")</f>
        <v/>
      </c>
      <c r="B35" s="11" t="str">
        <f aca="false">IF(A35="","",IFERROR(INDEX(DECKS!$C$2:$C$1201,MATCH(A35,DECKS!$B$2:$B$1201,0)),IFERROR(TRIM(INDEX(COMPRAS!$I$2:$I$2001,MATCH(A35,COMPRAS!$L$2:$L$2001,0))),"(sem nome)")))</f>
        <v/>
      </c>
      <c r="C35" s="16" t="str">
        <f aca="false">IF(A35="","",SUMIFS(COMPRAS!$C$2:$C$2001,COMPRAS!$K$2:$K$2001,A35))</f>
        <v/>
      </c>
    </row>
    <row r="36" customFormat="false" ht="15" hidden="false" customHeight="false" outlineLevel="0" collapsed="false">
      <c r="A36" s="11" t="str">
        <f aca="false">IFERROR(INDEX(_AUX!$A$2:$A$3201,MATCH(ROW()-1,_AUX!$C$2:$C$3201,0)),"")</f>
        <v/>
      </c>
      <c r="B36" s="11" t="str">
        <f aca="false">IF(A36="","",IFERROR(INDEX(DECKS!$C$2:$C$1201,MATCH(A36,DECKS!$B$2:$B$1201,0)),IFERROR(TRIM(INDEX(COMPRAS!$I$2:$I$2001,MATCH(A36,COMPRAS!$L$2:$L$2001,0))),"(sem nome)")))</f>
        <v/>
      </c>
      <c r="C36" s="16" t="str">
        <f aca="false">IF(A36="","",SUMIFS(COMPRAS!$C$2:$C$2001,COMPRAS!$K$2:$K$2001,A36))</f>
        <v/>
      </c>
    </row>
    <row r="37" customFormat="false" ht="15" hidden="false" customHeight="false" outlineLevel="0" collapsed="false">
      <c r="A37" s="11" t="str">
        <f aca="false">IFERROR(INDEX(_AUX!$A$2:$A$3201,MATCH(ROW()-1,_AUX!$C$2:$C$3201,0)),"")</f>
        <v/>
      </c>
      <c r="B37" s="11" t="str">
        <f aca="false">IF(A37="","",IFERROR(INDEX(DECKS!$C$2:$C$1201,MATCH(A37,DECKS!$B$2:$B$1201,0)),IFERROR(TRIM(INDEX(COMPRAS!$I$2:$I$2001,MATCH(A37,COMPRAS!$L$2:$L$2001,0))),"(sem nome)")))</f>
        <v/>
      </c>
      <c r="C37" s="16" t="str">
        <f aca="false">IF(A37="","",SUMIFS(COMPRAS!$C$2:$C$2001,COMPRAS!$K$2:$K$2001,A37))</f>
        <v/>
      </c>
    </row>
    <row r="38" customFormat="false" ht="15" hidden="false" customHeight="false" outlineLevel="0" collapsed="false">
      <c r="A38" s="11" t="str">
        <f aca="false">IFERROR(INDEX(_AUX!$A$2:$A$3201,MATCH(ROW()-1,_AUX!$C$2:$C$3201,0)),"")</f>
        <v/>
      </c>
      <c r="B38" s="11" t="str">
        <f aca="false">IF(A38="","",IFERROR(INDEX(DECKS!$C$2:$C$1201,MATCH(A38,DECKS!$B$2:$B$1201,0)),IFERROR(TRIM(INDEX(COMPRAS!$I$2:$I$2001,MATCH(A38,COMPRAS!$L$2:$L$2001,0))),"(sem nome)")))</f>
        <v/>
      </c>
      <c r="C38" s="16" t="str">
        <f aca="false">IF(A38="","",SUMIFS(COMPRAS!$C$2:$C$2001,COMPRAS!$K$2:$K$2001,A38))</f>
        <v/>
      </c>
    </row>
    <row r="39" customFormat="false" ht="15" hidden="false" customHeight="false" outlineLevel="0" collapsed="false">
      <c r="A39" s="11" t="str">
        <f aca="false">IFERROR(INDEX(_AUX!$A$2:$A$3201,MATCH(ROW()-1,_AUX!$C$2:$C$3201,0)),"")</f>
        <v/>
      </c>
      <c r="B39" s="11" t="str">
        <f aca="false">IF(A39="","",IFERROR(INDEX(DECKS!$C$2:$C$1201,MATCH(A39,DECKS!$B$2:$B$1201,0)),IFERROR(TRIM(INDEX(COMPRAS!$I$2:$I$2001,MATCH(A39,COMPRAS!$L$2:$L$2001,0))),"(sem nome)")))</f>
        <v/>
      </c>
      <c r="C39" s="16" t="str">
        <f aca="false">IF(A39="","",SUMIFS(COMPRAS!$C$2:$C$2001,COMPRAS!$K$2:$K$2001,A39))</f>
        <v/>
      </c>
    </row>
    <row r="40" customFormat="false" ht="15" hidden="false" customHeight="false" outlineLevel="0" collapsed="false">
      <c r="A40" s="11" t="str">
        <f aca="false">IFERROR(INDEX(_AUX!$A$2:$A$3201,MATCH(ROW()-1,_AUX!$C$2:$C$3201,0)),"")</f>
        <v/>
      </c>
      <c r="B40" s="11" t="str">
        <f aca="false">IF(A40="","",IFERROR(INDEX(DECKS!$C$2:$C$1201,MATCH(A40,DECKS!$B$2:$B$1201,0)),IFERROR(TRIM(INDEX(COMPRAS!$I$2:$I$2001,MATCH(A40,COMPRAS!$L$2:$L$2001,0))),"(sem nome)")))</f>
        <v/>
      </c>
      <c r="C40" s="16" t="str">
        <f aca="false">IF(A40="","",SUMIFS(COMPRAS!$C$2:$C$2001,COMPRAS!$K$2:$K$2001,A40))</f>
        <v/>
      </c>
    </row>
    <row r="41" customFormat="false" ht="15" hidden="false" customHeight="false" outlineLevel="0" collapsed="false">
      <c r="A41" s="11" t="str">
        <f aca="false">IFERROR(INDEX(_AUX!$A$2:$A$3201,MATCH(ROW()-1,_AUX!$C$2:$C$3201,0)),"")</f>
        <v/>
      </c>
      <c r="B41" s="11" t="str">
        <f aca="false">IF(A41="","",IFERROR(INDEX(DECKS!$C$2:$C$1201,MATCH(A41,DECKS!$B$2:$B$1201,0)),IFERROR(TRIM(INDEX(COMPRAS!$I$2:$I$2001,MATCH(A41,COMPRAS!$L$2:$L$2001,0))),"(sem nome)")))</f>
        <v/>
      </c>
      <c r="C41" s="16" t="str">
        <f aca="false">IF(A41="","",SUMIFS(COMPRAS!$C$2:$C$2001,COMPRAS!$K$2:$K$2001,A41))</f>
        <v/>
      </c>
    </row>
    <row r="42" customFormat="false" ht="15" hidden="false" customHeight="false" outlineLevel="0" collapsed="false">
      <c r="A42" s="11" t="str">
        <f aca="false">IFERROR(INDEX(_AUX!$A$2:$A$3201,MATCH(ROW()-1,_AUX!$C$2:$C$3201,0)),"")</f>
        <v/>
      </c>
      <c r="B42" s="11" t="str">
        <f aca="false">IF(A42="","",IFERROR(INDEX(DECKS!$C$2:$C$1201,MATCH(A42,DECKS!$B$2:$B$1201,0)),IFERROR(TRIM(INDEX(COMPRAS!$I$2:$I$2001,MATCH(A42,COMPRAS!$L$2:$L$2001,0))),"(sem nome)")))</f>
        <v/>
      </c>
      <c r="C42" s="16" t="str">
        <f aca="false">IF(A42="","",SUMIFS(COMPRAS!$C$2:$C$2001,COMPRAS!$K$2:$K$2001,A42))</f>
        <v/>
      </c>
    </row>
    <row r="43" customFormat="false" ht="15" hidden="false" customHeight="false" outlineLevel="0" collapsed="false">
      <c r="A43" s="11" t="str">
        <f aca="false">IFERROR(INDEX(_AUX!$A$2:$A$3201,MATCH(ROW()-1,_AUX!$C$2:$C$3201,0)),"")</f>
        <v/>
      </c>
      <c r="B43" s="11" t="str">
        <f aca="false">IF(A43="","",IFERROR(INDEX(DECKS!$C$2:$C$1201,MATCH(A43,DECKS!$B$2:$B$1201,0)),IFERROR(TRIM(INDEX(COMPRAS!$I$2:$I$2001,MATCH(A43,COMPRAS!$L$2:$L$2001,0))),"(sem nome)")))</f>
        <v/>
      </c>
      <c r="C43" s="16" t="str">
        <f aca="false">IF(A43="","",SUMIFS(COMPRAS!$C$2:$C$2001,COMPRAS!$K$2:$K$2001,A43))</f>
        <v/>
      </c>
    </row>
    <row r="44" customFormat="false" ht="15" hidden="false" customHeight="false" outlineLevel="0" collapsed="false">
      <c r="A44" s="11" t="str">
        <f aca="false">IFERROR(INDEX(_AUX!$A$2:$A$3201,MATCH(ROW()-1,_AUX!$C$2:$C$3201,0)),"")</f>
        <v/>
      </c>
      <c r="B44" s="11" t="str">
        <f aca="false">IF(A44="","",IFERROR(INDEX(DECKS!$C$2:$C$1201,MATCH(A44,DECKS!$B$2:$B$1201,0)),IFERROR(TRIM(INDEX(COMPRAS!$I$2:$I$2001,MATCH(A44,COMPRAS!$L$2:$L$2001,0))),"(sem nome)")))</f>
        <v/>
      </c>
      <c r="C44" s="16" t="str">
        <f aca="false">IF(A44="","",SUMIFS(COMPRAS!$C$2:$C$2001,COMPRAS!$K$2:$K$2001,A44))</f>
        <v/>
      </c>
    </row>
    <row r="45" customFormat="false" ht="15" hidden="false" customHeight="false" outlineLevel="0" collapsed="false">
      <c r="A45" s="11" t="str">
        <f aca="false">IFERROR(INDEX(_AUX!$A$2:$A$3201,MATCH(ROW()-1,_AUX!$C$2:$C$3201,0)),"")</f>
        <v/>
      </c>
      <c r="B45" s="11" t="str">
        <f aca="false">IF(A45="","",IFERROR(INDEX(DECKS!$C$2:$C$1201,MATCH(A45,DECKS!$B$2:$B$1201,0)),IFERROR(TRIM(INDEX(COMPRAS!$I$2:$I$2001,MATCH(A45,COMPRAS!$L$2:$L$2001,0))),"(sem nome)")))</f>
        <v/>
      </c>
      <c r="C45" s="16" t="str">
        <f aca="false">IF(A45="","",SUMIFS(COMPRAS!$C$2:$C$2001,COMPRAS!$K$2:$K$2001,A45))</f>
        <v/>
      </c>
    </row>
    <row r="46" customFormat="false" ht="15" hidden="false" customHeight="false" outlineLevel="0" collapsed="false">
      <c r="A46" s="11" t="str">
        <f aca="false">IFERROR(INDEX(_AUX!$A$2:$A$3201,MATCH(ROW()-1,_AUX!$C$2:$C$3201,0)),"")</f>
        <v/>
      </c>
      <c r="B46" s="11" t="str">
        <f aca="false">IF(A46="","",IFERROR(INDEX(DECKS!$C$2:$C$1201,MATCH(A46,DECKS!$B$2:$B$1201,0)),IFERROR(TRIM(INDEX(COMPRAS!$I$2:$I$2001,MATCH(A46,COMPRAS!$L$2:$L$2001,0))),"(sem nome)")))</f>
        <v/>
      </c>
      <c r="C46" s="16" t="str">
        <f aca="false">IF(A46="","",SUMIFS(COMPRAS!$C$2:$C$2001,COMPRAS!$K$2:$K$2001,A46))</f>
        <v/>
      </c>
    </row>
    <row r="47" customFormat="false" ht="15" hidden="false" customHeight="false" outlineLevel="0" collapsed="false">
      <c r="A47" s="11" t="str">
        <f aca="false">IFERROR(INDEX(_AUX!$A$2:$A$3201,MATCH(ROW()-1,_AUX!$C$2:$C$3201,0)),"")</f>
        <v/>
      </c>
      <c r="B47" s="11" t="str">
        <f aca="false">IF(A47="","",IFERROR(INDEX(DECKS!$C$2:$C$1201,MATCH(A47,DECKS!$B$2:$B$1201,0)),IFERROR(TRIM(INDEX(COMPRAS!$I$2:$I$2001,MATCH(A47,COMPRAS!$L$2:$L$2001,0))),"(sem nome)")))</f>
        <v/>
      </c>
      <c r="C47" s="16" t="str">
        <f aca="false">IF(A47="","",SUMIFS(COMPRAS!$C$2:$C$2001,COMPRAS!$K$2:$K$2001,A47))</f>
        <v/>
      </c>
    </row>
    <row r="48" customFormat="false" ht="15" hidden="false" customHeight="false" outlineLevel="0" collapsed="false">
      <c r="A48" s="11" t="str">
        <f aca="false">IFERROR(INDEX(_AUX!$A$2:$A$3201,MATCH(ROW()-1,_AUX!$C$2:$C$3201,0)),"")</f>
        <v/>
      </c>
      <c r="B48" s="11" t="str">
        <f aca="false">IF(A48="","",IFERROR(INDEX(DECKS!$C$2:$C$1201,MATCH(A48,DECKS!$B$2:$B$1201,0)),IFERROR(TRIM(INDEX(COMPRAS!$I$2:$I$2001,MATCH(A48,COMPRAS!$L$2:$L$2001,0))),"(sem nome)")))</f>
        <v/>
      </c>
      <c r="C48" s="16" t="str">
        <f aca="false">IF(A48="","",SUMIFS(COMPRAS!$C$2:$C$2001,COMPRAS!$K$2:$K$2001,A48))</f>
        <v/>
      </c>
    </row>
    <row r="49" customFormat="false" ht="15" hidden="false" customHeight="false" outlineLevel="0" collapsed="false">
      <c r="A49" s="11" t="str">
        <f aca="false">IFERROR(INDEX(_AUX!$A$2:$A$3201,MATCH(ROW()-1,_AUX!$C$2:$C$3201,0)),"")</f>
        <v/>
      </c>
      <c r="B49" s="11" t="str">
        <f aca="false">IF(A49="","",IFERROR(INDEX(DECKS!$C$2:$C$1201,MATCH(A49,DECKS!$B$2:$B$1201,0)),IFERROR(TRIM(INDEX(COMPRAS!$I$2:$I$2001,MATCH(A49,COMPRAS!$L$2:$L$2001,0))),"(sem nome)")))</f>
        <v/>
      </c>
      <c r="C49" s="16" t="str">
        <f aca="false">IF(A49="","",SUMIFS(COMPRAS!$C$2:$C$2001,COMPRAS!$K$2:$K$2001,A49))</f>
        <v/>
      </c>
    </row>
    <row r="50" customFormat="false" ht="15" hidden="false" customHeight="false" outlineLevel="0" collapsed="false">
      <c r="A50" s="11" t="str">
        <f aca="false">IFERROR(INDEX(_AUX!$A$2:$A$3201,MATCH(ROW()-1,_AUX!$C$2:$C$3201,0)),"")</f>
        <v/>
      </c>
      <c r="B50" s="11" t="str">
        <f aca="false">IF(A50="","",IFERROR(INDEX(DECKS!$C$2:$C$1201,MATCH(A50,DECKS!$B$2:$B$1201,0)),IFERROR(TRIM(INDEX(COMPRAS!$I$2:$I$2001,MATCH(A50,COMPRAS!$L$2:$L$2001,0))),"(sem nome)")))</f>
        <v/>
      </c>
      <c r="C50" s="16" t="str">
        <f aca="false">IF(A50="","",SUMIFS(COMPRAS!$C$2:$C$2001,COMPRAS!$K$2:$K$2001,A50))</f>
        <v/>
      </c>
    </row>
    <row r="51" customFormat="false" ht="15" hidden="false" customHeight="false" outlineLevel="0" collapsed="false">
      <c r="A51" s="11" t="str">
        <f aca="false">IFERROR(INDEX(_AUX!$A$2:$A$3201,MATCH(ROW()-1,_AUX!$C$2:$C$3201,0)),"")</f>
        <v/>
      </c>
      <c r="B51" s="11" t="str">
        <f aca="false">IF(A51="","",IFERROR(INDEX(DECKS!$C$2:$C$1201,MATCH(A51,DECKS!$B$2:$B$1201,0)),IFERROR(TRIM(INDEX(COMPRAS!$I$2:$I$2001,MATCH(A51,COMPRAS!$L$2:$L$2001,0))),"(sem nome)")))</f>
        <v/>
      </c>
      <c r="C51" s="16" t="str">
        <f aca="false">IF(A51="","",SUMIFS(COMPRAS!$C$2:$C$2001,COMPRAS!$K$2:$K$2001,A51))</f>
        <v/>
      </c>
    </row>
    <row r="52" customFormat="false" ht="15" hidden="false" customHeight="false" outlineLevel="0" collapsed="false">
      <c r="A52" s="11" t="str">
        <f aca="false">IFERROR(INDEX(_AUX!$A$2:$A$3201,MATCH(ROW()-1,_AUX!$C$2:$C$3201,0)),"")</f>
        <v/>
      </c>
      <c r="B52" s="11" t="str">
        <f aca="false">IF(A52="","",IFERROR(INDEX(DECKS!$C$2:$C$1201,MATCH(A52,DECKS!$B$2:$B$1201,0)),IFERROR(TRIM(INDEX(COMPRAS!$I$2:$I$2001,MATCH(A52,COMPRAS!$L$2:$L$2001,0))),"(sem nome)")))</f>
        <v/>
      </c>
      <c r="C52" s="16" t="str">
        <f aca="false">IF(A52="","",SUMIFS(COMPRAS!$C$2:$C$2001,COMPRAS!$K$2:$K$2001,A52))</f>
        <v/>
      </c>
    </row>
    <row r="53" customFormat="false" ht="15" hidden="false" customHeight="false" outlineLevel="0" collapsed="false">
      <c r="A53" s="11" t="str">
        <f aca="false">IFERROR(INDEX(_AUX!$A$2:$A$3201,MATCH(ROW()-1,_AUX!$C$2:$C$3201,0)),"")</f>
        <v/>
      </c>
      <c r="B53" s="11" t="str">
        <f aca="false">IF(A53="","",IFERROR(INDEX(DECKS!$C$2:$C$1201,MATCH(A53,DECKS!$B$2:$B$1201,0)),IFERROR(TRIM(INDEX(COMPRAS!$I$2:$I$2001,MATCH(A53,COMPRAS!$L$2:$L$2001,0))),"(sem nome)")))</f>
        <v/>
      </c>
      <c r="C53" s="16" t="str">
        <f aca="false">IF(A53="","",SUMIFS(COMPRAS!$C$2:$C$2001,COMPRAS!$K$2:$K$2001,A53))</f>
        <v/>
      </c>
    </row>
    <row r="54" customFormat="false" ht="15" hidden="false" customHeight="false" outlineLevel="0" collapsed="false">
      <c r="A54" s="11" t="str">
        <f aca="false">IFERROR(INDEX(_AUX!$A$2:$A$3201,MATCH(ROW()-1,_AUX!$C$2:$C$3201,0)),"")</f>
        <v/>
      </c>
      <c r="B54" s="11" t="str">
        <f aca="false">IF(A54="","",IFERROR(INDEX(DECKS!$C$2:$C$1201,MATCH(A54,DECKS!$B$2:$B$1201,0)),IFERROR(TRIM(INDEX(COMPRAS!$I$2:$I$2001,MATCH(A54,COMPRAS!$L$2:$L$2001,0))),"(sem nome)")))</f>
        <v/>
      </c>
      <c r="C54" s="16" t="str">
        <f aca="false">IF(A54="","",SUMIFS(COMPRAS!$C$2:$C$2001,COMPRAS!$K$2:$K$2001,A54))</f>
        <v/>
      </c>
    </row>
    <row r="55" customFormat="false" ht="15" hidden="false" customHeight="false" outlineLevel="0" collapsed="false">
      <c r="A55" s="11" t="str">
        <f aca="false">IFERROR(INDEX(_AUX!$A$2:$A$3201,MATCH(ROW()-1,_AUX!$C$2:$C$3201,0)),"")</f>
        <v/>
      </c>
      <c r="B55" s="11" t="str">
        <f aca="false">IF(A55="","",IFERROR(INDEX(DECKS!$C$2:$C$1201,MATCH(A55,DECKS!$B$2:$B$1201,0)),IFERROR(TRIM(INDEX(COMPRAS!$I$2:$I$2001,MATCH(A55,COMPRAS!$L$2:$L$2001,0))),"(sem nome)")))</f>
        <v/>
      </c>
      <c r="C55" s="16" t="str">
        <f aca="false">IF(A55="","",SUMIFS(COMPRAS!$C$2:$C$2001,COMPRAS!$K$2:$K$2001,A55))</f>
        <v/>
      </c>
    </row>
    <row r="56" customFormat="false" ht="15" hidden="false" customHeight="false" outlineLevel="0" collapsed="false">
      <c r="A56" s="11" t="str">
        <f aca="false">IFERROR(INDEX(_AUX!$A$2:$A$3201,MATCH(ROW()-1,_AUX!$C$2:$C$3201,0)),"")</f>
        <v/>
      </c>
      <c r="B56" s="11" t="str">
        <f aca="false">IF(A56="","",IFERROR(INDEX(DECKS!$C$2:$C$1201,MATCH(A56,DECKS!$B$2:$B$1201,0)),IFERROR(TRIM(INDEX(COMPRAS!$I$2:$I$2001,MATCH(A56,COMPRAS!$L$2:$L$2001,0))),"(sem nome)")))</f>
        <v/>
      </c>
      <c r="C56" s="16" t="str">
        <f aca="false">IF(A56="","",SUMIFS(COMPRAS!$C$2:$C$2001,COMPRAS!$K$2:$K$2001,A56))</f>
        <v/>
      </c>
    </row>
    <row r="57" customFormat="false" ht="15" hidden="false" customHeight="false" outlineLevel="0" collapsed="false">
      <c r="A57" s="11" t="str">
        <f aca="false">IFERROR(INDEX(_AUX!$A$2:$A$3201,MATCH(ROW()-1,_AUX!$C$2:$C$3201,0)),"")</f>
        <v/>
      </c>
      <c r="B57" s="11" t="str">
        <f aca="false">IF(A57="","",IFERROR(INDEX(DECKS!$C$2:$C$1201,MATCH(A57,DECKS!$B$2:$B$1201,0)),IFERROR(TRIM(INDEX(COMPRAS!$I$2:$I$2001,MATCH(A57,COMPRAS!$L$2:$L$2001,0))),"(sem nome)")))</f>
        <v/>
      </c>
      <c r="C57" s="16" t="str">
        <f aca="false">IF(A57="","",SUMIFS(COMPRAS!$C$2:$C$2001,COMPRAS!$K$2:$K$2001,A57))</f>
        <v/>
      </c>
    </row>
    <row r="58" customFormat="false" ht="15" hidden="false" customHeight="false" outlineLevel="0" collapsed="false">
      <c r="A58" s="11" t="str">
        <f aca="false">IFERROR(INDEX(_AUX!$A$2:$A$3201,MATCH(ROW()-1,_AUX!$C$2:$C$3201,0)),"")</f>
        <v/>
      </c>
      <c r="B58" s="11" t="str">
        <f aca="false">IF(A58="","",IFERROR(INDEX(DECKS!$C$2:$C$1201,MATCH(A58,DECKS!$B$2:$B$1201,0)),IFERROR(TRIM(INDEX(COMPRAS!$I$2:$I$2001,MATCH(A58,COMPRAS!$L$2:$L$2001,0))),"(sem nome)")))</f>
        <v/>
      </c>
      <c r="C58" s="16" t="str">
        <f aca="false">IF(A58="","",SUMIFS(COMPRAS!$C$2:$C$2001,COMPRAS!$K$2:$K$2001,A58))</f>
        <v/>
      </c>
    </row>
    <row r="59" customFormat="false" ht="15" hidden="false" customHeight="false" outlineLevel="0" collapsed="false">
      <c r="A59" s="11" t="str">
        <f aca="false">IFERROR(INDEX(_AUX!$A$2:$A$3201,MATCH(ROW()-1,_AUX!$C$2:$C$3201,0)),"")</f>
        <v/>
      </c>
      <c r="B59" s="11" t="str">
        <f aca="false">IF(A59="","",IFERROR(INDEX(DECKS!$C$2:$C$1201,MATCH(A59,DECKS!$B$2:$B$1201,0)),IFERROR(TRIM(INDEX(COMPRAS!$I$2:$I$2001,MATCH(A59,COMPRAS!$L$2:$L$2001,0))),"(sem nome)")))</f>
        <v/>
      </c>
      <c r="C59" s="16" t="str">
        <f aca="false">IF(A59="","",SUMIFS(COMPRAS!$C$2:$C$2001,COMPRAS!$K$2:$K$2001,A59))</f>
        <v/>
      </c>
    </row>
    <row r="60" customFormat="false" ht="15" hidden="false" customHeight="false" outlineLevel="0" collapsed="false">
      <c r="A60" s="11" t="str">
        <f aca="false">IFERROR(INDEX(_AUX!$A$2:$A$3201,MATCH(ROW()-1,_AUX!$C$2:$C$3201,0)),"")</f>
        <v/>
      </c>
      <c r="B60" s="11" t="str">
        <f aca="false">IF(A60="","",IFERROR(INDEX(DECKS!$C$2:$C$1201,MATCH(A60,DECKS!$B$2:$B$1201,0)),IFERROR(TRIM(INDEX(COMPRAS!$I$2:$I$2001,MATCH(A60,COMPRAS!$L$2:$L$2001,0))),"(sem nome)")))</f>
        <v/>
      </c>
      <c r="C60" s="16" t="str">
        <f aca="false">IF(A60="","",SUMIFS(COMPRAS!$C$2:$C$2001,COMPRAS!$K$2:$K$2001,A60))</f>
        <v/>
      </c>
    </row>
    <row r="61" customFormat="false" ht="15" hidden="false" customHeight="false" outlineLevel="0" collapsed="false">
      <c r="A61" s="11" t="str">
        <f aca="false">IFERROR(INDEX(_AUX!$A$2:$A$3201,MATCH(ROW()-1,_AUX!$C$2:$C$3201,0)),"")</f>
        <v/>
      </c>
      <c r="B61" s="11" t="str">
        <f aca="false">IF(A61="","",IFERROR(INDEX(DECKS!$C$2:$C$1201,MATCH(A61,DECKS!$B$2:$B$1201,0)),IFERROR(TRIM(INDEX(COMPRAS!$I$2:$I$2001,MATCH(A61,COMPRAS!$L$2:$L$2001,0))),"(sem nome)")))</f>
        <v/>
      </c>
      <c r="C61" s="16" t="str">
        <f aca="false">IF(A61="","",SUMIFS(COMPRAS!$C$2:$C$2001,COMPRAS!$K$2:$K$2001,A61))</f>
        <v/>
      </c>
    </row>
    <row r="62" customFormat="false" ht="15" hidden="false" customHeight="false" outlineLevel="0" collapsed="false">
      <c r="A62" s="11" t="str">
        <f aca="false">IFERROR(INDEX(_AUX!$A$2:$A$3201,MATCH(ROW()-1,_AUX!$C$2:$C$3201,0)),"")</f>
        <v/>
      </c>
      <c r="B62" s="11" t="str">
        <f aca="false">IF(A62="","",IFERROR(INDEX(DECKS!$C$2:$C$1201,MATCH(A62,DECKS!$B$2:$B$1201,0)),IFERROR(TRIM(INDEX(COMPRAS!$I$2:$I$2001,MATCH(A62,COMPRAS!$L$2:$L$2001,0))),"(sem nome)")))</f>
        <v/>
      </c>
      <c r="C62" s="16" t="str">
        <f aca="false">IF(A62="","",SUMIFS(COMPRAS!$C$2:$C$2001,COMPRAS!$K$2:$K$2001,A62))</f>
        <v/>
      </c>
    </row>
    <row r="63" customFormat="false" ht="15" hidden="false" customHeight="false" outlineLevel="0" collapsed="false">
      <c r="A63" s="11" t="str">
        <f aca="false">IFERROR(INDEX(_AUX!$A$2:$A$3201,MATCH(ROW()-1,_AUX!$C$2:$C$3201,0)),"")</f>
        <v/>
      </c>
      <c r="B63" s="11" t="str">
        <f aca="false">IF(A63="","",IFERROR(INDEX(DECKS!$C$2:$C$1201,MATCH(A63,DECKS!$B$2:$B$1201,0)),IFERROR(TRIM(INDEX(COMPRAS!$I$2:$I$2001,MATCH(A63,COMPRAS!$L$2:$L$2001,0))),"(sem nome)")))</f>
        <v/>
      </c>
      <c r="C63" s="16" t="str">
        <f aca="false">IF(A63="","",SUMIFS(COMPRAS!$C$2:$C$2001,COMPRAS!$K$2:$K$2001,A63))</f>
        <v/>
      </c>
    </row>
    <row r="64" customFormat="false" ht="15" hidden="false" customHeight="false" outlineLevel="0" collapsed="false">
      <c r="A64" s="11" t="str">
        <f aca="false">IFERROR(INDEX(_AUX!$A$2:$A$3201,MATCH(ROW()-1,_AUX!$C$2:$C$3201,0)),"")</f>
        <v/>
      </c>
      <c r="B64" s="11" t="str">
        <f aca="false">IF(A64="","",IFERROR(INDEX(DECKS!$C$2:$C$1201,MATCH(A64,DECKS!$B$2:$B$1201,0)),IFERROR(TRIM(INDEX(COMPRAS!$I$2:$I$2001,MATCH(A64,COMPRAS!$L$2:$L$2001,0))),"(sem nome)")))</f>
        <v/>
      </c>
      <c r="C64" s="16" t="str">
        <f aca="false">IF(A64="","",SUMIFS(COMPRAS!$C$2:$C$2001,COMPRAS!$K$2:$K$2001,A64))</f>
        <v/>
      </c>
    </row>
    <row r="65" customFormat="false" ht="15" hidden="false" customHeight="false" outlineLevel="0" collapsed="false">
      <c r="A65" s="11" t="str">
        <f aca="false">IFERROR(INDEX(_AUX!$A$2:$A$3201,MATCH(ROW()-1,_AUX!$C$2:$C$3201,0)),"")</f>
        <v/>
      </c>
      <c r="B65" s="11" t="str">
        <f aca="false">IF(A65="","",IFERROR(INDEX(DECKS!$C$2:$C$1201,MATCH(A65,DECKS!$B$2:$B$1201,0)),IFERROR(TRIM(INDEX(COMPRAS!$I$2:$I$2001,MATCH(A65,COMPRAS!$L$2:$L$2001,0))),"(sem nome)")))</f>
        <v/>
      </c>
      <c r="C65" s="16" t="str">
        <f aca="false">IF(A65="","",SUMIFS(COMPRAS!$C$2:$C$2001,COMPRAS!$K$2:$K$2001,A65))</f>
        <v/>
      </c>
    </row>
    <row r="66" customFormat="false" ht="15" hidden="false" customHeight="false" outlineLevel="0" collapsed="false">
      <c r="A66" s="11" t="str">
        <f aca="false">IFERROR(INDEX(_AUX!$A$2:$A$3201,MATCH(ROW()-1,_AUX!$C$2:$C$3201,0)),"")</f>
        <v/>
      </c>
      <c r="B66" s="11" t="str">
        <f aca="false">IF(A66="","",IFERROR(INDEX(DECKS!$C$2:$C$1201,MATCH(A66,DECKS!$B$2:$B$1201,0)),IFERROR(TRIM(INDEX(COMPRAS!$I$2:$I$2001,MATCH(A66,COMPRAS!$L$2:$L$2001,0))),"(sem nome)")))</f>
        <v/>
      </c>
      <c r="C66" s="16" t="str">
        <f aca="false">IF(A66="","",SUMIFS(COMPRAS!$C$2:$C$2001,COMPRAS!$K$2:$K$2001,A66))</f>
        <v/>
      </c>
    </row>
    <row r="67" customFormat="false" ht="15" hidden="false" customHeight="false" outlineLevel="0" collapsed="false">
      <c r="A67" s="11" t="str">
        <f aca="false">IFERROR(INDEX(_AUX!$A$2:$A$3201,MATCH(ROW()-1,_AUX!$C$2:$C$3201,0)),"")</f>
        <v/>
      </c>
      <c r="B67" s="11" t="str">
        <f aca="false">IF(A67="","",IFERROR(INDEX(DECKS!$C$2:$C$1201,MATCH(A67,DECKS!$B$2:$B$1201,0)),IFERROR(TRIM(INDEX(COMPRAS!$I$2:$I$2001,MATCH(A67,COMPRAS!$L$2:$L$2001,0))),"(sem nome)")))</f>
        <v/>
      </c>
      <c r="C67" s="16" t="str">
        <f aca="false">IF(A67="","",SUMIFS(COMPRAS!$C$2:$C$2001,COMPRAS!$K$2:$K$2001,A67))</f>
        <v/>
      </c>
    </row>
    <row r="68" customFormat="false" ht="15" hidden="false" customHeight="false" outlineLevel="0" collapsed="false">
      <c r="A68" s="11" t="str">
        <f aca="false">IFERROR(INDEX(_AUX!$A$2:$A$3201,MATCH(ROW()-1,_AUX!$C$2:$C$3201,0)),"")</f>
        <v/>
      </c>
      <c r="B68" s="11" t="str">
        <f aca="false">IF(A68="","",IFERROR(INDEX(DECKS!$C$2:$C$1201,MATCH(A68,DECKS!$B$2:$B$1201,0)),IFERROR(TRIM(INDEX(COMPRAS!$I$2:$I$2001,MATCH(A68,COMPRAS!$L$2:$L$2001,0))),"(sem nome)")))</f>
        <v/>
      </c>
      <c r="C68" s="16" t="str">
        <f aca="false">IF(A68="","",SUMIFS(COMPRAS!$C$2:$C$2001,COMPRAS!$K$2:$K$2001,A68))</f>
        <v/>
      </c>
    </row>
    <row r="69" customFormat="false" ht="15" hidden="false" customHeight="false" outlineLevel="0" collapsed="false">
      <c r="A69" s="11" t="str">
        <f aca="false">IFERROR(INDEX(_AUX!$A$2:$A$3201,MATCH(ROW()-1,_AUX!$C$2:$C$3201,0)),"")</f>
        <v/>
      </c>
      <c r="B69" s="11" t="str">
        <f aca="false">IF(A69="","",IFERROR(INDEX(DECKS!$C$2:$C$1201,MATCH(A69,DECKS!$B$2:$B$1201,0)),IFERROR(TRIM(INDEX(COMPRAS!$I$2:$I$2001,MATCH(A69,COMPRAS!$L$2:$L$2001,0))),"(sem nome)")))</f>
        <v/>
      </c>
      <c r="C69" s="16" t="str">
        <f aca="false">IF(A69="","",SUMIFS(COMPRAS!$C$2:$C$2001,COMPRAS!$K$2:$K$2001,A69))</f>
        <v/>
      </c>
    </row>
    <row r="70" customFormat="false" ht="15" hidden="false" customHeight="false" outlineLevel="0" collapsed="false">
      <c r="A70" s="11" t="str">
        <f aca="false">IFERROR(INDEX(_AUX!$A$2:$A$3201,MATCH(ROW()-1,_AUX!$C$2:$C$3201,0)),"")</f>
        <v/>
      </c>
      <c r="B70" s="11" t="str">
        <f aca="false">IF(A70="","",IFERROR(INDEX(DECKS!$C$2:$C$1201,MATCH(A70,DECKS!$B$2:$B$1201,0)),IFERROR(TRIM(INDEX(COMPRAS!$I$2:$I$2001,MATCH(A70,COMPRAS!$L$2:$L$2001,0))),"(sem nome)")))</f>
        <v/>
      </c>
      <c r="C70" s="16" t="str">
        <f aca="false">IF(A70="","",SUMIFS(COMPRAS!$C$2:$C$2001,COMPRAS!$K$2:$K$2001,A70))</f>
        <v/>
      </c>
    </row>
    <row r="71" customFormat="false" ht="15" hidden="false" customHeight="false" outlineLevel="0" collapsed="false">
      <c r="A71" s="11" t="str">
        <f aca="false">IFERROR(INDEX(_AUX!$A$2:$A$3201,MATCH(ROW()-1,_AUX!$C$2:$C$3201,0)),"")</f>
        <v/>
      </c>
      <c r="B71" s="11" t="str">
        <f aca="false">IF(A71="","",IFERROR(INDEX(DECKS!$C$2:$C$1201,MATCH(A71,DECKS!$B$2:$B$1201,0)),IFERROR(TRIM(INDEX(COMPRAS!$I$2:$I$2001,MATCH(A71,COMPRAS!$L$2:$L$2001,0))),"(sem nome)")))</f>
        <v/>
      </c>
      <c r="C71" s="16" t="str">
        <f aca="false">IF(A71="","",SUMIFS(COMPRAS!$C$2:$C$2001,COMPRAS!$K$2:$K$2001,A71))</f>
        <v/>
      </c>
    </row>
    <row r="72" customFormat="false" ht="15" hidden="false" customHeight="false" outlineLevel="0" collapsed="false">
      <c r="A72" s="11" t="str">
        <f aca="false">IFERROR(INDEX(_AUX!$A$2:$A$3201,MATCH(ROW()-1,_AUX!$C$2:$C$3201,0)),"")</f>
        <v/>
      </c>
      <c r="B72" s="11" t="str">
        <f aca="false">IF(A72="","",IFERROR(INDEX(DECKS!$C$2:$C$1201,MATCH(A72,DECKS!$B$2:$B$1201,0)),IFERROR(TRIM(INDEX(COMPRAS!$I$2:$I$2001,MATCH(A72,COMPRAS!$L$2:$L$2001,0))),"(sem nome)")))</f>
        <v/>
      </c>
      <c r="C72" s="16" t="str">
        <f aca="false">IF(A72="","",SUMIFS(COMPRAS!$C$2:$C$2001,COMPRAS!$K$2:$K$2001,A72))</f>
        <v/>
      </c>
    </row>
    <row r="73" customFormat="false" ht="15" hidden="false" customHeight="false" outlineLevel="0" collapsed="false">
      <c r="A73" s="11" t="str">
        <f aca="false">IFERROR(INDEX(_AUX!$A$2:$A$3201,MATCH(ROW()-1,_AUX!$C$2:$C$3201,0)),"")</f>
        <v/>
      </c>
      <c r="B73" s="11" t="str">
        <f aca="false">IF(A73="","",IFERROR(INDEX(DECKS!$C$2:$C$1201,MATCH(A73,DECKS!$B$2:$B$1201,0)),IFERROR(TRIM(INDEX(COMPRAS!$I$2:$I$2001,MATCH(A73,COMPRAS!$L$2:$L$2001,0))),"(sem nome)")))</f>
        <v/>
      </c>
      <c r="C73" s="16" t="str">
        <f aca="false">IF(A73="","",SUMIFS(COMPRAS!$C$2:$C$2001,COMPRAS!$K$2:$K$2001,A73))</f>
        <v/>
      </c>
    </row>
    <row r="74" customFormat="false" ht="15" hidden="false" customHeight="false" outlineLevel="0" collapsed="false">
      <c r="A74" s="11" t="str">
        <f aca="false">IFERROR(INDEX(_AUX!$A$2:$A$3201,MATCH(ROW()-1,_AUX!$C$2:$C$3201,0)),"")</f>
        <v/>
      </c>
      <c r="B74" s="11" t="str">
        <f aca="false">IF(A74="","",IFERROR(INDEX(DECKS!$C$2:$C$1201,MATCH(A74,DECKS!$B$2:$B$1201,0)),IFERROR(TRIM(INDEX(COMPRAS!$I$2:$I$2001,MATCH(A74,COMPRAS!$L$2:$L$2001,0))),"(sem nome)")))</f>
        <v/>
      </c>
      <c r="C74" s="16" t="str">
        <f aca="false">IF(A74="","",SUMIFS(COMPRAS!$C$2:$C$2001,COMPRAS!$K$2:$K$2001,A74))</f>
        <v/>
      </c>
    </row>
    <row r="75" customFormat="false" ht="15" hidden="false" customHeight="false" outlineLevel="0" collapsed="false">
      <c r="A75" s="11" t="str">
        <f aca="false">IFERROR(INDEX(_AUX!$A$2:$A$3201,MATCH(ROW()-1,_AUX!$C$2:$C$3201,0)),"")</f>
        <v/>
      </c>
      <c r="B75" s="11" t="str">
        <f aca="false">IF(A75="","",IFERROR(INDEX(DECKS!$C$2:$C$1201,MATCH(A75,DECKS!$B$2:$B$1201,0)),IFERROR(TRIM(INDEX(COMPRAS!$I$2:$I$2001,MATCH(A75,COMPRAS!$L$2:$L$2001,0))),"(sem nome)")))</f>
        <v/>
      </c>
      <c r="C75" s="16" t="str">
        <f aca="false">IF(A75="","",SUMIFS(COMPRAS!$C$2:$C$2001,COMPRAS!$K$2:$K$2001,A75))</f>
        <v/>
      </c>
    </row>
    <row r="76" customFormat="false" ht="15" hidden="false" customHeight="false" outlineLevel="0" collapsed="false">
      <c r="A76" s="11" t="str">
        <f aca="false">IFERROR(INDEX(_AUX!$A$2:$A$3201,MATCH(ROW()-1,_AUX!$C$2:$C$3201,0)),"")</f>
        <v/>
      </c>
      <c r="B76" s="11" t="str">
        <f aca="false">IF(A76="","",IFERROR(INDEX(DECKS!$C$2:$C$1201,MATCH(A76,DECKS!$B$2:$B$1201,0)),IFERROR(TRIM(INDEX(COMPRAS!$I$2:$I$2001,MATCH(A76,COMPRAS!$L$2:$L$2001,0))),"(sem nome)")))</f>
        <v/>
      </c>
      <c r="C76" s="16" t="str">
        <f aca="false">IF(A76="","",SUMIFS(COMPRAS!$C$2:$C$2001,COMPRAS!$K$2:$K$2001,A76))</f>
        <v/>
      </c>
    </row>
    <row r="77" customFormat="false" ht="15" hidden="false" customHeight="false" outlineLevel="0" collapsed="false">
      <c r="A77" s="11" t="str">
        <f aca="false">IFERROR(INDEX(_AUX!$A$2:$A$3201,MATCH(ROW()-1,_AUX!$C$2:$C$3201,0)),"")</f>
        <v/>
      </c>
      <c r="B77" s="11" t="str">
        <f aca="false">IF(A77="","",IFERROR(INDEX(DECKS!$C$2:$C$1201,MATCH(A77,DECKS!$B$2:$B$1201,0)),IFERROR(TRIM(INDEX(COMPRAS!$I$2:$I$2001,MATCH(A77,COMPRAS!$L$2:$L$2001,0))),"(sem nome)")))</f>
        <v/>
      </c>
      <c r="C77" s="16" t="str">
        <f aca="false">IF(A77="","",SUMIFS(COMPRAS!$C$2:$C$2001,COMPRAS!$K$2:$K$2001,A77))</f>
        <v/>
      </c>
    </row>
    <row r="78" customFormat="false" ht="15" hidden="false" customHeight="false" outlineLevel="0" collapsed="false">
      <c r="A78" s="11" t="str">
        <f aca="false">IFERROR(INDEX(_AUX!$A$2:$A$3201,MATCH(ROW()-1,_AUX!$C$2:$C$3201,0)),"")</f>
        <v/>
      </c>
      <c r="B78" s="11" t="str">
        <f aca="false">IF(A78="","",IFERROR(INDEX(DECKS!$C$2:$C$1201,MATCH(A78,DECKS!$B$2:$B$1201,0)),IFERROR(TRIM(INDEX(COMPRAS!$I$2:$I$2001,MATCH(A78,COMPRAS!$L$2:$L$2001,0))),"(sem nome)")))</f>
        <v/>
      </c>
      <c r="C78" s="16" t="str">
        <f aca="false">IF(A78="","",SUMIFS(COMPRAS!$C$2:$C$2001,COMPRAS!$K$2:$K$2001,A78))</f>
        <v/>
      </c>
    </row>
    <row r="79" customFormat="false" ht="15" hidden="false" customHeight="false" outlineLevel="0" collapsed="false">
      <c r="A79" s="11" t="str">
        <f aca="false">IFERROR(INDEX(_AUX!$A$2:$A$3201,MATCH(ROW()-1,_AUX!$C$2:$C$3201,0)),"")</f>
        <v/>
      </c>
      <c r="B79" s="11" t="str">
        <f aca="false">IF(A79="","",IFERROR(INDEX(DECKS!$C$2:$C$1201,MATCH(A79,DECKS!$B$2:$B$1201,0)),IFERROR(TRIM(INDEX(COMPRAS!$I$2:$I$2001,MATCH(A79,COMPRAS!$L$2:$L$2001,0))),"(sem nome)")))</f>
        <v/>
      </c>
      <c r="C79" s="16" t="str">
        <f aca="false">IF(A79="","",SUMIFS(COMPRAS!$C$2:$C$2001,COMPRAS!$K$2:$K$2001,A79))</f>
        <v/>
      </c>
    </row>
    <row r="80" customFormat="false" ht="15" hidden="false" customHeight="false" outlineLevel="0" collapsed="false">
      <c r="A80" s="11" t="str">
        <f aca="false">IFERROR(INDEX(_AUX!$A$2:$A$3201,MATCH(ROW()-1,_AUX!$C$2:$C$3201,0)),"")</f>
        <v/>
      </c>
      <c r="B80" s="11" t="str">
        <f aca="false">IF(A80="","",IFERROR(INDEX(DECKS!$C$2:$C$1201,MATCH(A80,DECKS!$B$2:$B$1201,0)),IFERROR(TRIM(INDEX(COMPRAS!$I$2:$I$2001,MATCH(A80,COMPRAS!$L$2:$L$2001,0))),"(sem nome)")))</f>
        <v/>
      </c>
      <c r="C80" s="16" t="str">
        <f aca="false">IF(A80="","",SUMIFS(COMPRAS!$C$2:$C$2001,COMPRAS!$K$2:$K$2001,A80))</f>
        <v/>
      </c>
    </row>
    <row r="81" customFormat="false" ht="15" hidden="false" customHeight="false" outlineLevel="0" collapsed="false">
      <c r="A81" s="11" t="str">
        <f aca="false">IFERROR(INDEX(_AUX!$A$2:$A$3201,MATCH(ROW()-1,_AUX!$C$2:$C$3201,0)),"")</f>
        <v/>
      </c>
      <c r="B81" s="11" t="str">
        <f aca="false">IF(A81="","",IFERROR(INDEX(DECKS!$C$2:$C$1201,MATCH(A81,DECKS!$B$2:$B$1201,0)),IFERROR(TRIM(INDEX(COMPRAS!$I$2:$I$2001,MATCH(A81,COMPRAS!$L$2:$L$2001,0))),"(sem nome)")))</f>
        <v/>
      </c>
      <c r="C81" s="16" t="str">
        <f aca="false">IF(A81="","",SUMIFS(COMPRAS!$C$2:$C$2001,COMPRAS!$K$2:$K$2001,A81))</f>
        <v/>
      </c>
    </row>
    <row r="82" customFormat="false" ht="15" hidden="false" customHeight="false" outlineLevel="0" collapsed="false">
      <c r="A82" s="11" t="str">
        <f aca="false">IFERROR(INDEX(_AUX!$A$2:$A$3201,MATCH(ROW()-1,_AUX!$C$2:$C$3201,0)),"")</f>
        <v/>
      </c>
      <c r="B82" s="11" t="str">
        <f aca="false">IF(A82="","",IFERROR(INDEX(DECKS!$C$2:$C$1201,MATCH(A82,DECKS!$B$2:$B$1201,0)),IFERROR(TRIM(INDEX(COMPRAS!$I$2:$I$2001,MATCH(A82,COMPRAS!$L$2:$L$2001,0))),"(sem nome)")))</f>
        <v/>
      </c>
      <c r="C82" s="16" t="str">
        <f aca="false">IF(A82="","",SUMIFS(COMPRAS!$C$2:$C$2001,COMPRAS!$K$2:$K$2001,A82))</f>
        <v/>
      </c>
    </row>
    <row r="83" customFormat="false" ht="15" hidden="false" customHeight="false" outlineLevel="0" collapsed="false">
      <c r="A83" s="11" t="str">
        <f aca="false">IFERROR(INDEX(_AUX!$A$2:$A$3201,MATCH(ROW()-1,_AUX!$C$2:$C$3201,0)),"")</f>
        <v/>
      </c>
      <c r="B83" s="11" t="str">
        <f aca="false">IF(A83="","",IFERROR(INDEX(DECKS!$C$2:$C$1201,MATCH(A83,DECKS!$B$2:$B$1201,0)),IFERROR(TRIM(INDEX(COMPRAS!$I$2:$I$2001,MATCH(A83,COMPRAS!$L$2:$L$2001,0))),"(sem nome)")))</f>
        <v/>
      </c>
      <c r="C83" s="16" t="str">
        <f aca="false">IF(A83="","",SUMIFS(COMPRAS!$C$2:$C$2001,COMPRAS!$K$2:$K$2001,A83))</f>
        <v/>
      </c>
    </row>
    <row r="84" customFormat="false" ht="15" hidden="false" customHeight="false" outlineLevel="0" collapsed="false">
      <c r="A84" s="11" t="str">
        <f aca="false">IFERROR(INDEX(_AUX!$A$2:$A$3201,MATCH(ROW()-1,_AUX!$C$2:$C$3201,0)),"")</f>
        <v/>
      </c>
      <c r="B84" s="11" t="str">
        <f aca="false">IF(A84="","",IFERROR(INDEX(DECKS!$C$2:$C$1201,MATCH(A84,DECKS!$B$2:$B$1201,0)),IFERROR(TRIM(INDEX(COMPRAS!$I$2:$I$2001,MATCH(A84,COMPRAS!$L$2:$L$2001,0))),"(sem nome)")))</f>
        <v/>
      </c>
      <c r="C84" s="16" t="str">
        <f aca="false">IF(A84="","",SUMIFS(COMPRAS!$C$2:$C$2001,COMPRAS!$K$2:$K$2001,A84))</f>
        <v/>
      </c>
    </row>
    <row r="85" customFormat="false" ht="15" hidden="false" customHeight="false" outlineLevel="0" collapsed="false">
      <c r="A85" s="11" t="str">
        <f aca="false">IFERROR(INDEX(_AUX!$A$2:$A$3201,MATCH(ROW()-1,_AUX!$C$2:$C$3201,0)),"")</f>
        <v/>
      </c>
      <c r="B85" s="11" t="str">
        <f aca="false">IF(A85="","",IFERROR(INDEX(DECKS!$C$2:$C$1201,MATCH(A85,DECKS!$B$2:$B$1201,0)),IFERROR(TRIM(INDEX(COMPRAS!$I$2:$I$2001,MATCH(A85,COMPRAS!$L$2:$L$2001,0))),"(sem nome)")))</f>
        <v/>
      </c>
      <c r="C85" s="16" t="str">
        <f aca="false">IF(A85="","",SUMIFS(COMPRAS!$C$2:$C$2001,COMPRAS!$K$2:$K$2001,A85))</f>
        <v/>
      </c>
    </row>
    <row r="86" customFormat="false" ht="15" hidden="false" customHeight="false" outlineLevel="0" collapsed="false">
      <c r="A86" s="11" t="str">
        <f aca="false">IFERROR(INDEX(_AUX!$A$2:$A$3201,MATCH(ROW()-1,_AUX!$C$2:$C$3201,0)),"")</f>
        <v/>
      </c>
      <c r="B86" s="11" t="str">
        <f aca="false">IF(A86="","",IFERROR(INDEX(DECKS!$C$2:$C$1201,MATCH(A86,DECKS!$B$2:$B$1201,0)),IFERROR(TRIM(INDEX(COMPRAS!$I$2:$I$2001,MATCH(A86,COMPRAS!$L$2:$L$2001,0))),"(sem nome)")))</f>
        <v/>
      </c>
      <c r="C86" s="16" t="str">
        <f aca="false">IF(A86="","",SUMIFS(COMPRAS!$C$2:$C$2001,COMPRAS!$K$2:$K$2001,A86))</f>
        <v/>
      </c>
    </row>
    <row r="87" customFormat="false" ht="15" hidden="false" customHeight="false" outlineLevel="0" collapsed="false">
      <c r="A87" s="11" t="str">
        <f aca="false">IFERROR(INDEX(_AUX!$A$2:$A$3201,MATCH(ROW()-1,_AUX!$C$2:$C$3201,0)),"")</f>
        <v/>
      </c>
      <c r="B87" s="11" t="str">
        <f aca="false">IF(A87="","",IFERROR(INDEX(DECKS!$C$2:$C$1201,MATCH(A87,DECKS!$B$2:$B$1201,0)),IFERROR(TRIM(INDEX(COMPRAS!$I$2:$I$2001,MATCH(A87,COMPRAS!$L$2:$L$2001,0))),"(sem nome)")))</f>
        <v/>
      </c>
      <c r="C87" s="16" t="str">
        <f aca="false">IF(A87="","",SUMIFS(COMPRAS!$C$2:$C$2001,COMPRAS!$K$2:$K$2001,A87))</f>
        <v/>
      </c>
    </row>
    <row r="88" customFormat="false" ht="15" hidden="false" customHeight="false" outlineLevel="0" collapsed="false">
      <c r="A88" s="11" t="str">
        <f aca="false">IFERROR(INDEX(_AUX!$A$2:$A$3201,MATCH(ROW()-1,_AUX!$C$2:$C$3201,0)),"")</f>
        <v/>
      </c>
      <c r="B88" s="11" t="str">
        <f aca="false">IF(A88="","",IFERROR(INDEX(DECKS!$C$2:$C$1201,MATCH(A88,DECKS!$B$2:$B$1201,0)),IFERROR(TRIM(INDEX(COMPRAS!$I$2:$I$2001,MATCH(A88,COMPRAS!$L$2:$L$2001,0))),"(sem nome)")))</f>
        <v/>
      </c>
      <c r="C88" s="16" t="str">
        <f aca="false">IF(A88="","",SUMIFS(COMPRAS!$C$2:$C$2001,COMPRAS!$K$2:$K$2001,A88))</f>
        <v/>
      </c>
    </row>
    <row r="89" customFormat="false" ht="15" hidden="false" customHeight="false" outlineLevel="0" collapsed="false">
      <c r="A89" s="11" t="str">
        <f aca="false">IFERROR(INDEX(_AUX!$A$2:$A$3201,MATCH(ROW()-1,_AUX!$C$2:$C$3201,0)),"")</f>
        <v/>
      </c>
      <c r="B89" s="11" t="str">
        <f aca="false">IF(A89="","",IFERROR(INDEX(DECKS!$C$2:$C$1201,MATCH(A89,DECKS!$B$2:$B$1201,0)),IFERROR(TRIM(INDEX(COMPRAS!$I$2:$I$2001,MATCH(A89,COMPRAS!$L$2:$L$2001,0))),"(sem nome)")))</f>
        <v/>
      </c>
      <c r="C89" s="16" t="str">
        <f aca="false">IF(A89="","",SUMIFS(COMPRAS!$C$2:$C$2001,COMPRAS!$K$2:$K$2001,A89))</f>
        <v/>
      </c>
    </row>
    <row r="90" customFormat="false" ht="15" hidden="false" customHeight="false" outlineLevel="0" collapsed="false">
      <c r="A90" s="11" t="str">
        <f aca="false">IFERROR(INDEX(_AUX!$A$2:$A$3201,MATCH(ROW()-1,_AUX!$C$2:$C$3201,0)),"")</f>
        <v/>
      </c>
      <c r="B90" s="11" t="str">
        <f aca="false">IF(A90="","",IFERROR(INDEX(DECKS!$C$2:$C$1201,MATCH(A90,DECKS!$B$2:$B$1201,0)),IFERROR(TRIM(INDEX(COMPRAS!$I$2:$I$2001,MATCH(A90,COMPRAS!$L$2:$L$2001,0))),"(sem nome)")))</f>
        <v/>
      </c>
      <c r="C90" s="16" t="str">
        <f aca="false">IF(A90="","",SUMIFS(COMPRAS!$C$2:$C$2001,COMPRAS!$K$2:$K$2001,A90))</f>
        <v/>
      </c>
    </row>
    <row r="91" customFormat="false" ht="15" hidden="false" customHeight="false" outlineLevel="0" collapsed="false">
      <c r="A91" s="11" t="str">
        <f aca="false">IFERROR(INDEX(_AUX!$A$2:$A$3201,MATCH(ROW()-1,_AUX!$C$2:$C$3201,0)),"")</f>
        <v/>
      </c>
      <c r="B91" s="11" t="str">
        <f aca="false">IF(A91="","",IFERROR(INDEX(DECKS!$C$2:$C$1201,MATCH(A91,DECKS!$B$2:$B$1201,0)),IFERROR(TRIM(INDEX(COMPRAS!$I$2:$I$2001,MATCH(A91,COMPRAS!$L$2:$L$2001,0))),"(sem nome)")))</f>
        <v/>
      </c>
      <c r="C91" s="16" t="str">
        <f aca="false">IF(A91="","",SUMIFS(COMPRAS!$C$2:$C$2001,COMPRAS!$K$2:$K$2001,A91))</f>
        <v/>
      </c>
    </row>
    <row r="92" customFormat="false" ht="15" hidden="false" customHeight="false" outlineLevel="0" collapsed="false">
      <c r="A92" s="11" t="str">
        <f aca="false">IFERROR(INDEX(_AUX!$A$2:$A$3201,MATCH(ROW()-1,_AUX!$C$2:$C$3201,0)),"")</f>
        <v/>
      </c>
      <c r="B92" s="11" t="str">
        <f aca="false">IF(A92="","",IFERROR(INDEX(DECKS!$C$2:$C$1201,MATCH(A92,DECKS!$B$2:$B$1201,0)),IFERROR(TRIM(INDEX(COMPRAS!$I$2:$I$2001,MATCH(A92,COMPRAS!$L$2:$L$2001,0))),"(sem nome)")))</f>
        <v/>
      </c>
      <c r="C92" s="16" t="str">
        <f aca="false">IF(A92="","",SUMIFS(COMPRAS!$C$2:$C$2001,COMPRAS!$K$2:$K$2001,A92))</f>
        <v/>
      </c>
    </row>
    <row r="93" customFormat="false" ht="15" hidden="false" customHeight="false" outlineLevel="0" collapsed="false">
      <c r="A93" s="11" t="str">
        <f aca="false">IFERROR(INDEX(_AUX!$A$2:$A$3201,MATCH(ROW()-1,_AUX!$C$2:$C$3201,0)),"")</f>
        <v/>
      </c>
      <c r="B93" s="11" t="str">
        <f aca="false">IF(A93="","",IFERROR(INDEX(DECKS!$C$2:$C$1201,MATCH(A93,DECKS!$B$2:$B$1201,0)),IFERROR(TRIM(INDEX(COMPRAS!$I$2:$I$2001,MATCH(A93,COMPRAS!$L$2:$L$2001,0))),"(sem nome)")))</f>
        <v/>
      </c>
      <c r="C93" s="16" t="str">
        <f aca="false">IF(A93="","",SUMIFS(COMPRAS!$C$2:$C$2001,COMPRAS!$K$2:$K$2001,A93))</f>
        <v/>
      </c>
    </row>
    <row r="94" customFormat="false" ht="15" hidden="false" customHeight="false" outlineLevel="0" collapsed="false">
      <c r="A94" s="11" t="str">
        <f aca="false">IFERROR(INDEX(_AUX!$A$2:$A$3201,MATCH(ROW()-1,_AUX!$C$2:$C$3201,0)),"")</f>
        <v/>
      </c>
      <c r="B94" s="11" t="str">
        <f aca="false">IF(A94="","",IFERROR(INDEX(DECKS!$C$2:$C$1201,MATCH(A94,DECKS!$B$2:$B$1201,0)),IFERROR(TRIM(INDEX(COMPRAS!$I$2:$I$2001,MATCH(A94,COMPRAS!$L$2:$L$2001,0))),"(sem nome)")))</f>
        <v/>
      </c>
      <c r="C94" s="16" t="str">
        <f aca="false">IF(A94="","",SUMIFS(COMPRAS!$C$2:$C$2001,COMPRAS!$K$2:$K$2001,A94))</f>
        <v/>
      </c>
    </row>
    <row r="95" customFormat="false" ht="15" hidden="false" customHeight="false" outlineLevel="0" collapsed="false">
      <c r="A95" s="11" t="str">
        <f aca="false">IFERROR(INDEX(_AUX!$A$2:$A$3201,MATCH(ROW()-1,_AUX!$C$2:$C$3201,0)),"")</f>
        <v/>
      </c>
      <c r="B95" s="11" t="str">
        <f aca="false">IF(A95="","",IFERROR(INDEX(DECKS!$C$2:$C$1201,MATCH(A95,DECKS!$B$2:$B$1201,0)),IFERROR(TRIM(INDEX(COMPRAS!$I$2:$I$2001,MATCH(A95,COMPRAS!$L$2:$L$2001,0))),"(sem nome)")))</f>
        <v/>
      </c>
      <c r="C95" s="16" t="str">
        <f aca="false">IF(A95="","",SUMIFS(COMPRAS!$C$2:$C$2001,COMPRAS!$K$2:$K$2001,A95))</f>
        <v/>
      </c>
    </row>
    <row r="96" customFormat="false" ht="15" hidden="false" customHeight="false" outlineLevel="0" collapsed="false">
      <c r="A96" s="11" t="str">
        <f aca="false">IFERROR(INDEX(_AUX!$A$2:$A$3201,MATCH(ROW()-1,_AUX!$C$2:$C$3201,0)),"")</f>
        <v/>
      </c>
      <c r="B96" s="11" t="str">
        <f aca="false">IF(A96="","",IFERROR(INDEX(DECKS!$C$2:$C$1201,MATCH(A96,DECKS!$B$2:$B$1201,0)),IFERROR(TRIM(INDEX(COMPRAS!$I$2:$I$2001,MATCH(A96,COMPRAS!$L$2:$L$2001,0))),"(sem nome)")))</f>
        <v/>
      </c>
      <c r="C96" s="16" t="str">
        <f aca="false">IF(A96="","",SUMIFS(COMPRAS!$C$2:$C$2001,COMPRAS!$K$2:$K$2001,A96))</f>
        <v/>
      </c>
    </row>
    <row r="97" customFormat="false" ht="15" hidden="false" customHeight="false" outlineLevel="0" collapsed="false">
      <c r="A97" s="11" t="str">
        <f aca="false">IFERROR(INDEX(_AUX!$A$2:$A$3201,MATCH(ROW()-1,_AUX!$C$2:$C$3201,0)),"")</f>
        <v/>
      </c>
      <c r="B97" s="11" t="str">
        <f aca="false">IF(A97="","",IFERROR(INDEX(DECKS!$C$2:$C$1201,MATCH(A97,DECKS!$B$2:$B$1201,0)),IFERROR(TRIM(INDEX(COMPRAS!$I$2:$I$2001,MATCH(A97,COMPRAS!$L$2:$L$2001,0))),"(sem nome)")))</f>
        <v/>
      </c>
      <c r="C97" s="16" t="str">
        <f aca="false">IF(A97="","",SUMIFS(COMPRAS!$C$2:$C$2001,COMPRAS!$K$2:$K$2001,A97))</f>
        <v/>
      </c>
    </row>
    <row r="98" customFormat="false" ht="15" hidden="false" customHeight="false" outlineLevel="0" collapsed="false">
      <c r="A98" s="11" t="str">
        <f aca="false">IFERROR(INDEX(_AUX!$A$2:$A$3201,MATCH(ROW()-1,_AUX!$C$2:$C$3201,0)),"")</f>
        <v/>
      </c>
      <c r="B98" s="11" t="str">
        <f aca="false">IF(A98="","",IFERROR(INDEX(DECKS!$C$2:$C$1201,MATCH(A98,DECKS!$B$2:$B$1201,0)),IFERROR(TRIM(INDEX(COMPRAS!$I$2:$I$2001,MATCH(A98,COMPRAS!$L$2:$L$2001,0))),"(sem nome)")))</f>
        <v/>
      </c>
      <c r="C98" s="16" t="str">
        <f aca="false">IF(A98="","",SUMIFS(COMPRAS!$C$2:$C$2001,COMPRAS!$K$2:$K$2001,A98))</f>
        <v/>
      </c>
    </row>
    <row r="99" customFormat="false" ht="15" hidden="false" customHeight="false" outlineLevel="0" collapsed="false">
      <c r="A99" s="11" t="str">
        <f aca="false">IFERROR(INDEX(_AUX!$A$2:$A$3201,MATCH(ROW()-1,_AUX!$C$2:$C$3201,0)),"")</f>
        <v/>
      </c>
      <c r="B99" s="11" t="str">
        <f aca="false">IF(A99="","",IFERROR(INDEX(DECKS!$C$2:$C$1201,MATCH(A99,DECKS!$B$2:$B$1201,0)),IFERROR(TRIM(INDEX(COMPRAS!$I$2:$I$2001,MATCH(A99,COMPRAS!$L$2:$L$2001,0))),"(sem nome)")))</f>
        <v/>
      </c>
      <c r="C99" s="16" t="str">
        <f aca="false">IF(A99="","",SUMIFS(COMPRAS!$C$2:$C$2001,COMPRAS!$K$2:$K$2001,A99))</f>
        <v/>
      </c>
    </row>
    <row r="100" customFormat="false" ht="15" hidden="false" customHeight="false" outlineLevel="0" collapsed="false">
      <c r="A100" s="11" t="str">
        <f aca="false">IFERROR(INDEX(_AUX!$A$2:$A$3201,MATCH(ROW()-1,_AUX!$C$2:$C$3201,0)),"")</f>
        <v/>
      </c>
      <c r="B100" s="11" t="str">
        <f aca="false">IF(A100="","",IFERROR(INDEX(DECKS!$C$2:$C$1201,MATCH(A100,DECKS!$B$2:$B$1201,0)),IFERROR(TRIM(INDEX(COMPRAS!$I$2:$I$2001,MATCH(A100,COMPRAS!$L$2:$L$2001,0))),"(sem nome)")))</f>
        <v/>
      </c>
      <c r="C100" s="16" t="str">
        <f aca="false">IF(A100="","",SUMIFS(COMPRAS!$C$2:$C$2001,COMPRAS!$K$2:$K$2001,A100))</f>
        <v/>
      </c>
    </row>
    <row r="101" customFormat="false" ht="15" hidden="false" customHeight="false" outlineLevel="0" collapsed="false">
      <c r="A101" s="11" t="str">
        <f aca="false">IFERROR(INDEX(_AUX!$A$2:$A$3201,MATCH(ROW()-1,_AUX!$C$2:$C$3201,0)),"")</f>
        <v/>
      </c>
      <c r="B101" s="11" t="str">
        <f aca="false">IF(A101="","",IFERROR(INDEX(DECKS!$C$2:$C$1201,MATCH(A101,DECKS!$B$2:$B$1201,0)),IFERROR(TRIM(INDEX(COMPRAS!$I$2:$I$2001,MATCH(A101,COMPRAS!$L$2:$L$2001,0))),"(sem nome)")))</f>
        <v/>
      </c>
      <c r="C101" s="16" t="str">
        <f aca="false">IF(A101="","",SUMIFS(COMPRAS!$C$2:$C$2001,COMPRAS!$K$2:$K$2001,A101))</f>
        <v/>
      </c>
    </row>
    <row r="102" customFormat="false" ht="15" hidden="false" customHeight="false" outlineLevel="0" collapsed="false">
      <c r="A102" s="11" t="str">
        <f aca="false">IFERROR(INDEX(_AUX!$A$2:$A$3201,MATCH(ROW()-1,_AUX!$C$2:$C$3201,0)),"")</f>
        <v/>
      </c>
      <c r="B102" s="11" t="str">
        <f aca="false">IF(A102="","",IFERROR(INDEX(DECKS!$C$2:$C$1201,MATCH(A102,DECKS!$B$2:$B$1201,0)),IFERROR(TRIM(INDEX(COMPRAS!$I$2:$I$2001,MATCH(A102,COMPRAS!$L$2:$L$2001,0))),"(sem nome)")))</f>
        <v/>
      </c>
      <c r="C102" s="16" t="str">
        <f aca="false">IF(A102="","",SUMIFS(COMPRAS!$C$2:$C$2001,COMPRAS!$K$2:$K$2001,A102))</f>
        <v/>
      </c>
    </row>
    <row r="103" customFormat="false" ht="15" hidden="false" customHeight="false" outlineLevel="0" collapsed="false">
      <c r="A103" s="11" t="str">
        <f aca="false">IFERROR(INDEX(_AUX!$A$2:$A$3201,MATCH(ROW()-1,_AUX!$C$2:$C$3201,0)),"")</f>
        <v/>
      </c>
      <c r="B103" s="11" t="str">
        <f aca="false">IF(A103="","",IFERROR(INDEX(DECKS!$C$2:$C$1201,MATCH(A103,DECKS!$B$2:$B$1201,0)),IFERROR(TRIM(INDEX(COMPRAS!$I$2:$I$2001,MATCH(A103,COMPRAS!$L$2:$L$2001,0))),"(sem nome)")))</f>
        <v/>
      </c>
      <c r="C103" s="16" t="str">
        <f aca="false">IF(A103="","",SUMIFS(COMPRAS!$C$2:$C$2001,COMPRAS!$K$2:$K$2001,A103))</f>
        <v/>
      </c>
    </row>
    <row r="104" customFormat="false" ht="15" hidden="false" customHeight="false" outlineLevel="0" collapsed="false">
      <c r="A104" s="11" t="str">
        <f aca="false">IFERROR(INDEX(_AUX!$A$2:$A$3201,MATCH(ROW()-1,_AUX!$C$2:$C$3201,0)),"")</f>
        <v/>
      </c>
      <c r="B104" s="11" t="str">
        <f aca="false">IF(A104="","",IFERROR(INDEX(DECKS!$C$2:$C$1201,MATCH(A104,DECKS!$B$2:$B$1201,0)),IFERROR(TRIM(INDEX(COMPRAS!$I$2:$I$2001,MATCH(A104,COMPRAS!$L$2:$L$2001,0))),"(sem nome)")))</f>
        <v/>
      </c>
      <c r="C104" s="16" t="str">
        <f aca="false">IF(A104="","",SUMIFS(COMPRAS!$C$2:$C$2001,COMPRAS!$K$2:$K$2001,A104))</f>
        <v/>
      </c>
    </row>
    <row r="105" customFormat="false" ht="15" hidden="false" customHeight="false" outlineLevel="0" collapsed="false">
      <c r="A105" s="11" t="str">
        <f aca="false">IFERROR(INDEX(_AUX!$A$2:$A$3201,MATCH(ROW()-1,_AUX!$C$2:$C$3201,0)),"")</f>
        <v/>
      </c>
      <c r="B105" s="11" t="str">
        <f aca="false">IF(A105="","",IFERROR(INDEX(DECKS!$C$2:$C$1201,MATCH(A105,DECKS!$B$2:$B$1201,0)),IFERROR(TRIM(INDEX(COMPRAS!$I$2:$I$2001,MATCH(A105,COMPRAS!$L$2:$L$2001,0))),"(sem nome)")))</f>
        <v/>
      </c>
      <c r="C105" s="16" t="str">
        <f aca="false">IF(A105="","",SUMIFS(COMPRAS!$C$2:$C$2001,COMPRAS!$K$2:$K$2001,A105))</f>
        <v/>
      </c>
    </row>
    <row r="106" customFormat="false" ht="15" hidden="false" customHeight="false" outlineLevel="0" collapsed="false">
      <c r="A106" s="11" t="str">
        <f aca="false">IFERROR(INDEX(_AUX!$A$2:$A$3201,MATCH(ROW()-1,_AUX!$C$2:$C$3201,0)),"")</f>
        <v/>
      </c>
      <c r="B106" s="11" t="str">
        <f aca="false">IF(A106="","",IFERROR(INDEX(DECKS!$C$2:$C$1201,MATCH(A106,DECKS!$B$2:$B$1201,0)),IFERROR(TRIM(INDEX(COMPRAS!$I$2:$I$2001,MATCH(A106,COMPRAS!$L$2:$L$2001,0))),"(sem nome)")))</f>
        <v/>
      </c>
      <c r="C106" s="16" t="str">
        <f aca="false">IF(A106="","",SUMIFS(COMPRAS!$C$2:$C$2001,COMPRAS!$K$2:$K$2001,A106))</f>
        <v/>
      </c>
    </row>
    <row r="107" customFormat="false" ht="15" hidden="false" customHeight="false" outlineLevel="0" collapsed="false">
      <c r="A107" s="11" t="str">
        <f aca="false">IFERROR(INDEX(_AUX!$A$2:$A$3201,MATCH(ROW()-1,_AUX!$C$2:$C$3201,0)),"")</f>
        <v/>
      </c>
      <c r="B107" s="11" t="str">
        <f aca="false">IF(A107="","",IFERROR(INDEX(DECKS!$C$2:$C$1201,MATCH(A107,DECKS!$B$2:$B$1201,0)),IFERROR(TRIM(INDEX(COMPRAS!$I$2:$I$2001,MATCH(A107,COMPRAS!$L$2:$L$2001,0))),"(sem nome)")))</f>
        <v/>
      </c>
      <c r="C107" s="16" t="str">
        <f aca="false">IF(A107="","",SUMIFS(COMPRAS!$C$2:$C$2001,COMPRAS!$K$2:$K$2001,A107))</f>
        <v/>
      </c>
    </row>
    <row r="108" customFormat="false" ht="15" hidden="false" customHeight="false" outlineLevel="0" collapsed="false">
      <c r="A108" s="11" t="str">
        <f aca="false">IFERROR(INDEX(_AUX!$A$2:$A$3201,MATCH(ROW()-1,_AUX!$C$2:$C$3201,0)),"")</f>
        <v/>
      </c>
      <c r="B108" s="11" t="str">
        <f aca="false">IF(A108="","",IFERROR(INDEX(DECKS!$C$2:$C$1201,MATCH(A108,DECKS!$B$2:$B$1201,0)),IFERROR(TRIM(INDEX(COMPRAS!$I$2:$I$2001,MATCH(A108,COMPRAS!$L$2:$L$2001,0))),"(sem nome)")))</f>
        <v/>
      </c>
      <c r="C108" s="16" t="str">
        <f aca="false">IF(A108="","",SUMIFS(COMPRAS!$C$2:$C$2001,COMPRAS!$K$2:$K$2001,A108))</f>
        <v/>
      </c>
    </row>
    <row r="109" customFormat="false" ht="15" hidden="false" customHeight="false" outlineLevel="0" collapsed="false">
      <c r="A109" s="11" t="str">
        <f aca="false">IFERROR(INDEX(_AUX!$A$2:$A$3201,MATCH(ROW()-1,_AUX!$C$2:$C$3201,0)),"")</f>
        <v/>
      </c>
      <c r="B109" s="11" t="str">
        <f aca="false">IF(A109="","",IFERROR(INDEX(DECKS!$C$2:$C$1201,MATCH(A109,DECKS!$B$2:$B$1201,0)),IFERROR(TRIM(INDEX(COMPRAS!$I$2:$I$2001,MATCH(A109,COMPRAS!$L$2:$L$2001,0))),"(sem nome)")))</f>
        <v/>
      </c>
      <c r="C109" s="16" t="str">
        <f aca="false">IF(A109="","",SUMIFS(COMPRAS!$C$2:$C$2001,COMPRAS!$K$2:$K$2001,A109))</f>
        <v/>
      </c>
    </row>
    <row r="110" customFormat="false" ht="15" hidden="false" customHeight="false" outlineLevel="0" collapsed="false">
      <c r="A110" s="11" t="str">
        <f aca="false">IFERROR(INDEX(_AUX!$A$2:$A$3201,MATCH(ROW()-1,_AUX!$C$2:$C$3201,0)),"")</f>
        <v/>
      </c>
      <c r="B110" s="11" t="str">
        <f aca="false">IF(A110="","",IFERROR(INDEX(DECKS!$C$2:$C$1201,MATCH(A110,DECKS!$B$2:$B$1201,0)),IFERROR(TRIM(INDEX(COMPRAS!$I$2:$I$2001,MATCH(A110,COMPRAS!$L$2:$L$2001,0))),"(sem nome)")))</f>
        <v/>
      </c>
      <c r="C110" s="16" t="str">
        <f aca="false">IF(A110="","",SUMIFS(COMPRAS!$C$2:$C$2001,COMPRAS!$K$2:$K$2001,A110))</f>
        <v/>
      </c>
    </row>
    <row r="111" customFormat="false" ht="15" hidden="false" customHeight="false" outlineLevel="0" collapsed="false">
      <c r="A111" s="11" t="str">
        <f aca="false">IFERROR(INDEX(_AUX!$A$2:$A$3201,MATCH(ROW()-1,_AUX!$C$2:$C$3201,0)),"")</f>
        <v/>
      </c>
      <c r="B111" s="11" t="str">
        <f aca="false">IF(A111="","",IFERROR(INDEX(DECKS!$C$2:$C$1201,MATCH(A111,DECKS!$B$2:$B$1201,0)),IFERROR(TRIM(INDEX(COMPRAS!$I$2:$I$2001,MATCH(A111,COMPRAS!$L$2:$L$2001,0))),"(sem nome)")))</f>
        <v/>
      </c>
      <c r="C111" s="16" t="str">
        <f aca="false">IF(A111="","",SUMIFS(COMPRAS!$C$2:$C$2001,COMPRAS!$K$2:$K$2001,A111))</f>
        <v/>
      </c>
    </row>
    <row r="112" customFormat="false" ht="15" hidden="false" customHeight="false" outlineLevel="0" collapsed="false">
      <c r="A112" s="11" t="str">
        <f aca="false">IFERROR(INDEX(_AUX!$A$2:$A$3201,MATCH(ROW()-1,_AUX!$C$2:$C$3201,0)),"")</f>
        <v/>
      </c>
      <c r="B112" s="11" t="str">
        <f aca="false">IF(A112="","",IFERROR(INDEX(DECKS!$C$2:$C$1201,MATCH(A112,DECKS!$B$2:$B$1201,0)),IFERROR(TRIM(INDEX(COMPRAS!$I$2:$I$2001,MATCH(A112,COMPRAS!$L$2:$L$2001,0))),"(sem nome)")))</f>
        <v/>
      </c>
      <c r="C112" s="16" t="str">
        <f aca="false">IF(A112="","",SUMIFS(COMPRAS!$C$2:$C$2001,COMPRAS!$K$2:$K$2001,A112))</f>
        <v/>
      </c>
    </row>
    <row r="113" customFormat="false" ht="15" hidden="false" customHeight="false" outlineLevel="0" collapsed="false">
      <c r="A113" s="11" t="str">
        <f aca="false">IFERROR(INDEX(_AUX!$A$2:$A$3201,MATCH(ROW()-1,_AUX!$C$2:$C$3201,0)),"")</f>
        <v/>
      </c>
      <c r="B113" s="11" t="str">
        <f aca="false">IF(A113="","",IFERROR(INDEX(DECKS!$C$2:$C$1201,MATCH(A113,DECKS!$B$2:$B$1201,0)),IFERROR(TRIM(INDEX(COMPRAS!$I$2:$I$2001,MATCH(A113,COMPRAS!$L$2:$L$2001,0))),"(sem nome)")))</f>
        <v/>
      </c>
      <c r="C113" s="16" t="str">
        <f aca="false">IF(A113="","",SUMIFS(COMPRAS!$C$2:$C$2001,COMPRAS!$K$2:$K$2001,A113))</f>
        <v/>
      </c>
    </row>
    <row r="114" customFormat="false" ht="15" hidden="false" customHeight="false" outlineLevel="0" collapsed="false">
      <c r="A114" s="11" t="str">
        <f aca="false">IFERROR(INDEX(_AUX!$A$2:$A$3201,MATCH(ROW()-1,_AUX!$C$2:$C$3201,0)),"")</f>
        <v/>
      </c>
      <c r="B114" s="11" t="str">
        <f aca="false">IF(A114="","",IFERROR(INDEX(DECKS!$C$2:$C$1201,MATCH(A114,DECKS!$B$2:$B$1201,0)),IFERROR(TRIM(INDEX(COMPRAS!$I$2:$I$2001,MATCH(A114,COMPRAS!$L$2:$L$2001,0))),"(sem nome)")))</f>
        <v/>
      </c>
      <c r="C114" s="16" t="str">
        <f aca="false">IF(A114="","",SUMIFS(COMPRAS!$C$2:$C$2001,COMPRAS!$K$2:$K$2001,A114))</f>
        <v/>
      </c>
    </row>
    <row r="115" customFormat="false" ht="15" hidden="false" customHeight="false" outlineLevel="0" collapsed="false">
      <c r="A115" s="11" t="str">
        <f aca="false">IFERROR(INDEX(_AUX!$A$2:$A$3201,MATCH(ROW()-1,_AUX!$C$2:$C$3201,0)),"")</f>
        <v/>
      </c>
      <c r="B115" s="11" t="str">
        <f aca="false">IF(A115="","",IFERROR(INDEX(DECKS!$C$2:$C$1201,MATCH(A115,DECKS!$B$2:$B$1201,0)),IFERROR(TRIM(INDEX(COMPRAS!$I$2:$I$2001,MATCH(A115,COMPRAS!$L$2:$L$2001,0))),"(sem nome)")))</f>
        <v/>
      </c>
      <c r="C115" s="16" t="str">
        <f aca="false">IF(A115="","",SUMIFS(COMPRAS!$C$2:$C$2001,COMPRAS!$K$2:$K$2001,A115))</f>
        <v/>
      </c>
    </row>
    <row r="116" customFormat="false" ht="15" hidden="false" customHeight="false" outlineLevel="0" collapsed="false">
      <c r="A116" s="11" t="str">
        <f aca="false">IFERROR(INDEX(_AUX!$A$2:$A$3201,MATCH(ROW()-1,_AUX!$C$2:$C$3201,0)),"")</f>
        <v/>
      </c>
      <c r="B116" s="11" t="str">
        <f aca="false">IF(A116="","",IFERROR(INDEX(DECKS!$C$2:$C$1201,MATCH(A116,DECKS!$B$2:$B$1201,0)),IFERROR(TRIM(INDEX(COMPRAS!$I$2:$I$2001,MATCH(A116,COMPRAS!$L$2:$L$2001,0))),"(sem nome)")))</f>
        <v/>
      </c>
      <c r="C116" s="16" t="str">
        <f aca="false">IF(A116="","",SUMIFS(COMPRAS!$C$2:$C$2001,COMPRAS!$K$2:$K$2001,A116))</f>
        <v/>
      </c>
    </row>
    <row r="117" customFormat="false" ht="15" hidden="false" customHeight="false" outlineLevel="0" collapsed="false">
      <c r="A117" s="11" t="str">
        <f aca="false">IFERROR(INDEX(_AUX!$A$2:$A$3201,MATCH(ROW()-1,_AUX!$C$2:$C$3201,0)),"")</f>
        <v/>
      </c>
      <c r="B117" s="11" t="str">
        <f aca="false">IF(A117="","",IFERROR(INDEX(DECKS!$C$2:$C$1201,MATCH(A117,DECKS!$B$2:$B$1201,0)),IFERROR(TRIM(INDEX(COMPRAS!$I$2:$I$2001,MATCH(A117,COMPRAS!$L$2:$L$2001,0))),"(sem nome)")))</f>
        <v/>
      </c>
      <c r="C117" s="16" t="str">
        <f aca="false">IF(A117="","",SUMIFS(COMPRAS!$C$2:$C$2001,COMPRAS!$K$2:$K$2001,A117))</f>
        <v/>
      </c>
    </row>
    <row r="118" customFormat="false" ht="15" hidden="false" customHeight="false" outlineLevel="0" collapsed="false">
      <c r="A118" s="11" t="str">
        <f aca="false">IFERROR(INDEX(_AUX!$A$2:$A$3201,MATCH(ROW()-1,_AUX!$C$2:$C$3201,0)),"")</f>
        <v/>
      </c>
      <c r="B118" s="11" t="str">
        <f aca="false">IF(A118="","",IFERROR(INDEX(DECKS!$C$2:$C$1201,MATCH(A118,DECKS!$B$2:$B$1201,0)),IFERROR(TRIM(INDEX(COMPRAS!$I$2:$I$2001,MATCH(A118,COMPRAS!$L$2:$L$2001,0))),"(sem nome)")))</f>
        <v/>
      </c>
      <c r="C118" s="16" t="str">
        <f aca="false">IF(A118="","",SUMIFS(COMPRAS!$C$2:$C$2001,COMPRAS!$K$2:$K$2001,A118))</f>
        <v/>
      </c>
    </row>
    <row r="119" customFormat="false" ht="15" hidden="false" customHeight="false" outlineLevel="0" collapsed="false">
      <c r="A119" s="11" t="str">
        <f aca="false">IFERROR(INDEX(_AUX!$A$2:$A$3201,MATCH(ROW()-1,_AUX!$C$2:$C$3201,0)),"")</f>
        <v/>
      </c>
      <c r="B119" s="11" t="str">
        <f aca="false">IF(A119="","",IFERROR(INDEX(DECKS!$C$2:$C$1201,MATCH(A119,DECKS!$B$2:$B$1201,0)),IFERROR(TRIM(INDEX(COMPRAS!$I$2:$I$2001,MATCH(A119,COMPRAS!$L$2:$L$2001,0))),"(sem nome)")))</f>
        <v/>
      </c>
      <c r="C119" s="16" t="str">
        <f aca="false">IF(A119="","",SUMIFS(COMPRAS!$C$2:$C$2001,COMPRAS!$K$2:$K$2001,A119))</f>
        <v/>
      </c>
    </row>
    <row r="120" customFormat="false" ht="15" hidden="false" customHeight="false" outlineLevel="0" collapsed="false">
      <c r="A120" s="11" t="str">
        <f aca="false">IFERROR(INDEX(_AUX!$A$2:$A$3201,MATCH(ROW()-1,_AUX!$C$2:$C$3201,0)),"")</f>
        <v/>
      </c>
      <c r="B120" s="11" t="str">
        <f aca="false">IF(A120="","",IFERROR(INDEX(DECKS!$C$2:$C$1201,MATCH(A120,DECKS!$B$2:$B$1201,0)),IFERROR(TRIM(INDEX(COMPRAS!$I$2:$I$2001,MATCH(A120,COMPRAS!$L$2:$L$2001,0))),"(sem nome)")))</f>
        <v/>
      </c>
      <c r="C120" s="16" t="str">
        <f aca="false">IF(A120="","",SUMIFS(COMPRAS!$C$2:$C$2001,COMPRAS!$K$2:$K$2001,A120))</f>
        <v/>
      </c>
    </row>
    <row r="121" customFormat="false" ht="15" hidden="false" customHeight="false" outlineLevel="0" collapsed="false">
      <c r="A121" s="11" t="str">
        <f aca="false">IFERROR(INDEX(_AUX!$A$2:$A$3201,MATCH(ROW()-1,_AUX!$C$2:$C$3201,0)),"")</f>
        <v/>
      </c>
      <c r="B121" s="11" t="str">
        <f aca="false">IF(A121="","",IFERROR(INDEX(DECKS!$C$2:$C$1201,MATCH(A121,DECKS!$B$2:$B$1201,0)),IFERROR(TRIM(INDEX(COMPRAS!$I$2:$I$2001,MATCH(A121,COMPRAS!$L$2:$L$2001,0))),"(sem nome)")))</f>
        <v/>
      </c>
      <c r="C121" s="16" t="str">
        <f aca="false">IF(A121="","",SUMIFS(COMPRAS!$C$2:$C$2001,COMPRAS!$K$2:$K$2001,A121))</f>
        <v/>
      </c>
    </row>
    <row r="122" customFormat="false" ht="15" hidden="false" customHeight="false" outlineLevel="0" collapsed="false">
      <c r="A122" s="11" t="str">
        <f aca="false">IFERROR(INDEX(_AUX!$A$2:$A$3201,MATCH(ROW()-1,_AUX!$C$2:$C$3201,0)),"")</f>
        <v/>
      </c>
      <c r="B122" s="11" t="str">
        <f aca="false">IF(A122="","",IFERROR(INDEX(DECKS!$C$2:$C$1201,MATCH(A122,DECKS!$B$2:$B$1201,0)),IFERROR(TRIM(INDEX(COMPRAS!$I$2:$I$2001,MATCH(A122,COMPRAS!$L$2:$L$2001,0))),"(sem nome)")))</f>
        <v/>
      </c>
      <c r="C122" s="16" t="str">
        <f aca="false">IF(A122="","",SUMIFS(COMPRAS!$C$2:$C$2001,COMPRAS!$K$2:$K$2001,A122))</f>
        <v/>
      </c>
    </row>
    <row r="123" customFormat="false" ht="15" hidden="false" customHeight="false" outlineLevel="0" collapsed="false">
      <c r="A123" s="11" t="str">
        <f aca="false">IFERROR(INDEX(_AUX!$A$2:$A$3201,MATCH(ROW()-1,_AUX!$C$2:$C$3201,0)),"")</f>
        <v/>
      </c>
      <c r="B123" s="11" t="str">
        <f aca="false">IF(A123="","",IFERROR(INDEX(DECKS!$C$2:$C$1201,MATCH(A123,DECKS!$B$2:$B$1201,0)),IFERROR(TRIM(INDEX(COMPRAS!$I$2:$I$2001,MATCH(A123,COMPRAS!$L$2:$L$2001,0))),"(sem nome)")))</f>
        <v/>
      </c>
      <c r="C123" s="16" t="str">
        <f aca="false">IF(A123="","",SUMIFS(COMPRAS!$C$2:$C$2001,COMPRAS!$K$2:$K$2001,A123))</f>
        <v/>
      </c>
    </row>
    <row r="124" customFormat="false" ht="15" hidden="false" customHeight="false" outlineLevel="0" collapsed="false">
      <c r="A124" s="11" t="str">
        <f aca="false">IFERROR(INDEX(_AUX!$A$2:$A$3201,MATCH(ROW()-1,_AUX!$C$2:$C$3201,0)),"")</f>
        <v/>
      </c>
      <c r="B124" s="11" t="str">
        <f aca="false">IF(A124="","",IFERROR(INDEX(DECKS!$C$2:$C$1201,MATCH(A124,DECKS!$B$2:$B$1201,0)),IFERROR(TRIM(INDEX(COMPRAS!$I$2:$I$2001,MATCH(A124,COMPRAS!$L$2:$L$2001,0))),"(sem nome)")))</f>
        <v/>
      </c>
      <c r="C124" s="16" t="str">
        <f aca="false">IF(A124="","",SUMIFS(COMPRAS!$C$2:$C$2001,COMPRAS!$K$2:$K$2001,A124))</f>
        <v/>
      </c>
    </row>
    <row r="125" customFormat="false" ht="15" hidden="false" customHeight="false" outlineLevel="0" collapsed="false">
      <c r="A125" s="11" t="str">
        <f aca="false">IFERROR(INDEX(_AUX!$A$2:$A$3201,MATCH(ROW()-1,_AUX!$C$2:$C$3201,0)),"")</f>
        <v/>
      </c>
      <c r="B125" s="11" t="str">
        <f aca="false">IF(A125="","",IFERROR(INDEX(DECKS!$C$2:$C$1201,MATCH(A125,DECKS!$B$2:$B$1201,0)),IFERROR(TRIM(INDEX(COMPRAS!$I$2:$I$2001,MATCH(A125,COMPRAS!$L$2:$L$2001,0))),"(sem nome)")))</f>
        <v/>
      </c>
      <c r="C125" s="16" t="str">
        <f aca="false">IF(A125="","",SUMIFS(COMPRAS!$C$2:$C$2001,COMPRAS!$K$2:$K$2001,A125))</f>
        <v/>
      </c>
    </row>
    <row r="126" customFormat="false" ht="15" hidden="false" customHeight="false" outlineLevel="0" collapsed="false">
      <c r="A126" s="11" t="str">
        <f aca="false">IFERROR(INDEX(_AUX!$A$2:$A$3201,MATCH(ROW()-1,_AUX!$C$2:$C$3201,0)),"")</f>
        <v/>
      </c>
      <c r="B126" s="11" t="str">
        <f aca="false">IF(A126="","",IFERROR(INDEX(DECKS!$C$2:$C$1201,MATCH(A126,DECKS!$B$2:$B$1201,0)),IFERROR(TRIM(INDEX(COMPRAS!$I$2:$I$2001,MATCH(A126,COMPRAS!$L$2:$L$2001,0))),"(sem nome)")))</f>
        <v/>
      </c>
      <c r="C126" s="16" t="str">
        <f aca="false">IF(A126="","",SUMIFS(COMPRAS!$C$2:$C$2001,COMPRAS!$K$2:$K$2001,A126))</f>
        <v/>
      </c>
    </row>
    <row r="127" customFormat="false" ht="15" hidden="false" customHeight="false" outlineLevel="0" collapsed="false">
      <c r="A127" s="11" t="str">
        <f aca="false">IFERROR(INDEX(_AUX!$A$2:$A$3201,MATCH(ROW()-1,_AUX!$C$2:$C$3201,0)),"")</f>
        <v/>
      </c>
      <c r="B127" s="11" t="str">
        <f aca="false">IF(A127="","",IFERROR(INDEX(DECKS!$C$2:$C$1201,MATCH(A127,DECKS!$B$2:$B$1201,0)),IFERROR(TRIM(INDEX(COMPRAS!$I$2:$I$2001,MATCH(A127,COMPRAS!$L$2:$L$2001,0))),"(sem nome)")))</f>
        <v/>
      </c>
      <c r="C127" s="16" t="str">
        <f aca="false">IF(A127="","",SUMIFS(COMPRAS!$C$2:$C$2001,COMPRAS!$K$2:$K$2001,A127))</f>
        <v/>
      </c>
    </row>
    <row r="128" customFormat="false" ht="15" hidden="false" customHeight="false" outlineLevel="0" collapsed="false">
      <c r="A128" s="11" t="str">
        <f aca="false">IFERROR(INDEX(_AUX!$A$2:$A$3201,MATCH(ROW()-1,_AUX!$C$2:$C$3201,0)),"")</f>
        <v/>
      </c>
      <c r="B128" s="11" t="str">
        <f aca="false">IF(A128="","",IFERROR(INDEX(DECKS!$C$2:$C$1201,MATCH(A128,DECKS!$B$2:$B$1201,0)),IFERROR(TRIM(INDEX(COMPRAS!$I$2:$I$2001,MATCH(A128,COMPRAS!$L$2:$L$2001,0))),"(sem nome)")))</f>
        <v/>
      </c>
      <c r="C128" s="16" t="str">
        <f aca="false">IF(A128="","",SUMIFS(COMPRAS!$C$2:$C$2001,COMPRAS!$K$2:$K$2001,A128))</f>
        <v/>
      </c>
    </row>
    <row r="129" customFormat="false" ht="15" hidden="false" customHeight="false" outlineLevel="0" collapsed="false">
      <c r="A129" s="11" t="str">
        <f aca="false">IFERROR(INDEX(_AUX!$A$2:$A$3201,MATCH(ROW()-1,_AUX!$C$2:$C$3201,0)),"")</f>
        <v/>
      </c>
      <c r="B129" s="11" t="str">
        <f aca="false">IF(A129="","",IFERROR(INDEX(DECKS!$C$2:$C$1201,MATCH(A129,DECKS!$B$2:$B$1201,0)),IFERROR(TRIM(INDEX(COMPRAS!$I$2:$I$2001,MATCH(A129,COMPRAS!$L$2:$L$2001,0))),"(sem nome)")))</f>
        <v/>
      </c>
      <c r="C129" s="16" t="str">
        <f aca="false">IF(A129="","",SUMIFS(COMPRAS!$C$2:$C$2001,COMPRAS!$K$2:$K$2001,A129))</f>
        <v/>
      </c>
    </row>
    <row r="130" customFormat="false" ht="15" hidden="false" customHeight="false" outlineLevel="0" collapsed="false">
      <c r="A130" s="11" t="str">
        <f aca="false">IFERROR(INDEX(_AUX!$A$2:$A$3201,MATCH(ROW()-1,_AUX!$C$2:$C$3201,0)),"")</f>
        <v/>
      </c>
      <c r="B130" s="11" t="str">
        <f aca="false">IF(A130="","",IFERROR(INDEX(DECKS!$C$2:$C$1201,MATCH(A130,DECKS!$B$2:$B$1201,0)),IFERROR(TRIM(INDEX(COMPRAS!$I$2:$I$2001,MATCH(A130,COMPRAS!$L$2:$L$2001,0))),"(sem nome)")))</f>
        <v/>
      </c>
      <c r="C130" s="16" t="str">
        <f aca="false">IF(A130="","",SUMIFS(COMPRAS!$C$2:$C$2001,COMPRAS!$K$2:$K$2001,A130))</f>
        <v/>
      </c>
    </row>
    <row r="131" customFormat="false" ht="15" hidden="false" customHeight="false" outlineLevel="0" collapsed="false">
      <c r="A131" s="11" t="str">
        <f aca="false">IFERROR(INDEX(_AUX!$A$2:$A$3201,MATCH(ROW()-1,_AUX!$C$2:$C$3201,0)),"")</f>
        <v/>
      </c>
      <c r="B131" s="11" t="str">
        <f aca="false">IF(A131="","",IFERROR(INDEX(DECKS!$C$2:$C$1201,MATCH(A131,DECKS!$B$2:$B$1201,0)),IFERROR(TRIM(INDEX(COMPRAS!$I$2:$I$2001,MATCH(A131,COMPRAS!$L$2:$L$2001,0))),"(sem nome)")))</f>
        <v/>
      </c>
      <c r="C131" s="16" t="str">
        <f aca="false">IF(A131="","",SUMIFS(COMPRAS!$C$2:$C$2001,COMPRAS!$K$2:$K$2001,A131))</f>
        <v/>
      </c>
    </row>
    <row r="132" customFormat="false" ht="15" hidden="false" customHeight="false" outlineLevel="0" collapsed="false">
      <c r="A132" s="11" t="str">
        <f aca="false">IFERROR(INDEX(_AUX!$A$2:$A$3201,MATCH(ROW()-1,_AUX!$C$2:$C$3201,0)),"")</f>
        <v/>
      </c>
      <c r="B132" s="11" t="str">
        <f aca="false">IF(A132="","",IFERROR(INDEX(DECKS!$C$2:$C$1201,MATCH(A132,DECKS!$B$2:$B$1201,0)),IFERROR(TRIM(INDEX(COMPRAS!$I$2:$I$2001,MATCH(A132,COMPRAS!$L$2:$L$2001,0))),"(sem nome)")))</f>
        <v/>
      </c>
      <c r="C132" s="16" t="str">
        <f aca="false">IF(A132="","",SUMIFS(COMPRAS!$C$2:$C$2001,COMPRAS!$K$2:$K$2001,A132))</f>
        <v/>
      </c>
    </row>
    <row r="133" customFormat="false" ht="15" hidden="false" customHeight="false" outlineLevel="0" collapsed="false">
      <c r="A133" s="11" t="str">
        <f aca="false">IFERROR(INDEX(_AUX!$A$2:$A$3201,MATCH(ROW()-1,_AUX!$C$2:$C$3201,0)),"")</f>
        <v/>
      </c>
      <c r="B133" s="11" t="str">
        <f aca="false">IF(A133="","",IFERROR(INDEX(DECKS!$C$2:$C$1201,MATCH(A133,DECKS!$B$2:$B$1201,0)),IFERROR(TRIM(INDEX(COMPRAS!$I$2:$I$2001,MATCH(A133,COMPRAS!$L$2:$L$2001,0))),"(sem nome)")))</f>
        <v/>
      </c>
      <c r="C133" s="16" t="str">
        <f aca="false">IF(A133="","",SUMIFS(COMPRAS!$C$2:$C$2001,COMPRAS!$K$2:$K$2001,A133))</f>
        <v/>
      </c>
    </row>
    <row r="134" customFormat="false" ht="15" hidden="false" customHeight="false" outlineLevel="0" collapsed="false">
      <c r="A134" s="11" t="str">
        <f aca="false">IFERROR(INDEX(_AUX!$A$2:$A$3201,MATCH(ROW()-1,_AUX!$C$2:$C$3201,0)),"")</f>
        <v/>
      </c>
      <c r="B134" s="11" t="str">
        <f aca="false">IF(A134="","",IFERROR(INDEX(DECKS!$C$2:$C$1201,MATCH(A134,DECKS!$B$2:$B$1201,0)),IFERROR(TRIM(INDEX(COMPRAS!$I$2:$I$2001,MATCH(A134,COMPRAS!$L$2:$L$2001,0))),"(sem nome)")))</f>
        <v/>
      </c>
      <c r="C134" s="16" t="str">
        <f aca="false">IF(A134="","",SUMIFS(COMPRAS!$C$2:$C$2001,COMPRAS!$K$2:$K$2001,A134))</f>
        <v/>
      </c>
    </row>
    <row r="135" customFormat="false" ht="15" hidden="false" customHeight="false" outlineLevel="0" collapsed="false">
      <c r="A135" s="11" t="str">
        <f aca="false">IFERROR(INDEX(_AUX!$A$2:$A$3201,MATCH(ROW()-1,_AUX!$C$2:$C$3201,0)),"")</f>
        <v/>
      </c>
      <c r="B135" s="11" t="str">
        <f aca="false">IF(A135="","",IFERROR(INDEX(DECKS!$C$2:$C$1201,MATCH(A135,DECKS!$B$2:$B$1201,0)),IFERROR(TRIM(INDEX(COMPRAS!$I$2:$I$2001,MATCH(A135,COMPRAS!$L$2:$L$2001,0))),"(sem nome)")))</f>
        <v/>
      </c>
      <c r="C135" s="16" t="str">
        <f aca="false">IF(A135="","",SUMIFS(COMPRAS!$C$2:$C$2001,COMPRAS!$K$2:$K$2001,A135))</f>
        <v/>
      </c>
    </row>
    <row r="136" customFormat="false" ht="15" hidden="false" customHeight="false" outlineLevel="0" collapsed="false">
      <c r="A136" s="11" t="str">
        <f aca="false">IFERROR(INDEX(_AUX!$A$2:$A$3201,MATCH(ROW()-1,_AUX!$C$2:$C$3201,0)),"")</f>
        <v/>
      </c>
      <c r="B136" s="11" t="str">
        <f aca="false">IF(A136="","",IFERROR(INDEX(DECKS!$C$2:$C$1201,MATCH(A136,DECKS!$B$2:$B$1201,0)),IFERROR(TRIM(INDEX(COMPRAS!$I$2:$I$2001,MATCH(A136,COMPRAS!$L$2:$L$2001,0))),"(sem nome)")))</f>
        <v/>
      </c>
      <c r="C136" s="16" t="str">
        <f aca="false">IF(A136="","",SUMIFS(COMPRAS!$C$2:$C$2001,COMPRAS!$K$2:$K$2001,A136))</f>
        <v/>
      </c>
    </row>
    <row r="137" customFormat="false" ht="15" hidden="false" customHeight="false" outlineLevel="0" collapsed="false">
      <c r="A137" s="11" t="str">
        <f aca="false">IFERROR(INDEX(_AUX!$A$2:$A$3201,MATCH(ROW()-1,_AUX!$C$2:$C$3201,0)),"")</f>
        <v/>
      </c>
      <c r="B137" s="11" t="str">
        <f aca="false">IF(A137="","",IFERROR(INDEX(DECKS!$C$2:$C$1201,MATCH(A137,DECKS!$B$2:$B$1201,0)),IFERROR(TRIM(INDEX(COMPRAS!$I$2:$I$2001,MATCH(A137,COMPRAS!$L$2:$L$2001,0))),"(sem nome)")))</f>
        <v/>
      </c>
      <c r="C137" s="16" t="str">
        <f aca="false">IF(A137="","",SUMIFS(COMPRAS!$C$2:$C$2001,COMPRAS!$K$2:$K$2001,A137))</f>
        <v/>
      </c>
    </row>
    <row r="138" customFormat="false" ht="15" hidden="false" customHeight="false" outlineLevel="0" collapsed="false">
      <c r="A138" s="11" t="str">
        <f aca="false">IFERROR(INDEX(_AUX!$A$2:$A$3201,MATCH(ROW()-1,_AUX!$C$2:$C$3201,0)),"")</f>
        <v/>
      </c>
      <c r="B138" s="11" t="str">
        <f aca="false">IF(A138="","",IFERROR(INDEX(DECKS!$C$2:$C$1201,MATCH(A138,DECKS!$B$2:$B$1201,0)),IFERROR(TRIM(INDEX(COMPRAS!$I$2:$I$2001,MATCH(A138,COMPRAS!$L$2:$L$2001,0))),"(sem nome)")))</f>
        <v/>
      </c>
      <c r="C138" s="16" t="str">
        <f aca="false">IF(A138="","",SUMIFS(COMPRAS!$C$2:$C$2001,COMPRAS!$K$2:$K$2001,A138))</f>
        <v/>
      </c>
    </row>
    <row r="139" customFormat="false" ht="15" hidden="false" customHeight="false" outlineLevel="0" collapsed="false">
      <c r="A139" s="11" t="str">
        <f aca="false">IFERROR(INDEX(_AUX!$A$2:$A$3201,MATCH(ROW()-1,_AUX!$C$2:$C$3201,0)),"")</f>
        <v/>
      </c>
      <c r="B139" s="11" t="str">
        <f aca="false">IF(A139="","",IFERROR(INDEX(DECKS!$C$2:$C$1201,MATCH(A139,DECKS!$B$2:$B$1201,0)),IFERROR(TRIM(INDEX(COMPRAS!$I$2:$I$2001,MATCH(A139,COMPRAS!$L$2:$L$2001,0))),"(sem nome)")))</f>
        <v/>
      </c>
      <c r="C139" s="16" t="str">
        <f aca="false">IF(A139="","",SUMIFS(COMPRAS!$C$2:$C$2001,COMPRAS!$K$2:$K$2001,A139))</f>
        <v/>
      </c>
    </row>
    <row r="140" customFormat="false" ht="15" hidden="false" customHeight="false" outlineLevel="0" collapsed="false">
      <c r="A140" s="11" t="str">
        <f aca="false">IFERROR(INDEX(_AUX!$A$2:$A$3201,MATCH(ROW()-1,_AUX!$C$2:$C$3201,0)),"")</f>
        <v/>
      </c>
      <c r="B140" s="11" t="str">
        <f aca="false">IF(A140="","",IFERROR(INDEX(DECKS!$C$2:$C$1201,MATCH(A140,DECKS!$B$2:$B$1201,0)),IFERROR(TRIM(INDEX(COMPRAS!$I$2:$I$2001,MATCH(A140,COMPRAS!$L$2:$L$2001,0))),"(sem nome)")))</f>
        <v/>
      </c>
      <c r="C140" s="16" t="str">
        <f aca="false">IF(A140="","",SUMIFS(COMPRAS!$C$2:$C$2001,COMPRAS!$K$2:$K$2001,A140))</f>
        <v/>
      </c>
    </row>
    <row r="141" customFormat="false" ht="15" hidden="false" customHeight="false" outlineLevel="0" collapsed="false">
      <c r="A141" s="11" t="str">
        <f aca="false">IFERROR(INDEX(_AUX!$A$2:$A$3201,MATCH(ROW()-1,_AUX!$C$2:$C$3201,0)),"")</f>
        <v/>
      </c>
      <c r="B141" s="11" t="str">
        <f aca="false">IF(A141="","",IFERROR(INDEX(DECKS!$C$2:$C$1201,MATCH(A141,DECKS!$B$2:$B$1201,0)),IFERROR(TRIM(INDEX(COMPRAS!$I$2:$I$2001,MATCH(A141,COMPRAS!$L$2:$L$2001,0))),"(sem nome)")))</f>
        <v/>
      </c>
      <c r="C141" s="16" t="str">
        <f aca="false">IF(A141="","",SUMIFS(COMPRAS!$C$2:$C$2001,COMPRAS!$K$2:$K$2001,A141))</f>
        <v/>
      </c>
    </row>
    <row r="142" customFormat="false" ht="15" hidden="false" customHeight="false" outlineLevel="0" collapsed="false">
      <c r="A142" s="11" t="str">
        <f aca="false">IFERROR(INDEX(_AUX!$A$2:$A$3201,MATCH(ROW()-1,_AUX!$C$2:$C$3201,0)),"")</f>
        <v/>
      </c>
      <c r="B142" s="11" t="str">
        <f aca="false">IF(A142="","",IFERROR(INDEX(DECKS!$C$2:$C$1201,MATCH(A142,DECKS!$B$2:$B$1201,0)),IFERROR(TRIM(INDEX(COMPRAS!$I$2:$I$2001,MATCH(A142,COMPRAS!$L$2:$L$2001,0))),"(sem nome)")))</f>
        <v/>
      </c>
      <c r="C142" s="16" t="str">
        <f aca="false">IF(A142="","",SUMIFS(COMPRAS!$C$2:$C$2001,COMPRAS!$K$2:$K$2001,A142))</f>
        <v/>
      </c>
    </row>
    <row r="143" customFormat="false" ht="15" hidden="false" customHeight="false" outlineLevel="0" collapsed="false">
      <c r="A143" s="11" t="str">
        <f aca="false">IFERROR(INDEX(_AUX!$A$2:$A$3201,MATCH(ROW()-1,_AUX!$C$2:$C$3201,0)),"")</f>
        <v/>
      </c>
      <c r="B143" s="11" t="str">
        <f aca="false">IF(A143="","",IFERROR(INDEX(DECKS!$C$2:$C$1201,MATCH(A143,DECKS!$B$2:$B$1201,0)),IFERROR(TRIM(INDEX(COMPRAS!$I$2:$I$2001,MATCH(A143,COMPRAS!$L$2:$L$2001,0))),"(sem nome)")))</f>
        <v/>
      </c>
      <c r="C143" s="16" t="str">
        <f aca="false">IF(A143="","",SUMIFS(COMPRAS!$C$2:$C$2001,COMPRAS!$K$2:$K$2001,A143))</f>
        <v/>
      </c>
    </row>
    <row r="144" customFormat="false" ht="15" hidden="false" customHeight="false" outlineLevel="0" collapsed="false">
      <c r="A144" s="11" t="str">
        <f aca="false">IFERROR(INDEX(_AUX!$A$2:$A$3201,MATCH(ROW()-1,_AUX!$C$2:$C$3201,0)),"")</f>
        <v/>
      </c>
      <c r="B144" s="11" t="str">
        <f aca="false">IF(A144="","",IFERROR(INDEX(DECKS!$C$2:$C$1201,MATCH(A144,DECKS!$B$2:$B$1201,0)),IFERROR(TRIM(INDEX(COMPRAS!$I$2:$I$2001,MATCH(A144,COMPRAS!$L$2:$L$2001,0))),"(sem nome)")))</f>
        <v/>
      </c>
      <c r="C144" s="16" t="str">
        <f aca="false">IF(A144="","",SUMIFS(COMPRAS!$C$2:$C$2001,COMPRAS!$K$2:$K$2001,A144))</f>
        <v/>
      </c>
    </row>
    <row r="145" customFormat="false" ht="15" hidden="false" customHeight="false" outlineLevel="0" collapsed="false">
      <c r="A145" s="11" t="str">
        <f aca="false">IFERROR(INDEX(_AUX!$A$2:$A$3201,MATCH(ROW()-1,_AUX!$C$2:$C$3201,0)),"")</f>
        <v/>
      </c>
      <c r="B145" s="11" t="str">
        <f aca="false">IF(A145="","",IFERROR(INDEX(DECKS!$C$2:$C$1201,MATCH(A145,DECKS!$B$2:$B$1201,0)),IFERROR(TRIM(INDEX(COMPRAS!$I$2:$I$2001,MATCH(A145,COMPRAS!$L$2:$L$2001,0))),"(sem nome)")))</f>
        <v/>
      </c>
      <c r="C145" s="16" t="str">
        <f aca="false">IF(A145="","",SUMIFS(COMPRAS!$C$2:$C$2001,COMPRAS!$K$2:$K$2001,A145))</f>
        <v/>
      </c>
    </row>
    <row r="146" customFormat="false" ht="15" hidden="false" customHeight="false" outlineLevel="0" collapsed="false">
      <c r="A146" s="11" t="str">
        <f aca="false">IFERROR(INDEX(_AUX!$A$2:$A$3201,MATCH(ROW()-1,_AUX!$C$2:$C$3201,0)),"")</f>
        <v/>
      </c>
      <c r="B146" s="11" t="str">
        <f aca="false">IF(A146="","",IFERROR(INDEX(DECKS!$C$2:$C$1201,MATCH(A146,DECKS!$B$2:$B$1201,0)),IFERROR(TRIM(INDEX(COMPRAS!$I$2:$I$2001,MATCH(A146,COMPRAS!$L$2:$L$2001,0))),"(sem nome)")))</f>
        <v/>
      </c>
      <c r="C146" s="16" t="str">
        <f aca="false">IF(A146="","",SUMIFS(COMPRAS!$C$2:$C$2001,COMPRAS!$K$2:$K$2001,A146))</f>
        <v/>
      </c>
    </row>
    <row r="147" customFormat="false" ht="15" hidden="false" customHeight="false" outlineLevel="0" collapsed="false">
      <c r="A147" s="11" t="str">
        <f aca="false">IFERROR(INDEX(_AUX!$A$2:$A$3201,MATCH(ROW()-1,_AUX!$C$2:$C$3201,0)),"")</f>
        <v/>
      </c>
      <c r="B147" s="11" t="str">
        <f aca="false">IF(A147="","",IFERROR(INDEX(DECKS!$C$2:$C$1201,MATCH(A147,DECKS!$B$2:$B$1201,0)),IFERROR(TRIM(INDEX(COMPRAS!$I$2:$I$2001,MATCH(A147,COMPRAS!$L$2:$L$2001,0))),"(sem nome)")))</f>
        <v/>
      </c>
      <c r="C147" s="16" t="str">
        <f aca="false">IF(A147="","",SUMIFS(COMPRAS!$C$2:$C$2001,COMPRAS!$K$2:$K$2001,A147))</f>
        <v/>
      </c>
    </row>
    <row r="148" customFormat="false" ht="15" hidden="false" customHeight="false" outlineLevel="0" collapsed="false">
      <c r="A148" s="11" t="str">
        <f aca="false">IFERROR(INDEX(_AUX!$A$2:$A$3201,MATCH(ROW()-1,_AUX!$C$2:$C$3201,0)),"")</f>
        <v/>
      </c>
      <c r="B148" s="11" t="str">
        <f aca="false">IF(A148="","",IFERROR(INDEX(DECKS!$C$2:$C$1201,MATCH(A148,DECKS!$B$2:$B$1201,0)),IFERROR(TRIM(INDEX(COMPRAS!$I$2:$I$2001,MATCH(A148,COMPRAS!$L$2:$L$2001,0))),"(sem nome)")))</f>
        <v/>
      </c>
      <c r="C148" s="16" t="str">
        <f aca="false">IF(A148="","",SUMIFS(COMPRAS!$C$2:$C$2001,COMPRAS!$K$2:$K$2001,A148))</f>
        <v/>
      </c>
    </row>
    <row r="149" customFormat="false" ht="15" hidden="false" customHeight="false" outlineLevel="0" collapsed="false">
      <c r="A149" s="11" t="str">
        <f aca="false">IFERROR(INDEX(_AUX!$A$2:$A$3201,MATCH(ROW()-1,_AUX!$C$2:$C$3201,0)),"")</f>
        <v/>
      </c>
      <c r="B149" s="11" t="str">
        <f aca="false">IF(A149="","",IFERROR(INDEX(DECKS!$C$2:$C$1201,MATCH(A149,DECKS!$B$2:$B$1201,0)),IFERROR(TRIM(INDEX(COMPRAS!$I$2:$I$2001,MATCH(A149,COMPRAS!$L$2:$L$2001,0))),"(sem nome)")))</f>
        <v/>
      </c>
      <c r="C149" s="16" t="str">
        <f aca="false">IF(A149="","",SUMIFS(COMPRAS!$C$2:$C$2001,COMPRAS!$K$2:$K$2001,A149))</f>
        <v/>
      </c>
    </row>
    <row r="150" customFormat="false" ht="15" hidden="false" customHeight="false" outlineLevel="0" collapsed="false">
      <c r="A150" s="11" t="str">
        <f aca="false">IFERROR(INDEX(_AUX!$A$2:$A$3201,MATCH(ROW()-1,_AUX!$C$2:$C$3201,0)),"")</f>
        <v/>
      </c>
      <c r="B150" s="11" t="str">
        <f aca="false">IF(A150="","",IFERROR(INDEX(DECKS!$C$2:$C$1201,MATCH(A150,DECKS!$B$2:$B$1201,0)),IFERROR(TRIM(INDEX(COMPRAS!$I$2:$I$2001,MATCH(A150,COMPRAS!$L$2:$L$2001,0))),"(sem nome)")))</f>
        <v/>
      </c>
      <c r="C150" s="16" t="str">
        <f aca="false">IF(A150="","",SUMIFS(COMPRAS!$C$2:$C$2001,COMPRAS!$K$2:$K$2001,A150))</f>
        <v/>
      </c>
    </row>
    <row r="151" customFormat="false" ht="15" hidden="false" customHeight="false" outlineLevel="0" collapsed="false">
      <c r="A151" s="11" t="str">
        <f aca="false">IFERROR(INDEX(_AUX!$A$2:$A$3201,MATCH(ROW()-1,_AUX!$C$2:$C$3201,0)),"")</f>
        <v/>
      </c>
      <c r="B151" s="11" t="str">
        <f aca="false">IF(A151="","",IFERROR(INDEX(DECKS!$C$2:$C$1201,MATCH(A151,DECKS!$B$2:$B$1201,0)),IFERROR(TRIM(INDEX(COMPRAS!$I$2:$I$2001,MATCH(A151,COMPRAS!$L$2:$L$2001,0))),"(sem nome)")))</f>
        <v/>
      </c>
      <c r="C151" s="16" t="str">
        <f aca="false">IF(A151="","",SUMIFS(COMPRAS!$C$2:$C$2001,COMPRAS!$K$2:$K$2001,A151))</f>
        <v/>
      </c>
    </row>
    <row r="152" customFormat="false" ht="15" hidden="false" customHeight="false" outlineLevel="0" collapsed="false">
      <c r="A152" s="11" t="str">
        <f aca="false">IFERROR(INDEX(_AUX!$A$2:$A$3201,MATCH(ROW()-1,_AUX!$C$2:$C$3201,0)),"")</f>
        <v/>
      </c>
      <c r="B152" s="11" t="str">
        <f aca="false">IF(A152="","",IFERROR(INDEX(DECKS!$C$2:$C$1201,MATCH(A152,DECKS!$B$2:$B$1201,0)),IFERROR(TRIM(INDEX(COMPRAS!$I$2:$I$2001,MATCH(A152,COMPRAS!$L$2:$L$2001,0))),"(sem nome)")))</f>
        <v/>
      </c>
      <c r="C152" s="16" t="str">
        <f aca="false">IF(A152="","",SUMIFS(COMPRAS!$C$2:$C$2001,COMPRAS!$K$2:$K$2001,A152))</f>
        <v/>
      </c>
    </row>
    <row r="153" customFormat="false" ht="15" hidden="false" customHeight="false" outlineLevel="0" collapsed="false">
      <c r="A153" s="11" t="str">
        <f aca="false">IFERROR(INDEX(_AUX!$A$2:$A$3201,MATCH(ROW()-1,_AUX!$C$2:$C$3201,0)),"")</f>
        <v/>
      </c>
      <c r="B153" s="11" t="str">
        <f aca="false">IF(A153="","",IFERROR(INDEX(DECKS!$C$2:$C$1201,MATCH(A153,DECKS!$B$2:$B$1201,0)),IFERROR(TRIM(INDEX(COMPRAS!$I$2:$I$2001,MATCH(A153,COMPRAS!$L$2:$L$2001,0))),"(sem nome)")))</f>
        <v/>
      </c>
      <c r="C153" s="16" t="str">
        <f aca="false">IF(A153="","",SUMIFS(COMPRAS!$C$2:$C$2001,COMPRAS!$K$2:$K$2001,A153))</f>
        <v/>
      </c>
    </row>
    <row r="154" customFormat="false" ht="15" hidden="false" customHeight="false" outlineLevel="0" collapsed="false">
      <c r="A154" s="11" t="str">
        <f aca="false">IFERROR(INDEX(_AUX!$A$2:$A$3201,MATCH(ROW()-1,_AUX!$C$2:$C$3201,0)),"")</f>
        <v/>
      </c>
      <c r="B154" s="11" t="str">
        <f aca="false">IF(A154="","",IFERROR(INDEX(DECKS!$C$2:$C$1201,MATCH(A154,DECKS!$B$2:$B$1201,0)),IFERROR(TRIM(INDEX(COMPRAS!$I$2:$I$2001,MATCH(A154,COMPRAS!$L$2:$L$2001,0))),"(sem nome)")))</f>
        <v/>
      </c>
      <c r="C154" s="16" t="str">
        <f aca="false">IF(A154="","",SUMIFS(COMPRAS!$C$2:$C$2001,COMPRAS!$K$2:$K$2001,A154))</f>
        <v/>
      </c>
    </row>
    <row r="155" customFormat="false" ht="15" hidden="false" customHeight="false" outlineLevel="0" collapsed="false">
      <c r="A155" s="11" t="str">
        <f aca="false">IFERROR(INDEX(_AUX!$A$2:$A$3201,MATCH(ROW()-1,_AUX!$C$2:$C$3201,0)),"")</f>
        <v/>
      </c>
      <c r="B155" s="11" t="str">
        <f aca="false">IF(A155="","",IFERROR(INDEX(DECKS!$C$2:$C$1201,MATCH(A155,DECKS!$B$2:$B$1201,0)),IFERROR(TRIM(INDEX(COMPRAS!$I$2:$I$2001,MATCH(A155,COMPRAS!$L$2:$L$2001,0))),"(sem nome)")))</f>
        <v/>
      </c>
      <c r="C155" s="16" t="str">
        <f aca="false">IF(A155="","",SUMIFS(COMPRAS!$C$2:$C$2001,COMPRAS!$K$2:$K$2001,A155))</f>
        <v/>
      </c>
    </row>
    <row r="156" customFormat="false" ht="15" hidden="false" customHeight="false" outlineLevel="0" collapsed="false">
      <c r="A156" s="11" t="str">
        <f aca="false">IFERROR(INDEX(_AUX!$A$2:$A$3201,MATCH(ROW()-1,_AUX!$C$2:$C$3201,0)),"")</f>
        <v/>
      </c>
      <c r="B156" s="11" t="str">
        <f aca="false">IF(A156="","",IFERROR(INDEX(DECKS!$C$2:$C$1201,MATCH(A156,DECKS!$B$2:$B$1201,0)),IFERROR(TRIM(INDEX(COMPRAS!$I$2:$I$2001,MATCH(A156,COMPRAS!$L$2:$L$2001,0))),"(sem nome)")))</f>
        <v/>
      </c>
      <c r="C156" s="16" t="str">
        <f aca="false">IF(A156="","",SUMIFS(COMPRAS!$C$2:$C$2001,COMPRAS!$K$2:$K$2001,A156))</f>
        <v/>
      </c>
    </row>
    <row r="157" customFormat="false" ht="15" hidden="false" customHeight="false" outlineLevel="0" collapsed="false">
      <c r="A157" s="11" t="str">
        <f aca="false">IFERROR(INDEX(_AUX!$A$2:$A$3201,MATCH(ROW()-1,_AUX!$C$2:$C$3201,0)),"")</f>
        <v/>
      </c>
      <c r="B157" s="11" t="str">
        <f aca="false">IF(A157="","",IFERROR(INDEX(DECKS!$C$2:$C$1201,MATCH(A157,DECKS!$B$2:$B$1201,0)),IFERROR(TRIM(INDEX(COMPRAS!$I$2:$I$2001,MATCH(A157,COMPRAS!$L$2:$L$2001,0))),"(sem nome)")))</f>
        <v/>
      </c>
      <c r="C157" s="16" t="str">
        <f aca="false">IF(A157="","",SUMIFS(COMPRAS!$C$2:$C$2001,COMPRAS!$K$2:$K$2001,A157))</f>
        <v/>
      </c>
    </row>
    <row r="158" customFormat="false" ht="15" hidden="false" customHeight="false" outlineLevel="0" collapsed="false">
      <c r="A158" s="11" t="str">
        <f aca="false">IFERROR(INDEX(_AUX!$A$2:$A$3201,MATCH(ROW()-1,_AUX!$C$2:$C$3201,0)),"")</f>
        <v/>
      </c>
      <c r="B158" s="11" t="str">
        <f aca="false">IF(A158="","",IFERROR(INDEX(DECKS!$C$2:$C$1201,MATCH(A158,DECKS!$B$2:$B$1201,0)),IFERROR(TRIM(INDEX(COMPRAS!$I$2:$I$2001,MATCH(A158,COMPRAS!$L$2:$L$2001,0))),"(sem nome)")))</f>
        <v/>
      </c>
      <c r="C158" s="16" t="str">
        <f aca="false">IF(A158="","",SUMIFS(COMPRAS!$C$2:$C$2001,COMPRAS!$K$2:$K$2001,A158))</f>
        <v/>
      </c>
    </row>
    <row r="159" customFormat="false" ht="15" hidden="false" customHeight="false" outlineLevel="0" collapsed="false">
      <c r="A159" s="11" t="str">
        <f aca="false">IFERROR(INDEX(_AUX!$A$2:$A$3201,MATCH(ROW()-1,_AUX!$C$2:$C$3201,0)),"")</f>
        <v/>
      </c>
      <c r="B159" s="11" t="str">
        <f aca="false">IF(A159="","",IFERROR(INDEX(DECKS!$C$2:$C$1201,MATCH(A159,DECKS!$B$2:$B$1201,0)),IFERROR(TRIM(INDEX(COMPRAS!$I$2:$I$2001,MATCH(A159,COMPRAS!$L$2:$L$2001,0))),"(sem nome)")))</f>
        <v/>
      </c>
      <c r="C159" s="16" t="str">
        <f aca="false">IF(A159="","",SUMIFS(COMPRAS!$C$2:$C$2001,COMPRAS!$K$2:$K$2001,A159))</f>
        <v/>
      </c>
    </row>
    <row r="160" customFormat="false" ht="15" hidden="false" customHeight="false" outlineLevel="0" collapsed="false">
      <c r="A160" s="11" t="str">
        <f aca="false">IFERROR(INDEX(_AUX!$A$2:$A$3201,MATCH(ROW()-1,_AUX!$C$2:$C$3201,0)),"")</f>
        <v/>
      </c>
      <c r="B160" s="11" t="str">
        <f aca="false">IF(A160="","",IFERROR(INDEX(DECKS!$C$2:$C$1201,MATCH(A160,DECKS!$B$2:$B$1201,0)),IFERROR(TRIM(INDEX(COMPRAS!$I$2:$I$2001,MATCH(A160,COMPRAS!$L$2:$L$2001,0))),"(sem nome)")))</f>
        <v/>
      </c>
      <c r="C160" s="16" t="str">
        <f aca="false">IF(A160="","",SUMIFS(COMPRAS!$C$2:$C$2001,COMPRAS!$K$2:$K$2001,A160))</f>
        <v/>
      </c>
    </row>
    <row r="161" customFormat="false" ht="15" hidden="false" customHeight="false" outlineLevel="0" collapsed="false">
      <c r="A161" s="11" t="str">
        <f aca="false">IFERROR(INDEX(_AUX!$A$2:$A$3201,MATCH(ROW()-1,_AUX!$C$2:$C$3201,0)),"")</f>
        <v/>
      </c>
      <c r="B161" s="11" t="str">
        <f aca="false">IF(A161="","",IFERROR(INDEX(DECKS!$C$2:$C$1201,MATCH(A161,DECKS!$B$2:$B$1201,0)),IFERROR(TRIM(INDEX(COMPRAS!$I$2:$I$2001,MATCH(A161,COMPRAS!$L$2:$L$2001,0))),"(sem nome)")))</f>
        <v/>
      </c>
      <c r="C161" s="16" t="str">
        <f aca="false">IF(A161="","",SUMIFS(COMPRAS!$C$2:$C$2001,COMPRAS!$K$2:$K$2001,A161))</f>
        <v/>
      </c>
    </row>
    <row r="162" customFormat="false" ht="15" hidden="false" customHeight="false" outlineLevel="0" collapsed="false">
      <c r="A162" s="11" t="str">
        <f aca="false">IFERROR(INDEX(_AUX!$A$2:$A$3201,MATCH(ROW()-1,_AUX!$C$2:$C$3201,0)),"")</f>
        <v/>
      </c>
      <c r="B162" s="11" t="str">
        <f aca="false">IF(A162="","",IFERROR(INDEX(DECKS!$C$2:$C$1201,MATCH(A162,DECKS!$B$2:$B$1201,0)),IFERROR(TRIM(INDEX(COMPRAS!$I$2:$I$2001,MATCH(A162,COMPRAS!$L$2:$L$2001,0))),"(sem nome)")))</f>
        <v/>
      </c>
      <c r="C162" s="16" t="str">
        <f aca="false">IF(A162="","",SUMIFS(COMPRAS!$C$2:$C$2001,COMPRAS!$K$2:$K$2001,A162))</f>
        <v/>
      </c>
    </row>
    <row r="163" customFormat="false" ht="15" hidden="false" customHeight="false" outlineLevel="0" collapsed="false">
      <c r="A163" s="11" t="str">
        <f aca="false">IFERROR(INDEX(_AUX!$A$2:$A$3201,MATCH(ROW()-1,_AUX!$C$2:$C$3201,0)),"")</f>
        <v/>
      </c>
      <c r="B163" s="11" t="str">
        <f aca="false">IF(A163="","",IFERROR(INDEX(DECKS!$C$2:$C$1201,MATCH(A163,DECKS!$B$2:$B$1201,0)),IFERROR(TRIM(INDEX(COMPRAS!$I$2:$I$2001,MATCH(A163,COMPRAS!$L$2:$L$2001,0))),"(sem nome)")))</f>
        <v/>
      </c>
      <c r="C163" s="16" t="str">
        <f aca="false">IF(A163="","",SUMIFS(COMPRAS!$C$2:$C$2001,COMPRAS!$K$2:$K$2001,A163))</f>
        <v/>
      </c>
    </row>
    <row r="164" customFormat="false" ht="15" hidden="false" customHeight="false" outlineLevel="0" collapsed="false">
      <c r="A164" s="11" t="str">
        <f aca="false">IFERROR(INDEX(_AUX!$A$2:$A$3201,MATCH(ROW()-1,_AUX!$C$2:$C$3201,0)),"")</f>
        <v/>
      </c>
      <c r="B164" s="11" t="str">
        <f aca="false">IF(A164="","",IFERROR(INDEX(DECKS!$C$2:$C$1201,MATCH(A164,DECKS!$B$2:$B$1201,0)),IFERROR(TRIM(INDEX(COMPRAS!$I$2:$I$2001,MATCH(A164,COMPRAS!$L$2:$L$2001,0))),"(sem nome)")))</f>
        <v/>
      </c>
      <c r="C164" s="16" t="str">
        <f aca="false">IF(A164="","",SUMIFS(COMPRAS!$C$2:$C$2001,COMPRAS!$K$2:$K$2001,A164))</f>
        <v/>
      </c>
    </row>
    <row r="165" customFormat="false" ht="15" hidden="false" customHeight="false" outlineLevel="0" collapsed="false">
      <c r="A165" s="11" t="str">
        <f aca="false">IFERROR(INDEX(_AUX!$A$2:$A$3201,MATCH(ROW()-1,_AUX!$C$2:$C$3201,0)),"")</f>
        <v/>
      </c>
      <c r="B165" s="11" t="str">
        <f aca="false">IF(A165="","",IFERROR(INDEX(DECKS!$C$2:$C$1201,MATCH(A165,DECKS!$B$2:$B$1201,0)),IFERROR(TRIM(INDEX(COMPRAS!$I$2:$I$2001,MATCH(A165,COMPRAS!$L$2:$L$2001,0))),"(sem nome)")))</f>
        <v/>
      </c>
      <c r="C165" s="16" t="str">
        <f aca="false">IF(A165="","",SUMIFS(COMPRAS!$C$2:$C$2001,COMPRAS!$K$2:$K$2001,A165))</f>
        <v/>
      </c>
    </row>
    <row r="166" customFormat="false" ht="15" hidden="false" customHeight="false" outlineLevel="0" collapsed="false">
      <c r="A166" s="11" t="str">
        <f aca="false">IFERROR(INDEX(_AUX!$A$2:$A$3201,MATCH(ROW()-1,_AUX!$C$2:$C$3201,0)),"")</f>
        <v/>
      </c>
      <c r="B166" s="11" t="str">
        <f aca="false">IF(A166="","",IFERROR(INDEX(DECKS!$C$2:$C$1201,MATCH(A166,DECKS!$B$2:$B$1201,0)),IFERROR(TRIM(INDEX(COMPRAS!$I$2:$I$2001,MATCH(A166,COMPRAS!$L$2:$L$2001,0))),"(sem nome)")))</f>
        <v/>
      </c>
      <c r="C166" s="16" t="str">
        <f aca="false">IF(A166="","",SUMIFS(COMPRAS!$C$2:$C$2001,COMPRAS!$K$2:$K$2001,A166))</f>
        <v/>
      </c>
    </row>
    <row r="167" customFormat="false" ht="15" hidden="false" customHeight="false" outlineLevel="0" collapsed="false">
      <c r="A167" s="11" t="str">
        <f aca="false">IFERROR(INDEX(_AUX!$A$2:$A$3201,MATCH(ROW()-1,_AUX!$C$2:$C$3201,0)),"")</f>
        <v/>
      </c>
      <c r="B167" s="11" t="str">
        <f aca="false">IF(A167="","",IFERROR(INDEX(DECKS!$C$2:$C$1201,MATCH(A167,DECKS!$B$2:$B$1201,0)),IFERROR(TRIM(INDEX(COMPRAS!$I$2:$I$2001,MATCH(A167,COMPRAS!$L$2:$L$2001,0))),"(sem nome)")))</f>
        <v/>
      </c>
      <c r="C167" s="16" t="str">
        <f aca="false">IF(A167="","",SUMIFS(COMPRAS!$C$2:$C$2001,COMPRAS!$K$2:$K$2001,A167))</f>
        <v/>
      </c>
    </row>
    <row r="168" customFormat="false" ht="15" hidden="false" customHeight="false" outlineLevel="0" collapsed="false">
      <c r="A168" s="11" t="str">
        <f aca="false">IFERROR(INDEX(_AUX!$A$2:$A$3201,MATCH(ROW()-1,_AUX!$C$2:$C$3201,0)),"")</f>
        <v/>
      </c>
      <c r="B168" s="11" t="str">
        <f aca="false">IF(A168="","",IFERROR(INDEX(DECKS!$C$2:$C$1201,MATCH(A168,DECKS!$B$2:$B$1201,0)),IFERROR(TRIM(INDEX(COMPRAS!$I$2:$I$2001,MATCH(A168,COMPRAS!$L$2:$L$2001,0))),"(sem nome)")))</f>
        <v/>
      </c>
      <c r="C168" s="16" t="str">
        <f aca="false">IF(A168="","",SUMIFS(COMPRAS!$C$2:$C$2001,COMPRAS!$K$2:$K$2001,A168))</f>
        <v/>
      </c>
    </row>
    <row r="169" customFormat="false" ht="15" hidden="false" customHeight="false" outlineLevel="0" collapsed="false">
      <c r="A169" s="11" t="str">
        <f aca="false">IFERROR(INDEX(_AUX!$A$2:$A$3201,MATCH(ROW()-1,_AUX!$C$2:$C$3201,0)),"")</f>
        <v/>
      </c>
      <c r="B169" s="11" t="str">
        <f aca="false">IF(A169="","",IFERROR(INDEX(DECKS!$C$2:$C$1201,MATCH(A169,DECKS!$B$2:$B$1201,0)),IFERROR(TRIM(INDEX(COMPRAS!$I$2:$I$2001,MATCH(A169,COMPRAS!$L$2:$L$2001,0))),"(sem nome)")))</f>
        <v/>
      </c>
      <c r="C169" s="16" t="str">
        <f aca="false">IF(A169="","",SUMIFS(COMPRAS!$C$2:$C$2001,COMPRAS!$K$2:$K$2001,A169))</f>
        <v/>
      </c>
    </row>
    <row r="170" customFormat="false" ht="15" hidden="false" customHeight="false" outlineLevel="0" collapsed="false">
      <c r="A170" s="11" t="str">
        <f aca="false">IFERROR(INDEX(_AUX!$A$2:$A$3201,MATCH(ROW()-1,_AUX!$C$2:$C$3201,0)),"")</f>
        <v/>
      </c>
      <c r="B170" s="11" t="str">
        <f aca="false">IF(A170="","",IFERROR(INDEX(DECKS!$C$2:$C$1201,MATCH(A170,DECKS!$B$2:$B$1201,0)),IFERROR(TRIM(INDEX(COMPRAS!$I$2:$I$2001,MATCH(A170,COMPRAS!$L$2:$L$2001,0))),"(sem nome)")))</f>
        <v/>
      </c>
      <c r="C170" s="16" t="str">
        <f aca="false">IF(A170="","",SUMIFS(COMPRAS!$C$2:$C$2001,COMPRAS!$K$2:$K$2001,A170))</f>
        <v/>
      </c>
    </row>
    <row r="171" customFormat="false" ht="15" hidden="false" customHeight="false" outlineLevel="0" collapsed="false">
      <c r="A171" s="11" t="str">
        <f aca="false">IFERROR(INDEX(_AUX!$A$2:$A$3201,MATCH(ROW()-1,_AUX!$C$2:$C$3201,0)),"")</f>
        <v/>
      </c>
      <c r="B171" s="11" t="str">
        <f aca="false">IF(A171="","",IFERROR(INDEX(DECKS!$C$2:$C$1201,MATCH(A171,DECKS!$B$2:$B$1201,0)),IFERROR(TRIM(INDEX(COMPRAS!$I$2:$I$2001,MATCH(A171,COMPRAS!$L$2:$L$2001,0))),"(sem nome)")))</f>
        <v/>
      </c>
      <c r="C171" s="16" t="str">
        <f aca="false">IF(A171="","",SUMIFS(COMPRAS!$C$2:$C$2001,COMPRAS!$K$2:$K$2001,A171))</f>
        <v/>
      </c>
    </row>
    <row r="172" customFormat="false" ht="15" hidden="false" customHeight="false" outlineLevel="0" collapsed="false">
      <c r="A172" s="11" t="str">
        <f aca="false">IFERROR(INDEX(_AUX!$A$2:$A$3201,MATCH(ROW()-1,_AUX!$C$2:$C$3201,0)),"")</f>
        <v/>
      </c>
      <c r="B172" s="11" t="str">
        <f aca="false">IF(A172="","",IFERROR(INDEX(DECKS!$C$2:$C$1201,MATCH(A172,DECKS!$B$2:$B$1201,0)),IFERROR(TRIM(INDEX(COMPRAS!$I$2:$I$2001,MATCH(A172,COMPRAS!$L$2:$L$2001,0))),"(sem nome)")))</f>
        <v/>
      </c>
      <c r="C172" s="16" t="str">
        <f aca="false">IF(A172="","",SUMIFS(COMPRAS!$C$2:$C$2001,COMPRAS!$K$2:$K$2001,A172))</f>
        <v/>
      </c>
    </row>
    <row r="173" customFormat="false" ht="15" hidden="false" customHeight="false" outlineLevel="0" collapsed="false">
      <c r="A173" s="11" t="str">
        <f aca="false">IFERROR(INDEX(_AUX!$A$2:$A$3201,MATCH(ROW()-1,_AUX!$C$2:$C$3201,0)),"")</f>
        <v/>
      </c>
      <c r="B173" s="11" t="str">
        <f aca="false">IF(A173="","",IFERROR(INDEX(DECKS!$C$2:$C$1201,MATCH(A173,DECKS!$B$2:$B$1201,0)),IFERROR(TRIM(INDEX(COMPRAS!$I$2:$I$2001,MATCH(A173,COMPRAS!$L$2:$L$2001,0))),"(sem nome)")))</f>
        <v/>
      </c>
      <c r="C173" s="16" t="str">
        <f aca="false">IF(A173="","",SUMIFS(COMPRAS!$C$2:$C$2001,COMPRAS!$K$2:$K$2001,A173))</f>
        <v/>
      </c>
    </row>
    <row r="174" customFormat="false" ht="15" hidden="false" customHeight="false" outlineLevel="0" collapsed="false">
      <c r="A174" s="11" t="str">
        <f aca="false">IFERROR(INDEX(_AUX!$A$2:$A$3201,MATCH(ROW()-1,_AUX!$C$2:$C$3201,0)),"")</f>
        <v/>
      </c>
      <c r="B174" s="11" t="str">
        <f aca="false">IF(A174="","",IFERROR(INDEX(DECKS!$C$2:$C$1201,MATCH(A174,DECKS!$B$2:$B$1201,0)),IFERROR(TRIM(INDEX(COMPRAS!$I$2:$I$2001,MATCH(A174,COMPRAS!$L$2:$L$2001,0))),"(sem nome)")))</f>
        <v/>
      </c>
      <c r="C174" s="16" t="str">
        <f aca="false">IF(A174="","",SUMIFS(COMPRAS!$C$2:$C$2001,COMPRAS!$K$2:$K$2001,A174))</f>
        <v/>
      </c>
    </row>
    <row r="175" customFormat="false" ht="15" hidden="false" customHeight="false" outlineLevel="0" collapsed="false">
      <c r="A175" s="11" t="str">
        <f aca="false">IFERROR(INDEX(_AUX!$A$2:$A$3201,MATCH(ROW()-1,_AUX!$C$2:$C$3201,0)),"")</f>
        <v/>
      </c>
      <c r="B175" s="11" t="str">
        <f aca="false">IF(A175="","",IFERROR(INDEX(DECKS!$C$2:$C$1201,MATCH(A175,DECKS!$B$2:$B$1201,0)),IFERROR(TRIM(INDEX(COMPRAS!$I$2:$I$2001,MATCH(A175,COMPRAS!$L$2:$L$2001,0))),"(sem nome)")))</f>
        <v/>
      </c>
      <c r="C175" s="16" t="str">
        <f aca="false">IF(A175="","",SUMIFS(COMPRAS!$C$2:$C$2001,COMPRAS!$K$2:$K$2001,A175))</f>
        <v/>
      </c>
    </row>
    <row r="176" customFormat="false" ht="15" hidden="false" customHeight="false" outlineLevel="0" collapsed="false">
      <c r="A176" s="11" t="str">
        <f aca="false">IFERROR(INDEX(_AUX!$A$2:$A$3201,MATCH(ROW()-1,_AUX!$C$2:$C$3201,0)),"")</f>
        <v/>
      </c>
      <c r="B176" s="11" t="str">
        <f aca="false">IF(A176="","",IFERROR(INDEX(DECKS!$C$2:$C$1201,MATCH(A176,DECKS!$B$2:$B$1201,0)),IFERROR(TRIM(INDEX(COMPRAS!$I$2:$I$2001,MATCH(A176,COMPRAS!$L$2:$L$2001,0))),"(sem nome)")))</f>
        <v/>
      </c>
      <c r="C176" s="16" t="str">
        <f aca="false">IF(A176="","",SUMIFS(COMPRAS!$C$2:$C$2001,COMPRAS!$K$2:$K$2001,A176))</f>
        <v/>
      </c>
    </row>
    <row r="177" customFormat="false" ht="15" hidden="false" customHeight="false" outlineLevel="0" collapsed="false">
      <c r="A177" s="11" t="str">
        <f aca="false">IFERROR(INDEX(_AUX!$A$2:$A$3201,MATCH(ROW()-1,_AUX!$C$2:$C$3201,0)),"")</f>
        <v/>
      </c>
      <c r="B177" s="11" t="str">
        <f aca="false">IF(A177="","",IFERROR(INDEX(DECKS!$C$2:$C$1201,MATCH(A177,DECKS!$B$2:$B$1201,0)),IFERROR(TRIM(INDEX(COMPRAS!$I$2:$I$2001,MATCH(A177,COMPRAS!$L$2:$L$2001,0))),"(sem nome)")))</f>
        <v/>
      </c>
      <c r="C177" s="16" t="str">
        <f aca="false">IF(A177="","",SUMIFS(COMPRAS!$C$2:$C$2001,COMPRAS!$K$2:$K$2001,A177))</f>
        <v/>
      </c>
    </row>
    <row r="178" customFormat="false" ht="15" hidden="false" customHeight="false" outlineLevel="0" collapsed="false">
      <c r="A178" s="11" t="str">
        <f aca="false">IFERROR(INDEX(_AUX!$A$2:$A$3201,MATCH(ROW()-1,_AUX!$C$2:$C$3201,0)),"")</f>
        <v/>
      </c>
      <c r="B178" s="11" t="str">
        <f aca="false">IF(A178="","",IFERROR(INDEX(DECKS!$C$2:$C$1201,MATCH(A178,DECKS!$B$2:$B$1201,0)),IFERROR(TRIM(INDEX(COMPRAS!$I$2:$I$2001,MATCH(A178,COMPRAS!$L$2:$L$2001,0))),"(sem nome)")))</f>
        <v/>
      </c>
      <c r="C178" s="16" t="str">
        <f aca="false">IF(A178="","",SUMIFS(COMPRAS!$C$2:$C$2001,COMPRAS!$K$2:$K$2001,A178))</f>
        <v/>
      </c>
    </row>
    <row r="179" customFormat="false" ht="15" hidden="false" customHeight="false" outlineLevel="0" collapsed="false">
      <c r="A179" s="11" t="str">
        <f aca="false">IFERROR(INDEX(_AUX!$A$2:$A$3201,MATCH(ROW()-1,_AUX!$C$2:$C$3201,0)),"")</f>
        <v/>
      </c>
      <c r="B179" s="11" t="str">
        <f aca="false">IF(A179="","",IFERROR(INDEX(DECKS!$C$2:$C$1201,MATCH(A179,DECKS!$B$2:$B$1201,0)),IFERROR(TRIM(INDEX(COMPRAS!$I$2:$I$2001,MATCH(A179,COMPRAS!$L$2:$L$2001,0))),"(sem nome)")))</f>
        <v/>
      </c>
      <c r="C179" s="16" t="str">
        <f aca="false">IF(A179="","",SUMIFS(COMPRAS!$C$2:$C$2001,COMPRAS!$K$2:$K$2001,A179))</f>
        <v/>
      </c>
    </row>
    <row r="180" customFormat="false" ht="15" hidden="false" customHeight="false" outlineLevel="0" collapsed="false">
      <c r="A180" s="11" t="str">
        <f aca="false">IFERROR(INDEX(_AUX!$A$2:$A$3201,MATCH(ROW()-1,_AUX!$C$2:$C$3201,0)),"")</f>
        <v/>
      </c>
      <c r="B180" s="11" t="str">
        <f aca="false">IF(A180="","",IFERROR(INDEX(DECKS!$C$2:$C$1201,MATCH(A180,DECKS!$B$2:$B$1201,0)),IFERROR(TRIM(INDEX(COMPRAS!$I$2:$I$2001,MATCH(A180,COMPRAS!$L$2:$L$2001,0))),"(sem nome)")))</f>
        <v/>
      </c>
      <c r="C180" s="16" t="str">
        <f aca="false">IF(A180="","",SUMIFS(COMPRAS!$C$2:$C$2001,COMPRAS!$K$2:$K$2001,A180))</f>
        <v/>
      </c>
    </row>
    <row r="181" customFormat="false" ht="15" hidden="false" customHeight="false" outlineLevel="0" collapsed="false">
      <c r="A181" s="11" t="str">
        <f aca="false">IFERROR(INDEX(_AUX!$A$2:$A$3201,MATCH(ROW()-1,_AUX!$C$2:$C$3201,0)),"")</f>
        <v/>
      </c>
      <c r="B181" s="11" t="str">
        <f aca="false">IF(A181="","",IFERROR(INDEX(DECKS!$C$2:$C$1201,MATCH(A181,DECKS!$B$2:$B$1201,0)),IFERROR(TRIM(INDEX(COMPRAS!$I$2:$I$2001,MATCH(A181,COMPRAS!$L$2:$L$2001,0))),"(sem nome)")))</f>
        <v/>
      </c>
      <c r="C181" s="16" t="str">
        <f aca="false">IF(A181="","",SUMIFS(COMPRAS!$C$2:$C$2001,COMPRAS!$K$2:$K$2001,A181))</f>
        <v/>
      </c>
    </row>
    <row r="182" customFormat="false" ht="15" hidden="false" customHeight="false" outlineLevel="0" collapsed="false">
      <c r="A182" s="11" t="str">
        <f aca="false">IFERROR(INDEX(_AUX!$A$2:$A$3201,MATCH(ROW()-1,_AUX!$C$2:$C$3201,0)),"")</f>
        <v/>
      </c>
      <c r="B182" s="11" t="str">
        <f aca="false">IF(A182="","",IFERROR(INDEX(DECKS!$C$2:$C$1201,MATCH(A182,DECKS!$B$2:$B$1201,0)),IFERROR(TRIM(INDEX(COMPRAS!$I$2:$I$2001,MATCH(A182,COMPRAS!$L$2:$L$2001,0))),"(sem nome)")))</f>
        <v/>
      </c>
      <c r="C182" s="16" t="str">
        <f aca="false">IF(A182="","",SUMIFS(COMPRAS!$C$2:$C$2001,COMPRAS!$K$2:$K$2001,A182))</f>
        <v/>
      </c>
    </row>
    <row r="183" customFormat="false" ht="15" hidden="false" customHeight="false" outlineLevel="0" collapsed="false">
      <c r="A183" s="11" t="str">
        <f aca="false">IFERROR(INDEX(_AUX!$A$2:$A$3201,MATCH(ROW()-1,_AUX!$C$2:$C$3201,0)),"")</f>
        <v/>
      </c>
      <c r="B183" s="11" t="str">
        <f aca="false">IF(A183="","",IFERROR(INDEX(DECKS!$C$2:$C$1201,MATCH(A183,DECKS!$B$2:$B$1201,0)),IFERROR(TRIM(INDEX(COMPRAS!$I$2:$I$2001,MATCH(A183,COMPRAS!$L$2:$L$2001,0))),"(sem nome)")))</f>
        <v/>
      </c>
      <c r="C183" s="16" t="str">
        <f aca="false">IF(A183="","",SUMIFS(COMPRAS!$C$2:$C$2001,COMPRAS!$K$2:$K$2001,A183))</f>
        <v/>
      </c>
    </row>
    <row r="184" customFormat="false" ht="15" hidden="false" customHeight="false" outlineLevel="0" collapsed="false">
      <c r="A184" s="11" t="str">
        <f aca="false">IFERROR(INDEX(_AUX!$A$2:$A$3201,MATCH(ROW()-1,_AUX!$C$2:$C$3201,0)),"")</f>
        <v/>
      </c>
      <c r="B184" s="11" t="str">
        <f aca="false">IF(A184="","",IFERROR(INDEX(DECKS!$C$2:$C$1201,MATCH(A184,DECKS!$B$2:$B$1201,0)),IFERROR(TRIM(INDEX(COMPRAS!$I$2:$I$2001,MATCH(A184,COMPRAS!$L$2:$L$2001,0))),"(sem nome)")))</f>
        <v/>
      </c>
      <c r="C184" s="16" t="str">
        <f aca="false">IF(A184="","",SUMIFS(COMPRAS!$C$2:$C$2001,COMPRAS!$K$2:$K$2001,A184))</f>
        <v/>
      </c>
    </row>
    <row r="185" customFormat="false" ht="15" hidden="false" customHeight="false" outlineLevel="0" collapsed="false">
      <c r="A185" s="11" t="str">
        <f aca="false">IFERROR(INDEX(_AUX!$A$2:$A$3201,MATCH(ROW()-1,_AUX!$C$2:$C$3201,0)),"")</f>
        <v/>
      </c>
      <c r="B185" s="11" t="str">
        <f aca="false">IF(A185="","",IFERROR(INDEX(DECKS!$C$2:$C$1201,MATCH(A185,DECKS!$B$2:$B$1201,0)),IFERROR(TRIM(INDEX(COMPRAS!$I$2:$I$2001,MATCH(A185,COMPRAS!$L$2:$L$2001,0))),"(sem nome)")))</f>
        <v/>
      </c>
      <c r="C185" s="16" t="str">
        <f aca="false">IF(A185="","",SUMIFS(COMPRAS!$C$2:$C$2001,COMPRAS!$K$2:$K$2001,A185))</f>
        <v/>
      </c>
    </row>
    <row r="186" customFormat="false" ht="15" hidden="false" customHeight="false" outlineLevel="0" collapsed="false">
      <c r="A186" s="11" t="str">
        <f aca="false">IFERROR(INDEX(_AUX!$A$2:$A$3201,MATCH(ROW()-1,_AUX!$C$2:$C$3201,0)),"")</f>
        <v/>
      </c>
      <c r="B186" s="11" t="str">
        <f aca="false">IF(A186="","",IFERROR(INDEX(DECKS!$C$2:$C$1201,MATCH(A186,DECKS!$B$2:$B$1201,0)),IFERROR(TRIM(INDEX(COMPRAS!$I$2:$I$2001,MATCH(A186,COMPRAS!$L$2:$L$2001,0))),"(sem nome)")))</f>
        <v/>
      </c>
      <c r="C186" s="16" t="str">
        <f aca="false">IF(A186="","",SUMIFS(COMPRAS!$C$2:$C$2001,COMPRAS!$K$2:$K$2001,A186))</f>
        <v/>
      </c>
    </row>
    <row r="187" customFormat="false" ht="15" hidden="false" customHeight="false" outlineLevel="0" collapsed="false">
      <c r="A187" s="11" t="str">
        <f aca="false">IFERROR(INDEX(_AUX!$A$2:$A$3201,MATCH(ROW()-1,_AUX!$C$2:$C$3201,0)),"")</f>
        <v/>
      </c>
      <c r="B187" s="11" t="str">
        <f aca="false">IF(A187="","",IFERROR(INDEX(DECKS!$C$2:$C$1201,MATCH(A187,DECKS!$B$2:$B$1201,0)),IFERROR(TRIM(INDEX(COMPRAS!$I$2:$I$2001,MATCH(A187,COMPRAS!$L$2:$L$2001,0))),"(sem nome)")))</f>
        <v/>
      </c>
      <c r="C187" s="16" t="str">
        <f aca="false">IF(A187="","",SUMIFS(COMPRAS!$C$2:$C$2001,COMPRAS!$K$2:$K$2001,A187))</f>
        <v/>
      </c>
    </row>
    <row r="188" customFormat="false" ht="15" hidden="false" customHeight="false" outlineLevel="0" collapsed="false">
      <c r="A188" s="11" t="str">
        <f aca="false">IFERROR(INDEX(_AUX!$A$2:$A$3201,MATCH(ROW()-1,_AUX!$C$2:$C$3201,0)),"")</f>
        <v/>
      </c>
      <c r="B188" s="11" t="str">
        <f aca="false">IF(A188="","",IFERROR(INDEX(DECKS!$C$2:$C$1201,MATCH(A188,DECKS!$B$2:$B$1201,0)),IFERROR(TRIM(INDEX(COMPRAS!$I$2:$I$2001,MATCH(A188,COMPRAS!$L$2:$L$2001,0))),"(sem nome)")))</f>
        <v/>
      </c>
      <c r="C188" s="16" t="str">
        <f aca="false">IF(A188="","",SUMIFS(COMPRAS!$C$2:$C$2001,COMPRAS!$K$2:$K$2001,A188))</f>
        <v/>
      </c>
    </row>
    <row r="189" customFormat="false" ht="15" hidden="false" customHeight="false" outlineLevel="0" collapsed="false">
      <c r="A189" s="11" t="str">
        <f aca="false">IFERROR(INDEX(_AUX!$A$2:$A$3201,MATCH(ROW()-1,_AUX!$C$2:$C$3201,0)),"")</f>
        <v/>
      </c>
      <c r="B189" s="11" t="str">
        <f aca="false">IF(A189="","",IFERROR(INDEX(DECKS!$C$2:$C$1201,MATCH(A189,DECKS!$B$2:$B$1201,0)),IFERROR(TRIM(INDEX(COMPRAS!$I$2:$I$2001,MATCH(A189,COMPRAS!$L$2:$L$2001,0))),"(sem nome)")))</f>
        <v/>
      </c>
      <c r="C189" s="16" t="str">
        <f aca="false">IF(A189="","",SUMIFS(COMPRAS!$C$2:$C$2001,COMPRAS!$K$2:$K$2001,A189))</f>
        <v/>
      </c>
    </row>
    <row r="190" customFormat="false" ht="15" hidden="false" customHeight="false" outlineLevel="0" collapsed="false">
      <c r="A190" s="11" t="str">
        <f aca="false">IFERROR(INDEX(_AUX!$A$2:$A$3201,MATCH(ROW()-1,_AUX!$C$2:$C$3201,0)),"")</f>
        <v/>
      </c>
      <c r="B190" s="11" t="str">
        <f aca="false">IF(A190="","",IFERROR(INDEX(DECKS!$C$2:$C$1201,MATCH(A190,DECKS!$B$2:$B$1201,0)),IFERROR(TRIM(INDEX(COMPRAS!$I$2:$I$2001,MATCH(A190,COMPRAS!$L$2:$L$2001,0))),"(sem nome)")))</f>
        <v/>
      </c>
      <c r="C190" s="16" t="str">
        <f aca="false">IF(A190="","",SUMIFS(COMPRAS!$C$2:$C$2001,COMPRAS!$K$2:$K$2001,A190))</f>
        <v/>
      </c>
    </row>
    <row r="191" customFormat="false" ht="15" hidden="false" customHeight="false" outlineLevel="0" collapsed="false">
      <c r="A191" s="11" t="str">
        <f aca="false">IFERROR(INDEX(_AUX!$A$2:$A$3201,MATCH(ROW()-1,_AUX!$C$2:$C$3201,0)),"")</f>
        <v/>
      </c>
      <c r="B191" s="11" t="str">
        <f aca="false">IF(A191="","",IFERROR(INDEX(DECKS!$C$2:$C$1201,MATCH(A191,DECKS!$B$2:$B$1201,0)),IFERROR(TRIM(INDEX(COMPRAS!$I$2:$I$2001,MATCH(A191,COMPRAS!$L$2:$L$2001,0))),"(sem nome)")))</f>
        <v/>
      </c>
      <c r="C191" s="16" t="str">
        <f aca="false">IF(A191="","",SUMIFS(COMPRAS!$C$2:$C$2001,COMPRAS!$K$2:$K$2001,A191))</f>
        <v/>
      </c>
    </row>
    <row r="192" customFormat="false" ht="15" hidden="false" customHeight="false" outlineLevel="0" collapsed="false">
      <c r="A192" s="11" t="str">
        <f aca="false">IFERROR(INDEX(_AUX!$A$2:$A$3201,MATCH(ROW()-1,_AUX!$C$2:$C$3201,0)),"")</f>
        <v/>
      </c>
      <c r="B192" s="11" t="str">
        <f aca="false">IF(A192="","",IFERROR(INDEX(DECKS!$C$2:$C$1201,MATCH(A192,DECKS!$B$2:$B$1201,0)),IFERROR(TRIM(INDEX(COMPRAS!$I$2:$I$2001,MATCH(A192,COMPRAS!$L$2:$L$2001,0))),"(sem nome)")))</f>
        <v/>
      </c>
      <c r="C192" s="16" t="str">
        <f aca="false">IF(A192="","",SUMIFS(COMPRAS!$C$2:$C$2001,COMPRAS!$K$2:$K$2001,A192))</f>
        <v/>
      </c>
    </row>
    <row r="193" customFormat="false" ht="15" hidden="false" customHeight="false" outlineLevel="0" collapsed="false">
      <c r="A193" s="11" t="str">
        <f aca="false">IFERROR(INDEX(_AUX!$A$2:$A$3201,MATCH(ROW()-1,_AUX!$C$2:$C$3201,0)),"")</f>
        <v/>
      </c>
      <c r="B193" s="11" t="str">
        <f aca="false">IF(A193="","",IFERROR(INDEX(DECKS!$C$2:$C$1201,MATCH(A193,DECKS!$B$2:$B$1201,0)),IFERROR(TRIM(INDEX(COMPRAS!$I$2:$I$2001,MATCH(A193,COMPRAS!$L$2:$L$2001,0))),"(sem nome)")))</f>
        <v/>
      </c>
      <c r="C193" s="16" t="str">
        <f aca="false">IF(A193="","",SUMIFS(COMPRAS!$C$2:$C$2001,COMPRAS!$K$2:$K$2001,A193))</f>
        <v/>
      </c>
    </row>
    <row r="194" customFormat="false" ht="15" hidden="false" customHeight="false" outlineLevel="0" collapsed="false">
      <c r="A194" s="11" t="str">
        <f aca="false">IFERROR(INDEX(_AUX!$A$2:$A$3201,MATCH(ROW()-1,_AUX!$C$2:$C$3201,0)),"")</f>
        <v/>
      </c>
      <c r="B194" s="11" t="str">
        <f aca="false">IF(A194="","",IFERROR(INDEX(DECKS!$C$2:$C$1201,MATCH(A194,DECKS!$B$2:$B$1201,0)),IFERROR(TRIM(INDEX(COMPRAS!$I$2:$I$2001,MATCH(A194,COMPRAS!$L$2:$L$2001,0))),"(sem nome)")))</f>
        <v/>
      </c>
      <c r="C194" s="16" t="str">
        <f aca="false">IF(A194="","",SUMIFS(COMPRAS!$C$2:$C$2001,COMPRAS!$K$2:$K$2001,A194))</f>
        <v/>
      </c>
    </row>
    <row r="195" customFormat="false" ht="15" hidden="false" customHeight="false" outlineLevel="0" collapsed="false">
      <c r="A195" s="11" t="str">
        <f aca="false">IFERROR(INDEX(_AUX!$A$2:$A$3201,MATCH(ROW()-1,_AUX!$C$2:$C$3201,0)),"")</f>
        <v/>
      </c>
      <c r="B195" s="11" t="str">
        <f aca="false">IF(A195="","",IFERROR(INDEX(DECKS!$C$2:$C$1201,MATCH(A195,DECKS!$B$2:$B$1201,0)),IFERROR(TRIM(INDEX(COMPRAS!$I$2:$I$2001,MATCH(A195,COMPRAS!$L$2:$L$2001,0))),"(sem nome)")))</f>
        <v/>
      </c>
      <c r="C195" s="16" t="str">
        <f aca="false">IF(A195="","",SUMIFS(COMPRAS!$C$2:$C$2001,COMPRAS!$K$2:$K$2001,A195))</f>
        <v/>
      </c>
    </row>
    <row r="196" customFormat="false" ht="15" hidden="false" customHeight="false" outlineLevel="0" collapsed="false">
      <c r="A196" s="11" t="str">
        <f aca="false">IFERROR(INDEX(_AUX!$A$2:$A$3201,MATCH(ROW()-1,_AUX!$C$2:$C$3201,0)),"")</f>
        <v/>
      </c>
      <c r="B196" s="11" t="str">
        <f aca="false">IF(A196="","",IFERROR(INDEX(DECKS!$C$2:$C$1201,MATCH(A196,DECKS!$B$2:$B$1201,0)),IFERROR(TRIM(INDEX(COMPRAS!$I$2:$I$2001,MATCH(A196,COMPRAS!$L$2:$L$2001,0))),"(sem nome)")))</f>
        <v/>
      </c>
      <c r="C196" s="16" t="str">
        <f aca="false">IF(A196="","",SUMIFS(COMPRAS!$C$2:$C$2001,COMPRAS!$K$2:$K$2001,A196))</f>
        <v/>
      </c>
    </row>
    <row r="197" customFormat="false" ht="15" hidden="false" customHeight="false" outlineLevel="0" collapsed="false">
      <c r="A197" s="11" t="str">
        <f aca="false">IFERROR(INDEX(_AUX!$A$2:$A$3201,MATCH(ROW()-1,_AUX!$C$2:$C$3201,0)),"")</f>
        <v/>
      </c>
      <c r="B197" s="11" t="str">
        <f aca="false">IF(A197="","",IFERROR(INDEX(DECKS!$C$2:$C$1201,MATCH(A197,DECKS!$B$2:$B$1201,0)),IFERROR(TRIM(INDEX(COMPRAS!$I$2:$I$2001,MATCH(A197,COMPRAS!$L$2:$L$2001,0))),"(sem nome)")))</f>
        <v/>
      </c>
      <c r="C197" s="16" t="str">
        <f aca="false">IF(A197="","",SUMIFS(COMPRAS!$C$2:$C$2001,COMPRAS!$K$2:$K$2001,A197))</f>
        <v/>
      </c>
    </row>
    <row r="198" customFormat="false" ht="15" hidden="false" customHeight="false" outlineLevel="0" collapsed="false">
      <c r="A198" s="11" t="str">
        <f aca="false">IFERROR(INDEX(_AUX!$A$2:$A$3201,MATCH(ROW()-1,_AUX!$C$2:$C$3201,0)),"")</f>
        <v/>
      </c>
      <c r="B198" s="11" t="str">
        <f aca="false">IF(A198="","",IFERROR(INDEX(DECKS!$C$2:$C$1201,MATCH(A198,DECKS!$B$2:$B$1201,0)),IFERROR(TRIM(INDEX(COMPRAS!$I$2:$I$2001,MATCH(A198,COMPRAS!$L$2:$L$2001,0))),"(sem nome)")))</f>
        <v/>
      </c>
      <c r="C198" s="16" t="str">
        <f aca="false">IF(A198="","",SUMIFS(COMPRAS!$C$2:$C$2001,COMPRAS!$K$2:$K$2001,A198))</f>
        <v/>
      </c>
    </row>
    <row r="199" customFormat="false" ht="15" hidden="false" customHeight="false" outlineLevel="0" collapsed="false">
      <c r="A199" s="11" t="str">
        <f aca="false">IFERROR(INDEX(_AUX!$A$2:$A$3201,MATCH(ROW()-1,_AUX!$C$2:$C$3201,0)),"")</f>
        <v/>
      </c>
      <c r="B199" s="11" t="str">
        <f aca="false">IF(A199="","",IFERROR(INDEX(DECKS!$C$2:$C$1201,MATCH(A199,DECKS!$B$2:$B$1201,0)),IFERROR(TRIM(INDEX(COMPRAS!$I$2:$I$2001,MATCH(A199,COMPRAS!$L$2:$L$2001,0))),"(sem nome)")))</f>
        <v/>
      </c>
      <c r="C199" s="16" t="str">
        <f aca="false">IF(A199="","",SUMIFS(COMPRAS!$C$2:$C$2001,COMPRAS!$K$2:$K$2001,A199))</f>
        <v/>
      </c>
    </row>
    <row r="200" customFormat="false" ht="15" hidden="false" customHeight="false" outlineLevel="0" collapsed="false">
      <c r="A200" s="11" t="str">
        <f aca="false">IFERROR(INDEX(_AUX!$A$2:$A$3201,MATCH(ROW()-1,_AUX!$C$2:$C$3201,0)),"")</f>
        <v/>
      </c>
      <c r="B200" s="11" t="str">
        <f aca="false">IF(A200="","",IFERROR(INDEX(DECKS!$C$2:$C$1201,MATCH(A200,DECKS!$B$2:$B$1201,0)),IFERROR(TRIM(INDEX(COMPRAS!$I$2:$I$2001,MATCH(A200,COMPRAS!$L$2:$L$2001,0))),"(sem nome)")))</f>
        <v/>
      </c>
      <c r="C200" s="16" t="str">
        <f aca="false">IF(A200="","",SUMIFS(COMPRAS!$C$2:$C$2001,COMPRAS!$K$2:$K$2001,A200))</f>
        <v/>
      </c>
    </row>
    <row r="201" customFormat="false" ht="15" hidden="false" customHeight="false" outlineLevel="0" collapsed="false">
      <c r="A201" s="11" t="str">
        <f aca="false">IFERROR(INDEX(_AUX!$A$2:$A$3201,MATCH(ROW()-1,_AUX!$C$2:$C$3201,0)),"")</f>
        <v/>
      </c>
      <c r="B201" s="11" t="str">
        <f aca="false">IF(A201="","",IFERROR(INDEX(DECKS!$C$2:$C$1201,MATCH(A201,DECKS!$B$2:$B$1201,0)),IFERROR(TRIM(INDEX(COMPRAS!$I$2:$I$2001,MATCH(A201,COMPRAS!$L$2:$L$2001,0))),"(sem nome)")))</f>
        <v/>
      </c>
      <c r="C201" s="16" t="str">
        <f aca="false">IF(A201="","",SUMIFS(COMPRAS!$C$2:$C$2001,COMPRAS!$K$2:$K$2001,A201))</f>
        <v/>
      </c>
    </row>
    <row r="202" customFormat="false" ht="15" hidden="false" customHeight="false" outlineLevel="0" collapsed="false">
      <c r="A202" s="11" t="str">
        <f aca="false">IFERROR(INDEX(_AUX!$A$2:$A$3201,MATCH(ROW()-1,_AUX!$C$2:$C$3201,0)),"")</f>
        <v/>
      </c>
      <c r="B202" s="11" t="str">
        <f aca="false">IF(A202="","",IFERROR(INDEX(DECKS!$C$2:$C$1201,MATCH(A202,DECKS!$B$2:$B$1201,0)),IFERROR(TRIM(INDEX(COMPRAS!$I$2:$I$2001,MATCH(A202,COMPRAS!$L$2:$L$2001,0))),"(sem nome)")))</f>
        <v/>
      </c>
      <c r="C202" s="16" t="str">
        <f aca="false">IF(A202="","",SUMIFS(COMPRAS!$C$2:$C$2001,COMPRAS!$K$2:$K$2001,A202))</f>
        <v/>
      </c>
    </row>
    <row r="203" customFormat="false" ht="15" hidden="false" customHeight="false" outlineLevel="0" collapsed="false">
      <c r="A203" s="11" t="str">
        <f aca="false">IFERROR(INDEX(_AUX!$A$2:$A$3201,MATCH(ROW()-1,_AUX!$C$2:$C$3201,0)),"")</f>
        <v/>
      </c>
      <c r="B203" s="11" t="str">
        <f aca="false">IF(A203="","",IFERROR(INDEX(DECKS!$C$2:$C$1201,MATCH(A203,DECKS!$B$2:$B$1201,0)),IFERROR(TRIM(INDEX(COMPRAS!$I$2:$I$2001,MATCH(A203,COMPRAS!$L$2:$L$2001,0))),"(sem nome)")))</f>
        <v/>
      </c>
      <c r="C203" s="16" t="str">
        <f aca="false">IF(A203="","",SUMIFS(COMPRAS!$C$2:$C$2001,COMPRAS!$K$2:$K$2001,A203))</f>
        <v/>
      </c>
    </row>
    <row r="204" customFormat="false" ht="15" hidden="false" customHeight="false" outlineLevel="0" collapsed="false">
      <c r="A204" s="11" t="str">
        <f aca="false">IFERROR(INDEX(_AUX!$A$2:$A$3201,MATCH(ROW()-1,_AUX!$C$2:$C$3201,0)),"")</f>
        <v/>
      </c>
      <c r="B204" s="11" t="str">
        <f aca="false">IF(A204="","",IFERROR(INDEX(DECKS!$C$2:$C$1201,MATCH(A204,DECKS!$B$2:$B$1201,0)),IFERROR(TRIM(INDEX(COMPRAS!$I$2:$I$2001,MATCH(A204,COMPRAS!$L$2:$L$2001,0))),"(sem nome)")))</f>
        <v/>
      </c>
      <c r="C204" s="16" t="str">
        <f aca="false">IF(A204="","",SUMIFS(COMPRAS!$C$2:$C$2001,COMPRAS!$K$2:$K$2001,A204))</f>
        <v/>
      </c>
    </row>
    <row r="205" customFormat="false" ht="15" hidden="false" customHeight="false" outlineLevel="0" collapsed="false">
      <c r="A205" s="11" t="str">
        <f aca="false">IFERROR(INDEX(_AUX!$A$2:$A$3201,MATCH(ROW()-1,_AUX!$C$2:$C$3201,0)),"")</f>
        <v/>
      </c>
      <c r="B205" s="11" t="str">
        <f aca="false">IF(A205="","",IFERROR(INDEX(DECKS!$C$2:$C$1201,MATCH(A205,DECKS!$B$2:$B$1201,0)),IFERROR(TRIM(INDEX(COMPRAS!$I$2:$I$2001,MATCH(A205,COMPRAS!$L$2:$L$2001,0))),"(sem nome)")))</f>
        <v/>
      </c>
      <c r="C205" s="16" t="str">
        <f aca="false">IF(A205="","",SUMIFS(COMPRAS!$C$2:$C$2001,COMPRAS!$K$2:$K$2001,A205))</f>
        <v/>
      </c>
    </row>
    <row r="206" customFormat="false" ht="15" hidden="false" customHeight="false" outlineLevel="0" collapsed="false">
      <c r="A206" s="11" t="str">
        <f aca="false">IFERROR(INDEX(_AUX!$A$2:$A$3201,MATCH(ROW()-1,_AUX!$C$2:$C$3201,0)),"")</f>
        <v/>
      </c>
      <c r="B206" s="11" t="str">
        <f aca="false">IF(A206="","",IFERROR(INDEX(DECKS!$C$2:$C$1201,MATCH(A206,DECKS!$B$2:$B$1201,0)),IFERROR(TRIM(INDEX(COMPRAS!$I$2:$I$2001,MATCH(A206,COMPRAS!$L$2:$L$2001,0))),"(sem nome)")))</f>
        <v/>
      </c>
      <c r="C206" s="16" t="str">
        <f aca="false">IF(A206="","",SUMIFS(COMPRAS!$C$2:$C$2001,COMPRAS!$K$2:$K$2001,A206))</f>
        <v/>
      </c>
    </row>
    <row r="207" customFormat="false" ht="15" hidden="false" customHeight="false" outlineLevel="0" collapsed="false">
      <c r="A207" s="11" t="str">
        <f aca="false">IFERROR(INDEX(_AUX!$A$2:$A$3201,MATCH(ROW()-1,_AUX!$C$2:$C$3201,0)),"")</f>
        <v/>
      </c>
      <c r="B207" s="11" t="str">
        <f aca="false">IF(A207="","",IFERROR(INDEX(DECKS!$C$2:$C$1201,MATCH(A207,DECKS!$B$2:$B$1201,0)),IFERROR(TRIM(INDEX(COMPRAS!$I$2:$I$2001,MATCH(A207,COMPRAS!$L$2:$L$2001,0))),"(sem nome)")))</f>
        <v/>
      </c>
      <c r="C207" s="16" t="str">
        <f aca="false">IF(A207="","",SUMIFS(COMPRAS!$C$2:$C$2001,COMPRAS!$K$2:$K$2001,A207))</f>
        <v/>
      </c>
    </row>
    <row r="208" customFormat="false" ht="15" hidden="false" customHeight="false" outlineLevel="0" collapsed="false">
      <c r="A208" s="11" t="str">
        <f aca="false">IFERROR(INDEX(_AUX!$A$2:$A$3201,MATCH(ROW()-1,_AUX!$C$2:$C$3201,0)),"")</f>
        <v/>
      </c>
      <c r="B208" s="11" t="str">
        <f aca="false">IF(A208="","",IFERROR(INDEX(DECKS!$C$2:$C$1201,MATCH(A208,DECKS!$B$2:$B$1201,0)),IFERROR(TRIM(INDEX(COMPRAS!$I$2:$I$2001,MATCH(A208,COMPRAS!$L$2:$L$2001,0))),"(sem nome)")))</f>
        <v/>
      </c>
      <c r="C208" s="16" t="str">
        <f aca="false">IF(A208="","",SUMIFS(COMPRAS!$C$2:$C$2001,COMPRAS!$K$2:$K$2001,A208))</f>
        <v/>
      </c>
    </row>
    <row r="209" customFormat="false" ht="15" hidden="false" customHeight="false" outlineLevel="0" collapsed="false">
      <c r="A209" s="11" t="str">
        <f aca="false">IFERROR(INDEX(_AUX!$A$2:$A$3201,MATCH(ROW()-1,_AUX!$C$2:$C$3201,0)),"")</f>
        <v/>
      </c>
      <c r="B209" s="11" t="str">
        <f aca="false">IF(A209="","",IFERROR(INDEX(DECKS!$C$2:$C$1201,MATCH(A209,DECKS!$B$2:$B$1201,0)),IFERROR(TRIM(INDEX(COMPRAS!$I$2:$I$2001,MATCH(A209,COMPRAS!$L$2:$L$2001,0))),"(sem nome)")))</f>
        <v/>
      </c>
      <c r="C209" s="16" t="str">
        <f aca="false">IF(A209="","",SUMIFS(COMPRAS!$C$2:$C$2001,COMPRAS!$K$2:$K$2001,A209))</f>
        <v/>
      </c>
    </row>
    <row r="210" customFormat="false" ht="15" hidden="false" customHeight="false" outlineLevel="0" collapsed="false">
      <c r="A210" s="11" t="str">
        <f aca="false">IFERROR(INDEX(_AUX!$A$2:$A$3201,MATCH(ROW()-1,_AUX!$C$2:$C$3201,0)),"")</f>
        <v/>
      </c>
      <c r="B210" s="11" t="str">
        <f aca="false">IF(A210="","",IFERROR(INDEX(DECKS!$C$2:$C$1201,MATCH(A210,DECKS!$B$2:$B$1201,0)),IFERROR(TRIM(INDEX(COMPRAS!$I$2:$I$2001,MATCH(A210,COMPRAS!$L$2:$L$2001,0))),"(sem nome)")))</f>
        <v/>
      </c>
      <c r="C210" s="16" t="str">
        <f aca="false">IF(A210="","",SUMIFS(COMPRAS!$C$2:$C$2001,COMPRAS!$K$2:$K$2001,A210))</f>
        <v/>
      </c>
    </row>
    <row r="211" customFormat="false" ht="15" hidden="false" customHeight="false" outlineLevel="0" collapsed="false">
      <c r="A211" s="11" t="str">
        <f aca="false">IFERROR(INDEX(_AUX!$A$2:$A$3201,MATCH(ROW()-1,_AUX!$C$2:$C$3201,0)),"")</f>
        <v/>
      </c>
      <c r="B211" s="11" t="str">
        <f aca="false">IF(A211="","",IFERROR(INDEX(DECKS!$C$2:$C$1201,MATCH(A211,DECKS!$B$2:$B$1201,0)),IFERROR(TRIM(INDEX(COMPRAS!$I$2:$I$2001,MATCH(A211,COMPRAS!$L$2:$L$2001,0))),"(sem nome)")))</f>
        <v/>
      </c>
      <c r="C211" s="16" t="str">
        <f aca="false">IF(A211="","",SUMIFS(COMPRAS!$C$2:$C$2001,COMPRAS!$K$2:$K$2001,A211))</f>
        <v/>
      </c>
    </row>
    <row r="212" customFormat="false" ht="15" hidden="false" customHeight="false" outlineLevel="0" collapsed="false">
      <c r="A212" s="11" t="str">
        <f aca="false">IFERROR(INDEX(_AUX!$A$2:$A$3201,MATCH(ROW()-1,_AUX!$C$2:$C$3201,0)),"")</f>
        <v/>
      </c>
      <c r="B212" s="11" t="str">
        <f aca="false">IF(A212="","",IFERROR(INDEX(DECKS!$C$2:$C$1201,MATCH(A212,DECKS!$B$2:$B$1201,0)),IFERROR(TRIM(INDEX(COMPRAS!$I$2:$I$2001,MATCH(A212,COMPRAS!$L$2:$L$2001,0))),"(sem nome)")))</f>
        <v/>
      </c>
      <c r="C212" s="16" t="str">
        <f aca="false">IF(A212="","",SUMIFS(COMPRAS!$C$2:$C$2001,COMPRAS!$K$2:$K$2001,A212))</f>
        <v/>
      </c>
    </row>
    <row r="213" customFormat="false" ht="15" hidden="false" customHeight="false" outlineLevel="0" collapsed="false">
      <c r="A213" s="11" t="str">
        <f aca="false">IFERROR(INDEX(_AUX!$A$2:$A$3201,MATCH(ROW()-1,_AUX!$C$2:$C$3201,0)),"")</f>
        <v/>
      </c>
      <c r="B213" s="11" t="str">
        <f aca="false">IF(A213="","",IFERROR(INDEX(DECKS!$C$2:$C$1201,MATCH(A213,DECKS!$B$2:$B$1201,0)),IFERROR(TRIM(INDEX(COMPRAS!$I$2:$I$2001,MATCH(A213,COMPRAS!$L$2:$L$2001,0))),"(sem nome)")))</f>
        <v/>
      </c>
      <c r="C213" s="16" t="str">
        <f aca="false">IF(A213="","",SUMIFS(COMPRAS!$C$2:$C$2001,COMPRAS!$K$2:$K$2001,A213))</f>
        <v/>
      </c>
    </row>
    <row r="214" customFormat="false" ht="15" hidden="false" customHeight="false" outlineLevel="0" collapsed="false">
      <c r="A214" s="11" t="str">
        <f aca="false">IFERROR(INDEX(_AUX!$A$2:$A$3201,MATCH(ROW()-1,_AUX!$C$2:$C$3201,0)),"")</f>
        <v/>
      </c>
      <c r="B214" s="11" t="str">
        <f aca="false">IF(A214="","",IFERROR(INDEX(DECKS!$C$2:$C$1201,MATCH(A214,DECKS!$B$2:$B$1201,0)),IFERROR(TRIM(INDEX(COMPRAS!$I$2:$I$2001,MATCH(A214,COMPRAS!$L$2:$L$2001,0))),"(sem nome)")))</f>
        <v/>
      </c>
      <c r="C214" s="16" t="str">
        <f aca="false">IF(A214="","",SUMIFS(COMPRAS!$C$2:$C$2001,COMPRAS!$K$2:$K$2001,A214))</f>
        <v/>
      </c>
    </row>
    <row r="215" customFormat="false" ht="15" hidden="false" customHeight="false" outlineLevel="0" collapsed="false">
      <c r="A215" s="11" t="str">
        <f aca="false">IFERROR(INDEX(_AUX!$A$2:$A$3201,MATCH(ROW()-1,_AUX!$C$2:$C$3201,0)),"")</f>
        <v/>
      </c>
      <c r="B215" s="11" t="str">
        <f aca="false">IF(A215="","",IFERROR(INDEX(DECKS!$C$2:$C$1201,MATCH(A215,DECKS!$B$2:$B$1201,0)),IFERROR(TRIM(INDEX(COMPRAS!$I$2:$I$2001,MATCH(A215,COMPRAS!$L$2:$L$2001,0))),"(sem nome)")))</f>
        <v/>
      </c>
      <c r="C215" s="16" t="str">
        <f aca="false">IF(A215="","",SUMIFS(COMPRAS!$C$2:$C$2001,COMPRAS!$K$2:$K$2001,A215))</f>
        <v/>
      </c>
    </row>
    <row r="216" customFormat="false" ht="15" hidden="false" customHeight="false" outlineLevel="0" collapsed="false">
      <c r="A216" s="11" t="str">
        <f aca="false">IFERROR(INDEX(_AUX!$A$2:$A$3201,MATCH(ROW()-1,_AUX!$C$2:$C$3201,0)),"")</f>
        <v/>
      </c>
      <c r="B216" s="11" t="str">
        <f aca="false">IF(A216="","",IFERROR(INDEX(DECKS!$C$2:$C$1201,MATCH(A216,DECKS!$B$2:$B$1201,0)),IFERROR(TRIM(INDEX(COMPRAS!$I$2:$I$2001,MATCH(A216,COMPRAS!$L$2:$L$2001,0))),"(sem nome)")))</f>
        <v/>
      </c>
      <c r="C216" s="16" t="str">
        <f aca="false">IF(A216="","",SUMIFS(COMPRAS!$C$2:$C$2001,COMPRAS!$K$2:$K$2001,A216))</f>
        <v/>
      </c>
    </row>
    <row r="217" customFormat="false" ht="15" hidden="false" customHeight="false" outlineLevel="0" collapsed="false">
      <c r="A217" s="11" t="str">
        <f aca="false">IFERROR(INDEX(_AUX!$A$2:$A$3201,MATCH(ROW()-1,_AUX!$C$2:$C$3201,0)),"")</f>
        <v/>
      </c>
      <c r="B217" s="11" t="str">
        <f aca="false">IF(A217="","",IFERROR(INDEX(DECKS!$C$2:$C$1201,MATCH(A217,DECKS!$B$2:$B$1201,0)),IFERROR(TRIM(INDEX(COMPRAS!$I$2:$I$2001,MATCH(A217,COMPRAS!$L$2:$L$2001,0))),"(sem nome)")))</f>
        <v/>
      </c>
      <c r="C217" s="16" t="str">
        <f aca="false">IF(A217="","",SUMIFS(COMPRAS!$C$2:$C$2001,COMPRAS!$K$2:$K$2001,A217))</f>
        <v/>
      </c>
    </row>
    <row r="218" customFormat="false" ht="15" hidden="false" customHeight="false" outlineLevel="0" collapsed="false">
      <c r="A218" s="11" t="str">
        <f aca="false">IFERROR(INDEX(_AUX!$A$2:$A$3201,MATCH(ROW()-1,_AUX!$C$2:$C$3201,0)),"")</f>
        <v/>
      </c>
      <c r="B218" s="11" t="str">
        <f aca="false">IF(A218="","",IFERROR(INDEX(DECKS!$C$2:$C$1201,MATCH(A218,DECKS!$B$2:$B$1201,0)),IFERROR(TRIM(INDEX(COMPRAS!$I$2:$I$2001,MATCH(A218,COMPRAS!$L$2:$L$2001,0))),"(sem nome)")))</f>
        <v/>
      </c>
      <c r="C218" s="16" t="str">
        <f aca="false">IF(A218="","",SUMIFS(COMPRAS!$C$2:$C$2001,COMPRAS!$K$2:$K$2001,A218))</f>
        <v/>
      </c>
    </row>
    <row r="219" customFormat="false" ht="15" hidden="false" customHeight="false" outlineLevel="0" collapsed="false">
      <c r="A219" s="11" t="str">
        <f aca="false">IFERROR(INDEX(_AUX!$A$2:$A$3201,MATCH(ROW()-1,_AUX!$C$2:$C$3201,0)),"")</f>
        <v/>
      </c>
      <c r="B219" s="11" t="str">
        <f aca="false">IF(A219="","",IFERROR(INDEX(DECKS!$C$2:$C$1201,MATCH(A219,DECKS!$B$2:$B$1201,0)),IFERROR(TRIM(INDEX(COMPRAS!$I$2:$I$2001,MATCH(A219,COMPRAS!$L$2:$L$2001,0))),"(sem nome)")))</f>
        <v/>
      </c>
      <c r="C219" s="16" t="str">
        <f aca="false">IF(A219="","",SUMIFS(COMPRAS!$C$2:$C$2001,COMPRAS!$K$2:$K$2001,A219))</f>
        <v/>
      </c>
    </row>
    <row r="220" customFormat="false" ht="15" hidden="false" customHeight="false" outlineLevel="0" collapsed="false">
      <c r="A220" s="11" t="str">
        <f aca="false">IFERROR(INDEX(_AUX!$A$2:$A$3201,MATCH(ROW()-1,_AUX!$C$2:$C$3201,0)),"")</f>
        <v/>
      </c>
      <c r="B220" s="11" t="str">
        <f aca="false">IF(A220="","",IFERROR(INDEX(DECKS!$C$2:$C$1201,MATCH(A220,DECKS!$B$2:$B$1201,0)),IFERROR(TRIM(INDEX(COMPRAS!$I$2:$I$2001,MATCH(A220,COMPRAS!$L$2:$L$2001,0))),"(sem nome)")))</f>
        <v/>
      </c>
      <c r="C220" s="16" t="str">
        <f aca="false">IF(A220="","",SUMIFS(COMPRAS!$C$2:$C$2001,COMPRAS!$K$2:$K$2001,A220))</f>
        <v/>
      </c>
    </row>
    <row r="221" customFormat="false" ht="15" hidden="false" customHeight="false" outlineLevel="0" collapsed="false">
      <c r="A221" s="11" t="str">
        <f aca="false">IFERROR(INDEX(_AUX!$A$2:$A$3201,MATCH(ROW()-1,_AUX!$C$2:$C$3201,0)),"")</f>
        <v/>
      </c>
      <c r="B221" s="11" t="str">
        <f aca="false">IF(A221="","",IFERROR(INDEX(DECKS!$C$2:$C$1201,MATCH(A221,DECKS!$B$2:$B$1201,0)),IFERROR(TRIM(INDEX(COMPRAS!$I$2:$I$2001,MATCH(A221,COMPRAS!$L$2:$L$2001,0))),"(sem nome)")))</f>
        <v/>
      </c>
      <c r="C221" s="16" t="str">
        <f aca="false">IF(A221="","",SUMIFS(COMPRAS!$C$2:$C$2001,COMPRAS!$K$2:$K$2001,A221))</f>
        <v/>
      </c>
    </row>
    <row r="222" customFormat="false" ht="15" hidden="false" customHeight="false" outlineLevel="0" collapsed="false">
      <c r="A222" s="11" t="str">
        <f aca="false">IFERROR(INDEX(_AUX!$A$2:$A$3201,MATCH(ROW()-1,_AUX!$C$2:$C$3201,0)),"")</f>
        <v/>
      </c>
      <c r="B222" s="11" t="str">
        <f aca="false">IF(A222="","",IFERROR(INDEX(DECKS!$C$2:$C$1201,MATCH(A222,DECKS!$B$2:$B$1201,0)),IFERROR(TRIM(INDEX(COMPRAS!$I$2:$I$2001,MATCH(A222,COMPRAS!$L$2:$L$2001,0))),"(sem nome)")))</f>
        <v/>
      </c>
      <c r="C222" s="16" t="str">
        <f aca="false">IF(A222="","",SUMIFS(COMPRAS!$C$2:$C$2001,COMPRAS!$K$2:$K$2001,A222))</f>
        <v/>
      </c>
    </row>
    <row r="223" customFormat="false" ht="15" hidden="false" customHeight="false" outlineLevel="0" collapsed="false">
      <c r="A223" s="11" t="str">
        <f aca="false">IFERROR(INDEX(_AUX!$A$2:$A$3201,MATCH(ROW()-1,_AUX!$C$2:$C$3201,0)),"")</f>
        <v/>
      </c>
      <c r="B223" s="11" t="str">
        <f aca="false">IF(A223="","",IFERROR(INDEX(DECKS!$C$2:$C$1201,MATCH(A223,DECKS!$B$2:$B$1201,0)),IFERROR(TRIM(INDEX(COMPRAS!$I$2:$I$2001,MATCH(A223,COMPRAS!$L$2:$L$2001,0))),"(sem nome)")))</f>
        <v/>
      </c>
      <c r="C223" s="16" t="str">
        <f aca="false">IF(A223="","",SUMIFS(COMPRAS!$C$2:$C$2001,COMPRAS!$K$2:$K$2001,A223))</f>
        <v/>
      </c>
    </row>
    <row r="224" customFormat="false" ht="15" hidden="false" customHeight="false" outlineLevel="0" collapsed="false">
      <c r="A224" s="11" t="str">
        <f aca="false">IFERROR(INDEX(_AUX!$A$2:$A$3201,MATCH(ROW()-1,_AUX!$C$2:$C$3201,0)),"")</f>
        <v/>
      </c>
      <c r="B224" s="11" t="str">
        <f aca="false">IF(A224="","",IFERROR(INDEX(DECKS!$C$2:$C$1201,MATCH(A224,DECKS!$B$2:$B$1201,0)),IFERROR(TRIM(INDEX(COMPRAS!$I$2:$I$2001,MATCH(A224,COMPRAS!$L$2:$L$2001,0))),"(sem nome)")))</f>
        <v/>
      </c>
      <c r="C224" s="16" t="str">
        <f aca="false">IF(A224="","",SUMIFS(COMPRAS!$C$2:$C$2001,COMPRAS!$K$2:$K$2001,A224))</f>
        <v/>
      </c>
    </row>
    <row r="225" customFormat="false" ht="15" hidden="false" customHeight="false" outlineLevel="0" collapsed="false">
      <c r="A225" s="11" t="str">
        <f aca="false">IFERROR(INDEX(_AUX!$A$2:$A$3201,MATCH(ROW()-1,_AUX!$C$2:$C$3201,0)),"")</f>
        <v/>
      </c>
      <c r="B225" s="11" t="str">
        <f aca="false">IF(A225="","",IFERROR(INDEX(DECKS!$C$2:$C$1201,MATCH(A225,DECKS!$B$2:$B$1201,0)),IFERROR(TRIM(INDEX(COMPRAS!$I$2:$I$2001,MATCH(A225,COMPRAS!$L$2:$L$2001,0))),"(sem nome)")))</f>
        <v/>
      </c>
      <c r="C225" s="16" t="str">
        <f aca="false">IF(A225="","",SUMIFS(COMPRAS!$C$2:$C$2001,COMPRAS!$K$2:$K$2001,A225))</f>
        <v/>
      </c>
    </row>
    <row r="226" customFormat="false" ht="15" hidden="false" customHeight="false" outlineLevel="0" collapsed="false">
      <c r="A226" s="11" t="str">
        <f aca="false">IFERROR(INDEX(_AUX!$A$2:$A$3201,MATCH(ROW()-1,_AUX!$C$2:$C$3201,0)),"")</f>
        <v/>
      </c>
      <c r="B226" s="11" t="str">
        <f aca="false">IF(A226="","",IFERROR(INDEX(DECKS!$C$2:$C$1201,MATCH(A226,DECKS!$B$2:$B$1201,0)),IFERROR(TRIM(INDEX(COMPRAS!$I$2:$I$2001,MATCH(A226,COMPRAS!$L$2:$L$2001,0))),"(sem nome)")))</f>
        <v/>
      </c>
      <c r="C226" s="16" t="str">
        <f aca="false">IF(A226="","",SUMIFS(COMPRAS!$C$2:$C$2001,COMPRAS!$K$2:$K$2001,A226))</f>
        <v/>
      </c>
    </row>
    <row r="227" customFormat="false" ht="15" hidden="false" customHeight="false" outlineLevel="0" collapsed="false">
      <c r="A227" s="11" t="str">
        <f aca="false">IFERROR(INDEX(_AUX!$A$2:$A$3201,MATCH(ROW()-1,_AUX!$C$2:$C$3201,0)),"")</f>
        <v/>
      </c>
      <c r="B227" s="11" t="str">
        <f aca="false">IF(A227="","",IFERROR(INDEX(DECKS!$C$2:$C$1201,MATCH(A227,DECKS!$B$2:$B$1201,0)),IFERROR(TRIM(INDEX(COMPRAS!$I$2:$I$2001,MATCH(A227,COMPRAS!$L$2:$L$2001,0))),"(sem nome)")))</f>
        <v/>
      </c>
      <c r="C227" s="16" t="str">
        <f aca="false">IF(A227="","",SUMIFS(COMPRAS!$C$2:$C$2001,COMPRAS!$K$2:$K$2001,A227))</f>
        <v/>
      </c>
    </row>
    <row r="228" customFormat="false" ht="15" hidden="false" customHeight="false" outlineLevel="0" collapsed="false">
      <c r="A228" s="11" t="str">
        <f aca="false">IFERROR(INDEX(_AUX!$A$2:$A$3201,MATCH(ROW()-1,_AUX!$C$2:$C$3201,0)),"")</f>
        <v/>
      </c>
      <c r="B228" s="11" t="str">
        <f aca="false">IF(A228="","",IFERROR(INDEX(DECKS!$C$2:$C$1201,MATCH(A228,DECKS!$B$2:$B$1201,0)),IFERROR(TRIM(INDEX(COMPRAS!$I$2:$I$2001,MATCH(A228,COMPRAS!$L$2:$L$2001,0))),"(sem nome)")))</f>
        <v/>
      </c>
      <c r="C228" s="16" t="str">
        <f aca="false">IF(A228="","",SUMIFS(COMPRAS!$C$2:$C$2001,COMPRAS!$K$2:$K$2001,A228))</f>
        <v/>
      </c>
    </row>
    <row r="229" customFormat="false" ht="15" hidden="false" customHeight="false" outlineLevel="0" collapsed="false">
      <c r="A229" s="11" t="str">
        <f aca="false">IFERROR(INDEX(_AUX!$A$2:$A$3201,MATCH(ROW()-1,_AUX!$C$2:$C$3201,0)),"")</f>
        <v/>
      </c>
      <c r="B229" s="11" t="str">
        <f aca="false">IF(A229="","",IFERROR(INDEX(DECKS!$C$2:$C$1201,MATCH(A229,DECKS!$B$2:$B$1201,0)),IFERROR(TRIM(INDEX(COMPRAS!$I$2:$I$2001,MATCH(A229,COMPRAS!$L$2:$L$2001,0))),"(sem nome)")))</f>
        <v/>
      </c>
      <c r="C229" s="16" t="str">
        <f aca="false">IF(A229="","",SUMIFS(COMPRAS!$C$2:$C$2001,COMPRAS!$K$2:$K$2001,A229))</f>
        <v/>
      </c>
    </row>
    <row r="230" customFormat="false" ht="15" hidden="false" customHeight="false" outlineLevel="0" collapsed="false">
      <c r="A230" s="11" t="str">
        <f aca="false">IFERROR(INDEX(_AUX!$A$2:$A$3201,MATCH(ROW()-1,_AUX!$C$2:$C$3201,0)),"")</f>
        <v/>
      </c>
      <c r="B230" s="11" t="str">
        <f aca="false">IF(A230="","",IFERROR(INDEX(DECKS!$C$2:$C$1201,MATCH(A230,DECKS!$B$2:$B$1201,0)),IFERROR(TRIM(INDEX(COMPRAS!$I$2:$I$2001,MATCH(A230,COMPRAS!$L$2:$L$2001,0))),"(sem nome)")))</f>
        <v/>
      </c>
      <c r="C230" s="16" t="str">
        <f aca="false">IF(A230="","",SUMIFS(COMPRAS!$C$2:$C$2001,COMPRAS!$K$2:$K$2001,A230))</f>
        <v/>
      </c>
    </row>
    <row r="231" customFormat="false" ht="15" hidden="false" customHeight="false" outlineLevel="0" collapsed="false">
      <c r="A231" s="11" t="str">
        <f aca="false">IFERROR(INDEX(_AUX!$A$2:$A$3201,MATCH(ROW()-1,_AUX!$C$2:$C$3201,0)),"")</f>
        <v/>
      </c>
      <c r="B231" s="11" t="str">
        <f aca="false">IF(A231="","",IFERROR(INDEX(DECKS!$C$2:$C$1201,MATCH(A231,DECKS!$B$2:$B$1201,0)),IFERROR(TRIM(INDEX(COMPRAS!$I$2:$I$2001,MATCH(A231,COMPRAS!$L$2:$L$2001,0))),"(sem nome)")))</f>
        <v/>
      </c>
      <c r="C231" s="16" t="str">
        <f aca="false">IF(A231="","",SUMIFS(COMPRAS!$C$2:$C$2001,COMPRAS!$K$2:$K$2001,A231))</f>
        <v/>
      </c>
    </row>
    <row r="232" customFormat="false" ht="15" hidden="false" customHeight="false" outlineLevel="0" collapsed="false">
      <c r="A232" s="11" t="str">
        <f aca="false">IFERROR(INDEX(_AUX!$A$2:$A$3201,MATCH(ROW()-1,_AUX!$C$2:$C$3201,0)),"")</f>
        <v/>
      </c>
      <c r="B232" s="11" t="str">
        <f aca="false">IF(A232="","",IFERROR(INDEX(DECKS!$C$2:$C$1201,MATCH(A232,DECKS!$B$2:$B$1201,0)),IFERROR(TRIM(INDEX(COMPRAS!$I$2:$I$2001,MATCH(A232,COMPRAS!$L$2:$L$2001,0))),"(sem nome)")))</f>
        <v/>
      </c>
      <c r="C232" s="16" t="str">
        <f aca="false">IF(A232="","",SUMIFS(COMPRAS!$C$2:$C$2001,COMPRAS!$K$2:$K$2001,A232))</f>
        <v/>
      </c>
    </row>
    <row r="233" customFormat="false" ht="15" hidden="false" customHeight="false" outlineLevel="0" collapsed="false">
      <c r="A233" s="11" t="str">
        <f aca="false">IFERROR(INDEX(_AUX!$A$2:$A$3201,MATCH(ROW()-1,_AUX!$C$2:$C$3201,0)),"")</f>
        <v/>
      </c>
      <c r="B233" s="11" t="str">
        <f aca="false">IF(A233="","",IFERROR(INDEX(DECKS!$C$2:$C$1201,MATCH(A233,DECKS!$B$2:$B$1201,0)),IFERROR(TRIM(INDEX(COMPRAS!$I$2:$I$2001,MATCH(A233,COMPRAS!$L$2:$L$2001,0))),"(sem nome)")))</f>
        <v/>
      </c>
      <c r="C233" s="16" t="str">
        <f aca="false">IF(A233="","",SUMIFS(COMPRAS!$C$2:$C$2001,COMPRAS!$K$2:$K$2001,A233))</f>
        <v/>
      </c>
    </row>
    <row r="234" customFormat="false" ht="15" hidden="false" customHeight="false" outlineLevel="0" collapsed="false">
      <c r="A234" s="11" t="str">
        <f aca="false">IFERROR(INDEX(_AUX!$A$2:$A$3201,MATCH(ROW()-1,_AUX!$C$2:$C$3201,0)),"")</f>
        <v/>
      </c>
      <c r="B234" s="11" t="str">
        <f aca="false">IF(A234="","",IFERROR(INDEX(DECKS!$C$2:$C$1201,MATCH(A234,DECKS!$B$2:$B$1201,0)),IFERROR(TRIM(INDEX(COMPRAS!$I$2:$I$2001,MATCH(A234,COMPRAS!$L$2:$L$2001,0))),"(sem nome)")))</f>
        <v/>
      </c>
      <c r="C234" s="16" t="str">
        <f aca="false">IF(A234="","",SUMIFS(COMPRAS!$C$2:$C$2001,COMPRAS!$K$2:$K$2001,A234))</f>
        <v/>
      </c>
    </row>
    <row r="235" customFormat="false" ht="15" hidden="false" customHeight="false" outlineLevel="0" collapsed="false">
      <c r="A235" s="11" t="str">
        <f aca="false">IFERROR(INDEX(_AUX!$A$2:$A$3201,MATCH(ROW()-1,_AUX!$C$2:$C$3201,0)),"")</f>
        <v/>
      </c>
      <c r="B235" s="11" t="str">
        <f aca="false">IF(A235="","",IFERROR(INDEX(DECKS!$C$2:$C$1201,MATCH(A235,DECKS!$B$2:$B$1201,0)),IFERROR(TRIM(INDEX(COMPRAS!$I$2:$I$2001,MATCH(A235,COMPRAS!$L$2:$L$2001,0))),"(sem nome)")))</f>
        <v/>
      </c>
      <c r="C235" s="16" t="str">
        <f aca="false">IF(A235="","",SUMIFS(COMPRAS!$C$2:$C$2001,COMPRAS!$K$2:$K$2001,A235))</f>
        <v/>
      </c>
    </row>
    <row r="236" customFormat="false" ht="15" hidden="false" customHeight="false" outlineLevel="0" collapsed="false">
      <c r="A236" s="11" t="str">
        <f aca="false">IFERROR(INDEX(_AUX!$A$2:$A$3201,MATCH(ROW()-1,_AUX!$C$2:$C$3201,0)),"")</f>
        <v/>
      </c>
      <c r="B236" s="11" t="str">
        <f aca="false">IF(A236="","",IFERROR(INDEX(DECKS!$C$2:$C$1201,MATCH(A236,DECKS!$B$2:$B$1201,0)),IFERROR(TRIM(INDEX(COMPRAS!$I$2:$I$2001,MATCH(A236,COMPRAS!$L$2:$L$2001,0))),"(sem nome)")))</f>
        <v/>
      </c>
      <c r="C236" s="16" t="str">
        <f aca="false">IF(A236="","",SUMIFS(COMPRAS!$C$2:$C$2001,COMPRAS!$K$2:$K$2001,A236))</f>
        <v/>
      </c>
    </row>
    <row r="237" customFormat="false" ht="15" hidden="false" customHeight="false" outlineLevel="0" collapsed="false">
      <c r="A237" s="11" t="str">
        <f aca="false">IFERROR(INDEX(_AUX!$A$2:$A$3201,MATCH(ROW()-1,_AUX!$C$2:$C$3201,0)),"")</f>
        <v/>
      </c>
      <c r="B237" s="11" t="str">
        <f aca="false">IF(A237="","",IFERROR(INDEX(DECKS!$C$2:$C$1201,MATCH(A237,DECKS!$B$2:$B$1201,0)),IFERROR(TRIM(INDEX(COMPRAS!$I$2:$I$2001,MATCH(A237,COMPRAS!$L$2:$L$2001,0))),"(sem nome)")))</f>
        <v/>
      </c>
      <c r="C237" s="16" t="str">
        <f aca="false">IF(A237="","",SUMIFS(COMPRAS!$C$2:$C$2001,COMPRAS!$K$2:$K$2001,A237))</f>
        <v/>
      </c>
    </row>
    <row r="238" customFormat="false" ht="15" hidden="false" customHeight="false" outlineLevel="0" collapsed="false">
      <c r="A238" s="11" t="str">
        <f aca="false">IFERROR(INDEX(_AUX!$A$2:$A$3201,MATCH(ROW()-1,_AUX!$C$2:$C$3201,0)),"")</f>
        <v/>
      </c>
      <c r="B238" s="11" t="str">
        <f aca="false">IF(A238="","",IFERROR(INDEX(DECKS!$C$2:$C$1201,MATCH(A238,DECKS!$B$2:$B$1201,0)),IFERROR(TRIM(INDEX(COMPRAS!$I$2:$I$2001,MATCH(A238,COMPRAS!$L$2:$L$2001,0))),"(sem nome)")))</f>
        <v/>
      </c>
      <c r="C238" s="16" t="str">
        <f aca="false">IF(A238="","",SUMIFS(COMPRAS!$C$2:$C$2001,COMPRAS!$K$2:$K$2001,A238))</f>
        <v/>
      </c>
    </row>
    <row r="239" customFormat="false" ht="15" hidden="false" customHeight="false" outlineLevel="0" collapsed="false">
      <c r="A239" s="11" t="str">
        <f aca="false">IFERROR(INDEX(_AUX!$A$2:$A$3201,MATCH(ROW()-1,_AUX!$C$2:$C$3201,0)),"")</f>
        <v/>
      </c>
      <c r="B239" s="11" t="str">
        <f aca="false">IF(A239="","",IFERROR(INDEX(DECKS!$C$2:$C$1201,MATCH(A239,DECKS!$B$2:$B$1201,0)),IFERROR(TRIM(INDEX(COMPRAS!$I$2:$I$2001,MATCH(A239,COMPRAS!$L$2:$L$2001,0))),"(sem nome)")))</f>
        <v/>
      </c>
      <c r="C239" s="16" t="str">
        <f aca="false">IF(A239="","",SUMIFS(COMPRAS!$C$2:$C$2001,COMPRAS!$K$2:$K$2001,A239))</f>
        <v/>
      </c>
    </row>
    <row r="240" customFormat="false" ht="15" hidden="false" customHeight="false" outlineLevel="0" collapsed="false">
      <c r="A240" s="11" t="str">
        <f aca="false">IFERROR(INDEX(_AUX!$A$2:$A$3201,MATCH(ROW()-1,_AUX!$C$2:$C$3201,0)),"")</f>
        <v/>
      </c>
      <c r="B240" s="11" t="str">
        <f aca="false">IF(A240="","",IFERROR(INDEX(DECKS!$C$2:$C$1201,MATCH(A240,DECKS!$B$2:$B$1201,0)),IFERROR(TRIM(INDEX(COMPRAS!$I$2:$I$2001,MATCH(A240,COMPRAS!$L$2:$L$2001,0))),"(sem nome)")))</f>
        <v/>
      </c>
      <c r="C240" s="16" t="str">
        <f aca="false">IF(A240="","",SUMIFS(COMPRAS!$C$2:$C$2001,COMPRAS!$K$2:$K$2001,A240))</f>
        <v/>
      </c>
    </row>
    <row r="241" customFormat="false" ht="15" hidden="false" customHeight="false" outlineLevel="0" collapsed="false">
      <c r="A241" s="11" t="str">
        <f aca="false">IFERROR(INDEX(_AUX!$A$2:$A$3201,MATCH(ROW()-1,_AUX!$C$2:$C$3201,0)),"")</f>
        <v/>
      </c>
      <c r="B241" s="11" t="str">
        <f aca="false">IF(A241="","",IFERROR(INDEX(DECKS!$C$2:$C$1201,MATCH(A241,DECKS!$B$2:$B$1201,0)),IFERROR(TRIM(INDEX(COMPRAS!$I$2:$I$2001,MATCH(A241,COMPRAS!$L$2:$L$2001,0))),"(sem nome)")))</f>
        <v/>
      </c>
      <c r="C241" s="16" t="str">
        <f aca="false">IF(A241="","",SUMIFS(COMPRAS!$C$2:$C$2001,COMPRAS!$K$2:$K$2001,A241))</f>
        <v/>
      </c>
    </row>
    <row r="242" customFormat="false" ht="15" hidden="false" customHeight="false" outlineLevel="0" collapsed="false">
      <c r="A242" s="11" t="str">
        <f aca="false">IFERROR(INDEX(_AUX!$A$2:$A$3201,MATCH(ROW()-1,_AUX!$C$2:$C$3201,0)),"")</f>
        <v/>
      </c>
      <c r="B242" s="11" t="str">
        <f aca="false">IF(A242="","",IFERROR(INDEX(DECKS!$C$2:$C$1201,MATCH(A242,DECKS!$B$2:$B$1201,0)),IFERROR(TRIM(INDEX(COMPRAS!$I$2:$I$2001,MATCH(A242,COMPRAS!$L$2:$L$2001,0))),"(sem nome)")))</f>
        <v/>
      </c>
      <c r="C242" s="16" t="str">
        <f aca="false">IF(A242="","",SUMIFS(COMPRAS!$C$2:$C$2001,COMPRAS!$K$2:$K$2001,A242))</f>
        <v/>
      </c>
    </row>
    <row r="243" customFormat="false" ht="15" hidden="false" customHeight="false" outlineLevel="0" collapsed="false">
      <c r="A243" s="11" t="str">
        <f aca="false">IFERROR(INDEX(_AUX!$A$2:$A$3201,MATCH(ROW()-1,_AUX!$C$2:$C$3201,0)),"")</f>
        <v/>
      </c>
      <c r="B243" s="11" t="str">
        <f aca="false">IF(A243="","",IFERROR(INDEX(DECKS!$C$2:$C$1201,MATCH(A243,DECKS!$B$2:$B$1201,0)),IFERROR(TRIM(INDEX(COMPRAS!$I$2:$I$2001,MATCH(A243,COMPRAS!$L$2:$L$2001,0))),"(sem nome)")))</f>
        <v/>
      </c>
      <c r="C243" s="16" t="str">
        <f aca="false">IF(A243="","",SUMIFS(COMPRAS!$C$2:$C$2001,COMPRAS!$K$2:$K$2001,A243))</f>
        <v/>
      </c>
    </row>
    <row r="244" customFormat="false" ht="15" hidden="false" customHeight="false" outlineLevel="0" collapsed="false">
      <c r="A244" s="11" t="str">
        <f aca="false">IFERROR(INDEX(_AUX!$A$2:$A$3201,MATCH(ROW()-1,_AUX!$C$2:$C$3201,0)),"")</f>
        <v/>
      </c>
      <c r="B244" s="11" t="str">
        <f aca="false">IF(A244="","",IFERROR(INDEX(DECKS!$C$2:$C$1201,MATCH(A244,DECKS!$B$2:$B$1201,0)),IFERROR(TRIM(INDEX(COMPRAS!$I$2:$I$2001,MATCH(A244,COMPRAS!$L$2:$L$2001,0))),"(sem nome)")))</f>
        <v/>
      </c>
      <c r="C244" s="16" t="str">
        <f aca="false">IF(A244="","",SUMIFS(COMPRAS!$C$2:$C$2001,COMPRAS!$K$2:$K$2001,A244))</f>
        <v/>
      </c>
    </row>
    <row r="245" customFormat="false" ht="15" hidden="false" customHeight="false" outlineLevel="0" collapsed="false">
      <c r="A245" s="11" t="str">
        <f aca="false">IFERROR(INDEX(_AUX!$A$2:$A$3201,MATCH(ROW()-1,_AUX!$C$2:$C$3201,0)),"")</f>
        <v/>
      </c>
      <c r="B245" s="11" t="str">
        <f aca="false">IF(A245="","",IFERROR(INDEX(DECKS!$C$2:$C$1201,MATCH(A245,DECKS!$B$2:$B$1201,0)),IFERROR(TRIM(INDEX(COMPRAS!$I$2:$I$2001,MATCH(A245,COMPRAS!$L$2:$L$2001,0))),"(sem nome)")))</f>
        <v/>
      </c>
      <c r="C245" s="16" t="str">
        <f aca="false">IF(A245="","",SUMIFS(COMPRAS!$C$2:$C$2001,COMPRAS!$K$2:$K$2001,A245))</f>
        <v/>
      </c>
    </row>
    <row r="246" customFormat="false" ht="15" hidden="false" customHeight="false" outlineLevel="0" collapsed="false">
      <c r="A246" s="11" t="str">
        <f aca="false">IFERROR(INDEX(_AUX!$A$2:$A$3201,MATCH(ROW()-1,_AUX!$C$2:$C$3201,0)),"")</f>
        <v/>
      </c>
      <c r="B246" s="11" t="str">
        <f aca="false">IF(A246="","",IFERROR(INDEX(DECKS!$C$2:$C$1201,MATCH(A246,DECKS!$B$2:$B$1201,0)),IFERROR(TRIM(INDEX(COMPRAS!$I$2:$I$2001,MATCH(A246,COMPRAS!$L$2:$L$2001,0))),"(sem nome)")))</f>
        <v/>
      </c>
      <c r="C246" s="16" t="str">
        <f aca="false">IF(A246="","",SUMIFS(COMPRAS!$C$2:$C$2001,COMPRAS!$K$2:$K$2001,A246))</f>
        <v/>
      </c>
    </row>
    <row r="247" customFormat="false" ht="15" hidden="false" customHeight="false" outlineLevel="0" collapsed="false">
      <c r="A247" s="11" t="str">
        <f aca="false">IFERROR(INDEX(_AUX!$A$2:$A$3201,MATCH(ROW()-1,_AUX!$C$2:$C$3201,0)),"")</f>
        <v/>
      </c>
      <c r="B247" s="11" t="str">
        <f aca="false">IF(A247="","",IFERROR(INDEX(DECKS!$C$2:$C$1201,MATCH(A247,DECKS!$B$2:$B$1201,0)),IFERROR(TRIM(INDEX(COMPRAS!$I$2:$I$2001,MATCH(A247,COMPRAS!$L$2:$L$2001,0))),"(sem nome)")))</f>
        <v/>
      </c>
      <c r="C247" s="16" t="str">
        <f aca="false">IF(A247="","",SUMIFS(COMPRAS!$C$2:$C$2001,COMPRAS!$K$2:$K$2001,A247))</f>
        <v/>
      </c>
    </row>
    <row r="248" customFormat="false" ht="15" hidden="false" customHeight="false" outlineLevel="0" collapsed="false">
      <c r="A248" s="11" t="str">
        <f aca="false">IFERROR(INDEX(_AUX!$A$2:$A$3201,MATCH(ROW()-1,_AUX!$C$2:$C$3201,0)),"")</f>
        <v/>
      </c>
      <c r="B248" s="11" t="str">
        <f aca="false">IF(A248="","",IFERROR(INDEX(DECKS!$C$2:$C$1201,MATCH(A248,DECKS!$B$2:$B$1201,0)),IFERROR(TRIM(INDEX(COMPRAS!$I$2:$I$2001,MATCH(A248,COMPRAS!$L$2:$L$2001,0))),"(sem nome)")))</f>
        <v/>
      </c>
      <c r="C248" s="16" t="str">
        <f aca="false">IF(A248="","",SUMIFS(COMPRAS!$C$2:$C$2001,COMPRAS!$K$2:$K$2001,A248))</f>
        <v/>
      </c>
    </row>
    <row r="249" customFormat="false" ht="15" hidden="false" customHeight="false" outlineLevel="0" collapsed="false">
      <c r="A249" s="11" t="str">
        <f aca="false">IFERROR(INDEX(_AUX!$A$2:$A$3201,MATCH(ROW()-1,_AUX!$C$2:$C$3201,0)),"")</f>
        <v/>
      </c>
      <c r="B249" s="11" t="str">
        <f aca="false">IF(A249="","",IFERROR(INDEX(DECKS!$C$2:$C$1201,MATCH(A249,DECKS!$B$2:$B$1201,0)),IFERROR(TRIM(INDEX(COMPRAS!$I$2:$I$2001,MATCH(A249,COMPRAS!$L$2:$L$2001,0))),"(sem nome)")))</f>
        <v/>
      </c>
      <c r="C249" s="16" t="str">
        <f aca="false">IF(A249="","",SUMIFS(COMPRAS!$C$2:$C$2001,COMPRAS!$K$2:$K$2001,A249))</f>
        <v/>
      </c>
    </row>
    <row r="250" customFormat="false" ht="15" hidden="false" customHeight="false" outlineLevel="0" collapsed="false">
      <c r="A250" s="11" t="str">
        <f aca="false">IFERROR(INDEX(_AUX!$A$2:$A$3201,MATCH(ROW()-1,_AUX!$C$2:$C$3201,0)),"")</f>
        <v/>
      </c>
      <c r="B250" s="11" t="str">
        <f aca="false">IF(A250="","",IFERROR(INDEX(DECKS!$C$2:$C$1201,MATCH(A250,DECKS!$B$2:$B$1201,0)),IFERROR(TRIM(INDEX(COMPRAS!$I$2:$I$2001,MATCH(A250,COMPRAS!$L$2:$L$2001,0))),"(sem nome)")))</f>
        <v/>
      </c>
      <c r="C250" s="16" t="str">
        <f aca="false">IF(A250="","",SUMIFS(COMPRAS!$C$2:$C$2001,COMPRAS!$K$2:$K$2001,A250))</f>
        <v/>
      </c>
    </row>
    <row r="251" customFormat="false" ht="15" hidden="false" customHeight="false" outlineLevel="0" collapsed="false">
      <c r="A251" s="11" t="str">
        <f aca="false">IFERROR(INDEX(_AUX!$A$2:$A$3201,MATCH(ROW()-1,_AUX!$C$2:$C$3201,0)),"")</f>
        <v/>
      </c>
      <c r="B251" s="11" t="str">
        <f aca="false">IF(A251="","",IFERROR(INDEX(DECKS!$C$2:$C$1201,MATCH(A251,DECKS!$B$2:$B$1201,0)),IFERROR(TRIM(INDEX(COMPRAS!$I$2:$I$2001,MATCH(A251,COMPRAS!$L$2:$L$2001,0))),"(sem nome)")))</f>
        <v/>
      </c>
      <c r="C251" s="16" t="str">
        <f aca="false">IF(A251="","",SUMIFS(COMPRAS!$C$2:$C$2001,COMPRAS!$K$2:$K$2001,A251))</f>
        <v/>
      </c>
    </row>
    <row r="252" customFormat="false" ht="15" hidden="false" customHeight="false" outlineLevel="0" collapsed="false">
      <c r="A252" s="11" t="str">
        <f aca="false">IFERROR(INDEX(_AUX!$A$2:$A$3201,MATCH(ROW()-1,_AUX!$C$2:$C$3201,0)),"")</f>
        <v/>
      </c>
      <c r="B252" s="11" t="str">
        <f aca="false">IF(A252="","",IFERROR(INDEX(DECKS!$C$2:$C$1201,MATCH(A252,DECKS!$B$2:$B$1201,0)),IFERROR(TRIM(INDEX(COMPRAS!$I$2:$I$2001,MATCH(A252,COMPRAS!$L$2:$L$2001,0))),"(sem nome)")))</f>
        <v/>
      </c>
      <c r="C252" s="16" t="str">
        <f aca="false">IF(A252="","",SUMIFS(COMPRAS!$C$2:$C$2001,COMPRAS!$K$2:$K$2001,A252))</f>
        <v/>
      </c>
    </row>
    <row r="253" customFormat="false" ht="15" hidden="false" customHeight="false" outlineLevel="0" collapsed="false">
      <c r="A253" s="11" t="str">
        <f aca="false">IFERROR(INDEX(_AUX!$A$2:$A$3201,MATCH(ROW()-1,_AUX!$C$2:$C$3201,0)),"")</f>
        <v/>
      </c>
      <c r="B253" s="11" t="str">
        <f aca="false">IF(A253="","",IFERROR(INDEX(DECKS!$C$2:$C$1201,MATCH(A253,DECKS!$B$2:$B$1201,0)),IFERROR(TRIM(INDEX(COMPRAS!$I$2:$I$2001,MATCH(A253,COMPRAS!$L$2:$L$2001,0))),"(sem nome)")))</f>
        <v/>
      </c>
      <c r="C253" s="16" t="str">
        <f aca="false">IF(A253="","",SUMIFS(COMPRAS!$C$2:$C$2001,COMPRAS!$K$2:$K$2001,A253))</f>
        <v/>
      </c>
    </row>
    <row r="254" customFormat="false" ht="15" hidden="false" customHeight="false" outlineLevel="0" collapsed="false">
      <c r="A254" s="11" t="str">
        <f aca="false">IFERROR(INDEX(_AUX!$A$2:$A$3201,MATCH(ROW()-1,_AUX!$C$2:$C$3201,0)),"")</f>
        <v/>
      </c>
      <c r="B254" s="11" t="str">
        <f aca="false">IF(A254="","",IFERROR(INDEX(DECKS!$C$2:$C$1201,MATCH(A254,DECKS!$B$2:$B$1201,0)),IFERROR(TRIM(INDEX(COMPRAS!$I$2:$I$2001,MATCH(A254,COMPRAS!$L$2:$L$2001,0))),"(sem nome)")))</f>
        <v/>
      </c>
      <c r="C254" s="16" t="str">
        <f aca="false">IF(A254="","",SUMIFS(COMPRAS!$C$2:$C$2001,COMPRAS!$K$2:$K$2001,A254))</f>
        <v/>
      </c>
    </row>
    <row r="255" customFormat="false" ht="15" hidden="false" customHeight="false" outlineLevel="0" collapsed="false">
      <c r="A255" s="11" t="str">
        <f aca="false">IFERROR(INDEX(_AUX!$A$2:$A$3201,MATCH(ROW()-1,_AUX!$C$2:$C$3201,0)),"")</f>
        <v/>
      </c>
      <c r="B255" s="11" t="str">
        <f aca="false">IF(A255="","",IFERROR(INDEX(DECKS!$C$2:$C$1201,MATCH(A255,DECKS!$B$2:$B$1201,0)),IFERROR(TRIM(INDEX(COMPRAS!$I$2:$I$2001,MATCH(A255,COMPRAS!$L$2:$L$2001,0))),"(sem nome)")))</f>
        <v/>
      </c>
      <c r="C255" s="16" t="str">
        <f aca="false">IF(A255="","",SUMIFS(COMPRAS!$C$2:$C$2001,COMPRAS!$K$2:$K$2001,A255))</f>
        <v/>
      </c>
    </row>
    <row r="256" customFormat="false" ht="15" hidden="false" customHeight="false" outlineLevel="0" collapsed="false">
      <c r="A256" s="11" t="str">
        <f aca="false">IFERROR(INDEX(_AUX!$A$2:$A$3201,MATCH(ROW()-1,_AUX!$C$2:$C$3201,0)),"")</f>
        <v/>
      </c>
      <c r="B256" s="11" t="str">
        <f aca="false">IF(A256="","",IFERROR(INDEX(DECKS!$C$2:$C$1201,MATCH(A256,DECKS!$B$2:$B$1201,0)),IFERROR(TRIM(INDEX(COMPRAS!$I$2:$I$2001,MATCH(A256,COMPRAS!$L$2:$L$2001,0))),"(sem nome)")))</f>
        <v/>
      </c>
      <c r="C256" s="16" t="str">
        <f aca="false">IF(A256="","",SUMIFS(COMPRAS!$C$2:$C$2001,COMPRAS!$K$2:$K$2001,A256))</f>
        <v/>
      </c>
    </row>
    <row r="257" customFormat="false" ht="15" hidden="false" customHeight="false" outlineLevel="0" collapsed="false">
      <c r="A257" s="11" t="str">
        <f aca="false">IFERROR(INDEX(_AUX!$A$2:$A$3201,MATCH(ROW()-1,_AUX!$C$2:$C$3201,0)),"")</f>
        <v/>
      </c>
      <c r="B257" s="11" t="str">
        <f aca="false">IF(A257="","",IFERROR(INDEX(DECKS!$C$2:$C$1201,MATCH(A257,DECKS!$B$2:$B$1201,0)),IFERROR(TRIM(INDEX(COMPRAS!$I$2:$I$2001,MATCH(A257,COMPRAS!$L$2:$L$2001,0))),"(sem nome)")))</f>
        <v/>
      </c>
      <c r="C257" s="16" t="str">
        <f aca="false">IF(A257="","",SUMIFS(COMPRAS!$C$2:$C$2001,COMPRAS!$K$2:$K$2001,A257))</f>
        <v/>
      </c>
    </row>
    <row r="258" customFormat="false" ht="15" hidden="false" customHeight="false" outlineLevel="0" collapsed="false">
      <c r="A258" s="11" t="str">
        <f aca="false">IFERROR(INDEX(_AUX!$A$2:$A$3201,MATCH(ROW()-1,_AUX!$C$2:$C$3201,0)),"")</f>
        <v/>
      </c>
      <c r="B258" s="11" t="str">
        <f aca="false">IF(A258="","",IFERROR(INDEX(DECKS!$C$2:$C$1201,MATCH(A258,DECKS!$B$2:$B$1201,0)),IFERROR(TRIM(INDEX(COMPRAS!$I$2:$I$2001,MATCH(A258,COMPRAS!$L$2:$L$2001,0))),"(sem nome)")))</f>
        <v/>
      </c>
      <c r="C258" s="16" t="str">
        <f aca="false">IF(A258="","",SUMIFS(COMPRAS!$C$2:$C$2001,COMPRAS!$K$2:$K$2001,A258))</f>
        <v/>
      </c>
    </row>
    <row r="259" customFormat="false" ht="15" hidden="false" customHeight="false" outlineLevel="0" collapsed="false">
      <c r="A259" s="11" t="str">
        <f aca="false">IFERROR(INDEX(_AUX!$A$2:$A$3201,MATCH(ROW()-1,_AUX!$C$2:$C$3201,0)),"")</f>
        <v/>
      </c>
      <c r="B259" s="11" t="str">
        <f aca="false">IF(A259="","",IFERROR(INDEX(DECKS!$C$2:$C$1201,MATCH(A259,DECKS!$B$2:$B$1201,0)),IFERROR(TRIM(INDEX(COMPRAS!$I$2:$I$2001,MATCH(A259,COMPRAS!$L$2:$L$2001,0))),"(sem nome)")))</f>
        <v/>
      </c>
      <c r="C259" s="16" t="str">
        <f aca="false">IF(A259="","",SUMIFS(COMPRAS!$C$2:$C$2001,COMPRAS!$K$2:$K$2001,A259))</f>
        <v/>
      </c>
    </row>
    <row r="260" customFormat="false" ht="15" hidden="false" customHeight="false" outlineLevel="0" collapsed="false">
      <c r="A260" s="11" t="str">
        <f aca="false">IFERROR(INDEX(_AUX!$A$2:$A$3201,MATCH(ROW()-1,_AUX!$C$2:$C$3201,0)),"")</f>
        <v/>
      </c>
      <c r="B260" s="11" t="str">
        <f aca="false">IF(A260="","",IFERROR(INDEX(DECKS!$C$2:$C$1201,MATCH(A260,DECKS!$B$2:$B$1201,0)),IFERROR(TRIM(INDEX(COMPRAS!$I$2:$I$2001,MATCH(A260,COMPRAS!$L$2:$L$2001,0))),"(sem nome)")))</f>
        <v/>
      </c>
      <c r="C260" s="16" t="str">
        <f aca="false">IF(A260="","",SUMIFS(COMPRAS!$C$2:$C$2001,COMPRAS!$K$2:$K$2001,A260))</f>
        <v/>
      </c>
    </row>
    <row r="261" customFormat="false" ht="15" hidden="false" customHeight="false" outlineLevel="0" collapsed="false">
      <c r="A261" s="11" t="str">
        <f aca="false">IFERROR(INDEX(_AUX!$A$2:$A$3201,MATCH(ROW()-1,_AUX!$C$2:$C$3201,0)),"")</f>
        <v/>
      </c>
      <c r="B261" s="11" t="str">
        <f aca="false">IF(A261="","",IFERROR(INDEX(DECKS!$C$2:$C$1201,MATCH(A261,DECKS!$B$2:$B$1201,0)),IFERROR(TRIM(INDEX(COMPRAS!$I$2:$I$2001,MATCH(A261,COMPRAS!$L$2:$L$2001,0))),"(sem nome)")))</f>
        <v/>
      </c>
      <c r="C261" s="16" t="str">
        <f aca="false">IF(A261="","",SUMIFS(COMPRAS!$C$2:$C$2001,COMPRAS!$K$2:$K$2001,A261))</f>
        <v/>
      </c>
    </row>
    <row r="262" customFormat="false" ht="15" hidden="false" customHeight="false" outlineLevel="0" collapsed="false">
      <c r="A262" s="11" t="str">
        <f aca="false">IFERROR(INDEX(_AUX!$A$2:$A$3201,MATCH(ROW()-1,_AUX!$C$2:$C$3201,0)),"")</f>
        <v/>
      </c>
      <c r="B262" s="11" t="str">
        <f aca="false">IF(A262="","",IFERROR(INDEX(DECKS!$C$2:$C$1201,MATCH(A262,DECKS!$B$2:$B$1201,0)),IFERROR(TRIM(INDEX(COMPRAS!$I$2:$I$2001,MATCH(A262,COMPRAS!$L$2:$L$2001,0))),"(sem nome)")))</f>
        <v/>
      </c>
      <c r="C262" s="16" t="str">
        <f aca="false">IF(A262="","",SUMIFS(COMPRAS!$C$2:$C$2001,COMPRAS!$K$2:$K$2001,A262))</f>
        <v/>
      </c>
    </row>
    <row r="263" customFormat="false" ht="15" hidden="false" customHeight="false" outlineLevel="0" collapsed="false">
      <c r="A263" s="11" t="str">
        <f aca="false">IFERROR(INDEX(_AUX!$A$2:$A$3201,MATCH(ROW()-1,_AUX!$C$2:$C$3201,0)),"")</f>
        <v/>
      </c>
      <c r="B263" s="11" t="str">
        <f aca="false">IF(A263="","",IFERROR(INDEX(DECKS!$C$2:$C$1201,MATCH(A263,DECKS!$B$2:$B$1201,0)),IFERROR(TRIM(INDEX(COMPRAS!$I$2:$I$2001,MATCH(A263,COMPRAS!$L$2:$L$2001,0))),"(sem nome)")))</f>
        <v/>
      </c>
      <c r="C263" s="16" t="str">
        <f aca="false">IF(A263="","",SUMIFS(COMPRAS!$C$2:$C$2001,COMPRAS!$K$2:$K$2001,A263))</f>
        <v/>
      </c>
    </row>
    <row r="264" customFormat="false" ht="15" hidden="false" customHeight="false" outlineLevel="0" collapsed="false">
      <c r="A264" s="11" t="str">
        <f aca="false">IFERROR(INDEX(_AUX!$A$2:$A$3201,MATCH(ROW()-1,_AUX!$C$2:$C$3201,0)),"")</f>
        <v/>
      </c>
      <c r="B264" s="11" t="str">
        <f aca="false">IF(A264="","",IFERROR(INDEX(DECKS!$C$2:$C$1201,MATCH(A264,DECKS!$B$2:$B$1201,0)),IFERROR(TRIM(INDEX(COMPRAS!$I$2:$I$2001,MATCH(A264,COMPRAS!$L$2:$L$2001,0))),"(sem nome)")))</f>
        <v/>
      </c>
      <c r="C264" s="16" t="str">
        <f aca="false">IF(A264="","",SUMIFS(COMPRAS!$C$2:$C$2001,COMPRAS!$K$2:$K$2001,A264))</f>
        <v/>
      </c>
    </row>
    <row r="265" customFormat="false" ht="15" hidden="false" customHeight="false" outlineLevel="0" collapsed="false">
      <c r="A265" s="11" t="str">
        <f aca="false">IFERROR(INDEX(_AUX!$A$2:$A$3201,MATCH(ROW()-1,_AUX!$C$2:$C$3201,0)),"")</f>
        <v/>
      </c>
      <c r="B265" s="11" t="str">
        <f aca="false">IF(A265="","",IFERROR(INDEX(DECKS!$C$2:$C$1201,MATCH(A265,DECKS!$B$2:$B$1201,0)),IFERROR(TRIM(INDEX(COMPRAS!$I$2:$I$2001,MATCH(A265,COMPRAS!$L$2:$L$2001,0))),"(sem nome)")))</f>
        <v/>
      </c>
      <c r="C265" s="16" t="str">
        <f aca="false">IF(A265="","",SUMIFS(COMPRAS!$C$2:$C$2001,COMPRAS!$K$2:$K$2001,A265))</f>
        <v/>
      </c>
    </row>
    <row r="266" customFormat="false" ht="15" hidden="false" customHeight="false" outlineLevel="0" collapsed="false">
      <c r="A266" s="11" t="str">
        <f aca="false">IFERROR(INDEX(_AUX!$A$2:$A$3201,MATCH(ROW()-1,_AUX!$C$2:$C$3201,0)),"")</f>
        <v/>
      </c>
      <c r="B266" s="11" t="str">
        <f aca="false">IF(A266="","",IFERROR(INDEX(DECKS!$C$2:$C$1201,MATCH(A266,DECKS!$B$2:$B$1201,0)),IFERROR(TRIM(INDEX(COMPRAS!$I$2:$I$2001,MATCH(A266,COMPRAS!$L$2:$L$2001,0))),"(sem nome)")))</f>
        <v/>
      </c>
      <c r="C266" s="16" t="str">
        <f aca="false">IF(A266="","",SUMIFS(COMPRAS!$C$2:$C$2001,COMPRAS!$K$2:$K$2001,A266))</f>
        <v/>
      </c>
    </row>
    <row r="267" customFormat="false" ht="15" hidden="false" customHeight="false" outlineLevel="0" collapsed="false">
      <c r="A267" s="11" t="str">
        <f aca="false">IFERROR(INDEX(_AUX!$A$2:$A$3201,MATCH(ROW()-1,_AUX!$C$2:$C$3201,0)),"")</f>
        <v/>
      </c>
      <c r="B267" s="11" t="str">
        <f aca="false">IF(A267="","",IFERROR(INDEX(DECKS!$C$2:$C$1201,MATCH(A267,DECKS!$B$2:$B$1201,0)),IFERROR(TRIM(INDEX(COMPRAS!$I$2:$I$2001,MATCH(A267,COMPRAS!$L$2:$L$2001,0))),"(sem nome)")))</f>
        <v/>
      </c>
      <c r="C267" s="16" t="str">
        <f aca="false">IF(A267="","",SUMIFS(COMPRAS!$C$2:$C$2001,COMPRAS!$K$2:$K$2001,A267))</f>
        <v/>
      </c>
    </row>
    <row r="268" customFormat="false" ht="15" hidden="false" customHeight="false" outlineLevel="0" collapsed="false">
      <c r="A268" s="11" t="str">
        <f aca="false">IFERROR(INDEX(_AUX!$A$2:$A$3201,MATCH(ROW()-1,_AUX!$C$2:$C$3201,0)),"")</f>
        <v/>
      </c>
      <c r="B268" s="11" t="str">
        <f aca="false">IF(A268="","",IFERROR(INDEX(DECKS!$C$2:$C$1201,MATCH(A268,DECKS!$B$2:$B$1201,0)),IFERROR(TRIM(INDEX(COMPRAS!$I$2:$I$2001,MATCH(A268,COMPRAS!$L$2:$L$2001,0))),"(sem nome)")))</f>
        <v/>
      </c>
      <c r="C268" s="16" t="str">
        <f aca="false">IF(A268="","",SUMIFS(COMPRAS!$C$2:$C$2001,COMPRAS!$K$2:$K$2001,A268))</f>
        <v/>
      </c>
    </row>
    <row r="269" customFormat="false" ht="15" hidden="false" customHeight="false" outlineLevel="0" collapsed="false">
      <c r="A269" s="11" t="str">
        <f aca="false">IFERROR(INDEX(_AUX!$A$2:$A$3201,MATCH(ROW()-1,_AUX!$C$2:$C$3201,0)),"")</f>
        <v/>
      </c>
      <c r="B269" s="11" t="str">
        <f aca="false">IF(A269="","",IFERROR(INDEX(DECKS!$C$2:$C$1201,MATCH(A269,DECKS!$B$2:$B$1201,0)),IFERROR(TRIM(INDEX(COMPRAS!$I$2:$I$2001,MATCH(A269,COMPRAS!$L$2:$L$2001,0))),"(sem nome)")))</f>
        <v/>
      </c>
      <c r="C269" s="16" t="str">
        <f aca="false">IF(A269="","",SUMIFS(COMPRAS!$C$2:$C$2001,COMPRAS!$K$2:$K$2001,A269))</f>
        <v/>
      </c>
    </row>
    <row r="270" customFormat="false" ht="15" hidden="false" customHeight="false" outlineLevel="0" collapsed="false">
      <c r="A270" s="11" t="str">
        <f aca="false">IFERROR(INDEX(_AUX!$A$2:$A$3201,MATCH(ROW()-1,_AUX!$C$2:$C$3201,0)),"")</f>
        <v/>
      </c>
      <c r="B270" s="11" t="str">
        <f aca="false">IF(A270="","",IFERROR(INDEX(DECKS!$C$2:$C$1201,MATCH(A270,DECKS!$B$2:$B$1201,0)),IFERROR(TRIM(INDEX(COMPRAS!$I$2:$I$2001,MATCH(A270,COMPRAS!$L$2:$L$2001,0))),"(sem nome)")))</f>
        <v/>
      </c>
      <c r="C270" s="16" t="str">
        <f aca="false">IF(A270="","",SUMIFS(COMPRAS!$C$2:$C$2001,COMPRAS!$K$2:$K$2001,A270))</f>
        <v/>
      </c>
    </row>
    <row r="271" customFormat="false" ht="15" hidden="false" customHeight="false" outlineLevel="0" collapsed="false">
      <c r="A271" s="11" t="str">
        <f aca="false">IFERROR(INDEX(_AUX!$A$2:$A$3201,MATCH(ROW()-1,_AUX!$C$2:$C$3201,0)),"")</f>
        <v/>
      </c>
      <c r="B271" s="11" t="str">
        <f aca="false">IF(A271="","",IFERROR(INDEX(DECKS!$C$2:$C$1201,MATCH(A271,DECKS!$B$2:$B$1201,0)),IFERROR(TRIM(INDEX(COMPRAS!$I$2:$I$2001,MATCH(A271,COMPRAS!$L$2:$L$2001,0))),"(sem nome)")))</f>
        <v/>
      </c>
      <c r="C271" s="16" t="str">
        <f aca="false">IF(A271="","",SUMIFS(COMPRAS!$C$2:$C$2001,COMPRAS!$K$2:$K$2001,A271))</f>
        <v/>
      </c>
    </row>
    <row r="272" customFormat="false" ht="15" hidden="false" customHeight="false" outlineLevel="0" collapsed="false">
      <c r="A272" s="11" t="str">
        <f aca="false">IFERROR(INDEX(_AUX!$A$2:$A$3201,MATCH(ROW()-1,_AUX!$C$2:$C$3201,0)),"")</f>
        <v/>
      </c>
      <c r="B272" s="11" t="str">
        <f aca="false">IF(A272="","",IFERROR(INDEX(DECKS!$C$2:$C$1201,MATCH(A272,DECKS!$B$2:$B$1201,0)),IFERROR(TRIM(INDEX(COMPRAS!$I$2:$I$2001,MATCH(A272,COMPRAS!$L$2:$L$2001,0))),"(sem nome)")))</f>
        <v/>
      </c>
      <c r="C272" s="16" t="str">
        <f aca="false">IF(A272="","",SUMIFS(COMPRAS!$C$2:$C$2001,COMPRAS!$K$2:$K$2001,A272))</f>
        <v/>
      </c>
    </row>
    <row r="273" customFormat="false" ht="15" hidden="false" customHeight="false" outlineLevel="0" collapsed="false">
      <c r="A273" s="11" t="str">
        <f aca="false">IFERROR(INDEX(_AUX!$A$2:$A$3201,MATCH(ROW()-1,_AUX!$C$2:$C$3201,0)),"")</f>
        <v/>
      </c>
      <c r="B273" s="11" t="str">
        <f aca="false">IF(A273="","",IFERROR(INDEX(DECKS!$C$2:$C$1201,MATCH(A273,DECKS!$B$2:$B$1201,0)),IFERROR(TRIM(INDEX(COMPRAS!$I$2:$I$2001,MATCH(A273,COMPRAS!$L$2:$L$2001,0))),"(sem nome)")))</f>
        <v/>
      </c>
      <c r="C273" s="16" t="str">
        <f aca="false">IF(A273="","",SUMIFS(COMPRAS!$C$2:$C$2001,COMPRAS!$K$2:$K$2001,A273))</f>
        <v/>
      </c>
    </row>
    <row r="274" customFormat="false" ht="15" hidden="false" customHeight="false" outlineLevel="0" collapsed="false">
      <c r="A274" s="11" t="str">
        <f aca="false">IFERROR(INDEX(_AUX!$A$2:$A$3201,MATCH(ROW()-1,_AUX!$C$2:$C$3201,0)),"")</f>
        <v/>
      </c>
      <c r="B274" s="11" t="str">
        <f aca="false">IF(A274="","",IFERROR(INDEX(DECKS!$C$2:$C$1201,MATCH(A274,DECKS!$B$2:$B$1201,0)),IFERROR(TRIM(INDEX(COMPRAS!$I$2:$I$2001,MATCH(A274,COMPRAS!$L$2:$L$2001,0))),"(sem nome)")))</f>
        <v/>
      </c>
      <c r="C274" s="16" t="str">
        <f aca="false">IF(A274="","",SUMIFS(COMPRAS!$C$2:$C$2001,COMPRAS!$K$2:$K$2001,A274))</f>
        <v/>
      </c>
    </row>
    <row r="275" customFormat="false" ht="15" hidden="false" customHeight="false" outlineLevel="0" collapsed="false">
      <c r="A275" s="11" t="str">
        <f aca="false">IFERROR(INDEX(_AUX!$A$2:$A$3201,MATCH(ROW()-1,_AUX!$C$2:$C$3201,0)),"")</f>
        <v/>
      </c>
      <c r="B275" s="11" t="str">
        <f aca="false">IF(A275="","",IFERROR(INDEX(DECKS!$C$2:$C$1201,MATCH(A275,DECKS!$B$2:$B$1201,0)),IFERROR(TRIM(INDEX(COMPRAS!$I$2:$I$2001,MATCH(A275,COMPRAS!$L$2:$L$2001,0))),"(sem nome)")))</f>
        <v/>
      </c>
      <c r="C275" s="16" t="str">
        <f aca="false">IF(A275="","",SUMIFS(COMPRAS!$C$2:$C$2001,COMPRAS!$K$2:$K$2001,A275))</f>
        <v/>
      </c>
    </row>
    <row r="276" customFormat="false" ht="15" hidden="false" customHeight="false" outlineLevel="0" collapsed="false">
      <c r="A276" s="11" t="str">
        <f aca="false">IFERROR(INDEX(_AUX!$A$2:$A$3201,MATCH(ROW()-1,_AUX!$C$2:$C$3201,0)),"")</f>
        <v/>
      </c>
      <c r="B276" s="11" t="str">
        <f aca="false">IF(A276="","",IFERROR(INDEX(DECKS!$C$2:$C$1201,MATCH(A276,DECKS!$B$2:$B$1201,0)),IFERROR(TRIM(INDEX(COMPRAS!$I$2:$I$2001,MATCH(A276,COMPRAS!$L$2:$L$2001,0))),"(sem nome)")))</f>
        <v/>
      </c>
      <c r="C276" s="16" t="str">
        <f aca="false">IF(A276="","",SUMIFS(COMPRAS!$C$2:$C$2001,COMPRAS!$K$2:$K$2001,A276))</f>
        <v/>
      </c>
    </row>
    <row r="277" customFormat="false" ht="15" hidden="false" customHeight="false" outlineLevel="0" collapsed="false">
      <c r="A277" s="11" t="str">
        <f aca="false">IFERROR(INDEX(_AUX!$A$2:$A$3201,MATCH(ROW()-1,_AUX!$C$2:$C$3201,0)),"")</f>
        <v/>
      </c>
      <c r="B277" s="11" t="str">
        <f aca="false">IF(A277="","",IFERROR(INDEX(DECKS!$C$2:$C$1201,MATCH(A277,DECKS!$B$2:$B$1201,0)),IFERROR(TRIM(INDEX(COMPRAS!$I$2:$I$2001,MATCH(A277,COMPRAS!$L$2:$L$2001,0))),"(sem nome)")))</f>
        <v/>
      </c>
      <c r="C277" s="16" t="str">
        <f aca="false">IF(A277="","",SUMIFS(COMPRAS!$C$2:$C$2001,COMPRAS!$K$2:$K$2001,A277))</f>
        <v/>
      </c>
    </row>
    <row r="278" customFormat="false" ht="15" hidden="false" customHeight="false" outlineLevel="0" collapsed="false">
      <c r="A278" s="11" t="str">
        <f aca="false">IFERROR(INDEX(_AUX!$A$2:$A$3201,MATCH(ROW()-1,_AUX!$C$2:$C$3201,0)),"")</f>
        <v/>
      </c>
      <c r="B278" s="11" t="str">
        <f aca="false">IF(A278="","",IFERROR(INDEX(DECKS!$C$2:$C$1201,MATCH(A278,DECKS!$B$2:$B$1201,0)),IFERROR(TRIM(INDEX(COMPRAS!$I$2:$I$2001,MATCH(A278,COMPRAS!$L$2:$L$2001,0))),"(sem nome)")))</f>
        <v/>
      </c>
      <c r="C278" s="16" t="str">
        <f aca="false">IF(A278="","",SUMIFS(COMPRAS!$C$2:$C$2001,COMPRAS!$K$2:$K$2001,A278))</f>
        <v/>
      </c>
    </row>
    <row r="279" customFormat="false" ht="15" hidden="false" customHeight="false" outlineLevel="0" collapsed="false">
      <c r="A279" s="11" t="str">
        <f aca="false">IFERROR(INDEX(_AUX!$A$2:$A$3201,MATCH(ROW()-1,_AUX!$C$2:$C$3201,0)),"")</f>
        <v/>
      </c>
      <c r="B279" s="11" t="str">
        <f aca="false">IF(A279="","",IFERROR(INDEX(DECKS!$C$2:$C$1201,MATCH(A279,DECKS!$B$2:$B$1201,0)),IFERROR(TRIM(INDEX(COMPRAS!$I$2:$I$2001,MATCH(A279,COMPRAS!$L$2:$L$2001,0))),"(sem nome)")))</f>
        <v/>
      </c>
      <c r="C279" s="16" t="str">
        <f aca="false">IF(A279="","",SUMIFS(COMPRAS!$C$2:$C$2001,COMPRAS!$K$2:$K$2001,A279))</f>
        <v/>
      </c>
    </row>
    <row r="280" customFormat="false" ht="15" hidden="false" customHeight="false" outlineLevel="0" collapsed="false">
      <c r="A280" s="11" t="str">
        <f aca="false">IFERROR(INDEX(_AUX!$A$2:$A$3201,MATCH(ROW()-1,_AUX!$C$2:$C$3201,0)),"")</f>
        <v/>
      </c>
      <c r="B280" s="11" t="str">
        <f aca="false">IF(A280="","",IFERROR(INDEX(DECKS!$C$2:$C$1201,MATCH(A280,DECKS!$B$2:$B$1201,0)),IFERROR(TRIM(INDEX(COMPRAS!$I$2:$I$2001,MATCH(A280,COMPRAS!$L$2:$L$2001,0))),"(sem nome)")))</f>
        <v/>
      </c>
      <c r="C280" s="16" t="str">
        <f aca="false">IF(A280="","",SUMIFS(COMPRAS!$C$2:$C$2001,COMPRAS!$K$2:$K$2001,A280))</f>
        <v/>
      </c>
    </row>
    <row r="281" customFormat="false" ht="15" hidden="false" customHeight="false" outlineLevel="0" collapsed="false">
      <c r="A281" s="11" t="str">
        <f aca="false">IFERROR(INDEX(_AUX!$A$2:$A$3201,MATCH(ROW()-1,_AUX!$C$2:$C$3201,0)),"")</f>
        <v/>
      </c>
      <c r="B281" s="11" t="str">
        <f aca="false">IF(A281="","",IFERROR(INDEX(DECKS!$C$2:$C$1201,MATCH(A281,DECKS!$B$2:$B$1201,0)),IFERROR(TRIM(INDEX(COMPRAS!$I$2:$I$2001,MATCH(A281,COMPRAS!$L$2:$L$2001,0))),"(sem nome)")))</f>
        <v/>
      </c>
      <c r="C281" s="16" t="str">
        <f aca="false">IF(A281="","",SUMIFS(COMPRAS!$C$2:$C$2001,COMPRAS!$K$2:$K$2001,A281))</f>
        <v/>
      </c>
    </row>
    <row r="282" customFormat="false" ht="15" hidden="false" customHeight="false" outlineLevel="0" collapsed="false">
      <c r="A282" s="11" t="str">
        <f aca="false">IFERROR(INDEX(_AUX!$A$2:$A$3201,MATCH(ROW()-1,_AUX!$C$2:$C$3201,0)),"")</f>
        <v/>
      </c>
      <c r="B282" s="11" t="str">
        <f aca="false">IF(A282="","",IFERROR(INDEX(DECKS!$C$2:$C$1201,MATCH(A282,DECKS!$B$2:$B$1201,0)),IFERROR(TRIM(INDEX(COMPRAS!$I$2:$I$2001,MATCH(A282,COMPRAS!$L$2:$L$2001,0))),"(sem nome)")))</f>
        <v/>
      </c>
      <c r="C282" s="16" t="str">
        <f aca="false">IF(A282="","",SUMIFS(COMPRAS!$C$2:$C$2001,COMPRAS!$K$2:$K$2001,A282))</f>
        <v/>
      </c>
    </row>
    <row r="283" customFormat="false" ht="15" hidden="false" customHeight="false" outlineLevel="0" collapsed="false">
      <c r="A283" s="11" t="str">
        <f aca="false">IFERROR(INDEX(_AUX!$A$2:$A$3201,MATCH(ROW()-1,_AUX!$C$2:$C$3201,0)),"")</f>
        <v/>
      </c>
      <c r="B283" s="11" t="str">
        <f aca="false">IF(A283="","",IFERROR(INDEX(DECKS!$C$2:$C$1201,MATCH(A283,DECKS!$B$2:$B$1201,0)),IFERROR(TRIM(INDEX(COMPRAS!$I$2:$I$2001,MATCH(A283,COMPRAS!$L$2:$L$2001,0))),"(sem nome)")))</f>
        <v/>
      </c>
      <c r="C283" s="16" t="str">
        <f aca="false">IF(A283="","",SUMIFS(COMPRAS!$C$2:$C$2001,COMPRAS!$K$2:$K$2001,A283))</f>
        <v/>
      </c>
    </row>
    <row r="284" customFormat="false" ht="15" hidden="false" customHeight="false" outlineLevel="0" collapsed="false">
      <c r="A284" s="11" t="str">
        <f aca="false">IFERROR(INDEX(_AUX!$A$2:$A$3201,MATCH(ROW()-1,_AUX!$C$2:$C$3201,0)),"")</f>
        <v/>
      </c>
      <c r="B284" s="11" t="str">
        <f aca="false">IF(A284="","",IFERROR(INDEX(DECKS!$C$2:$C$1201,MATCH(A284,DECKS!$B$2:$B$1201,0)),IFERROR(TRIM(INDEX(COMPRAS!$I$2:$I$2001,MATCH(A284,COMPRAS!$L$2:$L$2001,0))),"(sem nome)")))</f>
        <v/>
      </c>
      <c r="C284" s="16" t="str">
        <f aca="false">IF(A284="","",SUMIFS(COMPRAS!$C$2:$C$2001,COMPRAS!$K$2:$K$2001,A284))</f>
        <v/>
      </c>
    </row>
    <row r="285" customFormat="false" ht="15" hidden="false" customHeight="false" outlineLevel="0" collapsed="false">
      <c r="A285" s="11" t="str">
        <f aca="false">IFERROR(INDEX(_AUX!$A$2:$A$3201,MATCH(ROW()-1,_AUX!$C$2:$C$3201,0)),"")</f>
        <v/>
      </c>
      <c r="B285" s="11" t="str">
        <f aca="false">IF(A285="","",IFERROR(INDEX(DECKS!$C$2:$C$1201,MATCH(A285,DECKS!$B$2:$B$1201,0)),IFERROR(TRIM(INDEX(COMPRAS!$I$2:$I$2001,MATCH(A285,COMPRAS!$L$2:$L$2001,0))),"(sem nome)")))</f>
        <v/>
      </c>
      <c r="C285" s="16" t="str">
        <f aca="false">IF(A285="","",SUMIFS(COMPRAS!$C$2:$C$2001,COMPRAS!$K$2:$K$2001,A285))</f>
        <v/>
      </c>
    </row>
    <row r="286" customFormat="false" ht="15" hidden="false" customHeight="false" outlineLevel="0" collapsed="false">
      <c r="A286" s="11" t="str">
        <f aca="false">IFERROR(INDEX(_AUX!$A$2:$A$3201,MATCH(ROW()-1,_AUX!$C$2:$C$3201,0)),"")</f>
        <v/>
      </c>
      <c r="B286" s="11" t="str">
        <f aca="false">IF(A286="","",IFERROR(INDEX(DECKS!$C$2:$C$1201,MATCH(A286,DECKS!$B$2:$B$1201,0)),IFERROR(TRIM(INDEX(COMPRAS!$I$2:$I$2001,MATCH(A286,COMPRAS!$L$2:$L$2001,0))),"(sem nome)")))</f>
        <v/>
      </c>
      <c r="C286" s="16" t="str">
        <f aca="false">IF(A286="","",SUMIFS(COMPRAS!$C$2:$C$2001,COMPRAS!$K$2:$K$2001,A286))</f>
        <v/>
      </c>
    </row>
    <row r="287" customFormat="false" ht="15" hidden="false" customHeight="false" outlineLevel="0" collapsed="false">
      <c r="A287" s="11" t="str">
        <f aca="false">IFERROR(INDEX(_AUX!$A$2:$A$3201,MATCH(ROW()-1,_AUX!$C$2:$C$3201,0)),"")</f>
        <v/>
      </c>
      <c r="B287" s="11" t="str">
        <f aca="false">IF(A287="","",IFERROR(INDEX(DECKS!$C$2:$C$1201,MATCH(A287,DECKS!$B$2:$B$1201,0)),IFERROR(TRIM(INDEX(COMPRAS!$I$2:$I$2001,MATCH(A287,COMPRAS!$L$2:$L$2001,0))),"(sem nome)")))</f>
        <v/>
      </c>
      <c r="C287" s="16" t="str">
        <f aca="false">IF(A287="","",SUMIFS(COMPRAS!$C$2:$C$2001,COMPRAS!$K$2:$K$2001,A287))</f>
        <v/>
      </c>
    </row>
    <row r="288" customFormat="false" ht="15" hidden="false" customHeight="false" outlineLevel="0" collapsed="false">
      <c r="A288" s="11" t="str">
        <f aca="false">IFERROR(INDEX(_AUX!$A$2:$A$3201,MATCH(ROW()-1,_AUX!$C$2:$C$3201,0)),"")</f>
        <v/>
      </c>
      <c r="B288" s="11" t="str">
        <f aca="false">IF(A288="","",IFERROR(INDEX(DECKS!$C$2:$C$1201,MATCH(A288,DECKS!$B$2:$B$1201,0)),IFERROR(TRIM(INDEX(COMPRAS!$I$2:$I$2001,MATCH(A288,COMPRAS!$L$2:$L$2001,0))),"(sem nome)")))</f>
        <v/>
      </c>
      <c r="C288" s="16" t="str">
        <f aca="false">IF(A288="","",SUMIFS(COMPRAS!$C$2:$C$2001,COMPRAS!$K$2:$K$2001,A288))</f>
        <v/>
      </c>
    </row>
    <row r="289" customFormat="false" ht="15" hidden="false" customHeight="false" outlineLevel="0" collapsed="false">
      <c r="A289" s="11" t="str">
        <f aca="false">IFERROR(INDEX(_AUX!$A$2:$A$3201,MATCH(ROW()-1,_AUX!$C$2:$C$3201,0)),"")</f>
        <v/>
      </c>
      <c r="B289" s="11" t="str">
        <f aca="false">IF(A289="","",IFERROR(INDEX(DECKS!$C$2:$C$1201,MATCH(A289,DECKS!$B$2:$B$1201,0)),IFERROR(TRIM(INDEX(COMPRAS!$I$2:$I$2001,MATCH(A289,COMPRAS!$L$2:$L$2001,0))),"(sem nome)")))</f>
        <v/>
      </c>
      <c r="C289" s="16" t="str">
        <f aca="false">IF(A289="","",SUMIFS(COMPRAS!$C$2:$C$2001,COMPRAS!$K$2:$K$2001,A289))</f>
        <v/>
      </c>
    </row>
    <row r="290" customFormat="false" ht="15" hidden="false" customHeight="false" outlineLevel="0" collapsed="false">
      <c r="A290" s="11" t="str">
        <f aca="false">IFERROR(INDEX(_AUX!$A$2:$A$3201,MATCH(ROW()-1,_AUX!$C$2:$C$3201,0)),"")</f>
        <v/>
      </c>
      <c r="B290" s="11" t="str">
        <f aca="false">IF(A290="","",IFERROR(INDEX(DECKS!$C$2:$C$1201,MATCH(A290,DECKS!$B$2:$B$1201,0)),IFERROR(TRIM(INDEX(COMPRAS!$I$2:$I$2001,MATCH(A290,COMPRAS!$L$2:$L$2001,0))),"(sem nome)")))</f>
        <v/>
      </c>
      <c r="C290" s="16" t="str">
        <f aca="false">IF(A290="","",SUMIFS(COMPRAS!$C$2:$C$2001,COMPRAS!$K$2:$K$2001,A290))</f>
        <v/>
      </c>
    </row>
    <row r="291" customFormat="false" ht="15" hidden="false" customHeight="false" outlineLevel="0" collapsed="false">
      <c r="A291" s="11" t="str">
        <f aca="false">IFERROR(INDEX(_AUX!$A$2:$A$3201,MATCH(ROW()-1,_AUX!$C$2:$C$3201,0)),"")</f>
        <v/>
      </c>
      <c r="B291" s="11" t="str">
        <f aca="false">IF(A291="","",IFERROR(INDEX(DECKS!$C$2:$C$1201,MATCH(A291,DECKS!$B$2:$B$1201,0)),IFERROR(TRIM(INDEX(COMPRAS!$I$2:$I$2001,MATCH(A291,COMPRAS!$L$2:$L$2001,0))),"(sem nome)")))</f>
        <v/>
      </c>
      <c r="C291" s="16" t="str">
        <f aca="false">IF(A291="","",SUMIFS(COMPRAS!$C$2:$C$2001,COMPRAS!$K$2:$K$2001,A291))</f>
        <v/>
      </c>
    </row>
    <row r="292" customFormat="false" ht="15" hidden="false" customHeight="false" outlineLevel="0" collapsed="false">
      <c r="A292" s="11" t="str">
        <f aca="false">IFERROR(INDEX(_AUX!$A$2:$A$3201,MATCH(ROW()-1,_AUX!$C$2:$C$3201,0)),"")</f>
        <v/>
      </c>
      <c r="B292" s="11" t="str">
        <f aca="false">IF(A292="","",IFERROR(INDEX(DECKS!$C$2:$C$1201,MATCH(A292,DECKS!$B$2:$B$1201,0)),IFERROR(TRIM(INDEX(COMPRAS!$I$2:$I$2001,MATCH(A292,COMPRAS!$L$2:$L$2001,0))),"(sem nome)")))</f>
        <v/>
      </c>
      <c r="C292" s="16" t="str">
        <f aca="false">IF(A292="","",SUMIFS(COMPRAS!$C$2:$C$2001,COMPRAS!$K$2:$K$2001,A292))</f>
        <v/>
      </c>
    </row>
    <row r="293" customFormat="false" ht="15" hidden="false" customHeight="false" outlineLevel="0" collapsed="false">
      <c r="A293" s="11" t="str">
        <f aca="false">IFERROR(INDEX(_AUX!$A$2:$A$3201,MATCH(ROW()-1,_AUX!$C$2:$C$3201,0)),"")</f>
        <v/>
      </c>
      <c r="B293" s="11" t="str">
        <f aca="false">IF(A293="","",IFERROR(INDEX(DECKS!$C$2:$C$1201,MATCH(A293,DECKS!$B$2:$B$1201,0)),IFERROR(TRIM(INDEX(COMPRAS!$I$2:$I$2001,MATCH(A293,COMPRAS!$L$2:$L$2001,0))),"(sem nome)")))</f>
        <v/>
      </c>
      <c r="C293" s="16" t="str">
        <f aca="false">IF(A293="","",SUMIFS(COMPRAS!$C$2:$C$2001,COMPRAS!$K$2:$K$2001,A293))</f>
        <v/>
      </c>
    </row>
    <row r="294" customFormat="false" ht="15" hidden="false" customHeight="false" outlineLevel="0" collapsed="false">
      <c r="A294" s="11" t="str">
        <f aca="false">IFERROR(INDEX(_AUX!$A$2:$A$3201,MATCH(ROW()-1,_AUX!$C$2:$C$3201,0)),"")</f>
        <v/>
      </c>
      <c r="B294" s="11" t="str">
        <f aca="false">IF(A294="","",IFERROR(INDEX(DECKS!$C$2:$C$1201,MATCH(A294,DECKS!$B$2:$B$1201,0)),IFERROR(TRIM(INDEX(COMPRAS!$I$2:$I$2001,MATCH(A294,COMPRAS!$L$2:$L$2001,0))),"(sem nome)")))</f>
        <v/>
      </c>
      <c r="C294" s="16" t="str">
        <f aca="false">IF(A294="","",SUMIFS(COMPRAS!$C$2:$C$2001,COMPRAS!$K$2:$K$2001,A294))</f>
        <v/>
      </c>
    </row>
    <row r="295" customFormat="false" ht="15" hidden="false" customHeight="false" outlineLevel="0" collapsed="false">
      <c r="A295" s="11" t="str">
        <f aca="false">IFERROR(INDEX(_AUX!$A$2:$A$3201,MATCH(ROW()-1,_AUX!$C$2:$C$3201,0)),"")</f>
        <v/>
      </c>
      <c r="B295" s="11" t="str">
        <f aca="false">IF(A295="","",IFERROR(INDEX(DECKS!$C$2:$C$1201,MATCH(A295,DECKS!$B$2:$B$1201,0)),IFERROR(TRIM(INDEX(COMPRAS!$I$2:$I$2001,MATCH(A295,COMPRAS!$L$2:$L$2001,0))),"(sem nome)")))</f>
        <v/>
      </c>
      <c r="C295" s="16" t="str">
        <f aca="false">IF(A295="","",SUMIFS(COMPRAS!$C$2:$C$2001,COMPRAS!$K$2:$K$2001,A295))</f>
        <v/>
      </c>
    </row>
    <row r="296" customFormat="false" ht="15" hidden="false" customHeight="false" outlineLevel="0" collapsed="false">
      <c r="A296" s="11" t="str">
        <f aca="false">IFERROR(INDEX(_AUX!$A$2:$A$3201,MATCH(ROW()-1,_AUX!$C$2:$C$3201,0)),"")</f>
        <v/>
      </c>
      <c r="B296" s="11" t="str">
        <f aca="false">IF(A296="","",IFERROR(INDEX(DECKS!$C$2:$C$1201,MATCH(A296,DECKS!$B$2:$B$1201,0)),IFERROR(TRIM(INDEX(COMPRAS!$I$2:$I$2001,MATCH(A296,COMPRAS!$L$2:$L$2001,0))),"(sem nome)")))</f>
        <v/>
      </c>
      <c r="C296" s="16" t="str">
        <f aca="false">IF(A296="","",SUMIFS(COMPRAS!$C$2:$C$2001,COMPRAS!$K$2:$K$2001,A296))</f>
        <v/>
      </c>
    </row>
    <row r="297" customFormat="false" ht="15" hidden="false" customHeight="false" outlineLevel="0" collapsed="false">
      <c r="A297" s="11" t="str">
        <f aca="false">IFERROR(INDEX(_AUX!$A$2:$A$3201,MATCH(ROW()-1,_AUX!$C$2:$C$3201,0)),"")</f>
        <v/>
      </c>
      <c r="B297" s="11" t="str">
        <f aca="false">IF(A297="","",IFERROR(INDEX(DECKS!$C$2:$C$1201,MATCH(A297,DECKS!$B$2:$B$1201,0)),IFERROR(TRIM(INDEX(COMPRAS!$I$2:$I$2001,MATCH(A297,COMPRAS!$L$2:$L$2001,0))),"(sem nome)")))</f>
        <v/>
      </c>
      <c r="C297" s="16" t="str">
        <f aca="false">IF(A297="","",SUMIFS(COMPRAS!$C$2:$C$2001,COMPRAS!$K$2:$K$2001,A297))</f>
        <v/>
      </c>
    </row>
    <row r="298" customFormat="false" ht="15" hidden="false" customHeight="false" outlineLevel="0" collapsed="false">
      <c r="A298" s="11" t="str">
        <f aca="false">IFERROR(INDEX(_AUX!$A$2:$A$3201,MATCH(ROW()-1,_AUX!$C$2:$C$3201,0)),"")</f>
        <v/>
      </c>
      <c r="B298" s="11" t="str">
        <f aca="false">IF(A298="","",IFERROR(INDEX(DECKS!$C$2:$C$1201,MATCH(A298,DECKS!$B$2:$B$1201,0)),IFERROR(TRIM(INDEX(COMPRAS!$I$2:$I$2001,MATCH(A298,COMPRAS!$L$2:$L$2001,0))),"(sem nome)")))</f>
        <v/>
      </c>
      <c r="C298" s="16" t="str">
        <f aca="false">IF(A298="","",SUMIFS(COMPRAS!$C$2:$C$2001,COMPRAS!$K$2:$K$2001,A298))</f>
        <v/>
      </c>
    </row>
    <row r="299" customFormat="false" ht="15" hidden="false" customHeight="false" outlineLevel="0" collapsed="false">
      <c r="A299" s="11" t="str">
        <f aca="false">IFERROR(INDEX(_AUX!$A$2:$A$3201,MATCH(ROW()-1,_AUX!$C$2:$C$3201,0)),"")</f>
        <v/>
      </c>
      <c r="B299" s="11" t="str">
        <f aca="false">IF(A299="","",IFERROR(INDEX(DECKS!$C$2:$C$1201,MATCH(A299,DECKS!$B$2:$B$1201,0)),IFERROR(TRIM(INDEX(COMPRAS!$I$2:$I$2001,MATCH(A299,COMPRAS!$L$2:$L$2001,0))),"(sem nome)")))</f>
        <v/>
      </c>
      <c r="C299" s="16" t="str">
        <f aca="false">IF(A299="","",SUMIFS(COMPRAS!$C$2:$C$2001,COMPRAS!$K$2:$K$2001,A299))</f>
        <v/>
      </c>
    </row>
    <row r="300" customFormat="false" ht="15" hidden="false" customHeight="false" outlineLevel="0" collapsed="false">
      <c r="A300" s="11" t="str">
        <f aca="false">IFERROR(INDEX(_AUX!$A$2:$A$3201,MATCH(ROW()-1,_AUX!$C$2:$C$3201,0)),"")</f>
        <v/>
      </c>
      <c r="B300" s="11" t="str">
        <f aca="false">IF(A300="","",IFERROR(INDEX(DECKS!$C$2:$C$1201,MATCH(A300,DECKS!$B$2:$B$1201,0)),IFERROR(TRIM(INDEX(COMPRAS!$I$2:$I$2001,MATCH(A300,COMPRAS!$L$2:$L$2001,0))),"(sem nome)")))</f>
        <v/>
      </c>
      <c r="C300" s="16" t="str">
        <f aca="false">IF(A300="","",SUMIFS(COMPRAS!$C$2:$C$2001,COMPRAS!$K$2:$K$2001,A300))</f>
        <v/>
      </c>
    </row>
    <row r="301" customFormat="false" ht="15" hidden="false" customHeight="false" outlineLevel="0" collapsed="false">
      <c r="A301" s="11" t="str">
        <f aca="false">IFERROR(INDEX(_AUX!$A$2:$A$3201,MATCH(ROW()-1,_AUX!$C$2:$C$3201,0)),"")</f>
        <v/>
      </c>
      <c r="B301" s="11" t="str">
        <f aca="false">IF(A301="","",IFERROR(INDEX(DECKS!$C$2:$C$1201,MATCH(A301,DECKS!$B$2:$B$1201,0)),IFERROR(TRIM(INDEX(COMPRAS!$I$2:$I$2001,MATCH(A301,COMPRAS!$L$2:$L$2001,0))),"(sem nome)")))</f>
        <v/>
      </c>
      <c r="C301" s="16" t="str">
        <f aca="false">IF(A301="","",SUMIFS(COMPRAS!$C$2:$C$2001,COMPRAS!$K$2:$K$2001,A301))</f>
        <v/>
      </c>
    </row>
    <row r="302" customFormat="false" ht="15" hidden="false" customHeight="false" outlineLevel="0" collapsed="false">
      <c r="A302" s="11" t="str">
        <f aca="false">IFERROR(INDEX(_AUX!$A$2:$A$3201,MATCH(ROW()-1,_AUX!$C$2:$C$3201,0)),"")</f>
        <v/>
      </c>
      <c r="B302" s="11" t="str">
        <f aca="false">IF(A302="","",IFERROR(INDEX(DECKS!$C$2:$C$1201,MATCH(A302,DECKS!$B$2:$B$1201,0)),IFERROR(TRIM(INDEX(COMPRAS!$I$2:$I$2001,MATCH(A302,COMPRAS!$L$2:$L$2001,0))),"(sem nome)")))</f>
        <v/>
      </c>
      <c r="C302" s="16" t="str">
        <f aca="false">IF(A302="","",SUMIFS(COMPRAS!$C$2:$C$2001,COMPRAS!$K$2:$K$2001,A302))</f>
        <v/>
      </c>
    </row>
    <row r="303" customFormat="false" ht="15" hidden="false" customHeight="false" outlineLevel="0" collapsed="false">
      <c r="A303" s="11" t="str">
        <f aca="false">IFERROR(INDEX(_AUX!$A$2:$A$3201,MATCH(ROW()-1,_AUX!$C$2:$C$3201,0)),"")</f>
        <v/>
      </c>
      <c r="B303" s="11" t="str">
        <f aca="false">IF(A303="","",IFERROR(INDEX(DECKS!$C$2:$C$1201,MATCH(A303,DECKS!$B$2:$B$1201,0)),IFERROR(TRIM(INDEX(COMPRAS!$I$2:$I$2001,MATCH(A303,COMPRAS!$L$2:$L$2001,0))),"(sem nome)")))</f>
        <v/>
      </c>
      <c r="C303" s="16" t="str">
        <f aca="false">IF(A303="","",SUMIFS(COMPRAS!$C$2:$C$2001,COMPRAS!$K$2:$K$2001,A303))</f>
        <v/>
      </c>
    </row>
    <row r="304" customFormat="false" ht="15" hidden="false" customHeight="false" outlineLevel="0" collapsed="false">
      <c r="A304" s="11" t="str">
        <f aca="false">IFERROR(INDEX(_AUX!$A$2:$A$3201,MATCH(ROW()-1,_AUX!$C$2:$C$3201,0)),"")</f>
        <v/>
      </c>
      <c r="B304" s="11" t="str">
        <f aca="false">IF(A304="","",IFERROR(INDEX(DECKS!$C$2:$C$1201,MATCH(A304,DECKS!$B$2:$B$1201,0)),IFERROR(TRIM(INDEX(COMPRAS!$I$2:$I$2001,MATCH(A304,COMPRAS!$L$2:$L$2001,0))),"(sem nome)")))</f>
        <v/>
      </c>
      <c r="C304" s="16" t="str">
        <f aca="false">IF(A304="","",SUMIFS(COMPRAS!$C$2:$C$2001,COMPRAS!$K$2:$K$2001,A304))</f>
        <v/>
      </c>
    </row>
    <row r="305" customFormat="false" ht="15" hidden="false" customHeight="false" outlineLevel="0" collapsed="false">
      <c r="A305" s="11" t="str">
        <f aca="false">IFERROR(INDEX(_AUX!$A$2:$A$3201,MATCH(ROW()-1,_AUX!$C$2:$C$3201,0)),"")</f>
        <v/>
      </c>
      <c r="B305" s="11" t="str">
        <f aca="false">IF(A305="","",IFERROR(INDEX(DECKS!$C$2:$C$1201,MATCH(A305,DECKS!$B$2:$B$1201,0)),IFERROR(TRIM(INDEX(COMPRAS!$I$2:$I$2001,MATCH(A305,COMPRAS!$L$2:$L$2001,0))),"(sem nome)")))</f>
        <v/>
      </c>
      <c r="C305" s="16" t="str">
        <f aca="false">IF(A305="","",SUMIFS(COMPRAS!$C$2:$C$2001,COMPRAS!$K$2:$K$2001,A305))</f>
        <v/>
      </c>
    </row>
    <row r="306" customFormat="false" ht="15" hidden="false" customHeight="false" outlineLevel="0" collapsed="false">
      <c r="A306" s="11" t="str">
        <f aca="false">IFERROR(INDEX(_AUX!$A$2:$A$3201,MATCH(ROW()-1,_AUX!$C$2:$C$3201,0)),"")</f>
        <v/>
      </c>
      <c r="B306" s="11" t="str">
        <f aca="false">IF(A306="","",IFERROR(INDEX(DECKS!$C$2:$C$1201,MATCH(A306,DECKS!$B$2:$B$1201,0)),IFERROR(TRIM(INDEX(COMPRAS!$I$2:$I$2001,MATCH(A306,COMPRAS!$L$2:$L$2001,0))),"(sem nome)")))</f>
        <v/>
      </c>
      <c r="C306" s="16" t="str">
        <f aca="false">IF(A306="","",SUMIFS(COMPRAS!$C$2:$C$2001,COMPRAS!$K$2:$K$2001,A306))</f>
        <v/>
      </c>
    </row>
    <row r="307" customFormat="false" ht="15" hidden="false" customHeight="false" outlineLevel="0" collapsed="false">
      <c r="A307" s="11" t="str">
        <f aca="false">IFERROR(INDEX(_AUX!$A$2:$A$3201,MATCH(ROW()-1,_AUX!$C$2:$C$3201,0)),"")</f>
        <v/>
      </c>
      <c r="B307" s="11" t="str">
        <f aca="false">IF(A307="","",IFERROR(INDEX(DECKS!$C$2:$C$1201,MATCH(A307,DECKS!$B$2:$B$1201,0)),IFERROR(TRIM(INDEX(COMPRAS!$I$2:$I$2001,MATCH(A307,COMPRAS!$L$2:$L$2001,0))),"(sem nome)")))</f>
        <v/>
      </c>
      <c r="C307" s="16" t="str">
        <f aca="false">IF(A307="","",SUMIFS(COMPRAS!$C$2:$C$2001,COMPRAS!$K$2:$K$2001,A307))</f>
        <v/>
      </c>
    </row>
    <row r="308" customFormat="false" ht="15" hidden="false" customHeight="false" outlineLevel="0" collapsed="false">
      <c r="A308" s="11" t="str">
        <f aca="false">IFERROR(INDEX(_AUX!$A$2:$A$3201,MATCH(ROW()-1,_AUX!$C$2:$C$3201,0)),"")</f>
        <v/>
      </c>
      <c r="B308" s="11" t="str">
        <f aca="false">IF(A308="","",IFERROR(INDEX(DECKS!$C$2:$C$1201,MATCH(A308,DECKS!$B$2:$B$1201,0)),IFERROR(TRIM(INDEX(COMPRAS!$I$2:$I$2001,MATCH(A308,COMPRAS!$L$2:$L$2001,0))),"(sem nome)")))</f>
        <v/>
      </c>
      <c r="C308" s="16" t="str">
        <f aca="false">IF(A308="","",SUMIFS(COMPRAS!$C$2:$C$2001,COMPRAS!$K$2:$K$2001,A308))</f>
        <v/>
      </c>
    </row>
    <row r="309" customFormat="false" ht="15" hidden="false" customHeight="false" outlineLevel="0" collapsed="false">
      <c r="A309" s="11" t="str">
        <f aca="false">IFERROR(INDEX(_AUX!$A$2:$A$3201,MATCH(ROW()-1,_AUX!$C$2:$C$3201,0)),"")</f>
        <v/>
      </c>
      <c r="B309" s="11" t="str">
        <f aca="false">IF(A309="","",IFERROR(INDEX(DECKS!$C$2:$C$1201,MATCH(A309,DECKS!$B$2:$B$1201,0)),IFERROR(TRIM(INDEX(COMPRAS!$I$2:$I$2001,MATCH(A309,COMPRAS!$L$2:$L$2001,0))),"(sem nome)")))</f>
        <v/>
      </c>
      <c r="C309" s="16" t="str">
        <f aca="false">IF(A309="","",SUMIFS(COMPRAS!$C$2:$C$2001,COMPRAS!$K$2:$K$2001,A309))</f>
        <v/>
      </c>
    </row>
    <row r="310" customFormat="false" ht="15" hidden="false" customHeight="false" outlineLevel="0" collapsed="false">
      <c r="A310" s="11" t="str">
        <f aca="false">IFERROR(INDEX(_AUX!$A$2:$A$3201,MATCH(ROW()-1,_AUX!$C$2:$C$3201,0)),"")</f>
        <v/>
      </c>
      <c r="B310" s="11" t="str">
        <f aca="false">IF(A310="","",IFERROR(INDEX(DECKS!$C$2:$C$1201,MATCH(A310,DECKS!$B$2:$B$1201,0)),IFERROR(TRIM(INDEX(COMPRAS!$I$2:$I$2001,MATCH(A310,COMPRAS!$L$2:$L$2001,0))),"(sem nome)")))</f>
        <v/>
      </c>
      <c r="C310" s="16" t="str">
        <f aca="false">IF(A310="","",SUMIFS(COMPRAS!$C$2:$C$2001,COMPRAS!$K$2:$K$2001,A310))</f>
        <v/>
      </c>
    </row>
    <row r="311" customFormat="false" ht="15" hidden="false" customHeight="false" outlineLevel="0" collapsed="false">
      <c r="A311" s="11" t="str">
        <f aca="false">IFERROR(INDEX(_AUX!$A$2:$A$3201,MATCH(ROW()-1,_AUX!$C$2:$C$3201,0)),"")</f>
        <v/>
      </c>
      <c r="B311" s="11" t="str">
        <f aca="false">IF(A311="","",IFERROR(INDEX(DECKS!$C$2:$C$1201,MATCH(A311,DECKS!$B$2:$B$1201,0)),IFERROR(TRIM(INDEX(COMPRAS!$I$2:$I$2001,MATCH(A311,COMPRAS!$L$2:$L$2001,0))),"(sem nome)")))</f>
        <v/>
      </c>
      <c r="C311" s="16" t="str">
        <f aca="false">IF(A311="","",SUMIFS(COMPRAS!$C$2:$C$2001,COMPRAS!$K$2:$K$2001,A311))</f>
        <v/>
      </c>
    </row>
    <row r="312" customFormat="false" ht="15" hidden="false" customHeight="false" outlineLevel="0" collapsed="false">
      <c r="A312" s="11" t="str">
        <f aca="false">IFERROR(INDEX(_AUX!$A$2:$A$3201,MATCH(ROW()-1,_AUX!$C$2:$C$3201,0)),"")</f>
        <v/>
      </c>
      <c r="B312" s="11" t="str">
        <f aca="false">IF(A312="","",IFERROR(INDEX(DECKS!$C$2:$C$1201,MATCH(A312,DECKS!$B$2:$B$1201,0)),IFERROR(TRIM(INDEX(COMPRAS!$I$2:$I$2001,MATCH(A312,COMPRAS!$L$2:$L$2001,0))),"(sem nome)")))</f>
        <v/>
      </c>
      <c r="C312" s="16" t="str">
        <f aca="false">IF(A312="","",SUMIFS(COMPRAS!$C$2:$C$2001,COMPRAS!$K$2:$K$2001,A312))</f>
        <v/>
      </c>
    </row>
    <row r="313" customFormat="false" ht="15" hidden="false" customHeight="false" outlineLevel="0" collapsed="false">
      <c r="A313" s="11" t="str">
        <f aca="false">IFERROR(INDEX(_AUX!$A$2:$A$3201,MATCH(ROW()-1,_AUX!$C$2:$C$3201,0)),"")</f>
        <v/>
      </c>
      <c r="B313" s="11" t="str">
        <f aca="false">IF(A313="","",IFERROR(INDEX(DECKS!$C$2:$C$1201,MATCH(A313,DECKS!$B$2:$B$1201,0)),IFERROR(TRIM(INDEX(COMPRAS!$I$2:$I$2001,MATCH(A313,COMPRAS!$L$2:$L$2001,0))),"(sem nome)")))</f>
        <v/>
      </c>
      <c r="C313" s="16" t="str">
        <f aca="false">IF(A313="","",SUMIFS(COMPRAS!$C$2:$C$2001,COMPRAS!$K$2:$K$2001,A313))</f>
        <v/>
      </c>
    </row>
    <row r="314" customFormat="false" ht="15" hidden="false" customHeight="false" outlineLevel="0" collapsed="false">
      <c r="A314" s="11" t="str">
        <f aca="false">IFERROR(INDEX(_AUX!$A$2:$A$3201,MATCH(ROW()-1,_AUX!$C$2:$C$3201,0)),"")</f>
        <v/>
      </c>
      <c r="B314" s="11" t="str">
        <f aca="false">IF(A314="","",IFERROR(INDEX(DECKS!$C$2:$C$1201,MATCH(A314,DECKS!$B$2:$B$1201,0)),IFERROR(TRIM(INDEX(COMPRAS!$I$2:$I$2001,MATCH(A314,COMPRAS!$L$2:$L$2001,0))),"(sem nome)")))</f>
        <v/>
      </c>
      <c r="C314" s="16" t="str">
        <f aca="false">IF(A314="","",SUMIFS(COMPRAS!$C$2:$C$2001,COMPRAS!$K$2:$K$2001,A314))</f>
        <v/>
      </c>
    </row>
    <row r="315" customFormat="false" ht="15" hidden="false" customHeight="false" outlineLevel="0" collapsed="false">
      <c r="A315" s="11" t="str">
        <f aca="false">IFERROR(INDEX(_AUX!$A$2:$A$3201,MATCH(ROW()-1,_AUX!$C$2:$C$3201,0)),"")</f>
        <v/>
      </c>
      <c r="B315" s="11" t="str">
        <f aca="false">IF(A315="","",IFERROR(INDEX(DECKS!$C$2:$C$1201,MATCH(A315,DECKS!$B$2:$B$1201,0)),IFERROR(TRIM(INDEX(COMPRAS!$I$2:$I$2001,MATCH(A315,COMPRAS!$L$2:$L$2001,0))),"(sem nome)")))</f>
        <v/>
      </c>
      <c r="C315" s="16" t="str">
        <f aca="false">IF(A315="","",SUMIFS(COMPRAS!$C$2:$C$2001,COMPRAS!$K$2:$K$2001,A315))</f>
        <v/>
      </c>
    </row>
    <row r="316" customFormat="false" ht="15" hidden="false" customHeight="false" outlineLevel="0" collapsed="false">
      <c r="A316" s="11" t="str">
        <f aca="false">IFERROR(INDEX(_AUX!$A$2:$A$3201,MATCH(ROW()-1,_AUX!$C$2:$C$3201,0)),"")</f>
        <v/>
      </c>
      <c r="B316" s="11" t="str">
        <f aca="false">IF(A316="","",IFERROR(INDEX(DECKS!$C$2:$C$1201,MATCH(A316,DECKS!$B$2:$B$1201,0)),IFERROR(TRIM(INDEX(COMPRAS!$I$2:$I$2001,MATCH(A316,COMPRAS!$L$2:$L$2001,0))),"(sem nome)")))</f>
        <v/>
      </c>
      <c r="C316" s="16" t="str">
        <f aca="false">IF(A316="","",SUMIFS(COMPRAS!$C$2:$C$2001,COMPRAS!$K$2:$K$2001,A316))</f>
        <v/>
      </c>
    </row>
    <row r="317" customFormat="false" ht="15" hidden="false" customHeight="false" outlineLevel="0" collapsed="false">
      <c r="A317" s="11" t="str">
        <f aca="false">IFERROR(INDEX(_AUX!$A$2:$A$3201,MATCH(ROW()-1,_AUX!$C$2:$C$3201,0)),"")</f>
        <v/>
      </c>
      <c r="B317" s="11" t="str">
        <f aca="false">IF(A317="","",IFERROR(INDEX(DECKS!$C$2:$C$1201,MATCH(A317,DECKS!$B$2:$B$1201,0)),IFERROR(TRIM(INDEX(COMPRAS!$I$2:$I$2001,MATCH(A317,COMPRAS!$L$2:$L$2001,0))),"(sem nome)")))</f>
        <v/>
      </c>
      <c r="C317" s="16" t="str">
        <f aca="false">IF(A317="","",SUMIFS(COMPRAS!$C$2:$C$2001,COMPRAS!$K$2:$K$2001,A317))</f>
        <v/>
      </c>
    </row>
    <row r="318" customFormat="false" ht="15" hidden="false" customHeight="false" outlineLevel="0" collapsed="false">
      <c r="A318" s="11" t="str">
        <f aca="false">IFERROR(INDEX(_AUX!$A$2:$A$3201,MATCH(ROW()-1,_AUX!$C$2:$C$3201,0)),"")</f>
        <v/>
      </c>
      <c r="B318" s="11" t="str">
        <f aca="false">IF(A318="","",IFERROR(INDEX(DECKS!$C$2:$C$1201,MATCH(A318,DECKS!$B$2:$B$1201,0)),IFERROR(TRIM(INDEX(COMPRAS!$I$2:$I$2001,MATCH(A318,COMPRAS!$L$2:$L$2001,0))),"(sem nome)")))</f>
        <v/>
      </c>
      <c r="C318" s="16" t="str">
        <f aca="false">IF(A318="","",SUMIFS(COMPRAS!$C$2:$C$2001,COMPRAS!$K$2:$K$2001,A318))</f>
        <v/>
      </c>
    </row>
    <row r="319" customFormat="false" ht="15" hidden="false" customHeight="false" outlineLevel="0" collapsed="false">
      <c r="A319" s="11" t="str">
        <f aca="false">IFERROR(INDEX(_AUX!$A$2:$A$3201,MATCH(ROW()-1,_AUX!$C$2:$C$3201,0)),"")</f>
        <v/>
      </c>
      <c r="B319" s="11" t="str">
        <f aca="false">IF(A319="","",IFERROR(INDEX(DECKS!$C$2:$C$1201,MATCH(A319,DECKS!$B$2:$B$1201,0)),IFERROR(TRIM(INDEX(COMPRAS!$I$2:$I$2001,MATCH(A319,COMPRAS!$L$2:$L$2001,0))),"(sem nome)")))</f>
        <v/>
      </c>
      <c r="C319" s="16" t="str">
        <f aca="false">IF(A319="","",SUMIFS(COMPRAS!$C$2:$C$2001,COMPRAS!$K$2:$K$2001,A319))</f>
        <v/>
      </c>
    </row>
    <row r="320" customFormat="false" ht="15" hidden="false" customHeight="false" outlineLevel="0" collapsed="false">
      <c r="A320" s="11" t="str">
        <f aca="false">IFERROR(INDEX(_AUX!$A$2:$A$3201,MATCH(ROW()-1,_AUX!$C$2:$C$3201,0)),"")</f>
        <v/>
      </c>
      <c r="B320" s="11" t="str">
        <f aca="false">IF(A320="","",IFERROR(INDEX(DECKS!$C$2:$C$1201,MATCH(A320,DECKS!$B$2:$B$1201,0)),IFERROR(TRIM(INDEX(COMPRAS!$I$2:$I$2001,MATCH(A320,COMPRAS!$L$2:$L$2001,0))),"(sem nome)")))</f>
        <v/>
      </c>
      <c r="C320" s="16" t="str">
        <f aca="false">IF(A320="","",SUMIFS(COMPRAS!$C$2:$C$2001,COMPRAS!$K$2:$K$2001,A320))</f>
        <v/>
      </c>
    </row>
    <row r="321" customFormat="false" ht="15" hidden="false" customHeight="false" outlineLevel="0" collapsed="false">
      <c r="A321" s="11" t="str">
        <f aca="false">IFERROR(INDEX(_AUX!$A$2:$A$3201,MATCH(ROW()-1,_AUX!$C$2:$C$3201,0)),"")</f>
        <v/>
      </c>
      <c r="B321" s="11" t="str">
        <f aca="false">IF(A321="","",IFERROR(INDEX(DECKS!$C$2:$C$1201,MATCH(A321,DECKS!$B$2:$B$1201,0)),IFERROR(TRIM(INDEX(COMPRAS!$I$2:$I$2001,MATCH(A321,COMPRAS!$L$2:$L$2001,0))),"(sem nome)")))</f>
        <v/>
      </c>
      <c r="C321" s="16" t="str">
        <f aca="false">IF(A321="","",SUMIFS(COMPRAS!$C$2:$C$2001,COMPRAS!$K$2:$K$2001,A321))</f>
        <v/>
      </c>
    </row>
    <row r="322" customFormat="false" ht="15" hidden="false" customHeight="false" outlineLevel="0" collapsed="false">
      <c r="A322" s="11" t="str">
        <f aca="false">IFERROR(INDEX(_AUX!$A$2:$A$3201,MATCH(ROW()-1,_AUX!$C$2:$C$3201,0)),"")</f>
        <v/>
      </c>
      <c r="B322" s="11" t="str">
        <f aca="false">IF(A322="","",IFERROR(INDEX(DECKS!$C$2:$C$1201,MATCH(A322,DECKS!$B$2:$B$1201,0)),IFERROR(TRIM(INDEX(COMPRAS!$I$2:$I$2001,MATCH(A322,COMPRAS!$L$2:$L$2001,0))),"(sem nome)")))</f>
        <v/>
      </c>
      <c r="C322" s="16" t="str">
        <f aca="false">IF(A322="","",SUMIFS(COMPRAS!$C$2:$C$2001,COMPRAS!$K$2:$K$2001,A322))</f>
        <v/>
      </c>
    </row>
    <row r="323" customFormat="false" ht="15" hidden="false" customHeight="false" outlineLevel="0" collapsed="false">
      <c r="A323" s="11" t="str">
        <f aca="false">IFERROR(INDEX(_AUX!$A$2:$A$3201,MATCH(ROW()-1,_AUX!$C$2:$C$3201,0)),"")</f>
        <v/>
      </c>
      <c r="B323" s="11" t="str">
        <f aca="false">IF(A323="","",IFERROR(INDEX(DECKS!$C$2:$C$1201,MATCH(A323,DECKS!$B$2:$B$1201,0)),IFERROR(TRIM(INDEX(COMPRAS!$I$2:$I$2001,MATCH(A323,COMPRAS!$L$2:$L$2001,0))),"(sem nome)")))</f>
        <v/>
      </c>
      <c r="C323" s="16" t="str">
        <f aca="false">IF(A323="","",SUMIFS(COMPRAS!$C$2:$C$2001,COMPRAS!$K$2:$K$2001,A323))</f>
        <v/>
      </c>
    </row>
    <row r="324" customFormat="false" ht="15" hidden="false" customHeight="false" outlineLevel="0" collapsed="false">
      <c r="A324" s="11" t="str">
        <f aca="false">IFERROR(INDEX(_AUX!$A$2:$A$3201,MATCH(ROW()-1,_AUX!$C$2:$C$3201,0)),"")</f>
        <v/>
      </c>
      <c r="B324" s="11" t="str">
        <f aca="false">IF(A324="","",IFERROR(INDEX(DECKS!$C$2:$C$1201,MATCH(A324,DECKS!$B$2:$B$1201,0)),IFERROR(TRIM(INDEX(COMPRAS!$I$2:$I$2001,MATCH(A324,COMPRAS!$L$2:$L$2001,0))),"(sem nome)")))</f>
        <v/>
      </c>
      <c r="C324" s="16" t="str">
        <f aca="false">IF(A324="","",SUMIFS(COMPRAS!$C$2:$C$2001,COMPRAS!$K$2:$K$2001,A324))</f>
        <v/>
      </c>
    </row>
    <row r="325" customFormat="false" ht="15" hidden="false" customHeight="false" outlineLevel="0" collapsed="false">
      <c r="A325" s="11" t="str">
        <f aca="false">IFERROR(INDEX(_AUX!$A$2:$A$3201,MATCH(ROW()-1,_AUX!$C$2:$C$3201,0)),"")</f>
        <v/>
      </c>
      <c r="B325" s="11" t="str">
        <f aca="false">IF(A325="","",IFERROR(INDEX(DECKS!$C$2:$C$1201,MATCH(A325,DECKS!$B$2:$B$1201,0)),IFERROR(TRIM(INDEX(COMPRAS!$I$2:$I$2001,MATCH(A325,COMPRAS!$L$2:$L$2001,0))),"(sem nome)")))</f>
        <v/>
      </c>
      <c r="C325" s="16" t="str">
        <f aca="false">IF(A325="","",SUMIFS(COMPRAS!$C$2:$C$2001,COMPRAS!$K$2:$K$2001,A325))</f>
        <v/>
      </c>
    </row>
    <row r="326" customFormat="false" ht="15" hidden="false" customHeight="false" outlineLevel="0" collapsed="false">
      <c r="A326" s="11" t="str">
        <f aca="false">IFERROR(INDEX(_AUX!$A$2:$A$3201,MATCH(ROW()-1,_AUX!$C$2:$C$3201,0)),"")</f>
        <v/>
      </c>
      <c r="B326" s="11" t="str">
        <f aca="false">IF(A326="","",IFERROR(INDEX(DECKS!$C$2:$C$1201,MATCH(A326,DECKS!$B$2:$B$1201,0)),IFERROR(TRIM(INDEX(COMPRAS!$I$2:$I$2001,MATCH(A326,COMPRAS!$L$2:$L$2001,0))),"(sem nome)")))</f>
        <v/>
      </c>
      <c r="C326" s="16" t="str">
        <f aca="false">IF(A326="","",SUMIFS(COMPRAS!$C$2:$C$2001,COMPRAS!$K$2:$K$2001,A326))</f>
        <v/>
      </c>
    </row>
    <row r="327" customFormat="false" ht="15" hidden="false" customHeight="false" outlineLevel="0" collapsed="false">
      <c r="A327" s="11" t="str">
        <f aca="false">IFERROR(INDEX(_AUX!$A$2:$A$3201,MATCH(ROW()-1,_AUX!$C$2:$C$3201,0)),"")</f>
        <v/>
      </c>
      <c r="B327" s="11" t="str">
        <f aca="false">IF(A327="","",IFERROR(INDEX(DECKS!$C$2:$C$1201,MATCH(A327,DECKS!$B$2:$B$1201,0)),IFERROR(TRIM(INDEX(COMPRAS!$I$2:$I$2001,MATCH(A327,COMPRAS!$L$2:$L$2001,0))),"(sem nome)")))</f>
        <v/>
      </c>
      <c r="C327" s="16" t="str">
        <f aca="false">IF(A327="","",SUMIFS(COMPRAS!$C$2:$C$2001,COMPRAS!$K$2:$K$2001,A327))</f>
        <v/>
      </c>
    </row>
    <row r="328" customFormat="false" ht="15" hidden="false" customHeight="false" outlineLevel="0" collapsed="false">
      <c r="A328" s="11" t="str">
        <f aca="false">IFERROR(INDEX(_AUX!$A$2:$A$3201,MATCH(ROW()-1,_AUX!$C$2:$C$3201,0)),"")</f>
        <v/>
      </c>
      <c r="B328" s="11" t="str">
        <f aca="false">IF(A328="","",IFERROR(INDEX(DECKS!$C$2:$C$1201,MATCH(A328,DECKS!$B$2:$B$1201,0)),IFERROR(TRIM(INDEX(COMPRAS!$I$2:$I$2001,MATCH(A328,COMPRAS!$L$2:$L$2001,0))),"(sem nome)")))</f>
        <v/>
      </c>
      <c r="C328" s="16" t="str">
        <f aca="false">IF(A328="","",SUMIFS(COMPRAS!$C$2:$C$2001,COMPRAS!$K$2:$K$2001,A328))</f>
        <v/>
      </c>
    </row>
    <row r="329" customFormat="false" ht="15" hidden="false" customHeight="false" outlineLevel="0" collapsed="false">
      <c r="A329" s="11" t="str">
        <f aca="false">IFERROR(INDEX(_AUX!$A$2:$A$3201,MATCH(ROW()-1,_AUX!$C$2:$C$3201,0)),"")</f>
        <v/>
      </c>
      <c r="B329" s="11" t="str">
        <f aca="false">IF(A329="","",IFERROR(INDEX(DECKS!$C$2:$C$1201,MATCH(A329,DECKS!$B$2:$B$1201,0)),IFERROR(TRIM(INDEX(COMPRAS!$I$2:$I$2001,MATCH(A329,COMPRAS!$L$2:$L$2001,0))),"(sem nome)")))</f>
        <v/>
      </c>
      <c r="C329" s="16" t="str">
        <f aca="false">IF(A329="","",SUMIFS(COMPRAS!$C$2:$C$2001,COMPRAS!$K$2:$K$2001,A329))</f>
        <v/>
      </c>
    </row>
    <row r="330" customFormat="false" ht="15" hidden="false" customHeight="false" outlineLevel="0" collapsed="false">
      <c r="A330" s="11" t="str">
        <f aca="false">IFERROR(INDEX(_AUX!$A$2:$A$3201,MATCH(ROW()-1,_AUX!$C$2:$C$3201,0)),"")</f>
        <v/>
      </c>
      <c r="B330" s="11" t="str">
        <f aca="false">IF(A330="","",IFERROR(INDEX(DECKS!$C$2:$C$1201,MATCH(A330,DECKS!$B$2:$B$1201,0)),IFERROR(TRIM(INDEX(COMPRAS!$I$2:$I$2001,MATCH(A330,COMPRAS!$L$2:$L$2001,0))),"(sem nome)")))</f>
        <v/>
      </c>
      <c r="C330" s="16" t="str">
        <f aca="false">IF(A330="","",SUMIFS(COMPRAS!$C$2:$C$2001,COMPRAS!$K$2:$K$2001,A330))</f>
        <v/>
      </c>
    </row>
    <row r="331" customFormat="false" ht="15" hidden="false" customHeight="false" outlineLevel="0" collapsed="false">
      <c r="A331" s="11" t="str">
        <f aca="false">IFERROR(INDEX(_AUX!$A$2:$A$3201,MATCH(ROW()-1,_AUX!$C$2:$C$3201,0)),"")</f>
        <v/>
      </c>
      <c r="B331" s="11" t="str">
        <f aca="false">IF(A331="","",IFERROR(INDEX(DECKS!$C$2:$C$1201,MATCH(A331,DECKS!$B$2:$B$1201,0)),IFERROR(TRIM(INDEX(COMPRAS!$I$2:$I$2001,MATCH(A331,COMPRAS!$L$2:$L$2001,0))),"(sem nome)")))</f>
        <v/>
      </c>
      <c r="C331" s="16" t="str">
        <f aca="false">IF(A331="","",SUMIFS(COMPRAS!$C$2:$C$2001,COMPRAS!$K$2:$K$2001,A331))</f>
        <v/>
      </c>
    </row>
    <row r="332" customFormat="false" ht="15" hidden="false" customHeight="false" outlineLevel="0" collapsed="false">
      <c r="A332" s="11" t="str">
        <f aca="false">IFERROR(INDEX(_AUX!$A$2:$A$3201,MATCH(ROW()-1,_AUX!$C$2:$C$3201,0)),"")</f>
        <v/>
      </c>
      <c r="B332" s="11" t="str">
        <f aca="false">IF(A332="","",IFERROR(INDEX(DECKS!$C$2:$C$1201,MATCH(A332,DECKS!$B$2:$B$1201,0)),IFERROR(TRIM(INDEX(COMPRAS!$I$2:$I$2001,MATCH(A332,COMPRAS!$L$2:$L$2001,0))),"(sem nome)")))</f>
        <v/>
      </c>
      <c r="C332" s="16" t="str">
        <f aca="false">IF(A332="","",SUMIFS(COMPRAS!$C$2:$C$2001,COMPRAS!$K$2:$K$2001,A332))</f>
        <v/>
      </c>
    </row>
    <row r="333" customFormat="false" ht="15" hidden="false" customHeight="false" outlineLevel="0" collapsed="false">
      <c r="A333" s="11" t="str">
        <f aca="false">IFERROR(INDEX(_AUX!$A$2:$A$3201,MATCH(ROW()-1,_AUX!$C$2:$C$3201,0)),"")</f>
        <v/>
      </c>
      <c r="B333" s="11" t="str">
        <f aca="false">IF(A333="","",IFERROR(INDEX(DECKS!$C$2:$C$1201,MATCH(A333,DECKS!$B$2:$B$1201,0)),IFERROR(TRIM(INDEX(COMPRAS!$I$2:$I$2001,MATCH(A333,COMPRAS!$L$2:$L$2001,0))),"(sem nome)")))</f>
        <v/>
      </c>
      <c r="C333" s="16" t="str">
        <f aca="false">IF(A333="","",SUMIFS(COMPRAS!$C$2:$C$2001,COMPRAS!$K$2:$K$2001,A333))</f>
        <v/>
      </c>
    </row>
    <row r="334" customFormat="false" ht="15" hidden="false" customHeight="false" outlineLevel="0" collapsed="false">
      <c r="A334" s="11" t="str">
        <f aca="false">IFERROR(INDEX(_AUX!$A$2:$A$3201,MATCH(ROW()-1,_AUX!$C$2:$C$3201,0)),"")</f>
        <v/>
      </c>
      <c r="B334" s="11" t="str">
        <f aca="false">IF(A334="","",IFERROR(INDEX(DECKS!$C$2:$C$1201,MATCH(A334,DECKS!$B$2:$B$1201,0)),IFERROR(TRIM(INDEX(COMPRAS!$I$2:$I$2001,MATCH(A334,COMPRAS!$L$2:$L$2001,0))),"(sem nome)")))</f>
        <v/>
      </c>
      <c r="C334" s="16" t="str">
        <f aca="false">IF(A334="","",SUMIFS(COMPRAS!$C$2:$C$2001,COMPRAS!$K$2:$K$2001,A334))</f>
        <v/>
      </c>
    </row>
    <row r="335" customFormat="false" ht="15" hidden="false" customHeight="false" outlineLevel="0" collapsed="false">
      <c r="A335" s="11" t="str">
        <f aca="false">IFERROR(INDEX(_AUX!$A$2:$A$3201,MATCH(ROW()-1,_AUX!$C$2:$C$3201,0)),"")</f>
        <v/>
      </c>
      <c r="B335" s="11" t="str">
        <f aca="false">IF(A335="","",IFERROR(INDEX(DECKS!$C$2:$C$1201,MATCH(A335,DECKS!$B$2:$B$1201,0)),IFERROR(TRIM(INDEX(COMPRAS!$I$2:$I$2001,MATCH(A335,COMPRAS!$L$2:$L$2001,0))),"(sem nome)")))</f>
        <v/>
      </c>
      <c r="C335" s="16" t="str">
        <f aca="false">IF(A335="","",SUMIFS(COMPRAS!$C$2:$C$2001,COMPRAS!$K$2:$K$2001,A335))</f>
        <v/>
      </c>
    </row>
    <row r="336" customFormat="false" ht="15" hidden="false" customHeight="false" outlineLevel="0" collapsed="false">
      <c r="A336" s="11" t="str">
        <f aca="false">IFERROR(INDEX(_AUX!$A$2:$A$3201,MATCH(ROW()-1,_AUX!$C$2:$C$3201,0)),"")</f>
        <v/>
      </c>
      <c r="B336" s="11" t="str">
        <f aca="false">IF(A336="","",IFERROR(INDEX(DECKS!$C$2:$C$1201,MATCH(A336,DECKS!$B$2:$B$1201,0)),IFERROR(TRIM(INDEX(COMPRAS!$I$2:$I$2001,MATCH(A336,COMPRAS!$L$2:$L$2001,0))),"(sem nome)")))</f>
        <v/>
      </c>
      <c r="C336" s="16" t="str">
        <f aca="false">IF(A336="","",SUMIFS(COMPRAS!$C$2:$C$2001,COMPRAS!$K$2:$K$2001,A336))</f>
        <v/>
      </c>
    </row>
    <row r="337" customFormat="false" ht="15" hidden="false" customHeight="false" outlineLevel="0" collapsed="false">
      <c r="A337" s="11" t="str">
        <f aca="false">IFERROR(INDEX(_AUX!$A$2:$A$3201,MATCH(ROW()-1,_AUX!$C$2:$C$3201,0)),"")</f>
        <v/>
      </c>
      <c r="B337" s="11" t="str">
        <f aca="false">IF(A337="","",IFERROR(INDEX(DECKS!$C$2:$C$1201,MATCH(A337,DECKS!$B$2:$B$1201,0)),IFERROR(TRIM(INDEX(COMPRAS!$I$2:$I$2001,MATCH(A337,COMPRAS!$L$2:$L$2001,0))),"(sem nome)")))</f>
        <v/>
      </c>
      <c r="C337" s="16" t="str">
        <f aca="false">IF(A337="","",SUMIFS(COMPRAS!$C$2:$C$2001,COMPRAS!$K$2:$K$2001,A337))</f>
        <v/>
      </c>
    </row>
    <row r="338" customFormat="false" ht="15" hidden="false" customHeight="false" outlineLevel="0" collapsed="false">
      <c r="A338" s="11" t="str">
        <f aca="false">IFERROR(INDEX(_AUX!$A$2:$A$3201,MATCH(ROW()-1,_AUX!$C$2:$C$3201,0)),"")</f>
        <v/>
      </c>
      <c r="B338" s="11" t="str">
        <f aca="false">IF(A338="","",IFERROR(INDEX(DECKS!$C$2:$C$1201,MATCH(A338,DECKS!$B$2:$B$1201,0)),IFERROR(TRIM(INDEX(COMPRAS!$I$2:$I$2001,MATCH(A338,COMPRAS!$L$2:$L$2001,0))),"(sem nome)")))</f>
        <v/>
      </c>
      <c r="C338" s="16" t="str">
        <f aca="false">IF(A338="","",SUMIFS(COMPRAS!$C$2:$C$2001,COMPRAS!$K$2:$K$2001,A338))</f>
        <v/>
      </c>
    </row>
    <row r="339" customFormat="false" ht="15" hidden="false" customHeight="false" outlineLevel="0" collapsed="false">
      <c r="A339" s="11" t="str">
        <f aca="false">IFERROR(INDEX(_AUX!$A$2:$A$3201,MATCH(ROW()-1,_AUX!$C$2:$C$3201,0)),"")</f>
        <v/>
      </c>
      <c r="B339" s="11" t="str">
        <f aca="false">IF(A339="","",IFERROR(INDEX(DECKS!$C$2:$C$1201,MATCH(A339,DECKS!$B$2:$B$1201,0)),IFERROR(TRIM(INDEX(COMPRAS!$I$2:$I$2001,MATCH(A339,COMPRAS!$L$2:$L$2001,0))),"(sem nome)")))</f>
        <v/>
      </c>
      <c r="C339" s="16" t="str">
        <f aca="false">IF(A339="","",SUMIFS(COMPRAS!$C$2:$C$2001,COMPRAS!$K$2:$K$2001,A339))</f>
        <v/>
      </c>
    </row>
    <row r="340" customFormat="false" ht="15" hidden="false" customHeight="false" outlineLevel="0" collapsed="false">
      <c r="A340" s="11" t="str">
        <f aca="false">IFERROR(INDEX(_AUX!$A$2:$A$3201,MATCH(ROW()-1,_AUX!$C$2:$C$3201,0)),"")</f>
        <v/>
      </c>
      <c r="B340" s="11" t="str">
        <f aca="false">IF(A340="","",IFERROR(INDEX(DECKS!$C$2:$C$1201,MATCH(A340,DECKS!$B$2:$B$1201,0)),IFERROR(TRIM(INDEX(COMPRAS!$I$2:$I$2001,MATCH(A340,COMPRAS!$L$2:$L$2001,0))),"(sem nome)")))</f>
        <v/>
      </c>
      <c r="C340" s="16" t="str">
        <f aca="false">IF(A340="","",SUMIFS(COMPRAS!$C$2:$C$2001,COMPRAS!$K$2:$K$2001,A340))</f>
        <v/>
      </c>
    </row>
    <row r="341" customFormat="false" ht="15" hidden="false" customHeight="false" outlineLevel="0" collapsed="false">
      <c r="A341" s="11" t="str">
        <f aca="false">IFERROR(INDEX(_AUX!$A$2:$A$3201,MATCH(ROW()-1,_AUX!$C$2:$C$3201,0)),"")</f>
        <v/>
      </c>
      <c r="B341" s="11" t="str">
        <f aca="false">IF(A341="","",IFERROR(INDEX(DECKS!$C$2:$C$1201,MATCH(A341,DECKS!$B$2:$B$1201,0)),IFERROR(TRIM(INDEX(COMPRAS!$I$2:$I$2001,MATCH(A341,COMPRAS!$L$2:$L$2001,0))),"(sem nome)")))</f>
        <v/>
      </c>
      <c r="C341" s="16" t="str">
        <f aca="false">IF(A341="","",SUMIFS(COMPRAS!$C$2:$C$2001,COMPRAS!$K$2:$K$2001,A341))</f>
        <v/>
      </c>
    </row>
    <row r="342" customFormat="false" ht="15" hidden="false" customHeight="false" outlineLevel="0" collapsed="false">
      <c r="A342" s="11" t="str">
        <f aca="false">IFERROR(INDEX(_AUX!$A$2:$A$3201,MATCH(ROW()-1,_AUX!$C$2:$C$3201,0)),"")</f>
        <v/>
      </c>
      <c r="B342" s="11" t="str">
        <f aca="false">IF(A342="","",IFERROR(INDEX(DECKS!$C$2:$C$1201,MATCH(A342,DECKS!$B$2:$B$1201,0)),IFERROR(TRIM(INDEX(COMPRAS!$I$2:$I$2001,MATCH(A342,COMPRAS!$L$2:$L$2001,0))),"(sem nome)")))</f>
        <v/>
      </c>
      <c r="C342" s="16" t="str">
        <f aca="false">IF(A342="","",SUMIFS(COMPRAS!$C$2:$C$2001,COMPRAS!$K$2:$K$2001,A342))</f>
        <v/>
      </c>
    </row>
    <row r="343" customFormat="false" ht="15" hidden="false" customHeight="false" outlineLevel="0" collapsed="false">
      <c r="A343" s="11" t="str">
        <f aca="false">IFERROR(INDEX(_AUX!$A$2:$A$3201,MATCH(ROW()-1,_AUX!$C$2:$C$3201,0)),"")</f>
        <v/>
      </c>
      <c r="B343" s="11" t="str">
        <f aca="false">IF(A343="","",IFERROR(INDEX(DECKS!$C$2:$C$1201,MATCH(A343,DECKS!$B$2:$B$1201,0)),IFERROR(TRIM(INDEX(COMPRAS!$I$2:$I$2001,MATCH(A343,COMPRAS!$L$2:$L$2001,0))),"(sem nome)")))</f>
        <v/>
      </c>
      <c r="C343" s="16" t="str">
        <f aca="false">IF(A343="","",SUMIFS(COMPRAS!$C$2:$C$2001,COMPRAS!$K$2:$K$2001,A343))</f>
        <v/>
      </c>
    </row>
    <row r="344" customFormat="false" ht="15" hidden="false" customHeight="false" outlineLevel="0" collapsed="false">
      <c r="A344" s="11" t="str">
        <f aca="false">IFERROR(INDEX(_AUX!$A$2:$A$3201,MATCH(ROW()-1,_AUX!$C$2:$C$3201,0)),"")</f>
        <v/>
      </c>
      <c r="B344" s="11" t="str">
        <f aca="false">IF(A344="","",IFERROR(INDEX(DECKS!$C$2:$C$1201,MATCH(A344,DECKS!$B$2:$B$1201,0)),IFERROR(TRIM(INDEX(COMPRAS!$I$2:$I$2001,MATCH(A344,COMPRAS!$L$2:$L$2001,0))),"(sem nome)")))</f>
        <v/>
      </c>
      <c r="C344" s="16" t="str">
        <f aca="false">IF(A344="","",SUMIFS(COMPRAS!$C$2:$C$2001,COMPRAS!$K$2:$K$2001,A344))</f>
        <v/>
      </c>
    </row>
    <row r="345" customFormat="false" ht="15" hidden="false" customHeight="false" outlineLevel="0" collapsed="false">
      <c r="A345" s="11" t="str">
        <f aca="false">IFERROR(INDEX(_AUX!$A$2:$A$3201,MATCH(ROW()-1,_AUX!$C$2:$C$3201,0)),"")</f>
        <v/>
      </c>
      <c r="B345" s="11" t="str">
        <f aca="false">IF(A345="","",IFERROR(INDEX(DECKS!$C$2:$C$1201,MATCH(A345,DECKS!$B$2:$B$1201,0)),IFERROR(TRIM(INDEX(COMPRAS!$I$2:$I$2001,MATCH(A345,COMPRAS!$L$2:$L$2001,0))),"(sem nome)")))</f>
        <v/>
      </c>
      <c r="C345" s="16" t="str">
        <f aca="false">IF(A345="","",SUMIFS(COMPRAS!$C$2:$C$2001,COMPRAS!$K$2:$K$2001,A345))</f>
        <v/>
      </c>
    </row>
    <row r="346" customFormat="false" ht="15" hidden="false" customHeight="false" outlineLevel="0" collapsed="false">
      <c r="A346" s="11" t="str">
        <f aca="false">IFERROR(INDEX(_AUX!$A$2:$A$3201,MATCH(ROW()-1,_AUX!$C$2:$C$3201,0)),"")</f>
        <v/>
      </c>
      <c r="B346" s="11" t="str">
        <f aca="false">IF(A346="","",IFERROR(INDEX(DECKS!$C$2:$C$1201,MATCH(A346,DECKS!$B$2:$B$1201,0)),IFERROR(TRIM(INDEX(COMPRAS!$I$2:$I$2001,MATCH(A346,COMPRAS!$L$2:$L$2001,0))),"(sem nome)")))</f>
        <v/>
      </c>
      <c r="C346" s="16" t="str">
        <f aca="false">IF(A346="","",SUMIFS(COMPRAS!$C$2:$C$2001,COMPRAS!$K$2:$K$2001,A346))</f>
        <v/>
      </c>
    </row>
    <row r="347" customFormat="false" ht="15" hidden="false" customHeight="false" outlineLevel="0" collapsed="false">
      <c r="A347" s="11" t="str">
        <f aca="false">IFERROR(INDEX(_AUX!$A$2:$A$3201,MATCH(ROW()-1,_AUX!$C$2:$C$3201,0)),"")</f>
        <v/>
      </c>
      <c r="B347" s="11" t="str">
        <f aca="false">IF(A347="","",IFERROR(INDEX(DECKS!$C$2:$C$1201,MATCH(A347,DECKS!$B$2:$B$1201,0)),IFERROR(TRIM(INDEX(COMPRAS!$I$2:$I$2001,MATCH(A347,COMPRAS!$L$2:$L$2001,0))),"(sem nome)")))</f>
        <v/>
      </c>
      <c r="C347" s="16" t="str">
        <f aca="false">IF(A347="","",SUMIFS(COMPRAS!$C$2:$C$2001,COMPRAS!$K$2:$K$2001,A347))</f>
        <v/>
      </c>
    </row>
    <row r="348" customFormat="false" ht="15" hidden="false" customHeight="false" outlineLevel="0" collapsed="false">
      <c r="A348" s="11" t="str">
        <f aca="false">IFERROR(INDEX(_AUX!$A$2:$A$3201,MATCH(ROW()-1,_AUX!$C$2:$C$3201,0)),"")</f>
        <v/>
      </c>
      <c r="B348" s="11" t="str">
        <f aca="false">IF(A348="","",IFERROR(INDEX(DECKS!$C$2:$C$1201,MATCH(A348,DECKS!$B$2:$B$1201,0)),IFERROR(TRIM(INDEX(COMPRAS!$I$2:$I$2001,MATCH(A348,COMPRAS!$L$2:$L$2001,0))),"(sem nome)")))</f>
        <v/>
      </c>
      <c r="C348" s="16" t="str">
        <f aca="false">IF(A348="","",SUMIFS(COMPRAS!$C$2:$C$2001,COMPRAS!$K$2:$K$2001,A348))</f>
        <v/>
      </c>
    </row>
    <row r="349" customFormat="false" ht="15" hidden="false" customHeight="false" outlineLevel="0" collapsed="false">
      <c r="A349" s="11" t="str">
        <f aca="false">IFERROR(INDEX(_AUX!$A$2:$A$3201,MATCH(ROW()-1,_AUX!$C$2:$C$3201,0)),"")</f>
        <v/>
      </c>
      <c r="B349" s="11" t="str">
        <f aca="false">IF(A349="","",IFERROR(INDEX(DECKS!$C$2:$C$1201,MATCH(A349,DECKS!$B$2:$B$1201,0)),IFERROR(TRIM(INDEX(COMPRAS!$I$2:$I$2001,MATCH(A349,COMPRAS!$L$2:$L$2001,0))),"(sem nome)")))</f>
        <v/>
      </c>
      <c r="C349" s="16" t="str">
        <f aca="false">IF(A349="","",SUMIFS(COMPRAS!$C$2:$C$2001,COMPRAS!$K$2:$K$2001,A349))</f>
        <v/>
      </c>
    </row>
    <row r="350" customFormat="false" ht="15" hidden="false" customHeight="false" outlineLevel="0" collapsed="false">
      <c r="A350" s="11" t="str">
        <f aca="false">IFERROR(INDEX(_AUX!$A$2:$A$3201,MATCH(ROW()-1,_AUX!$C$2:$C$3201,0)),"")</f>
        <v/>
      </c>
      <c r="B350" s="11" t="str">
        <f aca="false">IF(A350="","",IFERROR(INDEX(DECKS!$C$2:$C$1201,MATCH(A350,DECKS!$B$2:$B$1201,0)),IFERROR(TRIM(INDEX(COMPRAS!$I$2:$I$2001,MATCH(A350,COMPRAS!$L$2:$L$2001,0))),"(sem nome)")))</f>
        <v/>
      </c>
      <c r="C350" s="16" t="str">
        <f aca="false">IF(A350="","",SUMIFS(COMPRAS!$C$2:$C$2001,COMPRAS!$K$2:$K$2001,A350))</f>
        <v/>
      </c>
    </row>
    <row r="351" customFormat="false" ht="15" hidden="false" customHeight="false" outlineLevel="0" collapsed="false">
      <c r="A351" s="11" t="str">
        <f aca="false">IFERROR(INDEX(_AUX!$A$2:$A$3201,MATCH(ROW()-1,_AUX!$C$2:$C$3201,0)),"")</f>
        <v/>
      </c>
      <c r="B351" s="11" t="str">
        <f aca="false">IF(A351="","",IFERROR(INDEX(DECKS!$C$2:$C$1201,MATCH(A351,DECKS!$B$2:$B$1201,0)),IFERROR(TRIM(INDEX(COMPRAS!$I$2:$I$2001,MATCH(A351,COMPRAS!$L$2:$L$2001,0))),"(sem nome)")))</f>
        <v/>
      </c>
      <c r="C351" s="16" t="str">
        <f aca="false">IF(A351="","",SUMIFS(COMPRAS!$C$2:$C$2001,COMPRAS!$K$2:$K$2001,A351))</f>
        <v/>
      </c>
    </row>
    <row r="352" customFormat="false" ht="15" hidden="false" customHeight="false" outlineLevel="0" collapsed="false">
      <c r="A352" s="11" t="str">
        <f aca="false">IFERROR(INDEX(_AUX!$A$2:$A$3201,MATCH(ROW()-1,_AUX!$C$2:$C$3201,0)),"")</f>
        <v/>
      </c>
      <c r="B352" s="11" t="str">
        <f aca="false">IF(A352="","",IFERROR(INDEX(DECKS!$C$2:$C$1201,MATCH(A352,DECKS!$B$2:$B$1201,0)),IFERROR(TRIM(INDEX(COMPRAS!$I$2:$I$2001,MATCH(A352,COMPRAS!$L$2:$L$2001,0))),"(sem nome)")))</f>
        <v/>
      </c>
      <c r="C352" s="16" t="str">
        <f aca="false">IF(A352="","",SUMIFS(COMPRAS!$C$2:$C$2001,COMPRAS!$K$2:$K$2001,A352))</f>
        <v/>
      </c>
    </row>
    <row r="353" customFormat="false" ht="15" hidden="false" customHeight="false" outlineLevel="0" collapsed="false">
      <c r="A353" s="11" t="str">
        <f aca="false">IFERROR(INDEX(_AUX!$A$2:$A$3201,MATCH(ROW()-1,_AUX!$C$2:$C$3201,0)),"")</f>
        <v/>
      </c>
      <c r="B353" s="11" t="str">
        <f aca="false">IF(A353="","",IFERROR(INDEX(DECKS!$C$2:$C$1201,MATCH(A353,DECKS!$B$2:$B$1201,0)),IFERROR(TRIM(INDEX(COMPRAS!$I$2:$I$2001,MATCH(A353,COMPRAS!$L$2:$L$2001,0))),"(sem nome)")))</f>
        <v/>
      </c>
      <c r="C353" s="16" t="str">
        <f aca="false">IF(A353="","",SUMIFS(COMPRAS!$C$2:$C$2001,COMPRAS!$K$2:$K$2001,A353))</f>
        <v/>
      </c>
    </row>
    <row r="354" customFormat="false" ht="15" hidden="false" customHeight="false" outlineLevel="0" collapsed="false">
      <c r="A354" s="11" t="str">
        <f aca="false">IFERROR(INDEX(_AUX!$A$2:$A$3201,MATCH(ROW()-1,_AUX!$C$2:$C$3201,0)),"")</f>
        <v/>
      </c>
      <c r="B354" s="11" t="str">
        <f aca="false">IF(A354="","",IFERROR(INDEX(DECKS!$C$2:$C$1201,MATCH(A354,DECKS!$B$2:$B$1201,0)),IFERROR(TRIM(INDEX(COMPRAS!$I$2:$I$2001,MATCH(A354,COMPRAS!$L$2:$L$2001,0))),"(sem nome)")))</f>
        <v/>
      </c>
      <c r="C354" s="16" t="str">
        <f aca="false">IF(A354="","",SUMIFS(COMPRAS!$C$2:$C$2001,COMPRAS!$K$2:$K$2001,A354))</f>
        <v/>
      </c>
    </row>
    <row r="355" customFormat="false" ht="15" hidden="false" customHeight="false" outlineLevel="0" collapsed="false">
      <c r="A355" s="11" t="str">
        <f aca="false">IFERROR(INDEX(_AUX!$A$2:$A$3201,MATCH(ROW()-1,_AUX!$C$2:$C$3201,0)),"")</f>
        <v/>
      </c>
      <c r="B355" s="11" t="str">
        <f aca="false">IF(A355="","",IFERROR(INDEX(DECKS!$C$2:$C$1201,MATCH(A355,DECKS!$B$2:$B$1201,0)),IFERROR(TRIM(INDEX(COMPRAS!$I$2:$I$2001,MATCH(A355,COMPRAS!$L$2:$L$2001,0))),"(sem nome)")))</f>
        <v/>
      </c>
      <c r="C355" s="16" t="str">
        <f aca="false">IF(A355="","",SUMIFS(COMPRAS!$C$2:$C$2001,COMPRAS!$K$2:$K$2001,A355))</f>
        <v/>
      </c>
    </row>
    <row r="356" customFormat="false" ht="15" hidden="false" customHeight="false" outlineLevel="0" collapsed="false">
      <c r="A356" s="11" t="str">
        <f aca="false">IFERROR(INDEX(_AUX!$A$2:$A$3201,MATCH(ROW()-1,_AUX!$C$2:$C$3201,0)),"")</f>
        <v/>
      </c>
      <c r="B356" s="11" t="str">
        <f aca="false">IF(A356="","",IFERROR(INDEX(DECKS!$C$2:$C$1201,MATCH(A356,DECKS!$B$2:$B$1201,0)),IFERROR(TRIM(INDEX(COMPRAS!$I$2:$I$2001,MATCH(A356,COMPRAS!$L$2:$L$2001,0))),"(sem nome)")))</f>
        <v/>
      </c>
      <c r="C356" s="16" t="str">
        <f aca="false">IF(A356="","",SUMIFS(COMPRAS!$C$2:$C$2001,COMPRAS!$K$2:$K$2001,A356))</f>
        <v/>
      </c>
    </row>
    <row r="357" customFormat="false" ht="15" hidden="false" customHeight="false" outlineLevel="0" collapsed="false">
      <c r="A357" s="11" t="str">
        <f aca="false">IFERROR(INDEX(_AUX!$A$2:$A$3201,MATCH(ROW()-1,_AUX!$C$2:$C$3201,0)),"")</f>
        <v/>
      </c>
      <c r="B357" s="11" t="str">
        <f aca="false">IF(A357="","",IFERROR(INDEX(DECKS!$C$2:$C$1201,MATCH(A357,DECKS!$B$2:$B$1201,0)),IFERROR(TRIM(INDEX(COMPRAS!$I$2:$I$2001,MATCH(A357,COMPRAS!$L$2:$L$2001,0))),"(sem nome)")))</f>
        <v/>
      </c>
      <c r="C357" s="16" t="str">
        <f aca="false">IF(A357="","",SUMIFS(COMPRAS!$C$2:$C$2001,COMPRAS!$K$2:$K$2001,A357))</f>
        <v/>
      </c>
    </row>
    <row r="358" customFormat="false" ht="15" hidden="false" customHeight="false" outlineLevel="0" collapsed="false">
      <c r="A358" s="11" t="str">
        <f aca="false">IFERROR(INDEX(_AUX!$A$2:$A$3201,MATCH(ROW()-1,_AUX!$C$2:$C$3201,0)),"")</f>
        <v/>
      </c>
      <c r="B358" s="11" t="str">
        <f aca="false">IF(A358="","",IFERROR(INDEX(DECKS!$C$2:$C$1201,MATCH(A358,DECKS!$B$2:$B$1201,0)),IFERROR(TRIM(INDEX(COMPRAS!$I$2:$I$2001,MATCH(A358,COMPRAS!$L$2:$L$2001,0))),"(sem nome)")))</f>
        <v/>
      </c>
      <c r="C358" s="16" t="str">
        <f aca="false">IF(A358="","",SUMIFS(COMPRAS!$C$2:$C$2001,COMPRAS!$K$2:$K$2001,A358))</f>
        <v/>
      </c>
    </row>
    <row r="359" customFormat="false" ht="15" hidden="false" customHeight="false" outlineLevel="0" collapsed="false">
      <c r="A359" s="11" t="str">
        <f aca="false">IFERROR(INDEX(_AUX!$A$2:$A$3201,MATCH(ROW()-1,_AUX!$C$2:$C$3201,0)),"")</f>
        <v/>
      </c>
      <c r="B359" s="11" t="str">
        <f aca="false">IF(A359="","",IFERROR(INDEX(DECKS!$C$2:$C$1201,MATCH(A359,DECKS!$B$2:$B$1201,0)),IFERROR(TRIM(INDEX(COMPRAS!$I$2:$I$2001,MATCH(A359,COMPRAS!$L$2:$L$2001,0))),"(sem nome)")))</f>
        <v/>
      </c>
      <c r="C359" s="16" t="str">
        <f aca="false">IF(A359="","",SUMIFS(COMPRAS!$C$2:$C$2001,COMPRAS!$K$2:$K$2001,A359))</f>
        <v/>
      </c>
    </row>
    <row r="360" customFormat="false" ht="15" hidden="false" customHeight="false" outlineLevel="0" collapsed="false">
      <c r="A360" s="11" t="str">
        <f aca="false">IFERROR(INDEX(_AUX!$A$2:$A$3201,MATCH(ROW()-1,_AUX!$C$2:$C$3201,0)),"")</f>
        <v/>
      </c>
      <c r="B360" s="11" t="str">
        <f aca="false">IF(A360="","",IFERROR(INDEX(DECKS!$C$2:$C$1201,MATCH(A360,DECKS!$B$2:$B$1201,0)),IFERROR(TRIM(INDEX(COMPRAS!$I$2:$I$2001,MATCH(A360,COMPRAS!$L$2:$L$2001,0))),"(sem nome)")))</f>
        <v/>
      </c>
      <c r="C360" s="16" t="str">
        <f aca="false">IF(A360="","",SUMIFS(COMPRAS!$C$2:$C$2001,COMPRAS!$K$2:$K$2001,A360))</f>
        <v/>
      </c>
    </row>
    <row r="361" customFormat="false" ht="15" hidden="false" customHeight="false" outlineLevel="0" collapsed="false">
      <c r="A361" s="11" t="str">
        <f aca="false">IFERROR(INDEX(_AUX!$A$2:$A$3201,MATCH(ROW()-1,_AUX!$C$2:$C$3201,0)),"")</f>
        <v/>
      </c>
      <c r="B361" s="11" t="str">
        <f aca="false">IF(A361="","",IFERROR(INDEX(DECKS!$C$2:$C$1201,MATCH(A361,DECKS!$B$2:$B$1201,0)),IFERROR(TRIM(INDEX(COMPRAS!$I$2:$I$2001,MATCH(A361,COMPRAS!$L$2:$L$2001,0))),"(sem nome)")))</f>
        <v/>
      </c>
      <c r="C361" s="16" t="str">
        <f aca="false">IF(A361="","",SUMIFS(COMPRAS!$C$2:$C$2001,COMPRAS!$K$2:$K$2001,A361))</f>
        <v/>
      </c>
    </row>
    <row r="362" customFormat="false" ht="15" hidden="false" customHeight="false" outlineLevel="0" collapsed="false">
      <c r="A362" s="11" t="str">
        <f aca="false">IFERROR(INDEX(_AUX!$A$2:$A$3201,MATCH(ROW()-1,_AUX!$C$2:$C$3201,0)),"")</f>
        <v/>
      </c>
      <c r="B362" s="11" t="str">
        <f aca="false">IF(A362="","",IFERROR(INDEX(DECKS!$C$2:$C$1201,MATCH(A362,DECKS!$B$2:$B$1201,0)),IFERROR(TRIM(INDEX(COMPRAS!$I$2:$I$2001,MATCH(A362,COMPRAS!$L$2:$L$2001,0))),"(sem nome)")))</f>
        <v/>
      </c>
      <c r="C362" s="16" t="str">
        <f aca="false">IF(A362="","",SUMIFS(COMPRAS!$C$2:$C$2001,COMPRAS!$K$2:$K$2001,A362))</f>
        <v/>
      </c>
    </row>
    <row r="363" customFormat="false" ht="15" hidden="false" customHeight="false" outlineLevel="0" collapsed="false">
      <c r="A363" s="11" t="str">
        <f aca="false">IFERROR(INDEX(_AUX!$A$2:$A$3201,MATCH(ROW()-1,_AUX!$C$2:$C$3201,0)),"")</f>
        <v/>
      </c>
      <c r="B363" s="11" t="str">
        <f aca="false">IF(A363="","",IFERROR(INDEX(DECKS!$C$2:$C$1201,MATCH(A363,DECKS!$B$2:$B$1201,0)),IFERROR(TRIM(INDEX(COMPRAS!$I$2:$I$2001,MATCH(A363,COMPRAS!$L$2:$L$2001,0))),"(sem nome)")))</f>
        <v/>
      </c>
      <c r="C363" s="16" t="str">
        <f aca="false">IF(A363="","",SUMIFS(COMPRAS!$C$2:$C$2001,COMPRAS!$K$2:$K$2001,A363))</f>
        <v/>
      </c>
    </row>
    <row r="364" customFormat="false" ht="15" hidden="false" customHeight="false" outlineLevel="0" collapsed="false">
      <c r="A364" s="11" t="str">
        <f aca="false">IFERROR(INDEX(_AUX!$A$2:$A$3201,MATCH(ROW()-1,_AUX!$C$2:$C$3201,0)),"")</f>
        <v/>
      </c>
      <c r="B364" s="11" t="str">
        <f aca="false">IF(A364="","",IFERROR(INDEX(DECKS!$C$2:$C$1201,MATCH(A364,DECKS!$B$2:$B$1201,0)),IFERROR(TRIM(INDEX(COMPRAS!$I$2:$I$2001,MATCH(A364,COMPRAS!$L$2:$L$2001,0))),"(sem nome)")))</f>
        <v/>
      </c>
      <c r="C364" s="16" t="str">
        <f aca="false">IF(A364="","",SUMIFS(COMPRAS!$C$2:$C$2001,COMPRAS!$K$2:$K$2001,A364))</f>
        <v/>
      </c>
    </row>
    <row r="365" customFormat="false" ht="15" hidden="false" customHeight="false" outlineLevel="0" collapsed="false">
      <c r="A365" s="11" t="str">
        <f aca="false">IFERROR(INDEX(_AUX!$A$2:$A$3201,MATCH(ROW()-1,_AUX!$C$2:$C$3201,0)),"")</f>
        <v/>
      </c>
      <c r="B365" s="11" t="str">
        <f aca="false">IF(A365="","",IFERROR(INDEX(DECKS!$C$2:$C$1201,MATCH(A365,DECKS!$B$2:$B$1201,0)),IFERROR(TRIM(INDEX(COMPRAS!$I$2:$I$2001,MATCH(A365,COMPRAS!$L$2:$L$2001,0))),"(sem nome)")))</f>
        <v/>
      </c>
      <c r="C365" s="16" t="str">
        <f aca="false">IF(A365="","",SUMIFS(COMPRAS!$C$2:$C$2001,COMPRAS!$K$2:$K$2001,A365))</f>
        <v/>
      </c>
    </row>
    <row r="366" customFormat="false" ht="15" hidden="false" customHeight="false" outlineLevel="0" collapsed="false">
      <c r="A366" s="11" t="str">
        <f aca="false">IFERROR(INDEX(_AUX!$A$2:$A$3201,MATCH(ROW()-1,_AUX!$C$2:$C$3201,0)),"")</f>
        <v/>
      </c>
      <c r="B366" s="11" t="str">
        <f aca="false">IF(A366="","",IFERROR(INDEX(DECKS!$C$2:$C$1201,MATCH(A366,DECKS!$B$2:$B$1201,0)),IFERROR(TRIM(INDEX(COMPRAS!$I$2:$I$2001,MATCH(A366,COMPRAS!$L$2:$L$2001,0))),"(sem nome)")))</f>
        <v/>
      </c>
      <c r="C366" s="16" t="str">
        <f aca="false">IF(A366="","",SUMIFS(COMPRAS!$C$2:$C$2001,COMPRAS!$K$2:$K$2001,A366))</f>
        <v/>
      </c>
    </row>
    <row r="367" customFormat="false" ht="15" hidden="false" customHeight="false" outlineLevel="0" collapsed="false">
      <c r="A367" s="11" t="str">
        <f aca="false">IFERROR(INDEX(_AUX!$A$2:$A$3201,MATCH(ROW()-1,_AUX!$C$2:$C$3201,0)),"")</f>
        <v/>
      </c>
      <c r="B367" s="11" t="str">
        <f aca="false">IF(A367="","",IFERROR(INDEX(DECKS!$C$2:$C$1201,MATCH(A367,DECKS!$B$2:$B$1201,0)),IFERROR(TRIM(INDEX(COMPRAS!$I$2:$I$2001,MATCH(A367,COMPRAS!$L$2:$L$2001,0))),"(sem nome)")))</f>
        <v/>
      </c>
      <c r="C367" s="16" t="str">
        <f aca="false">IF(A367="","",SUMIFS(COMPRAS!$C$2:$C$2001,COMPRAS!$K$2:$K$2001,A367))</f>
        <v/>
      </c>
    </row>
    <row r="368" customFormat="false" ht="15" hidden="false" customHeight="false" outlineLevel="0" collapsed="false">
      <c r="A368" s="11" t="str">
        <f aca="false">IFERROR(INDEX(_AUX!$A$2:$A$3201,MATCH(ROW()-1,_AUX!$C$2:$C$3201,0)),"")</f>
        <v/>
      </c>
      <c r="B368" s="11" t="str">
        <f aca="false">IF(A368="","",IFERROR(INDEX(DECKS!$C$2:$C$1201,MATCH(A368,DECKS!$B$2:$B$1201,0)),IFERROR(TRIM(INDEX(COMPRAS!$I$2:$I$2001,MATCH(A368,COMPRAS!$L$2:$L$2001,0))),"(sem nome)")))</f>
        <v/>
      </c>
      <c r="C368" s="16" t="str">
        <f aca="false">IF(A368="","",SUMIFS(COMPRAS!$C$2:$C$2001,COMPRAS!$K$2:$K$2001,A368))</f>
        <v/>
      </c>
    </row>
    <row r="369" customFormat="false" ht="15" hidden="false" customHeight="false" outlineLevel="0" collapsed="false">
      <c r="A369" s="11" t="str">
        <f aca="false">IFERROR(INDEX(_AUX!$A$2:$A$3201,MATCH(ROW()-1,_AUX!$C$2:$C$3201,0)),"")</f>
        <v/>
      </c>
      <c r="B369" s="11" t="str">
        <f aca="false">IF(A369="","",IFERROR(INDEX(DECKS!$C$2:$C$1201,MATCH(A369,DECKS!$B$2:$B$1201,0)),IFERROR(TRIM(INDEX(COMPRAS!$I$2:$I$2001,MATCH(A369,COMPRAS!$L$2:$L$2001,0))),"(sem nome)")))</f>
        <v/>
      </c>
      <c r="C369" s="16" t="str">
        <f aca="false">IF(A369="","",SUMIFS(COMPRAS!$C$2:$C$2001,COMPRAS!$K$2:$K$2001,A369))</f>
        <v/>
      </c>
    </row>
    <row r="370" customFormat="false" ht="15" hidden="false" customHeight="false" outlineLevel="0" collapsed="false">
      <c r="A370" s="11" t="str">
        <f aca="false">IFERROR(INDEX(_AUX!$A$2:$A$3201,MATCH(ROW()-1,_AUX!$C$2:$C$3201,0)),"")</f>
        <v/>
      </c>
      <c r="B370" s="11" t="str">
        <f aca="false">IF(A370="","",IFERROR(INDEX(DECKS!$C$2:$C$1201,MATCH(A370,DECKS!$B$2:$B$1201,0)),IFERROR(TRIM(INDEX(COMPRAS!$I$2:$I$2001,MATCH(A370,COMPRAS!$L$2:$L$2001,0))),"(sem nome)")))</f>
        <v/>
      </c>
      <c r="C370" s="16" t="str">
        <f aca="false">IF(A370="","",SUMIFS(COMPRAS!$C$2:$C$2001,COMPRAS!$K$2:$K$2001,A370))</f>
        <v/>
      </c>
    </row>
    <row r="371" customFormat="false" ht="15" hidden="false" customHeight="false" outlineLevel="0" collapsed="false">
      <c r="A371" s="11" t="str">
        <f aca="false">IFERROR(INDEX(_AUX!$A$2:$A$3201,MATCH(ROW()-1,_AUX!$C$2:$C$3201,0)),"")</f>
        <v/>
      </c>
      <c r="B371" s="11" t="str">
        <f aca="false">IF(A371="","",IFERROR(INDEX(DECKS!$C$2:$C$1201,MATCH(A371,DECKS!$B$2:$B$1201,0)),IFERROR(TRIM(INDEX(COMPRAS!$I$2:$I$2001,MATCH(A371,COMPRAS!$L$2:$L$2001,0))),"(sem nome)")))</f>
        <v/>
      </c>
      <c r="C371" s="16" t="str">
        <f aca="false">IF(A371="","",SUMIFS(COMPRAS!$C$2:$C$2001,COMPRAS!$K$2:$K$2001,A371))</f>
        <v/>
      </c>
    </row>
    <row r="372" customFormat="false" ht="15" hidden="false" customHeight="false" outlineLevel="0" collapsed="false">
      <c r="A372" s="11" t="str">
        <f aca="false">IFERROR(INDEX(_AUX!$A$2:$A$3201,MATCH(ROW()-1,_AUX!$C$2:$C$3201,0)),"")</f>
        <v/>
      </c>
      <c r="B372" s="11" t="str">
        <f aca="false">IF(A372="","",IFERROR(INDEX(DECKS!$C$2:$C$1201,MATCH(A372,DECKS!$B$2:$B$1201,0)),IFERROR(TRIM(INDEX(COMPRAS!$I$2:$I$2001,MATCH(A372,COMPRAS!$L$2:$L$2001,0))),"(sem nome)")))</f>
        <v/>
      </c>
      <c r="C372" s="16" t="str">
        <f aca="false">IF(A372="","",SUMIFS(COMPRAS!$C$2:$C$2001,COMPRAS!$K$2:$K$2001,A372))</f>
        <v/>
      </c>
    </row>
    <row r="373" customFormat="false" ht="15" hidden="false" customHeight="false" outlineLevel="0" collapsed="false">
      <c r="A373" s="11" t="str">
        <f aca="false">IFERROR(INDEX(_AUX!$A$2:$A$3201,MATCH(ROW()-1,_AUX!$C$2:$C$3201,0)),"")</f>
        <v/>
      </c>
      <c r="B373" s="11" t="str">
        <f aca="false">IF(A373="","",IFERROR(INDEX(DECKS!$C$2:$C$1201,MATCH(A373,DECKS!$B$2:$B$1201,0)),IFERROR(TRIM(INDEX(COMPRAS!$I$2:$I$2001,MATCH(A373,COMPRAS!$L$2:$L$2001,0))),"(sem nome)")))</f>
        <v/>
      </c>
      <c r="C373" s="16" t="str">
        <f aca="false">IF(A373="","",SUMIFS(COMPRAS!$C$2:$C$2001,COMPRAS!$K$2:$K$2001,A373))</f>
        <v/>
      </c>
    </row>
    <row r="374" customFormat="false" ht="15" hidden="false" customHeight="false" outlineLevel="0" collapsed="false">
      <c r="A374" s="11" t="str">
        <f aca="false">IFERROR(INDEX(_AUX!$A$2:$A$3201,MATCH(ROW()-1,_AUX!$C$2:$C$3201,0)),"")</f>
        <v/>
      </c>
      <c r="B374" s="11" t="str">
        <f aca="false">IF(A374="","",IFERROR(INDEX(DECKS!$C$2:$C$1201,MATCH(A374,DECKS!$B$2:$B$1201,0)),IFERROR(TRIM(INDEX(COMPRAS!$I$2:$I$2001,MATCH(A374,COMPRAS!$L$2:$L$2001,0))),"(sem nome)")))</f>
        <v/>
      </c>
      <c r="C374" s="16" t="str">
        <f aca="false">IF(A374="","",SUMIFS(COMPRAS!$C$2:$C$2001,COMPRAS!$K$2:$K$2001,A374))</f>
        <v/>
      </c>
    </row>
    <row r="375" customFormat="false" ht="15" hidden="false" customHeight="false" outlineLevel="0" collapsed="false">
      <c r="A375" s="11" t="str">
        <f aca="false">IFERROR(INDEX(_AUX!$A$2:$A$3201,MATCH(ROW()-1,_AUX!$C$2:$C$3201,0)),"")</f>
        <v/>
      </c>
      <c r="B375" s="11" t="str">
        <f aca="false">IF(A375="","",IFERROR(INDEX(DECKS!$C$2:$C$1201,MATCH(A375,DECKS!$B$2:$B$1201,0)),IFERROR(TRIM(INDEX(COMPRAS!$I$2:$I$2001,MATCH(A375,COMPRAS!$L$2:$L$2001,0))),"(sem nome)")))</f>
        <v/>
      </c>
      <c r="C375" s="16" t="str">
        <f aca="false">IF(A375="","",SUMIFS(COMPRAS!$C$2:$C$2001,COMPRAS!$K$2:$K$2001,A375))</f>
        <v/>
      </c>
    </row>
    <row r="376" customFormat="false" ht="15" hidden="false" customHeight="false" outlineLevel="0" collapsed="false">
      <c r="A376" s="11" t="str">
        <f aca="false">IFERROR(INDEX(_AUX!$A$2:$A$3201,MATCH(ROW()-1,_AUX!$C$2:$C$3201,0)),"")</f>
        <v/>
      </c>
      <c r="B376" s="11" t="str">
        <f aca="false">IF(A376="","",IFERROR(INDEX(DECKS!$C$2:$C$1201,MATCH(A376,DECKS!$B$2:$B$1201,0)),IFERROR(TRIM(INDEX(COMPRAS!$I$2:$I$2001,MATCH(A376,COMPRAS!$L$2:$L$2001,0))),"(sem nome)")))</f>
        <v/>
      </c>
      <c r="C376" s="16" t="str">
        <f aca="false">IF(A376="","",SUMIFS(COMPRAS!$C$2:$C$2001,COMPRAS!$K$2:$K$2001,A376))</f>
        <v/>
      </c>
    </row>
    <row r="377" customFormat="false" ht="15" hidden="false" customHeight="false" outlineLevel="0" collapsed="false">
      <c r="A377" s="11" t="str">
        <f aca="false">IFERROR(INDEX(_AUX!$A$2:$A$3201,MATCH(ROW()-1,_AUX!$C$2:$C$3201,0)),"")</f>
        <v/>
      </c>
      <c r="B377" s="11" t="str">
        <f aca="false">IF(A377="","",IFERROR(INDEX(DECKS!$C$2:$C$1201,MATCH(A377,DECKS!$B$2:$B$1201,0)),IFERROR(TRIM(INDEX(COMPRAS!$I$2:$I$2001,MATCH(A377,COMPRAS!$L$2:$L$2001,0))),"(sem nome)")))</f>
        <v/>
      </c>
      <c r="C377" s="16" t="str">
        <f aca="false">IF(A377="","",SUMIFS(COMPRAS!$C$2:$C$2001,COMPRAS!$K$2:$K$2001,A377))</f>
        <v/>
      </c>
    </row>
    <row r="378" customFormat="false" ht="15" hidden="false" customHeight="false" outlineLevel="0" collapsed="false">
      <c r="A378" s="11" t="str">
        <f aca="false">IFERROR(INDEX(_AUX!$A$2:$A$3201,MATCH(ROW()-1,_AUX!$C$2:$C$3201,0)),"")</f>
        <v/>
      </c>
      <c r="B378" s="11" t="str">
        <f aca="false">IF(A378="","",IFERROR(INDEX(DECKS!$C$2:$C$1201,MATCH(A378,DECKS!$B$2:$B$1201,0)),IFERROR(TRIM(INDEX(COMPRAS!$I$2:$I$2001,MATCH(A378,COMPRAS!$L$2:$L$2001,0))),"(sem nome)")))</f>
        <v/>
      </c>
      <c r="C378" s="16" t="str">
        <f aca="false">IF(A378="","",SUMIFS(COMPRAS!$C$2:$C$2001,COMPRAS!$K$2:$K$2001,A378))</f>
        <v/>
      </c>
    </row>
    <row r="379" customFormat="false" ht="15" hidden="false" customHeight="false" outlineLevel="0" collapsed="false">
      <c r="A379" s="11" t="str">
        <f aca="false">IFERROR(INDEX(_AUX!$A$2:$A$3201,MATCH(ROW()-1,_AUX!$C$2:$C$3201,0)),"")</f>
        <v/>
      </c>
      <c r="B379" s="11" t="str">
        <f aca="false">IF(A379="","",IFERROR(INDEX(DECKS!$C$2:$C$1201,MATCH(A379,DECKS!$B$2:$B$1201,0)),IFERROR(TRIM(INDEX(COMPRAS!$I$2:$I$2001,MATCH(A379,COMPRAS!$L$2:$L$2001,0))),"(sem nome)")))</f>
        <v/>
      </c>
      <c r="C379" s="16" t="str">
        <f aca="false">IF(A379="","",SUMIFS(COMPRAS!$C$2:$C$2001,COMPRAS!$K$2:$K$2001,A379))</f>
        <v/>
      </c>
    </row>
    <row r="380" customFormat="false" ht="15" hidden="false" customHeight="false" outlineLevel="0" collapsed="false">
      <c r="A380" s="11" t="str">
        <f aca="false">IFERROR(INDEX(_AUX!$A$2:$A$3201,MATCH(ROW()-1,_AUX!$C$2:$C$3201,0)),"")</f>
        <v/>
      </c>
      <c r="B380" s="11" t="str">
        <f aca="false">IF(A380="","",IFERROR(INDEX(DECKS!$C$2:$C$1201,MATCH(A380,DECKS!$B$2:$B$1201,0)),IFERROR(TRIM(INDEX(COMPRAS!$I$2:$I$2001,MATCH(A380,COMPRAS!$L$2:$L$2001,0))),"(sem nome)")))</f>
        <v/>
      </c>
      <c r="C380" s="16" t="str">
        <f aca="false">IF(A380="","",SUMIFS(COMPRAS!$C$2:$C$2001,COMPRAS!$K$2:$K$2001,A380))</f>
        <v/>
      </c>
    </row>
    <row r="381" customFormat="false" ht="15" hidden="false" customHeight="false" outlineLevel="0" collapsed="false">
      <c r="A381" s="11" t="str">
        <f aca="false">IFERROR(INDEX(_AUX!$A$2:$A$3201,MATCH(ROW()-1,_AUX!$C$2:$C$3201,0)),"")</f>
        <v/>
      </c>
      <c r="B381" s="11" t="str">
        <f aca="false">IF(A381="","",IFERROR(INDEX(DECKS!$C$2:$C$1201,MATCH(A381,DECKS!$B$2:$B$1201,0)),IFERROR(TRIM(INDEX(COMPRAS!$I$2:$I$2001,MATCH(A381,COMPRAS!$L$2:$L$2001,0))),"(sem nome)")))</f>
        <v/>
      </c>
      <c r="C381" s="16" t="str">
        <f aca="false">IF(A381="","",SUMIFS(COMPRAS!$C$2:$C$2001,COMPRAS!$K$2:$K$2001,A381))</f>
        <v/>
      </c>
    </row>
    <row r="382" customFormat="false" ht="15" hidden="false" customHeight="false" outlineLevel="0" collapsed="false">
      <c r="A382" s="11" t="str">
        <f aca="false">IFERROR(INDEX(_AUX!$A$2:$A$3201,MATCH(ROW()-1,_AUX!$C$2:$C$3201,0)),"")</f>
        <v/>
      </c>
      <c r="B382" s="11" t="str">
        <f aca="false">IF(A382="","",IFERROR(INDEX(DECKS!$C$2:$C$1201,MATCH(A382,DECKS!$B$2:$B$1201,0)),IFERROR(TRIM(INDEX(COMPRAS!$I$2:$I$2001,MATCH(A382,COMPRAS!$L$2:$L$2001,0))),"(sem nome)")))</f>
        <v/>
      </c>
      <c r="C382" s="16" t="str">
        <f aca="false">IF(A382="","",SUMIFS(COMPRAS!$C$2:$C$2001,COMPRAS!$K$2:$K$2001,A382))</f>
        <v/>
      </c>
    </row>
    <row r="383" customFormat="false" ht="15" hidden="false" customHeight="false" outlineLevel="0" collapsed="false">
      <c r="A383" s="11" t="str">
        <f aca="false">IFERROR(INDEX(_AUX!$A$2:$A$3201,MATCH(ROW()-1,_AUX!$C$2:$C$3201,0)),"")</f>
        <v/>
      </c>
      <c r="B383" s="11" t="str">
        <f aca="false">IF(A383="","",IFERROR(INDEX(DECKS!$C$2:$C$1201,MATCH(A383,DECKS!$B$2:$B$1201,0)),IFERROR(TRIM(INDEX(COMPRAS!$I$2:$I$2001,MATCH(A383,COMPRAS!$L$2:$L$2001,0))),"(sem nome)")))</f>
        <v/>
      </c>
      <c r="C383" s="16" t="str">
        <f aca="false">IF(A383="","",SUMIFS(COMPRAS!$C$2:$C$2001,COMPRAS!$K$2:$K$2001,A383))</f>
        <v/>
      </c>
    </row>
    <row r="384" customFormat="false" ht="15" hidden="false" customHeight="false" outlineLevel="0" collapsed="false">
      <c r="A384" s="11" t="str">
        <f aca="false">IFERROR(INDEX(_AUX!$A$2:$A$3201,MATCH(ROW()-1,_AUX!$C$2:$C$3201,0)),"")</f>
        <v/>
      </c>
      <c r="B384" s="11" t="str">
        <f aca="false">IF(A384="","",IFERROR(INDEX(DECKS!$C$2:$C$1201,MATCH(A384,DECKS!$B$2:$B$1201,0)),IFERROR(TRIM(INDEX(COMPRAS!$I$2:$I$2001,MATCH(A384,COMPRAS!$L$2:$L$2001,0))),"(sem nome)")))</f>
        <v/>
      </c>
      <c r="C384" s="16" t="str">
        <f aca="false">IF(A384="","",SUMIFS(COMPRAS!$C$2:$C$2001,COMPRAS!$K$2:$K$2001,A384))</f>
        <v/>
      </c>
    </row>
    <row r="385" customFormat="false" ht="15" hidden="false" customHeight="false" outlineLevel="0" collapsed="false">
      <c r="A385" s="11" t="str">
        <f aca="false">IFERROR(INDEX(_AUX!$A$2:$A$3201,MATCH(ROW()-1,_AUX!$C$2:$C$3201,0)),"")</f>
        <v/>
      </c>
      <c r="B385" s="11" t="str">
        <f aca="false">IF(A385="","",IFERROR(INDEX(DECKS!$C$2:$C$1201,MATCH(A385,DECKS!$B$2:$B$1201,0)),IFERROR(TRIM(INDEX(COMPRAS!$I$2:$I$2001,MATCH(A385,COMPRAS!$L$2:$L$2001,0))),"(sem nome)")))</f>
        <v/>
      </c>
      <c r="C385" s="16" t="str">
        <f aca="false">IF(A385="","",SUMIFS(COMPRAS!$C$2:$C$2001,COMPRAS!$K$2:$K$2001,A385))</f>
        <v/>
      </c>
    </row>
    <row r="386" customFormat="false" ht="15" hidden="false" customHeight="false" outlineLevel="0" collapsed="false">
      <c r="A386" s="11" t="str">
        <f aca="false">IFERROR(INDEX(_AUX!$A$2:$A$3201,MATCH(ROW()-1,_AUX!$C$2:$C$3201,0)),"")</f>
        <v/>
      </c>
      <c r="B386" s="11" t="str">
        <f aca="false">IF(A386="","",IFERROR(INDEX(DECKS!$C$2:$C$1201,MATCH(A386,DECKS!$B$2:$B$1201,0)),IFERROR(TRIM(INDEX(COMPRAS!$I$2:$I$2001,MATCH(A386,COMPRAS!$L$2:$L$2001,0))),"(sem nome)")))</f>
        <v/>
      </c>
      <c r="C386" s="16" t="str">
        <f aca="false">IF(A386="","",SUMIFS(COMPRAS!$C$2:$C$2001,COMPRAS!$K$2:$K$2001,A386))</f>
        <v/>
      </c>
    </row>
    <row r="387" customFormat="false" ht="15" hidden="false" customHeight="false" outlineLevel="0" collapsed="false">
      <c r="A387" s="11" t="str">
        <f aca="false">IFERROR(INDEX(_AUX!$A$2:$A$3201,MATCH(ROW()-1,_AUX!$C$2:$C$3201,0)),"")</f>
        <v/>
      </c>
      <c r="B387" s="11" t="str">
        <f aca="false">IF(A387="","",IFERROR(INDEX(DECKS!$C$2:$C$1201,MATCH(A387,DECKS!$B$2:$B$1201,0)),IFERROR(TRIM(INDEX(COMPRAS!$I$2:$I$2001,MATCH(A387,COMPRAS!$L$2:$L$2001,0))),"(sem nome)")))</f>
        <v/>
      </c>
      <c r="C387" s="16" t="str">
        <f aca="false">IF(A387="","",SUMIFS(COMPRAS!$C$2:$C$2001,COMPRAS!$K$2:$K$2001,A387))</f>
        <v/>
      </c>
    </row>
    <row r="388" customFormat="false" ht="15" hidden="false" customHeight="false" outlineLevel="0" collapsed="false">
      <c r="A388" s="11" t="str">
        <f aca="false">IFERROR(INDEX(_AUX!$A$2:$A$3201,MATCH(ROW()-1,_AUX!$C$2:$C$3201,0)),"")</f>
        <v/>
      </c>
      <c r="B388" s="11" t="str">
        <f aca="false">IF(A388="","",IFERROR(INDEX(DECKS!$C$2:$C$1201,MATCH(A388,DECKS!$B$2:$B$1201,0)),IFERROR(TRIM(INDEX(COMPRAS!$I$2:$I$2001,MATCH(A388,COMPRAS!$L$2:$L$2001,0))),"(sem nome)")))</f>
        <v/>
      </c>
      <c r="C388" s="16" t="str">
        <f aca="false">IF(A388="","",SUMIFS(COMPRAS!$C$2:$C$2001,COMPRAS!$K$2:$K$2001,A388))</f>
        <v/>
      </c>
    </row>
    <row r="389" customFormat="false" ht="15" hidden="false" customHeight="false" outlineLevel="0" collapsed="false">
      <c r="A389" s="11" t="str">
        <f aca="false">IFERROR(INDEX(_AUX!$A$2:$A$3201,MATCH(ROW()-1,_AUX!$C$2:$C$3201,0)),"")</f>
        <v/>
      </c>
      <c r="B389" s="11" t="str">
        <f aca="false">IF(A389="","",IFERROR(INDEX(DECKS!$C$2:$C$1201,MATCH(A389,DECKS!$B$2:$B$1201,0)),IFERROR(TRIM(INDEX(COMPRAS!$I$2:$I$2001,MATCH(A389,COMPRAS!$L$2:$L$2001,0))),"(sem nome)")))</f>
        <v/>
      </c>
      <c r="C389" s="16" t="str">
        <f aca="false">IF(A389="","",SUMIFS(COMPRAS!$C$2:$C$2001,COMPRAS!$K$2:$K$2001,A389))</f>
        <v/>
      </c>
    </row>
    <row r="390" customFormat="false" ht="15" hidden="false" customHeight="false" outlineLevel="0" collapsed="false">
      <c r="A390" s="11" t="str">
        <f aca="false">IFERROR(INDEX(_AUX!$A$2:$A$3201,MATCH(ROW()-1,_AUX!$C$2:$C$3201,0)),"")</f>
        <v/>
      </c>
      <c r="B390" s="11" t="str">
        <f aca="false">IF(A390="","",IFERROR(INDEX(DECKS!$C$2:$C$1201,MATCH(A390,DECKS!$B$2:$B$1201,0)),IFERROR(TRIM(INDEX(COMPRAS!$I$2:$I$2001,MATCH(A390,COMPRAS!$L$2:$L$2001,0))),"(sem nome)")))</f>
        <v/>
      </c>
      <c r="C390" s="16" t="str">
        <f aca="false">IF(A390="","",SUMIFS(COMPRAS!$C$2:$C$2001,COMPRAS!$K$2:$K$2001,A390))</f>
        <v/>
      </c>
    </row>
    <row r="391" customFormat="false" ht="15" hidden="false" customHeight="false" outlineLevel="0" collapsed="false">
      <c r="A391" s="11" t="str">
        <f aca="false">IFERROR(INDEX(_AUX!$A$2:$A$3201,MATCH(ROW()-1,_AUX!$C$2:$C$3201,0)),"")</f>
        <v/>
      </c>
      <c r="B391" s="11" t="str">
        <f aca="false">IF(A391="","",IFERROR(INDEX(DECKS!$C$2:$C$1201,MATCH(A391,DECKS!$B$2:$B$1201,0)),IFERROR(TRIM(INDEX(COMPRAS!$I$2:$I$2001,MATCH(A391,COMPRAS!$L$2:$L$2001,0))),"(sem nome)")))</f>
        <v/>
      </c>
      <c r="C391" s="16" t="str">
        <f aca="false">IF(A391="","",SUMIFS(COMPRAS!$C$2:$C$2001,COMPRAS!$K$2:$K$2001,A391))</f>
        <v/>
      </c>
    </row>
    <row r="392" customFormat="false" ht="15" hidden="false" customHeight="false" outlineLevel="0" collapsed="false">
      <c r="A392" s="11" t="str">
        <f aca="false">IFERROR(INDEX(_AUX!$A$2:$A$3201,MATCH(ROW()-1,_AUX!$C$2:$C$3201,0)),"")</f>
        <v/>
      </c>
      <c r="B392" s="11" t="str">
        <f aca="false">IF(A392="","",IFERROR(INDEX(DECKS!$C$2:$C$1201,MATCH(A392,DECKS!$B$2:$B$1201,0)),IFERROR(TRIM(INDEX(COMPRAS!$I$2:$I$2001,MATCH(A392,COMPRAS!$L$2:$L$2001,0))),"(sem nome)")))</f>
        <v/>
      </c>
      <c r="C392" s="16" t="str">
        <f aca="false">IF(A392="","",SUMIFS(COMPRAS!$C$2:$C$2001,COMPRAS!$K$2:$K$2001,A392))</f>
        <v/>
      </c>
    </row>
    <row r="393" customFormat="false" ht="15" hidden="false" customHeight="false" outlineLevel="0" collapsed="false">
      <c r="A393" s="11" t="str">
        <f aca="false">IFERROR(INDEX(_AUX!$A$2:$A$3201,MATCH(ROW()-1,_AUX!$C$2:$C$3201,0)),"")</f>
        <v/>
      </c>
      <c r="B393" s="11" t="str">
        <f aca="false">IF(A393="","",IFERROR(INDEX(DECKS!$C$2:$C$1201,MATCH(A393,DECKS!$B$2:$B$1201,0)),IFERROR(TRIM(INDEX(COMPRAS!$I$2:$I$2001,MATCH(A393,COMPRAS!$L$2:$L$2001,0))),"(sem nome)")))</f>
        <v/>
      </c>
      <c r="C393" s="16" t="str">
        <f aca="false">IF(A393="","",SUMIFS(COMPRAS!$C$2:$C$2001,COMPRAS!$K$2:$K$2001,A393))</f>
        <v/>
      </c>
    </row>
    <row r="394" customFormat="false" ht="15" hidden="false" customHeight="false" outlineLevel="0" collapsed="false">
      <c r="A394" s="11" t="str">
        <f aca="false">IFERROR(INDEX(_AUX!$A$2:$A$3201,MATCH(ROW()-1,_AUX!$C$2:$C$3201,0)),"")</f>
        <v/>
      </c>
      <c r="B394" s="11" t="str">
        <f aca="false">IF(A394="","",IFERROR(INDEX(DECKS!$C$2:$C$1201,MATCH(A394,DECKS!$B$2:$B$1201,0)),IFERROR(TRIM(INDEX(COMPRAS!$I$2:$I$2001,MATCH(A394,COMPRAS!$L$2:$L$2001,0))),"(sem nome)")))</f>
        <v/>
      </c>
      <c r="C394" s="16" t="str">
        <f aca="false">IF(A394="","",SUMIFS(COMPRAS!$C$2:$C$2001,COMPRAS!$K$2:$K$2001,A394))</f>
        <v/>
      </c>
    </row>
    <row r="395" customFormat="false" ht="15" hidden="false" customHeight="false" outlineLevel="0" collapsed="false">
      <c r="A395" s="11" t="str">
        <f aca="false">IFERROR(INDEX(_AUX!$A$2:$A$3201,MATCH(ROW()-1,_AUX!$C$2:$C$3201,0)),"")</f>
        <v/>
      </c>
      <c r="B395" s="11" t="str">
        <f aca="false">IF(A395="","",IFERROR(INDEX(DECKS!$C$2:$C$1201,MATCH(A395,DECKS!$B$2:$B$1201,0)),IFERROR(TRIM(INDEX(COMPRAS!$I$2:$I$2001,MATCH(A395,COMPRAS!$L$2:$L$2001,0))),"(sem nome)")))</f>
        <v/>
      </c>
      <c r="C395" s="16" t="str">
        <f aca="false">IF(A395="","",SUMIFS(COMPRAS!$C$2:$C$2001,COMPRAS!$K$2:$K$2001,A395))</f>
        <v/>
      </c>
    </row>
    <row r="396" customFormat="false" ht="15" hidden="false" customHeight="false" outlineLevel="0" collapsed="false">
      <c r="A396" s="11" t="str">
        <f aca="false">IFERROR(INDEX(_AUX!$A$2:$A$3201,MATCH(ROW()-1,_AUX!$C$2:$C$3201,0)),"")</f>
        <v/>
      </c>
      <c r="B396" s="11" t="str">
        <f aca="false">IF(A396="","",IFERROR(INDEX(DECKS!$C$2:$C$1201,MATCH(A396,DECKS!$B$2:$B$1201,0)),IFERROR(TRIM(INDEX(COMPRAS!$I$2:$I$2001,MATCH(A396,COMPRAS!$L$2:$L$2001,0))),"(sem nome)")))</f>
        <v/>
      </c>
      <c r="C396" s="16" t="str">
        <f aca="false">IF(A396="","",SUMIFS(COMPRAS!$C$2:$C$2001,COMPRAS!$K$2:$K$2001,A396))</f>
        <v/>
      </c>
    </row>
    <row r="397" customFormat="false" ht="15" hidden="false" customHeight="false" outlineLevel="0" collapsed="false">
      <c r="A397" s="11" t="str">
        <f aca="false">IFERROR(INDEX(_AUX!$A$2:$A$3201,MATCH(ROW()-1,_AUX!$C$2:$C$3201,0)),"")</f>
        <v/>
      </c>
      <c r="B397" s="11" t="str">
        <f aca="false">IF(A397="","",IFERROR(INDEX(DECKS!$C$2:$C$1201,MATCH(A397,DECKS!$B$2:$B$1201,0)),IFERROR(TRIM(INDEX(COMPRAS!$I$2:$I$2001,MATCH(A397,COMPRAS!$L$2:$L$2001,0))),"(sem nome)")))</f>
        <v/>
      </c>
      <c r="C397" s="16" t="str">
        <f aca="false">IF(A397="","",SUMIFS(COMPRAS!$C$2:$C$2001,COMPRAS!$K$2:$K$2001,A397))</f>
        <v/>
      </c>
    </row>
    <row r="398" customFormat="false" ht="15" hidden="false" customHeight="false" outlineLevel="0" collapsed="false">
      <c r="A398" s="11" t="str">
        <f aca="false">IFERROR(INDEX(_AUX!$A$2:$A$3201,MATCH(ROW()-1,_AUX!$C$2:$C$3201,0)),"")</f>
        <v/>
      </c>
      <c r="B398" s="11" t="str">
        <f aca="false">IF(A398="","",IFERROR(INDEX(DECKS!$C$2:$C$1201,MATCH(A398,DECKS!$B$2:$B$1201,0)),IFERROR(TRIM(INDEX(COMPRAS!$I$2:$I$2001,MATCH(A398,COMPRAS!$L$2:$L$2001,0))),"(sem nome)")))</f>
        <v/>
      </c>
      <c r="C398" s="16" t="str">
        <f aca="false">IF(A398="","",SUMIFS(COMPRAS!$C$2:$C$2001,COMPRAS!$K$2:$K$2001,A398))</f>
        <v/>
      </c>
    </row>
    <row r="399" customFormat="false" ht="15" hidden="false" customHeight="false" outlineLevel="0" collapsed="false">
      <c r="A399" s="11" t="str">
        <f aca="false">IFERROR(INDEX(_AUX!$A$2:$A$3201,MATCH(ROW()-1,_AUX!$C$2:$C$3201,0)),"")</f>
        <v/>
      </c>
      <c r="B399" s="11" t="str">
        <f aca="false">IF(A399="","",IFERROR(INDEX(DECKS!$C$2:$C$1201,MATCH(A399,DECKS!$B$2:$B$1201,0)),IFERROR(TRIM(INDEX(COMPRAS!$I$2:$I$2001,MATCH(A399,COMPRAS!$L$2:$L$2001,0))),"(sem nome)")))</f>
        <v/>
      </c>
      <c r="C399" s="16" t="str">
        <f aca="false">IF(A399="","",SUMIFS(COMPRAS!$C$2:$C$2001,COMPRAS!$K$2:$K$2001,A399))</f>
        <v/>
      </c>
    </row>
    <row r="400" customFormat="false" ht="15" hidden="false" customHeight="false" outlineLevel="0" collapsed="false">
      <c r="A400" s="11" t="str">
        <f aca="false">IFERROR(INDEX(_AUX!$A$2:$A$3201,MATCH(ROW()-1,_AUX!$C$2:$C$3201,0)),"")</f>
        <v/>
      </c>
      <c r="B400" s="11" t="str">
        <f aca="false">IF(A400="","",IFERROR(INDEX(DECKS!$C$2:$C$1201,MATCH(A400,DECKS!$B$2:$B$1201,0)),IFERROR(TRIM(INDEX(COMPRAS!$I$2:$I$2001,MATCH(A400,COMPRAS!$L$2:$L$2001,0))),"(sem nome)")))</f>
        <v/>
      </c>
      <c r="C400" s="16" t="str">
        <f aca="false">IF(A400="","",SUMIFS(COMPRAS!$C$2:$C$2001,COMPRAS!$K$2:$K$2001,A400))</f>
        <v/>
      </c>
    </row>
    <row r="401" customFormat="false" ht="15" hidden="false" customHeight="false" outlineLevel="0" collapsed="false">
      <c r="A401" s="11" t="str">
        <f aca="false">IFERROR(INDEX(_AUX!$A$2:$A$3201,MATCH(ROW()-1,_AUX!$C$2:$C$3201,0)),"")</f>
        <v/>
      </c>
      <c r="B401" s="11" t="str">
        <f aca="false">IF(A401="","",IFERROR(INDEX(DECKS!$C$2:$C$1201,MATCH(A401,DECKS!$B$2:$B$1201,0)),IFERROR(TRIM(INDEX(COMPRAS!$I$2:$I$2001,MATCH(A401,COMPRAS!$L$2:$L$2001,0))),"(sem nome)")))</f>
        <v/>
      </c>
      <c r="C401" s="16" t="str">
        <f aca="false">IF(A401="","",SUMIFS(COMPRAS!$C$2:$C$2001,COMPRAS!$K$2:$K$2001,A401))</f>
        <v/>
      </c>
    </row>
    <row r="402" customFormat="false" ht="15" hidden="false" customHeight="false" outlineLevel="0" collapsed="false">
      <c r="A402" s="11" t="str">
        <f aca="false">IFERROR(INDEX(_AUX!$A$2:$A$3201,MATCH(ROW()-1,_AUX!$C$2:$C$3201,0)),"")</f>
        <v/>
      </c>
      <c r="B402" s="11" t="str">
        <f aca="false">IF(A402="","",IFERROR(INDEX(DECKS!$C$2:$C$1201,MATCH(A402,DECKS!$B$2:$B$1201,0)),IFERROR(TRIM(INDEX(COMPRAS!$I$2:$I$2001,MATCH(A402,COMPRAS!$L$2:$L$2001,0))),"(sem nome)")))</f>
        <v/>
      </c>
      <c r="C402" s="16" t="str">
        <f aca="false">IF(A402="","",SUMIFS(COMPRAS!$C$2:$C$2001,COMPRAS!$K$2:$K$2001,A402))</f>
        <v/>
      </c>
    </row>
    <row r="403" customFormat="false" ht="15" hidden="false" customHeight="false" outlineLevel="0" collapsed="false">
      <c r="A403" s="11" t="str">
        <f aca="false">IFERROR(INDEX(_AUX!$A$2:$A$3201,MATCH(ROW()-1,_AUX!$C$2:$C$3201,0)),"")</f>
        <v/>
      </c>
      <c r="B403" s="11" t="str">
        <f aca="false">IF(A403="","",IFERROR(INDEX(DECKS!$C$2:$C$1201,MATCH(A403,DECKS!$B$2:$B$1201,0)),IFERROR(TRIM(INDEX(COMPRAS!$I$2:$I$2001,MATCH(A403,COMPRAS!$L$2:$L$2001,0))),"(sem nome)")))</f>
        <v/>
      </c>
      <c r="C403" s="16" t="str">
        <f aca="false">IF(A403="","",SUMIFS(COMPRAS!$C$2:$C$2001,COMPRAS!$K$2:$K$2001,A403))</f>
        <v/>
      </c>
    </row>
    <row r="404" customFormat="false" ht="15" hidden="false" customHeight="false" outlineLevel="0" collapsed="false">
      <c r="A404" s="11" t="str">
        <f aca="false">IFERROR(INDEX(_AUX!$A$2:$A$3201,MATCH(ROW()-1,_AUX!$C$2:$C$3201,0)),"")</f>
        <v/>
      </c>
      <c r="B404" s="11" t="str">
        <f aca="false">IF(A404="","",IFERROR(INDEX(DECKS!$C$2:$C$1201,MATCH(A404,DECKS!$B$2:$B$1201,0)),IFERROR(TRIM(INDEX(COMPRAS!$I$2:$I$2001,MATCH(A404,COMPRAS!$L$2:$L$2001,0))),"(sem nome)")))</f>
        <v/>
      </c>
      <c r="C404" s="16" t="str">
        <f aca="false">IF(A404="","",SUMIFS(COMPRAS!$C$2:$C$2001,COMPRAS!$K$2:$K$2001,A404))</f>
        <v/>
      </c>
    </row>
    <row r="405" customFormat="false" ht="15" hidden="false" customHeight="false" outlineLevel="0" collapsed="false">
      <c r="A405" s="11" t="str">
        <f aca="false">IFERROR(INDEX(_AUX!$A$2:$A$3201,MATCH(ROW()-1,_AUX!$C$2:$C$3201,0)),"")</f>
        <v/>
      </c>
      <c r="B405" s="11" t="str">
        <f aca="false">IF(A405="","",IFERROR(INDEX(DECKS!$C$2:$C$1201,MATCH(A405,DECKS!$B$2:$B$1201,0)),IFERROR(TRIM(INDEX(COMPRAS!$I$2:$I$2001,MATCH(A405,COMPRAS!$L$2:$L$2001,0))),"(sem nome)")))</f>
        <v/>
      </c>
      <c r="C405" s="16" t="str">
        <f aca="false">IF(A405="","",SUMIFS(COMPRAS!$C$2:$C$2001,COMPRAS!$K$2:$K$2001,A405))</f>
        <v/>
      </c>
    </row>
    <row r="406" customFormat="false" ht="15" hidden="false" customHeight="false" outlineLevel="0" collapsed="false">
      <c r="A406" s="11" t="str">
        <f aca="false">IFERROR(INDEX(_AUX!$A$2:$A$3201,MATCH(ROW()-1,_AUX!$C$2:$C$3201,0)),"")</f>
        <v/>
      </c>
      <c r="B406" s="11" t="str">
        <f aca="false">IF(A406="","",IFERROR(INDEX(DECKS!$C$2:$C$1201,MATCH(A406,DECKS!$B$2:$B$1201,0)),IFERROR(TRIM(INDEX(COMPRAS!$I$2:$I$2001,MATCH(A406,COMPRAS!$L$2:$L$2001,0))),"(sem nome)")))</f>
        <v/>
      </c>
      <c r="C406" s="16" t="str">
        <f aca="false">IF(A406="","",SUMIFS(COMPRAS!$C$2:$C$2001,COMPRAS!$K$2:$K$2001,A406))</f>
        <v/>
      </c>
    </row>
    <row r="407" customFormat="false" ht="15" hidden="false" customHeight="false" outlineLevel="0" collapsed="false">
      <c r="A407" s="11" t="str">
        <f aca="false">IFERROR(INDEX(_AUX!$A$2:$A$3201,MATCH(ROW()-1,_AUX!$C$2:$C$3201,0)),"")</f>
        <v/>
      </c>
      <c r="B407" s="11" t="str">
        <f aca="false">IF(A407="","",IFERROR(INDEX(DECKS!$C$2:$C$1201,MATCH(A407,DECKS!$B$2:$B$1201,0)),IFERROR(TRIM(INDEX(COMPRAS!$I$2:$I$2001,MATCH(A407,COMPRAS!$L$2:$L$2001,0))),"(sem nome)")))</f>
        <v/>
      </c>
      <c r="C407" s="16" t="str">
        <f aca="false">IF(A407="","",SUMIFS(COMPRAS!$C$2:$C$2001,COMPRAS!$K$2:$K$2001,A407))</f>
        <v/>
      </c>
    </row>
    <row r="408" customFormat="false" ht="15" hidden="false" customHeight="false" outlineLevel="0" collapsed="false">
      <c r="A408" s="11" t="str">
        <f aca="false">IFERROR(INDEX(_AUX!$A$2:$A$3201,MATCH(ROW()-1,_AUX!$C$2:$C$3201,0)),"")</f>
        <v/>
      </c>
      <c r="B408" s="11" t="str">
        <f aca="false">IF(A408="","",IFERROR(INDEX(DECKS!$C$2:$C$1201,MATCH(A408,DECKS!$B$2:$B$1201,0)),IFERROR(TRIM(INDEX(COMPRAS!$I$2:$I$2001,MATCH(A408,COMPRAS!$L$2:$L$2001,0))),"(sem nome)")))</f>
        <v/>
      </c>
      <c r="C408" s="16" t="str">
        <f aca="false">IF(A408="","",SUMIFS(COMPRAS!$C$2:$C$2001,COMPRAS!$K$2:$K$2001,A408))</f>
        <v/>
      </c>
    </row>
    <row r="409" customFormat="false" ht="15" hidden="false" customHeight="false" outlineLevel="0" collapsed="false">
      <c r="A409" s="11" t="str">
        <f aca="false">IFERROR(INDEX(_AUX!$A$2:$A$3201,MATCH(ROW()-1,_AUX!$C$2:$C$3201,0)),"")</f>
        <v/>
      </c>
      <c r="B409" s="11" t="str">
        <f aca="false">IF(A409="","",IFERROR(INDEX(DECKS!$C$2:$C$1201,MATCH(A409,DECKS!$B$2:$B$1201,0)),IFERROR(TRIM(INDEX(COMPRAS!$I$2:$I$2001,MATCH(A409,COMPRAS!$L$2:$L$2001,0))),"(sem nome)")))</f>
        <v/>
      </c>
      <c r="C409" s="16" t="str">
        <f aca="false">IF(A409="","",SUMIFS(COMPRAS!$C$2:$C$2001,COMPRAS!$K$2:$K$2001,A409))</f>
        <v/>
      </c>
    </row>
    <row r="410" customFormat="false" ht="15" hidden="false" customHeight="false" outlineLevel="0" collapsed="false">
      <c r="A410" s="11" t="str">
        <f aca="false">IFERROR(INDEX(_AUX!$A$2:$A$3201,MATCH(ROW()-1,_AUX!$C$2:$C$3201,0)),"")</f>
        <v/>
      </c>
      <c r="B410" s="11" t="str">
        <f aca="false">IF(A410="","",IFERROR(INDEX(DECKS!$C$2:$C$1201,MATCH(A410,DECKS!$B$2:$B$1201,0)),IFERROR(TRIM(INDEX(COMPRAS!$I$2:$I$2001,MATCH(A410,COMPRAS!$L$2:$L$2001,0))),"(sem nome)")))</f>
        <v/>
      </c>
      <c r="C410" s="16" t="str">
        <f aca="false">IF(A410="","",SUMIFS(COMPRAS!$C$2:$C$2001,COMPRAS!$K$2:$K$2001,A410))</f>
        <v/>
      </c>
    </row>
    <row r="411" customFormat="false" ht="15" hidden="false" customHeight="false" outlineLevel="0" collapsed="false">
      <c r="A411" s="11" t="str">
        <f aca="false">IFERROR(INDEX(_AUX!$A$2:$A$3201,MATCH(ROW()-1,_AUX!$C$2:$C$3201,0)),"")</f>
        <v/>
      </c>
      <c r="B411" s="11" t="str">
        <f aca="false">IF(A411="","",IFERROR(INDEX(DECKS!$C$2:$C$1201,MATCH(A411,DECKS!$B$2:$B$1201,0)),IFERROR(TRIM(INDEX(COMPRAS!$I$2:$I$2001,MATCH(A411,COMPRAS!$L$2:$L$2001,0))),"(sem nome)")))</f>
        <v/>
      </c>
      <c r="C411" s="16" t="str">
        <f aca="false">IF(A411="","",SUMIFS(COMPRAS!$C$2:$C$2001,COMPRAS!$K$2:$K$2001,A411))</f>
        <v/>
      </c>
    </row>
    <row r="412" customFormat="false" ht="15" hidden="false" customHeight="false" outlineLevel="0" collapsed="false">
      <c r="A412" s="11" t="str">
        <f aca="false">IFERROR(INDEX(_AUX!$A$2:$A$3201,MATCH(ROW()-1,_AUX!$C$2:$C$3201,0)),"")</f>
        <v/>
      </c>
      <c r="B412" s="11" t="str">
        <f aca="false">IF(A412="","",IFERROR(INDEX(DECKS!$C$2:$C$1201,MATCH(A412,DECKS!$B$2:$B$1201,0)),IFERROR(TRIM(INDEX(COMPRAS!$I$2:$I$2001,MATCH(A412,COMPRAS!$L$2:$L$2001,0))),"(sem nome)")))</f>
        <v/>
      </c>
      <c r="C412" s="16" t="str">
        <f aca="false">IF(A412="","",SUMIFS(COMPRAS!$C$2:$C$2001,COMPRAS!$K$2:$K$2001,A412))</f>
        <v/>
      </c>
    </row>
    <row r="413" customFormat="false" ht="15" hidden="false" customHeight="false" outlineLevel="0" collapsed="false">
      <c r="A413" s="11" t="str">
        <f aca="false">IFERROR(INDEX(_AUX!$A$2:$A$3201,MATCH(ROW()-1,_AUX!$C$2:$C$3201,0)),"")</f>
        <v/>
      </c>
      <c r="B413" s="11" t="str">
        <f aca="false">IF(A413="","",IFERROR(INDEX(DECKS!$C$2:$C$1201,MATCH(A413,DECKS!$B$2:$B$1201,0)),IFERROR(TRIM(INDEX(COMPRAS!$I$2:$I$2001,MATCH(A413,COMPRAS!$L$2:$L$2001,0))),"(sem nome)")))</f>
        <v/>
      </c>
      <c r="C413" s="16" t="str">
        <f aca="false">IF(A413="","",SUMIFS(COMPRAS!$C$2:$C$2001,COMPRAS!$K$2:$K$2001,A413))</f>
        <v/>
      </c>
    </row>
    <row r="414" customFormat="false" ht="15" hidden="false" customHeight="false" outlineLevel="0" collapsed="false">
      <c r="A414" s="11" t="str">
        <f aca="false">IFERROR(INDEX(_AUX!$A$2:$A$3201,MATCH(ROW()-1,_AUX!$C$2:$C$3201,0)),"")</f>
        <v/>
      </c>
      <c r="B414" s="11" t="str">
        <f aca="false">IF(A414="","",IFERROR(INDEX(DECKS!$C$2:$C$1201,MATCH(A414,DECKS!$B$2:$B$1201,0)),IFERROR(TRIM(INDEX(COMPRAS!$I$2:$I$2001,MATCH(A414,COMPRAS!$L$2:$L$2001,0))),"(sem nome)")))</f>
        <v/>
      </c>
      <c r="C414" s="16" t="str">
        <f aca="false">IF(A414="","",SUMIFS(COMPRAS!$C$2:$C$2001,COMPRAS!$K$2:$K$2001,A414))</f>
        <v/>
      </c>
    </row>
    <row r="415" customFormat="false" ht="15" hidden="false" customHeight="false" outlineLevel="0" collapsed="false">
      <c r="A415" s="11" t="str">
        <f aca="false">IFERROR(INDEX(_AUX!$A$2:$A$3201,MATCH(ROW()-1,_AUX!$C$2:$C$3201,0)),"")</f>
        <v/>
      </c>
      <c r="B415" s="11" t="str">
        <f aca="false">IF(A415="","",IFERROR(INDEX(DECKS!$C$2:$C$1201,MATCH(A415,DECKS!$B$2:$B$1201,0)),IFERROR(TRIM(INDEX(COMPRAS!$I$2:$I$2001,MATCH(A415,COMPRAS!$L$2:$L$2001,0))),"(sem nome)")))</f>
        <v/>
      </c>
      <c r="C415" s="16" t="str">
        <f aca="false">IF(A415="","",SUMIFS(COMPRAS!$C$2:$C$2001,COMPRAS!$K$2:$K$2001,A415))</f>
        <v/>
      </c>
    </row>
    <row r="416" customFormat="false" ht="15" hidden="false" customHeight="false" outlineLevel="0" collapsed="false">
      <c r="A416" s="11" t="str">
        <f aca="false">IFERROR(INDEX(_AUX!$A$2:$A$3201,MATCH(ROW()-1,_AUX!$C$2:$C$3201,0)),"")</f>
        <v/>
      </c>
      <c r="B416" s="11" t="str">
        <f aca="false">IF(A416="","",IFERROR(INDEX(DECKS!$C$2:$C$1201,MATCH(A416,DECKS!$B$2:$B$1201,0)),IFERROR(TRIM(INDEX(COMPRAS!$I$2:$I$2001,MATCH(A416,COMPRAS!$L$2:$L$2001,0))),"(sem nome)")))</f>
        <v/>
      </c>
      <c r="C416" s="16" t="str">
        <f aca="false">IF(A416="","",SUMIFS(COMPRAS!$C$2:$C$2001,COMPRAS!$K$2:$K$2001,A416))</f>
        <v/>
      </c>
    </row>
    <row r="417" customFormat="false" ht="15" hidden="false" customHeight="false" outlineLevel="0" collapsed="false">
      <c r="A417" s="11" t="str">
        <f aca="false">IFERROR(INDEX(_AUX!$A$2:$A$3201,MATCH(ROW()-1,_AUX!$C$2:$C$3201,0)),"")</f>
        <v/>
      </c>
      <c r="B417" s="11" t="str">
        <f aca="false">IF(A417="","",IFERROR(INDEX(DECKS!$C$2:$C$1201,MATCH(A417,DECKS!$B$2:$B$1201,0)),IFERROR(TRIM(INDEX(COMPRAS!$I$2:$I$2001,MATCH(A417,COMPRAS!$L$2:$L$2001,0))),"(sem nome)")))</f>
        <v/>
      </c>
      <c r="C417" s="16" t="str">
        <f aca="false">IF(A417="","",SUMIFS(COMPRAS!$C$2:$C$2001,COMPRAS!$K$2:$K$2001,A417))</f>
        <v/>
      </c>
    </row>
    <row r="418" customFormat="false" ht="15" hidden="false" customHeight="false" outlineLevel="0" collapsed="false">
      <c r="A418" s="11" t="str">
        <f aca="false">IFERROR(INDEX(_AUX!$A$2:$A$3201,MATCH(ROW()-1,_AUX!$C$2:$C$3201,0)),"")</f>
        <v/>
      </c>
      <c r="B418" s="11" t="str">
        <f aca="false">IF(A418="","",IFERROR(INDEX(DECKS!$C$2:$C$1201,MATCH(A418,DECKS!$B$2:$B$1201,0)),IFERROR(TRIM(INDEX(COMPRAS!$I$2:$I$2001,MATCH(A418,COMPRAS!$L$2:$L$2001,0))),"(sem nome)")))</f>
        <v/>
      </c>
      <c r="C418" s="16" t="str">
        <f aca="false">IF(A418="","",SUMIFS(COMPRAS!$C$2:$C$2001,COMPRAS!$K$2:$K$2001,A418))</f>
        <v/>
      </c>
    </row>
    <row r="419" customFormat="false" ht="15" hidden="false" customHeight="false" outlineLevel="0" collapsed="false">
      <c r="A419" s="11" t="str">
        <f aca="false">IFERROR(INDEX(_AUX!$A$2:$A$3201,MATCH(ROW()-1,_AUX!$C$2:$C$3201,0)),"")</f>
        <v/>
      </c>
      <c r="B419" s="11" t="str">
        <f aca="false">IF(A419="","",IFERROR(INDEX(DECKS!$C$2:$C$1201,MATCH(A419,DECKS!$B$2:$B$1201,0)),IFERROR(TRIM(INDEX(COMPRAS!$I$2:$I$2001,MATCH(A419,COMPRAS!$L$2:$L$2001,0))),"(sem nome)")))</f>
        <v/>
      </c>
      <c r="C419" s="16" t="str">
        <f aca="false">IF(A419="","",SUMIFS(COMPRAS!$C$2:$C$2001,COMPRAS!$K$2:$K$2001,A419))</f>
        <v/>
      </c>
    </row>
    <row r="420" customFormat="false" ht="15" hidden="false" customHeight="false" outlineLevel="0" collapsed="false">
      <c r="A420" s="11" t="str">
        <f aca="false">IFERROR(INDEX(_AUX!$A$2:$A$3201,MATCH(ROW()-1,_AUX!$C$2:$C$3201,0)),"")</f>
        <v/>
      </c>
      <c r="B420" s="11" t="str">
        <f aca="false">IF(A420="","",IFERROR(INDEX(DECKS!$C$2:$C$1201,MATCH(A420,DECKS!$B$2:$B$1201,0)),IFERROR(TRIM(INDEX(COMPRAS!$I$2:$I$2001,MATCH(A420,COMPRAS!$L$2:$L$2001,0))),"(sem nome)")))</f>
        <v/>
      </c>
      <c r="C420" s="16" t="str">
        <f aca="false">IF(A420="","",SUMIFS(COMPRAS!$C$2:$C$2001,COMPRAS!$K$2:$K$2001,A420))</f>
        <v/>
      </c>
    </row>
    <row r="421" customFormat="false" ht="15" hidden="false" customHeight="false" outlineLevel="0" collapsed="false">
      <c r="A421" s="11" t="str">
        <f aca="false">IFERROR(INDEX(_AUX!$A$2:$A$3201,MATCH(ROW()-1,_AUX!$C$2:$C$3201,0)),"")</f>
        <v/>
      </c>
      <c r="B421" s="11" t="str">
        <f aca="false">IF(A421="","",IFERROR(INDEX(DECKS!$C$2:$C$1201,MATCH(A421,DECKS!$B$2:$B$1201,0)),IFERROR(TRIM(INDEX(COMPRAS!$I$2:$I$2001,MATCH(A421,COMPRAS!$L$2:$L$2001,0))),"(sem nome)")))</f>
        <v/>
      </c>
      <c r="C421" s="16" t="str">
        <f aca="false">IF(A421="","",SUMIFS(COMPRAS!$C$2:$C$2001,COMPRAS!$K$2:$K$2001,A421))</f>
        <v/>
      </c>
    </row>
    <row r="422" customFormat="false" ht="15" hidden="false" customHeight="false" outlineLevel="0" collapsed="false">
      <c r="A422" s="11" t="str">
        <f aca="false">IFERROR(INDEX(_AUX!$A$2:$A$3201,MATCH(ROW()-1,_AUX!$C$2:$C$3201,0)),"")</f>
        <v/>
      </c>
      <c r="B422" s="11" t="str">
        <f aca="false">IF(A422="","",IFERROR(INDEX(DECKS!$C$2:$C$1201,MATCH(A422,DECKS!$B$2:$B$1201,0)),IFERROR(TRIM(INDEX(COMPRAS!$I$2:$I$2001,MATCH(A422,COMPRAS!$L$2:$L$2001,0))),"(sem nome)")))</f>
        <v/>
      </c>
      <c r="C422" s="16" t="str">
        <f aca="false">IF(A422="","",SUMIFS(COMPRAS!$C$2:$C$2001,COMPRAS!$K$2:$K$2001,A422))</f>
        <v/>
      </c>
    </row>
    <row r="423" customFormat="false" ht="15" hidden="false" customHeight="false" outlineLevel="0" collapsed="false">
      <c r="A423" s="11" t="str">
        <f aca="false">IFERROR(INDEX(_AUX!$A$2:$A$3201,MATCH(ROW()-1,_AUX!$C$2:$C$3201,0)),"")</f>
        <v/>
      </c>
      <c r="B423" s="11" t="str">
        <f aca="false">IF(A423="","",IFERROR(INDEX(DECKS!$C$2:$C$1201,MATCH(A423,DECKS!$B$2:$B$1201,0)),IFERROR(TRIM(INDEX(COMPRAS!$I$2:$I$2001,MATCH(A423,COMPRAS!$L$2:$L$2001,0))),"(sem nome)")))</f>
        <v/>
      </c>
      <c r="C423" s="16" t="str">
        <f aca="false">IF(A423="","",SUMIFS(COMPRAS!$C$2:$C$2001,COMPRAS!$K$2:$K$2001,A423))</f>
        <v/>
      </c>
    </row>
    <row r="424" customFormat="false" ht="15" hidden="false" customHeight="false" outlineLevel="0" collapsed="false">
      <c r="A424" s="11" t="str">
        <f aca="false">IFERROR(INDEX(_AUX!$A$2:$A$3201,MATCH(ROW()-1,_AUX!$C$2:$C$3201,0)),"")</f>
        <v/>
      </c>
      <c r="B424" s="11" t="str">
        <f aca="false">IF(A424="","",IFERROR(INDEX(DECKS!$C$2:$C$1201,MATCH(A424,DECKS!$B$2:$B$1201,0)),IFERROR(TRIM(INDEX(COMPRAS!$I$2:$I$2001,MATCH(A424,COMPRAS!$L$2:$L$2001,0))),"(sem nome)")))</f>
        <v/>
      </c>
      <c r="C424" s="16" t="str">
        <f aca="false">IF(A424="","",SUMIFS(COMPRAS!$C$2:$C$2001,COMPRAS!$K$2:$K$2001,A424))</f>
        <v/>
      </c>
    </row>
    <row r="425" customFormat="false" ht="15" hidden="false" customHeight="false" outlineLevel="0" collapsed="false">
      <c r="A425" s="11" t="str">
        <f aca="false">IFERROR(INDEX(_AUX!$A$2:$A$3201,MATCH(ROW()-1,_AUX!$C$2:$C$3201,0)),"")</f>
        <v/>
      </c>
      <c r="B425" s="11" t="str">
        <f aca="false">IF(A425="","",IFERROR(INDEX(DECKS!$C$2:$C$1201,MATCH(A425,DECKS!$B$2:$B$1201,0)),IFERROR(TRIM(INDEX(COMPRAS!$I$2:$I$2001,MATCH(A425,COMPRAS!$L$2:$L$2001,0))),"(sem nome)")))</f>
        <v/>
      </c>
      <c r="C425" s="16" t="str">
        <f aca="false">IF(A425="","",SUMIFS(COMPRAS!$C$2:$C$2001,COMPRAS!$K$2:$K$2001,A425))</f>
        <v/>
      </c>
    </row>
    <row r="426" customFormat="false" ht="15" hidden="false" customHeight="false" outlineLevel="0" collapsed="false">
      <c r="A426" s="11" t="str">
        <f aca="false">IFERROR(INDEX(_AUX!$A$2:$A$3201,MATCH(ROW()-1,_AUX!$C$2:$C$3201,0)),"")</f>
        <v/>
      </c>
      <c r="B426" s="11" t="str">
        <f aca="false">IF(A426="","",IFERROR(INDEX(DECKS!$C$2:$C$1201,MATCH(A426,DECKS!$B$2:$B$1201,0)),IFERROR(TRIM(INDEX(COMPRAS!$I$2:$I$2001,MATCH(A426,COMPRAS!$L$2:$L$2001,0))),"(sem nome)")))</f>
        <v/>
      </c>
      <c r="C426" s="16" t="str">
        <f aca="false">IF(A426="","",SUMIFS(COMPRAS!$C$2:$C$2001,COMPRAS!$K$2:$K$2001,A426))</f>
        <v/>
      </c>
    </row>
    <row r="427" customFormat="false" ht="15" hidden="false" customHeight="false" outlineLevel="0" collapsed="false">
      <c r="A427" s="11" t="str">
        <f aca="false">IFERROR(INDEX(_AUX!$A$2:$A$3201,MATCH(ROW()-1,_AUX!$C$2:$C$3201,0)),"")</f>
        <v/>
      </c>
      <c r="B427" s="11" t="str">
        <f aca="false">IF(A427="","",IFERROR(INDEX(DECKS!$C$2:$C$1201,MATCH(A427,DECKS!$B$2:$B$1201,0)),IFERROR(TRIM(INDEX(COMPRAS!$I$2:$I$2001,MATCH(A427,COMPRAS!$L$2:$L$2001,0))),"(sem nome)")))</f>
        <v/>
      </c>
      <c r="C427" s="16" t="str">
        <f aca="false">IF(A427="","",SUMIFS(COMPRAS!$C$2:$C$2001,COMPRAS!$K$2:$K$2001,A427))</f>
        <v/>
      </c>
    </row>
    <row r="428" customFormat="false" ht="15" hidden="false" customHeight="false" outlineLevel="0" collapsed="false">
      <c r="A428" s="11" t="str">
        <f aca="false">IFERROR(INDEX(_AUX!$A$2:$A$3201,MATCH(ROW()-1,_AUX!$C$2:$C$3201,0)),"")</f>
        <v/>
      </c>
      <c r="B428" s="11" t="str">
        <f aca="false">IF(A428="","",IFERROR(INDEX(DECKS!$C$2:$C$1201,MATCH(A428,DECKS!$B$2:$B$1201,0)),IFERROR(TRIM(INDEX(COMPRAS!$I$2:$I$2001,MATCH(A428,COMPRAS!$L$2:$L$2001,0))),"(sem nome)")))</f>
        <v/>
      </c>
      <c r="C428" s="16" t="str">
        <f aca="false">IF(A428="","",SUMIFS(COMPRAS!$C$2:$C$2001,COMPRAS!$K$2:$K$2001,A428))</f>
        <v/>
      </c>
    </row>
    <row r="429" customFormat="false" ht="15" hidden="false" customHeight="false" outlineLevel="0" collapsed="false">
      <c r="A429" s="11" t="str">
        <f aca="false">IFERROR(INDEX(_AUX!$A$2:$A$3201,MATCH(ROW()-1,_AUX!$C$2:$C$3201,0)),"")</f>
        <v/>
      </c>
      <c r="B429" s="11" t="str">
        <f aca="false">IF(A429="","",IFERROR(INDEX(DECKS!$C$2:$C$1201,MATCH(A429,DECKS!$B$2:$B$1201,0)),IFERROR(TRIM(INDEX(COMPRAS!$I$2:$I$2001,MATCH(A429,COMPRAS!$L$2:$L$2001,0))),"(sem nome)")))</f>
        <v/>
      </c>
      <c r="C429" s="16" t="str">
        <f aca="false">IF(A429="","",SUMIFS(COMPRAS!$C$2:$C$2001,COMPRAS!$K$2:$K$2001,A429))</f>
        <v/>
      </c>
    </row>
    <row r="430" customFormat="false" ht="15" hidden="false" customHeight="false" outlineLevel="0" collapsed="false">
      <c r="A430" s="11" t="str">
        <f aca="false">IFERROR(INDEX(_AUX!$A$2:$A$3201,MATCH(ROW()-1,_AUX!$C$2:$C$3201,0)),"")</f>
        <v/>
      </c>
      <c r="B430" s="11" t="str">
        <f aca="false">IF(A430="","",IFERROR(INDEX(DECKS!$C$2:$C$1201,MATCH(A430,DECKS!$B$2:$B$1201,0)),IFERROR(TRIM(INDEX(COMPRAS!$I$2:$I$2001,MATCH(A430,COMPRAS!$L$2:$L$2001,0))),"(sem nome)")))</f>
        <v/>
      </c>
      <c r="C430" s="16" t="str">
        <f aca="false">IF(A430="","",SUMIFS(COMPRAS!$C$2:$C$2001,COMPRAS!$K$2:$K$2001,A430))</f>
        <v/>
      </c>
    </row>
    <row r="431" customFormat="false" ht="15" hidden="false" customHeight="false" outlineLevel="0" collapsed="false">
      <c r="A431" s="11" t="str">
        <f aca="false">IFERROR(INDEX(_AUX!$A$2:$A$3201,MATCH(ROW()-1,_AUX!$C$2:$C$3201,0)),"")</f>
        <v/>
      </c>
      <c r="B431" s="11" t="str">
        <f aca="false">IF(A431="","",IFERROR(INDEX(DECKS!$C$2:$C$1201,MATCH(A431,DECKS!$B$2:$B$1201,0)),IFERROR(TRIM(INDEX(COMPRAS!$I$2:$I$2001,MATCH(A431,COMPRAS!$L$2:$L$2001,0))),"(sem nome)")))</f>
        <v/>
      </c>
      <c r="C431" s="16" t="str">
        <f aca="false">IF(A431="","",SUMIFS(COMPRAS!$C$2:$C$2001,COMPRAS!$K$2:$K$2001,A431))</f>
        <v/>
      </c>
    </row>
    <row r="432" customFormat="false" ht="15" hidden="false" customHeight="false" outlineLevel="0" collapsed="false">
      <c r="A432" s="11" t="str">
        <f aca="false">IFERROR(INDEX(_AUX!$A$2:$A$3201,MATCH(ROW()-1,_AUX!$C$2:$C$3201,0)),"")</f>
        <v/>
      </c>
      <c r="B432" s="11" t="str">
        <f aca="false">IF(A432="","",IFERROR(INDEX(DECKS!$C$2:$C$1201,MATCH(A432,DECKS!$B$2:$B$1201,0)),IFERROR(TRIM(INDEX(COMPRAS!$I$2:$I$2001,MATCH(A432,COMPRAS!$L$2:$L$2001,0))),"(sem nome)")))</f>
        <v/>
      </c>
      <c r="C432" s="16" t="str">
        <f aca="false">IF(A432="","",SUMIFS(COMPRAS!$C$2:$C$2001,COMPRAS!$K$2:$K$2001,A432))</f>
        <v/>
      </c>
    </row>
    <row r="433" customFormat="false" ht="15" hidden="false" customHeight="false" outlineLevel="0" collapsed="false">
      <c r="A433" s="11" t="str">
        <f aca="false">IFERROR(INDEX(_AUX!$A$2:$A$3201,MATCH(ROW()-1,_AUX!$C$2:$C$3201,0)),"")</f>
        <v/>
      </c>
      <c r="B433" s="11" t="str">
        <f aca="false">IF(A433="","",IFERROR(INDEX(DECKS!$C$2:$C$1201,MATCH(A433,DECKS!$B$2:$B$1201,0)),IFERROR(TRIM(INDEX(COMPRAS!$I$2:$I$2001,MATCH(A433,COMPRAS!$L$2:$L$2001,0))),"(sem nome)")))</f>
        <v/>
      </c>
      <c r="C433" s="16" t="str">
        <f aca="false">IF(A433="","",SUMIFS(COMPRAS!$C$2:$C$2001,COMPRAS!$K$2:$K$2001,A433))</f>
        <v/>
      </c>
    </row>
    <row r="434" customFormat="false" ht="15" hidden="false" customHeight="false" outlineLevel="0" collapsed="false">
      <c r="A434" s="11" t="str">
        <f aca="false">IFERROR(INDEX(_AUX!$A$2:$A$3201,MATCH(ROW()-1,_AUX!$C$2:$C$3201,0)),"")</f>
        <v/>
      </c>
      <c r="B434" s="11" t="str">
        <f aca="false">IF(A434="","",IFERROR(INDEX(DECKS!$C$2:$C$1201,MATCH(A434,DECKS!$B$2:$B$1201,0)),IFERROR(TRIM(INDEX(COMPRAS!$I$2:$I$2001,MATCH(A434,COMPRAS!$L$2:$L$2001,0))),"(sem nome)")))</f>
        <v/>
      </c>
      <c r="C434" s="16" t="str">
        <f aca="false">IF(A434="","",SUMIFS(COMPRAS!$C$2:$C$2001,COMPRAS!$K$2:$K$2001,A434))</f>
        <v/>
      </c>
    </row>
    <row r="435" customFormat="false" ht="15" hidden="false" customHeight="false" outlineLevel="0" collapsed="false">
      <c r="A435" s="11" t="str">
        <f aca="false">IFERROR(INDEX(_AUX!$A$2:$A$3201,MATCH(ROW()-1,_AUX!$C$2:$C$3201,0)),"")</f>
        <v/>
      </c>
      <c r="B435" s="11" t="str">
        <f aca="false">IF(A435="","",IFERROR(INDEX(DECKS!$C$2:$C$1201,MATCH(A435,DECKS!$B$2:$B$1201,0)),IFERROR(TRIM(INDEX(COMPRAS!$I$2:$I$2001,MATCH(A435,COMPRAS!$L$2:$L$2001,0))),"(sem nome)")))</f>
        <v/>
      </c>
      <c r="C435" s="16" t="str">
        <f aca="false">IF(A435="","",SUMIFS(COMPRAS!$C$2:$C$2001,COMPRAS!$K$2:$K$2001,A435))</f>
        <v/>
      </c>
    </row>
    <row r="436" customFormat="false" ht="15" hidden="false" customHeight="false" outlineLevel="0" collapsed="false">
      <c r="A436" s="11" t="str">
        <f aca="false">IFERROR(INDEX(_AUX!$A$2:$A$3201,MATCH(ROW()-1,_AUX!$C$2:$C$3201,0)),"")</f>
        <v/>
      </c>
      <c r="B436" s="11" t="str">
        <f aca="false">IF(A436="","",IFERROR(INDEX(DECKS!$C$2:$C$1201,MATCH(A436,DECKS!$B$2:$B$1201,0)),IFERROR(TRIM(INDEX(COMPRAS!$I$2:$I$2001,MATCH(A436,COMPRAS!$L$2:$L$2001,0))),"(sem nome)")))</f>
        <v/>
      </c>
      <c r="C436" s="16" t="str">
        <f aca="false">IF(A436="","",SUMIFS(COMPRAS!$C$2:$C$2001,COMPRAS!$K$2:$K$2001,A436))</f>
        <v/>
      </c>
    </row>
    <row r="437" customFormat="false" ht="15" hidden="false" customHeight="false" outlineLevel="0" collapsed="false">
      <c r="A437" s="11" t="str">
        <f aca="false">IFERROR(INDEX(_AUX!$A$2:$A$3201,MATCH(ROW()-1,_AUX!$C$2:$C$3201,0)),"")</f>
        <v/>
      </c>
      <c r="B437" s="11" t="str">
        <f aca="false">IF(A437="","",IFERROR(INDEX(DECKS!$C$2:$C$1201,MATCH(A437,DECKS!$B$2:$B$1201,0)),IFERROR(TRIM(INDEX(COMPRAS!$I$2:$I$2001,MATCH(A437,COMPRAS!$L$2:$L$2001,0))),"(sem nome)")))</f>
        <v/>
      </c>
      <c r="C437" s="16" t="str">
        <f aca="false">IF(A437="","",SUMIFS(COMPRAS!$C$2:$C$2001,COMPRAS!$K$2:$K$2001,A437))</f>
        <v/>
      </c>
    </row>
    <row r="438" customFormat="false" ht="15" hidden="false" customHeight="false" outlineLevel="0" collapsed="false">
      <c r="A438" s="11" t="str">
        <f aca="false">IFERROR(INDEX(_AUX!$A$2:$A$3201,MATCH(ROW()-1,_AUX!$C$2:$C$3201,0)),"")</f>
        <v/>
      </c>
      <c r="B438" s="11" t="str">
        <f aca="false">IF(A438="","",IFERROR(INDEX(DECKS!$C$2:$C$1201,MATCH(A438,DECKS!$B$2:$B$1201,0)),IFERROR(TRIM(INDEX(COMPRAS!$I$2:$I$2001,MATCH(A438,COMPRAS!$L$2:$L$2001,0))),"(sem nome)")))</f>
        <v/>
      </c>
      <c r="C438" s="16" t="str">
        <f aca="false">IF(A438="","",SUMIFS(COMPRAS!$C$2:$C$2001,COMPRAS!$K$2:$K$2001,A438))</f>
        <v/>
      </c>
    </row>
    <row r="439" customFormat="false" ht="15" hidden="false" customHeight="false" outlineLevel="0" collapsed="false">
      <c r="A439" s="11" t="str">
        <f aca="false">IFERROR(INDEX(_AUX!$A$2:$A$3201,MATCH(ROW()-1,_AUX!$C$2:$C$3201,0)),"")</f>
        <v/>
      </c>
      <c r="B439" s="11" t="str">
        <f aca="false">IF(A439="","",IFERROR(INDEX(DECKS!$C$2:$C$1201,MATCH(A439,DECKS!$B$2:$B$1201,0)),IFERROR(TRIM(INDEX(COMPRAS!$I$2:$I$2001,MATCH(A439,COMPRAS!$L$2:$L$2001,0))),"(sem nome)")))</f>
        <v/>
      </c>
      <c r="C439" s="16" t="str">
        <f aca="false">IF(A439="","",SUMIFS(COMPRAS!$C$2:$C$2001,COMPRAS!$K$2:$K$2001,A439))</f>
        <v/>
      </c>
    </row>
    <row r="440" customFormat="false" ht="15" hidden="false" customHeight="false" outlineLevel="0" collapsed="false">
      <c r="A440" s="11" t="str">
        <f aca="false">IFERROR(INDEX(_AUX!$A$2:$A$3201,MATCH(ROW()-1,_AUX!$C$2:$C$3201,0)),"")</f>
        <v/>
      </c>
      <c r="B440" s="11" t="str">
        <f aca="false">IF(A440="","",IFERROR(INDEX(DECKS!$C$2:$C$1201,MATCH(A440,DECKS!$B$2:$B$1201,0)),IFERROR(TRIM(INDEX(COMPRAS!$I$2:$I$2001,MATCH(A440,COMPRAS!$L$2:$L$2001,0))),"(sem nome)")))</f>
        <v/>
      </c>
      <c r="C440" s="16" t="str">
        <f aca="false">IF(A440="","",SUMIFS(COMPRAS!$C$2:$C$2001,COMPRAS!$K$2:$K$2001,A440))</f>
        <v/>
      </c>
    </row>
    <row r="441" customFormat="false" ht="15" hidden="false" customHeight="false" outlineLevel="0" collapsed="false">
      <c r="A441" s="11" t="str">
        <f aca="false">IFERROR(INDEX(_AUX!$A$2:$A$3201,MATCH(ROW()-1,_AUX!$C$2:$C$3201,0)),"")</f>
        <v/>
      </c>
      <c r="B441" s="11" t="str">
        <f aca="false">IF(A441="","",IFERROR(INDEX(DECKS!$C$2:$C$1201,MATCH(A441,DECKS!$B$2:$B$1201,0)),IFERROR(TRIM(INDEX(COMPRAS!$I$2:$I$2001,MATCH(A441,COMPRAS!$L$2:$L$2001,0))),"(sem nome)")))</f>
        <v/>
      </c>
      <c r="C441" s="16" t="str">
        <f aca="false">IF(A441="","",SUMIFS(COMPRAS!$C$2:$C$2001,COMPRAS!$K$2:$K$2001,A441))</f>
        <v/>
      </c>
    </row>
    <row r="442" customFormat="false" ht="15" hidden="false" customHeight="false" outlineLevel="0" collapsed="false">
      <c r="A442" s="11" t="str">
        <f aca="false">IFERROR(INDEX(_AUX!$A$2:$A$3201,MATCH(ROW()-1,_AUX!$C$2:$C$3201,0)),"")</f>
        <v/>
      </c>
      <c r="B442" s="11" t="str">
        <f aca="false">IF(A442="","",IFERROR(INDEX(DECKS!$C$2:$C$1201,MATCH(A442,DECKS!$B$2:$B$1201,0)),IFERROR(TRIM(INDEX(COMPRAS!$I$2:$I$2001,MATCH(A442,COMPRAS!$L$2:$L$2001,0))),"(sem nome)")))</f>
        <v/>
      </c>
      <c r="C442" s="16" t="str">
        <f aca="false">IF(A442="","",SUMIFS(COMPRAS!$C$2:$C$2001,COMPRAS!$K$2:$K$2001,A442))</f>
        <v/>
      </c>
    </row>
    <row r="443" customFormat="false" ht="15" hidden="false" customHeight="false" outlineLevel="0" collapsed="false">
      <c r="A443" s="11" t="str">
        <f aca="false">IFERROR(INDEX(_AUX!$A$2:$A$3201,MATCH(ROW()-1,_AUX!$C$2:$C$3201,0)),"")</f>
        <v/>
      </c>
      <c r="B443" s="11" t="str">
        <f aca="false">IF(A443="","",IFERROR(INDEX(DECKS!$C$2:$C$1201,MATCH(A443,DECKS!$B$2:$B$1201,0)),IFERROR(TRIM(INDEX(COMPRAS!$I$2:$I$2001,MATCH(A443,COMPRAS!$L$2:$L$2001,0))),"(sem nome)")))</f>
        <v/>
      </c>
      <c r="C443" s="16" t="str">
        <f aca="false">IF(A443="","",SUMIFS(COMPRAS!$C$2:$C$2001,COMPRAS!$K$2:$K$2001,A443))</f>
        <v/>
      </c>
    </row>
    <row r="444" customFormat="false" ht="15" hidden="false" customHeight="false" outlineLevel="0" collapsed="false">
      <c r="A444" s="11" t="str">
        <f aca="false">IFERROR(INDEX(_AUX!$A$2:$A$3201,MATCH(ROW()-1,_AUX!$C$2:$C$3201,0)),"")</f>
        <v/>
      </c>
      <c r="B444" s="11" t="str">
        <f aca="false">IF(A444="","",IFERROR(INDEX(DECKS!$C$2:$C$1201,MATCH(A444,DECKS!$B$2:$B$1201,0)),IFERROR(TRIM(INDEX(COMPRAS!$I$2:$I$2001,MATCH(A444,COMPRAS!$L$2:$L$2001,0))),"(sem nome)")))</f>
        <v/>
      </c>
      <c r="C444" s="16" t="str">
        <f aca="false">IF(A444="","",SUMIFS(COMPRAS!$C$2:$C$2001,COMPRAS!$K$2:$K$2001,A444))</f>
        <v/>
      </c>
    </row>
    <row r="445" customFormat="false" ht="15" hidden="false" customHeight="false" outlineLevel="0" collapsed="false">
      <c r="A445" s="11" t="str">
        <f aca="false">IFERROR(INDEX(_AUX!$A$2:$A$3201,MATCH(ROW()-1,_AUX!$C$2:$C$3201,0)),"")</f>
        <v/>
      </c>
      <c r="B445" s="11" t="str">
        <f aca="false">IF(A445="","",IFERROR(INDEX(DECKS!$C$2:$C$1201,MATCH(A445,DECKS!$B$2:$B$1201,0)),IFERROR(TRIM(INDEX(COMPRAS!$I$2:$I$2001,MATCH(A445,COMPRAS!$L$2:$L$2001,0))),"(sem nome)")))</f>
        <v/>
      </c>
      <c r="C445" s="16" t="str">
        <f aca="false">IF(A445="","",SUMIFS(COMPRAS!$C$2:$C$2001,COMPRAS!$K$2:$K$2001,A445))</f>
        <v/>
      </c>
    </row>
    <row r="446" customFormat="false" ht="15" hidden="false" customHeight="false" outlineLevel="0" collapsed="false">
      <c r="A446" s="11" t="str">
        <f aca="false">IFERROR(INDEX(_AUX!$A$2:$A$3201,MATCH(ROW()-1,_AUX!$C$2:$C$3201,0)),"")</f>
        <v/>
      </c>
      <c r="B446" s="11" t="str">
        <f aca="false">IF(A446="","",IFERROR(INDEX(DECKS!$C$2:$C$1201,MATCH(A446,DECKS!$B$2:$B$1201,0)),IFERROR(TRIM(INDEX(COMPRAS!$I$2:$I$2001,MATCH(A446,COMPRAS!$L$2:$L$2001,0))),"(sem nome)")))</f>
        <v/>
      </c>
      <c r="C446" s="16" t="str">
        <f aca="false">IF(A446="","",SUMIFS(COMPRAS!$C$2:$C$2001,COMPRAS!$K$2:$K$2001,A446))</f>
        <v/>
      </c>
    </row>
    <row r="447" customFormat="false" ht="15" hidden="false" customHeight="false" outlineLevel="0" collapsed="false">
      <c r="A447" s="11" t="str">
        <f aca="false">IFERROR(INDEX(_AUX!$A$2:$A$3201,MATCH(ROW()-1,_AUX!$C$2:$C$3201,0)),"")</f>
        <v/>
      </c>
      <c r="B447" s="11" t="str">
        <f aca="false">IF(A447="","",IFERROR(INDEX(DECKS!$C$2:$C$1201,MATCH(A447,DECKS!$B$2:$B$1201,0)),IFERROR(TRIM(INDEX(COMPRAS!$I$2:$I$2001,MATCH(A447,COMPRAS!$L$2:$L$2001,0))),"(sem nome)")))</f>
        <v/>
      </c>
      <c r="C447" s="16" t="str">
        <f aca="false">IF(A447="","",SUMIFS(COMPRAS!$C$2:$C$2001,COMPRAS!$K$2:$K$2001,A447))</f>
        <v/>
      </c>
    </row>
    <row r="448" customFormat="false" ht="15" hidden="false" customHeight="false" outlineLevel="0" collapsed="false">
      <c r="A448" s="11" t="str">
        <f aca="false">IFERROR(INDEX(_AUX!$A$2:$A$3201,MATCH(ROW()-1,_AUX!$C$2:$C$3201,0)),"")</f>
        <v/>
      </c>
      <c r="B448" s="11" t="str">
        <f aca="false">IF(A448="","",IFERROR(INDEX(DECKS!$C$2:$C$1201,MATCH(A448,DECKS!$B$2:$B$1201,0)),IFERROR(TRIM(INDEX(COMPRAS!$I$2:$I$2001,MATCH(A448,COMPRAS!$L$2:$L$2001,0))),"(sem nome)")))</f>
        <v/>
      </c>
      <c r="C448" s="16" t="str">
        <f aca="false">IF(A448="","",SUMIFS(COMPRAS!$C$2:$C$2001,COMPRAS!$K$2:$K$2001,A448))</f>
        <v/>
      </c>
    </row>
    <row r="449" customFormat="false" ht="15" hidden="false" customHeight="false" outlineLevel="0" collapsed="false">
      <c r="A449" s="11" t="str">
        <f aca="false">IFERROR(INDEX(_AUX!$A$2:$A$3201,MATCH(ROW()-1,_AUX!$C$2:$C$3201,0)),"")</f>
        <v/>
      </c>
      <c r="B449" s="11" t="str">
        <f aca="false">IF(A449="","",IFERROR(INDEX(DECKS!$C$2:$C$1201,MATCH(A449,DECKS!$B$2:$B$1201,0)),IFERROR(TRIM(INDEX(COMPRAS!$I$2:$I$2001,MATCH(A449,COMPRAS!$L$2:$L$2001,0))),"(sem nome)")))</f>
        <v/>
      </c>
      <c r="C449" s="16" t="str">
        <f aca="false">IF(A449="","",SUMIFS(COMPRAS!$C$2:$C$2001,COMPRAS!$K$2:$K$2001,A449))</f>
        <v/>
      </c>
    </row>
    <row r="450" customFormat="false" ht="15" hidden="false" customHeight="false" outlineLevel="0" collapsed="false">
      <c r="A450" s="11" t="str">
        <f aca="false">IFERROR(INDEX(_AUX!$A$2:$A$3201,MATCH(ROW()-1,_AUX!$C$2:$C$3201,0)),"")</f>
        <v/>
      </c>
      <c r="B450" s="11" t="str">
        <f aca="false">IF(A450="","",IFERROR(INDEX(DECKS!$C$2:$C$1201,MATCH(A450,DECKS!$B$2:$B$1201,0)),IFERROR(TRIM(INDEX(COMPRAS!$I$2:$I$2001,MATCH(A450,COMPRAS!$L$2:$L$2001,0))),"(sem nome)")))</f>
        <v/>
      </c>
      <c r="C450" s="16" t="str">
        <f aca="false">IF(A450="","",SUMIFS(COMPRAS!$C$2:$C$2001,COMPRAS!$K$2:$K$2001,A450))</f>
        <v/>
      </c>
    </row>
    <row r="451" customFormat="false" ht="15" hidden="false" customHeight="false" outlineLevel="0" collapsed="false">
      <c r="A451" s="11" t="str">
        <f aca="false">IFERROR(INDEX(_AUX!$A$2:$A$3201,MATCH(ROW()-1,_AUX!$C$2:$C$3201,0)),"")</f>
        <v/>
      </c>
      <c r="B451" s="11" t="str">
        <f aca="false">IF(A451="","",IFERROR(INDEX(DECKS!$C$2:$C$1201,MATCH(A451,DECKS!$B$2:$B$1201,0)),IFERROR(TRIM(INDEX(COMPRAS!$I$2:$I$2001,MATCH(A451,COMPRAS!$L$2:$L$2001,0))),"(sem nome)")))</f>
        <v/>
      </c>
      <c r="C451" s="16" t="str">
        <f aca="false">IF(A451="","",SUMIFS(COMPRAS!$C$2:$C$2001,COMPRAS!$K$2:$K$2001,A451))</f>
        <v/>
      </c>
    </row>
    <row r="452" customFormat="false" ht="15" hidden="false" customHeight="false" outlineLevel="0" collapsed="false">
      <c r="A452" s="11" t="str">
        <f aca="false">IFERROR(INDEX(_AUX!$A$2:$A$3201,MATCH(ROW()-1,_AUX!$C$2:$C$3201,0)),"")</f>
        <v/>
      </c>
      <c r="B452" s="11" t="str">
        <f aca="false">IF(A452="","",IFERROR(INDEX(DECKS!$C$2:$C$1201,MATCH(A452,DECKS!$B$2:$B$1201,0)),IFERROR(TRIM(INDEX(COMPRAS!$I$2:$I$2001,MATCH(A452,COMPRAS!$L$2:$L$2001,0))),"(sem nome)")))</f>
        <v/>
      </c>
      <c r="C452" s="16" t="str">
        <f aca="false">IF(A452="","",SUMIFS(COMPRAS!$C$2:$C$2001,COMPRAS!$K$2:$K$2001,A452))</f>
        <v/>
      </c>
    </row>
    <row r="453" customFormat="false" ht="15" hidden="false" customHeight="false" outlineLevel="0" collapsed="false">
      <c r="A453" s="11" t="str">
        <f aca="false">IFERROR(INDEX(_AUX!$A$2:$A$3201,MATCH(ROW()-1,_AUX!$C$2:$C$3201,0)),"")</f>
        <v/>
      </c>
      <c r="B453" s="11" t="str">
        <f aca="false">IF(A453="","",IFERROR(INDEX(DECKS!$C$2:$C$1201,MATCH(A453,DECKS!$B$2:$B$1201,0)),IFERROR(TRIM(INDEX(COMPRAS!$I$2:$I$2001,MATCH(A453,COMPRAS!$L$2:$L$2001,0))),"(sem nome)")))</f>
        <v/>
      </c>
      <c r="C453" s="16" t="str">
        <f aca="false">IF(A453="","",SUMIFS(COMPRAS!$C$2:$C$2001,COMPRAS!$K$2:$K$2001,A453))</f>
        <v/>
      </c>
    </row>
    <row r="454" customFormat="false" ht="15" hidden="false" customHeight="false" outlineLevel="0" collapsed="false">
      <c r="A454" s="11" t="str">
        <f aca="false">IFERROR(INDEX(_AUX!$A$2:$A$3201,MATCH(ROW()-1,_AUX!$C$2:$C$3201,0)),"")</f>
        <v/>
      </c>
      <c r="B454" s="11" t="str">
        <f aca="false">IF(A454="","",IFERROR(INDEX(DECKS!$C$2:$C$1201,MATCH(A454,DECKS!$B$2:$B$1201,0)),IFERROR(TRIM(INDEX(COMPRAS!$I$2:$I$2001,MATCH(A454,COMPRAS!$L$2:$L$2001,0))),"(sem nome)")))</f>
        <v/>
      </c>
      <c r="C454" s="16" t="str">
        <f aca="false">IF(A454="","",SUMIFS(COMPRAS!$C$2:$C$2001,COMPRAS!$K$2:$K$2001,A454))</f>
        <v/>
      </c>
    </row>
    <row r="455" customFormat="false" ht="15" hidden="false" customHeight="false" outlineLevel="0" collapsed="false">
      <c r="A455" s="11" t="str">
        <f aca="false">IFERROR(INDEX(_AUX!$A$2:$A$3201,MATCH(ROW()-1,_AUX!$C$2:$C$3201,0)),"")</f>
        <v/>
      </c>
      <c r="B455" s="11" t="str">
        <f aca="false">IF(A455="","",IFERROR(INDEX(DECKS!$C$2:$C$1201,MATCH(A455,DECKS!$B$2:$B$1201,0)),IFERROR(TRIM(INDEX(COMPRAS!$I$2:$I$2001,MATCH(A455,COMPRAS!$L$2:$L$2001,0))),"(sem nome)")))</f>
        <v/>
      </c>
      <c r="C455" s="16" t="str">
        <f aca="false">IF(A455="","",SUMIFS(COMPRAS!$C$2:$C$2001,COMPRAS!$K$2:$K$2001,A455))</f>
        <v/>
      </c>
    </row>
    <row r="456" customFormat="false" ht="15" hidden="false" customHeight="false" outlineLevel="0" collapsed="false">
      <c r="A456" s="11" t="str">
        <f aca="false">IFERROR(INDEX(_AUX!$A$2:$A$3201,MATCH(ROW()-1,_AUX!$C$2:$C$3201,0)),"")</f>
        <v/>
      </c>
      <c r="B456" s="11" t="str">
        <f aca="false">IF(A456="","",IFERROR(INDEX(DECKS!$C$2:$C$1201,MATCH(A456,DECKS!$B$2:$B$1201,0)),IFERROR(TRIM(INDEX(COMPRAS!$I$2:$I$2001,MATCH(A456,COMPRAS!$L$2:$L$2001,0))),"(sem nome)")))</f>
        <v/>
      </c>
      <c r="C456" s="16" t="str">
        <f aca="false">IF(A456="","",SUMIFS(COMPRAS!$C$2:$C$2001,COMPRAS!$K$2:$K$2001,A456))</f>
        <v/>
      </c>
    </row>
    <row r="457" customFormat="false" ht="15" hidden="false" customHeight="false" outlineLevel="0" collapsed="false">
      <c r="A457" s="11" t="str">
        <f aca="false">IFERROR(INDEX(_AUX!$A$2:$A$3201,MATCH(ROW()-1,_AUX!$C$2:$C$3201,0)),"")</f>
        <v/>
      </c>
      <c r="B457" s="11" t="str">
        <f aca="false">IF(A457="","",IFERROR(INDEX(DECKS!$C$2:$C$1201,MATCH(A457,DECKS!$B$2:$B$1201,0)),IFERROR(TRIM(INDEX(COMPRAS!$I$2:$I$2001,MATCH(A457,COMPRAS!$L$2:$L$2001,0))),"(sem nome)")))</f>
        <v/>
      </c>
      <c r="C457" s="16" t="str">
        <f aca="false">IF(A457="","",SUMIFS(COMPRAS!$C$2:$C$2001,COMPRAS!$K$2:$K$2001,A457))</f>
        <v/>
      </c>
    </row>
    <row r="458" customFormat="false" ht="15" hidden="false" customHeight="false" outlineLevel="0" collapsed="false">
      <c r="A458" s="11" t="str">
        <f aca="false">IFERROR(INDEX(_AUX!$A$2:$A$3201,MATCH(ROW()-1,_AUX!$C$2:$C$3201,0)),"")</f>
        <v/>
      </c>
      <c r="B458" s="11" t="str">
        <f aca="false">IF(A458="","",IFERROR(INDEX(DECKS!$C$2:$C$1201,MATCH(A458,DECKS!$B$2:$B$1201,0)),IFERROR(TRIM(INDEX(COMPRAS!$I$2:$I$2001,MATCH(A458,COMPRAS!$L$2:$L$2001,0))),"(sem nome)")))</f>
        <v/>
      </c>
      <c r="C458" s="16" t="str">
        <f aca="false">IF(A458="","",SUMIFS(COMPRAS!$C$2:$C$2001,COMPRAS!$K$2:$K$2001,A458))</f>
        <v/>
      </c>
    </row>
    <row r="459" customFormat="false" ht="15" hidden="false" customHeight="false" outlineLevel="0" collapsed="false">
      <c r="A459" s="11" t="str">
        <f aca="false">IFERROR(INDEX(_AUX!$A$2:$A$3201,MATCH(ROW()-1,_AUX!$C$2:$C$3201,0)),"")</f>
        <v/>
      </c>
      <c r="B459" s="11" t="str">
        <f aca="false">IF(A459="","",IFERROR(INDEX(DECKS!$C$2:$C$1201,MATCH(A459,DECKS!$B$2:$B$1201,0)),IFERROR(TRIM(INDEX(COMPRAS!$I$2:$I$2001,MATCH(A459,COMPRAS!$L$2:$L$2001,0))),"(sem nome)")))</f>
        <v/>
      </c>
      <c r="C459" s="16" t="str">
        <f aca="false">IF(A459="","",SUMIFS(COMPRAS!$C$2:$C$2001,COMPRAS!$K$2:$K$2001,A459))</f>
        <v/>
      </c>
    </row>
    <row r="460" customFormat="false" ht="15" hidden="false" customHeight="false" outlineLevel="0" collapsed="false">
      <c r="A460" s="11" t="str">
        <f aca="false">IFERROR(INDEX(_AUX!$A$2:$A$3201,MATCH(ROW()-1,_AUX!$C$2:$C$3201,0)),"")</f>
        <v/>
      </c>
      <c r="B460" s="11" t="str">
        <f aca="false">IF(A460="","",IFERROR(INDEX(DECKS!$C$2:$C$1201,MATCH(A460,DECKS!$B$2:$B$1201,0)),IFERROR(TRIM(INDEX(COMPRAS!$I$2:$I$2001,MATCH(A460,COMPRAS!$L$2:$L$2001,0))),"(sem nome)")))</f>
        <v/>
      </c>
      <c r="C460" s="16" t="str">
        <f aca="false">IF(A460="","",SUMIFS(COMPRAS!$C$2:$C$2001,COMPRAS!$K$2:$K$2001,A460))</f>
        <v/>
      </c>
    </row>
    <row r="461" customFormat="false" ht="15" hidden="false" customHeight="false" outlineLevel="0" collapsed="false">
      <c r="A461" s="11" t="str">
        <f aca="false">IFERROR(INDEX(_AUX!$A$2:$A$3201,MATCH(ROW()-1,_AUX!$C$2:$C$3201,0)),"")</f>
        <v/>
      </c>
      <c r="B461" s="11" t="str">
        <f aca="false">IF(A461="","",IFERROR(INDEX(DECKS!$C$2:$C$1201,MATCH(A461,DECKS!$B$2:$B$1201,0)),IFERROR(TRIM(INDEX(COMPRAS!$I$2:$I$2001,MATCH(A461,COMPRAS!$L$2:$L$2001,0))),"(sem nome)")))</f>
        <v/>
      </c>
      <c r="C461" s="16" t="str">
        <f aca="false">IF(A461="","",SUMIFS(COMPRAS!$C$2:$C$2001,COMPRAS!$K$2:$K$2001,A461))</f>
        <v/>
      </c>
    </row>
    <row r="462" customFormat="false" ht="15" hidden="false" customHeight="false" outlineLevel="0" collapsed="false">
      <c r="A462" s="11" t="str">
        <f aca="false">IFERROR(INDEX(_AUX!$A$2:$A$3201,MATCH(ROW()-1,_AUX!$C$2:$C$3201,0)),"")</f>
        <v/>
      </c>
      <c r="B462" s="11" t="str">
        <f aca="false">IF(A462="","",IFERROR(INDEX(DECKS!$C$2:$C$1201,MATCH(A462,DECKS!$B$2:$B$1201,0)),IFERROR(TRIM(INDEX(COMPRAS!$I$2:$I$2001,MATCH(A462,COMPRAS!$L$2:$L$2001,0))),"(sem nome)")))</f>
        <v/>
      </c>
      <c r="C462" s="16" t="str">
        <f aca="false">IF(A462="","",SUMIFS(COMPRAS!$C$2:$C$2001,COMPRAS!$K$2:$K$2001,A462))</f>
        <v/>
      </c>
    </row>
    <row r="463" customFormat="false" ht="15" hidden="false" customHeight="false" outlineLevel="0" collapsed="false">
      <c r="A463" s="11" t="str">
        <f aca="false">IFERROR(INDEX(_AUX!$A$2:$A$3201,MATCH(ROW()-1,_AUX!$C$2:$C$3201,0)),"")</f>
        <v/>
      </c>
      <c r="B463" s="11" t="str">
        <f aca="false">IF(A463="","",IFERROR(INDEX(DECKS!$C$2:$C$1201,MATCH(A463,DECKS!$B$2:$B$1201,0)),IFERROR(TRIM(INDEX(COMPRAS!$I$2:$I$2001,MATCH(A463,COMPRAS!$L$2:$L$2001,0))),"(sem nome)")))</f>
        <v/>
      </c>
      <c r="C463" s="16" t="str">
        <f aca="false">IF(A463="","",SUMIFS(COMPRAS!$C$2:$C$2001,COMPRAS!$K$2:$K$2001,A463))</f>
        <v/>
      </c>
    </row>
    <row r="464" customFormat="false" ht="15" hidden="false" customHeight="false" outlineLevel="0" collapsed="false">
      <c r="A464" s="11" t="str">
        <f aca="false">IFERROR(INDEX(_AUX!$A$2:$A$3201,MATCH(ROW()-1,_AUX!$C$2:$C$3201,0)),"")</f>
        <v/>
      </c>
      <c r="B464" s="11" t="str">
        <f aca="false">IF(A464="","",IFERROR(INDEX(DECKS!$C$2:$C$1201,MATCH(A464,DECKS!$B$2:$B$1201,0)),IFERROR(TRIM(INDEX(COMPRAS!$I$2:$I$2001,MATCH(A464,COMPRAS!$L$2:$L$2001,0))),"(sem nome)")))</f>
        <v/>
      </c>
      <c r="C464" s="16" t="str">
        <f aca="false">IF(A464="","",SUMIFS(COMPRAS!$C$2:$C$2001,COMPRAS!$K$2:$K$2001,A464))</f>
        <v/>
      </c>
    </row>
    <row r="465" customFormat="false" ht="15" hidden="false" customHeight="false" outlineLevel="0" collapsed="false">
      <c r="A465" s="11" t="str">
        <f aca="false">IFERROR(INDEX(_AUX!$A$2:$A$3201,MATCH(ROW()-1,_AUX!$C$2:$C$3201,0)),"")</f>
        <v/>
      </c>
      <c r="B465" s="11" t="str">
        <f aca="false">IF(A465="","",IFERROR(INDEX(DECKS!$C$2:$C$1201,MATCH(A465,DECKS!$B$2:$B$1201,0)),IFERROR(TRIM(INDEX(COMPRAS!$I$2:$I$2001,MATCH(A465,COMPRAS!$L$2:$L$2001,0))),"(sem nome)")))</f>
        <v/>
      </c>
      <c r="C465" s="16" t="str">
        <f aca="false">IF(A465="","",SUMIFS(COMPRAS!$C$2:$C$2001,COMPRAS!$K$2:$K$2001,A465))</f>
        <v/>
      </c>
    </row>
    <row r="466" customFormat="false" ht="15" hidden="false" customHeight="false" outlineLevel="0" collapsed="false">
      <c r="A466" s="11" t="str">
        <f aca="false">IFERROR(INDEX(_AUX!$A$2:$A$3201,MATCH(ROW()-1,_AUX!$C$2:$C$3201,0)),"")</f>
        <v/>
      </c>
      <c r="B466" s="11" t="str">
        <f aca="false">IF(A466="","",IFERROR(INDEX(DECKS!$C$2:$C$1201,MATCH(A466,DECKS!$B$2:$B$1201,0)),IFERROR(TRIM(INDEX(COMPRAS!$I$2:$I$2001,MATCH(A466,COMPRAS!$L$2:$L$2001,0))),"(sem nome)")))</f>
        <v/>
      </c>
      <c r="C466" s="16" t="str">
        <f aca="false">IF(A466="","",SUMIFS(COMPRAS!$C$2:$C$2001,COMPRAS!$K$2:$K$2001,A466))</f>
        <v/>
      </c>
    </row>
    <row r="467" customFormat="false" ht="15" hidden="false" customHeight="false" outlineLevel="0" collapsed="false">
      <c r="A467" s="11" t="str">
        <f aca="false">IFERROR(INDEX(_AUX!$A$2:$A$3201,MATCH(ROW()-1,_AUX!$C$2:$C$3201,0)),"")</f>
        <v/>
      </c>
      <c r="B467" s="11" t="str">
        <f aca="false">IF(A467="","",IFERROR(INDEX(DECKS!$C$2:$C$1201,MATCH(A467,DECKS!$B$2:$B$1201,0)),IFERROR(TRIM(INDEX(COMPRAS!$I$2:$I$2001,MATCH(A467,COMPRAS!$L$2:$L$2001,0))),"(sem nome)")))</f>
        <v/>
      </c>
      <c r="C467" s="16" t="str">
        <f aca="false">IF(A467="","",SUMIFS(COMPRAS!$C$2:$C$2001,COMPRAS!$K$2:$K$2001,A467))</f>
        <v/>
      </c>
    </row>
    <row r="468" customFormat="false" ht="15" hidden="false" customHeight="false" outlineLevel="0" collapsed="false">
      <c r="A468" s="11" t="str">
        <f aca="false">IFERROR(INDEX(_AUX!$A$2:$A$3201,MATCH(ROW()-1,_AUX!$C$2:$C$3201,0)),"")</f>
        <v/>
      </c>
      <c r="B468" s="11" t="str">
        <f aca="false">IF(A468="","",IFERROR(INDEX(DECKS!$C$2:$C$1201,MATCH(A468,DECKS!$B$2:$B$1201,0)),IFERROR(TRIM(INDEX(COMPRAS!$I$2:$I$2001,MATCH(A468,COMPRAS!$L$2:$L$2001,0))),"(sem nome)")))</f>
        <v/>
      </c>
      <c r="C468" s="16" t="str">
        <f aca="false">IF(A468="","",SUMIFS(COMPRAS!$C$2:$C$2001,COMPRAS!$K$2:$K$2001,A468))</f>
        <v/>
      </c>
    </row>
    <row r="469" customFormat="false" ht="15" hidden="false" customHeight="false" outlineLevel="0" collapsed="false">
      <c r="A469" s="11" t="str">
        <f aca="false">IFERROR(INDEX(_AUX!$A$2:$A$3201,MATCH(ROW()-1,_AUX!$C$2:$C$3201,0)),"")</f>
        <v/>
      </c>
      <c r="B469" s="11" t="str">
        <f aca="false">IF(A469="","",IFERROR(INDEX(DECKS!$C$2:$C$1201,MATCH(A469,DECKS!$B$2:$B$1201,0)),IFERROR(TRIM(INDEX(COMPRAS!$I$2:$I$2001,MATCH(A469,COMPRAS!$L$2:$L$2001,0))),"(sem nome)")))</f>
        <v/>
      </c>
      <c r="C469" s="16" t="str">
        <f aca="false">IF(A469="","",SUMIFS(COMPRAS!$C$2:$C$2001,COMPRAS!$K$2:$K$2001,A469))</f>
        <v/>
      </c>
    </row>
    <row r="470" customFormat="false" ht="15" hidden="false" customHeight="false" outlineLevel="0" collapsed="false">
      <c r="A470" s="11" t="str">
        <f aca="false">IFERROR(INDEX(_AUX!$A$2:$A$3201,MATCH(ROW()-1,_AUX!$C$2:$C$3201,0)),"")</f>
        <v/>
      </c>
      <c r="B470" s="11" t="str">
        <f aca="false">IF(A470="","",IFERROR(INDEX(DECKS!$C$2:$C$1201,MATCH(A470,DECKS!$B$2:$B$1201,0)),IFERROR(TRIM(INDEX(COMPRAS!$I$2:$I$2001,MATCH(A470,COMPRAS!$L$2:$L$2001,0))),"(sem nome)")))</f>
        <v/>
      </c>
      <c r="C470" s="16" t="str">
        <f aca="false">IF(A470="","",SUMIFS(COMPRAS!$C$2:$C$2001,COMPRAS!$K$2:$K$2001,A470))</f>
        <v/>
      </c>
    </row>
    <row r="471" customFormat="false" ht="15" hidden="false" customHeight="false" outlineLevel="0" collapsed="false">
      <c r="A471" s="11" t="str">
        <f aca="false">IFERROR(INDEX(_AUX!$A$2:$A$3201,MATCH(ROW()-1,_AUX!$C$2:$C$3201,0)),"")</f>
        <v/>
      </c>
      <c r="B471" s="11" t="str">
        <f aca="false">IF(A471="","",IFERROR(INDEX(DECKS!$C$2:$C$1201,MATCH(A471,DECKS!$B$2:$B$1201,0)),IFERROR(TRIM(INDEX(COMPRAS!$I$2:$I$2001,MATCH(A471,COMPRAS!$L$2:$L$2001,0))),"(sem nome)")))</f>
        <v/>
      </c>
      <c r="C471" s="16" t="str">
        <f aca="false">IF(A471="","",SUMIFS(COMPRAS!$C$2:$C$2001,COMPRAS!$K$2:$K$2001,A471))</f>
        <v/>
      </c>
    </row>
    <row r="472" customFormat="false" ht="15" hidden="false" customHeight="false" outlineLevel="0" collapsed="false">
      <c r="A472" s="11" t="str">
        <f aca="false">IFERROR(INDEX(_AUX!$A$2:$A$3201,MATCH(ROW()-1,_AUX!$C$2:$C$3201,0)),"")</f>
        <v/>
      </c>
      <c r="B472" s="11" t="str">
        <f aca="false">IF(A472="","",IFERROR(INDEX(DECKS!$C$2:$C$1201,MATCH(A472,DECKS!$B$2:$B$1201,0)),IFERROR(TRIM(INDEX(COMPRAS!$I$2:$I$2001,MATCH(A472,COMPRAS!$L$2:$L$2001,0))),"(sem nome)")))</f>
        <v/>
      </c>
      <c r="C472" s="16" t="str">
        <f aca="false">IF(A472="","",SUMIFS(COMPRAS!$C$2:$C$2001,COMPRAS!$K$2:$K$2001,A472))</f>
        <v/>
      </c>
    </row>
    <row r="473" customFormat="false" ht="15" hidden="false" customHeight="false" outlineLevel="0" collapsed="false">
      <c r="A473" s="11" t="str">
        <f aca="false">IFERROR(INDEX(_AUX!$A$2:$A$3201,MATCH(ROW()-1,_AUX!$C$2:$C$3201,0)),"")</f>
        <v/>
      </c>
      <c r="B473" s="11" t="str">
        <f aca="false">IF(A473="","",IFERROR(INDEX(DECKS!$C$2:$C$1201,MATCH(A473,DECKS!$B$2:$B$1201,0)),IFERROR(TRIM(INDEX(COMPRAS!$I$2:$I$2001,MATCH(A473,COMPRAS!$L$2:$L$2001,0))),"(sem nome)")))</f>
        <v/>
      </c>
      <c r="C473" s="16" t="str">
        <f aca="false">IF(A473="","",SUMIFS(COMPRAS!$C$2:$C$2001,COMPRAS!$K$2:$K$2001,A473))</f>
        <v/>
      </c>
    </row>
    <row r="474" customFormat="false" ht="15" hidden="false" customHeight="false" outlineLevel="0" collapsed="false">
      <c r="A474" s="11" t="str">
        <f aca="false">IFERROR(INDEX(_AUX!$A$2:$A$3201,MATCH(ROW()-1,_AUX!$C$2:$C$3201,0)),"")</f>
        <v/>
      </c>
      <c r="B474" s="11" t="str">
        <f aca="false">IF(A474="","",IFERROR(INDEX(DECKS!$C$2:$C$1201,MATCH(A474,DECKS!$B$2:$B$1201,0)),IFERROR(TRIM(INDEX(COMPRAS!$I$2:$I$2001,MATCH(A474,COMPRAS!$L$2:$L$2001,0))),"(sem nome)")))</f>
        <v/>
      </c>
      <c r="C474" s="16" t="str">
        <f aca="false">IF(A474="","",SUMIFS(COMPRAS!$C$2:$C$2001,COMPRAS!$K$2:$K$2001,A474))</f>
        <v/>
      </c>
    </row>
    <row r="475" customFormat="false" ht="15" hidden="false" customHeight="false" outlineLevel="0" collapsed="false">
      <c r="A475" s="11" t="str">
        <f aca="false">IFERROR(INDEX(_AUX!$A$2:$A$3201,MATCH(ROW()-1,_AUX!$C$2:$C$3201,0)),"")</f>
        <v/>
      </c>
      <c r="B475" s="11" t="str">
        <f aca="false">IF(A475="","",IFERROR(INDEX(DECKS!$C$2:$C$1201,MATCH(A475,DECKS!$B$2:$B$1201,0)),IFERROR(TRIM(INDEX(COMPRAS!$I$2:$I$2001,MATCH(A475,COMPRAS!$L$2:$L$2001,0))),"(sem nome)")))</f>
        <v/>
      </c>
      <c r="C475" s="16" t="str">
        <f aca="false">IF(A475="","",SUMIFS(COMPRAS!$C$2:$C$2001,COMPRAS!$K$2:$K$2001,A475))</f>
        <v/>
      </c>
    </row>
    <row r="476" customFormat="false" ht="15" hidden="false" customHeight="false" outlineLevel="0" collapsed="false">
      <c r="A476" s="11" t="str">
        <f aca="false">IFERROR(INDEX(_AUX!$A$2:$A$3201,MATCH(ROW()-1,_AUX!$C$2:$C$3201,0)),"")</f>
        <v/>
      </c>
      <c r="B476" s="11" t="str">
        <f aca="false">IF(A476="","",IFERROR(INDEX(DECKS!$C$2:$C$1201,MATCH(A476,DECKS!$B$2:$B$1201,0)),IFERROR(TRIM(INDEX(COMPRAS!$I$2:$I$2001,MATCH(A476,COMPRAS!$L$2:$L$2001,0))),"(sem nome)")))</f>
        <v/>
      </c>
      <c r="C476" s="16" t="str">
        <f aca="false">IF(A476="","",SUMIFS(COMPRAS!$C$2:$C$2001,COMPRAS!$K$2:$K$2001,A476))</f>
        <v/>
      </c>
    </row>
    <row r="477" customFormat="false" ht="15" hidden="false" customHeight="false" outlineLevel="0" collapsed="false">
      <c r="A477" s="11" t="str">
        <f aca="false">IFERROR(INDEX(_AUX!$A$2:$A$3201,MATCH(ROW()-1,_AUX!$C$2:$C$3201,0)),"")</f>
        <v/>
      </c>
      <c r="B477" s="11" t="str">
        <f aca="false">IF(A477="","",IFERROR(INDEX(DECKS!$C$2:$C$1201,MATCH(A477,DECKS!$B$2:$B$1201,0)),IFERROR(TRIM(INDEX(COMPRAS!$I$2:$I$2001,MATCH(A477,COMPRAS!$L$2:$L$2001,0))),"(sem nome)")))</f>
        <v/>
      </c>
      <c r="C477" s="16" t="str">
        <f aca="false">IF(A477="","",SUMIFS(COMPRAS!$C$2:$C$2001,COMPRAS!$K$2:$K$2001,A477))</f>
        <v/>
      </c>
    </row>
    <row r="478" customFormat="false" ht="15" hidden="false" customHeight="false" outlineLevel="0" collapsed="false">
      <c r="A478" s="11" t="str">
        <f aca="false">IFERROR(INDEX(_AUX!$A$2:$A$3201,MATCH(ROW()-1,_AUX!$C$2:$C$3201,0)),"")</f>
        <v/>
      </c>
      <c r="B478" s="11" t="str">
        <f aca="false">IF(A478="","",IFERROR(INDEX(DECKS!$C$2:$C$1201,MATCH(A478,DECKS!$B$2:$B$1201,0)),IFERROR(TRIM(INDEX(COMPRAS!$I$2:$I$2001,MATCH(A478,COMPRAS!$L$2:$L$2001,0))),"(sem nome)")))</f>
        <v/>
      </c>
      <c r="C478" s="16" t="str">
        <f aca="false">IF(A478="","",SUMIFS(COMPRAS!$C$2:$C$2001,COMPRAS!$K$2:$K$2001,A478))</f>
        <v/>
      </c>
    </row>
    <row r="479" customFormat="false" ht="15" hidden="false" customHeight="false" outlineLevel="0" collapsed="false">
      <c r="A479" s="11" t="str">
        <f aca="false">IFERROR(INDEX(_AUX!$A$2:$A$3201,MATCH(ROW()-1,_AUX!$C$2:$C$3201,0)),"")</f>
        <v/>
      </c>
      <c r="B479" s="11" t="str">
        <f aca="false">IF(A479="","",IFERROR(INDEX(DECKS!$C$2:$C$1201,MATCH(A479,DECKS!$B$2:$B$1201,0)),IFERROR(TRIM(INDEX(COMPRAS!$I$2:$I$2001,MATCH(A479,COMPRAS!$L$2:$L$2001,0))),"(sem nome)")))</f>
        <v/>
      </c>
      <c r="C479" s="16" t="str">
        <f aca="false">IF(A479="","",SUMIFS(COMPRAS!$C$2:$C$2001,COMPRAS!$K$2:$K$2001,A479))</f>
        <v/>
      </c>
    </row>
    <row r="480" customFormat="false" ht="15" hidden="false" customHeight="false" outlineLevel="0" collapsed="false">
      <c r="A480" s="11" t="str">
        <f aca="false">IFERROR(INDEX(_AUX!$A$2:$A$3201,MATCH(ROW()-1,_AUX!$C$2:$C$3201,0)),"")</f>
        <v/>
      </c>
      <c r="B480" s="11" t="str">
        <f aca="false">IF(A480="","",IFERROR(INDEX(DECKS!$C$2:$C$1201,MATCH(A480,DECKS!$B$2:$B$1201,0)),IFERROR(TRIM(INDEX(COMPRAS!$I$2:$I$2001,MATCH(A480,COMPRAS!$L$2:$L$2001,0))),"(sem nome)")))</f>
        <v/>
      </c>
      <c r="C480" s="16" t="str">
        <f aca="false">IF(A480="","",SUMIFS(COMPRAS!$C$2:$C$2001,COMPRAS!$K$2:$K$2001,A480))</f>
        <v/>
      </c>
    </row>
    <row r="481" customFormat="false" ht="15" hidden="false" customHeight="false" outlineLevel="0" collapsed="false">
      <c r="A481" s="11" t="str">
        <f aca="false">IFERROR(INDEX(_AUX!$A$2:$A$3201,MATCH(ROW()-1,_AUX!$C$2:$C$3201,0)),"")</f>
        <v/>
      </c>
      <c r="B481" s="11" t="str">
        <f aca="false">IF(A481="","",IFERROR(INDEX(DECKS!$C$2:$C$1201,MATCH(A481,DECKS!$B$2:$B$1201,0)),IFERROR(TRIM(INDEX(COMPRAS!$I$2:$I$2001,MATCH(A481,COMPRAS!$L$2:$L$2001,0))),"(sem nome)")))</f>
        <v/>
      </c>
      <c r="C481" s="16" t="str">
        <f aca="false">IF(A481="","",SUMIFS(COMPRAS!$C$2:$C$2001,COMPRAS!$K$2:$K$2001,A481))</f>
        <v/>
      </c>
    </row>
    <row r="482" customFormat="false" ht="15" hidden="false" customHeight="false" outlineLevel="0" collapsed="false">
      <c r="A482" s="11" t="str">
        <f aca="false">IFERROR(INDEX(_AUX!$A$2:$A$3201,MATCH(ROW()-1,_AUX!$C$2:$C$3201,0)),"")</f>
        <v/>
      </c>
      <c r="B482" s="11" t="str">
        <f aca="false">IF(A482="","",IFERROR(INDEX(DECKS!$C$2:$C$1201,MATCH(A482,DECKS!$B$2:$B$1201,0)),IFERROR(TRIM(INDEX(COMPRAS!$I$2:$I$2001,MATCH(A482,COMPRAS!$L$2:$L$2001,0))),"(sem nome)")))</f>
        <v/>
      </c>
      <c r="C482" s="16" t="str">
        <f aca="false">IF(A482="","",SUMIFS(COMPRAS!$C$2:$C$2001,COMPRAS!$K$2:$K$2001,A482))</f>
        <v/>
      </c>
    </row>
    <row r="483" customFormat="false" ht="15" hidden="false" customHeight="false" outlineLevel="0" collapsed="false">
      <c r="A483" s="11" t="str">
        <f aca="false">IFERROR(INDEX(_AUX!$A$2:$A$3201,MATCH(ROW()-1,_AUX!$C$2:$C$3201,0)),"")</f>
        <v/>
      </c>
      <c r="B483" s="11" t="str">
        <f aca="false">IF(A483="","",IFERROR(INDEX(DECKS!$C$2:$C$1201,MATCH(A483,DECKS!$B$2:$B$1201,0)),IFERROR(TRIM(INDEX(COMPRAS!$I$2:$I$2001,MATCH(A483,COMPRAS!$L$2:$L$2001,0))),"(sem nome)")))</f>
        <v/>
      </c>
      <c r="C483" s="16" t="str">
        <f aca="false">IF(A483="","",SUMIFS(COMPRAS!$C$2:$C$2001,COMPRAS!$K$2:$K$2001,A483))</f>
        <v/>
      </c>
    </row>
    <row r="484" customFormat="false" ht="15" hidden="false" customHeight="false" outlineLevel="0" collapsed="false">
      <c r="A484" s="11" t="str">
        <f aca="false">IFERROR(INDEX(_AUX!$A$2:$A$3201,MATCH(ROW()-1,_AUX!$C$2:$C$3201,0)),"")</f>
        <v/>
      </c>
      <c r="B484" s="11" t="str">
        <f aca="false">IF(A484="","",IFERROR(INDEX(DECKS!$C$2:$C$1201,MATCH(A484,DECKS!$B$2:$B$1201,0)),IFERROR(TRIM(INDEX(COMPRAS!$I$2:$I$2001,MATCH(A484,COMPRAS!$L$2:$L$2001,0))),"(sem nome)")))</f>
        <v/>
      </c>
      <c r="C484" s="16" t="str">
        <f aca="false">IF(A484="","",SUMIFS(COMPRAS!$C$2:$C$2001,COMPRAS!$K$2:$K$2001,A484))</f>
        <v/>
      </c>
    </row>
    <row r="485" customFormat="false" ht="15" hidden="false" customHeight="false" outlineLevel="0" collapsed="false">
      <c r="A485" s="11" t="str">
        <f aca="false">IFERROR(INDEX(_AUX!$A$2:$A$3201,MATCH(ROW()-1,_AUX!$C$2:$C$3201,0)),"")</f>
        <v/>
      </c>
      <c r="B485" s="11" t="str">
        <f aca="false">IF(A485="","",IFERROR(INDEX(DECKS!$C$2:$C$1201,MATCH(A485,DECKS!$B$2:$B$1201,0)),IFERROR(TRIM(INDEX(COMPRAS!$I$2:$I$2001,MATCH(A485,COMPRAS!$L$2:$L$2001,0))),"(sem nome)")))</f>
        <v/>
      </c>
      <c r="C485" s="16" t="str">
        <f aca="false">IF(A485="","",SUMIFS(COMPRAS!$C$2:$C$2001,COMPRAS!$K$2:$K$2001,A485))</f>
        <v/>
      </c>
    </row>
    <row r="486" customFormat="false" ht="15" hidden="false" customHeight="false" outlineLevel="0" collapsed="false">
      <c r="A486" s="11" t="str">
        <f aca="false">IFERROR(INDEX(_AUX!$A$2:$A$3201,MATCH(ROW()-1,_AUX!$C$2:$C$3201,0)),"")</f>
        <v/>
      </c>
      <c r="B486" s="11" t="str">
        <f aca="false">IF(A486="","",IFERROR(INDEX(DECKS!$C$2:$C$1201,MATCH(A486,DECKS!$B$2:$B$1201,0)),IFERROR(TRIM(INDEX(COMPRAS!$I$2:$I$2001,MATCH(A486,COMPRAS!$L$2:$L$2001,0))),"(sem nome)")))</f>
        <v/>
      </c>
      <c r="C486" s="16" t="str">
        <f aca="false">IF(A486="","",SUMIFS(COMPRAS!$C$2:$C$2001,COMPRAS!$K$2:$K$2001,A486))</f>
        <v/>
      </c>
    </row>
    <row r="487" customFormat="false" ht="15" hidden="false" customHeight="false" outlineLevel="0" collapsed="false">
      <c r="A487" s="11" t="str">
        <f aca="false">IFERROR(INDEX(_AUX!$A$2:$A$3201,MATCH(ROW()-1,_AUX!$C$2:$C$3201,0)),"")</f>
        <v/>
      </c>
      <c r="B487" s="11" t="str">
        <f aca="false">IF(A487="","",IFERROR(INDEX(DECKS!$C$2:$C$1201,MATCH(A487,DECKS!$B$2:$B$1201,0)),IFERROR(TRIM(INDEX(COMPRAS!$I$2:$I$2001,MATCH(A487,COMPRAS!$L$2:$L$2001,0))),"(sem nome)")))</f>
        <v/>
      </c>
      <c r="C487" s="16" t="str">
        <f aca="false">IF(A487="","",SUMIFS(COMPRAS!$C$2:$C$2001,COMPRAS!$K$2:$K$2001,A487))</f>
        <v/>
      </c>
    </row>
    <row r="488" customFormat="false" ht="15" hidden="false" customHeight="false" outlineLevel="0" collapsed="false">
      <c r="A488" s="11" t="str">
        <f aca="false">IFERROR(INDEX(_AUX!$A$2:$A$3201,MATCH(ROW()-1,_AUX!$C$2:$C$3201,0)),"")</f>
        <v/>
      </c>
      <c r="B488" s="11" t="str">
        <f aca="false">IF(A488="","",IFERROR(INDEX(DECKS!$C$2:$C$1201,MATCH(A488,DECKS!$B$2:$B$1201,0)),IFERROR(TRIM(INDEX(COMPRAS!$I$2:$I$2001,MATCH(A488,COMPRAS!$L$2:$L$2001,0))),"(sem nome)")))</f>
        <v/>
      </c>
      <c r="C488" s="16" t="str">
        <f aca="false">IF(A488="","",SUMIFS(COMPRAS!$C$2:$C$2001,COMPRAS!$K$2:$K$2001,A488))</f>
        <v/>
      </c>
    </row>
    <row r="489" customFormat="false" ht="15" hidden="false" customHeight="false" outlineLevel="0" collapsed="false">
      <c r="A489" s="11" t="str">
        <f aca="false">IFERROR(INDEX(_AUX!$A$2:$A$3201,MATCH(ROW()-1,_AUX!$C$2:$C$3201,0)),"")</f>
        <v/>
      </c>
      <c r="B489" s="11" t="str">
        <f aca="false">IF(A489="","",IFERROR(INDEX(DECKS!$C$2:$C$1201,MATCH(A489,DECKS!$B$2:$B$1201,0)),IFERROR(TRIM(INDEX(COMPRAS!$I$2:$I$2001,MATCH(A489,COMPRAS!$L$2:$L$2001,0))),"(sem nome)")))</f>
        <v/>
      </c>
      <c r="C489" s="16" t="str">
        <f aca="false">IF(A489="","",SUMIFS(COMPRAS!$C$2:$C$2001,COMPRAS!$K$2:$K$2001,A489))</f>
        <v/>
      </c>
    </row>
    <row r="490" customFormat="false" ht="15" hidden="false" customHeight="false" outlineLevel="0" collapsed="false">
      <c r="A490" s="11" t="str">
        <f aca="false">IFERROR(INDEX(_AUX!$A$2:$A$3201,MATCH(ROW()-1,_AUX!$C$2:$C$3201,0)),"")</f>
        <v/>
      </c>
      <c r="B490" s="11" t="str">
        <f aca="false">IF(A490="","",IFERROR(INDEX(DECKS!$C$2:$C$1201,MATCH(A490,DECKS!$B$2:$B$1201,0)),IFERROR(TRIM(INDEX(COMPRAS!$I$2:$I$2001,MATCH(A490,COMPRAS!$L$2:$L$2001,0))),"(sem nome)")))</f>
        <v/>
      </c>
      <c r="C490" s="16" t="str">
        <f aca="false">IF(A490="","",SUMIFS(COMPRAS!$C$2:$C$2001,COMPRAS!$K$2:$K$2001,A490))</f>
        <v/>
      </c>
    </row>
    <row r="491" customFormat="false" ht="15" hidden="false" customHeight="false" outlineLevel="0" collapsed="false">
      <c r="A491" s="11" t="str">
        <f aca="false">IFERROR(INDEX(_AUX!$A$2:$A$3201,MATCH(ROW()-1,_AUX!$C$2:$C$3201,0)),"")</f>
        <v/>
      </c>
      <c r="B491" s="11" t="str">
        <f aca="false">IF(A491="","",IFERROR(INDEX(DECKS!$C$2:$C$1201,MATCH(A491,DECKS!$B$2:$B$1201,0)),IFERROR(TRIM(INDEX(COMPRAS!$I$2:$I$2001,MATCH(A491,COMPRAS!$L$2:$L$2001,0))),"(sem nome)")))</f>
        <v/>
      </c>
      <c r="C491" s="16" t="str">
        <f aca="false">IF(A491="","",SUMIFS(COMPRAS!$C$2:$C$2001,COMPRAS!$K$2:$K$2001,A491))</f>
        <v/>
      </c>
    </row>
    <row r="492" customFormat="false" ht="15" hidden="false" customHeight="false" outlineLevel="0" collapsed="false">
      <c r="A492" s="11" t="str">
        <f aca="false">IFERROR(INDEX(_AUX!$A$2:$A$3201,MATCH(ROW()-1,_AUX!$C$2:$C$3201,0)),"")</f>
        <v/>
      </c>
      <c r="B492" s="11" t="str">
        <f aca="false">IF(A492="","",IFERROR(INDEX(DECKS!$C$2:$C$1201,MATCH(A492,DECKS!$B$2:$B$1201,0)),IFERROR(TRIM(INDEX(COMPRAS!$I$2:$I$2001,MATCH(A492,COMPRAS!$L$2:$L$2001,0))),"(sem nome)")))</f>
        <v/>
      </c>
      <c r="C492" s="16" t="str">
        <f aca="false">IF(A492="","",SUMIFS(COMPRAS!$C$2:$C$2001,COMPRAS!$K$2:$K$2001,A492))</f>
        <v/>
      </c>
    </row>
    <row r="493" customFormat="false" ht="15" hidden="false" customHeight="false" outlineLevel="0" collapsed="false">
      <c r="A493" s="11" t="str">
        <f aca="false">IFERROR(INDEX(_AUX!$A$2:$A$3201,MATCH(ROW()-1,_AUX!$C$2:$C$3201,0)),"")</f>
        <v/>
      </c>
      <c r="B493" s="11" t="str">
        <f aca="false">IF(A493="","",IFERROR(INDEX(DECKS!$C$2:$C$1201,MATCH(A493,DECKS!$B$2:$B$1201,0)),IFERROR(TRIM(INDEX(COMPRAS!$I$2:$I$2001,MATCH(A493,COMPRAS!$L$2:$L$2001,0))),"(sem nome)")))</f>
        <v/>
      </c>
      <c r="C493" s="16" t="str">
        <f aca="false">IF(A493="","",SUMIFS(COMPRAS!$C$2:$C$2001,COMPRAS!$K$2:$K$2001,A493))</f>
        <v/>
      </c>
    </row>
    <row r="494" customFormat="false" ht="15" hidden="false" customHeight="false" outlineLevel="0" collapsed="false">
      <c r="A494" s="11" t="str">
        <f aca="false">IFERROR(INDEX(_AUX!$A$2:$A$3201,MATCH(ROW()-1,_AUX!$C$2:$C$3201,0)),"")</f>
        <v/>
      </c>
      <c r="B494" s="11" t="str">
        <f aca="false">IF(A494="","",IFERROR(INDEX(DECKS!$C$2:$C$1201,MATCH(A494,DECKS!$B$2:$B$1201,0)),IFERROR(TRIM(INDEX(COMPRAS!$I$2:$I$2001,MATCH(A494,COMPRAS!$L$2:$L$2001,0))),"(sem nome)")))</f>
        <v/>
      </c>
      <c r="C494" s="16" t="str">
        <f aca="false">IF(A494="","",SUMIFS(COMPRAS!$C$2:$C$2001,COMPRAS!$K$2:$K$2001,A494))</f>
        <v/>
      </c>
    </row>
    <row r="495" customFormat="false" ht="15" hidden="false" customHeight="false" outlineLevel="0" collapsed="false">
      <c r="A495" s="11" t="str">
        <f aca="false">IFERROR(INDEX(_AUX!$A$2:$A$3201,MATCH(ROW()-1,_AUX!$C$2:$C$3201,0)),"")</f>
        <v/>
      </c>
      <c r="B495" s="11" t="str">
        <f aca="false">IF(A495="","",IFERROR(INDEX(DECKS!$C$2:$C$1201,MATCH(A495,DECKS!$B$2:$B$1201,0)),IFERROR(TRIM(INDEX(COMPRAS!$I$2:$I$2001,MATCH(A495,COMPRAS!$L$2:$L$2001,0))),"(sem nome)")))</f>
        <v/>
      </c>
      <c r="C495" s="16" t="str">
        <f aca="false">IF(A495="","",SUMIFS(COMPRAS!$C$2:$C$2001,COMPRAS!$K$2:$K$2001,A495))</f>
        <v/>
      </c>
    </row>
    <row r="496" customFormat="false" ht="15" hidden="false" customHeight="false" outlineLevel="0" collapsed="false">
      <c r="A496" s="11" t="str">
        <f aca="false">IFERROR(INDEX(_AUX!$A$2:$A$3201,MATCH(ROW()-1,_AUX!$C$2:$C$3201,0)),"")</f>
        <v/>
      </c>
      <c r="B496" s="11" t="str">
        <f aca="false">IF(A496="","",IFERROR(INDEX(DECKS!$C$2:$C$1201,MATCH(A496,DECKS!$B$2:$B$1201,0)),IFERROR(TRIM(INDEX(COMPRAS!$I$2:$I$2001,MATCH(A496,COMPRAS!$L$2:$L$2001,0))),"(sem nome)")))</f>
        <v/>
      </c>
      <c r="C496" s="16" t="str">
        <f aca="false">IF(A496="","",SUMIFS(COMPRAS!$C$2:$C$2001,COMPRAS!$K$2:$K$2001,A496))</f>
        <v/>
      </c>
    </row>
    <row r="497" customFormat="false" ht="15" hidden="false" customHeight="false" outlineLevel="0" collapsed="false">
      <c r="A497" s="11" t="str">
        <f aca="false">IFERROR(INDEX(_AUX!$A$2:$A$3201,MATCH(ROW()-1,_AUX!$C$2:$C$3201,0)),"")</f>
        <v/>
      </c>
      <c r="B497" s="11" t="str">
        <f aca="false">IF(A497="","",IFERROR(INDEX(DECKS!$C$2:$C$1201,MATCH(A497,DECKS!$B$2:$B$1201,0)),IFERROR(TRIM(INDEX(COMPRAS!$I$2:$I$2001,MATCH(A497,COMPRAS!$L$2:$L$2001,0))),"(sem nome)")))</f>
        <v/>
      </c>
      <c r="C497" s="16" t="str">
        <f aca="false">IF(A497="","",SUMIFS(COMPRAS!$C$2:$C$2001,COMPRAS!$K$2:$K$2001,A497))</f>
        <v/>
      </c>
    </row>
    <row r="498" customFormat="false" ht="15" hidden="false" customHeight="false" outlineLevel="0" collapsed="false">
      <c r="A498" s="11" t="str">
        <f aca="false">IFERROR(INDEX(_AUX!$A$2:$A$3201,MATCH(ROW()-1,_AUX!$C$2:$C$3201,0)),"")</f>
        <v/>
      </c>
      <c r="B498" s="11" t="str">
        <f aca="false">IF(A498="","",IFERROR(INDEX(DECKS!$C$2:$C$1201,MATCH(A498,DECKS!$B$2:$B$1201,0)),IFERROR(TRIM(INDEX(COMPRAS!$I$2:$I$2001,MATCH(A498,COMPRAS!$L$2:$L$2001,0))),"(sem nome)")))</f>
        <v/>
      </c>
      <c r="C498" s="16" t="str">
        <f aca="false">IF(A498="","",SUMIFS(COMPRAS!$C$2:$C$2001,COMPRAS!$K$2:$K$2001,A498))</f>
        <v/>
      </c>
    </row>
    <row r="499" customFormat="false" ht="15" hidden="false" customHeight="false" outlineLevel="0" collapsed="false">
      <c r="A499" s="11" t="str">
        <f aca="false">IFERROR(INDEX(_AUX!$A$2:$A$3201,MATCH(ROW()-1,_AUX!$C$2:$C$3201,0)),"")</f>
        <v/>
      </c>
      <c r="B499" s="11" t="str">
        <f aca="false">IF(A499="","",IFERROR(INDEX(DECKS!$C$2:$C$1201,MATCH(A499,DECKS!$B$2:$B$1201,0)),IFERROR(TRIM(INDEX(COMPRAS!$I$2:$I$2001,MATCH(A499,COMPRAS!$L$2:$L$2001,0))),"(sem nome)")))</f>
        <v/>
      </c>
      <c r="C499" s="16" t="str">
        <f aca="false">IF(A499="","",SUMIFS(COMPRAS!$C$2:$C$2001,COMPRAS!$K$2:$K$2001,A499))</f>
        <v/>
      </c>
    </row>
    <row r="500" customFormat="false" ht="15" hidden="false" customHeight="false" outlineLevel="0" collapsed="false">
      <c r="A500" s="11" t="str">
        <f aca="false">IFERROR(INDEX(_AUX!$A$2:$A$3201,MATCH(ROW()-1,_AUX!$C$2:$C$3201,0)),"")</f>
        <v/>
      </c>
      <c r="B500" s="11" t="str">
        <f aca="false">IF(A500="","",IFERROR(INDEX(DECKS!$C$2:$C$1201,MATCH(A500,DECKS!$B$2:$B$1201,0)),IFERROR(TRIM(INDEX(COMPRAS!$I$2:$I$2001,MATCH(A500,COMPRAS!$L$2:$L$2001,0))),"(sem nome)")))</f>
        <v/>
      </c>
      <c r="C500" s="16" t="str">
        <f aca="false">IF(A500="","",SUMIFS(COMPRAS!$C$2:$C$2001,COMPRAS!$K$2:$K$2001,A500))</f>
        <v/>
      </c>
    </row>
    <row r="501" customFormat="false" ht="15" hidden="false" customHeight="false" outlineLevel="0" collapsed="false">
      <c r="A501" s="11" t="str">
        <f aca="false">IFERROR(INDEX(_AUX!$A$2:$A$3201,MATCH(ROW()-1,_AUX!$C$2:$C$3201,0)),"")</f>
        <v/>
      </c>
      <c r="B501" s="11" t="str">
        <f aca="false">IF(A501="","",IFERROR(INDEX(DECKS!$C$2:$C$1201,MATCH(A501,DECKS!$B$2:$B$1201,0)),IFERROR(TRIM(INDEX(COMPRAS!$I$2:$I$2001,MATCH(A501,COMPRAS!$L$2:$L$2001,0))),"(sem nome)")))</f>
        <v/>
      </c>
      <c r="C501" s="16" t="str">
        <f aca="false">IF(A501="","",SUMIFS(COMPRAS!$C$2:$C$2001,COMPRAS!$K$2:$K$2001,A501))</f>
        <v/>
      </c>
    </row>
    <row r="502" customFormat="false" ht="15" hidden="false" customHeight="false" outlineLevel="0" collapsed="false">
      <c r="A502" s="11" t="str">
        <f aca="false">IFERROR(INDEX(_AUX!$A$2:$A$3201,MATCH(ROW()-1,_AUX!$C$2:$C$3201,0)),"")</f>
        <v/>
      </c>
      <c r="B502" s="11" t="str">
        <f aca="false">IF(A502="","",IFERROR(INDEX(DECKS!$C$2:$C$1201,MATCH(A502,DECKS!$B$2:$B$1201,0)),IFERROR(TRIM(INDEX(COMPRAS!$I$2:$I$2001,MATCH(A502,COMPRAS!$L$2:$L$2001,0))),"(sem nome)")))</f>
        <v/>
      </c>
      <c r="C502" s="16" t="str">
        <f aca="false">IF(A502="","",SUMIFS(COMPRAS!$C$2:$C$2001,COMPRAS!$K$2:$K$2001,A502))</f>
        <v/>
      </c>
    </row>
    <row r="503" customFormat="false" ht="15" hidden="false" customHeight="false" outlineLevel="0" collapsed="false">
      <c r="A503" s="11" t="str">
        <f aca="false">IFERROR(INDEX(_AUX!$A$2:$A$3201,MATCH(ROW()-1,_AUX!$C$2:$C$3201,0)),"")</f>
        <v/>
      </c>
      <c r="B503" s="11" t="str">
        <f aca="false">IF(A503="","",IFERROR(INDEX(DECKS!$C$2:$C$1201,MATCH(A503,DECKS!$B$2:$B$1201,0)),IFERROR(TRIM(INDEX(COMPRAS!$I$2:$I$2001,MATCH(A503,COMPRAS!$L$2:$L$2001,0))),"(sem nome)")))</f>
        <v/>
      </c>
      <c r="C503" s="16" t="str">
        <f aca="false">IF(A503="","",SUMIFS(COMPRAS!$C$2:$C$2001,COMPRAS!$K$2:$K$2001,A503))</f>
        <v/>
      </c>
    </row>
    <row r="504" customFormat="false" ht="15" hidden="false" customHeight="false" outlineLevel="0" collapsed="false">
      <c r="A504" s="11" t="str">
        <f aca="false">IFERROR(INDEX(_AUX!$A$2:$A$3201,MATCH(ROW()-1,_AUX!$C$2:$C$3201,0)),"")</f>
        <v/>
      </c>
      <c r="B504" s="11" t="str">
        <f aca="false">IF(A504="","",IFERROR(INDEX(DECKS!$C$2:$C$1201,MATCH(A504,DECKS!$B$2:$B$1201,0)),IFERROR(TRIM(INDEX(COMPRAS!$I$2:$I$2001,MATCH(A504,COMPRAS!$L$2:$L$2001,0))),"(sem nome)")))</f>
        <v/>
      </c>
      <c r="C504" s="16" t="str">
        <f aca="false">IF(A504="","",SUMIFS(COMPRAS!$C$2:$C$2001,COMPRAS!$K$2:$K$2001,A504))</f>
        <v/>
      </c>
    </row>
    <row r="505" customFormat="false" ht="15" hidden="false" customHeight="false" outlineLevel="0" collapsed="false">
      <c r="A505" s="11" t="str">
        <f aca="false">IFERROR(INDEX(_AUX!$A$2:$A$3201,MATCH(ROW()-1,_AUX!$C$2:$C$3201,0)),"")</f>
        <v/>
      </c>
      <c r="B505" s="11" t="str">
        <f aca="false">IF(A505="","",IFERROR(INDEX(DECKS!$C$2:$C$1201,MATCH(A505,DECKS!$B$2:$B$1201,0)),IFERROR(TRIM(INDEX(COMPRAS!$I$2:$I$2001,MATCH(A505,COMPRAS!$L$2:$L$2001,0))),"(sem nome)")))</f>
        <v/>
      </c>
      <c r="C505" s="16" t="str">
        <f aca="false">IF(A505="","",SUMIFS(COMPRAS!$C$2:$C$2001,COMPRAS!$K$2:$K$2001,A505))</f>
        <v/>
      </c>
    </row>
    <row r="506" customFormat="false" ht="15" hidden="false" customHeight="false" outlineLevel="0" collapsed="false">
      <c r="A506" s="11" t="str">
        <f aca="false">IFERROR(INDEX(_AUX!$A$2:$A$3201,MATCH(ROW()-1,_AUX!$C$2:$C$3201,0)),"")</f>
        <v/>
      </c>
      <c r="B506" s="11" t="str">
        <f aca="false">IF(A506="","",IFERROR(INDEX(DECKS!$C$2:$C$1201,MATCH(A506,DECKS!$B$2:$B$1201,0)),IFERROR(TRIM(INDEX(COMPRAS!$I$2:$I$2001,MATCH(A506,COMPRAS!$L$2:$L$2001,0))),"(sem nome)")))</f>
        <v/>
      </c>
      <c r="C506" s="16" t="str">
        <f aca="false">IF(A506="","",SUMIFS(COMPRAS!$C$2:$C$2001,COMPRAS!$K$2:$K$2001,A506))</f>
        <v/>
      </c>
    </row>
    <row r="507" customFormat="false" ht="15" hidden="false" customHeight="false" outlineLevel="0" collapsed="false">
      <c r="A507" s="11" t="str">
        <f aca="false">IFERROR(INDEX(_AUX!$A$2:$A$3201,MATCH(ROW()-1,_AUX!$C$2:$C$3201,0)),"")</f>
        <v/>
      </c>
      <c r="B507" s="11" t="str">
        <f aca="false">IF(A507="","",IFERROR(INDEX(DECKS!$C$2:$C$1201,MATCH(A507,DECKS!$B$2:$B$1201,0)),IFERROR(TRIM(INDEX(COMPRAS!$I$2:$I$2001,MATCH(A507,COMPRAS!$L$2:$L$2001,0))),"(sem nome)")))</f>
        <v/>
      </c>
      <c r="C507" s="16" t="str">
        <f aca="false">IF(A507="","",SUMIFS(COMPRAS!$C$2:$C$2001,COMPRAS!$K$2:$K$2001,A507))</f>
        <v/>
      </c>
    </row>
    <row r="508" customFormat="false" ht="15" hidden="false" customHeight="false" outlineLevel="0" collapsed="false">
      <c r="A508" s="11" t="str">
        <f aca="false">IFERROR(INDEX(_AUX!$A$2:$A$3201,MATCH(ROW()-1,_AUX!$C$2:$C$3201,0)),"")</f>
        <v/>
      </c>
      <c r="B508" s="11" t="str">
        <f aca="false">IF(A508="","",IFERROR(INDEX(DECKS!$C$2:$C$1201,MATCH(A508,DECKS!$B$2:$B$1201,0)),IFERROR(TRIM(INDEX(COMPRAS!$I$2:$I$2001,MATCH(A508,COMPRAS!$L$2:$L$2001,0))),"(sem nome)")))</f>
        <v/>
      </c>
      <c r="C508" s="16" t="str">
        <f aca="false">IF(A508="","",SUMIFS(COMPRAS!$C$2:$C$2001,COMPRAS!$K$2:$K$2001,A508))</f>
        <v/>
      </c>
    </row>
    <row r="509" customFormat="false" ht="15" hidden="false" customHeight="false" outlineLevel="0" collapsed="false">
      <c r="A509" s="11" t="str">
        <f aca="false">IFERROR(INDEX(_AUX!$A$2:$A$3201,MATCH(ROW()-1,_AUX!$C$2:$C$3201,0)),"")</f>
        <v/>
      </c>
      <c r="B509" s="11" t="str">
        <f aca="false">IF(A509="","",IFERROR(INDEX(DECKS!$C$2:$C$1201,MATCH(A509,DECKS!$B$2:$B$1201,0)),IFERROR(TRIM(INDEX(COMPRAS!$I$2:$I$2001,MATCH(A509,COMPRAS!$L$2:$L$2001,0))),"(sem nome)")))</f>
        <v/>
      </c>
      <c r="C509" s="16" t="str">
        <f aca="false">IF(A509="","",SUMIFS(COMPRAS!$C$2:$C$2001,COMPRAS!$K$2:$K$2001,A509))</f>
        <v/>
      </c>
    </row>
    <row r="510" customFormat="false" ht="15" hidden="false" customHeight="false" outlineLevel="0" collapsed="false">
      <c r="A510" s="11" t="str">
        <f aca="false">IFERROR(INDEX(_AUX!$A$2:$A$3201,MATCH(ROW()-1,_AUX!$C$2:$C$3201,0)),"")</f>
        <v/>
      </c>
      <c r="B510" s="11" t="str">
        <f aca="false">IF(A510="","",IFERROR(INDEX(DECKS!$C$2:$C$1201,MATCH(A510,DECKS!$B$2:$B$1201,0)),IFERROR(TRIM(INDEX(COMPRAS!$I$2:$I$2001,MATCH(A510,COMPRAS!$L$2:$L$2001,0))),"(sem nome)")))</f>
        <v/>
      </c>
      <c r="C510" s="16" t="str">
        <f aca="false">IF(A510="","",SUMIFS(COMPRAS!$C$2:$C$2001,COMPRAS!$K$2:$K$2001,A510))</f>
        <v/>
      </c>
    </row>
    <row r="511" customFormat="false" ht="15" hidden="false" customHeight="false" outlineLevel="0" collapsed="false">
      <c r="A511" s="11" t="str">
        <f aca="false">IFERROR(INDEX(_AUX!$A$2:$A$3201,MATCH(ROW()-1,_AUX!$C$2:$C$3201,0)),"")</f>
        <v/>
      </c>
      <c r="B511" s="11" t="str">
        <f aca="false">IF(A511="","",IFERROR(INDEX(DECKS!$C$2:$C$1201,MATCH(A511,DECKS!$B$2:$B$1201,0)),IFERROR(TRIM(INDEX(COMPRAS!$I$2:$I$2001,MATCH(A511,COMPRAS!$L$2:$L$2001,0))),"(sem nome)")))</f>
        <v/>
      </c>
      <c r="C511" s="16" t="str">
        <f aca="false">IF(A511="","",SUMIFS(COMPRAS!$C$2:$C$2001,COMPRAS!$K$2:$K$2001,A511))</f>
        <v/>
      </c>
    </row>
    <row r="512" customFormat="false" ht="15" hidden="false" customHeight="false" outlineLevel="0" collapsed="false">
      <c r="A512" s="11" t="str">
        <f aca="false">IFERROR(INDEX(_AUX!$A$2:$A$3201,MATCH(ROW()-1,_AUX!$C$2:$C$3201,0)),"")</f>
        <v/>
      </c>
      <c r="B512" s="11" t="str">
        <f aca="false">IF(A512="","",IFERROR(INDEX(DECKS!$C$2:$C$1201,MATCH(A512,DECKS!$B$2:$B$1201,0)),IFERROR(TRIM(INDEX(COMPRAS!$I$2:$I$2001,MATCH(A512,COMPRAS!$L$2:$L$2001,0))),"(sem nome)")))</f>
        <v/>
      </c>
      <c r="C512" s="16" t="str">
        <f aca="false">IF(A512="","",SUMIFS(COMPRAS!$C$2:$C$2001,COMPRAS!$K$2:$K$2001,A512))</f>
        <v/>
      </c>
    </row>
    <row r="513" customFormat="false" ht="15" hidden="false" customHeight="false" outlineLevel="0" collapsed="false">
      <c r="A513" s="11" t="str">
        <f aca="false">IFERROR(INDEX(_AUX!$A$2:$A$3201,MATCH(ROW()-1,_AUX!$C$2:$C$3201,0)),"")</f>
        <v/>
      </c>
      <c r="B513" s="11" t="str">
        <f aca="false">IF(A513="","",IFERROR(INDEX(DECKS!$C$2:$C$1201,MATCH(A513,DECKS!$B$2:$B$1201,0)),IFERROR(TRIM(INDEX(COMPRAS!$I$2:$I$2001,MATCH(A513,COMPRAS!$L$2:$L$2001,0))),"(sem nome)")))</f>
        <v/>
      </c>
      <c r="C513" s="16" t="str">
        <f aca="false">IF(A513="","",SUMIFS(COMPRAS!$C$2:$C$2001,COMPRAS!$K$2:$K$2001,A513))</f>
        <v/>
      </c>
    </row>
    <row r="514" customFormat="false" ht="15" hidden="false" customHeight="false" outlineLevel="0" collapsed="false">
      <c r="A514" s="11" t="str">
        <f aca="false">IFERROR(INDEX(_AUX!$A$2:$A$3201,MATCH(ROW()-1,_AUX!$C$2:$C$3201,0)),"")</f>
        <v/>
      </c>
      <c r="B514" s="11" t="str">
        <f aca="false">IF(A514="","",IFERROR(INDEX(DECKS!$C$2:$C$1201,MATCH(A514,DECKS!$B$2:$B$1201,0)),IFERROR(TRIM(INDEX(COMPRAS!$I$2:$I$2001,MATCH(A514,COMPRAS!$L$2:$L$2001,0))),"(sem nome)")))</f>
        <v/>
      </c>
      <c r="C514" s="16" t="str">
        <f aca="false">IF(A514="","",SUMIFS(COMPRAS!$C$2:$C$2001,COMPRAS!$K$2:$K$2001,A514))</f>
        <v/>
      </c>
    </row>
    <row r="515" customFormat="false" ht="15" hidden="false" customHeight="false" outlineLevel="0" collapsed="false">
      <c r="A515" s="11" t="str">
        <f aca="false">IFERROR(INDEX(_AUX!$A$2:$A$3201,MATCH(ROW()-1,_AUX!$C$2:$C$3201,0)),"")</f>
        <v/>
      </c>
      <c r="B515" s="11" t="str">
        <f aca="false">IF(A515="","",IFERROR(INDEX(DECKS!$C$2:$C$1201,MATCH(A515,DECKS!$B$2:$B$1201,0)),IFERROR(TRIM(INDEX(COMPRAS!$I$2:$I$2001,MATCH(A515,COMPRAS!$L$2:$L$2001,0))),"(sem nome)")))</f>
        <v/>
      </c>
      <c r="C515" s="16" t="str">
        <f aca="false">IF(A515="","",SUMIFS(COMPRAS!$C$2:$C$2001,COMPRAS!$K$2:$K$2001,A515))</f>
        <v/>
      </c>
    </row>
    <row r="516" customFormat="false" ht="15" hidden="false" customHeight="false" outlineLevel="0" collapsed="false">
      <c r="A516" s="11" t="str">
        <f aca="false">IFERROR(INDEX(_AUX!$A$2:$A$3201,MATCH(ROW()-1,_AUX!$C$2:$C$3201,0)),"")</f>
        <v/>
      </c>
      <c r="B516" s="11" t="str">
        <f aca="false">IF(A516="","",IFERROR(INDEX(DECKS!$C$2:$C$1201,MATCH(A516,DECKS!$B$2:$B$1201,0)),IFERROR(TRIM(INDEX(COMPRAS!$I$2:$I$2001,MATCH(A516,COMPRAS!$L$2:$L$2001,0))),"(sem nome)")))</f>
        <v/>
      </c>
      <c r="C516" s="16" t="str">
        <f aca="false">IF(A516="","",SUMIFS(COMPRAS!$C$2:$C$2001,COMPRAS!$K$2:$K$2001,A516))</f>
        <v/>
      </c>
    </row>
    <row r="517" customFormat="false" ht="15" hidden="false" customHeight="false" outlineLevel="0" collapsed="false">
      <c r="A517" s="11" t="str">
        <f aca="false">IFERROR(INDEX(_AUX!$A$2:$A$3201,MATCH(ROW()-1,_AUX!$C$2:$C$3201,0)),"")</f>
        <v/>
      </c>
      <c r="B517" s="11" t="str">
        <f aca="false">IF(A517="","",IFERROR(INDEX(DECKS!$C$2:$C$1201,MATCH(A517,DECKS!$B$2:$B$1201,0)),IFERROR(TRIM(INDEX(COMPRAS!$I$2:$I$2001,MATCH(A517,COMPRAS!$L$2:$L$2001,0))),"(sem nome)")))</f>
        <v/>
      </c>
      <c r="C517" s="16" t="str">
        <f aca="false">IF(A517="","",SUMIFS(COMPRAS!$C$2:$C$2001,COMPRAS!$K$2:$K$2001,A517))</f>
        <v/>
      </c>
    </row>
    <row r="518" customFormat="false" ht="15" hidden="false" customHeight="false" outlineLevel="0" collapsed="false">
      <c r="A518" s="11" t="str">
        <f aca="false">IFERROR(INDEX(_AUX!$A$2:$A$3201,MATCH(ROW()-1,_AUX!$C$2:$C$3201,0)),"")</f>
        <v/>
      </c>
      <c r="B518" s="11" t="str">
        <f aca="false">IF(A518="","",IFERROR(INDEX(DECKS!$C$2:$C$1201,MATCH(A518,DECKS!$B$2:$B$1201,0)),IFERROR(TRIM(INDEX(COMPRAS!$I$2:$I$2001,MATCH(A518,COMPRAS!$L$2:$L$2001,0))),"(sem nome)")))</f>
        <v/>
      </c>
      <c r="C518" s="16" t="str">
        <f aca="false">IF(A518="","",SUMIFS(COMPRAS!$C$2:$C$2001,COMPRAS!$K$2:$K$2001,A518))</f>
        <v/>
      </c>
    </row>
    <row r="519" customFormat="false" ht="15" hidden="false" customHeight="false" outlineLevel="0" collapsed="false">
      <c r="A519" s="11" t="str">
        <f aca="false">IFERROR(INDEX(_AUX!$A$2:$A$3201,MATCH(ROW()-1,_AUX!$C$2:$C$3201,0)),"")</f>
        <v/>
      </c>
      <c r="B519" s="11" t="str">
        <f aca="false">IF(A519="","",IFERROR(INDEX(DECKS!$C$2:$C$1201,MATCH(A519,DECKS!$B$2:$B$1201,0)),IFERROR(TRIM(INDEX(COMPRAS!$I$2:$I$2001,MATCH(A519,COMPRAS!$L$2:$L$2001,0))),"(sem nome)")))</f>
        <v/>
      </c>
      <c r="C519" s="16" t="str">
        <f aca="false">IF(A519="","",SUMIFS(COMPRAS!$C$2:$C$2001,COMPRAS!$K$2:$K$2001,A519))</f>
        <v/>
      </c>
    </row>
    <row r="520" customFormat="false" ht="15" hidden="false" customHeight="false" outlineLevel="0" collapsed="false">
      <c r="A520" s="11" t="str">
        <f aca="false">IFERROR(INDEX(_AUX!$A$2:$A$3201,MATCH(ROW()-1,_AUX!$C$2:$C$3201,0)),"")</f>
        <v/>
      </c>
      <c r="B520" s="11" t="str">
        <f aca="false">IF(A520="","",IFERROR(INDEX(DECKS!$C$2:$C$1201,MATCH(A520,DECKS!$B$2:$B$1201,0)),IFERROR(TRIM(INDEX(COMPRAS!$I$2:$I$2001,MATCH(A520,COMPRAS!$L$2:$L$2001,0))),"(sem nome)")))</f>
        <v/>
      </c>
      <c r="C520" s="16" t="str">
        <f aca="false">IF(A520="","",SUMIFS(COMPRAS!$C$2:$C$2001,COMPRAS!$K$2:$K$2001,A520))</f>
        <v/>
      </c>
    </row>
    <row r="521" customFormat="false" ht="15" hidden="false" customHeight="false" outlineLevel="0" collapsed="false">
      <c r="A521" s="11" t="str">
        <f aca="false">IFERROR(INDEX(_AUX!$A$2:$A$3201,MATCH(ROW()-1,_AUX!$C$2:$C$3201,0)),"")</f>
        <v/>
      </c>
      <c r="B521" s="11" t="str">
        <f aca="false">IF(A521="","",IFERROR(INDEX(DECKS!$C$2:$C$1201,MATCH(A521,DECKS!$B$2:$B$1201,0)),IFERROR(TRIM(INDEX(COMPRAS!$I$2:$I$2001,MATCH(A521,COMPRAS!$L$2:$L$2001,0))),"(sem nome)")))</f>
        <v/>
      </c>
      <c r="C521" s="16" t="str">
        <f aca="false">IF(A521="","",SUMIFS(COMPRAS!$C$2:$C$2001,COMPRAS!$K$2:$K$2001,A521))</f>
        <v/>
      </c>
    </row>
    <row r="522" customFormat="false" ht="15" hidden="false" customHeight="false" outlineLevel="0" collapsed="false">
      <c r="A522" s="11" t="str">
        <f aca="false">IFERROR(INDEX(_AUX!$A$2:$A$3201,MATCH(ROW()-1,_AUX!$C$2:$C$3201,0)),"")</f>
        <v/>
      </c>
      <c r="B522" s="11" t="str">
        <f aca="false">IF(A522="","",IFERROR(INDEX(DECKS!$C$2:$C$1201,MATCH(A522,DECKS!$B$2:$B$1201,0)),IFERROR(TRIM(INDEX(COMPRAS!$I$2:$I$2001,MATCH(A522,COMPRAS!$L$2:$L$2001,0))),"(sem nome)")))</f>
        <v/>
      </c>
      <c r="C522" s="16" t="str">
        <f aca="false">IF(A522="","",SUMIFS(COMPRAS!$C$2:$C$2001,COMPRAS!$K$2:$K$2001,A522))</f>
        <v/>
      </c>
    </row>
    <row r="523" customFormat="false" ht="15" hidden="false" customHeight="false" outlineLevel="0" collapsed="false">
      <c r="A523" s="11" t="str">
        <f aca="false">IFERROR(INDEX(_AUX!$A$2:$A$3201,MATCH(ROW()-1,_AUX!$C$2:$C$3201,0)),"")</f>
        <v/>
      </c>
      <c r="B523" s="11" t="str">
        <f aca="false">IF(A523="","",IFERROR(INDEX(DECKS!$C$2:$C$1201,MATCH(A523,DECKS!$B$2:$B$1201,0)),IFERROR(TRIM(INDEX(COMPRAS!$I$2:$I$2001,MATCH(A523,COMPRAS!$L$2:$L$2001,0))),"(sem nome)")))</f>
        <v/>
      </c>
      <c r="C523" s="16" t="str">
        <f aca="false">IF(A523="","",SUMIFS(COMPRAS!$C$2:$C$2001,COMPRAS!$K$2:$K$2001,A523))</f>
        <v/>
      </c>
    </row>
    <row r="524" customFormat="false" ht="15" hidden="false" customHeight="false" outlineLevel="0" collapsed="false">
      <c r="A524" s="11" t="str">
        <f aca="false">IFERROR(INDEX(_AUX!$A$2:$A$3201,MATCH(ROW()-1,_AUX!$C$2:$C$3201,0)),"")</f>
        <v/>
      </c>
      <c r="B524" s="11" t="str">
        <f aca="false">IF(A524="","",IFERROR(INDEX(DECKS!$C$2:$C$1201,MATCH(A524,DECKS!$B$2:$B$1201,0)),IFERROR(TRIM(INDEX(COMPRAS!$I$2:$I$2001,MATCH(A524,COMPRAS!$L$2:$L$2001,0))),"(sem nome)")))</f>
        <v/>
      </c>
      <c r="C524" s="16" t="str">
        <f aca="false">IF(A524="","",SUMIFS(COMPRAS!$C$2:$C$2001,COMPRAS!$K$2:$K$2001,A524))</f>
        <v/>
      </c>
    </row>
    <row r="525" customFormat="false" ht="15" hidden="false" customHeight="false" outlineLevel="0" collapsed="false">
      <c r="A525" s="11" t="str">
        <f aca="false">IFERROR(INDEX(_AUX!$A$2:$A$3201,MATCH(ROW()-1,_AUX!$C$2:$C$3201,0)),"")</f>
        <v/>
      </c>
      <c r="B525" s="11" t="str">
        <f aca="false">IF(A525="","",IFERROR(INDEX(DECKS!$C$2:$C$1201,MATCH(A525,DECKS!$B$2:$B$1201,0)),IFERROR(TRIM(INDEX(COMPRAS!$I$2:$I$2001,MATCH(A525,COMPRAS!$L$2:$L$2001,0))),"(sem nome)")))</f>
        <v/>
      </c>
      <c r="C525" s="16" t="str">
        <f aca="false">IF(A525="","",SUMIFS(COMPRAS!$C$2:$C$2001,COMPRAS!$K$2:$K$2001,A525))</f>
        <v/>
      </c>
    </row>
    <row r="526" customFormat="false" ht="15" hidden="false" customHeight="false" outlineLevel="0" collapsed="false">
      <c r="A526" s="11" t="str">
        <f aca="false">IFERROR(INDEX(_AUX!$A$2:$A$3201,MATCH(ROW()-1,_AUX!$C$2:$C$3201,0)),"")</f>
        <v/>
      </c>
      <c r="B526" s="11" t="str">
        <f aca="false">IF(A526="","",IFERROR(INDEX(DECKS!$C$2:$C$1201,MATCH(A526,DECKS!$B$2:$B$1201,0)),IFERROR(TRIM(INDEX(COMPRAS!$I$2:$I$2001,MATCH(A526,COMPRAS!$L$2:$L$2001,0))),"(sem nome)")))</f>
        <v/>
      </c>
      <c r="C526" s="16" t="str">
        <f aca="false">IF(A526="","",SUMIFS(COMPRAS!$C$2:$C$2001,COMPRAS!$K$2:$K$2001,A526))</f>
        <v/>
      </c>
    </row>
    <row r="527" customFormat="false" ht="15" hidden="false" customHeight="false" outlineLevel="0" collapsed="false">
      <c r="A527" s="11" t="str">
        <f aca="false">IFERROR(INDEX(_AUX!$A$2:$A$3201,MATCH(ROW()-1,_AUX!$C$2:$C$3201,0)),"")</f>
        <v/>
      </c>
      <c r="B527" s="11" t="str">
        <f aca="false">IF(A527="","",IFERROR(INDEX(DECKS!$C$2:$C$1201,MATCH(A527,DECKS!$B$2:$B$1201,0)),IFERROR(TRIM(INDEX(COMPRAS!$I$2:$I$2001,MATCH(A527,COMPRAS!$L$2:$L$2001,0))),"(sem nome)")))</f>
        <v/>
      </c>
      <c r="C527" s="16" t="str">
        <f aca="false">IF(A527="","",SUMIFS(COMPRAS!$C$2:$C$2001,COMPRAS!$K$2:$K$2001,A527))</f>
        <v/>
      </c>
    </row>
    <row r="528" customFormat="false" ht="15" hidden="false" customHeight="false" outlineLevel="0" collapsed="false">
      <c r="A528" s="11" t="str">
        <f aca="false">IFERROR(INDEX(_AUX!$A$2:$A$3201,MATCH(ROW()-1,_AUX!$C$2:$C$3201,0)),"")</f>
        <v/>
      </c>
      <c r="B528" s="11" t="str">
        <f aca="false">IF(A528="","",IFERROR(INDEX(DECKS!$C$2:$C$1201,MATCH(A528,DECKS!$B$2:$B$1201,0)),IFERROR(TRIM(INDEX(COMPRAS!$I$2:$I$2001,MATCH(A528,COMPRAS!$L$2:$L$2001,0))),"(sem nome)")))</f>
        <v/>
      </c>
      <c r="C528" s="16" t="str">
        <f aca="false">IF(A528="","",SUMIFS(COMPRAS!$C$2:$C$2001,COMPRAS!$K$2:$K$2001,A528))</f>
        <v/>
      </c>
    </row>
    <row r="529" customFormat="false" ht="15" hidden="false" customHeight="false" outlineLevel="0" collapsed="false">
      <c r="A529" s="11" t="str">
        <f aca="false">IFERROR(INDEX(_AUX!$A$2:$A$3201,MATCH(ROW()-1,_AUX!$C$2:$C$3201,0)),"")</f>
        <v/>
      </c>
      <c r="B529" s="11" t="str">
        <f aca="false">IF(A529="","",IFERROR(INDEX(DECKS!$C$2:$C$1201,MATCH(A529,DECKS!$B$2:$B$1201,0)),IFERROR(TRIM(INDEX(COMPRAS!$I$2:$I$2001,MATCH(A529,COMPRAS!$L$2:$L$2001,0))),"(sem nome)")))</f>
        <v/>
      </c>
      <c r="C529" s="16" t="str">
        <f aca="false">IF(A529="","",SUMIFS(COMPRAS!$C$2:$C$2001,COMPRAS!$K$2:$K$2001,A529))</f>
        <v/>
      </c>
    </row>
    <row r="530" customFormat="false" ht="15" hidden="false" customHeight="false" outlineLevel="0" collapsed="false">
      <c r="A530" s="11" t="str">
        <f aca="false">IFERROR(INDEX(_AUX!$A$2:$A$3201,MATCH(ROW()-1,_AUX!$C$2:$C$3201,0)),"")</f>
        <v/>
      </c>
      <c r="B530" s="11" t="str">
        <f aca="false">IF(A530="","",IFERROR(INDEX(DECKS!$C$2:$C$1201,MATCH(A530,DECKS!$B$2:$B$1201,0)),IFERROR(TRIM(INDEX(COMPRAS!$I$2:$I$2001,MATCH(A530,COMPRAS!$L$2:$L$2001,0))),"(sem nome)")))</f>
        <v/>
      </c>
      <c r="C530" s="16" t="str">
        <f aca="false">IF(A530="","",SUMIFS(COMPRAS!$C$2:$C$2001,COMPRAS!$K$2:$K$2001,A530))</f>
        <v/>
      </c>
    </row>
    <row r="531" customFormat="false" ht="15" hidden="false" customHeight="false" outlineLevel="0" collapsed="false">
      <c r="A531" s="11" t="str">
        <f aca="false">IFERROR(INDEX(_AUX!$A$2:$A$3201,MATCH(ROW()-1,_AUX!$C$2:$C$3201,0)),"")</f>
        <v/>
      </c>
      <c r="B531" s="11" t="str">
        <f aca="false">IF(A531="","",IFERROR(INDEX(DECKS!$C$2:$C$1201,MATCH(A531,DECKS!$B$2:$B$1201,0)),IFERROR(TRIM(INDEX(COMPRAS!$I$2:$I$2001,MATCH(A531,COMPRAS!$L$2:$L$2001,0))),"(sem nome)")))</f>
        <v/>
      </c>
      <c r="C531" s="16" t="str">
        <f aca="false">IF(A531="","",SUMIFS(COMPRAS!$C$2:$C$2001,COMPRAS!$K$2:$K$2001,A531))</f>
        <v/>
      </c>
    </row>
    <row r="532" customFormat="false" ht="15" hidden="false" customHeight="false" outlineLevel="0" collapsed="false">
      <c r="A532" s="11" t="str">
        <f aca="false">IFERROR(INDEX(_AUX!$A$2:$A$3201,MATCH(ROW()-1,_AUX!$C$2:$C$3201,0)),"")</f>
        <v/>
      </c>
      <c r="B532" s="11" t="str">
        <f aca="false">IF(A532="","",IFERROR(INDEX(DECKS!$C$2:$C$1201,MATCH(A532,DECKS!$B$2:$B$1201,0)),IFERROR(TRIM(INDEX(COMPRAS!$I$2:$I$2001,MATCH(A532,COMPRAS!$L$2:$L$2001,0))),"(sem nome)")))</f>
        <v/>
      </c>
      <c r="C532" s="16" t="str">
        <f aca="false">IF(A532="","",SUMIFS(COMPRAS!$C$2:$C$2001,COMPRAS!$K$2:$K$2001,A532))</f>
        <v/>
      </c>
    </row>
    <row r="533" customFormat="false" ht="15" hidden="false" customHeight="false" outlineLevel="0" collapsed="false">
      <c r="A533" s="11" t="str">
        <f aca="false">IFERROR(INDEX(_AUX!$A$2:$A$3201,MATCH(ROW()-1,_AUX!$C$2:$C$3201,0)),"")</f>
        <v/>
      </c>
      <c r="B533" s="11" t="str">
        <f aca="false">IF(A533="","",IFERROR(INDEX(DECKS!$C$2:$C$1201,MATCH(A533,DECKS!$B$2:$B$1201,0)),IFERROR(TRIM(INDEX(COMPRAS!$I$2:$I$2001,MATCH(A533,COMPRAS!$L$2:$L$2001,0))),"(sem nome)")))</f>
        <v/>
      </c>
      <c r="C533" s="16" t="str">
        <f aca="false">IF(A533="","",SUMIFS(COMPRAS!$C$2:$C$2001,COMPRAS!$K$2:$K$2001,A533))</f>
        <v/>
      </c>
    </row>
    <row r="534" customFormat="false" ht="15" hidden="false" customHeight="false" outlineLevel="0" collapsed="false">
      <c r="A534" s="11" t="str">
        <f aca="false">IFERROR(INDEX(_AUX!$A$2:$A$3201,MATCH(ROW()-1,_AUX!$C$2:$C$3201,0)),"")</f>
        <v/>
      </c>
      <c r="B534" s="11" t="str">
        <f aca="false">IF(A534="","",IFERROR(INDEX(DECKS!$C$2:$C$1201,MATCH(A534,DECKS!$B$2:$B$1201,0)),IFERROR(TRIM(INDEX(COMPRAS!$I$2:$I$2001,MATCH(A534,COMPRAS!$L$2:$L$2001,0))),"(sem nome)")))</f>
        <v/>
      </c>
      <c r="C534" s="16" t="str">
        <f aca="false">IF(A534="","",SUMIFS(COMPRAS!$C$2:$C$2001,COMPRAS!$K$2:$K$2001,A534))</f>
        <v/>
      </c>
    </row>
    <row r="535" customFormat="false" ht="15" hidden="false" customHeight="false" outlineLevel="0" collapsed="false">
      <c r="A535" s="11" t="str">
        <f aca="false">IFERROR(INDEX(_AUX!$A$2:$A$3201,MATCH(ROW()-1,_AUX!$C$2:$C$3201,0)),"")</f>
        <v/>
      </c>
      <c r="B535" s="11" t="str">
        <f aca="false">IF(A535="","",IFERROR(INDEX(DECKS!$C$2:$C$1201,MATCH(A535,DECKS!$B$2:$B$1201,0)),IFERROR(TRIM(INDEX(COMPRAS!$I$2:$I$2001,MATCH(A535,COMPRAS!$L$2:$L$2001,0))),"(sem nome)")))</f>
        <v/>
      </c>
      <c r="C535" s="16" t="str">
        <f aca="false">IF(A535="","",SUMIFS(COMPRAS!$C$2:$C$2001,COMPRAS!$K$2:$K$2001,A535))</f>
        <v/>
      </c>
    </row>
    <row r="536" customFormat="false" ht="15" hidden="false" customHeight="false" outlineLevel="0" collapsed="false">
      <c r="A536" s="11" t="str">
        <f aca="false">IFERROR(INDEX(_AUX!$A$2:$A$3201,MATCH(ROW()-1,_AUX!$C$2:$C$3201,0)),"")</f>
        <v/>
      </c>
      <c r="B536" s="11" t="str">
        <f aca="false">IF(A536="","",IFERROR(INDEX(DECKS!$C$2:$C$1201,MATCH(A536,DECKS!$B$2:$B$1201,0)),IFERROR(TRIM(INDEX(COMPRAS!$I$2:$I$2001,MATCH(A536,COMPRAS!$L$2:$L$2001,0))),"(sem nome)")))</f>
        <v/>
      </c>
      <c r="C536" s="16" t="str">
        <f aca="false">IF(A536="","",SUMIFS(COMPRAS!$C$2:$C$2001,COMPRAS!$K$2:$K$2001,A536))</f>
        <v/>
      </c>
    </row>
    <row r="537" customFormat="false" ht="15" hidden="false" customHeight="false" outlineLevel="0" collapsed="false">
      <c r="A537" s="11" t="str">
        <f aca="false">IFERROR(INDEX(_AUX!$A$2:$A$3201,MATCH(ROW()-1,_AUX!$C$2:$C$3201,0)),"")</f>
        <v/>
      </c>
      <c r="B537" s="11" t="str">
        <f aca="false">IF(A537="","",IFERROR(INDEX(DECKS!$C$2:$C$1201,MATCH(A537,DECKS!$B$2:$B$1201,0)),IFERROR(TRIM(INDEX(COMPRAS!$I$2:$I$2001,MATCH(A537,COMPRAS!$L$2:$L$2001,0))),"(sem nome)")))</f>
        <v/>
      </c>
      <c r="C537" s="16" t="str">
        <f aca="false">IF(A537="","",SUMIFS(COMPRAS!$C$2:$C$2001,COMPRAS!$K$2:$K$2001,A537))</f>
        <v/>
      </c>
    </row>
    <row r="538" customFormat="false" ht="15" hidden="false" customHeight="false" outlineLevel="0" collapsed="false">
      <c r="A538" s="11" t="str">
        <f aca="false">IFERROR(INDEX(_AUX!$A$2:$A$3201,MATCH(ROW()-1,_AUX!$C$2:$C$3201,0)),"")</f>
        <v/>
      </c>
      <c r="B538" s="11" t="str">
        <f aca="false">IF(A538="","",IFERROR(INDEX(DECKS!$C$2:$C$1201,MATCH(A538,DECKS!$B$2:$B$1201,0)),IFERROR(TRIM(INDEX(COMPRAS!$I$2:$I$2001,MATCH(A538,COMPRAS!$L$2:$L$2001,0))),"(sem nome)")))</f>
        <v/>
      </c>
      <c r="C538" s="16" t="str">
        <f aca="false">IF(A538="","",SUMIFS(COMPRAS!$C$2:$C$2001,COMPRAS!$K$2:$K$2001,A538))</f>
        <v/>
      </c>
    </row>
    <row r="539" customFormat="false" ht="15" hidden="false" customHeight="false" outlineLevel="0" collapsed="false">
      <c r="A539" s="11" t="str">
        <f aca="false">IFERROR(INDEX(_AUX!$A$2:$A$3201,MATCH(ROW()-1,_AUX!$C$2:$C$3201,0)),"")</f>
        <v/>
      </c>
      <c r="B539" s="11" t="str">
        <f aca="false">IF(A539="","",IFERROR(INDEX(DECKS!$C$2:$C$1201,MATCH(A539,DECKS!$B$2:$B$1201,0)),IFERROR(TRIM(INDEX(COMPRAS!$I$2:$I$2001,MATCH(A539,COMPRAS!$L$2:$L$2001,0))),"(sem nome)")))</f>
        <v/>
      </c>
      <c r="C539" s="16" t="str">
        <f aca="false">IF(A539="","",SUMIFS(COMPRAS!$C$2:$C$2001,COMPRAS!$K$2:$K$2001,A539))</f>
        <v/>
      </c>
    </row>
    <row r="540" customFormat="false" ht="15" hidden="false" customHeight="false" outlineLevel="0" collapsed="false">
      <c r="A540" s="11" t="str">
        <f aca="false">IFERROR(INDEX(_AUX!$A$2:$A$3201,MATCH(ROW()-1,_AUX!$C$2:$C$3201,0)),"")</f>
        <v/>
      </c>
      <c r="B540" s="11" t="str">
        <f aca="false">IF(A540="","",IFERROR(INDEX(DECKS!$C$2:$C$1201,MATCH(A540,DECKS!$B$2:$B$1201,0)),IFERROR(TRIM(INDEX(COMPRAS!$I$2:$I$2001,MATCH(A540,COMPRAS!$L$2:$L$2001,0))),"(sem nome)")))</f>
        <v/>
      </c>
      <c r="C540" s="16" t="str">
        <f aca="false">IF(A540="","",SUMIFS(COMPRAS!$C$2:$C$2001,COMPRAS!$K$2:$K$2001,A540))</f>
        <v/>
      </c>
    </row>
    <row r="541" customFormat="false" ht="15" hidden="false" customHeight="false" outlineLevel="0" collapsed="false">
      <c r="A541" s="11" t="str">
        <f aca="false">IFERROR(INDEX(_AUX!$A$2:$A$3201,MATCH(ROW()-1,_AUX!$C$2:$C$3201,0)),"")</f>
        <v/>
      </c>
      <c r="B541" s="11" t="str">
        <f aca="false">IF(A541="","",IFERROR(INDEX(DECKS!$C$2:$C$1201,MATCH(A541,DECKS!$B$2:$B$1201,0)),IFERROR(TRIM(INDEX(COMPRAS!$I$2:$I$2001,MATCH(A541,COMPRAS!$L$2:$L$2001,0))),"(sem nome)")))</f>
        <v/>
      </c>
      <c r="C541" s="16" t="str">
        <f aca="false">IF(A541="","",SUMIFS(COMPRAS!$C$2:$C$2001,COMPRAS!$K$2:$K$2001,A541))</f>
        <v/>
      </c>
    </row>
    <row r="542" customFormat="false" ht="15" hidden="false" customHeight="false" outlineLevel="0" collapsed="false">
      <c r="A542" s="11" t="str">
        <f aca="false">IFERROR(INDEX(_AUX!$A$2:$A$3201,MATCH(ROW()-1,_AUX!$C$2:$C$3201,0)),"")</f>
        <v/>
      </c>
      <c r="B542" s="11" t="str">
        <f aca="false">IF(A542="","",IFERROR(INDEX(DECKS!$C$2:$C$1201,MATCH(A542,DECKS!$B$2:$B$1201,0)),IFERROR(TRIM(INDEX(COMPRAS!$I$2:$I$2001,MATCH(A542,COMPRAS!$L$2:$L$2001,0))),"(sem nome)")))</f>
        <v/>
      </c>
      <c r="C542" s="16" t="str">
        <f aca="false">IF(A542="","",SUMIFS(COMPRAS!$C$2:$C$2001,COMPRAS!$K$2:$K$2001,A542))</f>
        <v/>
      </c>
    </row>
    <row r="543" customFormat="false" ht="15" hidden="false" customHeight="false" outlineLevel="0" collapsed="false">
      <c r="A543" s="11" t="str">
        <f aca="false">IFERROR(INDEX(_AUX!$A$2:$A$3201,MATCH(ROW()-1,_AUX!$C$2:$C$3201,0)),"")</f>
        <v/>
      </c>
      <c r="B543" s="11" t="str">
        <f aca="false">IF(A543="","",IFERROR(INDEX(DECKS!$C$2:$C$1201,MATCH(A543,DECKS!$B$2:$B$1201,0)),IFERROR(TRIM(INDEX(COMPRAS!$I$2:$I$2001,MATCH(A543,COMPRAS!$L$2:$L$2001,0))),"(sem nome)")))</f>
        <v/>
      </c>
      <c r="C543" s="16" t="str">
        <f aca="false">IF(A543="","",SUMIFS(COMPRAS!$C$2:$C$2001,COMPRAS!$K$2:$K$2001,A543))</f>
        <v/>
      </c>
    </row>
    <row r="544" customFormat="false" ht="15" hidden="false" customHeight="false" outlineLevel="0" collapsed="false">
      <c r="A544" s="11" t="str">
        <f aca="false">IFERROR(INDEX(_AUX!$A$2:$A$3201,MATCH(ROW()-1,_AUX!$C$2:$C$3201,0)),"")</f>
        <v/>
      </c>
      <c r="B544" s="11" t="str">
        <f aca="false">IF(A544="","",IFERROR(INDEX(DECKS!$C$2:$C$1201,MATCH(A544,DECKS!$B$2:$B$1201,0)),IFERROR(TRIM(INDEX(COMPRAS!$I$2:$I$2001,MATCH(A544,COMPRAS!$L$2:$L$2001,0))),"(sem nome)")))</f>
        <v/>
      </c>
      <c r="C544" s="16" t="str">
        <f aca="false">IF(A544="","",SUMIFS(COMPRAS!$C$2:$C$2001,COMPRAS!$K$2:$K$2001,A544))</f>
        <v/>
      </c>
    </row>
    <row r="545" customFormat="false" ht="15" hidden="false" customHeight="false" outlineLevel="0" collapsed="false">
      <c r="A545" s="11" t="str">
        <f aca="false">IFERROR(INDEX(_AUX!$A$2:$A$3201,MATCH(ROW()-1,_AUX!$C$2:$C$3201,0)),"")</f>
        <v/>
      </c>
      <c r="B545" s="11" t="str">
        <f aca="false">IF(A545="","",IFERROR(INDEX(DECKS!$C$2:$C$1201,MATCH(A545,DECKS!$B$2:$B$1201,0)),IFERROR(TRIM(INDEX(COMPRAS!$I$2:$I$2001,MATCH(A545,COMPRAS!$L$2:$L$2001,0))),"(sem nome)")))</f>
        <v/>
      </c>
      <c r="C545" s="16" t="str">
        <f aca="false">IF(A545="","",SUMIFS(COMPRAS!$C$2:$C$2001,COMPRAS!$K$2:$K$2001,A545))</f>
        <v/>
      </c>
    </row>
    <row r="546" customFormat="false" ht="15" hidden="false" customHeight="false" outlineLevel="0" collapsed="false">
      <c r="A546" s="11" t="str">
        <f aca="false">IFERROR(INDEX(_AUX!$A$2:$A$3201,MATCH(ROW()-1,_AUX!$C$2:$C$3201,0)),"")</f>
        <v/>
      </c>
      <c r="B546" s="11" t="str">
        <f aca="false">IF(A546="","",IFERROR(INDEX(DECKS!$C$2:$C$1201,MATCH(A546,DECKS!$B$2:$B$1201,0)),IFERROR(TRIM(INDEX(COMPRAS!$I$2:$I$2001,MATCH(A546,COMPRAS!$L$2:$L$2001,0))),"(sem nome)")))</f>
        <v/>
      </c>
      <c r="C546" s="16" t="str">
        <f aca="false">IF(A546="","",SUMIFS(COMPRAS!$C$2:$C$2001,COMPRAS!$K$2:$K$2001,A546))</f>
        <v/>
      </c>
    </row>
    <row r="547" customFormat="false" ht="15" hidden="false" customHeight="false" outlineLevel="0" collapsed="false">
      <c r="A547" s="11" t="str">
        <f aca="false">IFERROR(INDEX(_AUX!$A$2:$A$3201,MATCH(ROW()-1,_AUX!$C$2:$C$3201,0)),"")</f>
        <v/>
      </c>
      <c r="B547" s="11" t="str">
        <f aca="false">IF(A547="","",IFERROR(INDEX(DECKS!$C$2:$C$1201,MATCH(A547,DECKS!$B$2:$B$1201,0)),IFERROR(TRIM(INDEX(COMPRAS!$I$2:$I$2001,MATCH(A547,COMPRAS!$L$2:$L$2001,0))),"(sem nome)")))</f>
        <v/>
      </c>
      <c r="C547" s="16" t="str">
        <f aca="false">IF(A547="","",SUMIFS(COMPRAS!$C$2:$C$2001,COMPRAS!$K$2:$K$2001,A547))</f>
        <v/>
      </c>
    </row>
    <row r="548" customFormat="false" ht="15" hidden="false" customHeight="false" outlineLevel="0" collapsed="false">
      <c r="A548" s="11" t="str">
        <f aca="false">IFERROR(INDEX(_AUX!$A$2:$A$3201,MATCH(ROW()-1,_AUX!$C$2:$C$3201,0)),"")</f>
        <v/>
      </c>
      <c r="B548" s="11" t="str">
        <f aca="false">IF(A548="","",IFERROR(INDEX(DECKS!$C$2:$C$1201,MATCH(A548,DECKS!$B$2:$B$1201,0)),IFERROR(TRIM(INDEX(COMPRAS!$I$2:$I$2001,MATCH(A548,COMPRAS!$L$2:$L$2001,0))),"(sem nome)")))</f>
        <v/>
      </c>
      <c r="C548" s="16" t="str">
        <f aca="false">IF(A548="","",SUMIFS(COMPRAS!$C$2:$C$2001,COMPRAS!$K$2:$K$2001,A548))</f>
        <v/>
      </c>
    </row>
    <row r="549" customFormat="false" ht="15" hidden="false" customHeight="false" outlineLevel="0" collapsed="false">
      <c r="A549" s="11" t="str">
        <f aca="false">IFERROR(INDEX(_AUX!$A$2:$A$3201,MATCH(ROW()-1,_AUX!$C$2:$C$3201,0)),"")</f>
        <v/>
      </c>
      <c r="B549" s="11" t="str">
        <f aca="false">IF(A549="","",IFERROR(INDEX(DECKS!$C$2:$C$1201,MATCH(A549,DECKS!$B$2:$B$1201,0)),IFERROR(TRIM(INDEX(COMPRAS!$I$2:$I$2001,MATCH(A549,COMPRAS!$L$2:$L$2001,0))),"(sem nome)")))</f>
        <v/>
      </c>
      <c r="C549" s="16" t="str">
        <f aca="false">IF(A549="","",SUMIFS(COMPRAS!$C$2:$C$2001,COMPRAS!$K$2:$K$2001,A549))</f>
        <v/>
      </c>
    </row>
    <row r="550" customFormat="false" ht="15" hidden="false" customHeight="false" outlineLevel="0" collapsed="false">
      <c r="A550" s="11" t="str">
        <f aca="false">IFERROR(INDEX(_AUX!$A$2:$A$3201,MATCH(ROW()-1,_AUX!$C$2:$C$3201,0)),"")</f>
        <v/>
      </c>
      <c r="B550" s="11" t="str">
        <f aca="false">IF(A550="","",IFERROR(INDEX(DECKS!$C$2:$C$1201,MATCH(A550,DECKS!$B$2:$B$1201,0)),IFERROR(TRIM(INDEX(COMPRAS!$I$2:$I$2001,MATCH(A550,COMPRAS!$L$2:$L$2001,0))),"(sem nome)")))</f>
        <v/>
      </c>
      <c r="C550" s="16" t="str">
        <f aca="false">IF(A550="","",SUMIFS(COMPRAS!$C$2:$C$2001,COMPRAS!$K$2:$K$2001,A550))</f>
        <v/>
      </c>
    </row>
    <row r="551" customFormat="false" ht="15" hidden="false" customHeight="false" outlineLevel="0" collapsed="false">
      <c r="A551" s="11" t="str">
        <f aca="false">IFERROR(INDEX(_AUX!$A$2:$A$3201,MATCH(ROW()-1,_AUX!$C$2:$C$3201,0)),"")</f>
        <v/>
      </c>
      <c r="B551" s="11" t="str">
        <f aca="false">IF(A551="","",IFERROR(INDEX(DECKS!$C$2:$C$1201,MATCH(A551,DECKS!$B$2:$B$1201,0)),IFERROR(TRIM(INDEX(COMPRAS!$I$2:$I$2001,MATCH(A551,COMPRAS!$L$2:$L$2001,0))),"(sem nome)")))</f>
        <v/>
      </c>
      <c r="C551" s="16" t="str">
        <f aca="false">IF(A551="","",SUMIFS(COMPRAS!$C$2:$C$2001,COMPRAS!$K$2:$K$2001,A551))</f>
        <v/>
      </c>
    </row>
    <row r="552" customFormat="false" ht="15" hidden="false" customHeight="false" outlineLevel="0" collapsed="false">
      <c r="A552" s="11" t="str">
        <f aca="false">IFERROR(INDEX(_AUX!$A$2:$A$3201,MATCH(ROW()-1,_AUX!$C$2:$C$3201,0)),"")</f>
        <v/>
      </c>
      <c r="B552" s="11" t="str">
        <f aca="false">IF(A552="","",IFERROR(INDEX(DECKS!$C$2:$C$1201,MATCH(A552,DECKS!$B$2:$B$1201,0)),IFERROR(TRIM(INDEX(COMPRAS!$I$2:$I$2001,MATCH(A552,COMPRAS!$L$2:$L$2001,0))),"(sem nome)")))</f>
        <v/>
      </c>
      <c r="C552" s="16" t="str">
        <f aca="false">IF(A552="","",SUMIFS(COMPRAS!$C$2:$C$2001,COMPRAS!$K$2:$K$2001,A552))</f>
        <v/>
      </c>
    </row>
    <row r="553" customFormat="false" ht="15" hidden="false" customHeight="false" outlineLevel="0" collapsed="false">
      <c r="A553" s="11" t="str">
        <f aca="false">IFERROR(INDEX(_AUX!$A$2:$A$3201,MATCH(ROW()-1,_AUX!$C$2:$C$3201,0)),"")</f>
        <v/>
      </c>
      <c r="B553" s="11" t="str">
        <f aca="false">IF(A553="","",IFERROR(INDEX(DECKS!$C$2:$C$1201,MATCH(A553,DECKS!$B$2:$B$1201,0)),IFERROR(TRIM(INDEX(COMPRAS!$I$2:$I$2001,MATCH(A553,COMPRAS!$L$2:$L$2001,0))),"(sem nome)")))</f>
        <v/>
      </c>
      <c r="C553" s="16" t="str">
        <f aca="false">IF(A553="","",SUMIFS(COMPRAS!$C$2:$C$2001,COMPRAS!$K$2:$K$2001,A553))</f>
        <v/>
      </c>
    </row>
    <row r="554" customFormat="false" ht="15" hidden="false" customHeight="false" outlineLevel="0" collapsed="false">
      <c r="A554" s="11" t="str">
        <f aca="false">IFERROR(INDEX(_AUX!$A$2:$A$3201,MATCH(ROW()-1,_AUX!$C$2:$C$3201,0)),"")</f>
        <v/>
      </c>
      <c r="B554" s="11" t="str">
        <f aca="false">IF(A554="","",IFERROR(INDEX(DECKS!$C$2:$C$1201,MATCH(A554,DECKS!$B$2:$B$1201,0)),IFERROR(TRIM(INDEX(COMPRAS!$I$2:$I$2001,MATCH(A554,COMPRAS!$L$2:$L$2001,0))),"(sem nome)")))</f>
        <v/>
      </c>
      <c r="C554" s="16" t="str">
        <f aca="false">IF(A554="","",SUMIFS(COMPRAS!$C$2:$C$2001,COMPRAS!$K$2:$K$2001,A554))</f>
        <v/>
      </c>
    </row>
    <row r="555" customFormat="false" ht="15" hidden="false" customHeight="false" outlineLevel="0" collapsed="false">
      <c r="A555" s="11" t="str">
        <f aca="false">IFERROR(INDEX(_AUX!$A$2:$A$3201,MATCH(ROW()-1,_AUX!$C$2:$C$3201,0)),"")</f>
        <v/>
      </c>
      <c r="B555" s="11" t="str">
        <f aca="false">IF(A555="","",IFERROR(INDEX(DECKS!$C$2:$C$1201,MATCH(A555,DECKS!$B$2:$B$1201,0)),IFERROR(TRIM(INDEX(COMPRAS!$I$2:$I$2001,MATCH(A555,COMPRAS!$L$2:$L$2001,0))),"(sem nome)")))</f>
        <v/>
      </c>
      <c r="C555" s="16" t="str">
        <f aca="false">IF(A555="","",SUMIFS(COMPRAS!$C$2:$C$2001,COMPRAS!$K$2:$K$2001,A555))</f>
        <v/>
      </c>
    </row>
    <row r="556" customFormat="false" ht="15" hidden="false" customHeight="false" outlineLevel="0" collapsed="false">
      <c r="A556" s="11" t="str">
        <f aca="false">IFERROR(INDEX(_AUX!$A$2:$A$3201,MATCH(ROW()-1,_AUX!$C$2:$C$3201,0)),"")</f>
        <v/>
      </c>
      <c r="B556" s="11" t="str">
        <f aca="false">IF(A556="","",IFERROR(INDEX(DECKS!$C$2:$C$1201,MATCH(A556,DECKS!$B$2:$B$1201,0)),IFERROR(TRIM(INDEX(COMPRAS!$I$2:$I$2001,MATCH(A556,COMPRAS!$L$2:$L$2001,0))),"(sem nome)")))</f>
        <v/>
      </c>
      <c r="C556" s="16" t="str">
        <f aca="false">IF(A556="","",SUMIFS(COMPRAS!$C$2:$C$2001,COMPRAS!$K$2:$K$2001,A556))</f>
        <v/>
      </c>
    </row>
    <row r="557" customFormat="false" ht="15" hidden="false" customHeight="false" outlineLevel="0" collapsed="false">
      <c r="A557" s="11" t="str">
        <f aca="false">IFERROR(INDEX(_AUX!$A$2:$A$3201,MATCH(ROW()-1,_AUX!$C$2:$C$3201,0)),"")</f>
        <v/>
      </c>
      <c r="B557" s="11" t="str">
        <f aca="false">IF(A557="","",IFERROR(INDEX(DECKS!$C$2:$C$1201,MATCH(A557,DECKS!$B$2:$B$1201,0)),IFERROR(TRIM(INDEX(COMPRAS!$I$2:$I$2001,MATCH(A557,COMPRAS!$L$2:$L$2001,0))),"(sem nome)")))</f>
        <v/>
      </c>
      <c r="C557" s="16" t="str">
        <f aca="false">IF(A557="","",SUMIFS(COMPRAS!$C$2:$C$2001,COMPRAS!$K$2:$K$2001,A557))</f>
        <v/>
      </c>
    </row>
    <row r="558" customFormat="false" ht="15" hidden="false" customHeight="false" outlineLevel="0" collapsed="false">
      <c r="A558" s="11" t="str">
        <f aca="false">IFERROR(INDEX(_AUX!$A$2:$A$3201,MATCH(ROW()-1,_AUX!$C$2:$C$3201,0)),"")</f>
        <v/>
      </c>
      <c r="B558" s="11" t="str">
        <f aca="false">IF(A558="","",IFERROR(INDEX(DECKS!$C$2:$C$1201,MATCH(A558,DECKS!$B$2:$B$1201,0)),IFERROR(TRIM(INDEX(COMPRAS!$I$2:$I$2001,MATCH(A558,COMPRAS!$L$2:$L$2001,0))),"(sem nome)")))</f>
        <v/>
      </c>
      <c r="C558" s="16" t="str">
        <f aca="false">IF(A558="","",SUMIFS(COMPRAS!$C$2:$C$2001,COMPRAS!$K$2:$K$2001,A558))</f>
        <v/>
      </c>
    </row>
    <row r="559" customFormat="false" ht="15" hidden="false" customHeight="false" outlineLevel="0" collapsed="false">
      <c r="A559" s="11" t="str">
        <f aca="false">IFERROR(INDEX(_AUX!$A$2:$A$3201,MATCH(ROW()-1,_AUX!$C$2:$C$3201,0)),"")</f>
        <v/>
      </c>
      <c r="B559" s="11" t="str">
        <f aca="false">IF(A559="","",IFERROR(INDEX(DECKS!$C$2:$C$1201,MATCH(A559,DECKS!$B$2:$B$1201,0)),IFERROR(TRIM(INDEX(COMPRAS!$I$2:$I$2001,MATCH(A559,COMPRAS!$L$2:$L$2001,0))),"(sem nome)")))</f>
        <v/>
      </c>
      <c r="C559" s="16" t="str">
        <f aca="false">IF(A559="","",SUMIFS(COMPRAS!$C$2:$C$2001,COMPRAS!$K$2:$K$2001,A559))</f>
        <v/>
      </c>
    </row>
    <row r="560" customFormat="false" ht="15" hidden="false" customHeight="false" outlineLevel="0" collapsed="false">
      <c r="A560" s="11" t="str">
        <f aca="false">IFERROR(INDEX(_AUX!$A$2:$A$3201,MATCH(ROW()-1,_AUX!$C$2:$C$3201,0)),"")</f>
        <v/>
      </c>
      <c r="B560" s="11" t="str">
        <f aca="false">IF(A560="","",IFERROR(INDEX(DECKS!$C$2:$C$1201,MATCH(A560,DECKS!$B$2:$B$1201,0)),IFERROR(TRIM(INDEX(COMPRAS!$I$2:$I$2001,MATCH(A560,COMPRAS!$L$2:$L$2001,0))),"(sem nome)")))</f>
        <v/>
      </c>
      <c r="C560" s="16" t="str">
        <f aca="false">IF(A560="","",SUMIFS(COMPRAS!$C$2:$C$2001,COMPRAS!$K$2:$K$2001,A560))</f>
        <v/>
      </c>
    </row>
    <row r="561" customFormat="false" ht="15" hidden="false" customHeight="false" outlineLevel="0" collapsed="false">
      <c r="A561" s="11" t="str">
        <f aca="false">IFERROR(INDEX(_AUX!$A$2:$A$3201,MATCH(ROW()-1,_AUX!$C$2:$C$3201,0)),"")</f>
        <v/>
      </c>
      <c r="B561" s="11" t="str">
        <f aca="false">IF(A561="","",IFERROR(INDEX(DECKS!$C$2:$C$1201,MATCH(A561,DECKS!$B$2:$B$1201,0)),IFERROR(TRIM(INDEX(COMPRAS!$I$2:$I$2001,MATCH(A561,COMPRAS!$L$2:$L$2001,0))),"(sem nome)")))</f>
        <v/>
      </c>
      <c r="C561" s="16" t="str">
        <f aca="false">IF(A561="","",SUMIFS(COMPRAS!$C$2:$C$2001,COMPRAS!$K$2:$K$2001,A561))</f>
        <v/>
      </c>
    </row>
    <row r="562" customFormat="false" ht="15" hidden="false" customHeight="false" outlineLevel="0" collapsed="false">
      <c r="A562" s="11" t="str">
        <f aca="false">IFERROR(INDEX(_AUX!$A$2:$A$3201,MATCH(ROW()-1,_AUX!$C$2:$C$3201,0)),"")</f>
        <v/>
      </c>
      <c r="B562" s="11" t="str">
        <f aca="false">IF(A562="","",IFERROR(INDEX(DECKS!$C$2:$C$1201,MATCH(A562,DECKS!$B$2:$B$1201,0)),IFERROR(TRIM(INDEX(COMPRAS!$I$2:$I$2001,MATCH(A562,COMPRAS!$L$2:$L$2001,0))),"(sem nome)")))</f>
        <v/>
      </c>
      <c r="C562" s="16" t="str">
        <f aca="false">IF(A562="","",SUMIFS(COMPRAS!$C$2:$C$2001,COMPRAS!$K$2:$K$2001,A562))</f>
        <v/>
      </c>
    </row>
    <row r="563" customFormat="false" ht="15" hidden="false" customHeight="false" outlineLevel="0" collapsed="false">
      <c r="A563" s="11" t="str">
        <f aca="false">IFERROR(INDEX(_AUX!$A$2:$A$3201,MATCH(ROW()-1,_AUX!$C$2:$C$3201,0)),"")</f>
        <v/>
      </c>
      <c r="B563" s="11" t="str">
        <f aca="false">IF(A563="","",IFERROR(INDEX(DECKS!$C$2:$C$1201,MATCH(A563,DECKS!$B$2:$B$1201,0)),IFERROR(TRIM(INDEX(COMPRAS!$I$2:$I$2001,MATCH(A563,COMPRAS!$L$2:$L$2001,0))),"(sem nome)")))</f>
        <v/>
      </c>
      <c r="C563" s="16" t="str">
        <f aca="false">IF(A563="","",SUMIFS(COMPRAS!$C$2:$C$2001,COMPRAS!$K$2:$K$2001,A563))</f>
        <v/>
      </c>
    </row>
    <row r="564" customFormat="false" ht="15" hidden="false" customHeight="false" outlineLevel="0" collapsed="false">
      <c r="A564" s="11" t="str">
        <f aca="false">IFERROR(INDEX(_AUX!$A$2:$A$3201,MATCH(ROW()-1,_AUX!$C$2:$C$3201,0)),"")</f>
        <v/>
      </c>
      <c r="B564" s="11" t="str">
        <f aca="false">IF(A564="","",IFERROR(INDEX(DECKS!$C$2:$C$1201,MATCH(A564,DECKS!$B$2:$B$1201,0)),IFERROR(TRIM(INDEX(COMPRAS!$I$2:$I$2001,MATCH(A564,COMPRAS!$L$2:$L$2001,0))),"(sem nome)")))</f>
        <v/>
      </c>
      <c r="C564" s="16" t="str">
        <f aca="false">IF(A564="","",SUMIFS(COMPRAS!$C$2:$C$2001,COMPRAS!$K$2:$K$2001,A564))</f>
        <v/>
      </c>
    </row>
    <row r="565" customFormat="false" ht="15" hidden="false" customHeight="false" outlineLevel="0" collapsed="false">
      <c r="A565" s="11" t="str">
        <f aca="false">IFERROR(INDEX(_AUX!$A$2:$A$3201,MATCH(ROW()-1,_AUX!$C$2:$C$3201,0)),"")</f>
        <v/>
      </c>
      <c r="B565" s="11" t="str">
        <f aca="false">IF(A565="","",IFERROR(INDEX(DECKS!$C$2:$C$1201,MATCH(A565,DECKS!$B$2:$B$1201,0)),IFERROR(TRIM(INDEX(COMPRAS!$I$2:$I$2001,MATCH(A565,COMPRAS!$L$2:$L$2001,0))),"(sem nome)")))</f>
        <v/>
      </c>
      <c r="C565" s="16" t="str">
        <f aca="false">IF(A565="","",SUMIFS(COMPRAS!$C$2:$C$2001,COMPRAS!$K$2:$K$2001,A565))</f>
        <v/>
      </c>
    </row>
    <row r="566" customFormat="false" ht="15" hidden="false" customHeight="false" outlineLevel="0" collapsed="false">
      <c r="A566" s="11" t="str">
        <f aca="false">IFERROR(INDEX(_AUX!$A$2:$A$3201,MATCH(ROW()-1,_AUX!$C$2:$C$3201,0)),"")</f>
        <v/>
      </c>
      <c r="B566" s="11" t="str">
        <f aca="false">IF(A566="","",IFERROR(INDEX(DECKS!$C$2:$C$1201,MATCH(A566,DECKS!$B$2:$B$1201,0)),IFERROR(TRIM(INDEX(COMPRAS!$I$2:$I$2001,MATCH(A566,COMPRAS!$L$2:$L$2001,0))),"(sem nome)")))</f>
        <v/>
      </c>
      <c r="C566" s="16" t="str">
        <f aca="false">IF(A566="","",SUMIFS(COMPRAS!$C$2:$C$2001,COMPRAS!$K$2:$K$2001,A566))</f>
        <v/>
      </c>
    </row>
    <row r="567" customFormat="false" ht="15" hidden="false" customHeight="false" outlineLevel="0" collapsed="false">
      <c r="A567" s="11" t="str">
        <f aca="false">IFERROR(INDEX(_AUX!$A$2:$A$3201,MATCH(ROW()-1,_AUX!$C$2:$C$3201,0)),"")</f>
        <v/>
      </c>
      <c r="B567" s="11" t="str">
        <f aca="false">IF(A567="","",IFERROR(INDEX(DECKS!$C$2:$C$1201,MATCH(A567,DECKS!$B$2:$B$1201,0)),IFERROR(TRIM(INDEX(COMPRAS!$I$2:$I$2001,MATCH(A567,COMPRAS!$L$2:$L$2001,0))),"(sem nome)")))</f>
        <v/>
      </c>
      <c r="C567" s="16" t="str">
        <f aca="false">IF(A567="","",SUMIFS(COMPRAS!$C$2:$C$2001,COMPRAS!$K$2:$K$2001,A567))</f>
        <v/>
      </c>
    </row>
    <row r="568" customFormat="false" ht="15" hidden="false" customHeight="false" outlineLevel="0" collapsed="false">
      <c r="A568" s="11" t="str">
        <f aca="false">IFERROR(INDEX(_AUX!$A$2:$A$3201,MATCH(ROW()-1,_AUX!$C$2:$C$3201,0)),"")</f>
        <v/>
      </c>
      <c r="B568" s="11" t="str">
        <f aca="false">IF(A568="","",IFERROR(INDEX(DECKS!$C$2:$C$1201,MATCH(A568,DECKS!$B$2:$B$1201,0)),IFERROR(TRIM(INDEX(COMPRAS!$I$2:$I$2001,MATCH(A568,COMPRAS!$L$2:$L$2001,0))),"(sem nome)")))</f>
        <v/>
      </c>
      <c r="C568" s="16" t="str">
        <f aca="false">IF(A568="","",SUMIFS(COMPRAS!$C$2:$C$2001,COMPRAS!$K$2:$K$2001,A568))</f>
        <v/>
      </c>
    </row>
    <row r="569" customFormat="false" ht="15" hidden="false" customHeight="false" outlineLevel="0" collapsed="false">
      <c r="A569" s="11" t="str">
        <f aca="false">IFERROR(INDEX(_AUX!$A$2:$A$3201,MATCH(ROW()-1,_AUX!$C$2:$C$3201,0)),"")</f>
        <v/>
      </c>
      <c r="B569" s="11" t="str">
        <f aca="false">IF(A569="","",IFERROR(INDEX(DECKS!$C$2:$C$1201,MATCH(A569,DECKS!$B$2:$B$1201,0)),IFERROR(TRIM(INDEX(COMPRAS!$I$2:$I$2001,MATCH(A569,COMPRAS!$L$2:$L$2001,0))),"(sem nome)")))</f>
        <v/>
      </c>
      <c r="C569" s="16" t="str">
        <f aca="false">IF(A569="","",SUMIFS(COMPRAS!$C$2:$C$2001,COMPRAS!$K$2:$K$2001,A569))</f>
        <v/>
      </c>
    </row>
    <row r="570" customFormat="false" ht="15" hidden="false" customHeight="false" outlineLevel="0" collapsed="false">
      <c r="A570" s="11" t="str">
        <f aca="false">IFERROR(INDEX(_AUX!$A$2:$A$3201,MATCH(ROW()-1,_AUX!$C$2:$C$3201,0)),"")</f>
        <v/>
      </c>
      <c r="B570" s="11" t="str">
        <f aca="false">IF(A570="","",IFERROR(INDEX(DECKS!$C$2:$C$1201,MATCH(A570,DECKS!$B$2:$B$1201,0)),IFERROR(TRIM(INDEX(COMPRAS!$I$2:$I$2001,MATCH(A570,COMPRAS!$L$2:$L$2001,0))),"(sem nome)")))</f>
        <v/>
      </c>
      <c r="C570" s="16" t="str">
        <f aca="false">IF(A570="","",SUMIFS(COMPRAS!$C$2:$C$2001,COMPRAS!$K$2:$K$2001,A570))</f>
        <v/>
      </c>
    </row>
    <row r="571" customFormat="false" ht="15" hidden="false" customHeight="false" outlineLevel="0" collapsed="false">
      <c r="A571" s="11" t="str">
        <f aca="false">IFERROR(INDEX(_AUX!$A$2:$A$3201,MATCH(ROW()-1,_AUX!$C$2:$C$3201,0)),"")</f>
        <v/>
      </c>
      <c r="B571" s="11" t="str">
        <f aca="false">IF(A571="","",IFERROR(INDEX(DECKS!$C$2:$C$1201,MATCH(A571,DECKS!$B$2:$B$1201,0)),IFERROR(TRIM(INDEX(COMPRAS!$I$2:$I$2001,MATCH(A571,COMPRAS!$L$2:$L$2001,0))),"(sem nome)")))</f>
        <v/>
      </c>
      <c r="C571" s="16" t="str">
        <f aca="false">IF(A571="","",SUMIFS(COMPRAS!$C$2:$C$2001,COMPRAS!$K$2:$K$2001,A571))</f>
        <v/>
      </c>
    </row>
    <row r="572" customFormat="false" ht="15" hidden="false" customHeight="false" outlineLevel="0" collapsed="false">
      <c r="A572" s="11" t="str">
        <f aca="false">IFERROR(INDEX(_AUX!$A$2:$A$3201,MATCH(ROW()-1,_AUX!$C$2:$C$3201,0)),"")</f>
        <v/>
      </c>
      <c r="B572" s="11" t="str">
        <f aca="false">IF(A572="","",IFERROR(INDEX(DECKS!$C$2:$C$1201,MATCH(A572,DECKS!$B$2:$B$1201,0)),IFERROR(TRIM(INDEX(COMPRAS!$I$2:$I$2001,MATCH(A572,COMPRAS!$L$2:$L$2001,0))),"(sem nome)")))</f>
        <v/>
      </c>
      <c r="C572" s="16" t="str">
        <f aca="false">IF(A572="","",SUMIFS(COMPRAS!$C$2:$C$2001,COMPRAS!$K$2:$K$2001,A572))</f>
        <v/>
      </c>
    </row>
    <row r="573" customFormat="false" ht="15" hidden="false" customHeight="false" outlineLevel="0" collapsed="false">
      <c r="A573" s="11" t="str">
        <f aca="false">IFERROR(INDEX(_AUX!$A$2:$A$3201,MATCH(ROW()-1,_AUX!$C$2:$C$3201,0)),"")</f>
        <v/>
      </c>
      <c r="B573" s="11" t="str">
        <f aca="false">IF(A573="","",IFERROR(INDEX(DECKS!$C$2:$C$1201,MATCH(A573,DECKS!$B$2:$B$1201,0)),IFERROR(TRIM(INDEX(COMPRAS!$I$2:$I$2001,MATCH(A573,COMPRAS!$L$2:$L$2001,0))),"(sem nome)")))</f>
        <v/>
      </c>
      <c r="C573" s="16" t="str">
        <f aca="false">IF(A573="","",SUMIFS(COMPRAS!$C$2:$C$2001,COMPRAS!$K$2:$K$2001,A573))</f>
        <v/>
      </c>
    </row>
    <row r="574" customFormat="false" ht="15" hidden="false" customHeight="false" outlineLevel="0" collapsed="false">
      <c r="A574" s="11" t="str">
        <f aca="false">IFERROR(INDEX(_AUX!$A$2:$A$3201,MATCH(ROW()-1,_AUX!$C$2:$C$3201,0)),"")</f>
        <v/>
      </c>
      <c r="B574" s="11" t="str">
        <f aca="false">IF(A574="","",IFERROR(INDEX(DECKS!$C$2:$C$1201,MATCH(A574,DECKS!$B$2:$B$1201,0)),IFERROR(TRIM(INDEX(COMPRAS!$I$2:$I$2001,MATCH(A574,COMPRAS!$L$2:$L$2001,0))),"(sem nome)")))</f>
        <v/>
      </c>
      <c r="C574" s="16" t="str">
        <f aca="false">IF(A574="","",SUMIFS(COMPRAS!$C$2:$C$2001,COMPRAS!$K$2:$K$2001,A574))</f>
        <v/>
      </c>
    </row>
    <row r="575" customFormat="false" ht="15" hidden="false" customHeight="false" outlineLevel="0" collapsed="false">
      <c r="A575" s="11" t="str">
        <f aca="false">IFERROR(INDEX(_AUX!$A$2:$A$3201,MATCH(ROW()-1,_AUX!$C$2:$C$3201,0)),"")</f>
        <v/>
      </c>
      <c r="B575" s="11" t="str">
        <f aca="false">IF(A575="","",IFERROR(INDEX(DECKS!$C$2:$C$1201,MATCH(A575,DECKS!$B$2:$B$1201,0)),IFERROR(TRIM(INDEX(COMPRAS!$I$2:$I$2001,MATCH(A575,COMPRAS!$L$2:$L$2001,0))),"(sem nome)")))</f>
        <v/>
      </c>
      <c r="C575" s="16" t="str">
        <f aca="false">IF(A575="","",SUMIFS(COMPRAS!$C$2:$C$2001,COMPRAS!$K$2:$K$2001,A575))</f>
        <v/>
      </c>
    </row>
    <row r="576" customFormat="false" ht="15" hidden="false" customHeight="false" outlineLevel="0" collapsed="false">
      <c r="A576" s="11" t="str">
        <f aca="false">IFERROR(INDEX(_AUX!$A$2:$A$3201,MATCH(ROW()-1,_AUX!$C$2:$C$3201,0)),"")</f>
        <v/>
      </c>
      <c r="B576" s="11" t="str">
        <f aca="false">IF(A576="","",IFERROR(INDEX(DECKS!$C$2:$C$1201,MATCH(A576,DECKS!$B$2:$B$1201,0)),IFERROR(TRIM(INDEX(COMPRAS!$I$2:$I$2001,MATCH(A576,COMPRAS!$L$2:$L$2001,0))),"(sem nome)")))</f>
        <v/>
      </c>
      <c r="C576" s="16" t="str">
        <f aca="false">IF(A576="","",SUMIFS(COMPRAS!$C$2:$C$2001,COMPRAS!$K$2:$K$2001,A576))</f>
        <v/>
      </c>
    </row>
    <row r="577" customFormat="false" ht="15" hidden="false" customHeight="false" outlineLevel="0" collapsed="false">
      <c r="A577" s="11" t="str">
        <f aca="false">IFERROR(INDEX(_AUX!$A$2:$A$3201,MATCH(ROW()-1,_AUX!$C$2:$C$3201,0)),"")</f>
        <v/>
      </c>
      <c r="B577" s="11" t="str">
        <f aca="false">IF(A577="","",IFERROR(INDEX(DECKS!$C$2:$C$1201,MATCH(A577,DECKS!$B$2:$B$1201,0)),IFERROR(TRIM(INDEX(COMPRAS!$I$2:$I$2001,MATCH(A577,COMPRAS!$L$2:$L$2001,0))),"(sem nome)")))</f>
        <v/>
      </c>
      <c r="C577" s="16" t="str">
        <f aca="false">IF(A577="","",SUMIFS(COMPRAS!$C$2:$C$2001,COMPRAS!$K$2:$K$2001,A577))</f>
        <v/>
      </c>
    </row>
    <row r="578" customFormat="false" ht="15" hidden="false" customHeight="false" outlineLevel="0" collapsed="false">
      <c r="A578" s="11" t="str">
        <f aca="false">IFERROR(INDEX(_AUX!$A$2:$A$3201,MATCH(ROW()-1,_AUX!$C$2:$C$3201,0)),"")</f>
        <v/>
      </c>
      <c r="B578" s="11" t="str">
        <f aca="false">IF(A578="","",IFERROR(INDEX(DECKS!$C$2:$C$1201,MATCH(A578,DECKS!$B$2:$B$1201,0)),IFERROR(TRIM(INDEX(COMPRAS!$I$2:$I$2001,MATCH(A578,COMPRAS!$L$2:$L$2001,0))),"(sem nome)")))</f>
        <v/>
      </c>
      <c r="C578" s="16" t="str">
        <f aca="false">IF(A578="","",SUMIFS(COMPRAS!$C$2:$C$2001,COMPRAS!$K$2:$K$2001,A578))</f>
        <v/>
      </c>
    </row>
    <row r="579" customFormat="false" ht="15" hidden="false" customHeight="false" outlineLevel="0" collapsed="false">
      <c r="A579" s="11" t="str">
        <f aca="false">IFERROR(INDEX(_AUX!$A$2:$A$3201,MATCH(ROW()-1,_AUX!$C$2:$C$3201,0)),"")</f>
        <v/>
      </c>
      <c r="B579" s="11" t="str">
        <f aca="false">IF(A579="","",IFERROR(INDEX(DECKS!$C$2:$C$1201,MATCH(A579,DECKS!$B$2:$B$1201,0)),IFERROR(TRIM(INDEX(COMPRAS!$I$2:$I$2001,MATCH(A579,COMPRAS!$L$2:$L$2001,0))),"(sem nome)")))</f>
        <v/>
      </c>
      <c r="C579" s="16" t="str">
        <f aca="false">IF(A579="","",SUMIFS(COMPRAS!$C$2:$C$2001,COMPRAS!$K$2:$K$2001,A579))</f>
        <v/>
      </c>
    </row>
    <row r="580" customFormat="false" ht="15" hidden="false" customHeight="false" outlineLevel="0" collapsed="false">
      <c r="A580" s="11" t="str">
        <f aca="false">IFERROR(INDEX(_AUX!$A$2:$A$3201,MATCH(ROW()-1,_AUX!$C$2:$C$3201,0)),"")</f>
        <v/>
      </c>
      <c r="B580" s="11" t="str">
        <f aca="false">IF(A580="","",IFERROR(INDEX(DECKS!$C$2:$C$1201,MATCH(A580,DECKS!$B$2:$B$1201,0)),IFERROR(TRIM(INDEX(COMPRAS!$I$2:$I$2001,MATCH(A580,COMPRAS!$L$2:$L$2001,0))),"(sem nome)")))</f>
        <v/>
      </c>
      <c r="C580" s="16" t="str">
        <f aca="false">IF(A580="","",SUMIFS(COMPRAS!$C$2:$C$2001,COMPRAS!$K$2:$K$2001,A580))</f>
        <v/>
      </c>
    </row>
    <row r="581" customFormat="false" ht="15" hidden="false" customHeight="false" outlineLevel="0" collapsed="false">
      <c r="A581" s="11" t="str">
        <f aca="false">IFERROR(INDEX(_AUX!$A$2:$A$3201,MATCH(ROW()-1,_AUX!$C$2:$C$3201,0)),"")</f>
        <v/>
      </c>
      <c r="B581" s="11" t="str">
        <f aca="false">IF(A581="","",IFERROR(INDEX(DECKS!$C$2:$C$1201,MATCH(A581,DECKS!$B$2:$B$1201,0)),IFERROR(TRIM(INDEX(COMPRAS!$I$2:$I$2001,MATCH(A581,COMPRAS!$L$2:$L$2001,0))),"(sem nome)")))</f>
        <v/>
      </c>
      <c r="C581" s="16" t="str">
        <f aca="false">IF(A581="","",SUMIFS(COMPRAS!$C$2:$C$2001,COMPRAS!$K$2:$K$2001,A581))</f>
        <v/>
      </c>
    </row>
    <row r="582" customFormat="false" ht="15" hidden="false" customHeight="false" outlineLevel="0" collapsed="false">
      <c r="A582" s="11" t="str">
        <f aca="false">IFERROR(INDEX(_AUX!$A$2:$A$3201,MATCH(ROW()-1,_AUX!$C$2:$C$3201,0)),"")</f>
        <v/>
      </c>
      <c r="B582" s="11" t="str">
        <f aca="false">IF(A582="","",IFERROR(INDEX(DECKS!$C$2:$C$1201,MATCH(A582,DECKS!$B$2:$B$1201,0)),IFERROR(TRIM(INDEX(COMPRAS!$I$2:$I$2001,MATCH(A582,COMPRAS!$L$2:$L$2001,0))),"(sem nome)")))</f>
        <v/>
      </c>
      <c r="C582" s="16" t="str">
        <f aca="false">IF(A582="","",SUMIFS(COMPRAS!$C$2:$C$2001,COMPRAS!$K$2:$K$2001,A582))</f>
        <v/>
      </c>
    </row>
    <row r="583" customFormat="false" ht="15" hidden="false" customHeight="false" outlineLevel="0" collapsed="false">
      <c r="A583" s="11" t="str">
        <f aca="false">IFERROR(INDEX(_AUX!$A$2:$A$3201,MATCH(ROW()-1,_AUX!$C$2:$C$3201,0)),"")</f>
        <v/>
      </c>
      <c r="B583" s="11" t="str">
        <f aca="false">IF(A583="","",IFERROR(INDEX(DECKS!$C$2:$C$1201,MATCH(A583,DECKS!$B$2:$B$1201,0)),IFERROR(TRIM(INDEX(COMPRAS!$I$2:$I$2001,MATCH(A583,COMPRAS!$L$2:$L$2001,0))),"(sem nome)")))</f>
        <v/>
      </c>
      <c r="C583" s="16" t="str">
        <f aca="false">IF(A583="","",SUMIFS(COMPRAS!$C$2:$C$2001,COMPRAS!$K$2:$K$2001,A583))</f>
        <v/>
      </c>
    </row>
    <row r="584" customFormat="false" ht="15" hidden="false" customHeight="false" outlineLevel="0" collapsed="false">
      <c r="A584" s="11" t="str">
        <f aca="false">IFERROR(INDEX(_AUX!$A$2:$A$3201,MATCH(ROW()-1,_AUX!$C$2:$C$3201,0)),"")</f>
        <v/>
      </c>
      <c r="B584" s="11" t="str">
        <f aca="false">IF(A584="","",IFERROR(INDEX(DECKS!$C$2:$C$1201,MATCH(A584,DECKS!$B$2:$B$1201,0)),IFERROR(TRIM(INDEX(COMPRAS!$I$2:$I$2001,MATCH(A584,COMPRAS!$L$2:$L$2001,0))),"(sem nome)")))</f>
        <v/>
      </c>
      <c r="C584" s="16" t="str">
        <f aca="false">IF(A584="","",SUMIFS(COMPRAS!$C$2:$C$2001,COMPRAS!$K$2:$K$2001,A584))</f>
        <v/>
      </c>
    </row>
    <row r="585" customFormat="false" ht="15" hidden="false" customHeight="false" outlineLevel="0" collapsed="false">
      <c r="A585" s="11" t="str">
        <f aca="false">IFERROR(INDEX(_AUX!$A$2:$A$3201,MATCH(ROW()-1,_AUX!$C$2:$C$3201,0)),"")</f>
        <v/>
      </c>
      <c r="B585" s="11" t="str">
        <f aca="false">IF(A585="","",IFERROR(INDEX(DECKS!$C$2:$C$1201,MATCH(A585,DECKS!$B$2:$B$1201,0)),IFERROR(TRIM(INDEX(COMPRAS!$I$2:$I$2001,MATCH(A585,COMPRAS!$L$2:$L$2001,0))),"(sem nome)")))</f>
        <v/>
      </c>
      <c r="C585" s="16" t="str">
        <f aca="false">IF(A585="","",SUMIFS(COMPRAS!$C$2:$C$2001,COMPRAS!$K$2:$K$2001,A585))</f>
        <v/>
      </c>
    </row>
    <row r="586" customFormat="false" ht="15" hidden="false" customHeight="false" outlineLevel="0" collapsed="false">
      <c r="A586" s="11" t="str">
        <f aca="false">IFERROR(INDEX(_AUX!$A$2:$A$3201,MATCH(ROW()-1,_AUX!$C$2:$C$3201,0)),"")</f>
        <v/>
      </c>
      <c r="B586" s="11" t="str">
        <f aca="false">IF(A586="","",IFERROR(INDEX(DECKS!$C$2:$C$1201,MATCH(A586,DECKS!$B$2:$B$1201,0)),IFERROR(TRIM(INDEX(COMPRAS!$I$2:$I$2001,MATCH(A586,COMPRAS!$L$2:$L$2001,0))),"(sem nome)")))</f>
        <v/>
      </c>
      <c r="C586" s="16" t="str">
        <f aca="false">IF(A586="","",SUMIFS(COMPRAS!$C$2:$C$2001,COMPRAS!$K$2:$K$2001,A586))</f>
        <v/>
      </c>
    </row>
    <row r="587" customFormat="false" ht="15" hidden="false" customHeight="false" outlineLevel="0" collapsed="false">
      <c r="A587" s="11" t="str">
        <f aca="false">IFERROR(INDEX(_AUX!$A$2:$A$3201,MATCH(ROW()-1,_AUX!$C$2:$C$3201,0)),"")</f>
        <v/>
      </c>
      <c r="B587" s="11" t="str">
        <f aca="false">IF(A587="","",IFERROR(INDEX(DECKS!$C$2:$C$1201,MATCH(A587,DECKS!$B$2:$B$1201,0)),IFERROR(TRIM(INDEX(COMPRAS!$I$2:$I$2001,MATCH(A587,COMPRAS!$L$2:$L$2001,0))),"(sem nome)")))</f>
        <v/>
      </c>
      <c r="C587" s="16" t="str">
        <f aca="false">IF(A587="","",SUMIFS(COMPRAS!$C$2:$C$2001,COMPRAS!$K$2:$K$2001,A587))</f>
        <v/>
      </c>
    </row>
    <row r="588" customFormat="false" ht="15" hidden="false" customHeight="false" outlineLevel="0" collapsed="false">
      <c r="A588" s="11" t="str">
        <f aca="false">IFERROR(INDEX(_AUX!$A$2:$A$3201,MATCH(ROW()-1,_AUX!$C$2:$C$3201,0)),"")</f>
        <v/>
      </c>
      <c r="B588" s="11" t="str">
        <f aca="false">IF(A588="","",IFERROR(INDEX(DECKS!$C$2:$C$1201,MATCH(A588,DECKS!$B$2:$B$1201,0)),IFERROR(TRIM(INDEX(COMPRAS!$I$2:$I$2001,MATCH(A588,COMPRAS!$L$2:$L$2001,0))),"(sem nome)")))</f>
        <v/>
      </c>
      <c r="C588" s="16" t="str">
        <f aca="false">IF(A588="","",SUMIFS(COMPRAS!$C$2:$C$2001,COMPRAS!$K$2:$K$2001,A588))</f>
        <v/>
      </c>
    </row>
    <row r="589" customFormat="false" ht="15" hidden="false" customHeight="false" outlineLevel="0" collapsed="false">
      <c r="A589" s="11" t="str">
        <f aca="false">IFERROR(INDEX(_AUX!$A$2:$A$3201,MATCH(ROW()-1,_AUX!$C$2:$C$3201,0)),"")</f>
        <v/>
      </c>
      <c r="B589" s="11" t="str">
        <f aca="false">IF(A589="","",IFERROR(INDEX(DECKS!$C$2:$C$1201,MATCH(A589,DECKS!$B$2:$B$1201,0)),IFERROR(TRIM(INDEX(COMPRAS!$I$2:$I$2001,MATCH(A589,COMPRAS!$L$2:$L$2001,0))),"(sem nome)")))</f>
        <v/>
      </c>
      <c r="C589" s="16" t="str">
        <f aca="false">IF(A589="","",SUMIFS(COMPRAS!$C$2:$C$2001,COMPRAS!$K$2:$K$2001,A589))</f>
        <v/>
      </c>
    </row>
    <row r="590" customFormat="false" ht="15" hidden="false" customHeight="false" outlineLevel="0" collapsed="false">
      <c r="A590" s="11" t="str">
        <f aca="false">IFERROR(INDEX(_AUX!$A$2:$A$3201,MATCH(ROW()-1,_AUX!$C$2:$C$3201,0)),"")</f>
        <v/>
      </c>
      <c r="B590" s="11" t="str">
        <f aca="false">IF(A590="","",IFERROR(INDEX(DECKS!$C$2:$C$1201,MATCH(A590,DECKS!$B$2:$B$1201,0)),IFERROR(TRIM(INDEX(COMPRAS!$I$2:$I$2001,MATCH(A590,COMPRAS!$L$2:$L$2001,0))),"(sem nome)")))</f>
        <v/>
      </c>
      <c r="C590" s="16" t="str">
        <f aca="false">IF(A590="","",SUMIFS(COMPRAS!$C$2:$C$2001,COMPRAS!$K$2:$K$2001,A590))</f>
        <v/>
      </c>
    </row>
    <row r="591" customFormat="false" ht="15" hidden="false" customHeight="false" outlineLevel="0" collapsed="false">
      <c r="A591" s="11" t="str">
        <f aca="false">IFERROR(INDEX(_AUX!$A$2:$A$3201,MATCH(ROW()-1,_AUX!$C$2:$C$3201,0)),"")</f>
        <v/>
      </c>
      <c r="B591" s="11" t="str">
        <f aca="false">IF(A591="","",IFERROR(INDEX(DECKS!$C$2:$C$1201,MATCH(A591,DECKS!$B$2:$B$1201,0)),IFERROR(TRIM(INDEX(COMPRAS!$I$2:$I$2001,MATCH(A591,COMPRAS!$L$2:$L$2001,0))),"(sem nome)")))</f>
        <v/>
      </c>
      <c r="C591" s="16" t="str">
        <f aca="false">IF(A591="","",SUMIFS(COMPRAS!$C$2:$C$2001,COMPRAS!$K$2:$K$2001,A591))</f>
        <v/>
      </c>
    </row>
    <row r="592" customFormat="false" ht="15" hidden="false" customHeight="false" outlineLevel="0" collapsed="false">
      <c r="A592" s="11" t="str">
        <f aca="false">IFERROR(INDEX(_AUX!$A$2:$A$3201,MATCH(ROW()-1,_AUX!$C$2:$C$3201,0)),"")</f>
        <v/>
      </c>
      <c r="B592" s="11" t="str">
        <f aca="false">IF(A592="","",IFERROR(INDEX(DECKS!$C$2:$C$1201,MATCH(A592,DECKS!$B$2:$B$1201,0)),IFERROR(TRIM(INDEX(COMPRAS!$I$2:$I$2001,MATCH(A592,COMPRAS!$L$2:$L$2001,0))),"(sem nome)")))</f>
        <v/>
      </c>
      <c r="C592" s="16" t="str">
        <f aca="false">IF(A592="","",SUMIFS(COMPRAS!$C$2:$C$2001,COMPRAS!$K$2:$K$2001,A592))</f>
        <v/>
      </c>
    </row>
    <row r="593" customFormat="false" ht="15" hidden="false" customHeight="false" outlineLevel="0" collapsed="false">
      <c r="A593" s="11" t="str">
        <f aca="false">IFERROR(INDEX(_AUX!$A$2:$A$3201,MATCH(ROW()-1,_AUX!$C$2:$C$3201,0)),"")</f>
        <v/>
      </c>
      <c r="B593" s="11" t="str">
        <f aca="false">IF(A593="","",IFERROR(INDEX(DECKS!$C$2:$C$1201,MATCH(A593,DECKS!$B$2:$B$1201,0)),IFERROR(TRIM(INDEX(COMPRAS!$I$2:$I$2001,MATCH(A593,COMPRAS!$L$2:$L$2001,0))),"(sem nome)")))</f>
        <v/>
      </c>
      <c r="C593" s="16" t="str">
        <f aca="false">IF(A593="","",SUMIFS(COMPRAS!$C$2:$C$2001,COMPRAS!$K$2:$K$2001,A593))</f>
        <v/>
      </c>
    </row>
    <row r="594" customFormat="false" ht="15" hidden="false" customHeight="false" outlineLevel="0" collapsed="false">
      <c r="A594" s="11" t="str">
        <f aca="false">IFERROR(INDEX(_AUX!$A$2:$A$3201,MATCH(ROW()-1,_AUX!$C$2:$C$3201,0)),"")</f>
        <v/>
      </c>
      <c r="B594" s="11" t="str">
        <f aca="false">IF(A594="","",IFERROR(INDEX(DECKS!$C$2:$C$1201,MATCH(A594,DECKS!$B$2:$B$1201,0)),IFERROR(TRIM(INDEX(COMPRAS!$I$2:$I$2001,MATCH(A594,COMPRAS!$L$2:$L$2001,0))),"(sem nome)")))</f>
        <v/>
      </c>
      <c r="C594" s="16" t="str">
        <f aca="false">IF(A594="","",SUMIFS(COMPRAS!$C$2:$C$2001,COMPRAS!$K$2:$K$2001,A594))</f>
        <v/>
      </c>
    </row>
    <row r="595" customFormat="false" ht="15" hidden="false" customHeight="false" outlineLevel="0" collapsed="false">
      <c r="A595" s="11" t="str">
        <f aca="false">IFERROR(INDEX(_AUX!$A$2:$A$3201,MATCH(ROW()-1,_AUX!$C$2:$C$3201,0)),"")</f>
        <v/>
      </c>
      <c r="B595" s="11" t="str">
        <f aca="false">IF(A595="","",IFERROR(INDEX(DECKS!$C$2:$C$1201,MATCH(A595,DECKS!$B$2:$B$1201,0)),IFERROR(TRIM(INDEX(COMPRAS!$I$2:$I$2001,MATCH(A595,COMPRAS!$L$2:$L$2001,0))),"(sem nome)")))</f>
        <v/>
      </c>
      <c r="C595" s="16" t="str">
        <f aca="false">IF(A595="","",SUMIFS(COMPRAS!$C$2:$C$2001,COMPRAS!$K$2:$K$2001,A595))</f>
        <v/>
      </c>
    </row>
    <row r="596" customFormat="false" ht="15" hidden="false" customHeight="false" outlineLevel="0" collapsed="false">
      <c r="A596" s="11" t="str">
        <f aca="false">IFERROR(INDEX(_AUX!$A$2:$A$3201,MATCH(ROW()-1,_AUX!$C$2:$C$3201,0)),"")</f>
        <v/>
      </c>
      <c r="B596" s="11" t="str">
        <f aca="false">IF(A596="","",IFERROR(INDEX(DECKS!$C$2:$C$1201,MATCH(A596,DECKS!$B$2:$B$1201,0)),IFERROR(TRIM(INDEX(COMPRAS!$I$2:$I$2001,MATCH(A596,COMPRAS!$L$2:$L$2001,0))),"(sem nome)")))</f>
        <v/>
      </c>
      <c r="C596" s="16" t="str">
        <f aca="false">IF(A596="","",SUMIFS(COMPRAS!$C$2:$C$2001,COMPRAS!$K$2:$K$2001,A596))</f>
        <v/>
      </c>
    </row>
    <row r="597" customFormat="false" ht="15" hidden="false" customHeight="false" outlineLevel="0" collapsed="false">
      <c r="A597" s="11" t="str">
        <f aca="false">IFERROR(INDEX(_AUX!$A$2:$A$3201,MATCH(ROW()-1,_AUX!$C$2:$C$3201,0)),"")</f>
        <v/>
      </c>
      <c r="B597" s="11" t="str">
        <f aca="false">IF(A597="","",IFERROR(INDEX(DECKS!$C$2:$C$1201,MATCH(A597,DECKS!$B$2:$B$1201,0)),IFERROR(TRIM(INDEX(COMPRAS!$I$2:$I$2001,MATCH(A597,COMPRAS!$L$2:$L$2001,0))),"(sem nome)")))</f>
        <v/>
      </c>
      <c r="C597" s="16" t="str">
        <f aca="false">IF(A597="","",SUMIFS(COMPRAS!$C$2:$C$2001,COMPRAS!$K$2:$K$2001,A597))</f>
        <v/>
      </c>
    </row>
    <row r="598" customFormat="false" ht="15" hidden="false" customHeight="false" outlineLevel="0" collapsed="false">
      <c r="A598" s="11" t="str">
        <f aca="false">IFERROR(INDEX(_AUX!$A$2:$A$3201,MATCH(ROW()-1,_AUX!$C$2:$C$3201,0)),"")</f>
        <v/>
      </c>
      <c r="B598" s="11" t="str">
        <f aca="false">IF(A598="","",IFERROR(INDEX(DECKS!$C$2:$C$1201,MATCH(A598,DECKS!$B$2:$B$1201,0)),IFERROR(TRIM(INDEX(COMPRAS!$I$2:$I$2001,MATCH(A598,COMPRAS!$L$2:$L$2001,0))),"(sem nome)")))</f>
        <v/>
      </c>
      <c r="C598" s="16" t="str">
        <f aca="false">IF(A598="","",SUMIFS(COMPRAS!$C$2:$C$2001,COMPRAS!$K$2:$K$2001,A598))</f>
        <v/>
      </c>
    </row>
    <row r="599" customFormat="false" ht="15" hidden="false" customHeight="false" outlineLevel="0" collapsed="false">
      <c r="A599" s="11" t="str">
        <f aca="false">IFERROR(INDEX(_AUX!$A$2:$A$3201,MATCH(ROW()-1,_AUX!$C$2:$C$3201,0)),"")</f>
        <v/>
      </c>
      <c r="B599" s="11" t="str">
        <f aca="false">IF(A599="","",IFERROR(INDEX(DECKS!$C$2:$C$1201,MATCH(A599,DECKS!$B$2:$B$1201,0)),IFERROR(TRIM(INDEX(COMPRAS!$I$2:$I$2001,MATCH(A599,COMPRAS!$L$2:$L$2001,0))),"(sem nome)")))</f>
        <v/>
      </c>
      <c r="C599" s="16" t="str">
        <f aca="false">IF(A599="","",SUMIFS(COMPRAS!$C$2:$C$2001,COMPRAS!$K$2:$K$2001,A599))</f>
        <v/>
      </c>
    </row>
    <row r="600" customFormat="false" ht="15" hidden="false" customHeight="false" outlineLevel="0" collapsed="false">
      <c r="A600" s="11" t="str">
        <f aca="false">IFERROR(INDEX(_AUX!$A$2:$A$3201,MATCH(ROW()-1,_AUX!$C$2:$C$3201,0)),"")</f>
        <v/>
      </c>
      <c r="B600" s="11" t="str">
        <f aca="false">IF(A600="","",IFERROR(INDEX(DECKS!$C$2:$C$1201,MATCH(A600,DECKS!$B$2:$B$1201,0)),IFERROR(TRIM(INDEX(COMPRAS!$I$2:$I$2001,MATCH(A600,COMPRAS!$L$2:$L$2001,0))),"(sem nome)")))</f>
        <v/>
      </c>
      <c r="C600" s="16" t="str">
        <f aca="false">IF(A600="","",SUMIFS(COMPRAS!$C$2:$C$2001,COMPRAS!$K$2:$K$2001,A600))</f>
        <v/>
      </c>
    </row>
    <row r="601" customFormat="false" ht="15" hidden="false" customHeight="false" outlineLevel="0" collapsed="false">
      <c r="A601" s="11" t="str">
        <f aca="false">IFERROR(INDEX(_AUX!$A$2:$A$3201,MATCH(ROW()-1,_AUX!$C$2:$C$3201,0)),"")</f>
        <v/>
      </c>
      <c r="B601" s="11" t="str">
        <f aca="false">IF(A601="","",IFERROR(INDEX(DECKS!$C$2:$C$1201,MATCH(A601,DECKS!$B$2:$B$1201,0)),IFERROR(TRIM(INDEX(COMPRAS!$I$2:$I$2001,MATCH(A601,COMPRAS!$L$2:$L$2001,0))),"(sem nome)")))</f>
        <v/>
      </c>
      <c r="C601" s="16" t="str">
        <f aca="false">IF(A601="","",SUMIFS(COMPRAS!$C$2:$C$2001,COMPRAS!$K$2:$K$2001,A601))</f>
        <v/>
      </c>
    </row>
    <row r="602" customFormat="false" ht="15" hidden="false" customHeight="false" outlineLevel="0" collapsed="false">
      <c r="A602" s="11" t="str">
        <f aca="false">IFERROR(INDEX(_AUX!$A$2:$A$3201,MATCH(ROW()-1,_AUX!$C$2:$C$3201,0)),"")</f>
        <v/>
      </c>
      <c r="B602" s="11" t="str">
        <f aca="false">IF(A602="","",IFERROR(INDEX(DECKS!$C$2:$C$1201,MATCH(A602,DECKS!$B$2:$B$1201,0)),IFERROR(TRIM(INDEX(COMPRAS!$I$2:$I$2001,MATCH(A602,COMPRAS!$L$2:$L$2001,0))),"(sem nome)")))</f>
        <v/>
      </c>
      <c r="C602" s="16" t="str">
        <f aca="false">IF(A602="","",SUMIFS(COMPRAS!$C$2:$C$2001,COMPRAS!$K$2:$K$2001,A602))</f>
        <v/>
      </c>
    </row>
    <row r="603" customFormat="false" ht="15" hidden="false" customHeight="false" outlineLevel="0" collapsed="false">
      <c r="A603" s="11" t="str">
        <f aca="false">IFERROR(INDEX(_AUX!$A$2:$A$3201,MATCH(ROW()-1,_AUX!$C$2:$C$3201,0)),"")</f>
        <v/>
      </c>
      <c r="B603" s="11" t="str">
        <f aca="false">IF(A603="","",IFERROR(INDEX(DECKS!$C$2:$C$1201,MATCH(A603,DECKS!$B$2:$B$1201,0)),IFERROR(TRIM(INDEX(COMPRAS!$I$2:$I$2001,MATCH(A603,COMPRAS!$L$2:$L$2001,0))),"(sem nome)")))</f>
        <v/>
      </c>
      <c r="C603" s="16" t="str">
        <f aca="false">IF(A603="","",SUMIFS(COMPRAS!$C$2:$C$2001,COMPRAS!$K$2:$K$2001,A603))</f>
        <v/>
      </c>
    </row>
    <row r="604" customFormat="false" ht="15" hidden="false" customHeight="false" outlineLevel="0" collapsed="false">
      <c r="A604" s="11" t="str">
        <f aca="false">IFERROR(INDEX(_AUX!$A$2:$A$3201,MATCH(ROW()-1,_AUX!$C$2:$C$3201,0)),"")</f>
        <v/>
      </c>
      <c r="B604" s="11" t="str">
        <f aca="false">IF(A604="","",IFERROR(INDEX(DECKS!$C$2:$C$1201,MATCH(A604,DECKS!$B$2:$B$1201,0)),IFERROR(TRIM(INDEX(COMPRAS!$I$2:$I$2001,MATCH(A604,COMPRAS!$L$2:$L$2001,0))),"(sem nome)")))</f>
        <v/>
      </c>
      <c r="C604" s="16" t="str">
        <f aca="false">IF(A604="","",SUMIFS(COMPRAS!$C$2:$C$2001,COMPRAS!$K$2:$K$2001,A604))</f>
        <v/>
      </c>
    </row>
    <row r="605" customFormat="false" ht="15" hidden="false" customHeight="false" outlineLevel="0" collapsed="false">
      <c r="A605" s="11" t="str">
        <f aca="false">IFERROR(INDEX(_AUX!$A$2:$A$3201,MATCH(ROW()-1,_AUX!$C$2:$C$3201,0)),"")</f>
        <v/>
      </c>
      <c r="B605" s="11" t="str">
        <f aca="false">IF(A605="","",IFERROR(INDEX(DECKS!$C$2:$C$1201,MATCH(A605,DECKS!$B$2:$B$1201,0)),IFERROR(TRIM(INDEX(COMPRAS!$I$2:$I$2001,MATCH(A605,COMPRAS!$L$2:$L$2001,0))),"(sem nome)")))</f>
        <v/>
      </c>
      <c r="C605" s="16" t="str">
        <f aca="false">IF(A605="","",SUMIFS(COMPRAS!$C$2:$C$2001,COMPRAS!$K$2:$K$2001,A605))</f>
        <v/>
      </c>
    </row>
    <row r="606" customFormat="false" ht="15" hidden="false" customHeight="false" outlineLevel="0" collapsed="false">
      <c r="A606" s="11" t="str">
        <f aca="false">IFERROR(INDEX(_AUX!$A$2:$A$3201,MATCH(ROW()-1,_AUX!$C$2:$C$3201,0)),"")</f>
        <v/>
      </c>
      <c r="B606" s="11" t="str">
        <f aca="false">IF(A606="","",IFERROR(INDEX(DECKS!$C$2:$C$1201,MATCH(A606,DECKS!$B$2:$B$1201,0)),IFERROR(TRIM(INDEX(COMPRAS!$I$2:$I$2001,MATCH(A606,COMPRAS!$L$2:$L$2001,0))),"(sem nome)")))</f>
        <v/>
      </c>
      <c r="C606" s="16" t="str">
        <f aca="false">IF(A606="","",SUMIFS(COMPRAS!$C$2:$C$2001,COMPRAS!$K$2:$K$2001,A606))</f>
        <v/>
      </c>
    </row>
    <row r="607" customFormat="false" ht="15" hidden="false" customHeight="false" outlineLevel="0" collapsed="false">
      <c r="A607" s="11" t="str">
        <f aca="false">IFERROR(INDEX(_AUX!$A$2:$A$3201,MATCH(ROW()-1,_AUX!$C$2:$C$3201,0)),"")</f>
        <v/>
      </c>
      <c r="B607" s="11" t="str">
        <f aca="false">IF(A607="","",IFERROR(INDEX(DECKS!$C$2:$C$1201,MATCH(A607,DECKS!$B$2:$B$1201,0)),IFERROR(TRIM(INDEX(COMPRAS!$I$2:$I$2001,MATCH(A607,COMPRAS!$L$2:$L$2001,0))),"(sem nome)")))</f>
        <v/>
      </c>
      <c r="C607" s="16" t="str">
        <f aca="false">IF(A607="","",SUMIFS(COMPRAS!$C$2:$C$2001,COMPRAS!$K$2:$K$2001,A607))</f>
        <v/>
      </c>
    </row>
    <row r="608" customFormat="false" ht="15" hidden="false" customHeight="false" outlineLevel="0" collapsed="false">
      <c r="A608" s="11" t="str">
        <f aca="false">IFERROR(INDEX(_AUX!$A$2:$A$3201,MATCH(ROW()-1,_AUX!$C$2:$C$3201,0)),"")</f>
        <v/>
      </c>
      <c r="B608" s="11" t="str">
        <f aca="false">IF(A608="","",IFERROR(INDEX(DECKS!$C$2:$C$1201,MATCH(A608,DECKS!$B$2:$B$1201,0)),IFERROR(TRIM(INDEX(COMPRAS!$I$2:$I$2001,MATCH(A608,COMPRAS!$L$2:$L$2001,0))),"(sem nome)")))</f>
        <v/>
      </c>
      <c r="C608" s="16" t="str">
        <f aca="false">IF(A608="","",SUMIFS(COMPRAS!$C$2:$C$2001,COMPRAS!$K$2:$K$2001,A608))</f>
        <v/>
      </c>
    </row>
    <row r="609" customFormat="false" ht="15" hidden="false" customHeight="false" outlineLevel="0" collapsed="false">
      <c r="A609" s="11" t="str">
        <f aca="false">IFERROR(INDEX(_AUX!$A$2:$A$3201,MATCH(ROW()-1,_AUX!$C$2:$C$3201,0)),"")</f>
        <v/>
      </c>
      <c r="B609" s="11" t="str">
        <f aca="false">IF(A609="","",IFERROR(INDEX(DECKS!$C$2:$C$1201,MATCH(A609,DECKS!$B$2:$B$1201,0)),IFERROR(TRIM(INDEX(COMPRAS!$I$2:$I$2001,MATCH(A609,COMPRAS!$L$2:$L$2001,0))),"(sem nome)")))</f>
        <v/>
      </c>
      <c r="C609" s="16" t="str">
        <f aca="false">IF(A609="","",SUMIFS(COMPRAS!$C$2:$C$2001,COMPRAS!$K$2:$K$2001,A609))</f>
        <v/>
      </c>
    </row>
    <row r="610" customFormat="false" ht="15" hidden="false" customHeight="false" outlineLevel="0" collapsed="false">
      <c r="A610" s="11" t="str">
        <f aca="false">IFERROR(INDEX(_AUX!$A$2:$A$3201,MATCH(ROW()-1,_AUX!$C$2:$C$3201,0)),"")</f>
        <v/>
      </c>
      <c r="B610" s="11" t="str">
        <f aca="false">IF(A610="","",IFERROR(INDEX(DECKS!$C$2:$C$1201,MATCH(A610,DECKS!$B$2:$B$1201,0)),IFERROR(TRIM(INDEX(COMPRAS!$I$2:$I$2001,MATCH(A610,COMPRAS!$L$2:$L$2001,0))),"(sem nome)")))</f>
        <v/>
      </c>
      <c r="C610" s="16" t="str">
        <f aca="false">IF(A610="","",SUMIFS(COMPRAS!$C$2:$C$2001,COMPRAS!$K$2:$K$2001,A610))</f>
        <v/>
      </c>
    </row>
    <row r="611" customFormat="false" ht="15" hidden="false" customHeight="false" outlineLevel="0" collapsed="false">
      <c r="A611" s="11" t="str">
        <f aca="false">IFERROR(INDEX(_AUX!$A$2:$A$3201,MATCH(ROW()-1,_AUX!$C$2:$C$3201,0)),"")</f>
        <v/>
      </c>
      <c r="B611" s="11" t="str">
        <f aca="false">IF(A611="","",IFERROR(INDEX(DECKS!$C$2:$C$1201,MATCH(A611,DECKS!$B$2:$B$1201,0)),IFERROR(TRIM(INDEX(COMPRAS!$I$2:$I$2001,MATCH(A611,COMPRAS!$L$2:$L$2001,0))),"(sem nome)")))</f>
        <v/>
      </c>
      <c r="C611" s="16" t="str">
        <f aca="false">IF(A611="","",SUMIFS(COMPRAS!$C$2:$C$2001,COMPRAS!$K$2:$K$2001,A611))</f>
        <v/>
      </c>
    </row>
    <row r="612" customFormat="false" ht="15" hidden="false" customHeight="false" outlineLevel="0" collapsed="false">
      <c r="A612" s="11" t="str">
        <f aca="false">IFERROR(INDEX(_AUX!$A$2:$A$3201,MATCH(ROW()-1,_AUX!$C$2:$C$3201,0)),"")</f>
        <v/>
      </c>
      <c r="B612" s="11" t="str">
        <f aca="false">IF(A612="","",IFERROR(INDEX(DECKS!$C$2:$C$1201,MATCH(A612,DECKS!$B$2:$B$1201,0)),IFERROR(TRIM(INDEX(COMPRAS!$I$2:$I$2001,MATCH(A612,COMPRAS!$L$2:$L$2001,0))),"(sem nome)")))</f>
        <v/>
      </c>
      <c r="C612" s="16" t="str">
        <f aca="false">IF(A612="","",SUMIFS(COMPRAS!$C$2:$C$2001,COMPRAS!$K$2:$K$2001,A612))</f>
        <v/>
      </c>
    </row>
    <row r="613" customFormat="false" ht="15" hidden="false" customHeight="false" outlineLevel="0" collapsed="false">
      <c r="A613" s="11" t="str">
        <f aca="false">IFERROR(INDEX(_AUX!$A$2:$A$3201,MATCH(ROW()-1,_AUX!$C$2:$C$3201,0)),"")</f>
        <v/>
      </c>
      <c r="B613" s="11" t="str">
        <f aca="false">IF(A613="","",IFERROR(INDEX(DECKS!$C$2:$C$1201,MATCH(A613,DECKS!$B$2:$B$1201,0)),IFERROR(TRIM(INDEX(COMPRAS!$I$2:$I$2001,MATCH(A613,COMPRAS!$L$2:$L$2001,0))),"(sem nome)")))</f>
        <v/>
      </c>
      <c r="C613" s="16" t="str">
        <f aca="false">IF(A613="","",SUMIFS(COMPRAS!$C$2:$C$2001,COMPRAS!$K$2:$K$2001,A613))</f>
        <v/>
      </c>
    </row>
    <row r="614" customFormat="false" ht="15" hidden="false" customHeight="false" outlineLevel="0" collapsed="false">
      <c r="A614" s="11" t="str">
        <f aca="false">IFERROR(INDEX(_AUX!$A$2:$A$3201,MATCH(ROW()-1,_AUX!$C$2:$C$3201,0)),"")</f>
        <v/>
      </c>
      <c r="B614" s="11" t="str">
        <f aca="false">IF(A614="","",IFERROR(INDEX(DECKS!$C$2:$C$1201,MATCH(A614,DECKS!$B$2:$B$1201,0)),IFERROR(TRIM(INDEX(COMPRAS!$I$2:$I$2001,MATCH(A614,COMPRAS!$L$2:$L$2001,0))),"(sem nome)")))</f>
        <v/>
      </c>
      <c r="C614" s="16" t="str">
        <f aca="false">IF(A614="","",SUMIFS(COMPRAS!$C$2:$C$2001,COMPRAS!$K$2:$K$2001,A614))</f>
        <v/>
      </c>
    </row>
    <row r="615" customFormat="false" ht="15" hidden="false" customHeight="false" outlineLevel="0" collapsed="false">
      <c r="A615" s="11" t="str">
        <f aca="false">IFERROR(INDEX(_AUX!$A$2:$A$3201,MATCH(ROW()-1,_AUX!$C$2:$C$3201,0)),"")</f>
        <v/>
      </c>
      <c r="B615" s="11" t="str">
        <f aca="false">IF(A615="","",IFERROR(INDEX(DECKS!$C$2:$C$1201,MATCH(A615,DECKS!$B$2:$B$1201,0)),IFERROR(TRIM(INDEX(COMPRAS!$I$2:$I$2001,MATCH(A615,COMPRAS!$L$2:$L$2001,0))),"(sem nome)")))</f>
        <v/>
      </c>
      <c r="C615" s="16" t="str">
        <f aca="false">IF(A615="","",SUMIFS(COMPRAS!$C$2:$C$2001,COMPRAS!$K$2:$K$2001,A615))</f>
        <v/>
      </c>
    </row>
    <row r="616" customFormat="false" ht="15" hidden="false" customHeight="false" outlineLevel="0" collapsed="false">
      <c r="A616" s="11" t="str">
        <f aca="false">IFERROR(INDEX(_AUX!$A$2:$A$3201,MATCH(ROW()-1,_AUX!$C$2:$C$3201,0)),"")</f>
        <v/>
      </c>
      <c r="B616" s="11" t="str">
        <f aca="false">IF(A616="","",IFERROR(INDEX(DECKS!$C$2:$C$1201,MATCH(A616,DECKS!$B$2:$B$1201,0)),IFERROR(TRIM(INDEX(COMPRAS!$I$2:$I$2001,MATCH(A616,COMPRAS!$L$2:$L$2001,0))),"(sem nome)")))</f>
        <v/>
      </c>
      <c r="C616" s="16" t="str">
        <f aca="false">IF(A616="","",SUMIFS(COMPRAS!$C$2:$C$2001,COMPRAS!$K$2:$K$2001,A616))</f>
        <v/>
      </c>
    </row>
    <row r="617" customFormat="false" ht="15" hidden="false" customHeight="false" outlineLevel="0" collapsed="false">
      <c r="A617" s="11" t="str">
        <f aca="false">IFERROR(INDEX(_AUX!$A$2:$A$3201,MATCH(ROW()-1,_AUX!$C$2:$C$3201,0)),"")</f>
        <v/>
      </c>
      <c r="B617" s="11" t="str">
        <f aca="false">IF(A617="","",IFERROR(INDEX(DECKS!$C$2:$C$1201,MATCH(A617,DECKS!$B$2:$B$1201,0)),IFERROR(TRIM(INDEX(COMPRAS!$I$2:$I$2001,MATCH(A617,COMPRAS!$L$2:$L$2001,0))),"(sem nome)")))</f>
        <v/>
      </c>
      <c r="C617" s="16" t="str">
        <f aca="false">IF(A617="","",SUMIFS(COMPRAS!$C$2:$C$2001,COMPRAS!$K$2:$K$2001,A617))</f>
        <v/>
      </c>
    </row>
    <row r="618" customFormat="false" ht="15" hidden="false" customHeight="false" outlineLevel="0" collapsed="false">
      <c r="A618" s="11" t="str">
        <f aca="false">IFERROR(INDEX(_AUX!$A$2:$A$3201,MATCH(ROW()-1,_AUX!$C$2:$C$3201,0)),"")</f>
        <v/>
      </c>
      <c r="B618" s="11" t="str">
        <f aca="false">IF(A618="","",IFERROR(INDEX(DECKS!$C$2:$C$1201,MATCH(A618,DECKS!$B$2:$B$1201,0)),IFERROR(TRIM(INDEX(COMPRAS!$I$2:$I$2001,MATCH(A618,COMPRAS!$L$2:$L$2001,0))),"(sem nome)")))</f>
        <v/>
      </c>
      <c r="C618" s="16" t="str">
        <f aca="false">IF(A618="","",SUMIFS(COMPRAS!$C$2:$C$2001,COMPRAS!$K$2:$K$2001,A618))</f>
        <v/>
      </c>
    </row>
    <row r="619" customFormat="false" ht="15" hidden="false" customHeight="false" outlineLevel="0" collapsed="false">
      <c r="A619" s="11" t="str">
        <f aca="false">IFERROR(INDEX(_AUX!$A$2:$A$3201,MATCH(ROW()-1,_AUX!$C$2:$C$3201,0)),"")</f>
        <v/>
      </c>
      <c r="B619" s="11" t="str">
        <f aca="false">IF(A619="","",IFERROR(INDEX(DECKS!$C$2:$C$1201,MATCH(A619,DECKS!$B$2:$B$1201,0)),IFERROR(TRIM(INDEX(COMPRAS!$I$2:$I$2001,MATCH(A619,COMPRAS!$L$2:$L$2001,0))),"(sem nome)")))</f>
        <v/>
      </c>
      <c r="C619" s="16" t="str">
        <f aca="false">IF(A619="","",SUMIFS(COMPRAS!$C$2:$C$2001,COMPRAS!$K$2:$K$2001,A619))</f>
        <v/>
      </c>
    </row>
    <row r="620" customFormat="false" ht="15" hidden="false" customHeight="false" outlineLevel="0" collapsed="false">
      <c r="A620" s="11" t="str">
        <f aca="false">IFERROR(INDEX(_AUX!$A$2:$A$3201,MATCH(ROW()-1,_AUX!$C$2:$C$3201,0)),"")</f>
        <v/>
      </c>
      <c r="B620" s="11" t="str">
        <f aca="false">IF(A620="","",IFERROR(INDEX(DECKS!$C$2:$C$1201,MATCH(A620,DECKS!$B$2:$B$1201,0)),IFERROR(TRIM(INDEX(COMPRAS!$I$2:$I$2001,MATCH(A620,COMPRAS!$L$2:$L$2001,0))),"(sem nome)")))</f>
        <v/>
      </c>
      <c r="C620" s="16" t="str">
        <f aca="false">IF(A620="","",SUMIFS(COMPRAS!$C$2:$C$2001,COMPRAS!$K$2:$K$2001,A620))</f>
        <v/>
      </c>
    </row>
    <row r="621" customFormat="false" ht="15" hidden="false" customHeight="false" outlineLevel="0" collapsed="false">
      <c r="A621" s="11" t="str">
        <f aca="false">IFERROR(INDEX(_AUX!$A$2:$A$3201,MATCH(ROW()-1,_AUX!$C$2:$C$3201,0)),"")</f>
        <v/>
      </c>
      <c r="B621" s="11" t="str">
        <f aca="false">IF(A621="","",IFERROR(INDEX(DECKS!$C$2:$C$1201,MATCH(A621,DECKS!$B$2:$B$1201,0)),IFERROR(TRIM(INDEX(COMPRAS!$I$2:$I$2001,MATCH(A621,COMPRAS!$L$2:$L$2001,0))),"(sem nome)")))</f>
        <v/>
      </c>
      <c r="C621" s="16" t="str">
        <f aca="false">IF(A621="","",SUMIFS(COMPRAS!$C$2:$C$2001,COMPRAS!$K$2:$K$2001,A621))</f>
        <v/>
      </c>
    </row>
    <row r="622" customFormat="false" ht="15" hidden="false" customHeight="false" outlineLevel="0" collapsed="false">
      <c r="A622" s="11" t="str">
        <f aca="false">IFERROR(INDEX(_AUX!$A$2:$A$3201,MATCH(ROW()-1,_AUX!$C$2:$C$3201,0)),"")</f>
        <v/>
      </c>
      <c r="B622" s="11" t="str">
        <f aca="false">IF(A622="","",IFERROR(INDEX(DECKS!$C$2:$C$1201,MATCH(A622,DECKS!$B$2:$B$1201,0)),IFERROR(TRIM(INDEX(COMPRAS!$I$2:$I$2001,MATCH(A622,COMPRAS!$L$2:$L$2001,0))),"(sem nome)")))</f>
        <v/>
      </c>
      <c r="C622" s="16" t="str">
        <f aca="false">IF(A622="","",SUMIFS(COMPRAS!$C$2:$C$2001,COMPRAS!$K$2:$K$2001,A622))</f>
        <v/>
      </c>
    </row>
    <row r="623" customFormat="false" ht="15" hidden="false" customHeight="false" outlineLevel="0" collapsed="false">
      <c r="A623" s="11" t="str">
        <f aca="false">IFERROR(INDEX(_AUX!$A$2:$A$3201,MATCH(ROW()-1,_AUX!$C$2:$C$3201,0)),"")</f>
        <v/>
      </c>
      <c r="B623" s="11" t="str">
        <f aca="false">IF(A623="","",IFERROR(INDEX(DECKS!$C$2:$C$1201,MATCH(A623,DECKS!$B$2:$B$1201,0)),IFERROR(TRIM(INDEX(COMPRAS!$I$2:$I$2001,MATCH(A623,COMPRAS!$L$2:$L$2001,0))),"(sem nome)")))</f>
        <v/>
      </c>
      <c r="C623" s="16" t="str">
        <f aca="false">IF(A623="","",SUMIFS(COMPRAS!$C$2:$C$2001,COMPRAS!$K$2:$K$2001,A623))</f>
        <v/>
      </c>
    </row>
    <row r="624" customFormat="false" ht="15" hidden="false" customHeight="false" outlineLevel="0" collapsed="false">
      <c r="A624" s="11" t="str">
        <f aca="false">IFERROR(INDEX(_AUX!$A$2:$A$3201,MATCH(ROW()-1,_AUX!$C$2:$C$3201,0)),"")</f>
        <v/>
      </c>
      <c r="B624" s="11" t="str">
        <f aca="false">IF(A624="","",IFERROR(INDEX(DECKS!$C$2:$C$1201,MATCH(A624,DECKS!$B$2:$B$1201,0)),IFERROR(TRIM(INDEX(COMPRAS!$I$2:$I$2001,MATCH(A624,COMPRAS!$L$2:$L$2001,0))),"(sem nome)")))</f>
        <v/>
      </c>
      <c r="C624" s="16" t="str">
        <f aca="false">IF(A624="","",SUMIFS(COMPRAS!$C$2:$C$2001,COMPRAS!$K$2:$K$2001,A624))</f>
        <v/>
      </c>
    </row>
    <row r="625" customFormat="false" ht="15" hidden="false" customHeight="false" outlineLevel="0" collapsed="false">
      <c r="A625" s="11" t="str">
        <f aca="false">IFERROR(INDEX(_AUX!$A$2:$A$3201,MATCH(ROW()-1,_AUX!$C$2:$C$3201,0)),"")</f>
        <v/>
      </c>
      <c r="B625" s="11" t="str">
        <f aca="false">IF(A625="","",IFERROR(INDEX(DECKS!$C$2:$C$1201,MATCH(A625,DECKS!$B$2:$B$1201,0)),IFERROR(TRIM(INDEX(COMPRAS!$I$2:$I$2001,MATCH(A625,COMPRAS!$L$2:$L$2001,0))),"(sem nome)")))</f>
        <v/>
      </c>
      <c r="C625" s="16" t="str">
        <f aca="false">IF(A625="","",SUMIFS(COMPRAS!$C$2:$C$2001,COMPRAS!$K$2:$K$2001,A625))</f>
        <v/>
      </c>
    </row>
    <row r="626" customFormat="false" ht="15" hidden="false" customHeight="false" outlineLevel="0" collapsed="false">
      <c r="A626" s="11" t="str">
        <f aca="false">IFERROR(INDEX(_AUX!$A$2:$A$3201,MATCH(ROW()-1,_AUX!$C$2:$C$3201,0)),"")</f>
        <v/>
      </c>
      <c r="B626" s="11" t="str">
        <f aca="false">IF(A626="","",IFERROR(INDEX(DECKS!$C$2:$C$1201,MATCH(A626,DECKS!$B$2:$B$1201,0)),IFERROR(TRIM(INDEX(COMPRAS!$I$2:$I$2001,MATCH(A626,COMPRAS!$L$2:$L$2001,0))),"(sem nome)")))</f>
        <v/>
      </c>
      <c r="C626" s="16" t="str">
        <f aca="false">IF(A626="","",SUMIFS(COMPRAS!$C$2:$C$2001,COMPRAS!$K$2:$K$2001,A626))</f>
        <v/>
      </c>
    </row>
    <row r="627" customFormat="false" ht="15" hidden="false" customHeight="false" outlineLevel="0" collapsed="false">
      <c r="A627" s="11" t="str">
        <f aca="false">IFERROR(INDEX(_AUX!$A$2:$A$3201,MATCH(ROW()-1,_AUX!$C$2:$C$3201,0)),"")</f>
        <v/>
      </c>
      <c r="B627" s="11" t="str">
        <f aca="false">IF(A627="","",IFERROR(INDEX(DECKS!$C$2:$C$1201,MATCH(A627,DECKS!$B$2:$B$1201,0)),IFERROR(TRIM(INDEX(COMPRAS!$I$2:$I$2001,MATCH(A627,COMPRAS!$L$2:$L$2001,0))),"(sem nome)")))</f>
        <v/>
      </c>
      <c r="C627" s="16" t="str">
        <f aca="false">IF(A627="","",SUMIFS(COMPRAS!$C$2:$C$2001,COMPRAS!$K$2:$K$2001,A627))</f>
        <v/>
      </c>
    </row>
    <row r="628" customFormat="false" ht="15" hidden="false" customHeight="false" outlineLevel="0" collapsed="false">
      <c r="A628" s="11" t="str">
        <f aca="false">IFERROR(INDEX(_AUX!$A$2:$A$3201,MATCH(ROW()-1,_AUX!$C$2:$C$3201,0)),"")</f>
        <v/>
      </c>
      <c r="B628" s="11" t="str">
        <f aca="false">IF(A628="","",IFERROR(INDEX(DECKS!$C$2:$C$1201,MATCH(A628,DECKS!$B$2:$B$1201,0)),IFERROR(TRIM(INDEX(COMPRAS!$I$2:$I$2001,MATCH(A628,COMPRAS!$L$2:$L$2001,0))),"(sem nome)")))</f>
        <v/>
      </c>
      <c r="C628" s="16" t="str">
        <f aca="false">IF(A628="","",SUMIFS(COMPRAS!$C$2:$C$2001,COMPRAS!$K$2:$K$2001,A628))</f>
        <v/>
      </c>
    </row>
    <row r="629" customFormat="false" ht="15" hidden="false" customHeight="false" outlineLevel="0" collapsed="false">
      <c r="A629" s="11" t="str">
        <f aca="false">IFERROR(INDEX(_AUX!$A$2:$A$3201,MATCH(ROW()-1,_AUX!$C$2:$C$3201,0)),"")</f>
        <v/>
      </c>
      <c r="B629" s="11" t="str">
        <f aca="false">IF(A629="","",IFERROR(INDEX(DECKS!$C$2:$C$1201,MATCH(A629,DECKS!$B$2:$B$1201,0)),IFERROR(TRIM(INDEX(COMPRAS!$I$2:$I$2001,MATCH(A629,COMPRAS!$L$2:$L$2001,0))),"(sem nome)")))</f>
        <v/>
      </c>
      <c r="C629" s="16" t="str">
        <f aca="false">IF(A629="","",SUMIFS(COMPRAS!$C$2:$C$2001,COMPRAS!$K$2:$K$2001,A629))</f>
        <v/>
      </c>
    </row>
    <row r="630" customFormat="false" ht="15" hidden="false" customHeight="false" outlineLevel="0" collapsed="false">
      <c r="A630" s="11" t="str">
        <f aca="false">IFERROR(INDEX(_AUX!$A$2:$A$3201,MATCH(ROW()-1,_AUX!$C$2:$C$3201,0)),"")</f>
        <v/>
      </c>
      <c r="B630" s="11" t="str">
        <f aca="false">IF(A630="","",IFERROR(INDEX(DECKS!$C$2:$C$1201,MATCH(A630,DECKS!$B$2:$B$1201,0)),IFERROR(TRIM(INDEX(COMPRAS!$I$2:$I$2001,MATCH(A630,COMPRAS!$L$2:$L$2001,0))),"(sem nome)")))</f>
        <v/>
      </c>
      <c r="C630" s="16" t="str">
        <f aca="false">IF(A630="","",SUMIFS(COMPRAS!$C$2:$C$2001,COMPRAS!$K$2:$K$2001,A630))</f>
        <v/>
      </c>
    </row>
    <row r="631" customFormat="false" ht="15" hidden="false" customHeight="false" outlineLevel="0" collapsed="false">
      <c r="A631" s="11" t="str">
        <f aca="false">IFERROR(INDEX(_AUX!$A$2:$A$3201,MATCH(ROW()-1,_AUX!$C$2:$C$3201,0)),"")</f>
        <v/>
      </c>
      <c r="B631" s="11" t="str">
        <f aca="false">IF(A631="","",IFERROR(INDEX(DECKS!$C$2:$C$1201,MATCH(A631,DECKS!$B$2:$B$1201,0)),IFERROR(TRIM(INDEX(COMPRAS!$I$2:$I$2001,MATCH(A631,COMPRAS!$L$2:$L$2001,0))),"(sem nome)")))</f>
        <v/>
      </c>
      <c r="C631" s="16" t="str">
        <f aca="false">IF(A631="","",SUMIFS(COMPRAS!$C$2:$C$2001,COMPRAS!$K$2:$K$2001,A631))</f>
        <v/>
      </c>
    </row>
    <row r="632" customFormat="false" ht="15" hidden="false" customHeight="false" outlineLevel="0" collapsed="false">
      <c r="A632" s="11" t="str">
        <f aca="false">IFERROR(INDEX(_AUX!$A$2:$A$3201,MATCH(ROW()-1,_AUX!$C$2:$C$3201,0)),"")</f>
        <v/>
      </c>
      <c r="B632" s="11" t="str">
        <f aca="false">IF(A632="","",IFERROR(INDEX(DECKS!$C$2:$C$1201,MATCH(A632,DECKS!$B$2:$B$1201,0)),IFERROR(TRIM(INDEX(COMPRAS!$I$2:$I$2001,MATCH(A632,COMPRAS!$L$2:$L$2001,0))),"(sem nome)")))</f>
        <v/>
      </c>
      <c r="C632" s="16" t="str">
        <f aca="false">IF(A632="","",SUMIFS(COMPRAS!$C$2:$C$2001,COMPRAS!$K$2:$K$2001,A632))</f>
        <v/>
      </c>
    </row>
    <row r="633" customFormat="false" ht="15" hidden="false" customHeight="false" outlineLevel="0" collapsed="false">
      <c r="A633" s="11" t="str">
        <f aca="false">IFERROR(INDEX(_AUX!$A$2:$A$3201,MATCH(ROW()-1,_AUX!$C$2:$C$3201,0)),"")</f>
        <v/>
      </c>
      <c r="B633" s="11" t="str">
        <f aca="false">IF(A633="","",IFERROR(INDEX(DECKS!$C$2:$C$1201,MATCH(A633,DECKS!$B$2:$B$1201,0)),IFERROR(TRIM(INDEX(COMPRAS!$I$2:$I$2001,MATCH(A633,COMPRAS!$L$2:$L$2001,0))),"(sem nome)")))</f>
        <v/>
      </c>
      <c r="C633" s="16" t="str">
        <f aca="false">IF(A633="","",SUMIFS(COMPRAS!$C$2:$C$2001,COMPRAS!$K$2:$K$2001,A633))</f>
        <v/>
      </c>
    </row>
    <row r="634" customFormat="false" ht="15" hidden="false" customHeight="false" outlineLevel="0" collapsed="false">
      <c r="A634" s="11" t="str">
        <f aca="false">IFERROR(INDEX(_AUX!$A$2:$A$3201,MATCH(ROW()-1,_AUX!$C$2:$C$3201,0)),"")</f>
        <v/>
      </c>
      <c r="B634" s="11" t="str">
        <f aca="false">IF(A634="","",IFERROR(INDEX(DECKS!$C$2:$C$1201,MATCH(A634,DECKS!$B$2:$B$1201,0)),IFERROR(TRIM(INDEX(COMPRAS!$I$2:$I$2001,MATCH(A634,COMPRAS!$L$2:$L$2001,0))),"(sem nome)")))</f>
        <v/>
      </c>
      <c r="C634" s="16" t="str">
        <f aca="false">IF(A634="","",SUMIFS(COMPRAS!$C$2:$C$2001,COMPRAS!$K$2:$K$2001,A634))</f>
        <v/>
      </c>
    </row>
    <row r="635" customFormat="false" ht="15" hidden="false" customHeight="false" outlineLevel="0" collapsed="false">
      <c r="A635" s="11" t="str">
        <f aca="false">IFERROR(INDEX(_AUX!$A$2:$A$3201,MATCH(ROW()-1,_AUX!$C$2:$C$3201,0)),"")</f>
        <v/>
      </c>
      <c r="B635" s="11" t="str">
        <f aca="false">IF(A635="","",IFERROR(INDEX(DECKS!$C$2:$C$1201,MATCH(A635,DECKS!$B$2:$B$1201,0)),IFERROR(TRIM(INDEX(COMPRAS!$I$2:$I$2001,MATCH(A635,COMPRAS!$L$2:$L$2001,0))),"(sem nome)")))</f>
        <v/>
      </c>
      <c r="C635" s="16" t="str">
        <f aca="false">IF(A635="","",SUMIFS(COMPRAS!$C$2:$C$2001,COMPRAS!$K$2:$K$2001,A635))</f>
        <v/>
      </c>
    </row>
    <row r="636" customFormat="false" ht="15" hidden="false" customHeight="false" outlineLevel="0" collapsed="false">
      <c r="A636" s="11" t="str">
        <f aca="false">IFERROR(INDEX(_AUX!$A$2:$A$3201,MATCH(ROW()-1,_AUX!$C$2:$C$3201,0)),"")</f>
        <v/>
      </c>
      <c r="B636" s="11" t="str">
        <f aca="false">IF(A636="","",IFERROR(INDEX(DECKS!$C$2:$C$1201,MATCH(A636,DECKS!$B$2:$B$1201,0)),IFERROR(TRIM(INDEX(COMPRAS!$I$2:$I$2001,MATCH(A636,COMPRAS!$L$2:$L$2001,0))),"(sem nome)")))</f>
        <v/>
      </c>
      <c r="C636" s="16" t="str">
        <f aca="false">IF(A636="","",SUMIFS(COMPRAS!$C$2:$C$2001,COMPRAS!$K$2:$K$2001,A636))</f>
        <v/>
      </c>
    </row>
    <row r="637" customFormat="false" ht="15" hidden="false" customHeight="false" outlineLevel="0" collapsed="false">
      <c r="A637" s="11" t="str">
        <f aca="false">IFERROR(INDEX(_AUX!$A$2:$A$3201,MATCH(ROW()-1,_AUX!$C$2:$C$3201,0)),"")</f>
        <v/>
      </c>
      <c r="B637" s="11" t="str">
        <f aca="false">IF(A637="","",IFERROR(INDEX(DECKS!$C$2:$C$1201,MATCH(A637,DECKS!$B$2:$B$1201,0)),IFERROR(TRIM(INDEX(COMPRAS!$I$2:$I$2001,MATCH(A637,COMPRAS!$L$2:$L$2001,0))),"(sem nome)")))</f>
        <v/>
      </c>
      <c r="C637" s="16" t="str">
        <f aca="false">IF(A637="","",SUMIFS(COMPRAS!$C$2:$C$2001,COMPRAS!$K$2:$K$2001,A637))</f>
        <v/>
      </c>
    </row>
    <row r="638" customFormat="false" ht="15" hidden="false" customHeight="false" outlineLevel="0" collapsed="false">
      <c r="A638" s="11" t="str">
        <f aca="false">IFERROR(INDEX(_AUX!$A$2:$A$3201,MATCH(ROW()-1,_AUX!$C$2:$C$3201,0)),"")</f>
        <v/>
      </c>
      <c r="B638" s="11" t="str">
        <f aca="false">IF(A638="","",IFERROR(INDEX(DECKS!$C$2:$C$1201,MATCH(A638,DECKS!$B$2:$B$1201,0)),IFERROR(TRIM(INDEX(COMPRAS!$I$2:$I$2001,MATCH(A638,COMPRAS!$L$2:$L$2001,0))),"(sem nome)")))</f>
        <v/>
      </c>
      <c r="C638" s="16" t="str">
        <f aca="false">IF(A638="","",SUMIFS(COMPRAS!$C$2:$C$2001,COMPRAS!$K$2:$K$2001,A638))</f>
        <v/>
      </c>
    </row>
    <row r="639" customFormat="false" ht="15" hidden="false" customHeight="false" outlineLevel="0" collapsed="false">
      <c r="A639" s="11" t="str">
        <f aca="false">IFERROR(INDEX(_AUX!$A$2:$A$3201,MATCH(ROW()-1,_AUX!$C$2:$C$3201,0)),"")</f>
        <v/>
      </c>
      <c r="B639" s="11" t="str">
        <f aca="false">IF(A639="","",IFERROR(INDEX(DECKS!$C$2:$C$1201,MATCH(A639,DECKS!$B$2:$B$1201,0)),IFERROR(TRIM(INDEX(COMPRAS!$I$2:$I$2001,MATCH(A639,COMPRAS!$L$2:$L$2001,0))),"(sem nome)")))</f>
        <v/>
      </c>
      <c r="C639" s="16" t="str">
        <f aca="false">IF(A639="","",SUMIFS(COMPRAS!$C$2:$C$2001,COMPRAS!$K$2:$K$2001,A639))</f>
        <v/>
      </c>
    </row>
    <row r="640" customFormat="false" ht="15" hidden="false" customHeight="false" outlineLevel="0" collapsed="false">
      <c r="A640" s="11" t="str">
        <f aca="false">IFERROR(INDEX(_AUX!$A$2:$A$3201,MATCH(ROW()-1,_AUX!$C$2:$C$3201,0)),"")</f>
        <v/>
      </c>
      <c r="B640" s="11" t="str">
        <f aca="false">IF(A640="","",IFERROR(INDEX(DECKS!$C$2:$C$1201,MATCH(A640,DECKS!$B$2:$B$1201,0)),IFERROR(TRIM(INDEX(COMPRAS!$I$2:$I$2001,MATCH(A640,COMPRAS!$L$2:$L$2001,0))),"(sem nome)")))</f>
        <v/>
      </c>
      <c r="C640" s="16" t="str">
        <f aca="false">IF(A640="","",SUMIFS(COMPRAS!$C$2:$C$2001,COMPRAS!$K$2:$K$2001,A640))</f>
        <v/>
      </c>
    </row>
    <row r="641" customFormat="false" ht="15" hidden="false" customHeight="false" outlineLevel="0" collapsed="false">
      <c r="A641" s="11" t="str">
        <f aca="false">IFERROR(INDEX(_AUX!$A$2:$A$3201,MATCH(ROW()-1,_AUX!$C$2:$C$3201,0)),"")</f>
        <v/>
      </c>
      <c r="B641" s="11" t="str">
        <f aca="false">IF(A641="","",IFERROR(INDEX(DECKS!$C$2:$C$1201,MATCH(A641,DECKS!$B$2:$B$1201,0)),IFERROR(TRIM(INDEX(COMPRAS!$I$2:$I$2001,MATCH(A641,COMPRAS!$L$2:$L$2001,0))),"(sem nome)")))</f>
        <v/>
      </c>
      <c r="C641" s="16" t="str">
        <f aca="false">IF(A641="","",SUMIFS(COMPRAS!$C$2:$C$2001,COMPRAS!$K$2:$K$2001,A641))</f>
        <v/>
      </c>
    </row>
    <row r="642" customFormat="false" ht="15" hidden="false" customHeight="false" outlineLevel="0" collapsed="false">
      <c r="A642" s="11" t="str">
        <f aca="false">IFERROR(INDEX(_AUX!$A$2:$A$3201,MATCH(ROW()-1,_AUX!$C$2:$C$3201,0)),"")</f>
        <v/>
      </c>
      <c r="B642" s="11" t="str">
        <f aca="false">IF(A642="","",IFERROR(INDEX(DECKS!$C$2:$C$1201,MATCH(A642,DECKS!$B$2:$B$1201,0)),IFERROR(TRIM(INDEX(COMPRAS!$I$2:$I$2001,MATCH(A642,COMPRAS!$L$2:$L$2001,0))),"(sem nome)")))</f>
        <v/>
      </c>
      <c r="C642" s="16" t="str">
        <f aca="false">IF(A642="","",SUMIFS(COMPRAS!$C$2:$C$2001,COMPRAS!$K$2:$K$2001,A642))</f>
        <v/>
      </c>
    </row>
    <row r="643" customFormat="false" ht="15" hidden="false" customHeight="false" outlineLevel="0" collapsed="false">
      <c r="A643" s="11" t="str">
        <f aca="false">IFERROR(INDEX(_AUX!$A$2:$A$3201,MATCH(ROW()-1,_AUX!$C$2:$C$3201,0)),"")</f>
        <v/>
      </c>
      <c r="B643" s="11" t="str">
        <f aca="false">IF(A643="","",IFERROR(INDEX(DECKS!$C$2:$C$1201,MATCH(A643,DECKS!$B$2:$B$1201,0)),IFERROR(TRIM(INDEX(COMPRAS!$I$2:$I$2001,MATCH(A643,COMPRAS!$L$2:$L$2001,0))),"(sem nome)")))</f>
        <v/>
      </c>
      <c r="C643" s="16" t="str">
        <f aca="false">IF(A643="","",SUMIFS(COMPRAS!$C$2:$C$2001,COMPRAS!$K$2:$K$2001,A643))</f>
        <v/>
      </c>
    </row>
    <row r="644" customFormat="false" ht="15" hidden="false" customHeight="false" outlineLevel="0" collapsed="false">
      <c r="A644" s="11" t="str">
        <f aca="false">IFERROR(INDEX(_AUX!$A$2:$A$3201,MATCH(ROW()-1,_AUX!$C$2:$C$3201,0)),"")</f>
        <v/>
      </c>
      <c r="B644" s="11" t="str">
        <f aca="false">IF(A644="","",IFERROR(INDEX(DECKS!$C$2:$C$1201,MATCH(A644,DECKS!$B$2:$B$1201,0)),IFERROR(TRIM(INDEX(COMPRAS!$I$2:$I$2001,MATCH(A644,COMPRAS!$L$2:$L$2001,0))),"(sem nome)")))</f>
        <v/>
      </c>
      <c r="C644" s="16" t="str">
        <f aca="false">IF(A644="","",SUMIFS(COMPRAS!$C$2:$C$2001,COMPRAS!$K$2:$K$2001,A644))</f>
        <v/>
      </c>
    </row>
    <row r="645" customFormat="false" ht="15" hidden="false" customHeight="false" outlineLevel="0" collapsed="false">
      <c r="A645" s="11" t="str">
        <f aca="false">IFERROR(INDEX(_AUX!$A$2:$A$3201,MATCH(ROW()-1,_AUX!$C$2:$C$3201,0)),"")</f>
        <v/>
      </c>
      <c r="B645" s="11" t="str">
        <f aca="false">IF(A645="","",IFERROR(INDEX(DECKS!$C$2:$C$1201,MATCH(A645,DECKS!$B$2:$B$1201,0)),IFERROR(TRIM(INDEX(COMPRAS!$I$2:$I$2001,MATCH(A645,COMPRAS!$L$2:$L$2001,0))),"(sem nome)")))</f>
        <v/>
      </c>
      <c r="C645" s="16" t="str">
        <f aca="false">IF(A645="","",SUMIFS(COMPRAS!$C$2:$C$2001,COMPRAS!$K$2:$K$2001,A645))</f>
        <v/>
      </c>
    </row>
    <row r="646" customFormat="false" ht="15" hidden="false" customHeight="false" outlineLevel="0" collapsed="false">
      <c r="A646" s="11" t="str">
        <f aca="false">IFERROR(INDEX(_AUX!$A$2:$A$3201,MATCH(ROW()-1,_AUX!$C$2:$C$3201,0)),"")</f>
        <v/>
      </c>
      <c r="B646" s="11" t="str">
        <f aca="false">IF(A646="","",IFERROR(INDEX(DECKS!$C$2:$C$1201,MATCH(A646,DECKS!$B$2:$B$1201,0)),IFERROR(TRIM(INDEX(COMPRAS!$I$2:$I$2001,MATCH(A646,COMPRAS!$L$2:$L$2001,0))),"(sem nome)")))</f>
        <v/>
      </c>
      <c r="C646" s="16" t="str">
        <f aca="false">IF(A646="","",SUMIFS(COMPRAS!$C$2:$C$2001,COMPRAS!$K$2:$K$2001,A646))</f>
        <v/>
      </c>
    </row>
    <row r="647" customFormat="false" ht="15" hidden="false" customHeight="false" outlineLevel="0" collapsed="false">
      <c r="A647" s="11" t="str">
        <f aca="false">IFERROR(INDEX(_AUX!$A$2:$A$3201,MATCH(ROW()-1,_AUX!$C$2:$C$3201,0)),"")</f>
        <v/>
      </c>
      <c r="B647" s="11" t="str">
        <f aca="false">IF(A647="","",IFERROR(INDEX(DECKS!$C$2:$C$1201,MATCH(A647,DECKS!$B$2:$B$1201,0)),IFERROR(TRIM(INDEX(COMPRAS!$I$2:$I$2001,MATCH(A647,COMPRAS!$L$2:$L$2001,0))),"(sem nome)")))</f>
        <v/>
      </c>
      <c r="C647" s="16" t="str">
        <f aca="false">IF(A647="","",SUMIFS(COMPRAS!$C$2:$C$2001,COMPRAS!$K$2:$K$2001,A647))</f>
        <v/>
      </c>
    </row>
    <row r="648" customFormat="false" ht="15" hidden="false" customHeight="false" outlineLevel="0" collapsed="false">
      <c r="A648" s="11" t="str">
        <f aca="false">IFERROR(INDEX(_AUX!$A$2:$A$3201,MATCH(ROW()-1,_AUX!$C$2:$C$3201,0)),"")</f>
        <v/>
      </c>
      <c r="B648" s="11" t="str">
        <f aca="false">IF(A648="","",IFERROR(INDEX(DECKS!$C$2:$C$1201,MATCH(A648,DECKS!$B$2:$B$1201,0)),IFERROR(TRIM(INDEX(COMPRAS!$I$2:$I$2001,MATCH(A648,COMPRAS!$L$2:$L$2001,0))),"(sem nome)")))</f>
        <v/>
      </c>
      <c r="C648" s="16" t="str">
        <f aca="false">IF(A648="","",SUMIFS(COMPRAS!$C$2:$C$2001,COMPRAS!$K$2:$K$2001,A648))</f>
        <v/>
      </c>
    </row>
    <row r="649" customFormat="false" ht="15" hidden="false" customHeight="false" outlineLevel="0" collapsed="false">
      <c r="A649" s="11" t="str">
        <f aca="false">IFERROR(INDEX(_AUX!$A$2:$A$3201,MATCH(ROW()-1,_AUX!$C$2:$C$3201,0)),"")</f>
        <v/>
      </c>
      <c r="B649" s="11" t="str">
        <f aca="false">IF(A649="","",IFERROR(INDEX(DECKS!$C$2:$C$1201,MATCH(A649,DECKS!$B$2:$B$1201,0)),IFERROR(TRIM(INDEX(COMPRAS!$I$2:$I$2001,MATCH(A649,COMPRAS!$L$2:$L$2001,0))),"(sem nome)")))</f>
        <v/>
      </c>
      <c r="C649" s="16" t="str">
        <f aca="false">IF(A649="","",SUMIFS(COMPRAS!$C$2:$C$2001,COMPRAS!$K$2:$K$2001,A649))</f>
        <v/>
      </c>
    </row>
    <row r="650" customFormat="false" ht="15" hidden="false" customHeight="false" outlineLevel="0" collapsed="false">
      <c r="A650" s="11" t="str">
        <f aca="false">IFERROR(INDEX(_AUX!$A$2:$A$3201,MATCH(ROW()-1,_AUX!$C$2:$C$3201,0)),"")</f>
        <v/>
      </c>
      <c r="B650" s="11" t="str">
        <f aca="false">IF(A650="","",IFERROR(INDEX(DECKS!$C$2:$C$1201,MATCH(A650,DECKS!$B$2:$B$1201,0)),IFERROR(TRIM(INDEX(COMPRAS!$I$2:$I$2001,MATCH(A650,COMPRAS!$L$2:$L$2001,0))),"(sem nome)")))</f>
        <v/>
      </c>
      <c r="C650" s="16" t="str">
        <f aca="false">IF(A650="","",SUMIFS(COMPRAS!$C$2:$C$2001,COMPRAS!$K$2:$K$2001,A650))</f>
        <v/>
      </c>
    </row>
    <row r="651" customFormat="false" ht="15" hidden="false" customHeight="false" outlineLevel="0" collapsed="false">
      <c r="A651" s="11" t="str">
        <f aca="false">IFERROR(INDEX(_AUX!$A$2:$A$3201,MATCH(ROW()-1,_AUX!$C$2:$C$3201,0)),"")</f>
        <v/>
      </c>
      <c r="B651" s="11" t="str">
        <f aca="false">IF(A651="","",IFERROR(INDEX(DECKS!$C$2:$C$1201,MATCH(A651,DECKS!$B$2:$B$1201,0)),IFERROR(TRIM(INDEX(COMPRAS!$I$2:$I$2001,MATCH(A651,COMPRAS!$L$2:$L$2001,0))),"(sem nome)")))</f>
        <v/>
      </c>
      <c r="C651" s="16" t="str">
        <f aca="false">IF(A651="","",SUMIFS(COMPRAS!$C$2:$C$2001,COMPRAS!$K$2:$K$2001,A651))</f>
        <v/>
      </c>
    </row>
    <row r="652" customFormat="false" ht="15" hidden="false" customHeight="false" outlineLevel="0" collapsed="false">
      <c r="A652" s="11" t="str">
        <f aca="false">IFERROR(INDEX(_AUX!$A$2:$A$3201,MATCH(ROW()-1,_AUX!$C$2:$C$3201,0)),"")</f>
        <v/>
      </c>
      <c r="B652" s="11" t="str">
        <f aca="false">IF(A652="","",IFERROR(INDEX(DECKS!$C$2:$C$1201,MATCH(A652,DECKS!$B$2:$B$1201,0)),IFERROR(TRIM(INDEX(COMPRAS!$I$2:$I$2001,MATCH(A652,COMPRAS!$L$2:$L$2001,0))),"(sem nome)")))</f>
        <v/>
      </c>
      <c r="C652" s="16" t="str">
        <f aca="false">IF(A652="","",SUMIFS(COMPRAS!$C$2:$C$2001,COMPRAS!$K$2:$K$2001,A652))</f>
        <v/>
      </c>
    </row>
    <row r="653" customFormat="false" ht="15" hidden="false" customHeight="false" outlineLevel="0" collapsed="false">
      <c r="A653" s="11" t="str">
        <f aca="false">IFERROR(INDEX(_AUX!$A$2:$A$3201,MATCH(ROW()-1,_AUX!$C$2:$C$3201,0)),"")</f>
        <v/>
      </c>
      <c r="B653" s="11" t="str">
        <f aca="false">IF(A653="","",IFERROR(INDEX(DECKS!$C$2:$C$1201,MATCH(A653,DECKS!$B$2:$B$1201,0)),IFERROR(TRIM(INDEX(COMPRAS!$I$2:$I$2001,MATCH(A653,COMPRAS!$L$2:$L$2001,0))),"(sem nome)")))</f>
        <v/>
      </c>
      <c r="C653" s="16" t="str">
        <f aca="false">IF(A653="","",SUMIFS(COMPRAS!$C$2:$C$2001,COMPRAS!$K$2:$K$2001,A653))</f>
        <v/>
      </c>
    </row>
    <row r="654" customFormat="false" ht="15" hidden="false" customHeight="false" outlineLevel="0" collapsed="false">
      <c r="A654" s="11" t="str">
        <f aca="false">IFERROR(INDEX(_AUX!$A$2:$A$3201,MATCH(ROW()-1,_AUX!$C$2:$C$3201,0)),"")</f>
        <v/>
      </c>
      <c r="B654" s="11" t="str">
        <f aca="false">IF(A654="","",IFERROR(INDEX(DECKS!$C$2:$C$1201,MATCH(A654,DECKS!$B$2:$B$1201,0)),IFERROR(TRIM(INDEX(COMPRAS!$I$2:$I$2001,MATCH(A654,COMPRAS!$L$2:$L$2001,0))),"(sem nome)")))</f>
        <v/>
      </c>
      <c r="C654" s="16" t="str">
        <f aca="false">IF(A654="","",SUMIFS(COMPRAS!$C$2:$C$2001,COMPRAS!$K$2:$K$2001,A654))</f>
        <v/>
      </c>
    </row>
    <row r="655" customFormat="false" ht="15" hidden="false" customHeight="false" outlineLevel="0" collapsed="false">
      <c r="A655" s="11" t="str">
        <f aca="false">IFERROR(INDEX(_AUX!$A$2:$A$3201,MATCH(ROW()-1,_AUX!$C$2:$C$3201,0)),"")</f>
        <v/>
      </c>
      <c r="B655" s="11" t="str">
        <f aca="false">IF(A655="","",IFERROR(INDEX(DECKS!$C$2:$C$1201,MATCH(A655,DECKS!$B$2:$B$1201,0)),IFERROR(TRIM(INDEX(COMPRAS!$I$2:$I$2001,MATCH(A655,COMPRAS!$L$2:$L$2001,0))),"(sem nome)")))</f>
        <v/>
      </c>
      <c r="C655" s="16" t="str">
        <f aca="false">IF(A655="","",SUMIFS(COMPRAS!$C$2:$C$2001,COMPRAS!$K$2:$K$2001,A655))</f>
        <v/>
      </c>
    </row>
    <row r="656" customFormat="false" ht="15" hidden="false" customHeight="false" outlineLevel="0" collapsed="false">
      <c r="A656" s="11" t="str">
        <f aca="false">IFERROR(INDEX(_AUX!$A$2:$A$3201,MATCH(ROW()-1,_AUX!$C$2:$C$3201,0)),"")</f>
        <v/>
      </c>
      <c r="B656" s="11" t="str">
        <f aca="false">IF(A656="","",IFERROR(INDEX(DECKS!$C$2:$C$1201,MATCH(A656,DECKS!$B$2:$B$1201,0)),IFERROR(TRIM(INDEX(COMPRAS!$I$2:$I$2001,MATCH(A656,COMPRAS!$L$2:$L$2001,0))),"(sem nome)")))</f>
        <v/>
      </c>
      <c r="C656" s="16" t="str">
        <f aca="false">IF(A656="","",SUMIFS(COMPRAS!$C$2:$C$2001,COMPRAS!$K$2:$K$2001,A656))</f>
        <v/>
      </c>
    </row>
    <row r="657" customFormat="false" ht="15" hidden="false" customHeight="false" outlineLevel="0" collapsed="false">
      <c r="A657" s="11" t="str">
        <f aca="false">IFERROR(INDEX(_AUX!$A$2:$A$3201,MATCH(ROW()-1,_AUX!$C$2:$C$3201,0)),"")</f>
        <v/>
      </c>
      <c r="B657" s="11" t="str">
        <f aca="false">IF(A657="","",IFERROR(INDEX(DECKS!$C$2:$C$1201,MATCH(A657,DECKS!$B$2:$B$1201,0)),IFERROR(TRIM(INDEX(COMPRAS!$I$2:$I$2001,MATCH(A657,COMPRAS!$L$2:$L$2001,0))),"(sem nome)")))</f>
        <v/>
      </c>
      <c r="C657" s="16" t="str">
        <f aca="false">IF(A657="","",SUMIFS(COMPRAS!$C$2:$C$2001,COMPRAS!$K$2:$K$2001,A657))</f>
        <v/>
      </c>
    </row>
    <row r="658" customFormat="false" ht="15" hidden="false" customHeight="false" outlineLevel="0" collapsed="false">
      <c r="A658" s="11" t="str">
        <f aca="false">IFERROR(INDEX(_AUX!$A$2:$A$3201,MATCH(ROW()-1,_AUX!$C$2:$C$3201,0)),"")</f>
        <v/>
      </c>
      <c r="B658" s="11" t="str">
        <f aca="false">IF(A658="","",IFERROR(INDEX(DECKS!$C$2:$C$1201,MATCH(A658,DECKS!$B$2:$B$1201,0)),IFERROR(TRIM(INDEX(COMPRAS!$I$2:$I$2001,MATCH(A658,COMPRAS!$L$2:$L$2001,0))),"(sem nome)")))</f>
        <v/>
      </c>
      <c r="C658" s="16" t="str">
        <f aca="false">IF(A658="","",SUMIFS(COMPRAS!$C$2:$C$2001,COMPRAS!$K$2:$K$2001,A658))</f>
        <v/>
      </c>
    </row>
    <row r="659" customFormat="false" ht="15" hidden="false" customHeight="false" outlineLevel="0" collapsed="false">
      <c r="A659" s="11" t="str">
        <f aca="false">IFERROR(INDEX(_AUX!$A$2:$A$3201,MATCH(ROW()-1,_AUX!$C$2:$C$3201,0)),"")</f>
        <v/>
      </c>
      <c r="B659" s="11" t="str">
        <f aca="false">IF(A659="","",IFERROR(INDEX(DECKS!$C$2:$C$1201,MATCH(A659,DECKS!$B$2:$B$1201,0)),IFERROR(TRIM(INDEX(COMPRAS!$I$2:$I$2001,MATCH(A659,COMPRAS!$L$2:$L$2001,0))),"(sem nome)")))</f>
        <v/>
      </c>
      <c r="C659" s="16" t="str">
        <f aca="false">IF(A659="","",SUMIFS(COMPRAS!$C$2:$C$2001,COMPRAS!$K$2:$K$2001,A659))</f>
        <v/>
      </c>
    </row>
    <row r="660" customFormat="false" ht="15" hidden="false" customHeight="false" outlineLevel="0" collapsed="false">
      <c r="A660" s="11" t="str">
        <f aca="false">IFERROR(INDEX(_AUX!$A$2:$A$3201,MATCH(ROW()-1,_AUX!$C$2:$C$3201,0)),"")</f>
        <v/>
      </c>
      <c r="B660" s="11" t="str">
        <f aca="false">IF(A660="","",IFERROR(INDEX(DECKS!$C$2:$C$1201,MATCH(A660,DECKS!$B$2:$B$1201,0)),IFERROR(TRIM(INDEX(COMPRAS!$I$2:$I$2001,MATCH(A660,COMPRAS!$L$2:$L$2001,0))),"(sem nome)")))</f>
        <v/>
      </c>
      <c r="C660" s="16" t="str">
        <f aca="false">IF(A660="","",SUMIFS(COMPRAS!$C$2:$C$2001,COMPRAS!$K$2:$K$2001,A660))</f>
        <v/>
      </c>
    </row>
    <row r="661" customFormat="false" ht="15" hidden="false" customHeight="false" outlineLevel="0" collapsed="false">
      <c r="A661" s="11" t="str">
        <f aca="false">IFERROR(INDEX(_AUX!$A$2:$A$3201,MATCH(ROW()-1,_AUX!$C$2:$C$3201,0)),"")</f>
        <v/>
      </c>
      <c r="B661" s="11" t="str">
        <f aca="false">IF(A661="","",IFERROR(INDEX(DECKS!$C$2:$C$1201,MATCH(A661,DECKS!$B$2:$B$1201,0)),IFERROR(TRIM(INDEX(COMPRAS!$I$2:$I$2001,MATCH(A661,COMPRAS!$L$2:$L$2001,0))),"(sem nome)")))</f>
        <v/>
      </c>
      <c r="C661" s="16" t="str">
        <f aca="false">IF(A661="","",SUMIFS(COMPRAS!$C$2:$C$2001,COMPRAS!$K$2:$K$2001,A661))</f>
        <v/>
      </c>
    </row>
    <row r="662" customFormat="false" ht="15" hidden="false" customHeight="false" outlineLevel="0" collapsed="false">
      <c r="A662" s="11" t="str">
        <f aca="false">IFERROR(INDEX(_AUX!$A$2:$A$3201,MATCH(ROW()-1,_AUX!$C$2:$C$3201,0)),"")</f>
        <v/>
      </c>
      <c r="B662" s="11" t="str">
        <f aca="false">IF(A662="","",IFERROR(INDEX(DECKS!$C$2:$C$1201,MATCH(A662,DECKS!$B$2:$B$1201,0)),IFERROR(TRIM(INDEX(COMPRAS!$I$2:$I$2001,MATCH(A662,COMPRAS!$L$2:$L$2001,0))),"(sem nome)")))</f>
        <v/>
      </c>
      <c r="C662" s="16" t="str">
        <f aca="false">IF(A662="","",SUMIFS(COMPRAS!$C$2:$C$2001,COMPRAS!$K$2:$K$2001,A662))</f>
        <v/>
      </c>
    </row>
    <row r="663" customFormat="false" ht="15" hidden="false" customHeight="false" outlineLevel="0" collapsed="false">
      <c r="A663" s="11" t="str">
        <f aca="false">IFERROR(INDEX(_AUX!$A$2:$A$3201,MATCH(ROW()-1,_AUX!$C$2:$C$3201,0)),"")</f>
        <v/>
      </c>
      <c r="B663" s="11" t="str">
        <f aca="false">IF(A663="","",IFERROR(INDEX(DECKS!$C$2:$C$1201,MATCH(A663,DECKS!$B$2:$B$1201,0)),IFERROR(TRIM(INDEX(COMPRAS!$I$2:$I$2001,MATCH(A663,COMPRAS!$L$2:$L$2001,0))),"(sem nome)")))</f>
        <v/>
      </c>
      <c r="C663" s="16" t="str">
        <f aca="false">IF(A663="","",SUMIFS(COMPRAS!$C$2:$C$2001,COMPRAS!$K$2:$K$2001,A663))</f>
        <v/>
      </c>
    </row>
    <row r="664" customFormat="false" ht="15" hidden="false" customHeight="false" outlineLevel="0" collapsed="false">
      <c r="A664" s="11" t="str">
        <f aca="false">IFERROR(INDEX(_AUX!$A$2:$A$3201,MATCH(ROW()-1,_AUX!$C$2:$C$3201,0)),"")</f>
        <v/>
      </c>
      <c r="B664" s="11" t="str">
        <f aca="false">IF(A664="","",IFERROR(INDEX(DECKS!$C$2:$C$1201,MATCH(A664,DECKS!$B$2:$B$1201,0)),IFERROR(TRIM(INDEX(COMPRAS!$I$2:$I$2001,MATCH(A664,COMPRAS!$L$2:$L$2001,0))),"(sem nome)")))</f>
        <v/>
      </c>
      <c r="C664" s="16" t="str">
        <f aca="false">IF(A664="","",SUMIFS(COMPRAS!$C$2:$C$2001,COMPRAS!$K$2:$K$2001,A664))</f>
        <v/>
      </c>
    </row>
    <row r="665" customFormat="false" ht="15" hidden="false" customHeight="false" outlineLevel="0" collapsed="false">
      <c r="A665" s="11" t="str">
        <f aca="false">IFERROR(INDEX(_AUX!$A$2:$A$3201,MATCH(ROW()-1,_AUX!$C$2:$C$3201,0)),"")</f>
        <v/>
      </c>
      <c r="B665" s="11" t="str">
        <f aca="false">IF(A665="","",IFERROR(INDEX(DECKS!$C$2:$C$1201,MATCH(A665,DECKS!$B$2:$B$1201,0)),IFERROR(TRIM(INDEX(COMPRAS!$I$2:$I$2001,MATCH(A665,COMPRAS!$L$2:$L$2001,0))),"(sem nome)")))</f>
        <v/>
      </c>
      <c r="C665" s="16" t="str">
        <f aca="false">IF(A665="","",SUMIFS(COMPRAS!$C$2:$C$2001,COMPRAS!$K$2:$K$2001,A665))</f>
        <v/>
      </c>
    </row>
    <row r="666" customFormat="false" ht="15" hidden="false" customHeight="false" outlineLevel="0" collapsed="false">
      <c r="A666" s="11" t="str">
        <f aca="false">IFERROR(INDEX(_AUX!$A$2:$A$3201,MATCH(ROW()-1,_AUX!$C$2:$C$3201,0)),"")</f>
        <v/>
      </c>
      <c r="B666" s="11" t="str">
        <f aca="false">IF(A666="","",IFERROR(INDEX(DECKS!$C$2:$C$1201,MATCH(A666,DECKS!$B$2:$B$1201,0)),IFERROR(TRIM(INDEX(COMPRAS!$I$2:$I$2001,MATCH(A666,COMPRAS!$L$2:$L$2001,0))),"(sem nome)")))</f>
        <v/>
      </c>
      <c r="C666" s="16" t="str">
        <f aca="false">IF(A666="","",SUMIFS(COMPRAS!$C$2:$C$2001,COMPRAS!$K$2:$K$2001,A666))</f>
        <v/>
      </c>
    </row>
    <row r="667" customFormat="false" ht="15" hidden="false" customHeight="false" outlineLevel="0" collapsed="false">
      <c r="A667" s="11" t="str">
        <f aca="false">IFERROR(INDEX(_AUX!$A$2:$A$3201,MATCH(ROW()-1,_AUX!$C$2:$C$3201,0)),"")</f>
        <v/>
      </c>
      <c r="B667" s="11" t="str">
        <f aca="false">IF(A667="","",IFERROR(INDEX(DECKS!$C$2:$C$1201,MATCH(A667,DECKS!$B$2:$B$1201,0)),IFERROR(TRIM(INDEX(COMPRAS!$I$2:$I$2001,MATCH(A667,COMPRAS!$L$2:$L$2001,0))),"(sem nome)")))</f>
        <v/>
      </c>
      <c r="C667" s="16" t="str">
        <f aca="false">IF(A667="","",SUMIFS(COMPRAS!$C$2:$C$2001,COMPRAS!$K$2:$K$2001,A667))</f>
        <v/>
      </c>
    </row>
    <row r="668" customFormat="false" ht="15" hidden="false" customHeight="false" outlineLevel="0" collapsed="false">
      <c r="A668" s="11" t="str">
        <f aca="false">IFERROR(INDEX(_AUX!$A$2:$A$3201,MATCH(ROW()-1,_AUX!$C$2:$C$3201,0)),"")</f>
        <v/>
      </c>
      <c r="B668" s="11" t="str">
        <f aca="false">IF(A668="","",IFERROR(INDEX(DECKS!$C$2:$C$1201,MATCH(A668,DECKS!$B$2:$B$1201,0)),IFERROR(TRIM(INDEX(COMPRAS!$I$2:$I$2001,MATCH(A668,COMPRAS!$L$2:$L$2001,0))),"(sem nome)")))</f>
        <v/>
      </c>
      <c r="C668" s="16" t="str">
        <f aca="false">IF(A668="","",SUMIFS(COMPRAS!$C$2:$C$2001,COMPRAS!$K$2:$K$2001,A668))</f>
        <v/>
      </c>
    </row>
    <row r="669" customFormat="false" ht="15" hidden="false" customHeight="false" outlineLevel="0" collapsed="false">
      <c r="A669" s="11" t="str">
        <f aca="false">IFERROR(INDEX(_AUX!$A$2:$A$3201,MATCH(ROW()-1,_AUX!$C$2:$C$3201,0)),"")</f>
        <v/>
      </c>
      <c r="B669" s="11" t="str">
        <f aca="false">IF(A669="","",IFERROR(INDEX(DECKS!$C$2:$C$1201,MATCH(A669,DECKS!$B$2:$B$1201,0)),IFERROR(TRIM(INDEX(COMPRAS!$I$2:$I$2001,MATCH(A669,COMPRAS!$L$2:$L$2001,0))),"(sem nome)")))</f>
        <v/>
      </c>
      <c r="C669" s="16" t="str">
        <f aca="false">IF(A669="","",SUMIFS(COMPRAS!$C$2:$C$2001,COMPRAS!$K$2:$K$2001,A669))</f>
        <v/>
      </c>
    </row>
    <row r="670" customFormat="false" ht="15" hidden="false" customHeight="false" outlineLevel="0" collapsed="false">
      <c r="A670" s="11" t="str">
        <f aca="false">IFERROR(INDEX(_AUX!$A$2:$A$3201,MATCH(ROW()-1,_AUX!$C$2:$C$3201,0)),"")</f>
        <v/>
      </c>
      <c r="B670" s="11" t="str">
        <f aca="false">IF(A670="","",IFERROR(INDEX(DECKS!$C$2:$C$1201,MATCH(A670,DECKS!$B$2:$B$1201,0)),IFERROR(TRIM(INDEX(COMPRAS!$I$2:$I$2001,MATCH(A670,COMPRAS!$L$2:$L$2001,0))),"(sem nome)")))</f>
        <v/>
      </c>
      <c r="C670" s="16" t="str">
        <f aca="false">IF(A670="","",SUMIFS(COMPRAS!$C$2:$C$2001,COMPRAS!$K$2:$K$2001,A670))</f>
        <v/>
      </c>
    </row>
    <row r="671" customFormat="false" ht="15" hidden="false" customHeight="false" outlineLevel="0" collapsed="false">
      <c r="A671" s="11" t="str">
        <f aca="false">IFERROR(INDEX(_AUX!$A$2:$A$3201,MATCH(ROW()-1,_AUX!$C$2:$C$3201,0)),"")</f>
        <v/>
      </c>
      <c r="B671" s="11" t="str">
        <f aca="false">IF(A671="","",IFERROR(INDEX(DECKS!$C$2:$C$1201,MATCH(A671,DECKS!$B$2:$B$1201,0)),IFERROR(TRIM(INDEX(COMPRAS!$I$2:$I$2001,MATCH(A671,COMPRAS!$L$2:$L$2001,0))),"(sem nome)")))</f>
        <v/>
      </c>
      <c r="C671" s="16" t="str">
        <f aca="false">IF(A671="","",SUMIFS(COMPRAS!$C$2:$C$2001,COMPRAS!$K$2:$K$2001,A671))</f>
        <v/>
      </c>
    </row>
    <row r="672" customFormat="false" ht="15" hidden="false" customHeight="false" outlineLevel="0" collapsed="false">
      <c r="A672" s="11" t="str">
        <f aca="false">IFERROR(INDEX(_AUX!$A$2:$A$3201,MATCH(ROW()-1,_AUX!$C$2:$C$3201,0)),"")</f>
        <v/>
      </c>
      <c r="B672" s="11" t="str">
        <f aca="false">IF(A672="","",IFERROR(INDEX(DECKS!$C$2:$C$1201,MATCH(A672,DECKS!$B$2:$B$1201,0)),IFERROR(TRIM(INDEX(COMPRAS!$I$2:$I$2001,MATCH(A672,COMPRAS!$L$2:$L$2001,0))),"(sem nome)")))</f>
        <v/>
      </c>
      <c r="C672" s="16" t="str">
        <f aca="false">IF(A672="","",SUMIFS(COMPRAS!$C$2:$C$2001,COMPRAS!$K$2:$K$2001,A672))</f>
        <v/>
      </c>
    </row>
    <row r="673" customFormat="false" ht="15" hidden="false" customHeight="false" outlineLevel="0" collapsed="false">
      <c r="A673" s="11" t="str">
        <f aca="false">IFERROR(INDEX(_AUX!$A$2:$A$3201,MATCH(ROW()-1,_AUX!$C$2:$C$3201,0)),"")</f>
        <v/>
      </c>
      <c r="B673" s="11" t="str">
        <f aca="false">IF(A673="","",IFERROR(INDEX(DECKS!$C$2:$C$1201,MATCH(A673,DECKS!$B$2:$B$1201,0)),IFERROR(TRIM(INDEX(COMPRAS!$I$2:$I$2001,MATCH(A673,COMPRAS!$L$2:$L$2001,0))),"(sem nome)")))</f>
        <v/>
      </c>
      <c r="C673" s="16" t="str">
        <f aca="false">IF(A673="","",SUMIFS(COMPRAS!$C$2:$C$2001,COMPRAS!$K$2:$K$2001,A673))</f>
        <v/>
      </c>
    </row>
    <row r="674" customFormat="false" ht="15" hidden="false" customHeight="false" outlineLevel="0" collapsed="false">
      <c r="A674" s="11" t="str">
        <f aca="false">IFERROR(INDEX(_AUX!$A$2:$A$3201,MATCH(ROW()-1,_AUX!$C$2:$C$3201,0)),"")</f>
        <v/>
      </c>
      <c r="B674" s="11" t="str">
        <f aca="false">IF(A674="","",IFERROR(INDEX(DECKS!$C$2:$C$1201,MATCH(A674,DECKS!$B$2:$B$1201,0)),IFERROR(TRIM(INDEX(COMPRAS!$I$2:$I$2001,MATCH(A674,COMPRAS!$L$2:$L$2001,0))),"(sem nome)")))</f>
        <v/>
      </c>
      <c r="C674" s="16" t="str">
        <f aca="false">IF(A674="","",SUMIFS(COMPRAS!$C$2:$C$2001,COMPRAS!$K$2:$K$2001,A674))</f>
        <v/>
      </c>
    </row>
    <row r="675" customFormat="false" ht="15" hidden="false" customHeight="false" outlineLevel="0" collapsed="false">
      <c r="A675" s="11" t="str">
        <f aca="false">IFERROR(INDEX(_AUX!$A$2:$A$3201,MATCH(ROW()-1,_AUX!$C$2:$C$3201,0)),"")</f>
        <v/>
      </c>
      <c r="B675" s="11" t="str">
        <f aca="false">IF(A675="","",IFERROR(INDEX(DECKS!$C$2:$C$1201,MATCH(A675,DECKS!$B$2:$B$1201,0)),IFERROR(TRIM(INDEX(COMPRAS!$I$2:$I$2001,MATCH(A675,COMPRAS!$L$2:$L$2001,0))),"(sem nome)")))</f>
        <v/>
      </c>
      <c r="C675" s="16" t="str">
        <f aca="false">IF(A675="","",SUMIFS(COMPRAS!$C$2:$C$2001,COMPRAS!$K$2:$K$2001,A675))</f>
        <v/>
      </c>
    </row>
    <row r="676" customFormat="false" ht="15" hidden="false" customHeight="false" outlineLevel="0" collapsed="false">
      <c r="A676" s="11" t="str">
        <f aca="false">IFERROR(INDEX(_AUX!$A$2:$A$3201,MATCH(ROW()-1,_AUX!$C$2:$C$3201,0)),"")</f>
        <v/>
      </c>
      <c r="B676" s="11" t="str">
        <f aca="false">IF(A676="","",IFERROR(INDEX(DECKS!$C$2:$C$1201,MATCH(A676,DECKS!$B$2:$B$1201,0)),IFERROR(TRIM(INDEX(COMPRAS!$I$2:$I$2001,MATCH(A676,COMPRAS!$L$2:$L$2001,0))),"(sem nome)")))</f>
        <v/>
      </c>
      <c r="C676" s="16" t="str">
        <f aca="false">IF(A676="","",SUMIFS(COMPRAS!$C$2:$C$2001,COMPRAS!$K$2:$K$2001,A676))</f>
        <v/>
      </c>
    </row>
    <row r="677" customFormat="false" ht="15" hidden="false" customHeight="false" outlineLevel="0" collapsed="false">
      <c r="A677" s="11" t="str">
        <f aca="false">IFERROR(INDEX(_AUX!$A$2:$A$3201,MATCH(ROW()-1,_AUX!$C$2:$C$3201,0)),"")</f>
        <v/>
      </c>
      <c r="B677" s="11" t="str">
        <f aca="false">IF(A677="","",IFERROR(INDEX(DECKS!$C$2:$C$1201,MATCH(A677,DECKS!$B$2:$B$1201,0)),IFERROR(TRIM(INDEX(COMPRAS!$I$2:$I$2001,MATCH(A677,COMPRAS!$L$2:$L$2001,0))),"(sem nome)")))</f>
        <v/>
      </c>
      <c r="C677" s="16" t="str">
        <f aca="false">IF(A677="","",SUMIFS(COMPRAS!$C$2:$C$2001,COMPRAS!$K$2:$K$2001,A677))</f>
        <v/>
      </c>
    </row>
    <row r="678" customFormat="false" ht="15" hidden="false" customHeight="false" outlineLevel="0" collapsed="false">
      <c r="A678" s="11" t="str">
        <f aca="false">IFERROR(INDEX(_AUX!$A$2:$A$3201,MATCH(ROW()-1,_AUX!$C$2:$C$3201,0)),"")</f>
        <v/>
      </c>
      <c r="B678" s="11" t="str">
        <f aca="false">IF(A678="","",IFERROR(INDEX(DECKS!$C$2:$C$1201,MATCH(A678,DECKS!$B$2:$B$1201,0)),IFERROR(TRIM(INDEX(COMPRAS!$I$2:$I$2001,MATCH(A678,COMPRAS!$L$2:$L$2001,0))),"(sem nome)")))</f>
        <v/>
      </c>
      <c r="C678" s="16" t="str">
        <f aca="false">IF(A678="","",SUMIFS(COMPRAS!$C$2:$C$2001,COMPRAS!$K$2:$K$2001,A678))</f>
        <v/>
      </c>
    </row>
    <row r="679" customFormat="false" ht="15" hidden="false" customHeight="false" outlineLevel="0" collapsed="false">
      <c r="A679" s="11" t="str">
        <f aca="false">IFERROR(INDEX(_AUX!$A$2:$A$3201,MATCH(ROW()-1,_AUX!$C$2:$C$3201,0)),"")</f>
        <v/>
      </c>
      <c r="B679" s="11" t="str">
        <f aca="false">IF(A679="","",IFERROR(INDEX(DECKS!$C$2:$C$1201,MATCH(A679,DECKS!$B$2:$B$1201,0)),IFERROR(TRIM(INDEX(COMPRAS!$I$2:$I$2001,MATCH(A679,COMPRAS!$L$2:$L$2001,0))),"(sem nome)")))</f>
        <v/>
      </c>
      <c r="C679" s="16" t="str">
        <f aca="false">IF(A679="","",SUMIFS(COMPRAS!$C$2:$C$2001,COMPRAS!$K$2:$K$2001,A679))</f>
        <v/>
      </c>
    </row>
    <row r="680" customFormat="false" ht="15" hidden="false" customHeight="false" outlineLevel="0" collapsed="false">
      <c r="A680" s="11" t="str">
        <f aca="false">IFERROR(INDEX(_AUX!$A$2:$A$3201,MATCH(ROW()-1,_AUX!$C$2:$C$3201,0)),"")</f>
        <v/>
      </c>
      <c r="B680" s="11" t="str">
        <f aca="false">IF(A680="","",IFERROR(INDEX(DECKS!$C$2:$C$1201,MATCH(A680,DECKS!$B$2:$B$1201,0)),IFERROR(TRIM(INDEX(COMPRAS!$I$2:$I$2001,MATCH(A680,COMPRAS!$L$2:$L$2001,0))),"(sem nome)")))</f>
        <v/>
      </c>
      <c r="C680" s="16" t="str">
        <f aca="false">IF(A680="","",SUMIFS(COMPRAS!$C$2:$C$2001,COMPRAS!$K$2:$K$2001,A680))</f>
        <v/>
      </c>
    </row>
    <row r="681" customFormat="false" ht="15" hidden="false" customHeight="false" outlineLevel="0" collapsed="false">
      <c r="A681" s="11" t="str">
        <f aca="false">IFERROR(INDEX(_AUX!$A$2:$A$3201,MATCH(ROW()-1,_AUX!$C$2:$C$3201,0)),"")</f>
        <v/>
      </c>
      <c r="B681" s="11" t="str">
        <f aca="false">IF(A681="","",IFERROR(INDEX(DECKS!$C$2:$C$1201,MATCH(A681,DECKS!$B$2:$B$1201,0)),IFERROR(TRIM(INDEX(COMPRAS!$I$2:$I$2001,MATCH(A681,COMPRAS!$L$2:$L$2001,0))),"(sem nome)")))</f>
        <v/>
      </c>
      <c r="C681" s="16" t="str">
        <f aca="false">IF(A681="","",SUMIFS(COMPRAS!$C$2:$C$2001,COMPRAS!$K$2:$K$2001,A681))</f>
        <v/>
      </c>
    </row>
    <row r="682" customFormat="false" ht="15" hidden="false" customHeight="false" outlineLevel="0" collapsed="false">
      <c r="A682" s="11" t="str">
        <f aca="false">IFERROR(INDEX(_AUX!$A$2:$A$3201,MATCH(ROW()-1,_AUX!$C$2:$C$3201,0)),"")</f>
        <v/>
      </c>
      <c r="B682" s="11" t="str">
        <f aca="false">IF(A682="","",IFERROR(INDEX(DECKS!$C$2:$C$1201,MATCH(A682,DECKS!$B$2:$B$1201,0)),IFERROR(TRIM(INDEX(COMPRAS!$I$2:$I$2001,MATCH(A682,COMPRAS!$L$2:$L$2001,0))),"(sem nome)")))</f>
        <v/>
      </c>
      <c r="C682" s="16" t="str">
        <f aca="false">IF(A682="","",SUMIFS(COMPRAS!$C$2:$C$2001,COMPRAS!$K$2:$K$2001,A682))</f>
        <v/>
      </c>
    </row>
    <row r="683" customFormat="false" ht="15" hidden="false" customHeight="false" outlineLevel="0" collapsed="false">
      <c r="A683" s="11" t="str">
        <f aca="false">IFERROR(INDEX(_AUX!$A$2:$A$3201,MATCH(ROW()-1,_AUX!$C$2:$C$3201,0)),"")</f>
        <v/>
      </c>
      <c r="B683" s="11" t="str">
        <f aca="false">IF(A683="","",IFERROR(INDEX(DECKS!$C$2:$C$1201,MATCH(A683,DECKS!$B$2:$B$1201,0)),IFERROR(TRIM(INDEX(COMPRAS!$I$2:$I$2001,MATCH(A683,COMPRAS!$L$2:$L$2001,0))),"(sem nome)")))</f>
        <v/>
      </c>
      <c r="C683" s="16" t="str">
        <f aca="false">IF(A683="","",SUMIFS(COMPRAS!$C$2:$C$2001,COMPRAS!$K$2:$K$2001,A683))</f>
        <v/>
      </c>
    </row>
    <row r="684" customFormat="false" ht="15" hidden="false" customHeight="false" outlineLevel="0" collapsed="false">
      <c r="A684" s="11" t="str">
        <f aca="false">IFERROR(INDEX(_AUX!$A$2:$A$3201,MATCH(ROW()-1,_AUX!$C$2:$C$3201,0)),"")</f>
        <v/>
      </c>
      <c r="B684" s="11" t="str">
        <f aca="false">IF(A684="","",IFERROR(INDEX(DECKS!$C$2:$C$1201,MATCH(A684,DECKS!$B$2:$B$1201,0)),IFERROR(TRIM(INDEX(COMPRAS!$I$2:$I$2001,MATCH(A684,COMPRAS!$L$2:$L$2001,0))),"(sem nome)")))</f>
        <v/>
      </c>
      <c r="C684" s="16" t="str">
        <f aca="false">IF(A684="","",SUMIFS(COMPRAS!$C$2:$C$2001,COMPRAS!$K$2:$K$2001,A684))</f>
        <v/>
      </c>
    </row>
    <row r="685" customFormat="false" ht="15" hidden="false" customHeight="false" outlineLevel="0" collapsed="false">
      <c r="A685" s="11" t="str">
        <f aca="false">IFERROR(INDEX(_AUX!$A$2:$A$3201,MATCH(ROW()-1,_AUX!$C$2:$C$3201,0)),"")</f>
        <v/>
      </c>
      <c r="B685" s="11" t="str">
        <f aca="false">IF(A685="","",IFERROR(INDEX(DECKS!$C$2:$C$1201,MATCH(A685,DECKS!$B$2:$B$1201,0)),IFERROR(TRIM(INDEX(COMPRAS!$I$2:$I$2001,MATCH(A685,COMPRAS!$L$2:$L$2001,0))),"(sem nome)")))</f>
        <v/>
      </c>
      <c r="C685" s="16" t="str">
        <f aca="false">IF(A685="","",SUMIFS(COMPRAS!$C$2:$C$2001,COMPRAS!$K$2:$K$2001,A685))</f>
        <v/>
      </c>
    </row>
    <row r="686" customFormat="false" ht="15" hidden="false" customHeight="false" outlineLevel="0" collapsed="false">
      <c r="A686" s="11" t="str">
        <f aca="false">IFERROR(INDEX(_AUX!$A$2:$A$3201,MATCH(ROW()-1,_AUX!$C$2:$C$3201,0)),"")</f>
        <v/>
      </c>
      <c r="B686" s="11" t="str">
        <f aca="false">IF(A686="","",IFERROR(INDEX(DECKS!$C$2:$C$1201,MATCH(A686,DECKS!$B$2:$B$1201,0)),IFERROR(TRIM(INDEX(COMPRAS!$I$2:$I$2001,MATCH(A686,COMPRAS!$L$2:$L$2001,0))),"(sem nome)")))</f>
        <v/>
      </c>
      <c r="C686" s="16" t="str">
        <f aca="false">IF(A686="","",SUMIFS(COMPRAS!$C$2:$C$2001,COMPRAS!$K$2:$K$2001,A686))</f>
        <v/>
      </c>
    </row>
    <row r="687" customFormat="false" ht="15" hidden="false" customHeight="false" outlineLevel="0" collapsed="false">
      <c r="A687" s="11" t="str">
        <f aca="false">IFERROR(INDEX(_AUX!$A$2:$A$3201,MATCH(ROW()-1,_AUX!$C$2:$C$3201,0)),"")</f>
        <v/>
      </c>
      <c r="B687" s="11" t="str">
        <f aca="false">IF(A687="","",IFERROR(INDEX(DECKS!$C$2:$C$1201,MATCH(A687,DECKS!$B$2:$B$1201,0)),IFERROR(TRIM(INDEX(COMPRAS!$I$2:$I$2001,MATCH(A687,COMPRAS!$L$2:$L$2001,0))),"(sem nome)")))</f>
        <v/>
      </c>
      <c r="C687" s="16" t="str">
        <f aca="false">IF(A687="","",SUMIFS(COMPRAS!$C$2:$C$2001,COMPRAS!$K$2:$K$2001,A687))</f>
        <v/>
      </c>
    </row>
    <row r="688" customFormat="false" ht="15" hidden="false" customHeight="false" outlineLevel="0" collapsed="false">
      <c r="A688" s="11" t="str">
        <f aca="false">IFERROR(INDEX(_AUX!$A$2:$A$3201,MATCH(ROW()-1,_AUX!$C$2:$C$3201,0)),"")</f>
        <v/>
      </c>
      <c r="B688" s="11" t="str">
        <f aca="false">IF(A688="","",IFERROR(INDEX(DECKS!$C$2:$C$1201,MATCH(A688,DECKS!$B$2:$B$1201,0)),IFERROR(TRIM(INDEX(COMPRAS!$I$2:$I$2001,MATCH(A688,COMPRAS!$L$2:$L$2001,0))),"(sem nome)")))</f>
        <v/>
      </c>
      <c r="C688" s="16" t="str">
        <f aca="false">IF(A688="","",SUMIFS(COMPRAS!$C$2:$C$2001,COMPRAS!$K$2:$K$2001,A688))</f>
        <v/>
      </c>
    </row>
    <row r="689" customFormat="false" ht="15" hidden="false" customHeight="false" outlineLevel="0" collapsed="false">
      <c r="A689" s="11" t="str">
        <f aca="false">IFERROR(INDEX(_AUX!$A$2:$A$3201,MATCH(ROW()-1,_AUX!$C$2:$C$3201,0)),"")</f>
        <v/>
      </c>
      <c r="B689" s="11" t="str">
        <f aca="false">IF(A689="","",IFERROR(INDEX(DECKS!$C$2:$C$1201,MATCH(A689,DECKS!$B$2:$B$1201,0)),IFERROR(TRIM(INDEX(COMPRAS!$I$2:$I$2001,MATCH(A689,COMPRAS!$L$2:$L$2001,0))),"(sem nome)")))</f>
        <v/>
      </c>
      <c r="C689" s="16" t="str">
        <f aca="false">IF(A689="","",SUMIFS(COMPRAS!$C$2:$C$2001,COMPRAS!$K$2:$K$2001,A689))</f>
        <v/>
      </c>
    </row>
    <row r="690" customFormat="false" ht="15" hidden="false" customHeight="false" outlineLevel="0" collapsed="false">
      <c r="A690" s="11" t="str">
        <f aca="false">IFERROR(INDEX(_AUX!$A$2:$A$3201,MATCH(ROW()-1,_AUX!$C$2:$C$3201,0)),"")</f>
        <v/>
      </c>
      <c r="B690" s="11" t="str">
        <f aca="false">IF(A690="","",IFERROR(INDEX(DECKS!$C$2:$C$1201,MATCH(A690,DECKS!$B$2:$B$1201,0)),IFERROR(TRIM(INDEX(COMPRAS!$I$2:$I$2001,MATCH(A690,COMPRAS!$L$2:$L$2001,0))),"(sem nome)")))</f>
        <v/>
      </c>
      <c r="C690" s="16" t="str">
        <f aca="false">IF(A690="","",SUMIFS(COMPRAS!$C$2:$C$2001,COMPRAS!$K$2:$K$2001,A690))</f>
        <v/>
      </c>
    </row>
    <row r="691" customFormat="false" ht="15" hidden="false" customHeight="false" outlineLevel="0" collapsed="false">
      <c r="A691" s="11" t="str">
        <f aca="false">IFERROR(INDEX(_AUX!$A$2:$A$3201,MATCH(ROW()-1,_AUX!$C$2:$C$3201,0)),"")</f>
        <v/>
      </c>
      <c r="B691" s="11" t="str">
        <f aca="false">IF(A691="","",IFERROR(INDEX(DECKS!$C$2:$C$1201,MATCH(A691,DECKS!$B$2:$B$1201,0)),IFERROR(TRIM(INDEX(COMPRAS!$I$2:$I$2001,MATCH(A691,COMPRAS!$L$2:$L$2001,0))),"(sem nome)")))</f>
        <v/>
      </c>
      <c r="C691" s="16" t="str">
        <f aca="false">IF(A691="","",SUMIFS(COMPRAS!$C$2:$C$2001,COMPRAS!$K$2:$K$2001,A691))</f>
        <v/>
      </c>
    </row>
    <row r="692" customFormat="false" ht="15" hidden="false" customHeight="false" outlineLevel="0" collapsed="false">
      <c r="A692" s="11" t="str">
        <f aca="false">IFERROR(INDEX(_AUX!$A$2:$A$3201,MATCH(ROW()-1,_AUX!$C$2:$C$3201,0)),"")</f>
        <v/>
      </c>
      <c r="B692" s="11" t="str">
        <f aca="false">IF(A692="","",IFERROR(INDEX(DECKS!$C$2:$C$1201,MATCH(A692,DECKS!$B$2:$B$1201,0)),IFERROR(TRIM(INDEX(COMPRAS!$I$2:$I$2001,MATCH(A692,COMPRAS!$L$2:$L$2001,0))),"(sem nome)")))</f>
        <v/>
      </c>
      <c r="C692" s="16" t="str">
        <f aca="false">IF(A692="","",SUMIFS(COMPRAS!$C$2:$C$2001,COMPRAS!$K$2:$K$2001,A692))</f>
        <v/>
      </c>
    </row>
    <row r="693" customFormat="false" ht="15" hidden="false" customHeight="false" outlineLevel="0" collapsed="false">
      <c r="A693" s="11" t="str">
        <f aca="false">IFERROR(INDEX(_AUX!$A$2:$A$3201,MATCH(ROW()-1,_AUX!$C$2:$C$3201,0)),"")</f>
        <v/>
      </c>
      <c r="B693" s="11" t="str">
        <f aca="false">IF(A693="","",IFERROR(INDEX(DECKS!$C$2:$C$1201,MATCH(A693,DECKS!$B$2:$B$1201,0)),IFERROR(TRIM(INDEX(COMPRAS!$I$2:$I$2001,MATCH(A693,COMPRAS!$L$2:$L$2001,0))),"(sem nome)")))</f>
        <v/>
      </c>
      <c r="C693" s="16" t="str">
        <f aca="false">IF(A693="","",SUMIFS(COMPRAS!$C$2:$C$2001,COMPRAS!$K$2:$K$2001,A693))</f>
        <v/>
      </c>
    </row>
    <row r="694" customFormat="false" ht="15" hidden="false" customHeight="false" outlineLevel="0" collapsed="false">
      <c r="A694" s="11" t="str">
        <f aca="false">IFERROR(INDEX(_AUX!$A$2:$A$3201,MATCH(ROW()-1,_AUX!$C$2:$C$3201,0)),"")</f>
        <v/>
      </c>
      <c r="B694" s="11" t="str">
        <f aca="false">IF(A694="","",IFERROR(INDEX(DECKS!$C$2:$C$1201,MATCH(A694,DECKS!$B$2:$B$1201,0)),IFERROR(TRIM(INDEX(COMPRAS!$I$2:$I$2001,MATCH(A694,COMPRAS!$L$2:$L$2001,0))),"(sem nome)")))</f>
        <v/>
      </c>
      <c r="C694" s="16" t="str">
        <f aca="false">IF(A694="","",SUMIFS(COMPRAS!$C$2:$C$2001,COMPRAS!$K$2:$K$2001,A694))</f>
        <v/>
      </c>
    </row>
    <row r="695" customFormat="false" ht="15" hidden="false" customHeight="false" outlineLevel="0" collapsed="false">
      <c r="A695" s="11" t="str">
        <f aca="false">IFERROR(INDEX(_AUX!$A$2:$A$3201,MATCH(ROW()-1,_AUX!$C$2:$C$3201,0)),"")</f>
        <v/>
      </c>
      <c r="B695" s="11" t="str">
        <f aca="false">IF(A695="","",IFERROR(INDEX(DECKS!$C$2:$C$1201,MATCH(A695,DECKS!$B$2:$B$1201,0)),IFERROR(TRIM(INDEX(COMPRAS!$I$2:$I$2001,MATCH(A695,COMPRAS!$L$2:$L$2001,0))),"(sem nome)")))</f>
        <v/>
      </c>
      <c r="C695" s="16" t="str">
        <f aca="false">IF(A695="","",SUMIFS(COMPRAS!$C$2:$C$2001,COMPRAS!$K$2:$K$2001,A695))</f>
        <v/>
      </c>
    </row>
    <row r="696" customFormat="false" ht="15" hidden="false" customHeight="false" outlineLevel="0" collapsed="false">
      <c r="A696" s="11" t="str">
        <f aca="false">IFERROR(INDEX(_AUX!$A$2:$A$3201,MATCH(ROW()-1,_AUX!$C$2:$C$3201,0)),"")</f>
        <v/>
      </c>
      <c r="B696" s="11" t="str">
        <f aca="false">IF(A696="","",IFERROR(INDEX(DECKS!$C$2:$C$1201,MATCH(A696,DECKS!$B$2:$B$1201,0)),IFERROR(TRIM(INDEX(COMPRAS!$I$2:$I$2001,MATCH(A696,COMPRAS!$L$2:$L$2001,0))),"(sem nome)")))</f>
        <v/>
      </c>
      <c r="C696" s="16" t="str">
        <f aca="false">IF(A696="","",SUMIFS(COMPRAS!$C$2:$C$2001,COMPRAS!$K$2:$K$2001,A696))</f>
        <v/>
      </c>
    </row>
    <row r="697" customFormat="false" ht="15" hidden="false" customHeight="false" outlineLevel="0" collapsed="false">
      <c r="A697" s="11" t="str">
        <f aca="false">IFERROR(INDEX(_AUX!$A$2:$A$3201,MATCH(ROW()-1,_AUX!$C$2:$C$3201,0)),"")</f>
        <v/>
      </c>
      <c r="B697" s="11" t="str">
        <f aca="false">IF(A697="","",IFERROR(INDEX(DECKS!$C$2:$C$1201,MATCH(A697,DECKS!$B$2:$B$1201,0)),IFERROR(TRIM(INDEX(COMPRAS!$I$2:$I$2001,MATCH(A697,COMPRAS!$L$2:$L$2001,0))),"(sem nome)")))</f>
        <v/>
      </c>
      <c r="C697" s="16" t="str">
        <f aca="false">IF(A697="","",SUMIFS(COMPRAS!$C$2:$C$2001,COMPRAS!$K$2:$K$2001,A697))</f>
        <v/>
      </c>
    </row>
    <row r="698" customFormat="false" ht="15" hidden="false" customHeight="false" outlineLevel="0" collapsed="false">
      <c r="A698" s="11" t="str">
        <f aca="false">IFERROR(INDEX(_AUX!$A$2:$A$3201,MATCH(ROW()-1,_AUX!$C$2:$C$3201,0)),"")</f>
        <v/>
      </c>
      <c r="B698" s="11" t="str">
        <f aca="false">IF(A698="","",IFERROR(INDEX(DECKS!$C$2:$C$1201,MATCH(A698,DECKS!$B$2:$B$1201,0)),IFERROR(TRIM(INDEX(COMPRAS!$I$2:$I$2001,MATCH(A698,COMPRAS!$L$2:$L$2001,0))),"(sem nome)")))</f>
        <v/>
      </c>
      <c r="C698" s="16" t="str">
        <f aca="false">IF(A698="","",SUMIFS(COMPRAS!$C$2:$C$2001,COMPRAS!$K$2:$K$2001,A698))</f>
        <v/>
      </c>
    </row>
    <row r="699" customFormat="false" ht="15" hidden="false" customHeight="false" outlineLevel="0" collapsed="false">
      <c r="A699" s="11" t="str">
        <f aca="false">IFERROR(INDEX(_AUX!$A$2:$A$3201,MATCH(ROW()-1,_AUX!$C$2:$C$3201,0)),"")</f>
        <v/>
      </c>
      <c r="B699" s="11" t="str">
        <f aca="false">IF(A699="","",IFERROR(INDEX(DECKS!$C$2:$C$1201,MATCH(A699,DECKS!$B$2:$B$1201,0)),IFERROR(TRIM(INDEX(COMPRAS!$I$2:$I$2001,MATCH(A699,COMPRAS!$L$2:$L$2001,0))),"(sem nome)")))</f>
        <v/>
      </c>
      <c r="C699" s="16" t="str">
        <f aca="false">IF(A699="","",SUMIFS(COMPRAS!$C$2:$C$2001,COMPRAS!$K$2:$K$2001,A699))</f>
        <v/>
      </c>
    </row>
    <row r="700" customFormat="false" ht="15" hidden="false" customHeight="false" outlineLevel="0" collapsed="false">
      <c r="A700" s="11" t="str">
        <f aca="false">IFERROR(INDEX(_AUX!$A$2:$A$3201,MATCH(ROW()-1,_AUX!$C$2:$C$3201,0)),"")</f>
        <v/>
      </c>
      <c r="B700" s="11" t="str">
        <f aca="false">IF(A700="","",IFERROR(INDEX(DECKS!$C$2:$C$1201,MATCH(A700,DECKS!$B$2:$B$1201,0)),IFERROR(TRIM(INDEX(COMPRAS!$I$2:$I$2001,MATCH(A700,COMPRAS!$L$2:$L$2001,0))),"(sem nome)")))</f>
        <v/>
      </c>
      <c r="C700" s="16" t="str">
        <f aca="false">IF(A700="","",SUMIFS(COMPRAS!$C$2:$C$2001,COMPRAS!$K$2:$K$2001,A700))</f>
        <v/>
      </c>
    </row>
    <row r="701" customFormat="false" ht="15" hidden="false" customHeight="false" outlineLevel="0" collapsed="false">
      <c r="A701" s="11" t="str">
        <f aca="false">IFERROR(INDEX(_AUX!$A$2:$A$3201,MATCH(ROW()-1,_AUX!$C$2:$C$3201,0)),"")</f>
        <v/>
      </c>
      <c r="B701" s="11" t="str">
        <f aca="false">IF(A701="","",IFERROR(INDEX(DECKS!$C$2:$C$1201,MATCH(A701,DECKS!$B$2:$B$1201,0)),IFERROR(TRIM(INDEX(COMPRAS!$I$2:$I$2001,MATCH(A701,COMPRAS!$L$2:$L$2001,0))),"(sem nome)")))</f>
        <v/>
      </c>
      <c r="C701" s="16" t="str">
        <f aca="false">IF(A701="","",SUMIFS(COMPRAS!$C$2:$C$2001,COMPRAS!$K$2:$K$2001,A701))</f>
        <v/>
      </c>
    </row>
    <row r="702" customFormat="false" ht="15" hidden="false" customHeight="false" outlineLevel="0" collapsed="false">
      <c r="A702" s="11" t="str">
        <f aca="false">IFERROR(INDEX(_AUX!$A$2:$A$3201,MATCH(ROW()-1,_AUX!$C$2:$C$3201,0)),"")</f>
        <v/>
      </c>
      <c r="B702" s="11" t="str">
        <f aca="false">IF(A702="","",IFERROR(INDEX(DECKS!$C$2:$C$1201,MATCH(A702,DECKS!$B$2:$B$1201,0)),IFERROR(TRIM(INDEX(COMPRAS!$I$2:$I$2001,MATCH(A702,COMPRAS!$L$2:$L$2001,0))),"(sem nome)")))</f>
        <v/>
      </c>
      <c r="C702" s="16" t="str">
        <f aca="false">IF(A702="","",SUMIFS(COMPRAS!$C$2:$C$2001,COMPRAS!$K$2:$K$2001,A702))</f>
        <v/>
      </c>
    </row>
    <row r="703" customFormat="false" ht="15" hidden="false" customHeight="false" outlineLevel="0" collapsed="false">
      <c r="A703" s="11" t="str">
        <f aca="false">IFERROR(INDEX(_AUX!$A$2:$A$3201,MATCH(ROW()-1,_AUX!$C$2:$C$3201,0)),"")</f>
        <v/>
      </c>
      <c r="B703" s="11" t="str">
        <f aca="false">IF(A703="","",IFERROR(INDEX(DECKS!$C$2:$C$1201,MATCH(A703,DECKS!$B$2:$B$1201,0)),IFERROR(TRIM(INDEX(COMPRAS!$I$2:$I$2001,MATCH(A703,COMPRAS!$L$2:$L$2001,0))),"(sem nome)")))</f>
        <v/>
      </c>
      <c r="C703" s="16" t="str">
        <f aca="false">IF(A703="","",SUMIFS(COMPRAS!$C$2:$C$2001,COMPRAS!$K$2:$K$2001,A703))</f>
        <v/>
      </c>
    </row>
    <row r="704" customFormat="false" ht="15" hidden="false" customHeight="false" outlineLevel="0" collapsed="false">
      <c r="A704" s="11" t="str">
        <f aca="false">IFERROR(INDEX(_AUX!$A$2:$A$3201,MATCH(ROW()-1,_AUX!$C$2:$C$3201,0)),"")</f>
        <v/>
      </c>
      <c r="B704" s="11" t="str">
        <f aca="false">IF(A704="","",IFERROR(INDEX(DECKS!$C$2:$C$1201,MATCH(A704,DECKS!$B$2:$B$1201,0)),IFERROR(TRIM(INDEX(COMPRAS!$I$2:$I$2001,MATCH(A704,COMPRAS!$L$2:$L$2001,0))),"(sem nome)")))</f>
        <v/>
      </c>
      <c r="C704" s="16" t="str">
        <f aca="false">IF(A704="","",SUMIFS(COMPRAS!$C$2:$C$2001,COMPRAS!$K$2:$K$2001,A704))</f>
        <v/>
      </c>
    </row>
    <row r="705" customFormat="false" ht="15" hidden="false" customHeight="false" outlineLevel="0" collapsed="false">
      <c r="A705" s="11" t="str">
        <f aca="false">IFERROR(INDEX(_AUX!$A$2:$A$3201,MATCH(ROW()-1,_AUX!$C$2:$C$3201,0)),"")</f>
        <v/>
      </c>
      <c r="B705" s="11" t="str">
        <f aca="false">IF(A705="","",IFERROR(INDEX(DECKS!$C$2:$C$1201,MATCH(A705,DECKS!$B$2:$B$1201,0)),IFERROR(TRIM(INDEX(COMPRAS!$I$2:$I$2001,MATCH(A705,COMPRAS!$L$2:$L$2001,0))),"(sem nome)")))</f>
        <v/>
      </c>
      <c r="C705" s="16" t="str">
        <f aca="false">IF(A705="","",SUMIFS(COMPRAS!$C$2:$C$2001,COMPRAS!$K$2:$K$2001,A705))</f>
        <v/>
      </c>
    </row>
    <row r="706" customFormat="false" ht="15" hidden="false" customHeight="false" outlineLevel="0" collapsed="false">
      <c r="A706" s="11" t="str">
        <f aca="false">IFERROR(INDEX(_AUX!$A$2:$A$3201,MATCH(ROW()-1,_AUX!$C$2:$C$3201,0)),"")</f>
        <v/>
      </c>
      <c r="B706" s="11" t="str">
        <f aca="false">IF(A706="","",IFERROR(INDEX(DECKS!$C$2:$C$1201,MATCH(A706,DECKS!$B$2:$B$1201,0)),IFERROR(TRIM(INDEX(COMPRAS!$I$2:$I$2001,MATCH(A706,COMPRAS!$L$2:$L$2001,0))),"(sem nome)")))</f>
        <v/>
      </c>
      <c r="C706" s="16" t="str">
        <f aca="false">IF(A706="","",SUMIFS(COMPRAS!$C$2:$C$2001,COMPRAS!$K$2:$K$2001,A706))</f>
        <v/>
      </c>
    </row>
    <row r="707" customFormat="false" ht="15" hidden="false" customHeight="false" outlineLevel="0" collapsed="false">
      <c r="A707" s="11" t="str">
        <f aca="false">IFERROR(INDEX(_AUX!$A$2:$A$3201,MATCH(ROW()-1,_AUX!$C$2:$C$3201,0)),"")</f>
        <v/>
      </c>
      <c r="B707" s="11" t="str">
        <f aca="false">IF(A707="","",IFERROR(INDEX(DECKS!$C$2:$C$1201,MATCH(A707,DECKS!$B$2:$B$1201,0)),IFERROR(TRIM(INDEX(COMPRAS!$I$2:$I$2001,MATCH(A707,COMPRAS!$L$2:$L$2001,0))),"(sem nome)")))</f>
        <v/>
      </c>
      <c r="C707" s="16" t="str">
        <f aca="false">IF(A707="","",SUMIFS(COMPRAS!$C$2:$C$2001,COMPRAS!$K$2:$K$2001,A707))</f>
        <v/>
      </c>
    </row>
    <row r="708" customFormat="false" ht="15" hidden="false" customHeight="false" outlineLevel="0" collapsed="false">
      <c r="A708" s="11" t="str">
        <f aca="false">IFERROR(INDEX(_AUX!$A$2:$A$3201,MATCH(ROW()-1,_AUX!$C$2:$C$3201,0)),"")</f>
        <v/>
      </c>
      <c r="B708" s="11" t="str">
        <f aca="false">IF(A708="","",IFERROR(INDEX(DECKS!$C$2:$C$1201,MATCH(A708,DECKS!$B$2:$B$1201,0)),IFERROR(TRIM(INDEX(COMPRAS!$I$2:$I$2001,MATCH(A708,COMPRAS!$L$2:$L$2001,0))),"(sem nome)")))</f>
        <v/>
      </c>
      <c r="C708" s="16" t="str">
        <f aca="false">IF(A708="","",SUMIFS(COMPRAS!$C$2:$C$2001,COMPRAS!$K$2:$K$2001,A708))</f>
        <v/>
      </c>
    </row>
    <row r="709" customFormat="false" ht="15" hidden="false" customHeight="false" outlineLevel="0" collapsed="false">
      <c r="A709" s="11" t="str">
        <f aca="false">IFERROR(INDEX(_AUX!$A$2:$A$3201,MATCH(ROW()-1,_AUX!$C$2:$C$3201,0)),"")</f>
        <v/>
      </c>
      <c r="B709" s="11" t="str">
        <f aca="false">IF(A709="","",IFERROR(INDEX(DECKS!$C$2:$C$1201,MATCH(A709,DECKS!$B$2:$B$1201,0)),IFERROR(TRIM(INDEX(COMPRAS!$I$2:$I$2001,MATCH(A709,COMPRAS!$L$2:$L$2001,0))),"(sem nome)")))</f>
        <v/>
      </c>
      <c r="C709" s="16" t="str">
        <f aca="false">IF(A709="","",SUMIFS(COMPRAS!$C$2:$C$2001,COMPRAS!$K$2:$K$2001,A709))</f>
        <v/>
      </c>
    </row>
    <row r="710" customFormat="false" ht="15" hidden="false" customHeight="false" outlineLevel="0" collapsed="false">
      <c r="A710" s="11" t="str">
        <f aca="false">IFERROR(INDEX(_AUX!$A$2:$A$3201,MATCH(ROW()-1,_AUX!$C$2:$C$3201,0)),"")</f>
        <v/>
      </c>
      <c r="B710" s="11" t="str">
        <f aca="false">IF(A710="","",IFERROR(INDEX(DECKS!$C$2:$C$1201,MATCH(A710,DECKS!$B$2:$B$1201,0)),IFERROR(TRIM(INDEX(COMPRAS!$I$2:$I$2001,MATCH(A710,COMPRAS!$L$2:$L$2001,0))),"(sem nome)")))</f>
        <v/>
      </c>
      <c r="C710" s="16" t="str">
        <f aca="false">IF(A710="","",SUMIFS(COMPRAS!$C$2:$C$2001,COMPRAS!$K$2:$K$2001,A710))</f>
        <v/>
      </c>
    </row>
    <row r="711" customFormat="false" ht="15" hidden="false" customHeight="false" outlineLevel="0" collapsed="false">
      <c r="A711" s="11" t="str">
        <f aca="false">IFERROR(INDEX(_AUX!$A$2:$A$3201,MATCH(ROW()-1,_AUX!$C$2:$C$3201,0)),"")</f>
        <v/>
      </c>
      <c r="B711" s="11" t="str">
        <f aca="false">IF(A711="","",IFERROR(INDEX(DECKS!$C$2:$C$1201,MATCH(A711,DECKS!$B$2:$B$1201,0)),IFERROR(TRIM(INDEX(COMPRAS!$I$2:$I$2001,MATCH(A711,COMPRAS!$L$2:$L$2001,0))),"(sem nome)")))</f>
        <v/>
      </c>
      <c r="C711" s="16" t="str">
        <f aca="false">IF(A711="","",SUMIFS(COMPRAS!$C$2:$C$2001,COMPRAS!$K$2:$K$2001,A711))</f>
        <v/>
      </c>
    </row>
    <row r="712" customFormat="false" ht="15" hidden="false" customHeight="false" outlineLevel="0" collapsed="false">
      <c r="A712" s="11" t="str">
        <f aca="false">IFERROR(INDEX(_AUX!$A$2:$A$3201,MATCH(ROW()-1,_AUX!$C$2:$C$3201,0)),"")</f>
        <v/>
      </c>
      <c r="B712" s="11" t="str">
        <f aca="false">IF(A712="","",IFERROR(INDEX(DECKS!$C$2:$C$1201,MATCH(A712,DECKS!$B$2:$B$1201,0)),IFERROR(TRIM(INDEX(COMPRAS!$I$2:$I$2001,MATCH(A712,COMPRAS!$L$2:$L$2001,0))),"(sem nome)")))</f>
        <v/>
      </c>
      <c r="C712" s="16" t="str">
        <f aca="false">IF(A712="","",SUMIFS(COMPRAS!$C$2:$C$2001,COMPRAS!$K$2:$K$2001,A712))</f>
        <v/>
      </c>
    </row>
    <row r="713" customFormat="false" ht="15" hidden="false" customHeight="false" outlineLevel="0" collapsed="false">
      <c r="A713" s="11" t="str">
        <f aca="false">IFERROR(INDEX(_AUX!$A$2:$A$3201,MATCH(ROW()-1,_AUX!$C$2:$C$3201,0)),"")</f>
        <v/>
      </c>
      <c r="B713" s="11" t="str">
        <f aca="false">IF(A713="","",IFERROR(INDEX(DECKS!$C$2:$C$1201,MATCH(A713,DECKS!$B$2:$B$1201,0)),IFERROR(TRIM(INDEX(COMPRAS!$I$2:$I$2001,MATCH(A713,COMPRAS!$L$2:$L$2001,0))),"(sem nome)")))</f>
        <v/>
      </c>
      <c r="C713" s="16" t="str">
        <f aca="false">IF(A713="","",SUMIFS(COMPRAS!$C$2:$C$2001,COMPRAS!$K$2:$K$2001,A713))</f>
        <v/>
      </c>
    </row>
    <row r="714" customFormat="false" ht="15" hidden="false" customHeight="false" outlineLevel="0" collapsed="false">
      <c r="A714" s="11" t="str">
        <f aca="false">IFERROR(INDEX(_AUX!$A$2:$A$3201,MATCH(ROW()-1,_AUX!$C$2:$C$3201,0)),"")</f>
        <v/>
      </c>
      <c r="B714" s="11" t="str">
        <f aca="false">IF(A714="","",IFERROR(INDEX(DECKS!$C$2:$C$1201,MATCH(A714,DECKS!$B$2:$B$1201,0)),IFERROR(TRIM(INDEX(COMPRAS!$I$2:$I$2001,MATCH(A714,COMPRAS!$L$2:$L$2001,0))),"(sem nome)")))</f>
        <v/>
      </c>
      <c r="C714" s="16" t="str">
        <f aca="false">IF(A714="","",SUMIFS(COMPRAS!$C$2:$C$2001,COMPRAS!$K$2:$K$2001,A714))</f>
        <v/>
      </c>
    </row>
    <row r="715" customFormat="false" ht="15" hidden="false" customHeight="false" outlineLevel="0" collapsed="false">
      <c r="A715" s="11" t="str">
        <f aca="false">IFERROR(INDEX(_AUX!$A$2:$A$3201,MATCH(ROW()-1,_AUX!$C$2:$C$3201,0)),"")</f>
        <v/>
      </c>
      <c r="B715" s="11" t="str">
        <f aca="false">IF(A715="","",IFERROR(INDEX(DECKS!$C$2:$C$1201,MATCH(A715,DECKS!$B$2:$B$1201,0)),IFERROR(TRIM(INDEX(COMPRAS!$I$2:$I$2001,MATCH(A715,COMPRAS!$L$2:$L$2001,0))),"(sem nome)")))</f>
        <v/>
      </c>
      <c r="C715" s="16" t="str">
        <f aca="false">IF(A715="","",SUMIFS(COMPRAS!$C$2:$C$2001,COMPRAS!$K$2:$K$2001,A715))</f>
        <v/>
      </c>
    </row>
    <row r="716" customFormat="false" ht="15" hidden="false" customHeight="false" outlineLevel="0" collapsed="false">
      <c r="A716" s="11" t="str">
        <f aca="false">IFERROR(INDEX(_AUX!$A$2:$A$3201,MATCH(ROW()-1,_AUX!$C$2:$C$3201,0)),"")</f>
        <v/>
      </c>
      <c r="B716" s="11" t="str">
        <f aca="false">IF(A716="","",IFERROR(INDEX(DECKS!$C$2:$C$1201,MATCH(A716,DECKS!$B$2:$B$1201,0)),IFERROR(TRIM(INDEX(COMPRAS!$I$2:$I$2001,MATCH(A716,COMPRAS!$L$2:$L$2001,0))),"(sem nome)")))</f>
        <v/>
      </c>
      <c r="C716" s="16" t="str">
        <f aca="false">IF(A716="","",SUMIFS(COMPRAS!$C$2:$C$2001,COMPRAS!$K$2:$K$2001,A716))</f>
        <v/>
      </c>
    </row>
    <row r="717" customFormat="false" ht="15" hidden="false" customHeight="false" outlineLevel="0" collapsed="false">
      <c r="A717" s="11" t="str">
        <f aca="false">IFERROR(INDEX(_AUX!$A$2:$A$3201,MATCH(ROW()-1,_AUX!$C$2:$C$3201,0)),"")</f>
        <v/>
      </c>
      <c r="B717" s="11" t="str">
        <f aca="false">IF(A717="","",IFERROR(INDEX(DECKS!$C$2:$C$1201,MATCH(A717,DECKS!$B$2:$B$1201,0)),IFERROR(TRIM(INDEX(COMPRAS!$I$2:$I$2001,MATCH(A717,COMPRAS!$L$2:$L$2001,0))),"(sem nome)")))</f>
        <v/>
      </c>
      <c r="C717" s="16" t="str">
        <f aca="false">IF(A717="","",SUMIFS(COMPRAS!$C$2:$C$2001,COMPRAS!$K$2:$K$2001,A717))</f>
        <v/>
      </c>
    </row>
    <row r="718" customFormat="false" ht="15" hidden="false" customHeight="false" outlineLevel="0" collapsed="false">
      <c r="A718" s="11" t="str">
        <f aca="false">IFERROR(INDEX(_AUX!$A$2:$A$3201,MATCH(ROW()-1,_AUX!$C$2:$C$3201,0)),"")</f>
        <v/>
      </c>
      <c r="B718" s="11" t="str">
        <f aca="false">IF(A718="","",IFERROR(INDEX(DECKS!$C$2:$C$1201,MATCH(A718,DECKS!$B$2:$B$1201,0)),IFERROR(TRIM(INDEX(COMPRAS!$I$2:$I$2001,MATCH(A718,COMPRAS!$L$2:$L$2001,0))),"(sem nome)")))</f>
        <v/>
      </c>
      <c r="C718" s="16" t="str">
        <f aca="false">IF(A718="","",SUMIFS(COMPRAS!$C$2:$C$2001,COMPRAS!$K$2:$K$2001,A718))</f>
        <v/>
      </c>
    </row>
    <row r="719" customFormat="false" ht="15" hidden="false" customHeight="false" outlineLevel="0" collapsed="false">
      <c r="A719" s="11" t="str">
        <f aca="false">IFERROR(INDEX(_AUX!$A$2:$A$3201,MATCH(ROW()-1,_AUX!$C$2:$C$3201,0)),"")</f>
        <v/>
      </c>
      <c r="B719" s="11" t="str">
        <f aca="false">IF(A719="","",IFERROR(INDEX(DECKS!$C$2:$C$1201,MATCH(A719,DECKS!$B$2:$B$1201,0)),IFERROR(TRIM(INDEX(COMPRAS!$I$2:$I$2001,MATCH(A719,COMPRAS!$L$2:$L$2001,0))),"(sem nome)")))</f>
        <v/>
      </c>
      <c r="C719" s="16" t="str">
        <f aca="false">IF(A719="","",SUMIFS(COMPRAS!$C$2:$C$2001,COMPRAS!$K$2:$K$2001,A719))</f>
        <v/>
      </c>
    </row>
    <row r="720" customFormat="false" ht="15" hidden="false" customHeight="false" outlineLevel="0" collapsed="false">
      <c r="A720" s="11" t="str">
        <f aca="false">IFERROR(INDEX(_AUX!$A$2:$A$3201,MATCH(ROW()-1,_AUX!$C$2:$C$3201,0)),"")</f>
        <v/>
      </c>
      <c r="B720" s="11" t="str">
        <f aca="false">IF(A720="","",IFERROR(INDEX(DECKS!$C$2:$C$1201,MATCH(A720,DECKS!$B$2:$B$1201,0)),IFERROR(TRIM(INDEX(COMPRAS!$I$2:$I$2001,MATCH(A720,COMPRAS!$L$2:$L$2001,0))),"(sem nome)")))</f>
        <v/>
      </c>
      <c r="C720" s="16" t="str">
        <f aca="false">IF(A720="","",SUMIFS(COMPRAS!$C$2:$C$2001,COMPRAS!$K$2:$K$2001,A720))</f>
        <v/>
      </c>
    </row>
    <row r="721" customFormat="false" ht="15" hidden="false" customHeight="false" outlineLevel="0" collapsed="false">
      <c r="A721" s="11" t="str">
        <f aca="false">IFERROR(INDEX(_AUX!$A$2:$A$3201,MATCH(ROW()-1,_AUX!$C$2:$C$3201,0)),"")</f>
        <v/>
      </c>
      <c r="B721" s="11" t="str">
        <f aca="false">IF(A721="","",IFERROR(INDEX(DECKS!$C$2:$C$1201,MATCH(A721,DECKS!$B$2:$B$1201,0)),IFERROR(TRIM(INDEX(COMPRAS!$I$2:$I$2001,MATCH(A721,COMPRAS!$L$2:$L$2001,0))),"(sem nome)")))</f>
        <v/>
      </c>
      <c r="C721" s="16" t="str">
        <f aca="false">IF(A721="","",SUMIFS(COMPRAS!$C$2:$C$2001,COMPRAS!$K$2:$K$2001,A721))</f>
        <v/>
      </c>
    </row>
    <row r="722" customFormat="false" ht="15" hidden="false" customHeight="false" outlineLevel="0" collapsed="false">
      <c r="A722" s="11" t="str">
        <f aca="false">IFERROR(INDEX(_AUX!$A$2:$A$3201,MATCH(ROW()-1,_AUX!$C$2:$C$3201,0)),"")</f>
        <v/>
      </c>
      <c r="B722" s="11" t="str">
        <f aca="false">IF(A722="","",IFERROR(INDEX(DECKS!$C$2:$C$1201,MATCH(A722,DECKS!$B$2:$B$1201,0)),IFERROR(TRIM(INDEX(COMPRAS!$I$2:$I$2001,MATCH(A722,COMPRAS!$L$2:$L$2001,0))),"(sem nome)")))</f>
        <v/>
      </c>
      <c r="C722" s="16" t="str">
        <f aca="false">IF(A722="","",SUMIFS(COMPRAS!$C$2:$C$2001,COMPRAS!$K$2:$K$2001,A722))</f>
        <v/>
      </c>
    </row>
    <row r="723" customFormat="false" ht="15" hidden="false" customHeight="false" outlineLevel="0" collapsed="false">
      <c r="A723" s="11" t="str">
        <f aca="false">IFERROR(INDEX(_AUX!$A$2:$A$3201,MATCH(ROW()-1,_AUX!$C$2:$C$3201,0)),"")</f>
        <v/>
      </c>
      <c r="B723" s="11" t="str">
        <f aca="false">IF(A723="","",IFERROR(INDEX(DECKS!$C$2:$C$1201,MATCH(A723,DECKS!$B$2:$B$1201,0)),IFERROR(TRIM(INDEX(COMPRAS!$I$2:$I$2001,MATCH(A723,COMPRAS!$L$2:$L$2001,0))),"(sem nome)")))</f>
        <v/>
      </c>
      <c r="C723" s="16" t="str">
        <f aca="false">IF(A723="","",SUMIFS(COMPRAS!$C$2:$C$2001,COMPRAS!$K$2:$K$2001,A723))</f>
        <v/>
      </c>
    </row>
    <row r="724" customFormat="false" ht="15" hidden="false" customHeight="false" outlineLevel="0" collapsed="false">
      <c r="A724" s="11" t="str">
        <f aca="false">IFERROR(INDEX(_AUX!$A$2:$A$3201,MATCH(ROW()-1,_AUX!$C$2:$C$3201,0)),"")</f>
        <v/>
      </c>
      <c r="B724" s="11" t="str">
        <f aca="false">IF(A724="","",IFERROR(INDEX(DECKS!$C$2:$C$1201,MATCH(A724,DECKS!$B$2:$B$1201,0)),IFERROR(TRIM(INDEX(COMPRAS!$I$2:$I$2001,MATCH(A724,COMPRAS!$L$2:$L$2001,0))),"(sem nome)")))</f>
        <v/>
      </c>
      <c r="C724" s="16" t="str">
        <f aca="false">IF(A724="","",SUMIFS(COMPRAS!$C$2:$C$2001,COMPRAS!$K$2:$K$2001,A724))</f>
        <v/>
      </c>
    </row>
    <row r="725" customFormat="false" ht="15" hidden="false" customHeight="false" outlineLevel="0" collapsed="false">
      <c r="A725" s="11" t="str">
        <f aca="false">IFERROR(INDEX(_AUX!$A$2:$A$3201,MATCH(ROW()-1,_AUX!$C$2:$C$3201,0)),"")</f>
        <v/>
      </c>
      <c r="B725" s="11" t="str">
        <f aca="false">IF(A725="","",IFERROR(INDEX(DECKS!$C$2:$C$1201,MATCH(A725,DECKS!$B$2:$B$1201,0)),IFERROR(TRIM(INDEX(COMPRAS!$I$2:$I$2001,MATCH(A725,COMPRAS!$L$2:$L$2001,0))),"(sem nome)")))</f>
        <v/>
      </c>
      <c r="C725" s="16" t="str">
        <f aca="false">IF(A725="","",SUMIFS(COMPRAS!$C$2:$C$2001,COMPRAS!$K$2:$K$2001,A725))</f>
        <v/>
      </c>
    </row>
    <row r="726" customFormat="false" ht="15" hidden="false" customHeight="false" outlineLevel="0" collapsed="false">
      <c r="A726" s="11" t="str">
        <f aca="false">IFERROR(INDEX(_AUX!$A$2:$A$3201,MATCH(ROW()-1,_AUX!$C$2:$C$3201,0)),"")</f>
        <v/>
      </c>
      <c r="B726" s="11" t="str">
        <f aca="false">IF(A726="","",IFERROR(INDEX(DECKS!$C$2:$C$1201,MATCH(A726,DECKS!$B$2:$B$1201,0)),IFERROR(TRIM(INDEX(COMPRAS!$I$2:$I$2001,MATCH(A726,COMPRAS!$L$2:$L$2001,0))),"(sem nome)")))</f>
        <v/>
      </c>
      <c r="C726" s="16" t="str">
        <f aca="false">IF(A726="","",SUMIFS(COMPRAS!$C$2:$C$2001,COMPRAS!$K$2:$K$2001,A726))</f>
        <v/>
      </c>
    </row>
    <row r="727" customFormat="false" ht="15" hidden="false" customHeight="false" outlineLevel="0" collapsed="false">
      <c r="A727" s="11" t="str">
        <f aca="false">IFERROR(INDEX(_AUX!$A$2:$A$3201,MATCH(ROW()-1,_AUX!$C$2:$C$3201,0)),"")</f>
        <v/>
      </c>
      <c r="B727" s="11" t="str">
        <f aca="false">IF(A727="","",IFERROR(INDEX(DECKS!$C$2:$C$1201,MATCH(A727,DECKS!$B$2:$B$1201,0)),IFERROR(TRIM(INDEX(COMPRAS!$I$2:$I$2001,MATCH(A727,COMPRAS!$L$2:$L$2001,0))),"(sem nome)")))</f>
        <v/>
      </c>
      <c r="C727" s="16" t="str">
        <f aca="false">IF(A727="","",SUMIFS(COMPRAS!$C$2:$C$2001,COMPRAS!$K$2:$K$2001,A727))</f>
        <v/>
      </c>
    </row>
    <row r="728" customFormat="false" ht="15" hidden="false" customHeight="false" outlineLevel="0" collapsed="false">
      <c r="A728" s="11" t="str">
        <f aca="false">IFERROR(INDEX(_AUX!$A$2:$A$3201,MATCH(ROW()-1,_AUX!$C$2:$C$3201,0)),"")</f>
        <v/>
      </c>
      <c r="B728" s="11" t="str">
        <f aca="false">IF(A728="","",IFERROR(INDEX(DECKS!$C$2:$C$1201,MATCH(A728,DECKS!$B$2:$B$1201,0)),IFERROR(TRIM(INDEX(COMPRAS!$I$2:$I$2001,MATCH(A728,COMPRAS!$L$2:$L$2001,0))),"(sem nome)")))</f>
        <v/>
      </c>
      <c r="C728" s="16" t="str">
        <f aca="false">IF(A728="","",SUMIFS(COMPRAS!$C$2:$C$2001,COMPRAS!$K$2:$K$2001,A728))</f>
        <v/>
      </c>
    </row>
    <row r="729" customFormat="false" ht="15" hidden="false" customHeight="false" outlineLevel="0" collapsed="false">
      <c r="A729" s="11" t="str">
        <f aca="false">IFERROR(INDEX(_AUX!$A$2:$A$3201,MATCH(ROW()-1,_AUX!$C$2:$C$3201,0)),"")</f>
        <v/>
      </c>
      <c r="B729" s="11" t="str">
        <f aca="false">IF(A729="","",IFERROR(INDEX(DECKS!$C$2:$C$1201,MATCH(A729,DECKS!$B$2:$B$1201,0)),IFERROR(TRIM(INDEX(COMPRAS!$I$2:$I$2001,MATCH(A729,COMPRAS!$L$2:$L$2001,0))),"(sem nome)")))</f>
        <v/>
      </c>
      <c r="C729" s="16" t="str">
        <f aca="false">IF(A729="","",SUMIFS(COMPRAS!$C$2:$C$2001,COMPRAS!$K$2:$K$2001,A729))</f>
        <v/>
      </c>
    </row>
    <row r="730" customFormat="false" ht="15" hidden="false" customHeight="false" outlineLevel="0" collapsed="false">
      <c r="A730" s="11" t="str">
        <f aca="false">IFERROR(INDEX(_AUX!$A$2:$A$3201,MATCH(ROW()-1,_AUX!$C$2:$C$3201,0)),"")</f>
        <v/>
      </c>
      <c r="B730" s="11" t="str">
        <f aca="false">IF(A730="","",IFERROR(INDEX(DECKS!$C$2:$C$1201,MATCH(A730,DECKS!$B$2:$B$1201,0)),IFERROR(TRIM(INDEX(COMPRAS!$I$2:$I$2001,MATCH(A730,COMPRAS!$L$2:$L$2001,0))),"(sem nome)")))</f>
        <v/>
      </c>
      <c r="C730" s="16" t="str">
        <f aca="false">IF(A730="","",SUMIFS(COMPRAS!$C$2:$C$2001,COMPRAS!$K$2:$K$2001,A730))</f>
        <v/>
      </c>
    </row>
    <row r="731" customFormat="false" ht="15" hidden="false" customHeight="false" outlineLevel="0" collapsed="false">
      <c r="A731" s="11" t="str">
        <f aca="false">IFERROR(INDEX(_AUX!$A$2:$A$3201,MATCH(ROW()-1,_AUX!$C$2:$C$3201,0)),"")</f>
        <v/>
      </c>
      <c r="B731" s="11" t="str">
        <f aca="false">IF(A731="","",IFERROR(INDEX(DECKS!$C$2:$C$1201,MATCH(A731,DECKS!$B$2:$B$1201,0)),IFERROR(TRIM(INDEX(COMPRAS!$I$2:$I$2001,MATCH(A731,COMPRAS!$L$2:$L$2001,0))),"(sem nome)")))</f>
        <v/>
      </c>
      <c r="C731" s="16" t="str">
        <f aca="false">IF(A731="","",SUMIFS(COMPRAS!$C$2:$C$2001,COMPRAS!$K$2:$K$2001,A731))</f>
        <v/>
      </c>
    </row>
    <row r="732" customFormat="false" ht="15" hidden="false" customHeight="false" outlineLevel="0" collapsed="false">
      <c r="A732" s="11" t="str">
        <f aca="false">IFERROR(INDEX(_AUX!$A$2:$A$3201,MATCH(ROW()-1,_AUX!$C$2:$C$3201,0)),"")</f>
        <v/>
      </c>
      <c r="B732" s="11" t="str">
        <f aca="false">IF(A732="","",IFERROR(INDEX(DECKS!$C$2:$C$1201,MATCH(A732,DECKS!$B$2:$B$1201,0)),IFERROR(TRIM(INDEX(COMPRAS!$I$2:$I$2001,MATCH(A732,COMPRAS!$L$2:$L$2001,0))),"(sem nome)")))</f>
        <v/>
      </c>
      <c r="C732" s="16" t="str">
        <f aca="false">IF(A732="","",SUMIFS(COMPRAS!$C$2:$C$2001,COMPRAS!$K$2:$K$2001,A732))</f>
        <v/>
      </c>
    </row>
    <row r="733" customFormat="false" ht="15" hidden="false" customHeight="false" outlineLevel="0" collapsed="false">
      <c r="A733" s="11" t="str">
        <f aca="false">IFERROR(INDEX(_AUX!$A$2:$A$3201,MATCH(ROW()-1,_AUX!$C$2:$C$3201,0)),"")</f>
        <v/>
      </c>
      <c r="B733" s="11" t="str">
        <f aca="false">IF(A733="","",IFERROR(INDEX(DECKS!$C$2:$C$1201,MATCH(A733,DECKS!$B$2:$B$1201,0)),IFERROR(TRIM(INDEX(COMPRAS!$I$2:$I$2001,MATCH(A733,COMPRAS!$L$2:$L$2001,0))),"(sem nome)")))</f>
        <v/>
      </c>
      <c r="C733" s="16" t="str">
        <f aca="false">IF(A733="","",SUMIFS(COMPRAS!$C$2:$C$2001,COMPRAS!$K$2:$K$2001,A733))</f>
        <v/>
      </c>
    </row>
    <row r="734" customFormat="false" ht="15" hidden="false" customHeight="false" outlineLevel="0" collapsed="false">
      <c r="A734" s="11" t="str">
        <f aca="false">IFERROR(INDEX(_AUX!$A$2:$A$3201,MATCH(ROW()-1,_AUX!$C$2:$C$3201,0)),"")</f>
        <v/>
      </c>
      <c r="B734" s="11" t="str">
        <f aca="false">IF(A734="","",IFERROR(INDEX(DECKS!$C$2:$C$1201,MATCH(A734,DECKS!$B$2:$B$1201,0)),IFERROR(TRIM(INDEX(COMPRAS!$I$2:$I$2001,MATCH(A734,COMPRAS!$L$2:$L$2001,0))),"(sem nome)")))</f>
        <v/>
      </c>
      <c r="C734" s="16" t="str">
        <f aca="false">IF(A734="","",SUMIFS(COMPRAS!$C$2:$C$2001,COMPRAS!$K$2:$K$2001,A734))</f>
        <v/>
      </c>
    </row>
    <row r="735" customFormat="false" ht="15" hidden="false" customHeight="false" outlineLevel="0" collapsed="false">
      <c r="A735" s="11" t="str">
        <f aca="false">IFERROR(INDEX(_AUX!$A$2:$A$3201,MATCH(ROW()-1,_AUX!$C$2:$C$3201,0)),"")</f>
        <v/>
      </c>
      <c r="B735" s="11" t="str">
        <f aca="false">IF(A735="","",IFERROR(INDEX(DECKS!$C$2:$C$1201,MATCH(A735,DECKS!$B$2:$B$1201,0)),IFERROR(TRIM(INDEX(COMPRAS!$I$2:$I$2001,MATCH(A735,COMPRAS!$L$2:$L$2001,0))),"(sem nome)")))</f>
        <v/>
      </c>
      <c r="C735" s="16" t="str">
        <f aca="false">IF(A735="","",SUMIFS(COMPRAS!$C$2:$C$2001,COMPRAS!$K$2:$K$2001,A735))</f>
        <v/>
      </c>
    </row>
    <row r="736" customFormat="false" ht="15" hidden="false" customHeight="false" outlineLevel="0" collapsed="false">
      <c r="A736" s="11" t="str">
        <f aca="false">IFERROR(INDEX(_AUX!$A$2:$A$3201,MATCH(ROW()-1,_AUX!$C$2:$C$3201,0)),"")</f>
        <v/>
      </c>
      <c r="B736" s="11" t="str">
        <f aca="false">IF(A736="","",IFERROR(INDEX(DECKS!$C$2:$C$1201,MATCH(A736,DECKS!$B$2:$B$1201,0)),IFERROR(TRIM(INDEX(COMPRAS!$I$2:$I$2001,MATCH(A736,COMPRAS!$L$2:$L$2001,0))),"(sem nome)")))</f>
        <v/>
      </c>
      <c r="C736" s="16" t="str">
        <f aca="false">IF(A736="","",SUMIFS(COMPRAS!$C$2:$C$2001,COMPRAS!$K$2:$K$2001,A736))</f>
        <v/>
      </c>
    </row>
    <row r="737" customFormat="false" ht="15" hidden="false" customHeight="false" outlineLevel="0" collapsed="false">
      <c r="A737" s="11" t="str">
        <f aca="false">IFERROR(INDEX(_AUX!$A$2:$A$3201,MATCH(ROW()-1,_AUX!$C$2:$C$3201,0)),"")</f>
        <v/>
      </c>
      <c r="B737" s="11" t="str">
        <f aca="false">IF(A737="","",IFERROR(INDEX(DECKS!$C$2:$C$1201,MATCH(A737,DECKS!$B$2:$B$1201,0)),IFERROR(TRIM(INDEX(COMPRAS!$I$2:$I$2001,MATCH(A737,COMPRAS!$L$2:$L$2001,0))),"(sem nome)")))</f>
        <v/>
      </c>
      <c r="C737" s="16" t="str">
        <f aca="false">IF(A737="","",SUMIFS(COMPRAS!$C$2:$C$2001,COMPRAS!$K$2:$K$2001,A737))</f>
        <v/>
      </c>
    </row>
    <row r="738" customFormat="false" ht="15" hidden="false" customHeight="false" outlineLevel="0" collapsed="false">
      <c r="A738" s="11" t="str">
        <f aca="false">IFERROR(INDEX(_AUX!$A$2:$A$3201,MATCH(ROW()-1,_AUX!$C$2:$C$3201,0)),"")</f>
        <v/>
      </c>
      <c r="B738" s="11" t="str">
        <f aca="false">IF(A738="","",IFERROR(INDEX(DECKS!$C$2:$C$1201,MATCH(A738,DECKS!$B$2:$B$1201,0)),IFERROR(TRIM(INDEX(COMPRAS!$I$2:$I$2001,MATCH(A738,COMPRAS!$L$2:$L$2001,0))),"(sem nome)")))</f>
        <v/>
      </c>
      <c r="C738" s="16" t="str">
        <f aca="false">IF(A738="","",SUMIFS(COMPRAS!$C$2:$C$2001,COMPRAS!$K$2:$K$2001,A738))</f>
        <v/>
      </c>
    </row>
    <row r="739" customFormat="false" ht="15" hidden="false" customHeight="false" outlineLevel="0" collapsed="false">
      <c r="A739" s="11" t="str">
        <f aca="false">IFERROR(INDEX(_AUX!$A$2:$A$3201,MATCH(ROW()-1,_AUX!$C$2:$C$3201,0)),"")</f>
        <v/>
      </c>
      <c r="B739" s="11" t="str">
        <f aca="false">IF(A739="","",IFERROR(INDEX(DECKS!$C$2:$C$1201,MATCH(A739,DECKS!$B$2:$B$1201,0)),IFERROR(TRIM(INDEX(COMPRAS!$I$2:$I$2001,MATCH(A739,COMPRAS!$L$2:$L$2001,0))),"(sem nome)")))</f>
        <v/>
      </c>
      <c r="C739" s="16" t="str">
        <f aca="false">IF(A739="","",SUMIFS(COMPRAS!$C$2:$C$2001,COMPRAS!$K$2:$K$2001,A739))</f>
        <v/>
      </c>
    </row>
    <row r="740" customFormat="false" ht="15" hidden="false" customHeight="false" outlineLevel="0" collapsed="false">
      <c r="A740" s="11" t="str">
        <f aca="false">IFERROR(INDEX(_AUX!$A$2:$A$3201,MATCH(ROW()-1,_AUX!$C$2:$C$3201,0)),"")</f>
        <v/>
      </c>
      <c r="B740" s="11" t="str">
        <f aca="false">IF(A740="","",IFERROR(INDEX(DECKS!$C$2:$C$1201,MATCH(A740,DECKS!$B$2:$B$1201,0)),IFERROR(TRIM(INDEX(COMPRAS!$I$2:$I$2001,MATCH(A740,COMPRAS!$L$2:$L$2001,0))),"(sem nome)")))</f>
        <v/>
      </c>
      <c r="C740" s="16" t="str">
        <f aca="false">IF(A740="","",SUMIFS(COMPRAS!$C$2:$C$2001,COMPRAS!$K$2:$K$2001,A740))</f>
        <v/>
      </c>
    </row>
    <row r="741" customFormat="false" ht="15" hidden="false" customHeight="false" outlineLevel="0" collapsed="false">
      <c r="A741" s="11" t="str">
        <f aca="false">IFERROR(INDEX(_AUX!$A$2:$A$3201,MATCH(ROW()-1,_AUX!$C$2:$C$3201,0)),"")</f>
        <v/>
      </c>
      <c r="B741" s="11" t="str">
        <f aca="false">IF(A741="","",IFERROR(INDEX(DECKS!$C$2:$C$1201,MATCH(A741,DECKS!$B$2:$B$1201,0)),IFERROR(TRIM(INDEX(COMPRAS!$I$2:$I$2001,MATCH(A741,COMPRAS!$L$2:$L$2001,0))),"(sem nome)")))</f>
        <v/>
      </c>
      <c r="C741" s="16" t="str">
        <f aca="false">IF(A741="","",SUMIFS(COMPRAS!$C$2:$C$2001,COMPRAS!$K$2:$K$2001,A741))</f>
        <v/>
      </c>
    </row>
    <row r="742" customFormat="false" ht="15" hidden="false" customHeight="false" outlineLevel="0" collapsed="false">
      <c r="A742" s="11" t="str">
        <f aca="false">IFERROR(INDEX(_AUX!$A$2:$A$3201,MATCH(ROW()-1,_AUX!$C$2:$C$3201,0)),"")</f>
        <v/>
      </c>
      <c r="B742" s="11" t="str">
        <f aca="false">IF(A742="","",IFERROR(INDEX(DECKS!$C$2:$C$1201,MATCH(A742,DECKS!$B$2:$B$1201,0)),IFERROR(TRIM(INDEX(COMPRAS!$I$2:$I$2001,MATCH(A742,COMPRAS!$L$2:$L$2001,0))),"(sem nome)")))</f>
        <v/>
      </c>
      <c r="C742" s="16" t="str">
        <f aca="false">IF(A742="","",SUMIFS(COMPRAS!$C$2:$C$2001,COMPRAS!$K$2:$K$2001,A742))</f>
        <v/>
      </c>
    </row>
    <row r="743" customFormat="false" ht="15" hidden="false" customHeight="false" outlineLevel="0" collapsed="false">
      <c r="A743" s="11" t="str">
        <f aca="false">IFERROR(INDEX(_AUX!$A$2:$A$3201,MATCH(ROW()-1,_AUX!$C$2:$C$3201,0)),"")</f>
        <v/>
      </c>
      <c r="B743" s="11" t="str">
        <f aca="false">IF(A743="","",IFERROR(INDEX(DECKS!$C$2:$C$1201,MATCH(A743,DECKS!$B$2:$B$1201,0)),IFERROR(TRIM(INDEX(COMPRAS!$I$2:$I$2001,MATCH(A743,COMPRAS!$L$2:$L$2001,0))),"(sem nome)")))</f>
        <v/>
      </c>
      <c r="C743" s="16" t="str">
        <f aca="false">IF(A743="","",SUMIFS(COMPRAS!$C$2:$C$2001,COMPRAS!$K$2:$K$2001,A743))</f>
        <v/>
      </c>
    </row>
    <row r="744" customFormat="false" ht="15" hidden="false" customHeight="false" outlineLevel="0" collapsed="false">
      <c r="A744" s="11" t="str">
        <f aca="false">IFERROR(INDEX(_AUX!$A$2:$A$3201,MATCH(ROW()-1,_AUX!$C$2:$C$3201,0)),"")</f>
        <v/>
      </c>
      <c r="B744" s="11" t="str">
        <f aca="false">IF(A744="","",IFERROR(INDEX(DECKS!$C$2:$C$1201,MATCH(A744,DECKS!$B$2:$B$1201,0)),IFERROR(TRIM(INDEX(COMPRAS!$I$2:$I$2001,MATCH(A744,COMPRAS!$L$2:$L$2001,0))),"(sem nome)")))</f>
        <v/>
      </c>
      <c r="C744" s="16" t="str">
        <f aca="false">IF(A744="","",SUMIFS(COMPRAS!$C$2:$C$2001,COMPRAS!$K$2:$K$2001,A744))</f>
        <v/>
      </c>
    </row>
    <row r="745" customFormat="false" ht="15" hidden="false" customHeight="false" outlineLevel="0" collapsed="false">
      <c r="A745" s="11" t="str">
        <f aca="false">IFERROR(INDEX(_AUX!$A$2:$A$3201,MATCH(ROW()-1,_AUX!$C$2:$C$3201,0)),"")</f>
        <v/>
      </c>
      <c r="B745" s="11" t="str">
        <f aca="false">IF(A745="","",IFERROR(INDEX(DECKS!$C$2:$C$1201,MATCH(A745,DECKS!$B$2:$B$1201,0)),IFERROR(TRIM(INDEX(COMPRAS!$I$2:$I$2001,MATCH(A745,COMPRAS!$L$2:$L$2001,0))),"(sem nome)")))</f>
        <v/>
      </c>
      <c r="C745" s="16" t="str">
        <f aca="false">IF(A745="","",SUMIFS(COMPRAS!$C$2:$C$2001,COMPRAS!$K$2:$K$2001,A745))</f>
        <v/>
      </c>
    </row>
    <row r="746" customFormat="false" ht="15" hidden="false" customHeight="false" outlineLevel="0" collapsed="false">
      <c r="A746" s="11" t="str">
        <f aca="false">IFERROR(INDEX(_AUX!$A$2:$A$3201,MATCH(ROW()-1,_AUX!$C$2:$C$3201,0)),"")</f>
        <v/>
      </c>
      <c r="B746" s="11" t="str">
        <f aca="false">IF(A746="","",IFERROR(INDEX(DECKS!$C$2:$C$1201,MATCH(A746,DECKS!$B$2:$B$1201,0)),IFERROR(TRIM(INDEX(COMPRAS!$I$2:$I$2001,MATCH(A746,COMPRAS!$L$2:$L$2001,0))),"(sem nome)")))</f>
        <v/>
      </c>
      <c r="C746" s="16" t="str">
        <f aca="false">IF(A746="","",SUMIFS(COMPRAS!$C$2:$C$2001,COMPRAS!$K$2:$K$2001,A746))</f>
        <v/>
      </c>
    </row>
    <row r="747" customFormat="false" ht="15" hidden="false" customHeight="false" outlineLevel="0" collapsed="false">
      <c r="A747" s="11" t="str">
        <f aca="false">IFERROR(INDEX(_AUX!$A$2:$A$3201,MATCH(ROW()-1,_AUX!$C$2:$C$3201,0)),"")</f>
        <v/>
      </c>
      <c r="B747" s="11" t="str">
        <f aca="false">IF(A747="","",IFERROR(INDEX(DECKS!$C$2:$C$1201,MATCH(A747,DECKS!$B$2:$B$1201,0)),IFERROR(TRIM(INDEX(COMPRAS!$I$2:$I$2001,MATCH(A747,COMPRAS!$L$2:$L$2001,0))),"(sem nome)")))</f>
        <v/>
      </c>
      <c r="C747" s="16" t="str">
        <f aca="false">IF(A747="","",SUMIFS(COMPRAS!$C$2:$C$2001,COMPRAS!$K$2:$K$2001,A747))</f>
        <v/>
      </c>
    </row>
    <row r="748" customFormat="false" ht="15" hidden="false" customHeight="false" outlineLevel="0" collapsed="false">
      <c r="A748" s="11" t="str">
        <f aca="false">IFERROR(INDEX(_AUX!$A$2:$A$3201,MATCH(ROW()-1,_AUX!$C$2:$C$3201,0)),"")</f>
        <v/>
      </c>
      <c r="B748" s="11" t="str">
        <f aca="false">IF(A748="","",IFERROR(INDEX(DECKS!$C$2:$C$1201,MATCH(A748,DECKS!$B$2:$B$1201,0)),IFERROR(TRIM(INDEX(COMPRAS!$I$2:$I$2001,MATCH(A748,COMPRAS!$L$2:$L$2001,0))),"(sem nome)")))</f>
        <v/>
      </c>
      <c r="C748" s="16" t="str">
        <f aca="false">IF(A748="","",SUMIFS(COMPRAS!$C$2:$C$2001,COMPRAS!$K$2:$K$2001,A748))</f>
        <v/>
      </c>
    </row>
    <row r="749" customFormat="false" ht="15" hidden="false" customHeight="false" outlineLevel="0" collapsed="false">
      <c r="A749" s="11" t="str">
        <f aca="false">IFERROR(INDEX(_AUX!$A$2:$A$3201,MATCH(ROW()-1,_AUX!$C$2:$C$3201,0)),"")</f>
        <v/>
      </c>
      <c r="B749" s="11" t="str">
        <f aca="false">IF(A749="","",IFERROR(INDEX(DECKS!$C$2:$C$1201,MATCH(A749,DECKS!$B$2:$B$1201,0)),IFERROR(TRIM(INDEX(COMPRAS!$I$2:$I$2001,MATCH(A749,COMPRAS!$L$2:$L$2001,0))),"(sem nome)")))</f>
        <v/>
      </c>
      <c r="C749" s="16" t="str">
        <f aca="false">IF(A749="","",SUMIFS(COMPRAS!$C$2:$C$2001,COMPRAS!$K$2:$K$2001,A749))</f>
        <v/>
      </c>
    </row>
    <row r="750" customFormat="false" ht="15" hidden="false" customHeight="false" outlineLevel="0" collapsed="false">
      <c r="A750" s="11" t="str">
        <f aca="false">IFERROR(INDEX(_AUX!$A$2:$A$3201,MATCH(ROW()-1,_AUX!$C$2:$C$3201,0)),"")</f>
        <v/>
      </c>
      <c r="B750" s="11" t="str">
        <f aca="false">IF(A750="","",IFERROR(INDEX(DECKS!$C$2:$C$1201,MATCH(A750,DECKS!$B$2:$B$1201,0)),IFERROR(TRIM(INDEX(COMPRAS!$I$2:$I$2001,MATCH(A750,COMPRAS!$L$2:$L$2001,0))),"(sem nome)")))</f>
        <v/>
      </c>
      <c r="C750" s="16" t="str">
        <f aca="false">IF(A750="","",SUMIFS(COMPRAS!$C$2:$C$2001,COMPRAS!$K$2:$K$2001,A750))</f>
        <v/>
      </c>
    </row>
    <row r="751" customFormat="false" ht="15" hidden="false" customHeight="false" outlineLevel="0" collapsed="false">
      <c r="A751" s="11" t="str">
        <f aca="false">IFERROR(INDEX(_AUX!$A$2:$A$3201,MATCH(ROW()-1,_AUX!$C$2:$C$3201,0)),"")</f>
        <v/>
      </c>
      <c r="B751" s="11" t="str">
        <f aca="false">IF(A751="","",IFERROR(INDEX(DECKS!$C$2:$C$1201,MATCH(A751,DECKS!$B$2:$B$1201,0)),IFERROR(TRIM(INDEX(COMPRAS!$I$2:$I$2001,MATCH(A751,COMPRAS!$L$2:$L$2001,0))),"(sem nome)")))</f>
        <v/>
      </c>
      <c r="C751" s="16" t="str">
        <f aca="false">IF(A751="","",SUMIFS(COMPRAS!$C$2:$C$2001,COMPRAS!$K$2:$K$2001,A751))</f>
        <v/>
      </c>
    </row>
    <row r="752" customFormat="false" ht="15" hidden="false" customHeight="false" outlineLevel="0" collapsed="false">
      <c r="A752" s="11" t="str">
        <f aca="false">IFERROR(INDEX(_AUX!$A$2:$A$3201,MATCH(ROW()-1,_AUX!$C$2:$C$3201,0)),"")</f>
        <v/>
      </c>
      <c r="B752" s="11" t="str">
        <f aca="false">IF(A752="","",IFERROR(INDEX(DECKS!$C$2:$C$1201,MATCH(A752,DECKS!$B$2:$B$1201,0)),IFERROR(TRIM(INDEX(COMPRAS!$I$2:$I$2001,MATCH(A752,COMPRAS!$L$2:$L$2001,0))),"(sem nome)")))</f>
        <v/>
      </c>
      <c r="C752" s="16" t="str">
        <f aca="false">IF(A752="","",SUMIFS(COMPRAS!$C$2:$C$2001,COMPRAS!$K$2:$K$2001,A752))</f>
        <v/>
      </c>
    </row>
    <row r="753" customFormat="false" ht="15" hidden="false" customHeight="false" outlineLevel="0" collapsed="false">
      <c r="A753" s="11" t="str">
        <f aca="false">IFERROR(INDEX(_AUX!$A$2:$A$3201,MATCH(ROW()-1,_AUX!$C$2:$C$3201,0)),"")</f>
        <v/>
      </c>
      <c r="B753" s="11" t="str">
        <f aca="false">IF(A753="","",IFERROR(INDEX(DECKS!$C$2:$C$1201,MATCH(A753,DECKS!$B$2:$B$1201,0)),IFERROR(TRIM(INDEX(COMPRAS!$I$2:$I$2001,MATCH(A753,COMPRAS!$L$2:$L$2001,0))),"(sem nome)")))</f>
        <v/>
      </c>
      <c r="C753" s="16" t="str">
        <f aca="false">IF(A753="","",SUMIFS(COMPRAS!$C$2:$C$2001,COMPRAS!$K$2:$K$2001,A753))</f>
        <v/>
      </c>
    </row>
    <row r="754" customFormat="false" ht="15" hidden="false" customHeight="false" outlineLevel="0" collapsed="false">
      <c r="A754" s="11" t="str">
        <f aca="false">IFERROR(INDEX(_AUX!$A$2:$A$3201,MATCH(ROW()-1,_AUX!$C$2:$C$3201,0)),"")</f>
        <v/>
      </c>
      <c r="B754" s="11" t="str">
        <f aca="false">IF(A754="","",IFERROR(INDEX(DECKS!$C$2:$C$1201,MATCH(A754,DECKS!$B$2:$B$1201,0)),IFERROR(TRIM(INDEX(COMPRAS!$I$2:$I$2001,MATCH(A754,COMPRAS!$L$2:$L$2001,0))),"(sem nome)")))</f>
        <v/>
      </c>
      <c r="C754" s="16" t="str">
        <f aca="false">IF(A754="","",SUMIFS(COMPRAS!$C$2:$C$2001,COMPRAS!$K$2:$K$2001,A754))</f>
        <v/>
      </c>
    </row>
    <row r="755" customFormat="false" ht="15" hidden="false" customHeight="false" outlineLevel="0" collapsed="false">
      <c r="A755" s="11" t="str">
        <f aca="false">IFERROR(INDEX(_AUX!$A$2:$A$3201,MATCH(ROW()-1,_AUX!$C$2:$C$3201,0)),"")</f>
        <v/>
      </c>
      <c r="B755" s="11" t="str">
        <f aca="false">IF(A755="","",IFERROR(INDEX(DECKS!$C$2:$C$1201,MATCH(A755,DECKS!$B$2:$B$1201,0)),IFERROR(TRIM(INDEX(COMPRAS!$I$2:$I$2001,MATCH(A755,COMPRAS!$L$2:$L$2001,0))),"(sem nome)")))</f>
        <v/>
      </c>
      <c r="C755" s="16" t="str">
        <f aca="false">IF(A755="","",SUMIFS(COMPRAS!$C$2:$C$2001,COMPRAS!$K$2:$K$2001,A755))</f>
        <v/>
      </c>
    </row>
    <row r="756" customFormat="false" ht="15" hidden="false" customHeight="false" outlineLevel="0" collapsed="false">
      <c r="A756" s="11" t="str">
        <f aca="false">IFERROR(INDEX(_AUX!$A$2:$A$3201,MATCH(ROW()-1,_AUX!$C$2:$C$3201,0)),"")</f>
        <v/>
      </c>
      <c r="B756" s="11" t="str">
        <f aca="false">IF(A756="","",IFERROR(INDEX(DECKS!$C$2:$C$1201,MATCH(A756,DECKS!$B$2:$B$1201,0)),IFERROR(TRIM(INDEX(COMPRAS!$I$2:$I$2001,MATCH(A756,COMPRAS!$L$2:$L$2001,0))),"(sem nome)")))</f>
        <v/>
      </c>
      <c r="C756" s="16" t="str">
        <f aca="false">IF(A756="","",SUMIFS(COMPRAS!$C$2:$C$2001,COMPRAS!$K$2:$K$2001,A756))</f>
        <v/>
      </c>
    </row>
    <row r="757" customFormat="false" ht="15" hidden="false" customHeight="false" outlineLevel="0" collapsed="false">
      <c r="A757" s="11" t="str">
        <f aca="false">IFERROR(INDEX(_AUX!$A$2:$A$3201,MATCH(ROW()-1,_AUX!$C$2:$C$3201,0)),"")</f>
        <v/>
      </c>
      <c r="B757" s="11" t="str">
        <f aca="false">IF(A757="","",IFERROR(INDEX(DECKS!$C$2:$C$1201,MATCH(A757,DECKS!$B$2:$B$1201,0)),IFERROR(TRIM(INDEX(COMPRAS!$I$2:$I$2001,MATCH(A757,COMPRAS!$L$2:$L$2001,0))),"(sem nome)")))</f>
        <v/>
      </c>
      <c r="C757" s="16" t="str">
        <f aca="false">IF(A757="","",SUMIFS(COMPRAS!$C$2:$C$2001,COMPRAS!$K$2:$K$2001,A757))</f>
        <v/>
      </c>
    </row>
    <row r="758" customFormat="false" ht="15" hidden="false" customHeight="false" outlineLevel="0" collapsed="false">
      <c r="A758" s="11" t="str">
        <f aca="false">IFERROR(INDEX(_AUX!$A$2:$A$3201,MATCH(ROW()-1,_AUX!$C$2:$C$3201,0)),"")</f>
        <v/>
      </c>
      <c r="B758" s="11" t="str">
        <f aca="false">IF(A758="","",IFERROR(INDEX(DECKS!$C$2:$C$1201,MATCH(A758,DECKS!$B$2:$B$1201,0)),IFERROR(TRIM(INDEX(COMPRAS!$I$2:$I$2001,MATCH(A758,COMPRAS!$L$2:$L$2001,0))),"(sem nome)")))</f>
        <v/>
      </c>
      <c r="C758" s="16" t="str">
        <f aca="false">IF(A758="","",SUMIFS(COMPRAS!$C$2:$C$2001,COMPRAS!$K$2:$K$2001,A758))</f>
        <v/>
      </c>
    </row>
    <row r="759" customFormat="false" ht="15" hidden="false" customHeight="false" outlineLevel="0" collapsed="false">
      <c r="A759" s="11" t="str">
        <f aca="false">IFERROR(INDEX(_AUX!$A$2:$A$3201,MATCH(ROW()-1,_AUX!$C$2:$C$3201,0)),"")</f>
        <v/>
      </c>
      <c r="B759" s="11" t="str">
        <f aca="false">IF(A759="","",IFERROR(INDEX(DECKS!$C$2:$C$1201,MATCH(A759,DECKS!$B$2:$B$1201,0)),IFERROR(TRIM(INDEX(COMPRAS!$I$2:$I$2001,MATCH(A759,COMPRAS!$L$2:$L$2001,0))),"(sem nome)")))</f>
        <v/>
      </c>
      <c r="C759" s="16" t="str">
        <f aca="false">IF(A759="","",SUMIFS(COMPRAS!$C$2:$C$2001,COMPRAS!$K$2:$K$2001,A759))</f>
        <v/>
      </c>
    </row>
    <row r="760" customFormat="false" ht="15" hidden="false" customHeight="false" outlineLevel="0" collapsed="false">
      <c r="A760" s="11" t="str">
        <f aca="false">IFERROR(INDEX(_AUX!$A$2:$A$3201,MATCH(ROW()-1,_AUX!$C$2:$C$3201,0)),"")</f>
        <v/>
      </c>
      <c r="B760" s="11" t="str">
        <f aca="false">IF(A760="","",IFERROR(INDEX(DECKS!$C$2:$C$1201,MATCH(A760,DECKS!$B$2:$B$1201,0)),IFERROR(TRIM(INDEX(COMPRAS!$I$2:$I$2001,MATCH(A760,COMPRAS!$L$2:$L$2001,0))),"(sem nome)")))</f>
        <v/>
      </c>
      <c r="C760" s="16" t="str">
        <f aca="false">IF(A760="","",SUMIFS(COMPRAS!$C$2:$C$2001,COMPRAS!$K$2:$K$2001,A760))</f>
        <v/>
      </c>
    </row>
    <row r="761" customFormat="false" ht="15" hidden="false" customHeight="false" outlineLevel="0" collapsed="false">
      <c r="A761" s="11" t="str">
        <f aca="false">IFERROR(INDEX(_AUX!$A$2:$A$3201,MATCH(ROW()-1,_AUX!$C$2:$C$3201,0)),"")</f>
        <v/>
      </c>
      <c r="B761" s="11" t="str">
        <f aca="false">IF(A761="","",IFERROR(INDEX(DECKS!$C$2:$C$1201,MATCH(A761,DECKS!$B$2:$B$1201,0)),IFERROR(TRIM(INDEX(COMPRAS!$I$2:$I$2001,MATCH(A761,COMPRAS!$L$2:$L$2001,0))),"(sem nome)")))</f>
        <v/>
      </c>
      <c r="C761" s="16" t="str">
        <f aca="false">IF(A761="","",SUMIFS(COMPRAS!$C$2:$C$2001,COMPRAS!$K$2:$K$2001,A761))</f>
        <v/>
      </c>
    </row>
    <row r="762" customFormat="false" ht="15" hidden="false" customHeight="false" outlineLevel="0" collapsed="false">
      <c r="A762" s="11" t="str">
        <f aca="false">IFERROR(INDEX(_AUX!$A$2:$A$3201,MATCH(ROW()-1,_AUX!$C$2:$C$3201,0)),"")</f>
        <v/>
      </c>
      <c r="B762" s="11" t="str">
        <f aca="false">IF(A762="","",IFERROR(INDEX(DECKS!$C$2:$C$1201,MATCH(A762,DECKS!$B$2:$B$1201,0)),IFERROR(TRIM(INDEX(COMPRAS!$I$2:$I$2001,MATCH(A762,COMPRAS!$L$2:$L$2001,0))),"(sem nome)")))</f>
        <v/>
      </c>
      <c r="C762" s="16" t="str">
        <f aca="false">IF(A762="","",SUMIFS(COMPRAS!$C$2:$C$2001,COMPRAS!$K$2:$K$2001,A762))</f>
        <v/>
      </c>
    </row>
    <row r="763" customFormat="false" ht="15" hidden="false" customHeight="false" outlineLevel="0" collapsed="false">
      <c r="A763" s="11" t="str">
        <f aca="false">IFERROR(INDEX(_AUX!$A$2:$A$3201,MATCH(ROW()-1,_AUX!$C$2:$C$3201,0)),"")</f>
        <v/>
      </c>
      <c r="B763" s="11" t="str">
        <f aca="false">IF(A763="","",IFERROR(INDEX(DECKS!$C$2:$C$1201,MATCH(A763,DECKS!$B$2:$B$1201,0)),IFERROR(TRIM(INDEX(COMPRAS!$I$2:$I$2001,MATCH(A763,COMPRAS!$L$2:$L$2001,0))),"(sem nome)")))</f>
        <v/>
      </c>
      <c r="C763" s="16" t="str">
        <f aca="false">IF(A763="","",SUMIFS(COMPRAS!$C$2:$C$2001,COMPRAS!$K$2:$K$2001,A763))</f>
        <v/>
      </c>
    </row>
    <row r="764" customFormat="false" ht="15" hidden="false" customHeight="false" outlineLevel="0" collapsed="false">
      <c r="A764" s="11" t="str">
        <f aca="false">IFERROR(INDEX(_AUX!$A$2:$A$3201,MATCH(ROW()-1,_AUX!$C$2:$C$3201,0)),"")</f>
        <v/>
      </c>
      <c r="B764" s="11" t="str">
        <f aca="false">IF(A764="","",IFERROR(INDEX(DECKS!$C$2:$C$1201,MATCH(A764,DECKS!$B$2:$B$1201,0)),IFERROR(TRIM(INDEX(COMPRAS!$I$2:$I$2001,MATCH(A764,COMPRAS!$L$2:$L$2001,0))),"(sem nome)")))</f>
        <v/>
      </c>
      <c r="C764" s="16" t="str">
        <f aca="false">IF(A764="","",SUMIFS(COMPRAS!$C$2:$C$2001,COMPRAS!$K$2:$K$2001,A764))</f>
        <v/>
      </c>
    </row>
    <row r="765" customFormat="false" ht="15" hidden="false" customHeight="false" outlineLevel="0" collapsed="false">
      <c r="A765" s="11" t="str">
        <f aca="false">IFERROR(INDEX(_AUX!$A$2:$A$3201,MATCH(ROW()-1,_AUX!$C$2:$C$3201,0)),"")</f>
        <v/>
      </c>
      <c r="B765" s="11" t="str">
        <f aca="false">IF(A765="","",IFERROR(INDEX(DECKS!$C$2:$C$1201,MATCH(A765,DECKS!$B$2:$B$1201,0)),IFERROR(TRIM(INDEX(COMPRAS!$I$2:$I$2001,MATCH(A765,COMPRAS!$L$2:$L$2001,0))),"(sem nome)")))</f>
        <v/>
      </c>
      <c r="C765" s="16" t="str">
        <f aca="false">IF(A765="","",SUMIFS(COMPRAS!$C$2:$C$2001,COMPRAS!$K$2:$K$2001,A765))</f>
        <v/>
      </c>
    </row>
    <row r="766" customFormat="false" ht="15" hidden="false" customHeight="false" outlineLevel="0" collapsed="false">
      <c r="A766" s="11" t="str">
        <f aca="false">IFERROR(INDEX(_AUX!$A$2:$A$3201,MATCH(ROW()-1,_AUX!$C$2:$C$3201,0)),"")</f>
        <v/>
      </c>
      <c r="B766" s="11" t="str">
        <f aca="false">IF(A766="","",IFERROR(INDEX(DECKS!$C$2:$C$1201,MATCH(A766,DECKS!$B$2:$B$1201,0)),IFERROR(TRIM(INDEX(COMPRAS!$I$2:$I$2001,MATCH(A766,COMPRAS!$L$2:$L$2001,0))),"(sem nome)")))</f>
        <v/>
      </c>
      <c r="C766" s="16" t="str">
        <f aca="false">IF(A766="","",SUMIFS(COMPRAS!$C$2:$C$2001,COMPRAS!$K$2:$K$2001,A766))</f>
        <v/>
      </c>
    </row>
    <row r="767" customFormat="false" ht="15" hidden="false" customHeight="false" outlineLevel="0" collapsed="false">
      <c r="A767" s="11" t="str">
        <f aca="false">IFERROR(INDEX(_AUX!$A$2:$A$3201,MATCH(ROW()-1,_AUX!$C$2:$C$3201,0)),"")</f>
        <v/>
      </c>
      <c r="B767" s="11" t="str">
        <f aca="false">IF(A767="","",IFERROR(INDEX(DECKS!$C$2:$C$1201,MATCH(A767,DECKS!$B$2:$B$1201,0)),IFERROR(TRIM(INDEX(COMPRAS!$I$2:$I$2001,MATCH(A767,COMPRAS!$L$2:$L$2001,0))),"(sem nome)")))</f>
        <v/>
      </c>
      <c r="C767" s="16" t="str">
        <f aca="false">IF(A767="","",SUMIFS(COMPRAS!$C$2:$C$2001,COMPRAS!$K$2:$K$2001,A767))</f>
        <v/>
      </c>
    </row>
    <row r="768" customFormat="false" ht="15" hidden="false" customHeight="false" outlineLevel="0" collapsed="false">
      <c r="A768" s="11" t="str">
        <f aca="false">IFERROR(INDEX(_AUX!$A$2:$A$3201,MATCH(ROW()-1,_AUX!$C$2:$C$3201,0)),"")</f>
        <v/>
      </c>
      <c r="B768" s="11" t="str">
        <f aca="false">IF(A768="","",IFERROR(INDEX(DECKS!$C$2:$C$1201,MATCH(A768,DECKS!$B$2:$B$1201,0)),IFERROR(TRIM(INDEX(COMPRAS!$I$2:$I$2001,MATCH(A768,COMPRAS!$L$2:$L$2001,0))),"(sem nome)")))</f>
        <v/>
      </c>
      <c r="C768" s="16" t="str">
        <f aca="false">IF(A768="","",SUMIFS(COMPRAS!$C$2:$C$2001,COMPRAS!$K$2:$K$2001,A768))</f>
        <v/>
      </c>
    </row>
    <row r="769" customFormat="false" ht="15" hidden="false" customHeight="false" outlineLevel="0" collapsed="false">
      <c r="A769" s="11" t="str">
        <f aca="false">IFERROR(INDEX(_AUX!$A$2:$A$3201,MATCH(ROW()-1,_AUX!$C$2:$C$3201,0)),"")</f>
        <v/>
      </c>
      <c r="B769" s="11" t="str">
        <f aca="false">IF(A769="","",IFERROR(INDEX(DECKS!$C$2:$C$1201,MATCH(A769,DECKS!$B$2:$B$1201,0)),IFERROR(TRIM(INDEX(COMPRAS!$I$2:$I$2001,MATCH(A769,COMPRAS!$L$2:$L$2001,0))),"(sem nome)")))</f>
        <v/>
      </c>
      <c r="C769" s="16" t="str">
        <f aca="false">IF(A769="","",SUMIFS(COMPRAS!$C$2:$C$2001,COMPRAS!$K$2:$K$2001,A769))</f>
        <v/>
      </c>
    </row>
    <row r="770" customFormat="false" ht="15" hidden="false" customHeight="false" outlineLevel="0" collapsed="false">
      <c r="A770" s="11" t="str">
        <f aca="false">IFERROR(INDEX(_AUX!$A$2:$A$3201,MATCH(ROW()-1,_AUX!$C$2:$C$3201,0)),"")</f>
        <v/>
      </c>
      <c r="B770" s="11" t="str">
        <f aca="false">IF(A770="","",IFERROR(INDEX(DECKS!$C$2:$C$1201,MATCH(A770,DECKS!$B$2:$B$1201,0)),IFERROR(TRIM(INDEX(COMPRAS!$I$2:$I$2001,MATCH(A770,COMPRAS!$L$2:$L$2001,0))),"(sem nome)")))</f>
        <v/>
      </c>
      <c r="C770" s="16" t="str">
        <f aca="false">IF(A770="","",SUMIFS(COMPRAS!$C$2:$C$2001,COMPRAS!$K$2:$K$2001,A770))</f>
        <v/>
      </c>
    </row>
    <row r="771" customFormat="false" ht="15" hidden="false" customHeight="false" outlineLevel="0" collapsed="false">
      <c r="A771" s="11" t="str">
        <f aca="false">IFERROR(INDEX(_AUX!$A$2:$A$3201,MATCH(ROW()-1,_AUX!$C$2:$C$3201,0)),"")</f>
        <v/>
      </c>
      <c r="B771" s="11" t="str">
        <f aca="false">IF(A771="","",IFERROR(INDEX(DECKS!$C$2:$C$1201,MATCH(A771,DECKS!$B$2:$B$1201,0)),IFERROR(TRIM(INDEX(COMPRAS!$I$2:$I$2001,MATCH(A771,COMPRAS!$L$2:$L$2001,0))),"(sem nome)")))</f>
        <v/>
      </c>
      <c r="C771" s="16" t="str">
        <f aca="false">IF(A771="","",SUMIFS(COMPRAS!$C$2:$C$2001,COMPRAS!$K$2:$K$2001,A771))</f>
        <v/>
      </c>
    </row>
    <row r="772" customFormat="false" ht="15" hidden="false" customHeight="false" outlineLevel="0" collapsed="false">
      <c r="A772" s="11" t="str">
        <f aca="false">IFERROR(INDEX(_AUX!$A$2:$A$3201,MATCH(ROW()-1,_AUX!$C$2:$C$3201,0)),"")</f>
        <v/>
      </c>
      <c r="B772" s="11" t="str">
        <f aca="false">IF(A772="","",IFERROR(INDEX(DECKS!$C$2:$C$1201,MATCH(A772,DECKS!$B$2:$B$1201,0)),IFERROR(TRIM(INDEX(COMPRAS!$I$2:$I$2001,MATCH(A772,COMPRAS!$L$2:$L$2001,0))),"(sem nome)")))</f>
        <v/>
      </c>
      <c r="C772" s="16" t="str">
        <f aca="false">IF(A772="","",SUMIFS(COMPRAS!$C$2:$C$2001,COMPRAS!$K$2:$K$2001,A772))</f>
        <v/>
      </c>
    </row>
    <row r="773" customFormat="false" ht="15" hidden="false" customHeight="false" outlineLevel="0" collapsed="false">
      <c r="A773" s="11" t="str">
        <f aca="false">IFERROR(INDEX(_AUX!$A$2:$A$3201,MATCH(ROW()-1,_AUX!$C$2:$C$3201,0)),"")</f>
        <v/>
      </c>
      <c r="B773" s="11" t="str">
        <f aca="false">IF(A773="","",IFERROR(INDEX(DECKS!$C$2:$C$1201,MATCH(A773,DECKS!$B$2:$B$1201,0)),IFERROR(TRIM(INDEX(COMPRAS!$I$2:$I$2001,MATCH(A773,COMPRAS!$L$2:$L$2001,0))),"(sem nome)")))</f>
        <v/>
      </c>
      <c r="C773" s="16" t="str">
        <f aca="false">IF(A773="","",SUMIFS(COMPRAS!$C$2:$C$2001,COMPRAS!$K$2:$K$2001,A773))</f>
        <v/>
      </c>
    </row>
    <row r="774" customFormat="false" ht="15" hidden="false" customHeight="false" outlineLevel="0" collapsed="false">
      <c r="A774" s="11" t="str">
        <f aca="false">IFERROR(INDEX(_AUX!$A$2:$A$3201,MATCH(ROW()-1,_AUX!$C$2:$C$3201,0)),"")</f>
        <v/>
      </c>
      <c r="B774" s="11" t="str">
        <f aca="false">IF(A774="","",IFERROR(INDEX(DECKS!$C$2:$C$1201,MATCH(A774,DECKS!$B$2:$B$1201,0)),IFERROR(TRIM(INDEX(COMPRAS!$I$2:$I$2001,MATCH(A774,COMPRAS!$L$2:$L$2001,0))),"(sem nome)")))</f>
        <v/>
      </c>
      <c r="C774" s="16" t="str">
        <f aca="false">IF(A774="","",SUMIFS(COMPRAS!$C$2:$C$2001,COMPRAS!$K$2:$K$2001,A774))</f>
        <v/>
      </c>
    </row>
    <row r="775" customFormat="false" ht="15" hidden="false" customHeight="false" outlineLevel="0" collapsed="false">
      <c r="A775" s="11" t="str">
        <f aca="false">IFERROR(INDEX(_AUX!$A$2:$A$3201,MATCH(ROW()-1,_AUX!$C$2:$C$3201,0)),"")</f>
        <v/>
      </c>
      <c r="B775" s="11" t="str">
        <f aca="false">IF(A775="","",IFERROR(INDEX(DECKS!$C$2:$C$1201,MATCH(A775,DECKS!$B$2:$B$1201,0)),IFERROR(TRIM(INDEX(COMPRAS!$I$2:$I$2001,MATCH(A775,COMPRAS!$L$2:$L$2001,0))),"(sem nome)")))</f>
        <v/>
      </c>
      <c r="C775" s="16" t="str">
        <f aca="false">IF(A775="","",SUMIFS(COMPRAS!$C$2:$C$2001,COMPRAS!$K$2:$K$2001,A775))</f>
        <v/>
      </c>
    </row>
    <row r="776" customFormat="false" ht="15" hidden="false" customHeight="false" outlineLevel="0" collapsed="false">
      <c r="A776" s="11" t="str">
        <f aca="false">IFERROR(INDEX(_AUX!$A$2:$A$3201,MATCH(ROW()-1,_AUX!$C$2:$C$3201,0)),"")</f>
        <v/>
      </c>
      <c r="B776" s="11" t="str">
        <f aca="false">IF(A776="","",IFERROR(INDEX(DECKS!$C$2:$C$1201,MATCH(A776,DECKS!$B$2:$B$1201,0)),IFERROR(TRIM(INDEX(COMPRAS!$I$2:$I$2001,MATCH(A776,COMPRAS!$L$2:$L$2001,0))),"(sem nome)")))</f>
        <v/>
      </c>
      <c r="C776" s="16" t="str">
        <f aca="false">IF(A776="","",SUMIFS(COMPRAS!$C$2:$C$2001,COMPRAS!$K$2:$K$2001,A776))</f>
        <v/>
      </c>
    </row>
    <row r="777" customFormat="false" ht="15" hidden="false" customHeight="false" outlineLevel="0" collapsed="false">
      <c r="A777" s="11" t="str">
        <f aca="false">IFERROR(INDEX(_AUX!$A$2:$A$3201,MATCH(ROW()-1,_AUX!$C$2:$C$3201,0)),"")</f>
        <v/>
      </c>
      <c r="B777" s="11" t="str">
        <f aca="false">IF(A777="","",IFERROR(INDEX(DECKS!$C$2:$C$1201,MATCH(A777,DECKS!$B$2:$B$1201,0)),IFERROR(TRIM(INDEX(COMPRAS!$I$2:$I$2001,MATCH(A777,COMPRAS!$L$2:$L$2001,0))),"(sem nome)")))</f>
        <v/>
      </c>
      <c r="C777" s="16" t="str">
        <f aca="false">IF(A777="","",SUMIFS(COMPRAS!$C$2:$C$2001,COMPRAS!$K$2:$K$2001,A777))</f>
        <v/>
      </c>
    </row>
    <row r="778" customFormat="false" ht="15" hidden="false" customHeight="false" outlineLevel="0" collapsed="false">
      <c r="A778" s="11" t="str">
        <f aca="false">IFERROR(INDEX(_AUX!$A$2:$A$3201,MATCH(ROW()-1,_AUX!$C$2:$C$3201,0)),"")</f>
        <v/>
      </c>
      <c r="B778" s="11" t="str">
        <f aca="false">IF(A778="","",IFERROR(INDEX(DECKS!$C$2:$C$1201,MATCH(A778,DECKS!$B$2:$B$1201,0)),IFERROR(TRIM(INDEX(COMPRAS!$I$2:$I$2001,MATCH(A778,COMPRAS!$L$2:$L$2001,0))),"(sem nome)")))</f>
        <v/>
      </c>
      <c r="C778" s="16" t="str">
        <f aca="false">IF(A778="","",SUMIFS(COMPRAS!$C$2:$C$2001,COMPRAS!$K$2:$K$2001,A778))</f>
        <v/>
      </c>
    </row>
    <row r="779" customFormat="false" ht="15" hidden="false" customHeight="false" outlineLevel="0" collapsed="false">
      <c r="A779" s="11" t="str">
        <f aca="false">IFERROR(INDEX(_AUX!$A$2:$A$3201,MATCH(ROW()-1,_AUX!$C$2:$C$3201,0)),"")</f>
        <v/>
      </c>
      <c r="B779" s="11" t="str">
        <f aca="false">IF(A779="","",IFERROR(INDEX(DECKS!$C$2:$C$1201,MATCH(A779,DECKS!$B$2:$B$1201,0)),IFERROR(TRIM(INDEX(COMPRAS!$I$2:$I$2001,MATCH(A779,COMPRAS!$L$2:$L$2001,0))),"(sem nome)")))</f>
        <v/>
      </c>
      <c r="C779" s="16" t="str">
        <f aca="false">IF(A779="","",SUMIFS(COMPRAS!$C$2:$C$2001,COMPRAS!$K$2:$K$2001,A779))</f>
        <v/>
      </c>
    </row>
    <row r="780" customFormat="false" ht="15" hidden="false" customHeight="false" outlineLevel="0" collapsed="false">
      <c r="A780" s="11" t="str">
        <f aca="false">IFERROR(INDEX(_AUX!$A$2:$A$3201,MATCH(ROW()-1,_AUX!$C$2:$C$3201,0)),"")</f>
        <v/>
      </c>
      <c r="B780" s="11" t="str">
        <f aca="false">IF(A780="","",IFERROR(INDEX(DECKS!$C$2:$C$1201,MATCH(A780,DECKS!$B$2:$B$1201,0)),IFERROR(TRIM(INDEX(COMPRAS!$I$2:$I$2001,MATCH(A780,COMPRAS!$L$2:$L$2001,0))),"(sem nome)")))</f>
        <v/>
      </c>
      <c r="C780" s="16" t="str">
        <f aca="false">IF(A780="","",SUMIFS(COMPRAS!$C$2:$C$2001,COMPRAS!$K$2:$K$2001,A780))</f>
        <v/>
      </c>
    </row>
    <row r="781" customFormat="false" ht="15" hidden="false" customHeight="false" outlineLevel="0" collapsed="false">
      <c r="A781" s="11" t="str">
        <f aca="false">IFERROR(INDEX(_AUX!$A$2:$A$3201,MATCH(ROW()-1,_AUX!$C$2:$C$3201,0)),"")</f>
        <v/>
      </c>
      <c r="B781" s="11" t="str">
        <f aca="false">IF(A781="","",IFERROR(INDEX(DECKS!$C$2:$C$1201,MATCH(A781,DECKS!$B$2:$B$1201,0)),IFERROR(TRIM(INDEX(COMPRAS!$I$2:$I$2001,MATCH(A781,COMPRAS!$L$2:$L$2001,0))),"(sem nome)")))</f>
        <v/>
      </c>
      <c r="C781" s="16" t="str">
        <f aca="false">IF(A781="","",SUMIFS(COMPRAS!$C$2:$C$2001,COMPRAS!$K$2:$K$2001,A781))</f>
        <v/>
      </c>
    </row>
    <row r="782" customFormat="false" ht="15" hidden="false" customHeight="false" outlineLevel="0" collapsed="false">
      <c r="A782" s="11" t="str">
        <f aca="false">IFERROR(INDEX(_AUX!$A$2:$A$3201,MATCH(ROW()-1,_AUX!$C$2:$C$3201,0)),"")</f>
        <v/>
      </c>
      <c r="B782" s="11" t="str">
        <f aca="false">IF(A782="","",IFERROR(INDEX(DECKS!$C$2:$C$1201,MATCH(A782,DECKS!$B$2:$B$1201,0)),IFERROR(TRIM(INDEX(COMPRAS!$I$2:$I$2001,MATCH(A782,COMPRAS!$L$2:$L$2001,0))),"(sem nome)")))</f>
        <v/>
      </c>
      <c r="C782" s="16" t="str">
        <f aca="false">IF(A782="","",SUMIFS(COMPRAS!$C$2:$C$2001,COMPRAS!$K$2:$K$2001,A782))</f>
        <v/>
      </c>
    </row>
    <row r="783" customFormat="false" ht="15" hidden="false" customHeight="false" outlineLevel="0" collapsed="false">
      <c r="A783" s="11" t="str">
        <f aca="false">IFERROR(INDEX(_AUX!$A$2:$A$3201,MATCH(ROW()-1,_AUX!$C$2:$C$3201,0)),"")</f>
        <v/>
      </c>
      <c r="B783" s="11" t="str">
        <f aca="false">IF(A783="","",IFERROR(INDEX(DECKS!$C$2:$C$1201,MATCH(A783,DECKS!$B$2:$B$1201,0)),IFERROR(TRIM(INDEX(COMPRAS!$I$2:$I$2001,MATCH(A783,COMPRAS!$L$2:$L$2001,0))),"(sem nome)")))</f>
        <v/>
      </c>
      <c r="C783" s="16" t="str">
        <f aca="false">IF(A783="","",SUMIFS(COMPRAS!$C$2:$C$2001,COMPRAS!$K$2:$K$2001,A783))</f>
        <v/>
      </c>
    </row>
    <row r="784" customFormat="false" ht="15" hidden="false" customHeight="false" outlineLevel="0" collapsed="false">
      <c r="A784" s="11" t="str">
        <f aca="false">IFERROR(INDEX(_AUX!$A$2:$A$3201,MATCH(ROW()-1,_AUX!$C$2:$C$3201,0)),"")</f>
        <v/>
      </c>
      <c r="B784" s="11" t="str">
        <f aca="false">IF(A784="","",IFERROR(INDEX(DECKS!$C$2:$C$1201,MATCH(A784,DECKS!$B$2:$B$1201,0)),IFERROR(TRIM(INDEX(COMPRAS!$I$2:$I$2001,MATCH(A784,COMPRAS!$L$2:$L$2001,0))),"(sem nome)")))</f>
        <v/>
      </c>
      <c r="C784" s="16" t="str">
        <f aca="false">IF(A784="","",SUMIFS(COMPRAS!$C$2:$C$2001,COMPRAS!$K$2:$K$2001,A784))</f>
        <v/>
      </c>
    </row>
    <row r="785" customFormat="false" ht="15" hidden="false" customHeight="false" outlineLevel="0" collapsed="false">
      <c r="A785" s="11" t="str">
        <f aca="false">IFERROR(INDEX(_AUX!$A$2:$A$3201,MATCH(ROW()-1,_AUX!$C$2:$C$3201,0)),"")</f>
        <v/>
      </c>
      <c r="B785" s="11" t="str">
        <f aca="false">IF(A785="","",IFERROR(INDEX(DECKS!$C$2:$C$1201,MATCH(A785,DECKS!$B$2:$B$1201,0)),IFERROR(TRIM(INDEX(COMPRAS!$I$2:$I$2001,MATCH(A785,COMPRAS!$L$2:$L$2001,0))),"(sem nome)")))</f>
        <v/>
      </c>
      <c r="C785" s="16" t="str">
        <f aca="false">IF(A785="","",SUMIFS(COMPRAS!$C$2:$C$2001,COMPRAS!$K$2:$K$2001,A785))</f>
        <v/>
      </c>
    </row>
    <row r="786" customFormat="false" ht="15" hidden="false" customHeight="false" outlineLevel="0" collapsed="false">
      <c r="A786" s="11" t="str">
        <f aca="false">IFERROR(INDEX(_AUX!$A$2:$A$3201,MATCH(ROW()-1,_AUX!$C$2:$C$3201,0)),"")</f>
        <v/>
      </c>
      <c r="B786" s="11" t="str">
        <f aca="false">IF(A786="","",IFERROR(INDEX(DECKS!$C$2:$C$1201,MATCH(A786,DECKS!$B$2:$B$1201,0)),IFERROR(TRIM(INDEX(COMPRAS!$I$2:$I$2001,MATCH(A786,COMPRAS!$L$2:$L$2001,0))),"(sem nome)")))</f>
        <v/>
      </c>
      <c r="C786" s="16" t="str">
        <f aca="false">IF(A786="","",SUMIFS(COMPRAS!$C$2:$C$2001,COMPRAS!$K$2:$K$2001,A786))</f>
        <v/>
      </c>
    </row>
    <row r="787" customFormat="false" ht="15" hidden="false" customHeight="false" outlineLevel="0" collapsed="false">
      <c r="A787" s="11" t="str">
        <f aca="false">IFERROR(INDEX(_AUX!$A$2:$A$3201,MATCH(ROW()-1,_AUX!$C$2:$C$3201,0)),"")</f>
        <v/>
      </c>
      <c r="B787" s="11" t="str">
        <f aca="false">IF(A787="","",IFERROR(INDEX(DECKS!$C$2:$C$1201,MATCH(A787,DECKS!$B$2:$B$1201,0)),IFERROR(TRIM(INDEX(COMPRAS!$I$2:$I$2001,MATCH(A787,COMPRAS!$L$2:$L$2001,0))),"(sem nome)")))</f>
        <v/>
      </c>
      <c r="C787" s="16" t="str">
        <f aca="false">IF(A787="","",SUMIFS(COMPRAS!$C$2:$C$2001,COMPRAS!$K$2:$K$2001,A787))</f>
        <v/>
      </c>
    </row>
    <row r="788" customFormat="false" ht="15" hidden="false" customHeight="false" outlineLevel="0" collapsed="false">
      <c r="A788" s="11" t="str">
        <f aca="false">IFERROR(INDEX(_AUX!$A$2:$A$3201,MATCH(ROW()-1,_AUX!$C$2:$C$3201,0)),"")</f>
        <v/>
      </c>
      <c r="B788" s="11" t="str">
        <f aca="false">IF(A788="","",IFERROR(INDEX(DECKS!$C$2:$C$1201,MATCH(A788,DECKS!$B$2:$B$1201,0)),IFERROR(TRIM(INDEX(COMPRAS!$I$2:$I$2001,MATCH(A788,COMPRAS!$L$2:$L$2001,0))),"(sem nome)")))</f>
        <v/>
      </c>
      <c r="C788" s="16" t="str">
        <f aca="false">IF(A788="","",SUMIFS(COMPRAS!$C$2:$C$2001,COMPRAS!$K$2:$K$2001,A788))</f>
        <v/>
      </c>
    </row>
    <row r="789" customFormat="false" ht="15" hidden="false" customHeight="false" outlineLevel="0" collapsed="false">
      <c r="A789" s="11" t="str">
        <f aca="false">IFERROR(INDEX(_AUX!$A$2:$A$3201,MATCH(ROW()-1,_AUX!$C$2:$C$3201,0)),"")</f>
        <v/>
      </c>
      <c r="B789" s="11" t="str">
        <f aca="false">IF(A789="","",IFERROR(INDEX(DECKS!$C$2:$C$1201,MATCH(A789,DECKS!$B$2:$B$1201,0)),IFERROR(TRIM(INDEX(COMPRAS!$I$2:$I$2001,MATCH(A789,COMPRAS!$L$2:$L$2001,0))),"(sem nome)")))</f>
        <v/>
      </c>
      <c r="C789" s="16" t="str">
        <f aca="false">IF(A789="","",SUMIFS(COMPRAS!$C$2:$C$2001,COMPRAS!$K$2:$K$2001,A789))</f>
        <v/>
      </c>
    </row>
    <row r="790" customFormat="false" ht="15" hidden="false" customHeight="false" outlineLevel="0" collapsed="false">
      <c r="A790" s="11" t="str">
        <f aca="false">IFERROR(INDEX(_AUX!$A$2:$A$3201,MATCH(ROW()-1,_AUX!$C$2:$C$3201,0)),"")</f>
        <v/>
      </c>
      <c r="B790" s="11" t="str">
        <f aca="false">IF(A790="","",IFERROR(INDEX(DECKS!$C$2:$C$1201,MATCH(A790,DECKS!$B$2:$B$1201,0)),IFERROR(TRIM(INDEX(COMPRAS!$I$2:$I$2001,MATCH(A790,COMPRAS!$L$2:$L$2001,0))),"(sem nome)")))</f>
        <v/>
      </c>
      <c r="C790" s="16" t="str">
        <f aca="false">IF(A790="","",SUMIFS(COMPRAS!$C$2:$C$2001,COMPRAS!$K$2:$K$2001,A790))</f>
        <v/>
      </c>
    </row>
    <row r="791" customFormat="false" ht="15" hidden="false" customHeight="false" outlineLevel="0" collapsed="false">
      <c r="A791" s="11" t="str">
        <f aca="false">IFERROR(INDEX(_AUX!$A$2:$A$3201,MATCH(ROW()-1,_AUX!$C$2:$C$3201,0)),"")</f>
        <v/>
      </c>
      <c r="B791" s="11" t="str">
        <f aca="false">IF(A791="","",IFERROR(INDEX(DECKS!$C$2:$C$1201,MATCH(A791,DECKS!$B$2:$B$1201,0)),IFERROR(TRIM(INDEX(COMPRAS!$I$2:$I$2001,MATCH(A791,COMPRAS!$L$2:$L$2001,0))),"(sem nome)")))</f>
        <v/>
      </c>
      <c r="C791" s="16" t="str">
        <f aca="false">IF(A791="","",SUMIFS(COMPRAS!$C$2:$C$2001,COMPRAS!$K$2:$K$2001,A791))</f>
        <v/>
      </c>
    </row>
    <row r="792" customFormat="false" ht="15" hidden="false" customHeight="false" outlineLevel="0" collapsed="false">
      <c r="A792" s="11" t="str">
        <f aca="false">IFERROR(INDEX(_AUX!$A$2:$A$3201,MATCH(ROW()-1,_AUX!$C$2:$C$3201,0)),"")</f>
        <v/>
      </c>
      <c r="B792" s="11" t="str">
        <f aca="false">IF(A792="","",IFERROR(INDEX(DECKS!$C$2:$C$1201,MATCH(A792,DECKS!$B$2:$B$1201,0)),IFERROR(TRIM(INDEX(COMPRAS!$I$2:$I$2001,MATCH(A792,COMPRAS!$L$2:$L$2001,0))),"(sem nome)")))</f>
        <v/>
      </c>
      <c r="C792" s="16" t="str">
        <f aca="false">IF(A792="","",SUMIFS(COMPRAS!$C$2:$C$2001,COMPRAS!$K$2:$K$2001,A792))</f>
        <v/>
      </c>
    </row>
    <row r="793" customFormat="false" ht="15" hidden="false" customHeight="false" outlineLevel="0" collapsed="false">
      <c r="A793" s="11" t="str">
        <f aca="false">IFERROR(INDEX(_AUX!$A$2:$A$3201,MATCH(ROW()-1,_AUX!$C$2:$C$3201,0)),"")</f>
        <v/>
      </c>
      <c r="B793" s="11" t="str">
        <f aca="false">IF(A793="","",IFERROR(INDEX(DECKS!$C$2:$C$1201,MATCH(A793,DECKS!$B$2:$B$1201,0)),IFERROR(TRIM(INDEX(COMPRAS!$I$2:$I$2001,MATCH(A793,COMPRAS!$L$2:$L$2001,0))),"(sem nome)")))</f>
        <v/>
      </c>
      <c r="C793" s="16" t="str">
        <f aca="false">IF(A793="","",SUMIFS(COMPRAS!$C$2:$C$2001,COMPRAS!$K$2:$K$2001,A793))</f>
        <v/>
      </c>
    </row>
    <row r="794" customFormat="false" ht="15" hidden="false" customHeight="false" outlineLevel="0" collapsed="false">
      <c r="A794" s="11" t="str">
        <f aca="false">IFERROR(INDEX(_AUX!$A$2:$A$3201,MATCH(ROW()-1,_AUX!$C$2:$C$3201,0)),"")</f>
        <v/>
      </c>
      <c r="B794" s="11" t="str">
        <f aca="false">IF(A794="","",IFERROR(INDEX(DECKS!$C$2:$C$1201,MATCH(A794,DECKS!$B$2:$B$1201,0)),IFERROR(TRIM(INDEX(COMPRAS!$I$2:$I$2001,MATCH(A794,COMPRAS!$L$2:$L$2001,0))),"(sem nome)")))</f>
        <v/>
      </c>
      <c r="C794" s="16" t="str">
        <f aca="false">IF(A794="","",SUMIFS(COMPRAS!$C$2:$C$2001,COMPRAS!$K$2:$K$2001,A794))</f>
        <v/>
      </c>
    </row>
    <row r="795" customFormat="false" ht="15" hidden="false" customHeight="false" outlineLevel="0" collapsed="false">
      <c r="A795" s="11" t="str">
        <f aca="false">IFERROR(INDEX(_AUX!$A$2:$A$3201,MATCH(ROW()-1,_AUX!$C$2:$C$3201,0)),"")</f>
        <v/>
      </c>
      <c r="B795" s="11" t="str">
        <f aca="false">IF(A795="","",IFERROR(INDEX(DECKS!$C$2:$C$1201,MATCH(A795,DECKS!$B$2:$B$1201,0)),IFERROR(TRIM(INDEX(COMPRAS!$I$2:$I$2001,MATCH(A795,COMPRAS!$L$2:$L$2001,0))),"(sem nome)")))</f>
        <v/>
      </c>
      <c r="C795" s="16" t="str">
        <f aca="false">IF(A795="","",SUMIFS(COMPRAS!$C$2:$C$2001,COMPRAS!$K$2:$K$2001,A795))</f>
        <v/>
      </c>
    </row>
    <row r="796" customFormat="false" ht="15" hidden="false" customHeight="false" outlineLevel="0" collapsed="false">
      <c r="A796" s="11" t="str">
        <f aca="false">IFERROR(INDEX(_AUX!$A$2:$A$3201,MATCH(ROW()-1,_AUX!$C$2:$C$3201,0)),"")</f>
        <v/>
      </c>
      <c r="B796" s="11" t="str">
        <f aca="false">IF(A796="","",IFERROR(INDEX(DECKS!$C$2:$C$1201,MATCH(A796,DECKS!$B$2:$B$1201,0)),IFERROR(TRIM(INDEX(COMPRAS!$I$2:$I$2001,MATCH(A796,COMPRAS!$L$2:$L$2001,0))),"(sem nome)")))</f>
        <v/>
      </c>
      <c r="C796" s="16" t="str">
        <f aca="false">IF(A796="","",SUMIFS(COMPRAS!$C$2:$C$2001,COMPRAS!$K$2:$K$2001,A796))</f>
        <v/>
      </c>
    </row>
    <row r="797" customFormat="false" ht="15" hidden="false" customHeight="false" outlineLevel="0" collapsed="false">
      <c r="A797" s="11" t="str">
        <f aca="false">IFERROR(INDEX(_AUX!$A$2:$A$3201,MATCH(ROW()-1,_AUX!$C$2:$C$3201,0)),"")</f>
        <v/>
      </c>
      <c r="B797" s="11" t="str">
        <f aca="false">IF(A797="","",IFERROR(INDEX(DECKS!$C$2:$C$1201,MATCH(A797,DECKS!$B$2:$B$1201,0)),IFERROR(TRIM(INDEX(COMPRAS!$I$2:$I$2001,MATCH(A797,COMPRAS!$L$2:$L$2001,0))),"(sem nome)")))</f>
        <v/>
      </c>
      <c r="C797" s="16" t="str">
        <f aca="false">IF(A797="","",SUMIFS(COMPRAS!$C$2:$C$2001,COMPRAS!$K$2:$K$2001,A797))</f>
        <v/>
      </c>
    </row>
    <row r="798" customFormat="false" ht="15" hidden="false" customHeight="false" outlineLevel="0" collapsed="false">
      <c r="A798" s="11" t="str">
        <f aca="false">IFERROR(INDEX(_AUX!$A$2:$A$3201,MATCH(ROW()-1,_AUX!$C$2:$C$3201,0)),"")</f>
        <v/>
      </c>
      <c r="B798" s="11" t="str">
        <f aca="false">IF(A798="","",IFERROR(INDEX(DECKS!$C$2:$C$1201,MATCH(A798,DECKS!$B$2:$B$1201,0)),IFERROR(TRIM(INDEX(COMPRAS!$I$2:$I$2001,MATCH(A798,COMPRAS!$L$2:$L$2001,0))),"(sem nome)")))</f>
        <v/>
      </c>
      <c r="C798" s="16" t="str">
        <f aca="false">IF(A798="","",SUMIFS(COMPRAS!$C$2:$C$2001,COMPRAS!$K$2:$K$2001,A798))</f>
        <v/>
      </c>
    </row>
    <row r="799" customFormat="false" ht="15" hidden="false" customHeight="false" outlineLevel="0" collapsed="false">
      <c r="A799" s="11" t="str">
        <f aca="false">IFERROR(INDEX(_AUX!$A$2:$A$3201,MATCH(ROW()-1,_AUX!$C$2:$C$3201,0)),"")</f>
        <v/>
      </c>
      <c r="B799" s="11" t="str">
        <f aca="false">IF(A799="","",IFERROR(INDEX(DECKS!$C$2:$C$1201,MATCH(A799,DECKS!$B$2:$B$1201,0)),IFERROR(TRIM(INDEX(COMPRAS!$I$2:$I$2001,MATCH(A799,COMPRAS!$L$2:$L$2001,0))),"(sem nome)")))</f>
        <v/>
      </c>
      <c r="C799" s="16" t="str">
        <f aca="false">IF(A799="","",SUMIFS(COMPRAS!$C$2:$C$2001,COMPRAS!$K$2:$K$2001,A799))</f>
        <v/>
      </c>
    </row>
    <row r="800" customFormat="false" ht="15" hidden="false" customHeight="false" outlineLevel="0" collapsed="false">
      <c r="A800" s="11" t="str">
        <f aca="false">IFERROR(INDEX(_AUX!$A$2:$A$3201,MATCH(ROW()-1,_AUX!$C$2:$C$3201,0)),"")</f>
        <v/>
      </c>
      <c r="B800" s="11" t="str">
        <f aca="false">IF(A800="","",IFERROR(INDEX(DECKS!$C$2:$C$1201,MATCH(A800,DECKS!$B$2:$B$1201,0)),IFERROR(TRIM(INDEX(COMPRAS!$I$2:$I$2001,MATCH(A800,COMPRAS!$L$2:$L$2001,0))),"(sem nome)")))</f>
        <v/>
      </c>
      <c r="C800" s="16" t="str">
        <f aca="false">IF(A800="","",SUMIFS(COMPRAS!$C$2:$C$2001,COMPRAS!$K$2:$K$2001,A800))</f>
        <v/>
      </c>
    </row>
    <row r="801" customFormat="false" ht="15" hidden="false" customHeight="false" outlineLevel="0" collapsed="false">
      <c r="A801" s="11" t="str">
        <f aca="false">IFERROR(INDEX(_AUX!$A$2:$A$3201,MATCH(ROW()-1,_AUX!$C$2:$C$3201,0)),"")</f>
        <v/>
      </c>
      <c r="B801" s="11" t="str">
        <f aca="false">IF(A801="","",IFERROR(INDEX(DECKS!$C$2:$C$1201,MATCH(A801,DECKS!$B$2:$B$1201,0)),IFERROR(TRIM(INDEX(COMPRAS!$I$2:$I$2001,MATCH(A801,COMPRAS!$L$2:$L$2001,0))),"(sem nome)")))</f>
        <v/>
      </c>
      <c r="C801" s="16" t="str">
        <f aca="false">IF(A801="","",SUMIFS(COMPRAS!$C$2:$C$2001,COMPRAS!$K$2:$K$2001,A801))</f>
        <v/>
      </c>
    </row>
  </sheetData>
  <autoFilter ref="A1:C8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true" outlineLevel="0" max="8" min="8" style="0" width="10"/>
    <col collapsed="false" customWidth="true" hidden="false" outlineLevel="0" max="9" min="9" style="0" width="38"/>
    <col collapsed="false" customWidth="true" hidden="true" outlineLevel="0" max="15" min="10" style="0" width="13"/>
  </cols>
  <sheetData>
    <row r="1" customFormat="false" ht="33.75" hidden="false" customHeight="true" outlineLevel="0" collapsed="false">
      <c r="A1" s="8" t="s">
        <v>63</v>
      </c>
      <c r="B1" s="8" t="s">
        <v>45</v>
      </c>
      <c r="C1" s="8" t="s">
        <v>60</v>
      </c>
      <c r="D1" s="8" t="s">
        <v>64</v>
      </c>
      <c r="E1" s="8" t="s">
        <v>65</v>
      </c>
      <c r="F1" s="8" t="s">
        <v>66</v>
      </c>
      <c r="G1" s="8" t="s">
        <v>67</v>
      </c>
      <c r="H1" s="8" t="s">
        <v>68</v>
      </c>
      <c r="I1" s="8" t="s">
        <v>69</v>
      </c>
      <c r="J1" s="8" t="s">
        <v>70</v>
      </c>
      <c r="K1" s="8" t="s">
        <v>71</v>
      </c>
      <c r="L1" s="8" t="s">
        <v>72</v>
      </c>
      <c r="M1" s="8" t="s">
        <v>73</v>
      </c>
      <c r="N1" s="8" t="s">
        <v>74</v>
      </c>
      <c r="O1" s="8" t="s">
        <v>75</v>
      </c>
      <c r="Q1" s="5" t="s">
        <v>76</v>
      </c>
    </row>
    <row r="2" customFormat="false" ht="15" hidden="false" customHeight="false" outlineLevel="0" collapsed="false">
      <c r="A2" s="11" t="str">
        <f aca="false">IF(_LEITURA!$N2="","",INDEX(_LEITURA!$K$2:$K$1201,_LEITURA!$N2))</f>
        <v/>
      </c>
      <c r="B2" s="11" t="str">
        <f aca="false">IF(_LEITURA!$N2="","",INDEX(_LEITURA!$E$2:$E$1201,_LEITURA!$N2))</f>
        <v/>
      </c>
      <c r="C2" s="11" t="str">
        <f aca="false">IF(_LEITURA!$N2="","",INDEX(_LEITURA!$J$2:$J$1201,_LEITURA!$N2))</f>
        <v/>
      </c>
      <c r="D2" s="16" t="str">
        <f aca="false">IF(_LEITURA!$N2="","",INDEX(_LEITURA!$G$2:$G$1201,_LEITURA!$N2))</f>
        <v/>
      </c>
      <c r="E2" s="16" t="str">
        <f aca="false">IF(B2="","",SUMIFS(INVENTÁRIO!$C$2:$C$801,INVENTÁRIO!$A$2:$A$801,B2))</f>
        <v/>
      </c>
      <c r="F2" s="16" t="str">
        <f aca="false">IF(B2="","",MAX(0,D2-E2))</f>
        <v/>
      </c>
      <c r="G2" s="16" t="str">
        <f aca="false">IF(B2="","",IF(COUNTIFS($B$2:$B$1201,B2,$A$2:$A$1201,"&lt;&gt;"&amp;A2)&gt;0,"Sim",""))</f>
        <v/>
      </c>
      <c r="H2" s="16" t="str">
        <f aca="false">IF(N(F2)&gt;0,MAX(H$1:H1)+1,"")</f>
        <v/>
      </c>
      <c r="I2" s="11" t="str">
        <f aca="false">IF(B2="","",IF(INDEX($C$2:$C$1201,MATCH(B2,$B$2:$B$1201,0))&lt;&gt;C2,"Nome diferente em outro deck — revisar",""))</f>
        <v/>
      </c>
      <c r="J2" s="16" t="str">
        <f aca="false">IF(AND(B2&lt;&gt;"",A2=BULK!$A$1,N(F2)&gt;0),MAX(J$1:J1)+1,"")</f>
        <v/>
      </c>
      <c r="K2" s="11" t="str">
        <f aca="false">IF(B2="","",IFERROR(LEFT(B2,FIND("-",B2)-1),B2))</f>
        <v/>
      </c>
      <c r="L2" s="11" t="str">
        <f aca="false">IF(K2="","",IF(ISNUMBER(--MID(K2,1,1)),0,IF(ISNUMBER(--MID(K2,2,1)),1,IF(ISNUMBER(--MID(K2,3,1)),2,IF(ISNUMBER(--MID(K2,4,1)),3,MIN(LEN(K2),4))))))</f>
        <v/>
      </c>
      <c r="M2" s="11" t="str">
        <f aca="false">IF(B2="","",LEFT(K2,L2)&amp;REPT("0",4-L2)&amp;RIGHT("000"&amp;IFERROR(VALUE(MID(K2,L2+1,9)),0),3)&amp;RIGHT("0000"&amp;IFERROR(VALUE(MID(B2,FIND("-",B2)+1,9)),0),4))</f>
        <v/>
      </c>
      <c r="N2" s="11" t="str">
        <f aca="false">IF(OR(B2="",N(F2)&lt;=0),"",IF('FALTAS POR DECK'!$P$1="Código","K"&amp;M2&amp;RIGHT("00000"&amp;ROW(),5),IF('FALTAS POR DECK'!$P$1="Nome","K"&amp;UPPER(SUBSTITUTE(SUBSTITUTE(SUBSTITUTE(C2,"*",""),"?",""),"~",""))&amp;"0"&amp;M2&amp;RIGHT("00000"&amp;ROW(),5),IF('FALTAS POR DECK'!$P$1="Falta (maior primeiro)","K"&amp;RIGHT("0000"&amp;(9999-F2),4)&amp;M2&amp;RIGHT("00000"&amp;ROW(),5),IF('FALTAS POR DECK'!$P$1="Deck e código","K"&amp;RIGHT("00"&amp;IFERROR(MATCH(A2,_LEITURA!$P$2:$P$21,0),99),2)&amp;M2&amp;RIGHT("00000"&amp;ROW(),5),"K"&amp;RIGHT("00000"&amp;ROW(),5))))))</f>
        <v/>
      </c>
      <c r="O2" s="16" t="str">
        <f aca="false">IF(N2="","",COUNTIFS($N$2:$N$1201,"&lt;"&amp;N2,$F$2:$F$1201,"&gt;0")+1)</f>
        <v/>
      </c>
    </row>
    <row r="3" customFormat="false" ht="15" hidden="false" customHeight="false" outlineLevel="0" collapsed="false">
      <c r="A3" s="11" t="str">
        <f aca="false">IF(_LEITURA!$N3="","",INDEX(_LEITURA!$K$2:$K$1201,_LEITURA!$N3))</f>
        <v/>
      </c>
      <c r="B3" s="11" t="str">
        <f aca="false">IF(_LEITURA!$N3="","",INDEX(_LEITURA!$E$2:$E$1201,_LEITURA!$N3))</f>
        <v/>
      </c>
      <c r="C3" s="11" t="str">
        <f aca="false">IF(_LEITURA!$N3="","",INDEX(_LEITURA!$J$2:$J$1201,_LEITURA!$N3))</f>
        <v/>
      </c>
      <c r="D3" s="16" t="str">
        <f aca="false">IF(_LEITURA!$N3="","",INDEX(_LEITURA!$G$2:$G$1201,_LEITURA!$N3))</f>
        <v/>
      </c>
      <c r="E3" s="16" t="str">
        <f aca="false">IF(B3="","",SUMIFS(INVENTÁRIO!$C$2:$C$801,INVENTÁRIO!$A$2:$A$801,B3))</f>
        <v/>
      </c>
      <c r="F3" s="16" t="str">
        <f aca="false">IF(B3="","",MAX(0,D3-E3))</f>
        <v/>
      </c>
      <c r="G3" s="16" t="str">
        <f aca="false">IF(B3="","",IF(COUNTIFS($B$2:$B$1201,B3,$A$2:$A$1201,"&lt;&gt;"&amp;A3)&gt;0,"Sim",""))</f>
        <v/>
      </c>
      <c r="H3" s="16" t="str">
        <f aca="false">IF(N(F3)&gt;0,MAX(H$1:H2)+1,"")</f>
        <v/>
      </c>
      <c r="I3" s="11" t="str">
        <f aca="false">IF(B3="","",IF(INDEX($C$2:$C$1201,MATCH(B3,$B$2:$B$1201,0))&lt;&gt;C3,"Nome diferente em outro deck — revisar",""))</f>
        <v/>
      </c>
      <c r="J3" s="16" t="str">
        <f aca="false">IF(AND(B3&lt;&gt;"",A3=BULK!$A$1,N(F3)&gt;0),MAX(J$1:J2)+1,"")</f>
        <v/>
      </c>
      <c r="K3" s="11" t="str">
        <f aca="false">IF(B3="","",IFERROR(LEFT(B3,FIND("-",B3)-1),B3))</f>
        <v/>
      </c>
      <c r="L3" s="11" t="str">
        <f aca="false">IF(K3="","",IF(ISNUMBER(--MID(K3,1,1)),0,IF(ISNUMBER(--MID(K3,2,1)),1,IF(ISNUMBER(--MID(K3,3,1)),2,IF(ISNUMBER(--MID(K3,4,1)),3,MIN(LEN(K3),4))))))</f>
        <v/>
      </c>
      <c r="M3" s="11" t="str">
        <f aca="false">IF(B3="","",LEFT(K3,L3)&amp;REPT("0",4-L3)&amp;RIGHT("000"&amp;IFERROR(VALUE(MID(K3,L3+1,9)),0),3)&amp;RIGHT("0000"&amp;IFERROR(VALUE(MID(B3,FIND("-",B3)+1,9)),0),4))</f>
        <v/>
      </c>
      <c r="N3" s="11" t="str">
        <f aca="false">IF(OR(B3="",N(F3)&lt;=0),"",IF('FALTAS POR DECK'!$P$1="Código","K"&amp;M3&amp;RIGHT("00000"&amp;ROW(),5),IF('FALTAS POR DECK'!$P$1="Nome","K"&amp;UPPER(SUBSTITUTE(SUBSTITUTE(SUBSTITUTE(C3,"*",""),"?",""),"~",""))&amp;"0"&amp;M3&amp;RIGHT("00000"&amp;ROW(),5),IF('FALTAS POR DECK'!$P$1="Falta (maior primeiro)","K"&amp;RIGHT("0000"&amp;(9999-F3),4)&amp;M3&amp;RIGHT("00000"&amp;ROW(),5),IF('FALTAS POR DECK'!$P$1="Deck e código","K"&amp;RIGHT("00"&amp;IFERROR(MATCH(A3,_LEITURA!$P$2:$P$21,0),99),2)&amp;M3&amp;RIGHT("00000"&amp;ROW(),5),"K"&amp;RIGHT("00000"&amp;ROW(),5))))))</f>
        <v/>
      </c>
      <c r="O3" s="16" t="str">
        <f aca="false">IF(N3="","",COUNTIFS($N$2:$N$1201,"&lt;"&amp;N3,$F$2:$F$1201,"&gt;0")+1)</f>
        <v/>
      </c>
    </row>
    <row r="4" customFormat="false" ht="15" hidden="false" customHeight="false" outlineLevel="0" collapsed="false">
      <c r="A4" s="11" t="str">
        <f aca="false">IF(_LEITURA!$N4="","",INDEX(_LEITURA!$K$2:$K$1201,_LEITURA!$N4))</f>
        <v/>
      </c>
      <c r="B4" s="11" t="str">
        <f aca="false">IF(_LEITURA!$N4="","",INDEX(_LEITURA!$E$2:$E$1201,_LEITURA!$N4))</f>
        <v/>
      </c>
      <c r="C4" s="11" t="str">
        <f aca="false">IF(_LEITURA!$N4="","",INDEX(_LEITURA!$J$2:$J$1201,_LEITURA!$N4))</f>
        <v/>
      </c>
      <c r="D4" s="16" t="str">
        <f aca="false">IF(_LEITURA!$N4="","",INDEX(_LEITURA!$G$2:$G$1201,_LEITURA!$N4))</f>
        <v/>
      </c>
      <c r="E4" s="16" t="str">
        <f aca="false">IF(B4="","",SUMIFS(INVENTÁRIO!$C$2:$C$801,INVENTÁRIO!$A$2:$A$801,B4))</f>
        <v/>
      </c>
      <c r="F4" s="16" t="str">
        <f aca="false">IF(B4="","",MAX(0,D4-E4))</f>
        <v/>
      </c>
      <c r="G4" s="16" t="str">
        <f aca="false">IF(B4="","",IF(COUNTIFS($B$2:$B$1201,B4,$A$2:$A$1201,"&lt;&gt;"&amp;A4)&gt;0,"Sim",""))</f>
        <v/>
      </c>
      <c r="H4" s="16" t="str">
        <f aca="false">IF(N(F4)&gt;0,MAX(H$1:H3)+1,"")</f>
        <v/>
      </c>
      <c r="I4" s="11" t="str">
        <f aca="false">IF(B4="","",IF(INDEX($C$2:$C$1201,MATCH(B4,$B$2:$B$1201,0))&lt;&gt;C4,"Nome diferente em outro deck — revisar",""))</f>
        <v/>
      </c>
      <c r="J4" s="16" t="str">
        <f aca="false">IF(AND(B4&lt;&gt;"",A4=BULK!$A$1,N(F4)&gt;0),MAX(J$1:J3)+1,"")</f>
        <v/>
      </c>
      <c r="K4" s="11" t="str">
        <f aca="false">IF(B4="","",IFERROR(LEFT(B4,FIND("-",B4)-1),B4))</f>
        <v/>
      </c>
      <c r="L4" s="11" t="str">
        <f aca="false">IF(K4="","",IF(ISNUMBER(--MID(K4,1,1)),0,IF(ISNUMBER(--MID(K4,2,1)),1,IF(ISNUMBER(--MID(K4,3,1)),2,IF(ISNUMBER(--MID(K4,4,1)),3,MIN(LEN(K4),4))))))</f>
        <v/>
      </c>
      <c r="M4" s="11" t="str">
        <f aca="false">IF(B4="","",LEFT(K4,L4)&amp;REPT("0",4-L4)&amp;RIGHT("000"&amp;IFERROR(VALUE(MID(K4,L4+1,9)),0),3)&amp;RIGHT("0000"&amp;IFERROR(VALUE(MID(B4,FIND("-",B4)+1,9)),0),4))</f>
        <v/>
      </c>
      <c r="N4" s="11" t="str">
        <f aca="false">IF(OR(B4="",N(F4)&lt;=0),"",IF('FALTAS POR DECK'!$P$1="Código","K"&amp;M4&amp;RIGHT("00000"&amp;ROW(),5),IF('FALTAS POR DECK'!$P$1="Nome","K"&amp;UPPER(SUBSTITUTE(SUBSTITUTE(SUBSTITUTE(C4,"*",""),"?",""),"~",""))&amp;"0"&amp;M4&amp;RIGHT("00000"&amp;ROW(),5),IF('FALTAS POR DECK'!$P$1="Falta (maior primeiro)","K"&amp;RIGHT("0000"&amp;(9999-F4),4)&amp;M4&amp;RIGHT("00000"&amp;ROW(),5),IF('FALTAS POR DECK'!$P$1="Deck e código","K"&amp;RIGHT("00"&amp;IFERROR(MATCH(A4,_LEITURA!$P$2:$P$21,0),99),2)&amp;M4&amp;RIGHT("00000"&amp;ROW(),5),"K"&amp;RIGHT("00000"&amp;ROW(),5))))))</f>
        <v/>
      </c>
      <c r="O4" s="16" t="str">
        <f aca="false">IF(N4="","",COUNTIFS($N$2:$N$1201,"&lt;"&amp;N4,$F$2:$F$1201,"&gt;0")+1)</f>
        <v/>
      </c>
    </row>
    <row r="5" customFormat="false" ht="15" hidden="false" customHeight="false" outlineLevel="0" collapsed="false">
      <c r="A5" s="11" t="str">
        <f aca="false">IF(_LEITURA!$N5="","",INDEX(_LEITURA!$K$2:$K$1201,_LEITURA!$N5))</f>
        <v/>
      </c>
      <c r="B5" s="11" t="str">
        <f aca="false">IF(_LEITURA!$N5="","",INDEX(_LEITURA!$E$2:$E$1201,_LEITURA!$N5))</f>
        <v/>
      </c>
      <c r="C5" s="11" t="str">
        <f aca="false">IF(_LEITURA!$N5="","",INDEX(_LEITURA!$J$2:$J$1201,_LEITURA!$N5))</f>
        <v/>
      </c>
      <c r="D5" s="16" t="str">
        <f aca="false">IF(_LEITURA!$N5="","",INDEX(_LEITURA!$G$2:$G$1201,_LEITURA!$N5))</f>
        <v/>
      </c>
      <c r="E5" s="16" t="str">
        <f aca="false">IF(B5="","",SUMIFS(INVENTÁRIO!$C$2:$C$801,INVENTÁRIO!$A$2:$A$801,B5))</f>
        <v/>
      </c>
      <c r="F5" s="16" t="str">
        <f aca="false">IF(B5="","",MAX(0,D5-E5))</f>
        <v/>
      </c>
      <c r="G5" s="16" t="str">
        <f aca="false">IF(B5="","",IF(COUNTIFS($B$2:$B$1201,B5,$A$2:$A$1201,"&lt;&gt;"&amp;A5)&gt;0,"Sim",""))</f>
        <v/>
      </c>
      <c r="H5" s="16" t="str">
        <f aca="false">IF(N(F5)&gt;0,MAX(H$1:H4)+1,"")</f>
        <v/>
      </c>
      <c r="I5" s="11" t="str">
        <f aca="false">IF(B5="","",IF(INDEX($C$2:$C$1201,MATCH(B5,$B$2:$B$1201,0))&lt;&gt;C5,"Nome diferente em outro deck — revisar",""))</f>
        <v/>
      </c>
      <c r="J5" s="16" t="str">
        <f aca="false">IF(AND(B5&lt;&gt;"",A5=BULK!$A$1,N(F5)&gt;0),MAX(J$1:J4)+1,"")</f>
        <v/>
      </c>
      <c r="K5" s="11" t="str">
        <f aca="false">IF(B5="","",IFERROR(LEFT(B5,FIND("-",B5)-1),B5))</f>
        <v/>
      </c>
      <c r="L5" s="11" t="str">
        <f aca="false">IF(K5="","",IF(ISNUMBER(--MID(K5,1,1)),0,IF(ISNUMBER(--MID(K5,2,1)),1,IF(ISNUMBER(--MID(K5,3,1)),2,IF(ISNUMBER(--MID(K5,4,1)),3,MIN(LEN(K5),4))))))</f>
        <v/>
      </c>
      <c r="M5" s="11" t="str">
        <f aca="false">IF(B5="","",LEFT(K5,L5)&amp;REPT("0",4-L5)&amp;RIGHT("000"&amp;IFERROR(VALUE(MID(K5,L5+1,9)),0),3)&amp;RIGHT("0000"&amp;IFERROR(VALUE(MID(B5,FIND("-",B5)+1,9)),0),4))</f>
        <v/>
      </c>
      <c r="N5" s="11" t="str">
        <f aca="false">IF(OR(B5="",N(F5)&lt;=0),"",IF('FALTAS POR DECK'!$P$1="Código","K"&amp;M5&amp;RIGHT("00000"&amp;ROW(),5),IF('FALTAS POR DECK'!$P$1="Nome","K"&amp;UPPER(SUBSTITUTE(SUBSTITUTE(SUBSTITUTE(C5,"*",""),"?",""),"~",""))&amp;"0"&amp;M5&amp;RIGHT("00000"&amp;ROW(),5),IF('FALTAS POR DECK'!$P$1="Falta (maior primeiro)","K"&amp;RIGHT("0000"&amp;(9999-F5),4)&amp;M5&amp;RIGHT("00000"&amp;ROW(),5),IF('FALTAS POR DECK'!$P$1="Deck e código","K"&amp;RIGHT("00"&amp;IFERROR(MATCH(A5,_LEITURA!$P$2:$P$21,0),99),2)&amp;M5&amp;RIGHT("00000"&amp;ROW(),5),"K"&amp;RIGHT("00000"&amp;ROW(),5))))))</f>
        <v/>
      </c>
      <c r="O5" s="16" t="str">
        <f aca="false">IF(N5="","",COUNTIFS($N$2:$N$1201,"&lt;"&amp;N5,$F$2:$F$1201,"&gt;0")+1)</f>
        <v/>
      </c>
    </row>
    <row r="6" customFormat="false" ht="15" hidden="false" customHeight="false" outlineLevel="0" collapsed="false">
      <c r="A6" s="11" t="str">
        <f aca="false">IF(_LEITURA!$N6="","",INDEX(_LEITURA!$K$2:$K$1201,_LEITURA!$N6))</f>
        <v/>
      </c>
      <c r="B6" s="11" t="str">
        <f aca="false">IF(_LEITURA!$N6="","",INDEX(_LEITURA!$E$2:$E$1201,_LEITURA!$N6))</f>
        <v/>
      </c>
      <c r="C6" s="11" t="str">
        <f aca="false">IF(_LEITURA!$N6="","",INDEX(_LEITURA!$J$2:$J$1201,_LEITURA!$N6))</f>
        <v/>
      </c>
      <c r="D6" s="16" t="str">
        <f aca="false">IF(_LEITURA!$N6="","",INDEX(_LEITURA!$G$2:$G$1201,_LEITURA!$N6))</f>
        <v/>
      </c>
      <c r="E6" s="16" t="str">
        <f aca="false">IF(B6="","",SUMIFS(INVENTÁRIO!$C$2:$C$801,INVENTÁRIO!$A$2:$A$801,B6))</f>
        <v/>
      </c>
      <c r="F6" s="16" t="str">
        <f aca="false">IF(B6="","",MAX(0,D6-E6))</f>
        <v/>
      </c>
      <c r="G6" s="16" t="str">
        <f aca="false">IF(B6="","",IF(COUNTIFS($B$2:$B$1201,B6,$A$2:$A$1201,"&lt;&gt;"&amp;A6)&gt;0,"Sim",""))</f>
        <v/>
      </c>
      <c r="H6" s="16" t="str">
        <f aca="false">IF(N(F6)&gt;0,MAX(H$1:H5)+1,"")</f>
        <v/>
      </c>
      <c r="I6" s="11" t="str">
        <f aca="false">IF(B6="","",IF(INDEX($C$2:$C$1201,MATCH(B6,$B$2:$B$1201,0))&lt;&gt;C6,"Nome diferente em outro deck — revisar",""))</f>
        <v/>
      </c>
      <c r="J6" s="16" t="str">
        <f aca="false">IF(AND(B6&lt;&gt;"",A6=BULK!$A$1,N(F6)&gt;0),MAX(J$1:J5)+1,"")</f>
        <v/>
      </c>
      <c r="K6" s="11" t="str">
        <f aca="false">IF(B6="","",IFERROR(LEFT(B6,FIND("-",B6)-1),B6))</f>
        <v/>
      </c>
      <c r="L6" s="11" t="str">
        <f aca="false">IF(K6="","",IF(ISNUMBER(--MID(K6,1,1)),0,IF(ISNUMBER(--MID(K6,2,1)),1,IF(ISNUMBER(--MID(K6,3,1)),2,IF(ISNUMBER(--MID(K6,4,1)),3,MIN(LEN(K6),4))))))</f>
        <v/>
      </c>
      <c r="M6" s="11" t="str">
        <f aca="false">IF(B6="","",LEFT(K6,L6)&amp;REPT("0",4-L6)&amp;RIGHT("000"&amp;IFERROR(VALUE(MID(K6,L6+1,9)),0),3)&amp;RIGHT("0000"&amp;IFERROR(VALUE(MID(B6,FIND("-",B6)+1,9)),0),4))</f>
        <v/>
      </c>
      <c r="N6" s="11" t="str">
        <f aca="false">IF(OR(B6="",N(F6)&lt;=0),"",IF('FALTAS POR DECK'!$P$1="Código","K"&amp;M6&amp;RIGHT("00000"&amp;ROW(),5),IF('FALTAS POR DECK'!$P$1="Nome","K"&amp;UPPER(SUBSTITUTE(SUBSTITUTE(SUBSTITUTE(C6,"*",""),"?",""),"~",""))&amp;"0"&amp;M6&amp;RIGHT("00000"&amp;ROW(),5),IF('FALTAS POR DECK'!$P$1="Falta (maior primeiro)","K"&amp;RIGHT("0000"&amp;(9999-F6),4)&amp;M6&amp;RIGHT("00000"&amp;ROW(),5),IF('FALTAS POR DECK'!$P$1="Deck e código","K"&amp;RIGHT("00"&amp;IFERROR(MATCH(A6,_LEITURA!$P$2:$P$21,0),99),2)&amp;M6&amp;RIGHT("00000"&amp;ROW(),5),"K"&amp;RIGHT("00000"&amp;ROW(),5))))))</f>
        <v/>
      </c>
      <c r="O6" s="16" t="str">
        <f aca="false">IF(N6="","",COUNTIFS($N$2:$N$1201,"&lt;"&amp;N6,$F$2:$F$1201,"&gt;0")+1)</f>
        <v/>
      </c>
    </row>
    <row r="7" customFormat="false" ht="15" hidden="false" customHeight="false" outlineLevel="0" collapsed="false">
      <c r="A7" s="11" t="str">
        <f aca="false">IF(_LEITURA!$N7="","",INDEX(_LEITURA!$K$2:$K$1201,_LEITURA!$N7))</f>
        <v/>
      </c>
      <c r="B7" s="11" t="str">
        <f aca="false">IF(_LEITURA!$N7="","",INDEX(_LEITURA!$E$2:$E$1201,_LEITURA!$N7))</f>
        <v/>
      </c>
      <c r="C7" s="11" t="str">
        <f aca="false">IF(_LEITURA!$N7="","",INDEX(_LEITURA!$J$2:$J$1201,_LEITURA!$N7))</f>
        <v/>
      </c>
      <c r="D7" s="16" t="str">
        <f aca="false">IF(_LEITURA!$N7="","",INDEX(_LEITURA!$G$2:$G$1201,_LEITURA!$N7))</f>
        <v/>
      </c>
      <c r="E7" s="16" t="str">
        <f aca="false">IF(B7="","",SUMIFS(INVENTÁRIO!$C$2:$C$801,INVENTÁRIO!$A$2:$A$801,B7))</f>
        <v/>
      </c>
      <c r="F7" s="16" t="str">
        <f aca="false">IF(B7="","",MAX(0,D7-E7))</f>
        <v/>
      </c>
      <c r="G7" s="16" t="str">
        <f aca="false">IF(B7="","",IF(COUNTIFS($B$2:$B$1201,B7,$A$2:$A$1201,"&lt;&gt;"&amp;A7)&gt;0,"Sim",""))</f>
        <v/>
      </c>
      <c r="H7" s="16" t="str">
        <f aca="false">IF(N(F7)&gt;0,MAX(H$1:H6)+1,"")</f>
        <v/>
      </c>
      <c r="I7" s="11" t="str">
        <f aca="false">IF(B7="","",IF(INDEX($C$2:$C$1201,MATCH(B7,$B$2:$B$1201,0))&lt;&gt;C7,"Nome diferente em outro deck — revisar",""))</f>
        <v/>
      </c>
      <c r="J7" s="16" t="str">
        <f aca="false">IF(AND(B7&lt;&gt;"",A7=BULK!$A$1,N(F7)&gt;0),MAX(J$1:J6)+1,"")</f>
        <v/>
      </c>
      <c r="K7" s="11" t="str">
        <f aca="false">IF(B7="","",IFERROR(LEFT(B7,FIND("-",B7)-1),B7))</f>
        <v/>
      </c>
      <c r="L7" s="11" t="str">
        <f aca="false">IF(K7="","",IF(ISNUMBER(--MID(K7,1,1)),0,IF(ISNUMBER(--MID(K7,2,1)),1,IF(ISNUMBER(--MID(K7,3,1)),2,IF(ISNUMBER(--MID(K7,4,1)),3,MIN(LEN(K7),4))))))</f>
        <v/>
      </c>
      <c r="M7" s="11" t="str">
        <f aca="false">IF(B7="","",LEFT(K7,L7)&amp;REPT("0",4-L7)&amp;RIGHT("000"&amp;IFERROR(VALUE(MID(K7,L7+1,9)),0),3)&amp;RIGHT("0000"&amp;IFERROR(VALUE(MID(B7,FIND("-",B7)+1,9)),0),4))</f>
        <v/>
      </c>
      <c r="N7" s="11" t="str">
        <f aca="false">IF(OR(B7="",N(F7)&lt;=0),"",IF('FALTAS POR DECK'!$P$1="Código","K"&amp;M7&amp;RIGHT("00000"&amp;ROW(),5),IF('FALTAS POR DECK'!$P$1="Nome","K"&amp;UPPER(SUBSTITUTE(SUBSTITUTE(SUBSTITUTE(C7,"*",""),"?",""),"~",""))&amp;"0"&amp;M7&amp;RIGHT("00000"&amp;ROW(),5),IF('FALTAS POR DECK'!$P$1="Falta (maior primeiro)","K"&amp;RIGHT("0000"&amp;(9999-F7),4)&amp;M7&amp;RIGHT("00000"&amp;ROW(),5),IF('FALTAS POR DECK'!$P$1="Deck e código","K"&amp;RIGHT("00"&amp;IFERROR(MATCH(A7,_LEITURA!$P$2:$P$21,0),99),2)&amp;M7&amp;RIGHT("00000"&amp;ROW(),5),"K"&amp;RIGHT("00000"&amp;ROW(),5))))))</f>
        <v/>
      </c>
      <c r="O7" s="16" t="str">
        <f aca="false">IF(N7="","",COUNTIFS($N$2:$N$1201,"&lt;"&amp;N7,$F$2:$F$1201,"&gt;0")+1)</f>
        <v/>
      </c>
    </row>
    <row r="8" customFormat="false" ht="15" hidden="false" customHeight="false" outlineLevel="0" collapsed="false">
      <c r="A8" s="11" t="str">
        <f aca="false">IF(_LEITURA!$N8="","",INDEX(_LEITURA!$K$2:$K$1201,_LEITURA!$N8))</f>
        <v/>
      </c>
      <c r="B8" s="11" t="str">
        <f aca="false">IF(_LEITURA!$N8="","",INDEX(_LEITURA!$E$2:$E$1201,_LEITURA!$N8))</f>
        <v/>
      </c>
      <c r="C8" s="11" t="str">
        <f aca="false">IF(_LEITURA!$N8="","",INDEX(_LEITURA!$J$2:$J$1201,_LEITURA!$N8))</f>
        <v/>
      </c>
      <c r="D8" s="16" t="str">
        <f aca="false">IF(_LEITURA!$N8="","",INDEX(_LEITURA!$G$2:$G$1201,_LEITURA!$N8))</f>
        <v/>
      </c>
      <c r="E8" s="16" t="str">
        <f aca="false">IF(B8="","",SUMIFS(INVENTÁRIO!$C$2:$C$801,INVENTÁRIO!$A$2:$A$801,B8))</f>
        <v/>
      </c>
      <c r="F8" s="16" t="str">
        <f aca="false">IF(B8="","",MAX(0,D8-E8))</f>
        <v/>
      </c>
      <c r="G8" s="16" t="str">
        <f aca="false">IF(B8="","",IF(COUNTIFS($B$2:$B$1201,B8,$A$2:$A$1201,"&lt;&gt;"&amp;A8)&gt;0,"Sim",""))</f>
        <v/>
      </c>
      <c r="H8" s="16" t="str">
        <f aca="false">IF(N(F8)&gt;0,MAX(H$1:H7)+1,"")</f>
        <v/>
      </c>
      <c r="I8" s="11" t="str">
        <f aca="false">IF(B8="","",IF(INDEX($C$2:$C$1201,MATCH(B8,$B$2:$B$1201,0))&lt;&gt;C8,"Nome diferente em outro deck — revisar",""))</f>
        <v/>
      </c>
      <c r="J8" s="16" t="str">
        <f aca="false">IF(AND(B8&lt;&gt;"",A8=BULK!$A$1,N(F8)&gt;0),MAX(J$1:J7)+1,"")</f>
        <v/>
      </c>
      <c r="K8" s="11" t="str">
        <f aca="false">IF(B8="","",IFERROR(LEFT(B8,FIND("-",B8)-1),B8))</f>
        <v/>
      </c>
      <c r="L8" s="11" t="str">
        <f aca="false">IF(K8="","",IF(ISNUMBER(--MID(K8,1,1)),0,IF(ISNUMBER(--MID(K8,2,1)),1,IF(ISNUMBER(--MID(K8,3,1)),2,IF(ISNUMBER(--MID(K8,4,1)),3,MIN(LEN(K8),4))))))</f>
        <v/>
      </c>
      <c r="M8" s="11" t="str">
        <f aca="false">IF(B8="","",LEFT(K8,L8)&amp;REPT("0",4-L8)&amp;RIGHT("000"&amp;IFERROR(VALUE(MID(K8,L8+1,9)),0),3)&amp;RIGHT("0000"&amp;IFERROR(VALUE(MID(B8,FIND("-",B8)+1,9)),0),4))</f>
        <v/>
      </c>
      <c r="N8" s="11" t="str">
        <f aca="false">IF(OR(B8="",N(F8)&lt;=0),"",IF('FALTAS POR DECK'!$P$1="Código","K"&amp;M8&amp;RIGHT("00000"&amp;ROW(),5),IF('FALTAS POR DECK'!$P$1="Nome","K"&amp;UPPER(SUBSTITUTE(SUBSTITUTE(SUBSTITUTE(C8,"*",""),"?",""),"~",""))&amp;"0"&amp;M8&amp;RIGHT("00000"&amp;ROW(),5),IF('FALTAS POR DECK'!$P$1="Falta (maior primeiro)","K"&amp;RIGHT("0000"&amp;(9999-F8),4)&amp;M8&amp;RIGHT("00000"&amp;ROW(),5),IF('FALTAS POR DECK'!$P$1="Deck e código","K"&amp;RIGHT("00"&amp;IFERROR(MATCH(A8,_LEITURA!$P$2:$P$21,0),99),2)&amp;M8&amp;RIGHT("00000"&amp;ROW(),5),"K"&amp;RIGHT("00000"&amp;ROW(),5))))))</f>
        <v/>
      </c>
      <c r="O8" s="16" t="str">
        <f aca="false">IF(N8="","",COUNTIFS($N$2:$N$1201,"&lt;"&amp;N8,$F$2:$F$1201,"&gt;0")+1)</f>
        <v/>
      </c>
    </row>
    <row r="9" customFormat="false" ht="15" hidden="false" customHeight="false" outlineLevel="0" collapsed="false">
      <c r="A9" s="11" t="str">
        <f aca="false">IF(_LEITURA!$N9="","",INDEX(_LEITURA!$K$2:$K$1201,_LEITURA!$N9))</f>
        <v/>
      </c>
      <c r="B9" s="11" t="str">
        <f aca="false">IF(_LEITURA!$N9="","",INDEX(_LEITURA!$E$2:$E$1201,_LEITURA!$N9))</f>
        <v/>
      </c>
      <c r="C9" s="11" t="str">
        <f aca="false">IF(_LEITURA!$N9="","",INDEX(_LEITURA!$J$2:$J$1201,_LEITURA!$N9))</f>
        <v/>
      </c>
      <c r="D9" s="16" t="str">
        <f aca="false">IF(_LEITURA!$N9="","",INDEX(_LEITURA!$G$2:$G$1201,_LEITURA!$N9))</f>
        <v/>
      </c>
      <c r="E9" s="16" t="str">
        <f aca="false">IF(B9="","",SUMIFS(INVENTÁRIO!$C$2:$C$801,INVENTÁRIO!$A$2:$A$801,B9))</f>
        <v/>
      </c>
      <c r="F9" s="16" t="str">
        <f aca="false">IF(B9="","",MAX(0,D9-E9))</f>
        <v/>
      </c>
      <c r="G9" s="16" t="str">
        <f aca="false">IF(B9="","",IF(COUNTIFS($B$2:$B$1201,B9,$A$2:$A$1201,"&lt;&gt;"&amp;A9)&gt;0,"Sim",""))</f>
        <v/>
      </c>
      <c r="H9" s="16" t="str">
        <f aca="false">IF(N(F9)&gt;0,MAX(H$1:H8)+1,"")</f>
        <v/>
      </c>
      <c r="I9" s="11" t="str">
        <f aca="false">IF(B9="","",IF(INDEX($C$2:$C$1201,MATCH(B9,$B$2:$B$1201,0))&lt;&gt;C9,"Nome diferente em outro deck — revisar",""))</f>
        <v/>
      </c>
      <c r="J9" s="16" t="str">
        <f aca="false">IF(AND(B9&lt;&gt;"",A9=BULK!$A$1,N(F9)&gt;0),MAX(J$1:J8)+1,"")</f>
        <v/>
      </c>
      <c r="K9" s="11" t="str">
        <f aca="false">IF(B9="","",IFERROR(LEFT(B9,FIND("-",B9)-1),B9))</f>
        <v/>
      </c>
      <c r="L9" s="11" t="str">
        <f aca="false">IF(K9="","",IF(ISNUMBER(--MID(K9,1,1)),0,IF(ISNUMBER(--MID(K9,2,1)),1,IF(ISNUMBER(--MID(K9,3,1)),2,IF(ISNUMBER(--MID(K9,4,1)),3,MIN(LEN(K9),4))))))</f>
        <v/>
      </c>
      <c r="M9" s="11" t="str">
        <f aca="false">IF(B9="","",LEFT(K9,L9)&amp;REPT("0",4-L9)&amp;RIGHT("000"&amp;IFERROR(VALUE(MID(K9,L9+1,9)),0),3)&amp;RIGHT("0000"&amp;IFERROR(VALUE(MID(B9,FIND("-",B9)+1,9)),0),4))</f>
        <v/>
      </c>
      <c r="N9" s="11" t="str">
        <f aca="false">IF(OR(B9="",N(F9)&lt;=0),"",IF('FALTAS POR DECK'!$P$1="Código","K"&amp;M9&amp;RIGHT("00000"&amp;ROW(),5),IF('FALTAS POR DECK'!$P$1="Nome","K"&amp;UPPER(SUBSTITUTE(SUBSTITUTE(SUBSTITUTE(C9,"*",""),"?",""),"~",""))&amp;"0"&amp;M9&amp;RIGHT("00000"&amp;ROW(),5),IF('FALTAS POR DECK'!$P$1="Falta (maior primeiro)","K"&amp;RIGHT("0000"&amp;(9999-F9),4)&amp;M9&amp;RIGHT("00000"&amp;ROW(),5),IF('FALTAS POR DECK'!$P$1="Deck e código","K"&amp;RIGHT("00"&amp;IFERROR(MATCH(A9,_LEITURA!$P$2:$P$21,0),99),2)&amp;M9&amp;RIGHT("00000"&amp;ROW(),5),"K"&amp;RIGHT("00000"&amp;ROW(),5))))))</f>
        <v/>
      </c>
      <c r="O9" s="16" t="str">
        <f aca="false">IF(N9="","",COUNTIFS($N$2:$N$1201,"&lt;"&amp;N9,$F$2:$F$1201,"&gt;0")+1)</f>
        <v/>
      </c>
    </row>
    <row r="10" customFormat="false" ht="15" hidden="false" customHeight="false" outlineLevel="0" collapsed="false">
      <c r="A10" s="11" t="str">
        <f aca="false">IF(_LEITURA!$N10="","",INDEX(_LEITURA!$K$2:$K$1201,_LEITURA!$N10))</f>
        <v/>
      </c>
      <c r="B10" s="11" t="str">
        <f aca="false">IF(_LEITURA!$N10="","",INDEX(_LEITURA!$E$2:$E$1201,_LEITURA!$N10))</f>
        <v/>
      </c>
      <c r="C10" s="11" t="str">
        <f aca="false">IF(_LEITURA!$N10="","",INDEX(_LEITURA!$J$2:$J$1201,_LEITURA!$N10))</f>
        <v/>
      </c>
      <c r="D10" s="16" t="str">
        <f aca="false">IF(_LEITURA!$N10="","",INDEX(_LEITURA!$G$2:$G$1201,_LEITURA!$N10))</f>
        <v/>
      </c>
      <c r="E10" s="16" t="str">
        <f aca="false">IF(B10="","",SUMIFS(INVENTÁRIO!$C$2:$C$801,INVENTÁRIO!$A$2:$A$801,B10))</f>
        <v/>
      </c>
      <c r="F10" s="16" t="str">
        <f aca="false">IF(B10="","",MAX(0,D10-E10))</f>
        <v/>
      </c>
      <c r="G10" s="16" t="str">
        <f aca="false">IF(B10="","",IF(COUNTIFS($B$2:$B$1201,B10,$A$2:$A$1201,"&lt;&gt;"&amp;A10)&gt;0,"Sim",""))</f>
        <v/>
      </c>
      <c r="H10" s="16" t="str">
        <f aca="false">IF(N(F10)&gt;0,MAX(H$1:H9)+1,"")</f>
        <v/>
      </c>
      <c r="I10" s="11" t="str">
        <f aca="false">IF(B10="","",IF(INDEX($C$2:$C$1201,MATCH(B10,$B$2:$B$1201,0))&lt;&gt;C10,"Nome diferente em outro deck — revisar",""))</f>
        <v/>
      </c>
      <c r="J10" s="16" t="str">
        <f aca="false">IF(AND(B10&lt;&gt;"",A10=BULK!$A$1,N(F10)&gt;0),MAX(J$1:J9)+1,"")</f>
        <v/>
      </c>
      <c r="K10" s="11" t="str">
        <f aca="false">IF(B10="","",IFERROR(LEFT(B10,FIND("-",B10)-1),B10))</f>
        <v/>
      </c>
      <c r="L10" s="11" t="str">
        <f aca="false">IF(K10="","",IF(ISNUMBER(--MID(K10,1,1)),0,IF(ISNUMBER(--MID(K10,2,1)),1,IF(ISNUMBER(--MID(K10,3,1)),2,IF(ISNUMBER(--MID(K10,4,1)),3,MIN(LEN(K10),4))))))</f>
        <v/>
      </c>
      <c r="M10" s="11" t="str">
        <f aca="false">IF(B10="","",LEFT(K10,L10)&amp;REPT("0",4-L10)&amp;RIGHT("000"&amp;IFERROR(VALUE(MID(K10,L10+1,9)),0),3)&amp;RIGHT("0000"&amp;IFERROR(VALUE(MID(B10,FIND("-",B10)+1,9)),0),4))</f>
        <v/>
      </c>
      <c r="N10" s="11" t="str">
        <f aca="false">IF(OR(B10="",N(F10)&lt;=0),"",IF('FALTAS POR DECK'!$P$1="Código","K"&amp;M10&amp;RIGHT("00000"&amp;ROW(),5),IF('FALTAS POR DECK'!$P$1="Nome","K"&amp;UPPER(SUBSTITUTE(SUBSTITUTE(SUBSTITUTE(C10,"*",""),"?",""),"~",""))&amp;"0"&amp;M10&amp;RIGHT("00000"&amp;ROW(),5),IF('FALTAS POR DECK'!$P$1="Falta (maior primeiro)","K"&amp;RIGHT("0000"&amp;(9999-F10),4)&amp;M10&amp;RIGHT("00000"&amp;ROW(),5),IF('FALTAS POR DECK'!$P$1="Deck e código","K"&amp;RIGHT("00"&amp;IFERROR(MATCH(A10,_LEITURA!$P$2:$P$21,0),99),2)&amp;M10&amp;RIGHT("00000"&amp;ROW(),5),"K"&amp;RIGHT("00000"&amp;ROW(),5))))))</f>
        <v/>
      </c>
      <c r="O10" s="16" t="str">
        <f aca="false">IF(N10="","",COUNTIFS($N$2:$N$1201,"&lt;"&amp;N10,$F$2:$F$1201,"&gt;0")+1)</f>
        <v/>
      </c>
    </row>
    <row r="11" customFormat="false" ht="15" hidden="false" customHeight="false" outlineLevel="0" collapsed="false">
      <c r="A11" s="11" t="str">
        <f aca="false">IF(_LEITURA!$N11="","",INDEX(_LEITURA!$K$2:$K$1201,_LEITURA!$N11))</f>
        <v/>
      </c>
      <c r="B11" s="11" t="str">
        <f aca="false">IF(_LEITURA!$N11="","",INDEX(_LEITURA!$E$2:$E$1201,_LEITURA!$N11))</f>
        <v/>
      </c>
      <c r="C11" s="11" t="str">
        <f aca="false">IF(_LEITURA!$N11="","",INDEX(_LEITURA!$J$2:$J$1201,_LEITURA!$N11))</f>
        <v/>
      </c>
      <c r="D11" s="16" t="str">
        <f aca="false">IF(_LEITURA!$N11="","",INDEX(_LEITURA!$G$2:$G$1201,_LEITURA!$N11))</f>
        <v/>
      </c>
      <c r="E11" s="16" t="str">
        <f aca="false">IF(B11="","",SUMIFS(INVENTÁRIO!$C$2:$C$801,INVENTÁRIO!$A$2:$A$801,B11))</f>
        <v/>
      </c>
      <c r="F11" s="16" t="str">
        <f aca="false">IF(B11="","",MAX(0,D11-E11))</f>
        <v/>
      </c>
      <c r="G11" s="16" t="str">
        <f aca="false">IF(B11="","",IF(COUNTIFS($B$2:$B$1201,B11,$A$2:$A$1201,"&lt;&gt;"&amp;A11)&gt;0,"Sim",""))</f>
        <v/>
      </c>
      <c r="H11" s="16" t="str">
        <f aca="false">IF(N(F11)&gt;0,MAX(H$1:H10)+1,"")</f>
        <v/>
      </c>
      <c r="I11" s="11" t="str">
        <f aca="false">IF(B11="","",IF(INDEX($C$2:$C$1201,MATCH(B11,$B$2:$B$1201,0))&lt;&gt;C11,"Nome diferente em outro deck — revisar",""))</f>
        <v/>
      </c>
      <c r="J11" s="16" t="str">
        <f aca="false">IF(AND(B11&lt;&gt;"",A11=BULK!$A$1,N(F11)&gt;0),MAX(J$1:J10)+1,"")</f>
        <v/>
      </c>
      <c r="K11" s="11" t="str">
        <f aca="false">IF(B11="","",IFERROR(LEFT(B11,FIND("-",B11)-1),B11))</f>
        <v/>
      </c>
      <c r="L11" s="11" t="str">
        <f aca="false">IF(K11="","",IF(ISNUMBER(--MID(K11,1,1)),0,IF(ISNUMBER(--MID(K11,2,1)),1,IF(ISNUMBER(--MID(K11,3,1)),2,IF(ISNUMBER(--MID(K11,4,1)),3,MIN(LEN(K11),4))))))</f>
        <v/>
      </c>
      <c r="M11" s="11" t="str">
        <f aca="false">IF(B11="","",LEFT(K11,L11)&amp;REPT("0",4-L11)&amp;RIGHT("000"&amp;IFERROR(VALUE(MID(K11,L11+1,9)),0),3)&amp;RIGHT("0000"&amp;IFERROR(VALUE(MID(B11,FIND("-",B11)+1,9)),0),4))</f>
        <v/>
      </c>
      <c r="N11" s="11" t="str">
        <f aca="false">IF(OR(B11="",N(F11)&lt;=0),"",IF('FALTAS POR DECK'!$P$1="Código","K"&amp;M11&amp;RIGHT("00000"&amp;ROW(),5),IF('FALTAS POR DECK'!$P$1="Nome","K"&amp;UPPER(SUBSTITUTE(SUBSTITUTE(SUBSTITUTE(C11,"*",""),"?",""),"~",""))&amp;"0"&amp;M11&amp;RIGHT("00000"&amp;ROW(),5),IF('FALTAS POR DECK'!$P$1="Falta (maior primeiro)","K"&amp;RIGHT("0000"&amp;(9999-F11),4)&amp;M11&amp;RIGHT("00000"&amp;ROW(),5),IF('FALTAS POR DECK'!$P$1="Deck e código","K"&amp;RIGHT("00"&amp;IFERROR(MATCH(A11,_LEITURA!$P$2:$P$21,0),99),2)&amp;M11&amp;RIGHT("00000"&amp;ROW(),5),"K"&amp;RIGHT("00000"&amp;ROW(),5))))))</f>
        <v/>
      </c>
      <c r="O11" s="16" t="str">
        <f aca="false">IF(N11="","",COUNTIFS($N$2:$N$1201,"&lt;"&amp;N11,$F$2:$F$1201,"&gt;0")+1)</f>
        <v/>
      </c>
    </row>
    <row r="12" customFormat="false" ht="15" hidden="false" customHeight="false" outlineLevel="0" collapsed="false">
      <c r="A12" s="11" t="str">
        <f aca="false">IF(_LEITURA!$N12="","",INDEX(_LEITURA!$K$2:$K$1201,_LEITURA!$N12))</f>
        <v/>
      </c>
      <c r="B12" s="11" t="str">
        <f aca="false">IF(_LEITURA!$N12="","",INDEX(_LEITURA!$E$2:$E$1201,_LEITURA!$N12))</f>
        <v/>
      </c>
      <c r="C12" s="11" t="str">
        <f aca="false">IF(_LEITURA!$N12="","",INDEX(_LEITURA!$J$2:$J$1201,_LEITURA!$N12))</f>
        <v/>
      </c>
      <c r="D12" s="16" t="str">
        <f aca="false">IF(_LEITURA!$N12="","",INDEX(_LEITURA!$G$2:$G$1201,_LEITURA!$N12))</f>
        <v/>
      </c>
      <c r="E12" s="16" t="str">
        <f aca="false">IF(B12="","",SUMIFS(INVENTÁRIO!$C$2:$C$801,INVENTÁRIO!$A$2:$A$801,B12))</f>
        <v/>
      </c>
      <c r="F12" s="16" t="str">
        <f aca="false">IF(B12="","",MAX(0,D12-E12))</f>
        <v/>
      </c>
      <c r="G12" s="16" t="str">
        <f aca="false">IF(B12="","",IF(COUNTIFS($B$2:$B$1201,B12,$A$2:$A$1201,"&lt;&gt;"&amp;A12)&gt;0,"Sim",""))</f>
        <v/>
      </c>
      <c r="H12" s="16" t="str">
        <f aca="false">IF(N(F12)&gt;0,MAX(H$1:H11)+1,"")</f>
        <v/>
      </c>
      <c r="I12" s="11" t="str">
        <f aca="false">IF(B12="","",IF(INDEX($C$2:$C$1201,MATCH(B12,$B$2:$B$1201,0))&lt;&gt;C12,"Nome diferente em outro deck — revisar",""))</f>
        <v/>
      </c>
      <c r="J12" s="16" t="str">
        <f aca="false">IF(AND(B12&lt;&gt;"",A12=BULK!$A$1,N(F12)&gt;0),MAX(J$1:J11)+1,"")</f>
        <v/>
      </c>
      <c r="K12" s="11" t="str">
        <f aca="false">IF(B12="","",IFERROR(LEFT(B12,FIND("-",B12)-1),B12))</f>
        <v/>
      </c>
      <c r="L12" s="11" t="str">
        <f aca="false">IF(K12="","",IF(ISNUMBER(--MID(K12,1,1)),0,IF(ISNUMBER(--MID(K12,2,1)),1,IF(ISNUMBER(--MID(K12,3,1)),2,IF(ISNUMBER(--MID(K12,4,1)),3,MIN(LEN(K12),4))))))</f>
        <v/>
      </c>
      <c r="M12" s="11" t="str">
        <f aca="false">IF(B12="","",LEFT(K12,L12)&amp;REPT("0",4-L12)&amp;RIGHT("000"&amp;IFERROR(VALUE(MID(K12,L12+1,9)),0),3)&amp;RIGHT("0000"&amp;IFERROR(VALUE(MID(B12,FIND("-",B12)+1,9)),0),4))</f>
        <v/>
      </c>
      <c r="N12" s="11" t="str">
        <f aca="false">IF(OR(B12="",N(F12)&lt;=0),"",IF('FALTAS POR DECK'!$P$1="Código","K"&amp;M12&amp;RIGHT("00000"&amp;ROW(),5),IF('FALTAS POR DECK'!$P$1="Nome","K"&amp;UPPER(SUBSTITUTE(SUBSTITUTE(SUBSTITUTE(C12,"*",""),"?",""),"~",""))&amp;"0"&amp;M12&amp;RIGHT("00000"&amp;ROW(),5),IF('FALTAS POR DECK'!$P$1="Falta (maior primeiro)","K"&amp;RIGHT("0000"&amp;(9999-F12),4)&amp;M12&amp;RIGHT("00000"&amp;ROW(),5),IF('FALTAS POR DECK'!$P$1="Deck e código","K"&amp;RIGHT("00"&amp;IFERROR(MATCH(A12,_LEITURA!$P$2:$P$21,0),99),2)&amp;M12&amp;RIGHT("00000"&amp;ROW(),5),"K"&amp;RIGHT("00000"&amp;ROW(),5))))))</f>
        <v/>
      </c>
      <c r="O12" s="16" t="str">
        <f aca="false">IF(N12="","",COUNTIFS($N$2:$N$1201,"&lt;"&amp;N12,$F$2:$F$1201,"&gt;0")+1)</f>
        <v/>
      </c>
    </row>
    <row r="13" customFormat="false" ht="15" hidden="false" customHeight="false" outlineLevel="0" collapsed="false">
      <c r="A13" s="11" t="str">
        <f aca="false">IF(_LEITURA!$N13="","",INDEX(_LEITURA!$K$2:$K$1201,_LEITURA!$N13))</f>
        <v/>
      </c>
      <c r="B13" s="11" t="str">
        <f aca="false">IF(_LEITURA!$N13="","",INDEX(_LEITURA!$E$2:$E$1201,_LEITURA!$N13))</f>
        <v/>
      </c>
      <c r="C13" s="11" t="str">
        <f aca="false">IF(_LEITURA!$N13="","",INDEX(_LEITURA!$J$2:$J$1201,_LEITURA!$N13))</f>
        <v/>
      </c>
      <c r="D13" s="16" t="str">
        <f aca="false">IF(_LEITURA!$N13="","",INDEX(_LEITURA!$G$2:$G$1201,_LEITURA!$N13))</f>
        <v/>
      </c>
      <c r="E13" s="16" t="str">
        <f aca="false">IF(B13="","",SUMIFS(INVENTÁRIO!$C$2:$C$801,INVENTÁRIO!$A$2:$A$801,B13))</f>
        <v/>
      </c>
      <c r="F13" s="16" t="str">
        <f aca="false">IF(B13="","",MAX(0,D13-E13))</f>
        <v/>
      </c>
      <c r="G13" s="16" t="str">
        <f aca="false">IF(B13="","",IF(COUNTIFS($B$2:$B$1201,B13,$A$2:$A$1201,"&lt;&gt;"&amp;A13)&gt;0,"Sim",""))</f>
        <v/>
      </c>
      <c r="H13" s="16" t="str">
        <f aca="false">IF(N(F13)&gt;0,MAX(H$1:H12)+1,"")</f>
        <v/>
      </c>
      <c r="I13" s="11" t="str">
        <f aca="false">IF(B13="","",IF(INDEX($C$2:$C$1201,MATCH(B13,$B$2:$B$1201,0))&lt;&gt;C13,"Nome diferente em outro deck — revisar",""))</f>
        <v/>
      </c>
      <c r="J13" s="16" t="str">
        <f aca="false">IF(AND(B13&lt;&gt;"",A13=BULK!$A$1,N(F13)&gt;0),MAX(J$1:J12)+1,"")</f>
        <v/>
      </c>
      <c r="K13" s="11" t="str">
        <f aca="false">IF(B13="","",IFERROR(LEFT(B13,FIND("-",B13)-1),B13))</f>
        <v/>
      </c>
      <c r="L13" s="11" t="str">
        <f aca="false">IF(K13="","",IF(ISNUMBER(--MID(K13,1,1)),0,IF(ISNUMBER(--MID(K13,2,1)),1,IF(ISNUMBER(--MID(K13,3,1)),2,IF(ISNUMBER(--MID(K13,4,1)),3,MIN(LEN(K13),4))))))</f>
        <v/>
      </c>
      <c r="M13" s="11" t="str">
        <f aca="false">IF(B13="","",LEFT(K13,L13)&amp;REPT("0",4-L13)&amp;RIGHT("000"&amp;IFERROR(VALUE(MID(K13,L13+1,9)),0),3)&amp;RIGHT("0000"&amp;IFERROR(VALUE(MID(B13,FIND("-",B13)+1,9)),0),4))</f>
        <v/>
      </c>
      <c r="N13" s="11" t="str">
        <f aca="false">IF(OR(B13="",N(F13)&lt;=0),"",IF('FALTAS POR DECK'!$P$1="Código","K"&amp;M13&amp;RIGHT("00000"&amp;ROW(),5),IF('FALTAS POR DECK'!$P$1="Nome","K"&amp;UPPER(SUBSTITUTE(SUBSTITUTE(SUBSTITUTE(C13,"*",""),"?",""),"~",""))&amp;"0"&amp;M13&amp;RIGHT("00000"&amp;ROW(),5),IF('FALTAS POR DECK'!$P$1="Falta (maior primeiro)","K"&amp;RIGHT("0000"&amp;(9999-F13),4)&amp;M13&amp;RIGHT("00000"&amp;ROW(),5),IF('FALTAS POR DECK'!$P$1="Deck e código","K"&amp;RIGHT("00"&amp;IFERROR(MATCH(A13,_LEITURA!$P$2:$P$21,0),99),2)&amp;M13&amp;RIGHT("00000"&amp;ROW(),5),"K"&amp;RIGHT("00000"&amp;ROW(),5))))))</f>
        <v/>
      </c>
      <c r="O13" s="16" t="str">
        <f aca="false">IF(N13="","",COUNTIFS($N$2:$N$1201,"&lt;"&amp;N13,$F$2:$F$1201,"&gt;0")+1)</f>
        <v/>
      </c>
    </row>
    <row r="14" customFormat="false" ht="15" hidden="false" customHeight="false" outlineLevel="0" collapsed="false">
      <c r="A14" s="11" t="str">
        <f aca="false">IF(_LEITURA!$N14="","",INDEX(_LEITURA!$K$2:$K$1201,_LEITURA!$N14))</f>
        <v/>
      </c>
      <c r="B14" s="11" t="str">
        <f aca="false">IF(_LEITURA!$N14="","",INDEX(_LEITURA!$E$2:$E$1201,_LEITURA!$N14))</f>
        <v/>
      </c>
      <c r="C14" s="11" t="str">
        <f aca="false">IF(_LEITURA!$N14="","",INDEX(_LEITURA!$J$2:$J$1201,_LEITURA!$N14))</f>
        <v/>
      </c>
      <c r="D14" s="16" t="str">
        <f aca="false">IF(_LEITURA!$N14="","",INDEX(_LEITURA!$G$2:$G$1201,_LEITURA!$N14))</f>
        <v/>
      </c>
      <c r="E14" s="16" t="str">
        <f aca="false">IF(B14="","",SUMIFS(INVENTÁRIO!$C$2:$C$801,INVENTÁRIO!$A$2:$A$801,B14))</f>
        <v/>
      </c>
      <c r="F14" s="16" t="str">
        <f aca="false">IF(B14="","",MAX(0,D14-E14))</f>
        <v/>
      </c>
      <c r="G14" s="16" t="str">
        <f aca="false">IF(B14="","",IF(COUNTIFS($B$2:$B$1201,B14,$A$2:$A$1201,"&lt;&gt;"&amp;A14)&gt;0,"Sim",""))</f>
        <v/>
      </c>
      <c r="H14" s="16" t="str">
        <f aca="false">IF(N(F14)&gt;0,MAX(H$1:H13)+1,"")</f>
        <v/>
      </c>
      <c r="I14" s="11" t="str">
        <f aca="false">IF(B14="","",IF(INDEX($C$2:$C$1201,MATCH(B14,$B$2:$B$1201,0))&lt;&gt;C14,"Nome diferente em outro deck — revisar",""))</f>
        <v/>
      </c>
      <c r="J14" s="16" t="str">
        <f aca="false">IF(AND(B14&lt;&gt;"",A14=BULK!$A$1,N(F14)&gt;0),MAX(J$1:J13)+1,"")</f>
        <v/>
      </c>
      <c r="K14" s="11" t="str">
        <f aca="false">IF(B14="","",IFERROR(LEFT(B14,FIND("-",B14)-1),B14))</f>
        <v/>
      </c>
      <c r="L14" s="11" t="str">
        <f aca="false">IF(K14="","",IF(ISNUMBER(--MID(K14,1,1)),0,IF(ISNUMBER(--MID(K14,2,1)),1,IF(ISNUMBER(--MID(K14,3,1)),2,IF(ISNUMBER(--MID(K14,4,1)),3,MIN(LEN(K14),4))))))</f>
        <v/>
      </c>
      <c r="M14" s="11" t="str">
        <f aca="false">IF(B14="","",LEFT(K14,L14)&amp;REPT("0",4-L14)&amp;RIGHT("000"&amp;IFERROR(VALUE(MID(K14,L14+1,9)),0),3)&amp;RIGHT("0000"&amp;IFERROR(VALUE(MID(B14,FIND("-",B14)+1,9)),0),4))</f>
        <v/>
      </c>
      <c r="N14" s="11" t="str">
        <f aca="false">IF(OR(B14="",N(F14)&lt;=0),"",IF('FALTAS POR DECK'!$P$1="Código","K"&amp;M14&amp;RIGHT("00000"&amp;ROW(),5),IF('FALTAS POR DECK'!$P$1="Nome","K"&amp;UPPER(SUBSTITUTE(SUBSTITUTE(SUBSTITUTE(C14,"*",""),"?",""),"~",""))&amp;"0"&amp;M14&amp;RIGHT("00000"&amp;ROW(),5),IF('FALTAS POR DECK'!$P$1="Falta (maior primeiro)","K"&amp;RIGHT("0000"&amp;(9999-F14),4)&amp;M14&amp;RIGHT("00000"&amp;ROW(),5),IF('FALTAS POR DECK'!$P$1="Deck e código","K"&amp;RIGHT("00"&amp;IFERROR(MATCH(A14,_LEITURA!$P$2:$P$21,0),99),2)&amp;M14&amp;RIGHT("00000"&amp;ROW(),5),"K"&amp;RIGHT("00000"&amp;ROW(),5))))))</f>
        <v/>
      </c>
      <c r="O14" s="16" t="str">
        <f aca="false">IF(N14="","",COUNTIFS($N$2:$N$1201,"&lt;"&amp;N14,$F$2:$F$1201,"&gt;0")+1)</f>
        <v/>
      </c>
    </row>
    <row r="15" customFormat="false" ht="15" hidden="false" customHeight="false" outlineLevel="0" collapsed="false">
      <c r="A15" s="11" t="str">
        <f aca="false">IF(_LEITURA!$N15="","",INDEX(_LEITURA!$K$2:$K$1201,_LEITURA!$N15))</f>
        <v/>
      </c>
      <c r="B15" s="11" t="str">
        <f aca="false">IF(_LEITURA!$N15="","",INDEX(_LEITURA!$E$2:$E$1201,_LEITURA!$N15))</f>
        <v/>
      </c>
      <c r="C15" s="11" t="str">
        <f aca="false">IF(_LEITURA!$N15="","",INDEX(_LEITURA!$J$2:$J$1201,_LEITURA!$N15))</f>
        <v/>
      </c>
      <c r="D15" s="16" t="str">
        <f aca="false">IF(_LEITURA!$N15="","",INDEX(_LEITURA!$G$2:$G$1201,_LEITURA!$N15))</f>
        <v/>
      </c>
      <c r="E15" s="16" t="str">
        <f aca="false">IF(B15="","",SUMIFS(INVENTÁRIO!$C$2:$C$801,INVENTÁRIO!$A$2:$A$801,B15))</f>
        <v/>
      </c>
      <c r="F15" s="16" t="str">
        <f aca="false">IF(B15="","",MAX(0,D15-E15))</f>
        <v/>
      </c>
      <c r="G15" s="16" t="str">
        <f aca="false">IF(B15="","",IF(COUNTIFS($B$2:$B$1201,B15,$A$2:$A$1201,"&lt;&gt;"&amp;A15)&gt;0,"Sim",""))</f>
        <v/>
      </c>
      <c r="H15" s="16" t="str">
        <f aca="false">IF(N(F15)&gt;0,MAX(H$1:H14)+1,"")</f>
        <v/>
      </c>
      <c r="I15" s="11" t="str">
        <f aca="false">IF(B15="","",IF(INDEX($C$2:$C$1201,MATCH(B15,$B$2:$B$1201,0))&lt;&gt;C15,"Nome diferente em outro deck — revisar",""))</f>
        <v/>
      </c>
      <c r="J15" s="16" t="str">
        <f aca="false">IF(AND(B15&lt;&gt;"",A15=BULK!$A$1,N(F15)&gt;0),MAX(J$1:J14)+1,"")</f>
        <v/>
      </c>
      <c r="K15" s="11" t="str">
        <f aca="false">IF(B15="","",IFERROR(LEFT(B15,FIND("-",B15)-1),B15))</f>
        <v/>
      </c>
      <c r="L15" s="11" t="str">
        <f aca="false">IF(K15="","",IF(ISNUMBER(--MID(K15,1,1)),0,IF(ISNUMBER(--MID(K15,2,1)),1,IF(ISNUMBER(--MID(K15,3,1)),2,IF(ISNUMBER(--MID(K15,4,1)),3,MIN(LEN(K15),4))))))</f>
        <v/>
      </c>
      <c r="M15" s="11" t="str">
        <f aca="false">IF(B15="","",LEFT(K15,L15)&amp;REPT("0",4-L15)&amp;RIGHT("000"&amp;IFERROR(VALUE(MID(K15,L15+1,9)),0),3)&amp;RIGHT("0000"&amp;IFERROR(VALUE(MID(B15,FIND("-",B15)+1,9)),0),4))</f>
        <v/>
      </c>
      <c r="N15" s="11" t="str">
        <f aca="false">IF(OR(B15="",N(F15)&lt;=0),"",IF('FALTAS POR DECK'!$P$1="Código","K"&amp;M15&amp;RIGHT("00000"&amp;ROW(),5),IF('FALTAS POR DECK'!$P$1="Nome","K"&amp;UPPER(SUBSTITUTE(SUBSTITUTE(SUBSTITUTE(C15,"*",""),"?",""),"~",""))&amp;"0"&amp;M15&amp;RIGHT("00000"&amp;ROW(),5),IF('FALTAS POR DECK'!$P$1="Falta (maior primeiro)","K"&amp;RIGHT("0000"&amp;(9999-F15),4)&amp;M15&amp;RIGHT("00000"&amp;ROW(),5),IF('FALTAS POR DECK'!$P$1="Deck e código","K"&amp;RIGHT("00"&amp;IFERROR(MATCH(A15,_LEITURA!$P$2:$P$21,0),99),2)&amp;M15&amp;RIGHT("00000"&amp;ROW(),5),"K"&amp;RIGHT("00000"&amp;ROW(),5))))))</f>
        <v/>
      </c>
      <c r="O15" s="16" t="str">
        <f aca="false">IF(N15="","",COUNTIFS($N$2:$N$1201,"&lt;"&amp;N15,$F$2:$F$1201,"&gt;0")+1)</f>
        <v/>
      </c>
    </row>
    <row r="16" customFormat="false" ht="15" hidden="false" customHeight="false" outlineLevel="0" collapsed="false">
      <c r="A16" s="11" t="str">
        <f aca="false">IF(_LEITURA!$N16="","",INDEX(_LEITURA!$K$2:$K$1201,_LEITURA!$N16))</f>
        <v/>
      </c>
      <c r="B16" s="11" t="str">
        <f aca="false">IF(_LEITURA!$N16="","",INDEX(_LEITURA!$E$2:$E$1201,_LEITURA!$N16))</f>
        <v/>
      </c>
      <c r="C16" s="11" t="str">
        <f aca="false">IF(_LEITURA!$N16="","",INDEX(_LEITURA!$J$2:$J$1201,_LEITURA!$N16))</f>
        <v/>
      </c>
      <c r="D16" s="16" t="str">
        <f aca="false">IF(_LEITURA!$N16="","",INDEX(_LEITURA!$G$2:$G$1201,_LEITURA!$N16))</f>
        <v/>
      </c>
      <c r="E16" s="16" t="str">
        <f aca="false">IF(B16="","",SUMIFS(INVENTÁRIO!$C$2:$C$801,INVENTÁRIO!$A$2:$A$801,B16))</f>
        <v/>
      </c>
      <c r="F16" s="16" t="str">
        <f aca="false">IF(B16="","",MAX(0,D16-E16))</f>
        <v/>
      </c>
      <c r="G16" s="16" t="str">
        <f aca="false">IF(B16="","",IF(COUNTIFS($B$2:$B$1201,B16,$A$2:$A$1201,"&lt;&gt;"&amp;A16)&gt;0,"Sim",""))</f>
        <v/>
      </c>
      <c r="H16" s="16" t="str">
        <f aca="false">IF(N(F16)&gt;0,MAX(H$1:H15)+1,"")</f>
        <v/>
      </c>
      <c r="I16" s="11" t="str">
        <f aca="false">IF(B16="","",IF(INDEX($C$2:$C$1201,MATCH(B16,$B$2:$B$1201,0))&lt;&gt;C16,"Nome diferente em outro deck — revisar",""))</f>
        <v/>
      </c>
      <c r="J16" s="16" t="str">
        <f aca="false">IF(AND(B16&lt;&gt;"",A16=BULK!$A$1,N(F16)&gt;0),MAX(J$1:J15)+1,"")</f>
        <v/>
      </c>
      <c r="K16" s="11" t="str">
        <f aca="false">IF(B16="","",IFERROR(LEFT(B16,FIND("-",B16)-1),B16))</f>
        <v/>
      </c>
      <c r="L16" s="11" t="str">
        <f aca="false">IF(K16="","",IF(ISNUMBER(--MID(K16,1,1)),0,IF(ISNUMBER(--MID(K16,2,1)),1,IF(ISNUMBER(--MID(K16,3,1)),2,IF(ISNUMBER(--MID(K16,4,1)),3,MIN(LEN(K16),4))))))</f>
        <v/>
      </c>
      <c r="M16" s="11" t="str">
        <f aca="false">IF(B16="","",LEFT(K16,L16)&amp;REPT("0",4-L16)&amp;RIGHT("000"&amp;IFERROR(VALUE(MID(K16,L16+1,9)),0),3)&amp;RIGHT("0000"&amp;IFERROR(VALUE(MID(B16,FIND("-",B16)+1,9)),0),4))</f>
        <v/>
      </c>
      <c r="N16" s="11" t="str">
        <f aca="false">IF(OR(B16="",N(F16)&lt;=0),"",IF('FALTAS POR DECK'!$P$1="Código","K"&amp;M16&amp;RIGHT("00000"&amp;ROW(),5),IF('FALTAS POR DECK'!$P$1="Nome","K"&amp;UPPER(SUBSTITUTE(SUBSTITUTE(SUBSTITUTE(C16,"*",""),"?",""),"~",""))&amp;"0"&amp;M16&amp;RIGHT("00000"&amp;ROW(),5),IF('FALTAS POR DECK'!$P$1="Falta (maior primeiro)","K"&amp;RIGHT("0000"&amp;(9999-F16),4)&amp;M16&amp;RIGHT("00000"&amp;ROW(),5),IF('FALTAS POR DECK'!$P$1="Deck e código","K"&amp;RIGHT("00"&amp;IFERROR(MATCH(A16,_LEITURA!$P$2:$P$21,0),99),2)&amp;M16&amp;RIGHT("00000"&amp;ROW(),5),"K"&amp;RIGHT("00000"&amp;ROW(),5))))))</f>
        <v/>
      </c>
      <c r="O16" s="16" t="str">
        <f aca="false">IF(N16="","",COUNTIFS($N$2:$N$1201,"&lt;"&amp;N16,$F$2:$F$1201,"&gt;0")+1)</f>
        <v/>
      </c>
    </row>
    <row r="17" customFormat="false" ht="15" hidden="false" customHeight="false" outlineLevel="0" collapsed="false">
      <c r="A17" s="11" t="str">
        <f aca="false">IF(_LEITURA!$N17="","",INDEX(_LEITURA!$K$2:$K$1201,_LEITURA!$N17))</f>
        <v/>
      </c>
      <c r="B17" s="11" t="str">
        <f aca="false">IF(_LEITURA!$N17="","",INDEX(_LEITURA!$E$2:$E$1201,_LEITURA!$N17))</f>
        <v/>
      </c>
      <c r="C17" s="11" t="str">
        <f aca="false">IF(_LEITURA!$N17="","",INDEX(_LEITURA!$J$2:$J$1201,_LEITURA!$N17))</f>
        <v/>
      </c>
      <c r="D17" s="16" t="str">
        <f aca="false">IF(_LEITURA!$N17="","",INDEX(_LEITURA!$G$2:$G$1201,_LEITURA!$N17))</f>
        <v/>
      </c>
      <c r="E17" s="16" t="str">
        <f aca="false">IF(B17="","",SUMIFS(INVENTÁRIO!$C$2:$C$801,INVENTÁRIO!$A$2:$A$801,B17))</f>
        <v/>
      </c>
      <c r="F17" s="16" t="str">
        <f aca="false">IF(B17="","",MAX(0,D17-E17))</f>
        <v/>
      </c>
      <c r="G17" s="16" t="str">
        <f aca="false">IF(B17="","",IF(COUNTIFS($B$2:$B$1201,B17,$A$2:$A$1201,"&lt;&gt;"&amp;A17)&gt;0,"Sim",""))</f>
        <v/>
      </c>
      <c r="H17" s="16" t="str">
        <f aca="false">IF(N(F17)&gt;0,MAX(H$1:H16)+1,"")</f>
        <v/>
      </c>
      <c r="I17" s="11" t="str">
        <f aca="false">IF(B17="","",IF(INDEX($C$2:$C$1201,MATCH(B17,$B$2:$B$1201,0))&lt;&gt;C17,"Nome diferente em outro deck — revisar",""))</f>
        <v/>
      </c>
      <c r="J17" s="16" t="str">
        <f aca="false">IF(AND(B17&lt;&gt;"",A17=BULK!$A$1,N(F17)&gt;0),MAX(J$1:J16)+1,"")</f>
        <v/>
      </c>
      <c r="K17" s="11" t="str">
        <f aca="false">IF(B17="","",IFERROR(LEFT(B17,FIND("-",B17)-1),B17))</f>
        <v/>
      </c>
      <c r="L17" s="11" t="str">
        <f aca="false">IF(K17="","",IF(ISNUMBER(--MID(K17,1,1)),0,IF(ISNUMBER(--MID(K17,2,1)),1,IF(ISNUMBER(--MID(K17,3,1)),2,IF(ISNUMBER(--MID(K17,4,1)),3,MIN(LEN(K17),4))))))</f>
        <v/>
      </c>
      <c r="M17" s="11" t="str">
        <f aca="false">IF(B17="","",LEFT(K17,L17)&amp;REPT("0",4-L17)&amp;RIGHT("000"&amp;IFERROR(VALUE(MID(K17,L17+1,9)),0),3)&amp;RIGHT("0000"&amp;IFERROR(VALUE(MID(B17,FIND("-",B17)+1,9)),0),4))</f>
        <v/>
      </c>
      <c r="N17" s="11" t="str">
        <f aca="false">IF(OR(B17="",N(F17)&lt;=0),"",IF('FALTAS POR DECK'!$P$1="Código","K"&amp;M17&amp;RIGHT("00000"&amp;ROW(),5),IF('FALTAS POR DECK'!$P$1="Nome","K"&amp;UPPER(SUBSTITUTE(SUBSTITUTE(SUBSTITUTE(C17,"*",""),"?",""),"~",""))&amp;"0"&amp;M17&amp;RIGHT("00000"&amp;ROW(),5),IF('FALTAS POR DECK'!$P$1="Falta (maior primeiro)","K"&amp;RIGHT("0000"&amp;(9999-F17),4)&amp;M17&amp;RIGHT("00000"&amp;ROW(),5),IF('FALTAS POR DECK'!$P$1="Deck e código","K"&amp;RIGHT("00"&amp;IFERROR(MATCH(A17,_LEITURA!$P$2:$P$21,0),99),2)&amp;M17&amp;RIGHT("00000"&amp;ROW(),5),"K"&amp;RIGHT("00000"&amp;ROW(),5))))))</f>
        <v/>
      </c>
      <c r="O17" s="16" t="str">
        <f aca="false">IF(N17="","",COUNTIFS($N$2:$N$1201,"&lt;"&amp;N17,$F$2:$F$1201,"&gt;0")+1)</f>
        <v/>
      </c>
    </row>
    <row r="18" customFormat="false" ht="15" hidden="false" customHeight="false" outlineLevel="0" collapsed="false">
      <c r="A18" s="11" t="str">
        <f aca="false">IF(_LEITURA!$N18="","",INDEX(_LEITURA!$K$2:$K$1201,_LEITURA!$N18))</f>
        <v/>
      </c>
      <c r="B18" s="11" t="str">
        <f aca="false">IF(_LEITURA!$N18="","",INDEX(_LEITURA!$E$2:$E$1201,_LEITURA!$N18))</f>
        <v/>
      </c>
      <c r="C18" s="11" t="str">
        <f aca="false">IF(_LEITURA!$N18="","",INDEX(_LEITURA!$J$2:$J$1201,_LEITURA!$N18))</f>
        <v/>
      </c>
      <c r="D18" s="16" t="str">
        <f aca="false">IF(_LEITURA!$N18="","",INDEX(_LEITURA!$G$2:$G$1201,_LEITURA!$N18))</f>
        <v/>
      </c>
      <c r="E18" s="16" t="str">
        <f aca="false">IF(B18="","",SUMIFS(INVENTÁRIO!$C$2:$C$801,INVENTÁRIO!$A$2:$A$801,B18))</f>
        <v/>
      </c>
      <c r="F18" s="16" t="str">
        <f aca="false">IF(B18="","",MAX(0,D18-E18))</f>
        <v/>
      </c>
      <c r="G18" s="16" t="str">
        <f aca="false">IF(B18="","",IF(COUNTIFS($B$2:$B$1201,B18,$A$2:$A$1201,"&lt;&gt;"&amp;A18)&gt;0,"Sim",""))</f>
        <v/>
      </c>
      <c r="H18" s="16" t="str">
        <f aca="false">IF(N(F18)&gt;0,MAX(H$1:H17)+1,"")</f>
        <v/>
      </c>
      <c r="I18" s="11" t="str">
        <f aca="false">IF(B18="","",IF(INDEX($C$2:$C$1201,MATCH(B18,$B$2:$B$1201,0))&lt;&gt;C18,"Nome diferente em outro deck — revisar",""))</f>
        <v/>
      </c>
      <c r="J18" s="16" t="str">
        <f aca="false">IF(AND(B18&lt;&gt;"",A18=BULK!$A$1,N(F18)&gt;0),MAX(J$1:J17)+1,"")</f>
        <v/>
      </c>
      <c r="K18" s="11" t="str">
        <f aca="false">IF(B18="","",IFERROR(LEFT(B18,FIND("-",B18)-1),B18))</f>
        <v/>
      </c>
      <c r="L18" s="11" t="str">
        <f aca="false">IF(K18="","",IF(ISNUMBER(--MID(K18,1,1)),0,IF(ISNUMBER(--MID(K18,2,1)),1,IF(ISNUMBER(--MID(K18,3,1)),2,IF(ISNUMBER(--MID(K18,4,1)),3,MIN(LEN(K18),4))))))</f>
        <v/>
      </c>
      <c r="M18" s="11" t="str">
        <f aca="false">IF(B18="","",LEFT(K18,L18)&amp;REPT("0",4-L18)&amp;RIGHT("000"&amp;IFERROR(VALUE(MID(K18,L18+1,9)),0),3)&amp;RIGHT("0000"&amp;IFERROR(VALUE(MID(B18,FIND("-",B18)+1,9)),0),4))</f>
        <v/>
      </c>
      <c r="N18" s="11" t="str">
        <f aca="false">IF(OR(B18="",N(F18)&lt;=0),"",IF('FALTAS POR DECK'!$P$1="Código","K"&amp;M18&amp;RIGHT("00000"&amp;ROW(),5),IF('FALTAS POR DECK'!$P$1="Nome","K"&amp;UPPER(SUBSTITUTE(SUBSTITUTE(SUBSTITUTE(C18,"*",""),"?",""),"~",""))&amp;"0"&amp;M18&amp;RIGHT("00000"&amp;ROW(),5),IF('FALTAS POR DECK'!$P$1="Falta (maior primeiro)","K"&amp;RIGHT("0000"&amp;(9999-F18),4)&amp;M18&amp;RIGHT("00000"&amp;ROW(),5),IF('FALTAS POR DECK'!$P$1="Deck e código","K"&amp;RIGHT("00"&amp;IFERROR(MATCH(A18,_LEITURA!$P$2:$P$21,0),99),2)&amp;M18&amp;RIGHT("00000"&amp;ROW(),5),"K"&amp;RIGHT("00000"&amp;ROW(),5))))))</f>
        <v/>
      </c>
      <c r="O18" s="16" t="str">
        <f aca="false">IF(N18="","",COUNTIFS($N$2:$N$1201,"&lt;"&amp;N18,$F$2:$F$1201,"&gt;0")+1)</f>
        <v/>
      </c>
    </row>
    <row r="19" customFormat="false" ht="15" hidden="false" customHeight="false" outlineLevel="0" collapsed="false">
      <c r="A19" s="11" t="str">
        <f aca="false">IF(_LEITURA!$N19="","",INDEX(_LEITURA!$K$2:$K$1201,_LEITURA!$N19))</f>
        <v/>
      </c>
      <c r="B19" s="11" t="str">
        <f aca="false">IF(_LEITURA!$N19="","",INDEX(_LEITURA!$E$2:$E$1201,_LEITURA!$N19))</f>
        <v/>
      </c>
      <c r="C19" s="11" t="str">
        <f aca="false">IF(_LEITURA!$N19="","",INDEX(_LEITURA!$J$2:$J$1201,_LEITURA!$N19))</f>
        <v/>
      </c>
      <c r="D19" s="16" t="str">
        <f aca="false">IF(_LEITURA!$N19="","",INDEX(_LEITURA!$G$2:$G$1201,_LEITURA!$N19))</f>
        <v/>
      </c>
      <c r="E19" s="16" t="str">
        <f aca="false">IF(B19="","",SUMIFS(INVENTÁRIO!$C$2:$C$801,INVENTÁRIO!$A$2:$A$801,B19))</f>
        <v/>
      </c>
      <c r="F19" s="16" t="str">
        <f aca="false">IF(B19="","",MAX(0,D19-E19))</f>
        <v/>
      </c>
      <c r="G19" s="16" t="str">
        <f aca="false">IF(B19="","",IF(COUNTIFS($B$2:$B$1201,B19,$A$2:$A$1201,"&lt;&gt;"&amp;A19)&gt;0,"Sim",""))</f>
        <v/>
      </c>
      <c r="H19" s="16" t="str">
        <f aca="false">IF(N(F19)&gt;0,MAX(H$1:H18)+1,"")</f>
        <v/>
      </c>
      <c r="I19" s="11" t="str">
        <f aca="false">IF(B19="","",IF(INDEX($C$2:$C$1201,MATCH(B19,$B$2:$B$1201,0))&lt;&gt;C19,"Nome diferente em outro deck — revisar",""))</f>
        <v/>
      </c>
      <c r="J19" s="16" t="str">
        <f aca="false">IF(AND(B19&lt;&gt;"",A19=BULK!$A$1,N(F19)&gt;0),MAX(J$1:J18)+1,"")</f>
        <v/>
      </c>
      <c r="K19" s="11" t="str">
        <f aca="false">IF(B19="","",IFERROR(LEFT(B19,FIND("-",B19)-1),B19))</f>
        <v/>
      </c>
      <c r="L19" s="11" t="str">
        <f aca="false">IF(K19="","",IF(ISNUMBER(--MID(K19,1,1)),0,IF(ISNUMBER(--MID(K19,2,1)),1,IF(ISNUMBER(--MID(K19,3,1)),2,IF(ISNUMBER(--MID(K19,4,1)),3,MIN(LEN(K19),4))))))</f>
        <v/>
      </c>
      <c r="M19" s="11" t="str">
        <f aca="false">IF(B19="","",LEFT(K19,L19)&amp;REPT("0",4-L19)&amp;RIGHT("000"&amp;IFERROR(VALUE(MID(K19,L19+1,9)),0),3)&amp;RIGHT("0000"&amp;IFERROR(VALUE(MID(B19,FIND("-",B19)+1,9)),0),4))</f>
        <v/>
      </c>
      <c r="N19" s="11" t="str">
        <f aca="false">IF(OR(B19="",N(F19)&lt;=0),"",IF('FALTAS POR DECK'!$P$1="Código","K"&amp;M19&amp;RIGHT("00000"&amp;ROW(),5),IF('FALTAS POR DECK'!$P$1="Nome","K"&amp;UPPER(SUBSTITUTE(SUBSTITUTE(SUBSTITUTE(C19,"*",""),"?",""),"~",""))&amp;"0"&amp;M19&amp;RIGHT("00000"&amp;ROW(),5),IF('FALTAS POR DECK'!$P$1="Falta (maior primeiro)","K"&amp;RIGHT("0000"&amp;(9999-F19),4)&amp;M19&amp;RIGHT("00000"&amp;ROW(),5),IF('FALTAS POR DECK'!$P$1="Deck e código","K"&amp;RIGHT("00"&amp;IFERROR(MATCH(A19,_LEITURA!$P$2:$P$21,0),99),2)&amp;M19&amp;RIGHT("00000"&amp;ROW(),5),"K"&amp;RIGHT("00000"&amp;ROW(),5))))))</f>
        <v/>
      </c>
      <c r="O19" s="16" t="str">
        <f aca="false">IF(N19="","",COUNTIFS($N$2:$N$1201,"&lt;"&amp;N19,$F$2:$F$1201,"&gt;0")+1)</f>
        <v/>
      </c>
    </row>
    <row r="20" customFormat="false" ht="15" hidden="false" customHeight="false" outlineLevel="0" collapsed="false">
      <c r="A20" s="11" t="str">
        <f aca="false">IF(_LEITURA!$N20="","",INDEX(_LEITURA!$K$2:$K$1201,_LEITURA!$N20))</f>
        <v/>
      </c>
      <c r="B20" s="11" t="str">
        <f aca="false">IF(_LEITURA!$N20="","",INDEX(_LEITURA!$E$2:$E$1201,_LEITURA!$N20))</f>
        <v/>
      </c>
      <c r="C20" s="11" t="str">
        <f aca="false">IF(_LEITURA!$N20="","",INDEX(_LEITURA!$J$2:$J$1201,_LEITURA!$N20))</f>
        <v/>
      </c>
      <c r="D20" s="16" t="str">
        <f aca="false">IF(_LEITURA!$N20="","",INDEX(_LEITURA!$G$2:$G$1201,_LEITURA!$N20))</f>
        <v/>
      </c>
      <c r="E20" s="16" t="str">
        <f aca="false">IF(B20="","",SUMIFS(INVENTÁRIO!$C$2:$C$801,INVENTÁRIO!$A$2:$A$801,B20))</f>
        <v/>
      </c>
      <c r="F20" s="16" t="str">
        <f aca="false">IF(B20="","",MAX(0,D20-E20))</f>
        <v/>
      </c>
      <c r="G20" s="16" t="str">
        <f aca="false">IF(B20="","",IF(COUNTIFS($B$2:$B$1201,B20,$A$2:$A$1201,"&lt;&gt;"&amp;A20)&gt;0,"Sim",""))</f>
        <v/>
      </c>
      <c r="H20" s="16" t="str">
        <f aca="false">IF(N(F20)&gt;0,MAX(H$1:H19)+1,"")</f>
        <v/>
      </c>
      <c r="I20" s="11" t="str">
        <f aca="false">IF(B20="","",IF(INDEX($C$2:$C$1201,MATCH(B20,$B$2:$B$1201,0))&lt;&gt;C20,"Nome diferente em outro deck — revisar",""))</f>
        <v/>
      </c>
      <c r="J20" s="16" t="str">
        <f aca="false">IF(AND(B20&lt;&gt;"",A20=BULK!$A$1,N(F20)&gt;0),MAX(J$1:J19)+1,"")</f>
        <v/>
      </c>
      <c r="K20" s="11" t="str">
        <f aca="false">IF(B20="","",IFERROR(LEFT(B20,FIND("-",B20)-1),B20))</f>
        <v/>
      </c>
      <c r="L20" s="11" t="str">
        <f aca="false">IF(K20="","",IF(ISNUMBER(--MID(K20,1,1)),0,IF(ISNUMBER(--MID(K20,2,1)),1,IF(ISNUMBER(--MID(K20,3,1)),2,IF(ISNUMBER(--MID(K20,4,1)),3,MIN(LEN(K20),4))))))</f>
        <v/>
      </c>
      <c r="M20" s="11" t="str">
        <f aca="false">IF(B20="","",LEFT(K20,L20)&amp;REPT("0",4-L20)&amp;RIGHT("000"&amp;IFERROR(VALUE(MID(K20,L20+1,9)),0),3)&amp;RIGHT("0000"&amp;IFERROR(VALUE(MID(B20,FIND("-",B20)+1,9)),0),4))</f>
        <v/>
      </c>
      <c r="N20" s="11" t="str">
        <f aca="false">IF(OR(B20="",N(F20)&lt;=0),"",IF('FALTAS POR DECK'!$P$1="Código","K"&amp;M20&amp;RIGHT("00000"&amp;ROW(),5),IF('FALTAS POR DECK'!$P$1="Nome","K"&amp;UPPER(SUBSTITUTE(SUBSTITUTE(SUBSTITUTE(C20,"*",""),"?",""),"~",""))&amp;"0"&amp;M20&amp;RIGHT("00000"&amp;ROW(),5),IF('FALTAS POR DECK'!$P$1="Falta (maior primeiro)","K"&amp;RIGHT("0000"&amp;(9999-F20),4)&amp;M20&amp;RIGHT("00000"&amp;ROW(),5),IF('FALTAS POR DECK'!$P$1="Deck e código","K"&amp;RIGHT("00"&amp;IFERROR(MATCH(A20,_LEITURA!$P$2:$P$21,0),99),2)&amp;M20&amp;RIGHT("00000"&amp;ROW(),5),"K"&amp;RIGHT("00000"&amp;ROW(),5))))))</f>
        <v/>
      </c>
      <c r="O20" s="16" t="str">
        <f aca="false">IF(N20="","",COUNTIFS($N$2:$N$1201,"&lt;"&amp;N20,$F$2:$F$1201,"&gt;0")+1)</f>
        <v/>
      </c>
    </row>
    <row r="21" customFormat="false" ht="15" hidden="false" customHeight="false" outlineLevel="0" collapsed="false">
      <c r="A21" s="11" t="str">
        <f aca="false">IF(_LEITURA!$N21="","",INDEX(_LEITURA!$K$2:$K$1201,_LEITURA!$N21))</f>
        <v/>
      </c>
      <c r="B21" s="11" t="str">
        <f aca="false">IF(_LEITURA!$N21="","",INDEX(_LEITURA!$E$2:$E$1201,_LEITURA!$N21))</f>
        <v/>
      </c>
      <c r="C21" s="11" t="str">
        <f aca="false">IF(_LEITURA!$N21="","",INDEX(_LEITURA!$J$2:$J$1201,_LEITURA!$N21))</f>
        <v/>
      </c>
      <c r="D21" s="16" t="str">
        <f aca="false">IF(_LEITURA!$N21="","",INDEX(_LEITURA!$G$2:$G$1201,_LEITURA!$N21))</f>
        <v/>
      </c>
      <c r="E21" s="16" t="str">
        <f aca="false">IF(B21="","",SUMIFS(INVENTÁRIO!$C$2:$C$801,INVENTÁRIO!$A$2:$A$801,B21))</f>
        <v/>
      </c>
      <c r="F21" s="16" t="str">
        <f aca="false">IF(B21="","",MAX(0,D21-E21))</f>
        <v/>
      </c>
      <c r="G21" s="16" t="str">
        <f aca="false">IF(B21="","",IF(COUNTIFS($B$2:$B$1201,B21,$A$2:$A$1201,"&lt;&gt;"&amp;A21)&gt;0,"Sim",""))</f>
        <v/>
      </c>
      <c r="H21" s="16" t="str">
        <f aca="false">IF(N(F21)&gt;0,MAX(H$1:H20)+1,"")</f>
        <v/>
      </c>
      <c r="I21" s="11" t="str">
        <f aca="false">IF(B21="","",IF(INDEX($C$2:$C$1201,MATCH(B21,$B$2:$B$1201,0))&lt;&gt;C21,"Nome diferente em outro deck — revisar",""))</f>
        <v/>
      </c>
      <c r="J21" s="16" t="str">
        <f aca="false">IF(AND(B21&lt;&gt;"",A21=BULK!$A$1,N(F21)&gt;0),MAX(J$1:J20)+1,"")</f>
        <v/>
      </c>
      <c r="K21" s="11" t="str">
        <f aca="false">IF(B21="","",IFERROR(LEFT(B21,FIND("-",B21)-1),B21))</f>
        <v/>
      </c>
      <c r="L21" s="11" t="str">
        <f aca="false">IF(K21="","",IF(ISNUMBER(--MID(K21,1,1)),0,IF(ISNUMBER(--MID(K21,2,1)),1,IF(ISNUMBER(--MID(K21,3,1)),2,IF(ISNUMBER(--MID(K21,4,1)),3,MIN(LEN(K21),4))))))</f>
        <v/>
      </c>
      <c r="M21" s="11" t="str">
        <f aca="false">IF(B21="","",LEFT(K21,L21)&amp;REPT("0",4-L21)&amp;RIGHT("000"&amp;IFERROR(VALUE(MID(K21,L21+1,9)),0),3)&amp;RIGHT("0000"&amp;IFERROR(VALUE(MID(B21,FIND("-",B21)+1,9)),0),4))</f>
        <v/>
      </c>
      <c r="N21" s="11" t="str">
        <f aca="false">IF(OR(B21="",N(F21)&lt;=0),"",IF('FALTAS POR DECK'!$P$1="Código","K"&amp;M21&amp;RIGHT("00000"&amp;ROW(),5),IF('FALTAS POR DECK'!$P$1="Nome","K"&amp;UPPER(SUBSTITUTE(SUBSTITUTE(SUBSTITUTE(C21,"*",""),"?",""),"~",""))&amp;"0"&amp;M21&amp;RIGHT("00000"&amp;ROW(),5),IF('FALTAS POR DECK'!$P$1="Falta (maior primeiro)","K"&amp;RIGHT("0000"&amp;(9999-F21),4)&amp;M21&amp;RIGHT("00000"&amp;ROW(),5),IF('FALTAS POR DECK'!$P$1="Deck e código","K"&amp;RIGHT("00"&amp;IFERROR(MATCH(A21,_LEITURA!$P$2:$P$21,0),99),2)&amp;M21&amp;RIGHT("00000"&amp;ROW(),5),"K"&amp;RIGHT("00000"&amp;ROW(),5))))))</f>
        <v/>
      </c>
      <c r="O21" s="16" t="str">
        <f aca="false">IF(N21="","",COUNTIFS($N$2:$N$1201,"&lt;"&amp;N21,$F$2:$F$1201,"&gt;0")+1)</f>
        <v/>
      </c>
    </row>
    <row r="22" customFormat="false" ht="15" hidden="false" customHeight="false" outlineLevel="0" collapsed="false">
      <c r="A22" s="11" t="str">
        <f aca="false">IF(_LEITURA!$N22="","",INDEX(_LEITURA!$K$2:$K$1201,_LEITURA!$N22))</f>
        <v/>
      </c>
      <c r="B22" s="11" t="str">
        <f aca="false">IF(_LEITURA!$N22="","",INDEX(_LEITURA!$E$2:$E$1201,_LEITURA!$N22))</f>
        <v/>
      </c>
      <c r="C22" s="11" t="str">
        <f aca="false">IF(_LEITURA!$N22="","",INDEX(_LEITURA!$J$2:$J$1201,_LEITURA!$N22))</f>
        <v/>
      </c>
      <c r="D22" s="16" t="str">
        <f aca="false">IF(_LEITURA!$N22="","",INDEX(_LEITURA!$G$2:$G$1201,_LEITURA!$N22))</f>
        <v/>
      </c>
      <c r="E22" s="16" t="str">
        <f aca="false">IF(B22="","",SUMIFS(INVENTÁRIO!$C$2:$C$801,INVENTÁRIO!$A$2:$A$801,B22))</f>
        <v/>
      </c>
      <c r="F22" s="16" t="str">
        <f aca="false">IF(B22="","",MAX(0,D22-E22))</f>
        <v/>
      </c>
      <c r="G22" s="16" t="str">
        <f aca="false">IF(B22="","",IF(COUNTIFS($B$2:$B$1201,B22,$A$2:$A$1201,"&lt;&gt;"&amp;A22)&gt;0,"Sim",""))</f>
        <v/>
      </c>
      <c r="H22" s="16" t="str">
        <f aca="false">IF(N(F22)&gt;0,MAX(H$1:H21)+1,"")</f>
        <v/>
      </c>
      <c r="I22" s="11" t="str">
        <f aca="false">IF(B22="","",IF(INDEX($C$2:$C$1201,MATCH(B22,$B$2:$B$1201,0))&lt;&gt;C22,"Nome diferente em outro deck — revisar",""))</f>
        <v/>
      </c>
      <c r="J22" s="16" t="str">
        <f aca="false">IF(AND(B22&lt;&gt;"",A22=BULK!$A$1,N(F22)&gt;0),MAX(J$1:J21)+1,"")</f>
        <v/>
      </c>
      <c r="K22" s="11" t="str">
        <f aca="false">IF(B22="","",IFERROR(LEFT(B22,FIND("-",B22)-1),B22))</f>
        <v/>
      </c>
      <c r="L22" s="11" t="str">
        <f aca="false">IF(K22="","",IF(ISNUMBER(--MID(K22,1,1)),0,IF(ISNUMBER(--MID(K22,2,1)),1,IF(ISNUMBER(--MID(K22,3,1)),2,IF(ISNUMBER(--MID(K22,4,1)),3,MIN(LEN(K22),4))))))</f>
        <v/>
      </c>
      <c r="M22" s="11" t="str">
        <f aca="false">IF(B22="","",LEFT(K22,L22)&amp;REPT("0",4-L22)&amp;RIGHT("000"&amp;IFERROR(VALUE(MID(K22,L22+1,9)),0),3)&amp;RIGHT("0000"&amp;IFERROR(VALUE(MID(B22,FIND("-",B22)+1,9)),0),4))</f>
        <v/>
      </c>
      <c r="N22" s="11" t="str">
        <f aca="false">IF(OR(B22="",N(F22)&lt;=0),"",IF('FALTAS POR DECK'!$P$1="Código","K"&amp;M22&amp;RIGHT("00000"&amp;ROW(),5),IF('FALTAS POR DECK'!$P$1="Nome","K"&amp;UPPER(SUBSTITUTE(SUBSTITUTE(SUBSTITUTE(C22,"*",""),"?",""),"~",""))&amp;"0"&amp;M22&amp;RIGHT("00000"&amp;ROW(),5),IF('FALTAS POR DECK'!$P$1="Falta (maior primeiro)","K"&amp;RIGHT("0000"&amp;(9999-F22),4)&amp;M22&amp;RIGHT("00000"&amp;ROW(),5),IF('FALTAS POR DECK'!$P$1="Deck e código","K"&amp;RIGHT("00"&amp;IFERROR(MATCH(A22,_LEITURA!$P$2:$P$21,0),99),2)&amp;M22&amp;RIGHT("00000"&amp;ROW(),5),"K"&amp;RIGHT("00000"&amp;ROW(),5))))))</f>
        <v/>
      </c>
      <c r="O22" s="16" t="str">
        <f aca="false">IF(N22="","",COUNTIFS($N$2:$N$1201,"&lt;"&amp;N22,$F$2:$F$1201,"&gt;0")+1)</f>
        <v/>
      </c>
    </row>
    <row r="23" customFormat="false" ht="15" hidden="false" customHeight="false" outlineLevel="0" collapsed="false">
      <c r="A23" s="11" t="str">
        <f aca="false">IF(_LEITURA!$N23="","",INDEX(_LEITURA!$K$2:$K$1201,_LEITURA!$N23))</f>
        <v/>
      </c>
      <c r="B23" s="11" t="str">
        <f aca="false">IF(_LEITURA!$N23="","",INDEX(_LEITURA!$E$2:$E$1201,_LEITURA!$N23))</f>
        <v/>
      </c>
      <c r="C23" s="11" t="str">
        <f aca="false">IF(_LEITURA!$N23="","",INDEX(_LEITURA!$J$2:$J$1201,_LEITURA!$N23))</f>
        <v/>
      </c>
      <c r="D23" s="16" t="str">
        <f aca="false">IF(_LEITURA!$N23="","",INDEX(_LEITURA!$G$2:$G$1201,_LEITURA!$N23))</f>
        <v/>
      </c>
      <c r="E23" s="16" t="str">
        <f aca="false">IF(B23="","",SUMIFS(INVENTÁRIO!$C$2:$C$801,INVENTÁRIO!$A$2:$A$801,B23))</f>
        <v/>
      </c>
      <c r="F23" s="16" t="str">
        <f aca="false">IF(B23="","",MAX(0,D23-E23))</f>
        <v/>
      </c>
      <c r="G23" s="16" t="str">
        <f aca="false">IF(B23="","",IF(COUNTIFS($B$2:$B$1201,B23,$A$2:$A$1201,"&lt;&gt;"&amp;A23)&gt;0,"Sim",""))</f>
        <v/>
      </c>
      <c r="H23" s="16" t="str">
        <f aca="false">IF(N(F23)&gt;0,MAX(H$1:H22)+1,"")</f>
        <v/>
      </c>
      <c r="I23" s="11" t="str">
        <f aca="false">IF(B23="","",IF(INDEX($C$2:$C$1201,MATCH(B23,$B$2:$B$1201,0))&lt;&gt;C23,"Nome diferente em outro deck — revisar",""))</f>
        <v/>
      </c>
      <c r="J23" s="16" t="str">
        <f aca="false">IF(AND(B23&lt;&gt;"",A23=BULK!$A$1,N(F23)&gt;0),MAX(J$1:J22)+1,"")</f>
        <v/>
      </c>
      <c r="K23" s="11" t="str">
        <f aca="false">IF(B23="","",IFERROR(LEFT(B23,FIND("-",B23)-1),B23))</f>
        <v/>
      </c>
      <c r="L23" s="11" t="str">
        <f aca="false">IF(K23="","",IF(ISNUMBER(--MID(K23,1,1)),0,IF(ISNUMBER(--MID(K23,2,1)),1,IF(ISNUMBER(--MID(K23,3,1)),2,IF(ISNUMBER(--MID(K23,4,1)),3,MIN(LEN(K23),4))))))</f>
        <v/>
      </c>
      <c r="M23" s="11" t="str">
        <f aca="false">IF(B23="","",LEFT(K23,L23)&amp;REPT("0",4-L23)&amp;RIGHT("000"&amp;IFERROR(VALUE(MID(K23,L23+1,9)),0),3)&amp;RIGHT("0000"&amp;IFERROR(VALUE(MID(B23,FIND("-",B23)+1,9)),0),4))</f>
        <v/>
      </c>
      <c r="N23" s="11" t="str">
        <f aca="false">IF(OR(B23="",N(F23)&lt;=0),"",IF('FALTAS POR DECK'!$P$1="Código","K"&amp;M23&amp;RIGHT("00000"&amp;ROW(),5),IF('FALTAS POR DECK'!$P$1="Nome","K"&amp;UPPER(SUBSTITUTE(SUBSTITUTE(SUBSTITUTE(C23,"*",""),"?",""),"~",""))&amp;"0"&amp;M23&amp;RIGHT("00000"&amp;ROW(),5),IF('FALTAS POR DECK'!$P$1="Falta (maior primeiro)","K"&amp;RIGHT("0000"&amp;(9999-F23),4)&amp;M23&amp;RIGHT("00000"&amp;ROW(),5),IF('FALTAS POR DECK'!$P$1="Deck e código","K"&amp;RIGHT("00"&amp;IFERROR(MATCH(A23,_LEITURA!$P$2:$P$21,0),99),2)&amp;M23&amp;RIGHT("00000"&amp;ROW(),5),"K"&amp;RIGHT("00000"&amp;ROW(),5))))))</f>
        <v/>
      </c>
      <c r="O23" s="16" t="str">
        <f aca="false">IF(N23="","",COUNTIFS($N$2:$N$1201,"&lt;"&amp;N23,$F$2:$F$1201,"&gt;0")+1)</f>
        <v/>
      </c>
    </row>
    <row r="24" customFormat="false" ht="15" hidden="false" customHeight="false" outlineLevel="0" collapsed="false">
      <c r="A24" s="11" t="str">
        <f aca="false">IF(_LEITURA!$N24="","",INDEX(_LEITURA!$K$2:$K$1201,_LEITURA!$N24))</f>
        <v/>
      </c>
      <c r="B24" s="11" t="str">
        <f aca="false">IF(_LEITURA!$N24="","",INDEX(_LEITURA!$E$2:$E$1201,_LEITURA!$N24))</f>
        <v/>
      </c>
      <c r="C24" s="11" t="str">
        <f aca="false">IF(_LEITURA!$N24="","",INDEX(_LEITURA!$J$2:$J$1201,_LEITURA!$N24))</f>
        <v/>
      </c>
      <c r="D24" s="16" t="str">
        <f aca="false">IF(_LEITURA!$N24="","",INDEX(_LEITURA!$G$2:$G$1201,_LEITURA!$N24))</f>
        <v/>
      </c>
      <c r="E24" s="16" t="str">
        <f aca="false">IF(B24="","",SUMIFS(INVENTÁRIO!$C$2:$C$801,INVENTÁRIO!$A$2:$A$801,B24))</f>
        <v/>
      </c>
      <c r="F24" s="16" t="str">
        <f aca="false">IF(B24="","",MAX(0,D24-E24))</f>
        <v/>
      </c>
      <c r="G24" s="16" t="str">
        <f aca="false">IF(B24="","",IF(COUNTIFS($B$2:$B$1201,B24,$A$2:$A$1201,"&lt;&gt;"&amp;A24)&gt;0,"Sim",""))</f>
        <v/>
      </c>
      <c r="H24" s="16" t="str">
        <f aca="false">IF(N(F24)&gt;0,MAX(H$1:H23)+1,"")</f>
        <v/>
      </c>
      <c r="I24" s="11" t="str">
        <f aca="false">IF(B24="","",IF(INDEX($C$2:$C$1201,MATCH(B24,$B$2:$B$1201,0))&lt;&gt;C24,"Nome diferente em outro deck — revisar",""))</f>
        <v/>
      </c>
      <c r="J24" s="16" t="str">
        <f aca="false">IF(AND(B24&lt;&gt;"",A24=BULK!$A$1,N(F24)&gt;0),MAX(J$1:J23)+1,"")</f>
        <v/>
      </c>
      <c r="K24" s="11" t="str">
        <f aca="false">IF(B24="","",IFERROR(LEFT(B24,FIND("-",B24)-1),B24))</f>
        <v/>
      </c>
      <c r="L24" s="11" t="str">
        <f aca="false">IF(K24="","",IF(ISNUMBER(--MID(K24,1,1)),0,IF(ISNUMBER(--MID(K24,2,1)),1,IF(ISNUMBER(--MID(K24,3,1)),2,IF(ISNUMBER(--MID(K24,4,1)),3,MIN(LEN(K24),4))))))</f>
        <v/>
      </c>
      <c r="M24" s="11" t="str">
        <f aca="false">IF(B24="","",LEFT(K24,L24)&amp;REPT("0",4-L24)&amp;RIGHT("000"&amp;IFERROR(VALUE(MID(K24,L24+1,9)),0),3)&amp;RIGHT("0000"&amp;IFERROR(VALUE(MID(B24,FIND("-",B24)+1,9)),0),4))</f>
        <v/>
      </c>
      <c r="N24" s="11" t="str">
        <f aca="false">IF(OR(B24="",N(F24)&lt;=0),"",IF('FALTAS POR DECK'!$P$1="Código","K"&amp;M24&amp;RIGHT("00000"&amp;ROW(),5),IF('FALTAS POR DECK'!$P$1="Nome","K"&amp;UPPER(SUBSTITUTE(SUBSTITUTE(SUBSTITUTE(C24,"*",""),"?",""),"~",""))&amp;"0"&amp;M24&amp;RIGHT("00000"&amp;ROW(),5),IF('FALTAS POR DECK'!$P$1="Falta (maior primeiro)","K"&amp;RIGHT("0000"&amp;(9999-F24),4)&amp;M24&amp;RIGHT("00000"&amp;ROW(),5),IF('FALTAS POR DECK'!$P$1="Deck e código","K"&amp;RIGHT("00"&amp;IFERROR(MATCH(A24,_LEITURA!$P$2:$P$21,0),99),2)&amp;M24&amp;RIGHT("00000"&amp;ROW(),5),"K"&amp;RIGHT("00000"&amp;ROW(),5))))))</f>
        <v/>
      </c>
      <c r="O24" s="16" t="str">
        <f aca="false">IF(N24="","",COUNTIFS($N$2:$N$1201,"&lt;"&amp;N24,$F$2:$F$1201,"&gt;0")+1)</f>
        <v/>
      </c>
    </row>
    <row r="25" customFormat="false" ht="15" hidden="false" customHeight="false" outlineLevel="0" collapsed="false">
      <c r="A25" s="11" t="str">
        <f aca="false">IF(_LEITURA!$N25="","",INDEX(_LEITURA!$K$2:$K$1201,_LEITURA!$N25))</f>
        <v/>
      </c>
      <c r="B25" s="11" t="str">
        <f aca="false">IF(_LEITURA!$N25="","",INDEX(_LEITURA!$E$2:$E$1201,_LEITURA!$N25))</f>
        <v/>
      </c>
      <c r="C25" s="11" t="str">
        <f aca="false">IF(_LEITURA!$N25="","",INDEX(_LEITURA!$J$2:$J$1201,_LEITURA!$N25))</f>
        <v/>
      </c>
      <c r="D25" s="16" t="str">
        <f aca="false">IF(_LEITURA!$N25="","",INDEX(_LEITURA!$G$2:$G$1201,_LEITURA!$N25))</f>
        <v/>
      </c>
      <c r="E25" s="16" t="str">
        <f aca="false">IF(B25="","",SUMIFS(INVENTÁRIO!$C$2:$C$801,INVENTÁRIO!$A$2:$A$801,B25))</f>
        <v/>
      </c>
      <c r="F25" s="16" t="str">
        <f aca="false">IF(B25="","",MAX(0,D25-E25))</f>
        <v/>
      </c>
      <c r="G25" s="16" t="str">
        <f aca="false">IF(B25="","",IF(COUNTIFS($B$2:$B$1201,B25,$A$2:$A$1201,"&lt;&gt;"&amp;A25)&gt;0,"Sim",""))</f>
        <v/>
      </c>
      <c r="H25" s="16" t="str">
        <f aca="false">IF(N(F25)&gt;0,MAX(H$1:H24)+1,"")</f>
        <v/>
      </c>
      <c r="I25" s="11" t="str">
        <f aca="false">IF(B25="","",IF(INDEX($C$2:$C$1201,MATCH(B25,$B$2:$B$1201,0))&lt;&gt;C25,"Nome diferente em outro deck — revisar",""))</f>
        <v/>
      </c>
      <c r="J25" s="16" t="str">
        <f aca="false">IF(AND(B25&lt;&gt;"",A25=BULK!$A$1,N(F25)&gt;0),MAX(J$1:J24)+1,"")</f>
        <v/>
      </c>
      <c r="K25" s="11" t="str">
        <f aca="false">IF(B25="","",IFERROR(LEFT(B25,FIND("-",B25)-1),B25))</f>
        <v/>
      </c>
      <c r="L25" s="11" t="str">
        <f aca="false">IF(K25="","",IF(ISNUMBER(--MID(K25,1,1)),0,IF(ISNUMBER(--MID(K25,2,1)),1,IF(ISNUMBER(--MID(K25,3,1)),2,IF(ISNUMBER(--MID(K25,4,1)),3,MIN(LEN(K25),4))))))</f>
        <v/>
      </c>
      <c r="M25" s="11" t="str">
        <f aca="false">IF(B25="","",LEFT(K25,L25)&amp;REPT("0",4-L25)&amp;RIGHT("000"&amp;IFERROR(VALUE(MID(K25,L25+1,9)),0),3)&amp;RIGHT("0000"&amp;IFERROR(VALUE(MID(B25,FIND("-",B25)+1,9)),0),4))</f>
        <v/>
      </c>
      <c r="N25" s="11" t="str">
        <f aca="false">IF(OR(B25="",N(F25)&lt;=0),"",IF('FALTAS POR DECK'!$P$1="Código","K"&amp;M25&amp;RIGHT("00000"&amp;ROW(),5),IF('FALTAS POR DECK'!$P$1="Nome","K"&amp;UPPER(SUBSTITUTE(SUBSTITUTE(SUBSTITUTE(C25,"*",""),"?",""),"~",""))&amp;"0"&amp;M25&amp;RIGHT("00000"&amp;ROW(),5),IF('FALTAS POR DECK'!$P$1="Falta (maior primeiro)","K"&amp;RIGHT("0000"&amp;(9999-F25),4)&amp;M25&amp;RIGHT("00000"&amp;ROW(),5),IF('FALTAS POR DECK'!$P$1="Deck e código","K"&amp;RIGHT("00"&amp;IFERROR(MATCH(A25,_LEITURA!$P$2:$P$21,0),99),2)&amp;M25&amp;RIGHT("00000"&amp;ROW(),5),"K"&amp;RIGHT("00000"&amp;ROW(),5))))))</f>
        <v/>
      </c>
      <c r="O25" s="16" t="str">
        <f aca="false">IF(N25="","",COUNTIFS($N$2:$N$1201,"&lt;"&amp;N25,$F$2:$F$1201,"&gt;0")+1)</f>
        <v/>
      </c>
    </row>
    <row r="26" customFormat="false" ht="15" hidden="false" customHeight="false" outlineLevel="0" collapsed="false">
      <c r="A26" s="11" t="str">
        <f aca="false">IF(_LEITURA!$N26="","",INDEX(_LEITURA!$K$2:$K$1201,_LEITURA!$N26))</f>
        <v/>
      </c>
      <c r="B26" s="11" t="str">
        <f aca="false">IF(_LEITURA!$N26="","",INDEX(_LEITURA!$E$2:$E$1201,_LEITURA!$N26))</f>
        <v/>
      </c>
      <c r="C26" s="11" t="str">
        <f aca="false">IF(_LEITURA!$N26="","",INDEX(_LEITURA!$J$2:$J$1201,_LEITURA!$N26))</f>
        <v/>
      </c>
      <c r="D26" s="16" t="str">
        <f aca="false">IF(_LEITURA!$N26="","",INDEX(_LEITURA!$G$2:$G$1201,_LEITURA!$N26))</f>
        <v/>
      </c>
      <c r="E26" s="16" t="str">
        <f aca="false">IF(B26="","",SUMIFS(INVENTÁRIO!$C$2:$C$801,INVENTÁRIO!$A$2:$A$801,B26))</f>
        <v/>
      </c>
      <c r="F26" s="16" t="str">
        <f aca="false">IF(B26="","",MAX(0,D26-E26))</f>
        <v/>
      </c>
      <c r="G26" s="16" t="str">
        <f aca="false">IF(B26="","",IF(COUNTIFS($B$2:$B$1201,B26,$A$2:$A$1201,"&lt;&gt;"&amp;A26)&gt;0,"Sim",""))</f>
        <v/>
      </c>
      <c r="H26" s="16" t="str">
        <f aca="false">IF(N(F26)&gt;0,MAX(H$1:H25)+1,"")</f>
        <v/>
      </c>
      <c r="I26" s="11" t="str">
        <f aca="false">IF(B26="","",IF(INDEX($C$2:$C$1201,MATCH(B26,$B$2:$B$1201,0))&lt;&gt;C26,"Nome diferente em outro deck — revisar",""))</f>
        <v/>
      </c>
      <c r="J26" s="16" t="str">
        <f aca="false">IF(AND(B26&lt;&gt;"",A26=BULK!$A$1,N(F26)&gt;0),MAX(J$1:J25)+1,"")</f>
        <v/>
      </c>
      <c r="K26" s="11" t="str">
        <f aca="false">IF(B26="","",IFERROR(LEFT(B26,FIND("-",B26)-1),B26))</f>
        <v/>
      </c>
      <c r="L26" s="11" t="str">
        <f aca="false">IF(K26="","",IF(ISNUMBER(--MID(K26,1,1)),0,IF(ISNUMBER(--MID(K26,2,1)),1,IF(ISNUMBER(--MID(K26,3,1)),2,IF(ISNUMBER(--MID(K26,4,1)),3,MIN(LEN(K26),4))))))</f>
        <v/>
      </c>
      <c r="M26" s="11" t="str">
        <f aca="false">IF(B26="","",LEFT(K26,L26)&amp;REPT("0",4-L26)&amp;RIGHT("000"&amp;IFERROR(VALUE(MID(K26,L26+1,9)),0),3)&amp;RIGHT("0000"&amp;IFERROR(VALUE(MID(B26,FIND("-",B26)+1,9)),0),4))</f>
        <v/>
      </c>
      <c r="N26" s="11" t="str">
        <f aca="false">IF(OR(B26="",N(F26)&lt;=0),"",IF('FALTAS POR DECK'!$P$1="Código","K"&amp;M26&amp;RIGHT("00000"&amp;ROW(),5),IF('FALTAS POR DECK'!$P$1="Nome","K"&amp;UPPER(SUBSTITUTE(SUBSTITUTE(SUBSTITUTE(C26,"*",""),"?",""),"~",""))&amp;"0"&amp;M26&amp;RIGHT("00000"&amp;ROW(),5),IF('FALTAS POR DECK'!$P$1="Falta (maior primeiro)","K"&amp;RIGHT("0000"&amp;(9999-F26),4)&amp;M26&amp;RIGHT("00000"&amp;ROW(),5),IF('FALTAS POR DECK'!$P$1="Deck e código","K"&amp;RIGHT("00"&amp;IFERROR(MATCH(A26,_LEITURA!$P$2:$P$21,0),99),2)&amp;M26&amp;RIGHT("00000"&amp;ROW(),5),"K"&amp;RIGHT("00000"&amp;ROW(),5))))))</f>
        <v/>
      </c>
      <c r="O26" s="16" t="str">
        <f aca="false">IF(N26="","",COUNTIFS($N$2:$N$1201,"&lt;"&amp;N26,$F$2:$F$1201,"&gt;0")+1)</f>
        <v/>
      </c>
    </row>
    <row r="27" customFormat="false" ht="15" hidden="false" customHeight="false" outlineLevel="0" collapsed="false">
      <c r="A27" s="11" t="str">
        <f aca="false">IF(_LEITURA!$N27="","",INDEX(_LEITURA!$K$2:$K$1201,_LEITURA!$N27))</f>
        <v/>
      </c>
      <c r="B27" s="11" t="str">
        <f aca="false">IF(_LEITURA!$N27="","",INDEX(_LEITURA!$E$2:$E$1201,_LEITURA!$N27))</f>
        <v/>
      </c>
      <c r="C27" s="11" t="str">
        <f aca="false">IF(_LEITURA!$N27="","",INDEX(_LEITURA!$J$2:$J$1201,_LEITURA!$N27))</f>
        <v/>
      </c>
      <c r="D27" s="16" t="str">
        <f aca="false">IF(_LEITURA!$N27="","",INDEX(_LEITURA!$G$2:$G$1201,_LEITURA!$N27))</f>
        <v/>
      </c>
      <c r="E27" s="16" t="str">
        <f aca="false">IF(B27="","",SUMIFS(INVENTÁRIO!$C$2:$C$801,INVENTÁRIO!$A$2:$A$801,B27))</f>
        <v/>
      </c>
      <c r="F27" s="16" t="str">
        <f aca="false">IF(B27="","",MAX(0,D27-E27))</f>
        <v/>
      </c>
      <c r="G27" s="16" t="str">
        <f aca="false">IF(B27="","",IF(COUNTIFS($B$2:$B$1201,B27,$A$2:$A$1201,"&lt;&gt;"&amp;A27)&gt;0,"Sim",""))</f>
        <v/>
      </c>
      <c r="H27" s="16" t="str">
        <f aca="false">IF(N(F27)&gt;0,MAX(H$1:H26)+1,"")</f>
        <v/>
      </c>
      <c r="I27" s="11" t="str">
        <f aca="false">IF(B27="","",IF(INDEX($C$2:$C$1201,MATCH(B27,$B$2:$B$1201,0))&lt;&gt;C27,"Nome diferente em outro deck — revisar",""))</f>
        <v/>
      </c>
      <c r="J27" s="16" t="str">
        <f aca="false">IF(AND(B27&lt;&gt;"",A27=BULK!$A$1,N(F27)&gt;0),MAX(J$1:J26)+1,"")</f>
        <v/>
      </c>
      <c r="K27" s="11" t="str">
        <f aca="false">IF(B27="","",IFERROR(LEFT(B27,FIND("-",B27)-1),B27))</f>
        <v/>
      </c>
      <c r="L27" s="11" t="str">
        <f aca="false">IF(K27="","",IF(ISNUMBER(--MID(K27,1,1)),0,IF(ISNUMBER(--MID(K27,2,1)),1,IF(ISNUMBER(--MID(K27,3,1)),2,IF(ISNUMBER(--MID(K27,4,1)),3,MIN(LEN(K27),4))))))</f>
        <v/>
      </c>
      <c r="M27" s="11" t="str">
        <f aca="false">IF(B27="","",LEFT(K27,L27)&amp;REPT("0",4-L27)&amp;RIGHT("000"&amp;IFERROR(VALUE(MID(K27,L27+1,9)),0),3)&amp;RIGHT("0000"&amp;IFERROR(VALUE(MID(B27,FIND("-",B27)+1,9)),0),4))</f>
        <v/>
      </c>
      <c r="N27" s="11" t="str">
        <f aca="false">IF(OR(B27="",N(F27)&lt;=0),"",IF('FALTAS POR DECK'!$P$1="Código","K"&amp;M27&amp;RIGHT("00000"&amp;ROW(),5),IF('FALTAS POR DECK'!$P$1="Nome","K"&amp;UPPER(SUBSTITUTE(SUBSTITUTE(SUBSTITUTE(C27,"*",""),"?",""),"~",""))&amp;"0"&amp;M27&amp;RIGHT("00000"&amp;ROW(),5),IF('FALTAS POR DECK'!$P$1="Falta (maior primeiro)","K"&amp;RIGHT("0000"&amp;(9999-F27),4)&amp;M27&amp;RIGHT("00000"&amp;ROW(),5),IF('FALTAS POR DECK'!$P$1="Deck e código","K"&amp;RIGHT("00"&amp;IFERROR(MATCH(A27,_LEITURA!$P$2:$P$21,0),99),2)&amp;M27&amp;RIGHT("00000"&amp;ROW(),5),"K"&amp;RIGHT("00000"&amp;ROW(),5))))))</f>
        <v/>
      </c>
      <c r="O27" s="16" t="str">
        <f aca="false">IF(N27="","",COUNTIFS($N$2:$N$1201,"&lt;"&amp;N27,$F$2:$F$1201,"&gt;0")+1)</f>
        <v/>
      </c>
    </row>
    <row r="28" customFormat="false" ht="15" hidden="false" customHeight="false" outlineLevel="0" collapsed="false">
      <c r="A28" s="11" t="str">
        <f aca="false">IF(_LEITURA!$N28="","",INDEX(_LEITURA!$K$2:$K$1201,_LEITURA!$N28))</f>
        <v/>
      </c>
      <c r="B28" s="11" t="str">
        <f aca="false">IF(_LEITURA!$N28="","",INDEX(_LEITURA!$E$2:$E$1201,_LEITURA!$N28))</f>
        <v/>
      </c>
      <c r="C28" s="11" t="str">
        <f aca="false">IF(_LEITURA!$N28="","",INDEX(_LEITURA!$J$2:$J$1201,_LEITURA!$N28))</f>
        <v/>
      </c>
      <c r="D28" s="16" t="str">
        <f aca="false">IF(_LEITURA!$N28="","",INDEX(_LEITURA!$G$2:$G$1201,_LEITURA!$N28))</f>
        <v/>
      </c>
      <c r="E28" s="16" t="str">
        <f aca="false">IF(B28="","",SUMIFS(INVENTÁRIO!$C$2:$C$801,INVENTÁRIO!$A$2:$A$801,B28))</f>
        <v/>
      </c>
      <c r="F28" s="16" t="str">
        <f aca="false">IF(B28="","",MAX(0,D28-E28))</f>
        <v/>
      </c>
      <c r="G28" s="16" t="str">
        <f aca="false">IF(B28="","",IF(COUNTIFS($B$2:$B$1201,B28,$A$2:$A$1201,"&lt;&gt;"&amp;A28)&gt;0,"Sim",""))</f>
        <v/>
      </c>
      <c r="H28" s="16" t="str">
        <f aca="false">IF(N(F28)&gt;0,MAX(H$1:H27)+1,"")</f>
        <v/>
      </c>
      <c r="I28" s="11" t="str">
        <f aca="false">IF(B28="","",IF(INDEX($C$2:$C$1201,MATCH(B28,$B$2:$B$1201,0))&lt;&gt;C28,"Nome diferente em outro deck — revisar",""))</f>
        <v/>
      </c>
      <c r="J28" s="16" t="str">
        <f aca="false">IF(AND(B28&lt;&gt;"",A28=BULK!$A$1,N(F28)&gt;0),MAX(J$1:J27)+1,"")</f>
        <v/>
      </c>
      <c r="K28" s="11" t="str">
        <f aca="false">IF(B28="","",IFERROR(LEFT(B28,FIND("-",B28)-1),B28))</f>
        <v/>
      </c>
      <c r="L28" s="11" t="str">
        <f aca="false">IF(K28="","",IF(ISNUMBER(--MID(K28,1,1)),0,IF(ISNUMBER(--MID(K28,2,1)),1,IF(ISNUMBER(--MID(K28,3,1)),2,IF(ISNUMBER(--MID(K28,4,1)),3,MIN(LEN(K28),4))))))</f>
        <v/>
      </c>
      <c r="M28" s="11" t="str">
        <f aca="false">IF(B28="","",LEFT(K28,L28)&amp;REPT("0",4-L28)&amp;RIGHT("000"&amp;IFERROR(VALUE(MID(K28,L28+1,9)),0),3)&amp;RIGHT("0000"&amp;IFERROR(VALUE(MID(B28,FIND("-",B28)+1,9)),0),4))</f>
        <v/>
      </c>
      <c r="N28" s="11" t="str">
        <f aca="false">IF(OR(B28="",N(F28)&lt;=0),"",IF('FALTAS POR DECK'!$P$1="Código","K"&amp;M28&amp;RIGHT("00000"&amp;ROW(),5),IF('FALTAS POR DECK'!$P$1="Nome","K"&amp;UPPER(SUBSTITUTE(SUBSTITUTE(SUBSTITUTE(C28,"*",""),"?",""),"~",""))&amp;"0"&amp;M28&amp;RIGHT("00000"&amp;ROW(),5),IF('FALTAS POR DECK'!$P$1="Falta (maior primeiro)","K"&amp;RIGHT("0000"&amp;(9999-F28),4)&amp;M28&amp;RIGHT("00000"&amp;ROW(),5),IF('FALTAS POR DECK'!$P$1="Deck e código","K"&amp;RIGHT("00"&amp;IFERROR(MATCH(A28,_LEITURA!$P$2:$P$21,0),99),2)&amp;M28&amp;RIGHT("00000"&amp;ROW(),5),"K"&amp;RIGHT("00000"&amp;ROW(),5))))))</f>
        <v/>
      </c>
      <c r="O28" s="16" t="str">
        <f aca="false">IF(N28="","",COUNTIFS($N$2:$N$1201,"&lt;"&amp;N28,$F$2:$F$1201,"&gt;0")+1)</f>
        <v/>
      </c>
    </row>
    <row r="29" customFormat="false" ht="15" hidden="false" customHeight="false" outlineLevel="0" collapsed="false">
      <c r="A29" s="11" t="str">
        <f aca="false">IF(_LEITURA!$N29="","",INDEX(_LEITURA!$K$2:$K$1201,_LEITURA!$N29))</f>
        <v/>
      </c>
      <c r="B29" s="11" t="str">
        <f aca="false">IF(_LEITURA!$N29="","",INDEX(_LEITURA!$E$2:$E$1201,_LEITURA!$N29))</f>
        <v/>
      </c>
      <c r="C29" s="11" t="str">
        <f aca="false">IF(_LEITURA!$N29="","",INDEX(_LEITURA!$J$2:$J$1201,_LEITURA!$N29))</f>
        <v/>
      </c>
      <c r="D29" s="16" t="str">
        <f aca="false">IF(_LEITURA!$N29="","",INDEX(_LEITURA!$G$2:$G$1201,_LEITURA!$N29))</f>
        <v/>
      </c>
      <c r="E29" s="16" t="str">
        <f aca="false">IF(B29="","",SUMIFS(INVENTÁRIO!$C$2:$C$801,INVENTÁRIO!$A$2:$A$801,B29))</f>
        <v/>
      </c>
      <c r="F29" s="16" t="str">
        <f aca="false">IF(B29="","",MAX(0,D29-E29))</f>
        <v/>
      </c>
      <c r="G29" s="16" t="str">
        <f aca="false">IF(B29="","",IF(COUNTIFS($B$2:$B$1201,B29,$A$2:$A$1201,"&lt;&gt;"&amp;A29)&gt;0,"Sim",""))</f>
        <v/>
      </c>
      <c r="H29" s="16" t="str">
        <f aca="false">IF(N(F29)&gt;0,MAX(H$1:H28)+1,"")</f>
        <v/>
      </c>
      <c r="I29" s="11" t="str">
        <f aca="false">IF(B29="","",IF(INDEX($C$2:$C$1201,MATCH(B29,$B$2:$B$1201,0))&lt;&gt;C29,"Nome diferente em outro deck — revisar",""))</f>
        <v/>
      </c>
      <c r="J29" s="16" t="str">
        <f aca="false">IF(AND(B29&lt;&gt;"",A29=BULK!$A$1,N(F29)&gt;0),MAX(J$1:J28)+1,"")</f>
        <v/>
      </c>
      <c r="K29" s="11" t="str">
        <f aca="false">IF(B29="","",IFERROR(LEFT(B29,FIND("-",B29)-1),B29))</f>
        <v/>
      </c>
      <c r="L29" s="11" t="str">
        <f aca="false">IF(K29="","",IF(ISNUMBER(--MID(K29,1,1)),0,IF(ISNUMBER(--MID(K29,2,1)),1,IF(ISNUMBER(--MID(K29,3,1)),2,IF(ISNUMBER(--MID(K29,4,1)),3,MIN(LEN(K29),4))))))</f>
        <v/>
      </c>
      <c r="M29" s="11" t="str">
        <f aca="false">IF(B29="","",LEFT(K29,L29)&amp;REPT("0",4-L29)&amp;RIGHT("000"&amp;IFERROR(VALUE(MID(K29,L29+1,9)),0),3)&amp;RIGHT("0000"&amp;IFERROR(VALUE(MID(B29,FIND("-",B29)+1,9)),0),4))</f>
        <v/>
      </c>
      <c r="N29" s="11" t="str">
        <f aca="false">IF(OR(B29="",N(F29)&lt;=0),"",IF('FALTAS POR DECK'!$P$1="Código","K"&amp;M29&amp;RIGHT("00000"&amp;ROW(),5),IF('FALTAS POR DECK'!$P$1="Nome","K"&amp;UPPER(SUBSTITUTE(SUBSTITUTE(SUBSTITUTE(C29,"*",""),"?",""),"~",""))&amp;"0"&amp;M29&amp;RIGHT("00000"&amp;ROW(),5),IF('FALTAS POR DECK'!$P$1="Falta (maior primeiro)","K"&amp;RIGHT("0000"&amp;(9999-F29),4)&amp;M29&amp;RIGHT("00000"&amp;ROW(),5),IF('FALTAS POR DECK'!$P$1="Deck e código","K"&amp;RIGHT("00"&amp;IFERROR(MATCH(A29,_LEITURA!$P$2:$P$21,0),99),2)&amp;M29&amp;RIGHT("00000"&amp;ROW(),5),"K"&amp;RIGHT("00000"&amp;ROW(),5))))))</f>
        <v/>
      </c>
      <c r="O29" s="16" t="str">
        <f aca="false">IF(N29="","",COUNTIFS($N$2:$N$1201,"&lt;"&amp;N29,$F$2:$F$1201,"&gt;0")+1)</f>
        <v/>
      </c>
    </row>
    <row r="30" customFormat="false" ht="15" hidden="false" customHeight="false" outlineLevel="0" collapsed="false">
      <c r="A30" s="11" t="str">
        <f aca="false">IF(_LEITURA!$N30="","",INDEX(_LEITURA!$K$2:$K$1201,_LEITURA!$N30))</f>
        <v/>
      </c>
      <c r="B30" s="11" t="str">
        <f aca="false">IF(_LEITURA!$N30="","",INDEX(_LEITURA!$E$2:$E$1201,_LEITURA!$N30))</f>
        <v/>
      </c>
      <c r="C30" s="11" t="str">
        <f aca="false">IF(_LEITURA!$N30="","",INDEX(_LEITURA!$J$2:$J$1201,_LEITURA!$N30))</f>
        <v/>
      </c>
      <c r="D30" s="16" t="str">
        <f aca="false">IF(_LEITURA!$N30="","",INDEX(_LEITURA!$G$2:$G$1201,_LEITURA!$N30))</f>
        <v/>
      </c>
      <c r="E30" s="16" t="str">
        <f aca="false">IF(B30="","",SUMIFS(INVENTÁRIO!$C$2:$C$801,INVENTÁRIO!$A$2:$A$801,B30))</f>
        <v/>
      </c>
      <c r="F30" s="16" t="str">
        <f aca="false">IF(B30="","",MAX(0,D30-E30))</f>
        <v/>
      </c>
      <c r="G30" s="16" t="str">
        <f aca="false">IF(B30="","",IF(COUNTIFS($B$2:$B$1201,B30,$A$2:$A$1201,"&lt;&gt;"&amp;A30)&gt;0,"Sim",""))</f>
        <v/>
      </c>
      <c r="H30" s="16" t="str">
        <f aca="false">IF(N(F30)&gt;0,MAX(H$1:H29)+1,"")</f>
        <v/>
      </c>
      <c r="I30" s="11" t="str">
        <f aca="false">IF(B30="","",IF(INDEX($C$2:$C$1201,MATCH(B30,$B$2:$B$1201,0))&lt;&gt;C30,"Nome diferente em outro deck — revisar",""))</f>
        <v/>
      </c>
      <c r="J30" s="16" t="str">
        <f aca="false">IF(AND(B30&lt;&gt;"",A30=BULK!$A$1,N(F30)&gt;0),MAX(J$1:J29)+1,"")</f>
        <v/>
      </c>
      <c r="K30" s="11" t="str">
        <f aca="false">IF(B30="","",IFERROR(LEFT(B30,FIND("-",B30)-1),B30))</f>
        <v/>
      </c>
      <c r="L30" s="11" t="str">
        <f aca="false">IF(K30="","",IF(ISNUMBER(--MID(K30,1,1)),0,IF(ISNUMBER(--MID(K30,2,1)),1,IF(ISNUMBER(--MID(K30,3,1)),2,IF(ISNUMBER(--MID(K30,4,1)),3,MIN(LEN(K30),4))))))</f>
        <v/>
      </c>
      <c r="M30" s="11" t="str">
        <f aca="false">IF(B30="","",LEFT(K30,L30)&amp;REPT("0",4-L30)&amp;RIGHT("000"&amp;IFERROR(VALUE(MID(K30,L30+1,9)),0),3)&amp;RIGHT("0000"&amp;IFERROR(VALUE(MID(B30,FIND("-",B30)+1,9)),0),4))</f>
        <v/>
      </c>
      <c r="N30" s="11" t="str">
        <f aca="false">IF(OR(B30="",N(F30)&lt;=0),"",IF('FALTAS POR DECK'!$P$1="Código","K"&amp;M30&amp;RIGHT("00000"&amp;ROW(),5),IF('FALTAS POR DECK'!$P$1="Nome","K"&amp;UPPER(SUBSTITUTE(SUBSTITUTE(SUBSTITUTE(C30,"*",""),"?",""),"~",""))&amp;"0"&amp;M30&amp;RIGHT("00000"&amp;ROW(),5),IF('FALTAS POR DECK'!$P$1="Falta (maior primeiro)","K"&amp;RIGHT("0000"&amp;(9999-F30),4)&amp;M30&amp;RIGHT("00000"&amp;ROW(),5),IF('FALTAS POR DECK'!$P$1="Deck e código","K"&amp;RIGHT("00"&amp;IFERROR(MATCH(A30,_LEITURA!$P$2:$P$21,0),99),2)&amp;M30&amp;RIGHT("00000"&amp;ROW(),5),"K"&amp;RIGHT("00000"&amp;ROW(),5))))))</f>
        <v/>
      </c>
      <c r="O30" s="16" t="str">
        <f aca="false">IF(N30="","",COUNTIFS($N$2:$N$1201,"&lt;"&amp;N30,$F$2:$F$1201,"&gt;0")+1)</f>
        <v/>
      </c>
    </row>
    <row r="31" customFormat="false" ht="15" hidden="false" customHeight="false" outlineLevel="0" collapsed="false">
      <c r="A31" s="11" t="str">
        <f aca="false">IF(_LEITURA!$N31="","",INDEX(_LEITURA!$K$2:$K$1201,_LEITURA!$N31))</f>
        <v/>
      </c>
      <c r="B31" s="11" t="str">
        <f aca="false">IF(_LEITURA!$N31="","",INDEX(_LEITURA!$E$2:$E$1201,_LEITURA!$N31))</f>
        <v/>
      </c>
      <c r="C31" s="11" t="str">
        <f aca="false">IF(_LEITURA!$N31="","",INDEX(_LEITURA!$J$2:$J$1201,_LEITURA!$N31))</f>
        <v/>
      </c>
      <c r="D31" s="16" t="str">
        <f aca="false">IF(_LEITURA!$N31="","",INDEX(_LEITURA!$G$2:$G$1201,_LEITURA!$N31))</f>
        <v/>
      </c>
      <c r="E31" s="16" t="str">
        <f aca="false">IF(B31="","",SUMIFS(INVENTÁRIO!$C$2:$C$801,INVENTÁRIO!$A$2:$A$801,B31))</f>
        <v/>
      </c>
      <c r="F31" s="16" t="str">
        <f aca="false">IF(B31="","",MAX(0,D31-E31))</f>
        <v/>
      </c>
      <c r="G31" s="16" t="str">
        <f aca="false">IF(B31="","",IF(COUNTIFS($B$2:$B$1201,B31,$A$2:$A$1201,"&lt;&gt;"&amp;A31)&gt;0,"Sim",""))</f>
        <v/>
      </c>
      <c r="H31" s="16" t="str">
        <f aca="false">IF(N(F31)&gt;0,MAX(H$1:H30)+1,"")</f>
        <v/>
      </c>
      <c r="I31" s="11" t="str">
        <f aca="false">IF(B31="","",IF(INDEX($C$2:$C$1201,MATCH(B31,$B$2:$B$1201,0))&lt;&gt;C31,"Nome diferente em outro deck — revisar",""))</f>
        <v/>
      </c>
      <c r="J31" s="16" t="str">
        <f aca="false">IF(AND(B31&lt;&gt;"",A31=BULK!$A$1,N(F31)&gt;0),MAX(J$1:J30)+1,"")</f>
        <v/>
      </c>
      <c r="K31" s="11" t="str">
        <f aca="false">IF(B31="","",IFERROR(LEFT(B31,FIND("-",B31)-1),B31))</f>
        <v/>
      </c>
      <c r="L31" s="11" t="str">
        <f aca="false">IF(K31="","",IF(ISNUMBER(--MID(K31,1,1)),0,IF(ISNUMBER(--MID(K31,2,1)),1,IF(ISNUMBER(--MID(K31,3,1)),2,IF(ISNUMBER(--MID(K31,4,1)),3,MIN(LEN(K31),4))))))</f>
        <v/>
      </c>
      <c r="M31" s="11" t="str">
        <f aca="false">IF(B31="","",LEFT(K31,L31)&amp;REPT("0",4-L31)&amp;RIGHT("000"&amp;IFERROR(VALUE(MID(K31,L31+1,9)),0),3)&amp;RIGHT("0000"&amp;IFERROR(VALUE(MID(B31,FIND("-",B31)+1,9)),0),4))</f>
        <v/>
      </c>
      <c r="N31" s="11" t="str">
        <f aca="false">IF(OR(B31="",N(F31)&lt;=0),"",IF('FALTAS POR DECK'!$P$1="Código","K"&amp;M31&amp;RIGHT("00000"&amp;ROW(),5),IF('FALTAS POR DECK'!$P$1="Nome","K"&amp;UPPER(SUBSTITUTE(SUBSTITUTE(SUBSTITUTE(C31,"*",""),"?",""),"~",""))&amp;"0"&amp;M31&amp;RIGHT("00000"&amp;ROW(),5),IF('FALTAS POR DECK'!$P$1="Falta (maior primeiro)","K"&amp;RIGHT("0000"&amp;(9999-F31),4)&amp;M31&amp;RIGHT("00000"&amp;ROW(),5),IF('FALTAS POR DECK'!$P$1="Deck e código","K"&amp;RIGHT("00"&amp;IFERROR(MATCH(A31,_LEITURA!$P$2:$P$21,0),99),2)&amp;M31&amp;RIGHT("00000"&amp;ROW(),5),"K"&amp;RIGHT("00000"&amp;ROW(),5))))))</f>
        <v/>
      </c>
      <c r="O31" s="16" t="str">
        <f aca="false">IF(N31="","",COUNTIFS($N$2:$N$1201,"&lt;"&amp;N31,$F$2:$F$1201,"&gt;0")+1)</f>
        <v/>
      </c>
    </row>
    <row r="32" customFormat="false" ht="15" hidden="false" customHeight="false" outlineLevel="0" collapsed="false">
      <c r="A32" s="11" t="str">
        <f aca="false">IF(_LEITURA!$N32="","",INDEX(_LEITURA!$K$2:$K$1201,_LEITURA!$N32))</f>
        <v/>
      </c>
      <c r="B32" s="11" t="str">
        <f aca="false">IF(_LEITURA!$N32="","",INDEX(_LEITURA!$E$2:$E$1201,_LEITURA!$N32))</f>
        <v/>
      </c>
      <c r="C32" s="11" t="str">
        <f aca="false">IF(_LEITURA!$N32="","",INDEX(_LEITURA!$J$2:$J$1201,_LEITURA!$N32))</f>
        <v/>
      </c>
      <c r="D32" s="16" t="str">
        <f aca="false">IF(_LEITURA!$N32="","",INDEX(_LEITURA!$G$2:$G$1201,_LEITURA!$N32))</f>
        <v/>
      </c>
      <c r="E32" s="16" t="str">
        <f aca="false">IF(B32="","",SUMIFS(INVENTÁRIO!$C$2:$C$801,INVENTÁRIO!$A$2:$A$801,B32))</f>
        <v/>
      </c>
      <c r="F32" s="16" t="str">
        <f aca="false">IF(B32="","",MAX(0,D32-E32))</f>
        <v/>
      </c>
      <c r="G32" s="16" t="str">
        <f aca="false">IF(B32="","",IF(COUNTIFS($B$2:$B$1201,B32,$A$2:$A$1201,"&lt;&gt;"&amp;A32)&gt;0,"Sim",""))</f>
        <v/>
      </c>
      <c r="H32" s="16" t="str">
        <f aca="false">IF(N(F32)&gt;0,MAX(H$1:H31)+1,"")</f>
        <v/>
      </c>
      <c r="I32" s="11" t="str">
        <f aca="false">IF(B32="","",IF(INDEX($C$2:$C$1201,MATCH(B32,$B$2:$B$1201,0))&lt;&gt;C32,"Nome diferente em outro deck — revisar",""))</f>
        <v/>
      </c>
      <c r="J32" s="16" t="str">
        <f aca="false">IF(AND(B32&lt;&gt;"",A32=BULK!$A$1,N(F32)&gt;0),MAX(J$1:J31)+1,"")</f>
        <v/>
      </c>
      <c r="K32" s="11" t="str">
        <f aca="false">IF(B32="","",IFERROR(LEFT(B32,FIND("-",B32)-1),B32))</f>
        <v/>
      </c>
      <c r="L32" s="11" t="str">
        <f aca="false">IF(K32="","",IF(ISNUMBER(--MID(K32,1,1)),0,IF(ISNUMBER(--MID(K32,2,1)),1,IF(ISNUMBER(--MID(K32,3,1)),2,IF(ISNUMBER(--MID(K32,4,1)),3,MIN(LEN(K32),4))))))</f>
        <v/>
      </c>
      <c r="M32" s="11" t="str">
        <f aca="false">IF(B32="","",LEFT(K32,L32)&amp;REPT("0",4-L32)&amp;RIGHT("000"&amp;IFERROR(VALUE(MID(K32,L32+1,9)),0),3)&amp;RIGHT("0000"&amp;IFERROR(VALUE(MID(B32,FIND("-",B32)+1,9)),0),4))</f>
        <v/>
      </c>
      <c r="N32" s="11" t="str">
        <f aca="false">IF(OR(B32="",N(F32)&lt;=0),"",IF('FALTAS POR DECK'!$P$1="Código","K"&amp;M32&amp;RIGHT("00000"&amp;ROW(),5),IF('FALTAS POR DECK'!$P$1="Nome","K"&amp;UPPER(SUBSTITUTE(SUBSTITUTE(SUBSTITUTE(C32,"*",""),"?",""),"~",""))&amp;"0"&amp;M32&amp;RIGHT("00000"&amp;ROW(),5),IF('FALTAS POR DECK'!$P$1="Falta (maior primeiro)","K"&amp;RIGHT("0000"&amp;(9999-F32),4)&amp;M32&amp;RIGHT("00000"&amp;ROW(),5),IF('FALTAS POR DECK'!$P$1="Deck e código","K"&amp;RIGHT("00"&amp;IFERROR(MATCH(A32,_LEITURA!$P$2:$P$21,0),99),2)&amp;M32&amp;RIGHT("00000"&amp;ROW(),5),"K"&amp;RIGHT("00000"&amp;ROW(),5))))))</f>
        <v/>
      </c>
      <c r="O32" s="16" t="str">
        <f aca="false">IF(N32="","",COUNTIFS($N$2:$N$1201,"&lt;"&amp;N32,$F$2:$F$1201,"&gt;0")+1)</f>
        <v/>
      </c>
    </row>
    <row r="33" customFormat="false" ht="15" hidden="false" customHeight="false" outlineLevel="0" collapsed="false">
      <c r="A33" s="11" t="str">
        <f aca="false">IF(_LEITURA!$N33="","",INDEX(_LEITURA!$K$2:$K$1201,_LEITURA!$N33))</f>
        <v/>
      </c>
      <c r="B33" s="11" t="str">
        <f aca="false">IF(_LEITURA!$N33="","",INDEX(_LEITURA!$E$2:$E$1201,_LEITURA!$N33))</f>
        <v/>
      </c>
      <c r="C33" s="11" t="str">
        <f aca="false">IF(_LEITURA!$N33="","",INDEX(_LEITURA!$J$2:$J$1201,_LEITURA!$N33))</f>
        <v/>
      </c>
      <c r="D33" s="16" t="str">
        <f aca="false">IF(_LEITURA!$N33="","",INDEX(_LEITURA!$G$2:$G$1201,_LEITURA!$N33))</f>
        <v/>
      </c>
      <c r="E33" s="16" t="str">
        <f aca="false">IF(B33="","",SUMIFS(INVENTÁRIO!$C$2:$C$801,INVENTÁRIO!$A$2:$A$801,B33))</f>
        <v/>
      </c>
      <c r="F33" s="16" t="str">
        <f aca="false">IF(B33="","",MAX(0,D33-E33))</f>
        <v/>
      </c>
      <c r="G33" s="16" t="str">
        <f aca="false">IF(B33="","",IF(COUNTIFS($B$2:$B$1201,B33,$A$2:$A$1201,"&lt;&gt;"&amp;A33)&gt;0,"Sim",""))</f>
        <v/>
      </c>
      <c r="H33" s="16" t="str">
        <f aca="false">IF(N(F33)&gt;0,MAX(H$1:H32)+1,"")</f>
        <v/>
      </c>
      <c r="I33" s="11" t="str">
        <f aca="false">IF(B33="","",IF(INDEX($C$2:$C$1201,MATCH(B33,$B$2:$B$1201,0))&lt;&gt;C33,"Nome diferente em outro deck — revisar",""))</f>
        <v/>
      </c>
      <c r="J33" s="16" t="str">
        <f aca="false">IF(AND(B33&lt;&gt;"",A33=BULK!$A$1,N(F33)&gt;0),MAX(J$1:J32)+1,"")</f>
        <v/>
      </c>
      <c r="K33" s="11" t="str">
        <f aca="false">IF(B33="","",IFERROR(LEFT(B33,FIND("-",B33)-1),B33))</f>
        <v/>
      </c>
      <c r="L33" s="11" t="str">
        <f aca="false">IF(K33="","",IF(ISNUMBER(--MID(K33,1,1)),0,IF(ISNUMBER(--MID(K33,2,1)),1,IF(ISNUMBER(--MID(K33,3,1)),2,IF(ISNUMBER(--MID(K33,4,1)),3,MIN(LEN(K33),4))))))</f>
        <v/>
      </c>
      <c r="M33" s="11" t="str">
        <f aca="false">IF(B33="","",LEFT(K33,L33)&amp;REPT("0",4-L33)&amp;RIGHT("000"&amp;IFERROR(VALUE(MID(K33,L33+1,9)),0),3)&amp;RIGHT("0000"&amp;IFERROR(VALUE(MID(B33,FIND("-",B33)+1,9)),0),4))</f>
        <v/>
      </c>
      <c r="N33" s="11" t="str">
        <f aca="false">IF(OR(B33="",N(F33)&lt;=0),"",IF('FALTAS POR DECK'!$P$1="Código","K"&amp;M33&amp;RIGHT("00000"&amp;ROW(),5),IF('FALTAS POR DECK'!$P$1="Nome","K"&amp;UPPER(SUBSTITUTE(SUBSTITUTE(SUBSTITUTE(C33,"*",""),"?",""),"~",""))&amp;"0"&amp;M33&amp;RIGHT("00000"&amp;ROW(),5),IF('FALTAS POR DECK'!$P$1="Falta (maior primeiro)","K"&amp;RIGHT("0000"&amp;(9999-F33),4)&amp;M33&amp;RIGHT("00000"&amp;ROW(),5),IF('FALTAS POR DECK'!$P$1="Deck e código","K"&amp;RIGHT("00"&amp;IFERROR(MATCH(A33,_LEITURA!$P$2:$P$21,0),99),2)&amp;M33&amp;RIGHT("00000"&amp;ROW(),5),"K"&amp;RIGHT("00000"&amp;ROW(),5))))))</f>
        <v/>
      </c>
      <c r="O33" s="16" t="str">
        <f aca="false">IF(N33="","",COUNTIFS($N$2:$N$1201,"&lt;"&amp;N33,$F$2:$F$1201,"&gt;0")+1)</f>
        <v/>
      </c>
    </row>
    <row r="34" customFormat="false" ht="15" hidden="false" customHeight="false" outlineLevel="0" collapsed="false">
      <c r="A34" s="11" t="str">
        <f aca="false">IF(_LEITURA!$N34="","",INDEX(_LEITURA!$K$2:$K$1201,_LEITURA!$N34))</f>
        <v/>
      </c>
      <c r="B34" s="11" t="str">
        <f aca="false">IF(_LEITURA!$N34="","",INDEX(_LEITURA!$E$2:$E$1201,_LEITURA!$N34))</f>
        <v/>
      </c>
      <c r="C34" s="11" t="str">
        <f aca="false">IF(_LEITURA!$N34="","",INDEX(_LEITURA!$J$2:$J$1201,_LEITURA!$N34))</f>
        <v/>
      </c>
      <c r="D34" s="16" t="str">
        <f aca="false">IF(_LEITURA!$N34="","",INDEX(_LEITURA!$G$2:$G$1201,_LEITURA!$N34))</f>
        <v/>
      </c>
      <c r="E34" s="16" t="str">
        <f aca="false">IF(B34="","",SUMIFS(INVENTÁRIO!$C$2:$C$801,INVENTÁRIO!$A$2:$A$801,B34))</f>
        <v/>
      </c>
      <c r="F34" s="16" t="str">
        <f aca="false">IF(B34="","",MAX(0,D34-E34))</f>
        <v/>
      </c>
      <c r="G34" s="16" t="str">
        <f aca="false">IF(B34="","",IF(COUNTIFS($B$2:$B$1201,B34,$A$2:$A$1201,"&lt;&gt;"&amp;A34)&gt;0,"Sim",""))</f>
        <v/>
      </c>
      <c r="H34" s="16" t="str">
        <f aca="false">IF(N(F34)&gt;0,MAX(H$1:H33)+1,"")</f>
        <v/>
      </c>
      <c r="I34" s="11" t="str">
        <f aca="false">IF(B34="","",IF(INDEX($C$2:$C$1201,MATCH(B34,$B$2:$B$1201,0))&lt;&gt;C34,"Nome diferente em outro deck — revisar",""))</f>
        <v/>
      </c>
      <c r="J34" s="16" t="str">
        <f aca="false">IF(AND(B34&lt;&gt;"",A34=BULK!$A$1,N(F34)&gt;0),MAX(J$1:J33)+1,"")</f>
        <v/>
      </c>
      <c r="K34" s="11" t="str">
        <f aca="false">IF(B34="","",IFERROR(LEFT(B34,FIND("-",B34)-1),B34))</f>
        <v/>
      </c>
      <c r="L34" s="11" t="str">
        <f aca="false">IF(K34="","",IF(ISNUMBER(--MID(K34,1,1)),0,IF(ISNUMBER(--MID(K34,2,1)),1,IF(ISNUMBER(--MID(K34,3,1)),2,IF(ISNUMBER(--MID(K34,4,1)),3,MIN(LEN(K34),4))))))</f>
        <v/>
      </c>
      <c r="M34" s="11" t="str">
        <f aca="false">IF(B34="","",LEFT(K34,L34)&amp;REPT("0",4-L34)&amp;RIGHT("000"&amp;IFERROR(VALUE(MID(K34,L34+1,9)),0),3)&amp;RIGHT("0000"&amp;IFERROR(VALUE(MID(B34,FIND("-",B34)+1,9)),0),4))</f>
        <v/>
      </c>
      <c r="N34" s="11" t="str">
        <f aca="false">IF(OR(B34="",N(F34)&lt;=0),"",IF('FALTAS POR DECK'!$P$1="Código","K"&amp;M34&amp;RIGHT("00000"&amp;ROW(),5),IF('FALTAS POR DECK'!$P$1="Nome","K"&amp;UPPER(SUBSTITUTE(SUBSTITUTE(SUBSTITUTE(C34,"*",""),"?",""),"~",""))&amp;"0"&amp;M34&amp;RIGHT("00000"&amp;ROW(),5),IF('FALTAS POR DECK'!$P$1="Falta (maior primeiro)","K"&amp;RIGHT("0000"&amp;(9999-F34),4)&amp;M34&amp;RIGHT("00000"&amp;ROW(),5),IF('FALTAS POR DECK'!$P$1="Deck e código","K"&amp;RIGHT("00"&amp;IFERROR(MATCH(A34,_LEITURA!$P$2:$P$21,0),99),2)&amp;M34&amp;RIGHT("00000"&amp;ROW(),5),"K"&amp;RIGHT("00000"&amp;ROW(),5))))))</f>
        <v/>
      </c>
      <c r="O34" s="16" t="str">
        <f aca="false">IF(N34="","",COUNTIFS($N$2:$N$1201,"&lt;"&amp;N34,$F$2:$F$1201,"&gt;0")+1)</f>
        <v/>
      </c>
    </row>
    <row r="35" customFormat="false" ht="15" hidden="false" customHeight="false" outlineLevel="0" collapsed="false">
      <c r="A35" s="11" t="str">
        <f aca="false">IF(_LEITURA!$N35="","",INDEX(_LEITURA!$K$2:$K$1201,_LEITURA!$N35))</f>
        <v/>
      </c>
      <c r="B35" s="11" t="str">
        <f aca="false">IF(_LEITURA!$N35="","",INDEX(_LEITURA!$E$2:$E$1201,_LEITURA!$N35))</f>
        <v/>
      </c>
      <c r="C35" s="11" t="str">
        <f aca="false">IF(_LEITURA!$N35="","",INDEX(_LEITURA!$J$2:$J$1201,_LEITURA!$N35))</f>
        <v/>
      </c>
      <c r="D35" s="16" t="str">
        <f aca="false">IF(_LEITURA!$N35="","",INDEX(_LEITURA!$G$2:$G$1201,_LEITURA!$N35))</f>
        <v/>
      </c>
      <c r="E35" s="16" t="str">
        <f aca="false">IF(B35="","",SUMIFS(INVENTÁRIO!$C$2:$C$801,INVENTÁRIO!$A$2:$A$801,B35))</f>
        <v/>
      </c>
      <c r="F35" s="16" t="str">
        <f aca="false">IF(B35="","",MAX(0,D35-E35))</f>
        <v/>
      </c>
      <c r="G35" s="16" t="str">
        <f aca="false">IF(B35="","",IF(COUNTIFS($B$2:$B$1201,B35,$A$2:$A$1201,"&lt;&gt;"&amp;A35)&gt;0,"Sim",""))</f>
        <v/>
      </c>
      <c r="H35" s="16" t="str">
        <f aca="false">IF(N(F35)&gt;0,MAX(H$1:H34)+1,"")</f>
        <v/>
      </c>
      <c r="I35" s="11" t="str">
        <f aca="false">IF(B35="","",IF(INDEX($C$2:$C$1201,MATCH(B35,$B$2:$B$1201,0))&lt;&gt;C35,"Nome diferente em outro deck — revisar",""))</f>
        <v/>
      </c>
      <c r="J35" s="16" t="str">
        <f aca="false">IF(AND(B35&lt;&gt;"",A35=BULK!$A$1,N(F35)&gt;0),MAX(J$1:J34)+1,"")</f>
        <v/>
      </c>
      <c r="K35" s="11" t="str">
        <f aca="false">IF(B35="","",IFERROR(LEFT(B35,FIND("-",B35)-1),B35))</f>
        <v/>
      </c>
      <c r="L35" s="11" t="str">
        <f aca="false">IF(K35="","",IF(ISNUMBER(--MID(K35,1,1)),0,IF(ISNUMBER(--MID(K35,2,1)),1,IF(ISNUMBER(--MID(K35,3,1)),2,IF(ISNUMBER(--MID(K35,4,1)),3,MIN(LEN(K35),4))))))</f>
        <v/>
      </c>
      <c r="M35" s="11" t="str">
        <f aca="false">IF(B35="","",LEFT(K35,L35)&amp;REPT("0",4-L35)&amp;RIGHT("000"&amp;IFERROR(VALUE(MID(K35,L35+1,9)),0),3)&amp;RIGHT("0000"&amp;IFERROR(VALUE(MID(B35,FIND("-",B35)+1,9)),0),4))</f>
        <v/>
      </c>
      <c r="N35" s="11" t="str">
        <f aca="false">IF(OR(B35="",N(F35)&lt;=0),"",IF('FALTAS POR DECK'!$P$1="Código","K"&amp;M35&amp;RIGHT("00000"&amp;ROW(),5),IF('FALTAS POR DECK'!$P$1="Nome","K"&amp;UPPER(SUBSTITUTE(SUBSTITUTE(SUBSTITUTE(C35,"*",""),"?",""),"~",""))&amp;"0"&amp;M35&amp;RIGHT("00000"&amp;ROW(),5),IF('FALTAS POR DECK'!$P$1="Falta (maior primeiro)","K"&amp;RIGHT("0000"&amp;(9999-F35),4)&amp;M35&amp;RIGHT("00000"&amp;ROW(),5),IF('FALTAS POR DECK'!$P$1="Deck e código","K"&amp;RIGHT("00"&amp;IFERROR(MATCH(A35,_LEITURA!$P$2:$P$21,0),99),2)&amp;M35&amp;RIGHT("00000"&amp;ROW(),5),"K"&amp;RIGHT("00000"&amp;ROW(),5))))))</f>
        <v/>
      </c>
      <c r="O35" s="16" t="str">
        <f aca="false">IF(N35="","",COUNTIFS($N$2:$N$1201,"&lt;"&amp;N35,$F$2:$F$1201,"&gt;0")+1)</f>
        <v/>
      </c>
    </row>
    <row r="36" customFormat="false" ht="15" hidden="false" customHeight="false" outlineLevel="0" collapsed="false">
      <c r="A36" s="11" t="str">
        <f aca="false">IF(_LEITURA!$N36="","",INDEX(_LEITURA!$K$2:$K$1201,_LEITURA!$N36))</f>
        <v/>
      </c>
      <c r="B36" s="11" t="str">
        <f aca="false">IF(_LEITURA!$N36="","",INDEX(_LEITURA!$E$2:$E$1201,_LEITURA!$N36))</f>
        <v/>
      </c>
      <c r="C36" s="11" t="str">
        <f aca="false">IF(_LEITURA!$N36="","",INDEX(_LEITURA!$J$2:$J$1201,_LEITURA!$N36))</f>
        <v/>
      </c>
      <c r="D36" s="16" t="str">
        <f aca="false">IF(_LEITURA!$N36="","",INDEX(_LEITURA!$G$2:$G$1201,_LEITURA!$N36))</f>
        <v/>
      </c>
      <c r="E36" s="16" t="str">
        <f aca="false">IF(B36="","",SUMIFS(INVENTÁRIO!$C$2:$C$801,INVENTÁRIO!$A$2:$A$801,B36))</f>
        <v/>
      </c>
      <c r="F36" s="16" t="str">
        <f aca="false">IF(B36="","",MAX(0,D36-E36))</f>
        <v/>
      </c>
      <c r="G36" s="16" t="str">
        <f aca="false">IF(B36="","",IF(COUNTIFS($B$2:$B$1201,B36,$A$2:$A$1201,"&lt;&gt;"&amp;A36)&gt;0,"Sim",""))</f>
        <v/>
      </c>
      <c r="H36" s="16" t="str">
        <f aca="false">IF(N(F36)&gt;0,MAX(H$1:H35)+1,"")</f>
        <v/>
      </c>
      <c r="I36" s="11" t="str">
        <f aca="false">IF(B36="","",IF(INDEX($C$2:$C$1201,MATCH(B36,$B$2:$B$1201,0))&lt;&gt;C36,"Nome diferente em outro deck — revisar",""))</f>
        <v/>
      </c>
      <c r="J36" s="16" t="str">
        <f aca="false">IF(AND(B36&lt;&gt;"",A36=BULK!$A$1,N(F36)&gt;0),MAX(J$1:J35)+1,"")</f>
        <v/>
      </c>
      <c r="K36" s="11" t="str">
        <f aca="false">IF(B36="","",IFERROR(LEFT(B36,FIND("-",B36)-1),B36))</f>
        <v/>
      </c>
      <c r="L36" s="11" t="str">
        <f aca="false">IF(K36="","",IF(ISNUMBER(--MID(K36,1,1)),0,IF(ISNUMBER(--MID(K36,2,1)),1,IF(ISNUMBER(--MID(K36,3,1)),2,IF(ISNUMBER(--MID(K36,4,1)),3,MIN(LEN(K36),4))))))</f>
        <v/>
      </c>
      <c r="M36" s="11" t="str">
        <f aca="false">IF(B36="","",LEFT(K36,L36)&amp;REPT("0",4-L36)&amp;RIGHT("000"&amp;IFERROR(VALUE(MID(K36,L36+1,9)),0),3)&amp;RIGHT("0000"&amp;IFERROR(VALUE(MID(B36,FIND("-",B36)+1,9)),0),4))</f>
        <v/>
      </c>
      <c r="N36" s="11" t="str">
        <f aca="false">IF(OR(B36="",N(F36)&lt;=0),"",IF('FALTAS POR DECK'!$P$1="Código","K"&amp;M36&amp;RIGHT("00000"&amp;ROW(),5),IF('FALTAS POR DECK'!$P$1="Nome","K"&amp;UPPER(SUBSTITUTE(SUBSTITUTE(SUBSTITUTE(C36,"*",""),"?",""),"~",""))&amp;"0"&amp;M36&amp;RIGHT("00000"&amp;ROW(),5),IF('FALTAS POR DECK'!$P$1="Falta (maior primeiro)","K"&amp;RIGHT("0000"&amp;(9999-F36),4)&amp;M36&amp;RIGHT("00000"&amp;ROW(),5),IF('FALTAS POR DECK'!$P$1="Deck e código","K"&amp;RIGHT("00"&amp;IFERROR(MATCH(A36,_LEITURA!$P$2:$P$21,0),99),2)&amp;M36&amp;RIGHT("00000"&amp;ROW(),5),"K"&amp;RIGHT("00000"&amp;ROW(),5))))))</f>
        <v/>
      </c>
      <c r="O36" s="16" t="str">
        <f aca="false">IF(N36="","",COUNTIFS($N$2:$N$1201,"&lt;"&amp;N36,$F$2:$F$1201,"&gt;0")+1)</f>
        <v/>
      </c>
    </row>
    <row r="37" customFormat="false" ht="15" hidden="false" customHeight="false" outlineLevel="0" collapsed="false">
      <c r="A37" s="11" t="str">
        <f aca="false">IF(_LEITURA!$N37="","",INDEX(_LEITURA!$K$2:$K$1201,_LEITURA!$N37))</f>
        <v/>
      </c>
      <c r="B37" s="11" t="str">
        <f aca="false">IF(_LEITURA!$N37="","",INDEX(_LEITURA!$E$2:$E$1201,_LEITURA!$N37))</f>
        <v/>
      </c>
      <c r="C37" s="11" t="str">
        <f aca="false">IF(_LEITURA!$N37="","",INDEX(_LEITURA!$J$2:$J$1201,_LEITURA!$N37))</f>
        <v/>
      </c>
      <c r="D37" s="16" t="str">
        <f aca="false">IF(_LEITURA!$N37="","",INDEX(_LEITURA!$G$2:$G$1201,_LEITURA!$N37))</f>
        <v/>
      </c>
      <c r="E37" s="16" t="str">
        <f aca="false">IF(B37="","",SUMIFS(INVENTÁRIO!$C$2:$C$801,INVENTÁRIO!$A$2:$A$801,B37))</f>
        <v/>
      </c>
      <c r="F37" s="16" t="str">
        <f aca="false">IF(B37="","",MAX(0,D37-E37))</f>
        <v/>
      </c>
      <c r="G37" s="16" t="str">
        <f aca="false">IF(B37="","",IF(COUNTIFS($B$2:$B$1201,B37,$A$2:$A$1201,"&lt;&gt;"&amp;A37)&gt;0,"Sim",""))</f>
        <v/>
      </c>
      <c r="H37" s="16" t="str">
        <f aca="false">IF(N(F37)&gt;0,MAX(H$1:H36)+1,"")</f>
        <v/>
      </c>
      <c r="I37" s="11" t="str">
        <f aca="false">IF(B37="","",IF(INDEX($C$2:$C$1201,MATCH(B37,$B$2:$B$1201,0))&lt;&gt;C37,"Nome diferente em outro deck — revisar",""))</f>
        <v/>
      </c>
      <c r="J37" s="16" t="str">
        <f aca="false">IF(AND(B37&lt;&gt;"",A37=BULK!$A$1,N(F37)&gt;0),MAX(J$1:J36)+1,"")</f>
        <v/>
      </c>
      <c r="K37" s="11" t="str">
        <f aca="false">IF(B37="","",IFERROR(LEFT(B37,FIND("-",B37)-1),B37))</f>
        <v/>
      </c>
      <c r="L37" s="11" t="str">
        <f aca="false">IF(K37="","",IF(ISNUMBER(--MID(K37,1,1)),0,IF(ISNUMBER(--MID(K37,2,1)),1,IF(ISNUMBER(--MID(K37,3,1)),2,IF(ISNUMBER(--MID(K37,4,1)),3,MIN(LEN(K37),4))))))</f>
        <v/>
      </c>
      <c r="M37" s="11" t="str">
        <f aca="false">IF(B37="","",LEFT(K37,L37)&amp;REPT("0",4-L37)&amp;RIGHT("000"&amp;IFERROR(VALUE(MID(K37,L37+1,9)),0),3)&amp;RIGHT("0000"&amp;IFERROR(VALUE(MID(B37,FIND("-",B37)+1,9)),0),4))</f>
        <v/>
      </c>
      <c r="N37" s="11" t="str">
        <f aca="false">IF(OR(B37="",N(F37)&lt;=0),"",IF('FALTAS POR DECK'!$P$1="Código","K"&amp;M37&amp;RIGHT("00000"&amp;ROW(),5),IF('FALTAS POR DECK'!$P$1="Nome","K"&amp;UPPER(SUBSTITUTE(SUBSTITUTE(SUBSTITUTE(C37,"*",""),"?",""),"~",""))&amp;"0"&amp;M37&amp;RIGHT("00000"&amp;ROW(),5),IF('FALTAS POR DECK'!$P$1="Falta (maior primeiro)","K"&amp;RIGHT("0000"&amp;(9999-F37),4)&amp;M37&amp;RIGHT("00000"&amp;ROW(),5),IF('FALTAS POR DECK'!$P$1="Deck e código","K"&amp;RIGHT("00"&amp;IFERROR(MATCH(A37,_LEITURA!$P$2:$P$21,0),99),2)&amp;M37&amp;RIGHT("00000"&amp;ROW(),5),"K"&amp;RIGHT("00000"&amp;ROW(),5))))))</f>
        <v/>
      </c>
      <c r="O37" s="16" t="str">
        <f aca="false">IF(N37="","",COUNTIFS($N$2:$N$1201,"&lt;"&amp;N37,$F$2:$F$1201,"&gt;0")+1)</f>
        <v/>
      </c>
    </row>
    <row r="38" customFormat="false" ht="15" hidden="false" customHeight="false" outlineLevel="0" collapsed="false">
      <c r="A38" s="11" t="str">
        <f aca="false">IF(_LEITURA!$N38="","",INDEX(_LEITURA!$K$2:$K$1201,_LEITURA!$N38))</f>
        <v/>
      </c>
      <c r="B38" s="11" t="str">
        <f aca="false">IF(_LEITURA!$N38="","",INDEX(_LEITURA!$E$2:$E$1201,_LEITURA!$N38))</f>
        <v/>
      </c>
      <c r="C38" s="11" t="str">
        <f aca="false">IF(_LEITURA!$N38="","",INDEX(_LEITURA!$J$2:$J$1201,_LEITURA!$N38))</f>
        <v/>
      </c>
      <c r="D38" s="16" t="str">
        <f aca="false">IF(_LEITURA!$N38="","",INDEX(_LEITURA!$G$2:$G$1201,_LEITURA!$N38))</f>
        <v/>
      </c>
      <c r="E38" s="16" t="str">
        <f aca="false">IF(B38="","",SUMIFS(INVENTÁRIO!$C$2:$C$801,INVENTÁRIO!$A$2:$A$801,B38))</f>
        <v/>
      </c>
      <c r="F38" s="16" t="str">
        <f aca="false">IF(B38="","",MAX(0,D38-E38))</f>
        <v/>
      </c>
      <c r="G38" s="16" t="str">
        <f aca="false">IF(B38="","",IF(COUNTIFS($B$2:$B$1201,B38,$A$2:$A$1201,"&lt;&gt;"&amp;A38)&gt;0,"Sim",""))</f>
        <v/>
      </c>
      <c r="H38" s="16" t="str">
        <f aca="false">IF(N(F38)&gt;0,MAX(H$1:H37)+1,"")</f>
        <v/>
      </c>
      <c r="I38" s="11" t="str">
        <f aca="false">IF(B38="","",IF(INDEX($C$2:$C$1201,MATCH(B38,$B$2:$B$1201,0))&lt;&gt;C38,"Nome diferente em outro deck — revisar",""))</f>
        <v/>
      </c>
      <c r="J38" s="16" t="str">
        <f aca="false">IF(AND(B38&lt;&gt;"",A38=BULK!$A$1,N(F38)&gt;0),MAX(J$1:J37)+1,"")</f>
        <v/>
      </c>
      <c r="K38" s="11" t="str">
        <f aca="false">IF(B38="","",IFERROR(LEFT(B38,FIND("-",B38)-1),B38))</f>
        <v/>
      </c>
      <c r="L38" s="11" t="str">
        <f aca="false">IF(K38="","",IF(ISNUMBER(--MID(K38,1,1)),0,IF(ISNUMBER(--MID(K38,2,1)),1,IF(ISNUMBER(--MID(K38,3,1)),2,IF(ISNUMBER(--MID(K38,4,1)),3,MIN(LEN(K38),4))))))</f>
        <v/>
      </c>
      <c r="M38" s="11" t="str">
        <f aca="false">IF(B38="","",LEFT(K38,L38)&amp;REPT("0",4-L38)&amp;RIGHT("000"&amp;IFERROR(VALUE(MID(K38,L38+1,9)),0),3)&amp;RIGHT("0000"&amp;IFERROR(VALUE(MID(B38,FIND("-",B38)+1,9)),0),4))</f>
        <v/>
      </c>
      <c r="N38" s="11" t="str">
        <f aca="false">IF(OR(B38="",N(F38)&lt;=0),"",IF('FALTAS POR DECK'!$P$1="Código","K"&amp;M38&amp;RIGHT("00000"&amp;ROW(),5),IF('FALTAS POR DECK'!$P$1="Nome","K"&amp;UPPER(SUBSTITUTE(SUBSTITUTE(SUBSTITUTE(C38,"*",""),"?",""),"~",""))&amp;"0"&amp;M38&amp;RIGHT("00000"&amp;ROW(),5),IF('FALTAS POR DECK'!$P$1="Falta (maior primeiro)","K"&amp;RIGHT("0000"&amp;(9999-F38),4)&amp;M38&amp;RIGHT("00000"&amp;ROW(),5),IF('FALTAS POR DECK'!$P$1="Deck e código","K"&amp;RIGHT("00"&amp;IFERROR(MATCH(A38,_LEITURA!$P$2:$P$21,0),99),2)&amp;M38&amp;RIGHT("00000"&amp;ROW(),5),"K"&amp;RIGHT("00000"&amp;ROW(),5))))))</f>
        <v/>
      </c>
      <c r="O38" s="16" t="str">
        <f aca="false">IF(N38="","",COUNTIFS($N$2:$N$1201,"&lt;"&amp;N38,$F$2:$F$1201,"&gt;0")+1)</f>
        <v/>
      </c>
    </row>
    <row r="39" customFormat="false" ht="15" hidden="false" customHeight="false" outlineLevel="0" collapsed="false">
      <c r="A39" s="11" t="str">
        <f aca="false">IF(_LEITURA!$N39="","",INDEX(_LEITURA!$K$2:$K$1201,_LEITURA!$N39))</f>
        <v/>
      </c>
      <c r="B39" s="11" t="str">
        <f aca="false">IF(_LEITURA!$N39="","",INDEX(_LEITURA!$E$2:$E$1201,_LEITURA!$N39))</f>
        <v/>
      </c>
      <c r="C39" s="11" t="str">
        <f aca="false">IF(_LEITURA!$N39="","",INDEX(_LEITURA!$J$2:$J$1201,_LEITURA!$N39))</f>
        <v/>
      </c>
      <c r="D39" s="16" t="str">
        <f aca="false">IF(_LEITURA!$N39="","",INDEX(_LEITURA!$G$2:$G$1201,_LEITURA!$N39))</f>
        <v/>
      </c>
      <c r="E39" s="16" t="str">
        <f aca="false">IF(B39="","",SUMIFS(INVENTÁRIO!$C$2:$C$801,INVENTÁRIO!$A$2:$A$801,B39))</f>
        <v/>
      </c>
      <c r="F39" s="16" t="str">
        <f aca="false">IF(B39="","",MAX(0,D39-E39))</f>
        <v/>
      </c>
      <c r="G39" s="16" t="str">
        <f aca="false">IF(B39="","",IF(COUNTIFS($B$2:$B$1201,B39,$A$2:$A$1201,"&lt;&gt;"&amp;A39)&gt;0,"Sim",""))</f>
        <v/>
      </c>
      <c r="H39" s="16" t="str">
        <f aca="false">IF(N(F39)&gt;0,MAX(H$1:H38)+1,"")</f>
        <v/>
      </c>
      <c r="I39" s="11" t="str">
        <f aca="false">IF(B39="","",IF(INDEX($C$2:$C$1201,MATCH(B39,$B$2:$B$1201,0))&lt;&gt;C39,"Nome diferente em outro deck — revisar",""))</f>
        <v/>
      </c>
      <c r="J39" s="16" t="str">
        <f aca="false">IF(AND(B39&lt;&gt;"",A39=BULK!$A$1,N(F39)&gt;0),MAX(J$1:J38)+1,"")</f>
        <v/>
      </c>
      <c r="K39" s="11" t="str">
        <f aca="false">IF(B39="","",IFERROR(LEFT(B39,FIND("-",B39)-1),B39))</f>
        <v/>
      </c>
      <c r="L39" s="11" t="str">
        <f aca="false">IF(K39="","",IF(ISNUMBER(--MID(K39,1,1)),0,IF(ISNUMBER(--MID(K39,2,1)),1,IF(ISNUMBER(--MID(K39,3,1)),2,IF(ISNUMBER(--MID(K39,4,1)),3,MIN(LEN(K39),4))))))</f>
        <v/>
      </c>
      <c r="M39" s="11" t="str">
        <f aca="false">IF(B39="","",LEFT(K39,L39)&amp;REPT("0",4-L39)&amp;RIGHT("000"&amp;IFERROR(VALUE(MID(K39,L39+1,9)),0),3)&amp;RIGHT("0000"&amp;IFERROR(VALUE(MID(B39,FIND("-",B39)+1,9)),0),4))</f>
        <v/>
      </c>
      <c r="N39" s="11" t="str">
        <f aca="false">IF(OR(B39="",N(F39)&lt;=0),"",IF('FALTAS POR DECK'!$P$1="Código","K"&amp;M39&amp;RIGHT("00000"&amp;ROW(),5),IF('FALTAS POR DECK'!$P$1="Nome","K"&amp;UPPER(SUBSTITUTE(SUBSTITUTE(SUBSTITUTE(C39,"*",""),"?",""),"~",""))&amp;"0"&amp;M39&amp;RIGHT("00000"&amp;ROW(),5),IF('FALTAS POR DECK'!$P$1="Falta (maior primeiro)","K"&amp;RIGHT("0000"&amp;(9999-F39),4)&amp;M39&amp;RIGHT("00000"&amp;ROW(),5),IF('FALTAS POR DECK'!$P$1="Deck e código","K"&amp;RIGHT("00"&amp;IFERROR(MATCH(A39,_LEITURA!$P$2:$P$21,0),99),2)&amp;M39&amp;RIGHT("00000"&amp;ROW(),5),"K"&amp;RIGHT("00000"&amp;ROW(),5))))))</f>
        <v/>
      </c>
      <c r="O39" s="16" t="str">
        <f aca="false">IF(N39="","",COUNTIFS($N$2:$N$1201,"&lt;"&amp;N39,$F$2:$F$1201,"&gt;0")+1)</f>
        <v/>
      </c>
    </row>
    <row r="40" customFormat="false" ht="15" hidden="false" customHeight="false" outlineLevel="0" collapsed="false">
      <c r="A40" s="11" t="str">
        <f aca="false">IF(_LEITURA!$N40="","",INDEX(_LEITURA!$K$2:$K$1201,_LEITURA!$N40))</f>
        <v/>
      </c>
      <c r="B40" s="11" t="str">
        <f aca="false">IF(_LEITURA!$N40="","",INDEX(_LEITURA!$E$2:$E$1201,_LEITURA!$N40))</f>
        <v/>
      </c>
      <c r="C40" s="11" t="str">
        <f aca="false">IF(_LEITURA!$N40="","",INDEX(_LEITURA!$J$2:$J$1201,_LEITURA!$N40))</f>
        <v/>
      </c>
      <c r="D40" s="16" t="str">
        <f aca="false">IF(_LEITURA!$N40="","",INDEX(_LEITURA!$G$2:$G$1201,_LEITURA!$N40))</f>
        <v/>
      </c>
      <c r="E40" s="16" t="str">
        <f aca="false">IF(B40="","",SUMIFS(INVENTÁRIO!$C$2:$C$801,INVENTÁRIO!$A$2:$A$801,B40))</f>
        <v/>
      </c>
      <c r="F40" s="16" t="str">
        <f aca="false">IF(B40="","",MAX(0,D40-E40))</f>
        <v/>
      </c>
      <c r="G40" s="16" t="str">
        <f aca="false">IF(B40="","",IF(COUNTIFS($B$2:$B$1201,B40,$A$2:$A$1201,"&lt;&gt;"&amp;A40)&gt;0,"Sim",""))</f>
        <v/>
      </c>
      <c r="H40" s="16" t="str">
        <f aca="false">IF(N(F40)&gt;0,MAX(H$1:H39)+1,"")</f>
        <v/>
      </c>
      <c r="I40" s="11" t="str">
        <f aca="false">IF(B40="","",IF(INDEX($C$2:$C$1201,MATCH(B40,$B$2:$B$1201,0))&lt;&gt;C40,"Nome diferente em outro deck — revisar",""))</f>
        <v/>
      </c>
      <c r="J40" s="16" t="str">
        <f aca="false">IF(AND(B40&lt;&gt;"",A40=BULK!$A$1,N(F40)&gt;0),MAX(J$1:J39)+1,"")</f>
        <v/>
      </c>
      <c r="K40" s="11" t="str">
        <f aca="false">IF(B40="","",IFERROR(LEFT(B40,FIND("-",B40)-1),B40))</f>
        <v/>
      </c>
      <c r="L40" s="11" t="str">
        <f aca="false">IF(K40="","",IF(ISNUMBER(--MID(K40,1,1)),0,IF(ISNUMBER(--MID(K40,2,1)),1,IF(ISNUMBER(--MID(K40,3,1)),2,IF(ISNUMBER(--MID(K40,4,1)),3,MIN(LEN(K40),4))))))</f>
        <v/>
      </c>
      <c r="M40" s="11" t="str">
        <f aca="false">IF(B40="","",LEFT(K40,L40)&amp;REPT("0",4-L40)&amp;RIGHT("000"&amp;IFERROR(VALUE(MID(K40,L40+1,9)),0),3)&amp;RIGHT("0000"&amp;IFERROR(VALUE(MID(B40,FIND("-",B40)+1,9)),0),4))</f>
        <v/>
      </c>
      <c r="N40" s="11" t="str">
        <f aca="false">IF(OR(B40="",N(F40)&lt;=0),"",IF('FALTAS POR DECK'!$P$1="Código","K"&amp;M40&amp;RIGHT("00000"&amp;ROW(),5),IF('FALTAS POR DECK'!$P$1="Nome","K"&amp;UPPER(SUBSTITUTE(SUBSTITUTE(SUBSTITUTE(C40,"*",""),"?",""),"~",""))&amp;"0"&amp;M40&amp;RIGHT("00000"&amp;ROW(),5),IF('FALTAS POR DECK'!$P$1="Falta (maior primeiro)","K"&amp;RIGHT("0000"&amp;(9999-F40),4)&amp;M40&amp;RIGHT("00000"&amp;ROW(),5),IF('FALTAS POR DECK'!$P$1="Deck e código","K"&amp;RIGHT("00"&amp;IFERROR(MATCH(A40,_LEITURA!$P$2:$P$21,0),99),2)&amp;M40&amp;RIGHT("00000"&amp;ROW(),5),"K"&amp;RIGHT("00000"&amp;ROW(),5))))))</f>
        <v/>
      </c>
      <c r="O40" s="16" t="str">
        <f aca="false">IF(N40="","",COUNTIFS($N$2:$N$1201,"&lt;"&amp;N40,$F$2:$F$1201,"&gt;0")+1)</f>
        <v/>
      </c>
    </row>
    <row r="41" customFormat="false" ht="15" hidden="false" customHeight="false" outlineLevel="0" collapsed="false">
      <c r="A41" s="11" t="str">
        <f aca="false">IF(_LEITURA!$N41="","",INDEX(_LEITURA!$K$2:$K$1201,_LEITURA!$N41))</f>
        <v/>
      </c>
      <c r="B41" s="11" t="str">
        <f aca="false">IF(_LEITURA!$N41="","",INDEX(_LEITURA!$E$2:$E$1201,_LEITURA!$N41))</f>
        <v/>
      </c>
      <c r="C41" s="11" t="str">
        <f aca="false">IF(_LEITURA!$N41="","",INDEX(_LEITURA!$J$2:$J$1201,_LEITURA!$N41))</f>
        <v/>
      </c>
      <c r="D41" s="16" t="str">
        <f aca="false">IF(_LEITURA!$N41="","",INDEX(_LEITURA!$G$2:$G$1201,_LEITURA!$N41))</f>
        <v/>
      </c>
      <c r="E41" s="16" t="str">
        <f aca="false">IF(B41="","",SUMIFS(INVENTÁRIO!$C$2:$C$801,INVENTÁRIO!$A$2:$A$801,B41))</f>
        <v/>
      </c>
      <c r="F41" s="16" t="str">
        <f aca="false">IF(B41="","",MAX(0,D41-E41))</f>
        <v/>
      </c>
      <c r="G41" s="16" t="str">
        <f aca="false">IF(B41="","",IF(COUNTIFS($B$2:$B$1201,B41,$A$2:$A$1201,"&lt;&gt;"&amp;A41)&gt;0,"Sim",""))</f>
        <v/>
      </c>
      <c r="H41" s="16" t="str">
        <f aca="false">IF(N(F41)&gt;0,MAX(H$1:H40)+1,"")</f>
        <v/>
      </c>
      <c r="I41" s="11" t="str">
        <f aca="false">IF(B41="","",IF(INDEX($C$2:$C$1201,MATCH(B41,$B$2:$B$1201,0))&lt;&gt;C41,"Nome diferente em outro deck — revisar",""))</f>
        <v/>
      </c>
      <c r="J41" s="16" t="str">
        <f aca="false">IF(AND(B41&lt;&gt;"",A41=BULK!$A$1,N(F41)&gt;0),MAX(J$1:J40)+1,"")</f>
        <v/>
      </c>
      <c r="K41" s="11" t="str">
        <f aca="false">IF(B41="","",IFERROR(LEFT(B41,FIND("-",B41)-1),B41))</f>
        <v/>
      </c>
      <c r="L41" s="11" t="str">
        <f aca="false">IF(K41="","",IF(ISNUMBER(--MID(K41,1,1)),0,IF(ISNUMBER(--MID(K41,2,1)),1,IF(ISNUMBER(--MID(K41,3,1)),2,IF(ISNUMBER(--MID(K41,4,1)),3,MIN(LEN(K41),4))))))</f>
        <v/>
      </c>
      <c r="M41" s="11" t="str">
        <f aca="false">IF(B41="","",LEFT(K41,L41)&amp;REPT("0",4-L41)&amp;RIGHT("000"&amp;IFERROR(VALUE(MID(K41,L41+1,9)),0),3)&amp;RIGHT("0000"&amp;IFERROR(VALUE(MID(B41,FIND("-",B41)+1,9)),0),4))</f>
        <v/>
      </c>
      <c r="N41" s="11" t="str">
        <f aca="false">IF(OR(B41="",N(F41)&lt;=0),"",IF('FALTAS POR DECK'!$P$1="Código","K"&amp;M41&amp;RIGHT("00000"&amp;ROW(),5),IF('FALTAS POR DECK'!$P$1="Nome","K"&amp;UPPER(SUBSTITUTE(SUBSTITUTE(SUBSTITUTE(C41,"*",""),"?",""),"~",""))&amp;"0"&amp;M41&amp;RIGHT("00000"&amp;ROW(),5),IF('FALTAS POR DECK'!$P$1="Falta (maior primeiro)","K"&amp;RIGHT("0000"&amp;(9999-F41),4)&amp;M41&amp;RIGHT("00000"&amp;ROW(),5),IF('FALTAS POR DECK'!$P$1="Deck e código","K"&amp;RIGHT("00"&amp;IFERROR(MATCH(A41,_LEITURA!$P$2:$P$21,0),99),2)&amp;M41&amp;RIGHT("00000"&amp;ROW(),5),"K"&amp;RIGHT("00000"&amp;ROW(),5))))))</f>
        <v/>
      </c>
      <c r="O41" s="16" t="str">
        <f aca="false">IF(N41="","",COUNTIFS($N$2:$N$1201,"&lt;"&amp;N41,$F$2:$F$1201,"&gt;0")+1)</f>
        <v/>
      </c>
    </row>
    <row r="42" customFormat="false" ht="15" hidden="false" customHeight="false" outlineLevel="0" collapsed="false">
      <c r="A42" s="11" t="str">
        <f aca="false">IF(_LEITURA!$N42="","",INDEX(_LEITURA!$K$2:$K$1201,_LEITURA!$N42))</f>
        <v/>
      </c>
      <c r="B42" s="11" t="str">
        <f aca="false">IF(_LEITURA!$N42="","",INDEX(_LEITURA!$E$2:$E$1201,_LEITURA!$N42))</f>
        <v/>
      </c>
      <c r="C42" s="11" t="str">
        <f aca="false">IF(_LEITURA!$N42="","",INDEX(_LEITURA!$J$2:$J$1201,_LEITURA!$N42))</f>
        <v/>
      </c>
      <c r="D42" s="16" t="str">
        <f aca="false">IF(_LEITURA!$N42="","",INDEX(_LEITURA!$G$2:$G$1201,_LEITURA!$N42))</f>
        <v/>
      </c>
      <c r="E42" s="16" t="str">
        <f aca="false">IF(B42="","",SUMIFS(INVENTÁRIO!$C$2:$C$801,INVENTÁRIO!$A$2:$A$801,B42))</f>
        <v/>
      </c>
      <c r="F42" s="16" t="str">
        <f aca="false">IF(B42="","",MAX(0,D42-E42))</f>
        <v/>
      </c>
      <c r="G42" s="16" t="str">
        <f aca="false">IF(B42="","",IF(COUNTIFS($B$2:$B$1201,B42,$A$2:$A$1201,"&lt;&gt;"&amp;A42)&gt;0,"Sim",""))</f>
        <v/>
      </c>
      <c r="H42" s="16" t="str">
        <f aca="false">IF(N(F42)&gt;0,MAX(H$1:H41)+1,"")</f>
        <v/>
      </c>
      <c r="I42" s="11" t="str">
        <f aca="false">IF(B42="","",IF(INDEX($C$2:$C$1201,MATCH(B42,$B$2:$B$1201,0))&lt;&gt;C42,"Nome diferente em outro deck — revisar",""))</f>
        <v/>
      </c>
      <c r="J42" s="16" t="str">
        <f aca="false">IF(AND(B42&lt;&gt;"",A42=BULK!$A$1,N(F42)&gt;0),MAX(J$1:J41)+1,"")</f>
        <v/>
      </c>
      <c r="K42" s="11" t="str">
        <f aca="false">IF(B42="","",IFERROR(LEFT(B42,FIND("-",B42)-1),B42))</f>
        <v/>
      </c>
      <c r="L42" s="11" t="str">
        <f aca="false">IF(K42="","",IF(ISNUMBER(--MID(K42,1,1)),0,IF(ISNUMBER(--MID(K42,2,1)),1,IF(ISNUMBER(--MID(K42,3,1)),2,IF(ISNUMBER(--MID(K42,4,1)),3,MIN(LEN(K42),4))))))</f>
        <v/>
      </c>
      <c r="M42" s="11" t="str">
        <f aca="false">IF(B42="","",LEFT(K42,L42)&amp;REPT("0",4-L42)&amp;RIGHT("000"&amp;IFERROR(VALUE(MID(K42,L42+1,9)),0),3)&amp;RIGHT("0000"&amp;IFERROR(VALUE(MID(B42,FIND("-",B42)+1,9)),0),4))</f>
        <v/>
      </c>
      <c r="N42" s="11" t="str">
        <f aca="false">IF(OR(B42="",N(F42)&lt;=0),"",IF('FALTAS POR DECK'!$P$1="Código","K"&amp;M42&amp;RIGHT("00000"&amp;ROW(),5),IF('FALTAS POR DECK'!$P$1="Nome","K"&amp;UPPER(SUBSTITUTE(SUBSTITUTE(SUBSTITUTE(C42,"*",""),"?",""),"~",""))&amp;"0"&amp;M42&amp;RIGHT("00000"&amp;ROW(),5),IF('FALTAS POR DECK'!$P$1="Falta (maior primeiro)","K"&amp;RIGHT("0000"&amp;(9999-F42),4)&amp;M42&amp;RIGHT("00000"&amp;ROW(),5),IF('FALTAS POR DECK'!$P$1="Deck e código","K"&amp;RIGHT("00"&amp;IFERROR(MATCH(A42,_LEITURA!$P$2:$P$21,0),99),2)&amp;M42&amp;RIGHT("00000"&amp;ROW(),5),"K"&amp;RIGHT("00000"&amp;ROW(),5))))))</f>
        <v/>
      </c>
      <c r="O42" s="16" t="str">
        <f aca="false">IF(N42="","",COUNTIFS($N$2:$N$1201,"&lt;"&amp;N42,$F$2:$F$1201,"&gt;0")+1)</f>
        <v/>
      </c>
    </row>
    <row r="43" customFormat="false" ht="15" hidden="false" customHeight="false" outlineLevel="0" collapsed="false">
      <c r="A43" s="11" t="str">
        <f aca="false">IF(_LEITURA!$N43="","",INDEX(_LEITURA!$K$2:$K$1201,_LEITURA!$N43))</f>
        <v/>
      </c>
      <c r="B43" s="11" t="str">
        <f aca="false">IF(_LEITURA!$N43="","",INDEX(_LEITURA!$E$2:$E$1201,_LEITURA!$N43))</f>
        <v/>
      </c>
      <c r="C43" s="11" t="str">
        <f aca="false">IF(_LEITURA!$N43="","",INDEX(_LEITURA!$J$2:$J$1201,_LEITURA!$N43))</f>
        <v/>
      </c>
      <c r="D43" s="16" t="str">
        <f aca="false">IF(_LEITURA!$N43="","",INDEX(_LEITURA!$G$2:$G$1201,_LEITURA!$N43))</f>
        <v/>
      </c>
      <c r="E43" s="16" t="str">
        <f aca="false">IF(B43="","",SUMIFS(INVENTÁRIO!$C$2:$C$801,INVENTÁRIO!$A$2:$A$801,B43))</f>
        <v/>
      </c>
      <c r="F43" s="16" t="str">
        <f aca="false">IF(B43="","",MAX(0,D43-E43))</f>
        <v/>
      </c>
      <c r="G43" s="16" t="str">
        <f aca="false">IF(B43="","",IF(COUNTIFS($B$2:$B$1201,B43,$A$2:$A$1201,"&lt;&gt;"&amp;A43)&gt;0,"Sim",""))</f>
        <v/>
      </c>
      <c r="H43" s="16" t="str">
        <f aca="false">IF(N(F43)&gt;0,MAX(H$1:H42)+1,"")</f>
        <v/>
      </c>
      <c r="I43" s="11" t="str">
        <f aca="false">IF(B43="","",IF(INDEX($C$2:$C$1201,MATCH(B43,$B$2:$B$1201,0))&lt;&gt;C43,"Nome diferente em outro deck — revisar",""))</f>
        <v/>
      </c>
      <c r="J43" s="16" t="str">
        <f aca="false">IF(AND(B43&lt;&gt;"",A43=BULK!$A$1,N(F43)&gt;0),MAX(J$1:J42)+1,"")</f>
        <v/>
      </c>
      <c r="K43" s="11" t="str">
        <f aca="false">IF(B43="","",IFERROR(LEFT(B43,FIND("-",B43)-1),B43))</f>
        <v/>
      </c>
      <c r="L43" s="11" t="str">
        <f aca="false">IF(K43="","",IF(ISNUMBER(--MID(K43,1,1)),0,IF(ISNUMBER(--MID(K43,2,1)),1,IF(ISNUMBER(--MID(K43,3,1)),2,IF(ISNUMBER(--MID(K43,4,1)),3,MIN(LEN(K43),4))))))</f>
        <v/>
      </c>
      <c r="M43" s="11" t="str">
        <f aca="false">IF(B43="","",LEFT(K43,L43)&amp;REPT("0",4-L43)&amp;RIGHT("000"&amp;IFERROR(VALUE(MID(K43,L43+1,9)),0),3)&amp;RIGHT("0000"&amp;IFERROR(VALUE(MID(B43,FIND("-",B43)+1,9)),0),4))</f>
        <v/>
      </c>
      <c r="N43" s="11" t="str">
        <f aca="false">IF(OR(B43="",N(F43)&lt;=0),"",IF('FALTAS POR DECK'!$P$1="Código","K"&amp;M43&amp;RIGHT("00000"&amp;ROW(),5),IF('FALTAS POR DECK'!$P$1="Nome","K"&amp;UPPER(SUBSTITUTE(SUBSTITUTE(SUBSTITUTE(C43,"*",""),"?",""),"~",""))&amp;"0"&amp;M43&amp;RIGHT("00000"&amp;ROW(),5),IF('FALTAS POR DECK'!$P$1="Falta (maior primeiro)","K"&amp;RIGHT("0000"&amp;(9999-F43),4)&amp;M43&amp;RIGHT("00000"&amp;ROW(),5),IF('FALTAS POR DECK'!$P$1="Deck e código","K"&amp;RIGHT("00"&amp;IFERROR(MATCH(A43,_LEITURA!$P$2:$P$21,0),99),2)&amp;M43&amp;RIGHT("00000"&amp;ROW(),5),"K"&amp;RIGHT("00000"&amp;ROW(),5))))))</f>
        <v/>
      </c>
      <c r="O43" s="16" t="str">
        <f aca="false">IF(N43="","",COUNTIFS($N$2:$N$1201,"&lt;"&amp;N43,$F$2:$F$1201,"&gt;0")+1)</f>
        <v/>
      </c>
    </row>
    <row r="44" customFormat="false" ht="15" hidden="false" customHeight="false" outlineLevel="0" collapsed="false">
      <c r="A44" s="11" t="str">
        <f aca="false">IF(_LEITURA!$N44="","",INDEX(_LEITURA!$K$2:$K$1201,_LEITURA!$N44))</f>
        <v/>
      </c>
      <c r="B44" s="11" t="str">
        <f aca="false">IF(_LEITURA!$N44="","",INDEX(_LEITURA!$E$2:$E$1201,_LEITURA!$N44))</f>
        <v/>
      </c>
      <c r="C44" s="11" t="str">
        <f aca="false">IF(_LEITURA!$N44="","",INDEX(_LEITURA!$J$2:$J$1201,_LEITURA!$N44))</f>
        <v/>
      </c>
      <c r="D44" s="16" t="str">
        <f aca="false">IF(_LEITURA!$N44="","",INDEX(_LEITURA!$G$2:$G$1201,_LEITURA!$N44))</f>
        <v/>
      </c>
      <c r="E44" s="16" t="str">
        <f aca="false">IF(B44="","",SUMIFS(INVENTÁRIO!$C$2:$C$801,INVENTÁRIO!$A$2:$A$801,B44))</f>
        <v/>
      </c>
      <c r="F44" s="16" t="str">
        <f aca="false">IF(B44="","",MAX(0,D44-E44))</f>
        <v/>
      </c>
      <c r="G44" s="16" t="str">
        <f aca="false">IF(B44="","",IF(COUNTIFS($B$2:$B$1201,B44,$A$2:$A$1201,"&lt;&gt;"&amp;A44)&gt;0,"Sim",""))</f>
        <v/>
      </c>
      <c r="H44" s="16" t="str">
        <f aca="false">IF(N(F44)&gt;0,MAX(H$1:H43)+1,"")</f>
        <v/>
      </c>
      <c r="I44" s="11" t="str">
        <f aca="false">IF(B44="","",IF(INDEX($C$2:$C$1201,MATCH(B44,$B$2:$B$1201,0))&lt;&gt;C44,"Nome diferente em outro deck — revisar",""))</f>
        <v/>
      </c>
      <c r="J44" s="16" t="str">
        <f aca="false">IF(AND(B44&lt;&gt;"",A44=BULK!$A$1,N(F44)&gt;0),MAX(J$1:J43)+1,"")</f>
        <v/>
      </c>
      <c r="K44" s="11" t="str">
        <f aca="false">IF(B44="","",IFERROR(LEFT(B44,FIND("-",B44)-1),B44))</f>
        <v/>
      </c>
      <c r="L44" s="11" t="str">
        <f aca="false">IF(K44="","",IF(ISNUMBER(--MID(K44,1,1)),0,IF(ISNUMBER(--MID(K44,2,1)),1,IF(ISNUMBER(--MID(K44,3,1)),2,IF(ISNUMBER(--MID(K44,4,1)),3,MIN(LEN(K44),4))))))</f>
        <v/>
      </c>
      <c r="M44" s="11" t="str">
        <f aca="false">IF(B44="","",LEFT(K44,L44)&amp;REPT("0",4-L44)&amp;RIGHT("000"&amp;IFERROR(VALUE(MID(K44,L44+1,9)),0),3)&amp;RIGHT("0000"&amp;IFERROR(VALUE(MID(B44,FIND("-",B44)+1,9)),0),4))</f>
        <v/>
      </c>
      <c r="N44" s="11" t="str">
        <f aca="false">IF(OR(B44="",N(F44)&lt;=0),"",IF('FALTAS POR DECK'!$P$1="Código","K"&amp;M44&amp;RIGHT("00000"&amp;ROW(),5),IF('FALTAS POR DECK'!$P$1="Nome","K"&amp;UPPER(SUBSTITUTE(SUBSTITUTE(SUBSTITUTE(C44,"*",""),"?",""),"~",""))&amp;"0"&amp;M44&amp;RIGHT("00000"&amp;ROW(),5),IF('FALTAS POR DECK'!$P$1="Falta (maior primeiro)","K"&amp;RIGHT("0000"&amp;(9999-F44),4)&amp;M44&amp;RIGHT("00000"&amp;ROW(),5),IF('FALTAS POR DECK'!$P$1="Deck e código","K"&amp;RIGHT("00"&amp;IFERROR(MATCH(A44,_LEITURA!$P$2:$P$21,0),99),2)&amp;M44&amp;RIGHT("00000"&amp;ROW(),5),"K"&amp;RIGHT("00000"&amp;ROW(),5))))))</f>
        <v/>
      </c>
      <c r="O44" s="16" t="str">
        <f aca="false">IF(N44="","",COUNTIFS($N$2:$N$1201,"&lt;"&amp;N44,$F$2:$F$1201,"&gt;0")+1)</f>
        <v/>
      </c>
    </row>
    <row r="45" customFormat="false" ht="15" hidden="false" customHeight="false" outlineLevel="0" collapsed="false">
      <c r="A45" s="11" t="str">
        <f aca="false">IF(_LEITURA!$N45="","",INDEX(_LEITURA!$K$2:$K$1201,_LEITURA!$N45))</f>
        <v/>
      </c>
      <c r="B45" s="11" t="str">
        <f aca="false">IF(_LEITURA!$N45="","",INDEX(_LEITURA!$E$2:$E$1201,_LEITURA!$N45))</f>
        <v/>
      </c>
      <c r="C45" s="11" t="str">
        <f aca="false">IF(_LEITURA!$N45="","",INDEX(_LEITURA!$J$2:$J$1201,_LEITURA!$N45))</f>
        <v/>
      </c>
      <c r="D45" s="16" t="str">
        <f aca="false">IF(_LEITURA!$N45="","",INDEX(_LEITURA!$G$2:$G$1201,_LEITURA!$N45))</f>
        <v/>
      </c>
      <c r="E45" s="16" t="str">
        <f aca="false">IF(B45="","",SUMIFS(INVENTÁRIO!$C$2:$C$801,INVENTÁRIO!$A$2:$A$801,B45))</f>
        <v/>
      </c>
      <c r="F45" s="16" t="str">
        <f aca="false">IF(B45="","",MAX(0,D45-E45))</f>
        <v/>
      </c>
      <c r="G45" s="16" t="str">
        <f aca="false">IF(B45="","",IF(COUNTIFS($B$2:$B$1201,B45,$A$2:$A$1201,"&lt;&gt;"&amp;A45)&gt;0,"Sim",""))</f>
        <v/>
      </c>
      <c r="H45" s="16" t="str">
        <f aca="false">IF(N(F45)&gt;0,MAX(H$1:H44)+1,"")</f>
        <v/>
      </c>
      <c r="I45" s="11" t="str">
        <f aca="false">IF(B45="","",IF(INDEX($C$2:$C$1201,MATCH(B45,$B$2:$B$1201,0))&lt;&gt;C45,"Nome diferente em outro deck — revisar",""))</f>
        <v/>
      </c>
      <c r="J45" s="16" t="str">
        <f aca="false">IF(AND(B45&lt;&gt;"",A45=BULK!$A$1,N(F45)&gt;0),MAX(J$1:J44)+1,"")</f>
        <v/>
      </c>
      <c r="K45" s="11" t="str">
        <f aca="false">IF(B45="","",IFERROR(LEFT(B45,FIND("-",B45)-1),B45))</f>
        <v/>
      </c>
      <c r="L45" s="11" t="str">
        <f aca="false">IF(K45="","",IF(ISNUMBER(--MID(K45,1,1)),0,IF(ISNUMBER(--MID(K45,2,1)),1,IF(ISNUMBER(--MID(K45,3,1)),2,IF(ISNUMBER(--MID(K45,4,1)),3,MIN(LEN(K45),4))))))</f>
        <v/>
      </c>
      <c r="M45" s="11" t="str">
        <f aca="false">IF(B45="","",LEFT(K45,L45)&amp;REPT("0",4-L45)&amp;RIGHT("000"&amp;IFERROR(VALUE(MID(K45,L45+1,9)),0),3)&amp;RIGHT("0000"&amp;IFERROR(VALUE(MID(B45,FIND("-",B45)+1,9)),0),4))</f>
        <v/>
      </c>
      <c r="N45" s="11" t="str">
        <f aca="false">IF(OR(B45="",N(F45)&lt;=0),"",IF('FALTAS POR DECK'!$P$1="Código","K"&amp;M45&amp;RIGHT("00000"&amp;ROW(),5),IF('FALTAS POR DECK'!$P$1="Nome","K"&amp;UPPER(SUBSTITUTE(SUBSTITUTE(SUBSTITUTE(C45,"*",""),"?",""),"~",""))&amp;"0"&amp;M45&amp;RIGHT("00000"&amp;ROW(),5),IF('FALTAS POR DECK'!$P$1="Falta (maior primeiro)","K"&amp;RIGHT("0000"&amp;(9999-F45),4)&amp;M45&amp;RIGHT("00000"&amp;ROW(),5),IF('FALTAS POR DECK'!$P$1="Deck e código","K"&amp;RIGHT("00"&amp;IFERROR(MATCH(A45,_LEITURA!$P$2:$P$21,0),99),2)&amp;M45&amp;RIGHT("00000"&amp;ROW(),5),"K"&amp;RIGHT("00000"&amp;ROW(),5))))))</f>
        <v/>
      </c>
      <c r="O45" s="16" t="str">
        <f aca="false">IF(N45="","",COUNTIFS($N$2:$N$1201,"&lt;"&amp;N45,$F$2:$F$1201,"&gt;0")+1)</f>
        <v/>
      </c>
    </row>
    <row r="46" customFormat="false" ht="15" hidden="false" customHeight="false" outlineLevel="0" collapsed="false">
      <c r="A46" s="11" t="str">
        <f aca="false">IF(_LEITURA!$N46="","",INDEX(_LEITURA!$K$2:$K$1201,_LEITURA!$N46))</f>
        <v/>
      </c>
      <c r="B46" s="11" t="str">
        <f aca="false">IF(_LEITURA!$N46="","",INDEX(_LEITURA!$E$2:$E$1201,_LEITURA!$N46))</f>
        <v/>
      </c>
      <c r="C46" s="11" t="str">
        <f aca="false">IF(_LEITURA!$N46="","",INDEX(_LEITURA!$J$2:$J$1201,_LEITURA!$N46))</f>
        <v/>
      </c>
      <c r="D46" s="16" t="str">
        <f aca="false">IF(_LEITURA!$N46="","",INDEX(_LEITURA!$G$2:$G$1201,_LEITURA!$N46))</f>
        <v/>
      </c>
      <c r="E46" s="16" t="str">
        <f aca="false">IF(B46="","",SUMIFS(INVENTÁRIO!$C$2:$C$801,INVENTÁRIO!$A$2:$A$801,B46))</f>
        <v/>
      </c>
      <c r="F46" s="16" t="str">
        <f aca="false">IF(B46="","",MAX(0,D46-E46))</f>
        <v/>
      </c>
      <c r="G46" s="16" t="str">
        <f aca="false">IF(B46="","",IF(COUNTIFS($B$2:$B$1201,B46,$A$2:$A$1201,"&lt;&gt;"&amp;A46)&gt;0,"Sim",""))</f>
        <v/>
      </c>
      <c r="H46" s="16" t="str">
        <f aca="false">IF(N(F46)&gt;0,MAX(H$1:H45)+1,"")</f>
        <v/>
      </c>
      <c r="I46" s="11" t="str">
        <f aca="false">IF(B46="","",IF(INDEX($C$2:$C$1201,MATCH(B46,$B$2:$B$1201,0))&lt;&gt;C46,"Nome diferente em outro deck — revisar",""))</f>
        <v/>
      </c>
      <c r="J46" s="16" t="str">
        <f aca="false">IF(AND(B46&lt;&gt;"",A46=BULK!$A$1,N(F46)&gt;0),MAX(J$1:J45)+1,"")</f>
        <v/>
      </c>
      <c r="K46" s="11" t="str">
        <f aca="false">IF(B46="","",IFERROR(LEFT(B46,FIND("-",B46)-1),B46))</f>
        <v/>
      </c>
      <c r="L46" s="11" t="str">
        <f aca="false">IF(K46="","",IF(ISNUMBER(--MID(K46,1,1)),0,IF(ISNUMBER(--MID(K46,2,1)),1,IF(ISNUMBER(--MID(K46,3,1)),2,IF(ISNUMBER(--MID(K46,4,1)),3,MIN(LEN(K46),4))))))</f>
        <v/>
      </c>
      <c r="M46" s="11" t="str">
        <f aca="false">IF(B46="","",LEFT(K46,L46)&amp;REPT("0",4-L46)&amp;RIGHT("000"&amp;IFERROR(VALUE(MID(K46,L46+1,9)),0),3)&amp;RIGHT("0000"&amp;IFERROR(VALUE(MID(B46,FIND("-",B46)+1,9)),0),4))</f>
        <v/>
      </c>
      <c r="N46" s="11" t="str">
        <f aca="false">IF(OR(B46="",N(F46)&lt;=0),"",IF('FALTAS POR DECK'!$P$1="Código","K"&amp;M46&amp;RIGHT("00000"&amp;ROW(),5),IF('FALTAS POR DECK'!$P$1="Nome","K"&amp;UPPER(SUBSTITUTE(SUBSTITUTE(SUBSTITUTE(C46,"*",""),"?",""),"~",""))&amp;"0"&amp;M46&amp;RIGHT("00000"&amp;ROW(),5),IF('FALTAS POR DECK'!$P$1="Falta (maior primeiro)","K"&amp;RIGHT("0000"&amp;(9999-F46),4)&amp;M46&amp;RIGHT("00000"&amp;ROW(),5),IF('FALTAS POR DECK'!$P$1="Deck e código","K"&amp;RIGHT("00"&amp;IFERROR(MATCH(A46,_LEITURA!$P$2:$P$21,0),99),2)&amp;M46&amp;RIGHT("00000"&amp;ROW(),5),"K"&amp;RIGHT("00000"&amp;ROW(),5))))))</f>
        <v/>
      </c>
      <c r="O46" s="16" t="str">
        <f aca="false">IF(N46="","",COUNTIFS($N$2:$N$1201,"&lt;"&amp;N46,$F$2:$F$1201,"&gt;0")+1)</f>
        <v/>
      </c>
    </row>
    <row r="47" customFormat="false" ht="15" hidden="false" customHeight="false" outlineLevel="0" collapsed="false">
      <c r="A47" s="11" t="str">
        <f aca="false">IF(_LEITURA!$N47="","",INDEX(_LEITURA!$K$2:$K$1201,_LEITURA!$N47))</f>
        <v/>
      </c>
      <c r="B47" s="11" t="str">
        <f aca="false">IF(_LEITURA!$N47="","",INDEX(_LEITURA!$E$2:$E$1201,_LEITURA!$N47))</f>
        <v/>
      </c>
      <c r="C47" s="11" t="str">
        <f aca="false">IF(_LEITURA!$N47="","",INDEX(_LEITURA!$J$2:$J$1201,_LEITURA!$N47))</f>
        <v/>
      </c>
      <c r="D47" s="16" t="str">
        <f aca="false">IF(_LEITURA!$N47="","",INDEX(_LEITURA!$G$2:$G$1201,_LEITURA!$N47))</f>
        <v/>
      </c>
      <c r="E47" s="16" t="str">
        <f aca="false">IF(B47="","",SUMIFS(INVENTÁRIO!$C$2:$C$801,INVENTÁRIO!$A$2:$A$801,B47))</f>
        <v/>
      </c>
      <c r="F47" s="16" t="str">
        <f aca="false">IF(B47="","",MAX(0,D47-E47))</f>
        <v/>
      </c>
      <c r="G47" s="16" t="str">
        <f aca="false">IF(B47="","",IF(COUNTIFS($B$2:$B$1201,B47,$A$2:$A$1201,"&lt;&gt;"&amp;A47)&gt;0,"Sim",""))</f>
        <v/>
      </c>
      <c r="H47" s="16" t="str">
        <f aca="false">IF(N(F47)&gt;0,MAX(H$1:H46)+1,"")</f>
        <v/>
      </c>
      <c r="I47" s="11" t="str">
        <f aca="false">IF(B47="","",IF(INDEX($C$2:$C$1201,MATCH(B47,$B$2:$B$1201,0))&lt;&gt;C47,"Nome diferente em outro deck — revisar",""))</f>
        <v/>
      </c>
      <c r="J47" s="16" t="str">
        <f aca="false">IF(AND(B47&lt;&gt;"",A47=BULK!$A$1,N(F47)&gt;0),MAX(J$1:J46)+1,"")</f>
        <v/>
      </c>
      <c r="K47" s="11" t="str">
        <f aca="false">IF(B47="","",IFERROR(LEFT(B47,FIND("-",B47)-1),B47))</f>
        <v/>
      </c>
      <c r="L47" s="11" t="str">
        <f aca="false">IF(K47="","",IF(ISNUMBER(--MID(K47,1,1)),0,IF(ISNUMBER(--MID(K47,2,1)),1,IF(ISNUMBER(--MID(K47,3,1)),2,IF(ISNUMBER(--MID(K47,4,1)),3,MIN(LEN(K47),4))))))</f>
        <v/>
      </c>
      <c r="M47" s="11" t="str">
        <f aca="false">IF(B47="","",LEFT(K47,L47)&amp;REPT("0",4-L47)&amp;RIGHT("000"&amp;IFERROR(VALUE(MID(K47,L47+1,9)),0),3)&amp;RIGHT("0000"&amp;IFERROR(VALUE(MID(B47,FIND("-",B47)+1,9)),0),4))</f>
        <v/>
      </c>
      <c r="N47" s="11" t="str">
        <f aca="false">IF(OR(B47="",N(F47)&lt;=0),"",IF('FALTAS POR DECK'!$P$1="Código","K"&amp;M47&amp;RIGHT("00000"&amp;ROW(),5),IF('FALTAS POR DECK'!$P$1="Nome","K"&amp;UPPER(SUBSTITUTE(SUBSTITUTE(SUBSTITUTE(C47,"*",""),"?",""),"~",""))&amp;"0"&amp;M47&amp;RIGHT("00000"&amp;ROW(),5),IF('FALTAS POR DECK'!$P$1="Falta (maior primeiro)","K"&amp;RIGHT("0000"&amp;(9999-F47),4)&amp;M47&amp;RIGHT("00000"&amp;ROW(),5),IF('FALTAS POR DECK'!$P$1="Deck e código","K"&amp;RIGHT("00"&amp;IFERROR(MATCH(A47,_LEITURA!$P$2:$P$21,0),99),2)&amp;M47&amp;RIGHT("00000"&amp;ROW(),5),"K"&amp;RIGHT("00000"&amp;ROW(),5))))))</f>
        <v/>
      </c>
      <c r="O47" s="16" t="str">
        <f aca="false">IF(N47="","",COUNTIFS($N$2:$N$1201,"&lt;"&amp;N47,$F$2:$F$1201,"&gt;0")+1)</f>
        <v/>
      </c>
    </row>
    <row r="48" customFormat="false" ht="15" hidden="false" customHeight="false" outlineLevel="0" collapsed="false">
      <c r="A48" s="11" t="str">
        <f aca="false">IF(_LEITURA!$N48="","",INDEX(_LEITURA!$K$2:$K$1201,_LEITURA!$N48))</f>
        <v/>
      </c>
      <c r="B48" s="11" t="str">
        <f aca="false">IF(_LEITURA!$N48="","",INDEX(_LEITURA!$E$2:$E$1201,_LEITURA!$N48))</f>
        <v/>
      </c>
      <c r="C48" s="11" t="str">
        <f aca="false">IF(_LEITURA!$N48="","",INDEX(_LEITURA!$J$2:$J$1201,_LEITURA!$N48))</f>
        <v/>
      </c>
      <c r="D48" s="16" t="str">
        <f aca="false">IF(_LEITURA!$N48="","",INDEX(_LEITURA!$G$2:$G$1201,_LEITURA!$N48))</f>
        <v/>
      </c>
      <c r="E48" s="16" t="str">
        <f aca="false">IF(B48="","",SUMIFS(INVENTÁRIO!$C$2:$C$801,INVENTÁRIO!$A$2:$A$801,B48))</f>
        <v/>
      </c>
      <c r="F48" s="16" t="str">
        <f aca="false">IF(B48="","",MAX(0,D48-E48))</f>
        <v/>
      </c>
      <c r="G48" s="16" t="str">
        <f aca="false">IF(B48="","",IF(COUNTIFS($B$2:$B$1201,B48,$A$2:$A$1201,"&lt;&gt;"&amp;A48)&gt;0,"Sim",""))</f>
        <v/>
      </c>
      <c r="H48" s="16" t="str">
        <f aca="false">IF(N(F48)&gt;0,MAX(H$1:H47)+1,"")</f>
        <v/>
      </c>
      <c r="I48" s="11" t="str">
        <f aca="false">IF(B48="","",IF(INDEX($C$2:$C$1201,MATCH(B48,$B$2:$B$1201,0))&lt;&gt;C48,"Nome diferente em outro deck — revisar",""))</f>
        <v/>
      </c>
      <c r="J48" s="16" t="str">
        <f aca="false">IF(AND(B48&lt;&gt;"",A48=BULK!$A$1,N(F48)&gt;0),MAX(J$1:J47)+1,"")</f>
        <v/>
      </c>
      <c r="K48" s="11" t="str">
        <f aca="false">IF(B48="","",IFERROR(LEFT(B48,FIND("-",B48)-1),B48))</f>
        <v/>
      </c>
      <c r="L48" s="11" t="str">
        <f aca="false">IF(K48="","",IF(ISNUMBER(--MID(K48,1,1)),0,IF(ISNUMBER(--MID(K48,2,1)),1,IF(ISNUMBER(--MID(K48,3,1)),2,IF(ISNUMBER(--MID(K48,4,1)),3,MIN(LEN(K48),4))))))</f>
        <v/>
      </c>
      <c r="M48" s="11" t="str">
        <f aca="false">IF(B48="","",LEFT(K48,L48)&amp;REPT("0",4-L48)&amp;RIGHT("000"&amp;IFERROR(VALUE(MID(K48,L48+1,9)),0),3)&amp;RIGHT("0000"&amp;IFERROR(VALUE(MID(B48,FIND("-",B48)+1,9)),0),4))</f>
        <v/>
      </c>
      <c r="N48" s="11" t="str">
        <f aca="false">IF(OR(B48="",N(F48)&lt;=0),"",IF('FALTAS POR DECK'!$P$1="Código","K"&amp;M48&amp;RIGHT("00000"&amp;ROW(),5),IF('FALTAS POR DECK'!$P$1="Nome","K"&amp;UPPER(SUBSTITUTE(SUBSTITUTE(SUBSTITUTE(C48,"*",""),"?",""),"~",""))&amp;"0"&amp;M48&amp;RIGHT("00000"&amp;ROW(),5),IF('FALTAS POR DECK'!$P$1="Falta (maior primeiro)","K"&amp;RIGHT("0000"&amp;(9999-F48),4)&amp;M48&amp;RIGHT("00000"&amp;ROW(),5),IF('FALTAS POR DECK'!$P$1="Deck e código","K"&amp;RIGHT("00"&amp;IFERROR(MATCH(A48,_LEITURA!$P$2:$P$21,0),99),2)&amp;M48&amp;RIGHT("00000"&amp;ROW(),5),"K"&amp;RIGHT("00000"&amp;ROW(),5))))))</f>
        <v/>
      </c>
      <c r="O48" s="16" t="str">
        <f aca="false">IF(N48="","",COUNTIFS($N$2:$N$1201,"&lt;"&amp;N48,$F$2:$F$1201,"&gt;0")+1)</f>
        <v/>
      </c>
    </row>
    <row r="49" customFormat="false" ht="15" hidden="false" customHeight="false" outlineLevel="0" collapsed="false">
      <c r="A49" s="11" t="str">
        <f aca="false">IF(_LEITURA!$N49="","",INDEX(_LEITURA!$K$2:$K$1201,_LEITURA!$N49))</f>
        <v/>
      </c>
      <c r="B49" s="11" t="str">
        <f aca="false">IF(_LEITURA!$N49="","",INDEX(_LEITURA!$E$2:$E$1201,_LEITURA!$N49))</f>
        <v/>
      </c>
      <c r="C49" s="11" t="str">
        <f aca="false">IF(_LEITURA!$N49="","",INDEX(_LEITURA!$J$2:$J$1201,_LEITURA!$N49))</f>
        <v/>
      </c>
      <c r="D49" s="16" t="str">
        <f aca="false">IF(_LEITURA!$N49="","",INDEX(_LEITURA!$G$2:$G$1201,_LEITURA!$N49))</f>
        <v/>
      </c>
      <c r="E49" s="16" t="str">
        <f aca="false">IF(B49="","",SUMIFS(INVENTÁRIO!$C$2:$C$801,INVENTÁRIO!$A$2:$A$801,B49))</f>
        <v/>
      </c>
      <c r="F49" s="16" t="str">
        <f aca="false">IF(B49="","",MAX(0,D49-E49))</f>
        <v/>
      </c>
      <c r="G49" s="16" t="str">
        <f aca="false">IF(B49="","",IF(COUNTIFS($B$2:$B$1201,B49,$A$2:$A$1201,"&lt;&gt;"&amp;A49)&gt;0,"Sim",""))</f>
        <v/>
      </c>
      <c r="H49" s="16" t="str">
        <f aca="false">IF(N(F49)&gt;0,MAX(H$1:H48)+1,"")</f>
        <v/>
      </c>
      <c r="I49" s="11" t="str">
        <f aca="false">IF(B49="","",IF(INDEX($C$2:$C$1201,MATCH(B49,$B$2:$B$1201,0))&lt;&gt;C49,"Nome diferente em outro deck — revisar",""))</f>
        <v/>
      </c>
      <c r="J49" s="16" t="str">
        <f aca="false">IF(AND(B49&lt;&gt;"",A49=BULK!$A$1,N(F49)&gt;0),MAX(J$1:J48)+1,"")</f>
        <v/>
      </c>
      <c r="K49" s="11" t="str">
        <f aca="false">IF(B49="","",IFERROR(LEFT(B49,FIND("-",B49)-1),B49))</f>
        <v/>
      </c>
      <c r="L49" s="11" t="str">
        <f aca="false">IF(K49="","",IF(ISNUMBER(--MID(K49,1,1)),0,IF(ISNUMBER(--MID(K49,2,1)),1,IF(ISNUMBER(--MID(K49,3,1)),2,IF(ISNUMBER(--MID(K49,4,1)),3,MIN(LEN(K49),4))))))</f>
        <v/>
      </c>
      <c r="M49" s="11" t="str">
        <f aca="false">IF(B49="","",LEFT(K49,L49)&amp;REPT("0",4-L49)&amp;RIGHT("000"&amp;IFERROR(VALUE(MID(K49,L49+1,9)),0),3)&amp;RIGHT("0000"&amp;IFERROR(VALUE(MID(B49,FIND("-",B49)+1,9)),0),4))</f>
        <v/>
      </c>
      <c r="N49" s="11" t="str">
        <f aca="false">IF(OR(B49="",N(F49)&lt;=0),"",IF('FALTAS POR DECK'!$P$1="Código","K"&amp;M49&amp;RIGHT("00000"&amp;ROW(),5),IF('FALTAS POR DECK'!$P$1="Nome","K"&amp;UPPER(SUBSTITUTE(SUBSTITUTE(SUBSTITUTE(C49,"*",""),"?",""),"~",""))&amp;"0"&amp;M49&amp;RIGHT("00000"&amp;ROW(),5),IF('FALTAS POR DECK'!$P$1="Falta (maior primeiro)","K"&amp;RIGHT("0000"&amp;(9999-F49),4)&amp;M49&amp;RIGHT("00000"&amp;ROW(),5),IF('FALTAS POR DECK'!$P$1="Deck e código","K"&amp;RIGHT("00"&amp;IFERROR(MATCH(A49,_LEITURA!$P$2:$P$21,0),99),2)&amp;M49&amp;RIGHT("00000"&amp;ROW(),5),"K"&amp;RIGHT("00000"&amp;ROW(),5))))))</f>
        <v/>
      </c>
      <c r="O49" s="16" t="str">
        <f aca="false">IF(N49="","",COUNTIFS($N$2:$N$1201,"&lt;"&amp;N49,$F$2:$F$1201,"&gt;0")+1)</f>
        <v/>
      </c>
    </row>
    <row r="50" customFormat="false" ht="15" hidden="false" customHeight="false" outlineLevel="0" collapsed="false">
      <c r="A50" s="11" t="str">
        <f aca="false">IF(_LEITURA!$N50="","",INDEX(_LEITURA!$K$2:$K$1201,_LEITURA!$N50))</f>
        <v/>
      </c>
      <c r="B50" s="11" t="str">
        <f aca="false">IF(_LEITURA!$N50="","",INDEX(_LEITURA!$E$2:$E$1201,_LEITURA!$N50))</f>
        <v/>
      </c>
      <c r="C50" s="11" t="str">
        <f aca="false">IF(_LEITURA!$N50="","",INDEX(_LEITURA!$J$2:$J$1201,_LEITURA!$N50))</f>
        <v/>
      </c>
      <c r="D50" s="16" t="str">
        <f aca="false">IF(_LEITURA!$N50="","",INDEX(_LEITURA!$G$2:$G$1201,_LEITURA!$N50))</f>
        <v/>
      </c>
      <c r="E50" s="16" t="str">
        <f aca="false">IF(B50="","",SUMIFS(INVENTÁRIO!$C$2:$C$801,INVENTÁRIO!$A$2:$A$801,B50))</f>
        <v/>
      </c>
      <c r="F50" s="16" t="str">
        <f aca="false">IF(B50="","",MAX(0,D50-E50))</f>
        <v/>
      </c>
      <c r="G50" s="16" t="str">
        <f aca="false">IF(B50="","",IF(COUNTIFS($B$2:$B$1201,B50,$A$2:$A$1201,"&lt;&gt;"&amp;A50)&gt;0,"Sim",""))</f>
        <v/>
      </c>
      <c r="H50" s="16" t="str">
        <f aca="false">IF(N(F50)&gt;0,MAX(H$1:H49)+1,"")</f>
        <v/>
      </c>
      <c r="I50" s="11" t="str">
        <f aca="false">IF(B50="","",IF(INDEX($C$2:$C$1201,MATCH(B50,$B$2:$B$1201,0))&lt;&gt;C50,"Nome diferente em outro deck — revisar",""))</f>
        <v/>
      </c>
      <c r="J50" s="16" t="str">
        <f aca="false">IF(AND(B50&lt;&gt;"",A50=BULK!$A$1,N(F50)&gt;0),MAX(J$1:J49)+1,"")</f>
        <v/>
      </c>
      <c r="K50" s="11" t="str">
        <f aca="false">IF(B50="","",IFERROR(LEFT(B50,FIND("-",B50)-1),B50))</f>
        <v/>
      </c>
      <c r="L50" s="11" t="str">
        <f aca="false">IF(K50="","",IF(ISNUMBER(--MID(K50,1,1)),0,IF(ISNUMBER(--MID(K50,2,1)),1,IF(ISNUMBER(--MID(K50,3,1)),2,IF(ISNUMBER(--MID(K50,4,1)),3,MIN(LEN(K50),4))))))</f>
        <v/>
      </c>
      <c r="M50" s="11" t="str">
        <f aca="false">IF(B50="","",LEFT(K50,L50)&amp;REPT("0",4-L50)&amp;RIGHT("000"&amp;IFERROR(VALUE(MID(K50,L50+1,9)),0),3)&amp;RIGHT("0000"&amp;IFERROR(VALUE(MID(B50,FIND("-",B50)+1,9)),0),4))</f>
        <v/>
      </c>
      <c r="N50" s="11" t="str">
        <f aca="false">IF(OR(B50="",N(F50)&lt;=0),"",IF('FALTAS POR DECK'!$P$1="Código","K"&amp;M50&amp;RIGHT("00000"&amp;ROW(),5),IF('FALTAS POR DECK'!$P$1="Nome","K"&amp;UPPER(SUBSTITUTE(SUBSTITUTE(SUBSTITUTE(C50,"*",""),"?",""),"~",""))&amp;"0"&amp;M50&amp;RIGHT("00000"&amp;ROW(),5),IF('FALTAS POR DECK'!$P$1="Falta (maior primeiro)","K"&amp;RIGHT("0000"&amp;(9999-F50),4)&amp;M50&amp;RIGHT("00000"&amp;ROW(),5),IF('FALTAS POR DECK'!$P$1="Deck e código","K"&amp;RIGHT("00"&amp;IFERROR(MATCH(A50,_LEITURA!$P$2:$P$21,0),99),2)&amp;M50&amp;RIGHT("00000"&amp;ROW(),5),"K"&amp;RIGHT("00000"&amp;ROW(),5))))))</f>
        <v/>
      </c>
      <c r="O50" s="16" t="str">
        <f aca="false">IF(N50="","",COUNTIFS($N$2:$N$1201,"&lt;"&amp;N50,$F$2:$F$1201,"&gt;0")+1)</f>
        <v/>
      </c>
    </row>
    <row r="51" customFormat="false" ht="15" hidden="false" customHeight="false" outlineLevel="0" collapsed="false">
      <c r="A51" s="11" t="str">
        <f aca="false">IF(_LEITURA!$N51="","",INDEX(_LEITURA!$K$2:$K$1201,_LEITURA!$N51))</f>
        <v/>
      </c>
      <c r="B51" s="11" t="str">
        <f aca="false">IF(_LEITURA!$N51="","",INDEX(_LEITURA!$E$2:$E$1201,_LEITURA!$N51))</f>
        <v/>
      </c>
      <c r="C51" s="11" t="str">
        <f aca="false">IF(_LEITURA!$N51="","",INDEX(_LEITURA!$J$2:$J$1201,_LEITURA!$N51))</f>
        <v/>
      </c>
      <c r="D51" s="16" t="str">
        <f aca="false">IF(_LEITURA!$N51="","",INDEX(_LEITURA!$G$2:$G$1201,_LEITURA!$N51))</f>
        <v/>
      </c>
      <c r="E51" s="16" t="str">
        <f aca="false">IF(B51="","",SUMIFS(INVENTÁRIO!$C$2:$C$801,INVENTÁRIO!$A$2:$A$801,B51))</f>
        <v/>
      </c>
      <c r="F51" s="16" t="str">
        <f aca="false">IF(B51="","",MAX(0,D51-E51))</f>
        <v/>
      </c>
      <c r="G51" s="16" t="str">
        <f aca="false">IF(B51="","",IF(COUNTIFS($B$2:$B$1201,B51,$A$2:$A$1201,"&lt;&gt;"&amp;A51)&gt;0,"Sim",""))</f>
        <v/>
      </c>
      <c r="H51" s="16" t="str">
        <f aca="false">IF(N(F51)&gt;0,MAX(H$1:H50)+1,"")</f>
        <v/>
      </c>
      <c r="I51" s="11" t="str">
        <f aca="false">IF(B51="","",IF(INDEX($C$2:$C$1201,MATCH(B51,$B$2:$B$1201,0))&lt;&gt;C51,"Nome diferente em outro deck — revisar",""))</f>
        <v/>
      </c>
      <c r="J51" s="16" t="str">
        <f aca="false">IF(AND(B51&lt;&gt;"",A51=BULK!$A$1,N(F51)&gt;0),MAX(J$1:J50)+1,"")</f>
        <v/>
      </c>
      <c r="K51" s="11" t="str">
        <f aca="false">IF(B51="","",IFERROR(LEFT(B51,FIND("-",B51)-1),B51))</f>
        <v/>
      </c>
      <c r="L51" s="11" t="str">
        <f aca="false">IF(K51="","",IF(ISNUMBER(--MID(K51,1,1)),0,IF(ISNUMBER(--MID(K51,2,1)),1,IF(ISNUMBER(--MID(K51,3,1)),2,IF(ISNUMBER(--MID(K51,4,1)),3,MIN(LEN(K51),4))))))</f>
        <v/>
      </c>
      <c r="M51" s="11" t="str">
        <f aca="false">IF(B51="","",LEFT(K51,L51)&amp;REPT("0",4-L51)&amp;RIGHT("000"&amp;IFERROR(VALUE(MID(K51,L51+1,9)),0),3)&amp;RIGHT("0000"&amp;IFERROR(VALUE(MID(B51,FIND("-",B51)+1,9)),0),4))</f>
        <v/>
      </c>
      <c r="N51" s="11" t="str">
        <f aca="false">IF(OR(B51="",N(F51)&lt;=0),"",IF('FALTAS POR DECK'!$P$1="Código","K"&amp;M51&amp;RIGHT("00000"&amp;ROW(),5),IF('FALTAS POR DECK'!$P$1="Nome","K"&amp;UPPER(SUBSTITUTE(SUBSTITUTE(SUBSTITUTE(C51,"*",""),"?",""),"~",""))&amp;"0"&amp;M51&amp;RIGHT("00000"&amp;ROW(),5),IF('FALTAS POR DECK'!$P$1="Falta (maior primeiro)","K"&amp;RIGHT("0000"&amp;(9999-F51),4)&amp;M51&amp;RIGHT("00000"&amp;ROW(),5),IF('FALTAS POR DECK'!$P$1="Deck e código","K"&amp;RIGHT("00"&amp;IFERROR(MATCH(A51,_LEITURA!$P$2:$P$21,0),99),2)&amp;M51&amp;RIGHT("00000"&amp;ROW(),5),"K"&amp;RIGHT("00000"&amp;ROW(),5))))))</f>
        <v/>
      </c>
      <c r="O51" s="16" t="str">
        <f aca="false">IF(N51="","",COUNTIFS($N$2:$N$1201,"&lt;"&amp;N51,$F$2:$F$1201,"&gt;0")+1)</f>
        <v/>
      </c>
    </row>
    <row r="52" customFormat="false" ht="15" hidden="false" customHeight="false" outlineLevel="0" collapsed="false">
      <c r="A52" s="11" t="str">
        <f aca="false">IF(_LEITURA!$N52="","",INDEX(_LEITURA!$K$2:$K$1201,_LEITURA!$N52))</f>
        <v/>
      </c>
      <c r="B52" s="11" t="str">
        <f aca="false">IF(_LEITURA!$N52="","",INDEX(_LEITURA!$E$2:$E$1201,_LEITURA!$N52))</f>
        <v/>
      </c>
      <c r="C52" s="11" t="str">
        <f aca="false">IF(_LEITURA!$N52="","",INDEX(_LEITURA!$J$2:$J$1201,_LEITURA!$N52))</f>
        <v/>
      </c>
      <c r="D52" s="16" t="str">
        <f aca="false">IF(_LEITURA!$N52="","",INDEX(_LEITURA!$G$2:$G$1201,_LEITURA!$N52))</f>
        <v/>
      </c>
      <c r="E52" s="16" t="str">
        <f aca="false">IF(B52="","",SUMIFS(INVENTÁRIO!$C$2:$C$801,INVENTÁRIO!$A$2:$A$801,B52))</f>
        <v/>
      </c>
      <c r="F52" s="16" t="str">
        <f aca="false">IF(B52="","",MAX(0,D52-E52))</f>
        <v/>
      </c>
      <c r="G52" s="16" t="str">
        <f aca="false">IF(B52="","",IF(COUNTIFS($B$2:$B$1201,B52,$A$2:$A$1201,"&lt;&gt;"&amp;A52)&gt;0,"Sim",""))</f>
        <v/>
      </c>
      <c r="H52" s="16" t="str">
        <f aca="false">IF(N(F52)&gt;0,MAX(H$1:H51)+1,"")</f>
        <v/>
      </c>
      <c r="I52" s="11" t="str">
        <f aca="false">IF(B52="","",IF(INDEX($C$2:$C$1201,MATCH(B52,$B$2:$B$1201,0))&lt;&gt;C52,"Nome diferente em outro deck — revisar",""))</f>
        <v/>
      </c>
      <c r="J52" s="16" t="str">
        <f aca="false">IF(AND(B52&lt;&gt;"",A52=BULK!$A$1,N(F52)&gt;0),MAX(J$1:J51)+1,"")</f>
        <v/>
      </c>
      <c r="K52" s="11" t="str">
        <f aca="false">IF(B52="","",IFERROR(LEFT(B52,FIND("-",B52)-1),B52))</f>
        <v/>
      </c>
      <c r="L52" s="11" t="str">
        <f aca="false">IF(K52="","",IF(ISNUMBER(--MID(K52,1,1)),0,IF(ISNUMBER(--MID(K52,2,1)),1,IF(ISNUMBER(--MID(K52,3,1)),2,IF(ISNUMBER(--MID(K52,4,1)),3,MIN(LEN(K52),4))))))</f>
        <v/>
      </c>
      <c r="M52" s="11" t="str">
        <f aca="false">IF(B52="","",LEFT(K52,L52)&amp;REPT("0",4-L52)&amp;RIGHT("000"&amp;IFERROR(VALUE(MID(K52,L52+1,9)),0),3)&amp;RIGHT("0000"&amp;IFERROR(VALUE(MID(B52,FIND("-",B52)+1,9)),0),4))</f>
        <v/>
      </c>
      <c r="N52" s="11" t="str">
        <f aca="false">IF(OR(B52="",N(F52)&lt;=0),"",IF('FALTAS POR DECK'!$P$1="Código","K"&amp;M52&amp;RIGHT("00000"&amp;ROW(),5),IF('FALTAS POR DECK'!$P$1="Nome","K"&amp;UPPER(SUBSTITUTE(SUBSTITUTE(SUBSTITUTE(C52,"*",""),"?",""),"~",""))&amp;"0"&amp;M52&amp;RIGHT("00000"&amp;ROW(),5),IF('FALTAS POR DECK'!$P$1="Falta (maior primeiro)","K"&amp;RIGHT("0000"&amp;(9999-F52),4)&amp;M52&amp;RIGHT("00000"&amp;ROW(),5),IF('FALTAS POR DECK'!$P$1="Deck e código","K"&amp;RIGHT("00"&amp;IFERROR(MATCH(A52,_LEITURA!$P$2:$P$21,0),99),2)&amp;M52&amp;RIGHT("00000"&amp;ROW(),5),"K"&amp;RIGHT("00000"&amp;ROW(),5))))))</f>
        <v/>
      </c>
      <c r="O52" s="16" t="str">
        <f aca="false">IF(N52="","",COUNTIFS($N$2:$N$1201,"&lt;"&amp;N52,$F$2:$F$1201,"&gt;0")+1)</f>
        <v/>
      </c>
    </row>
    <row r="53" customFormat="false" ht="15" hidden="false" customHeight="false" outlineLevel="0" collapsed="false">
      <c r="A53" s="11" t="str">
        <f aca="false">IF(_LEITURA!$N53="","",INDEX(_LEITURA!$K$2:$K$1201,_LEITURA!$N53))</f>
        <v/>
      </c>
      <c r="B53" s="11" t="str">
        <f aca="false">IF(_LEITURA!$N53="","",INDEX(_LEITURA!$E$2:$E$1201,_LEITURA!$N53))</f>
        <v/>
      </c>
      <c r="C53" s="11" t="str">
        <f aca="false">IF(_LEITURA!$N53="","",INDEX(_LEITURA!$J$2:$J$1201,_LEITURA!$N53))</f>
        <v/>
      </c>
      <c r="D53" s="16" t="str">
        <f aca="false">IF(_LEITURA!$N53="","",INDEX(_LEITURA!$G$2:$G$1201,_LEITURA!$N53))</f>
        <v/>
      </c>
      <c r="E53" s="16" t="str">
        <f aca="false">IF(B53="","",SUMIFS(INVENTÁRIO!$C$2:$C$801,INVENTÁRIO!$A$2:$A$801,B53))</f>
        <v/>
      </c>
      <c r="F53" s="16" t="str">
        <f aca="false">IF(B53="","",MAX(0,D53-E53))</f>
        <v/>
      </c>
      <c r="G53" s="16" t="str">
        <f aca="false">IF(B53="","",IF(COUNTIFS($B$2:$B$1201,B53,$A$2:$A$1201,"&lt;&gt;"&amp;A53)&gt;0,"Sim",""))</f>
        <v/>
      </c>
      <c r="H53" s="16" t="str">
        <f aca="false">IF(N(F53)&gt;0,MAX(H$1:H52)+1,"")</f>
        <v/>
      </c>
      <c r="I53" s="11" t="str">
        <f aca="false">IF(B53="","",IF(INDEX($C$2:$C$1201,MATCH(B53,$B$2:$B$1201,0))&lt;&gt;C53,"Nome diferente em outro deck — revisar",""))</f>
        <v/>
      </c>
      <c r="J53" s="16" t="str">
        <f aca="false">IF(AND(B53&lt;&gt;"",A53=BULK!$A$1,N(F53)&gt;0),MAX(J$1:J52)+1,"")</f>
        <v/>
      </c>
      <c r="K53" s="11" t="str">
        <f aca="false">IF(B53="","",IFERROR(LEFT(B53,FIND("-",B53)-1),B53))</f>
        <v/>
      </c>
      <c r="L53" s="11" t="str">
        <f aca="false">IF(K53="","",IF(ISNUMBER(--MID(K53,1,1)),0,IF(ISNUMBER(--MID(K53,2,1)),1,IF(ISNUMBER(--MID(K53,3,1)),2,IF(ISNUMBER(--MID(K53,4,1)),3,MIN(LEN(K53),4))))))</f>
        <v/>
      </c>
      <c r="M53" s="11" t="str">
        <f aca="false">IF(B53="","",LEFT(K53,L53)&amp;REPT("0",4-L53)&amp;RIGHT("000"&amp;IFERROR(VALUE(MID(K53,L53+1,9)),0),3)&amp;RIGHT("0000"&amp;IFERROR(VALUE(MID(B53,FIND("-",B53)+1,9)),0),4))</f>
        <v/>
      </c>
      <c r="N53" s="11" t="str">
        <f aca="false">IF(OR(B53="",N(F53)&lt;=0),"",IF('FALTAS POR DECK'!$P$1="Código","K"&amp;M53&amp;RIGHT("00000"&amp;ROW(),5),IF('FALTAS POR DECK'!$P$1="Nome","K"&amp;UPPER(SUBSTITUTE(SUBSTITUTE(SUBSTITUTE(C53,"*",""),"?",""),"~",""))&amp;"0"&amp;M53&amp;RIGHT("00000"&amp;ROW(),5),IF('FALTAS POR DECK'!$P$1="Falta (maior primeiro)","K"&amp;RIGHT("0000"&amp;(9999-F53),4)&amp;M53&amp;RIGHT("00000"&amp;ROW(),5),IF('FALTAS POR DECK'!$P$1="Deck e código","K"&amp;RIGHT("00"&amp;IFERROR(MATCH(A53,_LEITURA!$P$2:$P$21,0),99),2)&amp;M53&amp;RIGHT("00000"&amp;ROW(),5),"K"&amp;RIGHT("00000"&amp;ROW(),5))))))</f>
        <v/>
      </c>
      <c r="O53" s="16" t="str">
        <f aca="false">IF(N53="","",COUNTIFS($N$2:$N$1201,"&lt;"&amp;N53,$F$2:$F$1201,"&gt;0")+1)</f>
        <v/>
      </c>
    </row>
    <row r="54" customFormat="false" ht="15" hidden="false" customHeight="false" outlineLevel="0" collapsed="false">
      <c r="A54" s="11" t="str">
        <f aca="false">IF(_LEITURA!$N54="","",INDEX(_LEITURA!$K$2:$K$1201,_LEITURA!$N54))</f>
        <v/>
      </c>
      <c r="B54" s="11" t="str">
        <f aca="false">IF(_LEITURA!$N54="","",INDEX(_LEITURA!$E$2:$E$1201,_LEITURA!$N54))</f>
        <v/>
      </c>
      <c r="C54" s="11" t="str">
        <f aca="false">IF(_LEITURA!$N54="","",INDEX(_LEITURA!$J$2:$J$1201,_LEITURA!$N54))</f>
        <v/>
      </c>
      <c r="D54" s="16" t="str">
        <f aca="false">IF(_LEITURA!$N54="","",INDEX(_LEITURA!$G$2:$G$1201,_LEITURA!$N54))</f>
        <v/>
      </c>
      <c r="E54" s="16" t="str">
        <f aca="false">IF(B54="","",SUMIFS(INVENTÁRIO!$C$2:$C$801,INVENTÁRIO!$A$2:$A$801,B54))</f>
        <v/>
      </c>
      <c r="F54" s="16" t="str">
        <f aca="false">IF(B54="","",MAX(0,D54-E54))</f>
        <v/>
      </c>
      <c r="G54" s="16" t="str">
        <f aca="false">IF(B54="","",IF(COUNTIFS($B$2:$B$1201,B54,$A$2:$A$1201,"&lt;&gt;"&amp;A54)&gt;0,"Sim",""))</f>
        <v/>
      </c>
      <c r="H54" s="16" t="str">
        <f aca="false">IF(N(F54)&gt;0,MAX(H$1:H53)+1,"")</f>
        <v/>
      </c>
      <c r="I54" s="11" t="str">
        <f aca="false">IF(B54="","",IF(INDEX($C$2:$C$1201,MATCH(B54,$B$2:$B$1201,0))&lt;&gt;C54,"Nome diferente em outro deck — revisar",""))</f>
        <v/>
      </c>
      <c r="J54" s="16" t="str">
        <f aca="false">IF(AND(B54&lt;&gt;"",A54=BULK!$A$1,N(F54)&gt;0),MAX(J$1:J53)+1,"")</f>
        <v/>
      </c>
      <c r="K54" s="11" t="str">
        <f aca="false">IF(B54="","",IFERROR(LEFT(B54,FIND("-",B54)-1),B54))</f>
        <v/>
      </c>
      <c r="L54" s="11" t="str">
        <f aca="false">IF(K54="","",IF(ISNUMBER(--MID(K54,1,1)),0,IF(ISNUMBER(--MID(K54,2,1)),1,IF(ISNUMBER(--MID(K54,3,1)),2,IF(ISNUMBER(--MID(K54,4,1)),3,MIN(LEN(K54),4))))))</f>
        <v/>
      </c>
      <c r="M54" s="11" t="str">
        <f aca="false">IF(B54="","",LEFT(K54,L54)&amp;REPT("0",4-L54)&amp;RIGHT("000"&amp;IFERROR(VALUE(MID(K54,L54+1,9)),0),3)&amp;RIGHT("0000"&amp;IFERROR(VALUE(MID(B54,FIND("-",B54)+1,9)),0),4))</f>
        <v/>
      </c>
      <c r="N54" s="11" t="str">
        <f aca="false">IF(OR(B54="",N(F54)&lt;=0),"",IF('FALTAS POR DECK'!$P$1="Código","K"&amp;M54&amp;RIGHT("00000"&amp;ROW(),5),IF('FALTAS POR DECK'!$P$1="Nome","K"&amp;UPPER(SUBSTITUTE(SUBSTITUTE(SUBSTITUTE(C54,"*",""),"?",""),"~",""))&amp;"0"&amp;M54&amp;RIGHT("00000"&amp;ROW(),5),IF('FALTAS POR DECK'!$P$1="Falta (maior primeiro)","K"&amp;RIGHT("0000"&amp;(9999-F54),4)&amp;M54&amp;RIGHT("00000"&amp;ROW(),5),IF('FALTAS POR DECK'!$P$1="Deck e código","K"&amp;RIGHT("00"&amp;IFERROR(MATCH(A54,_LEITURA!$P$2:$P$21,0),99),2)&amp;M54&amp;RIGHT("00000"&amp;ROW(),5),"K"&amp;RIGHT("00000"&amp;ROW(),5))))))</f>
        <v/>
      </c>
      <c r="O54" s="16" t="str">
        <f aca="false">IF(N54="","",COUNTIFS($N$2:$N$1201,"&lt;"&amp;N54,$F$2:$F$1201,"&gt;0")+1)</f>
        <v/>
      </c>
    </row>
    <row r="55" customFormat="false" ht="15" hidden="false" customHeight="false" outlineLevel="0" collapsed="false">
      <c r="A55" s="11" t="str">
        <f aca="false">IF(_LEITURA!$N55="","",INDEX(_LEITURA!$K$2:$K$1201,_LEITURA!$N55))</f>
        <v/>
      </c>
      <c r="B55" s="11" t="str">
        <f aca="false">IF(_LEITURA!$N55="","",INDEX(_LEITURA!$E$2:$E$1201,_LEITURA!$N55))</f>
        <v/>
      </c>
      <c r="C55" s="11" t="str">
        <f aca="false">IF(_LEITURA!$N55="","",INDEX(_LEITURA!$J$2:$J$1201,_LEITURA!$N55))</f>
        <v/>
      </c>
      <c r="D55" s="16" t="str">
        <f aca="false">IF(_LEITURA!$N55="","",INDEX(_LEITURA!$G$2:$G$1201,_LEITURA!$N55))</f>
        <v/>
      </c>
      <c r="E55" s="16" t="str">
        <f aca="false">IF(B55="","",SUMIFS(INVENTÁRIO!$C$2:$C$801,INVENTÁRIO!$A$2:$A$801,B55))</f>
        <v/>
      </c>
      <c r="F55" s="16" t="str">
        <f aca="false">IF(B55="","",MAX(0,D55-E55))</f>
        <v/>
      </c>
      <c r="G55" s="16" t="str">
        <f aca="false">IF(B55="","",IF(COUNTIFS($B$2:$B$1201,B55,$A$2:$A$1201,"&lt;&gt;"&amp;A55)&gt;0,"Sim",""))</f>
        <v/>
      </c>
      <c r="H55" s="16" t="str">
        <f aca="false">IF(N(F55)&gt;0,MAX(H$1:H54)+1,"")</f>
        <v/>
      </c>
      <c r="I55" s="11" t="str">
        <f aca="false">IF(B55="","",IF(INDEX($C$2:$C$1201,MATCH(B55,$B$2:$B$1201,0))&lt;&gt;C55,"Nome diferente em outro deck — revisar",""))</f>
        <v/>
      </c>
      <c r="J55" s="16" t="str">
        <f aca="false">IF(AND(B55&lt;&gt;"",A55=BULK!$A$1,N(F55)&gt;0),MAX(J$1:J54)+1,"")</f>
        <v/>
      </c>
      <c r="K55" s="11" t="str">
        <f aca="false">IF(B55="","",IFERROR(LEFT(B55,FIND("-",B55)-1),B55))</f>
        <v/>
      </c>
      <c r="L55" s="11" t="str">
        <f aca="false">IF(K55="","",IF(ISNUMBER(--MID(K55,1,1)),0,IF(ISNUMBER(--MID(K55,2,1)),1,IF(ISNUMBER(--MID(K55,3,1)),2,IF(ISNUMBER(--MID(K55,4,1)),3,MIN(LEN(K55),4))))))</f>
        <v/>
      </c>
      <c r="M55" s="11" t="str">
        <f aca="false">IF(B55="","",LEFT(K55,L55)&amp;REPT("0",4-L55)&amp;RIGHT("000"&amp;IFERROR(VALUE(MID(K55,L55+1,9)),0),3)&amp;RIGHT("0000"&amp;IFERROR(VALUE(MID(B55,FIND("-",B55)+1,9)),0),4))</f>
        <v/>
      </c>
      <c r="N55" s="11" t="str">
        <f aca="false">IF(OR(B55="",N(F55)&lt;=0),"",IF('FALTAS POR DECK'!$P$1="Código","K"&amp;M55&amp;RIGHT("00000"&amp;ROW(),5),IF('FALTAS POR DECK'!$P$1="Nome","K"&amp;UPPER(SUBSTITUTE(SUBSTITUTE(SUBSTITUTE(C55,"*",""),"?",""),"~",""))&amp;"0"&amp;M55&amp;RIGHT("00000"&amp;ROW(),5),IF('FALTAS POR DECK'!$P$1="Falta (maior primeiro)","K"&amp;RIGHT("0000"&amp;(9999-F55),4)&amp;M55&amp;RIGHT("00000"&amp;ROW(),5),IF('FALTAS POR DECK'!$P$1="Deck e código","K"&amp;RIGHT("00"&amp;IFERROR(MATCH(A55,_LEITURA!$P$2:$P$21,0),99),2)&amp;M55&amp;RIGHT("00000"&amp;ROW(),5),"K"&amp;RIGHT("00000"&amp;ROW(),5))))))</f>
        <v/>
      </c>
      <c r="O55" s="16" t="str">
        <f aca="false">IF(N55="","",COUNTIFS($N$2:$N$1201,"&lt;"&amp;N55,$F$2:$F$1201,"&gt;0")+1)</f>
        <v/>
      </c>
    </row>
    <row r="56" customFormat="false" ht="15" hidden="false" customHeight="false" outlineLevel="0" collapsed="false">
      <c r="A56" s="11" t="str">
        <f aca="false">IF(_LEITURA!$N56="","",INDEX(_LEITURA!$K$2:$K$1201,_LEITURA!$N56))</f>
        <v/>
      </c>
      <c r="B56" s="11" t="str">
        <f aca="false">IF(_LEITURA!$N56="","",INDEX(_LEITURA!$E$2:$E$1201,_LEITURA!$N56))</f>
        <v/>
      </c>
      <c r="C56" s="11" t="str">
        <f aca="false">IF(_LEITURA!$N56="","",INDEX(_LEITURA!$J$2:$J$1201,_LEITURA!$N56))</f>
        <v/>
      </c>
      <c r="D56" s="16" t="str">
        <f aca="false">IF(_LEITURA!$N56="","",INDEX(_LEITURA!$G$2:$G$1201,_LEITURA!$N56))</f>
        <v/>
      </c>
      <c r="E56" s="16" t="str">
        <f aca="false">IF(B56="","",SUMIFS(INVENTÁRIO!$C$2:$C$801,INVENTÁRIO!$A$2:$A$801,B56))</f>
        <v/>
      </c>
      <c r="F56" s="16" t="str">
        <f aca="false">IF(B56="","",MAX(0,D56-E56))</f>
        <v/>
      </c>
      <c r="G56" s="16" t="str">
        <f aca="false">IF(B56="","",IF(COUNTIFS($B$2:$B$1201,B56,$A$2:$A$1201,"&lt;&gt;"&amp;A56)&gt;0,"Sim",""))</f>
        <v/>
      </c>
      <c r="H56" s="16" t="str">
        <f aca="false">IF(N(F56)&gt;0,MAX(H$1:H55)+1,"")</f>
        <v/>
      </c>
      <c r="I56" s="11" t="str">
        <f aca="false">IF(B56="","",IF(INDEX($C$2:$C$1201,MATCH(B56,$B$2:$B$1201,0))&lt;&gt;C56,"Nome diferente em outro deck — revisar",""))</f>
        <v/>
      </c>
      <c r="J56" s="16" t="str">
        <f aca="false">IF(AND(B56&lt;&gt;"",A56=BULK!$A$1,N(F56)&gt;0),MAX(J$1:J55)+1,"")</f>
        <v/>
      </c>
      <c r="K56" s="11" t="str">
        <f aca="false">IF(B56="","",IFERROR(LEFT(B56,FIND("-",B56)-1),B56))</f>
        <v/>
      </c>
      <c r="L56" s="11" t="str">
        <f aca="false">IF(K56="","",IF(ISNUMBER(--MID(K56,1,1)),0,IF(ISNUMBER(--MID(K56,2,1)),1,IF(ISNUMBER(--MID(K56,3,1)),2,IF(ISNUMBER(--MID(K56,4,1)),3,MIN(LEN(K56),4))))))</f>
        <v/>
      </c>
      <c r="M56" s="11" t="str">
        <f aca="false">IF(B56="","",LEFT(K56,L56)&amp;REPT("0",4-L56)&amp;RIGHT("000"&amp;IFERROR(VALUE(MID(K56,L56+1,9)),0),3)&amp;RIGHT("0000"&amp;IFERROR(VALUE(MID(B56,FIND("-",B56)+1,9)),0),4))</f>
        <v/>
      </c>
      <c r="N56" s="11" t="str">
        <f aca="false">IF(OR(B56="",N(F56)&lt;=0),"",IF('FALTAS POR DECK'!$P$1="Código","K"&amp;M56&amp;RIGHT("00000"&amp;ROW(),5),IF('FALTAS POR DECK'!$P$1="Nome","K"&amp;UPPER(SUBSTITUTE(SUBSTITUTE(SUBSTITUTE(C56,"*",""),"?",""),"~",""))&amp;"0"&amp;M56&amp;RIGHT("00000"&amp;ROW(),5),IF('FALTAS POR DECK'!$P$1="Falta (maior primeiro)","K"&amp;RIGHT("0000"&amp;(9999-F56),4)&amp;M56&amp;RIGHT("00000"&amp;ROW(),5),IF('FALTAS POR DECK'!$P$1="Deck e código","K"&amp;RIGHT("00"&amp;IFERROR(MATCH(A56,_LEITURA!$P$2:$P$21,0),99),2)&amp;M56&amp;RIGHT("00000"&amp;ROW(),5),"K"&amp;RIGHT("00000"&amp;ROW(),5))))))</f>
        <v/>
      </c>
      <c r="O56" s="16" t="str">
        <f aca="false">IF(N56="","",COUNTIFS($N$2:$N$1201,"&lt;"&amp;N56,$F$2:$F$1201,"&gt;0")+1)</f>
        <v/>
      </c>
    </row>
    <row r="57" customFormat="false" ht="15" hidden="false" customHeight="false" outlineLevel="0" collapsed="false">
      <c r="A57" s="11" t="str">
        <f aca="false">IF(_LEITURA!$N57="","",INDEX(_LEITURA!$K$2:$K$1201,_LEITURA!$N57))</f>
        <v/>
      </c>
      <c r="B57" s="11" t="str">
        <f aca="false">IF(_LEITURA!$N57="","",INDEX(_LEITURA!$E$2:$E$1201,_LEITURA!$N57))</f>
        <v/>
      </c>
      <c r="C57" s="11" t="str">
        <f aca="false">IF(_LEITURA!$N57="","",INDEX(_LEITURA!$J$2:$J$1201,_LEITURA!$N57))</f>
        <v/>
      </c>
      <c r="D57" s="16" t="str">
        <f aca="false">IF(_LEITURA!$N57="","",INDEX(_LEITURA!$G$2:$G$1201,_LEITURA!$N57))</f>
        <v/>
      </c>
      <c r="E57" s="16" t="str">
        <f aca="false">IF(B57="","",SUMIFS(INVENTÁRIO!$C$2:$C$801,INVENTÁRIO!$A$2:$A$801,B57))</f>
        <v/>
      </c>
      <c r="F57" s="16" t="str">
        <f aca="false">IF(B57="","",MAX(0,D57-E57))</f>
        <v/>
      </c>
      <c r="G57" s="16" t="str">
        <f aca="false">IF(B57="","",IF(COUNTIFS($B$2:$B$1201,B57,$A$2:$A$1201,"&lt;&gt;"&amp;A57)&gt;0,"Sim",""))</f>
        <v/>
      </c>
      <c r="H57" s="16" t="str">
        <f aca="false">IF(N(F57)&gt;0,MAX(H$1:H56)+1,"")</f>
        <v/>
      </c>
      <c r="I57" s="11" t="str">
        <f aca="false">IF(B57="","",IF(INDEX($C$2:$C$1201,MATCH(B57,$B$2:$B$1201,0))&lt;&gt;C57,"Nome diferente em outro deck — revisar",""))</f>
        <v/>
      </c>
      <c r="J57" s="16" t="str">
        <f aca="false">IF(AND(B57&lt;&gt;"",A57=BULK!$A$1,N(F57)&gt;0),MAX(J$1:J56)+1,"")</f>
        <v/>
      </c>
      <c r="K57" s="11" t="str">
        <f aca="false">IF(B57="","",IFERROR(LEFT(B57,FIND("-",B57)-1),B57))</f>
        <v/>
      </c>
      <c r="L57" s="11" t="str">
        <f aca="false">IF(K57="","",IF(ISNUMBER(--MID(K57,1,1)),0,IF(ISNUMBER(--MID(K57,2,1)),1,IF(ISNUMBER(--MID(K57,3,1)),2,IF(ISNUMBER(--MID(K57,4,1)),3,MIN(LEN(K57),4))))))</f>
        <v/>
      </c>
      <c r="M57" s="11" t="str">
        <f aca="false">IF(B57="","",LEFT(K57,L57)&amp;REPT("0",4-L57)&amp;RIGHT("000"&amp;IFERROR(VALUE(MID(K57,L57+1,9)),0),3)&amp;RIGHT("0000"&amp;IFERROR(VALUE(MID(B57,FIND("-",B57)+1,9)),0),4))</f>
        <v/>
      </c>
      <c r="N57" s="11" t="str">
        <f aca="false">IF(OR(B57="",N(F57)&lt;=0),"",IF('FALTAS POR DECK'!$P$1="Código","K"&amp;M57&amp;RIGHT("00000"&amp;ROW(),5),IF('FALTAS POR DECK'!$P$1="Nome","K"&amp;UPPER(SUBSTITUTE(SUBSTITUTE(SUBSTITUTE(C57,"*",""),"?",""),"~",""))&amp;"0"&amp;M57&amp;RIGHT("00000"&amp;ROW(),5),IF('FALTAS POR DECK'!$P$1="Falta (maior primeiro)","K"&amp;RIGHT("0000"&amp;(9999-F57),4)&amp;M57&amp;RIGHT("00000"&amp;ROW(),5),IF('FALTAS POR DECK'!$P$1="Deck e código","K"&amp;RIGHT("00"&amp;IFERROR(MATCH(A57,_LEITURA!$P$2:$P$21,0),99),2)&amp;M57&amp;RIGHT("00000"&amp;ROW(),5),"K"&amp;RIGHT("00000"&amp;ROW(),5))))))</f>
        <v/>
      </c>
      <c r="O57" s="16" t="str">
        <f aca="false">IF(N57="","",COUNTIFS($N$2:$N$1201,"&lt;"&amp;N57,$F$2:$F$1201,"&gt;0")+1)</f>
        <v/>
      </c>
    </row>
    <row r="58" customFormat="false" ht="15" hidden="false" customHeight="false" outlineLevel="0" collapsed="false">
      <c r="A58" s="11" t="str">
        <f aca="false">IF(_LEITURA!$N58="","",INDEX(_LEITURA!$K$2:$K$1201,_LEITURA!$N58))</f>
        <v/>
      </c>
      <c r="B58" s="11" t="str">
        <f aca="false">IF(_LEITURA!$N58="","",INDEX(_LEITURA!$E$2:$E$1201,_LEITURA!$N58))</f>
        <v/>
      </c>
      <c r="C58" s="11" t="str">
        <f aca="false">IF(_LEITURA!$N58="","",INDEX(_LEITURA!$J$2:$J$1201,_LEITURA!$N58))</f>
        <v/>
      </c>
      <c r="D58" s="16" t="str">
        <f aca="false">IF(_LEITURA!$N58="","",INDEX(_LEITURA!$G$2:$G$1201,_LEITURA!$N58))</f>
        <v/>
      </c>
      <c r="E58" s="16" t="str">
        <f aca="false">IF(B58="","",SUMIFS(INVENTÁRIO!$C$2:$C$801,INVENTÁRIO!$A$2:$A$801,B58))</f>
        <v/>
      </c>
      <c r="F58" s="16" t="str">
        <f aca="false">IF(B58="","",MAX(0,D58-E58))</f>
        <v/>
      </c>
      <c r="G58" s="16" t="str">
        <f aca="false">IF(B58="","",IF(COUNTIFS($B$2:$B$1201,B58,$A$2:$A$1201,"&lt;&gt;"&amp;A58)&gt;0,"Sim",""))</f>
        <v/>
      </c>
      <c r="H58" s="16" t="str">
        <f aca="false">IF(N(F58)&gt;0,MAX(H$1:H57)+1,"")</f>
        <v/>
      </c>
      <c r="I58" s="11" t="str">
        <f aca="false">IF(B58="","",IF(INDEX($C$2:$C$1201,MATCH(B58,$B$2:$B$1201,0))&lt;&gt;C58,"Nome diferente em outro deck — revisar",""))</f>
        <v/>
      </c>
      <c r="J58" s="16" t="str">
        <f aca="false">IF(AND(B58&lt;&gt;"",A58=BULK!$A$1,N(F58)&gt;0),MAX(J$1:J57)+1,"")</f>
        <v/>
      </c>
      <c r="K58" s="11" t="str">
        <f aca="false">IF(B58="","",IFERROR(LEFT(B58,FIND("-",B58)-1),B58))</f>
        <v/>
      </c>
      <c r="L58" s="11" t="str">
        <f aca="false">IF(K58="","",IF(ISNUMBER(--MID(K58,1,1)),0,IF(ISNUMBER(--MID(K58,2,1)),1,IF(ISNUMBER(--MID(K58,3,1)),2,IF(ISNUMBER(--MID(K58,4,1)),3,MIN(LEN(K58),4))))))</f>
        <v/>
      </c>
      <c r="M58" s="11" t="str">
        <f aca="false">IF(B58="","",LEFT(K58,L58)&amp;REPT("0",4-L58)&amp;RIGHT("000"&amp;IFERROR(VALUE(MID(K58,L58+1,9)),0),3)&amp;RIGHT("0000"&amp;IFERROR(VALUE(MID(B58,FIND("-",B58)+1,9)),0),4))</f>
        <v/>
      </c>
      <c r="N58" s="11" t="str">
        <f aca="false">IF(OR(B58="",N(F58)&lt;=0),"",IF('FALTAS POR DECK'!$P$1="Código","K"&amp;M58&amp;RIGHT("00000"&amp;ROW(),5),IF('FALTAS POR DECK'!$P$1="Nome","K"&amp;UPPER(SUBSTITUTE(SUBSTITUTE(SUBSTITUTE(C58,"*",""),"?",""),"~",""))&amp;"0"&amp;M58&amp;RIGHT("00000"&amp;ROW(),5),IF('FALTAS POR DECK'!$P$1="Falta (maior primeiro)","K"&amp;RIGHT("0000"&amp;(9999-F58),4)&amp;M58&amp;RIGHT("00000"&amp;ROW(),5),IF('FALTAS POR DECK'!$P$1="Deck e código","K"&amp;RIGHT("00"&amp;IFERROR(MATCH(A58,_LEITURA!$P$2:$P$21,0),99),2)&amp;M58&amp;RIGHT("00000"&amp;ROW(),5),"K"&amp;RIGHT("00000"&amp;ROW(),5))))))</f>
        <v/>
      </c>
      <c r="O58" s="16" t="str">
        <f aca="false">IF(N58="","",COUNTIFS($N$2:$N$1201,"&lt;"&amp;N58,$F$2:$F$1201,"&gt;0")+1)</f>
        <v/>
      </c>
    </row>
    <row r="59" customFormat="false" ht="15" hidden="false" customHeight="false" outlineLevel="0" collapsed="false">
      <c r="A59" s="11" t="str">
        <f aca="false">IF(_LEITURA!$N59="","",INDEX(_LEITURA!$K$2:$K$1201,_LEITURA!$N59))</f>
        <v/>
      </c>
      <c r="B59" s="11" t="str">
        <f aca="false">IF(_LEITURA!$N59="","",INDEX(_LEITURA!$E$2:$E$1201,_LEITURA!$N59))</f>
        <v/>
      </c>
      <c r="C59" s="11" t="str">
        <f aca="false">IF(_LEITURA!$N59="","",INDEX(_LEITURA!$J$2:$J$1201,_LEITURA!$N59))</f>
        <v/>
      </c>
      <c r="D59" s="16" t="str">
        <f aca="false">IF(_LEITURA!$N59="","",INDEX(_LEITURA!$G$2:$G$1201,_LEITURA!$N59))</f>
        <v/>
      </c>
      <c r="E59" s="16" t="str">
        <f aca="false">IF(B59="","",SUMIFS(INVENTÁRIO!$C$2:$C$801,INVENTÁRIO!$A$2:$A$801,B59))</f>
        <v/>
      </c>
      <c r="F59" s="16" t="str">
        <f aca="false">IF(B59="","",MAX(0,D59-E59))</f>
        <v/>
      </c>
      <c r="G59" s="16" t="str">
        <f aca="false">IF(B59="","",IF(COUNTIFS($B$2:$B$1201,B59,$A$2:$A$1201,"&lt;&gt;"&amp;A59)&gt;0,"Sim",""))</f>
        <v/>
      </c>
      <c r="H59" s="16" t="str">
        <f aca="false">IF(N(F59)&gt;0,MAX(H$1:H58)+1,"")</f>
        <v/>
      </c>
      <c r="I59" s="11" t="str">
        <f aca="false">IF(B59="","",IF(INDEX($C$2:$C$1201,MATCH(B59,$B$2:$B$1201,0))&lt;&gt;C59,"Nome diferente em outro deck — revisar",""))</f>
        <v/>
      </c>
      <c r="J59" s="16" t="str">
        <f aca="false">IF(AND(B59&lt;&gt;"",A59=BULK!$A$1,N(F59)&gt;0),MAX(J$1:J58)+1,"")</f>
        <v/>
      </c>
      <c r="K59" s="11" t="str">
        <f aca="false">IF(B59="","",IFERROR(LEFT(B59,FIND("-",B59)-1),B59))</f>
        <v/>
      </c>
      <c r="L59" s="11" t="str">
        <f aca="false">IF(K59="","",IF(ISNUMBER(--MID(K59,1,1)),0,IF(ISNUMBER(--MID(K59,2,1)),1,IF(ISNUMBER(--MID(K59,3,1)),2,IF(ISNUMBER(--MID(K59,4,1)),3,MIN(LEN(K59),4))))))</f>
        <v/>
      </c>
      <c r="M59" s="11" t="str">
        <f aca="false">IF(B59="","",LEFT(K59,L59)&amp;REPT("0",4-L59)&amp;RIGHT("000"&amp;IFERROR(VALUE(MID(K59,L59+1,9)),0),3)&amp;RIGHT("0000"&amp;IFERROR(VALUE(MID(B59,FIND("-",B59)+1,9)),0),4))</f>
        <v/>
      </c>
      <c r="N59" s="11" t="str">
        <f aca="false">IF(OR(B59="",N(F59)&lt;=0),"",IF('FALTAS POR DECK'!$P$1="Código","K"&amp;M59&amp;RIGHT("00000"&amp;ROW(),5),IF('FALTAS POR DECK'!$P$1="Nome","K"&amp;UPPER(SUBSTITUTE(SUBSTITUTE(SUBSTITUTE(C59,"*",""),"?",""),"~",""))&amp;"0"&amp;M59&amp;RIGHT("00000"&amp;ROW(),5),IF('FALTAS POR DECK'!$P$1="Falta (maior primeiro)","K"&amp;RIGHT("0000"&amp;(9999-F59),4)&amp;M59&amp;RIGHT("00000"&amp;ROW(),5),IF('FALTAS POR DECK'!$P$1="Deck e código","K"&amp;RIGHT("00"&amp;IFERROR(MATCH(A59,_LEITURA!$P$2:$P$21,0),99),2)&amp;M59&amp;RIGHT("00000"&amp;ROW(),5),"K"&amp;RIGHT("00000"&amp;ROW(),5))))))</f>
        <v/>
      </c>
      <c r="O59" s="16" t="str">
        <f aca="false">IF(N59="","",COUNTIFS($N$2:$N$1201,"&lt;"&amp;N59,$F$2:$F$1201,"&gt;0")+1)</f>
        <v/>
      </c>
    </row>
    <row r="60" customFormat="false" ht="15" hidden="false" customHeight="false" outlineLevel="0" collapsed="false">
      <c r="A60" s="11" t="str">
        <f aca="false">IF(_LEITURA!$N60="","",INDEX(_LEITURA!$K$2:$K$1201,_LEITURA!$N60))</f>
        <v/>
      </c>
      <c r="B60" s="11" t="str">
        <f aca="false">IF(_LEITURA!$N60="","",INDEX(_LEITURA!$E$2:$E$1201,_LEITURA!$N60))</f>
        <v/>
      </c>
      <c r="C60" s="11" t="str">
        <f aca="false">IF(_LEITURA!$N60="","",INDEX(_LEITURA!$J$2:$J$1201,_LEITURA!$N60))</f>
        <v/>
      </c>
      <c r="D60" s="16" t="str">
        <f aca="false">IF(_LEITURA!$N60="","",INDEX(_LEITURA!$G$2:$G$1201,_LEITURA!$N60))</f>
        <v/>
      </c>
      <c r="E60" s="16" t="str">
        <f aca="false">IF(B60="","",SUMIFS(INVENTÁRIO!$C$2:$C$801,INVENTÁRIO!$A$2:$A$801,B60))</f>
        <v/>
      </c>
      <c r="F60" s="16" t="str">
        <f aca="false">IF(B60="","",MAX(0,D60-E60))</f>
        <v/>
      </c>
      <c r="G60" s="16" t="str">
        <f aca="false">IF(B60="","",IF(COUNTIFS($B$2:$B$1201,B60,$A$2:$A$1201,"&lt;&gt;"&amp;A60)&gt;0,"Sim",""))</f>
        <v/>
      </c>
      <c r="H60" s="16" t="str">
        <f aca="false">IF(N(F60)&gt;0,MAX(H$1:H59)+1,"")</f>
        <v/>
      </c>
      <c r="I60" s="11" t="str">
        <f aca="false">IF(B60="","",IF(INDEX($C$2:$C$1201,MATCH(B60,$B$2:$B$1201,0))&lt;&gt;C60,"Nome diferente em outro deck — revisar",""))</f>
        <v/>
      </c>
      <c r="J60" s="16" t="str">
        <f aca="false">IF(AND(B60&lt;&gt;"",A60=BULK!$A$1,N(F60)&gt;0),MAX(J$1:J59)+1,"")</f>
        <v/>
      </c>
      <c r="K60" s="11" t="str">
        <f aca="false">IF(B60="","",IFERROR(LEFT(B60,FIND("-",B60)-1),B60))</f>
        <v/>
      </c>
      <c r="L60" s="11" t="str">
        <f aca="false">IF(K60="","",IF(ISNUMBER(--MID(K60,1,1)),0,IF(ISNUMBER(--MID(K60,2,1)),1,IF(ISNUMBER(--MID(K60,3,1)),2,IF(ISNUMBER(--MID(K60,4,1)),3,MIN(LEN(K60),4))))))</f>
        <v/>
      </c>
      <c r="M60" s="11" t="str">
        <f aca="false">IF(B60="","",LEFT(K60,L60)&amp;REPT("0",4-L60)&amp;RIGHT("000"&amp;IFERROR(VALUE(MID(K60,L60+1,9)),0),3)&amp;RIGHT("0000"&amp;IFERROR(VALUE(MID(B60,FIND("-",B60)+1,9)),0),4))</f>
        <v/>
      </c>
      <c r="N60" s="11" t="str">
        <f aca="false">IF(OR(B60="",N(F60)&lt;=0),"",IF('FALTAS POR DECK'!$P$1="Código","K"&amp;M60&amp;RIGHT("00000"&amp;ROW(),5),IF('FALTAS POR DECK'!$P$1="Nome","K"&amp;UPPER(SUBSTITUTE(SUBSTITUTE(SUBSTITUTE(C60,"*",""),"?",""),"~",""))&amp;"0"&amp;M60&amp;RIGHT("00000"&amp;ROW(),5),IF('FALTAS POR DECK'!$P$1="Falta (maior primeiro)","K"&amp;RIGHT("0000"&amp;(9999-F60),4)&amp;M60&amp;RIGHT("00000"&amp;ROW(),5),IF('FALTAS POR DECK'!$P$1="Deck e código","K"&amp;RIGHT("00"&amp;IFERROR(MATCH(A60,_LEITURA!$P$2:$P$21,0),99),2)&amp;M60&amp;RIGHT("00000"&amp;ROW(),5),"K"&amp;RIGHT("00000"&amp;ROW(),5))))))</f>
        <v/>
      </c>
      <c r="O60" s="16" t="str">
        <f aca="false">IF(N60="","",COUNTIFS($N$2:$N$1201,"&lt;"&amp;N60,$F$2:$F$1201,"&gt;0")+1)</f>
        <v/>
      </c>
    </row>
    <row r="61" customFormat="false" ht="15" hidden="false" customHeight="false" outlineLevel="0" collapsed="false">
      <c r="A61" s="11" t="str">
        <f aca="false">IF(_LEITURA!$N61="","",INDEX(_LEITURA!$K$2:$K$1201,_LEITURA!$N61))</f>
        <v/>
      </c>
      <c r="B61" s="11" t="str">
        <f aca="false">IF(_LEITURA!$N61="","",INDEX(_LEITURA!$E$2:$E$1201,_LEITURA!$N61))</f>
        <v/>
      </c>
      <c r="C61" s="11" t="str">
        <f aca="false">IF(_LEITURA!$N61="","",INDEX(_LEITURA!$J$2:$J$1201,_LEITURA!$N61))</f>
        <v/>
      </c>
      <c r="D61" s="16" t="str">
        <f aca="false">IF(_LEITURA!$N61="","",INDEX(_LEITURA!$G$2:$G$1201,_LEITURA!$N61))</f>
        <v/>
      </c>
      <c r="E61" s="16" t="str">
        <f aca="false">IF(B61="","",SUMIFS(INVENTÁRIO!$C$2:$C$801,INVENTÁRIO!$A$2:$A$801,B61))</f>
        <v/>
      </c>
      <c r="F61" s="16" t="str">
        <f aca="false">IF(B61="","",MAX(0,D61-E61))</f>
        <v/>
      </c>
      <c r="G61" s="16" t="str">
        <f aca="false">IF(B61="","",IF(COUNTIFS($B$2:$B$1201,B61,$A$2:$A$1201,"&lt;&gt;"&amp;A61)&gt;0,"Sim",""))</f>
        <v/>
      </c>
      <c r="H61" s="16" t="str">
        <f aca="false">IF(N(F61)&gt;0,MAX(H$1:H60)+1,"")</f>
        <v/>
      </c>
      <c r="I61" s="11" t="str">
        <f aca="false">IF(B61="","",IF(INDEX($C$2:$C$1201,MATCH(B61,$B$2:$B$1201,0))&lt;&gt;C61,"Nome diferente em outro deck — revisar",""))</f>
        <v/>
      </c>
      <c r="J61" s="16" t="str">
        <f aca="false">IF(AND(B61&lt;&gt;"",A61=BULK!$A$1,N(F61)&gt;0),MAX(J$1:J60)+1,"")</f>
        <v/>
      </c>
      <c r="K61" s="11" t="str">
        <f aca="false">IF(B61="","",IFERROR(LEFT(B61,FIND("-",B61)-1),B61))</f>
        <v/>
      </c>
      <c r="L61" s="11" t="str">
        <f aca="false">IF(K61="","",IF(ISNUMBER(--MID(K61,1,1)),0,IF(ISNUMBER(--MID(K61,2,1)),1,IF(ISNUMBER(--MID(K61,3,1)),2,IF(ISNUMBER(--MID(K61,4,1)),3,MIN(LEN(K61),4))))))</f>
        <v/>
      </c>
      <c r="M61" s="11" t="str">
        <f aca="false">IF(B61="","",LEFT(K61,L61)&amp;REPT("0",4-L61)&amp;RIGHT("000"&amp;IFERROR(VALUE(MID(K61,L61+1,9)),0),3)&amp;RIGHT("0000"&amp;IFERROR(VALUE(MID(B61,FIND("-",B61)+1,9)),0),4))</f>
        <v/>
      </c>
      <c r="N61" s="11" t="str">
        <f aca="false">IF(OR(B61="",N(F61)&lt;=0),"",IF('FALTAS POR DECK'!$P$1="Código","K"&amp;M61&amp;RIGHT("00000"&amp;ROW(),5),IF('FALTAS POR DECK'!$P$1="Nome","K"&amp;UPPER(SUBSTITUTE(SUBSTITUTE(SUBSTITUTE(C61,"*",""),"?",""),"~",""))&amp;"0"&amp;M61&amp;RIGHT("00000"&amp;ROW(),5),IF('FALTAS POR DECK'!$P$1="Falta (maior primeiro)","K"&amp;RIGHT("0000"&amp;(9999-F61),4)&amp;M61&amp;RIGHT("00000"&amp;ROW(),5),IF('FALTAS POR DECK'!$P$1="Deck e código","K"&amp;RIGHT("00"&amp;IFERROR(MATCH(A61,_LEITURA!$P$2:$P$21,0),99),2)&amp;M61&amp;RIGHT("00000"&amp;ROW(),5),"K"&amp;RIGHT("00000"&amp;ROW(),5))))))</f>
        <v/>
      </c>
      <c r="O61" s="16" t="str">
        <f aca="false">IF(N61="","",COUNTIFS($N$2:$N$1201,"&lt;"&amp;N61,$F$2:$F$1201,"&gt;0")+1)</f>
        <v/>
      </c>
    </row>
    <row r="62" customFormat="false" ht="15" hidden="false" customHeight="false" outlineLevel="0" collapsed="false">
      <c r="A62" s="11" t="str">
        <f aca="false">IF(_LEITURA!$N62="","",INDEX(_LEITURA!$K$2:$K$1201,_LEITURA!$N62))</f>
        <v/>
      </c>
      <c r="B62" s="11" t="str">
        <f aca="false">IF(_LEITURA!$N62="","",INDEX(_LEITURA!$E$2:$E$1201,_LEITURA!$N62))</f>
        <v/>
      </c>
      <c r="C62" s="11" t="str">
        <f aca="false">IF(_LEITURA!$N62="","",INDEX(_LEITURA!$J$2:$J$1201,_LEITURA!$N62))</f>
        <v/>
      </c>
      <c r="D62" s="16" t="str">
        <f aca="false">IF(_LEITURA!$N62="","",INDEX(_LEITURA!$G$2:$G$1201,_LEITURA!$N62))</f>
        <v/>
      </c>
      <c r="E62" s="16" t="str">
        <f aca="false">IF(B62="","",SUMIFS(INVENTÁRIO!$C$2:$C$801,INVENTÁRIO!$A$2:$A$801,B62))</f>
        <v/>
      </c>
      <c r="F62" s="16" t="str">
        <f aca="false">IF(B62="","",MAX(0,D62-E62))</f>
        <v/>
      </c>
      <c r="G62" s="16" t="str">
        <f aca="false">IF(B62="","",IF(COUNTIFS($B$2:$B$1201,B62,$A$2:$A$1201,"&lt;&gt;"&amp;A62)&gt;0,"Sim",""))</f>
        <v/>
      </c>
      <c r="H62" s="16" t="str">
        <f aca="false">IF(N(F62)&gt;0,MAX(H$1:H61)+1,"")</f>
        <v/>
      </c>
      <c r="I62" s="11" t="str">
        <f aca="false">IF(B62="","",IF(INDEX($C$2:$C$1201,MATCH(B62,$B$2:$B$1201,0))&lt;&gt;C62,"Nome diferente em outro deck — revisar",""))</f>
        <v/>
      </c>
      <c r="J62" s="16" t="str">
        <f aca="false">IF(AND(B62&lt;&gt;"",A62=BULK!$A$1,N(F62)&gt;0),MAX(J$1:J61)+1,"")</f>
        <v/>
      </c>
      <c r="K62" s="11" t="str">
        <f aca="false">IF(B62="","",IFERROR(LEFT(B62,FIND("-",B62)-1),B62))</f>
        <v/>
      </c>
      <c r="L62" s="11" t="str">
        <f aca="false">IF(K62="","",IF(ISNUMBER(--MID(K62,1,1)),0,IF(ISNUMBER(--MID(K62,2,1)),1,IF(ISNUMBER(--MID(K62,3,1)),2,IF(ISNUMBER(--MID(K62,4,1)),3,MIN(LEN(K62),4))))))</f>
        <v/>
      </c>
      <c r="M62" s="11" t="str">
        <f aca="false">IF(B62="","",LEFT(K62,L62)&amp;REPT("0",4-L62)&amp;RIGHT("000"&amp;IFERROR(VALUE(MID(K62,L62+1,9)),0),3)&amp;RIGHT("0000"&amp;IFERROR(VALUE(MID(B62,FIND("-",B62)+1,9)),0),4))</f>
        <v/>
      </c>
      <c r="N62" s="11" t="str">
        <f aca="false">IF(OR(B62="",N(F62)&lt;=0),"",IF('FALTAS POR DECK'!$P$1="Código","K"&amp;M62&amp;RIGHT("00000"&amp;ROW(),5),IF('FALTAS POR DECK'!$P$1="Nome","K"&amp;UPPER(SUBSTITUTE(SUBSTITUTE(SUBSTITUTE(C62,"*",""),"?",""),"~",""))&amp;"0"&amp;M62&amp;RIGHT("00000"&amp;ROW(),5),IF('FALTAS POR DECK'!$P$1="Falta (maior primeiro)","K"&amp;RIGHT("0000"&amp;(9999-F62),4)&amp;M62&amp;RIGHT("00000"&amp;ROW(),5),IF('FALTAS POR DECK'!$P$1="Deck e código","K"&amp;RIGHT("00"&amp;IFERROR(MATCH(A62,_LEITURA!$P$2:$P$21,0),99),2)&amp;M62&amp;RIGHT("00000"&amp;ROW(),5),"K"&amp;RIGHT("00000"&amp;ROW(),5))))))</f>
        <v/>
      </c>
      <c r="O62" s="16" t="str">
        <f aca="false">IF(N62="","",COUNTIFS($N$2:$N$1201,"&lt;"&amp;N62,$F$2:$F$1201,"&gt;0")+1)</f>
        <v/>
      </c>
    </row>
    <row r="63" customFormat="false" ht="15" hidden="false" customHeight="false" outlineLevel="0" collapsed="false">
      <c r="A63" s="11" t="str">
        <f aca="false">IF(_LEITURA!$N63="","",INDEX(_LEITURA!$K$2:$K$1201,_LEITURA!$N63))</f>
        <v/>
      </c>
      <c r="B63" s="11" t="str">
        <f aca="false">IF(_LEITURA!$N63="","",INDEX(_LEITURA!$E$2:$E$1201,_LEITURA!$N63))</f>
        <v/>
      </c>
      <c r="C63" s="11" t="str">
        <f aca="false">IF(_LEITURA!$N63="","",INDEX(_LEITURA!$J$2:$J$1201,_LEITURA!$N63))</f>
        <v/>
      </c>
      <c r="D63" s="16" t="str">
        <f aca="false">IF(_LEITURA!$N63="","",INDEX(_LEITURA!$G$2:$G$1201,_LEITURA!$N63))</f>
        <v/>
      </c>
      <c r="E63" s="16" t="str">
        <f aca="false">IF(B63="","",SUMIFS(INVENTÁRIO!$C$2:$C$801,INVENTÁRIO!$A$2:$A$801,B63))</f>
        <v/>
      </c>
      <c r="F63" s="16" t="str">
        <f aca="false">IF(B63="","",MAX(0,D63-E63))</f>
        <v/>
      </c>
      <c r="G63" s="16" t="str">
        <f aca="false">IF(B63="","",IF(COUNTIFS($B$2:$B$1201,B63,$A$2:$A$1201,"&lt;&gt;"&amp;A63)&gt;0,"Sim",""))</f>
        <v/>
      </c>
      <c r="H63" s="16" t="str">
        <f aca="false">IF(N(F63)&gt;0,MAX(H$1:H62)+1,"")</f>
        <v/>
      </c>
      <c r="I63" s="11" t="str">
        <f aca="false">IF(B63="","",IF(INDEX($C$2:$C$1201,MATCH(B63,$B$2:$B$1201,0))&lt;&gt;C63,"Nome diferente em outro deck — revisar",""))</f>
        <v/>
      </c>
      <c r="J63" s="16" t="str">
        <f aca="false">IF(AND(B63&lt;&gt;"",A63=BULK!$A$1,N(F63)&gt;0),MAX(J$1:J62)+1,"")</f>
        <v/>
      </c>
      <c r="K63" s="11" t="str">
        <f aca="false">IF(B63="","",IFERROR(LEFT(B63,FIND("-",B63)-1),B63))</f>
        <v/>
      </c>
      <c r="L63" s="11" t="str">
        <f aca="false">IF(K63="","",IF(ISNUMBER(--MID(K63,1,1)),0,IF(ISNUMBER(--MID(K63,2,1)),1,IF(ISNUMBER(--MID(K63,3,1)),2,IF(ISNUMBER(--MID(K63,4,1)),3,MIN(LEN(K63),4))))))</f>
        <v/>
      </c>
      <c r="M63" s="11" t="str">
        <f aca="false">IF(B63="","",LEFT(K63,L63)&amp;REPT("0",4-L63)&amp;RIGHT("000"&amp;IFERROR(VALUE(MID(K63,L63+1,9)),0),3)&amp;RIGHT("0000"&amp;IFERROR(VALUE(MID(B63,FIND("-",B63)+1,9)),0),4))</f>
        <v/>
      </c>
      <c r="N63" s="11" t="str">
        <f aca="false">IF(OR(B63="",N(F63)&lt;=0),"",IF('FALTAS POR DECK'!$P$1="Código","K"&amp;M63&amp;RIGHT("00000"&amp;ROW(),5),IF('FALTAS POR DECK'!$P$1="Nome","K"&amp;UPPER(SUBSTITUTE(SUBSTITUTE(SUBSTITUTE(C63,"*",""),"?",""),"~",""))&amp;"0"&amp;M63&amp;RIGHT("00000"&amp;ROW(),5),IF('FALTAS POR DECK'!$P$1="Falta (maior primeiro)","K"&amp;RIGHT("0000"&amp;(9999-F63),4)&amp;M63&amp;RIGHT("00000"&amp;ROW(),5),IF('FALTAS POR DECK'!$P$1="Deck e código","K"&amp;RIGHT("00"&amp;IFERROR(MATCH(A63,_LEITURA!$P$2:$P$21,0),99),2)&amp;M63&amp;RIGHT("00000"&amp;ROW(),5),"K"&amp;RIGHT("00000"&amp;ROW(),5))))))</f>
        <v/>
      </c>
      <c r="O63" s="16" t="str">
        <f aca="false">IF(N63="","",COUNTIFS($N$2:$N$1201,"&lt;"&amp;N63,$F$2:$F$1201,"&gt;0")+1)</f>
        <v/>
      </c>
    </row>
    <row r="64" customFormat="false" ht="15" hidden="false" customHeight="false" outlineLevel="0" collapsed="false">
      <c r="A64" s="11" t="str">
        <f aca="false">IF(_LEITURA!$N64="","",INDEX(_LEITURA!$K$2:$K$1201,_LEITURA!$N64))</f>
        <v/>
      </c>
      <c r="B64" s="11" t="str">
        <f aca="false">IF(_LEITURA!$N64="","",INDEX(_LEITURA!$E$2:$E$1201,_LEITURA!$N64))</f>
        <v/>
      </c>
      <c r="C64" s="11" t="str">
        <f aca="false">IF(_LEITURA!$N64="","",INDEX(_LEITURA!$J$2:$J$1201,_LEITURA!$N64))</f>
        <v/>
      </c>
      <c r="D64" s="16" t="str">
        <f aca="false">IF(_LEITURA!$N64="","",INDEX(_LEITURA!$G$2:$G$1201,_LEITURA!$N64))</f>
        <v/>
      </c>
      <c r="E64" s="16" t="str">
        <f aca="false">IF(B64="","",SUMIFS(INVENTÁRIO!$C$2:$C$801,INVENTÁRIO!$A$2:$A$801,B64))</f>
        <v/>
      </c>
      <c r="F64" s="16" t="str">
        <f aca="false">IF(B64="","",MAX(0,D64-E64))</f>
        <v/>
      </c>
      <c r="G64" s="16" t="str">
        <f aca="false">IF(B64="","",IF(COUNTIFS($B$2:$B$1201,B64,$A$2:$A$1201,"&lt;&gt;"&amp;A64)&gt;0,"Sim",""))</f>
        <v/>
      </c>
      <c r="H64" s="16" t="str">
        <f aca="false">IF(N(F64)&gt;0,MAX(H$1:H63)+1,"")</f>
        <v/>
      </c>
      <c r="I64" s="11" t="str">
        <f aca="false">IF(B64="","",IF(INDEX($C$2:$C$1201,MATCH(B64,$B$2:$B$1201,0))&lt;&gt;C64,"Nome diferente em outro deck — revisar",""))</f>
        <v/>
      </c>
      <c r="J64" s="16" t="str">
        <f aca="false">IF(AND(B64&lt;&gt;"",A64=BULK!$A$1,N(F64)&gt;0),MAX(J$1:J63)+1,"")</f>
        <v/>
      </c>
      <c r="K64" s="11" t="str">
        <f aca="false">IF(B64="","",IFERROR(LEFT(B64,FIND("-",B64)-1),B64))</f>
        <v/>
      </c>
      <c r="L64" s="11" t="str">
        <f aca="false">IF(K64="","",IF(ISNUMBER(--MID(K64,1,1)),0,IF(ISNUMBER(--MID(K64,2,1)),1,IF(ISNUMBER(--MID(K64,3,1)),2,IF(ISNUMBER(--MID(K64,4,1)),3,MIN(LEN(K64),4))))))</f>
        <v/>
      </c>
      <c r="M64" s="11" t="str">
        <f aca="false">IF(B64="","",LEFT(K64,L64)&amp;REPT("0",4-L64)&amp;RIGHT("000"&amp;IFERROR(VALUE(MID(K64,L64+1,9)),0),3)&amp;RIGHT("0000"&amp;IFERROR(VALUE(MID(B64,FIND("-",B64)+1,9)),0),4))</f>
        <v/>
      </c>
      <c r="N64" s="11" t="str">
        <f aca="false">IF(OR(B64="",N(F64)&lt;=0),"",IF('FALTAS POR DECK'!$P$1="Código","K"&amp;M64&amp;RIGHT("00000"&amp;ROW(),5),IF('FALTAS POR DECK'!$P$1="Nome","K"&amp;UPPER(SUBSTITUTE(SUBSTITUTE(SUBSTITUTE(C64,"*",""),"?",""),"~",""))&amp;"0"&amp;M64&amp;RIGHT("00000"&amp;ROW(),5),IF('FALTAS POR DECK'!$P$1="Falta (maior primeiro)","K"&amp;RIGHT("0000"&amp;(9999-F64),4)&amp;M64&amp;RIGHT("00000"&amp;ROW(),5),IF('FALTAS POR DECK'!$P$1="Deck e código","K"&amp;RIGHT("00"&amp;IFERROR(MATCH(A64,_LEITURA!$P$2:$P$21,0),99),2)&amp;M64&amp;RIGHT("00000"&amp;ROW(),5),"K"&amp;RIGHT("00000"&amp;ROW(),5))))))</f>
        <v/>
      </c>
      <c r="O64" s="16" t="str">
        <f aca="false">IF(N64="","",COUNTIFS($N$2:$N$1201,"&lt;"&amp;N64,$F$2:$F$1201,"&gt;0")+1)</f>
        <v/>
      </c>
    </row>
    <row r="65" customFormat="false" ht="15" hidden="false" customHeight="false" outlineLevel="0" collapsed="false">
      <c r="A65" s="11" t="str">
        <f aca="false">IF(_LEITURA!$N65="","",INDEX(_LEITURA!$K$2:$K$1201,_LEITURA!$N65))</f>
        <v/>
      </c>
      <c r="B65" s="11" t="str">
        <f aca="false">IF(_LEITURA!$N65="","",INDEX(_LEITURA!$E$2:$E$1201,_LEITURA!$N65))</f>
        <v/>
      </c>
      <c r="C65" s="11" t="str">
        <f aca="false">IF(_LEITURA!$N65="","",INDEX(_LEITURA!$J$2:$J$1201,_LEITURA!$N65))</f>
        <v/>
      </c>
      <c r="D65" s="16" t="str">
        <f aca="false">IF(_LEITURA!$N65="","",INDEX(_LEITURA!$G$2:$G$1201,_LEITURA!$N65))</f>
        <v/>
      </c>
      <c r="E65" s="16" t="str">
        <f aca="false">IF(B65="","",SUMIFS(INVENTÁRIO!$C$2:$C$801,INVENTÁRIO!$A$2:$A$801,B65))</f>
        <v/>
      </c>
      <c r="F65" s="16" t="str">
        <f aca="false">IF(B65="","",MAX(0,D65-E65))</f>
        <v/>
      </c>
      <c r="G65" s="16" t="str">
        <f aca="false">IF(B65="","",IF(COUNTIFS($B$2:$B$1201,B65,$A$2:$A$1201,"&lt;&gt;"&amp;A65)&gt;0,"Sim",""))</f>
        <v/>
      </c>
      <c r="H65" s="16" t="str">
        <f aca="false">IF(N(F65)&gt;0,MAX(H$1:H64)+1,"")</f>
        <v/>
      </c>
      <c r="I65" s="11" t="str">
        <f aca="false">IF(B65="","",IF(INDEX($C$2:$C$1201,MATCH(B65,$B$2:$B$1201,0))&lt;&gt;C65,"Nome diferente em outro deck — revisar",""))</f>
        <v/>
      </c>
      <c r="J65" s="16" t="str">
        <f aca="false">IF(AND(B65&lt;&gt;"",A65=BULK!$A$1,N(F65)&gt;0),MAX(J$1:J64)+1,"")</f>
        <v/>
      </c>
      <c r="K65" s="11" t="str">
        <f aca="false">IF(B65="","",IFERROR(LEFT(B65,FIND("-",B65)-1),B65))</f>
        <v/>
      </c>
      <c r="L65" s="11" t="str">
        <f aca="false">IF(K65="","",IF(ISNUMBER(--MID(K65,1,1)),0,IF(ISNUMBER(--MID(K65,2,1)),1,IF(ISNUMBER(--MID(K65,3,1)),2,IF(ISNUMBER(--MID(K65,4,1)),3,MIN(LEN(K65),4))))))</f>
        <v/>
      </c>
      <c r="M65" s="11" t="str">
        <f aca="false">IF(B65="","",LEFT(K65,L65)&amp;REPT("0",4-L65)&amp;RIGHT("000"&amp;IFERROR(VALUE(MID(K65,L65+1,9)),0),3)&amp;RIGHT("0000"&amp;IFERROR(VALUE(MID(B65,FIND("-",B65)+1,9)),0),4))</f>
        <v/>
      </c>
      <c r="N65" s="11" t="str">
        <f aca="false">IF(OR(B65="",N(F65)&lt;=0),"",IF('FALTAS POR DECK'!$P$1="Código","K"&amp;M65&amp;RIGHT("00000"&amp;ROW(),5),IF('FALTAS POR DECK'!$P$1="Nome","K"&amp;UPPER(SUBSTITUTE(SUBSTITUTE(SUBSTITUTE(C65,"*",""),"?",""),"~",""))&amp;"0"&amp;M65&amp;RIGHT("00000"&amp;ROW(),5),IF('FALTAS POR DECK'!$P$1="Falta (maior primeiro)","K"&amp;RIGHT("0000"&amp;(9999-F65),4)&amp;M65&amp;RIGHT("00000"&amp;ROW(),5),IF('FALTAS POR DECK'!$P$1="Deck e código","K"&amp;RIGHT("00"&amp;IFERROR(MATCH(A65,_LEITURA!$P$2:$P$21,0),99),2)&amp;M65&amp;RIGHT("00000"&amp;ROW(),5),"K"&amp;RIGHT("00000"&amp;ROW(),5))))))</f>
        <v/>
      </c>
      <c r="O65" s="16" t="str">
        <f aca="false">IF(N65="","",COUNTIFS($N$2:$N$1201,"&lt;"&amp;N65,$F$2:$F$1201,"&gt;0")+1)</f>
        <v/>
      </c>
    </row>
    <row r="66" customFormat="false" ht="15" hidden="false" customHeight="false" outlineLevel="0" collapsed="false">
      <c r="A66" s="11" t="str">
        <f aca="false">IF(_LEITURA!$N66="","",INDEX(_LEITURA!$K$2:$K$1201,_LEITURA!$N66))</f>
        <v/>
      </c>
      <c r="B66" s="11" t="str">
        <f aca="false">IF(_LEITURA!$N66="","",INDEX(_LEITURA!$E$2:$E$1201,_LEITURA!$N66))</f>
        <v/>
      </c>
      <c r="C66" s="11" t="str">
        <f aca="false">IF(_LEITURA!$N66="","",INDEX(_LEITURA!$J$2:$J$1201,_LEITURA!$N66))</f>
        <v/>
      </c>
      <c r="D66" s="16" t="str">
        <f aca="false">IF(_LEITURA!$N66="","",INDEX(_LEITURA!$G$2:$G$1201,_LEITURA!$N66))</f>
        <v/>
      </c>
      <c r="E66" s="16" t="str">
        <f aca="false">IF(B66="","",SUMIFS(INVENTÁRIO!$C$2:$C$801,INVENTÁRIO!$A$2:$A$801,B66))</f>
        <v/>
      </c>
      <c r="F66" s="16" t="str">
        <f aca="false">IF(B66="","",MAX(0,D66-E66))</f>
        <v/>
      </c>
      <c r="G66" s="16" t="str">
        <f aca="false">IF(B66="","",IF(COUNTIFS($B$2:$B$1201,B66,$A$2:$A$1201,"&lt;&gt;"&amp;A66)&gt;0,"Sim",""))</f>
        <v/>
      </c>
      <c r="H66" s="16" t="str">
        <f aca="false">IF(N(F66)&gt;0,MAX(H$1:H65)+1,"")</f>
        <v/>
      </c>
      <c r="I66" s="11" t="str">
        <f aca="false">IF(B66="","",IF(INDEX($C$2:$C$1201,MATCH(B66,$B$2:$B$1201,0))&lt;&gt;C66,"Nome diferente em outro deck — revisar",""))</f>
        <v/>
      </c>
      <c r="J66" s="16" t="str">
        <f aca="false">IF(AND(B66&lt;&gt;"",A66=BULK!$A$1,N(F66)&gt;0),MAX(J$1:J65)+1,"")</f>
        <v/>
      </c>
      <c r="K66" s="11" t="str">
        <f aca="false">IF(B66="","",IFERROR(LEFT(B66,FIND("-",B66)-1),B66))</f>
        <v/>
      </c>
      <c r="L66" s="11" t="str">
        <f aca="false">IF(K66="","",IF(ISNUMBER(--MID(K66,1,1)),0,IF(ISNUMBER(--MID(K66,2,1)),1,IF(ISNUMBER(--MID(K66,3,1)),2,IF(ISNUMBER(--MID(K66,4,1)),3,MIN(LEN(K66),4))))))</f>
        <v/>
      </c>
      <c r="M66" s="11" t="str">
        <f aca="false">IF(B66="","",LEFT(K66,L66)&amp;REPT("0",4-L66)&amp;RIGHT("000"&amp;IFERROR(VALUE(MID(K66,L66+1,9)),0),3)&amp;RIGHT("0000"&amp;IFERROR(VALUE(MID(B66,FIND("-",B66)+1,9)),0),4))</f>
        <v/>
      </c>
      <c r="N66" s="11" t="str">
        <f aca="false">IF(OR(B66="",N(F66)&lt;=0),"",IF('FALTAS POR DECK'!$P$1="Código","K"&amp;M66&amp;RIGHT("00000"&amp;ROW(),5),IF('FALTAS POR DECK'!$P$1="Nome","K"&amp;UPPER(SUBSTITUTE(SUBSTITUTE(SUBSTITUTE(C66,"*",""),"?",""),"~",""))&amp;"0"&amp;M66&amp;RIGHT("00000"&amp;ROW(),5),IF('FALTAS POR DECK'!$P$1="Falta (maior primeiro)","K"&amp;RIGHT("0000"&amp;(9999-F66),4)&amp;M66&amp;RIGHT("00000"&amp;ROW(),5),IF('FALTAS POR DECK'!$P$1="Deck e código","K"&amp;RIGHT("00"&amp;IFERROR(MATCH(A66,_LEITURA!$P$2:$P$21,0),99),2)&amp;M66&amp;RIGHT("00000"&amp;ROW(),5),"K"&amp;RIGHT("00000"&amp;ROW(),5))))))</f>
        <v/>
      </c>
      <c r="O66" s="16" t="str">
        <f aca="false">IF(N66="","",COUNTIFS($N$2:$N$1201,"&lt;"&amp;N66,$F$2:$F$1201,"&gt;0")+1)</f>
        <v/>
      </c>
    </row>
    <row r="67" customFormat="false" ht="15" hidden="false" customHeight="false" outlineLevel="0" collapsed="false">
      <c r="A67" s="11" t="str">
        <f aca="false">IF(_LEITURA!$N67="","",INDEX(_LEITURA!$K$2:$K$1201,_LEITURA!$N67))</f>
        <v/>
      </c>
      <c r="B67" s="11" t="str">
        <f aca="false">IF(_LEITURA!$N67="","",INDEX(_LEITURA!$E$2:$E$1201,_LEITURA!$N67))</f>
        <v/>
      </c>
      <c r="C67" s="11" t="str">
        <f aca="false">IF(_LEITURA!$N67="","",INDEX(_LEITURA!$J$2:$J$1201,_LEITURA!$N67))</f>
        <v/>
      </c>
      <c r="D67" s="16" t="str">
        <f aca="false">IF(_LEITURA!$N67="","",INDEX(_LEITURA!$G$2:$G$1201,_LEITURA!$N67))</f>
        <v/>
      </c>
      <c r="E67" s="16" t="str">
        <f aca="false">IF(B67="","",SUMIFS(INVENTÁRIO!$C$2:$C$801,INVENTÁRIO!$A$2:$A$801,B67))</f>
        <v/>
      </c>
      <c r="F67" s="16" t="str">
        <f aca="false">IF(B67="","",MAX(0,D67-E67))</f>
        <v/>
      </c>
      <c r="G67" s="16" t="str">
        <f aca="false">IF(B67="","",IF(COUNTIFS($B$2:$B$1201,B67,$A$2:$A$1201,"&lt;&gt;"&amp;A67)&gt;0,"Sim",""))</f>
        <v/>
      </c>
      <c r="H67" s="16" t="str">
        <f aca="false">IF(N(F67)&gt;0,MAX(H$1:H66)+1,"")</f>
        <v/>
      </c>
      <c r="I67" s="11" t="str">
        <f aca="false">IF(B67="","",IF(INDEX($C$2:$C$1201,MATCH(B67,$B$2:$B$1201,0))&lt;&gt;C67,"Nome diferente em outro deck — revisar",""))</f>
        <v/>
      </c>
      <c r="J67" s="16" t="str">
        <f aca="false">IF(AND(B67&lt;&gt;"",A67=BULK!$A$1,N(F67)&gt;0),MAX(J$1:J66)+1,"")</f>
        <v/>
      </c>
      <c r="K67" s="11" t="str">
        <f aca="false">IF(B67="","",IFERROR(LEFT(B67,FIND("-",B67)-1),B67))</f>
        <v/>
      </c>
      <c r="L67" s="11" t="str">
        <f aca="false">IF(K67="","",IF(ISNUMBER(--MID(K67,1,1)),0,IF(ISNUMBER(--MID(K67,2,1)),1,IF(ISNUMBER(--MID(K67,3,1)),2,IF(ISNUMBER(--MID(K67,4,1)),3,MIN(LEN(K67),4))))))</f>
        <v/>
      </c>
      <c r="M67" s="11" t="str">
        <f aca="false">IF(B67="","",LEFT(K67,L67)&amp;REPT("0",4-L67)&amp;RIGHT("000"&amp;IFERROR(VALUE(MID(K67,L67+1,9)),0),3)&amp;RIGHT("0000"&amp;IFERROR(VALUE(MID(B67,FIND("-",B67)+1,9)),0),4))</f>
        <v/>
      </c>
      <c r="N67" s="11" t="str">
        <f aca="false">IF(OR(B67="",N(F67)&lt;=0),"",IF('FALTAS POR DECK'!$P$1="Código","K"&amp;M67&amp;RIGHT("00000"&amp;ROW(),5),IF('FALTAS POR DECK'!$P$1="Nome","K"&amp;UPPER(SUBSTITUTE(SUBSTITUTE(SUBSTITUTE(C67,"*",""),"?",""),"~",""))&amp;"0"&amp;M67&amp;RIGHT("00000"&amp;ROW(),5),IF('FALTAS POR DECK'!$P$1="Falta (maior primeiro)","K"&amp;RIGHT("0000"&amp;(9999-F67),4)&amp;M67&amp;RIGHT("00000"&amp;ROW(),5),IF('FALTAS POR DECK'!$P$1="Deck e código","K"&amp;RIGHT("00"&amp;IFERROR(MATCH(A67,_LEITURA!$P$2:$P$21,0),99),2)&amp;M67&amp;RIGHT("00000"&amp;ROW(),5),"K"&amp;RIGHT("00000"&amp;ROW(),5))))))</f>
        <v/>
      </c>
      <c r="O67" s="16" t="str">
        <f aca="false">IF(N67="","",COUNTIFS($N$2:$N$1201,"&lt;"&amp;N67,$F$2:$F$1201,"&gt;0")+1)</f>
        <v/>
      </c>
    </row>
    <row r="68" customFormat="false" ht="15" hidden="false" customHeight="false" outlineLevel="0" collapsed="false">
      <c r="A68" s="11" t="str">
        <f aca="false">IF(_LEITURA!$N68="","",INDEX(_LEITURA!$K$2:$K$1201,_LEITURA!$N68))</f>
        <v/>
      </c>
      <c r="B68" s="11" t="str">
        <f aca="false">IF(_LEITURA!$N68="","",INDEX(_LEITURA!$E$2:$E$1201,_LEITURA!$N68))</f>
        <v/>
      </c>
      <c r="C68" s="11" t="str">
        <f aca="false">IF(_LEITURA!$N68="","",INDEX(_LEITURA!$J$2:$J$1201,_LEITURA!$N68))</f>
        <v/>
      </c>
      <c r="D68" s="16" t="str">
        <f aca="false">IF(_LEITURA!$N68="","",INDEX(_LEITURA!$G$2:$G$1201,_LEITURA!$N68))</f>
        <v/>
      </c>
      <c r="E68" s="16" t="str">
        <f aca="false">IF(B68="","",SUMIFS(INVENTÁRIO!$C$2:$C$801,INVENTÁRIO!$A$2:$A$801,B68))</f>
        <v/>
      </c>
      <c r="F68" s="16" t="str">
        <f aca="false">IF(B68="","",MAX(0,D68-E68))</f>
        <v/>
      </c>
      <c r="G68" s="16" t="str">
        <f aca="false">IF(B68="","",IF(COUNTIFS($B$2:$B$1201,B68,$A$2:$A$1201,"&lt;&gt;"&amp;A68)&gt;0,"Sim",""))</f>
        <v/>
      </c>
      <c r="H68" s="16" t="str">
        <f aca="false">IF(N(F68)&gt;0,MAX(H$1:H67)+1,"")</f>
        <v/>
      </c>
      <c r="I68" s="11" t="str">
        <f aca="false">IF(B68="","",IF(INDEX($C$2:$C$1201,MATCH(B68,$B$2:$B$1201,0))&lt;&gt;C68,"Nome diferente em outro deck — revisar",""))</f>
        <v/>
      </c>
      <c r="J68" s="16" t="str">
        <f aca="false">IF(AND(B68&lt;&gt;"",A68=BULK!$A$1,N(F68)&gt;0),MAX(J$1:J67)+1,"")</f>
        <v/>
      </c>
      <c r="K68" s="11" t="str">
        <f aca="false">IF(B68="","",IFERROR(LEFT(B68,FIND("-",B68)-1),B68))</f>
        <v/>
      </c>
      <c r="L68" s="11" t="str">
        <f aca="false">IF(K68="","",IF(ISNUMBER(--MID(K68,1,1)),0,IF(ISNUMBER(--MID(K68,2,1)),1,IF(ISNUMBER(--MID(K68,3,1)),2,IF(ISNUMBER(--MID(K68,4,1)),3,MIN(LEN(K68),4))))))</f>
        <v/>
      </c>
      <c r="M68" s="11" t="str">
        <f aca="false">IF(B68="","",LEFT(K68,L68)&amp;REPT("0",4-L68)&amp;RIGHT("000"&amp;IFERROR(VALUE(MID(K68,L68+1,9)),0),3)&amp;RIGHT("0000"&amp;IFERROR(VALUE(MID(B68,FIND("-",B68)+1,9)),0),4))</f>
        <v/>
      </c>
      <c r="N68" s="11" t="str">
        <f aca="false">IF(OR(B68="",N(F68)&lt;=0),"",IF('FALTAS POR DECK'!$P$1="Código","K"&amp;M68&amp;RIGHT("00000"&amp;ROW(),5),IF('FALTAS POR DECK'!$P$1="Nome","K"&amp;UPPER(SUBSTITUTE(SUBSTITUTE(SUBSTITUTE(C68,"*",""),"?",""),"~",""))&amp;"0"&amp;M68&amp;RIGHT("00000"&amp;ROW(),5),IF('FALTAS POR DECK'!$P$1="Falta (maior primeiro)","K"&amp;RIGHT("0000"&amp;(9999-F68),4)&amp;M68&amp;RIGHT("00000"&amp;ROW(),5),IF('FALTAS POR DECK'!$P$1="Deck e código","K"&amp;RIGHT("00"&amp;IFERROR(MATCH(A68,_LEITURA!$P$2:$P$21,0),99),2)&amp;M68&amp;RIGHT("00000"&amp;ROW(),5),"K"&amp;RIGHT("00000"&amp;ROW(),5))))))</f>
        <v/>
      </c>
      <c r="O68" s="16" t="str">
        <f aca="false">IF(N68="","",COUNTIFS($N$2:$N$1201,"&lt;"&amp;N68,$F$2:$F$1201,"&gt;0")+1)</f>
        <v/>
      </c>
    </row>
    <row r="69" customFormat="false" ht="15" hidden="false" customHeight="false" outlineLevel="0" collapsed="false">
      <c r="A69" s="11" t="str">
        <f aca="false">IF(_LEITURA!$N69="","",INDEX(_LEITURA!$K$2:$K$1201,_LEITURA!$N69))</f>
        <v/>
      </c>
      <c r="B69" s="11" t="str">
        <f aca="false">IF(_LEITURA!$N69="","",INDEX(_LEITURA!$E$2:$E$1201,_LEITURA!$N69))</f>
        <v/>
      </c>
      <c r="C69" s="11" t="str">
        <f aca="false">IF(_LEITURA!$N69="","",INDEX(_LEITURA!$J$2:$J$1201,_LEITURA!$N69))</f>
        <v/>
      </c>
      <c r="D69" s="16" t="str">
        <f aca="false">IF(_LEITURA!$N69="","",INDEX(_LEITURA!$G$2:$G$1201,_LEITURA!$N69))</f>
        <v/>
      </c>
      <c r="E69" s="16" t="str">
        <f aca="false">IF(B69="","",SUMIFS(INVENTÁRIO!$C$2:$C$801,INVENTÁRIO!$A$2:$A$801,B69))</f>
        <v/>
      </c>
      <c r="F69" s="16" t="str">
        <f aca="false">IF(B69="","",MAX(0,D69-E69))</f>
        <v/>
      </c>
      <c r="G69" s="16" t="str">
        <f aca="false">IF(B69="","",IF(COUNTIFS($B$2:$B$1201,B69,$A$2:$A$1201,"&lt;&gt;"&amp;A69)&gt;0,"Sim",""))</f>
        <v/>
      </c>
      <c r="H69" s="16" t="str">
        <f aca="false">IF(N(F69)&gt;0,MAX(H$1:H68)+1,"")</f>
        <v/>
      </c>
      <c r="I69" s="11" t="str">
        <f aca="false">IF(B69="","",IF(INDEX($C$2:$C$1201,MATCH(B69,$B$2:$B$1201,0))&lt;&gt;C69,"Nome diferente em outro deck — revisar",""))</f>
        <v/>
      </c>
      <c r="J69" s="16" t="str">
        <f aca="false">IF(AND(B69&lt;&gt;"",A69=BULK!$A$1,N(F69)&gt;0),MAX(J$1:J68)+1,"")</f>
        <v/>
      </c>
      <c r="K69" s="11" t="str">
        <f aca="false">IF(B69="","",IFERROR(LEFT(B69,FIND("-",B69)-1),B69))</f>
        <v/>
      </c>
      <c r="L69" s="11" t="str">
        <f aca="false">IF(K69="","",IF(ISNUMBER(--MID(K69,1,1)),0,IF(ISNUMBER(--MID(K69,2,1)),1,IF(ISNUMBER(--MID(K69,3,1)),2,IF(ISNUMBER(--MID(K69,4,1)),3,MIN(LEN(K69),4))))))</f>
        <v/>
      </c>
      <c r="M69" s="11" t="str">
        <f aca="false">IF(B69="","",LEFT(K69,L69)&amp;REPT("0",4-L69)&amp;RIGHT("000"&amp;IFERROR(VALUE(MID(K69,L69+1,9)),0),3)&amp;RIGHT("0000"&amp;IFERROR(VALUE(MID(B69,FIND("-",B69)+1,9)),0),4))</f>
        <v/>
      </c>
      <c r="N69" s="11" t="str">
        <f aca="false">IF(OR(B69="",N(F69)&lt;=0),"",IF('FALTAS POR DECK'!$P$1="Código","K"&amp;M69&amp;RIGHT("00000"&amp;ROW(),5),IF('FALTAS POR DECK'!$P$1="Nome","K"&amp;UPPER(SUBSTITUTE(SUBSTITUTE(SUBSTITUTE(C69,"*",""),"?",""),"~",""))&amp;"0"&amp;M69&amp;RIGHT("00000"&amp;ROW(),5),IF('FALTAS POR DECK'!$P$1="Falta (maior primeiro)","K"&amp;RIGHT("0000"&amp;(9999-F69),4)&amp;M69&amp;RIGHT("00000"&amp;ROW(),5),IF('FALTAS POR DECK'!$P$1="Deck e código","K"&amp;RIGHT("00"&amp;IFERROR(MATCH(A69,_LEITURA!$P$2:$P$21,0),99),2)&amp;M69&amp;RIGHT("00000"&amp;ROW(),5),"K"&amp;RIGHT("00000"&amp;ROW(),5))))))</f>
        <v/>
      </c>
      <c r="O69" s="16" t="str">
        <f aca="false">IF(N69="","",COUNTIFS($N$2:$N$1201,"&lt;"&amp;N69,$F$2:$F$1201,"&gt;0")+1)</f>
        <v/>
      </c>
    </row>
    <row r="70" customFormat="false" ht="15" hidden="false" customHeight="false" outlineLevel="0" collapsed="false">
      <c r="A70" s="11" t="str">
        <f aca="false">IF(_LEITURA!$N70="","",INDEX(_LEITURA!$K$2:$K$1201,_LEITURA!$N70))</f>
        <v/>
      </c>
      <c r="B70" s="11" t="str">
        <f aca="false">IF(_LEITURA!$N70="","",INDEX(_LEITURA!$E$2:$E$1201,_LEITURA!$N70))</f>
        <v/>
      </c>
      <c r="C70" s="11" t="str">
        <f aca="false">IF(_LEITURA!$N70="","",INDEX(_LEITURA!$J$2:$J$1201,_LEITURA!$N70))</f>
        <v/>
      </c>
      <c r="D70" s="16" t="str">
        <f aca="false">IF(_LEITURA!$N70="","",INDEX(_LEITURA!$G$2:$G$1201,_LEITURA!$N70))</f>
        <v/>
      </c>
      <c r="E70" s="16" t="str">
        <f aca="false">IF(B70="","",SUMIFS(INVENTÁRIO!$C$2:$C$801,INVENTÁRIO!$A$2:$A$801,B70))</f>
        <v/>
      </c>
      <c r="F70" s="16" t="str">
        <f aca="false">IF(B70="","",MAX(0,D70-E70))</f>
        <v/>
      </c>
      <c r="G70" s="16" t="str">
        <f aca="false">IF(B70="","",IF(COUNTIFS($B$2:$B$1201,B70,$A$2:$A$1201,"&lt;&gt;"&amp;A70)&gt;0,"Sim",""))</f>
        <v/>
      </c>
      <c r="H70" s="16" t="str">
        <f aca="false">IF(N(F70)&gt;0,MAX(H$1:H69)+1,"")</f>
        <v/>
      </c>
      <c r="I70" s="11" t="str">
        <f aca="false">IF(B70="","",IF(INDEX($C$2:$C$1201,MATCH(B70,$B$2:$B$1201,0))&lt;&gt;C70,"Nome diferente em outro deck — revisar",""))</f>
        <v/>
      </c>
      <c r="J70" s="16" t="str">
        <f aca="false">IF(AND(B70&lt;&gt;"",A70=BULK!$A$1,N(F70)&gt;0),MAX(J$1:J69)+1,"")</f>
        <v/>
      </c>
      <c r="K70" s="11" t="str">
        <f aca="false">IF(B70="","",IFERROR(LEFT(B70,FIND("-",B70)-1),B70))</f>
        <v/>
      </c>
      <c r="L70" s="11" t="str">
        <f aca="false">IF(K70="","",IF(ISNUMBER(--MID(K70,1,1)),0,IF(ISNUMBER(--MID(K70,2,1)),1,IF(ISNUMBER(--MID(K70,3,1)),2,IF(ISNUMBER(--MID(K70,4,1)),3,MIN(LEN(K70),4))))))</f>
        <v/>
      </c>
      <c r="M70" s="11" t="str">
        <f aca="false">IF(B70="","",LEFT(K70,L70)&amp;REPT("0",4-L70)&amp;RIGHT("000"&amp;IFERROR(VALUE(MID(K70,L70+1,9)),0),3)&amp;RIGHT("0000"&amp;IFERROR(VALUE(MID(B70,FIND("-",B70)+1,9)),0),4))</f>
        <v/>
      </c>
      <c r="N70" s="11" t="str">
        <f aca="false">IF(OR(B70="",N(F70)&lt;=0),"",IF('FALTAS POR DECK'!$P$1="Código","K"&amp;M70&amp;RIGHT("00000"&amp;ROW(),5),IF('FALTAS POR DECK'!$P$1="Nome","K"&amp;UPPER(SUBSTITUTE(SUBSTITUTE(SUBSTITUTE(C70,"*",""),"?",""),"~",""))&amp;"0"&amp;M70&amp;RIGHT("00000"&amp;ROW(),5),IF('FALTAS POR DECK'!$P$1="Falta (maior primeiro)","K"&amp;RIGHT("0000"&amp;(9999-F70),4)&amp;M70&amp;RIGHT("00000"&amp;ROW(),5),IF('FALTAS POR DECK'!$P$1="Deck e código","K"&amp;RIGHT("00"&amp;IFERROR(MATCH(A70,_LEITURA!$P$2:$P$21,0),99),2)&amp;M70&amp;RIGHT("00000"&amp;ROW(),5),"K"&amp;RIGHT("00000"&amp;ROW(),5))))))</f>
        <v/>
      </c>
      <c r="O70" s="16" t="str">
        <f aca="false">IF(N70="","",COUNTIFS($N$2:$N$1201,"&lt;"&amp;N70,$F$2:$F$1201,"&gt;0")+1)</f>
        <v/>
      </c>
    </row>
    <row r="71" customFormat="false" ht="15" hidden="false" customHeight="false" outlineLevel="0" collapsed="false">
      <c r="A71" s="11" t="str">
        <f aca="false">IF(_LEITURA!$N71="","",INDEX(_LEITURA!$K$2:$K$1201,_LEITURA!$N71))</f>
        <v/>
      </c>
      <c r="B71" s="11" t="str">
        <f aca="false">IF(_LEITURA!$N71="","",INDEX(_LEITURA!$E$2:$E$1201,_LEITURA!$N71))</f>
        <v/>
      </c>
      <c r="C71" s="11" t="str">
        <f aca="false">IF(_LEITURA!$N71="","",INDEX(_LEITURA!$J$2:$J$1201,_LEITURA!$N71))</f>
        <v/>
      </c>
      <c r="D71" s="16" t="str">
        <f aca="false">IF(_LEITURA!$N71="","",INDEX(_LEITURA!$G$2:$G$1201,_LEITURA!$N71))</f>
        <v/>
      </c>
      <c r="E71" s="16" t="str">
        <f aca="false">IF(B71="","",SUMIFS(INVENTÁRIO!$C$2:$C$801,INVENTÁRIO!$A$2:$A$801,B71))</f>
        <v/>
      </c>
      <c r="F71" s="16" t="str">
        <f aca="false">IF(B71="","",MAX(0,D71-E71))</f>
        <v/>
      </c>
      <c r="G71" s="16" t="str">
        <f aca="false">IF(B71="","",IF(COUNTIFS($B$2:$B$1201,B71,$A$2:$A$1201,"&lt;&gt;"&amp;A71)&gt;0,"Sim",""))</f>
        <v/>
      </c>
      <c r="H71" s="16" t="str">
        <f aca="false">IF(N(F71)&gt;0,MAX(H$1:H70)+1,"")</f>
        <v/>
      </c>
      <c r="I71" s="11" t="str">
        <f aca="false">IF(B71="","",IF(INDEX($C$2:$C$1201,MATCH(B71,$B$2:$B$1201,0))&lt;&gt;C71,"Nome diferente em outro deck — revisar",""))</f>
        <v/>
      </c>
      <c r="J71" s="16" t="str">
        <f aca="false">IF(AND(B71&lt;&gt;"",A71=BULK!$A$1,N(F71)&gt;0),MAX(J$1:J70)+1,"")</f>
        <v/>
      </c>
      <c r="K71" s="11" t="str">
        <f aca="false">IF(B71="","",IFERROR(LEFT(B71,FIND("-",B71)-1),B71))</f>
        <v/>
      </c>
      <c r="L71" s="11" t="str">
        <f aca="false">IF(K71="","",IF(ISNUMBER(--MID(K71,1,1)),0,IF(ISNUMBER(--MID(K71,2,1)),1,IF(ISNUMBER(--MID(K71,3,1)),2,IF(ISNUMBER(--MID(K71,4,1)),3,MIN(LEN(K71),4))))))</f>
        <v/>
      </c>
      <c r="M71" s="11" t="str">
        <f aca="false">IF(B71="","",LEFT(K71,L71)&amp;REPT("0",4-L71)&amp;RIGHT("000"&amp;IFERROR(VALUE(MID(K71,L71+1,9)),0),3)&amp;RIGHT("0000"&amp;IFERROR(VALUE(MID(B71,FIND("-",B71)+1,9)),0),4))</f>
        <v/>
      </c>
      <c r="N71" s="11" t="str">
        <f aca="false">IF(OR(B71="",N(F71)&lt;=0),"",IF('FALTAS POR DECK'!$P$1="Código","K"&amp;M71&amp;RIGHT("00000"&amp;ROW(),5),IF('FALTAS POR DECK'!$P$1="Nome","K"&amp;UPPER(SUBSTITUTE(SUBSTITUTE(SUBSTITUTE(C71,"*",""),"?",""),"~",""))&amp;"0"&amp;M71&amp;RIGHT("00000"&amp;ROW(),5),IF('FALTAS POR DECK'!$P$1="Falta (maior primeiro)","K"&amp;RIGHT("0000"&amp;(9999-F71),4)&amp;M71&amp;RIGHT("00000"&amp;ROW(),5),IF('FALTAS POR DECK'!$P$1="Deck e código","K"&amp;RIGHT("00"&amp;IFERROR(MATCH(A71,_LEITURA!$P$2:$P$21,0),99),2)&amp;M71&amp;RIGHT("00000"&amp;ROW(),5),"K"&amp;RIGHT("00000"&amp;ROW(),5))))))</f>
        <v/>
      </c>
      <c r="O71" s="16" t="str">
        <f aca="false">IF(N71="","",COUNTIFS($N$2:$N$1201,"&lt;"&amp;N71,$F$2:$F$1201,"&gt;0")+1)</f>
        <v/>
      </c>
    </row>
    <row r="72" customFormat="false" ht="15" hidden="false" customHeight="false" outlineLevel="0" collapsed="false">
      <c r="A72" s="11" t="str">
        <f aca="false">IF(_LEITURA!$N72="","",INDEX(_LEITURA!$K$2:$K$1201,_LEITURA!$N72))</f>
        <v/>
      </c>
      <c r="B72" s="11" t="str">
        <f aca="false">IF(_LEITURA!$N72="","",INDEX(_LEITURA!$E$2:$E$1201,_LEITURA!$N72))</f>
        <v/>
      </c>
      <c r="C72" s="11" t="str">
        <f aca="false">IF(_LEITURA!$N72="","",INDEX(_LEITURA!$J$2:$J$1201,_LEITURA!$N72))</f>
        <v/>
      </c>
      <c r="D72" s="16" t="str">
        <f aca="false">IF(_LEITURA!$N72="","",INDEX(_LEITURA!$G$2:$G$1201,_LEITURA!$N72))</f>
        <v/>
      </c>
      <c r="E72" s="16" t="str">
        <f aca="false">IF(B72="","",SUMIFS(INVENTÁRIO!$C$2:$C$801,INVENTÁRIO!$A$2:$A$801,B72))</f>
        <v/>
      </c>
      <c r="F72" s="16" t="str">
        <f aca="false">IF(B72="","",MAX(0,D72-E72))</f>
        <v/>
      </c>
      <c r="G72" s="16" t="str">
        <f aca="false">IF(B72="","",IF(COUNTIFS($B$2:$B$1201,B72,$A$2:$A$1201,"&lt;&gt;"&amp;A72)&gt;0,"Sim",""))</f>
        <v/>
      </c>
      <c r="H72" s="16" t="str">
        <f aca="false">IF(N(F72)&gt;0,MAX(H$1:H71)+1,"")</f>
        <v/>
      </c>
      <c r="I72" s="11" t="str">
        <f aca="false">IF(B72="","",IF(INDEX($C$2:$C$1201,MATCH(B72,$B$2:$B$1201,0))&lt;&gt;C72,"Nome diferente em outro deck — revisar",""))</f>
        <v/>
      </c>
      <c r="J72" s="16" t="str">
        <f aca="false">IF(AND(B72&lt;&gt;"",A72=BULK!$A$1,N(F72)&gt;0),MAX(J$1:J71)+1,"")</f>
        <v/>
      </c>
      <c r="K72" s="11" t="str">
        <f aca="false">IF(B72="","",IFERROR(LEFT(B72,FIND("-",B72)-1),B72))</f>
        <v/>
      </c>
      <c r="L72" s="11" t="str">
        <f aca="false">IF(K72="","",IF(ISNUMBER(--MID(K72,1,1)),0,IF(ISNUMBER(--MID(K72,2,1)),1,IF(ISNUMBER(--MID(K72,3,1)),2,IF(ISNUMBER(--MID(K72,4,1)),3,MIN(LEN(K72),4))))))</f>
        <v/>
      </c>
      <c r="M72" s="11" t="str">
        <f aca="false">IF(B72="","",LEFT(K72,L72)&amp;REPT("0",4-L72)&amp;RIGHT("000"&amp;IFERROR(VALUE(MID(K72,L72+1,9)),0),3)&amp;RIGHT("0000"&amp;IFERROR(VALUE(MID(B72,FIND("-",B72)+1,9)),0),4))</f>
        <v/>
      </c>
      <c r="N72" s="11" t="str">
        <f aca="false">IF(OR(B72="",N(F72)&lt;=0),"",IF('FALTAS POR DECK'!$P$1="Código","K"&amp;M72&amp;RIGHT("00000"&amp;ROW(),5),IF('FALTAS POR DECK'!$P$1="Nome","K"&amp;UPPER(SUBSTITUTE(SUBSTITUTE(SUBSTITUTE(C72,"*",""),"?",""),"~",""))&amp;"0"&amp;M72&amp;RIGHT("00000"&amp;ROW(),5),IF('FALTAS POR DECK'!$P$1="Falta (maior primeiro)","K"&amp;RIGHT("0000"&amp;(9999-F72),4)&amp;M72&amp;RIGHT("00000"&amp;ROW(),5),IF('FALTAS POR DECK'!$P$1="Deck e código","K"&amp;RIGHT("00"&amp;IFERROR(MATCH(A72,_LEITURA!$P$2:$P$21,0),99),2)&amp;M72&amp;RIGHT("00000"&amp;ROW(),5),"K"&amp;RIGHT("00000"&amp;ROW(),5))))))</f>
        <v/>
      </c>
      <c r="O72" s="16" t="str">
        <f aca="false">IF(N72="","",COUNTIFS($N$2:$N$1201,"&lt;"&amp;N72,$F$2:$F$1201,"&gt;0")+1)</f>
        <v/>
      </c>
    </row>
    <row r="73" customFormat="false" ht="15" hidden="false" customHeight="false" outlineLevel="0" collapsed="false">
      <c r="A73" s="11" t="str">
        <f aca="false">IF(_LEITURA!$N73="","",INDEX(_LEITURA!$K$2:$K$1201,_LEITURA!$N73))</f>
        <v/>
      </c>
      <c r="B73" s="11" t="str">
        <f aca="false">IF(_LEITURA!$N73="","",INDEX(_LEITURA!$E$2:$E$1201,_LEITURA!$N73))</f>
        <v/>
      </c>
      <c r="C73" s="11" t="str">
        <f aca="false">IF(_LEITURA!$N73="","",INDEX(_LEITURA!$J$2:$J$1201,_LEITURA!$N73))</f>
        <v/>
      </c>
      <c r="D73" s="16" t="str">
        <f aca="false">IF(_LEITURA!$N73="","",INDEX(_LEITURA!$G$2:$G$1201,_LEITURA!$N73))</f>
        <v/>
      </c>
      <c r="E73" s="16" t="str">
        <f aca="false">IF(B73="","",SUMIFS(INVENTÁRIO!$C$2:$C$801,INVENTÁRIO!$A$2:$A$801,B73))</f>
        <v/>
      </c>
      <c r="F73" s="16" t="str">
        <f aca="false">IF(B73="","",MAX(0,D73-E73))</f>
        <v/>
      </c>
      <c r="G73" s="16" t="str">
        <f aca="false">IF(B73="","",IF(COUNTIFS($B$2:$B$1201,B73,$A$2:$A$1201,"&lt;&gt;"&amp;A73)&gt;0,"Sim",""))</f>
        <v/>
      </c>
      <c r="H73" s="16" t="str">
        <f aca="false">IF(N(F73)&gt;0,MAX(H$1:H72)+1,"")</f>
        <v/>
      </c>
      <c r="I73" s="11" t="str">
        <f aca="false">IF(B73="","",IF(INDEX($C$2:$C$1201,MATCH(B73,$B$2:$B$1201,0))&lt;&gt;C73,"Nome diferente em outro deck — revisar",""))</f>
        <v/>
      </c>
      <c r="J73" s="16" t="str">
        <f aca="false">IF(AND(B73&lt;&gt;"",A73=BULK!$A$1,N(F73)&gt;0),MAX(J$1:J72)+1,"")</f>
        <v/>
      </c>
      <c r="K73" s="11" t="str">
        <f aca="false">IF(B73="","",IFERROR(LEFT(B73,FIND("-",B73)-1),B73))</f>
        <v/>
      </c>
      <c r="L73" s="11" t="str">
        <f aca="false">IF(K73="","",IF(ISNUMBER(--MID(K73,1,1)),0,IF(ISNUMBER(--MID(K73,2,1)),1,IF(ISNUMBER(--MID(K73,3,1)),2,IF(ISNUMBER(--MID(K73,4,1)),3,MIN(LEN(K73),4))))))</f>
        <v/>
      </c>
      <c r="M73" s="11" t="str">
        <f aca="false">IF(B73="","",LEFT(K73,L73)&amp;REPT("0",4-L73)&amp;RIGHT("000"&amp;IFERROR(VALUE(MID(K73,L73+1,9)),0),3)&amp;RIGHT("0000"&amp;IFERROR(VALUE(MID(B73,FIND("-",B73)+1,9)),0),4))</f>
        <v/>
      </c>
      <c r="N73" s="11" t="str">
        <f aca="false">IF(OR(B73="",N(F73)&lt;=0),"",IF('FALTAS POR DECK'!$P$1="Código","K"&amp;M73&amp;RIGHT("00000"&amp;ROW(),5),IF('FALTAS POR DECK'!$P$1="Nome","K"&amp;UPPER(SUBSTITUTE(SUBSTITUTE(SUBSTITUTE(C73,"*",""),"?",""),"~",""))&amp;"0"&amp;M73&amp;RIGHT("00000"&amp;ROW(),5),IF('FALTAS POR DECK'!$P$1="Falta (maior primeiro)","K"&amp;RIGHT("0000"&amp;(9999-F73),4)&amp;M73&amp;RIGHT("00000"&amp;ROW(),5),IF('FALTAS POR DECK'!$P$1="Deck e código","K"&amp;RIGHT("00"&amp;IFERROR(MATCH(A73,_LEITURA!$P$2:$P$21,0),99),2)&amp;M73&amp;RIGHT("00000"&amp;ROW(),5),"K"&amp;RIGHT("00000"&amp;ROW(),5))))))</f>
        <v/>
      </c>
      <c r="O73" s="16" t="str">
        <f aca="false">IF(N73="","",COUNTIFS($N$2:$N$1201,"&lt;"&amp;N73,$F$2:$F$1201,"&gt;0")+1)</f>
        <v/>
      </c>
    </row>
    <row r="74" customFormat="false" ht="15" hidden="false" customHeight="false" outlineLevel="0" collapsed="false">
      <c r="A74" s="11" t="str">
        <f aca="false">IF(_LEITURA!$N74="","",INDEX(_LEITURA!$K$2:$K$1201,_LEITURA!$N74))</f>
        <v/>
      </c>
      <c r="B74" s="11" t="str">
        <f aca="false">IF(_LEITURA!$N74="","",INDEX(_LEITURA!$E$2:$E$1201,_LEITURA!$N74))</f>
        <v/>
      </c>
      <c r="C74" s="11" t="str">
        <f aca="false">IF(_LEITURA!$N74="","",INDEX(_LEITURA!$J$2:$J$1201,_LEITURA!$N74))</f>
        <v/>
      </c>
      <c r="D74" s="16" t="str">
        <f aca="false">IF(_LEITURA!$N74="","",INDEX(_LEITURA!$G$2:$G$1201,_LEITURA!$N74))</f>
        <v/>
      </c>
      <c r="E74" s="16" t="str">
        <f aca="false">IF(B74="","",SUMIFS(INVENTÁRIO!$C$2:$C$801,INVENTÁRIO!$A$2:$A$801,B74))</f>
        <v/>
      </c>
      <c r="F74" s="16" t="str">
        <f aca="false">IF(B74="","",MAX(0,D74-E74))</f>
        <v/>
      </c>
      <c r="G74" s="16" t="str">
        <f aca="false">IF(B74="","",IF(COUNTIFS($B$2:$B$1201,B74,$A$2:$A$1201,"&lt;&gt;"&amp;A74)&gt;0,"Sim",""))</f>
        <v/>
      </c>
      <c r="H74" s="16" t="str">
        <f aca="false">IF(N(F74)&gt;0,MAX(H$1:H73)+1,"")</f>
        <v/>
      </c>
      <c r="I74" s="11" t="str">
        <f aca="false">IF(B74="","",IF(INDEX($C$2:$C$1201,MATCH(B74,$B$2:$B$1201,0))&lt;&gt;C74,"Nome diferente em outro deck — revisar",""))</f>
        <v/>
      </c>
      <c r="J74" s="16" t="str">
        <f aca="false">IF(AND(B74&lt;&gt;"",A74=BULK!$A$1,N(F74)&gt;0),MAX(J$1:J73)+1,"")</f>
        <v/>
      </c>
      <c r="K74" s="11" t="str">
        <f aca="false">IF(B74="","",IFERROR(LEFT(B74,FIND("-",B74)-1),B74))</f>
        <v/>
      </c>
      <c r="L74" s="11" t="str">
        <f aca="false">IF(K74="","",IF(ISNUMBER(--MID(K74,1,1)),0,IF(ISNUMBER(--MID(K74,2,1)),1,IF(ISNUMBER(--MID(K74,3,1)),2,IF(ISNUMBER(--MID(K74,4,1)),3,MIN(LEN(K74),4))))))</f>
        <v/>
      </c>
      <c r="M74" s="11" t="str">
        <f aca="false">IF(B74="","",LEFT(K74,L74)&amp;REPT("0",4-L74)&amp;RIGHT("000"&amp;IFERROR(VALUE(MID(K74,L74+1,9)),0),3)&amp;RIGHT("0000"&amp;IFERROR(VALUE(MID(B74,FIND("-",B74)+1,9)),0),4))</f>
        <v/>
      </c>
      <c r="N74" s="11" t="str">
        <f aca="false">IF(OR(B74="",N(F74)&lt;=0),"",IF('FALTAS POR DECK'!$P$1="Código","K"&amp;M74&amp;RIGHT("00000"&amp;ROW(),5),IF('FALTAS POR DECK'!$P$1="Nome","K"&amp;UPPER(SUBSTITUTE(SUBSTITUTE(SUBSTITUTE(C74,"*",""),"?",""),"~",""))&amp;"0"&amp;M74&amp;RIGHT("00000"&amp;ROW(),5),IF('FALTAS POR DECK'!$P$1="Falta (maior primeiro)","K"&amp;RIGHT("0000"&amp;(9999-F74),4)&amp;M74&amp;RIGHT("00000"&amp;ROW(),5),IF('FALTAS POR DECK'!$P$1="Deck e código","K"&amp;RIGHT("00"&amp;IFERROR(MATCH(A74,_LEITURA!$P$2:$P$21,0),99),2)&amp;M74&amp;RIGHT("00000"&amp;ROW(),5),"K"&amp;RIGHT("00000"&amp;ROW(),5))))))</f>
        <v/>
      </c>
      <c r="O74" s="16" t="str">
        <f aca="false">IF(N74="","",COUNTIFS($N$2:$N$1201,"&lt;"&amp;N74,$F$2:$F$1201,"&gt;0")+1)</f>
        <v/>
      </c>
    </row>
    <row r="75" customFormat="false" ht="15" hidden="false" customHeight="false" outlineLevel="0" collapsed="false">
      <c r="A75" s="11" t="str">
        <f aca="false">IF(_LEITURA!$N75="","",INDEX(_LEITURA!$K$2:$K$1201,_LEITURA!$N75))</f>
        <v/>
      </c>
      <c r="B75" s="11" t="str">
        <f aca="false">IF(_LEITURA!$N75="","",INDEX(_LEITURA!$E$2:$E$1201,_LEITURA!$N75))</f>
        <v/>
      </c>
      <c r="C75" s="11" t="str">
        <f aca="false">IF(_LEITURA!$N75="","",INDEX(_LEITURA!$J$2:$J$1201,_LEITURA!$N75))</f>
        <v/>
      </c>
      <c r="D75" s="16" t="str">
        <f aca="false">IF(_LEITURA!$N75="","",INDEX(_LEITURA!$G$2:$G$1201,_LEITURA!$N75))</f>
        <v/>
      </c>
      <c r="E75" s="16" t="str">
        <f aca="false">IF(B75="","",SUMIFS(INVENTÁRIO!$C$2:$C$801,INVENTÁRIO!$A$2:$A$801,B75))</f>
        <v/>
      </c>
      <c r="F75" s="16" t="str">
        <f aca="false">IF(B75="","",MAX(0,D75-E75))</f>
        <v/>
      </c>
      <c r="G75" s="16" t="str">
        <f aca="false">IF(B75="","",IF(COUNTIFS($B$2:$B$1201,B75,$A$2:$A$1201,"&lt;&gt;"&amp;A75)&gt;0,"Sim",""))</f>
        <v/>
      </c>
      <c r="H75" s="16" t="str">
        <f aca="false">IF(N(F75)&gt;0,MAX(H$1:H74)+1,"")</f>
        <v/>
      </c>
      <c r="I75" s="11" t="str">
        <f aca="false">IF(B75="","",IF(INDEX($C$2:$C$1201,MATCH(B75,$B$2:$B$1201,0))&lt;&gt;C75,"Nome diferente em outro deck — revisar",""))</f>
        <v/>
      </c>
      <c r="J75" s="16" t="str">
        <f aca="false">IF(AND(B75&lt;&gt;"",A75=BULK!$A$1,N(F75)&gt;0),MAX(J$1:J74)+1,"")</f>
        <v/>
      </c>
      <c r="K75" s="11" t="str">
        <f aca="false">IF(B75="","",IFERROR(LEFT(B75,FIND("-",B75)-1),B75))</f>
        <v/>
      </c>
      <c r="L75" s="11" t="str">
        <f aca="false">IF(K75="","",IF(ISNUMBER(--MID(K75,1,1)),0,IF(ISNUMBER(--MID(K75,2,1)),1,IF(ISNUMBER(--MID(K75,3,1)),2,IF(ISNUMBER(--MID(K75,4,1)),3,MIN(LEN(K75),4))))))</f>
        <v/>
      </c>
      <c r="M75" s="11" t="str">
        <f aca="false">IF(B75="","",LEFT(K75,L75)&amp;REPT("0",4-L75)&amp;RIGHT("000"&amp;IFERROR(VALUE(MID(K75,L75+1,9)),0),3)&amp;RIGHT("0000"&amp;IFERROR(VALUE(MID(B75,FIND("-",B75)+1,9)),0),4))</f>
        <v/>
      </c>
      <c r="N75" s="11" t="str">
        <f aca="false">IF(OR(B75="",N(F75)&lt;=0),"",IF('FALTAS POR DECK'!$P$1="Código","K"&amp;M75&amp;RIGHT("00000"&amp;ROW(),5),IF('FALTAS POR DECK'!$P$1="Nome","K"&amp;UPPER(SUBSTITUTE(SUBSTITUTE(SUBSTITUTE(C75,"*",""),"?",""),"~",""))&amp;"0"&amp;M75&amp;RIGHT("00000"&amp;ROW(),5),IF('FALTAS POR DECK'!$P$1="Falta (maior primeiro)","K"&amp;RIGHT("0000"&amp;(9999-F75),4)&amp;M75&amp;RIGHT("00000"&amp;ROW(),5),IF('FALTAS POR DECK'!$P$1="Deck e código","K"&amp;RIGHT("00"&amp;IFERROR(MATCH(A75,_LEITURA!$P$2:$P$21,0),99),2)&amp;M75&amp;RIGHT("00000"&amp;ROW(),5),"K"&amp;RIGHT("00000"&amp;ROW(),5))))))</f>
        <v/>
      </c>
      <c r="O75" s="16" t="str">
        <f aca="false">IF(N75="","",COUNTIFS($N$2:$N$1201,"&lt;"&amp;N75,$F$2:$F$1201,"&gt;0")+1)</f>
        <v/>
      </c>
    </row>
    <row r="76" customFormat="false" ht="15" hidden="false" customHeight="false" outlineLevel="0" collapsed="false">
      <c r="A76" s="11" t="str">
        <f aca="false">IF(_LEITURA!$N76="","",INDEX(_LEITURA!$K$2:$K$1201,_LEITURA!$N76))</f>
        <v/>
      </c>
      <c r="B76" s="11" t="str">
        <f aca="false">IF(_LEITURA!$N76="","",INDEX(_LEITURA!$E$2:$E$1201,_LEITURA!$N76))</f>
        <v/>
      </c>
      <c r="C76" s="11" t="str">
        <f aca="false">IF(_LEITURA!$N76="","",INDEX(_LEITURA!$J$2:$J$1201,_LEITURA!$N76))</f>
        <v/>
      </c>
      <c r="D76" s="16" t="str">
        <f aca="false">IF(_LEITURA!$N76="","",INDEX(_LEITURA!$G$2:$G$1201,_LEITURA!$N76))</f>
        <v/>
      </c>
      <c r="E76" s="16" t="str">
        <f aca="false">IF(B76="","",SUMIFS(INVENTÁRIO!$C$2:$C$801,INVENTÁRIO!$A$2:$A$801,B76))</f>
        <v/>
      </c>
      <c r="F76" s="16" t="str">
        <f aca="false">IF(B76="","",MAX(0,D76-E76))</f>
        <v/>
      </c>
      <c r="G76" s="16" t="str">
        <f aca="false">IF(B76="","",IF(COUNTIFS($B$2:$B$1201,B76,$A$2:$A$1201,"&lt;&gt;"&amp;A76)&gt;0,"Sim",""))</f>
        <v/>
      </c>
      <c r="H76" s="16" t="str">
        <f aca="false">IF(N(F76)&gt;0,MAX(H$1:H75)+1,"")</f>
        <v/>
      </c>
      <c r="I76" s="11" t="str">
        <f aca="false">IF(B76="","",IF(INDEX($C$2:$C$1201,MATCH(B76,$B$2:$B$1201,0))&lt;&gt;C76,"Nome diferente em outro deck — revisar",""))</f>
        <v/>
      </c>
      <c r="J76" s="16" t="str">
        <f aca="false">IF(AND(B76&lt;&gt;"",A76=BULK!$A$1,N(F76)&gt;0),MAX(J$1:J75)+1,"")</f>
        <v/>
      </c>
      <c r="K76" s="11" t="str">
        <f aca="false">IF(B76="","",IFERROR(LEFT(B76,FIND("-",B76)-1),B76))</f>
        <v/>
      </c>
      <c r="L76" s="11" t="str">
        <f aca="false">IF(K76="","",IF(ISNUMBER(--MID(K76,1,1)),0,IF(ISNUMBER(--MID(K76,2,1)),1,IF(ISNUMBER(--MID(K76,3,1)),2,IF(ISNUMBER(--MID(K76,4,1)),3,MIN(LEN(K76),4))))))</f>
        <v/>
      </c>
      <c r="M76" s="11" t="str">
        <f aca="false">IF(B76="","",LEFT(K76,L76)&amp;REPT("0",4-L76)&amp;RIGHT("000"&amp;IFERROR(VALUE(MID(K76,L76+1,9)),0),3)&amp;RIGHT("0000"&amp;IFERROR(VALUE(MID(B76,FIND("-",B76)+1,9)),0),4))</f>
        <v/>
      </c>
      <c r="N76" s="11" t="str">
        <f aca="false">IF(OR(B76="",N(F76)&lt;=0),"",IF('FALTAS POR DECK'!$P$1="Código","K"&amp;M76&amp;RIGHT("00000"&amp;ROW(),5),IF('FALTAS POR DECK'!$P$1="Nome","K"&amp;UPPER(SUBSTITUTE(SUBSTITUTE(SUBSTITUTE(C76,"*",""),"?",""),"~",""))&amp;"0"&amp;M76&amp;RIGHT("00000"&amp;ROW(),5),IF('FALTAS POR DECK'!$P$1="Falta (maior primeiro)","K"&amp;RIGHT("0000"&amp;(9999-F76),4)&amp;M76&amp;RIGHT("00000"&amp;ROW(),5),IF('FALTAS POR DECK'!$P$1="Deck e código","K"&amp;RIGHT("00"&amp;IFERROR(MATCH(A76,_LEITURA!$P$2:$P$21,0),99),2)&amp;M76&amp;RIGHT("00000"&amp;ROW(),5),"K"&amp;RIGHT("00000"&amp;ROW(),5))))))</f>
        <v/>
      </c>
      <c r="O76" s="16" t="str">
        <f aca="false">IF(N76="","",COUNTIFS($N$2:$N$1201,"&lt;"&amp;N76,$F$2:$F$1201,"&gt;0")+1)</f>
        <v/>
      </c>
    </row>
    <row r="77" customFormat="false" ht="15" hidden="false" customHeight="false" outlineLevel="0" collapsed="false">
      <c r="A77" s="11" t="str">
        <f aca="false">IF(_LEITURA!$N77="","",INDEX(_LEITURA!$K$2:$K$1201,_LEITURA!$N77))</f>
        <v/>
      </c>
      <c r="B77" s="11" t="str">
        <f aca="false">IF(_LEITURA!$N77="","",INDEX(_LEITURA!$E$2:$E$1201,_LEITURA!$N77))</f>
        <v/>
      </c>
      <c r="C77" s="11" t="str">
        <f aca="false">IF(_LEITURA!$N77="","",INDEX(_LEITURA!$J$2:$J$1201,_LEITURA!$N77))</f>
        <v/>
      </c>
      <c r="D77" s="16" t="str">
        <f aca="false">IF(_LEITURA!$N77="","",INDEX(_LEITURA!$G$2:$G$1201,_LEITURA!$N77))</f>
        <v/>
      </c>
      <c r="E77" s="16" t="str">
        <f aca="false">IF(B77="","",SUMIFS(INVENTÁRIO!$C$2:$C$801,INVENTÁRIO!$A$2:$A$801,B77))</f>
        <v/>
      </c>
      <c r="F77" s="16" t="str">
        <f aca="false">IF(B77="","",MAX(0,D77-E77))</f>
        <v/>
      </c>
      <c r="G77" s="16" t="str">
        <f aca="false">IF(B77="","",IF(COUNTIFS($B$2:$B$1201,B77,$A$2:$A$1201,"&lt;&gt;"&amp;A77)&gt;0,"Sim",""))</f>
        <v/>
      </c>
      <c r="H77" s="16" t="str">
        <f aca="false">IF(N(F77)&gt;0,MAX(H$1:H76)+1,"")</f>
        <v/>
      </c>
      <c r="I77" s="11" t="str">
        <f aca="false">IF(B77="","",IF(INDEX($C$2:$C$1201,MATCH(B77,$B$2:$B$1201,0))&lt;&gt;C77,"Nome diferente em outro deck — revisar",""))</f>
        <v/>
      </c>
      <c r="J77" s="16" t="str">
        <f aca="false">IF(AND(B77&lt;&gt;"",A77=BULK!$A$1,N(F77)&gt;0),MAX(J$1:J76)+1,"")</f>
        <v/>
      </c>
      <c r="K77" s="11" t="str">
        <f aca="false">IF(B77="","",IFERROR(LEFT(B77,FIND("-",B77)-1),B77))</f>
        <v/>
      </c>
      <c r="L77" s="11" t="str">
        <f aca="false">IF(K77="","",IF(ISNUMBER(--MID(K77,1,1)),0,IF(ISNUMBER(--MID(K77,2,1)),1,IF(ISNUMBER(--MID(K77,3,1)),2,IF(ISNUMBER(--MID(K77,4,1)),3,MIN(LEN(K77),4))))))</f>
        <v/>
      </c>
      <c r="M77" s="11" t="str">
        <f aca="false">IF(B77="","",LEFT(K77,L77)&amp;REPT("0",4-L77)&amp;RIGHT("000"&amp;IFERROR(VALUE(MID(K77,L77+1,9)),0),3)&amp;RIGHT("0000"&amp;IFERROR(VALUE(MID(B77,FIND("-",B77)+1,9)),0),4))</f>
        <v/>
      </c>
      <c r="N77" s="11" t="str">
        <f aca="false">IF(OR(B77="",N(F77)&lt;=0),"",IF('FALTAS POR DECK'!$P$1="Código","K"&amp;M77&amp;RIGHT("00000"&amp;ROW(),5),IF('FALTAS POR DECK'!$P$1="Nome","K"&amp;UPPER(SUBSTITUTE(SUBSTITUTE(SUBSTITUTE(C77,"*",""),"?",""),"~",""))&amp;"0"&amp;M77&amp;RIGHT("00000"&amp;ROW(),5),IF('FALTAS POR DECK'!$P$1="Falta (maior primeiro)","K"&amp;RIGHT("0000"&amp;(9999-F77),4)&amp;M77&amp;RIGHT("00000"&amp;ROW(),5),IF('FALTAS POR DECK'!$P$1="Deck e código","K"&amp;RIGHT("00"&amp;IFERROR(MATCH(A77,_LEITURA!$P$2:$P$21,0),99),2)&amp;M77&amp;RIGHT("00000"&amp;ROW(),5),"K"&amp;RIGHT("00000"&amp;ROW(),5))))))</f>
        <v/>
      </c>
      <c r="O77" s="16" t="str">
        <f aca="false">IF(N77="","",COUNTIFS($N$2:$N$1201,"&lt;"&amp;N77,$F$2:$F$1201,"&gt;0")+1)</f>
        <v/>
      </c>
    </row>
    <row r="78" customFormat="false" ht="15" hidden="false" customHeight="false" outlineLevel="0" collapsed="false">
      <c r="A78" s="11" t="str">
        <f aca="false">IF(_LEITURA!$N78="","",INDEX(_LEITURA!$K$2:$K$1201,_LEITURA!$N78))</f>
        <v/>
      </c>
      <c r="B78" s="11" t="str">
        <f aca="false">IF(_LEITURA!$N78="","",INDEX(_LEITURA!$E$2:$E$1201,_LEITURA!$N78))</f>
        <v/>
      </c>
      <c r="C78" s="11" t="str">
        <f aca="false">IF(_LEITURA!$N78="","",INDEX(_LEITURA!$J$2:$J$1201,_LEITURA!$N78))</f>
        <v/>
      </c>
      <c r="D78" s="16" t="str">
        <f aca="false">IF(_LEITURA!$N78="","",INDEX(_LEITURA!$G$2:$G$1201,_LEITURA!$N78))</f>
        <v/>
      </c>
      <c r="E78" s="16" t="str">
        <f aca="false">IF(B78="","",SUMIFS(INVENTÁRIO!$C$2:$C$801,INVENTÁRIO!$A$2:$A$801,B78))</f>
        <v/>
      </c>
      <c r="F78" s="16" t="str">
        <f aca="false">IF(B78="","",MAX(0,D78-E78))</f>
        <v/>
      </c>
      <c r="G78" s="16" t="str">
        <f aca="false">IF(B78="","",IF(COUNTIFS($B$2:$B$1201,B78,$A$2:$A$1201,"&lt;&gt;"&amp;A78)&gt;0,"Sim",""))</f>
        <v/>
      </c>
      <c r="H78" s="16" t="str">
        <f aca="false">IF(N(F78)&gt;0,MAX(H$1:H77)+1,"")</f>
        <v/>
      </c>
      <c r="I78" s="11" t="str">
        <f aca="false">IF(B78="","",IF(INDEX($C$2:$C$1201,MATCH(B78,$B$2:$B$1201,0))&lt;&gt;C78,"Nome diferente em outro deck — revisar",""))</f>
        <v/>
      </c>
      <c r="J78" s="16" t="str">
        <f aca="false">IF(AND(B78&lt;&gt;"",A78=BULK!$A$1,N(F78)&gt;0),MAX(J$1:J77)+1,"")</f>
        <v/>
      </c>
      <c r="K78" s="11" t="str">
        <f aca="false">IF(B78="","",IFERROR(LEFT(B78,FIND("-",B78)-1),B78))</f>
        <v/>
      </c>
      <c r="L78" s="11" t="str">
        <f aca="false">IF(K78="","",IF(ISNUMBER(--MID(K78,1,1)),0,IF(ISNUMBER(--MID(K78,2,1)),1,IF(ISNUMBER(--MID(K78,3,1)),2,IF(ISNUMBER(--MID(K78,4,1)),3,MIN(LEN(K78),4))))))</f>
        <v/>
      </c>
      <c r="M78" s="11" t="str">
        <f aca="false">IF(B78="","",LEFT(K78,L78)&amp;REPT("0",4-L78)&amp;RIGHT("000"&amp;IFERROR(VALUE(MID(K78,L78+1,9)),0),3)&amp;RIGHT("0000"&amp;IFERROR(VALUE(MID(B78,FIND("-",B78)+1,9)),0),4))</f>
        <v/>
      </c>
      <c r="N78" s="11" t="str">
        <f aca="false">IF(OR(B78="",N(F78)&lt;=0),"",IF('FALTAS POR DECK'!$P$1="Código","K"&amp;M78&amp;RIGHT("00000"&amp;ROW(),5),IF('FALTAS POR DECK'!$P$1="Nome","K"&amp;UPPER(SUBSTITUTE(SUBSTITUTE(SUBSTITUTE(C78,"*",""),"?",""),"~",""))&amp;"0"&amp;M78&amp;RIGHT("00000"&amp;ROW(),5),IF('FALTAS POR DECK'!$P$1="Falta (maior primeiro)","K"&amp;RIGHT("0000"&amp;(9999-F78),4)&amp;M78&amp;RIGHT("00000"&amp;ROW(),5),IF('FALTAS POR DECK'!$P$1="Deck e código","K"&amp;RIGHT("00"&amp;IFERROR(MATCH(A78,_LEITURA!$P$2:$P$21,0),99),2)&amp;M78&amp;RIGHT("00000"&amp;ROW(),5),"K"&amp;RIGHT("00000"&amp;ROW(),5))))))</f>
        <v/>
      </c>
      <c r="O78" s="16" t="str">
        <f aca="false">IF(N78="","",COUNTIFS($N$2:$N$1201,"&lt;"&amp;N78,$F$2:$F$1201,"&gt;0")+1)</f>
        <v/>
      </c>
    </row>
    <row r="79" customFormat="false" ht="15" hidden="false" customHeight="false" outlineLevel="0" collapsed="false">
      <c r="A79" s="11" t="str">
        <f aca="false">IF(_LEITURA!$N79="","",INDEX(_LEITURA!$K$2:$K$1201,_LEITURA!$N79))</f>
        <v/>
      </c>
      <c r="B79" s="11" t="str">
        <f aca="false">IF(_LEITURA!$N79="","",INDEX(_LEITURA!$E$2:$E$1201,_LEITURA!$N79))</f>
        <v/>
      </c>
      <c r="C79" s="11" t="str">
        <f aca="false">IF(_LEITURA!$N79="","",INDEX(_LEITURA!$J$2:$J$1201,_LEITURA!$N79))</f>
        <v/>
      </c>
      <c r="D79" s="16" t="str">
        <f aca="false">IF(_LEITURA!$N79="","",INDEX(_LEITURA!$G$2:$G$1201,_LEITURA!$N79))</f>
        <v/>
      </c>
      <c r="E79" s="16" t="str">
        <f aca="false">IF(B79="","",SUMIFS(INVENTÁRIO!$C$2:$C$801,INVENTÁRIO!$A$2:$A$801,B79))</f>
        <v/>
      </c>
      <c r="F79" s="16" t="str">
        <f aca="false">IF(B79="","",MAX(0,D79-E79))</f>
        <v/>
      </c>
      <c r="G79" s="16" t="str">
        <f aca="false">IF(B79="","",IF(COUNTIFS($B$2:$B$1201,B79,$A$2:$A$1201,"&lt;&gt;"&amp;A79)&gt;0,"Sim",""))</f>
        <v/>
      </c>
      <c r="H79" s="16" t="str">
        <f aca="false">IF(N(F79)&gt;0,MAX(H$1:H78)+1,"")</f>
        <v/>
      </c>
      <c r="I79" s="11" t="str">
        <f aca="false">IF(B79="","",IF(INDEX($C$2:$C$1201,MATCH(B79,$B$2:$B$1201,0))&lt;&gt;C79,"Nome diferente em outro deck — revisar",""))</f>
        <v/>
      </c>
      <c r="J79" s="16" t="str">
        <f aca="false">IF(AND(B79&lt;&gt;"",A79=BULK!$A$1,N(F79)&gt;0),MAX(J$1:J78)+1,"")</f>
        <v/>
      </c>
      <c r="K79" s="11" t="str">
        <f aca="false">IF(B79="","",IFERROR(LEFT(B79,FIND("-",B79)-1),B79))</f>
        <v/>
      </c>
      <c r="L79" s="11" t="str">
        <f aca="false">IF(K79="","",IF(ISNUMBER(--MID(K79,1,1)),0,IF(ISNUMBER(--MID(K79,2,1)),1,IF(ISNUMBER(--MID(K79,3,1)),2,IF(ISNUMBER(--MID(K79,4,1)),3,MIN(LEN(K79),4))))))</f>
        <v/>
      </c>
      <c r="M79" s="11" t="str">
        <f aca="false">IF(B79="","",LEFT(K79,L79)&amp;REPT("0",4-L79)&amp;RIGHT("000"&amp;IFERROR(VALUE(MID(K79,L79+1,9)),0),3)&amp;RIGHT("0000"&amp;IFERROR(VALUE(MID(B79,FIND("-",B79)+1,9)),0),4))</f>
        <v/>
      </c>
      <c r="N79" s="11" t="str">
        <f aca="false">IF(OR(B79="",N(F79)&lt;=0),"",IF('FALTAS POR DECK'!$P$1="Código","K"&amp;M79&amp;RIGHT("00000"&amp;ROW(),5),IF('FALTAS POR DECK'!$P$1="Nome","K"&amp;UPPER(SUBSTITUTE(SUBSTITUTE(SUBSTITUTE(C79,"*",""),"?",""),"~",""))&amp;"0"&amp;M79&amp;RIGHT("00000"&amp;ROW(),5),IF('FALTAS POR DECK'!$P$1="Falta (maior primeiro)","K"&amp;RIGHT("0000"&amp;(9999-F79),4)&amp;M79&amp;RIGHT("00000"&amp;ROW(),5),IF('FALTAS POR DECK'!$P$1="Deck e código","K"&amp;RIGHT("00"&amp;IFERROR(MATCH(A79,_LEITURA!$P$2:$P$21,0),99),2)&amp;M79&amp;RIGHT("00000"&amp;ROW(),5),"K"&amp;RIGHT("00000"&amp;ROW(),5))))))</f>
        <v/>
      </c>
      <c r="O79" s="16" t="str">
        <f aca="false">IF(N79="","",COUNTIFS($N$2:$N$1201,"&lt;"&amp;N79,$F$2:$F$1201,"&gt;0")+1)</f>
        <v/>
      </c>
    </row>
    <row r="80" customFormat="false" ht="15" hidden="false" customHeight="false" outlineLevel="0" collapsed="false">
      <c r="A80" s="11" t="str">
        <f aca="false">IF(_LEITURA!$N80="","",INDEX(_LEITURA!$K$2:$K$1201,_LEITURA!$N80))</f>
        <v/>
      </c>
      <c r="B80" s="11" t="str">
        <f aca="false">IF(_LEITURA!$N80="","",INDEX(_LEITURA!$E$2:$E$1201,_LEITURA!$N80))</f>
        <v/>
      </c>
      <c r="C80" s="11" t="str">
        <f aca="false">IF(_LEITURA!$N80="","",INDEX(_LEITURA!$J$2:$J$1201,_LEITURA!$N80))</f>
        <v/>
      </c>
      <c r="D80" s="16" t="str">
        <f aca="false">IF(_LEITURA!$N80="","",INDEX(_LEITURA!$G$2:$G$1201,_LEITURA!$N80))</f>
        <v/>
      </c>
      <c r="E80" s="16" t="str">
        <f aca="false">IF(B80="","",SUMIFS(INVENTÁRIO!$C$2:$C$801,INVENTÁRIO!$A$2:$A$801,B80))</f>
        <v/>
      </c>
      <c r="F80" s="16" t="str">
        <f aca="false">IF(B80="","",MAX(0,D80-E80))</f>
        <v/>
      </c>
      <c r="G80" s="16" t="str">
        <f aca="false">IF(B80="","",IF(COUNTIFS($B$2:$B$1201,B80,$A$2:$A$1201,"&lt;&gt;"&amp;A80)&gt;0,"Sim",""))</f>
        <v/>
      </c>
      <c r="H80" s="16" t="str">
        <f aca="false">IF(N(F80)&gt;0,MAX(H$1:H79)+1,"")</f>
        <v/>
      </c>
      <c r="I80" s="11" t="str">
        <f aca="false">IF(B80="","",IF(INDEX($C$2:$C$1201,MATCH(B80,$B$2:$B$1201,0))&lt;&gt;C80,"Nome diferente em outro deck — revisar",""))</f>
        <v/>
      </c>
      <c r="J80" s="16" t="str">
        <f aca="false">IF(AND(B80&lt;&gt;"",A80=BULK!$A$1,N(F80)&gt;0),MAX(J$1:J79)+1,"")</f>
        <v/>
      </c>
      <c r="K80" s="11" t="str">
        <f aca="false">IF(B80="","",IFERROR(LEFT(B80,FIND("-",B80)-1),B80))</f>
        <v/>
      </c>
      <c r="L80" s="11" t="str">
        <f aca="false">IF(K80="","",IF(ISNUMBER(--MID(K80,1,1)),0,IF(ISNUMBER(--MID(K80,2,1)),1,IF(ISNUMBER(--MID(K80,3,1)),2,IF(ISNUMBER(--MID(K80,4,1)),3,MIN(LEN(K80),4))))))</f>
        <v/>
      </c>
      <c r="M80" s="11" t="str">
        <f aca="false">IF(B80="","",LEFT(K80,L80)&amp;REPT("0",4-L80)&amp;RIGHT("000"&amp;IFERROR(VALUE(MID(K80,L80+1,9)),0),3)&amp;RIGHT("0000"&amp;IFERROR(VALUE(MID(B80,FIND("-",B80)+1,9)),0),4))</f>
        <v/>
      </c>
      <c r="N80" s="11" t="str">
        <f aca="false">IF(OR(B80="",N(F80)&lt;=0),"",IF('FALTAS POR DECK'!$P$1="Código","K"&amp;M80&amp;RIGHT("00000"&amp;ROW(),5),IF('FALTAS POR DECK'!$P$1="Nome","K"&amp;UPPER(SUBSTITUTE(SUBSTITUTE(SUBSTITUTE(C80,"*",""),"?",""),"~",""))&amp;"0"&amp;M80&amp;RIGHT("00000"&amp;ROW(),5),IF('FALTAS POR DECK'!$P$1="Falta (maior primeiro)","K"&amp;RIGHT("0000"&amp;(9999-F80),4)&amp;M80&amp;RIGHT("00000"&amp;ROW(),5),IF('FALTAS POR DECK'!$P$1="Deck e código","K"&amp;RIGHT("00"&amp;IFERROR(MATCH(A80,_LEITURA!$P$2:$P$21,0),99),2)&amp;M80&amp;RIGHT("00000"&amp;ROW(),5),"K"&amp;RIGHT("00000"&amp;ROW(),5))))))</f>
        <v/>
      </c>
      <c r="O80" s="16" t="str">
        <f aca="false">IF(N80="","",COUNTIFS($N$2:$N$1201,"&lt;"&amp;N80,$F$2:$F$1201,"&gt;0")+1)</f>
        <v/>
      </c>
    </row>
    <row r="81" customFormat="false" ht="15" hidden="false" customHeight="false" outlineLevel="0" collapsed="false">
      <c r="A81" s="11" t="str">
        <f aca="false">IF(_LEITURA!$N81="","",INDEX(_LEITURA!$K$2:$K$1201,_LEITURA!$N81))</f>
        <v/>
      </c>
      <c r="B81" s="11" t="str">
        <f aca="false">IF(_LEITURA!$N81="","",INDEX(_LEITURA!$E$2:$E$1201,_LEITURA!$N81))</f>
        <v/>
      </c>
      <c r="C81" s="11" t="str">
        <f aca="false">IF(_LEITURA!$N81="","",INDEX(_LEITURA!$J$2:$J$1201,_LEITURA!$N81))</f>
        <v/>
      </c>
      <c r="D81" s="16" t="str">
        <f aca="false">IF(_LEITURA!$N81="","",INDEX(_LEITURA!$G$2:$G$1201,_LEITURA!$N81))</f>
        <v/>
      </c>
      <c r="E81" s="16" t="str">
        <f aca="false">IF(B81="","",SUMIFS(INVENTÁRIO!$C$2:$C$801,INVENTÁRIO!$A$2:$A$801,B81))</f>
        <v/>
      </c>
      <c r="F81" s="16" t="str">
        <f aca="false">IF(B81="","",MAX(0,D81-E81))</f>
        <v/>
      </c>
      <c r="G81" s="16" t="str">
        <f aca="false">IF(B81="","",IF(COUNTIFS($B$2:$B$1201,B81,$A$2:$A$1201,"&lt;&gt;"&amp;A81)&gt;0,"Sim",""))</f>
        <v/>
      </c>
      <c r="H81" s="16" t="str">
        <f aca="false">IF(N(F81)&gt;0,MAX(H$1:H80)+1,"")</f>
        <v/>
      </c>
      <c r="I81" s="11" t="str">
        <f aca="false">IF(B81="","",IF(INDEX($C$2:$C$1201,MATCH(B81,$B$2:$B$1201,0))&lt;&gt;C81,"Nome diferente em outro deck — revisar",""))</f>
        <v/>
      </c>
      <c r="J81" s="16" t="str">
        <f aca="false">IF(AND(B81&lt;&gt;"",A81=BULK!$A$1,N(F81)&gt;0),MAX(J$1:J80)+1,"")</f>
        <v/>
      </c>
      <c r="K81" s="11" t="str">
        <f aca="false">IF(B81="","",IFERROR(LEFT(B81,FIND("-",B81)-1),B81))</f>
        <v/>
      </c>
      <c r="L81" s="11" t="str">
        <f aca="false">IF(K81="","",IF(ISNUMBER(--MID(K81,1,1)),0,IF(ISNUMBER(--MID(K81,2,1)),1,IF(ISNUMBER(--MID(K81,3,1)),2,IF(ISNUMBER(--MID(K81,4,1)),3,MIN(LEN(K81),4))))))</f>
        <v/>
      </c>
      <c r="M81" s="11" t="str">
        <f aca="false">IF(B81="","",LEFT(K81,L81)&amp;REPT("0",4-L81)&amp;RIGHT("000"&amp;IFERROR(VALUE(MID(K81,L81+1,9)),0),3)&amp;RIGHT("0000"&amp;IFERROR(VALUE(MID(B81,FIND("-",B81)+1,9)),0),4))</f>
        <v/>
      </c>
      <c r="N81" s="11" t="str">
        <f aca="false">IF(OR(B81="",N(F81)&lt;=0),"",IF('FALTAS POR DECK'!$P$1="Código","K"&amp;M81&amp;RIGHT("00000"&amp;ROW(),5),IF('FALTAS POR DECK'!$P$1="Nome","K"&amp;UPPER(SUBSTITUTE(SUBSTITUTE(SUBSTITUTE(C81,"*",""),"?",""),"~",""))&amp;"0"&amp;M81&amp;RIGHT("00000"&amp;ROW(),5),IF('FALTAS POR DECK'!$P$1="Falta (maior primeiro)","K"&amp;RIGHT("0000"&amp;(9999-F81),4)&amp;M81&amp;RIGHT("00000"&amp;ROW(),5),IF('FALTAS POR DECK'!$P$1="Deck e código","K"&amp;RIGHT("00"&amp;IFERROR(MATCH(A81,_LEITURA!$P$2:$P$21,0),99),2)&amp;M81&amp;RIGHT("00000"&amp;ROW(),5),"K"&amp;RIGHT("00000"&amp;ROW(),5))))))</f>
        <v/>
      </c>
      <c r="O81" s="16" t="str">
        <f aca="false">IF(N81="","",COUNTIFS($N$2:$N$1201,"&lt;"&amp;N81,$F$2:$F$1201,"&gt;0")+1)</f>
        <v/>
      </c>
    </row>
    <row r="82" customFormat="false" ht="15" hidden="false" customHeight="false" outlineLevel="0" collapsed="false">
      <c r="A82" s="11" t="str">
        <f aca="false">IF(_LEITURA!$N82="","",INDEX(_LEITURA!$K$2:$K$1201,_LEITURA!$N82))</f>
        <v/>
      </c>
      <c r="B82" s="11" t="str">
        <f aca="false">IF(_LEITURA!$N82="","",INDEX(_LEITURA!$E$2:$E$1201,_LEITURA!$N82))</f>
        <v/>
      </c>
      <c r="C82" s="11" t="str">
        <f aca="false">IF(_LEITURA!$N82="","",INDEX(_LEITURA!$J$2:$J$1201,_LEITURA!$N82))</f>
        <v/>
      </c>
      <c r="D82" s="16" t="str">
        <f aca="false">IF(_LEITURA!$N82="","",INDEX(_LEITURA!$G$2:$G$1201,_LEITURA!$N82))</f>
        <v/>
      </c>
      <c r="E82" s="16" t="str">
        <f aca="false">IF(B82="","",SUMIFS(INVENTÁRIO!$C$2:$C$801,INVENTÁRIO!$A$2:$A$801,B82))</f>
        <v/>
      </c>
      <c r="F82" s="16" t="str">
        <f aca="false">IF(B82="","",MAX(0,D82-E82))</f>
        <v/>
      </c>
      <c r="G82" s="16" t="str">
        <f aca="false">IF(B82="","",IF(COUNTIFS($B$2:$B$1201,B82,$A$2:$A$1201,"&lt;&gt;"&amp;A82)&gt;0,"Sim",""))</f>
        <v/>
      </c>
      <c r="H82" s="16" t="str">
        <f aca="false">IF(N(F82)&gt;0,MAX(H$1:H81)+1,"")</f>
        <v/>
      </c>
      <c r="I82" s="11" t="str">
        <f aca="false">IF(B82="","",IF(INDEX($C$2:$C$1201,MATCH(B82,$B$2:$B$1201,0))&lt;&gt;C82,"Nome diferente em outro deck — revisar",""))</f>
        <v/>
      </c>
      <c r="J82" s="16" t="str">
        <f aca="false">IF(AND(B82&lt;&gt;"",A82=BULK!$A$1,N(F82)&gt;0),MAX(J$1:J81)+1,"")</f>
        <v/>
      </c>
      <c r="K82" s="11" t="str">
        <f aca="false">IF(B82="","",IFERROR(LEFT(B82,FIND("-",B82)-1),B82))</f>
        <v/>
      </c>
      <c r="L82" s="11" t="str">
        <f aca="false">IF(K82="","",IF(ISNUMBER(--MID(K82,1,1)),0,IF(ISNUMBER(--MID(K82,2,1)),1,IF(ISNUMBER(--MID(K82,3,1)),2,IF(ISNUMBER(--MID(K82,4,1)),3,MIN(LEN(K82),4))))))</f>
        <v/>
      </c>
      <c r="M82" s="11" t="str">
        <f aca="false">IF(B82="","",LEFT(K82,L82)&amp;REPT("0",4-L82)&amp;RIGHT("000"&amp;IFERROR(VALUE(MID(K82,L82+1,9)),0),3)&amp;RIGHT("0000"&amp;IFERROR(VALUE(MID(B82,FIND("-",B82)+1,9)),0),4))</f>
        <v/>
      </c>
      <c r="N82" s="11" t="str">
        <f aca="false">IF(OR(B82="",N(F82)&lt;=0),"",IF('FALTAS POR DECK'!$P$1="Código","K"&amp;M82&amp;RIGHT("00000"&amp;ROW(),5),IF('FALTAS POR DECK'!$P$1="Nome","K"&amp;UPPER(SUBSTITUTE(SUBSTITUTE(SUBSTITUTE(C82,"*",""),"?",""),"~",""))&amp;"0"&amp;M82&amp;RIGHT("00000"&amp;ROW(),5),IF('FALTAS POR DECK'!$P$1="Falta (maior primeiro)","K"&amp;RIGHT("0000"&amp;(9999-F82),4)&amp;M82&amp;RIGHT("00000"&amp;ROW(),5),IF('FALTAS POR DECK'!$P$1="Deck e código","K"&amp;RIGHT("00"&amp;IFERROR(MATCH(A82,_LEITURA!$P$2:$P$21,0),99),2)&amp;M82&amp;RIGHT("00000"&amp;ROW(),5),"K"&amp;RIGHT("00000"&amp;ROW(),5))))))</f>
        <v/>
      </c>
      <c r="O82" s="16" t="str">
        <f aca="false">IF(N82="","",COUNTIFS($N$2:$N$1201,"&lt;"&amp;N82,$F$2:$F$1201,"&gt;0")+1)</f>
        <v/>
      </c>
    </row>
    <row r="83" customFormat="false" ht="15" hidden="false" customHeight="false" outlineLevel="0" collapsed="false">
      <c r="A83" s="11" t="str">
        <f aca="false">IF(_LEITURA!$N83="","",INDEX(_LEITURA!$K$2:$K$1201,_LEITURA!$N83))</f>
        <v/>
      </c>
      <c r="B83" s="11" t="str">
        <f aca="false">IF(_LEITURA!$N83="","",INDEX(_LEITURA!$E$2:$E$1201,_LEITURA!$N83))</f>
        <v/>
      </c>
      <c r="C83" s="11" t="str">
        <f aca="false">IF(_LEITURA!$N83="","",INDEX(_LEITURA!$J$2:$J$1201,_LEITURA!$N83))</f>
        <v/>
      </c>
      <c r="D83" s="16" t="str">
        <f aca="false">IF(_LEITURA!$N83="","",INDEX(_LEITURA!$G$2:$G$1201,_LEITURA!$N83))</f>
        <v/>
      </c>
      <c r="E83" s="16" t="str">
        <f aca="false">IF(B83="","",SUMIFS(INVENTÁRIO!$C$2:$C$801,INVENTÁRIO!$A$2:$A$801,B83))</f>
        <v/>
      </c>
      <c r="F83" s="16" t="str">
        <f aca="false">IF(B83="","",MAX(0,D83-E83))</f>
        <v/>
      </c>
      <c r="G83" s="16" t="str">
        <f aca="false">IF(B83="","",IF(COUNTIFS($B$2:$B$1201,B83,$A$2:$A$1201,"&lt;&gt;"&amp;A83)&gt;0,"Sim",""))</f>
        <v/>
      </c>
      <c r="H83" s="16" t="str">
        <f aca="false">IF(N(F83)&gt;0,MAX(H$1:H82)+1,"")</f>
        <v/>
      </c>
      <c r="I83" s="11" t="str">
        <f aca="false">IF(B83="","",IF(INDEX($C$2:$C$1201,MATCH(B83,$B$2:$B$1201,0))&lt;&gt;C83,"Nome diferente em outro deck — revisar",""))</f>
        <v/>
      </c>
      <c r="J83" s="16" t="str">
        <f aca="false">IF(AND(B83&lt;&gt;"",A83=BULK!$A$1,N(F83)&gt;0),MAX(J$1:J82)+1,"")</f>
        <v/>
      </c>
      <c r="K83" s="11" t="str">
        <f aca="false">IF(B83="","",IFERROR(LEFT(B83,FIND("-",B83)-1),B83))</f>
        <v/>
      </c>
      <c r="L83" s="11" t="str">
        <f aca="false">IF(K83="","",IF(ISNUMBER(--MID(K83,1,1)),0,IF(ISNUMBER(--MID(K83,2,1)),1,IF(ISNUMBER(--MID(K83,3,1)),2,IF(ISNUMBER(--MID(K83,4,1)),3,MIN(LEN(K83),4))))))</f>
        <v/>
      </c>
      <c r="M83" s="11" t="str">
        <f aca="false">IF(B83="","",LEFT(K83,L83)&amp;REPT("0",4-L83)&amp;RIGHT("000"&amp;IFERROR(VALUE(MID(K83,L83+1,9)),0),3)&amp;RIGHT("0000"&amp;IFERROR(VALUE(MID(B83,FIND("-",B83)+1,9)),0),4))</f>
        <v/>
      </c>
      <c r="N83" s="11" t="str">
        <f aca="false">IF(OR(B83="",N(F83)&lt;=0),"",IF('FALTAS POR DECK'!$P$1="Código","K"&amp;M83&amp;RIGHT("00000"&amp;ROW(),5),IF('FALTAS POR DECK'!$P$1="Nome","K"&amp;UPPER(SUBSTITUTE(SUBSTITUTE(SUBSTITUTE(C83,"*",""),"?",""),"~",""))&amp;"0"&amp;M83&amp;RIGHT("00000"&amp;ROW(),5),IF('FALTAS POR DECK'!$P$1="Falta (maior primeiro)","K"&amp;RIGHT("0000"&amp;(9999-F83),4)&amp;M83&amp;RIGHT("00000"&amp;ROW(),5),IF('FALTAS POR DECK'!$P$1="Deck e código","K"&amp;RIGHT("00"&amp;IFERROR(MATCH(A83,_LEITURA!$P$2:$P$21,0),99),2)&amp;M83&amp;RIGHT("00000"&amp;ROW(),5),"K"&amp;RIGHT("00000"&amp;ROW(),5))))))</f>
        <v/>
      </c>
      <c r="O83" s="16" t="str">
        <f aca="false">IF(N83="","",COUNTIFS($N$2:$N$1201,"&lt;"&amp;N83,$F$2:$F$1201,"&gt;0")+1)</f>
        <v/>
      </c>
    </row>
    <row r="84" customFormat="false" ht="15" hidden="false" customHeight="false" outlineLevel="0" collapsed="false">
      <c r="A84" s="11" t="str">
        <f aca="false">IF(_LEITURA!$N84="","",INDEX(_LEITURA!$K$2:$K$1201,_LEITURA!$N84))</f>
        <v/>
      </c>
      <c r="B84" s="11" t="str">
        <f aca="false">IF(_LEITURA!$N84="","",INDEX(_LEITURA!$E$2:$E$1201,_LEITURA!$N84))</f>
        <v/>
      </c>
      <c r="C84" s="11" t="str">
        <f aca="false">IF(_LEITURA!$N84="","",INDEX(_LEITURA!$J$2:$J$1201,_LEITURA!$N84))</f>
        <v/>
      </c>
      <c r="D84" s="16" t="str">
        <f aca="false">IF(_LEITURA!$N84="","",INDEX(_LEITURA!$G$2:$G$1201,_LEITURA!$N84))</f>
        <v/>
      </c>
      <c r="E84" s="16" t="str">
        <f aca="false">IF(B84="","",SUMIFS(INVENTÁRIO!$C$2:$C$801,INVENTÁRIO!$A$2:$A$801,B84))</f>
        <v/>
      </c>
      <c r="F84" s="16" t="str">
        <f aca="false">IF(B84="","",MAX(0,D84-E84))</f>
        <v/>
      </c>
      <c r="G84" s="16" t="str">
        <f aca="false">IF(B84="","",IF(COUNTIFS($B$2:$B$1201,B84,$A$2:$A$1201,"&lt;&gt;"&amp;A84)&gt;0,"Sim",""))</f>
        <v/>
      </c>
      <c r="H84" s="16" t="str">
        <f aca="false">IF(N(F84)&gt;0,MAX(H$1:H83)+1,"")</f>
        <v/>
      </c>
      <c r="I84" s="11" t="str">
        <f aca="false">IF(B84="","",IF(INDEX($C$2:$C$1201,MATCH(B84,$B$2:$B$1201,0))&lt;&gt;C84,"Nome diferente em outro deck — revisar",""))</f>
        <v/>
      </c>
      <c r="J84" s="16" t="str">
        <f aca="false">IF(AND(B84&lt;&gt;"",A84=BULK!$A$1,N(F84)&gt;0),MAX(J$1:J83)+1,"")</f>
        <v/>
      </c>
      <c r="K84" s="11" t="str">
        <f aca="false">IF(B84="","",IFERROR(LEFT(B84,FIND("-",B84)-1),B84))</f>
        <v/>
      </c>
      <c r="L84" s="11" t="str">
        <f aca="false">IF(K84="","",IF(ISNUMBER(--MID(K84,1,1)),0,IF(ISNUMBER(--MID(K84,2,1)),1,IF(ISNUMBER(--MID(K84,3,1)),2,IF(ISNUMBER(--MID(K84,4,1)),3,MIN(LEN(K84),4))))))</f>
        <v/>
      </c>
      <c r="M84" s="11" t="str">
        <f aca="false">IF(B84="","",LEFT(K84,L84)&amp;REPT("0",4-L84)&amp;RIGHT("000"&amp;IFERROR(VALUE(MID(K84,L84+1,9)),0),3)&amp;RIGHT("0000"&amp;IFERROR(VALUE(MID(B84,FIND("-",B84)+1,9)),0),4))</f>
        <v/>
      </c>
      <c r="N84" s="11" t="str">
        <f aca="false">IF(OR(B84="",N(F84)&lt;=0),"",IF('FALTAS POR DECK'!$P$1="Código","K"&amp;M84&amp;RIGHT("00000"&amp;ROW(),5),IF('FALTAS POR DECK'!$P$1="Nome","K"&amp;UPPER(SUBSTITUTE(SUBSTITUTE(SUBSTITUTE(C84,"*",""),"?",""),"~",""))&amp;"0"&amp;M84&amp;RIGHT("00000"&amp;ROW(),5),IF('FALTAS POR DECK'!$P$1="Falta (maior primeiro)","K"&amp;RIGHT("0000"&amp;(9999-F84),4)&amp;M84&amp;RIGHT("00000"&amp;ROW(),5),IF('FALTAS POR DECK'!$P$1="Deck e código","K"&amp;RIGHT("00"&amp;IFERROR(MATCH(A84,_LEITURA!$P$2:$P$21,0),99),2)&amp;M84&amp;RIGHT("00000"&amp;ROW(),5),"K"&amp;RIGHT("00000"&amp;ROW(),5))))))</f>
        <v/>
      </c>
      <c r="O84" s="16" t="str">
        <f aca="false">IF(N84="","",COUNTIFS($N$2:$N$1201,"&lt;"&amp;N84,$F$2:$F$1201,"&gt;0")+1)</f>
        <v/>
      </c>
    </row>
    <row r="85" customFormat="false" ht="15" hidden="false" customHeight="false" outlineLevel="0" collapsed="false">
      <c r="A85" s="11" t="str">
        <f aca="false">IF(_LEITURA!$N85="","",INDEX(_LEITURA!$K$2:$K$1201,_LEITURA!$N85))</f>
        <v/>
      </c>
      <c r="B85" s="11" t="str">
        <f aca="false">IF(_LEITURA!$N85="","",INDEX(_LEITURA!$E$2:$E$1201,_LEITURA!$N85))</f>
        <v/>
      </c>
      <c r="C85" s="11" t="str">
        <f aca="false">IF(_LEITURA!$N85="","",INDEX(_LEITURA!$J$2:$J$1201,_LEITURA!$N85))</f>
        <v/>
      </c>
      <c r="D85" s="16" t="str">
        <f aca="false">IF(_LEITURA!$N85="","",INDEX(_LEITURA!$G$2:$G$1201,_LEITURA!$N85))</f>
        <v/>
      </c>
      <c r="E85" s="16" t="str">
        <f aca="false">IF(B85="","",SUMIFS(INVENTÁRIO!$C$2:$C$801,INVENTÁRIO!$A$2:$A$801,B85))</f>
        <v/>
      </c>
      <c r="F85" s="16" t="str">
        <f aca="false">IF(B85="","",MAX(0,D85-E85))</f>
        <v/>
      </c>
      <c r="G85" s="16" t="str">
        <f aca="false">IF(B85="","",IF(COUNTIFS($B$2:$B$1201,B85,$A$2:$A$1201,"&lt;&gt;"&amp;A85)&gt;0,"Sim",""))</f>
        <v/>
      </c>
      <c r="H85" s="16" t="str">
        <f aca="false">IF(N(F85)&gt;0,MAX(H$1:H84)+1,"")</f>
        <v/>
      </c>
      <c r="I85" s="11" t="str">
        <f aca="false">IF(B85="","",IF(INDEX($C$2:$C$1201,MATCH(B85,$B$2:$B$1201,0))&lt;&gt;C85,"Nome diferente em outro deck — revisar",""))</f>
        <v/>
      </c>
      <c r="J85" s="16" t="str">
        <f aca="false">IF(AND(B85&lt;&gt;"",A85=BULK!$A$1,N(F85)&gt;0),MAX(J$1:J84)+1,"")</f>
        <v/>
      </c>
      <c r="K85" s="11" t="str">
        <f aca="false">IF(B85="","",IFERROR(LEFT(B85,FIND("-",B85)-1),B85))</f>
        <v/>
      </c>
      <c r="L85" s="11" t="str">
        <f aca="false">IF(K85="","",IF(ISNUMBER(--MID(K85,1,1)),0,IF(ISNUMBER(--MID(K85,2,1)),1,IF(ISNUMBER(--MID(K85,3,1)),2,IF(ISNUMBER(--MID(K85,4,1)),3,MIN(LEN(K85),4))))))</f>
        <v/>
      </c>
      <c r="M85" s="11" t="str">
        <f aca="false">IF(B85="","",LEFT(K85,L85)&amp;REPT("0",4-L85)&amp;RIGHT("000"&amp;IFERROR(VALUE(MID(K85,L85+1,9)),0),3)&amp;RIGHT("0000"&amp;IFERROR(VALUE(MID(B85,FIND("-",B85)+1,9)),0),4))</f>
        <v/>
      </c>
      <c r="N85" s="11" t="str">
        <f aca="false">IF(OR(B85="",N(F85)&lt;=0),"",IF('FALTAS POR DECK'!$P$1="Código","K"&amp;M85&amp;RIGHT("00000"&amp;ROW(),5),IF('FALTAS POR DECK'!$P$1="Nome","K"&amp;UPPER(SUBSTITUTE(SUBSTITUTE(SUBSTITUTE(C85,"*",""),"?",""),"~",""))&amp;"0"&amp;M85&amp;RIGHT("00000"&amp;ROW(),5),IF('FALTAS POR DECK'!$P$1="Falta (maior primeiro)","K"&amp;RIGHT("0000"&amp;(9999-F85),4)&amp;M85&amp;RIGHT("00000"&amp;ROW(),5),IF('FALTAS POR DECK'!$P$1="Deck e código","K"&amp;RIGHT("00"&amp;IFERROR(MATCH(A85,_LEITURA!$P$2:$P$21,0),99),2)&amp;M85&amp;RIGHT("00000"&amp;ROW(),5),"K"&amp;RIGHT("00000"&amp;ROW(),5))))))</f>
        <v/>
      </c>
      <c r="O85" s="16" t="str">
        <f aca="false">IF(N85="","",COUNTIFS($N$2:$N$1201,"&lt;"&amp;N85,$F$2:$F$1201,"&gt;0")+1)</f>
        <v/>
      </c>
    </row>
    <row r="86" customFormat="false" ht="15" hidden="false" customHeight="false" outlineLevel="0" collapsed="false">
      <c r="A86" s="11" t="str">
        <f aca="false">IF(_LEITURA!$N86="","",INDEX(_LEITURA!$K$2:$K$1201,_LEITURA!$N86))</f>
        <v/>
      </c>
      <c r="B86" s="11" t="str">
        <f aca="false">IF(_LEITURA!$N86="","",INDEX(_LEITURA!$E$2:$E$1201,_LEITURA!$N86))</f>
        <v/>
      </c>
      <c r="C86" s="11" t="str">
        <f aca="false">IF(_LEITURA!$N86="","",INDEX(_LEITURA!$J$2:$J$1201,_LEITURA!$N86))</f>
        <v/>
      </c>
      <c r="D86" s="16" t="str">
        <f aca="false">IF(_LEITURA!$N86="","",INDEX(_LEITURA!$G$2:$G$1201,_LEITURA!$N86))</f>
        <v/>
      </c>
      <c r="E86" s="16" t="str">
        <f aca="false">IF(B86="","",SUMIFS(INVENTÁRIO!$C$2:$C$801,INVENTÁRIO!$A$2:$A$801,B86))</f>
        <v/>
      </c>
      <c r="F86" s="16" t="str">
        <f aca="false">IF(B86="","",MAX(0,D86-E86))</f>
        <v/>
      </c>
      <c r="G86" s="16" t="str">
        <f aca="false">IF(B86="","",IF(COUNTIFS($B$2:$B$1201,B86,$A$2:$A$1201,"&lt;&gt;"&amp;A86)&gt;0,"Sim",""))</f>
        <v/>
      </c>
      <c r="H86" s="16" t="str">
        <f aca="false">IF(N(F86)&gt;0,MAX(H$1:H85)+1,"")</f>
        <v/>
      </c>
      <c r="I86" s="11" t="str">
        <f aca="false">IF(B86="","",IF(INDEX($C$2:$C$1201,MATCH(B86,$B$2:$B$1201,0))&lt;&gt;C86,"Nome diferente em outro deck — revisar",""))</f>
        <v/>
      </c>
      <c r="J86" s="16" t="str">
        <f aca="false">IF(AND(B86&lt;&gt;"",A86=BULK!$A$1,N(F86)&gt;0),MAX(J$1:J85)+1,"")</f>
        <v/>
      </c>
      <c r="K86" s="11" t="str">
        <f aca="false">IF(B86="","",IFERROR(LEFT(B86,FIND("-",B86)-1),B86))</f>
        <v/>
      </c>
      <c r="L86" s="11" t="str">
        <f aca="false">IF(K86="","",IF(ISNUMBER(--MID(K86,1,1)),0,IF(ISNUMBER(--MID(K86,2,1)),1,IF(ISNUMBER(--MID(K86,3,1)),2,IF(ISNUMBER(--MID(K86,4,1)),3,MIN(LEN(K86),4))))))</f>
        <v/>
      </c>
      <c r="M86" s="11" t="str">
        <f aca="false">IF(B86="","",LEFT(K86,L86)&amp;REPT("0",4-L86)&amp;RIGHT("000"&amp;IFERROR(VALUE(MID(K86,L86+1,9)),0),3)&amp;RIGHT("0000"&amp;IFERROR(VALUE(MID(B86,FIND("-",B86)+1,9)),0),4))</f>
        <v/>
      </c>
      <c r="N86" s="11" t="str">
        <f aca="false">IF(OR(B86="",N(F86)&lt;=0),"",IF('FALTAS POR DECK'!$P$1="Código","K"&amp;M86&amp;RIGHT("00000"&amp;ROW(),5),IF('FALTAS POR DECK'!$P$1="Nome","K"&amp;UPPER(SUBSTITUTE(SUBSTITUTE(SUBSTITUTE(C86,"*",""),"?",""),"~",""))&amp;"0"&amp;M86&amp;RIGHT("00000"&amp;ROW(),5),IF('FALTAS POR DECK'!$P$1="Falta (maior primeiro)","K"&amp;RIGHT("0000"&amp;(9999-F86),4)&amp;M86&amp;RIGHT("00000"&amp;ROW(),5),IF('FALTAS POR DECK'!$P$1="Deck e código","K"&amp;RIGHT("00"&amp;IFERROR(MATCH(A86,_LEITURA!$P$2:$P$21,0),99),2)&amp;M86&amp;RIGHT("00000"&amp;ROW(),5),"K"&amp;RIGHT("00000"&amp;ROW(),5))))))</f>
        <v/>
      </c>
      <c r="O86" s="16" t="str">
        <f aca="false">IF(N86="","",COUNTIFS($N$2:$N$1201,"&lt;"&amp;N86,$F$2:$F$1201,"&gt;0")+1)</f>
        <v/>
      </c>
    </row>
    <row r="87" customFormat="false" ht="15" hidden="false" customHeight="false" outlineLevel="0" collapsed="false">
      <c r="A87" s="11" t="str">
        <f aca="false">IF(_LEITURA!$N87="","",INDEX(_LEITURA!$K$2:$K$1201,_LEITURA!$N87))</f>
        <v/>
      </c>
      <c r="B87" s="11" t="str">
        <f aca="false">IF(_LEITURA!$N87="","",INDEX(_LEITURA!$E$2:$E$1201,_LEITURA!$N87))</f>
        <v/>
      </c>
      <c r="C87" s="11" t="str">
        <f aca="false">IF(_LEITURA!$N87="","",INDEX(_LEITURA!$J$2:$J$1201,_LEITURA!$N87))</f>
        <v/>
      </c>
      <c r="D87" s="16" t="str">
        <f aca="false">IF(_LEITURA!$N87="","",INDEX(_LEITURA!$G$2:$G$1201,_LEITURA!$N87))</f>
        <v/>
      </c>
      <c r="E87" s="16" t="str">
        <f aca="false">IF(B87="","",SUMIFS(INVENTÁRIO!$C$2:$C$801,INVENTÁRIO!$A$2:$A$801,B87))</f>
        <v/>
      </c>
      <c r="F87" s="16" t="str">
        <f aca="false">IF(B87="","",MAX(0,D87-E87))</f>
        <v/>
      </c>
      <c r="G87" s="16" t="str">
        <f aca="false">IF(B87="","",IF(COUNTIFS($B$2:$B$1201,B87,$A$2:$A$1201,"&lt;&gt;"&amp;A87)&gt;0,"Sim",""))</f>
        <v/>
      </c>
      <c r="H87" s="16" t="str">
        <f aca="false">IF(N(F87)&gt;0,MAX(H$1:H86)+1,"")</f>
        <v/>
      </c>
      <c r="I87" s="11" t="str">
        <f aca="false">IF(B87="","",IF(INDEX($C$2:$C$1201,MATCH(B87,$B$2:$B$1201,0))&lt;&gt;C87,"Nome diferente em outro deck — revisar",""))</f>
        <v/>
      </c>
      <c r="J87" s="16" t="str">
        <f aca="false">IF(AND(B87&lt;&gt;"",A87=BULK!$A$1,N(F87)&gt;0),MAX(J$1:J86)+1,"")</f>
        <v/>
      </c>
      <c r="K87" s="11" t="str">
        <f aca="false">IF(B87="","",IFERROR(LEFT(B87,FIND("-",B87)-1),B87))</f>
        <v/>
      </c>
      <c r="L87" s="11" t="str">
        <f aca="false">IF(K87="","",IF(ISNUMBER(--MID(K87,1,1)),0,IF(ISNUMBER(--MID(K87,2,1)),1,IF(ISNUMBER(--MID(K87,3,1)),2,IF(ISNUMBER(--MID(K87,4,1)),3,MIN(LEN(K87),4))))))</f>
        <v/>
      </c>
      <c r="M87" s="11" t="str">
        <f aca="false">IF(B87="","",LEFT(K87,L87)&amp;REPT("0",4-L87)&amp;RIGHT("000"&amp;IFERROR(VALUE(MID(K87,L87+1,9)),0),3)&amp;RIGHT("0000"&amp;IFERROR(VALUE(MID(B87,FIND("-",B87)+1,9)),0),4))</f>
        <v/>
      </c>
      <c r="N87" s="11" t="str">
        <f aca="false">IF(OR(B87="",N(F87)&lt;=0),"",IF('FALTAS POR DECK'!$P$1="Código","K"&amp;M87&amp;RIGHT("00000"&amp;ROW(),5),IF('FALTAS POR DECK'!$P$1="Nome","K"&amp;UPPER(SUBSTITUTE(SUBSTITUTE(SUBSTITUTE(C87,"*",""),"?",""),"~",""))&amp;"0"&amp;M87&amp;RIGHT("00000"&amp;ROW(),5),IF('FALTAS POR DECK'!$P$1="Falta (maior primeiro)","K"&amp;RIGHT("0000"&amp;(9999-F87),4)&amp;M87&amp;RIGHT("00000"&amp;ROW(),5),IF('FALTAS POR DECK'!$P$1="Deck e código","K"&amp;RIGHT("00"&amp;IFERROR(MATCH(A87,_LEITURA!$P$2:$P$21,0),99),2)&amp;M87&amp;RIGHT("00000"&amp;ROW(),5),"K"&amp;RIGHT("00000"&amp;ROW(),5))))))</f>
        <v/>
      </c>
      <c r="O87" s="16" t="str">
        <f aca="false">IF(N87="","",COUNTIFS($N$2:$N$1201,"&lt;"&amp;N87,$F$2:$F$1201,"&gt;0")+1)</f>
        <v/>
      </c>
    </row>
    <row r="88" customFormat="false" ht="15" hidden="false" customHeight="false" outlineLevel="0" collapsed="false">
      <c r="A88" s="11" t="str">
        <f aca="false">IF(_LEITURA!$N88="","",INDEX(_LEITURA!$K$2:$K$1201,_LEITURA!$N88))</f>
        <v/>
      </c>
      <c r="B88" s="11" t="str">
        <f aca="false">IF(_LEITURA!$N88="","",INDEX(_LEITURA!$E$2:$E$1201,_LEITURA!$N88))</f>
        <v/>
      </c>
      <c r="C88" s="11" t="str">
        <f aca="false">IF(_LEITURA!$N88="","",INDEX(_LEITURA!$J$2:$J$1201,_LEITURA!$N88))</f>
        <v/>
      </c>
      <c r="D88" s="16" t="str">
        <f aca="false">IF(_LEITURA!$N88="","",INDEX(_LEITURA!$G$2:$G$1201,_LEITURA!$N88))</f>
        <v/>
      </c>
      <c r="E88" s="16" t="str">
        <f aca="false">IF(B88="","",SUMIFS(INVENTÁRIO!$C$2:$C$801,INVENTÁRIO!$A$2:$A$801,B88))</f>
        <v/>
      </c>
      <c r="F88" s="16" t="str">
        <f aca="false">IF(B88="","",MAX(0,D88-E88))</f>
        <v/>
      </c>
      <c r="G88" s="16" t="str">
        <f aca="false">IF(B88="","",IF(COUNTIFS($B$2:$B$1201,B88,$A$2:$A$1201,"&lt;&gt;"&amp;A88)&gt;0,"Sim",""))</f>
        <v/>
      </c>
      <c r="H88" s="16" t="str">
        <f aca="false">IF(N(F88)&gt;0,MAX(H$1:H87)+1,"")</f>
        <v/>
      </c>
      <c r="I88" s="11" t="str">
        <f aca="false">IF(B88="","",IF(INDEX($C$2:$C$1201,MATCH(B88,$B$2:$B$1201,0))&lt;&gt;C88,"Nome diferente em outro deck — revisar",""))</f>
        <v/>
      </c>
      <c r="J88" s="16" t="str">
        <f aca="false">IF(AND(B88&lt;&gt;"",A88=BULK!$A$1,N(F88)&gt;0),MAX(J$1:J87)+1,"")</f>
        <v/>
      </c>
      <c r="K88" s="11" t="str">
        <f aca="false">IF(B88="","",IFERROR(LEFT(B88,FIND("-",B88)-1),B88))</f>
        <v/>
      </c>
      <c r="L88" s="11" t="str">
        <f aca="false">IF(K88="","",IF(ISNUMBER(--MID(K88,1,1)),0,IF(ISNUMBER(--MID(K88,2,1)),1,IF(ISNUMBER(--MID(K88,3,1)),2,IF(ISNUMBER(--MID(K88,4,1)),3,MIN(LEN(K88),4))))))</f>
        <v/>
      </c>
      <c r="M88" s="11" t="str">
        <f aca="false">IF(B88="","",LEFT(K88,L88)&amp;REPT("0",4-L88)&amp;RIGHT("000"&amp;IFERROR(VALUE(MID(K88,L88+1,9)),0),3)&amp;RIGHT("0000"&amp;IFERROR(VALUE(MID(B88,FIND("-",B88)+1,9)),0),4))</f>
        <v/>
      </c>
      <c r="N88" s="11" t="str">
        <f aca="false">IF(OR(B88="",N(F88)&lt;=0),"",IF('FALTAS POR DECK'!$P$1="Código","K"&amp;M88&amp;RIGHT("00000"&amp;ROW(),5),IF('FALTAS POR DECK'!$P$1="Nome","K"&amp;UPPER(SUBSTITUTE(SUBSTITUTE(SUBSTITUTE(C88,"*",""),"?",""),"~",""))&amp;"0"&amp;M88&amp;RIGHT("00000"&amp;ROW(),5),IF('FALTAS POR DECK'!$P$1="Falta (maior primeiro)","K"&amp;RIGHT("0000"&amp;(9999-F88),4)&amp;M88&amp;RIGHT("00000"&amp;ROW(),5),IF('FALTAS POR DECK'!$P$1="Deck e código","K"&amp;RIGHT("00"&amp;IFERROR(MATCH(A88,_LEITURA!$P$2:$P$21,0),99),2)&amp;M88&amp;RIGHT("00000"&amp;ROW(),5),"K"&amp;RIGHT("00000"&amp;ROW(),5))))))</f>
        <v/>
      </c>
      <c r="O88" s="16" t="str">
        <f aca="false">IF(N88="","",COUNTIFS($N$2:$N$1201,"&lt;"&amp;N88,$F$2:$F$1201,"&gt;0")+1)</f>
        <v/>
      </c>
    </row>
    <row r="89" customFormat="false" ht="15" hidden="false" customHeight="false" outlineLevel="0" collapsed="false">
      <c r="A89" s="11" t="str">
        <f aca="false">IF(_LEITURA!$N89="","",INDEX(_LEITURA!$K$2:$K$1201,_LEITURA!$N89))</f>
        <v/>
      </c>
      <c r="B89" s="11" t="str">
        <f aca="false">IF(_LEITURA!$N89="","",INDEX(_LEITURA!$E$2:$E$1201,_LEITURA!$N89))</f>
        <v/>
      </c>
      <c r="C89" s="11" t="str">
        <f aca="false">IF(_LEITURA!$N89="","",INDEX(_LEITURA!$J$2:$J$1201,_LEITURA!$N89))</f>
        <v/>
      </c>
      <c r="D89" s="16" t="str">
        <f aca="false">IF(_LEITURA!$N89="","",INDEX(_LEITURA!$G$2:$G$1201,_LEITURA!$N89))</f>
        <v/>
      </c>
      <c r="E89" s="16" t="str">
        <f aca="false">IF(B89="","",SUMIFS(INVENTÁRIO!$C$2:$C$801,INVENTÁRIO!$A$2:$A$801,B89))</f>
        <v/>
      </c>
      <c r="F89" s="16" t="str">
        <f aca="false">IF(B89="","",MAX(0,D89-E89))</f>
        <v/>
      </c>
      <c r="G89" s="16" t="str">
        <f aca="false">IF(B89="","",IF(COUNTIFS($B$2:$B$1201,B89,$A$2:$A$1201,"&lt;&gt;"&amp;A89)&gt;0,"Sim",""))</f>
        <v/>
      </c>
      <c r="H89" s="16" t="str">
        <f aca="false">IF(N(F89)&gt;0,MAX(H$1:H88)+1,"")</f>
        <v/>
      </c>
      <c r="I89" s="11" t="str">
        <f aca="false">IF(B89="","",IF(INDEX($C$2:$C$1201,MATCH(B89,$B$2:$B$1201,0))&lt;&gt;C89,"Nome diferente em outro deck — revisar",""))</f>
        <v/>
      </c>
      <c r="J89" s="16" t="str">
        <f aca="false">IF(AND(B89&lt;&gt;"",A89=BULK!$A$1,N(F89)&gt;0),MAX(J$1:J88)+1,"")</f>
        <v/>
      </c>
      <c r="K89" s="11" t="str">
        <f aca="false">IF(B89="","",IFERROR(LEFT(B89,FIND("-",B89)-1),B89))</f>
        <v/>
      </c>
      <c r="L89" s="11" t="str">
        <f aca="false">IF(K89="","",IF(ISNUMBER(--MID(K89,1,1)),0,IF(ISNUMBER(--MID(K89,2,1)),1,IF(ISNUMBER(--MID(K89,3,1)),2,IF(ISNUMBER(--MID(K89,4,1)),3,MIN(LEN(K89),4))))))</f>
        <v/>
      </c>
      <c r="M89" s="11" t="str">
        <f aca="false">IF(B89="","",LEFT(K89,L89)&amp;REPT("0",4-L89)&amp;RIGHT("000"&amp;IFERROR(VALUE(MID(K89,L89+1,9)),0),3)&amp;RIGHT("0000"&amp;IFERROR(VALUE(MID(B89,FIND("-",B89)+1,9)),0),4))</f>
        <v/>
      </c>
      <c r="N89" s="11" t="str">
        <f aca="false">IF(OR(B89="",N(F89)&lt;=0),"",IF('FALTAS POR DECK'!$P$1="Código","K"&amp;M89&amp;RIGHT("00000"&amp;ROW(),5),IF('FALTAS POR DECK'!$P$1="Nome","K"&amp;UPPER(SUBSTITUTE(SUBSTITUTE(SUBSTITUTE(C89,"*",""),"?",""),"~",""))&amp;"0"&amp;M89&amp;RIGHT("00000"&amp;ROW(),5),IF('FALTAS POR DECK'!$P$1="Falta (maior primeiro)","K"&amp;RIGHT("0000"&amp;(9999-F89),4)&amp;M89&amp;RIGHT("00000"&amp;ROW(),5),IF('FALTAS POR DECK'!$P$1="Deck e código","K"&amp;RIGHT("00"&amp;IFERROR(MATCH(A89,_LEITURA!$P$2:$P$21,0),99),2)&amp;M89&amp;RIGHT("00000"&amp;ROW(),5),"K"&amp;RIGHT("00000"&amp;ROW(),5))))))</f>
        <v/>
      </c>
      <c r="O89" s="16" t="str">
        <f aca="false">IF(N89="","",COUNTIFS($N$2:$N$1201,"&lt;"&amp;N89,$F$2:$F$1201,"&gt;0")+1)</f>
        <v/>
      </c>
    </row>
    <row r="90" customFormat="false" ht="15" hidden="false" customHeight="false" outlineLevel="0" collapsed="false">
      <c r="A90" s="11" t="str">
        <f aca="false">IF(_LEITURA!$N90="","",INDEX(_LEITURA!$K$2:$K$1201,_LEITURA!$N90))</f>
        <v/>
      </c>
      <c r="B90" s="11" t="str">
        <f aca="false">IF(_LEITURA!$N90="","",INDEX(_LEITURA!$E$2:$E$1201,_LEITURA!$N90))</f>
        <v/>
      </c>
      <c r="C90" s="11" t="str">
        <f aca="false">IF(_LEITURA!$N90="","",INDEX(_LEITURA!$J$2:$J$1201,_LEITURA!$N90))</f>
        <v/>
      </c>
      <c r="D90" s="16" t="str">
        <f aca="false">IF(_LEITURA!$N90="","",INDEX(_LEITURA!$G$2:$G$1201,_LEITURA!$N90))</f>
        <v/>
      </c>
      <c r="E90" s="16" t="str">
        <f aca="false">IF(B90="","",SUMIFS(INVENTÁRIO!$C$2:$C$801,INVENTÁRIO!$A$2:$A$801,B90))</f>
        <v/>
      </c>
      <c r="F90" s="16" t="str">
        <f aca="false">IF(B90="","",MAX(0,D90-E90))</f>
        <v/>
      </c>
      <c r="G90" s="16" t="str">
        <f aca="false">IF(B90="","",IF(COUNTIFS($B$2:$B$1201,B90,$A$2:$A$1201,"&lt;&gt;"&amp;A90)&gt;0,"Sim",""))</f>
        <v/>
      </c>
      <c r="H90" s="16" t="str">
        <f aca="false">IF(N(F90)&gt;0,MAX(H$1:H89)+1,"")</f>
        <v/>
      </c>
      <c r="I90" s="11" t="str">
        <f aca="false">IF(B90="","",IF(INDEX($C$2:$C$1201,MATCH(B90,$B$2:$B$1201,0))&lt;&gt;C90,"Nome diferente em outro deck — revisar",""))</f>
        <v/>
      </c>
      <c r="J90" s="16" t="str">
        <f aca="false">IF(AND(B90&lt;&gt;"",A90=BULK!$A$1,N(F90)&gt;0),MAX(J$1:J89)+1,"")</f>
        <v/>
      </c>
      <c r="K90" s="11" t="str">
        <f aca="false">IF(B90="","",IFERROR(LEFT(B90,FIND("-",B90)-1),B90))</f>
        <v/>
      </c>
      <c r="L90" s="11" t="str">
        <f aca="false">IF(K90="","",IF(ISNUMBER(--MID(K90,1,1)),0,IF(ISNUMBER(--MID(K90,2,1)),1,IF(ISNUMBER(--MID(K90,3,1)),2,IF(ISNUMBER(--MID(K90,4,1)),3,MIN(LEN(K90),4))))))</f>
        <v/>
      </c>
      <c r="M90" s="11" t="str">
        <f aca="false">IF(B90="","",LEFT(K90,L90)&amp;REPT("0",4-L90)&amp;RIGHT("000"&amp;IFERROR(VALUE(MID(K90,L90+1,9)),0),3)&amp;RIGHT("0000"&amp;IFERROR(VALUE(MID(B90,FIND("-",B90)+1,9)),0),4))</f>
        <v/>
      </c>
      <c r="N90" s="11" t="str">
        <f aca="false">IF(OR(B90="",N(F90)&lt;=0),"",IF('FALTAS POR DECK'!$P$1="Código","K"&amp;M90&amp;RIGHT("00000"&amp;ROW(),5),IF('FALTAS POR DECK'!$P$1="Nome","K"&amp;UPPER(SUBSTITUTE(SUBSTITUTE(SUBSTITUTE(C90,"*",""),"?",""),"~",""))&amp;"0"&amp;M90&amp;RIGHT("00000"&amp;ROW(),5),IF('FALTAS POR DECK'!$P$1="Falta (maior primeiro)","K"&amp;RIGHT("0000"&amp;(9999-F90),4)&amp;M90&amp;RIGHT("00000"&amp;ROW(),5),IF('FALTAS POR DECK'!$P$1="Deck e código","K"&amp;RIGHT("00"&amp;IFERROR(MATCH(A90,_LEITURA!$P$2:$P$21,0),99),2)&amp;M90&amp;RIGHT("00000"&amp;ROW(),5),"K"&amp;RIGHT("00000"&amp;ROW(),5))))))</f>
        <v/>
      </c>
      <c r="O90" s="16" t="str">
        <f aca="false">IF(N90="","",COUNTIFS($N$2:$N$1201,"&lt;"&amp;N90,$F$2:$F$1201,"&gt;0")+1)</f>
        <v/>
      </c>
    </row>
    <row r="91" customFormat="false" ht="15" hidden="false" customHeight="false" outlineLevel="0" collapsed="false">
      <c r="A91" s="11" t="str">
        <f aca="false">IF(_LEITURA!$N91="","",INDEX(_LEITURA!$K$2:$K$1201,_LEITURA!$N91))</f>
        <v/>
      </c>
      <c r="B91" s="11" t="str">
        <f aca="false">IF(_LEITURA!$N91="","",INDEX(_LEITURA!$E$2:$E$1201,_LEITURA!$N91))</f>
        <v/>
      </c>
      <c r="C91" s="11" t="str">
        <f aca="false">IF(_LEITURA!$N91="","",INDEX(_LEITURA!$J$2:$J$1201,_LEITURA!$N91))</f>
        <v/>
      </c>
      <c r="D91" s="16" t="str">
        <f aca="false">IF(_LEITURA!$N91="","",INDEX(_LEITURA!$G$2:$G$1201,_LEITURA!$N91))</f>
        <v/>
      </c>
      <c r="E91" s="16" t="str">
        <f aca="false">IF(B91="","",SUMIFS(INVENTÁRIO!$C$2:$C$801,INVENTÁRIO!$A$2:$A$801,B91))</f>
        <v/>
      </c>
      <c r="F91" s="16" t="str">
        <f aca="false">IF(B91="","",MAX(0,D91-E91))</f>
        <v/>
      </c>
      <c r="G91" s="16" t="str">
        <f aca="false">IF(B91="","",IF(COUNTIFS($B$2:$B$1201,B91,$A$2:$A$1201,"&lt;&gt;"&amp;A91)&gt;0,"Sim",""))</f>
        <v/>
      </c>
      <c r="H91" s="16" t="str">
        <f aca="false">IF(N(F91)&gt;0,MAX(H$1:H90)+1,"")</f>
        <v/>
      </c>
      <c r="I91" s="11" t="str">
        <f aca="false">IF(B91="","",IF(INDEX($C$2:$C$1201,MATCH(B91,$B$2:$B$1201,0))&lt;&gt;C91,"Nome diferente em outro deck — revisar",""))</f>
        <v/>
      </c>
      <c r="J91" s="16" t="str">
        <f aca="false">IF(AND(B91&lt;&gt;"",A91=BULK!$A$1,N(F91)&gt;0),MAX(J$1:J90)+1,"")</f>
        <v/>
      </c>
      <c r="K91" s="11" t="str">
        <f aca="false">IF(B91="","",IFERROR(LEFT(B91,FIND("-",B91)-1),B91))</f>
        <v/>
      </c>
      <c r="L91" s="11" t="str">
        <f aca="false">IF(K91="","",IF(ISNUMBER(--MID(K91,1,1)),0,IF(ISNUMBER(--MID(K91,2,1)),1,IF(ISNUMBER(--MID(K91,3,1)),2,IF(ISNUMBER(--MID(K91,4,1)),3,MIN(LEN(K91),4))))))</f>
        <v/>
      </c>
      <c r="M91" s="11" t="str">
        <f aca="false">IF(B91="","",LEFT(K91,L91)&amp;REPT("0",4-L91)&amp;RIGHT("000"&amp;IFERROR(VALUE(MID(K91,L91+1,9)),0),3)&amp;RIGHT("0000"&amp;IFERROR(VALUE(MID(B91,FIND("-",B91)+1,9)),0),4))</f>
        <v/>
      </c>
      <c r="N91" s="11" t="str">
        <f aca="false">IF(OR(B91="",N(F91)&lt;=0),"",IF('FALTAS POR DECK'!$P$1="Código","K"&amp;M91&amp;RIGHT("00000"&amp;ROW(),5),IF('FALTAS POR DECK'!$P$1="Nome","K"&amp;UPPER(SUBSTITUTE(SUBSTITUTE(SUBSTITUTE(C91,"*",""),"?",""),"~",""))&amp;"0"&amp;M91&amp;RIGHT("00000"&amp;ROW(),5),IF('FALTAS POR DECK'!$P$1="Falta (maior primeiro)","K"&amp;RIGHT("0000"&amp;(9999-F91),4)&amp;M91&amp;RIGHT("00000"&amp;ROW(),5),IF('FALTAS POR DECK'!$P$1="Deck e código","K"&amp;RIGHT("00"&amp;IFERROR(MATCH(A91,_LEITURA!$P$2:$P$21,0),99),2)&amp;M91&amp;RIGHT("00000"&amp;ROW(),5),"K"&amp;RIGHT("00000"&amp;ROW(),5))))))</f>
        <v/>
      </c>
      <c r="O91" s="16" t="str">
        <f aca="false">IF(N91="","",COUNTIFS($N$2:$N$1201,"&lt;"&amp;N91,$F$2:$F$1201,"&gt;0")+1)</f>
        <v/>
      </c>
    </row>
    <row r="92" customFormat="false" ht="15" hidden="false" customHeight="false" outlineLevel="0" collapsed="false">
      <c r="A92" s="11" t="str">
        <f aca="false">IF(_LEITURA!$N92="","",INDEX(_LEITURA!$K$2:$K$1201,_LEITURA!$N92))</f>
        <v/>
      </c>
      <c r="B92" s="11" t="str">
        <f aca="false">IF(_LEITURA!$N92="","",INDEX(_LEITURA!$E$2:$E$1201,_LEITURA!$N92))</f>
        <v/>
      </c>
      <c r="C92" s="11" t="str">
        <f aca="false">IF(_LEITURA!$N92="","",INDEX(_LEITURA!$J$2:$J$1201,_LEITURA!$N92))</f>
        <v/>
      </c>
      <c r="D92" s="16" t="str">
        <f aca="false">IF(_LEITURA!$N92="","",INDEX(_LEITURA!$G$2:$G$1201,_LEITURA!$N92))</f>
        <v/>
      </c>
      <c r="E92" s="16" t="str">
        <f aca="false">IF(B92="","",SUMIFS(INVENTÁRIO!$C$2:$C$801,INVENTÁRIO!$A$2:$A$801,B92))</f>
        <v/>
      </c>
      <c r="F92" s="16" t="str">
        <f aca="false">IF(B92="","",MAX(0,D92-E92))</f>
        <v/>
      </c>
      <c r="G92" s="16" t="str">
        <f aca="false">IF(B92="","",IF(COUNTIFS($B$2:$B$1201,B92,$A$2:$A$1201,"&lt;&gt;"&amp;A92)&gt;0,"Sim",""))</f>
        <v/>
      </c>
      <c r="H92" s="16" t="str">
        <f aca="false">IF(N(F92)&gt;0,MAX(H$1:H91)+1,"")</f>
        <v/>
      </c>
      <c r="I92" s="11" t="str">
        <f aca="false">IF(B92="","",IF(INDEX($C$2:$C$1201,MATCH(B92,$B$2:$B$1201,0))&lt;&gt;C92,"Nome diferente em outro deck — revisar",""))</f>
        <v/>
      </c>
      <c r="J92" s="16" t="str">
        <f aca="false">IF(AND(B92&lt;&gt;"",A92=BULK!$A$1,N(F92)&gt;0),MAX(J$1:J91)+1,"")</f>
        <v/>
      </c>
      <c r="K92" s="11" t="str">
        <f aca="false">IF(B92="","",IFERROR(LEFT(B92,FIND("-",B92)-1),B92))</f>
        <v/>
      </c>
      <c r="L92" s="11" t="str">
        <f aca="false">IF(K92="","",IF(ISNUMBER(--MID(K92,1,1)),0,IF(ISNUMBER(--MID(K92,2,1)),1,IF(ISNUMBER(--MID(K92,3,1)),2,IF(ISNUMBER(--MID(K92,4,1)),3,MIN(LEN(K92),4))))))</f>
        <v/>
      </c>
      <c r="M92" s="11" t="str">
        <f aca="false">IF(B92="","",LEFT(K92,L92)&amp;REPT("0",4-L92)&amp;RIGHT("000"&amp;IFERROR(VALUE(MID(K92,L92+1,9)),0),3)&amp;RIGHT("0000"&amp;IFERROR(VALUE(MID(B92,FIND("-",B92)+1,9)),0),4))</f>
        <v/>
      </c>
      <c r="N92" s="11" t="str">
        <f aca="false">IF(OR(B92="",N(F92)&lt;=0),"",IF('FALTAS POR DECK'!$P$1="Código","K"&amp;M92&amp;RIGHT("00000"&amp;ROW(),5),IF('FALTAS POR DECK'!$P$1="Nome","K"&amp;UPPER(SUBSTITUTE(SUBSTITUTE(SUBSTITUTE(C92,"*",""),"?",""),"~",""))&amp;"0"&amp;M92&amp;RIGHT("00000"&amp;ROW(),5),IF('FALTAS POR DECK'!$P$1="Falta (maior primeiro)","K"&amp;RIGHT("0000"&amp;(9999-F92),4)&amp;M92&amp;RIGHT("00000"&amp;ROW(),5),IF('FALTAS POR DECK'!$P$1="Deck e código","K"&amp;RIGHT("00"&amp;IFERROR(MATCH(A92,_LEITURA!$P$2:$P$21,0),99),2)&amp;M92&amp;RIGHT("00000"&amp;ROW(),5),"K"&amp;RIGHT("00000"&amp;ROW(),5))))))</f>
        <v/>
      </c>
      <c r="O92" s="16" t="str">
        <f aca="false">IF(N92="","",COUNTIFS($N$2:$N$1201,"&lt;"&amp;N92,$F$2:$F$1201,"&gt;0")+1)</f>
        <v/>
      </c>
    </row>
    <row r="93" customFormat="false" ht="15" hidden="false" customHeight="false" outlineLevel="0" collapsed="false">
      <c r="A93" s="11" t="str">
        <f aca="false">IF(_LEITURA!$N93="","",INDEX(_LEITURA!$K$2:$K$1201,_LEITURA!$N93))</f>
        <v/>
      </c>
      <c r="B93" s="11" t="str">
        <f aca="false">IF(_LEITURA!$N93="","",INDEX(_LEITURA!$E$2:$E$1201,_LEITURA!$N93))</f>
        <v/>
      </c>
      <c r="C93" s="11" t="str">
        <f aca="false">IF(_LEITURA!$N93="","",INDEX(_LEITURA!$J$2:$J$1201,_LEITURA!$N93))</f>
        <v/>
      </c>
      <c r="D93" s="16" t="str">
        <f aca="false">IF(_LEITURA!$N93="","",INDEX(_LEITURA!$G$2:$G$1201,_LEITURA!$N93))</f>
        <v/>
      </c>
      <c r="E93" s="16" t="str">
        <f aca="false">IF(B93="","",SUMIFS(INVENTÁRIO!$C$2:$C$801,INVENTÁRIO!$A$2:$A$801,B93))</f>
        <v/>
      </c>
      <c r="F93" s="16" t="str">
        <f aca="false">IF(B93="","",MAX(0,D93-E93))</f>
        <v/>
      </c>
      <c r="G93" s="16" t="str">
        <f aca="false">IF(B93="","",IF(COUNTIFS($B$2:$B$1201,B93,$A$2:$A$1201,"&lt;&gt;"&amp;A93)&gt;0,"Sim",""))</f>
        <v/>
      </c>
      <c r="H93" s="16" t="str">
        <f aca="false">IF(N(F93)&gt;0,MAX(H$1:H92)+1,"")</f>
        <v/>
      </c>
      <c r="I93" s="11" t="str">
        <f aca="false">IF(B93="","",IF(INDEX($C$2:$C$1201,MATCH(B93,$B$2:$B$1201,0))&lt;&gt;C93,"Nome diferente em outro deck — revisar",""))</f>
        <v/>
      </c>
      <c r="J93" s="16" t="str">
        <f aca="false">IF(AND(B93&lt;&gt;"",A93=BULK!$A$1,N(F93)&gt;0),MAX(J$1:J92)+1,"")</f>
        <v/>
      </c>
      <c r="K93" s="11" t="str">
        <f aca="false">IF(B93="","",IFERROR(LEFT(B93,FIND("-",B93)-1),B93))</f>
        <v/>
      </c>
      <c r="L93" s="11" t="str">
        <f aca="false">IF(K93="","",IF(ISNUMBER(--MID(K93,1,1)),0,IF(ISNUMBER(--MID(K93,2,1)),1,IF(ISNUMBER(--MID(K93,3,1)),2,IF(ISNUMBER(--MID(K93,4,1)),3,MIN(LEN(K93),4))))))</f>
        <v/>
      </c>
      <c r="M93" s="11" t="str">
        <f aca="false">IF(B93="","",LEFT(K93,L93)&amp;REPT("0",4-L93)&amp;RIGHT("000"&amp;IFERROR(VALUE(MID(K93,L93+1,9)),0),3)&amp;RIGHT("0000"&amp;IFERROR(VALUE(MID(B93,FIND("-",B93)+1,9)),0),4))</f>
        <v/>
      </c>
      <c r="N93" s="11" t="str">
        <f aca="false">IF(OR(B93="",N(F93)&lt;=0),"",IF('FALTAS POR DECK'!$P$1="Código","K"&amp;M93&amp;RIGHT("00000"&amp;ROW(),5),IF('FALTAS POR DECK'!$P$1="Nome","K"&amp;UPPER(SUBSTITUTE(SUBSTITUTE(SUBSTITUTE(C93,"*",""),"?",""),"~",""))&amp;"0"&amp;M93&amp;RIGHT("00000"&amp;ROW(),5),IF('FALTAS POR DECK'!$P$1="Falta (maior primeiro)","K"&amp;RIGHT("0000"&amp;(9999-F93),4)&amp;M93&amp;RIGHT("00000"&amp;ROW(),5),IF('FALTAS POR DECK'!$P$1="Deck e código","K"&amp;RIGHT("00"&amp;IFERROR(MATCH(A93,_LEITURA!$P$2:$P$21,0),99),2)&amp;M93&amp;RIGHT("00000"&amp;ROW(),5),"K"&amp;RIGHT("00000"&amp;ROW(),5))))))</f>
        <v/>
      </c>
      <c r="O93" s="16" t="str">
        <f aca="false">IF(N93="","",COUNTIFS($N$2:$N$1201,"&lt;"&amp;N93,$F$2:$F$1201,"&gt;0")+1)</f>
        <v/>
      </c>
    </row>
    <row r="94" customFormat="false" ht="15" hidden="false" customHeight="false" outlineLevel="0" collapsed="false">
      <c r="A94" s="11" t="str">
        <f aca="false">IF(_LEITURA!$N94="","",INDEX(_LEITURA!$K$2:$K$1201,_LEITURA!$N94))</f>
        <v/>
      </c>
      <c r="B94" s="11" t="str">
        <f aca="false">IF(_LEITURA!$N94="","",INDEX(_LEITURA!$E$2:$E$1201,_LEITURA!$N94))</f>
        <v/>
      </c>
      <c r="C94" s="11" t="str">
        <f aca="false">IF(_LEITURA!$N94="","",INDEX(_LEITURA!$J$2:$J$1201,_LEITURA!$N94))</f>
        <v/>
      </c>
      <c r="D94" s="16" t="str">
        <f aca="false">IF(_LEITURA!$N94="","",INDEX(_LEITURA!$G$2:$G$1201,_LEITURA!$N94))</f>
        <v/>
      </c>
      <c r="E94" s="16" t="str">
        <f aca="false">IF(B94="","",SUMIFS(INVENTÁRIO!$C$2:$C$801,INVENTÁRIO!$A$2:$A$801,B94))</f>
        <v/>
      </c>
      <c r="F94" s="16" t="str">
        <f aca="false">IF(B94="","",MAX(0,D94-E94))</f>
        <v/>
      </c>
      <c r="G94" s="16" t="str">
        <f aca="false">IF(B94="","",IF(COUNTIFS($B$2:$B$1201,B94,$A$2:$A$1201,"&lt;&gt;"&amp;A94)&gt;0,"Sim",""))</f>
        <v/>
      </c>
      <c r="H94" s="16" t="str">
        <f aca="false">IF(N(F94)&gt;0,MAX(H$1:H93)+1,"")</f>
        <v/>
      </c>
      <c r="I94" s="11" t="str">
        <f aca="false">IF(B94="","",IF(INDEX($C$2:$C$1201,MATCH(B94,$B$2:$B$1201,0))&lt;&gt;C94,"Nome diferente em outro deck — revisar",""))</f>
        <v/>
      </c>
      <c r="J94" s="16" t="str">
        <f aca="false">IF(AND(B94&lt;&gt;"",A94=BULK!$A$1,N(F94)&gt;0),MAX(J$1:J93)+1,"")</f>
        <v/>
      </c>
      <c r="K94" s="11" t="str">
        <f aca="false">IF(B94="","",IFERROR(LEFT(B94,FIND("-",B94)-1),B94))</f>
        <v/>
      </c>
      <c r="L94" s="11" t="str">
        <f aca="false">IF(K94="","",IF(ISNUMBER(--MID(K94,1,1)),0,IF(ISNUMBER(--MID(K94,2,1)),1,IF(ISNUMBER(--MID(K94,3,1)),2,IF(ISNUMBER(--MID(K94,4,1)),3,MIN(LEN(K94),4))))))</f>
        <v/>
      </c>
      <c r="M94" s="11" t="str">
        <f aca="false">IF(B94="","",LEFT(K94,L94)&amp;REPT("0",4-L94)&amp;RIGHT("000"&amp;IFERROR(VALUE(MID(K94,L94+1,9)),0),3)&amp;RIGHT("0000"&amp;IFERROR(VALUE(MID(B94,FIND("-",B94)+1,9)),0),4))</f>
        <v/>
      </c>
      <c r="N94" s="11" t="str">
        <f aca="false">IF(OR(B94="",N(F94)&lt;=0),"",IF('FALTAS POR DECK'!$P$1="Código","K"&amp;M94&amp;RIGHT("00000"&amp;ROW(),5),IF('FALTAS POR DECK'!$P$1="Nome","K"&amp;UPPER(SUBSTITUTE(SUBSTITUTE(SUBSTITUTE(C94,"*",""),"?",""),"~",""))&amp;"0"&amp;M94&amp;RIGHT("00000"&amp;ROW(),5),IF('FALTAS POR DECK'!$P$1="Falta (maior primeiro)","K"&amp;RIGHT("0000"&amp;(9999-F94),4)&amp;M94&amp;RIGHT("00000"&amp;ROW(),5),IF('FALTAS POR DECK'!$P$1="Deck e código","K"&amp;RIGHT("00"&amp;IFERROR(MATCH(A94,_LEITURA!$P$2:$P$21,0),99),2)&amp;M94&amp;RIGHT("00000"&amp;ROW(),5),"K"&amp;RIGHT("00000"&amp;ROW(),5))))))</f>
        <v/>
      </c>
      <c r="O94" s="16" t="str">
        <f aca="false">IF(N94="","",COUNTIFS($N$2:$N$1201,"&lt;"&amp;N94,$F$2:$F$1201,"&gt;0")+1)</f>
        <v/>
      </c>
    </row>
    <row r="95" customFormat="false" ht="15" hidden="false" customHeight="false" outlineLevel="0" collapsed="false">
      <c r="A95" s="11" t="str">
        <f aca="false">IF(_LEITURA!$N95="","",INDEX(_LEITURA!$K$2:$K$1201,_LEITURA!$N95))</f>
        <v/>
      </c>
      <c r="B95" s="11" t="str">
        <f aca="false">IF(_LEITURA!$N95="","",INDEX(_LEITURA!$E$2:$E$1201,_LEITURA!$N95))</f>
        <v/>
      </c>
      <c r="C95" s="11" t="str">
        <f aca="false">IF(_LEITURA!$N95="","",INDEX(_LEITURA!$J$2:$J$1201,_LEITURA!$N95))</f>
        <v/>
      </c>
      <c r="D95" s="16" t="str">
        <f aca="false">IF(_LEITURA!$N95="","",INDEX(_LEITURA!$G$2:$G$1201,_LEITURA!$N95))</f>
        <v/>
      </c>
      <c r="E95" s="16" t="str">
        <f aca="false">IF(B95="","",SUMIFS(INVENTÁRIO!$C$2:$C$801,INVENTÁRIO!$A$2:$A$801,B95))</f>
        <v/>
      </c>
      <c r="F95" s="16" t="str">
        <f aca="false">IF(B95="","",MAX(0,D95-E95))</f>
        <v/>
      </c>
      <c r="G95" s="16" t="str">
        <f aca="false">IF(B95="","",IF(COUNTIFS($B$2:$B$1201,B95,$A$2:$A$1201,"&lt;&gt;"&amp;A95)&gt;0,"Sim",""))</f>
        <v/>
      </c>
      <c r="H95" s="16" t="str">
        <f aca="false">IF(N(F95)&gt;0,MAX(H$1:H94)+1,"")</f>
        <v/>
      </c>
      <c r="I95" s="11" t="str">
        <f aca="false">IF(B95="","",IF(INDEX($C$2:$C$1201,MATCH(B95,$B$2:$B$1201,0))&lt;&gt;C95,"Nome diferente em outro deck — revisar",""))</f>
        <v/>
      </c>
      <c r="J95" s="16" t="str">
        <f aca="false">IF(AND(B95&lt;&gt;"",A95=BULK!$A$1,N(F95)&gt;0),MAX(J$1:J94)+1,"")</f>
        <v/>
      </c>
      <c r="K95" s="11" t="str">
        <f aca="false">IF(B95="","",IFERROR(LEFT(B95,FIND("-",B95)-1),B95))</f>
        <v/>
      </c>
      <c r="L95" s="11" t="str">
        <f aca="false">IF(K95="","",IF(ISNUMBER(--MID(K95,1,1)),0,IF(ISNUMBER(--MID(K95,2,1)),1,IF(ISNUMBER(--MID(K95,3,1)),2,IF(ISNUMBER(--MID(K95,4,1)),3,MIN(LEN(K95),4))))))</f>
        <v/>
      </c>
      <c r="M95" s="11" t="str">
        <f aca="false">IF(B95="","",LEFT(K95,L95)&amp;REPT("0",4-L95)&amp;RIGHT("000"&amp;IFERROR(VALUE(MID(K95,L95+1,9)),0),3)&amp;RIGHT("0000"&amp;IFERROR(VALUE(MID(B95,FIND("-",B95)+1,9)),0),4))</f>
        <v/>
      </c>
      <c r="N95" s="11" t="str">
        <f aca="false">IF(OR(B95="",N(F95)&lt;=0),"",IF('FALTAS POR DECK'!$P$1="Código","K"&amp;M95&amp;RIGHT("00000"&amp;ROW(),5),IF('FALTAS POR DECK'!$P$1="Nome","K"&amp;UPPER(SUBSTITUTE(SUBSTITUTE(SUBSTITUTE(C95,"*",""),"?",""),"~",""))&amp;"0"&amp;M95&amp;RIGHT("00000"&amp;ROW(),5),IF('FALTAS POR DECK'!$P$1="Falta (maior primeiro)","K"&amp;RIGHT("0000"&amp;(9999-F95),4)&amp;M95&amp;RIGHT("00000"&amp;ROW(),5),IF('FALTAS POR DECK'!$P$1="Deck e código","K"&amp;RIGHT("00"&amp;IFERROR(MATCH(A95,_LEITURA!$P$2:$P$21,0),99),2)&amp;M95&amp;RIGHT("00000"&amp;ROW(),5),"K"&amp;RIGHT("00000"&amp;ROW(),5))))))</f>
        <v/>
      </c>
      <c r="O95" s="16" t="str">
        <f aca="false">IF(N95="","",COUNTIFS($N$2:$N$1201,"&lt;"&amp;N95,$F$2:$F$1201,"&gt;0")+1)</f>
        <v/>
      </c>
    </row>
    <row r="96" customFormat="false" ht="15" hidden="false" customHeight="false" outlineLevel="0" collapsed="false">
      <c r="A96" s="11" t="str">
        <f aca="false">IF(_LEITURA!$N96="","",INDEX(_LEITURA!$K$2:$K$1201,_LEITURA!$N96))</f>
        <v/>
      </c>
      <c r="B96" s="11" t="str">
        <f aca="false">IF(_LEITURA!$N96="","",INDEX(_LEITURA!$E$2:$E$1201,_LEITURA!$N96))</f>
        <v/>
      </c>
      <c r="C96" s="11" t="str">
        <f aca="false">IF(_LEITURA!$N96="","",INDEX(_LEITURA!$J$2:$J$1201,_LEITURA!$N96))</f>
        <v/>
      </c>
      <c r="D96" s="16" t="str">
        <f aca="false">IF(_LEITURA!$N96="","",INDEX(_LEITURA!$G$2:$G$1201,_LEITURA!$N96))</f>
        <v/>
      </c>
      <c r="E96" s="16" t="str">
        <f aca="false">IF(B96="","",SUMIFS(INVENTÁRIO!$C$2:$C$801,INVENTÁRIO!$A$2:$A$801,B96))</f>
        <v/>
      </c>
      <c r="F96" s="16" t="str">
        <f aca="false">IF(B96="","",MAX(0,D96-E96))</f>
        <v/>
      </c>
      <c r="G96" s="16" t="str">
        <f aca="false">IF(B96="","",IF(COUNTIFS($B$2:$B$1201,B96,$A$2:$A$1201,"&lt;&gt;"&amp;A96)&gt;0,"Sim",""))</f>
        <v/>
      </c>
      <c r="H96" s="16" t="str">
        <f aca="false">IF(N(F96)&gt;0,MAX(H$1:H95)+1,"")</f>
        <v/>
      </c>
      <c r="I96" s="11" t="str">
        <f aca="false">IF(B96="","",IF(INDEX($C$2:$C$1201,MATCH(B96,$B$2:$B$1201,0))&lt;&gt;C96,"Nome diferente em outro deck — revisar",""))</f>
        <v/>
      </c>
      <c r="J96" s="16" t="str">
        <f aca="false">IF(AND(B96&lt;&gt;"",A96=BULK!$A$1,N(F96)&gt;0),MAX(J$1:J95)+1,"")</f>
        <v/>
      </c>
      <c r="K96" s="11" t="str">
        <f aca="false">IF(B96="","",IFERROR(LEFT(B96,FIND("-",B96)-1),B96))</f>
        <v/>
      </c>
      <c r="L96" s="11" t="str">
        <f aca="false">IF(K96="","",IF(ISNUMBER(--MID(K96,1,1)),0,IF(ISNUMBER(--MID(K96,2,1)),1,IF(ISNUMBER(--MID(K96,3,1)),2,IF(ISNUMBER(--MID(K96,4,1)),3,MIN(LEN(K96),4))))))</f>
        <v/>
      </c>
      <c r="M96" s="11" t="str">
        <f aca="false">IF(B96="","",LEFT(K96,L96)&amp;REPT("0",4-L96)&amp;RIGHT("000"&amp;IFERROR(VALUE(MID(K96,L96+1,9)),0),3)&amp;RIGHT("0000"&amp;IFERROR(VALUE(MID(B96,FIND("-",B96)+1,9)),0),4))</f>
        <v/>
      </c>
      <c r="N96" s="11" t="str">
        <f aca="false">IF(OR(B96="",N(F96)&lt;=0),"",IF('FALTAS POR DECK'!$P$1="Código","K"&amp;M96&amp;RIGHT("00000"&amp;ROW(),5),IF('FALTAS POR DECK'!$P$1="Nome","K"&amp;UPPER(SUBSTITUTE(SUBSTITUTE(SUBSTITUTE(C96,"*",""),"?",""),"~",""))&amp;"0"&amp;M96&amp;RIGHT("00000"&amp;ROW(),5),IF('FALTAS POR DECK'!$P$1="Falta (maior primeiro)","K"&amp;RIGHT("0000"&amp;(9999-F96),4)&amp;M96&amp;RIGHT("00000"&amp;ROW(),5),IF('FALTAS POR DECK'!$P$1="Deck e código","K"&amp;RIGHT("00"&amp;IFERROR(MATCH(A96,_LEITURA!$P$2:$P$21,0),99),2)&amp;M96&amp;RIGHT("00000"&amp;ROW(),5),"K"&amp;RIGHT("00000"&amp;ROW(),5))))))</f>
        <v/>
      </c>
      <c r="O96" s="16" t="str">
        <f aca="false">IF(N96="","",COUNTIFS($N$2:$N$1201,"&lt;"&amp;N96,$F$2:$F$1201,"&gt;0")+1)</f>
        <v/>
      </c>
    </row>
    <row r="97" customFormat="false" ht="15" hidden="false" customHeight="false" outlineLevel="0" collapsed="false">
      <c r="A97" s="11" t="str">
        <f aca="false">IF(_LEITURA!$N97="","",INDEX(_LEITURA!$K$2:$K$1201,_LEITURA!$N97))</f>
        <v/>
      </c>
      <c r="B97" s="11" t="str">
        <f aca="false">IF(_LEITURA!$N97="","",INDEX(_LEITURA!$E$2:$E$1201,_LEITURA!$N97))</f>
        <v/>
      </c>
      <c r="C97" s="11" t="str">
        <f aca="false">IF(_LEITURA!$N97="","",INDEX(_LEITURA!$J$2:$J$1201,_LEITURA!$N97))</f>
        <v/>
      </c>
      <c r="D97" s="16" t="str">
        <f aca="false">IF(_LEITURA!$N97="","",INDEX(_LEITURA!$G$2:$G$1201,_LEITURA!$N97))</f>
        <v/>
      </c>
      <c r="E97" s="16" t="str">
        <f aca="false">IF(B97="","",SUMIFS(INVENTÁRIO!$C$2:$C$801,INVENTÁRIO!$A$2:$A$801,B97))</f>
        <v/>
      </c>
      <c r="F97" s="16" t="str">
        <f aca="false">IF(B97="","",MAX(0,D97-E97))</f>
        <v/>
      </c>
      <c r="G97" s="16" t="str">
        <f aca="false">IF(B97="","",IF(COUNTIFS($B$2:$B$1201,B97,$A$2:$A$1201,"&lt;&gt;"&amp;A97)&gt;0,"Sim",""))</f>
        <v/>
      </c>
      <c r="H97" s="16" t="str">
        <f aca="false">IF(N(F97)&gt;0,MAX(H$1:H96)+1,"")</f>
        <v/>
      </c>
      <c r="I97" s="11" t="str">
        <f aca="false">IF(B97="","",IF(INDEX($C$2:$C$1201,MATCH(B97,$B$2:$B$1201,0))&lt;&gt;C97,"Nome diferente em outro deck — revisar",""))</f>
        <v/>
      </c>
      <c r="J97" s="16" t="str">
        <f aca="false">IF(AND(B97&lt;&gt;"",A97=BULK!$A$1,N(F97)&gt;0),MAX(J$1:J96)+1,"")</f>
        <v/>
      </c>
      <c r="K97" s="11" t="str">
        <f aca="false">IF(B97="","",IFERROR(LEFT(B97,FIND("-",B97)-1),B97))</f>
        <v/>
      </c>
      <c r="L97" s="11" t="str">
        <f aca="false">IF(K97="","",IF(ISNUMBER(--MID(K97,1,1)),0,IF(ISNUMBER(--MID(K97,2,1)),1,IF(ISNUMBER(--MID(K97,3,1)),2,IF(ISNUMBER(--MID(K97,4,1)),3,MIN(LEN(K97),4))))))</f>
        <v/>
      </c>
      <c r="M97" s="11" t="str">
        <f aca="false">IF(B97="","",LEFT(K97,L97)&amp;REPT("0",4-L97)&amp;RIGHT("000"&amp;IFERROR(VALUE(MID(K97,L97+1,9)),0),3)&amp;RIGHT("0000"&amp;IFERROR(VALUE(MID(B97,FIND("-",B97)+1,9)),0),4))</f>
        <v/>
      </c>
      <c r="N97" s="11" t="str">
        <f aca="false">IF(OR(B97="",N(F97)&lt;=0),"",IF('FALTAS POR DECK'!$P$1="Código","K"&amp;M97&amp;RIGHT("00000"&amp;ROW(),5),IF('FALTAS POR DECK'!$P$1="Nome","K"&amp;UPPER(SUBSTITUTE(SUBSTITUTE(SUBSTITUTE(C97,"*",""),"?",""),"~",""))&amp;"0"&amp;M97&amp;RIGHT("00000"&amp;ROW(),5),IF('FALTAS POR DECK'!$P$1="Falta (maior primeiro)","K"&amp;RIGHT("0000"&amp;(9999-F97),4)&amp;M97&amp;RIGHT("00000"&amp;ROW(),5),IF('FALTAS POR DECK'!$P$1="Deck e código","K"&amp;RIGHT("00"&amp;IFERROR(MATCH(A97,_LEITURA!$P$2:$P$21,0),99),2)&amp;M97&amp;RIGHT("00000"&amp;ROW(),5),"K"&amp;RIGHT("00000"&amp;ROW(),5))))))</f>
        <v/>
      </c>
      <c r="O97" s="16" t="str">
        <f aca="false">IF(N97="","",COUNTIFS($N$2:$N$1201,"&lt;"&amp;N97,$F$2:$F$1201,"&gt;0")+1)</f>
        <v/>
      </c>
    </row>
    <row r="98" customFormat="false" ht="15" hidden="false" customHeight="false" outlineLevel="0" collapsed="false">
      <c r="A98" s="11" t="str">
        <f aca="false">IF(_LEITURA!$N98="","",INDEX(_LEITURA!$K$2:$K$1201,_LEITURA!$N98))</f>
        <v/>
      </c>
      <c r="B98" s="11" t="str">
        <f aca="false">IF(_LEITURA!$N98="","",INDEX(_LEITURA!$E$2:$E$1201,_LEITURA!$N98))</f>
        <v/>
      </c>
      <c r="C98" s="11" t="str">
        <f aca="false">IF(_LEITURA!$N98="","",INDEX(_LEITURA!$J$2:$J$1201,_LEITURA!$N98))</f>
        <v/>
      </c>
      <c r="D98" s="16" t="str">
        <f aca="false">IF(_LEITURA!$N98="","",INDEX(_LEITURA!$G$2:$G$1201,_LEITURA!$N98))</f>
        <v/>
      </c>
      <c r="E98" s="16" t="str">
        <f aca="false">IF(B98="","",SUMIFS(INVENTÁRIO!$C$2:$C$801,INVENTÁRIO!$A$2:$A$801,B98))</f>
        <v/>
      </c>
      <c r="F98" s="16" t="str">
        <f aca="false">IF(B98="","",MAX(0,D98-E98))</f>
        <v/>
      </c>
      <c r="G98" s="16" t="str">
        <f aca="false">IF(B98="","",IF(COUNTIFS($B$2:$B$1201,B98,$A$2:$A$1201,"&lt;&gt;"&amp;A98)&gt;0,"Sim",""))</f>
        <v/>
      </c>
      <c r="H98" s="16" t="str">
        <f aca="false">IF(N(F98)&gt;0,MAX(H$1:H97)+1,"")</f>
        <v/>
      </c>
      <c r="I98" s="11" t="str">
        <f aca="false">IF(B98="","",IF(INDEX($C$2:$C$1201,MATCH(B98,$B$2:$B$1201,0))&lt;&gt;C98,"Nome diferente em outro deck — revisar",""))</f>
        <v/>
      </c>
      <c r="J98" s="16" t="str">
        <f aca="false">IF(AND(B98&lt;&gt;"",A98=BULK!$A$1,N(F98)&gt;0),MAX(J$1:J97)+1,"")</f>
        <v/>
      </c>
      <c r="K98" s="11" t="str">
        <f aca="false">IF(B98="","",IFERROR(LEFT(B98,FIND("-",B98)-1),B98))</f>
        <v/>
      </c>
      <c r="L98" s="11" t="str">
        <f aca="false">IF(K98="","",IF(ISNUMBER(--MID(K98,1,1)),0,IF(ISNUMBER(--MID(K98,2,1)),1,IF(ISNUMBER(--MID(K98,3,1)),2,IF(ISNUMBER(--MID(K98,4,1)),3,MIN(LEN(K98),4))))))</f>
        <v/>
      </c>
      <c r="M98" s="11" t="str">
        <f aca="false">IF(B98="","",LEFT(K98,L98)&amp;REPT("0",4-L98)&amp;RIGHT("000"&amp;IFERROR(VALUE(MID(K98,L98+1,9)),0),3)&amp;RIGHT("0000"&amp;IFERROR(VALUE(MID(B98,FIND("-",B98)+1,9)),0),4))</f>
        <v/>
      </c>
      <c r="N98" s="11" t="str">
        <f aca="false">IF(OR(B98="",N(F98)&lt;=0),"",IF('FALTAS POR DECK'!$P$1="Código","K"&amp;M98&amp;RIGHT("00000"&amp;ROW(),5),IF('FALTAS POR DECK'!$P$1="Nome","K"&amp;UPPER(SUBSTITUTE(SUBSTITUTE(SUBSTITUTE(C98,"*",""),"?",""),"~",""))&amp;"0"&amp;M98&amp;RIGHT("00000"&amp;ROW(),5),IF('FALTAS POR DECK'!$P$1="Falta (maior primeiro)","K"&amp;RIGHT("0000"&amp;(9999-F98),4)&amp;M98&amp;RIGHT("00000"&amp;ROW(),5),IF('FALTAS POR DECK'!$P$1="Deck e código","K"&amp;RIGHT("00"&amp;IFERROR(MATCH(A98,_LEITURA!$P$2:$P$21,0),99),2)&amp;M98&amp;RIGHT("00000"&amp;ROW(),5),"K"&amp;RIGHT("00000"&amp;ROW(),5))))))</f>
        <v/>
      </c>
      <c r="O98" s="16" t="str">
        <f aca="false">IF(N98="","",COUNTIFS($N$2:$N$1201,"&lt;"&amp;N98,$F$2:$F$1201,"&gt;0")+1)</f>
        <v/>
      </c>
    </row>
    <row r="99" customFormat="false" ht="15" hidden="false" customHeight="false" outlineLevel="0" collapsed="false">
      <c r="A99" s="11" t="str">
        <f aca="false">IF(_LEITURA!$N99="","",INDEX(_LEITURA!$K$2:$K$1201,_LEITURA!$N99))</f>
        <v/>
      </c>
      <c r="B99" s="11" t="str">
        <f aca="false">IF(_LEITURA!$N99="","",INDEX(_LEITURA!$E$2:$E$1201,_LEITURA!$N99))</f>
        <v/>
      </c>
      <c r="C99" s="11" t="str">
        <f aca="false">IF(_LEITURA!$N99="","",INDEX(_LEITURA!$J$2:$J$1201,_LEITURA!$N99))</f>
        <v/>
      </c>
      <c r="D99" s="16" t="str">
        <f aca="false">IF(_LEITURA!$N99="","",INDEX(_LEITURA!$G$2:$G$1201,_LEITURA!$N99))</f>
        <v/>
      </c>
      <c r="E99" s="16" t="str">
        <f aca="false">IF(B99="","",SUMIFS(INVENTÁRIO!$C$2:$C$801,INVENTÁRIO!$A$2:$A$801,B99))</f>
        <v/>
      </c>
      <c r="F99" s="16" t="str">
        <f aca="false">IF(B99="","",MAX(0,D99-E99))</f>
        <v/>
      </c>
      <c r="G99" s="16" t="str">
        <f aca="false">IF(B99="","",IF(COUNTIFS($B$2:$B$1201,B99,$A$2:$A$1201,"&lt;&gt;"&amp;A99)&gt;0,"Sim",""))</f>
        <v/>
      </c>
      <c r="H99" s="16" t="str">
        <f aca="false">IF(N(F99)&gt;0,MAX(H$1:H98)+1,"")</f>
        <v/>
      </c>
      <c r="I99" s="11" t="str">
        <f aca="false">IF(B99="","",IF(INDEX($C$2:$C$1201,MATCH(B99,$B$2:$B$1201,0))&lt;&gt;C99,"Nome diferente em outro deck — revisar",""))</f>
        <v/>
      </c>
      <c r="J99" s="16" t="str">
        <f aca="false">IF(AND(B99&lt;&gt;"",A99=BULK!$A$1,N(F99)&gt;0),MAX(J$1:J98)+1,"")</f>
        <v/>
      </c>
      <c r="K99" s="11" t="str">
        <f aca="false">IF(B99="","",IFERROR(LEFT(B99,FIND("-",B99)-1),B99))</f>
        <v/>
      </c>
      <c r="L99" s="11" t="str">
        <f aca="false">IF(K99="","",IF(ISNUMBER(--MID(K99,1,1)),0,IF(ISNUMBER(--MID(K99,2,1)),1,IF(ISNUMBER(--MID(K99,3,1)),2,IF(ISNUMBER(--MID(K99,4,1)),3,MIN(LEN(K99),4))))))</f>
        <v/>
      </c>
      <c r="M99" s="11" t="str">
        <f aca="false">IF(B99="","",LEFT(K99,L99)&amp;REPT("0",4-L99)&amp;RIGHT("000"&amp;IFERROR(VALUE(MID(K99,L99+1,9)),0),3)&amp;RIGHT("0000"&amp;IFERROR(VALUE(MID(B99,FIND("-",B99)+1,9)),0),4))</f>
        <v/>
      </c>
      <c r="N99" s="11" t="str">
        <f aca="false">IF(OR(B99="",N(F99)&lt;=0),"",IF('FALTAS POR DECK'!$P$1="Código","K"&amp;M99&amp;RIGHT("00000"&amp;ROW(),5),IF('FALTAS POR DECK'!$P$1="Nome","K"&amp;UPPER(SUBSTITUTE(SUBSTITUTE(SUBSTITUTE(C99,"*",""),"?",""),"~",""))&amp;"0"&amp;M99&amp;RIGHT("00000"&amp;ROW(),5),IF('FALTAS POR DECK'!$P$1="Falta (maior primeiro)","K"&amp;RIGHT("0000"&amp;(9999-F99),4)&amp;M99&amp;RIGHT("00000"&amp;ROW(),5),IF('FALTAS POR DECK'!$P$1="Deck e código","K"&amp;RIGHT("00"&amp;IFERROR(MATCH(A99,_LEITURA!$P$2:$P$21,0),99),2)&amp;M99&amp;RIGHT("00000"&amp;ROW(),5),"K"&amp;RIGHT("00000"&amp;ROW(),5))))))</f>
        <v/>
      </c>
      <c r="O99" s="16" t="str">
        <f aca="false">IF(N99="","",COUNTIFS($N$2:$N$1201,"&lt;"&amp;N99,$F$2:$F$1201,"&gt;0")+1)</f>
        <v/>
      </c>
    </row>
    <row r="100" customFormat="false" ht="15" hidden="false" customHeight="false" outlineLevel="0" collapsed="false">
      <c r="A100" s="11" t="str">
        <f aca="false">IF(_LEITURA!$N100="","",INDEX(_LEITURA!$K$2:$K$1201,_LEITURA!$N100))</f>
        <v/>
      </c>
      <c r="B100" s="11" t="str">
        <f aca="false">IF(_LEITURA!$N100="","",INDEX(_LEITURA!$E$2:$E$1201,_LEITURA!$N100))</f>
        <v/>
      </c>
      <c r="C100" s="11" t="str">
        <f aca="false">IF(_LEITURA!$N100="","",INDEX(_LEITURA!$J$2:$J$1201,_LEITURA!$N100))</f>
        <v/>
      </c>
      <c r="D100" s="16" t="str">
        <f aca="false">IF(_LEITURA!$N100="","",INDEX(_LEITURA!$G$2:$G$1201,_LEITURA!$N100))</f>
        <v/>
      </c>
      <c r="E100" s="16" t="str">
        <f aca="false">IF(B100="","",SUMIFS(INVENTÁRIO!$C$2:$C$801,INVENTÁRIO!$A$2:$A$801,B100))</f>
        <v/>
      </c>
      <c r="F100" s="16" t="str">
        <f aca="false">IF(B100="","",MAX(0,D100-E100))</f>
        <v/>
      </c>
      <c r="G100" s="16" t="str">
        <f aca="false">IF(B100="","",IF(COUNTIFS($B$2:$B$1201,B100,$A$2:$A$1201,"&lt;&gt;"&amp;A100)&gt;0,"Sim",""))</f>
        <v/>
      </c>
      <c r="H100" s="16" t="str">
        <f aca="false">IF(N(F100)&gt;0,MAX(H$1:H99)+1,"")</f>
        <v/>
      </c>
      <c r="I100" s="11" t="str">
        <f aca="false">IF(B100="","",IF(INDEX($C$2:$C$1201,MATCH(B100,$B$2:$B$1201,0))&lt;&gt;C100,"Nome diferente em outro deck — revisar",""))</f>
        <v/>
      </c>
      <c r="J100" s="16" t="str">
        <f aca="false">IF(AND(B100&lt;&gt;"",A100=BULK!$A$1,N(F100)&gt;0),MAX(J$1:J99)+1,"")</f>
        <v/>
      </c>
      <c r="K100" s="11" t="str">
        <f aca="false">IF(B100="","",IFERROR(LEFT(B100,FIND("-",B100)-1),B100))</f>
        <v/>
      </c>
      <c r="L100" s="11" t="str">
        <f aca="false">IF(K100="","",IF(ISNUMBER(--MID(K100,1,1)),0,IF(ISNUMBER(--MID(K100,2,1)),1,IF(ISNUMBER(--MID(K100,3,1)),2,IF(ISNUMBER(--MID(K100,4,1)),3,MIN(LEN(K100),4))))))</f>
        <v/>
      </c>
      <c r="M100" s="11" t="str">
        <f aca="false">IF(B100="","",LEFT(K100,L100)&amp;REPT("0",4-L100)&amp;RIGHT("000"&amp;IFERROR(VALUE(MID(K100,L100+1,9)),0),3)&amp;RIGHT("0000"&amp;IFERROR(VALUE(MID(B100,FIND("-",B100)+1,9)),0),4))</f>
        <v/>
      </c>
      <c r="N100" s="11" t="str">
        <f aca="false">IF(OR(B100="",N(F100)&lt;=0),"",IF('FALTAS POR DECK'!$P$1="Código","K"&amp;M100&amp;RIGHT("00000"&amp;ROW(),5),IF('FALTAS POR DECK'!$P$1="Nome","K"&amp;UPPER(SUBSTITUTE(SUBSTITUTE(SUBSTITUTE(C100,"*",""),"?",""),"~",""))&amp;"0"&amp;M100&amp;RIGHT("00000"&amp;ROW(),5),IF('FALTAS POR DECK'!$P$1="Falta (maior primeiro)","K"&amp;RIGHT("0000"&amp;(9999-F100),4)&amp;M100&amp;RIGHT("00000"&amp;ROW(),5),IF('FALTAS POR DECK'!$P$1="Deck e código","K"&amp;RIGHT("00"&amp;IFERROR(MATCH(A100,_LEITURA!$P$2:$P$21,0),99),2)&amp;M100&amp;RIGHT("00000"&amp;ROW(),5),"K"&amp;RIGHT("00000"&amp;ROW(),5))))))</f>
        <v/>
      </c>
      <c r="O100" s="16" t="str">
        <f aca="false">IF(N100="","",COUNTIFS($N$2:$N$1201,"&lt;"&amp;N100,$F$2:$F$1201,"&gt;0")+1)</f>
        <v/>
      </c>
    </row>
    <row r="101" customFormat="false" ht="15" hidden="false" customHeight="false" outlineLevel="0" collapsed="false">
      <c r="A101" s="11" t="str">
        <f aca="false">IF(_LEITURA!$N101="","",INDEX(_LEITURA!$K$2:$K$1201,_LEITURA!$N101))</f>
        <v/>
      </c>
      <c r="B101" s="11" t="str">
        <f aca="false">IF(_LEITURA!$N101="","",INDEX(_LEITURA!$E$2:$E$1201,_LEITURA!$N101))</f>
        <v/>
      </c>
      <c r="C101" s="11" t="str">
        <f aca="false">IF(_LEITURA!$N101="","",INDEX(_LEITURA!$J$2:$J$1201,_LEITURA!$N101))</f>
        <v/>
      </c>
      <c r="D101" s="16" t="str">
        <f aca="false">IF(_LEITURA!$N101="","",INDEX(_LEITURA!$G$2:$G$1201,_LEITURA!$N101))</f>
        <v/>
      </c>
      <c r="E101" s="16" t="str">
        <f aca="false">IF(B101="","",SUMIFS(INVENTÁRIO!$C$2:$C$801,INVENTÁRIO!$A$2:$A$801,B101))</f>
        <v/>
      </c>
      <c r="F101" s="16" t="str">
        <f aca="false">IF(B101="","",MAX(0,D101-E101))</f>
        <v/>
      </c>
      <c r="G101" s="16" t="str">
        <f aca="false">IF(B101="","",IF(COUNTIFS($B$2:$B$1201,B101,$A$2:$A$1201,"&lt;&gt;"&amp;A101)&gt;0,"Sim",""))</f>
        <v/>
      </c>
      <c r="H101" s="16" t="str">
        <f aca="false">IF(N(F101)&gt;0,MAX(H$1:H100)+1,"")</f>
        <v/>
      </c>
      <c r="I101" s="11" t="str">
        <f aca="false">IF(B101="","",IF(INDEX($C$2:$C$1201,MATCH(B101,$B$2:$B$1201,0))&lt;&gt;C101,"Nome diferente em outro deck — revisar",""))</f>
        <v/>
      </c>
      <c r="J101" s="16" t="str">
        <f aca="false">IF(AND(B101&lt;&gt;"",A101=BULK!$A$1,N(F101)&gt;0),MAX(J$1:J100)+1,"")</f>
        <v/>
      </c>
      <c r="K101" s="11" t="str">
        <f aca="false">IF(B101="","",IFERROR(LEFT(B101,FIND("-",B101)-1),B101))</f>
        <v/>
      </c>
      <c r="L101" s="11" t="str">
        <f aca="false">IF(K101="","",IF(ISNUMBER(--MID(K101,1,1)),0,IF(ISNUMBER(--MID(K101,2,1)),1,IF(ISNUMBER(--MID(K101,3,1)),2,IF(ISNUMBER(--MID(K101,4,1)),3,MIN(LEN(K101),4))))))</f>
        <v/>
      </c>
      <c r="M101" s="11" t="str">
        <f aca="false">IF(B101="","",LEFT(K101,L101)&amp;REPT("0",4-L101)&amp;RIGHT("000"&amp;IFERROR(VALUE(MID(K101,L101+1,9)),0),3)&amp;RIGHT("0000"&amp;IFERROR(VALUE(MID(B101,FIND("-",B101)+1,9)),0),4))</f>
        <v/>
      </c>
      <c r="N101" s="11" t="str">
        <f aca="false">IF(OR(B101="",N(F101)&lt;=0),"",IF('FALTAS POR DECK'!$P$1="Código","K"&amp;M101&amp;RIGHT("00000"&amp;ROW(),5),IF('FALTAS POR DECK'!$P$1="Nome","K"&amp;UPPER(SUBSTITUTE(SUBSTITUTE(SUBSTITUTE(C101,"*",""),"?",""),"~",""))&amp;"0"&amp;M101&amp;RIGHT("00000"&amp;ROW(),5),IF('FALTAS POR DECK'!$P$1="Falta (maior primeiro)","K"&amp;RIGHT("0000"&amp;(9999-F101),4)&amp;M101&amp;RIGHT("00000"&amp;ROW(),5),IF('FALTAS POR DECK'!$P$1="Deck e código","K"&amp;RIGHT("00"&amp;IFERROR(MATCH(A101,_LEITURA!$P$2:$P$21,0),99),2)&amp;M101&amp;RIGHT("00000"&amp;ROW(),5),"K"&amp;RIGHT("00000"&amp;ROW(),5))))))</f>
        <v/>
      </c>
      <c r="O101" s="16" t="str">
        <f aca="false">IF(N101="","",COUNTIFS($N$2:$N$1201,"&lt;"&amp;N101,$F$2:$F$1201,"&gt;0")+1)</f>
        <v/>
      </c>
    </row>
    <row r="102" customFormat="false" ht="15" hidden="false" customHeight="false" outlineLevel="0" collapsed="false">
      <c r="A102" s="11" t="str">
        <f aca="false">IF(_LEITURA!$N102="","",INDEX(_LEITURA!$K$2:$K$1201,_LEITURA!$N102))</f>
        <v/>
      </c>
      <c r="B102" s="11" t="str">
        <f aca="false">IF(_LEITURA!$N102="","",INDEX(_LEITURA!$E$2:$E$1201,_LEITURA!$N102))</f>
        <v/>
      </c>
      <c r="C102" s="11" t="str">
        <f aca="false">IF(_LEITURA!$N102="","",INDEX(_LEITURA!$J$2:$J$1201,_LEITURA!$N102))</f>
        <v/>
      </c>
      <c r="D102" s="16" t="str">
        <f aca="false">IF(_LEITURA!$N102="","",INDEX(_LEITURA!$G$2:$G$1201,_LEITURA!$N102))</f>
        <v/>
      </c>
      <c r="E102" s="16" t="str">
        <f aca="false">IF(B102="","",SUMIFS(INVENTÁRIO!$C$2:$C$801,INVENTÁRIO!$A$2:$A$801,B102))</f>
        <v/>
      </c>
      <c r="F102" s="16" t="str">
        <f aca="false">IF(B102="","",MAX(0,D102-E102))</f>
        <v/>
      </c>
      <c r="G102" s="16" t="str">
        <f aca="false">IF(B102="","",IF(COUNTIFS($B$2:$B$1201,B102,$A$2:$A$1201,"&lt;&gt;"&amp;A102)&gt;0,"Sim",""))</f>
        <v/>
      </c>
      <c r="H102" s="16" t="str">
        <f aca="false">IF(N(F102)&gt;0,MAX(H$1:H101)+1,"")</f>
        <v/>
      </c>
      <c r="I102" s="11" t="str">
        <f aca="false">IF(B102="","",IF(INDEX($C$2:$C$1201,MATCH(B102,$B$2:$B$1201,0))&lt;&gt;C102,"Nome diferente em outro deck — revisar",""))</f>
        <v/>
      </c>
      <c r="J102" s="16" t="str">
        <f aca="false">IF(AND(B102&lt;&gt;"",A102=BULK!$A$1,N(F102)&gt;0),MAX(J$1:J101)+1,"")</f>
        <v/>
      </c>
      <c r="K102" s="11" t="str">
        <f aca="false">IF(B102="","",IFERROR(LEFT(B102,FIND("-",B102)-1),B102))</f>
        <v/>
      </c>
      <c r="L102" s="11" t="str">
        <f aca="false">IF(K102="","",IF(ISNUMBER(--MID(K102,1,1)),0,IF(ISNUMBER(--MID(K102,2,1)),1,IF(ISNUMBER(--MID(K102,3,1)),2,IF(ISNUMBER(--MID(K102,4,1)),3,MIN(LEN(K102),4))))))</f>
        <v/>
      </c>
      <c r="M102" s="11" t="str">
        <f aca="false">IF(B102="","",LEFT(K102,L102)&amp;REPT("0",4-L102)&amp;RIGHT("000"&amp;IFERROR(VALUE(MID(K102,L102+1,9)),0),3)&amp;RIGHT("0000"&amp;IFERROR(VALUE(MID(B102,FIND("-",B102)+1,9)),0),4))</f>
        <v/>
      </c>
      <c r="N102" s="11" t="str">
        <f aca="false">IF(OR(B102="",N(F102)&lt;=0),"",IF('FALTAS POR DECK'!$P$1="Código","K"&amp;M102&amp;RIGHT("00000"&amp;ROW(),5),IF('FALTAS POR DECK'!$P$1="Nome","K"&amp;UPPER(SUBSTITUTE(SUBSTITUTE(SUBSTITUTE(C102,"*",""),"?",""),"~",""))&amp;"0"&amp;M102&amp;RIGHT("00000"&amp;ROW(),5),IF('FALTAS POR DECK'!$P$1="Falta (maior primeiro)","K"&amp;RIGHT("0000"&amp;(9999-F102),4)&amp;M102&amp;RIGHT("00000"&amp;ROW(),5),IF('FALTAS POR DECK'!$P$1="Deck e código","K"&amp;RIGHT("00"&amp;IFERROR(MATCH(A102,_LEITURA!$P$2:$P$21,0),99),2)&amp;M102&amp;RIGHT("00000"&amp;ROW(),5),"K"&amp;RIGHT("00000"&amp;ROW(),5))))))</f>
        <v/>
      </c>
      <c r="O102" s="16" t="str">
        <f aca="false">IF(N102="","",COUNTIFS($N$2:$N$1201,"&lt;"&amp;N102,$F$2:$F$1201,"&gt;0")+1)</f>
        <v/>
      </c>
    </row>
    <row r="103" customFormat="false" ht="15" hidden="false" customHeight="false" outlineLevel="0" collapsed="false">
      <c r="A103" s="11" t="str">
        <f aca="false">IF(_LEITURA!$N103="","",INDEX(_LEITURA!$K$2:$K$1201,_LEITURA!$N103))</f>
        <v/>
      </c>
      <c r="B103" s="11" t="str">
        <f aca="false">IF(_LEITURA!$N103="","",INDEX(_LEITURA!$E$2:$E$1201,_LEITURA!$N103))</f>
        <v/>
      </c>
      <c r="C103" s="11" t="str">
        <f aca="false">IF(_LEITURA!$N103="","",INDEX(_LEITURA!$J$2:$J$1201,_LEITURA!$N103))</f>
        <v/>
      </c>
      <c r="D103" s="16" t="str">
        <f aca="false">IF(_LEITURA!$N103="","",INDEX(_LEITURA!$G$2:$G$1201,_LEITURA!$N103))</f>
        <v/>
      </c>
      <c r="E103" s="16" t="str">
        <f aca="false">IF(B103="","",SUMIFS(INVENTÁRIO!$C$2:$C$801,INVENTÁRIO!$A$2:$A$801,B103))</f>
        <v/>
      </c>
      <c r="F103" s="16" t="str">
        <f aca="false">IF(B103="","",MAX(0,D103-E103))</f>
        <v/>
      </c>
      <c r="G103" s="16" t="str">
        <f aca="false">IF(B103="","",IF(COUNTIFS($B$2:$B$1201,B103,$A$2:$A$1201,"&lt;&gt;"&amp;A103)&gt;0,"Sim",""))</f>
        <v/>
      </c>
      <c r="H103" s="16" t="str">
        <f aca="false">IF(N(F103)&gt;0,MAX(H$1:H102)+1,"")</f>
        <v/>
      </c>
      <c r="I103" s="11" t="str">
        <f aca="false">IF(B103="","",IF(INDEX($C$2:$C$1201,MATCH(B103,$B$2:$B$1201,0))&lt;&gt;C103,"Nome diferente em outro deck — revisar",""))</f>
        <v/>
      </c>
      <c r="J103" s="16" t="str">
        <f aca="false">IF(AND(B103&lt;&gt;"",A103=BULK!$A$1,N(F103)&gt;0),MAX(J$1:J102)+1,"")</f>
        <v/>
      </c>
      <c r="K103" s="11" t="str">
        <f aca="false">IF(B103="","",IFERROR(LEFT(B103,FIND("-",B103)-1),B103))</f>
        <v/>
      </c>
      <c r="L103" s="11" t="str">
        <f aca="false">IF(K103="","",IF(ISNUMBER(--MID(K103,1,1)),0,IF(ISNUMBER(--MID(K103,2,1)),1,IF(ISNUMBER(--MID(K103,3,1)),2,IF(ISNUMBER(--MID(K103,4,1)),3,MIN(LEN(K103),4))))))</f>
        <v/>
      </c>
      <c r="M103" s="11" t="str">
        <f aca="false">IF(B103="","",LEFT(K103,L103)&amp;REPT("0",4-L103)&amp;RIGHT("000"&amp;IFERROR(VALUE(MID(K103,L103+1,9)),0),3)&amp;RIGHT("0000"&amp;IFERROR(VALUE(MID(B103,FIND("-",B103)+1,9)),0),4))</f>
        <v/>
      </c>
      <c r="N103" s="11" t="str">
        <f aca="false">IF(OR(B103="",N(F103)&lt;=0),"",IF('FALTAS POR DECK'!$P$1="Código","K"&amp;M103&amp;RIGHT("00000"&amp;ROW(),5),IF('FALTAS POR DECK'!$P$1="Nome","K"&amp;UPPER(SUBSTITUTE(SUBSTITUTE(SUBSTITUTE(C103,"*",""),"?",""),"~",""))&amp;"0"&amp;M103&amp;RIGHT("00000"&amp;ROW(),5),IF('FALTAS POR DECK'!$P$1="Falta (maior primeiro)","K"&amp;RIGHT("0000"&amp;(9999-F103),4)&amp;M103&amp;RIGHT("00000"&amp;ROW(),5),IF('FALTAS POR DECK'!$P$1="Deck e código","K"&amp;RIGHT("00"&amp;IFERROR(MATCH(A103,_LEITURA!$P$2:$P$21,0),99),2)&amp;M103&amp;RIGHT("00000"&amp;ROW(),5),"K"&amp;RIGHT("00000"&amp;ROW(),5))))))</f>
        <v/>
      </c>
      <c r="O103" s="16" t="str">
        <f aca="false">IF(N103="","",COUNTIFS($N$2:$N$1201,"&lt;"&amp;N103,$F$2:$F$1201,"&gt;0")+1)</f>
        <v/>
      </c>
    </row>
    <row r="104" customFormat="false" ht="15" hidden="false" customHeight="false" outlineLevel="0" collapsed="false">
      <c r="A104" s="11" t="str">
        <f aca="false">IF(_LEITURA!$N104="","",INDEX(_LEITURA!$K$2:$K$1201,_LEITURA!$N104))</f>
        <v/>
      </c>
      <c r="B104" s="11" t="str">
        <f aca="false">IF(_LEITURA!$N104="","",INDEX(_LEITURA!$E$2:$E$1201,_LEITURA!$N104))</f>
        <v/>
      </c>
      <c r="C104" s="11" t="str">
        <f aca="false">IF(_LEITURA!$N104="","",INDEX(_LEITURA!$J$2:$J$1201,_LEITURA!$N104))</f>
        <v/>
      </c>
      <c r="D104" s="16" t="str">
        <f aca="false">IF(_LEITURA!$N104="","",INDEX(_LEITURA!$G$2:$G$1201,_LEITURA!$N104))</f>
        <v/>
      </c>
      <c r="E104" s="16" t="str">
        <f aca="false">IF(B104="","",SUMIFS(INVENTÁRIO!$C$2:$C$801,INVENTÁRIO!$A$2:$A$801,B104))</f>
        <v/>
      </c>
      <c r="F104" s="16" t="str">
        <f aca="false">IF(B104="","",MAX(0,D104-E104))</f>
        <v/>
      </c>
      <c r="G104" s="16" t="str">
        <f aca="false">IF(B104="","",IF(COUNTIFS($B$2:$B$1201,B104,$A$2:$A$1201,"&lt;&gt;"&amp;A104)&gt;0,"Sim",""))</f>
        <v/>
      </c>
      <c r="H104" s="16" t="str">
        <f aca="false">IF(N(F104)&gt;0,MAX(H$1:H103)+1,"")</f>
        <v/>
      </c>
      <c r="I104" s="11" t="str">
        <f aca="false">IF(B104="","",IF(INDEX($C$2:$C$1201,MATCH(B104,$B$2:$B$1201,0))&lt;&gt;C104,"Nome diferente em outro deck — revisar",""))</f>
        <v/>
      </c>
      <c r="J104" s="16" t="str">
        <f aca="false">IF(AND(B104&lt;&gt;"",A104=BULK!$A$1,N(F104)&gt;0),MAX(J$1:J103)+1,"")</f>
        <v/>
      </c>
      <c r="K104" s="11" t="str">
        <f aca="false">IF(B104="","",IFERROR(LEFT(B104,FIND("-",B104)-1),B104))</f>
        <v/>
      </c>
      <c r="L104" s="11" t="str">
        <f aca="false">IF(K104="","",IF(ISNUMBER(--MID(K104,1,1)),0,IF(ISNUMBER(--MID(K104,2,1)),1,IF(ISNUMBER(--MID(K104,3,1)),2,IF(ISNUMBER(--MID(K104,4,1)),3,MIN(LEN(K104),4))))))</f>
        <v/>
      </c>
      <c r="M104" s="11" t="str">
        <f aca="false">IF(B104="","",LEFT(K104,L104)&amp;REPT("0",4-L104)&amp;RIGHT("000"&amp;IFERROR(VALUE(MID(K104,L104+1,9)),0),3)&amp;RIGHT("0000"&amp;IFERROR(VALUE(MID(B104,FIND("-",B104)+1,9)),0),4))</f>
        <v/>
      </c>
      <c r="N104" s="11" t="str">
        <f aca="false">IF(OR(B104="",N(F104)&lt;=0),"",IF('FALTAS POR DECK'!$P$1="Código","K"&amp;M104&amp;RIGHT("00000"&amp;ROW(),5),IF('FALTAS POR DECK'!$P$1="Nome","K"&amp;UPPER(SUBSTITUTE(SUBSTITUTE(SUBSTITUTE(C104,"*",""),"?",""),"~",""))&amp;"0"&amp;M104&amp;RIGHT("00000"&amp;ROW(),5),IF('FALTAS POR DECK'!$P$1="Falta (maior primeiro)","K"&amp;RIGHT("0000"&amp;(9999-F104),4)&amp;M104&amp;RIGHT("00000"&amp;ROW(),5),IF('FALTAS POR DECK'!$P$1="Deck e código","K"&amp;RIGHT("00"&amp;IFERROR(MATCH(A104,_LEITURA!$P$2:$P$21,0),99),2)&amp;M104&amp;RIGHT("00000"&amp;ROW(),5),"K"&amp;RIGHT("00000"&amp;ROW(),5))))))</f>
        <v/>
      </c>
      <c r="O104" s="16" t="str">
        <f aca="false">IF(N104="","",COUNTIFS($N$2:$N$1201,"&lt;"&amp;N104,$F$2:$F$1201,"&gt;0")+1)</f>
        <v/>
      </c>
    </row>
    <row r="105" customFormat="false" ht="15" hidden="false" customHeight="false" outlineLevel="0" collapsed="false">
      <c r="A105" s="11" t="str">
        <f aca="false">IF(_LEITURA!$N105="","",INDEX(_LEITURA!$K$2:$K$1201,_LEITURA!$N105))</f>
        <v/>
      </c>
      <c r="B105" s="11" t="str">
        <f aca="false">IF(_LEITURA!$N105="","",INDEX(_LEITURA!$E$2:$E$1201,_LEITURA!$N105))</f>
        <v/>
      </c>
      <c r="C105" s="11" t="str">
        <f aca="false">IF(_LEITURA!$N105="","",INDEX(_LEITURA!$J$2:$J$1201,_LEITURA!$N105))</f>
        <v/>
      </c>
      <c r="D105" s="16" t="str">
        <f aca="false">IF(_LEITURA!$N105="","",INDEX(_LEITURA!$G$2:$G$1201,_LEITURA!$N105))</f>
        <v/>
      </c>
      <c r="E105" s="16" t="str">
        <f aca="false">IF(B105="","",SUMIFS(INVENTÁRIO!$C$2:$C$801,INVENTÁRIO!$A$2:$A$801,B105))</f>
        <v/>
      </c>
      <c r="F105" s="16" t="str">
        <f aca="false">IF(B105="","",MAX(0,D105-E105))</f>
        <v/>
      </c>
      <c r="G105" s="16" t="str">
        <f aca="false">IF(B105="","",IF(COUNTIFS($B$2:$B$1201,B105,$A$2:$A$1201,"&lt;&gt;"&amp;A105)&gt;0,"Sim",""))</f>
        <v/>
      </c>
      <c r="H105" s="16" t="str">
        <f aca="false">IF(N(F105)&gt;0,MAX(H$1:H104)+1,"")</f>
        <v/>
      </c>
      <c r="I105" s="11" t="str">
        <f aca="false">IF(B105="","",IF(INDEX($C$2:$C$1201,MATCH(B105,$B$2:$B$1201,0))&lt;&gt;C105,"Nome diferente em outro deck — revisar",""))</f>
        <v/>
      </c>
      <c r="J105" s="16" t="str">
        <f aca="false">IF(AND(B105&lt;&gt;"",A105=BULK!$A$1,N(F105)&gt;0),MAX(J$1:J104)+1,"")</f>
        <v/>
      </c>
      <c r="K105" s="11" t="str">
        <f aca="false">IF(B105="","",IFERROR(LEFT(B105,FIND("-",B105)-1),B105))</f>
        <v/>
      </c>
      <c r="L105" s="11" t="str">
        <f aca="false">IF(K105="","",IF(ISNUMBER(--MID(K105,1,1)),0,IF(ISNUMBER(--MID(K105,2,1)),1,IF(ISNUMBER(--MID(K105,3,1)),2,IF(ISNUMBER(--MID(K105,4,1)),3,MIN(LEN(K105),4))))))</f>
        <v/>
      </c>
      <c r="M105" s="11" t="str">
        <f aca="false">IF(B105="","",LEFT(K105,L105)&amp;REPT("0",4-L105)&amp;RIGHT("000"&amp;IFERROR(VALUE(MID(K105,L105+1,9)),0),3)&amp;RIGHT("0000"&amp;IFERROR(VALUE(MID(B105,FIND("-",B105)+1,9)),0),4))</f>
        <v/>
      </c>
      <c r="N105" s="11" t="str">
        <f aca="false">IF(OR(B105="",N(F105)&lt;=0),"",IF('FALTAS POR DECK'!$P$1="Código","K"&amp;M105&amp;RIGHT("00000"&amp;ROW(),5),IF('FALTAS POR DECK'!$P$1="Nome","K"&amp;UPPER(SUBSTITUTE(SUBSTITUTE(SUBSTITUTE(C105,"*",""),"?",""),"~",""))&amp;"0"&amp;M105&amp;RIGHT("00000"&amp;ROW(),5),IF('FALTAS POR DECK'!$P$1="Falta (maior primeiro)","K"&amp;RIGHT("0000"&amp;(9999-F105),4)&amp;M105&amp;RIGHT("00000"&amp;ROW(),5),IF('FALTAS POR DECK'!$P$1="Deck e código","K"&amp;RIGHT("00"&amp;IFERROR(MATCH(A105,_LEITURA!$P$2:$P$21,0),99),2)&amp;M105&amp;RIGHT("00000"&amp;ROW(),5),"K"&amp;RIGHT("00000"&amp;ROW(),5))))))</f>
        <v/>
      </c>
      <c r="O105" s="16" t="str">
        <f aca="false">IF(N105="","",COUNTIFS($N$2:$N$1201,"&lt;"&amp;N105,$F$2:$F$1201,"&gt;0")+1)</f>
        <v/>
      </c>
    </row>
    <row r="106" customFormat="false" ht="15" hidden="false" customHeight="false" outlineLevel="0" collapsed="false">
      <c r="A106" s="11" t="str">
        <f aca="false">IF(_LEITURA!$N106="","",INDEX(_LEITURA!$K$2:$K$1201,_LEITURA!$N106))</f>
        <v/>
      </c>
      <c r="B106" s="11" t="str">
        <f aca="false">IF(_LEITURA!$N106="","",INDEX(_LEITURA!$E$2:$E$1201,_LEITURA!$N106))</f>
        <v/>
      </c>
      <c r="C106" s="11" t="str">
        <f aca="false">IF(_LEITURA!$N106="","",INDEX(_LEITURA!$J$2:$J$1201,_LEITURA!$N106))</f>
        <v/>
      </c>
      <c r="D106" s="16" t="str">
        <f aca="false">IF(_LEITURA!$N106="","",INDEX(_LEITURA!$G$2:$G$1201,_LEITURA!$N106))</f>
        <v/>
      </c>
      <c r="E106" s="16" t="str">
        <f aca="false">IF(B106="","",SUMIFS(INVENTÁRIO!$C$2:$C$801,INVENTÁRIO!$A$2:$A$801,B106))</f>
        <v/>
      </c>
      <c r="F106" s="16" t="str">
        <f aca="false">IF(B106="","",MAX(0,D106-E106))</f>
        <v/>
      </c>
      <c r="G106" s="16" t="str">
        <f aca="false">IF(B106="","",IF(COUNTIFS($B$2:$B$1201,B106,$A$2:$A$1201,"&lt;&gt;"&amp;A106)&gt;0,"Sim",""))</f>
        <v/>
      </c>
      <c r="H106" s="16" t="str">
        <f aca="false">IF(N(F106)&gt;0,MAX(H$1:H105)+1,"")</f>
        <v/>
      </c>
      <c r="I106" s="11" t="str">
        <f aca="false">IF(B106="","",IF(INDEX($C$2:$C$1201,MATCH(B106,$B$2:$B$1201,0))&lt;&gt;C106,"Nome diferente em outro deck — revisar",""))</f>
        <v/>
      </c>
      <c r="J106" s="16" t="str">
        <f aca="false">IF(AND(B106&lt;&gt;"",A106=BULK!$A$1,N(F106)&gt;0),MAX(J$1:J105)+1,"")</f>
        <v/>
      </c>
      <c r="K106" s="11" t="str">
        <f aca="false">IF(B106="","",IFERROR(LEFT(B106,FIND("-",B106)-1),B106))</f>
        <v/>
      </c>
      <c r="L106" s="11" t="str">
        <f aca="false">IF(K106="","",IF(ISNUMBER(--MID(K106,1,1)),0,IF(ISNUMBER(--MID(K106,2,1)),1,IF(ISNUMBER(--MID(K106,3,1)),2,IF(ISNUMBER(--MID(K106,4,1)),3,MIN(LEN(K106),4))))))</f>
        <v/>
      </c>
      <c r="M106" s="11" t="str">
        <f aca="false">IF(B106="","",LEFT(K106,L106)&amp;REPT("0",4-L106)&amp;RIGHT("000"&amp;IFERROR(VALUE(MID(K106,L106+1,9)),0),3)&amp;RIGHT("0000"&amp;IFERROR(VALUE(MID(B106,FIND("-",B106)+1,9)),0),4))</f>
        <v/>
      </c>
      <c r="N106" s="11" t="str">
        <f aca="false">IF(OR(B106="",N(F106)&lt;=0),"",IF('FALTAS POR DECK'!$P$1="Código","K"&amp;M106&amp;RIGHT("00000"&amp;ROW(),5),IF('FALTAS POR DECK'!$P$1="Nome","K"&amp;UPPER(SUBSTITUTE(SUBSTITUTE(SUBSTITUTE(C106,"*",""),"?",""),"~",""))&amp;"0"&amp;M106&amp;RIGHT("00000"&amp;ROW(),5),IF('FALTAS POR DECK'!$P$1="Falta (maior primeiro)","K"&amp;RIGHT("0000"&amp;(9999-F106),4)&amp;M106&amp;RIGHT("00000"&amp;ROW(),5),IF('FALTAS POR DECK'!$P$1="Deck e código","K"&amp;RIGHT("00"&amp;IFERROR(MATCH(A106,_LEITURA!$P$2:$P$21,0),99),2)&amp;M106&amp;RIGHT("00000"&amp;ROW(),5),"K"&amp;RIGHT("00000"&amp;ROW(),5))))))</f>
        <v/>
      </c>
      <c r="O106" s="16" t="str">
        <f aca="false">IF(N106="","",COUNTIFS($N$2:$N$1201,"&lt;"&amp;N106,$F$2:$F$1201,"&gt;0")+1)</f>
        <v/>
      </c>
    </row>
    <row r="107" customFormat="false" ht="15" hidden="false" customHeight="false" outlineLevel="0" collapsed="false">
      <c r="A107" s="11" t="str">
        <f aca="false">IF(_LEITURA!$N107="","",INDEX(_LEITURA!$K$2:$K$1201,_LEITURA!$N107))</f>
        <v/>
      </c>
      <c r="B107" s="11" t="str">
        <f aca="false">IF(_LEITURA!$N107="","",INDEX(_LEITURA!$E$2:$E$1201,_LEITURA!$N107))</f>
        <v/>
      </c>
      <c r="C107" s="11" t="str">
        <f aca="false">IF(_LEITURA!$N107="","",INDEX(_LEITURA!$J$2:$J$1201,_LEITURA!$N107))</f>
        <v/>
      </c>
      <c r="D107" s="16" t="str">
        <f aca="false">IF(_LEITURA!$N107="","",INDEX(_LEITURA!$G$2:$G$1201,_LEITURA!$N107))</f>
        <v/>
      </c>
      <c r="E107" s="16" t="str">
        <f aca="false">IF(B107="","",SUMIFS(INVENTÁRIO!$C$2:$C$801,INVENTÁRIO!$A$2:$A$801,B107))</f>
        <v/>
      </c>
      <c r="F107" s="16" t="str">
        <f aca="false">IF(B107="","",MAX(0,D107-E107))</f>
        <v/>
      </c>
      <c r="G107" s="16" t="str">
        <f aca="false">IF(B107="","",IF(COUNTIFS($B$2:$B$1201,B107,$A$2:$A$1201,"&lt;&gt;"&amp;A107)&gt;0,"Sim",""))</f>
        <v/>
      </c>
      <c r="H107" s="16" t="str">
        <f aca="false">IF(N(F107)&gt;0,MAX(H$1:H106)+1,"")</f>
        <v/>
      </c>
      <c r="I107" s="11" t="str">
        <f aca="false">IF(B107="","",IF(INDEX($C$2:$C$1201,MATCH(B107,$B$2:$B$1201,0))&lt;&gt;C107,"Nome diferente em outro deck — revisar",""))</f>
        <v/>
      </c>
      <c r="J107" s="16" t="str">
        <f aca="false">IF(AND(B107&lt;&gt;"",A107=BULK!$A$1,N(F107)&gt;0),MAX(J$1:J106)+1,"")</f>
        <v/>
      </c>
      <c r="K107" s="11" t="str">
        <f aca="false">IF(B107="","",IFERROR(LEFT(B107,FIND("-",B107)-1),B107))</f>
        <v/>
      </c>
      <c r="L107" s="11" t="str">
        <f aca="false">IF(K107="","",IF(ISNUMBER(--MID(K107,1,1)),0,IF(ISNUMBER(--MID(K107,2,1)),1,IF(ISNUMBER(--MID(K107,3,1)),2,IF(ISNUMBER(--MID(K107,4,1)),3,MIN(LEN(K107),4))))))</f>
        <v/>
      </c>
      <c r="M107" s="11" t="str">
        <f aca="false">IF(B107="","",LEFT(K107,L107)&amp;REPT("0",4-L107)&amp;RIGHT("000"&amp;IFERROR(VALUE(MID(K107,L107+1,9)),0),3)&amp;RIGHT("0000"&amp;IFERROR(VALUE(MID(B107,FIND("-",B107)+1,9)),0),4))</f>
        <v/>
      </c>
      <c r="N107" s="11" t="str">
        <f aca="false">IF(OR(B107="",N(F107)&lt;=0),"",IF('FALTAS POR DECK'!$P$1="Código","K"&amp;M107&amp;RIGHT("00000"&amp;ROW(),5),IF('FALTAS POR DECK'!$P$1="Nome","K"&amp;UPPER(SUBSTITUTE(SUBSTITUTE(SUBSTITUTE(C107,"*",""),"?",""),"~",""))&amp;"0"&amp;M107&amp;RIGHT("00000"&amp;ROW(),5),IF('FALTAS POR DECK'!$P$1="Falta (maior primeiro)","K"&amp;RIGHT("0000"&amp;(9999-F107),4)&amp;M107&amp;RIGHT("00000"&amp;ROW(),5),IF('FALTAS POR DECK'!$P$1="Deck e código","K"&amp;RIGHT("00"&amp;IFERROR(MATCH(A107,_LEITURA!$P$2:$P$21,0),99),2)&amp;M107&amp;RIGHT("00000"&amp;ROW(),5),"K"&amp;RIGHT("00000"&amp;ROW(),5))))))</f>
        <v/>
      </c>
      <c r="O107" s="16" t="str">
        <f aca="false">IF(N107="","",COUNTIFS($N$2:$N$1201,"&lt;"&amp;N107,$F$2:$F$1201,"&gt;0")+1)</f>
        <v/>
      </c>
    </row>
    <row r="108" customFormat="false" ht="15" hidden="false" customHeight="false" outlineLevel="0" collapsed="false">
      <c r="A108" s="11" t="str">
        <f aca="false">IF(_LEITURA!$N108="","",INDEX(_LEITURA!$K$2:$K$1201,_LEITURA!$N108))</f>
        <v/>
      </c>
      <c r="B108" s="11" t="str">
        <f aca="false">IF(_LEITURA!$N108="","",INDEX(_LEITURA!$E$2:$E$1201,_LEITURA!$N108))</f>
        <v/>
      </c>
      <c r="C108" s="11" t="str">
        <f aca="false">IF(_LEITURA!$N108="","",INDEX(_LEITURA!$J$2:$J$1201,_LEITURA!$N108))</f>
        <v/>
      </c>
      <c r="D108" s="16" t="str">
        <f aca="false">IF(_LEITURA!$N108="","",INDEX(_LEITURA!$G$2:$G$1201,_LEITURA!$N108))</f>
        <v/>
      </c>
      <c r="E108" s="16" t="str">
        <f aca="false">IF(B108="","",SUMIFS(INVENTÁRIO!$C$2:$C$801,INVENTÁRIO!$A$2:$A$801,B108))</f>
        <v/>
      </c>
      <c r="F108" s="16" t="str">
        <f aca="false">IF(B108="","",MAX(0,D108-E108))</f>
        <v/>
      </c>
      <c r="G108" s="16" t="str">
        <f aca="false">IF(B108="","",IF(COUNTIFS($B$2:$B$1201,B108,$A$2:$A$1201,"&lt;&gt;"&amp;A108)&gt;0,"Sim",""))</f>
        <v/>
      </c>
      <c r="H108" s="16" t="str">
        <f aca="false">IF(N(F108)&gt;0,MAX(H$1:H107)+1,"")</f>
        <v/>
      </c>
      <c r="I108" s="11" t="str">
        <f aca="false">IF(B108="","",IF(INDEX($C$2:$C$1201,MATCH(B108,$B$2:$B$1201,0))&lt;&gt;C108,"Nome diferente em outro deck — revisar",""))</f>
        <v/>
      </c>
      <c r="J108" s="16" t="str">
        <f aca="false">IF(AND(B108&lt;&gt;"",A108=BULK!$A$1,N(F108)&gt;0),MAX(J$1:J107)+1,"")</f>
        <v/>
      </c>
      <c r="K108" s="11" t="str">
        <f aca="false">IF(B108="","",IFERROR(LEFT(B108,FIND("-",B108)-1),B108))</f>
        <v/>
      </c>
      <c r="L108" s="11" t="str">
        <f aca="false">IF(K108="","",IF(ISNUMBER(--MID(K108,1,1)),0,IF(ISNUMBER(--MID(K108,2,1)),1,IF(ISNUMBER(--MID(K108,3,1)),2,IF(ISNUMBER(--MID(K108,4,1)),3,MIN(LEN(K108),4))))))</f>
        <v/>
      </c>
      <c r="M108" s="11" t="str">
        <f aca="false">IF(B108="","",LEFT(K108,L108)&amp;REPT("0",4-L108)&amp;RIGHT("000"&amp;IFERROR(VALUE(MID(K108,L108+1,9)),0),3)&amp;RIGHT("0000"&amp;IFERROR(VALUE(MID(B108,FIND("-",B108)+1,9)),0),4))</f>
        <v/>
      </c>
      <c r="N108" s="11" t="str">
        <f aca="false">IF(OR(B108="",N(F108)&lt;=0),"",IF('FALTAS POR DECK'!$P$1="Código","K"&amp;M108&amp;RIGHT("00000"&amp;ROW(),5),IF('FALTAS POR DECK'!$P$1="Nome","K"&amp;UPPER(SUBSTITUTE(SUBSTITUTE(SUBSTITUTE(C108,"*",""),"?",""),"~",""))&amp;"0"&amp;M108&amp;RIGHT("00000"&amp;ROW(),5),IF('FALTAS POR DECK'!$P$1="Falta (maior primeiro)","K"&amp;RIGHT("0000"&amp;(9999-F108),4)&amp;M108&amp;RIGHT("00000"&amp;ROW(),5),IF('FALTAS POR DECK'!$P$1="Deck e código","K"&amp;RIGHT("00"&amp;IFERROR(MATCH(A108,_LEITURA!$P$2:$P$21,0),99),2)&amp;M108&amp;RIGHT("00000"&amp;ROW(),5),"K"&amp;RIGHT("00000"&amp;ROW(),5))))))</f>
        <v/>
      </c>
      <c r="O108" s="16" t="str">
        <f aca="false">IF(N108="","",COUNTIFS($N$2:$N$1201,"&lt;"&amp;N108,$F$2:$F$1201,"&gt;0")+1)</f>
        <v/>
      </c>
    </row>
    <row r="109" customFormat="false" ht="15" hidden="false" customHeight="false" outlineLevel="0" collapsed="false">
      <c r="A109" s="11" t="str">
        <f aca="false">IF(_LEITURA!$N109="","",INDEX(_LEITURA!$K$2:$K$1201,_LEITURA!$N109))</f>
        <v/>
      </c>
      <c r="B109" s="11" t="str">
        <f aca="false">IF(_LEITURA!$N109="","",INDEX(_LEITURA!$E$2:$E$1201,_LEITURA!$N109))</f>
        <v/>
      </c>
      <c r="C109" s="11" t="str">
        <f aca="false">IF(_LEITURA!$N109="","",INDEX(_LEITURA!$J$2:$J$1201,_LEITURA!$N109))</f>
        <v/>
      </c>
      <c r="D109" s="16" t="str">
        <f aca="false">IF(_LEITURA!$N109="","",INDEX(_LEITURA!$G$2:$G$1201,_LEITURA!$N109))</f>
        <v/>
      </c>
      <c r="E109" s="16" t="str">
        <f aca="false">IF(B109="","",SUMIFS(INVENTÁRIO!$C$2:$C$801,INVENTÁRIO!$A$2:$A$801,B109))</f>
        <v/>
      </c>
      <c r="F109" s="16" t="str">
        <f aca="false">IF(B109="","",MAX(0,D109-E109))</f>
        <v/>
      </c>
      <c r="G109" s="16" t="str">
        <f aca="false">IF(B109="","",IF(COUNTIFS($B$2:$B$1201,B109,$A$2:$A$1201,"&lt;&gt;"&amp;A109)&gt;0,"Sim",""))</f>
        <v/>
      </c>
      <c r="H109" s="16" t="str">
        <f aca="false">IF(N(F109)&gt;0,MAX(H$1:H108)+1,"")</f>
        <v/>
      </c>
      <c r="I109" s="11" t="str">
        <f aca="false">IF(B109="","",IF(INDEX($C$2:$C$1201,MATCH(B109,$B$2:$B$1201,0))&lt;&gt;C109,"Nome diferente em outro deck — revisar",""))</f>
        <v/>
      </c>
      <c r="J109" s="16" t="str">
        <f aca="false">IF(AND(B109&lt;&gt;"",A109=BULK!$A$1,N(F109)&gt;0),MAX(J$1:J108)+1,"")</f>
        <v/>
      </c>
      <c r="K109" s="11" t="str">
        <f aca="false">IF(B109="","",IFERROR(LEFT(B109,FIND("-",B109)-1),B109))</f>
        <v/>
      </c>
      <c r="L109" s="11" t="str">
        <f aca="false">IF(K109="","",IF(ISNUMBER(--MID(K109,1,1)),0,IF(ISNUMBER(--MID(K109,2,1)),1,IF(ISNUMBER(--MID(K109,3,1)),2,IF(ISNUMBER(--MID(K109,4,1)),3,MIN(LEN(K109),4))))))</f>
        <v/>
      </c>
      <c r="M109" s="11" t="str">
        <f aca="false">IF(B109="","",LEFT(K109,L109)&amp;REPT("0",4-L109)&amp;RIGHT("000"&amp;IFERROR(VALUE(MID(K109,L109+1,9)),0),3)&amp;RIGHT("0000"&amp;IFERROR(VALUE(MID(B109,FIND("-",B109)+1,9)),0),4))</f>
        <v/>
      </c>
      <c r="N109" s="11" t="str">
        <f aca="false">IF(OR(B109="",N(F109)&lt;=0),"",IF('FALTAS POR DECK'!$P$1="Código","K"&amp;M109&amp;RIGHT("00000"&amp;ROW(),5),IF('FALTAS POR DECK'!$P$1="Nome","K"&amp;UPPER(SUBSTITUTE(SUBSTITUTE(SUBSTITUTE(C109,"*",""),"?",""),"~",""))&amp;"0"&amp;M109&amp;RIGHT("00000"&amp;ROW(),5),IF('FALTAS POR DECK'!$P$1="Falta (maior primeiro)","K"&amp;RIGHT("0000"&amp;(9999-F109),4)&amp;M109&amp;RIGHT("00000"&amp;ROW(),5),IF('FALTAS POR DECK'!$P$1="Deck e código","K"&amp;RIGHT("00"&amp;IFERROR(MATCH(A109,_LEITURA!$P$2:$P$21,0),99),2)&amp;M109&amp;RIGHT("00000"&amp;ROW(),5),"K"&amp;RIGHT("00000"&amp;ROW(),5))))))</f>
        <v/>
      </c>
      <c r="O109" s="16" t="str">
        <f aca="false">IF(N109="","",COUNTIFS($N$2:$N$1201,"&lt;"&amp;N109,$F$2:$F$1201,"&gt;0")+1)</f>
        <v/>
      </c>
    </row>
    <row r="110" customFormat="false" ht="15" hidden="false" customHeight="false" outlineLevel="0" collapsed="false">
      <c r="A110" s="11" t="str">
        <f aca="false">IF(_LEITURA!$N110="","",INDEX(_LEITURA!$K$2:$K$1201,_LEITURA!$N110))</f>
        <v/>
      </c>
      <c r="B110" s="11" t="str">
        <f aca="false">IF(_LEITURA!$N110="","",INDEX(_LEITURA!$E$2:$E$1201,_LEITURA!$N110))</f>
        <v/>
      </c>
      <c r="C110" s="11" t="str">
        <f aca="false">IF(_LEITURA!$N110="","",INDEX(_LEITURA!$J$2:$J$1201,_LEITURA!$N110))</f>
        <v/>
      </c>
      <c r="D110" s="16" t="str">
        <f aca="false">IF(_LEITURA!$N110="","",INDEX(_LEITURA!$G$2:$G$1201,_LEITURA!$N110))</f>
        <v/>
      </c>
      <c r="E110" s="16" t="str">
        <f aca="false">IF(B110="","",SUMIFS(INVENTÁRIO!$C$2:$C$801,INVENTÁRIO!$A$2:$A$801,B110))</f>
        <v/>
      </c>
      <c r="F110" s="16" t="str">
        <f aca="false">IF(B110="","",MAX(0,D110-E110))</f>
        <v/>
      </c>
      <c r="G110" s="16" t="str">
        <f aca="false">IF(B110="","",IF(COUNTIFS($B$2:$B$1201,B110,$A$2:$A$1201,"&lt;&gt;"&amp;A110)&gt;0,"Sim",""))</f>
        <v/>
      </c>
      <c r="H110" s="16" t="str">
        <f aca="false">IF(N(F110)&gt;0,MAX(H$1:H109)+1,"")</f>
        <v/>
      </c>
      <c r="I110" s="11" t="str">
        <f aca="false">IF(B110="","",IF(INDEX($C$2:$C$1201,MATCH(B110,$B$2:$B$1201,0))&lt;&gt;C110,"Nome diferente em outro deck — revisar",""))</f>
        <v/>
      </c>
      <c r="J110" s="16" t="str">
        <f aca="false">IF(AND(B110&lt;&gt;"",A110=BULK!$A$1,N(F110)&gt;0),MAX(J$1:J109)+1,"")</f>
        <v/>
      </c>
      <c r="K110" s="11" t="str">
        <f aca="false">IF(B110="","",IFERROR(LEFT(B110,FIND("-",B110)-1),B110))</f>
        <v/>
      </c>
      <c r="L110" s="11" t="str">
        <f aca="false">IF(K110="","",IF(ISNUMBER(--MID(K110,1,1)),0,IF(ISNUMBER(--MID(K110,2,1)),1,IF(ISNUMBER(--MID(K110,3,1)),2,IF(ISNUMBER(--MID(K110,4,1)),3,MIN(LEN(K110),4))))))</f>
        <v/>
      </c>
      <c r="M110" s="11" t="str">
        <f aca="false">IF(B110="","",LEFT(K110,L110)&amp;REPT("0",4-L110)&amp;RIGHT("000"&amp;IFERROR(VALUE(MID(K110,L110+1,9)),0),3)&amp;RIGHT("0000"&amp;IFERROR(VALUE(MID(B110,FIND("-",B110)+1,9)),0),4))</f>
        <v/>
      </c>
      <c r="N110" s="11" t="str">
        <f aca="false">IF(OR(B110="",N(F110)&lt;=0),"",IF('FALTAS POR DECK'!$P$1="Código","K"&amp;M110&amp;RIGHT("00000"&amp;ROW(),5),IF('FALTAS POR DECK'!$P$1="Nome","K"&amp;UPPER(SUBSTITUTE(SUBSTITUTE(SUBSTITUTE(C110,"*",""),"?",""),"~",""))&amp;"0"&amp;M110&amp;RIGHT("00000"&amp;ROW(),5),IF('FALTAS POR DECK'!$P$1="Falta (maior primeiro)","K"&amp;RIGHT("0000"&amp;(9999-F110),4)&amp;M110&amp;RIGHT("00000"&amp;ROW(),5),IF('FALTAS POR DECK'!$P$1="Deck e código","K"&amp;RIGHT("00"&amp;IFERROR(MATCH(A110,_LEITURA!$P$2:$P$21,0),99),2)&amp;M110&amp;RIGHT("00000"&amp;ROW(),5),"K"&amp;RIGHT("00000"&amp;ROW(),5))))))</f>
        <v/>
      </c>
      <c r="O110" s="16" t="str">
        <f aca="false">IF(N110="","",COUNTIFS($N$2:$N$1201,"&lt;"&amp;N110,$F$2:$F$1201,"&gt;0")+1)</f>
        <v/>
      </c>
    </row>
    <row r="111" customFormat="false" ht="15" hidden="false" customHeight="false" outlineLevel="0" collapsed="false">
      <c r="A111" s="11" t="str">
        <f aca="false">IF(_LEITURA!$N111="","",INDEX(_LEITURA!$K$2:$K$1201,_LEITURA!$N111))</f>
        <v/>
      </c>
      <c r="B111" s="11" t="str">
        <f aca="false">IF(_LEITURA!$N111="","",INDEX(_LEITURA!$E$2:$E$1201,_LEITURA!$N111))</f>
        <v/>
      </c>
      <c r="C111" s="11" t="str">
        <f aca="false">IF(_LEITURA!$N111="","",INDEX(_LEITURA!$J$2:$J$1201,_LEITURA!$N111))</f>
        <v/>
      </c>
      <c r="D111" s="16" t="str">
        <f aca="false">IF(_LEITURA!$N111="","",INDEX(_LEITURA!$G$2:$G$1201,_LEITURA!$N111))</f>
        <v/>
      </c>
      <c r="E111" s="16" t="str">
        <f aca="false">IF(B111="","",SUMIFS(INVENTÁRIO!$C$2:$C$801,INVENTÁRIO!$A$2:$A$801,B111))</f>
        <v/>
      </c>
      <c r="F111" s="16" t="str">
        <f aca="false">IF(B111="","",MAX(0,D111-E111))</f>
        <v/>
      </c>
      <c r="G111" s="16" t="str">
        <f aca="false">IF(B111="","",IF(COUNTIFS($B$2:$B$1201,B111,$A$2:$A$1201,"&lt;&gt;"&amp;A111)&gt;0,"Sim",""))</f>
        <v/>
      </c>
      <c r="H111" s="16" t="str">
        <f aca="false">IF(N(F111)&gt;0,MAX(H$1:H110)+1,"")</f>
        <v/>
      </c>
      <c r="I111" s="11" t="str">
        <f aca="false">IF(B111="","",IF(INDEX($C$2:$C$1201,MATCH(B111,$B$2:$B$1201,0))&lt;&gt;C111,"Nome diferente em outro deck — revisar",""))</f>
        <v/>
      </c>
      <c r="J111" s="16" t="str">
        <f aca="false">IF(AND(B111&lt;&gt;"",A111=BULK!$A$1,N(F111)&gt;0),MAX(J$1:J110)+1,"")</f>
        <v/>
      </c>
      <c r="K111" s="11" t="str">
        <f aca="false">IF(B111="","",IFERROR(LEFT(B111,FIND("-",B111)-1),B111))</f>
        <v/>
      </c>
      <c r="L111" s="11" t="str">
        <f aca="false">IF(K111="","",IF(ISNUMBER(--MID(K111,1,1)),0,IF(ISNUMBER(--MID(K111,2,1)),1,IF(ISNUMBER(--MID(K111,3,1)),2,IF(ISNUMBER(--MID(K111,4,1)),3,MIN(LEN(K111),4))))))</f>
        <v/>
      </c>
      <c r="M111" s="11" t="str">
        <f aca="false">IF(B111="","",LEFT(K111,L111)&amp;REPT("0",4-L111)&amp;RIGHT("000"&amp;IFERROR(VALUE(MID(K111,L111+1,9)),0),3)&amp;RIGHT("0000"&amp;IFERROR(VALUE(MID(B111,FIND("-",B111)+1,9)),0),4))</f>
        <v/>
      </c>
      <c r="N111" s="11" t="str">
        <f aca="false">IF(OR(B111="",N(F111)&lt;=0),"",IF('FALTAS POR DECK'!$P$1="Código","K"&amp;M111&amp;RIGHT("00000"&amp;ROW(),5),IF('FALTAS POR DECK'!$P$1="Nome","K"&amp;UPPER(SUBSTITUTE(SUBSTITUTE(SUBSTITUTE(C111,"*",""),"?",""),"~",""))&amp;"0"&amp;M111&amp;RIGHT("00000"&amp;ROW(),5),IF('FALTAS POR DECK'!$P$1="Falta (maior primeiro)","K"&amp;RIGHT("0000"&amp;(9999-F111),4)&amp;M111&amp;RIGHT("00000"&amp;ROW(),5),IF('FALTAS POR DECK'!$P$1="Deck e código","K"&amp;RIGHT("00"&amp;IFERROR(MATCH(A111,_LEITURA!$P$2:$P$21,0),99),2)&amp;M111&amp;RIGHT("00000"&amp;ROW(),5),"K"&amp;RIGHT("00000"&amp;ROW(),5))))))</f>
        <v/>
      </c>
      <c r="O111" s="16" t="str">
        <f aca="false">IF(N111="","",COUNTIFS($N$2:$N$1201,"&lt;"&amp;N111,$F$2:$F$1201,"&gt;0")+1)</f>
        <v/>
      </c>
    </row>
    <row r="112" customFormat="false" ht="15" hidden="false" customHeight="false" outlineLevel="0" collapsed="false">
      <c r="A112" s="11" t="str">
        <f aca="false">IF(_LEITURA!$N112="","",INDEX(_LEITURA!$K$2:$K$1201,_LEITURA!$N112))</f>
        <v/>
      </c>
      <c r="B112" s="11" t="str">
        <f aca="false">IF(_LEITURA!$N112="","",INDEX(_LEITURA!$E$2:$E$1201,_LEITURA!$N112))</f>
        <v/>
      </c>
      <c r="C112" s="11" t="str">
        <f aca="false">IF(_LEITURA!$N112="","",INDEX(_LEITURA!$J$2:$J$1201,_LEITURA!$N112))</f>
        <v/>
      </c>
      <c r="D112" s="16" t="str">
        <f aca="false">IF(_LEITURA!$N112="","",INDEX(_LEITURA!$G$2:$G$1201,_LEITURA!$N112))</f>
        <v/>
      </c>
      <c r="E112" s="16" t="str">
        <f aca="false">IF(B112="","",SUMIFS(INVENTÁRIO!$C$2:$C$801,INVENTÁRIO!$A$2:$A$801,B112))</f>
        <v/>
      </c>
      <c r="F112" s="16" t="str">
        <f aca="false">IF(B112="","",MAX(0,D112-E112))</f>
        <v/>
      </c>
      <c r="G112" s="16" t="str">
        <f aca="false">IF(B112="","",IF(COUNTIFS($B$2:$B$1201,B112,$A$2:$A$1201,"&lt;&gt;"&amp;A112)&gt;0,"Sim",""))</f>
        <v/>
      </c>
      <c r="H112" s="16" t="str">
        <f aca="false">IF(N(F112)&gt;0,MAX(H$1:H111)+1,"")</f>
        <v/>
      </c>
      <c r="I112" s="11" t="str">
        <f aca="false">IF(B112="","",IF(INDEX($C$2:$C$1201,MATCH(B112,$B$2:$B$1201,0))&lt;&gt;C112,"Nome diferente em outro deck — revisar",""))</f>
        <v/>
      </c>
      <c r="J112" s="16" t="str">
        <f aca="false">IF(AND(B112&lt;&gt;"",A112=BULK!$A$1,N(F112)&gt;0),MAX(J$1:J111)+1,"")</f>
        <v/>
      </c>
      <c r="K112" s="11" t="str">
        <f aca="false">IF(B112="","",IFERROR(LEFT(B112,FIND("-",B112)-1),B112))</f>
        <v/>
      </c>
      <c r="L112" s="11" t="str">
        <f aca="false">IF(K112="","",IF(ISNUMBER(--MID(K112,1,1)),0,IF(ISNUMBER(--MID(K112,2,1)),1,IF(ISNUMBER(--MID(K112,3,1)),2,IF(ISNUMBER(--MID(K112,4,1)),3,MIN(LEN(K112),4))))))</f>
        <v/>
      </c>
      <c r="M112" s="11" t="str">
        <f aca="false">IF(B112="","",LEFT(K112,L112)&amp;REPT("0",4-L112)&amp;RIGHT("000"&amp;IFERROR(VALUE(MID(K112,L112+1,9)),0),3)&amp;RIGHT("0000"&amp;IFERROR(VALUE(MID(B112,FIND("-",B112)+1,9)),0),4))</f>
        <v/>
      </c>
      <c r="N112" s="11" t="str">
        <f aca="false">IF(OR(B112="",N(F112)&lt;=0),"",IF('FALTAS POR DECK'!$P$1="Código","K"&amp;M112&amp;RIGHT("00000"&amp;ROW(),5),IF('FALTAS POR DECK'!$P$1="Nome","K"&amp;UPPER(SUBSTITUTE(SUBSTITUTE(SUBSTITUTE(C112,"*",""),"?",""),"~",""))&amp;"0"&amp;M112&amp;RIGHT("00000"&amp;ROW(),5),IF('FALTAS POR DECK'!$P$1="Falta (maior primeiro)","K"&amp;RIGHT("0000"&amp;(9999-F112),4)&amp;M112&amp;RIGHT("00000"&amp;ROW(),5),IF('FALTAS POR DECK'!$P$1="Deck e código","K"&amp;RIGHT("00"&amp;IFERROR(MATCH(A112,_LEITURA!$P$2:$P$21,0),99),2)&amp;M112&amp;RIGHT("00000"&amp;ROW(),5),"K"&amp;RIGHT("00000"&amp;ROW(),5))))))</f>
        <v/>
      </c>
      <c r="O112" s="16" t="str">
        <f aca="false">IF(N112="","",COUNTIFS($N$2:$N$1201,"&lt;"&amp;N112,$F$2:$F$1201,"&gt;0")+1)</f>
        <v/>
      </c>
    </row>
    <row r="113" customFormat="false" ht="15" hidden="false" customHeight="false" outlineLevel="0" collapsed="false">
      <c r="A113" s="11" t="str">
        <f aca="false">IF(_LEITURA!$N113="","",INDEX(_LEITURA!$K$2:$K$1201,_LEITURA!$N113))</f>
        <v/>
      </c>
      <c r="B113" s="11" t="str">
        <f aca="false">IF(_LEITURA!$N113="","",INDEX(_LEITURA!$E$2:$E$1201,_LEITURA!$N113))</f>
        <v/>
      </c>
      <c r="C113" s="11" t="str">
        <f aca="false">IF(_LEITURA!$N113="","",INDEX(_LEITURA!$J$2:$J$1201,_LEITURA!$N113))</f>
        <v/>
      </c>
      <c r="D113" s="16" t="str">
        <f aca="false">IF(_LEITURA!$N113="","",INDEX(_LEITURA!$G$2:$G$1201,_LEITURA!$N113))</f>
        <v/>
      </c>
      <c r="E113" s="16" t="str">
        <f aca="false">IF(B113="","",SUMIFS(INVENTÁRIO!$C$2:$C$801,INVENTÁRIO!$A$2:$A$801,B113))</f>
        <v/>
      </c>
      <c r="F113" s="16" t="str">
        <f aca="false">IF(B113="","",MAX(0,D113-E113))</f>
        <v/>
      </c>
      <c r="G113" s="16" t="str">
        <f aca="false">IF(B113="","",IF(COUNTIFS($B$2:$B$1201,B113,$A$2:$A$1201,"&lt;&gt;"&amp;A113)&gt;0,"Sim",""))</f>
        <v/>
      </c>
      <c r="H113" s="16" t="str">
        <f aca="false">IF(N(F113)&gt;0,MAX(H$1:H112)+1,"")</f>
        <v/>
      </c>
      <c r="I113" s="11" t="str">
        <f aca="false">IF(B113="","",IF(INDEX($C$2:$C$1201,MATCH(B113,$B$2:$B$1201,0))&lt;&gt;C113,"Nome diferente em outro deck — revisar",""))</f>
        <v/>
      </c>
      <c r="J113" s="16" t="str">
        <f aca="false">IF(AND(B113&lt;&gt;"",A113=BULK!$A$1,N(F113)&gt;0),MAX(J$1:J112)+1,"")</f>
        <v/>
      </c>
      <c r="K113" s="11" t="str">
        <f aca="false">IF(B113="","",IFERROR(LEFT(B113,FIND("-",B113)-1),B113))</f>
        <v/>
      </c>
      <c r="L113" s="11" t="str">
        <f aca="false">IF(K113="","",IF(ISNUMBER(--MID(K113,1,1)),0,IF(ISNUMBER(--MID(K113,2,1)),1,IF(ISNUMBER(--MID(K113,3,1)),2,IF(ISNUMBER(--MID(K113,4,1)),3,MIN(LEN(K113),4))))))</f>
        <v/>
      </c>
      <c r="M113" s="11" t="str">
        <f aca="false">IF(B113="","",LEFT(K113,L113)&amp;REPT("0",4-L113)&amp;RIGHT("000"&amp;IFERROR(VALUE(MID(K113,L113+1,9)),0),3)&amp;RIGHT("0000"&amp;IFERROR(VALUE(MID(B113,FIND("-",B113)+1,9)),0),4))</f>
        <v/>
      </c>
      <c r="N113" s="11" t="str">
        <f aca="false">IF(OR(B113="",N(F113)&lt;=0),"",IF('FALTAS POR DECK'!$P$1="Código","K"&amp;M113&amp;RIGHT("00000"&amp;ROW(),5),IF('FALTAS POR DECK'!$P$1="Nome","K"&amp;UPPER(SUBSTITUTE(SUBSTITUTE(SUBSTITUTE(C113,"*",""),"?",""),"~",""))&amp;"0"&amp;M113&amp;RIGHT("00000"&amp;ROW(),5),IF('FALTAS POR DECK'!$P$1="Falta (maior primeiro)","K"&amp;RIGHT("0000"&amp;(9999-F113),4)&amp;M113&amp;RIGHT("00000"&amp;ROW(),5),IF('FALTAS POR DECK'!$P$1="Deck e código","K"&amp;RIGHT("00"&amp;IFERROR(MATCH(A113,_LEITURA!$P$2:$P$21,0),99),2)&amp;M113&amp;RIGHT("00000"&amp;ROW(),5),"K"&amp;RIGHT("00000"&amp;ROW(),5))))))</f>
        <v/>
      </c>
      <c r="O113" s="16" t="str">
        <f aca="false">IF(N113="","",COUNTIFS($N$2:$N$1201,"&lt;"&amp;N113,$F$2:$F$1201,"&gt;0")+1)</f>
        <v/>
      </c>
    </row>
    <row r="114" customFormat="false" ht="15" hidden="false" customHeight="false" outlineLevel="0" collapsed="false">
      <c r="A114" s="11" t="str">
        <f aca="false">IF(_LEITURA!$N114="","",INDEX(_LEITURA!$K$2:$K$1201,_LEITURA!$N114))</f>
        <v/>
      </c>
      <c r="B114" s="11" t="str">
        <f aca="false">IF(_LEITURA!$N114="","",INDEX(_LEITURA!$E$2:$E$1201,_LEITURA!$N114))</f>
        <v/>
      </c>
      <c r="C114" s="11" t="str">
        <f aca="false">IF(_LEITURA!$N114="","",INDEX(_LEITURA!$J$2:$J$1201,_LEITURA!$N114))</f>
        <v/>
      </c>
      <c r="D114" s="16" t="str">
        <f aca="false">IF(_LEITURA!$N114="","",INDEX(_LEITURA!$G$2:$G$1201,_LEITURA!$N114))</f>
        <v/>
      </c>
      <c r="E114" s="16" t="str">
        <f aca="false">IF(B114="","",SUMIFS(INVENTÁRIO!$C$2:$C$801,INVENTÁRIO!$A$2:$A$801,B114))</f>
        <v/>
      </c>
      <c r="F114" s="16" t="str">
        <f aca="false">IF(B114="","",MAX(0,D114-E114))</f>
        <v/>
      </c>
      <c r="G114" s="16" t="str">
        <f aca="false">IF(B114="","",IF(COUNTIFS($B$2:$B$1201,B114,$A$2:$A$1201,"&lt;&gt;"&amp;A114)&gt;0,"Sim",""))</f>
        <v/>
      </c>
      <c r="H114" s="16" t="str">
        <f aca="false">IF(N(F114)&gt;0,MAX(H$1:H113)+1,"")</f>
        <v/>
      </c>
      <c r="I114" s="11" t="str">
        <f aca="false">IF(B114="","",IF(INDEX($C$2:$C$1201,MATCH(B114,$B$2:$B$1201,0))&lt;&gt;C114,"Nome diferente em outro deck — revisar",""))</f>
        <v/>
      </c>
      <c r="J114" s="16" t="str">
        <f aca="false">IF(AND(B114&lt;&gt;"",A114=BULK!$A$1,N(F114)&gt;0),MAX(J$1:J113)+1,"")</f>
        <v/>
      </c>
      <c r="K114" s="11" t="str">
        <f aca="false">IF(B114="","",IFERROR(LEFT(B114,FIND("-",B114)-1),B114))</f>
        <v/>
      </c>
      <c r="L114" s="11" t="str">
        <f aca="false">IF(K114="","",IF(ISNUMBER(--MID(K114,1,1)),0,IF(ISNUMBER(--MID(K114,2,1)),1,IF(ISNUMBER(--MID(K114,3,1)),2,IF(ISNUMBER(--MID(K114,4,1)),3,MIN(LEN(K114),4))))))</f>
        <v/>
      </c>
      <c r="M114" s="11" t="str">
        <f aca="false">IF(B114="","",LEFT(K114,L114)&amp;REPT("0",4-L114)&amp;RIGHT("000"&amp;IFERROR(VALUE(MID(K114,L114+1,9)),0),3)&amp;RIGHT("0000"&amp;IFERROR(VALUE(MID(B114,FIND("-",B114)+1,9)),0),4))</f>
        <v/>
      </c>
      <c r="N114" s="11" t="str">
        <f aca="false">IF(OR(B114="",N(F114)&lt;=0),"",IF('FALTAS POR DECK'!$P$1="Código","K"&amp;M114&amp;RIGHT("00000"&amp;ROW(),5),IF('FALTAS POR DECK'!$P$1="Nome","K"&amp;UPPER(SUBSTITUTE(SUBSTITUTE(SUBSTITUTE(C114,"*",""),"?",""),"~",""))&amp;"0"&amp;M114&amp;RIGHT("00000"&amp;ROW(),5),IF('FALTAS POR DECK'!$P$1="Falta (maior primeiro)","K"&amp;RIGHT("0000"&amp;(9999-F114),4)&amp;M114&amp;RIGHT("00000"&amp;ROW(),5),IF('FALTAS POR DECK'!$P$1="Deck e código","K"&amp;RIGHT("00"&amp;IFERROR(MATCH(A114,_LEITURA!$P$2:$P$21,0),99),2)&amp;M114&amp;RIGHT("00000"&amp;ROW(),5),"K"&amp;RIGHT("00000"&amp;ROW(),5))))))</f>
        <v/>
      </c>
      <c r="O114" s="16" t="str">
        <f aca="false">IF(N114="","",COUNTIFS($N$2:$N$1201,"&lt;"&amp;N114,$F$2:$F$1201,"&gt;0")+1)</f>
        <v/>
      </c>
    </row>
    <row r="115" customFormat="false" ht="15" hidden="false" customHeight="false" outlineLevel="0" collapsed="false">
      <c r="A115" s="11" t="str">
        <f aca="false">IF(_LEITURA!$N115="","",INDEX(_LEITURA!$K$2:$K$1201,_LEITURA!$N115))</f>
        <v/>
      </c>
      <c r="B115" s="11" t="str">
        <f aca="false">IF(_LEITURA!$N115="","",INDEX(_LEITURA!$E$2:$E$1201,_LEITURA!$N115))</f>
        <v/>
      </c>
      <c r="C115" s="11" t="str">
        <f aca="false">IF(_LEITURA!$N115="","",INDEX(_LEITURA!$J$2:$J$1201,_LEITURA!$N115))</f>
        <v/>
      </c>
      <c r="D115" s="16" t="str">
        <f aca="false">IF(_LEITURA!$N115="","",INDEX(_LEITURA!$G$2:$G$1201,_LEITURA!$N115))</f>
        <v/>
      </c>
      <c r="E115" s="16" t="str">
        <f aca="false">IF(B115="","",SUMIFS(INVENTÁRIO!$C$2:$C$801,INVENTÁRIO!$A$2:$A$801,B115))</f>
        <v/>
      </c>
      <c r="F115" s="16" t="str">
        <f aca="false">IF(B115="","",MAX(0,D115-E115))</f>
        <v/>
      </c>
      <c r="G115" s="16" t="str">
        <f aca="false">IF(B115="","",IF(COUNTIFS($B$2:$B$1201,B115,$A$2:$A$1201,"&lt;&gt;"&amp;A115)&gt;0,"Sim",""))</f>
        <v/>
      </c>
      <c r="H115" s="16" t="str">
        <f aca="false">IF(N(F115)&gt;0,MAX(H$1:H114)+1,"")</f>
        <v/>
      </c>
      <c r="I115" s="11" t="str">
        <f aca="false">IF(B115="","",IF(INDEX($C$2:$C$1201,MATCH(B115,$B$2:$B$1201,0))&lt;&gt;C115,"Nome diferente em outro deck — revisar",""))</f>
        <v/>
      </c>
      <c r="J115" s="16" t="str">
        <f aca="false">IF(AND(B115&lt;&gt;"",A115=BULK!$A$1,N(F115)&gt;0),MAX(J$1:J114)+1,"")</f>
        <v/>
      </c>
      <c r="K115" s="11" t="str">
        <f aca="false">IF(B115="","",IFERROR(LEFT(B115,FIND("-",B115)-1),B115))</f>
        <v/>
      </c>
      <c r="L115" s="11" t="str">
        <f aca="false">IF(K115="","",IF(ISNUMBER(--MID(K115,1,1)),0,IF(ISNUMBER(--MID(K115,2,1)),1,IF(ISNUMBER(--MID(K115,3,1)),2,IF(ISNUMBER(--MID(K115,4,1)),3,MIN(LEN(K115),4))))))</f>
        <v/>
      </c>
      <c r="M115" s="11" t="str">
        <f aca="false">IF(B115="","",LEFT(K115,L115)&amp;REPT("0",4-L115)&amp;RIGHT("000"&amp;IFERROR(VALUE(MID(K115,L115+1,9)),0),3)&amp;RIGHT("0000"&amp;IFERROR(VALUE(MID(B115,FIND("-",B115)+1,9)),0),4))</f>
        <v/>
      </c>
      <c r="N115" s="11" t="str">
        <f aca="false">IF(OR(B115="",N(F115)&lt;=0),"",IF('FALTAS POR DECK'!$P$1="Código","K"&amp;M115&amp;RIGHT("00000"&amp;ROW(),5),IF('FALTAS POR DECK'!$P$1="Nome","K"&amp;UPPER(SUBSTITUTE(SUBSTITUTE(SUBSTITUTE(C115,"*",""),"?",""),"~",""))&amp;"0"&amp;M115&amp;RIGHT("00000"&amp;ROW(),5),IF('FALTAS POR DECK'!$P$1="Falta (maior primeiro)","K"&amp;RIGHT("0000"&amp;(9999-F115),4)&amp;M115&amp;RIGHT("00000"&amp;ROW(),5),IF('FALTAS POR DECK'!$P$1="Deck e código","K"&amp;RIGHT("00"&amp;IFERROR(MATCH(A115,_LEITURA!$P$2:$P$21,0),99),2)&amp;M115&amp;RIGHT("00000"&amp;ROW(),5),"K"&amp;RIGHT("00000"&amp;ROW(),5))))))</f>
        <v/>
      </c>
      <c r="O115" s="16" t="str">
        <f aca="false">IF(N115="","",COUNTIFS($N$2:$N$1201,"&lt;"&amp;N115,$F$2:$F$1201,"&gt;0")+1)</f>
        <v/>
      </c>
    </row>
    <row r="116" customFormat="false" ht="15" hidden="false" customHeight="false" outlineLevel="0" collapsed="false">
      <c r="A116" s="11" t="str">
        <f aca="false">IF(_LEITURA!$N116="","",INDEX(_LEITURA!$K$2:$K$1201,_LEITURA!$N116))</f>
        <v/>
      </c>
      <c r="B116" s="11" t="str">
        <f aca="false">IF(_LEITURA!$N116="","",INDEX(_LEITURA!$E$2:$E$1201,_LEITURA!$N116))</f>
        <v/>
      </c>
      <c r="C116" s="11" t="str">
        <f aca="false">IF(_LEITURA!$N116="","",INDEX(_LEITURA!$J$2:$J$1201,_LEITURA!$N116))</f>
        <v/>
      </c>
      <c r="D116" s="16" t="str">
        <f aca="false">IF(_LEITURA!$N116="","",INDEX(_LEITURA!$G$2:$G$1201,_LEITURA!$N116))</f>
        <v/>
      </c>
      <c r="E116" s="16" t="str">
        <f aca="false">IF(B116="","",SUMIFS(INVENTÁRIO!$C$2:$C$801,INVENTÁRIO!$A$2:$A$801,B116))</f>
        <v/>
      </c>
      <c r="F116" s="16" t="str">
        <f aca="false">IF(B116="","",MAX(0,D116-E116))</f>
        <v/>
      </c>
      <c r="G116" s="16" t="str">
        <f aca="false">IF(B116="","",IF(COUNTIFS($B$2:$B$1201,B116,$A$2:$A$1201,"&lt;&gt;"&amp;A116)&gt;0,"Sim",""))</f>
        <v/>
      </c>
      <c r="H116" s="16" t="str">
        <f aca="false">IF(N(F116)&gt;0,MAX(H$1:H115)+1,"")</f>
        <v/>
      </c>
      <c r="I116" s="11" t="str">
        <f aca="false">IF(B116="","",IF(INDEX($C$2:$C$1201,MATCH(B116,$B$2:$B$1201,0))&lt;&gt;C116,"Nome diferente em outro deck — revisar",""))</f>
        <v/>
      </c>
      <c r="J116" s="16" t="str">
        <f aca="false">IF(AND(B116&lt;&gt;"",A116=BULK!$A$1,N(F116)&gt;0),MAX(J$1:J115)+1,"")</f>
        <v/>
      </c>
      <c r="K116" s="11" t="str">
        <f aca="false">IF(B116="","",IFERROR(LEFT(B116,FIND("-",B116)-1),B116))</f>
        <v/>
      </c>
      <c r="L116" s="11" t="str">
        <f aca="false">IF(K116="","",IF(ISNUMBER(--MID(K116,1,1)),0,IF(ISNUMBER(--MID(K116,2,1)),1,IF(ISNUMBER(--MID(K116,3,1)),2,IF(ISNUMBER(--MID(K116,4,1)),3,MIN(LEN(K116),4))))))</f>
        <v/>
      </c>
      <c r="M116" s="11" t="str">
        <f aca="false">IF(B116="","",LEFT(K116,L116)&amp;REPT("0",4-L116)&amp;RIGHT("000"&amp;IFERROR(VALUE(MID(K116,L116+1,9)),0),3)&amp;RIGHT("0000"&amp;IFERROR(VALUE(MID(B116,FIND("-",B116)+1,9)),0),4))</f>
        <v/>
      </c>
      <c r="N116" s="11" t="str">
        <f aca="false">IF(OR(B116="",N(F116)&lt;=0),"",IF('FALTAS POR DECK'!$P$1="Código","K"&amp;M116&amp;RIGHT("00000"&amp;ROW(),5),IF('FALTAS POR DECK'!$P$1="Nome","K"&amp;UPPER(SUBSTITUTE(SUBSTITUTE(SUBSTITUTE(C116,"*",""),"?",""),"~",""))&amp;"0"&amp;M116&amp;RIGHT("00000"&amp;ROW(),5),IF('FALTAS POR DECK'!$P$1="Falta (maior primeiro)","K"&amp;RIGHT("0000"&amp;(9999-F116),4)&amp;M116&amp;RIGHT("00000"&amp;ROW(),5),IF('FALTAS POR DECK'!$P$1="Deck e código","K"&amp;RIGHT("00"&amp;IFERROR(MATCH(A116,_LEITURA!$P$2:$P$21,0),99),2)&amp;M116&amp;RIGHT("00000"&amp;ROW(),5),"K"&amp;RIGHT("00000"&amp;ROW(),5))))))</f>
        <v/>
      </c>
      <c r="O116" s="16" t="str">
        <f aca="false">IF(N116="","",COUNTIFS($N$2:$N$1201,"&lt;"&amp;N116,$F$2:$F$1201,"&gt;0")+1)</f>
        <v/>
      </c>
    </row>
    <row r="117" customFormat="false" ht="15" hidden="false" customHeight="false" outlineLevel="0" collapsed="false">
      <c r="A117" s="11" t="str">
        <f aca="false">IF(_LEITURA!$N117="","",INDEX(_LEITURA!$K$2:$K$1201,_LEITURA!$N117))</f>
        <v/>
      </c>
      <c r="B117" s="11" t="str">
        <f aca="false">IF(_LEITURA!$N117="","",INDEX(_LEITURA!$E$2:$E$1201,_LEITURA!$N117))</f>
        <v/>
      </c>
      <c r="C117" s="11" t="str">
        <f aca="false">IF(_LEITURA!$N117="","",INDEX(_LEITURA!$J$2:$J$1201,_LEITURA!$N117))</f>
        <v/>
      </c>
      <c r="D117" s="16" t="str">
        <f aca="false">IF(_LEITURA!$N117="","",INDEX(_LEITURA!$G$2:$G$1201,_LEITURA!$N117))</f>
        <v/>
      </c>
      <c r="E117" s="16" t="str">
        <f aca="false">IF(B117="","",SUMIFS(INVENTÁRIO!$C$2:$C$801,INVENTÁRIO!$A$2:$A$801,B117))</f>
        <v/>
      </c>
      <c r="F117" s="16" t="str">
        <f aca="false">IF(B117="","",MAX(0,D117-E117))</f>
        <v/>
      </c>
      <c r="G117" s="16" t="str">
        <f aca="false">IF(B117="","",IF(COUNTIFS($B$2:$B$1201,B117,$A$2:$A$1201,"&lt;&gt;"&amp;A117)&gt;0,"Sim",""))</f>
        <v/>
      </c>
      <c r="H117" s="16" t="str">
        <f aca="false">IF(N(F117)&gt;0,MAX(H$1:H116)+1,"")</f>
        <v/>
      </c>
      <c r="I117" s="11" t="str">
        <f aca="false">IF(B117="","",IF(INDEX($C$2:$C$1201,MATCH(B117,$B$2:$B$1201,0))&lt;&gt;C117,"Nome diferente em outro deck — revisar",""))</f>
        <v/>
      </c>
      <c r="J117" s="16" t="str">
        <f aca="false">IF(AND(B117&lt;&gt;"",A117=BULK!$A$1,N(F117)&gt;0),MAX(J$1:J116)+1,"")</f>
        <v/>
      </c>
      <c r="K117" s="11" t="str">
        <f aca="false">IF(B117="","",IFERROR(LEFT(B117,FIND("-",B117)-1),B117))</f>
        <v/>
      </c>
      <c r="L117" s="11" t="str">
        <f aca="false">IF(K117="","",IF(ISNUMBER(--MID(K117,1,1)),0,IF(ISNUMBER(--MID(K117,2,1)),1,IF(ISNUMBER(--MID(K117,3,1)),2,IF(ISNUMBER(--MID(K117,4,1)),3,MIN(LEN(K117),4))))))</f>
        <v/>
      </c>
      <c r="M117" s="11" t="str">
        <f aca="false">IF(B117="","",LEFT(K117,L117)&amp;REPT("0",4-L117)&amp;RIGHT("000"&amp;IFERROR(VALUE(MID(K117,L117+1,9)),0),3)&amp;RIGHT("0000"&amp;IFERROR(VALUE(MID(B117,FIND("-",B117)+1,9)),0),4))</f>
        <v/>
      </c>
      <c r="N117" s="11" t="str">
        <f aca="false">IF(OR(B117="",N(F117)&lt;=0),"",IF('FALTAS POR DECK'!$P$1="Código","K"&amp;M117&amp;RIGHT("00000"&amp;ROW(),5),IF('FALTAS POR DECK'!$P$1="Nome","K"&amp;UPPER(SUBSTITUTE(SUBSTITUTE(SUBSTITUTE(C117,"*",""),"?",""),"~",""))&amp;"0"&amp;M117&amp;RIGHT("00000"&amp;ROW(),5),IF('FALTAS POR DECK'!$P$1="Falta (maior primeiro)","K"&amp;RIGHT("0000"&amp;(9999-F117),4)&amp;M117&amp;RIGHT("00000"&amp;ROW(),5),IF('FALTAS POR DECK'!$P$1="Deck e código","K"&amp;RIGHT("00"&amp;IFERROR(MATCH(A117,_LEITURA!$P$2:$P$21,0),99),2)&amp;M117&amp;RIGHT("00000"&amp;ROW(),5),"K"&amp;RIGHT("00000"&amp;ROW(),5))))))</f>
        <v/>
      </c>
      <c r="O117" s="16" t="str">
        <f aca="false">IF(N117="","",COUNTIFS($N$2:$N$1201,"&lt;"&amp;N117,$F$2:$F$1201,"&gt;0")+1)</f>
        <v/>
      </c>
    </row>
    <row r="118" customFormat="false" ht="15" hidden="false" customHeight="false" outlineLevel="0" collapsed="false">
      <c r="A118" s="11" t="str">
        <f aca="false">IF(_LEITURA!$N118="","",INDEX(_LEITURA!$K$2:$K$1201,_LEITURA!$N118))</f>
        <v/>
      </c>
      <c r="B118" s="11" t="str">
        <f aca="false">IF(_LEITURA!$N118="","",INDEX(_LEITURA!$E$2:$E$1201,_LEITURA!$N118))</f>
        <v/>
      </c>
      <c r="C118" s="11" t="str">
        <f aca="false">IF(_LEITURA!$N118="","",INDEX(_LEITURA!$J$2:$J$1201,_LEITURA!$N118))</f>
        <v/>
      </c>
      <c r="D118" s="16" t="str">
        <f aca="false">IF(_LEITURA!$N118="","",INDEX(_LEITURA!$G$2:$G$1201,_LEITURA!$N118))</f>
        <v/>
      </c>
      <c r="E118" s="16" t="str">
        <f aca="false">IF(B118="","",SUMIFS(INVENTÁRIO!$C$2:$C$801,INVENTÁRIO!$A$2:$A$801,B118))</f>
        <v/>
      </c>
      <c r="F118" s="16" t="str">
        <f aca="false">IF(B118="","",MAX(0,D118-E118))</f>
        <v/>
      </c>
      <c r="G118" s="16" t="str">
        <f aca="false">IF(B118="","",IF(COUNTIFS($B$2:$B$1201,B118,$A$2:$A$1201,"&lt;&gt;"&amp;A118)&gt;0,"Sim",""))</f>
        <v/>
      </c>
      <c r="H118" s="16" t="str">
        <f aca="false">IF(N(F118)&gt;0,MAX(H$1:H117)+1,"")</f>
        <v/>
      </c>
      <c r="I118" s="11" t="str">
        <f aca="false">IF(B118="","",IF(INDEX($C$2:$C$1201,MATCH(B118,$B$2:$B$1201,0))&lt;&gt;C118,"Nome diferente em outro deck — revisar",""))</f>
        <v/>
      </c>
      <c r="J118" s="16" t="str">
        <f aca="false">IF(AND(B118&lt;&gt;"",A118=BULK!$A$1,N(F118)&gt;0),MAX(J$1:J117)+1,"")</f>
        <v/>
      </c>
      <c r="K118" s="11" t="str">
        <f aca="false">IF(B118="","",IFERROR(LEFT(B118,FIND("-",B118)-1),B118))</f>
        <v/>
      </c>
      <c r="L118" s="11" t="str">
        <f aca="false">IF(K118="","",IF(ISNUMBER(--MID(K118,1,1)),0,IF(ISNUMBER(--MID(K118,2,1)),1,IF(ISNUMBER(--MID(K118,3,1)),2,IF(ISNUMBER(--MID(K118,4,1)),3,MIN(LEN(K118),4))))))</f>
        <v/>
      </c>
      <c r="M118" s="11" t="str">
        <f aca="false">IF(B118="","",LEFT(K118,L118)&amp;REPT("0",4-L118)&amp;RIGHT("000"&amp;IFERROR(VALUE(MID(K118,L118+1,9)),0),3)&amp;RIGHT("0000"&amp;IFERROR(VALUE(MID(B118,FIND("-",B118)+1,9)),0),4))</f>
        <v/>
      </c>
      <c r="N118" s="11" t="str">
        <f aca="false">IF(OR(B118="",N(F118)&lt;=0),"",IF('FALTAS POR DECK'!$P$1="Código","K"&amp;M118&amp;RIGHT("00000"&amp;ROW(),5),IF('FALTAS POR DECK'!$P$1="Nome","K"&amp;UPPER(SUBSTITUTE(SUBSTITUTE(SUBSTITUTE(C118,"*",""),"?",""),"~",""))&amp;"0"&amp;M118&amp;RIGHT("00000"&amp;ROW(),5),IF('FALTAS POR DECK'!$P$1="Falta (maior primeiro)","K"&amp;RIGHT("0000"&amp;(9999-F118),4)&amp;M118&amp;RIGHT("00000"&amp;ROW(),5),IF('FALTAS POR DECK'!$P$1="Deck e código","K"&amp;RIGHT("00"&amp;IFERROR(MATCH(A118,_LEITURA!$P$2:$P$21,0),99),2)&amp;M118&amp;RIGHT("00000"&amp;ROW(),5),"K"&amp;RIGHT("00000"&amp;ROW(),5))))))</f>
        <v/>
      </c>
      <c r="O118" s="16" t="str">
        <f aca="false">IF(N118="","",COUNTIFS($N$2:$N$1201,"&lt;"&amp;N118,$F$2:$F$1201,"&gt;0")+1)</f>
        <v/>
      </c>
    </row>
    <row r="119" customFormat="false" ht="15" hidden="false" customHeight="false" outlineLevel="0" collapsed="false">
      <c r="A119" s="11" t="str">
        <f aca="false">IF(_LEITURA!$N119="","",INDEX(_LEITURA!$K$2:$K$1201,_LEITURA!$N119))</f>
        <v/>
      </c>
      <c r="B119" s="11" t="str">
        <f aca="false">IF(_LEITURA!$N119="","",INDEX(_LEITURA!$E$2:$E$1201,_LEITURA!$N119))</f>
        <v/>
      </c>
      <c r="C119" s="11" t="str">
        <f aca="false">IF(_LEITURA!$N119="","",INDEX(_LEITURA!$J$2:$J$1201,_LEITURA!$N119))</f>
        <v/>
      </c>
      <c r="D119" s="16" t="str">
        <f aca="false">IF(_LEITURA!$N119="","",INDEX(_LEITURA!$G$2:$G$1201,_LEITURA!$N119))</f>
        <v/>
      </c>
      <c r="E119" s="16" t="str">
        <f aca="false">IF(B119="","",SUMIFS(INVENTÁRIO!$C$2:$C$801,INVENTÁRIO!$A$2:$A$801,B119))</f>
        <v/>
      </c>
      <c r="F119" s="16" t="str">
        <f aca="false">IF(B119="","",MAX(0,D119-E119))</f>
        <v/>
      </c>
      <c r="G119" s="16" t="str">
        <f aca="false">IF(B119="","",IF(COUNTIFS($B$2:$B$1201,B119,$A$2:$A$1201,"&lt;&gt;"&amp;A119)&gt;0,"Sim",""))</f>
        <v/>
      </c>
      <c r="H119" s="16" t="str">
        <f aca="false">IF(N(F119)&gt;0,MAX(H$1:H118)+1,"")</f>
        <v/>
      </c>
      <c r="I119" s="11" t="str">
        <f aca="false">IF(B119="","",IF(INDEX($C$2:$C$1201,MATCH(B119,$B$2:$B$1201,0))&lt;&gt;C119,"Nome diferente em outro deck — revisar",""))</f>
        <v/>
      </c>
      <c r="J119" s="16" t="str">
        <f aca="false">IF(AND(B119&lt;&gt;"",A119=BULK!$A$1,N(F119)&gt;0),MAX(J$1:J118)+1,"")</f>
        <v/>
      </c>
      <c r="K119" s="11" t="str">
        <f aca="false">IF(B119="","",IFERROR(LEFT(B119,FIND("-",B119)-1),B119))</f>
        <v/>
      </c>
      <c r="L119" s="11" t="str">
        <f aca="false">IF(K119="","",IF(ISNUMBER(--MID(K119,1,1)),0,IF(ISNUMBER(--MID(K119,2,1)),1,IF(ISNUMBER(--MID(K119,3,1)),2,IF(ISNUMBER(--MID(K119,4,1)),3,MIN(LEN(K119),4))))))</f>
        <v/>
      </c>
      <c r="M119" s="11" t="str">
        <f aca="false">IF(B119="","",LEFT(K119,L119)&amp;REPT("0",4-L119)&amp;RIGHT("000"&amp;IFERROR(VALUE(MID(K119,L119+1,9)),0),3)&amp;RIGHT("0000"&amp;IFERROR(VALUE(MID(B119,FIND("-",B119)+1,9)),0),4))</f>
        <v/>
      </c>
      <c r="N119" s="11" t="str">
        <f aca="false">IF(OR(B119="",N(F119)&lt;=0),"",IF('FALTAS POR DECK'!$P$1="Código","K"&amp;M119&amp;RIGHT("00000"&amp;ROW(),5),IF('FALTAS POR DECK'!$P$1="Nome","K"&amp;UPPER(SUBSTITUTE(SUBSTITUTE(SUBSTITUTE(C119,"*",""),"?",""),"~",""))&amp;"0"&amp;M119&amp;RIGHT("00000"&amp;ROW(),5),IF('FALTAS POR DECK'!$P$1="Falta (maior primeiro)","K"&amp;RIGHT("0000"&amp;(9999-F119),4)&amp;M119&amp;RIGHT("00000"&amp;ROW(),5),IF('FALTAS POR DECK'!$P$1="Deck e código","K"&amp;RIGHT("00"&amp;IFERROR(MATCH(A119,_LEITURA!$P$2:$P$21,0),99),2)&amp;M119&amp;RIGHT("00000"&amp;ROW(),5),"K"&amp;RIGHT("00000"&amp;ROW(),5))))))</f>
        <v/>
      </c>
      <c r="O119" s="16" t="str">
        <f aca="false">IF(N119="","",COUNTIFS($N$2:$N$1201,"&lt;"&amp;N119,$F$2:$F$1201,"&gt;0")+1)</f>
        <v/>
      </c>
    </row>
    <row r="120" customFormat="false" ht="15" hidden="false" customHeight="false" outlineLevel="0" collapsed="false">
      <c r="A120" s="11" t="str">
        <f aca="false">IF(_LEITURA!$N120="","",INDEX(_LEITURA!$K$2:$K$1201,_LEITURA!$N120))</f>
        <v/>
      </c>
      <c r="B120" s="11" t="str">
        <f aca="false">IF(_LEITURA!$N120="","",INDEX(_LEITURA!$E$2:$E$1201,_LEITURA!$N120))</f>
        <v/>
      </c>
      <c r="C120" s="11" t="str">
        <f aca="false">IF(_LEITURA!$N120="","",INDEX(_LEITURA!$J$2:$J$1201,_LEITURA!$N120))</f>
        <v/>
      </c>
      <c r="D120" s="16" t="str">
        <f aca="false">IF(_LEITURA!$N120="","",INDEX(_LEITURA!$G$2:$G$1201,_LEITURA!$N120))</f>
        <v/>
      </c>
      <c r="E120" s="16" t="str">
        <f aca="false">IF(B120="","",SUMIFS(INVENTÁRIO!$C$2:$C$801,INVENTÁRIO!$A$2:$A$801,B120))</f>
        <v/>
      </c>
      <c r="F120" s="16" t="str">
        <f aca="false">IF(B120="","",MAX(0,D120-E120))</f>
        <v/>
      </c>
      <c r="G120" s="16" t="str">
        <f aca="false">IF(B120="","",IF(COUNTIFS($B$2:$B$1201,B120,$A$2:$A$1201,"&lt;&gt;"&amp;A120)&gt;0,"Sim",""))</f>
        <v/>
      </c>
      <c r="H120" s="16" t="str">
        <f aca="false">IF(N(F120)&gt;0,MAX(H$1:H119)+1,"")</f>
        <v/>
      </c>
      <c r="I120" s="11" t="str">
        <f aca="false">IF(B120="","",IF(INDEX($C$2:$C$1201,MATCH(B120,$B$2:$B$1201,0))&lt;&gt;C120,"Nome diferente em outro deck — revisar",""))</f>
        <v/>
      </c>
      <c r="J120" s="16" t="str">
        <f aca="false">IF(AND(B120&lt;&gt;"",A120=BULK!$A$1,N(F120)&gt;0),MAX(J$1:J119)+1,"")</f>
        <v/>
      </c>
      <c r="K120" s="11" t="str">
        <f aca="false">IF(B120="","",IFERROR(LEFT(B120,FIND("-",B120)-1),B120))</f>
        <v/>
      </c>
      <c r="L120" s="11" t="str">
        <f aca="false">IF(K120="","",IF(ISNUMBER(--MID(K120,1,1)),0,IF(ISNUMBER(--MID(K120,2,1)),1,IF(ISNUMBER(--MID(K120,3,1)),2,IF(ISNUMBER(--MID(K120,4,1)),3,MIN(LEN(K120),4))))))</f>
        <v/>
      </c>
      <c r="M120" s="11" t="str">
        <f aca="false">IF(B120="","",LEFT(K120,L120)&amp;REPT("0",4-L120)&amp;RIGHT("000"&amp;IFERROR(VALUE(MID(K120,L120+1,9)),0),3)&amp;RIGHT("0000"&amp;IFERROR(VALUE(MID(B120,FIND("-",B120)+1,9)),0),4))</f>
        <v/>
      </c>
      <c r="N120" s="11" t="str">
        <f aca="false">IF(OR(B120="",N(F120)&lt;=0),"",IF('FALTAS POR DECK'!$P$1="Código","K"&amp;M120&amp;RIGHT("00000"&amp;ROW(),5),IF('FALTAS POR DECK'!$P$1="Nome","K"&amp;UPPER(SUBSTITUTE(SUBSTITUTE(SUBSTITUTE(C120,"*",""),"?",""),"~",""))&amp;"0"&amp;M120&amp;RIGHT("00000"&amp;ROW(),5),IF('FALTAS POR DECK'!$P$1="Falta (maior primeiro)","K"&amp;RIGHT("0000"&amp;(9999-F120),4)&amp;M120&amp;RIGHT("00000"&amp;ROW(),5),IF('FALTAS POR DECK'!$P$1="Deck e código","K"&amp;RIGHT("00"&amp;IFERROR(MATCH(A120,_LEITURA!$P$2:$P$21,0),99),2)&amp;M120&amp;RIGHT("00000"&amp;ROW(),5),"K"&amp;RIGHT("00000"&amp;ROW(),5))))))</f>
        <v/>
      </c>
      <c r="O120" s="16" t="str">
        <f aca="false">IF(N120="","",COUNTIFS($N$2:$N$1201,"&lt;"&amp;N120,$F$2:$F$1201,"&gt;0")+1)</f>
        <v/>
      </c>
    </row>
    <row r="121" customFormat="false" ht="15" hidden="false" customHeight="false" outlineLevel="0" collapsed="false">
      <c r="A121" s="11" t="str">
        <f aca="false">IF(_LEITURA!$N121="","",INDEX(_LEITURA!$K$2:$K$1201,_LEITURA!$N121))</f>
        <v/>
      </c>
      <c r="B121" s="11" t="str">
        <f aca="false">IF(_LEITURA!$N121="","",INDEX(_LEITURA!$E$2:$E$1201,_LEITURA!$N121))</f>
        <v/>
      </c>
      <c r="C121" s="11" t="str">
        <f aca="false">IF(_LEITURA!$N121="","",INDEX(_LEITURA!$J$2:$J$1201,_LEITURA!$N121))</f>
        <v/>
      </c>
      <c r="D121" s="16" t="str">
        <f aca="false">IF(_LEITURA!$N121="","",INDEX(_LEITURA!$G$2:$G$1201,_LEITURA!$N121))</f>
        <v/>
      </c>
      <c r="E121" s="16" t="str">
        <f aca="false">IF(B121="","",SUMIFS(INVENTÁRIO!$C$2:$C$801,INVENTÁRIO!$A$2:$A$801,B121))</f>
        <v/>
      </c>
      <c r="F121" s="16" t="str">
        <f aca="false">IF(B121="","",MAX(0,D121-E121))</f>
        <v/>
      </c>
      <c r="G121" s="16" t="str">
        <f aca="false">IF(B121="","",IF(COUNTIFS($B$2:$B$1201,B121,$A$2:$A$1201,"&lt;&gt;"&amp;A121)&gt;0,"Sim",""))</f>
        <v/>
      </c>
      <c r="H121" s="16" t="str">
        <f aca="false">IF(N(F121)&gt;0,MAX(H$1:H120)+1,"")</f>
        <v/>
      </c>
      <c r="I121" s="11" t="str">
        <f aca="false">IF(B121="","",IF(INDEX($C$2:$C$1201,MATCH(B121,$B$2:$B$1201,0))&lt;&gt;C121,"Nome diferente em outro deck — revisar",""))</f>
        <v/>
      </c>
      <c r="J121" s="16" t="str">
        <f aca="false">IF(AND(B121&lt;&gt;"",A121=BULK!$A$1,N(F121)&gt;0),MAX(J$1:J120)+1,"")</f>
        <v/>
      </c>
      <c r="K121" s="11" t="str">
        <f aca="false">IF(B121="","",IFERROR(LEFT(B121,FIND("-",B121)-1),B121))</f>
        <v/>
      </c>
      <c r="L121" s="11" t="str">
        <f aca="false">IF(K121="","",IF(ISNUMBER(--MID(K121,1,1)),0,IF(ISNUMBER(--MID(K121,2,1)),1,IF(ISNUMBER(--MID(K121,3,1)),2,IF(ISNUMBER(--MID(K121,4,1)),3,MIN(LEN(K121),4))))))</f>
        <v/>
      </c>
      <c r="M121" s="11" t="str">
        <f aca="false">IF(B121="","",LEFT(K121,L121)&amp;REPT("0",4-L121)&amp;RIGHT("000"&amp;IFERROR(VALUE(MID(K121,L121+1,9)),0),3)&amp;RIGHT("0000"&amp;IFERROR(VALUE(MID(B121,FIND("-",B121)+1,9)),0),4))</f>
        <v/>
      </c>
      <c r="N121" s="11" t="str">
        <f aca="false">IF(OR(B121="",N(F121)&lt;=0),"",IF('FALTAS POR DECK'!$P$1="Código","K"&amp;M121&amp;RIGHT("00000"&amp;ROW(),5),IF('FALTAS POR DECK'!$P$1="Nome","K"&amp;UPPER(SUBSTITUTE(SUBSTITUTE(SUBSTITUTE(C121,"*",""),"?",""),"~",""))&amp;"0"&amp;M121&amp;RIGHT("00000"&amp;ROW(),5),IF('FALTAS POR DECK'!$P$1="Falta (maior primeiro)","K"&amp;RIGHT("0000"&amp;(9999-F121),4)&amp;M121&amp;RIGHT("00000"&amp;ROW(),5),IF('FALTAS POR DECK'!$P$1="Deck e código","K"&amp;RIGHT("00"&amp;IFERROR(MATCH(A121,_LEITURA!$P$2:$P$21,0),99),2)&amp;M121&amp;RIGHT("00000"&amp;ROW(),5),"K"&amp;RIGHT("00000"&amp;ROW(),5))))))</f>
        <v/>
      </c>
      <c r="O121" s="16" t="str">
        <f aca="false">IF(N121="","",COUNTIFS($N$2:$N$1201,"&lt;"&amp;N121,$F$2:$F$1201,"&gt;0")+1)</f>
        <v/>
      </c>
    </row>
    <row r="122" customFormat="false" ht="15" hidden="false" customHeight="false" outlineLevel="0" collapsed="false">
      <c r="A122" s="11" t="str">
        <f aca="false">IF(_LEITURA!$N122="","",INDEX(_LEITURA!$K$2:$K$1201,_LEITURA!$N122))</f>
        <v/>
      </c>
      <c r="B122" s="11" t="str">
        <f aca="false">IF(_LEITURA!$N122="","",INDEX(_LEITURA!$E$2:$E$1201,_LEITURA!$N122))</f>
        <v/>
      </c>
      <c r="C122" s="11" t="str">
        <f aca="false">IF(_LEITURA!$N122="","",INDEX(_LEITURA!$J$2:$J$1201,_LEITURA!$N122))</f>
        <v/>
      </c>
      <c r="D122" s="16" t="str">
        <f aca="false">IF(_LEITURA!$N122="","",INDEX(_LEITURA!$G$2:$G$1201,_LEITURA!$N122))</f>
        <v/>
      </c>
      <c r="E122" s="16" t="str">
        <f aca="false">IF(B122="","",SUMIFS(INVENTÁRIO!$C$2:$C$801,INVENTÁRIO!$A$2:$A$801,B122))</f>
        <v/>
      </c>
      <c r="F122" s="16" t="str">
        <f aca="false">IF(B122="","",MAX(0,D122-E122))</f>
        <v/>
      </c>
      <c r="G122" s="16" t="str">
        <f aca="false">IF(B122="","",IF(COUNTIFS($B$2:$B$1201,B122,$A$2:$A$1201,"&lt;&gt;"&amp;A122)&gt;0,"Sim",""))</f>
        <v/>
      </c>
      <c r="H122" s="16" t="str">
        <f aca="false">IF(N(F122)&gt;0,MAX(H$1:H121)+1,"")</f>
        <v/>
      </c>
      <c r="I122" s="11" t="str">
        <f aca="false">IF(B122="","",IF(INDEX($C$2:$C$1201,MATCH(B122,$B$2:$B$1201,0))&lt;&gt;C122,"Nome diferente em outro deck — revisar",""))</f>
        <v/>
      </c>
      <c r="J122" s="16" t="str">
        <f aca="false">IF(AND(B122&lt;&gt;"",A122=BULK!$A$1,N(F122)&gt;0),MAX(J$1:J121)+1,"")</f>
        <v/>
      </c>
      <c r="K122" s="11" t="str">
        <f aca="false">IF(B122="","",IFERROR(LEFT(B122,FIND("-",B122)-1),B122))</f>
        <v/>
      </c>
      <c r="L122" s="11" t="str">
        <f aca="false">IF(K122="","",IF(ISNUMBER(--MID(K122,1,1)),0,IF(ISNUMBER(--MID(K122,2,1)),1,IF(ISNUMBER(--MID(K122,3,1)),2,IF(ISNUMBER(--MID(K122,4,1)),3,MIN(LEN(K122),4))))))</f>
        <v/>
      </c>
      <c r="M122" s="11" t="str">
        <f aca="false">IF(B122="","",LEFT(K122,L122)&amp;REPT("0",4-L122)&amp;RIGHT("000"&amp;IFERROR(VALUE(MID(K122,L122+1,9)),0),3)&amp;RIGHT("0000"&amp;IFERROR(VALUE(MID(B122,FIND("-",B122)+1,9)),0),4))</f>
        <v/>
      </c>
      <c r="N122" s="11" t="str">
        <f aca="false">IF(OR(B122="",N(F122)&lt;=0),"",IF('FALTAS POR DECK'!$P$1="Código","K"&amp;M122&amp;RIGHT("00000"&amp;ROW(),5),IF('FALTAS POR DECK'!$P$1="Nome","K"&amp;UPPER(SUBSTITUTE(SUBSTITUTE(SUBSTITUTE(C122,"*",""),"?",""),"~",""))&amp;"0"&amp;M122&amp;RIGHT("00000"&amp;ROW(),5),IF('FALTAS POR DECK'!$P$1="Falta (maior primeiro)","K"&amp;RIGHT("0000"&amp;(9999-F122),4)&amp;M122&amp;RIGHT("00000"&amp;ROW(),5),IF('FALTAS POR DECK'!$P$1="Deck e código","K"&amp;RIGHT("00"&amp;IFERROR(MATCH(A122,_LEITURA!$P$2:$P$21,0),99),2)&amp;M122&amp;RIGHT("00000"&amp;ROW(),5),"K"&amp;RIGHT("00000"&amp;ROW(),5))))))</f>
        <v/>
      </c>
      <c r="O122" s="16" t="str">
        <f aca="false">IF(N122="","",COUNTIFS($N$2:$N$1201,"&lt;"&amp;N122,$F$2:$F$1201,"&gt;0")+1)</f>
        <v/>
      </c>
    </row>
    <row r="123" customFormat="false" ht="15" hidden="false" customHeight="false" outlineLevel="0" collapsed="false">
      <c r="A123" s="11" t="str">
        <f aca="false">IF(_LEITURA!$N123="","",INDEX(_LEITURA!$K$2:$K$1201,_LEITURA!$N123))</f>
        <v/>
      </c>
      <c r="B123" s="11" t="str">
        <f aca="false">IF(_LEITURA!$N123="","",INDEX(_LEITURA!$E$2:$E$1201,_LEITURA!$N123))</f>
        <v/>
      </c>
      <c r="C123" s="11" t="str">
        <f aca="false">IF(_LEITURA!$N123="","",INDEX(_LEITURA!$J$2:$J$1201,_LEITURA!$N123))</f>
        <v/>
      </c>
      <c r="D123" s="16" t="str">
        <f aca="false">IF(_LEITURA!$N123="","",INDEX(_LEITURA!$G$2:$G$1201,_LEITURA!$N123))</f>
        <v/>
      </c>
      <c r="E123" s="16" t="str">
        <f aca="false">IF(B123="","",SUMIFS(INVENTÁRIO!$C$2:$C$801,INVENTÁRIO!$A$2:$A$801,B123))</f>
        <v/>
      </c>
      <c r="F123" s="16" t="str">
        <f aca="false">IF(B123="","",MAX(0,D123-E123))</f>
        <v/>
      </c>
      <c r="G123" s="16" t="str">
        <f aca="false">IF(B123="","",IF(COUNTIFS($B$2:$B$1201,B123,$A$2:$A$1201,"&lt;&gt;"&amp;A123)&gt;0,"Sim",""))</f>
        <v/>
      </c>
      <c r="H123" s="16" t="str">
        <f aca="false">IF(N(F123)&gt;0,MAX(H$1:H122)+1,"")</f>
        <v/>
      </c>
      <c r="I123" s="11" t="str">
        <f aca="false">IF(B123="","",IF(INDEX($C$2:$C$1201,MATCH(B123,$B$2:$B$1201,0))&lt;&gt;C123,"Nome diferente em outro deck — revisar",""))</f>
        <v/>
      </c>
      <c r="J123" s="16" t="str">
        <f aca="false">IF(AND(B123&lt;&gt;"",A123=BULK!$A$1,N(F123)&gt;0),MAX(J$1:J122)+1,"")</f>
        <v/>
      </c>
      <c r="K123" s="11" t="str">
        <f aca="false">IF(B123="","",IFERROR(LEFT(B123,FIND("-",B123)-1),B123))</f>
        <v/>
      </c>
      <c r="L123" s="11" t="str">
        <f aca="false">IF(K123="","",IF(ISNUMBER(--MID(K123,1,1)),0,IF(ISNUMBER(--MID(K123,2,1)),1,IF(ISNUMBER(--MID(K123,3,1)),2,IF(ISNUMBER(--MID(K123,4,1)),3,MIN(LEN(K123),4))))))</f>
        <v/>
      </c>
      <c r="M123" s="11" t="str">
        <f aca="false">IF(B123="","",LEFT(K123,L123)&amp;REPT("0",4-L123)&amp;RIGHT("000"&amp;IFERROR(VALUE(MID(K123,L123+1,9)),0),3)&amp;RIGHT("0000"&amp;IFERROR(VALUE(MID(B123,FIND("-",B123)+1,9)),0),4))</f>
        <v/>
      </c>
      <c r="N123" s="11" t="str">
        <f aca="false">IF(OR(B123="",N(F123)&lt;=0),"",IF('FALTAS POR DECK'!$P$1="Código","K"&amp;M123&amp;RIGHT("00000"&amp;ROW(),5),IF('FALTAS POR DECK'!$P$1="Nome","K"&amp;UPPER(SUBSTITUTE(SUBSTITUTE(SUBSTITUTE(C123,"*",""),"?",""),"~",""))&amp;"0"&amp;M123&amp;RIGHT("00000"&amp;ROW(),5),IF('FALTAS POR DECK'!$P$1="Falta (maior primeiro)","K"&amp;RIGHT("0000"&amp;(9999-F123),4)&amp;M123&amp;RIGHT("00000"&amp;ROW(),5),IF('FALTAS POR DECK'!$P$1="Deck e código","K"&amp;RIGHT("00"&amp;IFERROR(MATCH(A123,_LEITURA!$P$2:$P$21,0),99),2)&amp;M123&amp;RIGHT("00000"&amp;ROW(),5),"K"&amp;RIGHT("00000"&amp;ROW(),5))))))</f>
        <v/>
      </c>
      <c r="O123" s="16" t="str">
        <f aca="false">IF(N123="","",COUNTIFS($N$2:$N$1201,"&lt;"&amp;N123,$F$2:$F$1201,"&gt;0")+1)</f>
        <v/>
      </c>
    </row>
    <row r="124" customFormat="false" ht="15" hidden="false" customHeight="false" outlineLevel="0" collapsed="false">
      <c r="A124" s="11" t="str">
        <f aca="false">IF(_LEITURA!$N124="","",INDEX(_LEITURA!$K$2:$K$1201,_LEITURA!$N124))</f>
        <v/>
      </c>
      <c r="B124" s="11" t="str">
        <f aca="false">IF(_LEITURA!$N124="","",INDEX(_LEITURA!$E$2:$E$1201,_LEITURA!$N124))</f>
        <v/>
      </c>
      <c r="C124" s="11" t="str">
        <f aca="false">IF(_LEITURA!$N124="","",INDEX(_LEITURA!$J$2:$J$1201,_LEITURA!$N124))</f>
        <v/>
      </c>
      <c r="D124" s="16" t="str">
        <f aca="false">IF(_LEITURA!$N124="","",INDEX(_LEITURA!$G$2:$G$1201,_LEITURA!$N124))</f>
        <v/>
      </c>
      <c r="E124" s="16" t="str">
        <f aca="false">IF(B124="","",SUMIFS(INVENTÁRIO!$C$2:$C$801,INVENTÁRIO!$A$2:$A$801,B124))</f>
        <v/>
      </c>
      <c r="F124" s="16" t="str">
        <f aca="false">IF(B124="","",MAX(0,D124-E124))</f>
        <v/>
      </c>
      <c r="G124" s="16" t="str">
        <f aca="false">IF(B124="","",IF(COUNTIFS($B$2:$B$1201,B124,$A$2:$A$1201,"&lt;&gt;"&amp;A124)&gt;0,"Sim",""))</f>
        <v/>
      </c>
      <c r="H124" s="16" t="str">
        <f aca="false">IF(N(F124)&gt;0,MAX(H$1:H123)+1,"")</f>
        <v/>
      </c>
      <c r="I124" s="11" t="str">
        <f aca="false">IF(B124="","",IF(INDEX($C$2:$C$1201,MATCH(B124,$B$2:$B$1201,0))&lt;&gt;C124,"Nome diferente em outro deck — revisar",""))</f>
        <v/>
      </c>
      <c r="J124" s="16" t="str">
        <f aca="false">IF(AND(B124&lt;&gt;"",A124=BULK!$A$1,N(F124)&gt;0),MAX(J$1:J123)+1,"")</f>
        <v/>
      </c>
      <c r="K124" s="11" t="str">
        <f aca="false">IF(B124="","",IFERROR(LEFT(B124,FIND("-",B124)-1),B124))</f>
        <v/>
      </c>
      <c r="L124" s="11" t="str">
        <f aca="false">IF(K124="","",IF(ISNUMBER(--MID(K124,1,1)),0,IF(ISNUMBER(--MID(K124,2,1)),1,IF(ISNUMBER(--MID(K124,3,1)),2,IF(ISNUMBER(--MID(K124,4,1)),3,MIN(LEN(K124),4))))))</f>
        <v/>
      </c>
      <c r="M124" s="11" t="str">
        <f aca="false">IF(B124="","",LEFT(K124,L124)&amp;REPT("0",4-L124)&amp;RIGHT("000"&amp;IFERROR(VALUE(MID(K124,L124+1,9)),0),3)&amp;RIGHT("0000"&amp;IFERROR(VALUE(MID(B124,FIND("-",B124)+1,9)),0),4))</f>
        <v/>
      </c>
      <c r="N124" s="11" t="str">
        <f aca="false">IF(OR(B124="",N(F124)&lt;=0),"",IF('FALTAS POR DECK'!$P$1="Código","K"&amp;M124&amp;RIGHT("00000"&amp;ROW(),5),IF('FALTAS POR DECK'!$P$1="Nome","K"&amp;UPPER(SUBSTITUTE(SUBSTITUTE(SUBSTITUTE(C124,"*",""),"?",""),"~",""))&amp;"0"&amp;M124&amp;RIGHT("00000"&amp;ROW(),5),IF('FALTAS POR DECK'!$P$1="Falta (maior primeiro)","K"&amp;RIGHT("0000"&amp;(9999-F124),4)&amp;M124&amp;RIGHT("00000"&amp;ROW(),5),IF('FALTAS POR DECK'!$P$1="Deck e código","K"&amp;RIGHT("00"&amp;IFERROR(MATCH(A124,_LEITURA!$P$2:$P$21,0),99),2)&amp;M124&amp;RIGHT("00000"&amp;ROW(),5),"K"&amp;RIGHT("00000"&amp;ROW(),5))))))</f>
        <v/>
      </c>
      <c r="O124" s="16" t="str">
        <f aca="false">IF(N124="","",COUNTIFS($N$2:$N$1201,"&lt;"&amp;N124,$F$2:$F$1201,"&gt;0")+1)</f>
        <v/>
      </c>
    </row>
    <row r="125" customFormat="false" ht="15" hidden="false" customHeight="false" outlineLevel="0" collapsed="false">
      <c r="A125" s="11" t="str">
        <f aca="false">IF(_LEITURA!$N125="","",INDEX(_LEITURA!$K$2:$K$1201,_LEITURA!$N125))</f>
        <v/>
      </c>
      <c r="B125" s="11" t="str">
        <f aca="false">IF(_LEITURA!$N125="","",INDEX(_LEITURA!$E$2:$E$1201,_LEITURA!$N125))</f>
        <v/>
      </c>
      <c r="C125" s="11" t="str">
        <f aca="false">IF(_LEITURA!$N125="","",INDEX(_LEITURA!$J$2:$J$1201,_LEITURA!$N125))</f>
        <v/>
      </c>
      <c r="D125" s="16" t="str">
        <f aca="false">IF(_LEITURA!$N125="","",INDEX(_LEITURA!$G$2:$G$1201,_LEITURA!$N125))</f>
        <v/>
      </c>
      <c r="E125" s="16" t="str">
        <f aca="false">IF(B125="","",SUMIFS(INVENTÁRIO!$C$2:$C$801,INVENTÁRIO!$A$2:$A$801,B125))</f>
        <v/>
      </c>
      <c r="F125" s="16" t="str">
        <f aca="false">IF(B125="","",MAX(0,D125-E125))</f>
        <v/>
      </c>
      <c r="G125" s="16" t="str">
        <f aca="false">IF(B125="","",IF(COUNTIFS($B$2:$B$1201,B125,$A$2:$A$1201,"&lt;&gt;"&amp;A125)&gt;0,"Sim",""))</f>
        <v/>
      </c>
      <c r="H125" s="16" t="str">
        <f aca="false">IF(N(F125)&gt;0,MAX(H$1:H124)+1,"")</f>
        <v/>
      </c>
      <c r="I125" s="11" t="str">
        <f aca="false">IF(B125="","",IF(INDEX($C$2:$C$1201,MATCH(B125,$B$2:$B$1201,0))&lt;&gt;C125,"Nome diferente em outro deck — revisar",""))</f>
        <v/>
      </c>
      <c r="J125" s="16" t="str">
        <f aca="false">IF(AND(B125&lt;&gt;"",A125=BULK!$A$1,N(F125)&gt;0),MAX(J$1:J124)+1,"")</f>
        <v/>
      </c>
      <c r="K125" s="11" t="str">
        <f aca="false">IF(B125="","",IFERROR(LEFT(B125,FIND("-",B125)-1),B125))</f>
        <v/>
      </c>
      <c r="L125" s="11" t="str">
        <f aca="false">IF(K125="","",IF(ISNUMBER(--MID(K125,1,1)),0,IF(ISNUMBER(--MID(K125,2,1)),1,IF(ISNUMBER(--MID(K125,3,1)),2,IF(ISNUMBER(--MID(K125,4,1)),3,MIN(LEN(K125),4))))))</f>
        <v/>
      </c>
      <c r="M125" s="11" t="str">
        <f aca="false">IF(B125="","",LEFT(K125,L125)&amp;REPT("0",4-L125)&amp;RIGHT("000"&amp;IFERROR(VALUE(MID(K125,L125+1,9)),0),3)&amp;RIGHT("0000"&amp;IFERROR(VALUE(MID(B125,FIND("-",B125)+1,9)),0),4))</f>
        <v/>
      </c>
      <c r="N125" s="11" t="str">
        <f aca="false">IF(OR(B125="",N(F125)&lt;=0),"",IF('FALTAS POR DECK'!$P$1="Código","K"&amp;M125&amp;RIGHT("00000"&amp;ROW(),5),IF('FALTAS POR DECK'!$P$1="Nome","K"&amp;UPPER(SUBSTITUTE(SUBSTITUTE(SUBSTITUTE(C125,"*",""),"?",""),"~",""))&amp;"0"&amp;M125&amp;RIGHT("00000"&amp;ROW(),5),IF('FALTAS POR DECK'!$P$1="Falta (maior primeiro)","K"&amp;RIGHT("0000"&amp;(9999-F125),4)&amp;M125&amp;RIGHT("00000"&amp;ROW(),5),IF('FALTAS POR DECK'!$P$1="Deck e código","K"&amp;RIGHT("00"&amp;IFERROR(MATCH(A125,_LEITURA!$P$2:$P$21,0),99),2)&amp;M125&amp;RIGHT("00000"&amp;ROW(),5),"K"&amp;RIGHT("00000"&amp;ROW(),5))))))</f>
        <v/>
      </c>
      <c r="O125" s="16" t="str">
        <f aca="false">IF(N125="","",COUNTIFS($N$2:$N$1201,"&lt;"&amp;N125,$F$2:$F$1201,"&gt;0")+1)</f>
        <v/>
      </c>
    </row>
    <row r="126" customFormat="false" ht="15" hidden="false" customHeight="false" outlineLevel="0" collapsed="false">
      <c r="A126" s="11" t="str">
        <f aca="false">IF(_LEITURA!$N126="","",INDEX(_LEITURA!$K$2:$K$1201,_LEITURA!$N126))</f>
        <v/>
      </c>
      <c r="B126" s="11" t="str">
        <f aca="false">IF(_LEITURA!$N126="","",INDEX(_LEITURA!$E$2:$E$1201,_LEITURA!$N126))</f>
        <v/>
      </c>
      <c r="C126" s="11" t="str">
        <f aca="false">IF(_LEITURA!$N126="","",INDEX(_LEITURA!$J$2:$J$1201,_LEITURA!$N126))</f>
        <v/>
      </c>
      <c r="D126" s="16" t="str">
        <f aca="false">IF(_LEITURA!$N126="","",INDEX(_LEITURA!$G$2:$G$1201,_LEITURA!$N126))</f>
        <v/>
      </c>
      <c r="E126" s="16" t="str">
        <f aca="false">IF(B126="","",SUMIFS(INVENTÁRIO!$C$2:$C$801,INVENTÁRIO!$A$2:$A$801,B126))</f>
        <v/>
      </c>
      <c r="F126" s="16" t="str">
        <f aca="false">IF(B126="","",MAX(0,D126-E126))</f>
        <v/>
      </c>
      <c r="G126" s="16" t="str">
        <f aca="false">IF(B126="","",IF(COUNTIFS($B$2:$B$1201,B126,$A$2:$A$1201,"&lt;&gt;"&amp;A126)&gt;0,"Sim",""))</f>
        <v/>
      </c>
      <c r="H126" s="16" t="str">
        <f aca="false">IF(N(F126)&gt;0,MAX(H$1:H125)+1,"")</f>
        <v/>
      </c>
      <c r="I126" s="11" t="str">
        <f aca="false">IF(B126="","",IF(INDEX($C$2:$C$1201,MATCH(B126,$B$2:$B$1201,0))&lt;&gt;C126,"Nome diferente em outro deck — revisar",""))</f>
        <v/>
      </c>
      <c r="J126" s="16" t="str">
        <f aca="false">IF(AND(B126&lt;&gt;"",A126=BULK!$A$1,N(F126)&gt;0),MAX(J$1:J125)+1,"")</f>
        <v/>
      </c>
      <c r="K126" s="11" t="str">
        <f aca="false">IF(B126="","",IFERROR(LEFT(B126,FIND("-",B126)-1),B126))</f>
        <v/>
      </c>
      <c r="L126" s="11" t="str">
        <f aca="false">IF(K126="","",IF(ISNUMBER(--MID(K126,1,1)),0,IF(ISNUMBER(--MID(K126,2,1)),1,IF(ISNUMBER(--MID(K126,3,1)),2,IF(ISNUMBER(--MID(K126,4,1)),3,MIN(LEN(K126),4))))))</f>
        <v/>
      </c>
      <c r="M126" s="11" t="str">
        <f aca="false">IF(B126="","",LEFT(K126,L126)&amp;REPT("0",4-L126)&amp;RIGHT("000"&amp;IFERROR(VALUE(MID(K126,L126+1,9)),0),3)&amp;RIGHT("0000"&amp;IFERROR(VALUE(MID(B126,FIND("-",B126)+1,9)),0),4))</f>
        <v/>
      </c>
      <c r="N126" s="11" t="str">
        <f aca="false">IF(OR(B126="",N(F126)&lt;=0),"",IF('FALTAS POR DECK'!$P$1="Código","K"&amp;M126&amp;RIGHT("00000"&amp;ROW(),5),IF('FALTAS POR DECK'!$P$1="Nome","K"&amp;UPPER(SUBSTITUTE(SUBSTITUTE(SUBSTITUTE(C126,"*",""),"?",""),"~",""))&amp;"0"&amp;M126&amp;RIGHT("00000"&amp;ROW(),5),IF('FALTAS POR DECK'!$P$1="Falta (maior primeiro)","K"&amp;RIGHT("0000"&amp;(9999-F126),4)&amp;M126&amp;RIGHT("00000"&amp;ROW(),5),IF('FALTAS POR DECK'!$P$1="Deck e código","K"&amp;RIGHT("00"&amp;IFERROR(MATCH(A126,_LEITURA!$P$2:$P$21,0),99),2)&amp;M126&amp;RIGHT("00000"&amp;ROW(),5),"K"&amp;RIGHT("00000"&amp;ROW(),5))))))</f>
        <v/>
      </c>
      <c r="O126" s="16" t="str">
        <f aca="false">IF(N126="","",COUNTIFS($N$2:$N$1201,"&lt;"&amp;N126,$F$2:$F$1201,"&gt;0")+1)</f>
        <v/>
      </c>
    </row>
    <row r="127" customFormat="false" ht="15" hidden="false" customHeight="false" outlineLevel="0" collapsed="false">
      <c r="A127" s="11" t="str">
        <f aca="false">IF(_LEITURA!$N127="","",INDEX(_LEITURA!$K$2:$K$1201,_LEITURA!$N127))</f>
        <v/>
      </c>
      <c r="B127" s="11" t="str">
        <f aca="false">IF(_LEITURA!$N127="","",INDEX(_LEITURA!$E$2:$E$1201,_LEITURA!$N127))</f>
        <v/>
      </c>
      <c r="C127" s="11" t="str">
        <f aca="false">IF(_LEITURA!$N127="","",INDEX(_LEITURA!$J$2:$J$1201,_LEITURA!$N127))</f>
        <v/>
      </c>
      <c r="D127" s="16" t="str">
        <f aca="false">IF(_LEITURA!$N127="","",INDEX(_LEITURA!$G$2:$G$1201,_LEITURA!$N127))</f>
        <v/>
      </c>
      <c r="E127" s="16" t="str">
        <f aca="false">IF(B127="","",SUMIFS(INVENTÁRIO!$C$2:$C$801,INVENTÁRIO!$A$2:$A$801,B127))</f>
        <v/>
      </c>
      <c r="F127" s="16" t="str">
        <f aca="false">IF(B127="","",MAX(0,D127-E127))</f>
        <v/>
      </c>
      <c r="G127" s="16" t="str">
        <f aca="false">IF(B127="","",IF(COUNTIFS($B$2:$B$1201,B127,$A$2:$A$1201,"&lt;&gt;"&amp;A127)&gt;0,"Sim",""))</f>
        <v/>
      </c>
      <c r="H127" s="16" t="str">
        <f aca="false">IF(N(F127)&gt;0,MAX(H$1:H126)+1,"")</f>
        <v/>
      </c>
      <c r="I127" s="11" t="str">
        <f aca="false">IF(B127="","",IF(INDEX($C$2:$C$1201,MATCH(B127,$B$2:$B$1201,0))&lt;&gt;C127,"Nome diferente em outro deck — revisar",""))</f>
        <v/>
      </c>
      <c r="J127" s="16" t="str">
        <f aca="false">IF(AND(B127&lt;&gt;"",A127=BULK!$A$1,N(F127)&gt;0),MAX(J$1:J126)+1,"")</f>
        <v/>
      </c>
      <c r="K127" s="11" t="str">
        <f aca="false">IF(B127="","",IFERROR(LEFT(B127,FIND("-",B127)-1),B127))</f>
        <v/>
      </c>
      <c r="L127" s="11" t="str">
        <f aca="false">IF(K127="","",IF(ISNUMBER(--MID(K127,1,1)),0,IF(ISNUMBER(--MID(K127,2,1)),1,IF(ISNUMBER(--MID(K127,3,1)),2,IF(ISNUMBER(--MID(K127,4,1)),3,MIN(LEN(K127),4))))))</f>
        <v/>
      </c>
      <c r="M127" s="11" t="str">
        <f aca="false">IF(B127="","",LEFT(K127,L127)&amp;REPT("0",4-L127)&amp;RIGHT("000"&amp;IFERROR(VALUE(MID(K127,L127+1,9)),0),3)&amp;RIGHT("0000"&amp;IFERROR(VALUE(MID(B127,FIND("-",B127)+1,9)),0),4))</f>
        <v/>
      </c>
      <c r="N127" s="11" t="str">
        <f aca="false">IF(OR(B127="",N(F127)&lt;=0),"",IF('FALTAS POR DECK'!$P$1="Código","K"&amp;M127&amp;RIGHT("00000"&amp;ROW(),5),IF('FALTAS POR DECK'!$P$1="Nome","K"&amp;UPPER(SUBSTITUTE(SUBSTITUTE(SUBSTITUTE(C127,"*",""),"?",""),"~",""))&amp;"0"&amp;M127&amp;RIGHT("00000"&amp;ROW(),5),IF('FALTAS POR DECK'!$P$1="Falta (maior primeiro)","K"&amp;RIGHT("0000"&amp;(9999-F127),4)&amp;M127&amp;RIGHT("00000"&amp;ROW(),5),IF('FALTAS POR DECK'!$P$1="Deck e código","K"&amp;RIGHT("00"&amp;IFERROR(MATCH(A127,_LEITURA!$P$2:$P$21,0),99),2)&amp;M127&amp;RIGHT("00000"&amp;ROW(),5),"K"&amp;RIGHT("00000"&amp;ROW(),5))))))</f>
        <v/>
      </c>
      <c r="O127" s="16" t="str">
        <f aca="false">IF(N127="","",COUNTIFS($N$2:$N$1201,"&lt;"&amp;N127,$F$2:$F$1201,"&gt;0")+1)</f>
        <v/>
      </c>
    </row>
    <row r="128" customFormat="false" ht="15" hidden="false" customHeight="false" outlineLevel="0" collapsed="false">
      <c r="A128" s="11" t="str">
        <f aca="false">IF(_LEITURA!$N128="","",INDEX(_LEITURA!$K$2:$K$1201,_LEITURA!$N128))</f>
        <v/>
      </c>
      <c r="B128" s="11" t="str">
        <f aca="false">IF(_LEITURA!$N128="","",INDEX(_LEITURA!$E$2:$E$1201,_LEITURA!$N128))</f>
        <v/>
      </c>
      <c r="C128" s="11" t="str">
        <f aca="false">IF(_LEITURA!$N128="","",INDEX(_LEITURA!$J$2:$J$1201,_LEITURA!$N128))</f>
        <v/>
      </c>
      <c r="D128" s="16" t="str">
        <f aca="false">IF(_LEITURA!$N128="","",INDEX(_LEITURA!$G$2:$G$1201,_LEITURA!$N128))</f>
        <v/>
      </c>
      <c r="E128" s="16" t="str">
        <f aca="false">IF(B128="","",SUMIFS(INVENTÁRIO!$C$2:$C$801,INVENTÁRIO!$A$2:$A$801,B128))</f>
        <v/>
      </c>
      <c r="F128" s="16" t="str">
        <f aca="false">IF(B128="","",MAX(0,D128-E128))</f>
        <v/>
      </c>
      <c r="G128" s="16" t="str">
        <f aca="false">IF(B128="","",IF(COUNTIFS($B$2:$B$1201,B128,$A$2:$A$1201,"&lt;&gt;"&amp;A128)&gt;0,"Sim",""))</f>
        <v/>
      </c>
      <c r="H128" s="16" t="str">
        <f aca="false">IF(N(F128)&gt;0,MAX(H$1:H127)+1,"")</f>
        <v/>
      </c>
      <c r="I128" s="11" t="str">
        <f aca="false">IF(B128="","",IF(INDEX($C$2:$C$1201,MATCH(B128,$B$2:$B$1201,0))&lt;&gt;C128,"Nome diferente em outro deck — revisar",""))</f>
        <v/>
      </c>
      <c r="J128" s="16" t="str">
        <f aca="false">IF(AND(B128&lt;&gt;"",A128=BULK!$A$1,N(F128)&gt;0),MAX(J$1:J127)+1,"")</f>
        <v/>
      </c>
      <c r="K128" s="11" t="str">
        <f aca="false">IF(B128="","",IFERROR(LEFT(B128,FIND("-",B128)-1),B128))</f>
        <v/>
      </c>
      <c r="L128" s="11" t="str">
        <f aca="false">IF(K128="","",IF(ISNUMBER(--MID(K128,1,1)),0,IF(ISNUMBER(--MID(K128,2,1)),1,IF(ISNUMBER(--MID(K128,3,1)),2,IF(ISNUMBER(--MID(K128,4,1)),3,MIN(LEN(K128),4))))))</f>
        <v/>
      </c>
      <c r="M128" s="11" t="str">
        <f aca="false">IF(B128="","",LEFT(K128,L128)&amp;REPT("0",4-L128)&amp;RIGHT("000"&amp;IFERROR(VALUE(MID(K128,L128+1,9)),0),3)&amp;RIGHT("0000"&amp;IFERROR(VALUE(MID(B128,FIND("-",B128)+1,9)),0),4))</f>
        <v/>
      </c>
      <c r="N128" s="11" t="str">
        <f aca="false">IF(OR(B128="",N(F128)&lt;=0),"",IF('FALTAS POR DECK'!$P$1="Código","K"&amp;M128&amp;RIGHT("00000"&amp;ROW(),5),IF('FALTAS POR DECK'!$P$1="Nome","K"&amp;UPPER(SUBSTITUTE(SUBSTITUTE(SUBSTITUTE(C128,"*",""),"?",""),"~",""))&amp;"0"&amp;M128&amp;RIGHT("00000"&amp;ROW(),5),IF('FALTAS POR DECK'!$P$1="Falta (maior primeiro)","K"&amp;RIGHT("0000"&amp;(9999-F128),4)&amp;M128&amp;RIGHT("00000"&amp;ROW(),5),IF('FALTAS POR DECK'!$P$1="Deck e código","K"&amp;RIGHT("00"&amp;IFERROR(MATCH(A128,_LEITURA!$P$2:$P$21,0),99),2)&amp;M128&amp;RIGHT("00000"&amp;ROW(),5),"K"&amp;RIGHT("00000"&amp;ROW(),5))))))</f>
        <v/>
      </c>
      <c r="O128" s="16" t="str">
        <f aca="false">IF(N128="","",COUNTIFS($N$2:$N$1201,"&lt;"&amp;N128,$F$2:$F$1201,"&gt;0")+1)</f>
        <v/>
      </c>
    </row>
    <row r="129" customFormat="false" ht="15" hidden="false" customHeight="false" outlineLevel="0" collapsed="false">
      <c r="A129" s="11" t="str">
        <f aca="false">IF(_LEITURA!$N129="","",INDEX(_LEITURA!$K$2:$K$1201,_LEITURA!$N129))</f>
        <v/>
      </c>
      <c r="B129" s="11" t="str">
        <f aca="false">IF(_LEITURA!$N129="","",INDEX(_LEITURA!$E$2:$E$1201,_LEITURA!$N129))</f>
        <v/>
      </c>
      <c r="C129" s="11" t="str">
        <f aca="false">IF(_LEITURA!$N129="","",INDEX(_LEITURA!$J$2:$J$1201,_LEITURA!$N129))</f>
        <v/>
      </c>
      <c r="D129" s="16" t="str">
        <f aca="false">IF(_LEITURA!$N129="","",INDEX(_LEITURA!$G$2:$G$1201,_LEITURA!$N129))</f>
        <v/>
      </c>
      <c r="E129" s="16" t="str">
        <f aca="false">IF(B129="","",SUMIFS(INVENTÁRIO!$C$2:$C$801,INVENTÁRIO!$A$2:$A$801,B129))</f>
        <v/>
      </c>
      <c r="F129" s="16" t="str">
        <f aca="false">IF(B129="","",MAX(0,D129-E129))</f>
        <v/>
      </c>
      <c r="G129" s="16" t="str">
        <f aca="false">IF(B129="","",IF(COUNTIFS($B$2:$B$1201,B129,$A$2:$A$1201,"&lt;&gt;"&amp;A129)&gt;0,"Sim",""))</f>
        <v/>
      </c>
      <c r="H129" s="16" t="str">
        <f aca="false">IF(N(F129)&gt;0,MAX(H$1:H128)+1,"")</f>
        <v/>
      </c>
      <c r="I129" s="11" t="str">
        <f aca="false">IF(B129="","",IF(INDEX($C$2:$C$1201,MATCH(B129,$B$2:$B$1201,0))&lt;&gt;C129,"Nome diferente em outro deck — revisar",""))</f>
        <v/>
      </c>
      <c r="J129" s="16" t="str">
        <f aca="false">IF(AND(B129&lt;&gt;"",A129=BULK!$A$1,N(F129)&gt;0),MAX(J$1:J128)+1,"")</f>
        <v/>
      </c>
      <c r="K129" s="11" t="str">
        <f aca="false">IF(B129="","",IFERROR(LEFT(B129,FIND("-",B129)-1),B129))</f>
        <v/>
      </c>
      <c r="L129" s="11" t="str">
        <f aca="false">IF(K129="","",IF(ISNUMBER(--MID(K129,1,1)),0,IF(ISNUMBER(--MID(K129,2,1)),1,IF(ISNUMBER(--MID(K129,3,1)),2,IF(ISNUMBER(--MID(K129,4,1)),3,MIN(LEN(K129),4))))))</f>
        <v/>
      </c>
      <c r="M129" s="11" t="str">
        <f aca="false">IF(B129="","",LEFT(K129,L129)&amp;REPT("0",4-L129)&amp;RIGHT("000"&amp;IFERROR(VALUE(MID(K129,L129+1,9)),0),3)&amp;RIGHT("0000"&amp;IFERROR(VALUE(MID(B129,FIND("-",B129)+1,9)),0),4))</f>
        <v/>
      </c>
      <c r="N129" s="11" t="str">
        <f aca="false">IF(OR(B129="",N(F129)&lt;=0),"",IF('FALTAS POR DECK'!$P$1="Código","K"&amp;M129&amp;RIGHT("00000"&amp;ROW(),5),IF('FALTAS POR DECK'!$P$1="Nome","K"&amp;UPPER(SUBSTITUTE(SUBSTITUTE(SUBSTITUTE(C129,"*",""),"?",""),"~",""))&amp;"0"&amp;M129&amp;RIGHT("00000"&amp;ROW(),5),IF('FALTAS POR DECK'!$P$1="Falta (maior primeiro)","K"&amp;RIGHT("0000"&amp;(9999-F129),4)&amp;M129&amp;RIGHT("00000"&amp;ROW(),5),IF('FALTAS POR DECK'!$P$1="Deck e código","K"&amp;RIGHT("00"&amp;IFERROR(MATCH(A129,_LEITURA!$P$2:$P$21,0),99),2)&amp;M129&amp;RIGHT("00000"&amp;ROW(),5),"K"&amp;RIGHT("00000"&amp;ROW(),5))))))</f>
        <v/>
      </c>
      <c r="O129" s="16" t="str">
        <f aca="false">IF(N129="","",COUNTIFS($N$2:$N$1201,"&lt;"&amp;N129,$F$2:$F$1201,"&gt;0")+1)</f>
        <v/>
      </c>
    </row>
    <row r="130" customFormat="false" ht="15" hidden="false" customHeight="false" outlineLevel="0" collapsed="false">
      <c r="A130" s="11" t="str">
        <f aca="false">IF(_LEITURA!$N130="","",INDEX(_LEITURA!$K$2:$K$1201,_LEITURA!$N130))</f>
        <v/>
      </c>
      <c r="B130" s="11" t="str">
        <f aca="false">IF(_LEITURA!$N130="","",INDEX(_LEITURA!$E$2:$E$1201,_LEITURA!$N130))</f>
        <v/>
      </c>
      <c r="C130" s="11" t="str">
        <f aca="false">IF(_LEITURA!$N130="","",INDEX(_LEITURA!$J$2:$J$1201,_LEITURA!$N130))</f>
        <v/>
      </c>
      <c r="D130" s="16" t="str">
        <f aca="false">IF(_LEITURA!$N130="","",INDEX(_LEITURA!$G$2:$G$1201,_LEITURA!$N130))</f>
        <v/>
      </c>
      <c r="E130" s="16" t="str">
        <f aca="false">IF(B130="","",SUMIFS(INVENTÁRIO!$C$2:$C$801,INVENTÁRIO!$A$2:$A$801,B130))</f>
        <v/>
      </c>
      <c r="F130" s="16" t="str">
        <f aca="false">IF(B130="","",MAX(0,D130-E130))</f>
        <v/>
      </c>
      <c r="G130" s="16" t="str">
        <f aca="false">IF(B130="","",IF(COUNTIFS($B$2:$B$1201,B130,$A$2:$A$1201,"&lt;&gt;"&amp;A130)&gt;0,"Sim",""))</f>
        <v/>
      </c>
      <c r="H130" s="16" t="str">
        <f aca="false">IF(N(F130)&gt;0,MAX(H$1:H129)+1,"")</f>
        <v/>
      </c>
      <c r="I130" s="11" t="str">
        <f aca="false">IF(B130="","",IF(INDEX($C$2:$C$1201,MATCH(B130,$B$2:$B$1201,0))&lt;&gt;C130,"Nome diferente em outro deck — revisar",""))</f>
        <v/>
      </c>
      <c r="J130" s="16" t="str">
        <f aca="false">IF(AND(B130&lt;&gt;"",A130=BULK!$A$1,N(F130)&gt;0),MAX(J$1:J129)+1,"")</f>
        <v/>
      </c>
      <c r="K130" s="11" t="str">
        <f aca="false">IF(B130="","",IFERROR(LEFT(B130,FIND("-",B130)-1),B130))</f>
        <v/>
      </c>
      <c r="L130" s="11" t="str">
        <f aca="false">IF(K130="","",IF(ISNUMBER(--MID(K130,1,1)),0,IF(ISNUMBER(--MID(K130,2,1)),1,IF(ISNUMBER(--MID(K130,3,1)),2,IF(ISNUMBER(--MID(K130,4,1)),3,MIN(LEN(K130),4))))))</f>
        <v/>
      </c>
      <c r="M130" s="11" t="str">
        <f aca="false">IF(B130="","",LEFT(K130,L130)&amp;REPT("0",4-L130)&amp;RIGHT("000"&amp;IFERROR(VALUE(MID(K130,L130+1,9)),0),3)&amp;RIGHT("0000"&amp;IFERROR(VALUE(MID(B130,FIND("-",B130)+1,9)),0),4))</f>
        <v/>
      </c>
      <c r="N130" s="11" t="str">
        <f aca="false">IF(OR(B130="",N(F130)&lt;=0),"",IF('FALTAS POR DECK'!$P$1="Código","K"&amp;M130&amp;RIGHT("00000"&amp;ROW(),5),IF('FALTAS POR DECK'!$P$1="Nome","K"&amp;UPPER(SUBSTITUTE(SUBSTITUTE(SUBSTITUTE(C130,"*",""),"?",""),"~",""))&amp;"0"&amp;M130&amp;RIGHT("00000"&amp;ROW(),5),IF('FALTAS POR DECK'!$P$1="Falta (maior primeiro)","K"&amp;RIGHT("0000"&amp;(9999-F130),4)&amp;M130&amp;RIGHT("00000"&amp;ROW(),5),IF('FALTAS POR DECK'!$P$1="Deck e código","K"&amp;RIGHT("00"&amp;IFERROR(MATCH(A130,_LEITURA!$P$2:$P$21,0),99),2)&amp;M130&amp;RIGHT("00000"&amp;ROW(),5),"K"&amp;RIGHT("00000"&amp;ROW(),5))))))</f>
        <v/>
      </c>
      <c r="O130" s="16" t="str">
        <f aca="false">IF(N130="","",COUNTIFS($N$2:$N$1201,"&lt;"&amp;N130,$F$2:$F$1201,"&gt;0")+1)</f>
        <v/>
      </c>
    </row>
    <row r="131" customFormat="false" ht="15" hidden="false" customHeight="false" outlineLevel="0" collapsed="false">
      <c r="A131" s="11" t="str">
        <f aca="false">IF(_LEITURA!$N131="","",INDEX(_LEITURA!$K$2:$K$1201,_LEITURA!$N131))</f>
        <v/>
      </c>
      <c r="B131" s="11" t="str">
        <f aca="false">IF(_LEITURA!$N131="","",INDEX(_LEITURA!$E$2:$E$1201,_LEITURA!$N131))</f>
        <v/>
      </c>
      <c r="C131" s="11" t="str">
        <f aca="false">IF(_LEITURA!$N131="","",INDEX(_LEITURA!$J$2:$J$1201,_LEITURA!$N131))</f>
        <v/>
      </c>
      <c r="D131" s="16" t="str">
        <f aca="false">IF(_LEITURA!$N131="","",INDEX(_LEITURA!$G$2:$G$1201,_LEITURA!$N131))</f>
        <v/>
      </c>
      <c r="E131" s="16" t="str">
        <f aca="false">IF(B131="","",SUMIFS(INVENTÁRIO!$C$2:$C$801,INVENTÁRIO!$A$2:$A$801,B131))</f>
        <v/>
      </c>
      <c r="F131" s="16" t="str">
        <f aca="false">IF(B131="","",MAX(0,D131-E131))</f>
        <v/>
      </c>
      <c r="G131" s="16" t="str">
        <f aca="false">IF(B131="","",IF(COUNTIFS($B$2:$B$1201,B131,$A$2:$A$1201,"&lt;&gt;"&amp;A131)&gt;0,"Sim",""))</f>
        <v/>
      </c>
      <c r="H131" s="16" t="str">
        <f aca="false">IF(N(F131)&gt;0,MAX(H$1:H130)+1,"")</f>
        <v/>
      </c>
      <c r="I131" s="11" t="str">
        <f aca="false">IF(B131="","",IF(INDEX($C$2:$C$1201,MATCH(B131,$B$2:$B$1201,0))&lt;&gt;C131,"Nome diferente em outro deck — revisar",""))</f>
        <v/>
      </c>
      <c r="J131" s="16" t="str">
        <f aca="false">IF(AND(B131&lt;&gt;"",A131=BULK!$A$1,N(F131)&gt;0),MAX(J$1:J130)+1,"")</f>
        <v/>
      </c>
      <c r="K131" s="11" t="str">
        <f aca="false">IF(B131="","",IFERROR(LEFT(B131,FIND("-",B131)-1),B131))</f>
        <v/>
      </c>
      <c r="L131" s="11" t="str">
        <f aca="false">IF(K131="","",IF(ISNUMBER(--MID(K131,1,1)),0,IF(ISNUMBER(--MID(K131,2,1)),1,IF(ISNUMBER(--MID(K131,3,1)),2,IF(ISNUMBER(--MID(K131,4,1)),3,MIN(LEN(K131),4))))))</f>
        <v/>
      </c>
      <c r="M131" s="11" t="str">
        <f aca="false">IF(B131="","",LEFT(K131,L131)&amp;REPT("0",4-L131)&amp;RIGHT("000"&amp;IFERROR(VALUE(MID(K131,L131+1,9)),0),3)&amp;RIGHT("0000"&amp;IFERROR(VALUE(MID(B131,FIND("-",B131)+1,9)),0),4))</f>
        <v/>
      </c>
      <c r="N131" s="11" t="str">
        <f aca="false">IF(OR(B131="",N(F131)&lt;=0),"",IF('FALTAS POR DECK'!$P$1="Código","K"&amp;M131&amp;RIGHT("00000"&amp;ROW(),5),IF('FALTAS POR DECK'!$P$1="Nome","K"&amp;UPPER(SUBSTITUTE(SUBSTITUTE(SUBSTITUTE(C131,"*",""),"?",""),"~",""))&amp;"0"&amp;M131&amp;RIGHT("00000"&amp;ROW(),5),IF('FALTAS POR DECK'!$P$1="Falta (maior primeiro)","K"&amp;RIGHT("0000"&amp;(9999-F131),4)&amp;M131&amp;RIGHT("00000"&amp;ROW(),5),IF('FALTAS POR DECK'!$P$1="Deck e código","K"&amp;RIGHT("00"&amp;IFERROR(MATCH(A131,_LEITURA!$P$2:$P$21,0),99),2)&amp;M131&amp;RIGHT("00000"&amp;ROW(),5),"K"&amp;RIGHT("00000"&amp;ROW(),5))))))</f>
        <v/>
      </c>
      <c r="O131" s="16" t="str">
        <f aca="false">IF(N131="","",COUNTIFS($N$2:$N$1201,"&lt;"&amp;N131,$F$2:$F$1201,"&gt;0")+1)</f>
        <v/>
      </c>
    </row>
    <row r="132" customFormat="false" ht="15" hidden="false" customHeight="false" outlineLevel="0" collapsed="false">
      <c r="A132" s="11" t="str">
        <f aca="false">IF(_LEITURA!$N132="","",INDEX(_LEITURA!$K$2:$K$1201,_LEITURA!$N132))</f>
        <v/>
      </c>
      <c r="B132" s="11" t="str">
        <f aca="false">IF(_LEITURA!$N132="","",INDEX(_LEITURA!$E$2:$E$1201,_LEITURA!$N132))</f>
        <v/>
      </c>
      <c r="C132" s="11" t="str">
        <f aca="false">IF(_LEITURA!$N132="","",INDEX(_LEITURA!$J$2:$J$1201,_LEITURA!$N132))</f>
        <v/>
      </c>
      <c r="D132" s="16" t="str">
        <f aca="false">IF(_LEITURA!$N132="","",INDEX(_LEITURA!$G$2:$G$1201,_LEITURA!$N132))</f>
        <v/>
      </c>
      <c r="E132" s="16" t="str">
        <f aca="false">IF(B132="","",SUMIFS(INVENTÁRIO!$C$2:$C$801,INVENTÁRIO!$A$2:$A$801,B132))</f>
        <v/>
      </c>
      <c r="F132" s="16" t="str">
        <f aca="false">IF(B132="","",MAX(0,D132-E132))</f>
        <v/>
      </c>
      <c r="G132" s="16" t="str">
        <f aca="false">IF(B132="","",IF(COUNTIFS($B$2:$B$1201,B132,$A$2:$A$1201,"&lt;&gt;"&amp;A132)&gt;0,"Sim",""))</f>
        <v/>
      </c>
      <c r="H132" s="16" t="str">
        <f aca="false">IF(N(F132)&gt;0,MAX(H$1:H131)+1,"")</f>
        <v/>
      </c>
      <c r="I132" s="11" t="str">
        <f aca="false">IF(B132="","",IF(INDEX($C$2:$C$1201,MATCH(B132,$B$2:$B$1201,0))&lt;&gt;C132,"Nome diferente em outro deck — revisar",""))</f>
        <v/>
      </c>
      <c r="J132" s="16" t="str">
        <f aca="false">IF(AND(B132&lt;&gt;"",A132=BULK!$A$1,N(F132)&gt;0),MAX(J$1:J131)+1,"")</f>
        <v/>
      </c>
      <c r="K132" s="11" t="str">
        <f aca="false">IF(B132="","",IFERROR(LEFT(B132,FIND("-",B132)-1),B132))</f>
        <v/>
      </c>
      <c r="L132" s="11" t="str">
        <f aca="false">IF(K132="","",IF(ISNUMBER(--MID(K132,1,1)),0,IF(ISNUMBER(--MID(K132,2,1)),1,IF(ISNUMBER(--MID(K132,3,1)),2,IF(ISNUMBER(--MID(K132,4,1)),3,MIN(LEN(K132),4))))))</f>
        <v/>
      </c>
      <c r="M132" s="11" t="str">
        <f aca="false">IF(B132="","",LEFT(K132,L132)&amp;REPT("0",4-L132)&amp;RIGHT("000"&amp;IFERROR(VALUE(MID(K132,L132+1,9)),0),3)&amp;RIGHT("0000"&amp;IFERROR(VALUE(MID(B132,FIND("-",B132)+1,9)),0),4))</f>
        <v/>
      </c>
      <c r="N132" s="11" t="str">
        <f aca="false">IF(OR(B132="",N(F132)&lt;=0),"",IF('FALTAS POR DECK'!$P$1="Código","K"&amp;M132&amp;RIGHT("00000"&amp;ROW(),5),IF('FALTAS POR DECK'!$P$1="Nome","K"&amp;UPPER(SUBSTITUTE(SUBSTITUTE(SUBSTITUTE(C132,"*",""),"?",""),"~",""))&amp;"0"&amp;M132&amp;RIGHT("00000"&amp;ROW(),5),IF('FALTAS POR DECK'!$P$1="Falta (maior primeiro)","K"&amp;RIGHT("0000"&amp;(9999-F132),4)&amp;M132&amp;RIGHT("00000"&amp;ROW(),5),IF('FALTAS POR DECK'!$P$1="Deck e código","K"&amp;RIGHT("00"&amp;IFERROR(MATCH(A132,_LEITURA!$P$2:$P$21,0),99),2)&amp;M132&amp;RIGHT("00000"&amp;ROW(),5),"K"&amp;RIGHT("00000"&amp;ROW(),5))))))</f>
        <v/>
      </c>
      <c r="O132" s="16" t="str">
        <f aca="false">IF(N132="","",COUNTIFS($N$2:$N$1201,"&lt;"&amp;N132,$F$2:$F$1201,"&gt;0")+1)</f>
        <v/>
      </c>
    </row>
    <row r="133" customFormat="false" ht="15" hidden="false" customHeight="false" outlineLevel="0" collapsed="false">
      <c r="A133" s="11" t="str">
        <f aca="false">IF(_LEITURA!$N133="","",INDEX(_LEITURA!$K$2:$K$1201,_LEITURA!$N133))</f>
        <v/>
      </c>
      <c r="B133" s="11" t="str">
        <f aca="false">IF(_LEITURA!$N133="","",INDEX(_LEITURA!$E$2:$E$1201,_LEITURA!$N133))</f>
        <v/>
      </c>
      <c r="C133" s="11" t="str">
        <f aca="false">IF(_LEITURA!$N133="","",INDEX(_LEITURA!$J$2:$J$1201,_LEITURA!$N133))</f>
        <v/>
      </c>
      <c r="D133" s="16" t="str">
        <f aca="false">IF(_LEITURA!$N133="","",INDEX(_LEITURA!$G$2:$G$1201,_LEITURA!$N133))</f>
        <v/>
      </c>
      <c r="E133" s="16" t="str">
        <f aca="false">IF(B133="","",SUMIFS(INVENTÁRIO!$C$2:$C$801,INVENTÁRIO!$A$2:$A$801,B133))</f>
        <v/>
      </c>
      <c r="F133" s="16" t="str">
        <f aca="false">IF(B133="","",MAX(0,D133-E133))</f>
        <v/>
      </c>
      <c r="G133" s="16" t="str">
        <f aca="false">IF(B133="","",IF(COUNTIFS($B$2:$B$1201,B133,$A$2:$A$1201,"&lt;&gt;"&amp;A133)&gt;0,"Sim",""))</f>
        <v/>
      </c>
      <c r="H133" s="16" t="str">
        <f aca="false">IF(N(F133)&gt;0,MAX(H$1:H132)+1,"")</f>
        <v/>
      </c>
      <c r="I133" s="11" t="str">
        <f aca="false">IF(B133="","",IF(INDEX($C$2:$C$1201,MATCH(B133,$B$2:$B$1201,0))&lt;&gt;C133,"Nome diferente em outro deck — revisar",""))</f>
        <v/>
      </c>
      <c r="J133" s="16" t="str">
        <f aca="false">IF(AND(B133&lt;&gt;"",A133=BULK!$A$1,N(F133)&gt;0),MAX(J$1:J132)+1,"")</f>
        <v/>
      </c>
      <c r="K133" s="11" t="str">
        <f aca="false">IF(B133="","",IFERROR(LEFT(B133,FIND("-",B133)-1),B133))</f>
        <v/>
      </c>
      <c r="L133" s="11" t="str">
        <f aca="false">IF(K133="","",IF(ISNUMBER(--MID(K133,1,1)),0,IF(ISNUMBER(--MID(K133,2,1)),1,IF(ISNUMBER(--MID(K133,3,1)),2,IF(ISNUMBER(--MID(K133,4,1)),3,MIN(LEN(K133),4))))))</f>
        <v/>
      </c>
      <c r="M133" s="11" t="str">
        <f aca="false">IF(B133="","",LEFT(K133,L133)&amp;REPT("0",4-L133)&amp;RIGHT("000"&amp;IFERROR(VALUE(MID(K133,L133+1,9)),0),3)&amp;RIGHT("0000"&amp;IFERROR(VALUE(MID(B133,FIND("-",B133)+1,9)),0),4))</f>
        <v/>
      </c>
      <c r="N133" s="11" t="str">
        <f aca="false">IF(OR(B133="",N(F133)&lt;=0),"",IF('FALTAS POR DECK'!$P$1="Código","K"&amp;M133&amp;RIGHT("00000"&amp;ROW(),5),IF('FALTAS POR DECK'!$P$1="Nome","K"&amp;UPPER(SUBSTITUTE(SUBSTITUTE(SUBSTITUTE(C133,"*",""),"?",""),"~",""))&amp;"0"&amp;M133&amp;RIGHT("00000"&amp;ROW(),5),IF('FALTAS POR DECK'!$P$1="Falta (maior primeiro)","K"&amp;RIGHT("0000"&amp;(9999-F133),4)&amp;M133&amp;RIGHT("00000"&amp;ROW(),5),IF('FALTAS POR DECK'!$P$1="Deck e código","K"&amp;RIGHT("00"&amp;IFERROR(MATCH(A133,_LEITURA!$P$2:$P$21,0),99),2)&amp;M133&amp;RIGHT("00000"&amp;ROW(),5),"K"&amp;RIGHT("00000"&amp;ROW(),5))))))</f>
        <v/>
      </c>
      <c r="O133" s="16" t="str">
        <f aca="false">IF(N133="","",COUNTIFS($N$2:$N$1201,"&lt;"&amp;N133,$F$2:$F$1201,"&gt;0")+1)</f>
        <v/>
      </c>
    </row>
    <row r="134" customFormat="false" ht="15" hidden="false" customHeight="false" outlineLevel="0" collapsed="false">
      <c r="A134" s="11" t="str">
        <f aca="false">IF(_LEITURA!$N134="","",INDEX(_LEITURA!$K$2:$K$1201,_LEITURA!$N134))</f>
        <v/>
      </c>
      <c r="B134" s="11" t="str">
        <f aca="false">IF(_LEITURA!$N134="","",INDEX(_LEITURA!$E$2:$E$1201,_LEITURA!$N134))</f>
        <v/>
      </c>
      <c r="C134" s="11" t="str">
        <f aca="false">IF(_LEITURA!$N134="","",INDEX(_LEITURA!$J$2:$J$1201,_LEITURA!$N134))</f>
        <v/>
      </c>
      <c r="D134" s="16" t="str">
        <f aca="false">IF(_LEITURA!$N134="","",INDEX(_LEITURA!$G$2:$G$1201,_LEITURA!$N134))</f>
        <v/>
      </c>
      <c r="E134" s="16" t="str">
        <f aca="false">IF(B134="","",SUMIFS(INVENTÁRIO!$C$2:$C$801,INVENTÁRIO!$A$2:$A$801,B134))</f>
        <v/>
      </c>
      <c r="F134" s="16" t="str">
        <f aca="false">IF(B134="","",MAX(0,D134-E134))</f>
        <v/>
      </c>
      <c r="G134" s="16" t="str">
        <f aca="false">IF(B134="","",IF(COUNTIFS($B$2:$B$1201,B134,$A$2:$A$1201,"&lt;&gt;"&amp;A134)&gt;0,"Sim",""))</f>
        <v/>
      </c>
      <c r="H134" s="16" t="str">
        <f aca="false">IF(N(F134)&gt;0,MAX(H$1:H133)+1,"")</f>
        <v/>
      </c>
      <c r="I134" s="11" t="str">
        <f aca="false">IF(B134="","",IF(INDEX($C$2:$C$1201,MATCH(B134,$B$2:$B$1201,0))&lt;&gt;C134,"Nome diferente em outro deck — revisar",""))</f>
        <v/>
      </c>
      <c r="J134" s="16" t="str">
        <f aca="false">IF(AND(B134&lt;&gt;"",A134=BULK!$A$1,N(F134)&gt;0),MAX(J$1:J133)+1,"")</f>
        <v/>
      </c>
      <c r="K134" s="11" t="str">
        <f aca="false">IF(B134="","",IFERROR(LEFT(B134,FIND("-",B134)-1),B134))</f>
        <v/>
      </c>
      <c r="L134" s="11" t="str">
        <f aca="false">IF(K134="","",IF(ISNUMBER(--MID(K134,1,1)),0,IF(ISNUMBER(--MID(K134,2,1)),1,IF(ISNUMBER(--MID(K134,3,1)),2,IF(ISNUMBER(--MID(K134,4,1)),3,MIN(LEN(K134),4))))))</f>
        <v/>
      </c>
      <c r="M134" s="11" t="str">
        <f aca="false">IF(B134="","",LEFT(K134,L134)&amp;REPT("0",4-L134)&amp;RIGHT("000"&amp;IFERROR(VALUE(MID(K134,L134+1,9)),0),3)&amp;RIGHT("0000"&amp;IFERROR(VALUE(MID(B134,FIND("-",B134)+1,9)),0),4))</f>
        <v/>
      </c>
      <c r="N134" s="11" t="str">
        <f aca="false">IF(OR(B134="",N(F134)&lt;=0),"",IF('FALTAS POR DECK'!$P$1="Código","K"&amp;M134&amp;RIGHT("00000"&amp;ROW(),5),IF('FALTAS POR DECK'!$P$1="Nome","K"&amp;UPPER(SUBSTITUTE(SUBSTITUTE(SUBSTITUTE(C134,"*",""),"?",""),"~",""))&amp;"0"&amp;M134&amp;RIGHT("00000"&amp;ROW(),5),IF('FALTAS POR DECK'!$P$1="Falta (maior primeiro)","K"&amp;RIGHT("0000"&amp;(9999-F134),4)&amp;M134&amp;RIGHT("00000"&amp;ROW(),5),IF('FALTAS POR DECK'!$P$1="Deck e código","K"&amp;RIGHT("00"&amp;IFERROR(MATCH(A134,_LEITURA!$P$2:$P$21,0),99),2)&amp;M134&amp;RIGHT("00000"&amp;ROW(),5),"K"&amp;RIGHT("00000"&amp;ROW(),5))))))</f>
        <v/>
      </c>
      <c r="O134" s="16" t="str">
        <f aca="false">IF(N134="","",COUNTIFS($N$2:$N$1201,"&lt;"&amp;N134,$F$2:$F$1201,"&gt;0")+1)</f>
        <v/>
      </c>
    </row>
    <row r="135" customFormat="false" ht="15" hidden="false" customHeight="false" outlineLevel="0" collapsed="false">
      <c r="A135" s="11" t="str">
        <f aca="false">IF(_LEITURA!$N135="","",INDEX(_LEITURA!$K$2:$K$1201,_LEITURA!$N135))</f>
        <v/>
      </c>
      <c r="B135" s="11" t="str">
        <f aca="false">IF(_LEITURA!$N135="","",INDEX(_LEITURA!$E$2:$E$1201,_LEITURA!$N135))</f>
        <v/>
      </c>
      <c r="C135" s="11" t="str">
        <f aca="false">IF(_LEITURA!$N135="","",INDEX(_LEITURA!$J$2:$J$1201,_LEITURA!$N135))</f>
        <v/>
      </c>
      <c r="D135" s="16" t="str">
        <f aca="false">IF(_LEITURA!$N135="","",INDEX(_LEITURA!$G$2:$G$1201,_LEITURA!$N135))</f>
        <v/>
      </c>
      <c r="E135" s="16" t="str">
        <f aca="false">IF(B135="","",SUMIFS(INVENTÁRIO!$C$2:$C$801,INVENTÁRIO!$A$2:$A$801,B135))</f>
        <v/>
      </c>
      <c r="F135" s="16" t="str">
        <f aca="false">IF(B135="","",MAX(0,D135-E135))</f>
        <v/>
      </c>
      <c r="G135" s="16" t="str">
        <f aca="false">IF(B135="","",IF(COUNTIFS($B$2:$B$1201,B135,$A$2:$A$1201,"&lt;&gt;"&amp;A135)&gt;0,"Sim",""))</f>
        <v/>
      </c>
      <c r="H135" s="16" t="str">
        <f aca="false">IF(N(F135)&gt;0,MAX(H$1:H134)+1,"")</f>
        <v/>
      </c>
      <c r="I135" s="11" t="str">
        <f aca="false">IF(B135="","",IF(INDEX($C$2:$C$1201,MATCH(B135,$B$2:$B$1201,0))&lt;&gt;C135,"Nome diferente em outro deck — revisar",""))</f>
        <v/>
      </c>
      <c r="J135" s="16" t="str">
        <f aca="false">IF(AND(B135&lt;&gt;"",A135=BULK!$A$1,N(F135)&gt;0),MAX(J$1:J134)+1,"")</f>
        <v/>
      </c>
      <c r="K135" s="11" t="str">
        <f aca="false">IF(B135="","",IFERROR(LEFT(B135,FIND("-",B135)-1),B135))</f>
        <v/>
      </c>
      <c r="L135" s="11" t="str">
        <f aca="false">IF(K135="","",IF(ISNUMBER(--MID(K135,1,1)),0,IF(ISNUMBER(--MID(K135,2,1)),1,IF(ISNUMBER(--MID(K135,3,1)),2,IF(ISNUMBER(--MID(K135,4,1)),3,MIN(LEN(K135),4))))))</f>
        <v/>
      </c>
      <c r="M135" s="11" t="str">
        <f aca="false">IF(B135="","",LEFT(K135,L135)&amp;REPT("0",4-L135)&amp;RIGHT("000"&amp;IFERROR(VALUE(MID(K135,L135+1,9)),0),3)&amp;RIGHT("0000"&amp;IFERROR(VALUE(MID(B135,FIND("-",B135)+1,9)),0),4))</f>
        <v/>
      </c>
      <c r="N135" s="11" t="str">
        <f aca="false">IF(OR(B135="",N(F135)&lt;=0),"",IF('FALTAS POR DECK'!$P$1="Código","K"&amp;M135&amp;RIGHT("00000"&amp;ROW(),5),IF('FALTAS POR DECK'!$P$1="Nome","K"&amp;UPPER(SUBSTITUTE(SUBSTITUTE(SUBSTITUTE(C135,"*",""),"?",""),"~",""))&amp;"0"&amp;M135&amp;RIGHT("00000"&amp;ROW(),5),IF('FALTAS POR DECK'!$P$1="Falta (maior primeiro)","K"&amp;RIGHT("0000"&amp;(9999-F135),4)&amp;M135&amp;RIGHT("00000"&amp;ROW(),5),IF('FALTAS POR DECK'!$P$1="Deck e código","K"&amp;RIGHT("00"&amp;IFERROR(MATCH(A135,_LEITURA!$P$2:$P$21,0),99),2)&amp;M135&amp;RIGHT("00000"&amp;ROW(),5),"K"&amp;RIGHT("00000"&amp;ROW(),5))))))</f>
        <v/>
      </c>
      <c r="O135" s="16" t="str">
        <f aca="false">IF(N135="","",COUNTIFS($N$2:$N$1201,"&lt;"&amp;N135,$F$2:$F$1201,"&gt;0")+1)</f>
        <v/>
      </c>
    </row>
    <row r="136" customFormat="false" ht="15" hidden="false" customHeight="false" outlineLevel="0" collapsed="false">
      <c r="A136" s="11" t="str">
        <f aca="false">IF(_LEITURA!$N136="","",INDEX(_LEITURA!$K$2:$K$1201,_LEITURA!$N136))</f>
        <v/>
      </c>
      <c r="B136" s="11" t="str">
        <f aca="false">IF(_LEITURA!$N136="","",INDEX(_LEITURA!$E$2:$E$1201,_LEITURA!$N136))</f>
        <v/>
      </c>
      <c r="C136" s="11" t="str">
        <f aca="false">IF(_LEITURA!$N136="","",INDEX(_LEITURA!$J$2:$J$1201,_LEITURA!$N136))</f>
        <v/>
      </c>
      <c r="D136" s="16" t="str">
        <f aca="false">IF(_LEITURA!$N136="","",INDEX(_LEITURA!$G$2:$G$1201,_LEITURA!$N136))</f>
        <v/>
      </c>
      <c r="E136" s="16" t="str">
        <f aca="false">IF(B136="","",SUMIFS(INVENTÁRIO!$C$2:$C$801,INVENTÁRIO!$A$2:$A$801,B136))</f>
        <v/>
      </c>
      <c r="F136" s="16" t="str">
        <f aca="false">IF(B136="","",MAX(0,D136-E136))</f>
        <v/>
      </c>
      <c r="G136" s="16" t="str">
        <f aca="false">IF(B136="","",IF(COUNTIFS($B$2:$B$1201,B136,$A$2:$A$1201,"&lt;&gt;"&amp;A136)&gt;0,"Sim",""))</f>
        <v/>
      </c>
      <c r="H136" s="16" t="str">
        <f aca="false">IF(N(F136)&gt;0,MAX(H$1:H135)+1,"")</f>
        <v/>
      </c>
      <c r="I136" s="11" t="str">
        <f aca="false">IF(B136="","",IF(INDEX($C$2:$C$1201,MATCH(B136,$B$2:$B$1201,0))&lt;&gt;C136,"Nome diferente em outro deck — revisar",""))</f>
        <v/>
      </c>
      <c r="J136" s="16" t="str">
        <f aca="false">IF(AND(B136&lt;&gt;"",A136=BULK!$A$1,N(F136)&gt;0),MAX(J$1:J135)+1,"")</f>
        <v/>
      </c>
      <c r="K136" s="11" t="str">
        <f aca="false">IF(B136="","",IFERROR(LEFT(B136,FIND("-",B136)-1),B136))</f>
        <v/>
      </c>
      <c r="L136" s="11" t="str">
        <f aca="false">IF(K136="","",IF(ISNUMBER(--MID(K136,1,1)),0,IF(ISNUMBER(--MID(K136,2,1)),1,IF(ISNUMBER(--MID(K136,3,1)),2,IF(ISNUMBER(--MID(K136,4,1)),3,MIN(LEN(K136),4))))))</f>
        <v/>
      </c>
      <c r="M136" s="11" t="str">
        <f aca="false">IF(B136="","",LEFT(K136,L136)&amp;REPT("0",4-L136)&amp;RIGHT("000"&amp;IFERROR(VALUE(MID(K136,L136+1,9)),0),3)&amp;RIGHT("0000"&amp;IFERROR(VALUE(MID(B136,FIND("-",B136)+1,9)),0),4))</f>
        <v/>
      </c>
      <c r="N136" s="11" t="str">
        <f aca="false">IF(OR(B136="",N(F136)&lt;=0),"",IF('FALTAS POR DECK'!$P$1="Código","K"&amp;M136&amp;RIGHT("00000"&amp;ROW(),5),IF('FALTAS POR DECK'!$P$1="Nome","K"&amp;UPPER(SUBSTITUTE(SUBSTITUTE(SUBSTITUTE(C136,"*",""),"?",""),"~",""))&amp;"0"&amp;M136&amp;RIGHT("00000"&amp;ROW(),5),IF('FALTAS POR DECK'!$P$1="Falta (maior primeiro)","K"&amp;RIGHT("0000"&amp;(9999-F136),4)&amp;M136&amp;RIGHT("00000"&amp;ROW(),5),IF('FALTAS POR DECK'!$P$1="Deck e código","K"&amp;RIGHT("00"&amp;IFERROR(MATCH(A136,_LEITURA!$P$2:$P$21,0),99),2)&amp;M136&amp;RIGHT("00000"&amp;ROW(),5),"K"&amp;RIGHT("00000"&amp;ROW(),5))))))</f>
        <v/>
      </c>
      <c r="O136" s="16" t="str">
        <f aca="false">IF(N136="","",COUNTIFS($N$2:$N$1201,"&lt;"&amp;N136,$F$2:$F$1201,"&gt;0")+1)</f>
        <v/>
      </c>
    </row>
    <row r="137" customFormat="false" ht="15" hidden="false" customHeight="false" outlineLevel="0" collapsed="false">
      <c r="A137" s="11" t="str">
        <f aca="false">IF(_LEITURA!$N137="","",INDEX(_LEITURA!$K$2:$K$1201,_LEITURA!$N137))</f>
        <v/>
      </c>
      <c r="B137" s="11" t="str">
        <f aca="false">IF(_LEITURA!$N137="","",INDEX(_LEITURA!$E$2:$E$1201,_LEITURA!$N137))</f>
        <v/>
      </c>
      <c r="C137" s="11" t="str">
        <f aca="false">IF(_LEITURA!$N137="","",INDEX(_LEITURA!$J$2:$J$1201,_LEITURA!$N137))</f>
        <v/>
      </c>
      <c r="D137" s="16" t="str">
        <f aca="false">IF(_LEITURA!$N137="","",INDEX(_LEITURA!$G$2:$G$1201,_LEITURA!$N137))</f>
        <v/>
      </c>
      <c r="E137" s="16" t="str">
        <f aca="false">IF(B137="","",SUMIFS(INVENTÁRIO!$C$2:$C$801,INVENTÁRIO!$A$2:$A$801,B137))</f>
        <v/>
      </c>
      <c r="F137" s="16" t="str">
        <f aca="false">IF(B137="","",MAX(0,D137-E137))</f>
        <v/>
      </c>
      <c r="G137" s="16" t="str">
        <f aca="false">IF(B137="","",IF(COUNTIFS($B$2:$B$1201,B137,$A$2:$A$1201,"&lt;&gt;"&amp;A137)&gt;0,"Sim",""))</f>
        <v/>
      </c>
      <c r="H137" s="16" t="str">
        <f aca="false">IF(N(F137)&gt;0,MAX(H$1:H136)+1,"")</f>
        <v/>
      </c>
      <c r="I137" s="11" t="str">
        <f aca="false">IF(B137="","",IF(INDEX($C$2:$C$1201,MATCH(B137,$B$2:$B$1201,0))&lt;&gt;C137,"Nome diferente em outro deck — revisar",""))</f>
        <v/>
      </c>
      <c r="J137" s="16" t="str">
        <f aca="false">IF(AND(B137&lt;&gt;"",A137=BULK!$A$1,N(F137)&gt;0),MAX(J$1:J136)+1,"")</f>
        <v/>
      </c>
      <c r="K137" s="11" t="str">
        <f aca="false">IF(B137="","",IFERROR(LEFT(B137,FIND("-",B137)-1),B137))</f>
        <v/>
      </c>
      <c r="L137" s="11" t="str">
        <f aca="false">IF(K137="","",IF(ISNUMBER(--MID(K137,1,1)),0,IF(ISNUMBER(--MID(K137,2,1)),1,IF(ISNUMBER(--MID(K137,3,1)),2,IF(ISNUMBER(--MID(K137,4,1)),3,MIN(LEN(K137),4))))))</f>
        <v/>
      </c>
      <c r="M137" s="11" t="str">
        <f aca="false">IF(B137="","",LEFT(K137,L137)&amp;REPT("0",4-L137)&amp;RIGHT("000"&amp;IFERROR(VALUE(MID(K137,L137+1,9)),0),3)&amp;RIGHT("0000"&amp;IFERROR(VALUE(MID(B137,FIND("-",B137)+1,9)),0),4))</f>
        <v/>
      </c>
      <c r="N137" s="11" t="str">
        <f aca="false">IF(OR(B137="",N(F137)&lt;=0),"",IF('FALTAS POR DECK'!$P$1="Código","K"&amp;M137&amp;RIGHT("00000"&amp;ROW(),5),IF('FALTAS POR DECK'!$P$1="Nome","K"&amp;UPPER(SUBSTITUTE(SUBSTITUTE(SUBSTITUTE(C137,"*",""),"?",""),"~",""))&amp;"0"&amp;M137&amp;RIGHT("00000"&amp;ROW(),5),IF('FALTAS POR DECK'!$P$1="Falta (maior primeiro)","K"&amp;RIGHT("0000"&amp;(9999-F137),4)&amp;M137&amp;RIGHT("00000"&amp;ROW(),5),IF('FALTAS POR DECK'!$P$1="Deck e código","K"&amp;RIGHT("00"&amp;IFERROR(MATCH(A137,_LEITURA!$P$2:$P$21,0),99),2)&amp;M137&amp;RIGHT("00000"&amp;ROW(),5),"K"&amp;RIGHT("00000"&amp;ROW(),5))))))</f>
        <v/>
      </c>
      <c r="O137" s="16" t="str">
        <f aca="false">IF(N137="","",COUNTIFS($N$2:$N$1201,"&lt;"&amp;N137,$F$2:$F$1201,"&gt;0")+1)</f>
        <v/>
      </c>
    </row>
    <row r="138" customFormat="false" ht="15" hidden="false" customHeight="false" outlineLevel="0" collapsed="false">
      <c r="A138" s="11" t="str">
        <f aca="false">IF(_LEITURA!$N138="","",INDEX(_LEITURA!$K$2:$K$1201,_LEITURA!$N138))</f>
        <v/>
      </c>
      <c r="B138" s="11" t="str">
        <f aca="false">IF(_LEITURA!$N138="","",INDEX(_LEITURA!$E$2:$E$1201,_LEITURA!$N138))</f>
        <v/>
      </c>
      <c r="C138" s="11" t="str">
        <f aca="false">IF(_LEITURA!$N138="","",INDEX(_LEITURA!$J$2:$J$1201,_LEITURA!$N138))</f>
        <v/>
      </c>
      <c r="D138" s="16" t="str">
        <f aca="false">IF(_LEITURA!$N138="","",INDEX(_LEITURA!$G$2:$G$1201,_LEITURA!$N138))</f>
        <v/>
      </c>
      <c r="E138" s="16" t="str">
        <f aca="false">IF(B138="","",SUMIFS(INVENTÁRIO!$C$2:$C$801,INVENTÁRIO!$A$2:$A$801,B138))</f>
        <v/>
      </c>
      <c r="F138" s="16" t="str">
        <f aca="false">IF(B138="","",MAX(0,D138-E138))</f>
        <v/>
      </c>
      <c r="G138" s="16" t="str">
        <f aca="false">IF(B138="","",IF(COUNTIFS($B$2:$B$1201,B138,$A$2:$A$1201,"&lt;&gt;"&amp;A138)&gt;0,"Sim",""))</f>
        <v/>
      </c>
      <c r="H138" s="16" t="str">
        <f aca="false">IF(N(F138)&gt;0,MAX(H$1:H137)+1,"")</f>
        <v/>
      </c>
      <c r="I138" s="11" t="str">
        <f aca="false">IF(B138="","",IF(INDEX($C$2:$C$1201,MATCH(B138,$B$2:$B$1201,0))&lt;&gt;C138,"Nome diferente em outro deck — revisar",""))</f>
        <v/>
      </c>
      <c r="J138" s="16" t="str">
        <f aca="false">IF(AND(B138&lt;&gt;"",A138=BULK!$A$1,N(F138)&gt;0),MAX(J$1:J137)+1,"")</f>
        <v/>
      </c>
      <c r="K138" s="11" t="str">
        <f aca="false">IF(B138="","",IFERROR(LEFT(B138,FIND("-",B138)-1),B138))</f>
        <v/>
      </c>
      <c r="L138" s="11" t="str">
        <f aca="false">IF(K138="","",IF(ISNUMBER(--MID(K138,1,1)),0,IF(ISNUMBER(--MID(K138,2,1)),1,IF(ISNUMBER(--MID(K138,3,1)),2,IF(ISNUMBER(--MID(K138,4,1)),3,MIN(LEN(K138),4))))))</f>
        <v/>
      </c>
      <c r="M138" s="11" t="str">
        <f aca="false">IF(B138="","",LEFT(K138,L138)&amp;REPT("0",4-L138)&amp;RIGHT("000"&amp;IFERROR(VALUE(MID(K138,L138+1,9)),0),3)&amp;RIGHT("0000"&amp;IFERROR(VALUE(MID(B138,FIND("-",B138)+1,9)),0),4))</f>
        <v/>
      </c>
      <c r="N138" s="11" t="str">
        <f aca="false">IF(OR(B138="",N(F138)&lt;=0),"",IF('FALTAS POR DECK'!$P$1="Código","K"&amp;M138&amp;RIGHT("00000"&amp;ROW(),5),IF('FALTAS POR DECK'!$P$1="Nome","K"&amp;UPPER(SUBSTITUTE(SUBSTITUTE(SUBSTITUTE(C138,"*",""),"?",""),"~",""))&amp;"0"&amp;M138&amp;RIGHT("00000"&amp;ROW(),5),IF('FALTAS POR DECK'!$P$1="Falta (maior primeiro)","K"&amp;RIGHT("0000"&amp;(9999-F138),4)&amp;M138&amp;RIGHT("00000"&amp;ROW(),5),IF('FALTAS POR DECK'!$P$1="Deck e código","K"&amp;RIGHT("00"&amp;IFERROR(MATCH(A138,_LEITURA!$P$2:$P$21,0),99),2)&amp;M138&amp;RIGHT("00000"&amp;ROW(),5),"K"&amp;RIGHT("00000"&amp;ROW(),5))))))</f>
        <v/>
      </c>
      <c r="O138" s="16" t="str">
        <f aca="false">IF(N138="","",COUNTIFS($N$2:$N$1201,"&lt;"&amp;N138,$F$2:$F$1201,"&gt;0")+1)</f>
        <v/>
      </c>
    </row>
    <row r="139" customFormat="false" ht="15" hidden="false" customHeight="false" outlineLevel="0" collapsed="false">
      <c r="A139" s="11" t="str">
        <f aca="false">IF(_LEITURA!$N139="","",INDEX(_LEITURA!$K$2:$K$1201,_LEITURA!$N139))</f>
        <v/>
      </c>
      <c r="B139" s="11" t="str">
        <f aca="false">IF(_LEITURA!$N139="","",INDEX(_LEITURA!$E$2:$E$1201,_LEITURA!$N139))</f>
        <v/>
      </c>
      <c r="C139" s="11" t="str">
        <f aca="false">IF(_LEITURA!$N139="","",INDEX(_LEITURA!$J$2:$J$1201,_LEITURA!$N139))</f>
        <v/>
      </c>
      <c r="D139" s="16" t="str">
        <f aca="false">IF(_LEITURA!$N139="","",INDEX(_LEITURA!$G$2:$G$1201,_LEITURA!$N139))</f>
        <v/>
      </c>
      <c r="E139" s="16" t="str">
        <f aca="false">IF(B139="","",SUMIFS(INVENTÁRIO!$C$2:$C$801,INVENTÁRIO!$A$2:$A$801,B139))</f>
        <v/>
      </c>
      <c r="F139" s="16" t="str">
        <f aca="false">IF(B139="","",MAX(0,D139-E139))</f>
        <v/>
      </c>
      <c r="G139" s="16" t="str">
        <f aca="false">IF(B139="","",IF(COUNTIFS($B$2:$B$1201,B139,$A$2:$A$1201,"&lt;&gt;"&amp;A139)&gt;0,"Sim",""))</f>
        <v/>
      </c>
      <c r="H139" s="16" t="str">
        <f aca="false">IF(N(F139)&gt;0,MAX(H$1:H138)+1,"")</f>
        <v/>
      </c>
      <c r="I139" s="11" t="str">
        <f aca="false">IF(B139="","",IF(INDEX($C$2:$C$1201,MATCH(B139,$B$2:$B$1201,0))&lt;&gt;C139,"Nome diferente em outro deck — revisar",""))</f>
        <v/>
      </c>
      <c r="J139" s="16" t="str">
        <f aca="false">IF(AND(B139&lt;&gt;"",A139=BULK!$A$1,N(F139)&gt;0),MAX(J$1:J138)+1,"")</f>
        <v/>
      </c>
      <c r="K139" s="11" t="str">
        <f aca="false">IF(B139="","",IFERROR(LEFT(B139,FIND("-",B139)-1),B139))</f>
        <v/>
      </c>
      <c r="L139" s="11" t="str">
        <f aca="false">IF(K139="","",IF(ISNUMBER(--MID(K139,1,1)),0,IF(ISNUMBER(--MID(K139,2,1)),1,IF(ISNUMBER(--MID(K139,3,1)),2,IF(ISNUMBER(--MID(K139,4,1)),3,MIN(LEN(K139),4))))))</f>
        <v/>
      </c>
      <c r="M139" s="11" t="str">
        <f aca="false">IF(B139="","",LEFT(K139,L139)&amp;REPT("0",4-L139)&amp;RIGHT("000"&amp;IFERROR(VALUE(MID(K139,L139+1,9)),0),3)&amp;RIGHT("0000"&amp;IFERROR(VALUE(MID(B139,FIND("-",B139)+1,9)),0),4))</f>
        <v/>
      </c>
      <c r="N139" s="11" t="str">
        <f aca="false">IF(OR(B139="",N(F139)&lt;=0),"",IF('FALTAS POR DECK'!$P$1="Código","K"&amp;M139&amp;RIGHT("00000"&amp;ROW(),5),IF('FALTAS POR DECK'!$P$1="Nome","K"&amp;UPPER(SUBSTITUTE(SUBSTITUTE(SUBSTITUTE(C139,"*",""),"?",""),"~",""))&amp;"0"&amp;M139&amp;RIGHT("00000"&amp;ROW(),5),IF('FALTAS POR DECK'!$P$1="Falta (maior primeiro)","K"&amp;RIGHT("0000"&amp;(9999-F139),4)&amp;M139&amp;RIGHT("00000"&amp;ROW(),5),IF('FALTAS POR DECK'!$P$1="Deck e código","K"&amp;RIGHT("00"&amp;IFERROR(MATCH(A139,_LEITURA!$P$2:$P$21,0),99),2)&amp;M139&amp;RIGHT("00000"&amp;ROW(),5),"K"&amp;RIGHT("00000"&amp;ROW(),5))))))</f>
        <v/>
      </c>
      <c r="O139" s="16" t="str">
        <f aca="false">IF(N139="","",COUNTIFS($N$2:$N$1201,"&lt;"&amp;N139,$F$2:$F$1201,"&gt;0")+1)</f>
        <v/>
      </c>
    </row>
    <row r="140" customFormat="false" ht="15" hidden="false" customHeight="false" outlineLevel="0" collapsed="false">
      <c r="A140" s="11" t="str">
        <f aca="false">IF(_LEITURA!$N140="","",INDEX(_LEITURA!$K$2:$K$1201,_LEITURA!$N140))</f>
        <v/>
      </c>
      <c r="B140" s="11" t="str">
        <f aca="false">IF(_LEITURA!$N140="","",INDEX(_LEITURA!$E$2:$E$1201,_LEITURA!$N140))</f>
        <v/>
      </c>
      <c r="C140" s="11" t="str">
        <f aca="false">IF(_LEITURA!$N140="","",INDEX(_LEITURA!$J$2:$J$1201,_LEITURA!$N140))</f>
        <v/>
      </c>
      <c r="D140" s="16" t="str">
        <f aca="false">IF(_LEITURA!$N140="","",INDEX(_LEITURA!$G$2:$G$1201,_LEITURA!$N140))</f>
        <v/>
      </c>
      <c r="E140" s="16" t="str">
        <f aca="false">IF(B140="","",SUMIFS(INVENTÁRIO!$C$2:$C$801,INVENTÁRIO!$A$2:$A$801,B140))</f>
        <v/>
      </c>
      <c r="F140" s="16" t="str">
        <f aca="false">IF(B140="","",MAX(0,D140-E140))</f>
        <v/>
      </c>
      <c r="G140" s="16" t="str">
        <f aca="false">IF(B140="","",IF(COUNTIFS($B$2:$B$1201,B140,$A$2:$A$1201,"&lt;&gt;"&amp;A140)&gt;0,"Sim",""))</f>
        <v/>
      </c>
      <c r="H140" s="16" t="str">
        <f aca="false">IF(N(F140)&gt;0,MAX(H$1:H139)+1,"")</f>
        <v/>
      </c>
      <c r="I140" s="11" t="str">
        <f aca="false">IF(B140="","",IF(INDEX($C$2:$C$1201,MATCH(B140,$B$2:$B$1201,0))&lt;&gt;C140,"Nome diferente em outro deck — revisar",""))</f>
        <v/>
      </c>
      <c r="J140" s="16" t="str">
        <f aca="false">IF(AND(B140&lt;&gt;"",A140=BULK!$A$1,N(F140)&gt;0),MAX(J$1:J139)+1,"")</f>
        <v/>
      </c>
      <c r="K140" s="11" t="str">
        <f aca="false">IF(B140="","",IFERROR(LEFT(B140,FIND("-",B140)-1),B140))</f>
        <v/>
      </c>
      <c r="L140" s="11" t="str">
        <f aca="false">IF(K140="","",IF(ISNUMBER(--MID(K140,1,1)),0,IF(ISNUMBER(--MID(K140,2,1)),1,IF(ISNUMBER(--MID(K140,3,1)),2,IF(ISNUMBER(--MID(K140,4,1)),3,MIN(LEN(K140),4))))))</f>
        <v/>
      </c>
      <c r="M140" s="11" t="str">
        <f aca="false">IF(B140="","",LEFT(K140,L140)&amp;REPT("0",4-L140)&amp;RIGHT("000"&amp;IFERROR(VALUE(MID(K140,L140+1,9)),0),3)&amp;RIGHT("0000"&amp;IFERROR(VALUE(MID(B140,FIND("-",B140)+1,9)),0),4))</f>
        <v/>
      </c>
      <c r="N140" s="11" t="str">
        <f aca="false">IF(OR(B140="",N(F140)&lt;=0),"",IF('FALTAS POR DECK'!$P$1="Código","K"&amp;M140&amp;RIGHT("00000"&amp;ROW(),5),IF('FALTAS POR DECK'!$P$1="Nome","K"&amp;UPPER(SUBSTITUTE(SUBSTITUTE(SUBSTITUTE(C140,"*",""),"?",""),"~",""))&amp;"0"&amp;M140&amp;RIGHT("00000"&amp;ROW(),5),IF('FALTAS POR DECK'!$P$1="Falta (maior primeiro)","K"&amp;RIGHT("0000"&amp;(9999-F140),4)&amp;M140&amp;RIGHT("00000"&amp;ROW(),5),IF('FALTAS POR DECK'!$P$1="Deck e código","K"&amp;RIGHT("00"&amp;IFERROR(MATCH(A140,_LEITURA!$P$2:$P$21,0),99),2)&amp;M140&amp;RIGHT("00000"&amp;ROW(),5),"K"&amp;RIGHT("00000"&amp;ROW(),5))))))</f>
        <v/>
      </c>
      <c r="O140" s="16" t="str">
        <f aca="false">IF(N140="","",COUNTIFS($N$2:$N$1201,"&lt;"&amp;N140,$F$2:$F$1201,"&gt;0")+1)</f>
        <v/>
      </c>
    </row>
    <row r="141" customFormat="false" ht="15" hidden="false" customHeight="false" outlineLevel="0" collapsed="false">
      <c r="A141" s="11" t="str">
        <f aca="false">IF(_LEITURA!$N141="","",INDEX(_LEITURA!$K$2:$K$1201,_LEITURA!$N141))</f>
        <v/>
      </c>
      <c r="B141" s="11" t="str">
        <f aca="false">IF(_LEITURA!$N141="","",INDEX(_LEITURA!$E$2:$E$1201,_LEITURA!$N141))</f>
        <v/>
      </c>
      <c r="C141" s="11" t="str">
        <f aca="false">IF(_LEITURA!$N141="","",INDEX(_LEITURA!$J$2:$J$1201,_LEITURA!$N141))</f>
        <v/>
      </c>
      <c r="D141" s="16" t="str">
        <f aca="false">IF(_LEITURA!$N141="","",INDEX(_LEITURA!$G$2:$G$1201,_LEITURA!$N141))</f>
        <v/>
      </c>
      <c r="E141" s="16" t="str">
        <f aca="false">IF(B141="","",SUMIFS(INVENTÁRIO!$C$2:$C$801,INVENTÁRIO!$A$2:$A$801,B141))</f>
        <v/>
      </c>
      <c r="F141" s="16" t="str">
        <f aca="false">IF(B141="","",MAX(0,D141-E141))</f>
        <v/>
      </c>
      <c r="G141" s="16" t="str">
        <f aca="false">IF(B141="","",IF(COUNTIFS($B$2:$B$1201,B141,$A$2:$A$1201,"&lt;&gt;"&amp;A141)&gt;0,"Sim",""))</f>
        <v/>
      </c>
      <c r="H141" s="16" t="str">
        <f aca="false">IF(N(F141)&gt;0,MAX(H$1:H140)+1,"")</f>
        <v/>
      </c>
      <c r="I141" s="11" t="str">
        <f aca="false">IF(B141="","",IF(INDEX($C$2:$C$1201,MATCH(B141,$B$2:$B$1201,0))&lt;&gt;C141,"Nome diferente em outro deck — revisar",""))</f>
        <v/>
      </c>
      <c r="J141" s="16" t="str">
        <f aca="false">IF(AND(B141&lt;&gt;"",A141=BULK!$A$1,N(F141)&gt;0),MAX(J$1:J140)+1,"")</f>
        <v/>
      </c>
      <c r="K141" s="11" t="str">
        <f aca="false">IF(B141="","",IFERROR(LEFT(B141,FIND("-",B141)-1),B141))</f>
        <v/>
      </c>
      <c r="L141" s="11" t="str">
        <f aca="false">IF(K141="","",IF(ISNUMBER(--MID(K141,1,1)),0,IF(ISNUMBER(--MID(K141,2,1)),1,IF(ISNUMBER(--MID(K141,3,1)),2,IF(ISNUMBER(--MID(K141,4,1)),3,MIN(LEN(K141),4))))))</f>
        <v/>
      </c>
      <c r="M141" s="11" t="str">
        <f aca="false">IF(B141="","",LEFT(K141,L141)&amp;REPT("0",4-L141)&amp;RIGHT("000"&amp;IFERROR(VALUE(MID(K141,L141+1,9)),0),3)&amp;RIGHT("0000"&amp;IFERROR(VALUE(MID(B141,FIND("-",B141)+1,9)),0),4))</f>
        <v/>
      </c>
      <c r="N141" s="11" t="str">
        <f aca="false">IF(OR(B141="",N(F141)&lt;=0),"",IF('FALTAS POR DECK'!$P$1="Código","K"&amp;M141&amp;RIGHT("00000"&amp;ROW(),5),IF('FALTAS POR DECK'!$P$1="Nome","K"&amp;UPPER(SUBSTITUTE(SUBSTITUTE(SUBSTITUTE(C141,"*",""),"?",""),"~",""))&amp;"0"&amp;M141&amp;RIGHT("00000"&amp;ROW(),5),IF('FALTAS POR DECK'!$P$1="Falta (maior primeiro)","K"&amp;RIGHT("0000"&amp;(9999-F141),4)&amp;M141&amp;RIGHT("00000"&amp;ROW(),5),IF('FALTAS POR DECK'!$P$1="Deck e código","K"&amp;RIGHT("00"&amp;IFERROR(MATCH(A141,_LEITURA!$P$2:$P$21,0),99),2)&amp;M141&amp;RIGHT("00000"&amp;ROW(),5),"K"&amp;RIGHT("00000"&amp;ROW(),5))))))</f>
        <v/>
      </c>
      <c r="O141" s="16" t="str">
        <f aca="false">IF(N141="","",COUNTIFS($N$2:$N$1201,"&lt;"&amp;N141,$F$2:$F$1201,"&gt;0")+1)</f>
        <v/>
      </c>
    </row>
    <row r="142" customFormat="false" ht="15" hidden="false" customHeight="false" outlineLevel="0" collapsed="false">
      <c r="A142" s="11" t="str">
        <f aca="false">IF(_LEITURA!$N142="","",INDEX(_LEITURA!$K$2:$K$1201,_LEITURA!$N142))</f>
        <v/>
      </c>
      <c r="B142" s="11" t="str">
        <f aca="false">IF(_LEITURA!$N142="","",INDEX(_LEITURA!$E$2:$E$1201,_LEITURA!$N142))</f>
        <v/>
      </c>
      <c r="C142" s="11" t="str">
        <f aca="false">IF(_LEITURA!$N142="","",INDEX(_LEITURA!$J$2:$J$1201,_LEITURA!$N142))</f>
        <v/>
      </c>
      <c r="D142" s="16" t="str">
        <f aca="false">IF(_LEITURA!$N142="","",INDEX(_LEITURA!$G$2:$G$1201,_LEITURA!$N142))</f>
        <v/>
      </c>
      <c r="E142" s="16" t="str">
        <f aca="false">IF(B142="","",SUMIFS(INVENTÁRIO!$C$2:$C$801,INVENTÁRIO!$A$2:$A$801,B142))</f>
        <v/>
      </c>
      <c r="F142" s="16" t="str">
        <f aca="false">IF(B142="","",MAX(0,D142-E142))</f>
        <v/>
      </c>
      <c r="G142" s="16" t="str">
        <f aca="false">IF(B142="","",IF(COUNTIFS($B$2:$B$1201,B142,$A$2:$A$1201,"&lt;&gt;"&amp;A142)&gt;0,"Sim",""))</f>
        <v/>
      </c>
      <c r="H142" s="16" t="str">
        <f aca="false">IF(N(F142)&gt;0,MAX(H$1:H141)+1,"")</f>
        <v/>
      </c>
      <c r="I142" s="11" t="str">
        <f aca="false">IF(B142="","",IF(INDEX($C$2:$C$1201,MATCH(B142,$B$2:$B$1201,0))&lt;&gt;C142,"Nome diferente em outro deck — revisar",""))</f>
        <v/>
      </c>
      <c r="J142" s="16" t="str">
        <f aca="false">IF(AND(B142&lt;&gt;"",A142=BULK!$A$1,N(F142)&gt;0),MAX(J$1:J141)+1,"")</f>
        <v/>
      </c>
      <c r="K142" s="11" t="str">
        <f aca="false">IF(B142="","",IFERROR(LEFT(B142,FIND("-",B142)-1),B142))</f>
        <v/>
      </c>
      <c r="L142" s="11" t="str">
        <f aca="false">IF(K142="","",IF(ISNUMBER(--MID(K142,1,1)),0,IF(ISNUMBER(--MID(K142,2,1)),1,IF(ISNUMBER(--MID(K142,3,1)),2,IF(ISNUMBER(--MID(K142,4,1)),3,MIN(LEN(K142),4))))))</f>
        <v/>
      </c>
      <c r="M142" s="11" t="str">
        <f aca="false">IF(B142="","",LEFT(K142,L142)&amp;REPT("0",4-L142)&amp;RIGHT("000"&amp;IFERROR(VALUE(MID(K142,L142+1,9)),0),3)&amp;RIGHT("0000"&amp;IFERROR(VALUE(MID(B142,FIND("-",B142)+1,9)),0),4))</f>
        <v/>
      </c>
      <c r="N142" s="11" t="str">
        <f aca="false">IF(OR(B142="",N(F142)&lt;=0),"",IF('FALTAS POR DECK'!$P$1="Código","K"&amp;M142&amp;RIGHT("00000"&amp;ROW(),5),IF('FALTAS POR DECK'!$P$1="Nome","K"&amp;UPPER(SUBSTITUTE(SUBSTITUTE(SUBSTITUTE(C142,"*",""),"?",""),"~",""))&amp;"0"&amp;M142&amp;RIGHT("00000"&amp;ROW(),5),IF('FALTAS POR DECK'!$P$1="Falta (maior primeiro)","K"&amp;RIGHT("0000"&amp;(9999-F142),4)&amp;M142&amp;RIGHT("00000"&amp;ROW(),5),IF('FALTAS POR DECK'!$P$1="Deck e código","K"&amp;RIGHT("00"&amp;IFERROR(MATCH(A142,_LEITURA!$P$2:$P$21,0),99),2)&amp;M142&amp;RIGHT("00000"&amp;ROW(),5),"K"&amp;RIGHT("00000"&amp;ROW(),5))))))</f>
        <v/>
      </c>
      <c r="O142" s="16" t="str">
        <f aca="false">IF(N142="","",COUNTIFS($N$2:$N$1201,"&lt;"&amp;N142,$F$2:$F$1201,"&gt;0")+1)</f>
        <v/>
      </c>
    </row>
    <row r="143" customFormat="false" ht="15" hidden="false" customHeight="false" outlineLevel="0" collapsed="false">
      <c r="A143" s="11" t="str">
        <f aca="false">IF(_LEITURA!$N143="","",INDEX(_LEITURA!$K$2:$K$1201,_LEITURA!$N143))</f>
        <v/>
      </c>
      <c r="B143" s="11" t="str">
        <f aca="false">IF(_LEITURA!$N143="","",INDEX(_LEITURA!$E$2:$E$1201,_LEITURA!$N143))</f>
        <v/>
      </c>
      <c r="C143" s="11" t="str">
        <f aca="false">IF(_LEITURA!$N143="","",INDEX(_LEITURA!$J$2:$J$1201,_LEITURA!$N143))</f>
        <v/>
      </c>
      <c r="D143" s="16" t="str">
        <f aca="false">IF(_LEITURA!$N143="","",INDEX(_LEITURA!$G$2:$G$1201,_LEITURA!$N143))</f>
        <v/>
      </c>
      <c r="E143" s="16" t="str">
        <f aca="false">IF(B143="","",SUMIFS(INVENTÁRIO!$C$2:$C$801,INVENTÁRIO!$A$2:$A$801,B143))</f>
        <v/>
      </c>
      <c r="F143" s="16" t="str">
        <f aca="false">IF(B143="","",MAX(0,D143-E143))</f>
        <v/>
      </c>
      <c r="G143" s="16" t="str">
        <f aca="false">IF(B143="","",IF(COUNTIFS($B$2:$B$1201,B143,$A$2:$A$1201,"&lt;&gt;"&amp;A143)&gt;0,"Sim",""))</f>
        <v/>
      </c>
      <c r="H143" s="16" t="str">
        <f aca="false">IF(N(F143)&gt;0,MAX(H$1:H142)+1,"")</f>
        <v/>
      </c>
      <c r="I143" s="11" t="str">
        <f aca="false">IF(B143="","",IF(INDEX($C$2:$C$1201,MATCH(B143,$B$2:$B$1201,0))&lt;&gt;C143,"Nome diferente em outro deck — revisar",""))</f>
        <v/>
      </c>
      <c r="J143" s="16" t="str">
        <f aca="false">IF(AND(B143&lt;&gt;"",A143=BULK!$A$1,N(F143)&gt;0),MAX(J$1:J142)+1,"")</f>
        <v/>
      </c>
      <c r="K143" s="11" t="str">
        <f aca="false">IF(B143="","",IFERROR(LEFT(B143,FIND("-",B143)-1),B143))</f>
        <v/>
      </c>
      <c r="L143" s="11" t="str">
        <f aca="false">IF(K143="","",IF(ISNUMBER(--MID(K143,1,1)),0,IF(ISNUMBER(--MID(K143,2,1)),1,IF(ISNUMBER(--MID(K143,3,1)),2,IF(ISNUMBER(--MID(K143,4,1)),3,MIN(LEN(K143),4))))))</f>
        <v/>
      </c>
      <c r="M143" s="11" t="str">
        <f aca="false">IF(B143="","",LEFT(K143,L143)&amp;REPT("0",4-L143)&amp;RIGHT("000"&amp;IFERROR(VALUE(MID(K143,L143+1,9)),0),3)&amp;RIGHT("0000"&amp;IFERROR(VALUE(MID(B143,FIND("-",B143)+1,9)),0),4))</f>
        <v/>
      </c>
      <c r="N143" s="11" t="str">
        <f aca="false">IF(OR(B143="",N(F143)&lt;=0),"",IF('FALTAS POR DECK'!$P$1="Código","K"&amp;M143&amp;RIGHT("00000"&amp;ROW(),5),IF('FALTAS POR DECK'!$P$1="Nome","K"&amp;UPPER(SUBSTITUTE(SUBSTITUTE(SUBSTITUTE(C143,"*",""),"?",""),"~",""))&amp;"0"&amp;M143&amp;RIGHT("00000"&amp;ROW(),5),IF('FALTAS POR DECK'!$P$1="Falta (maior primeiro)","K"&amp;RIGHT("0000"&amp;(9999-F143),4)&amp;M143&amp;RIGHT("00000"&amp;ROW(),5),IF('FALTAS POR DECK'!$P$1="Deck e código","K"&amp;RIGHT("00"&amp;IFERROR(MATCH(A143,_LEITURA!$P$2:$P$21,0),99),2)&amp;M143&amp;RIGHT("00000"&amp;ROW(),5),"K"&amp;RIGHT("00000"&amp;ROW(),5))))))</f>
        <v/>
      </c>
      <c r="O143" s="16" t="str">
        <f aca="false">IF(N143="","",COUNTIFS($N$2:$N$1201,"&lt;"&amp;N143,$F$2:$F$1201,"&gt;0")+1)</f>
        <v/>
      </c>
    </row>
    <row r="144" customFormat="false" ht="15" hidden="false" customHeight="false" outlineLevel="0" collapsed="false">
      <c r="A144" s="11" t="str">
        <f aca="false">IF(_LEITURA!$N144="","",INDEX(_LEITURA!$K$2:$K$1201,_LEITURA!$N144))</f>
        <v/>
      </c>
      <c r="B144" s="11" t="str">
        <f aca="false">IF(_LEITURA!$N144="","",INDEX(_LEITURA!$E$2:$E$1201,_LEITURA!$N144))</f>
        <v/>
      </c>
      <c r="C144" s="11" t="str">
        <f aca="false">IF(_LEITURA!$N144="","",INDEX(_LEITURA!$J$2:$J$1201,_LEITURA!$N144))</f>
        <v/>
      </c>
      <c r="D144" s="16" t="str">
        <f aca="false">IF(_LEITURA!$N144="","",INDEX(_LEITURA!$G$2:$G$1201,_LEITURA!$N144))</f>
        <v/>
      </c>
      <c r="E144" s="16" t="str">
        <f aca="false">IF(B144="","",SUMIFS(INVENTÁRIO!$C$2:$C$801,INVENTÁRIO!$A$2:$A$801,B144))</f>
        <v/>
      </c>
      <c r="F144" s="16" t="str">
        <f aca="false">IF(B144="","",MAX(0,D144-E144))</f>
        <v/>
      </c>
      <c r="G144" s="16" t="str">
        <f aca="false">IF(B144="","",IF(COUNTIFS($B$2:$B$1201,B144,$A$2:$A$1201,"&lt;&gt;"&amp;A144)&gt;0,"Sim",""))</f>
        <v/>
      </c>
      <c r="H144" s="16" t="str">
        <f aca="false">IF(N(F144)&gt;0,MAX(H$1:H143)+1,"")</f>
        <v/>
      </c>
      <c r="I144" s="11" t="str">
        <f aca="false">IF(B144="","",IF(INDEX($C$2:$C$1201,MATCH(B144,$B$2:$B$1201,0))&lt;&gt;C144,"Nome diferente em outro deck — revisar",""))</f>
        <v/>
      </c>
      <c r="J144" s="16" t="str">
        <f aca="false">IF(AND(B144&lt;&gt;"",A144=BULK!$A$1,N(F144)&gt;0),MAX(J$1:J143)+1,"")</f>
        <v/>
      </c>
      <c r="K144" s="11" t="str">
        <f aca="false">IF(B144="","",IFERROR(LEFT(B144,FIND("-",B144)-1),B144))</f>
        <v/>
      </c>
      <c r="L144" s="11" t="str">
        <f aca="false">IF(K144="","",IF(ISNUMBER(--MID(K144,1,1)),0,IF(ISNUMBER(--MID(K144,2,1)),1,IF(ISNUMBER(--MID(K144,3,1)),2,IF(ISNUMBER(--MID(K144,4,1)),3,MIN(LEN(K144),4))))))</f>
        <v/>
      </c>
      <c r="M144" s="11" t="str">
        <f aca="false">IF(B144="","",LEFT(K144,L144)&amp;REPT("0",4-L144)&amp;RIGHT("000"&amp;IFERROR(VALUE(MID(K144,L144+1,9)),0),3)&amp;RIGHT("0000"&amp;IFERROR(VALUE(MID(B144,FIND("-",B144)+1,9)),0),4))</f>
        <v/>
      </c>
      <c r="N144" s="11" t="str">
        <f aca="false">IF(OR(B144="",N(F144)&lt;=0),"",IF('FALTAS POR DECK'!$P$1="Código","K"&amp;M144&amp;RIGHT("00000"&amp;ROW(),5),IF('FALTAS POR DECK'!$P$1="Nome","K"&amp;UPPER(SUBSTITUTE(SUBSTITUTE(SUBSTITUTE(C144,"*",""),"?",""),"~",""))&amp;"0"&amp;M144&amp;RIGHT("00000"&amp;ROW(),5),IF('FALTAS POR DECK'!$P$1="Falta (maior primeiro)","K"&amp;RIGHT("0000"&amp;(9999-F144),4)&amp;M144&amp;RIGHT("00000"&amp;ROW(),5),IF('FALTAS POR DECK'!$P$1="Deck e código","K"&amp;RIGHT("00"&amp;IFERROR(MATCH(A144,_LEITURA!$P$2:$P$21,0),99),2)&amp;M144&amp;RIGHT("00000"&amp;ROW(),5),"K"&amp;RIGHT("00000"&amp;ROW(),5))))))</f>
        <v/>
      </c>
      <c r="O144" s="16" t="str">
        <f aca="false">IF(N144="","",COUNTIFS($N$2:$N$1201,"&lt;"&amp;N144,$F$2:$F$1201,"&gt;0")+1)</f>
        <v/>
      </c>
    </row>
    <row r="145" customFormat="false" ht="15" hidden="false" customHeight="false" outlineLevel="0" collapsed="false">
      <c r="A145" s="11" t="str">
        <f aca="false">IF(_LEITURA!$N145="","",INDEX(_LEITURA!$K$2:$K$1201,_LEITURA!$N145))</f>
        <v/>
      </c>
      <c r="B145" s="11" t="str">
        <f aca="false">IF(_LEITURA!$N145="","",INDEX(_LEITURA!$E$2:$E$1201,_LEITURA!$N145))</f>
        <v/>
      </c>
      <c r="C145" s="11" t="str">
        <f aca="false">IF(_LEITURA!$N145="","",INDEX(_LEITURA!$J$2:$J$1201,_LEITURA!$N145))</f>
        <v/>
      </c>
      <c r="D145" s="16" t="str">
        <f aca="false">IF(_LEITURA!$N145="","",INDEX(_LEITURA!$G$2:$G$1201,_LEITURA!$N145))</f>
        <v/>
      </c>
      <c r="E145" s="16" t="str">
        <f aca="false">IF(B145="","",SUMIFS(INVENTÁRIO!$C$2:$C$801,INVENTÁRIO!$A$2:$A$801,B145))</f>
        <v/>
      </c>
      <c r="F145" s="16" t="str">
        <f aca="false">IF(B145="","",MAX(0,D145-E145))</f>
        <v/>
      </c>
      <c r="G145" s="16" t="str">
        <f aca="false">IF(B145="","",IF(COUNTIFS($B$2:$B$1201,B145,$A$2:$A$1201,"&lt;&gt;"&amp;A145)&gt;0,"Sim",""))</f>
        <v/>
      </c>
      <c r="H145" s="16" t="str">
        <f aca="false">IF(N(F145)&gt;0,MAX(H$1:H144)+1,"")</f>
        <v/>
      </c>
      <c r="I145" s="11" t="str">
        <f aca="false">IF(B145="","",IF(INDEX($C$2:$C$1201,MATCH(B145,$B$2:$B$1201,0))&lt;&gt;C145,"Nome diferente em outro deck — revisar",""))</f>
        <v/>
      </c>
      <c r="J145" s="16" t="str">
        <f aca="false">IF(AND(B145&lt;&gt;"",A145=BULK!$A$1,N(F145)&gt;0),MAX(J$1:J144)+1,"")</f>
        <v/>
      </c>
      <c r="K145" s="11" t="str">
        <f aca="false">IF(B145="","",IFERROR(LEFT(B145,FIND("-",B145)-1),B145))</f>
        <v/>
      </c>
      <c r="L145" s="11" t="str">
        <f aca="false">IF(K145="","",IF(ISNUMBER(--MID(K145,1,1)),0,IF(ISNUMBER(--MID(K145,2,1)),1,IF(ISNUMBER(--MID(K145,3,1)),2,IF(ISNUMBER(--MID(K145,4,1)),3,MIN(LEN(K145),4))))))</f>
        <v/>
      </c>
      <c r="M145" s="11" t="str">
        <f aca="false">IF(B145="","",LEFT(K145,L145)&amp;REPT("0",4-L145)&amp;RIGHT("000"&amp;IFERROR(VALUE(MID(K145,L145+1,9)),0),3)&amp;RIGHT("0000"&amp;IFERROR(VALUE(MID(B145,FIND("-",B145)+1,9)),0),4))</f>
        <v/>
      </c>
      <c r="N145" s="11" t="str">
        <f aca="false">IF(OR(B145="",N(F145)&lt;=0),"",IF('FALTAS POR DECK'!$P$1="Código","K"&amp;M145&amp;RIGHT("00000"&amp;ROW(),5),IF('FALTAS POR DECK'!$P$1="Nome","K"&amp;UPPER(SUBSTITUTE(SUBSTITUTE(SUBSTITUTE(C145,"*",""),"?",""),"~",""))&amp;"0"&amp;M145&amp;RIGHT("00000"&amp;ROW(),5),IF('FALTAS POR DECK'!$P$1="Falta (maior primeiro)","K"&amp;RIGHT("0000"&amp;(9999-F145),4)&amp;M145&amp;RIGHT("00000"&amp;ROW(),5),IF('FALTAS POR DECK'!$P$1="Deck e código","K"&amp;RIGHT("00"&amp;IFERROR(MATCH(A145,_LEITURA!$P$2:$P$21,0),99),2)&amp;M145&amp;RIGHT("00000"&amp;ROW(),5),"K"&amp;RIGHT("00000"&amp;ROW(),5))))))</f>
        <v/>
      </c>
      <c r="O145" s="16" t="str">
        <f aca="false">IF(N145="","",COUNTIFS($N$2:$N$1201,"&lt;"&amp;N145,$F$2:$F$1201,"&gt;0")+1)</f>
        <v/>
      </c>
    </row>
    <row r="146" customFormat="false" ht="15" hidden="false" customHeight="false" outlineLevel="0" collapsed="false">
      <c r="A146" s="11" t="str">
        <f aca="false">IF(_LEITURA!$N146="","",INDEX(_LEITURA!$K$2:$K$1201,_LEITURA!$N146))</f>
        <v/>
      </c>
      <c r="B146" s="11" t="str">
        <f aca="false">IF(_LEITURA!$N146="","",INDEX(_LEITURA!$E$2:$E$1201,_LEITURA!$N146))</f>
        <v/>
      </c>
      <c r="C146" s="11" t="str">
        <f aca="false">IF(_LEITURA!$N146="","",INDEX(_LEITURA!$J$2:$J$1201,_LEITURA!$N146))</f>
        <v/>
      </c>
      <c r="D146" s="16" t="str">
        <f aca="false">IF(_LEITURA!$N146="","",INDEX(_LEITURA!$G$2:$G$1201,_LEITURA!$N146))</f>
        <v/>
      </c>
      <c r="E146" s="16" t="str">
        <f aca="false">IF(B146="","",SUMIFS(INVENTÁRIO!$C$2:$C$801,INVENTÁRIO!$A$2:$A$801,B146))</f>
        <v/>
      </c>
      <c r="F146" s="16" t="str">
        <f aca="false">IF(B146="","",MAX(0,D146-E146))</f>
        <v/>
      </c>
      <c r="G146" s="16" t="str">
        <f aca="false">IF(B146="","",IF(COUNTIFS($B$2:$B$1201,B146,$A$2:$A$1201,"&lt;&gt;"&amp;A146)&gt;0,"Sim",""))</f>
        <v/>
      </c>
      <c r="H146" s="16" t="str">
        <f aca="false">IF(N(F146)&gt;0,MAX(H$1:H145)+1,"")</f>
        <v/>
      </c>
      <c r="I146" s="11" t="str">
        <f aca="false">IF(B146="","",IF(INDEX($C$2:$C$1201,MATCH(B146,$B$2:$B$1201,0))&lt;&gt;C146,"Nome diferente em outro deck — revisar",""))</f>
        <v/>
      </c>
      <c r="J146" s="16" t="str">
        <f aca="false">IF(AND(B146&lt;&gt;"",A146=BULK!$A$1,N(F146)&gt;0),MAX(J$1:J145)+1,"")</f>
        <v/>
      </c>
      <c r="K146" s="11" t="str">
        <f aca="false">IF(B146="","",IFERROR(LEFT(B146,FIND("-",B146)-1),B146))</f>
        <v/>
      </c>
      <c r="L146" s="11" t="str">
        <f aca="false">IF(K146="","",IF(ISNUMBER(--MID(K146,1,1)),0,IF(ISNUMBER(--MID(K146,2,1)),1,IF(ISNUMBER(--MID(K146,3,1)),2,IF(ISNUMBER(--MID(K146,4,1)),3,MIN(LEN(K146),4))))))</f>
        <v/>
      </c>
      <c r="M146" s="11" t="str">
        <f aca="false">IF(B146="","",LEFT(K146,L146)&amp;REPT("0",4-L146)&amp;RIGHT("000"&amp;IFERROR(VALUE(MID(K146,L146+1,9)),0),3)&amp;RIGHT("0000"&amp;IFERROR(VALUE(MID(B146,FIND("-",B146)+1,9)),0),4))</f>
        <v/>
      </c>
      <c r="N146" s="11" t="str">
        <f aca="false">IF(OR(B146="",N(F146)&lt;=0),"",IF('FALTAS POR DECK'!$P$1="Código","K"&amp;M146&amp;RIGHT("00000"&amp;ROW(),5),IF('FALTAS POR DECK'!$P$1="Nome","K"&amp;UPPER(SUBSTITUTE(SUBSTITUTE(SUBSTITUTE(C146,"*",""),"?",""),"~",""))&amp;"0"&amp;M146&amp;RIGHT("00000"&amp;ROW(),5),IF('FALTAS POR DECK'!$P$1="Falta (maior primeiro)","K"&amp;RIGHT("0000"&amp;(9999-F146),4)&amp;M146&amp;RIGHT("00000"&amp;ROW(),5),IF('FALTAS POR DECK'!$P$1="Deck e código","K"&amp;RIGHT("00"&amp;IFERROR(MATCH(A146,_LEITURA!$P$2:$P$21,0),99),2)&amp;M146&amp;RIGHT("00000"&amp;ROW(),5),"K"&amp;RIGHT("00000"&amp;ROW(),5))))))</f>
        <v/>
      </c>
      <c r="O146" s="16" t="str">
        <f aca="false">IF(N146="","",COUNTIFS($N$2:$N$1201,"&lt;"&amp;N146,$F$2:$F$1201,"&gt;0")+1)</f>
        <v/>
      </c>
    </row>
    <row r="147" customFormat="false" ht="15" hidden="false" customHeight="false" outlineLevel="0" collapsed="false">
      <c r="A147" s="11" t="str">
        <f aca="false">IF(_LEITURA!$N147="","",INDEX(_LEITURA!$K$2:$K$1201,_LEITURA!$N147))</f>
        <v/>
      </c>
      <c r="B147" s="11" t="str">
        <f aca="false">IF(_LEITURA!$N147="","",INDEX(_LEITURA!$E$2:$E$1201,_LEITURA!$N147))</f>
        <v/>
      </c>
      <c r="C147" s="11" t="str">
        <f aca="false">IF(_LEITURA!$N147="","",INDEX(_LEITURA!$J$2:$J$1201,_LEITURA!$N147))</f>
        <v/>
      </c>
      <c r="D147" s="16" t="str">
        <f aca="false">IF(_LEITURA!$N147="","",INDEX(_LEITURA!$G$2:$G$1201,_LEITURA!$N147))</f>
        <v/>
      </c>
      <c r="E147" s="16" t="str">
        <f aca="false">IF(B147="","",SUMIFS(INVENTÁRIO!$C$2:$C$801,INVENTÁRIO!$A$2:$A$801,B147))</f>
        <v/>
      </c>
      <c r="F147" s="16" t="str">
        <f aca="false">IF(B147="","",MAX(0,D147-E147))</f>
        <v/>
      </c>
      <c r="G147" s="16" t="str">
        <f aca="false">IF(B147="","",IF(COUNTIFS($B$2:$B$1201,B147,$A$2:$A$1201,"&lt;&gt;"&amp;A147)&gt;0,"Sim",""))</f>
        <v/>
      </c>
      <c r="H147" s="16" t="str">
        <f aca="false">IF(N(F147)&gt;0,MAX(H$1:H146)+1,"")</f>
        <v/>
      </c>
      <c r="I147" s="11" t="str">
        <f aca="false">IF(B147="","",IF(INDEX($C$2:$C$1201,MATCH(B147,$B$2:$B$1201,0))&lt;&gt;C147,"Nome diferente em outro deck — revisar",""))</f>
        <v/>
      </c>
      <c r="J147" s="16" t="str">
        <f aca="false">IF(AND(B147&lt;&gt;"",A147=BULK!$A$1,N(F147)&gt;0),MAX(J$1:J146)+1,"")</f>
        <v/>
      </c>
      <c r="K147" s="11" t="str">
        <f aca="false">IF(B147="","",IFERROR(LEFT(B147,FIND("-",B147)-1),B147))</f>
        <v/>
      </c>
      <c r="L147" s="11" t="str">
        <f aca="false">IF(K147="","",IF(ISNUMBER(--MID(K147,1,1)),0,IF(ISNUMBER(--MID(K147,2,1)),1,IF(ISNUMBER(--MID(K147,3,1)),2,IF(ISNUMBER(--MID(K147,4,1)),3,MIN(LEN(K147),4))))))</f>
        <v/>
      </c>
      <c r="M147" s="11" t="str">
        <f aca="false">IF(B147="","",LEFT(K147,L147)&amp;REPT("0",4-L147)&amp;RIGHT("000"&amp;IFERROR(VALUE(MID(K147,L147+1,9)),0),3)&amp;RIGHT("0000"&amp;IFERROR(VALUE(MID(B147,FIND("-",B147)+1,9)),0),4))</f>
        <v/>
      </c>
      <c r="N147" s="11" t="str">
        <f aca="false">IF(OR(B147="",N(F147)&lt;=0),"",IF('FALTAS POR DECK'!$P$1="Código","K"&amp;M147&amp;RIGHT("00000"&amp;ROW(),5),IF('FALTAS POR DECK'!$P$1="Nome","K"&amp;UPPER(SUBSTITUTE(SUBSTITUTE(SUBSTITUTE(C147,"*",""),"?",""),"~",""))&amp;"0"&amp;M147&amp;RIGHT("00000"&amp;ROW(),5),IF('FALTAS POR DECK'!$P$1="Falta (maior primeiro)","K"&amp;RIGHT("0000"&amp;(9999-F147),4)&amp;M147&amp;RIGHT("00000"&amp;ROW(),5),IF('FALTAS POR DECK'!$P$1="Deck e código","K"&amp;RIGHT("00"&amp;IFERROR(MATCH(A147,_LEITURA!$P$2:$P$21,0),99),2)&amp;M147&amp;RIGHT("00000"&amp;ROW(),5),"K"&amp;RIGHT("00000"&amp;ROW(),5))))))</f>
        <v/>
      </c>
      <c r="O147" s="16" t="str">
        <f aca="false">IF(N147="","",COUNTIFS($N$2:$N$1201,"&lt;"&amp;N147,$F$2:$F$1201,"&gt;0")+1)</f>
        <v/>
      </c>
    </row>
    <row r="148" customFormat="false" ht="15" hidden="false" customHeight="false" outlineLevel="0" collapsed="false">
      <c r="A148" s="11" t="str">
        <f aca="false">IF(_LEITURA!$N148="","",INDEX(_LEITURA!$K$2:$K$1201,_LEITURA!$N148))</f>
        <v/>
      </c>
      <c r="B148" s="11" t="str">
        <f aca="false">IF(_LEITURA!$N148="","",INDEX(_LEITURA!$E$2:$E$1201,_LEITURA!$N148))</f>
        <v/>
      </c>
      <c r="C148" s="11" t="str">
        <f aca="false">IF(_LEITURA!$N148="","",INDEX(_LEITURA!$J$2:$J$1201,_LEITURA!$N148))</f>
        <v/>
      </c>
      <c r="D148" s="16" t="str">
        <f aca="false">IF(_LEITURA!$N148="","",INDEX(_LEITURA!$G$2:$G$1201,_LEITURA!$N148))</f>
        <v/>
      </c>
      <c r="E148" s="16" t="str">
        <f aca="false">IF(B148="","",SUMIFS(INVENTÁRIO!$C$2:$C$801,INVENTÁRIO!$A$2:$A$801,B148))</f>
        <v/>
      </c>
      <c r="F148" s="16" t="str">
        <f aca="false">IF(B148="","",MAX(0,D148-E148))</f>
        <v/>
      </c>
      <c r="G148" s="16" t="str">
        <f aca="false">IF(B148="","",IF(COUNTIFS($B$2:$B$1201,B148,$A$2:$A$1201,"&lt;&gt;"&amp;A148)&gt;0,"Sim",""))</f>
        <v/>
      </c>
      <c r="H148" s="16" t="str">
        <f aca="false">IF(N(F148)&gt;0,MAX(H$1:H147)+1,"")</f>
        <v/>
      </c>
      <c r="I148" s="11" t="str">
        <f aca="false">IF(B148="","",IF(INDEX($C$2:$C$1201,MATCH(B148,$B$2:$B$1201,0))&lt;&gt;C148,"Nome diferente em outro deck — revisar",""))</f>
        <v/>
      </c>
      <c r="J148" s="16" t="str">
        <f aca="false">IF(AND(B148&lt;&gt;"",A148=BULK!$A$1,N(F148)&gt;0),MAX(J$1:J147)+1,"")</f>
        <v/>
      </c>
      <c r="K148" s="11" t="str">
        <f aca="false">IF(B148="","",IFERROR(LEFT(B148,FIND("-",B148)-1),B148))</f>
        <v/>
      </c>
      <c r="L148" s="11" t="str">
        <f aca="false">IF(K148="","",IF(ISNUMBER(--MID(K148,1,1)),0,IF(ISNUMBER(--MID(K148,2,1)),1,IF(ISNUMBER(--MID(K148,3,1)),2,IF(ISNUMBER(--MID(K148,4,1)),3,MIN(LEN(K148),4))))))</f>
        <v/>
      </c>
      <c r="M148" s="11" t="str">
        <f aca="false">IF(B148="","",LEFT(K148,L148)&amp;REPT("0",4-L148)&amp;RIGHT("000"&amp;IFERROR(VALUE(MID(K148,L148+1,9)),0),3)&amp;RIGHT("0000"&amp;IFERROR(VALUE(MID(B148,FIND("-",B148)+1,9)),0),4))</f>
        <v/>
      </c>
      <c r="N148" s="11" t="str">
        <f aca="false">IF(OR(B148="",N(F148)&lt;=0),"",IF('FALTAS POR DECK'!$P$1="Código","K"&amp;M148&amp;RIGHT("00000"&amp;ROW(),5),IF('FALTAS POR DECK'!$P$1="Nome","K"&amp;UPPER(SUBSTITUTE(SUBSTITUTE(SUBSTITUTE(C148,"*",""),"?",""),"~",""))&amp;"0"&amp;M148&amp;RIGHT("00000"&amp;ROW(),5),IF('FALTAS POR DECK'!$P$1="Falta (maior primeiro)","K"&amp;RIGHT("0000"&amp;(9999-F148),4)&amp;M148&amp;RIGHT("00000"&amp;ROW(),5),IF('FALTAS POR DECK'!$P$1="Deck e código","K"&amp;RIGHT("00"&amp;IFERROR(MATCH(A148,_LEITURA!$P$2:$P$21,0),99),2)&amp;M148&amp;RIGHT("00000"&amp;ROW(),5),"K"&amp;RIGHT("00000"&amp;ROW(),5))))))</f>
        <v/>
      </c>
      <c r="O148" s="16" t="str">
        <f aca="false">IF(N148="","",COUNTIFS($N$2:$N$1201,"&lt;"&amp;N148,$F$2:$F$1201,"&gt;0")+1)</f>
        <v/>
      </c>
    </row>
    <row r="149" customFormat="false" ht="15" hidden="false" customHeight="false" outlineLevel="0" collapsed="false">
      <c r="A149" s="11" t="str">
        <f aca="false">IF(_LEITURA!$N149="","",INDEX(_LEITURA!$K$2:$K$1201,_LEITURA!$N149))</f>
        <v/>
      </c>
      <c r="B149" s="11" t="str">
        <f aca="false">IF(_LEITURA!$N149="","",INDEX(_LEITURA!$E$2:$E$1201,_LEITURA!$N149))</f>
        <v/>
      </c>
      <c r="C149" s="11" t="str">
        <f aca="false">IF(_LEITURA!$N149="","",INDEX(_LEITURA!$J$2:$J$1201,_LEITURA!$N149))</f>
        <v/>
      </c>
      <c r="D149" s="16" t="str">
        <f aca="false">IF(_LEITURA!$N149="","",INDEX(_LEITURA!$G$2:$G$1201,_LEITURA!$N149))</f>
        <v/>
      </c>
      <c r="E149" s="16" t="str">
        <f aca="false">IF(B149="","",SUMIFS(INVENTÁRIO!$C$2:$C$801,INVENTÁRIO!$A$2:$A$801,B149))</f>
        <v/>
      </c>
      <c r="F149" s="16" t="str">
        <f aca="false">IF(B149="","",MAX(0,D149-E149))</f>
        <v/>
      </c>
      <c r="G149" s="16" t="str">
        <f aca="false">IF(B149="","",IF(COUNTIFS($B$2:$B$1201,B149,$A$2:$A$1201,"&lt;&gt;"&amp;A149)&gt;0,"Sim",""))</f>
        <v/>
      </c>
      <c r="H149" s="16" t="str">
        <f aca="false">IF(N(F149)&gt;0,MAX(H$1:H148)+1,"")</f>
        <v/>
      </c>
      <c r="I149" s="11" t="str">
        <f aca="false">IF(B149="","",IF(INDEX($C$2:$C$1201,MATCH(B149,$B$2:$B$1201,0))&lt;&gt;C149,"Nome diferente em outro deck — revisar",""))</f>
        <v/>
      </c>
      <c r="J149" s="16" t="str">
        <f aca="false">IF(AND(B149&lt;&gt;"",A149=BULK!$A$1,N(F149)&gt;0),MAX(J$1:J148)+1,"")</f>
        <v/>
      </c>
      <c r="K149" s="11" t="str">
        <f aca="false">IF(B149="","",IFERROR(LEFT(B149,FIND("-",B149)-1),B149))</f>
        <v/>
      </c>
      <c r="L149" s="11" t="str">
        <f aca="false">IF(K149="","",IF(ISNUMBER(--MID(K149,1,1)),0,IF(ISNUMBER(--MID(K149,2,1)),1,IF(ISNUMBER(--MID(K149,3,1)),2,IF(ISNUMBER(--MID(K149,4,1)),3,MIN(LEN(K149),4))))))</f>
        <v/>
      </c>
      <c r="M149" s="11" t="str">
        <f aca="false">IF(B149="","",LEFT(K149,L149)&amp;REPT("0",4-L149)&amp;RIGHT("000"&amp;IFERROR(VALUE(MID(K149,L149+1,9)),0),3)&amp;RIGHT("0000"&amp;IFERROR(VALUE(MID(B149,FIND("-",B149)+1,9)),0),4))</f>
        <v/>
      </c>
      <c r="N149" s="11" t="str">
        <f aca="false">IF(OR(B149="",N(F149)&lt;=0),"",IF('FALTAS POR DECK'!$P$1="Código","K"&amp;M149&amp;RIGHT("00000"&amp;ROW(),5),IF('FALTAS POR DECK'!$P$1="Nome","K"&amp;UPPER(SUBSTITUTE(SUBSTITUTE(SUBSTITUTE(C149,"*",""),"?",""),"~",""))&amp;"0"&amp;M149&amp;RIGHT("00000"&amp;ROW(),5),IF('FALTAS POR DECK'!$P$1="Falta (maior primeiro)","K"&amp;RIGHT("0000"&amp;(9999-F149),4)&amp;M149&amp;RIGHT("00000"&amp;ROW(),5),IF('FALTAS POR DECK'!$P$1="Deck e código","K"&amp;RIGHT("00"&amp;IFERROR(MATCH(A149,_LEITURA!$P$2:$P$21,0),99),2)&amp;M149&amp;RIGHT("00000"&amp;ROW(),5),"K"&amp;RIGHT("00000"&amp;ROW(),5))))))</f>
        <v/>
      </c>
      <c r="O149" s="16" t="str">
        <f aca="false">IF(N149="","",COUNTIFS($N$2:$N$1201,"&lt;"&amp;N149,$F$2:$F$1201,"&gt;0")+1)</f>
        <v/>
      </c>
    </row>
    <row r="150" customFormat="false" ht="15" hidden="false" customHeight="false" outlineLevel="0" collapsed="false">
      <c r="A150" s="11" t="str">
        <f aca="false">IF(_LEITURA!$N150="","",INDEX(_LEITURA!$K$2:$K$1201,_LEITURA!$N150))</f>
        <v/>
      </c>
      <c r="B150" s="11" t="str">
        <f aca="false">IF(_LEITURA!$N150="","",INDEX(_LEITURA!$E$2:$E$1201,_LEITURA!$N150))</f>
        <v/>
      </c>
      <c r="C150" s="11" t="str">
        <f aca="false">IF(_LEITURA!$N150="","",INDEX(_LEITURA!$J$2:$J$1201,_LEITURA!$N150))</f>
        <v/>
      </c>
      <c r="D150" s="16" t="str">
        <f aca="false">IF(_LEITURA!$N150="","",INDEX(_LEITURA!$G$2:$G$1201,_LEITURA!$N150))</f>
        <v/>
      </c>
      <c r="E150" s="16" t="str">
        <f aca="false">IF(B150="","",SUMIFS(INVENTÁRIO!$C$2:$C$801,INVENTÁRIO!$A$2:$A$801,B150))</f>
        <v/>
      </c>
      <c r="F150" s="16" t="str">
        <f aca="false">IF(B150="","",MAX(0,D150-E150))</f>
        <v/>
      </c>
      <c r="G150" s="16" t="str">
        <f aca="false">IF(B150="","",IF(COUNTIFS($B$2:$B$1201,B150,$A$2:$A$1201,"&lt;&gt;"&amp;A150)&gt;0,"Sim",""))</f>
        <v/>
      </c>
      <c r="H150" s="16" t="str">
        <f aca="false">IF(N(F150)&gt;0,MAX(H$1:H149)+1,"")</f>
        <v/>
      </c>
      <c r="I150" s="11" t="str">
        <f aca="false">IF(B150="","",IF(INDEX($C$2:$C$1201,MATCH(B150,$B$2:$B$1201,0))&lt;&gt;C150,"Nome diferente em outro deck — revisar",""))</f>
        <v/>
      </c>
      <c r="J150" s="16" t="str">
        <f aca="false">IF(AND(B150&lt;&gt;"",A150=BULK!$A$1,N(F150)&gt;0),MAX(J$1:J149)+1,"")</f>
        <v/>
      </c>
      <c r="K150" s="11" t="str">
        <f aca="false">IF(B150="","",IFERROR(LEFT(B150,FIND("-",B150)-1),B150))</f>
        <v/>
      </c>
      <c r="L150" s="11" t="str">
        <f aca="false">IF(K150="","",IF(ISNUMBER(--MID(K150,1,1)),0,IF(ISNUMBER(--MID(K150,2,1)),1,IF(ISNUMBER(--MID(K150,3,1)),2,IF(ISNUMBER(--MID(K150,4,1)),3,MIN(LEN(K150),4))))))</f>
        <v/>
      </c>
      <c r="M150" s="11" t="str">
        <f aca="false">IF(B150="","",LEFT(K150,L150)&amp;REPT("0",4-L150)&amp;RIGHT("000"&amp;IFERROR(VALUE(MID(K150,L150+1,9)),0),3)&amp;RIGHT("0000"&amp;IFERROR(VALUE(MID(B150,FIND("-",B150)+1,9)),0),4))</f>
        <v/>
      </c>
      <c r="N150" s="11" t="str">
        <f aca="false">IF(OR(B150="",N(F150)&lt;=0),"",IF('FALTAS POR DECK'!$P$1="Código","K"&amp;M150&amp;RIGHT("00000"&amp;ROW(),5),IF('FALTAS POR DECK'!$P$1="Nome","K"&amp;UPPER(SUBSTITUTE(SUBSTITUTE(SUBSTITUTE(C150,"*",""),"?",""),"~",""))&amp;"0"&amp;M150&amp;RIGHT("00000"&amp;ROW(),5),IF('FALTAS POR DECK'!$P$1="Falta (maior primeiro)","K"&amp;RIGHT("0000"&amp;(9999-F150),4)&amp;M150&amp;RIGHT("00000"&amp;ROW(),5),IF('FALTAS POR DECK'!$P$1="Deck e código","K"&amp;RIGHT("00"&amp;IFERROR(MATCH(A150,_LEITURA!$P$2:$P$21,0),99),2)&amp;M150&amp;RIGHT("00000"&amp;ROW(),5),"K"&amp;RIGHT("00000"&amp;ROW(),5))))))</f>
        <v/>
      </c>
      <c r="O150" s="16" t="str">
        <f aca="false">IF(N150="","",COUNTIFS($N$2:$N$1201,"&lt;"&amp;N150,$F$2:$F$1201,"&gt;0")+1)</f>
        <v/>
      </c>
    </row>
    <row r="151" customFormat="false" ht="15" hidden="false" customHeight="false" outlineLevel="0" collapsed="false">
      <c r="A151" s="11" t="str">
        <f aca="false">IF(_LEITURA!$N151="","",INDEX(_LEITURA!$K$2:$K$1201,_LEITURA!$N151))</f>
        <v/>
      </c>
      <c r="B151" s="11" t="str">
        <f aca="false">IF(_LEITURA!$N151="","",INDEX(_LEITURA!$E$2:$E$1201,_LEITURA!$N151))</f>
        <v/>
      </c>
      <c r="C151" s="11" t="str">
        <f aca="false">IF(_LEITURA!$N151="","",INDEX(_LEITURA!$J$2:$J$1201,_LEITURA!$N151))</f>
        <v/>
      </c>
      <c r="D151" s="16" t="str">
        <f aca="false">IF(_LEITURA!$N151="","",INDEX(_LEITURA!$G$2:$G$1201,_LEITURA!$N151))</f>
        <v/>
      </c>
      <c r="E151" s="16" t="str">
        <f aca="false">IF(B151="","",SUMIFS(INVENTÁRIO!$C$2:$C$801,INVENTÁRIO!$A$2:$A$801,B151))</f>
        <v/>
      </c>
      <c r="F151" s="16" t="str">
        <f aca="false">IF(B151="","",MAX(0,D151-E151))</f>
        <v/>
      </c>
      <c r="G151" s="16" t="str">
        <f aca="false">IF(B151="","",IF(COUNTIFS($B$2:$B$1201,B151,$A$2:$A$1201,"&lt;&gt;"&amp;A151)&gt;0,"Sim",""))</f>
        <v/>
      </c>
      <c r="H151" s="16" t="str">
        <f aca="false">IF(N(F151)&gt;0,MAX(H$1:H150)+1,"")</f>
        <v/>
      </c>
      <c r="I151" s="11" t="str">
        <f aca="false">IF(B151="","",IF(INDEX($C$2:$C$1201,MATCH(B151,$B$2:$B$1201,0))&lt;&gt;C151,"Nome diferente em outro deck — revisar",""))</f>
        <v/>
      </c>
      <c r="J151" s="16" t="str">
        <f aca="false">IF(AND(B151&lt;&gt;"",A151=BULK!$A$1,N(F151)&gt;0),MAX(J$1:J150)+1,"")</f>
        <v/>
      </c>
      <c r="K151" s="11" t="str">
        <f aca="false">IF(B151="","",IFERROR(LEFT(B151,FIND("-",B151)-1),B151))</f>
        <v/>
      </c>
      <c r="L151" s="11" t="str">
        <f aca="false">IF(K151="","",IF(ISNUMBER(--MID(K151,1,1)),0,IF(ISNUMBER(--MID(K151,2,1)),1,IF(ISNUMBER(--MID(K151,3,1)),2,IF(ISNUMBER(--MID(K151,4,1)),3,MIN(LEN(K151),4))))))</f>
        <v/>
      </c>
      <c r="M151" s="11" t="str">
        <f aca="false">IF(B151="","",LEFT(K151,L151)&amp;REPT("0",4-L151)&amp;RIGHT("000"&amp;IFERROR(VALUE(MID(K151,L151+1,9)),0),3)&amp;RIGHT("0000"&amp;IFERROR(VALUE(MID(B151,FIND("-",B151)+1,9)),0),4))</f>
        <v/>
      </c>
      <c r="N151" s="11" t="str">
        <f aca="false">IF(OR(B151="",N(F151)&lt;=0),"",IF('FALTAS POR DECK'!$P$1="Código","K"&amp;M151&amp;RIGHT("00000"&amp;ROW(),5),IF('FALTAS POR DECK'!$P$1="Nome","K"&amp;UPPER(SUBSTITUTE(SUBSTITUTE(SUBSTITUTE(C151,"*",""),"?",""),"~",""))&amp;"0"&amp;M151&amp;RIGHT("00000"&amp;ROW(),5),IF('FALTAS POR DECK'!$P$1="Falta (maior primeiro)","K"&amp;RIGHT("0000"&amp;(9999-F151),4)&amp;M151&amp;RIGHT("00000"&amp;ROW(),5),IF('FALTAS POR DECK'!$P$1="Deck e código","K"&amp;RIGHT("00"&amp;IFERROR(MATCH(A151,_LEITURA!$P$2:$P$21,0),99),2)&amp;M151&amp;RIGHT("00000"&amp;ROW(),5),"K"&amp;RIGHT("00000"&amp;ROW(),5))))))</f>
        <v/>
      </c>
      <c r="O151" s="16" t="str">
        <f aca="false">IF(N151="","",COUNTIFS($N$2:$N$1201,"&lt;"&amp;N151,$F$2:$F$1201,"&gt;0")+1)</f>
        <v/>
      </c>
    </row>
    <row r="152" customFormat="false" ht="15" hidden="false" customHeight="false" outlineLevel="0" collapsed="false">
      <c r="A152" s="11" t="str">
        <f aca="false">IF(_LEITURA!$N152="","",INDEX(_LEITURA!$K$2:$K$1201,_LEITURA!$N152))</f>
        <v/>
      </c>
      <c r="B152" s="11" t="str">
        <f aca="false">IF(_LEITURA!$N152="","",INDEX(_LEITURA!$E$2:$E$1201,_LEITURA!$N152))</f>
        <v/>
      </c>
      <c r="C152" s="11" t="str">
        <f aca="false">IF(_LEITURA!$N152="","",INDEX(_LEITURA!$J$2:$J$1201,_LEITURA!$N152))</f>
        <v/>
      </c>
      <c r="D152" s="16" t="str">
        <f aca="false">IF(_LEITURA!$N152="","",INDEX(_LEITURA!$G$2:$G$1201,_LEITURA!$N152))</f>
        <v/>
      </c>
      <c r="E152" s="16" t="str">
        <f aca="false">IF(B152="","",SUMIFS(INVENTÁRIO!$C$2:$C$801,INVENTÁRIO!$A$2:$A$801,B152))</f>
        <v/>
      </c>
      <c r="F152" s="16" t="str">
        <f aca="false">IF(B152="","",MAX(0,D152-E152))</f>
        <v/>
      </c>
      <c r="G152" s="16" t="str">
        <f aca="false">IF(B152="","",IF(COUNTIFS($B$2:$B$1201,B152,$A$2:$A$1201,"&lt;&gt;"&amp;A152)&gt;0,"Sim",""))</f>
        <v/>
      </c>
      <c r="H152" s="16" t="str">
        <f aca="false">IF(N(F152)&gt;0,MAX(H$1:H151)+1,"")</f>
        <v/>
      </c>
      <c r="I152" s="11" t="str">
        <f aca="false">IF(B152="","",IF(INDEX($C$2:$C$1201,MATCH(B152,$B$2:$B$1201,0))&lt;&gt;C152,"Nome diferente em outro deck — revisar",""))</f>
        <v/>
      </c>
      <c r="J152" s="16" t="str">
        <f aca="false">IF(AND(B152&lt;&gt;"",A152=BULK!$A$1,N(F152)&gt;0),MAX(J$1:J151)+1,"")</f>
        <v/>
      </c>
      <c r="K152" s="11" t="str">
        <f aca="false">IF(B152="","",IFERROR(LEFT(B152,FIND("-",B152)-1),B152))</f>
        <v/>
      </c>
      <c r="L152" s="11" t="str">
        <f aca="false">IF(K152="","",IF(ISNUMBER(--MID(K152,1,1)),0,IF(ISNUMBER(--MID(K152,2,1)),1,IF(ISNUMBER(--MID(K152,3,1)),2,IF(ISNUMBER(--MID(K152,4,1)),3,MIN(LEN(K152),4))))))</f>
        <v/>
      </c>
      <c r="M152" s="11" t="str">
        <f aca="false">IF(B152="","",LEFT(K152,L152)&amp;REPT("0",4-L152)&amp;RIGHT("000"&amp;IFERROR(VALUE(MID(K152,L152+1,9)),0),3)&amp;RIGHT("0000"&amp;IFERROR(VALUE(MID(B152,FIND("-",B152)+1,9)),0),4))</f>
        <v/>
      </c>
      <c r="N152" s="11" t="str">
        <f aca="false">IF(OR(B152="",N(F152)&lt;=0),"",IF('FALTAS POR DECK'!$P$1="Código","K"&amp;M152&amp;RIGHT("00000"&amp;ROW(),5),IF('FALTAS POR DECK'!$P$1="Nome","K"&amp;UPPER(SUBSTITUTE(SUBSTITUTE(SUBSTITUTE(C152,"*",""),"?",""),"~",""))&amp;"0"&amp;M152&amp;RIGHT("00000"&amp;ROW(),5),IF('FALTAS POR DECK'!$P$1="Falta (maior primeiro)","K"&amp;RIGHT("0000"&amp;(9999-F152),4)&amp;M152&amp;RIGHT("00000"&amp;ROW(),5),IF('FALTAS POR DECK'!$P$1="Deck e código","K"&amp;RIGHT("00"&amp;IFERROR(MATCH(A152,_LEITURA!$P$2:$P$21,0),99),2)&amp;M152&amp;RIGHT("00000"&amp;ROW(),5),"K"&amp;RIGHT("00000"&amp;ROW(),5))))))</f>
        <v/>
      </c>
      <c r="O152" s="16" t="str">
        <f aca="false">IF(N152="","",COUNTIFS($N$2:$N$1201,"&lt;"&amp;N152,$F$2:$F$1201,"&gt;0")+1)</f>
        <v/>
      </c>
    </row>
    <row r="153" customFormat="false" ht="15" hidden="false" customHeight="false" outlineLevel="0" collapsed="false">
      <c r="A153" s="11" t="str">
        <f aca="false">IF(_LEITURA!$N153="","",INDEX(_LEITURA!$K$2:$K$1201,_LEITURA!$N153))</f>
        <v/>
      </c>
      <c r="B153" s="11" t="str">
        <f aca="false">IF(_LEITURA!$N153="","",INDEX(_LEITURA!$E$2:$E$1201,_LEITURA!$N153))</f>
        <v/>
      </c>
      <c r="C153" s="11" t="str">
        <f aca="false">IF(_LEITURA!$N153="","",INDEX(_LEITURA!$J$2:$J$1201,_LEITURA!$N153))</f>
        <v/>
      </c>
      <c r="D153" s="16" t="str">
        <f aca="false">IF(_LEITURA!$N153="","",INDEX(_LEITURA!$G$2:$G$1201,_LEITURA!$N153))</f>
        <v/>
      </c>
      <c r="E153" s="16" t="str">
        <f aca="false">IF(B153="","",SUMIFS(INVENTÁRIO!$C$2:$C$801,INVENTÁRIO!$A$2:$A$801,B153))</f>
        <v/>
      </c>
      <c r="F153" s="16" t="str">
        <f aca="false">IF(B153="","",MAX(0,D153-E153))</f>
        <v/>
      </c>
      <c r="G153" s="16" t="str">
        <f aca="false">IF(B153="","",IF(COUNTIFS($B$2:$B$1201,B153,$A$2:$A$1201,"&lt;&gt;"&amp;A153)&gt;0,"Sim",""))</f>
        <v/>
      </c>
      <c r="H153" s="16" t="str">
        <f aca="false">IF(N(F153)&gt;0,MAX(H$1:H152)+1,"")</f>
        <v/>
      </c>
      <c r="I153" s="11" t="str">
        <f aca="false">IF(B153="","",IF(INDEX($C$2:$C$1201,MATCH(B153,$B$2:$B$1201,0))&lt;&gt;C153,"Nome diferente em outro deck — revisar",""))</f>
        <v/>
      </c>
      <c r="J153" s="16" t="str">
        <f aca="false">IF(AND(B153&lt;&gt;"",A153=BULK!$A$1,N(F153)&gt;0),MAX(J$1:J152)+1,"")</f>
        <v/>
      </c>
      <c r="K153" s="11" t="str">
        <f aca="false">IF(B153="","",IFERROR(LEFT(B153,FIND("-",B153)-1),B153))</f>
        <v/>
      </c>
      <c r="L153" s="11" t="str">
        <f aca="false">IF(K153="","",IF(ISNUMBER(--MID(K153,1,1)),0,IF(ISNUMBER(--MID(K153,2,1)),1,IF(ISNUMBER(--MID(K153,3,1)),2,IF(ISNUMBER(--MID(K153,4,1)),3,MIN(LEN(K153),4))))))</f>
        <v/>
      </c>
      <c r="M153" s="11" t="str">
        <f aca="false">IF(B153="","",LEFT(K153,L153)&amp;REPT("0",4-L153)&amp;RIGHT("000"&amp;IFERROR(VALUE(MID(K153,L153+1,9)),0),3)&amp;RIGHT("0000"&amp;IFERROR(VALUE(MID(B153,FIND("-",B153)+1,9)),0),4))</f>
        <v/>
      </c>
      <c r="N153" s="11" t="str">
        <f aca="false">IF(OR(B153="",N(F153)&lt;=0),"",IF('FALTAS POR DECK'!$P$1="Código","K"&amp;M153&amp;RIGHT("00000"&amp;ROW(),5),IF('FALTAS POR DECK'!$P$1="Nome","K"&amp;UPPER(SUBSTITUTE(SUBSTITUTE(SUBSTITUTE(C153,"*",""),"?",""),"~",""))&amp;"0"&amp;M153&amp;RIGHT("00000"&amp;ROW(),5),IF('FALTAS POR DECK'!$P$1="Falta (maior primeiro)","K"&amp;RIGHT("0000"&amp;(9999-F153),4)&amp;M153&amp;RIGHT("00000"&amp;ROW(),5),IF('FALTAS POR DECK'!$P$1="Deck e código","K"&amp;RIGHT("00"&amp;IFERROR(MATCH(A153,_LEITURA!$P$2:$P$21,0),99),2)&amp;M153&amp;RIGHT("00000"&amp;ROW(),5),"K"&amp;RIGHT("00000"&amp;ROW(),5))))))</f>
        <v/>
      </c>
      <c r="O153" s="16" t="str">
        <f aca="false">IF(N153="","",COUNTIFS($N$2:$N$1201,"&lt;"&amp;N153,$F$2:$F$1201,"&gt;0")+1)</f>
        <v/>
      </c>
    </row>
    <row r="154" customFormat="false" ht="15" hidden="false" customHeight="false" outlineLevel="0" collapsed="false">
      <c r="A154" s="11" t="str">
        <f aca="false">IF(_LEITURA!$N154="","",INDEX(_LEITURA!$K$2:$K$1201,_LEITURA!$N154))</f>
        <v/>
      </c>
      <c r="B154" s="11" t="str">
        <f aca="false">IF(_LEITURA!$N154="","",INDEX(_LEITURA!$E$2:$E$1201,_LEITURA!$N154))</f>
        <v/>
      </c>
      <c r="C154" s="11" t="str">
        <f aca="false">IF(_LEITURA!$N154="","",INDEX(_LEITURA!$J$2:$J$1201,_LEITURA!$N154))</f>
        <v/>
      </c>
      <c r="D154" s="16" t="str">
        <f aca="false">IF(_LEITURA!$N154="","",INDEX(_LEITURA!$G$2:$G$1201,_LEITURA!$N154))</f>
        <v/>
      </c>
      <c r="E154" s="16" t="str">
        <f aca="false">IF(B154="","",SUMIFS(INVENTÁRIO!$C$2:$C$801,INVENTÁRIO!$A$2:$A$801,B154))</f>
        <v/>
      </c>
      <c r="F154" s="16" t="str">
        <f aca="false">IF(B154="","",MAX(0,D154-E154))</f>
        <v/>
      </c>
      <c r="G154" s="16" t="str">
        <f aca="false">IF(B154="","",IF(COUNTIFS($B$2:$B$1201,B154,$A$2:$A$1201,"&lt;&gt;"&amp;A154)&gt;0,"Sim",""))</f>
        <v/>
      </c>
      <c r="H154" s="16" t="str">
        <f aca="false">IF(N(F154)&gt;0,MAX(H$1:H153)+1,"")</f>
        <v/>
      </c>
      <c r="I154" s="11" t="str">
        <f aca="false">IF(B154="","",IF(INDEX($C$2:$C$1201,MATCH(B154,$B$2:$B$1201,0))&lt;&gt;C154,"Nome diferente em outro deck — revisar",""))</f>
        <v/>
      </c>
      <c r="J154" s="16" t="str">
        <f aca="false">IF(AND(B154&lt;&gt;"",A154=BULK!$A$1,N(F154)&gt;0),MAX(J$1:J153)+1,"")</f>
        <v/>
      </c>
      <c r="K154" s="11" t="str">
        <f aca="false">IF(B154="","",IFERROR(LEFT(B154,FIND("-",B154)-1),B154))</f>
        <v/>
      </c>
      <c r="L154" s="11" t="str">
        <f aca="false">IF(K154="","",IF(ISNUMBER(--MID(K154,1,1)),0,IF(ISNUMBER(--MID(K154,2,1)),1,IF(ISNUMBER(--MID(K154,3,1)),2,IF(ISNUMBER(--MID(K154,4,1)),3,MIN(LEN(K154),4))))))</f>
        <v/>
      </c>
      <c r="M154" s="11" t="str">
        <f aca="false">IF(B154="","",LEFT(K154,L154)&amp;REPT("0",4-L154)&amp;RIGHT("000"&amp;IFERROR(VALUE(MID(K154,L154+1,9)),0),3)&amp;RIGHT("0000"&amp;IFERROR(VALUE(MID(B154,FIND("-",B154)+1,9)),0),4))</f>
        <v/>
      </c>
      <c r="N154" s="11" t="str">
        <f aca="false">IF(OR(B154="",N(F154)&lt;=0),"",IF('FALTAS POR DECK'!$P$1="Código","K"&amp;M154&amp;RIGHT("00000"&amp;ROW(),5),IF('FALTAS POR DECK'!$P$1="Nome","K"&amp;UPPER(SUBSTITUTE(SUBSTITUTE(SUBSTITUTE(C154,"*",""),"?",""),"~",""))&amp;"0"&amp;M154&amp;RIGHT("00000"&amp;ROW(),5),IF('FALTAS POR DECK'!$P$1="Falta (maior primeiro)","K"&amp;RIGHT("0000"&amp;(9999-F154),4)&amp;M154&amp;RIGHT("00000"&amp;ROW(),5),IF('FALTAS POR DECK'!$P$1="Deck e código","K"&amp;RIGHT("00"&amp;IFERROR(MATCH(A154,_LEITURA!$P$2:$P$21,0),99),2)&amp;M154&amp;RIGHT("00000"&amp;ROW(),5),"K"&amp;RIGHT("00000"&amp;ROW(),5))))))</f>
        <v/>
      </c>
      <c r="O154" s="16" t="str">
        <f aca="false">IF(N154="","",COUNTIFS($N$2:$N$1201,"&lt;"&amp;N154,$F$2:$F$1201,"&gt;0")+1)</f>
        <v/>
      </c>
    </row>
    <row r="155" customFormat="false" ht="15" hidden="false" customHeight="false" outlineLevel="0" collapsed="false">
      <c r="A155" s="11" t="str">
        <f aca="false">IF(_LEITURA!$N155="","",INDEX(_LEITURA!$K$2:$K$1201,_LEITURA!$N155))</f>
        <v/>
      </c>
      <c r="B155" s="11" t="str">
        <f aca="false">IF(_LEITURA!$N155="","",INDEX(_LEITURA!$E$2:$E$1201,_LEITURA!$N155))</f>
        <v/>
      </c>
      <c r="C155" s="11" t="str">
        <f aca="false">IF(_LEITURA!$N155="","",INDEX(_LEITURA!$J$2:$J$1201,_LEITURA!$N155))</f>
        <v/>
      </c>
      <c r="D155" s="16" t="str">
        <f aca="false">IF(_LEITURA!$N155="","",INDEX(_LEITURA!$G$2:$G$1201,_LEITURA!$N155))</f>
        <v/>
      </c>
      <c r="E155" s="16" t="str">
        <f aca="false">IF(B155="","",SUMIFS(INVENTÁRIO!$C$2:$C$801,INVENTÁRIO!$A$2:$A$801,B155))</f>
        <v/>
      </c>
      <c r="F155" s="16" t="str">
        <f aca="false">IF(B155="","",MAX(0,D155-E155))</f>
        <v/>
      </c>
      <c r="G155" s="16" t="str">
        <f aca="false">IF(B155="","",IF(COUNTIFS($B$2:$B$1201,B155,$A$2:$A$1201,"&lt;&gt;"&amp;A155)&gt;0,"Sim",""))</f>
        <v/>
      </c>
      <c r="H155" s="16" t="str">
        <f aca="false">IF(N(F155)&gt;0,MAX(H$1:H154)+1,"")</f>
        <v/>
      </c>
      <c r="I155" s="11" t="str">
        <f aca="false">IF(B155="","",IF(INDEX($C$2:$C$1201,MATCH(B155,$B$2:$B$1201,0))&lt;&gt;C155,"Nome diferente em outro deck — revisar",""))</f>
        <v/>
      </c>
      <c r="J155" s="16" t="str">
        <f aca="false">IF(AND(B155&lt;&gt;"",A155=BULK!$A$1,N(F155)&gt;0),MAX(J$1:J154)+1,"")</f>
        <v/>
      </c>
      <c r="K155" s="11" t="str">
        <f aca="false">IF(B155="","",IFERROR(LEFT(B155,FIND("-",B155)-1),B155))</f>
        <v/>
      </c>
      <c r="L155" s="11" t="str">
        <f aca="false">IF(K155="","",IF(ISNUMBER(--MID(K155,1,1)),0,IF(ISNUMBER(--MID(K155,2,1)),1,IF(ISNUMBER(--MID(K155,3,1)),2,IF(ISNUMBER(--MID(K155,4,1)),3,MIN(LEN(K155),4))))))</f>
        <v/>
      </c>
      <c r="M155" s="11" t="str">
        <f aca="false">IF(B155="","",LEFT(K155,L155)&amp;REPT("0",4-L155)&amp;RIGHT("000"&amp;IFERROR(VALUE(MID(K155,L155+1,9)),0),3)&amp;RIGHT("0000"&amp;IFERROR(VALUE(MID(B155,FIND("-",B155)+1,9)),0),4))</f>
        <v/>
      </c>
      <c r="N155" s="11" t="str">
        <f aca="false">IF(OR(B155="",N(F155)&lt;=0),"",IF('FALTAS POR DECK'!$P$1="Código","K"&amp;M155&amp;RIGHT("00000"&amp;ROW(),5),IF('FALTAS POR DECK'!$P$1="Nome","K"&amp;UPPER(SUBSTITUTE(SUBSTITUTE(SUBSTITUTE(C155,"*",""),"?",""),"~",""))&amp;"0"&amp;M155&amp;RIGHT("00000"&amp;ROW(),5),IF('FALTAS POR DECK'!$P$1="Falta (maior primeiro)","K"&amp;RIGHT("0000"&amp;(9999-F155),4)&amp;M155&amp;RIGHT("00000"&amp;ROW(),5),IF('FALTAS POR DECK'!$P$1="Deck e código","K"&amp;RIGHT("00"&amp;IFERROR(MATCH(A155,_LEITURA!$P$2:$P$21,0),99),2)&amp;M155&amp;RIGHT("00000"&amp;ROW(),5),"K"&amp;RIGHT("00000"&amp;ROW(),5))))))</f>
        <v/>
      </c>
      <c r="O155" s="16" t="str">
        <f aca="false">IF(N155="","",COUNTIFS($N$2:$N$1201,"&lt;"&amp;N155,$F$2:$F$1201,"&gt;0")+1)</f>
        <v/>
      </c>
    </row>
    <row r="156" customFormat="false" ht="15" hidden="false" customHeight="false" outlineLevel="0" collapsed="false">
      <c r="A156" s="11" t="str">
        <f aca="false">IF(_LEITURA!$N156="","",INDEX(_LEITURA!$K$2:$K$1201,_LEITURA!$N156))</f>
        <v/>
      </c>
      <c r="B156" s="11" t="str">
        <f aca="false">IF(_LEITURA!$N156="","",INDEX(_LEITURA!$E$2:$E$1201,_LEITURA!$N156))</f>
        <v/>
      </c>
      <c r="C156" s="11" t="str">
        <f aca="false">IF(_LEITURA!$N156="","",INDEX(_LEITURA!$J$2:$J$1201,_LEITURA!$N156))</f>
        <v/>
      </c>
      <c r="D156" s="16" t="str">
        <f aca="false">IF(_LEITURA!$N156="","",INDEX(_LEITURA!$G$2:$G$1201,_LEITURA!$N156))</f>
        <v/>
      </c>
      <c r="E156" s="16" t="str">
        <f aca="false">IF(B156="","",SUMIFS(INVENTÁRIO!$C$2:$C$801,INVENTÁRIO!$A$2:$A$801,B156))</f>
        <v/>
      </c>
      <c r="F156" s="16" t="str">
        <f aca="false">IF(B156="","",MAX(0,D156-E156))</f>
        <v/>
      </c>
      <c r="G156" s="16" t="str">
        <f aca="false">IF(B156="","",IF(COUNTIFS($B$2:$B$1201,B156,$A$2:$A$1201,"&lt;&gt;"&amp;A156)&gt;0,"Sim",""))</f>
        <v/>
      </c>
      <c r="H156" s="16" t="str">
        <f aca="false">IF(N(F156)&gt;0,MAX(H$1:H155)+1,"")</f>
        <v/>
      </c>
      <c r="I156" s="11" t="str">
        <f aca="false">IF(B156="","",IF(INDEX($C$2:$C$1201,MATCH(B156,$B$2:$B$1201,0))&lt;&gt;C156,"Nome diferente em outro deck — revisar",""))</f>
        <v/>
      </c>
      <c r="J156" s="16" t="str">
        <f aca="false">IF(AND(B156&lt;&gt;"",A156=BULK!$A$1,N(F156)&gt;0),MAX(J$1:J155)+1,"")</f>
        <v/>
      </c>
      <c r="K156" s="11" t="str">
        <f aca="false">IF(B156="","",IFERROR(LEFT(B156,FIND("-",B156)-1),B156))</f>
        <v/>
      </c>
      <c r="L156" s="11" t="str">
        <f aca="false">IF(K156="","",IF(ISNUMBER(--MID(K156,1,1)),0,IF(ISNUMBER(--MID(K156,2,1)),1,IF(ISNUMBER(--MID(K156,3,1)),2,IF(ISNUMBER(--MID(K156,4,1)),3,MIN(LEN(K156),4))))))</f>
        <v/>
      </c>
      <c r="M156" s="11" t="str">
        <f aca="false">IF(B156="","",LEFT(K156,L156)&amp;REPT("0",4-L156)&amp;RIGHT("000"&amp;IFERROR(VALUE(MID(K156,L156+1,9)),0),3)&amp;RIGHT("0000"&amp;IFERROR(VALUE(MID(B156,FIND("-",B156)+1,9)),0),4))</f>
        <v/>
      </c>
      <c r="N156" s="11" t="str">
        <f aca="false">IF(OR(B156="",N(F156)&lt;=0),"",IF('FALTAS POR DECK'!$P$1="Código","K"&amp;M156&amp;RIGHT("00000"&amp;ROW(),5),IF('FALTAS POR DECK'!$P$1="Nome","K"&amp;UPPER(SUBSTITUTE(SUBSTITUTE(SUBSTITUTE(C156,"*",""),"?",""),"~",""))&amp;"0"&amp;M156&amp;RIGHT("00000"&amp;ROW(),5),IF('FALTAS POR DECK'!$P$1="Falta (maior primeiro)","K"&amp;RIGHT("0000"&amp;(9999-F156),4)&amp;M156&amp;RIGHT("00000"&amp;ROW(),5),IF('FALTAS POR DECK'!$P$1="Deck e código","K"&amp;RIGHT("00"&amp;IFERROR(MATCH(A156,_LEITURA!$P$2:$P$21,0),99),2)&amp;M156&amp;RIGHT("00000"&amp;ROW(),5),"K"&amp;RIGHT("00000"&amp;ROW(),5))))))</f>
        <v/>
      </c>
      <c r="O156" s="16" t="str">
        <f aca="false">IF(N156="","",COUNTIFS($N$2:$N$1201,"&lt;"&amp;N156,$F$2:$F$1201,"&gt;0")+1)</f>
        <v/>
      </c>
    </row>
    <row r="157" customFormat="false" ht="15" hidden="false" customHeight="false" outlineLevel="0" collapsed="false">
      <c r="A157" s="11" t="str">
        <f aca="false">IF(_LEITURA!$N157="","",INDEX(_LEITURA!$K$2:$K$1201,_LEITURA!$N157))</f>
        <v/>
      </c>
      <c r="B157" s="11" t="str">
        <f aca="false">IF(_LEITURA!$N157="","",INDEX(_LEITURA!$E$2:$E$1201,_LEITURA!$N157))</f>
        <v/>
      </c>
      <c r="C157" s="11" t="str">
        <f aca="false">IF(_LEITURA!$N157="","",INDEX(_LEITURA!$J$2:$J$1201,_LEITURA!$N157))</f>
        <v/>
      </c>
      <c r="D157" s="16" t="str">
        <f aca="false">IF(_LEITURA!$N157="","",INDEX(_LEITURA!$G$2:$G$1201,_LEITURA!$N157))</f>
        <v/>
      </c>
      <c r="E157" s="16" t="str">
        <f aca="false">IF(B157="","",SUMIFS(INVENTÁRIO!$C$2:$C$801,INVENTÁRIO!$A$2:$A$801,B157))</f>
        <v/>
      </c>
      <c r="F157" s="16" t="str">
        <f aca="false">IF(B157="","",MAX(0,D157-E157))</f>
        <v/>
      </c>
      <c r="G157" s="16" t="str">
        <f aca="false">IF(B157="","",IF(COUNTIFS($B$2:$B$1201,B157,$A$2:$A$1201,"&lt;&gt;"&amp;A157)&gt;0,"Sim",""))</f>
        <v/>
      </c>
      <c r="H157" s="16" t="str">
        <f aca="false">IF(N(F157)&gt;0,MAX(H$1:H156)+1,"")</f>
        <v/>
      </c>
      <c r="I157" s="11" t="str">
        <f aca="false">IF(B157="","",IF(INDEX($C$2:$C$1201,MATCH(B157,$B$2:$B$1201,0))&lt;&gt;C157,"Nome diferente em outro deck — revisar",""))</f>
        <v/>
      </c>
      <c r="J157" s="16" t="str">
        <f aca="false">IF(AND(B157&lt;&gt;"",A157=BULK!$A$1,N(F157)&gt;0),MAX(J$1:J156)+1,"")</f>
        <v/>
      </c>
      <c r="K157" s="11" t="str">
        <f aca="false">IF(B157="","",IFERROR(LEFT(B157,FIND("-",B157)-1),B157))</f>
        <v/>
      </c>
      <c r="L157" s="11" t="str">
        <f aca="false">IF(K157="","",IF(ISNUMBER(--MID(K157,1,1)),0,IF(ISNUMBER(--MID(K157,2,1)),1,IF(ISNUMBER(--MID(K157,3,1)),2,IF(ISNUMBER(--MID(K157,4,1)),3,MIN(LEN(K157),4))))))</f>
        <v/>
      </c>
      <c r="M157" s="11" t="str">
        <f aca="false">IF(B157="","",LEFT(K157,L157)&amp;REPT("0",4-L157)&amp;RIGHT("000"&amp;IFERROR(VALUE(MID(K157,L157+1,9)),0),3)&amp;RIGHT("0000"&amp;IFERROR(VALUE(MID(B157,FIND("-",B157)+1,9)),0),4))</f>
        <v/>
      </c>
      <c r="N157" s="11" t="str">
        <f aca="false">IF(OR(B157="",N(F157)&lt;=0),"",IF('FALTAS POR DECK'!$P$1="Código","K"&amp;M157&amp;RIGHT("00000"&amp;ROW(),5),IF('FALTAS POR DECK'!$P$1="Nome","K"&amp;UPPER(SUBSTITUTE(SUBSTITUTE(SUBSTITUTE(C157,"*",""),"?",""),"~",""))&amp;"0"&amp;M157&amp;RIGHT("00000"&amp;ROW(),5),IF('FALTAS POR DECK'!$P$1="Falta (maior primeiro)","K"&amp;RIGHT("0000"&amp;(9999-F157),4)&amp;M157&amp;RIGHT("00000"&amp;ROW(),5),IF('FALTAS POR DECK'!$P$1="Deck e código","K"&amp;RIGHT("00"&amp;IFERROR(MATCH(A157,_LEITURA!$P$2:$P$21,0),99),2)&amp;M157&amp;RIGHT("00000"&amp;ROW(),5),"K"&amp;RIGHT("00000"&amp;ROW(),5))))))</f>
        <v/>
      </c>
      <c r="O157" s="16" t="str">
        <f aca="false">IF(N157="","",COUNTIFS($N$2:$N$1201,"&lt;"&amp;N157,$F$2:$F$1201,"&gt;0")+1)</f>
        <v/>
      </c>
    </row>
    <row r="158" customFormat="false" ht="15" hidden="false" customHeight="false" outlineLevel="0" collapsed="false">
      <c r="A158" s="11" t="str">
        <f aca="false">IF(_LEITURA!$N158="","",INDEX(_LEITURA!$K$2:$K$1201,_LEITURA!$N158))</f>
        <v/>
      </c>
      <c r="B158" s="11" t="str">
        <f aca="false">IF(_LEITURA!$N158="","",INDEX(_LEITURA!$E$2:$E$1201,_LEITURA!$N158))</f>
        <v/>
      </c>
      <c r="C158" s="11" t="str">
        <f aca="false">IF(_LEITURA!$N158="","",INDEX(_LEITURA!$J$2:$J$1201,_LEITURA!$N158))</f>
        <v/>
      </c>
      <c r="D158" s="16" t="str">
        <f aca="false">IF(_LEITURA!$N158="","",INDEX(_LEITURA!$G$2:$G$1201,_LEITURA!$N158))</f>
        <v/>
      </c>
      <c r="E158" s="16" t="str">
        <f aca="false">IF(B158="","",SUMIFS(INVENTÁRIO!$C$2:$C$801,INVENTÁRIO!$A$2:$A$801,B158))</f>
        <v/>
      </c>
      <c r="F158" s="16" t="str">
        <f aca="false">IF(B158="","",MAX(0,D158-E158))</f>
        <v/>
      </c>
      <c r="G158" s="16" t="str">
        <f aca="false">IF(B158="","",IF(COUNTIFS($B$2:$B$1201,B158,$A$2:$A$1201,"&lt;&gt;"&amp;A158)&gt;0,"Sim",""))</f>
        <v/>
      </c>
      <c r="H158" s="16" t="str">
        <f aca="false">IF(N(F158)&gt;0,MAX(H$1:H157)+1,"")</f>
        <v/>
      </c>
      <c r="I158" s="11" t="str">
        <f aca="false">IF(B158="","",IF(INDEX($C$2:$C$1201,MATCH(B158,$B$2:$B$1201,0))&lt;&gt;C158,"Nome diferente em outro deck — revisar",""))</f>
        <v/>
      </c>
      <c r="J158" s="16" t="str">
        <f aca="false">IF(AND(B158&lt;&gt;"",A158=BULK!$A$1,N(F158)&gt;0),MAX(J$1:J157)+1,"")</f>
        <v/>
      </c>
      <c r="K158" s="11" t="str">
        <f aca="false">IF(B158="","",IFERROR(LEFT(B158,FIND("-",B158)-1),B158))</f>
        <v/>
      </c>
      <c r="L158" s="11" t="str">
        <f aca="false">IF(K158="","",IF(ISNUMBER(--MID(K158,1,1)),0,IF(ISNUMBER(--MID(K158,2,1)),1,IF(ISNUMBER(--MID(K158,3,1)),2,IF(ISNUMBER(--MID(K158,4,1)),3,MIN(LEN(K158),4))))))</f>
        <v/>
      </c>
      <c r="M158" s="11" t="str">
        <f aca="false">IF(B158="","",LEFT(K158,L158)&amp;REPT("0",4-L158)&amp;RIGHT("000"&amp;IFERROR(VALUE(MID(K158,L158+1,9)),0),3)&amp;RIGHT("0000"&amp;IFERROR(VALUE(MID(B158,FIND("-",B158)+1,9)),0),4))</f>
        <v/>
      </c>
      <c r="N158" s="11" t="str">
        <f aca="false">IF(OR(B158="",N(F158)&lt;=0),"",IF('FALTAS POR DECK'!$P$1="Código","K"&amp;M158&amp;RIGHT("00000"&amp;ROW(),5),IF('FALTAS POR DECK'!$P$1="Nome","K"&amp;UPPER(SUBSTITUTE(SUBSTITUTE(SUBSTITUTE(C158,"*",""),"?",""),"~",""))&amp;"0"&amp;M158&amp;RIGHT("00000"&amp;ROW(),5),IF('FALTAS POR DECK'!$P$1="Falta (maior primeiro)","K"&amp;RIGHT("0000"&amp;(9999-F158),4)&amp;M158&amp;RIGHT("00000"&amp;ROW(),5),IF('FALTAS POR DECK'!$P$1="Deck e código","K"&amp;RIGHT("00"&amp;IFERROR(MATCH(A158,_LEITURA!$P$2:$P$21,0),99),2)&amp;M158&amp;RIGHT("00000"&amp;ROW(),5),"K"&amp;RIGHT("00000"&amp;ROW(),5))))))</f>
        <v/>
      </c>
      <c r="O158" s="16" t="str">
        <f aca="false">IF(N158="","",COUNTIFS($N$2:$N$1201,"&lt;"&amp;N158,$F$2:$F$1201,"&gt;0")+1)</f>
        <v/>
      </c>
    </row>
    <row r="159" customFormat="false" ht="15" hidden="false" customHeight="false" outlineLevel="0" collapsed="false">
      <c r="A159" s="11" t="str">
        <f aca="false">IF(_LEITURA!$N159="","",INDEX(_LEITURA!$K$2:$K$1201,_LEITURA!$N159))</f>
        <v/>
      </c>
      <c r="B159" s="11" t="str">
        <f aca="false">IF(_LEITURA!$N159="","",INDEX(_LEITURA!$E$2:$E$1201,_LEITURA!$N159))</f>
        <v/>
      </c>
      <c r="C159" s="11" t="str">
        <f aca="false">IF(_LEITURA!$N159="","",INDEX(_LEITURA!$J$2:$J$1201,_LEITURA!$N159))</f>
        <v/>
      </c>
      <c r="D159" s="16" t="str">
        <f aca="false">IF(_LEITURA!$N159="","",INDEX(_LEITURA!$G$2:$G$1201,_LEITURA!$N159))</f>
        <v/>
      </c>
      <c r="E159" s="16" t="str">
        <f aca="false">IF(B159="","",SUMIFS(INVENTÁRIO!$C$2:$C$801,INVENTÁRIO!$A$2:$A$801,B159))</f>
        <v/>
      </c>
      <c r="F159" s="16" t="str">
        <f aca="false">IF(B159="","",MAX(0,D159-E159))</f>
        <v/>
      </c>
      <c r="G159" s="16" t="str">
        <f aca="false">IF(B159="","",IF(COUNTIFS($B$2:$B$1201,B159,$A$2:$A$1201,"&lt;&gt;"&amp;A159)&gt;0,"Sim",""))</f>
        <v/>
      </c>
      <c r="H159" s="16" t="str">
        <f aca="false">IF(N(F159)&gt;0,MAX(H$1:H158)+1,"")</f>
        <v/>
      </c>
      <c r="I159" s="11" t="str">
        <f aca="false">IF(B159="","",IF(INDEX($C$2:$C$1201,MATCH(B159,$B$2:$B$1201,0))&lt;&gt;C159,"Nome diferente em outro deck — revisar",""))</f>
        <v/>
      </c>
      <c r="J159" s="16" t="str">
        <f aca="false">IF(AND(B159&lt;&gt;"",A159=BULK!$A$1,N(F159)&gt;0),MAX(J$1:J158)+1,"")</f>
        <v/>
      </c>
      <c r="K159" s="11" t="str">
        <f aca="false">IF(B159="","",IFERROR(LEFT(B159,FIND("-",B159)-1),B159))</f>
        <v/>
      </c>
      <c r="L159" s="11" t="str">
        <f aca="false">IF(K159="","",IF(ISNUMBER(--MID(K159,1,1)),0,IF(ISNUMBER(--MID(K159,2,1)),1,IF(ISNUMBER(--MID(K159,3,1)),2,IF(ISNUMBER(--MID(K159,4,1)),3,MIN(LEN(K159),4))))))</f>
        <v/>
      </c>
      <c r="M159" s="11" t="str">
        <f aca="false">IF(B159="","",LEFT(K159,L159)&amp;REPT("0",4-L159)&amp;RIGHT("000"&amp;IFERROR(VALUE(MID(K159,L159+1,9)),0),3)&amp;RIGHT("0000"&amp;IFERROR(VALUE(MID(B159,FIND("-",B159)+1,9)),0),4))</f>
        <v/>
      </c>
      <c r="N159" s="11" t="str">
        <f aca="false">IF(OR(B159="",N(F159)&lt;=0),"",IF('FALTAS POR DECK'!$P$1="Código","K"&amp;M159&amp;RIGHT("00000"&amp;ROW(),5),IF('FALTAS POR DECK'!$P$1="Nome","K"&amp;UPPER(SUBSTITUTE(SUBSTITUTE(SUBSTITUTE(C159,"*",""),"?",""),"~",""))&amp;"0"&amp;M159&amp;RIGHT("00000"&amp;ROW(),5),IF('FALTAS POR DECK'!$P$1="Falta (maior primeiro)","K"&amp;RIGHT("0000"&amp;(9999-F159),4)&amp;M159&amp;RIGHT("00000"&amp;ROW(),5),IF('FALTAS POR DECK'!$P$1="Deck e código","K"&amp;RIGHT("00"&amp;IFERROR(MATCH(A159,_LEITURA!$P$2:$P$21,0),99),2)&amp;M159&amp;RIGHT("00000"&amp;ROW(),5),"K"&amp;RIGHT("00000"&amp;ROW(),5))))))</f>
        <v/>
      </c>
      <c r="O159" s="16" t="str">
        <f aca="false">IF(N159="","",COUNTIFS($N$2:$N$1201,"&lt;"&amp;N159,$F$2:$F$1201,"&gt;0")+1)</f>
        <v/>
      </c>
    </row>
    <row r="160" customFormat="false" ht="15" hidden="false" customHeight="false" outlineLevel="0" collapsed="false">
      <c r="A160" s="11" t="str">
        <f aca="false">IF(_LEITURA!$N160="","",INDEX(_LEITURA!$K$2:$K$1201,_LEITURA!$N160))</f>
        <v/>
      </c>
      <c r="B160" s="11" t="str">
        <f aca="false">IF(_LEITURA!$N160="","",INDEX(_LEITURA!$E$2:$E$1201,_LEITURA!$N160))</f>
        <v/>
      </c>
      <c r="C160" s="11" t="str">
        <f aca="false">IF(_LEITURA!$N160="","",INDEX(_LEITURA!$J$2:$J$1201,_LEITURA!$N160))</f>
        <v/>
      </c>
      <c r="D160" s="16" t="str">
        <f aca="false">IF(_LEITURA!$N160="","",INDEX(_LEITURA!$G$2:$G$1201,_LEITURA!$N160))</f>
        <v/>
      </c>
      <c r="E160" s="16" t="str">
        <f aca="false">IF(B160="","",SUMIFS(INVENTÁRIO!$C$2:$C$801,INVENTÁRIO!$A$2:$A$801,B160))</f>
        <v/>
      </c>
      <c r="F160" s="16" t="str">
        <f aca="false">IF(B160="","",MAX(0,D160-E160))</f>
        <v/>
      </c>
      <c r="G160" s="16" t="str">
        <f aca="false">IF(B160="","",IF(COUNTIFS($B$2:$B$1201,B160,$A$2:$A$1201,"&lt;&gt;"&amp;A160)&gt;0,"Sim",""))</f>
        <v/>
      </c>
      <c r="H160" s="16" t="str">
        <f aca="false">IF(N(F160)&gt;0,MAX(H$1:H159)+1,"")</f>
        <v/>
      </c>
      <c r="I160" s="11" t="str">
        <f aca="false">IF(B160="","",IF(INDEX($C$2:$C$1201,MATCH(B160,$B$2:$B$1201,0))&lt;&gt;C160,"Nome diferente em outro deck — revisar",""))</f>
        <v/>
      </c>
      <c r="J160" s="16" t="str">
        <f aca="false">IF(AND(B160&lt;&gt;"",A160=BULK!$A$1,N(F160)&gt;0),MAX(J$1:J159)+1,"")</f>
        <v/>
      </c>
      <c r="K160" s="11" t="str">
        <f aca="false">IF(B160="","",IFERROR(LEFT(B160,FIND("-",B160)-1),B160))</f>
        <v/>
      </c>
      <c r="L160" s="11" t="str">
        <f aca="false">IF(K160="","",IF(ISNUMBER(--MID(K160,1,1)),0,IF(ISNUMBER(--MID(K160,2,1)),1,IF(ISNUMBER(--MID(K160,3,1)),2,IF(ISNUMBER(--MID(K160,4,1)),3,MIN(LEN(K160),4))))))</f>
        <v/>
      </c>
      <c r="M160" s="11" t="str">
        <f aca="false">IF(B160="","",LEFT(K160,L160)&amp;REPT("0",4-L160)&amp;RIGHT("000"&amp;IFERROR(VALUE(MID(K160,L160+1,9)),0),3)&amp;RIGHT("0000"&amp;IFERROR(VALUE(MID(B160,FIND("-",B160)+1,9)),0),4))</f>
        <v/>
      </c>
      <c r="N160" s="11" t="str">
        <f aca="false">IF(OR(B160="",N(F160)&lt;=0),"",IF('FALTAS POR DECK'!$P$1="Código","K"&amp;M160&amp;RIGHT("00000"&amp;ROW(),5),IF('FALTAS POR DECK'!$P$1="Nome","K"&amp;UPPER(SUBSTITUTE(SUBSTITUTE(SUBSTITUTE(C160,"*",""),"?",""),"~",""))&amp;"0"&amp;M160&amp;RIGHT("00000"&amp;ROW(),5),IF('FALTAS POR DECK'!$P$1="Falta (maior primeiro)","K"&amp;RIGHT("0000"&amp;(9999-F160),4)&amp;M160&amp;RIGHT("00000"&amp;ROW(),5),IF('FALTAS POR DECK'!$P$1="Deck e código","K"&amp;RIGHT("00"&amp;IFERROR(MATCH(A160,_LEITURA!$P$2:$P$21,0),99),2)&amp;M160&amp;RIGHT("00000"&amp;ROW(),5),"K"&amp;RIGHT("00000"&amp;ROW(),5))))))</f>
        <v/>
      </c>
      <c r="O160" s="16" t="str">
        <f aca="false">IF(N160="","",COUNTIFS($N$2:$N$1201,"&lt;"&amp;N160,$F$2:$F$1201,"&gt;0")+1)</f>
        <v/>
      </c>
    </row>
    <row r="161" customFormat="false" ht="15" hidden="false" customHeight="false" outlineLevel="0" collapsed="false">
      <c r="A161" s="11" t="str">
        <f aca="false">IF(_LEITURA!$N161="","",INDEX(_LEITURA!$K$2:$K$1201,_LEITURA!$N161))</f>
        <v/>
      </c>
      <c r="B161" s="11" t="str">
        <f aca="false">IF(_LEITURA!$N161="","",INDEX(_LEITURA!$E$2:$E$1201,_LEITURA!$N161))</f>
        <v/>
      </c>
      <c r="C161" s="11" t="str">
        <f aca="false">IF(_LEITURA!$N161="","",INDEX(_LEITURA!$J$2:$J$1201,_LEITURA!$N161))</f>
        <v/>
      </c>
      <c r="D161" s="16" t="str">
        <f aca="false">IF(_LEITURA!$N161="","",INDEX(_LEITURA!$G$2:$G$1201,_LEITURA!$N161))</f>
        <v/>
      </c>
      <c r="E161" s="16" t="str">
        <f aca="false">IF(B161="","",SUMIFS(INVENTÁRIO!$C$2:$C$801,INVENTÁRIO!$A$2:$A$801,B161))</f>
        <v/>
      </c>
      <c r="F161" s="16" t="str">
        <f aca="false">IF(B161="","",MAX(0,D161-E161))</f>
        <v/>
      </c>
      <c r="G161" s="16" t="str">
        <f aca="false">IF(B161="","",IF(COUNTIFS($B$2:$B$1201,B161,$A$2:$A$1201,"&lt;&gt;"&amp;A161)&gt;0,"Sim",""))</f>
        <v/>
      </c>
      <c r="H161" s="16" t="str">
        <f aca="false">IF(N(F161)&gt;0,MAX(H$1:H160)+1,"")</f>
        <v/>
      </c>
      <c r="I161" s="11" t="str">
        <f aca="false">IF(B161="","",IF(INDEX($C$2:$C$1201,MATCH(B161,$B$2:$B$1201,0))&lt;&gt;C161,"Nome diferente em outro deck — revisar",""))</f>
        <v/>
      </c>
      <c r="J161" s="16" t="str">
        <f aca="false">IF(AND(B161&lt;&gt;"",A161=BULK!$A$1,N(F161)&gt;0),MAX(J$1:J160)+1,"")</f>
        <v/>
      </c>
      <c r="K161" s="11" t="str">
        <f aca="false">IF(B161="","",IFERROR(LEFT(B161,FIND("-",B161)-1),B161))</f>
        <v/>
      </c>
      <c r="L161" s="11" t="str">
        <f aca="false">IF(K161="","",IF(ISNUMBER(--MID(K161,1,1)),0,IF(ISNUMBER(--MID(K161,2,1)),1,IF(ISNUMBER(--MID(K161,3,1)),2,IF(ISNUMBER(--MID(K161,4,1)),3,MIN(LEN(K161),4))))))</f>
        <v/>
      </c>
      <c r="M161" s="11" t="str">
        <f aca="false">IF(B161="","",LEFT(K161,L161)&amp;REPT("0",4-L161)&amp;RIGHT("000"&amp;IFERROR(VALUE(MID(K161,L161+1,9)),0),3)&amp;RIGHT("0000"&amp;IFERROR(VALUE(MID(B161,FIND("-",B161)+1,9)),0),4))</f>
        <v/>
      </c>
      <c r="N161" s="11" t="str">
        <f aca="false">IF(OR(B161="",N(F161)&lt;=0),"",IF('FALTAS POR DECK'!$P$1="Código","K"&amp;M161&amp;RIGHT("00000"&amp;ROW(),5),IF('FALTAS POR DECK'!$P$1="Nome","K"&amp;UPPER(SUBSTITUTE(SUBSTITUTE(SUBSTITUTE(C161,"*",""),"?",""),"~",""))&amp;"0"&amp;M161&amp;RIGHT("00000"&amp;ROW(),5),IF('FALTAS POR DECK'!$P$1="Falta (maior primeiro)","K"&amp;RIGHT("0000"&amp;(9999-F161),4)&amp;M161&amp;RIGHT("00000"&amp;ROW(),5),IF('FALTAS POR DECK'!$P$1="Deck e código","K"&amp;RIGHT("00"&amp;IFERROR(MATCH(A161,_LEITURA!$P$2:$P$21,0),99),2)&amp;M161&amp;RIGHT("00000"&amp;ROW(),5),"K"&amp;RIGHT("00000"&amp;ROW(),5))))))</f>
        <v/>
      </c>
      <c r="O161" s="16" t="str">
        <f aca="false">IF(N161="","",COUNTIFS($N$2:$N$1201,"&lt;"&amp;N161,$F$2:$F$1201,"&gt;0")+1)</f>
        <v/>
      </c>
    </row>
    <row r="162" customFormat="false" ht="15" hidden="false" customHeight="false" outlineLevel="0" collapsed="false">
      <c r="A162" s="11" t="str">
        <f aca="false">IF(_LEITURA!$N162="","",INDEX(_LEITURA!$K$2:$K$1201,_LEITURA!$N162))</f>
        <v/>
      </c>
      <c r="B162" s="11" t="str">
        <f aca="false">IF(_LEITURA!$N162="","",INDEX(_LEITURA!$E$2:$E$1201,_LEITURA!$N162))</f>
        <v/>
      </c>
      <c r="C162" s="11" t="str">
        <f aca="false">IF(_LEITURA!$N162="","",INDEX(_LEITURA!$J$2:$J$1201,_LEITURA!$N162))</f>
        <v/>
      </c>
      <c r="D162" s="16" t="str">
        <f aca="false">IF(_LEITURA!$N162="","",INDEX(_LEITURA!$G$2:$G$1201,_LEITURA!$N162))</f>
        <v/>
      </c>
      <c r="E162" s="16" t="str">
        <f aca="false">IF(B162="","",SUMIFS(INVENTÁRIO!$C$2:$C$801,INVENTÁRIO!$A$2:$A$801,B162))</f>
        <v/>
      </c>
      <c r="F162" s="16" t="str">
        <f aca="false">IF(B162="","",MAX(0,D162-E162))</f>
        <v/>
      </c>
      <c r="G162" s="16" t="str">
        <f aca="false">IF(B162="","",IF(COUNTIFS($B$2:$B$1201,B162,$A$2:$A$1201,"&lt;&gt;"&amp;A162)&gt;0,"Sim",""))</f>
        <v/>
      </c>
      <c r="H162" s="16" t="str">
        <f aca="false">IF(N(F162)&gt;0,MAX(H$1:H161)+1,"")</f>
        <v/>
      </c>
      <c r="I162" s="11" t="str">
        <f aca="false">IF(B162="","",IF(INDEX($C$2:$C$1201,MATCH(B162,$B$2:$B$1201,0))&lt;&gt;C162,"Nome diferente em outro deck — revisar",""))</f>
        <v/>
      </c>
      <c r="J162" s="16" t="str">
        <f aca="false">IF(AND(B162&lt;&gt;"",A162=BULK!$A$1,N(F162)&gt;0),MAX(J$1:J161)+1,"")</f>
        <v/>
      </c>
      <c r="K162" s="11" t="str">
        <f aca="false">IF(B162="","",IFERROR(LEFT(B162,FIND("-",B162)-1),B162))</f>
        <v/>
      </c>
      <c r="L162" s="11" t="str">
        <f aca="false">IF(K162="","",IF(ISNUMBER(--MID(K162,1,1)),0,IF(ISNUMBER(--MID(K162,2,1)),1,IF(ISNUMBER(--MID(K162,3,1)),2,IF(ISNUMBER(--MID(K162,4,1)),3,MIN(LEN(K162),4))))))</f>
        <v/>
      </c>
      <c r="M162" s="11" t="str">
        <f aca="false">IF(B162="","",LEFT(K162,L162)&amp;REPT("0",4-L162)&amp;RIGHT("000"&amp;IFERROR(VALUE(MID(K162,L162+1,9)),0),3)&amp;RIGHT("0000"&amp;IFERROR(VALUE(MID(B162,FIND("-",B162)+1,9)),0),4))</f>
        <v/>
      </c>
      <c r="N162" s="11" t="str">
        <f aca="false">IF(OR(B162="",N(F162)&lt;=0),"",IF('FALTAS POR DECK'!$P$1="Código","K"&amp;M162&amp;RIGHT("00000"&amp;ROW(),5),IF('FALTAS POR DECK'!$P$1="Nome","K"&amp;UPPER(SUBSTITUTE(SUBSTITUTE(SUBSTITUTE(C162,"*",""),"?",""),"~",""))&amp;"0"&amp;M162&amp;RIGHT("00000"&amp;ROW(),5),IF('FALTAS POR DECK'!$P$1="Falta (maior primeiro)","K"&amp;RIGHT("0000"&amp;(9999-F162),4)&amp;M162&amp;RIGHT("00000"&amp;ROW(),5),IF('FALTAS POR DECK'!$P$1="Deck e código","K"&amp;RIGHT("00"&amp;IFERROR(MATCH(A162,_LEITURA!$P$2:$P$21,0),99),2)&amp;M162&amp;RIGHT("00000"&amp;ROW(),5),"K"&amp;RIGHT("00000"&amp;ROW(),5))))))</f>
        <v/>
      </c>
      <c r="O162" s="16" t="str">
        <f aca="false">IF(N162="","",COUNTIFS($N$2:$N$1201,"&lt;"&amp;N162,$F$2:$F$1201,"&gt;0")+1)</f>
        <v/>
      </c>
    </row>
    <row r="163" customFormat="false" ht="15" hidden="false" customHeight="false" outlineLevel="0" collapsed="false">
      <c r="A163" s="11" t="str">
        <f aca="false">IF(_LEITURA!$N163="","",INDEX(_LEITURA!$K$2:$K$1201,_LEITURA!$N163))</f>
        <v/>
      </c>
      <c r="B163" s="11" t="str">
        <f aca="false">IF(_LEITURA!$N163="","",INDEX(_LEITURA!$E$2:$E$1201,_LEITURA!$N163))</f>
        <v/>
      </c>
      <c r="C163" s="11" t="str">
        <f aca="false">IF(_LEITURA!$N163="","",INDEX(_LEITURA!$J$2:$J$1201,_LEITURA!$N163))</f>
        <v/>
      </c>
      <c r="D163" s="16" t="str">
        <f aca="false">IF(_LEITURA!$N163="","",INDEX(_LEITURA!$G$2:$G$1201,_LEITURA!$N163))</f>
        <v/>
      </c>
      <c r="E163" s="16" t="str">
        <f aca="false">IF(B163="","",SUMIFS(INVENTÁRIO!$C$2:$C$801,INVENTÁRIO!$A$2:$A$801,B163))</f>
        <v/>
      </c>
      <c r="F163" s="16" t="str">
        <f aca="false">IF(B163="","",MAX(0,D163-E163))</f>
        <v/>
      </c>
      <c r="G163" s="16" t="str">
        <f aca="false">IF(B163="","",IF(COUNTIFS($B$2:$B$1201,B163,$A$2:$A$1201,"&lt;&gt;"&amp;A163)&gt;0,"Sim",""))</f>
        <v/>
      </c>
      <c r="H163" s="16" t="str">
        <f aca="false">IF(N(F163)&gt;0,MAX(H$1:H162)+1,"")</f>
        <v/>
      </c>
      <c r="I163" s="11" t="str">
        <f aca="false">IF(B163="","",IF(INDEX($C$2:$C$1201,MATCH(B163,$B$2:$B$1201,0))&lt;&gt;C163,"Nome diferente em outro deck — revisar",""))</f>
        <v/>
      </c>
      <c r="J163" s="16" t="str">
        <f aca="false">IF(AND(B163&lt;&gt;"",A163=BULK!$A$1,N(F163)&gt;0),MAX(J$1:J162)+1,"")</f>
        <v/>
      </c>
      <c r="K163" s="11" t="str">
        <f aca="false">IF(B163="","",IFERROR(LEFT(B163,FIND("-",B163)-1),B163))</f>
        <v/>
      </c>
      <c r="L163" s="11" t="str">
        <f aca="false">IF(K163="","",IF(ISNUMBER(--MID(K163,1,1)),0,IF(ISNUMBER(--MID(K163,2,1)),1,IF(ISNUMBER(--MID(K163,3,1)),2,IF(ISNUMBER(--MID(K163,4,1)),3,MIN(LEN(K163),4))))))</f>
        <v/>
      </c>
      <c r="M163" s="11" t="str">
        <f aca="false">IF(B163="","",LEFT(K163,L163)&amp;REPT("0",4-L163)&amp;RIGHT("000"&amp;IFERROR(VALUE(MID(K163,L163+1,9)),0),3)&amp;RIGHT("0000"&amp;IFERROR(VALUE(MID(B163,FIND("-",B163)+1,9)),0),4))</f>
        <v/>
      </c>
      <c r="N163" s="11" t="str">
        <f aca="false">IF(OR(B163="",N(F163)&lt;=0),"",IF('FALTAS POR DECK'!$P$1="Código","K"&amp;M163&amp;RIGHT("00000"&amp;ROW(),5),IF('FALTAS POR DECK'!$P$1="Nome","K"&amp;UPPER(SUBSTITUTE(SUBSTITUTE(SUBSTITUTE(C163,"*",""),"?",""),"~",""))&amp;"0"&amp;M163&amp;RIGHT("00000"&amp;ROW(),5),IF('FALTAS POR DECK'!$P$1="Falta (maior primeiro)","K"&amp;RIGHT("0000"&amp;(9999-F163),4)&amp;M163&amp;RIGHT("00000"&amp;ROW(),5),IF('FALTAS POR DECK'!$P$1="Deck e código","K"&amp;RIGHT("00"&amp;IFERROR(MATCH(A163,_LEITURA!$P$2:$P$21,0),99),2)&amp;M163&amp;RIGHT("00000"&amp;ROW(),5),"K"&amp;RIGHT("00000"&amp;ROW(),5))))))</f>
        <v/>
      </c>
      <c r="O163" s="16" t="str">
        <f aca="false">IF(N163="","",COUNTIFS($N$2:$N$1201,"&lt;"&amp;N163,$F$2:$F$1201,"&gt;0")+1)</f>
        <v/>
      </c>
    </row>
    <row r="164" customFormat="false" ht="15" hidden="false" customHeight="false" outlineLevel="0" collapsed="false">
      <c r="A164" s="11" t="str">
        <f aca="false">IF(_LEITURA!$N164="","",INDEX(_LEITURA!$K$2:$K$1201,_LEITURA!$N164))</f>
        <v/>
      </c>
      <c r="B164" s="11" t="str">
        <f aca="false">IF(_LEITURA!$N164="","",INDEX(_LEITURA!$E$2:$E$1201,_LEITURA!$N164))</f>
        <v/>
      </c>
      <c r="C164" s="11" t="str">
        <f aca="false">IF(_LEITURA!$N164="","",INDEX(_LEITURA!$J$2:$J$1201,_LEITURA!$N164))</f>
        <v/>
      </c>
      <c r="D164" s="16" t="str">
        <f aca="false">IF(_LEITURA!$N164="","",INDEX(_LEITURA!$G$2:$G$1201,_LEITURA!$N164))</f>
        <v/>
      </c>
      <c r="E164" s="16" t="str">
        <f aca="false">IF(B164="","",SUMIFS(INVENTÁRIO!$C$2:$C$801,INVENTÁRIO!$A$2:$A$801,B164))</f>
        <v/>
      </c>
      <c r="F164" s="16" t="str">
        <f aca="false">IF(B164="","",MAX(0,D164-E164))</f>
        <v/>
      </c>
      <c r="G164" s="16" t="str">
        <f aca="false">IF(B164="","",IF(COUNTIFS($B$2:$B$1201,B164,$A$2:$A$1201,"&lt;&gt;"&amp;A164)&gt;0,"Sim",""))</f>
        <v/>
      </c>
      <c r="H164" s="16" t="str">
        <f aca="false">IF(N(F164)&gt;0,MAX(H$1:H163)+1,"")</f>
        <v/>
      </c>
      <c r="I164" s="11" t="str">
        <f aca="false">IF(B164="","",IF(INDEX($C$2:$C$1201,MATCH(B164,$B$2:$B$1201,0))&lt;&gt;C164,"Nome diferente em outro deck — revisar",""))</f>
        <v/>
      </c>
      <c r="J164" s="16" t="str">
        <f aca="false">IF(AND(B164&lt;&gt;"",A164=BULK!$A$1,N(F164)&gt;0),MAX(J$1:J163)+1,"")</f>
        <v/>
      </c>
      <c r="K164" s="11" t="str">
        <f aca="false">IF(B164="","",IFERROR(LEFT(B164,FIND("-",B164)-1),B164))</f>
        <v/>
      </c>
      <c r="L164" s="11" t="str">
        <f aca="false">IF(K164="","",IF(ISNUMBER(--MID(K164,1,1)),0,IF(ISNUMBER(--MID(K164,2,1)),1,IF(ISNUMBER(--MID(K164,3,1)),2,IF(ISNUMBER(--MID(K164,4,1)),3,MIN(LEN(K164),4))))))</f>
        <v/>
      </c>
      <c r="M164" s="11" t="str">
        <f aca="false">IF(B164="","",LEFT(K164,L164)&amp;REPT("0",4-L164)&amp;RIGHT("000"&amp;IFERROR(VALUE(MID(K164,L164+1,9)),0),3)&amp;RIGHT("0000"&amp;IFERROR(VALUE(MID(B164,FIND("-",B164)+1,9)),0),4))</f>
        <v/>
      </c>
      <c r="N164" s="11" t="str">
        <f aca="false">IF(OR(B164="",N(F164)&lt;=0),"",IF('FALTAS POR DECK'!$P$1="Código","K"&amp;M164&amp;RIGHT("00000"&amp;ROW(),5),IF('FALTAS POR DECK'!$P$1="Nome","K"&amp;UPPER(SUBSTITUTE(SUBSTITUTE(SUBSTITUTE(C164,"*",""),"?",""),"~",""))&amp;"0"&amp;M164&amp;RIGHT("00000"&amp;ROW(),5),IF('FALTAS POR DECK'!$P$1="Falta (maior primeiro)","K"&amp;RIGHT("0000"&amp;(9999-F164),4)&amp;M164&amp;RIGHT("00000"&amp;ROW(),5),IF('FALTAS POR DECK'!$P$1="Deck e código","K"&amp;RIGHT("00"&amp;IFERROR(MATCH(A164,_LEITURA!$P$2:$P$21,0),99),2)&amp;M164&amp;RIGHT("00000"&amp;ROW(),5),"K"&amp;RIGHT("00000"&amp;ROW(),5))))))</f>
        <v/>
      </c>
      <c r="O164" s="16" t="str">
        <f aca="false">IF(N164="","",COUNTIFS($N$2:$N$1201,"&lt;"&amp;N164,$F$2:$F$1201,"&gt;0")+1)</f>
        <v/>
      </c>
    </row>
    <row r="165" customFormat="false" ht="15" hidden="false" customHeight="false" outlineLevel="0" collapsed="false">
      <c r="A165" s="11" t="str">
        <f aca="false">IF(_LEITURA!$N165="","",INDEX(_LEITURA!$K$2:$K$1201,_LEITURA!$N165))</f>
        <v/>
      </c>
      <c r="B165" s="11" t="str">
        <f aca="false">IF(_LEITURA!$N165="","",INDEX(_LEITURA!$E$2:$E$1201,_LEITURA!$N165))</f>
        <v/>
      </c>
      <c r="C165" s="11" t="str">
        <f aca="false">IF(_LEITURA!$N165="","",INDEX(_LEITURA!$J$2:$J$1201,_LEITURA!$N165))</f>
        <v/>
      </c>
      <c r="D165" s="16" t="str">
        <f aca="false">IF(_LEITURA!$N165="","",INDEX(_LEITURA!$G$2:$G$1201,_LEITURA!$N165))</f>
        <v/>
      </c>
      <c r="E165" s="16" t="str">
        <f aca="false">IF(B165="","",SUMIFS(INVENTÁRIO!$C$2:$C$801,INVENTÁRIO!$A$2:$A$801,B165))</f>
        <v/>
      </c>
      <c r="F165" s="16" t="str">
        <f aca="false">IF(B165="","",MAX(0,D165-E165))</f>
        <v/>
      </c>
      <c r="G165" s="16" t="str">
        <f aca="false">IF(B165="","",IF(COUNTIFS($B$2:$B$1201,B165,$A$2:$A$1201,"&lt;&gt;"&amp;A165)&gt;0,"Sim",""))</f>
        <v/>
      </c>
      <c r="H165" s="16" t="str">
        <f aca="false">IF(N(F165)&gt;0,MAX(H$1:H164)+1,"")</f>
        <v/>
      </c>
      <c r="I165" s="11" t="str">
        <f aca="false">IF(B165="","",IF(INDEX($C$2:$C$1201,MATCH(B165,$B$2:$B$1201,0))&lt;&gt;C165,"Nome diferente em outro deck — revisar",""))</f>
        <v/>
      </c>
      <c r="J165" s="16" t="str">
        <f aca="false">IF(AND(B165&lt;&gt;"",A165=BULK!$A$1,N(F165)&gt;0),MAX(J$1:J164)+1,"")</f>
        <v/>
      </c>
      <c r="K165" s="11" t="str">
        <f aca="false">IF(B165="","",IFERROR(LEFT(B165,FIND("-",B165)-1),B165))</f>
        <v/>
      </c>
      <c r="L165" s="11" t="str">
        <f aca="false">IF(K165="","",IF(ISNUMBER(--MID(K165,1,1)),0,IF(ISNUMBER(--MID(K165,2,1)),1,IF(ISNUMBER(--MID(K165,3,1)),2,IF(ISNUMBER(--MID(K165,4,1)),3,MIN(LEN(K165),4))))))</f>
        <v/>
      </c>
      <c r="M165" s="11" t="str">
        <f aca="false">IF(B165="","",LEFT(K165,L165)&amp;REPT("0",4-L165)&amp;RIGHT("000"&amp;IFERROR(VALUE(MID(K165,L165+1,9)),0),3)&amp;RIGHT("0000"&amp;IFERROR(VALUE(MID(B165,FIND("-",B165)+1,9)),0),4))</f>
        <v/>
      </c>
      <c r="N165" s="11" t="str">
        <f aca="false">IF(OR(B165="",N(F165)&lt;=0),"",IF('FALTAS POR DECK'!$P$1="Código","K"&amp;M165&amp;RIGHT("00000"&amp;ROW(),5),IF('FALTAS POR DECK'!$P$1="Nome","K"&amp;UPPER(SUBSTITUTE(SUBSTITUTE(SUBSTITUTE(C165,"*",""),"?",""),"~",""))&amp;"0"&amp;M165&amp;RIGHT("00000"&amp;ROW(),5),IF('FALTAS POR DECK'!$P$1="Falta (maior primeiro)","K"&amp;RIGHT("0000"&amp;(9999-F165),4)&amp;M165&amp;RIGHT("00000"&amp;ROW(),5),IF('FALTAS POR DECK'!$P$1="Deck e código","K"&amp;RIGHT("00"&amp;IFERROR(MATCH(A165,_LEITURA!$P$2:$P$21,0),99),2)&amp;M165&amp;RIGHT("00000"&amp;ROW(),5),"K"&amp;RIGHT("00000"&amp;ROW(),5))))))</f>
        <v/>
      </c>
      <c r="O165" s="16" t="str">
        <f aca="false">IF(N165="","",COUNTIFS($N$2:$N$1201,"&lt;"&amp;N165,$F$2:$F$1201,"&gt;0")+1)</f>
        <v/>
      </c>
    </row>
    <row r="166" customFormat="false" ht="15" hidden="false" customHeight="false" outlineLevel="0" collapsed="false">
      <c r="A166" s="11" t="str">
        <f aca="false">IF(_LEITURA!$N166="","",INDEX(_LEITURA!$K$2:$K$1201,_LEITURA!$N166))</f>
        <v/>
      </c>
      <c r="B166" s="11" t="str">
        <f aca="false">IF(_LEITURA!$N166="","",INDEX(_LEITURA!$E$2:$E$1201,_LEITURA!$N166))</f>
        <v/>
      </c>
      <c r="C166" s="11" t="str">
        <f aca="false">IF(_LEITURA!$N166="","",INDEX(_LEITURA!$J$2:$J$1201,_LEITURA!$N166))</f>
        <v/>
      </c>
      <c r="D166" s="16" t="str">
        <f aca="false">IF(_LEITURA!$N166="","",INDEX(_LEITURA!$G$2:$G$1201,_LEITURA!$N166))</f>
        <v/>
      </c>
      <c r="E166" s="16" t="str">
        <f aca="false">IF(B166="","",SUMIFS(INVENTÁRIO!$C$2:$C$801,INVENTÁRIO!$A$2:$A$801,B166))</f>
        <v/>
      </c>
      <c r="F166" s="16" t="str">
        <f aca="false">IF(B166="","",MAX(0,D166-E166))</f>
        <v/>
      </c>
      <c r="G166" s="16" t="str">
        <f aca="false">IF(B166="","",IF(COUNTIFS($B$2:$B$1201,B166,$A$2:$A$1201,"&lt;&gt;"&amp;A166)&gt;0,"Sim",""))</f>
        <v/>
      </c>
      <c r="H166" s="16" t="str">
        <f aca="false">IF(N(F166)&gt;0,MAX(H$1:H165)+1,"")</f>
        <v/>
      </c>
      <c r="I166" s="11" t="str">
        <f aca="false">IF(B166="","",IF(INDEX($C$2:$C$1201,MATCH(B166,$B$2:$B$1201,0))&lt;&gt;C166,"Nome diferente em outro deck — revisar",""))</f>
        <v/>
      </c>
      <c r="J166" s="16" t="str">
        <f aca="false">IF(AND(B166&lt;&gt;"",A166=BULK!$A$1,N(F166)&gt;0),MAX(J$1:J165)+1,"")</f>
        <v/>
      </c>
      <c r="K166" s="11" t="str">
        <f aca="false">IF(B166="","",IFERROR(LEFT(B166,FIND("-",B166)-1),B166))</f>
        <v/>
      </c>
      <c r="L166" s="11" t="str">
        <f aca="false">IF(K166="","",IF(ISNUMBER(--MID(K166,1,1)),0,IF(ISNUMBER(--MID(K166,2,1)),1,IF(ISNUMBER(--MID(K166,3,1)),2,IF(ISNUMBER(--MID(K166,4,1)),3,MIN(LEN(K166),4))))))</f>
        <v/>
      </c>
      <c r="M166" s="11" t="str">
        <f aca="false">IF(B166="","",LEFT(K166,L166)&amp;REPT("0",4-L166)&amp;RIGHT("000"&amp;IFERROR(VALUE(MID(K166,L166+1,9)),0),3)&amp;RIGHT("0000"&amp;IFERROR(VALUE(MID(B166,FIND("-",B166)+1,9)),0),4))</f>
        <v/>
      </c>
      <c r="N166" s="11" t="str">
        <f aca="false">IF(OR(B166="",N(F166)&lt;=0),"",IF('FALTAS POR DECK'!$P$1="Código","K"&amp;M166&amp;RIGHT("00000"&amp;ROW(),5),IF('FALTAS POR DECK'!$P$1="Nome","K"&amp;UPPER(SUBSTITUTE(SUBSTITUTE(SUBSTITUTE(C166,"*",""),"?",""),"~",""))&amp;"0"&amp;M166&amp;RIGHT("00000"&amp;ROW(),5),IF('FALTAS POR DECK'!$P$1="Falta (maior primeiro)","K"&amp;RIGHT("0000"&amp;(9999-F166),4)&amp;M166&amp;RIGHT("00000"&amp;ROW(),5),IF('FALTAS POR DECK'!$P$1="Deck e código","K"&amp;RIGHT("00"&amp;IFERROR(MATCH(A166,_LEITURA!$P$2:$P$21,0),99),2)&amp;M166&amp;RIGHT("00000"&amp;ROW(),5),"K"&amp;RIGHT("00000"&amp;ROW(),5))))))</f>
        <v/>
      </c>
      <c r="O166" s="16" t="str">
        <f aca="false">IF(N166="","",COUNTIFS($N$2:$N$1201,"&lt;"&amp;N166,$F$2:$F$1201,"&gt;0")+1)</f>
        <v/>
      </c>
    </row>
    <row r="167" customFormat="false" ht="15" hidden="false" customHeight="false" outlineLevel="0" collapsed="false">
      <c r="A167" s="11" t="str">
        <f aca="false">IF(_LEITURA!$N167="","",INDEX(_LEITURA!$K$2:$K$1201,_LEITURA!$N167))</f>
        <v/>
      </c>
      <c r="B167" s="11" t="str">
        <f aca="false">IF(_LEITURA!$N167="","",INDEX(_LEITURA!$E$2:$E$1201,_LEITURA!$N167))</f>
        <v/>
      </c>
      <c r="C167" s="11" t="str">
        <f aca="false">IF(_LEITURA!$N167="","",INDEX(_LEITURA!$J$2:$J$1201,_LEITURA!$N167))</f>
        <v/>
      </c>
      <c r="D167" s="16" t="str">
        <f aca="false">IF(_LEITURA!$N167="","",INDEX(_LEITURA!$G$2:$G$1201,_LEITURA!$N167))</f>
        <v/>
      </c>
      <c r="E167" s="16" t="str">
        <f aca="false">IF(B167="","",SUMIFS(INVENTÁRIO!$C$2:$C$801,INVENTÁRIO!$A$2:$A$801,B167))</f>
        <v/>
      </c>
      <c r="F167" s="16" t="str">
        <f aca="false">IF(B167="","",MAX(0,D167-E167))</f>
        <v/>
      </c>
      <c r="G167" s="16" t="str">
        <f aca="false">IF(B167="","",IF(COUNTIFS($B$2:$B$1201,B167,$A$2:$A$1201,"&lt;&gt;"&amp;A167)&gt;0,"Sim",""))</f>
        <v/>
      </c>
      <c r="H167" s="16" t="str">
        <f aca="false">IF(N(F167)&gt;0,MAX(H$1:H166)+1,"")</f>
        <v/>
      </c>
      <c r="I167" s="11" t="str">
        <f aca="false">IF(B167="","",IF(INDEX($C$2:$C$1201,MATCH(B167,$B$2:$B$1201,0))&lt;&gt;C167,"Nome diferente em outro deck — revisar",""))</f>
        <v/>
      </c>
      <c r="J167" s="16" t="str">
        <f aca="false">IF(AND(B167&lt;&gt;"",A167=BULK!$A$1,N(F167)&gt;0),MAX(J$1:J166)+1,"")</f>
        <v/>
      </c>
      <c r="K167" s="11" t="str">
        <f aca="false">IF(B167="","",IFERROR(LEFT(B167,FIND("-",B167)-1),B167))</f>
        <v/>
      </c>
      <c r="L167" s="11" t="str">
        <f aca="false">IF(K167="","",IF(ISNUMBER(--MID(K167,1,1)),0,IF(ISNUMBER(--MID(K167,2,1)),1,IF(ISNUMBER(--MID(K167,3,1)),2,IF(ISNUMBER(--MID(K167,4,1)),3,MIN(LEN(K167),4))))))</f>
        <v/>
      </c>
      <c r="M167" s="11" t="str">
        <f aca="false">IF(B167="","",LEFT(K167,L167)&amp;REPT("0",4-L167)&amp;RIGHT("000"&amp;IFERROR(VALUE(MID(K167,L167+1,9)),0),3)&amp;RIGHT("0000"&amp;IFERROR(VALUE(MID(B167,FIND("-",B167)+1,9)),0),4))</f>
        <v/>
      </c>
      <c r="N167" s="11" t="str">
        <f aca="false">IF(OR(B167="",N(F167)&lt;=0),"",IF('FALTAS POR DECK'!$P$1="Código","K"&amp;M167&amp;RIGHT("00000"&amp;ROW(),5),IF('FALTAS POR DECK'!$P$1="Nome","K"&amp;UPPER(SUBSTITUTE(SUBSTITUTE(SUBSTITUTE(C167,"*",""),"?",""),"~",""))&amp;"0"&amp;M167&amp;RIGHT("00000"&amp;ROW(),5),IF('FALTAS POR DECK'!$P$1="Falta (maior primeiro)","K"&amp;RIGHT("0000"&amp;(9999-F167),4)&amp;M167&amp;RIGHT("00000"&amp;ROW(),5),IF('FALTAS POR DECK'!$P$1="Deck e código","K"&amp;RIGHT("00"&amp;IFERROR(MATCH(A167,_LEITURA!$P$2:$P$21,0),99),2)&amp;M167&amp;RIGHT("00000"&amp;ROW(),5),"K"&amp;RIGHT("00000"&amp;ROW(),5))))))</f>
        <v/>
      </c>
      <c r="O167" s="16" t="str">
        <f aca="false">IF(N167="","",COUNTIFS($N$2:$N$1201,"&lt;"&amp;N167,$F$2:$F$1201,"&gt;0")+1)</f>
        <v/>
      </c>
    </row>
    <row r="168" customFormat="false" ht="15" hidden="false" customHeight="false" outlineLevel="0" collapsed="false">
      <c r="A168" s="11" t="str">
        <f aca="false">IF(_LEITURA!$N168="","",INDEX(_LEITURA!$K$2:$K$1201,_LEITURA!$N168))</f>
        <v/>
      </c>
      <c r="B168" s="11" t="str">
        <f aca="false">IF(_LEITURA!$N168="","",INDEX(_LEITURA!$E$2:$E$1201,_LEITURA!$N168))</f>
        <v/>
      </c>
      <c r="C168" s="11" t="str">
        <f aca="false">IF(_LEITURA!$N168="","",INDEX(_LEITURA!$J$2:$J$1201,_LEITURA!$N168))</f>
        <v/>
      </c>
      <c r="D168" s="16" t="str">
        <f aca="false">IF(_LEITURA!$N168="","",INDEX(_LEITURA!$G$2:$G$1201,_LEITURA!$N168))</f>
        <v/>
      </c>
      <c r="E168" s="16" t="str">
        <f aca="false">IF(B168="","",SUMIFS(INVENTÁRIO!$C$2:$C$801,INVENTÁRIO!$A$2:$A$801,B168))</f>
        <v/>
      </c>
      <c r="F168" s="16" t="str">
        <f aca="false">IF(B168="","",MAX(0,D168-E168))</f>
        <v/>
      </c>
      <c r="G168" s="16" t="str">
        <f aca="false">IF(B168="","",IF(COUNTIFS($B$2:$B$1201,B168,$A$2:$A$1201,"&lt;&gt;"&amp;A168)&gt;0,"Sim",""))</f>
        <v/>
      </c>
      <c r="H168" s="16" t="str">
        <f aca="false">IF(N(F168)&gt;0,MAX(H$1:H167)+1,"")</f>
        <v/>
      </c>
      <c r="I168" s="11" t="str">
        <f aca="false">IF(B168="","",IF(INDEX($C$2:$C$1201,MATCH(B168,$B$2:$B$1201,0))&lt;&gt;C168,"Nome diferente em outro deck — revisar",""))</f>
        <v/>
      </c>
      <c r="J168" s="16" t="str">
        <f aca="false">IF(AND(B168&lt;&gt;"",A168=BULK!$A$1,N(F168)&gt;0),MAX(J$1:J167)+1,"")</f>
        <v/>
      </c>
      <c r="K168" s="11" t="str">
        <f aca="false">IF(B168="","",IFERROR(LEFT(B168,FIND("-",B168)-1),B168))</f>
        <v/>
      </c>
      <c r="L168" s="11" t="str">
        <f aca="false">IF(K168="","",IF(ISNUMBER(--MID(K168,1,1)),0,IF(ISNUMBER(--MID(K168,2,1)),1,IF(ISNUMBER(--MID(K168,3,1)),2,IF(ISNUMBER(--MID(K168,4,1)),3,MIN(LEN(K168),4))))))</f>
        <v/>
      </c>
      <c r="M168" s="11" t="str">
        <f aca="false">IF(B168="","",LEFT(K168,L168)&amp;REPT("0",4-L168)&amp;RIGHT("000"&amp;IFERROR(VALUE(MID(K168,L168+1,9)),0),3)&amp;RIGHT("0000"&amp;IFERROR(VALUE(MID(B168,FIND("-",B168)+1,9)),0),4))</f>
        <v/>
      </c>
      <c r="N168" s="11" t="str">
        <f aca="false">IF(OR(B168="",N(F168)&lt;=0),"",IF('FALTAS POR DECK'!$P$1="Código","K"&amp;M168&amp;RIGHT("00000"&amp;ROW(),5),IF('FALTAS POR DECK'!$P$1="Nome","K"&amp;UPPER(SUBSTITUTE(SUBSTITUTE(SUBSTITUTE(C168,"*",""),"?",""),"~",""))&amp;"0"&amp;M168&amp;RIGHT("00000"&amp;ROW(),5),IF('FALTAS POR DECK'!$P$1="Falta (maior primeiro)","K"&amp;RIGHT("0000"&amp;(9999-F168),4)&amp;M168&amp;RIGHT("00000"&amp;ROW(),5),IF('FALTAS POR DECK'!$P$1="Deck e código","K"&amp;RIGHT("00"&amp;IFERROR(MATCH(A168,_LEITURA!$P$2:$P$21,0),99),2)&amp;M168&amp;RIGHT("00000"&amp;ROW(),5),"K"&amp;RIGHT("00000"&amp;ROW(),5))))))</f>
        <v/>
      </c>
      <c r="O168" s="16" t="str">
        <f aca="false">IF(N168="","",COUNTIFS($N$2:$N$1201,"&lt;"&amp;N168,$F$2:$F$1201,"&gt;0")+1)</f>
        <v/>
      </c>
    </row>
    <row r="169" customFormat="false" ht="15" hidden="false" customHeight="false" outlineLevel="0" collapsed="false">
      <c r="A169" s="11" t="str">
        <f aca="false">IF(_LEITURA!$N169="","",INDEX(_LEITURA!$K$2:$K$1201,_LEITURA!$N169))</f>
        <v/>
      </c>
      <c r="B169" s="11" t="str">
        <f aca="false">IF(_LEITURA!$N169="","",INDEX(_LEITURA!$E$2:$E$1201,_LEITURA!$N169))</f>
        <v/>
      </c>
      <c r="C169" s="11" t="str">
        <f aca="false">IF(_LEITURA!$N169="","",INDEX(_LEITURA!$J$2:$J$1201,_LEITURA!$N169))</f>
        <v/>
      </c>
      <c r="D169" s="16" t="str">
        <f aca="false">IF(_LEITURA!$N169="","",INDEX(_LEITURA!$G$2:$G$1201,_LEITURA!$N169))</f>
        <v/>
      </c>
      <c r="E169" s="16" t="str">
        <f aca="false">IF(B169="","",SUMIFS(INVENTÁRIO!$C$2:$C$801,INVENTÁRIO!$A$2:$A$801,B169))</f>
        <v/>
      </c>
      <c r="F169" s="16" t="str">
        <f aca="false">IF(B169="","",MAX(0,D169-E169))</f>
        <v/>
      </c>
      <c r="G169" s="16" t="str">
        <f aca="false">IF(B169="","",IF(COUNTIFS($B$2:$B$1201,B169,$A$2:$A$1201,"&lt;&gt;"&amp;A169)&gt;0,"Sim",""))</f>
        <v/>
      </c>
      <c r="H169" s="16" t="str">
        <f aca="false">IF(N(F169)&gt;0,MAX(H$1:H168)+1,"")</f>
        <v/>
      </c>
      <c r="I169" s="11" t="str">
        <f aca="false">IF(B169="","",IF(INDEX($C$2:$C$1201,MATCH(B169,$B$2:$B$1201,0))&lt;&gt;C169,"Nome diferente em outro deck — revisar",""))</f>
        <v/>
      </c>
      <c r="J169" s="16" t="str">
        <f aca="false">IF(AND(B169&lt;&gt;"",A169=BULK!$A$1,N(F169)&gt;0),MAX(J$1:J168)+1,"")</f>
        <v/>
      </c>
      <c r="K169" s="11" t="str">
        <f aca="false">IF(B169="","",IFERROR(LEFT(B169,FIND("-",B169)-1),B169))</f>
        <v/>
      </c>
      <c r="L169" s="11" t="str">
        <f aca="false">IF(K169="","",IF(ISNUMBER(--MID(K169,1,1)),0,IF(ISNUMBER(--MID(K169,2,1)),1,IF(ISNUMBER(--MID(K169,3,1)),2,IF(ISNUMBER(--MID(K169,4,1)),3,MIN(LEN(K169),4))))))</f>
        <v/>
      </c>
      <c r="M169" s="11" t="str">
        <f aca="false">IF(B169="","",LEFT(K169,L169)&amp;REPT("0",4-L169)&amp;RIGHT("000"&amp;IFERROR(VALUE(MID(K169,L169+1,9)),0),3)&amp;RIGHT("0000"&amp;IFERROR(VALUE(MID(B169,FIND("-",B169)+1,9)),0),4))</f>
        <v/>
      </c>
      <c r="N169" s="11" t="str">
        <f aca="false">IF(OR(B169="",N(F169)&lt;=0),"",IF('FALTAS POR DECK'!$P$1="Código","K"&amp;M169&amp;RIGHT("00000"&amp;ROW(),5),IF('FALTAS POR DECK'!$P$1="Nome","K"&amp;UPPER(SUBSTITUTE(SUBSTITUTE(SUBSTITUTE(C169,"*",""),"?",""),"~",""))&amp;"0"&amp;M169&amp;RIGHT("00000"&amp;ROW(),5),IF('FALTAS POR DECK'!$P$1="Falta (maior primeiro)","K"&amp;RIGHT("0000"&amp;(9999-F169),4)&amp;M169&amp;RIGHT("00000"&amp;ROW(),5),IF('FALTAS POR DECK'!$P$1="Deck e código","K"&amp;RIGHT("00"&amp;IFERROR(MATCH(A169,_LEITURA!$P$2:$P$21,0),99),2)&amp;M169&amp;RIGHT("00000"&amp;ROW(),5),"K"&amp;RIGHT("00000"&amp;ROW(),5))))))</f>
        <v/>
      </c>
      <c r="O169" s="16" t="str">
        <f aca="false">IF(N169="","",COUNTIFS($N$2:$N$1201,"&lt;"&amp;N169,$F$2:$F$1201,"&gt;0")+1)</f>
        <v/>
      </c>
    </row>
    <row r="170" customFormat="false" ht="15" hidden="false" customHeight="false" outlineLevel="0" collapsed="false">
      <c r="A170" s="11" t="str">
        <f aca="false">IF(_LEITURA!$N170="","",INDEX(_LEITURA!$K$2:$K$1201,_LEITURA!$N170))</f>
        <v/>
      </c>
      <c r="B170" s="11" t="str">
        <f aca="false">IF(_LEITURA!$N170="","",INDEX(_LEITURA!$E$2:$E$1201,_LEITURA!$N170))</f>
        <v/>
      </c>
      <c r="C170" s="11" t="str">
        <f aca="false">IF(_LEITURA!$N170="","",INDEX(_LEITURA!$J$2:$J$1201,_LEITURA!$N170))</f>
        <v/>
      </c>
      <c r="D170" s="16" t="str">
        <f aca="false">IF(_LEITURA!$N170="","",INDEX(_LEITURA!$G$2:$G$1201,_LEITURA!$N170))</f>
        <v/>
      </c>
      <c r="E170" s="16" t="str">
        <f aca="false">IF(B170="","",SUMIFS(INVENTÁRIO!$C$2:$C$801,INVENTÁRIO!$A$2:$A$801,B170))</f>
        <v/>
      </c>
      <c r="F170" s="16" t="str">
        <f aca="false">IF(B170="","",MAX(0,D170-E170))</f>
        <v/>
      </c>
      <c r="G170" s="16" t="str">
        <f aca="false">IF(B170="","",IF(COUNTIFS($B$2:$B$1201,B170,$A$2:$A$1201,"&lt;&gt;"&amp;A170)&gt;0,"Sim",""))</f>
        <v/>
      </c>
      <c r="H170" s="16" t="str">
        <f aca="false">IF(N(F170)&gt;0,MAX(H$1:H169)+1,"")</f>
        <v/>
      </c>
      <c r="I170" s="11" t="str">
        <f aca="false">IF(B170="","",IF(INDEX($C$2:$C$1201,MATCH(B170,$B$2:$B$1201,0))&lt;&gt;C170,"Nome diferente em outro deck — revisar",""))</f>
        <v/>
      </c>
      <c r="J170" s="16" t="str">
        <f aca="false">IF(AND(B170&lt;&gt;"",A170=BULK!$A$1,N(F170)&gt;0),MAX(J$1:J169)+1,"")</f>
        <v/>
      </c>
      <c r="K170" s="11" t="str">
        <f aca="false">IF(B170="","",IFERROR(LEFT(B170,FIND("-",B170)-1),B170))</f>
        <v/>
      </c>
      <c r="L170" s="11" t="str">
        <f aca="false">IF(K170="","",IF(ISNUMBER(--MID(K170,1,1)),0,IF(ISNUMBER(--MID(K170,2,1)),1,IF(ISNUMBER(--MID(K170,3,1)),2,IF(ISNUMBER(--MID(K170,4,1)),3,MIN(LEN(K170),4))))))</f>
        <v/>
      </c>
      <c r="M170" s="11" t="str">
        <f aca="false">IF(B170="","",LEFT(K170,L170)&amp;REPT("0",4-L170)&amp;RIGHT("000"&amp;IFERROR(VALUE(MID(K170,L170+1,9)),0),3)&amp;RIGHT("0000"&amp;IFERROR(VALUE(MID(B170,FIND("-",B170)+1,9)),0),4))</f>
        <v/>
      </c>
      <c r="N170" s="11" t="str">
        <f aca="false">IF(OR(B170="",N(F170)&lt;=0),"",IF('FALTAS POR DECK'!$P$1="Código","K"&amp;M170&amp;RIGHT("00000"&amp;ROW(),5),IF('FALTAS POR DECK'!$P$1="Nome","K"&amp;UPPER(SUBSTITUTE(SUBSTITUTE(SUBSTITUTE(C170,"*",""),"?",""),"~",""))&amp;"0"&amp;M170&amp;RIGHT("00000"&amp;ROW(),5),IF('FALTAS POR DECK'!$P$1="Falta (maior primeiro)","K"&amp;RIGHT("0000"&amp;(9999-F170),4)&amp;M170&amp;RIGHT("00000"&amp;ROW(),5),IF('FALTAS POR DECK'!$P$1="Deck e código","K"&amp;RIGHT("00"&amp;IFERROR(MATCH(A170,_LEITURA!$P$2:$P$21,0),99),2)&amp;M170&amp;RIGHT("00000"&amp;ROW(),5),"K"&amp;RIGHT("00000"&amp;ROW(),5))))))</f>
        <v/>
      </c>
      <c r="O170" s="16" t="str">
        <f aca="false">IF(N170="","",COUNTIFS($N$2:$N$1201,"&lt;"&amp;N170,$F$2:$F$1201,"&gt;0")+1)</f>
        <v/>
      </c>
    </row>
    <row r="171" customFormat="false" ht="15" hidden="false" customHeight="false" outlineLevel="0" collapsed="false">
      <c r="A171" s="11" t="str">
        <f aca="false">IF(_LEITURA!$N171="","",INDEX(_LEITURA!$K$2:$K$1201,_LEITURA!$N171))</f>
        <v/>
      </c>
      <c r="B171" s="11" t="str">
        <f aca="false">IF(_LEITURA!$N171="","",INDEX(_LEITURA!$E$2:$E$1201,_LEITURA!$N171))</f>
        <v/>
      </c>
      <c r="C171" s="11" t="str">
        <f aca="false">IF(_LEITURA!$N171="","",INDEX(_LEITURA!$J$2:$J$1201,_LEITURA!$N171))</f>
        <v/>
      </c>
      <c r="D171" s="16" t="str">
        <f aca="false">IF(_LEITURA!$N171="","",INDEX(_LEITURA!$G$2:$G$1201,_LEITURA!$N171))</f>
        <v/>
      </c>
      <c r="E171" s="16" t="str">
        <f aca="false">IF(B171="","",SUMIFS(INVENTÁRIO!$C$2:$C$801,INVENTÁRIO!$A$2:$A$801,B171))</f>
        <v/>
      </c>
      <c r="F171" s="16" t="str">
        <f aca="false">IF(B171="","",MAX(0,D171-E171))</f>
        <v/>
      </c>
      <c r="G171" s="16" t="str">
        <f aca="false">IF(B171="","",IF(COUNTIFS($B$2:$B$1201,B171,$A$2:$A$1201,"&lt;&gt;"&amp;A171)&gt;0,"Sim",""))</f>
        <v/>
      </c>
      <c r="H171" s="16" t="str">
        <f aca="false">IF(N(F171)&gt;0,MAX(H$1:H170)+1,"")</f>
        <v/>
      </c>
      <c r="I171" s="11" t="str">
        <f aca="false">IF(B171="","",IF(INDEX($C$2:$C$1201,MATCH(B171,$B$2:$B$1201,0))&lt;&gt;C171,"Nome diferente em outro deck — revisar",""))</f>
        <v/>
      </c>
      <c r="J171" s="16" t="str">
        <f aca="false">IF(AND(B171&lt;&gt;"",A171=BULK!$A$1,N(F171)&gt;0),MAX(J$1:J170)+1,"")</f>
        <v/>
      </c>
      <c r="K171" s="11" t="str">
        <f aca="false">IF(B171="","",IFERROR(LEFT(B171,FIND("-",B171)-1),B171))</f>
        <v/>
      </c>
      <c r="L171" s="11" t="str">
        <f aca="false">IF(K171="","",IF(ISNUMBER(--MID(K171,1,1)),0,IF(ISNUMBER(--MID(K171,2,1)),1,IF(ISNUMBER(--MID(K171,3,1)),2,IF(ISNUMBER(--MID(K171,4,1)),3,MIN(LEN(K171),4))))))</f>
        <v/>
      </c>
      <c r="M171" s="11" t="str">
        <f aca="false">IF(B171="","",LEFT(K171,L171)&amp;REPT("0",4-L171)&amp;RIGHT("000"&amp;IFERROR(VALUE(MID(K171,L171+1,9)),0),3)&amp;RIGHT("0000"&amp;IFERROR(VALUE(MID(B171,FIND("-",B171)+1,9)),0),4))</f>
        <v/>
      </c>
      <c r="N171" s="11" t="str">
        <f aca="false">IF(OR(B171="",N(F171)&lt;=0),"",IF('FALTAS POR DECK'!$P$1="Código","K"&amp;M171&amp;RIGHT("00000"&amp;ROW(),5),IF('FALTAS POR DECK'!$P$1="Nome","K"&amp;UPPER(SUBSTITUTE(SUBSTITUTE(SUBSTITUTE(C171,"*",""),"?",""),"~",""))&amp;"0"&amp;M171&amp;RIGHT("00000"&amp;ROW(),5),IF('FALTAS POR DECK'!$P$1="Falta (maior primeiro)","K"&amp;RIGHT("0000"&amp;(9999-F171),4)&amp;M171&amp;RIGHT("00000"&amp;ROW(),5),IF('FALTAS POR DECK'!$P$1="Deck e código","K"&amp;RIGHT("00"&amp;IFERROR(MATCH(A171,_LEITURA!$P$2:$P$21,0),99),2)&amp;M171&amp;RIGHT("00000"&amp;ROW(),5),"K"&amp;RIGHT("00000"&amp;ROW(),5))))))</f>
        <v/>
      </c>
      <c r="O171" s="16" t="str">
        <f aca="false">IF(N171="","",COUNTIFS($N$2:$N$1201,"&lt;"&amp;N171,$F$2:$F$1201,"&gt;0")+1)</f>
        <v/>
      </c>
    </row>
    <row r="172" customFormat="false" ht="15" hidden="false" customHeight="false" outlineLevel="0" collapsed="false">
      <c r="A172" s="11" t="str">
        <f aca="false">IF(_LEITURA!$N172="","",INDEX(_LEITURA!$K$2:$K$1201,_LEITURA!$N172))</f>
        <v/>
      </c>
      <c r="B172" s="11" t="str">
        <f aca="false">IF(_LEITURA!$N172="","",INDEX(_LEITURA!$E$2:$E$1201,_LEITURA!$N172))</f>
        <v/>
      </c>
      <c r="C172" s="11" t="str">
        <f aca="false">IF(_LEITURA!$N172="","",INDEX(_LEITURA!$J$2:$J$1201,_LEITURA!$N172))</f>
        <v/>
      </c>
      <c r="D172" s="16" t="str">
        <f aca="false">IF(_LEITURA!$N172="","",INDEX(_LEITURA!$G$2:$G$1201,_LEITURA!$N172))</f>
        <v/>
      </c>
      <c r="E172" s="16" t="str">
        <f aca="false">IF(B172="","",SUMIFS(INVENTÁRIO!$C$2:$C$801,INVENTÁRIO!$A$2:$A$801,B172))</f>
        <v/>
      </c>
      <c r="F172" s="16" t="str">
        <f aca="false">IF(B172="","",MAX(0,D172-E172))</f>
        <v/>
      </c>
      <c r="G172" s="16" t="str">
        <f aca="false">IF(B172="","",IF(COUNTIFS($B$2:$B$1201,B172,$A$2:$A$1201,"&lt;&gt;"&amp;A172)&gt;0,"Sim",""))</f>
        <v/>
      </c>
      <c r="H172" s="16" t="str">
        <f aca="false">IF(N(F172)&gt;0,MAX(H$1:H171)+1,"")</f>
        <v/>
      </c>
      <c r="I172" s="11" t="str">
        <f aca="false">IF(B172="","",IF(INDEX($C$2:$C$1201,MATCH(B172,$B$2:$B$1201,0))&lt;&gt;C172,"Nome diferente em outro deck — revisar",""))</f>
        <v/>
      </c>
      <c r="J172" s="16" t="str">
        <f aca="false">IF(AND(B172&lt;&gt;"",A172=BULK!$A$1,N(F172)&gt;0),MAX(J$1:J171)+1,"")</f>
        <v/>
      </c>
      <c r="K172" s="11" t="str">
        <f aca="false">IF(B172="","",IFERROR(LEFT(B172,FIND("-",B172)-1),B172))</f>
        <v/>
      </c>
      <c r="L172" s="11" t="str">
        <f aca="false">IF(K172="","",IF(ISNUMBER(--MID(K172,1,1)),0,IF(ISNUMBER(--MID(K172,2,1)),1,IF(ISNUMBER(--MID(K172,3,1)),2,IF(ISNUMBER(--MID(K172,4,1)),3,MIN(LEN(K172),4))))))</f>
        <v/>
      </c>
      <c r="M172" s="11" t="str">
        <f aca="false">IF(B172="","",LEFT(K172,L172)&amp;REPT("0",4-L172)&amp;RIGHT("000"&amp;IFERROR(VALUE(MID(K172,L172+1,9)),0),3)&amp;RIGHT("0000"&amp;IFERROR(VALUE(MID(B172,FIND("-",B172)+1,9)),0),4))</f>
        <v/>
      </c>
      <c r="N172" s="11" t="str">
        <f aca="false">IF(OR(B172="",N(F172)&lt;=0),"",IF('FALTAS POR DECK'!$P$1="Código","K"&amp;M172&amp;RIGHT("00000"&amp;ROW(),5),IF('FALTAS POR DECK'!$P$1="Nome","K"&amp;UPPER(SUBSTITUTE(SUBSTITUTE(SUBSTITUTE(C172,"*",""),"?",""),"~",""))&amp;"0"&amp;M172&amp;RIGHT("00000"&amp;ROW(),5),IF('FALTAS POR DECK'!$P$1="Falta (maior primeiro)","K"&amp;RIGHT("0000"&amp;(9999-F172),4)&amp;M172&amp;RIGHT("00000"&amp;ROW(),5),IF('FALTAS POR DECK'!$P$1="Deck e código","K"&amp;RIGHT("00"&amp;IFERROR(MATCH(A172,_LEITURA!$P$2:$P$21,0),99),2)&amp;M172&amp;RIGHT("00000"&amp;ROW(),5),"K"&amp;RIGHT("00000"&amp;ROW(),5))))))</f>
        <v/>
      </c>
      <c r="O172" s="16" t="str">
        <f aca="false">IF(N172="","",COUNTIFS($N$2:$N$1201,"&lt;"&amp;N172,$F$2:$F$1201,"&gt;0")+1)</f>
        <v/>
      </c>
    </row>
    <row r="173" customFormat="false" ht="15" hidden="false" customHeight="false" outlineLevel="0" collapsed="false">
      <c r="A173" s="11" t="str">
        <f aca="false">IF(_LEITURA!$N173="","",INDEX(_LEITURA!$K$2:$K$1201,_LEITURA!$N173))</f>
        <v/>
      </c>
      <c r="B173" s="11" t="str">
        <f aca="false">IF(_LEITURA!$N173="","",INDEX(_LEITURA!$E$2:$E$1201,_LEITURA!$N173))</f>
        <v/>
      </c>
      <c r="C173" s="11" t="str">
        <f aca="false">IF(_LEITURA!$N173="","",INDEX(_LEITURA!$J$2:$J$1201,_LEITURA!$N173))</f>
        <v/>
      </c>
      <c r="D173" s="16" t="str">
        <f aca="false">IF(_LEITURA!$N173="","",INDEX(_LEITURA!$G$2:$G$1201,_LEITURA!$N173))</f>
        <v/>
      </c>
      <c r="E173" s="16" t="str">
        <f aca="false">IF(B173="","",SUMIFS(INVENTÁRIO!$C$2:$C$801,INVENTÁRIO!$A$2:$A$801,B173))</f>
        <v/>
      </c>
      <c r="F173" s="16" t="str">
        <f aca="false">IF(B173="","",MAX(0,D173-E173))</f>
        <v/>
      </c>
      <c r="G173" s="16" t="str">
        <f aca="false">IF(B173="","",IF(COUNTIFS($B$2:$B$1201,B173,$A$2:$A$1201,"&lt;&gt;"&amp;A173)&gt;0,"Sim",""))</f>
        <v/>
      </c>
      <c r="H173" s="16" t="str">
        <f aca="false">IF(N(F173)&gt;0,MAX(H$1:H172)+1,"")</f>
        <v/>
      </c>
      <c r="I173" s="11" t="str">
        <f aca="false">IF(B173="","",IF(INDEX($C$2:$C$1201,MATCH(B173,$B$2:$B$1201,0))&lt;&gt;C173,"Nome diferente em outro deck — revisar",""))</f>
        <v/>
      </c>
      <c r="J173" s="16" t="str">
        <f aca="false">IF(AND(B173&lt;&gt;"",A173=BULK!$A$1,N(F173)&gt;0),MAX(J$1:J172)+1,"")</f>
        <v/>
      </c>
      <c r="K173" s="11" t="str">
        <f aca="false">IF(B173="","",IFERROR(LEFT(B173,FIND("-",B173)-1),B173))</f>
        <v/>
      </c>
      <c r="L173" s="11" t="str">
        <f aca="false">IF(K173="","",IF(ISNUMBER(--MID(K173,1,1)),0,IF(ISNUMBER(--MID(K173,2,1)),1,IF(ISNUMBER(--MID(K173,3,1)),2,IF(ISNUMBER(--MID(K173,4,1)),3,MIN(LEN(K173),4))))))</f>
        <v/>
      </c>
      <c r="M173" s="11" t="str">
        <f aca="false">IF(B173="","",LEFT(K173,L173)&amp;REPT("0",4-L173)&amp;RIGHT("000"&amp;IFERROR(VALUE(MID(K173,L173+1,9)),0),3)&amp;RIGHT("0000"&amp;IFERROR(VALUE(MID(B173,FIND("-",B173)+1,9)),0),4))</f>
        <v/>
      </c>
      <c r="N173" s="11" t="str">
        <f aca="false">IF(OR(B173="",N(F173)&lt;=0),"",IF('FALTAS POR DECK'!$P$1="Código","K"&amp;M173&amp;RIGHT("00000"&amp;ROW(),5),IF('FALTAS POR DECK'!$P$1="Nome","K"&amp;UPPER(SUBSTITUTE(SUBSTITUTE(SUBSTITUTE(C173,"*",""),"?",""),"~",""))&amp;"0"&amp;M173&amp;RIGHT("00000"&amp;ROW(),5),IF('FALTAS POR DECK'!$P$1="Falta (maior primeiro)","K"&amp;RIGHT("0000"&amp;(9999-F173),4)&amp;M173&amp;RIGHT("00000"&amp;ROW(),5),IF('FALTAS POR DECK'!$P$1="Deck e código","K"&amp;RIGHT("00"&amp;IFERROR(MATCH(A173,_LEITURA!$P$2:$P$21,0),99),2)&amp;M173&amp;RIGHT("00000"&amp;ROW(),5),"K"&amp;RIGHT("00000"&amp;ROW(),5))))))</f>
        <v/>
      </c>
      <c r="O173" s="16" t="str">
        <f aca="false">IF(N173="","",COUNTIFS($N$2:$N$1201,"&lt;"&amp;N173,$F$2:$F$1201,"&gt;0")+1)</f>
        <v/>
      </c>
    </row>
    <row r="174" customFormat="false" ht="15" hidden="false" customHeight="false" outlineLevel="0" collapsed="false">
      <c r="A174" s="11" t="str">
        <f aca="false">IF(_LEITURA!$N174="","",INDEX(_LEITURA!$K$2:$K$1201,_LEITURA!$N174))</f>
        <v/>
      </c>
      <c r="B174" s="11" t="str">
        <f aca="false">IF(_LEITURA!$N174="","",INDEX(_LEITURA!$E$2:$E$1201,_LEITURA!$N174))</f>
        <v/>
      </c>
      <c r="C174" s="11" t="str">
        <f aca="false">IF(_LEITURA!$N174="","",INDEX(_LEITURA!$J$2:$J$1201,_LEITURA!$N174))</f>
        <v/>
      </c>
      <c r="D174" s="16" t="str">
        <f aca="false">IF(_LEITURA!$N174="","",INDEX(_LEITURA!$G$2:$G$1201,_LEITURA!$N174))</f>
        <v/>
      </c>
      <c r="E174" s="16" t="str">
        <f aca="false">IF(B174="","",SUMIFS(INVENTÁRIO!$C$2:$C$801,INVENTÁRIO!$A$2:$A$801,B174))</f>
        <v/>
      </c>
      <c r="F174" s="16" t="str">
        <f aca="false">IF(B174="","",MAX(0,D174-E174))</f>
        <v/>
      </c>
      <c r="G174" s="16" t="str">
        <f aca="false">IF(B174="","",IF(COUNTIFS($B$2:$B$1201,B174,$A$2:$A$1201,"&lt;&gt;"&amp;A174)&gt;0,"Sim",""))</f>
        <v/>
      </c>
      <c r="H174" s="16" t="str">
        <f aca="false">IF(N(F174)&gt;0,MAX(H$1:H173)+1,"")</f>
        <v/>
      </c>
      <c r="I174" s="11" t="str">
        <f aca="false">IF(B174="","",IF(INDEX($C$2:$C$1201,MATCH(B174,$B$2:$B$1201,0))&lt;&gt;C174,"Nome diferente em outro deck — revisar",""))</f>
        <v/>
      </c>
      <c r="J174" s="16" t="str">
        <f aca="false">IF(AND(B174&lt;&gt;"",A174=BULK!$A$1,N(F174)&gt;0),MAX(J$1:J173)+1,"")</f>
        <v/>
      </c>
      <c r="K174" s="11" t="str">
        <f aca="false">IF(B174="","",IFERROR(LEFT(B174,FIND("-",B174)-1),B174))</f>
        <v/>
      </c>
      <c r="L174" s="11" t="str">
        <f aca="false">IF(K174="","",IF(ISNUMBER(--MID(K174,1,1)),0,IF(ISNUMBER(--MID(K174,2,1)),1,IF(ISNUMBER(--MID(K174,3,1)),2,IF(ISNUMBER(--MID(K174,4,1)),3,MIN(LEN(K174),4))))))</f>
        <v/>
      </c>
      <c r="M174" s="11" t="str">
        <f aca="false">IF(B174="","",LEFT(K174,L174)&amp;REPT("0",4-L174)&amp;RIGHT("000"&amp;IFERROR(VALUE(MID(K174,L174+1,9)),0),3)&amp;RIGHT("0000"&amp;IFERROR(VALUE(MID(B174,FIND("-",B174)+1,9)),0),4))</f>
        <v/>
      </c>
      <c r="N174" s="11" t="str">
        <f aca="false">IF(OR(B174="",N(F174)&lt;=0),"",IF('FALTAS POR DECK'!$P$1="Código","K"&amp;M174&amp;RIGHT("00000"&amp;ROW(),5),IF('FALTAS POR DECK'!$P$1="Nome","K"&amp;UPPER(SUBSTITUTE(SUBSTITUTE(SUBSTITUTE(C174,"*",""),"?",""),"~",""))&amp;"0"&amp;M174&amp;RIGHT("00000"&amp;ROW(),5),IF('FALTAS POR DECK'!$P$1="Falta (maior primeiro)","K"&amp;RIGHT("0000"&amp;(9999-F174),4)&amp;M174&amp;RIGHT("00000"&amp;ROW(),5),IF('FALTAS POR DECK'!$P$1="Deck e código","K"&amp;RIGHT("00"&amp;IFERROR(MATCH(A174,_LEITURA!$P$2:$P$21,0),99),2)&amp;M174&amp;RIGHT("00000"&amp;ROW(),5),"K"&amp;RIGHT("00000"&amp;ROW(),5))))))</f>
        <v/>
      </c>
      <c r="O174" s="16" t="str">
        <f aca="false">IF(N174="","",COUNTIFS($N$2:$N$1201,"&lt;"&amp;N174,$F$2:$F$1201,"&gt;0")+1)</f>
        <v/>
      </c>
    </row>
    <row r="175" customFormat="false" ht="15" hidden="false" customHeight="false" outlineLevel="0" collapsed="false">
      <c r="A175" s="11" t="str">
        <f aca="false">IF(_LEITURA!$N175="","",INDEX(_LEITURA!$K$2:$K$1201,_LEITURA!$N175))</f>
        <v/>
      </c>
      <c r="B175" s="11" t="str">
        <f aca="false">IF(_LEITURA!$N175="","",INDEX(_LEITURA!$E$2:$E$1201,_LEITURA!$N175))</f>
        <v/>
      </c>
      <c r="C175" s="11" t="str">
        <f aca="false">IF(_LEITURA!$N175="","",INDEX(_LEITURA!$J$2:$J$1201,_LEITURA!$N175))</f>
        <v/>
      </c>
      <c r="D175" s="16" t="str">
        <f aca="false">IF(_LEITURA!$N175="","",INDEX(_LEITURA!$G$2:$G$1201,_LEITURA!$N175))</f>
        <v/>
      </c>
      <c r="E175" s="16" t="str">
        <f aca="false">IF(B175="","",SUMIFS(INVENTÁRIO!$C$2:$C$801,INVENTÁRIO!$A$2:$A$801,B175))</f>
        <v/>
      </c>
      <c r="F175" s="16" t="str">
        <f aca="false">IF(B175="","",MAX(0,D175-E175))</f>
        <v/>
      </c>
      <c r="G175" s="16" t="str">
        <f aca="false">IF(B175="","",IF(COUNTIFS($B$2:$B$1201,B175,$A$2:$A$1201,"&lt;&gt;"&amp;A175)&gt;0,"Sim",""))</f>
        <v/>
      </c>
      <c r="H175" s="16" t="str">
        <f aca="false">IF(N(F175)&gt;0,MAX(H$1:H174)+1,"")</f>
        <v/>
      </c>
      <c r="I175" s="11" t="str">
        <f aca="false">IF(B175="","",IF(INDEX($C$2:$C$1201,MATCH(B175,$B$2:$B$1201,0))&lt;&gt;C175,"Nome diferente em outro deck — revisar",""))</f>
        <v/>
      </c>
      <c r="J175" s="16" t="str">
        <f aca="false">IF(AND(B175&lt;&gt;"",A175=BULK!$A$1,N(F175)&gt;0),MAX(J$1:J174)+1,"")</f>
        <v/>
      </c>
      <c r="K175" s="11" t="str">
        <f aca="false">IF(B175="","",IFERROR(LEFT(B175,FIND("-",B175)-1),B175))</f>
        <v/>
      </c>
      <c r="L175" s="11" t="str">
        <f aca="false">IF(K175="","",IF(ISNUMBER(--MID(K175,1,1)),0,IF(ISNUMBER(--MID(K175,2,1)),1,IF(ISNUMBER(--MID(K175,3,1)),2,IF(ISNUMBER(--MID(K175,4,1)),3,MIN(LEN(K175),4))))))</f>
        <v/>
      </c>
      <c r="M175" s="11" t="str">
        <f aca="false">IF(B175="","",LEFT(K175,L175)&amp;REPT("0",4-L175)&amp;RIGHT("000"&amp;IFERROR(VALUE(MID(K175,L175+1,9)),0),3)&amp;RIGHT("0000"&amp;IFERROR(VALUE(MID(B175,FIND("-",B175)+1,9)),0),4))</f>
        <v/>
      </c>
      <c r="N175" s="11" t="str">
        <f aca="false">IF(OR(B175="",N(F175)&lt;=0),"",IF('FALTAS POR DECK'!$P$1="Código","K"&amp;M175&amp;RIGHT("00000"&amp;ROW(),5),IF('FALTAS POR DECK'!$P$1="Nome","K"&amp;UPPER(SUBSTITUTE(SUBSTITUTE(SUBSTITUTE(C175,"*",""),"?",""),"~",""))&amp;"0"&amp;M175&amp;RIGHT("00000"&amp;ROW(),5),IF('FALTAS POR DECK'!$P$1="Falta (maior primeiro)","K"&amp;RIGHT("0000"&amp;(9999-F175),4)&amp;M175&amp;RIGHT("00000"&amp;ROW(),5),IF('FALTAS POR DECK'!$P$1="Deck e código","K"&amp;RIGHT("00"&amp;IFERROR(MATCH(A175,_LEITURA!$P$2:$P$21,0),99),2)&amp;M175&amp;RIGHT("00000"&amp;ROW(),5),"K"&amp;RIGHT("00000"&amp;ROW(),5))))))</f>
        <v/>
      </c>
      <c r="O175" s="16" t="str">
        <f aca="false">IF(N175="","",COUNTIFS($N$2:$N$1201,"&lt;"&amp;N175,$F$2:$F$1201,"&gt;0")+1)</f>
        <v/>
      </c>
    </row>
    <row r="176" customFormat="false" ht="15" hidden="false" customHeight="false" outlineLevel="0" collapsed="false">
      <c r="A176" s="11" t="str">
        <f aca="false">IF(_LEITURA!$N176="","",INDEX(_LEITURA!$K$2:$K$1201,_LEITURA!$N176))</f>
        <v/>
      </c>
      <c r="B176" s="11" t="str">
        <f aca="false">IF(_LEITURA!$N176="","",INDEX(_LEITURA!$E$2:$E$1201,_LEITURA!$N176))</f>
        <v/>
      </c>
      <c r="C176" s="11" t="str">
        <f aca="false">IF(_LEITURA!$N176="","",INDEX(_LEITURA!$J$2:$J$1201,_LEITURA!$N176))</f>
        <v/>
      </c>
      <c r="D176" s="16" t="str">
        <f aca="false">IF(_LEITURA!$N176="","",INDEX(_LEITURA!$G$2:$G$1201,_LEITURA!$N176))</f>
        <v/>
      </c>
      <c r="E176" s="16" t="str">
        <f aca="false">IF(B176="","",SUMIFS(INVENTÁRIO!$C$2:$C$801,INVENTÁRIO!$A$2:$A$801,B176))</f>
        <v/>
      </c>
      <c r="F176" s="16" t="str">
        <f aca="false">IF(B176="","",MAX(0,D176-E176))</f>
        <v/>
      </c>
      <c r="G176" s="16" t="str">
        <f aca="false">IF(B176="","",IF(COUNTIFS($B$2:$B$1201,B176,$A$2:$A$1201,"&lt;&gt;"&amp;A176)&gt;0,"Sim",""))</f>
        <v/>
      </c>
      <c r="H176" s="16" t="str">
        <f aca="false">IF(N(F176)&gt;0,MAX(H$1:H175)+1,"")</f>
        <v/>
      </c>
      <c r="I176" s="11" t="str">
        <f aca="false">IF(B176="","",IF(INDEX($C$2:$C$1201,MATCH(B176,$B$2:$B$1201,0))&lt;&gt;C176,"Nome diferente em outro deck — revisar",""))</f>
        <v/>
      </c>
      <c r="J176" s="16" t="str">
        <f aca="false">IF(AND(B176&lt;&gt;"",A176=BULK!$A$1,N(F176)&gt;0),MAX(J$1:J175)+1,"")</f>
        <v/>
      </c>
      <c r="K176" s="11" t="str">
        <f aca="false">IF(B176="","",IFERROR(LEFT(B176,FIND("-",B176)-1),B176))</f>
        <v/>
      </c>
      <c r="L176" s="11" t="str">
        <f aca="false">IF(K176="","",IF(ISNUMBER(--MID(K176,1,1)),0,IF(ISNUMBER(--MID(K176,2,1)),1,IF(ISNUMBER(--MID(K176,3,1)),2,IF(ISNUMBER(--MID(K176,4,1)),3,MIN(LEN(K176),4))))))</f>
        <v/>
      </c>
      <c r="M176" s="11" t="str">
        <f aca="false">IF(B176="","",LEFT(K176,L176)&amp;REPT("0",4-L176)&amp;RIGHT("000"&amp;IFERROR(VALUE(MID(K176,L176+1,9)),0),3)&amp;RIGHT("0000"&amp;IFERROR(VALUE(MID(B176,FIND("-",B176)+1,9)),0),4))</f>
        <v/>
      </c>
      <c r="N176" s="11" t="str">
        <f aca="false">IF(OR(B176="",N(F176)&lt;=0),"",IF('FALTAS POR DECK'!$P$1="Código","K"&amp;M176&amp;RIGHT("00000"&amp;ROW(),5),IF('FALTAS POR DECK'!$P$1="Nome","K"&amp;UPPER(SUBSTITUTE(SUBSTITUTE(SUBSTITUTE(C176,"*",""),"?",""),"~",""))&amp;"0"&amp;M176&amp;RIGHT("00000"&amp;ROW(),5),IF('FALTAS POR DECK'!$P$1="Falta (maior primeiro)","K"&amp;RIGHT("0000"&amp;(9999-F176),4)&amp;M176&amp;RIGHT("00000"&amp;ROW(),5),IF('FALTAS POR DECK'!$P$1="Deck e código","K"&amp;RIGHT("00"&amp;IFERROR(MATCH(A176,_LEITURA!$P$2:$P$21,0),99),2)&amp;M176&amp;RIGHT("00000"&amp;ROW(),5),"K"&amp;RIGHT("00000"&amp;ROW(),5))))))</f>
        <v/>
      </c>
      <c r="O176" s="16" t="str">
        <f aca="false">IF(N176="","",COUNTIFS($N$2:$N$1201,"&lt;"&amp;N176,$F$2:$F$1201,"&gt;0")+1)</f>
        <v/>
      </c>
    </row>
    <row r="177" customFormat="false" ht="15" hidden="false" customHeight="false" outlineLevel="0" collapsed="false">
      <c r="A177" s="11" t="str">
        <f aca="false">IF(_LEITURA!$N177="","",INDEX(_LEITURA!$K$2:$K$1201,_LEITURA!$N177))</f>
        <v/>
      </c>
      <c r="B177" s="11" t="str">
        <f aca="false">IF(_LEITURA!$N177="","",INDEX(_LEITURA!$E$2:$E$1201,_LEITURA!$N177))</f>
        <v/>
      </c>
      <c r="C177" s="11" t="str">
        <f aca="false">IF(_LEITURA!$N177="","",INDEX(_LEITURA!$J$2:$J$1201,_LEITURA!$N177))</f>
        <v/>
      </c>
      <c r="D177" s="16" t="str">
        <f aca="false">IF(_LEITURA!$N177="","",INDEX(_LEITURA!$G$2:$G$1201,_LEITURA!$N177))</f>
        <v/>
      </c>
      <c r="E177" s="16" t="str">
        <f aca="false">IF(B177="","",SUMIFS(INVENTÁRIO!$C$2:$C$801,INVENTÁRIO!$A$2:$A$801,B177))</f>
        <v/>
      </c>
      <c r="F177" s="16" t="str">
        <f aca="false">IF(B177="","",MAX(0,D177-E177))</f>
        <v/>
      </c>
      <c r="G177" s="16" t="str">
        <f aca="false">IF(B177="","",IF(COUNTIFS($B$2:$B$1201,B177,$A$2:$A$1201,"&lt;&gt;"&amp;A177)&gt;0,"Sim",""))</f>
        <v/>
      </c>
      <c r="H177" s="16" t="str">
        <f aca="false">IF(N(F177)&gt;0,MAX(H$1:H176)+1,"")</f>
        <v/>
      </c>
      <c r="I177" s="11" t="str">
        <f aca="false">IF(B177="","",IF(INDEX($C$2:$C$1201,MATCH(B177,$B$2:$B$1201,0))&lt;&gt;C177,"Nome diferente em outro deck — revisar",""))</f>
        <v/>
      </c>
      <c r="J177" s="16" t="str">
        <f aca="false">IF(AND(B177&lt;&gt;"",A177=BULK!$A$1,N(F177)&gt;0),MAX(J$1:J176)+1,"")</f>
        <v/>
      </c>
      <c r="K177" s="11" t="str">
        <f aca="false">IF(B177="","",IFERROR(LEFT(B177,FIND("-",B177)-1),B177))</f>
        <v/>
      </c>
      <c r="L177" s="11" t="str">
        <f aca="false">IF(K177="","",IF(ISNUMBER(--MID(K177,1,1)),0,IF(ISNUMBER(--MID(K177,2,1)),1,IF(ISNUMBER(--MID(K177,3,1)),2,IF(ISNUMBER(--MID(K177,4,1)),3,MIN(LEN(K177),4))))))</f>
        <v/>
      </c>
      <c r="M177" s="11" t="str">
        <f aca="false">IF(B177="","",LEFT(K177,L177)&amp;REPT("0",4-L177)&amp;RIGHT("000"&amp;IFERROR(VALUE(MID(K177,L177+1,9)),0),3)&amp;RIGHT("0000"&amp;IFERROR(VALUE(MID(B177,FIND("-",B177)+1,9)),0),4))</f>
        <v/>
      </c>
      <c r="N177" s="11" t="str">
        <f aca="false">IF(OR(B177="",N(F177)&lt;=0),"",IF('FALTAS POR DECK'!$P$1="Código","K"&amp;M177&amp;RIGHT("00000"&amp;ROW(),5),IF('FALTAS POR DECK'!$P$1="Nome","K"&amp;UPPER(SUBSTITUTE(SUBSTITUTE(SUBSTITUTE(C177,"*",""),"?",""),"~",""))&amp;"0"&amp;M177&amp;RIGHT("00000"&amp;ROW(),5),IF('FALTAS POR DECK'!$P$1="Falta (maior primeiro)","K"&amp;RIGHT("0000"&amp;(9999-F177),4)&amp;M177&amp;RIGHT("00000"&amp;ROW(),5),IF('FALTAS POR DECK'!$P$1="Deck e código","K"&amp;RIGHT("00"&amp;IFERROR(MATCH(A177,_LEITURA!$P$2:$P$21,0),99),2)&amp;M177&amp;RIGHT("00000"&amp;ROW(),5),"K"&amp;RIGHT("00000"&amp;ROW(),5))))))</f>
        <v/>
      </c>
      <c r="O177" s="16" t="str">
        <f aca="false">IF(N177="","",COUNTIFS($N$2:$N$1201,"&lt;"&amp;N177,$F$2:$F$1201,"&gt;0")+1)</f>
        <v/>
      </c>
    </row>
    <row r="178" customFormat="false" ht="15" hidden="false" customHeight="false" outlineLevel="0" collapsed="false">
      <c r="A178" s="11" t="str">
        <f aca="false">IF(_LEITURA!$N178="","",INDEX(_LEITURA!$K$2:$K$1201,_LEITURA!$N178))</f>
        <v/>
      </c>
      <c r="B178" s="11" t="str">
        <f aca="false">IF(_LEITURA!$N178="","",INDEX(_LEITURA!$E$2:$E$1201,_LEITURA!$N178))</f>
        <v/>
      </c>
      <c r="C178" s="11" t="str">
        <f aca="false">IF(_LEITURA!$N178="","",INDEX(_LEITURA!$J$2:$J$1201,_LEITURA!$N178))</f>
        <v/>
      </c>
      <c r="D178" s="16" t="str">
        <f aca="false">IF(_LEITURA!$N178="","",INDEX(_LEITURA!$G$2:$G$1201,_LEITURA!$N178))</f>
        <v/>
      </c>
      <c r="E178" s="16" t="str">
        <f aca="false">IF(B178="","",SUMIFS(INVENTÁRIO!$C$2:$C$801,INVENTÁRIO!$A$2:$A$801,B178))</f>
        <v/>
      </c>
      <c r="F178" s="16" t="str">
        <f aca="false">IF(B178="","",MAX(0,D178-E178))</f>
        <v/>
      </c>
      <c r="G178" s="16" t="str">
        <f aca="false">IF(B178="","",IF(COUNTIFS($B$2:$B$1201,B178,$A$2:$A$1201,"&lt;&gt;"&amp;A178)&gt;0,"Sim",""))</f>
        <v/>
      </c>
      <c r="H178" s="16" t="str">
        <f aca="false">IF(N(F178)&gt;0,MAX(H$1:H177)+1,"")</f>
        <v/>
      </c>
      <c r="I178" s="11" t="str">
        <f aca="false">IF(B178="","",IF(INDEX($C$2:$C$1201,MATCH(B178,$B$2:$B$1201,0))&lt;&gt;C178,"Nome diferente em outro deck — revisar",""))</f>
        <v/>
      </c>
      <c r="J178" s="16" t="str">
        <f aca="false">IF(AND(B178&lt;&gt;"",A178=BULK!$A$1,N(F178)&gt;0),MAX(J$1:J177)+1,"")</f>
        <v/>
      </c>
      <c r="K178" s="11" t="str">
        <f aca="false">IF(B178="","",IFERROR(LEFT(B178,FIND("-",B178)-1),B178))</f>
        <v/>
      </c>
      <c r="L178" s="11" t="str">
        <f aca="false">IF(K178="","",IF(ISNUMBER(--MID(K178,1,1)),0,IF(ISNUMBER(--MID(K178,2,1)),1,IF(ISNUMBER(--MID(K178,3,1)),2,IF(ISNUMBER(--MID(K178,4,1)),3,MIN(LEN(K178),4))))))</f>
        <v/>
      </c>
      <c r="M178" s="11" t="str">
        <f aca="false">IF(B178="","",LEFT(K178,L178)&amp;REPT("0",4-L178)&amp;RIGHT("000"&amp;IFERROR(VALUE(MID(K178,L178+1,9)),0),3)&amp;RIGHT("0000"&amp;IFERROR(VALUE(MID(B178,FIND("-",B178)+1,9)),0),4))</f>
        <v/>
      </c>
      <c r="N178" s="11" t="str">
        <f aca="false">IF(OR(B178="",N(F178)&lt;=0),"",IF('FALTAS POR DECK'!$P$1="Código","K"&amp;M178&amp;RIGHT("00000"&amp;ROW(),5),IF('FALTAS POR DECK'!$P$1="Nome","K"&amp;UPPER(SUBSTITUTE(SUBSTITUTE(SUBSTITUTE(C178,"*",""),"?",""),"~",""))&amp;"0"&amp;M178&amp;RIGHT("00000"&amp;ROW(),5),IF('FALTAS POR DECK'!$P$1="Falta (maior primeiro)","K"&amp;RIGHT("0000"&amp;(9999-F178),4)&amp;M178&amp;RIGHT("00000"&amp;ROW(),5),IF('FALTAS POR DECK'!$P$1="Deck e código","K"&amp;RIGHT("00"&amp;IFERROR(MATCH(A178,_LEITURA!$P$2:$P$21,0),99),2)&amp;M178&amp;RIGHT("00000"&amp;ROW(),5),"K"&amp;RIGHT("00000"&amp;ROW(),5))))))</f>
        <v/>
      </c>
      <c r="O178" s="16" t="str">
        <f aca="false">IF(N178="","",COUNTIFS($N$2:$N$1201,"&lt;"&amp;N178,$F$2:$F$1201,"&gt;0")+1)</f>
        <v/>
      </c>
    </row>
    <row r="179" customFormat="false" ht="15" hidden="false" customHeight="false" outlineLevel="0" collapsed="false">
      <c r="A179" s="11" t="str">
        <f aca="false">IF(_LEITURA!$N179="","",INDEX(_LEITURA!$K$2:$K$1201,_LEITURA!$N179))</f>
        <v/>
      </c>
      <c r="B179" s="11" t="str">
        <f aca="false">IF(_LEITURA!$N179="","",INDEX(_LEITURA!$E$2:$E$1201,_LEITURA!$N179))</f>
        <v/>
      </c>
      <c r="C179" s="11" t="str">
        <f aca="false">IF(_LEITURA!$N179="","",INDEX(_LEITURA!$J$2:$J$1201,_LEITURA!$N179))</f>
        <v/>
      </c>
      <c r="D179" s="16" t="str">
        <f aca="false">IF(_LEITURA!$N179="","",INDEX(_LEITURA!$G$2:$G$1201,_LEITURA!$N179))</f>
        <v/>
      </c>
      <c r="E179" s="16" t="str">
        <f aca="false">IF(B179="","",SUMIFS(INVENTÁRIO!$C$2:$C$801,INVENTÁRIO!$A$2:$A$801,B179))</f>
        <v/>
      </c>
      <c r="F179" s="16" t="str">
        <f aca="false">IF(B179="","",MAX(0,D179-E179))</f>
        <v/>
      </c>
      <c r="G179" s="16" t="str">
        <f aca="false">IF(B179="","",IF(COUNTIFS($B$2:$B$1201,B179,$A$2:$A$1201,"&lt;&gt;"&amp;A179)&gt;0,"Sim",""))</f>
        <v/>
      </c>
      <c r="H179" s="16" t="str">
        <f aca="false">IF(N(F179)&gt;0,MAX(H$1:H178)+1,"")</f>
        <v/>
      </c>
      <c r="I179" s="11" t="str">
        <f aca="false">IF(B179="","",IF(INDEX($C$2:$C$1201,MATCH(B179,$B$2:$B$1201,0))&lt;&gt;C179,"Nome diferente em outro deck — revisar",""))</f>
        <v/>
      </c>
      <c r="J179" s="16" t="str">
        <f aca="false">IF(AND(B179&lt;&gt;"",A179=BULK!$A$1,N(F179)&gt;0),MAX(J$1:J178)+1,"")</f>
        <v/>
      </c>
      <c r="K179" s="11" t="str">
        <f aca="false">IF(B179="","",IFERROR(LEFT(B179,FIND("-",B179)-1),B179))</f>
        <v/>
      </c>
      <c r="L179" s="11" t="str">
        <f aca="false">IF(K179="","",IF(ISNUMBER(--MID(K179,1,1)),0,IF(ISNUMBER(--MID(K179,2,1)),1,IF(ISNUMBER(--MID(K179,3,1)),2,IF(ISNUMBER(--MID(K179,4,1)),3,MIN(LEN(K179),4))))))</f>
        <v/>
      </c>
      <c r="M179" s="11" t="str">
        <f aca="false">IF(B179="","",LEFT(K179,L179)&amp;REPT("0",4-L179)&amp;RIGHT("000"&amp;IFERROR(VALUE(MID(K179,L179+1,9)),0),3)&amp;RIGHT("0000"&amp;IFERROR(VALUE(MID(B179,FIND("-",B179)+1,9)),0),4))</f>
        <v/>
      </c>
      <c r="N179" s="11" t="str">
        <f aca="false">IF(OR(B179="",N(F179)&lt;=0),"",IF('FALTAS POR DECK'!$P$1="Código","K"&amp;M179&amp;RIGHT("00000"&amp;ROW(),5),IF('FALTAS POR DECK'!$P$1="Nome","K"&amp;UPPER(SUBSTITUTE(SUBSTITUTE(SUBSTITUTE(C179,"*",""),"?",""),"~",""))&amp;"0"&amp;M179&amp;RIGHT("00000"&amp;ROW(),5),IF('FALTAS POR DECK'!$P$1="Falta (maior primeiro)","K"&amp;RIGHT("0000"&amp;(9999-F179),4)&amp;M179&amp;RIGHT("00000"&amp;ROW(),5),IF('FALTAS POR DECK'!$P$1="Deck e código","K"&amp;RIGHT("00"&amp;IFERROR(MATCH(A179,_LEITURA!$P$2:$P$21,0),99),2)&amp;M179&amp;RIGHT("00000"&amp;ROW(),5),"K"&amp;RIGHT("00000"&amp;ROW(),5))))))</f>
        <v/>
      </c>
      <c r="O179" s="16" t="str">
        <f aca="false">IF(N179="","",COUNTIFS($N$2:$N$1201,"&lt;"&amp;N179,$F$2:$F$1201,"&gt;0")+1)</f>
        <v/>
      </c>
    </row>
    <row r="180" customFormat="false" ht="15" hidden="false" customHeight="false" outlineLevel="0" collapsed="false">
      <c r="A180" s="11" t="str">
        <f aca="false">IF(_LEITURA!$N180="","",INDEX(_LEITURA!$K$2:$K$1201,_LEITURA!$N180))</f>
        <v/>
      </c>
      <c r="B180" s="11" t="str">
        <f aca="false">IF(_LEITURA!$N180="","",INDEX(_LEITURA!$E$2:$E$1201,_LEITURA!$N180))</f>
        <v/>
      </c>
      <c r="C180" s="11" t="str">
        <f aca="false">IF(_LEITURA!$N180="","",INDEX(_LEITURA!$J$2:$J$1201,_LEITURA!$N180))</f>
        <v/>
      </c>
      <c r="D180" s="16" t="str">
        <f aca="false">IF(_LEITURA!$N180="","",INDEX(_LEITURA!$G$2:$G$1201,_LEITURA!$N180))</f>
        <v/>
      </c>
      <c r="E180" s="16" t="str">
        <f aca="false">IF(B180="","",SUMIFS(INVENTÁRIO!$C$2:$C$801,INVENTÁRIO!$A$2:$A$801,B180))</f>
        <v/>
      </c>
      <c r="F180" s="16" t="str">
        <f aca="false">IF(B180="","",MAX(0,D180-E180))</f>
        <v/>
      </c>
      <c r="G180" s="16" t="str">
        <f aca="false">IF(B180="","",IF(COUNTIFS($B$2:$B$1201,B180,$A$2:$A$1201,"&lt;&gt;"&amp;A180)&gt;0,"Sim",""))</f>
        <v/>
      </c>
      <c r="H180" s="16" t="str">
        <f aca="false">IF(N(F180)&gt;0,MAX(H$1:H179)+1,"")</f>
        <v/>
      </c>
      <c r="I180" s="11" t="str">
        <f aca="false">IF(B180="","",IF(INDEX($C$2:$C$1201,MATCH(B180,$B$2:$B$1201,0))&lt;&gt;C180,"Nome diferente em outro deck — revisar",""))</f>
        <v/>
      </c>
      <c r="J180" s="16" t="str">
        <f aca="false">IF(AND(B180&lt;&gt;"",A180=BULK!$A$1,N(F180)&gt;0),MAX(J$1:J179)+1,"")</f>
        <v/>
      </c>
      <c r="K180" s="11" t="str">
        <f aca="false">IF(B180="","",IFERROR(LEFT(B180,FIND("-",B180)-1),B180))</f>
        <v/>
      </c>
      <c r="L180" s="11" t="str">
        <f aca="false">IF(K180="","",IF(ISNUMBER(--MID(K180,1,1)),0,IF(ISNUMBER(--MID(K180,2,1)),1,IF(ISNUMBER(--MID(K180,3,1)),2,IF(ISNUMBER(--MID(K180,4,1)),3,MIN(LEN(K180),4))))))</f>
        <v/>
      </c>
      <c r="M180" s="11" t="str">
        <f aca="false">IF(B180="","",LEFT(K180,L180)&amp;REPT("0",4-L180)&amp;RIGHT("000"&amp;IFERROR(VALUE(MID(K180,L180+1,9)),0),3)&amp;RIGHT("0000"&amp;IFERROR(VALUE(MID(B180,FIND("-",B180)+1,9)),0),4))</f>
        <v/>
      </c>
      <c r="N180" s="11" t="str">
        <f aca="false">IF(OR(B180="",N(F180)&lt;=0),"",IF('FALTAS POR DECK'!$P$1="Código","K"&amp;M180&amp;RIGHT("00000"&amp;ROW(),5),IF('FALTAS POR DECK'!$P$1="Nome","K"&amp;UPPER(SUBSTITUTE(SUBSTITUTE(SUBSTITUTE(C180,"*",""),"?",""),"~",""))&amp;"0"&amp;M180&amp;RIGHT("00000"&amp;ROW(),5),IF('FALTAS POR DECK'!$P$1="Falta (maior primeiro)","K"&amp;RIGHT("0000"&amp;(9999-F180),4)&amp;M180&amp;RIGHT("00000"&amp;ROW(),5),IF('FALTAS POR DECK'!$P$1="Deck e código","K"&amp;RIGHT("00"&amp;IFERROR(MATCH(A180,_LEITURA!$P$2:$P$21,0),99),2)&amp;M180&amp;RIGHT("00000"&amp;ROW(),5),"K"&amp;RIGHT("00000"&amp;ROW(),5))))))</f>
        <v/>
      </c>
      <c r="O180" s="16" t="str">
        <f aca="false">IF(N180="","",COUNTIFS($N$2:$N$1201,"&lt;"&amp;N180,$F$2:$F$1201,"&gt;0")+1)</f>
        <v/>
      </c>
    </row>
    <row r="181" customFormat="false" ht="15" hidden="false" customHeight="false" outlineLevel="0" collapsed="false">
      <c r="A181" s="11" t="str">
        <f aca="false">IF(_LEITURA!$N181="","",INDEX(_LEITURA!$K$2:$K$1201,_LEITURA!$N181))</f>
        <v/>
      </c>
      <c r="B181" s="11" t="str">
        <f aca="false">IF(_LEITURA!$N181="","",INDEX(_LEITURA!$E$2:$E$1201,_LEITURA!$N181))</f>
        <v/>
      </c>
      <c r="C181" s="11" t="str">
        <f aca="false">IF(_LEITURA!$N181="","",INDEX(_LEITURA!$J$2:$J$1201,_LEITURA!$N181))</f>
        <v/>
      </c>
      <c r="D181" s="16" t="str">
        <f aca="false">IF(_LEITURA!$N181="","",INDEX(_LEITURA!$G$2:$G$1201,_LEITURA!$N181))</f>
        <v/>
      </c>
      <c r="E181" s="16" t="str">
        <f aca="false">IF(B181="","",SUMIFS(INVENTÁRIO!$C$2:$C$801,INVENTÁRIO!$A$2:$A$801,B181))</f>
        <v/>
      </c>
      <c r="F181" s="16" t="str">
        <f aca="false">IF(B181="","",MAX(0,D181-E181))</f>
        <v/>
      </c>
      <c r="G181" s="16" t="str">
        <f aca="false">IF(B181="","",IF(COUNTIFS($B$2:$B$1201,B181,$A$2:$A$1201,"&lt;&gt;"&amp;A181)&gt;0,"Sim",""))</f>
        <v/>
      </c>
      <c r="H181" s="16" t="str">
        <f aca="false">IF(N(F181)&gt;0,MAX(H$1:H180)+1,"")</f>
        <v/>
      </c>
      <c r="I181" s="11" t="str">
        <f aca="false">IF(B181="","",IF(INDEX($C$2:$C$1201,MATCH(B181,$B$2:$B$1201,0))&lt;&gt;C181,"Nome diferente em outro deck — revisar",""))</f>
        <v/>
      </c>
      <c r="J181" s="16" t="str">
        <f aca="false">IF(AND(B181&lt;&gt;"",A181=BULK!$A$1,N(F181)&gt;0),MAX(J$1:J180)+1,"")</f>
        <v/>
      </c>
      <c r="K181" s="11" t="str">
        <f aca="false">IF(B181="","",IFERROR(LEFT(B181,FIND("-",B181)-1),B181))</f>
        <v/>
      </c>
      <c r="L181" s="11" t="str">
        <f aca="false">IF(K181="","",IF(ISNUMBER(--MID(K181,1,1)),0,IF(ISNUMBER(--MID(K181,2,1)),1,IF(ISNUMBER(--MID(K181,3,1)),2,IF(ISNUMBER(--MID(K181,4,1)),3,MIN(LEN(K181),4))))))</f>
        <v/>
      </c>
      <c r="M181" s="11" t="str">
        <f aca="false">IF(B181="","",LEFT(K181,L181)&amp;REPT("0",4-L181)&amp;RIGHT("000"&amp;IFERROR(VALUE(MID(K181,L181+1,9)),0),3)&amp;RIGHT("0000"&amp;IFERROR(VALUE(MID(B181,FIND("-",B181)+1,9)),0),4))</f>
        <v/>
      </c>
      <c r="N181" s="11" t="str">
        <f aca="false">IF(OR(B181="",N(F181)&lt;=0),"",IF('FALTAS POR DECK'!$P$1="Código","K"&amp;M181&amp;RIGHT("00000"&amp;ROW(),5),IF('FALTAS POR DECK'!$P$1="Nome","K"&amp;UPPER(SUBSTITUTE(SUBSTITUTE(SUBSTITUTE(C181,"*",""),"?",""),"~",""))&amp;"0"&amp;M181&amp;RIGHT("00000"&amp;ROW(),5),IF('FALTAS POR DECK'!$P$1="Falta (maior primeiro)","K"&amp;RIGHT("0000"&amp;(9999-F181),4)&amp;M181&amp;RIGHT("00000"&amp;ROW(),5),IF('FALTAS POR DECK'!$P$1="Deck e código","K"&amp;RIGHT("00"&amp;IFERROR(MATCH(A181,_LEITURA!$P$2:$P$21,0),99),2)&amp;M181&amp;RIGHT("00000"&amp;ROW(),5),"K"&amp;RIGHT("00000"&amp;ROW(),5))))))</f>
        <v/>
      </c>
      <c r="O181" s="16" t="str">
        <f aca="false">IF(N181="","",COUNTIFS($N$2:$N$1201,"&lt;"&amp;N181,$F$2:$F$1201,"&gt;0")+1)</f>
        <v/>
      </c>
    </row>
    <row r="182" customFormat="false" ht="15" hidden="false" customHeight="false" outlineLevel="0" collapsed="false">
      <c r="A182" s="11" t="str">
        <f aca="false">IF(_LEITURA!$N182="","",INDEX(_LEITURA!$K$2:$K$1201,_LEITURA!$N182))</f>
        <v/>
      </c>
      <c r="B182" s="11" t="str">
        <f aca="false">IF(_LEITURA!$N182="","",INDEX(_LEITURA!$E$2:$E$1201,_LEITURA!$N182))</f>
        <v/>
      </c>
      <c r="C182" s="11" t="str">
        <f aca="false">IF(_LEITURA!$N182="","",INDEX(_LEITURA!$J$2:$J$1201,_LEITURA!$N182))</f>
        <v/>
      </c>
      <c r="D182" s="16" t="str">
        <f aca="false">IF(_LEITURA!$N182="","",INDEX(_LEITURA!$G$2:$G$1201,_LEITURA!$N182))</f>
        <v/>
      </c>
      <c r="E182" s="16" t="str">
        <f aca="false">IF(B182="","",SUMIFS(INVENTÁRIO!$C$2:$C$801,INVENTÁRIO!$A$2:$A$801,B182))</f>
        <v/>
      </c>
      <c r="F182" s="16" t="str">
        <f aca="false">IF(B182="","",MAX(0,D182-E182))</f>
        <v/>
      </c>
      <c r="G182" s="16" t="str">
        <f aca="false">IF(B182="","",IF(COUNTIFS($B$2:$B$1201,B182,$A$2:$A$1201,"&lt;&gt;"&amp;A182)&gt;0,"Sim",""))</f>
        <v/>
      </c>
      <c r="H182" s="16" t="str">
        <f aca="false">IF(N(F182)&gt;0,MAX(H$1:H181)+1,"")</f>
        <v/>
      </c>
      <c r="I182" s="11" t="str">
        <f aca="false">IF(B182="","",IF(INDEX($C$2:$C$1201,MATCH(B182,$B$2:$B$1201,0))&lt;&gt;C182,"Nome diferente em outro deck — revisar",""))</f>
        <v/>
      </c>
      <c r="J182" s="16" t="str">
        <f aca="false">IF(AND(B182&lt;&gt;"",A182=BULK!$A$1,N(F182)&gt;0),MAX(J$1:J181)+1,"")</f>
        <v/>
      </c>
      <c r="K182" s="11" t="str">
        <f aca="false">IF(B182="","",IFERROR(LEFT(B182,FIND("-",B182)-1),B182))</f>
        <v/>
      </c>
      <c r="L182" s="11" t="str">
        <f aca="false">IF(K182="","",IF(ISNUMBER(--MID(K182,1,1)),0,IF(ISNUMBER(--MID(K182,2,1)),1,IF(ISNUMBER(--MID(K182,3,1)),2,IF(ISNUMBER(--MID(K182,4,1)),3,MIN(LEN(K182),4))))))</f>
        <v/>
      </c>
      <c r="M182" s="11" t="str">
        <f aca="false">IF(B182="","",LEFT(K182,L182)&amp;REPT("0",4-L182)&amp;RIGHT("000"&amp;IFERROR(VALUE(MID(K182,L182+1,9)),0),3)&amp;RIGHT("0000"&amp;IFERROR(VALUE(MID(B182,FIND("-",B182)+1,9)),0),4))</f>
        <v/>
      </c>
      <c r="N182" s="11" t="str">
        <f aca="false">IF(OR(B182="",N(F182)&lt;=0),"",IF('FALTAS POR DECK'!$P$1="Código","K"&amp;M182&amp;RIGHT("00000"&amp;ROW(),5),IF('FALTAS POR DECK'!$P$1="Nome","K"&amp;UPPER(SUBSTITUTE(SUBSTITUTE(SUBSTITUTE(C182,"*",""),"?",""),"~",""))&amp;"0"&amp;M182&amp;RIGHT("00000"&amp;ROW(),5),IF('FALTAS POR DECK'!$P$1="Falta (maior primeiro)","K"&amp;RIGHT("0000"&amp;(9999-F182),4)&amp;M182&amp;RIGHT("00000"&amp;ROW(),5),IF('FALTAS POR DECK'!$P$1="Deck e código","K"&amp;RIGHT("00"&amp;IFERROR(MATCH(A182,_LEITURA!$P$2:$P$21,0),99),2)&amp;M182&amp;RIGHT("00000"&amp;ROW(),5),"K"&amp;RIGHT("00000"&amp;ROW(),5))))))</f>
        <v/>
      </c>
      <c r="O182" s="16" t="str">
        <f aca="false">IF(N182="","",COUNTIFS($N$2:$N$1201,"&lt;"&amp;N182,$F$2:$F$1201,"&gt;0")+1)</f>
        <v/>
      </c>
    </row>
    <row r="183" customFormat="false" ht="15" hidden="false" customHeight="false" outlineLevel="0" collapsed="false">
      <c r="A183" s="11" t="str">
        <f aca="false">IF(_LEITURA!$N183="","",INDEX(_LEITURA!$K$2:$K$1201,_LEITURA!$N183))</f>
        <v/>
      </c>
      <c r="B183" s="11" t="str">
        <f aca="false">IF(_LEITURA!$N183="","",INDEX(_LEITURA!$E$2:$E$1201,_LEITURA!$N183))</f>
        <v/>
      </c>
      <c r="C183" s="11" t="str">
        <f aca="false">IF(_LEITURA!$N183="","",INDEX(_LEITURA!$J$2:$J$1201,_LEITURA!$N183))</f>
        <v/>
      </c>
      <c r="D183" s="16" t="str">
        <f aca="false">IF(_LEITURA!$N183="","",INDEX(_LEITURA!$G$2:$G$1201,_LEITURA!$N183))</f>
        <v/>
      </c>
      <c r="E183" s="16" t="str">
        <f aca="false">IF(B183="","",SUMIFS(INVENTÁRIO!$C$2:$C$801,INVENTÁRIO!$A$2:$A$801,B183))</f>
        <v/>
      </c>
      <c r="F183" s="16" t="str">
        <f aca="false">IF(B183="","",MAX(0,D183-E183))</f>
        <v/>
      </c>
      <c r="G183" s="16" t="str">
        <f aca="false">IF(B183="","",IF(COUNTIFS($B$2:$B$1201,B183,$A$2:$A$1201,"&lt;&gt;"&amp;A183)&gt;0,"Sim",""))</f>
        <v/>
      </c>
      <c r="H183" s="16" t="str">
        <f aca="false">IF(N(F183)&gt;0,MAX(H$1:H182)+1,"")</f>
        <v/>
      </c>
      <c r="I183" s="11" t="str">
        <f aca="false">IF(B183="","",IF(INDEX($C$2:$C$1201,MATCH(B183,$B$2:$B$1201,0))&lt;&gt;C183,"Nome diferente em outro deck — revisar",""))</f>
        <v/>
      </c>
      <c r="J183" s="16" t="str">
        <f aca="false">IF(AND(B183&lt;&gt;"",A183=BULK!$A$1,N(F183)&gt;0),MAX(J$1:J182)+1,"")</f>
        <v/>
      </c>
      <c r="K183" s="11" t="str">
        <f aca="false">IF(B183="","",IFERROR(LEFT(B183,FIND("-",B183)-1),B183))</f>
        <v/>
      </c>
      <c r="L183" s="11" t="str">
        <f aca="false">IF(K183="","",IF(ISNUMBER(--MID(K183,1,1)),0,IF(ISNUMBER(--MID(K183,2,1)),1,IF(ISNUMBER(--MID(K183,3,1)),2,IF(ISNUMBER(--MID(K183,4,1)),3,MIN(LEN(K183),4))))))</f>
        <v/>
      </c>
      <c r="M183" s="11" t="str">
        <f aca="false">IF(B183="","",LEFT(K183,L183)&amp;REPT("0",4-L183)&amp;RIGHT("000"&amp;IFERROR(VALUE(MID(K183,L183+1,9)),0),3)&amp;RIGHT("0000"&amp;IFERROR(VALUE(MID(B183,FIND("-",B183)+1,9)),0),4))</f>
        <v/>
      </c>
      <c r="N183" s="11" t="str">
        <f aca="false">IF(OR(B183="",N(F183)&lt;=0),"",IF('FALTAS POR DECK'!$P$1="Código","K"&amp;M183&amp;RIGHT("00000"&amp;ROW(),5),IF('FALTAS POR DECK'!$P$1="Nome","K"&amp;UPPER(SUBSTITUTE(SUBSTITUTE(SUBSTITUTE(C183,"*",""),"?",""),"~",""))&amp;"0"&amp;M183&amp;RIGHT("00000"&amp;ROW(),5),IF('FALTAS POR DECK'!$P$1="Falta (maior primeiro)","K"&amp;RIGHT("0000"&amp;(9999-F183),4)&amp;M183&amp;RIGHT("00000"&amp;ROW(),5),IF('FALTAS POR DECK'!$P$1="Deck e código","K"&amp;RIGHT("00"&amp;IFERROR(MATCH(A183,_LEITURA!$P$2:$P$21,0),99),2)&amp;M183&amp;RIGHT("00000"&amp;ROW(),5),"K"&amp;RIGHT("00000"&amp;ROW(),5))))))</f>
        <v/>
      </c>
      <c r="O183" s="16" t="str">
        <f aca="false">IF(N183="","",COUNTIFS($N$2:$N$1201,"&lt;"&amp;N183,$F$2:$F$1201,"&gt;0")+1)</f>
        <v/>
      </c>
    </row>
    <row r="184" customFormat="false" ht="15" hidden="false" customHeight="false" outlineLevel="0" collapsed="false">
      <c r="A184" s="11" t="str">
        <f aca="false">IF(_LEITURA!$N184="","",INDEX(_LEITURA!$K$2:$K$1201,_LEITURA!$N184))</f>
        <v/>
      </c>
      <c r="B184" s="11" t="str">
        <f aca="false">IF(_LEITURA!$N184="","",INDEX(_LEITURA!$E$2:$E$1201,_LEITURA!$N184))</f>
        <v/>
      </c>
      <c r="C184" s="11" t="str">
        <f aca="false">IF(_LEITURA!$N184="","",INDEX(_LEITURA!$J$2:$J$1201,_LEITURA!$N184))</f>
        <v/>
      </c>
      <c r="D184" s="16" t="str">
        <f aca="false">IF(_LEITURA!$N184="","",INDEX(_LEITURA!$G$2:$G$1201,_LEITURA!$N184))</f>
        <v/>
      </c>
      <c r="E184" s="16" t="str">
        <f aca="false">IF(B184="","",SUMIFS(INVENTÁRIO!$C$2:$C$801,INVENTÁRIO!$A$2:$A$801,B184))</f>
        <v/>
      </c>
      <c r="F184" s="16" t="str">
        <f aca="false">IF(B184="","",MAX(0,D184-E184))</f>
        <v/>
      </c>
      <c r="G184" s="16" t="str">
        <f aca="false">IF(B184="","",IF(COUNTIFS($B$2:$B$1201,B184,$A$2:$A$1201,"&lt;&gt;"&amp;A184)&gt;0,"Sim",""))</f>
        <v/>
      </c>
      <c r="H184" s="16" t="str">
        <f aca="false">IF(N(F184)&gt;0,MAX(H$1:H183)+1,"")</f>
        <v/>
      </c>
      <c r="I184" s="11" t="str">
        <f aca="false">IF(B184="","",IF(INDEX($C$2:$C$1201,MATCH(B184,$B$2:$B$1201,0))&lt;&gt;C184,"Nome diferente em outro deck — revisar",""))</f>
        <v/>
      </c>
      <c r="J184" s="16" t="str">
        <f aca="false">IF(AND(B184&lt;&gt;"",A184=BULK!$A$1,N(F184)&gt;0),MAX(J$1:J183)+1,"")</f>
        <v/>
      </c>
      <c r="K184" s="11" t="str">
        <f aca="false">IF(B184="","",IFERROR(LEFT(B184,FIND("-",B184)-1),B184))</f>
        <v/>
      </c>
      <c r="L184" s="11" t="str">
        <f aca="false">IF(K184="","",IF(ISNUMBER(--MID(K184,1,1)),0,IF(ISNUMBER(--MID(K184,2,1)),1,IF(ISNUMBER(--MID(K184,3,1)),2,IF(ISNUMBER(--MID(K184,4,1)),3,MIN(LEN(K184),4))))))</f>
        <v/>
      </c>
      <c r="M184" s="11" t="str">
        <f aca="false">IF(B184="","",LEFT(K184,L184)&amp;REPT("0",4-L184)&amp;RIGHT("000"&amp;IFERROR(VALUE(MID(K184,L184+1,9)),0),3)&amp;RIGHT("0000"&amp;IFERROR(VALUE(MID(B184,FIND("-",B184)+1,9)),0),4))</f>
        <v/>
      </c>
      <c r="N184" s="11" t="str">
        <f aca="false">IF(OR(B184="",N(F184)&lt;=0),"",IF('FALTAS POR DECK'!$P$1="Código","K"&amp;M184&amp;RIGHT("00000"&amp;ROW(),5),IF('FALTAS POR DECK'!$P$1="Nome","K"&amp;UPPER(SUBSTITUTE(SUBSTITUTE(SUBSTITUTE(C184,"*",""),"?",""),"~",""))&amp;"0"&amp;M184&amp;RIGHT("00000"&amp;ROW(),5),IF('FALTAS POR DECK'!$P$1="Falta (maior primeiro)","K"&amp;RIGHT("0000"&amp;(9999-F184),4)&amp;M184&amp;RIGHT("00000"&amp;ROW(),5),IF('FALTAS POR DECK'!$P$1="Deck e código","K"&amp;RIGHT("00"&amp;IFERROR(MATCH(A184,_LEITURA!$P$2:$P$21,0),99),2)&amp;M184&amp;RIGHT("00000"&amp;ROW(),5),"K"&amp;RIGHT("00000"&amp;ROW(),5))))))</f>
        <v/>
      </c>
      <c r="O184" s="16" t="str">
        <f aca="false">IF(N184="","",COUNTIFS($N$2:$N$1201,"&lt;"&amp;N184,$F$2:$F$1201,"&gt;0")+1)</f>
        <v/>
      </c>
    </row>
    <row r="185" customFormat="false" ht="15" hidden="false" customHeight="false" outlineLevel="0" collapsed="false">
      <c r="A185" s="11" t="str">
        <f aca="false">IF(_LEITURA!$N185="","",INDEX(_LEITURA!$K$2:$K$1201,_LEITURA!$N185))</f>
        <v/>
      </c>
      <c r="B185" s="11" t="str">
        <f aca="false">IF(_LEITURA!$N185="","",INDEX(_LEITURA!$E$2:$E$1201,_LEITURA!$N185))</f>
        <v/>
      </c>
      <c r="C185" s="11" t="str">
        <f aca="false">IF(_LEITURA!$N185="","",INDEX(_LEITURA!$J$2:$J$1201,_LEITURA!$N185))</f>
        <v/>
      </c>
      <c r="D185" s="16" t="str">
        <f aca="false">IF(_LEITURA!$N185="","",INDEX(_LEITURA!$G$2:$G$1201,_LEITURA!$N185))</f>
        <v/>
      </c>
      <c r="E185" s="16" t="str">
        <f aca="false">IF(B185="","",SUMIFS(INVENTÁRIO!$C$2:$C$801,INVENTÁRIO!$A$2:$A$801,B185))</f>
        <v/>
      </c>
      <c r="F185" s="16" t="str">
        <f aca="false">IF(B185="","",MAX(0,D185-E185))</f>
        <v/>
      </c>
      <c r="G185" s="16" t="str">
        <f aca="false">IF(B185="","",IF(COUNTIFS($B$2:$B$1201,B185,$A$2:$A$1201,"&lt;&gt;"&amp;A185)&gt;0,"Sim",""))</f>
        <v/>
      </c>
      <c r="H185" s="16" t="str">
        <f aca="false">IF(N(F185)&gt;0,MAX(H$1:H184)+1,"")</f>
        <v/>
      </c>
      <c r="I185" s="11" t="str">
        <f aca="false">IF(B185="","",IF(INDEX($C$2:$C$1201,MATCH(B185,$B$2:$B$1201,0))&lt;&gt;C185,"Nome diferente em outro deck — revisar",""))</f>
        <v/>
      </c>
      <c r="J185" s="16" t="str">
        <f aca="false">IF(AND(B185&lt;&gt;"",A185=BULK!$A$1,N(F185)&gt;0),MAX(J$1:J184)+1,"")</f>
        <v/>
      </c>
      <c r="K185" s="11" t="str">
        <f aca="false">IF(B185="","",IFERROR(LEFT(B185,FIND("-",B185)-1),B185))</f>
        <v/>
      </c>
      <c r="L185" s="11" t="str">
        <f aca="false">IF(K185="","",IF(ISNUMBER(--MID(K185,1,1)),0,IF(ISNUMBER(--MID(K185,2,1)),1,IF(ISNUMBER(--MID(K185,3,1)),2,IF(ISNUMBER(--MID(K185,4,1)),3,MIN(LEN(K185),4))))))</f>
        <v/>
      </c>
      <c r="M185" s="11" t="str">
        <f aca="false">IF(B185="","",LEFT(K185,L185)&amp;REPT("0",4-L185)&amp;RIGHT("000"&amp;IFERROR(VALUE(MID(K185,L185+1,9)),0),3)&amp;RIGHT("0000"&amp;IFERROR(VALUE(MID(B185,FIND("-",B185)+1,9)),0),4))</f>
        <v/>
      </c>
      <c r="N185" s="11" t="str">
        <f aca="false">IF(OR(B185="",N(F185)&lt;=0),"",IF('FALTAS POR DECK'!$P$1="Código","K"&amp;M185&amp;RIGHT("00000"&amp;ROW(),5),IF('FALTAS POR DECK'!$P$1="Nome","K"&amp;UPPER(SUBSTITUTE(SUBSTITUTE(SUBSTITUTE(C185,"*",""),"?",""),"~",""))&amp;"0"&amp;M185&amp;RIGHT("00000"&amp;ROW(),5),IF('FALTAS POR DECK'!$P$1="Falta (maior primeiro)","K"&amp;RIGHT("0000"&amp;(9999-F185),4)&amp;M185&amp;RIGHT("00000"&amp;ROW(),5),IF('FALTAS POR DECK'!$P$1="Deck e código","K"&amp;RIGHT("00"&amp;IFERROR(MATCH(A185,_LEITURA!$P$2:$P$21,0),99),2)&amp;M185&amp;RIGHT("00000"&amp;ROW(),5),"K"&amp;RIGHT("00000"&amp;ROW(),5))))))</f>
        <v/>
      </c>
      <c r="O185" s="16" t="str">
        <f aca="false">IF(N185="","",COUNTIFS($N$2:$N$1201,"&lt;"&amp;N185,$F$2:$F$1201,"&gt;0")+1)</f>
        <v/>
      </c>
    </row>
    <row r="186" customFormat="false" ht="15" hidden="false" customHeight="false" outlineLevel="0" collapsed="false">
      <c r="A186" s="11" t="str">
        <f aca="false">IF(_LEITURA!$N186="","",INDEX(_LEITURA!$K$2:$K$1201,_LEITURA!$N186))</f>
        <v/>
      </c>
      <c r="B186" s="11" t="str">
        <f aca="false">IF(_LEITURA!$N186="","",INDEX(_LEITURA!$E$2:$E$1201,_LEITURA!$N186))</f>
        <v/>
      </c>
      <c r="C186" s="11" t="str">
        <f aca="false">IF(_LEITURA!$N186="","",INDEX(_LEITURA!$J$2:$J$1201,_LEITURA!$N186))</f>
        <v/>
      </c>
      <c r="D186" s="16" t="str">
        <f aca="false">IF(_LEITURA!$N186="","",INDEX(_LEITURA!$G$2:$G$1201,_LEITURA!$N186))</f>
        <v/>
      </c>
      <c r="E186" s="16" t="str">
        <f aca="false">IF(B186="","",SUMIFS(INVENTÁRIO!$C$2:$C$801,INVENTÁRIO!$A$2:$A$801,B186))</f>
        <v/>
      </c>
      <c r="F186" s="16" t="str">
        <f aca="false">IF(B186="","",MAX(0,D186-E186))</f>
        <v/>
      </c>
      <c r="G186" s="16" t="str">
        <f aca="false">IF(B186="","",IF(COUNTIFS($B$2:$B$1201,B186,$A$2:$A$1201,"&lt;&gt;"&amp;A186)&gt;0,"Sim",""))</f>
        <v/>
      </c>
      <c r="H186" s="16" t="str">
        <f aca="false">IF(N(F186)&gt;0,MAX(H$1:H185)+1,"")</f>
        <v/>
      </c>
      <c r="I186" s="11" t="str">
        <f aca="false">IF(B186="","",IF(INDEX($C$2:$C$1201,MATCH(B186,$B$2:$B$1201,0))&lt;&gt;C186,"Nome diferente em outro deck — revisar",""))</f>
        <v/>
      </c>
      <c r="J186" s="16" t="str">
        <f aca="false">IF(AND(B186&lt;&gt;"",A186=BULK!$A$1,N(F186)&gt;0),MAX(J$1:J185)+1,"")</f>
        <v/>
      </c>
      <c r="K186" s="11" t="str">
        <f aca="false">IF(B186="","",IFERROR(LEFT(B186,FIND("-",B186)-1),B186))</f>
        <v/>
      </c>
      <c r="L186" s="11" t="str">
        <f aca="false">IF(K186="","",IF(ISNUMBER(--MID(K186,1,1)),0,IF(ISNUMBER(--MID(K186,2,1)),1,IF(ISNUMBER(--MID(K186,3,1)),2,IF(ISNUMBER(--MID(K186,4,1)),3,MIN(LEN(K186),4))))))</f>
        <v/>
      </c>
      <c r="M186" s="11" t="str">
        <f aca="false">IF(B186="","",LEFT(K186,L186)&amp;REPT("0",4-L186)&amp;RIGHT("000"&amp;IFERROR(VALUE(MID(K186,L186+1,9)),0),3)&amp;RIGHT("0000"&amp;IFERROR(VALUE(MID(B186,FIND("-",B186)+1,9)),0),4))</f>
        <v/>
      </c>
      <c r="N186" s="11" t="str">
        <f aca="false">IF(OR(B186="",N(F186)&lt;=0),"",IF('FALTAS POR DECK'!$P$1="Código","K"&amp;M186&amp;RIGHT("00000"&amp;ROW(),5),IF('FALTAS POR DECK'!$P$1="Nome","K"&amp;UPPER(SUBSTITUTE(SUBSTITUTE(SUBSTITUTE(C186,"*",""),"?",""),"~",""))&amp;"0"&amp;M186&amp;RIGHT("00000"&amp;ROW(),5),IF('FALTAS POR DECK'!$P$1="Falta (maior primeiro)","K"&amp;RIGHT("0000"&amp;(9999-F186),4)&amp;M186&amp;RIGHT("00000"&amp;ROW(),5),IF('FALTAS POR DECK'!$P$1="Deck e código","K"&amp;RIGHT("00"&amp;IFERROR(MATCH(A186,_LEITURA!$P$2:$P$21,0),99),2)&amp;M186&amp;RIGHT("00000"&amp;ROW(),5),"K"&amp;RIGHT("00000"&amp;ROW(),5))))))</f>
        <v/>
      </c>
      <c r="O186" s="16" t="str">
        <f aca="false">IF(N186="","",COUNTIFS($N$2:$N$1201,"&lt;"&amp;N186,$F$2:$F$1201,"&gt;0")+1)</f>
        <v/>
      </c>
    </row>
    <row r="187" customFormat="false" ht="15" hidden="false" customHeight="false" outlineLevel="0" collapsed="false">
      <c r="A187" s="11" t="str">
        <f aca="false">IF(_LEITURA!$N187="","",INDEX(_LEITURA!$K$2:$K$1201,_LEITURA!$N187))</f>
        <v/>
      </c>
      <c r="B187" s="11" t="str">
        <f aca="false">IF(_LEITURA!$N187="","",INDEX(_LEITURA!$E$2:$E$1201,_LEITURA!$N187))</f>
        <v/>
      </c>
      <c r="C187" s="11" t="str">
        <f aca="false">IF(_LEITURA!$N187="","",INDEX(_LEITURA!$J$2:$J$1201,_LEITURA!$N187))</f>
        <v/>
      </c>
      <c r="D187" s="16" t="str">
        <f aca="false">IF(_LEITURA!$N187="","",INDEX(_LEITURA!$G$2:$G$1201,_LEITURA!$N187))</f>
        <v/>
      </c>
      <c r="E187" s="16" t="str">
        <f aca="false">IF(B187="","",SUMIFS(INVENTÁRIO!$C$2:$C$801,INVENTÁRIO!$A$2:$A$801,B187))</f>
        <v/>
      </c>
      <c r="F187" s="16" t="str">
        <f aca="false">IF(B187="","",MAX(0,D187-E187))</f>
        <v/>
      </c>
      <c r="G187" s="16" t="str">
        <f aca="false">IF(B187="","",IF(COUNTIFS($B$2:$B$1201,B187,$A$2:$A$1201,"&lt;&gt;"&amp;A187)&gt;0,"Sim",""))</f>
        <v/>
      </c>
      <c r="H187" s="16" t="str">
        <f aca="false">IF(N(F187)&gt;0,MAX(H$1:H186)+1,"")</f>
        <v/>
      </c>
      <c r="I187" s="11" t="str">
        <f aca="false">IF(B187="","",IF(INDEX($C$2:$C$1201,MATCH(B187,$B$2:$B$1201,0))&lt;&gt;C187,"Nome diferente em outro deck — revisar",""))</f>
        <v/>
      </c>
      <c r="J187" s="16" t="str">
        <f aca="false">IF(AND(B187&lt;&gt;"",A187=BULK!$A$1,N(F187)&gt;0),MAX(J$1:J186)+1,"")</f>
        <v/>
      </c>
      <c r="K187" s="11" t="str">
        <f aca="false">IF(B187="","",IFERROR(LEFT(B187,FIND("-",B187)-1),B187))</f>
        <v/>
      </c>
      <c r="L187" s="11" t="str">
        <f aca="false">IF(K187="","",IF(ISNUMBER(--MID(K187,1,1)),0,IF(ISNUMBER(--MID(K187,2,1)),1,IF(ISNUMBER(--MID(K187,3,1)),2,IF(ISNUMBER(--MID(K187,4,1)),3,MIN(LEN(K187),4))))))</f>
        <v/>
      </c>
      <c r="M187" s="11" t="str">
        <f aca="false">IF(B187="","",LEFT(K187,L187)&amp;REPT("0",4-L187)&amp;RIGHT("000"&amp;IFERROR(VALUE(MID(K187,L187+1,9)),0),3)&amp;RIGHT("0000"&amp;IFERROR(VALUE(MID(B187,FIND("-",B187)+1,9)),0),4))</f>
        <v/>
      </c>
      <c r="N187" s="11" t="str">
        <f aca="false">IF(OR(B187="",N(F187)&lt;=0),"",IF('FALTAS POR DECK'!$P$1="Código","K"&amp;M187&amp;RIGHT("00000"&amp;ROW(),5),IF('FALTAS POR DECK'!$P$1="Nome","K"&amp;UPPER(SUBSTITUTE(SUBSTITUTE(SUBSTITUTE(C187,"*",""),"?",""),"~",""))&amp;"0"&amp;M187&amp;RIGHT("00000"&amp;ROW(),5),IF('FALTAS POR DECK'!$P$1="Falta (maior primeiro)","K"&amp;RIGHT("0000"&amp;(9999-F187),4)&amp;M187&amp;RIGHT("00000"&amp;ROW(),5),IF('FALTAS POR DECK'!$P$1="Deck e código","K"&amp;RIGHT("00"&amp;IFERROR(MATCH(A187,_LEITURA!$P$2:$P$21,0),99),2)&amp;M187&amp;RIGHT("00000"&amp;ROW(),5),"K"&amp;RIGHT("00000"&amp;ROW(),5))))))</f>
        <v/>
      </c>
      <c r="O187" s="16" t="str">
        <f aca="false">IF(N187="","",COUNTIFS($N$2:$N$1201,"&lt;"&amp;N187,$F$2:$F$1201,"&gt;0")+1)</f>
        <v/>
      </c>
    </row>
    <row r="188" customFormat="false" ht="15" hidden="false" customHeight="false" outlineLevel="0" collapsed="false">
      <c r="A188" s="11" t="str">
        <f aca="false">IF(_LEITURA!$N188="","",INDEX(_LEITURA!$K$2:$K$1201,_LEITURA!$N188))</f>
        <v/>
      </c>
      <c r="B188" s="11" t="str">
        <f aca="false">IF(_LEITURA!$N188="","",INDEX(_LEITURA!$E$2:$E$1201,_LEITURA!$N188))</f>
        <v/>
      </c>
      <c r="C188" s="11" t="str">
        <f aca="false">IF(_LEITURA!$N188="","",INDEX(_LEITURA!$J$2:$J$1201,_LEITURA!$N188))</f>
        <v/>
      </c>
      <c r="D188" s="16" t="str">
        <f aca="false">IF(_LEITURA!$N188="","",INDEX(_LEITURA!$G$2:$G$1201,_LEITURA!$N188))</f>
        <v/>
      </c>
      <c r="E188" s="16" t="str">
        <f aca="false">IF(B188="","",SUMIFS(INVENTÁRIO!$C$2:$C$801,INVENTÁRIO!$A$2:$A$801,B188))</f>
        <v/>
      </c>
      <c r="F188" s="16" t="str">
        <f aca="false">IF(B188="","",MAX(0,D188-E188))</f>
        <v/>
      </c>
      <c r="G188" s="16" t="str">
        <f aca="false">IF(B188="","",IF(COUNTIFS($B$2:$B$1201,B188,$A$2:$A$1201,"&lt;&gt;"&amp;A188)&gt;0,"Sim",""))</f>
        <v/>
      </c>
      <c r="H188" s="16" t="str">
        <f aca="false">IF(N(F188)&gt;0,MAX(H$1:H187)+1,"")</f>
        <v/>
      </c>
      <c r="I188" s="11" t="str">
        <f aca="false">IF(B188="","",IF(INDEX($C$2:$C$1201,MATCH(B188,$B$2:$B$1201,0))&lt;&gt;C188,"Nome diferente em outro deck — revisar",""))</f>
        <v/>
      </c>
      <c r="J188" s="16" t="str">
        <f aca="false">IF(AND(B188&lt;&gt;"",A188=BULK!$A$1,N(F188)&gt;0),MAX(J$1:J187)+1,"")</f>
        <v/>
      </c>
      <c r="K188" s="11" t="str">
        <f aca="false">IF(B188="","",IFERROR(LEFT(B188,FIND("-",B188)-1),B188))</f>
        <v/>
      </c>
      <c r="L188" s="11" t="str">
        <f aca="false">IF(K188="","",IF(ISNUMBER(--MID(K188,1,1)),0,IF(ISNUMBER(--MID(K188,2,1)),1,IF(ISNUMBER(--MID(K188,3,1)),2,IF(ISNUMBER(--MID(K188,4,1)),3,MIN(LEN(K188),4))))))</f>
        <v/>
      </c>
      <c r="M188" s="11" t="str">
        <f aca="false">IF(B188="","",LEFT(K188,L188)&amp;REPT("0",4-L188)&amp;RIGHT("000"&amp;IFERROR(VALUE(MID(K188,L188+1,9)),0),3)&amp;RIGHT("0000"&amp;IFERROR(VALUE(MID(B188,FIND("-",B188)+1,9)),0),4))</f>
        <v/>
      </c>
      <c r="N188" s="11" t="str">
        <f aca="false">IF(OR(B188="",N(F188)&lt;=0),"",IF('FALTAS POR DECK'!$P$1="Código","K"&amp;M188&amp;RIGHT("00000"&amp;ROW(),5),IF('FALTAS POR DECK'!$P$1="Nome","K"&amp;UPPER(SUBSTITUTE(SUBSTITUTE(SUBSTITUTE(C188,"*",""),"?",""),"~",""))&amp;"0"&amp;M188&amp;RIGHT("00000"&amp;ROW(),5),IF('FALTAS POR DECK'!$P$1="Falta (maior primeiro)","K"&amp;RIGHT("0000"&amp;(9999-F188),4)&amp;M188&amp;RIGHT("00000"&amp;ROW(),5),IF('FALTAS POR DECK'!$P$1="Deck e código","K"&amp;RIGHT("00"&amp;IFERROR(MATCH(A188,_LEITURA!$P$2:$P$21,0),99),2)&amp;M188&amp;RIGHT("00000"&amp;ROW(),5),"K"&amp;RIGHT("00000"&amp;ROW(),5))))))</f>
        <v/>
      </c>
      <c r="O188" s="16" t="str">
        <f aca="false">IF(N188="","",COUNTIFS($N$2:$N$1201,"&lt;"&amp;N188,$F$2:$F$1201,"&gt;0")+1)</f>
        <v/>
      </c>
    </row>
    <row r="189" customFormat="false" ht="15" hidden="false" customHeight="false" outlineLevel="0" collapsed="false">
      <c r="A189" s="11" t="str">
        <f aca="false">IF(_LEITURA!$N189="","",INDEX(_LEITURA!$K$2:$K$1201,_LEITURA!$N189))</f>
        <v/>
      </c>
      <c r="B189" s="11" t="str">
        <f aca="false">IF(_LEITURA!$N189="","",INDEX(_LEITURA!$E$2:$E$1201,_LEITURA!$N189))</f>
        <v/>
      </c>
      <c r="C189" s="11" t="str">
        <f aca="false">IF(_LEITURA!$N189="","",INDEX(_LEITURA!$J$2:$J$1201,_LEITURA!$N189))</f>
        <v/>
      </c>
      <c r="D189" s="16" t="str">
        <f aca="false">IF(_LEITURA!$N189="","",INDEX(_LEITURA!$G$2:$G$1201,_LEITURA!$N189))</f>
        <v/>
      </c>
      <c r="E189" s="16" t="str">
        <f aca="false">IF(B189="","",SUMIFS(INVENTÁRIO!$C$2:$C$801,INVENTÁRIO!$A$2:$A$801,B189))</f>
        <v/>
      </c>
      <c r="F189" s="16" t="str">
        <f aca="false">IF(B189="","",MAX(0,D189-E189))</f>
        <v/>
      </c>
      <c r="G189" s="16" t="str">
        <f aca="false">IF(B189="","",IF(COUNTIFS($B$2:$B$1201,B189,$A$2:$A$1201,"&lt;&gt;"&amp;A189)&gt;0,"Sim",""))</f>
        <v/>
      </c>
      <c r="H189" s="16" t="str">
        <f aca="false">IF(N(F189)&gt;0,MAX(H$1:H188)+1,"")</f>
        <v/>
      </c>
      <c r="I189" s="11" t="str">
        <f aca="false">IF(B189="","",IF(INDEX($C$2:$C$1201,MATCH(B189,$B$2:$B$1201,0))&lt;&gt;C189,"Nome diferente em outro deck — revisar",""))</f>
        <v/>
      </c>
      <c r="J189" s="16" t="str">
        <f aca="false">IF(AND(B189&lt;&gt;"",A189=BULK!$A$1,N(F189)&gt;0),MAX(J$1:J188)+1,"")</f>
        <v/>
      </c>
      <c r="K189" s="11" t="str">
        <f aca="false">IF(B189="","",IFERROR(LEFT(B189,FIND("-",B189)-1),B189))</f>
        <v/>
      </c>
      <c r="L189" s="11" t="str">
        <f aca="false">IF(K189="","",IF(ISNUMBER(--MID(K189,1,1)),0,IF(ISNUMBER(--MID(K189,2,1)),1,IF(ISNUMBER(--MID(K189,3,1)),2,IF(ISNUMBER(--MID(K189,4,1)),3,MIN(LEN(K189),4))))))</f>
        <v/>
      </c>
      <c r="M189" s="11" t="str">
        <f aca="false">IF(B189="","",LEFT(K189,L189)&amp;REPT("0",4-L189)&amp;RIGHT("000"&amp;IFERROR(VALUE(MID(K189,L189+1,9)),0),3)&amp;RIGHT("0000"&amp;IFERROR(VALUE(MID(B189,FIND("-",B189)+1,9)),0),4))</f>
        <v/>
      </c>
      <c r="N189" s="11" t="str">
        <f aca="false">IF(OR(B189="",N(F189)&lt;=0),"",IF('FALTAS POR DECK'!$P$1="Código","K"&amp;M189&amp;RIGHT("00000"&amp;ROW(),5),IF('FALTAS POR DECK'!$P$1="Nome","K"&amp;UPPER(SUBSTITUTE(SUBSTITUTE(SUBSTITUTE(C189,"*",""),"?",""),"~",""))&amp;"0"&amp;M189&amp;RIGHT("00000"&amp;ROW(),5),IF('FALTAS POR DECK'!$P$1="Falta (maior primeiro)","K"&amp;RIGHT("0000"&amp;(9999-F189),4)&amp;M189&amp;RIGHT("00000"&amp;ROW(),5),IF('FALTAS POR DECK'!$P$1="Deck e código","K"&amp;RIGHT("00"&amp;IFERROR(MATCH(A189,_LEITURA!$P$2:$P$21,0),99),2)&amp;M189&amp;RIGHT("00000"&amp;ROW(),5),"K"&amp;RIGHT("00000"&amp;ROW(),5))))))</f>
        <v/>
      </c>
      <c r="O189" s="16" t="str">
        <f aca="false">IF(N189="","",COUNTIFS($N$2:$N$1201,"&lt;"&amp;N189,$F$2:$F$1201,"&gt;0")+1)</f>
        <v/>
      </c>
    </row>
    <row r="190" customFormat="false" ht="15" hidden="false" customHeight="false" outlineLevel="0" collapsed="false">
      <c r="A190" s="11" t="str">
        <f aca="false">IF(_LEITURA!$N190="","",INDEX(_LEITURA!$K$2:$K$1201,_LEITURA!$N190))</f>
        <v/>
      </c>
      <c r="B190" s="11" t="str">
        <f aca="false">IF(_LEITURA!$N190="","",INDEX(_LEITURA!$E$2:$E$1201,_LEITURA!$N190))</f>
        <v/>
      </c>
      <c r="C190" s="11" t="str">
        <f aca="false">IF(_LEITURA!$N190="","",INDEX(_LEITURA!$J$2:$J$1201,_LEITURA!$N190))</f>
        <v/>
      </c>
      <c r="D190" s="16" t="str">
        <f aca="false">IF(_LEITURA!$N190="","",INDEX(_LEITURA!$G$2:$G$1201,_LEITURA!$N190))</f>
        <v/>
      </c>
      <c r="E190" s="16" t="str">
        <f aca="false">IF(B190="","",SUMIFS(INVENTÁRIO!$C$2:$C$801,INVENTÁRIO!$A$2:$A$801,B190))</f>
        <v/>
      </c>
      <c r="F190" s="16" t="str">
        <f aca="false">IF(B190="","",MAX(0,D190-E190))</f>
        <v/>
      </c>
      <c r="G190" s="16" t="str">
        <f aca="false">IF(B190="","",IF(COUNTIFS($B$2:$B$1201,B190,$A$2:$A$1201,"&lt;&gt;"&amp;A190)&gt;0,"Sim",""))</f>
        <v/>
      </c>
      <c r="H190" s="16" t="str">
        <f aca="false">IF(N(F190)&gt;0,MAX(H$1:H189)+1,"")</f>
        <v/>
      </c>
      <c r="I190" s="11" t="str">
        <f aca="false">IF(B190="","",IF(INDEX($C$2:$C$1201,MATCH(B190,$B$2:$B$1201,0))&lt;&gt;C190,"Nome diferente em outro deck — revisar",""))</f>
        <v/>
      </c>
      <c r="J190" s="16" t="str">
        <f aca="false">IF(AND(B190&lt;&gt;"",A190=BULK!$A$1,N(F190)&gt;0),MAX(J$1:J189)+1,"")</f>
        <v/>
      </c>
      <c r="K190" s="11" t="str">
        <f aca="false">IF(B190="","",IFERROR(LEFT(B190,FIND("-",B190)-1),B190))</f>
        <v/>
      </c>
      <c r="L190" s="11" t="str">
        <f aca="false">IF(K190="","",IF(ISNUMBER(--MID(K190,1,1)),0,IF(ISNUMBER(--MID(K190,2,1)),1,IF(ISNUMBER(--MID(K190,3,1)),2,IF(ISNUMBER(--MID(K190,4,1)),3,MIN(LEN(K190),4))))))</f>
        <v/>
      </c>
      <c r="M190" s="11" t="str">
        <f aca="false">IF(B190="","",LEFT(K190,L190)&amp;REPT("0",4-L190)&amp;RIGHT("000"&amp;IFERROR(VALUE(MID(K190,L190+1,9)),0),3)&amp;RIGHT("0000"&amp;IFERROR(VALUE(MID(B190,FIND("-",B190)+1,9)),0),4))</f>
        <v/>
      </c>
      <c r="N190" s="11" t="str">
        <f aca="false">IF(OR(B190="",N(F190)&lt;=0),"",IF('FALTAS POR DECK'!$P$1="Código","K"&amp;M190&amp;RIGHT("00000"&amp;ROW(),5),IF('FALTAS POR DECK'!$P$1="Nome","K"&amp;UPPER(SUBSTITUTE(SUBSTITUTE(SUBSTITUTE(C190,"*",""),"?",""),"~",""))&amp;"0"&amp;M190&amp;RIGHT("00000"&amp;ROW(),5),IF('FALTAS POR DECK'!$P$1="Falta (maior primeiro)","K"&amp;RIGHT("0000"&amp;(9999-F190),4)&amp;M190&amp;RIGHT("00000"&amp;ROW(),5),IF('FALTAS POR DECK'!$P$1="Deck e código","K"&amp;RIGHT("00"&amp;IFERROR(MATCH(A190,_LEITURA!$P$2:$P$21,0),99),2)&amp;M190&amp;RIGHT("00000"&amp;ROW(),5),"K"&amp;RIGHT("00000"&amp;ROW(),5))))))</f>
        <v/>
      </c>
      <c r="O190" s="16" t="str">
        <f aca="false">IF(N190="","",COUNTIFS($N$2:$N$1201,"&lt;"&amp;N190,$F$2:$F$1201,"&gt;0")+1)</f>
        <v/>
      </c>
    </row>
    <row r="191" customFormat="false" ht="15" hidden="false" customHeight="false" outlineLevel="0" collapsed="false">
      <c r="A191" s="11" t="str">
        <f aca="false">IF(_LEITURA!$N191="","",INDEX(_LEITURA!$K$2:$K$1201,_LEITURA!$N191))</f>
        <v/>
      </c>
      <c r="B191" s="11" t="str">
        <f aca="false">IF(_LEITURA!$N191="","",INDEX(_LEITURA!$E$2:$E$1201,_LEITURA!$N191))</f>
        <v/>
      </c>
      <c r="C191" s="11" t="str">
        <f aca="false">IF(_LEITURA!$N191="","",INDEX(_LEITURA!$J$2:$J$1201,_LEITURA!$N191))</f>
        <v/>
      </c>
      <c r="D191" s="16" t="str">
        <f aca="false">IF(_LEITURA!$N191="","",INDEX(_LEITURA!$G$2:$G$1201,_LEITURA!$N191))</f>
        <v/>
      </c>
      <c r="E191" s="16" t="str">
        <f aca="false">IF(B191="","",SUMIFS(INVENTÁRIO!$C$2:$C$801,INVENTÁRIO!$A$2:$A$801,B191))</f>
        <v/>
      </c>
      <c r="F191" s="16" t="str">
        <f aca="false">IF(B191="","",MAX(0,D191-E191))</f>
        <v/>
      </c>
      <c r="G191" s="16" t="str">
        <f aca="false">IF(B191="","",IF(COUNTIFS($B$2:$B$1201,B191,$A$2:$A$1201,"&lt;&gt;"&amp;A191)&gt;0,"Sim",""))</f>
        <v/>
      </c>
      <c r="H191" s="16" t="str">
        <f aca="false">IF(N(F191)&gt;0,MAX(H$1:H190)+1,"")</f>
        <v/>
      </c>
      <c r="I191" s="11" t="str">
        <f aca="false">IF(B191="","",IF(INDEX($C$2:$C$1201,MATCH(B191,$B$2:$B$1201,0))&lt;&gt;C191,"Nome diferente em outro deck — revisar",""))</f>
        <v/>
      </c>
      <c r="J191" s="16" t="str">
        <f aca="false">IF(AND(B191&lt;&gt;"",A191=BULK!$A$1,N(F191)&gt;0),MAX(J$1:J190)+1,"")</f>
        <v/>
      </c>
      <c r="K191" s="11" t="str">
        <f aca="false">IF(B191="","",IFERROR(LEFT(B191,FIND("-",B191)-1),B191))</f>
        <v/>
      </c>
      <c r="L191" s="11" t="str">
        <f aca="false">IF(K191="","",IF(ISNUMBER(--MID(K191,1,1)),0,IF(ISNUMBER(--MID(K191,2,1)),1,IF(ISNUMBER(--MID(K191,3,1)),2,IF(ISNUMBER(--MID(K191,4,1)),3,MIN(LEN(K191),4))))))</f>
        <v/>
      </c>
      <c r="M191" s="11" t="str">
        <f aca="false">IF(B191="","",LEFT(K191,L191)&amp;REPT("0",4-L191)&amp;RIGHT("000"&amp;IFERROR(VALUE(MID(K191,L191+1,9)),0),3)&amp;RIGHT("0000"&amp;IFERROR(VALUE(MID(B191,FIND("-",B191)+1,9)),0),4))</f>
        <v/>
      </c>
      <c r="N191" s="11" t="str">
        <f aca="false">IF(OR(B191="",N(F191)&lt;=0),"",IF('FALTAS POR DECK'!$P$1="Código","K"&amp;M191&amp;RIGHT("00000"&amp;ROW(),5),IF('FALTAS POR DECK'!$P$1="Nome","K"&amp;UPPER(SUBSTITUTE(SUBSTITUTE(SUBSTITUTE(C191,"*",""),"?",""),"~",""))&amp;"0"&amp;M191&amp;RIGHT("00000"&amp;ROW(),5),IF('FALTAS POR DECK'!$P$1="Falta (maior primeiro)","K"&amp;RIGHT("0000"&amp;(9999-F191),4)&amp;M191&amp;RIGHT("00000"&amp;ROW(),5),IF('FALTAS POR DECK'!$P$1="Deck e código","K"&amp;RIGHT("00"&amp;IFERROR(MATCH(A191,_LEITURA!$P$2:$P$21,0),99),2)&amp;M191&amp;RIGHT("00000"&amp;ROW(),5),"K"&amp;RIGHT("00000"&amp;ROW(),5))))))</f>
        <v/>
      </c>
      <c r="O191" s="16" t="str">
        <f aca="false">IF(N191="","",COUNTIFS($N$2:$N$1201,"&lt;"&amp;N191,$F$2:$F$1201,"&gt;0")+1)</f>
        <v/>
      </c>
    </row>
    <row r="192" customFormat="false" ht="15" hidden="false" customHeight="false" outlineLevel="0" collapsed="false">
      <c r="A192" s="11" t="str">
        <f aca="false">IF(_LEITURA!$N192="","",INDEX(_LEITURA!$K$2:$K$1201,_LEITURA!$N192))</f>
        <v/>
      </c>
      <c r="B192" s="11" t="str">
        <f aca="false">IF(_LEITURA!$N192="","",INDEX(_LEITURA!$E$2:$E$1201,_LEITURA!$N192))</f>
        <v/>
      </c>
      <c r="C192" s="11" t="str">
        <f aca="false">IF(_LEITURA!$N192="","",INDEX(_LEITURA!$J$2:$J$1201,_LEITURA!$N192))</f>
        <v/>
      </c>
      <c r="D192" s="16" t="str">
        <f aca="false">IF(_LEITURA!$N192="","",INDEX(_LEITURA!$G$2:$G$1201,_LEITURA!$N192))</f>
        <v/>
      </c>
      <c r="E192" s="16" t="str">
        <f aca="false">IF(B192="","",SUMIFS(INVENTÁRIO!$C$2:$C$801,INVENTÁRIO!$A$2:$A$801,B192))</f>
        <v/>
      </c>
      <c r="F192" s="16" t="str">
        <f aca="false">IF(B192="","",MAX(0,D192-E192))</f>
        <v/>
      </c>
      <c r="G192" s="16" t="str">
        <f aca="false">IF(B192="","",IF(COUNTIFS($B$2:$B$1201,B192,$A$2:$A$1201,"&lt;&gt;"&amp;A192)&gt;0,"Sim",""))</f>
        <v/>
      </c>
      <c r="H192" s="16" t="str">
        <f aca="false">IF(N(F192)&gt;0,MAX(H$1:H191)+1,"")</f>
        <v/>
      </c>
      <c r="I192" s="11" t="str">
        <f aca="false">IF(B192="","",IF(INDEX($C$2:$C$1201,MATCH(B192,$B$2:$B$1201,0))&lt;&gt;C192,"Nome diferente em outro deck — revisar",""))</f>
        <v/>
      </c>
      <c r="J192" s="16" t="str">
        <f aca="false">IF(AND(B192&lt;&gt;"",A192=BULK!$A$1,N(F192)&gt;0),MAX(J$1:J191)+1,"")</f>
        <v/>
      </c>
      <c r="K192" s="11" t="str">
        <f aca="false">IF(B192="","",IFERROR(LEFT(B192,FIND("-",B192)-1),B192))</f>
        <v/>
      </c>
      <c r="L192" s="11" t="str">
        <f aca="false">IF(K192="","",IF(ISNUMBER(--MID(K192,1,1)),0,IF(ISNUMBER(--MID(K192,2,1)),1,IF(ISNUMBER(--MID(K192,3,1)),2,IF(ISNUMBER(--MID(K192,4,1)),3,MIN(LEN(K192),4))))))</f>
        <v/>
      </c>
      <c r="M192" s="11" t="str">
        <f aca="false">IF(B192="","",LEFT(K192,L192)&amp;REPT("0",4-L192)&amp;RIGHT("000"&amp;IFERROR(VALUE(MID(K192,L192+1,9)),0),3)&amp;RIGHT("0000"&amp;IFERROR(VALUE(MID(B192,FIND("-",B192)+1,9)),0),4))</f>
        <v/>
      </c>
      <c r="N192" s="11" t="str">
        <f aca="false">IF(OR(B192="",N(F192)&lt;=0),"",IF('FALTAS POR DECK'!$P$1="Código","K"&amp;M192&amp;RIGHT("00000"&amp;ROW(),5),IF('FALTAS POR DECK'!$P$1="Nome","K"&amp;UPPER(SUBSTITUTE(SUBSTITUTE(SUBSTITUTE(C192,"*",""),"?",""),"~",""))&amp;"0"&amp;M192&amp;RIGHT("00000"&amp;ROW(),5),IF('FALTAS POR DECK'!$P$1="Falta (maior primeiro)","K"&amp;RIGHT("0000"&amp;(9999-F192),4)&amp;M192&amp;RIGHT("00000"&amp;ROW(),5),IF('FALTAS POR DECK'!$P$1="Deck e código","K"&amp;RIGHT("00"&amp;IFERROR(MATCH(A192,_LEITURA!$P$2:$P$21,0),99),2)&amp;M192&amp;RIGHT("00000"&amp;ROW(),5),"K"&amp;RIGHT("00000"&amp;ROW(),5))))))</f>
        <v/>
      </c>
      <c r="O192" s="16" t="str">
        <f aca="false">IF(N192="","",COUNTIFS($N$2:$N$1201,"&lt;"&amp;N192,$F$2:$F$1201,"&gt;0")+1)</f>
        <v/>
      </c>
    </row>
    <row r="193" customFormat="false" ht="15" hidden="false" customHeight="false" outlineLevel="0" collapsed="false">
      <c r="A193" s="11" t="str">
        <f aca="false">IF(_LEITURA!$N193="","",INDEX(_LEITURA!$K$2:$K$1201,_LEITURA!$N193))</f>
        <v/>
      </c>
      <c r="B193" s="11" t="str">
        <f aca="false">IF(_LEITURA!$N193="","",INDEX(_LEITURA!$E$2:$E$1201,_LEITURA!$N193))</f>
        <v/>
      </c>
      <c r="C193" s="11" t="str">
        <f aca="false">IF(_LEITURA!$N193="","",INDEX(_LEITURA!$J$2:$J$1201,_LEITURA!$N193))</f>
        <v/>
      </c>
      <c r="D193" s="16" t="str">
        <f aca="false">IF(_LEITURA!$N193="","",INDEX(_LEITURA!$G$2:$G$1201,_LEITURA!$N193))</f>
        <v/>
      </c>
      <c r="E193" s="16" t="str">
        <f aca="false">IF(B193="","",SUMIFS(INVENTÁRIO!$C$2:$C$801,INVENTÁRIO!$A$2:$A$801,B193))</f>
        <v/>
      </c>
      <c r="F193" s="16" t="str">
        <f aca="false">IF(B193="","",MAX(0,D193-E193))</f>
        <v/>
      </c>
      <c r="G193" s="16" t="str">
        <f aca="false">IF(B193="","",IF(COUNTIFS($B$2:$B$1201,B193,$A$2:$A$1201,"&lt;&gt;"&amp;A193)&gt;0,"Sim",""))</f>
        <v/>
      </c>
      <c r="H193" s="16" t="str">
        <f aca="false">IF(N(F193)&gt;0,MAX(H$1:H192)+1,"")</f>
        <v/>
      </c>
      <c r="I193" s="11" t="str">
        <f aca="false">IF(B193="","",IF(INDEX($C$2:$C$1201,MATCH(B193,$B$2:$B$1201,0))&lt;&gt;C193,"Nome diferente em outro deck — revisar",""))</f>
        <v/>
      </c>
      <c r="J193" s="16" t="str">
        <f aca="false">IF(AND(B193&lt;&gt;"",A193=BULK!$A$1,N(F193)&gt;0),MAX(J$1:J192)+1,"")</f>
        <v/>
      </c>
      <c r="K193" s="11" t="str">
        <f aca="false">IF(B193="","",IFERROR(LEFT(B193,FIND("-",B193)-1),B193))</f>
        <v/>
      </c>
      <c r="L193" s="11" t="str">
        <f aca="false">IF(K193="","",IF(ISNUMBER(--MID(K193,1,1)),0,IF(ISNUMBER(--MID(K193,2,1)),1,IF(ISNUMBER(--MID(K193,3,1)),2,IF(ISNUMBER(--MID(K193,4,1)),3,MIN(LEN(K193),4))))))</f>
        <v/>
      </c>
      <c r="M193" s="11" t="str">
        <f aca="false">IF(B193="","",LEFT(K193,L193)&amp;REPT("0",4-L193)&amp;RIGHT("000"&amp;IFERROR(VALUE(MID(K193,L193+1,9)),0),3)&amp;RIGHT("0000"&amp;IFERROR(VALUE(MID(B193,FIND("-",B193)+1,9)),0),4))</f>
        <v/>
      </c>
      <c r="N193" s="11" t="str">
        <f aca="false">IF(OR(B193="",N(F193)&lt;=0),"",IF('FALTAS POR DECK'!$P$1="Código","K"&amp;M193&amp;RIGHT("00000"&amp;ROW(),5),IF('FALTAS POR DECK'!$P$1="Nome","K"&amp;UPPER(SUBSTITUTE(SUBSTITUTE(SUBSTITUTE(C193,"*",""),"?",""),"~",""))&amp;"0"&amp;M193&amp;RIGHT("00000"&amp;ROW(),5),IF('FALTAS POR DECK'!$P$1="Falta (maior primeiro)","K"&amp;RIGHT("0000"&amp;(9999-F193),4)&amp;M193&amp;RIGHT("00000"&amp;ROW(),5),IF('FALTAS POR DECK'!$P$1="Deck e código","K"&amp;RIGHT("00"&amp;IFERROR(MATCH(A193,_LEITURA!$P$2:$P$21,0),99),2)&amp;M193&amp;RIGHT("00000"&amp;ROW(),5),"K"&amp;RIGHT("00000"&amp;ROW(),5))))))</f>
        <v/>
      </c>
      <c r="O193" s="16" t="str">
        <f aca="false">IF(N193="","",COUNTIFS($N$2:$N$1201,"&lt;"&amp;N193,$F$2:$F$1201,"&gt;0")+1)</f>
        <v/>
      </c>
    </row>
    <row r="194" customFormat="false" ht="15" hidden="false" customHeight="false" outlineLevel="0" collapsed="false">
      <c r="A194" s="11" t="str">
        <f aca="false">IF(_LEITURA!$N194="","",INDEX(_LEITURA!$K$2:$K$1201,_LEITURA!$N194))</f>
        <v/>
      </c>
      <c r="B194" s="11" t="str">
        <f aca="false">IF(_LEITURA!$N194="","",INDEX(_LEITURA!$E$2:$E$1201,_LEITURA!$N194))</f>
        <v/>
      </c>
      <c r="C194" s="11" t="str">
        <f aca="false">IF(_LEITURA!$N194="","",INDEX(_LEITURA!$J$2:$J$1201,_LEITURA!$N194))</f>
        <v/>
      </c>
      <c r="D194" s="16" t="str">
        <f aca="false">IF(_LEITURA!$N194="","",INDEX(_LEITURA!$G$2:$G$1201,_LEITURA!$N194))</f>
        <v/>
      </c>
      <c r="E194" s="16" t="str">
        <f aca="false">IF(B194="","",SUMIFS(INVENTÁRIO!$C$2:$C$801,INVENTÁRIO!$A$2:$A$801,B194))</f>
        <v/>
      </c>
      <c r="F194" s="16" t="str">
        <f aca="false">IF(B194="","",MAX(0,D194-E194))</f>
        <v/>
      </c>
      <c r="G194" s="16" t="str">
        <f aca="false">IF(B194="","",IF(COUNTIFS($B$2:$B$1201,B194,$A$2:$A$1201,"&lt;&gt;"&amp;A194)&gt;0,"Sim",""))</f>
        <v/>
      </c>
      <c r="H194" s="16" t="str">
        <f aca="false">IF(N(F194)&gt;0,MAX(H$1:H193)+1,"")</f>
        <v/>
      </c>
      <c r="I194" s="11" t="str">
        <f aca="false">IF(B194="","",IF(INDEX($C$2:$C$1201,MATCH(B194,$B$2:$B$1201,0))&lt;&gt;C194,"Nome diferente em outro deck — revisar",""))</f>
        <v/>
      </c>
      <c r="J194" s="16" t="str">
        <f aca="false">IF(AND(B194&lt;&gt;"",A194=BULK!$A$1,N(F194)&gt;0),MAX(J$1:J193)+1,"")</f>
        <v/>
      </c>
      <c r="K194" s="11" t="str">
        <f aca="false">IF(B194="","",IFERROR(LEFT(B194,FIND("-",B194)-1),B194))</f>
        <v/>
      </c>
      <c r="L194" s="11" t="str">
        <f aca="false">IF(K194="","",IF(ISNUMBER(--MID(K194,1,1)),0,IF(ISNUMBER(--MID(K194,2,1)),1,IF(ISNUMBER(--MID(K194,3,1)),2,IF(ISNUMBER(--MID(K194,4,1)),3,MIN(LEN(K194),4))))))</f>
        <v/>
      </c>
      <c r="M194" s="11" t="str">
        <f aca="false">IF(B194="","",LEFT(K194,L194)&amp;REPT("0",4-L194)&amp;RIGHT("000"&amp;IFERROR(VALUE(MID(K194,L194+1,9)),0),3)&amp;RIGHT("0000"&amp;IFERROR(VALUE(MID(B194,FIND("-",B194)+1,9)),0),4))</f>
        <v/>
      </c>
      <c r="N194" s="11" t="str">
        <f aca="false">IF(OR(B194="",N(F194)&lt;=0),"",IF('FALTAS POR DECK'!$P$1="Código","K"&amp;M194&amp;RIGHT("00000"&amp;ROW(),5),IF('FALTAS POR DECK'!$P$1="Nome","K"&amp;UPPER(SUBSTITUTE(SUBSTITUTE(SUBSTITUTE(C194,"*",""),"?",""),"~",""))&amp;"0"&amp;M194&amp;RIGHT("00000"&amp;ROW(),5),IF('FALTAS POR DECK'!$P$1="Falta (maior primeiro)","K"&amp;RIGHT("0000"&amp;(9999-F194),4)&amp;M194&amp;RIGHT("00000"&amp;ROW(),5),IF('FALTAS POR DECK'!$P$1="Deck e código","K"&amp;RIGHT("00"&amp;IFERROR(MATCH(A194,_LEITURA!$P$2:$P$21,0),99),2)&amp;M194&amp;RIGHT("00000"&amp;ROW(),5),"K"&amp;RIGHT("00000"&amp;ROW(),5))))))</f>
        <v/>
      </c>
      <c r="O194" s="16" t="str">
        <f aca="false">IF(N194="","",COUNTIFS($N$2:$N$1201,"&lt;"&amp;N194,$F$2:$F$1201,"&gt;0")+1)</f>
        <v/>
      </c>
    </row>
    <row r="195" customFormat="false" ht="15" hidden="false" customHeight="false" outlineLevel="0" collapsed="false">
      <c r="A195" s="11" t="str">
        <f aca="false">IF(_LEITURA!$N195="","",INDEX(_LEITURA!$K$2:$K$1201,_LEITURA!$N195))</f>
        <v/>
      </c>
      <c r="B195" s="11" t="str">
        <f aca="false">IF(_LEITURA!$N195="","",INDEX(_LEITURA!$E$2:$E$1201,_LEITURA!$N195))</f>
        <v/>
      </c>
      <c r="C195" s="11" t="str">
        <f aca="false">IF(_LEITURA!$N195="","",INDEX(_LEITURA!$J$2:$J$1201,_LEITURA!$N195))</f>
        <v/>
      </c>
      <c r="D195" s="16" t="str">
        <f aca="false">IF(_LEITURA!$N195="","",INDEX(_LEITURA!$G$2:$G$1201,_LEITURA!$N195))</f>
        <v/>
      </c>
      <c r="E195" s="16" t="str">
        <f aca="false">IF(B195="","",SUMIFS(INVENTÁRIO!$C$2:$C$801,INVENTÁRIO!$A$2:$A$801,B195))</f>
        <v/>
      </c>
      <c r="F195" s="16" t="str">
        <f aca="false">IF(B195="","",MAX(0,D195-E195))</f>
        <v/>
      </c>
      <c r="G195" s="16" t="str">
        <f aca="false">IF(B195="","",IF(COUNTIFS($B$2:$B$1201,B195,$A$2:$A$1201,"&lt;&gt;"&amp;A195)&gt;0,"Sim",""))</f>
        <v/>
      </c>
      <c r="H195" s="16" t="str">
        <f aca="false">IF(N(F195)&gt;0,MAX(H$1:H194)+1,"")</f>
        <v/>
      </c>
      <c r="I195" s="11" t="str">
        <f aca="false">IF(B195="","",IF(INDEX($C$2:$C$1201,MATCH(B195,$B$2:$B$1201,0))&lt;&gt;C195,"Nome diferente em outro deck — revisar",""))</f>
        <v/>
      </c>
      <c r="J195" s="16" t="str">
        <f aca="false">IF(AND(B195&lt;&gt;"",A195=BULK!$A$1,N(F195)&gt;0),MAX(J$1:J194)+1,"")</f>
        <v/>
      </c>
      <c r="K195" s="11" t="str">
        <f aca="false">IF(B195="","",IFERROR(LEFT(B195,FIND("-",B195)-1),B195))</f>
        <v/>
      </c>
      <c r="L195" s="11" t="str">
        <f aca="false">IF(K195="","",IF(ISNUMBER(--MID(K195,1,1)),0,IF(ISNUMBER(--MID(K195,2,1)),1,IF(ISNUMBER(--MID(K195,3,1)),2,IF(ISNUMBER(--MID(K195,4,1)),3,MIN(LEN(K195),4))))))</f>
        <v/>
      </c>
      <c r="M195" s="11" t="str">
        <f aca="false">IF(B195="","",LEFT(K195,L195)&amp;REPT("0",4-L195)&amp;RIGHT("000"&amp;IFERROR(VALUE(MID(K195,L195+1,9)),0),3)&amp;RIGHT("0000"&amp;IFERROR(VALUE(MID(B195,FIND("-",B195)+1,9)),0),4))</f>
        <v/>
      </c>
      <c r="N195" s="11" t="str">
        <f aca="false">IF(OR(B195="",N(F195)&lt;=0),"",IF('FALTAS POR DECK'!$P$1="Código","K"&amp;M195&amp;RIGHT("00000"&amp;ROW(),5),IF('FALTAS POR DECK'!$P$1="Nome","K"&amp;UPPER(SUBSTITUTE(SUBSTITUTE(SUBSTITUTE(C195,"*",""),"?",""),"~",""))&amp;"0"&amp;M195&amp;RIGHT("00000"&amp;ROW(),5),IF('FALTAS POR DECK'!$P$1="Falta (maior primeiro)","K"&amp;RIGHT("0000"&amp;(9999-F195),4)&amp;M195&amp;RIGHT("00000"&amp;ROW(),5),IF('FALTAS POR DECK'!$P$1="Deck e código","K"&amp;RIGHT("00"&amp;IFERROR(MATCH(A195,_LEITURA!$P$2:$P$21,0),99),2)&amp;M195&amp;RIGHT("00000"&amp;ROW(),5),"K"&amp;RIGHT("00000"&amp;ROW(),5))))))</f>
        <v/>
      </c>
      <c r="O195" s="16" t="str">
        <f aca="false">IF(N195="","",COUNTIFS($N$2:$N$1201,"&lt;"&amp;N195,$F$2:$F$1201,"&gt;0")+1)</f>
        <v/>
      </c>
    </row>
    <row r="196" customFormat="false" ht="15" hidden="false" customHeight="false" outlineLevel="0" collapsed="false">
      <c r="A196" s="11" t="str">
        <f aca="false">IF(_LEITURA!$N196="","",INDEX(_LEITURA!$K$2:$K$1201,_LEITURA!$N196))</f>
        <v/>
      </c>
      <c r="B196" s="11" t="str">
        <f aca="false">IF(_LEITURA!$N196="","",INDEX(_LEITURA!$E$2:$E$1201,_LEITURA!$N196))</f>
        <v/>
      </c>
      <c r="C196" s="11" t="str">
        <f aca="false">IF(_LEITURA!$N196="","",INDEX(_LEITURA!$J$2:$J$1201,_LEITURA!$N196))</f>
        <v/>
      </c>
      <c r="D196" s="16" t="str">
        <f aca="false">IF(_LEITURA!$N196="","",INDEX(_LEITURA!$G$2:$G$1201,_LEITURA!$N196))</f>
        <v/>
      </c>
      <c r="E196" s="16" t="str">
        <f aca="false">IF(B196="","",SUMIFS(INVENTÁRIO!$C$2:$C$801,INVENTÁRIO!$A$2:$A$801,B196))</f>
        <v/>
      </c>
      <c r="F196" s="16" t="str">
        <f aca="false">IF(B196="","",MAX(0,D196-E196))</f>
        <v/>
      </c>
      <c r="G196" s="16" t="str">
        <f aca="false">IF(B196="","",IF(COUNTIFS($B$2:$B$1201,B196,$A$2:$A$1201,"&lt;&gt;"&amp;A196)&gt;0,"Sim",""))</f>
        <v/>
      </c>
      <c r="H196" s="16" t="str">
        <f aca="false">IF(N(F196)&gt;0,MAX(H$1:H195)+1,"")</f>
        <v/>
      </c>
      <c r="I196" s="11" t="str">
        <f aca="false">IF(B196="","",IF(INDEX($C$2:$C$1201,MATCH(B196,$B$2:$B$1201,0))&lt;&gt;C196,"Nome diferente em outro deck — revisar",""))</f>
        <v/>
      </c>
      <c r="J196" s="16" t="str">
        <f aca="false">IF(AND(B196&lt;&gt;"",A196=BULK!$A$1,N(F196)&gt;0),MAX(J$1:J195)+1,"")</f>
        <v/>
      </c>
      <c r="K196" s="11" t="str">
        <f aca="false">IF(B196="","",IFERROR(LEFT(B196,FIND("-",B196)-1),B196))</f>
        <v/>
      </c>
      <c r="L196" s="11" t="str">
        <f aca="false">IF(K196="","",IF(ISNUMBER(--MID(K196,1,1)),0,IF(ISNUMBER(--MID(K196,2,1)),1,IF(ISNUMBER(--MID(K196,3,1)),2,IF(ISNUMBER(--MID(K196,4,1)),3,MIN(LEN(K196),4))))))</f>
        <v/>
      </c>
      <c r="M196" s="11" t="str">
        <f aca="false">IF(B196="","",LEFT(K196,L196)&amp;REPT("0",4-L196)&amp;RIGHT("000"&amp;IFERROR(VALUE(MID(K196,L196+1,9)),0),3)&amp;RIGHT("0000"&amp;IFERROR(VALUE(MID(B196,FIND("-",B196)+1,9)),0),4))</f>
        <v/>
      </c>
      <c r="N196" s="11" t="str">
        <f aca="false">IF(OR(B196="",N(F196)&lt;=0),"",IF('FALTAS POR DECK'!$P$1="Código","K"&amp;M196&amp;RIGHT("00000"&amp;ROW(),5),IF('FALTAS POR DECK'!$P$1="Nome","K"&amp;UPPER(SUBSTITUTE(SUBSTITUTE(SUBSTITUTE(C196,"*",""),"?",""),"~",""))&amp;"0"&amp;M196&amp;RIGHT("00000"&amp;ROW(),5),IF('FALTAS POR DECK'!$P$1="Falta (maior primeiro)","K"&amp;RIGHT("0000"&amp;(9999-F196),4)&amp;M196&amp;RIGHT("00000"&amp;ROW(),5),IF('FALTAS POR DECK'!$P$1="Deck e código","K"&amp;RIGHT("00"&amp;IFERROR(MATCH(A196,_LEITURA!$P$2:$P$21,0),99),2)&amp;M196&amp;RIGHT("00000"&amp;ROW(),5),"K"&amp;RIGHT("00000"&amp;ROW(),5))))))</f>
        <v/>
      </c>
      <c r="O196" s="16" t="str">
        <f aca="false">IF(N196="","",COUNTIFS($N$2:$N$1201,"&lt;"&amp;N196,$F$2:$F$1201,"&gt;0")+1)</f>
        <v/>
      </c>
    </row>
    <row r="197" customFormat="false" ht="15" hidden="false" customHeight="false" outlineLevel="0" collapsed="false">
      <c r="A197" s="11" t="str">
        <f aca="false">IF(_LEITURA!$N197="","",INDEX(_LEITURA!$K$2:$K$1201,_LEITURA!$N197))</f>
        <v/>
      </c>
      <c r="B197" s="11" t="str">
        <f aca="false">IF(_LEITURA!$N197="","",INDEX(_LEITURA!$E$2:$E$1201,_LEITURA!$N197))</f>
        <v/>
      </c>
      <c r="C197" s="11" t="str">
        <f aca="false">IF(_LEITURA!$N197="","",INDEX(_LEITURA!$J$2:$J$1201,_LEITURA!$N197))</f>
        <v/>
      </c>
      <c r="D197" s="16" t="str">
        <f aca="false">IF(_LEITURA!$N197="","",INDEX(_LEITURA!$G$2:$G$1201,_LEITURA!$N197))</f>
        <v/>
      </c>
      <c r="E197" s="16" t="str">
        <f aca="false">IF(B197="","",SUMIFS(INVENTÁRIO!$C$2:$C$801,INVENTÁRIO!$A$2:$A$801,B197))</f>
        <v/>
      </c>
      <c r="F197" s="16" t="str">
        <f aca="false">IF(B197="","",MAX(0,D197-E197))</f>
        <v/>
      </c>
      <c r="G197" s="16" t="str">
        <f aca="false">IF(B197="","",IF(COUNTIFS($B$2:$B$1201,B197,$A$2:$A$1201,"&lt;&gt;"&amp;A197)&gt;0,"Sim",""))</f>
        <v/>
      </c>
      <c r="H197" s="16" t="str">
        <f aca="false">IF(N(F197)&gt;0,MAX(H$1:H196)+1,"")</f>
        <v/>
      </c>
      <c r="I197" s="11" t="str">
        <f aca="false">IF(B197="","",IF(INDEX($C$2:$C$1201,MATCH(B197,$B$2:$B$1201,0))&lt;&gt;C197,"Nome diferente em outro deck — revisar",""))</f>
        <v/>
      </c>
      <c r="J197" s="16" t="str">
        <f aca="false">IF(AND(B197&lt;&gt;"",A197=BULK!$A$1,N(F197)&gt;0),MAX(J$1:J196)+1,"")</f>
        <v/>
      </c>
      <c r="K197" s="11" t="str">
        <f aca="false">IF(B197="","",IFERROR(LEFT(B197,FIND("-",B197)-1),B197))</f>
        <v/>
      </c>
      <c r="L197" s="11" t="str">
        <f aca="false">IF(K197="","",IF(ISNUMBER(--MID(K197,1,1)),0,IF(ISNUMBER(--MID(K197,2,1)),1,IF(ISNUMBER(--MID(K197,3,1)),2,IF(ISNUMBER(--MID(K197,4,1)),3,MIN(LEN(K197),4))))))</f>
        <v/>
      </c>
      <c r="M197" s="11" t="str">
        <f aca="false">IF(B197="","",LEFT(K197,L197)&amp;REPT("0",4-L197)&amp;RIGHT("000"&amp;IFERROR(VALUE(MID(K197,L197+1,9)),0),3)&amp;RIGHT("0000"&amp;IFERROR(VALUE(MID(B197,FIND("-",B197)+1,9)),0),4))</f>
        <v/>
      </c>
      <c r="N197" s="11" t="str">
        <f aca="false">IF(OR(B197="",N(F197)&lt;=0),"",IF('FALTAS POR DECK'!$P$1="Código","K"&amp;M197&amp;RIGHT("00000"&amp;ROW(),5),IF('FALTAS POR DECK'!$P$1="Nome","K"&amp;UPPER(SUBSTITUTE(SUBSTITUTE(SUBSTITUTE(C197,"*",""),"?",""),"~",""))&amp;"0"&amp;M197&amp;RIGHT("00000"&amp;ROW(),5),IF('FALTAS POR DECK'!$P$1="Falta (maior primeiro)","K"&amp;RIGHT("0000"&amp;(9999-F197),4)&amp;M197&amp;RIGHT("00000"&amp;ROW(),5),IF('FALTAS POR DECK'!$P$1="Deck e código","K"&amp;RIGHT("00"&amp;IFERROR(MATCH(A197,_LEITURA!$P$2:$P$21,0),99),2)&amp;M197&amp;RIGHT("00000"&amp;ROW(),5),"K"&amp;RIGHT("00000"&amp;ROW(),5))))))</f>
        <v/>
      </c>
      <c r="O197" s="16" t="str">
        <f aca="false">IF(N197="","",COUNTIFS($N$2:$N$1201,"&lt;"&amp;N197,$F$2:$F$1201,"&gt;0")+1)</f>
        <v/>
      </c>
    </row>
    <row r="198" customFormat="false" ht="15" hidden="false" customHeight="false" outlineLevel="0" collapsed="false">
      <c r="A198" s="11" t="str">
        <f aca="false">IF(_LEITURA!$N198="","",INDEX(_LEITURA!$K$2:$K$1201,_LEITURA!$N198))</f>
        <v/>
      </c>
      <c r="B198" s="11" t="str">
        <f aca="false">IF(_LEITURA!$N198="","",INDEX(_LEITURA!$E$2:$E$1201,_LEITURA!$N198))</f>
        <v/>
      </c>
      <c r="C198" s="11" t="str">
        <f aca="false">IF(_LEITURA!$N198="","",INDEX(_LEITURA!$J$2:$J$1201,_LEITURA!$N198))</f>
        <v/>
      </c>
      <c r="D198" s="16" t="str">
        <f aca="false">IF(_LEITURA!$N198="","",INDEX(_LEITURA!$G$2:$G$1201,_LEITURA!$N198))</f>
        <v/>
      </c>
      <c r="E198" s="16" t="str">
        <f aca="false">IF(B198="","",SUMIFS(INVENTÁRIO!$C$2:$C$801,INVENTÁRIO!$A$2:$A$801,B198))</f>
        <v/>
      </c>
      <c r="F198" s="16" t="str">
        <f aca="false">IF(B198="","",MAX(0,D198-E198))</f>
        <v/>
      </c>
      <c r="G198" s="16" t="str">
        <f aca="false">IF(B198="","",IF(COUNTIFS($B$2:$B$1201,B198,$A$2:$A$1201,"&lt;&gt;"&amp;A198)&gt;0,"Sim",""))</f>
        <v/>
      </c>
      <c r="H198" s="16" t="str">
        <f aca="false">IF(N(F198)&gt;0,MAX(H$1:H197)+1,"")</f>
        <v/>
      </c>
      <c r="I198" s="11" t="str">
        <f aca="false">IF(B198="","",IF(INDEX($C$2:$C$1201,MATCH(B198,$B$2:$B$1201,0))&lt;&gt;C198,"Nome diferente em outro deck — revisar",""))</f>
        <v/>
      </c>
      <c r="J198" s="16" t="str">
        <f aca="false">IF(AND(B198&lt;&gt;"",A198=BULK!$A$1,N(F198)&gt;0),MAX(J$1:J197)+1,"")</f>
        <v/>
      </c>
      <c r="K198" s="11" t="str">
        <f aca="false">IF(B198="","",IFERROR(LEFT(B198,FIND("-",B198)-1),B198))</f>
        <v/>
      </c>
      <c r="L198" s="11" t="str">
        <f aca="false">IF(K198="","",IF(ISNUMBER(--MID(K198,1,1)),0,IF(ISNUMBER(--MID(K198,2,1)),1,IF(ISNUMBER(--MID(K198,3,1)),2,IF(ISNUMBER(--MID(K198,4,1)),3,MIN(LEN(K198),4))))))</f>
        <v/>
      </c>
      <c r="M198" s="11" t="str">
        <f aca="false">IF(B198="","",LEFT(K198,L198)&amp;REPT("0",4-L198)&amp;RIGHT("000"&amp;IFERROR(VALUE(MID(K198,L198+1,9)),0),3)&amp;RIGHT("0000"&amp;IFERROR(VALUE(MID(B198,FIND("-",B198)+1,9)),0),4))</f>
        <v/>
      </c>
      <c r="N198" s="11" t="str">
        <f aca="false">IF(OR(B198="",N(F198)&lt;=0),"",IF('FALTAS POR DECK'!$P$1="Código","K"&amp;M198&amp;RIGHT("00000"&amp;ROW(),5),IF('FALTAS POR DECK'!$P$1="Nome","K"&amp;UPPER(SUBSTITUTE(SUBSTITUTE(SUBSTITUTE(C198,"*",""),"?",""),"~",""))&amp;"0"&amp;M198&amp;RIGHT("00000"&amp;ROW(),5),IF('FALTAS POR DECK'!$P$1="Falta (maior primeiro)","K"&amp;RIGHT("0000"&amp;(9999-F198),4)&amp;M198&amp;RIGHT("00000"&amp;ROW(),5),IF('FALTAS POR DECK'!$P$1="Deck e código","K"&amp;RIGHT("00"&amp;IFERROR(MATCH(A198,_LEITURA!$P$2:$P$21,0),99),2)&amp;M198&amp;RIGHT("00000"&amp;ROW(),5),"K"&amp;RIGHT("00000"&amp;ROW(),5))))))</f>
        <v/>
      </c>
      <c r="O198" s="16" t="str">
        <f aca="false">IF(N198="","",COUNTIFS($N$2:$N$1201,"&lt;"&amp;N198,$F$2:$F$1201,"&gt;0")+1)</f>
        <v/>
      </c>
    </row>
    <row r="199" customFormat="false" ht="15" hidden="false" customHeight="false" outlineLevel="0" collapsed="false">
      <c r="A199" s="11" t="str">
        <f aca="false">IF(_LEITURA!$N199="","",INDEX(_LEITURA!$K$2:$K$1201,_LEITURA!$N199))</f>
        <v/>
      </c>
      <c r="B199" s="11" t="str">
        <f aca="false">IF(_LEITURA!$N199="","",INDEX(_LEITURA!$E$2:$E$1201,_LEITURA!$N199))</f>
        <v/>
      </c>
      <c r="C199" s="11" t="str">
        <f aca="false">IF(_LEITURA!$N199="","",INDEX(_LEITURA!$J$2:$J$1201,_LEITURA!$N199))</f>
        <v/>
      </c>
      <c r="D199" s="16" t="str">
        <f aca="false">IF(_LEITURA!$N199="","",INDEX(_LEITURA!$G$2:$G$1201,_LEITURA!$N199))</f>
        <v/>
      </c>
      <c r="E199" s="16" t="str">
        <f aca="false">IF(B199="","",SUMIFS(INVENTÁRIO!$C$2:$C$801,INVENTÁRIO!$A$2:$A$801,B199))</f>
        <v/>
      </c>
      <c r="F199" s="16" t="str">
        <f aca="false">IF(B199="","",MAX(0,D199-E199))</f>
        <v/>
      </c>
      <c r="G199" s="16" t="str">
        <f aca="false">IF(B199="","",IF(COUNTIFS($B$2:$B$1201,B199,$A$2:$A$1201,"&lt;&gt;"&amp;A199)&gt;0,"Sim",""))</f>
        <v/>
      </c>
      <c r="H199" s="16" t="str">
        <f aca="false">IF(N(F199)&gt;0,MAX(H$1:H198)+1,"")</f>
        <v/>
      </c>
      <c r="I199" s="11" t="str">
        <f aca="false">IF(B199="","",IF(INDEX($C$2:$C$1201,MATCH(B199,$B$2:$B$1201,0))&lt;&gt;C199,"Nome diferente em outro deck — revisar",""))</f>
        <v/>
      </c>
      <c r="J199" s="16" t="str">
        <f aca="false">IF(AND(B199&lt;&gt;"",A199=BULK!$A$1,N(F199)&gt;0),MAX(J$1:J198)+1,"")</f>
        <v/>
      </c>
      <c r="K199" s="11" t="str">
        <f aca="false">IF(B199="","",IFERROR(LEFT(B199,FIND("-",B199)-1),B199))</f>
        <v/>
      </c>
      <c r="L199" s="11" t="str">
        <f aca="false">IF(K199="","",IF(ISNUMBER(--MID(K199,1,1)),0,IF(ISNUMBER(--MID(K199,2,1)),1,IF(ISNUMBER(--MID(K199,3,1)),2,IF(ISNUMBER(--MID(K199,4,1)),3,MIN(LEN(K199),4))))))</f>
        <v/>
      </c>
      <c r="M199" s="11" t="str">
        <f aca="false">IF(B199="","",LEFT(K199,L199)&amp;REPT("0",4-L199)&amp;RIGHT("000"&amp;IFERROR(VALUE(MID(K199,L199+1,9)),0),3)&amp;RIGHT("0000"&amp;IFERROR(VALUE(MID(B199,FIND("-",B199)+1,9)),0),4))</f>
        <v/>
      </c>
      <c r="N199" s="11" t="str">
        <f aca="false">IF(OR(B199="",N(F199)&lt;=0),"",IF('FALTAS POR DECK'!$P$1="Código","K"&amp;M199&amp;RIGHT("00000"&amp;ROW(),5),IF('FALTAS POR DECK'!$P$1="Nome","K"&amp;UPPER(SUBSTITUTE(SUBSTITUTE(SUBSTITUTE(C199,"*",""),"?",""),"~",""))&amp;"0"&amp;M199&amp;RIGHT("00000"&amp;ROW(),5),IF('FALTAS POR DECK'!$P$1="Falta (maior primeiro)","K"&amp;RIGHT("0000"&amp;(9999-F199),4)&amp;M199&amp;RIGHT("00000"&amp;ROW(),5),IF('FALTAS POR DECK'!$P$1="Deck e código","K"&amp;RIGHT("00"&amp;IFERROR(MATCH(A199,_LEITURA!$P$2:$P$21,0),99),2)&amp;M199&amp;RIGHT("00000"&amp;ROW(),5),"K"&amp;RIGHT("00000"&amp;ROW(),5))))))</f>
        <v/>
      </c>
      <c r="O199" s="16" t="str">
        <f aca="false">IF(N199="","",COUNTIFS($N$2:$N$1201,"&lt;"&amp;N199,$F$2:$F$1201,"&gt;0")+1)</f>
        <v/>
      </c>
    </row>
    <row r="200" customFormat="false" ht="15" hidden="false" customHeight="false" outlineLevel="0" collapsed="false">
      <c r="A200" s="11" t="str">
        <f aca="false">IF(_LEITURA!$N200="","",INDEX(_LEITURA!$K$2:$K$1201,_LEITURA!$N200))</f>
        <v/>
      </c>
      <c r="B200" s="11" t="str">
        <f aca="false">IF(_LEITURA!$N200="","",INDEX(_LEITURA!$E$2:$E$1201,_LEITURA!$N200))</f>
        <v/>
      </c>
      <c r="C200" s="11" t="str">
        <f aca="false">IF(_LEITURA!$N200="","",INDEX(_LEITURA!$J$2:$J$1201,_LEITURA!$N200))</f>
        <v/>
      </c>
      <c r="D200" s="16" t="str">
        <f aca="false">IF(_LEITURA!$N200="","",INDEX(_LEITURA!$G$2:$G$1201,_LEITURA!$N200))</f>
        <v/>
      </c>
      <c r="E200" s="16" t="str">
        <f aca="false">IF(B200="","",SUMIFS(INVENTÁRIO!$C$2:$C$801,INVENTÁRIO!$A$2:$A$801,B200))</f>
        <v/>
      </c>
      <c r="F200" s="16" t="str">
        <f aca="false">IF(B200="","",MAX(0,D200-E200))</f>
        <v/>
      </c>
      <c r="G200" s="16" t="str">
        <f aca="false">IF(B200="","",IF(COUNTIFS($B$2:$B$1201,B200,$A$2:$A$1201,"&lt;&gt;"&amp;A200)&gt;0,"Sim",""))</f>
        <v/>
      </c>
      <c r="H200" s="16" t="str">
        <f aca="false">IF(N(F200)&gt;0,MAX(H$1:H199)+1,"")</f>
        <v/>
      </c>
      <c r="I200" s="11" t="str">
        <f aca="false">IF(B200="","",IF(INDEX($C$2:$C$1201,MATCH(B200,$B$2:$B$1201,0))&lt;&gt;C200,"Nome diferente em outro deck — revisar",""))</f>
        <v/>
      </c>
      <c r="J200" s="16" t="str">
        <f aca="false">IF(AND(B200&lt;&gt;"",A200=BULK!$A$1,N(F200)&gt;0),MAX(J$1:J199)+1,"")</f>
        <v/>
      </c>
      <c r="K200" s="11" t="str">
        <f aca="false">IF(B200="","",IFERROR(LEFT(B200,FIND("-",B200)-1),B200))</f>
        <v/>
      </c>
      <c r="L200" s="11" t="str">
        <f aca="false">IF(K200="","",IF(ISNUMBER(--MID(K200,1,1)),0,IF(ISNUMBER(--MID(K200,2,1)),1,IF(ISNUMBER(--MID(K200,3,1)),2,IF(ISNUMBER(--MID(K200,4,1)),3,MIN(LEN(K200),4))))))</f>
        <v/>
      </c>
      <c r="M200" s="11" t="str">
        <f aca="false">IF(B200="","",LEFT(K200,L200)&amp;REPT("0",4-L200)&amp;RIGHT("000"&amp;IFERROR(VALUE(MID(K200,L200+1,9)),0),3)&amp;RIGHT("0000"&amp;IFERROR(VALUE(MID(B200,FIND("-",B200)+1,9)),0),4))</f>
        <v/>
      </c>
      <c r="N200" s="11" t="str">
        <f aca="false">IF(OR(B200="",N(F200)&lt;=0),"",IF('FALTAS POR DECK'!$P$1="Código","K"&amp;M200&amp;RIGHT("00000"&amp;ROW(),5),IF('FALTAS POR DECK'!$P$1="Nome","K"&amp;UPPER(SUBSTITUTE(SUBSTITUTE(SUBSTITUTE(C200,"*",""),"?",""),"~",""))&amp;"0"&amp;M200&amp;RIGHT("00000"&amp;ROW(),5),IF('FALTAS POR DECK'!$P$1="Falta (maior primeiro)","K"&amp;RIGHT("0000"&amp;(9999-F200),4)&amp;M200&amp;RIGHT("00000"&amp;ROW(),5),IF('FALTAS POR DECK'!$P$1="Deck e código","K"&amp;RIGHT("00"&amp;IFERROR(MATCH(A200,_LEITURA!$P$2:$P$21,0),99),2)&amp;M200&amp;RIGHT("00000"&amp;ROW(),5),"K"&amp;RIGHT("00000"&amp;ROW(),5))))))</f>
        <v/>
      </c>
      <c r="O200" s="16" t="str">
        <f aca="false">IF(N200="","",COUNTIFS($N$2:$N$1201,"&lt;"&amp;N200,$F$2:$F$1201,"&gt;0")+1)</f>
        <v/>
      </c>
    </row>
    <row r="201" customFormat="false" ht="15" hidden="false" customHeight="false" outlineLevel="0" collapsed="false">
      <c r="A201" s="11" t="str">
        <f aca="false">IF(_LEITURA!$N201="","",INDEX(_LEITURA!$K$2:$K$1201,_LEITURA!$N201))</f>
        <v/>
      </c>
      <c r="B201" s="11" t="str">
        <f aca="false">IF(_LEITURA!$N201="","",INDEX(_LEITURA!$E$2:$E$1201,_LEITURA!$N201))</f>
        <v/>
      </c>
      <c r="C201" s="11" t="str">
        <f aca="false">IF(_LEITURA!$N201="","",INDEX(_LEITURA!$J$2:$J$1201,_LEITURA!$N201))</f>
        <v/>
      </c>
      <c r="D201" s="16" t="str">
        <f aca="false">IF(_LEITURA!$N201="","",INDEX(_LEITURA!$G$2:$G$1201,_LEITURA!$N201))</f>
        <v/>
      </c>
      <c r="E201" s="16" t="str">
        <f aca="false">IF(B201="","",SUMIFS(INVENTÁRIO!$C$2:$C$801,INVENTÁRIO!$A$2:$A$801,B201))</f>
        <v/>
      </c>
      <c r="F201" s="16" t="str">
        <f aca="false">IF(B201="","",MAX(0,D201-E201))</f>
        <v/>
      </c>
      <c r="G201" s="16" t="str">
        <f aca="false">IF(B201="","",IF(COUNTIFS($B$2:$B$1201,B201,$A$2:$A$1201,"&lt;&gt;"&amp;A201)&gt;0,"Sim",""))</f>
        <v/>
      </c>
      <c r="H201" s="16" t="str">
        <f aca="false">IF(N(F201)&gt;0,MAX(H$1:H200)+1,"")</f>
        <v/>
      </c>
      <c r="I201" s="11" t="str">
        <f aca="false">IF(B201="","",IF(INDEX($C$2:$C$1201,MATCH(B201,$B$2:$B$1201,0))&lt;&gt;C201,"Nome diferente em outro deck — revisar",""))</f>
        <v/>
      </c>
      <c r="J201" s="16" t="str">
        <f aca="false">IF(AND(B201&lt;&gt;"",A201=BULK!$A$1,N(F201)&gt;0),MAX(J$1:J200)+1,"")</f>
        <v/>
      </c>
      <c r="K201" s="11" t="str">
        <f aca="false">IF(B201="","",IFERROR(LEFT(B201,FIND("-",B201)-1),B201))</f>
        <v/>
      </c>
      <c r="L201" s="11" t="str">
        <f aca="false">IF(K201="","",IF(ISNUMBER(--MID(K201,1,1)),0,IF(ISNUMBER(--MID(K201,2,1)),1,IF(ISNUMBER(--MID(K201,3,1)),2,IF(ISNUMBER(--MID(K201,4,1)),3,MIN(LEN(K201),4))))))</f>
        <v/>
      </c>
      <c r="M201" s="11" t="str">
        <f aca="false">IF(B201="","",LEFT(K201,L201)&amp;REPT("0",4-L201)&amp;RIGHT("000"&amp;IFERROR(VALUE(MID(K201,L201+1,9)),0),3)&amp;RIGHT("0000"&amp;IFERROR(VALUE(MID(B201,FIND("-",B201)+1,9)),0),4))</f>
        <v/>
      </c>
      <c r="N201" s="11" t="str">
        <f aca="false">IF(OR(B201="",N(F201)&lt;=0),"",IF('FALTAS POR DECK'!$P$1="Código","K"&amp;M201&amp;RIGHT("00000"&amp;ROW(),5),IF('FALTAS POR DECK'!$P$1="Nome","K"&amp;UPPER(SUBSTITUTE(SUBSTITUTE(SUBSTITUTE(C201,"*",""),"?",""),"~",""))&amp;"0"&amp;M201&amp;RIGHT("00000"&amp;ROW(),5),IF('FALTAS POR DECK'!$P$1="Falta (maior primeiro)","K"&amp;RIGHT("0000"&amp;(9999-F201),4)&amp;M201&amp;RIGHT("00000"&amp;ROW(),5),IF('FALTAS POR DECK'!$P$1="Deck e código","K"&amp;RIGHT("00"&amp;IFERROR(MATCH(A201,_LEITURA!$P$2:$P$21,0),99),2)&amp;M201&amp;RIGHT("00000"&amp;ROW(),5),"K"&amp;RIGHT("00000"&amp;ROW(),5))))))</f>
        <v/>
      </c>
      <c r="O201" s="16" t="str">
        <f aca="false">IF(N201="","",COUNTIFS($N$2:$N$1201,"&lt;"&amp;N201,$F$2:$F$1201,"&gt;0")+1)</f>
        <v/>
      </c>
    </row>
    <row r="202" customFormat="false" ht="15" hidden="false" customHeight="false" outlineLevel="0" collapsed="false">
      <c r="A202" s="11" t="str">
        <f aca="false">IF(_LEITURA!$N202="","",INDEX(_LEITURA!$K$2:$K$1201,_LEITURA!$N202))</f>
        <v/>
      </c>
      <c r="B202" s="11" t="str">
        <f aca="false">IF(_LEITURA!$N202="","",INDEX(_LEITURA!$E$2:$E$1201,_LEITURA!$N202))</f>
        <v/>
      </c>
      <c r="C202" s="11" t="str">
        <f aca="false">IF(_LEITURA!$N202="","",INDEX(_LEITURA!$J$2:$J$1201,_LEITURA!$N202))</f>
        <v/>
      </c>
      <c r="D202" s="16" t="str">
        <f aca="false">IF(_LEITURA!$N202="","",INDEX(_LEITURA!$G$2:$G$1201,_LEITURA!$N202))</f>
        <v/>
      </c>
      <c r="E202" s="16" t="str">
        <f aca="false">IF(B202="","",SUMIFS(INVENTÁRIO!$C$2:$C$801,INVENTÁRIO!$A$2:$A$801,B202))</f>
        <v/>
      </c>
      <c r="F202" s="16" t="str">
        <f aca="false">IF(B202="","",MAX(0,D202-E202))</f>
        <v/>
      </c>
      <c r="G202" s="16" t="str">
        <f aca="false">IF(B202="","",IF(COUNTIFS($B$2:$B$1201,B202,$A$2:$A$1201,"&lt;&gt;"&amp;A202)&gt;0,"Sim",""))</f>
        <v/>
      </c>
      <c r="H202" s="16" t="str">
        <f aca="false">IF(N(F202)&gt;0,MAX(H$1:H201)+1,"")</f>
        <v/>
      </c>
      <c r="I202" s="11" t="str">
        <f aca="false">IF(B202="","",IF(INDEX($C$2:$C$1201,MATCH(B202,$B$2:$B$1201,0))&lt;&gt;C202,"Nome diferente em outro deck — revisar",""))</f>
        <v/>
      </c>
      <c r="J202" s="16" t="str">
        <f aca="false">IF(AND(B202&lt;&gt;"",A202=BULK!$A$1,N(F202)&gt;0),MAX(J$1:J201)+1,"")</f>
        <v/>
      </c>
      <c r="K202" s="11" t="str">
        <f aca="false">IF(B202="","",IFERROR(LEFT(B202,FIND("-",B202)-1),B202))</f>
        <v/>
      </c>
      <c r="L202" s="11" t="str">
        <f aca="false">IF(K202="","",IF(ISNUMBER(--MID(K202,1,1)),0,IF(ISNUMBER(--MID(K202,2,1)),1,IF(ISNUMBER(--MID(K202,3,1)),2,IF(ISNUMBER(--MID(K202,4,1)),3,MIN(LEN(K202),4))))))</f>
        <v/>
      </c>
      <c r="M202" s="11" t="str">
        <f aca="false">IF(B202="","",LEFT(K202,L202)&amp;REPT("0",4-L202)&amp;RIGHT("000"&amp;IFERROR(VALUE(MID(K202,L202+1,9)),0),3)&amp;RIGHT("0000"&amp;IFERROR(VALUE(MID(B202,FIND("-",B202)+1,9)),0),4))</f>
        <v/>
      </c>
      <c r="N202" s="11" t="str">
        <f aca="false">IF(OR(B202="",N(F202)&lt;=0),"",IF('FALTAS POR DECK'!$P$1="Código","K"&amp;M202&amp;RIGHT("00000"&amp;ROW(),5),IF('FALTAS POR DECK'!$P$1="Nome","K"&amp;UPPER(SUBSTITUTE(SUBSTITUTE(SUBSTITUTE(C202,"*",""),"?",""),"~",""))&amp;"0"&amp;M202&amp;RIGHT("00000"&amp;ROW(),5),IF('FALTAS POR DECK'!$P$1="Falta (maior primeiro)","K"&amp;RIGHT("0000"&amp;(9999-F202),4)&amp;M202&amp;RIGHT("00000"&amp;ROW(),5),IF('FALTAS POR DECK'!$P$1="Deck e código","K"&amp;RIGHT("00"&amp;IFERROR(MATCH(A202,_LEITURA!$P$2:$P$21,0),99),2)&amp;M202&amp;RIGHT("00000"&amp;ROW(),5),"K"&amp;RIGHT("00000"&amp;ROW(),5))))))</f>
        <v/>
      </c>
      <c r="O202" s="16" t="str">
        <f aca="false">IF(N202="","",COUNTIFS($N$2:$N$1201,"&lt;"&amp;N202,$F$2:$F$1201,"&gt;0")+1)</f>
        <v/>
      </c>
    </row>
    <row r="203" customFormat="false" ht="15" hidden="false" customHeight="false" outlineLevel="0" collapsed="false">
      <c r="A203" s="11" t="str">
        <f aca="false">IF(_LEITURA!$N203="","",INDEX(_LEITURA!$K$2:$K$1201,_LEITURA!$N203))</f>
        <v/>
      </c>
      <c r="B203" s="11" t="str">
        <f aca="false">IF(_LEITURA!$N203="","",INDEX(_LEITURA!$E$2:$E$1201,_LEITURA!$N203))</f>
        <v/>
      </c>
      <c r="C203" s="11" t="str">
        <f aca="false">IF(_LEITURA!$N203="","",INDEX(_LEITURA!$J$2:$J$1201,_LEITURA!$N203))</f>
        <v/>
      </c>
      <c r="D203" s="16" t="str">
        <f aca="false">IF(_LEITURA!$N203="","",INDEX(_LEITURA!$G$2:$G$1201,_LEITURA!$N203))</f>
        <v/>
      </c>
      <c r="E203" s="16" t="str">
        <f aca="false">IF(B203="","",SUMIFS(INVENTÁRIO!$C$2:$C$801,INVENTÁRIO!$A$2:$A$801,B203))</f>
        <v/>
      </c>
      <c r="F203" s="16" t="str">
        <f aca="false">IF(B203="","",MAX(0,D203-E203))</f>
        <v/>
      </c>
      <c r="G203" s="16" t="str">
        <f aca="false">IF(B203="","",IF(COUNTIFS($B$2:$B$1201,B203,$A$2:$A$1201,"&lt;&gt;"&amp;A203)&gt;0,"Sim",""))</f>
        <v/>
      </c>
      <c r="H203" s="16" t="str">
        <f aca="false">IF(N(F203)&gt;0,MAX(H$1:H202)+1,"")</f>
        <v/>
      </c>
      <c r="I203" s="11" t="str">
        <f aca="false">IF(B203="","",IF(INDEX($C$2:$C$1201,MATCH(B203,$B$2:$B$1201,0))&lt;&gt;C203,"Nome diferente em outro deck — revisar",""))</f>
        <v/>
      </c>
      <c r="J203" s="16" t="str">
        <f aca="false">IF(AND(B203&lt;&gt;"",A203=BULK!$A$1,N(F203)&gt;0),MAX(J$1:J202)+1,"")</f>
        <v/>
      </c>
      <c r="K203" s="11" t="str">
        <f aca="false">IF(B203="","",IFERROR(LEFT(B203,FIND("-",B203)-1),B203))</f>
        <v/>
      </c>
      <c r="L203" s="11" t="str">
        <f aca="false">IF(K203="","",IF(ISNUMBER(--MID(K203,1,1)),0,IF(ISNUMBER(--MID(K203,2,1)),1,IF(ISNUMBER(--MID(K203,3,1)),2,IF(ISNUMBER(--MID(K203,4,1)),3,MIN(LEN(K203),4))))))</f>
        <v/>
      </c>
      <c r="M203" s="11" t="str">
        <f aca="false">IF(B203="","",LEFT(K203,L203)&amp;REPT("0",4-L203)&amp;RIGHT("000"&amp;IFERROR(VALUE(MID(K203,L203+1,9)),0),3)&amp;RIGHT("0000"&amp;IFERROR(VALUE(MID(B203,FIND("-",B203)+1,9)),0),4))</f>
        <v/>
      </c>
      <c r="N203" s="11" t="str">
        <f aca="false">IF(OR(B203="",N(F203)&lt;=0),"",IF('FALTAS POR DECK'!$P$1="Código","K"&amp;M203&amp;RIGHT("00000"&amp;ROW(),5),IF('FALTAS POR DECK'!$P$1="Nome","K"&amp;UPPER(SUBSTITUTE(SUBSTITUTE(SUBSTITUTE(C203,"*",""),"?",""),"~",""))&amp;"0"&amp;M203&amp;RIGHT("00000"&amp;ROW(),5),IF('FALTAS POR DECK'!$P$1="Falta (maior primeiro)","K"&amp;RIGHT("0000"&amp;(9999-F203),4)&amp;M203&amp;RIGHT("00000"&amp;ROW(),5),IF('FALTAS POR DECK'!$P$1="Deck e código","K"&amp;RIGHT("00"&amp;IFERROR(MATCH(A203,_LEITURA!$P$2:$P$21,0),99),2)&amp;M203&amp;RIGHT("00000"&amp;ROW(),5),"K"&amp;RIGHT("00000"&amp;ROW(),5))))))</f>
        <v/>
      </c>
      <c r="O203" s="16" t="str">
        <f aca="false">IF(N203="","",COUNTIFS($N$2:$N$1201,"&lt;"&amp;N203,$F$2:$F$1201,"&gt;0")+1)</f>
        <v/>
      </c>
    </row>
    <row r="204" customFormat="false" ht="15" hidden="false" customHeight="false" outlineLevel="0" collapsed="false">
      <c r="A204" s="11" t="str">
        <f aca="false">IF(_LEITURA!$N204="","",INDEX(_LEITURA!$K$2:$K$1201,_LEITURA!$N204))</f>
        <v/>
      </c>
      <c r="B204" s="11" t="str">
        <f aca="false">IF(_LEITURA!$N204="","",INDEX(_LEITURA!$E$2:$E$1201,_LEITURA!$N204))</f>
        <v/>
      </c>
      <c r="C204" s="11" t="str">
        <f aca="false">IF(_LEITURA!$N204="","",INDEX(_LEITURA!$J$2:$J$1201,_LEITURA!$N204))</f>
        <v/>
      </c>
      <c r="D204" s="16" t="str">
        <f aca="false">IF(_LEITURA!$N204="","",INDEX(_LEITURA!$G$2:$G$1201,_LEITURA!$N204))</f>
        <v/>
      </c>
      <c r="E204" s="16" t="str">
        <f aca="false">IF(B204="","",SUMIFS(INVENTÁRIO!$C$2:$C$801,INVENTÁRIO!$A$2:$A$801,B204))</f>
        <v/>
      </c>
      <c r="F204" s="16" t="str">
        <f aca="false">IF(B204="","",MAX(0,D204-E204))</f>
        <v/>
      </c>
      <c r="G204" s="16" t="str">
        <f aca="false">IF(B204="","",IF(COUNTIFS($B$2:$B$1201,B204,$A$2:$A$1201,"&lt;&gt;"&amp;A204)&gt;0,"Sim",""))</f>
        <v/>
      </c>
      <c r="H204" s="16" t="str">
        <f aca="false">IF(N(F204)&gt;0,MAX(H$1:H203)+1,"")</f>
        <v/>
      </c>
      <c r="I204" s="11" t="str">
        <f aca="false">IF(B204="","",IF(INDEX($C$2:$C$1201,MATCH(B204,$B$2:$B$1201,0))&lt;&gt;C204,"Nome diferente em outro deck — revisar",""))</f>
        <v/>
      </c>
      <c r="J204" s="16" t="str">
        <f aca="false">IF(AND(B204&lt;&gt;"",A204=BULK!$A$1,N(F204)&gt;0),MAX(J$1:J203)+1,"")</f>
        <v/>
      </c>
      <c r="K204" s="11" t="str">
        <f aca="false">IF(B204="","",IFERROR(LEFT(B204,FIND("-",B204)-1),B204))</f>
        <v/>
      </c>
      <c r="L204" s="11" t="str">
        <f aca="false">IF(K204="","",IF(ISNUMBER(--MID(K204,1,1)),0,IF(ISNUMBER(--MID(K204,2,1)),1,IF(ISNUMBER(--MID(K204,3,1)),2,IF(ISNUMBER(--MID(K204,4,1)),3,MIN(LEN(K204),4))))))</f>
        <v/>
      </c>
      <c r="M204" s="11" t="str">
        <f aca="false">IF(B204="","",LEFT(K204,L204)&amp;REPT("0",4-L204)&amp;RIGHT("000"&amp;IFERROR(VALUE(MID(K204,L204+1,9)),0),3)&amp;RIGHT("0000"&amp;IFERROR(VALUE(MID(B204,FIND("-",B204)+1,9)),0),4))</f>
        <v/>
      </c>
      <c r="N204" s="11" t="str">
        <f aca="false">IF(OR(B204="",N(F204)&lt;=0),"",IF('FALTAS POR DECK'!$P$1="Código","K"&amp;M204&amp;RIGHT("00000"&amp;ROW(),5),IF('FALTAS POR DECK'!$P$1="Nome","K"&amp;UPPER(SUBSTITUTE(SUBSTITUTE(SUBSTITUTE(C204,"*",""),"?",""),"~",""))&amp;"0"&amp;M204&amp;RIGHT("00000"&amp;ROW(),5),IF('FALTAS POR DECK'!$P$1="Falta (maior primeiro)","K"&amp;RIGHT("0000"&amp;(9999-F204),4)&amp;M204&amp;RIGHT("00000"&amp;ROW(),5),IF('FALTAS POR DECK'!$P$1="Deck e código","K"&amp;RIGHT("00"&amp;IFERROR(MATCH(A204,_LEITURA!$P$2:$P$21,0),99),2)&amp;M204&amp;RIGHT("00000"&amp;ROW(),5),"K"&amp;RIGHT("00000"&amp;ROW(),5))))))</f>
        <v/>
      </c>
      <c r="O204" s="16" t="str">
        <f aca="false">IF(N204="","",COUNTIFS($N$2:$N$1201,"&lt;"&amp;N204,$F$2:$F$1201,"&gt;0")+1)</f>
        <v/>
      </c>
    </row>
    <row r="205" customFormat="false" ht="15" hidden="false" customHeight="false" outlineLevel="0" collapsed="false">
      <c r="A205" s="11" t="str">
        <f aca="false">IF(_LEITURA!$N205="","",INDEX(_LEITURA!$K$2:$K$1201,_LEITURA!$N205))</f>
        <v/>
      </c>
      <c r="B205" s="11" t="str">
        <f aca="false">IF(_LEITURA!$N205="","",INDEX(_LEITURA!$E$2:$E$1201,_LEITURA!$N205))</f>
        <v/>
      </c>
      <c r="C205" s="11" t="str">
        <f aca="false">IF(_LEITURA!$N205="","",INDEX(_LEITURA!$J$2:$J$1201,_LEITURA!$N205))</f>
        <v/>
      </c>
      <c r="D205" s="16" t="str">
        <f aca="false">IF(_LEITURA!$N205="","",INDEX(_LEITURA!$G$2:$G$1201,_LEITURA!$N205))</f>
        <v/>
      </c>
      <c r="E205" s="16" t="str">
        <f aca="false">IF(B205="","",SUMIFS(INVENTÁRIO!$C$2:$C$801,INVENTÁRIO!$A$2:$A$801,B205))</f>
        <v/>
      </c>
      <c r="F205" s="16" t="str">
        <f aca="false">IF(B205="","",MAX(0,D205-E205))</f>
        <v/>
      </c>
      <c r="G205" s="16" t="str">
        <f aca="false">IF(B205="","",IF(COUNTIFS($B$2:$B$1201,B205,$A$2:$A$1201,"&lt;&gt;"&amp;A205)&gt;0,"Sim",""))</f>
        <v/>
      </c>
      <c r="H205" s="16" t="str">
        <f aca="false">IF(N(F205)&gt;0,MAX(H$1:H204)+1,"")</f>
        <v/>
      </c>
      <c r="I205" s="11" t="str">
        <f aca="false">IF(B205="","",IF(INDEX($C$2:$C$1201,MATCH(B205,$B$2:$B$1201,0))&lt;&gt;C205,"Nome diferente em outro deck — revisar",""))</f>
        <v/>
      </c>
      <c r="J205" s="16" t="str">
        <f aca="false">IF(AND(B205&lt;&gt;"",A205=BULK!$A$1,N(F205)&gt;0),MAX(J$1:J204)+1,"")</f>
        <v/>
      </c>
      <c r="K205" s="11" t="str">
        <f aca="false">IF(B205="","",IFERROR(LEFT(B205,FIND("-",B205)-1),B205))</f>
        <v/>
      </c>
      <c r="L205" s="11" t="str">
        <f aca="false">IF(K205="","",IF(ISNUMBER(--MID(K205,1,1)),0,IF(ISNUMBER(--MID(K205,2,1)),1,IF(ISNUMBER(--MID(K205,3,1)),2,IF(ISNUMBER(--MID(K205,4,1)),3,MIN(LEN(K205),4))))))</f>
        <v/>
      </c>
      <c r="M205" s="11" t="str">
        <f aca="false">IF(B205="","",LEFT(K205,L205)&amp;REPT("0",4-L205)&amp;RIGHT("000"&amp;IFERROR(VALUE(MID(K205,L205+1,9)),0),3)&amp;RIGHT("0000"&amp;IFERROR(VALUE(MID(B205,FIND("-",B205)+1,9)),0),4))</f>
        <v/>
      </c>
      <c r="N205" s="11" t="str">
        <f aca="false">IF(OR(B205="",N(F205)&lt;=0),"",IF('FALTAS POR DECK'!$P$1="Código","K"&amp;M205&amp;RIGHT("00000"&amp;ROW(),5),IF('FALTAS POR DECK'!$P$1="Nome","K"&amp;UPPER(SUBSTITUTE(SUBSTITUTE(SUBSTITUTE(C205,"*",""),"?",""),"~",""))&amp;"0"&amp;M205&amp;RIGHT("00000"&amp;ROW(),5),IF('FALTAS POR DECK'!$P$1="Falta (maior primeiro)","K"&amp;RIGHT("0000"&amp;(9999-F205),4)&amp;M205&amp;RIGHT("00000"&amp;ROW(),5),IF('FALTAS POR DECK'!$P$1="Deck e código","K"&amp;RIGHT("00"&amp;IFERROR(MATCH(A205,_LEITURA!$P$2:$P$21,0),99),2)&amp;M205&amp;RIGHT("00000"&amp;ROW(),5),"K"&amp;RIGHT("00000"&amp;ROW(),5))))))</f>
        <v/>
      </c>
      <c r="O205" s="16" t="str">
        <f aca="false">IF(N205="","",COUNTIFS($N$2:$N$1201,"&lt;"&amp;N205,$F$2:$F$1201,"&gt;0")+1)</f>
        <v/>
      </c>
    </row>
    <row r="206" customFormat="false" ht="15" hidden="false" customHeight="false" outlineLevel="0" collapsed="false">
      <c r="A206" s="11" t="str">
        <f aca="false">IF(_LEITURA!$N206="","",INDEX(_LEITURA!$K$2:$K$1201,_LEITURA!$N206))</f>
        <v/>
      </c>
      <c r="B206" s="11" t="str">
        <f aca="false">IF(_LEITURA!$N206="","",INDEX(_LEITURA!$E$2:$E$1201,_LEITURA!$N206))</f>
        <v/>
      </c>
      <c r="C206" s="11" t="str">
        <f aca="false">IF(_LEITURA!$N206="","",INDEX(_LEITURA!$J$2:$J$1201,_LEITURA!$N206))</f>
        <v/>
      </c>
      <c r="D206" s="16" t="str">
        <f aca="false">IF(_LEITURA!$N206="","",INDEX(_LEITURA!$G$2:$G$1201,_LEITURA!$N206))</f>
        <v/>
      </c>
      <c r="E206" s="16" t="str">
        <f aca="false">IF(B206="","",SUMIFS(INVENTÁRIO!$C$2:$C$801,INVENTÁRIO!$A$2:$A$801,B206))</f>
        <v/>
      </c>
      <c r="F206" s="16" t="str">
        <f aca="false">IF(B206="","",MAX(0,D206-E206))</f>
        <v/>
      </c>
      <c r="G206" s="16" t="str">
        <f aca="false">IF(B206="","",IF(COUNTIFS($B$2:$B$1201,B206,$A$2:$A$1201,"&lt;&gt;"&amp;A206)&gt;0,"Sim",""))</f>
        <v/>
      </c>
      <c r="H206" s="16" t="str">
        <f aca="false">IF(N(F206)&gt;0,MAX(H$1:H205)+1,"")</f>
        <v/>
      </c>
      <c r="I206" s="11" t="str">
        <f aca="false">IF(B206="","",IF(INDEX($C$2:$C$1201,MATCH(B206,$B$2:$B$1201,0))&lt;&gt;C206,"Nome diferente em outro deck — revisar",""))</f>
        <v/>
      </c>
      <c r="J206" s="16" t="str">
        <f aca="false">IF(AND(B206&lt;&gt;"",A206=BULK!$A$1,N(F206)&gt;0),MAX(J$1:J205)+1,"")</f>
        <v/>
      </c>
      <c r="K206" s="11" t="str">
        <f aca="false">IF(B206="","",IFERROR(LEFT(B206,FIND("-",B206)-1),B206))</f>
        <v/>
      </c>
      <c r="L206" s="11" t="str">
        <f aca="false">IF(K206="","",IF(ISNUMBER(--MID(K206,1,1)),0,IF(ISNUMBER(--MID(K206,2,1)),1,IF(ISNUMBER(--MID(K206,3,1)),2,IF(ISNUMBER(--MID(K206,4,1)),3,MIN(LEN(K206),4))))))</f>
        <v/>
      </c>
      <c r="M206" s="11" t="str">
        <f aca="false">IF(B206="","",LEFT(K206,L206)&amp;REPT("0",4-L206)&amp;RIGHT("000"&amp;IFERROR(VALUE(MID(K206,L206+1,9)),0),3)&amp;RIGHT("0000"&amp;IFERROR(VALUE(MID(B206,FIND("-",B206)+1,9)),0),4))</f>
        <v/>
      </c>
      <c r="N206" s="11" t="str">
        <f aca="false">IF(OR(B206="",N(F206)&lt;=0),"",IF('FALTAS POR DECK'!$P$1="Código","K"&amp;M206&amp;RIGHT("00000"&amp;ROW(),5),IF('FALTAS POR DECK'!$P$1="Nome","K"&amp;UPPER(SUBSTITUTE(SUBSTITUTE(SUBSTITUTE(C206,"*",""),"?",""),"~",""))&amp;"0"&amp;M206&amp;RIGHT("00000"&amp;ROW(),5),IF('FALTAS POR DECK'!$P$1="Falta (maior primeiro)","K"&amp;RIGHT("0000"&amp;(9999-F206),4)&amp;M206&amp;RIGHT("00000"&amp;ROW(),5),IF('FALTAS POR DECK'!$P$1="Deck e código","K"&amp;RIGHT("00"&amp;IFERROR(MATCH(A206,_LEITURA!$P$2:$P$21,0),99),2)&amp;M206&amp;RIGHT("00000"&amp;ROW(),5),"K"&amp;RIGHT("00000"&amp;ROW(),5))))))</f>
        <v/>
      </c>
      <c r="O206" s="16" t="str">
        <f aca="false">IF(N206="","",COUNTIFS($N$2:$N$1201,"&lt;"&amp;N206,$F$2:$F$1201,"&gt;0")+1)</f>
        <v/>
      </c>
    </row>
    <row r="207" customFormat="false" ht="15" hidden="false" customHeight="false" outlineLevel="0" collapsed="false">
      <c r="A207" s="11" t="str">
        <f aca="false">IF(_LEITURA!$N207="","",INDEX(_LEITURA!$K$2:$K$1201,_LEITURA!$N207))</f>
        <v/>
      </c>
      <c r="B207" s="11" t="str">
        <f aca="false">IF(_LEITURA!$N207="","",INDEX(_LEITURA!$E$2:$E$1201,_LEITURA!$N207))</f>
        <v/>
      </c>
      <c r="C207" s="11" t="str">
        <f aca="false">IF(_LEITURA!$N207="","",INDEX(_LEITURA!$J$2:$J$1201,_LEITURA!$N207))</f>
        <v/>
      </c>
      <c r="D207" s="16" t="str">
        <f aca="false">IF(_LEITURA!$N207="","",INDEX(_LEITURA!$G$2:$G$1201,_LEITURA!$N207))</f>
        <v/>
      </c>
      <c r="E207" s="16" t="str">
        <f aca="false">IF(B207="","",SUMIFS(INVENTÁRIO!$C$2:$C$801,INVENTÁRIO!$A$2:$A$801,B207))</f>
        <v/>
      </c>
      <c r="F207" s="16" t="str">
        <f aca="false">IF(B207="","",MAX(0,D207-E207))</f>
        <v/>
      </c>
      <c r="G207" s="16" t="str">
        <f aca="false">IF(B207="","",IF(COUNTIFS($B$2:$B$1201,B207,$A$2:$A$1201,"&lt;&gt;"&amp;A207)&gt;0,"Sim",""))</f>
        <v/>
      </c>
      <c r="H207" s="16" t="str">
        <f aca="false">IF(N(F207)&gt;0,MAX(H$1:H206)+1,"")</f>
        <v/>
      </c>
      <c r="I207" s="11" t="str">
        <f aca="false">IF(B207="","",IF(INDEX($C$2:$C$1201,MATCH(B207,$B$2:$B$1201,0))&lt;&gt;C207,"Nome diferente em outro deck — revisar",""))</f>
        <v/>
      </c>
      <c r="J207" s="16" t="str">
        <f aca="false">IF(AND(B207&lt;&gt;"",A207=BULK!$A$1,N(F207)&gt;0),MAX(J$1:J206)+1,"")</f>
        <v/>
      </c>
      <c r="K207" s="11" t="str">
        <f aca="false">IF(B207="","",IFERROR(LEFT(B207,FIND("-",B207)-1),B207))</f>
        <v/>
      </c>
      <c r="L207" s="11" t="str">
        <f aca="false">IF(K207="","",IF(ISNUMBER(--MID(K207,1,1)),0,IF(ISNUMBER(--MID(K207,2,1)),1,IF(ISNUMBER(--MID(K207,3,1)),2,IF(ISNUMBER(--MID(K207,4,1)),3,MIN(LEN(K207),4))))))</f>
        <v/>
      </c>
      <c r="M207" s="11" t="str">
        <f aca="false">IF(B207="","",LEFT(K207,L207)&amp;REPT("0",4-L207)&amp;RIGHT("000"&amp;IFERROR(VALUE(MID(K207,L207+1,9)),0),3)&amp;RIGHT("0000"&amp;IFERROR(VALUE(MID(B207,FIND("-",B207)+1,9)),0),4))</f>
        <v/>
      </c>
      <c r="N207" s="11" t="str">
        <f aca="false">IF(OR(B207="",N(F207)&lt;=0),"",IF('FALTAS POR DECK'!$P$1="Código","K"&amp;M207&amp;RIGHT("00000"&amp;ROW(),5),IF('FALTAS POR DECK'!$P$1="Nome","K"&amp;UPPER(SUBSTITUTE(SUBSTITUTE(SUBSTITUTE(C207,"*",""),"?",""),"~",""))&amp;"0"&amp;M207&amp;RIGHT("00000"&amp;ROW(),5),IF('FALTAS POR DECK'!$P$1="Falta (maior primeiro)","K"&amp;RIGHT("0000"&amp;(9999-F207),4)&amp;M207&amp;RIGHT("00000"&amp;ROW(),5),IF('FALTAS POR DECK'!$P$1="Deck e código","K"&amp;RIGHT("00"&amp;IFERROR(MATCH(A207,_LEITURA!$P$2:$P$21,0),99),2)&amp;M207&amp;RIGHT("00000"&amp;ROW(),5),"K"&amp;RIGHT("00000"&amp;ROW(),5))))))</f>
        <v/>
      </c>
      <c r="O207" s="16" t="str">
        <f aca="false">IF(N207="","",COUNTIFS($N$2:$N$1201,"&lt;"&amp;N207,$F$2:$F$1201,"&gt;0")+1)</f>
        <v/>
      </c>
    </row>
    <row r="208" customFormat="false" ht="15" hidden="false" customHeight="false" outlineLevel="0" collapsed="false">
      <c r="A208" s="11" t="str">
        <f aca="false">IF(_LEITURA!$N208="","",INDEX(_LEITURA!$K$2:$K$1201,_LEITURA!$N208))</f>
        <v/>
      </c>
      <c r="B208" s="11" t="str">
        <f aca="false">IF(_LEITURA!$N208="","",INDEX(_LEITURA!$E$2:$E$1201,_LEITURA!$N208))</f>
        <v/>
      </c>
      <c r="C208" s="11" t="str">
        <f aca="false">IF(_LEITURA!$N208="","",INDEX(_LEITURA!$J$2:$J$1201,_LEITURA!$N208))</f>
        <v/>
      </c>
      <c r="D208" s="16" t="str">
        <f aca="false">IF(_LEITURA!$N208="","",INDEX(_LEITURA!$G$2:$G$1201,_LEITURA!$N208))</f>
        <v/>
      </c>
      <c r="E208" s="16" t="str">
        <f aca="false">IF(B208="","",SUMIFS(INVENTÁRIO!$C$2:$C$801,INVENTÁRIO!$A$2:$A$801,B208))</f>
        <v/>
      </c>
      <c r="F208" s="16" t="str">
        <f aca="false">IF(B208="","",MAX(0,D208-E208))</f>
        <v/>
      </c>
      <c r="G208" s="16" t="str">
        <f aca="false">IF(B208="","",IF(COUNTIFS($B$2:$B$1201,B208,$A$2:$A$1201,"&lt;&gt;"&amp;A208)&gt;0,"Sim",""))</f>
        <v/>
      </c>
      <c r="H208" s="16" t="str">
        <f aca="false">IF(N(F208)&gt;0,MAX(H$1:H207)+1,"")</f>
        <v/>
      </c>
      <c r="I208" s="11" t="str">
        <f aca="false">IF(B208="","",IF(INDEX($C$2:$C$1201,MATCH(B208,$B$2:$B$1201,0))&lt;&gt;C208,"Nome diferente em outro deck — revisar",""))</f>
        <v/>
      </c>
      <c r="J208" s="16" t="str">
        <f aca="false">IF(AND(B208&lt;&gt;"",A208=BULK!$A$1,N(F208)&gt;0),MAX(J$1:J207)+1,"")</f>
        <v/>
      </c>
      <c r="K208" s="11" t="str">
        <f aca="false">IF(B208="","",IFERROR(LEFT(B208,FIND("-",B208)-1),B208))</f>
        <v/>
      </c>
      <c r="L208" s="11" t="str">
        <f aca="false">IF(K208="","",IF(ISNUMBER(--MID(K208,1,1)),0,IF(ISNUMBER(--MID(K208,2,1)),1,IF(ISNUMBER(--MID(K208,3,1)),2,IF(ISNUMBER(--MID(K208,4,1)),3,MIN(LEN(K208),4))))))</f>
        <v/>
      </c>
      <c r="M208" s="11" t="str">
        <f aca="false">IF(B208="","",LEFT(K208,L208)&amp;REPT("0",4-L208)&amp;RIGHT("000"&amp;IFERROR(VALUE(MID(K208,L208+1,9)),0),3)&amp;RIGHT("0000"&amp;IFERROR(VALUE(MID(B208,FIND("-",B208)+1,9)),0),4))</f>
        <v/>
      </c>
      <c r="N208" s="11" t="str">
        <f aca="false">IF(OR(B208="",N(F208)&lt;=0),"",IF('FALTAS POR DECK'!$P$1="Código","K"&amp;M208&amp;RIGHT("00000"&amp;ROW(),5),IF('FALTAS POR DECK'!$P$1="Nome","K"&amp;UPPER(SUBSTITUTE(SUBSTITUTE(SUBSTITUTE(C208,"*",""),"?",""),"~",""))&amp;"0"&amp;M208&amp;RIGHT("00000"&amp;ROW(),5),IF('FALTAS POR DECK'!$P$1="Falta (maior primeiro)","K"&amp;RIGHT("0000"&amp;(9999-F208),4)&amp;M208&amp;RIGHT("00000"&amp;ROW(),5),IF('FALTAS POR DECK'!$P$1="Deck e código","K"&amp;RIGHT("00"&amp;IFERROR(MATCH(A208,_LEITURA!$P$2:$P$21,0),99),2)&amp;M208&amp;RIGHT("00000"&amp;ROW(),5),"K"&amp;RIGHT("00000"&amp;ROW(),5))))))</f>
        <v/>
      </c>
      <c r="O208" s="16" t="str">
        <f aca="false">IF(N208="","",COUNTIFS($N$2:$N$1201,"&lt;"&amp;N208,$F$2:$F$1201,"&gt;0")+1)</f>
        <v/>
      </c>
    </row>
    <row r="209" customFormat="false" ht="15" hidden="false" customHeight="false" outlineLevel="0" collapsed="false">
      <c r="A209" s="11" t="str">
        <f aca="false">IF(_LEITURA!$N209="","",INDEX(_LEITURA!$K$2:$K$1201,_LEITURA!$N209))</f>
        <v/>
      </c>
      <c r="B209" s="11" t="str">
        <f aca="false">IF(_LEITURA!$N209="","",INDEX(_LEITURA!$E$2:$E$1201,_LEITURA!$N209))</f>
        <v/>
      </c>
      <c r="C209" s="11" t="str">
        <f aca="false">IF(_LEITURA!$N209="","",INDEX(_LEITURA!$J$2:$J$1201,_LEITURA!$N209))</f>
        <v/>
      </c>
      <c r="D209" s="16" t="str">
        <f aca="false">IF(_LEITURA!$N209="","",INDEX(_LEITURA!$G$2:$G$1201,_LEITURA!$N209))</f>
        <v/>
      </c>
      <c r="E209" s="16" t="str">
        <f aca="false">IF(B209="","",SUMIFS(INVENTÁRIO!$C$2:$C$801,INVENTÁRIO!$A$2:$A$801,B209))</f>
        <v/>
      </c>
      <c r="F209" s="16" t="str">
        <f aca="false">IF(B209="","",MAX(0,D209-E209))</f>
        <v/>
      </c>
      <c r="G209" s="16" t="str">
        <f aca="false">IF(B209="","",IF(COUNTIFS($B$2:$B$1201,B209,$A$2:$A$1201,"&lt;&gt;"&amp;A209)&gt;0,"Sim",""))</f>
        <v/>
      </c>
      <c r="H209" s="16" t="str">
        <f aca="false">IF(N(F209)&gt;0,MAX(H$1:H208)+1,"")</f>
        <v/>
      </c>
      <c r="I209" s="11" t="str">
        <f aca="false">IF(B209="","",IF(INDEX($C$2:$C$1201,MATCH(B209,$B$2:$B$1201,0))&lt;&gt;C209,"Nome diferente em outro deck — revisar",""))</f>
        <v/>
      </c>
      <c r="J209" s="16" t="str">
        <f aca="false">IF(AND(B209&lt;&gt;"",A209=BULK!$A$1,N(F209)&gt;0),MAX(J$1:J208)+1,"")</f>
        <v/>
      </c>
      <c r="K209" s="11" t="str">
        <f aca="false">IF(B209="","",IFERROR(LEFT(B209,FIND("-",B209)-1),B209))</f>
        <v/>
      </c>
      <c r="L209" s="11" t="str">
        <f aca="false">IF(K209="","",IF(ISNUMBER(--MID(K209,1,1)),0,IF(ISNUMBER(--MID(K209,2,1)),1,IF(ISNUMBER(--MID(K209,3,1)),2,IF(ISNUMBER(--MID(K209,4,1)),3,MIN(LEN(K209),4))))))</f>
        <v/>
      </c>
      <c r="M209" s="11" t="str">
        <f aca="false">IF(B209="","",LEFT(K209,L209)&amp;REPT("0",4-L209)&amp;RIGHT("000"&amp;IFERROR(VALUE(MID(K209,L209+1,9)),0),3)&amp;RIGHT("0000"&amp;IFERROR(VALUE(MID(B209,FIND("-",B209)+1,9)),0),4))</f>
        <v/>
      </c>
      <c r="N209" s="11" t="str">
        <f aca="false">IF(OR(B209="",N(F209)&lt;=0),"",IF('FALTAS POR DECK'!$P$1="Código","K"&amp;M209&amp;RIGHT("00000"&amp;ROW(),5),IF('FALTAS POR DECK'!$P$1="Nome","K"&amp;UPPER(SUBSTITUTE(SUBSTITUTE(SUBSTITUTE(C209,"*",""),"?",""),"~",""))&amp;"0"&amp;M209&amp;RIGHT("00000"&amp;ROW(),5),IF('FALTAS POR DECK'!$P$1="Falta (maior primeiro)","K"&amp;RIGHT("0000"&amp;(9999-F209),4)&amp;M209&amp;RIGHT("00000"&amp;ROW(),5),IF('FALTAS POR DECK'!$P$1="Deck e código","K"&amp;RIGHT("00"&amp;IFERROR(MATCH(A209,_LEITURA!$P$2:$P$21,0),99),2)&amp;M209&amp;RIGHT("00000"&amp;ROW(),5),"K"&amp;RIGHT("00000"&amp;ROW(),5))))))</f>
        <v/>
      </c>
      <c r="O209" s="16" t="str">
        <f aca="false">IF(N209="","",COUNTIFS($N$2:$N$1201,"&lt;"&amp;N209,$F$2:$F$1201,"&gt;0")+1)</f>
        <v/>
      </c>
    </row>
    <row r="210" customFormat="false" ht="15" hidden="false" customHeight="false" outlineLevel="0" collapsed="false">
      <c r="A210" s="11" t="str">
        <f aca="false">IF(_LEITURA!$N210="","",INDEX(_LEITURA!$K$2:$K$1201,_LEITURA!$N210))</f>
        <v/>
      </c>
      <c r="B210" s="11" t="str">
        <f aca="false">IF(_LEITURA!$N210="","",INDEX(_LEITURA!$E$2:$E$1201,_LEITURA!$N210))</f>
        <v/>
      </c>
      <c r="C210" s="11" t="str">
        <f aca="false">IF(_LEITURA!$N210="","",INDEX(_LEITURA!$J$2:$J$1201,_LEITURA!$N210))</f>
        <v/>
      </c>
      <c r="D210" s="16" t="str">
        <f aca="false">IF(_LEITURA!$N210="","",INDEX(_LEITURA!$G$2:$G$1201,_LEITURA!$N210))</f>
        <v/>
      </c>
      <c r="E210" s="16" t="str">
        <f aca="false">IF(B210="","",SUMIFS(INVENTÁRIO!$C$2:$C$801,INVENTÁRIO!$A$2:$A$801,B210))</f>
        <v/>
      </c>
      <c r="F210" s="16" t="str">
        <f aca="false">IF(B210="","",MAX(0,D210-E210))</f>
        <v/>
      </c>
      <c r="G210" s="16" t="str">
        <f aca="false">IF(B210="","",IF(COUNTIFS($B$2:$B$1201,B210,$A$2:$A$1201,"&lt;&gt;"&amp;A210)&gt;0,"Sim",""))</f>
        <v/>
      </c>
      <c r="H210" s="16" t="str">
        <f aca="false">IF(N(F210)&gt;0,MAX(H$1:H209)+1,"")</f>
        <v/>
      </c>
      <c r="I210" s="11" t="str">
        <f aca="false">IF(B210="","",IF(INDEX($C$2:$C$1201,MATCH(B210,$B$2:$B$1201,0))&lt;&gt;C210,"Nome diferente em outro deck — revisar",""))</f>
        <v/>
      </c>
      <c r="J210" s="16" t="str">
        <f aca="false">IF(AND(B210&lt;&gt;"",A210=BULK!$A$1,N(F210)&gt;0),MAX(J$1:J209)+1,"")</f>
        <v/>
      </c>
      <c r="K210" s="11" t="str">
        <f aca="false">IF(B210="","",IFERROR(LEFT(B210,FIND("-",B210)-1),B210))</f>
        <v/>
      </c>
      <c r="L210" s="11" t="str">
        <f aca="false">IF(K210="","",IF(ISNUMBER(--MID(K210,1,1)),0,IF(ISNUMBER(--MID(K210,2,1)),1,IF(ISNUMBER(--MID(K210,3,1)),2,IF(ISNUMBER(--MID(K210,4,1)),3,MIN(LEN(K210),4))))))</f>
        <v/>
      </c>
      <c r="M210" s="11" t="str">
        <f aca="false">IF(B210="","",LEFT(K210,L210)&amp;REPT("0",4-L210)&amp;RIGHT("000"&amp;IFERROR(VALUE(MID(K210,L210+1,9)),0),3)&amp;RIGHT("0000"&amp;IFERROR(VALUE(MID(B210,FIND("-",B210)+1,9)),0),4))</f>
        <v/>
      </c>
      <c r="N210" s="11" t="str">
        <f aca="false">IF(OR(B210="",N(F210)&lt;=0),"",IF('FALTAS POR DECK'!$P$1="Código","K"&amp;M210&amp;RIGHT("00000"&amp;ROW(),5),IF('FALTAS POR DECK'!$P$1="Nome","K"&amp;UPPER(SUBSTITUTE(SUBSTITUTE(SUBSTITUTE(C210,"*",""),"?",""),"~",""))&amp;"0"&amp;M210&amp;RIGHT("00000"&amp;ROW(),5),IF('FALTAS POR DECK'!$P$1="Falta (maior primeiro)","K"&amp;RIGHT("0000"&amp;(9999-F210),4)&amp;M210&amp;RIGHT("00000"&amp;ROW(),5),IF('FALTAS POR DECK'!$P$1="Deck e código","K"&amp;RIGHT("00"&amp;IFERROR(MATCH(A210,_LEITURA!$P$2:$P$21,0),99),2)&amp;M210&amp;RIGHT("00000"&amp;ROW(),5),"K"&amp;RIGHT("00000"&amp;ROW(),5))))))</f>
        <v/>
      </c>
      <c r="O210" s="16" t="str">
        <f aca="false">IF(N210="","",COUNTIFS($N$2:$N$1201,"&lt;"&amp;N210,$F$2:$F$1201,"&gt;0")+1)</f>
        <v/>
      </c>
    </row>
    <row r="211" customFormat="false" ht="15" hidden="false" customHeight="false" outlineLevel="0" collapsed="false">
      <c r="A211" s="11" t="str">
        <f aca="false">IF(_LEITURA!$N211="","",INDEX(_LEITURA!$K$2:$K$1201,_LEITURA!$N211))</f>
        <v/>
      </c>
      <c r="B211" s="11" t="str">
        <f aca="false">IF(_LEITURA!$N211="","",INDEX(_LEITURA!$E$2:$E$1201,_LEITURA!$N211))</f>
        <v/>
      </c>
      <c r="C211" s="11" t="str">
        <f aca="false">IF(_LEITURA!$N211="","",INDEX(_LEITURA!$J$2:$J$1201,_LEITURA!$N211))</f>
        <v/>
      </c>
      <c r="D211" s="16" t="str">
        <f aca="false">IF(_LEITURA!$N211="","",INDEX(_LEITURA!$G$2:$G$1201,_LEITURA!$N211))</f>
        <v/>
      </c>
      <c r="E211" s="16" t="str">
        <f aca="false">IF(B211="","",SUMIFS(INVENTÁRIO!$C$2:$C$801,INVENTÁRIO!$A$2:$A$801,B211))</f>
        <v/>
      </c>
      <c r="F211" s="16" t="str">
        <f aca="false">IF(B211="","",MAX(0,D211-E211))</f>
        <v/>
      </c>
      <c r="G211" s="16" t="str">
        <f aca="false">IF(B211="","",IF(COUNTIFS($B$2:$B$1201,B211,$A$2:$A$1201,"&lt;&gt;"&amp;A211)&gt;0,"Sim",""))</f>
        <v/>
      </c>
      <c r="H211" s="16" t="str">
        <f aca="false">IF(N(F211)&gt;0,MAX(H$1:H210)+1,"")</f>
        <v/>
      </c>
      <c r="I211" s="11" t="str">
        <f aca="false">IF(B211="","",IF(INDEX($C$2:$C$1201,MATCH(B211,$B$2:$B$1201,0))&lt;&gt;C211,"Nome diferente em outro deck — revisar",""))</f>
        <v/>
      </c>
      <c r="J211" s="16" t="str">
        <f aca="false">IF(AND(B211&lt;&gt;"",A211=BULK!$A$1,N(F211)&gt;0),MAX(J$1:J210)+1,"")</f>
        <v/>
      </c>
      <c r="K211" s="11" t="str">
        <f aca="false">IF(B211="","",IFERROR(LEFT(B211,FIND("-",B211)-1),B211))</f>
        <v/>
      </c>
      <c r="L211" s="11" t="str">
        <f aca="false">IF(K211="","",IF(ISNUMBER(--MID(K211,1,1)),0,IF(ISNUMBER(--MID(K211,2,1)),1,IF(ISNUMBER(--MID(K211,3,1)),2,IF(ISNUMBER(--MID(K211,4,1)),3,MIN(LEN(K211),4))))))</f>
        <v/>
      </c>
      <c r="M211" s="11" t="str">
        <f aca="false">IF(B211="","",LEFT(K211,L211)&amp;REPT("0",4-L211)&amp;RIGHT("000"&amp;IFERROR(VALUE(MID(K211,L211+1,9)),0),3)&amp;RIGHT("0000"&amp;IFERROR(VALUE(MID(B211,FIND("-",B211)+1,9)),0),4))</f>
        <v/>
      </c>
      <c r="N211" s="11" t="str">
        <f aca="false">IF(OR(B211="",N(F211)&lt;=0),"",IF('FALTAS POR DECK'!$P$1="Código","K"&amp;M211&amp;RIGHT("00000"&amp;ROW(),5),IF('FALTAS POR DECK'!$P$1="Nome","K"&amp;UPPER(SUBSTITUTE(SUBSTITUTE(SUBSTITUTE(C211,"*",""),"?",""),"~",""))&amp;"0"&amp;M211&amp;RIGHT("00000"&amp;ROW(),5),IF('FALTAS POR DECK'!$P$1="Falta (maior primeiro)","K"&amp;RIGHT("0000"&amp;(9999-F211),4)&amp;M211&amp;RIGHT("00000"&amp;ROW(),5),IF('FALTAS POR DECK'!$P$1="Deck e código","K"&amp;RIGHT("00"&amp;IFERROR(MATCH(A211,_LEITURA!$P$2:$P$21,0),99),2)&amp;M211&amp;RIGHT("00000"&amp;ROW(),5),"K"&amp;RIGHT("00000"&amp;ROW(),5))))))</f>
        <v/>
      </c>
      <c r="O211" s="16" t="str">
        <f aca="false">IF(N211="","",COUNTIFS($N$2:$N$1201,"&lt;"&amp;N211,$F$2:$F$1201,"&gt;0")+1)</f>
        <v/>
      </c>
    </row>
    <row r="212" customFormat="false" ht="15" hidden="false" customHeight="false" outlineLevel="0" collapsed="false">
      <c r="A212" s="11" t="str">
        <f aca="false">IF(_LEITURA!$N212="","",INDEX(_LEITURA!$K$2:$K$1201,_LEITURA!$N212))</f>
        <v/>
      </c>
      <c r="B212" s="11" t="str">
        <f aca="false">IF(_LEITURA!$N212="","",INDEX(_LEITURA!$E$2:$E$1201,_LEITURA!$N212))</f>
        <v/>
      </c>
      <c r="C212" s="11" t="str">
        <f aca="false">IF(_LEITURA!$N212="","",INDEX(_LEITURA!$J$2:$J$1201,_LEITURA!$N212))</f>
        <v/>
      </c>
      <c r="D212" s="16" t="str">
        <f aca="false">IF(_LEITURA!$N212="","",INDEX(_LEITURA!$G$2:$G$1201,_LEITURA!$N212))</f>
        <v/>
      </c>
      <c r="E212" s="16" t="str">
        <f aca="false">IF(B212="","",SUMIFS(INVENTÁRIO!$C$2:$C$801,INVENTÁRIO!$A$2:$A$801,B212))</f>
        <v/>
      </c>
      <c r="F212" s="16" t="str">
        <f aca="false">IF(B212="","",MAX(0,D212-E212))</f>
        <v/>
      </c>
      <c r="G212" s="16" t="str">
        <f aca="false">IF(B212="","",IF(COUNTIFS($B$2:$B$1201,B212,$A$2:$A$1201,"&lt;&gt;"&amp;A212)&gt;0,"Sim",""))</f>
        <v/>
      </c>
      <c r="H212" s="16" t="str">
        <f aca="false">IF(N(F212)&gt;0,MAX(H$1:H211)+1,"")</f>
        <v/>
      </c>
      <c r="I212" s="11" t="str">
        <f aca="false">IF(B212="","",IF(INDEX($C$2:$C$1201,MATCH(B212,$B$2:$B$1201,0))&lt;&gt;C212,"Nome diferente em outro deck — revisar",""))</f>
        <v/>
      </c>
      <c r="J212" s="16" t="str">
        <f aca="false">IF(AND(B212&lt;&gt;"",A212=BULK!$A$1,N(F212)&gt;0),MAX(J$1:J211)+1,"")</f>
        <v/>
      </c>
      <c r="K212" s="11" t="str">
        <f aca="false">IF(B212="","",IFERROR(LEFT(B212,FIND("-",B212)-1),B212))</f>
        <v/>
      </c>
      <c r="L212" s="11" t="str">
        <f aca="false">IF(K212="","",IF(ISNUMBER(--MID(K212,1,1)),0,IF(ISNUMBER(--MID(K212,2,1)),1,IF(ISNUMBER(--MID(K212,3,1)),2,IF(ISNUMBER(--MID(K212,4,1)),3,MIN(LEN(K212),4))))))</f>
        <v/>
      </c>
      <c r="M212" s="11" t="str">
        <f aca="false">IF(B212="","",LEFT(K212,L212)&amp;REPT("0",4-L212)&amp;RIGHT("000"&amp;IFERROR(VALUE(MID(K212,L212+1,9)),0),3)&amp;RIGHT("0000"&amp;IFERROR(VALUE(MID(B212,FIND("-",B212)+1,9)),0),4))</f>
        <v/>
      </c>
      <c r="N212" s="11" t="str">
        <f aca="false">IF(OR(B212="",N(F212)&lt;=0),"",IF('FALTAS POR DECK'!$P$1="Código","K"&amp;M212&amp;RIGHT("00000"&amp;ROW(),5),IF('FALTAS POR DECK'!$P$1="Nome","K"&amp;UPPER(SUBSTITUTE(SUBSTITUTE(SUBSTITUTE(C212,"*",""),"?",""),"~",""))&amp;"0"&amp;M212&amp;RIGHT("00000"&amp;ROW(),5),IF('FALTAS POR DECK'!$P$1="Falta (maior primeiro)","K"&amp;RIGHT("0000"&amp;(9999-F212),4)&amp;M212&amp;RIGHT("00000"&amp;ROW(),5),IF('FALTAS POR DECK'!$P$1="Deck e código","K"&amp;RIGHT("00"&amp;IFERROR(MATCH(A212,_LEITURA!$P$2:$P$21,0),99),2)&amp;M212&amp;RIGHT("00000"&amp;ROW(),5),"K"&amp;RIGHT("00000"&amp;ROW(),5))))))</f>
        <v/>
      </c>
      <c r="O212" s="16" t="str">
        <f aca="false">IF(N212="","",COUNTIFS($N$2:$N$1201,"&lt;"&amp;N212,$F$2:$F$1201,"&gt;0")+1)</f>
        <v/>
      </c>
    </row>
    <row r="213" customFormat="false" ht="15" hidden="false" customHeight="false" outlineLevel="0" collapsed="false">
      <c r="A213" s="11" t="str">
        <f aca="false">IF(_LEITURA!$N213="","",INDEX(_LEITURA!$K$2:$K$1201,_LEITURA!$N213))</f>
        <v/>
      </c>
      <c r="B213" s="11" t="str">
        <f aca="false">IF(_LEITURA!$N213="","",INDEX(_LEITURA!$E$2:$E$1201,_LEITURA!$N213))</f>
        <v/>
      </c>
      <c r="C213" s="11" t="str">
        <f aca="false">IF(_LEITURA!$N213="","",INDEX(_LEITURA!$J$2:$J$1201,_LEITURA!$N213))</f>
        <v/>
      </c>
      <c r="D213" s="16" t="str">
        <f aca="false">IF(_LEITURA!$N213="","",INDEX(_LEITURA!$G$2:$G$1201,_LEITURA!$N213))</f>
        <v/>
      </c>
      <c r="E213" s="16" t="str">
        <f aca="false">IF(B213="","",SUMIFS(INVENTÁRIO!$C$2:$C$801,INVENTÁRIO!$A$2:$A$801,B213))</f>
        <v/>
      </c>
      <c r="F213" s="16" t="str">
        <f aca="false">IF(B213="","",MAX(0,D213-E213))</f>
        <v/>
      </c>
      <c r="G213" s="16" t="str">
        <f aca="false">IF(B213="","",IF(COUNTIFS($B$2:$B$1201,B213,$A$2:$A$1201,"&lt;&gt;"&amp;A213)&gt;0,"Sim",""))</f>
        <v/>
      </c>
      <c r="H213" s="16" t="str">
        <f aca="false">IF(N(F213)&gt;0,MAX(H$1:H212)+1,"")</f>
        <v/>
      </c>
      <c r="I213" s="11" t="str">
        <f aca="false">IF(B213="","",IF(INDEX($C$2:$C$1201,MATCH(B213,$B$2:$B$1201,0))&lt;&gt;C213,"Nome diferente em outro deck — revisar",""))</f>
        <v/>
      </c>
      <c r="J213" s="16" t="str">
        <f aca="false">IF(AND(B213&lt;&gt;"",A213=BULK!$A$1,N(F213)&gt;0),MAX(J$1:J212)+1,"")</f>
        <v/>
      </c>
      <c r="K213" s="11" t="str">
        <f aca="false">IF(B213="","",IFERROR(LEFT(B213,FIND("-",B213)-1),B213))</f>
        <v/>
      </c>
      <c r="L213" s="11" t="str">
        <f aca="false">IF(K213="","",IF(ISNUMBER(--MID(K213,1,1)),0,IF(ISNUMBER(--MID(K213,2,1)),1,IF(ISNUMBER(--MID(K213,3,1)),2,IF(ISNUMBER(--MID(K213,4,1)),3,MIN(LEN(K213),4))))))</f>
        <v/>
      </c>
      <c r="M213" s="11" t="str">
        <f aca="false">IF(B213="","",LEFT(K213,L213)&amp;REPT("0",4-L213)&amp;RIGHT("000"&amp;IFERROR(VALUE(MID(K213,L213+1,9)),0),3)&amp;RIGHT("0000"&amp;IFERROR(VALUE(MID(B213,FIND("-",B213)+1,9)),0),4))</f>
        <v/>
      </c>
      <c r="N213" s="11" t="str">
        <f aca="false">IF(OR(B213="",N(F213)&lt;=0),"",IF('FALTAS POR DECK'!$P$1="Código","K"&amp;M213&amp;RIGHT("00000"&amp;ROW(),5),IF('FALTAS POR DECK'!$P$1="Nome","K"&amp;UPPER(SUBSTITUTE(SUBSTITUTE(SUBSTITUTE(C213,"*",""),"?",""),"~",""))&amp;"0"&amp;M213&amp;RIGHT("00000"&amp;ROW(),5),IF('FALTAS POR DECK'!$P$1="Falta (maior primeiro)","K"&amp;RIGHT("0000"&amp;(9999-F213),4)&amp;M213&amp;RIGHT("00000"&amp;ROW(),5),IF('FALTAS POR DECK'!$P$1="Deck e código","K"&amp;RIGHT("00"&amp;IFERROR(MATCH(A213,_LEITURA!$P$2:$P$21,0),99),2)&amp;M213&amp;RIGHT("00000"&amp;ROW(),5),"K"&amp;RIGHT("00000"&amp;ROW(),5))))))</f>
        <v/>
      </c>
      <c r="O213" s="16" t="str">
        <f aca="false">IF(N213="","",COUNTIFS($N$2:$N$1201,"&lt;"&amp;N213,$F$2:$F$1201,"&gt;0")+1)</f>
        <v/>
      </c>
    </row>
    <row r="214" customFormat="false" ht="15" hidden="false" customHeight="false" outlineLevel="0" collapsed="false">
      <c r="A214" s="11" t="str">
        <f aca="false">IF(_LEITURA!$N214="","",INDEX(_LEITURA!$K$2:$K$1201,_LEITURA!$N214))</f>
        <v/>
      </c>
      <c r="B214" s="11" t="str">
        <f aca="false">IF(_LEITURA!$N214="","",INDEX(_LEITURA!$E$2:$E$1201,_LEITURA!$N214))</f>
        <v/>
      </c>
      <c r="C214" s="11" t="str">
        <f aca="false">IF(_LEITURA!$N214="","",INDEX(_LEITURA!$J$2:$J$1201,_LEITURA!$N214))</f>
        <v/>
      </c>
      <c r="D214" s="16" t="str">
        <f aca="false">IF(_LEITURA!$N214="","",INDEX(_LEITURA!$G$2:$G$1201,_LEITURA!$N214))</f>
        <v/>
      </c>
      <c r="E214" s="16" t="str">
        <f aca="false">IF(B214="","",SUMIFS(INVENTÁRIO!$C$2:$C$801,INVENTÁRIO!$A$2:$A$801,B214))</f>
        <v/>
      </c>
      <c r="F214" s="16" t="str">
        <f aca="false">IF(B214="","",MAX(0,D214-E214))</f>
        <v/>
      </c>
      <c r="G214" s="16" t="str">
        <f aca="false">IF(B214="","",IF(COUNTIFS($B$2:$B$1201,B214,$A$2:$A$1201,"&lt;&gt;"&amp;A214)&gt;0,"Sim",""))</f>
        <v/>
      </c>
      <c r="H214" s="16" t="str">
        <f aca="false">IF(N(F214)&gt;0,MAX(H$1:H213)+1,"")</f>
        <v/>
      </c>
      <c r="I214" s="11" t="str">
        <f aca="false">IF(B214="","",IF(INDEX($C$2:$C$1201,MATCH(B214,$B$2:$B$1201,0))&lt;&gt;C214,"Nome diferente em outro deck — revisar",""))</f>
        <v/>
      </c>
      <c r="J214" s="16" t="str">
        <f aca="false">IF(AND(B214&lt;&gt;"",A214=BULK!$A$1,N(F214)&gt;0),MAX(J$1:J213)+1,"")</f>
        <v/>
      </c>
      <c r="K214" s="11" t="str">
        <f aca="false">IF(B214="","",IFERROR(LEFT(B214,FIND("-",B214)-1),B214))</f>
        <v/>
      </c>
      <c r="L214" s="11" t="str">
        <f aca="false">IF(K214="","",IF(ISNUMBER(--MID(K214,1,1)),0,IF(ISNUMBER(--MID(K214,2,1)),1,IF(ISNUMBER(--MID(K214,3,1)),2,IF(ISNUMBER(--MID(K214,4,1)),3,MIN(LEN(K214),4))))))</f>
        <v/>
      </c>
      <c r="M214" s="11" t="str">
        <f aca="false">IF(B214="","",LEFT(K214,L214)&amp;REPT("0",4-L214)&amp;RIGHT("000"&amp;IFERROR(VALUE(MID(K214,L214+1,9)),0),3)&amp;RIGHT("0000"&amp;IFERROR(VALUE(MID(B214,FIND("-",B214)+1,9)),0),4))</f>
        <v/>
      </c>
      <c r="N214" s="11" t="str">
        <f aca="false">IF(OR(B214="",N(F214)&lt;=0),"",IF('FALTAS POR DECK'!$P$1="Código","K"&amp;M214&amp;RIGHT("00000"&amp;ROW(),5),IF('FALTAS POR DECK'!$P$1="Nome","K"&amp;UPPER(SUBSTITUTE(SUBSTITUTE(SUBSTITUTE(C214,"*",""),"?",""),"~",""))&amp;"0"&amp;M214&amp;RIGHT("00000"&amp;ROW(),5),IF('FALTAS POR DECK'!$P$1="Falta (maior primeiro)","K"&amp;RIGHT("0000"&amp;(9999-F214),4)&amp;M214&amp;RIGHT("00000"&amp;ROW(),5),IF('FALTAS POR DECK'!$P$1="Deck e código","K"&amp;RIGHT("00"&amp;IFERROR(MATCH(A214,_LEITURA!$P$2:$P$21,0),99),2)&amp;M214&amp;RIGHT("00000"&amp;ROW(),5),"K"&amp;RIGHT("00000"&amp;ROW(),5))))))</f>
        <v/>
      </c>
      <c r="O214" s="16" t="str">
        <f aca="false">IF(N214="","",COUNTIFS($N$2:$N$1201,"&lt;"&amp;N214,$F$2:$F$1201,"&gt;0")+1)</f>
        <v/>
      </c>
    </row>
    <row r="215" customFormat="false" ht="15" hidden="false" customHeight="false" outlineLevel="0" collapsed="false">
      <c r="A215" s="11" t="str">
        <f aca="false">IF(_LEITURA!$N215="","",INDEX(_LEITURA!$K$2:$K$1201,_LEITURA!$N215))</f>
        <v/>
      </c>
      <c r="B215" s="11" t="str">
        <f aca="false">IF(_LEITURA!$N215="","",INDEX(_LEITURA!$E$2:$E$1201,_LEITURA!$N215))</f>
        <v/>
      </c>
      <c r="C215" s="11" t="str">
        <f aca="false">IF(_LEITURA!$N215="","",INDEX(_LEITURA!$J$2:$J$1201,_LEITURA!$N215))</f>
        <v/>
      </c>
      <c r="D215" s="16" t="str">
        <f aca="false">IF(_LEITURA!$N215="","",INDEX(_LEITURA!$G$2:$G$1201,_LEITURA!$N215))</f>
        <v/>
      </c>
      <c r="E215" s="16" t="str">
        <f aca="false">IF(B215="","",SUMIFS(INVENTÁRIO!$C$2:$C$801,INVENTÁRIO!$A$2:$A$801,B215))</f>
        <v/>
      </c>
      <c r="F215" s="16" t="str">
        <f aca="false">IF(B215="","",MAX(0,D215-E215))</f>
        <v/>
      </c>
      <c r="G215" s="16" t="str">
        <f aca="false">IF(B215="","",IF(COUNTIFS($B$2:$B$1201,B215,$A$2:$A$1201,"&lt;&gt;"&amp;A215)&gt;0,"Sim",""))</f>
        <v/>
      </c>
      <c r="H215" s="16" t="str">
        <f aca="false">IF(N(F215)&gt;0,MAX(H$1:H214)+1,"")</f>
        <v/>
      </c>
      <c r="I215" s="11" t="str">
        <f aca="false">IF(B215="","",IF(INDEX($C$2:$C$1201,MATCH(B215,$B$2:$B$1201,0))&lt;&gt;C215,"Nome diferente em outro deck — revisar",""))</f>
        <v/>
      </c>
      <c r="J215" s="16" t="str">
        <f aca="false">IF(AND(B215&lt;&gt;"",A215=BULK!$A$1,N(F215)&gt;0),MAX(J$1:J214)+1,"")</f>
        <v/>
      </c>
      <c r="K215" s="11" t="str">
        <f aca="false">IF(B215="","",IFERROR(LEFT(B215,FIND("-",B215)-1),B215))</f>
        <v/>
      </c>
      <c r="L215" s="11" t="str">
        <f aca="false">IF(K215="","",IF(ISNUMBER(--MID(K215,1,1)),0,IF(ISNUMBER(--MID(K215,2,1)),1,IF(ISNUMBER(--MID(K215,3,1)),2,IF(ISNUMBER(--MID(K215,4,1)),3,MIN(LEN(K215),4))))))</f>
        <v/>
      </c>
      <c r="M215" s="11" t="str">
        <f aca="false">IF(B215="","",LEFT(K215,L215)&amp;REPT("0",4-L215)&amp;RIGHT("000"&amp;IFERROR(VALUE(MID(K215,L215+1,9)),0),3)&amp;RIGHT("0000"&amp;IFERROR(VALUE(MID(B215,FIND("-",B215)+1,9)),0),4))</f>
        <v/>
      </c>
      <c r="N215" s="11" t="str">
        <f aca="false">IF(OR(B215="",N(F215)&lt;=0),"",IF('FALTAS POR DECK'!$P$1="Código","K"&amp;M215&amp;RIGHT("00000"&amp;ROW(),5),IF('FALTAS POR DECK'!$P$1="Nome","K"&amp;UPPER(SUBSTITUTE(SUBSTITUTE(SUBSTITUTE(C215,"*",""),"?",""),"~",""))&amp;"0"&amp;M215&amp;RIGHT("00000"&amp;ROW(),5),IF('FALTAS POR DECK'!$P$1="Falta (maior primeiro)","K"&amp;RIGHT("0000"&amp;(9999-F215),4)&amp;M215&amp;RIGHT("00000"&amp;ROW(),5),IF('FALTAS POR DECK'!$P$1="Deck e código","K"&amp;RIGHT("00"&amp;IFERROR(MATCH(A215,_LEITURA!$P$2:$P$21,0),99),2)&amp;M215&amp;RIGHT("00000"&amp;ROW(),5),"K"&amp;RIGHT("00000"&amp;ROW(),5))))))</f>
        <v/>
      </c>
      <c r="O215" s="16" t="str">
        <f aca="false">IF(N215="","",COUNTIFS($N$2:$N$1201,"&lt;"&amp;N215,$F$2:$F$1201,"&gt;0")+1)</f>
        <v/>
      </c>
    </row>
    <row r="216" customFormat="false" ht="15" hidden="false" customHeight="false" outlineLevel="0" collapsed="false">
      <c r="A216" s="11" t="str">
        <f aca="false">IF(_LEITURA!$N216="","",INDEX(_LEITURA!$K$2:$K$1201,_LEITURA!$N216))</f>
        <v/>
      </c>
      <c r="B216" s="11" t="str">
        <f aca="false">IF(_LEITURA!$N216="","",INDEX(_LEITURA!$E$2:$E$1201,_LEITURA!$N216))</f>
        <v/>
      </c>
      <c r="C216" s="11" t="str">
        <f aca="false">IF(_LEITURA!$N216="","",INDEX(_LEITURA!$J$2:$J$1201,_LEITURA!$N216))</f>
        <v/>
      </c>
      <c r="D216" s="16" t="str">
        <f aca="false">IF(_LEITURA!$N216="","",INDEX(_LEITURA!$G$2:$G$1201,_LEITURA!$N216))</f>
        <v/>
      </c>
      <c r="E216" s="16" t="str">
        <f aca="false">IF(B216="","",SUMIFS(INVENTÁRIO!$C$2:$C$801,INVENTÁRIO!$A$2:$A$801,B216))</f>
        <v/>
      </c>
      <c r="F216" s="16" t="str">
        <f aca="false">IF(B216="","",MAX(0,D216-E216))</f>
        <v/>
      </c>
      <c r="G216" s="16" t="str">
        <f aca="false">IF(B216="","",IF(COUNTIFS($B$2:$B$1201,B216,$A$2:$A$1201,"&lt;&gt;"&amp;A216)&gt;0,"Sim",""))</f>
        <v/>
      </c>
      <c r="H216" s="16" t="str">
        <f aca="false">IF(N(F216)&gt;0,MAX(H$1:H215)+1,"")</f>
        <v/>
      </c>
      <c r="I216" s="11" t="str">
        <f aca="false">IF(B216="","",IF(INDEX($C$2:$C$1201,MATCH(B216,$B$2:$B$1201,0))&lt;&gt;C216,"Nome diferente em outro deck — revisar",""))</f>
        <v/>
      </c>
      <c r="J216" s="16" t="str">
        <f aca="false">IF(AND(B216&lt;&gt;"",A216=BULK!$A$1,N(F216)&gt;0),MAX(J$1:J215)+1,"")</f>
        <v/>
      </c>
      <c r="K216" s="11" t="str">
        <f aca="false">IF(B216="","",IFERROR(LEFT(B216,FIND("-",B216)-1),B216))</f>
        <v/>
      </c>
      <c r="L216" s="11" t="str">
        <f aca="false">IF(K216="","",IF(ISNUMBER(--MID(K216,1,1)),0,IF(ISNUMBER(--MID(K216,2,1)),1,IF(ISNUMBER(--MID(K216,3,1)),2,IF(ISNUMBER(--MID(K216,4,1)),3,MIN(LEN(K216),4))))))</f>
        <v/>
      </c>
      <c r="M216" s="11" t="str">
        <f aca="false">IF(B216="","",LEFT(K216,L216)&amp;REPT("0",4-L216)&amp;RIGHT("000"&amp;IFERROR(VALUE(MID(K216,L216+1,9)),0),3)&amp;RIGHT("0000"&amp;IFERROR(VALUE(MID(B216,FIND("-",B216)+1,9)),0),4))</f>
        <v/>
      </c>
      <c r="N216" s="11" t="str">
        <f aca="false">IF(OR(B216="",N(F216)&lt;=0),"",IF('FALTAS POR DECK'!$P$1="Código","K"&amp;M216&amp;RIGHT("00000"&amp;ROW(),5),IF('FALTAS POR DECK'!$P$1="Nome","K"&amp;UPPER(SUBSTITUTE(SUBSTITUTE(SUBSTITUTE(C216,"*",""),"?",""),"~",""))&amp;"0"&amp;M216&amp;RIGHT("00000"&amp;ROW(),5),IF('FALTAS POR DECK'!$P$1="Falta (maior primeiro)","K"&amp;RIGHT("0000"&amp;(9999-F216),4)&amp;M216&amp;RIGHT("00000"&amp;ROW(),5),IF('FALTAS POR DECK'!$P$1="Deck e código","K"&amp;RIGHT("00"&amp;IFERROR(MATCH(A216,_LEITURA!$P$2:$P$21,0),99),2)&amp;M216&amp;RIGHT("00000"&amp;ROW(),5),"K"&amp;RIGHT("00000"&amp;ROW(),5))))))</f>
        <v/>
      </c>
      <c r="O216" s="16" t="str">
        <f aca="false">IF(N216="","",COUNTIFS($N$2:$N$1201,"&lt;"&amp;N216,$F$2:$F$1201,"&gt;0")+1)</f>
        <v/>
      </c>
    </row>
    <row r="217" customFormat="false" ht="15" hidden="false" customHeight="false" outlineLevel="0" collapsed="false">
      <c r="A217" s="11" t="str">
        <f aca="false">IF(_LEITURA!$N217="","",INDEX(_LEITURA!$K$2:$K$1201,_LEITURA!$N217))</f>
        <v/>
      </c>
      <c r="B217" s="11" t="str">
        <f aca="false">IF(_LEITURA!$N217="","",INDEX(_LEITURA!$E$2:$E$1201,_LEITURA!$N217))</f>
        <v/>
      </c>
      <c r="C217" s="11" t="str">
        <f aca="false">IF(_LEITURA!$N217="","",INDEX(_LEITURA!$J$2:$J$1201,_LEITURA!$N217))</f>
        <v/>
      </c>
      <c r="D217" s="16" t="str">
        <f aca="false">IF(_LEITURA!$N217="","",INDEX(_LEITURA!$G$2:$G$1201,_LEITURA!$N217))</f>
        <v/>
      </c>
      <c r="E217" s="16" t="str">
        <f aca="false">IF(B217="","",SUMIFS(INVENTÁRIO!$C$2:$C$801,INVENTÁRIO!$A$2:$A$801,B217))</f>
        <v/>
      </c>
      <c r="F217" s="16" t="str">
        <f aca="false">IF(B217="","",MAX(0,D217-E217))</f>
        <v/>
      </c>
      <c r="G217" s="16" t="str">
        <f aca="false">IF(B217="","",IF(COUNTIFS($B$2:$B$1201,B217,$A$2:$A$1201,"&lt;&gt;"&amp;A217)&gt;0,"Sim",""))</f>
        <v/>
      </c>
      <c r="H217" s="16" t="str">
        <f aca="false">IF(N(F217)&gt;0,MAX(H$1:H216)+1,"")</f>
        <v/>
      </c>
      <c r="I217" s="11" t="str">
        <f aca="false">IF(B217="","",IF(INDEX($C$2:$C$1201,MATCH(B217,$B$2:$B$1201,0))&lt;&gt;C217,"Nome diferente em outro deck — revisar",""))</f>
        <v/>
      </c>
      <c r="J217" s="16" t="str">
        <f aca="false">IF(AND(B217&lt;&gt;"",A217=BULK!$A$1,N(F217)&gt;0),MAX(J$1:J216)+1,"")</f>
        <v/>
      </c>
      <c r="K217" s="11" t="str">
        <f aca="false">IF(B217="","",IFERROR(LEFT(B217,FIND("-",B217)-1),B217))</f>
        <v/>
      </c>
      <c r="L217" s="11" t="str">
        <f aca="false">IF(K217="","",IF(ISNUMBER(--MID(K217,1,1)),0,IF(ISNUMBER(--MID(K217,2,1)),1,IF(ISNUMBER(--MID(K217,3,1)),2,IF(ISNUMBER(--MID(K217,4,1)),3,MIN(LEN(K217),4))))))</f>
        <v/>
      </c>
      <c r="M217" s="11" t="str">
        <f aca="false">IF(B217="","",LEFT(K217,L217)&amp;REPT("0",4-L217)&amp;RIGHT("000"&amp;IFERROR(VALUE(MID(K217,L217+1,9)),0),3)&amp;RIGHT("0000"&amp;IFERROR(VALUE(MID(B217,FIND("-",B217)+1,9)),0),4))</f>
        <v/>
      </c>
      <c r="N217" s="11" t="str">
        <f aca="false">IF(OR(B217="",N(F217)&lt;=0),"",IF('FALTAS POR DECK'!$P$1="Código","K"&amp;M217&amp;RIGHT("00000"&amp;ROW(),5),IF('FALTAS POR DECK'!$P$1="Nome","K"&amp;UPPER(SUBSTITUTE(SUBSTITUTE(SUBSTITUTE(C217,"*",""),"?",""),"~",""))&amp;"0"&amp;M217&amp;RIGHT("00000"&amp;ROW(),5),IF('FALTAS POR DECK'!$P$1="Falta (maior primeiro)","K"&amp;RIGHT("0000"&amp;(9999-F217),4)&amp;M217&amp;RIGHT("00000"&amp;ROW(),5),IF('FALTAS POR DECK'!$P$1="Deck e código","K"&amp;RIGHT("00"&amp;IFERROR(MATCH(A217,_LEITURA!$P$2:$P$21,0),99),2)&amp;M217&amp;RIGHT("00000"&amp;ROW(),5),"K"&amp;RIGHT("00000"&amp;ROW(),5))))))</f>
        <v/>
      </c>
      <c r="O217" s="16" t="str">
        <f aca="false">IF(N217="","",COUNTIFS($N$2:$N$1201,"&lt;"&amp;N217,$F$2:$F$1201,"&gt;0")+1)</f>
        <v/>
      </c>
    </row>
    <row r="218" customFormat="false" ht="15" hidden="false" customHeight="false" outlineLevel="0" collapsed="false">
      <c r="A218" s="11" t="str">
        <f aca="false">IF(_LEITURA!$N218="","",INDEX(_LEITURA!$K$2:$K$1201,_LEITURA!$N218))</f>
        <v/>
      </c>
      <c r="B218" s="11" t="str">
        <f aca="false">IF(_LEITURA!$N218="","",INDEX(_LEITURA!$E$2:$E$1201,_LEITURA!$N218))</f>
        <v/>
      </c>
      <c r="C218" s="11" t="str">
        <f aca="false">IF(_LEITURA!$N218="","",INDEX(_LEITURA!$J$2:$J$1201,_LEITURA!$N218))</f>
        <v/>
      </c>
      <c r="D218" s="16" t="str">
        <f aca="false">IF(_LEITURA!$N218="","",INDEX(_LEITURA!$G$2:$G$1201,_LEITURA!$N218))</f>
        <v/>
      </c>
      <c r="E218" s="16" t="str">
        <f aca="false">IF(B218="","",SUMIFS(INVENTÁRIO!$C$2:$C$801,INVENTÁRIO!$A$2:$A$801,B218))</f>
        <v/>
      </c>
      <c r="F218" s="16" t="str">
        <f aca="false">IF(B218="","",MAX(0,D218-E218))</f>
        <v/>
      </c>
      <c r="G218" s="16" t="str">
        <f aca="false">IF(B218="","",IF(COUNTIFS($B$2:$B$1201,B218,$A$2:$A$1201,"&lt;&gt;"&amp;A218)&gt;0,"Sim",""))</f>
        <v/>
      </c>
      <c r="H218" s="16" t="str">
        <f aca="false">IF(N(F218)&gt;0,MAX(H$1:H217)+1,"")</f>
        <v/>
      </c>
      <c r="I218" s="11" t="str">
        <f aca="false">IF(B218="","",IF(INDEX($C$2:$C$1201,MATCH(B218,$B$2:$B$1201,0))&lt;&gt;C218,"Nome diferente em outro deck — revisar",""))</f>
        <v/>
      </c>
      <c r="J218" s="16" t="str">
        <f aca="false">IF(AND(B218&lt;&gt;"",A218=BULK!$A$1,N(F218)&gt;0),MAX(J$1:J217)+1,"")</f>
        <v/>
      </c>
      <c r="K218" s="11" t="str">
        <f aca="false">IF(B218="","",IFERROR(LEFT(B218,FIND("-",B218)-1),B218))</f>
        <v/>
      </c>
      <c r="L218" s="11" t="str">
        <f aca="false">IF(K218="","",IF(ISNUMBER(--MID(K218,1,1)),0,IF(ISNUMBER(--MID(K218,2,1)),1,IF(ISNUMBER(--MID(K218,3,1)),2,IF(ISNUMBER(--MID(K218,4,1)),3,MIN(LEN(K218),4))))))</f>
        <v/>
      </c>
      <c r="M218" s="11" t="str">
        <f aca="false">IF(B218="","",LEFT(K218,L218)&amp;REPT("0",4-L218)&amp;RIGHT("000"&amp;IFERROR(VALUE(MID(K218,L218+1,9)),0),3)&amp;RIGHT("0000"&amp;IFERROR(VALUE(MID(B218,FIND("-",B218)+1,9)),0),4))</f>
        <v/>
      </c>
      <c r="N218" s="11" t="str">
        <f aca="false">IF(OR(B218="",N(F218)&lt;=0),"",IF('FALTAS POR DECK'!$P$1="Código","K"&amp;M218&amp;RIGHT("00000"&amp;ROW(),5),IF('FALTAS POR DECK'!$P$1="Nome","K"&amp;UPPER(SUBSTITUTE(SUBSTITUTE(SUBSTITUTE(C218,"*",""),"?",""),"~",""))&amp;"0"&amp;M218&amp;RIGHT("00000"&amp;ROW(),5),IF('FALTAS POR DECK'!$P$1="Falta (maior primeiro)","K"&amp;RIGHT("0000"&amp;(9999-F218),4)&amp;M218&amp;RIGHT("00000"&amp;ROW(),5),IF('FALTAS POR DECK'!$P$1="Deck e código","K"&amp;RIGHT("00"&amp;IFERROR(MATCH(A218,_LEITURA!$P$2:$P$21,0),99),2)&amp;M218&amp;RIGHT("00000"&amp;ROW(),5),"K"&amp;RIGHT("00000"&amp;ROW(),5))))))</f>
        <v/>
      </c>
      <c r="O218" s="16" t="str">
        <f aca="false">IF(N218="","",COUNTIFS($N$2:$N$1201,"&lt;"&amp;N218,$F$2:$F$1201,"&gt;0")+1)</f>
        <v/>
      </c>
    </row>
    <row r="219" customFormat="false" ht="15" hidden="false" customHeight="false" outlineLevel="0" collapsed="false">
      <c r="A219" s="11" t="str">
        <f aca="false">IF(_LEITURA!$N219="","",INDEX(_LEITURA!$K$2:$K$1201,_LEITURA!$N219))</f>
        <v/>
      </c>
      <c r="B219" s="11" t="str">
        <f aca="false">IF(_LEITURA!$N219="","",INDEX(_LEITURA!$E$2:$E$1201,_LEITURA!$N219))</f>
        <v/>
      </c>
      <c r="C219" s="11" t="str">
        <f aca="false">IF(_LEITURA!$N219="","",INDEX(_LEITURA!$J$2:$J$1201,_LEITURA!$N219))</f>
        <v/>
      </c>
      <c r="D219" s="16" t="str">
        <f aca="false">IF(_LEITURA!$N219="","",INDEX(_LEITURA!$G$2:$G$1201,_LEITURA!$N219))</f>
        <v/>
      </c>
      <c r="E219" s="16" t="str">
        <f aca="false">IF(B219="","",SUMIFS(INVENTÁRIO!$C$2:$C$801,INVENTÁRIO!$A$2:$A$801,B219))</f>
        <v/>
      </c>
      <c r="F219" s="16" t="str">
        <f aca="false">IF(B219="","",MAX(0,D219-E219))</f>
        <v/>
      </c>
      <c r="G219" s="16" t="str">
        <f aca="false">IF(B219="","",IF(COUNTIFS($B$2:$B$1201,B219,$A$2:$A$1201,"&lt;&gt;"&amp;A219)&gt;0,"Sim",""))</f>
        <v/>
      </c>
      <c r="H219" s="16" t="str">
        <f aca="false">IF(N(F219)&gt;0,MAX(H$1:H218)+1,"")</f>
        <v/>
      </c>
      <c r="I219" s="11" t="str">
        <f aca="false">IF(B219="","",IF(INDEX($C$2:$C$1201,MATCH(B219,$B$2:$B$1201,0))&lt;&gt;C219,"Nome diferente em outro deck — revisar",""))</f>
        <v/>
      </c>
      <c r="J219" s="16" t="str">
        <f aca="false">IF(AND(B219&lt;&gt;"",A219=BULK!$A$1,N(F219)&gt;0),MAX(J$1:J218)+1,"")</f>
        <v/>
      </c>
      <c r="K219" s="11" t="str">
        <f aca="false">IF(B219="","",IFERROR(LEFT(B219,FIND("-",B219)-1),B219))</f>
        <v/>
      </c>
      <c r="L219" s="11" t="str">
        <f aca="false">IF(K219="","",IF(ISNUMBER(--MID(K219,1,1)),0,IF(ISNUMBER(--MID(K219,2,1)),1,IF(ISNUMBER(--MID(K219,3,1)),2,IF(ISNUMBER(--MID(K219,4,1)),3,MIN(LEN(K219),4))))))</f>
        <v/>
      </c>
      <c r="M219" s="11" t="str">
        <f aca="false">IF(B219="","",LEFT(K219,L219)&amp;REPT("0",4-L219)&amp;RIGHT("000"&amp;IFERROR(VALUE(MID(K219,L219+1,9)),0),3)&amp;RIGHT("0000"&amp;IFERROR(VALUE(MID(B219,FIND("-",B219)+1,9)),0),4))</f>
        <v/>
      </c>
      <c r="N219" s="11" t="str">
        <f aca="false">IF(OR(B219="",N(F219)&lt;=0),"",IF('FALTAS POR DECK'!$P$1="Código","K"&amp;M219&amp;RIGHT("00000"&amp;ROW(),5),IF('FALTAS POR DECK'!$P$1="Nome","K"&amp;UPPER(SUBSTITUTE(SUBSTITUTE(SUBSTITUTE(C219,"*",""),"?",""),"~",""))&amp;"0"&amp;M219&amp;RIGHT("00000"&amp;ROW(),5),IF('FALTAS POR DECK'!$P$1="Falta (maior primeiro)","K"&amp;RIGHT("0000"&amp;(9999-F219),4)&amp;M219&amp;RIGHT("00000"&amp;ROW(),5),IF('FALTAS POR DECK'!$P$1="Deck e código","K"&amp;RIGHT("00"&amp;IFERROR(MATCH(A219,_LEITURA!$P$2:$P$21,0),99),2)&amp;M219&amp;RIGHT("00000"&amp;ROW(),5),"K"&amp;RIGHT("00000"&amp;ROW(),5))))))</f>
        <v/>
      </c>
      <c r="O219" s="16" t="str">
        <f aca="false">IF(N219="","",COUNTIFS($N$2:$N$1201,"&lt;"&amp;N219,$F$2:$F$1201,"&gt;0")+1)</f>
        <v/>
      </c>
    </row>
    <row r="220" customFormat="false" ht="15" hidden="false" customHeight="false" outlineLevel="0" collapsed="false">
      <c r="A220" s="11" t="str">
        <f aca="false">IF(_LEITURA!$N220="","",INDEX(_LEITURA!$K$2:$K$1201,_LEITURA!$N220))</f>
        <v/>
      </c>
      <c r="B220" s="11" t="str">
        <f aca="false">IF(_LEITURA!$N220="","",INDEX(_LEITURA!$E$2:$E$1201,_LEITURA!$N220))</f>
        <v/>
      </c>
      <c r="C220" s="11" t="str">
        <f aca="false">IF(_LEITURA!$N220="","",INDEX(_LEITURA!$J$2:$J$1201,_LEITURA!$N220))</f>
        <v/>
      </c>
      <c r="D220" s="16" t="str">
        <f aca="false">IF(_LEITURA!$N220="","",INDEX(_LEITURA!$G$2:$G$1201,_LEITURA!$N220))</f>
        <v/>
      </c>
      <c r="E220" s="16" t="str">
        <f aca="false">IF(B220="","",SUMIFS(INVENTÁRIO!$C$2:$C$801,INVENTÁRIO!$A$2:$A$801,B220))</f>
        <v/>
      </c>
      <c r="F220" s="16" t="str">
        <f aca="false">IF(B220="","",MAX(0,D220-E220))</f>
        <v/>
      </c>
      <c r="G220" s="16" t="str">
        <f aca="false">IF(B220="","",IF(COUNTIFS($B$2:$B$1201,B220,$A$2:$A$1201,"&lt;&gt;"&amp;A220)&gt;0,"Sim",""))</f>
        <v/>
      </c>
      <c r="H220" s="16" t="str">
        <f aca="false">IF(N(F220)&gt;0,MAX(H$1:H219)+1,"")</f>
        <v/>
      </c>
      <c r="I220" s="11" t="str">
        <f aca="false">IF(B220="","",IF(INDEX($C$2:$C$1201,MATCH(B220,$B$2:$B$1201,0))&lt;&gt;C220,"Nome diferente em outro deck — revisar",""))</f>
        <v/>
      </c>
      <c r="J220" s="16" t="str">
        <f aca="false">IF(AND(B220&lt;&gt;"",A220=BULK!$A$1,N(F220)&gt;0),MAX(J$1:J219)+1,"")</f>
        <v/>
      </c>
      <c r="K220" s="11" t="str">
        <f aca="false">IF(B220="","",IFERROR(LEFT(B220,FIND("-",B220)-1),B220))</f>
        <v/>
      </c>
      <c r="L220" s="11" t="str">
        <f aca="false">IF(K220="","",IF(ISNUMBER(--MID(K220,1,1)),0,IF(ISNUMBER(--MID(K220,2,1)),1,IF(ISNUMBER(--MID(K220,3,1)),2,IF(ISNUMBER(--MID(K220,4,1)),3,MIN(LEN(K220),4))))))</f>
        <v/>
      </c>
      <c r="M220" s="11" t="str">
        <f aca="false">IF(B220="","",LEFT(K220,L220)&amp;REPT("0",4-L220)&amp;RIGHT("000"&amp;IFERROR(VALUE(MID(K220,L220+1,9)),0),3)&amp;RIGHT("0000"&amp;IFERROR(VALUE(MID(B220,FIND("-",B220)+1,9)),0),4))</f>
        <v/>
      </c>
      <c r="N220" s="11" t="str">
        <f aca="false">IF(OR(B220="",N(F220)&lt;=0),"",IF('FALTAS POR DECK'!$P$1="Código","K"&amp;M220&amp;RIGHT("00000"&amp;ROW(),5),IF('FALTAS POR DECK'!$P$1="Nome","K"&amp;UPPER(SUBSTITUTE(SUBSTITUTE(SUBSTITUTE(C220,"*",""),"?",""),"~",""))&amp;"0"&amp;M220&amp;RIGHT("00000"&amp;ROW(),5),IF('FALTAS POR DECK'!$P$1="Falta (maior primeiro)","K"&amp;RIGHT("0000"&amp;(9999-F220),4)&amp;M220&amp;RIGHT("00000"&amp;ROW(),5),IF('FALTAS POR DECK'!$P$1="Deck e código","K"&amp;RIGHT("00"&amp;IFERROR(MATCH(A220,_LEITURA!$P$2:$P$21,0),99),2)&amp;M220&amp;RIGHT("00000"&amp;ROW(),5),"K"&amp;RIGHT("00000"&amp;ROW(),5))))))</f>
        <v/>
      </c>
      <c r="O220" s="16" t="str">
        <f aca="false">IF(N220="","",COUNTIFS($N$2:$N$1201,"&lt;"&amp;N220,$F$2:$F$1201,"&gt;0")+1)</f>
        <v/>
      </c>
    </row>
    <row r="221" customFormat="false" ht="15" hidden="false" customHeight="false" outlineLevel="0" collapsed="false">
      <c r="A221" s="11" t="str">
        <f aca="false">IF(_LEITURA!$N221="","",INDEX(_LEITURA!$K$2:$K$1201,_LEITURA!$N221))</f>
        <v/>
      </c>
      <c r="B221" s="11" t="str">
        <f aca="false">IF(_LEITURA!$N221="","",INDEX(_LEITURA!$E$2:$E$1201,_LEITURA!$N221))</f>
        <v/>
      </c>
      <c r="C221" s="11" t="str">
        <f aca="false">IF(_LEITURA!$N221="","",INDEX(_LEITURA!$J$2:$J$1201,_LEITURA!$N221))</f>
        <v/>
      </c>
      <c r="D221" s="16" t="str">
        <f aca="false">IF(_LEITURA!$N221="","",INDEX(_LEITURA!$G$2:$G$1201,_LEITURA!$N221))</f>
        <v/>
      </c>
      <c r="E221" s="16" t="str">
        <f aca="false">IF(B221="","",SUMIFS(INVENTÁRIO!$C$2:$C$801,INVENTÁRIO!$A$2:$A$801,B221))</f>
        <v/>
      </c>
      <c r="F221" s="16" t="str">
        <f aca="false">IF(B221="","",MAX(0,D221-E221))</f>
        <v/>
      </c>
      <c r="G221" s="16" t="str">
        <f aca="false">IF(B221="","",IF(COUNTIFS($B$2:$B$1201,B221,$A$2:$A$1201,"&lt;&gt;"&amp;A221)&gt;0,"Sim",""))</f>
        <v/>
      </c>
      <c r="H221" s="16" t="str">
        <f aca="false">IF(N(F221)&gt;0,MAX(H$1:H220)+1,"")</f>
        <v/>
      </c>
      <c r="I221" s="11" t="str">
        <f aca="false">IF(B221="","",IF(INDEX($C$2:$C$1201,MATCH(B221,$B$2:$B$1201,0))&lt;&gt;C221,"Nome diferente em outro deck — revisar",""))</f>
        <v/>
      </c>
      <c r="J221" s="16" t="str">
        <f aca="false">IF(AND(B221&lt;&gt;"",A221=BULK!$A$1,N(F221)&gt;0),MAX(J$1:J220)+1,"")</f>
        <v/>
      </c>
      <c r="K221" s="11" t="str">
        <f aca="false">IF(B221="","",IFERROR(LEFT(B221,FIND("-",B221)-1),B221))</f>
        <v/>
      </c>
      <c r="L221" s="11" t="str">
        <f aca="false">IF(K221="","",IF(ISNUMBER(--MID(K221,1,1)),0,IF(ISNUMBER(--MID(K221,2,1)),1,IF(ISNUMBER(--MID(K221,3,1)),2,IF(ISNUMBER(--MID(K221,4,1)),3,MIN(LEN(K221),4))))))</f>
        <v/>
      </c>
      <c r="M221" s="11" t="str">
        <f aca="false">IF(B221="","",LEFT(K221,L221)&amp;REPT("0",4-L221)&amp;RIGHT("000"&amp;IFERROR(VALUE(MID(K221,L221+1,9)),0),3)&amp;RIGHT("0000"&amp;IFERROR(VALUE(MID(B221,FIND("-",B221)+1,9)),0),4))</f>
        <v/>
      </c>
      <c r="N221" s="11" t="str">
        <f aca="false">IF(OR(B221="",N(F221)&lt;=0),"",IF('FALTAS POR DECK'!$P$1="Código","K"&amp;M221&amp;RIGHT("00000"&amp;ROW(),5),IF('FALTAS POR DECK'!$P$1="Nome","K"&amp;UPPER(SUBSTITUTE(SUBSTITUTE(SUBSTITUTE(C221,"*",""),"?",""),"~",""))&amp;"0"&amp;M221&amp;RIGHT("00000"&amp;ROW(),5),IF('FALTAS POR DECK'!$P$1="Falta (maior primeiro)","K"&amp;RIGHT("0000"&amp;(9999-F221),4)&amp;M221&amp;RIGHT("00000"&amp;ROW(),5),IF('FALTAS POR DECK'!$P$1="Deck e código","K"&amp;RIGHT("00"&amp;IFERROR(MATCH(A221,_LEITURA!$P$2:$P$21,0),99),2)&amp;M221&amp;RIGHT("00000"&amp;ROW(),5),"K"&amp;RIGHT("00000"&amp;ROW(),5))))))</f>
        <v/>
      </c>
      <c r="O221" s="16" t="str">
        <f aca="false">IF(N221="","",COUNTIFS($N$2:$N$1201,"&lt;"&amp;N221,$F$2:$F$1201,"&gt;0")+1)</f>
        <v/>
      </c>
    </row>
    <row r="222" customFormat="false" ht="15" hidden="false" customHeight="false" outlineLevel="0" collapsed="false">
      <c r="A222" s="11" t="str">
        <f aca="false">IF(_LEITURA!$N222="","",INDEX(_LEITURA!$K$2:$K$1201,_LEITURA!$N222))</f>
        <v/>
      </c>
      <c r="B222" s="11" t="str">
        <f aca="false">IF(_LEITURA!$N222="","",INDEX(_LEITURA!$E$2:$E$1201,_LEITURA!$N222))</f>
        <v/>
      </c>
      <c r="C222" s="11" t="str">
        <f aca="false">IF(_LEITURA!$N222="","",INDEX(_LEITURA!$J$2:$J$1201,_LEITURA!$N222))</f>
        <v/>
      </c>
      <c r="D222" s="16" t="str">
        <f aca="false">IF(_LEITURA!$N222="","",INDEX(_LEITURA!$G$2:$G$1201,_LEITURA!$N222))</f>
        <v/>
      </c>
      <c r="E222" s="16" t="str">
        <f aca="false">IF(B222="","",SUMIFS(INVENTÁRIO!$C$2:$C$801,INVENTÁRIO!$A$2:$A$801,B222))</f>
        <v/>
      </c>
      <c r="F222" s="16" t="str">
        <f aca="false">IF(B222="","",MAX(0,D222-E222))</f>
        <v/>
      </c>
      <c r="G222" s="16" t="str">
        <f aca="false">IF(B222="","",IF(COUNTIFS($B$2:$B$1201,B222,$A$2:$A$1201,"&lt;&gt;"&amp;A222)&gt;0,"Sim",""))</f>
        <v/>
      </c>
      <c r="H222" s="16" t="str">
        <f aca="false">IF(N(F222)&gt;0,MAX(H$1:H221)+1,"")</f>
        <v/>
      </c>
      <c r="I222" s="11" t="str">
        <f aca="false">IF(B222="","",IF(INDEX($C$2:$C$1201,MATCH(B222,$B$2:$B$1201,0))&lt;&gt;C222,"Nome diferente em outro deck — revisar",""))</f>
        <v/>
      </c>
      <c r="J222" s="16" t="str">
        <f aca="false">IF(AND(B222&lt;&gt;"",A222=BULK!$A$1,N(F222)&gt;0),MAX(J$1:J221)+1,"")</f>
        <v/>
      </c>
      <c r="K222" s="11" t="str">
        <f aca="false">IF(B222="","",IFERROR(LEFT(B222,FIND("-",B222)-1),B222))</f>
        <v/>
      </c>
      <c r="L222" s="11" t="str">
        <f aca="false">IF(K222="","",IF(ISNUMBER(--MID(K222,1,1)),0,IF(ISNUMBER(--MID(K222,2,1)),1,IF(ISNUMBER(--MID(K222,3,1)),2,IF(ISNUMBER(--MID(K222,4,1)),3,MIN(LEN(K222),4))))))</f>
        <v/>
      </c>
      <c r="M222" s="11" t="str">
        <f aca="false">IF(B222="","",LEFT(K222,L222)&amp;REPT("0",4-L222)&amp;RIGHT("000"&amp;IFERROR(VALUE(MID(K222,L222+1,9)),0),3)&amp;RIGHT("0000"&amp;IFERROR(VALUE(MID(B222,FIND("-",B222)+1,9)),0),4))</f>
        <v/>
      </c>
      <c r="N222" s="11" t="str">
        <f aca="false">IF(OR(B222="",N(F222)&lt;=0),"",IF('FALTAS POR DECK'!$P$1="Código","K"&amp;M222&amp;RIGHT("00000"&amp;ROW(),5),IF('FALTAS POR DECK'!$P$1="Nome","K"&amp;UPPER(SUBSTITUTE(SUBSTITUTE(SUBSTITUTE(C222,"*",""),"?",""),"~",""))&amp;"0"&amp;M222&amp;RIGHT("00000"&amp;ROW(),5),IF('FALTAS POR DECK'!$P$1="Falta (maior primeiro)","K"&amp;RIGHT("0000"&amp;(9999-F222),4)&amp;M222&amp;RIGHT("00000"&amp;ROW(),5),IF('FALTAS POR DECK'!$P$1="Deck e código","K"&amp;RIGHT("00"&amp;IFERROR(MATCH(A222,_LEITURA!$P$2:$P$21,0),99),2)&amp;M222&amp;RIGHT("00000"&amp;ROW(),5),"K"&amp;RIGHT("00000"&amp;ROW(),5))))))</f>
        <v/>
      </c>
      <c r="O222" s="16" t="str">
        <f aca="false">IF(N222="","",COUNTIFS($N$2:$N$1201,"&lt;"&amp;N222,$F$2:$F$1201,"&gt;0")+1)</f>
        <v/>
      </c>
    </row>
    <row r="223" customFormat="false" ht="15" hidden="false" customHeight="false" outlineLevel="0" collapsed="false">
      <c r="A223" s="11" t="str">
        <f aca="false">IF(_LEITURA!$N223="","",INDEX(_LEITURA!$K$2:$K$1201,_LEITURA!$N223))</f>
        <v/>
      </c>
      <c r="B223" s="11" t="str">
        <f aca="false">IF(_LEITURA!$N223="","",INDEX(_LEITURA!$E$2:$E$1201,_LEITURA!$N223))</f>
        <v/>
      </c>
      <c r="C223" s="11" t="str">
        <f aca="false">IF(_LEITURA!$N223="","",INDEX(_LEITURA!$J$2:$J$1201,_LEITURA!$N223))</f>
        <v/>
      </c>
      <c r="D223" s="16" t="str">
        <f aca="false">IF(_LEITURA!$N223="","",INDEX(_LEITURA!$G$2:$G$1201,_LEITURA!$N223))</f>
        <v/>
      </c>
      <c r="E223" s="16" t="str">
        <f aca="false">IF(B223="","",SUMIFS(INVENTÁRIO!$C$2:$C$801,INVENTÁRIO!$A$2:$A$801,B223))</f>
        <v/>
      </c>
      <c r="F223" s="16" t="str">
        <f aca="false">IF(B223="","",MAX(0,D223-E223))</f>
        <v/>
      </c>
      <c r="G223" s="16" t="str">
        <f aca="false">IF(B223="","",IF(COUNTIFS($B$2:$B$1201,B223,$A$2:$A$1201,"&lt;&gt;"&amp;A223)&gt;0,"Sim",""))</f>
        <v/>
      </c>
      <c r="H223" s="16" t="str">
        <f aca="false">IF(N(F223)&gt;0,MAX(H$1:H222)+1,"")</f>
        <v/>
      </c>
      <c r="I223" s="11" t="str">
        <f aca="false">IF(B223="","",IF(INDEX($C$2:$C$1201,MATCH(B223,$B$2:$B$1201,0))&lt;&gt;C223,"Nome diferente em outro deck — revisar",""))</f>
        <v/>
      </c>
      <c r="J223" s="16" t="str">
        <f aca="false">IF(AND(B223&lt;&gt;"",A223=BULK!$A$1,N(F223)&gt;0),MAX(J$1:J222)+1,"")</f>
        <v/>
      </c>
      <c r="K223" s="11" t="str">
        <f aca="false">IF(B223="","",IFERROR(LEFT(B223,FIND("-",B223)-1),B223))</f>
        <v/>
      </c>
      <c r="L223" s="11" t="str">
        <f aca="false">IF(K223="","",IF(ISNUMBER(--MID(K223,1,1)),0,IF(ISNUMBER(--MID(K223,2,1)),1,IF(ISNUMBER(--MID(K223,3,1)),2,IF(ISNUMBER(--MID(K223,4,1)),3,MIN(LEN(K223),4))))))</f>
        <v/>
      </c>
      <c r="M223" s="11" t="str">
        <f aca="false">IF(B223="","",LEFT(K223,L223)&amp;REPT("0",4-L223)&amp;RIGHT("000"&amp;IFERROR(VALUE(MID(K223,L223+1,9)),0),3)&amp;RIGHT("0000"&amp;IFERROR(VALUE(MID(B223,FIND("-",B223)+1,9)),0),4))</f>
        <v/>
      </c>
      <c r="N223" s="11" t="str">
        <f aca="false">IF(OR(B223="",N(F223)&lt;=0),"",IF('FALTAS POR DECK'!$P$1="Código","K"&amp;M223&amp;RIGHT("00000"&amp;ROW(),5),IF('FALTAS POR DECK'!$P$1="Nome","K"&amp;UPPER(SUBSTITUTE(SUBSTITUTE(SUBSTITUTE(C223,"*",""),"?",""),"~",""))&amp;"0"&amp;M223&amp;RIGHT("00000"&amp;ROW(),5),IF('FALTAS POR DECK'!$P$1="Falta (maior primeiro)","K"&amp;RIGHT("0000"&amp;(9999-F223),4)&amp;M223&amp;RIGHT("00000"&amp;ROW(),5),IF('FALTAS POR DECK'!$P$1="Deck e código","K"&amp;RIGHT("00"&amp;IFERROR(MATCH(A223,_LEITURA!$P$2:$P$21,0),99),2)&amp;M223&amp;RIGHT("00000"&amp;ROW(),5),"K"&amp;RIGHT("00000"&amp;ROW(),5))))))</f>
        <v/>
      </c>
      <c r="O223" s="16" t="str">
        <f aca="false">IF(N223="","",COUNTIFS($N$2:$N$1201,"&lt;"&amp;N223,$F$2:$F$1201,"&gt;0")+1)</f>
        <v/>
      </c>
    </row>
    <row r="224" customFormat="false" ht="15" hidden="false" customHeight="false" outlineLevel="0" collapsed="false">
      <c r="A224" s="11" t="str">
        <f aca="false">IF(_LEITURA!$N224="","",INDEX(_LEITURA!$K$2:$K$1201,_LEITURA!$N224))</f>
        <v/>
      </c>
      <c r="B224" s="11" t="str">
        <f aca="false">IF(_LEITURA!$N224="","",INDEX(_LEITURA!$E$2:$E$1201,_LEITURA!$N224))</f>
        <v/>
      </c>
      <c r="C224" s="11" t="str">
        <f aca="false">IF(_LEITURA!$N224="","",INDEX(_LEITURA!$J$2:$J$1201,_LEITURA!$N224))</f>
        <v/>
      </c>
      <c r="D224" s="16" t="str">
        <f aca="false">IF(_LEITURA!$N224="","",INDEX(_LEITURA!$G$2:$G$1201,_LEITURA!$N224))</f>
        <v/>
      </c>
      <c r="E224" s="16" t="str">
        <f aca="false">IF(B224="","",SUMIFS(INVENTÁRIO!$C$2:$C$801,INVENTÁRIO!$A$2:$A$801,B224))</f>
        <v/>
      </c>
      <c r="F224" s="16" t="str">
        <f aca="false">IF(B224="","",MAX(0,D224-E224))</f>
        <v/>
      </c>
      <c r="G224" s="16" t="str">
        <f aca="false">IF(B224="","",IF(COUNTIFS($B$2:$B$1201,B224,$A$2:$A$1201,"&lt;&gt;"&amp;A224)&gt;0,"Sim",""))</f>
        <v/>
      </c>
      <c r="H224" s="16" t="str">
        <f aca="false">IF(N(F224)&gt;0,MAX(H$1:H223)+1,"")</f>
        <v/>
      </c>
      <c r="I224" s="11" t="str">
        <f aca="false">IF(B224="","",IF(INDEX($C$2:$C$1201,MATCH(B224,$B$2:$B$1201,0))&lt;&gt;C224,"Nome diferente em outro deck — revisar",""))</f>
        <v/>
      </c>
      <c r="J224" s="16" t="str">
        <f aca="false">IF(AND(B224&lt;&gt;"",A224=BULK!$A$1,N(F224)&gt;0),MAX(J$1:J223)+1,"")</f>
        <v/>
      </c>
      <c r="K224" s="11" t="str">
        <f aca="false">IF(B224="","",IFERROR(LEFT(B224,FIND("-",B224)-1),B224))</f>
        <v/>
      </c>
      <c r="L224" s="11" t="str">
        <f aca="false">IF(K224="","",IF(ISNUMBER(--MID(K224,1,1)),0,IF(ISNUMBER(--MID(K224,2,1)),1,IF(ISNUMBER(--MID(K224,3,1)),2,IF(ISNUMBER(--MID(K224,4,1)),3,MIN(LEN(K224),4))))))</f>
        <v/>
      </c>
      <c r="M224" s="11" t="str">
        <f aca="false">IF(B224="","",LEFT(K224,L224)&amp;REPT("0",4-L224)&amp;RIGHT("000"&amp;IFERROR(VALUE(MID(K224,L224+1,9)),0),3)&amp;RIGHT("0000"&amp;IFERROR(VALUE(MID(B224,FIND("-",B224)+1,9)),0),4))</f>
        <v/>
      </c>
      <c r="N224" s="11" t="str">
        <f aca="false">IF(OR(B224="",N(F224)&lt;=0),"",IF('FALTAS POR DECK'!$P$1="Código","K"&amp;M224&amp;RIGHT("00000"&amp;ROW(),5),IF('FALTAS POR DECK'!$P$1="Nome","K"&amp;UPPER(SUBSTITUTE(SUBSTITUTE(SUBSTITUTE(C224,"*",""),"?",""),"~",""))&amp;"0"&amp;M224&amp;RIGHT("00000"&amp;ROW(),5),IF('FALTAS POR DECK'!$P$1="Falta (maior primeiro)","K"&amp;RIGHT("0000"&amp;(9999-F224),4)&amp;M224&amp;RIGHT("00000"&amp;ROW(),5),IF('FALTAS POR DECK'!$P$1="Deck e código","K"&amp;RIGHT("00"&amp;IFERROR(MATCH(A224,_LEITURA!$P$2:$P$21,0),99),2)&amp;M224&amp;RIGHT("00000"&amp;ROW(),5),"K"&amp;RIGHT("00000"&amp;ROW(),5))))))</f>
        <v/>
      </c>
      <c r="O224" s="16" t="str">
        <f aca="false">IF(N224="","",COUNTIFS($N$2:$N$1201,"&lt;"&amp;N224,$F$2:$F$1201,"&gt;0")+1)</f>
        <v/>
      </c>
    </row>
    <row r="225" customFormat="false" ht="15" hidden="false" customHeight="false" outlineLevel="0" collapsed="false">
      <c r="A225" s="11" t="str">
        <f aca="false">IF(_LEITURA!$N225="","",INDEX(_LEITURA!$K$2:$K$1201,_LEITURA!$N225))</f>
        <v/>
      </c>
      <c r="B225" s="11" t="str">
        <f aca="false">IF(_LEITURA!$N225="","",INDEX(_LEITURA!$E$2:$E$1201,_LEITURA!$N225))</f>
        <v/>
      </c>
      <c r="C225" s="11" t="str">
        <f aca="false">IF(_LEITURA!$N225="","",INDEX(_LEITURA!$J$2:$J$1201,_LEITURA!$N225))</f>
        <v/>
      </c>
      <c r="D225" s="16" t="str">
        <f aca="false">IF(_LEITURA!$N225="","",INDEX(_LEITURA!$G$2:$G$1201,_LEITURA!$N225))</f>
        <v/>
      </c>
      <c r="E225" s="16" t="str">
        <f aca="false">IF(B225="","",SUMIFS(INVENTÁRIO!$C$2:$C$801,INVENTÁRIO!$A$2:$A$801,B225))</f>
        <v/>
      </c>
      <c r="F225" s="16" t="str">
        <f aca="false">IF(B225="","",MAX(0,D225-E225))</f>
        <v/>
      </c>
      <c r="G225" s="16" t="str">
        <f aca="false">IF(B225="","",IF(COUNTIFS($B$2:$B$1201,B225,$A$2:$A$1201,"&lt;&gt;"&amp;A225)&gt;0,"Sim",""))</f>
        <v/>
      </c>
      <c r="H225" s="16" t="str">
        <f aca="false">IF(N(F225)&gt;0,MAX(H$1:H224)+1,"")</f>
        <v/>
      </c>
      <c r="I225" s="11" t="str">
        <f aca="false">IF(B225="","",IF(INDEX($C$2:$C$1201,MATCH(B225,$B$2:$B$1201,0))&lt;&gt;C225,"Nome diferente em outro deck — revisar",""))</f>
        <v/>
      </c>
      <c r="J225" s="16" t="str">
        <f aca="false">IF(AND(B225&lt;&gt;"",A225=BULK!$A$1,N(F225)&gt;0),MAX(J$1:J224)+1,"")</f>
        <v/>
      </c>
      <c r="K225" s="11" t="str">
        <f aca="false">IF(B225="","",IFERROR(LEFT(B225,FIND("-",B225)-1),B225))</f>
        <v/>
      </c>
      <c r="L225" s="11" t="str">
        <f aca="false">IF(K225="","",IF(ISNUMBER(--MID(K225,1,1)),0,IF(ISNUMBER(--MID(K225,2,1)),1,IF(ISNUMBER(--MID(K225,3,1)),2,IF(ISNUMBER(--MID(K225,4,1)),3,MIN(LEN(K225),4))))))</f>
        <v/>
      </c>
      <c r="M225" s="11" t="str">
        <f aca="false">IF(B225="","",LEFT(K225,L225)&amp;REPT("0",4-L225)&amp;RIGHT("000"&amp;IFERROR(VALUE(MID(K225,L225+1,9)),0),3)&amp;RIGHT("0000"&amp;IFERROR(VALUE(MID(B225,FIND("-",B225)+1,9)),0),4))</f>
        <v/>
      </c>
      <c r="N225" s="11" t="str">
        <f aca="false">IF(OR(B225="",N(F225)&lt;=0),"",IF('FALTAS POR DECK'!$P$1="Código","K"&amp;M225&amp;RIGHT("00000"&amp;ROW(),5),IF('FALTAS POR DECK'!$P$1="Nome","K"&amp;UPPER(SUBSTITUTE(SUBSTITUTE(SUBSTITUTE(C225,"*",""),"?",""),"~",""))&amp;"0"&amp;M225&amp;RIGHT("00000"&amp;ROW(),5),IF('FALTAS POR DECK'!$P$1="Falta (maior primeiro)","K"&amp;RIGHT("0000"&amp;(9999-F225),4)&amp;M225&amp;RIGHT("00000"&amp;ROW(),5),IF('FALTAS POR DECK'!$P$1="Deck e código","K"&amp;RIGHT("00"&amp;IFERROR(MATCH(A225,_LEITURA!$P$2:$P$21,0),99),2)&amp;M225&amp;RIGHT("00000"&amp;ROW(),5),"K"&amp;RIGHT("00000"&amp;ROW(),5))))))</f>
        <v/>
      </c>
      <c r="O225" s="16" t="str">
        <f aca="false">IF(N225="","",COUNTIFS($N$2:$N$1201,"&lt;"&amp;N225,$F$2:$F$1201,"&gt;0")+1)</f>
        <v/>
      </c>
    </row>
    <row r="226" customFormat="false" ht="15" hidden="false" customHeight="false" outlineLevel="0" collapsed="false">
      <c r="A226" s="11" t="str">
        <f aca="false">IF(_LEITURA!$N226="","",INDEX(_LEITURA!$K$2:$K$1201,_LEITURA!$N226))</f>
        <v/>
      </c>
      <c r="B226" s="11" t="str">
        <f aca="false">IF(_LEITURA!$N226="","",INDEX(_LEITURA!$E$2:$E$1201,_LEITURA!$N226))</f>
        <v/>
      </c>
      <c r="C226" s="11" t="str">
        <f aca="false">IF(_LEITURA!$N226="","",INDEX(_LEITURA!$J$2:$J$1201,_LEITURA!$N226))</f>
        <v/>
      </c>
      <c r="D226" s="16" t="str">
        <f aca="false">IF(_LEITURA!$N226="","",INDEX(_LEITURA!$G$2:$G$1201,_LEITURA!$N226))</f>
        <v/>
      </c>
      <c r="E226" s="16" t="str">
        <f aca="false">IF(B226="","",SUMIFS(INVENTÁRIO!$C$2:$C$801,INVENTÁRIO!$A$2:$A$801,B226))</f>
        <v/>
      </c>
      <c r="F226" s="16" t="str">
        <f aca="false">IF(B226="","",MAX(0,D226-E226))</f>
        <v/>
      </c>
      <c r="G226" s="16" t="str">
        <f aca="false">IF(B226="","",IF(COUNTIFS($B$2:$B$1201,B226,$A$2:$A$1201,"&lt;&gt;"&amp;A226)&gt;0,"Sim",""))</f>
        <v/>
      </c>
      <c r="H226" s="16" t="str">
        <f aca="false">IF(N(F226)&gt;0,MAX(H$1:H225)+1,"")</f>
        <v/>
      </c>
      <c r="I226" s="11" t="str">
        <f aca="false">IF(B226="","",IF(INDEX($C$2:$C$1201,MATCH(B226,$B$2:$B$1201,0))&lt;&gt;C226,"Nome diferente em outro deck — revisar",""))</f>
        <v/>
      </c>
      <c r="J226" s="16" t="str">
        <f aca="false">IF(AND(B226&lt;&gt;"",A226=BULK!$A$1,N(F226)&gt;0),MAX(J$1:J225)+1,"")</f>
        <v/>
      </c>
      <c r="K226" s="11" t="str">
        <f aca="false">IF(B226="","",IFERROR(LEFT(B226,FIND("-",B226)-1),B226))</f>
        <v/>
      </c>
      <c r="L226" s="11" t="str">
        <f aca="false">IF(K226="","",IF(ISNUMBER(--MID(K226,1,1)),0,IF(ISNUMBER(--MID(K226,2,1)),1,IF(ISNUMBER(--MID(K226,3,1)),2,IF(ISNUMBER(--MID(K226,4,1)),3,MIN(LEN(K226),4))))))</f>
        <v/>
      </c>
      <c r="M226" s="11" t="str">
        <f aca="false">IF(B226="","",LEFT(K226,L226)&amp;REPT("0",4-L226)&amp;RIGHT("000"&amp;IFERROR(VALUE(MID(K226,L226+1,9)),0),3)&amp;RIGHT("0000"&amp;IFERROR(VALUE(MID(B226,FIND("-",B226)+1,9)),0),4))</f>
        <v/>
      </c>
      <c r="N226" s="11" t="str">
        <f aca="false">IF(OR(B226="",N(F226)&lt;=0),"",IF('FALTAS POR DECK'!$P$1="Código","K"&amp;M226&amp;RIGHT("00000"&amp;ROW(),5),IF('FALTAS POR DECK'!$P$1="Nome","K"&amp;UPPER(SUBSTITUTE(SUBSTITUTE(SUBSTITUTE(C226,"*",""),"?",""),"~",""))&amp;"0"&amp;M226&amp;RIGHT("00000"&amp;ROW(),5),IF('FALTAS POR DECK'!$P$1="Falta (maior primeiro)","K"&amp;RIGHT("0000"&amp;(9999-F226),4)&amp;M226&amp;RIGHT("00000"&amp;ROW(),5),IF('FALTAS POR DECK'!$P$1="Deck e código","K"&amp;RIGHT("00"&amp;IFERROR(MATCH(A226,_LEITURA!$P$2:$P$21,0),99),2)&amp;M226&amp;RIGHT("00000"&amp;ROW(),5),"K"&amp;RIGHT("00000"&amp;ROW(),5))))))</f>
        <v/>
      </c>
      <c r="O226" s="16" t="str">
        <f aca="false">IF(N226="","",COUNTIFS($N$2:$N$1201,"&lt;"&amp;N226,$F$2:$F$1201,"&gt;0")+1)</f>
        <v/>
      </c>
    </row>
    <row r="227" customFormat="false" ht="15" hidden="false" customHeight="false" outlineLevel="0" collapsed="false">
      <c r="A227" s="11" t="str">
        <f aca="false">IF(_LEITURA!$N227="","",INDEX(_LEITURA!$K$2:$K$1201,_LEITURA!$N227))</f>
        <v/>
      </c>
      <c r="B227" s="11" t="str">
        <f aca="false">IF(_LEITURA!$N227="","",INDEX(_LEITURA!$E$2:$E$1201,_LEITURA!$N227))</f>
        <v/>
      </c>
      <c r="C227" s="11" t="str">
        <f aca="false">IF(_LEITURA!$N227="","",INDEX(_LEITURA!$J$2:$J$1201,_LEITURA!$N227))</f>
        <v/>
      </c>
      <c r="D227" s="16" t="str">
        <f aca="false">IF(_LEITURA!$N227="","",INDEX(_LEITURA!$G$2:$G$1201,_LEITURA!$N227))</f>
        <v/>
      </c>
      <c r="E227" s="16" t="str">
        <f aca="false">IF(B227="","",SUMIFS(INVENTÁRIO!$C$2:$C$801,INVENTÁRIO!$A$2:$A$801,B227))</f>
        <v/>
      </c>
      <c r="F227" s="16" t="str">
        <f aca="false">IF(B227="","",MAX(0,D227-E227))</f>
        <v/>
      </c>
      <c r="G227" s="16" t="str">
        <f aca="false">IF(B227="","",IF(COUNTIFS($B$2:$B$1201,B227,$A$2:$A$1201,"&lt;&gt;"&amp;A227)&gt;0,"Sim",""))</f>
        <v/>
      </c>
      <c r="H227" s="16" t="str">
        <f aca="false">IF(N(F227)&gt;0,MAX(H$1:H226)+1,"")</f>
        <v/>
      </c>
      <c r="I227" s="11" t="str">
        <f aca="false">IF(B227="","",IF(INDEX($C$2:$C$1201,MATCH(B227,$B$2:$B$1201,0))&lt;&gt;C227,"Nome diferente em outro deck — revisar",""))</f>
        <v/>
      </c>
      <c r="J227" s="16" t="str">
        <f aca="false">IF(AND(B227&lt;&gt;"",A227=BULK!$A$1,N(F227)&gt;0),MAX(J$1:J226)+1,"")</f>
        <v/>
      </c>
      <c r="K227" s="11" t="str">
        <f aca="false">IF(B227="","",IFERROR(LEFT(B227,FIND("-",B227)-1),B227))</f>
        <v/>
      </c>
      <c r="L227" s="11" t="str">
        <f aca="false">IF(K227="","",IF(ISNUMBER(--MID(K227,1,1)),0,IF(ISNUMBER(--MID(K227,2,1)),1,IF(ISNUMBER(--MID(K227,3,1)),2,IF(ISNUMBER(--MID(K227,4,1)),3,MIN(LEN(K227),4))))))</f>
        <v/>
      </c>
      <c r="M227" s="11" t="str">
        <f aca="false">IF(B227="","",LEFT(K227,L227)&amp;REPT("0",4-L227)&amp;RIGHT("000"&amp;IFERROR(VALUE(MID(K227,L227+1,9)),0),3)&amp;RIGHT("0000"&amp;IFERROR(VALUE(MID(B227,FIND("-",B227)+1,9)),0),4))</f>
        <v/>
      </c>
      <c r="N227" s="11" t="str">
        <f aca="false">IF(OR(B227="",N(F227)&lt;=0),"",IF('FALTAS POR DECK'!$P$1="Código","K"&amp;M227&amp;RIGHT("00000"&amp;ROW(),5),IF('FALTAS POR DECK'!$P$1="Nome","K"&amp;UPPER(SUBSTITUTE(SUBSTITUTE(SUBSTITUTE(C227,"*",""),"?",""),"~",""))&amp;"0"&amp;M227&amp;RIGHT("00000"&amp;ROW(),5),IF('FALTAS POR DECK'!$P$1="Falta (maior primeiro)","K"&amp;RIGHT("0000"&amp;(9999-F227),4)&amp;M227&amp;RIGHT("00000"&amp;ROW(),5),IF('FALTAS POR DECK'!$P$1="Deck e código","K"&amp;RIGHT("00"&amp;IFERROR(MATCH(A227,_LEITURA!$P$2:$P$21,0),99),2)&amp;M227&amp;RIGHT("00000"&amp;ROW(),5),"K"&amp;RIGHT("00000"&amp;ROW(),5))))))</f>
        <v/>
      </c>
      <c r="O227" s="16" t="str">
        <f aca="false">IF(N227="","",COUNTIFS($N$2:$N$1201,"&lt;"&amp;N227,$F$2:$F$1201,"&gt;0")+1)</f>
        <v/>
      </c>
    </row>
    <row r="228" customFormat="false" ht="15" hidden="false" customHeight="false" outlineLevel="0" collapsed="false">
      <c r="A228" s="11" t="str">
        <f aca="false">IF(_LEITURA!$N228="","",INDEX(_LEITURA!$K$2:$K$1201,_LEITURA!$N228))</f>
        <v/>
      </c>
      <c r="B228" s="11" t="str">
        <f aca="false">IF(_LEITURA!$N228="","",INDEX(_LEITURA!$E$2:$E$1201,_LEITURA!$N228))</f>
        <v/>
      </c>
      <c r="C228" s="11" t="str">
        <f aca="false">IF(_LEITURA!$N228="","",INDEX(_LEITURA!$J$2:$J$1201,_LEITURA!$N228))</f>
        <v/>
      </c>
      <c r="D228" s="16" t="str">
        <f aca="false">IF(_LEITURA!$N228="","",INDEX(_LEITURA!$G$2:$G$1201,_LEITURA!$N228))</f>
        <v/>
      </c>
      <c r="E228" s="16" t="str">
        <f aca="false">IF(B228="","",SUMIFS(INVENTÁRIO!$C$2:$C$801,INVENTÁRIO!$A$2:$A$801,B228))</f>
        <v/>
      </c>
      <c r="F228" s="16" t="str">
        <f aca="false">IF(B228="","",MAX(0,D228-E228))</f>
        <v/>
      </c>
      <c r="G228" s="16" t="str">
        <f aca="false">IF(B228="","",IF(COUNTIFS($B$2:$B$1201,B228,$A$2:$A$1201,"&lt;&gt;"&amp;A228)&gt;0,"Sim",""))</f>
        <v/>
      </c>
      <c r="H228" s="16" t="str">
        <f aca="false">IF(N(F228)&gt;0,MAX(H$1:H227)+1,"")</f>
        <v/>
      </c>
      <c r="I228" s="11" t="str">
        <f aca="false">IF(B228="","",IF(INDEX($C$2:$C$1201,MATCH(B228,$B$2:$B$1201,0))&lt;&gt;C228,"Nome diferente em outro deck — revisar",""))</f>
        <v/>
      </c>
      <c r="J228" s="16" t="str">
        <f aca="false">IF(AND(B228&lt;&gt;"",A228=BULK!$A$1,N(F228)&gt;0),MAX(J$1:J227)+1,"")</f>
        <v/>
      </c>
      <c r="K228" s="11" t="str">
        <f aca="false">IF(B228="","",IFERROR(LEFT(B228,FIND("-",B228)-1),B228))</f>
        <v/>
      </c>
      <c r="L228" s="11" t="str">
        <f aca="false">IF(K228="","",IF(ISNUMBER(--MID(K228,1,1)),0,IF(ISNUMBER(--MID(K228,2,1)),1,IF(ISNUMBER(--MID(K228,3,1)),2,IF(ISNUMBER(--MID(K228,4,1)),3,MIN(LEN(K228),4))))))</f>
        <v/>
      </c>
      <c r="M228" s="11" t="str">
        <f aca="false">IF(B228="","",LEFT(K228,L228)&amp;REPT("0",4-L228)&amp;RIGHT("000"&amp;IFERROR(VALUE(MID(K228,L228+1,9)),0),3)&amp;RIGHT("0000"&amp;IFERROR(VALUE(MID(B228,FIND("-",B228)+1,9)),0),4))</f>
        <v/>
      </c>
      <c r="N228" s="11" t="str">
        <f aca="false">IF(OR(B228="",N(F228)&lt;=0),"",IF('FALTAS POR DECK'!$P$1="Código","K"&amp;M228&amp;RIGHT("00000"&amp;ROW(),5),IF('FALTAS POR DECK'!$P$1="Nome","K"&amp;UPPER(SUBSTITUTE(SUBSTITUTE(SUBSTITUTE(C228,"*",""),"?",""),"~",""))&amp;"0"&amp;M228&amp;RIGHT("00000"&amp;ROW(),5),IF('FALTAS POR DECK'!$P$1="Falta (maior primeiro)","K"&amp;RIGHT("0000"&amp;(9999-F228),4)&amp;M228&amp;RIGHT("00000"&amp;ROW(),5),IF('FALTAS POR DECK'!$P$1="Deck e código","K"&amp;RIGHT("00"&amp;IFERROR(MATCH(A228,_LEITURA!$P$2:$P$21,0),99),2)&amp;M228&amp;RIGHT("00000"&amp;ROW(),5),"K"&amp;RIGHT("00000"&amp;ROW(),5))))))</f>
        <v/>
      </c>
      <c r="O228" s="16" t="str">
        <f aca="false">IF(N228="","",COUNTIFS($N$2:$N$1201,"&lt;"&amp;N228,$F$2:$F$1201,"&gt;0")+1)</f>
        <v/>
      </c>
    </row>
    <row r="229" customFormat="false" ht="15" hidden="false" customHeight="false" outlineLevel="0" collapsed="false">
      <c r="A229" s="11" t="str">
        <f aca="false">IF(_LEITURA!$N229="","",INDEX(_LEITURA!$K$2:$K$1201,_LEITURA!$N229))</f>
        <v/>
      </c>
      <c r="B229" s="11" t="str">
        <f aca="false">IF(_LEITURA!$N229="","",INDEX(_LEITURA!$E$2:$E$1201,_LEITURA!$N229))</f>
        <v/>
      </c>
      <c r="C229" s="11" t="str">
        <f aca="false">IF(_LEITURA!$N229="","",INDEX(_LEITURA!$J$2:$J$1201,_LEITURA!$N229))</f>
        <v/>
      </c>
      <c r="D229" s="16" t="str">
        <f aca="false">IF(_LEITURA!$N229="","",INDEX(_LEITURA!$G$2:$G$1201,_LEITURA!$N229))</f>
        <v/>
      </c>
      <c r="E229" s="16" t="str">
        <f aca="false">IF(B229="","",SUMIFS(INVENTÁRIO!$C$2:$C$801,INVENTÁRIO!$A$2:$A$801,B229))</f>
        <v/>
      </c>
      <c r="F229" s="16" t="str">
        <f aca="false">IF(B229="","",MAX(0,D229-E229))</f>
        <v/>
      </c>
      <c r="G229" s="16" t="str">
        <f aca="false">IF(B229="","",IF(COUNTIFS($B$2:$B$1201,B229,$A$2:$A$1201,"&lt;&gt;"&amp;A229)&gt;0,"Sim",""))</f>
        <v/>
      </c>
      <c r="H229" s="16" t="str">
        <f aca="false">IF(N(F229)&gt;0,MAX(H$1:H228)+1,"")</f>
        <v/>
      </c>
      <c r="I229" s="11" t="str">
        <f aca="false">IF(B229="","",IF(INDEX($C$2:$C$1201,MATCH(B229,$B$2:$B$1201,0))&lt;&gt;C229,"Nome diferente em outro deck — revisar",""))</f>
        <v/>
      </c>
      <c r="J229" s="16" t="str">
        <f aca="false">IF(AND(B229&lt;&gt;"",A229=BULK!$A$1,N(F229)&gt;0),MAX(J$1:J228)+1,"")</f>
        <v/>
      </c>
      <c r="K229" s="11" t="str">
        <f aca="false">IF(B229="","",IFERROR(LEFT(B229,FIND("-",B229)-1),B229))</f>
        <v/>
      </c>
      <c r="L229" s="11" t="str">
        <f aca="false">IF(K229="","",IF(ISNUMBER(--MID(K229,1,1)),0,IF(ISNUMBER(--MID(K229,2,1)),1,IF(ISNUMBER(--MID(K229,3,1)),2,IF(ISNUMBER(--MID(K229,4,1)),3,MIN(LEN(K229),4))))))</f>
        <v/>
      </c>
      <c r="M229" s="11" t="str">
        <f aca="false">IF(B229="","",LEFT(K229,L229)&amp;REPT("0",4-L229)&amp;RIGHT("000"&amp;IFERROR(VALUE(MID(K229,L229+1,9)),0),3)&amp;RIGHT("0000"&amp;IFERROR(VALUE(MID(B229,FIND("-",B229)+1,9)),0),4))</f>
        <v/>
      </c>
      <c r="N229" s="11" t="str">
        <f aca="false">IF(OR(B229="",N(F229)&lt;=0),"",IF('FALTAS POR DECK'!$P$1="Código","K"&amp;M229&amp;RIGHT("00000"&amp;ROW(),5),IF('FALTAS POR DECK'!$P$1="Nome","K"&amp;UPPER(SUBSTITUTE(SUBSTITUTE(SUBSTITUTE(C229,"*",""),"?",""),"~",""))&amp;"0"&amp;M229&amp;RIGHT("00000"&amp;ROW(),5),IF('FALTAS POR DECK'!$P$1="Falta (maior primeiro)","K"&amp;RIGHT("0000"&amp;(9999-F229),4)&amp;M229&amp;RIGHT("00000"&amp;ROW(),5),IF('FALTAS POR DECK'!$P$1="Deck e código","K"&amp;RIGHT("00"&amp;IFERROR(MATCH(A229,_LEITURA!$P$2:$P$21,0),99),2)&amp;M229&amp;RIGHT("00000"&amp;ROW(),5),"K"&amp;RIGHT("00000"&amp;ROW(),5))))))</f>
        <v/>
      </c>
      <c r="O229" s="16" t="str">
        <f aca="false">IF(N229="","",COUNTIFS($N$2:$N$1201,"&lt;"&amp;N229,$F$2:$F$1201,"&gt;0")+1)</f>
        <v/>
      </c>
    </row>
    <row r="230" customFormat="false" ht="15" hidden="false" customHeight="false" outlineLevel="0" collapsed="false">
      <c r="A230" s="11" t="str">
        <f aca="false">IF(_LEITURA!$N230="","",INDEX(_LEITURA!$K$2:$K$1201,_LEITURA!$N230))</f>
        <v/>
      </c>
      <c r="B230" s="11" t="str">
        <f aca="false">IF(_LEITURA!$N230="","",INDEX(_LEITURA!$E$2:$E$1201,_LEITURA!$N230))</f>
        <v/>
      </c>
      <c r="C230" s="11" t="str">
        <f aca="false">IF(_LEITURA!$N230="","",INDEX(_LEITURA!$J$2:$J$1201,_LEITURA!$N230))</f>
        <v/>
      </c>
      <c r="D230" s="16" t="str">
        <f aca="false">IF(_LEITURA!$N230="","",INDEX(_LEITURA!$G$2:$G$1201,_LEITURA!$N230))</f>
        <v/>
      </c>
      <c r="E230" s="16" t="str">
        <f aca="false">IF(B230="","",SUMIFS(INVENTÁRIO!$C$2:$C$801,INVENTÁRIO!$A$2:$A$801,B230))</f>
        <v/>
      </c>
      <c r="F230" s="16" t="str">
        <f aca="false">IF(B230="","",MAX(0,D230-E230))</f>
        <v/>
      </c>
      <c r="G230" s="16" t="str">
        <f aca="false">IF(B230="","",IF(COUNTIFS($B$2:$B$1201,B230,$A$2:$A$1201,"&lt;&gt;"&amp;A230)&gt;0,"Sim",""))</f>
        <v/>
      </c>
      <c r="H230" s="16" t="str">
        <f aca="false">IF(N(F230)&gt;0,MAX(H$1:H229)+1,"")</f>
        <v/>
      </c>
      <c r="I230" s="11" t="str">
        <f aca="false">IF(B230="","",IF(INDEX($C$2:$C$1201,MATCH(B230,$B$2:$B$1201,0))&lt;&gt;C230,"Nome diferente em outro deck — revisar",""))</f>
        <v/>
      </c>
      <c r="J230" s="16" t="str">
        <f aca="false">IF(AND(B230&lt;&gt;"",A230=BULK!$A$1,N(F230)&gt;0),MAX(J$1:J229)+1,"")</f>
        <v/>
      </c>
      <c r="K230" s="11" t="str">
        <f aca="false">IF(B230="","",IFERROR(LEFT(B230,FIND("-",B230)-1),B230))</f>
        <v/>
      </c>
      <c r="L230" s="11" t="str">
        <f aca="false">IF(K230="","",IF(ISNUMBER(--MID(K230,1,1)),0,IF(ISNUMBER(--MID(K230,2,1)),1,IF(ISNUMBER(--MID(K230,3,1)),2,IF(ISNUMBER(--MID(K230,4,1)),3,MIN(LEN(K230),4))))))</f>
        <v/>
      </c>
      <c r="M230" s="11" t="str">
        <f aca="false">IF(B230="","",LEFT(K230,L230)&amp;REPT("0",4-L230)&amp;RIGHT("000"&amp;IFERROR(VALUE(MID(K230,L230+1,9)),0),3)&amp;RIGHT("0000"&amp;IFERROR(VALUE(MID(B230,FIND("-",B230)+1,9)),0),4))</f>
        <v/>
      </c>
      <c r="N230" s="11" t="str">
        <f aca="false">IF(OR(B230="",N(F230)&lt;=0),"",IF('FALTAS POR DECK'!$P$1="Código","K"&amp;M230&amp;RIGHT("00000"&amp;ROW(),5),IF('FALTAS POR DECK'!$P$1="Nome","K"&amp;UPPER(SUBSTITUTE(SUBSTITUTE(SUBSTITUTE(C230,"*",""),"?",""),"~",""))&amp;"0"&amp;M230&amp;RIGHT("00000"&amp;ROW(),5),IF('FALTAS POR DECK'!$P$1="Falta (maior primeiro)","K"&amp;RIGHT("0000"&amp;(9999-F230),4)&amp;M230&amp;RIGHT("00000"&amp;ROW(),5),IF('FALTAS POR DECK'!$P$1="Deck e código","K"&amp;RIGHT("00"&amp;IFERROR(MATCH(A230,_LEITURA!$P$2:$P$21,0),99),2)&amp;M230&amp;RIGHT("00000"&amp;ROW(),5),"K"&amp;RIGHT("00000"&amp;ROW(),5))))))</f>
        <v/>
      </c>
      <c r="O230" s="16" t="str">
        <f aca="false">IF(N230="","",COUNTIFS($N$2:$N$1201,"&lt;"&amp;N230,$F$2:$F$1201,"&gt;0")+1)</f>
        <v/>
      </c>
    </row>
    <row r="231" customFormat="false" ht="15" hidden="false" customHeight="false" outlineLevel="0" collapsed="false">
      <c r="A231" s="11" t="str">
        <f aca="false">IF(_LEITURA!$N231="","",INDEX(_LEITURA!$K$2:$K$1201,_LEITURA!$N231))</f>
        <v/>
      </c>
      <c r="B231" s="11" t="str">
        <f aca="false">IF(_LEITURA!$N231="","",INDEX(_LEITURA!$E$2:$E$1201,_LEITURA!$N231))</f>
        <v/>
      </c>
      <c r="C231" s="11" t="str">
        <f aca="false">IF(_LEITURA!$N231="","",INDEX(_LEITURA!$J$2:$J$1201,_LEITURA!$N231))</f>
        <v/>
      </c>
      <c r="D231" s="16" t="str">
        <f aca="false">IF(_LEITURA!$N231="","",INDEX(_LEITURA!$G$2:$G$1201,_LEITURA!$N231))</f>
        <v/>
      </c>
      <c r="E231" s="16" t="str">
        <f aca="false">IF(B231="","",SUMIFS(INVENTÁRIO!$C$2:$C$801,INVENTÁRIO!$A$2:$A$801,B231))</f>
        <v/>
      </c>
      <c r="F231" s="16" t="str">
        <f aca="false">IF(B231="","",MAX(0,D231-E231))</f>
        <v/>
      </c>
      <c r="G231" s="16" t="str">
        <f aca="false">IF(B231="","",IF(COUNTIFS($B$2:$B$1201,B231,$A$2:$A$1201,"&lt;&gt;"&amp;A231)&gt;0,"Sim",""))</f>
        <v/>
      </c>
      <c r="H231" s="16" t="str">
        <f aca="false">IF(N(F231)&gt;0,MAX(H$1:H230)+1,"")</f>
        <v/>
      </c>
      <c r="I231" s="11" t="str">
        <f aca="false">IF(B231="","",IF(INDEX($C$2:$C$1201,MATCH(B231,$B$2:$B$1201,0))&lt;&gt;C231,"Nome diferente em outro deck — revisar",""))</f>
        <v/>
      </c>
      <c r="J231" s="16" t="str">
        <f aca="false">IF(AND(B231&lt;&gt;"",A231=BULK!$A$1,N(F231)&gt;0),MAX(J$1:J230)+1,"")</f>
        <v/>
      </c>
      <c r="K231" s="11" t="str">
        <f aca="false">IF(B231="","",IFERROR(LEFT(B231,FIND("-",B231)-1),B231))</f>
        <v/>
      </c>
      <c r="L231" s="11" t="str">
        <f aca="false">IF(K231="","",IF(ISNUMBER(--MID(K231,1,1)),0,IF(ISNUMBER(--MID(K231,2,1)),1,IF(ISNUMBER(--MID(K231,3,1)),2,IF(ISNUMBER(--MID(K231,4,1)),3,MIN(LEN(K231),4))))))</f>
        <v/>
      </c>
      <c r="M231" s="11" t="str">
        <f aca="false">IF(B231="","",LEFT(K231,L231)&amp;REPT("0",4-L231)&amp;RIGHT("000"&amp;IFERROR(VALUE(MID(K231,L231+1,9)),0),3)&amp;RIGHT("0000"&amp;IFERROR(VALUE(MID(B231,FIND("-",B231)+1,9)),0),4))</f>
        <v/>
      </c>
      <c r="N231" s="11" t="str">
        <f aca="false">IF(OR(B231="",N(F231)&lt;=0),"",IF('FALTAS POR DECK'!$P$1="Código","K"&amp;M231&amp;RIGHT("00000"&amp;ROW(),5),IF('FALTAS POR DECK'!$P$1="Nome","K"&amp;UPPER(SUBSTITUTE(SUBSTITUTE(SUBSTITUTE(C231,"*",""),"?",""),"~",""))&amp;"0"&amp;M231&amp;RIGHT("00000"&amp;ROW(),5),IF('FALTAS POR DECK'!$P$1="Falta (maior primeiro)","K"&amp;RIGHT("0000"&amp;(9999-F231),4)&amp;M231&amp;RIGHT("00000"&amp;ROW(),5),IF('FALTAS POR DECK'!$P$1="Deck e código","K"&amp;RIGHT("00"&amp;IFERROR(MATCH(A231,_LEITURA!$P$2:$P$21,0),99),2)&amp;M231&amp;RIGHT("00000"&amp;ROW(),5),"K"&amp;RIGHT("00000"&amp;ROW(),5))))))</f>
        <v/>
      </c>
      <c r="O231" s="16" t="str">
        <f aca="false">IF(N231="","",COUNTIFS($N$2:$N$1201,"&lt;"&amp;N231,$F$2:$F$1201,"&gt;0")+1)</f>
        <v/>
      </c>
    </row>
    <row r="232" customFormat="false" ht="15" hidden="false" customHeight="false" outlineLevel="0" collapsed="false">
      <c r="A232" s="11" t="str">
        <f aca="false">IF(_LEITURA!$N232="","",INDEX(_LEITURA!$K$2:$K$1201,_LEITURA!$N232))</f>
        <v/>
      </c>
      <c r="B232" s="11" t="str">
        <f aca="false">IF(_LEITURA!$N232="","",INDEX(_LEITURA!$E$2:$E$1201,_LEITURA!$N232))</f>
        <v/>
      </c>
      <c r="C232" s="11" t="str">
        <f aca="false">IF(_LEITURA!$N232="","",INDEX(_LEITURA!$J$2:$J$1201,_LEITURA!$N232))</f>
        <v/>
      </c>
      <c r="D232" s="16" t="str">
        <f aca="false">IF(_LEITURA!$N232="","",INDEX(_LEITURA!$G$2:$G$1201,_LEITURA!$N232))</f>
        <v/>
      </c>
      <c r="E232" s="16" t="str">
        <f aca="false">IF(B232="","",SUMIFS(INVENTÁRIO!$C$2:$C$801,INVENTÁRIO!$A$2:$A$801,B232))</f>
        <v/>
      </c>
      <c r="F232" s="16" t="str">
        <f aca="false">IF(B232="","",MAX(0,D232-E232))</f>
        <v/>
      </c>
      <c r="G232" s="16" t="str">
        <f aca="false">IF(B232="","",IF(COUNTIFS($B$2:$B$1201,B232,$A$2:$A$1201,"&lt;&gt;"&amp;A232)&gt;0,"Sim",""))</f>
        <v/>
      </c>
      <c r="H232" s="16" t="str">
        <f aca="false">IF(N(F232)&gt;0,MAX(H$1:H231)+1,"")</f>
        <v/>
      </c>
      <c r="I232" s="11" t="str">
        <f aca="false">IF(B232="","",IF(INDEX($C$2:$C$1201,MATCH(B232,$B$2:$B$1201,0))&lt;&gt;C232,"Nome diferente em outro deck — revisar",""))</f>
        <v/>
      </c>
      <c r="J232" s="16" t="str">
        <f aca="false">IF(AND(B232&lt;&gt;"",A232=BULK!$A$1,N(F232)&gt;0),MAX(J$1:J231)+1,"")</f>
        <v/>
      </c>
      <c r="K232" s="11" t="str">
        <f aca="false">IF(B232="","",IFERROR(LEFT(B232,FIND("-",B232)-1),B232))</f>
        <v/>
      </c>
      <c r="L232" s="11" t="str">
        <f aca="false">IF(K232="","",IF(ISNUMBER(--MID(K232,1,1)),0,IF(ISNUMBER(--MID(K232,2,1)),1,IF(ISNUMBER(--MID(K232,3,1)),2,IF(ISNUMBER(--MID(K232,4,1)),3,MIN(LEN(K232),4))))))</f>
        <v/>
      </c>
      <c r="M232" s="11" t="str">
        <f aca="false">IF(B232="","",LEFT(K232,L232)&amp;REPT("0",4-L232)&amp;RIGHT("000"&amp;IFERROR(VALUE(MID(K232,L232+1,9)),0),3)&amp;RIGHT("0000"&amp;IFERROR(VALUE(MID(B232,FIND("-",B232)+1,9)),0),4))</f>
        <v/>
      </c>
      <c r="N232" s="11" t="str">
        <f aca="false">IF(OR(B232="",N(F232)&lt;=0),"",IF('FALTAS POR DECK'!$P$1="Código","K"&amp;M232&amp;RIGHT("00000"&amp;ROW(),5),IF('FALTAS POR DECK'!$P$1="Nome","K"&amp;UPPER(SUBSTITUTE(SUBSTITUTE(SUBSTITUTE(C232,"*",""),"?",""),"~",""))&amp;"0"&amp;M232&amp;RIGHT("00000"&amp;ROW(),5),IF('FALTAS POR DECK'!$P$1="Falta (maior primeiro)","K"&amp;RIGHT("0000"&amp;(9999-F232),4)&amp;M232&amp;RIGHT("00000"&amp;ROW(),5),IF('FALTAS POR DECK'!$P$1="Deck e código","K"&amp;RIGHT("00"&amp;IFERROR(MATCH(A232,_LEITURA!$P$2:$P$21,0),99),2)&amp;M232&amp;RIGHT("00000"&amp;ROW(),5),"K"&amp;RIGHT("00000"&amp;ROW(),5))))))</f>
        <v/>
      </c>
      <c r="O232" s="16" t="str">
        <f aca="false">IF(N232="","",COUNTIFS($N$2:$N$1201,"&lt;"&amp;N232,$F$2:$F$1201,"&gt;0")+1)</f>
        <v/>
      </c>
    </row>
    <row r="233" customFormat="false" ht="15" hidden="false" customHeight="false" outlineLevel="0" collapsed="false">
      <c r="A233" s="11" t="str">
        <f aca="false">IF(_LEITURA!$N233="","",INDEX(_LEITURA!$K$2:$K$1201,_LEITURA!$N233))</f>
        <v/>
      </c>
      <c r="B233" s="11" t="str">
        <f aca="false">IF(_LEITURA!$N233="","",INDEX(_LEITURA!$E$2:$E$1201,_LEITURA!$N233))</f>
        <v/>
      </c>
      <c r="C233" s="11" t="str">
        <f aca="false">IF(_LEITURA!$N233="","",INDEX(_LEITURA!$J$2:$J$1201,_LEITURA!$N233))</f>
        <v/>
      </c>
      <c r="D233" s="16" t="str">
        <f aca="false">IF(_LEITURA!$N233="","",INDEX(_LEITURA!$G$2:$G$1201,_LEITURA!$N233))</f>
        <v/>
      </c>
      <c r="E233" s="16" t="str">
        <f aca="false">IF(B233="","",SUMIFS(INVENTÁRIO!$C$2:$C$801,INVENTÁRIO!$A$2:$A$801,B233))</f>
        <v/>
      </c>
      <c r="F233" s="16" t="str">
        <f aca="false">IF(B233="","",MAX(0,D233-E233))</f>
        <v/>
      </c>
      <c r="G233" s="16" t="str">
        <f aca="false">IF(B233="","",IF(COUNTIFS($B$2:$B$1201,B233,$A$2:$A$1201,"&lt;&gt;"&amp;A233)&gt;0,"Sim",""))</f>
        <v/>
      </c>
      <c r="H233" s="16" t="str">
        <f aca="false">IF(N(F233)&gt;0,MAX(H$1:H232)+1,"")</f>
        <v/>
      </c>
      <c r="I233" s="11" t="str">
        <f aca="false">IF(B233="","",IF(INDEX($C$2:$C$1201,MATCH(B233,$B$2:$B$1201,0))&lt;&gt;C233,"Nome diferente em outro deck — revisar",""))</f>
        <v/>
      </c>
      <c r="J233" s="16" t="str">
        <f aca="false">IF(AND(B233&lt;&gt;"",A233=BULK!$A$1,N(F233)&gt;0),MAX(J$1:J232)+1,"")</f>
        <v/>
      </c>
      <c r="K233" s="11" t="str">
        <f aca="false">IF(B233="","",IFERROR(LEFT(B233,FIND("-",B233)-1),B233))</f>
        <v/>
      </c>
      <c r="L233" s="11" t="str">
        <f aca="false">IF(K233="","",IF(ISNUMBER(--MID(K233,1,1)),0,IF(ISNUMBER(--MID(K233,2,1)),1,IF(ISNUMBER(--MID(K233,3,1)),2,IF(ISNUMBER(--MID(K233,4,1)),3,MIN(LEN(K233),4))))))</f>
        <v/>
      </c>
      <c r="M233" s="11" t="str">
        <f aca="false">IF(B233="","",LEFT(K233,L233)&amp;REPT("0",4-L233)&amp;RIGHT("000"&amp;IFERROR(VALUE(MID(K233,L233+1,9)),0),3)&amp;RIGHT("0000"&amp;IFERROR(VALUE(MID(B233,FIND("-",B233)+1,9)),0),4))</f>
        <v/>
      </c>
      <c r="N233" s="11" t="str">
        <f aca="false">IF(OR(B233="",N(F233)&lt;=0),"",IF('FALTAS POR DECK'!$P$1="Código","K"&amp;M233&amp;RIGHT("00000"&amp;ROW(),5),IF('FALTAS POR DECK'!$P$1="Nome","K"&amp;UPPER(SUBSTITUTE(SUBSTITUTE(SUBSTITUTE(C233,"*",""),"?",""),"~",""))&amp;"0"&amp;M233&amp;RIGHT("00000"&amp;ROW(),5),IF('FALTAS POR DECK'!$P$1="Falta (maior primeiro)","K"&amp;RIGHT("0000"&amp;(9999-F233),4)&amp;M233&amp;RIGHT("00000"&amp;ROW(),5),IF('FALTAS POR DECK'!$P$1="Deck e código","K"&amp;RIGHT("00"&amp;IFERROR(MATCH(A233,_LEITURA!$P$2:$P$21,0),99),2)&amp;M233&amp;RIGHT("00000"&amp;ROW(),5),"K"&amp;RIGHT("00000"&amp;ROW(),5))))))</f>
        <v/>
      </c>
      <c r="O233" s="16" t="str">
        <f aca="false">IF(N233="","",COUNTIFS($N$2:$N$1201,"&lt;"&amp;N233,$F$2:$F$1201,"&gt;0")+1)</f>
        <v/>
      </c>
    </row>
    <row r="234" customFormat="false" ht="15" hidden="false" customHeight="false" outlineLevel="0" collapsed="false">
      <c r="A234" s="11" t="str">
        <f aca="false">IF(_LEITURA!$N234="","",INDEX(_LEITURA!$K$2:$K$1201,_LEITURA!$N234))</f>
        <v/>
      </c>
      <c r="B234" s="11" t="str">
        <f aca="false">IF(_LEITURA!$N234="","",INDEX(_LEITURA!$E$2:$E$1201,_LEITURA!$N234))</f>
        <v/>
      </c>
      <c r="C234" s="11" t="str">
        <f aca="false">IF(_LEITURA!$N234="","",INDEX(_LEITURA!$J$2:$J$1201,_LEITURA!$N234))</f>
        <v/>
      </c>
      <c r="D234" s="16" t="str">
        <f aca="false">IF(_LEITURA!$N234="","",INDEX(_LEITURA!$G$2:$G$1201,_LEITURA!$N234))</f>
        <v/>
      </c>
      <c r="E234" s="16" t="str">
        <f aca="false">IF(B234="","",SUMIFS(INVENTÁRIO!$C$2:$C$801,INVENTÁRIO!$A$2:$A$801,B234))</f>
        <v/>
      </c>
      <c r="F234" s="16" t="str">
        <f aca="false">IF(B234="","",MAX(0,D234-E234))</f>
        <v/>
      </c>
      <c r="G234" s="16" t="str">
        <f aca="false">IF(B234="","",IF(COUNTIFS($B$2:$B$1201,B234,$A$2:$A$1201,"&lt;&gt;"&amp;A234)&gt;0,"Sim",""))</f>
        <v/>
      </c>
      <c r="H234" s="16" t="str">
        <f aca="false">IF(N(F234)&gt;0,MAX(H$1:H233)+1,"")</f>
        <v/>
      </c>
      <c r="I234" s="11" t="str">
        <f aca="false">IF(B234="","",IF(INDEX($C$2:$C$1201,MATCH(B234,$B$2:$B$1201,0))&lt;&gt;C234,"Nome diferente em outro deck — revisar",""))</f>
        <v/>
      </c>
      <c r="J234" s="16" t="str">
        <f aca="false">IF(AND(B234&lt;&gt;"",A234=BULK!$A$1,N(F234)&gt;0),MAX(J$1:J233)+1,"")</f>
        <v/>
      </c>
      <c r="K234" s="11" t="str">
        <f aca="false">IF(B234="","",IFERROR(LEFT(B234,FIND("-",B234)-1),B234))</f>
        <v/>
      </c>
      <c r="L234" s="11" t="str">
        <f aca="false">IF(K234="","",IF(ISNUMBER(--MID(K234,1,1)),0,IF(ISNUMBER(--MID(K234,2,1)),1,IF(ISNUMBER(--MID(K234,3,1)),2,IF(ISNUMBER(--MID(K234,4,1)),3,MIN(LEN(K234),4))))))</f>
        <v/>
      </c>
      <c r="M234" s="11" t="str">
        <f aca="false">IF(B234="","",LEFT(K234,L234)&amp;REPT("0",4-L234)&amp;RIGHT("000"&amp;IFERROR(VALUE(MID(K234,L234+1,9)),0),3)&amp;RIGHT("0000"&amp;IFERROR(VALUE(MID(B234,FIND("-",B234)+1,9)),0),4))</f>
        <v/>
      </c>
      <c r="N234" s="11" t="str">
        <f aca="false">IF(OR(B234="",N(F234)&lt;=0),"",IF('FALTAS POR DECK'!$P$1="Código","K"&amp;M234&amp;RIGHT("00000"&amp;ROW(),5),IF('FALTAS POR DECK'!$P$1="Nome","K"&amp;UPPER(SUBSTITUTE(SUBSTITUTE(SUBSTITUTE(C234,"*",""),"?",""),"~",""))&amp;"0"&amp;M234&amp;RIGHT("00000"&amp;ROW(),5),IF('FALTAS POR DECK'!$P$1="Falta (maior primeiro)","K"&amp;RIGHT("0000"&amp;(9999-F234),4)&amp;M234&amp;RIGHT("00000"&amp;ROW(),5),IF('FALTAS POR DECK'!$P$1="Deck e código","K"&amp;RIGHT("00"&amp;IFERROR(MATCH(A234,_LEITURA!$P$2:$P$21,0),99),2)&amp;M234&amp;RIGHT("00000"&amp;ROW(),5),"K"&amp;RIGHT("00000"&amp;ROW(),5))))))</f>
        <v/>
      </c>
      <c r="O234" s="16" t="str">
        <f aca="false">IF(N234="","",COUNTIFS($N$2:$N$1201,"&lt;"&amp;N234,$F$2:$F$1201,"&gt;0")+1)</f>
        <v/>
      </c>
    </row>
    <row r="235" customFormat="false" ht="15" hidden="false" customHeight="false" outlineLevel="0" collapsed="false">
      <c r="A235" s="11" t="str">
        <f aca="false">IF(_LEITURA!$N235="","",INDEX(_LEITURA!$K$2:$K$1201,_LEITURA!$N235))</f>
        <v/>
      </c>
      <c r="B235" s="11" t="str">
        <f aca="false">IF(_LEITURA!$N235="","",INDEX(_LEITURA!$E$2:$E$1201,_LEITURA!$N235))</f>
        <v/>
      </c>
      <c r="C235" s="11" t="str">
        <f aca="false">IF(_LEITURA!$N235="","",INDEX(_LEITURA!$J$2:$J$1201,_LEITURA!$N235))</f>
        <v/>
      </c>
      <c r="D235" s="16" t="str">
        <f aca="false">IF(_LEITURA!$N235="","",INDEX(_LEITURA!$G$2:$G$1201,_LEITURA!$N235))</f>
        <v/>
      </c>
      <c r="E235" s="16" t="str">
        <f aca="false">IF(B235="","",SUMIFS(INVENTÁRIO!$C$2:$C$801,INVENTÁRIO!$A$2:$A$801,B235))</f>
        <v/>
      </c>
      <c r="F235" s="16" t="str">
        <f aca="false">IF(B235="","",MAX(0,D235-E235))</f>
        <v/>
      </c>
      <c r="G235" s="16" t="str">
        <f aca="false">IF(B235="","",IF(COUNTIFS($B$2:$B$1201,B235,$A$2:$A$1201,"&lt;&gt;"&amp;A235)&gt;0,"Sim",""))</f>
        <v/>
      </c>
      <c r="H235" s="16" t="str">
        <f aca="false">IF(N(F235)&gt;0,MAX(H$1:H234)+1,"")</f>
        <v/>
      </c>
      <c r="I235" s="11" t="str">
        <f aca="false">IF(B235="","",IF(INDEX($C$2:$C$1201,MATCH(B235,$B$2:$B$1201,0))&lt;&gt;C235,"Nome diferente em outro deck — revisar",""))</f>
        <v/>
      </c>
      <c r="J235" s="16" t="str">
        <f aca="false">IF(AND(B235&lt;&gt;"",A235=BULK!$A$1,N(F235)&gt;0),MAX(J$1:J234)+1,"")</f>
        <v/>
      </c>
      <c r="K235" s="11" t="str">
        <f aca="false">IF(B235="","",IFERROR(LEFT(B235,FIND("-",B235)-1),B235))</f>
        <v/>
      </c>
      <c r="L235" s="11" t="str">
        <f aca="false">IF(K235="","",IF(ISNUMBER(--MID(K235,1,1)),0,IF(ISNUMBER(--MID(K235,2,1)),1,IF(ISNUMBER(--MID(K235,3,1)),2,IF(ISNUMBER(--MID(K235,4,1)),3,MIN(LEN(K235),4))))))</f>
        <v/>
      </c>
      <c r="M235" s="11" t="str">
        <f aca="false">IF(B235="","",LEFT(K235,L235)&amp;REPT("0",4-L235)&amp;RIGHT("000"&amp;IFERROR(VALUE(MID(K235,L235+1,9)),0),3)&amp;RIGHT("0000"&amp;IFERROR(VALUE(MID(B235,FIND("-",B235)+1,9)),0),4))</f>
        <v/>
      </c>
      <c r="N235" s="11" t="str">
        <f aca="false">IF(OR(B235="",N(F235)&lt;=0),"",IF('FALTAS POR DECK'!$P$1="Código","K"&amp;M235&amp;RIGHT("00000"&amp;ROW(),5),IF('FALTAS POR DECK'!$P$1="Nome","K"&amp;UPPER(SUBSTITUTE(SUBSTITUTE(SUBSTITUTE(C235,"*",""),"?",""),"~",""))&amp;"0"&amp;M235&amp;RIGHT("00000"&amp;ROW(),5),IF('FALTAS POR DECK'!$P$1="Falta (maior primeiro)","K"&amp;RIGHT("0000"&amp;(9999-F235),4)&amp;M235&amp;RIGHT("00000"&amp;ROW(),5),IF('FALTAS POR DECK'!$P$1="Deck e código","K"&amp;RIGHT("00"&amp;IFERROR(MATCH(A235,_LEITURA!$P$2:$P$21,0),99),2)&amp;M235&amp;RIGHT("00000"&amp;ROW(),5),"K"&amp;RIGHT("00000"&amp;ROW(),5))))))</f>
        <v/>
      </c>
      <c r="O235" s="16" t="str">
        <f aca="false">IF(N235="","",COUNTIFS($N$2:$N$1201,"&lt;"&amp;N235,$F$2:$F$1201,"&gt;0")+1)</f>
        <v/>
      </c>
    </row>
    <row r="236" customFormat="false" ht="15" hidden="false" customHeight="false" outlineLevel="0" collapsed="false">
      <c r="A236" s="11" t="str">
        <f aca="false">IF(_LEITURA!$N236="","",INDEX(_LEITURA!$K$2:$K$1201,_LEITURA!$N236))</f>
        <v/>
      </c>
      <c r="B236" s="11" t="str">
        <f aca="false">IF(_LEITURA!$N236="","",INDEX(_LEITURA!$E$2:$E$1201,_LEITURA!$N236))</f>
        <v/>
      </c>
      <c r="C236" s="11" t="str">
        <f aca="false">IF(_LEITURA!$N236="","",INDEX(_LEITURA!$J$2:$J$1201,_LEITURA!$N236))</f>
        <v/>
      </c>
      <c r="D236" s="16" t="str">
        <f aca="false">IF(_LEITURA!$N236="","",INDEX(_LEITURA!$G$2:$G$1201,_LEITURA!$N236))</f>
        <v/>
      </c>
      <c r="E236" s="16" t="str">
        <f aca="false">IF(B236="","",SUMIFS(INVENTÁRIO!$C$2:$C$801,INVENTÁRIO!$A$2:$A$801,B236))</f>
        <v/>
      </c>
      <c r="F236" s="16" t="str">
        <f aca="false">IF(B236="","",MAX(0,D236-E236))</f>
        <v/>
      </c>
      <c r="G236" s="16" t="str">
        <f aca="false">IF(B236="","",IF(COUNTIFS($B$2:$B$1201,B236,$A$2:$A$1201,"&lt;&gt;"&amp;A236)&gt;0,"Sim",""))</f>
        <v/>
      </c>
      <c r="H236" s="16" t="str">
        <f aca="false">IF(N(F236)&gt;0,MAX(H$1:H235)+1,"")</f>
        <v/>
      </c>
      <c r="I236" s="11" t="str">
        <f aca="false">IF(B236="","",IF(INDEX($C$2:$C$1201,MATCH(B236,$B$2:$B$1201,0))&lt;&gt;C236,"Nome diferente em outro deck — revisar",""))</f>
        <v/>
      </c>
      <c r="J236" s="16" t="str">
        <f aca="false">IF(AND(B236&lt;&gt;"",A236=BULK!$A$1,N(F236)&gt;0),MAX(J$1:J235)+1,"")</f>
        <v/>
      </c>
      <c r="K236" s="11" t="str">
        <f aca="false">IF(B236="","",IFERROR(LEFT(B236,FIND("-",B236)-1),B236))</f>
        <v/>
      </c>
      <c r="L236" s="11" t="str">
        <f aca="false">IF(K236="","",IF(ISNUMBER(--MID(K236,1,1)),0,IF(ISNUMBER(--MID(K236,2,1)),1,IF(ISNUMBER(--MID(K236,3,1)),2,IF(ISNUMBER(--MID(K236,4,1)),3,MIN(LEN(K236),4))))))</f>
        <v/>
      </c>
      <c r="M236" s="11" t="str">
        <f aca="false">IF(B236="","",LEFT(K236,L236)&amp;REPT("0",4-L236)&amp;RIGHT("000"&amp;IFERROR(VALUE(MID(K236,L236+1,9)),0),3)&amp;RIGHT("0000"&amp;IFERROR(VALUE(MID(B236,FIND("-",B236)+1,9)),0),4))</f>
        <v/>
      </c>
      <c r="N236" s="11" t="str">
        <f aca="false">IF(OR(B236="",N(F236)&lt;=0),"",IF('FALTAS POR DECK'!$P$1="Código","K"&amp;M236&amp;RIGHT("00000"&amp;ROW(),5),IF('FALTAS POR DECK'!$P$1="Nome","K"&amp;UPPER(SUBSTITUTE(SUBSTITUTE(SUBSTITUTE(C236,"*",""),"?",""),"~",""))&amp;"0"&amp;M236&amp;RIGHT("00000"&amp;ROW(),5),IF('FALTAS POR DECK'!$P$1="Falta (maior primeiro)","K"&amp;RIGHT("0000"&amp;(9999-F236),4)&amp;M236&amp;RIGHT("00000"&amp;ROW(),5),IF('FALTAS POR DECK'!$P$1="Deck e código","K"&amp;RIGHT("00"&amp;IFERROR(MATCH(A236,_LEITURA!$P$2:$P$21,0),99),2)&amp;M236&amp;RIGHT("00000"&amp;ROW(),5),"K"&amp;RIGHT("00000"&amp;ROW(),5))))))</f>
        <v/>
      </c>
      <c r="O236" s="16" t="str">
        <f aca="false">IF(N236="","",COUNTIFS($N$2:$N$1201,"&lt;"&amp;N236,$F$2:$F$1201,"&gt;0")+1)</f>
        <v/>
      </c>
    </row>
    <row r="237" customFormat="false" ht="15" hidden="false" customHeight="false" outlineLevel="0" collapsed="false">
      <c r="A237" s="11" t="str">
        <f aca="false">IF(_LEITURA!$N237="","",INDEX(_LEITURA!$K$2:$K$1201,_LEITURA!$N237))</f>
        <v/>
      </c>
      <c r="B237" s="11" t="str">
        <f aca="false">IF(_LEITURA!$N237="","",INDEX(_LEITURA!$E$2:$E$1201,_LEITURA!$N237))</f>
        <v/>
      </c>
      <c r="C237" s="11" t="str">
        <f aca="false">IF(_LEITURA!$N237="","",INDEX(_LEITURA!$J$2:$J$1201,_LEITURA!$N237))</f>
        <v/>
      </c>
      <c r="D237" s="16" t="str">
        <f aca="false">IF(_LEITURA!$N237="","",INDEX(_LEITURA!$G$2:$G$1201,_LEITURA!$N237))</f>
        <v/>
      </c>
      <c r="E237" s="16" t="str">
        <f aca="false">IF(B237="","",SUMIFS(INVENTÁRIO!$C$2:$C$801,INVENTÁRIO!$A$2:$A$801,B237))</f>
        <v/>
      </c>
      <c r="F237" s="16" t="str">
        <f aca="false">IF(B237="","",MAX(0,D237-E237))</f>
        <v/>
      </c>
      <c r="G237" s="16" t="str">
        <f aca="false">IF(B237="","",IF(COUNTIFS($B$2:$B$1201,B237,$A$2:$A$1201,"&lt;&gt;"&amp;A237)&gt;0,"Sim",""))</f>
        <v/>
      </c>
      <c r="H237" s="16" t="str">
        <f aca="false">IF(N(F237)&gt;0,MAX(H$1:H236)+1,"")</f>
        <v/>
      </c>
      <c r="I237" s="11" t="str">
        <f aca="false">IF(B237="","",IF(INDEX($C$2:$C$1201,MATCH(B237,$B$2:$B$1201,0))&lt;&gt;C237,"Nome diferente em outro deck — revisar",""))</f>
        <v/>
      </c>
      <c r="J237" s="16" t="str">
        <f aca="false">IF(AND(B237&lt;&gt;"",A237=BULK!$A$1,N(F237)&gt;0),MAX(J$1:J236)+1,"")</f>
        <v/>
      </c>
      <c r="K237" s="11" t="str">
        <f aca="false">IF(B237="","",IFERROR(LEFT(B237,FIND("-",B237)-1),B237))</f>
        <v/>
      </c>
      <c r="L237" s="11" t="str">
        <f aca="false">IF(K237="","",IF(ISNUMBER(--MID(K237,1,1)),0,IF(ISNUMBER(--MID(K237,2,1)),1,IF(ISNUMBER(--MID(K237,3,1)),2,IF(ISNUMBER(--MID(K237,4,1)),3,MIN(LEN(K237),4))))))</f>
        <v/>
      </c>
      <c r="M237" s="11" t="str">
        <f aca="false">IF(B237="","",LEFT(K237,L237)&amp;REPT("0",4-L237)&amp;RIGHT("000"&amp;IFERROR(VALUE(MID(K237,L237+1,9)),0),3)&amp;RIGHT("0000"&amp;IFERROR(VALUE(MID(B237,FIND("-",B237)+1,9)),0),4))</f>
        <v/>
      </c>
      <c r="N237" s="11" t="str">
        <f aca="false">IF(OR(B237="",N(F237)&lt;=0),"",IF('FALTAS POR DECK'!$P$1="Código","K"&amp;M237&amp;RIGHT("00000"&amp;ROW(),5),IF('FALTAS POR DECK'!$P$1="Nome","K"&amp;UPPER(SUBSTITUTE(SUBSTITUTE(SUBSTITUTE(C237,"*",""),"?",""),"~",""))&amp;"0"&amp;M237&amp;RIGHT("00000"&amp;ROW(),5),IF('FALTAS POR DECK'!$P$1="Falta (maior primeiro)","K"&amp;RIGHT("0000"&amp;(9999-F237),4)&amp;M237&amp;RIGHT("00000"&amp;ROW(),5),IF('FALTAS POR DECK'!$P$1="Deck e código","K"&amp;RIGHT("00"&amp;IFERROR(MATCH(A237,_LEITURA!$P$2:$P$21,0),99),2)&amp;M237&amp;RIGHT("00000"&amp;ROW(),5),"K"&amp;RIGHT("00000"&amp;ROW(),5))))))</f>
        <v/>
      </c>
      <c r="O237" s="16" t="str">
        <f aca="false">IF(N237="","",COUNTIFS($N$2:$N$1201,"&lt;"&amp;N237,$F$2:$F$1201,"&gt;0")+1)</f>
        <v/>
      </c>
    </row>
    <row r="238" customFormat="false" ht="15" hidden="false" customHeight="false" outlineLevel="0" collapsed="false">
      <c r="A238" s="11" t="str">
        <f aca="false">IF(_LEITURA!$N238="","",INDEX(_LEITURA!$K$2:$K$1201,_LEITURA!$N238))</f>
        <v/>
      </c>
      <c r="B238" s="11" t="str">
        <f aca="false">IF(_LEITURA!$N238="","",INDEX(_LEITURA!$E$2:$E$1201,_LEITURA!$N238))</f>
        <v/>
      </c>
      <c r="C238" s="11" t="str">
        <f aca="false">IF(_LEITURA!$N238="","",INDEX(_LEITURA!$J$2:$J$1201,_LEITURA!$N238))</f>
        <v/>
      </c>
      <c r="D238" s="16" t="str">
        <f aca="false">IF(_LEITURA!$N238="","",INDEX(_LEITURA!$G$2:$G$1201,_LEITURA!$N238))</f>
        <v/>
      </c>
      <c r="E238" s="16" t="str">
        <f aca="false">IF(B238="","",SUMIFS(INVENTÁRIO!$C$2:$C$801,INVENTÁRIO!$A$2:$A$801,B238))</f>
        <v/>
      </c>
      <c r="F238" s="16" t="str">
        <f aca="false">IF(B238="","",MAX(0,D238-E238))</f>
        <v/>
      </c>
      <c r="G238" s="16" t="str">
        <f aca="false">IF(B238="","",IF(COUNTIFS($B$2:$B$1201,B238,$A$2:$A$1201,"&lt;&gt;"&amp;A238)&gt;0,"Sim",""))</f>
        <v/>
      </c>
      <c r="H238" s="16" t="str">
        <f aca="false">IF(N(F238)&gt;0,MAX(H$1:H237)+1,"")</f>
        <v/>
      </c>
      <c r="I238" s="11" t="str">
        <f aca="false">IF(B238="","",IF(INDEX($C$2:$C$1201,MATCH(B238,$B$2:$B$1201,0))&lt;&gt;C238,"Nome diferente em outro deck — revisar",""))</f>
        <v/>
      </c>
      <c r="J238" s="16" t="str">
        <f aca="false">IF(AND(B238&lt;&gt;"",A238=BULK!$A$1,N(F238)&gt;0),MAX(J$1:J237)+1,"")</f>
        <v/>
      </c>
      <c r="K238" s="11" t="str">
        <f aca="false">IF(B238="","",IFERROR(LEFT(B238,FIND("-",B238)-1),B238))</f>
        <v/>
      </c>
      <c r="L238" s="11" t="str">
        <f aca="false">IF(K238="","",IF(ISNUMBER(--MID(K238,1,1)),0,IF(ISNUMBER(--MID(K238,2,1)),1,IF(ISNUMBER(--MID(K238,3,1)),2,IF(ISNUMBER(--MID(K238,4,1)),3,MIN(LEN(K238),4))))))</f>
        <v/>
      </c>
      <c r="M238" s="11" t="str">
        <f aca="false">IF(B238="","",LEFT(K238,L238)&amp;REPT("0",4-L238)&amp;RIGHT("000"&amp;IFERROR(VALUE(MID(K238,L238+1,9)),0),3)&amp;RIGHT("0000"&amp;IFERROR(VALUE(MID(B238,FIND("-",B238)+1,9)),0),4))</f>
        <v/>
      </c>
      <c r="N238" s="11" t="str">
        <f aca="false">IF(OR(B238="",N(F238)&lt;=0),"",IF('FALTAS POR DECK'!$P$1="Código","K"&amp;M238&amp;RIGHT("00000"&amp;ROW(),5),IF('FALTAS POR DECK'!$P$1="Nome","K"&amp;UPPER(SUBSTITUTE(SUBSTITUTE(SUBSTITUTE(C238,"*",""),"?",""),"~",""))&amp;"0"&amp;M238&amp;RIGHT("00000"&amp;ROW(),5),IF('FALTAS POR DECK'!$P$1="Falta (maior primeiro)","K"&amp;RIGHT("0000"&amp;(9999-F238),4)&amp;M238&amp;RIGHT("00000"&amp;ROW(),5),IF('FALTAS POR DECK'!$P$1="Deck e código","K"&amp;RIGHT("00"&amp;IFERROR(MATCH(A238,_LEITURA!$P$2:$P$21,0),99),2)&amp;M238&amp;RIGHT("00000"&amp;ROW(),5),"K"&amp;RIGHT("00000"&amp;ROW(),5))))))</f>
        <v/>
      </c>
      <c r="O238" s="16" t="str">
        <f aca="false">IF(N238="","",COUNTIFS($N$2:$N$1201,"&lt;"&amp;N238,$F$2:$F$1201,"&gt;0")+1)</f>
        <v/>
      </c>
    </row>
    <row r="239" customFormat="false" ht="15" hidden="false" customHeight="false" outlineLevel="0" collapsed="false">
      <c r="A239" s="11" t="str">
        <f aca="false">IF(_LEITURA!$N239="","",INDEX(_LEITURA!$K$2:$K$1201,_LEITURA!$N239))</f>
        <v/>
      </c>
      <c r="B239" s="11" t="str">
        <f aca="false">IF(_LEITURA!$N239="","",INDEX(_LEITURA!$E$2:$E$1201,_LEITURA!$N239))</f>
        <v/>
      </c>
      <c r="C239" s="11" t="str">
        <f aca="false">IF(_LEITURA!$N239="","",INDEX(_LEITURA!$J$2:$J$1201,_LEITURA!$N239))</f>
        <v/>
      </c>
      <c r="D239" s="16" t="str">
        <f aca="false">IF(_LEITURA!$N239="","",INDEX(_LEITURA!$G$2:$G$1201,_LEITURA!$N239))</f>
        <v/>
      </c>
      <c r="E239" s="16" t="str">
        <f aca="false">IF(B239="","",SUMIFS(INVENTÁRIO!$C$2:$C$801,INVENTÁRIO!$A$2:$A$801,B239))</f>
        <v/>
      </c>
      <c r="F239" s="16" t="str">
        <f aca="false">IF(B239="","",MAX(0,D239-E239))</f>
        <v/>
      </c>
      <c r="G239" s="16" t="str">
        <f aca="false">IF(B239="","",IF(COUNTIFS($B$2:$B$1201,B239,$A$2:$A$1201,"&lt;&gt;"&amp;A239)&gt;0,"Sim",""))</f>
        <v/>
      </c>
      <c r="H239" s="16" t="str">
        <f aca="false">IF(N(F239)&gt;0,MAX(H$1:H238)+1,"")</f>
        <v/>
      </c>
      <c r="I239" s="11" t="str">
        <f aca="false">IF(B239="","",IF(INDEX($C$2:$C$1201,MATCH(B239,$B$2:$B$1201,0))&lt;&gt;C239,"Nome diferente em outro deck — revisar",""))</f>
        <v/>
      </c>
      <c r="J239" s="16" t="str">
        <f aca="false">IF(AND(B239&lt;&gt;"",A239=BULK!$A$1,N(F239)&gt;0),MAX(J$1:J238)+1,"")</f>
        <v/>
      </c>
      <c r="K239" s="11" t="str">
        <f aca="false">IF(B239="","",IFERROR(LEFT(B239,FIND("-",B239)-1),B239))</f>
        <v/>
      </c>
      <c r="L239" s="11" t="str">
        <f aca="false">IF(K239="","",IF(ISNUMBER(--MID(K239,1,1)),0,IF(ISNUMBER(--MID(K239,2,1)),1,IF(ISNUMBER(--MID(K239,3,1)),2,IF(ISNUMBER(--MID(K239,4,1)),3,MIN(LEN(K239),4))))))</f>
        <v/>
      </c>
      <c r="M239" s="11" t="str">
        <f aca="false">IF(B239="","",LEFT(K239,L239)&amp;REPT("0",4-L239)&amp;RIGHT("000"&amp;IFERROR(VALUE(MID(K239,L239+1,9)),0),3)&amp;RIGHT("0000"&amp;IFERROR(VALUE(MID(B239,FIND("-",B239)+1,9)),0),4))</f>
        <v/>
      </c>
      <c r="N239" s="11" t="str">
        <f aca="false">IF(OR(B239="",N(F239)&lt;=0),"",IF('FALTAS POR DECK'!$P$1="Código","K"&amp;M239&amp;RIGHT("00000"&amp;ROW(),5),IF('FALTAS POR DECK'!$P$1="Nome","K"&amp;UPPER(SUBSTITUTE(SUBSTITUTE(SUBSTITUTE(C239,"*",""),"?",""),"~",""))&amp;"0"&amp;M239&amp;RIGHT("00000"&amp;ROW(),5),IF('FALTAS POR DECK'!$P$1="Falta (maior primeiro)","K"&amp;RIGHT("0000"&amp;(9999-F239),4)&amp;M239&amp;RIGHT("00000"&amp;ROW(),5),IF('FALTAS POR DECK'!$P$1="Deck e código","K"&amp;RIGHT("00"&amp;IFERROR(MATCH(A239,_LEITURA!$P$2:$P$21,0),99),2)&amp;M239&amp;RIGHT("00000"&amp;ROW(),5),"K"&amp;RIGHT("00000"&amp;ROW(),5))))))</f>
        <v/>
      </c>
      <c r="O239" s="16" t="str">
        <f aca="false">IF(N239="","",COUNTIFS($N$2:$N$1201,"&lt;"&amp;N239,$F$2:$F$1201,"&gt;0")+1)</f>
        <v/>
      </c>
    </row>
    <row r="240" customFormat="false" ht="15" hidden="false" customHeight="false" outlineLevel="0" collapsed="false">
      <c r="A240" s="11" t="str">
        <f aca="false">IF(_LEITURA!$N240="","",INDEX(_LEITURA!$K$2:$K$1201,_LEITURA!$N240))</f>
        <v/>
      </c>
      <c r="B240" s="11" t="str">
        <f aca="false">IF(_LEITURA!$N240="","",INDEX(_LEITURA!$E$2:$E$1201,_LEITURA!$N240))</f>
        <v/>
      </c>
      <c r="C240" s="11" t="str">
        <f aca="false">IF(_LEITURA!$N240="","",INDEX(_LEITURA!$J$2:$J$1201,_LEITURA!$N240))</f>
        <v/>
      </c>
      <c r="D240" s="16" t="str">
        <f aca="false">IF(_LEITURA!$N240="","",INDEX(_LEITURA!$G$2:$G$1201,_LEITURA!$N240))</f>
        <v/>
      </c>
      <c r="E240" s="16" t="str">
        <f aca="false">IF(B240="","",SUMIFS(INVENTÁRIO!$C$2:$C$801,INVENTÁRIO!$A$2:$A$801,B240))</f>
        <v/>
      </c>
      <c r="F240" s="16" t="str">
        <f aca="false">IF(B240="","",MAX(0,D240-E240))</f>
        <v/>
      </c>
      <c r="G240" s="16" t="str">
        <f aca="false">IF(B240="","",IF(COUNTIFS($B$2:$B$1201,B240,$A$2:$A$1201,"&lt;&gt;"&amp;A240)&gt;0,"Sim",""))</f>
        <v/>
      </c>
      <c r="H240" s="16" t="str">
        <f aca="false">IF(N(F240)&gt;0,MAX(H$1:H239)+1,"")</f>
        <v/>
      </c>
      <c r="I240" s="11" t="str">
        <f aca="false">IF(B240="","",IF(INDEX($C$2:$C$1201,MATCH(B240,$B$2:$B$1201,0))&lt;&gt;C240,"Nome diferente em outro deck — revisar",""))</f>
        <v/>
      </c>
      <c r="J240" s="16" t="str">
        <f aca="false">IF(AND(B240&lt;&gt;"",A240=BULK!$A$1,N(F240)&gt;0),MAX(J$1:J239)+1,"")</f>
        <v/>
      </c>
      <c r="K240" s="11" t="str">
        <f aca="false">IF(B240="","",IFERROR(LEFT(B240,FIND("-",B240)-1),B240))</f>
        <v/>
      </c>
      <c r="L240" s="11" t="str">
        <f aca="false">IF(K240="","",IF(ISNUMBER(--MID(K240,1,1)),0,IF(ISNUMBER(--MID(K240,2,1)),1,IF(ISNUMBER(--MID(K240,3,1)),2,IF(ISNUMBER(--MID(K240,4,1)),3,MIN(LEN(K240),4))))))</f>
        <v/>
      </c>
      <c r="M240" s="11" t="str">
        <f aca="false">IF(B240="","",LEFT(K240,L240)&amp;REPT("0",4-L240)&amp;RIGHT("000"&amp;IFERROR(VALUE(MID(K240,L240+1,9)),0),3)&amp;RIGHT("0000"&amp;IFERROR(VALUE(MID(B240,FIND("-",B240)+1,9)),0),4))</f>
        <v/>
      </c>
      <c r="N240" s="11" t="str">
        <f aca="false">IF(OR(B240="",N(F240)&lt;=0),"",IF('FALTAS POR DECK'!$P$1="Código","K"&amp;M240&amp;RIGHT("00000"&amp;ROW(),5),IF('FALTAS POR DECK'!$P$1="Nome","K"&amp;UPPER(SUBSTITUTE(SUBSTITUTE(SUBSTITUTE(C240,"*",""),"?",""),"~",""))&amp;"0"&amp;M240&amp;RIGHT("00000"&amp;ROW(),5),IF('FALTAS POR DECK'!$P$1="Falta (maior primeiro)","K"&amp;RIGHT("0000"&amp;(9999-F240),4)&amp;M240&amp;RIGHT("00000"&amp;ROW(),5),IF('FALTAS POR DECK'!$P$1="Deck e código","K"&amp;RIGHT("00"&amp;IFERROR(MATCH(A240,_LEITURA!$P$2:$P$21,0),99),2)&amp;M240&amp;RIGHT("00000"&amp;ROW(),5),"K"&amp;RIGHT("00000"&amp;ROW(),5))))))</f>
        <v/>
      </c>
      <c r="O240" s="16" t="str">
        <f aca="false">IF(N240="","",COUNTIFS($N$2:$N$1201,"&lt;"&amp;N240,$F$2:$F$1201,"&gt;0")+1)</f>
        <v/>
      </c>
    </row>
    <row r="241" customFormat="false" ht="15" hidden="false" customHeight="false" outlineLevel="0" collapsed="false">
      <c r="A241" s="11" t="str">
        <f aca="false">IF(_LEITURA!$N241="","",INDEX(_LEITURA!$K$2:$K$1201,_LEITURA!$N241))</f>
        <v/>
      </c>
      <c r="B241" s="11" t="str">
        <f aca="false">IF(_LEITURA!$N241="","",INDEX(_LEITURA!$E$2:$E$1201,_LEITURA!$N241))</f>
        <v/>
      </c>
      <c r="C241" s="11" t="str">
        <f aca="false">IF(_LEITURA!$N241="","",INDEX(_LEITURA!$J$2:$J$1201,_LEITURA!$N241))</f>
        <v/>
      </c>
      <c r="D241" s="16" t="str">
        <f aca="false">IF(_LEITURA!$N241="","",INDEX(_LEITURA!$G$2:$G$1201,_LEITURA!$N241))</f>
        <v/>
      </c>
      <c r="E241" s="16" t="str">
        <f aca="false">IF(B241="","",SUMIFS(INVENTÁRIO!$C$2:$C$801,INVENTÁRIO!$A$2:$A$801,B241))</f>
        <v/>
      </c>
      <c r="F241" s="16" t="str">
        <f aca="false">IF(B241="","",MAX(0,D241-E241))</f>
        <v/>
      </c>
      <c r="G241" s="16" t="str">
        <f aca="false">IF(B241="","",IF(COUNTIFS($B$2:$B$1201,B241,$A$2:$A$1201,"&lt;&gt;"&amp;A241)&gt;0,"Sim",""))</f>
        <v/>
      </c>
      <c r="H241" s="16" t="str">
        <f aca="false">IF(N(F241)&gt;0,MAX(H$1:H240)+1,"")</f>
        <v/>
      </c>
      <c r="I241" s="11" t="str">
        <f aca="false">IF(B241="","",IF(INDEX($C$2:$C$1201,MATCH(B241,$B$2:$B$1201,0))&lt;&gt;C241,"Nome diferente em outro deck — revisar",""))</f>
        <v/>
      </c>
      <c r="J241" s="16" t="str">
        <f aca="false">IF(AND(B241&lt;&gt;"",A241=BULK!$A$1,N(F241)&gt;0),MAX(J$1:J240)+1,"")</f>
        <v/>
      </c>
      <c r="K241" s="11" t="str">
        <f aca="false">IF(B241="","",IFERROR(LEFT(B241,FIND("-",B241)-1),B241))</f>
        <v/>
      </c>
      <c r="L241" s="11" t="str">
        <f aca="false">IF(K241="","",IF(ISNUMBER(--MID(K241,1,1)),0,IF(ISNUMBER(--MID(K241,2,1)),1,IF(ISNUMBER(--MID(K241,3,1)),2,IF(ISNUMBER(--MID(K241,4,1)),3,MIN(LEN(K241),4))))))</f>
        <v/>
      </c>
      <c r="M241" s="11" t="str">
        <f aca="false">IF(B241="","",LEFT(K241,L241)&amp;REPT("0",4-L241)&amp;RIGHT("000"&amp;IFERROR(VALUE(MID(K241,L241+1,9)),0),3)&amp;RIGHT("0000"&amp;IFERROR(VALUE(MID(B241,FIND("-",B241)+1,9)),0),4))</f>
        <v/>
      </c>
      <c r="N241" s="11" t="str">
        <f aca="false">IF(OR(B241="",N(F241)&lt;=0),"",IF('FALTAS POR DECK'!$P$1="Código","K"&amp;M241&amp;RIGHT("00000"&amp;ROW(),5),IF('FALTAS POR DECK'!$P$1="Nome","K"&amp;UPPER(SUBSTITUTE(SUBSTITUTE(SUBSTITUTE(C241,"*",""),"?",""),"~",""))&amp;"0"&amp;M241&amp;RIGHT("00000"&amp;ROW(),5),IF('FALTAS POR DECK'!$P$1="Falta (maior primeiro)","K"&amp;RIGHT("0000"&amp;(9999-F241),4)&amp;M241&amp;RIGHT("00000"&amp;ROW(),5),IF('FALTAS POR DECK'!$P$1="Deck e código","K"&amp;RIGHT("00"&amp;IFERROR(MATCH(A241,_LEITURA!$P$2:$P$21,0),99),2)&amp;M241&amp;RIGHT("00000"&amp;ROW(),5),"K"&amp;RIGHT("00000"&amp;ROW(),5))))))</f>
        <v/>
      </c>
      <c r="O241" s="16" t="str">
        <f aca="false">IF(N241="","",COUNTIFS($N$2:$N$1201,"&lt;"&amp;N241,$F$2:$F$1201,"&gt;0")+1)</f>
        <v/>
      </c>
    </row>
    <row r="242" customFormat="false" ht="15" hidden="false" customHeight="false" outlineLevel="0" collapsed="false">
      <c r="A242" s="11" t="str">
        <f aca="false">IF(_LEITURA!$N242="","",INDEX(_LEITURA!$K$2:$K$1201,_LEITURA!$N242))</f>
        <v/>
      </c>
      <c r="B242" s="11" t="str">
        <f aca="false">IF(_LEITURA!$N242="","",INDEX(_LEITURA!$E$2:$E$1201,_LEITURA!$N242))</f>
        <v/>
      </c>
      <c r="C242" s="11" t="str">
        <f aca="false">IF(_LEITURA!$N242="","",INDEX(_LEITURA!$J$2:$J$1201,_LEITURA!$N242))</f>
        <v/>
      </c>
      <c r="D242" s="16" t="str">
        <f aca="false">IF(_LEITURA!$N242="","",INDEX(_LEITURA!$G$2:$G$1201,_LEITURA!$N242))</f>
        <v/>
      </c>
      <c r="E242" s="16" t="str">
        <f aca="false">IF(B242="","",SUMIFS(INVENTÁRIO!$C$2:$C$801,INVENTÁRIO!$A$2:$A$801,B242))</f>
        <v/>
      </c>
      <c r="F242" s="16" t="str">
        <f aca="false">IF(B242="","",MAX(0,D242-E242))</f>
        <v/>
      </c>
      <c r="G242" s="16" t="str">
        <f aca="false">IF(B242="","",IF(COUNTIFS($B$2:$B$1201,B242,$A$2:$A$1201,"&lt;&gt;"&amp;A242)&gt;0,"Sim",""))</f>
        <v/>
      </c>
      <c r="H242" s="16" t="str">
        <f aca="false">IF(N(F242)&gt;0,MAX(H$1:H241)+1,"")</f>
        <v/>
      </c>
      <c r="I242" s="11" t="str">
        <f aca="false">IF(B242="","",IF(INDEX($C$2:$C$1201,MATCH(B242,$B$2:$B$1201,0))&lt;&gt;C242,"Nome diferente em outro deck — revisar",""))</f>
        <v/>
      </c>
      <c r="J242" s="16" t="str">
        <f aca="false">IF(AND(B242&lt;&gt;"",A242=BULK!$A$1,N(F242)&gt;0),MAX(J$1:J241)+1,"")</f>
        <v/>
      </c>
      <c r="K242" s="11" t="str">
        <f aca="false">IF(B242="","",IFERROR(LEFT(B242,FIND("-",B242)-1),B242))</f>
        <v/>
      </c>
      <c r="L242" s="11" t="str">
        <f aca="false">IF(K242="","",IF(ISNUMBER(--MID(K242,1,1)),0,IF(ISNUMBER(--MID(K242,2,1)),1,IF(ISNUMBER(--MID(K242,3,1)),2,IF(ISNUMBER(--MID(K242,4,1)),3,MIN(LEN(K242),4))))))</f>
        <v/>
      </c>
      <c r="M242" s="11" t="str">
        <f aca="false">IF(B242="","",LEFT(K242,L242)&amp;REPT("0",4-L242)&amp;RIGHT("000"&amp;IFERROR(VALUE(MID(K242,L242+1,9)),0),3)&amp;RIGHT("0000"&amp;IFERROR(VALUE(MID(B242,FIND("-",B242)+1,9)),0),4))</f>
        <v/>
      </c>
      <c r="N242" s="11" t="str">
        <f aca="false">IF(OR(B242="",N(F242)&lt;=0),"",IF('FALTAS POR DECK'!$P$1="Código","K"&amp;M242&amp;RIGHT("00000"&amp;ROW(),5),IF('FALTAS POR DECK'!$P$1="Nome","K"&amp;UPPER(SUBSTITUTE(SUBSTITUTE(SUBSTITUTE(C242,"*",""),"?",""),"~",""))&amp;"0"&amp;M242&amp;RIGHT("00000"&amp;ROW(),5),IF('FALTAS POR DECK'!$P$1="Falta (maior primeiro)","K"&amp;RIGHT("0000"&amp;(9999-F242),4)&amp;M242&amp;RIGHT("00000"&amp;ROW(),5),IF('FALTAS POR DECK'!$P$1="Deck e código","K"&amp;RIGHT("00"&amp;IFERROR(MATCH(A242,_LEITURA!$P$2:$P$21,0),99),2)&amp;M242&amp;RIGHT("00000"&amp;ROW(),5),"K"&amp;RIGHT("00000"&amp;ROW(),5))))))</f>
        <v/>
      </c>
      <c r="O242" s="16" t="str">
        <f aca="false">IF(N242="","",COUNTIFS($N$2:$N$1201,"&lt;"&amp;N242,$F$2:$F$1201,"&gt;0")+1)</f>
        <v/>
      </c>
    </row>
    <row r="243" customFormat="false" ht="15" hidden="false" customHeight="false" outlineLevel="0" collapsed="false">
      <c r="A243" s="11" t="str">
        <f aca="false">IF(_LEITURA!$N243="","",INDEX(_LEITURA!$K$2:$K$1201,_LEITURA!$N243))</f>
        <v/>
      </c>
      <c r="B243" s="11" t="str">
        <f aca="false">IF(_LEITURA!$N243="","",INDEX(_LEITURA!$E$2:$E$1201,_LEITURA!$N243))</f>
        <v/>
      </c>
      <c r="C243" s="11" t="str">
        <f aca="false">IF(_LEITURA!$N243="","",INDEX(_LEITURA!$J$2:$J$1201,_LEITURA!$N243))</f>
        <v/>
      </c>
      <c r="D243" s="16" t="str">
        <f aca="false">IF(_LEITURA!$N243="","",INDEX(_LEITURA!$G$2:$G$1201,_LEITURA!$N243))</f>
        <v/>
      </c>
      <c r="E243" s="16" t="str">
        <f aca="false">IF(B243="","",SUMIFS(INVENTÁRIO!$C$2:$C$801,INVENTÁRIO!$A$2:$A$801,B243))</f>
        <v/>
      </c>
      <c r="F243" s="16" t="str">
        <f aca="false">IF(B243="","",MAX(0,D243-E243))</f>
        <v/>
      </c>
      <c r="G243" s="16" t="str">
        <f aca="false">IF(B243="","",IF(COUNTIFS($B$2:$B$1201,B243,$A$2:$A$1201,"&lt;&gt;"&amp;A243)&gt;0,"Sim",""))</f>
        <v/>
      </c>
      <c r="H243" s="16" t="str">
        <f aca="false">IF(N(F243)&gt;0,MAX(H$1:H242)+1,"")</f>
        <v/>
      </c>
      <c r="I243" s="11" t="str">
        <f aca="false">IF(B243="","",IF(INDEX($C$2:$C$1201,MATCH(B243,$B$2:$B$1201,0))&lt;&gt;C243,"Nome diferente em outro deck — revisar",""))</f>
        <v/>
      </c>
      <c r="J243" s="16" t="str">
        <f aca="false">IF(AND(B243&lt;&gt;"",A243=BULK!$A$1,N(F243)&gt;0),MAX(J$1:J242)+1,"")</f>
        <v/>
      </c>
      <c r="K243" s="11" t="str">
        <f aca="false">IF(B243="","",IFERROR(LEFT(B243,FIND("-",B243)-1),B243))</f>
        <v/>
      </c>
      <c r="L243" s="11" t="str">
        <f aca="false">IF(K243="","",IF(ISNUMBER(--MID(K243,1,1)),0,IF(ISNUMBER(--MID(K243,2,1)),1,IF(ISNUMBER(--MID(K243,3,1)),2,IF(ISNUMBER(--MID(K243,4,1)),3,MIN(LEN(K243),4))))))</f>
        <v/>
      </c>
      <c r="M243" s="11" t="str">
        <f aca="false">IF(B243="","",LEFT(K243,L243)&amp;REPT("0",4-L243)&amp;RIGHT("000"&amp;IFERROR(VALUE(MID(K243,L243+1,9)),0),3)&amp;RIGHT("0000"&amp;IFERROR(VALUE(MID(B243,FIND("-",B243)+1,9)),0),4))</f>
        <v/>
      </c>
      <c r="N243" s="11" t="str">
        <f aca="false">IF(OR(B243="",N(F243)&lt;=0),"",IF('FALTAS POR DECK'!$P$1="Código","K"&amp;M243&amp;RIGHT("00000"&amp;ROW(),5),IF('FALTAS POR DECK'!$P$1="Nome","K"&amp;UPPER(SUBSTITUTE(SUBSTITUTE(SUBSTITUTE(C243,"*",""),"?",""),"~",""))&amp;"0"&amp;M243&amp;RIGHT("00000"&amp;ROW(),5),IF('FALTAS POR DECK'!$P$1="Falta (maior primeiro)","K"&amp;RIGHT("0000"&amp;(9999-F243),4)&amp;M243&amp;RIGHT("00000"&amp;ROW(),5),IF('FALTAS POR DECK'!$P$1="Deck e código","K"&amp;RIGHT("00"&amp;IFERROR(MATCH(A243,_LEITURA!$P$2:$P$21,0),99),2)&amp;M243&amp;RIGHT("00000"&amp;ROW(),5),"K"&amp;RIGHT("00000"&amp;ROW(),5))))))</f>
        <v/>
      </c>
      <c r="O243" s="16" t="str">
        <f aca="false">IF(N243="","",COUNTIFS($N$2:$N$1201,"&lt;"&amp;N243,$F$2:$F$1201,"&gt;0")+1)</f>
        <v/>
      </c>
    </row>
    <row r="244" customFormat="false" ht="15" hidden="false" customHeight="false" outlineLevel="0" collapsed="false">
      <c r="A244" s="11" t="str">
        <f aca="false">IF(_LEITURA!$N244="","",INDEX(_LEITURA!$K$2:$K$1201,_LEITURA!$N244))</f>
        <v/>
      </c>
      <c r="B244" s="11" t="str">
        <f aca="false">IF(_LEITURA!$N244="","",INDEX(_LEITURA!$E$2:$E$1201,_LEITURA!$N244))</f>
        <v/>
      </c>
      <c r="C244" s="11" t="str">
        <f aca="false">IF(_LEITURA!$N244="","",INDEX(_LEITURA!$J$2:$J$1201,_LEITURA!$N244))</f>
        <v/>
      </c>
      <c r="D244" s="16" t="str">
        <f aca="false">IF(_LEITURA!$N244="","",INDEX(_LEITURA!$G$2:$G$1201,_LEITURA!$N244))</f>
        <v/>
      </c>
      <c r="E244" s="16" t="str">
        <f aca="false">IF(B244="","",SUMIFS(INVENTÁRIO!$C$2:$C$801,INVENTÁRIO!$A$2:$A$801,B244))</f>
        <v/>
      </c>
      <c r="F244" s="16" t="str">
        <f aca="false">IF(B244="","",MAX(0,D244-E244))</f>
        <v/>
      </c>
      <c r="G244" s="16" t="str">
        <f aca="false">IF(B244="","",IF(COUNTIFS($B$2:$B$1201,B244,$A$2:$A$1201,"&lt;&gt;"&amp;A244)&gt;0,"Sim",""))</f>
        <v/>
      </c>
      <c r="H244" s="16" t="str">
        <f aca="false">IF(N(F244)&gt;0,MAX(H$1:H243)+1,"")</f>
        <v/>
      </c>
      <c r="I244" s="11" t="str">
        <f aca="false">IF(B244="","",IF(INDEX($C$2:$C$1201,MATCH(B244,$B$2:$B$1201,0))&lt;&gt;C244,"Nome diferente em outro deck — revisar",""))</f>
        <v/>
      </c>
      <c r="J244" s="16" t="str">
        <f aca="false">IF(AND(B244&lt;&gt;"",A244=BULK!$A$1,N(F244)&gt;0),MAX(J$1:J243)+1,"")</f>
        <v/>
      </c>
      <c r="K244" s="11" t="str">
        <f aca="false">IF(B244="","",IFERROR(LEFT(B244,FIND("-",B244)-1),B244))</f>
        <v/>
      </c>
      <c r="L244" s="11" t="str">
        <f aca="false">IF(K244="","",IF(ISNUMBER(--MID(K244,1,1)),0,IF(ISNUMBER(--MID(K244,2,1)),1,IF(ISNUMBER(--MID(K244,3,1)),2,IF(ISNUMBER(--MID(K244,4,1)),3,MIN(LEN(K244),4))))))</f>
        <v/>
      </c>
      <c r="M244" s="11" t="str">
        <f aca="false">IF(B244="","",LEFT(K244,L244)&amp;REPT("0",4-L244)&amp;RIGHT("000"&amp;IFERROR(VALUE(MID(K244,L244+1,9)),0),3)&amp;RIGHT("0000"&amp;IFERROR(VALUE(MID(B244,FIND("-",B244)+1,9)),0),4))</f>
        <v/>
      </c>
      <c r="N244" s="11" t="str">
        <f aca="false">IF(OR(B244="",N(F244)&lt;=0),"",IF('FALTAS POR DECK'!$P$1="Código","K"&amp;M244&amp;RIGHT("00000"&amp;ROW(),5),IF('FALTAS POR DECK'!$P$1="Nome","K"&amp;UPPER(SUBSTITUTE(SUBSTITUTE(SUBSTITUTE(C244,"*",""),"?",""),"~",""))&amp;"0"&amp;M244&amp;RIGHT("00000"&amp;ROW(),5),IF('FALTAS POR DECK'!$P$1="Falta (maior primeiro)","K"&amp;RIGHT("0000"&amp;(9999-F244),4)&amp;M244&amp;RIGHT("00000"&amp;ROW(),5),IF('FALTAS POR DECK'!$P$1="Deck e código","K"&amp;RIGHT("00"&amp;IFERROR(MATCH(A244,_LEITURA!$P$2:$P$21,0),99),2)&amp;M244&amp;RIGHT("00000"&amp;ROW(),5),"K"&amp;RIGHT("00000"&amp;ROW(),5))))))</f>
        <v/>
      </c>
      <c r="O244" s="16" t="str">
        <f aca="false">IF(N244="","",COUNTIFS($N$2:$N$1201,"&lt;"&amp;N244,$F$2:$F$1201,"&gt;0")+1)</f>
        <v/>
      </c>
    </row>
    <row r="245" customFormat="false" ht="15" hidden="false" customHeight="false" outlineLevel="0" collapsed="false">
      <c r="A245" s="11" t="str">
        <f aca="false">IF(_LEITURA!$N245="","",INDEX(_LEITURA!$K$2:$K$1201,_LEITURA!$N245))</f>
        <v/>
      </c>
      <c r="B245" s="11" t="str">
        <f aca="false">IF(_LEITURA!$N245="","",INDEX(_LEITURA!$E$2:$E$1201,_LEITURA!$N245))</f>
        <v/>
      </c>
      <c r="C245" s="11" t="str">
        <f aca="false">IF(_LEITURA!$N245="","",INDEX(_LEITURA!$J$2:$J$1201,_LEITURA!$N245))</f>
        <v/>
      </c>
      <c r="D245" s="16" t="str">
        <f aca="false">IF(_LEITURA!$N245="","",INDEX(_LEITURA!$G$2:$G$1201,_LEITURA!$N245))</f>
        <v/>
      </c>
      <c r="E245" s="16" t="str">
        <f aca="false">IF(B245="","",SUMIFS(INVENTÁRIO!$C$2:$C$801,INVENTÁRIO!$A$2:$A$801,B245))</f>
        <v/>
      </c>
      <c r="F245" s="16" t="str">
        <f aca="false">IF(B245="","",MAX(0,D245-E245))</f>
        <v/>
      </c>
      <c r="G245" s="16" t="str">
        <f aca="false">IF(B245="","",IF(COUNTIFS($B$2:$B$1201,B245,$A$2:$A$1201,"&lt;&gt;"&amp;A245)&gt;0,"Sim",""))</f>
        <v/>
      </c>
      <c r="H245" s="16" t="str">
        <f aca="false">IF(N(F245)&gt;0,MAX(H$1:H244)+1,"")</f>
        <v/>
      </c>
      <c r="I245" s="11" t="str">
        <f aca="false">IF(B245="","",IF(INDEX($C$2:$C$1201,MATCH(B245,$B$2:$B$1201,0))&lt;&gt;C245,"Nome diferente em outro deck — revisar",""))</f>
        <v/>
      </c>
      <c r="J245" s="16" t="str">
        <f aca="false">IF(AND(B245&lt;&gt;"",A245=BULK!$A$1,N(F245)&gt;0),MAX(J$1:J244)+1,"")</f>
        <v/>
      </c>
      <c r="K245" s="11" t="str">
        <f aca="false">IF(B245="","",IFERROR(LEFT(B245,FIND("-",B245)-1),B245))</f>
        <v/>
      </c>
      <c r="L245" s="11" t="str">
        <f aca="false">IF(K245="","",IF(ISNUMBER(--MID(K245,1,1)),0,IF(ISNUMBER(--MID(K245,2,1)),1,IF(ISNUMBER(--MID(K245,3,1)),2,IF(ISNUMBER(--MID(K245,4,1)),3,MIN(LEN(K245),4))))))</f>
        <v/>
      </c>
      <c r="M245" s="11" t="str">
        <f aca="false">IF(B245="","",LEFT(K245,L245)&amp;REPT("0",4-L245)&amp;RIGHT("000"&amp;IFERROR(VALUE(MID(K245,L245+1,9)),0),3)&amp;RIGHT("0000"&amp;IFERROR(VALUE(MID(B245,FIND("-",B245)+1,9)),0),4))</f>
        <v/>
      </c>
      <c r="N245" s="11" t="str">
        <f aca="false">IF(OR(B245="",N(F245)&lt;=0),"",IF('FALTAS POR DECK'!$P$1="Código","K"&amp;M245&amp;RIGHT("00000"&amp;ROW(),5),IF('FALTAS POR DECK'!$P$1="Nome","K"&amp;UPPER(SUBSTITUTE(SUBSTITUTE(SUBSTITUTE(C245,"*",""),"?",""),"~",""))&amp;"0"&amp;M245&amp;RIGHT("00000"&amp;ROW(),5),IF('FALTAS POR DECK'!$P$1="Falta (maior primeiro)","K"&amp;RIGHT("0000"&amp;(9999-F245),4)&amp;M245&amp;RIGHT("00000"&amp;ROW(),5),IF('FALTAS POR DECK'!$P$1="Deck e código","K"&amp;RIGHT("00"&amp;IFERROR(MATCH(A245,_LEITURA!$P$2:$P$21,0),99),2)&amp;M245&amp;RIGHT("00000"&amp;ROW(),5),"K"&amp;RIGHT("00000"&amp;ROW(),5))))))</f>
        <v/>
      </c>
      <c r="O245" s="16" t="str">
        <f aca="false">IF(N245="","",COUNTIFS($N$2:$N$1201,"&lt;"&amp;N245,$F$2:$F$1201,"&gt;0")+1)</f>
        <v/>
      </c>
    </row>
    <row r="246" customFormat="false" ht="15" hidden="false" customHeight="false" outlineLevel="0" collapsed="false">
      <c r="A246" s="11" t="str">
        <f aca="false">IF(_LEITURA!$N246="","",INDEX(_LEITURA!$K$2:$K$1201,_LEITURA!$N246))</f>
        <v/>
      </c>
      <c r="B246" s="11" t="str">
        <f aca="false">IF(_LEITURA!$N246="","",INDEX(_LEITURA!$E$2:$E$1201,_LEITURA!$N246))</f>
        <v/>
      </c>
      <c r="C246" s="11" t="str">
        <f aca="false">IF(_LEITURA!$N246="","",INDEX(_LEITURA!$J$2:$J$1201,_LEITURA!$N246))</f>
        <v/>
      </c>
      <c r="D246" s="16" t="str">
        <f aca="false">IF(_LEITURA!$N246="","",INDEX(_LEITURA!$G$2:$G$1201,_LEITURA!$N246))</f>
        <v/>
      </c>
      <c r="E246" s="16" t="str">
        <f aca="false">IF(B246="","",SUMIFS(INVENTÁRIO!$C$2:$C$801,INVENTÁRIO!$A$2:$A$801,B246))</f>
        <v/>
      </c>
      <c r="F246" s="16" t="str">
        <f aca="false">IF(B246="","",MAX(0,D246-E246))</f>
        <v/>
      </c>
      <c r="G246" s="16" t="str">
        <f aca="false">IF(B246="","",IF(COUNTIFS($B$2:$B$1201,B246,$A$2:$A$1201,"&lt;&gt;"&amp;A246)&gt;0,"Sim",""))</f>
        <v/>
      </c>
      <c r="H246" s="16" t="str">
        <f aca="false">IF(N(F246)&gt;0,MAX(H$1:H245)+1,"")</f>
        <v/>
      </c>
      <c r="I246" s="11" t="str">
        <f aca="false">IF(B246="","",IF(INDEX($C$2:$C$1201,MATCH(B246,$B$2:$B$1201,0))&lt;&gt;C246,"Nome diferente em outro deck — revisar",""))</f>
        <v/>
      </c>
      <c r="J246" s="16" t="str">
        <f aca="false">IF(AND(B246&lt;&gt;"",A246=BULK!$A$1,N(F246)&gt;0),MAX(J$1:J245)+1,"")</f>
        <v/>
      </c>
      <c r="K246" s="11" t="str">
        <f aca="false">IF(B246="","",IFERROR(LEFT(B246,FIND("-",B246)-1),B246))</f>
        <v/>
      </c>
      <c r="L246" s="11" t="str">
        <f aca="false">IF(K246="","",IF(ISNUMBER(--MID(K246,1,1)),0,IF(ISNUMBER(--MID(K246,2,1)),1,IF(ISNUMBER(--MID(K246,3,1)),2,IF(ISNUMBER(--MID(K246,4,1)),3,MIN(LEN(K246),4))))))</f>
        <v/>
      </c>
      <c r="M246" s="11" t="str">
        <f aca="false">IF(B246="","",LEFT(K246,L246)&amp;REPT("0",4-L246)&amp;RIGHT("000"&amp;IFERROR(VALUE(MID(K246,L246+1,9)),0),3)&amp;RIGHT("0000"&amp;IFERROR(VALUE(MID(B246,FIND("-",B246)+1,9)),0),4))</f>
        <v/>
      </c>
      <c r="N246" s="11" t="str">
        <f aca="false">IF(OR(B246="",N(F246)&lt;=0),"",IF('FALTAS POR DECK'!$P$1="Código","K"&amp;M246&amp;RIGHT("00000"&amp;ROW(),5),IF('FALTAS POR DECK'!$P$1="Nome","K"&amp;UPPER(SUBSTITUTE(SUBSTITUTE(SUBSTITUTE(C246,"*",""),"?",""),"~",""))&amp;"0"&amp;M246&amp;RIGHT("00000"&amp;ROW(),5),IF('FALTAS POR DECK'!$P$1="Falta (maior primeiro)","K"&amp;RIGHT("0000"&amp;(9999-F246),4)&amp;M246&amp;RIGHT("00000"&amp;ROW(),5),IF('FALTAS POR DECK'!$P$1="Deck e código","K"&amp;RIGHT("00"&amp;IFERROR(MATCH(A246,_LEITURA!$P$2:$P$21,0),99),2)&amp;M246&amp;RIGHT("00000"&amp;ROW(),5),"K"&amp;RIGHT("00000"&amp;ROW(),5))))))</f>
        <v/>
      </c>
      <c r="O246" s="16" t="str">
        <f aca="false">IF(N246="","",COUNTIFS($N$2:$N$1201,"&lt;"&amp;N246,$F$2:$F$1201,"&gt;0")+1)</f>
        <v/>
      </c>
    </row>
    <row r="247" customFormat="false" ht="15" hidden="false" customHeight="false" outlineLevel="0" collapsed="false">
      <c r="A247" s="11" t="str">
        <f aca="false">IF(_LEITURA!$N247="","",INDEX(_LEITURA!$K$2:$K$1201,_LEITURA!$N247))</f>
        <v/>
      </c>
      <c r="B247" s="11" t="str">
        <f aca="false">IF(_LEITURA!$N247="","",INDEX(_LEITURA!$E$2:$E$1201,_LEITURA!$N247))</f>
        <v/>
      </c>
      <c r="C247" s="11" t="str">
        <f aca="false">IF(_LEITURA!$N247="","",INDEX(_LEITURA!$J$2:$J$1201,_LEITURA!$N247))</f>
        <v/>
      </c>
      <c r="D247" s="16" t="str">
        <f aca="false">IF(_LEITURA!$N247="","",INDEX(_LEITURA!$G$2:$G$1201,_LEITURA!$N247))</f>
        <v/>
      </c>
      <c r="E247" s="16" t="str">
        <f aca="false">IF(B247="","",SUMIFS(INVENTÁRIO!$C$2:$C$801,INVENTÁRIO!$A$2:$A$801,B247))</f>
        <v/>
      </c>
      <c r="F247" s="16" t="str">
        <f aca="false">IF(B247="","",MAX(0,D247-E247))</f>
        <v/>
      </c>
      <c r="G247" s="16" t="str">
        <f aca="false">IF(B247="","",IF(COUNTIFS($B$2:$B$1201,B247,$A$2:$A$1201,"&lt;&gt;"&amp;A247)&gt;0,"Sim",""))</f>
        <v/>
      </c>
      <c r="H247" s="16" t="str">
        <f aca="false">IF(N(F247)&gt;0,MAX(H$1:H246)+1,"")</f>
        <v/>
      </c>
      <c r="I247" s="11" t="str">
        <f aca="false">IF(B247="","",IF(INDEX($C$2:$C$1201,MATCH(B247,$B$2:$B$1201,0))&lt;&gt;C247,"Nome diferente em outro deck — revisar",""))</f>
        <v/>
      </c>
      <c r="J247" s="16" t="str">
        <f aca="false">IF(AND(B247&lt;&gt;"",A247=BULK!$A$1,N(F247)&gt;0),MAX(J$1:J246)+1,"")</f>
        <v/>
      </c>
      <c r="K247" s="11" t="str">
        <f aca="false">IF(B247="","",IFERROR(LEFT(B247,FIND("-",B247)-1),B247))</f>
        <v/>
      </c>
      <c r="L247" s="11" t="str">
        <f aca="false">IF(K247="","",IF(ISNUMBER(--MID(K247,1,1)),0,IF(ISNUMBER(--MID(K247,2,1)),1,IF(ISNUMBER(--MID(K247,3,1)),2,IF(ISNUMBER(--MID(K247,4,1)),3,MIN(LEN(K247),4))))))</f>
        <v/>
      </c>
      <c r="M247" s="11" t="str">
        <f aca="false">IF(B247="","",LEFT(K247,L247)&amp;REPT("0",4-L247)&amp;RIGHT("000"&amp;IFERROR(VALUE(MID(K247,L247+1,9)),0),3)&amp;RIGHT("0000"&amp;IFERROR(VALUE(MID(B247,FIND("-",B247)+1,9)),0),4))</f>
        <v/>
      </c>
      <c r="N247" s="11" t="str">
        <f aca="false">IF(OR(B247="",N(F247)&lt;=0),"",IF('FALTAS POR DECK'!$P$1="Código","K"&amp;M247&amp;RIGHT("00000"&amp;ROW(),5),IF('FALTAS POR DECK'!$P$1="Nome","K"&amp;UPPER(SUBSTITUTE(SUBSTITUTE(SUBSTITUTE(C247,"*",""),"?",""),"~",""))&amp;"0"&amp;M247&amp;RIGHT("00000"&amp;ROW(),5),IF('FALTAS POR DECK'!$P$1="Falta (maior primeiro)","K"&amp;RIGHT("0000"&amp;(9999-F247),4)&amp;M247&amp;RIGHT("00000"&amp;ROW(),5),IF('FALTAS POR DECK'!$P$1="Deck e código","K"&amp;RIGHT("00"&amp;IFERROR(MATCH(A247,_LEITURA!$P$2:$P$21,0),99),2)&amp;M247&amp;RIGHT("00000"&amp;ROW(),5),"K"&amp;RIGHT("00000"&amp;ROW(),5))))))</f>
        <v/>
      </c>
      <c r="O247" s="16" t="str">
        <f aca="false">IF(N247="","",COUNTIFS($N$2:$N$1201,"&lt;"&amp;N247,$F$2:$F$1201,"&gt;0")+1)</f>
        <v/>
      </c>
    </row>
    <row r="248" customFormat="false" ht="15" hidden="false" customHeight="false" outlineLevel="0" collapsed="false">
      <c r="A248" s="11" t="str">
        <f aca="false">IF(_LEITURA!$N248="","",INDEX(_LEITURA!$K$2:$K$1201,_LEITURA!$N248))</f>
        <v/>
      </c>
      <c r="B248" s="11" t="str">
        <f aca="false">IF(_LEITURA!$N248="","",INDEX(_LEITURA!$E$2:$E$1201,_LEITURA!$N248))</f>
        <v/>
      </c>
      <c r="C248" s="11" t="str">
        <f aca="false">IF(_LEITURA!$N248="","",INDEX(_LEITURA!$J$2:$J$1201,_LEITURA!$N248))</f>
        <v/>
      </c>
      <c r="D248" s="16" t="str">
        <f aca="false">IF(_LEITURA!$N248="","",INDEX(_LEITURA!$G$2:$G$1201,_LEITURA!$N248))</f>
        <v/>
      </c>
      <c r="E248" s="16" t="str">
        <f aca="false">IF(B248="","",SUMIFS(INVENTÁRIO!$C$2:$C$801,INVENTÁRIO!$A$2:$A$801,B248))</f>
        <v/>
      </c>
      <c r="F248" s="16" t="str">
        <f aca="false">IF(B248="","",MAX(0,D248-E248))</f>
        <v/>
      </c>
      <c r="G248" s="16" t="str">
        <f aca="false">IF(B248="","",IF(COUNTIFS($B$2:$B$1201,B248,$A$2:$A$1201,"&lt;&gt;"&amp;A248)&gt;0,"Sim",""))</f>
        <v/>
      </c>
      <c r="H248" s="16" t="str">
        <f aca="false">IF(N(F248)&gt;0,MAX(H$1:H247)+1,"")</f>
        <v/>
      </c>
      <c r="I248" s="11" t="str">
        <f aca="false">IF(B248="","",IF(INDEX($C$2:$C$1201,MATCH(B248,$B$2:$B$1201,0))&lt;&gt;C248,"Nome diferente em outro deck — revisar",""))</f>
        <v/>
      </c>
      <c r="J248" s="16" t="str">
        <f aca="false">IF(AND(B248&lt;&gt;"",A248=BULK!$A$1,N(F248)&gt;0),MAX(J$1:J247)+1,"")</f>
        <v/>
      </c>
      <c r="K248" s="11" t="str">
        <f aca="false">IF(B248="","",IFERROR(LEFT(B248,FIND("-",B248)-1),B248))</f>
        <v/>
      </c>
      <c r="L248" s="11" t="str">
        <f aca="false">IF(K248="","",IF(ISNUMBER(--MID(K248,1,1)),0,IF(ISNUMBER(--MID(K248,2,1)),1,IF(ISNUMBER(--MID(K248,3,1)),2,IF(ISNUMBER(--MID(K248,4,1)),3,MIN(LEN(K248),4))))))</f>
        <v/>
      </c>
      <c r="M248" s="11" t="str">
        <f aca="false">IF(B248="","",LEFT(K248,L248)&amp;REPT("0",4-L248)&amp;RIGHT("000"&amp;IFERROR(VALUE(MID(K248,L248+1,9)),0),3)&amp;RIGHT("0000"&amp;IFERROR(VALUE(MID(B248,FIND("-",B248)+1,9)),0),4))</f>
        <v/>
      </c>
      <c r="N248" s="11" t="str">
        <f aca="false">IF(OR(B248="",N(F248)&lt;=0),"",IF('FALTAS POR DECK'!$P$1="Código","K"&amp;M248&amp;RIGHT("00000"&amp;ROW(),5),IF('FALTAS POR DECK'!$P$1="Nome","K"&amp;UPPER(SUBSTITUTE(SUBSTITUTE(SUBSTITUTE(C248,"*",""),"?",""),"~",""))&amp;"0"&amp;M248&amp;RIGHT("00000"&amp;ROW(),5),IF('FALTAS POR DECK'!$P$1="Falta (maior primeiro)","K"&amp;RIGHT("0000"&amp;(9999-F248),4)&amp;M248&amp;RIGHT("00000"&amp;ROW(),5),IF('FALTAS POR DECK'!$P$1="Deck e código","K"&amp;RIGHT("00"&amp;IFERROR(MATCH(A248,_LEITURA!$P$2:$P$21,0),99),2)&amp;M248&amp;RIGHT("00000"&amp;ROW(),5),"K"&amp;RIGHT("00000"&amp;ROW(),5))))))</f>
        <v/>
      </c>
      <c r="O248" s="16" t="str">
        <f aca="false">IF(N248="","",COUNTIFS($N$2:$N$1201,"&lt;"&amp;N248,$F$2:$F$1201,"&gt;0")+1)</f>
        <v/>
      </c>
    </row>
    <row r="249" customFormat="false" ht="15" hidden="false" customHeight="false" outlineLevel="0" collapsed="false">
      <c r="A249" s="11" t="str">
        <f aca="false">IF(_LEITURA!$N249="","",INDEX(_LEITURA!$K$2:$K$1201,_LEITURA!$N249))</f>
        <v/>
      </c>
      <c r="B249" s="11" t="str">
        <f aca="false">IF(_LEITURA!$N249="","",INDEX(_LEITURA!$E$2:$E$1201,_LEITURA!$N249))</f>
        <v/>
      </c>
      <c r="C249" s="11" t="str">
        <f aca="false">IF(_LEITURA!$N249="","",INDEX(_LEITURA!$J$2:$J$1201,_LEITURA!$N249))</f>
        <v/>
      </c>
      <c r="D249" s="16" t="str">
        <f aca="false">IF(_LEITURA!$N249="","",INDEX(_LEITURA!$G$2:$G$1201,_LEITURA!$N249))</f>
        <v/>
      </c>
      <c r="E249" s="16" t="str">
        <f aca="false">IF(B249="","",SUMIFS(INVENTÁRIO!$C$2:$C$801,INVENTÁRIO!$A$2:$A$801,B249))</f>
        <v/>
      </c>
      <c r="F249" s="16" t="str">
        <f aca="false">IF(B249="","",MAX(0,D249-E249))</f>
        <v/>
      </c>
      <c r="G249" s="16" t="str">
        <f aca="false">IF(B249="","",IF(COUNTIFS($B$2:$B$1201,B249,$A$2:$A$1201,"&lt;&gt;"&amp;A249)&gt;0,"Sim",""))</f>
        <v/>
      </c>
      <c r="H249" s="16" t="str">
        <f aca="false">IF(N(F249)&gt;0,MAX(H$1:H248)+1,"")</f>
        <v/>
      </c>
      <c r="I249" s="11" t="str">
        <f aca="false">IF(B249="","",IF(INDEX($C$2:$C$1201,MATCH(B249,$B$2:$B$1201,0))&lt;&gt;C249,"Nome diferente em outro deck — revisar",""))</f>
        <v/>
      </c>
      <c r="J249" s="16" t="str">
        <f aca="false">IF(AND(B249&lt;&gt;"",A249=BULK!$A$1,N(F249)&gt;0),MAX(J$1:J248)+1,"")</f>
        <v/>
      </c>
      <c r="K249" s="11" t="str">
        <f aca="false">IF(B249="","",IFERROR(LEFT(B249,FIND("-",B249)-1),B249))</f>
        <v/>
      </c>
      <c r="L249" s="11" t="str">
        <f aca="false">IF(K249="","",IF(ISNUMBER(--MID(K249,1,1)),0,IF(ISNUMBER(--MID(K249,2,1)),1,IF(ISNUMBER(--MID(K249,3,1)),2,IF(ISNUMBER(--MID(K249,4,1)),3,MIN(LEN(K249),4))))))</f>
        <v/>
      </c>
      <c r="M249" s="11" t="str">
        <f aca="false">IF(B249="","",LEFT(K249,L249)&amp;REPT("0",4-L249)&amp;RIGHT("000"&amp;IFERROR(VALUE(MID(K249,L249+1,9)),0),3)&amp;RIGHT("0000"&amp;IFERROR(VALUE(MID(B249,FIND("-",B249)+1,9)),0),4))</f>
        <v/>
      </c>
      <c r="N249" s="11" t="str">
        <f aca="false">IF(OR(B249="",N(F249)&lt;=0),"",IF('FALTAS POR DECK'!$P$1="Código","K"&amp;M249&amp;RIGHT("00000"&amp;ROW(),5),IF('FALTAS POR DECK'!$P$1="Nome","K"&amp;UPPER(SUBSTITUTE(SUBSTITUTE(SUBSTITUTE(C249,"*",""),"?",""),"~",""))&amp;"0"&amp;M249&amp;RIGHT("00000"&amp;ROW(),5),IF('FALTAS POR DECK'!$P$1="Falta (maior primeiro)","K"&amp;RIGHT("0000"&amp;(9999-F249),4)&amp;M249&amp;RIGHT("00000"&amp;ROW(),5),IF('FALTAS POR DECK'!$P$1="Deck e código","K"&amp;RIGHT("00"&amp;IFERROR(MATCH(A249,_LEITURA!$P$2:$P$21,0),99),2)&amp;M249&amp;RIGHT("00000"&amp;ROW(),5),"K"&amp;RIGHT("00000"&amp;ROW(),5))))))</f>
        <v/>
      </c>
      <c r="O249" s="16" t="str">
        <f aca="false">IF(N249="","",COUNTIFS($N$2:$N$1201,"&lt;"&amp;N249,$F$2:$F$1201,"&gt;0")+1)</f>
        <v/>
      </c>
    </row>
    <row r="250" customFormat="false" ht="15" hidden="false" customHeight="false" outlineLevel="0" collapsed="false">
      <c r="A250" s="11" t="str">
        <f aca="false">IF(_LEITURA!$N250="","",INDEX(_LEITURA!$K$2:$K$1201,_LEITURA!$N250))</f>
        <v/>
      </c>
      <c r="B250" s="11" t="str">
        <f aca="false">IF(_LEITURA!$N250="","",INDEX(_LEITURA!$E$2:$E$1201,_LEITURA!$N250))</f>
        <v/>
      </c>
      <c r="C250" s="11" t="str">
        <f aca="false">IF(_LEITURA!$N250="","",INDEX(_LEITURA!$J$2:$J$1201,_LEITURA!$N250))</f>
        <v/>
      </c>
      <c r="D250" s="16" t="str">
        <f aca="false">IF(_LEITURA!$N250="","",INDEX(_LEITURA!$G$2:$G$1201,_LEITURA!$N250))</f>
        <v/>
      </c>
      <c r="E250" s="16" t="str">
        <f aca="false">IF(B250="","",SUMIFS(INVENTÁRIO!$C$2:$C$801,INVENTÁRIO!$A$2:$A$801,B250))</f>
        <v/>
      </c>
      <c r="F250" s="16" t="str">
        <f aca="false">IF(B250="","",MAX(0,D250-E250))</f>
        <v/>
      </c>
      <c r="G250" s="16" t="str">
        <f aca="false">IF(B250="","",IF(COUNTIFS($B$2:$B$1201,B250,$A$2:$A$1201,"&lt;&gt;"&amp;A250)&gt;0,"Sim",""))</f>
        <v/>
      </c>
      <c r="H250" s="16" t="str">
        <f aca="false">IF(N(F250)&gt;0,MAX(H$1:H249)+1,"")</f>
        <v/>
      </c>
      <c r="I250" s="11" t="str">
        <f aca="false">IF(B250="","",IF(INDEX($C$2:$C$1201,MATCH(B250,$B$2:$B$1201,0))&lt;&gt;C250,"Nome diferente em outro deck — revisar",""))</f>
        <v/>
      </c>
      <c r="J250" s="16" t="str">
        <f aca="false">IF(AND(B250&lt;&gt;"",A250=BULK!$A$1,N(F250)&gt;0),MAX(J$1:J249)+1,"")</f>
        <v/>
      </c>
      <c r="K250" s="11" t="str">
        <f aca="false">IF(B250="","",IFERROR(LEFT(B250,FIND("-",B250)-1),B250))</f>
        <v/>
      </c>
      <c r="L250" s="11" t="str">
        <f aca="false">IF(K250="","",IF(ISNUMBER(--MID(K250,1,1)),0,IF(ISNUMBER(--MID(K250,2,1)),1,IF(ISNUMBER(--MID(K250,3,1)),2,IF(ISNUMBER(--MID(K250,4,1)),3,MIN(LEN(K250),4))))))</f>
        <v/>
      </c>
      <c r="M250" s="11" t="str">
        <f aca="false">IF(B250="","",LEFT(K250,L250)&amp;REPT("0",4-L250)&amp;RIGHT("000"&amp;IFERROR(VALUE(MID(K250,L250+1,9)),0),3)&amp;RIGHT("0000"&amp;IFERROR(VALUE(MID(B250,FIND("-",B250)+1,9)),0),4))</f>
        <v/>
      </c>
      <c r="N250" s="11" t="str">
        <f aca="false">IF(OR(B250="",N(F250)&lt;=0),"",IF('FALTAS POR DECK'!$P$1="Código","K"&amp;M250&amp;RIGHT("00000"&amp;ROW(),5),IF('FALTAS POR DECK'!$P$1="Nome","K"&amp;UPPER(SUBSTITUTE(SUBSTITUTE(SUBSTITUTE(C250,"*",""),"?",""),"~",""))&amp;"0"&amp;M250&amp;RIGHT("00000"&amp;ROW(),5),IF('FALTAS POR DECK'!$P$1="Falta (maior primeiro)","K"&amp;RIGHT("0000"&amp;(9999-F250),4)&amp;M250&amp;RIGHT("00000"&amp;ROW(),5),IF('FALTAS POR DECK'!$P$1="Deck e código","K"&amp;RIGHT("00"&amp;IFERROR(MATCH(A250,_LEITURA!$P$2:$P$21,0),99),2)&amp;M250&amp;RIGHT("00000"&amp;ROW(),5),"K"&amp;RIGHT("00000"&amp;ROW(),5))))))</f>
        <v/>
      </c>
      <c r="O250" s="16" t="str">
        <f aca="false">IF(N250="","",COUNTIFS($N$2:$N$1201,"&lt;"&amp;N250,$F$2:$F$1201,"&gt;0")+1)</f>
        <v/>
      </c>
    </row>
    <row r="251" customFormat="false" ht="15" hidden="false" customHeight="false" outlineLevel="0" collapsed="false">
      <c r="A251" s="11" t="str">
        <f aca="false">IF(_LEITURA!$N251="","",INDEX(_LEITURA!$K$2:$K$1201,_LEITURA!$N251))</f>
        <v/>
      </c>
      <c r="B251" s="11" t="str">
        <f aca="false">IF(_LEITURA!$N251="","",INDEX(_LEITURA!$E$2:$E$1201,_LEITURA!$N251))</f>
        <v/>
      </c>
      <c r="C251" s="11" t="str">
        <f aca="false">IF(_LEITURA!$N251="","",INDEX(_LEITURA!$J$2:$J$1201,_LEITURA!$N251))</f>
        <v/>
      </c>
      <c r="D251" s="16" t="str">
        <f aca="false">IF(_LEITURA!$N251="","",INDEX(_LEITURA!$G$2:$G$1201,_LEITURA!$N251))</f>
        <v/>
      </c>
      <c r="E251" s="16" t="str">
        <f aca="false">IF(B251="","",SUMIFS(INVENTÁRIO!$C$2:$C$801,INVENTÁRIO!$A$2:$A$801,B251))</f>
        <v/>
      </c>
      <c r="F251" s="16" t="str">
        <f aca="false">IF(B251="","",MAX(0,D251-E251))</f>
        <v/>
      </c>
      <c r="G251" s="16" t="str">
        <f aca="false">IF(B251="","",IF(COUNTIFS($B$2:$B$1201,B251,$A$2:$A$1201,"&lt;&gt;"&amp;A251)&gt;0,"Sim",""))</f>
        <v/>
      </c>
      <c r="H251" s="16" t="str">
        <f aca="false">IF(N(F251)&gt;0,MAX(H$1:H250)+1,"")</f>
        <v/>
      </c>
      <c r="I251" s="11" t="str">
        <f aca="false">IF(B251="","",IF(INDEX($C$2:$C$1201,MATCH(B251,$B$2:$B$1201,0))&lt;&gt;C251,"Nome diferente em outro deck — revisar",""))</f>
        <v/>
      </c>
      <c r="J251" s="16" t="str">
        <f aca="false">IF(AND(B251&lt;&gt;"",A251=BULK!$A$1,N(F251)&gt;0),MAX(J$1:J250)+1,"")</f>
        <v/>
      </c>
      <c r="K251" s="11" t="str">
        <f aca="false">IF(B251="","",IFERROR(LEFT(B251,FIND("-",B251)-1),B251))</f>
        <v/>
      </c>
      <c r="L251" s="11" t="str">
        <f aca="false">IF(K251="","",IF(ISNUMBER(--MID(K251,1,1)),0,IF(ISNUMBER(--MID(K251,2,1)),1,IF(ISNUMBER(--MID(K251,3,1)),2,IF(ISNUMBER(--MID(K251,4,1)),3,MIN(LEN(K251),4))))))</f>
        <v/>
      </c>
      <c r="M251" s="11" t="str">
        <f aca="false">IF(B251="","",LEFT(K251,L251)&amp;REPT("0",4-L251)&amp;RIGHT("000"&amp;IFERROR(VALUE(MID(K251,L251+1,9)),0),3)&amp;RIGHT("0000"&amp;IFERROR(VALUE(MID(B251,FIND("-",B251)+1,9)),0),4))</f>
        <v/>
      </c>
      <c r="N251" s="11" t="str">
        <f aca="false">IF(OR(B251="",N(F251)&lt;=0),"",IF('FALTAS POR DECK'!$P$1="Código","K"&amp;M251&amp;RIGHT("00000"&amp;ROW(),5),IF('FALTAS POR DECK'!$P$1="Nome","K"&amp;UPPER(SUBSTITUTE(SUBSTITUTE(SUBSTITUTE(C251,"*",""),"?",""),"~",""))&amp;"0"&amp;M251&amp;RIGHT("00000"&amp;ROW(),5),IF('FALTAS POR DECK'!$P$1="Falta (maior primeiro)","K"&amp;RIGHT("0000"&amp;(9999-F251),4)&amp;M251&amp;RIGHT("00000"&amp;ROW(),5),IF('FALTAS POR DECK'!$P$1="Deck e código","K"&amp;RIGHT("00"&amp;IFERROR(MATCH(A251,_LEITURA!$P$2:$P$21,0),99),2)&amp;M251&amp;RIGHT("00000"&amp;ROW(),5),"K"&amp;RIGHT("00000"&amp;ROW(),5))))))</f>
        <v/>
      </c>
      <c r="O251" s="16" t="str">
        <f aca="false">IF(N251="","",COUNTIFS($N$2:$N$1201,"&lt;"&amp;N251,$F$2:$F$1201,"&gt;0")+1)</f>
        <v/>
      </c>
    </row>
    <row r="252" customFormat="false" ht="15" hidden="false" customHeight="false" outlineLevel="0" collapsed="false">
      <c r="A252" s="11" t="str">
        <f aca="false">IF(_LEITURA!$N252="","",INDEX(_LEITURA!$K$2:$K$1201,_LEITURA!$N252))</f>
        <v/>
      </c>
      <c r="B252" s="11" t="str">
        <f aca="false">IF(_LEITURA!$N252="","",INDEX(_LEITURA!$E$2:$E$1201,_LEITURA!$N252))</f>
        <v/>
      </c>
      <c r="C252" s="11" t="str">
        <f aca="false">IF(_LEITURA!$N252="","",INDEX(_LEITURA!$J$2:$J$1201,_LEITURA!$N252))</f>
        <v/>
      </c>
      <c r="D252" s="16" t="str">
        <f aca="false">IF(_LEITURA!$N252="","",INDEX(_LEITURA!$G$2:$G$1201,_LEITURA!$N252))</f>
        <v/>
      </c>
      <c r="E252" s="16" t="str">
        <f aca="false">IF(B252="","",SUMIFS(INVENTÁRIO!$C$2:$C$801,INVENTÁRIO!$A$2:$A$801,B252))</f>
        <v/>
      </c>
      <c r="F252" s="16" t="str">
        <f aca="false">IF(B252="","",MAX(0,D252-E252))</f>
        <v/>
      </c>
      <c r="G252" s="16" t="str">
        <f aca="false">IF(B252="","",IF(COUNTIFS($B$2:$B$1201,B252,$A$2:$A$1201,"&lt;&gt;"&amp;A252)&gt;0,"Sim",""))</f>
        <v/>
      </c>
      <c r="H252" s="16" t="str">
        <f aca="false">IF(N(F252)&gt;0,MAX(H$1:H251)+1,"")</f>
        <v/>
      </c>
      <c r="I252" s="11" t="str">
        <f aca="false">IF(B252="","",IF(INDEX($C$2:$C$1201,MATCH(B252,$B$2:$B$1201,0))&lt;&gt;C252,"Nome diferente em outro deck — revisar",""))</f>
        <v/>
      </c>
      <c r="J252" s="16" t="str">
        <f aca="false">IF(AND(B252&lt;&gt;"",A252=BULK!$A$1,N(F252)&gt;0),MAX(J$1:J251)+1,"")</f>
        <v/>
      </c>
      <c r="K252" s="11" t="str">
        <f aca="false">IF(B252="","",IFERROR(LEFT(B252,FIND("-",B252)-1),B252))</f>
        <v/>
      </c>
      <c r="L252" s="11" t="str">
        <f aca="false">IF(K252="","",IF(ISNUMBER(--MID(K252,1,1)),0,IF(ISNUMBER(--MID(K252,2,1)),1,IF(ISNUMBER(--MID(K252,3,1)),2,IF(ISNUMBER(--MID(K252,4,1)),3,MIN(LEN(K252),4))))))</f>
        <v/>
      </c>
      <c r="M252" s="11" t="str">
        <f aca="false">IF(B252="","",LEFT(K252,L252)&amp;REPT("0",4-L252)&amp;RIGHT("000"&amp;IFERROR(VALUE(MID(K252,L252+1,9)),0),3)&amp;RIGHT("0000"&amp;IFERROR(VALUE(MID(B252,FIND("-",B252)+1,9)),0),4))</f>
        <v/>
      </c>
      <c r="N252" s="11" t="str">
        <f aca="false">IF(OR(B252="",N(F252)&lt;=0),"",IF('FALTAS POR DECK'!$P$1="Código","K"&amp;M252&amp;RIGHT("00000"&amp;ROW(),5),IF('FALTAS POR DECK'!$P$1="Nome","K"&amp;UPPER(SUBSTITUTE(SUBSTITUTE(SUBSTITUTE(C252,"*",""),"?",""),"~",""))&amp;"0"&amp;M252&amp;RIGHT("00000"&amp;ROW(),5),IF('FALTAS POR DECK'!$P$1="Falta (maior primeiro)","K"&amp;RIGHT("0000"&amp;(9999-F252),4)&amp;M252&amp;RIGHT("00000"&amp;ROW(),5),IF('FALTAS POR DECK'!$P$1="Deck e código","K"&amp;RIGHT("00"&amp;IFERROR(MATCH(A252,_LEITURA!$P$2:$P$21,0),99),2)&amp;M252&amp;RIGHT("00000"&amp;ROW(),5),"K"&amp;RIGHT("00000"&amp;ROW(),5))))))</f>
        <v/>
      </c>
      <c r="O252" s="16" t="str">
        <f aca="false">IF(N252="","",COUNTIFS($N$2:$N$1201,"&lt;"&amp;N252,$F$2:$F$1201,"&gt;0")+1)</f>
        <v/>
      </c>
    </row>
    <row r="253" customFormat="false" ht="15" hidden="false" customHeight="false" outlineLevel="0" collapsed="false">
      <c r="A253" s="11" t="str">
        <f aca="false">IF(_LEITURA!$N253="","",INDEX(_LEITURA!$K$2:$K$1201,_LEITURA!$N253))</f>
        <v/>
      </c>
      <c r="B253" s="11" t="str">
        <f aca="false">IF(_LEITURA!$N253="","",INDEX(_LEITURA!$E$2:$E$1201,_LEITURA!$N253))</f>
        <v/>
      </c>
      <c r="C253" s="11" t="str">
        <f aca="false">IF(_LEITURA!$N253="","",INDEX(_LEITURA!$J$2:$J$1201,_LEITURA!$N253))</f>
        <v/>
      </c>
      <c r="D253" s="16" t="str">
        <f aca="false">IF(_LEITURA!$N253="","",INDEX(_LEITURA!$G$2:$G$1201,_LEITURA!$N253))</f>
        <v/>
      </c>
      <c r="E253" s="16" t="str">
        <f aca="false">IF(B253="","",SUMIFS(INVENTÁRIO!$C$2:$C$801,INVENTÁRIO!$A$2:$A$801,B253))</f>
        <v/>
      </c>
      <c r="F253" s="16" t="str">
        <f aca="false">IF(B253="","",MAX(0,D253-E253))</f>
        <v/>
      </c>
      <c r="G253" s="16" t="str">
        <f aca="false">IF(B253="","",IF(COUNTIFS($B$2:$B$1201,B253,$A$2:$A$1201,"&lt;&gt;"&amp;A253)&gt;0,"Sim",""))</f>
        <v/>
      </c>
      <c r="H253" s="16" t="str">
        <f aca="false">IF(N(F253)&gt;0,MAX(H$1:H252)+1,"")</f>
        <v/>
      </c>
      <c r="I253" s="11" t="str">
        <f aca="false">IF(B253="","",IF(INDEX($C$2:$C$1201,MATCH(B253,$B$2:$B$1201,0))&lt;&gt;C253,"Nome diferente em outro deck — revisar",""))</f>
        <v/>
      </c>
      <c r="J253" s="16" t="str">
        <f aca="false">IF(AND(B253&lt;&gt;"",A253=BULK!$A$1,N(F253)&gt;0),MAX(J$1:J252)+1,"")</f>
        <v/>
      </c>
      <c r="K253" s="11" t="str">
        <f aca="false">IF(B253="","",IFERROR(LEFT(B253,FIND("-",B253)-1),B253))</f>
        <v/>
      </c>
      <c r="L253" s="11" t="str">
        <f aca="false">IF(K253="","",IF(ISNUMBER(--MID(K253,1,1)),0,IF(ISNUMBER(--MID(K253,2,1)),1,IF(ISNUMBER(--MID(K253,3,1)),2,IF(ISNUMBER(--MID(K253,4,1)),3,MIN(LEN(K253),4))))))</f>
        <v/>
      </c>
      <c r="M253" s="11" t="str">
        <f aca="false">IF(B253="","",LEFT(K253,L253)&amp;REPT("0",4-L253)&amp;RIGHT("000"&amp;IFERROR(VALUE(MID(K253,L253+1,9)),0),3)&amp;RIGHT("0000"&amp;IFERROR(VALUE(MID(B253,FIND("-",B253)+1,9)),0),4))</f>
        <v/>
      </c>
      <c r="N253" s="11" t="str">
        <f aca="false">IF(OR(B253="",N(F253)&lt;=0),"",IF('FALTAS POR DECK'!$P$1="Código","K"&amp;M253&amp;RIGHT("00000"&amp;ROW(),5),IF('FALTAS POR DECK'!$P$1="Nome","K"&amp;UPPER(SUBSTITUTE(SUBSTITUTE(SUBSTITUTE(C253,"*",""),"?",""),"~",""))&amp;"0"&amp;M253&amp;RIGHT("00000"&amp;ROW(),5),IF('FALTAS POR DECK'!$P$1="Falta (maior primeiro)","K"&amp;RIGHT("0000"&amp;(9999-F253),4)&amp;M253&amp;RIGHT("00000"&amp;ROW(),5),IF('FALTAS POR DECK'!$P$1="Deck e código","K"&amp;RIGHT("00"&amp;IFERROR(MATCH(A253,_LEITURA!$P$2:$P$21,0),99),2)&amp;M253&amp;RIGHT("00000"&amp;ROW(),5),"K"&amp;RIGHT("00000"&amp;ROW(),5))))))</f>
        <v/>
      </c>
      <c r="O253" s="16" t="str">
        <f aca="false">IF(N253="","",COUNTIFS($N$2:$N$1201,"&lt;"&amp;N253,$F$2:$F$1201,"&gt;0")+1)</f>
        <v/>
      </c>
    </row>
    <row r="254" customFormat="false" ht="15" hidden="false" customHeight="false" outlineLevel="0" collapsed="false">
      <c r="A254" s="11" t="str">
        <f aca="false">IF(_LEITURA!$N254="","",INDEX(_LEITURA!$K$2:$K$1201,_LEITURA!$N254))</f>
        <v/>
      </c>
      <c r="B254" s="11" t="str">
        <f aca="false">IF(_LEITURA!$N254="","",INDEX(_LEITURA!$E$2:$E$1201,_LEITURA!$N254))</f>
        <v/>
      </c>
      <c r="C254" s="11" t="str">
        <f aca="false">IF(_LEITURA!$N254="","",INDEX(_LEITURA!$J$2:$J$1201,_LEITURA!$N254))</f>
        <v/>
      </c>
      <c r="D254" s="16" t="str">
        <f aca="false">IF(_LEITURA!$N254="","",INDEX(_LEITURA!$G$2:$G$1201,_LEITURA!$N254))</f>
        <v/>
      </c>
      <c r="E254" s="16" t="str">
        <f aca="false">IF(B254="","",SUMIFS(INVENTÁRIO!$C$2:$C$801,INVENTÁRIO!$A$2:$A$801,B254))</f>
        <v/>
      </c>
      <c r="F254" s="16" t="str">
        <f aca="false">IF(B254="","",MAX(0,D254-E254))</f>
        <v/>
      </c>
      <c r="G254" s="16" t="str">
        <f aca="false">IF(B254="","",IF(COUNTIFS($B$2:$B$1201,B254,$A$2:$A$1201,"&lt;&gt;"&amp;A254)&gt;0,"Sim",""))</f>
        <v/>
      </c>
      <c r="H254" s="16" t="str">
        <f aca="false">IF(N(F254)&gt;0,MAX(H$1:H253)+1,"")</f>
        <v/>
      </c>
      <c r="I254" s="11" t="str">
        <f aca="false">IF(B254="","",IF(INDEX($C$2:$C$1201,MATCH(B254,$B$2:$B$1201,0))&lt;&gt;C254,"Nome diferente em outro deck — revisar",""))</f>
        <v/>
      </c>
      <c r="J254" s="16" t="str">
        <f aca="false">IF(AND(B254&lt;&gt;"",A254=BULK!$A$1,N(F254)&gt;0),MAX(J$1:J253)+1,"")</f>
        <v/>
      </c>
      <c r="K254" s="11" t="str">
        <f aca="false">IF(B254="","",IFERROR(LEFT(B254,FIND("-",B254)-1),B254))</f>
        <v/>
      </c>
      <c r="L254" s="11" t="str">
        <f aca="false">IF(K254="","",IF(ISNUMBER(--MID(K254,1,1)),0,IF(ISNUMBER(--MID(K254,2,1)),1,IF(ISNUMBER(--MID(K254,3,1)),2,IF(ISNUMBER(--MID(K254,4,1)),3,MIN(LEN(K254),4))))))</f>
        <v/>
      </c>
      <c r="M254" s="11" t="str">
        <f aca="false">IF(B254="","",LEFT(K254,L254)&amp;REPT("0",4-L254)&amp;RIGHT("000"&amp;IFERROR(VALUE(MID(K254,L254+1,9)),0),3)&amp;RIGHT("0000"&amp;IFERROR(VALUE(MID(B254,FIND("-",B254)+1,9)),0),4))</f>
        <v/>
      </c>
      <c r="N254" s="11" t="str">
        <f aca="false">IF(OR(B254="",N(F254)&lt;=0),"",IF('FALTAS POR DECK'!$P$1="Código","K"&amp;M254&amp;RIGHT("00000"&amp;ROW(),5),IF('FALTAS POR DECK'!$P$1="Nome","K"&amp;UPPER(SUBSTITUTE(SUBSTITUTE(SUBSTITUTE(C254,"*",""),"?",""),"~",""))&amp;"0"&amp;M254&amp;RIGHT("00000"&amp;ROW(),5),IF('FALTAS POR DECK'!$P$1="Falta (maior primeiro)","K"&amp;RIGHT("0000"&amp;(9999-F254),4)&amp;M254&amp;RIGHT("00000"&amp;ROW(),5),IF('FALTAS POR DECK'!$P$1="Deck e código","K"&amp;RIGHT("00"&amp;IFERROR(MATCH(A254,_LEITURA!$P$2:$P$21,0),99),2)&amp;M254&amp;RIGHT("00000"&amp;ROW(),5),"K"&amp;RIGHT("00000"&amp;ROW(),5))))))</f>
        <v/>
      </c>
      <c r="O254" s="16" t="str">
        <f aca="false">IF(N254="","",COUNTIFS($N$2:$N$1201,"&lt;"&amp;N254,$F$2:$F$1201,"&gt;0")+1)</f>
        <v/>
      </c>
    </row>
    <row r="255" customFormat="false" ht="15" hidden="false" customHeight="false" outlineLevel="0" collapsed="false">
      <c r="A255" s="11" t="str">
        <f aca="false">IF(_LEITURA!$N255="","",INDEX(_LEITURA!$K$2:$K$1201,_LEITURA!$N255))</f>
        <v/>
      </c>
      <c r="B255" s="11" t="str">
        <f aca="false">IF(_LEITURA!$N255="","",INDEX(_LEITURA!$E$2:$E$1201,_LEITURA!$N255))</f>
        <v/>
      </c>
      <c r="C255" s="11" t="str">
        <f aca="false">IF(_LEITURA!$N255="","",INDEX(_LEITURA!$J$2:$J$1201,_LEITURA!$N255))</f>
        <v/>
      </c>
      <c r="D255" s="16" t="str">
        <f aca="false">IF(_LEITURA!$N255="","",INDEX(_LEITURA!$G$2:$G$1201,_LEITURA!$N255))</f>
        <v/>
      </c>
      <c r="E255" s="16" t="str">
        <f aca="false">IF(B255="","",SUMIFS(INVENTÁRIO!$C$2:$C$801,INVENTÁRIO!$A$2:$A$801,B255))</f>
        <v/>
      </c>
      <c r="F255" s="16" t="str">
        <f aca="false">IF(B255="","",MAX(0,D255-E255))</f>
        <v/>
      </c>
      <c r="G255" s="16" t="str">
        <f aca="false">IF(B255="","",IF(COUNTIFS($B$2:$B$1201,B255,$A$2:$A$1201,"&lt;&gt;"&amp;A255)&gt;0,"Sim",""))</f>
        <v/>
      </c>
      <c r="H255" s="16" t="str">
        <f aca="false">IF(N(F255)&gt;0,MAX(H$1:H254)+1,"")</f>
        <v/>
      </c>
      <c r="I255" s="11" t="str">
        <f aca="false">IF(B255="","",IF(INDEX($C$2:$C$1201,MATCH(B255,$B$2:$B$1201,0))&lt;&gt;C255,"Nome diferente em outro deck — revisar",""))</f>
        <v/>
      </c>
      <c r="J255" s="16" t="str">
        <f aca="false">IF(AND(B255&lt;&gt;"",A255=BULK!$A$1,N(F255)&gt;0),MAX(J$1:J254)+1,"")</f>
        <v/>
      </c>
      <c r="K255" s="11" t="str">
        <f aca="false">IF(B255="","",IFERROR(LEFT(B255,FIND("-",B255)-1),B255))</f>
        <v/>
      </c>
      <c r="L255" s="11" t="str">
        <f aca="false">IF(K255="","",IF(ISNUMBER(--MID(K255,1,1)),0,IF(ISNUMBER(--MID(K255,2,1)),1,IF(ISNUMBER(--MID(K255,3,1)),2,IF(ISNUMBER(--MID(K255,4,1)),3,MIN(LEN(K255),4))))))</f>
        <v/>
      </c>
      <c r="M255" s="11" t="str">
        <f aca="false">IF(B255="","",LEFT(K255,L255)&amp;REPT("0",4-L255)&amp;RIGHT("000"&amp;IFERROR(VALUE(MID(K255,L255+1,9)),0),3)&amp;RIGHT("0000"&amp;IFERROR(VALUE(MID(B255,FIND("-",B255)+1,9)),0),4))</f>
        <v/>
      </c>
      <c r="N255" s="11" t="str">
        <f aca="false">IF(OR(B255="",N(F255)&lt;=0),"",IF('FALTAS POR DECK'!$P$1="Código","K"&amp;M255&amp;RIGHT("00000"&amp;ROW(),5),IF('FALTAS POR DECK'!$P$1="Nome","K"&amp;UPPER(SUBSTITUTE(SUBSTITUTE(SUBSTITUTE(C255,"*",""),"?",""),"~",""))&amp;"0"&amp;M255&amp;RIGHT("00000"&amp;ROW(),5),IF('FALTAS POR DECK'!$P$1="Falta (maior primeiro)","K"&amp;RIGHT("0000"&amp;(9999-F255),4)&amp;M255&amp;RIGHT("00000"&amp;ROW(),5),IF('FALTAS POR DECK'!$P$1="Deck e código","K"&amp;RIGHT("00"&amp;IFERROR(MATCH(A255,_LEITURA!$P$2:$P$21,0),99),2)&amp;M255&amp;RIGHT("00000"&amp;ROW(),5),"K"&amp;RIGHT("00000"&amp;ROW(),5))))))</f>
        <v/>
      </c>
      <c r="O255" s="16" t="str">
        <f aca="false">IF(N255="","",COUNTIFS($N$2:$N$1201,"&lt;"&amp;N255,$F$2:$F$1201,"&gt;0")+1)</f>
        <v/>
      </c>
    </row>
    <row r="256" customFormat="false" ht="15" hidden="false" customHeight="false" outlineLevel="0" collapsed="false">
      <c r="A256" s="11" t="str">
        <f aca="false">IF(_LEITURA!$N256="","",INDEX(_LEITURA!$K$2:$K$1201,_LEITURA!$N256))</f>
        <v/>
      </c>
      <c r="B256" s="11" t="str">
        <f aca="false">IF(_LEITURA!$N256="","",INDEX(_LEITURA!$E$2:$E$1201,_LEITURA!$N256))</f>
        <v/>
      </c>
      <c r="C256" s="11" t="str">
        <f aca="false">IF(_LEITURA!$N256="","",INDEX(_LEITURA!$J$2:$J$1201,_LEITURA!$N256))</f>
        <v/>
      </c>
      <c r="D256" s="16" t="str">
        <f aca="false">IF(_LEITURA!$N256="","",INDEX(_LEITURA!$G$2:$G$1201,_LEITURA!$N256))</f>
        <v/>
      </c>
      <c r="E256" s="16" t="str">
        <f aca="false">IF(B256="","",SUMIFS(INVENTÁRIO!$C$2:$C$801,INVENTÁRIO!$A$2:$A$801,B256))</f>
        <v/>
      </c>
      <c r="F256" s="16" t="str">
        <f aca="false">IF(B256="","",MAX(0,D256-E256))</f>
        <v/>
      </c>
      <c r="G256" s="16" t="str">
        <f aca="false">IF(B256="","",IF(COUNTIFS($B$2:$B$1201,B256,$A$2:$A$1201,"&lt;&gt;"&amp;A256)&gt;0,"Sim",""))</f>
        <v/>
      </c>
      <c r="H256" s="16" t="str">
        <f aca="false">IF(N(F256)&gt;0,MAX(H$1:H255)+1,"")</f>
        <v/>
      </c>
      <c r="I256" s="11" t="str">
        <f aca="false">IF(B256="","",IF(INDEX($C$2:$C$1201,MATCH(B256,$B$2:$B$1201,0))&lt;&gt;C256,"Nome diferente em outro deck — revisar",""))</f>
        <v/>
      </c>
      <c r="J256" s="16" t="str">
        <f aca="false">IF(AND(B256&lt;&gt;"",A256=BULK!$A$1,N(F256)&gt;0),MAX(J$1:J255)+1,"")</f>
        <v/>
      </c>
      <c r="K256" s="11" t="str">
        <f aca="false">IF(B256="","",IFERROR(LEFT(B256,FIND("-",B256)-1),B256))</f>
        <v/>
      </c>
      <c r="L256" s="11" t="str">
        <f aca="false">IF(K256="","",IF(ISNUMBER(--MID(K256,1,1)),0,IF(ISNUMBER(--MID(K256,2,1)),1,IF(ISNUMBER(--MID(K256,3,1)),2,IF(ISNUMBER(--MID(K256,4,1)),3,MIN(LEN(K256),4))))))</f>
        <v/>
      </c>
      <c r="M256" s="11" t="str">
        <f aca="false">IF(B256="","",LEFT(K256,L256)&amp;REPT("0",4-L256)&amp;RIGHT("000"&amp;IFERROR(VALUE(MID(K256,L256+1,9)),0),3)&amp;RIGHT("0000"&amp;IFERROR(VALUE(MID(B256,FIND("-",B256)+1,9)),0),4))</f>
        <v/>
      </c>
      <c r="N256" s="11" t="str">
        <f aca="false">IF(OR(B256="",N(F256)&lt;=0),"",IF('FALTAS POR DECK'!$P$1="Código","K"&amp;M256&amp;RIGHT("00000"&amp;ROW(),5),IF('FALTAS POR DECK'!$P$1="Nome","K"&amp;UPPER(SUBSTITUTE(SUBSTITUTE(SUBSTITUTE(C256,"*",""),"?",""),"~",""))&amp;"0"&amp;M256&amp;RIGHT("00000"&amp;ROW(),5),IF('FALTAS POR DECK'!$P$1="Falta (maior primeiro)","K"&amp;RIGHT("0000"&amp;(9999-F256),4)&amp;M256&amp;RIGHT("00000"&amp;ROW(),5),IF('FALTAS POR DECK'!$P$1="Deck e código","K"&amp;RIGHT("00"&amp;IFERROR(MATCH(A256,_LEITURA!$P$2:$P$21,0),99),2)&amp;M256&amp;RIGHT("00000"&amp;ROW(),5),"K"&amp;RIGHT("00000"&amp;ROW(),5))))))</f>
        <v/>
      </c>
      <c r="O256" s="16" t="str">
        <f aca="false">IF(N256="","",COUNTIFS($N$2:$N$1201,"&lt;"&amp;N256,$F$2:$F$1201,"&gt;0")+1)</f>
        <v/>
      </c>
    </row>
    <row r="257" customFormat="false" ht="15" hidden="false" customHeight="false" outlineLevel="0" collapsed="false">
      <c r="A257" s="11" t="str">
        <f aca="false">IF(_LEITURA!$N257="","",INDEX(_LEITURA!$K$2:$K$1201,_LEITURA!$N257))</f>
        <v/>
      </c>
      <c r="B257" s="11" t="str">
        <f aca="false">IF(_LEITURA!$N257="","",INDEX(_LEITURA!$E$2:$E$1201,_LEITURA!$N257))</f>
        <v/>
      </c>
      <c r="C257" s="11" t="str">
        <f aca="false">IF(_LEITURA!$N257="","",INDEX(_LEITURA!$J$2:$J$1201,_LEITURA!$N257))</f>
        <v/>
      </c>
      <c r="D257" s="16" t="str">
        <f aca="false">IF(_LEITURA!$N257="","",INDEX(_LEITURA!$G$2:$G$1201,_LEITURA!$N257))</f>
        <v/>
      </c>
      <c r="E257" s="16" t="str">
        <f aca="false">IF(B257="","",SUMIFS(INVENTÁRIO!$C$2:$C$801,INVENTÁRIO!$A$2:$A$801,B257))</f>
        <v/>
      </c>
      <c r="F257" s="16" t="str">
        <f aca="false">IF(B257="","",MAX(0,D257-E257))</f>
        <v/>
      </c>
      <c r="G257" s="16" t="str">
        <f aca="false">IF(B257="","",IF(COUNTIFS($B$2:$B$1201,B257,$A$2:$A$1201,"&lt;&gt;"&amp;A257)&gt;0,"Sim",""))</f>
        <v/>
      </c>
      <c r="H257" s="16" t="str">
        <f aca="false">IF(N(F257)&gt;0,MAX(H$1:H256)+1,"")</f>
        <v/>
      </c>
      <c r="I257" s="11" t="str">
        <f aca="false">IF(B257="","",IF(INDEX($C$2:$C$1201,MATCH(B257,$B$2:$B$1201,0))&lt;&gt;C257,"Nome diferente em outro deck — revisar",""))</f>
        <v/>
      </c>
      <c r="J257" s="16" t="str">
        <f aca="false">IF(AND(B257&lt;&gt;"",A257=BULK!$A$1,N(F257)&gt;0),MAX(J$1:J256)+1,"")</f>
        <v/>
      </c>
      <c r="K257" s="11" t="str">
        <f aca="false">IF(B257="","",IFERROR(LEFT(B257,FIND("-",B257)-1),B257))</f>
        <v/>
      </c>
      <c r="L257" s="11" t="str">
        <f aca="false">IF(K257="","",IF(ISNUMBER(--MID(K257,1,1)),0,IF(ISNUMBER(--MID(K257,2,1)),1,IF(ISNUMBER(--MID(K257,3,1)),2,IF(ISNUMBER(--MID(K257,4,1)),3,MIN(LEN(K257),4))))))</f>
        <v/>
      </c>
      <c r="M257" s="11" t="str">
        <f aca="false">IF(B257="","",LEFT(K257,L257)&amp;REPT("0",4-L257)&amp;RIGHT("000"&amp;IFERROR(VALUE(MID(K257,L257+1,9)),0),3)&amp;RIGHT("0000"&amp;IFERROR(VALUE(MID(B257,FIND("-",B257)+1,9)),0),4))</f>
        <v/>
      </c>
      <c r="N257" s="11" t="str">
        <f aca="false">IF(OR(B257="",N(F257)&lt;=0),"",IF('FALTAS POR DECK'!$P$1="Código","K"&amp;M257&amp;RIGHT("00000"&amp;ROW(),5),IF('FALTAS POR DECK'!$P$1="Nome","K"&amp;UPPER(SUBSTITUTE(SUBSTITUTE(SUBSTITUTE(C257,"*",""),"?",""),"~",""))&amp;"0"&amp;M257&amp;RIGHT("00000"&amp;ROW(),5),IF('FALTAS POR DECK'!$P$1="Falta (maior primeiro)","K"&amp;RIGHT("0000"&amp;(9999-F257),4)&amp;M257&amp;RIGHT("00000"&amp;ROW(),5),IF('FALTAS POR DECK'!$P$1="Deck e código","K"&amp;RIGHT("00"&amp;IFERROR(MATCH(A257,_LEITURA!$P$2:$P$21,0),99),2)&amp;M257&amp;RIGHT("00000"&amp;ROW(),5),"K"&amp;RIGHT("00000"&amp;ROW(),5))))))</f>
        <v/>
      </c>
      <c r="O257" s="16" t="str">
        <f aca="false">IF(N257="","",COUNTIFS($N$2:$N$1201,"&lt;"&amp;N257,$F$2:$F$1201,"&gt;0")+1)</f>
        <v/>
      </c>
    </row>
    <row r="258" customFormat="false" ht="15" hidden="false" customHeight="false" outlineLevel="0" collapsed="false">
      <c r="A258" s="11" t="str">
        <f aca="false">IF(_LEITURA!$N258="","",INDEX(_LEITURA!$K$2:$K$1201,_LEITURA!$N258))</f>
        <v/>
      </c>
      <c r="B258" s="11" t="str">
        <f aca="false">IF(_LEITURA!$N258="","",INDEX(_LEITURA!$E$2:$E$1201,_LEITURA!$N258))</f>
        <v/>
      </c>
      <c r="C258" s="11" t="str">
        <f aca="false">IF(_LEITURA!$N258="","",INDEX(_LEITURA!$J$2:$J$1201,_LEITURA!$N258))</f>
        <v/>
      </c>
      <c r="D258" s="16" t="str">
        <f aca="false">IF(_LEITURA!$N258="","",INDEX(_LEITURA!$G$2:$G$1201,_LEITURA!$N258))</f>
        <v/>
      </c>
      <c r="E258" s="16" t="str">
        <f aca="false">IF(B258="","",SUMIFS(INVENTÁRIO!$C$2:$C$801,INVENTÁRIO!$A$2:$A$801,B258))</f>
        <v/>
      </c>
      <c r="F258" s="16" t="str">
        <f aca="false">IF(B258="","",MAX(0,D258-E258))</f>
        <v/>
      </c>
      <c r="G258" s="16" t="str">
        <f aca="false">IF(B258="","",IF(COUNTIFS($B$2:$B$1201,B258,$A$2:$A$1201,"&lt;&gt;"&amp;A258)&gt;0,"Sim",""))</f>
        <v/>
      </c>
      <c r="H258" s="16" t="str">
        <f aca="false">IF(N(F258)&gt;0,MAX(H$1:H257)+1,"")</f>
        <v/>
      </c>
      <c r="I258" s="11" t="str">
        <f aca="false">IF(B258="","",IF(INDEX($C$2:$C$1201,MATCH(B258,$B$2:$B$1201,0))&lt;&gt;C258,"Nome diferente em outro deck — revisar",""))</f>
        <v/>
      </c>
      <c r="J258" s="16" t="str">
        <f aca="false">IF(AND(B258&lt;&gt;"",A258=BULK!$A$1,N(F258)&gt;0),MAX(J$1:J257)+1,"")</f>
        <v/>
      </c>
      <c r="K258" s="11" t="str">
        <f aca="false">IF(B258="","",IFERROR(LEFT(B258,FIND("-",B258)-1),B258))</f>
        <v/>
      </c>
      <c r="L258" s="11" t="str">
        <f aca="false">IF(K258="","",IF(ISNUMBER(--MID(K258,1,1)),0,IF(ISNUMBER(--MID(K258,2,1)),1,IF(ISNUMBER(--MID(K258,3,1)),2,IF(ISNUMBER(--MID(K258,4,1)),3,MIN(LEN(K258),4))))))</f>
        <v/>
      </c>
      <c r="M258" s="11" t="str">
        <f aca="false">IF(B258="","",LEFT(K258,L258)&amp;REPT("0",4-L258)&amp;RIGHT("000"&amp;IFERROR(VALUE(MID(K258,L258+1,9)),0),3)&amp;RIGHT("0000"&amp;IFERROR(VALUE(MID(B258,FIND("-",B258)+1,9)),0),4))</f>
        <v/>
      </c>
      <c r="N258" s="11" t="str">
        <f aca="false">IF(OR(B258="",N(F258)&lt;=0),"",IF('FALTAS POR DECK'!$P$1="Código","K"&amp;M258&amp;RIGHT("00000"&amp;ROW(),5),IF('FALTAS POR DECK'!$P$1="Nome","K"&amp;UPPER(SUBSTITUTE(SUBSTITUTE(SUBSTITUTE(C258,"*",""),"?",""),"~",""))&amp;"0"&amp;M258&amp;RIGHT("00000"&amp;ROW(),5),IF('FALTAS POR DECK'!$P$1="Falta (maior primeiro)","K"&amp;RIGHT("0000"&amp;(9999-F258),4)&amp;M258&amp;RIGHT("00000"&amp;ROW(),5),IF('FALTAS POR DECK'!$P$1="Deck e código","K"&amp;RIGHT("00"&amp;IFERROR(MATCH(A258,_LEITURA!$P$2:$P$21,0),99),2)&amp;M258&amp;RIGHT("00000"&amp;ROW(),5),"K"&amp;RIGHT("00000"&amp;ROW(),5))))))</f>
        <v/>
      </c>
      <c r="O258" s="16" t="str">
        <f aca="false">IF(N258="","",COUNTIFS($N$2:$N$1201,"&lt;"&amp;N258,$F$2:$F$1201,"&gt;0")+1)</f>
        <v/>
      </c>
    </row>
    <row r="259" customFormat="false" ht="15" hidden="false" customHeight="false" outlineLevel="0" collapsed="false">
      <c r="A259" s="11" t="str">
        <f aca="false">IF(_LEITURA!$N259="","",INDEX(_LEITURA!$K$2:$K$1201,_LEITURA!$N259))</f>
        <v/>
      </c>
      <c r="B259" s="11" t="str">
        <f aca="false">IF(_LEITURA!$N259="","",INDEX(_LEITURA!$E$2:$E$1201,_LEITURA!$N259))</f>
        <v/>
      </c>
      <c r="C259" s="11" t="str">
        <f aca="false">IF(_LEITURA!$N259="","",INDEX(_LEITURA!$J$2:$J$1201,_LEITURA!$N259))</f>
        <v/>
      </c>
      <c r="D259" s="16" t="str">
        <f aca="false">IF(_LEITURA!$N259="","",INDEX(_LEITURA!$G$2:$G$1201,_LEITURA!$N259))</f>
        <v/>
      </c>
      <c r="E259" s="16" t="str">
        <f aca="false">IF(B259="","",SUMIFS(INVENTÁRIO!$C$2:$C$801,INVENTÁRIO!$A$2:$A$801,B259))</f>
        <v/>
      </c>
      <c r="F259" s="16" t="str">
        <f aca="false">IF(B259="","",MAX(0,D259-E259))</f>
        <v/>
      </c>
      <c r="G259" s="16" t="str">
        <f aca="false">IF(B259="","",IF(COUNTIFS($B$2:$B$1201,B259,$A$2:$A$1201,"&lt;&gt;"&amp;A259)&gt;0,"Sim",""))</f>
        <v/>
      </c>
      <c r="H259" s="16" t="str">
        <f aca="false">IF(N(F259)&gt;0,MAX(H$1:H258)+1,"")</f>
        <v/>
      </c>
      <c r="I259" s="11" t="str">
        <f aca="false">IF(B259="","",IF(INDEX($C$2:$C$1201,MATCH(B259,$B$2:$B$1201,0))&lt;&gt;C259,"Nome diferente em outro deck — revisar",""))</f>
        <v/>
      </c>
      <c r="J259" s="16" t="str">
        <f aca="false">IF(AND(B259&lt;&gt;"",A259=BULK!$A$1,N(F259)&gt;0),MAX(J$1:J258)+1,"")</f>
        <v/>
      </c>
      <c r="K259" s="11" t="str">
        <f aca="false">IF(B259="","",IFERROR(LEFT(B259,FIND("-",B259)-1),B259))</f>
        <v/>
      </c>
      <c r="L259" s="11" t="str">
        <f aca="false">IF(K259="","",IF(ISNUMBER(--MID(K259,1,1)),0,IF(ISNUMBER(--MID(K259,2,1)),1,IF(ISNUMBER(--MID(K259,3,1)),2,IF(ISNUMBER(--MID(K259,4,1)),3,MIN(LEN(K259),4))))))</f>
        <v/>
      </c>
      <c r="M259" s="11" t="str">
        <f aca="false">IF(B259="","",LEFT(K259,L259)&amp;REPT("0",4-L259)&amp;RIGHT("000"&amp;IFERROR(VALUE(MID(K259,L259+1,9)),0),3)&amp;RIGHT("0000"&amp;IFERROR(VALUE(MID(B259,FIND("-",B259)+1,9)),0),4))</f>
        <v/>
      </c>
      <c r="N259" s="11" t="str">
        <f aca="false">IF(OR(B259="",N(F259)&lt;=0),"",IF('FALTAS POR DECK'!$P$1="Código","K"&amp;M259&amp;RIGHT("00000"&amp;ROW(),5),IF('FALTAS POR DECK'!$P$1="Nome","K"&amp;UPPER(SUBSTITUTE(SUBSTITUTE(SUBSTITUTE(C259,"*",""),"?",""),"~",""))&amp;"0"&amp;M259&amp;RIGHT("00000"&amp;ROW(),5),IF('FALTAS POR DECK'!$P$1="Falta (maior primeiro)","K"&amp;RIGHT("0000"&amp;(9999-F259),4)&amp;M259&amp;RIGHT("00000"&amp;ROW(),5),IF('FALTAS POR DECK'!$P$1="Deck e código","K"&amp;RIGHT("00"&amp;IFERROR(MATCH(A259,_LEITURA!$P$2:$P$21,0),99),2)&amp;M259&amp;RIGHT("00000"&amp;ROW(),5),"K"&amp;RIGHT("00000"&amp;ROW(),5))))))</f>
        <v/>
      </c>
      <c r="O259" s="16" t="str">
        <f aca="false">IF(N259="","",COUNTIFS($N$2:$N$1201,"&lt;"&amp;N259,$F$2:$F$1201,"&gt;0")+1)</f>
        <v/>
      </c>
    </row>
    <row r="260" customFormat="false" ht="15" hidden="false" customHeight="false" outlineLevel="0" collapsed="false">
      <c r="A260" s="11" t="str">
        <f aca="false">IF(_LEITURA!$N260="","",INDEX(_LEITURA!$K$2:$K$1201,_LEITURA!$N260))</f>
        <v/>
      </c>
      <c r="B260" s="11" t="str">
        <f aca="false">IF(_LEITURA!$N260="","",INDEX(_LEITURA!$E$2:$E$1201,_LEITURA!$N260))</f>
        <v/>
      </c>
      <c r="C260" s="11" t="str">
        <f aca="false">IF(_LEITURA!$N260="","",INDEX(_LEITURA!$J$2:$J$1201,_LEITURA!$N260))</f>
        <v/>
      </c>
      <c r="D260" s="16" t="str">
        <f aca="false">IF(_LEITURA!$N260="","",INDEX(_LEITURA!$G$2:$G$1201,_LEITURA!$N260))</f>
        <v/>
      </c>
      <c r="E260" s="16" t="str">
        <f aca="false">IF(B260="","",SUMIFS(INVENTÁRIO!$C$2:$C$801,INVENTÁRIO!$A$2:$A$801,B260))</f>
        <v/>
      </c>
      <c r="F260" s="16" t="str">
        <f aca="false">IF(B260="","",MAX(0,D260-E260))</f>
        <v/>
      </c>
      <c r="G260" s="16" t="str">
        <f aca="false">IF(B260="","",IF(COUNTIFS($B$2:$B$1201,B260,$A$2:$A$1201,"&lt;&gt;"&amp;A260)&gt;0,"Sim",""))</f>
        <v/>
      </c>
      <c r="H260" s="16" t="str">
        <f aca="false">IF(N(F260)&gt;0,MAX(H$1:H259)+1,"")</f>
        <v/>
      </c>
      <c r="I260" s="11" t="str">
        <f aca="false">IF(B260="","",IF(INDEX($C$2:$C$1201,MATCH(B260,$B$2:$B$1201,0))&lt;&gt;C260,"Nome diferente em outro deck — revisar",""))</f>
        <v/>
      </c>
      <c r="J260" s="16" t="str">
        <f aca="false">IF(AND(B260&lt;&gt;"",A260=BULK!$A$1,N(F260)&gt;0),MAX(J$1:J259)+1,"")</f>
        <v/>
      </c>
      <c r="K260" s="11" t="str">
        <f aca="false">IF(B260="","",IFERROR(LEFT(B260,FIND("-",B260)-1),B260))</f>
        <v/>
      </c>
      <c r="L260" s="11" t="str">
        <f aca="false">IF(K260="","",IF(ISNUMBER(--MID(K260,1,1)),0,IF(ISNUMBER(--MID(K260,2,1)),1,IF(ISNUMBER(--MID(K260,3,1)),2,IF(ISNUMBER(--MID(K260,4,1)),3,MIN(LEN(K260),4))))))</f>
        <v/>
      </c>
      <c r="M260" s="11" t="str">
        <f aca="false">IF(B260="","",LEFT(K260,L260)&amp;REPT("0",4-L260)&amp;RIGHT("000"&amp;IFERROR(VALUE(MID(K260,L260+1,9)),0),3)&amp;RIGHT("0000"&amp;IFERROR(VALUE(MID(B260,FIND("-",B260)+1,9)),0),4))</f>
        <v/>
      </c>
      <c r="N260" s="11" t="str">
        <f aca="false">IF(OR(B260="",N(F260)&lt;=0),"",IF('FALTAS POR DECK'!$P$1="Código","K"&amp;M260&amp;RIGHT("00000"&amp;ROW(),5),IF('FALTAS POR DECK'!$P$1="Nome","K"&amp;UPPER(SUBSTITUTE(SUBSTITUTE(SUBSTITUTE(C260,"*",""),"?",""),"~",""))&amp;"0"&amp;M260&amp;RIGHT("00000"&amp;ROW(),5),IF('FALTAS POR DECK'!$P$1="Falta (maior primeiro)","K"&amp;RIGHT("0000"&amp;(9999-F260),4)&amp;M260&amp;RIGHT("00000"&amp;ROW(),5),IF('FALTAS POR DECK'!$P$1="Deck e código","K"&amp;RIGHT("00"&amp;IFERROR(MATCH(A260,_LEITURA!$P$2:$P$21,0),99),2)&amp;M260&amp;RIGHT("00000"&amp;ROW(),5),"K"&amp;RIGHT("00000"&amp;ROW(),5))))))</f>
        <v/>
      </c>
      <c r="O260" s="16" t="str">
        <f aca="false">IF(N260="","",COUNTIFS($N$2:$N$1201,"&lt;"&amp;N260,$F$2:$F$1201,"&gt;0")+1)</f>
        <v/>
      </c>
    </row>
    <row r="261" customFormat="false" ht="15" hidden="false" customHeight="false" outlineLevel="0" collapsed="false">
      <c r="A261" s="11" t="str">
        <f aca="false">IF(_LEITURA!$N261="","",INDEX(_LEITURA!$K$2:$K$1201,_LEITURA!$N261))</f>
        <v/>
      </c>
      <c r="B261" s="11" t="str">
        <f aca="false">IF(_LEITURA!$N261="","",INDEX(_LEITURA!$E$2:$E$1201,_LEITURA!$N261))</f>
        <v/>
      </c>
      <c r="C261" s="11" t="str">
        <f aca="false">IF(_LEITURA!$N261="","",INDEX(_LEITURA!$J$2:$J$1201,_LEITURA!$N261))</f>
        <v/>
      </c>
      <c r="D261" s="16" t="str">
        <f aca="false">IF(_LEITURA!$N261="","",INDEX(_LEITURA!$G$2:$G$1201,_LEITURA!$N261))</f>
        <v/>
      </c>
      <c r="E261" s="16" t="str">
        <f aca="false">IF(B261="","",SUMIFS(INVENTÁRIO!$C$2:$C$801,INVENTÁRIO!$A$2:$A$801,B261))</f>
        <v/>
      </c>
      <c r="F261" s="16" t="str">
        <f aca="false">IF(B261="","",MAX(0,D261-E261))</f>
        <v/>
      </c>
      <c r="G261" s="16" t="str">
        <f aca="false">IF(B261="","",IF(COUNTIFS($B$2:$B$1201,B261,$A$2:$A$1201,"&lt;&gt;"&amp;A261)&gt;0,"Sim",""))</f>
        <v/>
      </c>
      <c r="H261" s="16" t="str">
        <f aca="false">IF(N(F261)&gt;0,MAX(H$1:H260)+1,"")</f>
        <v/>
      </c>
      <c r="I261" s="11" t="str">
        <f aca="false">IF(B261="","",IF(INDEX($C$2:$C$1201,MATCH(B261,$B$2:$B$1201,0))&lt;&gt;C261,"Nome diferente em outro deck — revisar",""))</f>
        <v/>
      </c>
      <c r="J261" s="16" t="str">
        <f aca="false">IF(AND(B261&lt;&gt;"",A261=BULK!$A$1,N(F261)&gt;0),MAX(J$1:J260)+1,"")</f>
        <v/>
      </c>
      <c r="K261" s="11" t="str">
        <f aca="false">IF(B261="","",IFERROR(LEFT(B261,FIND("-",B261)-1),B261))</f>
        <v/>
      </c>
      <c r="L261" s="11" t="str">
        <f aca="false">IF(K261="","",IF(ISNUMBER(--MID(K261,1,1)),0,IF(ISNUMBER(--MID(K261,2,1)),1,IF(ISNUMBER(--MID(K261,3,1)),2,IF(ISNUMBER(--MID(K261,4,1)),3,MIN(LEN(K261),4))))))</f>
        <v/>
      </c>
      <c r="M261" s="11" t="str">
        <f aca="false">IF(B261="","",LEFT(K261,L261)&amp;REPT("0",4-L261)&amp;RIGHT("000"&amp;IFERROR(VALUE(MID(K261,L261+1,9)),0),3)&amp;RIGHT("0000"&amp;IFERROR(VALUE(MID(B261,FIND("-",B261)+1,9)),0),4))</f>
        <v/>
      </c>
      <c r="N261" s="11" t="str">
        <f aca="false">IF(OR(B261="",N(F261)&lt;=0),"",IF('FALTAS POR DECK'!$P$1="Código","K"&amp;M261&amp;RIGHT("00000"&amp;ROW(),5),IF('FALTAS POR DECK'!$P$1="Nome","K"&amp;UPPER(SUBSTITUTE(SUBSTITUTE(SUBSTITUTE(C261,"*",""),"?",""),"~",""))&amp;"0"&amp;M261&amp;RIGHT("00000"&amp;ROW(),5),IF('FALTAS POR DECK'!$P$1="Falta (maior primeiro)","K"&amp;RIGHT("0000"&amp;(9999-F261),4)&amp;M261&amp;RIGHT("00000"&amp;ROW(),5),IF('FALTAS POR DECK'!$P$1="Deck e código","K"&amp;RIGHT("00"&amp;IFERROR(MATCH(A261,_LEITURA!$P$2:$P$21,0),99),2)&amp;M261&amp;RIGHT("00000"&amp;ROW(),5),"K"&amp;RIGHT("00000"&amp;ROW(),5))))))</f>
        <v/>
      </c>
      <c r="O261" s="16" t="str">
        <f aca="false">IF(N261="","",COUNTIFS($N$2:$N$1201,"&lt;"&amp;N261,$F$2:$F$1201,"&gt;0")+1)</f>
        <v/>
      </c>
    </row>
    <row r="262" customFormat="false" ht="15" hidden="false" customHeight="false" outlineLevel="0" collapsed="false">
      <c r="A262" s="11" t="str">
        <f aca="false">IF(_LEITURA!$N262="","",INDEX(_LEITURA!$K$2:$K$1201,_LEITURA!$N262))</f>
        <v/>
      </c>
      <c r="B262" s="11" t="str">
        <f aca="false">IF(_LEITURA!$N262="","",INDEX(_LEITURA!$E$2:$E$1201,_LEITURA!$N262))</f>
        <v/>
      </c>
      <c r="C262" s="11" t="str">
        <f aca="false">IF(_LEITURA!$N262="","",INDEX(_LEITURA!$J$2:$J$1201,_LEITURA!$N262))</f>
        <v/>
      </c>
      <c r="D262" s="16" t="str">
        <f aca="false">IF(_LEITURA!$N262="","",INDEX(_LEITURA!$G$2:$G$1201,_LEITURA!$N262))</f>
        <v/>
      </c>
      <c r="E262" s="16" t="str">
        <f aca="false">IF(B262="","",SUMIFS(INVENTÁRIO!$C$2:$C$801,INVENTÁRIO!$A$2:$A$801,B262))</f>
        <v/>
      </c>
      <c r="F262" s="16" t="str">
        <f aca="false">IF(B262="","",MAX(0,D262-E262))</f>
        <v/>
      </c>
      <c r="G262" s="16" t="str">
        <f aca="false">IF(B262="","",IF(COUNTIFS($B$2:$B$1201,B262,$A$2:$A$1201,"&lt;&gt;"&amp;A262)&gt;0,"Sim",""))</f>
        <v/>
      </c>
      <c r="H262" s="16" t="str">
        <f aca="false">IF(N(F262)&gt;0,MAX(H$1:H261)+1,"")</f>
        <v/>
      </c>
      <c r="I262" s="11" t="str">
        <f aca="false">IF(B262="","",IF(INDEX($C$2:$C$1201,MATCH(B262,$B$2:$B$1201,0))&lt;&gt;C262,"Nome diferente em outro deck — revisar",""))</f>
        <v/>
      </c>
      <c r="J262" s="16" t="str">
        <f aca="false">IF(AND(B262&lt;&gt;"",A262=BULK!$A$1,N(F262)&gt;0),MAX(J$1:J261)+1,"")</f>
        <v/>
      </c>
      <c r="K262" s="11" t="str">
        <f aca="false">IF(B262="","",IFERROR(LEFT(B262,FIND("-",B262)-1),B262))</f>
        <v/>
      </c>
      <c r="L262" s="11" t="str">
        <f aca="false">IF(K262="","",IF(ISNUMBER(--MID(K262,1,1)),0,IF(ISNUMBER(--MID(K262,2,1)),1,IF(ISNUMBER(--MID(K262,3,1)),2,IF(ISNUMBER(--MID(K262,4,1)),3,MIN(LEN(K262),4))))))</f>
        <v/>
      </c>
      <c r="M262" s="11" t="str">
        <f aca="false">IF(B262="","",LEFT(K262,L262)&amp;REPT("0",4-L262)&amp;RIGHT("000"&amp;IFERROR(VALUE(MID(K262,L262+1,9)),0),3)&amp;RIGHT("0000"&amp;IFERROR(VALUE(MID(B262,FIND("-",B262)+1,9)),0),4))</f>
        <v/>
      </c>
      <c r="N262" s="11" t="str">
        <f aca="false">IF(OR(B262="",N(F262)&lt;=0),"",IF('FALTAS POR DECK'!$P$1="Código","K"&amp;M262&amp;RIGHT("00000"&amp;ROW(),5),IF('FALTAS POR DECK'!$P$1="Nome","K"&amp;UPPER(SUBSTITUTE(SUBSTITUTE(SUBSTITUTE(C262,"*",""),"?",""),"~",""))&amp;"0"&amp;M262&amp;RIGHT("00000"&amp;ROW(),5),IF('FALTAS POR DECK'!$P$1="Falta (maior primeiro)","K"&amp;RIGHT("0000"&amp;(9999-F262),4)&amp;M262&amp;RIGHT("00000"&amp;ROW(),5),IF('FALTAS POR DECK'!$P$1="Deck e código","K"&amp;RIGHT("00"&amp;IFERROR(MATCH(A262,_LEITURA!$P$2:$P$21,0),99),2)&amp;M262&amp;RIGHT("00000"&amp;ROW(),5),"K"&amp;RIGHT("00000"&amp;ROW(),5))))))</f>
        <v/>
      </c>
      <c r="O262" s="16" t="str">
        <f aca="false">IF(N262="","",COUNTIFS($N$2:$N$1201,"&lt;"&amp;N262,$F$2:$F$1201,"&gt;0")+1)</f>
        <v/>
      </c>
    </row>
    <row r="263" customFormat="false" ht="15" hidden="false" customHeight="false" outlineLevel="0" collapsed="false">
      <c r="A263" s="11" t="str">
        <f aca="false">IF(_LEITURA!$N263="","",INDEX(_LEITURA!$K$2:$K$1201,_LEITURA!$N263))</f>
        <v/>
      </c>
      <c r="B263" s="11" t="str">
        <f aca="false">IF(_LEITURA!$N263="","",INDEX(_LEITURA!$E$2:$E$1201,_LEITURA!$N263))</f>
        <v/>
      </c>
      <c r="C263" s="11" t="str">
        <f aca="false">IF(_LEITURA!$N263="","",INDEX(_LEITURA!$J$2:$J$1201,_LEITURA!$N263))</f>
        <v/>
      </c>
      <c r="D263" s="16" t="str">
        <f aca="false">IF(_LEITURA!$N263="","",INDEX(_LEITURA!$G$2:$G$1201,_LEITURA!$N263))</f>
        <v/>
      </c>
      <c r="E263" s="16" t="str">
        <f aca="false">IF(B263="","",SUMIFS(INVENTÁRIO!$C$2:$C$801,INVENTÁRIO!$A$2:$A$801,B263))</f>
        <v/>
      </c>
      <c r="F263" s="16" t="str">
        <f aca="false">IF(B263="","",MAX(0,D263-E263))</f>
        <v/>
      </c>
      <c r="G263" s="16" t="str">
        <f aca="false">IF(B263="","",IF(COUNTIFS($B$2:$B$1201,B263,$A$2:$A$1201,"&lt;&gt;"&amp;A263)&gt;0,"Sim",""))</f>
        <v/>
      </c>
      <c r="H263" s="16" t="str">
        <f aca="false">IF(N(F263)&gt;0,MAX(H$1:H262)+1,"")</f>
        <v/>
      </c>
      <c r="I263" s="11" t="str">
        <f aca="false">IF(B263="","",IF(INDEX($C$2:$C$1201,MATCH(B263,$B$2:$B$1201,0))&lt;&gt;C263,"Nome diferente em outro deck — revisar",""))</f>
        <v/>
      </c>
      <c r="J263" s="16" t="str">
        <f aca="false">IF(AND(B263&lt;&gt;"",A263=BULK!$A$1,N(F263)&gt;0),MAX(J$1:J262)+1,"")</f>
        <v/>
      </c>
      <c r="K263" s="11" t="str">
        <f aca="false">IF(B263="","",IFERROR(LEFT(B263,FIND("-",B263)-1),B263))</f>
        <v/>
      </c>
      <c r="L263" s="11" t="str">
        <f aca="false">IF(K263="","",IF(ISNUMBER(--MID(K263,1,1)),0,IF(ISNUMBER(--MID(K263,2,1)),1,IF(ISNUMBER(--MID(K263,3,1)),2,IF(ISNUMBER(--MID(K263,4,1)),3,MIN(LEN(K263),4))))))</f>
        <v/>
      </c>
      <c r="M263" s="11" t="str">
        <f aca="false">IF(B263="","",LEFT(K263,L263)&amp;REPT("0",4-L263)&amp;RIGHT("000"&amp;IFERROR(VALUE(MID(K263,L263+1,9)),0),3)&amp;RIGHT("0000"&amp;IFERROR(VALUE(MID(B263,FIND("-",B263)+1,9)),0),4))</f>
        <v/>
      </c>
      <c r="N263" s="11" t="str">
        <f aca="false">IF(OR(B263="",N(F263)&lt;=0),"",IF('FALTAS POR DECK'!$P$1="Código","K"&amp;M263&amp;RIGHT("00000"&amp;ROW(),5),IF('FALTAS POR DECK'!$P$1="Nome","K"&amp;UPPER(SUBSTITUTE(SUBSTITUTE(SUBSTITUTE(C263,"*",""),"?",""),"~",""))&amp;"0"&amp;M263&amp;RIGHT("00000"&amp;ROW(),5),IF('FALTAS POR DECK'!$P$1="Falta (maior primeiro)","K"&amp;RIGHT("0000"&amp;(9999-F263),4)&amp;M263&amp;RIGHT("00000"&amp;ROW(),5),IF('FALTAS POR DECK'!$P$1="Deck e código","K"&amp;RIGHT("00"&amp;IFERROR(MATCH(A263,_LEITURA!$P$2:$P$21,0),99),2)&amp;M263&amp;RIGHT("00000"&amp;ROW(),5),"K"&amp;RIGHT("00000"&amp;ROW(),5))))))</f>
        <v/>
      </c>
      <c r="O263" s="16" t="str">
        <f aca="false">IF(N263="","",COUNTIFS($N$2:$N$1201,"&lt;"&amp;N263,$F$2:$F$1201,"&gt;0")+1)</f>
        <v/>
      </c>
    </row>
    <row r="264" customFormat="false" ht="15" hidden="false" customHeight="false" outlineLevel="0" collapsed="false">
      <c r="A264" s="11" t="str">
        <f aca="false">IF(_LEITURA!$N264="","",INDEX(_LEITURA!$K$2:$K$1201,_LEITURA!$N264))</f>
        <v/>
      </c>
      <c r="B264" s="11" t="str">
        <f aca="false">IF(_LEITURA!$N264="","",INDEX(_LEITURA!$E$2:$E$1201,_LEITURA!$N264))</f>
        <v/>
      </c>
      <c r="C264" s="11" t="str">
        <f aca="false">IF(_LEITURA!$N264="","",INDEX(_LEITURA!$J$2:$J$1201,_LEITURA!$N264))</f>
        <v/>
      </c>
      <c r="D264" s="16" t="str">
        <f aca="false">IF(_LEITURA!$N264="","",INDEX(_LEITURA!$G$2:$G$1201,_LEITURA!$N264))</f>
        <v/>
      </c>
      <c r="E264" s="16" t="str">
        <f aca="false">IF(B264="","",SUMIFS(INVENTÁRIO!$C$2:$C$801,INVENTÁRIO!$A$2:$A$801,B264))</f>
        <v/>
      </c>
      <c r="F264" s="16" t="str">
        <f aca="false">IF(B264="","",MAX(0,D264-E264))</f>
        <v/>
      </c>
      <c r="G264" s="16" t="str">
        <f aca="false">IF(B264="","",IF(COUNTIFS($B$2:$B$1201,B264,$A$2:$A$1201,"&lt;&gt;"&amp;A264)&gt;0,"Sim",""))</f>
        <v/>
      </c>
      <c r="H264" s="16" t="str">
        <f aca="false">IF(N(F264)&gt;0,MAX(H$1:H263)+1,"")</f>
        <v/>
      </c>
      <c r="I264" s="11" t="str">
        <f aca="false">IF(B264="","",IF(INDEX($C$2:$C$1201,MATCH(B264,$B$2:$B$1201,0))&lt;&gt;C264,"Nome diferente em outro deck — revisar",""))</f>
        <v/>
      </c>
      <c r="J264" s="16" t="str">
        <f aca="false">IF(AND(B264&lt;&gt;"",A264=BULK!$A$1,N(F264)&gt;0),MAX(J$1:J263)+1,"")</f>
        <v/>
      </c>
      <c r="K264" s="11" t="str">
        <f aca="false">IF(B264="","",IFERROR(LEFT(B264,FIND("-",B264)-1),B264))</f>
        <v/>
      </c>
      <c r="L264" s="11" t="str">
        <f aca="false">IF(K264="","",IF(ISNUMBER(--MID(K264,1,1)),0,IF(ISNUMBER(--MID(K264,2,1)),1,IF(ISNUMBER(--MID(K264,3,1)),2,IF(ISNUMBER(--MID(K264,4,1)),3,MIN(LEN(K264),4))))))</f>
        <v/>
      </c>
      <c r="M264" s="11" t="str">
        <f aca="false">IF(B264="","",LEFT(K264,L264)&amp;REPT("0",4-L264)&amp;RIGHT("000"&amp;IFERROR(VALUE(MID(K264,L264+1,9)),0),3)&amp;RIGHT("0000"&amp;IFERROR(VALUE(MID(B264,FIND("-",B264)+1,9)),0),4))</f>
        <v/>
      </c>
      <c r="N264" s="11" t="str">
        <f aca="false">IF(OR(B264="",N(F264)&lt;=0),"",IF('FALTAS POR DECK'!$P$1="Código","K"&amp;M264&amp;RIGHT("00000"&amp;ROW(),5),IF('FALTAS POR DECK'!$P$1="Nome","K"&amp;UPPER(SUBSTITUTE(SUBSTITUTE(SUBSTITUTE(C264,"*",""),"?",""),"~",""))&amp;"0"&amp;M264&amp;RIGHT("00000"&amp;ROW(),5),IF('FALTAS POR DECK'!$P$1="Falta (maior primeiro)","K"&amp;RIGHT("0000"&amp;(9999-F264),4)&amp;M264&amp;RIGHT("00000"&amp;ROW(),5),IF('FALTAS POR DECK'!$P$1="Deck e código","K"&amp;RIGHT("00"&amp;IFERROR(MATCH(A264,_LEITURA!$P$2:$P$21,0),99),2)&amp;M264&amp;RIGHT("00000"&amp;ROW(),5),"K"&amp;RIGHT("00000"&amp;ROW(),5))))))</f>
        <v/>
      </c>
      <c r="O264" s="16" t="str">
        <f aca="false">IF(N264="","",COUNTIFS($N$2:$N$1201,"&lt;"&amp;N264,$F$2:$F$1201,"&gt;0")+1)</f>
        <v/>
      </c>
    </row>
    <row r="265" customFormat="false" ht="15" hidden="false" customHeight="false" outlineLevel="0" collapsed="false">
      <c r="A265" s="11" t="str">
        <f aca="false">IF(_LEITURA!$N265="","",INDEX(_LEITURA!$K$2:$K$1201,_LEITURA!$N265))</f>
        <v/>
      </c>
      <c r="B265" s="11" t="str">
        <f aca="false">IF(_LEITURA!$N265="","",INDEX(_LEITURA!$E$2:$E$1201,_LEITURA!$N265))</f>
        <v/>
      </c>
      <c r="C265" s="11" t="str">
        <f aca="false">IF(_LEITURA!$N265="","",INDEX(_LEITURA!$J$2:$J$1201,_LEITURA!$N265))</f>
        <v/>
      </c>
      <c r="D265" s="16" t="str">
        <f aca="false">IF(_LEITURA!$N265="","",INDEX(_LEITURA!$G$2:$G$1201,_LEITURA!$N265))</f>
        <v/>
      </c>
      <c r="E265" s="16" t="str">
        <f aca="false">IF(B265="","",SUMIFS(INVENTÁRIO!$C$2:$C$801,INVENTÁRIO!$A$2:$A$801,B265))</f>
        <v/>
      </c>
      <c r="F265" s="16" t="str">
        <f aca="false">IF(B265="","",MAX(0,D265-E265))</f>
        <v/>
      </c>
      <c r="G265" s="16" t="str">
        <f aca="false">IF(B265="","",IF(COUNTIFS($B$2:$B$1201,B265,$A$2:$A$1201,"&lt;&gt;"&amp;A265)&gt;0,"Sim",""))</f>
        <v/>
      </c>
      <c r="H265" s="16" t="str">
        <f aca="false">IF(N(F265)&gt;0,MAX(H$1:H264)+1,"")</f>
        <v/>
      </c>
      <c r="I265" s="11" t="str">
        <f aca="false">IF(B265="","",IF(INDEX($C$2:$C$1201,MATCH(B265,$B$2:$B$1201,0))&lt;&gt;C265,"Nome diferente em outro deck — revisar",""))</f>
        <v/>
      </c>
      <c r="J265" s="16" t="str">
        <f aca="false">IF(AND(B265&lt;&gt;"",A265=BULK!$A$1,N(F265)&gt;0),MAX(J$1:J264)+1,"")</f>
        <v/>
      </c>
      <c r="K265" s="11" t="str">
        <f aca="false">IF(B265="","",IFERROR(LEFT(B265,FIND("-",B265)-1),B265))</f>
        <v/>
      </c>
      <c r="L265" s="11" t="str">
        <f aca="false">IF(K265="","",IF(ISNUMBER(--MID(K265,1,1)),0,IF(ISNUMBER(--MID(K265,2,1)),1,IF(ISNUMBER(--MID(K265,3,1)),2,IF(ISNUMBER(--MID(K265,4,1)),3,MIN(LEN(K265),4))))))</f>
        <v/>
      </c>
      <c r="M265" s="11" t="str">
        <f aca="false">IF(B265="","",LEFT(K265,L265)&amp;REPT("0",4-L265)&amp;RIGHT("000"&amp;IFERROR(VALUE(MID(K265,L265+1,9)),0),3)&amp;RIGHT("0000"&amp;IFERROR(VALUE(MID(B265,FIND("-",B265)+1,9)),0),4))</f>
        <v/>
      </c>
      <c r="N265" s="11" t="str">
        <f aca="false">IF(OR(B265="",N(F265)&lt;=0),"",IF('FALTAS POR DECK'!$P$1="Código","K"&amp;M265&amp;RIGHT("00000"&amp;ROW(),5),IF('FALTAS POR DECK'!$P$1="Nome","K"&amp;UPPER(SUBSTITUTE(SUBSTITUTE(SUBSTITUTE(C265,"*",""),"?",""),"~",""))&amp;"0"&amp;M265&amp;RIGHT("00000"&amp;ROW(),5),IF('FALTAS POR DECK'!$P$1="Falta (maior primeiro)","K"&amp;RIGHT("0000"&amp;(9999-F265),4)&amp;M265&amp;RIGHT("00000"&amp;ROW(),5),IF('FALTAS POR DECK'!$P$1="Deck e código","K"&amp;RIGHT("00"&amp;IFERROR(MATCH(A265,_LEITURA!$P$2:$P$21,0),99),2)&amp;M265&amp;RIGHT("00000"&amp;ROW(),5),"K"&amp;RIGHT("00000"&amp;ROW(),5))))))</f>
        <v/>
      </c>
      <c r="O265" s="16" t="str">
        <f aca="false">IF(N265="","",COUNTIFS($N$2:$N$1201,"&lt;"&amp;N265,$F$2:$F$1201,"&gt;0")+1)</f>
        <v/>
      </c>
    </row>
    <row r="266" customFormat="false" ht="15" hidden="false" customHeight="false" outlineLevel="0" collapsed="false">
      <c r="A266" s="11" t="str">
        <f aca="false">IF(_LEITURA!$N266="","",INDEX(_LEITURA!$K$2:$K$1201,_LEITURA!$N266))</f>
        <v/>
      </c>
      <c r="B266" s="11" t="str">
        <f aca="false">IF(_LEITURA!$N266="","",INDEX(_LEITURA!$E$2:$E$1201,_LEITURA!$N266))</f>
        <v/>
      </c>
      <c r="C266" s="11" t="str">
        <f aca="false">IF(_LEITURA!$N266="","",INDEX(_LEITURA!$J$2:$J$1201,_LEITURA!$N266))</f>
        <v/>
      </c>
      <c r="D266" s="16" t="str">
        <f aca="false">IF(_LEITURA!$N266="","",INDEX(_LEITURA!$G$2:$G$1201,_LEITURA!$N266))</f>
        <v/>
      </c>
      <c r="E266" s="16" t="str">
        <f aca="false">IF(B266="","",SUMIFS(INVENTÁRIO!$C$2:$C$801,INVENTÁRIO!$A$2:$A$801,B266))</f>
        <v/>
      </c>
      <c r="F266" s="16" t="str">
        <f aca="false">IF(B266="","",MAX(0,D266-E266))</f>
        <v/>
      </c>
      <c r="G266" s="16" t="str">
        <f aca="false">IF(B266="","",IF(COUNTIFS($B$2:$B$1201,B266,$A$2:$A$1201,"&lt;&gt;"&amp;A266)&gt;0,"Sim",""))</f>
        <v/>
      </c>
      <c r="H266" s="16" t="str">
        <f aca="false">IF(N(F266)&gt;0,MAX(H$1:H265)+1,"")</f>
        <v/>
      </c>
      <c r="I266" s="11" t="str">
        <f aca="false">IF(B266="","",IF(INDEX($C$2:$C$1201,MATCH(B266,$B$2:$B$1201,0))&lt;&gt;C266,"Nome diferente em outro deck — revisar",""))</f>
        <v/>
      </c>
      <c r="J266" s="16" t="str">
        <f aca="false">IF(AND(B266&lt;&gt;"",A266=BULK!$A$1,N(F266)&gt;0),MAX(J$1:J265)+1,"")</f>
        <v/>
      </c>
      <c r="K266" s="11" t="str">
        <f aca="false">IF(B266="","",IFERROR(LEFT(B266,FIND("-",B266)-1),B266))</f>
        <v/>
      </c>
      <c r="L266" s="11" t="str">
        <f aca="false">IF(K266="","",IF(ISNUMBER(--MID(K266,1,1)),0,IF(ISNUMBER(--MID(K266,2,1)),1,IF(ISNUMBER(--MID(K266,3,1)),2,IF(ISNUMBER(--MID(K266,4,1)),3,MIN(LEN(K266),4))))))</f>
        <v/>
      </c>
      <c r="M266" s="11" t="str">
        <f aca="false">IF(B266="","",LEFT(K266,L266)&amp;REPT("0",4-L266)&amp;RIGHT("000"&amp;IFERROR(VALUE(MID(K266,L266+1,9)),0),3)&amp;RIGHT("0000"&amp;IFERROR(VALUE(MID(B266,FIND("-",B266)+1,9)),0),4))</f>
        <v/>
      </c>
      <c r="N266" s="11" t="str">
        <f aca="false">IF(OR(B266="",N(F266)&lt;=0),"",IF('FALTAS POR DECK'!$P$1="Código","K"&amp;M266&amp;RIGHT("00000"&amp;ROW(),5),IF('FALTAS POR DECK'!$P$1="Nome","K"&amp;UPPER(SUBSTITUTE(SUBSTITUTE(SUBSTITUTE(C266,"*",""),"?",""),"~",""))&amp;"0"&amp;M266&amp;RIGHT("00000"&amp;ROW(),5),IF('FALTAS POR DECK'!$P$1="Falta (maior primeiro)","K"&amp;RIGHT("0000"&amp;(9999-F266),4)&amp;M266&amp;RIGHT("00000"&amp;ROW(),5),IF('FALTAS POR DECK'!$P$1="Deck e código","K"&amp;RIGHT("00"&amp;IFERROR(MATCH(A266,_LEITURA!$P$2:$P$21,0),99),2)&amp;M266&amp;RIGHT("00000"&amp;ROW(),5),"K"&amp;RIGHT("00000"&amp;ROW(),5))))))</f>
        <v/>
      </c>
      <c r="O266" s="16" t="str">
        <f aca="false">IF(N266="","",COUNTIFS($N$2:$N$1201,"&lt;"&amp;N266,$F$2:$F$1201,"&gt;0")+1)</f>
        <v/>
      </c>
    </row>
    <row r="267" customFormat="false" ht="15" hidden="false" customHeight="false" outlineLevel="0" collapsed="false">
      <c r="A267" s="11" t="str">
        <f aca="false">IF(_LEITURA!$N267="","",INDEX(_LEITURA!$K$2:$K$1201,_LEITURA!$N267))</f>
        <v/>
      </c>
      <c r="B267" s="11" t="str">
        <f aca="false">IF(_LEITURA!$N267="","",INDEX(_LEITURA!$E$2:$E$1201,_LEITURA!$N267))</f>
        <v/>
      </c>
      <c r="C267" s="11" t="str">
        <f aca="false">IF(_LEITURA!$N267="","",INDEX(_LEITURA!$J$2:$J$1201,_LEITURA!$N267))</f>
        <v/>
      </c>
      <c r="D267" s="16" t="str">
        <f aca="false">IF(_LEITURA!$N267="","",INDEX(_LEITURA!$G$2:$G$1201,_LEITURA!$N267))</f>
        <v/>
      </c>
      <c r="E267" s="16" t="str">
        <f aca="false">IF(B267="","",SUMIFS(INVENTÁRIO!$C$2:$C$801,INVENTÁRIO!$A$2:$A$801,B267))</f>
        <v/>
      </c>
      <c r="F267" s="16" t="str">
        <f aca="false">IF(B267="","",MAX(0,D267-E267))</f>
        <v/>
      </c>
      <c r="G267" s="16" t="str">
        <f aca="false">IF(B267="","",IF(COUNTIFS($B$2:$B$1201,B267,$A$2:$A$1201,"&lt;&gt;"&amp;A267)&gt;0,"Sim",""))</f>
        <v/>
      </c>
      <c r="H267" s="16" t="str">
        <f aca="false">IF(N(F267)&gt;0,MAX(H$1:H266)+1,"")</f>
        <v/>
      </c>
      <c r="I267" s="11" t="str">
        <f aca="false">IF(B267="","",IF(INDEX($C$2:$C$1201,MATCH(B267,$B$2:$B$1201,0))&lt;&gt;C267,"Nome diferente em outro deck — revisar",""))</f>
        <v/>
      </c>
      <c r="J267" s="16" t="str">
        <f aca="false">IF(AND(B267&lt;&gt;"",A267=BULK!$A$1,N(F267)&gt;0),MAX(J$1:J266)+1,"")</f>
        <v/>
      </c>
      <c r="K267" s="11" t="str">
        <f aca="false">IF(B267="","",IFERROR(LEFT(B267,FIND("-",B267)-1),B267))</f>
        <v/>
      </c>
      <c r="L267" s="11" t="str">
        <f aca="false">IF(K267="","",IF(ISNUMBER(--MID(K267,1,1)),0,IF(ISNUMBER(--MID(K267,2,1)),1,IF(ISNUMBER(--MID(K267,3,1)),2,IF(ISNUMBER(--MID(K267,4,1)),3,MIN(LEN(K267),4))))))</f>
        <v/>
      </c>
      <c r="M267" s="11" t="str">
        <f aca="false">IF(B267="","",LEFT(K267,L267)&amp;REPT("0",4-L267)&amp;RIGHT("000"&amp;IFERROR(VALUE(MID(K267,L267+1,9)),0),3)&amp;RIGHT("0000"&amp;IFERROR(VALUE(MID(B267,FIND("-",B267)+1,9)),0),4))</f>
        <v/>
      </c>
      <c r="N267" s="11" t="str">
        <f aca="false">IF(OR(B267="",N(F267)&lt;=0),"",IF('FALTAS POR DECK'!$P$1="Código","K"&amp;M267&amp;RIGHT("00000"&amp;ROW(),5),IF('FALTAS POR DECK'!$P$1="Nome","K"&amp;UPPER(SUBSTITUTE(SUBSTITUTE(SUBSTITUTE(C267,"*",""),"?",""),"~",""))&amp;"0"&amp;M267&amp;RIGHT("00000"&amp;ROW(),5),IF('FALTAS POR DECK'!$P$1="Falta (maior primeiro)","K"&amp;RIGHT("0000"&amp;(9999-F267),4)&amp;M267&amp;RIGHT("00000"&amp;ROW(),5),IF('FALTAS POR DECK'!$P$1="Deck e código","K"&amp;RIGHT("00"&amp;IFERROR(MATCH(A267,_LEITURA!$P$2:$P$21,0),99),2)&amp;M267&amp;RIGHT("00000"&amp;ROW(),5),"K"&amp;RIGHT("00000"&amp;ROW(),5))))))</f>
        <v/>
      </c>
      <c r="O267" s="16" t="str">
        <f aca="false">IF(N267="","",COUNTIFS($N$2:$N$1201,"&lt;"&amp;N267,$F$2:$F$1201,"&gt;0")+1)</f>
        <v/>
      </c>
    </row>
    <row r="268" customFormat="false" ht="15" hidden="false" customHeight="false" outlineLevel="0" collapsed="false">
      <c r="A268" s="11" t="str">
        <f aca="false">IF(_LEITURA!$N268="","",INDEX(_LEITURA!$K$2:$K$1201,_LEITURA!$N268))</f>
        <v/>
      </c>
      <c r="B268" s="11" t="str">
        <f aca="false">IF(_LEITURA!$N268="","",INDEX(_LEITURA!$E$2:$E$1201,_LEITURA!$N268))</f>
        <v/>
      </c>
      <c r="C268" s="11" t="str">
        <f aca="false">IF(_LEITURA!$N268="","",INDEX(_LEITURA!$J$2:$J$1201,_LEITURA!$N268))</f>
        <v/>
      </c>
      <c r="D268" s="16" t="str">
        <f aca="false">IF(_LEITURA!$N268="","",INDEX(_LEITURA!$G$2:$G$1201,_LEITURA!$N268))</f>
        <v/>
      </c>
      <c r="E268" s="16" t="str">
        <f aca="false">IF(B268="","",SUMIFS(INVENTÁRIO!$C$2:$C$801,INVENTÁRIO!$A$2:$A$801,B268))</f>
        <v/>
      </c>
      <c r="F268" s="16" t="str">
        <f aca="false">IF(B268="","",MAX(0,D268-E268))</f>
        <v/>
      </c>
      <c r="G268" s="16" t="str">
        <f aca="false">IF(B268="","",IF(COUNTIFS($B$2:$B$1201,B268,$A$2:$A$1201,"&lt;&gt;"&amp;A268)&gt;0,"Sim",""))</f>
        <v/>
      </c>
      <c r="H268" s="16" t="str">
        <f aca="false">IF(N(F268)&gt;0,MAX(H$1:H267)+1,"")</f>
        <v/>
      </c>
      <c r="I268" s="11" t="str">
        <f aca="false">IF(B268="","",IF(INDEX($C$2:$C$1201,MATCH(B268,$B$2:$B$1201,0))&lt;&gt;C268,"Nome diferente em outro deck — revisar",""))</f>
        <v/>
      </c>
      <c r="J268" s="16" t="str">
        <f aca="false">IF(AND(B268&lt;&gt;"",A268=BULK!$A$1,N(F268)&gt;0),MAX(J$1:J267)+1,"")</f>
        <v/>
      </c>
      <c r="K268" s="11" t="str">
        <f aca="false">IF(B268="","",IFERROR(LEFT(B268,FIND("-",B268)-1),B268))</f>
        <v/>
      </c>
      <c r="L268" s="11" t="str">
        <f aca="false">IF(K268="","",IF(ISNUMBER(--MID(K268,1,1)),0,IF(ISNUMBER(--MID(K268,2,1)),1,IF(ISNUMBER(--MID(K268,3,1)),2,IF(ISNUMBER(--MID(K268,4,1)),3,MIN(LEN(K268),4))))))</f>
        <v/>
      </c>
      <c r="M268" s="11" t="str">
        <f aca="false">IF(B268="","",LEFT(K268,L268)&amp;REPT("0",4-L268)&amp;RIGHT("000"&amp;IFERROR(VALUE(MID(K268,L268+1,9)),0),3)&amp;RIGHT("0000"&amp;IFERROR(VALUE(MID(B268,FIND("-",B268)+1,9)),0),4))</f>
        <v/>
      </c>
      <c r="N268" s="11" t="str">
        <f aca="false">IF(OR(B268="",N(F268)&lt;=0),"",IF('FALTAS POR DECK'!$P$1="Código","K"&amp;M268&amp;RIGHT("00000"&amp;ROW(),5),IF('FALTAS POR DECK'!$P$1="Nome","K"&amp;UPPER(SUBSTITUTE(SUBSTITUTE(SUBSTITUTE(C268,"*",""),"?",""),"~",""))&amp;"0"&amp;M268&amp;RIGHT("00000"&amp;ROW(),5),IF('FALTAS POR DECK'!$P$1="Falta (maior primeiro)","K"&amp;RIGHT("0000"&amp;(9999-F268),4)&amp;M268&amp;RIGHT("00000"&amp;ROW(),5),IF('FALTAS POR DECK'!$P$1="Deck e código","K"&amp;RIGHT("00"&amp;IFERROR(MATCH(A268,_LEITURA!$P$2:$P$21,0),99),2)&amp;M268&amp;RIGHT("00000"&amp;ROW(),5),"K"&amp;RIGHT("00000"&amp;ROW(),5))))))</f>
        <v/>
      </c>
      <c r="O268" s="16" t="str">
        <f aca="false">IF(N268="","",COUNTIFS($N$2:$N$1201,"&lt;"&amp;N268,$F$2:$F$1201,"&gt;0")+1)</f>
        <v/>
      </c>
    </row>
    <row r="269" customFormat="false" ht="15" hidden="false" customHeight="false" outlineLevel="0" collapsed="false">
      <c r="A269" s="11" t="str">
        <f aca="false">IF(_LEITURA!$N269="","",INDEX(_LEITURA!$K$2:$K$1201,_LEITURA!$N269))</f>
        <v/>
      </c>
      <c r="B269" s="11" t="str">
        <f aca="false">IF(_LEITURA!$N269="","",INDEX(_LEITURA!$E$2:$E$1201,_LEITURA!$N269))</f>
        <v/>
      </c>
      <c r="C269" s="11" t="str">
        <f aca="false">IF(_LEITURA!$N269="","",INDEX(_LEITURA!$J$2:$J$1201,_LEITURA!$N269))</f>
        <v/>
      </c>
      <c r="D269" s="16" t="str">
        <f aca="false">IF(_LEITURA!$N269="","",INDEX(_LEITURA!$G$2:$G$1201,_LEITURA!$N269))</f>
        <v/>
      </c>
      <c r="E269" s="16" t="str">
        <f aca="false">IF(B269="","",SUMIFS(INVENTÁRIO!$C$2:$C$801,INVENTÁRIO!$A$2:$A$801,B269))</f>
        <v/>
      </c>
      <c r="F269" s="16" t="str">
        <f aca="false">IF(B269="","",MAX(0,D269-E269))</f>
        <v/>
      </c>
      <c r="G269" s="16" t="str">
        <f aca="false">IF(B269="","",IF(COUNTIFS($B$2:$B$1201,B269,$A$2:$A$1201,"&lt;&gt;"&amp;A269)&gt;0,"Sim",""))</f>
        <v/>
      </c>
      <c r="H269" s="16" t="str">
        <f aca="false">IF(N(F269)&gt;0,MAX(H$1:H268)+1,"")</f>
        <v/>
      </c>
      <c r="I269" s="11" t="str">
        <f aca="false">IF(B269="","",IF(INDEX($C$2:$C$1201,MATCH(B269,$B$2:$B$1201,0))&lt;&gt;C269,"Nome diferente em outro deck — revisar",""))</f>
        <v/>
      </c>
      <c r="J269" s="16" t="str">
        <f aca="false">IF(AND(B269&lt;&gt;"",A269=BULK!$A$1,N(F269)&gt;0),MAX(J$1:J268)+1,"")</f>
        <v/>
      </c>
      <c r="K269" s="11" t="str">
        <f aca="false">IF(B269="","",IFERROR(LEFT(B269,FIND("-",B269)-1),B269))</f>
        <v/>
      </c>
      <c r="L269" s="11" t="str">
        <f aca="false">IF(K269="","",IF(ISNUMBER(--MID(K269,1,1)),0,IF(ISNUMBER(--MID(K269,2,1)),1,IF(ISNUMBER(--MID(K269,3,1)),2,IF(ISNUMBER(--MID(K269,4,1)),3,MIN(LEN(K269),4))))))</f>
        <v/>
      </c>
      <c r="M269" s="11" t="str">
        <f aca="false">IF(B269="","",LEFT(K269,L269)&amp;REPT("0",4-L269)&amp;RIGHT("000"&amp;IFERROR(VALUE(MID(K269,L269+1,9)),0),3)&amp;RIGHT("0000"&amp;IFERROR(VALUE(MID(B269,FIND("-",B269)+1,9)),0),4))</f>
        <v/>
      </c>
      <c r="N269" s="11" t="str">
        <f aca="false">IF(OR(B269="",N(F269)&lt;=0),"",IF('FALTAS POR DECK'!$P$1="Código","K"&amp;M269&amp;RIGHT("00000"&amp;ROW(),5),IF('FALTAS POR DECK'!$P$1="Nome","K"&amp;UPPER(SUBSTITUTE(SUBSTITUTE(SUBSTITUTE(C269,"*",""),"?",""),"~",""))&amp;"0"&amp;M269&amp;RIGHT("00000"&amp;ROW(),5),IF('FALTAS POR DECK'!$P$1="Falta (maior primeiro)","K"&amp;RIGHT("0000"&amp;(9999-F269),4)&amp;M269&amp;RIGHT("00000"&amp;ROW(),5),IF('FALTAS POR DECK'!$P$1="Deck e código","K"&amp;RIGHT("00"&amp;IFERROR(MATCH(A269,_LEITURA!$P$2:$P$21,0),99),2)&amp;M269&amp;RIGHT("00000"&amp;ROW(),5),"K"&amp;RIGHT("00000"&amp;ROW(),5))))))</f>
        <v/>
      </c>
      <c r="O269" s="16" t="str">
        <f aca="false">IF(N269="","",COUNTIFS($N$2:$N$1201,"&lt;"&amp;N269,$F$2:$F$1201,"&gt;0")+1)</f>
        <v/>
      </c>
    </row>
    <row r="270" customFormat="false" ht="15" hidden="false" customHeight="false" outlineLevel="0" collapsed="false">
      <c r="A270" s="11" t="str">
        <f aca="false">IF(_LEITURA!$N270="","",INDEX(_LEITURA!$K$2:$K$1201,_LEITURA!$N270))</f>
        <v/>
      </c>
      <c r="B270" s="11" t="str">
        <f aca="false">IF(_LEITURA!$N270="","",INDEX(_LEITURA!$E$2:$E$1201,_LEITURA!$N270))</f>
        <v/>
      </c>
      <c r="C270" s="11" t="str">
        <f aca="false">IF(_LEITURA!$N270="","",INDEX(_LEITURA!$J$2:$J$1201,_LEITURA!$N270))</f>
        <v/>
      </c>
      <c r="D270" s="16" t="str">
        <f aca="false">IF(_LEITURA!$N270="","",INDEX(_LEITURA!$G$2:$G$1201,_LEITURA!$N270))</f>
        <v/>
      </c>
      <c r="E270" s="16" t="str">
        <f aca="false">IF(B270="","",SUMIFS(INVENTÁRIO!$C$2:$C$801,INVENTÁRIO!$A$2:$A$801,B270))</f>
        <v/>
      </c>
      <c r="F270" s="16" t="str">
        <f aca="false">IF(B270="","",MAX(0,D270-E270))</f>
        <v/>
      </c>
      <c r="G270" s="16" t="str">
        <f aca="false">IF(B270="","",IF(COUNTIFS($B$2:$B$1201,B270,$A$2:$A$1201,"&lt;&gt;"&amp;A270)&gt;0,"Sim",""))</f>
        <v/>
      </c>
      <c r="H270" s="16" t="str">
        <f aca="false">IF(N(F270)&gt;0,MAX(H$1:H269)+1,"")</f>
        <v/>
      </c>
      <c r="I270" s="11" t="str">
        <f aca="false">IF(B270="","",IF(INDEX($C$2:$C$1201,MATCH(B270,$B$2:$B$1201,0))&lt;&gt;C270,"Nome diferente em outro deck — revisar",""))</f>
        <v/>
      </c>
      <c r="J270" s="16" t="str">
        <f aca="false">IF(AND(B270&lt;&gt;"",A270=BULK!$A$1,N(F270)&gt;0),MAX(J$1:J269)+1,"")</f>
        <v/>
      </c>
      <c r="K270" s="11" t="str">
        <f aca="false">IF(B270="","",IFERROR(LEFT(B270,FIND("-",B270)-1),B270))</f>
        <v/>
      </c>
      <c r="L270" s="11" t="str">
        <f aca="false">IF(K270="","",IF(ISNUMBER(--MID(K270,1,1)),0,IF(ISNUMBER(--MID(K270,2,1)),1,IF(ISNUMBER(--MID(K270,3,1)),2,IF(ISNUMBER(--MID(K270,4,1)),3,MIN(LEN(K270),4))))))</f>
        <v/>
      </c>
      <c r="M270" s="11" t="str">
        <f aca="false">IF(B270="","",LEFT(K270,L270)&amp;REPT("0",4-L270)&amp;RIGHT("000"&amp;IFERROR(VALUE(MID(K270,L270+1,9)),0),3)&amp;RIGHT("0000"&amp;IFERROR(VALUE(MID(B270,FIND("-",B270)+1,9)),0),4))</f>
        <v/>
      </c>
      <c r="N270" s="11" t="str">
        <f aca="false">IF(OR(B270="",N(F270)&lt;=0),"",IF('FALTAS POR DECK'!$P$1="Código","K"&amp;M270&amp;RIGHT("00000"&amp;ROW(),5),IF('FALTAS POR DECK'!$P$1="Nome","K"&amp;UPPER(SUBSTITUTE(SUBSTITUTE(SUBSTITUTE(C270,"*",""),"?",""),"~",""))&amp;"0"&amp;M270&amp;RIGHT("00000"&amp;ROW(),5),IF('FALTAS POR DECK'!$P$1="Falta (maior primeiro)","K"&amp;RIGHT("0000"&amp;(9999-F270),4)&amp;M270&amp;RIGHT("00000"&amp;ROW(),5),IF('FALTAS POR DECK'!$P$1="Deck e código","K"&amp;RIGHT("00"&amp;IFERROR(MATCH(A270,_LEITURA!$P$2:$P$21,0),99),2)&amp;M270&amp;RIGHT("00000"&amp;ROW(),5),"K"&amp;RIGHT("00000"&amp;ROW(),5))))))</f>
        <v/>
      </c>
      <c r="O270" s="16" t="str">
        <f aca="false">IF(N270="","",COUNTIFS($N$2:$N$1201,"&lt;"&amp;N270,$F$2:$F$1201,"&gt;0")+1)</f>
        <v/>
      </c>
    </row>
    <row r="271" customFormat="false" ht="15" hidden="false" customHeight="false" outlineLevel="0" collapsed="false">
      <c r="A271" s="11" t="str">
        <f aca="false">IF(_LEITURA!$N271="","",INDEX(_LEITURA!$K$2:$K$1201,_LEITURA!$N271))</f>
        <v/>
      </c>
      <c r="B271" s="11" t="str">
        <f aca="false">IF(_LEITURA!$N271="","",INDEX(_LEITURA!$E$2:$E$1201,_LEITURA!$N271))</f>
        <v/>
      </c>
      <c r="C271" s="11" t="str">
        <f aca="false">IF(_LEITURA!$N271="","",INDEX(_LEITURA!$J$2:$J$1201,_LEITURA!$N271))</f>
        <v/>
      </c>
      <c r="D271" s="16" t="str">
        <f aca="false">IF(_LEITURA!$N271="","",INDEX(_LEITURA!$G$2:$G$1201,_LEITURA!$N271))</f>
        <v/>
      </c>
      <c r="E271" s="16" t="str">
        <f aca="false">IF(B271="","",SUMIFS(INVENTÁRIO!$C$2:$C$801,INVENTÁRIO!$A$2:$A$801,B271))</f>
        <v/>
      </c>
      <c r="F271" s="16" t="str">
        <f aca="false">IF(B271="","",MAX(0,D271-E271))</f>
        <v/>
      </c>
      <c r="G271" s="16" t="str">
        <f aca="false">IF(B271="","",IF(COUNTIFS($B$2:$B$1201,B271,$A$2:$A$1201,"&lt;&gt;"&amp;A271)&gt;0,"Sim",""))</f>
        <v/>
      </c>
      <c r="H271" s="16" t="str">
        <f aca="false">IF(N(F271)&gt;0,MAX(H$1:H270)+1,"")</f>
        <v/>
      </c>
      <c r="I271" s="11" t="str">
        <f aca="false">IF(B271="","",IF(INDEX($C$2:$C$1201,MATCH(B271,$B$2:$B$1201,0))&lt;&gt;C271,"Nome diferente em outro deck — revisar",""))</f>
        <v/>
      </c>
      <c r="J271" s="16" t="str">
        <f aca="false">IF(AND(B271&lt;&gt;"",A271=BULK!$A$1,N(F271)&gt;0),MAX(J$1:J270)+1,"")</f>
        <v/>
      </c>
      <c r="K271" s="11" t="str">
        <f aca="false">IF(B271="","",IFERROR(LEFT(B271,FIND("-",B271)-1),B271))</f>
        <v/>
      </c>
      <c r="L271" s="11" t="str">
        <f aca="false">IF(K271="","",IF(ISNUMBER(--MID(K271,1,1)),0,IF(ISNUMBER(--MID(K271,2,1)),1,IF(ISNUMBER(--MID(K271,3,1)),2,IF(ISNUMBER(--MID(K271,4,1)),3,MIN(LEN(K271),4))))))</f>
        <v/>
      </c>
      <c r="M271" s="11" t="str">
        <f aca="false">IF(B271="","",LEFT(K271,L271)&amp;REPT("0",4-L271)&amp;RIGHT("000"&amp;IFERROR(VALUE(MID(K271,L271+1,9)),0),3)&amp;RIGHT("0000"&amp;IFERROR(VALUE(MID(B271,FIND("-",B271)+1,9)),0),4))</f>
        <v/>
      </c>
      <c r="N271" s="11" t="str">
        <f aca="false">IF(OR(B271="",N(F271)&lt;=0),"",IF('FALTAS POR DECK'!$P$1="Código","K"&amp;M271&amp;RIGHT("00000"&amp;ROW(),5),IF('FALTAS POR DECK'!$P$1="Nome","K"&amp;UPPER(SUBSTITUTE(SUBSTITUTE(SUBSTITUTE(C271,"*",""),"?",""),"~",""))&amp;"0"&amp;M271&amp;RIGHT("00000"&amp;ROW(),5),IF('FALTAS POR DECK'!$P$1="Falta (maior primeiro)","K"&amp;RIGHT("0000"&amp;(9999-F271),4)&amp;M271&amp;RIGHT("00000"&amp;ROW(),5),IF('FALTAS POR DECK'!$P$1="Deck e código","K"&amp;RIGHT("00"&amp;IFERROR(MATCH(A271,_LEITURA!$P$2:$P$21,0),99),2)&amp;M271&amp;RIGHT("00000"&amp;ROW(),5),"K"&amp;RIGHT("00000"&amp;ROW(),5))))))</f>
        <v/>
      </c>
      <c r="O271" s="16" t="str">
        <f aca="false">IF(N271="","",COUNTIFS($N$2:$N$1201,"&lt;"&amp;N271,$F$2:$F$1201,"&gt;0")+1)</f>
        <v/>
      </c>
    </row>
    <row r="272" customFormat="false" ht="15" hidden="false" customHeight="false" outlineLevel="0" collapsed="false">
      <c r="A272" s="11" t="str">
        <f aca="false">IF(_LEITURA!$N272="","",INDEX(_LEITURA!$K$2:$K$1201,_LEITURA!$N272))</f>
        <v/>
      </c>
      <c r="B272" s="11" t="str">
        <f aca="false">IF(_LEITURA!$N272="","",INDEX(_LEITURA!$E$2:$E$1201,_LEITURA!$N272))</f>
        <v/>
      </c>
      <c r="C272" s="11" t="str">
        <f aca="false">IF(_LEITURA!$N272="","",INDEX(_LEITURA!$J$2:$J$1201,_LEITURA!$N272))</f>
        <v/>
      </c>
      <c r="D272" s="16" t="str">
        <f aca="false">IF(_LEITURA!$N272="","",INDEX(_LEITURA!$G$2:$G$1201,_LEITURA!$N272))</f>
        <v/>
      </c>
      <c r="E272" s="16" t="str">
        <f aca="false">IF(B272="","",SUMIFS(INVENTÁRIO!$C$2:$C$801,INVENTÁRIO!$A$2:$A$801,B272))</f>
        <v/>
      </c>
      <c r="F272" s="16" t="str">
        <f aca="false">IF(B272="","",MAX(0,D272-E272))</f>
        <v/>
      </c>
      <c r="G272" s="16" t="str">
        <f aca="false">IF(B272="","",IF(COUNTIFS($B$2:$B$1201,B272,$A$2:$A$1201,"&lt;&gt;"&amp;A272)&gt;0,"Sim",""))</f>
        <v/>
      </c>
      <c r="H272" s="16" t="str">
        <f aca="false">IF(N(F272)&gt;0,MAX(H$1:H271)+1,"")</f>
        <v/>
      </c>
      <c r="I272" s="11" t="str">
        <f aca="false">IF(B272="","",IF(INDEX($C$2:$C$1201,MATCH(B272,$B$2:$B$1201,0))&lt;&gt;C272,"Nome diferente em outro deck — revisar",""))</f>
        <v/>
      </c>
      <c r="J272" s="16" t="str">
        <f aca="false">IF(AND(B272&lt;&gt;"",A272=BULK!$A$1,N(F272)&gt;0),MAX(J$1:J271)+1,"")</f>
        <v/>
      </c>
      <c r="K272" s="11" t="str">
        <f aca="false">IF(B272="","",IFERROR(LEFT(B272,FIND("-",B272)-1),B272))</f>
        <v/>
      </c>
      <c r="L272" s="11" t="str">
        <f aca="false">IF(K272="","",IF(ISNUMBER(--MID(K272,1,1)),0,IF(ISNUMBER(--MID(K272,2,1)),1,IF(ISNUMBER(--MID(K272,3,1)),2,IF(ISNUMBER(--MID(K272,4,1)),3,MIN(LEN(K272),4))))))</f>
        <v/>
      </c>
      <c r="M272" s="11" t="str">
        <f aca="false">IF(B272="","",LEFT(K272,L272)&amp;REPT("0",4-L272)&amp;RIGHT("000"&amp;IFERROR(VALUE(MID(K272,L272+1,9)),0),3)&amp;RIGHT("0000"&amp;IFERROR(VALUE(MID(B272,FIND("-",B272)+1,9)),0),4))</f>
        <v/>
      </c>
      <c r="N272" s="11" t="str">
        <f aca="false">IF(OR(B272="",N(F272)&lt;=0),"",IF('FALTAS POR DECK'!$P$1="Código","K"&amp;M272&amp;RIGHT("00000"&amp;ROW(),5),IF('FALTAS POR DECK'!$P$1="Nome","K"&amp;UPPER(SUBSTITUTE(SUBSTITUTE(SUBSTITUTE(C272,"*",""),"?",""),"~",""))&amp;"0"&amp;M272&amp;RIGHT("00000"&amp;ROW(),5),IF('FALTAS POR DECK'!$P$1="Falta (maior primeiro)","K"&amp;RIGHT("0000"&amp;(9999-F272),4)&amp;M272&amp;RIGHT("00000"&amp;ROW(),5),IF('FALTAS POR DECK'!$P$1="Deck e código","K"&amp;RIGHT("00"&amp;IFERROR(MATCH(A272,_LEITURA!$P$2:$P$21,0),99),2)&amp;M272&amp;RIGHT("00000"&amp;ROW(),5),"K"&amp;RIGHT("00000"&amp;ROW(),5))))))</f>
        <v/>
      </c>
      <c r="O272" s="16" t="str">
        <f aca="false">IF(N272="","",COUNTIFS($N$2:$N$1201,"&lt;"&amp;N272,$F$2:$F$1201,"&gt;0")+1)</f>
        <v/>
      </c>
    </row>
    <row r="273" customFormat="false" ht="15" hidden="false" customHeight="false" outlineLevel="0" collapsed="false">
      <c r="A273" s="11" t="str">
        <f aca="false">IF(_LEITURA!$N273="","",INDEX(_LEITURA!$K$2:$K$1201,_LEITURA!$N273))</f>
        <v/>
      </c>
      <c r="B273" s="11" t="str">
        <f aca="false">IF(_LEITURA!$N273="","",INDEX(_LEITURA!$E$2:$E$1201,_LEITURA!$N273))</f>
        <v/>
      </c>
      <c r="C273" s="11" t="str">
        <f aca="false">IF(_LEITURA!$N273="","",INDEX(_LEITURA!$J$2:$J$1201,_LEITURA!$N273))</f>
        <v/>
      </c>
      <c r="D273" s="16" t="str">
        <f aca="false">IF(_LEITURA!$N273="","",INDEX(_LEITURA!$G$2:$G$1201,_LEITURA!$N273))</f>
        <v/>
      </c>
      <c r="E273" s="16" t="str">
        <f aca="false">IF(B273="","",SUMIFS(INVENTÁRIO!$C$2:$C$801,INVENTÁRIO!$A$2:$A$801,B273))</f>
        <v/>
      </c>
      <c r="F273" s="16" t="str">
        <f aca="false">IF(B273="","",MAX(0,D273-E273))</f>
        <v/>
      </c>
      <c r="G273" s="16" t="str">
        <f aca="false">IF(B273="","",IF(COUNTIFS($B$2:$B$1201,B273,$A$2:$A$1201,"&lt;&gt;"&amp;A273)&gt;0,"Sim",""))</f>
        <v/>
      </c>
      <c r="H273" s="16" t="str">
        <f aca="false">IF(N(F273)&gt;0,MAX(H$1:H272)+1,"")</f>
        <v/>
      </c>
      <c r="I273" s="11" t="str">
        <f aca="false">IF(B273="","",IF(INDEX($C$2:$C$1201,MATCH(B273,$B$2:$B$1201,0))&lt;&gt;C273,"Nome diferente em outro deck — revisar",""))</f>
        <v/>
      </c>
      <c r="J273" s="16" t="str">
        <f aca="false">IF(AND(B273&lt;&gt;"",A273=BULK!$A$1,N(F273)&gt;0),MAX(J$1:J272)+1,"")</f>
        <v/>
      </c>
      <c r="K273" s="11" t="str">
        <f aca="false">IF(B273="","",IFERROR(LEFT(B273,FIND("-",B273)-1),B273))</f>
        <v/>
      </c>
      <c r="L273" s="11" t="str">
        <f aca="false">IF(K273="","",IF(ISNUMBER(--MID(K273,1,1)),0,IF(ISNUMBER(--MID(K273,2,1)),1,IF(ISNUMBER(--MID(K273,3,1)),2,IF(ISNUMBER(--MID(K273,4,1)),3,MIN(LEN(K273),4))))))</f>
        <v/>
      </c>
      <c r="M273" s="11" t="str">
        <f aca="false">IF(B273="","",LEFT(K273,L273)&amp;REPT("0",4-L273)&amp;RIGHT("000"&amp;IFERROR(VALUE(MID(K273,L273+1,9)),0),3)&amp;RIGHT("0000"&amp;IFERROR(VALUE(MID(B273,FIND("-",B273)+1,9)),0),4))</f>
        <v/>
      </c>
      <c r="N273" s="11" t="str">
        <f aca="false">IF(OR(B273="",N(F273)&lt;=0),"",IF('FALTAS POR DECK'!$P$1="Código","K"&amp;M273&amp;RIGHT("00000"&amp;ROW(),5),IF('FALTAS POR DECK'!$P$1="Nome","K"&amp;UPPER(SUBSTITUTE(SUBSTITUTE(SUBSTITUTE(C273,"*",""),"?",""),"~",""))&amp;"0"&amp;M273&amp;RIGHT("00000"&amp;ROW(),5),IF('FALTAS POR DECK'!$P$1="Falta (maior primeiro)","K"&amp;RIGHT("0000"&amp;(9999-F273),4)&amp;M273&amp;RIGHT("00000"&amp;ROW(),5),IF('FALTAS POR DECK'!$P$1="Deck e código","K"&amp;RIGHT("00"&amp;IFERROR(MATCH(A273,_LEITURA!$P$2:$P$21,0),99),2)&amp;M273&amp;RIGHT("00000"&amp;ROW(),5),"K"&amp;RIGHT("00000"&amp;ROW(),5))))))</f>
        <v/>
      </c>
      <c r="O273" s="16" t="str">
        <f aca="false">IF(N273="","",COUNTIFS($N$2:$N$1201,"&lt;"&amp;N273,$F$2:$F$1201,"&gt;0")+1)</f>
        <v/>
      </c>
    </row>
    <row r="274" customFormat="false" ht="15" hidden="false" customHeight="false" outlineLevel="0" collapsed="false">
      <c r="A274" s="11" t="str">
        <f aca="false">IF(_LEITURA!$N274="","",INDEX(_LEITURA!$K$2:$K$1201,_LEITURA!$N274))</f>
        <v/>
      </c>
      <c r="B274" s="11" t="str">
        <f aca="false">IF(_LEITURA!$N274="","",INDEX(_LEITURA!$E$2:$E$1201,_LEITURA!$N274))</f>
        <v/>
      </c>
      <c r="C274" s="11" t="str">
        <f aca="false">IF(_LEITURA!$N274="","",INDEX(_LEITURA!$J$2:$J$1201,_LEITURA!$N274))</f>
        <v/>
      </c>
      <c r="D274" s="16" t="str">
        <f aca="false">IF(_LEITURA!$N274="","",INDEX(_LEITURA!$G$2:$G$1201,_LEITURA!$N274))</f>
        <v/>
      </c>
      <c r="E274" s="16" t="str">
        <f aca="false">IF(B274="","",SUMIFS(INVENTÁRIO!$C$2:$C$801,INVENTÁRIO!$A$2:$A$801,B274))</f>
        <v/>
      </c>
      <c r="F274" s="16" t="str">
        <f aca="false">IF(B274="","",MAX(0,D274-E274))</f>
        <v/>
      </c>
      <c r="G274" s="16" t="str">
        <f aca="false">IF(B274="","",IF(COUNTIFS($B$2:$B$1201,B274,$A$2:$A$1201,"&lt;&gt;"&amp;A274)&gt;0,"Sim",""))</f>
        <v/>
      </c>
      <c r="H274" s="16" t="str">
        <f aca="false">IF(N(F274)&gt;0,MAX(H$1:H273)+1,"")</f>
        <v/>
      </c>
      <c r="I274" s="11" t="str">
        <f aca="false">IF(B274="","",IF(INDEX($C$2:$C$1201,MATCH(B274,$B$2:$B$1201,0))&lt;&gt;C274,"Nome diferente em outro deck — revisar",""))</f>
        <v/>
      </c>
      <c r="J274" s="16" t="str">
        <f aca="false">IF(AND(B274&lt;&gt;"",A274=BULK!$A$1,N(F274)&gt;0),MAX(J$1:J273)+1,"")</f>
        <v/>
      </c>
      <c r="K274" s="11" t="str">
        <f aca="false">IF(B274="","",IFERROR(LEFT(B274,FIND("-",B274)-1),B274))</f>
        <v/>
      </c>
      <c r="L274" s="11" t="str">
        <f aca="false">IF(K274="","",IF(ISNUMBER(--MID(K274,1,1)),0,IF(ISNUMBER(--MID(K274,2,1)),1,IF(ISNUMBER(--MID(K274,3,1)),2,IF(ISNUMBER(--MID(K274,4,1)),3,MIN(LEN(K274),4))))))</f>
        <v/>
      </c>
      <c r="M274" s="11" t="str">
        <f aca="false">IF(B274="","",LEFT(K274,L274)&amp;REPT("0",4-L274)&amp;RIGHT("000"&amp;IFERROR(VALUE(MID(K274,L274+1,9)),0),3)&amp;RIGHT("0000"&amp;IFERROR(VALUE(MID(B274,FIND("-",B274)+1,9)),0),4))</f>
        <v/>
      </c>
      <c r="N274" s="11" t="str">
        <f aca="false">IF(OR(B274="",N(F274)&lt;=0),"",IF('FALTAS POR DECK'!$P$1="Código","K"&amp;M274&amp;RIGHT("00000"&amp;ROW(),5),IF('FALTAS POR DECK'!$P$1="Nome","K"&amp;UPPER(SUBSTITUTE(SUBSTITUTE(SUBSTITUTE(C274,"*",""),"?",""),"~",""))&amp;"0"&amp;M274&amp;RIGHT("00000"&amp;ROW(),5),IF('FALTAS POR DECK'!$P$1="Falta (maior primeiro)","K"&amp;RIGHT("0000"&amp;(9999-F274),4)&amp;M274&amp;RIGHT("00000"&amp;ROW(),5),IF('FALTAS POR DECK'!$P$1="Deck e código","K"&amp;RIGHT("00"&amp;IFERROR(MATCH(A274,_LEITURA!$P$2:$P$21,0),99),2)&amp;M274&amp;RIGHT("00000"&amp;ROW(),5),"K"&amp;RIGHT("00000"&amp;ROW(),5))))))</f>
        <v/>
      </c>
      <c r="O274" s="16" t="str">
        <f aca="false">IF(N274="","",COUNTIFS($N$2:$N$1201,"&lt;"&amp;N274,$F$2:$F$1201,"&gt;0")+1)</f>
        <v/>
      </c>
    </row>
    <row r="275" customFormat="false" ht="15" hidden="false" customHeight="false" outlineLevel="0" collapsed="false">
      <c r="A275" s="11" t="str">
        <f aca="false">IF(_LEITURA!$N275="","",INDEX(_LEITURA!$K$2:$K$1201,_LEITURA!$N275))</f>
        <v/>
      </c>
      <c r="B275" s="11" t="str">
        <f aca="false">IF(_LEITURA!$N275="","",INDEX(_LEITURA!$E$2:$E$1201,_LEITURA!$N275))</f>
        <v/>
      </c>
      <c r="C275" s="11" t="str">
        <f aca="false">IF(_LEITURA!$N275="","",INDEX(_LEITURA!$J$2:$J$1201,_LEITURA!$N275))</f>
        <v/>
      </c>
      <c r="D275" s="16" t="str">
        <f aca="false">IF(_LEITURA!$N275="","",INDEX(_LEITURA!$G$2:$G$1201,_LEITURA!$N275))</f>
        <v/>
      </c>
      <c r="E275" s="16" t="str">
        <f aca="false">IF(B275="","",SUMIFS(INVENTÁRIO!$C$2:$C$801,INVENTÁRIO!$A$2:$A$801,B275))</f>
        <v/>
      </c>
      <c r="F275" s="16" t="str">
        <f aca="false">IF(B275="","",MAX(0,D275-E275))</f>
        <v/>
      </c>
      <c r="G275" s="16" t="str">
        <f aca="false">IF(B275="","",IF(COUNTIFS($B$2:$B$1201,B275,$A$2:$A$1201,"&lt;&gt;"&amp;A275)&gt;0,"Sim",""))</f>
        <v/>
      </c>
      <c r="H275" s="16" t="str">
        <f aca="false">IF(N(F275)&gt;0,MAX(H$1:H274)+1,"")</f>
        <v/>
      </c>
      <c r="I275" s="11" t="str">
        <f aca="false">IF(B275="","",IF(INDEX($C$2:$C$1201,MATCH(B275,$B$2:$B$1201,0))&lt;&gt;C275,"Nome diferente em outro deck — revisar",""))</f>
        <v/>
      </c>
      <c r="J275" s="16" t="str">
        <f aca="false">IF(AND(B275&lt;&gt;"",A275=BULK!$A$1,N(F275)&gt;0),MAX(J$1:J274)+1,"")</f>
        <v/>
      </c>
      <c r="K275" s="11" t="str">
        <f aca="false">IF(B275="","",IFERROR(LEFT(B275,FIND("-",B275)-1),B275))</f>
        <v/>
      </c>
      <c r="L275" s="11" t="str">
        <f aca="false">IF(K275="","",IF(ISNUMBER(--MID(K275,1,1)),0,IF(ISNUMBER(--MID(K275,2,1)),1,IF(ISNUMBER(--MID(K275,3,1)),2,IF(ISNUMBER(--MID(K275,4,1)),3,MIN(LEN(K275),4))))))</f>
        <v/>
      </c>
      <c r="M275" s="11" t="str">
        <f aca="false">IF(B275="","",LEFT(K275,L275)&amp;REPT("0",4-L275)&amp;RIGHT("000"&amp;IFERROR(VALUE(MID(K275,L275+1,9)),0),3)&amp;RIGHT("0000"&amp;IFERROR(VALUE(MID(B275,FIND("-",B275)+1,9)),0),4))</f>
        <v/>
      </c>
      <c r="N275" s="11" t="str">
        <f aca="false">IF(OR(B275="",N(F275)&lt;=0),"",IF('FALTAS POR DECK'!$P$1="Código","K"&amp;M275&amp;RIGHT("00000"&amp;ROW(),5),IF('FALTAS POR DECK'!$P$1="Nome","K"&amp;UPPER(SUBSTITUTE(SUBSTITUTE(SUBSTITUTE(C275,"*",""),"?",""),"~",""))&amp;"0"&amp;M275&amp;RIGHT("00000"&amp;ROW(),5),IF('FALTAS POR DECK'!$P$1="Falta (maior primeiro)","K"&amp;RIGHT("0000"&amp;(9999-F275),4)&amp;M275&amp;RIGHT("00000"&amp;ROW(),5),IF('FALTAS POR DECK'!$P$1="Deck e código","K"&amp;RIGHT("00"&amp;IFERROR(MATCH(A275,_LEITURA!$P$2:$P$21,0),99),2)&amp;M275&amp;RIGHT("00000"&amp;ROW(),5),"K"&amp;RIGHT("00000"&amp;ROW(),5))))))</f>
        <v/>
      </c>
      <c r="O275" s="16" t="str">
        <f aca="false">IF(N275="","",COUNTIFS($N$2:$N$1201,"&lt;"&amp;N275,$F$2:$F$1201,"&gt;0")+1)</f>
        <v/>
      </c>
    </row>
    <row r="276" customFormat="false" ht="15" hidden="false" customHeight="false" outlineLevel="0" collapsed="false">
      <c r="A276" s="11" t="str">
        <f aca="false">IF(_LEITURA!$N276="","",INDEX(_LEITURA!$K$2:$K$1201,_LEITURA!$N276))</f>
        <v/>
      </c>
      <c r="B276" s="11" t="str">
        <f aca="false">IF(_LEITURA!$N276="","",INDEX(_LEITURA!$E$2:$E$1201,_LEITURA!$N276))</f>
        <v/>
      </c>
      <c r="C276" s="11" t="str">
        <f aca="false">IF(_LEITURA!$N276="","",INDEX(_LEITURA!$J$2:$J$1201,_LEITURA!$N276))</f>
        <v/>
      </c>
      <c r="D276" s="16" t="str">
        <f aca="false">IF(_LEITURA!$N276="","",INDEX(_LEITURA!$G$2:$G$1201,_LEITURA!$N276))</f>
        <v/>
      </c>
      <c r="E276" s="16" t="str">
        <f aca="false">IF(B276="","",SUMIFS(INVENTÁRIO!$C$2:$C$801,INVENTÁRIO!$A$2:$A$801,B276))</f>
        <v/>
      </c>
      <c r="F276" s="16" t="str">
        <f aca="false">IF(B276="","",MAX(0,D276-E276))</f>
        <v/>
      </c>
      <c r="G276" s="16" t="str">
        <f aca="false">IF(B276="","",IF(COUNTIFS($B$2:$B$1201,B276,$A$2:$A$1201,"&lt;&gt;"&amp;A276)&gt;0,"Sim",""))</f>
        <v/>
      </c>
      <c r="H276" s="16" t="str">
        <f aca="false">IF(N(F276)&gt;0,MAX(H$1:H275)+1,"")</f>
        <v/>
      </c>
      <c r="I276" s="11" t="str">
        <f aca="false">IF(B276="","",IF(INDEX($C$2:$C$1201,MATCH(B276,$B$2:$B$1201,0))&lt;&gt;C276,"Nome diferente em outro deck — revisar",""))</f>
        <v/>
      </c>
      <c r="J276" s="16" t="str">
        <f aca="false">IF(AND(B276&lt;&gt;"",A276=BULK!$A$1,N(F276)&gt;0),MAX(J$1:J275)+1,"")</f>
        <v/>
      </c>
      <c r="K276" s="11" t="str">
        <f aca="false">IF(B276="","",IFERROR(LEFT(B276,FIND("-",B276)-1),B276))</f>
        <v/>
      </c>
      <c r="L276" s="11" t="str">
        <f aca="false">IF(K276="","",IF(ISNUMBER(--MID(K276,1,1)),0,IF(ISNUMBER(--MID(K276,2,1)),1,IF(ISNUMBER(--MID(K276,3,1)),2,IF(ISNUMBER(--MID(K276,4,1)),3,MIN(LEN(K276),4))))))</f>
        <v/>
      </c>
      <c r="M276" s="11" t="str">
        <f aca="false">IF(B276="","",LEFT(K276,L276)&amp;REPT("0",4-L276)&amp;RIGHT("000"&amp;IFERROR(VALUE(MID(K276,L276+1,9)),0),3)&amp;RIGHT("0000"&amp;IFERROR(VALUE(MID(B276,FIND("-",B276)+1,9)),0),4))</f>
        <v/>
      </c>
      <c r="N276" s="11" t="str">
        <f aca="false">IF(OR(B276="",N(F276)&lt;=0),"",IF('FALTAS POR DECK'!$P$1="Código","K"&amp;M276&amp;RIGHT("00000"&amp;ROW(),5),IF('FALTAS POR DECK'!$P$1="Nome","K"&amp;UPPER(SUBSTITUTE(SUBSTITUTE(SUBSTITUTE(C276,"*",""),"?",""),"~",""))&amp;"0"&amp;M276&amp;RIGHT("00000"&amp;ROW(),5),IF('FALTAS POR DECK'!$P$1="Falta (maior primeiro)","K"&amp;RIGHT("0000"&amp;(9999-F276),4)&amp;M276&amp;RIGHT("00000"&amp;ROW(),5),IF('FALTAS POR DECK'!$P$1="Deck e código","K"&amp;RIGHT("00"&amp;IFERROR(MATCH(A276,_LEITURA!$P$2:$P$21,0),99),2)&amp;M276&amp;RIGHT("00000"&amp;ROW(),5),"K"&amp;RIGHT("00000"&amp;ROW(),5))))))</f>
        <v/>
      </c>
      <c r="O276" s="16" t="str">
        <f aca="false">IF(N276="","",COUNTIFS($N$2:$N$1201,"&lt;"&amp;N276,$F$2:$F$1201,"&gt;0")+1)</f>
        <v/>
      </c>
    </row>
    <row r="277" customFormat="false" ht="15" hidden="false" customHeight="false" outlineLevel="0" collapsed="false">
      <c r="A277" s="11" t="str">
        <f aca="false">IF(_LEITURA!$N277="","",INDEX(_LEITURA!$K$2:$K$1201,_LEITURA!$N277))</f>
        <v/>
      </c>
      <c r="B277" s="11" t="str">
        <f aca="false">IF(_LEITURA!$N277="","",INDEX(_LEITURA!$E$2:$E$1201,_LEITURA!$N277))</f>
        <v/>
      </c>
      <c r="C277" s="11" t="str">
        <f aca="false">IF(_LEITURA!$N277="","",INDEX(_LEITURA!$J$2:$J$1201,_LEITURA!$N277))</f>
        <v/>
      </c>
      <c r="D277" s="16" t="str">
        <f aca="false">IF(_LEITURA!$N277="","",INDEX(_LEITURA!$G$2:$G$1201,_LEITURA!$N277))</f>
        <v/>
      </c>
      <c r="E277" s="16" t="str">
        <f aca="false">IF(B277="","",SUMIFS(INVENTÁRIO!$C$2:$C$801,INVENTÁRIO!$A$2:$A$801,B277))</f>
        <v/>
      </c>
      <c r="F277" s="16" t="str">
        <f aca="false">IF(B277="","",MAX(0,D277-E277))</f>
        <v/>
      </c>
      <c r="G277" s="16" t="str">
        <f aca="false">IF(B277="","",IF(COUNTIFS($B$2:$B$1201,B277,$A$2:$A$1201,"&lt;&gt;"&amp;A277)&gt;0,"Sim",""))</f>
        <v/>
      </c>
      <c r="H277" s="16" t="str">
        <f aca="false">IF(N(F277)&gt;0,MAX(H$1:H276)+1,"")</f>
        <v/>
      </c>
      <c r="I277" s="11" t="str">
        <f aca="false">IF(B277="","",IF(INDEX($C$2:$C$1201,MATCH(B277,$B$2:$B$1201,0))&lt;&gt;C277,"Nome diferente em outro deck — revisar",""))</f>
        <v/>
      </c>
      <c r="J277" s="16" t="str">
        <f aca="false">IF(AND(B277&lt;&gt;"",A277=BULK!$A$1,N(F277)&gt;0),MAX(J$1:J276)+1,"")</f>
        <v/>
      </c>
      <c r="K277" s="11" t="str">
        <f aca="false">IF(B277="","",IFERROR(LEFT(B277,FIND("-",B277)-1),B277))</f>
        <v/>
      </c>
      <c r="L277" s="11" t="str">
        <f aca="false">IF(K277="","",IF(ISNUMBER(--MID(K277,1,1)),0,IF(ISNUMBER(--MID(K277,2,1)),1,IF(ISNUMBER(--MID(K277,3,1)),2,IF(ISNUMBER(--MID(K277,4,1)),3,MIN(LEN(K277),4))))))</f>
        <v/>
      </c>
      <c r="M277" s="11" t="str">
        <f aca="false">IF(B277="","",LEFT(K277,L277)&amp;REPT("0",4-L277)&amp;RIGHT("000"&amp;IFERROR(VALUE(MID(K277,L277+1,9)),0),3)&amp;RIGHT("0000"&amp;IFERROR(VALUE(MID(B277,FIND("-",B277)+1,9)),0),4))</f>
        <v/>
      </c>
      <c r="N277" s="11" t="str">
        <f aca="false">IF(OR(B277="",N(F277)&lt;=0),"",IF('FALTAS POR DECK'!$P$1="Código","K"&amp;M277&amp;RIGHT("00000"&amp;ROW(),5),IF('FALTAS POR DECK'!$P$1="Nome","K"&amp;UPPER(SUBSTITUTE(SUBSTITUTE(SUBSTITUTE(C277,"*",""),"?",""),"~",""))&amp;"0"&amp;M277&amp;RIGHT("00000"&amp;ROW(),5),IF('FALTAS POR DECK'!$P$1="Falta (maior primeiro)","K"&amp;RIGHT("0000"&amp;(9999-F277),4)&amp;M277&amp;RIGHT("00000"&amp;ROW(),5),IF('FALTAS POR DECK'!$P$1="Deck e código","K"&amp;RIGHT("00"&amp;IFERROR(MATCH(A277,_LEITURA!$P$2:$P$21,0),99),2)&amp;M277&amp;RIGHT("00000"&amp;ROW(),5),"K"&amp;RIGHT("00000"&amp;ROW(),5))))))</f>
        <v/>
      </c>
      <c r="O277" s="16" t="str">
        <f aca="false">IF(N277="","",COUNTIFS($N$2:$N$1201,"&lt;"&amp;N277,$F$2:$F$1201,"&gt;0")+1)</f>
        <v/>
      </c>
    </row>
    <row r="278" customFormat="false" ht="15" hidden="false" customHeight="false" outlineLevel="0" collapsed="false">
      <c r="A278" s="11" t="str">
        <f aca="false">IF(_LEITURA!$N278="","",INDEX(_LEITURA!$K$2:$K$1201,_LEITURA!$N278))</f>
        <v/>
      </c>
      <c r="B278" s="11" t="str">
        <f aca="false">IF(_LEITURA!$N278="","",INDEX(_LEITURA!$E$2:$E$1201,_LEITURA!$N278))</f>
        <v/>
      </c>
      <c r="C278" s="11" t="str">
        <f aca="false">IF(_LEITURA!$N278="","",INDEX(_LEITURA!$J$2:$J$1201,_LEITURA!$N278))</f>
        <v/>
      </c>
      <c r="D278" s="16" t="str">
        <f aca="false">IF(_LEITURA!$N278="","",INDEX(_LEITURA!$G$2:$G$1201,_LEITURA!$N278))</f>
        <v/>
      </c>
      <c r="E278" s="16" t="str">
        <f aca="false">IF(B278="","",SUMIFS(INVENTÁRIO!$C$2:$C$801,INVENTÁRIO!$A$2:$A$801,B278))</f>
        <v/>
      </c>
      <c r="F278" s="16" t="str">
        <f aca="false">IF(B278="","",MAX(0,D278-E278))</f>
        <v/>
      </c>
      <c r="G278" s="16" t="str">
        <f aca="false">IF(B278="","",IF(COUNTIFS($B$2:$B$1201,B278,$A$2:$A$1201,"&lt;&gt;"&amp;A278)&gt;0,"Sim",""))</f>
        <v/>
      </c>
      <c r="H278" s="16" t="str">
        <f aca="false">IF(N(F278)&gt;0,MAX(H$1:H277)+1,"")</f>
        <v/>
      </c>
      <c r="I278" s="11" t="str">
        <f aca="false">IF(B278="","",IF(INDEX($C$2:$C$1201,MATCH(B278,$B$2:$B$1201,0))&lt;&gt;C278,"Nome diferente em outro deck — revisar",""))</f>
        <v/>
      </c>
      <c r="J278" s="16" t="str">
        <f aca="false">IF(AND(B278&lt;&gt;"",A278=BULK!$A$1,N(F278)&gt;0),MAX(J$1:J277)+1,"")</f>
        <v/>
      </c>
      <c r="K278" s="11" t="str">
        <f aca="false">IF(B278="","",IFERROR(LEFT(B278,FIND("-",B278)-1),B278))</f>
        <v/>
      </c>
      <c r="L278" s="11" t="str">
        <f aca="false">IF(K278="","",IF(ISNUMBER(--MID(K278,1,1)),0,IF(ISNUMBER(--MID(K278,2,1)),1,IF(ISNUMBER(--MID(K278,3,1)),2,IF(ISNUMBER(--MID(K278,4,1)),3,MIN(LEN(K278),4))))))</f>
        <v/>
      </c>
      <c r="M278" s="11" t="str">
        <f aca="false">IF(B278="","",LEFT(K278,L278)&amp;REPT("0",4-L278)&amp;RIGHT("000"&amp;IFERROR(VALUE(MID(K278,L278+1,9)),0),3)&amp;RIGHT("0000"&amp;IFERROR(VALUE(MID(B278,FIND("-",B278)+1,9)),0),4))</f>
        <v/>
      </c>
      <c r="N278" s="11" t="str">
        <f aca="false">IF(OR(B278="",N(F278)&lt;=0),"",IF('FALTAS POR DECK'!$P$1="Código","K"&amp;M278&amp;RIGHT("00000"&amp;ROW(),5),IF('FALTAS POR DECK'!$P$1="Nome","K"&amp;UPPER(SUBSTITUTE(SUBSTITUTE(SUBSTITUTE(C278,"*",""),"?",""),"~",""))&amp;"0"&amp;M278&amp;RIGHT("00000"&amp;ROW(),5),IF('FALTAS POR DECK'!$P$1="Falta (maior primeiro)","K"&amp;RIGHT("0000"&amp;(9999-F278),4)&amp;M278&amp;RIGHT("00000"&amp;ROW(),5),IF('FALTAS POR DECK'!$P$1="Deck e código","K"&amp;RIGHT("00"&amp;IFERROR(MATCH(A278,_LEITURA!$P$2:$P$21,0),99),2)&amp;M278&amp;RIGHT("00000"&amp;ROW(),5),"K"&amp;RIGHT("00000"&amp;ROW(),5))))))</f>
        <v/>
      </c>
      <c r="O278" s="16" t="str">
        <f aca="false">IF(N278="","",COUNTIFS($N$2:$N$1201,"&lt;"&amp;N278,$F$2:$F$1201,"&gt;0")+1)</f>
        <v/>
      </c>
    </row>
    <row r="279" customFormat="false" ht="15" hidden="false" customHeight="false" outlineLevel="0" collapsed="false">
      <c r="A279" s="11" t="str">
        <f aca="false">IF(_LEITURA!$N279="","",INDEX(_LEITURA!$K$2:$K$1201,_LEITURA!$N279))</f>
        <v/>
      </c>
      <c r="B279" s="11" t="str">
        <f aca="false">IF(_LEITURA!$N279="","",INDEX(_LEITURA!$E$2:$E$1201,_LEITURA!$N279))</f>
        <v/>
      </c>
      <c r="C279" s="11" t="str">
        <f aca="false">IF(_LEITURA!$N279="","",INDEX(_LEITURA!$J$2:$J$1201,_LEITURA!$N279))</f>
        <v/>
      </c>
      <c r="D279" s="16" t="str">
        <f aca="false">IF(_LEITURA!$N279="","",INDEX(_LEITURA!$G$2:$G$1201,_LEITURA!$N279))</f>
        <v/>
      </c>
      <c r="E279" s="16" t="str">
        <f aca="false">IF(B279="","",SUMIFS(INVENTÁRIO!$C$2:$C$801,INVENTÁRIO!$A$2:$A$801,B279))</f>
        <v/>
      </c>
      <c r="F279" s="16" t="str">
        <f aca="false">IF(B279="","",MAX(0,D279-E279))</f>
        <v/>
      </c>
      <c r="G279" s="16" t="str">
        <f aca="false">IF(B279="","",IF(COUNTIFS($B$2:$B$1201,B279,$A$2:$A$1201,"&lt;&gt;"&amp;A279)&gt;0,"Sim",""))</f>
        <v/>
      </c>
      <c r="H279" s="16" t="str">
        <f aca="false">IF(N(F279)&gt;0,MAX(H$1:H278)+1,"")</f>
        <v/>
      </c>
      <c r="I279" s="11" t="str">
        <f aca="false">IF(B279="","",IF(INDEX($C$2:$C$1201,MATCH(B279,$B$2:$B$1201,0))&lt;&gt;C279,"Nome diferente em outro deck — revisar",""))</f>
        <v/>
      </c>
      <c r="J279" s="16" t="str">
        <f aca="false">IF(AND(B279&lt;&gt;"",A279=BULK!$A$1,N(F279)&gt;0),MAX(J$1:J278)+1,"")</f>
        <v/>
      </c>
      <c r="K279" s="11" t="str">
        <f aca="false">IF(B279="","",IFERROR(LEFT(B279,FIND("-",B279)-1),B279))</f>
        <v/>
      </c>
      <c r="L279" s="11" t="str">
        <f aca="false">IF(K279="","",IF(ISNUMBER(--MID(K279,1,1)),0,IF(ISNUMBER(--MID(K279,2,1)),1,IF(ISNUMBER(--MID(K279,3,1)),2,IF(ISNUMBER(--MID(K279,4,1)),3,MIN(LEN(K279),4))))))</f>
        <v/>
      </c>
      <c r="M279" s="11" t="str">
        <f aca="false">IF(B279="","",LEFT(K279,L279)&amp;REPT("0",4-L279)&amp;RIGHT("000"&amp;IFERROR(VALUE(MID(K279,L279+1,9)),0),3)&amp;RIGHT("0000"&amp;IFERROR(VALUE(MID(B279,FIND("-",B279)+1,9)),0),4))</f>
        <v/>
      </c>
      <c r="N279" s="11" t="str">
        <f aca="false">IF(OR(B279="",N(F279)&lt;=0),"",IF('FALTAS POR DECK'!$P$1="Código","K"&amp;M279&amp;RIGHT("00000"&amp;ROW(),5),IF('FALTAS POR DECK'!$P$1="Nome","K"&amp;UPPER(SUBSTITUTE(SUBSTITUTE(SUBSTITUTE(C279,"*",""),"?",""),"~",""))&amp;"0"&amp;M279&amp;RIGHT("00000"&amp;ROW(),5),IF('FALTAS POR DECK'!$P$1="Falta (maior primeiro)","K"&amp;RIGHT("0000"&amp;(9999-F279),4)&amp;M279&amp;RIGHT("00000"&amp;ROW(),5),IF('FALTAS POR DECK'!$P$1="Deck e código","K"&amp;RIGHT("00"&amp;IFERROR(MATCH(A279,_LEITURA!$P$2:$P$21,0),99),2)&amp;M279&amp;RIGHT("00000"&amp;ROW(),5),"K"&amp;RIGHT("00000"&amp;ROW(),5))))))</f>
        <v/>
      </c>
      <c r="O279" s="16" t="str">
        <f aca="false">IF(N279="","",COUNTIFS($N$2:$N$1201,"&lt;"&amp;N279,$F$2:$F$1201,"&gt;0")+1)</f>
        <v/>
      </c>
    </row>
    <row r="280" customFormat="false" ht="15" hidden="false" customHeight="false" outlineLevel="0" collapsed="false">
      <c r="A280" s="11" t="str">
        <f aca="false">IF(_LEITURA!$N280="","",INDEX(_LEITURA!$K$2:$K$1201,_LEITURA!$N280))</f>
        <v/>
      </c>
      <c r="B280" s="11" t="str">
        <f aca="false">IF(_LEITURA!$N280="","",INDEX(_LEITURA!$E$2:$E$1201,_LEITURA!$N280))</f>
        <v/>
      </c>
      <c r="C280" s="11" t="str">
        <f aca="false">IF(_LEITURA!$N280="","",INDEX(_LEITURA!$J$2:$J$1201,_LEITURA!$N280))</f>
        <v/>
      </c>
      <c r="D280" s="16" t="str">
        <f aca="false">IF(_LEITURA!$N280="","",INDEX(_LEITURA!$G$2:$G$1201,_LEITURA!$N280))</f>
        <v/>
      </c>
      <c r="E280" s="16" t="str">
        <f aca="false">IF(B280="","",SUMIFS(INVENTÁRIO!$C$2:$C$801,INVENTÁRIO!$A$2:$A$801,B280))</f>
        <v/>
      </c>
      <c r="F280" s="16" t="str">
        <f aca="false">IF(B280="","",MAX(0,D280-E280))</f>
        <v/>
      </c>
      <c r="G280" s="16" t="str">
        <f aca="false">IF(B280="","",IF(COUNTIFS($B$2:$B$1201,B280,$A$2:$A$1201,"&lt;&gt;"&amp;A280)&gt;0,"Sim",""))</f>
        <v/>
      </c>
      <c r="H280" s="16" t="str">
        <f aca="false">IF(N(F280)&gt;0,MAX(H$1:H279)+1,"")</f>
        <v/>
      </c>
      <c r="I280" s="11" t="str">
        <f aca="false">IF(B280="","",IF(INDEX($C$2:$C$1201,MATCH(B280,$B$2:$B$1201,0))&lt;&gt;C280,"Nome diferente em outro deck — revisar",""))</f>
        <v/>
      </c>
      <c r="J280" s="16" t="str">
        <f aca="false">IF(AND(B280&lt;&gt;"",A280=BULK!$A$1,N(F280)&gt;0),MAX(J$1:J279)+1,"")</f>
        <v/>
      </c>
      <c r="K280" s="11" t="str">
        <f aca="false">IF(B280="","",IFERROR(LEFT(B280,FIND("-",B280)-1),B280))</f>
        <v/>
      </c>
      <c r="L280" s="11" t="str">
        <f aca="false">IF(K280="","",IF(ISNUMBER(--MID(K280,1,1)),0,IF(ISNUMBER(--MID(K280,2,1)),1,IF(ISNUMBER(--MID(K280,3,1)),2,IF(ISNUMBER(--MID(K280,4,1)),3,MIN(LEN(K280),4))))))</f>
        <v/>
      </c>
      <c r="M280" s="11" t="str">
        <f aca="false">IF(B280="","",LEFT(K280,L280)&amp;REPT("0",4-L280)&amp;RIGHT("000"&amp;IFERROR(VALUE(MID(K280,L280+1,9)),0),3)&amp;RIGHT("0000"&amp;IFERROR(VALUE(MID(B280,FIND("-",B280)+1,9)),0),4))</f>
        <v/>
      </c>
      <c r="N280" s="11" t="str">
        <f aca="false">IF(OR(B280="",N(F280)&lt;=0),"",IF('FALTAS POR DECK'!$P$1="Código","K"&amp;M280&amp;RIGHT("00000"&amp;ROW(),5),IF('FALTAS POR DECK'!$P$1="Nome","K"&amp;UPPER(SUBSTITUTE(SUBSTITUTE(SUBSTITUTE(C280,"*",""),"?",""),"~",""))&amp;"0"&amp;M280&amp;RIGHT("00000"&amp;ROW(),5),IF('FALTAS POR DECK'!$P$1="Falta (maior primeiro)","K"&amp;RIGHT("0000"&amp;(9999-F280),4)&amp;M280&amp;RIGHT("00000"&amp;ROW(),5),IF('FALTAS POR DECK'!$P$1="Deck e código","K"&amp;RIGHT("00"&amp;IFERROR(MATCH(A280,_LEITURA!$P$2:$P$21,0),99),2)&amp;M280&amp;RIGHT("00000"&amp;ROW(),5),"K"&amp;RIGHT("00000"&amp;ROW(),5))))))</f>
        <v/>
      </c>
      <c r="O280" s="16" t="str">
        <f aca="false">IF(N280="","",COUNTIFS($N$2:$N$1201,"&lt;"&amp;N280,$F$2:$F$1201,"&gt;0")+1)</f>
        <v/>
      </c>
    </row>
    <row r="281" customFormat="false" ht="15" hidden="false" customHeight="false" outlineLevel="0" collapsed="false">
      <c r="A281" s="11" t="str">
        <f aca="false">IF(_LEITURA!$N281="","",INDEX(_LEITURA!$K$2:$K$1201,_LEITURA!$N281))</f>
        <v/>
      </c>
      <c r="B281" s="11" t="str">
        <f aca="false">IF(_LEITURA!$N281="","",INDEX(_LEITURA!$E$2:$E$1201,_LEITURA!$N281))</f>
        <v/>
      </c>
      <c r="C281" s="11" t="str">
        <f aca="false">IF(_LEITURA!$N281="","",INDEX(_LEITURA!$J$2:$J$1201,_LEITURA!$N281))</f>
        <v/>
      </c>
      <c r="D281" s="16" t="str">
        <f aca="false">IF(_LEITURA!$N281="","",INDEX(_LEITURA!$G$2:$G$1201,_LEITURA!$N281))</f>
        <v/>
      </c>
      <c r="E281" s="16" t="str">
        <f aca="false">IF(B281="","",SUMIFS(INVENTÁRIO!$C$2:$C$801,INVENTÁRIO!$A$2:$A$801,B281))</f>
        <v/>
      </c>
      <c r="F281" s="16" t="str">
        <f aca="false">IF(B281="","",MAX(0,D281-E281))</f>
        <v/>
      </c>
      <c r="G281" s="16" t="str">
        <f aca="false">IF(B281="","",IF(COUNTIFS($B$2:$B$1201,B281,$A$2:$A$1201,"&lt;&gt;"&amp;A281)&gt;0,"Sim",""))</f>
        <v/>
      </c>
      <c r="H281" s="16" t="str">
        <f aca="false">IF(N(F281)&gt;0,MAX(H$1:H280)+1,"")</f>
        <v/>
      </c>
      <c r="I281" s="11" t="str">
        <f aca="false">IF(B281="","",IF(INDEX($C$2:$C$1201,MATCH(B281,$B$2:$B$1201,0))&lt;&gt;C281,"Nome diferente em outro deck — revisar",""))</f>
        <v/>
      </c>
      <c r="J281" s="16" t="str">
        <f aca="false">IF(AND(B281&lt;&gt;"",A281=BULK!$A$1,N(F281)&gt;0),MAX(J$1:J280)+1,"")</f>
        <v/>
      </c>
      <c r="K281" s="11" t="str">
        <f aca="false">IF(B281="","",IFERROR(LEFT(B281,FIND("-",B281)-1),B281))</f>
        <v/>
      </c>
      <c r="L281" s="11" t="str">
        <f aca="false">IF(K281="","",IF(ISNUMBER(--MID(K281,1,1)),0,IF(ISNUMBER(--MID(K281,2,1)),1,IF(ISNUMBER(--MID(K281,3,1)),2,IF(ISNUMBER(--MID(K281,4,1)),3,MIN(LEN(K281),4))))))</f>
        <v/>
      </c>
      <c r="M281" s="11" t="str">
        <f aca="false">IF(B281="","",LEFT(K281,L281)&amp;REPT("0",4-L281)&amp;RIGHT("000"&amp;IFERROR(VALUE(MID(K281,L281+1,9)),0),3)&amp;RIGHT("0000"&amp;IFERROR(VALUE(MID(B281,FIND("-",B281)+1,9)),0),4))</f>
        <v/>
      </c>
      <c r="N281" s="11" t="str">
        <f aca="false">IF(OR(B281="",N(F281)&lt;=0),"",IF('FALTAS POR DECK'!$P$1="Código","K"&amp;M281&amp;RIGHT("00000"&amp;ROW(),5),IF('FALTAS POR DECK'!$P$1="Nome","K"&amp;UPPER(SUBSTITUTE(SUBSTITUTE(SUBSTITUTE(C281,"*",""),"?",""),"~",""))&amp;"0"&amp;M281&amp;RIGHT("00000"&amp;ROW(),5),IF('FALTAS POR DECK'!$P$1="Falta (maior primeiro)","K"&amp;RIGHT("0000"&amp;(9999-F281),4)&amp;M281&amp;RIGHT("00000"&amp;ROW(),5),IF('FALTAS POR DECK'!$P$1="Deck e código","K"&amp;RIGHT("00"&amp;IFERROR(MATCH(A281,_LEITURA!$P$2:$P$21,0),99),2)&amp;M281&amp;RIGHT("00000"&amp;ROW(),5),"K"&amp;RIGHT("00000"&amp;ROW(),5))))))</f>
        <v/>
      </c>
      <c r="O281" s="16" t="str">
        <f aca="false">IF(N281="","",COUNTIFS($N$2:$N$1201,"&lt;"&amp;N281,$F$2:$F$1201,"&gt;0")+1)</f>
        <v/>
      </c>
    </row>
    <row r="282" customFormat="false" ht="15" hidden="false" customHeight="false" outlineLevel="0" collapsed="false">
      <c r="A282" s="11" t="str">
        <f aca="false">IF(_LEITURA!$N282="","",INDEX(_LEITURA!$K$2:$K$1201,_LEITURA!$N282))</f>
        <v/>
      </c>
      <c r="B282" s="11" t="str">
        <f aca="false">IF(_LEITURA!$N282="","",INDEX(_LEITURA!$E$2:$E$1201,_LEITURA!$N282))</f>
        <v/>
      </c>
      <c r="C282" s="11" t="str">
        <f aca="false">IF(_LEITURA!$N282="","",INDEX(_LEITURA!$J$2:$J$1201,_LEITURA!$N282))</f>
        <v/>
      </c>
      <c r="D282" s="16" t="str">
        <f aca="false">IF(_LEITURA!$N282="","",INDEX(_LEITURA!$G$2:$G$1201,_LEITURA!$N282))</f>
        <v/>
      </c>
      <c r="E282" s="16" t="str">
        <f aca="false">IF(B282="","",SUMIFS(INVENTÁRIO!$C$2:$C$801,INVENTÁRIO!$A$2:$A$801,B282))</f>
        <v/>
      </c>
      <c r="F282" s="16" t="str">
        <f aca="false">IF(B282="","",MAX(0,D282-E282))</f>
        <v/>
      </c>
      <c r="G282" s="16" t="str">
        <f aca="false">IF(B282="","",IF(COUNTIFS($B$2:$B$1201,B282,$A$2:$A$1201,"&lt;&gt;"&amp;A282)&gt;0,"Sim",""))</f>
        <v/>
      </c>
      <c r="H282" s="16" t="str">
        <f aca="false">IF(N(F282)&gt;0,MAX(H$1:H281)+1,"")</f>
        <v/>
      </c>
      <c r="I282" s="11" t="str">
        <f aca="false">IF(B282="","",IF(INDEX($C$2:$C$1201,MATCH(B282,$B$2:$B$1201,0))&lt;&gt;C282,"Nome diferente em outro deck — revisar",""))</f>
        <v/>
      </c>
      <c r="J282" s="16" t="str">
        <f aca="false">IF(AND(B282&lt;&gt;"",A282=BULK!$A$1,N(F282)&gt;0),MAX(J$1:J281)+1,"")</f>
        <v/>
      </c>
      <c r="K282" s="11" t="str">
        <f aca="false">IF(B282="","",IFERROR(LEFT(B282,FIND("-",B282)-1),B282))</f>
        <v/>
      </c>
      <c r="L282" s="11" t="str">
        <f aca="false">IF(K282="","",IF(ISNUMBER(--MID(K282,1,1)),0,IF(ISNUMBER(--MID(K282,2,1)),1,IF(ISNUMBER(--MID(K282,3,1)),2,IF(ISNUMBER(--MID(K282,4,1)),3,MIN(LEN(K282),4))))))</f>
        <v/>
      </c>
      <c r="M282" s="11" t="str">
        <f aca="false">IF(B282="","",LEFT(K282,L282)&amp;REPT("0",4-L282)&amp;RIGHT("000"&amp;IFERROR(VALUE(MID(K282,L282+1,9)),0),3)&amp;RIGHT("0000"&amp;IFERROR(VALUE(MID(B282,FIND("-",B282)+1,9)),0),4))</f>
        <v/>
      </c>
      <c r="N282" s="11" t="str">
        <f aca="false">IF(OR(B282="",N(F282)&lt;=0),"",IF('FALTAS POR DECK'!$P$1="Código","K"&amp;M282&amp;RIGHT("00000"&amp;ROW(),5),IF('FALTAS POR DECK'!$P$1="Nome","K"&amp;UPPER(SUBSTITUTE(SUBSTITUTE(SUBSTITUTE(C282,"*",""),"?",""),"~",""))&amp;"0"&amp;M282&amp;RIGHT("00000"&amp;ROW(),5),IF('FALTAS POR DECK'!$P$1="Falta (maior primeiro)","K"&amp;RIGHT("0000"&amp;(9999-F282),4)&amp;M282&amp;RIGHT("00000"&amp;ROW(),5),IF('FALTAS POR DECK'!$P$1="Deck e código","K"&amp;RIGHT("00"&amp;IFERROR(MATCH(A282,_LEITURA!$P$2:$P$21,0),99),2)&amp;M282&amp;RIGHT("00000"&amp;ROW(),5),"K"&amp;RIGHT("00000"&amp;ROW(),5))))))</f>
        <v/>
      </c>
      <c r="O282" s="16" t="str">
        <f aca="false">IF(N282="","",COUNTIFS($N$2:$N$1201,"&lt;"&amp;N282,$F$2:$F$1201,"&gt;0")+1)</f>
        <v/>
      </c>
    </row>
    <row r="283" customFormat="false" ht="15" hidden="false" customHeight="false" outlineLevel="0" collapsed="false">
      <c r="A283" s="11" t="str">
        <f aca="false">IF(_LEITURA!$N283="","",INDEX(_LEITURA!$K$2:$K$1201,_LEITURA!$N283))</f>
        <v/>
      </c>
      <c r="B283" s="11" t="str">
        <f aca="false">IF(_LEITURA!$N283="","",INDEX(_LEITURA!$E$2:$E$1201,_LEITURA!$N283))</f>
        <v/>
      </c>
      <c r="C283" s="11" t="str">
        <f aca="false">IF(_LEITURA!$N283="","",INDEX(_LEITURA!$J$2:$J$1201,_LEITURA!$N283))</f>
        <v/>
      </c>
      <c r="D283" s="16" t="str">
        <f aca="false">IF(_LEITURA!$N283="","",INDEX(_LEITURA!$G$2:$G$1201,_LEITURA!$N283))</f>
        <v/>
      </c>
      <c r="E283" s="16" t="str">
        <f aca="false">IF(B283="","",SUMIFS(INVENTÁRIO!$C$2:$C$801,INVENTÁRIO!$A$2:$A$801,B283))</f>
        <v/>
      </c>
      <c r="F283" s="16" t="str">
        <f aca="false">IF(B283="","",MAX(0,D283-E283))</f>
        <v/>
      </c>
      <c r="G283" s="16" t="str">
        <f aca="false">IF(B283="","",IF(COUNTIFS($B$2:$B$1201,B283,$A$2:$A$1201,"&lt;&gt;"&amp;A283)&gt;0,"Sim",""))</f>
        <v/>
      </c>
      <c r="H283" s="16" t="str">
        <f aca="false">IF(N(F283)&gt;0,MAX(H$1:H282)+1,"")</f>
        <v/>
      </c>
      <c r="I283" s="11" t="str">
        <f aca="false">IF(B283="","",IF(INDEX($C$2:$C$1201,MATCH(B283,$B$2:$B$1201,0))&lt;&gt;C283,"Nome diferente em outro deck — revisar",""))</f>
        <v/>
      </c>
      <c r="J283" s="16" t="str">
        <f aca="false">IF(AND(B283&lt;&gt;"",A283=BULK!$A$1,N(F283)&gt;0),MAX(J$1:J282)+1,"")</f>
        <v/>
      </c>
      <c r="K283" s="11" t="str">
        <f aca="false">IF(B283="","",IFERROR(LEFT(B283,FIND("-",B283)-1),B283))</f>
        <v/>
      </c>
      <c r="L283" s="11" t="str">
        <f aca="false">IF(K283="","",IF(ISNUMBER(--MID(K283,1,1)),0,IF(ISNUMBER(--MID(K283,2,1)),1,IF(ISNUMBER(--MID(K283,3,1)),2,IF(ISNUMBER(--MID(K283,4,1)),3,MIN(LEN(K283),4))))))</f>
        <v/>
      </c>
      <c r="M283" s="11" t="str">
        <f aca="false">IF(B283="","",LEFT(K283,L283)&amp;REPT("0",4-L283)&amp;RIGHT("000"&amp;IFERROR(VALUE(MID(K283,L283+1,9)),0),3)&amp;RIGHT("0000"&amp;IFERROR(VALUE(MID(B283,FIND("-",B283)+1,9)),0),4))</f>
        <v/>
      </c>
      <c r="N283" s="11" t="str">
        <f aca="false">IF(OR(B283="",N(F283)&lt;=0),"",IF('FALTAS POR DECK'!$P$1="Código","K"&amp;M283&amp;RIGHT("00000"&amp;ROW(),5),IF('FALTAS POR DECK'!$P$1="Nome","K"&amp;UPPER(SUBSTITUTE(SUBSTITUTE(SUBSTITUTE(C283,"*",""),"?",""),"~",""))&amp;"0"&amp;M283&amp;RIGHT("00000"&amp;ROW(),5),IF('FALTAS POR DECK'!$P$1="Falta (maior primeiro)","K"&amp;RIGHT("0000"&amp;(9999-F283),4)&amp;M283&amp;RIGHT("00000"&amp;ROW(),5),IF('FALTAS POR DECK'!$P$1="Deck e código","K"&amp;RIGHT("00"&amp;IFERROR(MATCH(A283,_LEITURA!$P$2:$P$21,0),99),2)&amp;M283&amp;RIGHT("00000"&amp;ROW(),5),"K"&amp;RIGHT("00000"&amp;ROW(),5))))))</f>
        <v/>
      </c>
      <c r="O283" s="16" t="str">
        <f aca="false">IF(N283="","",COUNTIFS($N$2:$N$1201,"&lt;"&amp;N283,$F$2:$F$1201,"&gt;0")+1)</f>
        <v/>
      </c>
    </row>
    <row r="284" customFormat="false" ht="15" hidden="false" customHeight="false" outlineLevel="0" collapsed="false">
      <c r="A284" s="11" t="str">
        <f aca="false">IF(_LEITURA!$N284="","",INDEX(_LEITURA!$K$2:$K$1201,_LEITURA!$N284))</f>
        <v/>
      </c>
      <c r="B284" s="11" t="str">
        <f aca="false">IF(_LEITURA!$N284="","",INDEX(_LEITURA!$E$2:$E$1201,_LEITURA!$N284))</f>
        <v/>
      </c>
      <c r="C284" s="11" t="str">
        <f aca="false">IF(_LEITURA!$N284="","",INDEX(_LEITURA!$J$2:$J$1201,_LEITURA!$N284))</f>
        <v/>
      </c>
      <c r="D284" s="16" t="str">
        <f aca="false">IF(_LEITURA!$N284="","",INDEX(_LEITURA!$G$2:$G$1201,_LEITURA!$N284))</f>
        <v/>
      </c>
      <c r="E284" s="16" t="str">
        <f aca="false">IF(B284="","",SUMIFS(INVENTÁRIO!$C$2:$C$801,INVENTÁRIO!$A$2:$A$801,B284))</f>
        <v/>
      </c>
      <c r="F284" s="16" t="str">
        <f aca="false">IF(B284="","",MAX(0,D284-E284))</f>
        <v/>
      </c>
      <c r="G284" s="16" t="str">
        <f aca="false">IF(B284="","",IF(COUNTIFS($B$2:$B$1201,B284,$A$2:$A$1201,"&lt;&gt;"&amp;A284)&gt;0,"Sim",""))</f>
        <v/>
      </c>
      <c r="H284" s="16" t="str">
        <f aca="false">IF(N(F284)&gt;0,MAX(H$1:H283)+1,"")</f>
        <v/>
      </c>
      <c r="I284" s="11" t="str">
        <f aca="false">IF(B284="","",IF(INDEX($C$2:$C$1201,MATCH(B284,$B$2:$B$1201,0))&lt;&gt;C284,"Nome diferente em outro deck — revisar",""))</f>
        <v/>
      </c>
      <c r="J284" s="16" t="str">
        <f aca="false">IF(AND(B284&lt;&gt;"",A284=BULK!$A$1,N(F284)&gt;0),MAX(J$1:J283)+1,"")</f>
        <v/>
      </c>
      <c r="K284" s="11" t="str">
        <f aca="false">IF(B284="","",IFERROR(LEFT(B284,FIND("-",B284)-1),B284))</f>
        <v/>
      </c>
      <c r="L284" s="11" t="str">
        <f aca="false">IF(K284="","",IF(ISNUMBER(--MID(K284,1,1)),0,IF(ISNUMBER(--MID(K284,2,1)),1,IF(ISNUMBER(--MID(K284,3,1)),2,IF(ISNUMBER(--MID(K284,4,1)),3,MIN(LEN(K284),4))))))</f>
        <v/>
      </c>
      <c r="M284" s="11" t="str">
        <f aca="false">IF(B284="","",LEFT(K284,L284)&amp;REPT("0",4-L284)&amp;RIGHT("000"&amp;IFERROR(VALUE(MID(K284,L284+1,9)),0),3)&amp;RIGHT("0000"&amp;IFERROR(VALUE(MID(B284,FIND("-",B284)+1,9)),0),4))</f>
        <v/>
      </c>
      <c r="N284" s="11" t="str">
        <f aca="false">IF(OR(B284="",N(F284)&lt;=0),"",IF('FALTAS POR DECK'!$P$1="Código","K"&amp;M284&amp;RIGHT("00000"&amp;ROW(),5),IF('FALTAS POR DECK'!$P$1="Nome","K"&amp;UPPER(SUBSTITUTE(SUBSTITUTE(SUBSTITUTE(C284,"*",""),"?",""),"~",""))&amp;"0"&amp;M284&amp;RIGHT("00000"&amp;ROW(),5),IF('FALTAS POR DECK'!$P$1="Falta (maior primeiro)","K"&amp;RIGHT("0000"&amp;(9999-F284),4)&amp;M284&amp;RIGHT("00000"&amp;ROW(),5),IF('FALTAS POR DECK'!$P$1="Deck e código","K"&amp;RIGHT("00"&amp;IFERROR(MATCH(A284,_LEITURA!$P$2:$P$21,0),99),2)&amp;M284&amp;RIGHT("00000"&amp;ROW(),5),"K"&amp;RIGHT("00000"&amp;ROW(),5))))))</f>
        <v/>
      </c>
      <c r="O284" s="16" t="str">
        <f aca="false">IF(N284="","",COUNTIFS($N$2:$N$1201,"&lt;"&amp;N284,$F$2:$F$1201,"&gt;0")+1)</f>
        <v/>
      </c>
    </row>
    <row r="285" customFormat="false" ht="15" hidden="false" customHeight="false" outlineLevel="0" collapsed="false">
      <c r="A285" s="11" t="str">
        <f aca="false">IF(_LEITURA!$N285="","",INDEX(_LEITURA!$K$2:$K$1201,_LEITURA!$N285))</f>
        <v/>
      </c>
      <c r="B285" s="11" t="str">
        <f aca="false">IF(_LEITURA!$N285="","",INDEX(_LEITURA!$E$2:$E$1201,_LEITURA!$N285))</f>
        <v/>
      </c>
      <c r="C285" s="11" t="str">
        <f aca="false">IF(_LEITURA!$N285="","",INDEX(_LEITURA!$J$2:$J$1201,_LEITURA!$N285))</f>
        <v/>
      </c>
      <c r="D285" s="16" t="str">
        <f aca="false">IF(_LEITURA!$N285="","",INDEX(_LEITURA!$G$2:$G$1201,_LEITURA!$N285))</f>
        <v/>
      </c>
      <c r="E285" s="16" t="str">
        <f aca="false">IF(B285="","",SUMIFS(INVENTÁRIO!$C$2:$C$801,INVENTÁRIO!$A$2:$A$801,B285))</f>
        <v/>
      </c>
      <c r="F285" s="16" t="str">
        <f aca="false">IF(B285="","",MAX(0,D285-E285))</f>
        <v/>
      </c>
      <c r="G285" s="16" t="str">
        <f aca="false">IF(B285="","",IF(COUNTIFS($B$2:$B$1201,B285,$A$2:$A$1201,"&lt;&gt;"&amp;A285)&gt;0,"Sim",""))</f>
        <v/>
      </c>
      <c r="H285" s="16" t="str">
        <f aca="false">IF(N(F285)&gt;0,MAX(H$1:H284)+1,"")</f>
        <v/>
      </c>
      <c r="I285" s="11" t="str">
        <f aca="false">IF(B285="","",IF(INDEX($C$2:$C$1201,MATCH(B285,$B$2:$B$1201,0))&lt;&gt;C285,"Nome diferente em outro deck — revisar",""))</f>
        <v/>
      </c>
      <c r="J285" s="16" t="str">
        <f aca="false">IF(AND(B285&lt;&gt;"",A285=BULK!$A$1,N(F285)&gt;0),MAX(J$1:J284)+1,"")</f>
        <v/>
      </c>
      <c r="K285" s="11" t="str">
        <f aca="false">IF(B285="","",IFERROR(LEFT(B285,FIND("-",B285)-1),B285))</f>
        <v/>
      </c>
      <c r="L285" s="11" t="str">
        <f aca="false">IF(K285="","",IF(ISNUMBER(--MID(K285,1,1)),0,IF(ISNUMBER(--MID(K285,2,1)),1,IF(ISNUMBER(--MID(K285,3,1)),2,IF(ISNUMBER(--MID(K285,4,1)),3,MIN(LEN(K285),4))))))</f>
        <v/>
      </c>
      <c r="M285" s="11" t="str">
        <f aca="false">IF(B285="","",LEFT(K285,L285)&amp;REPT("0",4-L285)&amp;RIGHT("000"&amp;IFERROR(VALUE(MID(K285,L285+1,9)),0),3)&amp;RIGHT("0000"&amp;IFERROR(VALUE(MID(B285,FIND("-",B285)+1,9)),0),4))</f>
        <v/>
      </c>
      <c r="N285" s="11" t="str">
        <f aca="false">IF(OR(B285="",N(F285)&lt;=0),"",IF('FALTAS POR DECK'!$P$1="Código","K"&amp;M285&amp;RIGHT("00000"&amp;ROW(),5),IF('FALTAS POR DECK'!$P$1="Nome","K"&amp;UPPER(SUBSTITUTE(SUBSTITUTE(SUBSTITUTE(C285,"*",""),"?",""),"~",""))&amp;"0"&amp;M285&amp;RIGHT("00000"&amp;ROW(),5),IF('FALTAS POR DECK'!$P$1="Falta (maior primeiro)","K"&amp;RIGHT("0000"&amp;(9999-F285),4)&amp;M285&amp;RIGHT("00000"&amp;ROW(),5),IF('FALTAS POR DECK'!$P$1="Deck e código","K"&amp;RIGHT("00"&amp;IFERROR(MATCH(A285,_LEITURA!$P$2:$P$21,0),99),2)&amp;M285&amp;RIGHT("00000"&amp;ROW(),5),"K"&amp;RIGHT("00000"&amp;ROW(),5))))))</f>
        <v/>
      </c>
      <c r="O285" s="16" t="str">
        <f aca="false">IF(N285="","",COUNTIFS($N$2:$N$1201,"&lt;"&amp;N285,$F$2:$F$1201,"&gt;0")+1)</f>
        <v/>
      </c>
    </row>
    <row r="286" customFormat="false" ht="15" hidden="false" customHeight="false" outlineLevel="0" collapsed="false">
      <c r="A286" s="11" t="str">
        <f aca="false">IF(_LEITURA!$N286="","",INDEX(_LEITURA!$K$2:$K$1201,_LEITURA!$N286))</f>
        <v/>
      </c>
      <c r="B286" s="11" t="str">
        <f aca="false">IF(_LEITURA!$N286="","",INDEX(_LEITURA!$E$2:$E$1201,_LEITURA!$N286))</f>
        <v/>
      </c>
      <c r="C286" s="11" t="str">
        <f aca="false">IF(_LEITURA!$N286="","",INDEX(_LEITURA!$J$2:$J$1201,_LEITURA!$N286))</f>
        <v/>
      </c>
      <c r="D286" s="16" t="str">
        <f aca="false">IF(_LEITURA!$N286="","",INDEX(_LEITURA!$G$2:$G$1201,_LEITURA!$N286))</f>
        <v/>
      </c>
      <c r="E286" s="16" t="str">
        <f aca="false">IF(B286="","",SUMIFS(INVENTÁRIO!$C$2:$C$801,INVENTÁRIO!$A$2:$A$801,B286))</f>
        <v/>
      </c>
      <c r="F286" s="16" t="str">
        <f aca="false">IF(B286="","",MAX(0,D286-E286))</f>
        <v/>
      </c>
      <c r="G286" s="16" t="str">
        <f aca="false">IF(B286="","",IF(COUNTIFS($B$2:$B$1201,B286,$A$2:$A$1201,"&lt;&gt;"&amp;A286)&gt;0,"Sim",""))</f>
        <v/>
      </c>
      <c r="H286" s="16" t="str">
        <f aca="false">IF(N(F286)&gt;0,MAX(H$1:H285)+1,"")</f>
        <v/>
      </c>
      <c r="I286" s="11" t="str">
        <f aca="false">IF(B286="","",IF(INDEX($C$2:$C$1201,MATCH(B286,$B$2:$B$1201,0))&lt;&gt;C286,"Nome diferente em outro deck — revisar",""))</f>
        <v/>
      </c>
      <c r="J286" s="16" t="str">
        <f aca="false">IF(AND(B286&lt;&gt;"",A286=BULK!$A$1,N(F286)&gt;0),MAX(J$1:J285)+1,"")</f>
        <v/>
      </c>
      <c r="K286" s="11" t="str">
        <f aca="false">IF(B286="","",IFERROR(LEFT(B286,FIND("-",B286)-1),B286))</f>
        <v/>
      </c>
      <c r="L286" s="11" t="str">
        <f aca="false">IF(K286="","",IF(ISNUMBER(--MID(K286,1,1)),0,IF(ISNUMBER(--MID(K286,2,1)),1,IF(ISNUMBER(--MID(K286,3,1)),2,IF(ISNUMBER(--MID(K286,4,1)),3,MIN(LEN(K286),4))))))</f>
        <v/>
      </c>
      <c r="M286" s="11" t="str">
        <f aca="false">IF(B286="","",LEFT(K286,L286)&amp;REPT("0",4-L286)&amp;RIGHT("000"&amp;IFERROR(VALUE(MID(K286,L286+1,9)),0),3)&amp;RIGHT("0000"&amp;IFERROR(VALUE(MID(B286,FIND("-",B286)+1,9)),0),4))</f>
        <v/>
      </c>
      <c r="N286" s="11" t="str">
        <f aca="false">IF(OR(B286="",N(F286)&lt;=0),"",IF('FALTAS POR DECK'!$P$1="Código","K"&amp;M286&amp;RIGHT("00000"&amp;ROW(),5),IF('FALTAS POR DECK'!$P$1="Nome","K"&amp;UPPER(SUBSTITUTE(SUBSTITUTE(SUBSTITUTE(C286,"*",""),"?",""),"~",""))&amp;"0"&amp;M286&amp;RIGHT("00000"&amp;ROW(),5),IF('FALTAS POR DECK'!$P$1="Falta (maior primeiro)","K"&amp;RIGHT("0000"&amp;(9999-F286),4)&amp;M286&amp;RIGHT("00000"&amp;ROW(),5),IF('FALTAS POR DECK'!$P$1="Deck e código","K"&amp;RIGHT("00"&amp;IFERROR(MATCH(A286,_LEITURA!$P$2:$P$21,0),99),2)&amp;M286&amp;RIGHT("00000"&amp;ROW(),5),"K"&amp;RIGHT("00000"&amp;ROW(),5))))))</f>
        <v/>
      </c>
      <c r="O286" s="16" t="str">
        <f aca="false">IF(N286="","",COUNTIFS($N$2:$N$1201,"&lt;"&amp;N286,$F$2:$F$1201,"&gt;0")+1)</f>
        <v/>
      </c>
    </row>
    <row r="287" customFormat="false" ht="15" hidden="false" customHeight="false" outlineLevel="0" collapsed="false">
      <c r="A287" s="11" t="str">
        <f aca="false">IF(_LEITURA!$N287="","",INDEX(_LEITURA!$K$2:$K$1201,_LEITURA!$N287))</f>
        <v/>
      </c>
      <c r="B287" s="11" t="str">
        <f aca="false">IF(_LEITURA!$N287="","",INDEX(_LEITURA!$E$2:$E$1201,_LEITURA!$N287))</f>
        <v/>
      </c>
      <c r="C287" s="11" t="str">
        <f aca="false">IF(_LEITURA!$N287="","",INDEX(_LEITURA!$J$2:$J$1201,_LEITURA!$N287))</f>
        <v/>
      </c>
      <c r="D287" s="16" t="str">
        <f aca="false">IF(_LEITURA!$N287="","",INDEX(_LEITURA!$G$2:$G$1201,_LEITURA!$N287))</f>
        <v/>
      </c>
      <c r="E287" s="16" t="str">
        <f aca="false">IF(B287="","",SUMIFS(INVENTÁRIO!$C$2:$C$801,INVENTÁRIO!$A$2:$A$801,B287))</f>
        <v/>
      </c>
      <c r="F287" s="16" t="str">
        <f aca="false">IF(B287="","",MAX(0,D287-E287))</f>
        <v/>
      </c>
      <c r="G287" s="16" t="str">
        <f aca="false">IF(B287="","",IF(COUNTIFS($B$2:$B$1201,B287,$A$2:$A$1201,"&lt;&gt;"&amp;A287)&gt;0,"Sim",""))</f>
        <v/>
      </c>
      <c r="H287" s="16" t="str">
        <f aca="false">IF(N(F287)&gt;0,MAX(H$1:H286)+1,"")</f>
        <v/>
      </c>
      <c r="I287" s="11" t="str">
        <f aca="false">IF(B287="","",IF(INDEX($C$2:$C$1201,MATCH(B287,$B$2:$B$1201,0))&lt;&gt;C287,"Nome diferente em outro deck — revisar",""))</f>
        <v/>
      </c>
      <c r="J287" s="16" t="str">
        <f aca="false">IF(AND(B287&lt;&gt;"",A287=BULK!$A$1,N(F287)&gt;0),MAX(J$1:J286)+1,"")</f>
        <v/>
      </c>
      <c r="K287" s="11" t="str">
        <f aca="false">IF(B287="","",IFERROR(LEFT(B287,FIND("-",B287)-1),B287))</f>
        <v/>
      </c>
      <c r="L287" s="11" t="str">
        <f aca="false">IF(K287="","",IF(ISNUMBER(--MID(K287,1,1)),0,IF(ISNUMBER(--MID(K287,2,1)),1,IF(ISNUMBER(--MID(K287,3,1)),2,IF(ISNUMBER(--MID(K287,4,1)),3,MIN(LEN(K287),4))))))</f>
        <v/>
      </c>
      <c r="M287" s="11" t="str">
        <f aca="false">IF(B287="","",LEFT(K287,L287)&amp;REPT("0",4-L287)&amp;RIGHT("000"&amp;IFERROR(VALUE(MID(K287,L287+1,9)),0),3)&amp;RIGHT("0000"&amp;IFERROR(VALUE(MID(B287,FIND("-",B287)+1,9)),0),4))</f>
        <v/>
      </c>
      <c r="N287" s="11" t="str">
        <f aca="false">IF(OR(B287="",N(F287)&lt;=0),"",IF('FALTAS POR DECK'!$P$1="Código","K"&amp;M287&amp;RIGHT("00000"&amp;ROW(),5),IF('FALTAS POR DECK'!$P$1="Nome","K"&amp;UPPER(SUBSTITUTE(SUBSTITUTE(SUBSTITUTE(C287,"*",""),"?",""),"~",""))&amp;"0"&amp;M287&amp;RIGHT("00000"&amp;ROW(),5),IF('FALTAS POR DECK'!$P$1="Falta (maior primeiro)","K"&amp;RIGHT("0000"&amp;(9999-F287),4)&amp;M287&amp;RIGHT("00000"&amp;ROW(),5),IF('FALTAS POR DECK'!$P$1="Deck e código","K"&amp;RIGHT("00"&amp;IFERROR(MATCH(A287,_LEITURA!$P$2:$P$21,0),99),2)&amp;M287&amp;RIGHT("00000"&amp;ROW(),5),"K"&amp;RIGHT("00000"&amp;ROW(),5))))))</f>
        <v/>
      </c>
      <c r="O287" s="16" t="str">
        <f aca="false">IF(N287="","",COUNTIFS($N$2:$N$1201,"&lt;"&amp;N287,$F$2:$F$1201,"&gt;0")+1)</f>
        <v/>
      </c>
    </row>
    <row r="288" customFormat="false" ht="15" hidden="false" customHeight="false" outlineLevel="0" collapsed="false">
      <c r="A288" s="11" t="str">
        <f aca="false">IF(_LEITURA!$N288="","",INDEX(_LEITURA!$K$2:$K$1201,_LEITURA!$N288))</f>
        <v/>
      </c>
      <c r="B288" s="11" t="str">
        <f aca="false">IF(_LEITURA!$N288="","",INDEX(_LEITURA!$E$2:$E$1201,_LEITURA!$N288))</f>
        <v/>
      </c>
      <c r="C288" s="11" t="str">
        <f aca="false">IF(_LEITURA!$N288="","",INDEX(_LEITURA!$J$2:$J$1201,_LEITURA!$N288))</f>
        <v/>
      </c>
      <c r="D288" s="16" t="str">
        <f aca="false">IF(_LEITURA!$N288="","",INDEX(_LEITURA!$G$2:$G$1201,_LEITURA!$N288))</f>
        <v/>
      </c>
      <c r="E288" s="16" t="str">
        <f aca="false">IF(B288="","",SUMIFS(INVENTÁRIO!$C$2:$C$801,INVENTÁRIO!$A$2:$A$801,B288))</f>
        <v/>
      </c>
      <c r="F288" s="16" t="str">
        <f aca="false">IF(B288="","",MAX(0,D288-E288))</f>
        <v/>
      </c>
      <c r="G288" s="16" t="str">
        <f aca="false">IF(B288="","",IF(COUNTIFS($B$2:$B$1201,B288,$A$2:$A$1201,"&lt;&gt;"&amp;A288)&gt;0,"Sim",""))</f>
        <v/>
      </c>
      <c r="H288" s="16" t="str">
        <f aca="false">IF(N(F288)&gt;0,MAX(H$1:H287)+1,"")</f>
        <v/>
      </c>
      <c r="I288" s="11" t="str">
        <f aca="false">IF(B288="","",IF(INDEX($C$2:$C$1201,MATCH(B288,$B$2:$B$1201,0))&lt;&gt;C288,"Nome diferente em outro deck — revisar",""))</f>
        <v/>
      </c>
      <c r="J288" s="16" t="str">
        <f aca="false">IF(AND(B288&lt;&gt;"",A288=BULK!$A$1,N(F288)&gt;0),MAX(J$1:J287)+1,"")</f>
        <v/>
      </c>
      <c r="K288" s="11" t="str">
        <f aca="false">IF(B288="","",IFERROR(LEFT(B288,FIND("-",B288)-1),B288))</f>
        <v/>
      </c>
      <c r="L288" s="11" t="str">
        <f aca="false">IF(K288="","",IF(ISNUMBER(--MID(K288,1,1)),0,IF(ISNUMBER(--MID(K288,2,1)),1,IF(ISNUMBER(--MID(K288,3,1)),2,IF(ISNUMBER(--MID(K288,4,1)),3,MIN(LEN(K288),4))))))</f>
        <v/>
      </c>
      <c r="M288" s="11" t="str">
        <f aca="false">IF(B288="","",LEFT(K288,L288)&amp;REPT("0",4-L288)&amp;RIGHT("000"&amp;IFERROR(VALUE(MID(K288,L288+1,9)),0),3)&amp;RIGHT("0000"&amp;IFERROR(VALUE(MID(B288,FIND("-",B288)+1,9)),0),4))</f>
        <v/>
      </c>
      <c r="N288" s="11" t="str">
        <f aca="false">IF(OR(B288="",N(F288)&lt;=0),"",IF('FALTAS POR DECK'!$P$1="Código","K"&amp;M288&amp;RIGHT("00000"&amp;ROW(),5),IF('FALTAS POR DECK'!$P$1="Nome","K"&amp;UPPER(SUBSTITUTE(SUBSTITUTE(SUBSTITUTE(C288,"*",""),"?",""),"~",""))&amp;"0"&amp;M288&amp;RIGHT("00000"&amp;ROW(),5),IF('FALTAS POR DECK'!$P$1="Falta (maior primeiro)","K"&amp;RIGHT("0000"&amp;(9999-F288),4)&amp;M288&amp;RIGHT("00000"&amp;ROW(),5),IF('FALTAS POR DECK'!$P$1="Deck e código","K"&amp;RIGHT("00"&amp;IFERROR(MATCH(A288,_LEITURA!$P$2:$P$21,0),99),2)&amp;M288&amp;RIGHT("00000"&amp;ROW(),5),"K"&amp;RIGHT("00000"&amp;ROW(),5))))))</f>
        <v/>
      </c>
      <c r="O288" s="16" t="str">
        <f aca="false">IF(N288="","",COUNTIFS($N$2:$N$1201,"&lt;"&amp;N288,$F$2:$F$1201,"&gt;0")+1)</f>
        <v/>
      </c>
    </row>
    <row r="289" customFormat="false" ht="15" hidden="false" customHeight="false" outlineLevel="0" collapsed="false">
      <c r="A289" s="11" t="str">
        <f aca="false">IF(_LEITURA!$N289="","",INDEX(_LEITURA!$K$2:$K$1201,_LEITURA!$N289))</f>
        <v/>
      </c>
      <c r="B289" s="11" t="str">
        <f aca="false">IF(_LEITURA!$N289="","",INDEX(_LEITURA!$E$2:$E$1201,_LEITURA!$N289))</f>
        <v/>
      </c>
      <c r="C289" s="11" t="str">
        <f aca="false">IF(_LEITURA!$N289="","",INDEX(_LEITURA!$J$2:$J$1201,_LEITURA!$N289))</f>
        <v/>
      </c>
      <c r="D289" s="16" t="str">
        <f aca="false">IF(_LEITURA!$N289="","",INDEX(_LEITURA!$G$2:$G$1201,_LEITURA!$N289))</f>
        <v/>
      </c>
      <c r="E289" s="16" t="str">
        <f aca="false">IF(B289="","",SUMIFS(INVENTÁRIO!$C$2:$C$801,INVENTÁRIO!$A$2:$A$801,B289))</f>
        <v/>
      </c>
      <c r="F289" s="16" t="str">
        <f aca="false">IF(B289="","",MAX(0,D289-E289))</f>
        <v/>
      </c>
      <c r="G289" s="16" t="str">
        <f aca="false">IF(B289="","",IF(COUNTIFS($B$2:$B$1201,B289,$A$2:$A$1201,"&lt;&gt;"&amp;A289)&gt;0,"Sim",""))</f>
        <v/>
      </c>
      <c r="H289" s="16" t="str">
        <f aca="false">IF(N(F289)&gt;0,MAX(H$1:H288)+1,"")</f>
        <v/>
      </c>
      <c r="I289" s="11" t="str">
        <f aca="false">IF(B289="","",IF(INDEX($C$2:$C$1201,MATCH(B289,$B$2:$B$1201,0))&lt;&gt;C289,"Nome diferente em outro deck — revisar",""))</f>
        <v/>
      </c>
      <c r="J289" s="16" t="str">
        <f aca="false">IF(AND(B289&lt;&gt;"",A289=BULK!$A$1,N(F289)&gt;0),MAX(J$1:J288)+1,"")</f>
        <v/>
      </c>
      <c r="K289" s="11" t="str">
        <f aca="false">IF(B289="","",IFERROR(LEFT(B289,FIND("-",B289)-1),B289))</f>
        <v/>
      </c>
      <c r="L289" s="11" t="str">
        <f aca="false">IF(K289="","",IF(ISNUMBER(--MID(K289,1,1)),0,IF(ISNUMBER(--MID(K289,2,1)),1,IF(ISNUMBER(--MID(K289,3,1)),2,IF(ISNUMBER(--MID(K289,4,1)),3,MIN(LEN(K289),4))))))</f>
        <v/>
      </c>
      <c r="M289" s="11" t="str">
        <f aca="false">IF(B289="","",LEFT(K289,L289)&amp;REPT("0",4-L289)&amp;RIGHT("000"&amp;IFERROR(VALUE(MID(K289,L289+1,9)),0),3)&amp;RIGHT("0000"&amp;IFERROR(VALUE(MID(B289,FIND("-",B289)+1,9)),0),4))</f>
        <v/>
      </c>
      <c r="N289" s="11" t="str">
        <f aca="false">IF(OR(B289="",N(F289)&lt;=0),"",IF('FALTAS POR DECK'!$P$1="Código","K"&amp;M289&amp;RIGHT("00000"&amp;ROW(),5),IF('FALTAS POR DECK'!$P$1="Nome","K"&amp;UPPER(SUBSTITUTE(SUBSTITUTE(SUBSTITUTE(C289,"*",""),"?",""),"~",""))&amp;"0"&amp;M289&amp;RIGHT("00000"&amp;ROW(),5),IF('FALTAS POR DECK'!$P$1="Falta (maior primeiro)","K"&amp;RIGHT("0000"&amp;(9999-F289),4)&amp;M289&amp;RIGHT("00000"&amp;ROW(),5),IF('FALTAS POR DECK'!$P$1="Deck e código","K"&amp;RIGHT("00"&amp;IFERROR(MATCH(A289,_LEITURA!$P$2:$P$21,0),99),2)&amp;M289&amp;RIGHT("00000"&amp;ROW(),5),"K"&amp;RIGHT("00000"&amp;ROW(),5))))))</f>
        <v/>
      </c>
      <c r="O289" s="16" t="str">
        <f aca="false">IF(N289="","",COUNTIFS($N$2:$N$1201,"&lt;"&amp;N289,$F$2:$F$1201,"&gt;0")+1)</f>
        <v/>
      </c>
    </row>
    <row r="290" customFormat="false" ht="15" hidden="false" customHeight="false" outlineLevel="0" collapsed="false">
      <c r="A290" s="11" t="str">
        <f aca="false">IF(_LEITURA!$N290="","",INDEX(_LEITURA!$K$2:$K$1201,_LEITURA!$N290))</f>
        <v/>
      </c>
      <c r="B290" s="11" t="str">
        <f aca="false">IF(_LEITURA!$N290="","",INDEX(_LEITURA!$E$2:$E$1201,_LEITURA!$N290))</f>
        <v/>
      </c>
      <c r="C290" s="11" t="str">
        <f aca="false">IF(_LEITURA!$N290="","",INDEX(_LEITURA!$J$2:$J$1201,_LEITURA!$N290))</f>
        <v/>
      </c>
      <c r="D290" s="16" t="str">
        <f aca="false">IF(_LEITURA!$N290="","",INDEX(_LEITURA!$G$2:$G$1201,_LEITURA!$N290))</f>
        <v/>
      </c>
      <c r="E290" s="16" t="str">
        <f aca="false">IF(B290="","",SUMIFS(INVENTÁRIO!$C$2:$C$801,INVENTÁRIO!$A$2:$A$801,B290))</f>
        <v/>
      </c>
      <c r="F290" s="16" t="str">
        <f aca="false">IF(B290="","",MAX(0,D290-E290))</f>
        <v/>
      </c>
      <c r="G290" s="16" t="str">
        <f aca="false">IF(B290="","",IF(COUNTIFS($B$2:$B$1201,B290,$A$2:$A$1201,"&lt;&gt;"&amp;A290)&gt;0,"Sim",""))</f>
        <v/>
      </c>
      <c r="H290" s="16" t="str">
        <f aca="false">IF(N(F290)&gt;0,MAX(H$1:H289)+1,"")</f>
        <v/>
      </c>
      <c r="I290" s="11" t="str">
        <f aca="false">IF(B290="","",IF(INDEX($C$2:$C$1201,MATCH(B290,$B$2:$B$1201,0))&lt;&gt;C290,"Nome diferente em outro deck — revisar",""))</f>
        <v/>
      </c>
      <c r="J290" s="16" t="str">
        <f aca="false">IF(AND(B290&lt;&gt;"",A290=BULK!$A$1,N(F290)&gt;0),MAX(J$1:J289)+1,"")</f>
        <v/>
      </c>
      <c r="K290" s="11" t="str">
        <f aca="false">IF(B290="","",IFERROR(LEFT(B290,FIND("-",B290)-1),B290))</f>
        <v/>
      </c>
      <c r="L290" s="11" t="str">
        <f aca="false">IF(K290="","",IF(ISNUMBER(--MID(K290,1,1)),0,IF(ISNUMBER(--MID(K290,2,1)),1,IF(ISNUMBER(--MID(K290,3,1)),2,IF(ISNUMBER(--MID(K290,4,1)),3,MIN(LEN(K290),4))))))</f>
        <v/>
      </c>
      <c r="M290" s="11" t="str">
        <f aca="false">IF(B290="","",LEFT(K290,L290)&amp;REPT("0",4-L290)&amp;RIGHT("000"&amp;IFERROR(VALUE(MID(K290,L290+1,9)),0),3)&amp;RIGHT("0000"&amp;IFERROR(VALUE(MID(B290,FIND("-",B290)+1,9)),0),4))</f>
        <v/>
      </c>
      <c r="N290" s="11" t="str">
        <f aca="false">IF(OR(B290="",N(F290)&lt;=0),"",IF('FALTAS POR DECK'!$P$1="Código","K"&amp;M290&amp;RIGHT("00000"&amp;ROW(),5),IF('FALTAS POR DECK'!$P$1="Nome","K"&amp;UPPER(SUBSTITUTE(SUBSTITUTE(SUBSTITUTE(C290,"*",""),"?",""),"~",""))&amp;"0"&amp;M290&amp;RIGHT("00000"&amp;ROW(),5),IF('FALTAS POR DECK'!$P$1="Falta (maior primeiro)","K"&amp;RIGHT("0000"&amp;(9999-F290),4)&amp;M290&amp;RIGHT("00000"&amp;ROW(),5),IF('FALTAS POR DECK'!$P$1="Deck e código","K"&amp;RIGHT("00"&amp;IFERROR(MATCH(A290,_LEITURA!$P$2:$P$21,0),99),2)&amp;M290&amp;RIGHT("00000"&amp;ROW(),5),"K"&amp;RIGHT("00000"&amp;ROW(),5))))))</f>
        <v/>
      </c>
      <c r="O290" s="16" t="str">
        <f aca="false">IF(N290="","",COUNTIFS($N$2:$N$1201,"&lt;"&amp;N290,$F$2:$F$1201,"&gt;0")+1)</f>
        <v/>
      </c>
    </row>
    <row r="291" customFormat="false" ht="15" hidden="false" customHeight="false" outlineLevel="0" collapsed="false">
      <c r="A291" s="11" t="str">
        <f aca="false">IF(_LEITURA!$N291="","",INDEX(_LEITURA!$K$2:$K$1201,_LEITURA!$N291))</f>
        <v/>
      </c>
      <c r="B291" s="11" t="str">
        <f aca="false">IF(_LEITURA!$N291="","",INDEX(_LEITURA!$E$2:$E$1201,_LEITURA!$N291))</f>
        <v/>
      </c>
      <c r="C291" s="11" t="str">
        <f aca="false">IF(_LEITURA!$N291="","",INDEX(_LEITURA!$J$2:$J$1201,_LEITURA!$N291))</f>
        <v/>
      </c>
      <c r="D291" s="16" t="str">
        <f aca="false">IF(_LEITURA!$N291="","",INDEX(_LEITURA!$G$2:$G$1201,_LEITURA!$N291))</f>
        <v/>
      </c>
      <c r="E291" s="16" t="str">
        <f aca="false">IF(B291="","",SUMIFS(INVENTÁRIO!$C$2:$C$801,INVENTÁRIO!$A$2:$A$801,B291))</f>
        <v/>
      </c>
      <c r="F291" s="16" t="str">
        <f aca="false">IF(B291="","",MAX(0,D291-E291))</f>
        <v/>
      </c>
      <c r="G291" s="16" t="str">
        <f aca="false">IF(B291="","",IF(COUNTIFS($B$2:$B$1201,B291,$A$2:$A$1201,"&lt;&gt;"&amp;A291)&gt;0,"Sim",""))</f>
        <v/>
      </c>
      <c r="H291" s="16" t="str">
        <f aca="false">IF(N(F291)&gt;0,MAX(H$1:H290)+1,"")</f>
        <v/>
      </c>
      <c r="I291" s="11" t="str">
        <f aca="false">IF(B291="","",IF(INDEX($C$2:$C$1201,MATCH(B291,$B$2:$B$1201,0))&lt;&gt;C291,"Nome diferente em outro deck — revisar",""))</f>
        <v/>
      </c>
      <c r="J291" s="16" t="str">
        <f aca="false">IF(AND(B291&lt;&gt;"",A291=BULK!$A$1,N(F291)&gt;0),MAX(J$1:J290)+1,"")</f>
        <v/>
      </c>
      <c r="K291" s="11" t="str">
        <f aca="false">IF(B291="","",IFERROR(LEFT(B291,FIND("-",B291)-1),B291))</f>
        <v/>
      </c>
      <c r="L291" s="11" t="str">
        <f aca="false">IF(K291="","",IF(ISNUMBER(--MID(K291,1,1)),0,IF(ISNUMBER(--MID(K291,2,1)),1,IF(ISNUMBER(--MID(K291,3,1)),2,IF(ISNUMBER(--MID(K291,4,1)),3,MIN(LEN(K291),4))))))</f>
        <v/>
      </c>
      <c r="M291" s="11" t="str">
        <f aca="false">IF(B291="","",LEFT(K291,L291)&amp;REPT("0",4-L291)&amp;RIGHT("000"&amp;IFERROR(VALUE(MID(K291,L291+1,9)),0),3)&amp;RIGHT("0000"&amp;IFERROR(VALUE(MID(B291,FIND("-",B291)+1,9)),0),4))</f>
        <v/>
      </c>
      <c r="N291" s="11" t="str">
        <f aca="false">IF(OR(B291="",N(F291)&lt;=0),"",IF('FALTAS POR DECK'!$P$1="Código","K"&amp;M291&amp;RIGHT("00000"&amp;ROW(),5),IF('FALTAS POR DECK'!$P$1="Nome","K"&amp;UPPER(SUBSTITUTE(SUBSTITUTE(SUBSTITUTE(C291,"*",""),"?",""),"~",""))&amp;"0"&amp;M291&amp;RIGHT("00000"&amp;ROW(),5),IF('FALTAS POR DECK'!$P$1="Falta (maior primeiro)","K"&amp;RIGHT("0000"&amp;(9999-F291),4)&amp;M291&amp;RIGHT("00000"&amp;ROW(),5),IF('FALTAS POR DECK'!$P$1="Deck e código","K"&amp;RIGHT("00"&amp;IFERROR(MATCH(A291,_LEITURA!$P$2:$P$21,0),99),2)&amp;M291&amp;RIGHT("00000"&amp;ROW(),5),"K"&amp;RIGHT("00000"&amp;ROW(),5))))))</f>
        <v/>
      </c>
      <c r="O291" s="16" t="str">
        <f aca="false">IF(N291="","",COUNTIFS($N$2:$N$1201,"&lt;"&amp;N291,$F$2:$F$1201,"&gt;0")+1)</f>
        <v/>
      </c>
    </row>
    <row r="292" customFormat="false" ht="15" hidden="false" customHeight="false" outlineLevel="0" collapsed="false">
      <c r="A292" s="11" t="str">
        <f aca="false">IF(_LEITURA!$N292="","",INDEX(_LEITURA!$K$2:$K$1201,_LEITURA!$N292))</f>
        <v/>
      </c>
      <c r="B292" s="11" t="str">
        <f aca="false">IF(_LEITURA!$N292="","",INDEX(_LEITURA!$E$2:$E$1201,_LEITURA!$N292))</f>
        <v/>
      </c>
      <c r="C292" s="11" t="str">
        <f aca="false">IF(_LEITURA!$N292="","",INDEX(_LEITURA!$J$2:$J$1201,_LEITURA!$N292))</f>
        <v/>
      </c>
      <c r="D292" s="16" t="str">
        <f aca="false">IF(_LEITURA!$N292="","",INDEX(_LEITURA!$G$2:$G$1201,_LEITURA!$N292))</f>
        <v/>
      </c>
      <c r="E292" s="16" t="str">
        <f aca="false">IF(B292="","",SUMIFS(INVENTÁRIO!$C$2:$C$801,INVENTÁRIO!$A$2:$A$801,B292))</f>
        <v/>
      </c>
      <c r="F292" s="16" t="str">
        <f aca="false">IF(B292="","",MAX(0,D292-E292))</f>
        <v/>
      </c>
      <c r="G292" s="16" t="str">
        <f aca="false">IF(B292="","",IF(COUNTIFS($B$2:$B$1201,B292,$A$2:$A$1201,"&lt;&gt;"&amp;A292)&gt;0,"Sim",""))</f>
        <v/>
      </c>
      <c r="H292" s="16" t="str">
        <f aca="false">IF(N(F292)&gt;0,MAX(H$1:H291)+1,"")</f>
        <v/>
      </c>
      <c r="I292" s="11" t="str">
        <f aca="false">IF(B292="","",IF(INDEX($C$2:$C$1201,MATCH(B292,$B$2:$B$1201,0))&lt;&gt;C292,"Nome diferente em outro deck — revisar",""))</f>
        <v/>
      </c>
      <c r="J292" s="16" t="str">
        <f aca="false">IF(AND(B292&lt;&gt;"",A292=BULK!$A$1,N(F292)&gt;0),MAX(J$1:J291)+1,"")</f>
        <v/>
      </c>
      <c r="K292" s="11" t="str">
        <f aca="false">IF(B292="","",IFERROR(LEFT(B292,FIND("-",B292)-1),B292))</f>
        <v/>
      </c>
      <c r="L292" s="11" t="str">
        <f aca="false">IF(K292="","",IF(ISNUMBER(--MID(K292,1,1)),0,IF(ISNUMBER(--MID(K292,2,1)),1,IF(ISNUMBER(--MID(K292,3,1)),2,IF(ISNUMBER(--MID(K292,4,1)),3,MIN(LEN(K292),4))))))</f>
        <v/>
      </c>
      <c r="M292" s="11" t="str">
        <f aca="false">IF(B292="","",LEFT(K292,L292)&amp;REPT("0",4-L292)&amp;RIGHT("000"&amp;IFERROR(VALUE(MID(K292,L292+1,9)),0),3)&amp;RIGHT("0000"&amp;IFERROR(VALUE(MID(B292,FIND("-",B292)+1,9)),0),4))</f>
        <v/>
      </c>
      <c r="N292" s="11" t="str">
        <f aca="false">IF(OR(B292="",N(F292)&lt;=0),"",IF('FALTAS POR DECK'!$P$1="Código","K"&amp;M292&amp;RIGHT("00000"&amp;ROW(),5),IF('FALTAS POR DECK'!$P$1="Nome","K"&amp;UPPER(SUBSTITUTE(SUBSTITUTE(SUBSTITUTE(C292,"*",""),"?",""),"~",""))&amp;"0"&amp;M292&amp;RIGHT("00000"&amp;ROW(),5),IF('FALTAS POR DECK'!$P$1="Falta (maior primeiro)","K"&amp;RIGHT("0000"&amp;(9999-F292),4)&amp;M292&amp;RIGHT("00000"&amp;ROW(),5),IF('FALTAS POR DECK'!$P$1="Deck e código","K"&amp;RIGHT("00"&amp;IFERROR(MATCH(A292,_LEITURA!$P$2:$P$21,0),99),2)&amp;M292&amp;RIGHT("00000"&amp;ROW(),5),"K"&amp;RIGHT("00000"&amp;ROW(),5))))))</f>
        <v/>
      </c>
      <c r="O292" s="16" t="str">
        <f aca="false">IF(N292="","",COUNTIFS($N$2:$N$1201,"&lt;"&amp;N292,$F$2:$F$1201,"&gt;0")+1)</f>
        <v/>
      </c>
    </row>
    <row r="293" customFormat="false" ht="15" hidden="false" customHeight="false" outlineLevel="0" collapsed="false">
      <c r="A293" s="11" t="str">
        <f aca="false">IF(_LEITURA!$N293="","",INDEX(_LEITURA!$K$2:$K$1201,_LEITURA!$N293))</f>
        <v/>
      </c>
      <c r="B293" s="11" t="str">
        <f aca="false">IF(_LEITURA!$N293="","",INDEX(_LEITURA!$E$2:$E$1201,_LEITURA!$N293))</f>
        <v/>
      </c>
      <c r="C293" s="11" t="str">
        <f aca="false">IF(_LEITURA!$N293="","",INDEX(_LEITURA!$J$2:$J$1201,_LEITURA!$N293))</f>
        <v/>
      </c>
      <c r="D293" s="16" t="str">
        <f aca="false">IF(_LEITURA!$N293="","",INDEX(_LEITURA!$G$2:$G$1201,_LEITURA!$N293))</f>
        <v/>
      </c>
      <c r="E293" s="16" t="str">
        <f aca="false">IF(B293="","",SUMIFS(INVENTÁRIO!$C$2:$C$801,INVENTÁRIO!$A$2:$A$801,B293))</f>
        <v/>
      </c>
      <c r="F293" s="16" t="str">
        <f aca="false">IF(B293="","",MAX(0,D293-E293))</f>
        <v/>
      </c>
      <c r="G293" s="16" t="str">
        <f aca="false">IF(B293="","",IF(COUNTIFS($B$2:$B$1201,B293,$A$2:$A$1201,"&lt;&gt;"&amp;A293)&gt;0,"Sim",""))</f>
        <v/>
      </c>
      <c r="H293" s="16" t="str">
        <f aca="false">IF(N(F293)&gt;0,MAX(H$1:H292)+1,"")</f>
        <v/>
      </c>
      <c r="I293" s="11" t="str">
        <f aca="false">IF(B293="","",IF(INDEX($C$2:$C$1201,MATCH(B293,$B$2:$B$1201,0))&lt;&gt;C293,"Nome diferente em outro deck — revisar",""))</f>
        <v/>
      </c>
      <c r="J293" s="16" t="str">
        <f aca="false">IF(AND(B293&lt;&gt;"",A293=BULK!$A$1,N(F293)&gt;0),MAX(J$1:J292)+1,"")</f>
        <v/>
      </c>
      <c r="K293" s="11" t="str">
        <f aca="false">IF(B293="","",IFERROR(LEFT(B293,FIND("-",B293)-1),B293))</f>
        <v/>
      </c>
      <c r="L293" s="11" t="str">
        <f aca="false">IF(K293="","",IF(ISNUMBER(--MID(K293,1,1)),0,IF(ISNUMBER(--MID(K293,2,1)),1,IF(ISNUMBER(--MID(K293,3,1)),2,IF(ISNUMBER(--MID(K293,4,1)),3,MIN(LEN(K293),4))))))</f>
        <v/>
      </c>
      <c r="M293" s="11" t="str">
        <f aca="false">IF(B293="","",LEFT(K293,L293)&amp;REPT("0",4-L293)&amp;RIGHT("000"&amp;IFERROR(VALUE(MID(K293,L293+1,9)),0),3)&amp;RIGHT("0000"&amp;IFERROR(VALUE(MID(B293,FIND("-",B293)+1,9)),0),4))</f>
        <v/>
      </c>
      <c r="N293" s="11" t="str">
        <f aca="false">IF(OR(B293="",N(F293)&lt;=0),"",IF('FALTAS POR DECK'!$P$1="Código","K"&amp;M293&amp;RIGHT("00000"&amp;ROW(),5),IF('FALTAS POR DECK'!$P$1="Nome","K"&amp;UPPER(SUBSTITUTE(SUBSTITUTE(SUBSTITUTE(C293,"*",""),"?",""),"~",""))&amp;"0"&amp;M293&amp;RIGHT("00000"&amp;ROW(),5),IF('FALTAS POR DECK'!$P$1="Falta (maior primeiro)","K"&amp;RIGHT("0000"&amp;(9999-F293),4)&amp;M293&amp;RIGHT("00000"&amp;ROW(),5),IF('FALTAS POR DECK'!$P$1="Deck e código","K"&amp;RIGHT("00"&amp;IFERROR(MATCH(A293,_LEITURA!$P$2:$P$21,0),99),2)&amp;M293&amp;RIGHT("00000"&amp;ROW(),5),"K"&amp;RIGHT("00000"&amp;ROW(),5))))))</f>
        <v/>
      </c>
      <c r="O293" s="16" t="str">
        <f aca="false">IF(N293="","",COUNTIFS($N$2:$N$1201,"&lt;"&amp;N293,$F$2:$F$1201,"&gt;0")+1)</f>
        <v/>
      </c>
    </row>
    <row r="294" customFormat="false" ht="15" hidden="false" customHeight="false" outlineLevel="0" collapsed="false">
      <c r="A294" s="11" t="str">
        <f aca="false">IF(_LEITURA!$N294="","",INDEX(_LEITURA!$K$2:$K$1201,_LEITURA!$N294))</f>
        <v/>
      </c>
      <c r="B294" s="11" t="str">
        <f aca="false">IF(_LEITURA!$N294="","",INDEX(_LEITURA!$E$2:$E$1201,_LEITURA!$N294))</f>
        <v/>
      </c>
      <c r="C294" s="11" t="str">
        <f aca="false">IF(_LEITURA!$N294="","",INDEX(_LEITURA!$J$2:$J$1201,_LEITURA!$N294))</f>
        <v/>
      </c>
      <c r="D294" s="16" t="str">
        <f aca="false">IF(_LEITURA!$N294="","",INDEX(_LEITURA!$G$2:$G$1201,_LEITURA!$N294))</f>
        <v/>
      </c>
      <c r="E294" s="16" t="str">
        <f aca="false">IF(B294="","",SUMIFS(INVENTÁRIO!$C$2:$C$801,INVENTÁRIO!$A$2:$A$801,B294))</f>
        <v/>
      </c>
      <c r="F294" s="16" t="str">
        <f aca="false">IF(B294="","",MAX(0,D294-E294))</f>
        <v/>
      </c>
      <c r="G294" s="16" t="str">
        <f aca="false">IF(B294="","",IF(COUNTIFS($B$2:$B$1201,B294,$A$2:$A$1201,"&lt;&gt;"&amp;A294)&gt;0,"Sim",""))</f>
        <v/>
      </c>
      <c r="H294" s="16" t="str">
        <f aca="false">IF(N(F294)&gt;0,MAX(H$1:H293)+1,"")</f>
        <v/>
      </c>
      <c r="I294" s="11" t="str">
        <f aca="false">IF(B294="","",IF(INDEX($C$2:$C$1201,MATCH(B294,$B$2:$B$1201,0))&lt;&gt;C294,"Nome diferente em outro deck — revisar",""))</f>
        <v/>
      </c>
      <c r="J294" s="16" t="str">
        <f aca="false">IF(AND(B294&lt;&gt;"",A294=BULK!$A$1,N(F294)&gt;0),MAX(J$1:J293)+1,"")</f>
        <v/>
      </c>
      <c r="K294" s="11" t="str">
        <f aca="false">IF(B294="","",IFERROR(LEFT(B294,FIND("-",B294)-1),B294))</f>
        <v/>
      </c>
      <c r="L294" s="11" t="str">
        <f aca="false">IF(K294="","",IF(ISNUMBER(--MID(K294,1,1)),0,IF(ISNUMBER(--MID(K294,2,1)),1,IF(ISNUMBER(--MID(K294,3,1)),2,IF(ISNUMBER(--MID(K294,4,1)),3,MIN(LEN(K294),4))))))</f>
        <v/>
      </c>
      <c r="M294" s="11" t="str">
        <f aca="false">IF(B294="","",LEFT(K294,L294)&amp;REPT("0",4-L294)&amp;RIGHT("000"&amp;IFERROR(VALUE(MID(K294,L294+1,9)),0),3)&amp;RIGHT("0000"&amp;IFERROR(VALUE(MID(B294,FIND("-",B294)+1,9)),0),4))</f>
        <v/>
      </c>
      <c r="N294" s="11" t="str">
        <f aca="false">IF(OR(B294="",N(F294)&lt;=0),"",IF('FALTAS POR DECK'!$P$1="Código","K"&amp;M294&amp;RIGHT("00000"&amp;ROW(),5),IF('FALTAS POR DECK'!$P$1="Nome","K"&amp;UPPER(SUBSTITUTE(SUBSTITUTE(SUBSTITUTE(C294,"*",""),"?",""),"~",""))&amp;"0"&amp;M294&amp;RIGHT("00000"&amp;ROW(),5),IF('FALTAS POR DECK'!$P$1="Falta (maior primeiro)","K"&amp;RIGHT("0000"&amp;(9999-F294),4)&amp;M294&amp;RIGHT("00000"&amp;ROW(),5),IF('FALTAS POR DECK'!$P$1="Deck e código","K"&amp;RIGHT("00"&amp;IFERROR(MATCH(A294,_LEITURA!$P$2:$P$21,0),99),2)&amp;M294&amp;RIGHT("00000"&amp;ROW(),5),"K"&amp;RIGHT("00000"&amp;ROW(),5))))))</f>
        <v/>
      </c>
      <c r="O294" s="16" t="str">
        <f aca="false">IF(N294="","",COUNTIFS($N$2:$N$1201,"&lt;"&amp;N294,$F$2:$F$1201,"&gt;0")+1)</f>
        <v/>
      </c>
    </row>
    <row r="295" customFormat="false" ht="15" hidden="false" customHeight="false" outlineLevel="0" collapsed="false">
      <c r="A295" s="11" t="str">
        <f aca="false">IF(_LEITURA!$N295="","",INDEX(_LEITURA!$K$2:$K$1201,_LEITURA!$N295))</f>
        <v/>
      </c>
      <c r="B295" s="11" t="str">
        <f aca="false">IF(_LEITURA!$N295="","",INDEX(_LEITURA!$E$2:$E$1201,_LEITURA!$N295))</f>
        <v/>
      </c>
      <c r="C295" s="11" t="str">
        <f aca="false">IF(_LEITURA!$N295="","",INDEX(_LEITURA!$J$2:$J$1201,_LEITURA!$N295))</f>
        <v/>
      </c>
      <c r="D295" s="16" t="str">
        <f aca="false">IF(_LEITURA!$N295="","",INDEX(_LEITURA!$G$2:$G$1201,_LEITURA!$N295))</f>
        <v/>
      </c>
      <c r="E295" s="16" t="str">
        <f aca="false">IF(B295="","",SUMIFS(INVENTÁRIO!$C$2:$C$801,INVENTÁRIO!$A$2:$A$801,B295))</f>
        <v/>
      </c>
      <c r="F295" s="16" t="str">
        <f aca="false">IF(B295="","",MAX(0,D295-E295))</f>
        <v/>
      </c>
      <c r="G295" s="16" t="str">
        <f aca="false">IF(B295="","",IF(COUNTIFS($B$2:$B$1201,B295,$A$2:$A$1201,"&lt;&gt;"&amp;A295)&gt;0,"Sim",""))</f>
        <v/>
      </c>
      <c r="H295" s="16" t="str">
        <f aca="false">IF(N(F295)&gt;0,MAX(H$1:H294)+1,"")</f>
        <v/>
      </c>
      <c r="I295" s="11" t="str">
        <f aca="false">IF(B295="","",IF(INDEX($C$2:$C$1201,MATCH(B295,$B$2:$B$1201,0))&lt;&gt;C295,"Nome diferente em outro deck — revisar",""))</f>
        <v/>
      </c>
      <c r="J295" s="16" t="str">
        <f aca="false">IF(AND(B295&lt;&gt;"",A295=BULK!$A$1,N(F295)&gt;0),MAX(J$1:J294)+1,"")</f>
        <v/>
      </c>
      <c r="K295" s="11" t="str">
        <f aca="false">IF(B295="","",IFERROR(LEFT(B295,FIND("-",B295)-1),B295))</f>
        <v/>
      </c>
      <c r="L295" s="11" t="str">
        <f aca="false">IF(K295="","",IF(ISNUMBER(--MID(K295,1,1)),0,IF(ISNUMBER(--MID(K295,2,1)),1,IF(ISNUMBER(--MID(K295,3,1)),2,IF(ISNUMBER(--MID(K295,4,1)),3,MIN(LEN(K295),4))))))</f>
        <v/>
      </c>
      <c r="M295" s="11" t="str">
        <f aca="false">IF(B295="","",LEFT(K295,L295)&amp;REPT("0",4-L295)&amp;RIGHT("000"&amp;IFERROR(VALUE(MID(K295,L295+1,9)),0),3)&amp;RIGHT("0000"&amp;IFERROR(VALUE(MID(B295,FIND("-",B295)+1,9)),0),4))</f>
        <v/>
      </c>
      <c r="N295" s="11" t="str">
        <f aca="false">IF(OR(B295="",N(F295)&lt;=0),"",IF('FALTAS POR DECK'!$P$1="Código","K"&amp;M295&amp;RIGHT("00000"&amp;ROW(),5),IF('FALTAS POR DECK'!$P$1="Nome","K"&amp;UPPER(SUBSTITUTE(SUBSTITUTE(SUBSTITUTE(C295,"*",""),"?",""),"~",""))&amp;"0"&amp;M295&amp;RIGHT("00000"&amp;ROW(),5),IF('FALTAS POR DECK'!$P$1="Falta (maior primeiro)","K"&amp;RIGHT("0000"&amp;(9999-F295),4)&amp;M295&amp;RIGHT("00000"&amp;ROW(),5),IF('FALTAS POR DECK'!$P$1="Deck e código","K"&amp;RIGHT("00"&amp;IFERROR(MATCH(A295,_LEITURA!$P$2:$P$21,0),99),2)&amp;M295&amp;RIGHT("00000"&amp;ROW(),5),"K"&amp;RIGHT("00000"&amp;ROW(),5))))))</f>
        <v/>
      </c>
      <c r="O295" s="16" t="str">
        <f aca="false">IF(N295="","",COUNTIFS($N$2:$N$1201,"&lt;"&amp;N295,$F$2:$F$1201,"&gt;0")+1)</f>
        <v/>
      </c>
    </row>
    <row r="296" customFormat="false" ht="15" hidden="false" customHeight="false" outlineLevel="0" collapsed="false">
      <c r="A296" s="11" t="str">
        <f aca="false">IF(_LEITURA!$N296="","",INDEX(_LEITURA!$K$2:$K$1201,_LEITURA!$N296))</f>
        <v/>
      </c>
      <c r="B296" s="11" t="str">
        <f aca="false">IF(_LEITURA!$N296="","",INDEX(_LEITURA!$E$2:$E$1201,_LEITURA!$N296))</f>
        <v/>
      </c>
      <c r="C296" s="11" t="str">
        <f aca="false">IF(_LEITURA!$N296="","",INDEX(_LEITURA!$J$2:$J$1201,_LEITURA!$N296))</f>
        <v/>
      </c>
      <c r="D296" s="16" t="str">
        <f aca="false">IF(_LEITURA!$N296="","",INDEX(_LEITURA!$G$2:$G$1201,_LEITURA!$N296))</f>
        <v/>
      </c>
      <c r="E296" s="16" t="str">
        <f aca="false">IF(B296="","",SUMIFS(INVENTÁRIO!$C$2:$C$801,INVENTÁRIO!$A$2:$A$801,B296))</f>
        <v/>
      </c>
      <c r="F296" s="16" t="str">
        <f aca="false">IF(B296="","",MAX(0,D296-E296))</f>
        <v/>
      </c>
      <c r="G296" s="16" t="str">
        <f aca="false">IF(B296="","",IF(COUNTIFS($B$2:$B$1201,B296,$A$2:$A$1201,"&lt;&gt;"&amp;A296)&gt;0,"Sim",""))</f>
        <v/>
      </c>
      <c r="H296" s="16" t="str">
        <f aca="false">IF(N(F296)&gt;0,MAX(H$1:H295)+1,"")</f>
        <v/>
      </c>
      <c r="I296" s="11" t="str">
        <f aca="false">IF(B296="","",IF(INDEX($C$2:$C$1201,MATCH(B296,$B$2:$B$1201,0))&lt;&gt;C296,"Nome diferente em outro deck — revisar",""))</f>
        <v/>
      </c>
      <c r="J296" s="16" t="str">
        <f aca="false">IF(AND(B296&lt;&gt;"",A296=BULK!$A$1,N(F296)&gt;0),MAX(J$1:J295)+1,"")</f>
        <v/>
      </c>
      <c r="K296" s="11" t="str">
        <f aca="false">IF(B296="","",IFERROR(LEFT(B296,FIND("-",B296)-1),B296))</f>
        <v/>
      </c>
      <c r="L296" s="11" t="str">
        <f aca="false">IF(K296="","",IF(ISNUMBER(--MID(K296,1,1)),0,IF(ISNUMBER(--MID(K296,2,1)),1,IF(ISNUMBER(--MID(K296,3,1)),2,IF(ISNUMBER(--MID(K296,4,1)),3,MIN(LEN(K296),4))))))</f>
        <v/>
      </c>
      <c r="M296" s="11" t="str">
        <f aca="false">IF(B296="","",LEFT(K296,L296)&amp;REPT("0",4-L296)&amp;RIGHT("000"&amp;IFERROR(VALUE(MID(K296,L296+1,9)),0),3)&amp;RIGHT("0000"&amp;IFERROR(VALUE(MID(B296,FIND("-",B296)+1,9)),0),4))</f>
        <v/>
      </c>
      <c r="N296" s="11" t="str">
        <f aca="false">IF(OR(B296="",N(F296)&lt;=0),"",IF('FALTAS POR DECK'!$P$1="Código","K"&amp;M296&amp;RIGHT("00000"&amp;ROW(),5),IF('FALTAS POR DECK'!$P$1="Nome","K"&amp;UPPER(SUBSTITUTE(SUBSTITUTE(SUBSTITUTE(C296,"*",""),"?",""),"~",""))&amp;"0"&amp;M296&amp;RIGHT("00000"&amp;ROW(),5),IF('FALTAS POR DECK'!$P$1="Falta (maior primeiro)","K"&amp;RIGHT("0000"&amp;(9999-F296),4)&amp;M296&amp;RIGHT("00000"&amp;ROW(),5),IF('FALTAS POR DECK'!$P$1="Deck e código","K"&amp;RIGHT("00"&amp;IFERROR(MATCH(A296,_LEITURA!$P$2:$P$21,0),99),2)&amp;M296&amp;RIGHT("00000"&amp;ROW(),5),"K"&amp;RIGHT("00000"&amp;ROW(),5))))))</f>
        <v/>
      </c>
      <c r="O296" s="16" t="str">
        <f aca="false">IF(N296="","",COUNTIFS($N$2:$N$1201,"&lt;"&amp;N296,$F$2:$F$1201,"&gt;0")+1)</f>
        <v/>
      </c>
    </row>
    <row r="297" customFormat="false" ht="15" hidden="false" customHeight="false" outlineLevel="0" collapsed="false">
      <c r="A297" s="11" t="str">
        <f aca="false">IF(_LEITURA!$N297="","",INDEX(_LEITURA!$K$2:$K$1201,_LEITURA!$N297))</f>
        <v/>
      </c>
      <c r="B297" s="11" t="str">
        <f aca="false">IF(_LEITURA!$N297="","",INDEX(_LEITURA!$E$2:$E$1201,_LEITURA!$N297))</f>
        <v/>
      </c>
      <c r="C297" s="11" t="str">
        <f aca="false">IF(_LEITURA!$N297="","",INDEX(_LEITURA!$J$2:$J$1201,_LEITURA!$N297))</f>
        <v/>
      </c>
      <c r="D297" s="16" t="str">
        <f aca="false">IF(_LEITURA!$N297="","",INDEX(_LEITURA!$G$2:$G$1201,_LEITURA!$N297))</f>
        <v/>
      </c>
      <c r="E297" s="16" t="str">
        <f aca="false">IF(B297="","",SUMIFS(INVENTÁRIO!$C$2:$C$801,INVENTÁRIO!$A$2:$A$801,B297))</f>
        <v/>
      </c>
      <c r="F297" s="16" t="str">
        <f aca="false">IF(B297="","",MAX(0,D297-E297))</f>
        <v/>
      </c>
      <c r="G297" s="16" t="str">
        <f aca="false">IF(B297="","",IF(COUNTIFS($B$2:$B$1201,B297,$A$2:$A$1201,"&lt;&gt;"&amp;A297)&gt;0,"Sim",""))</f>
        <v/>
      </c>
      <c r="H297" s="16" t="str">
        <f aca="false">IF(N(F297)&gt;0,MAX(H$1:H296)+1,"")</f>
        <v/>
      </c>
      <c r="I297" s="11" t="str">
        <f aca="false">IF(B297="","",IF(INDEX($C$2:$C$1201,MATCH(B297,$B$2:$B$1201,0))&lt;&gt;C297,"Nome diferente em outro deck — revisar",""))</f>
        <v/>
      </c>
      <c r="J297" s="16" t="str">
        <f aca="false">IF(AND(B297&lt;&gt;"",A297=BULK!$A$1,N(F297)&gt;0),MAX(J$1:J296)+1,"")</f>
        <v/>
      </c>
      <c r="K297" s="11" t="str">
        <f aca="false">IF(B297="","",IFERROR(LEFT(B297,FIND("-",B297)-1),B297))</f>
        <v/>
      </c>
      <c r="L297" s="11" t="str">
        <f aca="false">IF(K297="","",IF(ISNUMBER(--MID(K297,1,1)),0,IF(ISNUMBER(--MID(K297,2,1)),1,IF(ISNUMBER(--MID(K297,3,1)),2,IF(ISNUMBER(--MID(K297,4,1)),3,MIN(LEN(K297),4))))))</f>
        <v/>
      </c>
      <c r="M297" s="11" t="str">
        <f aca="false">IF(B297="","",LEFT(K297,L297)&amp;REPT("0",4-L297)&amp;RIGHT("000"&amp;IFERROR(VALUE(MID(K297,L297+1,9)),0),3)&amp;RIGHT("0000"&amp;IFERROR(VALUE(MID(B297,FIND("-",B297)+1,9)),0),4))</f>
        <v/>
      </c>
      <c r="N297" s="11" t="str">
        <f aca="false">IF(OR(B297="",N(F297)&lt;=0),"",IF('FALTAS POR DECK'!$P$1="Código","K"&amp;M297&amp;RIGHT("00000"&amp;ROW(),5),IF('FALTAS POR DECK'!$P$1="Nome","K"&amp;UPPER(SUBSTITUTE(SUBSTITUTE(SUBSTITUTE(C297,"*",""),"?",""),"~",""))&amp;"0"&amp;M297&amp;RIGHT("00000"&amp;ROW(),5),IF('FALTAS POR DECK'!$P$1="Falta (maior primeiro)","K"&amp;RIGHT("0000"&amp;(9999-F297),4)&amp;M297&amp;RIGHT("00000"&amp;ROW(),5),IF('FALTAS POR DECK'!$P$1="Deck e código","K"&amp;RIGHT("00"&amp;IFERROR(MATCH(A297,_LEITURA!$P$2:$P$21,0),99),2)&amp;M297&amp;RIGHT("00000"&amp;ROW(),5),"K"&amp;RIGHT("00000"&amp;ROW(),5))))))</f>
        <v/>
      </c>
      <c r="O297" s="16" t="str">
        <f aca="false">IF(N297="","",COUNTIFS($N$2:$N$1201,"&lt;"&amp;N297,$F$2:$F$1201,"&gt;0")+1)</f>
        <v/>
      </c>
    </row>
    <row r="298" customFormat="false" ht="15" hidden="false" customHeight="false" outlineLevel="0" collapsed="false">
      <c r="A298" s="11" t="str">
        <f aca="false">IF(_LEITURA!$N298="","",INDEX(_LEITURA!$K$2:$K$1201,_LEITURA!$N298))</f>
        <v/>
      </c>
      <c r="B298" s="11" t="str">
        <f aca="false">IF(_LEITURA!$N298="","",INDEX(_LEITURA!$E$2:$E$1201,_LEITURA!$N298))</f>
        <v/>
      </c>
      <c r="C298" s="11" t="str">
        <f aca="false">IF(_LEITURA!$N298="","",INDEX(_LEITURA!$J$2:$J$1201,_LEITURA!$N298))</f>
        <v/>
      </c>
      <c r="D298" s="16" t="str">
        <f aca="false">IF(_LEITURA!$N298="","",INDEX(_LEITURA!$G$2:$G$1201,_LEITURA!$N298))</f>
        <v/>
      </c>
      <c r="E298" s="16" t="str">
        <f aca="false">IF(B298="","",SUMIFS(INVENTÁRIO!$C$2:$C$801,INVENTÁRIO!$A$2:$A$801,B298))</f>
        <v/>
      </c>
      <c r="F298" s="16" t="str">
        <f aca="false">IF(B298="","",MAX(0,D298-E298))</f>
        <v/>
      </c>
      <c r="G298" s="16" t="str">
        <f aca="false">IF(B298="","",IF(COUNTIFS($B$2:$B$1201,B298,$A$2:$A$1201,"&lt;&gt;"&amp;A298)&gt;0,"Sim",""))</f>
        <v/>
      </c>
      <c r="H298" s="16" t="str">
        <f aca="false">IF(N(F298)&gt;0,MAX(H$1:H297)+1,"")</f>
        <v/>
      </c>
      <c r="I298" s="11" t="str">
        <f aca="false">IF(B298="","",IF(INDEX($C$2:$C$1201,MATCH(B298,$B$2:$B$1201,0))&lt;&gt;C298,"Nome diferente em outro deck — revisar",""))</f>
        <v/>
      </c>
      <c r="J298" s="16" t="str">
        <f aca="false">IF(AND(B298&lt;&gt;"",A298=BULK!$A$1,N(F298)&gt;0),MAX(J$1:J297)+1,"")</f>
        <v/>
      </c>
      <c r="K298" s="11" t="str">
        <f aca="false">IF(B298="","",IFERROR(LEFT(B298,FIND("-",B298)-1),B298))</f>
        <v/>
      </c>
      <c r="L298" s="11" t="str">
        <f aca="false">IF(K298="","",IF(ISNUMBER(--MID(K298,1,1)),0,IF(ISNUMBER(--MID(K298,2,1)),1,IF(ISNUMBER(--MID(K298,3,1)),2,IF(ISNUMBER(--MID(K298,4,1)),3,MIN(LEN(K298),4))))))</f>
        <v/>
      </c>
      <c r="M298" s="11" t="str">
        <f aca="false">IF(B298="","",LEFT(K298,L298)&amp;REPT("0",4-L298)&amp;RIGHT("000"&amp;IFERROR(VALUE(MID(K298,L298+1,9)),0),3)&amp;RIGHT("0000"&amp;IFERROR(VALUE(MID(B298,FIND("-",B298)+1,9)),0),4))</f>
        <v/>
      </c>
      <c r="N298" s="11" t="str">
        <f aca="false">IF(OR(B298="",N(F298)&lt;=0),"",IF('FALTAS POR DECK'!$P$1="Código","K"&amp;M298&amp;RIGHT("00000"&amp;ROW(),5),IF('FALTAS POR DECK'!$P$1="Nome","K"&amp;UPPER(SUBSTITUTE(SUBSTITUTE(SUBSTITUTE(C298,"*",""),"?",""),"~",""))&amp;"0"&amp;M298&amp;RIGHT("00000"&amp;ROW(),5),IF('FALTAS POR DECK'!$P$1="Falta (maior primeiro)","K"&amp;RIGHT("0000"&amp;(9999-F298),4)&amp;M298&amp;RIGHT("00000"&amp;ROW(),5),IF('FALTAS POR DECK'!$P$1="Deck e código","K"&amp;RIGHT("00"&amp;IFERROR(MATCH(A298,_LEITURA!$P$2:$P$21,0),99),2)&amp;M298&amp;RIGHT("00000"&amp;ROW(),5),"K"&amp;RIGHT("00000"&amp;ROW(),5))))))</f>
        <v/>
      </c>
      <c r="O298" s="16" t="str">
        <f aca="false">IF(N298="","",COUNTIFS($N$2:$N$1201,"&lt;"&amp;N298,$F$2:$F$1201,"&gt;0")+1)</f>
        <v/>
      </c>
    </row>
    <row r="299" customFormat="false" ht="15" hidden="false" customHeight="false" outlineLevel="0" collapsed="false">
      <c r="A299" s="11" t="str">
        <f aca="false">IF(_LEITURA!$N299="","",INDEX(_LEITURA!$K$2:$K$1201,_LEITURA!$N299))</f>
        <v/>
      </c>
      <c r="B299" s="11" t="str">
        <f aca="false">IF(_LEITURA!$N299="","",INDEX(_LEITURA!$E$2:$E$1201,_LEITURA!$N299))</f>
        <v/>
      </c>
      <c r="C299" s="11" t="str">
        <f aca="false">IF(_LEITURA!$N299="","",INDEX(_LEITURA!$J$2:$J$1201,_LEITURA!$N299))</f>
        <v/>
      </c>
      <c r="D299" s="16" t="str">
        <f aca="false">IF(_LEITURA!$N299="","",INDEX(_LEITURA!$G$2:$G$1201,_LEITURA!$N299))</f>
        <v/>
      </c>
      <c r="E299" s="16" t="str">
        <f aca="false">IF(B299="","",SUMIFS(INVENTÁRIO!$C$2:$C$801,INVENTÁRIO!$A$2:$A$801,B299))</f>
        <v/>
      </c>
      <c r="F299" s="16" t="str">
        <f aca="false">IF(B299="","",MAX(0,D299-E299))</f>
        <v/>
      </c>
      <c r="G299" s="16" t="str">
        <f aca="false">IF(B299="","",IF(COUNTIFS($B$2:$B$1201,B299,$A$2:$A$1201,"&lt;&gt;"&amp;A299)&gt;0,"Sim",""))</f>
        <v/>
      </c>
      <c r="H299" s="16" t="str">
        <f aca="false">IF(N(F299)&gt;0,MAX(H$1:H298)+1,"")</f>
        <v/>
      </c>
      <c r="I299" s="11" t="str">
        <f aca="false">IF(B299="","",IF(INDEX($C$2:$C$1201,MATCH(B299,$B$2:$B$1201,0))&lt;&gt;C299,"Nome diferente em outro deck — revisar",""))</f>
        <v/>
      </c>
      <c r="J299" s="16" t="str">
        <f aca="false">IF(AND(B299&lt;&gt;"",A299=BULK!$A$1,N(F299)&gt;0),MAX(J$1:J298)+1,"")</f>
        <v/>
      </c>
      <c r="K299" s="11" t="str">
        <f aca="false">IF(B299="","",IFERROR(LEFT(B299,FIND("-",B299)-1),B299))</f>
        <v/>
      </c>
      <c r="L299" s="11" t="str">
        <f aca="false">IF(K299="","",IF(ISNUMBER(--MID(K299,1,1)),0,IF(ISNUMBER(--MID(K299,2,1)),1,IF(ISNUMBER(--MID(K299,3,1)),2,IF(ISNUMBER(--MID(K299,4,1)),3,MIN(LEN(K299),4))))))</f>
        <v/>
      </c>
      <c r="M299" s="11" t="str">
        <f aca="false">IF(B299="","",LEFT(K299,L299)&amp;REPT("0",4-L299)&amp;RIGHT("000"&amp;IFERROR(VALUE(MID(K299,L299+1,9)),0),3)&amp;RIGHT("0000"&amp;IFERROR(VALUE(MID(B299,FIND("-",B299)+1,9)),0),4))</f>
        <v/>
      </c>
      <c r="N299" s="11" t="str">
        <f aca="false">IF(OR(B299="",N(F299)&lt;=0),"",IF('FALTAS POR DECK'!$P$1="Código","K"&amp;M299&amp;RIGHT("00000"&amp;ROW(),5),IF('FALTAS POR DECK'!$P$1="Nome","K"&amp;UPPER(SUBSTITUTE(SUBSTITUTE(SUBSTITUTE(C299,"*",""),"?",""),"~",""))&amp;"0"&amp;M299&amp;RIGHT("00000"&amp;ROW(),5),IF('FALTAS POR DECK'!$P$1="Falta (maior primeiro)","K"&amp;RIGHT("0000"&amp;(9999-F299),4)&amp;M299&amp;RIGHT("00000"&amp;ROW(),5),IF('FALTAS POR DECK'!$P$1="Deck e código","K"&amp;RIGHT("00"&amp;IFERROR(MATCH(A299,_LEITURA!$P$2:$P$21,0),99),2)&amp;M299&amp;RIGHT("00000"&amp;ROW(),5),"K"&amp;RIGHT("00000"&amp;ROW(),5))))))</f>
        <v/>
      </c>
      <c r="O299" s="16" t="str">
        <f aca="false">IF(N299="","",COUNTIFS($N$2:$N$1201,"&lt;"&amp;N299,$F$2:$F$1201,"&gt;0")+1)</f>
        <v/>
      </c>
    </row>
    <row r="300" customFormat="false" ht="15" hidden="false" customHeight="false" outlineLevel="0" collapsed="false">
      <c r="A300" s="11" t="str">
        <f aca="false">IF(_LEITURA!$N300="","",INDEX(_LEITURA!$K$2:$K$1201,_LEITURA!$N300))</f>
        <v/>
      </c>
      <c r="B300" s="11" t="str">
        <f aca="false">IF(_LEITURA!$N300="","",INDEX(_LEITURA!$E$2:$E$1201,_LEITURA!$N300))</f>
        <v/>
      </c>
      <c r="C300" s="11" t="str">
        <f aca="false">IF(_LEITURA!$N300="","",INDEX(_LEITURA!$J$2:$J$1201,_LEITURA!$N300))</f>
        <v/>
      </c>
      <c r="D300" s="16" t="str">
        <f aca="false">IF(_LEITURA!$N300="","",INDEX(_LEITURA!$G$2:$G$1201,_LEITURA!$N300))</f>
        <v/>
      </c>
      <c r="E300" s="16" t="str">
        <f aca="false">IF(B300="","",SUMIFS(INVENTÁRIO!$C$2:$C$801,INVENTÁRIO!$A$2:$A$801,B300))</f>
        <v/>
      </c>
      <c r="F300" s="16" t="str">
        <f aca="false">IF(B300="","",MAX(0,D300-E300))</f>
        <v/>
      </c>
      <c r="G300" s="16" t="str">
        <f aca="false">IF(B300="","",IF(COUNTIFS($B$2:$B$1201,B300,$A$2:$A$1201,"&lt;&gt;"&amp;A300)&gt;0,"Sim",""))</f>
        <v/>
      </c>
      <c r="H300" s="16" t="str">
        <f aca="false">IF(N(F300)&gt;0,MAX(H$1:H299)+1,"")</f>
        <v/>
      </c>
      <c r="I300" s="11" t="str">
        <f aca="false">IF(B300="","",IF(INDEX($C$2:$C$1201,MATCH(B300,$B$2:$B$1201,0))&lt;&gt;C300,"Nome diferente em outro deck — revisar",""))</f>
        <v/>
      </c>
      <c r="J300" s="16" t="str">
        <f aca="false">IF(AND(B300&lt;&gt;"",A300=BULK!$A$1,N(F300)&gt;0),MAX(J$1:J299)+1,"")</f>
        <v/>
      </c>
      <c r="K300" s="11" t="str">
        <f aca="false">IF(B300="","",IFERROR(LEFT(B300,FIND("-",B300)-1),B300))</f>
        <v/>
      </c>
      <c r="L300" s="11" t="str">
        <f aca="false">IF(K300="","",IF(ISNUMBER(--MID(K300,1,1)),0,IF(ISNUMBER(--MID(K300,2,1)),1,IF(ISNUMBER(--MID(K300,3,1)),2,IF(ISNUMBER(--MID(K300,4,1)),3,MIN(LEN(K300),4))))))</f>
        <v/>
      </c>
      <c r="M300" s="11" t="str">
        <f aca="false">IF(B300="","",LEFT(K300,L300)&amp;REPT("0",4-L300)&amp;RIGHT("000"&amp;IFERROR(VALUE(MID(K300,L300+1,9)),0),3)&amp;RIGHT("0000"&amp;IFERROR(VALUE(MID(B300,FIND("-",B300)+1,9)),0),4))</f>
        <v/>
      </c>
      <c r="N300" s="11" t="str">
        <f aca="false">IF(OR(B300="",N(F300)&lt;=0),"",IF('FALTAS POR DECK'!$P$1="Código","K"&amp;M300&amp;RIGHT("00000"&amp;ROW(),5),IF('FALTAS POR DECK'!$P$1="Nome","K"&amp;UPPER(SUBSTITUTE(SUBSTITUTE(SUBSTITUTE(C300,"*",""),"?",""),"~",""))&amp;"0"&amp;M300&amp;RIGHT("00000"&amp;ROW(),5),IF('FALTAS POR DECK'!$P$1="Falta (maior primeiro)","K"&amp;RIGHT("0000"&amp;(9999-F300),4)&amp;M300&amp;RIGHT("00000"&amp;ROW(),5),IF('FALTAS POR DECK'!$P$1="Deck e código","K"&amp;RIGHT("00"&amp;IFERROR(MATCH(A300,_LEITURA!$P$2:$P$21,0),99),2)&amp;M300&amp;RIGHT("00000"&amp;ROW(),5),"K"&amp;RIGHT("00000"&amp;ROW(),5))))))</f>
        <v/>
      </c>
      <c r="O300" s="16" t="str">
        <f aca="false">IF(N300="","",COUNTIFS($N$2:$N$1201,"&lt;"&amp;N300,$F$2:$F$1201,"&gt;0")+1)</f>
        <v/>
      </c>
    </row>
    <row r="301" customFormat="false" ht="15" hidden="false" customHeight="false" outlineLevel="0" collapsed="false">
      <c r="A301" s="11" t="str">
        <f aca="false">IF(_LEITURA!$N301="","",INDEX(_LEITURA!$K$2:$K$1201,_LEITURA!$N301))</f>
        <v/>
      </c>
      <c r="B301" s="11" t="str">
        <f aca="false">IF(_LEITURA!$N301="","",INDEX(_LEITURA!$E$2:$E$1201,_LEITURA!$N301))</f>
        <v/>
      </c>
      <c r="C301" s="11" t="str">
        <f aca="false">IF(_LEITURA!$N301="","",INDEX(_LEITURA!$J$2:$J$1201,_LEITURA!$N301))</f>
        <v/>
      </c>
      <c r="D301" s="16" t="str">
        <f aca="false">IF(_LEITURA!$N301="","",INDEX(_LEITURA!$G$2:$G$1201,_LEITURA!$N301))</f>
        <v/>
      </c>
      <c r="E301" s="16" t="str">
        <f aca="false">IF(B301="","",SUMIFS(INVENTÁRIO!$C$2:$C$801,INVENTÁRIO!$A$2:$A$801,B301))</f>
        <v/>
      </c>
      <c r="F301" s="16" t="str">
        <f aca="false">IF(B301="","",MAX(0,D301-E301))</f>
        <v/>
      </c>
      <c r="G301" s="16" t="str">
        <f aca="false">IF(B301="","",IF(COUNTIFS($B$2:$B$1201,B301,$A$2:$A$1201,"&lt;&gt;"&amp;A301)&gt;0,"Sim",""))</f>
        <v/>
      </c>
      <c r="H301" s="16" t="str">
        <f aca="false">IF(N(F301)&gt;0,MAX(H$1:H300)+1,"")</f>
        <v/>
      </c>
      <c r="I301" s="11" t="str">
        <f aca="false">IF(B301="","",IF(INDEX($C$2:$C$1201,MATCH(B301,$B$2:$B$1201,0))&lt;&gt;C301,"Nome diferente em outro deck — revisar",""))</f>
        <v/>
      </c>
      <c r="J301" s="16" t="str">
        <f aca="false">IF(AND(B301&lt;&gt;"",A301=BULK!$A$1,N(F301)&gt;0),MAX(J$1:J300)+1,"")</f>
        <v/>
      </c>
      <c r="K301" s="11" t="str">
        <f aca="false">IF(B301="","",IFERROR(LEFT(B301,FIND("-",B301)-1),B301))</f>
        <v/>
      </c>
      <c r="L301" s="11" t="str">
        <f aca="false">IF(K301="","",IF(ISNUMBER(--MID(K301,1,1)),0,IF(ISNUMBER(--MID(K301,2,1)),1,IF(ISNUMBER(--MID(K301,3,1)),2,IF(ISNUMBER(--MID(K301,4,1)),3,MIN(LEN(K301),4))))))</f>
        <v/>
      </c>
      <c r="M301" s="11" t="str">
        <f aca="false">IF(B301="","",LEFT(K301,L301)&amp;REPT("0",4-L301)&amp;RIGHT("000"&amp;IFERROR(VALUE(MID(K301,L301+1,9)),0),3)&amp;RIGHT("0000"&amp;IFERROR(VALUE(MID(B301,FIND("-",B301)+1,9)),0),4))</f>
        <v/>
      </c>
      <c r="N301" s="11" t="str">
        <f aca="false">IF(OR(B301="",N(F301)&lt;=0),"",IF('FALTAS POR DECK'!$P$1="Código","K"&amp;M301&amp;RIGHT("00000"&amp;ROW(),5),IF('FALTAS POR DECK'!$P$1="Nome","K"&amp;UPPER(SUBSTITUTE(SUBSTITUTE(SUBSTITUTE(C301,"*",""),"?",""),"~",""))&amp;"0"&amp;M301&amp;RIGHT("00000"&amp;ROW(),5),IF('FALTAS POR DECK'!$P$1="Falta (maior primeiro)","K"&amp;RIGHT("0000"&amp;(9999-F301),4)&amp;M301&amp;RIGHT("00000"&amp;ROW(),5),IF('FALTAS POR DECK'!$P$1="Deck e código","K"&amp;RIGHT("00"&amp;IFERROR(MATCH(A301,_LEITURA!$P$2:$P$21,0),99),2)&amp;M301&amp;RIGHT("00000"&amp;ROW(),5),"K"&amp;RIGHT("00000"&amp;ROW(),5))))))</f>
        <v/>
      </c>
      <c r="O301" s="16" t="str">
        <f aca="false">IF(N301="","",COUNTIFS($N$2:$N$1201,"&lt;"&amp;N301,$F$2:$F$1201,"&gt;0")+1)</f>
        <v/>
      </c>
    </row>
    <row r="302" customFormat="false" ht="15" hidden="false" customHeight="false" outlineLevel="0" collapsed="false">
      <c r="A302" s="11" t="str">
        <f aca="false">IF(_LEITURA!$N302="","",INDEX(_LEITURA!$K$2:$K$1201,_LEITURA!$N302))</f>
        <v/>
      </c>
      <c r="B302" s="11" t="str">
        <f aca="false">IF(_LEITURA!$N302="","",INDEX(_LEITURA!$E$2:$E$1201,_LEITURA!$N302))</f>
        <v/>
      </c>
      <c r="C302" s="11" t="str">
        <f aca="false">IF(_LEITURA!$N302="","",INDEX(_LEITURA!$J$2:$J$1201,_LEITURA!$N302))</f>
        <v/>
      </c>
      <c r="D302" s="16" t="str">
        <f aca="false">IF(_LEITURA!$N302="","",INDEX(_LEITURA!$G$2:$G$1201,_LEITURA!$N302))</f>
        <v/>
      </c>
      <c r="E302" s="16" t="str">
        <f aca="false">IF(B302="","",SUMIFS(INVENTÁRIO!$C$2:$C$801,INVENTÁRIO!$A$2:$A$801,B302))</f>
        <v/>
      </c>
      <c r="F302" s="16" t="str">
        <f aca="false">IF(B302="","",MAX(0,D302-E302))</f>
        <v/>
      </c>
      <c r="G302" s="16" t="str">
        <f aca="false">IF(B302="","",IF(COUNTIFS($B$2:$B$1201,B302,$A$2:$A$1201,"&lt;&gt;"&amp;A302)&gt;0,"Sim",""))</f>
        <v/>
      </c>
      <c r="H302" s="16" t="str">
        <f aca="false">IF(N(F302)&gt;0,MAX(H$1:H301)+1,"")</f>
        <v/>
      </c>
      <c r="I302" s="11" t="str">
        <f aca="false">IF(B302="","",IF(INDEX($C$2:$C$1201,MATCH(B302,$B$2:$B$1201,0))&lt;&gt;C302,"Nome diferente em outro deck — revisar",""))</f>
        <v/>
      </c>
      <c r="J302" s="16" t="str">
        <f aca="false">IF(AND(B302&lt;&gt;"",A302=BULK!$A$1,N(F302)&gt;0),MAX(J$1:J301)+1,"")</f>
        <v/>
      </c>
      <c r="K302" s="11" t="str">
        <f aca="false">IF(B302="","",IFERROR(LEFT(B302,FIND("-",B302)-1),B302))</f>
        <v/>
      </c>
      <c r="L302" s="11" t="str">
        <f aca="false">IF(K302="","",IF(ISNUMBER(--MID(K302,1,1)),0,IF(ISNUMBER(--MID(K302,2,1)),1,IF(ISNUMBER(--MID(K302,3,1)),2,IF(ISNUMBER(--MID(K302,4,1)),3,MIN(LEN(K302),4))))))</f>
        <v/>
      </c>
      <c r="M302" s="11" t="str">
        <f aca="false">IF(B302="","",LEFT(K302,L302)&amp;REPT("0",4-L302)&amp;RIGHT("000"&amp;IFERROR(VALUE(MID(K302,L302+1,9)),0),3)&amp;RIGHT("0000"&amp;IFERROR(VALUE(MID(B302,FIND("-",B302)+1,9)),0),4))</f>
        <v/>
      </c>
      <c r="N302" s="11" t="str">
        <f aca="false">IF(OR(B302="",N(F302)&lt;=0),"",IF('FALTAS POR DECK'!$P$1="Código","K"&amp;M302&amp;RIGHT("00000"&amp;ROW(),5),IF('FALTAS POR DECK'!$P$1="Nome","K"&amp;UPPER(SUBSTITUTE(SUBSTITUTE(SUBSTITUTE(C302,"*",""),"?",""),"~",""))&amp;"0"&amp;M302&amp;RIGHT("00000"&amp;ROW(),5),IF('FALTAS POR DECK'!$P$1="Falta (maior primeiro)","K"&amp;RIGHT("0000"&amp;(9999-F302),4)&amp;M302&amp;RIGHT("00000"&amp;ROW(),5),IF('FALTAS POR DECK'!$P$1="Deck e código","K"&amp;RIGHT("00"&amp;IFERROR(MATCH(A302,_LEITURA!$P$2:$P$21,0),99),2)&amp;M302&amp;RIGHT("00000"&amp;ROW(),5),"K"&amp;RIGHT("00000"&amp;ROW(),5))))))</f>
        <v/>
      </c>
      <c r="O302" s="16" t="str">
        <f aca="false">IF(N302="","",COUNTIFS($N$2:$N$1201,"&lt;"&amp;N302,$F$2:$F$1201,"&gt;0")+1)</f>
        <v/>
      </c>
    </row>
    <row r="303" customFormat="false" ht="15" hidden="false" customHeight="false" outlineLevel="0" collapsed="false">
      <c r="A303" s="11" t="str">
        <f aca="false">IF(_LEITURA!$N303="","",INDEX(_LEITURA!$K$2:$K$1201,_LEITURA!$N303))</f>
        <v/>
      </c>
      <c r="B303" s="11" t="str">
        <f aca="false">IF(_LEITURA!$N303="","",INDEX(_LEITURA!$E$2:$E$1201,_LEITURA!$N303))</f>
        <v/>
      </c>
      <c r="C303" s="11" t="str">
        <f aca="false">IF(_LEITURA!$N303="","",INDEX(_LEITURA!$J$2:$J$1201,_LEITURA!$N303))</f>
        <v/>
      </c>
      <c r="D303" s="16" t="str">
        <f aca="false">IF(_LEITURA!$N303="","",INDEX(_LEITURA!$G$2:$G$1201,_LEITURA!$N303))</f>
        <v/>
      </c>
      <c r="E303" s="16" t="str">
        <f aca="false">IF(B303="","",SUMIFS(INVENTÁRIO!$C$2:$C$801,INVENTÁRIO!$A$2:$A$801,B303))</f>
        <v/>
      </c>
      <c r="F303" s="16" t="str">
        <f aca="false">IF(B303="","",MAX(0,D303-E303))</f>
        <v/>
      </c>
      <c r="G303" s="16" t="str">
        <f aca="false">IF(B303="","",IF(COUNTIFS($B$2:$B$1201,B303,$A$2:$A$1201,"&lt;&gt;"&amp;A303)&gt;0,"Sim",""))</f>
        <v/>
      </c>
      <c r="H303" s="16" t="str">
        <f aca="false">IF(N(F303)&gt;0,MAX(H$1:H302)+1,"")</f>
        <v/>
      </c>
      <c r="I303" s="11" t="str">
        <f aca="false">IF(B303="","",IF(INDEX($C$2:$C$1201,MATCH(B303,$B$2:$B$1201,0))&lt;&gt;C303,"Nome diferente em outro deck — revisar",""))</f>
        <v/>
      </c>
      <c r="J303" s="16" t="str">
        <f aca="false">IF(AND(B303&lt;&gt;"",A303=BULK!$A$1,N(F303)&gt;0),MAX(J$1:J302)+1,"")</f>
        <v/>
      </c>
      <c r="K303" s="11" t="str">
        <f aca="false">IF(B303="","",IFERROR(LEFT(B303,FIND("-",B303)-1),B303))</f>
        <v/>
      </c>
      <c r="L303" s="11" t="str">
        <f aca="false">IF(K303="","",IF(ISNUMBER(--MID(K303,1,1)),0,IF(ISNUMBER(--MID(K303,2,1)),1,IF(ISNUMBER(--MID(K303,3,1)),2,IF(ISNUMBER(--MID(K303,4,1)),3,MIN(LEN(K303),4))))))</f>
        <v/>
      </c>
      <c r="M303" s="11" t="str">
        <f aca="false">IF(B303="","",LEFT(K303,L303)&amp;REPT("0",4-L303)&amp;RIGHT("000"&amp;IFERROR(VALUE(MID(K303,L303+1,9)),0),3)&amp;RIGHT("0000"&amp;IFERROR(VALUE(MID(B303,FIND("-",B303)+1,9)),0),4))</f>
        <v/>
      </c>
      <c r="N303" s="11" t="str">
        <f aca="false">IF(OR(B303="",N(F303)&lt;=0),"",IF('FALTAS POR DECK'!$P$1="Código","K"&amp;M303&amp;RIGHT("00000"&amp;ROW(),5),IF('FALTAS POR DECK'!$P$1="Nome","K"&amp;UPPER(SUBSTITUTE(SUBSTITUTE(SUBSTITUTE(C303,"*",""),"?",""),"~",""))&amp;"0"&amp;M303&amp;RIGHT("00000"&amp;ROW(),5),IF('FALTAS POR DECK'!$P$1="Falta (maior primeiro)","K"&amp;RIGHT("0000"&amp;(9999-F303),4)&amp;M303&amp;RIGHT("00000"&amp;ROW(),5),IF('FALTAS POR DECK'!$P$1="Deck e código","K"&amp;RIGHT("00"&amp;IFERROR(MATCH(A303,_LEITURA!$P$2:$P$21,0),99),2)&amp;M303&amp;RIGHT("00000"&amp;ROW(),5),"K"&amp;RIGHT("00000"&amp;ROW(),5))))))</f>
        <v/>
      </c>
      <c r="O303" s="16" t="str">
        <f aca="false">IF(N303="","",COUNTIFS($N$2:$N$1201,"&lt;"&amp;N303,$F$2:$F$1201,"&gt;0")+1)</f>
        <v/>
      </c>
    </row>
    <row r="304" customFormat="false" ht="15" hidden="false" customHeight="false" outlineLevel="0" collapsed="false">
      <c r="A304" s="11" t="str">
        <f aca="false">IF(_LEITURA!$N304="","",INDEX(_LEITURA!$K$2:$K$1201,_LEITURA!$N304))</f>
        <v/>
      </c>
      <c r="B304" s="11" t="str">
        <f aca="false">IF(_LEITURA!$N304="","",INDEX(_LEITURA!$E$2:$E$1201,_LEITURA!$N304))</f>
        <v/>
      </c>
      <c r="C304" s="11" t="str">
        <f aca="false">IF(_LEITURA!$N304="","",INDEX(_LEITURA!$J$2:$J$1201,_LEITURA!$N304))</f>
        <v/>
      </c>
      <c r="D304" s="16" t="str">
        <f aca="false">IF(_LEITURA!$N304="","",INDEX(_LEITURA!$G$2:$G$1201,_LEITURA!$N304))</f>
        <v/>
      </c>
      <c r="E304" s="16" t="str">
        <f aca="false">IF(B304="","",SUMIFS(INVENTÁRIO!$C$2:$C$801,INVENTÁRIO!$A$2:$A$801,B304))</f>
        <v/>
      </c>
      <c r="F304" s="16" t="str">
        <f aca="false">IF(B304="","",MAX(0,D304-E304))</f>
        <v/>
      </c>
      <c r="G304" s="16" t="str">
        <f aca="false">IF(B304="","",IF(COUNTIFS($B$2:$B$1201,B304,$A$2:$A$1201,"&lt;&gt;"&amp;A304)&gt;0,"Sim",""))</f>
        <v/>
      </c>
      <c r="H304" s="16" t="str">
        <f aca="false">IF(N(F304)&gt;0,MAX(H$1:H303)+1,"")</f>
        <v/>
      </c>
      <c r="I304" s="11" t="str">
        <f aca="false">IF(B304="","",IF(INDEX($C$2:$C$1201,MATCH(B304,$B$2:$B$1201,0))&lt;&gt;C304,"Nome diferente em outro deck — revisar",""))</f>
        <v/>
      </c>
      <c r="J304" s="16" t="str">
        <f aca="false">IF(AND(B304&lt;&gt;"",A304=BULK!$A$1,N(F304)&gt;0),MAX(J$1:J303)+1,"")</f>
        <v/>
      </c>
      <c r="K304" s="11" t="str">
        <f aca="false">IF(B304="","",IFERROR(LEFT(B304,FIND("-",B304)-1),B304))</f>
        <v/>
      </c>
      <c r="L304" s="11" t="str">
        <f aca="false">IF(K304="","",IF(ISNUMBER(--MID(K304,1,1)),0,IF(ISNUMBER(--MID(K304,2,1)),1,IF(ISNUMBER(--MID(K304,3,1)),2,IF(ISNUMBER(--MID(K304,4,1)),3,MIN(LEN(K304),4))))))</f>
        <v/>
      </c>
      <c r="M304" s="11" t="str">
        <f aca="false">IF(B304="","",LEFT(K304,L304)&amp;REPT("0",4-L304)&amp;RIGHT("000"&amp;IFERROR(VALUE(MID(K304,L304+1,9)),0),3)&amp;RIGHT("0000"&amp;IFERROR(VALUE(MID(B304,FIND("-",B304)+1,9)),0),4))</f>
        <v/>
      </c>
      <c r="N304" s="11" t="str">
        <f aca="false">IF(OR(B304="",N(F304)&lt;=0),"",IF('FALTAS POR DECK'!$P$1="Código","K"&amp;M304&amp;RIGHT("00000"&amp;ROW(),5),IF('FALTAS POR DECK'!$P$1="Nome","K"&amp;UPPER(SUBSTITUTE(SUBSTITUTE(SUBSTITUTE(C304,"*",""),"?",""),"~",""))&amp;"0"&amp;M304&amp;RIGHT("00000"&amp;ROW(),5),IF('FALTAS POR DECK'!$P$1="Falta (maior primeiro)","K"&amp;RIGHT("0000"&amp;(9999-F304),4)&amp;M304&amp;RIGHT("00000"&amp;ROW(),5),IF('FALTAS POR DECK'!$P$1="Deck e código","K"&amp;RIGHT("00"&amp;IFERROR(MATCH(A304,_LEITURA!$P$2:$P$21,0),99),2)&amp;M304&amp;RIGHT("00000"&amp;ROW(),5),"K"&amp;RIGHT("00000"&amp;ROW(),5))))))</f>
        <v/>
      </c>
      <c r="O304" s="16" t="str">
        <f aca="false">IF(N304="","",COUNTIFS($N$2:$N$1201,"&lt;"&amp;N304,$F$2:$F$1201,"&gt;0")+1)</f>
        <v/>
      </c>
    </row>
    <row r="305" customFormat="false" ht="15" hidden="false" customHeight="false" outlineLevel="0" collapsed="false">
      <c r="A305" s="11" t="str">
        <f aca="false">IF(_LEITURA!$N305="","",INDEX(_LEITURA!$K$2:$K$1201,_LEITURA!$N305))</f>
        <v/>
      </c>
      <c r="B305" s="11" t="str">
        <f aca="false">IF(_LEITURA!$N305="","",INDEX(_LEITURA!$E$2:$E$1201,_LEITURA!$N305))</f>
        <v/>
      </c>
      <c r="C305" s="11" t="str">
        <f aca="false">IF(_LEITURA!$N305="","",INDEX(_LEITURA!$J$2:$J$1201,_LEITURA!$N305))</f>
        <v/>
      </c>
      <c r="D305" s="16" t="str">
        <f aca="false">IF(_LEITURA!$N305="","",INDEX(_LEITURA!$G$2:$G$1201,_LEITURA!$N305))</f>
        <v/>
      </c>
      <c r="E305" s="16" t="str">
        <f aca="false">IF(B305="","",SUMIFS(INVENTÁRIO!$C$2:$C$801,INVENTÁRIO!$A$2:$A$801,B305))</f>
        <v/>
      </c>
      <c r="F305" s="16" t="str">
        <f aca="false">IF(B305="","",MAX(0,D305-E305))</f>
        <v/>
      </c>
      <c r="G305" s="16" t="str">
        <f aca="false">IF(B305="","",IF(COUNTIFS($B$2:$B$1201,B305,$A$2:$A$1201,"&lt;&gt;"&amp;A305)&gt;0,"Sim",""))</f>
        <v/>
      </c>
      <c r="H305" s="16" t="str">
        <f aca="false">IF(N(F305)&gt;0,MAX(H$1:H304)+1,"")</f>
        <v/>
      </c>
      <c r="I305" s="11" t="str">
        <f aca="false">IF(B305="","",IF(INDEX($C$2:$C$1201,MATCH(B305,$B$2:$B$1201,0))&lt;&gt;C305,"Nome diferente em outro deck — revisar",""))</f>
        <v/>
      </c>
      <c r="J305" s="16" t="str">
        <f aca="false">IF(AND(B305&lt;&gt;"",A305=BULK!$A$1,N(F305)&gt;0),MAX(J$1:J304)+1,"")</f>
        <v/>
      </c>
      <c r="K305" s="11" t="str">
        <f aca="false">IF(B305="","",IFERROR(LEFT(B305,FIND("-",B305)-1),B305))</f>
        <v/>
      </c>
      <c r="L305" s="11" t="str">
        <f aca="false">IF(K305="","",IF(ISNUMBER(--MID(K305,1,1)),0,IF(ISNUMBER(--MID(K305,2,1)),1,IF(ISNUMBER(--MID(K305,3,1)),2,IF(ISNUMBER(--MID(K305,4,1)),3,MIN(LEN(K305),4))))))</f>
        <v/>
      </c>
      <c r="M305" s="11" t="str">
        <f aca="false">IF(B305="","",LEFT(K305,L305)&amp;REPT("0",4-L305)&amp;RIGHT("000"&amp;IFERROR(VALUE(MID(K305,L305+1,9)),0),3)&amp;RIGHT("0000"&amp;IFERROR(VALUE(MID(B305,FIND("-",B305)+1,9)),0),4))</f>
        <v/>
      </c>
      <c r="N305" s="11" t="str">
        <f aca="false">IF(OR(B305="",N(F305)&lt;=0),"",IF('FALTAS POR DECK'!$P$1="Código","K"&amp;M305&amp;RIGHT("00000"&amp;ROW(),5),IF('FALTAS POR DECK'!$P$1="Nome","K"&amp;UPPER(SUBSTITUTE(SUBSTITUTE(SUBSTITUTE(C305,"*",""),"?",""),"~",""))&amp;"0"&amp;M305&amp;RIGHT("00000"&amp;ROW(),5),IF('FALTAS POR DECK'!$P$1="Falta (maior primeiro)","K"&amp;RIGHT("0000"&amp;(9999-F305),4)&amp;M305&amp;RIGHT("00000"&amp;ROW(),5),IF('FALTAS POR DECK'!$P$1="Deck e código","K"&amp;RIGHT("00"&amp;IFERROR(MATCH(A305,_LEITURA!$P$2:$P$21,0),99),2)&amp;M305&amp;RIGHT("00000"&amp;ROW(),5),"K"&amp;RIGHT("00000"&amp;ROW(),5))))))</f>
        <v/>
      </c>
      <c r="O305" s="16" t="str">
        <f aca="false">IF(N305="","",COUNTIFS($N$2:$N$1201,"&lt;"&amp;N305,$F$2:$F$1201,"&gt;0")+1)</f>
        <v/>
      </c>
    </row>
    <row r="306" customFormat="false" ht="15" hidden="false" customHeight="false" outlineLevel="0" collapsed="false">
      <c r="A306" s="11" t="str">
        <f aca="false">IF(_LEITURA!$N306="","",INDEX(_LEITURA!$K$2:$K$1201,_LEITURA!$N306))</f>
        <v/>
      </c>
      <c r="B306" s="11" t="str">
        <f aca="false">IF(_LEITURA!$N306="","",INDEX(_LEITURA!$E$2:$E$1201,_LEITURA!$N306))</f>
        <v/>
      </c>
      <c r="C306" s="11" t="str">
        <f aca="false">IF(_LEITURA!$N306="","",INDEX(_LEITURA!$J$2:$J$1201,_LEITURA!$N306))</f>
        <v/>
      </c>
      <c r="D306" s="16" t="str">
        <f aca="false">IF(_LEITURA!$N306="","",INDEX(_LEITURA!$G$2:$G$1201,_LEITURA!$N306))</f>
        <v/>
      </c>
      <c r="E306" s="16" t="str">
        <f aca="false">IF(B306="","",SUMIFS(INVENTÁRIO!$C$2:$C$801,INVENTÁRIO!$A$2:$A$801,B306))</f>
        <v/>
      </c>
      <c r="F306" s="16" t="str">
        <f aca="false">IF(B306="","",MAX(0,D306-E306))</f>
        <v/>
      </c>
      <c r="G306" s="16" t="str">
        <f aca="false">IF(B306="","",IF(COUNTIFS($B$2:$B$1201,B306,$A$2:$A$1201,"&lt;&gt;"&amp;A306)&gt;0,"Sim",""))</f>
        <v/>
      </c>
      <c r="H306" s="16" t="str">
        <f aca="false">IF(N(F306)&gt;0,MAX(H$1:H305)+1,"")</f>
        <v/>
      </c>
      <c r="I306" s="11" t="str">
        <f aca="false">IF(B306="","",IF(INDEX($C$2:$C$1201,MATCH(B306,$B$2:$B$1201,0))&lt;&gt;C306,"Nome diferente em outro deck — revisar",""))</f>
        <v/>
      </c>
      <c r="J306" s="16" t="str">
        <f aca="false">IF(AND(B306&lt;&gt;"",A306=BULK!$A$1,N(F306)&gt;0),MAX(J$1:J305)+1,"")</f>
        <v/>
      </c>
      <c r="K306" s="11" t="str">
        <f aca="false">IF(B306="","",IFERROR(LEFT(B306,FIND("-",B306)-1),B306))</f>
        <v/>
      </c>
      <c r="L306" s="11" t="str">
        <f aca="false">IF(K306="","",IF(ISNUMBER(--MID(K306,1,1)),0,IF(ISNUMBER(--MID(K306,2,1)),1,IF(ISNUMBER(--MID(K306,3,1)),2,IF(ISNUMBER(--MID(K306,4,1)),3,MIN(LEN(K306),4))))))</f>
        <v/>
      </c>
      <c r="M306" s="11" t="str">
        <f aca="false">IF(B306="","",LEFT(K306,L306)&amp;REPT("0",4-L306)&amp;RIGHT("000"&amp;IFERROR(VALUE(MID(K306,L306+1,9)),0),3)&amp;RIGHT("0000"&amp;IFERROR(VALUE(MID(B306,FIND("-",B306)+1,9)),0),4))</f>
        <v/>
      </c>
      <c r="N306" s="11" t="str">
        <f aca="false">IF(OR(B306="",N(F306)&lt;=0),"",IF('FALTAS POR DECK'!$P$1="Código","K"&amp;M306&amp;RIGHT("00000"&amp;ROW(),5),IF('FALTAS POR DECK'!$P$1="Nome","K"&amp;UPPER(SUBSTITUTE(SUBSTITUTE(SUBSTITUTE(C306,"*",""),"?",""),"~",""))&amp;"0"&amp;M306&amp;RIGHT("00000"&amp;ROW(),5),IF('FALTAS POR DECK'!$P$1="Falta (maior primeiro)","K"&amp;RIGHT("0000"&amp;(9999-F306),4)&amp;M306&amp;RIGHT("00000"&amp;ROW(),5),IF('FALTAS POR DECK'!$P$1="Deck e código","K"&amp;RIGHT("00"&amp;IFERROR(MATCH(A306,_LEITURA!$P$2:$P$21,0),99),2)&amp;M306&amp;RIGHT("00000"&amp;ROW(),5),"K"&amp;RIGHT("00000"&amp;ROW(),5))))))</f>
        <v/>
      </c>
      <c r="O306" s="16" t="str">
        <f aca="false">IF(N306="","",COUNTIFS($N$2:$N$1201,"&lt;"&amp;N306,$F$2:$F$1201,"&gt;0")+1)</f>
        <v/>
      </c>
    </row>
    <row r="307" customFormat="false" ht="15" hidden="false" customHeight="false" outlineLevel="0" collapsed="false">
      <c r="A307" s="11" t="str">
        <f aca="false">IF(_LEITURA!$N307="","",INDEX(_LEITURA!$K$2:$K$1201,_LEITURA!$N307))</f>
        <v/>
      </c>
      <c r="B307" s="11" t="str">
        <f aca="false">IF(_LEITURA!$N307="","",INDEX(_LEITURA!$E$2:$E$1201,_LEITURA!$N307))</f>
        <v/>
      </c>
      <c r="C307" s="11" t="str">
        <f aca="false">IF(_LEITURA!$N307="","",INDEX(_LEITURA!$J$2:$J$1201,_LEITURA!$N307))</f>
        <v/>
      </c>
      <c r="D307" s="16" t="str">
        <f aca="false">IF(_LEITURA!$N307="","",INDEX(_LEITURA!$G$2:$G$1201,_LEITURA!$N307))</f>
        <v/>
      </c>
      <c r="E307" s="16" t="str">
        <f aca="false">IF(B307="","",SUMIFS(INVENTÁRIO!$C$2:$C$801,INVENTÁRIO!$A$2:$A$801,B307))</f>
        <v/>
      </c>
      <c r="F307" s="16" t="str">
        <f aca="false">IF(B307="","",MAX(0,D307-E307))</f>
        <v/>
      </c>
      <c r="G307" s="16" t="str">
        <f aca="false">IF(B307="","",IF(COUNTIFS($B$2:$B$1201,B307,$A$2:$A$1201,"&lt;&gt;"&amp;A307)&gt;0,"Sim",""))</f>
        <v/>
      </c>
      <c r="H307" s="16" t="str">
        <f aca="false">IF(N(F307)&gt;0,MAX(H$1:H306)+1,"")</f>
        <v/>
      </c>
      <c r="I307" s="11" t="str">
        <f aca="false">IF(B307="","",IF(INDEX($C$2:$C$1201,MATCH(B307,$B$2:$B$1201,0))&lt;&gt;C307,"Nome diferente em outro deck — revisar",""))</f>
        <v/>
      </c>
      <c r="J307" s="16" t="str">
        <f aca="false">IF(AND(B307&lt;&gt;"",A307=BULK!$A$1,N(F307)&gt;0),MAX(J$1:J306)+1,"")</f>
        <v/>
      </c>
      <c r="K307" s="11" t="str">
        <f aca="false">IF(B307="","",IFERROR(LEFT(B307,FIND("-",B307)-1),B307))</f>
        <v/>
      </c>
      <c r="L307" s="11" t="str">
        <f aca="false">IF(K307="","",IF(ISNUMBER(--MID(K307,1,1)),0,IF(ISNUMBER(--MID(K307,2,1)),1,IF(ISNUMBER(--MID(K307,3,1)),2,IF(ISNUMBER(--MID(K307,4,1)),3,MIN(LEN(K307),4))))))</f>
        <v/>
      </c>
      <c r="M307" s="11" t="str">
        <f aca="false">IF(B307="","",LEFT(K307,L307)&amp;REPT("0",4-L307)&amp;RIGHT("000"&amp;IFERROR(VALUE(MID(K307,L307+1,9)),0),3)&amp;RIGHT("0000"&amp;IFERROR(VALUE(MID(B307,FIND("-",B307)+1,9)),0),4))</f>
        <v/>
      </c>
      <c r="N307" s="11" t="str">
        <f aca="false">IF(OR(B307="",N(F307)&lt;=0),"",IF('FALTAS POR DECK'!$P$1="Código","K"&amp;M307&amp;RIGHT("00000"&amp;ROW(),5),IF('FALTAS POR DECK'!$P$1="Nome","K"&amp;UPPER(SUBSTITUTE(SUBSTITUTE(SUBSTITUTE(C307,"*",""),"?",""),"~",""))&amp;"0"&amp;M307&amp;RIGHT("00000"&amp;ROW(),5),IF('FALTAS POR DECK'!$P$1="Falta (maior primeiro)","K"&amp;RIGHT("0000"&amp;(9999-F307),4)&amp;M307&amp;RIGHT("00000"&amp;ROW(),5),IF('FALTAS POR DECK'!$P$1="Deck e código","K"&amp;RIGHT("00"&amp;IFERROR(MATCH(A307,_LEITURA!$P$2:$P$21,0),99),2)&amp;M307&amp;RIGHT("00000"&amp;ROW(),5),"K"&amp;RIGHT("00000"&amp;ROW(),5))))))</f>
        <v/>
      </c>
      <c r="O307" s="16" t="str">
        <f aca="false">IF(N307="","",COUNTIFS($N$2:$N$1201,"&lt;"&amp;N307,$F$2:$F$1201,"&gt;0")+1)</f>
        <v/>
      </c>
    </row>
    <row r="308" customFormat="false" ht="15" hidden="false" customHeight="false" outlineLevel="0" collapsed="false">
      <c r="A308" s="11" t="str">
        <f aca="false">IF(_LEITURA!$N308="","",INDEX(_LEITURA!$K$2:$K$1201,_LEITURA!$N308))</f>
        <v/>
      </c>
      <c r="B308" s="11" t="str">
        <f aca="false">IF(_LEITURA!$N308="","",INDEX(_LEITURA!$E$2:$E$1201,_LEITURA!$N308))</f>
        <v/>
      </c>
      <c r="C308" s="11" t="str">
        <f aca="false">IF(_LEITURA!$N308="","",INDEX(_LEITURA!$J$2:$J$1201,_LEITURA!$N308))</f>
        <v/>
      </c>
      <c r="D308" s="16" t="str">
        <f aca="false">IF(_LEITURA!$N308="","",INDEX(_LEITURA!$G$2:$G$1201,_LEITURA!$N308))</f>
        <v/>
      </c>
      <c r="E308" s="16" t="str">
        <f aca="false">IF(B308="","",SUMIFS(INVENTÁRIO!$C$2:$C$801,INVENTÁRIO!$A$2:$A$801,B308))</f>
        <v/>
      </c>
      <c r="F308" s="16" t="str">
        <f aca="false">IF(B308="","",MAX(0,D308-E308))</f>
        <v/>
      </c>
      <c r="G308" s="16" t="str">
        <f aca="false">IF(B308="","",IF(COUNTIFS($B$2:$B$1201,B308,$A$2:$A$1201,"&lt;&gt;"&amp;A308)&gt;0,"Sim",""))</f>
        <v/>
      </c>
      <c r="H308" s="16" t="str">
        <f aca="false">IF(N(F308)&gt;0,MAX(H$1:H307)+1,"")</f>
        <v/>
      </c>
      <c r="I308" s="11" t="str">
        <f aca="false">IF(B308="","",IF(INDEX($C$2:$C$1201,MATCH(B308,$B$2:$B$1201,0))&lt;&gt;C308,"Nome diferente em outro deck — revisar",""))</f>
        <v/>
      </c>
      <c r="J308" s="16" t="str">
        <f aca="false">IF(AND(B308&lt;&gt;"",A308=BULK!$A$1,N(F308)&gt;0),MAX(J$1:J307)+1,"")</f>
        <v/>
      </c>
      <c r="K308" s="11" t="str">
        <f aca="false">IF(B308="","",IFERROR(LEFT(B308,FIND("-",B308)-1),B308))</f>
        <v/>
      </c>
      <c r="L308" s="11" t="str">
        <f aca="false">IF(K308="","",IF(ISNUMBER(--MID(K308,1,1)),0,IF(ISNUMBER(--MID(K308,2,1)),1,IF(ISNUMBER(--MID(K308,3,1)),2,IF(ISNUMBER(--MID(K308,4,1)),3,MIN(LEN(K308),4))))))</f>
        <v/>
      </c>
      <c r="M308" s="11" t="str">
        <f aca="false">IF(B308="","",LEFT(K308,L308)&amp;REPT("0",4-L308)&amp;RIGHT("000"&amp;IFERROR(VALUE(MID(K308,L308+1,9)),0),3)&amp;RIGHT("0000"&amp;IFERROR(VALUE(MID(B308,FIND("-",B308)+1,9)),0),4))</f>
        <v/>
      </c>
      <c r="N308" s="11" t="str">
        <f aca="false">IF(OR(B308="",N(F308)&lt;=0),"",IF('FALTAS POR DECK'!$P$1="Código","K"&amp;M308&amp;RIGHT("00000"&amp;ROW(),5),IF('FALTAS POR DECK'!$P$1="Nome","K"&amp;UPPER(SUBSTITUTE(SUBSTITUTE(SUBSTITUTE(C308,"*",""),"?",""),"~",""))&amp;"0"&amp;M308&amp;RIGHT("00000"&amp;ROW(),5),IF('FALTAS POR DECK'!$P$1="Falta (maior primeiro)","K"&amp;RIGHT("0000"&amp;(9999-F308),4)&amp;M308&amp;RIGHT("00000"&amp;ROW(),5),IF('FALTAS POR DECK'!$P$1="Deck e código","K"&amp;RIGHT("00"&amp;IFERROR(MATCH(A308,_LEITURA!$P$2:$P$21,0),99),2)&amp;M308&amp;RIGHT("00000"&amp;ROW(),5),"K"&amp;RIGHT("00000"&amp;ROW(),5))))))</f>
        <v/>
      </c>
      <c r="O308" s="16" t="str">
        <f aca="false">IF(N308="","",COUNTIFS($N$2:$N$1201,"&lt;"&amp;N308,$F$2:$F$1201,"&gt;0")+1)</f>
        <v/>
      </c>
    </row>
    <row r="309" customFormat="false" ht="15" hidden="false" customHeight="false" outlineLevel="0" collapsed="false">
      <c r="A309" s="11" t="str">
        <f aca="false">IF(_LEITURA!$N309="","",INDEX(_LEITURA!$K$2:$K$1201,_LEITURA!$N309))</f>
        <v/>
      </c>
      <c r="B309" s="11" t="str">
        <f aca="false">IF(_LEITURA!$N309="","",INDEX(_LEITURA!$E$2:$E$1201,_LEITURA!$N309))</f>
        <v/>
      </c>
      <c r="C309" s="11" t="str">
        <f aca="false">IF(_LEITURA!$N309="","",INDEX(_LEITURA!$J$2:$J$1201,_LEITURA!$N309))</f>
        <v/>
      </c>
      <c r="D309" s="16" t="str">
        <f aca="false">IF(_LEITURA!$N309="","",INDEX(_LEITURA!$G$2:$G$1201,_LEITURA!$N309))</f>
        <v/>
      </c>
      <c r="E309" s="16" t="str">
        <f aca="false">IF(B309="","",SUMIFS(INVENTÁRIO!$C$2:$C$801,INVENTÁRIO!$A$2:$A$801,B309))</f>
        <v/>
      </c>
      <c r="F309" s="16" t="str">
        <f aca="false">IF(B309="","",MAX(0,D309-E309))</f>
        <v/>
      </c>
      <c r="G309" s="16" t="str">
        <f aca="false">IF(B309="","",IF(COUNTIFS($B$2:$B$1201,B309,$A$2:$A$1201,"&lt;&gt;"&amp;A309)&gt;0,"Sim",""))</f>
        <v/>
      </c>
      <c r="H309" s="16" t="str">
        <f aca="false">IF(N(F309)&gt;0,MAX(H$1:H308)+1,"")</f>
        <v/>
      </c>
      <c r="I309" s="11" t="str">
        <f aca="false">IF(B309="","",IF(INDEX($C$2:$C$1201,MATCH(B309,$B$2:$B$1201,0))&lt;&gt;C309,"Nome diferente em outro deck — revisar",""))</f>
        <v/>
      </c>
      <c r="J309" s="16" t="str">
        <f aca="false">IF(AND(B309&lt;&gt;"",A309=BULK!$A$1,N(F309)&gt;0),MAX(J$1:J308)+1,"")</f>
        <v/>
      </c>
      <c r="K309" s="11" t="str">
        <f aca="false">IF(B309="","",IFERROR(LEFT(B309,FIND("-",B309)-1),B309))</f>
        <v/>
      </c>
      <c r="L309" s="11" t="str">
        <f aca="false">IF(K309="","",IF(ISNUMBER(--MID(K309,1,1)),0,IF(ISNUMBER(--MID(K309,2,1)),1,IF(ISNUMBER(--MID(K309,3,1)),2,IF(ISNUMBER(--MID(K309,4,1)),3,MIN(LEN(K309),4))))))</f>
        <v/>
      </c>
      <c r="M309" s="11" t="str">
        <f aca="false">IF(B309="","",LEFT(K309,L309)&amp;REPT("0",4-L309)&amp;RIGHT("000"&amp;IFERROR(VALUE(MID(K309,L309+1,9)),0),3)&amp;RIGHT("0000"&amp;IFERROR(VALUE(MID(B309,FIND("-",B309)+1,9)),0),4))</f>
        <v/>
      </c>
      <c r="N309" s="11" t="str">
        <f aca="false">IF(OR(B309="",N(F309)&lt;=0),"",IF('FALTAS POR DECK'!$P$1="Código","K"&amp;M309&amp;RIGHT("00000"&amp;ROW(),5),IF('FALTAS POR DECK'!$P$1="Nome","K"&amp;UPPER(SUBSTITUTE(SUBSTITUTE(SUBSTITUTE(C309,"*",""),"?",""),"~",""))&amp;"0"&amp;M309&amp;RIGHT("00000"&amp;ROW(),5),IF('FALTAS POR DECK'!$P$1="Falta (maior primeiro)","K"&amp;RIGHT("0000"&amp;(9999-F309),4)&amp;M309&amp;RIGHT("00000"&amp;ROW(),5),IF('FALTAS POR DECK'!$P$1="Deck e código","K"&amp;RIGHT("00"&amp;IFERROR(MATCH(A309,_LEITURA!$P$2:$P$21,0),99),2)&amp;M309&amp;RIGHT("00000"&amp;ROW(),5),"K"&amp;RIGHT("00000"&amp;ROW(),5))))))</f>
        <v/>
      </c>
      <c r="O309" s="16" t="str">
        <f aca="false">IF(N309="","",COUNTIFS($N$2:$N$1201,"&lt;"&amp;N309,$F$2:$F$1201,"&gt;0")+1)</f>
        <v/>
      </c>
    </row>
    <row r="310" customFormat="false" ht="15" hidden="false" customHeight="false" outlineLevel="0" collapsed="false">
      <c r="A310" s="11" t="str">
        <f aca="false">IF(_LEITURA!$N310="","",INDEX(_LEITURA!$K$2:$K$1201,_LEITURA!$N310))</f>
        <v/>
      </c>
      <c r="B310" s="11" t="str">
        <f aca="false">IF(_LEITURA!$N310="","",INDEX(_LEITURA!$E$2:$E$1201,_LEITURA!$N310))</f>
        <v/>
      </c>
      <c r="C310" s="11" t="str">
        <f aca="false">IF(_LEITURA!$N310="","",INDEX(_LEITURA!$J$2:$J$1201,_LEITURA!$N310))</f>
        <v/>
      </c>
      <c r="D310" s="16" t="str">
        <f aca="false">IF(_LEITURA!$N310="","",INDEX(_LEITURA!$G$2:$G$1201,_LEITURA!$N310))</f>
        <v/>
      </c>
      <c r="E310" s="16" t="str">
        <f aca="false">IF(B310="","",SUMIFS(INVENTÁRIO!$C$2:$C$801,INVENTÁRIO!$A$2:$A$801,B310))</f>
        <v/>
      </c>
      <c r="F310" s="16" t="str">
        <f aca="false">IF(B310="","",MAX(0,D310-E310))</f>
        <v/>
      </c>
      <c r="G310" s="16" t="str">
        <f aca="false">IF(B310="","",IF(COUNTIFS($B$2:$B$1201,B310,$A$2:$A$1201,"&lt;&gt;"&amp;A310)&gt;0,"Sim",""))</f>
        <v/>
      </c>
      <c r="H310" s="16" t="str">
        <f aca="false">IF(N(F310)&gt;0,MAX(H$1:H309)+1,"")</f>
        <v/>
      </c>
      <c r="I310" s="11" t="str">
        <f aca="false">IF(B310="","",IF(INDEX($C$2:$C$1201,MATCH(B310,$B$2:$B$1201,0))&lt;&gt;C310,"Nome diferente em outro deck — revisar",""))</f>
        <v/>
      </c>
      <c r="J310" s="16" t="str">
        <f aca="false">IF(AND(B310&lt;&gt;"",A310=BULK!$A$1,N(F310)&gt;0),MAX(J$1:J309)+1,"")</f>
        <v/>
      </c>
      <c r="K310" s="11" t="str">
        <f aca="false">IF(B310="","",IFERROR(LEFT(B310,FIND("-",B310)-1),B310))</f>
        <v/>
      </c>
      <c r="L310" s="11" t="str">
        <f aca="false">IF(K310="","",IF(ISNUMBER(--MID(K310,1,1)),0,IF(ISNUMBER(--MID(K310,2,1)),1,IF(ISNUMBER(--MID(K310,3,1)),2,IF(ISNUMBER(--MID(K310,4,1)),3,MIN(LEN(K310),4))))))</f>
        <v/>
      </c>
      <c r="M310" s="11" t="str">
        <f aca="false">IF(B310="","",LEFT(K310,L310)&amp;REPT("0",4-L310)&amp;RIGHT("000"&amp;IFERROR(VALUE(MID(K310,L310+1,9)),0),3)&amp;RIGHT("0000"&amp;IFERROR(VALUE(MID(B310,FIND("-",B310)+1,9)),0),4))</f>
        <v/>
      </c>
      <c r="N310" s="11" t="str">
        <f aca="false">IF(OR(B310="",N(F310)&lt;=0),"",IF('FALTAS POR DECK'!$P$1="Código","K"&amp;M310&amp;RIGHT("00000"&amp;ROW(),5),IF('FALTAS POR DECK'!$P$1="Nome","K"&amp;UPPER(SUBSTITUTE(SUBSTITUTE(SUBSTITUTE(C310,"*",""),"?",""),"~",""))&amp;"0"&amp;M310&amp;RIGHT("00000"&amp;ROW(),5),IF('FALTAS POR DECK'!$P$1="Falta (maior primeiro)","K"&amp;RIGHT("0000"&amp;(9999-F310),4)&amp;M310&amp;RIGHT("00000"&amp;ROW(),5),IF('FALTAS POR DECK'!$P$1="Deck e código","K"&amp;RIGHT("00"&amp;IFERROR(MATCH(A310,_LEITURA!$P$2:$P$21,0),99),2)&amp;M310&amp;RIGHT("00000"&amp;ROW(),5),"K"&amp;RIGHT("00000"&amp;ROW(),5))))))</f>
        <v/>
      </c>
      <c r="O310" s="16" t="str">
        <f aca="false">IF(N310="","",COUNTIFS($N$2:$N$1201,"&lt;"&amp;N310,$F$2:$F$1201,"&gt;0")+1)</f>
        <v/>
      </c>
    </row>
    <row r="311" customFormat="false" ht="15" hidden="false" customHeight="false" outlineLevel="0" collapsed="false">
      <c r="A311" s="11" t="str">
        <f aca="false">IF(_LEITURA!$N311="","",INDEX(_LEITURA!$K$2:$K$1201,_LEITURA!$N311))</f>
        <v/>
      </c>
      <c r="B311" s="11" t="str">
        <f aca="false">IF(_LEITURA!$N311="","",INDEX(_LEITURA!$E$2:$E$1201,_LEITURA!$N311))</f>
        <v/>
      </c>
      <c r="C311" s="11" t="str">
        <f aca="false">IF(_LEITURA!$N311="","",INDEX(_LEITURA!$J$2:$J$1201,_LEITURA!$N311))</f>
        <v/>
      </c>
      <c r="D311" s="16" t="str">
        <f aca="false">IF(_LEITURA!$N311="","",INDEX(_LEITURA!$G$2:$G$1201,_LEITURA!$N311))</f>
        <v/>
      </c>
      <c r="E311" s="16" t="str">
        <f aca="false">IF(B311="","",SUMIFS(INVENTÁRIO!$C$2:$C$801,INVENTÁRIO!$A$2:$A$801,B311))</f>
        <v/>
      </c>
      <c r="F311" s="16" t="str">
        <f aca="false">IF(B311="","",MAX(0,D311-E311))</f>
        <v/>
      </c>
      <c r="G311" s="16" t="str">
        <f aca="false">IF(B311="","",IF(COUNTIFS($B$2:$B$1201,B311,$A$2:$A$1201,"&lt;&gt;"&amp;A311)&gt;0,"Sim",""))</f>
        <v/>
      </c>
      <c r="H311" s="16" t="str">
        <f aca="false">IF(N(F311)&gt;0,MAX(H$1:H310)+1,"")</f>
        <v/>
      </c>
      <c r="I311" s="11" t="str">
        <f aca="false">IF(B311="","",IF(INDEX($C$2:$C$1201,MATCH(B311,$B$2:$B$1201,0))&lt;&gt;C311,"Nome diferente em outro deck — revisar",""))</f>
        <v/>
      </c>
      <c r="J311" s="16" t="str">
        <f aca="false">IF(AND(B311&lt;&gt;"",A311=BULK!$A$1,N(F311)&gt;0),MAX(J$1:J310)+1,"")</f>
        <v/>
      </c>
      <c r="K311" s="11" t="str">
        <f aca="false">IF(B311="","",IFERROR(LEFT(B311,FIND("-",B311)-1),B311))</f>
        <v/>
      </c>
      <c r="L311" s="11" t="str">
        <f aca="false">IF(K311="","",IF(ISNUMBER(--MID(K311,1,1)),0,IF(ISNUMBER(--MID(K311,2,1)),1,IF(ISNUMBER(--MID(K311,3,1)),2,IF(ISNUMBER(--MID(K311,4,1)),3,MIN(LEN(K311),4))))))</f>
        <v/>
      </c>
      <c r="M311" s="11" t="str">
        <f aca="false">IF(B311="","",LEFT(K311,L311)&amp;REPT("0",4-L311)&amp;RIGHT("000"&amp;IFERROR(VALUE(MID(K311,L311+1,9)),0),3)&amp;RIGHT("0000"&amp;IFERROR(VALUE(MID(B311,FIND("-",B311)+1,9)),0),4))</f>
        <v/>
      </c>
      <c r="N311" s="11" t="str">
        <f aca="false">IF(OR(B311="",N(F311)&lt;=0),"",IF('FALTAS POR DECK'!$P$1="Código","K"&amp;M311&amp;RIGHT("00000"&amp;ROW(),5),IF('FALTAS POR DECK'!$P$1="Nome","K"&amp;UPPER(SUBSTITUTE(SUBSTITUTE(SUBSTITUTE(C311,"*",""),"?",""),"~",""))&amp;"0"&amp;M311&amp;RIGHT("00000"&amp;ROW(),5),IF('FALTAS POR DECK'!$P$1="Falta (maior primeiro)","K"&amp;RIGHT("0000"&amp;(9999-F311),4)&amp;M311&amp;RIGHT("00000"&amp;ROW(),5),IF('FALTAS POR DECK'!$P$1="Deck e código","K"&amp;RIGHT("00"&amp;IFERROR(MATCH(A311,_LEITURA!$P$2:$P$21,0),99),2)&amp;M311&amp;RIGHT("00000"&amp;ROW(),5),"K"&amp;RIGHT("00000"&amp;ROW(),5))))))</f>
        <v/>
      </c>
      <c r="O311" s="16" t="str">
        <f aca="false">IF(N311="","",COUNTIFS($N$2:$N$1201,"&lt;"&amp;N311,$F$2:$F$1201,"&gt;0")+1)</f>
        <v/>
      </c>
    </row>
    <row r="312" customFormat="false" ht="15" hidden="false" customHeight="false" outlineLevel="0" collapsed="false">
      <c r="A312" s="11" t="str">
        <f aca="false">IF(_LEITURA!$N312="","",INDEX(_LEITURA!$K$2:$K$1201,_LEITURA!$N312))</f>
        <v/>
      </c>
      <c r="B312" s="11" t="str">
        <f aca="false">IF(_LEITURA!$N312="","",INDEX(_LEITURA!$E$2:$E$1201,_LEITURA!$N312))</f>
        <v/>
      </c>
      <c r="C312" s="11" t="str">
        <f aca="false">IF(_LEITURA!$N312="","",INDEX(_LEITURA!$J$2:$J$1201,_LEITURA!$N312))</f>
        <v/>
      </c>
      <c r="D312" s="16" t="str">
        <f aca="false">IF(_LEITURA!$N312="","",INDEX(_LEITURA!$G$2:$G$1201,_LEITURA!$N312))</f>
        <v/>
      </c>
      <c r="E312" s="16" t="str">
        <f aca="false">IF(B312="","",SUMIFS(INVENTÁRIO!$C$2:$C$801,INVENTÁRIO!$A$2:$A$801,B312))</f>
        <v/>
      </c>
      <c r="F312" s="16" t="str">
        <f aca="false">IF(B312="","",MAX(0,D312-E312))</f>
        <v/>
      </c>
      <c r="G312" s="16" t="str">
        <f aca="false">IF(B312="","",IF(COUNTIFS($B$2:$B$1201,B312,$A$2:$A$1201,"&lt;&gt;"&amp;A312)&gt;0,"Sim",""))</f>
        <v/>
      </c>
      <c r="H312" s="16" t="str">
        <f aca="false">IF(N(F312)&gt;0,MAX(H$1:H311)+1,"")</f>
        <v/>
      </c>
      <c r="I312" s="11" t="str">
        <f aca="false">IF(B312="","",IF(INDEX($C$2:$C$1201,MATCH(B312,$B$2:$B$1201,0))&lt;&gt;C312,"Nome diferente em outro deck — revisar",""))</f>
        <v/>
      </c>
      <c r="J312" s="16" t="str">
        <f aca="false">IF(AND(B312&lt;&gt;"",A312=BULK!$A$1,N(F312)&gt;0),MAX(J$1:J311)+1,"")</f>
        <v/>
      </c>
      <c r="K312" s="11" t="str">
        <f aca="false">IF(B312="","",IFERROR(LEFT(B312,FIND("-",B312)-1),B312))</f>
        <v/>
      </c>
      <c r="L312" s="11" t="str">
        <f aca="false">IF(K312="","",IF(ISNUMBER(--MID(K312,1,1)),0,IF(ISNUMBER(--MID(K312,2,1)),1,IF(ISNUMBER(--MID(K312,3,1)),2,IF(ISNUMBER(--MID(K312,4,1)),3,MIN(LEN(K312),4))))))</f>
        <v/>
      </c>
      <c r="M312" s="11" t="str">
        <f aca="false">IF(B312="","",LEFT(K312,L312)&amp;REPT("0",4-L312)&amp;RIGHT("000"&amp;IFERROR(VALUE(MID(K312,L312+1,9)),0),3)&amp;RIGHT("0000"&amp;IFERROR(VALUE(MID(B312,FIND("-",B312)+1,9)),0),4))</f>
        <v/>
      </c>
      <c r="N312" s="11" t="str">
        <f aca="false">IF(OR(B312="",N(F312)&lt;=0),"",IF('FALTAS POR DECK'!$P$1="Código","K"&amp;M312&amp;RIGHT("00000"&amp;ROW(),5),IF('FALTAS POR DECK'!$P$1="Nome","K"&amp;UPPER(SUBSTITUTE(SUBSTITUTE(SUBSTITUTE(C312,"*",""),"?",""),"~",""))&amp;"0"&amp;M312&amp;RIGHT("00000"&amp;ROW(),5),IF('FALTAS POR DECK'!$P$1="Falta (maior primeiro)","K"&amp;RIGHT("0000"&amp;(9999-F312),4)&amp;M312&amp;RIGHT("00000"&amp;ROW(),5),IF('FALTAS POR DECK'!$P$1="Deck e código","K"&amp;RIGHT("00"&amp;IFERROR(MATCH(A312,_LEITURA!$P$2:$P$21,0),99),2)&amp;M312&amp;RIGHT("00000"&amp;ROW(),5),"K"&amp;RIGHT("00000"&amp;ROW(),5))))))</f>
        <v/>
      </c>
      <c r="O312" s="16" t="str">
        <f aca="false">IF(N312="","",COUNTIFS($N$2:$N$1201,"&lt;"&amp;N312,$F$2:$F$1201,"&gt;0")+1)</f>
        <v/>
      </c>
    </row>
    <row r="313" customFormat="false" ht="15" hidden="false" customHeight="false" outlineLevel="0" collapsed="false">
      <c r="A313" s="11" t="str">
        <f aca="false">IF(_LEITURA!$N313="","",INDEX(_LEITURA!$K$2:$K$1201,_LEITURA!$N313))</f>
        <v/>
      </c>
      <c r="B313" s="11" t="str">
        <f aca="false">IF(_LEITURA!$N313="","",INDEX(_LEITURA!$E$2:$E$1201,_LEITURA!$N313))</f>
        <v/>
      </c>
      <c r="C313" s="11" t="str">
        <f aca="false">IF(_LEITURA!$N313="","",INDEX(_LEITURA!$J$2:$J$1201,_LEITURA!$N313))</f>
        <v/>
      </c>
      <c r="D313" s="16" t="str">
        <f aca="false">IF(_LEITURA!$N313="","",INDEX(_LEITURA!$G$2:$G$1201,_LEITURA!$N313))</f>
        <v/>
      </c>
      <c r="E313" s="16" t="str">
        <f aca="false">IF(B313="","",SUMIFS(INVENTÁRIO!$C$2:$C$801,INVENTÁRIO!$A$2:$A$801,B313))</f>
        <v/>
      </c>
      <c r="F313" s="16" t="str">
        <f aca="false">IF(B313="","",MAX(0,D313-E313))</f>
        <v/>
      </c>
      <c r="G313" s="16" t="str">
        <f aca="false">IF(B313="","",IF(COUNTIFS($B$2:$B$1201,B313,$A$2:$A$1201,"&lt;&gt;"&amp;A313)&gt;0,"Sim",""))</f>
        <v/>
      </c>
      <c r="H313" s="16" t="str">
        <f aca="false">IF(N(F313)&gt;0,MAX(H$1:H312)+1,"")</f>
        <v/>
      </c>
      <c r="I313" s="11" t="str">
        <f aca="false">IF(B313="","",IF(INDEX($C$2:$C$1201,MATCH(B313,$B$2:$B$1201,0))&lt;&gt;C313,"Nome diferente em outro deck — revisar",""))</f>
        <v/>
      </c>
      <c r="J313" s="16" t="str">
        <f aca="false">IF(AND(B313&lt;&gt;"",A313=BULK!$A$1,N(F313)&gt;0),MAX(J$1:J312)+1,"")</f>
        <v/>
      </c>
      <c r="K313" s="11" t="str">
        <f aca="false">IF(B313="","",IFERROR(LEFT(B313,FIND("-",B313)-1),B313))</f>
        <v/>
      </c>
      <c r="L313" s="11" t="str">
        <f aca="false">IF(K313="","",IF(ISNUMBER(--MID(K313,1,1)),0,IF(ISNUMBER(--MID(K313,2,1)),1,IF(ISNUMBER(--MID(K313,3,1)),2,IF(ISNUMBER(--MID(K313,4,1)),3,MIN(LEN(K313),4))))))</f>
        <v/>
      </c>
      <c r="M313" s="11" t="str">
        <f aca="false">IF(B313="","",LEFT(K313,L313)&amp;REPT("0",4-L313)&amp;RIGHT("000"&amp;IFERROR(VALUE(MID(K313,L313+1,9)),0),3)&amp;RIGHT("0000"&amp;IFERROR(VALUE(MID(B313,FIND("-",B313)+1,9)),0),4))</f>
        <v/>
      </c>
      <c r="N313" s="11" t="str">
        <f aca="false">IF(OR(B313="",N(F313)&lt;=0),"",IF('FALTAS POR DECK'!$P$1="Código","K"&amp;M313&amp;RIGHT("00000"&amp;ROW(),5),IF('FALTAS POR DECK'!$P$1="Nome","K"&amp;UPPER(SUBSTITUTE(SUBSTITUTE(SUBSTITUTE(C313,"*",""),"?",""),"~",""))&amp;"0"&amp;M313&amp;RIGHT("00000"&amp;ROW(),5),IF('FALTAS POR DECK'!$P$1="Falta (maior primeiro)","K"&amp;RIGHT("0000"&amp;(9999-F313),4)&amp;M313&amp;RIGHT("00000"&amp;ROW(),5),IF('FALTAS POR DECK'!$P$1="Deck e código","K"&amp;RIGHT("00"&amp;IFERROR(MATCH(A313,_LEITURA!$P$2:$P$21,0),99),2)&amp;M313&amp;RIGHT("00000"&amp;ROW(),5),"K"&amp;RIGHT("00000"&amp;ROW(),5))))))</f>
        <v/>
      </c>
      <c r="O313" s="16" t="str">
        <f aca="false">IF(N313="","",COUNTIFS($N$2:$N$1201,"&lt;"&amp;N313,$F$2:$F$1201,"&gt;0")+1)</f>
        <v/>
      </c>
    </row>
    <row r="314" customFormat="false" ht="15" hidden="false" customHeight="false" outlineLevel="0" collapsed="false">
      <c r="A314" s="11" t="str">
        <f aca="false">IF(_LEITURA!$N314="","",INDEX(_LEITURA!$K$2:$K$1201,_LEITURA!$N314))</f>
        <v/>
      </c>
      <c r="B314" s="11" t="str">
        <f aca="false">IF(_LEITURA!$N314="","",INDEX(_LEITURA!$E$2:$E$1201,_LEITURA!$N314))</f>
        <v/>
      </c>
      <c r="C314" s="11" t="str">
        <f aca="false">IF(_LEITURA!$N314="","",INDEX(_LEITURA!$J$2:$J$1201,_LEITURA!$N314))</f>
        <v/>
      </c>
      <c r="D314" s="16" t="str">
        <f aca="false">IF(_LEITURA!$N314="","",INDEX(_LEITURA!$G$2:$G$1201,_LEITURA!$N314))</f>
        <v/>
      </c>
      <c r="E314" s="16" t="str">
        <f aca="false">IF(B314="","",SUMIFS(INVENTÁRIO!$C$2:$C$801,INVENTÁRIO!$A$2:$A$801,B314))</f>
        <v/>
      </c>
      <c r="F314" s="16" t="str">
        <f aca="false">IF(B314="","",MAX(0,D314-E314))</f>
        <v/>
      </c>
      <c r="G314" s="16" t="str">
        <f aca="false">IF(B314="","",IF(COUNTIFS($B$2:$B$1201,B314,$A$2:$A$1201,"&lt;&gt;"&amp;A314)&gt;0,"Sim",""))</f>
        <v/>
      </c>
      <c r="H314" s="16" t="str">
        <f aca="false">IF(N(F314)&gt;0,MAX(H$1:H313)+1,"")</f>
        <v/>
      </c>
      <c r="I314" s="11" t="str">
        <f aca="false">IF(B314="","",IF(INDEX($C$2:$C$1201,MATCH(B314,$B$2:$B$1201,0))&lt;&gt;C314,"Nome diferente em outro deck — revisar",""))</f>
        <v/>
      </c>
      <c r="J314" s="16" t="str">
        <f aca="false">IF(AND(B314&lt;&gt;"",A314=BULK!$A$1,N(F314)&gt;0),MAX(J$1:J313)+1,"")</f>
        <v/>
      </c>
      <c r="K314" s="11" t="str">
        <f aca="false">IF(B314="","",IFERROR(LEFT(B314,FIND("-",B314)-1),B314))</f>
        <v/>
      </c>
      <c r="L314" s="11" t="str">
        <f aca="false">IF(K314="","",IF(ISNUMBER(--MID(K314,1,1)),0,IF(ISNUMBER(--MID(K314,2,1)),1,IF(ISNUMBER(--MID(K314,3,1)),2,IF(ISNUMBER(--MID(K314,4,1)),3,MIN(LEN(K314),4))))))</f>
        <v/>
      </c>
      <c r="M314" s="11" t="str">
        <f aca="false">IF(B314="","",LEFT(K314,L314)&amp;REPT("0",4-L314)&amp;RIGHT("000"&amp;IFERROR(VALUE(MID(K314,L314+1,9)),0),3)&amp;RIGHT("0000"&amp;IFERROR(VALUE(MID(B314,FIND("-",B314)+1,9)),0),4))</f>
        <v/>
      </c>
      <c r="N314" s="11" t="str">
        <f aca="false">IF(OR(B314="",N(F314)&lt;=0),"",IF('FALTAS POR DECK'!$P$1="Código","K"&amp;M314&amp;RIGHT("00000"&amp;ROW(),5),IF('FALTAS POR DECK'!$P$1="Nome","K"&amp;UPPER(SUBSTITUTE(SUBSTITUTE(SUBSTITUTE(C314,"*",""),"?",""),"~",""))&amp;"0"&amp;M314&amp;RIGHT("00000"&amp;ROW(),5),IF('FALTAS POR DECK'!$P$1="Falta (maior primeiro)","K"&amp;RIGHT("0000"&amp;(9999-F314),4)&amp;M314&amp;RIGHT("00000"&amp;ROW(),5),IF('FALTAS POR DECK'!$P$1="Deck e código","K"&amp;RIGHT("00"&amp;IFERROR(MATCH(A314,_LEITURA!$P$2:$P$21,0),99),2)&amp;M314&amp;RIGHT("00000"&amp;ROW(),5),"K"&amp;RIGHT("00000"&amp;ROW(),5))))))</f>
        <v/>
      </c>
      <c r="O314" s="16" t="str">
        <f aca="false">IF(N314="","",COUNTIFS($N$2:$N$1201,"&lt;"&amp;N314,$F$2:$F$1201,"&gt;0")+1)</f>
        <v/>
      </c>
    </row>
    <row r="315" customFormat="false" ht="15" hidden="false" customHeight="false" outlineLevel="0" collapsed="false">
      <c r="A315" s="11" t="str">
        <f aca="false">IF(_LEITURA!$N315="","",INDEX(_LEITURA!$K$2:$K$1201,_LEITURA!$N315))</f>
        <v/>
      </c>
      <c r="B315" s="11" t="str">
        <f aca="false">IF(_LEITURA!$N315="","",INDEX(_LEITURA!$E$2:$E$1201,_LEITURA!$N315))</f>
        <v/>
      </c>
      <c r="C315" s="11" t="str">
        <f aca="false">IF(_LEITURA!$N315="","",INDEX(_LEITURA!$J$2:$J$1201,_LEITURA!$N315))</f>
        <v/>
      </c>
      <c r="D315" s="16" t="str">
        <f aca="false">IF(_LEITURA!$N315="","",INDEX(_LEITURA!$G$2:$G$1201,_LEITURA!$N315))</f>
        <v/>
      </c>
      <c r="E315" s="16" t="str">
        <f aca="false">IF(B315="","",SUMIFS(INVENTÁRIO!$C$2:$C$801,INVENTÁRIO!$A$2:$A$801,B315))</f>
        <v/>
      </c>
      <c r="F315" s="16" t="str">
        <f aca="false">IF(B315="","",MAX(0,D315-E315))</f>
        <v/>
      </c>
      <c r="G315" s="16" t="str">
        <f aca="false">IF(B315="","",IF(COUNTIFS($B$2:$B$1201,B315,$A$2:$A$1201,"&lt;&gt;"&amp;A315)&gt;0,"Sim",""))</f>
        <v/>
      </c>
      <c r="H315" s="16" t="str">
        <f aca="false">IF(N(F315)&gt;0,MAX(H$1:H314)+1,"")</f>
        <v/>
      </c>
      <c r="I315" s="11" t="str">
        <f aca="false">IF(B315="","",IF(INDEX($C$2:$C$1201,MATCH(B315,$B$2:$B$1201,0))&lt;&gt;C315,"Nome diferente em outro deck — revisar",""))</f>
        <v/>
      </c>
      <c r="J315" s="16" t="str">
        <f aca="false">IF(AND(B315&lt;&gt;"",A315=BULK!$A$1,N(F315)&gt;0),MAX(J$1:J314)+1,"")</f>
        <v/>
      </c>
      <c r="K315" s="11" t="str">
        <f aca="false">IF(B315="","",IFERROR(LEFT(B315,FIND("-",B315)-1),B315))</f>
        <v/>
      </c>
      <c r="L315" s="11" t="str">
        <f aca="false">IF(K315="","",IF(ISNUMBER(--MID(K315,1,1)),0,IF(ISNUMBER(--MID(K315,2,1)),1,IF(ISNUMBER(--MID(K315,3,1)),2,IF(ISNUMBER(--MID(K315,4,1)),3,MIN(LEN(K315),4))))))</f>
        <v/>
      </c>
      <c r="M315" s="11" t="str">
        <f aca="false">IF(B315="","",LEFT(K315,L315)&amp;REPT("0",4-L315)&amp;RIGHT("000"&amp;IFERROR(VALUE(MID(K315,L315+1,9)),0),3)&amp;RIGHT("0000"&amp;IFERROR(VALUE(MID(B315,FIND("-",B315)+1,9)),0),4))</f>
        <v/>
      </c>
      <c r="N315" s="11" t="str">
        <f aca="false">IF(OR(B315="",N(F315)&lt;=0),"",IF('FALTAS POR DECK'!$P$1="Código","K"&amp;M315&amp;RIGHT("00000"&amp;ROW(),5),IF('FALTAS POR DECK'!$P$1="Nome","K"&amp;UPPER(SUBSTITUTE(SUBSTITUTE(SUBSTITUTE(C315,"*",""),"?",""),"~",""))&amp;"0"&amp;M315&amp;RIGHT("00000"&amp;ROW(),5),IF('FALTAS POR DECK'!$P$1="Falta (maior primeiro)","K"&amp;RIGHT("0000"&amp;(9999-F315),4)&amp;M315&amp;RIGHT("00000"&amp;ROW(),5),IF('FALTAS POR DECK'!$P$1="Deck e código","K"&amp;RIGHT("00"&amp;IFERROR(MATCH(A315,_LEITURA!$P$2:$P$21,0),99),2)&amp;M315&amp;RIGHT("00000"&amp;ROW(),5),"K"&amp;RIGHT("00000"&amp;ROW(),5))))))</f>
        <v/>
      </c>
      <c r="O315" s="16" t="str">
        <f aca="false">IF(N315="","",COUNTIFS($N$2:$N$1201,"&lt;"&amp;N315,$F$2:$F$1201,"&gt;0")+1)</f>
        <v/>
      </c>
    </row>
    <row r="316" customFormat="false" ht="15" hidden="false" customHeight="false" outlineLevel="0" collapsed="false">
      <c r="A316" s="11" t="str">
        <f aca="false">IF(_LEITURA!$N316="","",INDEX(_LEITURA!$K$2:$K$1201,_LEITURA!$N316))</f>
        <v/>
      </c>
      <c r="B316" s="11" t="str">
        <f aca="false">IF(_LEITURA!$N316="","",INDEX(_LEITURA!$E$2:$E$1201,_LEITURA!$N316))</f>
        <v/>
      </c>
      <c r="C316" s="11" t="str">
        <f aca="false">IF(_LEITURA!$N316="","",INDEX(_LEITURA!$J$2:$J$1201,_LEITURA!$N316))</f>
        <v/>
      </c>
      <c r="D316" s="16" t="str">
        <f aca="false">IF(_LEITURA!$N316="","",INDEX(_LEITURA!$G$2:$G$1201,_LEITURA!$N316))</f>
        <v/>
      </c>
      <c r="E316" s="16" t="str">
        <f aca="false">IF(B316="","",SUMIFS(INVENTÁRIO!$C$2:$C$801,INVENTÁRIO!$A$2:$A$801,B316))</f>
        <v/>
      </c>
      <c r="F316" s="16" t="str">
        <f aca="false">IF(B316="","",MAX(0,D316-E316))</f>
        <v/>
      </c>
      <c r="G316" s="16" t="str">
        <f aca="false">IF(B316="","",IF(COUNTIFS($B$2:$B$1201,B316,$A$2:$A$1201,"&lt;&gt;"&amp;A316)&gt;0,"Sim",""))</f>
        <v/>
      </c>
      <c r="H316" s="16" t="str">
        <f aca="false">IF(N(F316)&gt;0,MAX(H$1:H315)+1,"")</f>
        <v/>
      </c>
      <c r="I316" s="11" t="str">
        <f aca="false">IF(B316="","",IF(INDEX($C$2:$C$1201,MATCH(B316,$B$2:$B$1201,0))&lt;&gt;C316,"Nome diferente em outro deck — revisar",""))</f>
        <v/>
      </c>
      <c r="J316" s="16" t="str">
        <f aca="false">IF(AND(B316&lt;&gt;"",A316=BULK!$A$1,N(F316)&gt;0),MAX(J$1:J315)+1,"")</f>
        <v/>
      </c>
      <c r="K316" s="11" t="str">
        <f aca="false">IF(B316="","",IFERROR(LEFT(B316,FIND("-",B316)-1),B316))</f>
        <v/>
      </c>
      <c r="L316" s="11" t="str">
        <f aca="false">IF(K316="","",IF(ISNUMBER(--MID(K316,1,1)),0,IF(ISNUMBER(--MID(K316,2,1)),1,IF(ISNUMBER(--MID(K316,3,1)),2,IF(ISNUMBER(--MID(K316,4,1)),3,MIN(LEN(K316),4))))))</f>
        <v/>
      </c>
      <c r="M316" s="11" t="str">
        <f aca="false">IF(B316="","",LEFT(K316,L316)&amp;REPT("0",4-L316)&amp;RIGHT("000"&amp;IFERROR(VALUE(MID(K316,L316+1,9)),0),3)&amp;RIGHT("0000"&amp;IFERROR(VALUE(MID(B316,FIND("-",B316)+1,9)),0),4))</f>
        <v/>
      </c>
      <c r="N316" s="11" t="str">
        <f aca="false">IF(OR(B316="",N(F316)&lt;=0),"",IF('FALTAS POR DECK'!$P$1="Código","K"&amp;M316&amp;RIGHT("00000"&amp;ROW(),5),IF('FALTAS POR DECK'!$P$1="Nome","K"&amp;UPPER(SUBSTITUTE(SUBSTITUTE(SUBSTITUTE(C316,"*",""),"?",""),"~",""))&amp;"0"&amp;M316&amp;RIGHT("00000"&amp;ROW(),5),IF('FALTAS POR DECK'!$P$1="Falta (maior primeiro)","K"&amp;RIGHT("0000"&amp;(9999-F316),4)&amp;M316&amp;RIGHT("00000"&amp;ROW(),5),IF('FALTAS POR DECK'!$P$1="Deck e código","K"&amp;RIGHT("00"&amp;IFERROR(MATCH(A316,_LEITURA!$P$2:$P$21,0),99),2)&amp;M316&amp;RIGHT("00000"&amp;ROW(),5),"K"&amp;RIGHT("00000"&amp;ROW(),5))))))</f>
        <v/>
      </c>
      <c r="O316" s="16" t="str">
        <f aca="false">IF(N316="","",COUNTIFS($N$2:$N$1201,"&lt;"&amp;N316,$F$2:$F$1201,"&gt;0")+1)</f>
        <v/>
      </c>
    </row>
    <row r="317" customFormat="false" ht="15" hidden="false" customHeight="false" outlineLevel="0" collapsed="false">
      <c r="A317" s="11" t="str">
        <f aca="false">IF(_LEITURA!$N317="","",INDEX(_LEITURA!$K$2:$K$1201,_LEITURA!$N317))</f>
        <v/>
      </c>
      <c r="B317" s="11" t="str">
        <f aca="false">IF(_LEITURA!$N317="","",INDEX(_LEITURA!$E$2:$E$1201,_LEITURA!$N317))</f>
        <v/>
      </c>
      <c r="C317" s="11" t="str">
        <f aca="false">IF(_LEITURA!$N317="","",INDEX(_LEITURA!$J$2:$J$1201,_LEITURA!$N317))</f>
        <v/>
      </c>
      <c r="D317" s="16" t="str">
        <f aca="false">IF(_LEITURA!$N317="","",INDEX(_LEITURA!$G$2:$G$1201,_LEITURA!$N317))</f>
        <v/>
      </c>
      <c r="E317" s="16" t="str">
        <f aca="false">IF(B317="","",SUMIFS(INVENTÁRIO!$C$2:$C$801,INVENTÁRIO!$A$2:$A$801,B317))</f>
        <v/>
      </c>
      <c r="F317" s="16" t="str">
        <f aca="false">IF(B317="","",MAX(0,D317-E317))</f>
        <v/>
      </c>
      <c r="G317" s="16" t="str">
        <f aca="false">IF(B317="","",IF(COUNTIFS($B$2:$B$1201,B317,$A$2:$A$1201,"&lt;&gt;"&amp;A317)&gt;0,"Sim",""))</f>
        <v/>
      </c>
      <c r="H317" s="16" t="str">
        <f aca="false">IF(N(F317)&gt;0,MAX(H$1:H316)+1,"")</f>
        <v/>
      </c>
      <c r="I317" s="11" t="str">
        <f aca="false">IF(B317="","",IF(INDEX($C$2:$C$1201,MATCH(B317,$B$2:$B$1201,0))&lt;&gt;C317,"Nome diferente em outro deck — revisar",""))</f>
        <v/>
      </c>
      <c r="J317" s="16" t="str">
        <f aca="false">IF(AND(B317&lt;&gt;"",A317=BULK!$A$1,N(F317)&gt;0),MAX(J$1:J316)+1,"")</f>
        <v/>
      </c>
      <c r="K317" s="11" t="str">
        <f aca="false">IF(B317="","",IFERROR(LEFT(B317,FIND("-",B317)-1),B317))</f>
        <v/>
      </c>
      <c r="L317" s="11" t="str">
        <f aca="false">IF(K317="","",IF(ISNUMBER(--MID(K317,1,1)),0,IF(ISNUMBER(--MID(K317,2,1)),1,IF(ISNUMBER(--MID(K317,3,1)),2,IF(ISNUMBER(--MID(K317,4,1)),3,MIN(LEN(K317),4))))))</f>
        <v/>
      </c>
      <c r="M317" s="11" t="str">
        <f aca="false">IF(B317="","",LEFT(K317,L317)&amp;REPT("0",4-L317)&amp;RIGHT("000"&amp;IFERROR(VALUE(MID(K317,L317+1,9)),0),3)&amp;RIGHT("0000"&amp;IFERROR(VALUE(MID(B317,FIND("-",B317)+1,9)),0),4))</f>
        <v/>
      </c>
      <c r="N317" s="11" t="str">
        <f aca="false">IF(OR(B317="",N(F317)&lt;=0),"",IF('FALTAS POR DECK'!$P$1="Código","K"&amp;M317&amp;RIGHT("00000"&amp;ROW(),5),IF('FALTAS POR DECK'!$P$1="Nome","K"&amp;UPPER(SUBSTITUTE(SUBSTITUTE(SUBSTITUTE(C317,"*",""),"?",""),"~",""))&amp;"0"&amp;M317&amp;RIGHT("00000"&amp;ROW(),5),IF('FALTAS POR DECK'!$P$1="Falta (maior primeiro)","K"&amp;RIGHT("0000"&amp;(9999-F317),4)&amp;M317&amp;RIGHT("00000"&amp;ROW(),5),IF('FALTAS POR DECK'!$P$1="Deck e código","K"&amp;RIGHT("00"&amp;IFERROR(MATCH(A317,_LEITURA!$P$2:$P$21,0),99),2)&amp;M317&amp;RIGHT("00000"&amp;ROW(),5),"K"&amp;RIGHT("00000"&amp;ROW(),5))))))</f>
        <v/>
      </c>
      <c r="O317" s="16" t="str">
        <f aca="false">IF(N317="","",COUNTIFS($N$2:$N$1201,"&lt;"&amp;N317,$F$2:$F$1201,"&gt;0")+1)</f>
        <v/>
      </c>
    </row>
    <row r="318" customFormat="false" ht="15" hidden="false" customHeight="false" outlineLevel="0" collapsed="false">
      <c r="A318" s="11" t="str">
        <f aca="false">IF(_LEITURA!$N318="","",INDEX(_LEITURA!$K$2:$K$1201,_LEITURA!$N318))</f>
        <v/>
      </c>
      <c r="B318" s="11" t="str">
        <f aca="false">IF(_LEITURA!$N318="","",INDEX(_LEITURA!$E$2:$E$1201,_LEITURA!$N318))</f>
        <v/>
      </c>
      <c r="C318" s="11" t="str">
        <f aca="false">IF(_LEITURA!$N318="","",INDEX(_LEITURA!$J$2:$J$1201,_LEITURA!$N318))</f>
        <v/>
      </c>
      <c r="D318" s="16" t="str">
        <f aca="false">IF(_LEITURA!$N318="","",INDEX(_LEITURA!$G$2:$G$1201,_LEITURA!$N318))</f>
        <v/>
      </c>
      <c r="E318" s="16" t="str">
        <f aca="false">IF(B318="","",SUMIFS(INVENTÁRIO!$C$2:$C$801,INVENTÁRIO!$A$2:$A$801,B318))</f>
        <v/>
      </c>
      <c r="F318" s="16" t="str">
        <f aca="false">IF(B318="","",MAX(0,D318-E318))</f>
        <v/>
      </c>
      <c r="G318" s="16" t="str">
        <f aca="false">IF(B318="","",IF(COUNTIFS($B$2:$B$1201,B318,$A$2:$A$1201,"&lt;&gt;"&amp;A318)&gt;0,"Sim",""))</f>
        <v/>
      </c>
      <c r="H318" s="16" t="str">
        <f aca="false">IF(N(F318)&gt;0,MAX(H$1:H317)+1,"")</f>
        <v/>
      </c>
      <c r="I318" s="11" t="str">
        <f aca="false">IF(B318="","",IF(INDEX($C$2:$C$1201,MATCH(B318,$B$2:$B$1201,0))&lt;&gt;C318,"Nome diferente em outro deck — revisar",""))</f>
        <v/>
      </c>
      <c r="J318" s="16" t="str">
        <f aca="false">IF(AND(B318&lt;&gt;"",A318=BULK!$A$1,N(F318)&gt;0),MAX(J$1:J317)+1,"")</f>
        <v/>
      </c>
      <c r="K318" s="11" t="str">
        <f aca="false">IF(B318="","",IFERROR(LEFT(B318,FIND("-",B318)-1),B318))</f>
        <v/>
      </c>
      <c r="L318" s="11" t="str">
        <f aca="false">IF(K318="","",IF(ISNUMBER(--MID(K318,1,1)),0,IF(ISNUMBER(--MID(K318,2,1)),1,IF(ISNUMBER(--MID(K318,3,1)),2,IF(ISNUMBER(--MID(K318,4,1)),3,MIN(LEN(K318),4))))))</f>
        <v/>
      </c>
      <c r="M318" s="11" t="str">
        <f aca="false">IF(B318="","",LEFT(K318,L318)&amp;REPT("0",4-L318)&amp;RIGHT("000"&amp;IFERROR(VALUE(MID(K318,L318+1,9)),0),3)&amp;RIGHT("0000"&amp;IFERROR(VALUE(MID(B318,FIND("-",B318)+1,9)),0),4))</f>
        <v/>
      </c>
      <c r="N318" s="11" t="str">
        <f aca="false">IF(OR(B318="",N(F318)&lt;=0),"",IF('FALTAS POR DECK'!$P$1="Código","K"&amp;M318&amp;RIGHT("00000"&amp;ROW(),5),IF('FALTAS POR DECK'!$P$1="Nome","K"&amp;UPPER(SUBSTITUTE(SUBSTITUTE(SUBSTITUTE(C318,"*",""),"?",""),"~",""))&amp;"0"&amp;M318&amp;RIGHT("00000"&amp;ROW(),5),IF('FALTAS POR DECK'!$P$1="Falta (maior primeiro)","K"&amp;RIGHT("0000"&amp;(9999-F318),4)&amp;M318&amp;RIGHT("00000"&amp;ROW(),5),IF('FALTAS POR DECK'!$P$1="Deck e código","K"&amp;RIGHT("00"&amp;IFERROR(MATCH(A318,_LEITURA!$P$2:$P$21,0),99),2)&amp;M318&amp;RIGHT("00000"&amp;ROW(),5),"K"&amp;RIGHT("00000"&amp;ROW(),5))))))</f>
        <v/>
      </c>
      <c r="O318" s="16" t="str">
        <f aca="false">IF(N318="","",COUNTIFS($N$2:$N$1201,"&lt;"&amp;N318,$F$2:$F$1201,"&gt;0")+1)</f>
        <v/>
      </c>
    </row>
    <row r="319" customFormat="false" ht="15" hidden="false" customHeight="false" outlineLevel="0" collapsed="false">
      <c r="A319" s="11" t="str">
        <f aca="false">IF(_LEITURA!$N319="","",INDEX(_LEITURA!$K$2:$K$1201,_LEITURA!$N319))</f>
        <v/>
      </c>
      <c r="B319" s="11" t="str">
        <f aca="false">IF(_LEITURA!$N319="","",INDEX(_LEITURA!$E$2:$E$1201,_LEITURA!$N319))</f>
        <v/>
      </c>
      <c r="C319" s="11" t="str">
        <f aca="false">IF(_LEITURA!$N319="","",INDEX(_LEITURA!$J$2:$J$1201,_LEITURA!$N319))</f>
        <v/>
      </c>
      <c r="D319" s="16" t="str">
        <f aca="false">IF(_LEITURA!$N319="","",INDEX(_LEITURA!$G$2:$G$1201,_LEITURA!$N319))</f>
        <v/>
      </c>
      <c r="E319" s="16" t="str">
        <f aca="false">IF(B319="","",SUMIFS(INVENTÁRIO!$C$2:$C$801,INVENTÁRIO!$A$2:$A$801,B319))</f>
        <v/>
      </c>
      <c r="F319" s="16" t="str">
        <f aca="false">IF(B319="","",MAX(0,D319-E319))</f>
        <v/>
      </c>
      <c r="G319" s="16" t="str">
        <f aca="false">IF(B319="","",IF(COUNTIFS($B$2:$B$1201,B319,$A$2:$A$1201,"&lt;&gt;"&amp;A319)&gt;0,"Sim",""))</f>
        <v/>
      </c>
      <c r="H319" s="16" t="str">
        <f aca="false">IF(N(F319)&gt;0,MAX(H$1:H318)+1,"")</f>
        <v/>
      </c>
      <c r="I319" s="11" t="str">
        <f aca="false">IF(B319="","",IF(INDEX($C$2:$C$1201,MATCH(B319,$B$2:$B$1201,0))&lt;&gt;C319,"Nome diferente em outro deck — revisar",""))</f>
        <v/>
      </c>
      <c r="J319" s="16" t="str">
        <f aca="false">IF(AND(B319&lt;&gt;"",A319=BULK!$A$1,N(F319)&gt;0),MAX(J$1:J318)+1,"")</f>
        <v/>
      </c>
      <c r="K319" s="11" t="str">
        <f aca="false">IF(B319="","",IFERROR(LEFT(B319,FIND("-",B319)-1),B319))</f>
        <v/>
      </c>
      <c r="L319" s="11" t="str">
        <f aca="false">IF(K319="","",IF(ISNUMBER(--MID(K319,1,1)),0,IF(ISNUMBER(--MID(K319,2,1)),1,IF(ISNUMBER(--MID(K319,3,1)),2,IF(ISNUMBER(--MID(K319,4,1)),3,MIN(LEN(K319),4))))))</f>
        <v/>
      </c>
      <c r="M319" s="11" t="str">
        <f aca="false">IF(B319="","",LEFT(K319,L319)&amp;REPT("0",4-L319)&amp;RIGHT("000"&amp;IFERROR(VALUE(MID(K319,L319+1,9)),0),3)&amp;RIGHT("0000"&amp;IFERROR(VALUE(MID(B319,FIND("-",B319)+1,9)),0),4))</f>
        <v/>
      </c>
      <c r="N319" s="11" t="str">
        <f aca="false">IF(OR(B319="",N(F319)&lt;=0),"",IF('FALTAS POR DECK'!$P$1="Código","K"&amp;M319&amp;RIGHT("00000"&amp;ROW(),5),IF('FALTAS POR DECK'!$P$1="Nome","K"&amp;UPPER(SUBSTITUTE(SUBSTITUTE(SUBSTITUTE(C319,"*",""),"?",""),"~",""))&amp;"0"&amp;M319&amp;RIGHT("00000"&amp;ROW(),5),IF('FALTAS POR DECK'!$P$1="Falta (maior primeiro)","K"&amp;RIGHT("0000"&amp;(9999-F319),4)&amp;M319&amp;RIGHT("00000"&amp;ROW(),5),IF('FALTAS POR DECK'!$P$1="Deck e código","K"&amp;RIGHT("00"&amp;IFERROR(MATCH(A319,_LEITURA!$P$2:$P$21,0),99),2)&amp;M319&amp;RIGHT("00000"&amp;ROW(),5),"K"&amp;RIGHT("00000"&amp;ROW(),5))))))</f>
        <v/>
      </c>
      <c r="O319" s="16" t="str">
        <f aca="false">IF(N319="","",COUNTIFS($N$2:$N$1201,"&lt;"&amp;N319,$F$2:$F$1201,"&gt;0")+1)</f>
        <v/>
      </c>
    </row>
    <row r="320" customFormat="false" ht="15" hidden="false" customHeight="false" outlineLevel="0" collapsed="false">
      <c r="A320" s="11" t="str">
        <f aca="false">IF(_LEITURA!$N320="","",INDEX(_LEITURA!$K$2:$K$1201,_LEITURA!$N320))</f>
        <v/>
      </c>
      <c r="B320" s="11" t="str">
        <f aca="false">IF(_LEITURA!$N320="","",INDEX(_LEITURA!$E$2:$E$1201,_LEITURA!$N320))</f>
        <v/>
      </c>
      <c r="C320" s="11" t="str">
        <f aca="false">IF(_LEITURA!$N320="","",INDEX(_LEITURA!$J$2:$J$1201,_LEITURA!$N320))</f>
        <v/>
      </c>
      <c r="D320" s="16" t="str">
        <f aca="false">IF(_LEITURA!$N320="","",INDEX(_LEITURA!$G$2:$G$1201,_LEITURA!$N320))</f>
        <v/>
      </c>
      <c r="E320" s="16" t="str">
        <f aca="false">IF(B320="","",SUMIFS(INVENTÁRIO!$C$2:$C$801,INVENTÁRIO!$A$2:$A$801,B320))</f>
        <v/>
      </c>
      <c r="F320" s="16" t="str">
        <f aca="false">IF(B320="","",MAX(0,D320-E320))</f>
        <v/>
      </c>
      <c r="G320" s="16" t="str">
        <f aca="false">IF(B320="","",IF(COUNTIFS($B$2:$B$1201,B320,$A$2:$A$1201,"&lt;&gt;"&amp;A320)&gt;0,"Sim",""))</f>
        <v/>
      </c>
      <c r="H320" s="16" t="str">
        <f aca="false">IF(N(F320)&gt;0,MAX(H$1:H319)+1,"")</f>
        <v/>
      </c>
      <c r="I320" s="11" t="str">
        <f aca="false">IF(B320="","",IF(INDEX($C$2:$C$1201,MATCH(B320,$B$2:$B$1201,0))&lt;&gt;C320,"Nome diferente em outro deck — revisar",""))</f>
        <v/>
      </c>
      <c r="J320" s="16" t="str">
        <f aca="false">IF(AND(B320&lt;&gt;"",A320=BULK!$A$1,N(F320)&gt;0),MAX(J$1:J319)+1,"")</f>
        <v/>
      </c>
      <c r="K320" s="11" t="str">
        <f aca="false">IF(B320="","",IFERROR(LEFT(B320,FIND("-",B320)-1),B320))</f>
        <v/>
      </c>
      <c r="L320" s="11" t="str">
        <f aca="false">IF(K320="","",IF(ISNUMBER(--MID(K320,1,1)),0,IF(ISNUMBER(--MID(K320,2,1)),1,IF(ISNUMBER(--MID(K320,3,1)),2,IF(ISNUMBER(--MID(K320,4,1)),3,MIN(LEN(K320),4))))))</f>
        <v/>
      </c>
      <c r="M320" s="11" t="str">
        <f aca="false">IF(B320="","",LEFT(K320,L320)&amp;REPT("0",4-L320)&amp;RIGHT("000"&amp;IFERROR(VALUE(MID(K320,L320+1,9)),0),3)&amp;RIGHT("0000"&amp;IFERROR(VALUE(MID(B320,FIND("-",B320)+1,9)),0),4))</f>
        <v/>
      </c>
      <c r="N320" s="11" t="str">
        <f aca="false">IF(OR(B320="",N(F320)&lt;=0),"",IF('FALTAS POR DECK'!$P$1="Código","K"&amp;M320&amp;RIGHT("00000"&amp;ROW(),5),IF('FALTAS POR DECK'!$P$1="Nome","K"&amp;UPPER(SUBSTITUTE(SUBSTITUTE(SUBSTITUTE(C320,"*",""),"?",""),"~",""))&amp;"0"&amp;M320&amp;RIGHT("00000"&amp;ROW(),5),IF('FALTAS POR DECK'!$P$1="Falta (maior primeiro)","K"&amp;RIGHT("0000"&amp;(9999-F320),4)&amp;M320&amp;RIGHT("00000"&amp;ROW(),5),IF('FALTAS POR DECK'!$P$1="Deck e código","K"&amp;RIGHT("00"&amp;IFERROR(MATCH(A320,_LEITURA!$P$2:$P$21,0),99),2)&amp;M320&amp;RIGHT("00000"&amp;ROW(),5),"K"&amp;RIGHT("00000"&amp;ROW(),5))))))</f>
        <v/>
      </c>
      <c r="O320" s="16" t="str">
        <f aca="false">IF(N320="","",COUNTIFS($N$2:$N$1201,"&lt;"&amp;N320,$F$2:$F$1201,"&gt;0")+1)</f>
        <v/>
      </c>
    </row>
    <row r="321" customFormat="false" ht="15" hidden="false" customHeight="false" outlineLevel="0" collapsed="false">
      <c r="A321" s="11" t="str">
        <f aca="false">IF(_LEITURA!$N321="","",INDEX(_LEITURA!$K$2:$K$1201,_LEITURA!$N321))</f>
        <v/>
      </c>
      <c r="B321" s="11" t="str">
        <f aca="false">IF(_LEITURA!$N321="","",INDEX(_LEITURA!$E$2:$E$1201,_LEITURA!$N321))</f>
        <v/>
      </c>
      <c r="C321" s="11" t="str">
        <f aca="false">IF(_LEITURA!$N321="","",INDEX(_LEITURA!$J$2:$J$1201,_LEITURA!$N321))</f>
        <v/>
      </c>
      <c r="D321" s="16" t="str">
        <f aca="false">IF(_LEITURA!$N321="","",INDEX(_LEITURA!$G$2:$G$1201,_LEITURA!$N321))</f>
        <v/>
      </c>
      <c r="E321" s="16" t="str">
        <f aca="false">IF(B321="","",SUMIFS(INVENTÁRIO!$C$2:$C$801,INVENTÁRIO!$A$2:$A$801,B321))</f>
        <v/>
      </c>
      <c r="F321" s="16" t="str">
        <f aca="false">IF(B321="","",MAX(0,D321-E321))</f>
        <v/>
      </c>
      <c r="G321" s="16" t="str">
        <f aca="false">IF(B321="","",IF(COUNTIFS($B$2:$B$1201,B321,$A$2:$A$1201,"&lt;&gt;"&amp;A321)&gt;0,"Sim",""))</f>
        <v/>
      </c>
      <c r="H321" s="16" t="str">
        <f aca="false">IF(N(F321)&gt;0,MAX(H$1:H320)+1,"")</f>
        <v/>
      </c>
      <c r="I321" s="11" t="str">
        <f aca="false">IF(B321="","",IF(INDEX($C$2:$C$1201,MATCH(B321,$B$2:$B$1201,0))&lt;&gt;C321,"Nome diferente em outro deck — revisar",""))</f>
        <v/>
      </c>
      <c r="J321" s="16" t="str">
        <f aca="false">IF(AND(B321&lt;&gt;"",A321=BULK!$A$1,N(F321)&gt;0),MAX(J$1:J320)+1,"")</f>
        <v/>
      </c>
      <c r="K321" s="11" t="str">
        <f aca="false">IF(B321="","",IFERROR(LEFT(B321,FIND("-",B321)-1),B321))</f>
        <v/>
      </c>
      <c r="L321" s="11" t="str">
        <f aca="false">IF(K321="","",IF(ISNUMBER(--MID(K321,1,1)),0,IF(ISNUMBER(--MID(K321,2,1)),1,IF(ISNUMBER(--MID(K321,3,1)),2,IF(ISNUMBER(--MID(K321,4,1)),3,MIN(LEN(K321),4))))))</f>
        <v/>
      </c>
      <c r="M321" s="11" t="str">
        <f aca="false">IF(B321="","",LEFT(K321,L321)&amp;REPT("0",4-L321)&amp;RIGHT("000"&amp;IFERROR(VALUE(MID(K321,L321+1,9)),0),3)&amp;RIGHT("0000"&amp;IFERROR(VALUE(MID(B321,FIND("-",B321)+1,9)),0),4))</f>
        <v/>
      </c>
      <c r="N321" s="11" t="str">
        <f aca="false">IF(OR(B321="",N(F321)&lt;=0),"",IF('FALTAS POR DECK'!$P$1="Código","K"&amp;M321&amp;RIGHT("00000"&amp;ROW(),5),IF('FALTAS POR DECK'!$P$1="Nome","K"&amp;UPPER(SUBSTITUTE(SUBSTITUTE(SUBSTITUTE(C321,"*",""),"?",""),"~",""))&amp;"0"&amp;M321&amp;RIGHT("00000"&amp;ROW(),5),IF('FALTAS POR DECK'!$P$1="Falta (maior primeiro)","K"&amp;RIGHT("0000"&amp;(9999-F321),4)&amp;M321&amp;RIGHT("00000"&amp;ROW(),5),IF('FALTAS POR DECK'!$P$1="Deck e código","K"&amp;RIGHT("00"&amp;IFERROR(MATCH(A321,_LEITURA!$P$2:$P$21,0),99),2)&amp;M321&amp;RIGHT("00000"&amp;ROW(),5),"K"&amp;RIGHT("00000"&amp;ROW(),5))))))</f>
        <v/>
      </c>
      <c r="O321" s="16" t="str">
        <f aca="false">IF(N321="","",COUNTIFS($N$2:$N$1201,"&lt;"&amp;N321,$F$2:$F$1201,"&gt;0")+1)</f>
        <v/>
      </c>
    </row>
    <row r="322" customFormat="false" ht="15" hidden="false" customHeight="false" outlineLevel="0" collapsed="false">
      <c r="A322" s="11" t="str">
        <f aca="false">IF(_LEITURA!$N322="","",INDEX(_LEITURA!$K$2:$K$1201,_LEITURA!$N322))</f>
        <v/>
      </c>
      <c r="B322" s="11" t="str">
        <f aca="false">IF(_LEITURA!$N322="","",INDEX(_LEITURA!$E$2:$E$1201,_LEITURA!$N322))</f>
        <v/>
      </c>
      <c r="C322" s="11" t="str">
        <f aca="false">IF(_LEITURA!$N322="","",INDEX(_LEITURA!$J$2:$J$1201,_LEITURA!$N322))</f>
        <v/>
      </c>
      <c r="D322" s="16" t="str">
        <f aca="false">IF(_LEITURA!$N322="","",INDEX(_LEITURA!$G$2:$G$1201,_LEITURA!$N322))</f>
        <v/>
      </c>
      <c r="E322" s="16" t="str">
        <f aca="false">IF(B322="","",SUMIFS(INVENTÁRIO!$C$2:$C$801,INVENTÁRIO!$A$2:$A$801,B322))</f>
        <v/>
      </c>
      <c r="F322" s="16" t="str">
        <f aca="false">IF(B322="","",MAX(0,D322-E322))</f>
        <v/>
      </c>
      <c r="G322" s="16" t="str">
        <f aca="false">IF(B322="","",IF(COUNTIFS($B$2:$B$1201,B322,$A$2:$A$1201,"&lt;&gt;"&amp;A322)&gt;0,"Sim",""))</f>
        <v/>
      </c>
      <c r="H322" s="16" t="str">
        <f aca="false">IF(N(F322)&gt;0,MAX(H$1:H321)+1,"")</f>
        <v/>
      </c>
      <c r="I322" s="11" t="str">
        <f aca="false">IF(B322="","",IF(INDEX($C$2:$C$1201,MATCH(B322,$B$2:$B$1201,0))&lt;&gt;C322,"Nome diferente em outro deck — revisar",""))</f>
        <v/>
      </c>
      <c r="J322" s="16" t="str">
        <f aca="false">IF(AND(B322&lt;&gt;"",A322=BULK!$A$1,N(F322)&gt;0),MAX(J$1:J321)+1,"")</f>
        <v/>
      </c>
      <c r="K322" s="11" t="str">
        <f aca="false">IF(B322="","",IFERROR(LEFT(B322,FIND("-",B322)-1),B322))</f>
        <v/>
      </c>
      <c r="L322" s="11" t="str">
        <f aca="false">IF(K322="","",IF(ISNUMBER(--MID(K322,1,1)),0,IF(ISNUMBER(--MID(K322,2,1)),1,IF(ISNUMBER(--MID(K322,3,1)),2,IF(ISNUMBER(--MID(K322,4,1)),3,MIN(LEN(K322),4))))))</f>
        <v/>
      </c>
      <c r="M322" s="11" t="str">
        <f aca="false">IF(B322="","",LEFT(K322,L322)&amp;REPT("0",4-L322)&amp;RIGHT("000"&amp;IFERROR(VALUE(MID(K322,L322+1,9)),0),3)&amp;RIGHT("0000"&amp;IFERROR(VALUE(MID(B322,FIND("-",B322)+1,9)),0),4))</f>
        <v/>
      </c>
      <c r="N322" s="11" t="str">
        <f aca="false">IF(OR(B322="",N(F322)&lt;=0),"",IF('FALTAS POR DECK'!$P$1="Código","K"&amp;M322&amp;RIGHT("00000"&amp;ROW(),5),IF('FALTAS POR DECK'!$P$1="Nome","K"&amp;UPPER(SUBSTITUTE(SUBSTITUTE(SUBSTITUTE(C322,"*",""),"?",""),"~",""))&amp;"0"&amp;M322&amp;RIGHT("00000"&amp;ROW(),5),IF('FALTAS POR DECK'!$P$1="Falta (maior primeiro)","K"&amp;RIGHT("0000"&amp;(9999-F322),4)&amp;M322&amp;RIGHT("00000"&amp;ROW(),5),IF('FALTAS POR DECK'!$P$1="Deck e código","K"&amp;RIGHT("00"&amp;IFERROR(MATCH(A322,_LEITURA!$P$2:$P$21,0),99),2)&amp;M322&amp;RIGHT("00000"&amp;ROW(),5),"K"&amp;RIGHT("00000"&amp;ROW(),5))))))</f>
        <v/>
      </c>
      <c r="O322" s="16" t="str">
        <f aca="false">IF(N322="","",COUNTIFS($N$2:$N$1201,"&lt;"&amp;N322,$F$2:$F$1201,"&gt;0")+1)</f>
        <v/>
      </c>
    </row>
    <row r="323" customFormat="false" ht="15" hidden="false" customHeight="false" outlineLevel="0" collapsed="false">
      <c r="A323" s="11" t="str">
        <f aca="false">IF(_LEITURA!$N323="","",INDEX(_LEITURA!$K$2:$K$1201,_LEITURA!$N323))</f>
        <v/>
      </c>
      <c r="B323" s="11" t="str">
        <f aca="false">IF(_LEITURA!$N323="","",INDEX(_LEITURA!$E$2:$E$1201,_LEITURA!$N323))</f>
        <v/>
      </c>
      <c r="C323" s="11" t="str">
        <f aca="false">IF(_LEITURA!$N323="","",INDEX(_LEITURA!$J$2:$J$1201,_LEITURA!$N323))</f>
        <v/>
      </c>
      <c r="D323" s="16" t="str">
        <f aca="false">IF(_LEITURA!$N323="","",INDEX(_LEITURA!$G$2:$G$1201,_LEITURA!$N323))</f>
        <v/>
      </c>
      <c r="E323" s="16" t="str">
        <f aca="false">IF(B323="","",SUMIFS(INVENTÁRIO!$C$2:$C$801,INVENTÁRIO!$A$2:$A$801,B323))</f>
        <v/>
      </c>
      <c r="F323" s="16" t="str">
        <f aca="false">IF(B323="","",MAX(0,D323-E323))</f>
        <v/>
      </c>
      <c r="G323" s="16" t="str">
        <f aca="false">IF(B323="","",IF(COUNTIFS($B$2:$B$1201,B323,$A$2:$A$1201,"&lt;&gt;"&amp;A323)&gt;0,"Sim",""))</f>
        <v/>
      </c>
      <c r="H323" s="16" t="str">
        <f aca="false">IF(N(F323)&gt;0,MAX(H$1:H322)+1,"")</f>
        <v/>
      </c>
      <c r="I323" s="11" t="str">
        <f aca="false">IF(B323="","",IF(INDEX($C$2:$C$1201,MATCH(B323,$B$2:$B$1201,0))&lt;&gt;C323,"Nome diferente em outro deck — revisar",""))</f>
        <v/>
      </c>
      <c r="J323" s="16" t="str">
        <f aca="false">IF(AND(B323&lt;&gt;"",A323=BULK!$A$1,N(F323)&gt;0),MAX(J$1:J322)+1,"")</f>
        <v/>
      </c>
      <c r="K323" s="11" t="str">
        <f aca="false">IF(B323="","",IFERROR(LEFT(B323,FIND("-",B323)-1),B323))</f>
        <v/>
      </c>
      <c r="L323" s="11" t="str">
        <f aca="false">IF(K323="","",IF(ISNUMBER(--MID(K323,1,1)),0,IF(ISNUMBER(--MID(K323,2,1)),1,IF(ISNUMBER(--MID(K323,3,1)),2,IF(ISNUMBER(--MID(K323,4,1)),3,MIN(LEN(K323),4))))))</f>
        <v/>
      </c>
      <c r="M323" s="11" t="str">
        <f aca="false">IF(B323="","",LEFT(K323,L323)&amp;REPT("0",4-L323)&amp;RIGHT("000"&amp;IFERROR(VALUE(MID(K323,L323+1,9)),0),3)&amp;RIGHT("0000"&amp;IFERROR(VALUE(MID(B323,FIND("-",B323)+1,9)),0),4))</f>
        <v/>
      </c>
      <c r="N323" s="11" t="str">
        <f aca="false">IF(OR(B323="",N(F323)&lt;=0),"",IF('FALTAS POR DECK'!$P$1="Código","K"&amp;M323&amp;RIGHT("00000"&amp;ROW(),5),IF('FALTAS POR DECK'!$P$1="Nome","K"&amp;UPPER(SUBSTITUTE(SUBSTITUTE(SUBSTITUTE(C323,"*",""),"?",""),"~",""))&amp;"0"&amp;M323&amp;RIGHT("00000"&amp;ROW(),5),IF('FALTAS POR DECK'!$P$1="Falta (maior primeiro)","K"&amp;RIGHT("0000"&amp;(9999-F323),4)&amp;M323&amp;RIGHT("00000"&amp;ROW(),5),IF('FALTAS POR DECK'!$P$1="Deck e código","K"&amp;RIGHT("00"&amp;IFERROR(MATCH(A323,_LEITURA!$P$2:$P$21,0),99),2)&amp;M323&amp;RIGHT("00000"&amp;ROW(),5),"K"&amp;RIGHT("00000"&amp;ROW(),5))))))</f>
        <v/>
      </c>
      <c r="O323" s="16" t="str">
        <f aca="false">IF(N323="","",COUNTIFS($N$2:$N$1201,"&lt;"&amp;N323,$F$2:$F$1201,"&gt;0")+1)</f>
        <v/>
      </c>
    </row>
    <row r="324" customFormat="false" ht="15" hidden="false" customHeight="false" outlineLevel="0" collapsed="false">
      <c r="A324" s="11" t="str">
        <f aca="false">IF(_LEITURA!$N324="","",INDEX(_LEITURA!$K$2:$K$1201,_LEITURA!$N324))</f>
        <v/>
      </c>
      <c r="B324" s="11" t="str">
        <f aca="false">IF(_LEITURA!$N324="","",INDEX(_LEITURA!$E$2:$E$1201,_LEITURA!$N324))</f>
        <v/>
      </c>
      <c r="C324" s="11" t="str">
        <f aca="false">IF(_LEITURA!$N324="","",INDEX(_LEITURA!$J$2:$J$1201,_LEITURA!$N324))</f>
        <v/>
      </c>
      <c r="D324" s="16" t="str">
        <f aca="false">IF(_LEITURA!$N324="","",INDEX(_LEITURA!$G$2:$G$1201,_LEITURA!$N324))</f>
        <v/>
      </c>
      <c r="E324" s="16" t="str">
        <f aca="false">IF(B324="","",SUMIFS(INVENTÁRIO!$C$2:$C$801,INVENTÁRIO!$A$2:$A$801,B324))</f>
        <v/>
      </c>
      <c r="F324" s="16" t="str">
        <f aca="false">IF(B324="","",MAX(0,D324-E324))</f>
        <v/>
      </c>
      <c r="G324" s="16" t="str">
        <f aca="false">IF(B324="","",IF(COUNTIFS($B$2:$B$1201,B324,$A$2:$A$1201,"&lt;&gt;"&amp;A324)&gt;0,"Sim",""))</f>
        <v/>
      </c>
      <c r="H324" s="16" t="str">
        <f aca="false">IF(N(F324)&gt;0,MAX(H$1:H323)+1,"")</f>
        <v/>
      </c>
      <c r="I324" s="11" t="str">
        <f aca="false">IF(B324="","",IF(INDEX($C$2:$C$1201,MATCH(B324,$B$2:$B$1201,0))&lt;&gt;C324,"Nome diferente em outro deck — revisar",""))</f>
        <v/>
      </c>
      <c r="J324" s="16" t="str">
        <f aca="false">IF(AND(B324&lt;&gt;"",A324=BULK!$A$1,N(F324)&gt;0),MAX(J$1:J323)+1,"")</f>
        <v/>
      </c>
      <c r="K324" s="11" t="str">
        <f aca="false">IF(B324="","",IFERROR(LEFT(B324,FIND("-",B324)-1),B324))</f>
        <v/>
      </c>
      <c r="L324" s="11" t="str">
        <f aca="false">IF(K324="","",IF(ISNUMBER(--MID(K324,1,1)),0,IF(ISNUMBER(--MID(K324,2,1)),1,IF(ISNUMBER(--MID(K324,3,1)),2,IF(ISNUMBER(--MID(K324,4,1)),3,MIN(LEN(K324),4))))))</f>
        <v/>
      </c>
      <c r="M324" s="11" t="str">
        <f aca="false">IF(B324="","",LEFT(K324,L324)&amp;REPT("0",4-L324)&amp;RIGHT("000"&amp;IFERROR(VALUE(MID(K324,L324+1,9)),0),3)&amp;RIGHT("0000"&amp;IFERROR(VALUE(MID(B324,FIND("-",B324)+1,9)),0),4))</f>
        <v/>
      </c>
      <c r="N324" s="11" t="str">
        <f aca="false">IF(OR(B324="",N(F324)&lt;=0),"",IF('FALTAS POR DECK'!$P$1="Código","K"&amp;M324&amp;RIGHT("00000"&amp;ROW(),5),IF('FALTAS POR DECK'!$P$1="Nome","K"&amp;UPPER(SUBSTITUTE(SUBSTITUTE(SUBSTITUTE(C324,"*",""),"?",""),"~",""))&amp;"0"&amp;M324&amp;RIGHT("00000"&amp;ROW(),5),IF('FALTAS POR DECK'!$P$1="Falta (maior primeiro)","K"&amp;RIGHT("0000"&amp;(9999-F324),4)&amp;M324&amp;RIGHT("00000"&amp;ROW(),5),IF('FALTAS POR DECK'!$P$1="Deck e código","K"&amp;RIGHT("00"&amp;IFERROR(MATCH(A324,_LEITURA!$P$2:$P$21,0),99),2)&amp;M324&amp;RIGHT("00000"&amp;ROW(),5),"K"&amp;RIGHT("00000"&amp;ROW(),5))))))</f>
        <v/>
      </c>
      <c r="O324" s="16" t="str">
        <f aca="false">IF(N324="","",COUNTIFS($N$2:$N$1201,"&lt;"&amp;N324,$F$2:$F$1201,"&gt;0")+1)</f>
        <v/>
      </c>
    </row>
    <row r="325" customFormat="false" ht="15" hidden="false" customHeight="false" outlineLevel="0" collapsed="false">
      <c r="A325" s="11" t="str">
        <f aca="false">IF(_LEITURA!$N325="","",INDEX(_LEITURA!$K$2:$K$1201,_LEITURA!$N325))</f>
        <v/>
      </c>
      <c r="B325" s="11" t="str">
        <f aca="false">IF(_LEITURA!$N325="","",INDEX(_LEITURA!$E$2:$E$1201,_LEITURA!$N325))</f>
        <v/>
      </c>
      <c r="C325" s="11" t="str">
        <f aca="false">IF(_LEITURA!$N325="","",INDEX(_LEITURA!$J$2:$J$1201,_LEITURA!$N325))</f>
        <v/>
      </c>
      <c r="D325" s="16" t="str">
        <f aca="false">IF(_LEITURA!$N325="","",INDEX(_LEITURA!$G$2:$G$1201,_LEITURA!$N325))</f>
        <v/>
      </c>
      <c r="E325" s="16" t="str">
        <f aca="false">IF(B325="","",SUMIFS(INVENTÁRIO!$C$2:$C$801,INVENTÁRIO!$A$2:$A$801,B325))</f>
        <v/>
      </c>
      <c r="F325" s="16" t="str">
        <f aca="false">IF(B325="","",MAX(0,D325-E325))</f>
        <v/>
      </c>
      <c r="G325" s="16" t="str">
        <f aca="false">IF(B325="","",IF(COUNTIFS($B$2:$B$1201,B325,$A$2:$A$1201,"&lt;&gt;"&amp;A325)&gt;0,"Sim",""))</f>
        <v/>
      </c>
      <c r="H325" s="16" t="str">
        <f aca="false">IF(N(F325)&gt;0,MAX(H$1:H324)+1,"")</f>
        <v/>
      </c>
      <c r="I325" s="11" t="str">
        <f aca="false">IF(B325="","",IF(INDEX($C$2:$C$1201,MATCH(B325,$B$2:$B$1201,0))&lt;&gt;C325,"Nome diferente em outro deck — revisar",""))</f>
        <v/>
      </c>
      <c r="J325" s="16" t="str">
        <f aca="false">IF(AND(B325&lt;&gt;"",A325=BULK!$A$1,N(F325)&gt;0),MAX(J$1:J324)+1,"")</f>
        <v/>
      </c>
      <c r="K325" s="11" t="str">
        <f aca="false">IF(B325="","",IFERROR(LEFT(B325,FIND("-",B325)-1),B325))</f>
        <v/>
      </c>
      <c r="L325" s="11" t="str">
        <f aca="false">IF(K325="","",IF(ISNUMBER(--MID(K325,1,1)),0,IF(ISNUMBER(--MID(K325,2,1)),1,IF(ISNUMBER(--MID(K325,3,1)),2,IF(ISNUMBER(--MID(K325,4,1)),3,MIN(LEN(K325),4))))))</f>
        <v/>
      </c>
      <c r="M325" s="11" t="str">
        <f aca="false">IF(B325="","",LEFT(K325,L325)&amp;REPT("0",4-L325)&amp;RIGHT("000"&amp;IFERROR(VALUE(MID(K325,L325+1,9)),0),3)&amp;RIGHT("0000"&amp;IFERROR(VALUE(MID(B325,FIND("-",B325)+1,9)),0),4))</f>
        <v/>
      </c>
      <c r="N325" s="11" t="str">
        <f aca="false">IF(OR(B325="",N(F325)&lt;=0),"",IF('FALTAS POR DECK'!$P$1="Código","K"&amp;M325&amp;RIGHT("00000"&amp;ROW(),5),IF('FALTAS POR DECK'!$P$1="Nome","K"&amp;UPPER(SUBSTITUTE(SUBSTITUTE(SUBSTITUTE(C325,"*",""),"?",""),"~",""))&amp;"0"&amp;M325&amp;RIGHT("00000"&amp;ROW(),5),IF('FALTAS POR DECK'!$P$1="Falta (maior primeiro)","K"&amp;RIGHT("0000"&amp;(9999-F325),4)&amp;M325&amp;RIGHT("00000"&amp;ROW(),5),IF('FALTAS POR DECK'!$P$1="Deck e código","K"&amp;RIGHT("00"&amp;IFERROR(MATCH(A325,_LEITURA!$P$2:$P$21,0),99),2)&amp;M325&amp;RIGHT("00000"&amp;ROW(),5),"K"&amp;RIGHT("00000"&amp;ROW(),5))))))</f>
        <v/>
      </c>
      <c r="O325" s="16" t="str">
        <f aca="false">IF(N325="","",COUNTIFS($N$2:$N$1201,"&lt;"&amp;N325,$F$2:$F$1201,"&gt;0")+1)</f>
        <v/>
      </c>
    </row>
    <row r="326" customFormat="false" ht="15" hidden="false" customHeight="false" outlineLevel="0" collapsed="false">
      <c r="A326" s="11" t="str">
        <f aca="false">IF(_LEITURA!$N326="","",INDEX(_LEITURA!$K$2:$K$1201,_LEITURA!$N326))</f>
        <v/>
      </c>
      <c r="B326" s="11" t="str">
        <f aca="false">IF(_LEITURA!$N326="","",INDEX(_LEITURA!$E$2:$E$1201,_LEITURA!$N326))</f>
        <v/>
      </c>
      <c r="C326" s="11" t="str">
        <f aca="false">IF(_LEITURA!$N326="","",INDEX(_LEITURA!$J$2:$J$1201,_LEITURA!$N326))</f>
        <v/>
      </c>
      <c r="D326" s="16" t="str">
        <f aca="false">IF(_LEITURA!$N326="","",INDEX(_LEITURA!$G$2:$G$1201,_LEITURA!$N326))</f>
        <v/>
      </c>
      <c r="E326" s="16" t="str">
        <f aca="false">IF(B326="","",SUMIFS(INVENTÁRIO!$C$2:$C$801,INVENTÁRIO!$A$2:$A$801,B326))</f>
        <v/>
      </c>
      <c r="F326" s="16" t="str">
        <f aca="false">IF(B326="","",MAX(0,D326-E326))</f>
        <v/>
      </c>
      <c r="G326" s="16" t="str">
        <f aca="false">IF(B326="","",IF(COUNTIFS($B$2:$B$1201,B326,$A$2:$A$1201,"&lt;&gt;"&amp;A326)&gt;0,"Sim",""))</f>
        <v/>
      </c>
      <c r="H326" s="16" t="str">
        <f aca="false">IF(N(F326)&gt;0,MAX(H$1:H325)+1,"")</f>
        <v/>
      </c>
      <c r="I326" s="11" t="str">
        <f aca="false">IF(B326="","",IF(INDEX($C$2:$C$1201,MATCH(B326,$B$2:$B$1201,0))&lt;&gt;C326,"Nome diferente em outro deck — revisar",""))</f>
        <v/>
      </c>
      <c r="J326" s="16" t="str">
        <f aca="false">IF(AND(B326&lt;&gt;"",A326=BULK!$A$1,N(F326)&gt;0),MAX(J$1:J325)+1,"")</f>
        <v/>
      </c>
      <c r="K326" s="11" t="str">
        <f aca="false">IF(B326="","",IFERROR(LEFT(B326,FIND("-",B326)-1),B326))</f>
        <v/>
      </c>
      <c r="L326" s="11" t="str">
        <f aca="false">IF(K326="","",IF(ISNUMBER(--MID(K326,1,1)),0,IF(ISNUMBER(--MID(K326,2,1)),1,IF(ISNUMBER(--MID(K326,3,1)),2,IF(ISNUMBER(--MID(K326,4,1)),3,MIN(LEN(K326),4))))))</f>
        <v/>
      </c>
      <c r="M326" s="11" t="str">
        <f aca="false">IF(B326="","",LEFT(K326,L326)&amp;REPT("0",4-L326)&amp;RIGHT("000"&amp;IFERROR(VALUE(MID(K326,L326+1,9)),0),3)&amp;RIGHT("0000"&amp;IFERROR(VALUE(MID(B326,FIND("-",B326)+1,9)),0),4))</f>
        <v/>
      </c>
      <c r="N326" s="11" t="str">
        <f aca="false">IF(OR(B326="",N(F326)&lt;=0),"",IF('FALTAS POR DECK'!$P$1="Código","K"&amp;M326&amp;RIGHT("00000"&amp;ROW(),5),IF('FALTAS POR DECK'!$P$1="Nome","K"&amp;UPPER(SUBSTITUTE(SUBSTITUTE(SUBSTITUTE(C326,"*",""),"?",""),"~",""))&amp;"0"&amp;M326&amp;RIGHT("00000"&amp;ROW(),5),IF('FALTAS POR DECK'!$P$1="Falta (maior primeiro)","K"&amp;RIGHT("0000"&amp;(9999-F326),4)&amp;M326&amp;RIGHT("00000"&amp;ROW(),5),IF('FALTAS POR DECK'!$P$1="Deck e código","K"&amp;RIGHT("00"&amp;IFERROR(MATCH(A326,_LEITURA!$P$2:$P$21,0),99),2)&amp;M326&amp;RIGHT("00000"&amp;ROW(),5),"K"&amp;RIGHT("00000"&amp;ROW(),5))))))</f>
        <v/>
      </c>
      <c r="O326" s="16" t="str">
        <f aca="false">IF(N326="","",COUNTIFS($N$2:$N$1201,"&lt;"&amp;N326,$F$2:$F$1201,"&gt;0")+1)</f>
        <v/>
      </c>
    </row>
    <row r="327" customFormat="false" ht="15" hidden="false" customHeight="false" outlineLevel="0" collapsed="false">
      <c r="A327" s="11" t="str">
        <f aca="false">IF(_LEITURA!$N327="","",INDEX(_LEITURA!$K$2:$K$1201,_LEITURA!$N327))</f>
        <v/>
      </c>
      <c r="B327" s="11" t="str">
        <f aca="false">IF(_LEITURA!$N327="","",INDEX(_LEITURA!$E$2:$E$1201,_LEITURA!$N327))</f>
        <v/>
      </c>
      <c r="C327" s="11" t="str">
        <f aca="false">IF(_LEITURA!$N327="","",INDEX(_LEITURA!$J$2:$J$1201,_LEITURA!$N327))</f>
        <v/>
      </c>
      <c r="D327" s="16" t="str">
        <f aca="false">IF(_LEITURA!$N327="","",INDEX(_LEITURA!$G$2:$G$1201,_LEITURA!$N327))</f>
        <v/>
      </c>
      <c r="E327" s="16" t="str">
        <f aca="false">IF(B327="","",SUMIFS(INVENTÁRIO!$C$2:$C$801,INVENTÁRIO!$A$2:$A$801,B327))</f>
        <v/>
      </c>
      <c r="F327" s="16" t="str">
        <f aca="false">IF(B327="","",MAX(0,D327-E327))</f>
        <v/>
      </c>
      <c r="G327" s="16" t="str">
        <f aca="false">IF(B327="","",IF(COUNTIFS($B$2:$B$1201,B327,$A$2:$A$1201,"&lt;&gt;"&amp;A327)&gt;0,"Sim",""))</f>
        <v/>
      </c>
      <c r="H327" s="16" t="str">
        <f aca="false">IF(N(F327)&gt;0,MAX(H$1:H326)+1,"")</f>
        <v/>
      </c>
      <c r="I327" s="11" t="str">
        <f aca="false">IF(B327="","",IF(INDEX($C$2:$C$1201,MATCH(B327,$B$2:$B$1201,0))&lt;&gt;C327,"Nome diferente em outro deck — revisar",""))</f>
        <v/>
      </c>
      <c r="J327" s="16" t="str">
        <f aca="false">IF(AND(B327&lt;&gt;"",A327=BULK!$A$1,N(F327)&gt;0),MAX(J$1:J326)+1,"")</f>
        <v/>
      </c>
      <c r="K327" s="11" t="str">
        <f aca="false">IF(B327="","",IFERROR(LEFT(B327,FIND("-",B327)-1),B327))</f>
        <v/>
      </c>
      <c r="L327" s="11" t="str">
        <f aca="false">IF(K327="","",IF(ISNUMBER(--MID(K327,1,1)),0,IF(ISNUMBER(--MID(K327,2,1)),1,IF(ISNUMBER(--MID(K327,3,1)),2,IF(ISNUMBER(--MID(K327,4,1)),3,MIN(LEN(K327),4))))))</f>
        <v/>
      </c>
      <c r="M327" s="11" t="str">
        <f aca="false">IF(B327="","",LEFT(K327,L327)&amp;REPT("0",4-L327)&amp;RIGHT("000"&amp;IFERROR(VALUE(MID(K327,L327+1,9)),0),3)&amp;RIGHT("0000"&amp;IFERROR(VALUE(MID(B327,FIND("-",B327)+1,9)),0),4))</f>
        <v/>
      </c>
      <c r="N327" s="11" t="str">
        <f aca="false">IF(OR(B327="",N(F327)&lt;=0),"",IF('FALTAS POR DECK'!$P$1="Código","K"&amp;M327&amp;RIGHT("00000"&amp;ROW(),5),IF('FALTAS POR DECK'!$P$1="Nome","K"&amp;UPPER(SUBSTITUTE(SUBSTITUTE(SUBSTITUTE(C327,"*",""),"?",""),"~",""))&amp;"0"&amp;M327&amp;RIGHT("00000"&amp;ROW(),5),IF('FALTAS POR DECK'!$P$1="Falta (maior primeiro)","K"&amp;RIGHT("0000"&amp;(9999-F327),4)&amp;M327&amp;RIGHT("00000"&amp;ROW(),5),IF('FALTAS POR DECK'!$P$1="Deck e código","K"&amp;RIGHT("00"&amp;IFERROR(MATCH(A327,_LEITURA!$P$2:$P$21,0),99),2)&amp;M327&amp;RIGHT("00000"&amp;ROW(),5),"K"&amp;RIGHT("00000"&amp;ROW(),5))))))</f>
        <v/>
      </c>
      <c r="O327" s="16" t="str">
        <f aca="false">IF(N327="","",COUNTIFS($N$2:$N$1201,"&lt;"&amp;N327,$F$2:$F$1201,"&gt;0")+1)</f>
        <v/>
      </c>
    </row>
    <row r="328" customFormat="false" ht="15" hidden="false" customHeight="false" outlineLevel="0" collapsed="false">
      <c r="A328" s="11" t="str">
        <f aca="false">IF(_LEITURA!$N328="","",INDEX(_LEITURA!$K$2:$K$1201,_LEITURA!$N328))</f>
        <v/>
      </c>
      <c r="B328" s="11" t="str">
        <f aca="false">IF(_LEITURA!$N328="","",INDEX(_LEITURA!$E$2:$E$1201,_LEITURA!$N328))</f>
        <v/>
      </c>
      <c r="C328" s="11" t="str">
        <f aca="false">IF(_LEITURA!$N328="","",INDEX(_LEITURA!$J$2:$J$1201,_LEITURA!$N328))</f>
        <v/>
      </c>
      <c r="D328" s="16" t="str">
        <f aca="false">IF(_LEITURA!$N328="","",INDEX(_LEITURA!$G$2:$G$1201,_LEITURA!$N328))</f>
        <v/>
      </c>
      <c r="E328" s="16" t="str">
        <f aca="false">IF(B328="","",SUMIFS(INVENTÁRIO!$C$2:$C$801,INVENTÁRIO!$A$2:$A$801,B328))</f>
        <v/>
      </c>
      <c r="F328" s="16" t="str">
        <f aca="false">IF(B328="","",MAX(0,D328-E328))</f>
        <v/>
      </c>
      <c r="G328" s="16" t="str">
        <f aca="false">IF(B328="","",IF(COUNTIFS($B$2:$B$1201,B328,$A$2:$A$1201,"&lt;&gt;"&amp;A328)&gt;0,"Sim",""))</f>
        <v/>
      </c>
      <c r="H328" s="16" t="str">
        <f aca="false">IF(N(F328)&gt;0,MAX(H$1:H327)+1,"")</f>
        <v/>
      </c>
      <c r="I328" s="11" t="str">
        <f aca="false">IF(B328="","",IF(INDEX($C$2:$C$1201,MATCH(B328,$B$2:$B$1201,0))&lt;&gt;C328,"Nome diferente em outro deck — revisar",""))</f>
        <v/>
      </c>
      <c r="J328" s="16" t="str">
        <f aca="false">IF(AND(B328&lt;&gt;"",A328=BULK!$A$1,N(F328)&gt;0),MAX(J$1:J327)+1,"")</f>
        <v/>
      </c>
      <c r="K328" s="11" t="str">
        <f aca="false">IF(B328="","",IFERROR(LEFT(B328,FIND("-",B328)-1),B328))</f>
        <v/>
      </c>
      <c r="L328" s="11" t="str">
        <f aca="false">IF(K328="","",IF(ISNUMBER(--MID(K328,1,1)),0,IF(ISNUMBER(--MID(K328,2,1)),1,IF(ISNUMBER(--MID(K328,3,1)),2,IF(ISNUMBER(--MID(K328,4,1)),3,MIN(LEN(K328),4))))))</f>
        <v/>
      </c>
      <c r="M328" s="11" t="str">
        <f aca="false">IF(B328="","",LEFT(K328,L328)&amp;REPT("0",4-L328)&amp;RIGHT("000"&amp;IFERROR(VALUE(MID(K328,L328+1,9)),0),3)&amp;RIGHT("0000"&amp;IFERROR(VALUE(MID(B328,FIND("-",B328)+1,9)),0),4))</f>
        <v/>
      </c>
      <c r="N328" s="11" t="str">
        <f aca="false">IF(OR(B328="",N(F328)&lt;=0),"",IF('FALTAS POR DECK'!$P$1="Código","K"&amp;M328&amp;RIGHT("00000"&amp;ROW(),5),IF('FALTAS POR DECK'!$P$1="Nome","K"&amp;UPPER(SUBSTITUTE(SUBSTITUTE(SUBSTITUTE(C328,"*",""),"?",""),"~",""))&amp;"0"&amp;M328&amp;RIGHT("00000"&amp;ROW(),5),IF('FALTAS POR DECK'!$P$1="Falta (maior primeiro)","K"&amp;RIGHT("0000"&amp;(9999-F328),4)&amp;M328&amp;RIGHT("00000"&amp;ROW(),5),IF('FALTAS POR DECK'!$P$1="Deck e código","K"&amp;RIGHT("00"&amp;IFERROR(MATCH(A328,_LEITURA!$P$2:$P$21,0),99),2)&amp;M328&amp;RIGHT("00000"&amp;ROW(),5),"K"&amp;RIGHT("00000"&amp;ROW(),5))))))</f>
        <v/>
      </c>
      <c r="O328" s="16" t="str">
        <f aca="false">IF(N328="","",COUNTIFS($N$2:$N$1201,"&lt;"&amp;N328,$F$2:$F$1201,"&gt;0")+1)</f>
        <v/>
      </c>
    </row>
    <row r="329" customFormat="false" ht="15" hidden="false" customHeight="false" outlineLevel="0" collapsed="false">
      <c r="A329" s="11" t="str">
        <f aca="false">IF(_LEITURA!$N329="","",INDEX(_LEITURA!$K$2:$K$1201,_LEITURA!$N329))</f>
        <v/>
      </c>
      <c r="B329" s="11" t="str">
        <f aca="false">IF(_LEITURA!$N329="","",INDEX(_LEITURA!$E$2:$E$1201,_LEITURA!$N329))</f>
        <v/>
      </c>
      <c r="C329" s="11" t="str">
        <f aca="false">IF(_LEITURA!$N329="","",INDEX(_LEITURA!$J$2:$J$1201,_LEITURA!$N329))</f>
        <v/>
      </c>
      <c r="D329" s="16" t="str">
        <f aca="false">IF(_LEITURA!$N329="","",INDEX(_LEITURA!$G$2:$G$1201,_LEITURA!$N329))</f>
        <v/>
      </c>
      <c r="E329" s="16" t="str">
        <f aca="false">IF(B329="","",SUMIFS(INVENTÁRIO!$C$2:$C$801,INVENTÁRIO!$A$2:$A$801,B329))</f>
        <v/>
      </c>
      <c r="F329" s="16" t="str">
        <f aca="false">IF(B329="","",MAX(0,D329-E329))</f>
        <v/>
      </c>
      <c r="G329" s="16" t="str">
        <f aca="false">IF(B329="","",IF(COUNTIFS($B$2:$B$1201,B329,$A$2:$A$1201,"&lt;&gt;"&amp;A329)&gt;0,"Sim",""))</f>
        <v/>
      </c>
      <c r="H329" s="16" t="str">
        <f aca="false">IF(N(F329)&gt;0,MAX(H$1:H328)+1,"")</f>
        <v/>
      </c>
      <c r="I329" s="11" t="str">
        <f aca="false">IF(B329="","",IF(INDEX($C$2:$C$1201,MATCH(B329,$B$2:$B$1201,0))&lt;&gt;C329,"Nome diferente em outro deck — revisar",""))</f>
        <v/>
      </c>
      <c r="J329" s="16" t="str">
        <f aca="false">IF(AND(B329&lt;&gt;"",A329=BULK!$A$1,N(F329)&gt;0),MAX(J$1:J328)+1,"")</f>
        <v/>
      </c>
      <c r="K329" s="11" t="str">
        <f aca="false">IF(B329="","",IFERROR(LEFT(B329,FIND("-",B329)-1),B329))</f>
        <v/>
      </c>
      <c r="L329" s="11" t="str">
        <f aca="false">IF(K329="","",IF(ISNUMBER(--MID(K329,1,1)),0,IF(ISNUMBER(--MID(K329,2,1)),1,IF(ISNUMBER(--MID(K329,3,1)),2,IF(ISNUMBER(--MID(K329,4,1)),3,MIN(LEN(K329),4))))))</f>
        <v/>
      </c>
      <c r="M329" s="11" t="str">
        <f aca="false">IF(B329="","",LEFT(K329,L329)&amp;REPT("0",4-L329)&amp;RIGHT("000"&amp;IFERROR(VALUE(MID(K329,L329+1,9)),0),3)&amp;RIGHT("0000"&amp;IFERROR(VALUE(MID(B329,FIND("-",B329)+1,9)),0),4))</f>
        <v/>
      </c>
      <c r="N329" s="11" t="str">
        <f aca="false">IF(OR(B329="",N(F329)&lt;=0),"",IF('FALTAS POR DECK'!$P$1="Código","K"&amp;M329&amp;RIGHT("00000"&amp;ROW(),5),IF('FALTAS POR DECK'!$P$1="Nome","K"&amp;UPPER(SUBSTITUTE(SUBSTITUTE(SUBSTITUTE(C329,"*",""),"?",""),"~",""))&amp;"0"&amp;M329&amp;RIGHT("00000"&amp;ROW(),5),IF('FALTAS POR DECK'!$P$1="Falta (maior primeiro)","K"&amp;RIGHT("0000"&amp;(9999-F329),4)&amp;M329&amp;RIGHT("00000"&amp;ROW(),5),IF('FALTAS POR DECK'!$P$1="Deck e código","K"&amp;RIGHT("00"&amp;IFERROR(MATCH(A329,_LEITURA!$P$2:$P$21,0),99),2)&amp;M329&amp;RIGHT("00000"&amp;ROW(),5),"K"&amp;RIGHT("00000"&amp;ROW(),5))))))</f>
        <v/>
      </c>
      <c r="O329" s="16" t="str">
        <f aca="false">IF(N329="","",COUNTIFS($N$2:$N$1201,"&lt;"&amp;N329,$F$2:$F$1201,"&gt;0")+1)</f>
        <v/>
      </c>
    </row>
    <row r="330" customFormat="false" ht="15" hidden="false" customHeight="false" outlineLevel="0" collapsed="false">
      <c r="A330" s="11" t="str">
        <f aca="false">IF(_LEITURA!$N330="","",INDEX(_LEITURA!$K$2:$K$1201,_LEITURA!$N330))</f>
        <v/>
      </c>
      <c r="B330" s="11" t="str">
        <f aca="false">IF(_LEITURA!$N330="","",INDEX(_LEITURA!$E$2:$E$1201,_LEITURA!$N330))</f>
        <v/>
      </c>
      <c r="C330" s="11" t="str">
        <f aca="false">IF(_LEITURA!$N330="","",INDEX(_LEITURA!$J$2:$J$1201,_LEITURA!$N330))</f>
        <v/>
      </c>
      <c r="D330" s="16" t="str">
        <f aca="false">IF(_LEITURA!$N330="","",INDEX(_LEITURA!$G$2:$G$1201,_LEITURA!$N330))</f>
        <v/>
      </c>
      <c r="E330" s="16" t="str">
        <f aca="false">IF(B330="","",SUMIFS(INVENTÁRIO!$C$2:$C$801,INVENTÁRIO!$A$2:$A$801,B330))</f>
        <v/>
      </c>
      <c r="F330" s="16" t="str">
        <f aca="false">IF(B330="","",MAX(0,D330-E330))</f>
        <v/>
      </c>
      <c r="G330" s="16" t="str">
        <f aca="false">IF(B330="","",IF(COUNTIFS($B$2:$B$1201,B330,$A$2:$A$1201,"&lt;&gt;"&amp;A330)&gt;0,"Sim",""))</f>
        <v/>
      </c>
      <c r="H330" s="16" t="str">
        <f aca="false">IF(N(F330)&gt;0,MAX(H$1:H329)+1,"")</f>
        <v/>
      </c>
      <c r="I330" s="11" t="str">
        <f aca="false">IF(B330="","",IF(INDEX($C$2:$C$1201,MATCH(B330,$B$2:$B$1201,0))&lt;&gt;C330,"Nome diferente em outro deck — revisar",""))</f>
        <v/>
      </c>
      <c r="J330" s="16" t="str">
        <f aca="false">IF(AND(B330&lt;&gt;"",A330=BULK!$A$1,N(F330)&gt;0),MAX(J$1:J329)+1,"")</f>
        <v/>
      </c>
      <c r="K330" s="11" t="str">
        <f aca="false">IF(B330="","",IFERROR(LEFT(B330,FIND("-",B330)-1),B330))</f>
        <v/>
      </c>
      <c r="L330" s="11" t="str">
        <f aca="false">IF(K330="","",IF(ISNUMBER(--MID(K330,1,1)),0,IF(ISNUMBER(--MID(K330,2,1)),1,IF(ISNUMBER(--MID(K330,3,1)),2,IF(ISNUMBER(--MID(K330,4,1)),3,MIN(LEN(K330),4))))))</f>
        <v/>
      </c>
      <c r="M330" s="11" t="str">
        <f aca="false">IF(B330="","",LEFT(K330,L330)&amp;REPT("0",4-L330)&amp;RIGHT("000"&amp;IFERROR(VALUE(MID(K330,L330+1,9)),0),3)&amp;RIGHT("0000"&amp;IFERROR(VALUE(MID(B330,FIND("-",B330)+1,9)),0),4))</f>
        <v/>
      </c>
      <c r="N330" s="11" t="str">
        <f aca="false">IF(OR(B330="",N(F330)&lt;=0),"",IF('FALTAS POR DECK'!$P$1="Código","K"&amp;M330&amp;RIGHT("00000"&amp;ROW(),5),IF('FALTAS POR DECK'!$P$1="Nome","K"&amp;UPPER(SUBSTITUTE(SUBSTITUTE(SUBSTITUTE(C330,"*",""),"?",""),"~",""))&amp;"0"&amp;M330&amp;RIGHT("00000"&amp;ROW(),5),IF('FALTAS POR DECK'!$P$1="Falta (maior primeiro)","K"&amp;RIGHT("0000"&amp;(9999-F330),4)&amp;M330&amp;RIGHT("00000"&amp;ROW(),5),IF('FALTAS POR DECK'!$P$1="Deck e código","K"&amp;RIGHT("00"&amp;IFERROR(MATCH(A330,_LEITURA!$P$2:$P$21,0),99),2)&amp;M330&amp;RIGHT("00000"&amp;ROW(),5),"K"&amp;RIGHT("00000"&amp;ROW(),5))))))</f>
        <v/>
      </c>
      <c r="O330" s="16" t="str">
        <f aca="false">IF(N330="","",COUNTIFS($N$2:$N$1201,"&lt;"&amp;N330,$F$2:$F$1201,"&gt;0")+1)</f>
        <v/>
      </c>
    </row>
    <row r="331" customFormat="false" ht="15" hidden="false" customHeight="false" outlineLevel="0" collapsed="false">
      <c r="A331" s="11" t="str">
        <f aca="false">IF(_LEITURA!$N331="","",INDEX(_LEITURA!$K$2:$K$1201,_LEITURA!$N331))</f>
        <v/>
      </c>
      <c r="B331" s="11" t="str">
        <f aca="false">IF(_LEITURA!$N331="","",INDEX(_LEITURA!$E$2:$E$1201,_LEITURA!$N331))</f>
        <v/>
      </c>
      <c r="C331" s="11" t="str">
        <f aca="false">IF(_LEITURA!$N331="","",INDEX(_LEITURA!$J$2:$J$1201,_LEITURA!$N331))</f>
        <v/>
      </c>
      <c r="D331" s="16" t="str">
        <f aca="false">IF(_LEITURA!$N331="","",INDEX(_LEITURA!$G$2:$G$1201,_LEITURA!$N331))</f>
        <v/>
      </c>
      <c r="E331" s="16" t="str">
        <f aca="false">IF(B331="","",SUMIFS(INVENTÁRIO!$C$2:$C$801,INVENTÁRIO!$A$2:$A$801,B331))</f>
        <v/>
      </c>
      <c r="F331" s="16" t="str">
        <f aca="false">IF(B331="","",MAX(0,D331-E331))</f>
        <v/>
      </c>
      <c r="G331" s="16" t="str">
        <f aca="false">IF(B331="","",IF(COUNTIFS($B$2:$B$1201,B331,$A$2:$A$1201,"&lt;&gt;"&amp;A331)&gt;0,"Sim",""))</f>
        <v/>
      </c>
      <c r="H331" s="16" t="str">
        <f aca="false">IF(N(F331)&gt;0,MAX(H$1:H330)+1,"")</f>
        <v/>
      </c>
      <c r="I331" s="11" t="str">
        <f aca="false">IF(B331="","",IF(INDEX($C$2:$C$1201,MATCH(B331,$B$2:$B$1201,0))&lt;&gt;C331,"Nome diferente em outro deck — revisar",""))</f>
        <v/>
      </c>
      <c r="J331" s="16" t="str">
        <f aca="false">IF(AND(B331&lt;&gt;"",A331=BULK!$A$1,N(F331)&gt;0),MAX(J$1:J330)+1,"")</f>
        <v/>
      </c>
      <c r="K331" s="11" t="str">
        <f aca="false">IF(B331="","",IFERROR(LEFT(B331,FIND("-",B331)-1),B331))</f>
        <v/>
      </c>
      <c r="L331" s="11" t="str">
        <f aca="false">IF(K331="","",IF(ISNUMBER(--MID(K331,1,1)),0,IF(ISNUMBER(--MID(K331,2,1)),1,IF(ISNUMBER(--MID(K331,3,1)),2,IF(ISNUMBER(--MID(K331,4,1)),3,MIN(LEN(K331),4))))))</f>
        <v/>
      </c>
      <c r="M331" s="11" t="str">
        <f aca="false">IF(B331="","",LEFT(K331,L331)&amp;REPT("0",4-L331)&amp;RIGHT("000"&amp;IFERROR(VALUE(MID(K331,L331+1,9)),0),3)&amp;RIGHT("0000"&amp;IFERROR(VALUE(MID(B331,FIND("-",B331)+1,9)),0),4))</f>
        <v/>
      </c>
      <c r="N331" s="11" t="str">
        <f aca="false">IF(OR(B331="",N(F331)&lt;=0),"",IF('FALTAS POR DECK'!$P$1="Código","K"&amp;M331&amp;RIGHT("00000"&amp;ROW(),5),IF('FALTAS POR DECK'!$P$1="Nome","K"&amp;UPPER(SUBSTITUTE(SUBSTITUTE(SUBSTITUTE(C331,"*",""),"?",""),"~",""))&amp;"0"&amp;M331&amp;RIGHT("00000"&amp;ROW(),5),IF('FALTAS POR DECK'!$P$1="Falta (maior primeiro)","K"&amp;RIGHT("0000"&amp;(9999-F331),4)&amp;M331&amp;RIGHT("00000"&amp;ROW(),5),IF('FALTAS POR DECK'!$P$1="Deck e código","K"&amp;RIGHT("00"&amp;IFERROR(MATCH(A331,_LEITURA!$P$2:$P$21,0),99),2)&amp;M331&amp;RIGHT("00000"&amp;ROW(),5),"K"&amp;RIGHT("00000"&amp;ROW(),5))))))</f>
        <v/>
      </c>
      <c r="O331" s="16" t="str">
        <f aca="false">IF(N331="","",COUNTIFS($N$2:$N$1201,"&lt;"&amp;N331,$F$2:$F$1201,"&gt;0")+1)</f>
        <v/>
      </c>
    </row>
    <row r="332" customFormat="false" ht="15" hidden="false" customHeight="false" outlineLevel="0" collapsed="false">
      <c r="A332" s="11" t="str">
        <f aca="false">IF(_LEITURA!$N332="","",INDEX(_LEITURA!$K$2:$K$1201,_LEITURA!$N332))</f>
        <v/>
      </c>
      <c r="B332" s="11" t="str">
        <f aca="false">IF(_LEITURA!$N332="","",INDEX(_LEITURA!$E$2:$E$1201,_LEITURA!$N332))</f>
        <v/>
      </c>
      <c r="C332" s="11" t="str">
        <f aca="false">IF(_LEITURA!$N332="","",INDEX(_LEITURA!$J$2:$J$1201,_LEITURA!$N332))</f>
        <v/>
      </c>
      <c r="D332" s="16" t="str">
        <f aca="false">IF(_LEITURA!$N332="","",INDEX(_LEITURA!$G$2:$G$1201,_LEITURA!$N332))</f>
        <v/>
      </c>
      <c r="E332" s="16" t="str">
        <f aca="false">IF(B332="","",SUMIFS(INVENTÁRIO!$C$2:$C$801,INVENTÁRIO!$A$2:$A$801,B332))</f>
        <v/>
      </c>
      <c r="F332" s="16" t="str">
        <f aca="false">IF(B332="","",MAX(0,D332-E332))</f>
        <v/>
      </c>
      <c r="G332" s="16" t="str">
        <f aca="false">IF(B332="","",IF(COUNTIFS($B$2:$B$1201,B332,$A$2:$A$1201,"&lt;&gt;"&amp;A332)&gt;0,"Sim",""))</f>
        <v/>
      </c>
      <c r="H332" s="16" t="str">
        <f aca="false">IF(N(F332)&gt;0,MAX(H$1:H331)+1,"")</f>
        <v/>
      </c>
      <c r="I332" s="11" t="str">
        <f aca="false">IF(B332="","",IF(INDEX($C$2:$C$1201,MATCH(B332,$B$2:$B$1201,0))&lt;&gt;C332,"Nome diferente em outro deck — revisar",""))</f>
        <v/>
      </c>
      <c r="J332" s="16" t="str">
        <f aca="false">IF(AND(B332&lt;&gt;"",A332=BULK!$A$1,N(F332)&gt;0),MAX(J$1:J331)+1,"")</f>
        <v/>
      </c>
      <c r="K332" s="11" t="str">
        <f aca="false">IF(B332="","",IFERROR(LEFT(B332,FIND("-",B332)-1),B332))</f>
        <v/>
      </c>
      <c r="L332" s="11" t="str">
        <f aca="false">IF(K332="","",IF(ISNUMBER(--MID(K332,1,1)),0,IF(ISNUMBER(--MID(K332,2,1)),1,IF(ISNUMBER(--MID(K332,3,1)),2,IF(ISNUMBER(--MID(K332,4,1)),3,MIN(LEN(K332),4))))))</f>
        <v/>
      </c>
      <c r="M332" s="11" t="str">
        <f aca="false">IF(B332="","",LEFT(K332,L332)&amp;REPT("0",4-L332)&amp;RIGHT("000"&amp;IFERROR(VALUE(MID(K332,L332+1,9)),0),3)&amp;RIGHT("0000"&amp;IFERROR(VALUE(MID(B332,FIND("-",B332)+1,9)),0),4))</f>
        <v/>
      </c>
      <c r="N332" s="11" t="str">
        <f aca="false">IF(OR(B332="",N(F332)&lt;=0),"",IF('FALTAS POR DECK'!$P$1="Código","K"&amp;M332&amp;RIGHT("00000"&amp;ROW(),5),IF('FALTAS POR DECK'!$P$1="Nome","K"&amp;UPPER(SUBSTITUTE(SUBSTITUTE(SUBSTITUTE(C332,"*",""),"?",""),"~",""))&amp;"0"&amp;M332&amp;RIGHT("00000"&amp;ROW(),5),IF('FALTAS POR DECK'!$P$1="Falta (maior primeiro)","K"&amp;RIGHT("0000"&amp;(9999-F332),4)&amp;M332&amp;RIGHT("00000"&amp;ROW(),5),IF('FALTAS POR DECK'!$P$1="Deck e código","K"&amp;RIGHT("00"&amp;IFERROR(MATCH(A332,_LEITURA!$P$2:$P$21,0),99),2)&amp;M332&amp;RIGHT("00000"&amp;ROW(),5),"K"&amp;RIGHT("00000"&amp;ROW(),5))))))</f>
        <v/>
      </c>
      <c r="O332" s="16" t="str">
        <f aca="false">IF(N332="","",COUNTIFS($N$2:$N$1201,"&lt;"&amp;N332,$F$2:$F$1201,"&gt;0")+1)</f>
        <v/>
      </c>
    </row>
    <row r="333" customFormat="false" ht="15" hidden="false" customHeight="false" outlineLevel="0" collapsed="false">
      <c r="A333" s="11" t="str">
        <f aca="false">IF(_LEITURA!$N333="","",INDEX(_LEITURA!$K$2:$K$1201,_LEITURA!$N333))</f>
        <v/>
      </c>
      <c r="B333" s="11" t="str">
        <f aca="false">IF(_LEITURA!$N333="","",INDEX(_LEITURA!$E$2:$E$1201,_LEITURA!$N333))</f>
        <v/>
      </c>
      <c r="C333" s="11" t="str">
        <f aca="false">IF(_LEITURA!$N333="","",INDEX(_LEITURA!$J$2:$J$1201,_LEITURA!$N333))</f>
        <v/>
      </c>
      <c r="D333" s="16" t="str">
        <f aca="false">IF(_LEITURA!$N333="","",INDEX(_LEITURA!$G$2:$G$1201,_LEITURA!$N333))</f>
        <v/>
      </c>
      <c r="E333" s="16" t="str">
        <f aca="false">IF(B333="","",SUMIFS(INVENTÁRIO!$C$2:$C$801,INVENTÁRIO!$A$2:$A$801,B333))</f>
        <v/>
      </c>
      <c r="F333" s="16" t="str">
        <f aca="false">IF(B333="","",MAX(0,D333-E333))</f>
        <v/>
      </c>
      <c r="G333" s="16" t="str">
        <f aca="false">IF(B333="","",IF(COUNTIFS($B$2:$B$1201,B333,$A$2:$A$1201,"&lt;&gt;"&amp;A333)&gt;0,"Sim",""))</f>
        <v/>
      </c>
      <c r="H333" s="16" t="str">
        <f aca="false">IF(N(F333)&gt;0,MAX(H$1:H332)+1,"")</f>
        <v/>
      </c>
      <c r="I333" s="11" t="str">
        <f aca="false">IF(B333="","",IF(INDEX($C$2:$C$1201,MATCH(B333,$B$2:$B$1201,0))&lt;&gt;C333,"Nome diferente em outro deck — revisar",""))</f>
        <v/>
      </c>
      <c r="J333" s="16" t="str">
        <f aca="false">IF(AND(B333&lt;&gt;"",A333=BULK!$A$1,N(F333)&gt;0),MAX(J$1:J332)+1,"")</f>
        <v/>
      </c>
      <c r="K333" s="11" t="str">
        <f aca="false">IF(B333="","",IFERROR(LEFT(B333,FIND("-",B333)-1),B333))</f>
        <v/>
      </c>
      <c r="L333" s="11" t="str">
        <f aca="false">IF(K333="","",IF(ISNUMBER(--MID(K333,1,1)),0,IF(ISNUMBER(--MID(K333,2,1)),1,IF(ISNUMBER(--MID(K333,3,1)),2,IF(ISNUMBER(--MID(K333,4,1)),3,MIN(LEN(K333),4))))))</f>
        <v/>
      </c>
      <c r="M333" s="11" t="str">
        <f aca="false">IF(B333="","",LEFT(K333,L333)&amp;REPT("0",4-L333)&amp;RIGHT("000"&amp;IFERROR(VALUE(MID(K333,L333+1,9)),0),3)&amp;RIGHT("0000"&amp;IFERROR(VALUE(MID(B333,FIND("-",B333)+1,9)),0),4))</f>
        <v/>
      </c>
      <c r="N333" s="11" t="str">
        <f aca="false">IF(OR(B333="",N(F333)&lt;=0),"",IF('FALTAS POR DECK'!$P$1="Código","K"&amp;M333&amp;RIGHT("00000"&amp;ROW(),5),IF('FALTAS POR DECK'!$P$1="Nome","K"&amp;UPPER(SUBSTITUTE(SUBSTITUTE(SUBSTITUTE(C333,"*",""),"?",""),"~",""))&amp;"0"&amp;M333&amp;RIGHT("00000"&amp;ROW(),5),IF('FALTAS POR DECK'!$P$1="Falta (maior primeiro)","K"&amp;RIGHT("0000"&amp;(9999-F333),4)&amp;M333&amp;RIGHT("00000"&amp;ROW(),5),IF('FALTAS POR DECK'!$P$1="Deck e código","K"&amp;RIGHT("00"&amp;IFERROR(MATCH(A333,_LEITURA!$P$2:$P$21,0),99),2)&amp;M333&amp;RIGHT("00000"&amp;ROW(),5),"K"&amp;RIGHT("00000"&amp;ROW(),5))))))</f>
        <v/>
      </c>
      <c r="O333" s="16" t="str">
        <f aca="false">IF(N333="","",COUNTIFS($N$2:$N$1201,"&lt;"&amp;N333,$F$2:$F$1201,"&gt;0")+1)</f>
        <v/>
      </c>
    </row>
    <row r="334" customFormat="false" ht="15" hidden="false" customHeight="false" outlineLevel="0" collapsed="false">
      <c r="A334" s="11" t="str">
        <f aca="false">IF(_LEITURA!$N334="","",INDEX(_LEITURA!$K$2:$K$1201,_LEITURA!$N334))</f>
        <v/>
      </c>
      <c r="B334" s="11" t="str">
        <f aca="false">IF(_LEITURA!$N334="","",INDEX(_LEITURA!$E$2:$E$1201,_LEITURA!$N334))</f>
        <v/>
      </c>
      <c r="C334" s="11" t="str">
        <f aca="false">IF(_LEITURA!$N334="","",INDEX(_LEITURA!$J$2:$J$1201,_LEITURA!$N334))</f>
        <v/>
      </c>
      <c r="D334" s="16" t="str">
        <f aca="false">IF(_LEITURA!$N334="","",INDEX(_LEITURA!$G$2:$G$1201,_LEITURA!$N334))</f>
        <v/>
      </c>
      <c r="E334" s="16" t="str">
        <f aca="false">IF(B334="","",SUMIFS(INVENTÁRIO!$C$2:$C$801,INVENTÁRIO!$A$2:$A$801,B334))</f>
        <v/>
      </c>
      <c r="F334" s="16" t="str">
        <f aca="false">IF(B334="","",MAX(0,D334-E334))</f>
        <v/>
      </c>
      <c r="G334" s="16" t="str">
        <f aca="false">IF(B334="","",IF(COUNTIFS($B$2:$B$1201,B334,$A$2:$A$1201,"&lt;&gt;"&amp;A334)&gt;0,"Sim",""))</f>
        <v/>
      </c>
      <c r="H334" s="16" t="str">
        <f aca="false">IF(N(F334)&gt;0,MAX(H$1:H333)+1,"")</f>
        <v/>
      </c>
      <c r="I334" s="11" t="str">
        <f aca="false">IF(B334="","",IF(INDEX($C$2:$C$1201,MATCH(B334,$B$2:$B$1201,0))&lt;&gt;C334,"Nome diferente em outro deck — revisar",""))</f>
        <v/>
      </c>
      <c r="J334" s="16" t="str">
        <f aca="false">IF(AND(B334&lt;&gt;"",A334=BULK!$A$1,N(F334)&gt;0),MAX(J$1:J333)+1,"")</f>
        <v/>
      </c>
      <c r="K334" s="11" t="str">
        <f aca="false">IF(B334="","",IFERROR(LEFT(B334,FIND("-",B334)-1),B334))</f>
        <v/>
      </c>
      <c r="L334" s="11" t="str">
        <f aca="false">IF(K334="","",IF(ISNUMBER(--MID(K334,1,1)),0,IF(ISNUMBER(--MID(K334,2,1)),1,IF(ISNUMBER(--MID(K334,3,1)),2,IF(ISNUMBER(--MID(K334,4,1)),3,MIN(LEN(K334),4))))))</f>
        <v/>
      </c>
      <c r="M334" s="11" t="str">
        <f aca="false">IF(B334="","",LEFT(K334,L334)&amp;REPT("0",4-L334)&amp;RIGHT("000"&amp;IFERROR(VALUE(MID(K334,L334+1,9)),0),3)&amp;RIGHT("0000"&amp;IFERROR(VALUE(MID(B334,FIND("-",B334)+1,9)),0),4))</f>
        <v/>
      </c>
      <c r="N334" s="11" t="str">
        <f aca="false">IF(OR(B334="",N(F334)&lt;=0),"",IF('FALTAS POR DECK'!$P$1="Código","K"&amp;M334&amp;RIGHT("00000"&amp;ROW(),5),IF('FALTAS POR DECK'!$P$1="Nome","K"&amp;UPPER(SUBSTITUTE(SUBSTITUTE(SUBSTITUTE(C334,"*",""),"?",""),"~",""))&amp;"0"&amp;M334&amp;RIGHT("00000"&amp;ROW(),5),IF('FALTAS POR DECK'!$P$1="Falta (maior primeiro)","K"&amp;RIGHT("0000"&amp;(9999-F334),4)&amp;M334&amp;RIGHT("00000"&amp;ROW(),5),IF('FALTAS POR DECK'!$P$1="Deck e código","K"&amp;RIGHT("00"&amp;IFERROR(MATCH(A334,_LEITURA!$P$2:$P$21,0),99),2)&amp;M334&amp;RIGHT("00000"&amp;ROW(),5),"K"&amp;RIGHT("00000"&amp;ROW(),5))))))</f>
        <v/>
      </c>
      <c r="O334" s="16" t="str">
        <f aca="false">IF(N334="","",COUNTIFS($N$2:$N$1201,"&lt;"&amp;N334,$F$2:$F$1201,"&gt;0")+1)</f>
        <v/>
      </c>
    </row>
    <row r="335" customFormat="false" ht="15" hidden="false" customHeight="false" outlineLevel="0" collapsed="false">
      <c r="A335" s="11" t="str">
        <f aca="false">IF(_LEITURA!$N335="","",INDEX(_LEITURA!$K$2:$K$1201,_LEITURA!$N335))</f>
        <v/>
      </c>
      <c r="B335" s="11" t="str">
        <f aca="false">IF(_LEITURA!$N335="","",INDEX(_LEITURA!$E$2:$E$1201,_LEITURA!$N335))</f>
        <v/>
      </c>
      <c r="C335" s="11" t="str">
        <f aca="false">IF(_LEITURA!$N335="","",INDEX(_LEITURA!$J$2:$J$1201,_LEITURA!$N335))</f>
        <v/>
      </c>
      <c r="D335" s="16" t="str">
        <f aca="false">IF(_LEITURA!$N335="","",INDEX(_LEITURA!$G$2:$G$1201,_LEITURA!$N335))</f>
        <v/>
      </c>
      <c r="E335" s="16" t="str">
        <f aca="false">IF(B335="","",SUMIFS(INVENTÁRIO!$C$2:$C$801,INVENTÁRIO!$A$2:$A$801,B335))</f>
        <v/>
      </c>
      <c r="F335" s="16" t="str">
        <f aca="false">IF(B335="","",MAX(0,D335-E335))</f>
        <v/>
      </c>
      <c r="G335" s="16" t="str">
        <f aca="false">IF(B335="","",IF(COUNTIFS($B$2:$B$1201,B335,$A$2:$A$1201,"&lt;&gt;"&amp;A335)&gt;0,"Sim",""))</f>
        <v/>
      </c>
      <c r="H335" s="16" t="str">
        <f aca="false">IF(N(F335)&gt;0,MAX(H$1:H334)+1,"")</f>
        <v/>
      </c>
      <c r="I335" s="11" t="str">
        <f aca="false">IF(B335="","",IF(INDEX($C$2:$C$1201,MATCH(B335,$B$2:$B$1201,0))&lt;&gt;C335,"Nome diferente em outro deck — revisar",""))</f>
        <v/>
      </c>
      <c r="J335" s="16" t="str">
        <f aca="false">IF(AND(B335&lt;&gt;"",A335=BULK!$A$1,N(F335)&gt;0),MAX(J$1:J334)+1,"")</f>
        <v/>
      </c>
      <c r="K335" s="11" t="str">
        <f aca="false">IF(B335="","",IFERROR(LEFT(B335,FIND("-",B335)-1),B335))</f>
        <v/>
      </c>
      <c r="L335" s="11" t="str">
        <f aca="false">IF(K335="","",IF(ISNUMBER(--MID(K335,1,1)),0,IF(ISNUMBER(--MID(K335,2,1)),1,IF(ISNUMBER(--MID(K335,3,1)),2,IF(ISNUMBER(--MID(K335,4,1)),3,MIN(LEN(K335),4))))))</f>
        <v/>
      </c>
      <c r="M335" s="11" t="str">
        <f aca="false">IF(B335="","",LEFT(K335,L335)&amp;REPT("0",4-L335)&amp;RIGHT("000"&amp;IFERROR(VALUE(MID(K335,L335+1,9)),0),3)&amp;RIGHT("0000"&amp;IFERROR(VALUE(MID(B335,FIND("-",B335)+1,9)),0),4))</f>
        <v/>
      </c>
      <c r="N335" s="11" t="str">
        <f aca="false">IF(OR(B335="",N(F335)&lt;=0),"",IF('FALTAS POR DECK'!$P$1="Código","K"&amp;M335&amp;RIGHT("00000"&amp;ROW(),5),IF('FALTAS POR DECK'!$P$1="Nome","K"&amp;UPPER(SUBSTITUTE(SUBSTITUTE(SUBSTITUTE(C335,"*",""),"?",""),"~",""))&amp;"0"&amp;M335&amp;RIGHT("00000"&amp;ROW(),5),IF('FALTAS POR DECK'!$P$1="Falta (maior primeiro)","K"&amp;RIGHT("0000"&amp;(9999-F335),4)&amp;M335&amp;RIGHT("00000"&amp;ROW(),5),IF('FALTAS POR DECK'!$P$1="Deck e código","K"&amp;RIGHT("00"&amp;IFERROR(MATCH(A335,_LEITURA!$P$2:$P$21,0),99),2)&amp;M335&amp;RIGHT("00000"&amp;ROW(),5),"K"&amp;RIGHT("00000"&amp;ROW(),5))))))</f>
        <v/>
      </c>
      <c r="O335" s="16" t="str">
        <f aca="false">IF(N335="","",COUNTIFS($N$2:$N$1201,"&lt;"&amp;N335,$F$2:$F$1201,"&gt;0")+1)</f>
        <v/>
      </c>
    </row>
    <row r="336" customFormat="false" ht="15" hidden="false" customHeight="false" outlineLevel="0" collapsed="false">
      <c r="A336" s="11" t="str">
        <f aca="false">IF(_LEITURA!$N336="","",INDEX(_LEITURA!$K$2:$K$1201,_LEITURA!$N336))</f>
        <v/>
      </c>
      <c r="B336" s="11" t="str">
        <f aca="false">IF(_LEITURA!$N336="","",INDEX(_LEITURA!$E$2:$E$1201,_LEITURA!$N336))</f>
        <v/>
      </c>
      <c r="C336" s="11" t="str">
        <f aca="false">IF(_LEITURA!$N336="","",INDEX(_LEITURA!$J$2:$J$1201,_LEITURA!$N336))</f>
        <v/>
      </c>
      <c r="D336" s="16" t="str">
        <f aca="false">IF(_LEITURA!$N336="","",INDEX(_LEITURA!$G$2:$G$1201,_LEITURA!$N336))</f>
        <v/>
      </c>
      <c r="E336" s="16" t="str">
        <f aca="false">IF(B336="","",SUMIFS(INVENTÁRIO!$C$2:$C$801,INVENTÁRIO!$A$2:$A$801,B336))</f>
        <v/>
      </c>
      <c r="F336" s="16" t="str">
        <f aca="false">IF(B336="","",MAX(0,D336-E336))</f>
        <v/>
      </c>
      <c r="G336" s="16" t="str">
        <f aca="false">IF(B336="","",IF(COUNTIFS($B$2:$B$1201,B336,$A$2:$A$1201,"&lt;&gt;"&amp;A336)&gt;0,"Sim",""))</f>
        <v/>
      </c>
      <c r="H336" s="16" t="str">
        <f aca="false">IF(N(F336)&gt;0,MAX(H$1:H335)+1,"")</f>
        <v/>
      </c>
      <c r="I336" s="11" t="str">
        <f aca="false">IF(B336="","",IF(INDEX($C$2:$C$1201,MATCH(B336,$B$2:$B$1201,0))&lt;&gt;C336,"Nome diferente em outro deck — revisar",""))</f>
        <v/>
      </c>
      <c r="J336" s="16" t="str">
        <f aca="false">IF(AND(B336&lt;&gt;"",A336=BULK!$A$1,N(F336)&gt;0),MAX(J$1:J335)+1,"")</f>
        <v/>
      </c>
      <c r="K336" s="11" t="str">
        <f aca="false">IF(B336="","",IFERROR(LEFT(B336,FIND("-",B336)-1),B336))</f>
        <v/>
      </c>
      <c r="L336" s="11" t="str">
        <f aca="false">IF(K336="","",IF(ISNUMBER(--MID(K336,1,1)),0,IF(ISNUMBER(--MID(K336,2,1)),1,IF(ISNUMBER(--MID(K336,3,1)),2,IF(ISNUMBER(--MID(K336,4,1)),3,MIN(LEN(K336),4))))))</f>
        <v/>
      </c>
      <c r="M336" s="11" t="str">
        <f aca="false">IF(B336="","",LEFT(K336,L336)&amp;REPT("0",4-L336)&amp;RIGHT("000"&amp;IFERROR(VALUE(MID(K336,L336+1,9)),0),3)&amp;RIGHT("0000"&amp;IFERROR(VALUE(MID(B336,FIND("-",B336)+1,9)),0),4))</f>
        <v/>
      </c>
      <c r="N336" s="11" t="str">
        <f aca="false">IF(OR(B336="",N(F336)&lt;=0),"",IF('FALTAS POR DECK'!$P$1="Código","K"&amp;M336&amp;RIGHT("00000"&amp;ROW(),5),IF('FALTAS POR DECK'!$P$1="Nome","K"&amp;UPPER(SUBSTITUTE(SUBSTITUTE(SUBSTITUTE(C336,"*",""),"?",""),"~",""))&amp;"0"&amp;M336&amp;RIGHT("00000"&amp;ROW(),5),IF('FALTAS POR DECK'!$P$1="Falta (maior primeiro)","K"&amp;RIGHT("0000"&amp;(9999-F336),4)&amp;M336&amp;RIGHT("00000"&amp;ROW(),5),IF('FALTAS POR DECK'!$P$1="Deck e código","K"&amp;RIGHT("00"&amp;IFERROR(MATCH(A336,_LEITURA!$P$2:$P$21,0),99),2)&amp;M336&amp;RIGHT("00000"&amp;ROW(),5),"K"&amp;RIGHT("00000"&amp;ROW(),5))))))</f>
        <v/>
      </c>
      <c r="O336" s="16" t="str">
        <f aca="false">IF(N336="","",COUNTIFS($N$2:$N$1201,"&lt;"&amp;N336,$F$2:$F$1201,"&gt;0")+1)</f>
        <v/>
      </c>
    </row>
    <row r="337" customFormat="false" ht="15" hidden="false" customHeight="false" outlineLevel="0" collapsed="false">
      <c r="A337" s="11" t="str">
        <f aca="false">IF(_LEITURA!$N337="","",INDEX(_LEITURA!$K$2:$K$1201,_LEITURA!$N337))</f>
        <v/>
      </c>
      <c r="B337" s="11" t="str">
        <f aca="false">IF(_LEITURA!$N337="","",INDEX(_LEITURA!$E$2:$E$1201,_LEITURA!$N337))</f>
        <v/>
      </c>
      <c r="C337" s="11" t="str">
        <f aca="false">IF(_LEITURA!$N337="","",INDEX(_LEITURA!$J$2:$J$1201,_LEITURA!$N337))</f>
        <v/>
      </c>
      <c r="D337" s="16" t="str">
        <f aca="false">IF(_LEITURA!$N337="","",INDEX(_LEITURA!$G$2:$G$1201,_LEITURA!$N337))</f>
        <v/>
      </c>
      <c r="E337" s="16" t="str">
        <f aca="false">IF(B337="","",SUMIFS(INVENTÁRIO!$C$2:$C$801,INVENTÁRIO!$A$2:$A$801,B337))</f>
        <v/>
      </c>
      <c r="F337" s="16" t="str">
        <f aca="false">IF(B337="","",MAX(0,D337-E337))</f>
        <v/>
      </c>
      <c r="G337" s="16" t="str">
        <f aca="false">IF(B337="","",IF(COUNTIFS($B$2:$B$1201,B337,$A$2:$A$1201,"&lt;&gt;"&amp;A337)&gt;0,"Sim",""))</f>
        <v/>
      </c>
      <c r="H337" s="16" t="str">
        <f aca="false">IF(N(F337)&gt;0,MAX(H$1:H336)+1,"")</f>
        <v/>
      </c>
      <c r="I337" s="11" t="str">
        <f aca="false">IF(B337="","",IF(INDEX($C$2:$C$1201,MATCH(B337,$B$2:$B$1201,0))&lt;&gt;C337,"Nome diferente em outro deck — revisar",""))</f>
        <v/>
      </c>
      <c r="J337" s="16" t="str">
        <f aca="false">IF(AND(B337&lt;&gt;"",A337=BULK!$A$1,N(F337)&gt;0),MAX(J$1:J336)+1,"")</f>
        <v/>
      </c>
      <c r="K337" s="11" t="str">
        <f aca="false">IF(B337="","",IFERROR(LEFT(B337,FIND("-",B337)-1),B337))</f>
        <v/>
      </c>
      <c r="L337" s="11" t="str">
        <f aca="false">IF(K337="","",IF(ISNUMBER(--MID(K337,1,1)),0,IF(ISNUMBER(--MID(K337,2,1)),1,IF(ISNUMBER(--MID(K337,3,1)),2,IF(ISNUMBER(--MID(K337,4,1)),3,MIN(LEN(K337),4))))))</f>
        <v/>
      </c>
      <c r="M337" s="11" t="str">
        <f aca="false">IF(B337="","",LEFT(K337,L337)&amp;REPT("0",4-L337)&amp;RIGHT("000"&amp;IFERROR(VALUE(MID(K337,L337+1,9)),0),3)&amp;RIGHT("0000"&amp;IFERROR(VALUE(MID(B337,FIND("-",B337)+1,9)),0),4))</f>
        <v/>
      </c>
      <c r="N337" s="11" t="str">
        <f aca="false">IF(OR(B337="",N(F337)&lt;=0),"",IF('FALTAS POR DECK'!$P$1="Código","K"&amp;M337&amp;RIGHT("00000"&amp;ROW(),5),IF('FALTAS POR DECK'!$P$1="Nome","K"&amp;UPPER(SUBSTITUTE(SUBSTITUTE(SUBSTITUTE(C337,"*",""),"?",""),"~",""))&amp;"0"&amp;M337&amp;RIGHT("00000"&amp;ROW(),5),IF('FALTAS POR DECK'!$P$1="Falta (maior primeiro)","K"&amp;RIGHT("0000"&amp;(9999-F337),4)&amp;M337&amp;RIGHT("00000"&amp;ROW(),5),IF('FALTAS POR DECK'!$P$1="Deck e código","K"&amp;RIGHT("00"&amp;IFERROR(MATCH(A337,_LEITURA!$P$2:$P$21,0),99),2)&amp;M337&amp;RIGHT("00000"&amp;ROW(),5),"K"&amp;RIGHT("00000"&amp;ROW(),5))))))</f>
        <v/>
      </c>
      <c r="O337" s="16" t="str">
        <f aca="false">IF(N337="","",COUNTIFS($N$2:$N$1201,"&lt;"&amp;N337,$F$2:$F$1201,"&gt;0")+1)</f>
        <v/>
      </c>
    </row>
    <row r="338" customFormat="false" ht="15" hidden="false" customHeight="false" outlineLevel="0" collapsed="false">
      <c r="A338" s="11" t="str">
        <f aca="false">IF(_LEITURA!$N338="","",INDEX(_LEITURA!$K$2:$K$1201,_LEITURA!$N338))</f>
        <v/>
      </c>
      <c r="B338" s="11" t="str">
        <f aca="false">IF(_LEITURA!$N338="","",INDEX(_LEITURA!$E$2:$E$1201,_LEITURA!$N338))</f>
        <v/>
      </c>
      <c r="C338" s="11" t="str">
        <f aca="false">IF(_LEITURA!$N338="","",INDEX(_LEITURA!$J$2:$J$1201,_LEITURA!$N338))</f>
        <v/>
      </c>
      <c r="D338" s="16" t="str">
        <f aca="false">IF(_LEITURA!$N338="","",INDEX(_LEITURA!$G$2:$G$1201,_LEITURA!$N338))</f>
        <v/>
      </c>
      <c r="E338" s="16" t="str">
        <f aca="false">IF(B338="","",SUMIFS(INVENTÁRIO!$C$2:$C$801,INVENTÁRIO!$A$2:$A$801,B338))</f>
        <v/>
      </c>
      <c r="F338" s="16" t="str">
        <f aca="false">IF(B338="","",MAX(0,D338-E338))</f>
        <v/>
      </c>
      <c r="G338" s="16" t="str">
        <f aca="false">IF(B338="","",IF(COUNTIFS($B$2:$B$1201,B338,$A$2:$A$1201,"&lt;&gt;"&amp;A338)&gt;0,"Sim",""))</f>
        <v/>
      </c>
      <c r="H338" s="16" t="str">
        <f aca="false">IF(N(F338)&gt;0,MAX(H$1:H337)+1,"")</f>
        <v/>
      </c>
      <c r="I338" s="11" t="str">
        <f aca="false">IF(B338="","",IF(INDEX($C$2:$C$1201,MATCH(B338,$B$2:$B$1201,0))&lt;&gt;C338,"Nome diferente em outro deck — revisar",""))</f>
        <v/>
      </c>
      <c r="J338" s="16" t="str">
        <f aca="false">IF(AND(B338&lt;&gt;"",A338=BULK!$A$1,N(F338)&gt;0),MAX(J$1:J337)+1,"")</f>
        <v/>
      </c>
      <c r="K338" s="11" t="str">
        <f aca="false">IF(B338="","",IFERROR(LEFT(B338,FIND("-",B338)-1),B338))</f>
        <v/>
      </c>
      <c r="L338" s="11" t="str">
        <f aca="false">IF(K338="","",IF(ISNUMBER(--MID(K338,1,1)),0,IF(ISNUMBER(--MID(K338,2,1)),1,IF(ISNUMBER(--MID(K338,3,1)),2,IF(ISNUMBER(--MID(K338,4,1)),3,MIN(LEN(K338),4))))))</f>
        <v/>
      </c>
      <c r="M338" s="11" t="str">
        <f aca="false">IF(B338="","",LEFT(K338,L338)&amp;REPT("0",4-L338)&amp;RIGHT("000"&amp;IFERROR(VALUE(MID(K338,L338+1,9)),0),3)&amp;RIGHT("0000"&amp;IFERROR(VALUE(MID(B338,FIND("-",B338)+1,9)),0),4))</f>
        <v/>
      </c>
      <c r="N338" s="11" t="str">
        <f aca="false">IF(OR(B338="",N(F338)&lt;=0),"",IF('FALTAS POR DECK'!$P$1="Código","K"&amp;M338&amp;RIGHT("00000"&amp;ROW(),5),IF('FALTAS POR DECK'!$P$1="Nome","K"&amp;UPPER(SUBSTITUTE(SUBSTITUTE(SUBSTITUTE(C338,"*",""),"?",""),"~",""))&amp;"0"&amp;M338&amp;RIGHT("00000"&amp;ROW(),5),IF('FALTAS POR DECK'!$P$1="Falta (maior primeiro)","K"&amp;RIGHT("0000"&amp;(9999-F338),4)&amp;M338&amp;RIGHT("00000"&amp;ROW(),5),IF('FALTAS POR DECK'!$P$1="Deck e código","K"&amp;RIGHT("00"&amp;IFERROR(MATCH(A338,_LEITURA!$P$2:$P$21,0),99),2)&amp;M338&amp;RIGHT("00000"&amp;ROW(),5),"K"&amp;RIGHT("00000"&amp;ROW(),5))))))</f>
        <v/>
      </c>
      <c r="O338" s="16" t="str">
        <f aca="false">IF(N338="","",COUNTIFS($N$2:$N$1201,"&lt;"&amp;N338,$F$2:$F$1201,"&gt;0")+1)</f>
        <v/>
      </c>
    </row>
    <row r="339" customFormat="false" ht="15" hidden="false" customHeight="false" outlineLevel="0" collapsed="false">
      <c r="A339" s="11" t="str">
        <f aca="false">IF(_LEITURA!$N339="","",INDEX(_LEITURA!$K$2:$K$1201,_LEITURA!$N339))</f>
        <v/>
      </c>
      <c r="B339" s="11" t="str">
        <f aca="false">IF(_LEITURA!$N339="","",INDEX(_LEITURA!$E$2:$E$1201,_LEITURA!$N339))</f>
        <v/>
      </c>
      <c r="C339" s="11" t="str">
        <f aca="false">IF(_LEITURA!$N339="","",INDEX(_LEITURA!$J$2:$J$1201,_LEITURA!$N339))</f>
        <v/>
      </c>
      <c r="D339" s="16" t="str">
        <f aca="false">IF(_LEITURA!$N339="","",INDEX(_LEITURA!$G$2:$G$1201,_LEITURA!$N339))</f>
        <v/>
      </c>
      <c r="E339" s="16" t="str">
        <f aca="false">IF(B339="","",SUMIFS(INVENTÁRIO!$C$2:$C$801,INVENTÁRIO!$A$2:$A$801,B339))</f>
        <v/>
      </c>
      <c r="F339" s="16" t="str">
        <f aca="false">IF(B339="","",MAX(0,D339-E339))</f>
        <v/>
      </c>
      <c r="G339" s="16" t="str">
        <f aca="false">IF(B339="","",IF(COUNTIFS($B$2:$B$1201,B339,$A$2:$A$1201,"&lt;&gt;"&amp;A339)&gt;0,"Sim",""))</f>
        <v/>
      </c>
      <c r="H339" s="16" t="str">
        <f aca="false">IF(N(F339)&gt;0,MAX(H$1:H338)+1,"")</f>
        <v/>
      </c>
      <c r="I339" s="11" t="str">
        <f aca="false">IF(B339="","",IF(INDEX($C$2:$C$1201,MATCH(B339,$B$2:$B$1201,0))&lt;&gt;C339,"Nome diferente em outro deck — revisar",""))</f>
        <v/>
      </c>
      <c r="J339" s="16" t="str">
        <f aca="false">IF(AND(B339&lt;&gt;"",A339=BULK!$A$1,N(F339)&gt;0),MAX(J$1:J338)+1,"")</f>
        <v/>
      </c>
      <c r="K339" s="11" t="str">
        <f aca="false">IF(B339="","",IFERROR(LEFT(B339,FIND("-",B339)-1),B339))</f>
        <v/>
      </c>
      <c r="L339" s="11" t="str">
        <f aca="false">IF(K339="","",IF(ISNUMBER(--MID(K339,1,1)),0,IF(ISNUMBER(--MID(K339,2,1)),1,IF(ISNUMBER(--MID(K339,3,1)),2,IF(ISNUMBER(--MID(K339,4,1)),3,MIN(LEN(K339),4))))))</f>
        <v/>
      </c>
      <c r="M339" s="11" t="str">
        <f aca="false">IF(B339="","",LEFT(K339,L339)&amp;REPT("0",4-L339)&amp;RIGHT("000"&amp;IFERROR(VALUE(MID(K339,L339+1,9)),0),3)&amp;RIGHT("0000"&amp;IFERROR(VALUE(MID(B339,FIND("-",B339)+1,9)),0),4))</f>
        <v/>
      </c>
      <c r="N339" s="11" t="str">
        <f aca="false">IF(OR(B339="",N(F339)&lt;=0),"",IF('FALTAS POR DECK'!$P$1="Código","K"&amp;M339&amp;RIGHT("00000"&amp;ROW(),5),IF('FALTAS POR DECK'!$P$1="Nome","K"&amp;UPPER(SUBSTITUTE(SUBSTITUTE(SUBSTITUTE(C339,"*",""),"?",""),"~",""))&amp;"0"&amp;M339&amp;RIGHT("00000"&amp;ROW(),5),IF('FALTAS POR DECK'!$P$1="Falta (maior primeiro)","K"&amp;RIGHT("0000"&amp;(9999-F339),4)&amp;M339&amp;RIGHT("00000"&amp;ROW(),5),IF('FALTAS POR DECK'!$P$1="Deck e código","K"&amp;RIGHT("00"&amp;IFERROR(MATCH(A339,_LEITURA!$P$2:$P$21,0),99),2)&amp;M339&amp;RIGHT("00000"&amp;ROW(),5),"K"&amp;RIGHT("00000"&amp;ROW(),5))))))</f>
        <v/>
      </c>
      <c r="O339" s="16" t="str">
        <f aca="false">IF(N339="","",COUNTIFS($N$2:$N$1201,"&lt;"&amp;N339,$F$2:$F$1201,"&gt;0")+1)</f>
        <v/>
      </c>
    </row>
    <row r="340" customFormat="false" ht="15" hidden="false" customHeight="false" outlineLevel="0" collapsed="false">
      <c r="A340" s="11" t="str">
        <f aca="false">IF(_LEITURA!$N340="","",INDEX(_LEITURA!$K$2:$K$1201,_LEITURA!$N340))</f>
        <v/>
      </c>
      <c r="B340" s="11" t="str">
        <f aca="false">IF(_LEITURA!$N340="","",INDEX(_LEITURA!$E$2:$E$1201,_LEITURA!$N340))</f>
        <v/>
      </c>
      <c r="C340" s="11" t="str">
        <f aca="false">IF(_LEITURA!$N340="","",INDEX(_LEITURA!$J$2:$J$1201,_LEITURA!$N340))</f>
        <v/>
      </c>
      <c r="D340" s="16" t="str">
        <f aca="false">IF(_LEITURA!$N340="","",INDEX(_LEITURA!$G$2:$G$1201,_LEITURA!$N340))</f>
        <v/>
      </c>
      <c r="E340" s="16" t="str">
        <f aca="false">IF(B340="","",SUMIFS(INVENTÁRIO!$C$2:$C$801,INVENTÁRIO!$A$2:$A$801,B340))</f>
        <v/>
      </c>
      <c r="F340" s="16" t="str">
        <f aca="false">IF(B340="","",MAX(0,D340-E340))</f>
        <v/>
      </c>
      <c r="G340" s="16" t="str">
        <f aca="false">IF(B340="","",IF(COUNTIFS($B$2:$B$1201,B340,$A$2:$A$1201,"&lt;&gt;"&amp;A340)&gt;0,"Sim",""))</f>
        <v/>
      </c>
      <c r="H340" s="16" t="str">
        <f aca="false">IF(N(F340)&gt;0,MAX(H$1:H339)+1,"")</f>
        <v/>
      </c>
      <c r="I340" s="11" t="str">
        <f aca="false">IF(B340="","",IF(INDEX($C$2:$C$1201,MATCH(B340,$B$2:$B$1201,0))&lt;&gt;C340,"Nome diferente em outro deck — revisar",""))</f>
        <v/>
      </c>
      <c r="J340" s="16" t="str">
        <f aca="false">IF(AND(B340&lt;&gt;"",A340=BULK!$A$1,N(F340)&gt;0),MAX(J$1:J339)+1,"")</f>
        <v/>
      </c>
      <c r="K340" s="11" t="str">
        <f aca="false">IF(B340="","",IFERROR(LEFT(B340,FIND("-",B340)-1),B340))</f>
        <v/>
      </c>
      <c r="L340" s="11" t="str">
        <f aca="false">IF(K340="","",IF(ISNUMBER(--MID(K340,1,1)),0,IF(ISNUMBER(--MID(K340,2,1)),1,IF(ISNUMBER(--MID(K340,3,1)),2,IF(ISNUMBER(--MID(K340,4,1)),3,MIN(LEN(K340),4))))))</f>
        <v/>
      </c>
      <c r="M340" s="11" t="str">
        <f aca="false">IF(B340="","",LEFT(K340,L340)&amp;REPT("0",4-L340)&amp;RIGHT("000"&amp;IFERROR(VALUE(MID(K340,L340+1,9)),0),3)&amp;RIGHT("0000"&amp;IFERROR(VALUE(MID(B340,FIND("-",B340)+1,9)),0),4))</f>
        <v/>
      </c>
      <c r="N340" s="11" t="str">
        <f aca="false">IF(OR(B340="",N(F340)&lt;=0),"",IF('FALTAS POR DECK'!$P$1="Código","K"&amp;M340&amp;RIGHT("00000"&amp;ROW(),5),IF('FALTAS POR DECK'!$P$1="Nome","K"&amp;UPPER(SUBSTITUTE(SUBSTITUTE(SUBSTITUTE(C340,"*",""),"?",""),"~",""))&amp;"0"&amp;M340&amp;RIGHT("00000"&amp;ROW(),5),IF('FALTAS POR DECK'!$P$1="Falta (maior primeiro)","K"&amp;RIGHT("0000"&amp;(9999-F340),4)&amp;M340&amp;RIGHT("00000"&amp;ROW(),5),IF('FALTAS POR DECK'!$P$1="Deck e código","K"&amp;RIGHT("00"&amp;IFERROR(MATCH(A340,_LEITURA!$P$2:$P$21,0),99),2)&amp;M340&amp;RIGHT("00000"&amp;ROW(),5),"K"&amp;RIGHT("00000"&amp;ROW(),5))))))</f>
        <v/>
      </c>
      <c r="O340" s="16" t="str">
        <f aca="false">IF(N340="","",COUNTIFS($N$2:$N$1201,"&lt;"&amp;N340,$F$2:$F$1201,"&gt;0")+1)</f>
        <v/>
      </c>
    </row>
    <row r="341" customFormat="false" ht="15" hidden="false" customHeight="false" outlineLevel="0" collapsed="false">
      <c r="A341" s="11" t="str">
        <f aca="false">IF(_LEITURA!$N341="","",INDEX(_LEITURA!$K$2:$K$1201,_LEITURA!$N341))</f>
        <v/>
      </c>
      <c r="B341" s="11" t="str">
        <f aca="false">IF(_LEITURA!$N341="","",INDEX(_LEITURA!$E$2:$E$1201,_LEITURA!$N341))</f>
        <v/>
      </c>
      <c r="C341" s="11" t="str">
        <f aca="false">IF(_LEITURA!$N341="","",INDEX(_LEITURA!$J$2:$J$1201,_LEITURA!$N341))</f>
        <v/>
      </c>
      <c r="D341" s="16" t="str">
        <f aca="false">IF(_LEITURA!$N341="","",INDEX(_LEITURA!$G$2:$G$1201,_LEITURA!$N341))</f>
        <v/>
      </c>
      <c r="E341" s="16" t="str">
        <f aca="false">IF(B341="","",SUMIFS(INVENTÁRIO!$C$2:$C$801,INVENTÁRIO!$A$2:$A$801,B341))</f>
        <v/>
      </c>
      <c r="F341" s="16" t="str">
        <f aca="false">IF(B341="","",MAX(0,D341-E341))</f>
        <v/>
      </c>
      <c r="G341" s="16" t="str">
        <f aca="false">IF(B341="","",IF(COUNTIFS($B$2:$B$1201,B341,$A$2:$A$1201,"&lt;&gt;"&amp;A341)&gt;0,"Sim",""))</f>
        <v/>
      </c>
      <c r="H341" s="16" t="str">
        <f aca="false">IF(N(F341)&gt;0,MAX(H$1:H340)+1,"")</f>
        <v/>
      </c>
      <c r="I341" s="11" t="str">
        <f aca="false">IF(B341="","",IF(INDEX($C$2:$C$1201,MATCH(B341,$B$2:$B$1201,0))&lt;&gt;C341,"Nome diferente em outro deck — revisar",""))</f>
        <v/>
      </c>
      <c r="J341" s="16" t="str">
        <f aca="false">IF(AND(B341&lt;&gt;"",A341=BULK!$A$1,N(F341)&gt;0),MAX(J$1:J340)+1,"")</f>
        <v/>
      </c>
      <c r="K341" s="11" t="str">
        <f aca="false">IF(B341="","",IFERROR(LEFT(B341,FIND("-",B341)-1),B341))</f>
        <v/>
      </c>
      <c r="L341" s="11" t="str">
        <f aca="false">IF(K341="","",IF(ISNUMBER(--MID(K341,1,1)),0,IF(ISNUMBER(--MID(K341,2,1)),1,IF(ISNUMBER(--MID(K341,3,1)),2,IF(ISNUMBER(--MID(K341,4,1)),3,MIN(LEN(K341),4))))))</f>
        <v/>
      </c>
      <c r="M341" s="11" t="str">
        <f aca="false">IF(B341="","",LEFT(K341,L341)&amp;REPT("0",4-L341)&amp;RIGHT("000"&amp;IFERROR(VALUE(MID(K341,L341+1,9)),0),3)&amp;RIGHT("0000"&amp;IFERROR(VALUE(MID(B341,FIND("-",B341)+1,9)),0),4))</f>
        <v/>
      </c>
      <c r="N341" s="11" t="str">
        <f aca="false">IF(OR(B341="",N(F341)&lt;=0),"",IF('FALTAS POR DECK'!$P$1="Código","K"&amp;M341&amp;RIGHT("00000"&amp;ROW(),5),IF('FALTAS POR DECK'!$P$1="Nome","K"&amp;UPPER(SUBSTITUTE(SUBSTITUTE(SUBSTITUTE(C341,"*",""),"?",""),"~",""))&amp;"0"&amp;M341&amp;RIGHT("00000"&amp;ROW(),5),IF('FALTAS POR DECK'!$P$1="Falta (maior primeiro)","K"&amp;RIGHT("0000"&amp;(9999-F341),4)&amp;M341&amp;RIGHT("00000"&amp;ROW(),5),IF('FALTAS POR DECK'!$P$1="Deck e código","K"&amp;RIGHT("00"&amp;IFERROR(MATCH(A341,_LEITURA!$P$2:$P$21,0),99),2)&amp;M341&amp;RIGHT("00000"&amp;ROW(),5),"K"&amp;RIGHT("00000"&amp;ROW(),5))))))</f>
        <v/>
      </c>
      <c r="O341" s="16" t="str">
        <f aca="false">IF(N341="","",COUNTIFS($N$2:$N$1201,"&lt;"&amp;N341,$F$2:$F$1201,"&gt;0")+1)</f>
        <v/>
      </c>
    </row>
    <row r="342" customFormat="false" ht="15" hidden="false" customHeight="false" outlineLevel="0" collapsed="false">
      <c r="A342" s="11" t="str">
        <f aca="false">IF(_LEITURA!$N342="","",INDEX(_LEITURA!$K$2:$K$1201,_LEITURA!$N342))</f>
        <v/>
      </c>
      <c r="B342" s="11" t="str">
        <f aca="false">IF(_LEITURA!$N342="","",INDEX(_LEITURA!$E$2:$E$1201,_LEITURA!$N342))</f>
        <v/>
      </c>
      <c r="C342" s="11" t="str">
        <f aca="false">IF(_LEITURA!$N342="","",INDEX(_LEITURA!$J$2:$J$1201,_LEITURA!$N342))</f>
        <v/>
      </c>
      <c r="D342" s="16" t="str">
        <f aca="false">IF(_LEITURA!$N342="","",INDEX(_LEITURA!$G$2:$G$1201,_LEITURA!$N342))</f>
        <v/>
      </c>
      <c r="E342" s="16" t="str">
        <f aca="false">IF(B342="","",SUMIFS(INVENTÁRIO!$C$2:$C$801,INVENTÁRIO!$A$2:$A$801,B342))</f>
        <v/>
      </c>
      <c r="F342" s="16" t="str">
        <f aca="false">IF(B342="","",MAX(0,D342-E342))</f>
        <v/>
      </c>
      <c r="G342" s="16" t="str">
        <f aca="false">IF(B342="","",IF(COUNTIFS($B$2:$B$1201,B342,$A$2:$A$1201,"&lt;&gt;"&amp;A342)&gt;0,"Sim",""))</f>
        <v/>
      </c>
      <c r="H342" s="16" t="str">
        <f aca="false">IF(N(F342)&gt;0,MAX(H$1:H341)+1,"")</f>
        <v/>
      </c>
      <c r="I342" s="11" t="str">
        <f aca="false">IF(B342="","",IF(INDEX($C$2:$C$1201,MATCH(B342,$B$2:$B$1201,0))&lt;&gt;C342,"Nome diferente em outro deck — revisar",""))</f>
        <v/>
      </c>
      <c r="J342" s="16" t="str">
        <f aca="false">IF(AND(B342&lt;&gt;"",A342=BULK!$A$1,N(F342)&gt;0),MAX(J$1:J341)+1,"")</f>
        <v/>
      </c>
      <c r="K342" s="11" t="str">
        <f aca="false">IF(B342="","",IFERROR(LEFT(B342,FIND("-",B342)-1),B342))</f>
        <v/>
      </c>
      <c r="L342" s="11" t="str">
        <f aca="false">IF(K342="","",IF(ISNUMBER(--MID(K342,1,1)),0,IF(ISNUMBER(--MID(K342,2,1)),1,IF(ISNUMBER(--MID(K342,3,1)),2,IF(ISNUMBER(--MID(K342,4,1)),3,MIN(LEN(K342),4))))))</f>
        <v/>
      </c>
      <c r="M342" s="11" t="str">
        <f aca="false">IF(B342="","",LEFT(K342,L342)&amp;REPT("0",4-L342)&amp;RIGHT("000"&amp;IFERROR(VALUE(MID(K342,L342+1,9)),0),3)&amp;RIGHT("0000"&amp;IFERROR(VALUE(MID(B342,FIND("-",B342)+1,9)),0),4))</f>
        <v/>
      </c>
      <c r="N342" s="11" t="str">
        <f aca="false">IF(OR(B342="",N(F342)&lt;=0),"",IF('FALTAS POR DECK'!$P$1="Código","K"&amp;M342&amp;RIGHT("00000"&amp;ROW(),5),IF('FALTAS POR DECK'!$P$1="Nome","K"&amp;UPPER(SUBSTITUTE(SUBSTITUTE(SUBSTITUTE(C342,"*",""),"?",""),"~",""))&amp;"0"&amp;M342&amp;RIGHT("00000"&amp;ROW(),5),IF('FALTAS POR DECK'!$P$1="Falta (maior primeiro)","K"&amp;RIGHT("0000"&amp;(9999-F342),4)&amp;M342&amp;RIGHT("00000"&amp;ROW(),5),IF('FALTAS POR DECK'!$P$1="Deck e código","K"&amp;RIGHT("00"&amp;IFERROR(MATCH(A342,_LEITURA!$P$2:$P$21,0),99),2)&amp;M342&amp;RIGHT("00000"&amp;ROW(),5),"K"&amp;RIGHT("00000"&amp;ROW(),5))))))</f>
        <v/>
      </c>
      <c r="O342" s="16" t="str">
        <f aca="false">IF(N342="","",COUNTIFS($N$2:$N$1201,"&lt;"&amp;N342,$F$2:$F$1201,"&gt;0")+1)</f>
        <v/>
      </c>
    </row>
    <row r="343" customFormat="false" ht="15" hidden="false" customHeight="false" outlineLevel="0" collapsed="false">
      <c r="A343" s="11" t="str">
        <f aca="false">IF(_LEITURA!$N343="","",INDEX(_LEITURA!$K$2:$K$1201,_LEITURA!$N343))</f>
        <v/>
      </c>
      <c r="B343" s="11" t="str">
        <f aca="false">IF(_LEITURA!$N343="","",INDEX(_LEITURA!$E$2:$E$1201,_LEITURA!$N343))</f>
        <v/>
      </c>
      <c r="C343" s="11" t="str">
        <f aca="false">IF(_LEITURA!$N343="","",INDEX(_LEITURA!$J$2:$J$1201,_LEITURA!$N343))</f>
        <v/>
      </c>
      <c r="D343" s="16" t="str">
        <f aca="false">IF(_LEITURA!$N343="","",INDEX(_LEITURA!$G$2:$G$1201,_LEITURA!$N343))</f>
        <v/>
      </c>
      <c r="E343" s="16" t="str">
        <f aca="false">IF(B343="","",SUMIFS(INVENTÁRIO!$C$2:$C$801,INVENTÁRIO!$A$2:$A$801,B343))</f>
        <v/>
      </c>
      <c r="F343" s="16" t="str">
        <f aca="false">IF(B343="","",MAX(0,D343-E343))</f>
        <v/>
      </c>
      <c r="G343" s="16" t="str">
        <f aca="false">IF(B343="","",IF(COUNTIFS($B$2:$B$1201,B343,$A$2:$A$1201,"&lt;&gt;"&amp;A343)&gt;0,"Sim",""))</f>
        <v/>
      </c>
      <c r="H343" s="16" t="str">
        <f aca="false">IF(N(F343)&gt;0,MAX(H$1:H342)+1,"")</f>
        <v/>
      </c>
      <c r="I343" s="11" t="str">
        <f aca="false">IF(B343="","",IF(INDEX($C$2:$C$1201,MATCH(B343,$B$2:$B$1201,0))&lt;&gt;C343,"Nome diferente em outro deck — revisar",""))</f>
        <v/>
      </c>
      <c r="J343" s="16" t="str">
        <f aca="false">IF(AND(B343&lt;&gt;"",A343=BULK!$A$1,N(F343)&gt;0),MAX(J$1:J342)+1,"")</f>
        <v/>
      </c>
      <c r="K343" s="11" t="str">
        <f aca="false">IF(B343="","",IFERROR(LEFT(B343,FIND("-",B343)-1),B343))</f>
        <v/>
      </c>
      <c r="L343" s="11" t="str">
        <f aca="false">IF(K343="","",IF(ISNUMBER(--MID(K343,1,1)),0,IF(ISNUMBER(--MID(K343,2,1)),1,IF(ISNUMBER(--MID(K343,3,1)),2,IF(ISNUMBER(--MID(K343,4,1)),3,MIN(LEN(K343),4))))))</f>
        <v/>
      </c>
      <c r="M343" s="11" t="str">
        <f aca="false">IF(B343="","",LEFT(K343,L343)&amp;REPT("0",4-L343)&amp;RIGHT("000"&amp;IFERROR(VALUE(MID(K343,L343+1,9)),0),3)&amp;RIGHT("0000"&amp;IFERROR(VALUE(MID(B343,FIND("-",B343)+1,9)),0),4))</f>
        <v/>
      </c>
      <c r="N343" s="11" t="str">
        <f aca="false">IF(OR(B343="",N(F343)&lt;=0),"",IF('FALTAS POR DECK'!$P$1="Código","K"&amp;M343&amp;RIGHT("00000"&amp;ROW(),5),IF('FALTAS POR DECK'!$P$1="Nome","K"&amp;UPPER(SUBSTITUTE(SUBSTITUTE(SUBSTITUTE(C343,"*",""),"?",""),"~",""))&amp;"0"&amp;M343&amp;RIGHT("00000"&amp;ROW(),5),IF('FALTAS POR DECK'!$P$1="Falta (maior primeiro)","K"&amp;RIGHT("0000"&amp;(9999-F343),4)&amp;M343&amp;RIGHT("00000"&amp;ROW(),5),IF('FALTAS POR DECK'!$P$1="Deck e código","K"&amp;RIGHT("00"&amp;IFERROR(MATCH(A343,_LEITURA!$P$2:$P$21,0),99),2)&amp;M343&amp;RIGHT("00000"&amp;ROW(),5),"K"&amp;RIGHT("00000"&amp;ROW(),5))))))</f>
        <v/>
      </c>
      <c r="O343" s="16" t="str">
        <f aca="false">IF(N343="","",COUNTIFS($N$2:$N$1201,"&lt;"&amp;N343,$F$2:$F$1201,"&gt;0")+1)</f>
        <v/>
      </c>
    </row>
    <row r="344" customFormat="false" ht="15" hidden="false" customHeight="false" outlineLevel="0" collapsed="false">
      <c r="A344" s="11" t="str">
        <f aca="false">IF(_LEITURA!$N344="","",INDEX(_LEITURA!$K$2:$K$1201,_LEITURA!$N344))</f>
        <v/>
      </c>
      <c r="B344" s="11" t="str">
        <f aca="false">IF(_LEITURA!$N344="","",INDEX(_LEITURA!$E$2:$E$1201,_LEITURA!$N344))</f>
        <v/>
      </c>
      <c r="C344" s="11" t="str">
        <f aca="false">IF(_LEITURA!$N344="","",INDEX(_LEITURA!$J$2:$J$1201,_LEITURA!$N344))</f>
        <v/>
      </c>
      <c r="D344" s="16" t="str">
        <f aca="false">IF(_LEITURA!$N344="","",INDEX(_LEITURA!$G$2:$G$1201,_LEITURA!$N344))</f>
        <v/>
      </c>
      <c r="E344" s="16" t="str">
        <f aca="false">IF(B344="","",SUMIFS(INVENTÁRIO!$C$2:$C$801,INVENTÁRIO!$A$2:$A$801,B344))</f>
        <v/>
      </c>
      <c r="F344" s="16" t="str">
        <f aca="false">IF(B344="","",MAX(0,D344-E344))</f>
        <v/>
      </c>
      <c r="G344" s="16" t="str">
        <f aca="false">IF(B344="","",IF(COUNTIFS($B$2:$B$1201,B344,$A$2:$A$1201,"&lt;&gt;"&amp;A344)&gt;0,"Sim",""))</f>
        <v/>
      </c>
      <c r="H344" s="16" t="str">
        <f aca="false">IF(N(F344)&gt;0,MAX(H$1:H343)+1,"")</f>
        <v/>
      </c>
      <c r="I344" s="11" t="str">
        <f aca="false">IF(B344="","",IF(INDEX($C$2:$C$1201,MATCH(B344,$B$2:$B$1201,0))&lt;&gt;C344,"Nome diferente em outro deck — revisar",""))</f>
        <v/>
      </c>
      <c r="J344" s="16" t="str">
        <f aca="false">IF(AND(B344&lt;&gt;"",A344=BULK!$A$1,N(F344)&gt;0),MAX(J$1:J343)+1,"")</f>
        <v/>
      </c>
      <c r="K344" s="11" t="str">
        <f aca="false">IF(B344="","",IFERROR(LEFT(B344,FIND("-",B344)-1),B344))</f>
        <v/>
      </c>
      <c r="L344" s="11" t="str">
        <f aca="false">IF(K344="","",IF(ISNUMBER(--MID(K344,1,1)),0,IF(ISNUMBER(--MID(K344,2,1)),1,IF(ISNUMBER(--MID(K344,3,1)),2,IF(ISNUMBER(--MID(K344,4,1)),3,MIN(LEN(K344),4))))))</f>
        <v/>
      </c>
      <c r="M344" s="11" t="str">
        <f aca="false">IF(B344="","",LEFT(K344,L344)&amp;REPT("0",4-L344)&amp;RIGHT("000"&amp;IFERROR(VALUE(MID(K344,L344+1,9)),0),3)&amp;RIGHT("0000"&amp;IFERROR(VALUE(MID(B344,FIND("-",B344)+1,9)),0),4))</f>
        <v/>
      </c>
      <c r="N344" s="11" t="str">
        <f aca="false">IF(OR(B344="",N(F344)&lt;=0),"",IF('FALTAS POR DECK'!$P$1="Código","K"&amp;M344&amp;RIGHT("00000"&amp;ROW(),5),IF('FALTAS POR DECK'!$P$1="Nome","K"&amp;UPPER(SUBSTITUTE(SUBSTITUTE(SUBSTITUTE(C344,"*",""),"?",""),"~",""))&amp;"0"&amp;M344&amp;RIGHT("00000"&amp;ROW(),5),IF('FALTAS POR DECK'!$P$1="Falta (maior primeiro)","K"&amp;RIGHT("0000"&amp;(9999-F344),4)&amp;M344&amp;RIGHT("00000"&amp;ROW(),5),IF('FALTAS POR DECK'!$P$1="Deck e código","K"&amp;RIGHT("00"&amp;IFERROR(MATCH(A344,_LEITURA!$P$2:$P$21,0),99),2)&amp;M344&amp;RIGHT("00000"&amp;ROW(),5),"K"&amp;RIGHT("00000"&amp;ROW(),5))))))</f>
        <v/>
      </c>
      <c r="O344" s="16" t="str">
        <f aca="false">IF(N344="","",COUNTIFS($N$2:$N$1201,"&lt;"&amp;N344,$F$2:$F$1201,"&gt;0")+1)</f>
        <v/>
      </c>
    </row>
    <row r="345" customFormat="false" ht="15" hidden="false" customHeight="false" outlineLevel="0" collapsed="false">
      <c r="A345" s="11" t="str">
        <f aca="false">IF(_LEITURA!$N345="","",INDEX(_LEITURA!$K$2:$K$1201,_LEITURA!$N345))</f>
        <v/>
      </c>
      <c r="B345" s="11" t="str">
        <f aca="false">IF(_LEITURA!$N345="","",INDEX(_LEITURA!$E$2:$E$1201,_LEITURA!$N345))</f>
        <v/>
      </c>
      <c r="C345" s="11" t="str">
        <f aca="false">IF(_LEITURA!$N345="","",INDEX(_LEITURA!$J$2:$J$1201,_LEITURA!$N345))</f>
        <v/>
      </c>
      <c r="D345" s="16" t="str">
        <f aca="false">IF(_LEITURA!$N345="","",INDEX(_LEITURA!$G$2:$G$1201,_LEITURA!$N345))</f>
        <v/>
      </c>
      <c r="E345" s="16" t="str">
        <f aca="false">IF(B345="","",SUMIFS(INVENTÁRIO!$C$2:$C$801,INVENTÁRIO!$A$2:$A$801,B345))</f>
        <v/>
      </c>
      <c r="F345" s="16" t="str">
        <f aca="false">IF(B345="","",MAX(0,D345-E345))</f>
        <v/>
      </c>
      <c r="G345" s="16" t="str">
        <f aca="false">IF(B345="","",IF(COUNTIFS($B$2:$B$1201,B345,$A$2:$A$1201,"&lt;&gt;"&amp;A345)&gt;0,"Sim",""))</f>
        <v/>
      </c>
      <c r="H345" s="16" t="str">
        <f aca="false">IF(N(F345)&gt;0,MAX(H$1:H344)+1,"")</f>
        <v/>
      </c>
      <c r="I345" s="11" t="str">
        <f aca="false">IF(B345="","",IF(INDEX($C$2:$C$1201,MATCH(B345,$B$2:$B$1201,0))&lt;&gt;C345,"Nome diferente em outro deck — revisar",""))</f>
        <v/>
      </c>
      <c r="J345" s="16" t="str">
        <f aca="false">IF(AND(B345&lt;&gt;"",A345=BULK!$A$1,N(F345)&gt;0),MAX(J$1:J344)+1,"")</f>
        <v/>
      </c>
      <c r="K345" s="11" t="str">
        <f aca="false">IF(B345="","",IFERROR(LEFT(B345,FIND("-",B345)-1),B345))</f>
        <v/>
      </c>
      <c r="L345" s="11" t="str">
        <f aca="false">IF(K345="","",IF(ISNUMBER(--MID(K345,1,1)),0,IF(ISNUMBER(--MID(K345,2,1)),1,IF(ISNUMBER(--MID(K345,3,1)),2,IF(ISNUMBER(--MID(K345,4,1)),3,MIN(LEN(K345),4))))))</f>
        <v/>
      </c>
      <c r="M345" s="11" t="str">
        <f aca="false">IF(B345="","",LEFT(K345,L345)&amp;REPT("0",4-L345)&amp;RIGHT("000"&amp;IFERROR(VALUE(MID(K345,L345+1,9)),0),3)&amp;RIGHT("0000"&amp;IFERROR(VALUE(MID(B345,FIND("-",B345)+1,9)),0),4))</f>
        <v/>
      </c>
      <c r="N345" s="11" t="str">
        <f aca="false">IF(OR(B345="",N(F345)&lt;=0),"",IF('FALTAS POR DECK'!$P$1="Código","K"&amp;M345&amp;RIGHT("00000"&amp;ROW(),5),IF('FALTAS POR DECK'!$P$1="Nome","K"&amp;UPPER(SUBSTITUTE(SUBSTITUTE(SUBSTITUTE(C345,"*",""),"?",""),"~",""))&amp;"0"&amp;M345&amp;RIGHT("00000"&amp;ROW(),5),IF('FALTAS POR DECK'!$P$1="Falta (maior primeiro)","K"&amp;RIGHT("0000"&amp;(9999-F345),4)&amp;M345&amp;RIGHT("00000"&amp;ROW(),5),IF('FALTAS POR DECK'!$P$1="Deck e código","K"&amp;RIGHT("00"&amp;IFERROR(MATCH(A345,_LEITURA!$P$2:$P$21,0),99),2)&amp;M345&amp;RIGHT("00000"&amp;ROW(),5),"K"&amp;RIGHT("00000"&amp;ROW(),5))))))</f>
        <v/>
      </c>
      <c r="O345" s="16" t="str">
        <f aca="false">IF(N345="","",COUNTIFS($N$2:$N$1201,"&lt;"&amp;N345,$F$2:$F$1201,"&gt;0")+1)</f>
        <v/>
      </c>
    </row>
    <row r="346" customFormat="false" ht="15" hidden="false" customHeight="false" outlineLevel="0" collapsed="false">
      <c r="A346" s="11" t="str">
        <f aca="false">IF(_LEITURA!$N346="","",INDEX(_LEITURA!$K$2:$K$1201,_LEITURA!$N346))</f>
        <v/>
      </c>
      <c r="B346" s="11" t="str">
        <f aca="false">IF(_LEITURA!$N346="","",INDEX(_LEITURA!$E$2:$E$1201,_LEITURA!$N346))</f>
        <v/>
      </c>
      <c r="C346" s="11" t="str">
        <f aca="false">IF(_LEITURA!$N346="","",INDEX(_LEITURA!$J$2:$J$1201,_LEITURA!$N346))</f>
        <v/>
      </c>
      <c r="D346" s="16" t="str">
        <f aca="false">IF(_LEITURA!$N346="","",INDEX(_LEITURA!$G$2:$G$1201,_LEITURA!$N346))</f>
        <v/>
      </c>
      <c r="E346" s="16" t="str">
        <f aca="false">IF(B346="","",SUMIFS(INVENTÁRIO!$C$2:$C$801,INVENTÁRIO!$A$2:$A$801,B346))</f>
        <v/>
      </c>
      <c r="F346" s="16" t="str">
        <f aca="false">IF(B346="","",MAX(0,D346-E346))</f>
        <v/>
      </c>
      <c r="G346" s="16" t="str">
        <f aca="false">IF(B346="","",IF(COUNTIFS($B$2:$B$1201,B346,$A$2:$A$1201,"&lt;&gt;"&amp;A346)&gt;0,"Sim",""))</f>
        <v/>
      </c>
      <c r="H346" s="16" t="str">
        <f aca="false">IF(N(F346)&gt;0,MAX(H$1:H345)+1,"")</f>
        <v/>
      </c>
      <c r="I346" s="11" t="str">
        <f aca="false">IF(B346="","",IF(INDEX($C$2:$C$1201,MATCH(B346,$B$2:$B$1201,0))&lt;&gt;C346,"Nome diferente em outro deck — revisar",""))</f>
        <v/>
      </c>
      <c r="J346" s="16" t="str">
        <f aca="false">IF(AND(B346&lt;&gt;"",A346=BULK!$A$1,N(F346)&gt;0),MAX(J$1:J345)+1,"")</f>
        <v/>
      </c>
      <c r="K346" s="11" t="str">
        <f aca="false">IF(B346="","",IFERROR(LEFT(B346,FIND("-",B346)-1),B346))</f>
        <v/>
      </c>
      <c r="L346" s="11" t="str">
        <f aca="false">IF(K346="","",IF(ISNUMBER(--MID(K346,1,1)),0,IF(ISNUMBER(--MID(K346,2,1)),1,IF(ISNUMBER(--MID(K346,3,1)),2,IF(ISNUMBER(--MID(K346,4,1)),3,MIN(LEN(K346),4))))))</f>
        <v/>
      </c>
      <c r="M346" s="11" t="str">
        <f aca="false">IF(B346="","",LEFT(K346,L346)&amp;REPT("0",4-L346)&amp;RIGHT("000"&amp;IFERROR(VALUE(MID(K346,L346+1,9)),0),3)&amp;RIGHT("0000"&amp;IFERROR(VALUE(MID(B346,FIND("-",B346)+1,9)),0),4))</f>
        <v/>
      </c>
      <c r="N346" s="11" t="str">
        <f aca="false">IF(OR(B346="",N(F346)&lt;=0),"",IF('FALTAS POR DECK'!$P$1="Código","K"&amp;M346&amp;RIGHT("00000"&amp;ROW(),5),IF('FALTAS POR DECK'!$P$1="Nome","K"&amp;UPPER(SUBSTITUTE(SUBSTITUTE(SUBSTITUTE(C346,"*",""),"?",""),"~",""))&amp;"0"&amp;M346&amp;RIGHT("00000"&amp;ROW(),5),IF('FALTAS POR DECK'!$P$1="Falta (maior primeiro)","K"&amp;RIGHT("0000"&amp;(9999-F346),4)&amp;M346&amp;RIGHT("00000"&amp;ROW(),5),IF('FALTAS POR DECK'!$P$1="Deck e código","K"&amp;RIGHT("00"&amp;IFERROR(MATCH(A346,_LEITURA!$P$2:$P$21,0),99),2)&amp;M346&amp;RIGHT("00000"&amp;ROW(),5),"K"&amp;RIGHT("00000"&amp;ROW(),5))))))</f>
        <v/>
      </c>
      <c r="O346" s="16" t="str">
        <f aca="false">IF(N346="","",COUNTIFS($N$2:$N$1201,"&lt;"&amp;N346,$F$2:$F$1201,"&gt;0")+1)</f>
        <v/>
      </c>
    </row>
    <row r="347" customFormat="false" ht="15" hidden="false" customHeight="false" outlineLevel="0" collapsed="false">
      <c r="A347" s="11" t="str">
        <f aca="false">IF(_LEITURA!$N347="","",INDEX(_LEITURA!$K$2:$K$1201,_LEITURA!$N347))</f>
        <v/>
      </c>
      <c r="B347" s="11" t="str">
        <f aca="false">IF(_LEITURA!$N347="","",INDEX(_LEITURA!$E$2:$E$1201,_LEITURA!$N347))</f>
        <v/>
      </c>
      <c r="C347" s="11" t="str">
        <f aca="false">IF(_LEITURA!$N347="","",INDEX(_LEITURA!$J$2:$J$1201,_LEITURA!$N347))</f>
        <v/>
      </c>
      <c r="D347" s="16" t="str">
        <f aca="false">IF(_LEITURA!$N347="","",INDEX(_LEITURA!$G$2:$G$1201,_LEITURA!$N347))</f>
        <v/>
      </c>
      <c r="E347" s="16" t="str">
        <f aca="false">IF(B347="","",SUMIFS(INVENTÁRIO!$C$2:$C$801,INVENTÁRIO!$A$2:$A$801,B347))</f>
        <v/>
      </c>
      <c r="F347" s="16" t="str">
        <f aca="false">IF(B347="","",MAX(0,D347-E347))</f>
        <v/>
      </c>
      <c r="G347" s="16" t="str">
        <f aca="false">IF(B347="","",IF(COUNTIFS($B$2:$B$1201,B347,$A$2:$A$1201,"&lt;&gt;"&amp;A347)&gt;0,"Sim",""))</f>
        <v/>
      </c>
      <c r="H347" s="16" t="str">
        <f aca="false">IF(N(F347)&gt;0,MAX(H$1:H346)+1,"")</f>
        <v/>
      </c>
      <c r="I347" s="11" t="str">
        <f aca="false">IF(B347="","",IF(INDEX($C$2:$C$1201,MATCH(B347,$B$2:$B$1201,0))&lt;&gt;C347,"Nome diferente em outro deck — revisar",""))</f>
        <v/>
      </c>
      <c r="J347" s="16" t="str">
        <f aca="false">IF(AND(B347&lt;&gt;"",A347=BULK!$A$1,N(F347)&gt;0),MAX(J$1:J346)+1,"")</f>
        <v/>
      </c>
      <c r="K347" s="11" t="str">
        <f aca="false">IF(B347="","",IFERROR(LEFT(B347,FIND("-",B347)-1),B347))</f>
        <v/>
      </c>
      <c r="L347" s="11" t="str">
        <f aca="false">IF(K347="","",IF(ISNUMBER(--MID(K347,1,1)),0,IF(ISNUMBER(--MID(K347,2,1)),1,IF(ISNUMBER(--MID(K347,3,1)),2,IF(ISNUMBER(--MID(K347,4,1)),3,MIN(LEN(K347),4))))))</f>
        <v/>
      </c>
      <c r="M347" s="11" t="str">
        <f aca="false">IF(B347="","",LEFT(K347,L347)&amp;REPT("0",4-L347)&amp;RIGHT("000"&amp;IFERROR(VALUE(MID(K347,L347+1,9)),0),3)&amp;RIGHT("0000"&amp;IFERROR(VALUE(MID(B347,FIND("-",B347)+1,9)),0),4))</f>
        <v/>
      </c>
      <c r="N347" s="11" t="str">
        <f aca="false">IF(OR(B347="",N(F347)&lt;=0),"",IF('FALTAS POR DECK'!$P$1="Código","K"&amp;M347&amp;RIGHT("00000"&amp;ROW(),5),IF('FALTAS POR DECK'!$P$1="Nome","K"&amp;UPPER(SUBSTITUTE(SUBSTITUTE(SUBSTITUTE(C347,"*",""),"?",""),"~",""))&amp;"0"&amp;M347&amp;RIGHT("00000"&amp;ROW(),5),IF('FALTAS POR DECK'!$P$1="Falta (maior primeiro)","K"&amp;RIGHT("0000"&amp;(9999-F347),4)&amp;M347&amp;RIGHT("00000"&amp;ROW(),5),IF('FALTAS POR DECK'!$P$1="Deck e código","K"&amp;RIGHT("00"&amp;IFERROR(MATCH(A347,_LEITURA!$P$2:$P$21,0),99),2)&amp;M347&amp;RIGHT("00000"&amp;ROW(),5),"K"&amp;RIGHT("00000"&amp;ROW(),5))))))</f>
        <v/>
      </c>
      <c r="O347" s="16" t="str">
        <f aca="false">IF(N347="","",COUNTIFS($N$2:$N$1201,"&lt;"&amp;N347,$F$2:$F$1201,"&gt;0")+1)</f>
        <v/>
      </c>
    </row>
    <row r="348" customFormat="false" ht="15" hidden="false" customHeight="false" outlineLevel="0" collapsed="false">
      <c r="A348" s="11" t="str">
        <f aca="false">IF(_LEITURA!$N348="","",INDEX(_LEITURA!$K$2:$K$1201,_LEITURA!$N348))</f>
        <v/>
      </c>
      <c r="B348" s="11" t="str">
        <f aca="false">IF(_LEITURA!$N348="","",INDEX(_LEITURA!$E$2:$E$1201,_LEITURA!$N348))</f>
        <v/>
      </c>
      <c r="C348" s="11" t="str">
        <f aca="false">IF(_LEITURA!$N348="","",INDEX(_LEITURA!$J$2:$J$1201,_LEITURA!$N348))</f>
        <v/>
      </c>
      <c r="D348" s="16" t="str">
        <f aca="false">IF(_LEITURA!$N348="","",INDEX(_LEITURA!$G$2:$G$1201,_LEITURA!$N348))</f>
        <v/>
      </c>
      <c r="E348" s="16" t="str">
        <f aca="false">IF(B348="","",SUMIFS(INVENTÁRIO!$C$2:$C$801,INVENTÁRIO!$A$2:$A$801,B348))</f>
        <v/>
      </c>
      <c r="F348" s="16" t="str">
        <f aca="false">IF(B348="","",MAX(0,D348-E348))</f>
        <v/>
      </c>
      <c r="G348" s="16" t="str">
        <f aca="false">IF(B348="","",IF(COUNTIFS($B$2:$B$1201,B348,$A$2:$A$1201,"&lt;&gt;"&amp;A348)&gt;0,"Sim",""))</f>
        <v/>
      </c>
      <c r="H348" s="16" t="str">
        <f aca="false">IF(N(F348)&gt;0,MAX(H$1:H347)+1,"")</f>
        <v/>
      </c>
      <c r="I348" s="11" t="str">
        <f aca="false">IF(B348="","",IF(INDEX($C$2:$C$1201,MATCH(B348,$B$2:$B$1201,0))&lt;&gt;C348,"Nome diferente em outro deck — revisar",""))</f>
        <v/>
      </c>
      <c r="J348" s="16" t="str">
        <f aca="false">IF(AND(B348&lt;&gt;"",A348=BULK!$A$1,N(F348)&gt;0),MAX(J$1:J347)+1,"")</f>
        <v/>
      </c>
      <c r="K348" s="11" t="str">
        <f aca="false">IF(B348="","",IFERROR(LEFT(B348,FIND("-",B348)-1),B348))</f>
        <v/>
      </c>
      <c r="L348" s="11" t="str">
        <f aca="false">IF(K348="","",IF(ISNUMBER(--MID(K348,1,1)),0,IF(ISNUMBER(--MID(K348,2,1)),1,IF(ISNUMBER(--MID(K348,3,1)),2,IF(ISNUMBER(--MID(K348,4,1)),3,MIN(LEN(K348),4))))))</f>
        <v/>
      </c>
      <c r="M348" s="11" t="str">
        <f aca="false">IF(B348="","",LEFT(K348,L348)&amp;REPT("0",4-L348)&amp;RIGHT("000"&amp;IFERROR(VALUE(MID(K348,L348+1,9)),0),3)&amp;RIGHT("0000"&amp;IFERROR(VALUE(MID(B348,FIND("-",B348)+1,9)),0),4))</f>
        <v/>
      </c>
      <c r="N348" s="11" t="str">
        <f aca="false">IF(OR(B348="",N(F348)&lt;=0),"",IF('FALTAS POR DECK'!$P$1="Código","K"&amp;M348&amp;RIGHT("00000"&amp;ROW(),5),IF('FALTAS POR DECK'!$P$1="Nome","K"&amp;UPPER(SUBSTITUTE(SUBSTITUTE(SUBSTITUTE(C348,"*",""),"?",""),"~",""))&amp;"0"&amp;M348&amp;RIGHT("00000"&amp;ROW(),5),IF('FALTAS POR DECK'!$P$1="Falta (maior primeiro)","K"&amp;RIGHT("0000"&amp;(9999-F348),4)&amp;M348&amp;RIGHT("00000"&amp;ROW(),5),IF('FALTAS POR DECK'!$P$1="Deck e código","K"&amp;RIGHT("00"&amp;IFERROR(MATCH(A348,_LEITURA!$P$2:$P$21,0),99),2)&amp;M348&amp;RIGHT("00000"&amp;ROW(),5),"K"&amp;RIGHT("00000"&amp;ROW(),5))))))</f>
        <v/>
      </c>
      <c r="O348" s="16" t="str">
        <f aca="false">IF(N348="","",COUNTIFS($N$2:$N$1201,"&lt;"&amp;N348,$F$2:$F$1201,"&gt;0")+1)</f>
        <v/>
      </c>
    </row>
    <row r="349" customFormat="false" ht="15" hidden="false" customHeight="false" outlineLevel="0" collapsed="false">
      <c r="A349" s="11" t="str">
        <f aca="false">IF(_LEITURA!$N349="","",INDEX(_LEITURA!$K$2:$K$1201,_LEITURA!$N349))</f>
        <v/>
      </c>
      <c r="B349" s="11" t="str">
        <f aca="false">IF(_LEITURA!$N349="","",INDEX(_LEITURA!$E$2:$E$1201,_LEITURA!$N349))</f>
        <v/>
      </c>
      <c r="C349" s="11" t="str">
        <f aca="false">IF(_LEITURA!$N349="","",INDEX(_LEITURA!$J$2:$J$1201,_LEITURA!$N349))</f>
        <v/>
      </c>
      <c r="D349" s="16" t="str">
        <f aca="false">IF(_LEITURA!$N349="","",INDEX(_LEITURA!$G$2:$G$1201,_LEITURA!$N349))</f>
        <v/>
      </c>
      <c r="E349" s="16" t="str">
        <f aca="false">IF(B349="","",SUMIFS(INVENTÁRIO!$C$2:$C$801,INVENTÁRIO!$A$2:$A$801,B349))</f>
        <v/>
      </c>
      <c r="F349" s="16" t="str">
        <f aca="false">IF(B349="","",MAX(0,D349-E349))</f>
        <v/>
      </c>
      <c r="G349" s="16" t="str">
        <f aca="false">IF(B349="","",IF(COUNTIFS($B$2:$B$1201,B349,$A$2:$A$1201,"&lt;&gt;"&amp;A349)&gt;0,"Sim",""))</f>
        <v/>
      </c>
      <c r="H349" s="16" t="str">
        <f aca="false">IF(N(F349)&gt;0,MAX(H$1:H348)+1,"")</f>
        <v/>
      </c>
      <c r="I349" s="11" t="str">
        <f aca="false">IF(B349="","",IF(INDEX($C$2:$C$1201,MATCH(B349,$B$2:$B$1201,0))&lt;&gt;C349,"Nome diferente em outro deck — revisar",""))</f>
        <v/>
      </c>
      <c r="J349" s="16" t="str">
        <f aca="false">IF(AND(B349&lt;&gt;"",A349=BULK!$A$1,N(F349)&gt;0),MAX(J$1:J348)+1,"")</f>
        <v/>
      </c>
      <c r="K349" s="11" t="str">
        <f aca="false">IF(B349="","",IFERROR(LEFT(B349,FIND("-",B349)-1),B349))</f>
        <v/>
      </c>
      <c r="L349" s="11" t="str">
        <f aca="false">IF(K349="","",IF(ISNUMBER(--MID(K349,1,1)),0,IF(ISNUMBER(--MID(K349,2,1)),1,IF(ISNUMBER(--MID(K349,3,1)),2,IF(ISNUMBER(--MID(K349,4,1)),3,MIN(LEN(K349),4))))))</f>
        <v/>
      </c>
      <c r="M349" s="11" t="str">
        <f aca="false">IF(B349="","",LEFT(K349,L349)&amp;REPT("0",4-L349)&amp;RIGHT("000"&amp;IFERROR(VALUE(MID(K349,L349+1,9)),0),3)&amp;RIGHT("0000"&amp;IFERROR(VALUE(MID(B349,FIND("-",B349)+1,9)),0),4))</f>
        <v/>
      </c>
      <c r="N349" s="11" t="str">
        <f aca="false">IF(OR(B349="",N(F349)&lt;=0),"",IF('FALTAS POR DECK'!$P$1="Código","K"&amp;M349&amp;RIGHT("00000"&amp;ROW(),5),IF('FALTAS POR DECK'!$P$1="Nome","K"&amp;UPPER(SUBSTITUTE(SUBSTITUTE(SUBSTITUTE(C349,"*",""),"?",""),"~",""))&amp;"0"&amp;M349&amp;RIGHT("00000"&amp;ROW(),5),IF('FALTAS POR DECK'!$P$1="Falta (maior primeiro)","K"&amp;RIGHT("0000"&amp;(9999-F349),4)&amp;M349&amp;RIGHT("00000"&amp;ROW(),5),IF('FALTAS POR DECK'!$P$1="Deck e código","K"&amp;RIGHT("00"&amp;IFERROR(MATCH(A349,_LEITURA!$P$2:$P$21,0),99),2)&amp;M349&amp;RIGHT("00000"&amp;ROW(),5),"K"&amp;RIGHT("00000"&amp;ROW(),5))))))</f>
        <v/>
      </c>
      <c r="O349" s="16" t="str">
        <f aca="false">IF(N349="","",COUNTIFS($N$2:$N$1201,"&lt;"&amp;N349,$F$2:$F$1201,"&gt;0")+1)</f>
        <v/>
      </c>
    </row>
    <row r="350" customFormat="false" ht="15" hidden="false" customHeight="false" outlineLevel="0" collapsed="false">
      <c r="A350" s="11" t="str">
        <f aca="false">IF(_LEITURA!$N350="","",INDEX(_LEITURA!$K$2:$K$1201,_LEITURA!$N350))</f>
        <v/>
      </c>
      <c r="B350" s="11" t="str">
        <f aca="false">IF(_LEITURA!$N350="","",INDEX(_LEITURA!$E$2:$E$1201,_LEITURA!$N350))</f>
        <v/>
      </c>
      <c r="C350" s="11" t="str">
        <f aca="false">IF(_LEITURA!$N350="","",INDEX(_LEITURA!$J$2:$J$1201,_LEITURA!$N350))</f>
        <v/>
      </c>
      <c r="D350" s="16" t="str">
        <f aca="false">IF(_LEITURA!$N350="","",INDEX(_LEITURA!$G$2:$G$1201,_LEITURA!$N350))</f>
        <v/>
      </c>
      <c r="E350" s="16" t="str">
        <f aca="false">IF(B350="","",SUMIFS(INVENTÁRIO!$C$2:$C$801,INVENTÁRIO!$A$2:$A$801,B350))</f>
        <v/>
      </c>
      <c r="F350" s="16" t="str">
        <f aca="false">IF(B350="","",MAX(0,D350-E350))</f>
        <v/>
      </c>
      <c r="G350" s="16" t="str">
        <f aca="false">IF(B350="","",IF(COUNTIFS($B$2:$B$1201,B350,$A$2:$A$1201,"&lt;&gt;"&amp;A350)&gt;0,"Sim",""))</f>
        <v/>
      </c>
      <c r="H350" s="16" t="str">
        <f aca="false">IF(N(F350)&gt;0,MAX(H$1:H349)+1,"")</f>
        <v/>
      </c>
      <c r="I350" s="11" t="str">
        <f aca="false">IF(B350="","",IF(INDEX($C$2:$C$1201,MATCH(B350,$B$2:$B$1201,0))&lt;&gt;C350,"Nome diferente em outro deck — revisar",""))</f>
        <v/>
      </c>
      <c r="J350" s="16" t="str">
        <f aca="false">IF(AND(B350&lt;&gt;"",A350=BULK!$A$1,N(F350)&gt;0),MAX(J$1:J349)+1,"")</f>
        <v/>
      </c>
      <c r="K350" s="11" t="str">
        <f aca="false">IF(B350="","",IFERROR(LEFT(B350,FIND("-",B350)-1),B350))</f>
        <v/>
      </c>
      <c r="L350" s="11" t="str">
        <f aca="false">IF(K350="","",IF(ISNUMBER(--MID(K350,1,1)),0,IF(ISNUMBER(--MID(K350,2,1)),1,IF(ISNUMBER(--MID(K350,3,1)),2,IF(ISNUMBER(--MID(K350,4,1)),3,MIN(LEN(K350),4))))))</f>
        <v/>
      </c>
      <c r="M350" s="11" t="str">
        <f aca="false">IF(B350="","",LEFT(K350,L350)&amp;REPT("0",4-L350)&amp;RIGHT("000"&amp;IFERROR(VALUE(MID(K350,L350+1,9)),0),3)&amp;RIGHT("0000"&amp;IFERROR(VALUE(MID(B350,FIND("-",B350)+1,9)),0),4))</f>
        <v/>
      </c>
      <c r="N350" s="11" t="str">
        <f aca="false">IF(OR(B350="",N(F350)&lt;=0),"",IF('FALTAS POR DECK'!$P$1="Código","K"&amp;M350&amp;RIGHT("00000"&amp;ROW(),5),IF('FALTAS POR DECK'!$P$1="Nome","K"&amp;UPPER(SUBSTITUTE(SUBSTITUTE(SUBSTITUTE(C350,"*",""),"?",""),"~",""))&amp;"0"&amp;M350&amp;RIGHT("00000"&amp;ROW(),5),IF('FALTAS POR DECK'!$P$1="Falta (maior primeiro)","K"&amp;RIGHT("0000"&amp;(9999-F350),4)&amp;M350&amp;RIGHT("00000"&amp;ROW(),5),IF('FALTAS POR DECK'!$P$1="Deck e código","K"&amp;RIGHT("00"&amp;IFERROR(MATCH(A350,_LEITURA!$P$2:$P$21,0),99),2)&amp;M350&amp;RIGHT("00000"&amp;ROW(),5),"K"&amp;RIGHT("00000"&amp;ROW(),5))))))</f>
        <v/>
      </c>
      <c r="O350" s="16" t="str">
        <f aca="false">IF(N350="","",COUNTIFS($N$2:$N$1201,"&lt;"&amp;N350,$F$2:$F$1201,"&gt;0")+1)</f>
        <v/>
      </c>
    </row>
    <row r="351" customFormat="false" ht="15" hidden="false" customHeight="false" outlineLevel="0" collapsed="false">
      <c r="A351" s="11" t="str">
        <f aca="false">IF(_LEITURA!$N351="","",INDEX(_LEITURA!$K$2:$K$1201,_LEITURA!$N351))</f>
        <v/>
      </c>
      <c r="B351" s="11" t="str">
        <f aca="false">IF(_LEITURA!$N351="","",INDEX(_LEITURA!$E$2:$E$1201,_LEITURA!$N351))</f>
        <v/>
      </c>
      <c r="C351" s="11" t="str">
        <f aca="false">IF(_LEITURA!$N351="","",INDEX(_LEITURA!$J$2:$J$1201,_LEITURA!$N351))</f>
        <v/>
      </c>
      <c r="D351" s="16" t="str">
        <f aca="false">IF(_LEITURA!$N351="","",INDEX(_LEITURA!$G$2:$G$1201,_LEITURA!$N351))</f>
        <v/>
      </c>
      <c r="E351" s="16" t="str">
        <f aca="false">IF(B351="","",SUMIFS(INVENTÁRIO!$C$2:$C$801,INVENTÁRIO!$A$2:$A$801,B351))</f>
        <v/>
      </c>
      <c r="F351" s="16" t="str">
        <f aca="false">IF(B351="","",MAX(0,D351-E351))</f>
        <v/>
      </c>
      <c r="G351" s="16" t="str">
        <f aca="false">IF(B351="","",IF(COUNTIFS($B$2:$B$1201,B351,$A$2:$A$1201,"&lt;&gt;"&amp;A351)&gt;0,"Sim",""))</f>
        <v/>
      </c>
      <c r="H351" s="16" t="str">
        <f aca="false">IF(N(F351)&gt;0,MAX(H$1:H350)+1,"")</f>
        <v/>
      </c>
      <c r="I351" s="11" t="str">
        <f aca="false">IF(B351="","",IF(INDEX($C$2:$C$1201,MATCH(B351,$B$2:$B$1201,0))&lt;&gt;C351,"Nome diferente em outro deck — revisar",""))</f>
        <v/>
      </c>
      <c r="J351" s="16" t="str">
        <f aca="false">IF(AND(B351&lt;&gt;"",A351=BULK!$A$1,N(F351)&gt;0),MAX(J$1:J350)+1,"")</f>
        <v/>
      </c>
      <c r="K351" s="11" t="str">
        <f aca="false">IF(B351="","",IFERROR(LEFT(B351,FIND("-",B351)-1),B351))</f>
        <v/>
      </c>
      <c r="L351" s="11" t="str">
        <f aca="false">IF(K351="","",IF(ISNUMBER(--MID(K351,1,1)),0,IF(ISNUMBER(--MID(K351,2,1)),1,IF(ISNUMBER(--MID(K351,3,1)),2,IF(ISNUMBER(--MID(K351,4,1)),3,MIN(LEN(K351),4))))))</f>
        <v/>
      </c>
      <c r="M351" s="11" t="str">
        <f aca="false">IF(B351="","",LEFT(K351,L351)&amp;REPT("0",4-L351)&amp;RIGHT("000"&amp;IFERROR(VALUE(MID(K351,L351+1,9)),0),3)&amp;RIGHT("0000"&amp;IFERROR(VALUE(MID(B351,FIND("-",B351)+1,9)),0),4))</f>
        <v/>
      </c>
      <c r="N351" s="11" t="str">
        <f aca="false">IF(OR(B351="",N(F351)&lt;=0),"",IF('FALTAS POR DECK'!$P$1="Código","K"&amp;M351&amp;RIGHT("00000"&amp;ROW(),5),IF('FALTAS POR DECK'!$P$1="Nome","K"&amp;UPPER(SUBSTITUTE(SUBSTITUTE(SUBSTITUTE(C351,"*",""),"?",""),"~",""))&amp;"0"&amp;M351&amp;RIGHT("00000"&amp;ROW(),5),IF('FALTAS POR DECK'!$P$1="Falta (maior primeiro)","K"&amp;RIGHT("0000"&amp;(9999-F351),4)&amp;M351&amp;RIGHT("00000"&amp;ROW(),5),IF('FALTAS POR DECK'!$P$1="Deck e código","K"&amp;RIGHT("00"&amp;IFERROR(MATCH(A351,_LEITURA!$P$2:$P$21,0),99),2)&amp;M351&amp;RIGHT("00000"&amp;ROW(),5),"K"&amp;RIGHT("00000"&amp;ROW(),5))))))</f>
        <v/>
      </c>
      <c r="O351" s="16" t="str">
        <f aca="false">IF(N351="","",COUNTIFS($N$2:$N$1201,"&lt;"&amp;N351,$F$2:$F$1201,"&gt;0")+1)</f>
        <v/>
      </c>
    </row>
    <row r="352" customFormat="false" ht="15" hidden="false" customHeight="false" outlineLevel="0" collapsed="false">
      <c r="A352" s="11" t="str">
        <f aca="false">IF(_LEITURA!$N352="","",INDEX(_LEITURA!$K$2:$K$1201,_LEITURA!$N352))</f>
        <v/>
      </c>
      <c r="B352" s="11" t="str">
        <f aca="false">IF(_LEITURA!$N352="","",INDEX(_LEITURA!$E$2:$E$1201,_LEITURA!$N352))</f>
        <v/>
      </c>
      <c r="C352" s="11" t="str">
        <f aca="false">IF(_LEITURA!$N352="","",INDEX(_LEITURA!$J$2:$J$1201,_LEITURA!$N352))</f>
        <v/>
      </c>
      <c r="D352" s="16" t="str">
        <f aca="false">IF(_LEITURA!$N352="","",INDEX(_LEITURA!$G$2:$G$1201,_LEITURA!$N352))</f>
        <v/>
      </c>
      <c r="E352" s="16" t="str">
        <f aca="false">IF(B352="","",SUMIFS(INVENTÁRIO!$C$2:$C$801,INVENTÁRIO!$A$2:$A$801,B352))</f>
        <v/>
      </c>
      <c r="F352" s="16" t="str">
        <f aca="false">IF(B352="","",MAX(0,D352-E352))</f>
        <v/>
      </c>
      <c r="G352" s="16" t="str">
        <f aca="false">IF(B352="","",IF(COUNTIFS($B$2:$B$1201,B352,$A$2:$A$1201,"&lt;&gt;"&amp;A352)&gt;0,"Sim",""))</f>
        <v/>
      </c>
      <c r="H352" s="16" t="str">
        <f aca="false">IF(N(F352)&gt;0,MAX(H$1:H351)+1,"")</f>
        <v/>
      </c>
      <c r="I352" s="11" t="str">
        <f aca="false">IF(B352="","",IF(INDEX($C$2:$C$1201,MATCH(B352,$B$2:$B$1201,0))&lt;&gt;C352,"Nome diferente em outro deck — revisar",""))</f>
        <v/>
      </c>
      <c r="J352" s="16" t="str">
        <f aca="false">IF(AND(B352&lt;&gt;"",A352=BULK!$A$1,N(F352)&gt;0),MAX(J$1:J351)+1,"")</f>
        <v/>
      </c>
      <c r="K352" s="11" t="str">
        <f aca="false">IF(B352="","",IFERROR(LEFT(B352,FIND("-",B352)-1),B352))</f>
        <v/>
      </c>
      <c r="L352" s="11" t="str">
        <f aca="false">IF(K352="","",IF(ISNUMBER(--MID(K352,1,1)),0,IF(ISNUMBER(--MID(K352,2,1)),1,IF(ISNUMBER(--MID(K352,3,1)),2,IF(ISNUMBER(--MID(K352,4,1)),3,MIN(LEN(K352),4))))))</f>
        <v/>
      </c>
      <c r="M352" s="11" t="str">
        <f aca="false">IF(B352="","",LEFT(K352,L352)&amp;REPT("0",4-L352)&amp;RIGHT("000"&amp;IFERROR(VALUE(MID(K352,L352+1,9)),0),3)&amp;RIGHT("0000"&amp;IFERROR(VALUE(MID(B352,FIND("-",B352)+1,9)),0),4))</f>
        <v/>
      </c>
      <c r="N352" s="11" t="str">
        <f aca="false">IF(OR(B352="",N(F352)&lt;=0),"",IF('FALTAS POR DECK'!$P$1="Código","K"&amp;M352&amp;RIGHT("00000"&amp;ROW(),5),IF('FALTAS POR DECK'!$P$1="Nome","K"&amp;UPPER(SUBSTITUTE(SUBSTITUTE(SUBSTITUTE(C352,"*",""),"?",""),"~",""))&amp;"0"&amp;M352&amp;RIGHT("00000"&amp;ROW(),5),IF('FALTAS POR DECK'!$P$1="Falta (maior primeiro)","K"&amp;RIGHT("0000"&amp;(9999-F352),4)&amp;M352&amp;RIGHT("00000"&amp;ROW(),5),IF('FALTAS POR DECK'!$P$1="Deck e código","K"&amp;RIGHT("00"&amp;IFERROR(MATCH(A352,_LEITURA!$P$2:$P$21,0),99),2)&amp;M352&amp;RIGHT("00000"&amp;ROW(),5),"K"&amp;RIGHT("00000"&amp;ROW(),5))))))</f>
        <v/>
      </c>
      <c r="O352" s="16" t="str">
        <f aca="false">IF(N352="","",COUNTIFS($N$2:$N$1201,"&lt;"&amp;N352,$F$2:$F$1201,"&gt;0")+1)</f>
        <v/>
      </c>
    </row>
    <row r="353" customFormat="false" ht="15" hidden="false" customHeight="false" outlineLevel="0" collapsed="false">
      <c r="A353" s="11" t="str">
        <f aca="false">IF(_LEITURA!$N353="","",INDEX(_LEITURA!$K$2:$K$1201,_LEITURA!$N353))</f>
        <v/>
      </c>
      <c r="B353" s="11" t="str">
        <f aca="false">IF(_LEITURA!$N353="","",INDEX(_LEITURA!$E$2:$E$1201,_LEITURA!$N353))</f>
        <v/>
      </c>
      <c r="C353" s="11" t="str">
        <f aca="false">IF(_LEITURA!$N353="","",INDEX(_LEITURA!$J$2:$J$1201,_LEITURA!$N353))</f>
        <v/>
      </c>
      <c r="D353" s="16" t="str">
        <f aca="false">IF(_LEITURA!$N353="","",INDEX(_LEITURA!$G$2:$G$1201,_LEITURA!$N353))</f>
        <v/>
      </c>
      <c r="E353" s="16" t="str">
        <f aca="false">IF(B353="","",SUMIFS(INVENTÁRIO!$C$2:$C$801,INVENTÁRIO!$A$2:$A$801,B353))</f>
        <v/>
      </c>
      <c r="F353" s="16" t="str">
        <f aca="false">IF(B353="","",MAX(0,D353-E353))</f>
        <v/>
      </c>
      <c r="G353" s="16" t="str">
        <f aca="false">IF(B353="","",IF(COUNTIFS($B$2:$B$1201,B353,$A$2:$A$1201,"&lt;&gt;"&amp;A353)&gt;0,"Sim",""))</f>
        <v/>
      </c>
      <c r="H353" s="16" t="str">
        <f aca="false">IF(N(F353)&gt;0,MAX(H$1:H352)+1,"")</f>
        <v/>
      </c>
      <c r="I353" s="11" t="str">
        <f aca="false">IF(B353="","",IF(INDEX($C$2:$C$1201,MATCH(B353,$B$2:$B$1201,0))&lt;&gt;C353,"Nome diferente em outro deck — revisar",""))</f>
        <v/>
      </c>
      <c r="J353" s="16" t="str">
        <f aca="false">IF(AND(B353&lt;&gt;"",A353=BULK!$A$1,N(F353)&gt;0),MAX(J$1:J352)+1,"")</f>
        <v/>
      </c>
      <c r="K353" s="11" t="str">
        <f aca="false">IF(B353="","",IFERROR(LEFT(B353,FIND("-",B353)-1),B353))</f>
        <v/>
      </c>
      <c r="L353" s="11" t="str">
        <f aca="false">IF(K353="","",IF(ISNUMBER(--MID(K353,1,1)),0,IF(ISNUMBER(--MID(K353,2,1)),1,IF(ISNUMBER(--MID(K353,3,1)),2,IF(ISNUMBER(--MID(K353,4,1)),3,MIN(LEN(K353),4))))))</f>
        <v/>
      </c>
      <c r="M353" s="11" t="str">
        <f aca="false">IF(B353="","",LEFT(K353,L353)&amp;REPT("0",4-L353)&amp;RIGHT("000"&amp;IFERROR(VALUE(MID(K353,L353+1,9)),0),3)&amp;RIGHT("0000"&amp;IFERROR(VALUE(MID(B353,FIND("-",B353)+1,9)),0),4))</f>
        <v/>
      </c>
      <c r="N353" s="11" t="str">
        <f aca="false">IF(OR(B353="",N(F353)&lt;=0),"",IF('FALTAS POR DECK'!$P$1="Código","K"&amp;M353&amp;RIGHT("00000"&amp;ROW(),5),IF('FALTAS POR DECK'!$P$1="Nome","K"&amp;UPPER(SUBSTITUTE(SUBSTITUTE(SUBSTITUTE(C353,"*",""),"?",""),"~",""))&amp;"0"&amp;M353&amp;RIGHT("00000"&amp;ROW(),5),IF('FALTAS POR DECK'!$P$1="Falta (maior primeiro)","K"&amp;RIGHT("0000"&amp;(9999-F353),4)&amp;M353&amp;RIGHT("00000"&amp;ROW(),5),IF('FALTAS POR DECK'!$P$1="Deck e código","K"&amp;RIGHT("00"&amp;IFERROR(MATCH(A353,_LEITURA!$P$2:$P$21,0),99),2)&amp;M353&amp;RIGHT("00000"&amp;ROW(),5),"K"&amp;RIGHT("00000"&amp;ROW(),5))))))</f>
        <v/>
      </c>
      <c r="O353" s="16" t="str">
        <f aca="false">IF(N353="","",COUNTIFS($N$2:$N$1201,"&lt;"&amp;N353,$F$2:$F$1201,"&gt;0")+1)</f>
        <v/>
      </c>
    </row>
    <row r="354" customFormat="false" ht="15" hidden="false" customHeight="false" outlineLevel="0" collapsed="false">
      <c r="A354" s="11" t="str">
        <f aca="false">IF(_LEITURA!$N354="","",INDEX(_LEITURA!$K$2:$K$1201,_LEITURA!$N354))</f>
        <v/>
      </c>
      <c r="B354" s="11" t="str">
        <f aca="false">IF(_LEITURA!$N354="","",INDEX(_LEITURA!$E$2:$E$1201,_LEITURA!$N354))</f>
        <v/>
      </c>
      <c r="C354" s="11" t="str">
        <f aca="false">IF(_LEITURA!$N354="","",INDEX(_LEITURA!$J$2:$J$1201,_LEITURA!$N354))</f>
        <v/>
      </c>
      <c r="D354" s="16" t="str">
        <f aca="false">IF(_LEITURA!$N354="","",INDEX(_LEITURA!$G$2:$G$1201,_LEITURA!$N354))</f>
        <v/>
      </c>
      <c r="E354" s="16" t="str">
        <f aca="false">IF(B354="","",SUMIFS(INVENTÁRIO!$C$2:$C$801,INVENTÁRIO!$A$2:$A$801,B354))</f>
        <v/>
      </c>
      <c r="F354" s="16" t="str">
        <f aca="false">IF(B354="","",MAX(0,D354-E354))</f>
        <v/>
      </c>
      <c r="G354" s="16" t="str">
        <f aca="false">IF(B354="","",IF(COUNTIFS($B$2:$B$1201,B354,$A$2:$A$1201,"&lt;&gt;"&amp;A354)&gt;0,"Sim",""))</f>
        <v/>
      </c>
      <c r="H354" s="16" t="str">
        <f aca="false">IF(N(F354)&gt;0,MAX(H$1:H353)+1,"")</f>
        <v/>
      </c>
      <c r="I354" s="11" t="str">
        <f aca="false">IF(B354="","",IF(INDEX($C$2:$C$1201,MATCH(B354,$B$2:$B$1201,0))&lt;&gt;C354,"Nome diferente em outro deck — revisar",""))</f>
        <v/>
      </c>
      <c r="J354" s="16" t="str">
        <f aca="false">IF(AND(B354&lt;&gt;"",A354=BULK!$A$1,N(F354)&gt;0),MAX(J$1:J353)+1,"")</f>
        <v/>
      </c>
      <c r="K354" s="11" t="str">
        <f aca="false">IF(B354="","",IFERROR(LEFT(B354,FIND("-",B354)-1),B354))</f>
        <v/>
      </c>
      <c r="L354" s="11" t="str">
        <f aca="false">IF(K354="","",IF(ISNUMBER(--MID(K354,1,1)),0,IF(ISNUMBER(--MID(K354,2,1)),1,IF(ISNUMBER(--MID(K354,3,1)),2,IF(ISNUMBER(--MID(K354,4,1)),3,MIN(LEN(K354),4))))))</f>
        <v/>
      </c>
      <c r="M354" s="11" t="str">
        <f aca="false">IF(B354="","",LEFT(K354,L354)&amp;REPT("0",4-L354)&amp;RIGHT("000"&amp;IFERROR(VALUE(MID(K354,L354+1,9)),0),3)&amp;RIGHT("0000"&amp;IFERROR(VALUE(MID(B354,FIND("-",B354)+1,9)),0),4))</f>
        <v/>
      </c>
      <c r="N354" s="11" t="str">
        <f aca="false">IF(OR(B354="",N(F354)&lt;=0),"",IF('FALTAS POR DECK'!$P$1="Código","K"&amp;M354&amp;RIGHT("00000"&amp;ROW(),5),IF('FALTAS POR DECK'!$P$1="Nome","K"&amp;UPPER(SUBSTITUTE(SUBSTITUTE(SUBSTITUTE(C354,"*",""),"?",""),"~",""))&amp;"0"&amp;M354&amp;RIGHT("00000"&amp;ROW(),5),IF('FALTAS POR DECK'!$P$1="Falta (maior primeiro)","K"&amp;RIGHT("0000"&amp;(9999-F354),4)&amp;M354&amp;RIGHT("00000"&amp;ROW(),5),IF('FALTAS POR DECK'!$P$1="Deck e código","K"&amp;RIGHT("00"&amp;IFERROR(MATCH(A354,_LEITURA!$P$2:$P$21,0),99),2)&amp;M354&amp;RIGHT("00000"&amp;ROW(),5),"K"&amp;RIGHT("00000"&amp;ROW(),5))))))</f>
        <v/>
      </c>
      <c r="O354" s="16" t="str">
        <f aca="false">IF(N354="","",COUNTIFS($N$2:$N$1201,"&lt;"&amp;N354,$F$2:$F$1201,"&gt;0")+1)</f>
        <v/>
      </c>
    </row>
    <row r="355" customFormat="false" ht="15" hidden="false" customHeight="false" outlineLevel="0" collapsed="false">
      <c r="A355" s="11" t="str">
        <f aca="false">IF(_LEITURA!$N355="","",INDEX(_LEITURA!$K$2:$K$1201,_LEITURA!$N355))</f>
        <v/>
      </c>
      <c r="B355" s="11" t="str">
        <f aca="false">IF(_LEITURA!$N355="","",INDEX(_LEITURA!$E$2:$E$1201,_LEITURA!$N355))</f>
        <v/>
      </c>
      <c r="C355" s="11" t="str">
        <f aca="false">IF(_LEITURA!$N355="","",INDEX(_LEITURA!$J$2:$J$1201,_LEITURA!$N355))</f>
        <v/>
      </c>
      <c r="D355" s="16" t="str">
        <f aca="false">IF(_LEITURA!$N355="","",INDEX(_LEITURA!$G$2:$G$1201,_LEITURA!$N355))</f>
        <v/>
      </c>
      <c r="E355" s="16" t="str">
        <f aca="false">IF(B355="","",SUMIFS(INVENTÁRIO!$C$2:$C$801,INVENTÁRIO!$A$2:$A$801,B355))</f>
        <v/>
      </c>
      <c r="F355" s="16" t="str">
        <f aca="false">IF(B355="","",MAX(0,D355-E355))</f>
        <v/>
      </c>
      <c r="G355" s="16" t="str">
        <f aca="false">IF(B355="","",IF(COUNTIFS($B$2:$B$1201,B355,$A$2:$A$1201,"&lt;&gt;"&amp;A355)&gt;0,"Sim",""))</f>
        <v/>
      </c>
      <c r="H355" s="16" t="str">
        <f aca="false">IF(N(F355)&gt;0,MAX(H$1:H354)+1,"")</f>
        <v/>
      </c>
      <c r="I355" s="11" t="str">
        <f aca="false">IF(B355="","",IF(INDEX($C$2:$C$1201,MATCH(B355,$B$2:$B$1201,0))&lt;&gt;C355,"Nome diferente em outro deck — revisar",""))</f>
        <v/>
      </c>
      <c r="J355" s="16" t="str">
        <f aca="false">IF(AND(B355&lt;&gt;"",A355=BULK!$A$1,N(F355)&gt;0),MAX(J$1:J354)+1,"")</f>
        <v/>
      </c>
      <c r="K355" s="11" t="str">
        <f aca="false">IF(B355="","",IFERROR(LEFT(B355,FIND("-",B355)-1),B355))</f>
        <v/>
      </c>
      <c r="L355" s="11" t="str">
        <f aca="false">IF(K355="","",IF(ISNUMBER(--MID(K355,1,1)),0,IF(ISNUMBER(--MID(K355,2,1)),1,IF(ISNUMBER(--MID(K355,3,1)),2,IF(ISNUMBER(--MID(K355,4,1)),3,MIN(LEN(K355),4))))))</f>
        <v/>
      </c>
      <c r="M355" s="11" t="str">
        <f aca="false">IF(B355="","",LEFT(K355,L355)&amp;REPT("0",4-L355)&amp;RIGHT("000"&amp;IFERROR(VALUE(MID(K355,L355+1,9)),0),3)&amp;RIGHT("0000"&amp;IFERROR(VALUE(MID(B355,FIND("-",B355)+1,9)),0),4))</f>
        <v/>
      </c>
      <c r="N355" s="11" t="str">
        <f aca="false">IF(OR(B355="",N(F355)&lt;=0),"",IF('FALTAS POR DECK'!$P$1="Código","K"&amp;M355&amp;RIGHT("00000"&amp;ROW(),5),IF('FALTAS POR DECK'!$P$1="Nome","K"&amp;UPPER(SUBSTITUTE(SUBSTITUTE(SUBSTITUTE(C355,"*",""),"?",""),"~",""))&amp;"0"&amp;M355&amp;RIGHT("00000"&amp;ROW(),5),IF('FALTAS POR DECK'!$P$1="Falta (maior primeiro)","K"&amp;RIGHT("0000"&amp;(9999-F355),4)&amp;M355&amp;RIGHT("00000"&amp;ROW(),5),IF('FALTAS POR DECK'!$P$1="Deck e código","K"&amp;RIGHT("00"&amp;IFERROR(MATCH(A355,_LEITURA!$P$2:$P$21,0),99),2)&amp;M355&amp;RIGHT("00000"&amp;ROW(),5),"K"&amp;RIGHT("00000"&amp;ROW(),5))))))</f>
        <v/>
      </c>
      <c r="O355" s="16" t="str">
        <f aca="false">IF(N355="","",COUNTIFS($N$2:$N$1201,"&lt;"&amp;N355,$F$2:$F$1201,"&gt;0")+1)</f>
        <v/>
      </c>
    </row>
    <row r="356" customFormat="false" ht="15" hidden="false" customHeight="false" outlineLevel="0" collapsed="false">
      <c r="A356" s="11" t="str">
        <f aca="false">IF(_LEITURA!$N356="","",INDEX(_LEITURA!$K$2:$K$1201,_LEITURA!$N356))</f>
        <v/>
      </c>
      <c r="B356" s="11" t="str">
        <f aca="false">IF(_LEITURA!$N356="","",INDEX(_LEITURA!$E$2:$E$1201,_LEITURA!$N356))</f>
        <v/>
      </c>
      <c r="C356" s="11" t="str">
        <f aca="false">IF(_LEITURA!$N356="","",INDEX(_LEITURA!$J$2:$J$1201,_LEITURA!$N356))</f>
        <v/>
      </c>
      <c r="D356" s="16" t="str">
        <f aca="false">IF(_LEITURA!$N356="","",INDEX(_LEITURA!$G$2:$G$1201,_LEITURA!$N356))</f>
        <v/>
      </c>
      <c r="E356" s="16" t="str">
        <f aca="false">IF(B356="","",SUMIFS(INVENTÁRIO!$C$2:$C$801,INVENTÁRIO!$A$2:$A$801,B356))</f>
        <v/>
      </c>
      <c r="F356" s="16" t="str">
        <f aca="false">IF(B356="","",MAX(0,D356-E356))</f>
        <v/>
      </c>
      <c r="G356" s="16" t="str">
        <f aca="false">IF(B356="","",IF(COUNTIFS($B$2:$B$1201,B356,$A$2:$A$1201,"&lt;&gt;"&amp;A356)&gt;0,"Sim",""))</f>
        <v/>
      </c>
      <c r="H356" s="16" t="str">
        <f aca="false">IF(N(F356)&gt;0,MAX(H$1:H355)+1,"")</f>
        <v/>
      </c>
      <c r="I356" s="11" t="str">
        <f aca="false">IF(B356="","",IF(INDEX($C$2:$C$1201,MATCH(B356,$B$2:$B$1201,0))&lt;&gt;C356,"Nome diferente em outro deck — revisar",""))</f>
        <v/>
      </c>
      <c r="J356" s="16" t="str">
        <f aca="false">IF(AND(B356&lt;&gt;"",A356=BULK!$A$1,N(F356)&gt;0),MAX(J$1:J355)+1,"")</f>
        <v/>
      </c>
      <c r="K356" s="11" t="str">
        <f aca="false">IF(B356="","",IFERROR(LEFT(B356,FIND("-",B356)-1),B356))</f>
        <v/>
      </c>
      <c r="L356" s="11" t="str">
        <f aca="false">IF(K356="","",IF(ISNUMBER(--MID(K356,1,1)),0,IF(ISNUMBER(--MID(K356,2,1)),1,IF(ISNUMBER(--MID(K356,3,1)),2,IF(ISNUMBER(--MID(K356,4,1)),3,MIN(LEN(K356),4))))))</f>
        <v/>
      </c>
      <c r="M356" s="11" t="str">
        <f aca="false">IF(B356="","",LEFT(K356,L356)&amp;REPT("0",4-L356)&amp;RIGHT("000"&amp;IFERROR(VALUE(MID(K356,L356+1,9)),0),3)&amp;RIGHT("0000"&amp;IFERROR(VALUE(MID(B356,FIND("-",B356)+1,9)),0),4))</f>
        <v/>
      </c>
      <c r="N356" s="11" t="str">
        <f aca="false">IF(OR(B356="",N(F356)&lt;=0),"",IF('FALTAS POR DECK'!$P$1="Código","K"&amp;M356&amp;RIGHT("00000"&amp;ROW(),5),IF('FALTAS POR DECK'!$P$1="Nome","K"&amp;UPPER(SUBSTITUTE(SUBSTITUTE(SUBSTITUTE(C356,"*",""),"?",""),"~",""))&amp;"0"&amp;M356&amp;RIGHT("00000"&amp;ROW(),5),IF('FALTAS POR DECK'!$P$1="Falta (maior primeiro)","K"&amp;RIGHT("0000"&amp;(9999-F356),4)&amp;M356&amp;RIGHT("00000"&amp;ROW(),5),IF('FALTAS POR DECK'!$P$1="Deck e código","K"&amp;RIGHT("00"&amp;IFERROR(MATCH(A356,_LEITURA!$P$2:$P$21,0),99),2)&amp;M356&amp;RIGHT("00000"&amp;ROW(),5),"K"&amp;RIGHT("00000"&amp;ROW(),5))))))</f>
        <v/>
      </c>
      <c r="O356" s="16" t="str">
        <f aca="false">IF(N356="","",COUNTIFS($N$2:$N$1201,"&lt;"&amp;N356,$F$2:$F$1201,"&gt;0")+1)</f>
        <v/>
      </c>
    </row>
    <row r="357" customFormat="false" ht="15" hidden="false" customHeight="false" outlineLevel="0" collapsed="false">
      <c r="A357" s="11" t="str">
        <f aca="false">IF(_LEITURA!$N357="","",INDEX(_LEITURA!$K$2:$K$1201,_LEITURA!$N357))</f>
        <v/>
      </c>
      <c r="B357" s="11" t="str">
        <f aca="false">IF(_LEITURA!$N357="","",INDEX(_LEITURA!$E$2:$E$1201,_LEITURA!$N357))</f>
        <v/>
      </c>
      <c r="C357" s="11" t="str">
        <f aca="false">IF(_LEITURA!$N357="","",INDEX(_LEITURA!$J$2:$J$1201,_LEITURA!$N357))</f>
        <v/>
      </c>
      <c r="D357" s="16" t="str">
        <f aca="false">IF(_LEITURA!$N357="","",INDEX(_LEITURA!$G$2:$G$1201,_LEITURA!$N357))</f>
        <v/>
      </c>
      <c r="E357" s="16" t="str">
        <f aca="false">IF(B357="","",SUMIFS(INVENTÁRIO!$C$2:$C$801,INVENTÁRIO!$A$2:$A$801,B357))</f>
        <v/>
      </c>
      <c r="F357" s="16" t="str">
        <f aca="false">IF(B357="","",MAX(0,D357-E357))</f>
        <v/>
      </c>
      <c r="G357" s="16" t="str">
        <f aca="false">IF(B357="","",IF(COUNTIFS($B$2:$B$1201,B357,$A$2:$A$1201,"&lt;&gt;"&amp;A357)&gt;0,"Sim",""))</f>
        <v/>
      </c>
      <c r="H357" s="16" t="str">
        <f aca="false">IF(N(F357)&gt;0,MAX(H$1:H356)+1,"")</f>
        <v/>
      </c>
      <c r="I357" s="11" t="str">
        <f aca="false">IF(B357="","",IF(INDEX($C$2:$C$1201,MATCH(B357,$B$2:$B$1201,0))&lt;&gt;C357,"Nome diferente em outro deck — revisar",""))</f>
        <v/>
      </c>
      <c r="J357" s="16" t="str">
        <f aca="false">IF(AND(B357&lt;&gt;"",A357=BULK!$A$1,N(F357)&gt;0),MAX(J$1:J356)+1,"")</f>
        <v/>
      </c>
      <c r="K357" s="11" t="str">
        <f aca="false">IF(B357="","",IFERROR(LEFT(B357,FIND("-",B357)-1),B357))</f>
        <v/>
      </c>
      <c r="L357" s="11" t="str">
        <f aca="false">IF(K357="","",IF(ISNUMBER(--MID(K357,1,1)),0,IF(ISNUMBER(--MID(K357,2,1)),1,IF(ISNUMBER(--MID(K357,3,1)),2,IF(ISNUMBER(--MID(K357,4,1)),3,MIN(LEN(K357),4))))))</f>
        <v/>
      </c>
      <c r="M357" s="11" t="str">
        <f aca="false">IF(B357="","",LEFT(K357,L357)&amp;REPT("0",4-L357)&amp;RIGHT("000"&amp;IFERROR(VALUE(MID(K357,L357+1,9)),0),3)&amp;RIGHT("0000"&amp;IFERROR(VALUE(MID(B357,FIND("-",B357)+1,9)),0),4))</f>
        <v/>
      </c>
      <c r="N357" s="11" t="str">
        <f aca="false">IF(OR(B357="",N(F357)&lt;=0),"",IF('FALTAS POR DECK'!$P$1="Código","K"&amp;M357&amp;RIGHT("00000"&amp;ROW(),5),IF('FALTAS POR DECK'!$P$1="Nome","K"&amp;UPPER(SUBSTITUTE(SUBSTITUTE(SUBSTITUTE(C357,"*",""),"?",""),"~",""))&amp;"0"&amp;M357&amp;RIGHT("00000"&amp;ROW(),5),IF('FALTAS POR DECK'!$P$1="Falta (maior primeiro)","K"&amp;RIGHT("0000"&amp;(9999-F357),4)&amp;M357&amp;RIGHT("00000"&amp;ROW(),5),IF('FALTAS POR DECK'!$P$1="Deck e código","K"&amp;RIGHT("00"&amp;IFERROR(MATCH(A357,_LEITURA!$P$2:$P$21,0),99),2)&amp;M357&amp;RIGHT("00000"&amp;ROW(),5),"K"&amp;RIGHT("00000"&amp;ROW(),5))))))</f>
        <v/>
      </c>
      <c r="O357" s="16" t="str">
        <f aca="false">IF(N357="","",COUNTIFS($N$2:$N$1201,"&lt;"&amp;N357,$F$2:$F$1201,"&gt;0")+1)</f>
        <v/>
      </c>
    </row>
    <row r="358" customFormat="false" ht="15" hidden="false" customHeight="false" outlineLevel="0" collapsed="false">
      <c r="A358" s="11" t="str">
        <f aca="false">IF(_LEITURA!$N358="","",INDEX(_LEITURA!$K$2:$K$1201,_LEITURA!$N358))</f>
        <v/>
      </c>
      <c r="B358" s="11" t="str">
        <f aca="false">IF(_LEITURA!$N358="","",INDEX(_LEITURA!$E$2:$E$1201,_LEITURA!$N358))</f>
        <v/>
      </c>
      <c r="C358" s="11" t="str">
        <f aca="false">IF(_LEITURA!$N358="","",INDEX(_LEITURA!$J$2:$J$1201,_LEITURA!$N358))</f>
        <v/>
      </c>
      <c r="D358" s="16" t="str">
        <f aca="false">IF(_LEITURA!$N358="","",INDEX(_LEITURA!$G$2:$G$1201,_LEITURA!$N358))</f>
        <v/>
      </c>
      <c r="E358" s="16" t="str">
        <f aca="false">IF(B358="","",SUMIFS(INVENTÁRIO!$C$2:$C$801,INVENTÁRIO!$A$2:$A$801,B358))</f>
        <v/>
      </c>
      <c r="F358" s="16" t="str">
        <f aca="false">IF(B358="","",MAX(0,D358-E358))</f>
        <v/>
      </c>
      <c r="G358" s="16" t="str">
        <f aca="false">IF(B358="","",IF(COUNTIFS($B$2:$B$1201,B358,$A$2:$A$1201,"&lt;&gt;"&amp;A358)&gt;0,"Sim",""))</f>
        <v/>
      </c>
      <c r="H358" s="16" t="str">
        <f aca="false">IF(N(F358)&gt;0,MAX(H$1:H357)+1,"")</f>
        <v/>
      </c>
      <c r="I358" s="11" t="str">
        <f aca="false">IF(B358="","",IF(INDEX($C$2:$C$1201,MATCH(B358,$B$2:$B$1201,0))&lt;&gt;C358,"Nome diferente em outro deck — revisar",""))</f>
        <v/>
      </c>
      <c r="J358" s="16" t="str">
        <f aca="false">IF(AND(B358&lt;&gt;"",A358=BULK!$A$1,N(F358)&gt;0),MAX(J$1:J357)+1,"")</f>
        <v/>
      </c>
      <c r="K358" s="11" t="str">
        <f aca="false">IF(B358="","",IFERROR(LEFT(B358,FIND("-",B358)-1),B358))</f>
        <v/>
      </c>
      <c r="L358" s="11" t="str">
        <f aca="false">IF(K358="","",IF(ISNUMBER(--MID(K358,1,1)),0,IF(ISNUMBER(--MID(K358,2,1)),1,IF(ISNUMBER(--MID(K358,3,1)),2,IF(ISNUMBER(--MID(K358,4,1)),3,MIN(LEN(K358),4))))))</f>
        <v/>
      </c>
      <c r="M358" s="11" t="str">
        <f aca="false">IF(B358="","",LEFT(K358,L358)&amp;REPT("0",4-L358)&amp;RIGHT("000"&amp;IFERROR(VALUE(MID(K358,L358+1,9)),0),3)&amp;RIGHT("0000"&amp;IFERROR(VALUE(MID(B358,FIND("-",B358)+1,9)),0),4))</f>
        <v/>
      </c>
      <c r="N358" s="11" t="str">
        <f aca="false">IF(OR(B358="",N(F358)&lt;=0),"",IF('FALTAS POR DECK'!$P$1="Código","K"&amp;M358&amp;RIGHT("00000"&amp;ROW(),5),IF('FALTAS POR DECK'!$P$1="Nome","K"&amp;UPPER(SUBSTITUTE(SUBSTITUTE(SUBSTITUTE(C358,"*",""),"?",""),"~",""))&amp;"0"&amp;M358&amp;RIGHT("00000"&amp;ROW(),5),IF('FALTAS POR DECK'!$P$1="Falta (maior primeiro)","K"&amp;RIGHT("0000"&amp;(9999-F358),4)&amp;M358&amp;RIGHT("00000"&amp;ROW(),5),IF('FALTAS POR DECK'!$P$1="Deck e código","K"&amp;RIGHT("00"&amp;IFERROR(MATCH(A358,_LEITURA!$P$2:$P$21,0),99),2)&amp;M358&amp;RIGHT("00000"&amp;ROW(),5),"K"&amp;RIGHT("00000"&amp;ROW(),5))))))</f>
        <v/>
      </c>
      <c r="O358" s="16" t="str">
        <f aca="false">IF(N358="","",COUNTIFS($N$2:$N$1201,"&lt;"&amp;N358,$F$2:$F$1201,"&gt;0")+1)</f>
        <v/>
      </c>
    </row>
    <row r="359" customFormat="false" ht="15" hidden="false" customHeight="false" outlineLevel="0" collapsed="false">
      <c r="A359" s="11" t="str">
        <f aca="false">IF(_LEITURA!$N359="","",INDEX(_LEITURA!$K$2:$K$1201,_LEITURA!$N359))</f>
        <v/>
      </c>
      <c r="B359" s="11" t="str">
        <f aca="false">IF(_LEITURA!$N359="","",INDEX(_LEITURA!$E$2:$E$1201,_LEITURA!$N359))</f>
        <v/>
      </c>
      <c r="C359" s="11" t="str">
        <f aca="false">IF(_LEITURA!$N359="","",INDEX(_LEITURA!$J$2:$J$1201,_LEITURA!$N359))</f>
        <v/>
      </c>
      <c r="D359" s="16" t="str">
        <f aca="false">IF(_LEITURA!$N359="","",INDEX(_LEITURA!$G$2:$G$1201,_LEITURA!$N359))</f>
        <v/>
      </c>
      <c r="E359" s="16" t="str">
        <f aca="false">IF(B359="","",SUMIFS(INVENTÁRIO!$C$2:$C$801,INVENTÁRIO!$A$2:$A$801,B359))</f>
        <v/>
      </c>
      <c r="F359" s="16" t="str">
        <f aca="false">IF(B359="","",MAX(0,D359-E359))</f>
        <v/>
      </c>
      <c r="G359" s="16" t="str">
        <f aca="false">IF(B359="","",IF(COUNTIFS($B$2:$B$1201,B359,$A$2:$A$1201,"&lt;&gt;"&amp;A359)&gt;0,"Sim",""))</f>
        <v/>
      </c>
      <c r="H359" s="16" t="str">
        <f aca="false">IF(N(F359)&gt;0,MAX(H$1:H358)+1,"")</f>
        <v/>
      </c>
      <c r="I359" s="11" t="str">
        <f aca="false">IF(B359="","",IF(INDEX($C$2:$C$1201,MATCH(B359,$B$2:$B$1201,0))&lt;&gt;C359,"Nome diferente em outro deck — revisar",""))</f>
        <v/>
      </c>
      <c r="J359" s="16" t="str">
        <f aca="false">IF(AND(B359&lt;&gt;"",A359=BULK!$A$1,N(F359)&gt;0),MAX(J$1:J358)+1,"")</f>
        <v/>
      </c>
      <c r="K359" s="11" t="str">
        <f aca="false">IF(B359="","",IFERROR(LEFT(B359,FIND("-",B359)-1),B359))</f>
        <v/>
      </c>
      <c r="L359" s="11" t="str">
        <f aca="false">IF(K359="","",IF(ISNUMBER(--MID(K359,1,1)),0,IF(ISNUMBER(--MID(K359,2,1)),1,IF(ISNUMBER(--MID(K359,3,1)),2,IF(ISNUMBER(--MID(K359,4,1)),3,MIN(LEN(K359),4))))))</f>
        <v/>
      </c>
      <c r="M359" s="11" t="str">
        <f aca="false">IF(B359="","",LEFT(K359,L359)&amp;REPT("0",4-L359)&amp;RIGHT("000"&amp;IFERROR(VALUE(MID(K359,L359+1,9)),0),3)&amp;RIGHT("0000"&amp;IFERROR(VALUE(MID(B359,FIND("-",B359)+1,9)),0),4))</f>
        <v/>
      </c>
      <c r="N359" s="11" t="str">
        <f aca="false">IF(OR(B359="",N(F359)&lt;=0),"",IF('FALTAS POR DECK'!$P$1="Código","K"&amp;M359&amp;RIGHT("00000"&amp;ROW(),5),IF('FALTAS POR DECK'!$P$1="Nome","K"&amp;UPPER(SUBSTITUTE(SUBSTITUTE(SUBSTITUTE(C359,"*",""),"?",""),"~",""))&amp;"0"&amp;M359&amp;RIGHT("00000"&amp;ROW(),5),IF('FALTAS POR DECK'!$P$1="Falta (maior primeiro)","K"&amp;RIGHT("0000"&amp;(9999-F359),4)&amp;M359&amp;RIGHT("00000"&amp;ROW(),5),IF('FALTAS POR DECK'!$P$1="Deck e código","K"&amp;RIGHT("00"&amp;IFERROR(MATCH(A359,_LEITURA!$P$2:$P$21,0),99),2)&amp;M359&amp;RIGHT("00000"&amp;ROW(),5),"K"&amp;RIGHT("00000"&amp;ROW(),5))))))</f>
        <v/>
      </c>
      <c r="O359" s="16" t="str">
        <f aca="false">IF(N359="","",COUNTIFS($N$2:$N$1201,"&lt;"&amp;N359,$F$2:$F$1201,"&gt;0")+1)</f>
        <v/>
      </c>
    </row>
    <row r="360" customFormat="false" ht="15" hidden="false" customHeight="false" outlineLevel="0" collapsed="false">
      <c r="A360" s="11" t="str">
        <f aca="false">IF(_LEITURA!$N360="","",INDEX(_LEITURA!$K$2:$K$1201,_LEITURA!$N360))</f>
        <v/>
      </c>
      <c r="B360" s="11" t="str">
        <f aca="false">IF(_LEITURA!$N360="","",INDEX(_LEITURA!$E$2:$E$1201,_LEITURA!$N360))</f>
        <v/>
      </c>
      <c r="C360" s="11" t="str">
        <f aca="false">IF(_LEITURA!$N360="","",INDEX(_LEITURA!$J$2:$J$1201,_LEITURA!$N360))</f>
        <v/>
      </c>
      <c r="D360" s="16" t="str">
        <f aca="false">IF(_LEITURA!$N360="","",INDEX(_LEITURA!$G$2:$G$1201,_LEITURA!$N360))</f>
        <v/>
      </c>
      <c r="E360" s="16" t="str">
        <f aca="false">IF(B360="","",SUMIFS(INVENTÁRIO!$C$2:$C$801,INVENTÁRIO!$A$2:$A$801,B360))</f>
        <v/>
      </c>
      <c r="F360" s="16" t="str">
        <f aca="false">IF(B360="","",MAX(0,D360-E360))</f>
        <v/>
      </c>
      <c r="G360" s="16" t="str">
        <f aca="false">IF(B360="","",IF(COUNTIFS($B$2:$B$1201,B360,$A$2:$A$1201,"&lt;&gt;"&amp;A360)&gt;0,"Sim",""))</f>
        <v/>
      </c>
      <c r="H360" s="16" t="str">
        <f aca="false">IF(N(F360)&gt;0,MAX(H$1:H359)+1,"")</f>
        <v/>
      </c>
      <c r="I360" s="11" t="str">
        <f aca="false">IF(B360="","",IF(INDEX($C$2:$C$1201,MATCH(B360,$B$2:$B$1201,0))&lt;&gt;C360,"Nome diferente em outro deck — revisar",""))</f>
        <v/>
      </c>
      <c r="J360" s="16" t="str">
        <f aca="false">IF(AND(B360&lt;&gt;"",A360=BULK!$A$1,N(F360)&gt;0),MAX(J$1:J359)+1,"")</f>
        <v/>
      </c>
      <c r="K360" s="11" t="str">
        <f aca="false">IF(B360="","",IFERROR(LEFT(B360,FIND("-",B360)-1),B360))</f>
        <v/>
      </c>
      <c r="L360" s="11" t="str">
        <f aca="false">IF(K360="","",IF(ISNUMBER(--MID(K360,1,1)),0,IF(ISNUMBER(--MID(K360,2,1)),1,IF(ISNUMBER(--MID(K360,3,1)),2,IF(ISNUMBER(--MID(K360,4,1)),3,MIN(LEN(K360),4))))))</f>
        <v/>
      </c>
      <c r="M360" s="11" t="str">
        <f aca="false">IF(B360="","",LEFT(K360,L360)&amp;REPT("0",4-L360)&amp;RIGHT("000"&amp;IFERROR(VALUE(MID(K360,L360+1,9)),0),3)&amp;RIGHT("0000"&amp;IFERROR(VALUE(MID(B360,FIND("-",B360)+1,9)),0),4))</f>
        <v/>
      </c>
      <c r="N360" s="11" t="str">
        <f aca="false">IF(OR(B360="",N(F360)&lt;=0),"",IF('FALTAS POR DECK'!$P$1="Código","K"&amp;M360&amp;RIGHT("00000"&amp;ROW(),5),IF('FALTAS POR DECK'!$P$1="Nome","K"&amp;UPPER(SUBSTITUTE(SUBSTITUTE(SUBSTITUTE(C360,"*",""),"?",""),"~",""))&amp;"0"&amp;M360&amp;RIGHT("00000"&amp;ROW(),5),IF('FALTAS POR DECK'!$P$1="Falta (maior primeiro)","K"&amp;RIGHT("0000"&amp;(9999-F360),4)&amp;M360&amp;RIGHT("00000"&amp;ROW(),5),IF('FALTAS POR DECK'!$P$1="Deck e código","K"&amp;RIGHT("00"&amp;IFERROR(MATCH(A360,_LEITURA!$P$2:$P$21,0),99),2)&amp;M360&amp;RIGHT("00000"&amp;ROW(),5),"K"&amp;RIGHT("00000"&amp;ROW(),5))))))</f>
        <v/>
      </c>
      <c r="O360" s="16" t="str">
        <f aca="false">IF(N360="","",COUNTIFS($N$2:$N$1201,"&lt;"&amp;N360,$F$2:$F$1201,"&gt;0")+1)</f>
        <v/>
      </c>
    </row>
    <row r="361" customFormat="false" ht="15" hidden="false" customHeight="false" outlineLevel="0" collapsed="false">
      <c r="A361" s="11" t="str">
        <f aca="false">IF(_LEITURA!$N361="","",INDEX(_LEITURA!$K$2:$K$1201,_LEITURA!$N361))</f>
        <v/>
      </c>
      <c r="B361" s="11" t="str">
        <f aca="false">IF(_LEITURA!$N361="","",INDEX(_LEITURA!$E$2:$E$1201,_LEITURA!$N361))</f>
        <v/>
      </c>
      <c r="C361" s="11" t="str">
        <f aca="false">IF(_LEITURA!$N361="","",INDEX(_LEITURA!$J$2:$J$1201,_LEITURA!$N361))</f>
        <v/>
      </c>
      <c r="D361" s="16" t="str">
        <f aca="false">IF(_LEITURA!$N361="","",INDEX(_LEITURA!$G$2:$G$1201,_LEITURA!$N361))</f>
        <v/>
      </c>
      <c r="E361" s="16" t="str">
        <f aca="false">IF(B361="","",SUMIFS(INVENTÁRIO!$C$2:$C$801,INVENTÁRIO!$A$2:$A$801,B361))</f>
        <v/>
      </c>
      <c r="F361" s="16" t="str">
        <f aca="false">IF(B361="","",MAX(0,D361-E361))</f>
        <v/>
      </c>
      <c r="G361" s="16" t="str">
        <f aca="false">IF(B361="","",IF(COUNTIFS($B$2:$B$1201,B361,$A$2:$A$1201,"&lt;&gt;"&amp;A361)&gt;0,"Sim",""))</f>
        <v/>
      </c>
      <c r="H361" s="16" t="str">
        <f aca="false">IF(N(F361)&gt;0,MAX(H$1:H360)+1,"")</f>
        <v/>
      </c>
      <c r="I361" s="11" t="str">
        <f aca="false">IF(B361="","",IF(INDEX($C$2:$C$1201,MATCH(B361,$B$2:$B$1201,0))&lt;&gt;C361,"Nome diferente em outro deck — revisar",""))</f>
        <v/>
      </c>
      <c r="J361" s="16" t="str">
        <f aca="false">IF(AND(B361&lt;&gt;"",A361=BULK!$A$1,N(F361)&gt;0),MAX(J$1:J360)+1,"")</f>
        <v/>
      </c>
      <c r="K361" s="11" t="str">
        <f aca="false">IF(B361="","",IFERROR(LEFT(B361,FIND("-",B361)-1),B361))</f>
        <v/>
      </c>
      <c r="L361" s="11" t="str">
        <f aca="false">IF(K361="","",IF(ISNUMBER(--MID(K361,1,1)),0,IF(ISNUMBER(--MID(K361,2,1)),1,IF(ISNUMBER(--MID(K361,3,1)),2,IF(ISNUMBER(--MID(K361,4,1)),3,MIN(LEN(K361),4))))))</f>
        <v/>
      </c>
      <c r="M361" s="11" t="str">
        <f aca="false">IF(B361="","",LEFT(K361,L361)&amp;REPT("0",4-L361)&amp;RIGHT("000"&amp;IFERROR(VALUE(MID(K361,L361+1,9)),0),3)&amp;RIGHT("0000"&amp;IFERROR(VALUE(MID(B361,FIND("-",B361)+1,9)),0),4))</f>
        <v/>
      </c>
      <c r="N361" s="11" t="str">
        <f aca="false">IF(OR(B361="",N(F361)&lt;=0),"",IF('FALTAS POR DECK'!$P$1="Código","K"&amp;M361&amp;RIGHT("00000"&amp;ROW(),5),IF('FALTAS POR DECK'!$P$1="Nome","K"&amp;UPPER(SUBSTITUTE(SUBSTITUTE(SUBSTITUTE(C361,"*",""),"?",""),"~",""))&amp;"0"&amp;M361&amp;RIGHT("00000"&amp;ROW(),5),IF('FALTAS POR DECK'!$P$1="Falta (maior primeiro)","K"&amp;RIGHT("0000"&amp;(9999-F361),4)&amp;M361&amp;RIGHT("00000"&amp;ROW(),5),IF('FALTAS POR DECK'!$P$1="Deck e código","K"&amp;RIGHT("00"&amp;IFERROR(MATCH(A361,_LEITURA!$P$2:$P$21,0),99),2)&amp;M361&amp;RIGHT("00000"&amp;ROW(),5),"K"&amp;RIGHT("00000"&amp;ROW(),5))))))</f>
        <v/>
      </c>
      <c r="O361" s="16" t="str">
        <f aca="false">IF(N361="","",COUNTIFS($N$2:$N$1201,"&lt;"&amp;N361,$F$2:$F$1201,"&gt;0")+1)</f>
        <v/>
      </c>
    </row>
    <row r="362" customFormat="false" ht="15" hidden="false" customHeight="false" outlineLevel="0" collapsed="false">
      <c r="A362" s="11" t="str">
        <f aca="false">IF(_LEITURA!$N362="","",INDEX(_LEITURA!$K$2:$K$1201,_LEITURA!$N362))</f>
        <v/>
      </c>
      <c r="B362" s="11" t="str">
        <f aca="false">IF(_LEITURA!$N362="","",INDEX(_LEITURA!$E$2:$E$1201,_LEITURA!$N362))</f>
        <v/>
      </c>
      <c r="C362" s="11" t="str">
        <f aca="false">IF(_LEITURA!$N362="","",INDEX(_LEITURA!$J$2:$J$1201,_LEITURA!$N362))</f>
        <v/>
      </c>
      <c r="D362" s="16" t="str">
        <f aca="false">IF(_LEITURA!$N362="","",INDEX(_LEITURA!$G$2:$G$1201,_LEITURA!$N362))</f>
        <v/>
      </c>
      <c r="E362" s="16" t="str">
        <f aca="false">IF(B362="","",SUMIFS(INVENTÁRIO!$C$2:$C$801,INVENTÁRIO!$A$2:$A$801,B362))</f>
        <v/>
      </c>
      <c r="F362" s="16" t="str">
        <f aca="false">IF(B362="","",MAX(0,D362-E362))</f>
        <v/>
      </c>
      <c r="G362" s="16" t="str">
        <f aca="false">IF(B362="","",IF(COUNTIFS($B$2:$B$1201,B362,$A$2:$A$1201,"&lt;&gt;"&amp;A362)&gt;0,"Sim",""))</f>
        <v/>
      </c>
      <c r="H362" s="16" t="str">
        <f aca="false">IF(N(F362)&gt;0,MAX(H$1:H361)+1,"")</f>
        <v/>
      </c>
      <c r="I362" s="11" t="str">
        <f aca="false">IF(B362="","",IF(INDEX($C$2:$C$1201,MATCH(B362,$B$2:$B$1201,0))&lt;&gt;C362,"Nome diferente em outro deck — revisar",""))</f>
        <v/>
      </c>
      <c r="J362" s="16" t="str">
        <f aca="false">IF(AND(B362&lt;&gt;"",A362=BULK!$A$1,N(F362)&gt;0),MAX(J$1:J361)+1,"")</f>
        <v/>
      </c>
      <c r="K362" s="11" t="str">
        <f aca="false">IF(B362="","",IFERROR(LEFT(B362,FIND("-",B362)-1),B362))</f>
        <v/>
      </c>
      <c r="L362" s="11" t="str">
        <f aca="false">IF(K362="","",IF(ISNUMBER(--MID(K362,1,1)),0,IF(ISNUMBER(--MID(K362,2,1)),1,IF(ISNUMBER(--MID(K362,3,1)),2,IF(ISNUMBER(--MID(K362,4,1)),3,MIN(LEN(K362),4))))))</f>
        <v/>
      </c>
      <c r="M362" s="11" t="str">
        <f aca="false">IF(B362="","",LEFT(K362,L362)&amp;REPT("0",4-L362)&amp;RIGHT("000"&amp;IFERROR(VALUE(MID(K362,L362+1,9)),0),3)&amp;RIGHT("0000"&amp;IFERROR(VALUE(MID(B362,FIND("-",B362)+1,9)),0),4))</f>
        <v/>
      </c>
      <c r="N362" s="11" t="str">
        <f aca="false">IF(OR(B362="",N(F362)&lt;=0),"",IF('FALTAS POR DECK'!$P$1="Código","K"&amp;M362&amp;RIGHT("00000"&amp;ROW(),5),IF('FALTAS POR DECK'!$P$1="Nome","K"&amp;UPPER(SUBSTITUTE(SUBSTITUTE(SUBSTITUTE(C362,"*",""),"?",""),"~",""))&amp;"0"&amp;M362&amp;RIGHT("00000"&amp;ROW(),5),IF('FALTAS POR DECK'!$P$1="Falta (maior primeiro)","K"&amp;RIGHT("0000"&amp;(9999-F362),4)&amp;M362&amp;RIGHT("00000"&amp;ROW(),5),IF('FALTAS POR DECK'!$P$1="Deck e código","K"&amp;RIGHT("00"&amp;IFERROR(MATCH(A362,_LEITURA!$P$2:$P$21,0),99),2)&amp;M362&amp;RIGHT("00000"&amp;ROW(),5),"K"&amp;RIGHT("00000"&amp;ROW(),5))))))</f>
        <v/>
      </c>
      <c r="O362" s="16" t="str">
        <f aca="false">IF(N362="","",COUNTIFS($N$2:$N$1201,"&lt;"&amp;N362,$F$2:$F$1201,"&gt;0")+1)</f>
        <v/>
      </c>
    </row>
    <row r="363" customFormat="false" ht="15" hidden="false" customHeight="false" outlineLevel="0" collapsed="false">
      <c r="A363" s="11" t="str">
        <f aca="false">IF(_LEITURA!$N363="","",INDEX(_LEITURA!$K$2:$K$1201,_LEITURA!$N363))</f>
        <v/>
      </c>
      <c r="B363" s="11" t="str">
        <f aca="false">IF(_LEITURA!$N363="","",INDEX(_LEITURA!$E$2:$E$1201,_LEITURA!$N363))</f>
        <v/>
      </c>
      <c r="C363" s="11" t="str">
        <f aca="false">IF(_LEITURA!$N363="","",INDEX(_LEITURA!$J$2:$J$1201,_LEITURA!$N363))</f>
        <v/>
      </c>
      <c r="D363" s="16" t="str">
        <f aca="false">IF(_LEITURA!$N363="","",INDEX(_LEITURA!$G$2:$G$1201,_LEITURA!$N363))</f>
        <v/>
      </c>
      <c r="E363" s="16" t="str">
        <f aca="false">IF(B363="","",SUMIFS(INVENTÁRIO!$C$2:$C$801,INVENTÁRIO!$A$2:$A$801,B363))</f>
        <v/>
      </c>
      <c r="F363" s="16" t="str">
        <f aca="false">IF(B363="","",MAX(0,D363-E363))</f>
        <v/>
      </c>
      <c r="G363" s="16" t="str">
        <f aca="false">IF(B363="","",IF(COUNTIFS($B$2:$B$1201,B363,$A$2:$A$1201,"&lt;&gt;"&amp;A363)&gt;0,"Sim",""))</f>
        <v/>
      </c>
      <c r="H363" s="16" t="str">
        <f aca="false">IF(N(F363)&gt;0,MAX(H$1:H362)+1,"")</f>
        <v/>
      </c>
      <c r="I363" s="11" t="str">
        <f aca="false">IF(B363="","",IF(INDEX($C$2:$C$1201,MATCH(B363,$B$2:$B$1201,0))&lt;&gt;C363,"Nome diferente em outro deck — revisar",""))</f>
        <v/>
      </c>
      <c r="J363" s="16" t="str">
        <f aca="false">IF(AND(B363&lt;&gt;"",A363=BULK!$A$1,N(F363)&gt;0),MAX(J$1:J362)+1,"")</f>
        <v/>
      </c>
      <c r="K363" s="11" t="str">
        <f aca="false">IF(B363="","",IFERROR(LEFT(B363,FIND("-",B363)-1),B363))</f>
        <v/>
      </c>
      <c r="L363" s="11" t="str">
        <f aca="false">IF(K363="","",IF(ISNUMBER(--MID(K363,1,1)),0,IF(ISNUMBER(--MID(K363,2,1)),1,IF(ISNUMBER(--MID(K363,3,1)),2,IF(ISNUMBER(--MID(K363,4,1)),3,MIN(LEN(K363),4))))))</f>
        <v/>
      </c>
      <c r="M363" s="11" t="str">
        <f aca="false">IF(B363="","",LEFT(K363,L363)&amp;REPT("0",4-L363)&amp;RIGHT("000"&amp;IFERROR(VALUE(MID(K363,L363+1,9)),0),3)&amp;RIGHT("0000"&amp;IFERROR(VALUE(MID(B363,FIND("-",B363)+1,9)),0),4))</f>
        <v/>
      </c>
      <c r="N363" s="11" t="str">
        <f aca="false">IF(OR(B363="",N(F363)&lt;=0),"",IF('FALTAS POR DECK'!$P$1="Código","K"&amp;M363&amp;RIGHT("00000"&amp;ROW(),5),IF('FALTAS POR DECK'!$P$1="Nome","K"&amp;UPPER(SUBSTITUTE(SUBSTITUTE(SUBSTITUTE(C363,"*",""),"?",""),"~",""))&amp;"0"&amp;M363&amp;RIGHT("00000"&amp;ROW(),5),IF('FALTAS POR DECK'!$P$1="Falta (maior primeiro)","K"&amp;RIGHT("0000"&amp;(9999-F363),4)&amp;M363&amp;RIGHT("00000"&amp;ROW(),5),IF('FALTAS POR DECK'!$P$1="Deck e código","K"&amp;RIGHT("00"&amp;IFERROR(MATCH(A363,_LEITURA!$P$2:$P$21,0),99),2)&amp;M363&amp;RIGHT("00000"&amp;ROW(),5),"K"&amp;RIGHT("00000"&amp;ROW(),5))))))</f>
        <v/>
      </c>
      <c r="O363" s="16" t="str">
        <f aca="false">IF(N363="","",COUNTIFS($N$2:$N$1201,"&lt;"&amp;N363,$F$2:$F$1201,"&gt;0")+1)</f>
        <v/>
      </c>
    </row>
    <row r="364" customFormat="false" ht="15" hidden="false" customHeight="false" outlineLevel="0" collapsed="false">
      <c r="A364" s="11" t="str">
        <f aca="false">IF(_LEITURA!$N364="","",INDEX(_LEITURA!$K$2:$K$1201,_LEITURA!$N364))</f>
        <v/>
      </c>
      <c r="B364" s="11" t="str">
        <f aca="false">IF(_LEITURA!$N364="","",INDEX(_LEITURA!$E$2:$E$1201,_LEITURA!$N364))</f>
        <v/>
      </c>
      <c r="C364" s="11" t="str">
        <f aca="false">IF(_LEITURA!$N364="","",INDEX(_LEITURA!$J$2:$J$1201,_LEITURA!$N364))</f>
        <v/>
      </c>
      <c r="D364" s="16" t="str">
        <f aca="false">IF(_LEITURA!$N364="","",INDEX(_LEITURA!$G$2:$G$1201,_LEITURA!$N364))</f>
        <v/>
      </c>
      <c r="E364" s="16" t="str">
        <f aca="false">IF(B364="","",SUMIFS(INVENTÁRIO!$C$2:$C$801,INVENTÁRIO!$A$2:$A$801,B364))</f>
        <v/>
      </c>
      <c r="F364" s="16" t="str">
        <f aca="false">IF(B364="","",MAX(0,D364-E364))</f>
        <v/>
      </c>
      <c r="G364" s="16" t="str">
        <f aca="false">IF(B364="","",IF(COUNTIFS($B$2:$B$1201,B364,$A$2:$A$1201,"&lt;&gt;"&amp;A364)&gt;0,"Sim",""))</f>
        <v/>
      </c>
      <c r="H364" s="16" t="str">
        <f aca="false">IF(N(F364)&gt;0,MAX(H$1:H363)+1,"")</f>
        <v/>
      </c>
      <c r="I364" s="11" t="str">
        <f aca="false">IF(B364="","",IF(INDEX($C$2:$C$1201,MATCH(B364,$B$2:$B$1201,0))&lt;&gt;C364,"Nome diferente em outro deck — revisar",""))</f>
        <v/>
      </c>
      <c r="J364" s="16" t="str">
        <f aca="false">IF(AND(B364&lt;&gt;"",A364=BULK!$A$1,N(F364)&gt;0),MAX(J$1:J363)+1,"")</f>
        <v/>
      </c>
      <c r="K364" s="11" t="str">
        <f aca="false">IF(B364="","",IFERROR(LEFT(B364,FIND("-",B364)-1),B364))</f>
        <v/>
      </c>
      <c r="L364" s="11" t="str">
        <f aca="false">IF(K364="","",IF(ISNUMBER(--MID(K364,1,1)),0,IF(ISNUMBER(--MID(K364,2,1)),1,IF(ISNUMBER(--MID(K364,3,1)),2,IF(ISNUMBER(--MID(K364,4,1)),3,MIN(LEN(K364),4))))))</f>
        <v/>
      </c>
      <c r="M364" s="11" t="str">
        <f aca="false">IF(B364="","",LEFT(K364,L364)&amp;REPT("0",4-L364)&amp;RIGHT("000"&amp;IFERROR(VALUE(MID(K364,L364+1,9)),0),3)&amp;RIGHT("0000"&amp;IFERROR(VALUE(MID(B364,FIND("-",B364)+1,9)),0),4))</f>
        <v/>
      </c>
      <c r="N364" s="11" t="str">
        <f aca="false">IF(OR(B364="",N(F364)&lt;=0),"",IF('FALTAS POR DECK'!$P$1="Código","K"&amp;M364&amp;RIGHT("00000"&amp;ROW(),5),IF('FALTAS POR DECK'!$P$1="Nome","K"&amp;UPPER(SUBSTITUTE(SUBSTITUTE(SUBSTITUTE(C364,"*",""),"?",""),"~",""))&amp;"0"&amp;M364&amp;RIGHT("00000"&amp;ROW(),5),IF('FALTAS POR DECK'!$P$1="Falta (maior primeiro)","K"&amp;RIGHT("0000"&amp;(9999-F364),4)&amp;M364&amp;RIGHT("00000"&amp;ROW(),5),IF('FALTAS POR DECK'!$P$1="Deck e código","K"&amp;RIGHT("00"&amp;IFERROR(MATCH(A364,_LEITURA!$P$2:$P$21,0),99),2)&amp;M364&amp;RIGHT("00000"&amp;ROW(),5),"K"&amp;RIGHT("00000"&amp;ROW(),5))))))</f>
        <v/>
      </c>
      <c r="O364" s="16" t="str">
        <f aca="false">IF(N364="","",COUNTIFS($N$2:$N$1201,"&lt;"&amp;N364,$F$2:$F$1201,"&gt;0")+1)</f>
        <v/>
      </c>
    </row>
    <row r="365" customFormat="false" ht="15" hidden="false" customHeight="false" outlineLevel="0" collapsed="false">
      <c r="A365" s="11" t="str">
        <f aca="false">IF(_LEITURA!$N365="","",INDEX(_LEITURA!$K$2:$K$1201,_LEITURA!$N365))</f>
        <v/>
      </c>
      <c r="B365" s="11" t="str">
        <f aca="false">IF(_LEITURA!$N365="","",INDEX(_LEITURA!$E$2:$E$1201,_LEITURA!$N365))</f>
        <v/>
      </c>
      <c r="C365" s="11" t="str">
        <f aca="false">IF(_LEITURA!$N365="","",INDEX(_LEITURA!$J$2:$J$1201,_LEITURA!$N365))</f>
        <v/>
      </c>
      <c r="D365" s="16" t="str">
        <f aca="false">IF(_LEITURA!$N365="","",INDEX(_LEITURA!$G$2:$G$1201,_LEITURA!$N365))</f>
        <v/>
      </c>
      <c r="E365" s="16" t="str">
        <f aca="false">IF(B365="","",SUMIFS(INVENTÁRIO!$C$2:$C$801,INVENTÁRIO!$A$2:$A$801,B365))</f>
        <v/>
      </c>
      <c r="F365" s="16" t="str">
        <f aca="false">IF(B365="","",MAX(0,D365-E365))</f>
        <v/>
      </c>
      <c r="G365" s="16" t="str">
        <f aca="false">IF(B365="","",IF(COUNTIFS($B$2:$B$1201,B365,$A$2:$A$1201,"&lt;&gt;"&amp;A365)&gt;0,"Sim",""))</f>
        <v/>
      </c>
      <c r="H365" s="16" t="str">
        <f aca="false">IF(N(F365)&gt;0,MAX(H$1:H364)+1,"")</f>
        <v/>
      </c>
      <c r="I365" s="11" t="str">
        <f aca="false">IF(B365="","",IF(INDEX($C$2:$C$1201,MATCH(B365,$B$2:$B$1201,0))&lt;&gt;C365,"Nome diferente em outro deck — revisar",""))</f>
        <v/>
      </c>
      <c r="J365" s="16" t="str">
        <f aca="false">IF(AND(B365&lt;&gt;"",A365=BULK!$A$1,N(F365)&gt;0),MAX(J$1:J364)+1,"")</f>
        <v/>
      </c>
      <c r="K365" s="11" t="str">
        <f aca="false">IF(B365="","",IFERROR(LEFT(B365,FIND("-",B365)-1),B365))</f>
        <v/>
      </c>
      <c r="L365" s="11" t="str">
        <f aca="false">IF(K365="","",IF(ISNUMBER(--MID(K365,1,1)),0,IF(ISNUMBER(--MID(K365,2,1)),1,IF(ISNUMBER(--MID(K365,3,1)),2,IF(ISNUMBER(--MID(K365,4,1)),3,MIN(LEN(K365),4))))))</f>
        <v/>
      </c>
      <c r="M365" s="11" t="str">
        <f aca="false">IF(B365="","",LEFT(K365,L365)&amp;REPT("0",4-L365)&amp;RIGHT("000"&amp;IFERROR(VALUE(MID(K365,L365+1,9)),0),3)&amp;RIGHT("0000"&amp;IFERROR(VALUE(MID(B365,FIND("-",B365)+1,9)),0),4))</f>
        <v/>
      </c>
      <c r="N365" s="11" t="str">
        <f aca="false">IF(OR(B365="",N(F365)&lt;=0),"",IF('FALTAS POR DECK'!$P$1="Código","K"&amp;M365&amp;RIGHT("00000"&amp;ROW(),5),IF('FALTAS POR DECK'!$P$1="Nome","K"&amp;UPPER(SUBSTITUTE(SUBSTITUTE(SUBSTITUTE(C365,"*",""),"?",""),"~",""))&amp;"0"&amp;M365&amp;RIGHT("00000"&amp;ROW(),5),IF('FALTAS POR DECK'!$P$1="Falta (maior primeiro)","K"&amp;RIGHT("0000"&amp;(9999-F365),4)&amp;M365&amp;RIGHT("00000"&amp;ROW(),5),IF('FALTAS POR DECK'!$P$1="Deck e código","K"&amp;RIGHT("00"&amp;IFERROR(MATCH(A365,_LEITURA!$P$2:$P$21,0),99),2)&amp;M365&amp;RIGHT("00000"&amp;ROW(),5),"K"&amp;RIGHT("00000"&amp;ROW(),5))))))</f>
        <v/>
      </c>
      <c r="O365" s="16" t="str">
        <f aca="false">IF(N365="","",COUNTIFS($N$2:$N$1201,"&lt;"&amp;N365,$F$2:$F$1201,"&gt;0")+1)</f>
        <v/>
      </c>
    </row>
    <row r="366" customFormat="false" ht="15" hidden="false" customHeight="false" outlineLevel="0" collapsed="false">
      <c r="A366" s="11" t="str">
        <f aca="false">IF(_LEITURA!$N366="","",INDEX(_LEITURA!$K$2:$K$1201,_LEITURA!$N366))</f>
        <v/>
      </c>
      <c r="B366" s="11" t="str">
        <f aca="false">IF(_LEITURA!$N366="","",INDEX(_LEITURA!$E$2:$E$1201,_LEITURA!$N366))</f>
        <v/>
      </c>
      <c r="C366" s="11" t="str">
        <f aca="false">IF(_LEITURA!$N366="","",INDEX(_LEITURA!$J$2:$J$1201,_LEITURA!$N366))</f>
        <v/>
      </c>
      <c r="D366" s="16" t="str">
        <f aca="false">IF(_LEITURA!$N366="","",INDEX(_LEITURA!$G$2:$G$1201,_LEITURA!$N366))</f>
        <v/>
      </c>
      <c r="E366" s="16" t="str">
        <f aca="false">IF(B366="","",SUMIFS(INVENTÁRIO!$C$2:$C$801,INVENTÁRIO!$A$2:$A$801,B366))</f>
        <v/>
      </c>
      <c r="F366" s="16" t="str">
        <f aca="false">IF(B366="","",MAX(0,D366-E366))</f>
        <v/>
      </c>
      <c r="G366" s="16" t="str">
        <f aca="false">IF(B366="","",IF(COUNTIFS($B$2:$B$1201,B366,$A$2:$A$1201,"&lt;&gt;"&amp;A366)&gt;0,"Sim",""))</f>
        <v/>
      </c>
      <c r="H366" s="16" t="str">
        <f aca="false">IF(N(F366)&gt;0,MAX(H$1:H365)+1,"")</f>
        <v/>
      </c>
      <c r="I366" s="11" t="str">
        <f aca="false">IF(B366="","",IF(INDEX($C$2:$C$1201,MATCH(B366,$B$2:$B$1201,0))&lt;&gt;C366,"Nome diferente em outro deck — revisar",""))</f>
        <v/>
      </c>
      <c r="J366" s="16" t="str">
        <f aca="false">IF(AND(B366&lt;&gt;"",A366=BULK!$A$1,N(F366)&gt;0),MAX(J$1:J365)+1,"")</f>
        <v/>
      </c>
      <c r="K366" s="11" t="str">
        <f aca="false">IF(B366="","",IFERROR(LEFT(B366,FIND("-",B366)-1),B366))</f>
        <v/>
      </c>
      <c r="L366" s="11" t="str">
        <f aca="false">IF(K366="","",IF(ISNUMBER(--MID(K366,1,1)),0,IF(ISNUMBER(--MID(K366,2,1)),1,IF(ISNUMBER(--MID(K366,3,1)),2,IF(ISNUMBER(--MID(K366,4,1)),3,MIN(LEN(K366),4))))))</f>
        <v/>
      </c>
      <c r="M366" s="11" t="str">
        <f aca="false">IF(B366="","",LEFT(K366,L366)&amp;REPT("0",4-L366)&amp;RIGHT("000"&amp;IFERROR(VALUE(MID(K366,L366+1,9)),0),3)&amp;RIGHT("0000"&amp;IFERROR(VALUE(MID(B366,FIND("-",B366)+1,9)),0),4))</f>
        <v/>
      </c>
      <c r="N366" s="11" t="str">
        <f aca="false">IF(OR(B366="",N(F366)&lt;=0),"",IF('FALTAS POR DECK'!$P$1="Código","K"&amp;M366&amp;RIGHT("00000"&amp;ROW(),5),IF('FALTAS POR DECK'!$P$1="Nome","K"&amp;UPPER(SUBSTITUTE(SUBSTITUTE(SUBSTITUTE(C366,"*",""),"?",""),"~",""))&amp;"0"&amp;M366&amp;RIGHT("00000"&amp;ROW(),5),IF('FALTAS POR DECK'!$P$1="Falta (maior primeiro)","K"&amp;RIGHT("0000"&amp;(9999-F366),4)&amp;M366&amp;RIGHT("00000"&amp;ROW(),5),IF('FALTAS POR DECK'!$P$1="Deck e código","K"&amp;RIGHT("00"&amp;IFERROR(MATCH(A366,_LEITURA!$P$2:$P$21,0),99),2)&amp;M366&amp;RIGHT("00000"&amp;ROW(),5),"K"&amp;RIGHT("00000"&amp;ROW(),5))))))</f>
        <v/>
      </c>
      <c r="O366" s="16" t="str">
        <f aca="false">IF(N366="","",COUNTIFS($N$2:$N$1201,"&lt;"&amp;N366,$F$2:$F$1201,"&gt;0")+1)</f>
        <v/>
      </c>
    </row>
    <row r="367" customFormat="false" ht="15" hidden="false" customHeight="false" outlineLevel="0" collapsed="false">
      <c r="A367" s="11" t="str">
        <f aca="false">IF(_LEITURA!$N367="","",INDEX(_LEITURA!$K$2:$K$1201,_LEITURA!$N367))</f>
        <v/>
      </c>
      <c r="B367" s="11" t="str">
        <f aca="false">IF(_LEITURA!$N367="","",INDEX(_LEITURA!$E$2:$E$1201,_LEITURA!$N367))</f>
        <v/>
      </c>
      <c r="C367" s="11" t="str">
        <f aca="false">IF(_LEITURA!$N367="","",INDEX(_LEITURA!$J$2:$J$1201,_LEITURA!$N367))</f>
        <v/>
      </c>
      <c r="D367" s="16" t="str">
        <f aca="false">IF(_LEITURA!$N367="","",INDEX(_LEITURA!$G$2:$G$1201,_LEITURA!$N367))</f>
        <v/>
      </c>
      <c r="E367" s="16" t="str">
        <f aca="false">IF(B367="","",SUMIFS(INVENTÁRIO!$C$2:$C$801,INVENTÁRIO!$A$2:$A$801,B367))</f>
        <v/>
      </c>
      <c r="F367" s="16" t="str">
        <f aca="false">IF(B367="","",MAX(0,D367-E367))</f>
        <v/>
      </c>
      <c r="G367" s="16" t="str">
        <f aca="false">IF(B367="","",IF(COUNTIFS($B$2:$B$1201,B367,$A$2:$A$1201,"&lt;&gt;"&amp;A367)&gt;0,"Sim",""))</f>
        <v/>
      </c>
      <c r="H367" s="16" t="str">
        <f aca="false">IF(N(F367)&gt;0,MAX(H$1:H366)+1,"")</f>
        <v/>
      </c>
      <c r="I367" s="11" t="str">
        <f aca="false">IF(B367="","",IF(INDEX($C$2:$C$1201,MATCH(B367,$B$2:$B$1201,0))&lt;&gt;C367,"Nome diferente em outro deck — revisar",""))</f>
        <v/>
      </c>
      <c r="J367" s="16" t="str">
        <f aca="false">IF(AND(B367&lt;&gt;"",A367=BULK!$A$1,N(F367)&gt;0),MAX(J$1:J366)+1,"")</f>
        <v/>
      </c>
      <c r="K367" s="11" t="str">
        <f aca="false">IF(B367="","",IFERROR(LEFT(B367,FIND("-",B367)-1),B367))</f>
        <v/>
      </c>
      <c r="L367" s="11" t="str">
        <f aca="false">IF(K367="","",IF(ISNUMBER(--MID(K367,1,1)),0,IF(ISNUMBER(--MID(K367,2,1)),1,IF(ISNUMBER(--MID(K367,3,1)),2,IF(ISNUMBER(--MID(K367,4,1)),3,MIN(LEN(K367),4))))))</f>
        <v/>
      </c>
      <c r="M367" s="11" t="str">
        <f aca="false">IF(B367="","",LEFT(K367,L367)&amp;REPT("0",4-L367)&amp;RIGHT("000"&amp;IFERROR(VALUE(MID(K367,L367+1,9)),0),3)&amp;RIGHT("0000"&amp;IFERROR(VALUE(MID(B367,FIND("-",B367)+1,9)),0),4))</f>
        <v/>
      </c>
      <c r="N367" s="11" t="str">
        <f aca="false">IF(OR(B367="",N(F367)&lt;=0),"",IF('FALTAS POR DECK'!$P$1="Código","K"&amp;M367&amp;RIGHT("00000"&amp;ROW(),5),IF('FALTAS POR DECK'!$P$1="Nome","K"&amp;UPPER(SUBSTITUTE(SUBSTITUTE(SUBSTITUTE(C367,"*",""),"?",""),"~",""))&amp;"0"&amp;M367&amp;RIGHT("00000"&amp;ROW(),5),IF('FALTAS POR DECK'!$P$1="Falta (maior primeiro)","K"&amp;RIGHT("0000"&amp;(9999-F367),4)&amp;M367&amp;RIGHT("00000"&amp;ROW(),5),IF('FALTAS POR DECK'!$P$1="Deck e código","K"&amp;RIGHT("00"&amp;IFERROR(MATCH(A367,_LEITURA!$P$2:$P$21,0),99),2)&amp;M367&amp;RIGHT("00000"&amp;ROW(),5),"K"&amp;RIGHT("00000"&amp;ROW(),5))))))</f>
        <v/>
      </c>
      <c r="O367" s="16" t="str">
        <f aca="false">IF(N367="","",COUNTIFS($N$2:$N$1201,"&lt;"&amp;N367,$F$2:$F$1201,"&gt;0")+1)</f>
        <v/>
      </c>
    </row>
    <row r="368" customFormat="false" ht="15" hidden="false" customHeight="false" outlineLevel="0" collapsed="false">
      <c r="A368" s="11" t="str">
        <f aca="false">IF(_LEITURA!$N368="","",INDEX(_LEITURA!$K$2:$K$1201,_LEITURA!$N368))</f>
        <v/>
      </c>
      <c r="B368" s="11" t="str">
        <f aca="false">IF(_LEITURA!$N368="","",INDEX(_LEITURA!$E$2:$E$1201,_LEITURA!$N368))</f>
        <v/>
      </c>
      <c r="C368" s="11" t="str">
        <f aca="false">IF(_LEITURA!$N368="","",INDEX(_LEITURA!$J$2:$J$1201,_LEITURA!$N368))</f>
        <v/>
      </c>
      <c r="D368" s="16" t="str">
        <f aca="false">IF(_LEITURA!$N368="","",INDEX(_LEITURA!$G$2:$G$1201,_LEITURA!$N368))</f>
        <v/>
      </c>
      <c r="E368" s="16" t="str">
        <f aca="false">IF(B368="","",SUMIFS(INVENTÁRIO!$C$2:$C$801,INVENTÁRIO!$A$2:$A$801,B368))</f>
        <v/>
      </c>
      <c r="F368" s="16" t="str">
        <f aca="false">IF(B368="","",MAX(0,D368-E368))</f>
        <v/>
      </c>
      <c r="G368" s="16" t="str">
        <f aca="false">IF(B368="","",IF(COUNTIFS($B$2:$B$1201,B368,$A$2:$A$1201,"&lt;&gt;"&amp;A368)&gt;0,"Sim",""))</f>
        <v/>
      </c>
      <c r="H368" s="16" t="str">
        <f aca="false">IF(N(F368)&gt;0,MAX(H$1:H367)+1,"")</f>
        <v/>
      </c>
      <c r="I368" s="11" t="str">
        <f aca="false">IF(B368="","",IF(INDEX($C$2:$C$1201,MATCH(B368,$B$2:$B$1201,0))&lt;&gt;C368,"Nome diferente em outro deck — revisar",""))</f>
        <v/>
      </c>
      <c r="J368" s="16" t="str">
        <f aca="false">IF(AND(B368&lt;&gt;"",A368=BULK!$A$1,N(F368)&gt;0),MAX(J$1:J367)+1,"")</f>
        <v/>
      </c>
      <c r="K368" s="11" t="str">
        <f aca="false">IF(B368="","",IFERROR(LEFT(B368,FIND("-",B368)-1),B368))</f>
        <v/>
      </c>
      <c r="L368" s="11" t="str">
        <f aca="false">IF(K368="","",IF(ISNUMBER(--MID(K368,1,1)),0,IF(ISNUMBER(--MID(K368,2,1)),1,IF(ISNUMBER(--MID(K368,3,1)),2,IF(ISNUMBER(--MID(K368,4,1)),3,MIN(LEN(K368),4))))))</f>
        <v/>
      </c>
      <c r="M368" s="11" t="str">
        <f aca="false">IF(B368="","",LEFT(K368,L368)&amp;REPT("0",4-L368)&amp;RIGHT("000"&amp;IFERROR(VALUE(MID(K368,L368+1,9)),0),3)&amp;RIGHT("0000"&amp;IFERROR(VALUE(MID(B368,FIND("-",B368)+1,9)),0),4))</f>
        <v/>
      </c>
      <c r="N368" s="11" t="str">
        <f aca="false">IF(OR(B368="",N(F368)&lt;=0),"",IF('FALTAS POR DECK'!$P$1="Código","K"&amp;M368&amp;RIGHT("00000"&amp;ROW(),5),IF('FALTAS POR DECK'!$P$1="Nome","K"&amp;UPPER(SUBSTITUTE(SUBSTITUTE(SUBSTITUTE(C368,"*",""),"?",""),"~",""))&amp;"0"&amp;M368&amp;RIGHT("00000"&amp;ROW(),5),IF('FALTAS POR DECK'!$P$1="Falta (maior primeiro)","K"&amp;RIGHT("0000"&amp;(9999-F368),4)&amp;M368&amp;RIGHT("00000"&amp;ROW(),5),IF('FALTAS POR DECK'!$P$1="Deck e código","K"&amp;RIGHT("00"&amp;IFERROR(MATCH(A368,_LEITURA!$P$2:$P$21,0),99),2)&amp;M368&amp;RIGHT("00000"&amp;ROW(),5),"K"&amp;RIGHT("00000"&amp;ROW(),5))))))</f>
        <v/>
      </c>
      <c r="O368" s="16" t="str">
        <f aca="false">IF(N368="","",COUNTIFS($N$2:$N$1201,"&lt;"&amp;N368,$F$2:$F$1201,"&gt;0")+1)</f>
        <v/>
      </c>
    </row>
    <row r="369" customFormat="false" ht="15" hidden="false" customHeight="false" outlineLevel="0" collapsed="false">
      <c r="A369" s="11" t="str">
        <f aca="false">IF(_LEITURA!$N369="","",INDEX(_LEITURA!$K$2:$K$1201,_LEITURA!$N369))</f>
        <v/>
      </c>
      <c r="B369" s="11" t="str">
        <f aca="false">IF(_LEITURA!$N369="","",INDEX(_LEITURA!$E$2:$E$1201,_LEITURA!$N369))</f>
        <v/>
      </c>
      <c r="C369" s="11" t="str">
        <f aca="false">IF(_LEITURA!$N369="","",INDEX(_LEITURA!$J$2:$J$1201,_LEITURA!$N369))</f>
        <v/>
      </c>
      <c r="D369" s="16" t="str">
        <f aca="false">IF(_LEITURA!$N369="","",INDEX(_LEITURA!$G$2:$G$1201,_LEITURA!$N369))</f>
        <v/>
      </c>
      <c r="E369" s="16" t="str">
        <f aca="false">IF(B369="","",SUMIFS(INVENTÁRIO!$C$2:$C$801,INVENTÁRIO!$A$2:$A$801,B369))</f>
        <v/>
      </c>
      <c r="F369" s="16" t="str">
        <f aca="false">IF(B369="","",MAX(0,D369-E369))</f>
        <v/>
      </c>
      <c r="G369" s="16" t="str">
        <f aca="false">IF(B369="","",IF(COUNTIFS($B$2:$B$1201,B369,$A$2:$A$1201,"&lt;&gt;"&amp;A369)&gt;0,"Sim",""))</f>
        <v/>
      </c>
      <c r="H369" s="16" t="str">
        <f aca="false">IF(N(F369)&gt;0,MAX(H$1:H368)+1,"")</f>
        <v/>
      </c>
      <c r="I369" s="11" t="str">
        <f aca="false">IF(B369="","",IF(INDEX($C$2:$C$1201,MATCH(B369,$B$2:$B$1201,0))&lt;&gt;C369,"Nome diferente em outro deck — revisar",""))</f>
        <v/>
      </c>
      <c r="J369" s="16" t="str">
        <f aca="false">IF(AND(B369&lt;&gt;"",A369=BULK!$A$1,N(F369)&gt;0),MAX(J$1:J368)+1,"")</f>
        <v/>
      </c>
      <c r="K369" s="11" t="str">
        <f aca="false">IF(B369="","",IFERROR(LEFT(B369,FIND("-",B369)-1),B369))</f>
        <v/>
      </c>
      <c r="L369" s="11" t="str">
        <f aca="false">IF(K369="","",IF(ISNUMBER(--MID(K369,1,1)),0,IF(ISNUMBER(--MID(K369,2,1)),1,IF(ISNUMBER(--MID(K369,3,1)),2,IF(ISNUMBER(--MID(K369,4,1)),3,MIN(LEN(K369),4))))))</f>
        <v/>
      </c>
      <c r="M369" s="11" t="str">
        <f aca="false">IF(B369="","",LEFT(K369,L369)&amp;REPT("0",4-L369)&amp;RIGHT("000"&amp;IFERROR(VALUE(MID(K369,L369+1,9)),0),3)&amp;RIGHT("0000"&amp;IFERROR(VALUE(MID(B369,FIND("-",B369)+1,9)),0),4))</f>
        <v/>
      </c>
      <c r="N369" s="11" t="str">
        <f aca="false">IF(OR(B369="",N(F369)&lt;=0),"",IF('FALTAS POR DECK'!$P$1="Código","K"&amp;M369&amp;RIGHT("00000"&amp;ROW(),5),IF('FALTAS POR DECK'!$P$1="Nome","K"&amp;UPPER(SUBSTITUTE(SUBSTITUTE(SUBSTITUTE(C369,"*",""),"?",""),"~",""))&amp;"0"&amp;M369&amp;RIGHT("00000"&amp;ROW(),5),IF('FALTAS POR DECK'!$P$1="Falta (maior primeiro)","K"&amp;RIGHT("0000"&amp;(9999-F369),4)&amp;M369&amp;RIGHT("00000"&amp;ROW(),5),IF('FALTAS POR DECK'!$P$1="Deck e código","K"&amp;RIGHT("00"&amp;IFERROR(MATCH(A369,_LEITURA!$P$2:$P$21,0),99),2)&amp;M369&amp;RIGHT("00000"&amp;ROW(),5),"K"&amp;RIGHT("00000"&amp;ROW(),5))))))</f>
        <v/>
      </c>
      <c r="O369" s="16" t="str">
        <f aca="false">IF(N369="","",COUNTIFS($N$2:$N$1201,"&lt;"&amp;N369,$F$2:$F$1201,"&gt;0")+1)</f>
        <v/>
      </c>
    </row>
    <row r="370" customFormat="false" ht="15" hidden="false" customHeight="false" outlineLevel="0" collapsed="false">
      <c r="A370" s="11" t="str">
        <f aca="false">IF(_LEITURA!$N370="","",INDEX(_LEITURA!$K$2:$K$1201,_LEITURA!$N370))</f>
        <v/>
      </c>
      <c r="B370" s="11" t="str">
        <f aca="false">IF(_LEITURA!$N370="","",INDEX(_LEITURA!$E$2:$E$1201,_LEITURA!$N370))</f>
        <v/>
      </c>
      <c r="C370" s="11" t="str">
        <f aca="false">IF(_LEITURA!$N370="","",INDEX(_LEITURA!$J$2:$J$1201,_LEITURA!$N370))</f>
        <v/>
      </c>
      <c r="D370" s="16" t="str">
        <f aca="false">IF(_LEITURA!$N370="","",INDEX(_LEITURA!$G$2:$G$1201,_LEITURA!$N370))</f>
        <v/>
      </c>
      <c r="E370" s="16" t="str">
        <f aca="false">IF(B370="","",SUMIFS(INVENTÁRIO!$C$2:$C$801,INVENTÁRIO!$A$2:$A$801,B370))</f>
        <v/>
      </c>
      <c r="F370" s="16" t="str">
        <f aca="false">IF(B370="","",MAX(0,D370-E370))</f>
        <v/>
      </c>
      <c r="G370" s="16" t="str">
        <f aca="false">IF(B370="","",IF(COUNTIFS($B$2:$B$1201,B370,$A$2:$A$1201,"&lt;&gt;"&amp;A370)&gt;0,"Sim",""))</f>
        <v/>
      </c>
      <c r="H370" s="16" t="str">
        <f aca="false">IF(N(F370)&gt;0,MAX(H$1:H369)+1,"")</f>
        <v/>
      </c>
      <c r="I370" s="11" t="str">
        <f aca="false">IF(B370="","",IF(INDEX($C$2:$C$1201,MATCH(B370,$B$2:$B$1201,0))&lt;&gt;C370,"Nome diferente em outro deck — revisar",""))</f>
        <v/>
      </c>
      <c r="J370" s="16" t="str">
        <f aca="false">IF(AND(B370&lt;&gt;"",A370=BULK!$A$1,N(F370)&gt;0),MAX(J$1:J369)+1,"")</f>
        <v/>
      </c>
      <c r="K370" s="11" t="str">
        <f aca="false">IF(B370="","",IFERROR(LEFT(B370,FIND("-",B370)-1),B370))</f>
        <v/>
      </c>
      <c r="L370" s="11" t="str">
        <f aca="false">IF(K370="","",IF(ISNUMBER(--MID(K370,1,1)),0,IF(ISNUMBER(--MID(K370,2,1)),1,IF(ISNUMBER(--MID(K370,3,1)),2,IF(ISNUMBER(--MID(K370,4,1)),3,MIN(LEN(K370),4))))))</f>
        <v/>
      </c>
      <c r="M370" s="11" t="str">
        <f aca="false">IF(B370="","",LEFT(K370,L370)&amp;REPT("0",4-L370)&amp;RIGHT("000"&amp;IFERROR(VALUE(MID(K370,L370+1,9)),0),3)&amp;RIGHT("0000"&amp;IFERROR(VALUE(MID(B370,FIND("-",B370)+1,9)),0),4))</f>
        <v/>
      </c>
      <c r="N370" s="11" t="str">
        <f aca="false">IF(OR(B370="",N(F370)&lt;=0),"",IF('FALTAS POR DECK'!$P$1="Código","K"&amp;M370&amp;RIGHT("00000"&amp;ROW(),5),IF('FALTAS POR DECK'!$P$1="Nome","K"&amp;UPPER(SUBSTITUTE(SUBSTITUTE(SUBSTITUTE(C370,"*",""),"?",""),"~",""))&amp;"0"&amp;M370&amp;RIGHT("00000"&amp;ROW(),5),IF('FALTAS POR DECK'!$P$1="Falta (maior primeiro)","K"&amp;RIGHT("0000"&amp;(9999-F370),4)&amp;M370&amp;RIGHT("00000"&amp;ROW(),5),IF('FALTAS POR DECK'!$P$1="Deck e código","K"&amp;RIGHT("00"&amp;IFERROR(MATCH(A370,_LEITURA!$P$2:$P$21,0),99),2)&amp;M370&amp;RIGHT("00000"&amp;ROW(),5),"K"&amp;RIGHT("00000"&amp;ROW(),5))))))</f>
        <v/>
      </c>
      <c r="O370" s="16" t="str">
        <f aca="false">IF(N370="","",COUNTIFS($N$2:$N$1201,"&lt;"&amp;N370,$F$2:$F$1201,"&gt;0")+1)</f>
        <v/>
      </c>
    </row>
    <row r="371" customFormat="false" ht="15" hidden="false" customHeight="false" outlineLevel="0" collapsed="false">
      <c r="A371" s="11" t="str">
        <f aca="false">IF(_LEITURA!$N371="","",INDEX(_LEITURA!$K$2:$K$1201,_LEITURA!$N371))</f>
        <v/>
      </c>
      <c r="B371" s="11" t="str">
        <f aca="false">IF(_LEITURA!$N371="","",INDEX(_LEITURA!$E$2:$E$1201,_LEITURA!$N371))</f>
        <v/>
      </c>
      <c r="C371" s="11" t="str">
        <f aca="false">IF(_LEITURA!$N371="","",INDEX(_LEITURA!$J$2:$J$1201,_LEITURA!$N371))</f>
        <v/>
      </c>
      <c r="D371" s="16" t="str">
        <f aca="false">IF(_LEITURA!$N371="","",INDEX(_LEITURA!$G$2:$G$1201,_LEITURA!$N371))</f>
        <v/>
      </c>
      <c r="E371" s="16" t="str">
        <f aca="false">IF(B371="","",SUMIFS(INVENTÁRIO!$C$2:$C$801,INVENTÁRIO!$A$2:$A$801,B371))</f>
        <v/>
      </c>
      <c r="F371" s="16" t="str">
        <f aca="false">IF(B371="","",MAX(0,D371-E371))</f>
        <v/>
      </c>
      <c r="G371" s="16" t="str">
        <f aca="false">IF(B371="","",IF(COUNTIFS($B$2:$B$1201,B371,$A$2:$A$1201,"&lt;&gt;"&amp;A371)&gt;0,"Sim",""))</f>
        <v/>
      </c>
      <c r="H371" s="16" t="str">
        <f aca="false">IF(N(F371)&gt;0,MAX(H$1:H370)+1,"")</f>
        <v/>
      </c>
      <c r="I371" s="11" t="str">
        <f aca="false">IF(B371="","",IF(INDEX($C$2:$C$1201,MATCH(B371,$B$2:$B$1201,0))&lt;&gt;C371,"Nome diferente em outro deck — revisar",""))</f>
        <v/>
      </c>
      <c r="J371" s="16" t="str">
        <f aca="false">IF(AND(B371&lt;&gt;"",A371=BULK!$A$1,N(F371)&gt;0),MAX(J$1:J370)+1,"")</f>
        <v/>
      </c>
      <c r="K371" s="11" t="str">
        <f aca="false">IF(B371="","",IFERROR(LEFT(B371,FIND("-",B371)-1),B371))</f>
        <v/>
      </c>
      <c r="L371" s="11" t="str">
        <f aca="false">IF(K371="","",IF(ISNUMBER(--MID(K371,1,1)),0,IF(ISNUMBER(--MID(K371,2,1)),1,IF(ISNUMBER(--MID(K371,3,1)),2,IF(ISNUMBER(--MID(K371,4,1)),3,MIN(LEN(K371),4))))))</f>
        <v/>
      </c>
      <c r="M371" s="11" t="str">
        <f aca="false">IF(B371="","",LEFT(K371,L371)&amp;REPT("0",4-L371)&amp;RIGHT("000"&amp;IFERROR(VALUE(MID(K371,L371+1,9)),0),3)&amp;RIGHT("0000"&amp;IFERROR(VALUE(MID(B371,FIND("-",B371)+1,9)),0),4))</f>
        <v/>
      </c>
      <c r="N371" s="11" t="str">
        <f aca="false">IF(OR(B371="",N(F371)&lt;=0),"",IF('FALTAS POR DECK'!$P$1="Código","K"&amp;M371&amp;RIGHT("00000"&amp;ROW(),5),IF('FALTAS POR DECK'!$P$1="Nome","K"&amp;UPPER(SUBSTITUTE(SUBSTITUTE(SUBSTITUTE(C371,"*",""),"?",""),"~",""))&amp;"0"&amp;M371&amp;RIGHT("00000"&amp;ROW(),5),IF('FALTAS POR DECK'!$P$1="Falta (maior primeiro)","K"&amp;RIGHT("0000"&amp;(9999-F371),4)&amp;M371&amp;RIGHT("00000"&amp;ROW(),5),IF('FALTAS POR DECK'!$P$1="Deck e código","K"&amp;RIGHT("00"&amp;IFERROR(MATCH(A371,_LEITURA!$P$2:$P$21,0),99),2)&amp;M371&amp;RIGHT("00000"&amp;ROW(),5),"K"&amp;RIGHT("00000"&amp;ROW(),5))))))</f>
        <v/>
      </c>
      <c r="O371" s="16" t="str">
        <f aca="false">IF(N371="","",COUNTIFS($N$2:$N$1201,"&lt;"&amp;N371,$F$2:$F$1201,"&gt;0")+1)</f>
        <v/>
      </c>
    </row>
    <row r="372" customFormat="false" ht="15" hidden="false" customHeight="false" outlineLevel="0" collapsed="false">
      <c r="A372" s="11" t="str">
        <f aca="false">IF(_LEITURA!$N372="","",INDEX(_LEITURA!$K$2:$K$1201,_LEITURA!$N372))</f>
        <v/>
      </c>
      <c r="B372" s="11" t="str">
        <f aca="false">IF(_LEITURA!$N372="","",INDEX(_LEITURA!$E$2:$E$1201,_LEITURA!$N372))</f>
        <v/>
      </c>
      <c r="C372" s="11" t="str">
        <f aca="false">IF(_LEITURA!$N372="","",INDEX(_LEITURA!$J$2:$J$1201,_LEITURA!$N372))</f>
        <v/>
      </c>
      <c r="D372" s="16" t="str">
        <f aca="false">IF(_LEITURA!$N372="","",INDEX(_LEITURA!$G$2:$G$1201,_LEITURA!$N372))</f>
        <v/>
      </c>
      <c r="E372" s="16" t="str">
        <f aca="false">IF(B372="","",SUMIFS(INVENTÁRIO!$C$2:$C$801,INVENTÁRIO!$A$2:$A$801,B372))</f>
        <v/>
      </c>
      <c r="F372" s="16" t="str">
        <f aca="false">IF(B372="","",MAX(0,D372-E372))</f>
        <v/>
      </c>
      <c r="G372" s="16" t="str">
        <f aca="false">IF(B372="","",IF(COUNTIFS($B$2:$B$1201,B372,$A$2:$A$1201,"&lt;&gt;"&amp;A372)&gt;0,"Sim",""))</f>
        <v/>
      </c>
      <c r="H372" s="16" t="str">
        <f aca="false">IF(N(F372)&gt;0,MAX(H$1:H371)+1,"")</f>
        <v/>
      </c>
      <c r="I372" s="11" t="str">
        <f aca="false">IF(B372="","",IF(INDEX($C$2:$C$1201,MATCH(B372,$B$2:$B$1201,0))&lt;&gt;C372,"Nome diferente em outro deck — revisar",""))</f>
        <v/>
      </c>
      <c r="J372" s="16" t="str">
        <f aca="false">IF(AND(B372&lt;&gt;"",A372=BULK!$A$1,N(F372)&gt;0),MAX(J$1:J371)+1,"")</f>
        <v/>
      </c>
      <c r="K372" s="11" t="str">
        <f aca="false">IF(B372="","",IFERROR(LEFT(B372,FIND("-",B372)-1),B372))</f>
        <v/>
      </c>
      <c r="L372" s="11" t="str">
        <f aca="false">IF(K372="","",IF(ISNUMBER(--MID(K372,1,1)),0,IF(ISNUMBER(--MID(K372,2,1)),1,IF(ISNUMBER(--MID(K372,3,1)),2,IF(ISNUMBER(--MID(K372,4,1)),3,MIN(LEN(K372),4))))))</f>
        <v/>
      </c>
      <c r="M372" s="11" t="str">
        <f aca="false">IF(B372="","",LEFT(K372,L372)&amp;REPT("0",4-L372)&amp;RIGHT("000"&amp;IFERROR(VALUE(MID(K372,L372+1,9)),0),3)&amp;RIGHT("0000"&amp;IFERROR(VALUE(MID(B372,FIND("-",B372)+1,9)),0),4))</f>
        <v/>
      </c>
      <c r="N372" s="11" t="str">
        <f aca="false">IF(OR(B372="",N(F372)&lt;=0),"",IF('FALTAS POR DECK'!$P$1="Código","K"&amp;M372&amp;RIGHT("00000"&amp;ROW(),5),IF('FALTAS POR DECK'!$P$1="Nome","K"&amp;UPPER(SUBSTITUTE(SUBSTITUTE(SUBSTITUTE(C372,"*",""),"?",""),"~",""))&amp;"0"&amp;M372&amp;RIGHT("00000"&amp;ROW(),5),IF('FALTAS POR DECK'!$P$1="Falta (maior primeiro)","K"&amp;RIGHT("0000"&amp;(9999-F372),4)&amp;M372&amp;RIGHT("00000"&amp;ROW(),5),IF('FALTAS POR DECK'!$P$1="Deck e código","K"&amp;RIGHT("00"&amp;IFERROR(MATCH(A372,_LEITURA!$P$2:$P$21,0),99),2)&amp;M372&amp;RIGHT("00000"&amp;ROW(),5),"K"&amp;RIGHT("00000"&amp;ROW(),5))))))</f>
        <v/>
      </c>
      <c r="O372" s="16" t="str">
        <f aca="false">IF(N372="","",COUNTIFS($N$2:$N$1201,"&lt;"&amp;N372,$F$2:$F$1201,"&gt;0")+1)</f>
        <v/>
      </c>
    </row>
    <row r="373" customFormat="false" ht="15" hidden="false" customHeight="false" outlineLevel="0" collapsed="false">
      <c r="A373" s="11" t="str">
        <f aca="false">IF(_LEITURA!$N373="","",INDEX(_LEITURA!$K$2:$K$1201,_LEITURA!$N373))</f>
        <v/>
      </c>
      <c r="B373" s="11" t="str">
        <f aca="false">IF(_LEITURA!$N373="","",INDEX(_LEITURA!$E$2:$E$1201,_LEITURA!$N373))</f>
        <v/>
      </c>
      <c r="C373" s="11" t="str">
        <f aca="false">IF(_LEITURA!$N373="","",INDEX(_LEITURA!$J$2:$J$1201,_LEITURA!$N373))</f>
        <v/>
      </c>
      <c r="D373" s="16" t="str">
        <f aca="false">IF(_LEITURA!$N373="","",INDEX(_LEITURA!$G$2:$G$1201,_LEITURA!$N373))</f>
        <v/>
      </c>
      <c r="E373" s="16" t="str">
        <f aca="false">IF(B373="","",SUMIFS(INVENTÁRIO!$C$2:$C$801,INVENTÁRIO!$A$2:$A$801,B373))</f>
        <v/>
      </c>
      <c r="F373" s="16" t="str">
        <f aca="false">IF(B373="","",MAX(0,D373-E373))</f>
        <v/>
      </c>
      <c r="G373" s="16" t="str">
        <f aca="false">IF(B373="","",IF(COUNTIFS($B$2:$B$1201,B373,$A$2:$A$1201,"&lt;&gt;"&amp;A373)&gt;0,"Sim",""))</f>
        <v/>
      </c>
      <c r="H373" s="16" t="str">
        <f aca="false">IF(N(F373)&gt;0,MAX(H$1:H372)+1,"")</f>
        <v/>
      </c>
      <c r="I373" s="11" t="str">
        <f aca="false">IF(B373="","",IF(INDEX($C$2:$C$1201,MATCH(B373,$B$2:$B$1201,0))&lt;&gt;C373,"Nome diferente em outro deck — revisar",""))</f>
        <v/>
      </c>
      <c r="J373" s="16" t="str">
        <f aca="false">IF(AND(B373&lt;&gt;"",A373=BULK!$A$1,N(F373)&gt;0),MAX(J$1:J372)+1,"")</f>
        <v/>
      </c>
      <c r="K373" s="11" t="str">
        <f aca="false">IF(B373="","",IFERROR(LEFT(B373,FIND("-",B373)-1),B373))</f>
        <v/>
      </c>
      <c r="L373" s="11" t="str">
        <f aca="false">IF(K373="","",IF(ISNUMBER(--MID(K373,1,1)),0,IF(ISNUMBER(--MID(K373,2,1)),1,IF(ISNUMBER(--MID(K373,3,1)),2,IF(ISNUMBER(--MID(K373,4,1)),3,MIN(LEN(K373),4))))))</f>
        <v/>
      </c>
      <c r="M373" s="11" t="str">
        <f aca="false">IF(B373="","",LEFT(K373,L373)&amp;REPT("0",4-L373)&amp;RIGHT("000"&amp;IFERROR(VALUE(MID(K373,L373+1,9)),0),3)&amp;RIGHT("0000"&amp;IFERROR(VALUE(MID(B373,FIND("-",B373)+1,9)),0),4))</f>
        <v/>
      </c>
      <c r="N373" s="11" t="str">
        <f aca="false">IF(OR(B373="",N(F373)&lt;=0),"",IF('FALTAS POR DECK'!$P$1="Código","K"&amp;M373&amp;RIGHT("00000"&amp;ROW(),5),IF('FALTAS POR DECK'!$P$1="Nome","K"&amp;UPPER(SUBSTITUTE(SUBSTITUTE(SUBSTITUTE(C373,"*",""),"?",""),"~",""))&amp;"0"&amp;M373&amp;RIGHT("00000"&amp;ROW(),5),IF('FALTAS POR DECK'!$P$1="Falta (maior primeiro)","K"&amp;RIGHT("0000"&amp;(9999-F373),4)&amp;M373&amp;RIGHT("00000"&amp;ROW(),5),IF('FALTAS POR DECK'!$P$1="Deck e código","K"&amp;RIGHT("00"&amp;IFERROR(MATCH(A373,_LEITURA!$P$2:$P$21,0),99),2)&amp;M373&amp;RIGHT("00000"&amp;ROW(),5),"K"&amp;RIGHT("00000"&amp;ROW(),5))))))</f>
        <v/>
      </c>
      <c r="O373" s="16" t="str">
        <f aca="false">IF(N373="","",COUNTIFS($N$2:$N$1201,"&lt;"&amp;N373,$F$2:$F$1201,"&gt;0")+1)</f>
        <v/>
      </c>
    </row>
    <row r="374" customFormat="false" ht="15" hidden="false" customHeight="false" outlineLevel="0" collapsed="false">
      <c r="A374" s="11" t="str">
        <f aca="false">IF(_LEITURA!$N374="","",INDEX(_LEITURA!$K$2:$K$1201,_LEITURA!$N374))</f>
        <v/>
      </c>
      <c r="B374" s="11" t="str">
        <f aca="false">IF(_LEITURA!$N374="","",INDEX(_LEITURA!$E$2:$E$1201,_LEITURA!$N374))</f>
        <v/>
      </c>
      <c r="C374" s="11" t="str">
        <f aca="false">IF(_LEITURA!$N374="","",INDEX(_LEITURA!$J$2:$J$1201,_LEITURA!$N374))</f>
        <v/>
      </c>
      <c r="D374" s="16" t="str">
        <f aca="false">IF(_LEITURA!$N374="","",INDEX(_LEITURA!$G$2:$G$1201,_LEITURA!$N374))</f>
        <v/>
      </c>
      <c r="E374" s="16" t="str">
        <f aca="false">IF(B374="","",SUMIFS(INVENTÁRIO!$C$2:$C$801,INVENTÁRIO!$A$2:$A$801,B374))</f>
        <v/>
      </c>
      <c r="F374" s="16" t="str">
        <f aca="false">IF(B374="","",MAX(0,D374-E374))</f>
        <v/>
      </c>
      <c r="G374" s="16" t="str">
        <f aca="false">IF(B374="","",IF(COUNTIFS($B$2:$B$1201,B374,$A$2:$A$1201,"&lt;&gt;"&amp;A374)&gt;0,"Sim",""))</f>
        <v/>
      </c>
      <c r="H374" s="16" t="str">
        <f aca="false">IF(N(F374)&gt;0,MAX(H$1:H373)+1,"")</f>
        <v/>
      </c>
      <c r="I374" s="11" t="str">
        <f aca="false">IF(B374="","",IF(INDEX($C$2:$C$1201,MATCH(B374,$B$2:$B$1201,0))&lt;&gt;C374,"Nome diferente em outro deck — revisar",""))</f>
        <v/>
      </c>
      <c r="J374" s="16" t="str">
        <f aca="false">IF(AND(B374&lt;&gt;"",A374=BULK!$A$1,N(F374)&gt;0),MAX(J$1:J373)+1,"")</f>
        <v/>
      </c>
      <c r="K374" s="11" t="str">
        <f aca="false">IF(B374="","",IFERROR(LEFT(B374,FIND("-",B374)-1),B374))</f>
        <v/>
      </c>
      <c r="L374" s="11" t="str">
        <f aca="false">IF(K374="","",IF(ISNUMBER(--MID(K374,1,1)),0,IF(ISNUMBER(--MID(K374,2,1)),1,IF(ISNUMBER(--MID(K374,3,1)),2,IF(ISNUMBER(--MID(K374,4,1)),3,MIN(LEN(K374),4))))))</f>
        <v/>
      </c>
      <c r="M374" s="11" t="str">
        <f aca="false">IF(B374="","",LEFT(K374,L374)&amp;REPT("0",4-L374)&amp;RIGHT("000"&amp;IFERROR(VALUE(MID(K374,L374+1,9)),0),3)&amp;RIGHT("0000"&amp;IFERROR(VALUE(MID(B374,FIND("-",B374)+1,9)),0),4))</f>
        <v/>
      </c>
      <c r="N374" s="11" t="str">
        <f aca="false">IF(OR(B374="",N(F374)&lt;=0),"",IF('FALTAS POR DECK'!$P$1="Código","K"&amp;M374&amp;RIGHT("00000"&amp;ROW(),5),IF('FALTAS POR DECK'!$P$1="Nome","K"&amp;UPPER(SUBSTITUTE(SUBSTITUTE(SUBSTITUTE(C374,"*",""),"?",""),"~",""))&amp;"0"&amp;M374&amp;RIGHT("00000"&amp;ROW(),5),IF('FALTAS POR DECK'!$P$1="Falta (maior primeiro)","K"&amp;RIGHT("0000"&amp;(9999-F374),4)&amp;M374&amp;RIGHT("00000"&amp;ROW(),5),IF('FALTAS POR DECK'!$P$1="Deck e código","K"&amp;RIGHT("00"&amp;IFERROR(MATCH(A374,_LEITURA!$P$2:$P$21,0),99),2)&amp;M374&amp;RIGHT("00000"&amp;ROW(),5),"K"&amp;RIGHT("00000"&amp;ROW(),5))))))</f>
        <v/>
      </c>
      <c r="O374" s="16" t="str">
        <f aca="false">IF(N374="","",COUNTIFS($N$2:$N$1201,"&lt;"&amp;N374,$F$2:$F$1201,"&gt;0")+1)</f>
        <v/>
      </c>
    </row>
    <row r="375" customFormat="false" ht="15" hidden="false" customHeight="false" outlineLevel="0" collapsed="false">
      <c r="A375" s="11" t="str">
        <f aca="false">IF(_LEITURA!$N375="","",INDEX(_LEITURA!$K$2:$K$1201,_LEITURA!$N375))</f>
        <v/>
      </c>
      <c r="B375" s="11" t="str">
        <f aca="false">IF(_LEITURA!$N375="","",INDEX(_LEITURA!$E$2:$E$1201,_LEITURA!$N375))</f>
        <v/>
      </c>
      <c r="C375" s="11" t="str">
        <f aca="false">IF(_LEITURA!$N375="","",INDEX(_LEITURA!$J$2:$J$1201,_LEITURA!$N375))</f>
        <v/>
      </c>
      <c r="D375" s="16" t="str">
        <f aca="false">IF(_LEITURA!$N375="","",INDEX(_LEITURA!$G$2:$G$1201,_LEITURA!$N375))</f>
        <v/>
      </c>
      <c r="E375" s="16" t="str">
        <f aca="false">IF(B375="","",SUMIFS(INVENTÁRIO!$C$2:$C$801,INVENTÁRIO!$A$2:$A$801,B375))</f>
        <v/>
      </c>
      <c r="F375" s="16" t="str">
        <f aca="false">IF(B375="","",MAX(0,D375-E375))</f>
        <v/>
      </c>
      <c r="G375" s="16" t="str">
        <f aca="false">IF(B375="","",IF(COUNTIFS($B$2:$B$1201,B375,$A$2:$A$1201,"&lt;&gt;"&amp;A375)&gt;0,"Sim",""))</f>
        <v/>
      </c>
      <c r="H375" s="16" t="str">
        <f aca="false">IF(N(F375)&gt;0,MAX(H$1:H374)+1,"")</f>
        <v/>
      </c>
      <c r="I375" s="11" t="str">
        <f aca="false">IF(B375="","",IF(INDEX($C$2:$C$1201,MATCH(B375,$B$2:$B$1201,0))&lt;&gt;C375,"Nome diferente em outro deck — revisar",""))</f>
        <v/>
      </c>
      <c r="J375" s="16" t="str">
        <f aca="false">IF(AND(B375&lt;&gt;"",A375=BULK!$A$1,N(F375)&gt;0),MAX(J$1:J374)+1,"")</f>
        <v/>
      </c>
      <c r="K375" s="11" t="str">
        <f aca="false">IF(B375="","",IFERROR(LEFT(B375,FIND("-",B375)-1),B375))</f>
        <v/>
      </c>
      <c r="L375" s="11" t="str">
        <f aca="false">IF(K375="","",IF(ISNUMBER(--MID(K375,1,1)),0,IF(ISNUMBER(--MID(K375,2,1)),1,IF(ISNUMBER(--MID(K375,3,1)),2,IF(ISNUMBER(--MID(K375,4,1)),3,MIN(LEN(K375),4))))))</f>
        <v/>
      </c>
      <c r="M375" s="11" t="str">
        <f aca="false">IF(B375="","",LEFT(K375,L375)&amp;REPT("0",4-L375)&amp;RIGHT("000"&amp;IFERROR(VALUE(MID(K375,L375+1,9)),0),3)&amp;RIGHT("0000"&amp;IFERROR(VALUE(MID(B375,FIND("-",B375)+1,9)),0),4))</f>
        <v/>
      </c>
      <c r="N375" s="11" t="str">
        <f aca="false">IF(OR(B375="",N(F375)&lt;=0),"",IF('FALTAS POR DECK'!$P$1="Código","K"&amp;M375&amp;RIGHT("00000"&amp;ROW(),5),IF('FALTAS POR DECK'!$P$1="Nome","K"&amp;UPPER(SUBSTITUTE(SUBSTITUTE(SUBSTITUTE(C375,"*",""),"?",""),"~",""))&amp;"0"&amp;M375&amp;RIGHT("00000"&amp;ROW(),5),IF('FALTAS POR DECK'!$P$1="Falta (maior primeiro)","K"&amp;RIGHT("0000"&amp;(9999-F375),4)&amp;M375&amp;RIGHT("00000"&amp;ROW(),5),IF('FALTAS POR DECK'!$P$1="Deck e código","K"&amp;RIGHT("00"&amp;IFERROR(MATCH(A375,_LEITURA!$P$2:$P$21,0),99),2)&amp;M375&amp;RIGHT("00000"&amp;ROW(),5),"K"&amp;RIGHT("00000"&amp;ROW(),5))))))</f>
        <v/>
      </c>
      <c r="O375" s="16" t="str">
        <f aca="false">IF(N375="","",COUNTIFS($N$2:$N$1201,"&lt;"&amp;N375,$F$2:$F$1201,"&gt;0")+1)</f>
        <v/>
      </c>
    </row>
    <row r="376" customFormat="false" ht="15" hidden="false" customHeight="false" outlineLevel="0" collapsed="false">
      <c r="A376" s="11" t="str">
        <f aca="false">IF(_LEITURA!$N376="","",INDEX(_LEITURA!$K$2:$K$1201,_LEITURA!$N376))</f>
        <v/>
      </c>
      <c r="B376" s="11" t="str">
        <f aca="false">IF(_LEITURA!$N376="","",INDEX(_LEITURA!$E$2:$E$1201,_LEITURA!$N376))</f>
        <v/>
      </c>
      <c r="C376" s="11" t="str">
        <f aca="false">IF(_LEITURA!$N376="","",INDEX(_LEITURA!$J$2:$J$1201,_LEITURA!$N376))</f>
        <v/>
      </c>
      <c r="D376" s="16" t="str">
        <f aca="false">IF(_LEITURA!$N376="","",INDEX(_LEITURA!$G$2:$G$1201,_LEITURA!$N376))</f>
        <v/>
      </c>
      <c r="E376" s="16" t="str">
        <f aca="false">IF(B376="","",SUMIFS(INVENTÁRIO!$C$2:$C$801,INVENTÁRIO!$A$2:$A$801,B376))</f>
        <v/>
      </c>
      <c r="F376" s="16" t="str">
        <f aca="false">IF(B376="","",MAX(0,D376-E376))</f>
        <v/>
      </c>
      <c r="G376" s="16" t="str">
        <f aca="false">IF(B376="","",IF(COUNTIFS($B$2:$B$1201,B376,$A$2:$A$1201,"&lt;&gt;"&amp;A376)&gt;0,"Sim",""))</f>
        <v/>
      </c>
      <c r="H376" s="16" t="str">
        <f aca="false">IF(N(F376)&gt;0,MAX(H$1:H375)+1,"")</f>
        <v/>
      </c>
      <c r="I376" s="11" t="str">
        <f aca="false">IF(B376="","",IF(INDEX($C$2:$C$1201,MATCH(B376,$B$2:$B$1201,0))&lt;&gt;C376,"Nome diferente em outro deck — revisar",""))</f>
        <v/>
      </c>
      <c r="J376" s="16" t="str">
        <f aca="false">IF(AND(B376&lt;&gt;"",A376=BULK!$A$1,N(F376)&gt;0),MAX(J$1:J375)+1,"")</f>
        <v/>
      </c>
      <c r="K376" s="11" t="str">
        <f aca="false">IF(B376="","",IFERROR(LEFT(B376,FIND("-",B376)-1),B376))</f>
        <v/>
      </c>
      <c r="L376" s="11" t="str">
        <f aca="false">IF(K376="","",IF(ISNUMBER(--MID(K376,1,1)),0,IF(ISNUMBER(--MID(K376,2,1)),1,IF(ISNUMBER(--MID(K376,3,1)),2,IF(ISNUMBER(--MID(K376,4,1)),3,MIN(LEN(K376),4))))))</f>
        <v/>
      </c>
      <c r="M376" s="11" t="str">
        <f aca="false">IF(B376="","",LEFT(K376,L376)&amp;REPT("0",4-L376)&amp;RIGHT("000"&amp;IFERROR(VALUE(MID(K376,L376+1,9)),0),3)&amp;RIGHT("0000"&amp;IFERROR(VALUE(MID(B376,FIND("-",B376)+1,9)),0),4))</f>
        <v/>
      </c>
      <c r="N376" s="11" t="str">
        <f aca="false">IF(OR(B376="",N(F376)&lt;=0),"",IF('FALTAS POR DECK'!$P$1="Código","K"&amp;M376&amp;RIGHT("00000"&amp;ROW(),5),IF('FALTAS POR DECK'!$P$1="Nome","K"&amp;UPPER(SUBSTITUTE(SUBSTITUTE(SUBSTITUTE(C376,"*",""),"?",""),"~",""))&amp;"0"&amp;M376&amp;RIGHT("00000"&amp;ROW(),5),IF('FALTAS POR DECK'!$P$1="Falta (maior primeiro)","K"&amp;RIGHT("0000"&amp;(9999-F376),4)&amp;M376&amp;RIGHT("00000"&amp;ROW(),5),IF('FALTAS POR DECK'!$P$1="Deck e código","K"&amp;RIGHT("00"&amp;IFERROR(MATCH(A376,_LEITURA!$P$2:$P$21,0),99),2)&amp;M376&amp;RIGHT("00000"&amp;ROW(),5),"K"&amp;RIGHT("00000"&amp;ROW(),5))))))</f>
        <v/>
      </c>
      <c r="O376" s="16" t="str">
        <f aca="false">IF(N376="","",COUNTIFS($N$2:$N$1201,"&lt;"&amp;N376,$F$2:$F$1201,"&gt;0")+1)</f>
        <v/>
      </c>
    </row>
    <row r="377" customFormat="false" ht="15" hidden="false" customHeight="false" outlineLevel="0" collapsed="false">
      <c r="A377" s="11" t="str">
        <f aca="false">IF(_LEITURA!$N377="","",INDEX(_LEITURA!$K$2:$K$1201,_LEITURA!$N377))</f>
        <v/>
      </c>
      <c r="B377" s="11" t="str">
        <f aca="false">IF(_LEITURA!$N377="","",INDEX(_LEITURA!$E$2:$E$1201,_LEITURA!$N377))</f>
        <v/>
      </c>
      <c r="C377" s="11" t="str">
        <f aca="false">IF(_LEITURA!$N377="","",INDEX(_LEITURA!$J$2:$J$1201,_LEITURA!$N377))</f>
        <v/>
      </c>
      <c r="D377" s="16" t="str">
        <f aca="false">IF(_LEITURA!$N377="","",INDEX(_LEITURA!$G$2:$G$1201,_LEITURA!$N377))</f>
        <v/>
      </c>
      <c r="E377" s="16" t="str">
        <f aca="false">IF(B377="","",SUMIFS(INVENTÁRIO!$C$2:$C$801,INVENTÁRIO!$A$2:$A$801,B377))</f>
        <v/>
      </c>
      <c r="F377" s="16" t="str">
        <f aca="false">IF(B377="","",MAX(0,D377-E377))</f>
        <v/>
      </c>
      <c r="G377" s="16" t="str">
        <f aca="false">IF(B377="","",IF(COUNTIFS($B$2:$B$1201,B377,$A$2:$A$1201,"&lt;&gt;"&amp;A377)&gt;0,"Sim",""))</f>
        <v/>
      </c>
      <c r="H377" s="16" t="str">
        <f aca="false">IF(N(F377)&gt;0,MAX(H$1:H376)+1,"")</f>
        <v/>
      </c>
      <c r="I377" s="11" t="str">
        <f aca="false">IF(B377="","",IF(INDEX($C$2:$C$1201,MATCH(B377,$B$2:$B$1201,0))&lt;&gt;C377,"Nome diferente em outro deck — revisar",""))</f>
        <v/>
      </c>
      <c r="J377" s="16" t="str">
        <f aca="false">IF(AND(B377&lt;&gt;"",A377=BULK!$A$1,N(F377)&gt;0),MAX(J$1:J376)+1,"")</f>
        <v/>
      </c>
      <c r="K377" s="11" t="str">
        <f aca="false">IF(B377="","",IFERROR(LEFT(B377,FIND("-",B377)-1),B377))</f>
        <v/>
      </c>
      <c r="L377" s="11" t="str">
        <f aca="false">IF(K377="","",IF(ISNUMBER(--MID(K377,1,1)),0,IF(ISNUMBER(--MID(K377,2,1)),1,IF(ISNUMBER(--MID(K377,3,1)),2,IF(ISNUMBER(--MID(K377,4,1)),3,MIN(LEN(K377),4))))))</f>
        <v/>
      </c>
      <c r="M377" s="11" t="str">
        <f aca="false">IF(B377="","",LEFT(K377,L377)&amp;REPT("0",4-L377)&amp;RIGHT("000"&amp;IFERROR(VALUE(MID(K377,L377+1,9)),0),3)&amp;RIGHT("0000"&amp;IFERROR(VALUE(MID(B377,FIND("-",B377)+1,9)),0),4))</f>
        <v/>
      </c>
      <c r="N377" s="11" t="str">
        <f aca="false">IF(OR(B377="",N(F377)&lt;=0),"",IF('FALTAS POR DECK'!$P$1="Código","K"&amp;M377&amp;RIGHT("00000"&amp;ROW(),5),IF('FALTAS POR DECK'!$P$1="Nome","K"&amp;UPPER(SUBSTITUTE(SUBSTITUTE(SUBSTITUTE(C377,"*",""),"?",""),"~",""))&amp;"0"&amp;M377&amp;RIGHT("00000"&amp;ROW(),5),IF('FALTAS POR DECK'!$P$1="Falta (maior primeiro)","K"&amp;RIGHT("0000"&amp;(9999-F377),4)&amp;M377&amp;RIGHT("00000"&amp;ROW(),5),IF('FALTAS POR DECK'!$P$1="Deck e código","K"&amp;RIGHT("00"&amp;IFERROR(MATCH(A377,_LEITURA!$P$2:$P$21,0),99),2)&amp;M377&amp;RIGHT("00000"&amp;ROW(),5),"K"&amp;RIGHT("00000"&amp;ROW(),5))))))</f>
        <v/>
      </c>
      <c r="O377" s="16" t="str">
        <f aca="false">IF(N377="","",COUNTIFS($N$2:$N$1201,"&lt;"&amp;N377,$F$2:$F$1201,"&gt;0")+1)</f>
        <v/>
      </c>
    </row>
    <row r="378" customFormat="false" ht="15" hidden="false" customHeight="false" outlineLevel="0" collapsed="false">
      <c r="A378" s="11" t="str">
        <f aca="false">IF(_LEITURA!$N378="","",INDEX(_LEITURA!$K$2:$K$1201,_LEITURA!$N378))</f>
        <v/>
      </c>
      <c r="B378" s="11" t="str">
        <f aca="false">IF(_LEITURA!$N378="","",INDEX(_LEITURA!$E$2:$E$1201,_LEITURA!$N378))</f>
        <v/>
      </c>
      <c r="C378" s="11" t="str">
        <f aca="false">IF(_LEITURA!$N378="","",INDEX(_LEITURA!$J$2:$J$1201,_LEITURA!$N378))</f>
        <v/>
      </c>
      <c r="D378" s="16" t="str">
        <f aca="false">IF(_LEITURA!$N378="","",INDEX(_LEITURA!$G$2:$G$1201,_LEITURA!$N378))</f>
        <v/>
      </c>
      <c r="E378" s="16" t="str">
        <f aca="false">IF(B378="","",SUMIFS(INVENTÁRIO!$C$2:$C$801,INVENTÁRIO!$A$2:$A$801,B378))</f>
        <v/>
      </c>
      <c r="F378" s="16" t="str">
        <f aca="false">IF(B378="","",MAX(0,D378-E378))</f>
        <v/>
      </c>
      <c r="G378" s="16" t="str">
        <f aca="false">IF(B378="","",IF(COUNTIFS($B$2:$B$1201,B378,$A$2:$A$1201,"&lt;&gt;"&amp;A378)&gt;0,"Sim",""))</f>
        <v/>
      </c>
      <c r="H378" s="16" t="str">
        <f aca="false">IF(N(F378)&gt;0,MAX(H$1:H377)+1,"")</f>
        <v/>
      </c>
      <c r="I378" s="11" t="str">
        <f aca="false">IF(B378="","",IF(INDEX($C$2:$C$1201,MATCH(B378,$B$2:$B$1201,0))&lt;&gt;C378,"Nome diferente em outro deck — revisar",""))</f>
        <v/>
      </c>
      <c r="J378" s="16" t="str">
        <f aca="false">IF(AND(B378&lt;&gt;"",A378=BULK!$A$1,N(F378)&gt;0),MAX(J$1:J377)+1,"")</f>
        <v/>
      </c>
      <c r="K378" s="11" t="str">
        <f aca="false">IF(B378="","",IFERROR(LEFT(B378,FIND("-",B378)-1),B378))</f>
        <v/>
      </c>
      <c r="L378" s="11" t="str">
        <f aca="false">IF(K378="","",IF(ISNUMBER(--MID(K378,1,1)),0,IF(ISNUMBER(--MID(K378,2,1)),1,IF(ISNUMBER(--MID(K378,3,1)),2,IF(ISNUMBER(--MID(K378,4,1)),3,MIN(LEN(K378),4))))))</f>
        <v/>
      </c>
      <c r="M378" s="11" t="str">
        <f aca="false">IF(B378="","",LEFT(K378,L378)&amp;REPT("0",4-L378)&amp;RIGHT("000"&amp;IFERROR(VALUE(MID(K378,L378+1,9)),0),3)&amp;RIGHT("0000"&amp;IFERROR(VALUE(MID(B378,FIND("-",B378)+1,9)),0),4))</f>
        <v/>
      </c>
      <c r="N378" s="11" t="str">
        <f aca="false">IF(OR(B378="",N(F378)&lt;=0),"",IF('FALTAS POR DECK'!$P$1="Código","K"&amp;M378&amp;RIGHT("00000"&amp;ROW(),5),IF('FALTAS POR DECK'!$P$1="Nome","K"&amp;UPPER(SUBSTITUTE(SUBSTITUTE(SUBSTITUTE(C378,"*",""),"?",""),"~",""))&amp;"0"&amp;M378&amp;RIGHT("00000"&amp;ROW(),5),IF('FALTAS POR DECK'!$P$1="Falta (maior primeiro)","K"&amp;RIGHT("0000"&amp;(9999-F378),4)&amp;M378&amp;RIGHT("00000"&amp;ROW(),5),IF('FALTAS POR DECK'!$P$1="Deck e código","K"&amp;RIGHT("00"&amp;IFERROR(MATCH(A378,_LEITURA!$P$2:$P$21,0),99),2)&amp;M378&amp;RIGHT("00000"&amp;ROW(),5),"K"&amp;RIGHT("00000"&amp;ROW(),5))))))</f>
        <v/>
      </c>
      <c r="O378" s="16" t="str">
        <f aca="false">IF(N378="","",COUNTIFS($N$2:$N$1201,"&lt;"&amp;N378,$F$2:$F$1201,"&gt;0")+1)</f>
        <v/>
      </c>
    </row>
    <row r="379" customFormat="false" ht="15" hidden="false" customHeight="false" outlineLevel="0" collapsed="false">
      <c r="A379" s="11" t="str">
        <f aca="false">IF(_LEITURA!$N379="","",INDEX(_LEITURA!$K$2:$K$1201,_LEITURA!$N379))</f>
        <v/>
      </c>
      <c r="B379" s="11" t="str">
        <f aca="false">IF(_LEITURA!$N379="","",INDEX(_LEITURA!$E$2:$E$1201,_LEITURA!$N379))</f>
        <v/>
      </c>
      <c r="C379" s="11" t="str">
        <f aca="false">IF(_LEITURA!$N379="","",INDEX(_LEITURA!$J$2:$J$1201,_LEITURA!$N379))</f>
        <v/>
      </c>
      <c r="D379" s="16" t="str">
        <f aca="false">IF(_LEITURA!$N379="","",INDEX(_LEITURA!$G$2:$G$1201,_LEITURA!$N379))</f>
        <v/>
      </c>
      <c r="E379" s="16" t="str">
        <f aca="false">IF(B379="","",SUMIFS(INVENTÁRIO!$C$2:$C$801,INVENTÁRIO!$A$2:$A$801,B379))</f>
        <v/>
      </c>
      <c r="F379" s="16" t="str">
        <f aca="false">IF(B379="","",MAX(0,D379-E379))</f>
        <v/>
      </c>
      <c r="G379" s="16" t="str">
        <f aca="false">IF(B379="","",IF(COUNTIFS($B$2:$B$1201,B379,$A$2:$A$1201,"&lt;&gt;"&amp;A379)&gt;0,"Sim",""))</f>
        <v/>
      </c>
      <c r="H379" s="16" t="str">
        <f aca="false">IF(N(F379)&gt;0,MAX(H$1:H378)+1,"")</f>
        <v/>
      </c>
      <c r="I379" s="11" t="str">
        <f aca="false">IF(B379="","",IF(INDEX($C$2:$C$1201,MATCH(B379,$B$2:$B$1201,0))&lt;&gt;C379,"Nome diferente em outro deck — revisar",""))</f>
        <v/>
      </c>
      <c r="J379" s="16" t="str">
        <f aca="false">IF(AND(B379&lt;&gt;"",A379=BULK!$A$1,N(F379)&gt;0),MAX(J$1:J378)+1,"")</f>
        <v/>
      </c>
      <c r="K379" s="11" t="str">
        <f aca="false">IF(B379="","",IFERROR(LEFT(B379,FIND("-",B379)-1),B379))</f>
        <v/>
      </c>
      <c r="L379" s="11" t="str">
        <f aca="false">IF(K379="","",IF(ISNUMBER(--MID(K379,1,1)),0,IF(ISNUMBER(--MID(K379,2,1)),1,IF(ISNUMBER(--MID(K379,3,1)),2,IF(ISNUMBER(--MID(K379,4,1)),3,MIN(LEN(K379),4))))))</f>
        <v/>
      </c>
      <c r="M379" s="11" t="str">
        <f aca="false">IF(B379="","",LEFT(K379,L379)&amp;REPT("0",4-L379)&amp;RIGHT("000"&amp;IFERROR(VALUE(MID(K379,L379+1,9)),0),3)&amp;RIGHT("0000"&amp;IFERROR(VALUE(MID(B379,FIND("-",B379)+1,9)),0),4))</f>
        <v/>
      </c>
      <c r="N379" s="11" t="str">
        <f aca="false">IF(OR(B379="",N(F379)&lt;=0),"",IF('FALTAS POR DECK'!$P$1="Código","K"&amp;M379&amp;RIGHT("00000"&amp;ROW(),5),IF('FALTAS POR DECK'!$P$1="Nome","K"&amp;UPPER(SUBSTITUTE(SUBSTITUTE(SUBSTITUTE(C379,"*",""),"?",""),"~",""))&amp;"0"&amp;M379&amp;RIGHT("00000"&amp;ROW(),5),IF('FALTAS POR DECK'!$P$1="Falta (maior primeiro)","K"&amp;RIGHT("0000"&amp;(9999-F379),4)&amp;M379&amp;RIGHT("00000"&amp;ROW(),5),IF('FALTAS POR DECK'!$P$1="Deck e código","K"&amp;RIGHT("00"&amp;IFERROR(MATCH(A379,_LEITURA!$P$2:$P$21,0),99),2)&amp;M379&amp;RIGHT("00000"&amp;ROW(),5),"K"&amp;RIGHT("00000"&amp;ROW(),5))))))</f>
        <v/>
      </c>
      <c r="O379" s="16" t="str">
        <f aca="false">IF(N379="","",COUNTIFS($N$2:$N$1201,"&lt;"&amp;N379,$F$2:$F$1201,"&gt;0")+1)</f>
        <v/>
      </c>
    </row>
    <row r="380" customFormat="false" ht="15" hidden="false" customHeight="false" outlineLevel="0" collapsed="false">
      <c r="A380" s="11" t="str">
        <f aca="false">IF(_LEITURA!$N380="","",INDEX(_LEITURA!$K$2:$K$1201,_LEITURA!$N380))</f>
        <v/>
      </c>
      <c r="B380" s="11" t="str">
        <f aca="false">IF(_LEITURA!$N380="","",INDEX(_LEITURA!$E$2:$E$1201,_LEITURA!$N380))</f>
        <v/>
      </c>
      <c r="C380" s="11" t="str">
        <f aca="false">IF(_LEITURA!$N380="","",INDEX(_LEITURA!$J$2:$J$1201,_LEITURA!$N380))</f>
        <v/>
      </c>
      <c r="D380" s="16" t="str">
        <f aca="false">IF(_LEITURA!$N380="","",INDEX(_LEITURA!$G$2:$G$1201,_LEITURA!$N380))</f>
        <v/>
      </c>
      <c r="E380" s="16" t="str">
        <f aca="false">IF(B380="","",SUMIFS(INVENTÁRIO!$C$2:$C$801,INVENTÁRIO!$A$2:$A$801,B380))</f>
        <v/>
      </c>
      <c r="F380" s="16" t="str">
        <f aca="false">IF(B380="","",MAX(0,D380-E380))</f>
        <v/>
      </c>
      <c r="G380" s="16" t="str">
        <f aca="false">IF(B380="","",IF(COUNTIFS($B$2:$B$1201,B380,$A$2:$A$1201,"&lt;&gt;"&amp;A380)&gt;0,"Sim",""))</f>
        <v/>
      </c>
      <c r="H380" s="16" t="str">
        <f aca="false">IF(N(F380)&gt;0,MAX(H$1:H379)+1,"")</f>
        <v/>
      </c>
      <c r="I380" s="11" t="str">
        <f aca="false">IF(B380="","",IF(INDEX($C$2:$C$1201,MATCH(B380,$B$2:$B$1201,0))&lt;&gt;C380,"Nome diferente em outro deck — revisar",""))</f>
        <v/>
      </c>
      <c r="J380" s="16" t="str">
        <f aca="false">IF(AND(B380&lt;&gt;"",A380=BULK!$A$1,N(F380)&gt;0),MAX(J$1:J379)+1,"")</f>
        <v/>
      </c>
      <c r="K380" s="11" t="str">
        <f aca="false">IF(B380="","",IFERROR(LEFT(B380,FIND("-",B380)-1),B380))</f>
        <v/>
      </c>
      <c r="L380" s="11" t="str">
        <f aca="false">IF(K380="","",IF(ISNUMBER(--MID(K380,1,1)),0,IF(ISNUMBER(--MID(K380,2,1)),1,IF(ISNUMBER(--MID(K380,3,1)),2,IF(ISNUMBER(--MID(K380,4,1)),3,MIN(LEN(K380),4))))))</f>
        <v/>
      </c>
      <c r="M380" s="11" t="str">
        <f aca="false">IF(B380="","",LEFT(K380,L380)&amp;REPT("0",4-L380)&amp;RIGHT("000"&amp;IFERROR(VALUE(MID(K380,L380+1,9)),0),3)&amp;RIGHT("0000"&amp;IFERROR(VALUE(MID(B380,FIND("-",B380)+1,9)),0),4))</f>
        <v/>
      </c>
      <c r="N380" s="11" t="str">
        <f aca="false">IF(OR(B380="",N(F380)&lt;=0),"",IF('FALTAS POR DECK'!$P$1="Código","K"&amp;M380&amp;RIGHT("00000"&amp;ROW(),5),IF('FALTAS POR DECK'!$P$1="Nome","K"&amp;UPPER(SUBSTITUTE(SUBSTITUTE(SUBSTITUTE(C380,"*",""),"?",""),"~",""))&amp;"0"&amp;M380&amp;RIGHT("00000"&amp;ROW(),5),IF('FALTAS POR DECK'!$P$1="Falta (maior primeiro)","K"&amp;RIGHT("0000"&amp;(9999-F380),4)&amp;M380&amp;RIGHT("00000"&amp;ROW(),5),IF('FALTAS POR DECK'!$P$1="Deck e código","K"&amp;RIGHT("00"&amp;IFERROR(MATCH(A380,_LEITURA!$P$2:$P$21,0),99),2)&amp;M380&amp;RIGHT("00000"&amp;ROW(),5),"K"&amp;RIGHT("00000"&amp;ROW(),5))))))</f>
        <v/>
      </c>
      <c r="O380" s="16" t="str">
        <f aca="false">IF(N380="","",COUNTIFS($N$2:$N$1201,"&lt;"&amp;N380,$F$2:$F$1201,"&gt;0")+1)</f>
        <v/>
      </c>
    </row>
    <row r="381" customFormat="false" ht="15" hidden="false" customHeight="false" outlineLevel="0" collapsed="false">
      <c r="A381" s="11" t="str">
        <f aca="false">IF(_LEITURA!$N381="","",INDEX(_LEITURA!$K$2:$K$1201,_LEITURA!$N381))</f>
        <v/>
      </c>
      <c r="B381" s="11" t="str">
        <f aca="false">IF(_LEITURA!$N381="","",INDEX(_LEITURA!$E$2:$E$1201,_LEITURA!$N381))</f>
        <v/>
      </c>
      <c r="C381" s="11" t="str">
        <f aca="false">IF(_LEITURA!$N381="","",INDEX(_LEITURA!$J$2:$J$1201,_LEITURA!$N381))</f>
        <v/>
      </c>
      <c r="D381" s="16" t="str">
        <f aca="false">IF(_LEITURA!$N381="","",INDEX(_LEITURA!$G$2:$G$1201,_LEITURA!$N381))</f>
        <v/>
      </c>
      <c r="E381" s="16" t="str">
        <f aca="false">IF(B381="","",SUMIFS(INVENTÁRIO!$C$2:$C$801,INVENTÁRIO!$A$2:$A$801,B381))</f>
        <v/>
      </c>
      <c r="F381" s="16" t="str">
        <f aca="false">IF(B381="","",MAX(0,D381-E381))</f>
        <v/>
      </c>
      <c r="G381" s="16" t="str">
        <f aca="false">IF(B381="","",IF(COUNTIFS($B$2:$B$1201,B381,$A$2:$A$1201,"&lt;&gt;"&amp;A381)&gt;0,"Sim",""))</f>
        <v/>
      </c>
      <c r="H381" s="16" t="str">
        <f aca="false">IF(N(F381)&gt;0,MAX(H$1:H380)+1,"")</f>
        <v/>
      </c>
      <c r="I381" s="11" t="str">
        <f aca="false">IF(B381="","",IF(INDEX($C$2:$C$1201,MATCH(B381,$B$2:$B$1201,0))&lt;&gt;C381,"Nome diferente em outro deck — revisar",""))</f>
        <v/>
      </c>
      <c r="J381" s="16" t="str">
        <f aca="false">IF(AND(B381&lt;&gt;"",A381=BULK!$A$1,N(F381)&gt;0),MAX(J$1:J380)+1,"")</f>
        <v/>
      </c>
      <c r="K381" s="11" t="str">
        <f aca="false">IF(B381="","",IFERROR(LEFT(B381,FIND("-",B381)-1),B381))</f>
        <v/>
      </c>
      <c r="L381" s="11" t="str">
        <f aca="false">IF(K381="","",IF(ISNUMBER(--MID(K381,1,1)),0,IF(ISNUMBER(--MID(K381,2,1)),1,IF(ISNUMBER(--MID(K381,3,1)),2,IF(ISNUMBER(--MID(K381,4,1)),3,MIN(LEN(K381),4))))))</f>
        <v/>
      </c>
      <c r="M381" s="11" t="str">
        <f aca="false">IF(B381="","",LEFT(K381,L381)&amp;REPT("0",4-L381)&amp;RIGHT("000"&amp;IFERROR(VALUE(MID(K381,L381+1,9)),0),3)&amp;RIGHT("0000"&amp;IFERROR(VALUE(MID(B381,FIND("-",B381)+1,9)),0),4))</f>
        <v/>
      </c>
      <c r="N381" s="11" t="str">
        <f aca="false">IF(OR(B381="",N(F381)&lt;=0),"",IF('FALTAS POR DECK'!$P$1="Código","K"&amp;M381&amp;RIGHT("00000"&amp;ROW(),5),IF('FALTAS POR DECK'!$P$1="Nome","K"&amp;UPPER(SUBSTITUTE(SUBSTITUTE(SUBSTITUTE(C381,"*",""),"?",""),"~",""))&amp;"0"&amp;M381&amp;RIGHT("00000"&amp;ROW(),5),IF('FALTAS POR DECK'!$P$1="Falta (maior primeiro)","K"&amp;RIGHT("0000"&amp;(9999-F381),4)&amp;M381&amp;RIGHT("00000"&amp;ROW(),5),IF('FALTAS POR DECK'!$P$1="Deck e código","K"&amp;RIGHT("00"&amp;IFERROR(MATCH(A381,_LEITURA!$P$2:$P$21,0),99),2)&amp;M381&amp;RIGHT("00000"&amp;ROW(),5),"K"&amp;RIGHT("00000"&amp;ROW(),5))))))</f>
        <v/>
      </c>
      <c r="O381" s="16" t="str">
        <f aca="false">IF(N381="","",COUNTIFS($N$2:$N$1201,"&lt;"&amp;N381,$F$2:$F$1201,"&gt;0")+1)</f>
        <v/>
      </c>
    </row>
    <row r="382" customFormat="false" ht="15" hidden="false" customHeight="false" outlineLevel="0" collapsed="false">
      <c r="A382" s="11" t="str">
        <f aca="false">IF(_LEITURA!$N382="","",INDEX(_LEITURA!$K$2:$K$1201,_LEITURA!$N382))</f>
        <v/>
      </c>
      <c r="B382" s="11" t="str">
        <f aca="false">IF(_LEITURA!$N382="","",INDEX(_LEITURA!$E$2:$E$1201,_LEITURA!$N382))</f>
        <v/>
      </c>
      <c r="C382" s="11" t="str">
        <f aca="false">IF(_LEITURA!$N382="","",INDEX(_LEITURA!$J$2:$J$1201,_LEITURA!$N382))</f>
        <v/>
      </c>
      <c r="D382" s="16" t="str">
        <f aca="false">IF(_LEITURA!$N382="","",INDEX(_LEITURA!$G$2:$G$1201,_LEITURA!$N382))</f>
        <v/>
      </c>
      <c r="E382" s="16" t="str">
        <f aca="false">IF(B382="","",SUMIFS(INVENTÁRIO!$C$2:$C$801,INVENTÁRIO!$A$2:$A$801,B382))</f>
        <v/>
      </c>
      <c r="F382" s="16" t="str">
        <f aca="false">IF(B382="","",MAX(0,D382-E382))</f>
        <v/>
      </c>
      <c r="G382" s="16" t="str">
        <f aca="false">IF(B382="","",IF(COUNTIFS($B$2:$B$1201,B382,$A$2:$A$1201,"&lt;&gt;"&amp;A382)&gt;0,"Sim",""))</f>
        <v/>
      </c>
      <c r="H382" s="16" t="str">
        <f aca="false">IF(N(F382)&gt;0,MAX(H$1:H381)+1,"")</f>
        <v/>
      </c>
      <c r="I382" s="11" t="str">
        <f aca="false">IF(B382="","",IF(INDEX($C$2:$C$1201,MATCH(B382,$B$2:$B$1201,0))&lt;&gt;C382,"Nome diferente em outro deck — revisar",""))</f>
        <v/>
      </c>
      <c r="J382" s="16" t="str">
        <f aca="false">IF(AND(B382&lt;&gt;"",A382=BULK!$A$1,N(F382)&gt;0),MAX(J$1:J381)+1,"")</f>
        <v/>
      </c>
      <c r="K382" s="11" t="str">
        <f aca="false">IF(B382="","",IFERROR(LEFT(B382,FIND("-",B382)-1),B382))</f>
        <v/>
      </c>
      <c r="L382" s="11" t="str">
        <f aca="false">IF(K382="","",IF(ISNUMBER(--MID(K382,1,1)),0,IF(ISNUMBER(--MID(K382,2,1)),1,IF(ISNUMBER(--MID(K382,3,1)),2,IF(ISNUMBER(--MID(K382,4,1)),3,MIN(LEN(K382),4))))))</f>
        <v/>
      </c>
      <c r="M382" s="11" t="str">
        <f aca="false">IF(B382="","",LEFT(K382,L382)&amp;REPT("0",4-L382)&amp;RIGHT("000"&amp;IFERROR(VALUE(MID(K382,L382+1,9)),0),3)&amp;RIGHT("0000"&amp;IFERROR(VALUE(MID(B382,FIND("-",B382)+1,9)),0),4))</f>
        <v/>
      </c>
      <c r="N382" s="11" t="str">
        <f aca="false">IF(OR(B382="",N(F382)&lt;=0),"",IF('FALTAS POR DECK'!$P$1="Código","K"&amp;M382&amp;RIGHT("00000"&amp;ROW(),5),IF('FALTAS POR DECK'!$P$1="Nome","K"&amp;UPPER(SUBSTITUTE(SUBSTITUTE(SUBSTITUTE(C382,"*",""),"?",""),"~",""))&amp;"0"&amp;M382&amp;RIGHT("00000"&amp;ROW(),5),IF('FALTAS POR DECK'!$P$1="Falta (maior primeiro)","K"&amp;RIGHT("0000"&amp;(9999-F382),4)&amp;M382&amp;RIGHT("00000"&amp;ROW(),5),IF('FALTAS POR DECK'!$P$1="Deck e código","K"&amp;RIGHT("00"&amp;IFERROR(MATCH(A382,_LEITURA!$P$2:$P$21,0),99),2)&amp;M382&amp;RIGHT("00000"&amp;ROW(),5),"K"&amp;RIGHT("00000"&amp;ROW(),5))))))</f>
        <v/>
      </c>
      <c r="O382" s="16" t="str">
        <f aca="false">IF(N382="","",COUNTIFS($N$2:$N$1201,"&lt;"&amp;N382,$F$2:$F$1201,"&gt;0")+1)</f>
        <v/>
      </c>
    </row>
    <row r="383" customFormat="false" ht="15" hidden="false" customHeight="false" outlineLevel="0" collapsed="false">
      <c r="A383" s="11" t="str">
        <f aca="false">IF(_LEITURA!$N383="","",INDEX(_LEITURA!$K$2:$K$1201,_LEITURA!$N383))</f>
        <v/>
      </c>
      <c r="B383" s="11" t="str">
        <f aca="false">IF(_LEITURA!$N383="","",INDEX(_LEITURA!$E$2:$E$1201,_LEITURA!$N383))</f>
        <v/>
      </c>
      <c r="C383" s="11" t="str">
        <f aca="false">IF(_LEITURA!$N383="","",INDEX(_LEITURA!$J$2:$J$1201,_LEITURA!$N383))</f>
        <v/>
      </c>
      <c r="D383" s="16" t="str">
        <f aca="false">IF(_LEITURA!$N383="","",INDEX(_LEITURA!$G$2:$G$1201,_LEITURA!$N383))</f>
        <v/>
      </c>
      <c r="E383" s="16" t="str">
        <f aca="false">IF(B383="","",SUMIFS(INVENTÁRIO!$C$2:$C$801,INVENTÁRIO!$A$2:$A$801,B383))</f>
        <v/>
      </c>
      <c r="F383" s="16" t="str">
        <f aca="false">IF(B383="","",MAX(0,D383-E383))</f>
        <v/>
      </c>
      <c r="G383" s="16" t="str">
        <f aca="false">IF(B383="","",IF(COUNTIFS($B$2:$B$1201,B383,$A$2:$A$1201,"&lt;&gt;"&amp;A383)&gt;0,"Sim",""))</f>
        <v/>
      </c>
      <c r="H383" s="16" t="str">
        <f aca="false">IF(N(F383)&gt;0,MAX(H$1:H382)+1,"")</f>
        <v/>
      </c>
      <c r="I383" s="11" t="str">
        <f aca="false">IF(B383="","",IF(INDEX($C$2:$C$1201,MATCH(B383,$B$2:$B$1201,0))&lt;&gt;C383,"Nome diferente em outro deck — revisar",""))</f>
        <v/>
      </c>
      <c r="J383" s="16" t="str">
        <f aca="false">IF(AND(B383&lt;&gt;"",A383=BULK!$A$1,N(F383)&gt;0),MAX(J$1:J382)+1,"")</f>
        <v/>
      </c>
      <c r="K383" s="11" t="str">
        <f aca="false">IF(B383="","",IFERROR(LEFT(B383,FIND("-",B383)-1),B383))</f>
        <v/>
      </c>
      <c r="L383" s="11" t="str">
        <f aca="false">IF(K383="","",IF(ISNUMBER(--MID(K383,1,1)),0,IF(ISNUMBER(--MID(K383,2,1)),1,IF(ISNUMBER(--MID(K383,3,1)),2,IF(ISNUMBER(--MID(K383,4,1)),3,MIN(LEN(K383),4))))))</f>
        <v/>
      </c>
      <c r="M383" s="11" t="str">
        <f aca="false">IF(B383="","",LEFT(K383,L383)&amp;REPT("0",4-L383)&amp;RIGHT("000"&amp;IFERROR(VALUE(MID(K383,L383+1,9)),0),3)&amp;RIGHT("0000"&amp;IFERROR(VALUE(MID(B383,FIND("-",B383)+1,9)),0),4))</f>
        <v/>
      </c>
      <c r="N383" s="11" t="str">
        <f aca="false">IF(OR(B383="",N(F383)&lt;=0),"",IF('FALTAS POR DECK'!$P$1="Código","K"&amp;M383&amp;RIGHT("00000"&amp;ROW(),5),IF('FALTAS POR DECK'!$P$1="Nome","K"&amp;UPPER(SUBSTITUTE(SUBSTITUTE(SUBSTITUTE(C383,"*",""),"?",""),"~",""))&amp;"0"&amp;M383&amp;RIGHT("00000"&amp;ROW(),5),IF('FALTAS POR DECK'!$P$1="Falta (maior primeiro)","K"&amp;RIGHT("0000"&amp;(9999-F383),4)&amp;M383&amp;RIGHT("00000"&amp;ROW(),5),IF('FALTAS POR DECK'!$P$1="Deck e código","K"&amp;RIGHT("00"&amp;IFERROR(MATCH(A383,_LEITURA!$P$2:$P$21,0),99),2)&amp;M383&amp;RIGHT("00000"&amp;ROW(),5),"K"&amp;RIGHT("00000"&amp;ROW(),5))))))</f>
        <v/>
      </c>
      <c r="O383" s="16" t="str">
        <f aca="false">IF(N383="","",COUNTIFS($N$2:$N$1201,"&lt;"&amp;N383,$F$2:$F$1201,"&gt;0")+1)</f>
        <v/>
      </c>
    </row>
    <row r="384" customFormat="false" ht="15" hidden="false" customHeight="false" outlineLevel="0" collapsed="false">
      <c r="A384" s="11" t="str">
        <f aca="false">IF(_LEITURA!$N384="","",INDEX(_LEITURA!$K$2:$K$1201,_LEITURA!$N384))</f>
        <v/>
      </c>
      <c r="B384" s="11" t="str">
        <f aca="false">IF(_LEITURA!$N384="","",INDEX(_LEITURA!$E$2:$E$1201,_LEITURA!$N384))</f>
        <v/>
      </c>
      <c r="C384" s="11" t="str">
        <f aca="false">IF(_LEITURA!$N384="","",INDEX(_LEITURA!$J$2:$J$1201,_LEITURA!$N384))</f>
        <v/>
      </c>
      <c r="D384" s="16" t="str">
        <f aca="false">IF(_LEITURA!$N384="","",INDEX(_LEITURA!$G$2:$G$1201,_LEITURA!$N384))</f>
        <v/>
      </c>
      <c r="E384" s="16" t="str">
        <f aca="false">IF(B384="","",SUMIFS(INVENTÁRIO!$C$2:$C$801,INVENTÁRIO!$A$2:$A$801,B384))</f>
        <v/>
      </c>
      <c r="F384" s="16" t="str">
        <f aca="false">IF(B384="","",MAX(0,D384-E384))</f>
        <v/>
      </c>
      <c r="G384" s="16" t="str">
        <f aca="false">IF(B384="","",IF(COUNTIFS($B$2:$B$1201,B384,$A$2:$A$1201,"&lt;&gt;"&amp;A384)&gt;0,"Sim",""))</f>
        <v/>
      </c>
      <c r="H384" s="16" t="str">
        <f aca="false">IF(N(F384)&gt;0,MAX(H$1:H383)+1,"")</f>
        <v/>
      </c>
      <c r="I384" s="11" t="str">
        <f aca="false">IF(B384="","",IF(INDEX($C$2:$C$1201,MATCH(B384,$B$2:$B$1201,0))&lt;&gt;C384,"Nome diferente em outro deck — revisar",""))</f>
        <v/>
      </c>
      <c r="J384" s="16" t="str">
        <f aca="false">IF(AND(B384&lt;&gt;"",A384=BULK!$A$1,N(F384)&gt;0),MAX(J$1:J383)+1,"")</f>
        <v/>
      </c>
      <c r="K384" s="11" t="str">
        <f aca="false">IF(B384="","",IFERROR(LEFT(B384,FIND("-",B384)-1),B384))</f>
        <v/>
      </c>
      <c r="L384" s="11" t="str">
        <f aca="false">IF(K384="","",IF(ISNUMBER(--MID(K384,1,1)),0,IF(ISNUMBER(--MID(K384,2,1)),1,IF(ISNUMBER(--MID(K384,3,1)),2,IF(ISNUMBER(--MID(K384,4,1)),3,MIN(LEN(K384),4))))))</f>
        <v/>
      </c>
      <c r="M384" s="11" t="str">
        <f aca="false">IF(B384="","",LEFT(K384,L384)&amp;REPT("0",4-L384)&amp;RIGHT("000"&amp;IFERROR(VALUE(MID(K384,L384+1,9)),0),3)&amp;RIGHT("0000"&amp;IFERROR(VALUE(MID(B384,FIND("-",B384)+1,9)),0),4))</f>
        <v/>
      </c>
      <c r="N384" s="11" t="str">
        <f aca="false">IF(OR(B384="",N(F384)&lt;=0),"",IF('FALTAS POR DECK'!$P$1="Código","K"&amp;M384&amp;RIGHT("00000"&amp;ROW(),5),IF('FALTAS POR DECK'!$P$1="Nome","K"&amp;UPPER(SUBSTITUTE(SUBSTITUTE(SUBSTITUTE(C384,"*",""),"?",""),"~",""))&amp;"0"&amp;M384&amp;RIGHT("00000"&amp;ROW(),5),IF('FALTAS POR DECK'!$P$1="Falta (maior primeiro)","K"&amp;RIGHT("0000"&amp;(9999-F384),4)&amp;M384&amp;RIGHT("00000"&amp;ROW(),5),IF('FALTAS POR DECK'!$P$1="Deck e código","K"&amp;RIGHT("00"&amp;IFERROR(MATCH(A384,_LEITURA!$P$2:$P$21,0),99),2)&amp;M384&amp;RIGHT("00000"&amp;ROW(),5),"K"&amp;RIGHT("00000"&amp;ROW(),5))))))</f>
        <v/>
      </c>
      <c r="O384" s="16" t="str">
        <f aca="false">IF(N384="","",COUNTIFS($N$2:$N$1201,"&lt;"&amp;N384,$F$2:$F$1201,"&gt;0")+1)</f>
        <v/>
      </c>
    </row>
    <row r="385" customFormat="false" ht="15" hidden="false" customHeight="false" outlineLevel="0" collapsed="false">
      <c r="A385" s="11" t="str">
        <f aca="false">IF(_LEITURA!$N385="","",INDEX(_LEITURA!$K$2:$K$1201,_LEITURA!$N385))</f>
        <v/>
      </c>
      <c r="B385" s="11" t="str">
        <f aca="false">IF(_LEITURA!$N385="","",INDEX(_LEITURA!$E$2:$E$1201,_LEITURA!$N385))</f>
        <v/>
      </c>
      <c r="C385" s="11" t="str">
        <f aca="false">IF(_LEITURA!$N385="","",INDEX(_LEITURA!$J$2:$J$1201,_LEITURA!$N385))</f>
        <v/>
      </c>
      <c r="D385" s="16" t="str">
        <f aca="false">IF(_LEITURA!$N385="","",INDEX(_LEITURA!$G$2:$G$1201,_LEITURA!$N385))</f>
        <v/>
      </c>
      <c r="E385" s="16" t="str">
        <f aca="false">IF(B385="","",SUMIFS(INVENTÁRIO!$C$2:$C$801,INVENTÁRIO!$A$2:$A$801,B385))</f>
        <v/>
      </c>
      <c r="F385" s="16" t="str">
        <f aca="false">IF(B385="","",MAX(0,D385-E385))</f>
        <v/>
      </c>
      <c r="G385" s="16" t="str">
        <f aca="false">IF(B385="","",IF(COUNTIFS($B$2:$B$1201,B385,$A$2:$A$1201,"&lt;&gt;"&amp;A385)&gt;0,"Sim",""))</f>
        <v/>
      </c>
      <c r="H385" s="16" t="str">
        <f aca="false">IF(N(F385)&gt;0,MAX(H$1:H384)+1,"")</f>
        <v/>
      </c>
      <c r="I385" s="11" t="str">
        <f aca="false">IF(B385="","",IF(INDEX($C$2:$C$1201,MATCH(B385,$B$2:$B$1201,0))&lt;&gt;C385,"Nome diferente em outro deck — revisar",""))</f>
        <v/>
      </c>
      <c r="J385" s="16" t="str">
        <f aca="false">IF(AND(B385&lt;&gt;"",A385=BULK!$A$1,N(F385)&gt;0),MAX(J$1:J384)+1,"")</f>
        <v/>
      </c>
      <c r="K385" s="11" t="str">
        <f aca="false">IF(B385="","",IFERROR(LEFT(B385,FIND("-",B385)-1),B385))</f>
        <v/>
      </c>
      <c r="L385" s="11" t="str">
        <f aca="false">IF(K385="","",IF(ISNUMBER(--MID(K385,1,1)),0,IF(ISNUMBER(--MID(K385,2,1)),1,IF(ISNUMBER(--MID(K385,3,1)),2,IF(ISNUMBER(--MID(K385,4,1)),3,MIN(LEN(K385),4))))))</f>
        <v/>
      </c>
      <c r="M385" s="11" t="str">
        <f aca="false">IF(B385="","",LEFT(K385,L385)&amp;REPT("0",4-L385)&amp;RIGHT("000"&amp;IFERROR(VALUE(MID(K385,L385+1,9)),0),3)&amp;RIGHT("0000"&amp;IFERROR(VALUE(MID(B385,FIND("-",B385)+1,9)),0),4))</f>
        <v/>
      </c>
      <c r="N385" s="11" t="str">
        <f aca="false">IF(OR(B385="",N(F385)&lt;=0),"",IF('FALTAS POR DECK'!$P$1="Código","K"&amp;M385&amp;RIGHT("00000"&amp;ROW(),5),IF('FALTAS POR DECK'!$P$1="Nome","K"&amp;UPPER(SUBSTITUTE(SUBSTITUTE(SUBSTITUTE(C385,"*",""),"?",""),"~",""))&amp;"0"&amp;M385&amp;RIGHT("00000"&amp;ROW(),5),IF('FALTAS POR DECK'!$P$1="Falta (maior primeiro)","K"&amp;RIGHT("0000"&amp;(9999-F385),4)&amp;M385&amp;RIGHT("00000"&amp;ROW(),5),IF('FALTAS POR DECK'!$P$1="Deck e código","K"&amp;RIGHT("00"&amp;IFERROR(MATCH(A385,_LEITURA!$P$2:$P$21,0),99),2)&amp;M385&amp;RIGHT("00000"&amp;ROW(),5),"K"&amp;RIGHT("00000"&amp;ROW(),5))))))</f>
        <v/>
      </c>
      <c r="O385" s="16" t="str">
        <f aca="false">IF(N385="","",COUNTIFS($N$2:$N$1201,"&lt;"&amp;N385,$F$2:$F$1201,"&gt;0")+1)</f>
        <v/>
      </c>
    </row>
    <row r="386" customFormat="false" ht="15" hidden="false" customHeight="false" outlineLevel="0" collapsed="false">
      <c r="A386" s="11" t="str">
        <f aca="false">IF(_LEITURA!$N386="","",INDEX(_LEITURA!$K$2:$K$1201,_LEITURA!$N386))</f>
        <v/>
      </c>
      <c r="B386" s="11" t="str">
        <f aca="false">IF(_LEITURA!$N386="","",INDEX(_LEITURA!$E$2:$E$1201,_LEITURA!$N386))</f>
        <v/>
      </c>
      <c r="C386" s="11" t="str">
        <f aca="false">IF(_LEITURA!$N386="","",INDEX(_LEITURA!$J$2:$J$1201,_LEITURA!$N386))</f>
        <v/>
      </c>
      <c r="D386" s="16" t="str">
        <f aca="false">IF(_LEITURA!$N386="","",INDEX(_LEITURA!$G$2:$G$1201,_LEITURA!$N386))</f>
        <v/>
      </c>
      <c r="E386" s="16" t="str">
        <f aca="false">IF(B386="","",SUMIFS(INVENTÁRIO!$C$2:$C$801,INVENTÁRIO!$A$2:$A$801,B386))</f>
        <v/>
      </c>
      <c r="F386" s="16" t="str">
        <f aca="false">IF(B386="","",MAX(0,D386-E386))</f>
        <v/>
      </c>
      <c r="G386" s="16" t="str">
        <f aca="false">IF(B386="","",IF(COUNTIFS($B$2:$B$1201,B386,$A$2:$A$1201,"&lt;&gt;"&amp;A386)&gt;0,"Sim",""))</f>
        <v/>
      </c>
      <c r="H386" s="16" t="str">
        <f aca="false">IF(N(F386)&gt;0,MAX(H$1:H385)+1,"")</f>
        <v/>
      </c>
      <c r="I386" s="11" t="str">
        <f aca="false">IF(B386="","",IF(INDEX($C$2:$C$1201,MATCH(B386,$B$2:$B$1201,0))&lt;&gt;C386,"Nome diferente em outro deck — revisar",""))</f>
        <v/>
      </c>
      <c r="J386" s="16" t="str">
        <f aca="false">IF(AND(B386&lt;&gt;"",A386=BULK!$A$1,N(F386)&gt;0),MAX(J$1:J385)+1,"")</f>
        <v/>
      </c>
      <c r="K386" s="11" t="str">
        <f aca="false">IF(B386="","",IFERROR(LEFT(B386,FIND("-",B386)-1),B386))</f>
        <v/>
      </c>
      <c r="L386" s="11" t="str">
        <f aca="false">IF(K386="","",IF(ISNUMBER(--MID(K386,1,1)),0,IF(ISNUMBER(--MID(K386,2,1)),1,IF(ISNUMBER(--MID(K386,3,1)),2,IF(ISNUMBER(--MID(K386,4,1)),3,MIN(LEN(K386),4))))))</f>
        <v/>
      </c>
      <c r="M386" s="11" t="str">
        <f aca="false">IF(B386="","",LEFT(K386,L386)&amp;REPT("0",4-L386)&amp;RIGHT("000"&amp;IFERROR(VALUE(MID(K386,L386+1,9)),0),3)&amp;RIGHT("0000"&amp;IFERROR(VALUE(MID(B386,FIND("-",B386)+1,9)),0),4))</f>
        <v/>
      </c>
      <c r="N386" s="11" t="str">
        <f aca="false">IF(OR(B386="",N(F386)&lt;=0),"",IF('FALTAS POR DECK'!$P$1="Código","K"&amp;M386&amp;RIGHT("00000"&amp;ROW(),5),IF('FALTAS POR DECK'!$P$1="Nome","K"&amp;UPPER(SUBSTITUTE(SUBSTITUTE(SUBSTITUTE(C386,"*",""),"?",""),"~",""))&amp;"0"&amp;M386&amp;RIGHT("00000"&amp;ROW(),5),IF('FALTAS POR DECK'!$P$1="Falta (maior primeiro)","K"&amp;RIGHT("0000"&amp;(9999-F386),4)&amp;M386&amp;RIGHT("00000"&amp;ROW(),5),IF('FALTAS POR DECK'!$P$1="Deck e código","K"&amp;RIGHT("00"&amp;IFERROR(MATCH(A386,_LEITURA!$P$2:$P$21,0),99),2)&amp;M386&amp;RIGHT("00000"&amp;ROW(),5),"K"&amp;RIGHT("00000"&amp;ROW(),5))))))</f>
        <v/>
      </c>
      <c r="O386" s="16" t="str">
        <f aca="false">IF(N386="","",COUNTIFS($N$2:$N$1201,"&lt;"&amp;N386,$F$2:$F$1201,"&gt;0")+1)</f>
        <v/>
      </c>
    </row>
    <row r="387" customFormat="false" ht="15" hidden="false" customHeight="false" outlineLevel="0" collapsed="false">
      <c r="A387" s="11" t="str">
        <f aca="false">IF(_LEITURA!$N387="","",INDEX(_LEITURA!$K$2:$K$1201,_LEITURA!$N387))</f>
        <v/>
      </c>
      <c r="B387" s="11" t="str">
        <f aca="false">IF(_LEITURA!$N387="","",INDEX(_LEITURA!$E$2:$E$1201,_LEITURA!$N387))</f>
        <v/>
      </c>
      <c r="C387" s="11" t="str">
        <f aca="false">IF(_LEITURA!$N387="","",INDEX(_LEITURA!$J$2:$J$1201,_LEITURA!$N387))</f>
        <v/>
      </c>
      <c r="D387" s="16" t="str">
        <f aca="false">IF(_LEITURA!$N387="","",INDEX(_LEITURA!$G$2:$G$1201,_LEITURA!$N387))</f>
        <v/>
      </c>
      <c r="E387" s="16" t="str">
        <f aca="false">IF(B387="","",SUMIFS(INVENTÁRIO!$C$2:$C$801,INVENTÁRIO!$A$2:$A$801,B387))</f>
        <v/>
      </c>
      <c r="F387" s="16" t="str">
        <f aca="false">IF(B387="","",MAX(0,D387-E387))</f>
        <v/>
      </c>
      <c r="G387" s="16" t="str">
        <f aca="false">IF(B387="","",IF(COUNTIFS($B$2:$B$1201,B387,$A$2:$A$1201,"&lt;&gt;"&amp;A387)&gt;0,"Sim",""))</f>
        <v/>
      </c>
      <c r="H387" s="16" t="str">
        <f aca="false">IF(N(F387)&gt;0,MAX(H$1:H386)+1,"")</f>
        <v/>
      </c>
      <c r="I387" s="11" t="str">
        <f aca="false">IF(B387="","",IF(INDEX($C$2:$C$1201,MATCH(B387,$B$2:$B$1201,0))&lt;&gt;C387,"Nome diferente em outro deck — revisar",""))</f>
        <v/>
      </c>
      <c r="J387" s="16" t="str">
        <f aca="false">IF(AND(B387&lt;&gt;"",A387=BULK!$A$1,N(F387)&gt;0),MAX(J$1:J386)+1,"")</f>
        <v/>
      </c>
      <c r="K387" s="11" t="str">
        <f aca="false">IF(B387="","",IFERROR(LEFT(B387,FIND("-",B387)-1),B387))</f>
        <v/>
      </c>
      <c r="L387" s="11" t="str">
        <f aca="false">IF(K387="","",IF(ISNUMBER(--MID(K387,1,1)),0,IF(ISNUMBER(--MID(K387,2,1)),1,IF(ISNUMBER(--MID(K387,3,1)),2,IF(ISNUMBER(--MID(K387,4,1)),3,MIN(LEN(K387),4))))))</f>
        <v/>
      </c>
      <c r="M387" s="11" t="str">
        <f aca="false">IF(B387="","",LEFT(K387,L387)&amp;REPT("0",4-L387)&amp;RIGHT("000"&amp;IFERROR(VALUE(MID(K387,L387+1,9)),0),3)&amp;RIGHT("0000"&amp;IFERROR(VALUE(MID(B387,FIND("-",B387)+1,9)),0),4))</f>
        <v/>
      </c>
      <c r="N387" s="11" t="str">
        <f aca="false">IF(OR(B387="",N(F387)&lt;=0),"",IF('FALTAS POR DECK'!$P$1="Código","K"&amp;M387&amp;RIGHT("00000"&amp;ROW(),5),IF('FALTAS POR DECK'!$P$1="Nome","K"&amp;UPPER(SUBSTITUTE(SUBSTITUTE(SUBSTITUTE(C387,"*",""),"?",""),"~",""))&amp;"0"&amp;M387&amp;RIGHT("00000"&amp;ROW(),5),IF('FALTAS POR DECK'!$P$1="Falta (maior primeiro)","K"&amp;RIGHT("0000"&amp;(9999-F387),4)&amp;M387&amp;RIGHT("00000"&amp;ROW(),5),IF('FALTAS POR DECK'!$P$1="Deck e código","K"&amp;RIGHT("00"&amp;IFERROR(MATCH(A387,_LEITURA!$P$2:$P$21,0),99),2)&amp;M387&amp;RIGHT("00000"&amp;ROW(),5),"K"&amp;RIGHT("00000"&amp;ROW(),5))))))</f>
        <v/>
      </c>
      <c r="O387" s="16" t="str">
        <f aca="false">IF(N387="","",COUNTIFS($N$2:$N$1201,"&lt;"&amp;N387,$F$2:$F$1201,"&gt;0")+1)</f>
        <v/>
      </c>
    </row>
    <row r="388" customFormat="false" ht="15" hidden="false" customHeight="false" outlineLevel="0" collapsed="false">
      <c r="A388" s="11" t="str">
        <f aca="false">IF(_LEITURA!$N388="","",INDEX(_LEITURA!$K$2:$K$1201,_LEITURA!$N388))</f>
        <v/>
      </c>
      <c r="B388" s="11" t="str">
        <f aca="false">IF(_LEITURA!$N388="","",INDEX(_LEITURA!$E$2:$E$1201,_LEITURA!$N388))</f>
        <v/>
      </c>
      <c r="C388" s="11" t="str">
        <f aca="false">IF(_LEITURA!$N388="","",INDEX(_LEITURA!$J$2:$J$1201,_LEITURA!$N388))</f>
        <v/>
      </c>
      <c r="D388" s="16" t="str">
        <f aca="false">IF(_LEITURA!$N388="","",INDEX(_LEITURA!$G$2:$G$1201,_LEITURA!$N388))</f>
        <v/>
      </c>
      <c r="E388" s="16" t="str">
        <f aca="false">IF(B388="","",SUMIFS(INVENTÁRIO!$C$2:$C$801,INVENTÁRIO!$A$2:$A$801,B388))</f>
        <v/>
      </c>
      <c r="F388" s="16" t="str">
        <f aca="false">IF(B388="","",MAX(0,D388-E388))</f>
        <v/>
      </c>
      <c r="G388" s="16" t="str">
        <f aca="false">IF(B388="","",IF(COUNTIFS($B$2:$B$1201,B388,$A$2:$A$1201,"&lt;&gt;"&amp;A388)&gt;0,"Sim",""))</f>
        <v/>
      </c>
      <c r="H388" s="16" t="str">
        <f aca="false">IF(N(F388)&gt;0,MAX(H$1:H387)+1,"")</f>
        <v/>
      </c>
      <c r="I388" s="11" t="str">
        <f aca="false">IF(B388="","",IF(INDEX($C$2:$C$1201,MATCH(B388,$B$2:$B$1201,0))&lt;&gt;C388,"Nome diferente em outro deck — revisar",""))</f>
        <v/>
      </c>
      <c r="J388" s="16" t="str">
        <f aca="false">IF(AND(B388&lt;&gt;"",A388=BULK!$A$1,N(F388)&gt;0),MAX(J$1:J387)+1,"")</f>
        <v/>
      </c>
      <c r="K388" s="11" t="str">
        <f aca="false">IF(B388="","",IFERROR(LEFT(B388,FIND("-",B388)-1),B388))</f>
        <v/>
      </c>
      <c r="L388" s="11" t="str">
        <f aca="false">IF(K388="","",IF(ISNUMBER(--MID(K388,1,1)),0,IF(ISNUMBER(--MID(K388,2,1)),1,IF(ISNUMBER(--MID(K388,3,1)),2,IF(ISNUMBER(--MID(K388,4,1)),3,MIN(LEN(K388),4))))))</f>
        <v/>
      </c>
      <c r="M388" s="11" t="str">
        <f aca="false">IF(B388="","",LEFT(K388,L388)&amp;REPT("0",4-L388)&amp;RIGHT("000"&amp;IFERROR(VALUE(MID(K388,L388+1,9)),0),3)&amp;RIGHT("0000"&amp;IFERROR(VALUE(MID(B388,FIND("-",B388)+1,9)),0),4))</f>
        <v/>
      </c>
      <c r="N388" s="11" t="str">
        <f aca="false">IF(OR(B388="",N(F388)&lt;=0),"",IF('FALTAS POR DECK'!$P$1="Código","K"&amp;M388&amp;RIGHT("00000"&amp;ROW(),5),IF('FALTAS POR DECK'!$P$1="Nome","K"&amp;UPPER(SUBSTITUTE(SUBSTITUTE(SUBSTITUTE(C388,"*",""),"?",""),"~",""))&amp;"0"&amp;M388&amp;RIGHT("00000"&amp;ROW(),5),IF('FALTAS POR DECK'!$P$1="Falta (maior primeiro)","K"&amp;RIGHT("0000"&amp;(9999-F388),4)&amp;M388&amp;RIGHT("00000"&amp;ROW(),5),IF('FALTAS POR DECK'!$P$1="Deck e código","K"&amp;RIGHT("00"&amp;IFERROR(MATCH(A388,_LEITURA!$P$2:$P$21,0),99),2)&amp;M388&amp;RIGHT("00000"&amp;ROW(),5),"K"&amp;RIGHT("00000"&amp;ROW(),5))))))</f>
        <v/>
      </c>
      <c r="O388" s="16" t="str">
        <f aca="false">IF(N388="","",COUNTIFS($N$2:$N$1201,"&lt;"&amp;N388,$F$2:$F$1201,"&gt;0")+1)</f>
        <v/>
      </c>
    </row>
    <row r="389" customFormat="false" ht="15" hidden="false" customHeight="false" outlineLevel="0" collapsed="false">
      <c r="A389" s="11" t="str">
        <f aca="false">IF(_LEITURA!$N389="","",INDEX(_LEITURA!$K$2:$K$1201,_LEITURA!$N389))</f>
        <v/>
      </c>
      <c r="B389" s="11" t="str">
        <f aca="false">IF(_LEITURA!$N389="","",INDEX(_LEITURA!$E$2:$E$1201,_LEITURA!$N389))</f>
        <v/>
      </c>
      <c r="C389" s="11" t="str">
        <f aca="false">IF(_LEITURA!$N389="","",INDEX(_LEITURA!$J$2:$J$1201,_LEITURA!$N389))</f>
        <v/>
      </c>
      <c r="D389" s="16" t="str">
        <f aca="false">IF(_LEITURA!$N389="","",INDEX(_LEITURA!$G$2:$G$1201,_LEITURA!$N389))</f>
        <v/>
      </c>
      <c r="E389" s="16" t="str">
        <f aca="false">IF(B389="","",SUMIFS(INVENTÁRIO!$C$2:$C$801,INVENTÁRIO!$A$2:$A$801,B389))</f>
        <v/>
      </c>
      <c r="F389" s="16" t="str">
        <f aca="false">IF(B389="","",MAX(0,D389-E389))</f>
        <v/>
      </c>
      <c r="G389" s="16" t="str">
        <f aca="false">IF(B389="","",IF(COUNTIFS($B$2:$B$1201,B389,$A$2:$A$1201,"&lt;&gt;"&amp;A389)&gt;0,"Sim",""))</f>
        <v/>
      </c>
      <c r="H389" s="16" t="str">
        <f aca="false">IF(N(F389)&gt;0,MAX(H$1:H388)+1,"")</f>
        <v/>
      </c>
      <c r="I389" s="11" t="str">
        <f aca="false">IF(B389="","",IF(INDEX($C$2:$C$1201,MATCH(B389,$B$2:$B$1201,0))&lt;&gt;C389,"Nome diferente em outro deck — revisar",""))</f>
        <v/>
      </c>
      <c r="J389" s="16" t="str">
        <f aca="false">IF(AND(B389&lt;&gt;"",A389=BULK!$A$1,N(F389)&gt;0),MAX(J$1:J388)+1,"")</f>
        <v/>
      </c>
      <c r="K389" s="11" t="str">
        <f aca="false">IF(B389="","",IFERROR(LEFT(B389,FIND("-",B389)-1),B389))</f>
        <v/>
      </c>
      <c r="L389" s="11" t="str">
        <f aca="false">IF(K389="","",IF(ISNUMBER(--MID(K389,1,1)),0,IF(ISNUMBER(--MID(K389,2,1)),1,IF(ISNUMBER(--MID(K389,3,1)),2,IF(ISNUMBER(--MID(K389,4,1)),3,MIN(LEN(K389),4))))))</f>
        <v/>
      </c>
      <c r="M389" s="11" t="str">
        <f aca="false">IF(B389="","",LEFT(K389,L389)&amp;REPT("0",4-L389)&amp;RIGHT("000"&amp;IFERROR(VALUE(MID(K389,L389+1,9)),0),3)&amp;RIGHT("0000"&amp;IFERROR(VALUE(MID(B389,FIND("-",B389)+1,9)),0),4))</f>
        <v/>
      </c>
      <c r="N389" s="11" t="str">
        <f aca="false">IF(OR(B389="",N(F389)&lt;=0),"",IF('FALTAS POR DECK'!$P$1="Código","K"&amp;M389&amp;RIGHT("00000"&amp;ROW(),5),IF('FALTAS POR DECK'!$P$1="Nome","K"&amp;UPPER(SUBSTITUTE(SUBSTITUTE(SUBSTITUTE(C389,"*",""),"?",""),"~",""))&amp;"0"&amp;M389&amp;RIGHT("00000"&amp;ROW(),5),IF('FALTAS POR DECK'!$P$1="Falta (maior primeiro)","K"&amp;RIGHT("0000"&amp;(9999-F389),4)&amp;M389&amp;RIGHT("00000"&amp;ROW(),5),IF('FALTAS POR DECK'!$P$1="Deck e código","K"&amp;RIGHT("00"&amp;IFERROR(MATCH(A389,_LEITURA!$P$2:$P$21,0),99),2)&amp;M389&amp;RIGHT("00000"&amp;ROW(),5),"K"&amp;RIGHT("00000"&amp;ROW(),5))))))</f>
        <v/>
      </c>
      <c r="O389" s="16" t="str">
        <f aca="false">IF(N389="","",COUNTIFS($N$2:$N$1201,"&lt;"&amp;N389,$F$2:$F$1201,"&gt;0")+1)</f>
        <v/>
      </c>
    </row>
    <row r="390" customFormat="false" ht="15" hidden="false" customHeight="false" outlineLevel="0" collapsed="false">
      <c r="A390" s="11" t="str">
        <f aca="false">IF(_LEITURA!$N390="","",INDEX(_LEITURA!$K$2:$K$1201,_LEITURA!$N390))</f>
        <v/>
      </c>
      <c r="B390" s="11" t="str">
        <f aca="false">IF(_LEITURA!$N390="","",INDEX(_LEITURA!$E$2:$E$1201,_LEITURA!$N390))</f>
        <v/>
      </c>
      <c r="C390" s="11" t="str">
        <f aca="false">IF(_LEITURA!$N390="","",INDEX(_LEITURA!$J$2:$J$1201,_LEITURA!$N390))</f>
        <v/>
      </c>
      <c r="D390" s="16" t="str">
        <f aca="false">IF(_LEITURA!$N390="","",INDEX(_LEITURA!$G$2:$G$1201,_LEITURA!$N390))</f>
        <v/>
      </c>
      <c r="E390" s="16" t="str">
        <f aca="false">IF(B390="","",SUMIFS(INVENTÁRIO!$C$2:$C$801,INVENTÁRIO!$A$2:$A$801,B390))</f>
        <v/>
      </c>
      <c r="F390" s="16" t="str">
        <f aca="false">IF(B390="","",MAX(0,D390-E390))</f>
        <v/>
      </c>
      <c r="G390" s="16" t="str">
        <f aca="false">IF(B390="","",IF(COUNTIFS($B$2:$B$1201,B390,$A$2:$A$1201,"&lt;&gt;"&amp;A390)&gt;0,"Sim",""))</f>
        <v/>
      </c>
      <c r="H390" s="16" t="str">
        <f aca="false">IF(N(F390)&gt;0,MAX(H$1:H389)+1,"")</f>
        <v/>
      </c>
      <c r="I390" s="11" t="str">
        <f aca="false">IF(B390="","",IF(INDEX($C$2:$C$1201,MATCH(B390,$B$2:$B$1201,0))&lt;&gt;C390,"Nome diferente em outro deck — revisar",""))</f>
        <v/>
      </c>
      <c r="J390" s="16" t="str">
        <f aca="false">IF(AND(B390&lt;&gt;"",A390=BULK!$A$1,N(F390)&gt;0),MAX(J$1:J389)+1,"")</f>
        <v/>
      </c>
      <c r="K390" s="11" t="str">
        <f aca="false">IF(B390="","",IFERROR(LEFT(B390,FIND("-",B390)-1),B390))</f>
        <v/>
      </c>
      <c r="L390" s="11" t="str">
        <f aca="false">IF(K390="","",IF(ISNUMBER(--MID(K390,1,1)),0,IF(ISNUMBER(--MID(K390,2,1)),1,IF(ISNUMBER(--MID(K390,3,1)),2,IF(ISNUMBER(--MID(K390,4,1)),3,MIN(LEN(K390),4))))))</f>
        <v/>
      </c>
      <c r="M390" s="11" t="str">
        <f aca="false">IF(B390="","",LEFT(K390,L390)&amp;REPT("0",4-L390)&amp;RIGHT("000"&amp;IFERROR(VALUE(MID(K390,L390+1,9)),0),3)&amp;RIGHT("0000"&amp;IFERROR(VALUE(MID(B390,FIND("-",B390)+1,9)),0),4))</f>
        <v/>
      </c>
      <c r="N390" s="11" t="str">
        <f aca="false">IF(OR(B390="",N(F390)&lt;=0),"",IF('FALTAS POR DECK'!$P$1="Código","K"&amp;M390&amp;RIGHT("00000"&amp;ROW(),5),IF('FALTAS POR DECK'!$P$1="Nome","K"&amp;UPPER(SUBSTITUTE(SUBSTITUTE(SUBSTITUTE(C390,"*",""),"?",""),"~",""))&amp;"0"&amp;M390&amp;RIGHT("00000"&amp;ROW(),5),IF('FALTAS POR DECK'!$P$1="Falta (maior primeiro)","K"&amp;RIGHT("0000"&amp;(9999-F390),4)&amp;M390&amp;RIGHT("00000"&amp;ROW(),5),IF('FALTAS POR DECK'!$P$1="Deck e código","K"&amp;RIGHT("00"&amp;IFERROR(MATCH(A390,_LEITURA!$P$2:$P$21,0),99),2)&amp;M390&amp;RIGHT("00000"&amp;ROW(),5),"K"&amp;RIGHT("00000"&amp;ROW(),5))))))</f>
        <v/>
      </c>
      <c r="O390" s="16" t="str">
        <f aca="false">IF(N390="","",COUNTIFS($N$2:$N$1201,"&lt;"&amp;N390,$F$2:$F$1201,"&gt;0")+1)</f>
        <v/>
      </c>
    </row>
    <row r="391" customFormat="false" ht="15" hidden="false" customHeight="false" outlineLevel="0" collapsed="false">
      <c r="A391" s="11" t="str">
        <f aca="false">IF(_LEITURA!$N391="","",INDEX(_LEITURA!$K$2:$K$1201,_LEITURA!$N391))</f>
        <v/>
      </c>
      <c r="B391" s="11" t="str">
        <f aca="false">IF(_LEITURA!$N391="","",INDEX(_LEITURA!$E$2:$E$1201,_LEITURA!$N391))</f>
        <v/>
      </c>
      <c r="C391" s="11" t="str">
        <f aca="false">IF(_LEITURA!$N391="","",INDEX(_LEITURA!$J$2:$J$1201,_LEITURA!$N391))</f>
        <v/>
      </c>
      <c r="D391" s="16" t="str">
        <f aca="false">IF(_LEITURA!$N391="","",INDEX(_LEITURA!$G$2:$G$1201,_LEITURA!$N391))</f>
        <v/>
      </c>
      <c r="E391" s="16" t="str">
        <f aca="false">IF(B391="","",SUMIFS(INVENTÁRIO!$C$2:$C$801,INVENTÁRIO!$A$2:$A$801,B391))</f>
        <v/>
      </c>
      <c r="F391" s="16" t="str">
        <f aca="false">IF(B391="","",MAX(0,D391-E391))</f>
        <v/>
      </c>
      <c r="G391" s="16" t="str">
        <f aca="false">IF(B391="","",IF(COUNTIFS($B$2:$B$1201,B391,$A$2:$A$1201,"&lt;&gt;"&amp;A391)&gt;0,"Sim",""))</f>
        <v/>
      </c>
      <c r="H391" s="16" t="str">
        <f aca="false">IF(N(F391)&gt;0,MAX(H$1:H390)+1,"")</f>
        <v/>
      </c>
      <c r="I391" s="11" t="str">
        <f aca="false">IF(B391="","",IF(INDEX($C$2:$C$1201,MATCH(B391,$B$2:$B$1201,0))&lt;&gt;C391,"Nome diferente em outro deck — revisar",""))</f>
        <v/>
      </c>
      <c r="J391" s="16" t="str">
        <f aca="false">IF(AND(B391&lt;&gt;"",A391=BULK!$A$1,N(F391)&gt;0),MAX(J$1:J390)+1,"")</f>
        <v/>
      </c>
      <c r="K391" s="11" t="str">
        <f aca="false">IF(B391="","",IFERROR(LEFT(B391,FIND("-",B391)-1),B391))</f>
        <v/>
      </c>
      <c r="L391" s="11" t="str">
        <f aca="false">IF(K391="","",IF(ISNUMBER(--MID(K391,1,1)),0,IF(ISNUMBER(--MID(K391,2,1)),1,IF(ISNUMBER(--MID(K391,3,1)),2,IF(ISNUMBER(--MID(K391,4,1)),3,MIN(LEN(K391),4))))))</f>
        <v/>
      </c>
      <c r="M391" s="11" t="str">
        <f aca="false">IF(B391="","",LEFT(K391,L391)&amp;REPT("0",4-L391)&amp;RIGHT("000"&amp;IFERROR(VALUE(MID(K391,L391+1,9)),0),3)&amp;RIGHT("0000"&amp;IFERROR(VALUE(MID(B391,FIND("-",B391)+1,9)),0),4))</f>
        <v/>
      </c>
      <c r="N391" s="11" t="str">
        <f aca="false">IF(OR(B391="",N(F391)&lt;=0),"",IF('FALTAS POR DECK'!$P$1="Código","K"&amp;M391&amp;RIGHT("00000"&amp;ROW(),5),IF('FALTAS POR DECK'!$P$1="Nome","K"&amp;UPPER(SUBSTITUTE(SUBSTITUTE(SUBSTITUTE(C391,"*",""),"?",""),"~",""))&amp;"0"&amp;M391&amp;RIGHT("00000"&amp;ROW(),5),IF('FALTAS POR DECK'!$P$1="Falta (maior primeiro)","K"&amp;RIGHT("0000"&amp;(9999-F391),4)&amp;M391&amp;RIGHT("00000"&amp;ROW(),5),IF('FALTAS POR DECK'!$P$1="Deck e código","K"&amp;RIGHT("00"&amp;IFERROR(MATCH(A391,_LEITURA!$P$2:$P$21,0),99),2)&amp;M391&amp;RIGHT("00000"&amp;ROW(),5),"K"&amp;RIGHT("00000"&amp;ROW(),5))))))</f>
        <v/>
      </c>
      <c r="O391" s="16" t="str">
        <f aca="false">IF(N391="","",COUNTIFS($N$2:$N$1201,"&lt;"&amp;N391,$F$2:$F$1201,"&gt;0")+1)</f>
        <v/>
      </c>
    </row>
    <row r="392" customFormat="false" ht="15" hidden="false" customHeight="false" outlineLevel="0" collapsed="false">
      <c r="A392" s="11" t="str">
        <f aca="false">IF(_LEITURA!$N392="","",INDEX(_LEITURA!$K$2:$K$1201,_LEITURA!$N392))</f>
        <v/>
      </c>
      <c r="B392" s="11" t="str">
        <f aca="false">IF(_LEITURA!$N392="","",INDEX(_LEITURA!$E$2:$E$1201,_LEITURA!$N392))</f>
        <v/>
      </c>
      <c r="C392" s="11" t="str">
        <f aca="false">IF(_LEITURA!$N392="","",INDEX(_LEITURA!$J$2:$J$1201,_LEITURA!$N392))</f>
        <v/>
      </c>
      <c r="D392" s="16" t="str">
        <f aca="false">IF(_LEITURA!$N392="","",INDEX(_LEITURA!$G$2:$G$1201,_LEITURA!$N392))</f>
        <v/>
      </c>
      <c r="E392" s="16" t="str">
        <f aca="false">IF(B392="","",SUMIFS(INVENTÁRIO!$C$2:$C$801,INVENTÁRIO!$A$2:$A$801,B392))</f>
        <v/>
      </c>
      <c r="F392" s="16" t="str">
        <f aca="false">IF(B392="","",MAX(0,D392-E392))</f>
        <v/>
      </c>
      <c r="G392" s="16" t="str">
        <f aca="false">IF(B392="","",IF(COUNTIFS($B$2:$B$1201,B392,$A$2:$A$1201,"&lt;&gt;"&amp;A392)&gt;0,"Sim",""))</f>
        <v/>
      </c>
      <c r="H392" s="16" t="str">
        <f aca="false">IF(N(F392)&gt;0,MAX(H$1:H391)+1,"")</f>
        <v/>
      </c>
      <c r="I392" s="11" t="str">
        <f aca="false">IF(B392="","",IF(INDEX($C$2:$C$1201,MATCH(B392,$B$2:$B$1201,0))&lt;&gt;C392,"Nome diferente em outro deck — revisar",""))</f>
        <v/>
      </c>
      <c r="J392" s="16" t="str">
        <f aca="false">IF(AND(B392&lt;&gt;"",A392=BULK!$A$1,N(F392)&gt;0),MAX(J$1:J391)+1,"")</f>
        <v/>
      </c>
      <c r="K392" s="11" t="str">
        <f aca="false">IF(B392="","",IFERROR(LEFT(B392,FIND("-",B392)-1),B392))</f>
        <v/>
      </c>
      <c r="L392" s="11" t="str">
        <f aca="false">IF(K392="","",IF(ISNUMBER(--MID(K392,1,1)),0,IF(ISNUMBER(--MID(K392,2,1)),1,IF(ISNUMBER(--MID(K392,3,1)),2,IF(ISNUMBER(--MID(K392,4,1)),3,MIN(LEN(K392),4))))))</f>
        <v/>
      </c>
      <c r="M392" s="11" t="str">
        <f aca="false">IF(B392="","",LEFT(K392,L392)&amp;REPT("0",4-L392)&amp;RIGHT("000"&amp;IFERROR(VALUE(MID(K392,L392+1,9)),0),3)&amp;RIGHT("0000"&amp;IFERROR(VALUE(MID(B392,FIND("-",B392)+1,9)),0),4))</f>
        <v/>
      </c>
      <c r="N392" s="11" t="str">
        <f aca="false">IF(OR(B392="",N(F392)&lt;=0),"",IF('FALTAS POR DECK'!$P$1="Código","K"&amp;M392&amp;RIGHT("00000"&amp;ROW(),5),IF('FALTAS POR DECK'!$P$1="Nome","K"&amp;UPPER(SUBSTITUTE(SUBSTITUTE(SUBSTITUTE(C392,"*",""),"?",""),"~",""))&amp;"0"&amp;M392&amp;RIGHT("00000"&amp;ROW(),5),IF('FALTAS POR DECK'!$P$1="Falta (maior primeiro)","K"&amp;RIGHT("0000"&amp;(9999-F392),4)&amp;M392&amp;RIGHT("00000"&amp;ROW(),5),IF('FALTAS POR DECK'!$P$1="Deck e código","K"&amp;RIGHT("00"&amp;IFERROR(MATCH(A392,_LEITURA!$P$2:$P$21,0),99),2)&amp;M392&amp;RIGHT("00000"&amp;ROW(),5),"K"&amp;RIGHT("00000"&amp;ROW(),5))))))</f>
        <v/>
      </c>
      <c r="O392" s="16" t="str">
        <f aca="false">IF(N392="","",COUNTIFS($N$2:$N$1201,"&lt;"&amp;N392,$F$2:$F$1201,"&gt;0")+1)</f>
        <v/>
      </c>
    </row>
    <row r="393" customFormat="false" ht="15" hidden="false" customHeight="false" outlineLevel="0" collapsed="false">
      <c r="A393" s="11" t="str">
        <f aca="false">IF(_LEITURA!$N393="","",INDEX(_LEITURA!$K$2:$K$1201,_LEITURA!$N393))</f>
        <v/>
      </c>
      <c r="B393" s="11" t="str">
        <f aca="false">IF(_LEITURA!$N393="","",INDEX(_LEITURA!$E$2:$E$1201,_LEITURA!$N393))</f>
        <v/>
      </c>
      <c r="C393" s="11" t="str">
        <f aca="false">IF(_LEITURA!$N393="","",INDEX(_LEITURA!$J$2:$J$1201,_LEITURA!$N393))</f>
        <v/>
      </c>
      <c r="D393" s="16" t="str">
        <f aca="false">IF(_LEITURA!$N393="","",INDEX(_LEITURA!$G$2:$G$1201,_LEITURA!$N393))</f>
        <v/>
      </c>
      <c r="E393" s="16" t="str">
        <f aca="false">IF(B393="","",SUMIFS(INVENTÁRIO!$C$2:$C$801,INVENTÁRIO!$A$2:$A$801,B393))</f>
        <v/>
      </c>
      <c r="F393" s="16" t="str">
        <f aca="false">IF(B393="","",MAX(0,D393-E393))</f>
        <v/>
      </c>
      <c r="G393" s="16" t="str">
        <f aca="false">IF(B393="","",IF(COUNTIFS($B$2:$B$1201,B393,$A$2:$A$1201,"&lt;&gt;"&amp;A393)&gt;0,"Sim",""))</f>
        <v/>
      </c>
      <c r="H393" s="16" t="str">
        <f aca="false">IF(N(F393)&gt;0,MAX(H$1:H392)+1,"")</f>
        <v/>
      </c>
      <c r="I393" s="11" t="str">
        <f aca="false">IF(B393="","",IF(INDEX($C$2:$C$1201,MATCH(B393,$B$2:$B$1201,0))&lt;&gt;C393,"Nome diferente em outro deck — revisar",""))</f>
        <v/>
      </c>
      <c r="J393" s="16" t="str">
        <f aca="false">IF(AND(B393&lt;&gt;"",A393=BULK!$A$1,N(F393)&gt;0),MAX(J$1:J392)+1,"")</f>
        <v/>
      </c>
      <c r="K393" s="11" t="str">
        <f aca="false">IF(B393="","",IFERROR(LEFT(B393,FIND("-",B393)-1),B393))</f>
        <v/>
      </c>
      <c r="L393" s="11" t="str">
        <f aca="false">IF(K393="","",IF(ISNUMBER(--MID(K393,1,1)),0,IF(ISNUMBER(--MID(K393,2,1)),1,IF(ISNUMBER(--MID(K393,3,1)),2,IF(ISNUMBER(--MID(K393,4,1)),3,MIN(LEN(K393),4))))))</f>
        <v/>
      </c>
      <c r="M393" s="11" t="str">
        <f aca="false">IF(B393="","",LEFT(K393,L393)&amp;REPT("0",4-L393)&amp;RIGHT("000"&amp;IFERROR(VALUE(MID(K393,L393+1,9)),0),3)&amp;RIGHT("0000"&amp;IFERROR(VALUE(MID(B393,FIND("-",B393)+1,9)),0),4))</f>
        <v/>
      </c>
      <c r="N393" s="11" t="str">
        <f aca="false">IF(OR(B393="",N(F393)&lt;=0),"",IF('FALTAS POR DECK'!$P$1="Código","K"&amp;M393&amp;RIGHT("00000"&amp;ROW(),5),IF('FALTAS POR DECK'!$P$1="Nome","K"&amp;UPPER(SUBSTITUTE(SUBSTITUTE(SUBSTITUTE(C393,"*",""),"?",""),"~",""))&amp;"0"&amp;M393&amp;RIGHT("00000"&amp;ROW(),5),IF('FALTAS POR DECK'!$P$1="Falta (maior primeiro)","K"&amp;RIGHT("0000"&amp;(9999-F393),4)&amp;M393&amp;RIGHT("00000"&amp;ROW(),5),IF('FALTAS POR DECK'!$P$1="Deck e código","K"&amp;RIGHT("00"&amp;IFERROR(MATCH(A393,_LEITURA!$P$2:$P$21,0),99),2)&amp;M393&amp;RIGHT("00000"&amp;ROW(),5),"K"&amp;RIGHT("00000"&amp;ROW(),5))))))</f>
        <v/>
      </c>
      <c r="O393" s="16" t="str">
        <f aca="false">IF(N393="","",COUNTIFS($N$2:$N$1201,"&lt;"&amp;N393,$F$2:$F$1201,"&gt;0")+1)</f>
        <v/>
      </c>
    </row>
    <row r="394" customFormat="false" ht="15" hidden="false" customHeight="false" outlineLevel="0" collapsed="false">
      <c r="A394" s="11" t="str">
        <f aca="false">IF(_LEITURA!$N394="","",INDEX(_LEITURA!$K$2:$K$1201,_LEITURA!$N394))</f>
        <v/>
      </c>
      <c r="B394" s="11" t="str">
        <f aca="false">IF(_LEITURA!$N394="","",INDEX(_LEITURA!$E$2:$E$1201,_LEITURA!$N394))</f>
        <v/>
      </c>
      <c r="C394" s="11" t="str">
        <f aca="false">IF(_LEITURA!$N394="","",INDEX(_LEITURA!$J$2:$J$1201,_LEITURA!$N394))</f>
        <v/>
      </c>
      <c r="D394" s="16" t="str">
        <f aca="false">IF(_LEITURA!$N394="","",INDEX(_LEITURA!$G$2:$G$1201,_LEITURA!$N394))</f>
        <v/>
      </c>
      <c r="E394" s="16" t="str">
        <f aca="false">IF(B394="","",SUMIFS(INVENTÁRIO!$C$2:$C$801,INVENTÁRIO!$A$2:$A$801,B394))</f>
        <v/>
      </c>
      <c r="F394" s="16" t="str">
        <f aca="false">IF(B394="","",MAX(0,D394-E394))</f>
        <v/>
      </c>
      <c r="G394" s="16" t="str">
        <f aca="false">IF(B394="","",IF(COUNTIFS($B$2:$B$1201,B394,$A$2:$A$1201,"&lt;&gt;"&amp;A394)&gt;0,"Sim",""))</f>
        <v/>
      </c>
      <c r="H394" s="16" t="str">
        <f aca="false">IF(N(F394)&gt;0,MAX(H$1:H393)+1,"")</f>
        <v/>
      </c>
      <c r="I394" s="11" t="str">
        <f aca="false">IF(B394="","",IF(INDEX($C$2:$C$1201,MATCH(B394,$B$2:$B$1201,0))&lt;&gt;C394,"Nome diferente em outro deck — revisar",""))</f>
        <v/>
      </c>
      <c r="J394" s="16" t="str">
        <f aca="false">IF(AND(B394&lt;&gt;"",A394=BULK!$A$1,N(F394)&gt;0),MAX(J$1:J393)+1,"")</f>
        <v/>
      </c>
      <c r="K394" s="11" t="str">
        <f aca="false">IF(B394="","",IFERROR(LEFT(B394,FIND("-",B394)-1),B394))</f>
        <v/>
      </c>
      <c r="L394" s="11" t="str">
        <f aca="false">IF(K394="","",IF(ISNUMBER(--MID(K394,1,1)),0,IF(ISNUMBER(--MID(K394,2,1)),1,IF(ISNUMBER(--MID(K394,3,1)),2,IF(ISNUMBER(--MID(K394,4,1)),3,MIN(LEN(K394),4))))))</f>
        <v/>
      </c>
      <c r="M394" s="11" t="str">
        <f aca="false">IF(B394="","",LEFT(K394,L394)&amp;REPT("0",4-L394)&amp;RIGHT("000"&amp;IFERROR(VALUE(MID(K394,L394+1,9)),0),3)&amp;RIGHT("0000"&amp;IFERROR(VALUE(MID(B394,FIND("-",B394)+1,9)),0),4))</f>
        <v/>
      </c>
      <c r="N394" s="11" t="str">
        <f aca="false">IF(OR(B394="",N(F394)&lt;=0),"",IF('FALTAS POR DECK'!$P$1="Código","K"&amp;M394&amp;RIGHT("00000"&amp;ROW(),5),IF('FALTAS POR DECK'!$P$1="Nome","K"&amp;UPPER(SUBSTITUTE(SUBSTITUTE(SUBSTITUTE(C394,"*",""),"?",""),"~",""))&amp;"0"&amp;M394&amp;RIGHT("00000"&amp;ROW(),5),IF('FALTAS POR DECK'!$P$1="Falta (maior primeiro)","K"&amp;RIGHT("0000"&amp;(9999-F394),4)&amp;M394&amp;RIGHT("00000"&amp;ROW(),5),IF('FALTAS POR DECK'!$P$1="Deck e código","K"&amp;RIGHT("00"&amp;IFERROR(MATCH(A394,_LEITURA!$P$2:$P$21,0),99),2)&amp;M394&amp;RIGHT("00000"&amp;ROW(),5),"K"&amp;RIGHT("00000"&amp;ROW(),5))))))</f>
        <v/>
      </c>
      <c r="O394" s="16" t="str">
        <f aca="false">IF(N394="","",COUNTIFS($N$2:$N$1201,"&lt;"&amp;N394,$F$2:$F$1201,"&gt;0")+1)</f>
        <v/>
      </c>
    </row>
    <row r="395" customFormat="false" ht="15" hidden="false" customHeight="false" outlineLevel="0" collapsed="false">
      <c r="A395" s="11" t="str">
        <f aca="false">IF(_LEITURA!$N395="","",INDEX(_LEITURA!$K$2:$K$1201,_LEITURA!$N395))</f>
        <v/>
      </c>
      <c r="B395" s="11" t="str">
        <f aca="false">IF(_LEITURA!$N395="","",INDEX(_LEITURA!$E$2:$E$1201,_LEITURA!$N395))</f>
        <v/>
      </c>
      <c r="C395" s="11" t="str">
        <f aca="false">IF(_LEITURA!$N395="","",INDEX(_LEITURA!$J$2:$J$1201,_LEITURA!$N395))</f>
        <v/>
      </c>
      <c r="D395" s="16" t="str">
        <f aca="false">IF(_LEITURA!$N395="","",INDEX(_LEITURA!$G$2:$G$1201,_LEITURA!$N395))</f>
        <v/>
      </c>
      <c r="E395" s="16" t="str">
        <f aca="false">IF(B395="","",SUMIFS(INVENTÁRIO!$C$2:$C$801,INVENTÁRIO!$A$2:$A$801,B395))</f>
        <v/>
      </c>
      <c r="F395" s="16" t="str">
        <f aca="false">IF(B395="","",MAX(0,D395-E395))</f>
        <v/>
      </c>
      <c r="G395" s="16" t="str">
        <f aca="false">IF(B395="","",IF(COUNTIFS($B$2:$B$1201,B395,$A$2:$A$1201,"&lt;&gt;"&amp;A395)&gt;0,"Sim",""))</f>
        <v/>
      </c>
      <c r="H395" s="16" t="str">
        <f aca="false">IF(N(F395)&gt;0,MAX(H$1:H394)+1,"")</f>
        <v/>
      </c>
      <c r="I395" s="11" t="str">
        <f aca="false">IF(B395="","",IF(INDEX($C$2:$C$1201,MATCH(B395,$B$2:$B$1201,0))&lt;&gt;C395,"Nome diferente em outro deck — revisar",""))</f>
        <v/>
      </c>
      <c r="J395" s="16" t="str">
        <f aca="false">IF(AND(B395&lt;&gt;"",A395=BULK!$A$1,N(F395)&gt;0),MAX(J$1:J394)+1,"")</f>
        <v/>
      </c>
      <c r="K395" s="11" t="str">
        <f aca="false">IF(B395="","",IFERROR(LEFT(B395,FIND("-",B395)-1),B395))</f>
        <v/>
      </c>
      <c r="L395" s="11" t="str">
        <f aca="false">IF(K395="","",IF(ISNUMBER(--MID(K395,1,1)),0,IF(ISNUMBER(--MID(K395,2,1)),1,IF(ISNUMBER(--MID(K395,3,1)),2,IF(ISNUMBER(--MID(K395,4,1)),3,MIN(LEN(K395),4))))))</f>
        <v/>
      </c>
      <c r="M395" s="11" t="str">
        <f aca="false">IF(B395="","",LEFT(K395,L395)&amp;REPT("0",4-L395)&amp;RIGHT("000"&amp;IFERROR(VALUE(MID(K395,L395+1,9)),0),3)&amp;RIGHT("0000"&amp;IFERROR(VALUE(MID(B395,FIND("-",B395)+1,9)),0),4))</f>
        <v/>
      </c>
      <c r="N395" s="11" t="str">
        <f aca="false">IF(OR(B395="",N(F395)&lt;=0),"",IF('FALTAS POR DECK'!$P$1="Código","K"&amp;M395&amp;RIGHT("00000"&amp;ROW(),5),IF('FALTAS POR DECK'!$P$1="Nome","K"&amp;UPPER(SUBSTITUTE(SUBSTITUTE(SUBSTITUTE(C395,"*",""),"?",""),"~",""))&amp;"0"&amp;M395&amp;RIGHT("00000"&amp;ROW(),5),IF('FALTAS POR DECK'!$P$1="Falta (maior primeiro)","K"&amp;RIGHT("0000"&amp;(9999-F395),4)&amp;M395&amp;RIGHT("00000"&amp;ROW(),5),IF('FALTAS POR DECK'!$P$1="Deck e código","K"&amp;RIGHT("00"&amp;IFERROR(MATCH(A395,_LEITURA!$P$2:$P$21,0),99),2)&amp;M395&amp;RIGHT("00000"&amp;ROW(),5),"K"&amp;RIGHT("00000"&amp;ROW(),5))))))</f>
        <v/>
      </c>
      <c r="O395" s="16" t="str">
        <f aca="false">IF(N395="","",COUNTIFS($N$2:$N$1201,"&lt;"&amp;N395,$F$2:$F$1201,"&gt;0")+1)</f>
        <v/>
      </c>
    </row>
    <row r="396" customFormat="false" ht="15" hidden="false" customHeight="false" outlineLevel="0" collapsed="false">
      <c r="A396" s="11" t="str">
        <f aca="false">IF(_LEITURA!$N396="","",INDEX(_LEITURA!$K$2:$K$1201,_LEITURA!$N396))</f>
        <v/>
      </c>
      <c r="B396" s="11" t="str">
        <f aca="false">IF(_LEITURA!$N396="","",INDEX(_LEITURA!$E$2:$E$1201,_LEITURA!$N396))</f>
        <v/>
      </c>
      <c r="C396" s="11" t="str">
        <f aca="false">IF(_LEITURA!$N396="","",INDEX(_LEITURA!$J$2:$J$1201,_LEITURA!$N396))</f>
        <v/>
      </c>
      <c r="D396" s="16" t="str">
        <f aca="false">IF(_LEITURA!$N396="","",INDEX(_LEITURA!$G$2:$G$1201,_LEITURA!$N396))</f>
        <v/>
      </c>
      <c r="E396" s="16" t="str">
        <f aca="false">IF(B396="","",SUMIFS(INVENTÁRIO!$C$2:$C$801,INVENTÁRIO!$A$2:$A$801,B396))</f>
        <v/>
      </c>
      <c r="F396" s="16" t="str">
        <f aca="false">IF(B396="","",MAX(0,D396-E396))</f>
        <v/>
      </c>
      <c r="G396" s="16" t="str">
        <f aca="false">IF(B396="","",IF(COUNTIFS($B$2:$B$1201,B396,$A$2:$A$1201,"&lt;&gt;"&amp;A396)&gt;0,"Sim",""))</f>
        <v/>
      </c>
      <c r="H396" s="16" t="str">
        <f aca="false">IF(N(F396)&gt;0,MAX(H$1:H395)+1,"")</f>
        <v/>
      </c>
      <c r="I396" s="11" t="str">
        <f aca="false">IF(B396="","",IF(INDEX($C$2:$C$1201,MATCH(B396,$B$2:$B$1201,0))&lt;&gt;C396,"Nome diferente em outro deck — revisar",""))</f>
        <v/>
      </c>
      <c r="J396" s="16" t="str">
        <f aca="false">IF(AND(B396&lt;&gt;"",A396=BULK!$A$1,N(F396)&gt;0),MAX(J$1:J395)+1,"")</f>
        <v/>
      </c>
      <c r="K396" s="11" t="str">
        <f aca="false">IF(B396="","",IFERROR(LEFT(B396,FIND("-",B396)-1),B396))</f>
        <v/>
      </c>
      <c r="L396" s="11" t="str">
        <f aca="false">IF(K396="","",IF(ISNUMBER(--MID(K396,1,1)),0,IF(ISNUMBER(--MID(K396,2,1)),1,IF(ISNUMBER(--MID(K396,3,1)),2,IF(ISNUMBER(--MID(K396,4,1)),3,MIN(LEN(K396),4))))))</f>
        <v/>
      </c>
      <c r="M396" s="11" t="str">
        <f aca="false">IF(B396="","",LEFT(K396,L396)&amp;REPT("0",4-L396)&amp;RIGHT("000"&amp;IFERROR(VALUE(MID(K396,L396+1,9)),0),3)&amp;RIGHT("0000"&amp;IFERROR(VALUE(MID(B396,FIND("-",B396)+1,9)),0),4))</f>
        <v/>
      </c>
      <c r="N396" s="11" t="str">
        <f aca="false">IF(OR(B396="",N(F396)&lt;=0),"",IF('FALTAS POR DECK'!$P$1="Código","K"&amp;M396&amp;RIGHT("00000"&amp;ROW(),5),IF('FALTAS POR DECK'!$P$1="Nome","K"&amp;UPPER(SUBSTITUTE(SUBSTITUTE(SUBSTITUTE(C396,"*",""),"?",""),"~",""))&amp;"0"&amp;M396&amp;RIGHT("00000"&amp;ROW(),5),IF('FALTAS POR DECK'!$P$1="Falta (maior primeiro)","K"&amp;RIGHT("0000"&amp;(9999-F396),4)&amp;M396&amp;RIGHT("00000"&amp;ROW(),5),IF('FALTAS POR DECK'!$P$1="Deck e código","K"&amp;RIGHT("00"&amp;IFERROR(MATCH(A396,_LEITURA!$P$2:$P$21,0),99),2)&amp;M396&amp;RIGHT("00000"&amp;ROW(),5),"K"&amp;RIGHT("00000"&amp;ROW(),5))))))</f>
        <v/>
      </c>
      <c r="O396" s="16" t="str">
        <f aca="false">IF(N396="","",COUNTIFS($N$2:$N$1201,"&lt;"&amp;N396,$F$2:$F$1201,"&gt;0")+1)</f>
        <v/>
      </c>
    </row>
    <row r="397" customFormat="false" ht="15" hidden="false" customHeight="false" outlineLevel="0" collapsed="false">
      <c r="A397" s="11" t="str">
        <f aca="false">IF(_LEITURA!$N397="","",INDEX(_LEITURA!$K$2:$K$1201,_LEITURA!$N397))</f>
        <v/>
      </c>
      <c r="B397" s="11" t="str">
        <f aca="false">IF(_LEITURA!$N397="","",INDEX(_LEITURA!$E$2:$E$1201,_LEITURA!$N397))</f>
        <v/>
      </c>
      <c r="C397" s="11" t="str">
        <f aca="false">IF(_LEITURA!$N397="","",INDEX(_LEITURA!$J$2:$J$1201,_LEITURA!$N397))</f>
        <v/>
      </c>
      <c r="D397" s="16" t="str">
        <f aca="false">IF(_LEITURA!$N397="","",INDEX(_LEITURA!$G$2:$G$1201,_LEITURA!$N397))</f>
        <v/>
      </c>
      <c r="E397" s="16" t="str">
        <f aca="false">IF(B397="","",SUMIFS(INVENTÁRIO!$C$2:$C$801,INVENTÁRIO!$A$2:$A$801,B397))</f>
        <v/>
      </c>
      <c r="F397" s="16" t="str">
        <f aca="false">IF(B397="","",MAX(0,D397-E397))</f>
        <v/>
      </c>
      <c r="G397" s="16" t="str">
        <f aca="false">IF(B397="","",IF(COUNTIFS($B$2:$B$1201,B397,$A$2:$A$1201,"&lt;&gt;"&amp;A397)&gt;0,"Sim",""))</f>
        <v/>
      </c>
      <c r="H397" s="16" t="str">
        <f aca="false">IF(N(F397)&gt;0,MAX(H$1:H396)+1,"")</f>
        <v/>
      </c>
      <c r="I397" s="11" t="str">
        <f aca="false">IF(B397="","",IF(INDEX($C$2:$C$1201,MATCH(B397,$B$2:$B$1201,0))&lt;&gt;C397,"Nome diferente em outro deck — revisar",""))</f>
        <v/>
      </c>
      <c r="J397" s="16" t="str">
        <f aca="false">IF(AND(B397&lt;&gt;"",A397=BULK!$A$1,N(F397)&gt;0),MAX(J$1:J396)+1,"")</f>
        <v/>
      </c>
      <c r="K397" s="11" t="str">
        <f aca="false">IF(B397="","",IFERROR(LEFT(B397,FIND("-",B397)-1),B397))</f>
        <v/>
      </c>
      <c r="L397" s="11" t="str">
        <f aca="false">IF(K397="","",IF(ISNUMBER(--MID(K397,1,1)),0,IF(ISNUMBER(--MID(K397,2,1)),1,IF(ISNUMBER(--MID(K397,3,1)),2,IF(ISNUMBER(--MID(K397,4,1)),3,MIN(LEN(K397),4))))))</f>
        <v/>
      </c>
      <c r="M397" s="11" t="str">
        <f aca="false">IF(B397="","",LEFT(K397,L397)&amp;REPT("0",4-L397)&amp;RIGHT("000"&amp;IFERROR(VALUE(MID(K397,L397+1,9)),0),3)&amp;RIGHT("0000"&amp;IFERROR(VALUE(MID(B397,FIND("-",B397)+1,9)),0),4))</f>
        <v/>
      </c>
      <c r="N397" s="11" t="str">
        <f aca="false">IF(OR(B397="",N(F397)&lt;=0),"",IF('FALTAS POR DECK'!$P$1="Código","K"&amp;M397&amp;RIGHT("00000"&amp;ROW(),5),IF('FALTAS POR DECK'!$P$1="Nome","K"&amp;UPPER(SUBSTITUTE(SUBSTITUTE(SUBSTITUTE(C397,"*",""),"?",""),"~",""))&amp;"0"&amp;M397&amp;RIGHT("00000"&amp;ROW(),5),IF('FALTAS POR DECK'!$P$1="Falta (maior primeiro)","K"&amp;RIGHT("0000"&amp;(9999-F397),4)&amp;M397&amp;RIGHT("00000"&amp;ROW(),5),IF('FALTAS POR DECK'!$P$1="Deck e código","K"&amp;RIGHT("00"&amp;IFERROR(MATCH(A397,_LEITURA!$P$2:$P$21,0),99),2)&amp;M397&amp;RIGHT("00000"&amp;ROW(),5),"K"&amp;RIGHT("00000"&amp;ROW(),5))))))</f>
        <v/>
      </c>
      <c r="O397" s="16" t="str">
        <f aca="false">IF(N397="","",COUNTIFS($N$2:$N$1201,"&lt;"&amp;N397,$F$2:$F$1201,"&gt;0")+1)</f>
        <v/>
      </c>
    </row>
    <row r="398" customFormat="false" ht="15" hidden="false" customHeight="false" outlineLevel="0" collapsed="false">
      <c r="A398" s="11" t="str">
        <f aca="false">IF(_LEITURA!$N398="","",INDEX(_LEITURA!$K$2:$K$1201,_LEITURA!$N398))</f>
        <v/>
      </c>
      <c r="B398" s="11" t="str">
        <f aca="false">IF(_LEITURA!$N398="","",INDEX(_LEITURA!$E$2:$E$1201,_LEITURA!$N398))</f>
        <v/>
      </c>
      <c r="C398" s="11" t="str">
        <f aca="false">IF(_LEITURA!$N398="","",INDEX(_LEITURA!$J$2:$J$1201,_LEITURA!$N398))</f>
        <v/>
      </c>
      <c r="D398" s="16" t="str">
        <f aca="false">IF(_LEITURA!$N398="","",INDEX(_LEITURA!$G$2:$G$1201,_LEITURA!$N398))</f>
        <v/>
      </c>
      <c r="E398" s="16" t="str">
        <f aca="false">IF(B398="","",SUMIFS(INVENTÁRIO!$C$2:$C$801,INVENTÁRIO!$A$2:$A$801,B398))</f>
        <v/>
      </c>
      <c r="F398" s="16" t="str">
        <f aca="false">IF(B398="","",MAX(0,D398-E398))</f>
        <v/>
      </c>
      <c r="G398" s="16" t="str">
        <f aca="false">IF(B398="","",IF(COUNTIFS($B$2:$B$1201,B398,$A$2:$A$1201,"&lt;&gt;"&amp;A398)&gt;0,"Sim",""))</f>
        <v/>
      </c>
      <c r="H398" s="16" t="str">
        <f aca="false">IF(N(F398)&gt;0,MAX(H$1:H397)+1,"")</f>
        <v/>
      </c>
      <c r="I398" s="11" t="str">
        <f aca="false">IF(B398="","",IF(INDEX($C$2:$C$1201,MATCH(B398,$B$2:$B$1201,0))&lt;&gt;C398,"Nome diferente em outro deck — revisar",""))</f>
        <v/>
      </c>
      <c r="J398" s="16" t="str">
        <f aca="false">IF(AND(B398&lt;&gt;"",A398=BULK!$A$1,N(F398)&gt;0),MAX(J$1:J397)+1,"")</f>
        <v/>
      </c>
      <c r="K398" s="11" t="str">
        <f aca="false">IF(B398="","",IFERROR(LEFT(B398,FIND("-",B398)-1),B398))</f>
        <v/>
      </c>
      <c r="L398" s="11" t="str">
        <f aca="false">IF(K398="","",IF(ISNUMBER(--MID(K398,1,1)),0,IF(ISNUMBER(--MID(K398,2,1)),1,IF(ISNUMBER(--MID(K398,3,1)),2,IF(ISNUMBER(--MID(K398,4,1)),3,MIN(LEN(K398),4))))))</f>
        <v/>
      </c>
      <c r="M398" s="11" t="str">
        <f aca="false">IF(B398="","",LEFT(K398,L398)&amp;REPT("0",4-L398)&amp;RIGHT("000"&amp;IFERROR(VALUE(MID(K398,L398+1,9)),0),3)&amp;RIGHT("0000"&amp;IFERROR(VALUE(MID(B398,FIND("-",B398)+1,9)),0),4))</f>
        <v/>
      </c>
      <c r="N398" s="11" t="str">
        <f aca="false">IF(OR(B398="",N(F398)&lt;=0),"",IF('FALTAS POR DECK'!$P$1="Código","K"&amp;M398&amp;RIGHT("00000"&amp;ROW(),5),IF('FALTAS POR DECK'!$P$1="Nome","K"&amp;UPPER(SUBSTITUTE(SUBSTITUTE(SUBSTITUTE(C398,"*",""),"?",""),"~",""))&amp;"0"&amp;M398&amp;RIGHT("00000"&amp;ROW(),5),IF('FALTAS POR DECK'!$P$1="Falta (maior primeiro)","K"&amp;RIGHT("0000"&amp;(9999-F398),4)&amp;M398&amp;RIGHT("00000"&amp;ROW(),5),IF('FALTAS POR DECK'!$P$1="Deck e código","K"&amp;RIGHT("00"&amp;IFERROR(MATCH(A398,_LEITURA!$P$2:$P$21,0),99),2)&amp;M398&amp;RIGHT("00000"&amp;ROW(),5),"K"&amp;RIGHT("00000"&amp;ROW(),5))))))</f>
        <v/>
      </c>
      <c r="O398" s="16" t="str">
        <f aca="false">IF(N398="","",COUNTIFS($N$2:$N$1201,"&lt;"&amp;N398,$F$2:$F$1201,"&gt;0")+1)</f>
        <v/>
      </c>
    </row>
    <row r="399" customFormat="false" ht="15" hidden="false" customHeight="false" outlineLevel="0" collapsed="false">
      <c r="A399" s="11" t="str">
        <f aca="false">IF(_LEITURA!$N399="","",INDEX(_LEITURA!$K$2:$K$1201,_LEITURA!$N399))</f>
        <v/>
      </c>
      <c r="B399" s="11" t="str">
        <f aca="false">IF(_LEITURA!$N399="","",INDEX(_LEITURA!$E$2:$E$1201,_LEITURA!$N399))</f>
        <v/>
      </c>
      <c r="C399" s="11" t="str">
        <f aca="false">IF(_LEITURA!$N399="","",INDEX(_LEITURA!$J$2:$J$1201,_LEITURA!$N399))</f>
        <v/>
      </c>
      <c r="D399" s="16" t="str">
        <f aca="false">IF(_LEITURA!$N399="","",INDEX(_LEITURA!$G$2:$G$1201,_LEITURA!$N399))</f>
        <v/>
      </c>
      <c r="E399" s="16" t="str">
        <f aca="false">IF(B399="","",SUMIFS(INVENTÁRIO!$C$2:$C$801,INVENTÁRIO!$A$2:$A$801,B399))</f>
        <v/>
      </c>
      <c r="F399" s="16" t="str">
        <f aca="false">IF(B399="","",MAX(0,D399-E399))</f>
        <v/>
      </c>
      <c r="G399" s="16" t="str">
        <f aca="false">IF(B399="","",IF(COUNTIFS($B$2:$B$1201,B399,$A$2:$A$1201,"&lt;&gt;"&amp;A399)&gt;0,"Sim",""))</f>
        <v/>
      </c>
      <c r="H399" s="16" t="str">
        <f aca="false">IF(N(F399)&gt;0,MAX(H$1:H398)+1,"")</f>
        <v/>
      </c>
      <c r="I399" s="11" t="str">
        <f aca="false">IF(B399="","",IF(INDEX($C$2:$C$1201,MATCH(B399,$B$2:$B$1201,0))&lt;&gt;C399,"Nome diferente em outro deck — revisar",""))</f>
        <v/>
      </c>
      <c r="J399" s="16" t="str">
        <f aca="false">IF(AND(B399&lt;&gt;"",A399=BULK!$A$1,N(F399)&gt;0),MAX(J$1:J398)+1,"")</f>
        <v/>
      </c>
      <c r="K399" s="11" t="str">
        <f aca="false">IF(B399="","",IFERROR(LEFT(B399,FIND("-",B399)-1),B399))</f>
        <v/>
      </c>
      <c r="L399" s="11" t="str">
        <f aca="false">IF(K399="","",IF(ISNUMBER(--MID(K399,1,1)),0,IF(ISNUMBER(--MID(K399,2,1)),1,IF(ISNUMBER(--MID(K399,3,1)),2,IF(ISNUMBER(--MID(K399,4,1)),3,MIN(LEN(K399),4))))))</f>
        <v/>
      </c>
      <c r="M399" s="11" t="str">
        <f aca="false">IF(B399="","",LEFT(K399,L399)&amp;REPT("0",4-L399)&amp;RIGHT("000"&amp;IFERROR(VALUE(MID(K399,L399+1,9)),0),3)&amp;RIGHT("0000"&amp;IFERROR(VALUE(MID(B399,FIND("-",B399)+1,9)),0),4))</f>
        <v/>
      </c>
      <c r="N399" s="11" t="str">
        <f aca="false">IF(OR(B399="",N(F399)&lt;=0),"",IF('FALTAS POR DECK'!$P$1="Código","K"&amp;M399&amp;RIGHT("00000"&amp;ROW(),5),IF('FALTAS POR DECK'!$P$1="Nome","K"&amp;UPPER(SUBSTITUTE(SUBSTITUTE(SUBSTITUTE(C399,"*",""),"?",""),"~",""))&amp;"0"&amp;M399&amp;RIGHT("00000"&amp;ROW(),5),IF('FALTAS POR DECK'!$P$1="Falta (maior primeiro)","K"&amp;RIGHT("0000"&amp;(9999-F399),4)&amp;M399&amp;RIGHT("00000"&amp;ROW(),5),IF('FALTAS POR DECK'!$P$1="Deck e código","K"&amp;RIGHT("00"&amp;IFERROR(MATCH(A399,_LEITURA!$P$2:$P$21,0),99),2)&amp;M399&amp;RIGHT("00000"&amp;ROW(),5),"K"&amp;RIGHT("00000"&amp;ROW(),5))))))</f>
        <v/>
      </c>
      <c r="O399" s="16" t="str">
        <f aca="false">IF(N399="","",COUNTIFS($N$2:$N$1201,"&lt;"&amp;N399,$F$2:$F$1201,"&gt;0")+1)</f>
        <v/>
      </c>
    </row>
    <row r="400" customFormat="false" ht="15" hidden="false" customHeight="false" outlineLevel="0" collapsed="false">
      <c r="A400" s="11" t="str">
        <f aca="false">IF(_LEITURA!$N400="","",INDEX(_LEITURA!$K$2:$K$1201,_LEITURA!$N400))</f>
        <v/>
      </c>
      <c r="B400" s="11" t="str">
        <f aca="false">IF(_LEITURA!$N400="","",INDEX(_LEITURA!$E$2:$E$1201,_LEITURA!$N400))</f>
        <v/>
      </c>
      <c r="C400" s="11" t="str">
        <f aca="false">IF(_LEITURA!$N400="","",INDEX(_LEITURA!$J$2:$J$1201,_LEITURA!$N400))</f>
        <v/>
      </c>
      <c r="D400" s="16" t="str">
        <f aca="false">IF(_LEITURA!$N400="","",INDEX(_LEITURA!$G$2:$G$1201,_LEITURA!$N400))</f>
        <v/>
      </c>
      <c r="E400" s="16" t="str">
        <f aca="false">IF(B400="","",SUMIFS(INVENTÁRIO!$C$2:$C$801,INVENTÁRIO!$A$2:$A$801,B400))</f>
        <v/>
      </c>
      <c r="F400" s="16" t="str">
        <f aca="false">IF(B400="","",MAX(0,D400-E400))</f>
        <v/>
      </c>
      <c r="G400" s="16" t="str">
        <f aca="false">IF(B400="","",IF(COUNTIFS($B$2:$B$1201,B400,$A$2:$A$1201,"&lt;&gt;"&amp;A400)&gt;0,"Sim",""))</f>
        <v/>
      </c>
      <c r="H400" s="16" t="str">
        <f aca="false">IF(N(F400)&gt;0,MAX(H$1:H399)+1,"")</f>
        <v/>
      </c>
      <c r="I400" s="11" t="str">
        <f aca="false">IF(B400="","",IF(INDEX($C$2:$C$1201,MATCH(B400,$B$2:$B$1201,0))&lt;&gt;C400,"Nome diferente em outro deck — revisar",""))</f>
        <v/>
      </c>
      <c r="J400" s="16" t="str">
        <f aca="false">IF(AND(B400&lt;&gt;"",A400=BULK!$A$1,N(F400)&gt;0),MAX(J$1:J399)+1,"")</f>
        <v/>
      </c>
      <c r="K400" s="11" t="str">
        <f aca="false">IF(B400="","",IFERROR(LEFT(B400,FIND("-",B400)-1),B400))</f>
        <v/>
      </c>
      <c r="L400" s="11" t="str">
        <f aca="false">IF(K400="","",IF(ISNUMBER(--MID(K400,1,1)),0,IF(ISNUMBER(--MID(K400,2,1)),1,IF(ISNUMBER(--MID(K400,3,1)),2,IF(ISNUMBER(--MID(K400,4,1)),3,MIN(LEN(K400),4))))))</f>
        <v/>
      </c>
      <c r="M400" s="11" t="str">
        <f aca="false">IF(B400="","",LEFT(K400,L400)&amp;REPT("0",4-L400)&amp;RIGHT("000"&amp;IFERROR(VALUE(MID(K400,L400+1,9)),0),3)&amp;RIGHT("0000"&amp;IFERROR(VALUE(MID(B400,FIND("-",B400)+1,9)),0),4))</f>
        <v/>
      </c>
      <c r="N400" s="11" t="str">
        <f aca="false">IF(OR(B400="",N(F400)&lt;=0),"",IF('FALTAS POR DECK'!$P$1="Código","K"&amp;M400&amp;RIGHT("00000"&amp;ROW(),5),IF('FALTAS POR DECK'!$P$1="Nome","K"&amp;UPPER(SUBSTITUTE(SUBSTITUTE(SUBSTITUTE(C400,"*",""),"?",""),"~",""))&amp;"0"&amp;M400&amp;RIGHT("00000"&amp;ROW(),5),IF('FALTAS POR DECK'!$P$1="Falta (maior primeiro)","K"&amp;RIGHT("0000"&amp;(9999-F400),4)&amp;M400&amp;RIGHT("00000"&amp;ROW(),5),IF('FALTAS POR DECK'!$P$1="Deck e código","K"&amp;RIGHT("00"&amp;IFERROR(MATCH(A400,_LEITURA!$P$2:$P$21,0),99),2)&amp;M400&amp;RIGHT("00000"&amp;ROW(),5),"K"&amp;RIGHT("00000"&amp;ROW(),5))))))</f>
        <v/>
      </c>
      <c r="O400" s="16" t="str">
        <f aca="false">IF(N400="","",COUNTIFS($N$2:$N$1201,"&lt;"&amp;N400,$F$2:$F$1201,"&gt;0")+1)</f>
        <v/>
      </c>
    </row>
    <row r="401" customFormat="false" ht="15" hidden="false" customHeight="false" outlineLevel="0" collapsed="false">
      <c r="A401" s="11" t="str">
        <f aca="false">IF(_LEITURA!$N401="","",INDEX(_LEITURA!$K$2:$K$1201,_LEITURA!$N401))</f>
        <v/>
      </c>
      <c r="B401" s="11" t="str">
        <f aca="false">IF(_LEITURA!$N401="","",INDEX(_LEITURA!$E$2:$E$1201,_LEITURA!$N401))</f>
        <v/>
      </c>
      <c r="C401" s="11" t="str">
        <f aca="false">IF(_LEITURA!$N401="","",INDEX(_LEITURA!$J$2:$J$1201,_LEITURA!$N401))</f>
        <v/>
      </c>
      <c r="D401" s="16" t="str">
        <f aca="false">IF(_LEITURA!$N401="","",INDEX(_LEITURA!$G$2:$G$1201,_LEITURA!$N401))</f>
        <v/>
      </c>
      <c r="E401" s="16" t="str">
        <f aca="false">IF(B401="","",SUMIFS(INVENTÁRIO!$C$2:$C$801,INVENTÁRIO!$A$2:$A$801,B401))</f>
        <v/>
      </c>
      <c r="F401" s="16" t="str">
        <f aca="false">IF(B401="","",MAX(0,D401-E401))</f>
        <v/>
      </c>
      <c r="G401" s="16" t="str">
        <f aca="false">IF(B401="","",IF(COUNTIFS($B$2:$B$1201,B401,$A$2:$A$1201,"&lt;&gt;"&amp;A401)&gt;0,"Sim",""))</f>
        <v/>
      </c>
      <c r="H401" s="16" t="str">
        <f aca="false">IF(N(F401)&gt;0,MAX(H$1:H400)+1,"")</f>
        <v/>
      </c>
      <c r="I401" s="11" t="str">
        <f aca="false">IF(B401="","",IF(INDEX($C$2:$C$1201,MATCH(B401,$B$2:$B$1201,0))&lt;&gt;C401,"Nome diferente em outro deck — revisar",""))</f>
        <v/>
      </c>
      <c r="J401" s="16" t="str">
        <f aca="false">IF(AND(B401&lt;&gt;"",A401=BULK!$A$1,N(F401)&gt;0),MAX(J$1:J400)+1,"")</f>
        <v/>
      </c>
      <c r="K401" s="11" t="str">
        <f aca="false">IF(B401="","",IFERROR(LEFT(B401,FIND("-",B401)-1),B401))</f>
        <v/>
      </c>
      <c r="L401" s="11" t="str">
        <f aca="false">IF(K401="","",IF(ISNUMBER(--MID(K401,1,1)),0,IF(ISNUMBER(--MID(K401,2,1)),1,IF(ISNUMBER(--MID(K401,3,1)),2,IF(ISNUMBER(--MID(K401,4,1)),3,MIN(LEN(K401),4))))))</f>
        <v/>
      </c>
      <c r="M401" s="11" t="str">
        <f aca="false">IF(B401="","",LEFT(K401,L401)&amp;REPT("0",4-L401)&amp;RIGHT("000"&amp;IFERROR(VALUE(MID(K401,L401+1,9)),0),3)&amp;RIGHT("0000"&amp;IFERROR(VALUE(MID(B401,FIND("-",B401)+1,9)),0),4))</f>
        <v/>
      </c>
      <c r="N401" s="11" t="str">
        <f aca="false">IF(OR(B401="",N(F401)&lt;=0),"",IF('FALTAS POR DECK'!$P$1="Código","K"&amp;M401&amp;RIGHT("00000"&amp;ROW(),5),IF('FALTAS POR DECK'!$P$1="Nome","K"&amp;UPPER(SUBSTITUTE(SUBSTITUTE(SUBSTITUTE(C401,"*",""),"?",""),"~",""))&amp;"0"&amp;M401&amp;RIGHT("00000"&amp;ROW(),5),IF('FALTAS POR DECK'!$P$1="Falta (maior primeiro)","K"&amp;RIGHT("0000"&amp;(9999-F401),4)&amp;M401&amp;RIGHT("00000"&amp;ROW(),5),IF('FALTAS POR DECK'!$P$1="Deck e código","K"&amp;RIGHT("00"&amp;IFERROR(MATCH(A401,_LEITURA!$P$2:$P$21,0),99),2)&amp;M401&amp;RIGHT("00000"&amp;ROW(),5),"K"&amp;RIGHT("00000"&amp;ROW(),5))))))</f>
        <v/>
      </c>
      <c r="O401" s="16" t="str">
        <f aca="false">IF(N401="","",COUNTIFS($N$2:$N$1201,"&lt;"&amp;N401,$F$2:$F$1201,"&gt;0")+1)</f>
        <v/>
      </c>
    </row>
    <row r="402" customFormat="false" ht="15" hidden="false" customHeight="false" outlineLevel="0" collapsed="false">
      <c r="A402" s="11" t="str">
        <f aca="false">IF(_LEITURA!$N402="","",INDEX(_LEITURA!$K$2:$K$1201,_LEITURA!$N402))</f>
        <v/>
      </c>
      <c r="B402" s="11" t="str">
        <f aca="false">IF(_LEITURA!$N402="","",INDEX(_LEITURA!$E$2:$E$1201,_LEITURA!$N402))</f>
        <v/>
      </c>
      <c r="C402" s="11" t="str">
        <f aca="false">IF(_LEITURA!$N402="","",INDEX(_LEITURA!$J$2:$J$1201,_LEITURA!$N402))</f>
        <v/>
      </c>
      <c r="D402" s="16" t="str">
        <f aca="false">IF(_LEITURA!$N402="","",INDEX(_LEITURA!$G$2:$G$1201,_LEITURA!$N402))</f>
        <v/>
      </c>
      <c r="E402" s="16" t="str">
        <f aca="false">IF(B402="","",SUMIFS(INVENTÁRIO!$C$2:$C$801,INVENTÁRIO!$A$2:$A$801,B402))</f>
        <v/>
      </c>
      <c r="F402" s="16" t="str">
        <f aca="false">IF(B402="","",MAX(0,D402-E402))</f>
        <v/>
      </c>
      <c r="G402" s="16" t="str">
        <f aca="false">IF(B402="","",IF(COUNTIFS($B$2:$B$1201,B402,$A$2:$A$1201,"&lt;&gt;"&amp;A402)&gt;0,"Sim",""))</f>
        <v/>
      </c>
      <c r="H402" s="16" t="str">
        <f aca="false">IF(N(F402)&gt;0,MAX(H$1:H401)+1,"")</f>
        <v/>
      </c>
      <c r="I402" s="11" t="str">
        <f aca="false">IF(B402="","",IF(INDEX($C$2:$C$1201,MATCH(B402,$B$2:$B$1201,0))&lt;&gt;C402,"Nome diferente em outro deck — revisar",""))</f>
        <v/>
      </c>
      <c r="J402" s="16" t="str">
        <f aca="false">IF(AND(B402&lt;&gt;"",A402=BULK!$A$1,N(F402)&gt;0),MAX(J$1:J401)+1,"")</f>
        <v/>
      </c>
      <c r="K402" s="11" t="str">
        <f aca="false">IF(B402="","",IFERROR(LEFT(B402,FIND("-",B402)-1),B402))</f>
        <v/>
      </c>
      <c r="L402" s="11" t="str">
        <f aca="false">IF(K402="","",IF(ISNUMBER(--MID(K402,1,1)),0,IF(ISNUMBER(--MID(K402,2,1)),1,IF(ISNUMBER(--MID(K402,3,1)),2,IF(ISNUMBER(--MID(K402,4,1)),3,MIN(LEN(K402),4))))))</f>
        <v/>
      </c>
      <c r="M402" s="11" t="str">
        <f aca="false">IF(B402="","",LEFT(K402,L402)&amp;REPT("0",4-L402)&amp;RIGHT("000"&amp;IFERROR(VALUE(MID(K402,L402+1,9)),0),3)&amp;RIGHT("0000"&amp;IFERROR(VALUE(MID(B402,FIND("-",B402)+1,9)),0),4))</f>
        <v/>
      </c>
      <c r="N402" s="11" t="str">
        <f aca="false">IF(OR(B402="",N(F402)&lt;=0),"",IF('FALTAS POR DECK'!$P$1="Código","K"&amp;M402&amp;RIGHT("00000"&amp;ROW(),5),IF('FALTAS POR DECK'!$P$1="Nome","K"&amp;UPPER(SUBSTITUTE(SUBSTITUTE(SUBSTITUTE(C402,"*",""),"?",""),"~",""))&amp;"0"&amp;M402&amp;RIGHT("00000"&amp;ROW(),5),IF('FALTAS POR DECK'!$P$1="Falta (maior primeiro)","K"&amp;RIGHT("0000"&amp;(9999-F402),4)&amp;M402&amp;RIGHT("00000"&amp;ROW(),5),IF('FALTAS POR DECK'!$P$1="Deck e código","K"&amp;RIGHT("00"&amp;IFERROR(MATCH(A402,_LEITURA!$P$2:$P$21,0),99),2)&amp;M402&amp;RIGHT("00000"&amp;ROW(),5),"K"&amp;RIGHT("00000"&amp;ROW(),5))))))</f>
        <v/>
      </c>
      <c r="O402" s="16" t="str">
        <f aca="false">IF(N402="","",COUNTIFS($N$2:$N$1201,"&lt;"&amp;N402,$F$2:$F$1201,"&gt;0")+1)</f>
        <v/>
      </c>
    </row>
    <row r="403" customFormat="false" ht="15" hidden="false" customHeight="false" outlineLevel="0" collapsed="false">
      <c r="A403" s="11" t="str">
        <f aca="false">IF(_LEITURA!$N403="","",INDEX(_LEITURA!$K$2:$K$1201,_LEITURA!$N403))</f>
        <v/>
      </c>
      <c r="B403" s="11" t="str">
        <f aca="false">IF(_LEITURA!$N403="","",INDEX(_LEITURA!$E$2:$E$1201,_LEITURA!$N403))</f>
        <v/>
      </c>
      <c r="C403" s="11" t="str">
        <f aca="false">IF(_LEITURA!$N403="","",INDEX(_LEITURA!$J$2:$J$1201,_LEITURA!$N403))</f>
        <v/>
      </c>
      <c r="D403" s="16" t="str">
        <f aca="false">IF(_LEITURA!$N403="","",INDEX(_LEITURA!$G$2:$G$1201,_LEITURA!$N403))</f>
        <v/>
      </c>
      <c r="E403" s="16" t="str">
        <f aca="false">IF(B403="","",SUMIFS(INVENTÁRIO!$C$2:$C$801,INVENTÁRIO!$A$2:$A$801,B403))</f>
        <v/>
      </c>
      <c r="F403" s="16" t="str">
        <f aca="false">IF(B403="","",MAX(0,D403-E403))</f>
        <v/>
      </c>
      <c r="G403" s="16" t="str">
        <f aca="false">IF(B403="","",IF(COUNTIFS($B$2:$B$1201,B403,$A$2:$A$1201,"&lt;&gt;"&amp;A403)&gt;0,"Sim",""))</f>
        <v/>
      </c>
      <c r="H403" s="16" t="str">
        <f aca="false">IF(N(F403)&gt;0,MAX(H$1:H402)+1,"")</f>
        <v/>
      </c>
      <c r="I403" s="11" t="str">
        <f aca="false">IF(B403="","",IF(INDEX($C$2:$C$1201,MATCH(B403,$B$2:$B$1201,0))&lt;&gt;C403,"Nome diferente em outro deck — revisar",""))</f>
        <v/>
      </c>
      <c r="J403" s="16" t="str">
        <f aca="false">IF(AND(B403&lt;&gt;"",A403=BULK!$A$1,N(F403)&gt;0),MAX(J$1:J402)+1,"")</f>
        <v/>
      </c>
      <c r="K403" s="11" t="str">
        <f aca="false">IF(B403="","",IFERROR(LEFT(B403,FIND("-",B403)-1),B403))</f>
        <v/>
      </c>
      <c r="L403" s="11" t="str">
        <f aca="false">IF(K403="","",IF(ISNUMBER(--MID(K403,1,1)),0,IF(ISNUMBER(--MID(K403,2,1)),1,IF(ISNUMBER(--MID(K403,3,1)),2,IF(ISNUMBER(--MID(K403,4,1)),3,MIN(LEN(K403),4))))))</f>
        <v/>
      </c>
      <c r="M403" s="11" t="str">
        <f aca="false">IF(B403="","",LEFT(K403,L403)&amp;REPT("0",4-L403)&amp;RIGHT("000"&amp;IFERROR(VALUE(MID(K403,L403+1,9)),0),3)&amp;RIGHT("0000"&amp;IFERROR(VALUE(MID(B403,FIND("-",B403)+1,9)),0),4))</f>
        <v/>
      </c>
      <c r="N403" s="11" t="str">
        <f aca="false">IF(OR(B403="",N(F403)&lt;=0),"",IF('FALTAS POR DECK'!$P$1="Código","K"&amp;M403&amp;RIGHT("00000"&amp;ROW(),5),IF('FALTAS POR DECK'!$P$1="Nome","K"&amp;UPPER(SUBSTITUTE(SUBSTITUTE(SUBSTITUTE(C403,"*",""),"?",""),"~",""))&amp;"0"&amp;M403&amp;RIGHT("00000"&amp;ROW(),5),IF('FALTAS POR DECK'!$P$1="Falta (maior primeiro)","K"&amp;RIGHT("0000"&amp;(9999-F403),4)&amp;M403&amp;RIGHT("00000"&amp;ROW(),5),IF('FALTAS POR DECK'!$P$1="Deck e código","K"&amp;RIGHT("00"&amp;IFERROR(MATCH(A403,_LEITURA!$P$2:$P$21,0),99),2)&amp;M403&amp;RIGHT("00000"&amp;ROW(),5),"K"&amp;RIGHT("00000"&amp;ROW(),5))))))</f>
        <v/>
      </c>
      <c r="O403" s="16" t="str">
        <f aca="false">IF(N403="","",COUNTIFS($N$2:$N$1201,"&lt;"&amp;N403,$F$2:$F$1201,"&gt;0")+1)</f>
        <v/>
      </c>
    </row>
    <row r="404" customFormat="false" ht="15" hidden="false" customHeight="false" outlineLevel="0" collapsed="false">
      <c r="A404" s="11" t="str">
        <f aca="false">IF(_LEITURA!$N404="","",INDEX(_LEITURA!$K$2:$K$1201,_LEITURA!$N404))</f>
        <v/>
      </c>
      <c r="B404" s="11" t="str">
        <f aca="false">IF(_LEITURA!$N404="","",INDEX(_LEITURA!$E$2:$E$1201,_LEITURA!$N404))</f>
        <v/>
      </c>
      <c r="C404" s="11" t="str">
        <f aca="false">IF(_LEITURA!$N404="","",INDEX(_LEITURA!$J$2:$J$1201,_LEITURA!$N404))</f>
        <v/>
      </c>
      <c r="D404" s="16" t="str">
        <f aca="false">IF(_LEITURA!$N404="","",INDEX(_LEITURA!$G$2:$G$1201,_LEITURA!$N404))</f>
        <v/>
      </c>
      <c r="E404" s="16" t="str">
        <f aca="false">IF(B404="","",SUMIFS(INVENTÁRIO!$C$2:$C$801,INVENTÁRIO!$A$2:$A$801,B404))</f>
        <v/>
      </c>
      <c r="F404" s="16" t="str">
        <f aca="false">IF(B404="","",MAX(0,D404-E404))</f>
        <v/>
      </c>
      <c r="G404" s="16" t="str">
        <f aca="false">IF(B404="","",IF(COUNTIFS($B$2:$B$1201,B404,$A$2:$A$1201,"&lt;&gt;"&amp;A404)&gt;0,"Sim",""))</f>
        <v/>
      </c>
      <c r="H404" s="16" t="str">
        <f aca="false">IF(N(F404)&gt;0,MAX(H$1:H403)+1,"")</f>
        <v/>
      </c>
      <c r="I404" s="11" t="str">
        <f aca="false">IF(B404="","",IF(INDEX($C$2:$C$1201,MATCH(B404,$B$2:$B$1201,0))&lt;&gt;C404,"Nome diferente em outro deck — revisar",""))</f>
        <v/>
      </c>
      <c r="J404" s="16" t="str">
        <f aca="false">IF(AND(B404&lt;&gt;"",A404=BULK!$A$1,N(F404)&gt;0),MAX(J$1:J403)+1,"")</f>
        <v/>
      </c>
      <c r="K404" s="11" t="str">
        <f aca="false">IF(B404="","",IFERROR(LEFT(B404,FIND("-",B404)-1),B404))</f>
        <v/>
      </c>
      <c r="L404" s="11" t="str">
        <f aca="false">IF(K404="","",IF(ISNUMBER(--MID(K404,1,1)),0,IF(ISNUMBER(--MID(K404,2,1)),1,IF(ISNUMBER(--MID(K404,3,1)),2,IF(ISNUMBER(--MID(K404,4,1)),3,MIN(LEN(K404),4))))))</f>
        <v/>
      </c>
      <c r="M404" s="11" t="str">
        <f aca="false">IF(B404="","",LEFT(K404,L404)&amp;REPT("0",4-L404)&amp;RIGHT("000"&amp;IFERROR(VALUE(MID(K404,L404+1,9)),0),3)&amp;RIGHT("0000"&amp;IFERROR(VALUE(MID(B404,FIND("-",B404)+1,9)),0),4))</f>
        <v/>
      </c>
      <c r="N404" s="11" t="str">
        <f aca="false">IF(OR(B404="",N(F404)&lt;=0),"",IF('FALTAS POR DECK'!$P$1="Código","K"&amp;M404&amp;RIGHT("00000"&amp;ROW(),5),IF('FALTAS POR DECK'!$P$1="Nome","K"&amp;UPPER(SUBSTITUTE(SUBSTITUTE(SUBSTITUTE(C404,"*",""),"?",""),"~",""))&amp;"0"&amp;M404&amp;RIGHT("00000"&amp;ROW(),5),IF('FALTAS POR DECK'!$P$1="Falta (maior primeiro)","K"&amp;RIGHT("0000"&amp;(9999-F404),4)&amp;M404&amp;RIGHT("00000"&amp;ROW(),5),IF('FALTAS POR DECK'!$P$1="Deck e código","K"&amp;RIGHT("00"&amp;IFERROR(MATCH(A404,_LEITURA!$P$2:$P$21,0),99),2)&amp;M404&amp;RIGHT("00000"&amp;ROW(),5),"K"&amp;RIGHT("00000"&amp;ROW(),5))))))</f>
        <v/>
      </c>
      <c r="O404" s="16" t="str">
        <f aca="false">IF(N404="","",COUNTIFS($N$2:$N$1201,"&lt;"&amp;N404,$F$2:$F$1201,"&gt;0")+1)</f>
        <v/>
      </c>
    </row>
    <row r="405" customFormat="false" ht="15" hidden="false" customHeight="false" outlineLevel="0" collapsed="false">
      <c r="A405" s="11" t="str">
        <f aca="false">IF(_LEITURA!$N405="","",INDEX(_LEITURA!$K$2:$K$1201,_LEITURA!$N405))</f>
        <v/>
      </c>
      <c r="B405" s="11" t="str">
        <f aca="false">IF(_LEITURA!$N405="","",INDEX(_LEITURA!$E$2:$E$1201,_LEITURA!$N405))</f>
        <v/>
      </c>
      <c r="C405" s="11" t="str">
        <f aca="false">IF(_LEITURA!$N405="","",INDEX(_LEITURA!$J$2:$J$1201,_LEITURA!$N405))</f>
        <v/>
      </c>
      <c r="D405" s="16" t="str">
        <f aca="false">IF(_LEITURA!$N405="","",INDEX(_LEITURA!$G$2:$G$1201,_LEITURA!$N405))</f>
        <v/>
      </c>
      <c r="E405" s="16" t="str">
        <f aca="false">IF(B405="","",SUMIFS(INVENTÁRIO!$C$2:$C$801,INVENTÁRIO!$A$2:$A$801,B405))</f>
        <v/>
      </c>
      <c r="F405" s="16" t="str">
        <f aca="false">IF(B405="","",MAX(0,D405-E405))</f>
        <v/>
      </c>
      <c r="G405" s="16" t="str">
        <f aca="false">IF(B405="","",IF(COUNTIFS($B$2:$B$1201,B405,$A$2:$A$1201,"&lt;&gt;"&amp;A405)&gt;0,"Sim",""))</f>
        <v/>
      </c>
      <c r="H405" s="16" t="str">
        <f aca="false">IF(N(F405)&gt;0,MAX(H$1:H404)+1,"")</f>
        <v/>
      </c>
      <c r="I405" s="11" t="str">
        <f aca="false">IF(B405="","",IF(INDEX($C$2:$C$1201,MATCH(B405,$B$2:$B$1201,0))&lt;&gt;C405,"Nome diferente em outro deck — revisar",""))</f>
        <v/>
      </c>
      <c r="J405" s="16" t="str">
        <f aca="false">IF(AND(B405&lt;&gt;"",A405=BULK!$A$1,N(F405)&gt;0),MAX(J$1:J404)+1,"")</f>
        <v/>
      </c>
      <c r="K405" s="11" t="str">
        <f aca="false">IF(B405="","",IFERROR(LEFT(B405,FIND("-",B405)-1),B405))</f>
        <v/>
      </c>
      <c r="L405" s="11" t="str">
        <f aca="false">IF(K405="","",IF(ISNUMBER(--MID(K405,1,1)),0,IF(ISNUMBER(--MID(K405,2,1)),1,IF(ISNUMBER(--MID(K405,3,1)),2,IF(ISNUMBER(--MID(K405,4,1)),3,MIN(LEN(K405),4))))))</f>
        <v/>
      </c>
      <c r="M405" s="11" t="str">
        <f aca="false">IF(B405="","",LEFT(K405,L405)&amp;REPT("0",4-L405)&amp;RIGHT("000"&amp;IFERROR(VALUE(MID(K405,L405+1,9)),0),3)&amp;RIGHT("0000"&amp;IFERROR(VALUE(MID(B405,FIND("-",B405)+1,9)),0),4))</f>
        <v/>
      </c>
      <c r="N405" s="11" t="str">
        <f aca="false">IF(OR(B405="",N(F405)&lt;=0),"",IF('FALTAS POR DECK'!$P$1="Código","K"&amp;M405&amp;RIGHT("00000"&amp;ROW(),5),IF('FALTAS POR DECK'!$P$1="Nome","K"&amp;UPPER(SUBSTITUTE(SUBSTITUTE(SUBSTITUTE(C405,"*",""),"?",""),"~",""))&amp;"0"&amp;M405&amp;RIGHT("00000"&amp;ROW(),5),IF('FALTAS POR DECK'!$P$1="Falta (maior primeiro)","K"&amp;RIGHT("0000"&amp;(9999-F405),4)&amp;M405&amp;RIGHT("00000"&amp;ROW(),5),IF('FALTAS POR DECK'!$P$1="Deck e código","K"&amp;RIGHT("00"&amp;IFERROR(MATCH(A405,_LEITURA!$P$2:$P$21,0),99),2)&amp;M405&amp;RIGHT("00000"&amp;ROW(),5),"K"&amp;RIGHT("00000"&amp;ROW(),5))))))</f>
        <v/>
      </c>
      <c r="O405" s="16" t="str">
        <f aca="false">IF(N405="","",COUNTIFS($N$2:$N$1201,"&lt;"&amp;N405,$F$2:$F$1201,"&gt;0")+1)</f>
        <v/>
      </c>
    </row>
    <row r="406" customFormat="false" ht="15" hidden="false" customHeight="false" outlineLevel="0" collapsed="false">
      <c r="A406" s="11" t="str">
        <f aca="false">IF(_LEITURA!$N406="","",INDEX(_LEITURA!$K$2:$K$1201,_LEITURA!$N406))</f>
        <v/>
      </c>
      <c r="B406" s="11" t="str">
        <f aca="false">IF(_LEITURA!$N406="","",INDEX(_LEITURA!$E$2:$E$1201,_LEITURA!$N406))</f>
        <v/>
      </c>
      <c r="C406" s="11" t="str">
        <f aca="false">IF(_LEITURA!$N406="","",INDEX(_LEITURA!$J$2:$J$1201,_LEITURA!$N406))</f>
        <v/>
      </c>
      <c r="D406" s="16" t="str">
        <f aca="false">IF(_LEITURA!$N406="","",INDEX(_LEITURA!$G$2:$G$1201,_LEITURA!$N406))</f>
        <v/>
      </c>
      <c r="E406" s="16" t="str">
        <f aca="false">IF(B406="","",SUMIFS(INVENTÁRIO!$C$2:$C$801,INVENTÁRIO!$A$2:$A$801,B406))</f>
        <v/>
      </c>
      <c r="F406" s="16" t="str">
        <f aca="false">IF(B406="","",MAX(0,D406-E406))</f>
        <v/>
      </c>
      <c r="G406" s="16" t="str">
        <f aca="false">IF(B406="","",IF(COUNTIFS($B$2:$B$1201,B406,$A$2:$A$1201,"&lt;&gt;"&amp;A406)&gt;0,"Sim",""))</f>
        <v/>
      </c>
      <c r="H406" s="16" t="str">
        <f aca="false">IF(N(F406)&gt;0,MAX(H$1:H405)+1,"")</f>
        <v/>
      </c>
      <c r="I406" s="11" t="str">
        <f aca="false">IF(B406="","",IF(INDEX($C$2:$C$1201,MATCH(B406,$B$2:$B$1201,0))&lt;&gt;C406,"Nome diferente em outro deck — revisar",""))</f>
        <v/>
      </c>
      <c r="J406" s="16" t="str">
        <f aca="false">IF(AND(B406&lt;&gt;"",A406=BULK!$A$1,N(F406)&gt;0),MAX(J$1:J405)+1,"")</f>
        <v/>
      </c>
      <c r="K406" s="11" t="str">
        <f aca="false">IF(B406="","",IFERROR(LEFT(B406,FIND("-",B406)-1),B406))</f>
        <v/>
      </c>
      <c r="L406" s="11" t="str">
        <f aca="false">IF(K406="","",IF(ISNUMBER(--MID(K406,1,1)),0,IF(ISNUMBER(--MID(K406,2,1)),1,IF(ISNUMBER(--MID(K406,3,1)),2,IF(ISNUMBER(--MID(K406,4,1)),3,MIN(LEN(K406),4))))))</f>
        <v/>
      </c>
      <c r="M406" s="11" t="str">
        <f aca="false">IF(B406="","",LEFT(K406,L406)&amp;REPT("0",4-L406)&amp;RIGHT("000"&amp;IFERROR(VALUE(MID(K406,L406+1,9)),0),3)&amp;RIGHT("0000"&amp;IFERROR(VALUE(MID(B406,FIND("-",B406)+1,9)),0),4))</f>
        <v/>
      </c>
      <c r="N406" s="11" t="str">
        <f aca="false">IF(OR(B406="",N(F406)&lt;=0),"",IF('FALTAS POR DECK'!$P$1="Código","K"&amp;M406&amp;RIGHT("00000"&amp;ROW(),5),IF('FALTAS POR DECK'!$P$1="Nome","K"&amp;UPPER(SUBSTITUTE(SUBSTITUTE(SUBSTITUTE(C406,"*",""),"?",""),"~",""))&amp;"0"&amp;M406&amp;RIGHT("00000"&amp;ROW(),5),IF('FALTAS POR DECK'!$P$1="Falta (maior primeiro)","K"&amp;RIGHT("0000"&amp;(9999-F406),4)&amp;M406&amp;RIGHT("00000"&amp;ROW(),5),IF('FALTAS POR DECK'!$P$1="Deck e código","K"&amp;RIGHT("00"&amp;IFERROR(MATCH(A406,_LEITURA!$P$2:$P$21,0),99),2)&amp;M406&amp;RIGHT("00000"&amp;ROW(),5),"K"&amp;RIGHT("00000"&amp;ROW(),5))))))</f>
        <v/>
      </c>
      <c r="O406" s="16" t="str">
        <f aca="false">IF(N406="","",COUNTIFS($N$2:$N$1201,"&lt;"&amp;N406,$F$2:$F$1201,"&gt;0")+1)</f>
        <v/>
      </c>
    </row>
    <row r="407" customFormat="false" ht="15" hidden="false" customHeight="false" outlineLevel="0" collapsed="false">
      <c r="A407" s="11" t="str">
        <f aca="false">IF(_LEITURA!$N407="","",INDEX(_LEITURA!$K$2:$K$1201,_LEITURA!$N407))</f>
        <v/>
      </c>
      <c r="B407" s="11" t="str">
        <f aca="false">IF(_LEITURA!$N407="","",INDEX(_LEITURA!$E$2:$E$1201,_LEITURA!$N407))</f>
        <v/>
      </c>
      <c r="C407" s="11" t="str">
        <f aca="false">IF(_LEITURA!$N407="","",INDEX(_LEITURA!$J$2:$J$1201,_LEITURA!$N407))</f>
        <v/>
      </c>
      <c r="D407" s="16" t="str">
        <f aca="false">IF(_LEITURA!$N407="","",INDEX(_LEITURA!$G$2:$G$1201,_LEITURA!$N407))</f>
        <v/>
      </c>
      <c r="E407" s="16" t="str">
        <f aca="false">IF(B407="","",SUMIFS(INVENTÁRIO!$C$2:$C$801,INVENTÁRIO!$A$2:$A$801,B407))</f>
        <v/>
      </c>
      <c r="F407" s="16" t="str">
        <f aca="false">IF(B407="","",MAX(0,D407-E407))</f>
        <v/>
      </c>
      <c r="G407" s="16" t="str">
        <f aca="false">IF(B407="","",IF(COUNTIFS($B$2:$B$1201,B407,$A$2:$A$1201,"&lt;&gt;"&amp;A407)&gt;0,"Sim",""))</f>
        <v/>
      </c>
      <c r="H407" s="16" t="str">
        <f aca="false">IF(N(F407)&gt;0,MAX(H$1:H406)+1,"")</f>
        <v/>
      </c>
      <c r="I407" s="11" t="str">
        <f aca="false">IF(B407="","",IF(INDEX($C$2:$C$1201,MATCH(B407,$B$2:$B$1201,0))&lt;&gt;C407,"Nome diferente em outro deck — revisar",""))</f>
        <v/>
      </c>
      <c r="J407" s="16" t="str">
        <f aca="false">IF(AND(B407&lt;&gt;"",A407=BULK!$A$1,N(F407)&gt;0),MAX(J$1:J406)+1,"")</f>
        <v/>
      </c>
      <c r="K407" s="11" t="str">
        <f aca="false">IF(B407="","",IFERROR(LEFT(B407,FIND("-",B407)-1),B407))</f>
        <v/>
      </c>
      <c r="L407" s="11" t="str">
        <f aca="false">IF(K407="","",IF(ISNUMBER(--MID(K407,1,1)),0,IF(ISNUMBER(--MID(K407,2,1)),1,IF(ISNUMBER(--MID(K407,3,1)),2,IF(ISNUMBER(--MID(K407,4,1)),3,MIN(LEN(K407),4))))))</f>
        <v/>
      </c>
      <c r="M407" s="11" t="str">
        <f aca="false">IF(B407="","",LEFT(K407,L407)&amp;REPT("0",4-L407)&amp;RIGHT("000"&amp;IFERROR(VALUE(MID(K407,L407+1,9)),0),3)&amp;RIGHT("0000"&amp;IFERROR(VALUE(MID(B407,FIND("-",B407)+1,9)),0),4))</f>
        <v/>
      </c>
      <c r="N407" s="11" t="str">
        <f aca="false">IF(OR(B407="",N(F407)&lt;=0),"",IF('FALTAS POR DECK'!$P$1="Código","K"&amp;M407&amp;RIGHT("00000"&amp;ROW(),5),IF('FALTAS POR DECK'!$P$1="Nome","K"&amp;UPPER(SUBSTITUTE(SUBSTITUTE(SUBSTITUTE(C407,"*",""),"?",""),"~",""))&amp;"0"&amp;M407&amp;RIGHT("00000"&amp;ROW(),5),IF('FALTAS POR DECK'!$P$1="Falta (maior primeiro)","K"&amp;RIGHT("0000"&amp;(9999-F407),4)&amp;M407&amp;RIGHT("00000"&amp;ROW(),5),IF('FALTAS POR DECK'!$P$1="Deck e código","K"&amp;RIGHT("00"&amp;IFERROR(MATCH(A407,_LEITURA!$P$2:$P$21,0),99),2)&amp;M407&amp;RIGHT("00000"&amp;ROW(),5),"K"&amp;RIGHT("00000"&amp;ROW(),5))))))</f>
        <v/>
      </c>
      <c r="O407" s="16" t="str">
        <f aca="false">IF(N407="","",COUNTIFS($N$2:$N$1201,"&lt;"&amp;N407,$F$2:$F$1201,"&gt;0")+1)</f>
        <v/>
      </c>
    </row>
    <row r="408" customFormat="false" ht="15" hidden="false" customHeight="false" outlineLevel="0" collapsed="false">
      <c r="A408" s="11" t="str">
        <f aca="false">IF(_LEITURA!$N408="","",INDEX(_LEITURA!$K$2:$K$1201,_LEITURA!$N408))</f>
        <v/>
      </c>
      <c r="B408" s="11" t="str">
        <f aca="false">IF(_LEITURA!$N408="","",INDEX(_LEITURA!$E$2:$E$1201,_LEITURA!$N408))</f>
        <v/>
      </c>
      <c r="C408" s="11" t="str">
        <f aca="false">IF(_LEITURA!$N408="","",INDEX(_LEITURA!$J$2:$J$1201,_LEITURA!$N408))</f>
        <v/>
      </c>
      <c r="D408" s="16" t="str">
        <f aca="false">IF(_LEITURA!$N408="","",INDEX(_LEITURA!$G$2:$G$1201,_LEITURA!$N408))</f>
        <v/>
      </c>
      <c r="E408" s="16" t="str">
        <f aca="false">IF(B408="","",SUMIFS(INVENTÁRIO!$C$2:$C$801,INVENTÁRIO!$A$2:$A$801,B408))</f>
        <v/>
      </c>
      <c r="F408" s="16" t="str">
        <f aca="false">IF(B408="","",MAX(0,D408-E408))</f>
        <v/>
      </c>
      <c r="G408" s="16" t="str">
        <f aca="false">IF(B408="","",IF(COUNTIFS($B$2:$B$1201,B408,$A$2:$A$1201,"&lt;&gt;"&amp;A408)&gt;0,"Sim",""))</f>
        <v/>
      </c>
      <c r="H408" s="16" t="str">
        <f aca="false">IF(N(F408)&gt;0,MAX(H$1:H407)+1,"")</f>
        <v/>
      </c>
      <c r="I408" s="11" t="str">
        <f aca="false">IF(B408="","",IF(INDEX($C$2:$C$1201,MATCH(B408,$B$2:$B$1201,0))&lt;&gt;C408,"Nome diferente em outro deck — revisar",""))</f>
        <v/>
      </c>
      <c r="J408" s="16" t="str">
        <f aca="false">IF(AND(B408&lt;&gt;"",A408=BULK!$A$1,N(F408)&gt;0),MAX(J$1:J407)+1,"")</f>
        <v/>
      </c>
      <c r="K408" s="11" t="str">
        <f aca="false">IF(B408="","",IFERROR(LEFT(B408,FIND("-",B408)-1),B408))</f>
        <v/>
      </c>
      <c r="L408" s="11" t="str">
        <f aca="false">IF(K408="","",IF(ISNUMBER(--MID(K408,1,1)),0,IF(ISNUMBER(--MID(K408,2,1)),1,IF(ISNUMBER(--MID(K408,3,1)),2,IF(ISNUMBER(--MID(K408,4,1)),3,MIN(LEN(K408),4))))))</f>
        <v/>
      </c>
      <c r="M408" s="11" t="str">
        <f aca="false">IF(B408="","",LEFT(K408,L408)&amp;REPT("0",4-L408)&amp;RIGHT("000"&amp;IFERROR(VALUE(MID(K408,L408+1,9)),0),3)&amp;RIGHT("0000"&amp;IFERROR(VALUE(MID(B408,FIND("-",B408)+1,9)),0),4))</f>
        <v/>
      </c>
      <c r="N408" s="11" t="str">
        <f aca="false">IF(OR(B408="",N(F408)&lt;=0),"",IF('FALTAS POR DECK'!$P$1="Código","K"&amp;M408&amp;RIGHT("00000"&amp;ROW(),5),IF('FALTAS POR DECK'!$P$1="Nome","K"&amp;UPPER(SUBSTITUTE(SUBSTITUTE(SUBSTITUTE(C408,"*",""),"?",""),"~",""))&amp;"0"&amp;M408&amp;RIGHT("00000"&amp;ROW(),5),IF('FALTAS POR DECK'!$P$1="Falta (maior primeiro)","K"&amp;RIGHT("0000"&amp;(9999-F408),4)&amp;M408&amp;RIGHT("00000"&amp;ROW(),5),IF('FALTAS POR DECK'!$P$1="Deck e código","K"&amp;RIGHT("00"&amp;IFERROR(MATCH(A408,_LEITURA!$P$2:$P$21,0),99),2)&amp;M408&amp;RIGHT("00000"&amp;ROW(),5),"K"&amp;RIGHT("00000"&amp;ROW(),5))))))</f>
        <v/>
      </c>
      <c r="O408" s="16" t="str">
        <f aca="false">IF(N408="","",COUNTIFS($N$2:$N$1201,"&lt;"&amp;N408,$F$2:$F$1201,"&gt;0")+1)</f>
        <v/>
      </c>
    </row>
    <row r="409" customFormat="false" ht="15" hidden="false" customHeight="false" outlineLevel="0" collapsed="false">
      <c r="A409" s="11" t="str">
        <f aca="false">IF(_LEITURA!$N409="","",INDEX(_LEITURA!$K$2:$K$1201,_LEITURA!$N409))</f>
        <v/>
      </c>
      <c r="B409" s="11" t="str">
        <f aca="false">IF(_LEITURA!$N409="","",INDEX(_LEITURA!$E$2:$E$1201,_LEITURA!$N409))</f>
        <v/>
      </c>
      <c r="C409" s="11" t="str">
        <f aca="false">IF(_LEITURA!$N409="","",INDEX(_LEITURA!$J$2:$J$1201,_LEITURA!$N409))</f>
        <v/>
      </c>
      <c r="D409" s="16" t="str">
        <f aca="false">IF(_LEITURA!$N409="","",INDEX(_LEITURA!$G$2:$G$1201,_LEITURA!$N409))</f>
        <v/>
      </c>
      <c r="E409" s="16" t="str">
        <f aca="false">IF(B409="","",SUMIFS(INVENTÁRIO!$C$2:$C$801,INVENTÁRIO!$A$2:$A$801,B409))</f>
        <v/>
      </c>
      <c r="F409" s="16" t="str">
        <f aca="false">IF(B409="","",MAX(0,D409-E409))</f>
        <v/>
      </c>
      <c r="G409" s="16" t="str">
        <f aca="false">IF(B409="","",IF(COUNTIFS($B$2:$B$1201,B409,$A$2:$A$1201,"&lt;&gt;"&amp;A409)&gt;0,"Sim",""))</f>
        <v/>
      </c>
      <c r="H409" s="16" t="str">
        <f aca="false">IF(N(F409)&gt;0,MAX(H$1:H408)+1,"")</f>
        <v/>
      </c>
      <c r="I409" s="11" t="str">
        <f aca="false">IF(B409="","",IF(INDEX($C$2:$C$1201,MATCH(B409,$B$2:$B$1201,0))&lt;&gt;C409,"Nome diferente em outro deck — revisar",""))</f>
        <v/>
      </c>
      <c r="J409" s="16" t="str">
        <f aca="false">IF(AND(B409&lt;&gt;"",A409=BULK!$A$1,N(F409)&gt;0),MAX(J$1:J408)+1,"")</f>
        <v/>
      </c>
      <c r="K409" s="11" t="str">
        <f aca="false">IF(B409="","",IFERROR(LEFT(B409,FIND("-",B409)-1),B409))</f>
        <v/>
      </c>
      <c r="L409" s="11" t="str">
        <f aca="false">IF(K409="","",IF(ISNUMBER(--MID(K409,1,1)),0,IF(ISNUMBER(--MID(K409,2,1)),1,IF(ISNUMBER(--MID(K409,3,1)),2,IF(ISNUMBER(--MID(K409,4,1)),3,MIN(LEN(K409),4))))))</f>
        <v/>
      </c>
      <c r="M409" s="11" t="str">
        <f aca="false">IF(B409="","",LEFT(K409,L409)&amp;REPT("0",4-L409)&amp;RIGHT("000"&amp;IFERROR(VALUE(MID(K409,L409+1,9)),0),3)&amp;RIGHT("0000"&amp;IFERROR(VALUE(MID(B409,FIND("-",B409)+1,9)),0),4))</f>
        <v/>
      </c>
      <c r="N409" s="11" t="str">
        <f aca="false">IF(OR(B409="",N(F409)&lt;=0),"",IF('FALTAS POR DECK'!$P$1="Código","K"&amp;M409&amp;RIGHT("00000"&amp;ROW(),5),IF('FALTAS POR DECK'!$P$1="Nome","K"&amp;UPPER(SUBSTITUTE(SUBSTITUTE(SUBSTITUTE(C409,"*",""),"?",""),"~",""))&amp;"0"&amp;M409&amp;RIGHT("00000"&amp;ROW(),5),IF('FALTAS POR DECK'!$P$1="Falta (maior primeiro)","K"&amp;RIGHT("0000"&amp;(9999-F409),4)&amp;M409&amp;RIGHT("00000"&amp;ROW(),5),IF('FALTAS POR DECK'!$P$1="Deck e código","K"&amp;RIGHT("00"&amp;IFERROR(MATCH(A409,_LEITURA!$P$2:$P$21,0),99),2)&amp;M409&amp;RIGHT("00000"&amp;ROW(),5),"K"&amp;RIGHT("00000"&amp;ROW(),5))))))</f>
        <v/>
      </c>
      <c r="O409" s="16" t="str">
        <f aca="false">IF(N409="","",COUNTIFS($N$2:$N$1201,"&lt;"&amp;N409,$F$2:$F$1201,"&gt;0")+1)</f>
        <v/>
      </c>
    </row>
    <row r="410" customFormat="false" ht="15" hidden="false" customHeight="false" outlineLevel="0" collapsed="false">
      <c r="A410" s="11" t="str">
        <f aca="false">IF(_LEITURA!$N410="","",INDEX(_LEITURA!$K$2:$K$1201,_LEITURA!$N410))</f>
        <v/>
      </c>
      <c r="B410" s="11" t="str">
        <f aca="false">IF(_LEITURA!$N410="","",INDEX(_LEITURA!$E$2:$E$1201,_LEITURA!$N410))</f>
        <v/>
      </c>
      <c r="C410" s="11" t="str">
        <f aca="false">IF(_LEITURA!$N410="","",INDEX(_LEITURA!$J$2:$J$1201,_LEITURA!$N410))</f>
        <v/>
      </c>
      <c r="D410" s="16" t="str">
        <f aca="false">IF(_LEITURA!$N410="","",INDEX(_LEITURA!$G$2:$G$1201,_LEITURA!$N410))</f>
        <v/>
      </c>
      <c r="E410" s="16" t="str">
        <f aca="false">IF(B410="","",SUMIFS(INVENTÁRIO!$C$2:$C$801,INVENTÁRIO!$A$2:$A$801,B410))</f>
        <v/>
      </c>
      <c r="F410" s="16" t="str">
        <f aca="false">IF(B410="","",MAX(0,D410-E410))</f>
        <v/>
      </c>
      <c r="G410" s="16" t="str">
        <f aca="false">IF(B410="","",IF(COUNTIFS($B$2:$B$1201,B410,$A$2:$A$1201,"&lt;&gt;"&amp;A410)&gt;0,"Sim",""))</f>
        <v/>
      </c>
      <c r="H410" s="16" t="str">
        <f aca="false">IF(N(F410)&gt;0,MAX(H$1:H409)+1,"")</f>
        <v/>
      </c>
      <c r="I410" s="11" t="str">
        <f aca="false">IF(B410="","",IF(INDEX($C$2:$C$1201,MATCH(B410,$B$2:$B$1201,0))&lt;&gt;C410,"Nome diferente em outro deck — revisar",""))</f>
        <v/>
      </c>
      <c r="J410" s="16" t="str">
        <f aca="false">IF(AND(B410&lt;&gt;"",A410=BULK!$A$1,N(F410)&gt;0),MAX(J$1:J409)+1,"")</f>
        <v/>
      </c>
      <c r="K410" s="11" t="str">
        <f aca="false">IF(B410="","",IFERROR(LEFT(B410,FIND("-",B410)-1),B410))</f>
        <v/>
      </c>
      <c r="L410" s="11" t="str">
        <f aca="false">IF(K410="","",IF(ISNUMBER(--MID(K410,1,1)),0,IF(ISNUMBER(--MID(K410,2,1)),1,IF(ISNUMBER(--MID(K410,3,1)),2,IF(ISNUMBER(--MID(K410,4,1)),3,MIN(LEN(K410),4))))))</f>
        <v/>
      </c>
      <c r="M410" s="11" t="str">
        <f aca="false">IF(B410="","",LEFT(K410,L410)&amp;REPT("0",4-L410)&amp;RIGHT("000"&amp;IFERROR(VALUE(MID(K410,L410+1,9)),0),3)&amp;RIGHT("0000"&amp;IFERROR(VALUE(MID(B410,FIND("-",B410)+1,9)),0),4))</f>
        <v/>
      </c>
      <c r="N410" s="11" t="str">
        <f aca="false">IF(OR(B410="",N(F410)&lt;=0),"",IF('FALTAS POR DECK'!$P$1="Código","K"&amp;M410&amp;RIGHT("00000"&amp;ROW(),5),IF('FALTAS POR DECK'!$P$1="Nome","K"&amp;UPPER(SUBSTITUTE(SUBSTITUTE(SUBSTITUTE(C410,"*",""),"?",""),"~",""))&amp;"0"&amp;M410&amp;RIGHT("00000"&amp;ROW(),5),IF('FALTAS POR DECK'!$P$1="Falta (maior primeiro)","K"&amp;RIGHT("0000"&amp;(9999-F410),4)&amp;M410&amp;RIGHT("00000"&amp;ROW(),5),IF('FALTAS POR DECK'!$P$1="Deck e código","K"&amp;RIGHT("00"&amp;IFERROR(MATCH(A410,_LEITURA!$P$2:$P$21,0),99),2)&amp;M410&amp;RIGHT("00000"&amp;ROW(),5),"K"&amp;RIGHT("00000"&amp;ROW(),5))))))</f>
        <v/>
      </c>
      <c r="O410" s="16" t="str">
        <f aca="false">IF(N410="","",COUNTIFS($N$2:$N$1201,"&lt;"&amp;N410,$F$2:$F$1201,"&gt;0")+1)</f>
        <v/>
      </c>
    </row>
    <row r="411" customFormat="false" ht="15" hidden="false" customHeight="false" outlineLevel="0" collapsed="false">
      <c r="A411" s="11" t="str">
        <f aca="false">IF(_LEITURA!$N411="","",INDEX(_LEITURA!$K$2:$K$1201,_LEITURA!$N411))</f>
        <v/>
      </c>
      <c r="B411" s="11" t="str">
        <f aca="false">IF(_LEITURA!$N411="","",INDEX(_LEITURA!$E$2:$E$1201,_LEITURA!$N411))</f>
        <v/>
      </c>
      <c r="C411" s="11" t="str">
        <f aca="false">IF(_LEITURA!$N411="","",INDEX(_LEITURA!$J$2:$J$1201,_LEITURA!$N411))</f>
        <v/>
      </c>
      <c r="D411" s="16" t="str">
        <f aca="false">IF(_LEITURA!$N411="","",INDEX(_LEITURA!$G$2:$G$1201,_LEITURA!$N411))</f>
        <v/>
      </c>
      <c r="E411" s="16" t="str">
        <f aca="false">IF(B411="","",SUMIFS(INVENTÁRIO!$C$2:$C$801,INVENTÁRIO!$A$2:$A$801,B411))</f>
        <v/>
      </c>
      <c r="F411" s="16" t="str">
        <f aca="false">IF(B411="","",MAX(0,D411-E411))</f>
        <v/>
      </c>
      <c r="G411" s="16" t="str">
        <f aca="false">IF(B411="","",IF(COUNTIFS($B$2:$B$1201,B411,$A$2:$A$1201,"&lt;&gt;"&amp;A411)&gt;0,"Sim",""))</f>
        <v/>
      </c>
      <c r="H411" s="16" t="str">
        <f aca="false">IF(N(F411)&gt;0,MAX(H$1:H410)+1,"")</f>
        <v/>
      </c>
      <c r="I411" s="11" t="str">
        <f aca="false">IF(B411="","",IF(INDEX($C$2:$C$1201,MATCH(B411,$B$2:$B$1201,0))&lt;&gt;C411,"Nome diferente em outro deck — revisar",""))</f>
        <v/>
      </c>
      <c r="J411" s="16" t="str">
        <f aca="false">IF(AND(B411&lt;&gt;"",A411=BULK!$A$1,N(F411)&gt;0),MAX(J$1:J410)+1,"")</f>
        <v/>
      </c>
      <c r="K411" s="11" t="str">
        <f aca="false">IF(B411="","",IFERROR(LEFT(B411,FIND("-",B411)-1),B411))</f>
        <v/>
      </c>
      <c r="L411" s="11" t="str">
        <f aca="false">IF(K411="","",IF(ISNUMBER(--MID(K411,1,1)),0,IF(ISNUMBER(--MID(K411,2,1)),1,IF(ISNUMBER(--MID(K411,3,1)),2,IF(ISNUMBER(--MID(K411,4,1)),3,MIN(LEN(K411),4))))))</f>
        <v/>
      </c>
      <c r="M411" s="11" t="str">
        <f aca="false">IF(B411="","",LEFT(K411,L411)&amp;REPT("0",4-L411)&amp;RIGHT("000"&amp;IFERROR(VALUE(MID(K411,L411+1,9)),0),3)&amp;RIGHT("0000"&amp;IFERROR(VALUE(MID(B411,FIND("-",B411)+1,9)),0),4))</f>
        <v/>
      </c>
      <c r="N411" s="11" t="str">
        <f aca="false">IF(OR(B411="",N(F411)&lt;=0),"",IF('FALTAS POR DECK'!$P$1="Código","K"&amp;M411&amp;RIGHT("00000"&amp;ROW(),5),IF('FALTAS POR DECK'!$P$1="Nome","K"&amp;UPPER(SUBSTITUTE(SUBSTITUTE(SUBSTITUTE(C411,"*",""),"?",""),"~",""))&amp;"0"&amp;M411&amp;RIGHT("00000"&amp;ROW(),5),IF('FALTAS POR DECK'!$P$1="Falta (maior primeiro)","K"&amp;RIGHT("0000"&amp;(9999-F411),4)&amp;M411&amp;RIGHT("00000"&amp;ROW(),5),IF('FALTAS POR DECK'!$P$1="Deck e código","K"&amp;RIGHT("00"&amp;IFERROR(MATCH(A411,_LEITURA!$P$2:$P$21,0),99),2)&amp;M411&amp;RIGHT("00000"&amp;ROW(),5),"K"&amp;RIGHT("00000"&amp;ROW(),5))))))</f>
        <v/>
      </c>
      <c r="O411" s="16" t="str">
        <f aca="false">IF(N411="","",COUNTIFS($N$2:$N$1201,"&lt;"&amp;N411,$F$2:$F$1201,"&gt;0")+1)</f>
        <v/>
      </c>
    </row>
    <row r="412" customFormat="false" ht="15" hidden="false" customHeight="false" outlineLevel="0" collapsed="false">
      <c r="A412" s="11" t="str">
        <f aca="false">IF(_LEITURA!$N412="","",INDEX(_LEITURA!$K$2:$K$1201,_LEITURA!$N412))</f>
        <v/>
      </c>
      <c r="B412" s="11" t="str">
        <f aca="false">IF(_LEITURA!$N412="","",INDEX(_LEITURA!$E$2:$E$1201,_LEITURA!$N412))</f>
        <v/>
      </c>
      <c r="C412" s="11" t="str">
        <f aca="false">IF(_LEITURA!$N412="","",INDEX(_LEITURA!$J$2:$J$1201,_LEITURA!$N412))</f>
        <v/>
      </c>
      <c r="D412" s="16" t="str">
        <f aca="false">IF(_LEITURA!$N412="","",INDEX(_LEITURA!$G$2:$G$1201,_LEITURA!$N412))</f>
        <v/>
      </c>
      <c r="E412" s="16" t="str">
        <f aca="false">IF(B412="","",SUMIFS(INVENTÁRIO!$C$2:$C$801,INVENTÁRIO!$A$2:$A$801,B412))</f>
        <v/>
      </c>
      <c r="F412" s="16" t="str">
        <f aca="false">IF(B412="","",MAX(0,D412-E412))</f>
        <v/>
      </c>
      <c r="G412" s="16" t="str">
        <f aca="false">IF(B412="","",IF(COUNTIFS($B$2:$B$1201,B412,$A$2:$A$1201,"&lt;&gt;"&amp;A412)&gt;0,"Sim",""))</f>
        <v/>
      </c>
      <c r="H412" s="16" t="str">
        <f aca="false">IF(N(F412)&gt;0,MAX(H$1:H411)+1,"")</f>
        <v/>
      </c>
      <c r="I412" s="11" t="str">
        <f aca="false">IF(B412="","",IF(INDEX($C$2:$C$1201,MATCH(B412,$B$2:$B$1201,0))&lt;&gt;C412,"Nome diferente em outro deck — revisar",""))</f>
        <v/>
      </c>
      <c r="J412" s="16" t="str">
        <f aca="false">IF(AND(B412&lt;&gt;"",A412=BULK!$A$1,N(F412)&gt;0),MAX(J$1:J411)+1,"")</f>
        <v/>
      </c>
      <c r="K412" s="11" t="str">
        <f aca="false">IF(B412="","",IFERROR(LEFT(B412,FIND("-",B412)-1),B412))</f>
        <v/>
      </c>
      <c r="L412" s="11" t="str">
        <f aca="false">IF(K412="","",IF(ISNUMBER(--MID(K412,1,1)),0,IF(ISNUMBER(--MID(K412,2,1)),1,IF(ISNUMBER(--MID(K412,3,1)),2,IF(ISNUMBER(--MID(K412,4,1)),3,MIN(LEN(K412),4))))))</f>
        <v/>
      </c>
      <c r="M412" s="11" t="str">
        <f aca="false">IF(B412="","",LEFT(K412,L412)&amp;REPT("0",4-L412)&amp;RIGHT("000"&amp;IFERROR(VALUE(MID(K412,L412+1,9)),0),3)&amp;RIGHT("0000"&amp;IFERROR(VALUE(MID(B412,FIND("-",B412)+1,9)),0),4))</f>
        <v/>
      </c>
      <c r="N412" s="11" t="str">
        <f aca="false">IF(OR(B412="",N(F412)&lt;=0),"",IF('FALTAS POR DECK'!$P$1="Código","K"&amp;M412&amp;RIGHT("00000"&amp;ROW(),5),IF('FALTAS POR DECK'!$P$1="Nome","K"&amp;UPPER(SUBSTITUTE(SUBSTITUTE(SUBSTITUTE(C412,"*",""),"?",""),"~",""))&amp;"0"&amp;M412&amp;RIGHT("00000"&amp;ROW(),5),IF('FALTAS POR DECK'!$P$1="Falta (maior primeiro)","K"&amp;RIGHT("0000"&amp;(9999-F412),4)&amp;M412&amp;RIGHT("00000"&amp;ROW(),5),IF('FALTAS POR DECK'!$P$1="Deck e código","K"&amp;RIGHT("00"&amp;IFERROR(MATCH(A412,_LEITURA!$P$2:$P$21,0),99),2)&amp;M412&amp;RIGHT("00000"&amp;ROW(),5),"K"&amp;RIGHT("00000"&amp;ROW(),5))))))</f>
        <v/>
      </c>
      <c r="O412" s="16" t="str">
        <f aca="false">IF(N412="","",COUNTIFS($N$2:$N$1201,"&lt;"&amp;N412,$F$2:$F$1201,"&gt;0")+1)</f>
        <v/>
      </c>
    </row>
    <row r="413" customFormat="false" ht="15" hidden="false" customHeight="false" outlineLevel="0" collapsed="false">
      <c r="A413" s="11" t="str">
        <f aca="false">IF(_LEITURA!$N413="","",INDEX(_LEITURA!$K$2:$K$1201,_LEITURA!$N413))</f>
        <v/>
      </c>
      <c r="B413" s="11" t="str">
        <f aca="false">IF(_LEITURA!$N413="","",INDEX(_LEITURA!$E$2:$E$1201,_LEITURA!$N413))</f>
        <v/>
      </c>
      <c r="C413" s="11" t="str">
        <f aca="false">IF(_LEITURA!$N413="","",INDEX(_LEITURA!$J$2:$J$1201,_LEITURA!$N413))</f>
        <v/>
      </c>
      <c r="D413" s="16" t="str">
        <f aca="false">IF(_LEITURA!$N413="","",INDEX(_LEITURA!$G$2:$G$1201,_LEITURA!$N413))</f>
        <v/>
      </c>
      <c r="E413" s="16" t="str">
        <f aca="false">IF(B413="","",SUMIFS(INVENTÁRIO!$C$2:$C$801,INVENTÁRIO!$A$2:$A$801,B413))</f>
        <v/>
      </c>
      <c r="F413" s="16" t="str">
        <f aca="false">IF(B413="","",MAX(0,D413-E413))</f>
        <v/>
      </c>
      <c r="G413" s="16" t="str">
        <f aca="false">IF(B413="","",IF(COUNTIFS($B$2:$B$1201,B413,$A$2:$A$1201,"&lt;&gt;"&amp;A413)&gt;0,"Sim",""))</f>
        <v/>
      </c>
      <c r="H413" s="16" t="str">
        <f aca="false">IF(N(F413)&gt;0,MAX(H$1:H412)+1,"")</f>
        <v/>
      </c>
      <c r="I413" s="11" t="str">
        <f aca="false">IF(B413="","",IF(INDEX($C$2:$C$1201,MATCH(B413,$B$2:$B$1201,0))&lt;&gt;C413,"Nome diferente em outro deck — revisar",""))</f>
        <v/>
      </c>
      <c r="J413" s="16" t="str">
        <f aca="false">IF(AND(B413&lt;&gt;"",A413=BULK!$A$1,N(F413)&gt;0),MAX(J$1:J412)+1,"")</f>
        <v/>
      </c>
      <c r="K413" s="11" t="str">
        <f aca="false">IF(B413="","",IFERROR(LEFT(B413,FIND("-",B413)-1),B413))</f>
        <v/>
      </c>
      <c r="L413" s="11" t="str">
        <f aca="false">IF(K413="","",IF(ISNUMBER(--MID(K413,1,1)),0,IF(ISNUMBER(--MID(K413,2,1)),1,IF(ISNUMBER(--MID(K413,3,1)),2,IF(ISNUMBER(--MID(K413,4,1)),3,MIN(LEN(K413),4))))))</f>
        <v/>
      </c>
      <c r="M413" s="11" t="str">
        <f aca="false">IF(B413="","",LEFT(K413,L413)&amp;REPT("0",4-L413)&amp;RIGHT("000"&amp;IFERROR(VALUE(MID(K413,L413+1,9)),0),3)&amp;RIGHT("0000"&amp;IFERROR(VALUE(MID(B413,FIND("-",B413)+1,9)),0),4))</f>
        <v/>
      </c>
      <c r="N413" s="11" t="str">
        <f aca="false">IF(OR(B413="",N(F413)&lt;=0),"",IF('FALTAS POR DECK'!$P$1="Código","K"&amp;M413&amp;RIGHT("00000"&amp;ROW(),5),IF('FALTAS POR DECK'!$P$1="Nome","K"&amp;UPPER(SUBSTITUTE(SUBSTITUTE(SUBSTITUTE(C413,"*",""),"?",""),"~",""))&amp;"0"&amp;M413&amp;RIGHT("00000"&amp;ROW(),5),IF('FALTAS POR DECK'!$P$1="Falta (maior primeiro)","K"&amp;RIGHT("0000"&amp;(9999-F413),4)&amp;M413&amp;RIGHT("00000"&amp;ROW(),5),IF('FALTAS POR DECK'!$P$1="Deck e código","K"&amp;RIGHT("00"&amp;IFERROR(MATCH(A413,_LEITURA!$P$2:$P$21,0),99),2)&amp;M413&amp;RIGHT("00000"&amp;ROW(),5),"K"&amp;RIGHT("00000"&amp;ROW(),5))))))</f>
        <v/>
      </c>
      <c r="O413" s="16" t="str">
        <f aca="false">IF(N413="","",COUNTIFS($N$2:$N$1201,"&lt;"&amp;N413,$F$2:$F$1201,"&gt;0")+1)</f>
        <v/>
      </c>
    </row>
    <row r="414" customFormat="false" ht="15" hidden="false" customHeight="false" outlineLevel="0" collapsed="false">
      <c r="A414" s="11" t="str">
        <f aca="false">IF(_LEITURA!$N414="","",INDEX(_LEITURA!$K$2:$K$1201,_LEITURA!$N414))</f>
        <v/>
      </c>
      <c r="B414" s="11" t="str">
        <f aca="false">IF(_LEITURA!$N414="","",INDEX(_LEITURA!$E$2:$E$1201,_LEITURA!$N414))</f>
        <v/>
      </c>
      <c r="C414" s="11" t="str">
        <f aca="false">IF(_LEITURA!$N414="","",INDEX(_LEITURA!$J$2:$J$1201,_LEITURA!$N414))</f>
        <v/>
      </c>
      <c r="D414" s="16" t="str">
        <f aca="false">IF(_LEITURA!$N414="","",INDEX(_LEITURA!$G$2:$G$1201,_LEITURA!$N414))</f>
        <v/>
      </c>
      <c r="E414" s="16" t="str">
        <f aca="false">IF(B414="","",SUMIFS(INVENTÁRIO!$C$2:$C$801,INVENTÁRIO!$A$2:$A$801,B414))</f>
        <v/>
      </c>
      <c r="F414" s="16" t="str">
        <f aca="false">IF(B414="","",MAX(0,D414-E414))</f>
        <v/>
      </c>
      <c r="G414" s="16" t="str">
        <f aca="false">IF(B414="","",IF(COUNTIFS($B$2:$B$1201,B414,$A$2:$A$1201,"&lt;&gt;"&amp;A414)&gt;0,"Sim",""))</f>
        <v/>
      </c>
      <c r="H414" s="16" t="str">
        <f aca="false">IF(N(F414)&gt;0,MAX(H$1:H413)+1,"")</f>
        <v/>
      </c>
      <c r="I414" s="11" t="str">
        <f aca="false">IF(B414="","",IF(INDEX($C$2:$C$1201,MATCH(B414,$B$2:$B$1201,0))&lt;&gt;C414,"Nome diferente em outro deck — revisar",""))</f>
        <v/>
      </c>
      <c r="J414" s="16" t="str">
        <f aca="false">IF(AND(B414&lt;&gt;"",A414=BULK!$A$1,N(F414)&gt;0),MAX(J$1:J413)+1,"")</f>
        <v/>
      </c>
      <c r="K414" s="11" t="str">
        <f aca="false">IF(B414="","",IFERROR(LEFT(B414,FIND("-",B414)-1),B414))</f>
        <v/>
      </c>
      <c r="L414" s="11" t="str">
        <f aca="false">IF(K414="","",IF(ISNUMBER(--MID(K414,1,1)),0,IF(ISNUMBER(--MID(K414,2,1)),1,IF(ISNUMBER(--MID(K414,3,1)),2,IF(ISNUMBER(--MID(K414,4,1)),3,MIN(LEN(K414),4))))))</f>
        <v/>
      </c>
      <c r="M414" s="11" t="str">
        <f aca="false">IF(B414="","",LEFT(K414,L414)&amp;REPT("0",4-L414)&amp;RIGHT("000"&amp;IFERROR(VALUE(MID(K414,L414+1,9)),0),3)&amp;RIGHT("0000"&amp;IFERROR(VALUE(MID(B414,FIND("-",B414)+1,9)),0),4))</f>
        <v/>
      </c>
      <c r="N414" s="11" t="str">
        <f aca="false">IF(OR(B414="",N(F414)&lt;=0),"",IF('FALTAS POR DECK'!$P$1="Código","K"&amp;M414&amp;RIGHT("00000"&amp;ROW(),5),IF('FALTAS POR DECK'!$P$1="Nome","K"&amp;UPPER(SUBSTITUTE(SUBSTITUTE(SUBSTITUTE(C414,"*",""),"?",""),"~",""))&amp;"0"&amp;M414&amp;RIGHT("00000"&amp;ROW(),5),IF('FALTAS POR DECK'!$P$1="Falta (maior primeiro)","K"&amp;RIGHT("0000"&amp;(9999-F414),4)&amp;M414&amp;RIGHT("00000"&amp;ROW(),5),IF('FALTAS POR DECK'!$P$1="Deck e código","K"&amp;RIGHT("00"&amp;IFERROR(MATCH(A414,_LEITURA!$P$2:$P$21,0),99),2)&amp;M414&amp;RIGHT("00000"&amp;ROW(),5),"K"&amp;RIGHT("00000"&amp;ROW(),5))))))</f>
        <v/>
      </c>
      <c r="O414" s="16" t="str">
        <f aca="false">IF(N414="","",COUNTIFS($N$2:$N$1201,"&lt;"&amp;N414,$F$2:$F$1201,"&gt;0")+1)</f>
        <v/>
      </c>
    </row>
    <row r="415" customFormat="false" ht="15" hidden="false" customHeight="false" outlineLevel="0" collapsed="false">
      <c r="A415" s="11" t="str">
        <f aca="false">IF(_LEITURA!$N415="","",INDEX(_LEITURA!$K$2:$K$1201,_LEITURA!$N415))</f>
        <v/>
      </c>
      <c r="B415" s="11" t="str">
        <f aca="false">IF(_LEITURA!$N415="","",INDEX(_LEITURA!$E$2:$E$1201,_LEITURA!$N415))</f>
        <v/>
      </c>
      <c r="C415" s="11" t="str">
        <f aca="false">IF(_LEITURA!$N415="","",INDEX(_LEITURA!$J$2:$J$1201,_LEITURA!$N415))</f>
        <v/>
      </c>
      <c r="D415" s="16" t="str">
        <f aca="false">IF(_LEITURA!$N415="","",INDEX(_LEITURA!$G$2:$G$1201,_LEITURA!$N415))</f>
        <v/>
      </c>
      <c r="E415" s="16" t="str">
        <f aca="false">IF(B415="","",SUMIFS(INVENTÁRIO!$C$2:$C$801,INVENTÁRIO!$A$2:$A$801,B415))</f>
        <v/>
      </c>
      <c r="F415" s="16" t="str">
        <f aca="false">IF(B415="","",MAX(0,D415-E415))</f>
        <v/>
      </c>
      <c r="G415" s="16" t="str">
        <f aca="false">IF(B415="","",IF(COUNTIFS($B$2:$B$1201,B415,$A$2:$A$1201,"&lt;&gt;"&amp;A415)&gt;0,"Sim",""))</f>
        <v/>
      </c>
      <c r="H415" s="16" t="str">
        <f aca="false">IF(N(F415)&gt;0,MAX(H$1:H414)+1,"")</f>
        <v/>
      </c>
      <c r="I415" s="11" t="str">
        <f aca="false">IF(B415="","",IF(INDEX($C$2:$C$1201,MATCH(B415,$B$2:$B$1201,0))&lt;&gt;C415,"Nome diferente em outro deck — revisar",""))</f>
        <v/>
      </c>
      <c r="J415" s="16" t="str">
        <f aca="false">IF(AND(B415&lt;&gt;"",A415=BULK!$A$1,N(F415)&gt;0),MAX(J$1:J414)+1,"")</f>
        <v/>
      </c>
      <c r="K415" s="11" t="str">
        <f aca="false">IF(B415="","",IFERROR(LEFT(B415,FIND("-",B415)-1),B415))</f>
        <v/>
      </c>
      <c r="L415" s="11" t="str">
        <f aca="false">IF(K415="","",IF(ISNUMBER(--MID(K415,1,1)),0,IF(ISNUMBER(--MID(K415,2,1)),1,IF(ISNUMBER(--MID(K415,3,1)),2,IF(ISNUMBER(--MID(K415,4,1)),3,MIN(LEN(K415),4))))))</f>
        <v/>
      </c>
      <c r="M415" s="11" t="str">
        <f aca="false">IF(B415="","",LEFT(K415,L415)&amp;REPT("0",4-L415)&amp;RIGHT("000"&amp;IFERROR(VALUE(MID(K415,L415+1,9)),0),3)&amp;RIGHT("0000"&amp;IFERROR(VALUE(MID(B415,FIND("-",B415)+1,9)),0),4))</f>
        <v/>
      </c>
      <c r="N415" s="11" t="str">
        <f aca="false">IF(OR(B415="",N(F415)&lt;=0),"",IF('FALTAS POR DECK'!$P$1="Código","K"&amp;M415&amp;RIGHT("00000"&amp;ROW(),5),IF('FALTAS POR DECK'!$P$1="Nome","K"&amp;UPPER(SUBSTITUTE(SUBSTITUTE(SUBSTITUTE(C415,"*",""),"?",""),"~",""))&amp;"0"&amp;M415&amp;RIGHT("00000"&amp;ROW(),5),IF('FALTAS POR DECK'!$P$1="Falta (maior primeiro)","K"&amp;RIGHT("0000"&amp;(9999-F415),4)&amp;M415&amp;RIGHT("00000"&amp;ROW(),5),IF('FALTAS POR DECK'!$P$1="Deck e código","K"&amp;RIGHT("00"&amp;IFERROR(MATCH(A415,_LEITURA!$P$2:$P$21,0),99),2)&amp;M415&amp;RIGHT("00000"&amp;ROW(),5),"K"&amp;RIGHT("00000"&amp;ROW(),5))))))</f>
        <v/>
      </c>
      <c r="O415" s="16" t="str">
        <f aca="false">IF(N415="","",COUNTIFS($N$2:$N$1201,"&lt;"&amp;N415,$F$2:$F$1201,"&gt;0")+1)</f>
        <v/>
      </c>
    </row>
    <row r="416" customFormat="false" ht="15" hidden="false" customHeight="false" outlineLevel="0" collapsed="false">
      <c r="A416" s="11" t="str">
        <f aca="false">IF(_LEITURA!$N416="","",INDEX(_LEITURA!$K$2:$K$1201,_LEITURA!$N416))</f>
        <v/>
      </c>
      <c r="B416" s="11" t="str">
        <f aca="false">IF(_LEITURA!$N416="","",INDEX(_LEITURA!$E$2:$E$1201,_LEITURA!$N416))</f>
        <v/>
      </c>
      <c r="C416" s="11" t="str">
        <f aca="false">IF(_LEITURA!$N416="","",INDEX(_LEITURA!$J$2:$J$1201,_LEITURA!$N416))</f>
        <v/>
      </c>
      <c r="D416" s="16" t="str">
        <f aca="false">IF(_LEITURA!$N416="","",INDEX(_LEITURA!$G$2:$G$1201,_LEITURA!$N416))</f>
        <v/>
      </c>
      <c r="E416" s="16" t="str">
        <f aca="false">IF(B416="","",SUMIFS(INVENTÁRIO!$C$2:$C$801,INVENTÁRIO!$A$2:$A$801,B416))</f>
        <v/>
      </c>
      <c r="F416" s="16" t="str">
        <f aca="false">IF(B416="","",MAX(0,D416-E416))</f>
        <v/>
      </c>
      <c r="G416" s="16" t="str">
        <f aca="false">IF(B416="","",IF(COUNTIFS($B$2:$B$1201,B416,$A$2:$A$1201,"&lt;&gt;"&amp;A416)&gt;0,"Sim",""))</f>
        <v/>
      </c>
      <c r="H416" s="16" t="str">
        <f aca="false">IF(N(F416)&gt;0,MAX(H$1:H415)+1,"")</f>
        <v/>
      </c>
      <c r="I416" s="11" t="str">
        <f aca="false">IF(B416="","",IF(INDEX($C$2:$C$1201,MATCH(B416,$B$2:$B$1201,0))&lt;&gt;C416,"Nome diferente em outro deck — revisar",""))</f>
        <v/>
      </c>
      <c r="J416" s="16" t="str">
        <f aca="false">IF(AND(B416&lt;&gt;"",A416=BULK!$A$1,N(F416)&gt;0),MAX(J$1:J415)+1,"")</f>
        <v/>
      </c>
      <c r="K416" s="11" t="str">
        <f aca="false">IF(B416="","",IFERROR(LEFT(B416,FIND("-",B416)-1),B416))</f>
        <v/>
      </c>
      <c r="L416" s="11" t="str">
        <f aca="false">IF(K416="","",IF(ISNUMBER(--MID(K416,1,1)),0,IF(ISNUMBER(--MID(K416,2,1)),1,IF(ISNUMBER(--MID(K416,3,1)),2,IF(ISNUMBER(--MID(K416,4,1)),3,MIN(LEN(K416),4))))))</f>
        <v/>
      </c>
      <c r="M416" s="11" t="str">
        <f aca="false">IF(B416="","",LEFT(K416,L416)&amp;REPT("0",4-L416)&amp;RIGHT("000"&amp;IFERROR(VALUE(MID(K416,L416+1,9)),0),3)&amp;RIGHT("0000"&amp;IFERROR(VALUE(MID(B416,FIND("-",B416)+1,9)),0),4))</f>
        <v/>
      </c>
      <c r="N416" s="11" t="str">
        <f aca="false">IF(OR(B416="",N(F416)&lt;=0),"",IF('FALTAS POR DECK'!$P$1="Código","K"&amp;M416&amp;RIGHT("00000"&amp;ROW(),5),IF('FALTAS POR DECK'!$P$1="Nome","K"&amp;UPPER(SUBSTITUTE(SUBSTITUTE(SUBSTITUTE(C416,"*",""),"?",""),"~",""))&amp;"0"&amp;M416&amp;RIGHT("00000"&amp;ROW(),5),IF('FALTAS POR DECK'!$P$1="Falta (maior primeiro)","K"&amp;RIGHT("0000"&amp;(9999-F416),4)&amp;M416&amp;RIGHT("00000"&amp;ROW(),5),IF('FALTAS POR DECK'!$P$1="Deck e código","K"&amp;RIGHT("00"&amp;IFERROR(MATCH(A416,_LEITURA!$P$2:$P$21,0),99),2)&amp;M416&amp;RIGHT("00000"&amp;ROW(),5),"K"&amp;RIGHT("00000"&amp;ROW(),5))))))</f>
        <v/>
      </c>
      <c r="O416" s="16" t="str">
        <f aca="false">IF(N416="","",COUNTIFS($N$2:$N$1201,"&lt;"&amp;N416,$F$2:$F$1201,"&gt;0")+1)</f>
        <v/>
      </c>
    </row>
    <row r="417" customFormat="false" ht="15" hidden="false" customHeight="false" outlineLevel="0" collapsed="false">
      <c r="A417" s="11" t="str">
        <f aca="false">IF(_LEITURA!$N417="","",INDEX(_LEITURA!$K$2:$K$1201,_LEITURA!$N417))</f>
        <v/>
      </c>
      <c r="B417" s="11" t="str">
        <f aca="false">IF(_LEITURA!$N417="","",INDEX(_LEITURA!$E$2:$E$1201,_LEITURA!$N417))</f>
        <v/>
      </c>
      <c r="C417" s="11" t="str">
        <f aca="false">IF(_LEITURA!$N417="","",INDEX(_LEITURA!$J$2:$J$1201,_LEITURA!$N417))</f>
        <v/>
      </c>
      <c r="D417" s="16" t="str">
        <f aca="false">IF(_LEITURA!$N417="","",INDEX(_LEITURA!$G$2:$G$1201,_LEITURA!$N417))</f>
        <v/>
      </c>
      <c r="E417" s="16" t="str">
        <f aca="false">IF(B417="","",SUMIFS(INVENTÁRIO!$C$2:$C$801,INVENTÁRIO!$A$2:$A$801,B417))</f>
        <v/>
      </c>
      <c r="F417" s="16" t="str">
        <f aca="false">IF(B417="","",MAX(0,D417-E417))</f>
        <v/>
      </c>
      <c r="G417" s="16" t="str">
        <f aca="false">IF(B417="","",IF(COUNTIFS($B$2:$B$1201,B417,$A$2:$A$1201,"&lt;&gt;"&amp;A417)&gt;0,"Sim",""))</f>
        <v/>
      </c>
      <c r="H417" s="16" t="str">
        <f aca="false">IF(N(F417)&gt;0,MAX(H$1:H416)+1,"")</f>
        <v/>
      </c>
      <c r="I417" s="11" t="str">
        <f aca="false">IF(B417="","",IF(INDEX($C$2:$C$1201,MATCH(B417,$B$2:$B$1201,0))&lt;&gt;C417,"Nome diferente em outro deck — revisar",""))</f>
        <v/>
      </c>
      <c r="J417" s="16" t="str">
        <f aca="false">IF(AND(B417&lt;&gt;"",A417=BULK!$A$1,N(F417)&gt;0),MAX(J$1:J416)+1,"")</f>
        <v/>
      </c>
      <c r="K417" s="11" t="str">
        <f aca="false">IF(B417="","",IFERROR(LEFT(B417,FIND("-",B417)-1),B417))</f>
        <v/>
      </c>
      <c r="L417" s="11" t="str">
        <f aca="false">IF(K417="","",IF(ISNUMBER(--MID(K417,1,1)),0,IF(ISNUMBER(--MID(K417,2,1)),1,IF(ISNUMBER(--MID(K417,3,1)),2,IF(ISNUMBER(--MID(K417,4,1)),3,MIN(LEN(K417),4))))))</f>
        <v/>
      </c>
      <c r="M417" s="11" t="str">
        <f aca="false">IF(B417="","",LEFT(K417,L417)&amp;REPT("0",4-L417)&amp;RIGHT("000"&amp;IFERROR(VALUE(MID(K417,L417+1,9)),0),3)&amp;RIGHT("0000"&amp;IFERROR(VALUE(MID(B417,FIND("-",B417)+1,9)),0),4))</f>
        <v/>
      </c>
      <c r="N417" s="11" t="str">
        <f aca="false">IF(OR(B417="",N(F417)&lt;=0),"",IF('FALTAS POR DECK'!$P$1="Código","K"&amp;M417&amp;RIGHT("00000"&amp;ROW(),5),IF('FALTAS POR DECK'!$P$1="Nome","K"&amp;UPPER(SUBSTITUTE(SUBSTITUTE(SUBSTITUTE(C417,"*",""),"?",""),"~",""))&amp;"0"&amp;M417&amp;RIGHT("00000"&amp;ROW(),5),IF('FALTAS POR DECK'!$P$1="Falta (maior primeiro)","K"&amp;RIGHT("0000"&amp;(9999-F417),4)&amp;M417&amp;RIGHT("00000"&amp;ROW(),5),IF('FALTAS POR DECK'!$P$1="Deck e código","K"&amp;RIGHT("00"&amp;IFERROR(MATCH(A417,_LEITURA!$P$2:$P$21,0),99),2)&amp;M417&amp;RIGHT("00000"&amp;ROW(),5),"K"&amp;RIGHT("00000"&amp;ROW(),5))))))</f>
        <v/>
      </c>
      <c r="O417" s="16" t="str">
        <f aca="false">IF(N417="","",COUNTIFS($N$2:$N$1201,"&lt;"&amp;N417,$F$2:$F$1201,"&gt;0")+1)</f>
        <v/>
      </c>
    </row>
    <row r="418" customFormat="false" ht="15" hidden="false" customHeight="false" outlineLevel="0" collapsed="false">
      <c r="A418" s="11" t="str">
        <f aca="false">IF(_LEITURA!$N418="","",INDEX(_LEITURA!$K$2:$K$1201,_LEITURA!$N418))</f>
        <v/>
      </c>
      <c r="B418" s="11" t="str">
        <f aca="false">IF(_LEITURA!$N418="","",INDEX(_LEITURA!$E$2:$E$1201,_LEITURA!$N418))</f>
        <v/>
      </c>
      <c r="C418" s="11" t="str">
        <f aca="false">IF(_LEITURA!$N418="","",INDEX(_LEITURA!$J$2:$J$1201,_LEITURA!$N418))</f>
        <v/>
      </c>
      <c r="D418" s="16" t="str">
        <f aca="false">IF(_LEITURA!$N418="","",INDEX(_LEITURA!$G$2:$G$1201,_LEITURA!$N418))</f>
        <v/>
      </c>
      <c r="E418" s="16" t="str">
        <f aca="false">IF(B418="","",SUMIFS(INVENTÁRIO!$C$2:$C$801,INVENTÁRIO!$A$2:$A$801,B418))</f>
        <v/>
      </c>
      <c r="F418" s="16" t="str">
        <f aca="false">IF(B418="","",MAX(0,D418-E418))</f>
        <v/>
      </c>
      <c r="G418" s="16" t="str">
        <f aca="false">IF(B418="","",IF(COUNTIFS($B$2:$B$1201,B418,$A$2:$A$1201,"&lt;&gt;"&amp;A418)&gt;0,"Sim",""))</f>
        <v/>
      </c>
      <c r="H418" s="16" t="str">
        <f aca="false">IF(N(F418)&gt;0,MAX(H$1:H417)+1,"")</f>
        <v/>
      </c>
      <c r="I418" s="11" t="str">
        <f aca="false">IF(B418="","",IF(INDEX($C$2:$C$1201,MATCH(B418,$B$2:$B$1201,0))&lt;&gt;C418,"Nome diferente em outro deck — revisar",""))</f>
        <v/>
      </c>
      <c r="J418" s="16" t="str">
        <f aca="false">IF(AND(B418&lt;&gt;"",A418=BULK!$A$1,N(F418)&gt;0),MAX(J$1:J417)+1,"")</f>
        <v/>
      </c>
      <c r="K418" s="11" t="str">
        <f aca="false">IF(B418="","",IFERROR(LEFT(B418,FIND("-",B418)-1),B418))</f>
        <v/>
      </c>
      <c r="L418" s="11" t="str">
        <f aca="false">IF(K418="","",IF(ISNUMBER(--MID(K418,1,1)),0,IF(ISNUMBER(--MID(K418,2,1)),1,IF(ISNUMBER(--MID(K418,3,1)),2,IF(ISNUMBER(--MID(K418,4,1)),3,MIN(LEN(K418),4))))))</f>
        <v/>
      </c>
      <c r="M418" s="11" t="str">
        <f aca="false">IF(B418="","",LEFT(K418,L418)&amp;REPT("0",4-L418)&amp;RIGHT("000"&amp;IFERROR(VALUE(MID(K418,L418+1,9)),0),3)&amp;RIGHT("0000"&amp;IFERROR(VALUE(MID(B418,FIND("-",B418)+1,9)),0),4))</f>
        <v/>
      </c>
      <c r="N418" s="11" t="str">
        <f aca="false">IF(OR(B418="",N(F418)&lt;=0),"",IF('FALTAS POR DECK'!$P$1="Código","K"&amp;M418&amp;RIGHT("00000"&amp;ROW(),5),IF('FALTAS POR DECK'!$P$1="Nome","K"&amp;UPPER(SUBSTITUTE(SUBSTITUTE(SUBSTITUTE(C418,"*",""),"?",""),"~",""))&amp;"0"&amp;M418&amp;RIGHT("00000"&amp;ROW(),5),IF('FALTAS POR DECK'!$P$1="Falta (maior primeiro)","K"&amp;RIGHT("0000"&amp;(9999-F418),4)&amp;M418&amp;RIGHT("00000"&amp;ROW(),5),IF('FALTAS POR DECK'!$P$1="Deck e código","K"&amp;RIGHT("00"&amp;IFERROR(MATCH(A418,_LEITURA!$P$2:$P$21,0),99),2)&amp;M418&amp;RIGHT("00000"&amp;ROW(),5),"K"&amp;RIGHT("00000"&amp;ROW(),5))))))</f>
        <v/>
      </c>
      <c r="O418" s="16" t="str">
        <f aca="false">IF(N418="","",COUNTIFS($N$2:$N$1201,"&lt;"&amp;N418,$F$2:$F$1201,"&gt;0")+1)</f>
        <v/>
      </c>
    </row>
    <row r="419" customFormat="false" ht="15" hidden="false" customHeight="false" outlineLevel="0" collapsed="false">
      <c r="A419" s="11" t="str">
        <f aca="false">IF(_LEITURA!$N419="","",INDEX(_LEITURA!$K$2:$K$1201,_LEITURA!$N419))</f>
        <v/>
      </c>
      <c r="B419" s="11" t="str">
        <f aca="false">IF(_LEITURA!$N419="","",INDEX(_LEITURA!$E$2:$E$1201,_LEITURA!$N419))</f>
        <v/>
      </c>
      <c r="C419" s="11" t="str">
        <f aca="false">IF(_LEITURA!$N419="","",INDEX(_LEITURA!$J$2:$J$1201,_LEITURA!$N419))</f>
        <v/>
      </c>
      <c r="D419" s="16" t="str">
        <f aca="false">IF(_LEITURA!$N419="","",INDEX(_LEITURA!$G$2:$G$1201,_LEITURA!$N419))</f>
        <v/>
      </c>
      <c r="E419" s="16" t="str">
        <f aca="false">IF(B419="","",SUMIFS(INVENTÁRIO!$C$2:$C$801,INVENTÁRIO!$A$2:$A$801,B419))</f>
        <v/>
      </c>
      <c r="F419" s="16" t="str">
        <f aca="false">IF(B419="","",MAX(0,D419-E419))</f>
        <v/>
      </c>
      <c r="G419" s="16" t="str">
        <f aca="false">IF(B419="","",IF(COUNTIFS($B$2:$B$1201,B419,$A$2:$A$1201,"&lt;&gt;"&amp;A419)&gt;0,"Sim",""))</f>
        <v/>
      </c>
      <c r="H419" s="16" t="str">
        <f aca="false">IF(N(F419)&gt;0,MAX(H$1:H418)+1,"")</f>
        <v/>
      </c>
      <c r="I419" s="11" t="str">
        <f aca="false">IF(B419="","",IF(INDEX($C$2:$C$1201,MATCH(B419,$B$2:$B$1201,0))&lt;&gt;C419,"Nome diferente em outro deck — revisar",""))</f>
        <v/>
      </c>
      <c r="J419" s="16" t="str">
        <f aca="false">IF(AND(B419&lt;&gt;"",A419=BULK!$A$1,N(F419)&gt;0),MAX(J$1:J418)+1,"")</f>
        <v/>
      </c>
      <c r="K419" s="11" t="str">
        <f aca="false">IF(B419="","",IFERROR(LEFT(B419,FIND("-",B419)-1),B419))</f>
        <v/>
      </c>
      <c r="L419" s="11" t="str">
        <f aca="false">IF(K419="","",IF(ISNUMBER(--MID(K419,1,1)),0,IF(ISNUMBER(--MID(K419,2,1)),1,IF(ISNUMBER(--MID(K419,3,1)),2,IF(ISNUMBER(--MID(K419,4,1)),3,MIN(LEN(K419),4))))))</f>
        <v/>
      </c>
      <c r="M419" s="11" t="str">
        <f aca="false">IF(B419="","",LEFT(K419,L419)&amp;REPT("0",4-L419)&amp;RIGHT("000"&amp;IFERROR(VALUE(MID(K419,L419+1,9)),0),3)&amp;RIGHT("0000"&amp;IFERROR(VALUE(MID(B419,FIND("-",B419)+1,9)),0),4))</f>
        <v/>
      </c>
      <c r="N419" s="11" t="str">
        <f aca="false">IF(OR(B419="",N(F419)&lt;=0),"",IF('FALTAS POR DECK'!$P$1="Código","K"&amp;M419&amp;RIGHT("00000"&amp;ROW(),5),IF('FALTAS POR DECK'!$P$1="Nome","K"&amp;UPPER(SUBSTITUTE(SUBSTITUTE(SUBSTITUTE(C419,"*",""),"?",""),"~",""))&amp;"0"&amp;M419&amp;RIGHT("00000"&amp;ROW(),5),IF('FALTAS POR DECK'!$P$1="Falta (maior primeiro)","K"&amp;RIGHT("0000"&amp;(9999-F419),4)&amp;M419&amp;RIGHT("00000"&amp;ROW(),5),IF('FALTAS POR DECK'!$P$1="Deck e código","K"&amp;RIGHT("00"&amp;IFERROR(MATCH(A419,_LEITURA!$P$2:$P$21,0),99),2)&amp;M419&amp;RIGHT("00000"&amp;ROW(),5),"K"&amp;RIGHT("00000"&amp;ROW(),5))))))</f>
        <v/>
      </c>
      <c r="O419" s="16" t="str">
        <f aca="false">IF(N419="","",COUNTIFS($N$2:$N$1201,"&lt;"&amp;N419,$F$2:$F$1201,"&gt;0")+1)</f>
        <v/>
      </c>
    </row>
    <row r="420" customFormat="false" ht="15" hidden="false" customHeight="false" outlineLevel="0" collapsed="false">
      <c r="A420" s="11" t="str">
        <f aca="false">IF(_LEITURA!$N420="","",INDEX(_LEITURA!$K$2:$K$1201,_LEITURA!$N420))</f>
        <v/>
      </c>
      <c r="B420" s="11" t="str">
        <f aca="false">IF(_LEITURA!$N420="","",INDEX(_LEITURA!$E$2:$E$1201,_LEITURA!$N420))</f>
        <v/>
      </c>
      <c r="C420" s="11" t="str">
        <f aca="false">IF(_LEITURA!$N420="","",INDEX(_LEITURA!$J$2:$J$1201,_LEITURA!$N420))</f>
        <v/>
      </c>
      <c r="D420" s="16" t="str">
        <f aca="false">IF(_LEITURA!$N420="","",INDEX(_LEITURA!$G$2:$G$1201,_LEITURA!$N420))</f>
        <v/>
      </c>
      <c r="E420" s="16" t="str">
        <f aca="false">IF(B420="","",SUMIFS(INVENTÁRIO!$C$2:$C$801,INVENTÁRIO!$A$2:$A$801,B420))</f>
        <v/>
      </c>
      <c r="F420" s="16" t="str">
        <f aca="false">IF(B420="","",MAX(0,D420-E420))</f>
        <v/>
      </c>
      <c r="G420" s="16" t="str">
        <f aca="false">IF(B420="","",IF(COUNTIFS($B$2:$B$1201,B420,$A$2:$A$1201,"&lt;&gt;"&amp;A420)&gt;0,"Sim",""))</f>
        <v/>
      </c>
      <c r="H420" s="16" t="str">
        <f aca="false">IF(N(F420)&gt;0,MAX(H$1:H419)+1,"")</f>
        <v/>
      </c>
      <c r="I420" s="11" t="str">
        <f aca="false">IF(B420="","",IF(INDEX($C$2:$C$1201,MATCH(B420,$B$2:$B$1201,0))&lt;&gt;C420,"Nome diferente em outro deck — revisar",""))</f>
        <v/>
      </c>
      <c r="J420" s="16" t="str">
        <f aca="false">IF(AND(B420&lt;&gt;"",A420=BULK!$A$1,N(F420)&gt;0),MAX(J$1:J419)+1,"")</f>
        <v/>
      </c>
      <c r="K420" s="11" t="str">
        <f aca="false">IF(B420="","",IFERROR(LEFT(B420,FIND("-",B420)-1),B420))</f>
        <v/>
      </c>
      <c r="L420" s="11" t="str">
        <f aca="false">IF(K420="","",IF(ISNUMBER(--MID(K420,1,1)),0,IF(ISNUMBER(--MID(K420,2,1)),1,IF(ISNUMBER(--MID(K420,3,1)),2,IF(ISNUMBER(--MID(K420,4,1)),3,MIN(LEN(K420),4))))))</f>
        <v/>
      </c>
      <c r="M420" s="11" t="str">
        <f aca="false">IF(B420="","",LEFT(K420,L420)&amp;REPT("0",4-L420)&amp;RIGHT("000"&amp;IFERROR(VALUE(MID(K420,L420+1,9)),0),3)&amp;RIGHT("0000"&amp;IFERROR(VALUE(MID(B420,FIND("-",B420)+1,9)),0),4))</f>
        <v/>
      </c>
      <c r="N420" s="11" t="str">
        <f aca="false">IF(OR(B420="",N(F420)&lt;=0),"",IF('FALTAS POR DECK'!$P$1="Código","K"&amp;M420&amp;RIGHT("00000"&amp;ROW(),5),IF('FALTAS POR DECK'!$P$1="Nome","K"&amp;UPPER(SUBSTITUTE(SUBSTITUTE(SUBSTITUTE(C420,"*",""),"?",""),"~",""))&amp;"0"&amp;M420&amp;RIGHT("00000"&amp;ROW(),5),IF('FALTAS POR DECK'!$P$1="Falta (maior primeiro)","K"&amp;RIGHT("0000"&amp;(9999-F420),4)&amp;M420&amp;RIGHT("00000"&amp;ROW(),5),IF('FALTAS POR DECK'!$P$1="Deck e código","K"&amp;RIGHT("00"&amp;IFERROR(MATCH(A420,_LEITURA!$P$2:$P$21,0),99),2)&amp;M420&amp;RIGHT("00000"&amp;ROW(),5),"K"&amp;RIGHT("00000"&amp;ROW(),5))))))</f>
        <v/>
      </c>
      <c r="O420" s="16" t="str">
        <f aca="false">IF(N420="","",COUNTIFS($N$2:$N$1201,"&lt;"&amp;N420,$F$2:$F$1201,"&gt;0")+1)</f>
        <v/>
      </c>
    </row>
    <row r="421" customFormat="false" ht="15" hidden="false" customHeight="false" outlineLevel="0" collapsed="false">
      <c r="A421" s="11" t="str">
        <f aca="false">IF(_LEITURA!$N421="","",INDEX(_LEITURA!$K$2:$K$1201,_LEITURA!$N421))</f>
        <v/>
      </c>
      <c r="B421" s="11" t="str">
        <f aca="false">IF(_LEITURA!$N421="","",INDEX(_LEITURA!$E$2:$E$1201,_LEITURA!$N421))</f>
        <v/>
      </c>
      <c r="C421" s="11" t="str">
        <f aca="false">IF(_LEITURA!$N421="","",INDEX(_LEITURA!$J$2:$J$1201,_LEITURA!$N421))</f>
        <v/>
      </c>
      <c r="D421" s="16" t="str">
        <f aca="false">IF(_LEITURA!$N421="","",INDEX(_LEITURA!$G$2:$G$1201,_LEITURA!$N421))</f>
        <v/>
      </c>
      <c r="E421" s="16" t="str">
        <f aca="false">IF(B421="","",SUMIFS(INVENTÁRIO!$C$2:$C$801,INVENTÁRIO!$A$2:$A$801,B421))</f>
        <v/>
      </c>
      <c r="F421" s="16" t="str">
        <f aca="false">IF(B421="","",MAX(0,D421-E421))</f>
        <v/>
      </c>
      <c r="G421" s="16" t="str">
        <f aca="false">IF(B421="","",IF(COUNTIFS($B$2:$B$1201,B421,$A$2:$A$1201,"&lt;&gt;"&amp;A421)&gt;0,"Sim",""))</f>
        <v/>
      </c>
      <c r="H421" s="16" t="str">
        <f aca="false">IF(N(F421)&gt;0,MAX(H$1:H420)+1,"")</f>
        <v/>
      </c>
      <c r="I421" s="11" t="str">
        <f aca="false">IF(B421="","",IF(INDEX($C$2:$C$1201,MATCH(B421,$B$2:$B$1201,0))&lt;&gt;C421,"Nome diferente em outro deck — revisar",""))</f>
        <v/>
      </c>
      <c r="J421" s="16" t="str">
        <f aca="false">IF(AND(B421&lt;&gt;"",A421=BULK!$A$1,N(F421)&gt;0),MAX(J$1:J420)+1,"")</f>
        <v/>
      </c>
      <c r="K421" s="11" t="str">
        <f aca="false">IF(B421="","",IFERROR(LEFT(B421,FIND("-",B421)-1),B421))</f>
        <v/>
      </c>
      <c r="L421" s="11" t="str">
        <f aca="false">IF(K421="","",IF(ISNUMBER(--MID(K421,1,1)),0,IF(ISNUMBER(--MID(K421,2,1)),1,IF(ISNUMBER(--MID(K421,3,1)),2,IF(ISNUMBER(--MID(K421,4,1)),3,MIN(LEN(K421),4))))))</f>
        <v/>
      </c>
      <c r="M421" s="11" t="str">
        <f aca="false">IF(B421="","",LEFT(K421,L421)&amp;REPT("0",4-L421)&amp;RIGHT("000"&amp;IFERROR(VALUE(MID(K421,L421+1,9)),0),3)&amp;RIGHT("0000"&amp;IFERROR(VALUE(MID(B421,FIND("-",B421)+1,9)),0),4))</f>
        <v/>
      </c>
      <c r="N421" s="11" t="str">
        <f aca="false">IF(OR(B421="",N(F421)&lt;=0),"",IF('FALTAS POR DECK'!$P$1="Código","K"&amp;M421&amp;RIGHT("00000"&amp;ROW(),5),IF('FALTAS POR DECK'!$P$1="Nome","K"&amp;UPPER(SUBSTITUTE(SUBSTITUTE(SUBSTITUTE(C421,"*",""),"?",""),"~",""))&amp;"0"&amp;M421&amp;RIGHT("00000"&amp;ROW(),5),IF('FALTAS POR DECK'!$P$1="Falta (maior primeiro)","K"&amp;RIGHT("0000"&amp;(9999-F421),4)&amp;M421&amp;RIGHT("00000"&amp;ROW(),5),IF('FALTAS POR DECK'!$P$1="Deck e código","K"&amp;RIGHT("00"&amp;IFERROR(MATCH(A421,_LEITURA!$P$2:$P$21,0),99),2)&amp;M421&amp;RIGHT("00000"&amp;ROW(),5),"K"&amp;RIGHT("00000"&amp;ROW(),5))))))</f>
        <v/>
      </c>
      <c r="O421" s="16" t="str">
        <f aca="false">IF(N421="","",COUNTIFS($N$2:$N$1201,"&lt;"&amp;N421,$F$2:$F$1201,"&gt;0")+1)</f>
        <v/>
      </c>
    </row>
    <row r="422" customFormat="false" ht="15" hidden="false" customHeight="false" outlineLevel="0" collapsed="false">
      <c r="A422" s="11" t="str">
        <f aca="false">IF(_LEITURA!$N422="","",INDEX(_LEITURA!$K$2:$K$1201,_LEITURA!$N422))</f>
        <v/>
      </c>
      <c r="B422" s="11" t="str">
        <f aca="false">IF(_LEITURA!$N422="","",INDEX(_LEITURA!$E$2:$E$1201,_LEITURA!$N422))</f>
        <v/>
      </c>
      <c r="C422" s="11" t="str">
        <f aca="false">IF(_LEITURA!$N422="","",INDEX(_LEITURA!$J$2:$J$1201,_LEITURA!$N422))</f>
        <v/>
      </c>
      <c r="D422" s="16" t="str">
        <f aca="false">IF(_LEITURA!$N422="","",INDEX(_LEITURA!$G$2:$G$1201,_LEITURA!$N422))</f>
        <v/>
      </c>
      <c r="E422" s="16" t="str">
        <f aca="false">IF(B422="","",SUMIFS(INVENTÁRIO!$C$2:$C$801,INVENTÁRIO!$A$2:$A$801,B422))</f>
        <v/>
      </c>
      <c r="F422" s="16" t="str">
        <f aca="false">IF(B422="","",MAX(0,D422-E422))</f>
        <v/>
      </c>
      <c r="G422" s="16" t="str">
        <f aca="false">IF(B422="","",IF(COUNTIFS($B$2:$B$1201,B422,$A$2:$A$1201,"&lt;&gt;"&amp;A422)&gt;0,"Sim",""))</f>
        <v/>
      </c>
      <c r="H422" s="16" t="str">
        <f aca="false">IF(N(F422)&gt;0,MAX(H$1:H421)+1,"")</f>
        <v/>
      </c>
      <c r="I422" s="11" t="str">
        <f aca="false">IF(B422="","",IF(INDEX($C$2:$C$1201,MATCH(B422,$B$2:$B$1201,0))&lt;&gt;C422,"Nome diferente em outro deck — revisar",""))</f>
        <v/>
      </c>
      <c r="J422" s="16" t="str">
        <f aca="false">IF(AND(B422&lt;&gt;"",A422=BULK!$A$1,N(F422)&gt;0),MAX(J$1:J421)+1,"")</f>
        <v/>
      </c>
      <c r="K422" s="11" t="str">
        <f aca="false">IF(B422="","",IFERROR(LEFT(B422,FIND("-",B422)-1),B422))</f>
        <v/>
      </c>
      <c r="L422" s="11" t="str">
        <f aca="false">IF(K422="","",IF(ISNUMBER(--MID(K422,1,1)),0,IF(ISNUMBER(--MID(K422,2,1)),1,IF(ISNUMBER(--MID(K422,3,1)),2,IF(ISNUMBER(--MID(K422,4,1)),3,MIN(LEN(K422),4))))))</f>
        <v/>
      </c>
      <c r="M422" s="11" t="str">
        <f aca="false">IF(B422="","",LEFT(K422,L422)&amp;REPT("0",4-L422)&amp;RIGHT("000"&amp;IFERROR(VALUE(MID(K422,L422+1,9)),0),3)&amp;RIGHT("0000"&amp;IFERROR(VALUE(MID(B422,FIND("-",B422)+1,9)),0),4))</f>
        <v/>
      </c>
      <c r="N422" s="11" t="str">
        <f aca="false">IF(OR(B422="",N(F422)&lt;=0),"",IF('FALTAS POR DECK'!$P$1="Código","K"&amp;M422&amp;RIGHT("00000"&amp;ROW(),5),IF('FALTAS POR DECK'!$P$1="Nome","K"&amp;UPPER(SUBSTITUTE(SUBSTITUTE(SUBSTITUTE(C422,"*",""),"?",""),"~",""))&amp;"0"&amp;M422&amp;RIGHT("00000"&amp;ROW(),5),IF('FALTAS POR DECK'!$P$1="Falta (maior primeiro)","K"&amp;RIGHT("0000"&amp;(9999-F422),4)&amp;M422&amp;RIGHT("00000"&amp;ROW(),5),IF('FALTAS POR DECK'!$P$1="Deck e código","K"&amp;RIGHT("00"&amp;IFERROR(MATCH(A422,_LEITURA!$P$2:$P$21,0),99),2)&amp;M422&amp;RIGHT("00000"&amp;ROW(),5),"K"&amp;RIGHT("00000"&amp;ROW(),5))))))</f>
        <v/>
      </c>
      <c r="O422" s="16" t="str">
        <f aca="false">IF(N422="","",COUNTIFS($N$2:$N$1201,"&lt;"&amp;N422,$F$2:$F$1201,"&gt;0")+1)</f>
        <v/>
      </c>
    </row>
    <row r="423" customFormat="false" ht="15" hidden="false" customHeight="false" outlineLevel="0" collapsed="false">
      <c r="A423" s="11" t="str">
        <f aca="false">IF(_LEITURA!$N423="","",INDEX(_LEITURA!$K$2:$K$1201,_LEITURA!$N423))</f>
        <v/>
      </c>
      <c r="B423" s="11" t="str">
        <f aca="false">IF(_LEITURA!$N423="","",INDEX(_LEITURA!$E$2:$E$1201,_LEITURA!$N423))</f>
        <v/>
      </c>
      <c r="C423" s="11" t="str">
        <f aca="false">IF(_LEITURA!$N423="","",INDEX(_LEITURA!$J$2:$J$1201,_LEITURA!$N423))</f>
        <v/>
      </c>
      <c r="D423" s="16" t="str">
        <f aca="false">IF(_LEITURA!$N423="","",INDEX(_LEITURA!$G$2:$G$1201,_LEITURA!$N423))</f>
        <v/>
      </c>
      <c r="E423" s="16" t="str">
        <f aca="false">IF(B423="","",SUMIFS(INVENTÁRIO!$C$2:$C$801,INVENTÁRIO!$A$2:$A$801,B423))</f>
        <v/>
      </c>
      <c r="F423" s="16" t="str">
        <f aca="false">IF(B423="","",MAX(0,D423-E423))</f>
        <v/>
      </c>
      <c r="G423" s="16" t="str">
        <f aca="false">IF(B423="","",IF(COUNTIFS($B$2:$B$1201,B423,$A$2:$A$1201,"&lt;&gt;"&amp;A423)&gt;0,"Sim",""))</f>
        <v/>
      </c>
      <c r="H423" s="16" t="str">
        <f aca="false">IF(N(F423)&gt;0,MAX(H$1:H422)+1,"")</f>
        <v/>
      </c>
      <c r="I423" s="11" t="str">
        <f aca="false">IF(B423="","",IF(INDEX($C$2:$C$1201,MATCH(B423,$B$2:$B$1201,0))&lt;&gt;C423,"Nome diferente em outro deck — revisar",""))</f>
        <v/>
      </c>
      <c r="J423" s="16" t="str">
        <f aca="false">IF(AND(B423&lt;&gt;"",A423=BULK!$A$1,N(F423)&gt;0),MAX(J$1:J422)+1,"")</f>
        <v/>
      </c>
      <c r="K423" s="11" t="str">
        <f aca="false">IF(B423="","",IFERROR(LEFT(B423,FIND("-",B423)-1),B423))</f>
        <v/>
      </c>
      <c r="L423" s="11" t="str">
        <f aca="false">IF(K423="","",IF(ISNUMBER(--MID(K423,1,1)),0,IF(ISNUMBER(--MID(K423,2,1)),1,IF(ISNUMBER(--MID(K423,3,1)),2,IF(ISNUMBER(--MID(K423,4,1)),3,MIN(LEN(K423),4))))))</f>
        <v/>
      </c>
      <c r="M423" s="11" t="str">
        <f aca="false">IF(B423="","",LEFT(K423,L423)&amp;REPT("0",4-L423)&amp;RIGHT("000"&amp;IFERROR(VALUE(MID(K423,L423+1,9)),0),3)&amp;RIGHT("0000"&amp;IFERROR(VALUE(MID(B423,FIND("-",B423)+1,9)),0),4))</f>
        <v/>
      </c>
      <c r="N423" s="11" t="str">
        <f aca="false">IF(OR(B423="",N(F423)&lt;=0),"",IF('FALTAS POR DECK'!$P$1="Código","K"&amp;M423&amp;RIGHT("00000"&amp;ROW(),5),IF('FALTAS POR DECK'!$P$1="Nome","K"&amp;UPPER(SUBSTITUTE(SUBSTITUTE(SUBSTITUTE(C423,"*",""),"?",""),"~",""))&amp;"0"&amp;M423&amp;RIGHT("00000"&amp;ROW(),5),IF('FALTAS POR DECK'!$P$1="Falta (maior primeiro)","K"&amp;RIGHT("0000"&amp;(9999-F423),4)&amp;M423&amp;RIGHT("00000"&amp;ROW(),5),IF('FALTAS POR DECK'!$P$1="Deck e código","K"&amp;RIGHT("00"&amp;IFERROR(MATCH(A423,_LEITURA!$P$2:$P$21,0),99),2)&amp;M423&amp;RIGHT("00000"&amp;ROW(),5),"K"&amp;RIGHT("00000"&amp;ROW(),5))))))</f>
        <v/>
      </c>
      <c r="O423" s="16" t="str">
        <f aca="false">IF(N423="","",COUNTIFS($N$2:$N$1201,"&lt;"&amp;N423,$F$2:$F$1201,"&gt;0")+1)</f>
        <v/>
      </c>
    </row>
    <row r="424" customFormat="false" ht="15" hidden="false" customHeight="false" outlineLevel="0" collapsed="false">
      <c r="A424" s="11" t="str">
        <f aca="false">IF(_LEITURA!$N424="","",INDEX(_LEITURA!$K$2:$K$1201,_LEITURA!$N424))</f>
        <v/>
      </c>
      <c r="B424" s="11" t="str">
        <f aca="false">IF(_LEITURA!$N424="","",INDEX(_LEITURA!$E$2:$E$1201,_LEITURA!$N424))</f>
        <v/>
      </c>
      <c r="C424" s="11" t="str">
        <f aca="false">IF(_LEITURA!$N424="","",INDEX(_LEITURA!$J$2:$J$1201,_LEITURA!$N424))</f>
        <v/>
      </c>
      <c r="D424" s="16" t="str">
        <f aca="false">IF(_LEITURA!$N424="","",INDEX(_LEITURA!$G$2:$G$1201,_LEITURA!$N424))</f>
        <v/>
      </c>
      <c r="E424" s="16" t="str">
        <f aca="false">IF(B424="","",SUMIFS(INVENTÁRIO!$C$2:$C$801,INVENTÁRIO!$A$2:$A$801,B424))</f>
        <v/>
      </c>
      <c r="F424" s="16" t="str">
        <f aca="false">IF(B424="","",MAX(0,D424-E424))</f>
        <v/>
      </c>
      <c r="G424" s="16" t="str">
        <f aca="false">IF(B424="","",IF(COUNTIFS($B$2:$B$1201,B424,$A$2:$A$1201,"&lt;&gt;"&amp;A424)&gt;0,"Sim",""))</f>
        <v/>
      </c>
      <c r="H424" s="16" t="str">
        <f aca="false">IF(N(F424)&gt;0,MAX(H$1:H423)+1,"")</f>
        <v/>
      </c>
      <c r="I424" s="11" t="str">
        <f aca="false">IF(B424="","",IF(INDEX($C$2:$C$1201,MATCH(B424,$B$2:$B$1201,0))&lt;&gt;C424,"Nome diferente em outro deck — revisar",""))</f>
        <v/>
      </c>
      <c r="J424" s="16" t="str">
        <f aca="false">IF(AND(B424&lt;&gt;"",A424=BULK!$A$1,N(F424)&gt;0),MAX(J$1:J423)+1,"")</f>
        <v/>
      </c>
      <c r="K424" s="11" t="str">
        <f aca="false">IF(B424="","",IFERROR(LEFT(B424,FIND("-",B424)-1),B424))</f>
        <v/>
      </c>
      <c r="L424" s="11" t="str">
        <f aca="false">IF(K424="","",IF(ISNUMBER(--MID(K424,1,1)),0,IF(ISNUMBER(--MID(K424,2,1)),1,IF(ISNUMBER(--MID(K424,3,1)),2,IF(ISNUMBER(--MID(K424,4,1)),3,MIN(LEN(K424),4))))))</f>
        <v/>
      </c>
      <c r="M424" s="11" t="str">
        <f aca="false">IF(B424="","",LEFT(K424,L424)&amp;REPT("0",4-L424)&amp;RIGHT("000"&amp;IFERROR(VALUE(MID(K424,L424+1,9)),0),3)&amp;RIGHT("0000"&amp;IFERROR(VALUE(MID(B424,FIND("-",B424)+1,9)),0),4))</f>
        <v/>
      </c>
      <c r="N424" s="11" t="str">
        <f aca="false">IF(OR(B424="",N(F424)&lt;=0),"",IF('FALTAS POR DECK'!$P$1="Código","K"&amp;M424&amp;RIGHT("00000"&amp;ROW(),5),IF('FALTAS POR DECK'!$P$1="Nome","K"&amp;UPPER(SUBSTITUTE(SUBSTITUTE(SUBSTITUTE(C424,"*",""),"?",""),"~",""))&amp;"0"&amp;M424&amp;RIGHT("00000"&amp;ROW(),5),IF('FALTAS POR DECK'!$P$1="Falta (maior primeiro)","K"&amp;RIGHT("0000"&amp;(9999-F424),4)&amp;M424&amp;RIGHT("00000"&amp;ROW(),5),IF('FALTAS POR DECK'!$P$1="Deck e código","K"&amp;RIGHT("00"&amp;IFERROR(MATCH(A424,_LEITURA!$P$2:$P$21,0),99),2)&amp;M424&amp;RIGHT("00000"&amp;ROW(),5),"K"&amp;RIGHT("00000"&amp;ROW(),5))))))</f>
        <v/>
      </c>
      <c r="O424" s="16" t="str">
        <f aca="false">IF(N424="","",COUNTIFS($N$2:$N$1201,"&lt;"&amp;N424,$F$2:$F$1201,"&gt;0")+1)</f>
        <v/>
      </c>
    </row>
    <row r="425" customFormat="false" ht="15" hidden="false" customHeight="false" outlineLevel="0" collapsed="false">
      <c r="A425" s="11" t="str">
        <f aca="false">IF(_LEITURA!$N425="","",INDEX(_LEITURA!$K$2:$K$1201,_LEITURA!$N425))</f>
        <v/>
      </c>
      <c r="B425" s="11" t="str">
        <f aca="false">IF(_LEITURA!$N425="","",INDEX(_LEITURA!$E$2:$E$1201,_LEITURA!$N425))</f>
        <v/>
      </c>
      <c r="C425" s="11" t="str">
        <f aca="false">IF(_LEITURA!$N425="","",INDEX(_LEITURA!$J$2:$J$1201,_LEITURA!$N425))</f>
        <v/>
      </c>
      <c r="D425" s="16" t="str">
        <f aca="false">IF(_LEITURA!$N425="","",INDEX(_LEITURA!$G$2:$G$1201,_LEITURA!$N425))</f>
        <v/>
      </c>
      <c r="E425" s="16" t="str">
        <f aca="false">IF(B425="","",SUMIFS(INVENTÁRIO!$C$2:$C$801,INVENTÁRIO!$A$2:$A$801,B425))</f>
        <v/>
      </c>
      <c r="F425" s="16" t="str">
        <f aca="false">IF(B425="","",MAX(0,D425-E425))</f>
        <v/>
      </c>
      <c r="G425" s="16" t="str">
        <f aca="false">IF(B425="","",IF(COUNTIFS($B$2:$B$1201,B425,$A$2:$A$1201,"&lt;&gt;"&amp;A425)&gt;0,"Sim",""))</f>
        <v/>
      </c>
      <c r="H425" s="16" t="str">
        <f aca="false">IF(N(F425)&gt;0,MAX(H$1:H424)+1,"")</f>
        <v/>
      </c>
      <c r="I425" s="11" t="str">
        <f aca="false">IF(B425="","",IF(INDEX($C$2:$C$1201,MATCH(B425,$B$2:$B$1201,0))&lt;&gt;C425,"Nome diferente em outro deck — revisar",""))</f>
        <v/>
      </c>
      <c r="J425" s="16" t="str">
        <f aca="false">IF(AND(B425&lt;&gt;"",A425=BULK!$A$1,N(F425)&gt;0),MAX(J$1:J424)+1,"")</f>
        <v/>
      </c>
      <c r="K425" s="11" t="str">
        <f aca="false">IF(B425="","",IFERROR(LEFT(B425,FIND("-",B425)-1),B425))</f>
        <v/>
      </c>
      <c r="L425" s="11" t="str">
        <f aca="false">IF(K425="","",IF(ISNUMBER(--MID(K425,1,1)),0,IF(ISNUMBER(--MID(K425,2,1)),1,IF(ISNUMBER(--MID(K425,3,1)),2,IF(ISNUMBER(--MID(K425,4,1)),3,MIN(LEN(K425),4))))))</f>
        <v/>
      </c>
      <c r="M425" s="11" t="str">
        <f aca="false">IF(B425="","",LEFT(K425,L425)&amp;REPT("0",4-L425)&amp;RIGHT("000"&amp;IFERROR(VALUE(MID(K425,L425+1,9)),0),3)&amp;RIGHT("0000"&amp;IFERROR(VALUE(MID(B425,FIND("-",B425)+1,9)),0),4))</f>
        <v/>
      </c>
      <c r="N425" s="11" t="str">
        <f aca="false">IF(OR(B425="",N(F425)&lt;=0),"",IF('FALTAS POR DECK'!$P$1="Código","K"&amp;M425&amp;RIGHT("00000"&amp;ROW(),5),IF('FALTAS POR DECK'!$P$1="Nome","K"&amp;UPPER(SUBSTITUTE(SUBSTITUTE(SUBSTITUTE(C425,"*",""),"?",""),"~",""))&amp;"0"&amp;M425&amp;RIGHT("00000"&amp;ROW(),5),IF('FALTAS POR DECK'!$P$1="Falta (maior primeiro)","K"&amp;RIGHT("0000"&amp;(9999-F425),4)&amp;M425&amp;RIGHT("00000"&amp;ROW(),5),IF('FALTAS POR DECK'!$P$1="Deck e código","K"&amp;RIGHT("00"&amp;IFERROR(MATCH(A425,_LEITURA!$P$2:$P$21,0),99),2)&amp;M425&amp;RIGHT("00000"&amp;ROW(),5),"K"&amp;RIGHT("00000"&amp;ROW(),5))))))</f>
        <v/>
      </c>
      <c r="O425" s="16" t="str">
        <f aca="false">IF(N425="","",COUNTIFS($N$2:$N$1201,"&lt;"&amp;N425,$F$2:$F$1201,"&gt;0")+1)</f>
        <v/>
      </c>
    </row>
    <row r="426" customFormat="false" ht="15" hidden="false" customHeight="false" outlineLevel="0" collapsed="false">
      <c r="A426" s="11" t="str">
        <f aca="false">IF(_LEITURA!$N426="","",INDEX(_LEITURA!$K$2:$K$1201,_LEITURA!$N426))</f>
        <v/>
      </c>
      <c r="B426" s="11" t="str">
        <f aca="false">IF(_LEITURA!$N426="","",INDEX(_LEITURA!$E$2:$E$1201,_LEITURA!$N426))</f>
        <v/>
      </c>
      <c r="C426" s="11" t="str">
        <f aca="false">IF(_LEITURA!$N426="","",INDEX(_LEITURA!$J$2:$J$1201,_LEITURA!$N426))</f>
        <v/>
      </c>
      <c r="D426" s="16" t="str">
        <f aca="false">IF(_LEITURA!$N426="","",INDEX(_LEITURA!$G$2:$G$1201,_LEITURA!$N426))</f>
        <v/>
      </c>
      <c r="E426" s="16" t="str">
        <f aca="false">IF(B426="","",SUMIFS(INVENTÁRIO!$C$2:$C$801,INVENTÁRIO!$A$2:$A$801,B426))</f>
        <v/>
      </c>
      <c r="F426" s="16" t="str">
        <f aca="false">IF(B426="","",MAX(0,D426-E426))</f>
        <v/>
      </c>
      <c r="G426" s="16" t="str">
        <f aca="false">IF(B426="","",IF(COUNTIFS($B$2:$B$1201,B426,$A$2:$A$1201,"&lt;&gt;"&amp;A426)&gt;0,"Sim",""))</f>
        <v/>
      </c>
      <c r="H426" s="16" t="str">
        <f aca="false">IF(N(F426)&gt;0,MAX(H$1:H425)+1,"")</f>
        <v/>
      </c>
      <c r="I426" s="11" t="str">
        <f aca="false">IF(B426="","",IF(INDEX($C$2:$C$1201,MATCH(B426,$B$2:$B$1201,0))&lt;&gt;C426,"Nome diferente em outro deck — revisar",""))</f>
        <v/>
      </c>
      <c r="J426" s="16" t="str">
        <f aca="false">IF(AND(B426&lt;&gt;"",A426=BULK!$A$1,N(F426)&gt;0),MAX(J$1:J425)+1,"")</f>
        <v/>
      </c>
      <c r="K426" s="11" t="str">
        <f aca="false">IF(B426="","",IFERROR(LEFT(B426,FIND("-",B426)-1),B426))</f>
        <v/>
      </c>
      <c r="L426" s="11" t="str">
        <f aca="false">IF(K426="","",IF(ISNUMBER(--MID(K426,1,1)),0,IF(ISNUMBER(--MID(K426,2,1)),1,IF(ISNUMBER(--MID(K426,3,1)),2,IF(ISNUMBER(--MID(K426,4,1)),3,MIN(LEN(K426),4))))))</f>
        <v/>
      </c>
      <c r="M426" s="11" t="str">
        <f aca="false">IF(B426="","",LEFT(K426,L426)&amp;REPT("0",4-L426)&amp;RIGHT("000"&amp;IFERROR(VALUE(MID(K426,L426+1,9)),0),3)&amp;RIGHT("0000"&amp;IFERROR(VALUE(MID(B426,FIND("-",B426)+1,9)),0),4))</f>
        <v/>
      </c>
      <c r="N426" s="11" t="str">
        <f aca="false">IF(OR(B426="",N(F426)&lt;=0),"",IF('FALTAS POR DECK'!$P$1="Código","K"&amp;M426&amp;RIGHT("00000"&amp;ROW(),5),IF('FALTAS POR DECK'!$P$1="Nome","K"&amp;UPPER(SUBSTITUTE(SUBSTITUTE(SUBSTITUTE(C426,"*",""),"?",""),"~",""))&amp;"0"&amp;M426&amp;RIGHT("00000"&amp;ROW(),5),IF('FALTAS POR DECK'!$P$1="Falta (maior primeiro)","K"&amp;RIGHT("0000"&amp;(9999-F426),4)&amp;M426&amp;RIGHT("00000"&amp;ROW(),5),IF('FALTAS POR DECK'!$P$1="Deck e código","K"&amp;RIGHT("00"&amp;IFERROR(MATCH(A426,_LEITURA!$P$2:$P$21,0),99),2)&amp;M426&amp;RIGHT("00000"&amp;ROW(),5),"K"&amp;RIGHT("00000"&amp;ROW(),5))))))</f>
        <v/>
      </c>
      <c r="O426" s="16" t="str">
        <f aca="false">IF(N426="","",COUNTIFS($N$2:$N$1201,"&lt;"&amp;N426,$F$2:$F$1201,"&gt;0")+1)</f>
        <v/>
      </c>
    </row>
    <row r="427" customFormat="false" ht="15" hidden="false" customHeight="false" outlineLevel="0" collapsed="false">
      <c r="A427" s="11" t="str">
        <f aca="false">IF(_LEITURA!$N427="","",INDEX(_LEITURA!$K$2:$K$1201,_LEITURA!$N427))</f>
        <v/>
      </c>
      <c r="B427" s="11" t="str">
        <f aca="false">IF(_LEITURA!$N427="","",INDEX(_LEITURA!$E$2:$E$1201,_LEITURA!$N427))</f>
        <v/>
      </c>
      <c r="C427" s="11" t="str">
        <f aca="false">IF(_LEITURA!$N427="","",INDEX(_LEITURA!$J$2:$J$1201,_LEITURA!$N427))</f>
        <v/>
      </c>
      <c r="D427" s="16" t="str">
        <f aca="false">IF(_LEITURA!$N427="","",INDEX(_LEITURA!$G$2:$G$1201,_LEITURA!$N427))</f>
        <v/>
      </c>
      <c r="E427" s="16" t="str">
        <f aca="false">IF(B427="","",SUMIFS(INVENTÁRIO!$C$2:$C$801,INVENTÁRIO!$A$2:$A$801,B427))</f>
        <v/>
      </c>
      <c r="F427" s="16" t="str">
        <f aca="false">IF(B427="","",MAX(0,D427-E427))</f>
        <v/>
      </c>
      <c r="G427" s="16" t="str">
        <f aca="false">IF(B427="","",IF(COUNTIFS($B$2:$B$1201,B427,$A$2:$A$1201,"&lt;&gt;"&amp;A427)&gt;0,"Sim",""))</f>
        <v/>
      </c>
      <c r="H427" s="16" t="str">
        <f aca="false">IF(N(F427)&gt;0,MAX(H$1:H426)+1,"")</f>
        <v/>
      </c>
      <c r="I427" s="11" t="str">
        <f aca="false">IF(B427="","",IF(INDEX($C$2:$C$1201,MATCH(B427,$B$2:$B$1201,0))&lt;&gt;C427,"Nome diferente em outro deck — revisar",""))</f>
        <v/>
      </c>
      <c r="J427" s="16" t="str">
        <f aca="false">IF(AND(B427&lt;&gt;"",A427=BULK!$A$1,N(F427)&gt;0),MAX(J$1:J426)+1,"")</f>
        <v/>
      </c>
      <c r="K427" s="11" t="str">
        <f aca="false">IF(B427="","",IFERROR(LEFT(B427,FIND("-",B427)-1),B427))</f>
        <v/>
      </c>
      <c r="L427" s="11" t="str">
        <f aca="false">IF(K427="","",IF(ISNUMBER(--MID(K427,1,1)),0,IF(ISNUMBER(--MID(K427,2,1)),1,IF(ISNUMBER(--MID(K427,3,1)),2,IF(ISNUMBER(--MID(K427,4,1)),3,MIN(LEN(K427),4))))))</f>
        <v/>
      </c>
      <c r="M427" s="11" t="str">
        <f aca="false">IF(B427="","",LEFT(K427,L427)&amp;REPT("0",4-L427)&amp;RIGHT("000"&amp;IFERROR(VALUE(MID(K427,L427+1,9)),0),3)&amp;RIGHT("0000"&amp;IFERROR(VALUE(MID(B427,FIND("-",B427)+1,9)),0),4))</f>
        <v/>
      </c>
      <c r="N427" s="11" t="str">
        <f aca="false">IF(OR(B427="",N(F427)&lt;=0),"",IF('FALTAS POR DECK'!$P$1="Código","K"&amp;M427&amp;RIGHT("00000"&amp;ROW(),5),IF('FALTAS POR DECK'!$P$1="Nome","K"&amp;UPPER(SUBSTITUTE(SUBSTITUTE(SUBSTITUTE(C427,"*",""),"?",""),"~",""))&amp;"0"&amp;M427&amp;RIGHT("00000"&amp;ROW(),5),IF('FALTAS POR DECK'!$P$1="Falta (maior primeiro)","K"&amp;RIGHT("0000"&amp;(9999-F427),4)&amp;M427&amp;RIGHT("00000"&amp;ROW(),5),IF('FALTAS POR DECK'!$P$1="Deck e código","K"&amp;RIGHT("00"&amp;IFERROR(MATCH(A427,_LEITURA!$P$2:$P$21,0),99),2)&amp;M427&amp;RIGHT("00000"&amp;ROW(),5),"K"&amp;RIGHT("00000"&amp;ROW(),5))))))</f>
        <v/>
      </c>
      <c r="O427" s="16" t="str">
        <f aca="false">IF(N427="","",COUNTIFS($N$2:$N$1201,"&lt;"&amp;N427,$F$2:$F$1201,"&gt;0")+1)</f>
        <v/>
      </c>
    </row>
    <row r="428" customFormat="false" ht="15" hidden="false" customHeight="false" outlineLevel="0" collapsed="false">
      <c r="A428" s="11" t="str">
        <f aca="false">IF(_LEITURA!$N428="","",INDEX(_LEITURA!$K$2:$K$1201,_LEITURA!$N428))</f>
        <v/>
      </c>
      <c r="B428" s="11" t="str">
        <f aca="false">IF(_LEITURA!$N428="","",INDEX(_LEITURA!$E$2:$E$1201,_LEITURA!$N428))</f>
        <v/>
      </c>
      <c r="C428" s="11" t="str">
        <f aca="false">IF(_LEITURA!$N428="","",INDEX(_LEITURA!$J$2:$J$1201,_LEITURA!$N428))</f>
        <v/>
      </c>
      <c r="D428" s="16" t="str">
        <f aca="false">IF(_LEITURA!$N428="","",INDEX(_LEITURA!$G$2:$G$1201,_LEITURA!$N428))</f>
        <v/>
      </c>
      <c r="E428" s="16" t="str">
        <f aca="false">IF(B428="","",SUMIFS(INVENTÁRIO!$C$2:$C$801,INVENTÁRIO!$A$2:$A$801,B428))</f>
        <v/>
      </c>
      <c r="F428" s="16" t="str">
        <f aca="false">IF(B428="","",MAX(0,D428-E428))</f>
        <v/>
      </c>
      <c r="G428" s="16" t="str">
        <f aca="false">IF(B428="","",IF(COUNTIFS($B$2:$B$1201,B428,$A$2:$A$1201,"&lt;&gt;"&amp;A428)&gt;0,"Sim",""))</f>
        <v/>
      </c>
      <c r="H428" s="16" t="str">
        <f aca="false">IF(N(F428)&gt;0,MAX(H$1:H427)+1,"")</f>
        <v/>
      </c>
      <c r="I428" s="11" t="str">
        <f aca="false">IF(B428="","",IF(INDEX($C$2:$C$1201,MATCH(B428,$B$2:$B$1201,0))&lt;&gt;C428,"Nome diferente em outro deck — revisar",""))</f>
        <v/>
      </c>
      <c r="J428" s="16" t="str">
        <f aca="false">IF(AND(B428&lt;&gt;"",A428=BULK!$A$1,N(F428)&gt;0),MAX(J$1:J427)+1,"")</f>
        <v/>
      </c>
      <c r="K428" s="11" t="str">
        <f aca="false">IF(B428="","",IFERROR(LEFT(B428,FIND("-",B428)-1),B428))</f>
        <v/>
      </c>
      <c r="L428" s="11" t="str">
        <f aca="false">IF(K428="","",IF(ISNUMBER(--MID(K428,1,1)),0,IF(ISNUMBER(--MID(K428,2,1)),1,IF(ISNUMBER(--MID(K428,3,1)),2,IF(ISNUMBER(--MID(K428,4,1)),3,MIN(LEN(K428),4))))))</f>
        <v/>
      </c>
      <c r="M428" s="11" t="str">
        <f aca="false">IF(B428="","",LEFT(K428,L428)&amp;REPT("0",4-L428)&amp;RIGHT("000"&amp;IFERROR(VALUE(MID(K428,L428+1,9)),0),3)&amp;RIGHT("0000"&amp;IFERROR(VALUE(MID(B428,FIND("-",B428)+1,9)),0),4))</f>
        <v/>
      </c>
      <c r="N428" s="11" t="str">
        <f aca="false">IF(OR(B428="",N(F428)&lt;=0),"",IF('FALTAS POR DECK'!$P$1="Código","K"&amp;M428&amp;RIGHT("00000"&amp;ROW(),5),IF('FALTAS POR DECK'!$P$1="Nome","K"&amp;UPPER(SUBSTITUTE(SUBSTITUTE(SUBSTITUTE(C428,"*",""),"?",""),"~",""))&amp;"0"&amp;M428&amp;RIGHT("00000"&amp;ROW(),5),IF('FALTAS POR DECK'!$P$1="Falta (maior primeiro)","K"&amp;RIGHT("0000"&amp;(9999-F428),4)&amp;M428&amp;RIGHT("00000"&amp;ROW(),5),IF('FALTAS POR DECK'!$P$1="Deck e código","K"&amp;RIGHT("00"&amp;IFERROR(MATCH(A428,_LEITURA!$P$2:$P$21,0),99),2)&amp;M428&amp;RIGHT("00000"&amp;ROW(),5),"K"&amp;RIGHT("00000"&amp;ROW(),5))))))</f>
        <v/>
      </c>
      <c r="O428" s="16" t="str">
        <f aca="false">IF(N428="","",COUNTIFS($N$2:$N$1201,"&lt;"&amp;N428,$F$2:$F$1201,"&gt;0")+1)</f>
        <v/>
      </c>
    </row>
    <row r="429" customFormat="false" ht="15" hidden="false" customHeight="false" outlineLevel="0" collapsed="false">
      <c r="A429" s="11" t="str">
        <f aca="false">IF(_LEITURA!$N429="","",INDEX(_LEITURA!$K$2:$K$1201,_LEITURA!$N429))</f>
        <v/>
      </c>
      <c r="B429" s="11" t="str">
        <f aca="false">IF(_LEITURA!$N429="","",INDEX(_LEITURA!$E$2:$E$1201,_LEITURA!$N429))</f>
        <v/>
      </c>
      <c r="C429" s="11" t="str">
        <f aca="false">IF(_LEITURA!$N429="","",INDEX(_LEITURA!$J$2:$J$1201,_LEITURA!$N429))</f>
        <v/>
      </c>
      <c r="D429" s="16" t="str">
        <f aca="false">IF(_LEITURA!$N429="","",INDEX(_LEITURA!$G$2:$G$1201,_LEITURA!$N429))</f>
        <v/>
      </c>
      <c r="E429" s="16" t="str">
        <f aca="false">IF(B429="","",SUMIFS(INVENTÁRIO!$C$2:$C$801,INVENTÁRIO!$A$2:$A$801,B429))</f>
        <v/>
      </c>
      <c r="F429" s="16" t="str">
        <f aca="false">IF(B429="","",MAX(0,D429-E429))</f>
        <v/>
      </c>
      <c r="G429" s="16" t="str">
        <f aca="false">IF(B429="","",IF(COUNTIFS($B$2:$B$1201,B429,$A$2:$A$1201,"&lt;&gt;"&amp;A429)&gt;0,"Sim",""))</f>
        <v/>
      </c>
      <c r="H429" s="16" t="str">
        <f aca="false">IF(N(F429)&gt;0,MAX(H$1:H428)+1,"")</f>
        <v/>
      </c>
      <c r="I429" s="11" t="str">
        <f aca="false">IF(B429="","",IF(INDEX($C$2:$C$1201,MATCH(B429,$B$2:$B$1201,0))&lt;&gt;C429,"Nome diferente em outro deck — revisar",""))</f>
        <v/>
      </c>
      <c r="J429" s="16" t="str">
        <f aca="false">IF(AND(B429&lt;&gt;"",A429=BULK!$A$1,N(F429)&gt;0),MAX(J$1:J428)+1,"")</f>
        <v/>
      </c>
      <c r="K429" s="11" t="str">
        <f aca="false">IF(B429="","",IFERROR(LEFT(B429,FIND("-",B429)-1),B429))</f>
        <v/>
      </c>
      <c r="L429" s="11" t="str">
        <f aca="false">IF(K429="","",IF(ISNUMBER(--MID(K429,1,1)),0,IF(ISNUMBER(--MID(K429,2,1)),1,IF(ISNUMBER(--MID(K429,3,1)),2,IF(ISNUMBER(--MID(K429,4,1)),3,MIN(LEN(K429),4))))))</f>
        <v/>
      </c>
      <c r="M429" s="11" t="str">
        <f aca="false">IF(B429="","",LEFT(K429,L429)&amp;REPT("0",4-L429)&amp;RIGHT("000"&amp;IFERROR(VALUE(MID(K429,L429+1,9)),0),3)&amp;RIGHT("0000"&amp;IFERROR(VALUE(MID(B429,FIND("-",B429)+1,9)),0),4))</f>
        <v/>
      </c>
      <c r="N429" s="11" t="str">
        <f aca="false">IF(OR(B429="",N(F429)&lt;=0),"",IF('FALTAS POR DECK'!$P$1="Código","K"&amp;M429&amp;RIGHT("00000"&amp;ROW(),5),IF('FALTAS POR DECK'!$P$1="Nome","K"&amp;UPPER(SUBSTITUTE(SUBSTITUTE(SUBSTITUTE(C429,"*",""),"?",""),"~",""))&amp;"0"&amp;M429&amp;RIGHT("00000"&amp;ROW(),5),IF('FALTAS POR DECK'!$P$1="Falta (maior primeiro)","K"&amp;RIGHT("0000"&amp;(9999-F429),4)&amp;M429&amp;RIGHT("00000"&amp;ROW(),5),IF('FALTAS POR DECK'!$P$1="Deck e código","K"&amp;RIGHT("00"&amp;IFERROR(MATCH(A429,_LEITURA!$P$2:$P$21,0),99),2)&amp;M429&amp;RIGHT("00000"&amp;ROW(),5),"K"&amp;RIGHT("00000"&amp;ROW(),5))))))</f>
        <v/>
      </c>
      <c r="O429" s="16" t="str">
        <f aca="false">IF(N429="","",COUNTIFS($N$2:$N$1201,"&lt;"&amp;N429,$F$2:$F$1201,"&gt;0")+1)</f>
        <v/>
      </c>
    </row>
    <row r="430" customFormat="false" ht="15" hidden="false" customHeight="false" outlineLevel="0" collapsed="false">
      <c r="A430" s="11" t="str">
        <f aca="false">IF(_LEITURA!$N430="","",INDEX(_LEITURA!$K$2:$K$1201,_LEITURA!$N430))</f>
        <v/>
      </c>
      <c r="B430" s="11" t="str">
        <f aca="false">IF(_LEITURA!$N430="","",INDEX(_LEITURA!$E$2:$E$1201,_LEITURA!$N430))</f>
        <v/>
      </c>
      <c r="C430" s="11" t="str">
        <f aca="false">IF(_LEITURA!$N430="","",INDEX(_LEITURA!$J$2:$J$1201,_LEITURA!$N430))</f>
        <v/>
      </c>
      <c r="D430" s="16" t="str">
        <f aca="false">IF(_LEITURA!$N430="","",INDEX(_LEITURA!$G$2:$G$1201,_LEITURA!$N430))</f>
        <v/>
      </c>
      <c r="E430" s="16" t="str">
        <f aca="false">IF(B430="","",SUMIFS(INVENTÁRIO!$C$2:$C$801,INVENTÁRIO!$A$2:$A$801,B430))</f>
        <v/>
      </c>
      <c r="F430" s="16" t="str">
        <f aca="false">IF(B430="","",MAX(0,D430-E430))</f>
        <v/>
      </c>
      <c r="G430" s="16" t="str">
        <f aca="false">IF(B430="","",IF(COUNTIFS($B$2:$B$1201,B430,$A$2:$A$1201,"&lt;&gt;"&amp;A430)&gt;0,"Sim",""))</f>
        <v/>
      </c>
      <c r="H430" s="16" t="str">
        <f aca="false">IF(N(F430)&gt;0,MAX(H$1:H429)+1,"")</f>
        <v/>
      </c>
      <c r="I430" s="11" t="str">
        <f aca="false">IF(B430="","",IF(INDEX($C$2:$C$1201,MATCH(B430,$B$2:$B$1201,0))&lt;&gt;C430,"Nome diferente em outro deck — revisar",""))</f>
        <v/>
      </c>
      <c r="J430" s="16" t="str">
        <f aca="false">IF(AND(B430&lt;&gt;"",A430=BULK!$A$1,N(F430)&gt;0),MAX(J$1:J429)+1,"")</f>
        <v/>
      </c>
      <c r="K430" s="11" t="str">
        <f aca="false">IF(B430="","",IFERROR(LEFT(B430,FIND("-",B430)-1),B430))</f>
        <v/>
      </c>
      <c r="L430" s="11" t="str">
        <f aca="false">IF(K430="","",IF(ISNUMBER(--MID(K430,1,1)),0,IF(ISNUMBER(--MID(K430,2,1)),1,IF(ISNUMBER(--MID(K430,3,1)),2,IF(ISNUMBER(--MID(K430,4,1)),3,MIN(LEN(K430),4))))))</f>
        <v/>
      </c>
      <c r="M430" s="11" t="str">
        <f aca="false">IF(B430="","",LEFT(K430,L430)&amp;REPT("0",4-L430)&amp;RIGHT("000"&amp;IFERROR(VALUE(MID(K430,L430+1,9)),0),3)&amp;RIGHT("0000"&amp;IFERROR(VALUE(MID(B430,FIND("-",B430)+1,9)),0),4))</f>
        <v/>
      </c>
      <c r="N430" s="11" t="str">
        <f aca="false">IF(OR(B430="",N(F430)&lt;=0),"",IF('FALTAS POR DECK'!$P$1="Código","K"&amp;M430&amp;RIGHT("00000"&amp;ROW(),5),IF('FALTAS POR DECK'!$P$1="Nome","K"&amp;UPPER(SUBSTITUTE(SUBSTITUTE(SUBSTITUTE(C430,"*",""),"?",""),"~",""))&amp;"0"&amp;M430&amp;RIGHT("00000"&amp;ROW(),5),IF('FALTAS POR DECK'!$P$1="Falta (maior primeiro)","K"&amp;RIGHT("0000"&amp;(9999-F430),4)&amp;M430&amp;RIGHT("00000"&amp;ROW(),5),IF('FALTAS POR DECK'!$P$1="Deck e código","K"&amp;RIGHT("00"&amp;IFERROR(MATCH(A430,_LEITURA!$P$2:$P$21,0),99),2)&amp;M430&amp;RIGHT("00000"&amp;ROW(),5),"K"&amp;RIGHT("00000"&amp;ROW(),5))))))</f>
        <v/>
      </c>
      <c r="O430" s="16" t="str">
        <f aca="false">IF(N430="","",COUNTIFS($N$2:$N$1201,"&lt;"&amp;N430,$F$2:$F$1201,"&gt;0")+1)</f>
        <v/>
      </c>
    </row>
    <row r="431" customFormat="false" ht="15" hidden="false" customHeight="false" outlineLevel="0" collapsed="false">
      <c r="A431" s="11" t="str">
        <f aca="false">IF(_LEITURA!$N431="","",INDEX(_LEITURA!$K$2:$K$1201,_LEITURA!$N431))</f>
        <v/>
      </c>
      <c r="B431" s="11" t="str">
        <f aca="false">IF(_LEITURA!$N431="","",INDEX(_LEITURA!$E$2:$E$1201,_LEITURA!$N431))</f>
        <v/>
      </c>
      <c r="C431" s="11" t="str">
        <f aca="false">IF(_LEITURA!$N431="","",INDEX(_LEITURA!$J$2:$J$1201,_LEITURA!$N431))</f>
        <v/>
      </c>
      <c r="D431" s="16" t="str">
        <f aca="false">IF(_LEITURA!$N431="","",INDEX(_LEITURA!$G$2:$G$1201,_LEITURA!$N431))</f>
        <v/>
      </c>
      <c r="E431" s="16" t="str">
        <f aca="false">IF(B431="","",SUMIFS(INVENTÁRIO!$C$2:$C$801,INVENTÁRIO!$A$2:$A$801,B431))</f>
        <v/>
      </c>
      <c r="F431" s="16" t="str">
        <f aca="false">IF(B431="","",MAX(0,D431-E431))</f>
        <v/>
      </c>
      <c r="G431" s="16" t="str">
        <f aca="false">IF(B431="","",IF(COUNTIFS($B$2:$B$1201,B431,$A$2:$A$1201,"&lt;&gt;"&amp;A431)&gt;0,"Sim",""))</f>
        <v/>
      </c>
      <c r="H431" s="16" t="str">
        <f aca="false">IF(N(F431)&gt;0,MAX(H$1:H430)+1,"")</f>
        <v/>
      </c>
      <c r="I431" s="11" t="str">
        <f aca="false">IF(B431="","",IF(INDEX($C$2:$C$1201,MATCH(B431,$B$2:$B$1201,0))&lt;&gt;C431,"Nome diferente em outro deck — revisar",""))</f>
        <v/>
      </c>
      <c r="J431" s="16" t="str">
        <f aca="false">IF(AND(B431&lt;&gt;"",A431=BULK!$A$1,N(F431)&gt;0),MAX(J$1:J430)+1,"")</f>
        <v/>
      </c>
      <c r="K431" s="11" t="str">
        <f aca="false">IF(B431="","",IFERROR(LEFT(B431,FIND("-",B431)-1),B431))</f>
        <v/>
      </c>
      <c r="L431" s="11" t="str">
        <f aca="false">IF(K431="","",IF(ISNUMBER(--MID(K431,1,1)),0,IF(ISNUMBER(--MID(K431,2,1)),1,IF(ISNUMBER(--MID(K431,3,1)),2,IF(ISNUMBER(--MID(K431,4,1)),3,MIN(LEN(K431),4))))))</f>
        <v/>
      </c>
      <c r="M431" s="11" t="str">
        <f aca="false">IF(B431="","",LEFT(K431,L431)&amp;REPT("0",4-L431)&amp;RIGHT("000"&amp;IFERROR(VALUE(MID(K431,L431+1,9)),0),3)&amp;RIGHT("0000"&amp;IFERROR(VALUE(MID(B431,FIND("-",B431)+1,9)),0),4))</f>
        <v/>
      </c>
      <c r="N431" s="11" t="str">
        <f aca="false">IF(OR(B431="",N(F431)&lt;=0),"",IF('FALTAS POR DECK'!$P$1="Código","K"&amp;M431&amp;RIGHT("00000"&amp;ROW(),5),IF('FALTAS POR DECK'!$P$1="Nome","K"&amp;UPPER(SUBSTITUTE(SUBSTITUTE(SUBSTITUTE(C431,"*",""),"?",""),"~",""))&amp;"0"&amp;M431&amp;RIGHT("00000"&amp;ROW(),5),IF('FALTAS POR DECK'!$P$1="Falta (maior primeiro)","K"&amp;RIGHT("0000"&amp;(9999-F431),4)&amp;M431&amp;RIGHT("00000"&amp;ROW(),5),IF('FALTAS POR DECK'!$P$1="Deck e código","K"&amp;RIGHT("00"&amp;IFERROR(MATCH(A431,_LEITURA!$P$2:$P$21,0),99),2)&amp;M431&amp;RIGHT("00000"&amp;ROW(),5),"K"&amp;RIGHT("00000"&amp;ROW(),5))))))</f>
        <v/>
      </c>
      <c r="O431" s="16" t="str">
        <f aca="false">IF(N431="","",COUNTIFS($N$2:$N$1201,"&lt;"&amp;N431,$F$2:$F$1201,"&gt;0")+1)</f>
        <v/>
      </c>
    </row>
    <row r="432" customFormat="false" ht="15" hidden="false" customHeight="false" outlineLevel="0" collapsed="false">
      <c r="A432" s="11" t="str">
        <f aca="false">IF(_LEITURA!$N432="","",INDEX(_LEITURA!$K$2:$K$1201,_LEITURA!$N432))</f>
        <v/>
      </c>
      <c r="B432" s="11" t="str">
        <f aca="false">IF(_LEITURA!$N432="","",INDEX(_LEITURA!$E$2:$E$1201,_LEITURA!$N432))</f>
        <v/>
      </c>
      <c r="C432" s="11" t="str">
        <f aca="false">IF(_LEITURA!$N432="","",INDEX(_LEITURA!$J$2:$J$1201,_LEITURA!$N432))</f>
        <v/>
      </c>
      <c r="D432" s="16" t="str">
        <f aca="false">IF(_LEITURA!$N432="","",INDEX(_LEITURA!$G$2:$G$1201,_LEITURA!$N432))</f>
        <v/>
      </c>
      <c r="E432" s="16" t="str">
        <f aca="false">IF(B432="","",SUMIFS(INVENTÁRIO!$C$2:$C$801,INVENTÁRIO!$A$2:$A$801,B432))</f>
        <v/>
      </c>
      <c r="F432" s="16" t="str">
        <f aca="false">IF(B432="","",MAX(0,D432-E432))</f>
        <v/>
      </c>
      <c r="G432" s="16" t="str">
        <f aca="false">IF(B432="","",IF(COUNTIFS($B$2:$B$1201,B432,$A$2:$A$1201,"&lt;&gt;"&amp;A432)&gt;0,"Sim",""))</f>
        <v/>
      </c>
      <c r="H432" s="16" t="str">
        <f aca="false">IF(N(F432)&gt;0,MAX(H$1:H431)+1,"")</f>
        <v/>
      </c>
      <c r="I432" s="11" t="str">
        <f aca="false">IF(B432="","",IF(INDEX($C$2:$C$1201,MATCH(B432,$B$2:$B$1201,0))&lt;&gt;C432,"Nome diferente em outro deck — revisar",""))</f>
        <v/>
      </c>
      <c r="J432" s="16" t="str">
        <f aca="false">IF(AND(B432&lt;&gt;"",A432=BULK!$A$1,N(F432)&gt;0),MAX(J$1:J431)+1,"")</f>
        <v/>
      </c>
      <c r="K432" s="11" t="str">
        <f aca="false">IF(B432="","",IFERROR(LEFT(B432,FIND("-",B432)-1),B432))</f>
        <v/>
      </c>
      <c r="L432" s="11" t="str">
        <f aca="false">IF(K432="","",IF(ISNUMBER(--MID(K432,1,1)),0,IF(ISNUMBER(--MID(K432,2,1)),1,IF(ISNUMBER(--MID(K432,3,1)),2,IF(ISNUMBER(--MID(K432,4,1)),3,MIN(LEN(K432),4))))))</f>
        <v/>
      </c>
      <c r="M432" s="11" t="str">
        <f aca="false">IF(B432="","",LEFT(K432,L432)&amp;REPT("0",4-L432)&amp;RIGHT("000"&amp;IFERROR(VALUE(MID(K432,L432+1,9)),0),3)&amp;RIGHT("0000"&amp;IFERROR(VALUE(MID(B432,FIND("-",B432)+1,9)),0),4))</f>
        <v/>
      </c>
      <c r="N432" s="11" t="str">
        <f aca="false">IF(OR(B432="",N(F432)&lt;=0),"",IF('FALTAS POR DECK'!$P$1="Código","K"&amp;M432&amp;RIGHT("00000"&amp;ROW(),5),IF('FALTAS POR DECK'!$P$1="Nome","K"&amp;UPPER(SUBSTITUTE(SUBSTITUTE(SUBSTITUTE(C432,"*",""),"?",""),"~",""))&amp;"0"&amp;M432&amp;RIGHT("00000"&amp;ROW(),5),IF('FALTAS POR DECK'!$P$1="Falta (maior primeiro)","K"&amp;RIGHT("0000"&amp;(9999-F432),4)&amp;M432&amp;RIGHT("00000"&amp;ROW(),5),IF('FALTAS POR DECK'!$P$1="Deck e código","K"&amp;RIGHT("00"&amp;IFERROR(MATCH(A432,_LEITURA!$P$2:$P$21,0),99),2)&amp;M432&amp;RIGHT("00000"&amp;ROW(),5),"K"&amp;RIGHT("00000"&amp;ROW(),5))))))</f>
        <v/>
      </c>
      <c r="O432" s="16" t="str">
        <f aca="false">IF(N432="","",COUNTIFS($N$2:$N$1201,"&lt;"&amp;N432,$F$2:$F$1201,"&gt;0")+1)</f>
        <v/>
      </c>
    </row>
    <row r="433" customFormat="false" ht="15" hidden="false" customHeight="false" outlineLevel="0" collapsed="false">
      <c r="A433" s="11" t="str">
        <f aca="false">IF(_LEITURA!$N433="","",INDEX(_LEITURA!$K$2:$K$1201,_LEITURA!$N433))</f>
        <v/>
      </c>
      <c r="B433" s="11" t="str">
        <f aca="false">IF(_LEITURA!$N433="","",INDEX(_LEITURA!$E$2:$E$1201,_LEITURA!$N433))</f>
        <v/>
      </c>
      <c r="C433" s="11" t="str">
        <f aca="false">IF(_LEITURA!$N433="","",INDEX(_LEITURA!$J$2:$J$1201,_LEITURA!$N433))</f>
        <v/>
      </c>
      <c r="D433" s="16" t="str">
        <f aca="false">IF(_LEITURA!$N433="","",INDEX(_LEITURA!$G$2:$G$1201,_LEITURA!$N433))</f>
        <v/>
      </c>
      <c r="E433" s="16" t="str">
        <f aca="false">IF(B433="","",SUMIFS(INVENTÁRIO!$C$2:$C$801,INVENTÁRIO!$A$2:$A$801,B433))</f>
        <v/>
      </c>
      <c r="F433" s="16" t="str">
        <f aca="false">IF(B433="","",MAX(0,D433-E433))</f>
        <v/>
      </c>
      <c r="G433" s="16" t="str">
        <f aca="false">IF(B433="","",IF(COUNTIFS($B$2:$B$1201,B433,$A$2:$A$1201,"&lt;&gt;"&amp;A433)&gt;0,"Sim",""))</f>
        <v/>
      </c>
      <c r="H433" s="16" t="str">
        <f aca="false">IF(N(F433)&gt;0,MAX(H$1:H432)+1,"")</f>
        <v/>
      </c>
      <c r="I433" s="11" t="str">
        <f aca="false">IF(B433="","",IF(INDEX($C$2:$C$1201,MATCH(B433,$B$2:$B$1201,0))&lt;&gt;C433,"Nome diferente em outro deck — revisar",""))</f>
        <v/>
      </c>
      <c r="J433" s="16" t="str">
        <f aca="false">IF(AND(B433&lt;&gt;"",A433=BULK!$A$1,N(F433)&gt;0),MAX(J$1:J432)+1,"")</f>
        <v/>
      </c>
      <c r="K433" s="11" t="str">
        <f aca="false">IF(B433="","",IFERROR(LEFT(B433,FIND("-",B433)-1),B433))</f>
        <v/>
      </c>
      <c r="L433" s="11" t="str">
        <f aca="false">IF(K433="","",IF(ISNUMBER(--MID(K433,1,1)),0,IF(ISNUMBER(--MID(K433,2,1)),1,IF(ISNUMBER(--MID(K433,3,1)),2,IF(ISNUMBER(--MID(K433,4,1)),3,MIN(LEN(K433),4))))))</f>
        <v/>
      </c>
      <c r="M433" s="11" t="str">
        <f aca="false">IF(B433="","",LEFT(K433,L433)&amp;REPT("0",4-L433)&amp;RIGHT("000"&amp;IFERROR(VALUE(MID(K433,L433+1,9)),0),3)&amp;RIGHT("0000"&amp;IFERROR(VALUE(MID(B433,FIND("-",B433)+1,9)),0),4))</f>
        <v/>
      </c>
      <c r="N433" s="11" t="str">
        <f aca="false">IF(OR(B433="",N(F433)&lt;=0),"",IF('FALTAS POR DECK'!$P$1="Código","K"&amp;M433&amp;RIGHT("00000"&amp;ROW(),5),IF('FALTAS POR DECK'!$P$1="Nome","K"&amp;UPPER(SUBSTITUTE(SUBSTITUTE(SUBSTITUTE(C433,"*",""),"?",""),"~",""))&amp;"0"&amp;M433&amp;RIGHT("00000"&amp;ROW(),5),IF('FALTAS POR DECK'!$P$1="Falta (maior primeiro)","K"&amp;RIGHT("0000"&amp;(9999-F433),4)&amp;M433&amp;RIGHT("00000"&amp;ROW(),5),IF('FALTAS POR DECK'!$P$1="Deck e código","K"&amp;RIGHT("00"&amp;IFERROR(MATCH(A433,_LEITURA!$P$2:$P$21,0),99),2)&amp;M433&amp;RIGHT("00000"&amp;ROW(),5),"K"&amp;RIGHT("00000"&amp;ROW(),5))))))</f>
        <v/>
      </c>
      <c r="O433" s="16" t="str">
        <f aca="false">IF(N433="","",COUNTIFS($N$2:$N$1201,"&lt;"&amp;N433,$F$2:$F$1201,"&gt;0")+1)</f>
        <v/>
      </c>
    </row>
    <row r="434" customFormat="false" ht="15" hidden="false" customHeight="false" outlineLevel="0" collapsed="false">
      <c r="A434" s="11" t="str">
        <f aca="false">IF(_LEITURA!$N434="","",INDEX(_LEITURA!$K$2:$K$1201,_LEITURA!$N434))</f>
        <v/>
      </c>
      <c r="B434" s="11" t="str">
        <f aca="false">IF(_LEITURA!$N434="","",INDEX(_LEITURA!$E$2:$E$1201,_LEITURA!$N434))</f>
        <v/>
      </c>
      <c r="C434" s="11" t="str">
        <f aca="false">IF(_LEITURA!$N434="","",INDEX(_LEITURA!$J$2:$J$1201,_LEITURA!$N434))</f>
        <v/>
      </c>
      <c r="D434" s="16" t="str">
        <f aca="false">IF(_LEITURA!$N434="","",INDEX(_LEITURA!$G$2:$G$1201,_LEITURA!$N434))</f>
        <v/>
      </c>
      <c r="E434" s="16" t="str">
        <f aca="false">IF(B434="","",SUMIFS(INVENTÁRIO!$C$2:$C$801,INVENTÁRIO!$A$2:$A$801,B434))</f>
        <v/>
      </c>
      <c r="F434" s="16" t="str">
        <f aca="false">IF(B434="","",MAX(0,D434-E434))</f>
        <v/>
      </c>
      <c r="G434" s="16" t="str">
        <f aca="false">IF(B434="","",IF(COUNTIFS($B$2:$B$1201,B434,$A$2:$A$1201,"&lt;&gt;"&amp;A434)&gt;0,"Sim",""))</f>
        <v/>
      </c>
      <c r="H434" s="16" t="str">
        <f aca="false">IF(N(F434)&gt;0,MAX(H$1:H433)+1,"")</f>
        <v/>
      </c>
      <c r="I434" s="11" t="str">
        <f aca="false">IF(B434="","",IF(INDEX($C$2:$C$1201,MATCH(B434,$B$2:$B$1201,0))&lt;&gt;C434,"Nome diferente em outro deck — revisar",""))</f>
        <v/>
      </c>
      <c r="J434" s="16" t="str">
        <f aca="false">IF(AND(B434&lt;&gt;"",A434=BULK!$A$1,N(F434)&gt;0),MAX(J$1:J433)+1,"")</f>
        <v/>
      </c>
      <c r="K434" s="11" t="str">
        <f aca="false">IF(B434="","",IFERROR(LEFT(B434,FIND("-",B434)-1),B434))</f>
        <v/>
      </c>
      <c r="L434" s="11" t="str">
        <f aca="false">IF(K434="","",IF(ISNUMBER(--MID(K434,1,1)),0,IF(ISNUMBER(--MID(K434,2,1)),1,IF(ISNUMBER(--MID(K434,3,1)),2,IF(ISNUMBER(--MID(K434,4,1)),3,MIN(LEN(K434),4))))))</f>
        <v/>
      </c>
      <c r="M434" s="11" t="str">
        <f aca="false">IF(B434="","",LEFT(K434,L434)&amp;REPT("0",4-L434)&amp;RIGHT("000"&amp;IFERROR(VALUE(MID(K434,L434+1,9)),0),3)&amp;RIGHT("0000"&amp;IFERROR(VALUE(MID(B434,FIND("-",B434)+1,9)),0),4))</f>
        <v/>
      </c>
      <c r="N434" s="11" t="str">
        <f aca="false">IF(OR(B434="",N(F434)&lt;=0),"",IF('FALTAS POR DECK'!$P$1="Código","K"&amp;M434&amp;RIGHT("00000"&amp;ROW(),5),IF('FALTAS POR DECK'!$P$1="Nome","K"&amp;UPPER(SUBSTITUTE(SUBSTITUTE(SUBSTITUTE(C434,"*",""),"?",""),"~",""))&amp;"0"&amp;M434&amp;RIGHT("00000"&amp;ROW(),5),IF('FALTAS POR DECK'!$P$1="Falta (maior primeiro)","K"&amp;RIGHT("0000"&amp;(9999-F434),4)&amp;M434&amp;RIGHT("00000"&amp;ROW(),5),IF('FALTAS POR DECK'!$P$1="Deck e código","K"&amp;RIGHT("00"&amp;IFERROR(MATCH(A434,_LEITURA!$P$2:$P$21,0),99),2)&amp;M434&amp;RIGHT("00000"&amp;ROW(),5),"K"&amp;RIGHT("00000"&amp;ROW(),5))))))</f>
        <v/>
      </c>
      <c r="O434" s="16" t="str">
        <f aca="false">IF(N434="","",COUNTIFS($N$2:$N$1201,"&lt;"&amp;N434,$F$2:$F$1201,"&gt;0")+1)</f>
        <v/>
      </c>
    </row>
    <row r="435" customFormat="false" ht="15" hidden="false" customHeight="false" outlineLevel="0" collapsed="false">
      <c r="A435" s="11" t="str">
        <f aca="false">IF(_LEITURA!$N435="","",INDEX(_LEITURA!$K$2:$K$1201,_LEITURA!$N435))</f>
        <v/>
      </c>
      <c r="B435" s="11" t="str">
        <f aca="false">IF(_LEITURA!$N435="","",INDEX(_LEITURA!$E$2:$E$1201,_LEITURA!$N435))</f>
        <v/>
      </c>
      <c r="C435" s="11" t="str">
        <f aca="false">IF(_LEITURA!$N435="","",INDEX(_LEITURA!$J$2:$J$1201,_LEITURA!$N435))</f>
        <v/>
      </c>
      <c r="D435" s="16" t="str">
        <f aca="false">IF(_LEITURA!$N435="","",INDEX(_LEITURA!$G$2:$G$1201,_LEITURA!$N435))</f>
        <v/>
      </c>
      <c r="E435" s="16" t="str">
        <f aca="false">IF(B435="","",SUMIFS(INVENTÁRIO!$C$2:$C$801,INVENTÁRIO!$A$2:$A$801,B435))</f>
        <v/>
      </c>
      <c r="F435" s="16" t="str">
        <f aca="false">IF(B435="","",MAX(0,D435-E435))</f>
        <v/>
      </c>
      <c r="G435" s="16" t="str">
        <f aca="false">IF(B435="","",IF(COUNTIFS($B$2:$B$1201,B435,$A$2:$A$1201,"&lt;&gt;"&amp;A435)&gt;0,"Sim",""))</f>
        <v/>
      </c>
      <c r="H435" s="16" t="str">
        <f aca="false">IF(N(F435)&gt;0,MAX(H$1:H434)+1,"")</f>
        <v/>
      </c>
      <c r="I435" s="11" t="str">
        <f aca="false">IF(B435="","",IF(INDEX($C$2:$C$1201,MATCH(B435,$B$2:$B$1201,0))&lt;&gt;C435,"Nome diferente em outro deck — revisar",""))</f>
        <v/>
      </c>
      <c r="J435" s="16" t="str">
        <f aca="false">IF(AND(B435&lt;&gt;"",A435=BULK!$A$1,N(F435)&gt;0),MAX(J$1:J434)+1,"")</f>
        <v/>
      </c>
      <c r="K435" s="11" t="str">
        <f aca="false">IF(B435="","",IFERROR(LEFT(B435,FIND("-",B435)-1),B435))</f>
        <v/>
      </c>
      <c r="L435" s="11" t="str">
        <f aca="false">IF(K435="","",IF(ISNUMBER(--MID(K435,1,1)),0,IF(ISNUMBER(--MID(K435,2,1)),1,IF(ISNUMBER(--MID(K435,3,1)),2,IF(ISNUMBER(--MID(K435,4,1)),3,MIN(LEN(K435),4))))))</f>
        <v/>
      </c>
      <c r="M435" s="11" t="str">
        <f aca="false">IF(B435="","",LEFT(K435,L435)&amp;REPT("0",4-L435)&amp;RIGHT("000"&amp;IFERROR(VALUE(MID(K435,L435+1,9)),0),3)&amp;RIGHT("0000"&amp;IFERROR(VALUE(MID(B435,FIND("-",B435)+1,9)),0),4))</f>
        <v/>
      </c>
      <c r="N435" s="11" t="str">
        <f aca="false">IF(OR(B435="",N(F435)&lt;=0),"",IF('FALTAS POR DECK'!$P$1="Código","K"&amp;M435&amp;RIGHT("00000"&amp;ROW(),5),IF('FALTAS POR DECK'!$P$1="Nome","K"&amp;UPPER(SUBSTITUTE(SUBSTITUTE(SUBSTITUTE(C435,"*",""),"?",""),"~",""))&amp;"0"&amp;M435&amp;RIGHT("00000"&amp;ROW(),5),IF('FALTAS POR DECK'!$P$1="Falta (maior primeiro)","K"&amp;RIGHT("0000"&amp;(9999-F435),4)&amp;M435&amp;RIGHT("00000"&amp;ROW(),5),IF('FALTAS POR DECK'!$P$1="Deck e código","K"&amp;RIGHT("00"&amp;IFERROR(MATCH(A435,_LEITURA!$P$2:$P$21,0),99),2)&amp;M435&amp;RIGHT("00000"&amp;ROW(),5),"K"&amp;RIGHT("00000"&amp;ROW(),5))))))</f>
        <v/>
      </c>
      <c r="O435" s="16" t="str">
        <f aca="false">IF(N435="","",COUNTIFS($N$2:$N$1201,"&lt;"&amp;N435,$F$2:$F$1201,"&gt;0")+1)</f>
        <v/>
      </c>
    </row>
    <row r="436" customFormat="false" ht="15" hidden="false" customHeight="false" outlineLevel="0" collapsed="false">
      <c r="A436" s="11" t="str">
        <f aca="false">IF(_LEITURA!$N436="","",INDEX(_LEITURA!$K$2:$K$1201,_LEITURA!$N436))</f>
        <v/>
      </c>
      <c r="B436" s="11" t="str">
        <f aca="false">IF(_LEITURA!$N436="","",INDEX(_LEITURA!$E$2:$E$1201,_LEITURA!$N436))</f>
        <v/>
      </c>
      <c r="C436" s="11" t="str">
        <f aca="false">IF(_LEITURA!$N436="","",INDEX(_LEITURA!$J$2:$J$1201,_LEITURA!$N436))</f>
        <v/>
      </c>
      <c r="D436" s="16" t="str">
        <f aca="false">IF(_LEITURA!$N436="","",INDEX(_LEITURA!$G$2:$G$1201,_LEITURA!$N436))</f>
        <v/>
      </c>
      <c r="E436" s="16" t="str">
        <f aca="false">IF(B436="","",SUMIFS(INVENTÁRIO!$C$2:$C$801,INVENTÁRIO!$A$2:$A$801,B436))</f>
        <v/>
      </c>
      <c r="F436" s="16" t="str">
        <f aca="false">IF(B436="","",MAX(0,D436-E436))</f>
        <v/>
      </c>
      <c r="G436" s="16" t="str">
        <f aca="false">IF(B436="","",IF(COUNTIFS($B$2:$B$1201,B436,$A$2:$A$1201,"&lt;&gt;"&amp;A436)&gt;0,"Sim",""))</f>
        <v/>
      </c>
      <c r="H436" s="16" t="str">
        <f aca="false">IF(N(F436)&gt;0,MAX(H$1:H435)+1,"")</f>
        <v/>
      </c>
      <c r="I436" s="11" t="str">
        <f aca="false">IF(B436="","",IF(INDEX($C$2:$C$1201,MATCH(B436,$B$2:$B$1201,0))&lt;&gt;C436,"Nome diferente em outro deck — revisar",""))</f>
        <v/>
      </c>
      <c r="J436" s="16" t="str">
        <f aca="false">IF(AND(B436&lt;&gt;"",A436=BULK!$A$1,N(F436)&gt;0),MAX(J$1:J435)+1,"")</f>
        <v/>
      </c>
      <c r="K436" s="11" t="str">
        <f aca="false">IF(B436="","",IFERROR(LEFT(B436,FIND("-",B436)-1),B436))</f>
        <v/>
      </c>
      <c r="L436" s="11" t="str">
        <f aca="false">IF(K436="","",IF(ISNUMBER(--MID(K436,1,1)),0,IF(ISNUMBER(--MID(K436,2,1)),1,IF(ISNUMBER(--MID(K436,3,1)),2,IF(ISNUMBER(--MID(K436,4,1)),3,MIN(LEN(K436),4))))))</f>
        <v/>
      </c>
      <c r="M436" s="11" t="str">
        <f aca="false">IF(B436="","",LEFT(K436,L436)&amp;REPT("0",4-L436)&amp;RIGHT("000"&amp;IFERROR(VALUE(MID(K436,L436+1,9)),0),3)&amp;RIGHT("0000"&amp;IFERROR(VALUE(MID(B436,FIND("-",B436)+1,9)),0),4))</f>
        <v/>
      </c>
      <c r="N436" s="11" t="str">
        <f aca="false">IF(OR(B436="",N(F436)&lt;=0),"",IF('FALTAS POR DECK'!$P$1="Código","K"&amp;M436&amp;RIGHT("00000"&amp;ROW(),5),IF('FALTAS POR DECK'!$P$1="Nome","K"&amp;UPPER(SUBSTITUTE(SUBSTITUTE(SUBSTITUTE(C436,"*",""),"?",""),"~",""))&amp;"0"&amp;M436&amp;RIGHT("00000"&amp;ROW(),5),IF('FALTAS POR DECK'!$P$1="Falta (maior primeiro)","K"&amp;RIGHT("0000"&amp;(9999-F436),4)&amp;M436&amp;RIGHT("00000"&amp;ROW(),5),IF('FALTAS POR DECK'!$P$1="Deck e código","K"&amp;RIGHT("00"&amp;IFERROR(MATCH(A436,_LEITURA!$P$2:$P$21,0),99),2)&amp;M436&amp;RIGHT("00000"&amp;ROW(),5),"K"&amp;RIGHT("00000"&amp;ROW(),5))))))</f>
        <v/>
      </c>
      <c r="O436" s="16" t="str">
        <f aca="false">IF(N436="","",COUNTIFS($N$2:$N$1201,"&lt;"&amp;N436,$F$2:$F$1201,"&gt;0")+1)</f>
        <v/>
      </c>
    </row>
    <row r="437" customFormat="false" ht="15" hidden="false" customHeight="false" outlineLevel="0" collapsed="false">
      <c r="A437" s="11" t="str">
        <f aca="false">IF(_LEITURA!$N437="","",INDEX(_LEITURA!$K$2:$K$1201,_LEITURA!$N437))</f>
        <v/>
      </c>
      <c r="B437" s="11" t="str">
        <f aca="false">IF(_LEITURA!$N437="","",INDEX(_LEITURA!$E$2:$E$1201,_LEITURA!$N437))</f>
        <v/>
      </c>
      <c r="C437" s="11" t="str">
        <f aca="false">IF(_LEITURA!$N437="","",INDEX(_LEITURA!$J$2:$J$1201,_LEITURA!$N437))</f>
        <v/>
      </c>
      <c r="D437" s="16" t="str">
        <f aca="false">IF(_LEITURA!$N437="","",INDEX(_LEITURA!$G$2:$G$1201,_LEITURA!$N437))</f>
        <v/>
      </c>
      <c r="E437" s="16" t="str">
        <f aca="false">IF(B437="","",SUMIFS(INVENTÁRIO!$C$2:$C$801,INVENTÁRIO!$A$2:$A$801,B437))</f>
        <v/>
      </c>
      <c r="F437" s="16" t="str">
        <f aca="false">IF(B437="","",MAX(0,D437-E437))</f>
        <v/>
      </c>
      <c r="G437" s="16" t="str">
        <f aca="false">IF(B437="","",IF(COUNTIFS($B$2:$B$1201,B437,$A$2:$A$1201,"&lt;&gt;"&amp;A437)&gt;0,"Sim",""))</f>
        <v/>
      </c>
      <c r="H437" s="16" t="str">
        <f aca="false">IF(N(F437)&gt;0,MAX(H$1:H436)+1,"")</f>
        <v/>
      </c>
      <c r="I437" s="11" t="str">
        <f aca="false">IF(B437="","",IF(INDEX($C$2:$C$1201,MATCH(B437,$B$2:$B$1201,0))&lt;&gt;C437,"Nome diferente em outro deck — revisar",""))</f>
        <v/>
      </c>
      <c r="J437" s="16" t="str">
        <f aca="false">IF(AND(B437&lt;&gt;"",A437=BULK!$A$1,N(F437)&gt;0),MAX(J$1:J436)+1,"")</f>
        <v/>
      </c>
      <c r="K437" s="11" t="str">
        <f aca="false">IF(B437="","",IFERROR(LEFT(B437,FIND("-",B437)-1),B437))</f>
        <v/>
      </c>
      <c r="L437" s="11" t="str">
        <f aca="false">IF(K437="","",IF(ISNUMBER(--MID(K437,1,1)),0,IF(ISNUMBER(--MID(K437,2,1)),1,IF(ISNUMBER(--MID(K437,3,1)),2,IF(ISNUMBER(--MID(K437,4,1)),3,MIN(LEN(K437),4))))))</f>
        <v/>
      </c>
      <c r="M437" s="11" t="str">
        <f aca="false">IF(B437="","",LEFT(K437,L437)&amp;REPT("0",4-L437)&amp;RIGHT("000"&amp;IFERROR(VALUE(MID(K437,L437+1,9)),0),3)&amp;RIGHT("0000"&amp;IFERROR(VALUE(MID(B437,FIND("-",B437)+1,9)),0),4))</f>
        <v/>
      </c>
      <c r="N437" s="11" t="str">
        <f aca="false">IF(OR(B437="",N(F437)&lt;=0),"",IF('FALTAS POR DECK'!$P$1="Código","K"&amp;M437&amp;RIGHT("00000"&amp;ROW(),5),IF('FALTAS POR DECK'!$P$1="Nome","K"&amp;UPPER(SUBSTITUTE(SUBSTITUTE(SUBSTITUTE(C437,"*",""),"?",""),"~",""))&amp;"0"&amp;M437&amp;RIGHT("00000"&amp;ROW(),5),IF('FALTAS POR DECK'!$P$1="Falta (maior primeiro)","K"&amp;RIGHT("0000"&amp;(9999-F437),4)&amp;M437&amp;RIGHT("00000"&amp;ROW(),5),IF('FALTAS POR DECK'!$P$1="Deck e código","K"&amp;RIGHT("00"&amp;IFERROR(MATCH(A437,_LEITURA!$P$2:$P$21,0),99),2)&amp;M437&amp;RIGHT("00000"&amp;ROW(),5),"K"&amp;RIGHT("00000"&amp;ROW(),5))))))</f>
        <v/>
      </c>
      <c r="O437" s="16" t="str">
        <f aca="false">IF(N437="","",COUNTIFS($N$2:$N$1201,"&lt;"&amp;N437,$F$2:$F$1201,"&gt;0")+1)</f>
        <v/>
      </c>
    </row>
    <row r="438" customFormat="false" ht="15" hidden="false" customHeight="false" outlineLevel="0" collapsed="false">
      <c r="A438" s="11" t="str">
        <f aca="false">IF(_LEITURA!$N438="","",INDEX(_LEITURA!$K$2:$K$1201,_LEITURA!$N438))</f>
        <v/>
      </c>
      <c r="B438" s="11" t="str">
        <f aca="false">IF(_LEITURA!$N438="","",INDEX(_LEITURA!$E$2:$E$1201,_LEITURA!$N438))</f>
        <v/>
      </c>
      <c r="C438" s="11" t="str">
        <f aca="false">IF(_LEITURA!$N438="","",INDEX(_LEITURA!$J$2:$J$1201,_LEITURA!$N438))</f>
        <v/>
      </c>
      <c r="D438" s="16" t="str">
        <f aca="false">IF(_LEITURA!$N438="","",INDEX(_LEITURA!$G$2:$G$1201,_LEITURA!$N438))</f>
        <v/>
      </c>
      <c r="E438" s="16" t="str">
        <f aca="false">IF(B438="","",SUMIFS(INVENTÁRIO!$C$2:$C$801,INVENTÁRIO!$A$2:$A$801,B438))</f>
        <v/>
      </c>
      <c r="F438" s="16" t="str">
        <f aca="false">IF(B438="","",MAX(0,D438-E438))</f>
        <v/>
      </c>
      <c r="G438" s="16" t="str">
        <f aca="false">IF(B438="","",IF(COUNTIFS($B$2:$B$1201,B438,$A$2:$A$1201,"&lt;&gt;"&amp;A438)&gt;0,"Sim",""))</f>
        <v/>
      </c>
      <c r="H438" s="16" t="str">
        <f aca="false">IF(N(F438)&gt;0,MAX(H$1:H437)+1,"")</f>
        <v/>
      </c>
      <c r="I438" s="11" t="str">
        <f aca="false">IF(B438="","",IF(INDEX($C$2:$C$1201,MATCH(B438,$B$2:$B$1201,0))&lt;&gt;C438,"Nome diferente em outro deck — revisar",""))</f>
        <v/>
      </c>
      <c r="J438" s="16" t="str">
        <f aca="false">IF(AND(B438&lt;&gt;"",A438=BULK!$A$1,N(F438)&gt;0),MAX(J$1:J437)+1,"")</f>
        <v/>
      </c>
      <c r="K438" s="11" t="str">
        <f aca="false">IF(B438="","",IFERROR(LEFT(B438,FIND("-",B438)-1),B438))</f>
        <v/>
      </c>
      <c r="L438" s="11" t="str">
        <f aca="false">IF(K438="","",IF(ISNUMBER(--MID(K438,1,1)),0,IF(ISNUMBER(--MID(K438,2,1)),1,IF(ISNUMBER(--MID(K438,3,1)),2,IF(ISNUMBER(--MID(K438,4,1)),3,MIN(LEN(K438),4))))))</f>
        <v/>
      </c>
      <c r="M438" s="11" t="str">
        <f aca="false">IF(B438="","",LEFT(K438,L438)&amp;REPT("0",4-L438)&amp;RIGHT("000"&amp;IFERROR(VALUE(MID(K438,L438+1,9)),0),3)&amp;RIGHT("0000"&amp;IFERROR(VALUE(MID(B438,FIND("-",B438)+1,9)),0),4))</f>
        <v/>
      </c>
      <c r="N438" s="11" t="str">
        <f aca="false">IF(OR(B438="",N(F438)&lt;=0),"",IF('FALTAS POR DECK'!$P$1="Código","K"&amp;M438&amp;RIGHT("00000"&amp;ROW(),5),IF('FALTAS POR DECK'!$P$1="Nome","K"&amp;UPPER(SUBSTITUTE(SUBSTITUTE(SUBSTITUTE(C438,"*",""),"?",""),"~",""))&amp;"0"&amp;M438&amp;RIGHT("00000"&amp;ROW(),5),IF('FALTAS POR DECK'!$P$1="Falta (maior primeiro)","K"&amp;RIGHT("0000"&amp;(9999-F438),4)&amp;M438&amp;RIGHT("00000"&amp;ROW(),5),IF('FALTAS POR DECK'!$P$1="Deck e código","K"&amp;RIGHT("00"&amp;IFERROR(MATCH(A438,_LEITURA!$P$2:$P$21,0),99),2)&amp;M438&amp;RIGHT("00000"&amp;ROW(),5),"K"&amp;RIGHT("00000"&amp;ROW(),5))))))</f>
        <v/>
      </c>
      <c r="O438" s="16" t="str">
        <f aca="false">IF(N438="","",COUNTIFS($N$2:$N$1201,"&lt;"&amp;N438,$F$2:$F$1201,"&gt;0")+1)</f>
        <v/>
      </c>
    </row>
    <row r="439" customFormat="false" ht="15" hidden="false" customHeight="false" outlineLevel="0" collapsed="false">
      <c r="A439" s="11" t="str">
        <f aca="false">IF(_LEITURA!$N439="","",INDEX(_LEITURA!$K$2:$K$1201,_LEITURA!$N439))</f>
        <v/>
      </c>
      <c r="B439" s="11" t="str">
        <f aca="false">IF(_LEITURA!$N439="","",INDEX(_LEITURA!$E$2:$E$1201,_LEITURA!$N439))</f>
        <v/>
      </c>
      <c r="C439" s="11" t="str">
        <f aca="false">IF(_LEITURA!$N439="","",INDEX(_LEITURA!$J$2:$J$1201,_LEITURA!$N439))</f>
        <v/>
      </c>
      <c r="D439" s="16" t="str">
        <f aca="false">IF(_LEITURA!$N439="","",INDEX(_LEITURA!$G$2:$G$1201,_LEITURA!$N439))</f>
        <v/>
      </c>
      <c r="E439" s="16" t="str">
        <f aca="false">IF(B439="","",SUMIFS(INVENTÁRIO!$C$2:$C$801,INVENTÁRIO!$A$2:$A$801,B439))</f>
        <v/>
      </c>
      <c r="F439" s="16" t="str">
        <f aca="false">IF(B439="","",MAX(0,D439-E439))</f>
        <v/>
      </c>
      <c r="G439" s="16" t="str">
        <f aca="false">IF(B439="","",IF(COUNTIFS($B$2:$B$1201,B439,$A$2:$A$1201,"&lt;&gt;"&amp;A439)&gt;0,"Sim",""))</f>
        <v/>
      </c>
      <c r="H439" s="16" t="str">
        <f aca="false">IF(N(F439)&gt;0,MAX(H$1:H438)+1,"")</f>
        <v/>
      </c>
      <c r="I439" s="11" t="str">
        <f aca="false">IF(B439="","",IF(INDEX($C$2:$C$1201,MATCH(B439,$B$2:$B$1201,0))&lt;&gt;C439,"Nome diferente em outro deck — revisar",""))</f>
        <v/>
      </c>
      <c r="J439" s="16" t="str">
        <f aca="false">IF(AND(B439&lt;&gt;"",A439=BULK!$A$1,N(F439)&gt;0),MAX(J$1:J438)+1,"")</f>
        <v/>
      </c>
      <c r="K439" s="11" t="str">
        <f aca="false">IF(B439="","",IFERROR(LEFT(B439,FIND("-",B439)-1),B439))</f>
        <v/>
      </c>
      <c r="L439" s="11" t="str">
        <f aca="false">IF(K439="","",IF(ISNUMBER(--MID(K439,1,1)),0,IF(ISNUMBER(--MID(K439,2,1)),1,IF(ISNUMBER(--MID(K439,3,1)),2,IF(ISNUMBER(--MID(K439,4,1)),3,MIN(LEN(K439),4))))))</f>
        <v/>
      </c>
      <c r="M439" s="11" t="str">
        <f aca="false">IF(B439="","",LEFT(K439,L439)&amp;REPT("0",4-L439)&amp;RIGHT("000"&amp;IFERROR(VALUE(MID(K439,L439+1,9)),0),3)&amp;RIGHT("0000"&amp;IFERROR(VALUE(MID(B439,FIND("-",B439)+1,9)),0),4))</f>
        <v/>
      </c>
      <c r="N439" s="11" t="str">
        <f aca="false">IF(OR(B439="",N(F439)&lt;=0),"",IF('FALTAS POR DECK'!$P$1="Código","K"&amp;M439&amp;RIGHT("00000"&amp;ROW(),5),IF('FALTAS POR DECK'!$P$1="Nome","K"&amp;UPPER(SUBSTITUTE(SUBSTITUTE(SUBSTITUTE(C439,"*",""),"?",""),"~",""))&amp;"0"&amp;M439&amp;RIGHT("00000"&amp;ROW(),5),IF('FALTAS POR DECK'!$P$1="Falta (maior primeiro)","K"&amp;RIGHT("0000"&amp;(9999-F439),4)&amp;M439&amp;RIGHT("00000"&amp;ROW(),5),IF('FALTAS POR DECK'!$P$1="Deck e código","K"&amp;RIGHT("00"&amp;IFERROR(MATCH(A439,_LEITURA!$P$2:$P$21,0),99),2)&amp;M439&amp;RIGHT("00000"&amp;ROW(),5),"K"&amp;RIGHT("00000"&amp;ROW(),5))))))</f>
        <v/>
      </c>
      <c r="O439" s="16" t="str">
        <f aca="false">IF(N439="","",COUNTIFS($N$2:$N$1201,"&lt;"&amp;N439,$F$2:$F$1201,"&gt;0")+1)</f>
        <v/>
      </c>
    </row>
    <row r="440" customFormat="false" ht="15" hidden="false" customHeight="false" outlineLevel="0" collapsed="false">
      <c r="A440" s="11" t="str">
        <f aca="false">IF(_LEITURA!$N440="","",INDEX(_LEITURA!$K$2:$K$1201,_LEITURA!$N440))</f>
        <v/>
      </c>
      <c r="B440" s="11" t="str">
        <f aca="false">IF(_LEITURA!$N440="","",INDEX(_LEITURA!$E$2:$E$1201,_LEITURA!$N440))</f>
        <v/>
      </c>
      <c r="C440" s="11" t="str">
        <f aca="false">IF(_LEITURA!$N440="","",INDEX(_LEITURA!$J$2:$J$1201,_LEITURA!$N440))</f>
        <v/>
      </c>
      <c r="D440" s="16" t="str">
        <f aca="false">IF(_LEITURA!$N440="","",INDEX(_LEITURA!$G$2:$G$1201,_LEITURA!$N440))</f>
        <v/>
      </c>
      <c r="E440" s="16" t="str">
        <f aca="false">IF(B440="","",SUMIFS(INVENTÁRIO!$C$2:$C$801,INVENTÁRIO!$A$2:$A$801,B440))</f>
        <v/>
      </c>
      <c r="F440" s="16" t="str">
        <f aca="false">IF(B440="","",MAX(0,D440-E440))</f>
        <v/>
      </c>
      <c r="G440" s="16" t="str">
        <f aca="false">IF(B440="","",IF(COUNTIFS($B$2:$B$1201,B440,$A$2:$A$1201,"&lt;&gt;"&amp;A440)&gt;0,"Sim",""))</f>
        <v/>
      </c>
      <c r="H440" s="16" t="str">
        <f aca="false">IF(N(F440)&gt;0,MAX(H$1:H439)+1,"")</f>
        <v/>
      </c>
      <c r="I440" s="11" t="str">
        <f aca="false">IF(B440="","",IF(INDEX($C$2:$C$1201,MATCH(B440,$B$2:$B$1201,0))&lt;&gt;C440,"Nome diferente em outro deck — revisar",""))</f>
        <v/>
      </c>
      <c r="J440" s="16" t="str">
        <f aca="false">IF(AND(B440&lt;&gt;"",A440=BULK!$A$1,N(F440)&gt;0),MAX(J$1:J439)+1,"")</f>
        <v/>
      </c>
      <c r="K440" s="11" t="str">
        <f aca="false">IF(B440="","",IFERROR(LEFT(B440,FIND("-",B440)-1),B440))</f>
        <v/>
      </c>
      <c r="L440" s="11" t="str">
        <f aca="false">IF(K440="","",IF(ISNUMBER(--MID(K440,1,1)),0,IF(ISNUMBER(--MID(K440,2,1)),1,IF(ISNUMBER(--MID(K440,3,1)),2,IF(ISNUMBER(--MID(K440,4,1)),3,MIN(LEN(K440),4))))))</f>
        <v/>
      </c>
      <c r="M440" s="11" t="str">
        <f aca="false">IF(B440="","",LEFT(K440,L440)&amp;REPT("0",4-L440)&amp;RIGHT("000"&amp;IFERROR(VALUE(MID(K440,L440+1,9)),0),3)&amp;RIGHT("0000"&amp;IFERROR(VALUE(MID(B440,FIND("-",B440)+1,9)),0),4))</f>
        <v/>
      </c>
      <c r="N440" s="11" t="str">
        <f aca="false">IF(OR(B440="",N(F440)&lt;=0),"",IF('FALTAS POR DECK'!$P$1="Código","K"&amp;M440&amp;RIGHT("00000"&amp;ROW(),5),IF('FALTAS POR DECK'!$P$1="Nome","K"&amp;UPPER(SUBSTITUTE(SUBSTITUTE(SUBSTITUTE(C440,"*",""),"?",""),"~",""))&amp;"0"&amp;M440&amp;RIGHT("00000"&amp;ROW(),5),IF('FALTAS POR DECK'!$P$1="Falta (maior primeiro)","K"&amp;RIGHT("0000"&amp;(9999-F440),4)&amp;M440&amp;RIGHT("00000"&amp;ROW(),5),IF('FALTAS POR DECK'!$P$1="Deck e código","K"&amp;RIGHT("00"&amp;IFERROR(MATCH(A440,_LEITURA!$P$2:$P$21,0),99),2)&amp;M440&amp;RIGHT("00000"&amp;ROW(),5),"K"&amp;RIGHT("00000"&amp;ROW(),5))))))</f>
        <v/>
      </c>
      <c r="O440" s="16" t="str">
        <f aca="false">IF(N440="","",COUNTIFS($N$2:$N$1201,"&lt;"&amp;N440,$F$2:$F$1201,"&gt;0")+1)</f>
        <v/>
      </c>
    </row>
    <row r="441" customFormat="false" ht="15" hidden="false" customHeight="false" outlineLevel="0" collapsed="false">
      <c r="A441" s="11" t="str">
        <f aca="false">IF(_LEITURA!$N441="","",INDEX(_LEITURA!$K$2:$K$1201,_LEITURA!$N441))</f>
        <v/>
      </c>
      <c r="B441" s="11" t="str">
        <f aca="false">IF(_LEITURA!$N441="","",INDEX(_LEITURA!$E$2:$E$1201,_LEITURA!$N441))</f>
        <v/>
      </c>
      <c r="C441" s="11" t="str">
        <f aca="false">IF(_LEITURA!$N441="","",INDEX(_LEITURA!$J$2:$J$1201,_LEITURA!$N441))</f>
        <v/>
      </c>
      <c r="D441" s="16" t="str">
        <f aca="false">IF(_LEITURA!$N441="","",INDEX(_LEITURA!$G$2:$G$1201,_LEITURA!$N441))</f>
        <v/>
      </c>
      <c r="E441" s="16" t="str">
        <f aca="false">IF(B441="","",SUMIFS(INVENTÁRIO!$C$2:$C$801,INVENTÁRIO!$A$2:$A$801,B441))</f>
        <v/>
      </c>
      <c r="F441" s="16" t="str">
        <f aca="false">IF(B441="","",MAX(0,D441-E441))</f>
        <v/>
      </c>
      <c r="G441" s="16" t="str">
        <f aca="false">IF(B441="","",IF(COUNTIFS($B$2:$B$1201,B441,$A$2:$A$1201,"&lt;&gt;"&amp;A441)&gt;0,"Sim",""))</f>
        <v/>
      </c>
      <c r="H441" s="16" t="str">
        <f aca="false">IF(N(F441)&gt;0,MAX(H$1:H440)+1,"")</f>
        <v/>
      </c>
      <c r="I441" s="11" t="str">
        <f aca="false">IF(B441="","",IF(INDEX($C$2:$C$1201,MATCH(B441,$B$2:$B$1201,0))&lt;&gt;C441,"Nome diferente em outro deck — revisar",""))</f>
        <v/>
      </c>
      <c r="J441" s="16" t="str">
        <f aca="false">IF(AND(B441&lt;&gt;"",A441=BULK!$A$1,N(F441)&gt;0),MAX(J$1:J440)+1,"")</f>
        <v/>
      </c>
      <c r="K441" s="11" t="str">
        <f aca="false">IF(B441="","",IFERROR(LEFT(B441,FIND("-",B441)-1),B441))</f>
        <v/>
      </c>
      <c r="L441" s="11" t="str">
        <f aca="false">IF(K441="","",IF(ISNUMBER(--MID(K441,1,1)),0,IF(ISNUMBER(--MID(K441,2,1)),1,IF(ISNUMBER(--MID(K441,3,1)),2,IF(ISNUMBER(--MID(K441,4,1)),3,MIN(LEN(K441),4))))))</f>
        <v/>
      </c>
      <c r="M441" s="11" t="str">
        <f aca="false">IF(B441="","",LEFT(K441,L441)&amp;REPT("0",4-L441)&amp;RIGHT("000"&amp;IFERROR(VALUE(MID(K441,L441+1,9)),0),3)&amp;RIGHT("0000"&amp;IFERROR(VALUE(MID(B441,FIND("-",B441)+1,9)),0),4))</f>
        <v/>
      </c>
      <c r="N441" s="11" t="str">
        <f aca="false">IF(OR(B441="",N(F441)&lt;=0),"",IF('FALTAS POR DECK'!$P$1="Código","K"&amp;M441&amp;RIGHT("00000"&amp;ROW(),5),IF('FALTAS POR DECK'!$P$1="Nome","K"&amp;UPPER(SUBSTITUTE(SUBSTITUTE(SUBSTITUTE(C441,"*",""),"?",""),"~",""))&amp;"0"&amp;M441&amp;RIGHT("00000"&amp;ROW(),5),IF('FALTAS POR DECK'!$P$1="Falta (maior primeiro)","K"&amp;RIGHT("0000"&amp;(9999-F441),4)&amp;M441&amp;RIGHT("00000"&amp;ROW(),5),IF('FALTAS POR DECK'!$P$1="Deck e código","K"&amp;RIGHT("00"&amp;IFERROR(MATCH(A441,_LEITURA!$P$2:$P$21,0),99),2)&amp;M441&amp;RIGHT("00000"&amp;ROW(),5),"K"&amp;RIGHT("00000"&amp;ROW(),5))))))</f>
        <v/>
      </c>
      <c r="O441" s="16" t="str">
        <f aca="false">IF(N441="","",COUNTIFS($N$2:$N$1201,"&lt;"&amp;N441,$F$2:$F$1201,"&gt;0")+1)</f>
        <v/>
      </c>
    </row>
    <row r="442" customFormat="false" ht="15" hidden="false" customHeight="false" outlineLevel="0" collapsed="false">
      <c r="A442" s="11" t="str">
        <f aca="false">IF(_LEITURA!$N442="","",INDEX(_LEITURA!$K$2:$K$1201,_LEITURA!$N442))</f>
        <v/>
      </c>
      <c r="B442" s="11" t="str">
        <f aca="false">IF(_LEITURA!$N442="","",INDEX(_LEITURA!$E$2:$E$1201,_LEITURA!$N442))</f>
        <v/>
      </c>
      <c r="C442" s="11" t="str">
        <f aca="false">IF(_LEITURA!$N442="","",INDEX(_LEITURA!$J$2:$J$1201,_LEITURA!$N442))</f>
        <v/>
      </c>
      <c r="D442" s="16" t="str">
        <f aca="false">IF(_LEITURA!$N442="","",INDEX(_LEITURA!$G$2:$G$1201,_LEITURA!$N442))</f>
        <v/>
      </c>
      <c r="E442" s="16" t="str">
        <f aca="false">IF(B442="","",SUMIFS(INVENTÁRIO!$C$2:$C$801,INVENTÁRIO!$A$2:$A$801,B442))</f>
        <v/>
      </c>
      <c r="F442" s="16" t="str">
        <f aca="false">IF(B442="","",MAX(0,D442-E442))</f>
        <v/>
      </c>
      <c r="G442" s="16" t="str">
        <f aca="false">IF(B442="","",IF(COUNTIFS($B$2:$B$1201,B442,$A$2:$A$1201,"&lt;&gt;"&amp;A442)&gt;0,"Sim",""))</f>
        <v/>
      </c>
      <c r="H442" s="16" t="str">
        <f aca="false">IF(N(F442)&gt;0,MAX(H$1:H441)+1,"")</f>
        <v/>
      </c>
      <c r="I442" s="11" t="str">
        <f aca="false">IF(B442="","",IF(INDEX($C$2:$C$1201,MATCH(B442,$B$2:$B$1201,0))&lt;&gt;C442,"Nome diferente em outro deck — revisar",""))</f>
        <v/>
      </c>
      <c r="J442" s="16" t="str">
        <f aca="false">IF(AND(B442&lt;&gt;"",A442=BULK!$A$1,N(F442)&gt;0),MAX(J$1:J441)+1,"")</f>
        <v/>
      </c>
      <c r="K442" s="11" t="str">
        <f aca="false">IF(B442="","",IFERROR(LEFT(B442,FIND("-",B442)-1),B442))</f>
        <v/>
      </c>
      <c r="L442" s="11" t="str">
        <f aca="false">IF(K442="","",IF(ISNUMBER(--MID(K442,1,1)),0,IF(ISNUMBER(--MID(K442,2,1)),1,IF(ISNUMBER(--MID(K442,3,1)),2,IF(ISNUMBER(--MID(K442,4,1)),3,MIN(LEN(K442),4))))))</f>
        <v/>
      </c>
      <c r="M442" s="11" t="str">
        <f aca="false">IF(B442="","",LEFT(K442,L442)&amp;REPT("0",4-L442)&amp;RIGHT("000"&amp;IFERROR(VALUE(MID(K442,L442+1,9)),0),3)&amp;RIGHT("0000"&amp;IFERROR(VALUE(MID(B442,FIND("-",B442)+1,9)),0),4))</f>
        <v/>
      </c>
      <c r="N442" s="11" t="str">
        <f aca="false">IF(OR(B442="",N(F442)&lt;=0),"",IF('FALTAS POR DECK'!$P$1="Código","K"&amp;M442&amp;RIGHT("00000"&amp;ROW(),5),IF('FALTAS POR DECK'!$P$1="Nome","K"&amp;UPPER(SUBSTITUTE(SUBSTITUTE(SUBSTITUTE(C442,"*",""),"?",""),"~",""))&amp;"0"&amp;M442&amp;RIGHT("00000"&amp;ROW(),5),IF('FALTAS POR DECK'!$P$1="Falta (maior primeiro)","K"&amp;RIGHT("0000"&amp;(9999-F442),4)&amp;M442&amp;RIGHT("00000"&amp;ROW(),5),IF('FALTAS POR DECK'!$P$1="Deck e código","K"&amp;RIGHT("00"&amp;IFERROR(MATCH(A442,_LEITURA!$P$2:$P$21,0),99),2)&amp;M442&amp;RIGHT("00000"&amp;ROW(),5),"K"&amp;RIGHT("00000"&amp;ROW(),5))))))</f>
        <v/>
      </c>
      <c r="O442" s="16" t="str">
        <f aca="false">IF(N442="","",COUNTIFS($N$2:$N$1201,"&lt;"&amp;N442,$F$2:$F$1201,"&gt;0")+1)</f>
        <v/>
      </c>
    </row>
    <row r="443" customFormat="false" ht="15" hidden="false" customHeight="false" outlineLevel="0" collapsed="false">
      <c r="A443" s="11" t="str">
        <f aca="false">IF(_LEITURA!$N443="","",INDEX(_LEITURA!$K$2:$K$1201,_LEITURA!$N443))</f>
        <v/>
      </c>
      <c r="B443" s="11" t="str">
        <f aca="false">IF(_LEITURA!$N443="","",INDEX(_LEITURA!$E$2:$E$1201,_LEITURA!$N443))</f>
        <v/>
      </c>
      <c r="C443" s="11" t="str">
        <f aca="false">IF(_LEITURA!$N443="","",INDEX(_LEITURA!$J$2:$J$1201,_LEITURA!$N443))</f>
        <v/>
      </c>
      <c r="D443" s="16" t="str">
        <f aca="false">IF(_LEITURA!$N443="","",INDEX(_LEITURA!$G$2:$G$1201,_LEITURA!$N443))</f>
        <v/>
      </c>
      <c r="E443" s="16" t="str">
        <f aca="false">IF(B443="","",SUMIFS(INVENTÁRIO!$C$2:$C$801,INVENTÁRIO!$A$2:$A$801,B443))</f>
        <v/>
      </c>
      <c r="F443" s="16" t="str">
        <f aca="false">IF(B443="","",MAX(0,D443-E443))</f>
        <v/>
      </c>
      <c r="G443" s="16" t="str">
        <f aca="false">IF(B443="","",IF(COUNTIFS($B$2:$B$1201,B443,$A$2:$A$1201,"&lt;&gt;"&amp;A443)&gt;0,"Sim",""))</f>
        <v/>
      </c>
      <c r="H443" s="16" t="str">
        <f aca="false">IF(N(F443)&gt;0,MAX(H$1:H442)+1,"")</f>
        <v/>
      </c>
      <c r="I443" s="11" t="str">
        <f aca="false">IF(B443="","",IF(INDEX($C$2:$C$1201,MATCH(B443,$B$2:$B$1201,0))&lt;&gt;C443,"Nome diferente em outro deck — revisar",""))</f>
        <v/>
      </c>
      <c r="J443" s="16" t="str">
        <f aca="false">IF(AND(B443&lt;&gt;"",A443=BULK!$A$1,N(F443)&gt;0),MAX(J$1:J442)+1,"")</f>
        <v/>
      </c>
      <c r="K443" s="11" t="str">
        <f aca="false">IF(B443="","",IFERROR(LEFT(B443,FIND("-",B443)-1),B443))</f>
        <v/>
      </c>
      <c r="L443" s="11" t="str">
        <f aca="false">IF(K443="","",IF(ISNUMBER(--MID(K443,1,1)),0,IF(ISNUMBER(--MID(K443,2,1)),1,IF(ISNUMBER(--MID(K443,3,1)),2,IF(ISNUMBER(--MID(K443,4,1)),3,MIN(LEN(K443),4))))))</f>
        <v/>
      </c>
      <c r="M443" s="11" t="str">
        <f aca="false">IF(B443="","",LEFT(K443,L443)&amp;REPT("0",4-L443)&amp;RIGHT("000"&amp;IFERROR(VALUE(MID(K443,L443+1,9)),0),3)&amp;RIGHT("0000"&amp;IFERROR(VALUE(MID(B443,FIND("-",B443)+1,9)),0),4))</f>
        <v/>
      </c>
      <c r="N443" s="11" t="str">
        <f aca="false">IF(OR(B443="",N(F443)&lt;=0),"",IF('FALTAS POR DECK'!$P$1="Código","K"&amp;M443&amp;RIGHT("00000"&amp;ROW(),5),IF('FALTAS POR DECK'!$P$1="Nome","K"&amp;UPPER(SUBSTITUTE(SUBSTITUTE(SUBSTITUTE(C443,"*",""),"?",""),"~",""))&amp;"0"&amp;M443&amp;RIGHT("00000"&amp;ROW(),5),IF('FALTAS POR DECK'!$P$1="Falta (maior primeiro)","K"&amp;RIGHT("0000"&amp;(9999-F443),4)&amp;M443&amp;RIGHT("00000"&amp;ROW(),5),IF('FALTAS POR DECK'!$P$1="Deck e código","K"&amp;RIGHT("00"&amp;IFERROR(MATCH(A443,_LEITURA!$P$2:$P$21,0),99),2)&amp;M443&amp;RIGHT("00000"&amp;ROW(),5),"K"&amp;RIGHT("00000"&amp;ROW(),5))))))</f>
        <v/>
      </c>
      <c r="O443" s="16" t="str">
        <f aca="false">IF(N443="","",COUNTIFS($N$2:$N$1201,"&lt;"&amp;N443,$F$2:$F$1201,"&gt;0")+1)</f>
        <v/>
      </c>
    </row>
    <row r="444" customFormat="false" ht="15" hidden="false" customHeight="false" outlineLevel="0" collapsed="false">
      <c r="A444" s="11" t="str">
        <f aca="false">IF(_LEITURA!$N444="","",INDEX(_LEITURA!$K$2:$K$1201,_LEITURA!$N444))</f>
        <v/>
      </c>
      <c r="B444" s="11" t="str">
        <f aca="false">IF(_LEITURA!$N444="","",INDEX(_LEITURA!$E$2:$E$1201,_LEITURA!$N444))</f>
        <v/>
      </c>
      <c r="C444" s="11" t="str">
        <f aca="false">IF(_LEITURA!$N444="","",INDEX(_LEITURA!$J$2:$J$1201,_LEITURA!$N444))</f>
        <v/>
      </c>
      <c r="D444" s="16" t="str">
        <f aca="false">IF(_LEITURA!$N444="","",INDEX(_LEITURA!$G$2:$G$1201,_LEITURA!$N444))</f>
        <v/>
      </c>
      <c r="E444" s="16" t="str">
        <f aca="false">IF(B444="","",SUMIFS(INVENTÁRIO!$C$2:$C$801,INVENTÁRIO!$A$2:$A$801,B444))</f>
        <v/>
      </c>
      <c r="F444" s="16" t="str">
        <f aca="false">IF(B444="","",MAX(0,D444-E444))</f>
        <v/>
      </c>
      <c r="G444" s="16" t="str">
        <f aca="false">IF(B444="","",IF(COUNTIFS($B$2:$B$1201,B444,$A$2:$A$1201,"&lt;&gt;"&amp;A444)&gt;0,"Sim",""))</f>
        <v/>
      </c>
      <c r="H444" s="16" t="str">
        <f aca="false">IF(N(F444)&gt;0,MAX(H$1:H443)+1,"")</f>
        <v/>
      </c>
      <c r="I444" s="11" t="str">
        <f aca="false">IF(B444="","",IF(INDEX($C$2:$C$1201,MATCH(B444,$B$2:$B$1201,0))&lt;&gt;C444,"Nome diferente em outro deck — revisar",""))</f>
        <v/>
      </c>
      <c r="J444" s="16" t="str">
        <f aca="false">IF(AND(B444&lt;&gt;"",A444=BULK!$A$1,N(F444)&gt;0),MAX(J$1:J443)+1,"")</f>
        <v/>
      </c>
      <c r="K444" s="11" t="str">
        <f aca="false">IF(B444="","",IFERROR(LEFT(B444,FIND("-",B444)-1),B444))</f>
        <v/>
      </c>
      <c r="L444" s="11" t="str">
        <f aca="false">IF(K444="","",IF(ISNUMBER(--MID(K444,1,1)),0,IF(ISNUMBER(--MID(K444,2,1)),1,IF(ISNUMBER(--MID(K444,3,1)),2,IF(ISNUMBER(--MID(K444,4,1)),3,MIN(LEN(K444),4))))))</f>
        <v/>
      </c>
      <c r="M444" s="11" t="str">
        <f aca="false">IF(B444="","",LEFT(K444,L444)&amp;REPT("0",4-L444)&amp;RIGHT("000"&amp;IFERROR(VALUE(MID(K444,L444+1,9)),0),3)&amp;RIGHT("0000"&amp;IFERROR(VALUE(MID(B444,FIND("-",B444)+1,9)),0),4))</f>
        <v/>
      </c>
      <c r="N444" s="11" t="str">
        <f aca="false">IF(OR(B444="",N(F444)&lt;=0),"",IF('FALTAS POR DECK'!$P$1="Código","K"&amp;M444&amp;RIGHT("00000"&amp;ROW(),5),IF('FALTAS POR DECK'!$P$1="Nome","K"&amp;UPPER(SUBSTITUTE(SUBSTITUTE(SUBSTITUTE(C444,"*",""),"?",""),"~",""))&amp;"0"&amp;M444&amp;RIGHT("00000"&amp;ROW(),5),IF('FALTAS POR DECK'!$P$1="Falta (maior primeiro)","K"&amp;RIGHT("0000"&amp;(9999-F444),4)&amp;M444&amp;RIGHT("00000"&amp;ROW(),5),IF('FALTAS POR DECK'!$P$1="Deck e código","K"&amp;RIGHT("00"&amp;IFERROR(MATCH(A444,_LEITURA!$P$2:$P$21,0),99),2)&amp;M444&amp;RIGHT("00000"&amp;ROW(),5),"K"&amp;RIGHT("00000"&amp;ROW(),5))))))</f>
        <v/>
      </c>
      <c r="O444" s="16" t="str">
        <f aca="false">IF(N444="","",COUNTIFS($N$2:$N$1201,"&lt;"&amp;N444,$F$2:$F$1201,"&gt;0")+1)</f>
        <v/>
      </c>
    </row>
    <row r="445" customFormat="false" ht="15" hidden="false" customHeight="false" outlineLevel="0" collapsed="false">
      <c r="A445" s="11" t="str">
        <f aca="false">IF(_LEITURA!$N445="","",INDEX(_LEITURA!$K$2:$K$1201,_LEITURA!$N445))</f>
        <v/>
      </c>
      <c r="B445" s="11" t="str">
        <f aca="false">IF(_LEITURA!$N445="","",INDEX(_LEITURA!$E$2:$E$1201,_LEITURA!$N445))</f>
        <v/>
      </c>
      <c r="C445" s="11" t="str">
        <f aca="false">IF(_LEITURA!$N445="","",INDEX(_LEITURA!$J$2:$J$1201,_LEITURA!$N445))</f>
        <v/>
      </c>
      <c r="D445" s="16" t="str">
        <f aca="false">IF(_LEITURA!$N445="","",INDEX(_LEITURA!$G$2:$G$1201,_LEITURA!$N445))</f>
        <v/>
      </c>
      <c r="E445" s="16" t="str">
        <f aca="false">IF(B445="","",SUMIFS(INVENTÁRIO!$C$2:$C$801,INVENTÁRIO!$A$2:$A$801,B445))</f>
        <v/>
      </c>
      <c r="F445" s="16" t="str">
        <f aca="false">IF(B445="","",MAX(0,D445-E445))</f>
        <v/>
      </c>
      <c r="G445" s="16" t="str">
        <f aca="false">IF(B445="","",IF(COUNTIFS($B$2:$B$1201,B445,$A$2:$A$1201,"&lt;&gt;"&amp;A445)&gt;0,"Sim",""))</f>
        <v/>
      </c>
      <c r="H445" s="16" t="str">
        <f aca="false">IF(N(F445)&gt;0,MAX(H$1:H444)+1,"")</f>
        <v/>
      </c>
      <c r="I445" s="11" t="str">
        <f aca="false">IF(B445="","",IF(INDEX($C$2:$C$1201,MATCH(B445,$B$2:$B$1201,0))&lt;&gt;C445,"Nome diferente em outro deck — revisar",""))</f>
        <v/>
      </c>
      <c r="J445" s="16" t="str">
        <f aca="false">IF(AND(B445&lt;&gt;"",A445=BULK!$A$1,N(F445)&gt;0),MAX(J$1:J444)+1,"")</f>
        <v/>
      </c>
      <c r="K445" s="11" t="str">
        <f aca="false">IF(B445="","",IFERROR(LEFT(B445,FIND("-",B445)-1),B445))</f>
        <v/>
      </c>
      <c r="L445" s="11" t="str">
        <f aca="false">IF(K445="","",IF(ISNUMBER(--MID(K445,1,1)),0,IF(ISNUMBER(--MID(K445,2,1)),1,IF(ISNUMBER(--MID(K445,3,1)),2,IF(ISNUMBER(--MID(K445,4,1)),3,MIN(LEN(K445),4))))))</f>
        <v/>
      </c>
      <c r="M445" s="11" t="str">
        <f aca="false">IF(B445="","",LEFT(K445,L445)&amp;REPT("0",4-L445)&amp;RIGHT("000"&amp;IFERROR(VALUE(MID(K445,L445+1,9)),0),3)&amp;RIGHT("0000"&amp;IFERROR(VALUE(MID(B445,FIND("-",B445)+1,9)),0),4))</f>
        <v/>
      </c>
      <c r="N445" s="11" t="str">
        <f aca="false">IF(OR(B445="",N(F445)&lt;=0),"",IF('FALTAS POR DECK'!$P$1="Código","K"&amp;M445&amp;RIGHT("00000"&amp;ROW(),5),IF('FALTAS POR DECK'!$P$1="Nome","K"&amp;UPPER(SUBSTITUTE(SUBSTITUTE(SUBSTITUTE(C445,"*",""),"?",""),"~",""))&amp;"0"&amp;M445&amp;RIGHT("00000"&amp;ROW(),5),IF('FALTAS POR DECK'!$P$1="Falta (maior primeiro)","K"&amp;RIGHT("0000"&amp;(9999-F445),4)&amp;M445&amp;RIGHT("00000"&amp;ROW(),5),IF('FALTAS POR DECK'!$P$1="Deck e código","K"&amp;RIGHT("00"&amp;IFERROR(MATCH(A445,_LEITURA!$P$2:$P$21,0),99),2)&amp;M445&amp;RIGHT("00000"&amp;ROW(),5),"K"&amp;RIGHT("00000"&amp;ROW(),5))))))</f>
        <v/>
      </c>
      <c r="O445" s="16" t="str">
        <f aca="false">IF(N445="","",COUNTIFS($N$2:$N$1201,"&lt;"&amp;N445,$F$2:$F$1201,"&gt;0")+1)</f>
        <v/>
      </c>
    </row>
    <row r="446" customFormat="false" ht="15" hidden="false" customHeight="false" outlineLevel="0" collapsed="false">
      <c r="A446" s="11" t="str">
        <f aca="false">IF(_LEITURA!$N446="","",INDEX(_LEITURA!$K$2:$K$1201,_LEITURA!$N446))</f>
        <v/>
      </c>
      <c r="B446" s="11" t="str">
        <f aca="false">IF(_LEITURA!$N446="","",INDEX(_LEITURA!$E$2:$E$1201,_LEITURA!$N446))</f>
        <v/>
      </c>
      <c r="C446" s="11" t="str">
        <f aca="false">IF(_LEITURA!$N446="","",INDEX(_LEITURA!$J$2:$J$1201,_LEITURA!$N446))</f>
        <v/>
      </c>
      <c r="D446" s="16" t="str">
        <f aca="false">IF(_LEITURA!$N446="","",INDEX(_LEITURA!$G$2:$G$1201,_LEITURA!$N446))</f>
        <v/>
      </c>
      <c r="E446" s="16" t="str">
        <f aca="false">IF(B446="","",SUMIFS(INVENTÁRIO!$C$2:$C$801,INVENTÁRIO!$A$2:$A$801,B446))</f>
        <v/>
      </c>
      <c r="F446" s="16" t="str">
        <f aca="false">IF(B446="","",MAX(0,D446-E446))</f>
        <v/>
      </c>
      <c r="G446" s="16" t="str">
        <f aca="false">IF(B446="","",IF(COUNTIFS($B$2:$B$1201,B446,$A$2:$A$1201,"&lt;&gt;"&amp;A446)&gt;0,"Sim",""))</f>
        <v/>
      </c>
      <c r="H446" s="16" t="str">
        <f aca="false">IF(N(F446)&gt;0,MAX(H$1:H445)+1,"")</f>
        <v/>
      </c>
      <c r="I446" s="11" t="str">
        <f aca="false">IF(B446="","",IF(INDEX($C$2:$C$1201,MATCH(B446,$B$2:$B$1201,0))&lt;&gt;C446,"Nome diferente em outro deck — revisar",""))</f>
        <v/>
      </c>
      <c r="J446" s="16" t="str">
        <f aca="false">IF(AND(B446&lt;&gt;"",A446=BULK!$A$1,N(F446)&gt;0),MAX(J$1:J445)+1,"")</f>
        <v/>
      </c>
      <c r="K446" s="11" t="str">
        <f aca="false">IF(B446="","",IFERROR(LEFT(B446,FIND("-",B446)-1),B446))</f>
        <v/>
      </c>
      <c r="L446" s="11" t="str">
        <f aca="false">IF(K446="","",IF(ISNUMBER(--MID(K446,1,1)),0,IF(ISNUMBER(--MID(K446,2,1)),1,IF(ISNUMBER(--MID(K446,3,1)),2,IF(ISNUMBER(--MID(K446,4,1)),3,MIN(LEN(K446),4))))))</f>
        <v/>
      </c>
      <c r="M446" s="11" t="str">
        <f aca="false">IF(B446="","",LEFT(K446,L446)&amp;REPT("0",4-L446)&amp;RIGHT("000"&amp;IFERROR(VALUE(MID(K446,L446+1,9)),0),3)&amp;RIGHT("0000"&amp;IFERROR(VALUE(MID(B446,FIND("-",B446)+1,9)),0),4))</f>
        <v/>
      </c>
      <c r="N446" s="11" t="str">
        <f aca="false">IF(OR(B446="",N(F446)&lt;=0),"",IF('FALTAS POR DECK'!$P$1="Código","K"&amp;M446&amp;RIGHT("00000"&amp;ROW(),5),IF('FALTAS POR DECK'!$P$1="Nome","K"&amp;UPPER(SUBSTITUTE(SUBSTITUTE(SUBSTITUTE(C446,"*",""),"?",""),"~",""))&amp;"0"&amp;M446&amp;RIGHT("00000"&amp;ROW(),5),IF('FALTAS POR DECK'!$P$1="Falta (maior primeiro)","K"&amp;RIGHT("0000"&amp;(9999-F446),4)&amp;M446&amp;RIGHT("00000"&amp;ROW(),5),IF('FALTAS POR DECK'!$P$1="Deck e código","K"&amp;RIGHT("00"&amp;IFERROR(MATCH(A446,_LEITURA!$P$2:$P$21,0),99),2)&amp;M446&amp;RIGHT("00000"&amp;ROW(),5),"K"&amp;RIGHT("00000"&amp;ROW(),5))))))</f>
        <v/>
      </c>
      <c r="O446" s="16" t="str">
        <f aca="false">IF(N446="","",COUNTIFS($N$2:$N$1201,"&lt;"&amp;N446,$F$2:$F$1201,"&gt;0")+1)</f>
        <v/>
      </c>
    </row>
    <row r="447" customFormat="false" ht="15" hidden="false" customHeight="false" outlineLevel="0" collapsed="false">
      <c r="A447" s="11" t="str">
        <f aca="false">IF(_LEITURA!$N447="","",INDEX(_LEITURA!$K$2:$K$1201,_LEITURA!$N447))</f>
        <v/>
      </c>
      <c r="B447" s="11" t="str">
        <f aca="false">IF(_LEITURA!$N447="","",INDEX(_LEITURA!$E$2:$E$1201,_LEITURA!$N447))</f>
        <v/>
      </c>
      <c r="C447" s="11" t="str">
        <f aca="false">IF(_LEITURA!$N447="","",INDEX(_LEITURA!$J$2:$J$1201,_LEITURA!$N447))</f>
        <v/>
      </c>
      <c r="D447" s="16" t="str">
        <f aca="false">IF(_LEITURA!$N447="","",INDEX(_LEITURA!$G$2:$G$1201,_LEITURA!$N447))</f>
        <v/>
      </c>
      <c r="E447" s="16" t="str">
        <f aca="false">IF(B447="","",SUMIFS(INVENTÁRIO!$C$2:$C$801,INVENTÁRIO!$A$2:$A$801,B447))</f>
        <v/>
      </c>
      <c r="F447" s="16" t="str">
        <f aca="false">IF(B447="","",MAX(0,D447-E447))</f>
        <v/>
      </c>
      <c r="G447" s="16" t="str">
        <f aca="false">IF(B447="","",IF(COUNTIFS($B$2:$B$1201,B447,$A$2:$A$1201,"&lt;&gt;"&amp;A447)&gt;0,"Sim",""))</f>
        <v/>
      </c>
      <c r="H447" s="16" t="str">
        <f aca="false">IF(N(F447)&gt;0,MAX(H$1:H446)+1,"")</f>
        <v/>
      </c>
      <c r="I447" s="11" t="str">
        <f aca="false">IF(B447="","",IF(INDEX($C$2:$C$1201,MATCH(B447,$B$2:$B$1201,0))&lt;&gt;C447,"Nome diferente em outro deck — revisar",""))</f>
        <v/>
      </c>
      <c r="J447" s="16" t="str">
        <f aca="false">IF(AND(B447&lt;&gt;"",A447=BULK!$A$1,N(F447)&gt;0),MAX(J$1:J446)+1,"")</f>
        <v/>
      </c>
      <c r="K447" s="11" t="str">
        <f aca="false">IF(B447="","",IFERROR(LEFT(B447,FIND("-",B447)-1),B447))</f>
        <v/>
      </c>
      <c r="L447" s="11" t="str">
        <f aca="false">IF(K447="","",IF(ISNUMBER(--MID(K447,1,1)),0,IF(ISNUMBER(--MID(K447,2,1)),1,IF(ISNUMBER(--MID(K447,3,1)),2,IF(ISNUMBER(--MID(K447,4,1)),3,MIN(LEN(K447),4))))))</f>
        <v/>
      </c>
      <c r="M447" s="11" t="str">
        <f aca="false">IF(B447="","",LEFT(K447,L447)&amp;REPT("0",4-L447)&amp;RIGHT("000"&amp;IFERROR(VALUE(MID(K447,L447+1,9)),0),3)&amp;RIGHT("0000"&amp;IFERROR(VALUE(MID(B447,FIND("-",B447)+1,9)),0),4))</f>
        <v/>
      </c>
      <c r="N447" s="11" t="str">
        <f aca="false">IF(OR(B447="",N(F447)&lt;=0),"",IF('FALTAS POR DECK'!$P$1="Código","K"&amp;M447&amp;RIGHT("00000"&amp;ROW(),5),IF('FALTAS POR DECK'!$P$1="Nome","K"&amp;UPPER(SUBSTITUTE(SUBSTITUTE(SUBSTITUTE(C447,"*",""),"?",""),"~",""))&amp;"0"&amp;M447&amp;RIGHT("00000"&amp;ROW(),5),IF('FALTAS POR DECK'!$P$1="Falta (maior primeiro)","K"&amp;RIGHT("0000"&amp;(9999-F447),4)&amp;M447&amp;RIGHT("00000"&amp;ROW(),5),IF('FALTAS POR DECK'!$P$1="Deck e código","K"&amp;RIGHT("00"&amp;IFERROR(MATCH(A447,_LEITURA!$P$2:$P$21,0),99),2)&amp;M447&amp;RIGHT("00000"&amp;ROW(),5),"K"&amp;RIGHT("00000"&amp;ROW(),5))))))</f>
        <v/>
      </c>
      <c r="O447" s="16" t="str">
        <f aca="false">IF(N447="","",COUNTIFS($N$2:$N$1201,"&lt;"&amp;N447,$F$2:$F$1201,"&gt;0")+1)</f>
        <v/>
      </c>
    </row>
    <row r="448" customFormat="false" ht="15" hidden="false" customHeight="false" outlineLevel="0" collapsed="false">
      <c r="A448" s="11" t="str">
        <f aca="false">IF(_LEITURA!$N448="","",INDEX(_LEITURA!$K$2:$K$1201,_LEITURA!$N448))</f>
        <v/>
      </c>
      <c r="B448" s="11" t="str">
        <f aca="false">IF(_LEITURA!$N448="","",INDEX(_LEITURA!$E$2:$E$1201,_LEITURA!$N448))</f>
        <v/>
      </c>
      <c r="C448" s="11" t="str">
        <f aca="false">IF(_LEITURA!$N448="","",INDEX(_LEITURA!$J$2:$J$1201,_LEITURA!$N448))</f>
        <v/>
      </c>
      <c r="D448" s="16" t="str">
        <f aca="false">IF(_LEITURA!$N448="","",INDEX(_LEITURA!$G$2:$G$1201,_LEITURA!$N448))</f>
        <v/>
      </c>
      <c r="E448" s="16" t="str">
        <f aca="false">IF(B448="","",SUMIFS(INVENTÁRIO!$C$2:$C$801,INVENTÁRIO!$A$2:$A$801,B448))</f>
        <v/>
      </c>
      <c r="F448" s="16" t="str">
        <f aca="false">IF(B448="","",MAX(0,D448-E448))</f>
        <v/>
      </c>
      <c r="G448" s="16" t="str">
        <f aca="false">IF(B448="","",IF(COUNTIFS($B$2:$B$1201,B448,$A$2:$A$1201,"&lt;&gt;"&amp;A448)&gt;0,"Sim",""))</f>
        <v/>
      </c>
      <c r="H448" s="16" t="str">
        <f aca="false">IF(N(F448)&gt;0,MAX(H$1:H447)+1,"")</f>
        <v/>
      </c>
      <c r="I448" s="11" t="str">
        <f aca="false">IF(B448="","",IF(INDEX($C$2:$C$1201,MATCH(B448,$B$2:$B$1201,0))&lt;&gt;C448,"Nome diferente em outro deck — revisar",""))</f>
        <v/>
      </c>
      <c r="J448" s="16" t="str">
        <f aca="false">IF(AND(B448&lt;&gt;"",A448=BULK!$A$1,N(F448)&gt;0),MAX(J$1:J447)+1,"")</f>
        <v/>
      </c>
      <c r="K448" s="11" t="str">
        <f aca="false">IF(B448="","",IFERROR(LEFT(B448,FIND("-",B448)-1),B448))</f>
        <v/>
      </c>
      <c r="L448" s="11" t="str">
        <f aca="false">IF(K448="","",IF(ISNUMBER(--MID(K448,1,1)),0,IF(ISNUMBER(--MID(K448,2,1)),1,IF(ISNUMBER(--MID(K448,3,1)),2,IF(ISNUMBER(--MID(K448,4,1)),3,MIN(LEN(K448),4))))))</f>
        <v/>
      </c>
      <c r="M448" s="11" t="str">
        <f aca="false">IF(B448="","",LEFT(K448,L448)&amp;REPT("0",4-L448)&amp;RIGHT("000"&amp;IFERROR(VALUE(MID(K448,L448+1,9)),0),3)&amp;RIGHT("0000"&amp;IFERROR(VALUE(MID(B448,FIND("-",B448)+1,9)),0),4))</f>
        <v/>
      </c>
      <c r="N448" s="11" t="str">
        <f aca="false">IF(OR(B448="",N(F448)&lt;=0),"",IF('FALTAS POR DECK'!$P$1="Código","K"&amp;M448&amp;RIGHT("00000"&amp;ROW(),5),IF('FALTAS POR DECK'!$P$1="Nome","K"&amp;UPPER(SUBSTITUTE(SUBSTITUTE(SUBSTITUTE(C448,"*",""),"?",""),"~",""))&amp;"0"&amp;M448&amp;RIGHT("00000"&amp;ROW(),5),IF('FALTAS POR DECK'!$P$1="Falta (maior primeiro)","K"&amp;RIGHT("0000"&amp;(9999-F448),4)&amp;M448&amp;RIGHT("00000"&amp;ROW(),5),IF('FALTAS POR DECK'!$P$1="Deck e código","K"&amp;RIGHT("00"&amp;IFERROR(MATCH(A448,_LEITURA!$P$2:$P$21,0),99),2)&amp;M448&amp;RIGHT("00000"&amp;ROW(),5),"K"&amp;RIGHT("00000"&amp;ROW(),5))))))</f>
        <v/>
      </c>
      <c r="O448" s="16" t="str">
        <f aca="false">IF(N448="","",COUNTIFS($N$2:$N$1201,"&lt;"&amp;N448,$F$2:$F$1201,"&gt;0")+1)</f>
        <v/>
      </c>
    </row>
    <row r="449" customFormat="false" ht="15" hidden="false" customHeight="false" outlineLevel="0" collapsed="false">
      <c r="A449" s="11" t="str">
        <f aca="false">IF(_LEITURA!$N449="","",INDEX(_LEITURA!$K$2:$K$1201,_LEITURA!$N449))</f>
        <v/>
      </c>
      <c r="B449" s="11" t="str">
        <f aca="false">IF(_LEITURA!$N449="","",INDEX(_LEITURA!$E$2:$E$1201,_LEITURA!$N449))</f>
        <v/>
      </c>
      <c r="C449" s="11" t="str">
        <f aca="false">IF(_LEITURA!$N449="","",INDEX(_LEITURA!$J$2:$J$1201,_LEITURA!$N449))</f>
        <v/>
      </c>
      <c r="D449" s="16" t="str">
        <f aca="false">IF(_LEITURA!$N449="","",INDEX(_LEITURA!$G$2:$G$1201,_LEITURA!$N449))</f>
        <v/>
      </c>
      <c r="E449" s="16" t="str">
        <f aca="false">IF(B449="","",SUMIFS(INVENTÁRIO!$C$2:$C$801,INVENTÁRIO!$A$2:$A$801,B449))</f>
        <v/>
      </c>
      <c r="F449" s="16" t="str">
        <f aca="false">IF(B449="","",MAX(0,D449-E449))</f>
        <v/>
      </c>
      <c r="G449" s="16" t="str">
        <f aca="false">IF(B449="","",IF(COUNTIFS($B$2:$B$1201,B449,$A$2:$A$1201,"&lt;&gt;"&amp;A449)&gt;0,"Sim",""))</f>
        <v/>
      </c>
      <c r="H449" s="16" t="str">
        <f aca="false">IF(N(F449)&gt;0,MAX(H$1:H448)+1,"")</f>
        <v/>
      </c>
      <c r="I449" s="11" t="str">
        <f aca="false">IF(B449="","",IF(INDEX($C$2:$C$1201,MATCH(B449,$B$2:$B$1201,0))&lt;&gt;C449,"Nome diferente em outro deck — revisar",""))</f>
        <v/>
      </c>
      <c r="J449" s="16" t="str">
        <f aca="false">IF(AND(B449&lt;&gt;"",A449=BULK!$A$1,N(F449)&gt;0),MAX(J$1:J448)+1,"")</f>
        <v/>
      </c>
      <c r="K449" s="11" t="str">
        <f aca="false">IF(B449="","",IFERROR(LEFT(B449,FIND("-",B449)-1),B449))</f>
        <v/>
      </c>
      <c r="L449" s="11" t="str">
        <f aca="false">IF(K449="","",IF(ISNUMBER(--MID(K449,1,1)),0,IF(ISNUMBER(--MID(K449,2,1)),1,IF(ISNUMBER(--MID(K449,3,1)),2,IF(ISNUMBER(--MID(K449,4,1)),3,MIN(LEN(K449),4))))))</f>
        <v/>
      </c>
      <c r="M449" s="11" t="str">
        <f aca="false">IF(B449="","",LEFT(K449,L449)&amp;REPT("0",4-L449)&amp;RIGHT("000"&amp;IFERROR(VALUE(MID(K449,L449+1,9)),0),3)&amp;RIGHT("0000"&amp;IFERROR(VALUE(MID(B449,FIND("-",B449)+1,9)),0),4))</f>
        <v/>
      </c>
      <c r="N449" s="11" t="str">
        <f aca="false">IF(OR(B449="",N(F449)&lt;=0),"",IF('FALTAS POR DECK'!$P$1="Código","K"&amp;M449&amp;RIGHT("00000"&amp;ROW(),5),IF('FALTAS POR DECK'!$P$1="Nome","K"&amp;UPPER(SUBSTITUTE(SUBSTITUTE(SUBSTITUTE(C449,"*",""),"?",""),"~",""))&amp;"0"&amp;M449&amp;RIGHT("00000"&amp;ROW(),5),IF('FALTAS POR DECK'!$P$1="Falta (maior primeiro)","K"&amp;RIGHT("0000"&amp;(9999-F449),4)&amp;M449&amp;RIGHT("00000"&amp;ROW(),5),IF('FALTAS POR DECK'!$P$1="Deck e código","K"&amp;RIGHT("00"&amp;IFERROR(MATCH(A449,_LEITURA!$P$2:$P$21,0),99),2)&amp;M449&amp;RIGHT("00000"&amp;ROW(),5),"K"&amp;RIGHT("00000"&amp;ROW(),5))))))</f>
        <v/>
      </c>
      <c r="O449" s="16" t="str">
        <f aca="false">IF(N449="","",COUNTIFS($N$2:$N$1201,"&lt;"&amp;N449,$F$2:$F$1201,"&gt;0")+1)</f>
        <v/>
      </c>
    </row>
    <row r="450" customFormat="false" ht="15" hidden="false" customHeight="false" outlineLevel="0" collapsed="false">
      <c r="A450" s="11" t="str">
        <f aca="false">IF(_LEITURA!$N450="","",INDEX(_LEITURA!$K$2:$K$1201,_LEITURA!$N450))</f>
        <v/>
      </c>
      <c r="B450" s="11" t="str">
        <f aca="false">IF(_LEITURA!$N450="","",INDEX(_LEITURA!$E$2:$E$1201,_LEITURA!$N450))</f>
        <v/>
      </c>
      <c r="C450" s="11" t="str">
        <f aca="false">IF(_LEITURA!$N450="","",INDEX(_LEITURA!$J$2:$J$1201,_LEITURA!$N450))</f>
        <v/>
      </c>
      <c r="D450" s="16" t="str">
        <f aca="false">IF(_LEITURA!$N450="","",INDEX(_LEITURA!$G$2:$G$1201,_LEITURA!$N450))</f>
        <v/>
      </c>
      <c r="E450" s="16" t="str">
        <f aca="false">IF(B450="","",SUMIFS(INVENTÁRIO!$C$2:$C$801,INVENTÁRIO!$A$2:$A$801,B450))</f>
        <v/>
      </c>
      <c r="F450" s="16" t="str">
        <f aca="false">IF(B450="","",MAX(0,D450-E450))</f>
        <v/>
      </c>
      <c r="G450" s="16" t="str">
        <f aca="false">IF(B450="","",IF(COUNTIFS($B$2:$B$1201,B450,$A$2:$A$1201,"&lt;&gt;"&amp;A450)&gt;0,"Sim",""))</f>
        <v/>
      </c>
      <c r="H450" s="16" t="str">
        <f aca="false">IF(N(F450)&gt;0,MAX(H$1:H449)+1,"")</f>
        <v/>
      </c>
      <c r="I450" s="11" t="str">
        <f aca="false">IF(B450="","",IF(INDEX($C$2:$C$1201,MATCH(B450,$B$2:$B$1201,0))&lt;&gt;C450,"Nome diferente em outro deck — revisar",""))</f>
        <v/>
      </c>
      <c r="J450" s="16" t="str">
        <f aca="false">IF(AND(B450&lt;&gt;"",A450=BULK!$A$1,N(F450)&gt;0),MAX(J$1:J449)+1,"")</f>
        <v/>
      </c>
      <c r="K450" s="11" t="str">
        <f aca="false">IF(B450="","",IFERROR(LEFT(B450,FIND("-",B450)-1),B450))</f>
        <v/>
      </c>
      <c r="L450" s="11" t="str">
        <f aca="false">IF(K450="","",IF(ISNUMBER(--MID(K450,1,1)),0,IF(ISNUMBER(--MID(K450,2,1)),1,IF(ISNUMBER(--MID(K450,3,1)),2,IF(ISNUMBER(--MID(K450,4,1)),3,MIN(LEN(K450),4))))))</f>
        <v/>
      </c>
      <c r="M450" s="11" t="str">
        <f aca="false">IF(B450="","",LEFT(K450,L450)&amp;REPT("0",4-L450)&amp;RIGHT("000"&amp;IFERROR(VALUE(MID(K450,L450+1,9)),0),3)&amp;RIGHT("0000"&amp;IFERROR(VALUE(MID(B450,FIND("-",B450)+1,9)),0),4))</f>
        <v/>
      </c>
      <c r="N450" s="11" t="str">
        <f aca="false">IF(OR(B450="",N(F450)&lt;=0),"",IF('FALTAS POR DECK'!$P$1="Código","K"&amp;M450&amp;RIGHT("00000"&amp;ROW(),5),IF('FALTAS POR DECK'!$P$1="Nome","K"&amp;UPPER(SUBSTITUTE(SUBSTITUTE(SUBSTITUTE(C450,"*",""),"?",""),"~",""))&amp;"0"&amp;M450&amp;RIGHT("00000"&amp;ROW(),5),IF('FALTAS POR DECK'!$P$1="Falta (maior primeiro)","K"&amp;RIGHT("0000"&amp;(9999-F450),4)&amp;M450&amp;RIGHT("00000"&amp;ROW(),5),IF('FALTAS POR DECK'!$P$1="Deck e código","K"&amp;RIGHT("00"&amp;IFERROR(MATCH(A450,_LEITURA!$P$2:$P$21,0),99),2)&amp;M450&amp;RIGHT("00000"&amp;ROW(),5),"K"&amp;RIGHT("00000"&amp;ROW(),5))))))</f>
        <v/>
      </c>
      <c r="O450" s="16" t="str">
        <f aca="false">IF(N450="","",COUNTIFS($N$2:$N$1201,"&lt;"&amp;N450,$F$2:$F$1201,"&gt;0")+1)</f>
        <v/>
      </c>
    </row>
    <row r="451" customFormat="false" ht="15" hidden="false" customHeight="false" outlineLevel="0" collapsed="false">
      <c r="A451" s="11" t="str">
        <f aca="false">IF(_LEITURA!$N451="","",INDEX(_LEITURA!$K$2:$K$1201,_LEITURA!$N451))</f>
        <v/>
      </c>
      <c r="B451" s="11" t="str">
        <f aca="false">IF(_LEITURA!$N451="","",INDEX(_LEITURA!$E$2:$E$1201,_LEITURA!$N451))</f>
        <v/>
      </c>
      <c r="C451" s="11" t="str">
        <f aca="false">IF(_LEITURA!$N451="","",INDEX(_LEITURA!$J$2:$J$1201,_LEITURA!$N451))</f>
        <v/>
      </c>
      <c r="D451" s="16" t="str">
        <f aca="false">IF(_LEITURA!$N451="","",INDEX(_LEITURA!$G$2:$G$1201,_LEITURA!$N451))</f>
        <v/>
      </c>
      <c r="E451" s="16" t="str">
        <f aca="false">IF(B451="","",SUMIFS(INVENTÁRIO!$C$2:$C$801,INVENTÁRIO!$A$2:$A$801,B451))</f>
        <v/>
      </c>
      <c r="F451" s="16" t="str">
        <f aca="false">IF(B451="","",MAX(0,D451-E451))</f>
        <v/>
      </c>
      <c r="G451" s="16" t="str">
        <f aca="false">IF(B451="","",IF(COUNTIFS($B$2:$B$1201,B451,$A$2:$A$1201,"&lt;&gt;"&amp;A451)&gt;0,"Sim",""))</f>
        <v/>
      </c>
      <c r="H451" s="16" t="str">
        <f aca="false">IF(N(F451)&gt;0,MAX(H$1:H450)+1,"")</f>
        <v/>
      </c>
      <c r="I451" s="11" t="str">
        <f aca="false">IF(B451="","",IF(INDEX($C$2:$C$1201,MATCH(B451,$B$2:$B$1201,0))&lt;&gt;C451,"Nome diferente em outro deck — revisar",""))</f>
        <v/>
      </c>
      <c r="J451" s="16" t="str">
        <f aca="false">IF(AND(B451&lt;&gt;"",A451=BULK!$A$1,N(F451)&gt;0),MAX(J$1:J450)+1,"")</f>
        <v/>
      </c>
      <c r="K451" s="11" t="str">
        <f aca="false">IF(B451="","",IFERROR(LEFT(B451,FIND("-",B451)-1),B451))</f>
        <v/>
      </c>
      <c r="L451" s="11" t="str">
        <f aca="false">IF(K451="","",IF(ISNUMBER(--MID(K451,1,1)),0,IF(ISNUMBER(--MID(K451,2,1)),1,IF(ISNUMBER(--MID(K451,3,1)),2,IF(ISNUMBER(--MID(K451,4,1)),3,MIN(LEN(K451),4))))))</f>
        <v/>
      </c>
      <c r="M451" s="11" t="str">
        <f aca="false">IF(B451="","",LEFT(K451,L451)&amp;REPT("0",4-L451)&amp;RIGHT("000"&amp;IFERROR(VALUE(MID(K451,L451+1,9)),0),3)&amp;RIGHT("0000"&amp;IFERROR(VALUE(MID(B451,FIND("-",B451)+1,9)),0),4))</f>
        <v/>
      </c>
      <c r="N451" s="11" t="str">
        <f aca="false">IF(OR(B451="",N(F451)&lt;=0),"",IF('FALTAS POR DECK'!$P$1="Código","K"&amp;M451&amp;RIGHT("00000"&amp;ROW(),5),IF('FALTAS POR DECK'!$P$1="Nome","K"&amp;UPPER(SUBSTITUTE(SUBSTITUTE(SUBSTITUTE(C451,"*",""),"?",""),"~",""))&amp;"0"&amp;M451&amp;RIGHT("00000"&amp;ROW(),5),IF('FALTAS POR DECK'!$P$1="Falta (maior primeiro)","K"&amp;RIGHT("0000"&amp;(9999-F451),4)&amp;M451&amp;RIGHT("00000"&amp;ROW(),5),IF('FALTAS POR DECK'!$P$1="Deck e código","K"&amp;RIGHT("00"&amp;IFERROR(MATCH(A451,_LEITURA!$P$2:$P$21,0),99),2)&amp;M451&amp;RIGHT("00000"&amp;ROW(),5),"K"&amp;RIGHT("00000"&amp;ROW(),5))))))</f>
        <v/>
      </c>
      <c r="O451" s="16" t="str">
        <f aca="false">IF(N451="","",COUNTIFS($N$2:$N$1201,"&lt;"&amp;N451,$F$2:$F$1201,"&gt;0")+1)</f>
        <v/>
      </c>
    </row>
    <row r="452" customFormat="false" ht="15" hidden="false" customHeight="false" outlineLevel="0" collapsed="false">
      <c r="A452" s="11" t="str">
        <f aca="false">IF(_LEITURA!$N452="","",INDEX(_LEITURA!$K$2:$K$1201,_LEITURA!$N452))</f>
        <v/>
      </c>
      <c r="B452" s="11" t="str">
        <f aca="false">IF(_LEITURA!$N452="","",INDEX(_LEITURA!$E$2:$E$1201,_LEITURA!$N452))</f>
        <v/>
      </c>
      <c r="C452" s="11" t="str">
        <f aca="false">IF(_LEITURA!$N452="","",INDEX(_LEITURA!$J$2:$J$1201,_LEITURA!$N452))</f>
        <v/>
      </c>
      <c r="D452" s="16" t="str">
        <f aca="false">IF(_LEITURA!$N452="","",INDEX(_LEITURA!$G$2:$G$1201,_LEITURA!$N452))</f>
        <v/>
      </c>
      <c r="E452" s="16" t="str">
        <f aca="false">IF(B452="","",SUMIFS(INVENTÁRIO!$C$2:$C$801,INVENTÁRIO!$A$2:$A$801,B452))</f>
        <v/>
      </c>
      <c r="F452" s="16" t="str">
        <f aca="false">IF(B452="","",MAX(0,D452-E452))</f>
        <v/>
      </c>
      <c r="G452" s="16" t="str">
        <f aca="false">IF(B452="","",IF(COUNTIFS($B$2:$B$1201,B452,$A$2:$A$1201,"&lt;&gt;"&amp;A452)&gt;0,"Sim",""))</f>
        <v/>
      </c>
      <c r="H452" s="16" t="str">
        <f aca="false">IF(N(F452)&gt;0,MAX(H$1:H451)+1,"")</f>
        <v/>
      </c>
      <c r="I452" s="11" t="str">
        <f aca="false">IF(B452="","",IF(INDEX($C$2:$C$1201,MATCH(B452,$B$2:$B$1201,0))&lt;&gt;C452,"Nome diferente em outro deck — revisar",""))</f>
        <v/>
      </c>
      <c r="J452" s="16" t="str">
        <f aca="false">IF(AND(B452&lt;&gt;"",A452=BULK!$A$1,N(F452)&gt;0),MAX(J$1:J451)+1,"")</f>
        <v/>
      </c>
      <c r="K452" s="11" t="str">
        <f aca="false">IF(B452="","",IFERROR(LEFT(B452,FIND("-",B452)-1),B452))</f>
        <v/>
      </c>
      <c r="L452" s="11" t="str">
        <f aca="false">IF(K452="","",IF(ISNUMBER(--MID(K452,1,1)),0,IF(ISNUMBER(--MID(K452,2,1)),1,IF(ISNUMBER(--MID(K452,3,1)),2,IF(ISNUMBER(--MID(K452,4,1)),3,MIN(LEN(K452),4))))))</f>
        <v/>
      </c>
      <c r="M452" s="11" t="str">
        <f aca="false">IF(B452="","",LEFT(K452,L452)&amp;REPT("0",4-L452)&amp;RIGHT("000"&amp;IFERROR(VALUE(MID(K452,L452+1,9)),0),3)&amp;RIGHT("0000"&amp;IFERROR(VALUE(MID(B452,FIND("-",B452)+1,9)),0),4))</f>
        <v/>
      </c>
      <c r="N452" s="11" t="str">
        <f aca="false">IF(OR(B452="",N(F452)&lt;=0),"",IF('FALTAS POR DECK'!$P$1="Código","K"&amp;M452&amp;RIGHT("00000"&amp;ROW(),5),IF('FALTAS POR DECK'!$P$1="Nome","K"&amp;UPPER(SUBSTITUTE(SUBSTITUTE(SUBSTITUTE(C452,"*",""),"?",""),"~",""))&amp;"0"&amp;M452&amp;RIGHT("00000"&amp;ROW(),5),IF('FALTAS POR DECK'!$P$1="Falta (maior primeiro)","K"&amp;RIGHT("0000"&amp;(9999-F452),4)&amp;M452&amp;RIGHT("00000"&amp;ROW(),5),IF('FALTAS POR DECK'!$P$1="Deck e código","K"&amp;RIGHT("00"&amp;IFERROR(MATCH(A452,_LEITURA!$P$2:$P$21,0),99),2)&amp;M452&amp;RIGHT("00000"&amp;ROW(),5),"K"&amp;RIGHT("00000"&amp;ROW(),5))))))</f>
        <v/>
      </c>
      <c r="O452" s="16" t="str">
        <f aca="false">IF(N452="","",COUNTIFS($N$2:$N$1201,"&lt;"&amp;N452,$F$2:$F$1201,"&gt;0")+1)</f>
        <v/>
      </c>
    </row>
    <row r="453" customFormat="false" ht="15" hidden="false" customHeight="false" outlineLevel="0" collapsed="false">
      <c r="A453" s="11" t="str">
        <f aca="false">IF(_LEITURA!$N453="","",INDEX(_LEITURA!$K$2:$K$1201,_LEITURA!$N453))</f>
        <v/>
      </c>
      <c r="B453" s="11" t="str">
        <f aca="false">IF(_LEITURA!$N453="","",INDEX(_LEITURA!$E$2:$E$1201,_LEITURA!$N453))</f>
        <v/>
      </c>
      <c r="C453" s="11" t="str">
        <f aca="false">IF(_LEITURA!$N453="","",INDEX(_LEITURA!$J$2:$J$1201,_LEITURA!$N453))</f>
        <v/>
      </c>
      <c r="D453" s="16" t="str">
        <f aca="false">IF(_LEITURA!$N453="","",INDEX(_LEITURA!$G$2:$G$1201,_LEITURA!$N453))</f>
        <v/>
      </c>
      <c r="E453" s="16" t="str">
        <f aca="false">IF(B453="","",SUMIFS(INVENTÁRIO!$C$2:$C$801,INVENTÁRIO!$A$2:$A$801,B453))</f>
        <v/>
      </c>
      <c r="F453" s="16" t="str">
        <f aca="false">IF(B453="","",MAX(0,D453-E453))</f>
        <v/>
      </c>
      <c r="G453" s="16" t="str">
        <f aca="false">IF(B453="","",IF(COUNTIFS($B$2:$B$1201,B453,$A$2:$A$1201,"&lt;&gt;"&amp;A453)&gt;0,"Sim",""))</f>
        <v/>
      </c>
      <c r="H453" s="16" t="str">
        <f aca="false">IF(N(F453)&gt;0,MAX(H$1:H452)+1,"")</f>
        <v/>
      </c>
      <c r="I453" s="11" t="str">
        <f aca="false">IF(B453="","",IF(INDEX($C$2:$C$1201,MATCH(B453,$B$2:$B$1201,0))&lt;&gt;C453,"Nome diferente em outro deck — revisar",""))</f>
        <v/>
      </c>
      <c r="J453" s="16" t="str">
        <f aca="false">IF(AND(B453&lt;&gt;"",A453=BULK!$A$1,N(F453)&gt;0),MAX(J$1:J452)+1,"")</f>
        <v/>
      </c>
      <c r="K453" s="11" t="str">
        <f aca="false">IF(B453="","",IFERROR(LEFT(B453,FIND("-",B453)-1),B453))</f>
        <v/>
      </c>
      <c r="L453" s="11" t="str">
        <f aca="false">IF(K453="","",IF(ISNUMBER(--MID(K453,1,1)),0,IF(ISNUMBER(--MID(K453,2,1)),1,IF(ISNUMBER(--MID(K453,3,1)),2,IF(ISNUMBER(--MID(K453,4,1)),3,MIN(LEN(K453),4))))))</f>
        <v/>
      </c>
      <c r="M453" s="11" t="str">
        <f aca="false">IF(B453="","",LEFT(K453,L453)&amp;REPT("0",4-L453)&amp;RIGHT("000"&amp;IFERROR(VALUE(MID(K453,L453+1,9)),0),3)&amp;RIGHT("0000"&amp;IFERROR(VALUE(MID(B453,FIND("-",B453)+1,9)),0),4))</f>
        <v/>
      </c>
      <c r="N453" s="11" t="str">
        <f aca="false">IF(OR(B453="",N(F453)&lt;=0),"",IF('FALTAS POR DECK'!$P$1="Código","K"&amp;M453&amp;RIGHT("00000"&amp;ROW(),5),IF('FALTAS POR DECK'!$P$1="Nome","K"&amp;UPPER(SUBSTITUTE(SUBSTITUTE(SUBSTITUTE(C453,"*",""),"?",""),"~",""))&amp;"0"&amp;M453&amp;RIGHT("00000"&amp;ROW(),5),IF('FALTAS POR DECK'!$P$1="Falta (maior primeiro)","K"&amp;RIGHT("0000"&amp;(9999-F453),4)&amp;M453&amp;RIGHT("00000"&amp;ROW(),5),IF('FALTAS POR DECK'!$P$1="Deck e código","K"&amp;RIGHT("00"&amp;IFERROR(MATCH(A453,_LEITURA!$P$2:$P$21,0),99),2)&amp;M453&amp;RIGHT("00000"&amp;ROW(),5),"K"&amp;RIGHT("00000"&amp;ROW(),5))))))</f>
        <v/>
      </c>
      <c r="O453" s="16" t="str">
        <f aca="false">IF(N453="","",COUNTIFS($N$2:$N$1201,"&lt;"&amp;N453,$F$2:$F$1201,"&gt;0")+1)</f>
        <v/>
      </c>
    </row>
    <row r="454" customFormat="false" ht="15" hidden="false" customHeight="false" outlineLevel="0" collapsed="false">
      <c r="A454" s="11" t="str">
        <f aca="false">IF(_LEITURA!$N454="","",INDEX(_LEITURA!$K$2:$K$1201,_LEITURA!$N454))</f>
        <v/>
      </c>
      <c r="B454" s="11" t="str">
        <f aca="false">IF(_LEITURA!$N454="","",INDEX(_LEITURA!$E$2:$E$1201,_LEITURA!$N454))</f>
        <v/>
      </c>
      <c r="C454" s="11" t="str">
        <f aca="false">IF(_LEITURA!$N454="","",INDEX(_LEITURA!$J$2:$J$1201,_LEITURA!$N454))</f>
        <v/>
      </c>
      <c r="D454" s="16" t="str">
        <f aca="false">IF(_LEITURA!$N454="","",INDEX(_LEITURA!$G$2:$G$1201,_LEITURA!$N454))</f>
        <v/>
      </c>
      <c r="E454" s="16" t="str">
        <f aca="false">IF(B454="","",SUMIFS(INVENTÁRIO!$C$2:$C$801,INVENTÁRIO!$A$2:$A$801,B454))</f>
        <v/>
      </c>
      <c r="F454" s="16" t="str">
        <f aca="false">IF(B454="","",MAX(0,D454-E454))</f>
        <v/>
      </c>
      <c r="G454" s="16" t="str">
        <f aca="false">IF(B454="","",IF(COUNTIFS($B$2:$B$1201,B454,$A$2:$A$1201,"&lt;&gt;"&amp;A454)&gt;0,"Sim",""))</f>
        <v/>
      </c>
      <c r="H454" s="16" t="str">
        <f aca="false">IF(N(F454)&gt;0,MAX(H$1:H453)+1,"")</f>
        <v/>
      </c>
      <c r="I454" s="11" t="str">
        <f aca="false">IF(B454="","",IF(INDEX($C$2:$C$1201,MATCH(B454,$B$2:$B$1201,0))&lt;&gt;C454,"Nome diferente em outro deck — revisar",""))</f>
        <v/>
      </c>
      <c r="J454" s="16" t="str">
        <f aca="false">IF(AND(B454&lt;&gt;"",A454=BULK!$A$1,N(F454)&gt;0),MAX(J$1:J453)+1,"")</f>
        <v/>
      </c>
      <c r="K454" s="11" t="str">
        <f aca="false">IF(B454="","",IFERROR(LEFT(B454,FIND("-",B454)-1),B454))</f>
        <v/>
      </c>
      <c r="L454" s="11" t="str">
        <f aca="false">IF(K454="","",IF(ISNUMBER(--MID(K454,1,1)),0,IF(ISNUMBER(--MID(K454,2,1)),1,IF(ISNUMBER(--MID(K454,3,1)),2,IF(ISNUMBER(--MID(K454,4,1)),3,MIN(LEN(K454),4))))))</f>
        <v/>
      </c>
      <c r="M454" s="11" t="str">
        <f aca="false">IF(B454="","",LEFT(K454,L454)&amp;REPT("0",4-L454)&amp;RIGHT("000"&amp;IFERROR(VALUE(MID(K454,L454+1,9)),0),3)&amp;RIGHT("0000"&amp;IFERROR(VALUE(MID(B454,FIND("-",B454)+1,9)),0),4))</f>
        <v/>
      </c>
      <c r="N454" s="11" t="str">
        <f aca="false">IF(OR(B454="",N(F454)&lt;=0),"",IF('FALTAS POR DECK'!$P$1="Código","K"&amp;M454&amp;RIGHT("00000"&amp;ROW(),5),IF('FALTAS POR DECK'!$P$1="Nome","K"&amp;UPPER(SUBSTITUTE(SUBSTITUTE(SUBSTITUTE(C454,"*",""),"?",""),"~",""))&amp;"0"&amp;M454&amp;RIGHT("00000"&amp;ROW(),5),IF('FALTAS POR DECK'!$P$1="Falta (maior primeiro)","K"&amp;RIGHT("0000"&amp;(9999-F454),4)&amp;M454&amp;RIGHT("00000"&amp;ROW(),5),IF('FALTAS POR DECK'!$P$1="Deck e código","K"&amp;RIGHT("00"&amp;IFERROR(MATCH(A454,_LEITURA!$P$2:$P$21,0),99),2)&amp;M454&amp;RIGHT("00000"&amp;ROW(),5),"K"&amp;RIGHT("00000"&amp;ROW(),5))))))</f>
        <v/>
      </c>
      <c r="O454" s="16" t="str">
        <f aca="false">IF(N454="","",COUNTIFS($N$2:$N$1201,"&lt;"&amp;N454,$F$2:$F$1201,"&gt;0")+1)</f>
        <v/>
      </c>
    </row>
    <row r="455" customFormat="false" ht="15" hidden="false" customHeight="false" outlineLevel="0" collapsed="false">
      <c r="A455" s="11" t="str">
        <f aca="false">IF(_LEITURA!$N455="","",INDEX(_LEITURA!$K$2:$K$1201,_LEITURA!$N455))</f>
        <v/>
      </c>
      <c r="B455" s="11" t="str">
        <f aca="false">IF(_LEITURA!$N455="","",INDEX(_LEITURA!$E$2:$E$1201,_LEITURA!$N455))</f>
        <v/>
      </c>
      <c r="C455" s="11" t="str">
        <f aca="false">IF(_LEITURA!$N455="","",INDEX(_LEITURA!$J$2:$J$1201,_LEITURA!$N455))</f>
        <v/>
      </c>
      <c r="D455" s="16" t="str">
        <f aca="false">IF(_LEITURA!$N455="","",INDEX(_LEITURA!$G$2:$G$1201,_LEITURA!$N455))</f>
        <v/>
      </c>
      <c r="E455" s="16" t="str">
        <f aca="false">IF(B455="","",SUMIFS(INVENTÁRIO!$C$2:$C$801,INVENTÁRIO!$A$2:$A$801,B455))</f>
        <v/>
      </c>
      <c r="F455" s="16" t="str">
        <f aca="false">IF(B455="","",MAX(0,D455-E455))</f>
        <v/>
      </c>
      <c r="G455" s="16" t="str">
        <f aca="false">IF(B455="","",IF(COUNTIFS($B$2:$B$1201,B455,$A$2:$A$1201,"&lt;&gt;"&amp;A455)&gt;0,"Sim",""))</f>
        <v/>
      </c>
      <c r="H455" s="16" t="str">
        <f aca="false">IF(N(F455)&gt;0,MAX(H$1:H454)+1,"")</f>
        <v/>
      </c>
      <c r="I455" s="11" t="str">
        <f aca="false">IF(B455="","",IF(INDEX($C$2:$C$1201,MATCH(B455,$B$2:$B$1201,0))&lt;&gt;C455,"Nome diferente em outro deck — revisar",""))</f>
        <v/>
      </c>
      <c r="J455" s="16" t="str">
        <f aca="false">IF(AND(B455&lt;&gt;"",A455=BULK!$A$1,N(F455)&gt;0),MAX(J$1:J454)+1,"")</f>
        <v/>
      </c>
      <c r="K455" s="11" t="str">
        <f aca="false">IF(B455="","",IFERROR(LEFT(B455,FIND("-",B455)-1),B455))</f>
        <v/>
      </c>
      <c r="L455" s="11" t="str">
        <f aca="false">IF(K455="","",IF(ISNUMBER(--MID(K455,1,1)),0,IF(ISNUMBER(--MID(K455,2,1)),1,IF(ISNUMBER(--MID(K455,3,1)),2,IF(ISNUMBER(--MID(K455,4,1)),3,MIN(LEN(K455),4))))))</f>
        <v/>
      </c>
      <c r="M455" s="11" t="str">
        <f aca="false">IF(B455="","",LEFT(K455,L455)&amp;REPT("0",4-L455)&amp;RIGHT("000"&amp;IFERROR(VALUE(MID(K455,L455+1,9)),0),3)&amp;RIGHT("0000"&amp;IFERROR(VALUE(MID(B455,FIND("-",B455)+1,9)),0),4))</f>
        <v/>
      </c>
      <c r="N455" s="11" t="str">
        <f aca="false">IF(OR(B455="",N(F455)&lt;=0),"",IF('FALTAS POR DECK'!$P$1="Código","K"&amp;M455&amp;RIGHT("00000"&amp;ROW(),5),IF('FALTAS POR DECK'!$P$1="Nome","K"&amp;UPPER(SUBSTITUTE(SUBSTITUTE(SUBSTITUTE(C455,"*",""),"?",""),"~",""))&amp;"0"&amp;M455&amp;RIGHT("00000"&amp;ROW(),5),IF('FALTAS POR DECK'!$P$1="Falta (maior primeiro)","K"&amp;RIGHT("0000"&amp;(9999-F455),4)&amp;M455&amp;RIGHT("00000"&amp;ROW(),5),IF('FALTAS POR DECK'!$P$1="Deck e código","K"&amp;RIGHT("00"&amp;IFERROR(MATCH(A455,_LEITURA!$P$2:$P$21,0),99),2)&amp;M455&amp;RIGHT("00000"&amp;ROW(),5),"K"&amp;RIGHT("00000"&amp;ROW(),5))))))</f>
        <v/>
      </c>
      <c r="O455" s="16" t="str">
        <f aca="false">IF(N455="","",COUNTIFS($N$2:$N$1201,"&lt;"&amp;N455,$F$2:$F$1201,"&gt;0")+1)</f>
        <v/>
      </c>
    </row>
    <row r="456" customFormat="false" ht="15" hidden="false" customHeight="false" outlineLevel="0" collapsed="false">
      <c r="A456" s="11" t="str">
        <f aca="false">IF(_LEITURA!$N456="","",INDEX(_LEITURA!$K$2:$K$1201,_LEITURA!$N456))</f>
        <v/>
      </c>
      <c r="B456" s="11" t="str">
        <f aca="false">IF(_LEITURA!$N456="","",INDEX(_LEITURA!$E$2:$E$1201,_LEITURA!$N456))</f>
        <v/>
      </c>
      <c r="C456" s="11" t="str">
        <f aca="false">IF(_LEITURA!$N456="","",INDEX(_LEITURA!$J$2:$J$1201,_LEITURA!$N456))</f>
        <v/>
      </c>
      <c r="D456" s="16" t="str">
        <f aca="false">IF(_LEITURA!$N456="","",INDEX(_LEITURA!$G$2:$G$1201,_LEITURA!$N456))</f>
        <v/>
      </c>
      <c r="E456" s="16" t="str">
        <f aca="false">IF(B456="","",SUMIFS(INVENTÁRIO!$C$2:$C$801,INVENTÁRIO!$A$2:$A$801,B456))</f>
        <v/>
      </c>
      <c r="F456" s="16" t="str">
        <f aca="false">IF(B456="","",MAX(0,D456-E456))</f>
        <v/>
      </c>
      <c r="G456" s="16" t="str">
        <f aca="false">IF(B456="","",IF(COUNTIFS($B$2:$B$1201,B456,$A$2:$A$1201,"&lt;&gt;"&amp;A456)&gt;0,"Sim",""))</f>
        <v/>
      </c>
      <c r="H456" s="16" t="str">
        <f aca="false">IF(N(F456)&gt;0,MAX(H$1:H455)+1,"")</f>
        <v/>
      </c>
      <c r="I456" s="11" t="str">
        <f aca="false">IF(B456="","",IF(INDEX($C$2:$C$1201,MATCH(B456,$B$2:$B$1201,0))&lt;&gt;C456,"Nome diferente em outro deck — revisar",""))</f>
        <v/>
      </c>
      <c r="J456" s="16" t="str">
        <f aca="false">IF(AND(B456&lt;&gt;"",A456=BULK!$A$1,N(F456)&gt;0),MAX(J$1:J455)+1,"")</f>
        <v/>
      </c>
      <c r="K456" s="11" t="str">
        <f aca="false">IF(B456="","",IFERROR(LEFT(B456,FIND("-",B456)-1),B456))</f>
        <v/>
      </c>
      <c r="L456" s="11" t="str">
        <f aca="false">IF(K456="","",IF(ISNUMBER(--MID(K456,1,1)),0,IF(ISNUMBER(--MID(K456,2,1)),1,IF(ISNUMBER(--MID(K456,3,1)),2,IF(ISNUMBER(--MID(K456,4,1)),3,MIN(LEN(K456),4))))))</f>
        <v/>
      </c>
      <c r="M456" s="11" t="str">
        <f aca="false">IF(B456="","",LEFT(K456,L456)&amp;REPT("0",4-L456)&amp;RIGHT("000"&amp;IFERROR(VALUE(MID(K456,L456+1,9)),0),3)&amp;RIGHT("0000"&amp;IFERROR(VALUE(MID(B456,FIND("-",B456)+1,9)),0),4))</f>
        <v/>
      </c>
      <c r="N456" s="11" t="str">
        <f aca="false">IF(OR(B456="",N(F456)&lt;=0),"",IF('FALTAS POR DECK'!$P$1="Código","K"&amp;M456&amp;RIGHT("00000"&amp;ROW(),5),IF('FALTAS POR DECK'!$P$1="Nome","K"&amp;UPPER(SUBSTITUTE(SUBSTITUTE(SUBSTITUTE(C456,"*",""),"?",""),"~",""))&amp;"0"&amp;M456&amp;RIGHT("00000"&amp;ROW(),5),IF('FALTAS POR DECK'!$P$1="Falta (maior primeiro)","K"&amp;RIGHT("0000"&amp;(9999-F456),4)&amp;M456&amp;RIGHT("00000"&amp;ROW(),5),IF('FALTAS POR DECK'!$P$1="Deck e código","K"&amp;RIGHT("00"&amp;IFERROR(MATCH(A456,_LEITURA!$P$2:$P$21,0),99),2)&amp;M456&amp;RIGHT("00000"&amp;ROW(),5),"K"&amp;RIGHT("00000"&amp;ROW(),5))))))</f>
        <v/>
      </c>
      <c r="O456" s="16" t="str">
        <f aca="false">IF(N456="","",COUNTIFS($N$2:$N$1201,"&lt;"&amp;N456,$F$2:$F$1201,"&gt;0")+1)</f>
        <v/>
      </c>
    </row>
    <row r="457" customFormat="false" ht="15" hidden="false" customHeight="false" outlineLevel="0" collapsed="false">
      <c r="A457" s="11" t="str">
        <f aca="false">IF(_LEITURA!$N457="","",INDEX(_LEITURA!$K$2:$K$1201,_LEITURA!$N457))</f>
        <v/>
      </c>
      <c r="B457" s="11" t="str">
        <f aca="false">IF(_LEITURA!$N457="","",INDEX(_LEITURA!$E$2:$E$1201,_LEITURA!$N457))</f>
        <v/>
      </c>
      <c r="C457" s="11" t="str">
        <f aca="false">IF(_LEITURA!$N457="","",INDEX(_LEITURA!$J$2:$J$1201,_LEITURA!$N457))</f>
        <v/>
      </c>
      <c r="D457" s="16" t="str">
        <f aca="false">IF(_LEITURA!$N457="","",INDEX(_LEITURA!$G$2:$G$1201,_LEITURA!$N457))</f>
        <v/>
      </c>
      <c r="E457" s="16" t="str">
        <f aca="false">IF(B457="","",SUMIFS(INVENTÁRIO!$C$2:$C$801,INVENTÁRIO!$A$2:$A$801,B457))</f>
        <v/>
      </c>
      <c r="F457" s="16" t="str">
        <f aca="false">IF(B457="","",MAX(0,D457-E457))</f>
        <v/>
      </c>
      <c r="G457" s="16" t="str">
        <f aca="false">IF(B457="","",IF(COUNTIFS($B$2:$B$1201,B457,$A$2:$A$1201,"&lt;&gt;"&amp;A457)&gt;0,"Sim",""))</f>
        <v/>
      </c>
      <c r="H457" s="16" t="str">
        <f aca="false">IF(N(F457)&gt;0,MAX(H$1:H456)+1,"")</f>
        <v/>
      </c>
      <c r="I457" s="11" t="str">
        <f aca="false">IF(B457="","",IF(INDEX($C$2:$C$1201,MATCH(B457,$B$2:$B$1201,0))&lt;&gt;C457,"Nome diferente em outro deck — revisar",""))</f>
        <v/>
      </c>
      <c r="J457" s="16" t="str">
        <f aca="false">IF(AND(B457&lt;&gt;"",A457=BULK!$A$1,N(F457)&gt;0),MAX(J$1:J456)+1,"")</f>
        <v/>
      </c>
      <c r="K457" s="11" t="str">
        <f aca="false">IF(B457="","",IFERROR(LEFT(B457,FIND("-",B457)-1),B457))</f>
        <v/>
      </c>
      <c r="L457" s="11" t="str">
        <f aca="false">IF(K457="","",IF(ISNUMBER(--MID(K457,1,1)),0,IF(ISNUMBER(--MID(K457,2,1)),1,IF(ISNUMBER(--MID(K457,3,1)),2,IF(ISNUMBER(--MID(K457,4,1)),3,MIN(LEN(K457),4))))))</f>
        <v/>
      </c>
      <c r="M457" s="11" t="str">
        <f aca="false">IF(B457="","",LEFT(K457,L457)&amp;REPT("0",4-L457)&amp;RIGHT("000"&amp;IFERROR(VALUE(MID(K457,L457+1,9)),0),3)&amp;RIGHT("0000"&amp;IFERROR(VALUE(MID(B457,FIND("-",B457)+1,9)),0),4))</f>
        <v/>
      </c>
      <c r="N457" s="11" t="str">
        <f aca="false">IF(OR(B457="",N(F457)&lt;=0),"",IF('FALTAS POR DECK'!$P$1="Código","K"&amp;M457&amp;RIGHT("00000"&amp;ROW(),5),IF('FALTAS POR DECK'!$P$1="Nome","K"&amp;UPPER(SUBSTITUTE(SUBSTITUTE(SUBSTITUTE(C457,"*",""),"?",""),"~",""))&amp;"0"&amp;M457&amp;RIGHT("00000"&amp;ROW(),5),IF('FALTAS POR DECK'!$P$1="Falta (maior primeiro)","K"&amp;RIGHT("0000"&amp;(9999-F457),4)&amp;M457&amp;RIGHT("00000"&amp;ROW(),5),IF('FALTAS POR DECK'!$P$1="Deck e código","K"&amp;RIGHT("00"&amp;IFERROR(MATCH(A457,_LEITURA!$P$2:$P$21,0),99),2)&amp;M457&amp;RIGHT("00000"&amp;ROW(),5),"K"&amp;RIGHT("00000"&amp;ROW(),5))))))</f>
        <v/>
      </c>
      <c r="O457" s="16" t="str">
        <f aca="false">IF(N457="","",COUNTIFS($N$2:$N$1201,"&lt;"&amp;N457,$F$2:$F$1201,"&gt;0")+1)</f>
        <v/>
      </c>
    </row>
    <row r="458" customFormat="false" ht="15" hidden="false" customHeight="false" outlineLevel="0" collapsed="false">
      <c r="A458" s="11" t="str">
        <f aca="false">IF(_LEITURA!$N458="","",INDEX(_LEITURA!$K$2:$K$1201,_LEITURA!$N458))</f>
        <v/>
      </c>
      <c r="B458" s="11" t="str">
        <f aca="false">IF(_LEITURA!$N458="","",INDEX(_LEITURA!$E$2:$E$1201,_LEITURA!$N458))</f>
        <v/>
      </c>
      <c r="C458" s="11" t="str">
        <f aca="false">IF(_LEITURA!$N458="","",INDEX(_LEITURA!$J$2:$J$1201,_LEITURA!$N458))</f>
        <v/>
      </c>
      <c r="D458" s="16" t="str">
        <f aca="false">IF(_LEITURA!$N458="","",INDEX(_LEITURA!$G$2:$G$1201,_LEITURA!$N458))</f>
        <v/>
      </c>
      <c r="E458" s="16" t="str">
        <f aca="false">IF(B458="","",SUMIFS(INVENTÁRIO!$C$2:$C$801,INVENTÁRIO!$A$2:$A$801,B458))</f>
        <v/>
      </c>
      <c r="F458" s="16" t="str">
        <f aca="false">IF(B458="","",MAX(0,D458-E458))</f>
        <v/>
      </c>
      <c r="G458" s="16" t="str">
        <f aca="false">IF(B458="","",IF(COUNTIFS($B$2:$B$1201,B458,$A$2:$A$1201,"&lt;&gt;"&amp;A458)&gt;0,"Sim",""))</f>
        <v/>
      </c>
      <c r="H458" s="16" t="str">
        <f aca="false">IF(N(F458)&gt;0,MAX(H$1:H457)+1,"")</f>
        <v/>
      </c>
      <c r="I458" s="11" t="str">
        <f aca="false">IF(B458="","",IF(INDEX($C$2:$C$1201,MATCH(B458,$B$2:$B$1201,0))&lt;&gt;C458,"Nome diferente em outro deck — revisar",""))</f>
        <v/>
      </c>
      <c r="J458" s="16" t="str">
        <f aca="false">IF(AND(B458&lt;&gt;"",A458=BULK!$A$1,N(F458)&gt;0),MAX(J$1:J457)+1,"")</f>
        <v/>
      </c>
      <c r="K458" s="11" t="str">
        <f aca="false">IF(B458="","",IFERROR(LEFT(B458,FIND("-",B458)-1),B458))</f>
        <v/>
      </c>
      <c r="L458" s="11" t="str">
        <f aca="false">IF(K458="","",IF(ISNUMBER(--MID(K458,1,1)),0,IF(ISNUMBER(--MID(K458,2,1)),1,IF(ISNUMBER(--MID(K458,3,1)),2,IF(ISNUMBER(--MID(K458,4,1)),3,MIN(LEN(K458),4))))))</f>
        <v/>
      </c>
      <c r="M458" s="11" t="str">
        <f aca="false">IF(B458="","",LEFT(K458,L458)&amp;REPT("0",4-L458)&amp;RIGHT("000"&amp;IFERROR(VALUE(MID(K458,L458+1,9)),0),3)&amp;RIGHT("0000"&amp;IFERROR(VALUE(MID(B458,FIND("-",B458)+1,9)),0),4))</f>
        <v/>
      </c>
      <c r="N458" s="11" t="str">
        <f aca="false">IF(OR(B458="",N(F458)&lt;=0),"",IF('FALTAS POR DECK'!$P$1="Código","K"&amp;M458&amp;RIGHT("00000"&amp;ROW(),5),IF('FALTAS POR DECK'!$P$1="Nome","K"&amp;UPPER(SUBSTITUTE(SUBSTITUTE(SUBSTITUTE(C458,"*",""),"?",""),"~",""))&amp;"0"&amp;M458&amp;RIGHT("00000"&amp;ROW(),5),IF('FALTAS POR DECK'!$P$1="Falta (maior primeiro)","K"&amp;RIGHT("0000"&amp;(9999-F458),4)&amp;M458&amp;RIGHT("00000"&amp;ROW(),5),IF('FALTAS POR DECK'!$P$1="Deck e código","K"&amp;RIGHT("00"&amp;IFERROR(MATCH(A458,_LEITURA!$P$2:$P$21,0),99),2)&amp;M458&amp;RIGHT("00000"&amp;ROW(),5),"K"&amp;RIGHT("00000"&amp;ROW(),5))))))</f>
        <v/>
      </c>
      <c r="O458" s="16" t="str">
        <f aca="false">IF(N458="","",COUNTIFS($N$2:$N$1201,"&lt;"&amp;N458,$F$2:$F$1201,"&gt;0")+1)</f>
        <v/>
      </c>
    </row>
    <row r="459" customFormat="false" ht="15" hidden="false" customHeight="false" outlineLevel="0" collapsed="false">
      <c r="A459" s="11" t="str">
        <f aca="false">IF(_LEITURA!$N459="","",INDEX(_LEITURA!$K$2:$K$1201,_LEITURA!$N459))</f>
        <v/>
      </c>
      <c r="B459" s="11" t="str">
        <f aca="false">IF(_LEITURA!$N459="","",INDEX(_LEITURA!$E$2:$E$1201,_LEITURA!$N459))</f>
        <v/>
      </c>
      <c r="C459" s="11" t="str">
        <f aca="false">IF(_LEITURA!$N459="","",INDEX(_LEITURA!$J$2:$J$1201,_LEITURA!$N459))</f>
        <v/>
      </c>
      <c r="D459" s="16" t="str">
        <f aca="false">IF(_LEITURA!$N459="","",INDEX(_LEITURA!$G$2:$G$1201,_LEITURA!$N459))</f>
        <v/>
      </c>
      <c r="E459" s="16" t="str">
        <f aca="false">IF(B459="","",SUMIFS(INVENTÁRIO!$C$2:$C$801,INVENTÁRIO!$A$2:$A$801,B459))</f>
        <v/>
      </c>
      <c r="F459" s="16" t="str">
        <f aca="false">IF(B459="","",MAX(0,D459-E459))</f>
        <v/>
      </c>
      <c r="G459" s="16" t="str">
        <f aca="false">IF(B459="","",IF(COUNTIFS($B$2:$B$1201,B459,$A$2:$A$1201,"&lt;&gt;"&amp;A459)&gt;0,"Sim",""))</f>
        <v/>
      </c>
      <c r="H459" s="16" t="str">
        <f aca="false">IF(N(F459)&gt;0,MAX(H$1:H458)+1,"")</f>
        <v/>
      </c>
      <c r="I459" s="11" t="str">
        <f aca="false">IF(B459="","",IF(INDEX($C$2:$C$1201,MATCH(B459,$B$2:$B$1201,0))&lt;&gt;C459,"Nome diferente em outro deck — revisar",""))</f>
        <v/>
      </c>
      <c r="J459" s="16" t="str">
        <f aca="false">IF(AND(B459&lt;&gt;"",A459=BULK!$A$1,N(F459)&gt;0),MAX(J$1:J458)+1,"")</f>
        <v/>
      </c>
      <c r="K459" s="11" t="str">
        <f aca="false">IF(B459="","",IFERROR(LEFT(B459,FIND("-",B459)-1),B459))</f>
        <v/>
      </c>
      <c r="L459" s="11" t="str">
        <f aca="false">IF(K459="","",IF(ISNUMBER(--MID(K459,1,1)),0,IF(ISNUMBER(--MID(K459,2,1)),1,IF(ISNUMBER(--MID(K459,3,1)),2,IF(ISNUMBER(--MID(K459,4,1)),3,MIN(LEN(K459),4))))))</f>
        <v/>
      </c>
      <c r="M459" s="11" t="str">
        <f aca="false">IF(B459="","",LEFT(K459,L459)&amp;REPT("0",4-L459)&amp;RIGHT("000"&amp;IFERROR(VALUE(MID(K459,L459+1,9)),0),3)&amp;RIGHT("0000"&amp;IFERROR(VALUE(MID(B459,FIND("-",B459)+1,9)),0),4))</f>
        <v/>
      </c>
      <c r="N459" s="11" t="str">
        <f aca="false">IF(OR(B459="",N(F459)&lt;=0),"",IF('FALTAS POR DECK'!$P$1="Código","K"&amp;M459&amp;RIGHT("00000"&amp;ROW(),5),IF('FALTAS POR DECK'!$P$1="Nome","K"&amp;UPPER(SUBSTITUTE(SUBSTITUTE(SUBSTITUTE(C459,"*",""),"?",""),"~",""))&amp;"0"&amp;M459&amp;RIGHT("00000"&amp;ROW(),5),IF('FALTAS POR DECK'!$P$1="Falta (maior primeiro)","K"&amp;RIGHT("0000"&amp;(9999-F459),4)&amp;M459&amp;RIGHT("00000"&amp;ROW(),5),IF('FALTAS POR DECK'!$P$1="Deck e código","K"&amp;RIGHT("00"&amp;IFERROR(MATCH(A459,_LEITURA!$P$2:$P$21,0),99),2)&amp;M459&amp;RIGHT("00000"&amp;ROW(),5),"K"&amp;RIGHT("00000"&amp;ROW(),5))))))</f>
        <v/>
      </c>
      <c r="O459" s="16" t="str">
        <f aca="false">IF(N459="","",COUNTIFS($N$2:$N$1201,"&lt;"&amp;N459,$F$2:$F$1201,"&gt;0")+1)</f>
        <v/>
      </c>
    </row>
    <row r="460" customFormat="false" ht="15" hidden="false" customHeight="false" outlineLevel="0" collapsed="false">
      <c r="A460" s="11" t="str">
        <f aca="false">IF(_LEITURA!$N460="","",INDEX(_LEITURA!$K$2:$K$1201,_LEITURA!$N460))</f>
        <v/>
      </c>
      <c r="B460" s="11" t="str">
        <f aca="false">IF(_LEITURA!$N460="","",INDEX(_LEITURA!$E$2:$E$1201,_LEITURA!$N460))</f>
        <v/>
      </c>
      <c r="C460" s="11" t="str">
        <f aca="false">IF(_LEITURA!$N460="","",INDEX(_LEITURA!$J$2:$J$1201,_LEITURA!$N460))</f>
        <v/>
      </c>
      <c r="D460" s="16" t="str">
        <f aca="false">IF(_LEITURA!$N460="","",INDEX(_LEITURA!$G$2:$G$1201,_LEITURA!$N460))</f>
        <v/>
      </c>
      <c r="E460" s="16" t="str">
        <f aca="false">IF(B460="","",SUMIFS(INVENTÁRIO!$C$2:$C$801,INVENTÁRIO!$A$2:$A$801,B460))</f>
        <v/>
      </c>
      <c r="F460" s="16" t="str">
        <f aca="false">IF(B460="","",MAX(0,D460-E460))</f>
        <v/>
      </c>
      <c r="G460" s="16" t="str">
        <f aca="false">IF(B460="","",IF(COUNTIFS($B$2:$B$1201,B460,$A$2:$A$1201,"&lt;&gt;"&amp;A460)&gt;0,"Sim",""))</f>
        <v/>
      </c>
      <c r="H460" s="16" t="str">
        <f aca="false">IF(N(F460)&gt;0,MAX(H$1:H459)+1,"")</f>
        <v/>
      </c>
      <c r="I460" s="11" t="str">
        <f aca="false">IF(B460="","",IF(INDEX($C$2:$C$1201,MATCH(B460,$B$2:$B$1201,0))&lt;&gt;C460,"Nome diferente em outro deck — revisar",""))</f>
        <v/>
      </c>
      <c r="J460" s="16" t="str">
        <f aca="false">IF(AND(B460&lt;&gt;"",A460=BULK!$A$1,N(F460)&gt;0),MAX(J$1:J459)+1,"")</f>
        <v/>
      </c>
      <c r="K460" s="11" t="str">
        <f aca="false">IF(B460="","",IFERROR(LEFT(B460,FIND("-",B460)-1),B460))</f>
        <v/>
      </c>
      <c r="L460" s="11" t="str">
        <f aca="false">IF(K460="","",IF(ISNUMBER(--MID(K460,1,1)),0,IF(ISNUMBER(--MID(K460,2,1)),1,IF(ISNUMBER(--MID(K460,3,1)),2,IF(ISNUMBER(--MID(K460,4,1)),3,MIN(LEN(K460),4))))))</f>
        <v/>
      </c>
      <c r="M460" s="11" t="str">
        <f aca="false">IF(B460="","",LEFT(K460,L460)&amp;REPT("0",4-L460)&amp;RIGHT("000"&amp;IFERROR(VALUE(MID(K460,L460+1,9)),0),3)&amp;RIGHT("0000"&amp;IFERROR(VALUE(MID(B460,FIND("-",B460)+1,9)),0),4))</f>
        <v/>
      </c>
      <c r="N460" s="11" t="str">
        <f aca="false">IF(OR(B460="",N(F460)&lt;=0),"",IF('FALTAS POR DECK'!$P$1="Código","K"&amp;M460&amp;RIGHT("00000"&amp;ROW(),5),IF('FALTAS POR DECK'!$P$1="Nome","K"&amp;UPPER(SUBSTITUTE(SUBSTITUTE(SUBSTITUTE(C460,"*",""),"?",""),"~",""))&amp;"0"&amp;M460&amp;RIGHT("00000"&amp;ROW(),5),IF('FALTAS POR DECK'!$P$1="Falta (maior primeiro)","K"&amp;RIGHT("0000"&amp;(9999-F460),4)&amp;M460&amp;RIGHT("00000"&amp;ROW(),5),IF('FALTAS POR DECK'!$P$1="Deck e código","K"&amp;RIGHT("00"&amp;IFERROR(MATCH(A460,_LEITURA!$P$2:$P$21,0),99),2)&amp;M460&amp;RIGHT("00000"&amp;ROW(),5),"K"&amp;RIGHT("00000"&amp;ROW(),5))))))</f>
        <v/>
      </c>
      <c r="O460" s="16" t="str">
        <f aca="false">IF(N460="","",COUNTIFS($N$2:$N$1201,"&lt;"&amp;N460,$F$2:$F$1201,"&gt;0")+1)</f>
        <v/>
      </c>
    </row>
    <row r="461" customFormat="false" ht="15" hidden="false" customHeight="false" outlineLevel="0" collapsed="false">
      <c r="A461" s="11" t="str">
        <f aca="false">IF(_LEITURA!$N461="","",INDEX(_LEITURA!$K$2:$K$1201,_LEITURA!$N461))</f>
        <v/>
      </c>
      <c r="B461" s="11" t="str">
        <f aca="false">IF(_LEITURA!$N461="","",INDEX(_LEITURA!$E$2:$E$1201,_LEITURA!$N461))</f>
        <v/>
      </c>
      <c r="C461" s="11" t="str">
        <f aca="false">IF(_LEITURA!$N461="","",INDEX(_LEITURA!$J$2:$J$1201,_LEITURA!$N461))</f>
        <v/>
      </c>
      <c r="D461" s="16" t="str">
        <f aca="false">IF(_LEITURA!$N461="","",INDEX(_LEITURA!$G$2:$G$1201,_LEITURA!$N461))</f>
        <v/>
      </c>
      <c r="E461" s="16" t="str">
        <f aca="false">IF(B461="","",SUMIFS(INVENTÁRIO!$C$2:$C$801,INVENTÁRIO!$A$2:$A$801,B461))</f>
        <v/>
      </c>
      <c r="F461" s="16" t="str">
        <f aca="false">IF(B461="","",MAX(0,D461-E461))</f>
        <v/>
      </c>
      <c r="G461" s="16" t="str">
        <f aca="false">IF(B461="","",IF(COUNTIFS($B$2:$B$1201,B461,$A$2:$A$1201,"&lt;&gt;"&amp;A461)&gt;0,"Sim",""))</f>
        <v/>
      </c>
      <c r="H461" s="16" t="str">
        <f aca="false">IF(N(F461)&gt;0,MAX(H$1:H460)+1,"")</f>
        <v/>
      </c>
      <c r="I461" s="11" t="str">
        <f aca="false">IF(B461="","",IF(INDEX($C$2:$C$1201,MATCH(B461,$B$2:$B$1201,0))&lt;&gt;C461,"Nome diferente em outro deck — revisar",""))</f>
        <v/>
      </c>
      <c r="J461" s="16" t="str">
        <f aca="false">IF(AND(B461&lt;&gt;"",A461=BULK!$A$1,N(F461)&gt;0),MAX(J$1:J460)+1,"")</f>
        <v/>
      </c>
      <c r="K461" s="11" t="str">
        <f aca="false">IF(B461="","",IFERROR(LEFT(B461,FIND("-",B461)-1),B461))</f>
        <v/>
      </c>
      <c r="L461" s="11" t="str">
        <f aca="false">IF(K461="","",IF(ISNUMBER(--MID(K461,1,1)),0,IF(ISNUMBER(--MID(K461,2,1)),1,IF(ISNUMBER(--MID(K461,3,1)),2,IF(ISNUMBER(--MID(K461,4,1)),3,MIN(LEN(K461),4))))))</f>
        <v/>
      </c>
      <c r="M461" s="11" t="str">
        <f aca="false">IF(B461="","",LEFT(K461,L461)&amp;REPT("0",4-L461)&amp;RIGHT("000"&amp;IFERROR(VALUE(MID(K461,L461+1,9)),0),3)&amp;RIGHT("0000"&amp;IFERROR(VALUE(MID(B461,FIND("-",B461)+1,9)),0),4))</f>
        <v/>
      </c>
      <c r="N461" s="11" t="str">
        <f aca="false">IF(OR(B461="",N(F461)&lt;=0),"",IF('FALTAS POR DECK'!$P$1="Código","K"&amp;M461&amp;RIGHT("00000"&amp;ROW(),5),IF('FALTAS POR DECK'!$P$1="Nome","K"&amp;UPPER(SUBSTITUTE(SUBSTITUTE(SUBSTITUTE(C461,"*",""),"?",""),"~",""))&amp;"0"&amp;M461&amp;RIGHT("00000"&amp;ROW(),5),IF('FALTAS POR DECK'!$P$1="Falta (maior primeiro)","K"&amp;RIGHT("0000"&amp;(9999-F461),4)&amp;M461&amp;RIGHT("00000"&amp;ROW(),5),IF('FALTAS POR DECK'!$P$1="Deck e código","K"&amp;RIGHT("00"&amp;IFERROR(MATCH(A461,_LEITURA!$P$2:$P$21,0),99),2)&amp;M461&amp;RIGHT("00000"&amp;ROW(),5),"K"&amp;RIGHT("00000"&amp;ROW(),5))))))</f>
        <v/>
      </c>
      <c r="O461" s="16" t="str">
        <f aca="false">IF(N461="","",COUNTIFS($N$2:$N$1201,"&lt;"&amp;N461,$F$2:$F$1201,"&gt;0")+1)</f>
        <v/>
      </c>
    </row>
    <row r="462" customFormat="false" ht="15" hidden="false" customHeight="false" outlineLevel="0" collapsed="false">
      <c r="A462" s="11" t="str">
        <f aca="false">IF(_LEITURA!$N462="","",INDEX(_LEITURA!$K$2:$K$1201,_LEITURA!$N462))</f>
        <v/>
      </c>
      <c r="B462" s="11" t="str">
        <f aca="false">IF(_LEITURA!$N462="","",INDEX(_LEITURA!$E$2:$E$1201,_LEITURA!$N462))</f>
        <v/>
      </c>
      <c r="C462" s="11" t="str">
        <f aca="false">IF(_LEITURA!$N462="","",INDEX(_LEITURA!$J$2:$J$1201,_LEITURA!$N462))</f>
        <v/>
      </c>
      <c r="D462" s="16" t="str">
        <f aca="false">IF(_LEITURA!$N462="","",INDEX(_LEITURA!$G$2:$G$1201,_LEITURA!$N462))</f>
        <v/>
      </c>
      <c r="E462" s="16" t="str">
        <f aca="false">IF(B462="","",SUMIFS(INVENTÁRIO!$C$2:$C$801,INVENTÁRIO!$A$2:$A$801,B462))</f>
        <v/>
      </c>
      <c r="F462" s="16" t="str">
        <f aca="false">IF(B462="","",MAX(0,D462-E462))</f>
        <v/>
      </c>
      <c r="G462" s="16" t="str">
        <f aca="false">IF(B462="","",IF(COUNTIFS($B$2:$B$1201,B462,$A$2:$A$1201,"&lt;&gt;"&amp;A462)&gt;0,"Sim",""))</f>
        <v/>
      </c>
      <c r="H462" s="16" t="str">
        <f aca="false">IF(N(F462)&gt;0,MAX(H$1:H461)+1,"")</f>
        <v/>
      </c>
      <c r="I462" s="11" t="str">
        <f aca="false">IF(B462="","",IF(INDEX($C$2:$C$1201,MATCH(B462,$B$2:$B$1201,0))&lt;&gt;C462,"Nome diferente em outro deck — revisar",""))</f>
        <v/>
      </c>
      <c r="J462" s="16" t="str">
        <f aca="false">IF(AND(B462&lt;&gt;"",A462=BULK!$A$1,N(F462)&gt;0),MAX(J$1:J461)+1,"")</f>
        <v/>
      </c>
      <c r="K462" s="11" t="str">
        <f aca="false">IF(B462="","",IFERROR(LEFT(B462,FIND("-",B462)-1),B462))</f>
        <v/>
      </c>
      <c r="L462" s="11" t="str">
        <f aca="false">IF(K462="","",IF(ISNUMBER(--MID(K462,1,1)),0,IF(ISNUMBER(--MID(K462,2,1)),1,IF(ISNUMBER(--MID(K462,3,1)),2,IF(ISNUMBER(--MID(K462,4,1)),3,MIN(LEN(K462),4))))))</f>
        <v/>
      </c>
      <c r="M462" s="11" t="str">
        <f aca="false">IF(B462="","",LEFT(K462,L462)&amp;REPT("0",4-L462)&amp;RIGHT("000"&amp;IFERROR(VALUE(MID(K462,L462+1,9)),0),3)&amp;RIGHT("0000"&amp;IFERROR(VALUE(MID(B462,FIND("-",B462)+1,9)),0),4))</f>
        <v/>
      </c>
      <c r="N462" s="11" t="str">
        <f aca="false">IF(OR(B462="",N(F462)&lt;=0),"",IF('FALTAS POR DECK'!$P$1="Código","K"&amp;M462&amp;RIGHT("00000"&amp;ROW(),5),IF('FALTAS POR DECK'!$P$1="Nome","K"&amp;UPPER(SUBSTITUTE(SUBSTITUTE(SUBSTITUTE(C462,"*",""),"?",""),"~",""))&amp;"0"&amp;M462&amp;RIGHT("00000"&amp;ROW(),5),IF('FALTAS POR DECK'!$P$1="Falta (maior primeiro)","K"&amp;RIGHT("0000"&amp;(9999-F462),4)&amp;M462&amp;RIGHT("00000"&amp;ROW(),5),IF('FALTAS POR DECK'!$P$1="Deck e código","K"&amp;RIGHT("00"&amp;IFERROR(MATCH(A462,_LEITURA!$P$2:$P$21,0),99),2)&amp;M462&amp;RIGHT("00000"&amp;ROW(),5),"K"&amp;RIGHT("00000"&amp;ROW(),5))))))</f>
        <v/>
      </c>
      <c r="O462" s="16" t="str">
        <f aca="false">IF(N462="","",COUNTIFS($N$2:$N$1201,"&lt;"&amp;N462,$F$2:$F$1201,"&gt;0")+1)</f>
        <v/>
      </c>
    </row>
    <row r="463" customFormat="false" ht="15" hidden="false" customHeight="false" outlineLevel="0" collapsed="false">
      <c r="A463" s="11" t="str">
        <f aca="false">IF(_LEITURA!$N463="","",INDEX(_LEITURA!$K$2:$K$1201,_LEITURA!$N463))</f>
        <v/>
      </c>
      <c r="B463" s="11" t="str">
        <f aca="false">IF(_LEITURA!$N463="","",INDEX(_LEITURA!$E$2:$E$1201,_LEITURA!$N463))</f>
        <v/>
      </c>
      <c r="C463" s="11" t="str">
        <f aca="false">IF(_LEITURA!$N463="","",INDEX(_LEITURA!$J$2:$J$1201,_LEITURA!$N463))</f>
        <v/>
      </c>
      <c r="D463" s="16" t="str">
        <f aca="false">IF(_LEITURA!$N463="","",INDEX(_LEITURA!$G$2:$G$1201,_LEITURA!$N463))</f>
        <v/>
      </c>
      <c r="E463" s="16" t="str">
        <f aca="false">IF(B463="","",SUMIFS(INVENTÁRIO!$C$2:$C$801,INVENTÁRIO!$A$2:$A$801,B463))</f>
        <v/>
      </c>
      <c r="F463" s="16" t="str">
        <f aca="false">IF(B463="","",MAX(0,D463-E463))</f>
        <v/>
      </c>
      <c r="G463" s="16" t="str">
        <f aca="false">IF(B463="","",IF(COUNTIFS($B$2:$B$1201,B463,$A$2:$A$1201,"&lt;&gt;"&amp;A463)&gt;0,"Sim",""))</f>
        <v/>
      </c>
      <c r="H463" s="16" t="str">
        <f aca="false">IF(N(F463)&gt;0,MAX(H$1:H462)+1,"")</f>
        <v/>
      </c>
      <c r="I463" s="11" t="str">
        <f aca="false">IF(B463="","",IF(INDEX($C$2:$C$1201,MATCH(B463,$B$2:$B$1201,0))&lt;&gt;C463,"Nome diferente em outro deck — revisar",""))</f>
        <v/>
      </c>
      <c r="J463" s="16" t="str">
        <f aca="false">IF(AND(B463&lt;&gt;"",A463=BULK!$A$1,N(F463)&gt;0),MAX(J$1:J462)+1,"")</f>
        <v/>
      </c>
      <c r="K463" s="11" t="str">
        <f aca="false">IF(B463="","",IFERROR(LEFT(B463,FIND("-",B463)-1),B463))</f>
        <v/>
      </c>
      <c r="L463" s="11" t="str">
        <f aca="false">IF(K463="","",IF(ISNUMBER(--MID(K463,1,1)),0,IF(ISNUMBER(--MID(K463,2,1)),1,IF(ISNUMBER(--MID(K463,3,1)),2,IF(ISNUMBER(--MID(K463,4,1)),3,MIN(LEN(K463),4))))))</f>
        <v/>
      </c>
      <c r="M463" s="11" t="str">
        <f aca="false">IF(B463="","",LEFT(K463,L463)&amp;REPT("0",4-L463)&amp;RIGHT("000"&amp;IFERROR(VALUE(MID(K463,L463+1,9)),0),3)&amp;RIGHT("0000"&amp;IFERROR(VALUE(MID(B463,FIND("-",B463)+1,9)),0),4))</f>
        <v/>
      </c>
      <c r="N463" s="11" t="str">
        <f aca="false">IF(OR(B463="",N(F463)&lt;=0),"",IF('FALTAS POR DECK'!$P$1="Código","K"&amp;M463&amp;RIGHT("00000"&amp;ROW(),5),IF('FALTAS POR DECK'!$P$1="Nome","K"&amp;UPPER(SUBSTITUTE(SUBSTITUTE(SUBSTITUTE(C463,"*",""),"?",""),"~",""))&amp;"0"&amp;M463&amp;RIGHT("00000"&amp;ROW(),5),IF('FALTAS POR DECK'!$P$1="Falta (maior primeiro)","K"&amp;RIGHT("0000"&amp;(9999-F463),4)&amp;M463&amp;RIGHT("00000"&amp;ROW(),5),IF('FALTAS POR DECK'!$P$1="Deck e código","K"&amp;RIGHT("00"&amp;IFERROR(MATCH(A463,_LEITURA!$P$2:$P$21,0),99),2)&amp;M463&amp;RIGHT("00000"&amp;ROW(),5),"K"&amp;RIGHT("00000"&amp;ROW(),5))))))</f>
        <v/>
      </c>
      <c r="O463" s="16" t="str">
        <f aca="false">IF(N463="","",COUNTIFS($N$2:$N$1201,"&lt;"&amp;N463,$F$2:$F$1201,"&gt;0")+1)</f>
        <v/>
      </c>
    </row>
    <row r="464" customFormat="false" ht="15" hidden="false" customHeight="false" outlineLevel="0" collapsed="false">
      <c r="A464" s="11" t="str">
        <f aca="false">IF(_LEITURA!$N464="","",INDEX(_LEITURA!$K$2:$K$1201,_LEITURA!$N464))</f>
        <v/>
      </c>
      <c r="B464" s="11" t="str">
        <f aca="false">IF(_LEITURA!$N464="","",INDEX(_LEITURA!$E$2:$E$1201,_LEITURA!$N464))</f>
        <v/>
      </c>
      <c r="C464" s="11" t="str">
        <f aca="false">IF(_LEITURA!$N464="","",INDEX(_LEITURA!$J$2:$J$1201,_LEITURA!$N464))</f>
        <v/>
      </c>
      <c r="D464" s="16" t="str">
        <f aca="false">IF(_LEITURA!$N464="","",INDEX(_LEITURA!$G$2:$G$1201,_LEITURA!$N464))</f>
        <v/>
      </c>
      <c r="E464" s="16" t="str">
        <f aca="false">IF(B464="","",SUMIFS(INVENTÁRIO!$C$2:$C$801,INVENTÁRIO!$A$2:$A$801,B464))</f>
        <v/>
      </c>
      <c r="F464" s="16" t="str">
        <f aca="false">IF(B464="","",MAX(0,D464-E464))</f>
        <v/>
      </c>
      <c r="G464" s="16" t="str">
        <f aca="false">IF(B464="","",IF(COUNTIFS($B$2:$B$1201,B464,$A$2:$A$1201,"&lt;&gt;"&amp;A464)&gt;0,"Sim",""))</f>
        <v/>
      </c>
      <c r="H464" s="16" t="str">
        <f aca="false">IF(N(F464)&gt;0,MAX(H$1:H463)+1,"")</f>
        <v/>
      </c>
      <c r="I464" s="11" t="str">
        <f aca="false">IF(B464="","",IF(INDEX($C$2:$C$1201,MATCH(B464,$B$2:$B$1201,0))&lt;&gt;C464,"Nome diferente em outro deck — revisar",""))</f>
        <v/>
      </c>
      <c r="J464" s="16" t="str">
        <f aca="false">IF(AND(B464&lt;&gt;"",A464=BULK!$A$1,N(F464)&gt;0),MAX(J$1:J463)+1,"")</f>
        <v/>
      </c>
      <c r="K464" s="11" t="str">
        <f aca="false">IF(B464="","",IFERROR(LEFT(B464,FIND("-",B464)-1),B464))</f>
        <v/>
      </c>
      <c r="L464" s="11" t="str">
        <f aca="false">IF(K464="","",IF(ISNUMBER(--MID(K464,1,1)),0,IF(ISNUMBER(--MID(K464,2,1)),1,IF(ISNUMBER(--MID(K464,3,1)),2,IF(ISNUMBER(--MID(K464,4,1)),3,MIN(LEN(K464),4))))))</f>
        <v/>
      </c>
      <c r="M464" s="11" t="str">
        <f aca="false">IF(B464="","",LEFT(K464,L464)&amp;REPT("0",4-L464)&amp;RIGHT("000"&amp;IFERROR(VALUE(MID(K464,L464+1,9)),0),3)&amp;RIGHT("0000"&amp;IFERROR(VALUE(MID(B464,FIND("-",B464)+1,9)),0),4))</f>
        <v/>
      </c>
      <c r="N464" s="11" t="str">
        <f aca="false">IF(OR(B464="",N(F464)&lt;=0),"",IF('FALTAS POR DECK'!$P$1="Código","K"&amp;M464&amp;RIGHT("00000"&amp;ROW(),5),IF('FALTAS POR DECK'!$P$1="Nome","K"&amp;UPPER(SUBSTITUTE(SUBSTITUTE(SUBSTITUTE(C464,"*",""),"?",""),"~",""))&amp;"0"&amp;M464&amp;RIGHT("00000"&amp;ROW(),5),IF('FALTAS POR DECK'!$P$1="Falta (maior primeiro)","K"&amp;RIGHT("0000"&amp;(9999-F464),4)&amp;M464&amp;RIGHT("00000"&amp;ROW(),5),IF('FALTAS POR DECK'!$P$1="Deck e código","K"&amp;RIGHT("00"&amp;IFERROR(MATCH(A464,_LEITURA!$P$2:$P$21,0),99),2)&amp;M464&amp;RIGHT("00000"&amp;ROW(),5),"K"&amp;RIGHT("00000"&amp;ROW(),5))))))</f>
        <v/>
      </c>
      <c r="O464" s="16" t="str">
        <f aca="false">IF(N464="","",COUNTIFS($N$2:$N$1201,"&lt;"&amp;N464,$F$2:$F$1201,"&gt;0")+1)</f>
        <v/>
      </c>
    </row>
    <row r="465" customFormat="false" ht="15" hidden="false" customHeight="false" outlineLevel="0" collapsed="false">
      <c r="A465" s="11" t="str">
        <f aca="false">IF(_LEITURA!$N465="","",INDEX(_LEITURA!$K$2:$K$1201,_LEITURA!$N465))</f>
        <v/>
      </c>
      <c r="B465" s="11" t="str">
        <f aca="false">IF(_LEITURA!$N465="","",INDEX(_LEITURA!$E$2:$E$1201,_LEITURA!$N465))</f>
        <v/>
      </c>
      <c r="C465" s="11" t="str">
        <f aca="false">IF(_LEITURA!$N465="","",INDEX(_LEITURA!$J$2:$J$1201,_LEITURA!$N465))</f>
        <v/>
      </c>
      <c r="D465" s="16" t="str">
        <f aca="false">IF(_LEITURA!$N465="","",INDEX(_LEITURA!$G$2:$G$1201,_LEITURA!$N465))</f>
        <v/>
      </c>
      <c r="E465" s="16" t="str">
        <f aca="false">IF(B465="","",SUMIFS(INVENTÁRIO!$C$2:$C$801,INVENTÁRIO!$A$2:$A$801,B465))</f>
        <v/>
      </c>
      <c r="F465" s="16" t="str">
        <f aca="false">IF(B465="","",MAX(0,D465-E465))</f>
        <v/>
      </c>
      <c r="G465" s="16" t="str">
        <f aca="false">IF(B465="","",IF(COUNTIFS($B$2:$B$1201,B465,$A$2:$A$1201,"&lt;&gt;"&amp;A465)&gt;0,"Sim",""))</f>
        <v/>
      </c>
      <c r="H465" s="16" t="str">
        <f aca="false">IF(N(F465)&gt;0,MAX(H$1:H464)+1,"")</f>
        <v/>
      </c>
      <c r="I465" s="11" t="str">
        <f aca="false">IF(B465="","",IF(INDEX($C$2:$C$1201,MATCH(B465,$B$2:$B$1201,0))&lt;&gt;C465,"Nome diferente em outro deck — revisar",""))</f>
        <v/>
      </c>
      <c r="J465" s="16" t="str">
        <f aca="false">IF(AND(B465&lt;&gt;"",A465=BULK!$A$1,N(F465)&gt;0),MAX(J$1:J464)+1,"")</f>
        <v/>
      </c>
      <c r="K465" s="11" t="str">
        <f aca="false">IF(B465="","",IFERROR(LEFT(B465,FIND("-",B465)-1),B465))</f>
        <v/>
      </c>
      <c r="L465" s="11" t="str">
        <f aca="false">IF(K465="","",IF(ISNUMBER(--MID(K465,1,1)),0,IF(ISNUMBER(--MID(K465,2,1)),1,IF(ISNUMBER(--MID(K465,3,1)),2,IF(ISNUMBER(--MID(K465,4,1)),3,MIN(LEN(K465),4))))))</f>
        <v/>
      </c>
      <c r="M465" s="11" t="str">
        <f aca="false">IF(B465="","",LEFT(K465,L465)&amp;REPT("0",4-L465)&amp;RIGHT("000"&amp;IFERROR(VALUE(MID(K465,L465+1,9)),0),3)&amp;RIGHT("0000"&amp;IFERROR(VALUE(MID(B465,FIND("-",B465)+1,9)),0),4))</f>
        <v/>
      </c>
      <c r="N465" s="11" t="str">
        <f aca="false">IF(OR(B465="",N(F465)&lt;=0),"",IF('FALTAS POR DECK'!$P$1="Código","K"&amp;M465&amp;RIGHT("00000"&amp;ROW(),5),IF('FALTAS POR DECK'!$P$1="Nome","K"&amp;UPPER(SUBSTITUTE(SUBSTITUTE(SUBSTITUTE(C465,"*",""),"?",""),"~",""))&amp;"0"&amp;M465&amp;RIGHT("00000"&amp;ROW(),5),IF('FALTAS POR DECK'!$P$1="Falta (maior primeiro)","K"&amp;RIGHT("0000"&amp;(9999-F465),4)&amp;M465&amp;RIGHT("00000"&amp;ROW(),5),IF('FALTAS POR DECK'!$P$1="Deck e código","K"&amp;RIGHT("00"&amp;IFERROR(MATCH(A465,_LEITURA!$P$2:$P$21,0),99),2)&amp;M465&amp;RIGHT("00000"&amp;ROW(),5),"K"&amp;RIGHT("00000"&amp;ROW(),5))))))</f>
        <v/>
      </c>
      <c r="O465" s="16" t="str">
        <f aca="false">IF(N465="","",COUNTIFS($N$2:$N$1201,"&lt;"&amp;N465,$F$2:$F$1201,"&gt;0")+1)</f>
        <v/>
      </c>
    </row>
    <row r="466" customFormat="false" ht="15" hidden="false" customHeight="false" outlineLevel="0" collapsed="false">
      <c r="A466" s="11" t="str">
        <f aca="false">IF(_LEITURA!$N466="","",INDEX(_LEITURA!$K$2:$K$1201,_LEITURA!$N466))</f>
        <v/>
      </c>
      <c r="B466" s="11" t="str">
        <f aca="false">IF(_LEITURA!$N466="","",INDEX(_LEITURA!$E$2:$E$1201,_LEITURA!$N466))</f>
        <v/>
      </c>
      <c r="C466" s="11" t="str">
        <f aca="false">IF(_LEITURA!$N466="","",INDEX(_LEITURA!$J$2:$J$1201,_LEITURA!$N466))</f>
        <v/>
      </c>
      <c r="D466" s="16" t="str">
        <f aca="false">IF(_LEITURA!$N466="","",INDEX(_LEITURA!$G$2:$G$1201,_LEITURA!$N466))</f>
        <v/>
      </c>
      <c r="E466" s="16" t="str">
        <f aca="false">IF(B466="","",SUMIFS(INVENTÁRIO!$C$2:$C$801,INVENTÁRIO!$A$2:$A$801,B466))</f>
        <v/>
      </c>
      <c r="F466" s="16" t="str">
        <f aca="false">IF(B466="","",MAX(0,D466-E466))</f>
        <v/>
      </c>
      <c r="G466" s="16" t="str">
        <f aca="false">IF(B466="","",IF(COUNTIFS($B$2:$B$1201,B466,$A$2:$A$1201,"&lt;&gt;"&amp;A466)&gt;0,"Sim",""))</f>
        <v/>
      </c>
      <c r="H466" s="16" t="str">
        <f aca="false">IF(N(F466)&gt;0,MAX(H$1:H465)+1,"")</f>
        <v/>
      </c>
      <c r="I466" s="11" t="str">
        <f aca="false">IF(B466="","",IF(INDEX($C$2:$C$1201,MATCH(B466,$B$2:$B$1201,0))&lt;&gt;C466,"Nome diferente em outro deck — revisar",""))</f>
        <v/>
      </c>
      <c r="J466" s="16" t="str">
        <f aca="false">IF(AND(B466&lt;&gt;"",A466=BULK!$A$1,N(F466)&gt;0),MAX(J$1:J465)+1,"")</f>
        <v/>
      </c>
      <c r="K466" s="11" t="str">
        <f aca="false">IF(B466="","",IFERROR(LEFT(B466,FIND("-",B466)-1),B466))</f>
        <v/>
      </c>
      <c r="L466" s="11" t="str">
        <f aca="false">IF(K466="","",IF(ISNUMBER(--MID(K466,1,1)),0,IF(ISNUMBER(--MID(K466,2,1)),1,IF(ISNUMBER(--MID(K466,3,1)),2,IF(ISNUMBER(--MID(K466,4,1)),3,MIN(LEN(K466),4))))))</f>
        <v/>
      </c>
      <c r="M466" s="11" t="str">
        <f aca="false">IF(B466="","",LEFT(K466,L466)&amp;REPT("0",4-L466)&amp;RIGHT("000"&amp;IFERROR(VALUE(MID(K466,L466+1,9)),0),3)&amp;RIGHT("0000"&amp;IFERROR(VALUE(MID(B466,FIND("-",B466)+1,9)),0),4))</f>
        <v/>
      </c>
      <c r="N466" s="11" t="str">
        <f aca="false">IF(OR(B466="",N(F466)&lt;=0),"",IF('FALTAS POR DECK'!$P$1="Código","K"&amp;M466&amp;RIGHT("00000"&amp;ROW(),5),IF('FALTAS POR DECK'!$P$1="Nome","K"&amp;UPPER(SUBSTITUTE(SUBSTITUTE(SUBSTITUTE(C466,"*",""),"?",""),"~",""))&amp;"0"&amp;M466&amp;RIGHT("00000"&amp;ROW(),5),IF('FALTAS POR DECK'!$P$1="Falta (maior primeiro)","K"&amp;RIGHT("0000"&amp;(9999-F466),4)&amp;M466&amp;RIGHT("00000"&amp;ROW(),5),IF('FALTAS POR DECK'!$P$1="Deck e código","K"&amp;RIGHT("00"&amp;IFERROR(MATCH(A466,_LEITURA!$P$2:$P$21,0),99),2)&amp;M466&amp;RIGHT("00000"&amp;ROW(),5),"K"&amp;RIGHT("00000"&amp;ROW(),5))))))</f>
        <v/>
      </c>
      <c r="O466" s="16" t="str">
        <f aca="false">IF(N466="","",COUNTIFS($N$2:$N$1201,"&lt;"&amp;N466,$F$2:$F$1201,"&gt;0")+1)</f>
        <v/>
      </c>
    </row>
    <row r="467" customFormat="false" ht="15" hidden="false" customHeight="false" outlineLevel="0" collapsed="false">
      <c r="A467" s="11" t="str">
        <f aca="false">IF(_LEITURA!$N467="","",INDEX(_LEITURA!$K$2:$K$1201,_LEITURA!$N467))</f>
        <v/>
      </c>
      <c r="B467" s="11" t="str">
        <f aca="false">IF(_LEITURA!$N467="","",INDEX(_LEITURA!$E$2:$E$1201,_LEITURA!$N467))</f>
        <v/>
      </c>
      <c r="C467" s="11" t="str">
        <f aca="false">IF(_LEITURA!$N467="","",INDEX(_LEITURA!$J$2:$J$1201,_LEITURA!$N467))</f>
        <v/>
      </c>
      <c r="D467" s="16" t="str">
        <f aca="false">IF(_LEITURA!$N467="","",INDEX(_LEITURA!$G$2:$G$1201,_LEITURA!$N467))</f>
        <v/>
      </c>
      <c r="E467" s="16" t="str">
        <f aca="false">IF(B467="","",SUMIFS(INVENTÁRIO!$C$2:$C$801,INVENTÁRIO!$A$2:$A$801,B467))</f>
        <v/>
      </c>
      <c r="F467" s="16" t="str">
        <f aca="false">IF(B467="","",MAX(0,D467-E467))</f>
        <v/>
      </c>
      <c r="G467" s="16" t="str">
        <f aca="false">IF(B467="","",IF(COUNTIFS($B$2:$B$1201,B467,$A$2:$A$1201,"&lt;&gt;"&amp;A467)&gt;0,"Sim",""))</f>
        <v/>
      </c>
      <c r="H467" s="16" t="str">
        <f aca="false">IF(N(F467)&gt;0,MAX(H$1:H466)+1,"")</f>
        <v/>
      </c>
      <c r="I467" s="11" t="str">
        <f aca="false">IF(B467="","",IF(INDEX($C$2:$C$1201,MATCH(B467,$B$2:$B$1201,0))&lt;&gt;C467,"Nome diferente em outro deck — revisar",""))</f>
        <v/>
      </c>
      <c r="J467" s="16" t="str">
        <f aca="false">IF(AND(B467&lt;&gt;"",A467=BULK!$A$1,N(F467)&gt;0),MAX(J$1:J466)+1,"")</f>
        <v/>
      </c>
      <c r="K467" s="11" t="str">
        <f aca="false">IF(B467="","",IFERROR(LEFT(B467,FIND("-",B467)-1),B467))</f>
        <v/>
      </c>
      <c r="L467" s="11" t="str">
        <f aca="false">IF(K467="","",IF(ISNUMBER(--MID(K467,1,1)),0,IF(ISNUMBER(--MID(K467,2,1)),1,IF(ISNUMBER(--MID(K467,3,1)),2,IF(ISNUMBER(--MID(K467,4,1)),3,MIN(LEN(K467),4))))))</f>
        <v/>
      </c>
      <c r="M467" s="11" t="str">
        <f aca="false">IF(B467="","",LEFT(K467,L467)&amp;REPT("0",4-L467)&amp;RIGHT("000"&amp;IFERROR(VALUE(MID(K467,L467+1,9)),0),3)&amp;RIGHT("0000"&amp;IFERROR(VALUE(MID(B467,FIND("-",B467)+1,9)),0),4))</f>
        <v/>
      </c>
      <c r="N467" s="11" t="str">
        <f aca="false">IF(OR(B467="",N(F467)&lt;=0),"",IF('FALTAS POR DECK'!$P$1="Código","K"&amp;M467&amp;RIGHT("00000"&amp;ROW(),5),IF('FALTAS POR DECK'!$P$1="Nome","K"&amp;UPPER(SUBSTITUTE(SUBSTITUTE(SUBSTITUTE(C467,"*",""),"?",""),"~",""))&amp;"0"&amp;M467&amp;RIGHT("00000"&amp;ROW(),5),IF('FALTAS POR DECK'!$P$1="Falta (maior primeiro)","K"&amp;RIGHT("0000"&amp;(9999-F467),4)&amp;M467&amp;RIGHT("00000"&amp;ROW(),5),IF('FALTAS POR DECK'!$P$1="Deck e código","K"&amp;RIGHT("00"&amp;IFERROR(MATCH(A467,_LEITURA!$P$2:$P$21,0),99),2)&amp;M467&amp;RIGHT("00000"&amp;ROW(),5),"K"&amp;RIGHT("00000"&amp;ROW(),5))))))</f>
        <v/>
      </c>
      <c r="O467" s="16" t="str">
        <f aca="false">IF(N467="","",COUNTIFS($N$2:$N$1201,"&lt;"&amp;N467,$F$2:$F$1201,"&gt;0")+1)</f>
        <v/>
      </c>
    </row>
    <row r="468" customFormat="false" ht="15" hidden="false" customHeight="false" outlineLevel="0" collapsed="false">
      <c r="A468" s="11" t="str">
        <f aca="false">IF(_LEITURA!$N468="","",INDEX(_LEITURA!$K$2:$K$1201,_LEITURA!$N468))</f>
        <v/>
      </c>
      <c r="B468" s="11" t="str">
        <f aca="false">IF(_LEITURA!$N468="","",INDEX(_LEITURA!$E$2:$E$1201,_LEITURA!$N468))</f>
        <v/>
      </c>
      <c r="C468" s="11" t="str">
        <f aca="false">IF(_LEITURA!$N468="","",INDEX(_LEITURA!$J$2:$J$1201,_LEITURA!$N468))</f>
        <v/>
      </c>
      <c r="D468" s="16" t="str">
        <f aca="false">IF(_LEITURA!$N468="","",INDEX(_LEITURA!$G$2:$G$1201,_LEITURA!$N468))</f>
        <v/>
      </c>
      <c r="E468" s="16" t="str">
        <f aca="false">IF(B468="","",SUMIFS(INVENTÁRIO!$C$2:$C$801,INVENTÁRIO!$A$2:$A$801,B468))</f>
        <v/>
      </c>
      <c r="F468" s="16" t="str">
        <f aca="false">IF(B468="","",MAX(0,D468-E468))</f>
        <v/>
      </c>
      <c r="G468" s="16" t="str">
        <f aca="false">IF(B468="","",IF(COUNTIFS($B$2:$B$1201,B468,$A$2:$A$1201,"&lt;&gt;"&amp;A468)&gt;0,"Sim",""))</f>
        <v/>
      </c>
      <c r="H468" s="16" t="str">
        <f aca="false">IF(N(F468)&gt;0,MAX(H$1:H467)+1,"")</f>
        <v/>
      </c>
      <c r="I468" s="11" t="str">
        <f aca="false">IF(B468="","",IF(INDEX($C$2:$C$1201,MATCH(B468,$B$2:$B$1201,0))&lt;&gt;C468,"Nome diferente em outro deck — revisar",""))</f>
        <v/>
      </c>
      <c r="J468" s="16" t="str">
        <f aca="false">IF(AND(B468&lt;&gt;"",A468=BULK!$A$1,N(F468)&gt;0),MAX(J$1:J467)+1,"")</f>
        <v/>
      </c>
      <c r="K468" s="11" t="str">
        <f aca="false">IF(B468="","",IFERROR(LEFT(B468,FIND("-",B468)-1),B468))</f>
        <v/>
      </c>
      <c r="L468" s="11" t="str">
        <f aca="false">IF(K468="","",IF(ISNUMBER(--MID(K468,1,1)),0,IF(ISNUMBER(--MID(K468,2,1)),1,IF(ISNUMBER(--MID(K468,3,1)),2,IF(ISNUMBER(--MID(K468,4,1)),3,MIN(LEN(K468),4))))))</f>
        <v/>
      </c>
      <c r="M468" s="11" t="str">
        <f aca="false">IF(B468="","",LEFT(K468,L468)&amp;REPT("0",4-L468)&amp;RIGHT("000"&amp;IFERROR(VALUE(MID(K468,L468+1,9)),0),3)&amp;RIGHT("0000"&amp;IFERROR(VALUE(MID(B468,FIND("-",B468)+1,9)),0),4))</f>
        <v/>
      </c>
      <c r="N468" s="11" t="str">
        <f aca="false">IF(OR(B468="",N(F468)&lt;=0),"",IF('FALTAS POR DECK'!$P$1="Código","K"&amp;M468&amp;RIGHT("00000"&amp;ROW(),5),IF('FALTAS POR DECK'!$P$1="Nome","K"&amp;UPPER(SUBSTITUTE(SUBSTITUTE(SUBSTITUTE(C468,"*",""),"?",""),"~",""))&amp;"0"&amp;M468&amp;RIGHT("00000"&amp;ROW(),5),IF('FALTAS POR DECK'!$P$1="Falta (maior primeiro)","K"&amp;RIGHT("0000"&amp;(9999-F468),4)&amp;M468&amp;RIGHT("00000"&amp;ROW(),5),IF('FALTAS POR DECK'!$P$1="Deck e código","K"&amp;RIGHT("00"&amp;IFERROR(MATCH(A468,_LEITURA!$P$2:$P$21,0),99),2)&amp;M468&amp;RIGHT("00000"&amp;ROW(),5),"K"&amp;RIGHT("00000"&amp;ROW(),5))))))</f>
        <v/>
      </c>
      <c r="O468" s="16" t="str">
        <f aca="false">IF(N468="","",COUNTIFS($N$2:$N$1201,"&lt;"&amp;N468,$F$2:$F$1201,"&gt;0")+1)</f>
        <v/>
      </c>
    </row>
    <row r="469" customFormat="false" ht="15" hidden="false" customHeight="false" outlineLevel="0" collapsed="false">
      <c r="A469" s="11" t="str">
        <f aca="false">IF(_LEITURA!$N469="","",INDEX(_LEITURA!$K$2:$K$1201,_LEITURA!$N469))</f>
        <v/>
      </c>
      <c r="B469" s="11" t="str">
        <f aca="false">IF(_LEITURA!$N469="","",INDEX(_LEITURA!$E$2:$E$1201,_LEITURA!$N469))</f>
        <v/>
      </c>
      <c r="C469" s="11" t="str">
        <f aca="false">IF(_LEITURA!$N469="","",INDEX(_LEITURA!$J$2:$J$1201,_LEITURA!$N469))</f>
        <v/>
      </c>
      <c r="D469" s="16" t="str">
        <f aca="false">IF(_LEITURA!$N469="","",INDEX(_LEITURA!$G$2:$G$1201,_LEITURA!$N469))</f>
        <v/>
      </c>
      <c r="E469" s="16" t="str">
        <f aca="false">IF(B469="","",SUMIFS(INVENTÁRIO!$C$2:$C$801,INVENTÁRIO!$A$2:$A$801,B469))</f>
        <v/>
      </c>
      <c r="F469" s="16" t="str">
        <f aca="false">IF(B469="","",MAX(0,D469-E469))</f>
        <v/>
      </c>
      <c r="G469" s="16" t="str">
        <f aca="false">IF(B469="","",IF(COUNTIFS($B$2:$B$1201,B469,$A$2:$A$1201,"&lt;&gt;"&amp;A469)&gt;0,"Sim",""))</f>
        <v/>
      </c>
      <c r="H469" s="16" t="str">
        <f aca="false">IF(N(F469)&gt;0,MAX(H$1:H468)+1,"")</f>
        <v/>
      </c>
      <c r="I469" s="11" t="str">
        <f aca="false">IF(B469="","",IF(INDEX($C$2:$C$1201,MATCH(B469,$B$2:$B$1201,0))&lt;&gt;C469,"Nome diferente em outro deck — revisar",""))</f>
        <v/>
      </c>
      <c r="J469" s="16" t="str">
        <f aca="false">IF(AND(B469&lt;&gt;"",A469=BULK!$A$1,N(F469)&gt;0),MAX(J$1:J468)+1,"")</f>
        <v/>
      </c>
      <c r="K469" s="11" t="str">
        <f aca="false">IF(B469="","",IFERROR(LEFT(B469,FIND("-",B469)-1),B469))</f>
        <v/>
      </c>
      <c r="L469" s="11" t="str">
        <f aca="false">IF(K469="","",IF(ISNUMBER(--MID(K469,1,1)),0,IF(ISNUMBER(--MID(K469,2,1)),1,IF(ISNUMBER(--MID(K469,3,1)),2,IF(ISNUMBER(--MID(K469,4,1)),3,MIN(LEN(K469),4))))))</f>
        <v/>
      </c>
      <c r="M469" s="11" t="str">
        <f aca="false">IF(B469="","",LEFT(K469,L469)&amp;REPT("0",4-L469)&amp;RIGHT("000"&amp;IFERROR(VALUE(MID(K469,L469+1,9)),0),3)&amp;RIGHT("0000"&amp;IFERROR(VALUE(MID(B469,FIND("-",B469)+1,9)),0),4))</f>
        <v/>
      </c>
      <c r="N469" s="11" t="str">
        <f aca="false">IF(OR(B469="",N(F469)&lt;=0),"",IF('FALTAS POR DECK'!$P$1="Código","K"&amp;M469&amp;RIGHT("00000"&amp;ROW(),5),IF('FALTAS POR DECK'!$P$1="Nome","K"&amp;UPPER(SUBSTITUTE(SUBSTITUTE(SUBSTITUTE(C469,"*",""),"?",""),"~",""))&amp;"0"&amp;M469&amp;RIGHT("00000"&amp;ROW(),5),IF('FALTAS POR DECK'!$P$1="Falta (maior primeiro)","K"&amp;RIGHT("0000"&amp;(9999-F469),4)&amp;M469&amp;RIGHT("00000"&amp;ROW(),5),IF('FALTAS POR DECK'!$P$1="Deck e código","K"&amp;RIGHT("00"&amp;IFERROR(MATCH(A469,_LEITURA!$P$2:$P$21,0),99),2)&amp;M469&amp;RIGHT("00000"&amp;ROW(),5),"K"&amp;RIGHT("00000"&amp;ROW(),5))))))</f>
        <v/>
      </c>
      <c r="O469" s="16" t="str">
        <f aca="false">IF(N469="","",COUNTIFS($N$2:$N$1201,"&lt;"&amp;N469,$F$2:$F$1201,"&gt;0")+1)</f>
        <v/>
      </c>
    </row>
    <row r="470" customFormat="false" ht="15" hidden="false" customHeight="false" outlineLevel="0" collapsed="false">
      <c r="A470" s="11" t="str">
        <f aca="false">IF(_LEITURA!$N470="","",INDEX(_LEITURA!$K$2:$K$1201,_LEITURA!$N470))</f>
        <v/>
      </c>
      <c r="B470" s="11" t="str">
        <f aca="false">IF(_LEITURA!$N470="","",INDEX(_LEITURA!$E$2:$E$1201,_LEITURA!$N470))</f>
        <v/>
      </c>
      <c r="C470" s="11" t="str">
        <f aca="false">IF(_LEITURA!$N470="","",INDEX(_LEITURA!$J$2:$J$1201,_LEITURA!$N470))</f>
        <v/>
      </c>
      <c r="D470" s="16" t="str">
        <f aca="false">IF(_LEITURA!$N470="","",INDEX(_LEITURA!$G$2:$G$1201,_LEITURA!$N470))</f>
        <v/>
      </c>
      <c r="E470" s="16" t="str">
        <f aca="false">IF(B470="","",SUMIFS(INVENTÁRIO!$C$2:$C$801,INVENTÁRIO!$A$2:$A$801,B470))</f>
        <v/>
      </c>
      <c r="F470" s="16" t="str">
        <f aca="false">IF(B470="","",MAX(0,D470-E470))</f>
        <v/>
      </c>
      <c r="G470" s="16" t="str">
        <f aca="false">IF(B470="","",IF(COUNTIFS($B$2:$B$1201,B470,$A$2:$A$1201,"&lt;&gt;"&amp;A470)&gt;0,"Sim",""))</f>
        <v/>
      </c>
      <c r="H470" s="16" t="str">
        <f aca="false">IF(N(F470)&gt;0,MAX(H$1:H469)+1,"")</f>
        <v/>
      </c>
      <c r="I470" s="11" t="str">
        <f aca="false">IF(B470="","",IF(INDEX($C$2:$C$1201,MATCH(B470,$B$2:$B$1201,0))&lt;&gt;C470,"Nome diferente em outro deck — revisar",""))</f>
        <v/>
      </c>
      <c r="J470" s="16" t="str">
        <f aca="false">IF(AND(B470&lt;&gt;"",A470=BULK!$A$1,N(F470)&gt;0),MAX(J$1:J469)+1,"")</f>
        <v/>
      </c>
      <c r="K470" s="11" t="str">
        <f aca="false">IF(B470="","",IFERROR(LEFT(B470,FIND("-",B470)-1),B470))</f>
        <v/>
      </c>
      <c r="L470" s="11" t="str">
        <f aca="false">IF(K470="","",IF(ISNUMBER(--MID(K470,1,1)),0,IF(ISNUMBER(--MID(K470,2,1)),1,IF(ISNUMBER(--MID(K470,3,1)),2,IF(ISNUMBER(--MID(K470,4,1)),3,MIN(LEN(K470),4))))))</f>
        <v/>
      </c>
      <c r="M470" s="11" t="str">
        <f aca="false">IF(B470="","",LEFT(K470,L470)&amp;REPT("0",4-L470)&amp;RIGHT("000"&amp;IFERROR(VALUE(MID(K470,L470+1,9)),0),3)&amp;RIGHT("0000"&amp;IFERROR(VALUE(MID(B470,FIND("-",B470)+1,9)),0),4))</f>
        <v/>
      </c>
      <c r="N470" s="11" t="str">
        <f aca="false">IF(OR(B470="",N(F470)&lt;=0),"",IF('FALTAS POR DECK'!$P$1="Código","K"&amp;M470&amp;RIGHT("00000"&amp;ROW(),5),IF('FALTAS POR DECK'!$P$1="Nome","K"&amp;UPPER(SUBSTITUTE(SUBSTITUTE(SUBSTITUTE(C470,"*",""),"?",""),"~",""))&amp;"0"&amp;M470&amp;RIGHT("00000"&amp;ROW(),5),IF('FALTAS POR DECK'!$P$1="Falta (maior primeiro)","K"&amp;RIGHT("0000"&amp;(9999-F470),4)&amp;M470&amp;RIGHT("00000"&amp;ROW(),5),IF('FALTAS POR DECK'!$P$1="Deck e código","K"&amp;RIGHT("00"&amp;IFERROR(MATCH(A470,_LEITURA!$P$2:$P$21,0),99),2)&amp;M470&amp;RIGHT("00000"&amp;ROW(),5),"K"&amp;RIGHT("00000"&amp;ROW(),5))))))</f>
        <v/>
      </c>
      <c r="O470" s="16" t="str">
        <f aca="false">IF(N470="","",COUNTIFS($N$2:$N$1201,"&lt;"&amp;N470,$F$2:$F$1201,"&gt;0")+1)</f>
        <v/>
      </c>
    </row>
    <row r="471" customFormat="false" ht="15" hidden="false" customHeight="false" outlineLevel="0" collapsed="false">
      <c r="A471" s="11" t="str">
        <f aca="false">IF(_LEITURA!$N471="","",INDEX(_LEITURA!$K$2:$K$1201,_LEITURA!$N471))</f>
        <v/>
      </c>
      <c r="B471" s="11" t="str">
        <f aca="false">IF(_LEITURA!$N471="","",INDEX(_LEITURA!$E$2:$E$1201,_LEITURA!$N471))</f>
        <v/>
      </c>
      <c r="C471" s="11" t="str">
        <f aca="false">IF(_LEITURA!$N471="","",INDEX(_LEITURA!$J$2:$J$1201,_LEITURA!$N471))</f>
        <v/>
      </c>
      <c r="D471" s="16" t="str">
        <f aca="false">IF(_LEITURA!$N471="","",INDEX(_LEITURA!$G$2:$G$1201,_LEITURA!$N471))</f>
        <v/>
      </c>
      <c r="E471" s="16" t="str">
        <f aca="false">IF(B471="","",SUMIFS(INVENTÁRIO!$C$2:$C$801,INVENTÁRIO!$A$2:$A$801,B471))</f>
        <v/>
      </c>
      <c r="F471" s="16" t="str">
        <f aca="false">IF(B471="","",MAX(0,D471-E471))</f>
        <v/>
      </c>
      <c r="G471" s="16" t="str">
        <f aca="false">IF(B471="","",IF(COUNTIFS($B$2:$B$1201,B471,$A$2:$A$1201,"&lt;&gt;"&amp;A471)&gt;0,"Sim",""))</f>
        <v/>
      </c>
      <c r="H471" s="16" t="str">
        <f aca="false">IF(N(F471)&gt;0,MAX(H$1:H470)+1,"")</f>
        <v/>
      </c>
      <c r="I471" s="11" t="str">
        <f aca="false">IF(B471="","",IF(INDEX($C$2:$C$1201,MATCH(B471,$B$2:$B$1201,0))&lt;&gt;C471,"Nome diferente em outro deck — revisar",""))</f>
        <v/>
      </c>
      <c r="J471" s="16" t="str">
        <f aca="false">IF(AND(B471&lt;&gt;"",A471=BULK!$A$1,N(F471)&gt;0),MAX(J$1:J470)+1,"")</f>
        <v/>
      </c>
      <c r="K471" s="11" t="str">
        <f aca="false">IF(B471="","",IFERROR(LEFT(B471,FIND("-",B471)-1),B471))</f>
        <v/>
      </c>
      <c r="L471" s="11" t="str">
        <f aca="false">IF(K471="","",IF(ISNUMBER(--MID(K471,1,1)),0,IF(ISNUMBER(--MID(K471,2,1)),1,IF(ISNUMBER(--MID(K471,3,1)),2,IF(ISNUMBER(--MID(K471,4,1)),3,MIN(LEN(K471),4))))))</f>
        <v/>
      </c>
      <c r="M471" s="11" t="str">
        <f aca="false">IF(B471="","",LEFT(K471,L471)&amp;REPT("0",4-L471)&amp;RIGHT("000"&amp;IFERROR(VALUE(MID(K471,L471+1,9)),0),3)&amp;RIGHT("0000"&amp;IFERROR(VALUE(MID(B471,FIND("-",B471)+1,9)),0),4))</f>
        <v/>
      </c>
      <c r="N471" s="11" t="str">
        <f aca="false">IF(OR(B471="",N(F471)&lt;=0),"",IF('FALTAS POR DECK'!$P$1="Código","K"&amp;M471&amp;RIGHT("00000"&amp;ROW(),5),IF('FALTAS POR DECK'!$P$1="Nome","K"&amp;UPPER(SUBSTITUTE(SUBSTITUTE(SUBSTITUTE(C471,"*",""),"?",""),"~",""))&amp;"0"&amp;M471&amp;RIGHT("00000"&amp;ROW(),5),IF('FALTAS POR DECK'!$P$1="Falta (maior primeiro)","K"&amp;RIGHT("0000"&amp;(9999-F471),4)&amp;M471&amp;RIGHT("00000"&amp;ROW(),5),IF('FALTAS POR DECK'!$P$1="Deck e código","K"&amp;RIGHT("00"&amp;IFERROR(MATCH(A471,_LEITURA!$P$2:$P$21,0),99),2)&amp;M471&amp;RIGHT("00000"&amp;ROW(),5),"K"&amp;RIGHT("00000"&amp;ROW(),5))))))</f>
        <v/>
      </c>
      <c r="O471" s="16" t="str">
        <f aca="false">IF(N471="","",COUNTIFS($N$2:$N$1201,"&lt;"&amp;N471,$F$2:$F$1201,"&gt;0")+1)</f>
        <v/>
      </c>
    </row>
    <row r="472" customFormat="false" ht="15" hidden="false" customHeight="false" outlineLevel="0" collapsed="false">
      <c r="A472" s="11" t="str">
        <f aca="false">IF(_LEITURA!$N472="","",INDEX(_LEITURA!$K$2:$K$1201,_LEITURA!$N472))</f>
        <v/>
      </c>
      <c r="B472" s="11" t="str">
        <f aca="false">IF(_LEITURA!$N472="","",INDEX(_LEITURA!$E$2:$E$1201,_LEITURA!$N472))</f>
        <v/>
      </c>
      <c r="C472" s="11" t="str">
        <f aca="false">IF(_LEITURA!$N472="","",INDEX(_LEITURA!$J$2:$J$1201,_LEITURA!$N472))</f>
        <v/>
      </c>
      <c r="D472" s="16" t="str">
        <f aca="false">IF(_LEITURA!$N472="","",INDEX(_LEITURA!$G$2:$G$1201,_LEITURA!$N472))</f>
        <v/>
      </c>
      <c r="E472" s="16" t="str">
        <f aca="false">IF(B472="","",SUMIFS(INVENTÁRIO!$C$2:$C$801,INVENTÁRIO!$A$2:$A$801,B472))</f>
        <v/>
      </c>
      <c r="F472" s="16" t="str">
        <f aca="false">IF(B472="","",MAX(0,D472-E472))</f>
        <v/>
      </c>
      <c r="G472" s="16" t="str">
        <f aca="false">IF(B472="","",IF(COUNTIFS($B$2:$B$1201,B472,$A$2:$A$1201,"&lt;&gt;"&amp;A472)&gt;0,"Sim",""))</f>
        <v/>
      </c>
      <c r="H472" s="16" t="str">
        <f aca="false">IF(N(F472)&gt;0,MAX(H$1:H471)+1,"")</f>
        <v/>
      </c>
      <c r="I472" s="11" t="str">
        <f aca="false">IF(B472="","",IF(INDEX($C$2:$C$1201,MATCH(B472,$B$2:$B$1201,0))&lt;&gt;C472,"Nome diferente em outro deck — revisar",""))</f>
        <v/>
      </c>
      <c r="J472" s="16" t="str">
        <f aca="false">IF(AND(B472&lt;&gt;"",A472=BULK!$A$1,N(F472)&gt;0),MAX(J$1:J471)+1,"")</f>
        <v/>
      </c>
      <c r="K472" s="11" t="str">
        <f aca="false">IF(B472="","",IFERROR(LEFT(B472,FIND("-",B472)-1),B472))</f>
        <v/>
      </c>
      <c r="L472" s="11" t="str">
        <f aca="false">IF(K472="","",IF(ISNUMBER(--MID(K472,1,1)),0,IF(ISNUMBER(--MID(K472,2,1)),1,IF(ISNUMBER(--MID(K472,3,1)),2,IF(ISNUMBER(--MID(K472,4,1)),3,MIN(LEN(K472),4))))))</f>
        <v/>
      </c>
      <c r="M472" s="11" t="str">
        <f aca="false">IF(B472="","",LEFT(K472,L472)&amp;REPT("0",4-L472)&amp;RIGHT("000"&amp;IFERROR(VALUE(MID(K472,L472+1,9)),0),3)&amp;RIGHT("0000"&amp;IFERROR(VALUE(MID(B472,FIND("-",B472)+1,9)),0),4))</f>
        <v/>
      </c>
      <c r="N472" s="11" t="str">
        <f aca="false">IF(OR(B472="",N(F472)&lt;=0),"",IF('FALTAS POR DECK'!$P$1="Código","K"&amp;M472&amp;RIGHT("00000"&amp;ROW(),5),IF('FALTAS POR DECK'!$P$1="Nome","K"&amp;UPPER(SUBSTITUTE(SUBSTITUTE(SUBSTITUTE(C472,"*",""),"?",""),"~",""))&amp;"0"&amp;M472&amp;RIGHT("00000"&amp;ROW(),5),IF('FALTAS POR DECK'!$P$1="Falta (maior primeiro)","K"&amp;RIGHT("0000"&amp;(9999-F472),4)&amp;M472&amp;RIGHT("00000"&amp;ROW(),5),IF('FALTAS POR DECK'!$P$1="Deck e código","K"&amp;RIGHT("00"&amp;IFERROR(MATCH(A472,_LEITURA!$P$2:$P$21,0),99),2)&amp;M472&amp;RIGHT("00000"&amp;ROW(),5),"K"&amp;RIGHT("00000"&amp;ROW(),5))))))</f>
        <v/>
      </c>
      <c r="O472" s="16" t="str">
        <f aca="false">IF(N472="","",COUNTIFS($N$2:$N$1201,"&lt;"&amp;N472,$F$2:$F$1201,"&gt;0")+1)</f>
        <v/>
      </c>
    </row>
    <row r="473" customFormat="false" ht="15" hidden="false" customHeight="false" outlineLevel="0" collapsed="false">
      <c r="A473" s="11" t="str">
        <f aca="false">IF(_LEITURA!$N473="","",INDEX(_LEITURA!$K$2:$K$1201,_LEITURA!$N473))</f>
        <v/>
      </c>
      <c r="B473" s="11" t="str">
        <f aca="false">IF(_LEITURA!$N473="","",INDEX(_LEITURA!$E$2:$E$1201,_LEITURA!$N473))</f>
        <v/>
      </c>
      <c r="C473" s="11" t="str">
        <f aca="false">IF(_LEITURA!$N473="","",INDEX(_LEITURA!$J$2:$J$1201,_LEITURA!$N473))</f>
        <v/>
      </c>
      <c r="D473" s="16" t="str">
        <f aca="false">IF(_LEITURA!$N473="","",INDEX(_LEITURA!$G$2:$G$1201,_LEITURA!$N473))</f>
        <v/>
      </c>
      <c r="E473" s="16" t="str">
        <f aca="false">IF(B473="","",SUMIFS(INVENTÁRIO!$C$2:$C$801,INVENTÁRIO!$A$2:$A$801,B473))</f>
        <v/>
      </c>
      <c r="F473" s="16" t="str">
        <f aca="false">IF(B473="","",MAX(0,D473-E473))</f>
        <v/>
      </c>
      <c r="G473" s="16" t="str">
        <f aca="false">IF(B473="","",IF(COUNTIFS($B$2:$B$1201,B473,$A$2:$A$1201,"&lt;&gt;"&amp;A473)&gt;0,"Sim",""))</f>
        <v/>
      </c>
      <c r="H473" s="16" t="str">
        <f aca="false">IF(N(F473)&gt;0,MAX(H$1:H472)+1,"")</f>
        <v/>
      </c>
      <c r="I473" s="11" t="str">
        <f aca="false">IF(B473="","",IF(INDEX($C$2:$C$1201,MATCH(B473,$B$2:$B$1201,0))&lt;&gt;C473,"Nome diferente em outro deck — revisar",""))</f>
        <v/>
      </c>
      <c r="J473" s="16" t="str">
        <f aca="false">IF(AND(B473&lt;&gt;"",A473=BULK!$A$1,N(F473)&gt;0),MAX(J$1:J472)+1,"")</f>
        <v/>
      </c>
      <c r="K473" s="11" t="str">
        <f aca="false">IF(B473="","",IFERROR(LEFT(B473,FIND("-",B473)-1),B473))</f>
        <v/>
      </c>
      <c r="L473" s="11" t="str">
        <f aca="false">IF(K473="","",IF(ISNUMBER(--MID(K473,1,1)),0,IF(ISNUMBER(--MID(K473,2,1)),1,IF(ISNUMBER(--MID(K473,3,1)),2,IF(ISNUMBER(--MID(K473,4,1)),3,MIN(LEN(K473),4))))))</f>
        <v/>
      </c>
      <c r="M473" s="11" t="str">
        <f aca="false">IF(B473="","",LEFT(K473,L473)&amp;REPT("0",4-L473)&amp;RIGHT("000"&amp;IFERROR(VALUE(MID(K473,L473+1,9)),0),3)&amp;RIGHT("0000"&amp;IFERROR(VALUE(MID(B473,FIND("-",B473)+1,9)),0),4))</f>
        <v/>
      </c>
      <c r="N473" s="11" t="str">
        <f aca="false">IF(OR(B473="",N(F473)&lt;=0),"",IF('FALTAS POR DECK'!$P$1="Código","K"&amp;M473&amp;RIGHT("00000"&amp;ROW(),5),IF('FALTAS POR DECK'!$P$1="Nome","K"&amp;UPPER(SUBSTITUTE(SUBSTITUTE(SUBSTITUTE(C473,"*",""),"?",""),"~",""))&amp;"0"&amp;M473&amp;RIGHT("00000"&amp;ROW(),5),IF('FALTAS POR DECK'!$P$1="Falta (maior primeiro)","K"&amp;RIGHT("0000"&amp;(9999-F473),4)&amp;M473&amp;RIGHT("00000"&amp;ROW(),5),IF('FALTAS POR DECK'!$P$1="Deck e código","K"&amp;RIGHT("00"&amp;IFERROR(MATCH(A473,_LEITURA!$P$2:$P$21,0),99),2)&amp;M473&amp;RIGHT("00000"&amp;ROW(),5),"K"&amp;RIGHT("00000"&amp;ROW(),5))))))</f>
        <v/>
      </c>
      <c r="O473" s="16" t="str">
        <f aca="false">IF(N473="","",COUNTIFS($N$2:$N$1201,"&lt;"&amp;N473,$F$2:$F$1201,"&gt;0")+1)</f>
        <v/>
      </c>
    </row>
    <row r="474" customFormat="false" ht="15" hidden="false" customHeight="false" outlineLevel="0" collapsed="false">
      <c r="A474" s="11" t="str">
        <f aca="false">IF(_LEITURA!$N474="","",INDEX(_LEITURA!$K$2:$K$1201,_LEITURA!$N474))</f>
        <v/>
      </c>
      <c r="B474" s="11" t="str">
        <f aca="false">IF(_LEITURA!$N474="","",INDEX(_LEITURA!$E$2:$E$1201,_LEITURA!$N474))</f>
        <v/>
      </c>
      <c r="C474" s="11" t="str">
        <f aca="false">IF(_LEITURA!$N474="","",INDEX(_LEITURA!$J$2:$J$1201,_LEITURA!$N474))</f>
        <v/>
      </c>
      <c r="D474" s="16" t="str">
        <f aca="false">IF(_LEITURA!$N474="","",INDEX(_LEITURA!$G$2:$G$1201,_LEITURA!$N474))</f>
        <v/>
      </c>
      <c r="E474" s="16" t="str">
        <f aca="false">IF(B474="","",SUMIFS(INVENTÁRIO!$C$2:$C$801,INVENTÁRIO!$A$2:$A$801,B474))</f>
        <v/>
      </c>
      <c r="F474" s="16" t="str">
        <f aca="false">IF(B474="","",MAX(0,D474-E474))</f>
        <v/>
      </c>
      <c r="G474" s="16" t="str">
        <f aca="false">IF(B474="","",IF(COUNTIFS($B$2:$B$1201,B474,$A$2:$A$1201,"&lt;&gt;"&amp;A474)&gt;0,"Sim",""))</f>
        <v/>
      </c>
      <c r="H474" s="16" t="str">
        <f aca="false">IF(N(F474)&gt;0,MAX(H$1:H473)+1,"")</f>
        <v/>
      </c>
      <c r="I474" s="11" t="str">
        <f aca="false">IF(B474="","",IF(INDEX($C$2:$C$1201,MATCH(B474,$B$2:$B$1201,0))&lt;&gt;C474,"Nome diferente em outro deck — revisar",""))</f>
        <v/>
      </c>
      <c r="J474" s="16" t="str">
        <f aca="false">IF(AND(B474&lt;&gt;"",A474=BULK!$A$1,N(F474)&gt;0),MAX(J$1:J473)+1,"")</f>
        <v/>
      </c>
      <c r="K474" s="11" t="str">
        <f aca="false">IF(B474="","",IFERROR(LEFT(B474,FIND("-",B474)-1),B474))</f>
        <v/>
      </c>
      <c r="L474" s="11" t="str">
        <f aca="false">IF(K474="","",IF(ISNUMBER(--MID(K474,1,1)),0,IF(ISNUMBER(--MID(K474,2,1)),1,IF(ISNUMBER(--MID(K474,3,1)),2,IF(ISNUMBER(--MID(K474,4,1)),3,MIN(LEN(K474),4))))))</f>
        <v/>
      </c>
      <c r="M474" s="11" t="str">
        <f aca="false">IF(B474="","",LEFT(K474,L474)&amp;REPT("0",4-L474)&amp;RIGHT("000"&amp;IFERROR(VALUE(MID(K474,L474+1,9)),0),3)&amp;RIGHT("0000"&amp;IFERROR(VALUE(MID(B474,FIND("-",B474)+1,9)),0),4))</f>
        <v/>
      </c>
      <c r="N474" s="11" t="str">
        <f aca="false">IF(OR(B474="",N(F474)&lt;=0),"",IF('FALTAS POR DECK'!$P$1="Código","K"&amp;M474&amp;RIGHT("00000"&amp;ROW(),5),IF('FALTAS POR DECK'!$P$1="Nome","K"&amp;UPPER(SUBSTITUTE(SUBSTITUTE(SUBSTITUTE(C474,"*",""),"?",""),"~",""))&amp;"0"&amp;M474&amp;RIGHT("00000"&amp;ROW(),5),IF('FALTAS POR DECK'!$P$1="Falta (maior primeiro)","K"&amp;RIGHT("0000"&amp;(9999-F474),4)&amp;M474&amp;RIGHT("00000"&amp;ROW(),5),IF('FALTAS POR DECK'!$P$1="Deck e código","K"&amp;RIGHT("00"&amp;IFERROR(MATCH(A474,_LEITURA!$P$2:$P$21,0),99),2)&amp;M474&amp;RIGHT("00000"&amp;ROW(),5),"K"&amp;RIGHT("00000"&amp;ROW(),5))))))</f>
        <v/>
      </c>
      <c r="O474" s="16" t="str">
        <f aca="false">IF(N474="","",COUNTIFS($N$2:$N$1201,"&lt;"&amp;N474,$F$2:$F$1201,"&gt;0")+1)</f>
        <v/>
      </c>
    </row>
    <row r="475" customFormat="false" ht="15" hidden="false" customHeight="false" outlineLevel="0" collapsed="false">
      <c r="A475" s="11" t="str">
        <f aca="false">IF(_LEITURA!$N475="","",INDEX(_LEITURA!$K$2:$K$1201,_LEITURA!$N475))</f>
        <v/>
      </c>
      <c r="B475" s="11" t="str">
        <f aca="false">IF(_LEITURA!$N475="","",INDEX(_LEITURA!$E$2:$E$1201,_LEITURA!$N475))</f>
        <v/>
      </c>
      <c r="C475" s="11" t="str">
        <f aca="false">IF(_LEITURA!$N475="","",INDEX(_LEITURA!$J$2:$J$1201,_LEITURA!$N475))</f>
        <v/>
      </c>
      <c r="D475" s="16" t="str">
        <f aca="false">IF(_LEITURA!$N475="","",INDEX(_LEITURA!$G$2:$G$1201,_LEITURA!$N475))</f>
        <v/>
      </c>
      <c r="E475" s="16" t="str">
        <f aca="false">IF(B475="","",SUMIFS(INVENTÁRIO!$C$2:$C$801,INVENTÁRIO!$A$2:$A$801,B475))</f>
        <v/>
      </c>
      <c r="F475" s="16" t="str">
        <f aca="false">IF(B475="","",MAX(0,D475-E475))</f>
        <v/>
      </c>
      <c r="G475" s="16" t="str">
        <f aca="false">IF(B475="","",IF(COUNTIFS($B$2:$B$1201,B475,$A$2:$A$1201,"&lt;&gt;"&amp;A475)&gt;0,"Sim",""))</f>
        <v/>
      </c>
      <c r="H475" s="16" t="str">
        <f aca="false">IF(N(F475)&gt;0,MAX(H$1:H474)+1,"")</f>
        <v/>
      </c>
      <c r="I475" s="11" t="str">
        <f aca="false">IF(B475="","",IF(INDEX($C$2:$C$1201,MATCH(B475,$B$2:$B$1201,0))&lt;&gt;C475,"Nome diferente em outro deck — revisar",""))</f>
        <v/>
      </c>
      <c r="J475" s="16" t="str">
        <f aca="false">IF(AND(B475&lt;&gt;"",A475=BULK!$A$1,N(F475)&gt;0),MAX(J$1:J474)+1,"")</f>
        <v/>
      </c>
      <c r="K475" s="11" t="str">
        <f aca="false">IF(B475="","",IFERROR(LEFT(B475,FIND("-",B475)-1),B475))</f>
        <v/>
      </c>
      <c r="L475" s="11" t="str">
        <f aca="false">IF(K475="","",IF(ISNUMBER(--MID(K475,1,1)),0,IF(ISNUMBER(--MID(K475,2,1)),1,IF(ISNUMBER(--MID(K475,3,1)),2,IF(ISNUMBER(--MID(K475,4,1)),3,MIN(LEN(K475),4))))))</f>
        <v/>
      </c>
      <c r="M475" s="11" t="str">
        <f aca="false">IF(B475="","",LEFT(K475,L475)&amp;REPT("0",4-L475)&amp;RIGHT("000"&amp;IFERROR(VALUE(MID(K475,L475+1,9)),0),3)&amp;RIGHT("0000"&amp;IFERROR(VALUE(MID(B475,FIND("-",B475)+1,9)),0),4))</f>
        <v/>
      </c>
      <c r="N475" s="11" t="str">
        <f aca="false">IF(OR(B475="",N(F475)&lt;=0),"",IF('FALTAS POR DECK'!$P$1="Código","K"&amp;M475&amp;RIGHT("00000"&amp;ROW(),5),IF('FALTAS POR DECK'!$P$1="Nome","K"&amp;UPPER(SUBSTITUTE(SUBSTITUTE(SUBSTITUTE(C475,"*",""),"?",""),"~",""))&amp;"0"&amp;M475&amp;RIGHT("00000"&amp;ROW(),5),IF('FALTAS POR DECK'!$P$1="Falta (maior primeiro)","K"&amp;RIGHT("0000"&amp;(9999-F475),4)&amp;M475&amp;RIGHT("00000"&amp;ROW(),5),IF('FALTAS POR DECK'!$P$1="Deck e código","K"&amp;RIGHT("00"&amp;IFERROR(MATCH(A475,_LEITURA!$P$2:$P$21,0),99),2)&amp;M475&amp;RIGHT("00000"&amp;ROW(),5),"K"&amp;RIGHT("00000"&amp;ROW(),5))))))</f>
        <v/>
      </c>
      <c r="O475" s="16" t="str">
        <f aca="false">IF(N475="","",COUNTIFS($N$2:$N$1201,"&lt;"&amp;N475,$F$2:$F$1201,"&gt;0")+1)</f>
        <v/>
      </c>
    </row>
    <row r="476" customFormat="false" ht="15" hidden="false" customHeight="false" outlineLevel="0" collapsed="false">
      <c r="A476" s="11" t="str">
        <f aca="false">IF(_LEITURA!$N476="","",INDEX(_LEITURA!$K$2:$K$1201,_LEITURA!$N476))</f>
        <v/>
      </c>
      <c r="B476" s="11" t="str">
        <f aca="false">IF(_LEITURA!$N476="","",INDEX(_LEITURA!$E$2:$E$1201,_LEITURA!$N476))</f>
        <v/>
      </c>
      <c r="C476" s="11" t="str">
        <f aca="false">IF(_LEITURA!$N476="","",INDEX(_LEITURA!$J$2:$J$1201,_LEITURA!$N476))</f>
        <v/>
      </c>
      <c r="D476" s="16" t="str">
        <f aca="false">IF(_LEITURA!$N476="","",INDEX(_LEITURA!$G$2:$G$1201,_LEITURA!$N476))</f>
        <v/>
      </c>
      <c r="E476" s="16" t="str">
        <f aca="false">IF(B476="","",SUMIFS(INVENTÁRIO!$C$2:$C$801,INVENTÁRIO!$A$2:$A$801,B476))</f>
        <v/>
      </c>
      <c r="F476" s="16" t="str">
        <f aca="false">IF(B476="","",MAX(0,D476-E476))</f>
        <v/>
      </c>
      <c r="G476" s="16" t="str">
        <f aca="false">IF(B476="","",IF(COUNTIFS($B$2:$B$1201,B476,$A$2:$A$1201,"&lt;&gt;"&amp;A476)&gt;0,"Sim",""))</f>
        <v/>
      </c>
      <c r="H476" s="16" t="str">
        <f aca="false">IF(N(F476)&gt;0,MAX(H$1:H475)+1,"")</f>
        <v/>
      </c>
      <c r="I476" s="11" t="str">
        <f aca="false">IF(B476="","",IF(INDEX($C$2:$C$1201,MATCH(B476,$B$2:$B$1201,0))&lt;&gt;C476,"Nome diferente em outro deck — revisar",""))</f>
        <v/>
      </c>
      <c r="J476" s="16" t="str">
        <f aca="false">IF(AND(B476&lt;&gt;"",A476=BULK!$A$1,N(F476)&gt;0),MAX(J$1:J475)+1,"")</f>
        <v/>
      </c>
      <c r="K476" s="11" t="str">
        <f aca="false">IF(B476="","",IFERROR(LEFT(B476,FIND("-",B476)-1),B476))</f>
        <v/>
      </c>
      <c r="L476" s="11" t="str">
        <f aca="false">IF(K476="","",IF(ISNUMBER(--MID(K476,1,1)),0,IF(ISNUMBER(--MID(K476,2,1)),1,IF(ISNUMBER(--MID(K476,3,1)),2,IF(ISNUMBER(--MID(K476,4,1)),3,MIN(LEN(K476),4))))))</f>
        <v/>
      </c>
      <c r="M476" s="11" t="str">
        <f aca="false">IF(B476="","",LEFT(K476,L476)&amp;REPT("0",4-L476)&amp;RIGHT("000"&amp;IFERROR(VALUE(MID(K476,L476+1,9)),0),3)&amp;RIGHT("0000"&amp;IFERROR(VALUE(MID(B476,FIND("-",B476)+1,9)),0),4))</f>
        <v/>
      </c>
      <c r="N476" s="11" t="str">
        <f aca="false">IF(OR(B476="",N(F476)&lt;=0),"",IF('FALTAS POR DECK'!$P$1="Código","K"&amp;M476&amp;RIGHT("00000"&amp;ROW(),5),IF('FALTAS POR DECK'!$P$1="Nome","K"&amp;UPPER(SUBSTITUTE(SUBSTITUTE(SUBSTITUTE(C476,"*",""),"?",""),"~",""))&amp;"0"&amp;M476&amp;RIGHT("00000"&amp;ROW(),5),IF('FALTAS POR DECK'!$P$1="Falta (maior primeiro)","K"&amp;RIGHT("0000"&amp;(9999-F476),4)&amp;M476&amp;RIGHT("00000"&amp;ROW(),5),IF('FALTAS POR DECK'!$P$1="Deck e código","K"&amp;RIGHT("00"&amp;IFERROR(MATCH(A476,_LEITURA!$P$2:$P$21,0),99),2)&amp;M476&amp;RIGHT("00000"&amp;ROW(),5),"K"&amp;RIGHT("00000"&amp;ROW(),5))))))</f>
        <v/>
      </c>
      <c r="O476" s="16" t="str">
        <f aca="false">IF(N476="","",COUNTIFS($N$2:$N$1201,"&lt;"&amp;N476,$F$2:$F$1201,"&gt;0")+1)</f>
        <v/>
      </c>
    </row>
    <row r="477" customFormat="false" ht="15" hidden="false" customHeight="false" outlineLevel="0" collapsed="false">
      <c r="A477" s="11" t="str">
        <f aca="false">IF(_LEITURA!$N477="","",INDEX(_LEITURA!$K$2:$K$1201,_LEITURA!$N477))</f>
        <v/>
      </c>
      <c r="B477" s="11" t="str">
        <f aca="false">IF(_LEITURA!$N477="","",INDEX(_LEITURA!$E$2:$E$1201,_LEITURA!$N477))</f>
        <v/>
      </c>
      <c r="C477" s="11" t="str">
        <f aca="false">IF(_LEITURA!$N477="","",INDEX(_LEITURA!$J$2:$J$1201,_LEITURA!$N477))</f>
        <v/>
      </c>
      <c r="D477" s="16" t="str">
        <f aca="false">IF(_LEITURA!$N477="","",INDEX(_LEITURA!$G$2:$G$1201,_LEITURA!$N477))</f>
        <v/>
      </c>
      <c r="E477" s="16" t="str">
        <f aca="false">IF(B477="","",SUMIFS(INVENTÁRIO!$C$2:$C$801,INVENTÁRIO!$A$2:$A$801,B477))</f>
        <v/>
      </c>
      <c r="F477" s="16" t="str">
        <f aca="false">IF(B477="","",MAX(0,D477-E477))</f>
        <v/>
      </c>
      <c r="G477" s="16" t="str">
        <f aca="false">IF(B477="","",IF(COUNTIFS($B$2:$B$1201,B477,$A$2:$A$1201,"&lt;&gt;"&amp;A477)&gt;0,"Sim",""))</f>
        <v/>
      </c>
      <c r="H477" s="16" t="str">
        <f aca="false">IF(N(F477)&gt;0,MAX(H$1:H476)+1,"")</f>
        <v/>
      </c>
      <c r="I477" s="11" t="str">
        <f aca="false">IF(B477="","",IF(INDEX($C$2:$C$1201,MATCH(B477,$B$2:$B$1201,0))&lt;&gt;C477,"Nome diferente em outro deck — revisar",""))</f>
        <v/>
      </c>
      <c r="J477" s="16" t="str">
        <f aca="false">IF(AND(B477&lt;&gt;"",A477=BULK!$A$1,N(F477)&gt;0),MAX(J$1:J476)+1,"")</f>
        <v/>
      </c>
      <c r="K477" s="11" t="str">
        <f aca="false">IF(B477="","",IFERROR(LEFT(B477,FIND("-",B477)-1),B477))</f>
        <v/>
      </c>
      <c r="L477" s="11" t="str">
        <f aca="false">IF(K477="","",IF(ISNUMBER(--MID(K477,1,1)),0,IF(ISNUMBER(--MID(K477,2,1)),1,IF(ISNUMBER(--MID(K477,3,1)),2,IF(ISNUMBER(--MID(K477,4,1)),3,MIN(LEN(K477),4))))))</f>
        <v/>
      </c>
      <c r="M477" s="11" t="str">
        <f aca="false">IF(B477="","",LEFT(K477,L477)&amp;REPT("0",4-L477)&amp;RIGHT("000"&amp;IFERROR(VALUE(MID(K477,L477+1,9)),0),3)&amp;RIGHT("0000"&amp;IFERROR(VALUE(MID(B477,FIND("-",B477)+1,9)),0),4))</f>
        <v/>
      </c>
      <c r="N477" s="11" t="str">
        <f aca="false">IF(OR(B477="",N(F477)&lt;=0),"",IF('FALTAS POR DECK'!$P$1="Código","K"&amp;M477&amp;RIGHT("00000"&amp;ROW(),5),IF('FALTAS POR DECK'!$P$1="Nome","K"&amp;UPPER(SUBSTITUTE(SUBSTITUTE(SUBSTITUTE(C477,"*",""),"?",""),"~",""))&amp;"0"&amp;M477&amp;RIGHT("00000"&amp;ROW(),5),IF('FALTAS POR DECK'!$P$1="Falta (maior primeiro)","K"&amp;RIGHT("0000"&amp;(9999-F477),4)&amp;M477&amp;RIGHT("00000"&amp;ROW(),5),IF('FALTAS POR DECK'!$P$1="Deck e código","K"&amp;RIGHT("00"&amp;IFERROR(MATCH(A477,_LEITURA!$P$2:$P$21,0),99),2)&amp;M477&amp;RIGHT("00000"&amp;ROW(),5),"K"&amp;RIGHT("00000"&amp;ROW(),5))))))</f>
        <v/>
      </c>
      <c r="O477" s="16" t="str">
        <f aca="false">IF(N477="","",COUNTIFS($N$2:$N$1201,"&lt;"&amp;N477,$F$2:$F$1201,"&gt;0")+1)</f>
        <v/>
      </c>
    </row>
    <row r="478" customFormat="false" ht="15" hidden="false" customHeight="false" outlineLevel="0" collapsed="false">
      <c r="A478" s="11" t="str">
        <f aca="false">IF(_LEITURA!$N478="","",INDEX(_LEITURA!$K$2:$K$1201,_LEITURA!$N478))</f>
        <v/>
      </c>
      <c r="B478" s="11" t="str">
        <f aca="false">IF(_LEITURA!$N478="","",INDEX(_LEITURA!$E$2:$E$1201,_LEITURA!$N478))</f>
        <v/>
      </c>
      <c r="C478" s="11" t="str">
        <f aca="false">IF(_LEITURA!$N478="","",INDEX(_LEITURA!$J$2:$J$1201,_LEITURA!$N478))</f>
        <v/>
      </c>
      <c r="D478" s="16" t="str">
        <f aca="false">IF(_LEITURA!$N478="","",INDEX(_LEITURA!$G$2:$G$1201,_LEITURA!$N478))</f>
        <v/>
      </c>
      <c r="E478" s="16" t="str">
        <f aca="false">IF(B478="","",SUMIFS(INVENTÁRIO!$C$2:$C$801,INVENTÁRIO!$A$2:$A$801,B478))</f>
        <v/>
      </c>
      <c r="F478" s="16" t="str">
        <f aca="false">IF(B478="","",MAX(0,D478-E478))</f>
        <v/>
      </c>
      <c r="G478" s="16" t="str">
        <f aca="false">IF(B478="","",IF(COUNTIFS($B$2:$B$1201,B478,$A$2:$A$1201,"&lt;&gt;"&amp;A478)&gt;0,"Sim",""))</f>
        <v/>
      </c>
      <c r="H478" s="16" t="str">
        <f aca="false">IF(N(F478)&gt;0,MAX(H$1:H477)+1,"")</f>
        <v/>
      </c>
      <c r="I478" s="11" t="str">
        <f aca="false">IF(B478="","",IF(INDEX($C$2:$C$1201,MATCH(B478,$B$2:$B$1201,0))&lt;&gt;C478,"Nome diferente em outro deck — revisar",""))</f>
        <v/>
      </c>
      <c r="J478" s="16" t="str">
        <f aca="false">IF(AND(B478&lt;&gt;"",A478=BULK!$A$1,N(F478)&gt;0),MAX(J$1:J477)+1,"")</f>
        <v/>
      </c>
      <c r="K478" s="11" t="str">
        <f aca="false">IF(B478="","",IFERROR(LEFT(B478,FIND("-",B478)-1),B478))</f>
        <v/>
      </c>
      <c r="L478" s="11" t="str">
        <f aca="false">IF(K478="","",IF(ISNUMBER(--MID(K478,1,1)),0,IF(ISNUMBER(--MID(K478,2,1)),1,IF(ISNUMBER(--MID(K478,3,1)),2,IF(ISNUMBER(--MID(K478,4,1)),3,MIN(LEN(K478),4))))))</f>
        <v/>
      </c>
      <c r="M478" s="11" t="str">
        <f aca="false">IF(B478="","",LEFT(K478,L478)&amp;REPT("0",4-L478)&amp;RIGHT("000"&amp;IFERROR(VALUE(MID(K478,L478+1,9)),0),3)&amp;RIGHT("0000"&amp;IFERROR(VALUE(MID(B478,FIND("-",B478)+1,9)),0),4))</f>
        <v/>
      </c>
      <c r="N478" s="11" t="str">
        <f aca="false">IF(OR(B478="",N(F478)&lt;=0),"",IF('FALTAS POR DECK'!$P$1="Código","K"&amp;M478&amp;RIGHT("00000"&amp;ROW(),5),IF('FALTAS POR DECK'!$P$1="Nome","K"&amp;UPPER(SUBSTITUTE(SUBSTITUTE(SUBSTITUTE(C478,"*",""),"?",""),"~",""))&amp;"0"&amp;M478&amp;RIGHT("00000"&amp;ROW(),5),IF('FALTAS POR DECK'!$P$1="Falta (maior primeiro)","K"&amp;RIGHT("0000"&amp;(9999-F478),4)&amp;M478&amp;RIGHT("00000"&amp;ROW(),5),IF('FALTAS POR DECK'!$P$1="Deck e código","K"&amp;RIGHT("00"&amp;IFERROR(MATCH(A478,_LEITURA!$P$2:$P$21,0),99),2)&amp;M478&amp;RIGHT("00000"&amp;ROW(),5),"K"&amp;RIGHT("00000"&amp;ROW(),5))))))</f>
        <v/>
      </c>
      <c r="O478" s="16" t="str">
        <f aca="false">IF(N478="","",COUNTIFS($N$2:$N$1201,"&lt;"&amp;N478,$F$2:$F$1201,"&gt;0")+1)</f>
        <v/>
      </c>
    </row>
    <row r="479" customFormat="false" ht="15" hidden="false" customHeight="false" outlineLevel="0" collapsed="false">
      <c r="A479" s="11" t="str">
        <f aca="false">IF(_LEITURA!$N479="","",INDEX(_LEITURA!$K$2:$K$1201,_LEITURA!$N479))</f>
        <v/>
      </c>
      <c r="B479" s="11" t="str">
        <f aca="false">IF(_LEITURA!$N479="","",INDEX(_LEITURA!$E$2:$E$1201,_LEITURA!$N479))</f>
        <v/>
      </c>
      <c r="C479" s="11" t="str">
        <f aca="false">IF(_LEITURA!$N479="","",INDEX(_LEITURA!$J$2:$J$1201,_LEITURA!$N479))</f>
        <v/>
      </c>
      <c r="D479" s="16" t="str">
        <f aca="false">IF(_LEITURA!$N479="","",INDEX(_LEITURA!$G$2:$G$1201,_LEITURA!$N479))</f>
        <v/>
      </c>
      <c r="E479" s="16" t="str">
        <f aca="false">IF(B479="","",SUMIFS(INVENTÁRIO!$C$2:$C$801,INVENTÁRIO!$A$2:$A$801,B479))</f>
        <v/>
      </c>
      <c r="F479" s="16" t="str">
        <f aca="false">IF(B479="","",MAX(0,D479-E479))</f>
        <v/>
      </c>
      <c r="G479" s="16" t="str">
        <f aca="false">IF(B479="","",IF(COUNTIFS($B$2:$B$1201,B479,$A$2:$A$1201,"&lt;&gt;"&amp;A479)&gt;0,"Sim",""))</f>
        <v/>
      </c>
      <c r="H479" s="16" t="str">
        <f aca="false">IF(N(F479)&gt;0,MAX(H$1:H478)+1,"")</f>
        <v/>
      </c>
      <c r="I479" s="11" t="str">
        <f aca="false">IF(B479="","",IF(INDEX($C$2:$C$1201,MATCH(B479,$B$2:$B$1201,0))&lt;&gt;C479,"Nome diferente em outro deck — revisar",""))</f>
        <v/>
      </c>
      <c r="J479" s="16" t="str">
        <f aca="false">IF(AND(B479&lt;&gt;"",A479=BULK!$A$1,N(F479)&gt;0),MAX(J$1:J478)+1,"")</f>
        <v/>
      </c>
      <c r="K479" s="11" t="str">
        <f aca="false">IF(B479="","",IFERROR(LEFT(B479,FIND("-",B479)-1),B479))</f>
        <v/>
      </c>
      <c r="L479" s="11" t="str">
        <f aca="false">IF(K479="","",IF(ISNUMBER(--MID(K479,1,1)),0,IF(ISNUMBER(--MID(K479,2,1)),1,IF(ISNUMBER(--MID(K479,3,1)),2,IF(ISNUMBER(--MID(K479,4,1)),3,MIN(LEN(K479),4))))))</f>
        <v/>
      </c>
      <c r="M479" s="11" t="str">
        <f aca="false">IF(B479="","",LEFT(K479,L479)&amp;REPT("0",4-L479)&amp;RIGHT("000"&amp;IFERROR(VALUE(MID(K479,L479+1,9)),0),3)&amp;RIGHT("0000"&amp;IFERROR(VALUE(MID(B479,FIND("-",B479)+1,9)),0),4))</f>
        <v/>
      </c>
      <c r="N479" s="11" t="str">
        <f aca="false">IF(OR(B479="",N(F479)&lt;=0),"",IF('FALTAS POR DECK'!$P$1="Código","K"&amp;M479&amp;RIGHT("00000"&amp;ROW(),5),IF('FALTAS POR DECK'!$P$1="Nome","K"&amp;UPPER(SUBSTITUTE(SUBSTITUTE(SUBSTITUTE(C479,"*",""),"?",""),"~",""))&amp;"0"&amp;M479&amp;RIGHT("00000"&amp;ROW(),5),IF('FALTAS POR DECK'!$P$1="Falta (maior primeiro)","K"&amp;RIGHT("0000"&amp;(9999-F479),4)&amp;M479&amp;RIGHT("00000"&amp;ROW(),5),IF('FALTAS POR DECK'!$P$1="Deck e código","K"&amp;RIGHT("00"&amp;IFERROR(MATCH(A479,_LEITURA!$P$2:$P$21,0),99),2)&amp;M479&amp;RIGHT("00000"&amp;ROW(),5),"K"&amp;RIGHT("00000"&amp;ROW(),5))))))</f>
        <v/>
      </c>
      <c r="O479" s="16" t="str">
        <f aca="false">IF(N479="","",COUNTIFS($N$2:$N$1201,"&lt;"&amp;N479,$F$2:$F$1201,"&gt;0")+1)</f>
        <v/>
      </c>
    </row>
    <row r="480" customFormat="false" ht="15" hidden="false" customHeight="false" outlineLevel="0" collapsed="false">
      <c r="A480" s="11" t="str">
        <f aca="false">IF(_LEITURA!$N480="","",INDEX(_LEITURA!$K$2:$K$1201,_LEITURA!$N480))</f>
        <v/>
      </c>
      <c r="B480" s="11" t="str">
        <f aca="false">IF(_LEITURA!$N480="","",INDEX(_LEITURA!$E$2:$E$1201,_LEITURA!$N480))</f>
        <v/>
      </c>
      <c r="C480" s="11" t="str">
        <f aca="false">IF(_LEITURA!$N480="","",INDEX(_LEITURA!$J$2:$J$1201,_LEITURA!$N480))</f>
        <v/>
      </c>
      <c r="D480" s="16" t="str">
        <f aca="false">IF(_LEITURA!$N480="","",INDEX(_LEITURA!$G$2:$G$1201,_LEITURA!$N480))</f>
        <v/>
      </c>
      <c r="E480" s="16" t="str">
        <f aca="false">IF(B480="","",SUMIFS(INVENTÁRIO!$C$2:$C$801,INVENTÁRIO!$A$2:$A$801,B480))</f>
        <v/>
      </c>
      <c r="F480" s="16" t="str">
        <f aca="false">IF(B480="","",MAX(0,D480-E480))</f>
        <v/>
      </c>
      <c r="G480" s="16" t="str">
        <f aca="false">IF(B480="","",IF(COUNTIFS($B$2:$B$1201,B480,$A$2:$A$1201,"&lt;&gt;"&amp;A480)&gt;0,"Sim",""))</f>
        <v/>
      </c>
      <c r="H480" s="16" t="str">
        <f aca="false">IF(N(F480)&gt;0,MAX(H$1:H479)+1,"")</f>
        <v/>
      </c>
      <c r="I480" s="11" t="str">
        <f aca="false">IF(B480="","",IF(INDEX($C$2:$C$1201,MATCH(B480,$B$2:$B$1201,0))&lt;&gt;C480,"Nome diferente em outro deck — revisar",""))</f>
        <v/>
      </c>
      <c r="J480" s="16" t="str">
        <f aca="false">IF(AND(B480&lt;&gt;"",A480=BULK!$A$1,N(F480)&gt;0),MAX(J$1:J479)+1,"")</f>
        <v/>
      </c>
      <c r="K480" s="11" t="str">
        <f aca="false">IF(B480="","",IFERROR(LEFT(B480,FIND("-",B480)-1),B480))</f>
        <v/>
      </c>
      <c r="L480" s="11" t="str">
        <f aca="false">IF(K480="","",IF(ISNUMBER(--MID(K480,1,1)),0,IF(ISNUMBER(--MID(K480,2,1)),1,IF(ISNUMBER(--MID(K480,3,1)),2,IF(ISNUMBER(--MID(K480,4,1)),3,MIN(LEN(K480),4))))))</f>
        <v/>
      </c>
      <c r="M480" s="11" t="str">
        <f aca="false">IF(B480="","",LEFT(K480,L480)&amp;REPT("0",4-L480)&amp;RIGHT("000"&amp;IFERROR(VALUE(MID(K480,L480+1,9)),0),3)&amp;RIGHT("0000"&amp;IFERROR(VALUE(MID(B480,FIND("-",B480)+1,9)),0),4))</f>
        <v/>
      </c>
      <c r="N480" s="11" t="str">
        <f aca="false">IF(OR(B480="",N(F480)&lt;=0),"",IF('FALTAS POR DECK'!$P$1="Código","K"&amp;M480&amp;RIGHT("00000"&amp;ROW(),5),IF('FALTAS POR DECK'!$P$1="Nome","K"&amp;UPPER(SUBSTITUTE(SUBSTITUTE(SUBSTITUTE(C480,"*",""),"?",""),"~",""))&amp;"0"&amp;M480&amp;RIGHT("00000"&amp;ROW(),5),IF('FALTAS POR DECK'!$P$1="Falta (maior primeiro)","K"&amp;RIGHT("0000"&amp;(9999-F480),4)&amp;M480&amp;RIGHT("00000"&amp;ROW(),5),IF('FALTAS POR DECK'!$P$1="Deck e código","K"&amp;RIGHT("00"&amp;IFERROR(MATCH(A480,_LEITURA!$P$2:$P$21,0),99),2)&amp;M480&amp;RIGHT("00000"&amp;ROW(),5),"K"&amp;RIGHT("00000"&amp;ROW(),5))))))</f>
        <v/>
      </c>
      <c r="O480" s="16" t="str">
        <f aca="false">IF(N480="","",COUNTIFS($N$2:$N$1201,"&lt;"&amp;N480,$F$2:$F$1201,"&gt;0")+1)</f>
        <v/>
      </c>
    </row>
    <row r="481" customFormat="false" ht="15" hidden="false" customHeight="false" outlineLevel="0" collapsed="false">
      <c r="A481" s="11" t="str">
        <f aca="false">IF(_LEITURA!$N481="","",INDEX(_LEITURA!$K$2:$K$1201,_LEITURA!$N481))</f>
        <v/>
      </c>
      <c r="B481" s="11" t="str">
        <f aca="false">IF(_LEITURA!$N481="","",INDEX(_LEITURA!$E$2:$E$1201,_LEITURA!$N481))</f>
        <v/>
      </c>
      <c r="C481" s="11" t="str">
        <f aca="false">IF(_LEITURA!$N481="","",INDEX(_LEITURA!$J$2:$J$1201,_LEITURA!$N481))</f>
        <v/>
      </c>
      <c r="D481" s="16" t="str">
        <f aca="false">IF(_LEITURA!$N481="","",INDEX(_LEITURA!$G$2:$G$1201,_LEITURA!$N481))</f>
        <v/>
      </c>
      <c r="E481" s="16" t="str">
        <f aca="false">IF(B481="","",SUMIFS(INVENTÁRIO!$C$2:$C$801,INVENTÁRIO!$A$2:$A$801,B481))</f>
        <v/>
      </c>
      <c r="F481" s="16" t="str">
        <f aca="false">IF(B481="","",MAX(0,D481-E481))</f>
        <v/>
      </c>
      <c r="G481" s="16" t="str">
        <f aca="false">IF(B481="","",IF(COUNTIFS($B$2:$B$1201,B481,$A$2:$A$1201,"&lt;&gt;"&amp;A481)&gt;0,"Sim",""))</f>
        <v/>
      </c>
      <c r="H481" s="16" t="str">
        <f aca="false">IF(N(F481)&gt;0,MAX(H$1:H480)+1,"")</f>
        <v/>
      </c>
      <c r="I481" s="11" t="str">
        <f aca="false">IF(B481="","",IF(INDEX($C$2:$C$1201,MATCH(B481,$B$2:$B$1201,0))&lt;&gt;C481,"Nome diferente em outro deck — revisar",""))</f>
        <v/>
      </c>
      <c r="J481" s="16" t="str">
        <f aca="false">IF(AND(B481&lt;&gt;"",A481=BULK!$A$1,N(F481)&gt;0),MAX(J$1:J480)+1,"")</f>
        <v/>
      </c>
      <c r="K481" s="11" t="str">
        <f aca="false">IF(B481="","",IFERROR(LEFT(B481,FIND("-",B481)-1),B481))</f>
        <v/>
      </c>
      <c r="L481" s="11" t="str">
        <f aca="false">IF(K481="","",IF(ISNUMBER(--MID(K481,1,1)),0,IF(ISNUMBER(--MID(K481,2,1)),1,IF(ISNUMBER(--MID(K481,3,1)),2,IF(ISNUMBER(--MID(K481,4,1)),3,MIN(LEN(K481),4))))))</f>
        <v/>
      </c>
      <c r="M481" s="11" t="str">
        <f aca="false">IF(B481="","",LEFT(K481,L481)&amp;REPT("0",4-L481)&amp;RIGHT("000"&amp;IFERROR(VALUE(MID(K481,L481+1,9)),0),3)&amp;RIGHT("0000"&amp;IFERROR(VALUE(MID(B481,FIND("-",B481)+1,9)),0),4))</f>
        <v/>
      </c>
      <c r="N481" s="11" t="str">
        <f aca="false">IF(OR(B481="",N(F481)&lt;=0),"",IF('FALTAS POR DECK'!$P$1="Código","K"&amp;M481&amp;RIGHT("00000"&amp;ROW(),5),IF('FALTAS POR DECK'!$P$1="Nome","K"&amp;UPPER(SUBSTITUTE(SUBSTITUTE(SUBSTITUTE(C481,"*",""),"?",""),"~",""))&amp;"0"&amp;M481&amp;RIGHT("00000"&amp;ROW(),5),IF('FALTAS POR DECK'!$P$1="Falta (maior primeiro)","K"&amp;RIGHT("0000"&amp;(9999-F481),4)&amp;M481&amp;RIGHT("00000"&amp;ROW(),5),IF('FALTAS POR DECK'!$P$1="Deck e código","K"&amp;RIGHT("00"&amp;IFERROR(MATCH(A481,_LEITURA!$P$2:$P$21,0),99),2)&amp;M481&amp;RIGHT("00000"&amp;ROW(),5),"K"&amp;RIGHT("00000"&amp;ROW(),5))))))</f>
        <v/>
      </c>
      <c r="O481" s="16" t="str">
        <f aca="false">IF(N481="","",COUNTIFS($N$2:$N$1201,"&lt;"&amp;N481,$F$2:$F$1201,"&gt;0")+1)</f>
        <v/>
      </c>
    </row>
    <row r="482" customFormat="false" ht="15" hidden="false" customHeight="false" outlineLevel="0" collapsed="false">
      <c r="A482" s="11" t="str">
        <f aca="false">IF(_LEITURA!$N482="","",INDEX(_LEITURA!$K$2:$K$1201,_LEITURA!$N482))</f>
        <v/>
      </c>
      <c r="B482" s="11" t="str">
        <f aca="false">IF(_LEITURA!$N482="","",INDEX(_LEITURA!$E$2:$E$1201,_LEITURA!$N482))</f>
        <v/>
      </c>
      <c r="C482" s="11" t="str">
        <f aca="false">IF(_LEITURA!$N482="","",INDEX(_LEITURA!$J$2:$J$1201,_LEITURA!$N482))</f>
        <v/>
      </c>
      <c r="D482" s="16" t="str">
        <f aca="false">IF(_LEITURA!$N482="","",INDEX(_LEITURA!$G$2:$G$1201,_LEITURA!$N482))</f>
        <v/>
      </c>
      <c r="E482" s="16" t="str">
        <f aca="false">IF(B482="","",SUMIFS(INVENTÁRIO!$C$2:$C$801,INVENTÁRIO!$A$2:$A$801,B482))</f>
        <v/>
      </c>
      <c r="F482" s="16" t="str">
        <f aca="false">IF(B482="","",MAX(0,D482-E482))</f>
        <v/>
      </c>
      <c r="G482" s="16" t="str">
        <f aca="false">IF(B482="","",IF(COUNTIFS($B$2:$B$1201,B482,$A$2:$A$1201,"&lt;&gt;"&amp;A482)&gt;0,"Sim",""))</f>
        <v/>
      </c>
      <c r="H482" s="16" t="str">
        <f aca="false">IF(N(F482)&gt;0,MAX(H$1:H481)+1,"")</f>
        <v/>
      </c>
      <c r="I482" s="11" t="str">
        <f aca="false">IF(B482="","",IF(INDEX($C$2:$C$1201,MATCH(B482,$B$2:$B$1201,0))&lt;&gt;C482,"Nome diferente em outro deck — revisar",""))</f>
        <v/>
      </c>
      <c r="J482" s="16" t="str">
        <f aca="false">IF(AND(B482&lt;&gt;"",A482=BULK!$A$1,N(F482)&gt;0),MAX(J$1:J481)+1,"")</f>
        <v/>
      </c>
      <c r="K482" s="11" t="str">
        <f aca="false">IF(B482="","",IFERROR(LEFT(B482,FIND("-",B482)-1),B482))</f>
        <v/>
      </c>
      <c r="L482" s="11" t="str">
        <f aca="false">IF(K482="","",IF(ISNUMBER(--MID(K482,1,1)),0,IF(ISNUMBER(--MID(K482,2,1)),1,IF(ISNUMBER(--MID(K482,3,1)),2,IF(ISNUMBER(--MID(K482,4,1)),3,MIN(LEN(K482),4))))))</f>
        <v/>
      </c>
      <c r="M482" s="11" t="str">
        <f aca="false">IF(B482="","",LEFT(K482,L482)&amp;REPT("0",4-L482)&amp;RIGHT("000"&amp;IFERROR(VALUE(MID(K482,L482+1,9)),0),3)&amp;RIGHT("0000"&amp;IFERROR(VALUE(MID(B482,FIND("-",B482)+1,9)),0),4))</f>
        <v/>
      </c>
      <c r="N482" s="11" t="str">
        <f aca="false">IF(OR(B482="",N(F482)&lt;=0),"",IF('FALTAS POR DECK'!$P$1="Código","K"&amp;M482&amp;RIGHT("00000"&amp;ROW(),5),IF('FALTAS POR DECK'!$P$1="Nome","K"&amp;UPPER(SUBSTITUTE(SUBSTITUTE(SUBSTITUTE(C482,"*",""),"?",""),"~",""))&amp;"0"&amp;M482&amp;RIGHT("00000"&amp;ROW(),5),IF('FALTAS POR DECK'!$P$1="Falta (maior primeiro)","K"&amp;RIGHT("0000"&amp;(9999-F482),4)&amp;M482&amp;RIGHT("00000"&amp;ROW(),5),IF('FALTAS POR DECK'!$P$1="Deck e código","K"&amp;RIGHT("00"&amp;IFERROR(MATCH(A482,_LEITURA!$P$2:$P$21,0),99),2)&amp;M482&amp;RIGHT("00000"&amp;ROW(),5),"K"&amp;RIGHT("00000"&amp;ROW(),5))))))</f>
        <v/>
      </c>
      <c r="O482" s="16" t="str">
        <f aca="false">IF(N482="","",COUNTIFS($N$2:$N$1201,"&lt;"&amp;N482,$F$2:$F$1201,"&gt;0")+1)</f>
        <v/>
      </c>
    </row>
    <row r="483" customFormat="false" ht="15" hidden="false" customHeight="false" outlineLevel="0" collapsed="false">
      <c r="A483" s="11" t="str">
        <f aca="false">IF(_LEITURA!$N483="","",INDEX(_LEITURA!$K$2:$K$1201,_LEITURA!$N483))</f>
        <v/>
      </c>
      <c r="B483" s="11" t="str">
        <f aca="false">IF(_LEITURA!$N483="","",INDEX(_LEITURA!$E$2:$E$1201,_LEITURA!$N483))</f>
        <v/>
      </c>
      <c r="C483" s="11" t="str">
        <f aca="false">IF(_LEITURA!$N483="","",INDEX(_LEITURA!$J$2:$J$1201,_LEITURA!$N483))</f>
        <v/>
      </c>
      <c r="D483" s="16" t="str">
        <f aca="false">IF(_LEITURA!$N483="","",INDEX(_LEITURA!$G$2:$G$1201,_LEITURA!$N483))</f>
        <v/>
      </c>
      <c r="E483" s="16" t="str">
        <f aca="false">IF(B483="","",SUMIFS(INVENTÁRIO!$C$2:$C$801,INVENTÁRIO!$A$2:$A$801,B483))</f>
        <v/>
      </c>
      <c r="F483" s="16" t="str">
        <f aca="false">IF(B483="","",MAX(0,D483-E483))</f>
        <v/>
      </c>
      <c r="G483" s="16" t="str">
        <f aca="false">IF(B483="","",IF(COUNTIFS($B$2:$B$1201,B483,$A$2:$A$1201,"&lt;&gt;"&amp;A483)&gt;0,"Sim",""))</f>
        <v/>
      </c>
      <c r="H483" s="16" t="str">
        <f aca="false">IF(N(F483)&gt;0,MAX(H$1:H482)+1,"")</f>
        <v/>
      </c>
      <c r="I483" s="11" t="str">
        <f aca="false">IF(B483="","",IF(INDEX($C$2:$C$1201,MATCH(B483,$B$2:$B$1201,0))&lt;&gt;C483,"Nome diferente em outro deck — revisar",""))</f>
        <v/>
      </c>
      <c r="J483" s="16" t="str">
        <f aca="false">IF(AND(B483&lt;&gt;"",A483=BULK!$A$1,N(F483)&gt;0),MAX(J$1:J482)+1,"")</f>
        <v/>
      </c>
      <c r="K483" s="11" t="str">
        <f aca="false">IF(B483="","",IFERROR(LEFT(B483,FIND("-",B483)-1),B483))</f>
        <v/>
      </c>
      <c r="L483" s="11" t="str">
        <f aca="false">IF(K483="","",IF(ISNUMBER(--MID(K483,1,1)),0,IF(ISNUMBER(--MID(K483,2,1)),1,IF(ISNUMBER(--MID(K483,3,1)),2,IF(ISNUMBER(--MID(K483,4,1)),3,MIN(LEN(K483),4))))))</f>
        <v/>
      </c>
      <c r="M483" s="11" t="str">
        <f aca="false">IF(B483="","",LEFT(K483,L483)&amp;REPT("0",4-L483)&amp;RIGHT("000"&amp;IFERROR(VALUE(MID(K483,L483+1,9)),0),3)&amp;RIGHT("0000"&amp;IFERROR(VALUE(MID(B483,FIND("-",B483)+1,9)),0),4))</f>
        <v/>
      </c>
      <c r="N483" s="11" t="str">
        <f aca="false">IF(OR(B483="",N(F483)&lt;=0),"",IF('FALTAS POR DECK'!$P$1="Código","K"&amp;M483&amp;RIGHT("00000"&amp;ROW(),5),IF('FALTAS POR DECK'!$P$1="Nome","K"&amp;UPPER(SUBSTITUTE(SUBSTITUTE(SUBSTITUTE(C483,"*",""),"?",""),"~",""))&amp;"0"&amp;M483&amp;RIGHT("00000"&amp;ROW(),5),IF('FALTAS POR DECK'!$P$1="Falta (maior primeiro)","K"&amp;RIGHT("0000"&amp;(9999-F483),4)&amp;M483&amp;RIGHT("00000"&amp;ROW(),5),IF('FALTAS POR DECK'!$P$1="Deck e código","K"&amp;RIGHT("00"&amp;IFERROR(MATCH(A483,_LEITURA!$P$2:$P$21,0),99),2)&amp;M483&amp;RIGHT("00000"&amp;ROW(),5),"K"&amp;RIGHT("00000"&amp;ROW(),5))))))</f>
        <v/>
      </c>
      <c r="O483" s="16" t="str">
        <f aca="false">IF(N483="","",COUNTIFS($N$2:$N$1201,"&lt;"&amp;N483,$F$2:$F$1201,"&gt;0")+1)</f>
        <v/>
      </c>
    </row>
    <row r="484" customFormat="false" ht="15" hidden="false" customHeight="false" outlineLevel="0" collapsed="false">
      <c r="A484" s="11" t="str">
        <f aca="false">IF(_LEITURA!$N484="","",INDEX(_LEITURA!$K$2:$K$1201,_LEITURA!$N484))</f>
        <v/>
      </c>
      <c r="B484" s="11" t="str">
        <f aca="false">IF(_LEITURA!$N484="","",INDEX(_LEITURA!$E$2:$E$1201,_LEITURA!$N484))</f>
        <v/>
      </c>
      <c r="C484" s="11" t="str">
        <f aca="false">IF(_LEITURA!$N484="","",INDEX(_LEITURA!$J$2:$J$1201,_LEITURA!$N484))</f>
        <v/>
      </c>
      <c r="D484" s="16" t="str">
        <f aca="false">IF(_LEITURA!$N484="","",INDEX(_LEITURA!$G$2:$G$1201,_LEITURA!$N484))</f>
        <v/>
      </c>
      <c r="E484" s="16" t="str">
        <f aca="false">IF(B484="","",SUMIFS(INVENTÁRIO!$C$2:$C$801,INVENTÁRIO!$A$2:$A$801,B484))</f>
        <v/>
      </c>
      <c r="F484" s="16" t="str">
        <f aca="false">IF(B484="","",MAX(0,D484-E484))</f>
        <v/>
      </c>
      <c r="G484" s="16" t="str">
        <f aca="false">IF(B484="","",IF(COUNTIFS($B$2:$B$1201,B484,$A$2:$A$1201,"&lt;&gt;"&amp;A484)&gt;0,"Sim",""))</f>
        <v/>
      </c>
      <c r="H484" s="16" t="str">
        <f aca="false">IF(N(F484)&gt;0,MAX(H$1:H483)+1,"")</f>
        <v/>
      </c>
      <c r="I484" s="11" t="str">
        <f aca="false">IF(B484="","",IF(INDEX($C$2:$C$1201,MATCH(B484,$B$2:$B$1201,0))&lt;&gt;C484,"Nome diferente em outro deck — revisar",""))</f>
        <v/>
      </c>
      <c r="J484" s="16" t="str">
        <f aca="false">IF(AND(B484&lt;&gt;"",A484=BULK!$A$1,N(F484)&gt;0),MAX(J$1:J483)+1,"")</f>
        <v/>
      </c>
      <c r="K484" s="11" t="str">
        <f aca="false">IF(B484="","",IFERROR(LEFT(B484,FIND("-",B484)-1),B484))</f>
        <v/>
      </c>
      <c r="L484" s="11" t="str">
        <f aca="false">IF(K484="","",IF(ISNUMBER(--MID(K484,1,1)),0,IF(ISNUMBER(--MID(K484,2,1)),1,IF(ISNUMBER(--MID(K484,3,1)),2,IF(ISNUMBER(--MID(K484,4,1)),3,MIN(LEN(K484),4))))))</f>
        <v/>
      </c>
      <c r="M484" s="11" t="str">
        <f aca="false">IF(B484="","",LEFT(K484,L484)&amp;REPT("0",4-L484)&amp;RIGHT("000"&amp;IFERROR(VALUE(MID(K484,L484+1,9)),0),3)&amp;RIGHT("0000"&amp;IFERROR(VALUE(MID(B484,FIND("-",B484)+1,9)),0),4))</f>
        <v/>
      </c>
      <c r="N484" s="11" t="str">
        <f aca="false">IF(OR(B484="",N(F484)&lt;=0),"",IF('FALTAS POR DECK'!$P$1="Código","K"&amp;M484&amp;RIGHT("00000"&amp;ROW(),5),IF('FALTAS POR DECK'!$P$1="Nome","K"&amp;UPPER(SUBSTITUTE(SUBSTITUTE(SUBSTITUTE(C484,"*",""),"?",""),"~",""))&amp;"0"&amp;M484&amp;RIGHT("00000"&amp;ROW(),5),IF('FALTAS POR DECK'!$P$1="Falta (maior primeiro)","K"&amp;RIGHT("0000"&amp;(9999-F484),4)&amp;M484&amp;RIGHT("00000"&amp;ROW(),5),IF('FALTAS POR DECK'!$P$1="Deck e código","K"&amp;RIGHT("00"&amp;IFERROR(MATCH(A484,_LEITURA!$P$2:$P$21,0),99),2)&amp;M484&amp;RIGHT("00000"&amp;ROW(),5),"K"&amp;RIGHT("00000"&amp;ROW(),5))))))</f>
        <v/>
      </c>
      <c r="O484" s="16" t="str">
        <f aca="false">IF(N484="","",COUNTIFS($N$2:$N$1201,"&lt;"&amp;N484,$F$2:$F$1201,"&gt;0")+1)</f>
        <v/>
      </c>
    </row>
    <row r="485" customFormat="false" ht="15" hidden="false" customHeight="false" outlineLevel="0" collapsed="false">
      <c r="A485" s="11" t="str">
        <f aca="false">IF(_LEITURA!$N485="","",INDEX(_LEITURA!$K$2:$K$1201,_LEITURA!$N485))</f>
        <v/>
      </c>
      <c r="B485" s="11" t="str">
        <f aca="false">IF(_LEITURA!$N485="","",INDEX(_LEITURA!$E$2:$E$1201,_LEITURA!$N485))</f>
        <v/>
      </c>
      <c r="C485" s="11" t="str">
        <f aca="false">IF(_LEITURA!$N485="","",INDEX(_LEITURA!$J$2:$J$1201,_LEITURA!$N485))</f>
        <v/>
      </c>
      <c r="D485" s="16" t="str">
        <f aca="false">IF(_LEITURA!$N485="","",INDEX(_LEITURA!$G$2:$G$1201,_LEITURA!$N485))</f>
        <v/>
      </c>
      <c r="E485" s="16" t="str">
        <f aca="false">IF(B485="","",SUMIFS(INVENTÁRIO!$C$2:$C$801,INVENTÁRIO!$A$2:$A$801,B485))</f>
        <v/>
      </c>
      <c r="F485" s="16" t="str">
        <f aca="false">IF(B485="","",MAX(0,D485-E485))</f>
        <v/>
      </c>
      <c r="G485" s="16" t="str">
        <f aca="false">IF(B485="","",IF(COUNTIFS($B$2:$B$1201,B485,$A$2:$A$1201,"&lt;&gt;"&amp;A485)&gt;0,"Sim",""))</f>
        <v/>
      </c>
      <c r="H485" s="16" t="str">
        <f aca="false">IF(N(F485)&gt;0,MAX(H$1:H484)+1,"")</f>
        <v/>
      </c>
      <c r="I485" s="11" t="str">
        <f aca="false">IF(B485="","",IF(INDEX($C$2:$C$1201,MATCH(B485,$B$2:$B$1201,0))&lt;&gt;C485,"Nome diferente em outro deck — revisar",""))</f>
        <v/>
      </c>
      <c r="J485" s="16" t="str">
        <f aca="false">IF(AND(B485&lt;&gt;"",A485=BULK!$A$1,N(F485)&gt;0),MAX(J$1:J484)+1,"")</f>
        <v/>
      </c>
      <c r="K485" s="11" t="str">
        <f aca="false">IF(B485="","",IFERROR(LEFT(B485,FIND("-",B485)-1),B485))</f>
        <v/>
      </c>
      <c r="L485" s="11" t="str">
        <f aca="false">IF(K485="","",IF(ISNUMBER(--MID(K485,1,1)),0,IF(ISNUMBER(--MID(K485,2,1)),1,IF(ISNUMBER(--MID(K485,3,1)),2,IF(ISNUMBER(--MID(K485,4,1)),3,MIN(LEN(K485),4))))))</f>
        <v/>
      </c>
      <c r="M485" s="11" t="str">
        <f aca="false">IF(B485="","",LEFT(K485,L485)&amp;REPT("0",4-L485)&amp;RIGHT("000"&amp;IFERROR(VALUE(MID(K485,L485+1,9)),0),3)&amp;RIGHT("0000"&amp;IFERROR(VALUE(MID(B485,FIND("-",B485)+1,9)),0),4))</f>
        <v/>
      </c>
      <c r="N485" s="11" t="str">
        <f aca="false">IF(OR(B485="",N(F485)&lt;=0),"",IF('FALTAS POR DECK'!$P$1="Código","K"&amp;M485&amp;RIGHT("00000"&amp;ROW(),5),IF('FALTAS POR DECK'!$P$1="Nome","K"&amp;UPPER(SUBSTITUTE(SUBSTITUTE(SUBSTITUTE(C485,"*",""),"?",""),"~",""))&amp;"0"&amp;M485&amp;RIGHT("00000"&amp;ROW(),5),IF('FALTAS POR DECK'!$P$1="Falta (maior primeiro)","K"&amp;RIGHT("0000"&amp;(9999-F485),4)&amp;M485&amp;RIGHT("00000"&amp;ROW(),5),IF('FALTAS POR DECK'!$P$1="Deck e código","K"&amp;RIGHT("00"&amp;IFERROR(MATCH(A485,_LEITURA!$P$2:$P$21,0),99),2)&amp;M485&amp;RIGHT("00000"&amp;ROW(),5),"K"&amp;RIGHT("00000"&amp;ROW(),5))))))</f>
        <v/>
      </c>
      <c r="O485" s="16" t="str">
        <f aca="false">IF(N485="","",COUNTIFS($N$2:$N$1201,"&lt;"&amp;N485,$F$2:$F$1201,"&gt;0")+1)</f>
        <v/>
      </c>
    </row>
    <row r="486" customFormat="false" ht="15" hidden="false" customHeight="false" outlineLevel="0" collapsed="false">
      <c r="A486" s="11" t="str">
        <f aca="false">IF(_LEITURA!$N486="","",INDEX(_LEITURA!$K$2:$K$1201,_LEITURA!$N486))</f>
        <v/>
      </c>
      <c r="B486" s="11" t="str">
        <f aca="false">IF(_LEITURA!$N486="","",INDEX(_LEITURA!$E$2:$E$1201,_LEITURA!$N486))</f>
        <v/>
      </c>
      <c r="C486" s="11" t="str">
        <f aca="false">IF(_LEITURA!$N486="","",INDEX(_LEITURA!$J$2:$J$1201,_LEITURA!$N486))</f>
        <v/>
      </c>
      <c r="D486" s="16" t="str">
        <f aca="false">IF(_LEITURA!$N486="","",INDEX(_LEITURA!$G$2:$G$1201,_LEITURA!$N486))</f>
        <v/>
      </c>
      <c r="E486" s="16" t="str">
        <f aca="false">IF(B486="","",SUMIFS(INVENTÁRIO!$C$2:$C$801,INVENTÁRIO!$A$2:$A$801,B486))</f>
        <v/>
      </c>
      <c r="F486" s="16" t="str">
        <f aca="false">IF(B486="","",MAX(0,D486-E486))</f>
        <v/>
      </c>
      <c r="G486" s="16" t="str">
        <f aca="false">IF(B486="","",IF(COUNTIFS($B$2:$B$1201,B486,$A$2:$A$1201,"&lt;&gt;"&amp;A486)&gt;0,"Sim",""))</f>
        <v/>
      </c>
      <c r="H486" s="16" t="str">
        <f aca="false">IF(N(F486)&gt;0,MAX(H$1:H485)+1,"")</f>
        <v/>
      </c>
      <c r="I486" s="11" t="str">
        <f aca="false">IF(B486="","",IF(INDEX($C$2:$C$1201,MATCH(B486,$B$2:$B$1201,0))&lt;&gt;C486,"Nome diferente em outro deck — revisar",""))</f>
        <v/>
      </c>
      <c r="J486" s="16" t="str">
        <f aca="false">IF(AND(B486&lt;&gt;"",A486=BULK!$A$1,N(F486)&gt;0),MAX(J$1:J485)+1,"")</f>
        <v/>
      </c>
      <c r="K486" s="11" t="str">
        <f aca="false">IF(B486="","",IFERROR(LEFT(B486,FIND("-",B486)-1),B486))</f>
        <v/>
      </c>
      <c r="L486" s="11" t="str">
        <f aca="false">IF(K486="","",IF(ISNUMBER(--MID(K486,1,1)),0,IF(ISNUMBER(--MID(K486,2,1)),1,IF(ISNUMBER(--MID(K486,3,1)),2,IF(ISNUMBER(--MID(K486,4,1)),3,MIN(LEN(K486),4))))))</f>
        <v/>
      </c>
      <c r="M486" s="11" t="str">
        <f aca="false">IF(B486="","",LEFT(K486,L486)&amp;REPT("0",4-L486)&amp;RIGHT("000"&amp;IFERROR(VALUE(MID(K486,L486+1,9)),0),3)&amp;RIGHT("0000"&amp;IFERROR(VALUE(MID(B486,FIND("-",B486)+1,9)),0),4))</f>
        <v/>
      </c>
      <c r="N486" s="11" t="str">
        <f aca="false">IF(OR(B486="",N(F486)&lt;=0),"",IF('FALTAS POR DECK'!$P$1="Código","K"&amp;M486&amp;RIGHT("00000"&amp;ROW(),5),IF('FALTAS POR DECK'!$P$1="Nome","K"&amp;UPPER(SUBSTITUTE(SUBSTITUTE(SUBSTITUTE(C486,"*",""),"?",""),"~",""))&amp;"0"&amp;M486&amp;RIGHT("00000"&amp;ROW(),5),IF('FALTAS POR DECK'!$P$1="Falta (maior primeiro)","K"&amp;RIGHT("0000"&amp;(9999-F486),4)&amp;M486&amp;RIGHT("00000"&amp;ROW(),5),IF('FALTAS POR DECK'!$P$1="Deck e código","K"&amp;RIGHT("00"&amp;IFERROR(MATCH(A486,_LEITURA!$P$2:$P$21,0),99),2)&amp;M486&amp;RIGHT("00000"&amp;ROW(),5),"K"&amp;RIGHT("00000"&amp;ROW(),5))))))</f>
        <v/>
      </c>
      <c r="O486" s="16" t="str">
        <f aca="false">IF(N486="","",COUNTIFS($N$2:$N$1201,"&lt;"&amp;N486,$F$2:$F$1201,"&gt;0")+1)</f>
        <v/>
      </c>
    </row>
    <row r="487" customFormat="false" ht="15" hidden="false" customHeight="false" outlineLevel="0" collapsed="false">
      <c r="A487" s="11" t="str">
        <f aca="false">IF(_LEITURA!$N487="","",INDEX(_LEITURA!$K$2:$K$1201,_LEITURA!$N487))</f>
        <v/>
      </c>
      <c r="B487" s="11" t="str">
        <f aca="false">IF(_LEITURA!$N487="","",INDEX(_LEITURA!$E$2:$E$1201,_LEITURA!$N487))</f>
        <v/>
      </c>
      <c r="C487" s="11" t="str">
        <f aca="false">IF(_LEITURA!$N487="","",INDEX(_LEITURA!$J$2:$J$1201,_LEITURA!$N487))</f>
        <v/>
      </c>
      <c r="D487" s="16" t="str">
        <f aca="false">IF(_LEITURA!$N487="","",INDEX(_LEITURA!$G$2:$G$1201,_LEITURA!$N487))</f>
        <v/>
      </c>
      <c r="E487" s="16" t="str">
        <f aca="false">IF(B487="","",SUMIFS(INVENTÁRIO!$C$2:$C$801,INVENTÁRIO!$A$2:$A$801,B487))</f>
        <v/>
      </c>
      <c r="F487" s="16" t="str">
        <f aca="false">IF(B487="","",MAX(0,D487-E487))</f>
        <v/>
      </c>
      <c r="G487" s="16" t="str">
        <f aca="false">IF(B487="","",IF(COUNTIFS($B$2:$B$1201,B487,$A$2:$A$1201,"&lt;&gt;"&amp;A487)&gt;0,"Sim",""))</f>
        <v/>
      </c>
      <c r="H487" s="16" t="str">
        <f aca="false">IF(N(F487)&gt;0,MAX(H$1:H486)+1,"")</f>
        <v/>
      </c>
      <c r="I487" s="11" t="str">
        <f aca="false">IF(B487="","",IF(INDEX($C$2:$C$1201,MATCH(B487,$B$2:$B$1201,0))&lt;&gt;C487,"Nome diferente em outro deck — revisar",""))</f>
        <v/>
      </c>
      <c r="J487" s="16" t="str">
        <f aca="false">IF(AND(B487&lt;&gt;"",A487=BULK!$A$1,N(F487)&gt;0),MAX(J$1:J486)+1,"")</f>
        <v/>
      </c>
      <c r="K487" s="11" t="str">
        <f aca="false">IF(B487="","",IFERROR(LEFT(B487,FIND("-",B487)-1),B487))</f>
        <v/>
      </c>
      <c r="L487" s="11" t="str">
        <f aca="false">IF(K487="","",IF(ISNUMBER(--MID(K487,1,1)),0,IF(ISNUMBER(--MID(K487,2,1)),1,IF(ISNUMBER(--MID(K487,3,1)),2,IF(ISNUMBER(--MID(K487,4,1)),3,MIN(LEN(K487),4))))))</f>
        <v/>
      </c>
      <c r="M487" s="11" t="str">
        <f aca="false">IF(B487="","",LEFT(K487,L487)&amp;REPT("0",4-L487)&amp;RIGHT("000"&amp;IFERROR(VALUE(MID(K487,L487+1,9)),0),3)&amp;RIGHT("0000"&amp;IFERROR(VALUE(MID(B487,FIND("-",B487)+1,9)),0),4))</f>
        <v/>
      </c>
      <c r="N487" s="11" t="str">
        <f aca="false">IF(OR(B487="",N(F487)&lt;=0),"",IF('FALTAS POR DECK'!$P$1="Código","K"&amp;M487&amp;RIGHT("00000"&amp;ROW(),5),IF('FALTAS POR DECK'!$P$1="Nome","K"&amp;UPPER(SUBSTITUTE(SUBSTITUTE(SUBSTITUTE(C487,"*",""),"?",""),"~",""))&amp;"0"&amp;M487&amp;RIGHT("00000"&amp;ROW(),5),IF('FALTAS POR DECK'!$P$1="Falta (maior primeiro)","K"&amp;RIGHT("0000"&amp;(9999-F487),4)&amp;M487&amp;RIGHT("00000"&amp;ROW(),5),IF('FALTAS POR DECK'!$P$1="Deck e código","K"&amp;RIGHT("00"&amp;IFERROR(MATCH(A487,_LEITURA!$P$2:$P$21,0),99),2)&amp;M487&amp;RIGHT("00000"&amp;ROW(),5),"K"&amp;RIGHT("00000"&amp;ROW(),5))))))</f>
        <v/>
      </c>
      <c r="O487" s="16" t="str">
        <f aca="false">IF(N487="","",COUNTIFS($N$2:$N$1201,"&lt;"&amp;N487,$F$2:$F$1201,"&gt;0")+1)</f>
        <v/>
      </c>
    </row>
    <row r="488" customFormat="false" ht="15" hidden="false" customHeight="false" outlineLevel="0" collapsed="false">
      <c r="A488" s="11" t="str">
        <f aca="false">IF(_LEITURA!$N488="","",INDEX(_LEITURA!$K$2:$K$1201,_LEITURA!$N488))</f>
        <v/>
      </c>
      <c r="B488" s="11" t="str">
        <f aca="false">IF(_LEITURA!$N488="","",INDEX(_LEITURA!$E$2:$E$1201,_LEITURA!$N488))</f>
        <v/>
      </c>
      <c r="C488" s="11" t="str">
        <f aca="false">IF(_LEITURA!$N488="","",INDEX(_LEITURA!$J$2:$J$1201,_LEITURA!$N488))</f>
        <v/>
      </c>
      <c r="D488" s="16" t="str">
        <f aca="false">IF(_LEITURA!$N488="","",INDEX(_LEITURA!$G$2:$G$1201,_LEITURA!$N488))</f>
        <v/>
      </c>
      <c r="E488" s="16" t="str">
        <f aca="false">IF(B488="","",SUMIFS(INVENTÁRIO!$C$2:$C$801,INVENTÁRIO!$A$2:$A$801,B488))</f>
        <v/>
      </c>
      <c r="F488" s="16" t="str">
        <f aca="false">IF(B488="","",MAX(0,D488-E488))</f>
        <v/>
      </c>
      <c r="G488" s="16" t="str">
        <f aca="false">IF(B488="","",IF(COUNTIFS($B$2:$B$1201,B488,$A$2:$A$1201,"&lt;&gt;"&amp;A488)&gt;0,"Sim",""))</f>
        <v/>
      </c>
      <c r="H488" s="16" t="str">
        <f aca="false">IF(N(F488)&gt;0,MAX(H$1:H487)+1,"")</f>
        <v/>
      </c>
      <c r="I488" s="11" t="str">
        <f aca="false">IF(B488="","",IF(INDEX($C$2:$C$1201,MATCH(B488,$B$2:$B$1201,0))&lt;&gt;C488,"Nome diferente em outro deck — revisar",""))</f>
        <v/>
      </c>
      <c r="J488" s="16" t="str">
        <f aca="false">IF(AND(B488&lt;&gt;"",A488=BULK!$A$1,N(F488)&gt;0),MAX(J$1:J487)+1,"")</f>
        <v/>
      </c>
      <c r="K488" s="11" t="str">
        <f aca="false">IF(B488="","",IFERROR(LEFT(B488,FIND("-",B488)-1),B488))</f>
        <v/>
      </c>
      <c r="L488" s="11" t="str">
        <f aca="false">IF(K488="","",IF(ISNUMBER(--MID(K488,1,1)),0,IF(ISNUMBER(--MID(K488,2,1)),1,IF(ISNUMBER(--MID(K488,3,1)),2,IF(ISNUMBER(--MID(K488,4,1)),3,MIN(LEN(K488),4))))))</f>
        <v/>
      </c>
      <c r="M488" s="11" t="str">
        <f aca="false">IF(B488="","",LEFT(K488,L488)&amp;REPT("0",4-L488)&amp;RIGHT("000"&amp;IFERROR(VALUE(MID(K488,L488+1,9)),0),3)&amp;RIGHT("0000"&amp;IFERROR(VALUE(MID(B488,FIND("-",B488)+1,9)),0),4))</f>
        <v/>
      </c>
      <c r="N488" s="11" t="str">
        <f aca="false">IF(OR(B488="",N(F488)&lt;=0),"",IF('FALTAS POR DECK'!$P$1="Código","K"&amp;M488&amp;RIGHT("00000"&amp;ROW(),5),IF('FALTAS POR DECK'!$P$1="Nome","K"&amp;UPPER(SUBSTITUTE(SUBSTITUTE(SUBSTITUTE(C488,"*",""),"?",""),"~",""))&amp;"0"&amp;M488&amp;RIGHT("00000"&amp;ROW(),5),IF('FALTAS POR DECK'!$P$1="Falta (maior primeiro)","K"&amp;RIGHT("0000"&amp;(9999-F488),4)&amp;M488&amp;RIGHT("00000"&amp;ROW(),5),IF('FALTAS POR DECK'!$P$1="Deck e código","K"&amp;RIGHT("00"&amp;IFERROR(MATCH(A488,_LEITURA!$P$2:$P$21,0),99),2)&amp;M488&amp;RIGHT("00000"&amp;ROW(),5),"K"&amp;RIGHT("00000"&amp;ROW(),5))))))</f>
        <v/>
      </c>
      <c r="O488" s="16" t="str">
        <f aca="false">IF(N488="","",COUNTIFS($N$2:$N$1201,"&lt;"&amp;N488,$F$2:$F$1201,"&gt;0")+1)</f>
        <v/>
      </c>
    </row>
    <row r="489" customFormat="false" ht="15" hidden="false" customHeight="false" outlineLevel="0" collapsed="false">
      <c r="A489" s="11" t="str">
        <f aca="false">IF(_LEITURA!$N489="","",INDEX(_LEITURA!$K$2:$K$1201,_LEITURA!$N489))</f>
        <v/>
      </c>
      <c r="B489" s="11" t="str">
        <f aca="false">IF(_LEITURA!$N489="","",INDEX(_LEITURA!$E$2:$E$1201,_LEITURA!$N489))</f>
        <v/>
      </c>
      <c r="C489" s="11" t="str">
        <f aca="false">IF(_LEITURA!$N489="","",INDEX(_LEITURA!$J$2:$J$1201,_LEITURA!$N489))</f>
        <v/>
      </c>
      <c r="D489" s="16" t="str">
        <f aca="false">IF(_LEITURA!$N489="","",INDEX(_LEITURA!$G$2:$G$1201,_LEITURA!$N489))</f>
        <v/>
      </c>
      <c r="E489" s="16" t="str">
        <f aca="false">IF(B489="","",SUMIFS(INVENTÁRIO!$C$2:$C$801,INVENTÁRIO!$A$2:$A$801,B489))</f>
        <v/>
      </c>
      <c r="F489" s="16" t="str">
        <f aca="false">IF(B489="","",MAX(0,D489-E489))</f>
        <v/>
      </c>
      <c r="G489" s="16" t="str">
        <f aca="false">IF(B489="","",IF(COUNTIFS($B$2:$B$1201,B489,$A$2:$A$1201,"&lt;&gt;"&amp;A489)&gt;0,"Sim",""))</f>
        <v/>
      </c>
      <c r="H489" s="16" t="str">
        <f aca="false">IF(N(F489)&gt;0,MAX(H$1:H488)+1,"")</f>
        <v/>
      </c>
      <c r="I489" s="11" t="str">
        <f aca="false">IF(B489="","",IF(INDEX($C$2:$C$1201,MATCH(B489,$B$2:$B$1201,0))&lt;&gt;C489,"Nome diferente em outro deck — revisar",""))</f>
        <v/>
      </c>
      <c r="J489" s="16" t="str">
        <f aca="false">IF(AND(B489&lt;&gt;"",A489=BULK!$A$1,N(F489)&gt;0),MAX(J$1:J488)+1,"")</f>
        <v/>
      </c>
      <c r="K489" s="11" t="str">
        <f aca="false">IF(B489="","",IFERROR(LEFT(B489,FIND("-",B489)-1),B489))</f>
        <v/>
      </c>
      <c r="L489" s="11" t="str">
        <f aca="false">IF(K489="","",IF(ISNUMBER(--MID(K489,1,1)),0,IF(ISNUMBER(--MID(K489,2,1)),1,IF(ISNUMBER(--MID(K489,3,1)),2,IF(ISNUMBER(--MID(K489,4,1)),3,MIN(LEN(K489),4))))))</f>
        <v/>
      </c>
      <c r="M489" s="11" t="str">
        <f aca="false">IF(B489="","",LEFT(K489,L489)&amp;REPT("0",4-L489)&amp;RIGHT("000"&amp;IFERROR(VALUE(MID(K489,L489+1,9)),0),3)&amp;RIGHT("0000"&amp;IFERROR(VALUE(MID(B489,FIND("-",B489)+1,9)),0),4))</f>
        <v/>
      </c>
      <c r="N489" s="11" t="str">
        <f aca="false">IF(OR(B489="",N(F489)&lt;=0),"",IF('FALTAS POR DECK'!$P$1="Código","K"&amp;M489&amp;RIGHT("00000"&amp;ROW(),5),IF('FALTAS POR DECK'!$P$1="Nome","K"&amp;UPPER(SUBSTITUTE(SUBSTITUTE(SUBSTITUTE(C489,"*",""),"?",""),"~",""))&amp;"0"&amp;M489&amp;RIGHT("00000"&amp;ROW(),5),IF('FALTAS POR DECK'!$P$1="Falta (maior primeiro)","K"&amp;RIGHT("0000"&amp;(9999-F489),4)&amp;M489&amp;RIGHT("00000"&amp;ROW(),5),IF('FALTAS POR DECK'!$P$1="Deck e código","K"&amp;RIGHT("00"&amp;IFERROR(MATCH(A489,_LEITURA!$P$2:$P$21,0),99),2)&amp;M489&amp;RIGHT("00000"&amp;ROW(),5),"K"&amp;RIGHT("00000"&amp;ROW(),5))))))</f>
        <v/>
      </c>
      <c r="O489" s="16" t="str">
        <f aca="false">IF(N489="","",COUNTIFS($N$2:$N$1201,"&lt;"&amp;N489,$F$2:$F$1201,"&gt;0")+1)</f>
        <v/>
      </c>
    </row>
    <row r="490" customFormat="false" ht="15" hidden="false" customHeight="false" outlineLevel="0" collapsed="false">
      <c r="A490" s="11" t="str">
        <f aca="false">IF(_LEITURA!$N490="","",INDEX(_LEITURA!$K$2:$K$1201,_LEITURA!$N490))</f>
        <v/>
      </c>
      <c r="B490" s="11" t="str">
        <f aca="false">IF(_LEITURA!$N490="","",INDEX(_LEITURA!$E$2:$E$1201,_LEITURA!$N490))</f>
        <v/>
      </c>
      <c r="C490" s="11" t="str">
        <f aca="false">IF(_LEITURA!$N490="","",INDEX(_LEITURA!$J$2:$J$1201,_LEITURA!$N490))</f>
        <v/>
      </c>
      <c r="D490" s="16" t="str">
        <f aca="false">IF(_LEITURA!$N490="","",INDEX(_LEITURA!$G$2:$G$1201,_LEITURA!$N490))</f>
        <v/>
      </c>
      <c r="E490" s="16" t="str">
        <f aca="false">IF(B490="","",SUMIFS(INVENTÁRIO!$C$2:$C$801,INVENTÁRIO!$A$2:$A$801,B490))</f>
        <v/>
      </c>
      <c r="F490" s="16" t="str">
        <f aca="false">IF(B490="","",MAX(0,D490-E490))</f>
        <v/>
      </c>
      <c r="G490" s="16" t="str">
        <f aca="false">IF(B490="","",IF(COUNTIFS($B$2:$B$1201,B490,$A$2:$A$1201,"&lt;&gt;"&amp;A490)&gt;0,"Sim",""))</f>
        <v/>
      </c>
      <c r="H490" s="16" t="str">
        <f aca="false">IF(N(F490)&gt;0,MAX(H$1:H489)+1,"")</f>
        <v/>
      </c>
      <c r="I490" s="11" t="str">
        <f aca="false">IF(B490="","",IF(INDEX($C$2:$C$1201,MATCH(B490,$B$2:$B$1201,0))&lt;&gt;C490,"Nome diferente em outro deck — revisar",""))</f>
        <v/>
      </c>
      <c r="J490" s="16" t="str">
        <f aca="false">IF(AND(B490&lt;&gt;"",A490=BULK!$A$1,N(F490)&gt;0),MAX(J$1:J489)+1,"")</f>
        <v/>
      </c>
      <c r="K490" s="11" t="str">
        <f aca="false">IF(B490="","",IFERROR(LEFT(B490,FIND("-",B490)-1),B490))</f>
        <v/>
      </c>
      <c r="L490" s="11" t="str">
        <f aca="false">IF(K490="","",IF(ISNUMBER(--MID(K490,1,1)),0,IF(ISNUMBER(--MID(K490,2,1)),1,IF(ISNUMBER(--MID(K490,3,1)),2,IF(ISNUMBER(--MID(K490,4,1)),3,MIN(LEN(K490),4))))))</f>
        <v/>
      </c>
      <c r="M490" s="11" t="str">
        <f aca="false">IF(B490="","",LEFT(K490,L490)&amp;REPT("0",4-L490)&amp;RIGHT("000"&amp;IFERROR(VALUE(MID(K490,L490+1,9)),0),3)&amp;RIGHT("0000"&amp;IFERROR(VALUE(MID(B490,FIND("-",B490)+1,9)),0),4))</f>
        <v/>
      </c>
      <c r="N490" s="11" t="str">
        <f aca="false">IF(OR(B490="",N(F490)&lt;=0),"",IF('FALTAS POR DECK'!$P$1="Código","K"&amp;M490&amp;RIGHT("00000"&amp;ROW(),5),IF('FALTAS POR DECK'!$P$1="Nome","K"&amp;UPPER(SUBSTITUTE(SUBSTITUTE(SUBSTITUTE(C490,"*",""),"?",""),"~",""))&amp;"0"&amp;M490&amp;RIGHT("00000"&amp;ROW(),5),IF('FALTAS POR DECK'!$P$1="Falta (maior primeiro)","K"&amp;RIGHT("0000"&amp;(9999-F490),4)&amp;M490&amp;RIGHT("00000"&amp;ROW(),5),IF('FALTAS POR DECK'!$P$1="Deck e código","K"&amp;RIGHT("00"&amp;IFERROR(MATCH(A490,_LEITURA!$P$2:$P$21,0),99),2)&amp;M490&amp;RIGHT("00000"&amp;ROW(),5),"K"&amp;RIGHT("00000"&amp;ROW(),5))))))</f>
        <v/>
      </c>
      <c r="O490" s="16" t="str">
        <f aca="false">IF(N490="","",COUNTIFS($N$2:$N$1201,"&lt;"&amp;N490,$F$2:$F$1201,"&gt;0")+1)</f>
        <v/>
      </c>
    </row>
    <row r="491" customFormat="false" ht="15" hidden="false" customHeight="false" outlineLevel="0" collapsed="false">
      <c r="A491" s="11" t="str">
        <f aca="false">IF(_LEITURA!$N491="","",INDEX(_LEITURA!$K$2:$K$1201,_LEITURA!$N491))</f>
        <v/>
      </c>
      <c r="B491" s="11" t="str">
        <f aca="false">IF(_LEITURA!$N491="","",INDEX(_LEITURA!$E$2:$E$1201,_LEITURA!$N491))</f>
        <v/>
      </c>
      <c r="C491" s="11" t="str">
        <f aca="false">IF(_LEITURA!$N491="","",INDEX(_LEITURA!$J$2:$J$1201,_LEITURA!$N491))</f>
        <v/>
      </c>
      <c r="D491" s="16" t="str">
        <f aca="false">IF(_LEITURA!$N491="","",INDEX(_LEITURA!$G$2:$G$1201,_LEITURA!$N491))</f>
        <v/>
      </c>
      <c r="E491" s="16" t="str">
        <f aca="false">IF(B491="","",SUMIFS(INVENTÁRIO!$C$2:$C$801,INVENTÁRIO!$A$2:$A$801,B491))</f>
        <v/>
      </c>
      <c r="F491" s="16" t="str">
        <f aca="false">IF(B491="","",MAX(0,D491-E491))</f>
        <v/>
      </c>
      <c r="G491" s="16" t="str">
        <f aca="false">IF(B491="","",IF(COUNTIFS($B$2:$B$1201,B491,$A$2:$A$1201,"&lt;&gt;"&amp;A491)&gt;0,"Sim",""))</f>
        <v/>
      </c>
      <c r="H491" s="16" t="str">
        <f aca="false">IF(N(F491)&gt;0,MAX(H$1:H490)+1,"")</f>
        <v/>
      </c>
      <c r="I491" s="11" t="str">
        <f aca="false">IF(B491="","",IF(INDEX($C$2:$C$1201,MATCH(B491,$B$2:$B$1201,0))&lt;&gt;C491,"Nome diferente em outro deck — revisar",""))</f>
        <v/>
      </c>
      <c r="J491" s="16" t="str">
        <f aca="false">IF(AND(B491&lt;&gt;"",A491=BULK!$A$1,N(F491)&gt;0),MAX(J$1:J490)+1,"")</f>
        <v/>
      </c>
      <c r="K491" s="11" t="str">
        <f aca="false">IF(B491="","",IFERROR(LEFT(B491,FIND("-",B491)-1),B491))</f>
        <v/>
      </c>
      <c r="L491" s="11" t="str">
        <f aca="false">IF(K491="","",IF(ISNUMBER(--MID(K491,1,1)),0,IF(ISNUMBER(--MID(K491,2,1)),1,IF(ISNUMBER(--MID(K491,3,1)),2,IF(ISNUMBER(--MID(K491,4,1)),3,MIN(LEN(K491),4))))))</f>
        <v/>
      </c>
      <c r="M491" s="11" t="str">
        <f aca="false">IF(B491="","",LEFT(K491,L491)&amp;REPT("0",4-L491)&amp;RIGHT("000"&amp;IFERROR(VALUE(MID(K491,L491+1,9)),0),3)&amp;RIGHT("0000"&amp;IFERROR(VALUE(MID(B491,FIND("-",B491)+1,9)),0),4))</f>
        <v/>
      </c>
      <c r="N491" s="11" t="str">
        <f aca="false">IF(OR(B491="",N(F491)&lt;=0),"",IF('FALTAS POR DECK'!$P$1="Código","K"&amp;M491&amp;RIGHT("00000"&amp;ROW(),5),IF('FALTAS POR DECK'!$P$1="Nome","K"&amp;UPPER(SUBSTITUTE(SUBSTITUTE(SUBSTITUTE(C491,"*",""),"?",""),"~",""))&amp;"0"&amp;M491&amp;RIGHT("00000"&amp;ROW(),5),IF('FALTAS POR DECK'!$P$1="Falta (maior primeiro)","K"&amp;RIGHT("0000"&amp;(9999-F491),4)&amp;M491&amp;RIGHT("00000"&amp;ROW(),5),IF('FALTAS POR DECK'!$P$1="Deck e código","K"&amp;RIGHT("00"&amp;IFERROR(MATCH(A491,_LEITURA!$P$2:$P$21,0),99),2)&amp;M491&amp;RIGHT("00000"&amp;ROW(),5),"K"&amp;RIGHT("00000"&amp;ROW(),5))))))</f>
        <v/>
      </c>
      <c r="O491" s="16" t="str">
        <f aca="false">IF(N491="","",COUNTIFS($N$2:$N$1201,"&lt;"&amp;N491,$F$2:$F$1201,"&gt;0")+1)</f>
        <v/>
      </c>
    </row>
    <row r="492" customFormat="false" ht="15" hidden="false" customHeight="false" outlineLevel="0" collapsed="false">
      <c r="A492" s="11" t="str">
        <f aca="false">IF(_LEITURA!$N492="","",INDEX(_LEITURA!$K$2:$K$1201,_LEITURA!$N492))</f>
        <v/>
      </c>
      <c r="B492" s="11" t="str">
        <f aca="false">IF(_LEITURA!$N492="","",INDEX(_LEITURA!$E$2:$E$1201,_LEITURA!$N492))</f>
        <v/>
      </c>
      <c r="C492" s="11" t="str">
        <f aca="false">IF(_LEITURA!$N492="","",INDEX(_LEITURA!$J$2:$J$1201,_LEITURA!$N492))</f>
        <v/>
      </c>
      <c r="D492" s="16" t="str">
        <f aca="false">IF(_LEITURA!$N492="","",INDEX(_LEITURA!$G$2:$G$1201,_LEITURA!$N492))</f>
        <v/>
      </c>
      <c r="E492" s="16" t="str">
        <f aca="false">IF(B492="","",SUMIFS(INVENTÁRIO!$C$2:$C$801,INVENTÁRIO!$A$2:$A$801,B492))</f>
        <v/>
      </c>
      <c r="F492" s="16" t="str">
        <f aca="false">IF(B492="","",MAX(0,D492-E492))</f>
        <v/>
      </c>
      <c r="G492" s="16" t="str">
        <f aca="false">IF(B492="","",IF(COUNTIFS($B$2:$B$1201,B492,$A$2:$A$1201,"&lt;&gt;"&amp;A492)&gt;0,"Sim",""))</f>
        <v/>
      </c>
      <c r="H492" s="16" t="str">
        <f aca="false">IF(N(F492)&gt;0,MAX(H$1:H491)+1,"")</f>
        <v/>
      </c>
      <c r="I492" s="11" t="str">
        <f aca="false">IF(B492="","",IF(INDEX($C$2:$C$1201,MATCH(B492,$B$2:$B$1201,0))&lt;&gt;C492,"Nome diferente em outro deck — revisar",""))</f>
        <v/>
      </c>
      <c r="J492" s="16" t="str">
        <f aca="false">IF(AND(B492&lt;&gt;"",A492=BULK!$A$1,N(F492)&gt;0),MAX(J$1:J491)+1,"")</f>
        <v/>
      </c>
      <c r="K492" s="11" t="str">
        <f aca="false">IF(B492="","",IFERROR(LEFT(B492,FIND("-",B492)-1),B492))</f>
        <v/>
      </c>
      <c r="L492" s="11" t="str">
        <f aca="false">IF(K492="","",IF(ISNUMBER(--MID(K492,1,1)),0,IF(ISNUMBER(--MID(K492,2,1)),1,IF(ISNUMBER(--MID(K492,3,1)),2,IF(ISNUMBER(--MID(K492,4,1)),3,MIN(LEN(K492),4))))))</f>
        <v/>
      </c>
      <c r="M492" s="11" t="str">
        <f aca="false">IF(B492="","",LEFT(K492,L492)&amp;REPT("0",4-L492)&amp;RIGHT("000"&amp;IFERROR(VALUE(MID(K492,L492+1,9)),0),3)&amp;RIGHT("0000"&amp;IFERROR(VALUE(MID(B492,FIND("-",B492)+1,9)),0),4))</f>
        <v/>
      </c>
      <c r="N492" s="11" t="str">
        <f aca="false">IF(OR(B492="",N(F492)&lt;=0),"",IF('FALTAS POR DECK'!$P$1="Código","K"&amp;M492&amp;RIGHT("00000"&amp;ROW(),5),IF('FALTAS POR DECK'!$P$1="Nome","K"&amp;UPPER(SUBSTITUTE(SUBSTITUTE(SUBSTITUTE(C492,"*",""),"?",""),"~",""))&amp;"0"&amp;M492&amp;RIGHT("00000"&amp;ROW(),5),IF('FALTAS POR DECK'!$P$1="Falta (maior primeiro)","K"&amp;RIGHT("0000"&amp;(9999-F492),4)&amp;M492&amp;RIGHT("00000"&amp;ROW(),5),IF('FALTAS POR DECK'!$P$1="Deck e código","K"&amp;RIGHT("00"&amp;IFERROR(MATCH(A492,_LEITURA!$P$2:$P$21,0),99),2)&amp;M492&amp;RIGHT("00000"&amp;ROW(),5),"K"&amp;RIGHT("00000"&amp;ROW(),5))))))</f>
        <v/>
      </c>
      <c r="O492" s="16" t="str">
        <f aca="false">IF(N492="","",COUNTIFS($N$2:$N$1201,"&lt;"&amp;N492,$F$2:$F$1201,"&gt;0")+1)</f>
        <v/>
      </c>
    </row>
    <row r="493" customFormat="false" ht="15" hidden="false" customHeight="false" outlineLevel="0" collapsed="false">
      <c r="A493" s="11" t="str">
        <f aca="false">IF(_LEITURA!$N493="","",INDEX(_LEITURA!$K$2:$K$1201,_LEITURA!$N493))</f>
        <v/>
      </c>
      <c r="B493" s="11" t="str">
        <f aca="false">IF(_LEITURA!$N493="","",INDEX(_LEITURA!$E$2:$E$1201,_LEITURA!$N493))</f>
        <v/>
      </c>
      <c r="C493" s="11" t="str">
        <f aca="false">IF(_LEITURA!$N493="","",INDEX(_LEITURA!$J$2:$J$1201,_LEITURA!$N493))</f>
        <v/>
      </c>
      <c r="D493" s="16" t="str">
        <f aca="false">IF(_LEITURA!$N493="","",INDEX(_LEITURA!$G$2:$G$1201,_LEITURA!$N493))</f>
        <v/>
      </c>
      <c r="E493" s="16" t="str">
        <f aca="false">IF(B493="","",SUMIFS(INVENTÁRIO!$C$2:$C$801,INVENTÁRIO!$A$2:$A$801,B493))</f>
        <v/>
      </c>
      <c r="F493" s="16" t="str">
        <f aca="false">IF(B493="","",MAX(0,D493-E493))</f>
        <v/>
      </c>
      <c r="G493" s="16" t="str">
        <f aca="false">IF(B493="","",IF(COUNTIFS($B$2:$B$1201,B493,$A$2:$A$1201,"&lt;&gt;"&amp;A493)&gt;0,"Sim",""))</f>
        <v/>
      </c>
      <c r="H493" s="16" t="str">
        <f aca="false">IF(N(F493)&gt;0,MAX(H$1:H492)+1,"")</f>
        <v/>
      </c>
      <c r="I493" s="11" t="str">
        <f aca="false">IF(B493="","",IF(INDEX($C$2:$C$1201,MATCH(B493,$B$2:$B$1201,0))&lt;&gt;C493,"Nome diferente em outro deck — revisar",""))</f>
        <v/>
      </c>
      <c r="J493" s="16" t="str">
        <f aca="false">IF(AND(B493&lt;&gt;"",A493=BULK!$A$1,N(F493)&gt;0),MAX(J$1:J492)+1,"")</f>
        <v/>
      </c>
      <c r="K493" s="11" t="str">
        <f aca="false">IF(B493="","",IFERROR(LEFT(B493,FIND("-",B493)-1),B493))</f>
        <v/>
      </c>
      <c r="L493" s="11" t="str">
        <f aca="false">IF(K493="","",IF(ISNUMBER(--MID(K493,1,1)),0,IF(ISNUMBER(--MID(K493,2,1)),1,IF(ISNUMBER(--MID(K493,3,1)),2,IF(ISNUMBER(--MID(K493,4,1)),3,MIN(LEN(K493),4))))))</f>
        <v/>
      </c>
      <c r="M493" s="11" t="str">
        <f aca="false">IF(B493="","",LEFT(K493,L493)&amp;REPT("0",4-L493)&amp;RIGHT("000"&amp;IFERROR(VALUE(MID(K493,L493+1,9)),0),3)&amp;RIGHT("0000"&amp;IFERROR(VALUE(MID(B493,FIND("-",B493)+1,9)),0),4))</f>
        <v/>
      </c>
      <c r="N493" s="11" t="str">
        <f aca="false">IF(OR(B493="",N(F493)&lt;=0),"",IF('FALTAS POR DECK'!$P$1="Código","K"&amp;M493&amp;RIGHT("00000"&amp;ROW(),5),IF('FALTAS POR DECK'!$P$1="Nome","K"&amp;UPPER(SUBSTITUTE(SUBSTITUTE(SUBSTITUTE(C493,"*",""),"?",""),"~",""))&amp;"0"&amp;M493&amp;RIGHT("00000"&amp;ROW(),5),IF('FALTAS POR DECK'!$P$1="Falta (maior primeiro)","K"&amp;RIGHT("0000"&amp;(9999-F493),4)&amp;M493&amp;RIGHT("00000"&amp;ROW(),5),IF('FALTAS POR DECK'!$P$1="Deck e código","K"&amp;RIGHT("00"&amp;IFERROR(MATCH(A493,_LEITURA!$P$2:$P$21,0),99),2)&amp;M493&amp;RIGHT("00000"&amp;ROW(),5),"K"&amp;RIGHT("00000"&amp;ROW(),5))))))</f>
        <v/>
      </c>
      <c r="O493" s="16" t="str">
        <f aca="false">IF(N493="","",COUNTIFS($N$2:$N$1201,"&lt;"&amp;N493,$F$2:$F$1201,"&gt;0")+1)</f>
        <v/>
      </c>
    </row>
    <row r="494" customFormat="false" ht="15" hidden="false" customHeight="false" outlineLevel="0" collapsed="false">
      <c r="A494" s="11" t="str">
        <f aca="false">IF(_LEITURA!$N494="","",INDEX(_LEITURA!$K$2:$K$1201,_LEITURA!$N494))</f>
        <v/>
      </c>
      <c r="B494" s="11" t="str">
        <f aca="false">IF(_LEITURA!$N494="","",INDEX(_LEITURA!$E$2:$E$1201,_LEITURA!$N494))</f>
        <v/>
      </c>
      <c r="C494" s="11" t="str">
        <f aca="false">IF(_LEITURA!$N494="","",INDEX(_LEITURA!$J$2:$J$1201,_LEITURA!$N494))</f>
        <v/>
      </c>
      <c r="D494" s="16" t="str">
        <f aca="false">IF(_LEITURA!$N494="","",INDEX(_LEITURA!$G$2:$G$1201,_LEITURA!$N494))</f>
        <v/>
      </c>
      <c r="E494" s="16" t="str">
        <f aca="false">IF(B494="","",SUMIFS(INVENTÁRIO!$C$2:$C$801,INVENTÁRIO!$A$2:$A$801,B494))</f>
        <v/>
      </c>
      <c r="F494" s="16" t="str">
        <f aca="false">IF(B494="","",MAX(0,D494-E494))</f>
        <v/>
      </c>
      <c r="G494" s="16" t="str">
        <f aca="false">IF(B494="","",IF(COUNTIFS($B$2:$B$1201,B494,$A$2:$A$1201,"&lt;&gt;"&amp;A494)&gt;0,"Sim",""))</f>
        <v/>
      </c>
      <c r="H494" s="16" t="str">
        <f aca="false">IF(N(F494)&gt;0,MAX(H$1:H493)+1,"")</f>
        <v/>
      </c>
      <c r="I494" s="11" t="str">
        <f aca="false">IF(B494="","",IF(INDEX($C$2:$C$1201,MATCH(B494,$B$2:$B$1201,0))&lt;&gt;C494,"Nome diferente em outro deck — revisar",""))</f>
        <v/>
      </c>
      <c r="J494" s="16" t="str">
        <f aca="false">IF(AND(B494&lt;&gt;"",A494=BULK!$A$1,N(F494)&gt;0),MAX(J$1:J493)+1,"")</f>
        <v/>
      </c>
      <c r="K494" s="11" t="str">
        <f aca="false">IF(B494="","",IFERROR(LEFT(B494,FIND("-",B494)-1),B494))</f>
        <v/>
      </c>
      <c r="L494" s="11" t="str">
        <f aca="false">IF(K494="","",IF(ISNUMBER(--MID(K494,1,1)),0,IF(ISNUMBER(--MID(K494,2,1)),1,IF(ISNUMBER(--MID(K494,3,1)),2,IF(ISNUMBER(--MID(K494,4,1)),3,MIN(LEN(K494),4))))))</f>
        <v/>
      </c>
      <c r="M494" s="11" t="str">
        <f aca="false">IF(B494="","",LEFT(K494,L494)&amp;REPT("0",4-L494)&amp;RIGHT("000"&amp;IFERROR(VALUE(MID(K494,L494+1,9)),0),3)&amp;RIGHT("0000"&amp;IFERROR(VALUE(MID(B494,FIND("-",B494)+1,9)),0),4))</f>
        <v/>
      </c>
      <c r="N494" s="11" t="str">
        <f aca="false">IF(OR(B494="",N(F494)&lt;=0),"",IF('FALTAS POR DECK'!$P$1="Código","K"&amp;M494&amp;RIGHT("00000"&amp;ROW(),5),IF('FALTAS POR DECK'!$P$1="Nome","K"&amp;UPPER(SUBSTITUTE(SUBSTITUTE(SUBSTITUTE(C494,"*",""),"?",""),"~",""))&amp;"0"&amp;M494&amp;RIGHT("00000"&amp;ROW(),5),IF('FALTAS POR DECK'!$P$1="Falta (maior primeiro)","K"&amp;RIGHT("0000"&amp;(9999-F494),4)&amp;M494&amp;RIGHT("00000"&amp;ROW(),5),IF('FALTAS POR DECK'!$P$1="Deck e código","K"&amp;RIGHT("00"&amp;IFERROR(MATCH(A494,_LEITURA!$P$2:$P$21,0),99),2)&amp;M494&amp;RIGHT("00000"&amp;ROW(),5),"K"&amp;RIGHT("00000"&amp;ROW(),5))))))</f>
        <v/>
      </c>
      <c r="O494" s="16" t="str">
        <f aca="false">IF(N494="","",COUNTIFS($N$2:$N$1201,"&lt;"&amp;N494,$F$2:$F$1201,"&gt;0")+1)</f>
        <v/>
      </c>
    </row>
    <row r="495" customFormat="false" ht="15" hidden="false" customHeight="false" outlineLevel="0" collapsed="false">
      <c r="A495" s="11" t="str">
        <f aca="false">IF(_LEITURA!$N495="","",INDEX(_LEITURA!$K$2:$K$1201,_LEITURA!$N495))</f>
        <v/>
      </c>
      <c r="B495" s="11" t="str">
        <f aca="false">IF(_LEITURA!$N495="","",INDEX(_LEITURA!$E$2:$E$1201,_LEITURA!$N495))</f>
        <v/>
      </c>
      <c r="C495" s="11" t="str">
        <f aca="false">IF(_LEITURA!$N495="","",INDEX(_LEITURA!$J$2:$J$1201,_LEITURA!$N495))</f>
        <v/>
      </c>
      <c r="D495" s="16" t="str">
        <f aca="false">IF(_LEITURA!$N495="","",INDEX(_LEITURA!$G$2:$G$1201,_LEITURA!$N495))</f>
        <v/>
      </c>
      <c r="E495" s="16" t="str">
        <f aca="false">IF(B495="","",SUMIFS(INVENTÁRIO!$C$2:$C$801,INVENTÁRIO!$A$2:$A$801,B495))</f>
        <v/>
      </c>
      <c r="F495" s="16" t="str">
        <f aca="false">IF(B495="","",MAX(0,D495-E495))</f>
        <v/>
      </c>
      <c r="G495" s="16" t="str">
        <f aca="false">IF(B495="","",IF(COUNTIFS($B$2:$B$1201,B495,$A$2:$A$1201,"&lt;&gt;"&amp;A495)&gt;0,"Sim",""))</f>
        <v/>
      </c>
      <c r="H495" s="16" t="str">
        <f aca="false">IF(N(F495)&gt;0,MAX(H$1:H494)+1,"")</f>
        <v/>
      </c>
      <c r="I495" s="11" t="str">
        <f aca="false">IF(B495="","",IF(INDEX($C$2:$C$1201,MATCH(B495,$B$2:$B$1201,0))&lt;&gt;C495,"Nome diferente em outro deck — revisar",""))</f>
        <v/>
      </c>
      <c r="J495" s="16" t="str">
        <f aca="false">IF(AND(B495&lt;&gt;"",A495=BULK!$A$1,N(F495)&gt;0),MAX(J$1:J494)+1,"")</f>
        <v/>
      </c>
      <c r="K495" s="11" t="str">
        <f aca="false">IF(B495="","",IFERROR(LEFT(B495,FIND("-",B495)-1),B495))</f>
        <v/>
      </c>
      <c r="L495" s="11" t="str">
        <f aca="false">IF(K495="","",IF(ISNUMBER(--MID(K495,1,1)),0,IF(ISNUMBER(--MID(K495,2,1)),1,IF(ISNUMBER(--MID(K495,3,1)),2,IF(ISNUMBER(--MID(K495,4,1)),3,MIN(LEN(K495),4))))))</f>
        <v/>
      </c>
      <c r="M495" s="11" t="str">
        <f aca="false">IF(B495="","",LEFT(K495,L495)&amp;REPT("0",4-L495)&amp;RIGHT("000"&amp;IFERROR(VALUE(MID(K495,L495+1,9)),0),3)&amp;RIGHT("0000"&amp;IFERROR(VALUE(MID(B495,FIND("-",B495)+1,9)),0),4))</f>
        <v/>
      </c>
      <c r="N495" s="11" t="str">
        <f aca="false">IF(OR(B495="",N(F495)&lt;=0),"",IF('FALTAS POR DECK'!$P$1="Código","K"&amp;M495&amp;RIGHT("00000"&amp;ROW(),5),IF('FALTAS POR DECK'!$P$1="Nome","K"&amp;UPPER(SUBSTITUTE(SUBSTITUTE(SUBSTITUTE(C495,"*",""),"?",""),"~",""))&amp;"0"&amp;M495&amp;RIGHT("00000"&amp;ROW(),5),IF('FALTAS POR DECK'!$P$1="Falta (maior primeiro)","K"&amp;RIGHT("0000"&amp;(9999-F495),4)&amp;M495&amp;RIGHT("00000"&amp;ROW(),5),IF('FALTAS POR DECK'!$P$1="Deck e código","K"&amp;RIGHT("00"&amp;IFERROR(MATCH(A495,_LEITURA!$P$2:$P$21,0),99),2)&amp;M495&amp;RIGHT("00000"&amp;ROW(),5),"K"&amp;RIGHT("00000"&amp;ROW(),5))))))</f>
        <v/>
      </c>
      <c r="O495" s="16" t="str">
        <f aca="false">IF(N495="","",COUNTIFS($N$2:$N$1201,"&lt;"&amp;N495,$F$2:$F$1201,"&gt;0")+1)</f>
        <v/>
      </c>
    </row>
    <row r="496" customFormat="false" ht="15" hidden="false" customHeight="false" outlineLevel="0" collapsed="false">
      <c r="A496" s="11" t="str">
        <f aca="false">IF(_LEITURA!$N496="","",INDEX(_LEITURA!$K$2:$K$1201,_LEITURA!$N496))</f>
        <v/>
      </c>
      <c r="B496" s="11" t="str">
        <f aca="false">IF(_LEITURA!$N496="","",INDEX(_LEITURA!$E$2:$E$1201,_LEITURA!$N496))</f>
        <v/>
      </c>
      <c r="C496" s="11" t="str">
        <f aca="false">IF(_LEITURA!$N496="","",INDEX(_LEITURA!$J$2:$J$1201,_LEITURA!$N496))</f>
        <v/>
      </c>
      <c r="D496" s="16" t="str">
        <f aca="false">IF(_LEITURA!$N496="","",INDEX(_LEITURA!$G$2:$G$1201,_LEITURA!$N496))</f>
        <v/>
      </c>
      <c r="E496" s="16" t="str">
        <f aca="false">IF(B496="","",SUMIFS(INVENTÁRIO!$C$2:$C$801,INVENTÁRIO!$A$2:$A$801,B496))</f>
        <v/>
      </c>
      <c r="F496" s="16" t="str">
        <f aca="false">IF(B496="","",MAX(0,D496-E496))</f>
        <v/>
      </c>
      <c r="G496" s="16" t="str">
        <f aca="false">IF(B496="","",IF(COUNTIFS($B$2:$B$1201,B496,$A$2:$A$1201,"&lt;&gt;"&amp;A496)&gt;0,"Sim",""))</f>
        <v/>
      </c>
      <c r="H496" s="16" t="str">
        <f aca="false">IF(N(F496)&gt;0,MAX(H$1:H495)+1,"")</f>
        <v/>
      </c>
      <c r="I496" s="11" t="str">
        <f aca="false">IF(B496="","",IF(INDEX($C$2:$C$1201,MATCH(B496,$B$2:$B$1201,0))&lt;&gt;C496,"Nome diferente em outro deck — revisar",""))</f>
        <v/>
      </c>
      <c r="J496" s="16" t="str">
        <f aca="false">IF(AND(B496&lt;&gt;"",A496=BULK!$A$1,N(F496)&gt;0),MAX(J$1:J495)+1,"")</f>
        <v/>
      </c>
      <c r="K496" s="11" t="str">
        <f aca="false">IF(B496="","",IFERROR(LEFT(B496,FIND("-",B496)-1),B496))</f>
        <v/>
      </c>
      <c r="L496" s="11" t="str">
        <f aca="false">IF(K496="","",IF(ISNUMBER(--MID(K496,1,1)),0,IF(ISNUMBER(--MID(K496,2,1)),1,IF(ISNUMBER(--MID(K496,3,1)),2,IF(ISNUMBER(--MID(K496,4,1)),3,MIN(LEN(K496),4))))))</f>
        <v/>
      </c>
      <c r="M496" s="11" t="str">
        <f aca="false">IF(B496="","",LEFT(K496,L496)&amp;REPT("0",4-L496)&amp;RIGHT("000"&amp;IFERROR(VALUE(MID(K496,L496+1,9)),0),3)&amp;RIGHT("0000"&amp;IFERROR(VALUE(MID(B496,FIND("-",B496)+1,9)),0),4))</f>
        <v/>
      </c>
      <c r="N496" s="11" t="str">
        <f aca="false">IF(OR(B496="",N(F496)&lt;=0),"",IF('FALTAS POR DECK'!$P$1="Código","K"&amp;M496&amp;RIGHT("00000"&amp;ROW(),5),IF('FALTAS POR DECK'!$P$1="Nome","K"&amp;UPPER(SUBSTITUTE(SUBSTITUTE(SUBSTITUTE(C496,"*",""),"?",""),"~",""))&amp;"0"&amp;M496&amp;RIGHT("00000"&amp;ROW(),5),IF('FALTAS POR DECK'!$P$1="Falta (maior primeiro)","K"&amp;RIGHT("0000"&amp;(9999-F496),4)&amp;M496&amp;RIGHT("00000"&amp;ROW(),5),IF('FALTAS POR DECK'!$P$1="Deck e código","K"&amp;RIGHT("00"&amp;IFERROR(MATCH(A496,_LEITURA!$P$2:$P$21,0),99),2)&amp;M496&amp;RIGHT("00000"&amp;ROW(),5),"K"&amp;RIGHT("00000"&amp;ROW(),5))))))</f>
        <v/>
      </c>
      <c r="O496" s="16" t="str">
        <f aca="false">IF(N496="","",COUNTIFS($N$2:$N$1201,"&lt;"&amp;N496,$F$2:$F$1201,"&gt;0")+1)</f>
        <v/>
      </c>
    </row>
    <row r="497" customFormat="false" ht="15" hidden="false" customHeight="false" outlineLevel="0" collapsed="false">
      <c r="A497" s="11" t="str">
        <f aca="false">IF(_LEITURA!$N497="","",INDEX(_LEITURA!$K$2:$K$1201,_LEITURA!$N497))</f>
        <v/>
      </c>
      <c r="B497" s="11" t="str">
        <f aca="false">IF(_LEITURA!$N497="","",INDEX(_LEITURA!$E$2:$E$1201,_LEITURA!$N497))</f>
        <v/>
      </c>
      <c r="C497" s="11" t="str">
        <f aca="false">IF(_LEITURA!$N497="","",INDEX(_LEITURA!$J$2:$J$1201,_LEITURA!$N497))</f>
        <v/>
      </c>
      <c r="D497" s="16" t="str">
        <f aca="false">IF(_LEITURA!$N497="","",INDEX(_LEITURA!$G$2:$G$1201,_LEITURA!$N497))</f>
        <v/>
      </c>
      <c r="E497" s="16" t="str">
        <f aca="false">IF(B497="","",SUMIFS(INVENTÁRIO!$C$2:$C$801,INVENTÁRIO!$A$2:$A$801,B497))</f>
        <v/>
      </c>
      <c r="F497" s="16" t="str">
        <f aca="false">IF(B497="","",MAX(0,D497-E497))</f>
        <v/>
      </c>
      <c r="G497" s="16" t="str">
        <f aca="false">IF(B497="","",IF(COUNTIFS($B$2:$B$1201,B497,$A$2:$A$1201,"&lt;&gt;"&amp;A497)&gt;0,"Sim",""))</f>
        <v/>
      </c>
      <c r="H497" s="16" t="str">
        <f aca="false">IF(N(F497)&gt;0,MAX(H$1:H496)+1,"")</f>
        <v/>
      </c>
      <c r="I497" s="11" t="str">
        <f aca="false">IF(B497="","",IF(INDEX($C$2:$C$1201,MATCH(B497,$B$2:$B$1201,0))&lt;&gt;C497,"Nome diferente em outro deck — revisar",""))</f>
        <v/>
      </c>
      <c r="J497" s="16" t="str">
        <f aca="false">IF(AND(B497&lt;&gt;"",A497=BULK!$A$1,N(F497)&gt;0),MAX(J$1:J496)+1,"")</f>
        <v/>
      </c>
      <c r="K497" s="11" t="str">
        <f aca="false">IF(B497="","",IFERROR(LEFT(B497,FIND("-",B497)-1),B497))</f>
        <v/>
      </c>
      <c r="L497" s="11" t="str">
        <f aca="false">IF(K497="","",IF(ISNUMBER(--MID(K497,1,1)),0,IF(ISNUMBER(--MID(K497,2,1)),1,IF(ISNUMBER(--MID(K497,3,1)),2,IF(ISNUMBER(--MID(K497,4,1)),3,MIN(LEN(K497),4))))))</f>
        <v/>
      </c>
      <c r="M497" s="11" t="str">
        <f aca="false">IF(B497="","",LEFT(K497,L497)&amp;REPT("0",4-L497)&amp;RIGHT("000"&amp;IFERROR(VALUE(MID(K497,L497+1,9)),0),3)&amp;RIGHT("0000"&amp;IFERROR(VALUE(MID(B497,FIND("-",B497)+1,9)),0),4))</f>
        <v/>
      </c>
      <c r="N497" s="11" t="str">
        <f aca="false">IF(OR(B497="",N(F497)&lt;=0),"",IF('FALTAS POR DECK'!$P$1="Código","K"&amp;M497&amp;RIGHT("00000"&amp;ROW(),5),IF('FALTAS POR DECK'!$P$1="Nome","K"&amp;UPPER(SUBSTITUTE(SUBSTITUTE(SUBSTITUTE(C497,"*",""),"?",""),"~",""))&amp;"0"&amp;M497&amp;RIGHT("00000"&amp;ROW(),5),IF('FALTAS POR DECK'!$P$1="Falta (maior primeiro)","K"&amp;RIGHT("0000"&amp;(9999-F497),4)&amp;M497&amp;RIGHT("00000"&amp;ROW(),5),IF('FALTAS POR DECK'!$P$1="Deck e código","K"&amp;RIGHT("00"&amp;IFERROR(MATCH(A497,_LEITURA!$P$2:$P$21,0),99),2)&amp;M497&amp;RIGHT("00000"&amp;ROW(),5),"K"&amp;RIGHT("00000"&amp;ROW(),5))))))</f>
        <v/>
      </c>
      <c r="O497" s="16" t="str">
        <f aca="false">IF(N497="","",COUNTIFS($N$2:$N$1201,"&lt;"&amp;N497,$F$2:$F$1201,"&gt;0")+1)</f>
        <v/>
      </c>
    </row>
    <row r="498" customFormat="false" ht="15" hidden="false" customHeight="false" outlineLevel="0" collapsed="false">
      <c r="A498" s="11" t="str">
        <f aca="false">IF(_LEITURA!$N498="","",INDEX(_LEITURA!$K$2:$K$1201,_LEITURA!$N498))</f>
        <v/>
      </c>
      <c r="B498" s="11" t="str">
        <f aca="false">IF(_LEITURA!$N498="","",INDEX(_LEITURA!$E$2:$E$1201,_LEITURA!$N498))</f>
        <v/>
      </c>
      <c r="C498" s="11" t="str">
        <f aca="false">IF(_LEITURA!$N498="","",INDEX(_LEITURA!$J$2:$J$1201,_LEITURA!$N498))</f>
        <v/>
      </c>
      <c r="D498" s="16" t="str">
        <f aca="false">IF(_LEITURA!$N498="","",INDEX(_LEITURA!$G$2:$G$1201,_LEITURA!$N498))</f>
        <v/>
      </c>
      <c r="E498" s="16" t="str">
        <f aca="false">IF(B498="","",SUMIFS(INVENTÁRIO!$C$2:$C$801,INVENTÁRIO!$A$2:$A$801,B498))</f>
        <v/>
      </c>
      <c r="F498" s="16" t="str">
        <f aca="false">IF(B498="","",MAX(0,D498-E498))</f>
        <v/>
      </c>
      <c r="G498" s="16" t="str">
        <f aca="false">IF(B498="","",IF(COUNTIFS($B$2:$B$1201,B498,$A$2:$A$1201,"&lt;&gt;"&amp;A498)&gt;0,"Sim",""))</f>
        <v/>
      </c>
      <c r="H498" s="16" t="str">
        <f aca="false">IF(N(F498)&gt;0,MAX(H$1:H497)+1,"")</f>
        <v/>
      </c>
      <c r="I498" s="11" t="str">
        <f aca="false">IF(B498="","",IF(INDEX($C$2:$C$1201,MATCH(B498,$B$2:$B$1201,0))&lt;&gt;C498,"Nome diferente em outro deck — revisar",""))</f>
        <v/>
      </c>
      <c r="J498" s="16" t="str">
        <f aca="false">IF(AND(B498&lt;&gt;"",A498=BULK!$A$1,N(F498)&gt;0),MAX(J$1:J497)+1,"")</f>
        <v/>
      </c>
      <c r="K498" s="11" t="str">
        <f aca="false">IF(B498="","",IFERROR(LEFT(B498,FIND("-",B498)-1),B498))</f>
        <v/>
      </c>
      <c r="L498" s="11" t="str">
        <f aca="false">IF(K498="","",IF(ISNUMBER(--MID(K498,1,1)),0,IF(ISNUMBER(--MID(K498,2,1)),1,IF(ISNUMBER(--MID(K498,3,1)),2,IF(ISNUMBER(--MID(K498,4,1)),3,MIN(LEN(K498),4))))))</f>
        <v/>
      </c>
      <c r="M498" s="11" t="str">
        <f aca="false">IF(B498="","",LEFT(K498,L498)&amp;REPT("0",4-L498)&amp;RIGHT("000"&amp;IFERROR(VALUE(MID(K498,L498+1,9)),0),3)&amp;RIGHT("0000"&amp;IFERROR(VALUE(MID(B498,FIND("-",B498)+1,9)),0),4))</f>
        <v/>
      </c>
      <c r="N498" s="11" t="str">
        <f aca="false">IF(OR(B498="",N(F498)&lt;=0),"",IF('FALTAS POR DECK'!$P$1="Código","K"&amp;M498&amp;RIGHT("00000"&amp;ROW(),5),IF('FALTAS POR DECK'!$P$1="Nome","K"&amp;UPPER(SUBSTITUTE(SUBSTITUTE(SUBSTITUTE(C498,"*",""),"?",""),"~",""))&amp;"0"&amp;M498&amp;RIGHT("00000"&amp;ROW(),5),IF('FALTAS POR DECK'!$P$1="Falta (maior primeiro)","K"&amp;RIGHT("0000"&amp;(9999-F498),4)&amp;M498&amp;RIGHT("00000"&amp;ROW(),5),IF('FALTAS POR DECK'!$P$1="Deck e código","K"&amp;RIGHT("00"&amp;IFERROR(MATCH(A498,_LEITURA!$P$2:$P$21,0),99),2)&amp;M498&amp;RIGHT("00000"&amp;ROW(),5),"K"&amp;RIGHT("00000"&amp;ROW(),5))))))</f>
        <v/>
      </c>
      <c r="O498" s="16" t="str">
        <f aca="false">IF(N498="","",COUNTIFS($N$2:$N$1201,"&lt;"&amp;N498,$F$2:$F$1201,"&gt;0")+1)</f>
        <v/>
      </c>
    </row>
    <row r="499" customFormat="false" ht="15" hidden="false" customHeight="false" outlineLevel="0" collapsed="false">
      <c r="A499" s="11" t="str">
        <f aca="false">IF(_LEITURA!$N499="","",INDEX(_LEITURA!$K$2:$K$1201,_LEITURA!$N499))</f>
        <v/>
      </c>
      <c r="B499" s="11" t="str">
        <f aca="false">IF(_LEITURA!$N499="","",INDEX(_LEITURA!$E$2:$E$1201,_LEITURA!$N499))</f>
        <v/>
      </c>
      <c r="C499" s="11" t="str">
        <f aca="false">IF(_LEITURA!$N499="","",INDEX(_LEITURA!$J$2:$J$1201,_LEITURA!$N499))</f>
        <v/>
      </c>
      <c r="D499" s="16" t="str">
        <f aca="false">IF(_LEITURA!$N499="","",INDEX(_LEITURA!$G$2:$G$1201,_LEITURA!$N499))</f>
        <v/>
      </c>
      <c r="E499" s="16" t="str">
        <f aca="false">IF(B499="","",SUMIFS(INVENTÁRIO!$C$2:$C$801,INVENTÁRIO!$A$2:$A$801,B499))</f>
        <v/>
      </c>
      <c r="F499" s="16" t="str">
        <f aca="false">IF(B499="","",MAX(0,D499-E499))</f>
        <v/>
      </c>
      <c r="G499" s="16" t="str">
        <f aca="false">IF(B499="","",IF(COUNTIFS($B$2:$B$1201,B499,$A$2:$A$1201,"&lt;&gt;"&amp;A499)&gt;0,"Sim",""))</f>
        <v/>
      </c>
      <c r="H499" s="16" t="str">
        <f aca="false">IF(N(F499)&gt;0,MAX(H$1:H498)+1,"")</f>
        <v/>
      </c>
      <c r="I499" s="11" t="str">
        <f aca="false">IF(B499="","",IF(INDEX($C$2:$C$1201,MATCH(B499,$B$2:$B$1201,0))&lt;&gt;C499,"Nome diferente em outro deck — revisar",""))</f>
        <v/>
      </c>
      <c r="J499" s="16" t="str">
        <f aca="false">IF(AND(B499&lt;&gt;"",A499=BULK!$A$1,N(F499)&gt;0),MAX(J$1:J498)+1,"")</f>
        <v/>
      </c>
      <c r="K499" s="11" t="str">
        <f aca="false">IF(B499="","",IFERROR(LEFT(B499,FIND("-",B499)-1),B499))</f>
        <v/>
      </c>
      <c r="L499" s="11" t="str">
        <f aca="false">IF(K499="","",IF(ISNUMBER(--MID(K499,1,1)),0,IF(ISNUMBER(--MID(K499,2,1)),1,IF(ISNUMBER(--MID(K499,3,1)),2,IF(ISNUMBER(--MID(K499,4,1)),3,MIN(LEN(K499),4))))))</f>
        <v/>
      </c>
      <c r="M499" s="11" t="str">
        <f aca="false">IF(B499="","",LEFT(K499,L499)&amp;REPT("0",4-L499)&amp;RIGHT("000"&amp;IFERROR(VALUE(MID(K499,L499+1,9)),0),3)&amp;RIGHT("0000"&amp;IFERROR(VALUE(MID(B499,FIND("-",B499)+1,9)),0),4))</f>
        <v/>
      </c>
      <c r="N499" s="11" t="str">
        <f aca="false">IF(OR(B499="",N(F499)&lt;=0),"",IF('FALTAS POR DECK'!$P$1="Código","K"&amp;M499&amp;RIGHT("00000"&amp;ROW(),5),IF('FALTAS POR DECK'!$P$1="Nome","K"&amp;UPPER(SUBSTITUTE(SUBSTITUTE(SUBSTITUTE(C499,"*",""),"?",""),"~",""))&amp;"0"&amp;M499&amp;RIGHT("00000"&amp;ROW(),5),IF('FALTAS POR DECK'!$P$1="Falta (maior primeiro)","K"&amp;RIGHT("0000"&amp;(9999-F499),4)&amp;M499&amp;RIGHT("00000"&amp;ROW(),5),IF('FALTAS POR DECK'!$P$1="Deck e código","K"&amp;RIGHT("00"&amp;IFERROR(MATCH(A499,_LEITURA!$P$2:$P$21,0),99),2)&amp;M499&amp;RIGHT("00000"&amp;ROW(),5),"K"&amp;RIGHT("00000"&amp;ROW(),5))))))</f>
        <v/>
      </c>
      <c r="O499" s="16" t="str">
        <f aca="false">IF(N499="","",COUNTIFS($N$2:$N$1201,"&lt;"&amp;N499,$F$2:$F$1201,"&gt;0")+1)</f>
        <v/>
      </c>
    </row>
    <row r="500" customFormat="false" ht="15" hidden="false" customHeight="false" outlineLevel="0" collapsed="false">
      <c r="A500" s="11" t="str">
        <f aca="false">IF(_LEITURA!$N500="","",INDEX(_LEITURA!$K$2:$K$1201,_LEITURA!$N500))</f>
        <v/>
      </c>
      <c r="B500" s="11" t="str">
        <f aca="false">IF(_LEITURA!$N500="","",INDEX(_LEITURA!$E$2:$E$1201,_LEITURA!$N500))</f>
        <v/>
      </c>
      <c r="C500" s="11" t="str">
        <f aca="false">IF(_LEITURA!$N500="","",INDEX(_LEITURA!$J$2:$J$1201,_LEITURA!$N500))</f>
        <v/>
      </c>
      <c r="D500" s="16" t="str">
        <f aca="false">IF(_LEITURA!$N500="","",INDEX(_LEITURA!$G$2:$G$1201,_LEITURA!$N500))</f>
        <v/>
      </c>
      <c r="E500" s="16" t="str">
        <f aca="false">IF(B500="","",SUMIFS(INVENTÁRIO!$C$2:$C$801,INVENTÁRIO!$A$2:$A$801,B500))</f>
        <v/>
      </c>
      <c r="F500" s="16" t="str">
        <f aca="false">IF(B500="","",MAX(0,D500-E500))</f>
        <v/>
      </c>
      <c r="G500" s="16" t="str">
        <f aca="false">IF(B500="","",IF(COUNTIFS($B$2:$B$1201,B500,$A$2:$A$1201,"&lt;&gt;"&amp;A500)&gt;0,"Sim",""))</f>
        <v/>
      </c>
      <c r="H500" s="16" t="str">
        <f aca="false">IF(N(F500)&gt;0,MAX(H$1:H499)+1,"")</f>
        <v/>
      </c>
      <c r="I500" s="11" t="str">
        <f aca="false">IF(B500="","",IF(INDEX($C$2:$C$1201,MATCH(B500,$B$2:$B$1201,0))&lt;&gt;C500,"Nome diferente em outro deck — revisar",""))</f>
        <v/>
      </c>
      <c r="J500" s="16" t="str">
        <f aca="false">IF(AND(B500&lt;&gt;"",A500=BULK!$A$1,N(F500)&gt;0),MAX(J$1:J499)+1,"")</f>
        <v/>
      </c>
      <c r="K500" s="11" t="str">
        <f aca="false">IF(B500="","",IFERROR(LEFT(B500,FIND("-",B500)-1),B500))</f>
        <v/>
      </c>
      <c r="L500" s="11" t="str">
        <f aca="false">IF(K500="","",IF(ISNUMBER(--MID(K500,1,1)),0,IF(ISNUMBER(--MID(K500,2,1)),1,IF(ISNUMBER(--MID(K500,3,1)),2,IF(ISNUMBER(--MID(K500,4,1)),3,MIN(LEN(K500),4))))))</f>
        <v/>
      </c>
      <c r="M500" s="11" t="str">
        <f aca="false">IF(B500="","",LEFT(K500,L500)&amp;REPT("0",4-L500)&amp;RIGHT("000"&amp;IFERROR(VALUE(MID(K500,L500+1,9)),0),3)&amp;RIGHT("0000"&amp;IFERROR(VALUE(MID(B500,FIND("-",B500)+1,9)),0),4))</f>
        <v/>
      </c>
      <c r="N500" s="11" t="str">
        <f aca="false">IF(OR(B500="",N(F500)&lt;=0),"",IF('FALTAS POR DECK'!$P$1="Código","K"&amp;M500&amp;RIGHT("00000"&amp;ROW(),5),IF('FALTAS POR DECK'!$P$1="Nome","K"&amp;UPPER(SUBSTITUTE(SUBSTITUTE(SUBSTITUTE(C500,"*",""),"?",""),"~",""))&amp;"0"&amp;M500&amp;RIGHT("00000"&amp;ROW(),5),IF('FALTAS POR DECK'!$P$1="Falta (maior primeiro)","K"&amp;RIGHT("0000"&amp;(9999-F500),4)&amp;M500&amp;RIGHT("00000"&amp;ROW(),5),IF('FALTAS POR DECK'!$P$1="Deck e código","K"&amp;RIGHT("00"&amp;IFERROR(MATCH(A500,_LEITURA!$P$2:$P$21,0),99),2)&amp;M500&amp;RIGHT("00000"&amp;ROW(),5),"K"&amp;RIGHT("00000"&amp;ROW(),5))))))</f>
        <v/>
      </c>
      <c r="O500" s="16" t="str">
        <f aca="false">IF(N500="","",COUNTIFS($N$2:$N$1201,"&lt;"&amp;N500,$F$2:$F$1201,"&gt;0")+1)</f>
        <v/>
      </c>
    </row>
    <row r="501" customFormat="false" ht="15" hidden="false" customHeight="false" outlineLevel="0" collapsed="false">
      <c r="A501" s="11" t="str">
        <f aca="false">IF(_LEITURA!$N501="","",INDEX(_LEITURA!$K$2:$K$1201,_LEITURA!$N501))</f>
        <v/>
      </c>
      <c r="B501" s="11" t="str">
        <f aca="false">IF(_LEITURA!$N501="","",INDEX(_LEITURA!$E$2:$E$1201,_LEITURA!$N501))</f>
        <v/>
      </c>
      <c r="C501" s="11" t="str">
        <f aca="false">IF(_LEITURA!$N501="","",INDEX(_LEITURA!$J$2:$J$1201,_LEITURA!$N501))</f>
        <v/>
      </c>
      <c r="D501" s="16" t="str">
        <f aca="false">IF(_LEITURA!$N501="","",INDEX(_LEITURA!$G$2:$G$1201,_LEITURA!$N501))</f>
        <v/>
      </c>
      <c r="E501" s="16" t="str">
        <f aca="false">IF(B501="","",SUMIFS(INVENTÁRIO!$C$2:$C$801,INVENTÁRIO!$A$2:$A$801,B501))</f>
        <v/>
      </c>
      <c r="F501" s="16" t="str">
        <f aca="false">IF(B501="","",MAX(0,D501-E501))</f>
        <v/>
      </c>
      <c r="G501" s="16" t="str">
        <f aca="false">IF(B501="","",IF(COUNTIFS($B$2:$B$1201,B501,$A$2:$A$1201,"&lt;&gt;"&amp;A501)&gt;0,"Sim",""))</f>
        <v/>
      </c>
      <c r="H501" s="16" t="str">
        <f aca="false">IF(N(F501)&gt;0,MAX(H$1:H500)+1,"")</f>
        <v/>
      </c>
      <c r="I501" s="11" t="str">
        <f aca="false">IF(B501="","",IF(INDEX($C$2:$C$1201,MATCH(B501,$B$2:$B$1201,0))&lt;&gt;C501,"Nome diferente em outro deck — revisar",""))</f>
        <v/>
      </c>
      <c r="J501" s="16" t="str">
        <f aca="false">IF(AND(B501&lt;&gt;"",A501=BULK!$A$1,N(F501)&gt;0),MAX(J$1:J500)+1,"")</f>
        <v/>
      </c>
      <c r="K501" s="11" t="str">
        <f aca="false">IF(B501="","",IFERROR(LEFT(B501,FIND("-",B501)-1),B501))</f>
        <v/>
      </c>
      <c r="L501" s="11" t="str">
        <f aca="false">IF(K501="","",IF(ISNUMBER(--MID(K501,1,1)),0,IF(ISNUMBER(--MID(K501,2,1)),1,IF(ISNUMBER(--MID(K501,3,1)),2,IF(ISNUMBER(--MID(K501,4,1)),3,MIN(LEN(K501),4))))))</f>
        <v/>
      </c>
      <c r="M501" s="11" t="str">
        <f aca="false">IF(B501="","",LEFT(K501,L501)&amp;REPT("0",4-L501)&amp;RIGHT("000"&amp;IFERROR(VALUE(MID(K501,L501+1,9)),0),3)&amp;RIGHT("0000"&amp;IFERROR(VALUE(MID(B501,FIND("-",B501)+1,9)),0),4))</f>
        <v/>
      </c>
      <c r="N501" s="11" t="str">
        <f aca="false">IF(OR(B501="",N(F501)&lt;=0),"",IF('FALTAS POR DECK'!$P$1="Código","K"&amp;M501&amp;RIGHT("00000"&amp;ROW(),5),IF('FALTAS POR DECK'!$P$1="Nome","K"&amp;UPPER(SUBSTITUTE(SUBSTITUTE(SUBSTITUTE(C501,"*",""),"?",""),"~",""))&amp;"0"&amp;M501&amp;RIGHT("00000"&amp;ROW(),5),IF('FALTAS POR DECK'!$P$1="Falta (maior primeiro)","K"&amp;RIGHT("0000"&amp;(9999-F501),4)&amp;M501&amp;RIGHT("00000"&amp;ROW(),5),IF('FALTAS POR DECK'!$P$1="Deck e código","K"&amp;RIGHT("00"&amp;IFERROR(MATCH(A501,_LEITURA!$P$2:$P$21,0),99),2)&amp;M501&amp;RIGHT("00000"&amp;ROW(),5),"K"&amp;RIGHT("00000"&amp;ROW(),5))))))</f>
        <v/>
      </c>
      <c r="O501" s="16" t="str">
        <f aca="false">IF(N501="","",COUNTIFS($N$2:$N$1201,"&lt;"&amp;N501,$F$2:$F$1201,"&gt;0")+1)</f>
        <v/>
      </c>
    </row>
    <row r="502" customFormat="false" ht="15" hidden="false" customHeight="false" outlineLevel="0" collapsed="false">
      <c r="A502" s="11" t="str">
        <f aca="false">IF(_LEITURA!$N502="","",INDEX(_LEITURA!$K$2:$K$1201,_LEITURA!$N502))</f>
        <v/>
      </c>
      <c r="B502" s="11" t="str">
        <f aca="false">IF(_LEITURA!$N502="","",INDEX(_LEITURA!$E$2:$E$1201,_LEITURA!$N502))</f>
        <v/>
      </c>
      <c r="C502" s="11" t="str">
        <f aca="false">IF(_LEITURA!$N502="","",INDEX(_LEITURA!$J$2:$J$1201,_LEITURA!$N502))</f>
        <v/>
      </c>
      <c r="D502" s="16" t="str">
        <f aca="false">IF(_LEITURA!$N502="","",INDEX(_LEITURA!$G$2:$G$1201,_LEITURA!$N502))</f>
        <v/>
      </c>
      <c r="E502" s="16" t="str">
        <f aca="false">IF(B502="","",SUMIFS(INVENTÁRIO!$C$2:$C$801,INVENTÁRIO!$A$2:$A$801,B502))</f>
        <v/>
      </c>
      <c r="F502" s="16" t="str">
        <f aca="false">IF(B502="","",MAX(0,D502-E502))</f>
        <v/>
      </c>
      <c r="G502" s="16" t="str">
        <f aca="false">IF(B502="","",IF(COUNTIFS($B$2:$B$1201,B502,$A$2:$A$1201,"&lt;&gt;"&amp;A502)&gt;0,"Sim",""))</f>
        <v/>
      </c>
      <c r="H502" s="16" t="str">
        <f aca="false">IF(N(F502)&gt;0,MAX(H$1:H501)+1,"")</f>
        <v/>
      </c>
      <c r="I502" s="11" t="str">
        <f aca="false">IF(B502="","",IF(INDEX($C$2:$C$1201,MATCH(B502,$B$2:$B$1201,0))&lt;&gt;C502,"Nome diferente em outro deck — revisar",""))</f>
        <v/>
      </c>
      <c r="J502" s="16" t="str">
        <f aca="false">IF(AND(B502&lt;&gt;"",A502=BULK!$A$1,N(F502)&gt;0),MAX(J$1:J501)+1,"")</f>
        <v/>
      </c>
      <c r="K502" s="11" t="str">
        <f aca="false">IF(B502="","",IFERROR(LEFT(B502,FIND("-",B502)-1),B502))</f>
        <v/>
      </c>
      <c r="L502" s="11" t="str">
        <f aca="false">IF(K502="","",IF(ISNUMBER(--MID(K502,1,1)),0,IF(ISNUMBER(--MID(K502,2,1)),1,IF(ISNUMBER(--MID(K502,3,1)),2,IF(ISNUMBER(--MID(K502,4,1)),3,MIN(LEN(K502),4))))))</f>
        <v/>
      </c>
      <c r="M502" s="11" t="str">
        <f aca="false">IF(B502="","",LEFT(K502,L502)&amp;REPT("0",4-L502)&amp;RIGHT("000"&amp;IFERROR(VALUE(MID(K502,L502+1,9)),0),3)&amp;RIGHT("0000"&amp;IFERROR(VALUE(MID(B502,FIND("-",B502)+1,9)),0),4))</f>
        <v/>
      </c>
      <c r="N502" s="11" t="str">
        <f aca="false">IF(OR(B502="",N(F502)&lt;=0),"",IF('FALTAS POR DECK'!$P$1="Código","K"&amp;M502&amp;RIGHT("00000"&amp;ROW(),5),IF('FALTAS POR DECK'!$P$1="Nome","K"&amp;UPPER(SUBSTITUTE(SUBSTITUTE(SUBSTITUTE(C502,"*",""),"?",""),"~",""))&amp;"0"&amp;M502&amp;RIGHT("00000"&amp;ROW(),5),IF('FALTAS POR DECK'!$P$1="Falta (maior primeiro)","K"&amp;RIGHT("0000"&amp;(9999-F502),4)&amp;M502&amp;RIGHT("00000"&amp;ROW(),5),IF('FALTAS POR DECK'!$P$1="Deck e código","K"&amp;RIGHT("00"&amp;IFERROR(MATCH(A502,_LEITURA!$P$2:$P$21,0),99),2)&amp;M502&amp;RIGHT("00000"&amp;ROW(),5),"K"&amp;RIGHT("00000"&amp;ROW(),5))))))</f>
        <v/>
      </c>
      <c r="O502" s="16" t="str">
        <f aca="false">IF(N502="","",COUNTIFS($N$2:$N$1201,"&lt;"&amp;N502,$F$2:$F$1201,"&gt;0")+1)</f>
        <v/>
      </c>
    </row>
    <row r="503" customFormat="false" ht="15" hidden="false" customHeight="false" outlineLevel="0" collapsed="false">
      <c r="A503" s="11" t="str">
        <f aca="false">IF(_LEITURA!$N503="","",INDEX(_LEITURA!$K$2:$K$1201,_LEITURA!$N503))</f>
        <v/>
      </c>
      <c r="B503" s="11" t="str">
        <f aca="false">IF(_LEITURA!$N503="","",INDEX(_LEITURA!$E$2:$E$1201,_LEITURA!$N503))</f>
        <v/>
      </c>
      <c r="C503" s="11" t="str">
        <f aca="false">IF(_LEITURA!$N503="","",INDEX(_LEITURA!$J$2:$J$1201,_LEITURA!$N503))</f>
        <v/>
      </c>
      <c r="D503" s="16" t="str">
        <f aca="false">IF(_LEITURA!$N503="","",INDEX(_LEITURA!$G$2:$G$1201,_LEITURA!$N503))</f>
        <v/>
      </c>
      <c r="E503" s="16" t="str">
        <f aca="false">IF(B503="","",SUMIFS(INVENTÁRIO!$C$2:$C$801,INVENTÁRIO!$A$2:$A$801,B503))</f>
        <v/>
      </c>
      <c r="F503" s="16" t="str">
        <f aca="false">IF(B503="","",MAX(0,D503-E503))</f>
        <v/>
      </c>
      <c r="G503" s="16" t="str">
        <f aca="false">IF(B503="","",IF(COUNTIFS($B$2:$B$1201,B503,$A$2:$A$1201,"&lt;&gt;"&amp;A503)&gt;0,"Sim",""))</f>
        <v/>
      </c>
      <c r="H503" s="16" t="str">
        <f aca="false">IF(N(F503)&gt;0,MAX(H$1:H502)+1,"")</f>
        <v/>
      </c>
      <c r="I503" s="11" t="str">
        <f aca="false">IF(B503="","",IF(INDEX($C$2:$C$1201,MATCH(B503,$B$2:$B$1201,0))&lt;&gt;C503,"Nome diferente em outro deck — revisar",""))</f>
        <v/>
      </c>
      <c r="J503" s="16" t="str">
        <f aca="false">IF(AND(B503&lt;&gt;"",A503=BULK!$A$1,N(F503)&gt;0),MAX(J$1:J502)+1,"")</f>
        <v/>
      </c>
      <c r="K503" s="11" t="str">
        <f aca="false">IF(B503="","",IFERROR(LEFT(B503,FIND("-",B503)-1),B503))</f>
        <v/>
      </c>
      <c r="L503" s="11" t="str">
        <f aca="false">IF(K503="","",IF(ISNUMBER(--MID(K503,1,1)),0,IF(ISNUMBER(--MID(K503,2,1)),1,IF(ISNUMBER(--MID(K503,3,1)),2,IF(ISNUMBER(--MID(K503,4,1)),3,MIN(LEN(K503),4))))))</f>
        <v/>
      </c>
      <c r="M503" s="11" t="str">
        <f aca="false">IF(B503="","",LEFT(K503,L503)&amp;REPT("0",4-L503)&amp;RIGHT("000"&amp;IFERROR(VALUE(MID(K503,L503+1,9)),0),3)&amp;RIGHT("0000"&amp;IFERROR(VALUE(MID(B503,FIND("-",B503)+1,9)),0),4))</f>
        <v/>
      </c>
      <c r="N503" s="11" t="str">
        <f aca="false">IF(OR(B503="",N(F503)&lt;=0),"",IF('FALTAS POR DECK'!$P$1="Código","K"&amp;M503&amp;RIGHT("00000"&amp;ROW(),5),IF('FALTAS POR DECK'!$P$1="Nome","K"&amp;UPPER(SUBSTITUTE(SUBSTITUTE(SUBSTITUTE(C503,"*",""),"?",""),"~",""))&amp;"0"&amp;M503&amp;RIGHT("00000"&amp;ROW(),5),IF('FALTAS POR DECK'!$P$1="Falta (maior primeiro)","K"&amp;RIGHT("0000"&amp;(9999-F503),4)&amp;M503&amp;RIGHT("00000"&amp;ROW(),5),IF('FALTAS POR DECK'!$P$1="Deck e código","K"&amp;RIGHT("00"&amp;IFERROR(MATCH(A503,_LEITURA!$P$2:$P$21,0),99),2)&amp;M503&amp;RIGHT("00000"&amp;ROW(),5),"K"&amp;RIGHT("00000"&amp;ROW(),5))))))</f>
        <v/>
      </c>
      <c r="O503" s="16" t="str">
        <f aca="false">IF(N503="","",COUNTIFS($N$2:$N$1201,"&lt;"&amp;N503,$F$2:$F$1201,"&gt;0")+1)</f>
        <v/>
      </c>
    </row>
    <row r="504" customFormat="false" ht="15" hidden="false" customHeight="false" outlineLevel="0" collapsed="false">
      <c r="A504" s="11" t="str">
        <f aca="false">IF(_LEITURA!$N504="","",INDEX(_LEITURA!$K$2:$K$1201,_LEITURA!$N504))</f>
        <v/>
      </c>
      <c r="B504" s="11" t="str">
        <f aca="false">IF(_LEITURA!$N504="","",INDEX(_LEITURA!$E$2:$E$1201,_LEITURA!$N504))</f>
        <v/>
      </c>
      <c r="C504" s="11" t="str">
        <f aca="false">IF(_LEITURA!$N504="","",INDEX(_LEITURA!$J$2:$J$1201,_LEITURA!$N504))</f>
        <v/>
      </c>
      <c r="D504" s="16" t="str">
        <f aca="false">IF(_LEITURA!$N504="","",INDEX(_LEITURA!$G$2:$G$1201,_LEITURA!$N504))</f>
        <v/>
      </c>
      <c r="E504" s="16" t="str">
        <f aca="false">IF(B504="","",SUMIFS(INVENTÁRIO!$C$2:$C$801,INVENTÁRIO!$A$2:$A$801,B504))</f>
        <v/>
      </c>
      <c r="F504" s="16" t="str">
        <f aca="false">IF(B504="","",MAX(0,D504-E504))</f>
        <v/>
      </c>
      <c r="G504" s="16" t="str">
        <f aca="false">IF(B504="","",IF(COUNTIFS($B$2:$B$1201,B504,$A$2:$A$1201,"&lt;&gt;"&amp;A504)&gt;0,"Sim",""))</f>
        <v/>
      </c>
      <c r="H504" s="16" t="str">
        <f aca="false">IF(N(F504)&gt;0,MAX(H$1:H503)+1,"")</f>
        <v/>
      </c>
      <c r="I504" s="11" t="str">
        <f aca="false">IF(B504="","",IF(INDEX($C$2:$C$1201,MATCH(B504,$B$2:$B$1201,0))&lt;&gt;C504,"Nome diferente em outro deck — revisar",""))</f>
        <v/>
      </c>
      <c r="J504" s="16" t="str">
        <f aca="false">IF(AND(B504&lt;&gt;"",A504=BULK!$A$1,N(F504)&gt;0),MAX(J$1:J503)+1,"")</f>
        <v/>
      </c>
      <c r="K504" s="11" t="str">
        <f aca="false">IF(B504="","",IFERROR(LEFT(B504,FIND("-",B504)-1),B504))</f>
        <v/>
      </c>
      <c r="L504" s="11" t="str">
        <f aca="false">IF(K504="","",IF(ISNUMBER(--MID(K504,1,1)),0,IF(ISNUMBER(--MID(K504,2,1)),1,IF(ISNUMBER(--MID(K504,3,1)),2,IF(ISNUMBER(--MID(K504,4,1)),3,MIN(LEN(K504),4))))))</f>
        <v/>
      </c>
      <c r="M504" s="11" t="str">
        <f aca="false">IF(B504="","",LEFT(K504,L504)&amp;REPT("0",4-L504)&amp;RIGHT("000"&amp;IFERROR(VALUE(MID(K504,L504+1,9)),0),3)&amp;RIGHT("0000"&amp;IFERROR(VALUE(MID(B504,FIND("-",B504)+1,9)),0),4))</f>
        <v/>
      </c>
      <c r="N504" s="11" t="str">
        <f aca="false">IF(OR(B504="",N(F504)&lt;=0),"",IF('FALTAS POR DECK'!$P$1="Código","K"&amp;M504&amp;RIGHT("00000"&amp;ROW(),5),IF('FALTAS POR DECK'!$P$1="Nome","K"&amp;UPPER(SUBSTITUTE(SUBSTITUTE(SUBSTITUTE(C504,"*",""),"?",""),"~",""))&amp;"0"&amp;M504&amp;RIGHT("00000"&amp;ROW(),5),IF('FALTAS POR DECK'!$P$1="Falta (maior primeiro)","K"&amp;RIGHT("0000"&amp;(9999-F504),4)&amp;M504&amp;RIGHT("00000"&amp;ROW(),5),IF('FALTAS POR DECK'!$P$1="Deck e código","K"&amp;RIGHT("00"&amp;IFERROR(MATCH(A504,_LEITURA!$P$2:$P$21,0),99),2)&amp;M504&amp;RIGHT("00000"&amp;ROW(),5),"K"&amp;RIGHT("00000"&amp;ROW(),5))))))</f>
        <v/>
      </c>
      <c r="O504" s="16" t="str">
        <f aca="false">IF(N504="","",COUNTIFS($N$2:$N$1201,"&lt;"&amp;N504,$F$2:$F$1201,"&gt;0")+1)</f>
        <v/>
      </c>
    </row>
    <row r="505" customFormat="false" ht="15" hidden="false" customHeight="false" outlineLevel="0" collapsed="false">
      <c r="A505" s="11" t="str">
        <f aca="false">IF(_LEITURA!$N505="","",INDEX(_LEITURA!$K$2:$K$1201,_LEITURA!$N505))</f>
        <v/>
      </c>
      <c r="B505" s="11" t="str">
        <f aca="false">IF(_LEITURA!$N505="","",INDEX(_LEITURA!$E$2:$E$1201,_LEITURA!$N505))</f>
        <v/>
      </c>
      <c r="C505" s="11" t="str">
        <f aca="false">IF(_LEITURA!$N505="","",INDEX(_LEITURA!$J$2:$J$1201,_LEITURA!$N505))</f>
        <v/>
      </c>
      <c r="D505" s="16" t="str">
        <f aca="false">IF(_LEITURA!$N505="","",INDEX(_LEITURA!$G$2:$G$1201,_LEITURA!$N505))</f>
        <v/>
      </c>
      <c r="E505" s="16" t="str">
        <f aca="false">IF(B505="","",SUMIFS(INVENTÁRIO!$C$2:$C$801,INVENTÁRIO!$A$2:$A$801,B505))</f>
        <v/>
      </c>
      <c r="F505" s="16" t="str">
        <f aca="false">IF(B505="","",MAX(0,D505-E505))</f>
        <v/>
      </c>
      <c r="G505" s="16" t="str">
        <f aca="false">IF(B505="","",IF(COUNTIFS($B$2:$B$1201,B505,$A$2:$A$1201,"&lt;&gt;"&amp;A505)&gt;0,"Sim",""))</f>
        <v/>
      </c>
      <c r="H505" s="16" t="str">
        <f aca="false">IF(N(F505)&gt;0,MAX(H$1:H504)+1,"")</f>
        <v/>
      </c>
      <c r="I505" s="11" t="str">
        <f aca="false">IF(B505="","",IF(INDEX($C$2:$C$1201,MATCH(B505,$B$2:$B$1201,0))&lt;&gt;C505,"Nome diferente em outro deck — revisar",""))</f>
        <v/>
      </c>
      <c r="J505" s="16" t="str">
        <f aca="false">IF(AND(B505&lt;&gt;"",A505=BULK!$A$1,N(F505)&gt;0),MAX(J$1:J504)+1,"")</f>
        <v/>
      </c>
      <c r="K505" s="11" t="str">
        <f aca="false">IF(B505="","",IFERROR(LEFT(B505,FIND("-",B505)-1),B505))</f>
        <v/>
      </c>
      <c r="L505" s="11" t="str">
        <f aca="false">IF(K505="","",IF(ISNUMBER(--MID(K505,1,1)),0,IF(ISNUMBER(--MID(K505,2,1)),1,IF(ISNUMBER(--MID(K505,3,1)),2,IF(ISNUMBER(--MID(K505,4,1)),3,MIN(LEN(K505),4))))))</f>
        <v/>
      </c>
      <c r="M505" s="11" t="str">
        <f aca="false">IF(B505="","",LEFT(K505,L505)&amp;REPT("0",4-L505)&amp;RIGHT("000"&amp;IFERROR(VALUE(MID(K505,L505+1,9)),0),3)&amp;RIGHT("0000"&amp;IFERROR(VALUE(MID(B505,FIND("-",B505)+1,9)),0),4))</f>
        <v/>
      </c>
      <c r="N505" s="11" t="str">
        <f aca="false">IF(OR(B505="",N(F505)&lt;=0),"",IF('FALTAS POR DECK'!$P$1="Código","K"&amp;M505&amp;RIGHT("00000"&amp;ROW(),5),IF('FALTAS POR DECK'!$P$1="Nome","K"&amp;UPPER(SUBSTITUTE(SUBSTITUTE(SUBSTITUTE(C505,"*",""),"?",""),"~",""))&amp;"0"&amp;M505&amp;RIGHT("00000"&amp;ROW(),5),IF('FALTAS POR DECK'!$P$1="Falta (maior primeiro)","K"&amp;RIGHT("0000"&amp;(9999-F505),4)&amp;M505&amp;RIGHT("00000"&amp;ROW(),5),IF('FALTAS POR DECK'!$P$1="Deck e código","K"&amp;RIGHT("00"&amp;IFERROR(MATCH(A505,_LEITURA!$P$2:$P$21,0),99),2)&amp;M505&amp;RIGHT("00000"&amp;ROW(),5),"K"&amp;RIGHT("00000"&amp;ROW(),5))))))</f>
        <v/>
      </c>
      <c r="O505" s="16" t="str">
        <f aca="false">IF(N505="","",COUNTIFS($N$2:$N$1201,"&lt;"&amp;N505,$F$2:$F$1201,"&gt;0")+1)</f>
        <v/>
      </c>
    </row>
    <row r="506" customFormat="false" ht="15" hidden="false" customHeight="false" outlineLevel="0" collapsed="false">
      <c r="A506" s="11" t="str">
        <f aca="false">IF(_LEITURA!$N506="","",INDEX(_LEITURA!$K$2:$K$1201,_LEITURA!$N506))</f>
        <v/>
      </c>
      <c r="B506" s="11" t="str">
        <f aca="false">IF(_LEITURA!$N506="","",INDEX(_LEITURA!$E$2:$E$1201,_LEITURA!$N506))</f>
        <v/>
      </c>
      <c r="C506" s="11" t="str">
        <f aca="false">IF(_LEITURA!$N506="","",INDEX(_LEITURA!$J$2:$J$1201,_LEITURA!$N506))</f>
        <v/>
      </c>
      <c r="D506" s="16" t="str">
        <f aca="false">IF(_LEITURA!$N506="","",INDEX(_LEITURA!$G$2:$G$1201,_LEITURA!$N506))</f>
        <v/>
      </c>
      <c r="E506" s="16" t="str">
        <f aca="false">IF(B506="","",SUMIFS(INVENTÁRIO!$C$2:$C$801,INVENTÁRIO!$A$2:$A$801,B506))</f>
        <v/>
      </c>
      <c r="F506" s="16" t="str">
        <f aca="false">IF(B506="","",MAX(0,D506-E506))</f>
        <v/>
      </c>
      <c r="G506" s="16" t="str">
        <f aca="false">IF(B506="","",IF(COUNTIFS($B$2:$B$1201,B506,$A$2:$A$1201,"&lt;&gt;"&amp;A506)&gt;0,"Sim",""))</f>
        <v/>
      </c>
      <c r="H506" s="16" t="str">
        <f aca="false">IF(N(F506)&gt;0,MAX(H$1:H505)+1,"")</f>
        <v/>
      </c>
      <c r="I506" s="11" t="str">
        <f aca="false">IF(B506="","",IF(INDEX($C$2:$C$1201,MATCH(B506,$B$2:$B$1201,0))&lt;&gt;C506,"Nome diferente em outro deck — revisar",""))</f>
        <v/>
      </c>
      <c r="J506" s="16" t="str">
        <f aca="false">IF(AND(B506&lt;&gt;"",A506=BULK!$A$1,N(F506)&gt;0),MAX(J$1:J505)+1,"")</f>
        <v/>
      </c>
      <c r="K506" s="11" t="str">
        <f aca="false">IF(B506="","",IFERROR(LEFT(B506,FIND("-",B506)-1),B506))</f>
        <v/>
      </c>
      <c r="L506" s="11" t="str">
        <f aca="false">IF(K506="","",IF(ISNUMBER(--MID(K506,1,1)),0,IF(ISNUMBER(--MID(K506,2,1)),1,IF(ISNUMBER(--MID(K506,3,1)),2,IF(ISNUMBER(--MID(K506,4,1)),3,MIN(LEN(K506),4))))))</f>
        <v/>
      </c>
      <c r="M506" s="11" t="str">
        <f aca="false">IF(B506="","",LEFT(K506,L506)&amp;REPT("0",4-L506)&amp;RIGHT("000"&amp;IFERROR(VALUE(MID(K506,L506+1,9)),0),3)&amp;RIGHT("0000"&amp;IFERROR(VALUE(MID(B506,FIND("-",B506)+1,9)),0),4))</f>
        <v/>
      </c>
      <c r="N506" s="11" t="str">
        <f aca="false">IF(OR(B506="",N(F506)&lt;=0),"",IF('FALTAS POR DECK'!$P$1="Código","K"&amp;M506&amp;RIGHT("00000"&amp;ROW(),5),IF('FALTAS POR DECK'!$P$1="Nome","K"&amp;UPPER(SUBSTITUTE(SUBSTITUTE(SUBSTITUTE(C506,"*",""),"?",""),"~",""))&amp;"0"&amp;M506&amp;RIGHT("00000"&amp;ROW(),5),IF('FALTAS POR DECK'!$P$1="Falta (maior primeiro)","K"&amp;RIGHT("0000"&amp;(9999-F506),4)&amp;M506&amp;RIGHT("00000"&amp;ROW(),5),IF('FALTAS POR DECK'!$P$1="Deck e código","K"&amp;RIGHT("00"&amp;IFERROR(MATCH(A506,_LEITURA!$P$2:$P$21,0),99),2)&amp;M506&amp;RIGHT("00000"&amp;ROW(),5),"K"&amp;RIGHT("00000"&amp;ROW(),5))))))</f>
        <v/>
      </c>
      <c r="O506" s="16" t="str">
        <f aca="false">IF(N506="","",COUNTIFS($N$2:$N$1201,"&lt;"&amp;N506,$F$2:$F$1201,"&gt;0")+1)</f>
        <v/>
      </c>
    </row>
    <row r="507" customFormat="false" ht="15" hidden="false" customHeight="false" outlineLevel="0" collapsed="false">
      <c r="A507" s="11" t="str">
        <f aca="false">IF(_LEITURA!$N507="","",INDEX(_LEITURA!$K$2:$K$1201,_LEITURA!$N507))</f>
        <v/>
      </c>
      <c r="B507" s="11" t="str">
        <f aca="false">IF(_LEITURA!$N507="","",INDEX(_LEITURA!$E$2:$E$1201,_LEITURA!$N507))</f>
        <v/>
      </c>
      <c r="C507" s="11" t="str">
        <f aca="false">IF(_LEITURA!$N507="","",INDEX(_LEITURA!$J$2:$J$1201,_LEITURA!$N507))</f>
        <v/>
      </c>
      <c r="D507" s="16" t="str">
        <f aca="false">IF(_LEITURA!$N507="","",INDEX(_LEITURA!$G$2:$G$1201,_LEITURA!$N507))</f>
        <v/>
      </c>
      <c r="E507" s="16" t="str">
        <f aca="false">IF(B507="","",SUMIFS(INVENTÁRIO!$C$2:$C$801,INVENTÁRIO!$A$2:$A$801,B507))</f>
        <v/>
      </c>
      <c r="F507" s="16" t="str">
        <f aca="false">IF(B507="","",MAX(0,D507-E507))</f>
        <v/>
      </c>
      <c r="G507" s="16" t="str">
        <f aca="false">IF(B507="","",IF(COUNTIFS($B$2:$B$1201,B507,$A$2:$A$1201,"&lt;&gt;"&amp;A507)&gt;0,"Sim",""))</f>
        <v/>
      </c>
      <c r="H507" s="16" t="str">
        <f aca="false">IF(N(F507)&gt;0,MAX(H$1:H506)+1,"")</f>
        <v/>
      </c>
      <c r="I507" s="11" t="str">
        <f aca="false">IF(B507="","",IF(INDEX($C$2:$C$1201,MATCH(B507,$B$2:$B$1201,0))&lt;&gt;C507,"Nome diferente em outro deck — revisar",""))</f>
        <v/>
      </c>
      <c r="J507" s="16" t="str">
        <f aca="false">IF(AND(B507&lt;&gt;"",A507=BULK!$A$1,N(F507)&gt;0),MAX(J$1:J506)+1,"")</f>
        <v/>
      </c>
      <c r="K507" s="11" t="str">
        <f aca="false">IF(B507="","",IFERROR(LEFT(B507,FIND("-",B507)-1),B507))</f>
        <v/>
      </c>
      <c r="L507" s="11" t="str">
        <f aca="false">IF(K507="","",IF(ISNUMBER(--MID(K507,1,1)),0,IF(ISNUMBER(--MID(K507,2,1)),1,IF(ISNUMBER(--MID(K507,3,1)),2,IF(ISNUMBER(--MID(K507,4,1)),3,MIN(LEN(K507),4))))))</f>
        <v/>
      </c>
      <c r="M507" s="11" t="str">
        <f aca="false">IF(B507="","",LEFT(K507,L507)&amp;REPT("0",4-L507)&amp;RIGHT("000"&amp;IFERROR(VALUE(MID(K507,L507+1,9)),0),3)&amp;RIGHT("0000"&amp;IFERROR(VALUE(MID(B507,FIND("-",B507)+1,9)),0),4))</f>
        <v/>
      </c>
      <c r="N507" s="11" t="str">
        <f aca="false">IF(OR(B507="",N(F507)&lt;=0),"",IF('FALTAS POR DECK'!$P$1="Código","K"&amp;M507&amp;RIGHT("00000"&amp;ROW(),5),IF('FALTAS POR DECK'!$P$1="Nome","K"&amp;UPPER(SUBSTITUTE(SUBSTITUTE(SUBSTITUTE(C507,"*",""),"?",""),"~",""))&amp;"0"&amp;M507&amp;RIGHT("00000"&amp;ROW(),5),IF('FALTAS POR DECK'!$P$1="Falta (maior primeiro)","K"&amp;RIGHT("0000"&amp;(9999-F507),4)&amp;M507&amp;RIGHT("00000"&amp;ROW(),5),IF('FALTAS POR DECK'!$P$1="Deck e código","K"&amp;RIGHT("00"&amp;IFERROR(MATCH(A507,_LEITURA!$P$2:$P$21,0),99),2)&amp;M507&amp;RIGHT("00000"&amp;ROW(),5),"K"&amp;RIGHT("00000"&amp;ROW(),5))))))</f>
        <v/>
      </c>
      <c r="O507" s="16" t="str">
        <f aca="false">IF(N507="","",COUNTIFS($N$2:$N$1201,"&lt;"&amp;N507,$F$2:$F$1201,"&gt;0")+1)</f>
        <v/>
      </c>
    </row>
    <row r="508" customFormat="false" ht="15" hidden="false" customHeight="false" outlineLevel="0" collapsed="false">
      <c r="A508" s="11" t="str">
        <f aca="false">IF(_LEITURA!$N508="","",INDEX(_LEITURA!$K$2:$K$1201,_LEITURA!$N508))</f>
        <v/>
      </c>
      <c r="B508" s="11" t="str">
        <f aca="false">IF(_LEITURA!$N508="","",INDEX(_LEITURA!$E$2:$E$1201,_LEITURA!$N508))</f>
        <v/>
      </c>
      <c r="C508" s="11" t="str">
        <f aca="false">IF(_LEITURA!$N508="","",INDEX(_LEITURA!$J$2:$J$1201,_LEITURA!$N508))</f>
        <v/>
      </c>
      <c r="D508" s="16" t="str">
        <f aca="false">IF(_LEITURA!$N508="","",INDEX(_LEITURA!$G$2:$G$1201,_LEITURA!$N508))</f>
        <v/>
      </c>
      <c r="E508" s="16" t="str">
        <f aca="false">IF(B508="","",SUMIFS(INVENTÁRIO!$C$2:$C$801,INVENTÁRIO!$A$2:$A$801,B508))</f>
        <v/>
      </c>
      <c r="F508" s="16" t="str">
        <f aca="false">IF(B508="","",MAX(0,D508-E508))</f>
        <v/>
      </c>
      <c r="G508" s="16" t="str">
        <f aca="false">IF(B508="","",IF(COUNTIFS($B$2:$B$1201,B508,$A$2:$A$1201,"&lt;&gt;"&amp;A508)&gt;0,"Sim",""))</f>
        <v/>
      </c>
      <c r="H508" s="16" t="str">
        <f aca="false">IF(N(F508)&gt;0,MAX(H$1:H507)+1,"")</f>
        <v/>
      </c>
      <c r="I508" s="11" t="str">
        <f aca="false">IF(B508="","",IF(INDEX($C$2:$C$1201,MATCH(B508,$B$2:$B$1201,0))&lt;&gt;C508,"Nome diferente em outro deck — revisar",""))</f>
        <v/>
      </c>
      <c r="J508" s="16" t="str">
        <f aca="false">IF(AND(B508&lt;&gt;"",A508=BULK!$A$1,N(F508)&gt;0),MAX(J$1:J507)+1,"")</f>
        <v/>
      </c>
      <c r="K508" s="11" t="str">
        <f aca="false">IF(B508="","",IFERROR(LEFT(B508,FIND("-",B508)-1),B508))</f>
        <v/>
      </c>
      <c r="L508" s="11" t="str">
        <f aca="false">IF(K508="","",IF(ISNUMBER(--MID(K508,1,1)),0,IF(ISNUMBER(--MID(K508,2,1)),1,IF(ISNUMBER(--MID(K508,3,1)),2,IF(ISNUMBER(--MID(K508,4,1)),3,MIN(LEN(K508),4))))))</f>
        <v/>
      </c>
      <c r="M508" s="11" t="str">
        <f aca="false">IF(B508="","",LEFT(K508,L508)&amp;REPT("0",4-L508)&amp;RIGHT("000"&amp;IFERROR(VALUE(MID(K508,L508+1,9)),0),3)&amp;RIGHT("0000"&amp;IFERROR(VALUE(MID(B508,FIND("-",B508)+1,9)),0),4))</f>
        <v/>
      </c>
      <c r="N508" s="11" t="str">
        <f aca="false">IF(OR(B508="",N(F508)&lt;=0),"",IF('FALTAS POR DECK'!$P$1="Código","K"&amp;M508&amp;RIGHT("00000"&amp;ROW(),5),IF('FALTAS POR DECK'!$P$1="Nome","K"&amp;UPPER(SUBSTITUTE(SUBSTITUTE(SUBSTITUTE(C508,"*",""),"?",""),"~",""))&amp;"0"&amp;M508&amp;RIGHT("00000"&amp;ROW(),5),IF('FALTAS POR DECK'!$P$1="Falta (maior primeiro)","K"&amp;RIGHT("0000"&amp;(9999-F508),4)&amp;M508&amp;RIGHT("00000"&amp;ROW(),5),IF('FALTAS POR DECK'!$P$1="Deck e código","K"&amp;RIGHT("00"&amp;IFERROR(MATCH(A508,_LEITURA!$P$2:$P$21,0),99),2)&amp;M508&amp;RIGHT("00000"&amp;ROW(),5),"K"&amp;RIGHT("00000"&amp;ROW(),5))))))</f>
        <v/>
      </c>
      <c r="O508" s="16" t="str">
        <f aca="false">IF(N508="","",COUNTIFS($N$2:$N$1201,"&lt;"&amp;N508,$F$2:$F$1201,"&gt;0")+1)</f>
        <v/>
      </c>
    </row>
    <row r="509" customFormat="false" ht="15" hidden="false" customHeight="false" outlineLevel="0" collapsed="false">
      <c r="A509" s="11" t="str">
        <f aca="false">IF(_LEITURA!$N509="","",INDEX(_LEITURA!$K$2:$K$1201,_LEITURA!$N509))</f>
        <v/>
      </c>
      <c r="B509" s="11" t="str">
        <f aca="false">IF(_LEITURA!$N509="","",INDEX(_LEITURA!$E$2:$E$1201,_LEITURA!$N509))</f>
        <v/>
      </c>
      <c r="C509" s="11" t="str">
        <f aca="false">IF(_LEITURA!$N509="","",INDEX(_LEITURA!$J$2:$J$1201,_LEITURA!$N509))</f>
        <v/>
      </c>
      <c r="D509" s="16" t="str">
        <f aca="false">IF(_LEITURA!$N509="","",INDEX(_LEITURA!$G$2:$G$1201,_LEITURA!$N509))</f>
        <v/>
      </c>
      <c r="E509" s="16" t="str">
        <f aca="false">IF(B509="","",SUMIFS(INVENTÁRIO!$C$2:$C$801,INVENTÁRIO!$A$2:$A$801,B509))</f>
        <v/>
      </c>
      <c r="F509" s="16" t="str">
        <f aca="false">IF(B509="","",MAX(0,D509-E509))</f>
        <v/>
      </c>
      <c r="G509" s="16" t="str">
        <f aca="false">IF(B509="","",IF(COUNTIFS($B$2:$B$1201,B509,$A$2:$A$1201,"&lt;&gt;"&amp;A509)&gt;0,"Sim",""))</f>
        <v/>
      </c>
      <c r="H509" s="16" t="str">
        <f aca="false">IF(N(F509)&gt;0,MAX(H$1:H508)+1,"")</f>
        <v/>
      </c>
      <c r="I509" s="11" t="str">
        <f aca="false">IF(B509="","",IF(INDEX($C$2:$C$1201,MATCH(B509,$B$2:$B$1201,0))&lt;&gt;C509,"Nome diferente em outro deck — revisar",""))</f>
        <v/>
      </c>
      <c r="J509" s="16" t="str">
        <f aca="false">IF(AND(B509&lt;&gt;"",A509=BULK!$A$1,N(F509)&gt;0),MAX(J$1:J508)+1,"")</f>
        <v/>
      </c>
      <c r="K509" s="11" t="str">
        <f aca="false">IF(B509="","",IFERROR(LEFT(B509,FIND("-",B509)-1),B509))</f>
        <v/>
      </c>
      <c r="L509" s="11" t="str">
        <f aca="false">IF(K509="","",IF(ISNUMBER(--MID(K509,1,1)),0,IF(ISNUMBER(--MID(K509,2,1)),1,IF(ISNUMBER(--MID(K509,3,1)),2,IF(ISNUMBER(--MID(K509,4,1)),3,MIN(LEN(K509),4))))))</f>
        <v/>
      </c>
      <c r="M509" s="11" t="str">
        <f aca="false">IF(B509="","",LEFT(K509,L509)&amp;REPT("0",4-L509)&amp;RIGHT("000"&amp;IFERROR(VALUE(MID(K509,L509+1,9)),0),3)&amp;RIGHT("0000"&amp;IFERROR(VALUE(MID(B509,FIND("-",B509)+1,9)),0),4))</f>
        <v/>
      </c>
      <c r="N509" s="11" t="str">
        <f aca="false">IF(OR(B509="",N(F509)&lt;=0),"",IF('FALTAS POR DECK'!$P$1="Código","K"&amp;M509&amp;RIGHT("00000"&amp;ROW(),5),IF('FALTAS POR DECK'!$P$1="Nome","K"&amp;UPPER(SUBSTITUTE(SUBSTITUTE(SUBSTITUTE(C509,"*",""),"?",""),"~",""))&amp;"0"&amp;M509&amp;RIGHT("00000"&amp;ROW(),5),IF('FALTAS POR DECK'!$P$1="Falta (maior primeiro)","K"&amp;RIGHT("0000"&amp;(9999-F509),4)&amp;M509&amp;RIGHT("00000"&amp;ROW(),5),IF('FALTAS POR DECK'!$P$1="Deck e código","K"&amp;RIGHT("00"&amp;IFERROR(MATCH(A509,_LEITURA!$P$2:$P$21,0),99),2)&amp;M509&amp;RIGHT("00000"&amp;ROW(),5),"K"&amp;RIGHT("00000"&amp;ROW(),5))))))</f>
        <v/>
      </c>
      <c r="O509" s="16" t="str">
        <f aca="false">IF(N509="","",COUNTIFS($N$2:$N$1201,"&lt;"&amp;N509,$F$2:$F$1201,"&gt;0")+1)</f>
        <v/>
      </c>
    </row>
    <row r="510" customFormat="false" ht="15" hidden="false" customHeight="false" outlineLevel="0" collapsed="false">
      <c r="A510" s="11" t="str">
        <f aca="false">IF(_LEITURA!$N510="","",INDEX(_LEITURA!$K$2:$K$1201,_LEITURA!$N510))</f>
        <v/>
      </c>
      <c r="B510" s="11" t="str">
        <f aca="false">IF(_LEITURA!$N510="","",INDEX(_LEITURA!$E$2:$E$1201,_LEITURA!$N510))</f>
        <v/>
      </c>
      <c r="C510" s="11" t="str">
        <f aca="false">IF(_LEITURA!$N510="","",INDEX(_LEITURA!$J$2:$J$1201,_LEITURA!$N510))</f>
        <v/>
      </c>
      <c r="D510" s="16" t="str">
        <f aca="false">IF(_LEITURA!$N510="","",INDEX(_LEITURA!$G$2:$G$1201,_LEITURA!$N510))</f>
        <v/>
      </c>
      <c r="E510" s="16" t="str">
        <f aca="false">IF(B510="","",SUMIFS(INVENTÁRIO!$C$2:$C$801,INVENTÁRIO!$A$2:$A$801,B510))</f>
        <v/>
      </c>
      <c r="F510" s="16" t="str">
        <f aca="false">IF(B510="","",MAX(0,D510-E510))</f>
        <v/>
      </c>
      <c r="G510" s="16" t="str">
        <f aca="false">IF(B510="","",IF(COUNTIFS($B$2:$B$1201,B510,$A$2:$A$1201,"&lt;&gt;"&amp;A510)&gt;0,"Sim",""))</f>
        <v/>
      </c>
      <c r="H510" s="16" t="str">
        <f aca="false">IF(N(F510)&gt;0,MAX(H$1:H509)+1,"")</f>
        <v/>
      </c>
      <c r="I510" s="11" t="str">
        <f aca="false">IF(B510="","",IF(INDEX($C$2:$C$1201,MATCH(B510,$B$2:$B$1201,0))&lt;&gt;C510,"Nome diferente em outro deck — revisar",""))</f>
        <v/>
      </c>
      <c r="J510" s="16" t="str">
        <f aca="false">IF(AND(B510&lt;&gt;"",A510=BULK!$A$1,N(F510)&gt;0),MAX(J$1:J509)+1,"")</f>
        <v/>
      </c>
      <c r="K510" s="11" t="str">
        <f aca="false">IF(B510="","",IFERROR(LEFT(B510,FIND("-",B510)-1),B510))</f>
        <v/>
      </c>
      <c r="L510" s="11" t="str">
        <f aca="false">IF(K510="","",IF(ISNUMBER(--MID(K510,1,1)),0,IF(ISNUMBER(--MID(K510,2,1)),1,IF(ISNUMBER(--MID(K510,3,1)),2,IF(ISNUMBER(--MID(K510,4,1)),3,MIN(LEN(K510),4))))))</f>
        <v/>
      </c>
      <c r="M510" s="11" t="str">
        <f aca="false">IF(B510="","",LEFT(K510,L510)&amp;REPT("0",4-L510)&amp;RIGHT("000"&amp;IFERROR(VALUE(MID(K510,L510+1,9)),0),3)&amp;RIGHT("0000"&amp;IFERROR(VALUE(MID(B510,FIND("-",B510)+1,9)),0),4))</f>
        <v/>
      </c>
      <c r="N510" s="11" t="str">
        <f aca="false">IF(OR(B510="",N(F510)&lt;=0),"",IF('FALTAS POR DECK'!$P$1="Código","K"&amp;M510&amp;RIGHT("00000"&amp;ROW(),5),IF('FALTAS POR DECK'!$P$1="Nome","K"&amp;UPPER(SUBSTITUTE(SUBSTITUTE(SUBSTITUTE(C510,"*",""),"?",""),"~",""))&amp;"0"&amp;M510&amp;RIGHT("00000"&amp;ROW(),5),IF('FALTAS POR DECK'!$P$1="Falta (maior primeiro)","K"&amp;RIGHT("0000"&amp;(9999-F510),4)&amp;M510&amp;RIGHT("00000"&amp;ROW(),5),IF('FALTAS POR DECK'!$P$1="Deck e código","K"&amp;RIGHT("00"&amp;IFERROR(MATCH(A510,_LEITURA!$P$2:$P$21,0),99),2)&amp;M510&amp;RIGHT("00000"&amp;ROW(),5),"K"&amp;RIGHT("00000"&amp;ROW(),5))))))</f>
        <v/>
      </c>
      <c r="O510" s="16" t="str">
        <f aca="false">IF(N510="","",COUNTIFS($N$2:$N$1201,"&lt;"&amp;N510,$F$2:$F$1201,"&gt;0")+1)</f>
        <v/>
      </c>
    </row>
    <row r="511" customFormat="false" ht="15" hidden="false" customHeight="false" outlineLevel="0" collapsed="false">
      <c r="A511" s="11" t="str">
        <f aca="false">IF(_LEITURA!$N511="","",INDEX(_LEITURA!$K$2:$K$1201,_LEITURA!$N511))</f>
        <v/>
      </c>
      <c r="B511" s="11" t="str">
        <f aca="false">IF(_LEITURA!$N511="","",INDEX(_LEITURA!$E$2:$E$1201,_LEITURA!$N511))</f>
        <v/>
      </c>
      <c r="C511" s="11" t="str">
        <f aca="false">IF(_LEITURA!$N511="","",INDEX(_LEITURA!$J$2:$J$1201,_LEITURA!$N511))</f>
        <v/>
      </c>
      <c r="D511" s="16" t="str">
        <f aca="false">IF(_LEITURA!$N511="","",INDEX(_LEITURA!$G$2:$G$1201,_LEITURA!$N511))</f>
        <v/>
      </c>
      <c r="E511" s="16" t="str">
        <f aca="false">IF(B511="","",SUMIFS(INVENTÁRIO!$C$2:$C$801,INVENTÁRIO!$A$2:$A$801,B511))</f>
        <v/>
      </c>
      <c r="F511" s="16" t="str">
        <f aca="false">IF(B511="","",MAX(0,D511-E511))</f>
        <v/>
      </c>
      <c r="G511" s="16" t="str">
        <f aca="false">IF(B511="","",IF(COUNTIFS($B$2:$B$1201,B511,$A$2:$A$1201,"&lt;&gt;"&amp;A511)&gt;0,"Sim",""))</f>
        <v/>
      </c>
      <c r="H511" s="16" t="str">
        <f aca="false">IF(N(F511)&gt;0,MAX(H$1:H510)+1,"")</f>
        <v/>
      </c>
      <c r="I511" s="11" t="str">
        <f aca="false">IF(B511="","",IF(INDEX($C$2:$C$1201,MATCH(B511,$B$2:$B$1201,0))&lt;&gt;C511,"Nome diferente em outro deck — revisar",""))</f>
        <v/>
      </c>
      <c r="J511" s="16" t="str">
        <f aca="false">IF(AND(B511&lt;&gt;"",A511=BULK!$A$1,N(F511)&gt;0),MAX(J$1:J510)+1,"")</f>
        <v/>
      </c>
      <c r="K511" s="11" t="str">
        <f aca="false">IF(B511="","",IFERROR(LEFT(B511,FIND("-",B511)-1),B511))</f>
        <v/>
      </c>
      <c r="L511" s="11" t="str">
        <f aca="false">IF(K511="","",IF(ISNUMBER(--MID(K511,1,1)),0,IF(ISNUMBER(--MID(K511,2,1)),1,IF(ISNUMBER(--MID(K511,3,1)),2,IF(ISNUMBER(--MID(K511,4,1)),3,MIN(LEN(K511),4))))))</f>
        <v/>
      </c>
      <c r="M511" s="11" t="str">
        <f aca="false">IF(B511="","",LEFT(K511,L511)&amp;REPT("0",4-L511)&amp;RIGHT("000"&amp;IFERROR(VALUE(MID(K511,L511+1,9)),0),3)&amp;RIGHT("0000"&amp;IFERROR(VALUE(MID(B511,FIND("-",B511)+1,9)),0),4))</f>
        <v/>
      </c>
      <c r="N511" s="11" t="str">
        <f aca="false">IF(OR(B511="",N(F511)&lt;=0),"",IF('FALTAS POR DECK'!$P$1="Código","K"&amp;M511&amp;RIGHT("00000"&amp;ROW(),5),IF('FALTAS POR DECK'!$P$1="Nome","K"&amp;UPPER(SUBSTITUTE(SUBSTITUTE(SUBSTITUTE(C511,"*",""),"?",""),"~",""))&amp;"0"&amp;M511&amp;RIGHT("00000"&amp;ROW(),5),IF('FALTAS POR DECK'!$P$1="Falta (maior primeiro)","K"&amp;RIGHT("0000"&amp;(9999-F511),4)&amp;M511&amp;RIGHT("00000"&amp;ROW(),5),IF('FALTAS POR DECK'!$P$1="Deck e código","K"&amp;RIGHT("00"&amp;IFERROR(MATCH(A511,_LEITURA!$P$2:$P$21,0),99),2)&amp;M511&amp;RIGHT("00000"&amp;ROW(),5),"K"&amp;RIGHT("00000"&amp;ROW(),5))))))</f>
        <v/>
      </c>
      <c r="O511" s="16" t="str">
        <f aca="false">IF(N511="","",COUNTIFS($N$2:$N$1201,"&lt;"&amp;N511,$F$2:$F$1201,"&gt;0")+1)</f>
        <v/>
      </c>
    </row>
    <row r="512" customFormat="false" ht="15" hidden="false" customHeight="false" outlineLevel="0" collapsed="false">
      <c r="A512" s="11" t="str">
        <f aca="false">IF(_LEITURA!$N512="","",INDEX(_LEITURA!$K$2:$K$1201,_LEITURA!$N512))</f>
        <v/>
      </c>
      <c r="B512" s="11" t="str">
        <f aca="false">IF(_LEITURA!$N512="","",INDEX(_LEITURA!$E$2:$E$1201,_LEITURA!$N512))</f>
        <v/>
      </c>
      <c r="C512" s="11" t="str">
        <f aca="false">IF(_LEITURA!$N512="","",INDEX(_LEITURA!$J$2:$J$1201,_LEITURA!$N512))</f>
        <v/>
      </c>
      <c r="D512" s="16" t="str">
        <f aca="false">IF(_LEITURA!$N512="","",INDEX(_LEITURA!$G$2:$G$1201,_LEITURA!$N512))</f>
        <v/>
      </c>
      <c r="E512" s="16" t="str">
        <f aca="false">IF(B512="","",SUMIFS(INVENTÁRIO!$C$2:$C$801,INVENTÁRIO!$A$2:$A$801,B512))</f>
        <v/>
      </c>
      <c r="F512" s="16" t="str">
        <f aca="false">IF(B512="","",MAX(0,D512-E512))</f>
        <v/>
      </c>
      <c r="G512" s="16" t="str">
        <f aca="false">IF(B512="","",IF(COUNTIFS($B$2:$B$1201,B512,$A$2:$A$1201,"&lt;&gt;"&amp;A512)&gt;0,"Sim",""))</f>
        <v/>
      </c>
      <c r="H512" s="16" t="str">
        <f aca="false">IF(N(F512)&gt;0,MAX(H$1:H511)+1,"")</f>
        <v/>
      </c>
      <c r="I512" s="11" t="str">
        <f aca="false">IF(B512="","",IF(INDEX($C$2:$C$1201,MATCH(B512,$B$2:$B$1201,0))&lt;&gt;C512,"Nome diferente em outro deck — revisar",""))</f>
        <v/>
      </c>
      <c r="J512" s="16" t="str">
        <f aca="false">IF(AND(B512&lt;&gt;"",A512=BULK!$A$1,N(F512)&gt;0),MAX(J$1:J511)+1,"")</f>
        <v/>
      </c>
      <c r="K512" s="11" t="str">
        <f aca="false">IF(B512="","",IFERROR(LEFT(B512,FIND("-",B512)-1),B512))</f>
        <v/>
      </c>
      <c r="L512" s="11" t="str">
        <f aca="false">IF(K512="","",IF(ISNUMBER(--MID(K512,1,1)),0,IF(ISNUMBER(--MID(K512,2,1)),1,IF(ISNUMBER(--MID(K512,3,1)),2,IF(ISNUMBER(--MID(K512,4,1)),3,MIN(LEN(K512),4))))))</f>
        <v/>
      </c>
      <c r="M512" s="11" t="str">
        <f aca="false">IF(B512="","",LEFT(K512,L512)&amp;REPT("0",4-L512)&amp;RIGHT("000"&amp;IFERROR(VALUE(MID(K512,L512+1,9)),0),3)&amp;RIGHT("0000"&amp;IFERROR(VALUE(MID(B512,FIND("-",B512)+1,9)),0),4))</f>
        <v/>
      </c>
      <c r="N512" s="11" t="str">
        <f aca="false">IF(OR(B512="",N(F512)&lt;=0),"",IF('FALTAS POR DECK'!$P$1="Código","K"&amp;M512&amp;RIGHT("00000"&amp;ROW(),5),IF('FALTAS POR DECK'!$P$1="Nome","K"&amp;UPPER(SUBSTITUTE(SUBSTITUTE(SUBSTITUTE(C512,"*",""),"?",""),"~",""))&amp;"0"&amp;M512&amp;RIGHT("00000"&amp;ROW(),5),IF('FALTAS POR DECK'!$P$1="Falta (maior primeiro)","K"&amp;RIGHT("0000"&amp;(9999-F512),4)&amp;M512&amp;RIGHT("00000"&amp;ROW(),5),IF('FALTAS POR DECK'!$P$1="Deck e código","K"&amp;RIGHT("00"&amp;IFERROR(MATCH(A512,_LEITURA!$P$2:$P$21,0),99),2)&amp;M512&amp;RIGHT("00000"&amp;ROW(),5),"K"&amp;RIGHT("00000"&amp;ROW(),5))))))</f>
        <v/>
      </c>
      <c r="O512" s="16" t="str">
        <f aca="false">IF(N512="","",COUNTIFS($N$2:$N$1201,"&lt;"&amp;N512,$F$2:$F$1201,"&gt;0")+1)</f>
        <v/>
      </c>
    </row>
    <row r="513" customFormat="false" ht="15" hidden="false" customHeight="false" outlineLevel="0" collapsed="false">
      <c r="A513" s="11" t="str">
        <f aca="false">IF(_LEITURA!$N513="","",INDEX(_LEITURA!$K$2:$K$1201,_LEITURA!$N513))</f>
        <v/>
      </c>
      <c r="B513" s="11" t="str">
        <f aca="false">IF(_LEITURA!$N513="","",INDEX(_LEITURA!$E$2:$E$1201,_LEITURA!$N513))</f>
        <v/>
      </c>
      <c r="C513" s="11" t="str">
        <f aca="false">IF(_LEITURA!$N513="","",INDEX(_LEITURA!$J$2:$J$1201,_LEITURA!$N513))</f>
        <v/>
      </c>
      <c r="D513" s="16" t="str">
        <f aca="false">IF(_LEITURA!$N513="","",INDEX(_LEITURA!$G$2:$G$1201,_LEITURA!$N513))</f>
        <v/>
      </c>
      <c r="E513" s="16" t="str">
        <f aca="false">IF(B513="","",SUMIFS(INVENTÁRIO!$C$2:$C$801,INVENTÁRIO!$A$2:$A$801,B513))</f>
        <v/>
      </c>
      <c r="F513" s="16" t="str">
        <f aca="false">IF(B513="","",MAX(0,D513-E513))</f>
        <v/>
      </c>
      <c r="G513" s="16" t="str">
        <f aca="false">IF(B513="","",IF(COUNTIFS($B$2:$B$1201,B513,$A$2:$A$1201,"&lt;&gt;"&amp;A513)&gt;0,"Sim",""))</f>
        <v/>
      </c>
      <c r="H513" s="16" t="str">
        <f aca="false">IF(N(F513)&gt;0,MAX(H$1:H512)+1,"")</f>
        <v/>
      </c>
      <c r="I513" s="11" t="str">
        <f aca="false">IF(B513="","",IF(INDEX($C$2:$C$1201,MATCH(B513,$B$2:$B$1201,0))&lt;&gt;C513,"Nome diferente em outro deck — revisar",""))</f>
        <v/>
      </c>
      <c r="J513" s="16" t="str">
        <f aca="false">IF(AND(B513&lt;&gt;"",A513=BULK!$A$1,N(F513)&gt;0),MAX(J$1:J512)+1,"")</f>
        <v/>
      </c>
      <c r="K513" s="11" t="str">
        <f aca="false">IF(B513="","",IFERROR(LEFT(B513,FIND("-",B513)-1),B513))</f>
        <v/>
      </c>
      <c r="L513" s="11" t="str">
        <f aca="false">IF(K513="","",IF(ISNUMBER(--MID(K513,1,1)),0,IF(ISNUMBER(--MID(K513,2,1)),1,IF(ISNUMBER(--MID(K513,3,1)),2,IF(ISNUMBER(--MID(K513,4,1)),3,MIN(LEN(K513),4))))))</f>
        <v/>
      </c>
      <c r="M513" s="11" t="str">
        <f aca="false">IF(B513="","",LEFT(K513,L513)&amp;REPT("0",4-L513)&amp;RIGHT("000"&amp;IFERROR(VALUE(MID(K513,L513+1,9)),0),3)&amp;RIGHT("0000"&amp;IFERROR(VALUE(MID(B513,FIND("-",B513)+1,9)),0),4))</f>
        <v/>
      </c>
      <c r="N513" s="11" t="str">
        <f aca="false">IF(OR(B513="",N(F513)&lt;=0),"",IF('FALTAS POR DECK'!$P$1="Código","K"&amp;M513&amp;RIGHT("00000"&amp;ROW(),5),IF('FALTAS POR DECK'!$P$1="Nome","K"&amp;UPPER(SUBSTITUTE(SUBSTITUTE(SUBSTITUTE(C513,"*",""),"?",""),"~",""))&amp;"0"&amp;M513&amp;RIGHT("00000"&amp;ROW(),5),IF('FALTAS POR DECK'!$P$1="Falta (maior primeiro)","K"&amp;RIGHT("0000"&amp;(9999-F513),4)&amp;M513&amp;RIGHT("00000"&amp;ROW(),5),IF('FALTAS POR DECK'!$P$1="Deck e código","K"&amp;RIGHT("00"&amp;IFERROR(MATCH(A513,_LEITURA!$P$2:$P$21,0),99),2)&amp;M513&amp;RIGHT("00000"&amp;ROW(),5),"K"&amp;RIGHT("00000"&amp;ROW(),5))))))</f>
        <v/>
      </c>
      <c r="O513" s="16" t="str">
        <f aca="false">IF(N513="","",COUNTIFS($N$2:$N$1201,"&lt;"&amp;N513,$F$2:$F$1201,"&gt;0")+1)</f>
        <v/>
      </c>
    </row>
    <row r="514" customFormat="false" ht="15" hidden="false" customHeight="false" outlineLevel="0" collapsed="false">
      <c r="A514" s="11" t="str">
        <f aca="false">IF(_LEITURA!$N514="","",INDEX(_LEITURA!$K$2:$K$1201,_LEITURA!$N514))</f>
        <v/>
      </c>
      <c r="B514" s="11" t="str">
        <f aca="false">IF(_LEITURA!$N514="","",INDEX(_LEITURA!$E$2:$E$1201,_LEITURA!$N514))</f>
        <v/>
      </c>
      <c r="C514" s="11" t="str">
        <f aca="false">IF(_LEITURA!$N514="","",INDEX(_LEITURA!$J$2:$J$1201,_LEITURA!$N514))</f>
        <v/>
      </c>
      <c r="D514" s="16" t="str">
        <f aca="false">IF(_LEITURA!$N514="","",INDEX(_LEITURA!$G$2:$G$1201,_LEITURA!$N514))</f>
        <v/>
      </c>
      <c r="E514" s="16" t="str">
        <f aca="false">IF(B514="","",SUMIFS(INVENTÁRIO!$C$2:$C$801,INVENTÁRIO!$A$2:$A$801,B514))</f>
        <v/>
      </c>
      <c r="F514" s="16" t="str">
        <f aca="false">IF(B514="","",MAX(0,D514-E514))</f>
        <v/>
      </c>
      <c r="G514" s="16" t="str">
        <f aca="false">IF(B514="","",IF(COUNTIFS($B$2:$B$1201,B514,$A$2:$A$1201,"&lt;&gt;"&amp;A514)&gt;0,"Sim",""))</f>
        <v/>
      </c>
      <c r="H514" s="16" t="str">
        <f aca="false">IF(N(F514)&gt;0,MAX(H$1:H513)+1,"")</f>
        <v/>
      </c>
      <c r="I514" s="11" t="str">
        <f aca="false">IF(B514="","",IF(INDEX($C$2:$C$1201,MATCH(B514,$B$2:$B$1201,0))&lt;&gt;C514,"Nome diferente em outro deck — revisar",""))</f>
        <v/>
      </c>
      <c r="J514" s="16" t="str">
        <f aca="false">IF(AND(B514&lt;&gt;"",A514=BULK!$A$1,N(F514)&gt;0),MAX(J$1:J513)+1,"")</f>
        <v/>
      </c>
      <c r="K514" s="11" t="str">
        <f aca="false">IF(B514="","",IFERROR(LEFT(B514,FIND("-",B514)-1),B514))</f>
        <v/>
      </c>
      <c r="L514" s="11" t="str">
        <f aca="false">IF(K514="","",IF(ISNUMBER(--MID(K514,1,1)),0,IF(ISNUMBER(--MID(K514,2,1)),1,IF(ISNUMBER(--MID(K514,3,1)),2,IF(ISNUMBER(--MID(K514,4,1)),3,MIN(LEN(K514),4))))))</f>
        <v/>
      </c>
      <c r="M514" s="11" t="str">
        <f aca="false">IF(B514="","",LEFT(K514,L514)&amp;REPT("0",4-L514)&amp;RIGHT("000"&amp;IFERROR(VALUE(MID(K514,L514+1,9)),0),3)&amp;RIGHT("0000"&amp;IFERROR(VALUE(MID(B514,FIND("-",B514)+1,9)),0),4))</f>
        <v/>
      </c>
      <c r="N514" s="11" t="str">
        <f aca="false">IF(OR(B514="",N(F514)&lt;=0),"",IF('FALTAS POR DECK'!$P$1="Código","K"&amp;M514&amp;RIGHT("00000"&amp;ROW(),5),IF('FALTAS POR DECK'!$P$1="Nome","K"&amp;UPPER(SUBSTITUTE(SUBSTITUTE(SUBSTITUTE(C514,"*",""),"?",""),"~",""))&amp;"0"&amp;M514&amp;RIGHT("00000"&amp;ROW(),5),IF('FALTAS POR DECK'!$P$1="Falta (maior primeiro)","K"&amp;RIGHT("0000"&amp;(9999-F514),4)&amp;M514&amp;RIGHT("00000"&amp;ROW(),5),IF('FALTAS POR DECK'!$P$1="Deck e código","K"&amp;RIGHT("00"&amp;IFERROR(MATCH(A514,_LEITURA!$P$2:$P$21,0),99),2)&amp;M514&amp;RIGHT("00000"&amp;ROW(),5),"K"&amp;RIGHT("00000"&amp;ROW(),5))))))</f>
        <v/>
      </c>
      <c r="O514" s="16" t="str">
        <f aca="false">IF(N514="","",COUNTIFS($N$2:$N$1201,"&lt;"&amp;N514,$F$2:$F$1201,"&gt;0")+1)</f>
        <v/>
      </c>
    </row>
    <row r="515" customFormat="false" ht="15" hidden="false" customHeight="false" outlineLevel="0" collapsed="false">
      <c r="A515" s="11" t="str">
        <f aca="false">IF(_LEITURA!$N515="","",INDEX(_LEITURA!$K$2:$K$1201,_LEITURA!$N515))</f>
        <v/>
      </c>
      <c r="B515" s="11" t="str">
        <f aca="false">IF(_LEITURA!$N515="","",INDEX(_LEITURA!$E$2:$E$1201,_LEITURA!$N515))</f>
        <v/>
      </c>
      <c r="C515" s="11" t="str">
        <f aca="false">IF(_LEITURA!$N515="","",INDEX(_LEITURA!$J$2:$J$1201,_LEITURA!$N515))</f>
        <v/>
      </c>
      <c r="D515" s="16" t="str">
        <f aca="false">IF(_LEITURA!$N515="","",INDEX(_LEITURA!$G$2:$G$1201,_LEITURA!$N515))</f>
        <v/>
      </c>
      <c r="E515" s="16" t="str">
        <f aca="false">IF(B515="","",SUMIFS(INVENTÁRIO!$C$2:$C$801,INVENTÁRIO!$A$2:$A$801,B515))</f>
        <v/>
      </c>
      <c r="F515" s="16" t="str">
        <f aca="false">IF(B515="","",MAX(0,D515-E515))</f>
        <v/>
      </c>
      <c r="G515" s="16" t="str">
        <f aca="false">IF(B515="","",IF(COUNTIFS($B$2:$B$1201,B515,$A$2:$A$1201,"&lt;&gt;"&amp;A515)&gt;0,"Sim",""))</f>
        <v/>
      </c>
      <c r="H515" s="16" t="str">
        <f aca="false">IF(N(F515)&gt;0,MAX(H$1:H514)+1,"")</f>
        <v/>
      </c>
      <c r="I515" s="11" t="str">
        <f aca="false">IF(B515="","",IF(INDEX($C$2:$C$1201,MATCH(B515,$B$2:$B$1201,0))&lt;&gt;C515,"Nome diferente em outro deck — revisar",""))</f>
        <v/>
      </c>
      <c r="J515" s="16" t="str">
        <f aca="false">IF(AND(B515&lt;&gt;"",A515=BULK!$A$1,N(F515)&gt;0),MAX(J$1:J514)+1,"")</f>
        <v/>
      </c>
      <c r="K515" s="11" t="str">
        <f aca="false">IF(B515="","",IFERROR(LEFT(B515,FIND("-",B515)-1),B515))</f>
        <v/>
      </c>
      <c r="L515" s="11" t="str">
        <f aca="false">IF(K515="","",IF(ISNUMBER(--MID(K515,1,1)),0,IF(ISNUMBER(--MID(K515,2,1)),1,IF(ISNUMBER(--MID(K515,3,1)),2,IF(ISNUMBER(--MID(K515,4,1)),3,MIN(LEN(K515),4))))))</f>
        <v/>
      </c>
      <c r="M515" s="11" t="str">
        <f aca="false">IF(B515="","",LEFT(K515,L515)&amp;REPT("0",4-L515)&amp;RIGHT("000"&amp;IFERROR(VALUE(MID(K515,L515+1,9)),0),3)&amp;RIGHT("0000"&amp;IFERROR(VALUE(MID(B515,FIND("-",B515)+1,9)),0),4))</f>
        <v/>
      </c>
      <c r="N515" s="11" t="str">
        <f aca="false">IF(OR(B515="",N(F515)&lt;=0),"",IF('FALTAS POR DECK'!$P$1="Código","K"&amp;M515&amp;RIGHT("00000"&amp;ROW(),5),IF('FALTAS POR DECK'!$P$1="Nome","K"&amp;UPPER(SUBSTITUTE(SUBSTITUTE(SUBSTITUTE(C515,"*",""),"?",""),"~",""))&amp;"0"&amp;M515&amp;RIGHT("00000"&amp;ROW(),5),IF('FALTAS POR DECK'!$P$1="Falta (maior primeiro)","K"&amp;RIGHT("0000"&amp;(9999-F515),4)&amp;M515&amp;RIGHT("00000"&amp;ROW(),5),IF('FALTAS POR DECK'!$P$1="Deck e código","K"&amp;RIGHT("00"&amp;IFERROR(MATCH(A515,_LEITURA!$P$2:$P$21,0),99),2)&amp;M515&amp;RIGHT("00000"&amp;ROW(),5),"K"&amp;RIGHT("00000"&amp;ROW(),5))))))</f>
        <v/>
      </c>
      <c r="O515" s="16" t="str">
        <f aca="false">IF(N515="","",COUNTIFS($N$2:$N$1201,"&lt;"&amp;N515,$F$2:$F$1201,"&gt;0")+1)</f>
        <v/>
      </c>
    </row>
    <row r="516" customFormat="false" ht="15" hidden="false" customHeight="false" outlineLevel="0" collapsed="false">
      <c r="A516" s="11" t="str">
        <f aca="false">IF(_LEITURA!$N516="","",INDEX(_LEITURA!$K$2:$K$1201,_LEITURA!$N516))</f>
        <v/>
      </c>
      <c r="B516" s="11" t="str">
        <f aca="false">IF(_LEITURA!$N516="","",INDEX(_LEITURA!$E$2:$E$1201,_LEITURA!$N516))</f>
        <v/>
      </c>
      <c r="C516" s="11" t="str">
        <f aca="false">IF(_LEITURA!$N516="","",INDEX(_LEITURA!$J$2:$J$1201,_LEITURA!$N516))</f>
        <v/>
      </c>
      <c r="D516" s="16" t="str">
        <f aca="false">IF(_LEITURA!$N516="","",INDEX(_LEITURA!$G$2:$G$1201,_LEITURA!$N516))</f>
        <v/>
      </c>
      <c r="E516" s="16" t="str">
        <f aca="false">IF(B516="","",SUMIFS(INVENTÁRIO!$C$2:$C$801,INVENTÁRIO!$A$2:$A$801,B516))</f>
        <v/>
      </c>
      <c r="F516" s="16" t="str">
        <f aca="false">IF(B516="","",MAX(0,D516-E516))</f>
        <v/>
      </c>
      <c r="G516" s="16" t="str">
        <f aca="false">IF(B516="","",IF(COUNTIFS($B$2:$B$1201,B516,$A$2:$A$1201,"&lt;&gt;"&amp;A516)&gt;0,"Sim",""))</f>
        <v/>
      </c>
      <c r="H516" s="16" t="str">
        <f aca="false">IF(N(F516)&gt;0,MAX(H$1:H515)+1,"")</f>
        <v/>
      </c>
      <c r="I516" s="11" t="str">
        <f aca="false">IF(B516="","",IF(INDEX($C$2:$C$1201,MATCH(B516,$B$2:$B$1201,0))&lt;&gt;C516,"Nome diferente em outro deck — revisar",""))</f>
        <v/>
      </c>
      <c r="J516" s="16" t="str">
        <f aca="false">IF(AND(B516&lt;&gt;"",A516=BULK!$A$1,N(F516)&gt;0),MAX(J$1:J515)+1,"")</f>
        <v/>
      </c>
      <c r="K516" s="11" t="str">
        <f aca="false">IF(B516="","",IFERROR(LEFT(B516,FIND("-",B516)-1),B516))</f>
        <v/>
      </c>
      <c r="L516" s="11" t="str">
        <f aca="false">IF(K516="","",IF(ISNUMBER(--MID(K516,1,1)),0,IF(ISNUMBER(--MID(K516,2,1)),1,IF(ISNUMBER(--MID(K516,3,1)),2,IF(ISNUMBER(--MID(K516,4,1)),3,MIN(LEN(K516),4))))))</f>
        <v/>
      </c>
      <c r="M516" s="11" t="str">
        <f aca="false">IF(B516="","",LEFT(K516,L516)&amp;REPT("0",4-L516)&amp;RIGHT("000"&amp;IFERROR(VALUE(MID(K516,L516+1,9)),0),3)&amp;RIGHT("0000"&amp;IFERROR(VALUE(MID(B516,FIND("-",B516)+1,9)),0),4))</f>
        <v/>
      </c>
      <c r="N516" s="11" t="str">
        <f aca="false">IF(OR(B516="",N(F516)&lt;=0),"",IF('FALTAS POR DECK'!$P$1="Código","K"&amp;M516&amp;RIGHT("00000"&amp;ROW(),5),IF('FALTAS POR DECK'!$P$1="Nome","K"&amp;UPPER(SUBSTITUTE(SUBSTITUTE(SUBSTITUTE(C516,"*",""),"?",""),"~",""))&amp;"0"&amp;M516&amp;RIGHT("00000"&amp;ROW(),5),IF('FALTAS POR DECK'!$P$1="Falta (maior primeiro)","K"&amp;RIGHT("0000"&amp;(9999-F516),4)&amp;M516&amp;RIGHT("00000"&amp;ROW(),5),IF('FALTAS POR DECK'!$P$1="Deck e código","K"&amp;RIGHT("00"&amp;IFERROR(MATCH(A516,_LEITURA!$P$2:$P$21,0),99),2)&amp;M516&amp;RIGHT("00000"&amp;ROW(),5),"K"&amp;RIGHT("00000"&amp;ROW(),5))))))</f>
        <v/>
      </c>
      <c r="O516" s="16" t="str">
        <f aca="false">IF(N516="","",COUNTIFS($N$2:$N$1201,"&lt;"&amp;N516,$F$2:$F$1201,"&gt;0")+1)</f>
        <v/>
      </c>
    </row>
    <row r="517" customFormat="false" ht="15" hidden="false" customHeight="false" outlineLevel="0" collapsed="false">
      <c r="A517" s="11" t="str">
        <f aca="false">IF(_LEITURA!$N517="","",INDEX(_LEITURA!$K$2:$K$1201,_LEITURA!$N517))</f>
        <v/>
      </c>
      <c r="B517" s="11" t="str">
        <f aca="false">IF(_LEITURA!$N517="","",INDEX(_LEITURA!$E$2:$E$1201,_LEITURA!$N517))</f>
        <v/>
      </c>
      <c r="C517" s="11" t="str">
        <f aca="false">IF(_LEITURA!$N517="","",INDEX(_LEITURA!$J$2:$J$1201,_LEITURA!$N517))</f>
        <v/>
      </c>
      <c r="D517" s="16" t="str">
        <f aca="false">IF(_LEITURA!$N517="","",INDEX(_LEITURA!$G$2:$G$1201,_LEITURA!$N517))</f>
        <v/>
      </c>
      <c r="E517" s="16" t="str">
        <f aca="false">IF(B517="","",SUMIFS(INVENTÁRIO!$C$2:$C$801,INVENTÁRIO!$A$2:$A$801,B517))</f>
        <v/>
      </c>
      <c r="F517" s="16" t="str">
        <f aca="false">IF(B517="","",MAX(0,D517-E517))</f>
        <v/>
      </c>
      <c r="G517" s="16" t="str">
        <f aca="false">IF(B517="","",IF(COUNTIFS($B$2:$B$1201,B517,$A$2:$A$1201,"&lt;&gt;"&amp;A517)&gt;0,"Sim",""))</f>
        <v/>
      </c>
      <c r="H517" s="16" t="str">
        <f aca="false">IF(N(F517)&gt;0,MAX(H$1:H516)+1,"")</f>
        <v/>
      </c>
      <c r="I517" s="11" t="str">
        <f aca="false">IF(B517="","",IF(INDEX($C$2:$C$1201,MATCH(B517,$B$2:$B$1201,0))&lt;&gt;C517,"Nome diferente em outro deck — revisar",""))</f>
        <v/>
      </c>
      <c r="J517" s="16" t="str">
        <f aca="false">IF(AND(B517&lt;&gt;"",A517=BULK!$A$1,N(F517)&gt;0),MAX(J$1:J516)+1,"")</f>
        <v/>
      </c>
      <c r="K517" s="11" t="str">
        <f aca="false">IF(B517="","",IFERROR(LEFT(B517,FIND("-",B517)-1),B517))</f>
        <v/>
      </c>
      <c r="L517" s="11" t="str">
        <f aca="false">IF(K517="","",IF(ISNUMBER(--MID(K517,1,1)),0,IF(ISNUMBER(--MID(K517,2,1)),1,IF(ISNUMBER(--MID(K517,3,1)),2,IF(ISNUMBER(--MID(K517,4,1)),3,MIN(LEN(K517),4))))))</f>
        <v/>
      </c>
      <c r="M517" s="11" t="str">
        <f aca="false">IF(B517="","",LEFT(K517,L517)&amp;REPT("0",4-L517)&amp;RIGHT("000"&amp;IFERROR(VALUE(MID(K517,L517+1,9)),0),3)&amp;RIGHT("0000"&amp;IFERROR(VALUE(MID(B517,FIND("-",B517)+1,9)),0),4))</f>
        <v/>
      </c>
      <c r="N517" s="11" t="str">
        <f aca="false">IF(OR(B517="",N(F517)&lt;=0),"",IF('FALTAS POR DECK'!$P$1="Código","K"&amp;M517&amp;RIGHT("00000"&amp;ROW(),5),IF('FALTAS POR DECK'!$P$1="Nome","K"&amp;UPPER(SUBSTITUTE(SUBSTITUTE(SUBSTITUTE(C517,"*",""),"?",""),"~",""))&amp;"0"&amp;M517&amp;RIGHT("00000"&amp;ROW(),5),IF('FALTAS POR DECK'!$P$1="Falta (maior primeiro)","K"&amp;RIGHT("0000"&amp;(9999-F517),4)&amp;M517&amp;RIGHT("00000"&amp;ROW(),5),IF('FALTAS POR DECK'!$P$1="Deck e código","K"&amp;RIGHT("00"&amp;IFERROR(MATCH(A517,_LEITURA!$P$2:$P$21,0),99),2)&amp;M517&amp;RIGHT("00000"&amp;ROW(),5),"K"&amp;RIGHT("00000"&amp;ROW(),5))))))</f>
        <v/>
      </c>
      <c r="O517" s="16" t="str">
        <f aca="false">IF(N517="","",COUNTIFS($N$2:$N$1201,"&lt;"&amp;N517,$F$2:$F$1201,"&gt;0")+1)</f>
        <v/>
      </c>
    </row>
    <row r="518" customFormat="false" ht="15" hidden="false" customHeight="false" outlineLevel="0" collapsed="false">
      <c r="A518" s="11" t="str">
        <f aca="false">IF(_LEITURA!$N518="","",INDEX(_LEITURA!$K$2:$K$1201,_LEITURA!$N518))</f>
        <v/>
      </c>
      <c r="B518" s="11" t="str">
        <f aca="false">IF(_LEITURA!$N518="","",INDEX(_LEITURA!$E$2:$E$1201,_LEITURA!$N518))</f>
        <v/>
      </c>
      <c r="C518" s="11" t="str">
        <f aca="false">IF(_LEITURA!$N518="","",INDEX(_LEITURA!$J$2:$J$1201,_LEITURA!$N518))</f>
        <v/>
      </c>
      <c r="D518" s="16" t="str">
        <f aca="false">IF(_LEITURA!$N518="","",INDEX(_LEITURA!$G$2:$G$1201,_LEITURA!$N518))</f>
        <v/>
      </c>
      <c r="E518" s="16" t="str">
        <f aca="false">IF(B518="","",SUMIFS(INVENTÁRIO!$C$2:$C$801,INVENTÁRIO!$A$2:$A$801,B518))</f>
        <v/>
      </c>
      <c r="F518" s="16" t="str">
        <f aca="false">IF(B518="","",MAX(0,D518-E518))</f>
        <v/>
      </c>
      <c r="G518" s="16" t="str">
        <f aca="false">IF(B518="","",IF(COUNTIFS($B$2:$B$1201,B518,$A$2:$A$1201,"&lt;&gt;"&amp;A518)&gt;0,"Sim",""))</f>
        <v/>
      </c>
      <c r="H518" s="16" t="str">
        <f aca="false">IF(N(F518)&gt;0,MAX(H$1:H517)+1,"")</f>
        <v/>
      </c>
      <c r="I518" s="11" t="str">
        <f aca="false">IF(B518="","",IF(INDEX($C$2:$C$1201,MATCH(B518,$B$2:$B$1201,0))&lt;&gt;C518,"Nome diferente em outro deck — revisar",""))</f>
        <v/>
      </c>
      <c r="J518" s="16" t="str">
        <f aca="false">IF(AND(B518&lt;&gt;"",A518=BULK!$A$1,N(F518)&gt;0),MAX(J$1:J517)+1,"")</f>
        <v/>
      </c>
      <c r="K518" s="11" t="str">
        <f aca="false">IF(B518="","",IFERROR(LEFT(B518,FIND("-",B518)-1),B518))</f>
        <v/>
      </c>
      <c r="L518" s="11" t="str">
        <f aca="false">IF(K518="","",IF(ISNUMBER(--MID(K518,1,1)),0,IF(ISNUMBER(--MID(K518,2,1)),1,IF(ISNUMBER(--MID(K518,3,1)),2,IF(ISNUMBER(--MID(K518,4,1)),3,MIN(LEN(K518),4))))))</f>
        <v/>
      </c>
      <c r="M518" s="11" t="str">
        <f aca="false">IF(B518="","",LEFT(K518,L518)&amp;REPT("0",4-L518)&amp;RIGHT("000"&amp;IFERROR(VALUE(MID(K518,L518+1,9)),0),3)&amp;RIGHT("0000"&amp;IFERROR(VALUE(MID(B518,FIND("-",B518)+1,9)),0),4))</f>
        <v/>
      </c>
      <c r="N518" s="11" t="str">
        <f aca="false">IF(OR(B518="",N(F518)&lt;=0),"",IF('FALTAS POR DECK'!$P$1="Código","K"&amp;M518&amp;RIGHT("00000"&amp;ROW(),5),IF('FALTAS POR DECK'!$P$1="Nome","K"&amp;UPPER(SUBSTITUTE(SUBSTITUTE(SUBSTITUTE(C518,"*",""),"?",""),"~",""))&amp;"0"&amp;M518&amp;RIGHT("00000"&amp;ROW(),5),IF('FALTAS POR DECK'!$P$1="Falta (maior primeiro)","K"&amp;RIGHT("0000"&amp;(9999-F518),4)&amp;M518&amp;RIGHT("00000"&amp;ROW(),5),IF('FALTAS POR DECK'!$P$1="Deck e código","K"&amp;RIGHT("00"&amp;IFERROR(MATCH(A518,_LEITURA!$P$2:$P$21,0),99),2)&amp;M518&amp;RIGHT("00000"&amp;ROW(),5),"K"&amp;RIGHT("00000"&amp;ROW(),5))))))</f>
        <v/>
      </c>
      <c r="O518" s="16" t="str">
        <f aca="false">IF(N518="","",COUNTIFS($N$2:$N$1201,"&lt;"&amp;N518,$F$2:$F$1201,"&gt;0")+1)</f>
        <v/>
      </c>
    </row>
    <row r="519" customFormat="false" ht="15" hidden="false" customHeight="false" outlineLevel="0" collapsed="false">
      <c r="A519" s="11" t="str">
        <f aca="false">IF(_LEITURA!$N519="","",INDEX(_LEITURA!$K$2:$K$1201,_LEITURA!$N519))</f>
        <v/>
      </c>
      <c r="B519" s="11" t="str">
        <f aca="false">IF(_LEITURA!$N519="","",INDEX(_LEITURA!$E$2:$E$1201,_LEITURA!$N519))</f>
        <v/>
      </c>
      <c r="C519" s="11" t="str">
        <f aca="false">IF(_LEITURA!$N519="","",INDEX(_LEITURA!$J$2:$J$1201,_LEITURA!$N519))</f>
        <v/>
      </c>
      <c r="D519" s="16" t="str">
        <f aca="false">IF(_LEITURA!$N519="","",INDEX(_LEITURA!$G$2:$G$1201,_LEITURA!$N519))</f>
        <v/>
      </c>
      <c r="E519" s="16" t="str">
        <f aca="false">IF(B519="","",SUMIFS(INVENTÁRIO!$C$2:$C$801,INVENTÁRIO!$A$2:$A$801,B519))</f>
        <v/>
      </c>
      <c r="F519" s="16" t="str">
        <f aca="false">IF(B519="","",MAX(0,D519-E519))</f>
        <v/>
      </c>
      <c r="G519" s="16" t="str">
        <f aca="false">IF(B519="","",IF(COUNTIFS($B$2:$B$1201,B519,$A$2:$A$1201,"&lt;&gt;"&amp;A519)&gt;0,"Sim",""))</f>
        <v/>
      </c>
      <c r="H519" s="16" t="str">
        <f aca="false">IF(N(F519)&gt;0,MAX(H$1:H518)+1,"")</f>
        <v/>
      </c>
      <c r="I519" s="11" t="str">
        <f aca="false">IF(B519="","",IF(INDEX($C$2:$C$1201,MATCH(B519,$B$2:$B$1201,0))&lt;&gt;C519,"Nome diferente em outro deck — revisar",""))</f>
        <v/>
      </c>
      <c r="J519" s="16" t="str">
        <f aca="false">IF(AND(B519&lt;&gt;"",A519=BULK!$A$1,N(F519)&gt;0),MAX(J$1:J518)+1,"")</f>
        <v/>
      </c>
      <c r="K519" s="11" t="str">
        <f aca="false">IF(B519="","",IFERROR(LEFT(B519,FIND("-",B519)-1),B519))</f>
        <v/>
      </c>
      <c r="L519" s="11" t="str">
        <f aca="false">IF(K519="","",IF(ISNUMBER(--MID(K519,1,1)),0,IF(ISNUMBER(--MID(K519,2,1)),1,IF(ISNUMBER(--MID(K519,3,1)),2,IF(ISNUMBER(--MID(K519,4,1)),3,MIN(LEN(K519),4))))))</f>
        <v/>
      </c>
      <c r="M519" s="11" t="str">
        <f aca="false">IF(B519="","",LEFT(K519,L519)&amp;REPT("0",4-L519)&amp;RIGHT("000"&amp;IFERROR(VALUE(MID(K519,L519+1,9)),0),3)&amp;RIGHT("0000"&amp;IFERROR(VALUE(MID(B519,FIND("-",B519)+1,9)),0),4))</f>
        <v/>
      </c>
      <c r="N519" s="11" t="str">
        <f aca="false">IF(OR(B519="",N(F519)&lt;=0),"",IF('FALTAS POR DECK'!$P$1="Código","K"&amp;M519&amp;RIGHT("00000"&amp;ROW(),5),IF('FALTAS POR DECK'!$P$1="Nome","K"&amp;UPPER(SUBSTITUTE(SUBSTITUTE(SUBSTITUTE(C519,"*",""),"?",""),"~",""))&amp;"0"&amp;M519&amp;RIGHT("00000"&amp;ROW(),5),IF('FALTAS POR DECK'!$P$1="Falta (maior primeiro)","K"&amp;RIGHT("0000"&amp;(9999-F519),4)&amp;M519&amp;RIGHT("00000"&amp;ROW(),5),IF('FALTAS POR DECK'!$P$1="Deck e código","K"&amp;RIGHT("00"&amp;IFERROR(MATCH(A519,_LEITURA!$P$2:$P$21,0),99),2)&amp;M519&amp;RIGHT("00000"&amp;ROW(),5),"K"&amp;RIGHT("00000"&amp;ROW(),5))))))</f>
        <v/>
      </c>
      <c r="O519" s="16" t="str">
        <f aca="false">IF(N519="","",COUNTIFS($N$2:$N$1201,"&lt;"&amp;N519,$F$2:$F$1201,"&gt;0")+1)</f>
        <v/>
      </c>
    </row>
    <row r="520" customFormat="false" ht="15" hidden="false" customHeight="false" outlineLevel="0" collapsed="false">
      <c r="A520" s="11" t="str">
        <f aca="false">IF(_LEITURA!$N520="","",INDEX(_LEITURA!$K$2:$K$1201,_LEITURA!$N520))</f>
        <v/>
      </c>
      <c r="B520" s="11" t="str">
        <f aca="false">IF(_LEITURA!$N520="","",INDEX(_LEITURA!$E$2:$E$1201,_LEITURA!$N520))</f>
        <v/>
      </c>
      <c r="C520" s="11" t="str">
        <f aca="false">IF(_LEITURA!$N520="","",INDEX(_LEITURA!$J$2:$J$1201,_LEITURA!$N520))</f>
        <v/>
      </c>
      <c r="D520" s="16" t="str">
        <f aca="false">IF(_LEITURA!$N520="","",INDEX(_LEITURA!$G$2:$G$1201,_LEITURA!$N520))</f>
        <v/>
      </c>
      <c r="E520" s="16" t="str">
        <f aca="false">IF(B520="","",SUMIFS(INVENTÁRIO!$C$2:$C$801,INVENTÁRIO!$A$2:$A$801,B520))</f>
        <v/>
      </c>
      <c r="F520" s="16" t="str">
        <f aca="false">IF(B520="","",MAX(0,D520-E520))</f>
        <v/>
      </c>
      <c r="G520" s="16" t="str">
        <f aca="false">IF(B520="","",IF(COUNTIFS($B$2:$B$1201,B520,$A$2:$A$1201,"&lt;&gt;"&amp;A520)&gt;0,"Sim",""))</f>
        <v/>
      </c>
      <c r="H520" s="16" t="str">
        <f aca="false">IF(N(F520)&gt;0,MAX(H$1:H519)+1,"")</f>
        <v/>
      </c>
      <c r="I520" s="11" t="str">
        <f aca="false">IF(B520="","",IF(INDEX($C$2:$C$1201,MATCH(B520,$B$2:$B$1201,0))&lt;&gt;C520,"Nome diferente em outro deck — revisar",""))</f>
        <v/>
      </c>
      <c r="J520" s="16" t="str">
        <f aca="false">IF(AND(B520&lt;&gt;"",A520=BULK!$A$1,N(F520)&gt;0),MAX(J$1:J519)+1,"")</f>
        <v/>
      </c>
      <c r="K520" s="11" t="str">
        <f aca="false">IF(B520="","",IFERROR(LEFT(B520,FIND("-",B520)-1),B520))</f>
        <v/>
      </c>
      <c r="L520" s="11" t="str">
        <f aca="false">IF(K520="","",IF(ISNUMBER(--MID(K520,1,1)),0,IF(ISNUMBER(--MID(K520,2,1)),1,IF(ISNUMBER(--MID(K520,3,1)),2,IF(ISNUMBER(--MID(K520,4,1)),3,MIN(LEN(K520),4))))))</f>
        <v/>
      </c>
      <c r="M520" s="11" t="str">
        <f aca="false">IF(B520="","",LEFT(K520,L520)&amp;REPT("0",4-L520)&amp;RIGHT("000"&amp;IFERROR(VALUE(MID(K520,L520+1,9)),0),3)&amp;RIGHT("0000"&amp;IFERROR(VALUE(MID(B520,FIND("-",B520)+1,9)),0),4))</f>
        <v/>
      </c>
      <c r="N520" s="11" t="str">
        <f aca="false">IF(OR(B520="",N(F520)&lt;=0),"",IF('FALTAS POR DECK'!$P$1="Código","K"&amp;M520&amp;RIGHT("00000"&amp;ROW(),5),IF('FALTAS POR DECK'!$P$1="Nome","K"&amp;UPPER(SUBSTITUTE(SUBSTITUTE(SUBSTITUTE(C520,"*",""),"?",""),"~",""))&amp;"0"&amp;M520&amp;RIGHT("00000"&amp;ROW(),5),IF('FALTAS POR DECK'!$P$1="Falta (maior primeiro)","K"&amp;RIGHT("0000"&amp;(9999-F520),4)&amp;M520&amp;RIGHT("00000"&amp;ROW(),5),IF('FALTAS POR DECK'!$P$1="Deck e código","K"&amp;RIGHT("00"&amp;IFERROR(MATCH(A520,_LEITURA!$P$2:$P$21,0),99),2)&amp;M520&amp;RIGHT("00000"&amp;ROW(),5),"K"&amp;RIGHT("00000"&amp;ROW(),5))))))</f>
        <v/>
      </c>
      <c r="O520" s="16" t="str">
        <f aca="false">IF(N520="","",COUNTIFS($N$2:$N$1201,"&lt;"&amp;N520,$F$2:$F$1201,"&gt;0")+1)</f>
        <v/>
      </c>
    </row>
    <row r="521" customFormat="false" ht="15" hidden="false" customHeight="false" outlineLevel="0" collapsed="false">
      <c r="A521" s="11" t="str">
        <f aca="false">IF(_LEITURA!$N521="","",INDEX(_LEITURA!$K$2:$K$1201,_LEITURA!$N521))</f>
        <v/>
      </c>
      <c r="B521" s="11" t="str">
        <f aca="false">IF(_LEITURA!$N521="","",INDEX(_LEITURA!$E$2:$E$1201,_LEITURA!$N521))</f>
        <v/>
      </c>
      <c r="C521" s="11" t="str">
        <f aca="false">IF(_LEITURA!$N521="","",INDEX(_LEITURA!$J$2:$J$1201,_LEITURA!$N521))</f>
        <v/>
      </c>
      <c r="D521" s="16" t="str">
        <f aca="false">IF(_LEITURA!$N521="","",INDEX(_LEITURA!$G$2:$G$1201,_LEITURA!$N521))</f>
        <v/>
      </c>
      <c r="E521" s="16" t="str">
        <f aca="false">IF(B521="","",SUMIFS(INVENTÁRIO!$C$2:$C$801,INVENTÁRIO!$A$2:$A$801,B521))</f>
        <v/>
      </c>
      <c r="F521" s="16" t="str">
        <f aca="false">IF(B521="","",MAX(0,D521-E521))</f>
        <v/>
      </c>
      <c r="G521" s="16" t="str">
        <f aca="false">IF(B521="","",IF(COUNTIFS($B$2:$B$1201,B521,$A$2:$A$1201,"&lt;&gt;"&amp;A521)&gt;0,"Sim",""))</f>
        <v/>
      </c>
      <c r="H521" s="16" t="str">
        <f aca="false">IF(N(F521)&gt;0,MAX(H$1:H520)+1,"")</f>
        <v/>
      </c>
      <c r="I521" s="11" t="str">
        <f aca="false">IF(B521="","",IF(INDEX($C$2:$C$1201,MATCH(B521,$B$2:$B$1201,0))&lt;&gt;C521,"Nome diferente em outro deck — revisar",""))</f>
        <v/>
      </c>
      <c r="J521" s="16" t="str">
        <f aca="false">IF(AND(B521&lt;&gt;"",A521=BULK!$A$1,N(F521)&gt;0),MAX(J$1:J520)+1,"")</f>
        <v/>
      </c>
      <c r="K521" s="11" t="str">
        <f aca="false">IF(B521="","",IFERROR(LEFT(B521,FIND("-",B521)-1),B521))</f>
        <v/>
      </c>
      <c r="L521" s="11" t="str">
        <f aca="false">IF(K521="","",IF(ISNUMBER(--MID(K521,1,1)),0,IF(ISNUMBER(--MID(K521,2,1)),1,IF(ISNUMBER(--MID(K521,3,1)),2,IF(ISNUMBER(--MID(K521,4,1)),3,MIN(LEN(K521),4))))))</f>
        <v/>
      </c>
      <c r="M521" s="11" t="str">
        <f aca="false">IF(B521="","",LEFT(K521,L521)&amp;REPT("0",4-L521)&amp;RIGHT("000"&amp;IFERROR(VALUE(MID(K521,L521+1,9)),0),3)&amp;RIGHT("0000"&amp;IFERROR(VALUE(MID(B521,FIND("-",B521)+1,9)),0),4))</f>
        <v/>
      </c>
      <c r="N521" s="11" t="str">
        <f aca="false">IF(OR(B521="",N(F521)&lt;=0),"",IF('FALTAS POR DECK'!$P$1="Código","K"&amp;M521&amp;RIGHT("00000"&amp;ROW(),5),IF('FALTAS POR DECK'!$P$1="Nome","K"&amp;UPPER(SUBSTITUTE(SUBSTITUTE(SUBSTITUTE(C521,"*",""),"?",""),"~",""))&amp;"0"&amp;M521&amp;RIGHT("00000"&amp;ROW(),5),IF('FALTAS POR DECK'!$P$1="Falta (maior primeiro)","K"&amp;RIGHT("0000"&amp;(9999-F521),4)&amp;M521&amp;RIGHT("00000"&amp;ROW(),5),IF('FALTAS POR DECK'!$P$1="Deck e código","K"&amp;RIGHT("00"&amp;IFERROR(MATCH(A521,_LEITURA!$P$2:$P$21,0),99),2)&amp;M521&amp;RIGHT("00000"&amp;ROW(),5),"K"&amp;RIGHT("00000"&amp;ROW(),5))))))</f>
        <v/>
      </c>
      <c r="O521" s="16" t="str">
        <f aca="false">IF(N521="","",COUNTIFS($N$2:$N$1201,"&lt;"&amp;N521,$F$2:$F$1201,"&gt;0")+1)</f>
        <v/>
      </c>
    </row>
    <row r="522" customFormat="false" ht="15" hidden="false" customHeight="false" outlineLevel="0" collapsed="false">
      <c r="A522" s="11" t="str">
        <f aca="false">IF(_LEITURA!$N522="","",INDEX(_LEITURA!$K$2:$K$1201,_LEITURA!$N522))</f>
        <v/>
      </c>
      <c r="B522" s="11" t="str">
        <f aca="false">IF(_LEITURA!$N522="","",INDEX(_LEITURA!$E$2:$E$1201,_LEITURA!$N522))</f>
        <v/>
      </c>
      <c r="C522" s="11" t="str">
        <f aca="false">IF(_LEITURA!$N522="","",INDEX(_LEITURA!$J$2:$J$1201,_LEITURA!$N522))</f>
        <v/>
      </c>
      <c r="D522" s="16" t="str">
        <f aca="false">IF(_LEITURA!$N522="","",INDEX(_LEITURA!$G$2:$G$1201,_LEITURA!$N522))</f>
        <v/>
      </c>
      <c r="E522" s="16" t="str">
        <f aca="false">IF(B522="","",SUMIFS(INVENTÁRIO!$C$2:$C$801,INVENTÁRIO!$A$2:$A$801,B522))</f>
        <v/>
      </c>
      <c r="F522" s="16" t="str">
        <f aca="false">IF(B522="","",MAX(0,D522-E522))</f>
        <v/>
      </c>
      <c r="G522" s="16" t="str">
        <f aca="false">IF(B522="","",IF(COUNTIFS($B$2:$B$1201,B522,$A$2:$A$1201,"&lt;&gt;"&amp;A522)&gt;0,"Sim",""))</f>
        <v/>
      </c>
      <c r="H522" s="16" t="str">
        <f aca="false">IF(N(F522)&gt;0,MAX(H$1:H521)+1,"")</f>
        <v/>
      </c>
      <c r="I522" s="11" t="str">
        <f aca="false">IF(B522="","",IF(INDEX($C$2:$C$1201,MATCH(B522,$B$2:$B$1201,0))&lt;&gt;C522,"Nome diferente em outro deck — revisar",""))</f>
        <v/>
      </c>
      <c r="J522" s="16" t="str">
        <f aca="false">IF(AND(B522&lt;&gt;"",A522=BULK!$A$1,N(F522)&gt;0),MAX(J$1:J521)+1,"")</f>
        <v/>
      </c>
      <c r="K522" s="11" t="str">
        <f aca="false">IF(B522="","",IFERROR(LEFT(B522,FIND("-",B522)-1),B522))</f>
        <v/>
      </c>
      <c r="L522" s="11" t="str">
        <f aca="false">IF(K522="","",IF(ISNUMBER(--MID(K522,1,1)),0,IF(ISNUMBER(--MID(K522,2,1)),1,IF(ISNUMBER(--MID(K522,3,1)),2,IF(ISNUMBER(--MID(K522,4,1)),3,MIN(LEN(K522),4))))))</f>
        <v/>
      </c>
      <c r="M522" s="11" t="str">
        <f aca="false">IF(B522="","",LEFT(K522,L522)&amp;REPT("0",4-L522)&amp;RIGHT("000"&amp;IFERROR(VALUE(MID(K522,L522+1,9)),0),3)&amp;RIGHT("0000"&amp;IFERROR(VALUE(MID(B522,FIND("-",B522)+1,9)),0),4))</f>
        <v/>
      </c>
      <c r="N522" s="11" t="str">
        <f aca="false">IF(OR(B522="",N(F522)&lt;=0),"",IF('FALTAS POR DECK'!$P$1="Código","K"&amp;M522&amp;RIGHT("00000"&amp;ROW(),5),IF('FALTAS POR DECK'!$P$1="Nome","K"&amp;UPPER(SUBSTITUTE(SUBSTITUTE(SUBSTITUTE(C522,"*",""),"?",""),"~",""))&amp;"0"&amp;M522&amp;RIGHT("00000"&amp;ROW(),5),IF('FALTAS POR DECK'!$P$1="Falta (maior primeiro)","K"&amp;RIGHT("0000"&amp;(9999-F522),4)&amp;M522&amp;RIGHT("00000"&amp;ROW(),5),IF('FALTAS POR DECK'!$P$1="Deck e código","K"&amp;RIGHT("00"&amp;IFERROR(MATCH(A522,_LEITURA!$P$2:$P$21,0),99),2)&amp;M522&amp;RIGHT("00000"&amp;ROW(),5),"K"&amp;RIGHT("00000"&amp;ROW(),5))))))</f>
        <v/>
      </c>
      <c r="O522" s="16" t="str">
        <f aca="false">IF(N522="","",COUNTIFS($N$2:$N$1201,"&lt;"&amp;N522,$F$2:$F$1201,"&gt;0")+1)</f>
        <v/>
      </c>
    </row>
    <row r="523" customFormat="false" ht="15" hidden="false" customHeight="false" outlineLevel="0" collapsed="false">
      <c r="A523" s="11" t="str">
        <f aca="false">IF(_LEITURA!$N523="","",INDEX(_LEITURA!$K$2:$K$1201,_LEITURA!$N523))</f>
        <v/>
      </c>
      <c r="B523" s="11" t="str">
        <f aca="false">IF(_LEITURA!$N523="","",INDEX(_LEITURA!$E$2:$E$1201,_LEITURA!$N523))</f>
        <v/>
      </c>
      <c r="C523" s="11" t="str">
        <f aca="false">IF(_LEITURA!$N523="","",INDEX(_LEITURA!$J$2:$J$1201,_LEITURA!$N523))</f>
        <v/>
      </c>
      <c r="D523" s="16" t="str">
        <f aca="false">IF(_LEITURA!$N523="","",INDEX(_LEITURA!$G$2:$G$1201,_LEITURA!$N523))</f>
        <v/>
      </c>
      <c r="E523" s="16" t="str">
        <f aca="false">IF(B523="","",SUMIFS(INVENTÁRIO!$C$2:$C$801,INVENTÁRIO!$A$2:$A$801,B523))</f>
        <v/>
      </c>
      <c r="F523" s="16" t="str">
        <f aca="false">IF(B523="","",MAX(0,D523-E523))</f>
        <v/>
      </c>
      <c r="G523" s="16" t="str">
        <f aca="false">IF(B523="","",IF(COUNTIFS($B$2:$B$1201,B523,$A$2:$A$1201,"&lt;&gt;"&amp;A523)&gt;0,"Sim",""))</f>
        <v/>
      </c>
      <c r="H523" s="16" t="str">
        <f aca="false">IF(N(F523)&gt;0,MAX(H$1:H522)+1,"")</f>
        <v/>
      </c>
      <c r="I523" s="11" t="str">
        <f aca="false">IF(B523="","",IF(INDEX($C$2:$C$1201,MATCH(B523,$B$2:$B$1201,0))&lt;&gt;C523,"Nome diferente em outro deck — revisar",""))</f>
        <v/>
      </c>
      <c r="J523" s="16" t="str">
        <f aca="false">IF(AND(B523&lt;&gt;"",A523=BULK!$A$1,N(F523)&gt;0),MAX(J$1:J522)+1,"")</f>
        <v/>
      </c>
      <c r="K523" s="11" t="str">
        <f aca="false">IF(B523="","",IFERROR(LEFT(B523,FIND("-",B523)-1),B523))</f>
        <v/>
      </c>
      <c r="L523" s="11" t="str">
        <f aca="false">IF(K523="","",IF(ISNUMBER(--MID(K523,1,1)),0,IF(ISNUMBER(--MID(K523,2,1)),1,IF(ISNUMBER(--MID(K523,3,1)),2,IF(ISNUMBER(--MID(K523,4,1)),3,MIN(LEN(K523),4))))))</f>
        <v/>
      </c>
      <c r="M523" s="11" t="str">
        <f aca="false">IF(B523="","",LEFT(K523,L523)&amp;REPT("0",4-L523)&amp;RIGHT("000"&amp;IFERROR(VALUE(MID(K523,L523+1,9)),0),3)&amp;RIGHT("0000"&amp;IFERROR(VALUE(MID(B523,FIND("-",B523)+1,9)),0),4))</f>
        <v/>
      </c>
      <c r="N523" s="11" t="str">
        <f aca="false">IF(OR(B523="",N(F523)&lt;=0),"",IF('FALTAS POR DECK'!$P$1="Código","K"&amp;M523&amp;RIGHT("00000"&amp;ROW(),5),IF('FALTAS POR DECK'!$P$1="Nome","K"&amp;UPPER(SUBSTITUTE(SUBSTITUTE(SUBSTITUTE(C523,"*",""),"?",""),"~",""))&amp;"0"&amp;M523&amp;RIGHT("00000"&amp;ROW(),5),IF('FALTAS POR DECK'!$P$1="Falta (maior primeiro)","K"&amp;RIGHT("0000"&amp;(9999-F523),4)&amp;M523&amp;RIGHT("00000"&amp;ROW(),5),IF('FALTAS POR DECK'!$P$1="Deck e código","K"&amp;RIGHT("00"&amp;IFERROR(MATCH(A523,_LEITURA!$P$2:$P$21,0),99),2)&amp;M523&amp;RIGHT("00000"&amp;ROW(),5),"K"&amp;RIGHT("00000"&amp;ROW(),5))))))</f>
        <v/>
      </c>
      <c r="O523" s="16" t="str">
        <f aca="false">IF(N523="","",COUNTIFS($N$2:$N$1201,"&lt;"&amp;N523,$F$2:$F$1201,"&gt;0")+1)</f>
        <v/>
      </c>
    </row>
    <row r="524" customFormat="false" ht="15" hidden="false" customHeight="false" outlineLevel="0" collapsed="false">
      <c r="A524" s="11" t="str">
        <f aca="false">IF(_LEITURA!$N524="","",INDEX(_LEITURA!$K$2:$K$1201,_LEITURA!$N524))</f>
        <v/>
      </c>
      <c r="B524" s="11" t="str">
        <f aca="false">IF(_LEITURA!$N524="","",INDEX(_LEITURA!$E$2:$E$1201,_LEITURA!$N524))</f>
        <v/>
      </c>
      <c r="C524" s="11" t="str">
        <f aca="false">IF(_LEITURA!$N524="","",INDEX(_LEITURA!$J$2:$J$1201,_LEITURA!$N524))</f>
        <v/>
      </c>
      <c r="D524" s="16" t="str">
        <f aca="false">IF(_LEITURA!$N524="","",INDEX(_LEITURA!$G$2:$G$1201,_LEITURA!$N524))</f>
        <v/>
      </c>
      <c r="E524" s="16" t="str">
        <f aca="false">IF(B524="","",SUMIFS(INVENTÁRIO!$C$2:$C$801,INVENTÁRIO!$A$2:$A$801,B524))</f>
        <v/>
      </c>
      <c r="F524" s="16" t="str">
        <f aca="false">IF(B524="","",MAX(0,D524-E524))</f>
        <v/>
      </c>
      <c r="G524" s="16" t="str">
        <f aca="false">IF(B524="","",IF(COUNTIFS($B$2:$B$1201,B524,$A$2:$A$1201,"&lt;&gt;"&amp;A524)&gt;0,"Sim",""))</f>
        <v/>
      </c>
      <c r="H524" s="16" t="str">
        <f aca="false">IF(N(F524)&gt;0,MAX(H$1:H523)+1,"")</f>
        <v/>
      </c>
      <c r="I524" s="11" t="str">
        <f aca="false">IF(B524="","",IF(INDEX($C$2:$C$1201,MATCH(B524,$B$2:$B$1201,0))&lt;&gt;C524,"Nome diferente em outro deck — revisar",""))</f>
        <v/>
      </c>
      <c r="J524" s="16" t="str">
        <f aca="false">IF(AND(B524&lt;&gt;"",A524=BULK!$A$1,N(F524)&gt;0),MAX(J$1:J523)+1,"")</f>
        <v/>
      </c>
      <c r="K524" s="11" t="str">
        <f aca="false">IF(B524="","",IFERROR(LEFT(B524,FIND("-",B524)-1),B524))</f>
        <v/>
      </c>
      <c r="L524" s="11" t="str">
        <f aca="false">IF(K524="","",IF(ISNUMBER(--MID(K524,1,1)),0,IF(ISNUMBER(--MID(K524,2,1)),1,IF(ISNUMBER(--MID(K524,3,1)),2,IF(ISNUMBER(--MID(K524,4,1)),3,MIN(LEN(K524),4))))))</f>
        <v/>
      </c>
      <c r="M524" s="11" t="str">
        <f aca="false">IF(B524="","",LEFT(K524,L524)&amp;REPT("0",4-L524)&amp;RIGHT("000"&amp;IFERROR(VALUE(MID(K524,L524+1,9)),0),3)&amp;RIGHT("0000"&amp;IFERROR(VALUE(MID(B524,FIND("-",B524)+1,9)),0),4))</f>
        <v/>
      </c>
      <c r="N524" s="11" t="str">
        <f aca="false">IF(OR(B524="",N(F524)&lt;=0),"",IF('FALTAS POR DECK'!$P$1="Código","K"&amp;M524&amp;RIGHT("00000"&amp;ROW(),5),IF('FALTAS POR DECK'!$P$1="Nome","K"&amp;UPPER(SUBSTITUTE(SUBSTITUTE(SUBSTITUTE(C524,"*",""),"?",""),"~",""))&amp;"0"&amp;M524&amp;RIGHT("00000"&amp;ROW(),5),IF('FALTAS POR DECK'!$P$1="Falta (maior primeiro)","K"&amp;RIGHT("0000"&amp;(9999-F524),4)&amp;M524&amp;RIGHT("00000"&amp;ROW(),5),IF('FALTAS POR DECK'!$P$1="Deck e código","K"&amp;RIGHT("00"&amp;IFERROR(MATCH(A524,_LEITURA!$P$2:$P$21,0),99),2)&amp;M524&amp;RIGHT("00000"&amp;ROW(),5),"K"&amp;RIGHT("00000"&amp;ROW(),5))))))</f>
        <v/>
      </c>
      <c r="O524" s="16" t="str">
        <f aca="false">IF(N524="","",COUNTIFS($N$2:$N$1201,"&lt;"&amp;N524,$F$2:$F$1201,"&gt;0")+1)</f>
        <v/>
      </c>
    </row>
    <row r="525" customFormat="false" ht="15" hidden="false" customHeight="false" outlineLevel="0" collapsed="false">
      <c r="A525" s="11" t="str">
        <f aca="false">IF(_LEITURA!$N525="","",INDEX(_LEITURA!$K$2:$K$1201,_LEITURA!$N525))</f>
        <v/>
      </c>
      <c r="B525" s="11" t="str">
        <f aca="false">IF(_LEITURA!$N525="","",INDEX(_LEITURA!$E$2:$E$1201,_LEITURA!$N525))</f>
        <v/>
      </c>
      <c r="C525" s="11" t="str">
        <f aca="false">IF(_LEITURA!$N525="","",INDEX(_LEITURA!$J$2:$J$1201,_LEITURA!$N525))</f>
        <v/>
      </c>
      <c r="D525" s="16" t="str">
        <f aca="false">IF(_LEITURA!$N525="","",INDEX(_LEITURA!$G$2:$G$1201,_LEITURA!$N525))</f>
        <v/>
      </c>
      <c r="E525" s="16" t="str">
        <f aca="false">IF(B525="","",SUMIFS(INVENTÁRIO!$C$2:$C$801,INVENTÁRIO!$A$2:$A$801,B525))</f>
        <v/>
      </c>
      <c r="F525" s="16" t="str">
        <f aca="false">IF(B525="","",MAX(0,D525-E525))</f>
        <v/>
      </c>
      <c r="G525" s="16" t="str">
        <f aca="false">IF(B525="","",IF(COUNTIFS($B$2:$B$1201,B525,$A$2:$A$1201,"&lt;&gt;"&amp;A525)&gt;0,"Sim",""))</f>
        <v/>
      </c>
      <c r="H525" s="16" t="str">
        <f aca="false">IF(N(F525)&gt;0,MAX(H$1:H524)+1,"")</f>
        <v/>
      </c>
      <c r="I525" s="11" t="str">
        <f aca="false">IF(B525="","",IF(INDEX($C$2:$C$1201,MATCH(B525,$B$2:$B$1201,0))&lt;&gt;C525,"Nome diferente em outro deck — revisar",""))</f>
        <v/>
      </c>
      <c r="J525" s="16" t="str">
        <f aca="false">IF(AND(B525&lt;&gt;"",A525=BULK!$A$1,N(F525)&gt;0),MAX(J$1:J524)+1,"")</f>
        <v/>
      </c>
      <c r="K525" s="11" t="str">
        <f aca="false">IF(B525="","",IFERROR(LEFT(B525,FIND("-",B525)-1),B525))</f>
        <v/>
      </c>
      <c r="L525" s="11" t="str">
        <f aca="false">IF(K525="","",IF(ISNUMBER(--MID(K525,1,1)),0,IF(ISNUMBER(--MID(K525,2,1)),1,IF(ISNUMBER(--MID(K525,3,1)),2,IF(ISNUMBER(--MID(K525,4,1)),3,MIN(LEN(K525),4))))))</f>
        <v/>
      </c>
      <c r="M525" s="11" t="str">
        <f aca="false">IF(B525="","",LEFT(K525,L525)&amp;REPT("0",4-L525)&amp;RIGHT("000"&amp;IFERROR(VALUE(MID(K525,L525+1,9)),0),3)&amp;RIGHT("0000"&amp;IFERROR(VALUE(MID(B525,FIND("-",B525)+1,9)),0),4))</f>
        <v/>
      </c>
      <c r="N525" s="11" t="str">
        <f aca="false">IF(OR(B525="",N(F525)&lt;=0),"",IF('FALTAS POR DECK'!$P$1="Código","K"&amp;M525&amp;RIGHT("00000"&amp;ROW(),5),IF('FALTAS POR DECK'!$P$1="Nome","K"&amp;UPPER(SUBSTITUTE(SUBSTITUTE(SUBSTITUTE(C525,"*",""),"?",""),"~",""))&amp;"0"&amp;M525&amp;RIGHT("00000"&amp;ROW(),5),IF('FALTAS POR DECK'!$P$1="Falta (maior primeiro)","K"&amp;RIGHT("0000"&amp;(9999-F525),4)&amp;M525&amp;RIGHT("00000"&amp;ROW(),5),IF('FALTAS POR DECK'!$P$1="Deck e código","K"&amp;RIGHT("00"&amp;IFERROR(MATCH(A525,_LEITURA!$P$2:$P$21,0),99),2)&amp;M525&amp;RIGHT("00000"&amp;ROW(),5),"K"&amp;RIGHT("00000"&amp;ROW(),5))))))</f>
        <v/>
      </c>
      <c r="O525" s="16" t="str">
        <f aca="false">IF(N525="","",COUNTIFS($N$2:$N$1201,"&lt;"&amp;N525,$F$2:$F$1201,"&gt;0")+1)</f>
        <v/>
      </c>
    </row>
    <row r="526" customFormat="false" ht="15" hidden="false" customHeight="false" outlineLevel="0" collapsed="false">
      <c r="A526" s="11" t="str">
        <f aca="false">IF(_LEITURA!$N526="","",INDEX(_LEITURA!$K$2:$K$1201,_LEITURA!$N526))</f>
        <v/>
      </c>
      <c r="B526" s="11" t="str">
        <f aca="false">IF(_LEITURA!$N526="","",INDEX(_LEITURA!$E$2:$E$1201,_LEITURA!$N526))</f>
        <v/>
      </c>
      <c r="C526" s="11" t="str">
        <f aca="false">IF(_LEITURA!$N526="","",INDEX(_LEITURA!$J$2:$J$1201,_LEITURA!$N526))</f>
        <v/>
      </c>
      <c r="D526" s="16" t="str">
        <f aca="false">IF(_LEITURA!$N526="","",INDEX(_LEITURA!$G$2:$G$1201,_LEITURA!$N526))</f>
        <v/>
      </c>
      <c r="E526" s="16" t="str">
        <f aca="false">IF(B526="","",SUMIFS(INVENTÁRIO!$C$2:$C$801,INVENTÁRIO!$A$2:$A$801,B526))</f>
        <v/>
      </c>
      <c r="F526" s="16" t="str">
        <f aca="false">IF(B526="","",MAX(0,D526-E526))</f>
        <v/>
      </c>
      <c r="G526" s="16" t="str">
        <f aca="false">IF(B526="","",IF(COUNTIFS($B$2:$B$1201,B526,$A$2:$A$1201,"&lt;&gt;"&amp;A526)&gt;0,"Sim",""))</f>
        <v/>
      </c>
      <c r="H526" s="16" t="str">
        <f aca="false">IF(N(F526)&gt;0,MAX(H$1:H525)+1,"")</f>
        <v/>
      </c>
      <c r="I526" s="11" t="str">
        <f aca="false">IF(B526="","",IF(INDEX($C$2:$C$1201,MATCH(B526,$B$2:$B$1201,0))&lt;&gt;C526,"Nome diferente em outro deck — revisar",""))</f>
        <v/>
      </c>
      <c r="J526" s="16" t="str">
        <f aca="false">IF(AND(B526&lt;&gt;"",A526=BULK!$A$1,N(F526)&gt;0),MAX(J$1:J525)+1,"")</f>
        <v/>
      </c>
      <c r="K526" s="11" t="str">
        <f aca="false">IF(B526="","",IFERROR(LEFT(B526,FIND("-",B526)-1),B526))</f>
        <v/>
      </c>
      <c r="L526" s="11" t="str">
        <f aca="false">IF(K526="","",IF(ISNUMBER(--MID(K526,1,1)),0,IF(ISNUMBER(--MID(K526,2,1)),1,IF(ISNUMBER(--MID(K526,3,1)),2,IF(ISNUMBER(--MID(K526,4,1)),3,MIN(LEN(K526),4))))))</f>
        <v/>
      </c>
      <c r="M526" s="11" t="str">
        <f aca="false">IF(B526="","",LEFT(K526,L526)&amp;REPT("0",4-L526)&amp;RIGHT("000"&amp;IFERROR(VALUE(MID(K526,L526+1,9)),0),3)&amp;RIGHT("0000"&amp;IFERROR(VALUE(MID(B526,FIND("-",B526)+1,9)),0),4))</f>
        <v/>
      </c>
      <c r="N526" s="11" t="str">
        <f aca="false">IF(OR(B526="",N(F526)&lt;=0),"",IF('FALTAS POR DECK'!$P$1="Código","K"&amp;M526&amp;RIGHT("00000"&amp;ROW(),5),IF('FALTAS POR DECK'!$P$1="Nome","K"&amp;UPPER(SUBSTITUTE(SUBSTITUTE(SUBSTITUTE(C526,"*",""),"?",""),"~",""))&amp;"0"&amp;M526&amp;RIGHT("00000"&amp;ROW(),5),IF('FALTAS POR DECK'!$P$1="Falta (maior primeiro)","K"&amp;RIGHT("0000"&amp;(9999-F526),4)&amp;M526&amp;RIGHT("00000"&amp;ROW(),5),IF('FALTAS POR DECK'!$P$1="Deck e código","K"&amp;RIGHT("00"&amp;IFERROR(MATCH(A526,_LEITURA!$P$2:$P$21,0),99),2)&amp;M526&amp;RIGHT("00000"&amp;ROW(),5),"K"&amp;RIGHT("00000"&amp;ROW(),5))))))</f>
        <v/>
      </c>
      <c r="O526" s="16" t="str">
        <f aca="false">IF(N526="","",COUNTIFS($N$2:$N$1201,"&lt;"&amp;N526,$F$2:$F$1201,"&gt;0")+1)</f>
        <v/>
      </c>
    </row>
    <row r="527" customFormat="false" ht="15" hidden="false" customHeight="false" outlineLevel="0" collapsed="false">
      <c r="A527" s="11" t="str">
        <f aca="false">IF(_LEITURA!$N527="","",INDEX(_LEITURA!$K$2:$K$1201,_LEITURA!$N527))</f>
        <v/>
      </c>
      <c r="B527" s="11" t="str">
        <f aca="false">IF(_LEITURA!$N527="","",INDEX(_LEITURA!$E$2:$E$1201,_LEITURA!$N527))</f>
        <v/>
      </c>
      <c r="C527" s="11" t="str">
        <f aca="false">IF(_LEITURA!$N527="","",INDEX(_LEITURA!$J$2:$J$1201,_LEITURA!$N527))</f>
        <v/>
      </c>
      <c r="D527" s="16" t="str">
        <f aca="false">IF(_LEITURA!$N527="","",INDEX(_LEITURA!$G$2:$G$1201,_LEITURA!$N527))</f>
        <v/>
      </c>
      <c r="E527" s="16" t="str">
        <f aca="false">IF(B527="","",SUMIFS(INVENTÁRIO!$C$2:$C$801,INVENTÁRIO!$A$2:$A$801,B527))</f>
        <v/>
      </c>
      <c r="F527" s="16" t="str">
        <f aca="false">IF(B527="","",MAX(0,D527-E527))</f>
        <v/>
      </c>
      <c r="G527" s="16" t="str">
        <f aca="false">IF(B527="","",IF(COUNTIFS($B$2:$B$1201,B527,$A$2:$A$1201,"&lt;&gt;"&amp;A527)&gt;0,"Sim",""))</f>
        <v/>
      </c>
      <c r="H527" s="16" t="str">
        <f aca="false">IF(N(F527)&gt;0,MAX(H$1:H526)+1,"")</f>
        <v/>
      </c>
      <c r="I527" s="11" t="str">
        <f aca="false">IF(B527="","",IF(INDEX($C$2:$C$1201,MATCH(B527,$B$2:$B$1201,0))&lt;&gt;C527,"Nome diferente em outro deck — revisar",""))</f>
        <v/>
      </c>
      <c r="J527" s="16" t="str">
        <f aca="false">IF(AND(B527&lt;&gt;"",A527=BULK!$A$1,N(F527)&gt;0),MAX(J$1:J526)+1,"")</f>
        <v/>
      </c>
      <c r="K527" s="11" t="str">
        <f aca="false">IF(B527="","",IFERROR(LEFT(B527,FIND("-",B527)-1),B527))</f>
        <v/>
      </c>
      <c r="L527" s="11" t="str">
        <f aca="false">IF(K527="","",IF(ISNUMBER(--MID(K527,1,1)),0,IF(ISNUMBER(--MID(K527,2,1)),1,IF(ISNUMBER(--MID(K527,3,1)),2,IF(ISNUMBER(--MID(K527,4,1)),3,MIN(LEN(K527),4))))))</f>
        <v/>
      </c>
      <c r="M527" s="11" t="str">
        <f aca="false">IF(B527="","",LEFT(K527,L527)&amp;REPT("0",4-L527)&amp;RIGHT("000"&amp;IFERROR(VALUE(MID(K527,L527+1,9)),0),3)&amp;RIGHT("0000"&amp;IFERROR(VALUE(MID(B527,FIND("-",B527)+1,9)),0),4))</f>
        <v/>
      </c>
      <c r="N527" s="11" t="str">
        <f aca="false">IF(OR(B527="",N(F527)&lt;=0),"",IF('FALTAS POR DECK'!$P$1="Código","K"&amp;M527&amp;RIGHT("00000"&amp;ROW(),5),IF('FALTAS POR DECK'!$P$1="Nome","K"&amp;UPPER(SUBSTITUTE(SUBSTITUTE(SUBSTITUTE(C527,"*",""),"?",""),"~",""))&amp;"0"&amp;M527&amp;RIGHT("00000"&amp;ROW(),5),IF('FALTAS POR DECK'!$P$1="Falta (maior primeiro)","K"&amp;RIGHT("0000"&amp;(9999-F527),4)&amp;M527&amp;RIGHT("00000"&amp;ROW(),5),IF('FALTAS POR DECK'!$P$1="Deck e código","K"&amp;RIGHT("00"&amp;IFERROR(MATCH(A527,_LEITURA!$P$2:$P$21,0),99),2)&amp;M527&amp;RIGHT("00000"&amp;ROW(),5),"K"&amp;RIGHT("00000"&amp;ROW(),5))))))</f>
        <v/>
      </c>
      <c r="O527" s="16" t="str">
        <f aca="false">IF(N527="","",COUNTIFS($N$2:$N$1201,"&lt;"&amp;N527,$F$2:$F$1201,"&gt;0")+1)</f>
        <v/>
      </c>
    </row>
    <row r="528" customFormat="false" ht="15" hidden="false" customHeight="false" outlineLevel="0" collapsed="false">
      <c r="A528" s="11" t="str">
        <f aca="false">IF(_LEITURA!$N528="","",INDEX(_LEITURA!$K$2:$K$1201,_LEITURA!$N528))</f>
        <v/>
      </c>
      <c r="B528" s="11" t="str">
        <f aca="false">IF(_LEITURA!$N528="","",INDEX(_LEITURA!$E$2:$E$1201,_LEITURA!$N528))</f>
        <v/>
      </c>
      <c r="C528" s="11" t="str">
        <f aca="false">IF(_LEITURA!$N528="","",INDEX(_LEITURA!$J$2:$J$1201,_LEITURA!$N528))</f>
        <v/>
      </c>
      <c r="D528" s="16" t="str">
        <f aca="false">IF(_LEITURA!$N528="","",INDEX(_LEITURA!$G$2:$G$1201,_LEITURA!$N528))</f>
        <v/>
      </c>
      <c r="E528" s="16" t="str">
        <f aca="false">IF(B528="","",SUMIFS(INVENTÁRIO!$C$2:$C$801,INVENTÁRIO!$A$2:$A$801,B528))</f>
        <v/>
      </c>
      <c r="F528" s="16" t="str">
        <f aca="false">IF(B528="","",MAX(0,D528-E528))</f>
        <v/>
      </c>
      <c r="G528" s="16" t="str">
        <f aca="false">IF(B528="","",IF(COUNTIFS($B$2:$B$1201,B528,$A$2:$A$1201,"&lt;&gt;"&amp;A528)&gt;0,"Sim",""))</f>
        <v/>
      </c>
      <c r="H528" s="16" t="str">
        <f aca="false">IF(N(F528)&gt;0,MAX(H$1:H527)+1,"")</f>
        <v/>
      </c>
      <c r="I528" s="11" t="str">
        <f aca="false">IF(B528="","",IF(INDEX($C$2:$C$1201,MATCH(B528,$B$2:$B$1201,0))&lt;&gt;C528,"Nome diferente em outro deck — revisar",""))</f>
        <v/>
      </c>
      <c r="J528" s="16" t="str">
        <f aca="false">IF(AND(B528&lt;&gt;"",A528=BULK!$A$1,N(F528)&gt;0),MAX(J$1:J527)+1,"")</f>
        <v/>
      </c>
      <c r="K528" s="11" t="str">
        <f aca="false">IF(B528="","",IFERROR(LEFT(B528,FIND("-",B528)-1),B528))</f>
        <v/>
      </c>
      <c r="L528" s="11" t="str">
        <f aca="false">IF(K528="","",IF(ISNUMBER(--MID(K528,1,1)),0,IF(ISNUMBER(--MID(K528,2,1)),1,IF(ISNUMBER(--MID(K528,3,1)),2,IF(ISNUMBER(--MID(K528,4,1)),3,MIN(LEN(K528),4))))))</f>
        <v/>
      </c>
      <c r="M528" s="11" t="str">
        <f aca="false">IF(B528="","",LEFT(K528,L528)&amp;REPT("0",4-L528)&amp;RIGHT("000"&amp;IFERROR(VALUE(MID(K528,L528+1,9)),0),3)&amp;RIGHT("0000"&amp;IFERROR(VALUE(MID(B528,FIND("-",B528)+1,9)),0),4))</f>
        <v/>
      </c>
      <c r="N528" s="11" t="str">
        <f aca="false">IF(OR(B528="",N(F528)&lt;=0),"",IF('FALTAS POR DECK'!$P$1="Código","K"&amp;M528&amp;RIGHT("00000"&amp;ROW(),5),IF('FALTAS POR DECK'!$P$1="Nome","K"&amp;UPPER(SUBSTITUTE(SUBSTITUTE(SUBSTITUTE(C528,"*",""),"?",""),"~",""))&amp;"0"&amp;M528&amp;RIGHT("00000"&amp;ROW(),5),IF('FALTAS POR DECK'!$P$1="Falta (maior primeiro)","K"&amp;RIGHT("0000"&amp;(9999-F528),4)&amp;M528&amp;RIGHT("00000"&amp;ROW(),5),IF('FALTAS POR DECK'!$P$1="Deck e código","K"&amp;RIGHT("00"&amp;IFERROR(MATCH(A528,_LEITURA!$P$2:$P$21,0),99),2)&amp;M528&amp;RIGHT("00000"&amp;ROW(),5),"K"&amp;RIGHT("00000"&amp;ROW(),5))))))</f>
        <v/>
      </c>
      <c r="O528" s="16" t="str">
        <f aca="false">IF(N528="","",COUNTIFS($N$2:$N$1201,"&lt;"&amp;N528,$F$2:$F$1201,"&gt;0")+1)</f>
        <v/>
      </c>
    </row>
    <row r="529" customFormat="false" ht="15" hidden="false" customHeight="false" outlineLevel="0" collapsed="false">
      <c r="A529" s="11" t="str">
        <f aca="false">IF(_LEITURA!$N529="","",INDEX(_LEITURA!$K$2:$K$1201,_LEITURA!$N529))</f>
        <v/>
      </c>
      <c r="B529" s="11" t="str">
        <f aca="false">IF(_LEITURA!$N529="","",INDEX(_LEITURA!$E$2:$E$1201,_LEITURA!$N529))</f>
        <v/>
      </c>
      <c r="C529" s="11" t="str">
        <f aca="false">IF(_LEITURA!$N529="","",INDEX(_LEITURA!$J$2:$J$1201,_LEITURA!$N529))</f>
        <v/>
      </c>
      <c r="D529" s="16" t="str">
        <f aca="false">IF(_LEITURA!$N529="","",INDEX(_LEITURA!$G$2:$G$1201,_LEITURA!$N529))</f>
        <v/>
      </c>
      <c r="E529" s="16" t="str">
        <f aca="false">IF(B529="","",SUMIFS(INVENTÁRIO!$C$2:$C$801,INVENTÁRIO!$A$2:$A$801,B529))</f>
        <v/>
      </c>
      <c r="F529" s="16" t="str">
        <f aca="false">IF(B529="","",MAX(0,D529-E529))</f>
        <v/>
      </c>
      <c r="G529" s="16" t="str">
        <f aca="false">IF(B529="","",IF(COUNTIFS($B$2:$B$1201,B529,$A$2:$A$1201,"&lt;&gt;"&amp;A529)&gt;0,"Sim",""))</f>
        <v/>
      </c>
      <c r="H529" s="16" t="str">
        <f aca="false">IF(N(F529)&gt;0,MAX(H$1:H528)+1,"")</f>
        <v/>
      </c>
      <c r="I529" s="11" t="str">
        <f aca="false">IF(B529="","",IF(INDEX($C$2:$C$1201,MATCH(B529,$B$2:$B$1201,0))&lt;&gt;C529,"Nome diferente em outro deck — revisar",""))</f>
        <v/>
      </c>
      <c r="J529" s="16" t="str">
        <f aca="false">IF(AND(B529&lt;&gt;"",A529=BULK!$A$1,N(F529)&gt;0),MAX(J$1:J528)+1,"")</f>
        <v/>
      </c>
      <c r="K529" s="11" t="str">
        <f aca="false">IF(B529="","",IFERROR(LEFT(B529,FIND("-",B529)-1),B529))</f>
        <v/>
      </c>
      <c r="L529" s="11" t="str">
        <f aca="false">IF(K529="","",IF(ISNUMBER(--MID(K529,1,1)),0,IF(ISNUMBER(--MID(K529,2,1)),1,IF(ISNUMBER(--MID(K529,3,1)),2,IF(ISNUMBER(--MID(K529,4,1)),3,MIN(LEN(K529),4))))))</f>
        <v/>
      </c>
      <c r="M529" s="11" t="str">
        <f aca="false">IF(B529="","",LEFT(K529,L529)&amp;REPT("0",4-L529)&amp;RIGHT("000"&amp;IFERROR(VALUE(MID(K529,L529+1,9)),0),3)&amp;RIGHT("0000"&amp;IFERROR(VALUE(MID(B529,FIND("-",B529)+1,9)),0),4))</f>
        <v/>
      </c>
      <c r="N529" s="11" t="str">
        <f aca="false">IF(OR(B529="",N(F529)&lt;=0),"",IF('FALTAS POR DECK'!$P$1="Código","K"&amp;M529&amp;RIGHT("00000"&amp;ROW(),5),IF('FALTAS POR DECK'!$P$1="Nome","K"&amp;UPPER(SUBSTITUTE(SUBSTITUTE(SUBSTITUTE(C529,"*",""),"?",""),"~",""))&amp;"0"&amp;M529&amp;RIGHT("00000"&amp;ROW(),5),IF('FALTAS POR DECK'!$P$1="Falta (maior primeiro)","K"&amp;RIGHT("0000"&amp;(9999-F529),4)&amp;M529&amp;RIGHT("00000"&amp;ROW(),5),IF('FALTAS POR DECK'!$P$1="Deck e código","K"&amp;RIGHT("00"&amp;IFERROR(MATCH(A529,_LEITURA!$P$2:$P$21,0),99),2)&amp;M529&amp;RIGHT("00000"&amp;ROW(),5),"K"&amp;RIGHT("00000"&amp;ROW(),5))))))</f>
        <v/>
      </c>
      <c r="O529" s="16" t="str">
        <f aca="false">IF(N529="","",COUNTIFS($N$2:$N$1201,"&lt;"&amp;N529,$F$2:$F$1201,"&gt;0")+1)</f>
        <v/>
      </c>
    </row>
    <row r="530" customFormat="false" ht="15" hidden="false" customHeight="false" outlineLevel="0" collapsed="false">
      <c r="A530" s="11" t="str">
        <f aca="false">IF(_LEITURA!$N530="","",INDEX(_LEITURA!$K$2:$K$1201,_LEITURA!$N530))</f>
        <v/>
      </c>
      <c r="B530" s="11" t="str">
        <f aca="false">IF(_LEITURA!$N530="","",INDEX(_LEITURA!$E$2:$E$1201,_LEITURA!$N530))</f>
        <v/>
      </c>
      <c r="C530" s="11" t="str">
        <f aca="false">IF(_LEITURA!$N530="","",INDEX(_LEITURA!$J$2:$J$1201,_LEITURA!$N530))</f>
        <v/>
      </c>
      <c r="D530" s="16" t="str">
        <f aca="false">IF(_LEITURA!$N530="","",INDEX(_LEITURA!$G$2:$G$1201,_LEITURA!$N530))</f>
        <v/>
      </c>
      <c r="E530" s="16" t="str">
        <f aca="false">IF(B530="","",SUMIFS(INVENTÁRIO!$C$2:$C$801,INVENTÁRIO!$A$2:$A$801,B530))</f>
        <v/>
      </c>
      <c r="F530" s="16" t="str">
        <f aca="false">IF(B530="","",MAX(0,D530-E530))</f>
        <v/>
      </c>
      <c r="G530" s="16" t="str">
        <f aca="false">IF(B530="","",IF(COUNTIFS($B$2:$B$1201,B530,$A$2:$A$1201,"&lt;&gt;"&amp;A530)&gt;0,"Sim",""))</f>
        <v/>
      </c>
      <c r="H530" s="16" t="str">
        <f aca="false">IF(N(F530)&gt;0,MAX(H$1:H529)+1,"")</f>
        <v/>
      </c>
      <c r="I530" s="11" t="str">
        <f aca="false">IF(B530="","",IF(INDEX($C$2:$C$1201,MATCH(B530,$B$2:$B$1201,0))&lt;&gt;C530,"Nome diferente em outro deck — revisar",""))</f>
        <v/>
      </c>
      <c r="J530" s="16" t="str">
        <f aca="false">IF(AND(B530&lt;&gt;"",A530=BULK!$A$1,N(F530)&gt;0),MAX(J$1:J529)+1,"")</f>
        <v/>
      </c>
      <c r="K530" s="11" t="str">
        <f aca="false">IF(B530="","",IFERROR(LEFT(B530,FIND("-",B530)-1),B530))</f>
        <v/>
      </c>
      <c r="L530" s="11" t="str">
        <f aca="false">IF(K530="","",IF(ISNUMBER(--MID(K530,1,1)),0,IF(ISNUMBER(--MID(K530,2,1)),1,IF(ISNUMBER(--MID(K530,3,1)),2,IF(ISNUMBER(--MID(K530,4,1)),3,MIN(LEN(K530),4))))))</f>
        <v/>
      </c>
      <c r="M530" s="11" t="str">
        <f aca="false">IF(B530="","",LEFT(K530,L530)&amp;REPT("0",4-L530)&amp;RIGHT("000"&amp;IFERROR(VALUE(MID(K530,L530+1,9)),0),3)&amp;RIGHT("0000"&amp;IFERROR(VALUE(MID(B530,FIND("-",B530)+1,9)),0),4))</f>
        <v/>
      </c>
      <c r="N530" s="11" t="str">
        <f aca="false">IF(OR(B530="",N(F530)&lt;=0),"",IF('FALTAS POR DECK'!$P$1="Código","K"&amp;M530&amp;RIGHT("00000"&amp;ROW(),5),IF('FALTAS POR DECK'!$P$1="Nome","K"&amp;UPPER(SUBSTITUTE(SUBSTITUTE(SUBSTITUTE(C530,"*",""),"?",""),"~",""))&amp;"0"&amp;M530&amp;RIGHT("00000"&amp;ROW(),5),IF('FALTAS POR DECK'!$P$1="Falta (maior primeiro)","K"&amp;RIGHT("0000"&amp;(9999-F530),4)&amp;M530&amp;RIGHT("00000"&amp;ROW(),5),IF('FALTAS POR DECK'!$P$1="Deck e código","K"&amp;RIGHT("00"&amp;IFERROR(MATCH(A530,_LEITURA!$P$2:$P$21,0),99),2)&amp;M530&amp;RIGHT("00000"&amp;ROW(),5),"K"&amp;RIGHT("00000"&amp;ROW(),5))))))</f>
        <v/>
      </c>
      <c r="O530" s="16" t="str">
        <f aca="false">IF(N530="","",COUNTIFS($N$2:$N$1201,"&lt;"&amp;N530,$F$2:$F$1201,"&gt;0")+1)</f>
        <v/>
      </c>
    </row>
    <row r="531" customFormat="false" ht="15" hidden="false" customHeight="false" outlineLevel="0" collapsed="false">
      <c r="A531" s="11" t="str">
        <f aca="false">IF(_LEITURA!$N531="","",INDEX(_LEITURA!$K$2:$K$1201,_LEITURA!$N531))</f>
        <v/>
      </c>
      <c r="B531" s="11" t="str">
        <f aca="false">IF(_LEITURA!$N531="","",INDEX(_LEITURA!$E$2:$E$1201,_LEITURA!$N531))</f>
        <v/>
      </c>
      <c r="C531" s="11" t="str">
        <f aca="false">IF(_LEITURA!$N531="","",INDEX(_LEITURA!$J$2:$J$1201,_LEITURA!$N531))</f>
        <v/>
      </c>
      <c r="D531" s="16" t="str">
        <f aca="false">IF(_LEITURA!$N531="","",INDEX(_LEITURA!$G$2:$G$1201,_LEITURA!$N531))</f>
        <v/>
      </c>
      <c r="E531" s="16" t="str">
        <f aca="false">IF(B531="","",SUMIFS(INVENTÁRIO!$C$2:$C$801,INVENTÁRIO!$A$2:$A$801,B531))</f>
        <v/>
      </c>
      <c r="F531" s="16" t="str">
        <f aca="false">IF(B531="","",MAX(0,D531-E531))</f>
        <v/>
      </c>
      <c r="G531" s="16" t="str">
        <f aca="false">IF(B531="","",IF(COUNTIFS($B$2:$B$1201,B531,$A$2:$A$1201,"&lt;&gt;"&amp;A531)&gt;0,"Sim",""))</f>
        <v/>
      </c>
      <c r="H531" s="16" t="str">
        <f aca="false">IF(N(F531)&gt;0,MAX(H$1:H530)+1,"")</f>
        <v/>
      </c>
      <c r="I531" s="11" t="str">
        <f aca="false">IF(B531="","",IF(INDEX($C$2:$C$1201,MATCH(B531,$B$2:$B$1201,0))&lt;&gt;C531,"Nome diferente em outro deck — revisar",""))</f>
        <v/>
      </c>
      <c r="J531" s="16" t="str">
        <f aca="false">IF(AND(B531&lt;&gt;"",A531=BULK!$A$1,N(F531)&gt;0),MAX(J$1:J530)+1,"")</f>
        <v/>
      </c>
      <c r="K531" s="11" t="str">
        <f aca="false">IF(B531="","",IFERROR(LEFT(B531,FIND("-",B531)-1),B531))</f>
        <v/>
      </c>
      <c r="L531" s="11" t="str">
        <f aca="false">IF(K531="","",IF(ISNUMBER(--MID(K531,1,1)),0,IF(ISNUMBER(--MID(K531,2,1)),1,IF(ISNUMBER(--MID(K531,3,1)),2,IF(ISNUMBER(--MID(K531,4,1)),3,MIN(LEN(K531),4))))))</f>
        <v/>
      </c>
      <c r="M531" s="11" t="str">
        <f aca="false">IF(B531="","",LEFT(K531,L531)&amp;REPT("0",4-L531)&amp;RIGHT("000"&amp;IFERROR(VALUE(MID(K531,L531+1,9)),0),3)&amp;RIGHT("0000"&amp;IFERROR(VALUE(MID(B531,FIND("-",B531)+1,9)),0),4))</f>
        <v/>
      </c>
      <c r="N531" s="11" t="str">
        <f aca="false">IF(OR(B531="",N(F531)&lt;=0),"",IF('FALTAS POR DECK'!$P$1="Código","K"&amp;M531&amp;RIGHT("00000"&amp;ROW(),5),IF('FALTAS POR DECK'!$P$1="Nome","K"&amp;UPPER(SUBSTITUTE(SUBSTITUTE(SUBSTITUTE(C531,"*",""),"?",""),"~",""))&amp;"0"&amp;M531&amp;RIGHT("00000"&amp;ROW(),5),IF('FALTAS POR DECK'!$P$1="Falta (maior primeiro)","K"&amp;RIGHT("0000"&amp;(9999-F531),4)&amp;M531&amp;RIGHT("00000"&amp;ROW(),5),IF('FALTAS POR DECK'!$P$1="Deck e código","K"&amp;RIGHT("00"&amp;IFERROR(MATCH(A531,_LEITURA!$P$2:$P$21,0),99),2)&amp;M531&amp;RIGHT("00000"&amp;ROW(),5),"K"&amp;RIGHT("00000"&amp;ROW(),5))))))</f>
        <v/>
      </c>
      <c r="O531" s="16" t="str">
        <f aca="false">IF(N531="","",COUNTIFS($N$2:$N$1201,"&lt;"&amp;N531,$F$2:$F$1201,"&gt;0")+1)</f>
        <v/>
      </c>
    </row>
    <row r="532" customFormat="false" ht="15" hidden="false" customHeight="false" outlineLevel="0" collapsed="false">
      <c r="A532" s="11" t="str">
        <f aca="false">IF(_LEITURA!$N532="","",INDEX(_LEITURA!$K$2:$K$1201,_LEITURA!$N532))</f>
        <v/>
      </c>
      <c r="B532" s="11" t="str">
        <f aca="false">IF(_LEITURA!$N532="","",INDEX(_LEITURA!$E$2:$E$1201,_LEITURA!$N532))</f>
        <v/>
      </c>
      <c r="C532" s="11" t="str">
        <f aca="false">IF(_LEITURA!$N532="","",INDEX(_LEITURA!$J$2:$J$1201,_LEITURA!$N532))</f>
        <v/>
      </c>
      <c r="D532" s="16" t="str">
        <f aca="false">IF(_LEITURA!$N532="","",INDEX(_LEITURA!$G$2:$G$1201,_LEITURA!$N532))</f>
        <v/>
      </c>
      <c r="E532" s="16" t="str">
        <f aca="false">IF(B532="","",SUMIFS(INVENTÁRIO!$C$2:$C$801,INVENTÁRIO!$A$2:$A$801,B532))</f>
        <v/>
      </c>
      <c r="F532" s="16" t="str">
        <f aca="false">IF(B532="","",MAX(0,D532-E532))</f>
        <v/>
      </c>
      <c r="G532" s="16" t="str">
        <f aca="false">IF(B532="","",IF(COUNTIFS($B$2:$B$1201,B532,$A$2:$A$1201,"&lt;&gt;"&amp;A532)&gt;0,"Sim",""))</f>
        <v/>
      </c>
      <c r="H532" s="16" t="str">
        <f aca="false">IF(N(F532)&gt;0,MAX(H$1:H531)+1,"")</f>
        <v/>
      </c>
      <c r="I532" s="11" t="str">
        <f aca="false">IF(B532="","",IF(INDEX($C$2:$C$1201,MATCH(B532,$B$2:$B$1201,0))&lt;&gt;C532,"Nome diferente em outro deck — revisar",""))</f>
        <v/>
      </c>
      <c r="J532" s="16" t="str">
        <f aca="false">IF(AND(B532&lt;&gt;"",A532=BULK!$A$1,N(F532)&gt;0),MAX(J$1:J531)+1,"")</f>
        <v/>
      </c>
      <c r="K532" s="11" t="str">
        <f aca="false">IF(B532="","",IFERROR(LEFT(B532,FIND("-",B532)-1),B532))</f>
        <v/>
      </c>
      <c r="L532" s="11" t="str">
        <f aca="false">IF(K532="","",IF(ISNUMBER(--MID(K532,1,1)),0,IF(ISNUMBER(--MID(K532,2,1)),1,IF(ISNUMBER(--MID(K532,3,1)),2,IF(ISNUMBER(--MID(K532,4,1)),3,MIN(LEN(K532),4))))))</f>
        <v/>
      </c>
      <c r="M532" s="11" t="str">
        <f aca="false">IF(B532="","",LEFT(K532,L532)&amp;REPT("0",4-L532)&amp;RIGHT("000"&amp;IFERROR(VALUE(MID(K532,L532+1,9)),0),3)&amp;RIGHT("0000"&amp;IFERROR(VALUE(MID(B532,FIND("-",B532)+1,9)),0),4))</f>
        <v/>
      </c>
      <c r="N532" s="11" t="str">
        <f aca="false">IF(OR(B532="",N(F532)&lt;=0),"",IF('FALTAS POR DECK'!$P$1="Código","K"&amp;M532&amp;RIGHT("00000"&amp;ROW(),5),IF('FALTAS POR DECK'!$P$1="Nome","K"&amp;UPPER(SUBSTITUTE(SUBSTITUTE(SUBSTITUTE(C532,"*",""),"?",""),"~",""))&amp;"0"&amp;M532&amp;RIGHT("00000"&amp;ROW(),5),IF('FALTAS POR DECK'!$P$1="Falta (maior primeiro)","K"&amp;RIGHT("0000"&amp;(9999-F532),4)&amp;M532&amp;RIGHT("00000"&amp;ROW(),5),IF('FALTAS POR DECK'!$P$1="Deck e código","K"&amp;RIGHT("00"&amp;IFERROR(MATCH(A532,_LEITURA!$P$2:$P$21,0),99),2)&amp;M532&amp;RIGHT("00000"&amp;ROW(),5),"K"&amp;RIGHT("00000"&amp;ROW(),5))))))</f>
        <v/>
      </c>
      <c r="O532" s="16" t="str">
        <f aca="false">IF(N532="","",COUNTIFS($N$2:$N$1201,"&lt;"&amp;N532,$F$2:$F$1201,"&gt;0")+1)</f>
        <v/>
      </c>
    </row>
    <row r="533" customFormat="false" ht="15" hidden="false" customHeight="false" outlineLevel="0" collapsed="false">
      <c r="A533" s="11" t="str">
        <f aca="false">IF(_LEITURA!$N533="","",INDEX(_LEITURA!$K$2:$K$1201,_LEITURA!$N533))</f>
        <v/>
      </c>
      <c r="B533" s="11" t="str">
        <f aca="false">IF(_LEITURA!$N533="","",INDEX(_LEITURA!$E$2:$E$1201,_LEITURA!$N533))</f>
        <v/>
      </c>
      <c r="C533" s="11" t="str">
        <f aca="false">IF(_LEITURA!$N533="","",INDEX(_LEITURA!$J$2:$J$1201,_LEITURA!$N533))</f>
        <v/>
      </c>
      <c r="D533" s="16" t="str">
        <f aca="false">IF(_LEITURA!$N533="","",INDEX(_LEITURA!$G$2:$G$1201,_LEITURA!$N533))</f>
        <v/>
      </c>
      <c r="E533" s="16" t="str">
        <f aca="false">IF(B533="","",SUMIFS(INVENTÁRIO!$C$2:$C$801,INVENTÁRIO!$A$2:$A$801,B533))</f>
        <v/>
      </c>
      <c r="F533" s="16" t="str">
        <f aca="false">IF(B533="","",MAX(0,D533-E533))</f>
        <v/>
      </c>
      <c r="G533" s="16" t="str">
        <f aca="false">IF(B533="","",IF(COUNTIFS($B$2:$B$1201,B533,$A$2:$A$1201,"&lt;&gt;"&amp;A533)&gt;0,"Sim",""))</f>
        <v/>
      </c>
      <c r="H533" s="16" t="str">
        <f aca="false">IF(N(F533)&gt;0,MAX(H$1:H532)+1,"")</f>
        <v/>
      </c>
      <c r="I533" s="11" t="str">
        <f aca="false">IF(B533="","",IF(INDEX($C$2:$C$1201,MATCH(B533,$B$2:$B$1201,0))&lt;&gt;C533,"Nome diferente em outro deck — revisar",""))</f>
        <v/>
      </c>
      <c r="J533" s="16" t="str">
        <f aca="false">IF(AND(B533&lt;&gt;"",A533=BULK!$A$1,N(F533)&gt;0),MAX(J$1:J532)+1,"")</f>
        <v/>
      </c>
      <c r="K533" s="11" t="str">
        <f aca="false">IF(B533="","",IFERROR(LEFT(B533,FIND("-",B533)-1),B533))</f>
        <v/>
      </c>
      <c r="L533" s="11" t="str">
        <f aca="false">IF(K533="","",IF(ISNUMBER(--MID(K533,1,1)),0,IF(ISNUMBER(--MID(K533,2,1)),1,IF(ISNUMBER(--MID(K533,3,1)),2,IF(ISNUMBER(--MID(K533,4,1)),3,MIN(LEN(K533),4))))))</f>
        <v/>
      </c>
      <c r="M533" s="11" t="str">
        <f aca="false">IF(B533="","",LEFT(K533,L533)&amp;REPT("0",4-L533)&amp;RIGHT("000"&amp;IFERROR(VALUE(MID(K533,L533+1,9)),0),3)&amp;RIGHT("0000"&amp;IFERROR(VALUE(MID(B533,FIND("-",B533)+1,9)),0),4))</f>
        <v/>
      </c>
      <c r="N533" s="11" t="str">
        <f aca="false">IF(OR(B533="",N(F533)&lt;=0),"",IF('FALTAS POR DECK'!$P$1="Código","K"&amp;M533&amp;RIGHT("00000"&amp;ROW(),5),IF('FALTAS POR DECK'!$P$1="Nome","K"&amp;UPPER(SUBSTITUTE(SUBSTITUTE(SUBSTITUTE(C533,"*",""),"?",""),"~",""))&amp;"0"&amp;M533&amp;RIGHT("00000"&amp;ROW(),5),IF('FALTAS POR DECK'!$P$1="Falta (maior primeiro)","K"&amp;RIGHT("0000"&amp;(9999-F533),4)&amp;M533&amp;RIGHT("00000"&amp;ROW(),5),IF('FALTAS POR DECK'!$P$1="Deck e código","K"&amp;RIGHT("00"&amp;IFERROR(MATCH(A533,_LEITURA!$P$2:$P$21,0),99),2)&amp;M533&amp;RIGHT("00000"&amp;ROW(),5),"K"&amp;RIGHT("00000"&amp;ROW(),5))))))</f>
        <v/>
      </c>
      <c r="O533" s="16" t="str">
        <f aca="false">IF(N533="","",COUNTIFS($N$2:$N$1201,"&lt;"&amp;N533,$F$2:$F$1201,"&gt;0")+1)</f>
        <v/>
      </c>
    </row>
    <row r="534" customFormat="false" ht="15" hidden="false" customHeight="false" outlineLevel="0" collapsed="false">
      <c r="A534" s="11" t="str">
        <f aca="false">IF(_LEITURA!$N534="","",INDEX(_LEITURA!$K$2:$K$1201,_LEITURA!$N534))</f>
        <v/>
      </c>
      <c r="B534" s="11" t="str">
        <f aca="false">IF(_LEITURA!$N534="","",INDEX(_LEITURA!$E$2:$E$1201,_LEITURA!$N534))</f>
        <v/>
      </c>
      <c r="C534" s="11" t="str">
        <f aca="false">IF(_LEITURA!$N534="","",INDEX(_LEITURA!$J$2:$J$1201,_LEITURA!$N534))</f>
        <v/>
      </c>
      <c r="D534" s="16" t="str">
        <f aca="false">IF(_LEITURA!$N534="","",INDEX(_LEITURA!$G$2:$G$1201,_LEITURA!$N534))</f>
        <v/>
      </c>
      <c r="E534" s="16" t="str">
        <f aca="false">IF(B534="","",SUMIFS(INVENTÁRIO!$C$2:$C$801,INVENTÁRIO!$A$2:$A$801,B534))</f>
        <v/>
      </c>
      <c r="F534" s="16" t="str">
        <f aca="false">IF(B534="","",MAX(0,D534-E534))</f>
        <v/>
      </c>
      <c r="G534" s="16" t="str">
        <f aca="false">IF(B534="","",IF(COUNTIFS($B$2:$B$1201,B534,$A$2:$A$1201,"&lt;&gt;"&amp;A534)&gt;0,"Sim",""))</f>
        <v/>
      </c>
      <c r="H534" s="16" t="str">
        <f aca="false">IF(N(F534)&gt;0,MAX(H$1:H533)+1,"")</f>
        <v/>
      </c>
      <c r="I534" s="11" t="str">
        <f aca="false">IF(B534="","",IF(INDEX($C$2:$C$1201,MATCH(B534,$B$2:$B$1201,0))&lt;&gt;C534,"Nome diferente em outro deck — revisar",""))</f>
        <v/>
      </c>
      <c r="J534" s="16" t="str">
        <f aca="false">IF(AND(B534&lt;&gt;"",A534=BULK!$A$1,N(F534)&gt;0),MAX(J$1:J533)+1,"")</f>
        <v/>
      </c>
      <c r="K534" s="11" t="str">
        <f aca="false">IF(B534="","",IFERROR(LEFT(B534,FIND("-",B534)-1),B534))</f>
        <v/>
      </c>
      <c r="L534" s="11" t="str">
        <f aca="false">IF(K534="","",IF(ISNUMBER(--MID(K534,1,1)),0,IF(ISNUMBER(--MID(K534,2,1)),1,IF(ISNUMBER(--MID(K534,3,1)),2,IF(ISNUMBER(--MID(K534,4,1)),3,MIN(LEN(K534),4))))))</f>
        <v/>
      </c>
      <c r="M534" s="11" t="str">
        <f aca="false">IF(B534="","",LEFT(K534,L534)&amp;REPT("0",4-L534)&amp;RIGHT("000"&amp;IFERROR(VALUE(MID(K534,L534+1,9)),0),3)&amp;RIGHT("0000"&amp;IFERROR(VALUE(MID(B534,FIND("-",B534)+1,9)),0),4))</f>
        <v/>
      </c>
      <c r="N534" s="11" t="str">
        <f aca="false">IF(OR(B534="",N(F534)&lt;=0),"",IF('FALTAS POR DECK'!$P$1="Código","K"&amp;M534&amp;RIGHT("00000"&amp;ROW(),5),IF('FALTAS POR DECK'!$P$1="Nome","K"&amp;UPPER(SUBSTITUTE(SUBSTITUTE(SUBSTITUTE(C534,"*",""),"?",""),"~",""))&amp;"0"&amp;M534&amp;RIGHT("00000"&amp;ROW(),5),IF('FALTAS POR DECK'!$P$1="Falta (maior primeiro)","K"&amp;RIGHT("0000"&amp;(9999-F534),4)&amp;M534&amp;RIGHT("00000"&amp;ROW(),5),IF('FALTAS POR DECK'!$P$1="Deck e código","K"&amp;RIGHT("00"&amp;IFERROR(MATCH(A534,_LEITURA!$P$2:$P$21,0),99),2)&amp;M534&amp;RIGHT("00000"&amp;ROW(),5),"K"&amp;RIGHT("00000"&amp;ROW(),5))))))</f>
        <v/>
      </c>
      <c r="O534" s="16" t="str">
        <f aca="false">IF(N534="","",COUNTIFS($N$2:$N$1201,"&lt;"&amp;N534,$F$2:$F$1201,"&gt;0")+1)</f>
        <v/>
      </c>
    </row>
    <row r="535" customFormat="false" ht="15" hidden="false" customHeight="false" outlineLevel="0" collapsed="false">
      <c r="A535" s="11" t="str">
        <f aca="false">IF(_LEITURA!$N535="","",INDEX(_LEITURA!$K$2:$K$1201,_LEITURA!$N535))</f>
        <v/>
      </c>
      <c r="B535" s="11" t="str">
        <f aca="false">IF(_LEITURA!$N535="","",INDEX(_LEITURA!$E$2:$E$1201,_LEITURA!$N535))</f>
        <v/>
      </c>
      <c r="C535" s="11" t="str">
        <f aca="false">IF(_LEITURA!$N535="","",INDEX(_LEITURA!$J$2:$J$1201,_LEITURA!$N535))</f>
        <v/>
      </c>
      <c r="D535" s="16" t="str">
        <f aca="false">IF(_LEITURA!$N535="","",INDEX(_LEITURA!$G$2:$G$1201,_LEITURA!$N535))</f>
        <v/>
      </c>
      <c r="E535" s="16" t="str">
        <f aca="false">IF(B535="","",SUMIFS(INVENTÁRIO!$C$2:$C$801,INVENTÁRIO!$A$2:$A$801,B535))</f>
        <v/>
      </c>
      <c r="F535" s="16" t="str">
        <f aca="false">IF(B535="","",MAX(0,D535-E535))</f>
        <v/>
      </c>
      <c r="G535" s="16" t="str">
        <f aca="false">IF(B535="","",IF(COUNTIFS($B$2:$B$1201,B535,$A$2:$A$1201,"&lt;&gt;"&amp;A535)&gt;0,"Sim",""))</f>
        <v/>
      </c>
      <c r="H535" s="16" t="str">
        <f aca="false">IF(N(F535)&gt;0,MAX(H$1:H534)+1,"")</f>
        <v/>
      </c>
      <c r="I535" s="11" t="str">
        <f aca="false">IF(B535="","",IF(INDEX($C$2:$C$1201,MATCH(B535,$B$2:$B$1201,0))&lt;&gt;C535,"Nome diferente em outro deck — revisar",""))</f>
        <v/>
      </c>
      <c r="J535" s="16" t="str">
        <f aca="false">IF(AND(B535&lt;&gt;"",A535=BULK!$A$1,N(F535)&gt;0),MAX(J$1:J534)+1,"")</f>
        <v/>
      </c>
      <c r="K535" s="11" t="str">
        <f aca="false">IF(B535="","",IFERROR(LEFT(B535,FIND("-",B535)-1),B535))</f>
        <v/>
      </c>
      <c r="L535" s="11" t="str">
        <f aca="false">IF(K535="","",IF(ISNUMBER(--MID(K535,1,1)),0,IF(ISNUMBER(--MID(K535,2,1)),1,IF(ISNUMBER(--MID(K535,3,1)),2,IF(ISNUMBER(--MID(K535,4,1)),3,MIN(LEN(K535),4))))))</f>
        <v/>
      </c>
      <c r="M535" s="11" t="str">
        <f aca="false">IF(B535="","",LEFT(K535,L535)&amp;REPT("0",4-L535)&amp;RIGHT("000"&amp;IFERROR(VALUE(MID(K535,L535+1,9)),0),3)&amp;RIGHT("0000"&amp;IFERROR(VALUE(MID(B535,FIND("-",B535)+1,9)),0),4))</f>
        <v/>
      </c>
      <c r="N535" s="11" t="str">
        <f aca="false">IF(OR(B535="",N(F535)&lt;=0),"",IF('FALTAS POR DECK'!$P$1="Código","K"&amp;M535&amp;RIGHT("00000"&amp;ROW(),5),IF('FALTAS POR DECK'!$P$1="Nome","K"&amp;UPPER(SUBSTITUTE(SUBSTITUTE(SUBSTITUTE(C535,"*",""),"?",""),"~",""))&amp;"0"&amp;M535&amp;RIGHT("00000"&amp;ROW(),5),IF('FALTAS POR DECK'!$P$1="Falta (maior primeiro)","K"&amp;RIGHT("0000"&amp;(9999-F535),4)&amp;M535&amp;RIGHT("00000"&amp;ROW(),5),IF('FALTAS POR DECK'!$P$1="Deck e código","K"&amp;RIGHT("00"&amp;IFERROR(MATCH(A535,_LEITURA!$P$2:$P$21,0),99),2)&amp;M535&amp;RIGHT("00000"&amp;ROW(),5),"K"&amp;RIGHT("00000"&amp;ROW(),5))))))</f>
        <v/>
      </c>
      <c r="O535" s="16" t="str">
        <f aca="false">IF(N535="","",COUNTIFS($N$2:$N$1201,"&lt;"&amp;N535,$F$2:$F$1201,"&gt;0")+1)</f>
        <v/>
      </c>
    </row>
    <row r="536" customFormat="false" ht="15" hidden="false" customHeight="false" outlineLevel="0" collapsed="false">
      <c r="A536" s="11" t="str">
        <f aca="false">IF(_LEITURA!$N536="","",INDEX(_LEITURA!$K$2:$K$1201,_LEITURA!$N536))</f>
        <v/>
      </c>
      <c r="B536" s="11" t="str">
        <f aca="false">IF(_LEITURA!$N536="","",INDEX(_LEITURA!$E$2:$E$1201,_LEITURA!$N536))</f>
        <v/>
      </c>
      <c r="C536" s="11" t="str">
        <f aca="false">IF(_LEITURA!$N536="","",INDEX(_LEITURA!$J$2:$J$1201,_LEITURA!$N536))</f>
        <v/>
      </c>
      <c r="D536" s="16" t="str">
        <f aca="false">IF(_LEITURA!$N536="","",INDEX(_LEITURA!$G$2:$G$1201,_LEITURA!$N536))</f>
        <v/>
      </c>
      <c r="E536" s="16" t="str">
        <f aca="false">IF(B536="","",SUMIFS(INVENTÁRIO!$C$2:$C$801,INVENTÁRIO!$A$2:$A$801,B536))</f>
        <v/>
      </c>
      <c r="F536" s="16" t="str">
        <f aca="false">IF(B536="","",MAX(0,D536-E536))</f>
        <v/>
      </c>
      <c r="G536" s="16" t="str">
        <f aca="false">IF(B536="","",IF(COUNTIFS($B$2:$B$1201,B536,$A$2:$A$1201,"&lt;&gt;"&amp;A536)&gt;0,"Sim",""))</f>
        <v/>
      </c>
      <c r="H536" s="16" t="str">
        <f aca="false">IF(N(F536)&gt;0,MAX(H$1:H535)+1,"")</f>
        <v/>
      </c>
      <c r="I536" s="11" t="str">
        <f aca="false">IF(B536="","",IF(INDEX($C$2:$C$1201,MATCH(B536,$B$2:$B$1201,0))&lt;&gt;C536,"Nome diferente em outro deck — revisar",""))</f>
        <v/>
      </c>
      <c r="J536" s="16" t="str">
        <f aca="false">IF(AND(B536&lt;&gt;"",A536=BULK!$A$1,N(F536)&gt;0),MAX(J$1:J535)+1,"")</f>
        <v/>
      </c>
      <c r="K536" s="11" t="str">
        <f aca="false">IF(B536="","",IFERROR(LEFT(B536,FIND("-",B536)-1),B536))</f>
        <v/>
      </c>
      <c r="L536" s="11" t="str">
        <f aca="false">IF(K536="","",IF(ISNUMBER(--MID(K536,1,1)),0,IF(ISNUMBER(--MID(K536,2,1)),1,IF(ISNUMBER(--MID(K536,3,1)),2,IF(ISNUMBER(--MID(K536,4,1)),3,MIN(LEN(K536),4))))))</f>
        <v/>
      </c>
      <c r="M536" s="11" t="str">
        <f aca="false">IF(B536="","",LEFT(K536,L536)&amp;REPT("0",4-L536)&amp;RIGHT("000"&amp;IFERROR(VALUE(MID(K536,L536+1,9)),0),3)&amp;RIGHT("0000"&amp;IFERROR(VALUE(MID(B536,FIND("-",B536)+1,9)),0),4))</f>
        <v/>
      </c>
      <c r="N536" s="11" t="str">
        <f aca="false">IF(OR(B536="",N(F536)&lt;=0),"",IF('FALTAS POR DECK'!$P$1="Código","K"&amp;M536&amp;RIGHT("00000"&amp;ROW(),5),IF('FALTAS POR DECK'!$P$1="Nome","K"&amp;UPPER(SUBSTITUTE(SUBSTITUTE(SUBSTITUTE(C536,"*",""),"?",""),"~",""))&amp;"0"&amp;M536&amp;RIGHT("00000"&amp;ROW(),5),IF('FALTAS POR DECK'!$P$1="Falta (maior primeiro)","K"&amp;RIGHT("0000"&amp;(9999-F536),4)&amp;M536&amp;RIGHT("00000"&amp;ROW(),5),IF('FALTAS POR DECK'!$P$1="Deck e código","K"&amp;RIGHT("00"&amp;IFERROR(MATCH(A536,_LEITURA!$P$2:$P$21,0),99),2)&amp;M536&amp;RIGHT("00000"&amp;ROW(),5),"K"&amp;RIGHT("00000"&amp;ROW(),5))))))</f>
        <v/>
      </c>
      <c r="O536" s="16" t="str">
        <f aca="false">IF(N536="","",COUNTIFS($N$2:$N$1201,"&lt;"&amp;N536,$F$2:$F$1201,"&gt;0")+1)</f>
        <v/>
      </c>
    </row>
    <row r="537" customFormat="false" ht="15" hidden="false" customHeight="false" outlineLevel="0" collapsed="false">
      <c r="A537" s="11" t="str">
        <f aca="false">IF(_LEITURA!$N537="","",INDEX(_LEITURA!$K$2:$K$1201,_LEITURA!$N537))</f>
        <v/>
      </c>
      <c r="B537" s="11" t="str">
        <f aca="false">IF(_LEITURA!$N537="","",INDEX(_LEITURA!$E$2:$E$1201,_LEITURA!$N537))</f>
        <v/>
      </c>
      <c r="C537" s="11" t="str">
        <f aca="false">IF(_LEITURA!$N537="","",INDEX(_LEITURA!$J$2:$J$1201,_LEITURA!$N537))</f>
        <v/>
      </c>
      <c r="D537" s="16" t="str">
        <f aca="false">IF(_LEITURA!$N537="","",INDEX(_LEITURA!$G$2:$G$1201,_LEITURA!$N537))</f>
        <v/>
      </c>
      <c r="E537" s="16" t="str">
        <f aca="false">IF(B537="","",SUMIFS(INVENTÁRIO!$C$2:$C$801,INVENTÁRIO!$A$2:$A$801,B537))</f>
        <v/>
      </c>
      <c r="F537" s="16" t="str">
        <f aca="false">IF(B537="","",MAX(0,D537-E537))</f>
        <v/>
      </c>
      <c r="G537" s="16" t="str">
        <f aca="false">IF(B537="","",IF(COUNTIFS($B$2:$B$1201,B537,$A$2:$A$1201,"&lt;&gt;"&amp;A537)&gt;0,"Sim",""))</f>
        <v/>
      </c>
      <c r="H537" s="16" t="str">
        <f aca="false">IF(N(F537)&gt;0,MAX(H$1:H536)+1,"")</f>
        <v/>
      </c>
      <c r="I537" s="11" t="str">
        <f aca="false">IF(B537="","",IF(INDEX($C$2:$C$1201,MATCH(B537,$B$2:$B$1201,0))&lt;&gt;C537,"Nome diferente em outro deck — revisar",""))</f>
        <v/>
      </c>
      <c r="J537" s="16" t="str">
        <f aca="false">IF(AND(B537&lt;&gt;"",A537=BULK!$A$1,N(F537)&gt;0),MAX(J$1:J536)+1,"")</f>
        <v/>
      </c>
      <c r="K537" s="11" t="str">
        <f aca="false">IF(B537="","",IFERROR(LEFT(B537,FIND("-",B537)-1),B537))</f>
        <v/>
      </c>
      <c r="L537" s="11" t="str">
        <f aca="false">IF(K537="","",IF(ISNUMBER(--MID(K537,1,1)),0,IF(ISNUMBER(--MID(K537,2,1)),1,IF(ISNUMBER(--MID(K537,3,1)),2,IF(ISNUMBER(--MID(K537,4,1)),3,MIN(LEN(K537),4))))))</f>
        <v/>
      </c>
      <c r="M537" s="11" t="str">
        <f aca="false">IF(B537="","",LEFT(K537,L537)&amp;REPT("0",4-L537)&amp;RIGHT("000"&amp;IFERROR(VALUE(MID(K537,L537+1,9)),0),3)&amp;RIGHT("0000"&amp;IFERROR(VALUE(MID(B537,FIND("-",B537)+1,9)),0),4))</f>
        <v/>
      </c>
      <c r="N537" s="11" t="str">
        <f aca="false">IF(OR(B537="",N(F537)&lt;=0),"",IF('FALTAS POR DECK'!$P$1="Código","K"&amp;M537&amp;RIGHT("00000"&amp;ROW(),5),IF('FALTAS POR DECK'!$P$1="Nome","K"&amp;UPPER(SUBSTITUTE(SUBSTITUTE(SUBSTITUTE(C537,"*",""),"?",""),"~",""))&amp;"0"&amp;M537&amp;RIGHT("00000"&amp;ROW(),5),IF('FALTAS POR DECK'!$P$1="Falta (maior primeiro)","K"&amp;RIGHT("0000"&amp;(9999-F537),4)&amp;M537&amp;RIGHT("00000"&amp;ROW(),5),IF('FALTAS POR DECK'!$P$1="Deck e código","K"&amp;RIGHT("00"&amp;IFERROR(MATCH(A537,_LEITURA!$P$2:$P$21,0),99),2)&amp;M537&amp;RIGHT("00000"&amp;ROW(),5),"K"&amp;RIGHT("00000"&amp;ROW(),5))))))</f>
        <v/>
      </c>
      <c r="O537" s="16" t="str">
        <f aca="false">IF(N537="","",COUNTIFS($N$2:$N$1201,"&lt;"&amp;N537,$F$2:$F$1201,"&gt;0")+1)</f>
        <v/>
      </c>
    </row>
    <row r="538" customFormat="false" ht="15" hidden="false" customHeight="false" outlineLevel="0" collapsed="false">
      <c r="A538" s="11" t="str">
        <f aca="false">IF(_LEITURA!$N538="","",INDEX(_LEITURA!$K$2:$K$1201,_LEITURA!$N538))</f>
        <v/>
      </c>
      <c r="B538" s="11" t="str">
        <f aca="false">IF(_LEITURA!$N538="","",INDEX(_LEITURA!$E$2:$E$1201,_LEITURA!$N538))</f>
        <v/>
      </c>
      <c r="C538" s="11" t="str">
        <f aca="false">IF(_LEITURA!$N538="","",INDEX(_LEITURA!$J$2:$J$1201,_LEITURA!$N538))</f>
        <v/>
      </c>
      <c r="D538" s="16" t="str">
        <f aca="false">IF(_LEITURA!$N538="","",INDEX(_LEITURA!$G$2:$G$1201,_LEITURA!$N538))</f>
        <v/>
      </c>
      <c r="E538" s="16" t="str">
        <f aca="false">IF(B538="","",SUMIFS(INVENTÁRIO!$C$2:$C$801,INVENTÁRIO!$A$2:$A$801,B538))</f>
        <v/>
      </c>
      <c r="F538" s="16" t="str">
        <f aca="false">IF(B538="","",MAX(0,D538-E538))</f>
        <v/>
      </c>
      <c r="G538" s="16" t="str">
        <f aca="false">IF(B538="","",IF(COUNTIFS($B$2:$B$1201,B538,$A$2:$A$1201,"&lt;&gt;"&amp;A538)&gt;0,"Sim",""))</f>
        <v/>
      </c>
      <c r="H538" s="16" t="str">
        <f aca="false">IF(N(F538)&gt;0,MAX(H$1:H537)+1,"")</f>
        <v/>
      </c>
      <c r="I538" s="11" t="str">
        <f aca="false">IF(B538="","",IF(INDEX($C$2:$C$1201,MATCH(B538,$B$2:$B$1201,0))&lt;&gt;C538,"Nome diferente em outro deck — revisar",""))</f>
        <v/>
      </c>
      <c r="J538" s="16" t="str">
        <f aca="false">IF(AND(B538&lt;&gt;"",A538=BULK!$A$1,N(F538)&gt;0),MAX(J$1:J537)+1,"")</f>
        <v/>
      </c>
      <c r="K538" s="11" t="str">
        <f aca="false">IF(B538="","",IFERROR(LEFT(B538,FIND("-",B538)-1),B538))</f>
        <v/>
      </c>
      <c r="L538" s="11" t="str">
        <f aca="false">IF(K538="","",IF(ISNUMBER(--MID(K538,1,1)),0,IF(ISNUMBER(--MID(K538,2,1)),1,IF(ISNUMBER(--MID(K538,3,1)),2,IF(ISNUMBER(--MID(K538,4,1)),3,MIN(LEN(K538),4))))))</f>
        <v/>
      </c>
      <c r="M538" s="11" t="str">
        <f aca="false">IF(B538="","",LEFT(K538,L538)&amp;REPT("0",4-L538)&amp;RIGHT("000"&amp;IFERROR(VALUE(MID(K538,L538+1,9)),0),3)&amp;RIGHT("0000"&amp;IFERROR(VALUE(MID(B538,FIND("-",B538)+1,9)),0),4))</f>
        <v/>
      </c>
      <c r="N538" s="11" t="str">
        <f aca="false">IF(OR(B538="",N(F538)&lt;=0),"",IF('FALTAS POR DECK'!$P$1="Código","K"&amp;M538&amp;RIGHT("00000"&amp;ROW(),5),IF('FALTAS POR DECK'!$P$1="Nome","K"&amp;UPPER(SUBSTITUTE(SUBSTITUTE(SUBSTITUTE(C538,"*",""),"?",""),"~",""))&amp;"0"&amp;M538&amp;RIGHT("00000"&amp;ROW(),5),IF('FALTAS POR DECK'!$P$1="Falta (maior primeiro)","K"&amp;RIGHT("0000"&amp;(9999-F538),4)&amp;M538&amp;RIGHT("00000"&amp;ROW(),5),IF('FALTAS POR DECK'!$P$1="Deck e código","K"&amp;RIGHT("00"&amp;IFERROR(MATCH(A538,_LEITURA!$P$2:$P$21,0),99),2)&amp;M538&amp;RIGHT("00000"&amp;ROW(),5),"K"&amp;RIGHT("00000"&amp;ROW(),5))))))</f>
        <v/>
      </c>
      <c r="O538" s="16" t="str">
        <f aca="false">IF(N538="","",COUNTIFS($N$2:$N$1201,"&lt;"&amp;N538,$F$2:$F$1201,"&gt;0")+1)</f>
        <v/>
      </c>
    </row>
    <row r="539" customFormat="false" ht="15" hidden="false" customHeight="false" outlineLevel="0" collapsed="false">
      <c r="A539" s="11" t="str">
        <f aca="false">IF(_LEITURA!$N539="","",INDEX(_LEITURA!$K$2:$K$1201,_LEITURA!$N539))</f>
        <v/>
      </c>
      <c r="B539" s="11" t="str">
        <f aca="false">IF(_LEITURA!$N539="","",INDEX(_LEITURA!$E$2:$E$1201,_LEITURA!$N539))</f>
        <v/>
      </c>
      <c r="C539" s="11" t="str">
        <f aca="false">IF(_LEITURA!$N539="","",INDEX(_LEITURA!$J$2:$J$1201,_LEITURA!$N539))</f>
        <v/>
      </c>
      <c r="D539" s="16" t="str">
        <f aca="false">IF(_LEITURA!$N539="","",INDEX(_LEITURA!$G$2:$G$1201,_LEITURA!$N539))</f>
        <v/>
      </c>
      <c r="E539" s="16" t="str">
        <f aca="false">IF(B539="","",SUMIFS(INVENTÁRIO!$C$2:$C$801,INVENTÁRIO!$A$2:$A$801,B539))</f>
        <v/>
      </c>
      <c r="F539" s="16" t="str">
        <f aca="false">IF(B539="","",MAX(0,D539-E539))</f>
        <v/>
      </c>
      <c r="G539" s="16" t="str">
        <f aca="false">IF(B539="","",IF(COUNTIFS($B$2:$B$1201,B539,$A$2:$A$1201,"&lt;&gt;"&amp;A539)&gt;0,"Sim",""))</f>
        <v/>
      </c>
      <c r="H539" s="16" t="str">
        <f aca="false">IF(N(F539)&gt;0,MAX(H$1:H538)+1,"")</f>
        <v/>
      </c>
      <c r="I539" s="11" t="str">
        <f aca="false">IF(B539="","",IF(INDEX($C$2:$C$1201,MATCH(B539,$B$2:$B$1201,0))&lt;&gt;C539,"Nome diferente em outro deck — revisar",""))</f>
        <v/>
      </c>
      <c r="J539" s="16" t="str">
        <f aca="false">IF(AND(B539&lt;&gt;"",A539=BULK!$A$1,N(F539)&gt;0),MAX(J$1:J538)+1,"")</f>
        <v/>
      </c>
      <c r="K539" s="11" t="str">
        <f aca="false">IF(B539="","",IFERROR(LEFT(B539,FIND("-",B539)-1),B539))</f>
        <v/>
      </c>
      <c r="L539" s="11" t="str">
        <f aca="false">IF(K539="","",IF(ISNUMBER(--MID(K539,1,1)),0,IF(ISNUMBER(--MID(K539,2,1)),1,IF(ISNUMBER(--MID(K539,3,1)),2,IF(ISNUMBER(--MID(K539,4,1)),3,MIN(LEN(K539),4))))))</f>
        <v/>
      </c>
      <c r="M539" s="11" t="str">
        <f aca="false">IF(B539="","",LEFT(K539,L539)&amp;REPT("0",4-L539)&amp;RIGHT("000"&amp;IFERROR(VALUE(MID(K539,L539+1,9)),0),3)&amp;RIGHT("0000"&amp;IFERROR(VALUE(MID(B539,FIND("-",B539)+1,9)),0),4))</f>
        <v/>
      </c>
      <c r="N539" s="11" t="str">
        <f aca="false">IF(OR(B539="",N(F539)&lt;=0),"",IF('FALTAS POR DECK'!$P$1="Código","K"&amp;M539&amp;RIGHT("00000"&amp;ROW(),5),IF('FALTAS POR DECK'!$P$1="Nome","K"&amp;UPPER(SUBSTITUTE(SUBSTITUTE(SUBSTITUTE(C539,"*",""),"?",""),"~",""))&amp;"0"&amp;M539&amp;RIGHT("00000"&amp;ROW(),5),IF('FALTAS POR DECK'!$P$1="Falta (maior primeiro)","K"&amp;RIGHT("0000"&amp;(9999-F539),4)&amp;M539&amp;RIGHT("00000"&amp;ROW(),5),IF('FALTAS POR DECK'!$P$1="Deck e código","K"&amp;RIGHT("00"&amp;IFERROR(MATCH(A539,_LEITURA!$P$2:$P$21,0),99),2)&amp;M539&amp;RIGHT("00000"&amp;ROW(),5),"K"&amp;RIGHT("00000"&amp;ROW(),5))))))</f>
        <v/>
      </c>
      <c r="O539" s="16" t="str">
        <f aca="false">IF(N539="","",COUNTIFS($N$2:$N$1201,"&lt;"&amp;N539,$F$2:$F$1201,"&gt;0")+1)</f>
        <v/>
      </c>
    </row>
    <row r="540" customFormat="false" ht="15" hidden="false" customHeight="false" outlineLevel="0" collapsed="false">
      <c r="A540" s="11" t="str">
        <f aca="false">IF(_LEITURA!$N540="","",INDEX(_LEITURA!$K$2:$K$1201,_LEITURA!$N540))</f>
        <v/>
      </c>
      <c r="B540" s="11" t="str">
        <f aca="false">IF(_LEITURA!$N540="","",INDEX(_LEITURA!$E$2:$E$1201,_LEITURA!$N540))</f>
        <v/>
      </c>
      <c r="C540" s="11" t="str">
        <f aca="false">IF(_LEITURA!$N540="","",INDEX(_LEITURA!$J$2:$J$1201,_LEITURA!$N540))</f>
        <v/>
      </c>
      <c r="D540" s="16" t="str">
        <f aca="false">IF(_LEITURA!$N540="","",INDEX(_LEITURA!$G$2:$G$1201,_LEITURA!$N540))</f>
        <v/>
      </c>
      <c r="E540" s="16" t="str">
        <f aca="false">IF(B540="","",SUMIFS(INVENTÁRIO!$C$2:$C$801,INVENTÁRIO!$A$2:$A$801,B540))</f>
        <v/>
      </c>
      <c r="F540" s="16" t="str">
        <f aca="false">IF(B540="","",MAX(0,D540-E540))</f>
        <v/>
      </c>
      <c r="G540" s="16" t="str">
        <f aca="false">IF(B540="","",IF(COUNTIFS($B$2:$B$1201,B540,$A$2:$A$1201,"&lt;&gt;"&amp;A540)&gt;0,"Sim",""))</f>
        <v/>
      </c>
      <c r="H540" s="16" t="str">
        <f aca="false">IF(N(F540)&gt;0,MAX(H$1:H539)+1,"")</f>
        <v/>
      </c>
      <c r="I540" s="11" t="str">
        <f aca="false">IF(B540="","",IF(INDEX($C$2:$C$1201,MATCH(B540,$B$2:$B$1201,0))&lt;&gt;C540,"Nome diferente em outro deck — revisar",""))</f>
        <v/>
      </c>
      <c r="J540" s="16" t="str">
        <f aca="false">IF(AND(B540&lt;&gt;"",A540=BULK!$A$1,N(F540)&gt;0),MAX(J$1:J539)+1,"")</f>
        <v/>
      </c>
      <c r="K540" s="11" t="str">
        <f aca="false">IF(B540="","",IFERROR(LEFT(B540,FIND("-",B540)-1),B540))</f>
        <v/>
      </c>
      <c r="L540" s="11" t="str">
        <f aca="false">IF(K540="","",IF(ISNUMBER(--MID(K540,1,1)),0,IF(ISNUMBER(--MID(K540,2,1)),1,IF(ISNUMBER(--MID(K540,3,1)),2,IF(ISNUMBER(--MID(K540,4,1)),3,MIN(LEN(K540),4))))))</f>
        <v/>
      </c>
      <c r="M540" s="11" t="str">
        <f aca="false">IF(B540="","",LEFT(K540,L540)&amp;REPT("0",4-L540)&amp;RIGHT("000"&amp;IFERROR(VALUE(MID(K540,L540+1,9)),0),3)&amp;RIGHT("0000"&amp;IFERROR(VALUE(MID(B540,FIND("-",B540)+1,9)),0),4))</f>
        <v/>
      </c>
      <c r="N540" s="11" t="str">
        <f aca="false">IF(OR(B540="",N(F540)&lt;=0),"",IF('FALTAS POR DECK'!$P$1="Código","K"&amp;M540&amp;RIGHT("00000"&amp;ROW(),5),IF('FALTAS POR DECK'!$P$1="Nome","K"&amp;UPPER(SUBSTITUTE(SUBSTITUTE(SUBSTITUTE(C540,"*",""),"?",""),"~",""))&amp;"0"&amp;M540&amp;RIGHT("00000"&amp;ROW(),5),IF('FALTAS POR DECK'!$P$1="Falta (maior primeiro)","K"&amp;RIGHT("0000"&amp;(9999-F540),4)&amp;M540&amp;RIGHT("00000"&amp;ROW(),5),IF('FALTAS POR DECK'!$P$1="Deck e código","K"&amp;RIGHT("00"&amp;IFERROR(MATCH(A540,_LEITURA!$P$2:$P$21,0),99),2)&amp;M540&amp;RIGHT("00000"&amp;ROW(),5),"K"&amp;RIGHT("00000"&amp;ROW(),5))))))</f>
        <v/>
      </c>
      <c r="O540" s="16" t="str">
        <f aca="false">IF(N540="","",COUNTIFS($N$2:$N$1201,"&lt;"&amp;N540,$F$2:$F$1201,"&gt;0")+1)</f>
        <v/>
      </c>
    </row>
    <row r="541" customFormat="false" ht="15" hidden="false" customHeight="false" outlineLevel="0" collapsed="false">
      <c r="A541" s="11" t="str">
        <f aca="false">IF(_LEITURA!$N541="","",INDEX(_LEITURA!$K$2:$K$1201,_LEITURA!$N541))</f>
        <v/>
      </c>
      <c r="B541" s="11" t="str">
        <f aca="false">IF(_LEITURA!$N541="","",INDEX(_LEITURA!$E$2:$E$1201,_LEITURA!$N541))</f>
        <v/>
      </c>
      <c r="C541" s="11" t="str">
        <f aca="false">IF(_LEITURA!$N541="","",INDEX(_LEITURA!$J$2:$J$1201,_LEITURA!$N541))</f>
        <v/>
      </c>
      <c r="D541" s="16" t="str">
        <f aca="false">IF(_LEITURA!$N541="","",INDEX(_LEITURA!$G$2:$G$1201,_LEITURA!$N541))</f>
        <v/>
      </c>
      <c r="E541" s="16" t="str">
        <f aca="false">IF(B541="","",SUMIFS(INVENTÁRIO!$C$2:$C$801,INVENTÁRIO!$A$2:$A$801,B541))</f>
        <v/>
      </c>
      <c r="F541" s="16" t="str">
        <f aca="false">IF(B541="","",MAX(0,D541-E541))</f>
        <v/>
      </c>
      <c r="G541" s="16" t="str">
        <f aca="false">IF(B541="","",IF(COUNTIFS($B$2:$B$1201,B541,$A$2:$A$1201,"&lt;&gt;"&amp;A541)&gt;0,"Sim",""))</f>
        <v/>
      </c>
      <c r="H541" s="16" t="str">
        <f aca="false">IF(N(F541)&gt;0,MAX(H$1:H540)+1,"")</f>
        <v/>
      </c>
      <c r="I541" s="11" t="str">
        <f aca="false">IF(B541="","",IF(INDEX($C$2:$C$1201,MATCH(B541,$B$2:$B$1201,0))&lt;&gt;C541,"Nome diferente em outro deck — revisar",""))</f>
        <v/>
      </c>
      <c r="J541" s="16" t="str">
        <f aca="false">IF(AND(B541&lt;&gt;"",A541=BULK!$A$1,N(F541)&gt;0),MAX(J$1:J540)+1,"")</f>
        <v/>
      </c>
      <c r="K541" s="11" t="str">
        <f aca="false">IF(B541="","",IFERROR(LEFT(B541,FIND("-",B541)-1),B541))</f>
        <v/>
      </c>
      <c r="L541" s="11" t="str">
        <f aca="false">IF(K541="","",IF(ISNUMBER(--MID(K541,1,1)),0,IF(ISNUMBER(--MID(K541,2,1)),1,IF(ISNUMBER(--MID(K541,3,1)),2,IF(ISNUMBER(--MID(K541,4,1)),3,MIN(LEN(K541),4))))))</f>
        <v/>
      </c>
      <c r="M541" s="11" t="str">
        <f aca="false">IF(B541="","",LEFT(K541,L541)&amp;REPT("0",4-L541)&amp;RIGHT("000"&amp;IFERROR(VALUE(MID(K541,L541+1,9)),0),3)&amp;RIGHT("0000"&amp;IFERROR(VALUE(MID(B541,FIND("-",B541)+1,9)),0),4))</f>
        <v/>
      </c>
      <c r="N541" s="11" t="str">
        <f aca="false">IF(OR(B541="",N(F541)&lt;=0),"",IF('FALTAS POR DECK'!$P$1="Código","K"&amp;M541&amp;RIGHT("00000"&amp;ROW(),5),IF('FALTAS POR DECK'!$P$1="Nome","K"&amp;UPPER(SUBSTITUTE(SUBSTITUTE(SUBSTITUTE(C541,"*",""),"?",""),"~",""))&amp;"0"&amp;M541&amp;RIGHT("00000"&amp;ROW(),5),IF('FALTAS POR DECK'!$P$1="Falta (maior primeiro)","K"&amp;RIGHT("0000"&amp;(9999-F541),4)&amp;M541&amp;RIGHT("00000"&amp;ROW(),5),IF('FALTAS POR DECK'!$P$1="Deck e código","K"&amp;RIGHT("00"&amp;IFERROR(MATCH(A541,_LEITURA!$P$2:$P$21,0),99),2)&amp;M541&amp;RIGHT("00000"&amp;ROW(),5),"K"&amp;RIGHT("00000"&amp;ROW(),5))))))</f>
        <v/>
      </c>
      <c r="O541" s="16" t="str">
        <f aca="false">IF(N541="","",COUNTIFS($N$2:$N$1201,"&lt;"&amp;N541,$F$2:$F$1201,"&gt;0")+1)</f>
        <v/>
      </c>
    </row>
    <row r="542" customFormat="false" ht="15" hidden="false" customHeight="false" outlineLevel="0" collapsed="false">
      <c r="A542" s="11" t="str">
        <f aca="false">IF(_LEITURA!$N542="","",INDEX(_LEITURA!$K$2:$K$1201,_LEITURA!$N542))</f>
        <v/>
      </c>
      <c r="B542" s="11" t="str">
        <f aca="false">IF(_LEITURA!$N542="","",INDEX(_LEITURA!$E$2:$E$1201,_LEITURA!$N542))</f>
        <v/>
      </c>
      <c r="C542" s="11" t="str">
        <f aca="false">IF(_LEITURA!$N542="","",INDEX(_LEITURA!$J$2:$J$1201,_LEITURA!$N542))</f>
        <v/>
      </c>
      <c r="D542" s="16" t="str">
        <f aca="false">IF(_LEITURA!$N542="","",INDEX(_LEITURA!$G$2:$G$1201,_LEITURA!$N542))</f>
        <v/>
      </c>
      <c r="E542" s="16" t="str">
        <f aca="false">IF(B542="","",SUMIFS(INVENTÁRIO!$C$2:$C$801,INVENTÁRIO!$A$2:$A$801,B542))</f>
        <v/>
      </c>
      <c r="F542" s="16" t="str">
        <f aca="false">IF(B542="","",MAX(0,D542-E542))</f>
        <v/>
      </c>
      <c r="G542" s="16" t="str">
        <f aca="false">IF(B542="","",IF(COUNTIFS($B$2:$B$1201,B542,$A$2:$A$1201,"&lt;&gt;"&amp;A542)&gt;0,"Sim",""))</f>
        <v/>
      </c>
      <c r="H542" s="16" t="str">
        <f aca="false">IF(N(F542)&gt;0,MAX(H$1:H541)+1,"")</f>
        <v/>
      </c>
      <c r="I542" s="11" t="str">
        <f aca="false">IF(B542="","",IF(INDEX($C$2:$C$1201,MATCH(B542,$B$2:$B$1201,0))&lt;&gt;C542,"Nome diferente em outro deck — revisar",""))</f>
        <v/>
      </c>
      <c r="J542" s="16" t="str">
        <f aca="false">IF(AND(B542&lt;&gt;"",A542=BULK!$A$1,N(F542)&gt;0),MAX(J$1:J541)+1,"")</f>
        <v/>
      </c>
      <c r="K542" s="11" t="str">
        <f aca="false">IF(B542="","",IFERROR(LEFT(B542,FIND("-",B542)-1),B542))</f>
        <v/>
      </c>
      <c r="L542" s="11" t="str">
        <f aca="false">IF(K542="","",IF(ISNUMBER(--MID(K542,1,1)),0,IF(ISNUMBER(--MID(K542,2,1)),1,IF(ISNUMBER(--MID(K542,3,1)),2,IF(ISNUMBER(--MID(K542,4,1)),3,MIN(LEN(K542),4))))))</f>
        <v/>
      </c>
      <c r="M542" s="11" t="str">
        <f aca="false">IF(B542="","",LEFT(K542,L542)&amp;REPT("0",4-L542)&amp;RIGHT("000"&amp;IFERROR(VALUE(MID(K542,L542+1,9)),0),3)&amp;RIGHT("0000"&amp;IFERROR(VALUE(MID(B542,FIND("-",B542)+1,9)),0),4))</f>
        <v/>
      </c>
      <c r="N542" s="11" t="str">
        <f aca="false">IF(OR(B542="",N(F542)&lt;=0),"",IF('FALTAS POR DECK'!$P$1="Código","K"&amp;M542&amp;RIGHT("00000"&amp;ROW(),5),IF('FALTAS POR DECK'!$P$1="Nome","K"&amp;UPPER(SUBSTITUTE(SUBSTITUTE(SUBSTITUTE(C542,"*",""),"?",""),"~",""))&amp;"0"&amp;M542&amp;RIGHT("00000"&amp;ROW(),5),IF('FALTAS POR DECK'!$P$1="Falta (maior primeiro)","K"&amp;RIGHT("0000"&amp;(9999-F542),4)&amp;M542&amp;RIGHT("00000"&amp;ROW(),5),IF('FALTAS POR DECK'!$P$1="Deck e código","K"&amp;RIGHT("00"&amp;IFERROR(MATCH(A542,_LEITURA!$P$2:$P$21,0),99),2)&amp;M542&amp;RIGHT("00000"&amp;ROW(),5),"K"&amp;RIGHT("00000"&amp;ROW(),5))))))</f>
        <v/>
      </c>
      <c r="O542" s="16" t="str">
        <f aca="false">IF(N542="","",COUNTIFS($N$2:$N$1201,"&lt;"&amp;N542,$F$2:$F$1201,"&gt;0")+1)</f>
        <v/>
      </c>
    </row>
    <row r="543" customFormat="false" ht="15" hidden="false" customHeight="false" outlineLevel="0" collapsed="false">
      <c r="A543" s="11" t="str">
        <f aca="false">IF(_LEITURA!$N543="","",INDEX(_LEITURA!$K$2:$K$1201,_LEITURA!$N543))</f>
        <v/>
      </c>
      <c r="B543" s="11" t="str">
        <f aca="false">IF(_LEITURA!$N543="","",INDEX(_LEITURA!$E$2:$E$1201,_LEITURA!$N543))</f>
        <v/>
      </c>
      <c r="C543" s="11" t="str">
        <f aca="false">IF(_LEITURA!$N543="","",INDEX(_LEITURA!$J$2:$J$1201,_LEITURA!$N543))</f>
        <v/>
      </c>
      <c r="D543" s="16" t="str">
        <f aca="false">IF(_LEITURA!$N543="","",INDEX(_LEITURA!$G$2:$G$1201,_LEITURA!$N543))</f>
        <v/>
      </c>
      <c r="E543" s="16" t="str">
        <f aca="false">IF(B543="","",SUMIFS(INVENTÁRIO!$C$2:$C$801,INVENTÁRIO!$A$2:$A$801,B543))</f>
        <v/>
      </c>
      <c r="F543" s="16" t="str">
        <f aca="false">IF(B543="","",MAX(0,D543-E543))</f>
        <v/>
      </c>
      <c r="G543" s="16" t="str">
        <f aca="false">IF(B543="","",IF(COUNTIFS($B$2:$B$1201,B543,$A$2:$A$1201,"&lt;&gt;"&amp;A543)&gt;0,"Sim",""))</f>
        <v/>
      </c>
      <c r="H543" s="16" t="str">
        <f aca="false">IF(N(F543)&gt;0,MAX(H$1:H542)+1,"")</f>
        <v/>
      </c>
      <c r="I543" s="11" t="str">
        <f aca="false">IF(B543="","",IF(INDEX($C$2:$C$1201,MATCH(B543,$B$2:$B$1201,0))&lt;&gt;C543,"Nome diferente em outro deck — revisar",""))</f>
        <v/>
      </c>
      <c r="J543" s="16" t="str">
        <f aca="false">IF(AND(B543&lt;&gt;"",A543=BULK!$A$1,N(F543)&gt;0),MAX(J$1:J542)+1,"")</f>
        <v/>
      </c>
      <c r="K543" s="11" t="str">
        <f aca="false">IF(B543="","",IFERROR(LEFT(B543,FIND("-",B543)-1),B543))</f>
        <v/>
      </c>
      <c r="L543" s="11" t="str">
        <f aca="false">IF(K543="","",IF(ISNUMBER(--MID(K543,1,1)),0,IF(ISNUMBER(--MID(K543,2,1)),1,IF(ISNUMBER(--MID(K543,3,1)),2,IF(ISNUMBER(--MID(K543,4,1)),3,MIN(LEN(K543),4))))))</f>
        <v/>
      </c>
      <c r="M543" s="11" t="str">
        <f aca="false">IF(B543="","",LEFT(K543,L543)&amp;REPT("0",4-L543)&amp;RIGHT("000"&amp;IFERROR(VALUE(MID(K543,L543+1,9)),0),3)&amp;RIGHT("0000"&amp;IFERROR(VALUE(MID(B543,FIND("-",B543)+1,9)),0),4))</f>
        <v/>
      </c>
      <c r="N543" s="11" t="str">
        <f aca="false">IF(OR(B543="",N(F543)&lt;=0),"",IF('FALTAS POR DECK'!$P$1="Código","K"&amp;M543&amp;RIGHT("00000"&amp;ROW(),5),IF('FALTAS POR DECK'!$P$1="Nome","K"&amp;UPPER(SUBSTITUTE(SUBSTITUTE(SUBSTITUTE(C543,"*",""),"?",""),"~",""))&amp;"0"&amp;M543&amp;RIGHT("00000"&amp;ROW(),5),IF('FALTAS POR DECK'!$P$1="Falta (maior primeiro)","K"&amp;RIGHT("0000"&amp;(9999-F543),4)&amp;M543&amp;RIGHT("00000"&amp;ROW(),5),IF('FALTAS POR DECK'!$P$1="Deck e código","K"&amp;RIGHT("00"&amp;IFERROR(MATCH(A543,_LEITURA!$P$2:$P$21,0),99),2)&amp;M543&amp;RIGHT("00000"&amp;ROW(),5),"K"&amp;RIGHT("00000"&amp;ROW(),5))))))</f>
        <v/>
      </c>
      <c r="O543" s="16" t="str">
        <f aca="false">IF(N543="","",COUNTIFS($N$2:$N$1201,"&lt;"&amp;N543,$F$2:$F$1201,"&gt;0")+1)</f>
        <v/>
      </c>
    </row>
    <row r="544" customFormat="false" ht="15" hidden="false" customHeight="false" outlineLevel="0" collapsed="false">
      <c r="A544" s="11" t="str">
        <f aca="false">IF(_LEITURA!$N544="","",INDEX(_LEITURA!$K$2:$K$1201,_LEITURA!$N544))</f>
        <v/>
      </c>
      <c r="B544" s="11" t="str">
        <f aca="false">IF(_LEITURA!$N544="","",INDEX(_LEITURA!$E$2:$E$1201,_LEITURA!$N544))</f>
        <v/>
      </c>
      <c r="C544" s="11" t="str">
        <f aca="false">IF(_LEITURA!$N544="","",INDEX(_LEITURA!$J$2:$J$1201,_LEITURA!$N544))</f>
        <v/>
      </c>
      <c r="D544" s="16" t="str">
        <f aca="false">IF(_LEITURA!$N544="","",INDEX(_LEITURA!$G$2:$G$1201,_LEITURA!$N544))</f>
        <v/>
      </c>
      <c r="E544" s="16" t="str">
        <f aca="false">IF(B544="","",SUMIFS(INVENTÁRIO!$C$2:$C$801,INVENTÁRIO!$A$2:$A$801,B544))</f>
        <v/>
      </c>
      <c r="F544" s="16" t="str">
        <f aca="false">IF(B544="","",MAX(0,D544-E544))</f>
        <v/>
      </c>
      <c r="G544" s="16" t="str">
        <f aca="false">IF(B544="","",IF(COUNTIFS($B$2:$B$1201,B544,$A$2:$A$1201,"&lt;&gt;"&amp;A544)&gt;0,"Sim",""))</f>
        <v/>
      </c>
      <c r="H544" s="16" t="str">
        <f aca="false">IF(N(F544)&gt;0,MAX(H$1:H543)+1,"")</f>
        <v/>
      </c>
      <c r="I544" s="11" t="str">
        <f aca="false">IF(B544="","",IF(INDEX($C$2:$C$1201,MATCH(B544,$B$2:$B$1201,0))&lt;&gt;C544,"Nome diferente em outro deck — revisar",""))</f>
        <v/>
      </c>
      <c r="J544" s="16" t="str">
        <f aca="false">IF(AND(B544&lt;&gt;"",A544=BULK!$A$1,N(F544)&gt;0),MAX(J$1:J543)+1,"")</f>
        <v/>
      </c>
      <c r="K544" s="11" t="str">
        <f aca="false">IF(B544="","",IFERROR(LEFT(B544,FIND("-",B544)-1),B544))</f>
        <v/>
      </c>
      <c r="L544" s="11" t="str">
        <f aca="false">IF(K544="","",IF(ISNUMBER(--MID(K544,1,1)),0,IF(ISNUMBER(--MID(K544,2,1)),1,IF(ISNUMBER(--MID(K544,3,1)),2,IF(ISNUMBER(--MID(K544,4,1)),3,MIN(LEN(K544),4))))))</f>
        <v/>
      </c>
      <c r="M544" s="11" t="str">
        <f aca="false">IF(B544="","",LEFT(K544,L544)&amp;REPT("0",4-L544)&amp;RIGHT("000"&amp;IFERROR(VALUE(MID(K544,L544+1,9)),0),3)&amp;RIGHT("0000"&amp;IFERROR(VALUE(MID(B544,FIND("-",B544)+1,9)),0),4))</f>
        <v/>
      </c>
      <c r="N544" s="11" t="str">
        <f aca="false">IF(OR(B544="",N(F544)&lt;=0),"",IF('FALTAS POR DECK'!$P$1="Código","K"&amp;M544&amp;RIGHT("00000"&amp;ROW(),5),IF('FALTAS POR DECK'!$P$1="Nome","K"&amp;UPPER(SUBSTITUTE(SUBSTITUTE(SUBSTITUTE(C544,"*",""),"?",""),"~",""))&amp;"0"&amp;M544&amp;RIGHT("00000"&amp;ROW(),5),IF('FALTAS POR DECK'!$P$1="Falta (maior primeiro)","K"&amp;RIGHT("0000"&amp;(9999-F544),4)&amp;M544&amp;RIGHT("00000"&amp;ROW(),5),IF('FALTAS POR DECK'!$P$1="Deck e código","K"&amp;RIGHT("00"&amp;IFERROR(MATCH(A544,_LEITURA!$P$2:$P$21,0),99),2)&amp;M544&amp;RIGHT("00000"&amp;ROW(),5),"K"&amp;RIGHT("00000"&amp;ROW(),5))))))</f>
        <v/>
      </c>
      <c r="O544" s="16" t="str">
        <f aca="false">IF(N544="","",COUNTIFS($N$2:$N$1201,"&lt;"&amp;N544,$F$2:$F$1201,"&gt;0")+1)</f>
        <v/>
      </c>
    </row>
    <row r="545" customFormat="false" ht="15" hidden="false" customHeight="false" outlineLevel="0" collapsed="false">
      <c r="A545" s="11" t="str">
        <f aca="false">IF(_LEITURA!$N545="","",INDEX(_LEITURA!$K$2:$K$1201,_LEITURA!$N545))</f>
        <v/>
      </c>
      <c r="B545" s="11" t="str">
        <f aca="false">IF(_LEITURA!$N545="","",INDEX(_LEITURA!$E$2:$E$1201,_LEITURA!$N545))</f>
        <v/>
      </c>
      <c r="C545" s="11" t="str">
        <f aca="false">IF(_LEITURA!$N545="","",INDEX(_LEITURA!$J$2:$J$1201,_LEITURA!$N545))</f>
        <v/>
      </c>
      <c r="D545" s="16" t="str">
        <f aca="false">IF(_LEITURA!$N545="","",INDEX(_LEITURA!$G$2:$G$1201,_LEITURA!$N545))</f>
        <v/>
      </c>
      <c r="E545" s="16" t="str">
        <f aca="false">IF(B545="","",SUMIFS(INVENTÁRIO!$C$2:$C$801,INVENTÁRIO!$A$2:$A$801,B545))</f>
        <v/>
      </c>
      <c r="F545" s="16" t="str">
        <f aca="false">IF(B545="","",MAX(0,D545-E545))</f>
        <v/>
      </c>
      <c r="G545" s="16" t="str">
        <f aca="false">IF(B545="","",IF(COUNTIFS($B$2:$B$1201,B545,$A$2:$A$1201,"&lt;&gt;"&amp;A545)&gt;0,"Sim",""))</f>
        <v/>
      </c>
      <c r="H545" s="16" t="str">
        <f aca="false">IF(N(F545)&gt;0,MAX(H$1:H544)+1,"")</f>
        <v/>
      </c>
      <c r="I545" s="11" t="str">
        <f aca="false">IF(B545="","",IF(INDEX($C$2:$C$1201,MATCH(B545,$B$2:$B$1201,0))&lt;&gt;C545,"Nome diferente em outro deck — revisar",""))</f>
        <v/>
      </c>
      <c r="J545" s="16" t="str">
        <f aca="false">IF(AND(B545&lt;&gt;"",A545=BULK!$A$1,N(F545)&gt;0),MAX(J$1:J544)+1,"")</f>
        <v/>
      </c>
      <c r="K545" s="11" t="str">
        <f aca="false">IF(B545="","",IFERROR(LEFT(B545,FIND("-",B545)-1),B545))</f>
        <v/>
      </c>
      <c r="L545" s="11" t="str">
        <f aca="false">IF(K545="","",IF(ISNUMBER(--MID(K545,1,1)),0,IF(ISNUMBER(--MID(K545,2,1)),1,IF(ISNUMBER(--MID(K545,3,1)),2,IF(ISNUMBER(--MID(K545,4,1)),3,MIN(LEN(K545),4))))))</f>
        <v/>
      </c>
      <c r="M545" s="11" t="str">
        <f aca="false">IF(B545="","",LEFT(K545,L545)&amp;REPT("0",4-L545)&amp;RIGHT("000"&amp;IFERROR(VALUE(MID(K545,L545+1,9)),0),3)&amp;RIGHT("0000"&amp;IFERROR(VALUE(MID(B545,FIND("-",B545)+1,9)),0),4))</f>
        <v/>
      </c>
      <c r="N545" s="11" t="str">
        <f aca="false">IF(OR(B545="",N(F545)&lt;=0),"",IF('FALTAS POR DECK'!$P$1="Código","K"&amp;M545&amp;RIGHT("00000"&amp;ROW(),5),IF('FALTAS POR DECK'!$P$1="Nome","K"&amp;UPPER(SUBSTITUTE(SUBSTITUTE(SUBSTITUTE(C545,"*",""),"?",""),"~",""))&amp;"0"&amp;M545&amp;RIGHT("00000"&amp;ROW(),5),IF('FALTAS POR DECK'!$P$1="Falta (maior primeiro)","K"&amp;RIGHT("0000"&amp;(9999-F545),4)&amp;M545&amp;RIGHT("00000"&amp;ROW(),5),IF('FALTAS POR DECK'!$P$1="Deck e código","K"&amp;RIGHT("00"&amp;IFERROR(MATCH(A545,_LEITURA!$P$2:$P$21,0),99),2)&amp;M545&amp;RIGHT("00000"&amp;ROW(),5),"K"&amp;RIGHT("00000"&amp;ROW(),5))))))</f>
        <v/>
      </c>
      <c r="O545" s="16" t="str">
        <f aca="false">IF(N545="","",COUNTIFS($N$2:$N$1201,"&lt;"&amp;N545,$F$2:$F$1201,"&gt;0")+1)</f>
        <v/>
      </c>
    </row>
    <row r="546" customFormat="false" ht="15" hidden="false" customHeight="false" outlineLevel="0" collapsed="false">
      <c r="A546" s="11" t="str">
        <f aca="false">IF(_LEITURA!$N546="","",INDEX(_LEITURA!$K$2:$K$1201,_LEITURA!$N546))</f>
        <v/>
      </c>
      <c r="B546" s="11" t="str">
        <f aca="false">IF(_LEITURA!$N546="","",INDEX(_LEITURA!$E$2:$E$1201,_LEITURA!$N546))</f>
        <v/>
      </c>
      <c r="C546" s="11" t="str">
        <f aca="false">IF(_LEITURA!$N546="","",INDEX(_LEITURA!$J$2:$J$1201,_LEITURA!$N546))</f>
        <v/>
      </c>
      <c r="D546" s="16" t="str">
        <f aca="false">IF(_LEITURA!$N546="","",INDEX(_LEITURA!$G$2:$G$1201,_LEITURA!$N546))</f>
        <v/>
      </c>
      <c r="E546" s="16" t="str">
        <f aca="false">IF(B546="","",SUMIFS(INVENTÁRIO!$C$2:$C$801,INVENTÁRIO!$A$2:$A$801,B546))</f>
        <v/>
      </c>
      <c r="F546" s="16" t="str">
        <f aca="false">IF(B546="","",MAX(0,D546-E546))</f>
        <v/>
      </c>
      <c r="G546" s="16" t="str">
        <f aca="false">IF(B546="","",IF(COUNTIFS($B$2:$B$1201,B546,$A$2:$A$1201,"&lt;&gt;"&amp;A546)&gt;0,"Sim",""))</f>
        <v/>
      </c>
      <c r="H546" s="16" t="str">
        <f aca="false">IF(N(F546)&gt;0,MAX(H$1:H545)+1,"")</f>
        <v/>
      </c>
      <c r="I546" s="11" t="str">
        <f aca="false">IF(B546="","",IF(INDEX($C$2:$C$1201,MATCH(B546,$B$2:$B$1201,0))&lt;&gt;C546,"Nome diferente em outro deck — revisar",""))</f>
        <v/>
      </c>
      <c r="J546" s="16" t="str">
        <f aca="false">IF(AND(B546&lt;&gt;"",A546=BULK!$A$1,N(F546)&gt;0),MAX(J$1:J545)+1,"")</f>
        <v/>
      </c>
      <c r="K546" s="11" t="str">
        <f aca="false">IF(B546="","",IFERROR(LEFT(B546,FIND("-",B546)-1),B546))</f>
        <v/>
      </c>
      <c r="L546" s="11" t="str">
        <f aca="false">IF(K546="","",IF(ISNUMBER(--MID(K546,1,1)),0,IF(ISNUMBER(--MID(K546,2,1)),1,IF(ISNUMBER(--MID(K546,3,1)),2,IF(ISNUMBER(--MID(K546,4,1)),3,MIN(LEN(K546),4))))))</f>
        <v/>
      </c>
      <c r="M546" s="11" t="str">
        <f aca="false">IF(B546="","",LEFT(K546,L546)&amp;REPT("0",4-L546)&amp;RIGHT("000"&amp;IFERROR(VALUE(MID(K546,L546+1,9)),0),3)&amp;RIGHT("0000"&amp;IFERROR(VALUE(MID(B546,FIND("-",B546)+1,9)),0),4))</f>
        <v/>
      </c>
      <c r="N546" s="11" t="str">
        <f aca="false">IF(OR(B546="",N(F546)&lt;=0),"",IF('FALTAS POR DECK'!$P$1="Código","K"&amp;M546&amp;RIGHT("00000"&amp;ROW(),5),IF('FALTAS POR DECK'!$P$1="Nome","K"&amp;UPPER(SUBSTITUTE(SUBSTITUTE(SUBSTITUTE(C546,"*",""),"?",""),"~",""))&amp;"0"&amp;M546&amp;RIGHT("00000"&amp;ROW(),5),IF('FALTAS POR DECK'!$P$1="Falta (maior primeiro)","K"&amp;RIGHT("0000"&amp;(9999-F546),4)&amp;M546&amp;RIGHT("00000"&amp;ROW(),5),IF('FALTAS POR DECK'!$P$1="Deck e código","K"&amp;RIGHT("00"&amp;IFERROR(MATCH(A546,_LEITURA!$P$2:$P$21,0),99),2)&amp;M546&amp;RIGHT("00000"&amp;ROW(),5),"K"&amp;RIGHT("00000"&amp;ROW(),5))))))</f>
        <v/>
      </c>
      <c r="O546" s="16" t="str">
        <f aca="false">IF(N546="","",COUNTIFS($N$2:$N$1201,"&lt;"&amp;N546,$F$2:$F$1201,"&gt;0")+1)</f>
        <v/>
      </c>
    </row>
    <row r="547" customFormat="false" ht="15" hidden="false" customHeight="false" outlineLevel="0" collapsed="false">
      <c r="A547" s="11" t="str">
        <f aca="false">IF(_LEITURA!$N547="","",INDEX(_LEITURA!$K$2:$K$1201,_LEITURA!$N547))</f>
        <v/>
      </c>
      <c r="B547" s="11" t="str">
        <f aca="false">IF(_LEITURA!$N547="","",INDEX(_LEITURA!$E$2:$E$1201,_LEITURA!$N547))</f>
        <v/>
      </c>
      <c r="C547" s="11" t="str">
        <f aca="false">IF(_LEITURA!$N547="","",INDEX(_LEITURA!$J$2:$J$1201,_LEITURA!$N547))</f>
        <v/>
      </c>
      <c r="D547" s="16" t="str">
        <f aca="false">IF(_LEITURA!$N547="","",INDEX(_LEITURA!$G$2:$G$1201,_LEITURA!$N547))</f>
        <v/>
      </c>
      <c r="E547" s="16" t="str">
        <f aca="false">IF(B547="","",SUMIFS(INVENTÁRIO!$C$2:$C$801,INVENTÁRIO!$A$2:$A$801,B547))</f>
        <v/>
      </c>
      <c r="F547" s="16" t="str">
        <f aca="false">IF(B547="","",MAX(0,D547-E547))</f>
        <v/>
      </c>
      <c r="G547" s="16" t="str">
        <f aca="false">IF(B547="","",IF(COUNTIFS($B$2:$B$1201,B547,$A$2:$A$1201,"&lt;&gt;"&amp;A547)&gt;0,"Sim",""))</f>
        <v/>
      </c>
      <c r="H547" s="16" t="str">
        <f aca="false">IF(N(F547)&gt;0,MAX(H$1:H546)+1,"")</f>
        <v/>
      </c>
      <c r="I547" s="11" t="str">
        <f aca="false">IF(B547="","",IF(INDEX($C$2:$C$1201,MATCH(B547,$B$2:$B$1201,0))&lt;&gt;C547,"Nome diferente em outro deck — revisar",""))</f>
        <v/>
      </c>
      <c r="J547" s="16" t="str">
        <f aca="false">IF(AND(B547&lt;&gt;"",A547=BULK!$A$1,N(F547)&gt;0),MAX(J$1:J546)+1,"")</f>
        <v/>
      </c>
      <c r="K547" s="11" t="str">
        <f aca="false">IF(B547="","",IFERROR(LEFT(B547,FIND("-",B547)-1),B547))</f>
        <v/>
      </c>
      <c r="L547" s="11" t="str">
        <f aca="false">IF(K547="","",IF(ISNUMBER(--MID(K547,1,1)),0,IF(ISNUMBER(--MID(K547,2,1)),1,IF(ISNUMBER(--MID(K547,3,1)),2,IF(ISNUMBER(--MID(K547,4,1)),3,MIN(LEN(K547),4))))))</f>
        <v/>
      </c>
      <c r="M547" s="11" t="str">
        <f aca="false">IF(B547="","",LEFT(K547,L547)&amp;REPT("0",4-L547)&amp;RIGHT("000"&amp;IFERROR(VALUE(MID(K547,L547+1,9)),0),3)&amp;RIGHT("0000"&amp;IFERROR(VALUE(MID(B547,FIND("-",B547)+1,9)),0),4))</f>
        <v/>
      </c>
      <c r="N547" s="11" t="str">
        <f aca="false">IF(OR(B547="",N(F547)&lt;=0),"",IF('FALTAS POR DECK'!$P$1="Código","K"&amp;M547&amp;RIGHT("00000"&amp;ROW(),5),IF('FALTAS POR DECK'!$P$1="Nome","K"&amp;UPPER(SUBSTITUTE(SUBSTITUTE(SUBSTITUTE(C547,"*",""),"?",""),"~",""))&amp;"0"&amp;M547&amp;RIGHT("00000"&amp;ROW(),5),IF('FALTAS POR DECK'!$P$1="Falta (maior primeiro)","K"&amp;RIGHT("0000"&amp;(9999-F547),4)&amp;M547&amp;RIGHT("00000"&amp;ROW(),5),IF('FALTAS POR DECK'!$P$1="Deck e código","K"&amp;RIGHT("00"&amp;IFERROR(MATCH(A547,_LEITURA!$P$2:$P$21,0),99),2)&amp;M547&amp;RIGHT("00000"&amp;ROW(),5),"K"&amp;RIGHT("00000"&amp;ROW(),5))))))</f>
        <v/>
      </c>
      <c r="O547" s="16" t="str">
        <f aca="false">IF(N547="","",COUNTIFS($N$2:$N$1201,"&lt;"&amp;N547,$F$2:$F$1201,"&gt;0")+1)</f>
        <v/>
      </c>
    </row>
    <row r="548" customFormat="false" ht="15" hidden="false" customHeight="false" outlineLevel="0" collapsed="false">
      <c r="A548" s="11" t="str">
        <f aca="false">IF(_LEITURA!$N548="","",INDEX(_LEITURA!$K$2:$K$1201,_LEITURA!$N548))</f>
        <v/>
      </c>
      <c r="B548" s="11" t="str">
        <f aca="false">IF(_LEITURA!$N548="","",INDEX(_LEITURA!$E$2:$E$1201,_LEITURA!$N548))</f>
        <v/>
      </c>
      <c r="C548" s="11" t="str">
        <f aca="false">IF(_LEITURA!$N548="","",INDEX(_LEITURA!$J$2:$J$1201,_LEITURA!$N548))</f>
        <v/>
      </c>
      <c r="D548" s="16" t="str">
        <f aca="false">IF(_LEITURA!$N548="","",INDEX(_LEITURA!$G$2:$G$1201,_LEITURA!$N548))</f>
        <v/>
      </c>
      <c r="E548" s="16" t="str">
        <f aca="false">IF(B548="","",SUMIFS(INVENTÁRIO!$C$2:$C$801,INVENTÁRIO!$A$2:$A$801,B548))</f>
        <v/>
      </c>
      <c r="F548" s="16" t="str">
        <f aca="false">IF(B548="","",MAX(0,D548-E548))</f>
        <v/>
      </c>
      <c r="G548" s="16" t="str">
        <f aca="false">IF(B548="","",IF(COUNTIFS($B$2:$B$1201,B548,$A$2:$A$1201,"&lt;&gt;"&amp;A548)&gt;0,"Sim",""))</f>
        <v/>
      </c>
      <c r="H548" s="16" t="str">
        <f aca="false">IF(N(F548)&gt;0,MAX(H$1:H547)+1,"")</f>
        <v/>
      </c>
      <c r="I548" s="11" t="str">
        <f aca="false">IF(B548="","",IF(INDEX($C$2:$C$1201,MATCH(B548,$B$2:$B$1201,0))&lt;&gt;C548,"Nome diferente em outro deck — revisar",""))</f>
        <v/>
      </c>
      <c r="J548" s="16" t="str">
        <f aca="false">IF(AND(B548&lt;&gt;"",A548=BULK!$A$1,N(F548)&gt;0),MAX(J$1:J547)+1,"")</f>
        <v/>
      </c>
      <c r="K548" s="11" t="str">
        <f aca="false">IF(B548="","",IFERROR(LEFT(B548,FIND("-",B548)-1),B548))</f>
        <v/>
      </c>
      <c r="L548" s="11" t="str">
        <f aca="false">IF(K548="","",IF(ISNUMBER(--MID(K548,1,1)),0,IF(ISNUMBER(--MID(K548,2,1)),1,IF(ISNUMBER(--MID(K548,3,1)),2,IF(ISNUMBER(--MID(K548,4,1)),3,MIN(LEN(K548),4))))))</f>
        <v/>
      </c>
      <c r="M548" s="11" t="str">
        <f aca="false">IF(B548="","",LEFT(K548,L548)&amp;REPT("0",4-L548)&amp;RIGHT("000"&amp;IFERROR(VALUE(MID(K548,L548+1,9)),0),3)&amp;RIGHT("0000"&amp;IFERROR(VALUE(MID(B548,FIND("-",B548)+1,9)),0),4))</f>
        <v/>
      </c>
      <c r="N548" s="11" t="str">
        <f aca="false">IF(OR(B548="",N(F548)&lt;=0),"",IF('FALTAS POR DECK'!$P$1="Código","K"&amp;M548&amp;RIGHT("00000"&amp;ROW(),5),IF('FALTAS POR DECK'!$P$1="Nome","K"&amp;UPPER(SUBSTITUTE(SUBSTITUTE(SUBSTITUTE(C548,"*",""),"?",""),"~",""))&amp;"0"&amp;M548&amp;RIGHT("00000"&amp;ROW(),5),IF('FALTAS POR DECK'!$P$1="Falta (maior primeiro)","K"&amp;RIGHT("0000"&amp;(9999-F548),4)&amp;M548&amp;RIGHT("00000"&amp;ROW(),5),IF('FALTAS POR DECK'!$P$1="Deck e código","K"&amp;RIGHT("00"&amp;IFERROR(MATCH(A548,_LEITURA!$P$2:$P$21,0),99),2)&amp;M548&amp;RIGHT("00000"&amp;ROW(),5),"K"&amp;RIGHT("00000"&amp;ROW(),5))))))</f>
        <v/>
      </c>
      <c r="O548" s="16" t="str">
        <f aca="false">IF(N548="","",COUNTIFS($N$2:$N$1201,"&lt;"&amp;N548,$F$2:$F$1201,"&gt;0")+1)</f>
        <v/>
      </c>
    </row>
    <row r="549" customFormat="false" ht="15" hidden="false" customHeight="false" outlineLevel="0" collapsed="false">
      <c r="A549" s="11" t="str">
        <f aca="false">IF(_LEITURA!$N549="","",INDEX(_LEITURA!$K$2:$K$1201,_LEITURA!$N549))</f>
        <v/>
      </c>
      <c r="B549" s="11" t="str">
        <f aca="false">IF(_LEITURA!$N549="","",INDEX(_LEITURA!$E$2:$E$1201,_LEITURA!$N549))</f>
        <v/>
      </c>
      <c r="C549" s="11" t="str">
        <f aca="false">IF(_LEITURA!$N549="","",INDEX(_LEITURA!$J$2:$J$1201,_LEITURA!$N549))</f>
        <v/>
      </c>
      <c r="D549" s="16" t="str">
        <f aca="false">IF(_LEITURA!$N549="","",INDEX(_LEITURA!$G$2:$G$1201,_LEITURA!$N549))</f>
        <v/>
      </c>
      <c r="E549" s="16" t="str">
        <f aca="false">IF(B549="","",SUMIFS(INVENTÁRIO!$C$2:$C$801,INVENTÁRIO!$A$2:$A$801,B549))</f>
        <v/>
      </c>
      <c r="F549" s="16" t="str">
        <f aca="false">IF(B549="","",MAX(0,D549-E549))</f>
        <v/>
      </c>
      <c r="G549" s="16" t="str">
        <f aca="false">IF(B549="","",IF(COUNTIFS($B$2:$B$1201,B549,$A$2:$A$1201,"&lt;&gt;"&amp;A549)&gt;0,"Sim",""))</f>
        <v/>
      </c>
      <c r="H549" s="16" t="str">
        <f aca="false">IF(N(F549)&gt;0,MAX(H$1:H548)+1,"")</f>
        <v/>
      </c>
      <c r="I549" s="11" t="str">
        <f aca="false">IF(B549="","",IF(INDEX($C$2:$C$1201,MATCH(B549,$B$2:$B$1201,0))&lt;&gt;C549,"Nome diferente em outro deck — revisar",""))</f>
        <v/>
      </c>
      <c r="J549" s="16" t="str">
        <f aca="false">IF(AND(B549&lt;&gt;"",A549=BULK!$A$1,N(F549)&gt;0),MAX(J$1:J548)+1,"")</f>
        <v/>
      </c>
      <c r="K549" s="11" t="str">
        <f aca="false">IF(B549="","",IFERROR(LEFT(B549,FIND("-",B549)-1),B549))</f>
        <v/>
      </c>
      <c r="L549" s="11" t="str">
        <f aca="false">IF(K549="","",IF(ISNUMBER(--MID(K549,1,1)),0,IF(ISNUMBER(--MID(K549,2,1)),1,IF(ISNUMBER(--MID(K549,3,1)),2,IF(ISNUMBER(--MID(K549,4,1)),3,MIN(LEN(K549),4))))))</f>
        <v/>
      </c>
      <c r="M549" s="11" t="str">
        <f aca="false">IF(B549="","",LEFT(K549,L549)&amp;REPT("0",4-L549)&amp;RIGHT("000"&amp;IFERROR(VALUE(MID(K549,L549+1,9)),0),3)&amp;RIGHT("0000"&amp;IFERROR(VALUE(MID(B549,FIND("-",B549)+1,9)),0),4))</f>
        <v/>
      </c>
      <c r="N549" s="11" t="str">
        <f aca="false">IF(OR(B549="",N(F549)&lt;=0),"",IF('FALTAS POR DECK'!$P$1="Código","K"&amp;M549&amp;RIGHT("00000"&amp;ROW(),5),IF('FALTAS POR DECK'!$P$1="Nome","K"&amp;UPPER(SUBSTITUTE(SUBSTITUTE(SUBSTITUTE(C549,"*",""),"?",""),"~",""))&amp;"0"&amp;M549&amp;RIGHT("00000"&amp;ROW(),5),IF('FALTAS POR DECK'!$P$1="Falta (maior primeiro)","K"&amp;RIGHT("0000"&amp;(9999-F549),4)&amp;M549&amp;RIGHT("00000"&amp;ROW(),5),IF('FALTAS POR DECK'!$P$1="Deck e código","K"&amp;RIGHT("00"&amp;IFERROR(MATCH(A549,_LEITURA!$P$2:$P$21,0),99),2)&amp;M549&amp;RIGHT("00000"&amp;ROW(),5),"K"&amp;RIGHT("00000"&amp;ROW(),5))))))</f>
        <v/>
      </c>
      <c r="O549" s="16" t="str">
        <f aca="false">IF(N549="","",COUNTIFS($N$2:$N$1201,"&lt;"&amp;N549,$F$2:$F$1201,"&gt;0")+1)</f>
        <v/>
      </c>
    </row>
    <row r="550" customFormat="false" ht="15" hidden="false" customHeight="false" outlineLevel="0" collapsed="false">
      <c r="A550" s="11" t="str">
        <f aca="false">IF(_LEITURA!$N550="","",INDEX(_LEITURA!$K$2:$K$1201,_LEITURA!$N550))</f>
        <v/>
      </c>
      <c r="B550" s="11" t="str">
        <f aca="false">IF(_LEITURA!$N550="","",INDEX(_LEITURA!$E$2:$E$1201,_LEITURA!$N550))</f>
        <v/>
      </c>
      <c r="C550" s="11" t="str">
        <f aca="false">IF(_LEITURA!$N550="","",INDEX(_LEITURA!$J$2:$J$1201,_LEITURA!$N550))</f>
        <v/>
      </c>
      <c r="D550" s="16" t="str">
        <f aca="false">IF(_LEITURA!$N550="","",INDEX(_LEITURA!$G$2:$G$1201,_LEITURA!$N550))</f>
        <v/>
      </c>
      <c r="E550" s="16" t="str">
        <f aca="false">IF(B550="","",SUMIFS(INVENTÁRIO!$C$2:$C$801,INVENTÁRIO!$A$2:$A$801,B550))</f>
        <v/>
      </c>
      <c r="F550" s="16" t="str">
        <f aca="false">IF(B550="","",MAX(0,D550-E550))</f>
        <v/>
      </c>
      <c r="G550" s="16" t="str">
        <f aca="false">IF(B550="","",IF(COUNTIFS($B$2:$B$1201,B550,$A$2:$A$1201,"&lt;&gt;"&amp;A550)&gt;0,"Sim",""))</f>
        <v/>
      </c>
      <c r="H550" s="16" t="str">
        <f aca="false">IF(N(F550)&gt;0,MAX(H$1:H549)+1,"")</f>
        <v/>
      </c>
      <c r="I550" s="11" t="str">
        <f aca="false">IF(B550="","",IF(INDEX($C$2:$C$1201,MATCH(B550,$B$2:$B$1201,0))&lt;&gt;C550,"Nome diferente em outro deck — revisar",""))</f>
        <v/>
      </c>
      <c r="J550" s="16" t="str">
        <f aca="false">IF(AND(B550&lt;&gt;"",A550=BULK!$A$1,N(F550)&gt;0),MAX(J$1:J549)+1,"")</f>
        <v/>
      </c>
      <c r="K550" s="11" t="str">
        <f aca="false">IF(B550="","",IFERROR(LEFT(B550,FIND("-",B550)-1),B550))</f>
        <v/>
      </c>
      <c r="L550" s="11" t="str">
        <f aca="false">IF(K550="","",IF(ISNUMBER(--MID(K550,1,1)),0,IF(ISNUMBER(--MID(K550,2,1)),1,IF(ISNUMBER(--MID(K550,3,1)),2,IF(ISNUMBER(--MID(K550,4,1)),3,MIN(LEN(K550),4))))))</f>
        <v/>
      </c>
      <c r="M550" s="11" t="str">
        <f aca="false">IF(B550="","",LEFT(K550,L550)&amp;REPT("0",4-L550)&amp;RIGHT("000"&amp;IFERROR(VALUE(MID(K550,L550+1,9)),0),3)&amp;RIGHT("0000"&amp;IFERROR(VALUE(MID(B550,FIND("-",B550)+1,9)),0),4))</f>
        <v/>
      </c>
      <c r="N550" s="11" t="str">
        <f aca="false">IF(OR(B550="",N(F550)&lt;=0),"",IF('FALTAS POR DECK'!$P$1="Código","K"&amp;M550&amp;RIGHT("00000"&amp;ROW(),5),IF('FALTAS POR DECK'!$P$1="Nome","K"&amp;UPPER(SUBSTITUTE(SUBSTITUTE(SUBSTITUTE(C550,"*",""),"?",""),"~",""))&amp;"0"&amp;M550&amp;RIGHT("00000"&amp;ROW(),5),IF('FALTAS POR DECK'!$P$1="Falta (maior primeiro)","K"&amp;RIGHT("0000"&amp;(9999-F550),4)&amp;M550&amp;RIGHT("00000"&amp;ROW(),5),IF('FALTAS POR DECK'!$P$1="Deck e código","K"&amp;RIGHT("00"&amp;IFERROR(MATCH(A550,_LEITURA!$P$2:$P$21,0),99),2)&amp;M550&amp;RIGHT("00000"&amp;ROW(),5),"K"&amp;RIGHT("00000"&amp;ROW(),5))))))</f>
        <v/>
      </c>
      <c r="O550" s="16" t="str">
        <f aca="false">IF(N550="","",COUNTIFS($N$2:$N$1201,"&lt;"&amp;N550,$F$2:$F$1201,"&gt;0")+1)</f>
        <v/>
      </c>
    </row>
    <row r="551" customFormat="false" ht="15" hidden="false" customHeight="false" outlineLevel="0" collapsed="false">
      <c r="A551" s="11" t="str">
        <f aca="false">IF(_LEITURA!$N551="","",INDEX(_LEITURA!$K$2:$K$1201,_LEITURA!$N551))</f>
        <v/>
      </c>
      <c r="B551" s="11" t="str">
        <f aca="false">IF(_LEITURA!$N551="","",INDEX(_LEITURA!$E$2:$E$1201,_LEITURA!$N551))</f>
        <v/>
      </c>
      <c r="C551" s="11" t="str">
        <f aca="false">IF(_LEITURA!$N551="","",INDEX(_LEITURA!$J$2:$J$1201,_LEITURA!$N551))</f>
        <v/>
      </c>
      <c r="D551" s="16" t="str">
        <f aca="false">IF(_LEITURA!$N551="","",INDEX(_LEITURA!$G$2:$G$1201,_LEITURA!$N551))</f>
        <v/>
      </c>
      <c r="E551" s="16" t="str">
        <f aca="false">IF(B551="","",SUMIFS(INVENTÁRIO!$C$2:$C$801,INVENTÁRIO!$A$2:$A$801,B551))</f>
        <v/>
      </c>
      <c r="F551" s="16" t="str">
        <f aca="false">IF(B551="","",MAX(0,D551-E551))</f>
        <v/>
      </c>
      <c r="G551" s="16" t="str">
        <f aca="false">IF(B551="","",IF(COUNTIFS($B$2:$B$1201,B551,$A$2:$A$1201,"&lt;&gt;"&amp;A551)&gt;0,"Sim",""))</f>
        <v/>
      </c>
      <c r="H551" s="16" t="str">
        <f aca="false">IF(N(F551)&gt;0,MAX(H$1:H550)+1,"")</f>
        <v/>
      </c>
      <c r="I551" s="11" t="str">
        <f aca="false">IF(B551="","",IF(INDEX($C$2:$C$1201,MATCH(B551,$B$2:$B$1201,0))&lt;&gt;C551,"Nome diferente em outro deck — revisar",""))</f>
        <v/>
      </c>
      <c r="J551" s="16" t="str">
        <f aca="false">IF(AND(B551&lt;&gt;"",A551=BULK!$A$1,N(F551)&gt;0),MAX(J$1:J550)+1,"")</f>
        <v/>
      </c>
      <c r="K551" s="11" t="str">
        <f aca="false">IF(B551="","",IFERROR(LEFT(B551,FIND("-",B551)-1),B551))</f>
        <v/>
      </c>
      <c r="L551" s="11" t="str">
        <f aca="false">IF(K551="","",IF(ISNUMBER(--MID(K551,1,1)),0,IF(ISNUMBER(--MID(K551,2,1)),1,IF(ISNUMBER(--MID(K551,3,1)),2,IF(ISNUMBER(--MID(K551,4,1)),3,MIN(LEN(K551),4))))))</f>
        <v/>
      </c>
      <c r="M551" s="11" t="str">
        <f aca="false">IF(B551="","",LEFT(K551,L551)&amp;REPT("0",4-L551)&amp;RIGHT("000"&amp;IFERROR(VALUE(MID(K551,L551+1,9)),0),3)&amp;RIGHT("0000"&amp;IFERROR(VALUE(MID(B551,FIND("-",B551)+1,9)),0),4))</f>
        <v/>
      </c>
      <c r="N551" s="11" t="str">
        <f aca="false">IF(OR(B551="",N(F551)&lt;=0),"",IF('FALTAS POR DECK'!$P$1="Código","K"&amp;M551&amp;RIGHT("00000"&amp;ROW(),5),IF('FALTAS POR DECK'!$P$1="Nome","K"&amp;UPPER(SUBSTITUTE(SUBSTITUTE(SUBSTITUTE(C551,"*",""),"?",""),"~",""))&amp;"0"&amp;M551&amp;RIGHT("00000"&amp;ROW(),5),IF('FALTAS POR DECK'!$P$1="Falta (maior primeiro)","K"&amp;RIGHT("0000"&amp;(9999-F551),4)&amp;M551&amp;RIGHT("00000"&amp;ROW(),5),IF('FALTAS POR DECK'!$P$1="Deck e código","K"&amp;RIGHT("00"&amp;IFERROR(MATCH(A551,_LEITURA!$P$2:$P$21,0),99),2)&amp;M551&amp;RIGHT("00000"&amp;ROW(),5),"K"&amp;RIGHT("00000"&amp;ROW(),5))))))</f>
        <v/>
      </c>
      <c r="O551" s="16" t="str">
        <f aca="false">IF(N551="","",COUNTIFS($N$2:$N$1201,"&lt;"&amp;N551,$F$2:$F$1201,"&gt;0")+1)</f>
        <v/>
      </c>
    </row>
    <row r="552" customFormat="false" ht="15" hidden="false" customHeight="false" outlineLevel="0" collapsed="false">
      <c r="A552" s="11" t="str">
        <f aca="false">IF(_LEITURA!$N552="","",INDEX(_LEITURA!$K$2:$K$1201,_LEITURA!$N552))</f>
        <v/>
      </c>
      <c r="B552" s="11" t="str">
        <f aca="false">IF(_LEITURA!$N552="","",INDEX(_LEITURA!$E$2:$E$1201,_LEITURA!$N552))</f>
        <v/>
      </c>
      <c r="C552" s="11" t="str">
        <f aca="false">IF(_LEITURA!$N552="","",INDEX(_LEITURA!$J$2:$J$1201,_LEITURA!$N552))</f>
        <v/>
      </c>
      <c r="D552" s="16" t="str">
        <f aca="false">IF(_LEITURA!$N552="","",INDEX(_LEITURA!$G$2:$G$1201,_LEITURA!$N552))</f>
        <v/>
      </c>
      <c r="E552" s="16" t="str">
        <f aca="false">IF(B552="","",SUMIFS(INVENTÁRIO!$C$2:$C$801,INVENTÁRIO!$A$2:$A$801,B552))</f>
        <v/>
      </c>
      <c r="F552" s="16" t="str">
        <f aca="false">IF(B552="","",MAX(0,D552-E552))</f>
        <v/>
      </c>
      <c r="G552" s="16" t="str">
        <f aca="false">IF(B552="","",IF(COUNTIFS($B$2:$B$1201,B552,$A$2:$A$1201,"&lt;&gt;"&amp;A552)&gt;0,"Sim",""))</f>
        <v/>
      </c>
      <c r="H552" s="16" t="str">
        <f aca="false">IF(N(F552)&gt;0,MAX(H$1:H551)+1,"")</f>
        <v/>
      </c>
      <c r="I552" s="11" t="str">
        <f aca="false">IF(B552="","",IF(INDEX($C$2:$C$1201,MATCH(B552,$B$2:$B$1201,0))&lt;&gt;C552,"Nome diferente em outro deck — revisar",""))</f>
        <v/>
      </c>
      <c r="J552" s="16" t="str">
        <f aca="false">IF(AND(B552&lt;&gt;"",A552=BULK!$A$1,N(F552)&gt;0),MAX(J$1:J551)+1,"")</f>
        <v/>
      </c>
      <c r="K552" s="11" t="str">
        <f aca="false">IF(B552="","",IFERROR(LEFT(B552,FIND("-",B552)-1),B552))</f>
        <v/>
      </c>
      <c r="L552" s="11" t="str">
        <f aca="false">IF(K552="","",IF(ISNUMBER(--MID(K552,1,1)),0,IF(ISNUMBER(--MID(K552,2,1)),1,IF(ISNUMBER(--MID(K552,3,1)),2,IF(ISNUMBER(--MID(K552,4,1)),3,MIN(LEN(K552),4))))))</f>
        <v/>
      </c>
      <c r="M552" s="11" t="str">
        <f aca="false">IF(B552="","",LEFT(K552,L552)&amp;REPT("0",4-L552)&amp;RIGHT("000"&amp;IFERROR(VALUE(MID(K552,L552+1,9)),0),3)&amp;RIGHT("0000"&amp;IFERROR(VALUE(MID(B552,FIND("-",B552)+1,9)),0),4))</f>
        <v/>
      </c>
      <c r="N552" s="11" t="str">
        <f aca="false">IF(OR(B552="",N(F552)&lt;=0),"",IF('FALTAS POR DECK'!$P$1="Código","K"&amp;M552&amp;RIGHT("00000"&amp;ROW(),5),IF('FALTAS POR DECK'!$P$1="Nome","K"&amp;UPPER(SUBSTITUTE(SUBSTITUTE(SUBSTITUTE(C552,"*",""),"?",""),"~",""))&amp;"0"&amp;M552&amp;RIGHT("00000"&amp;ROW(),5),IF('FALTAS POR DECK'!$P$1="Falta (maior primeiro)","K"&amp;RIGHT("0000"&amp;(9999-F552),4)&amp;M552&amp;RIGHT("00000"&amp;ROW(),5),IF('FALTAS POR DECK'!$P$1="Deck e código","K"&amp;RIGHT("00"&amp;IFERROR(MATCH(A552,_LEITURA!$P$2:$P$21,0),99),2)&amp;M552&amp;RIGHT("00000"&amp;ROW(),5),"K"&amp;RIGHT("00000"&amp;ROW(),5))))))</f>
        <v/>
      </c>
      <c r="O552" s="16" t="str">
        <f aca="false">IF(N552="","",COUNTIFS($N$2:$N$1201,"&lt;"&amp;N552,$F$2:$F$1201,"&gt;0")+1)</f>
        <v/>
      </c>
    </row>
    <row r="553" customFormat="false" ht="15" hidden="false" customHeight="false" outlineLevel="0" collapsed="false">
      <c r="A553" s="11" t="str">
        <f aca="false">IF(_LEITURA!$N553="","",INDEX(_LEITURA!$K$2:$K$1201,_LEITURA!$N553))</f>
        <v/>
      </c>
      <c r="B553" s="11" t="str">
        <f aca="false">IF(_LEITURA!$N553="","",INDEX(_LEITURA!$E$2:$E$1201,_LEITURA!$N553))</f>
        <v/>
      </c>
      <c r="C553" s="11" t="str">
        <f aca="false">IF(_LEITURA!$N553="","",INDEX(_LEITURA!$J$2:$J$1201,_LEITURA!$N553))</f>
        <v/>
      </c>
      <c r="D553" s="16" t="str">
        <f aca="false">IF(_LEITURA!$N553="","",INDEX(_LEITURA!$G$2:$G$1201,_LEITURA!$N553))</f>
        <v/>
      </c>
      <c r="E553" s="16" t="str">
        <f aca="false">IF(B553="","",SUMIFS(INVENTÁRIO!$C$2:$C$801,INVENTÁRIO!$A$2:$A$801,B553))</f>
        <v/>
      </c>
      <c r="F553" s="16" t="str">
        <f aca="false">IF(B553="","",MAX(0,D553-E553))</f>
        <v/>
      </c>
      <c r="G553" s="16" t="str">
        <f aca="false">IF(B553="","",IF(COUNTIFS($B$2:$B$1201,B553,$A$2:$A$1201,"&lt;&gt;"&amp;A553)&gt;0,"Sim",""))</f>
        <v/>
      </c>
      <c r="H553" s="16" t="str">
        <f aca="false">IF(N(F553)&gt;0,MAX(H$1:H552)+1,"")</f>
        <v/>
      </c>
      <c r="I553" s="11" t="str">
        <f aca="false">IF(B553="","",IF(INDEX($C$2:$C$1201,MATCH(B553,$B$2:$B$1201,0))&lt;&gt;C553,"Nome diferente em outro deck — revisar",""))</f>
        <v/>
      </c>
      <c r="J553" s="16" t="str">
        <f aca="false">IF(AND(B553&lt;&gt;"",A553=BULK!$A$1,N(F553)&gt;0),MAX(J$1:J552)+1,"")</f>
        <v/>
      </c>
      <c r="K553" s="11" t="str">
        <f aca="false">IF(B553="","",IFERROR(LEFT(B553,FIND("-",B553)-1),B553))</f>
        <v/>
      </c>
      <c r="L553" s="11" t="str">
        <f aca="false">IF(K553="","",IF(ISNUMBER(--MID(K553,1,1)),0,IF(ISNUMBER(--MID(K553,2,1)),1,IF(ISNUMBER(--MID(K553,3,1)),2,IF(ISNUMBER(--MID(K553,4,1)),3,MIN(LEN(K553),4))))))</f>
        <v/>
      </c>
      <c r="M553" s="11" t="str">
        <f aca="false">IF(B553="","",LEFT(K553,L553)&amp;REPT("0",4-L553)&amp;RIGHT("000"&amp;IFERROR(VALUE(MID(K553,L553+1,9)),0),3)&amp;RIGHT("0000"&amp;IFERROR(VALUE(MID(B553,FIND("-",B553)+1,9)),0),4))</f>
        <v/>
      </c>
      <c r="N553" s="11" t="str">
        <f aca="false">IF(OR(B553="",N(F553)&lt;=0),"",IF('FALTAS POR DECK'!$P$1="Código","K"&amp;M553&amp;RIGHT("00000"&amp;ROW(),5),IF('FALTAS POR DECK'!$P$1="Nome","K"&amp;UPPER(SUBSTITUTE(SUBSTITUTE(SUBSTITUTE(C553,"*",""),"?",""),"~",""))&amp;"0"&amp;M553&amp;RIGHT("00000"&amp;ROW(),5),IF('FALTAS POR DECK'!$P$1="Falta (maior primeiro)","K"&amp;RIGHT("0000"&amp;(9999-F553),4)&amp;M553&amp;RIGHT("00000"&amp;ROW(),5),IF('FALTAS POR DECK'!$P$1="Deck e código","K"&amp;RIGHT("00"&amp;IFERROR(MATCH(A553,_LEITURA!$P$2:$P$21,0),99),2)&amp;M553&amp;RIGHT("00000"&amp;ROW(),5),"K"&amp;RIGHT("00000"&amp;ROW(),5))))))</f>
        <v/>
      </c>
      <c r="O553" s="16" t="str">
        <f aca="false">IF(N553="","",COUNTIFS($N$2:$N$1201,"&lt;"&amp;N553,$F$2:$F$1201,"&gt;0")+1)</f>
        <v/>
      </c>
    </row>
    <row r="554" customFormat="false" ht="15" hidden="false" customHeight="false" outlineLevel="0" collapsed="false">
      <c r="A554" s="11" t="str">
        <f aca="false">IF(_LEITURA!$N554="","",INDEX(_LEITURA!$K$2:$K$1201,_LEITURA!$N554))</f>
        <v/>
      </c>
      <c r="B554" s="11" t="str">
        <f aca="false">IF(_LEITURA!$N554="","",INDEX(_LEITURA!$E$2:$E$1201,_LEITURA!$N554))</f>
        <v/>
      </c>
      <c r="C554" s="11" t="str">
        <f aca="false">IF(_LEITURA!$N554="","",INDEX(_LEITURA!$J$2:$J$1201,_LEITURA!$N554))</f>
        <v/>
      </c>
      <c r="D554" s="16" t="str">
        <f aca="false">IF(_LEITURA!$N554="","",INDEX(_LEITURA!$G$2:$G$1201,_LEITURA!$N554))</f>
        <v/>
      </c>
      <c r="E554" s="16" t="str">
        <f aca="false">IF(B554="","",SUMIFS(INVENTÁRIO!$C$2:$C$801,INVENTÁRIO!$A$2:$A$801,B554))</f>
        <v/>
      </c>
      <c r="F554" s="16" t="str">
        <f aca="false">IF(B554="","",MAX(0,D554-E554))</f>
        <v/>
      </c>
      <c r="G554" s="16" t="str">
        <f aca="false">IF(B554="","",IF(COUNTIFS($B$2:$B$1201,B554,$A$2:$A$1201,"&lt;&gt;"&amp;A554)&gt;0,"Sim",""))</f>
        <v/>
      </c>
      <c r="H554" s="16" t="str">
        <f aca="false">IF(N(F554)&gt;0,MAX(H$1:H553)+1,"")</f>
        <v/>
      </c>
      <c r="I554" s="11" t="str">
        <f aca="false">IF(B554="","",IF(INDEX($C$2:$C$1201,MATCH(B554,$B$2:$B$1201,0))&lt;&gt;C554,"Nome diferente em outro deck — revisar",""))</f>
        <v/>
      </c>
      <c r="J554" s="16" t="str">
        <f aca="false">IF(AND(B554&lt;&gt;"",A554=BULK!$A$1,N(F554)&gt;0),MAX(J$1:J553)+1,"")</f>
        <v/>
      </c>
      <c r="K554" s="11" t="str">
        <f aca="false">IF(B554="","",IFERROR(LEFT(B554,FIND("-",B554)-1),B554))</f>
        <v/>
      </c>
      <c r="L554" s="11" t="str">
        <f aca="false">IF(K554="","",IF(ISNUMBER(--MID(K554,1,1)),0,IF(ISNUMBER(--MID(K554,2,1)),1,IF(ISNUMBER(--MID(K554,3,1)),2,IF(ISNUMBER(--MID(K554,4,1)),3,MIN(LEN(K554),4))))))</f>
        <v/>
      </c>
      <c r="M554" s="11" t="str">
        <f aca="false">IF(B554="","",LEFT(K554,L554)&amp;REPT("0",4-L554)&amp;RIGHT("000"&amp;IFERROR(VALUE(MID(K554,L554+1,9)),0),3)&amp;RIGHT("0000"&amp;IFERROR(VALUE(MID(B554,FIND("-",B554)+1,9)),0),4))</f>
        <v/>
      </c>
      <c r="N554" s="11" t="str">
        <f aca="false">IF(OR(B554="",N(F554)&lt;=0),"",IF('FALTAS POR DECK'!$P$1="Código","K"&amp;M554&amp;RIGHT("00000"&amp;ROW(),5),IF('FALTAS POR DECK'!$P$1="Nome","K"&amp;UPPER(SUBSTITUTE(SUBSTITUTE(SUBSTITUTE(C554,"*",""),"?",""),"~",""))&amp;"0"&amp;M554&amp;RIGHT("00000"&amp;ROW(),5),IF('FALTAS POR DECK'!$P$1="Falta (maior primeiro)","K"&amp;RIGHT("0000"&amp;(9999-F554),4)&amp;M554&amp;RIGHT("00000"&amp;ROW(),5),IF('FALTAS POR DECK'!$P$1="Deck e código","K"&amp;RIGHT("00"&amp;IFERROR(MATCH(A554,_LEITURA!$P$2:$P$21,0),99),2)&amp;M554&amp;RIGHT("00000"&amp;ROW(),5),"K"&amp;RIGHT("00000"&amp;ROW(),5))))))</f>
        <v/>
      </c>
      <c r="O554" s="16" t="str">
        <f aca="false">IF(N554="","",COUNTIFS($N$2:$N$1201,"&lt;"&amp;N554,$F$2:$F$1201,"&gt;0")+1)</f>
        <v/>
      </c>
    </row>
    <row r="555" customFormat="false" ht="15" hidden="false" customHeight="false" outlineLevel="0" collapsed="false">
      <c r="A555" s="11" t="str">
        <f aca="false">IF(_LEITURA!$N555="","",INDEX(_LEITURA!$K$2:$K$1201,_LEITURA!$N555))</f>
        <v/>
      </c>
      <c r="B555" s="11" t="str">
        <f aca="false">IF(_LEITURA!$N555="","",INDEX(_LEITURA!$E$2:$E$1201,_LEITURA!$N555))</f>
        <v/>
      </c>
      <c r="C555" s="11" t="str">
        <f aca="false">IF(_LEITURA!$N555="","",INDEX(_LEITURA!$J$2:$J$1201,_LEITURA!$N555))</f>
        <v/>
      </c>
      <c r="D555" s="16" t="str">
        <f aca="false">IF(_LEITURA!$N555="","",INDEX(_LEITURA!$G$2:$G$1201,_LEITURA!$N555))</f>
        <v/>
      </c>
      <c r="E555" s="16" t="str">
        <f aca="false">IF(B555="","",SUMIFS(INVENTÁRIO!$C$2:$C$801,INVENTÁRIO!$A$2:$A$801,B555))</f>
        <v/>
      </c>
      <c r="F555" s="16" t="str">
        <f aca="false">IF(B555="","",MAX(0,D555-E555))</f>
        <v/>
      </c>
      <c r="G555" s="16" t="str">
        <f aca="false">IF(B555="","",IF(COUNTIFS($B$2:$B$1201,B555,$A$2:$A$1201,"&lt;&gt;"&amp;A555)&gt;0,"Sim",""))</f>
        <v/>
      </c>
      <c r="H555" s="16" t="str">
        <f aca="false">IF(N(F555)&gt;0,MAX(H$1:H554)+1,"")</f>
        <v/>
      </c>
      <c r="I555" s="11" t="str">
        <f aca="false">IF(B555="","",IF(INDEX($C$2:$C$1201,MATCH(B555,$B$2:$B$1201,0))&lt;&gt;C555,"Nome diferente em outro deck — revisar",""))</f>
        <v/>
      </c>
      <c r="J555" s="16" t="str">
        <f aca="false">IF(AND(B555&lt;&gt;"",A555=BULK!$A$1,N(F555)&gt;0),MAX(J$1:J554)+1,"")</f>
        <v/>
      </c>
      <c r="K555" s="11" t="str">
        <f aca="false">IF(B555="","",IFERROR(LEFT(B555,FIND("-",B555)-1),B555))</f>
        <v/>
      </c>
      <c r="L555" s="11" t="str">
        <f aca="false">IF(K555="","",IF(ISNUMBER(--MID(K555,1,1)),0,IF(ISNUMBER(--MID(K555,2,1)),1,IF(ISNUMBER(--MID(K555,3,1)),2,IF(ISNUMBER(--MID(K555,4,1)),3,MIN(LEN(K555),4))))))</f>
        <v/>
      </c>
      <c r="M555" s="11" t="str">
        <f aca="false">IF(B555="","",LEFT(K555,L555)&amp;REPT("0",4-L555)&amp;RIGHT("000"&amp;IFERROR(VALUE(MID(K555,L555+1,9)),0),3)&amp;RIGHT("0000"&amp;IFERROR(VALUE(MID(B555,FIND("-",B555)+1,9)),0),4))</f>
        <v/>
      </c>
      <c r="N555" s="11" t="str">
        <f aca="false">IF(OR(B555="",N(F555)&lt;=0),"",IF('FALTAS POR DECK'!$P$1="Código","K"&amp;M555&amp;RIGHT("00000"&amp;ROW(),5),IF('FALTAS POR DECK'!$P$1="Nome","K"&amp;UPPER(SUBSTITUTE(SUBSTITUTE(SUBSTITUTE(C555,"*",""),"?",""),"~",""))&amp;"0"&amp;M555&amp;RIGHT("00000"&amp;ROW(),5),IF('FALTAS POR DECK'!$P$1="Falta (maior primeiro)","K"&amp;RIGHT("0000"&amp;(9999-F555),4)&amp;M555&amp;RIGHT("00000"&amp;ROW(),5),IF('FALTAS POR DECK'!$P$1="Deck e código","K"&amp;RIGHT("00"&amp;IFERROR(MATCH(A555,_LEITURA!$P$2:$P$21,0),99),2)&amp;M555&amp;RIGHT("00000"&amp;ROW(),5),"K"&amp;RIGHT("00000"&amp;ROW(),5))))))</f>
        <v/>
      </c>
      <c r="O555" s="16" t="str">
        <f aca="false">IF(N555="","",COUNTIFS($N$2:$N$1201,"&lt;"&amp;N555,$F$2:$F$1201,"&gt;0")+1)</f>
        <v/>
      </c>
    </row>
    <row r="556" customFormat="false" ht="15" hidden="false" customHeight="false" outlineLevel="0" collapsed="false">
      <c r="A556" s="11" t="str">
        <f aca="false">IF(_LEITURA!$N556="","",INDEX(_LEITURA!$K$2:$K$1201,_LEITURA!$N556))</f>
        <v/>
      </c>
      <c r="B556" s="11" t="str">
        <f aca="false">IF(_LEITURA!$N556="","",INDEX(_LEITURA!$E$2:$E$1201,_LEITURA!$N556))</f>
        <v/>
      </c>
      <c r="C556" s="11" t="str">
        <f aca="false">IF(_LEITURA!$N556="","",INDEX(_LEITURA!$J$2:$J$1201,_LEITURA!$N556))</f>
        <v/>
      </c>
      <c r="D556" s="16" t="str">
        <f aca="false">IF(_LEITURA!$N556="","",INDEX(_LEITURA!$G$2:$G$1201,_LEITURA!$N556))</f>
        <v/>
      </c>
      <c r="E556" s="16" t="str">
        <f aca="false">IF(B556="","",SUMIFS(INVENTÁRIO!$C$2:$C$801,INVENTÁRIO!$A$2:$A$801,B556))</f>
        <v/>
      </c>
      <c r="F556" s="16" t="str">
        <f aca="false">IF(B556="","",MAX(0,D556-E556))</f>
        <v/>
      </c>
      <c r="G556" s="16" t="str">
        <f aca="false">IF(B556="","",IF(COUNTIFS($B$2:$B$1201,B556,$A$2:$A$1201,"&lt;&gt;"&amp;A556)&gt;0,"Sim",""))</f>
        <v/>
      </c>
      <c r="H556" s="16" t="str">
        <f aca="false">IF(N(F556)&gt;0,MAX(H$1:H555)+1,"")</f>
        <v/>
      </c>
      <c r="I556" s="11" t="str">
        <f aca="false">IF(B556="","",IF(INDEX($C$2:$C$1201,MATCH(B556,$B$2:$B$1201,0))&lt;&gt;C556,"Nome diferente em outro deck — revisar",""))</f>
        <v/>
      </c>
      <c r="J556" s="16" t="str">
        <f aca="false">IF(AND(B556&lt;&gt;"",A556=BULK!$A$1,N(F556)&gt;0),MAX(J$1:J555)+1,"")</f>
        <v/>
      </c>
      <c r="K556" s="11" t="str">
        <f aca="false">IF(B556="","",IFERROR(LEFT(B556,FIND("-",B556)-1),B556))</f>
        <v/>
      </c>
      <c r="L556" s="11" t="str">
        <f aca="false">IF(K556="","",IF(ISNUMBER(--MID(K556,1,1)),0,IF(ISNUMBER(--MID(K556,2,1)),1,IF(ISNUMBER(--MID(K556,3,1)),2,IF(ISNUMBER(--MID(K556,4,1)),3,MIN(LEN(K556),4))))))</f>
        <v/>
      </c>
      <c r="M556" s="11" t="str">
        <f aca="false">IF(B556="","",LEFT(K556,L556)&amp;REPT("0",4-L556)&amp;RIGHT("000"&amp;IFERROR(VALUE(MID(K556,L556+1,9)),0),3)&amp;RIGHT("0000"&amp;IFERROR(VALUE(MID(B556,FIND("-",B556)+1,9)),0),4))</f>
        <v/>
      </c>
      <c r="N556" s="11" t="str">
        <f aca="false">IF(OR(B556="",N(F556)&lt;=0),"",IF('FALTAS POR DECK'!$P$1="Código","K"&amp;M556&amp;RIGHT("00000"&amp;ROW(),5),IF('FALTAS POR DECK'!$P$1="Nome","K"&amp;UPPER(SUBSTITUTE(SUBSTITUTE(SUBSTITUTE(C556,"*",""),"?",""),"~",""))&amp;"0"&amp;M556&amp;RIGHT("00000"&amp;ROW(),5),IF('FALTAS POR DECK'!$P$1="Falta (maior primeiro)","K"&amp;RIGHT("0000"&amp;(9999-F556),4)&amp;M556&amp;RIGHT("00000"&amp;ROW(),5),IF('FALTAS POR DECK'!$P$1="Deck e código","K"&amp;RIGHT("00"&amp;IFERROR(MATCH(A556,_LEITURA!$P$2:$P$21,0),99),2)&amp;M556&amp;RIGHT("00000"&amp;ROW(),5),"K"&amp;RIGHT("00000"&amp;ROW(),5))))))</f>
        <v/>
      </c>
      <c r="O556" s="16" t="str">
        <f aca="false">IF(N556="","",COUNTIFS($N$2:$N$1201,"&lt;"&amp;N556,$F$2:$F$1201,"&gt;0")+1)</f>
        <v/>
      </c>
    </row>
    <row r="557" customFormat="false" ht="15" hidden="false" customHeight="false" outlineLevel="0" collapsed="false">
      <c r="A557" s="11" t="str">
        <f aca="false">IF(_LEITURA!$N557="","",INDEX(_LEITURA!$K$2:$K$1201,_LEITURA!$N557))</f>
        <v/>
      </c>
      <c r="B557" s="11" t="str">
        <f aca="false">IF(_LEITURA!$N557="","",INDEX(_LEITURA!$E$2:$E$1201,_LEITURA!$N557))</f>
        <v/>
      </c>
      <c r="C557" s="11" t="str">
        <f aca="false">IF(_LEITURA!$N557="","",INDEX(_LEITURA!$J$2:$J$1201,_LEITURA!$N557))</f>
        <v/>
      </c>
      <c r="D557" s="16" t="str">
        <f aca="false">IF(_LEITURA!$N557="","",INDEX(_LEITURA!$G$2:$G$1201,_LEITURA!$N557))</f>
        <v/>
      </c>
      <c r="E557" s="16" t="str">
        <f aca="false">IF(B557="","",SUMIFS(INVENTÁRIO!$C$2:$C$801,INVENTÁRIO!$A$2:$A$801,B557))</f>
        <v/>
      </c>
      <c r="F557" s="16" t="str">
        <f aca="false">IF(B557="","",MAX(0,D557-E557))</f>
        <v/>
      </c>
      <c r="G557" s="16" t="str">
        <f aca="false">IF(B557="","",IF(COUNTIFS($B$2:$B$1201,B557,$A$2:$A$1201,"&lt;&gt;"&amp;A557)&gt;0,"Sim",""))</f>
        <v/>
      </c>
      <c r="H557" s="16" t="str">
        <f aca="false">IF(N(F557)&gt;0,MAX(H$1:H556)+1,"")</f>
        <v/>
      </c>
      <c r="I557" s="11" t="str">
        <f aca="false">IF(B557="","",IF(INDEX($C$2:$C$1201,MATCH(B557,$B$2:$B$1201,0))&lt;&gt;C557,"Nome diferente em outro deck — revisar",""))</f>
        <v/>
      </c>
      <c r="J557" s="16" t="str">
        <f aca="false">IF(AND(B557&lt;&gt;"",A557=BULK!$A$1,N(F557)&gt;0),MAX(J$1:J556)+1,"")</f>
        <v/>
      </c>
      <c r="K557" s="11" t="str">
        <f aca="false">IF(B557="","",IFERROR(LEFT(B557,FIND("-",B557)-1),B557))</f>
        <v/>
      </c>
      <c r="L557" s="11" t="str">
        <f aca="false">IF(K557="","",IF(ISNUMBER(--MID(K557,1,1)),0,IF(ISNUMBER(--MID(K557,2,1)),1,IF(ISNUMBER(--MID(K557,3,1)),2,IF(ISNUMBER(--MID(K557,4,1)),3,MIN(LEN(K557),4))))))</f>
        <v/>
      </c>
      <c r="M557" s="11" t="str">
        <f aca="false">IF(B557="","",LEFT(K557,L557)&amp;REPT("0",4-L557)&amp;RIGHT("000"&amp;IFERROR(VALUE(MID(K557,L557+1,9)),0),3)&amp;RIGHT("0000"&amp;IFERROR(VALUE(MID(B557,FIND("-",B557)+1,9)),0),4))</f>
        <v/>
      </c>
      <c r="N557" s="11" t="str">
        <f aca="false">IF(OR(B557="",N(F557)&lt;=0),"",IF('FALTAS POR DECK'!$P$1="Código","K"&amp;M557&amp;RIGHT("00000"&amp;ROW(),5),IF('FALTAS POR DECK'!$P$1="Nome","K"&amp;UPPER(SUBSTITUTE(SUBSTITUTE(SUBSTITUTE(C557,"*",""),"?",""),"~",""))&amp;"0"&amp;M557&amp;RIGHT("00000"&amp;ROW(),5),IF('FALTAS POR DECK'!$P$1="Falta (maior primeiro)","K"&amp;RIGHT("0000"&amp;(9999-F557),4)&amp;M557&amp;RIGHT("00000"&amp;ROW(),5),IF('FALTAS POR DECK'!$P$1="Deck e código","K"&amp;RIGHT("00"&amp;IFERROR(MATCH(A557,_LEITURA!$P$2:$P$21,0),99),2)&amp;M557&amp;RIGHT("00000"&amp;ROW(),5),"K"&amp;RIGHT("00000"&amp;ROW(),5))))))</f>
        <v/>
      </c>
      <c r="O557" s="16" t="str">
        <f aca="false">IF(N557="","",COUNTIFS($N$2:$N$1201,"&lt;"&amp;N557,$F$2:$F$1201,"&gt;0")+1)</f>
        <v/>
      </c>
    </row>
    <row r="558" customFormat="false" ht="15" hidden="false" customHeight="false" outlineLevel="0" collapsed="false">
      <c r="A558" s="11" t="str">
        <f aca="false">IF(_LEITURA!$N558="","",INDEX(_LEITURA!$K$2:$K$1201,_LEITURA!$N558))</f>
        <v/>
      </c>
      <c r="B558" s="11" t="str">
        <f aca="false">IF(_LEITURA!$N558="","",INDEX(_LEITURA!$E$2:$E$1201,_LEITURA!$N558))</f>
        <v/>
      </c>
      <c r="C558" s="11" t="str">
        <f aca="false">IF(_LEITURA!$N558="","",INDEX(_LEITURA!$J$2:$J$1201,_LEITURA!$N558))</f>
        <v/>
      </c>
      <c r="D558" s="16" t="str">
        <f aca="false">IF(_LEITURA!$N558="","",INDEX(_LEITURA!$G$2:$G$1201,_LEITURA!$N558))</f>
        <v/>
      </c>
      <c r="E558" s="16" t="str">
        <f aca="false">IF(B558="","",SUMIFS(INVENTÁRIO!$C$2:$C$801,INVENTÁRIO!$A$2:$A$801,B558))</f>
        <v/>
      </c>
      <c r="F558" s="16" t="str">
        <f aca="false">IF(B558="","",MAX(0,D558-E558))</f>
        <v/>
      </c>
      <c r="G558" s="16" t="str">
        <f aca="false">IF(B558="","",IF(COUNTIFS($B$2:$B$1201,B558,$A$2:$A$1201,"&lt;&gt;"&amp;A558)&gt;0,"Sim",""))</f>
        <v/>
      </c>
      <c r="H558" s="16" t="str">
        <f aca="false">IF(N(F558)&gt;0,MAX(H$1:H557)+1,"")</f>
        <v/>
      </c>
      <c r="I558" s="11" t="str">
        <f aca="false">IF(B558="","",IF(INDEX($C$2:$C$1201,MATCH(B558,$B$2:$B$1201,0))&lt;&gt;C558,"Nome diferente em outro deck — revisar",""))</f>
        <v/>
      </c>
      <c r="J558" s="16" t="str">
        <f aca="false">IF(AND(B558&lt;&gt;"",A558=BULK!$A$1,N(F558)&gt;0),MAX(J$1:J557)+1,"")</f>
        <v/>
      </c>
      <c r="K558" s="11" t="str">
        <f aca="false">IF(B558="","",IFERROR(LEFT(B558,FIND("-",B558)-1),B558))</f>
        <v/>
      </c>
      <c r="L558" s="11" t="str">
        <f aca="false">IF(K558="","",IF(ISNUMBER(--MID(K558,1,1)),0,IF(ISNUMBER(--MID(K558,2,1)),1,IF(ISNUMBER(--MID(K558,3,1)),2,IF(ISNUMBER(--MID(K558,4,1)),3,MIN(LEN(K558),4))))))</f>
        <v/>
      </c>
      <c r="M558" s="11" t="str">
        <f aca="false">IF(B558="","",LEFT(K558,L558)&amp;REPT("0",4-L558)&amp;RIGHT("000"&amp;IFERROR(VALUE(MID(K558,L558+1,9)),0),3)&amp;RIGHT("0000"&amp;IFERROR(VALUE(MID(B558,FIND("-",B558)+1,9)),0),4))</f>
        <v/>
      </c>
      <c r="N558" s="11" t="str">
        <f aca="false">IF(OR(B558="",N(F558)&lt;=0),"",IF('FALTAS POR DECK'!$P$1="Código","K"&amp;M558&amp;RIGHT("00000"&amp;ROW(),5),IF('FALTAS POR DECK'!$P$1="Nome","K"&amp;UPPER(SUBSTITUTE(SUBSTITUTE(SUBSTITUTE(C558,"*",""),"?",""),"~",""))&amp;"0"&amp;M558&amp;RIGHT("00000"&amp;ROW(),5),IF('FALTAS POR DECK'!$P$1="Falta (maior primeiro)","K"&amp;RIGHT("0000"&amp;(9999-F558),4)&amp;M558&amp;RIGHT("00000"&amp;ROW(),5),IF('FALTAS POR DECK'!$P$1="Deck e código","K"&amp;RIGHT("00"&amp;IFERROR(MATCH(A558,_LEITURA!$P$2:$P$21,0),99),2)&amp;M558&amp;RIGHT("00000"&amp;ROW(),5),"K"&amp;RIGHT("00000"&amp;ROW(),5))))))</f>
        <v/>
      </c>
      <c r="O558" s="16" t="str">
        <f aca="false">IF(N558="","",COUNTIFS($N$2:$N$1201,"&lt;"&amp;N558,$F$2:$F$1201,"&gt;0")+1)</f>
        <v/>
      </c>
    </row>
    <row r="559" customFormat="false" ht="15" hidden="false" customHeight="false" outlineLevel="0" collapsed="false">
      <c r="A559" s="11" t="str">
        <f aca="false">IF(_LEITURA!$N559="","",INDEX(_LEITURA!$K$2:$K$1201,_LEITURA!$N559))</f>
        <v/>
      </c>
      <c r="B559" s="11" t="str">
        <f aca="false">IF(_LEITURA!$N559="","",INDEX(_LEITURA!$E$2:$E$1201,_LEITURA!$N559))</f>
        <v/>
      </c>
      <c r="C559" s="11" t="str">
        <f aca="false">IF(_LEITURA!$N559="","",INDEX(_LEITURA!$J$2:$J$1201,_LEITURA!$N559))</f>
        <v/>
      </c>
      <c r="D559" s="16" t="str">
        <f aca="false">IF(_LEITURA!$N559="","",INDEX(_LEITURA!$G$2:$G$1201,_LEITURA!$N559))</f>
        <v/>
      </c>
      <c r="E559" s="16" t="str">
        <f aca="false">IF(B559="","",SUMIFS(INVENTÁRIO!$C$2:$C$801,INVENTÁRIO!$A$2:$A$801,B559))</f>
        <v/>
      </c>
      <c r="F559" s="16" t="str">
        <f aca="false">IF(B559="","",MAX(0,D559-E559))</f>
        <v/>
      </c>
      <c r="G559" s="16" t="str">
        <f aca="false">IF(B559="","",IF(COUNTIFS($B$2:$B$1201,B559,$A$2:$A$1201,"&lt;&gt;"&amp;A559)&gt;0,"Sim",""))</f>
        <v/>
      </c>
      <c r="H559" s="16" t="str">
        <f aca="false">IF(N(F559)&gt;0,MAX(H$1:H558)+1,"")</f>
        <v/>
      </c>
      <c r="I559" s="11" t="str">
        <f aca="false">IF(B559="","",IF(INDEX($C$2:$C$1201,MATCH(B559,$B$2:$B$1201,0))&lt;&gt;C559,"Nome diferente em outro deck — revisar",""))</f>
        <v/>
      </c>
      <c r="J559" s="16" t="str">
        <f aca="false">IF(AND(B559&lt;&gt;"",A559=BULK!$A$1,N(F559)&gt;0),MAX(J$1:J558)+1,"")</f>
        <v/>
      </c>
      <c r="K559" s="11" t="str">
        <f aca="false">IF(B559="","",IFERROR(LEFT(B559,FIND("-",B559)-1),B559))</f>
        <v/>
      </c>
      <c r="L559" s="11" t="str">
        <f aca="false">IF(K559="","",IF(ISNUMBER(--MID(K559,1,1)),0,IF(ISNUMBER(--MID(K559,2,1)),1,IF(ISNUMBER(--MID(K559,3,1)),2,IF(ISNUMBER(--MID(K559,4,1)),3,MIN(LEN(K559),4))))))</f>
        <v/>
      </c>
      <c r="M559" s="11" t="str">
        <f aca="false">IF(B559="","",LEFT(K559,L559)&amp;REPT("0",4-L559)&amp;RIGHT("000"&amp;IFERROR(VALUE(MID(K559,L559+1,9)),0),3)&amp;RIGHT("0000"&amp;IFERROR(VALUE(MID(B559,FIND("-",B559)+1,9)),0),4))</f>
        <v/>
      </c>
      <c r="N559" s="11" t="str">
        <f aca="false">IF(OR(B559="",N(F559)&lt;=0),"",IF('FALTAS POR DECK'!$P$1="Código","K"&amp;M559&amp;RIGHT("00000"&amp;ROW(),5),IF('FALTAS POR DECK'!$P$1="Nome","K"&amp;UPPER(SUBSTITUTE(SUBSTITUTE(SUBSTITUTE(C559,"*",""),"?",""),"~",""))&amp;"0"&amp;M559&amp;RIGHT("00000"&amp;ROW(),5),IF('FALTAS POR DECK'!$P$1="Falta (maior primeiro)","K"&amp;RIGHT("0000"&amp;(9999-F559),4)&amp;M559&amp;RIGHT("00000"&amp;ROW(),5),IF('FALTAS POR DECK'!$P$1="Deck e código","K"&amp;RIGHT("00"&amp;IFERROR(MATCH(A559,_LEITURA!$P$2:$P$21,0),99),2)&amp;M559&amp;RIGHT("00000"&amp;ROW(),5),"K"&amp;RIGHT("00000"&amp;ROW(),5))))))</f>
        <v/>
      </c>
      <c r="O559" s="16" t="str">
        <f aca="false">IF(N559="","",COUNTIFS($N$2:$N$1201,"&lt;"&amp;N559,$F$2:$F$1201,"&gt;0")+1)</f>
        <v/>
      </c>
    </row>
    <row r="560" customFormat="false" ht="15" hidden="false" customHeight="false" outlineLevel="0" collapsed="false">
      <c r="A560" s="11" t="str">
        <f aca="false">IF(_LEITURA!$N560="","",INDEX(_LEITURA!$K$2:$K$1201,_LEITURA!$N560))</f>
        <v/>
      </c>
      <c r="B560" s="11" t="str">
        <f aca="false">IF(_LEITURA!$N560="","",INDEX(_LEITURA!$E$2:$E$1201,_LEITURA!$N560))</f>
        <v/>
      </c>
      <c r="C560" s="11" t="str">
        <f aca="false">IF(_LEITURA!$N560="","",INDEX(_LEITURA!$J$2:$J$1201,_LEITURA!$N560))</f>
        <v/>
      </c>
      <c r="D560" s="16" t="str">
        <f aca="false">IF(_LEITURA!$N560="","",INDEX(_LEITURA!$G$2:$G$1201,_LEITURA!$N560))</f>
        <v/>
      </c>
      <c r="E560" s="16" t="str">
        <f aca="false">IF(B560="","",SUMIFS(INVENTÁRIO!$C$2:$C$801,INVENTÁRIO!$A$2:$A$801,B560))</f>
        <v/>
      </c>
      <c r="F560" s="16" t="str">
        <f aca="false">IF(B560="","",MAX(0,D560-E560))</f>
        <v/>
      </c>
      <c r="G560" s="16" t="str">
        <f aca="false">IF(B560="","",IF(COUNTIFS($B$2:$B$1201,B560,$A$2:$A$1201,"&lt;&gt;"&amp;A560)&gt;0,"Sim",""))</f>
        <v/>
      </c>
      <c r="H560" s="16" t="str">
        <f aca="false">IF(N(F560)&gt;0,MAX(H$1:H559)+1,"")</f>
        <v/>
      </c>
      <c r="I560" s="11" t="str">
        <f aca="false">IF(B560="","",IF(INDEX($C$2:$C$1201,MATCH(B560,$B$2:$B$1201,0))&lt;&gt;C560,"Nome diferente em outro deck — revisar",""))</f>
        <v/>
      </c>
      <c r="J560" s="16" t="str">
        <f aca="false">IF(AND(B560&lt;&gt;"",A560=BULK!$A$1,N(F560)&gt;0),MAX(J$1:J559)+1,"")</f>
        <v/>
      </c>
      <c r="K560" s="11" t="str">
        <f aca="false">IF(B560="","",IFERROR(LEFT(B560,FIND("-",B560)-1),B560))</f>
        <v/>
      </c>
      <c r="L560" s="11" t="str">
        <f aca="false">IF(K560="","",IF(ISNUMBER(--MID(K560,1,1)),0,IF(ISNUMBER(--MID(K560,2,1)),1,IF(ISNUMBER(--MID(K560,3,1)),2,IF(ISNUMBER(--MID(K560,4,1)),3,MIN(LEN(K560),4))))))</f>
        <v/>
      </c>
      <c r="M560" s="11" t="str">
        <f aca="false">IF(B560="","",LEFT(K560,L560)&amp;REPT("0",4-L560)&amp;RIGHT("000"&amp;IFERROR(VALUE(MID(K560,L560+1,9)),0),3)&amp;RIGHT("0000"&amp;IFERROR(VALUE(MID(B560,FIND("-",B560)+1,9)),0),4))</f>
        <v/>
      </c>
      <c r="N560" s="11" t="str">
        <f aca="false">IF(OR(B560="",N(F560)&lt;=0),"",IF('FALTAS POR DECK'!$P$1="Código","K"&amp;M560&amp;RIGHT("00000"&amp;ROW(),5),IF('FALTAS POR DECK'!$P$1="Nome","K"&amp;UPPER(SUBSTITUTE(SUBSTITUTE(SUBSTITUTE(C560,"*",""),"?",""),"~",""))&amp;"0"&amp;M560&amp;RIGHT("00000"&amp;ROW(),5),IF('FALTAS POR DECK'!$P$1="Falta (maior primeiro)","K"&amp;RIGHT("0000"&amp;(9999-F560),4)&amp;M560&amp;RIGHT("00000"&amp;ROW(),5),IF('FALTAS POR DECK'!$P$1="Deck e código","K"&amp;RIGHT("00"&amp;IFERROR(MATCH(A560,_LEITURA!$P$2:$P$21,0),99),2)&amp;M560&amp;RIGHT("00000"&amp;ROW(),5),"K"&amp;RIGHT("00000"&amp;ROW(),5))))))</f>
        <v/>
      </c>
      <c r="O560" s="16" t="str">
        <f aca="false">IF(N560="","",COUNTIFS($N$2:$N$1201,"&lt;"&amp;N560,$F$2:$F$1201,"&gt;0")+1)</f>
        <v/>
      </c>
    </row>
    <row r="561" customFormat="false" ht="15" hidden="false" customHeight="false" outlineLevel="0" collapsed="false">
      <c r="A561" s="11" t="str">
        <f aca="false">IF(_LEITURA!$N561="","",INDEX(_LEITURA!$K$2:$K$1201,_LEITURA!$N561))</f>
        <v/>
      </c>
      <c r="B561" s="11" t="str">
        <f aca="false">IF(_LEITURA!$N561="","",INDEX(_LEITURA!$E$2:$E$1201,_LEITURA!$N561))</f>
        <v/>
      </c>
      <c r="C561" s="11" t="str">
        <f aca="false">IF(_LEITURA!$N561="","",INDEX(_LEITURA!$J$2:$J$1201,_LEITURA!$N561))</f>
        <v/>
      </c>
      <c r="D561" s="16" t="str">
        <f aca="false">IF(_LEITURA!$N561="","",INDEX(_LEITURA!$G$2:$G$1201,_LEITURA!$N561))</f>
        <v/>
      </c>
      <c r="E561" s="16" t="str">
        <f aca="false">IF(B561="","",SUMIFS(INVENTÁRIO!$C$2:$C$801,INVENTÁRIO!$A$2:$A$801,B561))</f>
        <v/>
      </c>
      <c r="F561" s="16" t="str">
        <f aca="false">IF(B561="","",MAX(0,D561-E561))</f>
        <v/>
      </c>
      <c r="G561" s="16" t="str">
        <f aca="false">IF(B561="","",IF(COUNTIFS($B$2:$B$1201,B561,$A$2:$A$1201,"&lt;&gt;"&amp;A561)&gt;0,"Sim",""))</f>
        <v/>
      </c>
      <c r="H561" s="16" t="str">
        <f aca="false">IF(N(F561)&gt;0,MAX(H$1:H560)+1,"")</f>
        <v/>
      </c>
      <c r="I561" s="11" t="str">
        <f aca="false">IF(B561="","",IF(INDEX($C$2:$C$1201,MATCH(B561,$B$2:$B$1201,0))&lt;&gt;C561,"Nome diferente em outro deck — revisar",""))</f>
        <v/>
      </c>
      <c r="J561" s="16" t="str">
        <f aca="false">IF(AND(B561&lt;&gt;"",A561=BULK!$A$1,N(F561)&gt;0),MAX(J$1:J560)+1,"")</f>
        <v/>
      </c>
      <c r="K561" s="11" t="str">
        <f aca="false">IF(B561="","",IFERROR(LEFT(B561,FIND("-",B561)-1),B561))</f>
        <v/>
      </c>
      <c r="L561" s="11" t="str">
        <f aca="false">IF(K561="","",IF(ISNUMBER(--MID(K561,1,1)),0,IF(ISNUMBER(--MID(K561,2,1)),1,IF(ISNUMBER(--MID(K561,3,1)),2,IF(ISNUMBER(--MID(K561,4,1)),3,MIN(LEN(K561),4))))))</f>
        <v/>
      </c>
      <c r="M561" s="11" t="str">
        <f aca="false">IF(B561="","",LEFT(K561,L561)&amp;REPT("0",4-L561)&amp;RIGHT("000"&amp;IFERROR(VALUE(MID(K561,L561+1,9)),0),3)&amp;RIGHT("0000"&amp;IFERROR(VALUE(MID(B561,FIND("-",B561)+1,9)),0),4))</f>
        <v/>
      </c>
      <c r="N561" s="11" t="str">
        <f aca="false">IF(OR(B561="",N(F561)&lt;=0),"",IF('FALTAS POR DECK'!$P$1="Código","K"&amp;M561&amp;RIGHT("00000"&amp;ROW(),5),IF('FALTAS POR DECK'!$P$1="Nome","K"&amp;UPPER(SUBSTITUTE(SUBSTITUTE(SUBSTITUTE(C561,"*",""),"?",""),"~",""))&amp;"0"&amp;M561&amp;RIGHT("00000"&amp;ROW(),5),IF('FALTAS POR DECK'!$P$1="Falta (maior primeiro)","K"&amp;RIGHT("0000"&amp;(9999-F561),4)&amp;M561&amp;RIGHT("00000"&amp;ROW(),5),IF('FALTAS POR DECK'!$P$1="Deck e código","K"&amp;RIGHT("00"&amp;IFERROR(MATCH(A561,_LEITURA!$P$2:$P$21,0),99),2)&amp;M561&amp;RIGHT("00000"&amp;ROW(),5),"K"&amp;RIGHT("00000"&amp;ROW(),5))))))</f>
        <v/>
      </c>
      <c r="O561" s="16" t="str">
        <f aca="false">IF(N561="","",COUNTIFS($N$2:$N$1201,"&lt;"&amp;N561,$F$2:$F$1201,"&gt;0")+1)</f>
        <v/>
      </c>
    </row>
    <row r="562" customFormat="false" ht="15" hidden="false" customHeight="false" outlineLevel="0" collapsed="false">
      <c r="A562" s="11" t="str">
        <f aca="false">IF(_LEITURA!$N562="","",INDEX(_LEITURA!$K$2:$K$1201,_LEITURA!$N562))</f>
        <v/>
      </c>
      <c r="B562" s="11" t="str">
        <f aca="false">IF(_LEITURA!$N562="","",INDEX(_LEITURA!$E$2:$E$1201,_LEITURA!$N562))</f>
        <v/>
      </c>
      <c r="C562" s="11" t="str">
        <f aca="false">IF(_LEITURA!$N562="","",INDEX(_LEITURA!$J$2:$J$1201,_LEITURA!$N562))</f>
        <v/>
      </c>
      <c r="D562" s="16" t="str">
        <f aca="false">IF(_LEITURA!$N562="","",INDEX(_LEITURA!$G$2:$G$1201,_LEITURA!$N562))</f>
        <v/>
      </c>
      <c r="E562" s="16" t="str">
        <f aca="false">IF(B562="","",SUMIFS(INVENTÁRIO!$C$2:$C$801,INVENTÁRIO!$A$2:$A$801,B562))</f>
        <v/>
      </c>
      <c r="F562" s="16" t="str">
        <f aca="false">IF(B562="","",MAX(0,D562-E562))</f>
        <v/>
      </c>
      <c r="G562" s="16" t="str">
        <f aca="false">IF(B562="","",IF(COUNTIFS($B$2:$B$1201,B562,$A$2:$A$1201,"&lt;&gt;"&amp;A562)&gt;0,"Sim",""))</f>
        <v/>
      </c>
      <c r="H562" s="16" t="str">
        <f aca="false">IF(N(F562)&gt;0,MAX(H$1:H561)+1,"")</f>
        <v/>
      </c>
      <c r="I562" s="11" t="str">
        <f aca="false">IF(B562="","",IF(INDEX($C$2:$C$1201,MATCH(B562,$B$2:$B$1201,0))&lt;&gt;C562,"Nome diferente em outro deck — revisar",""))</f>
        <v/>
      </c>
      <c r="J562" s="16" t="str">
        <f aca="false">IF(AND(B562&lt;&gt;"",A562=BULK!$A$1,N(F562)&gt;0),MAX(J$1:J561)+1,"")</f>
        <v/>
      </c>
      <c r="K562" s="11" t="str">
        <f aca="false">IF(B562="","",IFERROR(LEFT(B562,FIND("-",B562)-1),B562))</f>
        <v/>
      </c>
      <c r="L562" s="11" t="str">
        <f aca="false">IF(K562="","",IF(ISNUMBER(--MID(K562,1,1)),0,IF(ISNUMBER(--MID(K562,2,1)),1,IF(ISNUMBER(--MID(K562,3,1)),2,IF(ISNUMBER(--MID(K562,4,1)),3,MIN(LEN(K562),4))))))</f>
        <v/>
      </c>
      <c r="M562" s="11" t="str">
        <f aca="false">IF(B562="","",LEFT(K562,L562)&amp;REPT("0",4-L562)&amp;RIGHT("000"&amp;IFERROR(VALUE(MID(K562,L562+1,9)),0),3)&amp;RIGHT("0000"&amp;IFERROR(VALUE(MID(B562,FIND("-",B562)+1,9)),0),4))</f>
        <v/>
      </c>
      <c r="N562" s="11" t="str">
        <f aca="false">IF(OR(B562="",N(F562)&lt;=0),"",IF('FALTAS POR DECK'!$P$1="Código","K"&amp;M562&amp;RIGHT("00000"&amp;ROW(),5),IF('FALTAS POR DECK'!$P$1="Nome","K"&amp;UPPER(SUBSTITUTE(SUBSTITUTE(SUBSTITUTE(C562,"*",""),"?",""),"~",""))&amp;"0"&amp;M562&amp;RIGHT("00000"&amp;ROW(),5),IF('FALTAS POR DECK'!$P$1="Falta (maior primeiro)","K"&amp;RIGHT("0000"&amp;(9999-F562),4)&amp;M562&amp;RIGHT("00000"&amp;ROW(),5),IF('FALTAS POR DECK'!$P$1="Deck e código","K"&amp;RIGHT("00"&amp;IFERROR(MATCH(A562,_LEITURA!$P$2:$P$21,0),99),2)&amp;M562&amp;RIGHT("00000"&amp;ROW(),5),"K"&amp;RIGHT("00000"&amp;ROW(),5))))))</f>
        <v/>
      </c>
      <c r="O562" s="16" t="str">
        <f aca="false">IF(N562="","",COUNTIFS($N$2:$N$1201,"&lt;"&amp;N562,$F$2:$F$1201,"&gt;0")+1)</f>
        <v/>
      </c>
    </row>
    <row r="563" customFormat="false" ht="15" hidden="false" customHeight="false" outlineLevel="0" collapsed="false">
      <c r="A563" s="11" t="str">
        <f aca="false">IF(_LEITURA!$N563="","",INDEX(_LEITURA!$K$2:$K$1201,_LEITURA!$N563))</f>
        <v/>
      </c>
      <c r="B563" s="11" t="str">
        <f aca="false">IF(_LEITURA!$N563="","",INDEX(_LEITURA!$E$2:$E$1201,_LEITURA!$N563))</f>
        <v/>
      </c>
      <c r="C563" s="11" t="str">
        <f aca="false">IF(_LEITURA!$N563="","",INDEX(_LEITURA!$J$2:$J$1201,_LEITURA!$N563))</f>
        <v/>
      </c>
      <c r="D563" s="16" t="str">
        <f aca="false">IF(_LEITURA!$N563="","",INDEX(_LEITURA!$G$2:$G$1201,_LEITURA!$N563))</f>
        <v/>
      </c>
      <c r="E563" s="16" t="str">
        <f aca="false">IF(B563="","",SUMIFS(INVENTÁRIO!$C$2:$C$801,INVENTÁRIO!$A$2:$A$801,B563))</f>
        <v/>
      </c>
      <c r="F563" s="16" t="str">
        <f aca="false">IF(B563="","",MAX(0,D563-E563))</f>
        <v/>
      </c>
      <c r="G563" s="16" t="str">
        <f aca="false">IF(B563="","",IF(COUNTIFS($B$2:$B$1201,B563,$A$2:$A$1201,"&lt;&gt;"&amp;A563)&gt;0,"Sim",""))</f>
        <v/>
      </c>
      <c r="H563" s="16" t="str">
        <f aca="false">IF(N(F563)&gt;0,MAX(H$1:H562)+1,"")</f>
        <v/>
      </c>
      <c r="I563" s="11" t="str">
        <f aca="false">IF(B563="","",IF(INDEX($C$2:$C$1201,MATCH(B563,$B$2:$B$1201,0))&lt;&gt;C563,"Nome diferente em outro deck — revisar",""))</f>
        <v/>
      </c>
      <c r="J563" s="16" t="str">
        <f aca="false">IF(AND(B563&lt;&gt;"",A563=BULK!$A$1,N(F563)&gt;0),MAX(J$1:J562)+1,"")</f>
        <v/>
      </c>
      <c r="K563" s="11" t="str">
        <f aca="false">IF(B563="","",IFERROR(LEFT(B563,FIND("-",B563)-1),B563))</f>
        <v/>
      </c>
      <c r="L563" s="11" t="str">
        <f aca="false">IF(K563="","",IF(ISNUMBER(--MID(K563,1,1)),0,IF(ISNUMBER(--MID(K563,2,1)),1,IF(ISNUMBER(--MID(K563,3,1)),2,IF(ISNUMBER(--MID(K563,4,1)),3,MIN(LEN(K563),4))))))</f>
        <v/>
      </c>
      <c r="M563" s="11" t="str">
        <f aca="false">IF(B563="","",LEFT(K563,L563)&amp;REPT("0",4-L563)&amp;RIGHT("000"&amp;IFERROR(VALUE(MID(K563,L563+1,9)),0),3)&amp;RIGHT("0000"&amp;IFERROR(VALUE(MID(B563,FIND("-",B563)+1,9)),0),4))</f>
        <v/>
      </c>
      <c r="N563" s="11" t="str">
        <f aca="false">IF(OR(B563="",N(F563)&lt;=0),"",IF('FALTAS POR DECK'!$P$1="Código","K"&amp;M563&amp;RIGHT("00000"&amp;ROW(),5),IF('FALTAS POR DECK'!$P$1="Nome","K"&amp;UPPER(SUBSTITUTE(SUBSTITUTE(SUBSTITUTE(C563,"*",""),"?",""),"~",""))&amp;"0"&amp;M563&amp;RIGHT("00000"&amp;ROW(),5),IF('FALTAS POR DECK'!$P$1="Falta (maior primeiro)","K"&amp;RIGHT("0000"&amp;(9999-F563),4)&amp;M563&amp;RIGHT("00000"&amp;ROW(),5),IF('FALTAS POR DECK'!$P$1="Deck e código","K"&amp;RIGHT("00"&amp;IFERROR(MATCH(A563,_LEITURA!$P$2:$P$21,0),99),2)&amp;M563&amp;RIGHT("00000"&amp;ROW(),5),"K"&amp;RIGHT("00000"&amp;ROW(),5))))))</f>
        <v/>
      </c>
      <c r="O563" s="16" t="str">
        <f aca="false">IF(N563="","",COUNTIFS($N$2:$N$1201,"&lt;"&amp;N563,$F$2:$F$1201,"&gt;0")+1)</f>
        <v/>
      </c>
    </row>
    <row r="564" customFormat="false" ht="15" hidden="false" customHeight="false" outlineLevel="0" collapsed="false">
      <c r="A564" s="11" t="str">
        <f aca="false">IF(_LEITURA!$N564="","",INDEX(_LEITURA!$K$2:$K$1201,_LEITURA!$N564))</f>
        <v/>
      </c>
      <c r="B564" s="11" t="str">
        <f aca="false">IF(_LEITURA!$N564="","",INDEX(_LEITURA!$E$2:$E$1201,_LEITURA!$N564))</f>
        <v/>
      </c>
      <c r="C564" s="11" t="str">
        <f aca="false">IF(_LEITURA!$N564="","",INDEX(_LEITURA!$J$2:$J$1201,_LEITURA!$N564))</f>
        <v/>
      </c>
      <c r="D564" s="16" t="str">
        <f aca="false">IF(_LEITURA!$N564="","",INDEX(_LEITURA!$G$2:$G$1201,_LEITURA!$N564))</f>
        <v/>
      </c>
      <c r="E564" s="16" t="str">
        <f aca="false">IF(B564="","",SUMIFS(INVENTÁRIO!$C$2:$C$801,INVENTÁRIO!$A$2:$A$801,B564))</f>
        <v/>
      </c>
      <c r="F564" s="16" t="str">
        <f aca="false">IF(B564="","",MAX(0,D564-E564))</f>
        <v/>
      </c>
      <c r="G564" s="16" t="str">
        <f aca="false">IF(B564="","",IF(COUNTIFS($B$2:$B$1201,B564,$A$2:$A$1201,"&lt;&gt;"&amp;A564)&gt;0,"Sim",""))</f>
        <v/>
      </c>
      <c r="H564" s="16" t="str">
        <f aca="false">IF(N(F564)&gt;0,MAX(H$1:H563)+1,"")</f>
        <v/>
      </c>
      <c r="I564" s="11" t="str">
        <f aca="false">IF(B564="","",IF(INDEX($C$2:$C$1201,MATCH(B564,$B$2:$B$1201,0))&lt;&gt;C564,"Nome diferente em outro deck — revisar",""))</f>
        <v/>
      </c>
      <c r="J564" s="16" t="str">
        <f aca="false">IF(AND(B564&lt;&gt;"",A564=BULK!$A$1,N(F564)&gt;0),MAX(J$1:J563)+1,"")</f>
        <v/>
      </c>
      <c r="K564" s="11" t="str">
        <f aca="false">IF(B564="","",IFERROR(LEFT(B564,FIND("-",B564)-1),B564))</f>
        <v/>
      </c>
      <c r="L564" s="11" t="str">
        <f aca="false">IF(K564="","",IF(ISNUMBER(--MID(K564,1,1)),0,IF(ISNUMBER(--MID(K564,2,1)),1,IF(ISNUMBER(--MID(K564,3,1)),2,IF(ISNUMBER(--MID(K564,4,1)),3,MIN(LEN(K564),4))))))</f>
        <v/>
      </c>
      <c r="M564" s="11" t="str">
        <f aca="false">IF(B564="","",LEFT(K564,L564)&amp;REPT("0",4-L564)&amp;RIGHT("000"&amp;IFERROR(VALUE(MID(K564,L564+1,9)),0),3)&amp;RIGHT("0000"&amp;IFERROR(VALUE(MID(B564,FIND("-",B564)+1,9)),0),4))</f>
        <v/>
      </c>
      <c r="N564" s="11" t="str">
        <f aca="false">IF(OR(B564="",N(F564)&lt;=0),"",IF('FALTAS POR DECK'!$P$1="Código","K"&amp;M564&amp;RIGHT("00000"&amp;ROW(),5),IF('FALTAS POR DECK'!$P$1="Nome","K"&amp;UPPER(SUBSTITUTE(SUBSTITUTE(SUBSTITUTE(C564,"*",""),"?",""),"~",""))&amp;"0"&amp;M564&amp;RIGHT("00000"&amp;ROW(),5),IF('FALTAS POR DECK'!$P$1="Falta (maior primeiro)","K"&amp;RIGHT("0000"&amp;(9999-F564),4)&amp;M564&amp;RIGHT("00000"&amp;ROW(),5),IF('FALTAS POR DECK'!$P$1="Deck e código","K"&amp;RIGHT("00"&amp;IFERROR(MATCH(A564,_LEITURA!$P$2:$P$21,0),99),2)&amp;M564&amp;RIGHT("00000"&amp;ROW(),5),"K"&amp;RIGHT("00000"&amp;ROW(),5))))))</f>
        <v/>
      </c>
      <c r="O564" s="16" t="str">
        <f aca="false">IF(N564="","",COUNTIFS($N$2:$N$1201,"&lt;"&amp;N564,$F$2:$F$1201,"&gt;0")+1)</f>
        <v/>
      </c>
    </row>
    <row r="565" customFormat="false" ht="15" hidden="false" customHeight="false" outlineLevel="0" collapsed="false">
      <c r="A565" s="11" t="str">
        <f aca="false">IF(_LEITURA!$N565="","",INDEX(_LEITURA!$K$2:$K$1201,_LEITURA!$N565))</f>
        <v/>
      </c>
      <c r="B565" s="11" t="str">
        <f aca="false">IF(_LEITURA!$N565="","",INDEX(_LEITURA!$E$2:$E$1201,_LEITURA!$N565))</f>
        <v/>
      </c>
      <c r="C565" s="11" t="str">
        <f aca="false">IF(_LEITURA!$N565="","",INDEX(_LEITURA!$J$2:$J$1201,_LEITURA!$N565))</f>
        <v/>
      </c>
      <c r="D565" s="16" t="str">
        <f aca="false">IF(_LEITURA!$N565="","",INDEX(_LEITURA!$G$2:$G$1201,_LEITURA!$N565))</f>
        <v/>
      </c>
      <c r="E565" s="16" t="str">
        <f aca="false">IF(B565="","",SUMIFS(INVENTÁRIO!$C$2:$C$801,INVENTÁRIO!$A$2:$A$801,B565))</f>
        <v/>
      </c>
      <c r="F565" s="16" t="str">
        <f aca="false">IF(B565="","",MAX(0,D565-E565))</f>
        <v/>
      </c>
      <c r="G565" s="16" t="str">
        <f aca="false">IF(B565="","",IF(COUNTIFS($B$2:$B$1201,B565,$A$2:$A$1201,"&lt;&gt;"&amp;A565)&gt;0,"Sim",""))</f>
        <v/>
      </c>
      <c r="H565" s="16" t="str">
        <f aca="false">IF(N(F565)&gt;0,MAX(H$1:H564)+1,"")</f>
        <v/>
      </c>
      <c r="I565" s="11" t="str">
        <f aca="false">IF(B565="","",IF(INDEX($C$2:$C$1201,MATCH(B565,$B$2:$B$1201,0))&lt;&gt;C565,"Nome diferente em outro deck — revisar",""))</f>
        <v/>
      </c>
      <c r="J565" s="16" t="str">
        <f aca="false">IF(AND(B565&lt;&gt;"",A565=BULK!$A$1,N(F565)&gt;0),MAX(J$1:J564)+1,"")</f>
        <v/>
      </c>
      <c r="K565" s="11" t="str">
        <f aca="false">IF(B565="","",IFERROR(LEFT(B565,FIND("-",B565)-1),B565))</f>
        <v/>
      </c>
      <c r="L565" s="11" t="str">
        <f aca="false">IF(K565="","",IF(ISNUMBER(--MID(K565,1,1)),0,IF(ISNUMBER(--MID(K565,2,1)),1,IF(ISNUMBER(--MID(K565,3,1)),2,IF(ISNUMBER(--MID(K565,4,1)),3,MIN(LEN(K565),4))))))</f>
        <v/>
      </c>
      <c r="M565" s="11" t="str">
        <f aca="false">IF(B565="","",LEFT(K565,L565)&amp;REPT("0",4-L565)&amp;RIGHT("000"&amp;IFERROR(VALUE(MID(K565,L565+1,9)),0),3)&amp;RIGHT("0000"&amp;IFERROR(VALUE(MID(B565,FIND("-",B565)+1,9)),0),4))</f>
        <v/>
      </c>
      <c r="N565" s="11" t="str">
        <f aca="false">IF(OR(B565="",N(F565)&lt;=0),"",IF('FALTAS POR DECK'!$P$1="Código","K"&amp;M565&amp;RIGHT("00000"&amp;ROW(),5),IF('FALTAS POR DECK'!$P$1="Nome","K"&amp;UPPER(SUBSTITUTE(SUBSTITUTE(SUBSTITUTE(C565,"*",""),"?",""),"~",""))&amp;"0"&amp;M565&amp;RIGHT("00000"&amp;ROW(),5),IF('FALTAS POR DECK'!$P$1="Falta (maior primeiro)","K"&amp;RIGHT("0000"&amp;(9999-F565),4)&amp;M565&amp;RIGHT("00000"&amp;ROW(),5),IF('FALTAS POR DECK'!$P$1="Deck e código","K"&amp;RIGHT("00"&amp;IFERROR(MATCH(A565,_LEITURA!$P$2:$P$21,0),99),2)&amp;M565&amp;RIGHT("00000"&amp;ROW(),5),"K"&amp;RIGHT("00000"&amp;ROW(),5))))))</f>
        <v/>
      </c>
      <c r="O565" s="16" t="str">
        <f aca="false">IF(N565="","",COUNTIFS($N$2:$N$1201,"&lt;"&amp;N565,$F$2:$F$1201,"&gt;0")+1)</f>
        <v/>
      </c>
    </row>
    <row r="566" customFormat="false" ht="15" hidden="false" customHeight="false" outlineLevel="0" collapsed="false">
      <c r="A566" s="11" t="str">
        <f aca="false">IF(_LEITURA!$N566="","",INDEX(_LEITURA!$K$2:$K$1201,_LEITURA!$N566))</f>
        <v/>
      </c>
      <c r="B566" s="11" t="str">
        <f aca="false">IF(_LEITURA!$N566="","",INDEX(_LEITURA!$E$2:$E$1201,_LEITURA!$N566))</f>
        <v/>
      </c>
      <c r="C566" s="11" t="str">
        <f aca="false">IF(_LEITURA!$N566="","",INDEX(_LEITURA!$J$2:$J$1201,_LEITURA!$N566))</f>
        <v/>
      </c>
      <c r="D566" s="16" t="str">
        <f aca="false">IF(_LEITURA!$N566="","",INDEX(_LEITURA!$G$2:$G$1201,_LEITURA!$N566))</f>
        <v/>
      </c>
      <c r="E566" s="16" t="str">
        <f aca="false">IF(B566="","",SUMIFS(INVENTÁRIO!$C$2:$C$801,INVENTÁRIO!$A$2:$A$801,B566))</f>
        <v/>
      </c>
      <c r="F566" s="16" t="str">
        <f aca="false">IF(B566="","",MAX(0,D566-E566))</f>
        <v/>
      </c>
      <c r="G566" s="16" t="str">
        <f aca="false">IF(B566="","",IF(COUNTIFS($B$2:$B$1201,B566,$A$2:$A$1201,"&lt;&gt;"&amp;A566)&gt;0,"Sim",""))</f>
        <v/>
      </c>
      <c r="H566" s="16" t="str">
        <f aca="false">IF(N(F566)&gt;0,MAX(H$1:H565)+1,"")</f>
        <v/>
      </c>
      <c r="I566" s="11" t="str">
        <f aca="false">IF(B566="","",IF(INDEX($C$2:$C$1201,MATCH(B566,$B$2:$B$1201,0))&lt;&gt;C566,"Nome diferente em outro deck — revisar",""))</f>
        <v/>
      </c>
      <c r="J566" s="16" t="str">
        <f aca="false">IF(AND(B566&lt;&gt;"",A566=BULK!$A$1,N(F566)&gt;0),MAX(J$1:J565)+1,"")</f>
        <v/>
      </c>
      <c r="K566" s="11" t="str">
        <f aca="false">IF(B566="","",IFERROR(LEFT(B566,FIND("-",B566)-1),B566))</f>
        <v/>
      </c>
      <c r="L566" s="11" t="str">
        <f aca="false">IF(K566="","",IF(ISNUMBER(--MID(K566,1,1)),0,IF(ISNUMBER(--MID(K566,2,1)),1,IF(ISNUMBER(--MID(K566,3,1)),2,IF(ISNUMBER(--MID(K566,4,1)),3,MIN(LEN(K566),4))))))</f>
        <v/>
      </c>
      <c r="M566" s="11" t="str">
        <f aca="false">IF(B566="","",LEFT(K566,L566)&amp;REPT("0",4-L566)&amp;RIGHT("000"&amp;IFERROR(VALUE(MID(K566,L566+1,9)),0),3)&amp;RIGHT("0000"&amp;IFERROR(VALUE(MID(B566,FIND("-",B566)+1,9)),0),4))</f>
        <v/>
      </c>
      <c r="N566" s="11" t="str">
        <f aca="false">IF(OR(B566="",N(F566)&lt;=0),"",IF('FALTAS POR DECK'!$P$1="Código","K"&amp;M566&amp;RIGHT("00000"&amp;ROW(),5),IF('FALTAS POR DECK'!$P$1="Nome","K"&amp;UPPER(SUBSTITUTE(SUBSTITUTE(SUBSTITUTE(C566,"*",""),"?",""),"~",""))&amp;"0"&amp;M566&amp;RIGHT("00000"&amp;ROW(),5),IF('FALTAS POR DECK'!$P$1="Falta (maior primeiro)","K"&amp;RIGHT("0000"&amp;(9999-F566),4)&amp;M566&amp;RIGHT("00000"&amp;ROW(),5),IF('FALTAS POR DECK'!$P$1="Deck e código","K"&amp;RIGHT("00"&amp;IFERROR(MATCH(A566,_LEITURA!$P$2:$P$21,0),99),2)&amp;M566&amp;RIGHT("00000"&amp;ROW(),5),"K"&amp;RIGHT("00000"&amp;ROW(),5))))))</f>
        <v/>
      </c>
      <c r="O566" s="16" t="str">
        <f aca="false">IF(N566="","",COUNTIFS($N$2:$N$1201,"&lt;"&amp;N566,$F$2:$F$1201,"&gt;0")+1)</f>
        <v/>
      </c>
    </row>
    <row r="567" customFormat="false" ht="15" hidden="false" customHeight="false" outlineLevel="0" collapsed="false">
      <c r="A567" s="11" t="str">
        <f aca="false">IF(_LEITURA!$N567="","",INDEX(_LEITURA!$K$2:$K$1201,_LEITURA!$N567))</f>
        <v/>
      </c>
      <c r="B567" s="11" t="str">
        <f aca="false">IF(_LEITURA!$N567="","",INDEX(_LEITURA!$E$2:$E$1201,_LEITURA!$N567))</f>
        <v/>
      </c>
      <c r="C567" s="11" t="str">
        <f aca="false">IF(_LEITURA!$N567="","",INDEX(_LEITURA!$J$2:$J$1201,_LEITURA!$N567))</f>
        <v/>
      </c>
      <c r="D567" s="16" t="str">
        <f aca="false">IF(_LEITURA!$N567="","",INDEX(_LEITURA!$G$2:$G$1201,_LEITURA!$N567))</f>
        <v/>
      </c>
      <c r="E567" s="16" t="str">
        <f aca="false">IF(B567="","",SUMIFS(INVENTÁRIO!$C$2:$C$801,INVENTÁRIO!$A$2:$A$801,B567))</f>
        <v/>
      </c>
      <c r="F567" s="16" t="str">
        <f aca="false">IF(B567="","",MAX(0,D567-E567))</f>
        <v/>
      </c>
      <c r="G567" s="16" t="str">
        <f aca="false">IF(B567="","",IF(COUNTIFS($B$2:$B$1201,B567,$A$2:$A$1201,"&lt;&gt;"&amp;A567)&gt;0,"Sim",""))</f>
        <v/>
      </c>
      <c r="H567" s="16" t="str">
        <f aca="false">IF(N(F567)&gt;0,MAX(H$1:H566)+1,"")</f>
        <v/>
      </c>
      <c r="I567" s="11" t="str">
        <f aca="false">IF(B567="","",IF(INDEX($C$2:$C$1201,MATCH(B567,$B$2:$B$1201,0))&lt;&gt;C567,"Nome diferente em outro deck — revisar",""))</f>
        <v/>
      </c>
      <c r="J567" s="16" t="str">
        <f aca="false">IF(AND(B567&lt;&gt;"",A567=BULK!$A$1,N(F567)&gt;0),MAX(J$1:J566)+1,"")</f>
        <v/>
      </c>
      <c r="K567" s="11" t="str">
        <f aca="false">IF(B567="","",IFERROR(LEFT(B567,FIND("-",B567)-1),B567))</f>
        <v/>
      </c>
      <c r="L567" s="11" t="str">
        <f aca="false">IF(K567="","",IF(ISNUMBER(--MID(K567,1,1)),0,IF(ISNUMBER(--MID(K567,2,1)),1,IF(ISNUMBER(--MID(K567,3,1)),2,IF(ISNUMBER(--MID(K567,4,1)),3,MIN(LEN(K567),4))))))</f>
        <v/>
      </c>
      <c r="M567" s="11" t="str">
        <f aca="false">IF(B567="","",LEFT(K567,L567)&amp;REPT("0",4-L567)&amp;RIGHT("000"&amp;IFERROR(VALUE(MID(K567,L567+1,9)),0),3)&amp;RIGHT("0000"&amp;IFERROR(VALUE(MID(B567,FIND("-",B567)+1,9)),0),4))</f>
        <v/>
      </c>
      <c r="N567" s="11" t="str">
        <f aca="false">IF(OR(B567="",N(F567)&lt;=0),"",IF('FALTAS POR DECK'!$P$1="Código","K"&amp;M567&amp;RIGHT("00000"&amp;ROW(),5),IF('FALTAS POR DECK'!$P$1="Nome","K"&amp;UPPER(SUBSTITUTE(SUBSTITUTE(SUBSTITUTE(C567,"*",""),"?",""),"~",""))&amp;"0"&amp;M567&amp;RIGHT("00000"&amp;ROW(),5),IF('FALTAS POR DECK'!$P$1="Falta (maior primeiro)","K"&amp;RIGHT("0000"&amp;(9999-F567),4)&amp;M567&amp;RIGHT("00000"&amp;ROW(),5),IF('FALTAS POR DECK'!$P$1="Deck e código","K"&amp;RIGHT("00"&amp;IFERROR(MATCH(A567,_LEITURA!$P$2:$P$21,0),99),2)&amp;M567&amp;RIGHT("00000"&amp;ROW(),5),"K"&amp;RIGHT("00000"&amp;ROW(),5))))))</f>
        <v/>
      </c>
      <c r="O567" s="16" t="str">
        <f aca="false">IF(N567="","",COUNTIFS($N$2:$N$1201,"&lt;"&amp;N567,$F$2:$F$1201,"&gt;0")+1)</f>
        <v/>
      </c>
    </row>
    <row r="568" customFormat="false" ht="15" hidden="false" customHeight="false" outlineLevel="0" collapsed="false">
      <c r="A568" s="11" t="str">
        <f aca="false">IF(_LEITURA!$N568="","",INDEX(_LEITURA!$K$2:$K$1201,_LEITURA!$N568))</f>
        <v/>
      </c>
      <c r="B568" s="11" t="str">
        <f aca="false">IF(_LEITURA!$N568="","",INDEX(_LEITURA!$E$2:$E$1201,_LEITURA!$N568))</f>
        <v/>
      </c>
      <c r="C568" s="11" t="str">
        <f aca="false">IF(_LEITURA!$N568="","",INDEX(_LEITURA!$J$2:$J$1201,_LEITURA!$N568))</f>
        <v/>
      </c>
      <c r="D568" s="16" t="str">
        <f aca="false">IF(_LEITURA!$N568="","",INDEX(_LEITURA!$G$2:$G$1201,_LEITURA!$N568))</f>
        <v/>
      </c>
      <c r="E568" s="16" t="str">
        <f aca="false">IF(B568="","",SUMIFS(INVENTÁRIO!$C$2:$C$801,INVENTÁRIO!$A$2:$A$801,B568))</f>
        <v/>
      </c>
      <c r="F568" s="16" t="str">
        <f aca="false">IF(B568="","",MAX(0,D568-E568))</f>
        <v/>
      </c>
      <c r="G568" s="16" t="str">
        <f aca="false">IF(B568="","",IF(COUNTIFS($B$2:$B$1201,B568,$A$2:$A$1201,"&lt;&gt;"&amp;A568)&gt;0,"Sim",""))</f>
        <v/>
      </c>
      <c r="H568" s="16" t="str">
        <f aca="false">IF(N(F568)&gt;0,MAX(H$1:H567)+1,"")</f>
        <v/>
      </c>
      <c r="I568" s="11" t="str">
        <f aca="false">IF(B568="","",IF(INDEX($C$2:$C$1201,MATCH(B568,$B$2:$B$1201,0))&lt;&gt;C568,"Nome diferente em outro deck — revisar",""))</f>
        <v/>
      </c>
      <c r="J568" s="16" t="str">
        <f aca="false">IF(AND(B568&lt;&gt;"",A568=BULK!$A$1,N(F568)&gt;0),MAX(J$1:J567)+1,"")</f>
        <v/>
      </c>
      <c r="K568" s="11" t="str">
        <f aca="false">IF(B568="","",IFERROR(LEFT(B568,FIND("-",B568)-1),B568))</f>
        <v/>
      </c>
      <c r="L568" s="11" t="str">
        <f aca="false">IF(K568="","",IF(ISNUMBER(--MID(K568,1,1)),0,IF(ISNUMBER(--MID(K568,2,1)),1,IF(ISNUMBER(--MID(K568,3,1)),2,IF(ISNUMBER(--MID(K568,4,1)),3,MIN(LEN(K568),4))))))</f>
        <v/>
      </c>
      <c r="M568" s="11" t="str">
        <f aca="false">IF(B568="","",LEFT(K568,L568)&amp;REPT("0",4-L568)&amp;RIGHT("000"&amp;IFERROR(VALUE(MID(K568,L568+1,9)),0),3)&amp;RIGHT("0000"&amp;IFERROR(VALUE(MID(B568,FIND("-",B568)+1,9)),0),4))</f>
        <v/>
      </c>
      <c r="N568" s="11" t="str">
        <f aca="false">IF(OR(B568="",N(F568)&lt;=0),"",IF('FALTAS POR DECK'!$P$1="Código","K"&amp;M568&amp;RIGHT("00000"&amp;ROW(),5),IF('FALTAS POR DECK'!$P$1="Nome","K"&amp;UPPER(SUBSTITUTE(SUBSTITUTE(SUBSTITUTE(C568,"*",""),"?",""),"~",""))&amp;"0"&amp;M568&amp;RIGHT("00000"&amp;ROW(),5),IF('FALTAS POR DECK'!$P$1="Falta (maior primeiro)","K"&amp;RIGHT("0000"&amp;(9999-F568),4)&amp;M568&amp;RIGHT("00000"&amp;ROW(),5),IF('FALTAS POR DECK'!$P$1="Deck e código","K"&amp;RIGHT("00"&amp;IFERROR(MATCH(A568,_LEITURA!$P$2:$P$21,0),99),2)&amp;M568&amp;RIGHT("00000"&amp;ROW(),5),"K"&amp;RIGHT("00000"&amp;ROW(),5))))))</f>
        <v/>
      </c>
      <c r="O568" s="16" t="str">
        <f aca="false">IF(N568="","",COUNTIFS($N$2:$N$1201,"&lt;"&amp;N568,$F$2:$F$1201,"&gt;0")+1)</f>
        <v/>
      </c>
    </row>
    <row r="569" customFormat="false" ht="15" hidden="false" customHeight="false" outlineLevel="0" collapsed="false">
      <c r="A569" s="11" t="str">
        <f aca="false">IF(_LEITURA!$N569="","",INDEX(_LEITURA!$K$2:$K$1201,_LEITURA!$N569))</f>
        <v/>
      </c>
      <c r="B569" s="11" t="str">
        <f aca="false">IF(_LEITURA!$N569="","",INDEX(_LEITURA!$E$2:$E$1201,_LEITURA!$N569))</f>
        <v/>
      </c>
      <c r="C569" s="11" t="str">
        <f aca="false">IF(_LEITURA!$N569="","",INDEX(_LEITURA!$J$2:$J$1201,_LEITURA!$N569))</f>
        <v/>
      </c>
      <c r="D569" s="16" t="str">
        <f aca="false">IF(_LEITURA!$N569="","",INDEX(_LEITURA!$G$2:$G$1201,_LEITURA!$N569))</f>
        <v/>
      </c>
      <c r="E569" s="16" t="str">
        <f aca="false">IF(B569="","",SUMIFS(INVENTÁRIO!$C$2:$C$801,INVENTÁRIO!$A$2:$A$801,B569))</f>
        <v/>
      </c>
      <c r="F569" s="16" t="str">
        <f aca="false">IF(B569="","",MAX(0,D569-E569))</f>
        <v/>
      </c>
      <c r="G569" s="16" t="str">
        <f aca="false">IF(B569="","",IF(COUNTIFS($B$2:$B$1201,B569,$A$2:$A$1201,"&lt;&gt;"&amp;A569)&gt;0,"Sim",""))</f>
        <v/>
      </c>
      <c r="H569" s="16" t="str">
        <f aca="false">IF(N(F569)&gt;0,MAX(H$1:H568)+1,"")</f>
        <v/>
      </c>
      <c r="I569" s="11" t="str">
        <f aca="false">IF(B569="","",IF(INDEX($C$2:$C$1201,MATCH(B569,$B$2:$B$1201,0))&lt;&gt;C569,"Nome diferente em outro deck — revisar",""))</f>
        <v/>
      </c>
      <c r="J569" s="16" t="str">
        <f aca="false">IF(AND(B569&lt;&gt;"",A569=BULK!$A$1,N(F569)&gt;0),MAX(J$1:J568)+1,"")</f>
        <v/>
      </c>
      <c r="K569" s="11" t="str">
        <f aca="false">IF(B569="","",IFERROR(LEFT(B569,FIND("-",B569)-1),B569))</f>
        <v/>
      </c>
      <c r="L569" s="11" t="str">
        <f aca="false">IF(K569="","",IF(ISNUMBER(--MID(K569,1,1)),0,IF(ISNUMBER(--MID(K569,2,1)),1,IF(ISNUMBER(--MID(K569,3,1)),2,IF(ISNUMBER(--MID(K569,4,1)),3,MIN(LEN(K569),4))))))</f>
        <v/>
      </c>
      <c r="M569" s="11" t="str">
        <f aca="false">IF(B569="","",LEFT(K569,L569)&amp;REPT("0",4-L569)&amp;RIGHT("000"&amp;IFERROR(VALUE(MID(K569,L569+1,9)),0),3)&amp;RIGHT("0000"&amp;IFERROR(VALUE(MID(B569,FIND("-",B569)+1,9)),0),4))</f>
        <v/>
      </c>
      <c r="N569" s="11" t="str">
        <f aca="false">IF(OR(B569="",N(F569)&lt;=0),"",IF('FALTAS POR DECK'!$P$1="Código","K"&amp;M569&amp;RIGHT("00000"&amp;ROW(),5),IF('FALTAS POR DECK'!$P$1="Nome","K"&amp;UPPER(SUBSTITUTE(SUBSTITUTE(SUBSTITUTE(C569,"*",""),"?",""),"~",""))&amp;"0"&amp;M569&amp;RIGHT("00000"&amp;ROW(),5),IF('FALTAS POR DECK'!$P$1="Falta (maior primeiro)","K"&amp;RIGHT("0000"&amp;(9999-F569),4)&amp;M569&amp;RIGHT("00000"&amp;ROW(),5),IF('FALTAS POR DECK'!$P$1="Deck e código","K"&amp;RIGHT("00"&amp;IFERROR(MATCH(A569,_LEITURA!$P$2:$P$21,0),99),2)&amp;M569&amp;RIGHT("00000"&amp;ROW(),5),"K"&amp;RIGHT("00000"&amp;ROW(),5))))))</f>
        <v/>
      </c>
      <c r="O569" s="16" t="str">
        <f aca="false">IF(N569="","",COUNTIFS($N$2:$N$1201,"&lt;"&amp;N569,$F$2:$F$1201,"&gt;0")+1)</f>
        <v/>
      </c>
    </row>
    <row r="570" customFormat="false" ht="15" hidden="false" customHeight="false" outlineLevel="0" collapsed="false">
      <c r="A570" s="11" t="str">
        <f aca="false">IF(_LEITURA!$N570="","",INDEX(_LEITURA!$K$2:$K$1201,_LEITURA!$N570))</f>
        <v/>
      </c>
      <c r="B570" s="11" t="str">
        <f aca="false">IF(_LEITURA!$N570="","",INDEX(_LEITURA!$E$2:$E$1201,_LEITURA!$N570))</f>
        <v/>
      </c>
      <c r="C570" s="11" t="str">
        <f aca="false">IF(_LEITURA!$N570="","",INDEX(_LEITURA!$J$2:$J$1201,_LEITURA!$N570))</f>
        <v/>
      </c>
      <c r="D570" s="16" t="str">
        <f aca="false">IF(_LEITURA!$N570="","",INDEX(_LEITURA!$G$2:$G$1201,_LEITURA!$N570))</f>
        <v/>
      </c>
      <c r="E570" s="16" t="str">
        <f aca="false">IF(B570="","",SUMIFS(INVENTÁRIO!$C$2:$C$801,INVENTÁRIO!$A$2:$A$801,B570))</f>
        <v/>
      </c>
      <c r="F570" s="16" t="str">
        <f aca="false">IF(B570="","",MAX(0,D570-E570))</f>
        <v/>
      </c>
      <c r="G570" s="16" t="str">
        <f aca="false">IF(B570="","",IF(COUNTIFS($B$2:$B$1201,B570,$A$2:$A$1201,"&lt;&gt;"&amp;A570)&gt;0,"Sim",""))</f>
        <v/>
      </c>
      <c r="H570" s="16" t="str">
        <f aca="false">IF(N(F570)&gt;0,MAX(H$1:H569)+1,"")</f>
        <v/>
      </c>
      <c r="I570" s="11" t="str">
        <f aca="false">IF(B570="","",IF(INDEX($C$2:$C$1201,MATCH(B570,$B$2:$B$1201,0))&lt;&gt;C570,"Nome diferente em outro deck — revisar",""))</f>
        <v/>
      </c>
      <c r="J570" s="16" t="str">
        <f aca="false">IF(AND(B570&lt;&gt;"",A570=BULK!$A$1,N(F570)&gt;0),MAX(J$1:J569)+1,"")</f>
        <v/>
      </c>
      <c r="K570" s="11" t="str">
        <f aca="false">IF(B570="","",IFERROR(LEFT(B570,FIND("-",B570)-1),B570))</f>
        <v/>
      </c>
      <c r="L570" s="11" t="str">
        <f aca="false">IF(K570="","",IF(ISNUMBER(--MID(K570,1,1)),0,IF(ISNUMBER(--MID(K570,2,1)),1,IF(ISNUMBER(--MID(K570,3,1)),2,IF(ISNUMBER(--MID(K570,4,1)),3,MIN(LEN(K570),4))))))</f>
        <v/>
      </c>
      <c r="M570" s="11" t="str">
        <f aca="false">IF(B570="","",LEFT(K570,L570)&amp;REPT("0",4-L570)&amp;RIGHT("000"&amp;IFERROR(VALUE(MID(K570,L570+1,9)),0),3)&amp;RIGHT("0000"&amp;IFERROR(VALUE(MID(B570,FIND("-",B570)+1,9)),0),4))</f>
        <v/>
      </c>
      <c r="N570" s="11" t="str">
        <f aca="false">IF(OR(B570="",N(F570)&lt;=0),"",IF('FALTAS POR DECK'!$P$1="Código","K"&amp;M570&amp;RIGHT("00000"&amp;ROW(),5),IF('FALTAS POR DECK'!$P$1="Nome","K"&amp;UPPER(SUBSTITUTE(SUBSTITUTE(SUBSTITUTE(C570,"*",""),"?",""),"~",""))&amp;"0"&amp;M570&amp;RIGHT("00000"&amp;ROW(),5),IF('FALTAS POR DECK'!$P$1="Falta (maior primeiro)","K"&amp;RIGHT("0000"&amp;(9999-F570),4)&amp;M570&amp;RIGHT("00000"&amp;ROW(),5),IF('FALTAS POR DECK'!$P$1="Deck e código","K"&amp;RIGHT("00"&amp;IFERROR(MATCH(A570,_LEITURA!$P$2:$P$21,0),99),2)&amp;M570&amp;RIGHT("00000"&amp;ROW(),5),"K"&amp;RIGHT("00000"&amp;ROW(),5))))))</f>
        <v/>
      </c>
      <c r="O570" s="16" t="str">
        <f aca="false">IF(N570="","",COUNTIFS($N$2:$N$1201,"&lt;"&amp;N570,$F$2:$F$1201,"&gt;0")+1)</f>
        <v/>
      </c>
    </row>
    <row r="571" customFormat="false" ht="15" hidden="false" customHeight="false" outlineLevel="0" collapsed="false">
      <c r="A571" s="11" t="str">
        <f aca="false">IF(_LEITURA!$N571="","",INDEX(_LEITURA!$K$2:$K$1201,_LEITURA!$N571))</f>
        <v/>
      </c>
      <c r="B571" s="11" t="str">
        <f aca="false">IF(_LEITURA!$N571="","",INDEX(_LEITURA!$E$2:$E$1201,_LEITURA!$N571))</f>
        <v/>
      </c>
      <c r="C571" s="11" t="str">
        <f aca="false">IF(_LEITURA!$N571="","",INDEX(_LEITURA!$J$2:$J$1201,_LEITURA!$N571))</f>
        <v/>
      </c>
      <c r="D571" s="16" t="str">
        <f aca="false">IF(_LEITURA!$N571="","",INDEX(_LEITURA!$G$2:$G$1201,_LEITURA!$N571))</f>
        <v/>
      </c>
      <c r="E571" s="16" t="str">
        <f aca="false">IF(B571="","",SUMIFS(INVENTÁRIO!$C$2:$C$801,INVENTÁRIO!$A$2:$A$801,B571))</f>
        <v/>
      </c>
      <c r="F571" s="16" t="str">
        <f aca="false">IF(B571="","",MAX(0,D571-E571))</f>
        <v/>
      </c>
      <c r="G571" s="16" t="str">
        <f aca="false">IF(B571="","",IF(COUNTIFS($B$2:$B$1201,B571,$A$2:$A$1201,"&lt;&gt;"&amp;A571)&gt;0,"Sim",""))</f>
        <v/>
      </c>
      <c r="H571" s="16" t="str">
        <f aca="false">IF(N(F571)&gt;0,MAX(H$1:H570)+1,"")</f>
        <v/>
      </c>
      <c r="I571" s="11" t="str">
        <f aca="false">IF(B571="","",IF(INDEX($C$2:$C$1201,MATCH(B571,$B$2:$B$1201,0))&lt;&gt;C571,"Nome diferente em outro deck — revisar",""))</f>
        <v/>
      </c>
      <c r="J571" s="16" t="str">
        <f aca="false">IF(AND(B571&lt;&gt;"",A571=BULK!$A$1,N(F571)&gt;0),MAX(J$1:J570)+1,"")</f>
        <v/>
      </c>
      <c r="K571" s="11" t="str">
        <f aca="false">IF(B571="","",IFERROR(LEFT(B571,FIND("-",B571)-1),B571))</f>
        <v/>
      </c>
      <c r="L571" s="11" t="str">
        <f aca="false">IF(K571="","",IF(ISNUMBER(--MID(K571,1,1)),0,IF(ISNUMBER(--MID(K571,2,1)),1,IF(ISNUMBER(--MID(K571,3,1)),2,IF(ISNUMBER(--MID(K571,4,1)),3,MIN(LEN(K571),4))))))</f>
        <v/>
      </c>
      <c r="M571" s="11" t="str">
        <f aca="false">IF(B571="","",LEFT(K571,L571)&amp;REPT("0",4-L571)&amp;RIGHT("000"&amp;IFERROR(VALUE(MID(K571,L571+1,9)),0),3)&amp;RIGHT("0000"&amp;IFERROR(VALUE(MID(B571,FIND("-",B571)+1,9)),0),4))</f>
        <v/>
      </c>
      <c r="N571" s="11" t="str">
        <f aca="false">IF(OR(B571="",N(F571)&lt;=0),"",IF('FALTAS POR DECK'!$P$1="Código","K"&amp;M571&amp;RIGHT("00000"&amp;ROW(),5),IF('FALTAS POR DECK'!$P$1="Nome","K"&amp;UPPER(SUBSTITUTE(SUBSTITUTE(SUBSTITUTE(C571,"*",""),"?",""),"~",""))&amp;"0"&amp;M571&amp;RIGHT("00000"&amp;ROW(),5),IF('FALTAS POR DECK'!$P$1="Falta (maior primeiro)","K"&amp;RIGHT("0000"&amp;(9999-F571),4)&amp;M571&amp;RIGHT("00000"&amp;ROW(),5),IF('FALTAS POR DECK'!$P$1="Deck e código","K"&amp;RIGHT("00"&amp;IFERROR(MATCH(A571,_LEITURA!$P$2:$P$21,0),99),2)&amp;M571&amp;RIGHT("00000"&amp;ROW(),5),"K"&amp;RIGHT("00000"&amp;ROW(),5))))))</f>
        <v/>
      </c>
      <c r="O571" s="16" t="str">
        <f aca="false">IF(N571="","",COUNTIFS($N$2:$N$1201,"&lt;"&amp;N571,$F$2:$F$1201,"&gt;0")+1)</f>
        <v/>
      </c>
    </row>
    <row r="572" customFormat="false" ht="15" hidden="false" customHeight="false" outlineLevel="0" collapsed="false">
      <c r="A572" s="11" t="str">
        <f aca="false">IF(_LEITURA!$N572="","",INDEX(_LEITURA!$K$2:$K$1201,_LEITURA!$N572))</f>
        <v/>
      </c>
      <c r="B572" s="11" t="str">
        <f aca="false">IF(_LEITURA!$N572="","",INDEX(_LEITURA!$E$2:$E$1201,_LEITURA!$N572))</f>
        <v/>
      </c>
      <c r="C572" s="11" t="str">
        <f aca="false">IF(_LEITURA!$N572="","",INDEX(_LEITURA!$J$2:$J$1201,_LEITURA!$N572))</f>
        <v/>
      </c>
      <c r="D572" s="16" t="str">
        <f aca="false">IF(_LEITURA!$N572="","",INDEX(_LEITURA!$G$2:$G$1201,_LEITURA!$N572))</f>
        <v/>
      </c>
      <c r="E572" s="16" t="str">
        <f aca="false">IF(B572="","",SUMIFS(INVENTÁRIO!$C$2:$C$801,INVENTÁRIO!$A$2:$A$801,B572))</f>
        <v/>
      </c>
      <c r="F572" s="16" t="str">
        <f aca="false">IF(B572="","",MAX(0,D572-E572))</f>
        <v/>
      </c>
      <c r="G572" s="16" t="str">
        <f aca="false">IF(B572="","",IF(COUNTIFS($B$2:$B$1201,B572,$A$2:$A$1201,"&lt;&gt;"&amp;A572)&gt;0,"Sim",""))</f>
        <v/>
      </c>
      <c r="H572" s="16" t="str">
        <f aca="false">IF(N(F572)&gt;0,MAX(H$1:H571)+1,"")</f>
        <v/>
      </c>
      <c r="I572" s="11" t="str">
        <f aca="false">IF(B572="","",IF(INDEX($C$2:$C$1201,MATCH(B572,$B$2:$B$1201,0))&lt;&gt;C572,"Nome diferente em outro deck — revisar",""))</f>
        <v/>
      </c>
      <c r="J572" s="16" t="str">
        <f aca="false">IF(AND(B572&lt;&gt;"",A572=BULK!$A$1,N(F572)&gt;0),MAX(J$1:J571)+1,"")</f>
        <v/>
      </c>
      <c r="K572" s="11" t="str">
        <f aca="false">IF(B572="","",IFERROR(LEFT(B572,FIND("-",B572)-1),B572))</f>
        <v/>
      </c>
      <c r="L572" s="11" t="str">
        <f aca="false">IF(K572="","",IF(ISNUMBER(--MID(K572,1,1)),0,IF(ISNUMBER(--MID(K572,2,1)),1,IF(ISNUMBER(--MID(K572,3,1)),2,IF(ISNUMBER(--MID(K572,4,1)),3,MIN(LEN(K572),4))))))</f>
        <v/>
      </c>
      <c r="M572" s="11" t="str">
        <f aca="false">IF(B572="","",LEFT(K572,L572)&amp;REPT("0",4-L572)&amp;RIGHT("000"&amp;IFERROR(VALUE(MID(K572,L572+1,9)),0),3)&amp;RIGHT("0000"&amp;IFERROR(VALUE(MID(B572,FIND("-",B572)+1,9)),0),4))</f>
        <v/>
      </c>
      <c r="N572" s="11" t="str">
        <f aca="false">IF(OR(B572="",N(F572)&lt;=0),"",IF('FALTAS POR DECK'!$P$1="Código","K"&amp;M572&amp;RIGHT("00000"&amp;ROW(),5),IF('FALTAS POR DECK'!$P$1="Nome","K"&amp;UPPER(SUBSTITUTE(SUBSTITUTE(SUBSTITUTE(C572,"*",""),"?",""),"~",""))&amp;"0"&amp;M572&amp;RIGHT("00000"&amp;ROW(),5),IF('FALTAS POR DECK'!$P$1="Falta (maior primeiro)","K"&amp;RIGHT("0000"&amp;(9999-F572),4)&amp;M572&amp;RIGHT("00000"&amp;ROW(),5),IF('FALTAS POR DECK'!$P$1="Deck e código","K"&amp;RIGHT("00"&amp;IFERROR(MATCH(A572,_LEITURA!$P$2:$P$21,0),99),2)&amp;M572&amp;RIGHT("00000"&amp;ROW(),5),"K"&amp;RIGHT("00000"&amp;ROW(),5))))))</f>
        <v/>
      </c>
      <c r="O572" s="16" t="str">
        <f aca="false">IF(N572="","",COUNTIFS($N$2:$N$1201,"&lt;"&amp;N572,$F$2:$F$1201,"&gt;0")+1)</f>
        <v/>
      </c>
    </row>
    <row r="573" customFormat="false" ht="15" hidden="false" customHeight="false" outlineLevel="0" collapsed="false">
      <c r="A573" s="11" t="str">
        <f aca="false">IF(_LEITURA!$N573="","",INDEX(_LEITURA!$K$2:$K$1201,_LEITURA!$N573))</f>
        <v/>
      </c>
      <c r="B573" s="11" t="str">
        <f aca="false">IF(_LEITURA!$N573="","",INDEX(_LEITURA!$E$2:$E$1201,_LEITURA!$N573))</f>
        <v/>
      </c>
      <c r="C573" s="11" t="str">
        <f aca="false">IF(_LEITURA!$N573="","",INDEX(_LEITURA!$J$2:$J$1201,_LEITURA!$N573))</f>
        <v/>
      </c>
      <c r="D573" s="16" t="str">
        <f aca="false">IF(_LEITURA!$N573="","",INDEX(_LEITURA!$G$2:$G$1201,_LEITURA!$N573))</f>
        <v/>
      </c>
      <c r="E573" s="16" t="str">
        <f aca="false">IF(B573="","",SUMIFS(INVENTÁRIO!$C$2:$C$801,INVENTÁRIO!$A$2:$A$801,B573))</f>
        <v/>
      </c>
      <c r="F573" s="16" t="str">
        <f aca="false">IF(B573="","",MAX(0,D573-E573))</f>
        <v/>
      </c>
      <c r="G573" s="16" t="str">
        <f aca="false">IF(B573="","",IF(COUNTIFS($B$2:$B$1201,B573,$A$2:$A$1201,"&lt;&gt;"&amp;A573)&gt;0,"Sim",""))</f>
        <v/>
      </c>
      <c r="H573" s="16" t="str">
        <f aca="false">IF(N(F573)&gt;0,MAX(H$1:H572)+1,"")</f>
        <v/>
      </c>
      <c r="I573" s="11" t="str">
        <f aca="false">IF(B573="","",IF(INDEX($C$2:$C$1201,MATCH(B573,$B$2:$B$1201,0))&lt;&gt;C573,"Nome diferente em outro deck — revisar",""))</f>
        <v/>
      </c>
      <c r="J573" s="16" t="str">
        <f aca="false">IF(AND(B573&lt;&gt;"",A573=BULK!$A$1,N(F573)&gt;0),MAX(J$1:J572)+1,"")</f>
        <v/>
      </c>
      <c r="K573" s="11" t="str">
        <f aca="false">IF(B573="","",IFERROR(LEFT(B573,FIND("-",B573)-1),B573))</f>
        <v/>
      </c>
      <c r="L573" s="11" t="str">
        <f aca="false">IF(K573="","",IF(ISNUMBER(--MID(K573,1,1)),0,IF(ISNUMBER(--MID(K573,2,1)),1,IF(ISNUMBER(--MID(K573,3,1)),2,IF(ISNUMBER(--MID(K573,4,1)),3,MIN(LEN(K573),4))))))</f>
        <v/>
      </c>
      <c r="M573" s="11" t="str">
        <f aca="false">IF(B573="","",LEFT(K573,L573)&amp;REPT("0",4-L573)&amp;RIGHT("000"&amp;IFERROR(VALUE(MID(K573,L573+1,9)),0),3)&amp;RIGHT("0000"&amp;IFERROR(VALUE(MID(B573,FIND("-",B573)+1,9)),0),4))</f>
        <v/>
      </c>
      <c r="N573" s="11" t="str">
        <f aca="false">IF(OR(B573="",N(F573)&lt;=0),"",IF('FALTAS POR DECK'!$P$1="Código","K"&amp;M573&amp;RIGHT("00000"&amp;ROW(),5),IF('FALTAS POR DECK'!$P$1="Nome","K"&amp;UPPER(SUBSTITUTE(SUBSTITUTE(SUBSTITUTE(C573,"*",""),"?",""),"~",""))&amp;"0"&amp;M573&amp;RIGHT("00000"&amp;ROW(),5),IF('FALTAS POR DECK'!$P$1="Falta (maior primeiro)","K"&amp;RIGHT("0000"&amp;(9999-F573),4)&amp;M573&amp;RIGHT("00000"&amp;ROW(),5),IF('FALTAS POR DECK'!$P$1="Deck e código","K"&amp;RIGHT("00"&amp;IFERROR(MATCH(A573,_LEITURA!$P$2:$P$21,0),99),2)&amp;M573&amp;RIGHT("00000"&amp;ROW(),5),"K"&amp;RIGHT("00000"&amp;ROW(),5))))))</f>
        <v/>
      </c>
      <c r="O573" s="16" t="str">
        <f aca="false">IF(N573="","",COUNTIFS($N$2:$N$1201,"&lt;"&amp;N573,$F$2:$F$1201,"&gt;0")+1)</f>
        <v/>
      </c>
    </row>
    <row r="574" customFormat="false" ht="15" hidden="false" customHeight="false" outlineLevel="0" collapsed="false">
      <c r="A574" s="11" t="str">
        <f aca="false">IF(_LEITURA!$N574="","",INDEX(_LEITURA!$K$2:$K$1201,_LEITURA!$N574))</f>
        <v/>
      </c>
      <c r="B574" s="11" t="str">
        <f aca="false">IF(_LEITURA!$N574="","",INDEX(_LEITURA!$E$2:$E$1201,_LEITURA!$N574))</f>
        <v/>
      </c>
      <c r="C574" s="11" t="str">
        <f aca="false">IF(_LEITURA!$N574="","",INDEX(_LEITURA!$J$2:$J$1201,_LEITURA!$N574))</f>
        <v/>
      </c>
      <c r="D574" s="16" t="str">
        <f aca="false">IF(_LEITURA!$N574="","",INDEX(_LEITURA!$G$2:$G$1201,_LEITURA!$N574))</f>
        <v/>
      </c>
      <c r="E574" s="16" t="str">
        <f aca="false">IF(B574="","",SUMIFS(INVENTÁRIO!$C$2:$C$801,INVENTÁRIO!$A$2:$A$801,B574))</f>
        <v/>
      </c>
      <c r="F574" s="16" t="str">
        <f aca="false">IF(B574="","",MAX(0,D574-E574))</f>
        <v/>
      </c>
      <c r="G574" s="16" t="str">
        <f aca="false">IF(B574="","",IF(COUNTIFS($B$2:$B$1201,B574,$A$2:$A$1201,"&lt;&gt;"&amp;A574)&gt;0,"Sim",""))</f>
        <v/>
      </c>
      <c r="H574" s="16" t="str">
        <f aca="false">IF(N(F574)&gt;0,MAX(H$1:H573)+1,"")</f>
        <v/>
      </c>
      <c r="I574" s="11" t="str">
        <f aca="false">IF(B574="","",IF(INDEX($C$2:$C$1201,MATCH(B574,$B$2:$B$1201,0))&lt;&gt;C574,"Nome diferente em outro deck — revisar",""))</f>
        <v/>
      </c>
      <c r="J574" s="16" t="str">
        <f aca="false">IF(AND(B574&lt;&gt;"",A574=BULK!$A$1,N(F574)&gt;0),MAX(J$1:J573)+1,"")</f>
        <v/>
      </c>
      <c r="K574" s="11" t="str">
        <f aca="false">IF(B574="","",IFERROR(LEFT(B574,FIND("-",B574)-1),B574))</f>
        <v/>
      </c>
      <c r="L574" s="11" t="str">
        <f aca="false">IF(K574="","",IF(ISNUMBER(--MID(K574,1,1)),0,IF(ISNUMBER(--MID(K574,2,1)),1,IF(ISNUMBER(--MID(K574,3,1)),2,IF(ISNUMBER(--MID(K574,4,1)),3,MIN(LEN(K574),4))))))</f>
        <v/>
      </c>
      <c r="M574" s="11" t="str">
        <f aca="false">IF(B574="","",LEFT(K574,L574)&amp;REPT("0",4-L574)&amp;RIGHT("000"&amp;IFERROR(VALUE(MID(K574,L574+1,9)),0),3)&amp;RIGHT("0000"&amp;IFERROR(VALUE(MID(B574,FIND("-",B574)+1,9)),0),4))</f>
        <v/>
      </c>
      <c r="N574" s="11" t="str">
        <f aca="false">IF(OR(B574="",N(F574)&lt;=0),"",IF('FALTAS POR DECK'!$P$1="Código","K"&amp;M574&amp;RIGHT("00000"&amp;ROW(),5),IF('FALTAS POR DECK'!$P$1="Nome","K"&amp;UPPER(SUBSTITUTE(SUBSTITUTE(SUBSTITUTE(C574,"*",""),"?",""),"~",""))&amp;"0"&amp;M574&amp;RIGHT("00000"&amp;ROW(),5),IF('FALTAS POR DECK'!$P$1="Falta (maior primeiro)","K"&amp;RIGHT("0000"&amp;(9999-F574),4)&amp;M574&amp;RIGHT("00000"&amp;ROW(),5),IF('FALTAS POR DECK'!$P$1="Deck e código","K"&amp;RIGHT("00"&amp;IFERROR(MATCH(A574,_LEITURA!$P$2:$P$21,0),99),2)&amp;M574&amp;RIGHT("00000"&amp;ROW(),5),"K"&amp;RIGHT("00000"&amp;ROW(),5))))))</f>
        <v/>
      </c>
      <c r="O574" s="16" t="str">
        <f aca="false">IF(N574="","",COUNTIFS($N$2:$N$1201,"&lt;"&amp;N574,$F$2:$F$1201,"&gt;0")+1)</f>
        <v/>
      </c>
    </row>
    <row r="575" customFormat="false" ht="15" hidden="false" customHeight="false" outlineLevel="0" collapsed="false">
      <c r="A575" s="11" t="str">
        <f aca="false">IF(_LEITURA!$N575="","",INDEX(_LEITURA!$K$2:$K$1201,_LEITURA!$N575))</f>
        <v/>
      </c>
      <c r="B575" s="11" t="str">
        <f aca="false">IF(_LEITURA!$N575="","",INDEX(_LEITURA!$E$2:$E$1201,_LEITURA!$N575))</f>
        <v/>
      </c>
      <c r="C575" s="11" t="str">
        <f aca="false">IF(_LEITURA!$N575="","",INDEX(_LEITURA!$J$2:$J$1201,_LEITURA!$N575))</f>
        <v/>
      </c>
      <c r="D575" s="16" t="str">
        <f aca="false">IF(_LEITURA!$N575="","",INDEX(_LEITURA!$G$2:$G$1201,_LEITURA!$N575))</f>
        <v/>
      </c>
      <c r="E575" s="16" t="str">
        <f aca="false">IF(B575="","",SUMIFS(INVENTÁRIO!$C$2:$C$801,INVENTÁRIO!$A$2:$A$801,B575))</f>
        <v/>
      </c>
      <c r="F575" s="16" t="str">
        <f aca="false">IF(B575="","",MAX(0,D575-E575))</f>
        <v/>
      </c>
      <c r="G575" s="16" t="str">
        <f aca="false">IF(B575="","",IF(COUNTIFS($B$2:$B$1201,B575,$A$2:$A$1201,"&lt;&gt;"&amp;A575)&gt;0,"Sim",""))</f>
        <v/>
      </c>
      <c r="H575" s="16" t="str">
        <f aca="false">IF(N(F575)&gt;0,MAX(H$1:H574)+1,"")</f>
        <v/>
      </c>
      <c r="I575" s="11" t="str">
        <f aca="false">IF(B575="","",IF(INDEX($C$2:$C$1201,MATCH(B575,$B$2:$B$1201,0))&lt;&gt;C575,"Nome diferente em outro deck — revisar",""))</f>
        <v/>
      </c>
      <c r="J575" s="16" t="str">
        <f aca="false">IF(AND(B575&lt;&gt;"",A575=BULK!$A$1,N(F575)&gt;0),MAX(J$1:J574)+1,"")</f>
        <v/>
      </c>
      <c r="K575" s="11" t="str">
        <f aca="false">IF(B575="","",IFERROR(LEFT(B575,FIND("-",B575)-1),B575))</f>
        <v/>
      </c>
      <c r="L575" s="11" t="str">
        <f aca="false">IF(K575="","",IF(ISNUMBER(--MID(K575,1,1)),0,IF(ISNUMBER(--MID(K575,2,1)),1,IF(ISNUMBER(--MID(K575,3,1)),2,IF(ISNUMBER(--MID(K575,4,1)),3,MIN(LEN(K575),4))))))</f>
        <v/>
      </c>
      <c r="M575" s="11" t="str">
        <f aca="false">IF(B575="","",LEFT(K575,L575)&amp;REPT("0",4-L575)&amp;RIGHT("000"&amp;IFERROR(VALUE(MID(K575,L575+1,9)),0),3)&amp;RIGHT("0000"&amp;IFERROR(VALUE(MID(B575,FIND("-",B575)+1,9)),0),4))</f>
        <v/>
      </c>
      <c r="N575" s="11" t="str">
        <f aca="false">IF(OR(B575="",N(F575)&lt;=0),"",IF('FALTAS POR DECK'!$P$1="Código","K"&amp;M575&amp;RIGHT("00000"&amp;ROW(),5),IF('FALTAS POR DECK'!$P$1="Nome","K"&amp;UPPER(SUBSTITUTE(SUBSTITUTE(SUBSTITUTE(C575,"*",""),"?",""),"~",""))&amp;"0"&amp;M575&amp;RIGHT("00000"&amp;ROW(),5),IF('FALTAS POR DECK'!$P$1="Falta (maior primeiro)","K"&amp;RIGHT("0000"&amp;(9999-F575),4)&amp;M575&amp;RIGHT("00000"&amp;ROW(),5),IF('FALTAS POR DECK'!$P$1="Deck e código","K"&amp;RIGHT("00"&amp;IFERROR(MATCH(A575,_LEITURA!$P$2:$P$21,0),99),2)&amp;M575&amp;RIGHT("00000"&amp;ROW(),5),"K"&amp;RIGHT("00000"&amp;ROW(),5))))))</f>
        <v/>
      </c>
      <c r="O575" s="16" t="str">
        <f aca="false">IF(N575="","",COUNTIFS($N$2:$N$1201,"&lt;"&amp;N575,$F$2:$F$1201,"&gt;0")+1)</f>
        <v/>
      </c>
    </row>
    <row r="576" customFormat="false" ht="15" hidden="false" customHeight="false" outlineLevel="0" collapsed="false">
      <c r="A576" s="11" t="str">
        <f aca="false">IF(_LEITURA!$N576="","",INDEX(_LEITURA!$K$2:$K$1201,_LEITURA!$N576))</f>
        <v/>
      </c>
      <c r="B576" s="11" t="str">
        <f aca="false">IF(_LEITURA!$N576="","",INDEX(_LEITURA!$E$2:$E$1201,_LEITURA!$N576))</f>
        <v/>
      </c>
      <c r="C576" s="11" t="str">
        <f aca="false">IF(_LEITURA!$N576="","",INDEX(_LEITURA!$J$2:$J$1201,_LEITURA!$N576))</f>
        <v/>
      </c>
      <c r="D576" s="16" t="str">
        <f aca="false">IF(_LEITURA!$N576="","",INDEX(_LEITURA!$G$2:$G$1201,_LEITURA!$N576))</f>
        <v/>
      </c>
      <c r="E576" s="16" t="str">
        <f aca="false">IF(B576="","",SUMIFS(INVENTÁRIO!$C$2:$C$801,INVENTÁRIO!$A$2:$A$801,B576))</f>
        <v/>
      </c>
      <c r="F576" s="16" t="str">
        <f aca="false">IF(B576="","",MAX(0,D576-E576))</f>
        <v/>
      </c>
      <c r="G576" s="16" t="str">
        <f aca="false">IF(B576="","",IF(COUNTIFS($B$2:$B$1201,B576,$A$2:$A$1201,"&lt;&gt;"&amp;A576)&gt;0,"Sim",""))</f>
        <v/>
      </c>
      <c r="H576" s="16" t="str">
        <f aca="false">IF(N(F576)&gt;0,MAX(H$1:H575)+1,"")</f>
        <v/>
      </c>
      <c r="I576" s="11" t="str">
        <f aca="false">IF(B576="","",IF(INDEX($C$2:$C$1201,MATCH(B576,$B$2:$B$1201,0))&lt;&gt;C576,"Nome diferente em outro deck — revisar",""))</f>
        <v/>
      </c>
      <c r="J576" s="16" t="str">
        <f aca="false">IF(AND(B576&lt;&gt;"",A576=BULK!$A$1,N(F576)&gt;0),MAX(J$1:J575)+1,"")</f>
        <v/>
      </c>
      <c r="K576" s="11" t="str">
        <f aca="false">IF(B576="","",IFERROR(LEFT(B576,FIND("-",B576)-1),B576))</f>
        <v/>
      </c>
      <c r="L576" s="11" t="str">
        <f aca="false">IF(K576="","",IF(ISNUMBER(--MID(K576,1,1)),0,IF(ISNUMBER(--MID(K576,2,1)),1,IF(ISNUMBER(--MID(K576,3,1)),2,IF(ISNUMBER(--MID(K576,4,1)),3,MIN(LEN(K576),4))))))</f>
        <v/>
      </c>
      <c r="M576" s="11" t="str">
        <f aca="false">IF(B576="","",LEFT(K576,L576)&amp;REPT("0",4-L576)&amp;RIGHT("000"&amp;IFERROR(VALUE(MID(K576,L576+1,9)),0),3)&amp;RIGHT("0000"&amp;IFERROR(VALUE(MID(B576,FIND("-",B576)+1,9)),0),4))</f>
        <v/>
      </c>
      <c r="N576" s="11" t="str">
        <f aca="false">IF(OR(B576="",N(F576)&lt;=0),"",IF('FALTAS POR DECK'!$P$1="Código","K"&amp;M576&amp;RIGHT("00000"&amp;ROW(),5),IF('FALTAS POR DECK'!$P$1="Nome","K"&amp;UPPER(SUBSTITUTE(SUBSTITUTE(SUBSTITUTE(C576,"*",""),"?",""),"~",""))&amp;"0"&amp;M576&amp;RIGHT("00000"&amp;ROW(),5),IF('FALTAS POR DECK'!$P$1="Falta (maior primeiro)","K"&amp;RIGHT("0000"&amp;(9999-F576),4)&amp;M576&amp;RIGHT("00000"&amp;ROW(),5),IF('FALTAS POR DECK'!$P$1="Deck e código","K"&amp;RIGHT("00"&amp;IFERROR(MATCH(A576,_LEITURA!$P$2:$P$21,0),99),2)&amp;M576&amp;RIGHT("00000"&amp;ROW(),5),"K"&amp;RIGHT("00000"&amp;ROW(),5))))))</f>
        <v/>
      </c>
      <c r="O576" s="16" t="str">
        <f aca="false">IF(N576="","",COUNTIFS($N$2:$N$1201,"&lt;"&amp;N576,$F$2:$F$1201,"&gt;0")+1)</f>
        <v/>
      </c>
    </row>
    <row r="577" customFormat="false" ht="15" hidden="false" customHeight="false" outlineLevel="0" collapsed="false">
      <c r="A577" s="11" t="str">
        <f aca="false">IF(_LEITURA!$N577="","",INDEX(_LEITURA!$K$2:$K$1201,_LEITURA!$N577))</f>
        <v/>
      </c>
      <c r="B577" s="11" t="str">
        <f aca="false">IF(_LEITURA!$N577="","",INDEX(_LEITURA!$E$2:$E$1201,_LEITURA!$N577))</f>
        <v/>
      </c>
      <c r="C577" s="11" t="str">
        <f aca="false">IF(_LEITURA!$N577="","",INDEX(_LEITURA!$J$2:$J$1201,_LEITURA!$N577))</f>
        <v/>
      </c>
      <c r="D577" s="16" t="str">
        <f aca="false">IF(_LEITURA!$N577="","",INDEX(_LEITURA!$G$2:$G$1201,_LEITURA!$N577))</f>
        <v/>
      </c>
      <c r="E577" s="16" t="str">
        <f aca="false">IF(B577="","",SUMIFS(INVENTÁRIO!$C$2:$C$801,INVENTÁRIO!$A$2:$A$801,B577))</f>
        <v/>
      </c>
      <c r="F577" s="16" t="str">
        <f aca="false">IF(B577="","",MAX(0,D577-E577))</f>
        <v/>
      </c>
      <c r="G577" s="16" t="str">
        <f aca="false">IF(B577="","",IF(COUNTIFS($B$2:$B$1201,B577,$A$2:$A$1201,"&lt;&gt;"&amp;A577)&gt;0,"Sim",""))</f>
        <v/>
      </c>
      <c r="H577" s="16" t="str">
        <f aca="false">IF(N(F577)&gt;0,MAX(H$1:H576)+1,"")</f>
        <v/>
      </c>
      <c r="I577" s="11" t="str">
        <f aca="false">IF(B577="","",IF(INDEX($C$2:$C$1201,MATCH(B577,$B$2:$B$1201,0))&lt;&gt;C577,"Nome diferente em outro deck — revisar",""))</f>
        <v/>
      </c>
      <c r="J577" s="16" t="str">
        <f aca="false">IF(AND(B577&lt;&gt;"",A577=BULK!$A$1,N(F577)&gt;0),MAX(J$1:J576)+1,"")</f>
        <v/>
      </c>
      <c r="K577" s="11" t="str">
        <f aca="false">IF(B577="","",IFERROR(LEFT(B577,FIND("-",B577)-1),B577))</f>
        <v/>
      </c>
      <c r="L577" s="11" t="str">
        <f aca="false">IF(K577="","",IF(ISNUMBER(--MID(K577,1,1)),0,IF(ISNUMBER(--MID(K577,2,1)),1,IF(ISNUMBER(--MID(K577,3,1)),2,IF(ISNUMBER(--MID(K577,4,1)),3,MIN(LEN(K577),4))))))</f>
        <v/>
      </c>
      <c r="M577" s="11" t="str">
        <f aca="false">IF(B577="","",LEFT(K577,L577)&amp;REPT("0",4-L577)&amp;RIGHT("000"&amp;IFERROR(VALUE(MID(K577,L577+1,9)),0),3)&amp;RIGHT("0000"&amp;IFERROR(VALUE(MID(B577,FIND("-",B577)+1,9)),0),4))</f>
        <v/>
      </c>
      <c r="N577" s="11" t="str">
        <f aca="false">IF(OR(B577="",N(F577)&lt;=0),"",IF('FALTAS POR DECK'!$P$1="Código","K"&amp;M577&amp;RIGHT("00000"&amp;ROW(),5),IF('FALTAS POR DECK'!$P$1="Nome","K"&amp;UPPER(SUBSTITUTE(SUBSTITUTE(SUBSTITUTE(C577,"*",""),"?",""),"~",""))&amp;"0"&amp;M577&amp;RIGHT("00000"&amp;ROW(),5),IF('FALTAS POR DECK'!$P$1="Falta (maior primeiro)","K"&amp;RIGHT("0000"&amp;(9999-F577),4)&amp;M577&amp;RIGHT("00000"&amp;ROW(),5),IF('FALTAS POR DECK'!$P$1="Deck e código","K"&amp;RIGHT("00"&amp;IFERROR(MATCH(A577,_LEITURA!$P$2:$P$21,0),99),2)&amp;M577&amp;RIGHT("00000"&amp;ROW(),5),"K"&amp;RIGHT("00000"&amp;ROW(),5))))))</f>
        <v/>
      </c>
      <c r="O577" s="16" t="str">
        <f aca="false">IF(N577="","",COUNTIFS($N$2:$N$1201,"&lt;"&amp;N577,$F$2:$F$1201,"&gt;0")+1)</f>
        <v/>
      </c>
    </row>
    <row r="578" customFormat="false" ht="15" hidden="false" customHeight="false" outlineLevel="0" collapsed="false">
      <c r="A578" s="11" t="str">
        <f aca="false">IF(_LEITURA!$N578="","",INDEX(_LEITURA!$K$2:$K$1201,_LEITURA!$N578))</f>
        <v/>
      </c>
      <c r="B578" s="11" t="str">
        <f aca="false">IF(_LEITURA!$N578="","",INDEX(_LEITURA!$E$2:$E$1201,_LEITURA!$N578))</f>
        <v/>
      </c>
      <c r="C578" s="11" t="str">
        <f aca="false">IF(_LEITURA!$N578="","",INDEX(_LEITURA!$J$2:$J$1201,_LEITURA!$N578))</f>
        <v/>
      </c>
      <c r="D578" s="16" t="str">
        <f aca="false">IF(_LEITURA!$N578="","",INDEX(_LEITURA!$G$2:$G$1201,_LEITURA!$N578))</f>
        <v/>
      </c>
      <c r="E578" s="16" t="str">
        <f aca="false">IF(B578="","",SUMIFS(INVENTÁRIO!$C$2:$C$801,INVENTÁRIO!$A$2:$A$801,B578))</f>
        <v/>
      </c>
      <c r="F578" s="16" t="str">
        <f aca="false">IF(B578="","",MAX(0,D578-E578))</f>
        <v/>
      </c>
      <c r="G578" s="16" t="str">
        <f aca="false">IF(B578="","",IF(COUNTIFS($B$2:$B$1201,B578,$A$2:$A$1201,"&lt;&gt;"&amp;A578)&gt;0,"Sim",""))</f>
        <v/>
      </c>
      <c r="H578" s="16" t="str">
        <f aca="false">IF(N(F578)&gt;0,MAX(H$1:H577)+1,"")</f>
        <v/>
      </c>
      <c r="I578" s="11" t="str">
        <f aca="false">IF(B578="","",IF(INDEX($C$2:$C$1201,MATCH(B578,$B$2:$B$1201,0))&lt;&gt;C578,"Nome diferente em outro deck — revisar",""))</f>
        <v/>
      </c>
      <c r="J578" s="16" t="str">
        <f aca="false">IF(AND(B578&lt;&gt;"",A578=BULK!$A$1,N(F578)&gt;0),MAX(J$1:J577)+1,"")</f>
        <v/>
      </c>
      <c r="K578" s="11" t="str">
        <f aca="false">IF(B578="","",IFERROR(LEFT(B578,FIND("-",B578)-1),B578))</f>
        <v/>
      </c>
      <c r="L578" s="11" t="str">
        <f aca="false">IF(K578="","",IF(ISNUMBER(--MID(K578,1,1)),0,IF(ISNUMBER(--MID(K578,2,1)),1,IF(ISNUMBER(--MID(K578,3,1)),2,IF(ISNUMBER(--MID(K578,4,1)),3,MIN(LEN(K578),4))))))</f>
        <v/>
      </c>
      <c r="M578" s="11" t="str">
        <f aca="false">IF(B578="","",LEFT(K578,L578)&amp;REPT("0",4-L578)&amp;RIGHT("000"&amp;IFERROR(VALUE(MID(K578,L578+1,9)),0),3)&amp;RIGHT("0000"&amp;IFERROR(VALUE(MID(B578,FIND("-",B578)+1,9)),0),4))</f>
        <v/>
      </c>
      <c r="N578" s="11" t="str">
        <f aca="false">IF(OR(B578="",N(F578)&lt;=0),"",IF('FALTAS POR DECK'!$P$1="Código","K"&amp;M578&amp;RIGHT("00000"&amp;ROW(),5),IF('FALTAS POR DECK'!$P$1="Nome","K"&amp;UPPER(SUBSTITUTE(SUBSTITUTE(SUBSTITUTE(C578,"*",""),"?",""),"~",""))&amp;"0"&amp;M578&amp;RIGHT("00000"&amp;ROW(),5),IF('FALTAS POR DECK'!$P$1="Falta (maior primeiro)","K"&amp;RIGHT("0000"&amp;(9999-F578),4)&amp;M578&amp;RIGHT("00000"&amp;ROW(),5),IF('FALTAS POR DECK'!$P$1="Deck e código","K"&amp;RIGHT("00"&amp;IFERROR(MATCH(A578,_LEITURA!$P$2:$P$21,0),99),2)&amp;M578&amp;RIGHT("00000"&amp;ROW(),5),"K"&amp;RIGHT("00000"&amp;ROW(),5))))))</f>
        <v/>
      </c>
      <c r="O578" s="16" t="str">
        <f aca="false">IF(N578="","",COUNTIFS($N$2:$N$1201,"&lt;"&amp;N578,$F$2:$F$1201,"&gt;0")+1)</f>
        <v/>
      </c>
    </row>
    <row r="579" customFormat="false" ht="15" hidden="false" customHeight="false" outlineLevel="0" collapsed="false">
      <c r="A579" s="11" t="str">
        <f aca="false">IF(_LEITURA!$N579="","",INDEX(_LEITURA!$K$2:$K$1201,_LEITURA!$N579))</f>
        <v/>
      </c>
      <c r="B579" s="11" t="str">
        <f aca="false">IF(_LEITURA!$N579="","",INDEX(_LEITURA!$E$2:$E$1201,_LEITURA!$N579))</f>
        <v/>
      </c>
      <c r="C579" s="11" t="str">
        <f aca="false">IF(_LEITURA!$N579="","",INDEX(_LEITURA!$J$2:$J$1201,_LEITURA!$N579))</f>
        <v/>
      </c>
      <c r="D579" s="16" t="str">
        <f aca="false">IF(_LEITURA!$N579="","",INDEX(_LEITURA!$G$2:$G$1201,_LEITURA!$N579))</f>
        <v/>
      </c>
      <c r="E579" s="16" t="str">
        <f aca="false">IF(B579="","",SUMIFS(INVENTÁRIO!$C$2:$C$801,INVENTÁRIO!$A$2:$A$801,B579))</f>
        <v/>
      </c>
      <c r="F579" s="16" t="str">
        <f aca="false">IF(B579="","",MAX(0,D579-E579))</f>
        <v/>
      </c>
      <c r="G579" s="16" t="str">
        <f aca="false">IF(B579="","",IF(COUNTIFS($B$2:$B$1201,B579,$A$2:$A$1201,"&lt;&gt;"&amp;A579)&gt;0,"Sim",""))</f>
        <v/>
      </c>
      <c r="H579" s="16" t="str">
        <f aca="false">IF(N(F579)&gt;0,MAX(H$1:H578)+1,"")</f>
        <v/>
      </c>
      <c r="I579" s="11" t="str">
        <f aca="false">IF(B579="","",IF(INDEX($C$2:$C$1201,MATCH(B579,$B$2:$B$1201,0))&lt;&gt;C579,"Nome diferente em outro deck — revisar",""))</f>
        <v/>
      </c>
      <c r="J579" s="16" t="str">
        <f aca="false">IF(AND(B579&lt;&gt;"",A579=BULK!$A$1,N(F579)&gt;0),MAX(J$1:J578)+1,"")</f>
        <v/>
      </c>
      <c r="K579" s="11" t="str">
        <f aca="false">IF(B579="","",IFERROR(LEFT(B579,FIND("-",B579)-1),B579))</f>
        <v/>
      </c>
      <c r="L579" s="11" t="str">
        <f aca="false">IF(K579="","",IF(ISNUMBER(--MID(K579,1,1)),0,IF(ISNUMBER(--MID(K579,2,1)),1,IF(ISNUMBER(--MID(K579,3,1)),2,IF(ISNUMBER(--MID(K579,4,1)),3,MIN(LEN(K579),4))))))</f>
        <v/>
      </c>
      <c r="M579" s="11" t="str">
        <f aca="false">IF(B579="","",LEFT(K579,L579)&amp;REPT("0",4-L579)&amp;RIGHT("000"&amp;IFERROR(VALUE(MID(K579,L579+1,9)),0),3)&amp;RIGHT("0000"&amp;IFERROR(VALUE(MID(B579,FIND("-",B579)+1,9)),0),4))</f>
        <v/>
      </c>
      <c r="N579" s="11" t="str">
        <f aca="false">IF(OR(B579="",N(F579)&lt;=0),"",IF('FALTAS POR DECK'!$P$1="Código","K"&amp;M579&amp;RIGHT("00000"&amp;ROW(),5),IF('FALTAS POR DECK'!$P$1="Nome","K"&amp;UPPER(SUBSTITUTE(SUBSTITUTE(SUBSTITUTE(C579,"*",""),"?",""),"~",""))&amp;"0"&amp;M579&amp;RIGHT("00000"&amp;ROW(),5),IF('FALTAS POR DECK'!$P$1="Falta (maior primeiro)","K"&amp;RIGHT("0000"&amp;(9999-F579),4)&amp;M579&amp;RIGHT("00000"&amp;ROW(),5),IF('FALTAS POR DECK'!$P$1="Deck e código","K"&amp;RIGHT("00"&amp;IFERROR(MATCH(A579,_LEITURA!$P$2:$P$21,0),99),2)&amp;M579&amp;RIGHT("00000"&amp;ROW(),5),"K"&amp;RIGHT("00000"&amp;ROW(),5))))))</f>
        <v/>
      </c>
      <c r="O579" s="16" t="str">
        <f aca="false">IF(N579="","",COUNTIFS($N$2:$N$1201,"&lt;"&amp;N579,$F$2:$F$1201,"&gt;0")+1)</f>
        <v/>
      </c>
    </row>
    <row r="580" customFormat="false" ht="15" hidden="false" customHeight="false" outlineLevel="0" collapsed="false">
      <c r="A580" s="11" t="str">
        <f aca="false">IF(_LEITURA!$N580="","",INDEX(_LEITURA!$K$2:$K$1201,_LEITURA!$N580))</f>
        <v/>
      </c>
      <c r="B580" s="11" t="str">
        <f aca="false">IF(_LEITURA!$N580="","",INDEX(_LEITURA!$E$2:$E$1201,_LEITURA!$N580))</f>
        <v/>
      </c>
      <c r="C580" s="11" t="str">
        <f aca="false">IF(_LEITURA!$N580="","",INDEX(_LEITURA!$J$2:$J$1201,_LEITURA!$N580))</f>
        <v/>
      </c>
      <c r="D580" s="16" t="str">
        <f aca="false">IF(_LEITURA!$N580="","",INDEX(_LEITURA!$G$2:$G$1201,_LEITURA!$N580))</f>
        <v/>
      </c>
      <c r="E580" s="16" t="str">
        <f aca="false">IF(B580="","",SUMIFS(INVENTÁRIO!$C$2:$C$801,INVENTÁRIO!$A$2:$A$801,B580))</f>
        <v/>
      </c>
      <c r="F580" s="16" t="str">
        <f aca="false">IF(B580="","",MAX(0,D580-E580))</f>
        <v/>
      </c>
      <c r="G580" s="16" t="str">
        <f aca="false">IF(B580="","",IF(COUNTIFS($B$2:$B$1201,B580,$A$2:$A$1201,"&lt;&gt;"&amp;A580)&gt;0,"Sim",""))</f>
        <v/>
      </c>
      <c r="H580" s="16" t="str">
        <f aca="false">IF(N(F580)&gt;0,MAX(H$1:H579)+1,"")</f>
        <v/>
      </c>
      <c r="I580" s="11" t="str">
        <f aca="false">IF(B580="","",IF(INDEX($C$2:$C$1201,MATCH(B580,$B$2:$B$1201,0))&lt;&gt;C580,"Nome diferente em outro deck — revisar",""))</f>
        <v/>
      </c>
      <c r="J580" s="16" t="str">
        <f aca="false">IF(AND(B580&lt;&gt;"",A580=BULK!$A$1,N(F580)&gt;0),MAX(J$1:J579)+1,"")</f>
        <v/>
      </c>
      <c r="K580" s="11" t="str">
        <f aca="false">IF(B580="","",IFERROR(LEFT(B580,FIND("-",B580)-1),B580))</f>
        <v/>
      </c>
      <c r="L580" s="11" t="str">
        <f aca="false">IF(K580="","",IF(ISNUMBER(--MID(K580,1,1)),0,IF(ISNUMBER(--MID(K580,2,1)),1,IF(ISNUMBER(--MID(K580,3,1)),2,IF(ISNUMBER(--MID(K580,4,1)),3,MIN(LEN(K580),4))))))</f>
        <v/>
      </c>
      <c r="M580" s="11" t="str">
        <f aca="false">IF(B580="","",LEFT(K580,L580)&amp;REPT("0",4-L580)&amp;RIGHT("000"&amp;IFERROR(VALUE(MID(K580,L580+1,9)),0),3)&amp;RIGHT("0000"&amp;IFERROR(VALUE(MID(B580,FIND("-",B580)+1,9)),0),4))</f>
        <v/>
      </c>
      <c r="N580" s="11" t="str">
        <f aca="false">IF(OR(B580="",N(F580)&lt;=0),"",IF('FALTAS POR DECK'!$P$1="Código","K"&amp;M580&amp;RIGHT("00000"&amp;ROW(),5),IF('FALTAS POR DECK'!$P$1="Nome","K"&amp;UPPER(SUBSTITUTE(SUBSTITUTE(SUBSTITUTE(C580,"*",""),"?",""),"~",""))&amp;"0"&amp;M580&amp;RIGHT("00000"&amp;ROW(),5),IF('FALTAS POR DECK'!$P$1="Falta (maior primeiro)","K"&amp;RIGHT("0000"&amp;(9999-F580),4)&amp;M580&amp;RIGHT("00000"&amp;ROW(),5),IF('FALTAS POR DECK'!$P$1="Deck e código","K"&amp;RIGHT("00"&amp;IFERROR(MATCH(A580,_LEITURA!$P$2:$P$21,0),99),2)&amp;M580&amp;RIGHT("00000"&amp;ROW(),5),"K"&amp;RIGHT("00000"&amp;ROW(),5))))))</f>
        <v/>
      </c>
      <c r="O580" s="16" t="str">
        <f aca="false">IF(N580="","",COUNTIFS($N$2:$N$1201,"&lt;"&amp;N580,$F$2:$F$1201,"&gt;0")+1)</f>
        <v/>
      </c>
    </row>
    <row r="581" customFormat="false" ht="15" hidden="false" customHeight="false" outlineLevel="0" collapsed="false">
      <c r="A581" s="11" t="str">
        <f aca="false">IF(_LEITURA!$N581="","",INDEX(_LEITURA!$K$2:$K$1201,_LEITURA!$N581))</f>
        <v/>
      </c>
      <c r="B581" s="11" t="str">
        <f aca="false">IF(_LEITURA!$N581="","",INDEX(_LEITURA!$E$2:$E$1201,_LEITURA!$N581))</f>
        <v/>
      </c>
      <c r="C581" s="11" t="str">
        <f aca="false">IF(_LEITURA!$N581="","",INDEX(_LEITURA!$J$2:$J$1201,_LEITURA!$N581))</f>
        <v/>
      </c>
      <c r="D581" s="16" t="str">
        <f aca="false">IF(_LEITURA!$N581="","",INDEX(_LEITURA!$G$2:$G$1201,_LEITURA!$N581))</f>
        <v/>
      </c>
      <c r="E581" s="16" t="str">
        <f aca="false">IF(B581="","",SUMIFS(INVENTÁRIO!$C$2:$C$801,INVENTÁRIO!$A$2:$A$801,B581))</f>
        <v/>
      </c>
      <c r="F581" s="16" t="str">
        <f aca="false">IF(B581="","",MAX(0,D581-E581))</f>
        <v/>
      </c>
      <c r="G581" s="16" t="str">
        <f aca="false">IF(B581="","",IF(COUNTIFS($B$2:$B$1201,B581,$A$2:$A$1201,"&lt;&gt;"&amp;A581)&gt;0,"Sim",""))</f>
        <v/>
      </c>
      <c r="H581" s="16" t="str">
        <f aca="false">IF(N(F581)&gt;0,MAX(H$1:H580)+1,"")</f>
        <v/>
      </c>
      <c r="I581" s="11" t="str">
        <f aca="false">IF(B581="","",IF(INDEX($C$2:$C$1201,MATCH(B581,$B$2:$B$1201,0))&lt;&gt;C581,"Nome diferente em outro deck — revisar",""))</f>
        <v/>
      </c>
      <c r="J581" s="16" t="str">
        <f aca="false">IF(AND(B581&lt;&gt;"",A581=BULK!$A$1,N(F581)&gt;0),MAX(J$1:J580)+1,"")</f>
        <v/>
      </c>
      <c r="K581" s="11" t="str">
        <f aca="false">IF(B581="","",IFERROR(LEFT(B581,FIND("-",B581)-1),B581))</f>
        <v/>
      </c>
      <c r="L581" s="11" t="str">
        <f aca="false">IF(K581="","",IF(ISNUMBER(--MID(K581,1,1)),0,IF(ISNUMBER(--MID(K581,2,1)),1,IF(ISNUMBER(--MID(K581,3,1)),2,IF(ISNUMBER(--MID(K581,4,1)),3,MIN(LEN(K581),4))))))</f>
        <v/>
      </c>
      <c r="M581" s="11" t="str">
        <f aca="false">IF(B581="","",LEFT(K581,L581)&amp;REPT("0",4-L581)&amp;RIGHT("000"&amp;IFERROR(VALUE(MID(K581,L581+1,9)),0),3)&amp;RIGHT("0000"&amp;IFERROR(VALUE(MID(B581,FIND("-",B581)+1,9)),0),4))</f>
        <v/>
      </c>
      <c r="N581" s="11" t="str">
        <f aca="false">IF(OR(B581="",N(F581)&lt;=0),"",IF('FALTAS POR DECK'!$P$1="Código","K"&amp;M581&amp;RIGHT("00000"&amp;ROW(),5),IF('FALTAS POR DECK'!$P$1="Nome","K"&amp;UPPER(SUBSTITUTE(SUBSTITUTE(SUBSTITUTE(C581,"*",""),"?",""),"~",""))&amp;"0"&amp;M581&amp;RIGHT("00000"&amp;ROW(),5),IF('FALTAS POR DECK'!$P$1="Falta (maior primeiro)","K"&amp;RIGHT("0000"&amp;(9999-F581),4)&amp;M581&amp;RIGHT("00000"&amp;ROW(),5),IF('FALTAS POR DECK'!$P$1="Deck e código","K"&amp;RIGHT("00"&amp;IFERROR(MATCH(A581,_LEITURA!$P$2:$P$21,0),99),2)&amp;M581&amp;RIGHT("00000"&amp;ROW(),5),"K"&amp;RIGHT("00000"&amp;ROW(),5))))))</f>
        <v/>
      </c>
      <c r="O581" s="16" t="str">
        <f aca="false">IF(N581="","",COUNTIFS($N$2:$N$1201,"&lt;"&amp;N581,$F$2:$F$1201,"&gt;0")+1)</f>
        <v/>
      </c>
    </row>
    <row r="582" customFormat="false" ht="15" hidden="false" customHeight="false" outlineLevel="0" collapsed="false">
      <c r="A582" s="11" t="str">
        <f aca="false">IF(_LEITURA!$N582="","",INDEX(_LEITURA!$K$2:$K$1201,_LEITURA!$N582))</f>
        <v/>
      </c>
      <c r="B582" s="11" t="str">
        <f aca="false">IF(_LEITURA!$N582="","",INDEX(_LEITURA!$E$2:$E$1201,_LEITURA!$N582))</f>
        <v/>
      </c>
      <c r="C582" s="11" t="str">
        <f aca="false">IF(_LEITURA!$N582="","",INDEX(_LEITURA!$J$2:$J$1201,_LEITURA!$N582))</f>
        <v/>
      </c>
      <c r="D582" s="16" t="str">
        <f aca="false">IF(_LEITURA!$N582="","",INDEX(_LEITURA!$G$2:$G$1201,_LEITURA!$N582))</f>
        <v/>
      </c>
      <c r="E582" s="16" t="str">
        <f aca="false">IF(B582="","",SUMIFS(INVENTÁRIO!$C$2:$C$801,INVENTÁRIO!$A$2:$A$801,B582))</f>
        <v/>
      </c>
      <c r="F582" s="16" t="str">
        <f aca="false">IF(B582="","",MAX(0,D582-E582))</f>
        <v/>
      </c>
      <c r="G582" s="16" t="str">
        <f aca="false">IF(B582="","",IF(COUNTIFS($B$2:$B$1201,B582,$A$2:$A$1201,"&lt;&gt;"&amp;A582)&gt;0,"Sim",""))</f>
        <v/>
      </c>
      <c r="H582" s="16" t="str">
        <f aca="false">IF(N(F582)&gt;0,MAX(H$1:H581)+1,"")</f>
        <v/>
      </c>
      <c r="I582" s="11" t="str">
        <f aca="false">IF(B582="","",IF(INDEX($C$2:$C$1201,MATCH(B582,$B$2:$B$1201,0))&lt;&gt;C582,"Nome diferente em outro deck — revisar",""))</f>
        <v/>
      </c>
      <c r="J582" s="16" t="str">
        <f aca="false">IF(AND(B582&lt;&gt;"",A582=BULK!$A$1,N(F582)&gt;0),MAX(J$1:J581)+1,"")</f>
        <v/>
      </c>
      <c r="K582" s="11" t="str">
        <f aca="false">IF(B582="","",IFERROR(LEFT(B582,FIND("-",B582)-1),B582))</f>
        <v/>
      </c>
      <c r="L582" s="11" t="str">
        <f aca="false">IF(K582="","",IF(ISNUMBER(--MID(K582,1,1)),0,IF(ISNUMBER(--MID(K582,2,1)),1,IF(ISNUMBER(--MID(K582,3,1)),2,IF(ISNUMBER(--MID(K582,4,1)),3,MIN(LEN(K582),4))))))</f>
        <v/>
      </c>
      <c r="M582" s="11" t="str">
        <f aca="false">IF(B582="","",LEFT(K582,L582)&amp;REPT("0",4-L582)&amp;RIGHT("000"&amp;IFERROR(VALUE(MID(K582,L582+1,9)),0),3)&amp;RIGHT("0000"&amp;IFERROR(VALUE(MID(B582,FIND("-",B582)+1,9)),0),4))</f>
        <v/>
      </c>
      <c r="N582" s="11" t="str">
        <f aca="false">IF(OR(B582="",N(F582)&lt;=0),"",IF('FALTAS POR DECK'!$P$1="Código","K"&amp;M582&amp;RIGHT("00000"&amp;ROW(),5),IF('FALTAS POR DECK'!$P$1="Nome","K"&amp;UPPER(SUBSTITUTE(SUBSTITUTE(SUBSTITUTE(C582,"*",""),"?",""),"~",""))&amp;"0"&amp;M582&amp;RIGHT("00000"&amp;ROW(),5),IF('FALTAS POR DECK'!$P$1="Falta (maior primeiro)","K"&amp;RIGHT("0000"&amp;(9999-F582),4)&amp;M582&amp;RIGHT("00000"&amp;ROW(),5),IF('FALTAS POR DECK'!$P$1="Deck e código","K"&amp;RIGHT("00"&amp;IFERROR(MATCH(A582,_LEITURA!$P$2:$P$21,0),99),2)&amp;M582&amp;RIGHT("00000"&amp;ROW(),5),"K"&amp;RIGHT("00000"&amp;ROW(),5))))))</f>
        <v/>
      </c>
      <c r="O582" s="16" t="str">
        <f aca="false">IF(N582="","",COUNTIFS($N$2:$N$1201,"&lt;"&amp;N582,$F$2:$F$1201,"&gt;0")+1)</f>
        <v/>
      </c>
    </row>
    <row r="583" customFormat="false" ht="15" hidden="false" customHeight="false" outlineLevel="0" collapsed="false">
      <c r="A583" s="11" t="str">
        <f aca="false">IF(_LEITURA!$N583="","",INDEX(_LEITURA!$K$2:$K$1201,_LEITURA!$N583))</f>
        <v/>
      </c>
      <c r="B583" s="11" t="str">
        <f aca="false">IF(_LEITURA!$N583="","",INDEX(_LEITURA!$E$2:$E$1201,_LEITURA!$N583))</f>
        <v/>
      </c>
      <c r="C583" s="11" t="str">
        <f aca="false">IF(_LEITURA!$N583="","",INDEX(_LEITURA!$J$2:$J$1201,_LEITURA!$N583))</f>
        <v/>
      </c>
      <c r="D583" s="16" t="str">
        <f aca="false">IF(_LEITURA!$N583="","",INDEX(_LEITURA!$G$2:$G$1201,_LEITURA!$N583))</f>
        <v/>
      </c>
      <c r="E583" s="16" t="str">
        <f aca="false">IF(B583="","",SUMIFS(INVENTÁRIO!$C$2:$C$801,INVENTÁRIO!$A$2:$A$801,B583))</f>
        <v/>
      </c>
      <c r="F583" s="16" t="str">
        <f aca="false">IF(B583="","",MAX(0,D583-E583))</f>
        <v/>
      </c>
      <c r="G583" s="16" t="str">
        <f aca="false">IF(B583="","",IF(COUNTIFS($B$2:$B$1201,B583,$A$2:$A$1201,"&lt;&gt;"&amp;A583)&gt;0,"Sim",""))</f>
        <v/>
      </c>
      <c r="H583" s="16" t="str">
        <f aca="false">IF(N(F583)&gt;0,MAX(H$1:H582)+1,"")</f>
        <v/>
      </c>
      <c r="I583" s="11" t="str">
        <f aca="false">IF(B583="","",IF(INDEX($C$2:$C$1201,MATCH(B583,$B$2:$B$1201,0))&lt;&gt;C583,"Nome diferente em outro deck — revisar",""))</f>
        <v/>
      </c>
      <c r="J583" s="16" t="str">
        <f aca="false">IF(AND(B583&lt;&gt;"",A583=BULK!$A$1,N(F583)&gt;0),MAX(J$1:J582)+1,"")</f>
        <v/>
      </c>
      <c r="K583" s="11" t="str">
        <f aca="false">IF(B583="","",IFERROR(LEFT(B583,FIND("-",B583)-1),B583))</f>
        <v/>
      </c>
      <c r="L583" s="11" t="str">
        <f aca="false">IF(K583="","",IF(ISNUMBER(--MID(K583,1,1)),0,IF(ISNUMBER(--MID(K583,2,1)),1,IF(ISNUMBER(--MID(K583,3,1)),2,IF(ISNUMBER(--MID(K583,4,1)),3,MIN(LEN(K583),4))))))</f>
        <v/>
      </c>
      <c r="M583" s="11" t="str">
        <f aca="false">IF(B583="","",LEFT(K583,L583)&amp;REPT("0",4-L583)&amp;RIGHT("000"&amp;IFERROR(VALUE(MID(K583,L583+1,9)),0),3)&amp;RIGHT("0000"&amp;IFERROR(VALUE(MID(B583,FIND("-",B583)+1,9)),0),4))</f>
        <v/>
      </c>
      <c r="N583" s="11" t="str">
        <f aca="false">IF(OR(B583="",N(F583)&lt;=0),"",IF('FALTAS POR DECK'!$P$1="Código","K"&amp;M583&amp;RIGHT("00000"&amp;ROW(),5),IF('FALTAS POR DECK'!$P$1="Nome","K"&amp;UPPER(SUBSTITUTE(SUBSTITUTE(SUBSTITUTE(C583,"*",""),"?",""),"~",""))&amp;"0"&amp;M583&amp;RIGHT("00000"&amp;ROW(),5),IF('FALTAS POR DECK'!$P$1="Falta (maior primeiro)","K"&amp;RIGHT("0000"&amp;(9999-F583),4)&amp;M583&amp;RIGHT("00000"&amp;ROW(),5),IF('FALTAS POR DECK'!$P$1="Deck e código","K"&amp;RIGHT("00"&amp;IFERROR(MATCH(A583,_LEITURA!$P$2:$P$21,0),99),2)&amp;M583&amp;RIGHT("00000"&amp;ROW(),5),"K"&amp;RIGHT("00000"&amp;ROW(),5))))))</f>
        <v/>
      </c>
      <c r="O583" s="16" t="str">
        <f aca="false">IF(N583="","",COUNTIFS($N$2:$N$1201,"&lt;"&amp;N583,$F$2:$F$1201,"&gt;0")+1)</f>
        <v/>
      </c>
    </row>
    <row r="584" customFormat="false" ht="15" hidden="false" customHeight="false" outlineLevel="0" collapsed="false">
      <c r="A584" s="11" t="str">
        <f aca="false">IF(_LEITURA!$N584="","",INDEX(_LEITURA!$K$2:$K$1201,_LEITURA!$N584))</f>
        <v/>
      </c>
      <c r="B584" s="11" t="str">
        <f aca="false">IF(_LEITURA!$N584="","",INDEX(_LEITURA!$E$2:$E$1201,_LEITURA!$N584))</f>
        <v/>
      </c>
      <c r="C584" s="11" t="str">
        <f aca="false">IF(_LEITURA!$N584="","",INDEX(_LEITURA!$J$2:$J$1201,_LEITURA!$N584))</f>
        <v/>
      </c>
      <c r="D584" s="16" t="str">
        <f aca="false">IF(_LEITURA!$N584="","",INDEX(_LEITURA!$G$2:$G$1201,_LEITURA!$N584))</f>
        <v/>
      </c>
      <c r="E584" s="16" t="str">
        <f aca="false">IF(B584="","",SUMIFS(INVENTÁRIO!$C$2:$C$801,INVENTÁRIO!$A$2:$A$801,B584))</f>
        <v/>
      </c>
      <c r="F584" s="16" t="str">
        <f aca="false">IF(B584="","",MAX(0,D584-E584))</f>
        <v/>
      </c>
      <c r="G584" s="16" t="str">
        <f aca="false">IF(B584="","",IF(COUNTIFS($B$2:$B$1201,B584,$A$2:$A$1201,"&lt;&gt;"&amp;A584)&gt;0,"Sim",""))</f>
        <v/>
      </c>
      <c r="H584" s="16" t="str">
        <f aca="false">IF(N(F584)&gt;0,MAX(H$1:H583)+1,"")</f>
        <v/>
      </c>
      <c r="I584" s="11" t="str">
        <f aca="false">IF(B584="","",IF(INDEX($C$2:$C$1201,MATCH(B584,$B$2:$B$1201,0))&lt;&gt;C584,"Nome diferente em outro deck — revisar",""))</f>
        <v/>
      </c>
      <c r="J584" s="16" t="str">
        <f aca="false">IF(AND(B584&lt;&gt;"",A584=BULK!$A$1,N(F584)&gt;0),MAX(J$1:J583)+1,"")</f>
        <v/>
      </c>
      <c r="K584" s="11" t="str">
        <f aca="false">IF(B584="","",IFERROR(LEFT(B584,FIND("-",B584)-1),B584))</f>
        <v/>
      </c>
      <c r="L584" s="11" t="str">
        <f aca="false">IF(K584="","",IF(ISNUMBER(--MID(K584,1,1)),0,IF(ISNUMBER(--MID(K584,2,1)),1,IF(ISNUMBER(--MID(K584,3,1)),2,IF(ISNUMBER(--MID(K584,4,1)),3,MIN(LEN(K584),4))))))</f>
        <v/>
      </c>
      <c r="M584" s="11" t="str">
        <f aca="false">IF(B584="","",LEFT(K584,L584)&amp;REPT("0",4-L584)&amp;RIGHT("000"&amp;IFERROR(VALUE(MID(K584,L584+1,9)),0),3)&amp;RIGHT("0000"&amp;IFERROR(VALUE(MID(B584,FIND("-",B584)+1,9)),0),4))</f>
        <v/>
      </c>
      <c r="N584" s="11" t="str">
        <f aca="false">IF(OR(B584="",N(F584)&lt;=0),"",IF('FALTAS POR DECK'!$P$1="Código","K"&amp;M584&amp;RIGHT("00000"&amp;ROW(),5),IF('FALTAS POR DECK'!$P$1="Nome","K"&amp;UPPER(SUBSTITUTE(SUBSTITUTE(SUBSTITUTE(C584,"*",""),"?",""),"~",""))&amp;"0"&amp;M584&amp;RIGHT("00000"&amp;ROW(),5),IF('FALTAS POR DECK'!$P$1="Falta (maior primeiro)","K"&amp;RIGHT("0000"&amp;(9999-F584),4)&amp;M584&amp;RIGHT("00000"&amp;ROW(),5),IF('FALTAS POR DECK'!$P$1="Deck e código","K"&amp;RIGHT("00"&amp;IFERROR(MATCH(A584,_LEITURA!$P$2:$P$21,0),99),2)&amp;M584&amp;RIGHT("00000"&amp;ROW(),5),"K"&amp;RIGHT("00000"&amp;ROW(),5))))))</f>
        <v/>
      </c>
      <c r="O584" s="16" t="str">
        <f aca="false">IF(N584="","",COUNTIFS($N$2:$N$1201,"&lt;"&amp;N584,$F$2:$F$1201,"&gt;0")+1)</f>
        <v/>
      </c>
    </row>
    <row r="585" customFormat="false" ht="15" hidden="false" customHeight="false" outlineLevel="0" collapsed="false">
      <c r="A585" s="11" t="str">
        <f aca="false">IF(_LEITURA!$N585="","",INDEX(_LEITURA!$K$2:$K$1201,_LEITURA!$N585))</f>
        <v/>
      </c>
      <c r="B585" s="11" t="str">
        <f aca="false">IF(_LEITURA!$N585="","",INDEX(_LEITURA!$E$2:$E$1201,_LEITURA!$N585))</f>
        <v/>
      </c>
      <c r="C585" s="11" t="str">
        <f aca="false">IF(_LEITURA!$N585="","",INDEX(_LEITURA!$J$2:$J$1201,_LEITURA!$N585))</f>
        <v/>
      </c>
      <c r="D585" s="16" t="str">
        <f aca="false">IF(_LEITURA!$N585="","",INDEX(_LEITURA!$G$2:$G$1201,_LEITURA!$N585))</f>
        <v/>
      </c>
      <c r="E585" s="16" t="str">
        <f aca="false">IF(B585="","",SUMIFS(INVENTÁRIO!$C$2:$C$801,INVENTÁRIO!$A$2:$A$801,B585))</f>
        <v/>
      </c>
      <c r="F585" s="16" t="str">
        <f aca="false">IF(B585="","",MAX(0,D585-E585))</f>
        <v/>
      </c>
      <c r="G585" s="16" t="str">
        <f aca="false">IF(B585="","",IF(COUNTIFS($B$2:$B$1201,B585,$A$2:$A$1201,"&lt;&gt;"&amp;A585)&gt;0,"Sim",""))</f>
        <v/>
      </c>
      <c r="H585" s="16" t="str">
        <f aca="false">IF(N(F585)&gt;0,MAX(H$1:H584)+1,"")</f>
        <v/>
      </c>
      <c r="I585" s="11" t="str">
        <f aca="false">IF(B585="","",IF(INDEX($C$2:$C$1201,MATCH(B585,$B$2:$B$1201,0))&lt;&gt;C585,"Nome diferente em outro deck — revisar",""))</f>
        <v/>
      </c>
      <c r="J585" s="16" t="str">
        <f aca="false">IF(AND(B585&lt;&gt;"",A585=BULK!$A$1,N(F585)&gt;0),MAX(J$1:J584)+1,"")</f>
        <v/>
      </c>
      <c r="K585" s="11" t="str">
        <f aca="false">IF(B585="","",IFERROR(LEFT(B585,FIND("-",B585)-1),B585))</f>
        <v/>
      </c>
      <c r="L585" s="11" t="str">
        <f aca="false">IF(K585="","",IF(ISNUMBER(--MID(K585,1,1)),0,IF(ISNUMBER(--MID(K585,2,1)),1,IF(ISNUMBER(--MID(K585,3,1)),2,IF(ISNUMBER(--MID(K585,4,1)),3,MIN(LEN(K585),4))))))</f>
        <v/>
      </c>
      <c r="M585" s="11" t="str">
        <f aca="false">IF(B585="","",LEFT(K585,L585)&amp;REPT("0",4-L585)&amp;RIGHT("000"&amp;IFERROR(VALUE(MID(K585,L585+1,9)),0),3)&amp;RIGHT("0000"&amp;IFERROR(VALUE(MID(B585,FIND("-",B585)+1,9)),0),4))</f>
        <v/>
      </c>
      <c r="N585" s="11" t="str">
        <f aca="false">IF(OR(B585="",N(F585)&lt;=0),"",IF('FALTAS POR DECK'!$P$1="Código","K"&amp;M585&amp;RIGHT("00000"&amp;ROW(),5),IF('FALTAS POR DECK'!$P$1="Nome","K"&amp;UPPER(SUBSTITUTE(SUBSTITUTE(SUBSTITUTE(C585,"*",""),"?",""),"~",""))&amp;"0"&amp;M585&amp;RIGHT("00000"&amp;ROW(),5),IF('FALTAS POR DECK'!$P$1="Falta (maior primeiro)","K"&amp;RIGHT("0000"&amp;(9999-F585),4)&amp;M585&amp;RIGHT("00000"&amp;ROW(),5),IF('FALTAS POR DECK'!$P$1="Deck e código","K"&amp;RIGHT("00"&amp;IFERROR(MATCH(A585,_LEITURA!$P$2:$P$21,0),99),2)&amp;M585&amp;RIGHT("00000"&amp;ROW(),5),"K"&amp;RIGHT("00000"&amp;ROW(),5))))))</f>
        <v/>
      </c>
      <c r="O585" s="16" t="str">
        <f aca="false">IF(N585="","",COUNTIFS($N$2:$N$1201,"&lt;"&amp;N585,$F$2:$F$1201,"&gt;0")+1)</f>
        <v/>
      </c>
    </row>
    <row r="586" customFormat="false" ht="15" hidden="false" customHeight="false" outlineLevel="0" collapsed="false">
      <c r="A586" s="11" t="str">
        <f aca="false">IF(_LEITURA!$N586="","",INDEX(_LEITURA!$K$2:$K$1201,_LEITURA!$N586))</f>
        <v/>
      </c>
      <c r="B586" s="11" t="str">
        <f aca="false">IF(_LEITURA!$N586="","",INDEX(_LEITURA!$E$2:$E$1201,_LEITURA!$N586))</f>
        <v/>
      </c>
      <c r="C586" s="11" t="str">
        <f aca="false">IF(_LEITURA!$N586="","",INDEX(_LEITURA!$J$2:$J$1201,_LEITURA!$N586))</f>
        <v/>
      </c>
      <c r="D586" s="16" t="str">
        <f aca="false">IF(_LEITURA!$N586="","",INDEX(_LEITURA!$G$2:$G$1201,_LEITURA!$N586))</f>
        <v/>
      </c>
      <c r="E586" s="16" t="str">
        <f aca="false">IF(B586="","",SUMIFS(INVENTÁRIO!$C$2:$C$801,INVENTÁRIO!$A$2:$A$801,B586))</f>
        <v/>
      </c>
      <c r="F586" s="16" t="str">
        <f aca="false">IF(B586="","",MAX(0,D586-E586))</f>
        <v/>
      </c>
      <c r="G586" s="16" t="str">
        <f aca="false">IF(B586="","",IF(COUNTIFS($B$2:$B$1201,B586,$A$2:$A$1201,"&lt;&gt;"&amp;A586)&gt;0,"Sim",""))</f>
        <v/>
      </c>
      <c r="H586" s="16" t="str">
        <f aca="false">IF(N(F586)&gt;0,MAX(H$1:H585)+1,"")</f>
        <v/>
      </c>
      <c r="I586" s="11" t="str">
        <f aca="false">IF(B586="","",IF(INDEX($C$2:$C$1201,MATCH(B586,$B$2:$B$1201,0))&lt;&gt;C586,"Nome diferente em outro deck — revisar",""))</f>
        <v/>
      </c>
      <c r="J586" s="16" t="str">
        <f aca="false">IF(AND(B586&lt;&gt;"",A586=BULK!$A$1,N(F586)&gt;0),MAX(J$1:J585)+1,"")</f>
        <v/>
      </c>
      <c r="K586" s="11" t="str">
        <f aca="false">IF(B586="","",IFERROR(LEFT(B586,FIND("-",B586)-1),B586))</f>
        <v/>
      </c>
      <c r="L586" s="11" t="str">
        <f aca="false">IF(K586="","",IF(ISNUMBER(--MID(K586,1,1)),0,IF(ISNUMBER(--MID(K586,2,1)),1,IF(ISNUMBER(--MID(K586,3,1)),2,IF(ISNUMBER(--MID(K586,4,1)),3,MIN(LEN(K586),4))))))</f>
        <v/>
      </c>
      <c r="M586" s="11" t="str">
        <f aca="false">IF(B586="","",LEFT(K586,L586)&amp;REPT("0",4-L586)&amp;RIGHT("000"&amp;IFERROR(VALUE(MID(K586,L586+1,9)),0),3)&amp;RIGHT("0000"&amp;IFERROR(VALUE(MID(B586,FIND("-",B586)+1,9)),0),4))</f>
        <v/>
      </c>
      <c r="N586" s="11" t="str">
        <f aca="false">IF(OR(B586="",N(F586)&lt;=0),"",IF('FALTAS POR DECK'!$P$1="Código","K"&amp;M586&amp;RIGHT("00000"&amp;ROW(),5),IF('FALTAS POR DECK'!$P$1="Nome","K"&amp;UPPER(SUBSTITUTE(SUBSTITUTE(SUBSTITUTE(C586,"*",""),"?",""),"~",""))&amp;"0"&amp;M586&amp;RIGHT("00000"&amp;ROW(),5),IF('FALTAS POR DECK'!$P$1="Falta (maior primeiro)","K"&amp;RIGHT("0000"&amp;(9999-F586),4)&amp;M586&amp;RIGHT("00000"&amp;ROW(),5),IF('FALTAS POR DECK'!$P$1="Deck e código","K"&amp;RIGHT("00"&amp;IFERROR(MATCH(A586,_LEITURA!$P$2:$P$21,0),99),2)&amp;M586&amp;RIGHT("00000"&amp;ROW(),5),"K"&amp;RIGHT("00000"&amp;ROW(),5))))))</f>
        <v/>
      </c>
      <c r="O586" s="16" t="str">
        <f aca="false">IF(N586="","",COUNTIFS($N$2:$N$1201,"&lt;"&amp;N586,$F$2:$F$1201,"&gt;0")+1)</f>
        <v/>
      </c>
    </row>
    <row r="587" customFormat="false" ht="15" hidden="false" customHeight="false" outlineLevel="0" collapsed="false">
      <c r="A587" s="11" t="str">
        <f aca="false">IF(_LEITURA!$N587="","",INDEX(_LEITURA!$K$2:$K$1201,_LEITURA!$N587))</f>
        <v/>
      </c>
      <c r="B587" s="11" t="str">
        <f aca="false">IF(_LEITURA!$N587="","",INDEX(_LEITURA!$E$2:$E$1201,_LEITURA!$N587))</f>
        <v/>
      </c>
      <c r="C587" s="11" t="str">
        <f aca="false">IF(_LEITURA!$N587="","",INDEX(_LEITURA!$J$2:$J$1201,_LEITURA!$N587))</f>
        <v/>
      </c>
      <c r="D587" s="16" t="str">
        <f aca="false">IF(_LEITURA!$N587="","",INDEX(_LEITURA!$G$2:$G$1201,_LEITURA!$N587))</f>
        <v/>
      </c>
      <c r="E587" s="16" t="str">
        <f aca="false">IF(B587="","",SUMIFS(INVENTÁRIO!$C$2:$C$801,INVENTÁRIO!$A$2:$A$801,B587))</f>
        <v/>
      </c>
      <c r="F587" s="16" t="str">
        <f aca="false">IF(B587="","",MAX(0,D587-E587))</f>
        <v/>
      </c>
      <c r="G587" s="16" t="str">
        <f aca="false">IF(B587="","",IF(COUNTIFS($B$2:$B$1201,B587,$A$2:$A$1201,"&lt;&gt;"&amp;A587)&gt;0,"Sim",""))</f>
        <v/>
      </c>
      <c r="H587" s="16" t="str">
        <f aca="false">IF(N(F587)&gt;0,MAX(H$1:H586)+1,"")</f>
        <v/>
      </c>
      <c r="I587" s="11" t="str">
        <f aca="false">IF(B587="","",IF(INDEX($C$2:$C$1201,MATCH(B587,$B$2:$B$1201,0))&lt;&gt;C587,"Nome diferente em outro deck — revisar",""))</f>
        <v/>
      </c>
      <c r="J587" s="16" t="str">
        <f aca="false">IF(AND(B587&lt;&gt;"",A587=BULK!$A$1,N(F587)&gt;0),MAX(J$1:J586)+1,"")</f>
        <v/>
      </c>
      <c r="K587" s="11" t="str">
        <f aca="false">IF(B587="","",IFERROR(LEFT(B587,FIND("-",B587)-1),B587))</f>
        <v/>
      </c>
      <c r="L587" s="11" t="str">
        <f aca="false">IF(K587="","",IF(ISNUMBER(--MID(K587,1,1)),0,IF(ISNUMBER(--MID(K587,2,1)),1,IF(ISNUMBER(--MID(K587,3,1)),2,IF(ISNUMBER(--MID(K587,4,1)),3,MIN(LEN(K587),4))))))</f>
        <v/>
      </c>
      <c r="M587" s="11" t="str">
        <f aca="false">IF(B587="","",LEFT(K587,L587)&amp;REPT("0",4-L587)&amp;RIGHT("000"&amp;IFERROR(VALUE(MID(K587,L587+1,9)),0),3)&amp;RIGHT("0000"&amp;IFERROR(VALUE(MID(B587,FIND("-",B587)+1,9)),0),4))</f>
        <v/>
      </c>
      <c r="N587" s="11" t="str">
        <f aca="false">IF(OR(B587="",N(F587)&lt;=0),"",IF('FALTAS POR DECK'!$P$1="Código","K"&amp;M587&amp;RIGHT("00000"&amp;ROW(),5),IF('FALTAS POR DECK'!$P$1="Nome","K"&amp;UPPER(SUBSTITUTE(SUBSTITUTE(SUBSTITUTE(C587,"*",""),"?",""),"~",""))&amp;"0"&amp;M587&amp;RIGHT("00000"&amp;ROW(),5),IF('FALTAS POR DECK'!$P$1="Falta (maior primeiro)","K"&amp;RIGHT("0000"&amp;(9999-F587),4)&amp;M587&amp;RIGHT("00000"&amp;ROW(),5),IF('FALTAS POR DECK'!$P$1="Deck e código","K"&amp;RIGHT("00"&amp;IFERROR(MATCH(A587,_LEITURA!$P$2:$P$21,0),99),2)&amp;M587&amp;RIGHT("00000"&amp;ROW(),5),"K"&amp;RIGHT("00000"&amp;ROW(),5))))))</f>
        <v/>
      </c>
      <c r="O587" s="16" t="str">
        <f aca="false">IF(N587="","",COUNTIFS($N$2:$N$1201,"&lt;"&amp;N587,$F$2:$F$1201,"&gt;0")+1)</f>
        <v/>
      </c>
    </row>
    <row r="588" customFormat="false" ht="15" hidden="false" customHeight="false" outlineLevel="0" collapsed="false">
      <c r="A588" s="11" t="str">
        <f aca="false">IF(_LEITURA!$N588="","",INDEX(_LEITURA!$K$2:$K$1201,_LEITURA!$N588))</f>
        <v/>
      </c>
      <c r="B588" s="11" t="str">
        <f aca="false">IF(_LEITURA!$N588="","",INDEX(_LEITURA!$E$2:$E$1201,_LEITURA!$N588))</f>
        <v/>
      </c>
      <c r="C588" s="11" t="str">
        <f aca="false">IF(_LEITURA!$N588="","",INDEX(_LEITURA!$J$2:$J$1201,_LEITURA!$N588))</f>
        <v/>
      </c>
      <c r="D588" s="16" t="str">
        <f aca="false">IF(_LEITURA!$N588="","",INDEX(_LEITURA!$G$2:$G$1201,_LEITURA!$N588))</f>
        <v/>
      </c>
      <c r="E588" s="16" t="str">
        <f aca="false">IF(B588="","",SUMIFS(INVENTÁRIO!$C$2:$C$801,INVENTÁRIO!$A$2:$A$801,B588))</f>
        <v/>
      </c>
      <c r="F588" s="16" t="str">
        <f aca="false">IF(B588="","",MAX(0,D588-E588))</f>
        <v/>
      </c>
      <c r="G588" s="16" t="str">
        <f aca="false">IF(B588="","",IF(COUNTIFS($B$2:$B$1201,B588,$A$2:$A$1201,"&lt;&gt;"&amp;A588)&gt;0,"Sim",""))</f>
        <v/>
      </c>
      <c r="H588" s="16" t="str">
        <f aca="false">IF(N(F588)&gt;0,MAX(H$1:H587)+1,"")</f>
        <v/>
      </c>
      <c r="I588" s="11" t="str">
        <f aca="false">IF(B588="","",IF(INDEX($C$2:$C$1201,MATCH(B588,$B$2:$B$1201,0))&lt;&gt;C588,"Nome diferente em outro deck — revisar",""))</f>
        <v/>
      </c>
      <c r="J588" s="16" t="str">
        <f aca="false">IF(AND(B588&lt;&gt;"",A588=BULK!$A$1,N(F588)&gt;0),MAX(J$1:J587)+1,"")</f>
        <v/>
      </c>
      <c r="K588" s="11" t="str">
        <f aca="false">IF(B588="","",IFERROR(LEFT(B588,FIND("-",B588)-1),B588))</f>
        <v/>
      </c>
      <c r="L588" s="11" t="str">
        <f aca="false">IF(K588="","",IF(ISNUMBER(--MID(K588,1,1)),0,IF(ISNUMBER(--MID(K588,2,1)),1,IF(ISNUMBER(--MID(K588,3,1)),2,IF(ISNUMBER(--MID(K588,4,1)),3,MIN(LEN(K588),4))))))</f>
        <v/>
      </c>
      <c r="M588" s="11" t="str">
        <f aca="false">IF(B588="","",LEFT(K588,L588)&amp;REPT("0",4-L588)&amp;RIGHT("000"&amp;IFERROR(VALUE(MID(K588,L588+1,9)),0),3)&amp;RIGHT("0000"&amp;IFERROR(VALUE(MID(B588,FIND("-",B588)+1,9)),0),4))</f>
        <v/>
      </c>
      <c r="N588" s="11" t="str">
        <f aca="false">IF(OR(B588="",N(F588)&lt;=0),"",IF('FALTAS POR DECK'!$P$1="Código","K"&amp;M588&amp;RIGHT("00000"&amp;ROW(),5),IF('FALTAS POR DECK'!$P$1="Nome","K"&amp;UPPER(SUBSTITUTE(SUBSTITUTE(SUBSTITUTE(C588,"*",""),"?",""),"~",""))&amp;"0"&amp;M588&amp;RIGHT("00000"&amp;ROW(),5),IF('FALTAS POR DECK'!$P$1="Falta (maior primeiro)","K"&amp;RIGHT("0000"&amp;(9999-F588),4)&amp;M588&amp;RIGHT("00000"&amp;ROW(),5),IF('FALTAS POR DECK'!$P$1="Deck e código","K"&amp;RIGHT("00"&amp;IFERROR(MATCH(A588,_LEITURA!$P$2:$P$21,0),99),2)&amp;M588&amp;RIGHT("00000"&amp;ROW(),5),"K"&amp;RIGHT("00000"&amp;ROW(),5))))))</f>
        <v/>
      </c>
      <c r="O588" s="16" t="str">
        <f aca="false">IF(N588="","",COUNTIFS($N$2:$N$1201,"&lt;"&amp;N588,$F$2:$F$1201,"&gt;0")+1)</f>
        <v/>
      </c>
    </row>
    <row r="589" customFormat="false" ht="15" hidden="false" customHeight="false" outlineLevel="0" collapsed="false">
      <c r="A589" s="11" t="str">
        <f aca="false">IF(_LEITURA!$N589="","",INDEX(_LEITURA!$K$2:$K$1201,_LEITURA!$N589))</f>
        <v/>
      </c>
      <c r="B589" s="11" t="str">
        <f aca="false">IF(_LEITURA!$N589="","",INDEX(_LEITURA!$E$2:$E$1201,_LEITURA!$N589))</f>
        <v/>
      </c>
      <c r="C589" s="11" t="str">
        <f aca="false">IF(_LEITURA!$N589="","",INDEX(_LEITURA!$J$2:$J$1201,_LEITURA!$N589))</f>
        <v/>
      </c>
      <c r="D589" s="16" t="str">
        <f aca="false">IF(_LEITURA!$N589="","",INDEX(_LEITURA!$G$2:$G$1201,_LEITURA!$N589))</f>
        <v/>
      </c>
      <c r="E589" s="16" t="str">
        <f aca="false">IF(B589="","",SUMIFS(INVENTÁRIO!$C$2:$C$801,INVENTÁRIO!$A$2:$A$801,B589))</f>
        <v/>
      </c>
      <c r="F589" s="16" t="str">
        <f aca="false">IF(B589="","",MAX(0,D589-E589))</f>
        <v/>
      </c>
      <c r="G589" s="16" t="str">
        <f aca="false">IF(B589="","",IF(COUNTIFS($B$2:$B$1201,B589,$A$2:$A$1201,"&lt;&gt;"&amp;A589)&gt;0,"Sim",""))</f>
        <v/>
      </c>
      <c r="H589" s="16" t="str">
        <f aca="false">IF(N(F589)&gt;0,MAX(H$1:H588)+1,"")</f>
        <v/>
      </c>
      <c r="I589" s="11" t="str">
        <f aca="false">IF(B589="","",IF(INDEX($C$2:$C$1201,MATCH(B589,$B$2:$B$1201,0))&lt;&gt;C589,"Nome diferente em outro deck — revisar",""))</f>
        <v/>
      </c>
      <c r="J589" s="16" t="str">
        <f aca="false">IF(AND(B589&lt;&gt;"",A589=BULK!$A$1,N(F589)&gt;0),MAX(J$1:J588)+1,"")</f>
        <v/>
      </c>
      <c r="K589" s="11" t="str">
        <f aca="false">IF(B589="","",IFERROR(LEFT(B589,FIND("-",B589)-1),B589))</f>
        <v/>
      </c>
      <c r="L589" s="11" t="str">
        <f aca="false">IF(K589="","",IF(ISNUMBER(--MID(K589,1,1)),0,IF(ISNUMBER(--MID(K589,2,1)),1,IF(ISNUMBER(--MID(K589,3,1)),2,IF(ISNUMBER(--MID(K589,4,1)),3,MIN(LEN(K589),4))))))</f>
        <v/>
      </c>
      <c r="M589" s="11" t="str">
        <f aca="false">IF(B589="","",LEFT(K589,L589)&amp;REPT("0",4-L589)&amp;RIGHT("000"&amp;IFERROR(VALUE(MID(K589,L589+1,9)),0),3)&amp;RIGHT("0000"&amp;IFERROR(VALUE(MID(B589,FIND("-",B589)+1,9)),0),4))</f>
        <v/>
      </c>
      <c r="N589" s="11" t="str">
        <f aca="false">IF(OR(B589="",N(F589)&lt;=0),"",IF('FALTAS POR DECK'!$P$1="Código","K"&amp;M589&amp;RIGHT("00000"&amp;ROW(),5),IF('FALTAS POR DECK'!$P$1="Nome","K"&amp;UPPER(SUBSTITUTE(SUBSTITUTE(SUBSTITUTE(C589,"*",""),"?",""),"~",""))&amp;"0"&amp;M589&amp;RIGHT("00000"&amp;ROW(),5),IF('FALTAS POR DECK'!$P$1="Falta (maior primeiro)","K"&amp;RIGHT("0000"&amp;(9999-F589),4)&amp;M589&amp;RIGHT("00000"&amp;ROW(),5),IF('FALTAS POR DECK'!$P$1="Deck e código","K"&amp;RIGHT("00"&amp;IFERROR(MATCH(A589,_LEITURA!$P$2:$P$21,0),99),2)&amp;M589&amp;RIGHT("00000"&amp;ROW(),5),"K"&amp;RIGHT("00000"&amp;ROW(),5))))))</f>
        <v/>
      </c>
      <c r="O589" s="16" t="str">
        <f aca="false">IF(N589="","",COUNTIFS($N$2:$N$1201,"&lt;"&amp;N589,$F$2:$F$1201,"&gt;0")+1)</f>
        <v/>
      </c>
    </row>
    <row r="590" customFormat="false" ht="15" hidden="false" customHeight="false" outlineLevel="0" collapsed="false">
      <c r="A590" s="11" t="str">
        <f aca="false">IF(_LEITURA!$N590="","",INDEX(_LEITURA!$K$2:$K$1201,_LEITURA!$N590))</f>
        <v/>
      </c>
      <c r="B590" s="11" t="str">
        <f aca="false">IF(_LEITURA!$N590="","",INDEX(_LEITURA!$E$2:$E$1201,_LEITURA!$N590))</f>
        <v/>
      </c>
      <c r="C590" s="11" t="str">
        <f aca="false">IF(_LEITURA!$N590="","",INDEX(_LEITURA!$J$2:$J$1201,_LEITURA!$N590))</f>
        <v/>
      </c>
      <c r="D590" s="16" t="str">
        <f aca="false">IF(_LEITURA!$N590="","",INDEX(_LEITURA!$G$2:$G$1201,_LEITURA!$N590))</f>
        <v/>
      </c>
      <c r="E590" s="16" t="str">
        <f aca="false">IF(B590="","",SUMIFS(INVENTÁRIO!$C$2:$C$801,INVENTÁRIO!$A$2:$A$801,B590))</f>
        <v/>
      </c>
      <c r="F590" s="16" t="str">
        <f aca="false">IF(B590="","",MAX(0,D590-E590))</f>
        <v/>
      </c>
      <c r="G590" s="16" t="str">
        <f aca="false">IF(B590="","",IF(COUNTIFS($B$2:$B$1201,B590,$A$2:$A$1201,"&lt;&gt;"&amp;A590)&gt;0,"Sim",""))</f>
        <v/>
      </c>
      <c r="H590" s="16" t="str">
        <f aca="false">IF(N(F590)&gt;0,MAX(H$1:H589)+1,"")</f>
        <v/>
      </c>
      <c r="I590" s="11" t="str">
        <f aca="false">IF(B590="","",IF(INDEX($C$2:$C$1201,MATCH(B590,$B$2:$B$1201,0))&lt;&gt;C590,"Nome diferente em outro deck — revisar",""))</f>
        <v/>
      </c>
      <c r="J590" s="16" t="str">
        <f aca="false">IF(AND(B590&lt;&gt;"",A590=BULK!$A$1,N(F590)&gt;0),MAX(J$1:J589)+1,"")</f>
        <v/>
      </c>
      <c r="K590" s="11" t="str">
        <f aca="false">IF(B590="","",IFERROR(LEFT(B590,FIND("-",B590)-1),B590))</f>
        <v/>
      </c>
      <c r="L590" s="11" t="str">
        <f aca="false">IF(K590="","",IF(ISNUMBER(--MID(K590,1,1)),0,IF(ISNUMBER(--MID(K590,2,1)),1,IF(ISNUMBER(--MID(K590,3,1)),2,IF(ISNUMBER(--MID(K590,4,1)),3,MIN(LEN(K590),4))))))</f>
        <v/>
      </c>
      <c r="M590" s="11" t="str">
        <f aca="false">IF(B590="","",LEFT(K590,L590)&amp;REPT("0",4-L590)&amp;RIGHT("000"&amp;IFERROR(VALUE(MID(K590,L590+1,9)),0),3)&amp;RIGHT("0000"&amp;IFERROR(VALUE(MID(B590,FIND("-",B590)+1,9)),0),4))</f>
        <v/>
      </c>
      <c r="N590" s="11" t="str">
        <f aca="false">IF(OR(B590="",N(F590)&lt;=0),"",IF('FALTAS POR DECK'!$P$1="Código","K"&amp;M590&amp;RIGHT("00000"&amp;ROW(),5),IF('FALTAS POR DECK'!$P$1="Nome","K"&amp;UPPER(SUBSTITUTE(SUBSTITUTE(SUBSTITUTE(C590,"*",""),"?",""),"~",""))&amp;"0"&amp;M590&amp;RIGHT("00000"&amp;ROW(),5),IF('FALTAS POR DECK'!$P$1="Falta (maior primeiro)","K"&amp;RIGHT("0000"&amp;(9999-F590),4)&amp;M590&amp;RIGHT("00000"&amp;ROW(),5),IF('FALTAS POR DECK'!$P$1="Deck e código","K"&amp;RIGHT("00"&amp;IFERROR(MATCH(A590,_LEITURA!$P$2:$P$21,0),99),2)&amp;M590&amp;RIGHT("00000"&amp;ROW(),5),"K"&amp;RIGHT("00000"&amp;ROW(),5))))))</f>
        <v/>
      </c>
      <c r="O590" s="16" t="str">
        <f aca="false">IF(N590="","",COUNTIFS($N$2:$N$1201,"&lt;"&amp;N590,$F$2:$F$1201,"&gt;0")+1)</f>
        <v/>
      </c>
    </row>
    <row r="591" customFormat="false" ht="15" hidden="false" customHeight="false" outlineLevel="0" collapsed="false">
      <c r="A591" s="11" t="str">
        <f aca="false">IF(_LEITURA!$N591="","",INDEX(_LEITURA!$K$2:$K$1201,_LEITURA!$N591))</f>
        <v/>
      </c>
      <c r="B591" s="11" t="str">
        <f aca="false">IF(_LEITURA!$N591="","",INDEX(_LEITURA!$E$2:$E$1201,_LEITURA!$N591))</f>
        <v/>
      </c>
      <c r="C591" s="11" t="str">
        <f aca="false">IF(_LEITURA!$N591="","",INDEX(_LEITURA!$J$2:$J$1201,_LEITURA!$N591))</f>
        <v/>
      </c>
      <c r="D591" s="16" t="str">
        <f aca="false">IF(_LEITURA!$N591="","",INDEX(_LEITURA!$G$2:$G$1201,_LEITURA!$N591))</f>
        <v/>
      </c>
      <c r="E591" s="16" t="str">
        <f aca="false">IF(B591="","",SUMIFS(INVENTÁRIO!$C$2:$C$801,INVENTÁRIO!$A$2:$A$801,B591))</f>
        <v/>
      </c>
      <c r="F591" s="16" t="str">
        <f aca="false">IF(B591="","",MAX(0,D591-E591))</f>
        <v/>
      </c>
      <c r="G591" s="16" t="str">
        <f aca="false">IF(B591="","",IF(COUNTIFS($B$2:$B$1201,B591,$A$2:$A$1201,"&lt;&gt;"&amp;A591)&gt;0,"Sim",""))</f>
        <v/>
      </c>
      <c r="H591" s="16" t="str">
        <f aca="false">IF(N(F591)&gt;0,MAX(H$1:H590)+1,"")</f>
        <v/>
      </c>
      <c r="I591" s="11" t="str">
        <f aca="false">IF(B591="","",IF(INDEX($C$2:$C$1201,MATCH(B591,$B$2:$B$1201,0))&lt;&gt;C591,"Nome diferente em outro deck — revisar",""))</f>
        <v/>
      </c>
      <c r="J591" s="16" t="str">
        <f aca="false">IF(AND(B591&lt;&gt;"",A591=BULK!$A$1,N(F591)&gt;0),MAX(J$1:J590)+1,"")</f>
        <v/>
      </c>
      <c r="K591" s="11" t="str">
        <f aca="false">IF(B591="","",IFERROR(LEFT(B591,FIND("-",B591)-1),B591))</f>
        <v/>
      </c>
      <c r="L591" s="11" t="str">
        <f aca="false">IF(K591="","",IF(ISNUMBER(--MID(K591,1,1)),0,IF(ISNUMBER(--MID(K591,2,1)),1,IF(ISNUMBER(--MID(K591,3,1)),2,IF(ISNUMBER(--MID(K591,4,1)),3,MIN(LEN(K591),4))))))</f>
        <v/>
      </c>
      <c r="M591" s="11" t="str">
        <f aca="false">IF(B591="","",LEFT(K591,L591)&amp;REPT("0",4-L591)&amp;RIGHT("000"&amp;IFERROR(VALUE(MID(K591,L591+1,9)),0),3)&amp;RIGHT("0000"&amp;IFERROR(VALUE(MID(B591,FIND("-",B591)+1,9)),0),4))</f>
        <v/>
      </c>
      <c r="N591" s="11" t="str">
        <f aca="false">IF(OR(B591="",N(F591)&lt;=0),"",IF('FALTAS POR DECK'!$P$1="Código","K"&amp;M591&amp;RIGHT("00000"&amp;ROW(),5),IF('FALTAS POR DECK'!$P$1="Nome","K"&amp;UPPER(SUBSTITUTE(SUBSTITUTE(SUBSTITUTE(C591,"*",""),"?",""),"~",""))&amp;"0"&amp;M591&amp;RIGHT("00000"&amp;ROW(),5),IF('FALTAS POR DECK'!$P$1="Falta (maior primeiro)","K"&amp;RIGHT("0000"&amp;(9999-F591),4)&amp;M591&amp;RIGHT("00000"&amp;ROW(),5),IF('FALTAS POR DECK'!$P$1="Deck e código","K"&amp;RIGHT("00"&amp;IFERROR(MATCH(A591,_LEITURA!$P$2:$P$21,0),99),2)&amp;M591&amp;RIGHT("00000"&amp;ROW(),5),"K"&amp;RIGHT("00000"&amp;ROW(),5))))))</f>
        <v/>
      </c>
      <c r="O591" s="16" t="str">
        <f aca="false">IF(N591="","",COUNTIFS($N$2:$N$1201,"&lt;"&amp;N591,$F$2:$F$1201,"&gt;0")+1)</f>
        <v/>
      </c>
    </row>
    <row r="592" customFormat="false" ht="15" hidden="false" customHeight="false" outlineLevel="0" collapsed="false">
      <c r="A592" s="11" t="str">
        <f aca="false">IF(_LEITURA!$N592="","",INDEX(_LEITURA!$K$2:$K$1201,_LEITURA!$N592))</f>
        <v/>
      </c>
      <c r="B592" s="11" t="str">
        <f aca="false">IF(_LEITURA!$N592="","",INDEX(_LEITURA!$E$2:$E$1201,_LEITURA!$N592))</f>
        <v/>
      </c>
      <c r="C592" s="11" t="str">
        <f aca="false">IF(_LEITURA!$N592="","",INDEX(_LEITURA!$J$2:$J$1201,_LEITURA!$N592))</f>
        <v/>
      </c>
      <c r="D592" s="16" t="str">
        <f aca="false">IF(_LEITURA!$N592="","",INDEX(_LEITURA!$G$2:$G$1201,_LEITURA!$N592))</f>
        <v/>
      </c>
      <c r="E592" s="16" t="str">
        <f aca="false">IF(B592="","",SUMIFS(INVENTÁRIO!$C$2:$C$801,INVENTÁRIO!$A$2:$A$801,B592))</f>
        <v/>
      </c>
      <c r="F592" s="16" t="str">
        <f aca="false">IF(B592="","",MAX(0,D592-E592))</f>
        <v/>
      </c>
      <c r="G592" s="16" t="str">
        <f aca="false">IF(B592="","",IF(COUNTIFS($B$2:$B$1201,B592,$A$2:$A$1201,"&lt;&gt;"&amp;A592)&gt;0,"Sim",""))</f>
        <v/>
      </c>
      <c r="H592" s="16" t="str">
        <f aca="false">IF(N(F592)&gt;0,MAX(H$1:H591)+1,"")</f>
        <v/>
      </c>
      <c r="I592" s="11" t="str">
        <f aca="false">IF(B592="","",IF(INDEX($C$2:$C$1201,MATCH(B592,$B$2:$B$1201,0))&lt;&gt;C592,"Nome diferente em outro deck — revisar",""))</f>
        <v/>
      </c>
      <c r="J592" s="16" t="str">
        <f aca="false">IF(AND(B592&lt;&gt;"",A592=BULK!$A$1,N(F592)&gt;0),MAX(J$1:J591)+1,"")</f>
        <v/>
      </c>
      <c r="K592" s="11" t="str">
        <f aca="false">IF(B592="","",IFERROR(LEFT(B592,FIND("-",B592)-1),B592))</f>
        <v/>
      </c>
      <c r="L592" s="11" t="str">
        <f aca="false">IF(K592="","",IF(ISNUMBER(--MID(K592,1,1)),0,IF(ISNUMBER(--MID(K592,2,1)),1,IF(ISNUMBER(--MID(K592,3,1)),2,IF(ISNUMBER(--MID(K592,4,1)),3,MIN(LEN(K592),4))))))</f>
        <v/>
      </c>
      <c r="M592" s="11" t="str">
        <f aca="false">IF(B592="","",LEFT(K592,L592)&amp;REPT("0",4-L592)&amp;RIGHT("000"&amp;IFERROR(VALUE(MID(K592,L592+1,9)),0),3)&amp;RIGHT("0000"&amp;IFERROR(VALUE(MID(B592,FIND("-",B592)+1,9)),0),4))</f>
        <v/>
      </c>
      <c r="N592" s="11" t="str">
        <f aca="false">IF(OR(B592="",N(F592)&lt;=0),"",IF('FALTAS POR DECK'!$P$1="Código","K"&amp;M592&amp;RIGHT("00000"&amp;ROW(),5),IF('FALTAS POR DECK'!$P$1="Nome","K"&amp;UPPER(SUBSTITUTE(SUBSTITUTE(SUBSTITUTE(C592,"*",""),"?",""),"~",""))&amp;"0"&amp;M592&amp;RIGHT("00000"&amp;ROW(),5),IF('FALTAS POR DECK'!$P$1="Falta (maior primeiro)","K"&amp;RIGHT("0000"&amp;(9999-F592),4)&amp;M592&amp;RIGHT("00000"&amp;ROW(),5),IF('FALTAS POR DECK'!$P$1="Deck e código","K"&amp;RIGHT("00"&amp;IFERROR(MATCH(A592,_LEITURA!$P$2:$P$21,0),99),2)&amp;M592&amp;RIGHT("00000"&amp;ROW(),5),"K"&amp;RIGHT("00000"&amp;ROW(),5))))))</f>
        <v/>
      </c>
      <c r="O592" s="16" t="str">
        <f aca="false">IF(N592="","",COUNTIFS($N$2:$N$1201,"&lt;"&amp;N592,$F$2:$F$1201,"&gt;0")+1)</f>
        <v/>
      </c>
    </row>
    <row r="593" customFormat="false" ht="15" hidden="false" customHeight="false" outlineLevel="0" collapsed="false">
      <c r="A593" s="11" t="str">
        <f aca="false">IF(_LEITURA!$N593="","",INDEX(_LEITURA!$K$2:$K$1201,_LEITURA!$N593))</f>
        <v/>
      </c>
      <c r="B593" s="11" t="str">
        <f aca="false">IF(_LEITURA!$N593="","",INDEX(_LEITURA!$E$2:$E$1201,_LEITURA!$N593))</f>
        <v/>
      </c>
      <c r="C593" s="11" t="str">
        <f aca="false">IF(_LEITURA!$N593="","",INDEX(_LEITURA!$J$2:$J$1201,_LEITURA!$N593))</f>
        <v/>
      </c>
      <c r="D593" s="16" t="str">
        <f aca="false">IF(_LEITURA!$N593="","",INDEX(_LEITURA!$G$2:$G$1201,_LEITURA!$N593))</f>
        <v/>
      </c>
      <c r="E593" s="16" t="str">
        <f aca="false">IF(B593="","",SUMIFS(INVENTÁRIO!$C$2:$C$801,INVENTÁRIO!$A$2:$A$801,B593))</f>
        <v/>
      </c>
      <c r="F593" s="16" t="str">
        <f aca="false">IF(B593="","",MAX(0,D593-E593))</f>
        <v/>
      </c>
      <c r="G593" s="16" t="str">
        <f aca="false">IF(B593="","",IF(COUNTIFS($B$2:$B$1201,B593,$A$2:$A$1201,"&lt;&gt;"&amp;A593)&gt;0,"Sim",""))</f>
        <v/>
      </c>
      <c r="H593" s="16" t="str">
        <f aca="false">IF(N(F593)&gt;0,MAX(H$1:H592)+1,"")</f>
        <v/>
      </c>
      <c r="I593" s="11" t="str">
        <f aca="false">IF(B593="","",IF(INDEX($C$2:$C$1201,MATCH(B593,$B$2:$B$1201,0))&lt;&gt;C593,"Nome diferente em outro deck — revisar",""))</f>
        <v/>
      </c>
      <c r="J593" s="16" t="str">
        <f aca="false">IF(AND(B593&lt;&gt;"",A593=BULK!$A$1,N(F593)&gt;0),MAX(J$1:J592)+1,"")</f>
        <v/>
      </c>
      <c r="K593" s="11" t="str">
        <f aca="false">IF(B593="","",IFERROR(LEFT(B593,FIND("-",B593)-1),B593))</f>
        <v/>
      </c>
      <c r="L593" s="11" t="str">
        <f aca="false">IF(K593="","",IF(ISNUMBER(--MID(K593,1,1)),0,IF(ISNUMBER(--MID(K593,2,1)),1,IF(ISNUMBER(--MID(K593,3,1)),2,IF(ISNUMBER(--MID(K593,4,1)),3,MIN(LEN(K593),4))))))</f>
        <v/>
      </c>
      <c r="M593" s="11" t="str">
        <f aca="false">IF(B593="","",LEFT(K593,L593)&amp;REPT("0",4-L593)&amp;RIGHT("000"&amp;IFERROR(VALUE(MID(K593,L593+1,9)),0),3)&amp;RIGHT("0000"&amp;IFERROR(VALUE(MID(B593,FIND("-",B593)+1,9)),0),4))</f>
        <v/>
      </c>
      <c r="N593" s="11" t="str">
        <f aca="false">IF(OR(B593="",N(F593)&lt;=0),"",IF('FALTAS POR DECK'!$P$1="Código","K"&amp;M593&amp;RIGHT("00000"&amp;ROW(),5),IF('FALTAS POR DECK'!$P$1="Nome","K"&amp;UPPER(SUBSTITUTE(SUBSTITUTE(SUBSTITUTE(C593,"*",""),"?",""),"~",""))&amp;"0"&amp;M593&amp;RIGHT("00000"&amp;ROW(),5),IF('FALTAS POR DECK'!$P$1="Falta (maior primeiro)","K"&amp;RIGHT("0000"&amp;(9999-F593),4)&amp;M593&amp;RIGHT("00000"&amp;ROW(),5),IF('FALTAS POR DECK'!$P$1="Deck e código","K"&amp;RIGHT("00"&amp;IFERROR(MATCH(A593,_LEITURA!$P$2:$P$21,0),99),2)&amp;M593&amp;RIGHT("00000"&amp;ROW(),5),"K"&amp;RIGHT("00000"&amp;ROW(),5))))))</f>
        <v/>
      </c>
      <c r="O593" s="16" t="str">
        <f aca="false">IF(N593="","",COUNTIFS($N$2:$N$1201,"&lt;"&amp;N593,$F$2:$F$1201,"&gt;0")+1)</f>
        <v/>
      </c>
    </row>
    <row r="594" customFormat="false" ht="15" hidden="false" customHeight="false" outlineLevel="0" collapsed="false">
      <c r="A594" s="11" t="str">
        <f aca="false">IF(_LEITURA!$N594="","",INDEX(_LEITURA!$K$2:$K$1201,_LEITURA!$N594))</f>
        <v/>
      </c>
      <c r="B594" s="11" t="str">
        <f aca="false">IF(_LEITURA!$N594="","",INDEX(_LEITURA!$E$2:$E$1201,_LEITURA!$N594))</f>
        <v/>
      </c>
      <c r="C594" s="11" t="str">
        <f aca="false">IF(_LEITURA!$N594="","",INDEX(_LEITURA!$J$2:$J$1201,_LEITURA!$N594))</f>
        <v/>
      </c>
      <c r="D594" s="16" t="str">
        <f aca="false">IF(_LEITURA!$N594="","",INDEX(_LEITURA!$G$2:$G$1201,_LEITURA!$N594))</f>
        <v/>
      </c>
      <c r="E594" s="16" t="str">
        <f aca="false">IF(B594="","",SUMIFS(INVENTÁRIO!$C$2:$C$801,INVENTÁRIO!$A$2:$A$801,B594))</f>
        <v/>
      </c>
      <c r="F594" s="16" t="str">
        <f aca="false">IF(B594="","",MAX(0,D594-E594))</f>
        <v/>
      </c>
      <c r="G594" s="16" t="str">
        <f aca="false">IF(B594="","",IF(COUNTIFS($B$2:$B$1201,B594,$A$2:$A$1201,"&lt;&gt;"&amp;A594)&gt;0,"Sim",""))</f>
        <v/>
      </c>
      <c r="H594" s="16" t="str">
        <f aca="false">IF(N(F594)&gt;0,MAX(H$1:H593)+1,"")</f>
        <v/>
      </c>
      <c r="I594" s="11" t="str">
        <f aca="false">IF(B594="","",IF(INDEX($C$2:$C$1201,MATCH(B594,$B$2:$B$1201,0))&lt;&gt;C594,"Nome diferente em outro deck — revisar",""))</f>
        <v/>
      </c>
      <c r="J594" s="16" t="str">
        <f aca="false">IF(AND(B594&lt;&gt;"",A594=BULK!$A$1,N(F594)&gt;0),MAX(J$1:J593)+1,"")</f>
        <v/>
      </c>
      <c r="K594" s="11" t="str">
        <f aca="false">IF(B594="","",IFERROR(LEFT(B594,FIND("-",B594)-1),B594))</f>
        <v/>
      </c>
      <c r="L594" s="11" t="str">
        <f aca="false">IF(K594="","",IF(ISNUMBER(--MID(K594,1,1)),0,IF(ISNUMBER(--MID(K594,2,1)),1,IF(ISNUMBER(--MID(K594,3,1)),2,IF(ISNUMBER(--MID(K594,4,1)),3,MIN(LEN(K594),4))))))</f>
        <v/>
      </c>
      <c r="M594" s="11" t="str">
        <f aca="false">IF(B594="","",LEFT(K594,L594)&amp;REPT("0",4-L594)&amp;RIGHT("000"&amp;IFERROR(VALUE(MID(K594,L594+1,9)),0),3)&amp;RIGHT("0000"&amp;IFERROR(VALUE(MID(B594,FIND("-",B594)+1,9)),0),4))</f>
        <v/>
      </c>
      <c r="N594" s="11" t="str">
        <f aca="false">IF(OR(B594="",N(F594)&lt;=0),"",IF('FALTAS POR DECK'!$P$1="Código","K"&amp;M594&amp;RIGHT("00000"&amp;ROW(),5),IF('FALTAS POR DECK'!$P$1="Nome","K"&amp;UPPER(SUBSTITUTE(SUBSTITUTE(SUBSTITUTE(C594,"*",""),"?",""),"~",""))&amp;"0"&amp;M594&amp;RIGHT("00000"&amp;ROW(),5),IF('FALTAS POR DECK'!$P$1="Falta (maior primeiro)","K"&amp;RIGHT("0000"&amp;(9999-F594),4)&amp;M594&amp;RIGHT("00000"&amp;ROW(),5),IF('FALTAS POR DECK'!$P$1="Deck e código","K"&amp;RIGHT("00"&amp;IFERROR(MATCH(A594,_LEITURA!$P$2:$P$21,0),99),2)&amp;M594&amp;RIGHT("00000"&amp;ROW(),5),"K"&amp;RIGHT("00000"&amp;ROW(),5))))))</f>
        <v/>
      </c>
      <c r="O594" s="16" t="str">
        <f aca="false">IF(N594="","",COUNTIFS($N$2:$N$1201,"&lt;"&amp;N594,$F$2:$F$1201,"&gt;0")+1)</f>
        <v/>
      </c>
    </row>
    <row r="595" customFormat="false" ht="15" hidden="false" customHeight="false" outlineLevel="0" collapsed="false">
      <c r="A595" s="11" t="str">
        <f aca="false">IF(_LEITURA!$N595="","",INDEX(_LEITURA!$K$2:$K$1201,_LEITURA!$N595))</f>
        <v/>
      </c>
      <c r="B595" s="11" t="str">
        <f aca="false">IF(_LEITURA!$N595="","",INDEX(_LEITURA!$E$2:$E$1201,_LEITURA!$N595))</f>
        <v/>
      </c>
      <c r="C595" s="11" t="str">
        <f aca="false">IF(_LEITURA!$N595="","",INDEX(_LEITURA!$J$2:$J$1201,_LEITURA!$N595))</f>
        <v/>
      </c>
      <c r="D595" s="16" t="str">
        <f aca="false">IF(_LEITURA!$N595="","",INDEX(_LEITURA!$G$2:$G$1201,_LEITURA!$N595))</f>
        <v/>
      </c>
      <c r="E595" s="16" t="str">
        <f aca="false">IF(B595="","",SUMIFS(INVENTÁRIO!$C$2:$C$801,INVENTÁRIO!$A$2:$A$801,B595))</f>
        <v/>
      </c>
      <c r="F595" s="16" t="str">
        <f aca="false">IF(B595="","",MAX(0,D595-E595))</f>
        <v/>
      </c>
      <c r="G595" s="16" t="str">
        <f aca="false">IF(B595="","",IF(COUNTIFS($B$2:$B$1201,B595,$A$2:$A$1201,"&lt;&gt;"&amp;A595)&gt;0,"Sim",""))</f>
        <v/>
      </c>
      <c r="H595" s="16" t="str">
        <f aca="false">IF(N(F595)&gt;0,MAX(H$1:H594)+1,"")</f>
        <v/>
      </c>
      <c r="I595" s="11" t="str">
        <f aca="false">IF(B595="","",IF(INDEX($C$2:$C$1201,MATCH(B595,$B$2:$B$1201,0))&lt;&gt;C595,"Nome diferente em outro deck — revisar",""))</f>
        <v/>
      </c>
      <c r="J595" s="16" t="str">
        <f aca="false">IF(AND(B595&lt;&gt;"",A595=BULK!$A$1,N(F595)&gt;0),MAX(J$1:J594)+1,"")</f>
        <v/>
      </c>
      <c r="K595" s="11" t="str">
        <f aca="false">IF(B595="","",IFERROR(LEFT(B595,FIND("-",B595)-1),B595))</f>
        <v/>
      </c>
      <c r="L595" s="11" t="str">
        <f aca="false">IF(K595="","",IF(ISNUMBER(--MID(K595,1,1)),0,IF(ISNUMBER(--MID(K595,2,1)),1,IF(ISNUMBER(--MID(K595,3,1)),2,IF(ISNUMBER(--MID(K595,4,1)),3,MIN(LEN(K595),4))))))</f>
        <v/>
      </c>
      <c r="M595" s="11" t="str">
        <f aca="false">IF(B595="","",LEFT(K595,L595)&amp;REPT("0",4-L595)&amp;RIGHT("000"&amp;IFERROR(VALUE(MID(K595,L595+1,9)),0),3)&amp;RIGHT("0000"&amp;IFERROR(VALUE(MID(B595,FIND("-",B595)+1,9)),0),4))</f>
        <v/>
      </c>
      <c r="N595" s="11" t="str">
        <f aca="false">IF(OR(B595="",N(F595)&lt;=0),"",IF('FALTAS POR DECK'!$P$1="Código","K"&amp;M595&amp;RIGHT("00000"&amp;ROW(),5),IF('FALTAS POR DECK'!$P$1="Nome","K"&amp;UPPER(SUBSTITUTE(SUBSTITUTE(SUBSTITUTE(C595,"*",""),"?",""),"~",""))&amp;"0"&amp;M595&amp;RIGHT("00000"&amp;ROW(),5),IF('FALTAS POR DECK'!$P$1="Falta (maior primeiro)","K"&amp;RIGHT("0000"&amp;(9999-F595),4)&amp;M595&amp;RIGHT("00000"&amp;ROW(),5),IF('FALTAS POR DECK'!$P$1="Deck e código","K"&amp;RIGHT("00"&amp;IFERROR(MATCH(A595,_LEITURA!$P$2:$P$21,0),99),2)&amp;M595&amp;RIGHT("00000"&amp;ROW(),5),"K"&amp;RIGHT("00000"&amp;ROW(),5))))))</f>
        <v/>
      </c>
      <c r="O595" s="16" t="str">
        <f aca="false">IF(N595="","",COUNTIFS($N$2:$N$1201,"&lt;"&amp;N595,$F$2:$F$1201,"&gt;0")+1)</f>
        <v/>
      </c>
    </row>
    <row r="596" customFormat="false" ht="15" hidden="false" customHeight="false" outlineLevel="0" collapsed="false">
      <c r="A596" s="11" t="str">
        <f aca="false">IF(_LEITURA!$N596="","",INDEX(_LEITURA!$K$2:$K$1201,_LEITURA!$N596))</f>
        <v/>
      </c>
      <c r="B596" s="11" t="str">
        <f aca="false">IF(_LEITURA!$N596="","",INDEX(_LEITURA!$E$2:$E$1201,_LEITURA!$N596))</f>
        <v/>
      </c>
      <c r="C596" s="11" t="str">
        <f aca="false">IF(_LEITURA!$N596="","",INDEX(_LEITURA!$J$2:$J$1201,_LEITURA!$N596))</f>
        <v/>
      </c>
      <c r="D596" s="16" t="str">
        <f aca="false">IF(_LEITURA!$N596="","",INDEX(_LEITURA!$G$2:$G$1201,_LEITURA!$N596))</f>
        <v/>
      </c>
      <c r="E596" s="16" t="str">
        <f aca="false">IF(B596="","",SUMIFS(INVENTÁRIO!$C$2:$C$801,INVENTÁRIO!$A$2:$A$801,B596))</f>
        <v/>
      </c>
      <c r="F596" s="16" t="str">
        <f aca="false">IF(B596="","",MAX(0,D596-E596))</f>
        <v/>
      </c>
      <c r="G596" s="16" t="str">
        <f aca="false">IF(B596="","",IF(COUNTIFS($B$2:$B$1201,B596,$A$2:$A$1201,"&lt;&gt;"&amp;A596)&gt;0,"Sim",""))</f>
        <v/>
      </c>
      <c r="H596" s="16" t="str">
        <f aca="false">IF(N(F596)&gt;0,MAX(H$1:H595)+1,"")</f>
        <v/>
      </c>
      <c r="I596" s="11" t="str">
        <f aca="false">IF(B596="","",IF(INDEX($C$2:$C$1201,MATCH(B596,$B$2:$B$1201,0))&lt;&gt;C596,"Nome diferente em outro deck — revisar",""))</f>
        <v/>
      </c>
      <c r="J596" s="16" t="str">
        <f aca="false">IF(AND(B596&lt;&gt;"",A596=BULK!$A$1,N(F596)&gt;0),MAX(J$1:J595)+1,"")</f>
        <v/>
      </c>
      <c r="K596" s="11" t="str">
        <f aca="false">IF(B596="","",IFERROR(LEFT(B596,FIND("-",B596)-1),B596))</f>
        <v/>
      </c>
      <c r="L596" s="11" t="str">
        <f aca="false">IF(K596="","",IF(ISNUMBER(--MID(K596,1,1)),0,IF(ISNUMBER(--MID(K596,2,1)),1,IF(ISNUMBER(--MID(K596,3,1)),2,IF(ISNUMBER(--MID(K596,4,1)),3,MIN(LEN(K596),4))))))</f>
        <v/>
      </c>
      <c r="M596" s="11" t="str">
        <f aca="false">IF(B596="","",LEFT(K596,L596)&amp;REPT("0",4-L596)&amp;RIGHT("000"&amp;IFERROR(VALUE(MID(K596,L596+1,9)),0),3)&amp;RIGHT("0000"&amp;IFERROR(VALUE(MID(B596,FIND("-",B596)+1,9)),0),4))</f>
        <v/>
      </c>
      <c r="N596" s="11" t="str">
        <f aca="false">IF(OR(B596="",N(F596)&lt;=0),"",IF('FALTAS POR DECK'!$P$1="Código","K"&amp;M596&amp;RIGHT("00000"&amp;ROW(),5),IF('FALTAS POR DECK'!$P$1="Nome","K"&amp;UPPER(SUBSTITUTE(SUBSTITUTE(SUBSTITUTE(C596,"*",""),"?",""),"~",""))&amp;"0"&amp;M596&amp;RIGHT("00000"&amp;ROW(),5),IF('FALTAS POR DECK'!$P$1="Falta (maior primeiro)","K"&amp;RIGHT("0000"&amp;(9999-F596),4)&amp;M596&amp;RIGHT("00000"&amp;ROW(),5),IF('FALTAS POR DECK'!$P$1="Deck e código","K"&amp;RIGHT("00"&amp;IFERROR(MATCH(A596,_LEITURA!$P$2:$P$21,0),99),2)&amp;M596&amp;RIGHT("00000"&amp;ROW(),5),"K"&amp;RIGHT("00000"&amp;ROW(),5))))))</f>
        <v/>
      </c>
      <c r="O596" s="16" t="str">
        <f aca="false">IF(N596="","",COUNTIFS($N$2:$N$1201,"&lt;"&amp;N596,$F$2:$F$1201,"&gt;0")+1)</f>
        <v/>
      </c>
    </row>
    <row r="597" customFormat="false" ht="15" hidden="false" customHeight="false" outlineLevel="0" collapsed="false">
      <c r="A597" s="11" t="str">
        <f aca="false">IF(_LEITURA!$N597="","",INDEX(_LEITURA!$K$2:$K$1201,_LEITURA!$N597))</f>
        <v/>
      </c>
      <c r="B597" s="11" t="str">
        <f aca="false">IF(_LEITURA!$N597="","",INDEX(_LEITURA!$E$2:$E$1201,_LEITURA!$N597))</f>
        <v/>
      </c>
      <c r="C597" s="11" t="str">
        <f aca="false">IF(_LEITURA!$N597="","",INDEX(_LEITURA!$J$2:$J$1201,_LEITURA!$N597))</f>
        <v/>
      </c>
      <c r="D597" s="16" t="str">
        <f aca="false">IF(_LEITURA!$N597="","",INDEX(_LEITURA!$G$2:$G$1201,_LEITURA!$N597))</f>
        <v/>
      </c>
      <c r="E597" s="16" t="str">
        <f aca="false">IF(B597="","",SUMIFS(INVENTÁRIO!$C$2:$C$801,INVENTÁRIO!$A$2:$A$801,B597))</f>
        <v/>
      </c>
      <c r="F597" s="16" t="str">
        <f aca="false">IF(B597="","",MAX(0,D597-E597))</f>
        <v/>
      </c>
      <c r="G597" s="16" t="str">
        <f aca="false">IF(B597="","",IF(COUNTIFS($B$2:$B$1201,B597,$A$2:$A$1201,"&lt;&gt;"&amp;A597)&gt;0,"Sim",""))</f>
        <v/>
      </c>
      <c r="H597" s="16" t="str">
        <f aca="false">IF(N(F597)&gt;0,MAX(H$1:H596)+1,"")</f>
        <v/>
      </c>
      <c r="I597" s="11" t="str">
        <f aca="false">IF(B597="","",IF(INDEX($C$2:$C$1201,MATCH(B597,$B$2:$B$1201,0))&lt;&gt;C597,"Nome diferente em outro deck — revisar",""))</f>
        <v/>
      </c>
      <c r="J597" s="16" t="str">
        <f aca="false">IF(AND(B597&lt;&gt;"",A597=BULK!$A$1,N(F597)&gt;0),MAX(J$1:J596)+1,"")</f>
        <v/>
      </c>
      <c r="K597" s="11" t="str">
        <f aca="false">IF(B597="","",IFERROR(LEFT(B597,FIND("-",B597)-1),B597))</f>
        <v/>
      </c>
      <c r="L597" s="11" t="str">
        <f aca="false">IF(K597="","",IF(ISNUMBER(--MID(K597,1,1)),0,IF(ISNUMBER(--MID(K597,2,1)),1,IF(ISNUMBER(--MID(K597,3,1)),2,IF(ISNUMBER(--MID(K597,4,1)),3,MIN(LEN(K597),4))))))</f>
        <v/>
      </c>
      <c r="M597" s="11" t="str">
        <f aca="false">IF(B597="","",LEFT(K597,L597)&amp;REPT("0",4-L597)&amp;RIGHT("000"&amp;IFERROR(VALUE(MID(K597,L597+1,9)),0),3)&amp;RIGHT("0000"&amp;IFERROR(VALUE(MID(B597,FIND("-",B597)+1,9)),0),4))</f>
        <v/>
      </c>
      <c r="N597" s="11" t="str">
        <f aca="false">IF(OR(B597="",N(F597)&lt;=0),"",IF('FALTAS POR DECK'!$P$1="Código","K"&amp;M597&amp;RIGHT("00000"&amp;ROW(),5),IF('FALTAS POR DECK'!$P$1="Nome","K"&amp;UPPER(SUBSTITUTE(SUBSTITUTE(SUBSTITUTE(C597,"*",""),"?",""),"~",""))&amp;"0"&amp;M597&amp;RIGHT("00000"&amp;ROW(),5),IF('FALTAS POR DECK'!$P$1="Falta (maior primeiro)","K"&amp;RIGHT("0000"&amp;(9999-F597),4)&amp;M597&amp;RIGHT("00000"&amp;ROW(),5),IF('FALTAS POR DECK'!$P$1="Deck e código","K"&amp;RIGHT("00"&amp;IFERROR(MATCH(A597,_LEITURA!$P$2:$P$21,0),99),2)&amp;M597&amp;RIGHT("00000"&amp;ROW(),5),"K"&amp;RIGHT("00000"&amp;ROW(),5))))))</f>
        <v/>
      </c>
      <c r="O597" s="16" t="str">
        <f aca="false">IF(N597="","",COUNTIFS($N$2:$N$1201,"&lt;"&amp;N597,$F$2:$F$1201,"&gt;0")+1)</f>
        <v/>
      </c>
    </row>
    <row r="598" customFormat="false" ht="15" hidden="false" customHeight="false" outlineLevel="0" collapsed="false">
      <c r="A598" s="11" t="str">
        <f aca="false">IF(_LEITURA!$N598="","",INDEX(_LEITURA!$K$2:$K$1201,_LEITURA!$N598))</f>
        <v/>
      </c>
      <c r="B598" s="11" t="str">
        <f aca="false">IF(_LEITURA!$N598="","",INDEX(_LEITURA!$E$2:$E$1201,_LEITURA!$N598))</f>
        <v/>
      </c>
      <c r="C598" s="11" t="str">
        <f aca="false">IF(_LEITURA!$N598="","",INDEX(_LEITURA!$J$2:$J$1201,_LEITURA!$N598))</f>
        <v/>
      </c>
      <c r="D598" s="16" t="str">
        <f aca="false">IF(_LEITURA!$N598="","",INDEX(_LEITURA!$G$2:$G$1201,_LEITURA!$N598))</f>
        <v/>
      </c>
      <c r="E598" s="16" t="str">
        <f aca="false">IF(B598="","",SUMIFS(INVENTÁRIO!$C$2:$C$801,INVENTÁRIO!$A$2:$A$801,B598))</f>
        <v/>
      </c>
      <c r="F598" s="16" t="str">
        <f aca="false">IF(B598="","",MAX(0,D598-E598))</f>
        <v/>
      </c>
      <c r="G598" s="16" t="str">
        <f aca="false">IF(B598="","",IF(COUNTIFS($B$2:$B$1201,B598,$A$2:$A$1201,"&lt;&gt;"&amp;A598)&gt;0,"Sim",""))</f>
        <v/>
      </c>
      <c r="H598" s="16" t="str">
        <f aca="false">IF(N(F598)&gt;0,MAX(H$1:H597)+1,"")</f>
        <v/>
      </c>
      <c r="I598" s="11" t="str">
        <f aca="false">IF(B598="","",IF(INDEX($C$2:$C$1201,MATCH(B598,$B$2:$B$1201,0))&lt;&gt;C598,"Nome diferente em outro deck — revisar",""))</f>
        <v/>
      </c>
      <c r="J598" s="16" t="str">
        <f aca="false">IF(AND(B598&lt;&gt;"",A598=BULK!$A$1,N(F598)&gt;0),MAX(J$1:J597)+1,"")</f>
        <v/>
      </c>
      <c r="K598" s="11" t="str">
        <f aca="false">IF(B598="","",IFERROR(LEFT(B598,FIND("-",B598)-1),B598))</f>
        <v/>
      </c>
      <c r="L598" s="11" t="str">
        <f aca="false">IF(K598="","",IF(ISNUMBER(--MID(K598,1,1)),0,IF(ISNUMBER(--MID(K598,2,1)),1,IF(ISNUMBER(--MID(K598,3,1)),2,IF(ISNUMBER(--MID(K598,4,1)),3,MIN(LEN(K598),4))))))</f>
        <v/>
      </c>
      <c r="M598" s="11" t="str">
        <f aca="false">IF(B598="","",LEFT(K598,L598)&amp;REPT("0",4-L598)&amp;RIGHT("000"&amp;IFERROR(VALUE(MID(K598,L598+1,9)),0),3)&amp;RIGHT("0000"&amp;IFERROR(VALUE(MID(B598,FIND("-",B598)+1,9)),0),4))</f>
        <v/>
      </c>
      <c r="N598" s="11" t="str">
        <f aca="false">IF(OR(B598="",N(F598)&lt;=0),"",IF('FALTAS POR DECK'!$P$1="Código","K"&amp;M598&amp;RIGHT("00000"&amp;ROW(),5),IF('FALTAS POR DECK'!$P$1="Nome","K"&amp;UPPER(SUBSTITUTE(SUBSTITUTE(SUBSTITUTE(C598,"*",""),"?",""),"~",""))&amp;"0"&amp;M598&amp;RIGHT("00000"&amp;ROW(),5),IF('FALTAS POR DECK'!$P$1="Falta (maior primeiro)","K"&amp;RIGHT("0000"&amp;(9999-F598),4)&amp;M598&amp;RIGHT("00000"&amp;ROW(),5),IF('FALTAS POR DECK'!$P$1="Deck e código","K"&amp;RIGHT("00"&amp;IFERROR(MATCH(A598,_LEITURA!$P$2:$P$21,0),99),2)&amp;M598&amp;RIGHT("00000"&amp;ROW(),5),"K"&amp;RIGHT("00000"&amp;ROW(),5))))))</f>
        <v/>
      </c>
      <c r="O598" s="16" t="str">
        <f aca="false">IF(N598="","",COUNTIFS($N$2:$N$1201,"&lt;"&amp;N598,$F$2:$F$1201,"&gt;0")+1)</f>
        <v/>
      </c>
    </row>
    <row r="599" customFormat="false" ht="15" hidden="false" customHeight="false" outlineLevel="0" collapsed="false">
      <c r="A599" s="11" t="str">
        <f aca="false">IF(_LEITURA!$N599="","",INDEX(_LEITURA!$K$2:$K$1201,_LEITURA!$N599))</f>
        <v/>
      </c>
      <c r="B599" s="11" t="str">
        <f aca="false">IF(_LEITURA!$N599="","",INDEX(_LEITURA!$E$2:$E$1201,_LEITURA!$N599))</f>
        <v/>
      </c>
      <c r="C599" s="11" t="str">
        <f aca="false">IF(_LEITURA!$N599="","",INDEX(_LEITURA!$J$2:$J$1201,_LEITURA!$N599))</f>
        <v/>
      </c>
      <c r="D599" s="16" t="str">
        <f aca="false">IF(_LEITURA!$N599="","",INDEX(_LEITURA!$G$2:$G$1201,_LEITURA!$N599))</f>
        <v/>
      </c>
      <c r="E599" s="16" t="str">
        <f aca="false">IF(B599="","",SUMIFS(INVENTÁRIO!$C$2:$C$801,INVENTÁRIO!$A$2:$A$801,B599))</f>
        <v/>
      </c>
      <c r="F599" s="16" t="str">
        <f aca="false">IF(B599="","",MAX(0,D599-E599))</f>
        <v/>
      </c>
      <c r="G599" s="16" t="str">
        <f aca="false">IF(B599="","",IF(COUNTIFS($B$2:$B$1201,B599,$A$2:$A$1201,"&lt;&gt;"&amp;A599)&gt;0,"Sim",""))</f>
        <v/>
      </c>
      <c r="H599" s="16" t="str">
        <f aca="false">IF(N(F599)&gt;0,MAX(H$1:H598)+1,"")</f>
        <v/>
      </c>
      <c r="I599" s="11" t="str">
        <f aca="false">IF(B599="","",IF(INDEX($C$2:$C$1201,MATCH(B599,$B$2:$B$1201,0))&lt;&gt;C599,"Nome diferente em outro deck — revisar",""))</f>
        <v/>
      </c>
      <c r="J599" s="16" t="str">
        <f aca="false">IF(AND(B599&lt;&gt;"",A599=BULK!$A$1,N(F599)&gt;0),MAX(J$1:J598)+1,"")</f>
        <v/>
      </c>
      <c r="K599" s="11" t="str">
        <f aca="false">IF(B599="","",IFERROR(LEFT(B599,FIND("-",B599)-1),B599))</f>
        <v/>
      </c>
      <c r="L599" s="11" t="str">
        <f aca="false">IF(K599="","",IF(ISNUMBER(--MID(K599,1,1)),0,IF(ISNUMBER(--MID(K599,2,1)),1,IF(ISNUMBER(--MID(K599,3,1)),2,IF(ISNUMBER(--MID(K599,4,1)),3,MIN(LEN(K599),4))))))</f>
        <v/>
      </c>
      <c r="M599" s="11" t="str">
        <f aca="false">IF(B599="","",LEFT(K599,L599)&amp;REPT("0",4-L599)&amp;RIGHT("000"&amp;IFERROR(VALUE(MID(K599,L599+1,9)),0),3)&amp;RIGHT("0000"&amp;IFERROR(VALUE(MID(B599,FIND("-",B599)+1,9)),0),4))</f>
        <v/>
      </c>
      <c r="N599" s="11" t="str">
        <f aca="false">IF(OR(B599="",N(F599)&lt;=0),"",IF('FALTAS POR DECK'!$P$1="Código","K"&amp;M599&amp;RIGHT("00000"&amp;ROW(),5),IF('FALTAS POR DECK'!$P$1="Nome","K"&amp;UPPER(SUBSTITUTE(SUBSTITUTE(SUBSTITUTE(C599,"*",""),"?",""),"~",""))&amp;"0"&amp;M599&amp;RIGHT("00000"&amp;ROW(),5),IF('FALTAS POR DECK'!$P$1="Falta (maior primeiro)","K"&amp;RIGHT("0000"&amp;(9999-F599),4)&amp;M599&amp;RIGHT("00000"&amp;ROW(),5),IF('FALTAS POR DECK'!$P$1="Deck e código","K"&amp;RIGHT("00"&amp;IFERROR(MATCH(A599,_LEITURA!$P$2:$P$21,0),99),2)&amp;M599&amp;RIGHT("00000"&amp;ROW(),5),"K"&amp;RIGHT("00000"&amp;ROW(),5))))))</f>
        <v/>
      </c>
      <c r="O599" s="16" t="str">
        <f aca="false">IF(N599="","",COUNTIFS($N$2:$N$1201,"&lt;"&amp;N599,$F$2:$F$1201,"&gt;0")+1)</f>
        <v/>
      </c>
    </row>
    <row r="600" customFormat="false" ht="15" hidden="false" customHeight="false" outlineLevel="0" collapsed="false">
      <c r="A600" s="11" t="str">
        <f aca="false">IF(_LEITURA!$N600="","",INDEX(_LEITURA!$K$2:$K$1201,_LEITURA!$N600))</f>
        <v/>
      </c>
      <c r="B600" s="11" t="str">
        <f aca="false">IF(_LEITURA!$N600="","",INDEX(_LEITURA!$E$2:$E$1201,_LEITURA!$N600))</f>
        <v/>
      </c>
      <c r="C600" s="11" t="str">
        <f aca="false">IF(_LEITURA!$N600="","",INDEX(_LEITURA!$J$2:$J$1201,_LEITURA!$N600))</f>
        <v/>
      </c>
      <c r="D600" s="16" t="str">
        <f aca="false">IF(_LEITURA!$N600="","",INDEX(_LEITURA!$G$2:$G$1201,_LEITURA!$N600))</f>
        <v/>
      </c>
      <c r="E600" s="16" t="str">
        <f aca="false">IF(B600="","",SUMIFS(INVENTÁRIO!$C$2:$C$801,INVENTÁRIO!$A$2:$A$801,B600))</f>
        <v/>
      </c>
      <c r="F600" s="16" t="str">
        <f aca="false">IF(B600="","",MAX(0,D600-E600))</f>
        <v/>
      </c>
      <c r="G600" s="16" t="str">
        <f aca="false">IF(B600="","",IF(COUNTIFS($B$2:$B$1201,B600,$A$2:$A$1201,"&lt;&gt;"&amp;A600)&gt;0,"Sim",""))</f>
        <v/>
      </c>
      <c r="H600" s="16" t="str">
        <f aca="false">IF(N(F600)&gt;0,MAX(H$1:H599)+1,"")</f>
        <v/>
      </c>
      <c r="I600" s="11" t="str">
        <f aca="false">IF(B600="","",IF(INDEX($C$2:$C$1201,MATCH(B600,$B$2:$B$1201,0))&lt;&gt;C600,"Nome diferente em outro deck — revisar",""))</f>
        <v/>
      </c>
      <c r="J600" s="16" t="str">
        <f aca="false">IF(AND(B600&lt;&gt;"",A600=BULK!$A$1,N(F600)&gt;0),MAX(J$1:J599)+1,"")</f>
        <v/>
      </c>
      <c r="K600" s="11" t="str">
        <f aca="false">IF(B600="","",IFERROR(LEFT(B600,FIND("-",B600)-1),B600))</f>
        <v/>
      </c>
      <c r="L600" s="11" t="str">
        <f aca="false">IF(K600="","",IF(ISNUMBER(--MID(K600,1,1)),0,IF(ISNUMBER(--MID(K600,2,1)),1,IF(ISNUMBER(--MID(K600,3,1)),2,IF(ISNUMBER(--MID(K600,4,1)),3,MIN(LEN(K600),4))))))</f>
        <v/>
      </c>
      <c r="M600" s="11" t="str">
        <f aca="false">IF(B600="","",LEFT(K600,L600)&amp;REPT("0",4-L600)&amp;RIGHT("000"&amp;IFERROR(VALUE(MID(K600,L600+1,9)),0),3)&amp;RIGHT("0000"&amp;IFERROR(VALUE(MID(B600,FIND("-",B600)+1,9)),0),4))</f>
        <v/>
      </c>
      <c r="N600" s="11" t="str">
        <f aca="false">IF(OR(B600="",N(F600)&lt;=0),"",IF('FALTAS POR DECK'!$P$1="Código","K"&amp;M600&amp;RIGHT("00000"&amp;ROW(),5),IF('FALTAS POR DECK'!$P$1="Nome","K"&amp;UPPER(SUBSTITUTE(SUBSTITUTE(SUBSTITUTE(C600,"*",""),"?",""),"~",""))&amp;"0"&amp;M600&amp;RIGHT("00000"&amp;ROW(),5),IF('FALTAS POR DECK'!$P$1="Falta (maior primeiro)","K"&amp;RIGHT("0000"&amp;(9999-F600),4)&amp;M600&amp;RIGHT("00000"&amp;ROW(),5),IF('FALTAS POR DECK'!$P$1="Deck e código","K"&amp;RIGHT("00"&amp;IFERROR(MATCH(A600,_LEITURA!$P$2:$P$21,0),99),2)&amp;M600&amp;RIGHT("00000"&amp;ROW(),5),"K"&amp;RIGHT("00000"&amp;ROW(),5))))))</f>
        <v/>
      </c>
      <c r="O600" s="16" t="str">
        <f aca="false">IF(N600="","",COUNTIFS($N$2:$N$1201,"&lt;"&amp;N600,$F$2:$F$1201,"&gt;0")+1)</f>
        <v/>
      </c>
    </row>
    <row r="601" customFormat="false" ht="15" hidden="false" customHeight="false" outlineLevel="0" collapsed="false">
      <c r="A601" s="11" t="str">
        <f aca="false">IF(_LEITURA!$N601="","",INDEX(_LEITURA!$K$2:$K$1201,_LEITURA!$N601))</f>
        <v/>
      </c>
      <c r="B601" s="11" t="str">
        <f aca="false">IF(_LEITURA!$N601="","",INDEX(_LEITURA!$E$2:$E$1201,_LEITURA!$N601))</f>
        <v/>
      </c>
      <c r="C601" s="11" t="str">
        <f aca="false">IF(_LEITURA!$N601="","",INDEX(_LEITURA!$J$2:$J$1201,_LEITURA!$N601))</f>
        <v/>
      </c>
      <c r="D601" s="16" t="str">
        <f aca="false">IF(_LEITURA!$N601="","",INDEX(_LEITURA!$G$2:$G$1201,_LEITURA!$N601))</f>
        <v/>
      </c>
      <c r="E601" s="16" t="str">
        <f aca="false">IF(B601="","",SUMIFS(INVENTÁRIO!$C$2:$C$801,INVENTÁRIO!$A$2:$A$801,B601))</f>
        <v/>
      </c>
      <c r="F601" s="16" t="str">
        <f aca="false">IF(B601="","",MAX(0,D601-E601))</f>
        <v/>
      </c>
      <c r="G601" s="16" t="str">
        <f aca="false">IF(B601="","",IF(COUNTIFS($B$2:$B$1201,B601,$A$2:$A$1201,"&lt;&gt;"&amp;A601)&gt;0,"Sim",""))</f>
        <v/>
      </c>
      <c r="H601" s="16" t="str">
        <f aca="false">IF(N(F601)&gt;0,MAX(H$1:H600)+1,"")</f>
        <v/>
      </c>
      <c r="I601" s="11" t="str">
        <f aca="false">IF(B601="","",IF(INDEX($C$2:$C$1201,MATCH(B601,$B$2:$B$1201,0))&lt;&gt;C601,"Nome diferente em outro deck — revisar",""))</f>
        <v/>
      </c>
      <c r="J601" s="16" t="str">
        <f aca="false">IF(AND(B601&lt;&gt;"",A601=BULK!$A$1,N(F601)&gt;0),MAX(J$1:J600)+1,"")</f>
        <v/>
      </c>
      <c r="K601" s="11" t="str">
        <f aca="false">IF(B601="","",IFERROR(LEFT(B601,FIND("-",B601)-1),B601))</f>
        <v/>
      </c>
      <c r="L601" s="11" t="str">
        <f aca="false">IF(K601="","",IF(ISNUMBER(--MID(K601,1,1)),0,IF(ISNUMBER(--MID(K601,2,1)),1,IF(ISNUMBER(--MID(K601,3,1)),2,IF(ISNUMBER(--MID(K601,4,1)),3,MIN(LEN(K601),4))))))</f>
        <v/>
      </c>
      <c r="M601" s="11" t="str">
        <f aca="false">IF(B601="","",LEFT(K601,L601)&amp;REPT("0",4-L601)&amp;RIGHT("000"&amp;IFERROR(VALUE(MID(K601,L601+1,9)),0),3)&amp;RIGHT("0000"&amp;IFERROR(VALUE(MID(B601,FIND("-",B601)+1,9)),0),4))</f>
        <v/>
      </c>
      <c r="N601" s="11" t="str">
        <f aca="false">IF(OR(B601="",N(F601)&lt;=0),"",IF('FALTAS POR DECK'!$P$1="Código","K"&amp;M601&amp;RIGHT("00000"&amp;ROW(),5),IF('FALTAS POR DECK'!$P$1="Nome","K"&amp;UPPER(SUBSTITUTE(SUBSTITUTE(SUBSTITUTE(C601,"*",""),"?",""),"~",""))&amp;"0"&amp;M601&amp;RIGHT("00000"&amp;ROW(),5),IF('FALTAS POR DECK'!$P$1="Falta (maior primeiro)","K"&amp;RIGHT("0000"&amp;(9999-F601),4)&amp;M601&amp;RIGHT("00000"&amp;ROW(),5),IF('FALTAS POR DECK'!$P$1="Deck e código","K"&amp;RIGHT("00"&amp;IFERROR(MATCH(A601,_LEITURA!$P$2:$P$21,0),99),2)&amp;M601&amp;RIGHT("00000"&amp;ROW(),5),"K"&amp;RIGHT("00000"&amp;ROW(),5))))))</f>
        <v/>
      </c>
      <c r="O601" s="16" t="str">
        <f aca="false">IF(N601="","",COUNTIFS($N$2:$N$1201,"&lt;"&amp;N601,$F$2:$F$1201,"&gt;0")+1)</f>
        <v/>
      </c>
    </row>
    <row r="602" customFormat="false" ht="15" hidden="false" customHeight="false" outlineLevel="0" collapsed="false">
      <c r="A602" s="11" t="str">
        <f aca="false">IF(_LEITURA!$N602="","",INDEX(_LEITURA!$K$2:$K$1201,_LEITURA!$N602))</f>
        <v/>
      </c>
      <c r="B602" s="11" t="str">
        <f aca="false">IF(_LEITURA!$N602="","",INDEX(_LEITURA!$E$2:$E$1201,_LEITURA!$N602))</f>
        <v/>
      </c>
      <c r="C602" s="11" t="str">
        <f aca="false">IF(_LEITURA!$N602="","",INDEX(_LEITURA!$J$2:$J$1201,_LEITURA!$N602))</f>
        <v/>
      </c>
      <c r="D602" s="16" t="str">
        <f aca="false">IF(_LEITURA!$N602="","",INDEX(_LEITURA!$G$2:$G$1201,_LEITURA!$N602))</f>
        <v/>
      </c>
      <c r="E602" s="16" t="str">
        <f aca="false">IF(B602="","",SUMIFS(INVENTÁRIO!$C$2:$C$801,INVENTÁRIO!$A$2:$A$801,B602))</f>
        <v/>
      </c>
      <c r="F602" s="16" t="str">
        <f aca="false">IF(B602="","",MAX(0,D602-E602))</f>
        <v/>
      </c>
      <c r="G602" s="16" t="str">
        <f aca="false">IF(B602="","",IF(COUNTIFS($B$2:$B$1201,B602,$A$2:$A$1201,"&lt;&gt;"&amp;A602)&gt;0,"Sim",""))</f>
        <v/>
      </c>
      <c r="H602" s="16" t="str">
        <f aca="false">IF(N(F602)&gt;0,MAX(H$1:H601)+1,"")</f>
        <v/>
      </c>
      <c r="I602" s="11" t="str">
        <f aca="false">IF(B602="","",IF(INDEX($C$2:$C$1201,MATCH(B602,$B$2:$B$1201,0))&lt;&gt;C602,"Nome diferente em outro deck — revisar",""))</f>
        <v/>
      </c>
      <c r="J602" s="16" t="str">
        <f aca="false">IF(AND(B602&lt;&gt;"",A602=BULK!$A$1,N(F602)&gt;0),MAX(J$1:J601)+1,"")</f>
        <v/>
      </c>
      <c r="K602" s="11" t="str">
        <f aca="false">IF(B602="","",IFERROR(LEFT(B602,FIND("-",B602)-1),B602))</f>
        <v/>
      </c>
      <c r="L602" s="11" t="str">
        <f aca="false">IF(K602="","",IF(ISNUMBER(--MID(K602,1,1)),0,IF(ISNUMBER(--MID(K602,2,1)),1,IF(ISNUMBER(--MID(K602,3,1)),2,IF(ISNUMBER(--MID(K602,4,1)),3,MIN(LEN(K602),4))))))</f>
        <v/>
      </c>
      <c r="M602" s="11" t="str">
        <f aca="false">IF(B602="","",LEFT(K602,L602)&amp;REPT("0",4-L602)&amp;RIGHT("000"&amp;IFERROR(VALUE(MID(K602,L602+1,9)),0),3)&amp;RIGHT("0000"&amp;IFERROR(VALUE(MID(B602,FIND("-",B602)+1,9)),0),4))</f>
        <v/>
      </c>
      <c r="N602" s="11" t="str">
        <f aca="false">IF(OR(B602="",N(F602)&lt;=0),"",IF('FALTAS POR DECK'!$P$1="Código","K"&amp;M602&amp;RIGHT("00000"&amp;ROW(),5),IF('FALTAS POR DECK'!$P$1="Nome","K"&amp;UPPER(SUBSTITUTE(SUBSTITUTE(SUBSTITUTE(C602,"*",""),"?",""),"~",""))&amp;"0"&amp;M602&amp;RIGHT("00000"&amp;ROW(),5),IF('FALTAS POR DECK'!$P$1="Falta (maior primeiro)","K"&amp;RIGHT("0000"&amp;(9999-F602),4)&amp;M602&amp;RIGHT("00000"&amp;ROW(),5),IF('FALTAS POR DECK'!$P$1="Deck e código","K"&amp;RIGHT("00"&amp;IFERROR(MATCH(A602,_LEITURA!$P$2:$P$21,0),99),2)&amp;M602&amp;RIGHT("00000"&amp;ROW(),5),"K"&amp;RIGHT("00000"&amp;ROW(),5))))))</f>
        <v/>
      </c>
      <c r="O602" s="16" t="str">
        <f aca="false">IF(N602="","",COUNTIFS($N$2:$N$1201,"&lt;"&amp;N602,$F$2:$F$1201,"&gt;0")+1)</f>
        <v/>
      </c>
    </row>
    <row r="603" customFormat="false" ht="15" hidden="false" customHeight="false" outlineLevel="0" collapsed="false">
      <c r="A603" s="11" t="str">
        <f aca="false">IF(_LEITURA!$N603="","",INDEX(_LEITURA!$K$2:$K$1201,_LEITURA!$N603))</f>
        <v/>
      </c>
      <c r="B603" s="11" t="str">
        <f aca="false">IF(_LEITURA!$N603="","",INDEX(_LEITURA!$E$2:$E$1201,_LEITURA!$N603))</f>
        <v/>
      </c>
      <c r="C603" s="11" t="str">
        <f aca="false">IF(_LEITURA!$N603="","",INDEX(_LEITURA!$J$2:$J$1201,_LEITURA!$N603))</f>
        <v/>
      </c>
      <c r="D603" s="16" t="str">
        <f aca="false">IF(_LEITURA!$N603="","",INDEX(_LEITURA!$G$2:$G$1201,_LEITURA!$N603))</f>
        <v/>
      </c>
      <c r="E603" s="16" t="str">
        <f aca="false">IF(B603="","",SUMIFS(INVENTÁRIO!$C$2:$C$801,INVENTÁRIO!$A$2:$A$801,B603))</f>
        <v/>
      </c>
      <c r="F603" s="16" t="str">
        <f aca="false">IF(B603="","",MAX(0,D603-E603))</f>
        <v/>
      </c>
      <c r="G603" s="16" t="str">
        <f aca="false">IF(B603="","",IF(COUNTIFS($B$2:$B$1201,B603,$A$2:$A$1201,"&lt;&gt;"&amp;A603)&gt;0,"Sim",""))</f>
        <v/>
      </c>
      <c r="H603" s="16" t="str">
        <f aca="false">IF(N(F603)&gt;0,MAX(H$1:H602)+1,"")</f>
        <v/>
      </c>
      <c r="I603" s="11" t="str">
        <f aca="false">IF(B603="","",IF(INDEX($C$2:$C$1201,MATCH(B603,$B$2:$B$1201,0))&lt;&gt;C603,"Nome diferente em outro deck — revisar",""))</f>
        <v/>
      </c>
      <c r="J603" s="16" t="str">
        <f aca="false">IF(AND(B603&lt;&gt;"",A603=BULK!$A$1,N(F603)&gt;0),MAX(J$1:J602)+1,"")</f>
        <v/>
      </c>
      <c r="K603" s="11" t="str">
        <f aca="false">IF(B603="","",IFERROR(LEFT(B603,FIND("-",B603)-1),B603))</f>
        <v/>
      </c>
      <c r="L603" s="11" t="str">
        <f aca="false">IF(K603="","",IF(ISNUMBER(--MID(K603,1,1)),0,IF(ISNUMBER(--MID(K603,2,1)),1,IF(ISNUMBER(--MID(K603,3,1)),2,IF(ISNUMBER(--MID(K603,4,1)),3,MIN(LEN(K603),4))))))</f>
        <v/>
      </c>
      <c r="M603" s="11" t="str">
        <f aca="false">IF(B603="","",LEFT(K603,L603)&amp;REPT("0",4-L603)&amp;RIGHT("000"&amp;IFERROR(VALUE(MID(K603,L603+1,9)),0),3)&amp;RIGHT("0000"&amp;IFERROR(VALUE(MID(B603,FIND("-",B603)+1,9)),0),4))</f>
        <v/>
      </c>
      <c r="N603" s="11" t="str">
        <f aca="false">IF(OR(B603="",N(F603)&lt;=0),"",IF('FALTAS POR DECK'!$P$1="Código","K"&amp;M603&amp;RIGHT("00000"&amp;ROW(),5),IF('FALTAS POR DECK'!$P$1="Nome","K"&amp;UPPER(SUBSTITUTE(SUBSTITUTE(SUBSTITUTE(C603,"*",""),"?",""),"~",""))&amp;"0"&amp;M603&amp;RIGHT("00000"&amp;ROW(),5),IF('FALTAS POR DECK'!$P$1="Falta (maior primeiro)","K"&amp;RIGHT("0000"&amp;(9999-F603),4)&amp;M603&amp;RIGHT("00000"&amp;ROW(),5),IF('FALTAS POR DECK'!$P$1="Deck e código","K"&amp;RIGHT("00"&amp;IFERROR(MATCH(A603,_LEITURA!$P$2:$P$21,0),99),2)&amp;M603&amp;RIGHT("00000"&amp;ROW(),5),"K"&amp;RIGHT("00000"&amp;ROW(),5))))))</f>
        <v/>
      </c>
      <c r="O603" s="16" t="str">
        <f aca="false">IF(N603="","",COUNTIFS($N$2:$N$1201,"&lt;"&amp;N603,$F$2:$F$1201,"&gt;0")+1)</f>
        <v/>
      </c>
    </row>
    <row r="604" customFormat="false" ht="15" hidden="false" customHeight="false" outlineLevel="0" collapsed="false">
      <c r="A604" s="11" t="str">
        <f aca="false">IF(_LEITURA!$N604="","",INDEX(_LEITURA!$K$2:$K$1201,_LEITURA!$N604))</f>
        <v/>
      </c>
      <c r="B604" s="11" t="str">
        <f aca="false">IF(_LEITURA!$N604="","",INDEX(_LEITURA!$E$2:$E$1201,_LEITURA!$N604))</f>
        <v/>
      </c>
      <c r="C604" s="11" t="str">
        <f aca="false">IF(_LEITURA!$N604="","",INDEX(_LEITURA!$J$2:$J$1201,_LEITURA!$N604))</f>
        <v/>
      </c>
      <c r="D604" s="16" t="str">
        <f aca="false">IF(_LEITURA!$N604="","",INDEX(_LEITURA!$G$2:$G$1201,_LEITURA!$N604))</f>
        <v/>
      </c>
      <c r="E604" s="16" t="str">
        <f aca="false">IF(B604="","",SUMIFS(INVENTÁRIO!$C$2:$C$801,INVENTÁRIO!$A$2:$A$801,B604))</f>
        <v/>
      </c>
      <c r="F604" s="16" t="str">
        <f aca="false">IF(B604="","",MAX(0,D604-E604))</f>
        <v/>
      </c>
      <c r="G604" s="16" t="str">
        <f aca="false">IF(B604="","",IF(COUNTIFS($B$2:$B$1201,B604,$A$2:$A$1201,"&lt;&gt;"&amp;A604)&gt;0,"Sim",""))</f>
        <v/>
      </c>
      <c r="H604" s="16" t="str">
        <f aca="false">IF(N(F604)&gt;0,MAX(H$1:H603)+1,"")</f>
        <v/>
      </c>
      <c r="I604" s="11" t="str">
        <f aca="false">IF(B604="","",IF(INDEX($C$2:$C$1201,MATCH(B604,$B$2:$B$1201,0))&lt;&gt;C604,"Nome diferente em outro deck — revisar",""))</f>
        <v/>
      </c>
      <c r="J604" s="16" t="str">
        <f aca="false">IF(AND(B604&lt;&gt;"",A604=BULK!$A$1,N(F604)&gt;0),MAX(J$1:J603)+1,"")</f>
        <v/>
      </c>
      <c r="K604" s="11" t="str">
        <f aca="false">IF(B604="","",IFERROR(LEFT(B604,FIND("-",B604)-1),B604))</f>
        <v/>
      </c>
      <c r="L604" s="11" t="str">
        <f aca="false">IF(K604="","",IF(ISNUMBER(--MID(K604,1,1)),0,IF(ISNUMBER(--MID(K604,2,1)),1,IF(ISNUMBER(--MID(K604,3,1)),2,IF(ISNUMBER(--MID(K604,4,1)),3,MIN(LEN(K604),4))))))</f>
        <v/>
      </c>
      <c r="M604" s="11" t="str">
        <f aca="false">IF(B604="","",LEFT(K604,L604)&amp;REPT("0",4-L604)&amp;RIGHT("000"&amp;IFERROR(VALUE(MID(K604,L604+1,9)),0),3)&amp;RIGHT("0000"&amp;IFERROR(VALUE(MID(B604,FIND("-",B604)+1,9)),0),4))</f>
        <v/>
      </c>
      <c r="N604" s="11" t="str">
        <f aca="false">IF(OR(B604="",N(F604)&lt;=0),"",IF('FALTAS POR DECK'!$P$1="Código","K"&amp;M604&amp;RIGHT("00000"&amp;ROW(),5),IF('FALTAS POR DECK'!$P$1="Nome","K"&amp;UPPER(SUBSTITUTE(SUBSTITUTE(SUBSTITUTE(C604,"*",""),"?",""),"~",""))&amp;"0"&amp;M604&amp;RIGHT("00000"&amp;ROW(),5),IF('FALTAS POR DECK'!$P$1="Falta (maior primeiro)","K"&amp;RIGHT("0000"&amp;(9999-F604),4)&amp;M604&amp;RIGHT("00000"&amp;ROW(),5),IF('FALTAS POR DECK'!$P$1="Deck e código","K"&amp;RIGHT("00"&amp;IFERROR(MATCH(A604,_LEITURA!$P$2:$P$21,0),99),2)&amp;M604&amp;RIGHT("00000"&amp;ROW(),5),"K"&amp;RIGHT("00000"&amp;ROW(),5))))))</f>
        <v/>
      </c>
      <c r="O604" s="16" t="str">
        <f aca="false">IF(N604="","",COUNTIFS($N$2:$N$1201,"&lt;"&amp;N604,$F$2:$F$1201,"&gt;0")+1)</f>
        <v/>
      </c>
    </row>
    <row r="605" customFormat="false" ht="15" hidden="false" customHeight="false" outlineLevel="0" collapsed="false">
      <c r="A605" s="11" t="str">
        <f aca="false">IF(_LEITURA!$N605="","",INDEX(_LEITURA!$K$2:$K$1201,_LEITURA!$N605))</f>
        <v/>
      </c>
      <c r="B605" s="11" t="str">
        <f aca="false">IF(_LEITURA!$N605="","",INDEX(_LEITURA!$E$2:$E$1201,_LEITURA!$N605))</f>
        <v/>
      </c>
      <c r="C605" s="11" t="str">
        <f aca="false">IF(_LEITURA!$N605="","",INDEX(_LEITURA!$J$2:$J$1201,_LEITURA!$N605))</f>
        <v/>
      </c>
      <c r="D605" s="16" t="str">
        <f aca="false">IF(_LEITURA!$N605="","",INDEX(_LEITURA!$G$2:$G$1201,_LEITURA!$N605))</f>
        <v/>
      </c>
      <c r="E605" s="16" t="str">
        <f aca="false">IF(B605="","",SUMIFS(INVENTÁRIO!$C$2:$C$801,INVENTÁRIO!$A$2:$A$801,B605))</f>
        <v/>
      </c>
      <c r="F605" s="16" t="str">
        <f aca="false">IF(B605="","",MAX(0,D605-E605))</f>
        <v/>
      </c>
      <c r="G605" s="16" t="str">
        <f aca="false">IF(B605="","",IF(COUNTIFS($B$2:$B$1201,B605,$A$2:$A$1201,"&lt;&gt;"&amp;A605)&gt;0,"Sim",""))</f>
        <v/>
      </c>
      <c r="H605" s="16" t="str">
        <f aca="false">IF(N(F605)&gt;0,MAX(H$1:H604)+1,"")</f>
        <v/>
      </c>
      <c r="I605" s="11" t="str">
        <f aca="false">IF(B605="","",IF(INDEX($C$2:$C$1201,MATCH(B605,$B$2:$B$1201,0))&lt;&gt;C605,"Nome diferente em outro deck — revisar",""))</f>
        <v/>
      </c>
      <c r="J605" s="16" t="str">
        <f aca="false">IF(AND(B605&lt;&gt;"",A605=BULK!$A$1,N(F605)&gt;0),MAX(J$1:J604)+1,"")</f>
        <v/>
      </c>
      <c r="K605" s="11" t="str">
        <f aca="false">IF(B605="","",IFERROR(LEFT(B605,FIND("-",B605)-1),B605))</f>
        <v/>
      </c>
      <c r="L605" s="11" t="str">
        <f aca="false">IF(K605="","",IF(ISNUMBER(--MID(K605,1,1)),0,IF(ISNUMBER(--MID(K605,2,1)),1,IF(ISNUMBER(--MID(K605,3,1)),2,IF(ISNUMBER(--MID(K605,4,1)),3,MIN(LEN(K605),4))))))</f>
        <v/>
      </c>
      <c r="M605" s="11" t="str">
        <f aca="false">IF(B605="","",LEFT(K605,L605)&amp;REPT("0",4-L605)&amp;RIGHT("000"&amp;IFERROR(VALUE(MID(K605,L605+1,9)),0),3)&amp;RIGHT("0000"&amp;IFERROR(VALUE(MID(B605,FIND("-",B605)+1,9)),0),4))</f>
        <v/>
      </c>
      <c r="N605" s="11" t="str">
        <f aca="false">IF(OR(B605="",N(F605)&lt;=0),"",IF('FALTAS POR DECK'!$P$1="Código","K"&amp;M605&amp;RIGHT("00000"&amp;ROW(),5),IF('FALTAS POR DECK'!$P$1="Nome","K"&amp;UPPER(SUBSTITUTE(SUBSTITUTE(SUBSTITUTE(C605,"*",""),"?",""),"~",""))&amp;"0"&amp;M605&amp;RIGHT("00000"&amp;ROW(),5),IF('FALTAS POR DECK'!$P$1="Falta (maior primeiro)","K"&amp;RIGHT("0000"&amp;(9999-F605),4)&amp;M605&amp;RIGHT("00000"&amp;ROW(),5),IF('FALTAS POR DECK'!$P$1="Deck e código","K"&amp;RIGHT("00"&amp;IFERROR(MATCH(A605,_LEITURA!$P$2:$P$21,0),99),2)&amp;M605&amp;RIGHT("00000"&amp;ROW(),5),"K"&amp;RIGHT("00000"&amp;ROW(),5))))))</f>
        <v/>
      </c>
      <c r="O605" s="16" t="str">
        <f aca="false">IF(N605="","",COUNTIFS($N$2:$N$1201,"&lt;"&amp;N605,$F$2:$F$1201,"&gt;0")+1)</f>
        <v/>
      </c>
    </row>
    <row r="606" customFormat="false" ht="15" hidden="false" customHeight="false" outlineLevel="0" collapsed="false">
      <c r="A606" s="11" t="str">
        <f aca="false">IF(_LEITURA!$N606="","",INDEX(_LEITURA!$K$2:$K$1201,_LEITURA!$N606))</f>
        <v/>
      </c>
      <c r="B606" s="11" t="str">
        <f aca="false">IF(_LEITURA!$N606="","",INDEX(_LEITURA!$E$2:$E$1201,_LEITURA!$N606))</f>
        <v/>
      </c>
      <c r="C606" s="11" t="str">
        <f aca="false">IF(_LEITURA!$N606="","",INDEX(_LEITURA!$J$2:$J$1201,_LEITURA!$N606))</f>
        <v/>
      </c>
      <c r="D606" s="16" t="str">
        <f aca="false">IF(_LEITURA!$N606="","",INDEX(_LEITURA!$G$2:$G$1201,_LEITURA!$N606))</f>
        <v/>
      </c>
      <c r="E606" s="16" t="str">
        <f aca="false">IF(B606="","",SUMIFS(INVENTÁRIO!$C$2:$C$801,INVENTÁRIO!$A$2:$A$801,B606))</f>
        <v/>
      </c>
      <c r="F606" s="16" t="str">
        <f aca="false">IF(B606="","",MAX(0,D606-E606))</f>
        <v/>
      </c>
      <c r="G606" s="16" t="str">
        <f aca="false">IF(B606="","",IF(COUNTIFS($B$2:$B$1201,B606,$A$2:$A$1201,"&lt;&gt;"&amp;A606)&gt;0,"Sim",""))</f>
        <v/>
      </c>
      <c r="H606" s="16" t="str">
        <f aca="false">IF(N(F606)&gt;0,MAX(H$1:H605)+1,"")</f>
        <v/>
      </c>
      <c r="I606" s="11" t="str">
        <f aca="false">IF(B606="","",IF(INDEX($C$2:$C$1201,MATCH(B606,$B$2:$B$1201,0))&lt;&gt;C606,"Nome diferente em outro deck — revisar",""))</f>
        <v/>
      </c>
      <c r="J606" s="16" t="str">
        <f aca="false">IF(AND(B606&lt;&gt;"",A606=BULK!$A$1,N(F606)&gt;0),MAX(J$1:J605)+1,"")</f>
        <v/>
      </c>
      <c r="K606" s="11" t="str">
        <f aca="false">IF(B606="","",IFERROR(LEFT(B606,FIND("-",B606)-1),B606))</f>
        <v/>
      </c>
      <c r="L606" s="11" t="str">
        <f aca="false">IF(K606="","",IF(ISNUMBER(--MID(K606,1,1)),0,IF(ISNUMBER(--MID(K606,2,1)),1,IF(ISNUMBER(--MID(K606,3,1)),2,IF(ISNUMBER(--MID(K606,4,1)),3,MIN(LEN(K606),4))))))</f>
        <v/>
      </c>
      <c r="M606" s="11" t="str">
        <f aca="false">IF(B606="","",LEFT(K606,L606)&amp;REPT("0",4-L606)&amp;RIGHT("000"&amp;IFERROR(VALUE(MID(K606,L606+1,9)),0),3)&amp;RIGHT("0000"&amp;IFERROR(VALUE(MID(B606,FIND("-",B606)+1,9)),0),4))</f>
        <v/>
      </c>
      <c r="N606" s="11" t="str">
        <f aca="false">IF(OR(B606="",N(F606)&lt;=0),"",IF('FALTAS POR DECK'!$P$1="Código","K"&amp;M606&amp;RIGHT("00000"&amp;ROW(),5),IF('FALTAS POR DECK'!$P$1="Nome","K"&amp;UPPER(SUBSTITUTE(SUBSTITUTE(SUBSTITUTE(C606,"*",""),"?",""),"~",""))&amp;"0"&amp;M606&amp;RIGHT("00000"&amp;ROW(),5),IF('FALTAS POR DECK'!$P$1="Falta (maior primeiro)","K"&amp;RIGHT("0000"&amp;(9999-F606),4)&amp;M606&amp;RIGHT("00000"&amp;ROW(),5),IF('FALTAS POR DECK'!$P$1="Deck e código","K"&amp;RIGHT("00"&amp;IFERROR(MATCH(A606,_LEITURA!$P$2:$P$21,0),99),2)&amp;M606&amp;RIGHT("00000"&amp;ROW(),5),"K"&amp;RIGHT("00000"&amp;ROW(),5))))))</f>
        <v/>
      </c>
      <c r="O606" s="16" t="str">
        <f aca="false">IF(N606="","",COUNTIFS($N$2:$N$1201,"&lt;"&amp;N606,$F$2:$F$1201,"&gt;0")+1)</f>
        <v/>
      </c>
    </row>
    <row r="607" customFormat="false" ht="15" hidden="false" customHeight="false" outlineLevel="0" collapsed="false">
      <c r="A607" s="11" t="str">
        <f aca="false">IF(_LEITURA!$N607="","",INDEX(_LEITURA!$K$2:$K$1201,_LEITURA!$N607))</f>
        <v/>
      </c>
      <c r="B607" s="11" t="str">
        <f aca="false">IF(_LEITURA!$N607="","",INDEX(_LEITURA!$E$2:$E$1201,_LEITURA!$N607))</f>
        <v/>
      </c>
      <c r="C607" s="11" t="str">
        <f aca="false">IF(_LEITURA!$N607="","",INDEX(_LEITURA!$J$2:$J$1201,_LEITURA!$N607))</f>
        <v/>
      </c>
      <c r="D607" s="16" t="str">
        <f aca="false">IF(_LEITURA!$N607="","",INDEX(_LEITURA!$G$2:$G$1201,_LEITURA!$N607))</f>
        <v/>
      </c>
      <c r="E607" s="16" t="str">
        <f aca="false">IF(B607="","",SUMIFS(INVENTÁRIO!$C$2:$C$801,INVENTÁRIO!$A$2:$A$801,B607))</f>
        <v/>
      </c>
      <c r="F607" s="16" t="str">
        <f aca="false">IF(B607="","",MAX(0,D607-E607))</f>
        <v/>
      </c>
      <c r="G607" s="16" t="str">
        <f aca="false">IF(B607="","",IF(COUNTIFS($B$2:$B$1201,B607,$A$2:$A$1201,"&lt;&gt;"&amp;A607)&gt;0,"Sim",""))</f>
        <v/>
      </c>
      <c r="H607" s="16" t="str">
        <f aca="false">IF(N(F607)&gt;0,MAX(H$1:H606)+1,"")</f>
        <v/>
      </c>
      <c r="I607" s="11" t="str">
        <f aca="false">IF(B607="","",IF(INDEX($C$2:$C$1201,MATCH(B607,$B$2:$B$1201,0))&lt;&gt;C607,"Nome diferente em outro deck — revisar",""))</f>
        <v/>
      </c>
      <c r="J607" s="16" t="str">
        <f aca="false">IF(AND(B607&lt;&gt;"",A607=BULK!$A$1,N(F607)&gt;0),MAX(J$1:J606)+1,"")</f>
        <v/>
      </c>
      <c r="K607" s="11" t="str">
        <f aca="false">IF(B607="","",IFERROR(LEFT(B607,FIND("-",B607)-1),B607))</f>
        <v/>
      </c>
      <c r="L607" s="11" t="str">
        <f aca="false">IF(K607="","",IF(ISNUMBER(--MID(K607,1,1)),0,IF(ISNUMBER(--MID(K607,2,1)),1,IF(ISNUMBER(--MID(K607,3,1)),2,IF(ISNUMBER(--MID(K607,4,1)),3,MIN(LEN(K607),4))))))</f>
        <v/>
      </c>
      <c r="M607" s="11" t="str">
        <f aca="false">IF(B607="","",LEFT(K607,L607)&amp;REPT("0",4-L607)&amp;RIGHT("000"&amp;IFERROR(VALUE(MID(K607,L607+1,9)),0),3)&amp;RIGHT("0000"&amp;IFERROR(VALUE(MID(B607,FIND("-",B607)+1,9)),0),4))</f>
        <v/>
      </c>
      <c r="N607" s="11" t="str">
        <f aca="false">IF(OR(B607="",N(F607)&lt;=0),"",IF('FALTAS POR DECK'!$P$1="Código","K"&amp;M607&amp;RIGHT("00000"&amp;ROW(),5),IF('FALTAS POR DECK'!$P$1="Nome","K"&amp;UPPER(SUBSTITUTE(SUBSTITUTE(SUBSTITUTE(C607,"*",""),"?",""),"~",""))&amp;"0"&amp;M607&amp;RIGHT("00000"&amp;ROW(),5),IF('FALTAS POR DECK'!$P$1="Falta (maior primeiro)","K"&amp;RIGHT("0000"&amp;(9999-F607),4)&amp;M607&amp;RIGHT("00000"&amp;ROW(),5),IF('FALTAS POR DECK'!$P$1="Deck e código","K"&amp;RIGHT("00"&amp;IFERROR(MATCH(A607,_LEITURA!$P$2:$P$21,0),99),2)&amp;M607&amp;RIGHT("00000"&amp;ROW(),5),"K"&amp;RIGHT("00000"&amp;ROW(),5))))))</f>
        <v/>
      </c>
      <c r="O607" s="16" t="str">
        <f aca="false">IF(N607="","",COUNTIFS($N$2:$N$1201,"&lt;"&amp;N607,$F$2:$F$1201,"&gt;0")+1)</f>
        <v/>
      </c>
    </row>
    <row r="608" customFormat="false" ht="15" hidden="false" customHeight="false" outlineLevel="0" collapsed="false">
      <c r="A608" s="11" t="str">
        <f aca="false">IF(_LEITURA!$N608="","",INDEX(_LEITURA!$K$2:$K$1201,_LEITURA!$N608))</f>
        <v/>
      </c>
      <c r="B608" s="11" t="str">
        <f aca="false">IF(_LEITURA!$N608="","",INDEX(_LEITURA!$E$2:$E$1201,_LEITURA!$N608))</f>
        <v/>
      </c>
      <c r="C608" s="11" t="str">
        <f aca="false">IF(_LEITURA!$N608="","",INDEX(_LEITURA!$J$2:$J$1201,_LEITURA!$N608))</f>
        <v/>
      </c>
      <c r="D608" s="16" t="str">
        <f aca="false">IF(_LEITURA!$N608="","",INDEX(_LEITURA!$G$2:$G$1201,_LEITURA!$N608))</f>
        <v/>
      </c>
      <c r="E608" s="16" t="str">
        <f aca="false">IF(B608="","",SUMIFS(INVENTÁRIO!$C$2:$C$801,INVENTÁRIO!$A$2:$A$801,B608))</f>
        <v/>
      </c>
      <c r="F608" s="16" t="str">
        <f aca="false">IF(B608="","",MAX(0,D608-E608))</f>
        <v/>
      </c>
      <c r="G608" s="16" t="str">
        <f aca="false">IF(B608="","",IF(COUNTIFS($B$2:$B$1201,B608,$A$2:$A$1201,"&lt;&gt;"&amp;A608)&gt;0,"Sim",""))</f>
        <v/>
      </c>
      <c r="H608" s="16" t="str">
        <f aca="false">IF(N(F608)&gt;0,MAX(H$1:H607)+1,"")</f>
        <v/>
      </c>
      <c r="I608" s="11" t="str">
        <f aca="false">IF(B608="","",IF(INDEX($C$2:$C$1201,MATCH(B608,$B$2:$B$1201,0))&lt;&gt;C608,"Nome diferente em outro deck — revisar",""))</f>
        <v/>
      </c>
      <c r="J608" s="16" t="str">
        <f aca="false">IF(AND(B608&lt;&gt;"",A608=BULK!$A$1,N(F608)&gt;0),MAX(J$1:J607)+1,"")</f>
        <v/>
      </c>
      <c r="K608" s="11" t="str">
        <f aca="false">IF(B608="","",IFERROR(LEFT(B608,FIND("-",B608)-1),B608))</f>
        <v/>
      </c>
      <c r="L608" s="11" t="str">
        <f aca="false">IF(K608="","",IF(ISNUMBER(--MID(K608,1,1)),0,IF(ISNUMBER(--MID(K608,2,1)),1,IF(ISNUMBER(--MID(K608,3,1)),2,IF(ISNUMBER(--MID(K608,4,1)),3,MIN(LEN(K608),4))))))</f>
        <v/>
      </c>
      <c r="M608" s="11" t="str">
        <f aca="false">IF(B608="","",LEFT(K608,L608)&amp;REPT("0",4-L608)&amp;RIGHT("000"&amp;IFERROR(VALUE(MID(K608,L608+1,9)),0),3)&amp;RIGHT("0000"&amp;IFERROR(VALUE(MID(B608,FIND("-",B608)+1,9)),0),4))</f>
        <v/>
      </c>
      <c r="N608" s="11" t="str">
        <f aca="false">IF(OR(B608="",N(F608)&lt;=0),"",IF('FALTAS POR DECK'!$P$1="Código","K"&amp;M608&amp;RIGHT("00000"&amp;ROW(),5),IF('FALTAS POR DECK'!$P$1="Nome","K"&amp;UPPER(SUBSTITUTE(SUBSTITUTE(SUBSTITUTE(C608,"*",""),"?",""),"~",""))&amp;"0"&amp;M608&amp;RIGHT("00000"&amp;ROW(),5),IF('FALTAS POR DECK'!$P$1="Falta (maior primeiro)","K"&amp;RIGHT("0000"&amp;(9999-F608),4)&amp;M608&amp;RIGHT("00000"&amp;ROW(),5),IF('FALTAS POR DECK'!$P$1="Deck e código","K"&amp;RIGHT("00"&amp;IFERROR(MATCH(A608,_LEITURA!$P$2:$P$21,0),99),2)&amp;M608&amp;RIGHT("00000"&amp;ROW(),5),"K"&amp;RIGHT("00000"&amp;ROW(),5))))))</f>
        <v/>
      </c>
      <c r="O608" s="16" t="str">
        <f aca="false">IF(N608="","",COUNTIFS($N$2:$N$1201,"&lt;"&amp;N608,$F$2:$F$1201,"&gt;0")+1)</f>
        <v/>
      </c>
    </row>
    <row r="609" customFormat="false" ht="15" hidden="false" customHeight="false" outlineLevel="0" collapsed="false">
      <c r="A609" s="11" t="str">
        <f aca="false">IF(_LEITURA!$N609="","",INDEX(_LEITURA!$K$2:$K$1201,_LEITURA!$N609))</f>
        <v/>
      </c>
      <c r="B609" s="11" t="str">
        <f aca="false">IF(_LEITURA!$N609="","",INDEX(_LEITURA!$E$2:$E$1201,_LEITURA!$N609))</f>
        <v/>
      </c>
      <c r="C609" s="11" t="str">
        <f aca="false">IF(_LEITURA!$N609="","",INDEX(_LEITURA!$J$2:$J$1201,_LEITURA!$N609))</f>
        <v/>
      </c>
      <c r="D609" s="16" t="str">
        <f aca="false">IF(_LEITURA!$N609="","",INDEX(_LEITURA!$G$2:$G$1201,_LEITURA!$N609))</f>
        <v/>
      </c>
      <c r="E609" s="16" t="str">
        <f aca="false">IF(B609="","",SUMIFS(INVENTÁRIO!$C$2:$C$801,INVENTÁRIO!$A$2:$A$801,B609))</f>
        <v/>
      </c>
      <c r="F609" s="16" t="str">
        <f aca="false">IF(B609="","",MAX(0,D609-E609))</f>
        <v/>
      </c>
      <c r="G609" s="16" t="str">
        <f aca="false">IF(B609="","",IF(COUNTIFS($B$2:$B$1201,B609,$A$2:$A$1201,"&lt;&gt;"&amp;A609)&gt;0,"Sim",""))</f>
        <v/>
      </c>
      <c r="H609" s="16" t="str">
        <f aca="false">IF(N(F609)&gt;0,MAX(H$1:H608)+1,"")</f>
        <v/>
      </c>
      <c r="I609" s="11" t="str">
        <f aca="false">IF(B609="","",IF(INDEX($C$2:$C$1201,MATCH(B609,$B$2:$B$1201,0))&lt;&gt;C609,"Nome diferente em outro deck — revisar",""))</f>
        <v/>
      </c>
      <c r="J609" s="16" t="str">
        <f aca="false">IF(AND(B609&lt;&gt;"",A609=BULK!$A$1,N(F609)&gt;0),MAX(J$1:J608)+1,"")</f>
        <v/>
      </c>
      <c r="K609" s="11" t="str">
        <f aca="false">IF(B609="","",IFERROR(LEFT(B609,FIND("-",B609)-1),B609))</f>
        <v/>
      </c>
      <c r="L609" s="11" t="str">
        <f aca="false">IF(K609="","",IF(ISNUMBER(--MID(K609,1,1)),0,IF(ISNUMBER(--MID(K609,2,1)),1,IF(ISNUMBER(--MID(K609,3,1)),2,IF(ISNUMBER(--MID(K609,4,1)),3,MIN(LEN(K609),4))))))</f>
        <v/>
      </c>
      <c r="M609" s="11" t="str">
        <f aca="false">IF(B609="","",LEFT(K609,L609)&amp;REPT("0",4-L609)&amp;RIGHT("000"&amp;IFERROR(VALUE(MID(K609,L609+1,9)),0),3)&amp;RIGHT("0000"&amp;IFERROR(VALUE(MID(B609,FIND("-",B609)+1,9)),0),4))</f>
        <v/>
      </c>
      <c r="N609" s="11" t="str">
        <f aca="false">IF(OR(B609="",N(F609)&lt;=0),"",IF('FALTAS POR DECK'!$P$1="Código","K"&amp;M609&amp;RIGHT("00000"&amp;ROW(),5),IF('FALTAS POR DECK'!$P$1="Nome","K"&amp;UPPER(SUBSTITUTE(SUBSTITUTE(SUBSTITUTE(C609,"*",""),"?",""),"~",""))&amp;"0"&amp;M609&amp;RIGHT("00000"&amp;ROW(),5),IF('FALTAS POR DECK'!$P$1="Falta (maior primeiro)","K"&amp;RIGHT("0000"&amp;(9999-F609),4)&amp;M609&amp;RIGHT("00000"&amp;ROW(),5),IF('FALTAS POR DECK'!$P$1="Deck e código","K"&amp;RIGHT("00"&amp;IFERROR(MATCH(A609,_LEITURA!$P$2:$P$21,0),99),2)&amp;M609&amp;RIGHT("00000"&amp;ROW(),5),"K"&amp;RIGHT("00000"&amp;ROW(),5))))))</f>
        <v/>
      </c>
      <c r="O609" s="16" t="str">
        <f aca="false">IF(N609="","",COUNTIFS($N$2:$N$1201,"&lt;"&amp;N609,$F$2:$F$1201,"&gt;0")+1)</f>
        <v/>
      </c>
    </row>
    <row r="610" customFormat="false" ht="15" hidden="false" customHeight="false" outlineLevel="0" collapsed="false">
      <c r="A610" s="11" t="str">
        <f aca="false">IF(_LEITURA!$N610="","",INDEX(_LEITURA!$K$2:$K$1201,_LEITURA!$N610))</f>
        <v/>
      </c>
      <c r="B610" s="11" t="str">
        <f aca="false">IF(_LEITURA!$N610="","",INDEX(_LEITURA!$E$2:$E$1201,_LEITURA!$N610))</f>
        <v/>
      </c>
      <c r="C610" s="11" t="str">
        <f aca="false">IF(_LEITURA!$N610="","",INDEX(_LEITURA!$J$2:$J$1201,_LEITURA!$N610))</f>
        <v/>
      </c>
      <c r="D610" s="16" t="str">
        <f aca="false">IF(_LEITURA!$N610="","",INDEX(_LEITURA!$G$2:$G$1201,_LEITURA!$N610))</f>
        <v/>
      </c>
      <c r="E610" s="16" t="str">
        <f aca="false">IF(B610="","",SUMIFS(INVENTÁRIO!$C$2:$C$801,INVENTÁRIO!$A$2:$A$801,B610))</f>
        <v/>
      </c>
      <c r="F610" s="16" t="str">
        <f aca="false">IF(B610="","",MAX(0,D610-E610))</f>
        <v/>
      </c>
      <c r="G610" s="16" t="str">
        <f aca="false">IF(B610="","",IF(COUNTIFS($B$2:$B$1201,B610,$A$2:$A$1201,"&lt;&gt;"&amp;A610)&gt;0,"Sim",""))</f>
        <v/>
      </c>
      <c r="H610" s="16" t="str">
        <f aca="false">IF(N(F610)&gt;0,MAX(H$1:H609)+1,"")</f>
        <v/>
      </c>
      <c r="I610" s="11" t="str">
        <f aca="false">IF(B610="","",IF(INDEX($C$2:$C$1201,MATCH(B610,$B$2:$B$1201,0))&lt;&gt;C610,"Nome diferente em outro deck — revisar",""))</f>
        <v/>
      </c>
      <c r="J610" s="16" t="str">
        <f aca="false">IF(AND(B610&lt;&gt;"",A610=BULK!$A$1,N(F610)&gt;0),MAX(J$1:J609)+1,"")</f>
        <v/>
      </c>
      <c r="K610" s="11" t="str">
        <f aca="false">IF(B610="","",IFERROR(LEFT(B610,FIND("-",B610)-1),B610))</f>
        <v/>
      </c>
      <c r="L610" s="11" t="str">
        <f aca="false">IF(K610="","",IF(ISNUMBER(--MID(K610,1,1)),0,IF(ISNUMBER(--MID(K610,2,1)),1,IF(ISNUMBER(--MID(K610,3,1)),2,IF(ISNUMBER(--MID(K610,4,1)),3,MIN(LEN(K610),4))))))</f>
        <v/>
      </c>
      <c r="M610" s="11" t="str">
        <f aca="false">IF(B610="","",LEFT(K610,L610)&amp;REPT("0",4-L610)&amp;RIGHT("000"&amp;IFERROR(VALUE(MID(K610,L610+1,9)),0),3)&amp;RIGHT("0000"&amp;IFERROR(VALUE(MID(B610,FIND("-",B610)+1,9)),0),4))</f>
        <v/>
      </c>
      <c r="N610" s="11" t="str">
        <f aca="false">IF(OR(B610="",N(F610)&lt;=0),"",IF('FALTAS POR DECK'!$P$1="Código","K"&amp;M610&amp;RIGHT("00000"&amp;ROW(),5),IF('FALTAS POR DECK'!$P$1="Nome","K"&amp;UPPER(SUBSTITUTE(SUBSTITUTE(SUBSTITUTE(C610,"*",""),"?",""),"~",""))&amp;"0"&amp;M610&amp;RIGHT("00000"&amp;ROW(),5),IF('FALTAS POR DECK'!$P$1="Falta (maior primeiro)","K"&amp;RIGHT("0000"&amp;(9999-F610),4)&amp;M610&amp;RIGHT("00000"&amp;ROW(),5),IF('FALTAS POR DECK'!$P$1="Deck e código","K"&amp;RIGHT("00"&amp;IFERROR(MATCH(A610,_LEITURA!$P$2:$P$21,0),99),2)&amp;M610&amp;RIGHT("00000"&amp;ROW(),5),"K"&amp;RIGHT("00000"&amp;ROW(),5))))))</f>
        <v/>
      </c>
      <c r="O610" s="16" t="str">
        <f aca="false">IF(N610="","",COUNTIFS($N$2:$N$1201,"&lt;"&amp;N610,$F$2:$F$1201,"&gt;0")+1)</f>
        <v/>
      </c>
    </row>
    <row r="611" customFormat="false" ht="15" hidden="false" customHeight="false" outlineLevel="0" collapsed="false">
      <c r="A611" s="11" t="str">
        <f aca="false">IF(_LEITURA!$N611="","",INDEX(_LEITURA!$K$2:$K$1201,_LEITURA!$N611))</f>
        <v/>
      </c>
      <c r="B611" s="11" t="str">
        <f aca="false">IF(_LEITURA!$N611="","",INDEX(_LEITURA!$E$2:$E$1201,_LEITURA!$N611))</f>
        <v/>
      </c>
      <c r="C611" s="11" t="str">
        <f aca="false">IF(_LEITURA!$N611="","",INDEX(_LEITURA!$J$2:$J$1201,_LEITURA!$N611))</f>
        <v/>
      </c>
      <c r="D611" s="16" t="str">
        <f aca="false">IF(_LEITURA!$N611="","",INDEX(_LEITURA!$G$2:$G$1201,_LEITURA!$N611))</f>
        <v/>
      </c>
      <c r="E611" s="16" t="str">
        <f aca="false">IF(B611="","",SUMIFS(INVENTÁRIO!$C$2:$C$801,INVENTÁRIO!$A$2:$A$801,B611))</f>
        <v/>
      </c>
      <c r="F611" s="16" t="str">
        <f aca="false">IF(B611="","",MAX(0,D611-E611))</f>
        <v/>
      </c>
      <c r="G611" s="16" t="str">
        <f aca="false">IF(B611="","",IF(COUNTIFS($B$2:$B$1201,B611,$A$2:$A$1201,"&lt;&gt;"&amp;A611)&gt;0,"Sim",""))</f>
        <v/>
      </c>
      <c r="H611" s="16" t="str">
        <f aca="false">IF(N(F611)&gt;0,MAX(H$1:H610)+1,"")</f>
        <v/>
      </c>
      <c r="I611" s="11" t="str">
        <f aca="false">IF(B611="","",IF(INDEX($C$2:$C$1201,MATCH(B611,$B$2:$B$1201,0))&lt;&gt;C611,"Nome diferente em outro deck — revisar",""))</f>
        <v/>
      </c>
      <c r="J611" s="16" t="str">
        <f aca="false">IF(AND(B611&lt;&gt;"",A611=BULK!$A$1,N(F611)&gt;0),MAX(J$1:J610)+1,"")</f>
        <v/>
      </c>
      <c r="K611" s="11" t="str">
        <f aca="false">IF(B611="","",IFERROR(LEFT(B611,FIND("-",B611)-1),B611))</f>
        <v/>
      </c>
      <c r="L611" s="11" t="str">
        <f aca="false">IF(K611="","",IF(ISNUMBER(--MID(K611,1,1)),0,IF(ISNUMBER(--MID(K611,2,1)),1,IF(ISNUMBER(--MID(K611,3,1)),2,IF(ISNUMBER(--MID(K611,4,1)),3,MIN(LEN(K611),4))))))</f>
        <v/>
      </c>
      <c r="M611" s="11" t="str">
        <f aca="false">IF(B611="","",LEFT(K611,L611)&amp;REPT("0",4-L611)&amp;RIGHT("000"&amp;IFERROR(VALUE(MID(K611,L611+1,9)),0),3)&amp;RIGHT("0000"&amp;IFERROR(VALUE(MID(B611,FIND("-",B611)+1,9)),0),4))</f>
        <v/>
      </c>
      <c r="N611" s="11" t="str">
        <f aca="false">IF(OR(B611="",N(F611)&lt;=0),"",IF('FALTAS POR DECK'!$P$1="Código","K"&amp;M611&amp;RIGHT("00000"&amp;ROW(),5),IF('FALTAS POR DECK'!$P$1="Nome","K"&amp;UPPER(SUBSTITUTE(SUBSTITUTE(SUBSTITUTE(C611,"*",""),"?",""),"~",""))&amp;"0"&amp;M611&amp;RIGHT("00000"&amp;ROW(),5),IF('FALTAS POR DECK'!$P$1="Falta (maior primeiro)","K"&amp;RIGHT("0000"&amp;(9999-F611),4)&amp;M611&amp;RIGHT("00000"&amp;ROW(),5),IF('FALTAS POR DECK'!$P$1="Deck e código","K"&amp;RIGHT("00"&amp;IFERROR(MATCH(A611,_LEITURA!$P$2:$P$21,0),99),2)&amp;M611&amp;RIGHT("00000"&amp;ROW(),5),"K"&amp;RIGHT("00000"&amp;ROW(),5))))))</f>
        <v/>
      </c>
      <c r="O611" s="16" t="str">
        <f aca="false">IF(N611="","",COUNTIFS($N$2:$N$1201,"&lt;"&amp;N611,$F$2:$F$1201,"&gt;0")+1)</f>
        <v/>
      </c>
    </row>
    <row r="612" customFormat="false" ht="15" hidden="false" customHeight="false" outlineLevel="0" collapsed="false">
      <c r="A612" s="11" t="str">
        <f aca="false">IF(_LEITURA!$N612="","",INDEX(_LEITURA!$K$2:$K$1201,_LEITURA!$N612))</f>
        <v/>
      </c>
      <c r="B612" s="11" t="str">
        <f aca="false">IF(_LEITURA!$N612="","",INDEX(_LEITURA!$E$2:$E$1201,_LEITURA!$N612))</f>
        <v/>
      </c>
      <c r="C612" s="11" t="str">
        <f aca="false">IF(_LEITURA!$N612="","",INDEX(_LEITURA!$J$2:$J$1201,_LEITURA!$N612))</f>
        <v/>
      </c>
      <c r="D612" s="16" t="str">
        <f aca="false">IF(_LEITURA!$N612="","",INDEX(_LEITURA!$G$2:$G$1201,_LEITURA!$N612))</f>
        <v/>
      </c>
      <c r="E612" s="16" t="str">
        <f aca="false">IF(B612="","",SUMIFS(INVENTÁRIO!$C$2:$C$801,INVENTÁRIO!$A$2:$A$801,B612))</f>
        <v/>
      </c>
      <c r="F612" s="16" t="str">
        <f aca="false">IF(B612="","",MAX(0,D612-E612))</f>
        <v/>
      </c>
      <c r="G612" s="16" t="str">
        <f aca="false">IF(B612="","",IF(COUNTIFS($B$2:$B$1201,B612,$A$2:$A$1201,"&lt;&gt;"&amp;A612)&gt;0,"Sim",""))</f>
        <v/>
      </c>
      <c r="H612" s="16" t="str">
        <f aca="false">IF(N(F612)&gt;0,MAX(H$1:H611)+1,"")</f>
        <v/>
      </c>
      <c r="I612" s="11" t="str">
        <f aca="false">IF(B612="","",IF(INDEX($C$2:$C$1201,MATCH(B612,$B$2:$B$1201,0))&lt;&gt;C612,"Nome diferente em outro deck — revisar",""))</f>
        <v/>
      </c>
      <c r="J612" s="16" t="str">
        <f aca="false">IF(AND(B612&lt;&gt;"",A612=BULK!$A$1,N(F612)&gt;0),MAX(J$1:J611)+1,"")</f>
        <v/>
      </c>
      <c r="K612" s="11" t="str">
        <f aca="false">IF(B612="","",IFERROR(LEFT(B612,FIND("-",B612)-1),B612))</f>
        <v/>
      </c>
      <c r="L612" s="11" t="str">
        <f aca="false">IF(K612="","",IF(ISNUMBER(--MID(K612,1,1)),0,IF(ISNUMBER(--MID(K612,2,1)),1,IF(ISNUMBER(--MID(K612,3,1)),2,IF(ISNUMBER(--MID(K612,4,1)),3,MIN(LEN(K612),4))))))</f>
        <v/>
      </c>
      <c r="M612" s="11" t="str">
        <f aca="false">IF(B612="","",LEFT(K612,L612)&amp;REPT("0",4-L612)&amp;RIGHT("000"&amp;IFERROR(VALUE(MID(K612,L612+1,9)),0),3)&amp;RIGHT("0000"&amp;IFERROR(VALUE(MID(B612,FIND("-",B612)+1,9)),0),4))</f>
        <v/>
      </c>
      <c r="N612" s="11" t="str">
        <f aca="false">IF(OR(B612="",N(F612)&lt;=0),"",IF('FALTAS POR DECK'!$P$1="Código","K"&amp;M612&amp;RIGHT("00000"&amp;ROW(),5),IF('FALTAS POR DECK'!$P$1="Nome","K"&amp;UPPER(SUBSTITUTE(SUBSTITUTE(SUBSTITUTE(C612,"*",""),"?",""),"~",""))&amp;"0"&amp;M612&amp;RIGHT("00000"&amp;ROW(),5),IF('FALTAS POR DECK'!$P$1="Falta (maior primeiro)","K"&amp;RIGHT("0000"&amp;(9999-F612),4)&amp;M612&amp;RIGHT("00000"&amp;ROW(),5),IF('FALTAS POR DECK'!$P$1="Deck e código","K"&amp;RIGHT("00"&amp;IFERROR(MATCH(A612,_LEITURA!$P$2:$P$21,0),99),2)&amp;M612&amp;RIGHT("00000"&amp;ROW(),5),"K"&amp;RIGHT("00000"&amp;ROW(),5))))))</f>
        <v/>
      </c>
      <c r="O612" s="16" t="str">
        <f aca="false">IF(N612="","",COUNTIFS($N$2:$N$1201,"&lt;"&amp;N612,$F$2:$F$1201,"&gt;0")+1)</f>
        <v/>
      </c>
    </row>
    <row r="613" customFormat="false" ht="15" hidden="false" customHeight="false" outlineLevel="0" collapsed="false">
      <c r="A613" s="11" t="str">
        <f aca="false">IF(_LEITURA!$N613="","",INDEX(_LEITURA!$K$2:$K$1201,_LEITURA!$N613))</f>
        <v/>
      </c>
      <c r="B613" s="11" t="str">
        <f aca="false">IF(_LEITURA!$N613="","",INDEX(_LEITURA!$E$2:$E$1201,_LEITURA!$N613))</f>
        <v/>
      </c>
      <c r="C613" s="11" t="str">
        <f aca="false">IF(_LEITURA!$N613="","",INDEX(_LEITURA!$J$2:$J$1201,_LEITURA!$N613))</f>
        <v/>
      </c>
      <c r="D613" s="16" t="str">
        <f aca="false">IF(_LEITURA!$N613="","",INDEX(_LEITURA!$G$2:$G$1201,_LEITURA!$N613))</f>
        <v/>
      </c>
      <c r="E613" s="16" t="str">
        <f aca="false">IF(B613="","",SUMIFS(INVENTÁRIO!$C$2:$C$801,INVENTÁRIO!$A$2:$A$801,B613))</f>
        <v/>
      </c>
      <c r="F613" s="16" t="str">
        <f aca="false">IF(B613="","",MAX(0,D613-E613))</f>
        <v/>
      </c>
      <c r="G613" s="16" t="str">
        <f aca="false">IF(B613="","",IF(COUNTIFS($B$2:$B$1201,B613,$A$2:$A$1201,"&lt;&gt;"&amp;A613)&gt;0,"Sim",""))</f>
        <v/>
      </c>
      <c r="H613" s="16" t="str">
        <f aca="false">IF(N(F613)&gt;0,MAX(H$1:H612)+1,"")</f>
        <v/>
      </c>
      <c r="I613" s="11" t="str">
        <f aca="false">IF(B613="","",IF(INDEX($C$2:$C$1201,MATCH(B613,$B$2:$B$1201,0))&lt;&gt;C613,"Nome diferente em outro deck — revisar",""))</f>
        <v/>
      </c>
      <c r="J613" s="16" t="str">
        <f aca="false">IF(AND(B613&lt;&gt;"",A613=BULK!$A$1,N(F613)&gt;0),MAX(J$1:J612)+1,"")</f>
        <v/>
      </c>
      <c r="K613" s="11" t="str">
        <f aca="false">IF(B613="","",IFERROR(LEFT(B613,FIND("-",B613)-1),B613))</f>
        <v/>
      </c>
      <c r="L613" s="11" t="str">
        <f aca="false">IF(K613="","",IF(ISNUMBER(--MID(K613,1,1)),0,IF(ISNUMBER(--MID(K613,2,1)),1,IF(ISNUMBER(--MID(K613,3,1)),2,IF(ISNUMBER(--MID(K613,4,1)),3,MIN(LEN(K613),4))))))</f>
        <v/>
      </c>
      <c r="M613" s="11" t="str">
        <f aca="false">IF(B613="","",LEFT(K613,L613)&amp;REPT("0",4-L613)&amp;RIGHT("000"&amp;IFERROR(VALUE(MID(K613,L613+1,9)),0),3)&amp;RIGHT("0000"&amp;IFERROR(VALUE(MID(B613,FIND("-",B613)+1,9)),0),4))</f>
        <v/>
      </c>
      <c r="N613" s="11" t="str">
        <f aca="false">IF(OR(B613="",N(F613)&lt;=0),"",IF('FALTAS POR DECK'!$P$1="Código","K"&amp;M613&amp;RIGHT("00000"&amp;ROW(),5),IF('FALTAS POR DECK'!$P$1="Nome","K"&amp;UPPER(SUBSTITUTE(SUBSTITUTE(SUBSTITUTE(C613,"*",""),"?",""),"~",""))&amp;"0"&amp;M613&amp;RIGHT("00000"&amp;ROW(),5),IF('FALTAS POR DECK'!$P$1="Falta (maior primeiro)","K"&amp;RIGHT("0000"&amp;(9999-F613),4)&amp;M613&amp;RIGHT("00000"&amp;ROW(),5),IF('FALTAS POR DECK'!$P$1="Deck e código","K"&amp;RIGHT("00"&amp;IFERROR(MATCH(A613,_LEITURA!$P$2:$P$21,0),99),2)&amp;M613&amp;RIGHT("00000"&amp;ROW(),5),"K"&amp;RIGHT("00000"&amp;ROW(),5))))))</f>
        <v/>
      </c>
      <c r="O613" s="16" t="str">
        <f aca="false">IF(N613="","",COUNTIFS($N$2:$N$1201,"&lt;"&amp;N613,$F$2:$F$1201,"&gt;0")+1)</f>
        <v/>
      </c>
    </row>
    <row r="614" customFormat="false" ht="15" hidden="false" customHeight="false" outlineLevel="0" collapsed="false">
      <c r="A614" s="11" t="str">
        <f aca="false">IF(_LEITURA!$N614="","",INDEX(_LEITURA!$K$2:$K$1201,_LEITURA!$N614))</f>
        <v/>
      </c>
      <c r="B614" s="11" t="str">
        <f aca="false">IF(_LEITURA!$N614="","",INDEX(_LEITURA!$E$2:$E$1201,_LEITURA!$N614))</f>
        <v/>
      </c>
      <c r="C614" s="11" t="str">
        <f aca="false">IF(_LEITURA!$N614="","",INDEX(_LEITURA!$J$2:$J$1201,_LEITURA!$N614))</f>
        <v/>
      </c>
      <c r="D614" s="16" t="str">
        <f aca="false">IF(_LEITURA!$N614="","",INDEX(_LEITURA!$G$2:$G$1201,_LEITURA!$N614))</f>
        <v/>
      </c>
      <c r="E614" s="16" t="str">
        <f aca="false">IF(B614="","",SUMIFS(INVENTÁRIO!$C$2:$C$801,INVENTÁRIO!$A$2:$A$801,B614))</f>
        <v/>
      </c>
      <c r="F614" s="16" t="str">
        <f aca="false">IF(B614="","",MAX(0,D614-E614))</f>
        <v/>
      </c>
      <c r="G614" s="16" t="str">
        <f aca="false">IF(B614="","",IF(COUNTIFS($B$2:$B$1201,B614,$A$2:$A$1201,"&lt;&gt;"&amp;A614)&gt;0,"Sim",""))</f>
        <v/>
      </c>
      <c r="H614" s="16" t="str">
        <f aca="false">IF(N(F614)&gt;0,MAX(H$1:H613)+1,"")</f>
        <v/>
      </c>
      <c r="I614" s="11" t="str">
        <f aca="false">IF(B614="","",IF(INDEX($C$2:$C$1201,MATCH(B614,$B$2:$B$1201,0))&lt;&gt;C614,"Nome diferente em outro deck — revisar",""))</f>
        <v/>
      </c>
      <c r="J614" s="16" t="str">
        <f aca="false">IF(AND(B614&lt;&gt;"",A614=BULK!$A$1,N(F614)&gt;0),MAX(J$1:J613)+1,"")</f>
        <v/>
      </c>
      <c r="K614" s="11" t="str">
        <f aca="false">IF(B614="","",IFERROR(LEFT(B614,FIND("-",B614)-1),B614))</f>
        <v/>
      </c>
      <c r="L614" s="11" t="str">
        <f aca="false">IF(K614="","",IF(ISNUMBER(--MID(K614,1,1)),0,IF(ISNUMBER(--MID(K614,2,1)),1,IF(ISNUMBER(--MID(K614,3,1)),2,IF(ISNUMBER(--MID(K614,4,1)),3,MIN(LEN(K614),4))))))</f>
        <v/>
      </c>
      <c r="M614" s="11" t="str">
        <f aca="false">IF(B614="","",LEFT(K614,L614)&amp;REPT("0",4-L614)&amp;RIGHT("000"&amp;IFERROR(VALUE(MID(K614,L614+1,9)),0),3)&amp;RIGHT("0000"&amp;IFERROR(VALUE(MID(B614,FIND("-",B614)+1,9)),0),4))</f>
        <v/>
      </c>
      <c r="N614" s="11" t="str">
        <f aca="false">IF(OR(B614="",N(F614)&lt;=0),"",IF('FALTAS POR DECK'!$P$1="Código","K"&amp;M614&amp;RIGHT("00000"&amp;ROW(),5),IF('FALTAS POR DECK'!$P$1="Nome","K"&amp;UPPER(SUBSTITUTE(SUBSTITUTE(SUBSTITUTE(C614,"*",""),"?",""),"~",""))&amp;"0"&amp;M614&amp;RIGHT("00000"&amp;ROW(),5),IF('FALTAS POR DECK'!$P$1="Falta (maior primeiro)","K"&amp;RIGHT("0000"&amp;(9999-F614),4)&amp;M614&amp;RIGHT("00000"&amp;ROW(),5),IF('FALTAS POR DECK'!$P$1="Deck e código","K"&amp;RIGHT("00"&amp;IFERROR(MATCH(A614,_LEITURA!$P$2:$P$21,0),99),2)&amp;M614&amp;RIGHT("00000"&amp;ROW(),5),"K"&amp;RIGHT("00000"&amp;ROW(),5))))))</f>
        <v/>
      </c>
      <c r="O614" s="16" t="str">
        <f aca="false">IF(N614="","",COUNTIFS($N$2:$N$1201,"&lt;"&amp;N614,$F$2:$F$1201,"&gt;0")+1)</f>
        <v/>
      </c>
    </row>
    <row r="615" customFormat="false" ht="15" hidden="false" customHeight="false" outlineLevel="0" collapsed="false">
      <c r="A615" s="11" t="str">
        <f aca="false">IF(_LEITURA!$N615="","",INDEX(_LEITURA!$K$2:$K$1201,_LEITURA!$N615))</f>
        <v/>
      </c>
      <c r="B615" s="11" t="str">
        <f aca="false">IF(_LEITURA!$N615="","",INDEX(_LEITURA!$E$2:$E$1201,_LEITURA!$N615))</f>
        <v/>
      </c>
      <c r="C615" s="11" t="str">
        <f aca="false">IF(_LEITURA!$N615="","",INDEX(_LEITURA!$J$2:$J$1201,_LEITURA!$N615))</f>
        <v/>
      </c>
      <c r="D615" s="16" t="str">
        <f aca="false">IF(_LEITURA!$N615="","",INDEX(_LEITURA!$G$2:$G$1201,_LEITURA!$N615))</f>
        <v/>
      </c>
      <c r="E615" s="16" t="str">
        <f aca="false">IF(B615="","",SUMIFS(INVENTÁRIO!$C$2:$C$801,INVENTÁRIO!$A$2:$A$801,B615))</f>
        <v/>
      </c>
      <c r="F615" s="16" t="str">
        <f aca="false">IF(B615="","",MAX(0,D615-E615))</f>
        <v/>
      </c>
      <c r="G615" s="16" t="str">
        <f aca="false">IF(B615="","",IF(COUNTIFS($B$2:$B$1201,B615,$A$2:$A$1201,"&lt;&gt;"&amp;A615)&gt;0,"Sim",""))</f>
        <v/>
      </c>
      <c r="H615" s="16" t="str">
        <f aca="false">IF(N(F615)&gt;0,MAX(H$1:H614)+1,"")</f>
        <v/>
      </c>
      <c r="I615" s="11" t="str">
        <f aca="false">IF(B615="","",IF(INDEX($C$2:$C$1201,MATCH(B615,$B$2:$B$1201,0))&lt;&gt;C615,"Nome diferente em outro deck — revisar",""))</f>
        <v/>
      </c>
      <c r="J615" s="16" t="str">
        <f aca="false">IF(AND(B615&lt;&gt;"",A615=BULK!$A$1,N(F615)&gt;0),MAX(J$1:J614)+1,"")</f>
        <v/>
      </c>
      <c r="K615" s="11" t="str">
        <f aca="false">IF(B615="","",IFERROR(LEFT(B615,FIND("-",B615)-1),B615))</f>
        <v/>
      </c>
      <c r="L615" s="11" t="str">
        <f aca="false">IF(K615="","",IF(ISNUMBER(--MID(K615,1,1)),0,IF(ISNUMBER(--MID(K615,2,1)),1,IF(ISNUMBER(--MID(K615,3,1)),2,IF(ISNUMBER(--MID(K615,4,1)),3,MIN(LEN(K615),4))))))</f>
        <v/>
      </c>
      <c r="M615" s="11" t="str">
        <f aca="false">IF(B615="","",LEFT(K615,L615)&amp;REPT("0",4-L615)&amp;RIGHT("000"&amp;IFERROR(VALUE(MID(K615,L615+1,9)),0),3)&amp;RIGHT("0000"&amp;IFERROR(VALUE(MID(B615,FIND("-",B615)+1,9)),0),4))</f>
        <v/>
      </c>
      <c r="N615" s="11" t="str">
        <f aca="false">IF(OR(B615="",N(F615)&lt;=0),"",IF('FALTAS POR DECK'!$P$1="Código","K"&amp;M615&amp;RIGHT("00000"&amp;ROW(),5),IF('FALTAS POR DECK'!$P$1="Nome","K"&amp;UPPER(SUBSTITUTE(SUBSTITUTE(SUBSTITUTE(C615,"*",""),"?",""),"~",""))&amp;"0"&amp;M615&amp;RIGHT("00000"&amp;ROW(),5),IF('FALTAS POR DECK'!$P$1="Falta (maior primeiro)","K"&amp;RIGHT("0000"&amp;(9999-F615),4)&amp;M615&amp;RIGHT("00000"&amp;ROW(),5),IF('FALTAS POR DECK'!$P$1="Deck e código","K"&amp;RIGHT("00"&amp;IFERROR(MATCH(A615,_LEITURA!$P$2:$P$21,0),99),2)&amp;M615&amp;RIGHT("00000"&amp;ROW(),5),"K"&amp;RIGHT("00000"&amp;ROW(),5))))))</f>
        <v/>
      </c>
      <c r="O615" s="16" t="str">
        <f aca="false">IF(N615="","",COUNTIFS($N$2:$N$1201,"&lt;"&amp;N615,$F$2:$F$1201,"&gt;0")+1)</f>
        <v/>
      </c>
    </row>
    <row r="616" customFormat="false" ht="15" hidden="false" customHeight="false" outlineLevel="0" collapsed="false">
      <c r="A616" s="11" t="str">
        <f aca="false">IF(_LEITURA!$N616="","",INDEX(_LEITURA!$K$2:$K$1201,_LEITURA!$N616))</f>
        <v/>
      </c>
      <c r="B616" s="11" t="str">
        <f aca="false">IF(_LEITURA!$N616="","",INDEX(_LEITURA!$E$2:$E$1201,_LEITURA!$N616))</f>
        <v/>
      </c>
      <c r="C616" s="11" t="str">
        <f aca="false">IF(_LEITURA!$N616="","",INDEX(_LEITURA!$J$2:$J$1201,_LEITURA!$N616))</f>
        <v/>
      </c>
      <c r="D616" s="16" t="str">
        <f aca="false">IF(_LEITURA!$N616="","",INDEX(_LEITURA!$G$2:$G$1201,_LEITURA!$N616))</f>
        <v/>
      </c>
      <c r="E616" s="16" t="str">
        <f aca="false">IF(B616="","",SUMIFS(INVENTÁRIO!$C$2:$C$801,INVENTÁRIO!$A$2:$A$801,B616))</f>
        <v/>
      </c>
      <c r="F616" s="16" t="str">
        <f aca="false">IF(B616="","",MAX(0,D616-E616))</f>
        <v/>
      </c>
      <c r="G616" s="16" t="str">
        <f aca="false">IF(B616="","",IF(COUNTIFS($B$2:$B$1201,B616,$A$2:$A$1201,"&lt;&gt;"&amp;A616)&gt;0,"Sim",""))</f>
        <v/>
      </c>
      <c r="H616" s="16" t="str">
        <f aca="false">IF(N(F616)&gt;0,MAX(H$1:H615)+1,"")</f>
        <v/>
      </c>
      <c r="I616" s="11" t="str">
        <f aca="false">IF(B616="","",IF(INDEX($C$2:$C$1201,MATCH(B616,$B$2:$B$1201,0))&lt;&gt;C616,"Nome diferente em outro deck — revisar",""))</f>
        <v/>
      </c>
      <c r="J616" s="16" t="str">
        <f aca="false">IF(AND(B616&lt;&gt;"",A616=BULK!$A$1,N(F616)&gt;0),MAX(J$1:J615)+1,"")</f>
        <v/>
      </c>
      <c r="K616" s="11" t="str">
        <f aca="false">IF(B616="","",IFERROR(LEFT(B616,FIND("-",B616)-1),B616))</f>
        <v/>
      </c>
      <c r="L616" s="11" t="str">
        <f aca="false">IF(K616="","",IF(ISNUMBER(--MID(K616,1,1)),0,IF(ISNUMBER(--MID(K616,2,1)),1,IF(ISNUMBER(--MID(K616,3,1)),2,IF(ISNUMBER(--MID(K616,4,1)),3,MIN(LEN(K616),4))))))</f>
        <v/>
      </c>
      <c r="M616" s="11" t="str">
        <f aca="false">IF(B616="","",LEFT(K616,L616)&amp;REPT("0",4-L616)&amp;RIGHT("000"&amp;IFERROR(VALUE(MID(K616,L616+1,9)),0),3)&amp;RIGHT("0000"&amp;IFERROR(VALUE(MID(B616,FIND("-",B616)+1,9)),0),4))</f>
        <v/>
      </c>
      <c r="N616" s="11" t="str">
        <f aca="false">IF(OR(B616="",N(F616)&lt;=0),"",IF('FALTAS POR DECK'!$P$1="Código","K"&amp;M616&amp;RIGHT("00000"&amp;ROW(),5),IF('FALTAS POR DECK'!$P$1="Nome","K"&amp;UPPER(SUBSTITUTE(SUBSTITUTE(SUBSTITUTE(C616,"*",""),"?",""),"~",""))&amp;"0"&amp;M616&amp;RIGHT("00000"&amp;ROW(),5),IF('FALTAS POR DECK'!$P$1="Falta (maior primeiro)","K"&amp;RIGHT("0000"&amp;(9999-F616),4)&amp;M616&amp;RIGHT("00000"&amp;ROW(),5),IF('FALTAS POR DECK'!$P$1="Deck e código","K"&amp;RIGHT("00"&amp;IFERROR(MATCH(A616,_LEITURA!$P$2:$P$21,0),99),2)&amp;M616&amp;RIGHT("00000"&amp;ROW(),5),"K"&amp;RIGHT("00000"&amp;ROW(),5))))))</f>
        <v/>
      </c>
      <c r="O616" s="16" t="str">
        <f aca="false">IF(N616="","",COUNTIFS($N$2:$N$1201,"&lt;"&amp;N616,$F$2:$F$1201,"&gt;0")+1)</f>
        <v/>
      </c>
    </row>
    <row r="617" customFormat="false" ht="15" hidden="false" customHeight="false" outlineLevel="0" collapsed="false">
      <c r="A617" s="11" t="str">
        <f aca="false">IF(_LEITURA!$N617="","",INDEX(_LEITURA!$K$2:$K$1201,_LEITURA!$N617))</f>
        <v/>
      </c>
      <c r="B617" s="11" t="str">
        <f aca="false">IF(_LEITURA!$N617="","",INDEX(_LEITURA!$E$2:$E$1201,_LEITURA!$N617))</f>
        <v/>
      </c>
      <c r="C617" s="11" t="str">
        <f aca="false">IF(_LEITURA!$N617="","",INDEX(_LEITURA!$J$2:$J$1201,_LEITURA!$N617))</f>
        <v/>
      </c>
      <c r="D617" s="16" t="str">
        <f aca="false">IF(_LEITURA!$N617="","",INDEX(_LEITURA!$G$2:$G$1201,_LEITURA!$N617))</f>
        <v/>
      </c>
      <c r="E617" s="16" t="str">
        <f aca="false">IF(B617="","",SUMIFS(INVENTÁRIO!$C$2:$C$801,INVENTÁRIO!$A$2:$A$801,B617))</f>
        <v/>
      </c>
      <c r="F617" s="16" t="str">
        <f aca="false">IF(B617="","",MAX(0,D617-E617))</f>
        <v/>
      </c>
      <c r="G617" s="16" t="str">
        <f aca="false">IF(B617="","",IF(COUNTIFS($B$2:$B$1201,B617,$A$2:$A$1201,"&lt;&gt;"&amp;A617)&gt;0,"Sim",""))</f>
        <v/>
      </c>
      <c r="H617" s="16" t="str">
        <f aca="false">IF(N(F617)&gt;0,MAX(H$1:H616)+1,"")</f>
        <v/>
      </c>
      <c r="I617" s="11" t="str">
        <f aca="false">IF(B617="","",IF(INDEX($C$2:$C$1201,MATCH(B617,$B$2:$B$1201,0))&lt;&gt;C617,"Nome diferente em outro deck — revisar",""))</f>
        <v/>
      </c>
      <c r="J617" s="16" t="str">
        <f aca="false">IF(AND(B617&lt;&gt;"",A617=BULK!$A$1,N(F617)&gt;0),MAX(J$1:J616)+1,"")</f>
        <v/>
      </c>
      <c r="K617" s="11" t="str">
        <f aca="false">IF(B617="","",IFERROR(LEFT(B617,FIND("-",B617)-1),B617))</f>
        <v/>
      </c>
      <c r="L617" s="11" t="str">
        <f aca="false">IF(K617="","",IF(ISNUMBER(--MID(K617,1,1)),0,IF(ISNUMBER(--MID(K617,2,1)),1,IF(ISNUMBER(--MID(K617,3,1)),2,IF(ISNUMBER(--MID(K617,4,1)),3,MIN(LEN(K617),4))))))</f>
        <v/>
      </c>
      <c r="M617" s="11" t="str">
        <f aca="false">IF(B617="","",LEFT(K617,L617)&amp;REPT("0",4-L617)&amp;RIGHT("000"&amp;IFERROR(VALUE(MID(K617,L617+1,9)),0),3)&amp;RIGHT("0000"&amp;IFERROR(VALUE(MID(B617,FIND("-",B617)+1,9)),0),4))</f>
        <v/>
      </c>
      <c r="N617" s="11" t="str">
        <f aca="false">IF(OR(B617="",N(F617)&lt;=0),"",IF('FALTAS POR DECK'!$P$1="Código","K"&amp;M617&amp;RIGHT("00000"&amp;ROW(),5),IF('FALTAS POR DECK'!$P$1="Nome","K"&amp;UPPER(SUBSTITUTE(SUBSTITUTE(SUBSTITUTE(C617,"*",""),"?",""),"~",""))&amp;"0"&amp;M617&amp;RIGHT("00000"&amp;ROW(),5),IF('FALTAS POR DECK'!$P$1="Falta (maior primeiro)","K"&amp;RIGHT("0000"&amp;(9999-F617),4)&amp;M617&amp;RIGHT("00000"&amp;ROW(),5),IF('FALTAS POR DECK'!$P$1="Deck e código","K"&amp;RIGHT("00"&amp;IFERROR(MATCH(A617,_LEITURA!$P$2:$P$21,0),99),2)&amp;M617&amp;RIGHT("00000"&amp;ROW(),5),"K"&amp;RIGHT("00000"&amp;ROW(),5))))))</f>
        <v/>
      </c>
      <c r="O617" s="16" t="str">
        <f aca="false">IF(N617="","",COUNTIFS($N$2:$N$1201,"&lt;"&amp;N617,$F$2:$F$1201,"&gt;0")+1)</f>
        <v/>
      </c>
    </row>
    <row r="618" customFormat="false" ht="15" hidden="false" customHeight="false" outlineLevel="0" collapsed="false">
      <c r="A618" s="11" t="str">
        <f aca="false">IF(_LEITURA!$N618="","",INDEX(_LEITURA!$K$2:$K$1201,_LEITURA!$N618))</f>
        <v/>
      </c>
      <c r="B618" s="11" t="str">
        <f aca="false">IF(_LEITURA!$N618="","",INDEX(_LEITURA!$E$2:$E$1201,_LEITURA!$N618))</f>
        <v/>
      </c>
      <c r="C618" s="11" t="str">
        <f aca="false">IF(_LEITURA!$N618="","",INDEX(_LEITURA!$J$2:$J$1201,_LEITURA!$N618))</f>
        <v/>
      </c>
      <c r="D618" s="16" t="str">
        <f aca="false">IF(_LEITURA!$N618="","",INDEX(_LEITURA!$G$2:$G$1201,_LEITURA!$N618))</f>
        <v/>
      </c>
      <c r="E618" s="16" t="str">
        <f aca="false">IF(B618="","",SUMIFS(INVENTÁRIO!$C$2:$C$801,INVENTÁRIO!$A$2:$A$801,B618))</f>
        <v/>
      </c>
      <c r="F618" s="16" t="str">
        <f aca="false">IF(B618="","",MAX(0,D618-E618))</f>
        <v/>
      </c>
      <c r="G618" s="16" t="str">
        <f aca="false">IF(B618="","",IF(COUNTIFS($B$2:$B$1201,B618,$A$2:$A$1201,"&lt;&gt;"&amp;A618)&gt;0,"Sim",""))</f>
        <v/>
      </c>
      <c r="H618" s="16" t="str">
        <f aca="false">IF(N(F618)&gt;0,MAX(H$1:H617)+1,"")</f>
        <v/>
      </c>
      <c r="I618" s="11" t="str">
        <f aca="false">IF(B618="","",IF(INDEX($C$2:$C$1201,MATCH(B618,$B$2:$B$1201,0))&lt;&gt;C618,"Nome diferente em outro deck — revisar",""))</f>
        <v/>
      </c>
      <c r="J618" s="16" t="str">
        <f aca="false">IF(AND(B618&lt;&gt;"",A618=BULK!$A$1,N(F618)&gt;0),MAX(J$1:J617)+1,"")</f>
        <v/>
      </c>
      <c r="K618" s="11" t="str">
        <f aca="false">IF(B618="","",IFERROR(LEFT(B618,FIND("-",B618)-1),B618))</f>
        <v/>
      </c>
      <c r="L618" s="11" t="str">
        <f aca="false">IF(K618="","",IF(ISNUMBER(--MID(K618,1,1)),0,IF(ISNUMBER(--MID(K618,2,1)),1,IF(ISNUMBER(--MID(K618,3,1)),2,IF(ISNUMBER(--MID(K618,4,1)),3,MIN(LEN(K618),4))))))</f>
        <v/>
      </c>
      <c r="M618" s="11" t="str">
        <f aca="false">IF(B618="","",LEFT(K618,L618)&amp;REPT("0",4-L618)&amp;RIGHT("000"&amp;IFERROR(VALUE(MID(K618,L618+1,9)),0),3)&amp;RIGHT("0000"&amp;IFERROR(VALUE(MID(B618,FIND("-",B618)+1,9)),0),4))</f>
        <v/>
      </c>
      <c r="N618" s="11" t="str">
        <f aca="false">IF(OR(B618="",N(F618)&lt;=0),"",IF('FALTAS POR DECK'!$P$1="Código","K"&amp;M618&amp;RIGHT("00000"&amp;ROW(),5),IF('FALTAS POR DECK'!$P$1="Nome","K"&amp;UPPER(SUBSTITUTE(SUBSTITUTE(SUBSTITUTE(C618,"*",""),"?",""),"~",""))&amp;"0"&amp;M618&amp;RIGHT("00000"&amp;ROW(),5),IF('FALTAS POR DECK'!$P$1="Falta (maior primeiro)","K"&amp;RIGHT("0000"&amp;(9999-F618),4)&amp;M618&amp;RIGHT("00000"&amp;ROW(),5),IF('FALTAS POR DECK'!$P$1="Deck e código","K"&amp;RIGHT("00"&amp;IFERROR(MATCH(A618,_LEITURA!$P$2:$P$21,0),99),2)&amp;M618&amp;RIGHT("00000"&amp;ROW(),5),"K"&amp;RIGHT("00000"&amp;ROW(),5))))))</f>
        <v/>
      </c>
      <c r="O618" s="16" t="str">
        <f aca="false">IF(N618="","",COUNTIFS($N$2:$N$1201,"&lt;"&amp;N618,$F$2:$F$1201,"&gt;0")+1)</f>
        <v/>
      </c>
    </row>
    <row r="619" customFormat="false" ht="15" hidden="false" customHeight="false" outlineLevel="0" collapsed="false">
      <c r="A619" s="11" t="str">
        <f aca="false">IF(_LEITURA!$N619="","",INDEX(_LEITURA!$K$2:$K$1201,_LEITURA!$N619))</f>
        <v/>
      </c>
      <c r="B619" s="11" t="str">
        <f aca="false">IF(_LEITURA!$N619="","",INDEX(_LEITURA!$E$2:$E$1201,_LEITURA!$N619))</f>
        <v/>
      </c>
      <c r="C619" s="11" t="str">
        <f aca="false">IF(_LEITURA!$N619="","",INDEX(_LEITURA!$J$2:$J$1201,_LEITURA!$N619))</f>
        <v/>
      </c>
      <c r="D619" s="16" t="str">
        <f aca="false">IF(_LEITURA!$N619="","",INDEX(_LEITURA!$G$2:$G$1201,_LEITURA!$N619))</f>
        <v/>
      </c>
      <c r="E619" s="16" t="str">
        <f aca="false">IF(B619="","",SUMIFS(INVENTÁRIO!$C$2:$C$801,INVENTÁRIO!$A$2:$A$801,B619))</f>
        <v/>
      </c>
      <c r="F619" s="16" t="str">
        <f aca="false">IF(B619="","",MAX(0,D619-E619))</f>
        <v/>
      </c>
      <c r="G619" s="16" t="str">
        <f aca="false">IF(B619="","",IF(COUNTIFS($B$2:$B$1201,B619,$A$2:$A$1201,"&lt;&gt;"&amp;A619)&gt;0,"Sim",""))</f>
        <v/>
      </c>
      <c r="H619" s="16" t="str">
        <f aca="false">IF(N(F619)&gt;0,MAX(H$1:H618)+1,"")</f>
        <v/>
      </c>
      <c r="I619" s="11" t="str">
        <f aca="false">IF(B619="","",IF(INDEX($C$2:$C$1201,MATCH(B619,$B$2:$B$1201,0))&lt;&gt;C619,"Nome diferente em outro deck — revisar",""))</f>
        <v/>
      </c>
      <c r="J619" s="16" t="str">
        <f aca="false">IF(AND(B619&lt;&gt;"",A619=BULK!$A$1,N(F619)&gt;0),MAX(J$1:J618)+1,"")</f>
        <v/>
      </c>
      <c r="K619" s="11" t="str">
        <f aca="false">IF(B619="","",IFERROR(LEFT(B619,FIND("-",B619)-1),B619))</f>
        <v/>
      </c>
      <c r="L619" s="11" t="str">
        <f aca="false">IF(K619="","",IF(ISNUMBER(--MID(K619,1,1)),0,IF(ISNUMBER(--MID(K619,2,1)),1,IF(ISNUMBER(--MID(K619,3,1)),2,IF(ISNUMBER(--MID(K619,4,1)),3,MIN(LEN(K619),4))))))</f>
        <v/>
      </c>
      <c r="M619" s="11" t="str">
        <f aca="false">IF(B619="","",LEFT(K619,L619)&amp;REPT("0",4-L619)&amp;RIGHT("000"&amp;IFERROR(VALUE(MID(K619,L619+1,9)),0),3)&amp;RIGHT("0000"&amp;IFERROR(VALUE(MID(B619,FIND("-",B619)+1,9)),0),4))</f>
        <v/>
      </c>
      <c r="N619" s="11" t="str">
        <f aca="false">IF(OR(B619="",N(F619)&lt;=0),"",IF('FALTAS POR DECK'!$P$1="Código","K"&amp;M619&amp;RIGHT("00000"&amp;ROW(),5),IF('FALTAS POR DECK'!$P$1="Nome","K"&amp;UPPER(SUBSTITUTE(SUBSTITUTE(SUBSTITUTE(C619,"*",""),"?",""),"~",""))&amp;"0"&amp;M619&amp;RIGHT("00000"&amp;ROW(),5),IF('FALTAS POR DECK'!$P$1="Falta (maior primeiro)","K"&amp;RIGHT("0000"&amp;(9999-F619),4)&amp;M619&amp;RIGHT("00000"&amp;ROW(),5),IF('FALTAS POR DECK'!$P$1="Deck e código","K"&amp;RIGHT("00"&amp;IFERROR(MATCH(A619,_LEITURA!$P$2:$P$21,0),99),2)&amp;M619&amp;RIGHT("00000"&amp;ROW(),5),"K"&amp;RIGHT("00000"&amp;ROW(),5))))))</f>
        <v/>
      </c>
      <c r="O619" s="16" t="str">
        <f aca="false">IF(N619="","",COUNTIFS($N$2:$N$1201,"&lt;"&amp;N619,$F$2:$F$1201,"&gt;0")+1)</f>
        <v/>
      </c>
    </row>
    <row r="620" customFormat="false" ht="15" hidden="false" customHeight="false" outlineLevel="0" collapsed="false">
      <c r="A620" s="11" t="str">
        <f aca="false">IF(_LEITURA!$N620="","",INDEX(_LEITURA!$K$2:$K$1201,_LEITURA!$N620))</f>
        <v/>
      </c>
      <c r="B620" s="11" t="str">
        <f aca="false">IF(_LEITURA!$N620="","",INDEX(_LEITURA!$E$2:$E$1201,_LEITURA!$N620))</f>
        <v/>
      </c>
      <c r="C620" s="11" t="str">
        <f aca="false">IF(_LEITURA!$N620="","",INDEX(_LEITURA!$J$2:$J$1201,_LEITURA!$N620))</f>
        <v/>
      </c>
      <c r="D620" s="16" t="str">
        <f aca="false">IF(_LEITURA!$N620="","",INDEX(_LEITURA!$G$2:$G$1201,_LEITURA!$N620))</f>
        <v/>
      </c>
      <c r="E620" s="16" t="str">
        <f aca="false">IF(B620="","",SUMIFS(INVENTÁRIO!$C$2:$C$801,INVENTÁRIO!$A$2:$A$801,B620))</f>
        <v/>
      </c>
      <c r="F620" s="16" t="str">
        <f aca="false">IF(B620="","",MAX(0,D620-E620))</f>
        <v/>
      </c>
      <c r="G620" s="16" t="str">
        <f aca="false">IF(B620="","",IF(COUNTIFS($B$2:$B$1201,B620,$A$2:$A$1201,"&lt;&gt;"&amp;A620)&gt;0,"Sim",""))</f>
        <v/>
      </c>
      <c r="H620" s="16" t="str">
        <f aca="false">IF(N(F620)&gt;0,MAX(H$1:H619)+1,"")</f>
        <v/>
      </c>
      <c r="I620" s="11" t="str">
        <f aca="false">IF(B620="","",IF(INDEX($C$2:$C$1201,MATCH(B620,$B$2:$B$1201,0))&lt;&gt;C620,"Nome diferente em outro deck — revisar",""))</f>
        <v/>
      </c>
      <c r="J620" s="16" t="str">
        <f aca="false">IF(AND(B620&lt;&gt;"",A620=BULK!$A$1,N(F620)&gt;0),MAX(J$1:J619)+1,"")</f>
        <v/>
      </c>
      <c r="K620" s="11" t="str">
        <f aca="false">IF(B620="","",IFERROR(LEFT(B620,FIND("-",B620)-1),B620))</f>
        <v/>
      </c>
      <c r="L620" s="11" t="str">
        <f aca="false">IF(K620="","",IF(ISNUMBER(--MID(K620,1,1)),0,IF(ISNUMBER(--MID(K620,2,1)),1,IF(ISNUMBER(--MID(K620,3,1)),2,IF(ISNUMBER(--MID(K620,4,1)),3,MIN(LEN(K620),4))))))</f>
        <v/>
      </c>
      <c r="M620" s="11" t="str">
        <f aca="false">IF(B620="","",LEFT(K620,L620)&amp;REPT("0",4-L620)&amp;RIGHT("000"&amp;IFERROR(VALUE(MID(K620,L620+1,9)),0),3)&amp;RIGHT("0000"&amp;IFERROR(VALUE(MID(B620,FIND("-",B620)+1,9)),0),4))</f>
        <v/>
      </c>
      <c r="N620" s="11" t="str">
        <f aca="false">IF(OR(B620="",N(F620)&lt;=0),"",IF('FALTAS POR DECK'!$P$1="Código","K"&amp;M620&amp;RIGHT("00000"&amp;ROW(),5),IF('FALTAS POR DECK'!$P$1="Nome","K"&amp;UPPER(SUBSTITUTE(SUBSTITUTE(SUBSTITUTE(C620,"*",""),"?",""),"~",""))&amp;"0"&amp;M620&amp;RIGHT("00000"&amp;ROW(),5),IF('FALTAS POR DECK'!$P$1="Falta (maior primeiro)","K"&amp;RIGHT("0000"&amp;(9999-F620),4)&amp;M620&amp;RIGHT("00000"&amp;ROW(),5),IF('FALTAS POR DECK'!$P$1="Deck e código","K"&amp;RIGHT("00"&amp;IFERROR(MATCH(A620,_LEITURA!$P$2:$P$21,0),99),2)&amp;M620&amp;RIGHT("00000"&amp;ROW(),5),"K"&amp;RIGHT("00000"&amp;ROW(),5))))))</f>
        <v/>
      </c>
      <c r="O620" s="16" t="str">
        <f aca="false">IF(N620="","",COUNTIFS($N$2:$N$1201,"&lt;"&amp;N620,$F$2:$F$1201,"&gt;0")+1)</f>
        <v/>
      </c>
    </row>
    <row r="621" customFormat="false" ht="15" hidden="false" customHeight="false" outlineLevel="0" collapsed="false">
      <c r="A621" s="11" t="str">
        <f aca="false">IF(_LEITURA!$N621="","",INDEX(_LEITURA!$K$2:$K$1201,_LEITURA!$N621))</f>
        <v/>
      </c>
      <c r="B621" s="11" t="str">
        <f aca="false">IF(_LEITURA!$N621="","",INDEX(_LEITURA!$E$2:$E$1201,_LEITURA!$N621))</f>
        <v/>
      </c>
      <c r="C621" s="11" t="str">
        <f aca="false">IF(_LEITURA!$N621="","",INDEX(_LEITURA!$J$2:$J$1201,_LEITURA!$N621))</f>
        <v/>
      </c>
      <c r="D621" s="16" t="str">
        <f aca="false">IF(_LEITURA!$N621="","",INDEX(_LEITURA!$G$2:$G$1201,_LEITURA!$N621))</f>
        <v/>
      </c>
      <c r="E621" s="16" t="str">
        <f aca="false">IF(B621="","",SUMIFS(INVENTÁRIO!$C$2:$C$801,INVENTÁRIO!$A$2:$A$801,B621))</f>
        <v/>
      </c>
      <c r="F621" s="16" t="str">
        <f aca="false">IF(B621="","",MAX(0,D621-E621))</f>
        <v/>
      </c>
      <c r="G621" s="16" t="str">
        <f aca="false">IF(B621="","",IF(COUNTIFS($B$2:$B$1201,B621,$A$2:$A$1201,"&lt;&gt;"&amp;A621)&gt;0,"Sim",""))</f>
        <v/>
      </c>
      <c r="H621" s="16" t="str">
        <f aca="false">IF(N(F621)&gt;0,MAX(H$1:H620)+1,"")</f>
        <v/>
      </c>
      <c r="I621" s="11" t="str">
        <f aca="false">IF(B621="","",IF(INDEX($C$2:$C$1201,MATCH(B621,$B$2:$B$1201,0))&lt;&gt;C621,"Nome diferente em outro deck — revisar",""))</f>
        <v/>
      </c>
      <c r="J621" s="16" t="str">
        <f aca="false">IF(AND(B621&lt;&gt;"",A621=BULK!$A$1,N(F621)&gt;0),MAX(J$1:J620)+1,"")</f>
        <v/>
      </c>
      <c r="K621" s="11" t="str">
        <f aca="false">IF(B621="","",IFERROR(LEFT(B621,FIND("-",B621)-1),B621))</f>
        <v/>
      </c>
      <c r="L621" s="11" t="str">
        <f aca="false">IF(K621="","",IF(ISNUMBER(--MID(K621,1,1)),0,IF(ISNUMBER(--MID(K621,2,1)),1,IF(ISNUMBER(--MID(K621,3,1)),2,IF(ISNUMBER(--MID(K621,4,1)),3,MIN(LEN(K621),4))))))</f>
        <v/>
      </c>
      <c r="M621" s="11" t="str">
        <f aca="false">IF(B621="","",LEFT(K621,L621)&amp;REPT("0",4-L621)&amp;RIGHT("000"&amp;IFERROR(VALUE(MID(K621,L621+1,9)),0),3)&amp;RIGHT("0000"&amp;IFERROR(VALUE(MID(B621,FIND("-",B621)+1,9)),0),4))</f>
        <v/>
      </c>
      <c r="N621" s="11" t="str">
        <f aca="false">IF(OR(B621="",N(F621)&lt;=0),"",IF('FALTAS POR DECK'!$P$1="Código","K"&amp;M621&amp;RIGHT("00000"&amp;ROW(),5),IF('FALTAS POR DECK'!$P$1="Nome","K"&amp;UPPER(SUBSTITUTE(SUBSTITUTE(SUBSTITUTE(C621,"*",""),"?",""),"~",""))&amp;"0"&amp;M621&amp;RIGHT("00000"&amp;ROW(),5),IF('FALTAS POR DECK'!$P$1="Falta (maior primeiro)","K"&amp;RIGHT("0000"&amp;(9999-F621),4)&amp;M621&amp;RIGHT("00000"&amp;ROW(),5),IF('FALTAS POR DECK'!$P$1="Deck e código","K"&amp;RIGHT("00"&amp;IFERROR(MATCH(A621,_LEITURA!$P$2:$P$21,0),99),2)&amp;M621&amp;RIGHT("00000"&amp;ROW(),5),"K"&amp;RIGHT("00000"&amp;ROW(),5))))))</f>
        <v/>
      </c>
      <c r="O621" s="16" t="str">
        <f aca="false">IF(N621="","",COUNTIFS($N$2:$N$1201,"&lt;"&amp;N621,$F$2:$F$1201,"&gt;0")+1)</f>
        <v/>
      </c>
    </row>
    <row r="622" customFormat="false" ht="15" hidden="false" customHeight="false" outlineLevel="0" collapsed="false">
      <c r="A622" s="11" t="str">
        <f aca="false">IF(_LEITURA!$N622="","",INDEX(_LEITURA!$K$2:$K$1201,_LEITURA!$N622))</f>
        <v/>
      </c>
      <c r="B622" s="11" t="str">
        <f aca="false">IF(_LEITURA!$N622="","",INDEX(_LEITURA!$E$2:$E$1201,_LEITURA!$N622))</f>
        <v/>
      </c>
      <c r="C622" s="11" t="str">
        <f aca="false">IF(_LEITURA!$N622="","",INDEX(_LEITURA!$J$2:$J$1201,_LEITURA!$N622))</f>
        <v/>
      </c>
      <c r="D622" s="16" t="str">
        <f aca="false">IF(_LEITURA!$N622="","",INDEX(_LEITURA!$G$2:$G$1201,_LEITURA!$N622))</f>
        <v/>
      </c>
      <c r="E622" s="16" t="str">
        <f aca="false">IF(B622="","",SUMIFS(INVENTÁRIO!$C$2:$C$801,INVENTÁRIO!$A$2:$A$801,B622))</f>
        <v/>
      </c>
      <c r="F622" s="16" t="str">
        <f aca="false">IF(B622="","",MAX(0,D622-E622))</f>
        <v/>
      </c>
      <c r="G622" s="16" t="str">
        <f aca="false">IF(B622="","",IF(COUNTIFS($B$2:$B$1201,B622,$A$2:$A$1201,"&lt;&gt;"&amp;A622)&gt;0,"Sim",""))</f>
        <v/>
      </c>
      <c r="H622" s="16" t="str">
        <f aca="false">IF(N(F622)&gt;0,MAX(H$1:H621)+1,"")</f>
        <v/>
      </c>
      <c r="I622" s="11" t="str">
        <f aca="false">IF(B622="","",IF(INDEX($C$2:$C$1201,MATCH(B622,$B$2:$B$1201,0))&lt;&gt;C622,"Nome diferente em outro deck — revisar",""))</f>
        <v/>
      </c>
      <c r="J622" s="16" t="str">
        <f aca="false">IF(AND(B622&lt;&gt;"",A622=BULK!$A$1,N(F622)&gt;0),MAX(J$1:J621)+1,"")</f>
        <v/>
      </c>
      <c r="K622" s="11" t="str">
        <f aca="false">IF(B622="","",IFERROR(LEFT(B622,FIND("-",B622)-1),B622))</f>
        <v/>
      </c>
      <c r="L622" s="11" t="str">
        <f aca="false">IF(K622="","",IF(ISNUMBER(--MID(K622,1,1)),0,IF(ISNUMBER(--MID(K622,2,1)),1,IF(ISNUMBER(--MID(K622,3,1)),2,IF(ISNUMBER(--MID(K622,4,1)),3,MIN(LEN(K622),4))))))</f>
        <v/>
      </c>
      <c r="M622" s="11" t="str">
        <f aca="false">IF(B622="","",LEFT(K622,L622)&amp;REPT("0",4-L622)&amp;RIGHT("000"&amp;IFERROR(VALUE(MID(K622,L622+1,9)),0),3)&amp;RIGHT("0000"&amp;IFERROR(VALUE(MID(B622,FIND("-",B622)+1,9)),0),4))</f>
        <v/>
      </c>
      <c r="N622" s="11" t="str">
        <f aca="false">IF(OR(B622="",N(F622)&lt;=0),"",IF('FALTAS POR DECK'!$P$1="Código","K"&amp;M622&amp;RIGHT("00000"&amp;ROW(),5),IF('FALTAS POR DECK'!$P$1="Nome","K"&amp;UPPER(SUBSTITUTE(SUBSTITUTE(SUBSTITUTE(C622,"*",""),"?",""),"~",""))&amp;"0"&amp;M622&amp;RIGHT("00000"&amp;ROW(),5),IF('FALTAS POR DECK'!$P$1="Falta (maior primeiro)","K"&amp;RIGHT("0000"&amp;(9999-F622),4)&amp;M622&amp;RIGHT("00000"&amp;ROW(),5),IF('FALTAS POR DECK'!$P$1="Deck e código","K"&amp;RIGHT("00"&amp;IFERROR(MATCH(A622,_LEITURA!$P$2:$P$21,0),99),2)&amp;M622&amp;RIGHT("00000"&amp;ROW(),5),"K"&amp;RIGHT("00000"&amp;ROW(),5))))))</f>
        <v/>
      </c>
      <c r="O622" s="16" t="str">
        <f aca="false">IF(N622="","",COUNTIFS($N$2:$N$1201,"&lt;"&amp;N622,$F$2:$F$1201,"&gt;0")+1)</f>
        <v/>
      </c>
    </row>
    <row r="623" customFormat="false" ht="15" hidden="false" customHeight="false" outlineLevel="0" collapsed="false">
      <c r="A623" s="11" t="str">
        <f aca="false">IF(_LEITURA!$N623="","",INDEX(_LEITURA!$K$2:$K$1201,_LEITURA!$N623))</f>
        <v/>
      </c>
      <c r="B623" s="11" t="str">
        <f aca="false">IF(_LEITURA!$N623="","",INDEX(_LEITURA!$E$2:$E$1201,_LEITURA!$N623))</f>
        <v/>
      </c>
      <c r="C623" s="11" t="str">
        <f aca="false">IF(_LEITURA!$N623="","",INDEX(_LEITURA!$J$2:$J$1201,_LEITURA!$N623))</f>
        <v/>
      </c>
      <c r="D623" s="16" t="str">
        <f aca="false">IF(_LEITURA!$N623="","",INDEX(_LEITURA!$G$2:$G$1201,_LEITURA!$N623))</f>
        <v/>
      </c>
      <c r="E623" s="16" t="str">
        <f aca="false">IF(B623="","",SUMIFS(INVENTÁRIO!$C$2:$C$801,INVENTÁRIO!$A$2:$A$801,B623))</f>
        <v/>
      </c>
      <c r="F623" s="16" t="str">
        <f aca="false">IF(B623="","",MAX(0,D623-E623))</f>
        <v/>
      </c>
      <c r="G623" s="16" t="str">
        <f aca="false">IF(B623="","",IF(COUNTIFS($B$2:$B$1201,B623,$A$2:$A$1201,"&lt;&gt;"&amp;A623)&gt;0,"Sim",""))</f>
        <v/>
      </c>
      <c r="H623" s="16" t="str">
        <f aca="false">IF(N(F623)&gt;0,MAX(H$1:H622)+1,"")</f>
        <v/>
      </c>
      <c r="I623" s="11" t="str">
        <f aca="false">IF(B623="","",IF(INDEX($C$2:$C$1201,MATCH(B623,$B$2:$B$1201,0))&lt;&gt;C623,"Nome diferente em outro deck — revisar",""))</f>
        <v/>
      </c>
      <c r="J623" s="16" t="str">
        <f aca="false">IF(AND(B623&lt;&gt;"",A623=BULK!$A$1,N(F623)&gt;0),MAX(J$1:J622)+1,"")</f>
        <v/>
      </c>
      <c r="K623" s="11" t="str">
        <f aca="false">IF(B623="","",IFERROR(LEFT(B623,FIND("-",B623)-1),B623))</f>
        <v/>
      </c>
      <c r="L623" s="11" t="str">
        <f aca="false">IF(K623="","",IF(ISNUMBER(--MID(K623,1,1)),0,IF(ISNUMBER(--MID(K623,2,1)),1,IF(ISNUMBER(--MID(K623,3,1)),2,IF(ISNUMBER(--MID(K623,4,1)),3,MIN(LEN(K623),4))))))</f>
        <v/>
      </c>
      <c r="M623" s="11" t="str">
        <f aca="false">IF(B623="","",LEFT(K623,L623)&amp;REPT("0",4-L623)&amp;RIGHT("000"&amp;IFERROR(VALUE(MID(K623,L623+1,9)),0),3)&amp;RIGHT("0000"&amp;IFERROR(VALUE(MID(B623,FIND("-",B623)+1,9)),0),4))</f>
        <v/>
      </c>
      <c r="N623" s="11" t="str">
        <f aca="false">IF(OR(B623="",N(F623)&lt;=0),"",IF('FALTAS POR DECK'!$P$1="Código","K"&amp;M623&amp;RIGHT("00000"&amp;ROW(),5),IF('FALTAS POR DECK'!$P$1="Nome","K"&amp;UPPER(SUBSTITUTE(SUBSTITUTE(SUBSTITUTE(C623,"*",""),"?",""),"~",""))&amp;"0"&amp;M623&amp;RIGHT("00000"&amp;ROW(),5),IF('FALTAS POR DECK'!$P$1="Falta (maior primeiro)","K"&amp;RIGHT("0000"&amp;(9999-F623),4)&amp;M623&amp;RIGHT("00000"&amp;ROW(),5),IF('FALTAS POR DECK'!$P$1="Deck e código","K"&amp;RIGHT("00"&amp;IFERROR(MATCH(A623,_LEITURA!$P$2:$P$21,0),99),2)&amp;M623&amp;RIGHT("00000"&amp;ROW(),5),"K"&amp;RIGHT("00000"&amp;ROW(),5))))))</f>
        <v/>
      </c>
      <c r="O623" s="16" t="str">
        <f aca="false">IF(N623="","",COUNTIFS($N$2:$N$1201,"&lt;"&amp;N623,$F$2:$F$1201,"&gt;0")+1)</f>
        <v/>
      </c>
    </row>
    <row r="624" customFormat="false" ht="15" hidden="false" customHeight="false" outlineLevel="0" collapsed="false">
      <c r="A624" s="11" t="str">
        <f aca="false">IF(_LEITURA!$N624="","",INDEX(_LEITURA!$K$2:$K$1201,_LEITURA!$N624))</f>
        <v/>
      </c>
      <c r="B624" s="11" t="str">
        <f aca="false">IF(_LEITURA!$N624="","",INDEX(_LEITURA!$E$2:$E$1201,_LEITURA!$N624))</f>
        <v/>
      </c>
      <c r="C624" s="11" t="str">
        <f aca="false">IF(_LEITURA!$N624="","",INDEX(_LEITURA!$J$2:$J$1201,_LEITURA!$N624))</f>
        <v/>
      </c>
      <c r="D624" s="16" t="str">
        <f aca="false">IF(_LEITURA!$N624="","",INDEX(_LEITURA!$G$2:$G$1201,_LEITURA!$N624))</f>
        <v/>
      </c>
      <c r="E624" s="16" t="str">
        <f aca="false">IF(B624="","",SUMIFS(INVENTÁRIO!$C$2:$C$801,INVENTÁRIO!$A$2:$A$801,B624))</f>
        <v/>
      </c>
      <c r="F624" s="16" t="str">
        <f aca="false">IF(B624="","",MAX(0,D624-E624))</f>
        <v/>
      </c>
      <c r="G624" s="16" t="str">
        <f aca="false">IF(B624="","",IF(COUNTIFS($B$2:$B$1201,B624,$A$2:$A$1201,"&lt;&gt;"&amp;A624)&gt;0,"Sim",""))</f>
        <v/>
      </c>
      <c r="H624" s="16" t="str">
        <f aca="false">IF(N(F624)&gt;0,MAX(H$1:H623)+1,"")</f>
        <v/>
      </c>
      <c r="I624" s="11" t="str">
        <f aca="false">IF(B624="","",IF(INDEX($C$2:$C$1201,MATCH(B624,$B$2:$B$1201,0))&lt;&gt;C624,"Nome diferente em outro deck — revisar",""))</f>
        <v/>
      </c>
      <c r="J624" s="16" t="str">
        <f aca="false">IF(AND(B624&lt;&gt;"",A624=BULK!$A$1,N(F624)&gt;0),MAX(J$1:J623)+1,"")</f>
        <v/>
      </c>
      <c r="K624" s="11" t="str">
        <f aca="false">IF(B624="","",IFERROR(LEFT(B624,FIND("-",B624)-1),B624))</f>
        <v/>
      </c>
      <c r="L624" s="11" t="str">
        <f aca="false">IF(K624="","",IF(ISNUMBER(--MID(K624,1,1)),0,IF(ISNUMBER(--MID(K624,2,1)),1,IF(ISNUMBER(--MID(K624,3,1)),2,IF(ISNUMBER(--MID(K624,4,1)),3,MIN(LEN(K624),4))))))</f>
        <v/>
      </c>
      <c r="M624" s="11" t="str">
        <f aca="false">IF(B624="","",LEFT(K624,L624)&amp;REPT("0",4-L624)&amp;RIGHT("000"&amp;IFERROR(VALUE(MID(K624,L624+1,9)),0),3)&amp;RIGHT("0000"&amp;IFERROR(VALUE(MID(B624,FIND("-",B624)+1,9)),0),4))</f>
        <v/>
      </c>
      <c r="N624" s="11" t="str">
        <f aca="false">IF(OR(B624="",N(F624)&lt;=0),"",IF('FALTAS POR DECK'!$P$1="Código","K"&amp;M624&amp;RIGHT("00000"&amp;ROW(),5),IF('FALTAS POR DECK'!$P$1="Nome","K"&amp;UPPER(SUBSTITUTE(SUBSTITUTE(SUBSTITUTE(C624,"*",""),"?",""),"~",""))&amp;"0"&amp;M624&amp;RIGHT("00000"&amp;ROW(),5),IF('FALTAS POR DECK'!$P$1="Falta (maior primeiro)","K"&amp;RIGHT("0000"&amp;(9999-F624),4)&amp;M624&amp;RIGHT("00000"&amp;ROW(),5),IF('FALTAS POR DECK'!$P$1="Deck e código","K"&amp;RIGHT("00"&amp;IFERROR(MATCH(A624,_LEITURA!$P$2:$P$21,0),99),2)&amp;M624&amp;RIGHT("00000"&amp;ROW(),5),"K"&amp;RIGHT("00000"&amp;ROW(),5))))))</f>
        <v/>
      </c>
      <c r="O624" s="16" t="str">
        <f aca="false">IF(N624="","",COUNTIFS($N$2:$N$1201,"&lt;"&amp;N624,$F$2:$F$1201,"&gt;0")+1)</f>
        <v/>
      </c>
    </row>
    <row r="625" customFormat="false" ht="15" hidden="false" customHeight="false" outlineLevel="0" collapsed="false">
      <c r="A625" s="11" t="str">
        <f aca="false">IF(_LEITURA!$N625="","",INDEX(_LEITURA!$K$2:$K$1201,_LEITURA!$N625))</f>
        <v/>
      </c>
      <c r="B625" s="11" t="str">
        <f aca="false">IF(_LEITURA!$N625="","",INDEX(_LEITURA!$E$2:$E$1201,_LEITURA!$N625))</f>
        <v/>
      </c>
      <c r="C625" s="11" t="str">
        <f aca="false">IF(_LEITURA!$N625="","",INDEX(_LEITURA!$J$2:$J$1201,_LEITURA!$N625))</f>
        <v/>
      </c>
      <c r="D625" s="16" t="str">
        <f aca="false">IF(_LEITURA!$N625="","",INDEX(_LEITURA!$G$2:$G$1201,_LEITURA!$N625))</f>
        <v/>
      </c>
      <c r="E625" s="16" t="str">
        <f aca="false">IF(B625="","",SUMIFS(INVENTÁRIO!$C$2:$C$801,INVENTÁRIO!$A$2:$A$801,B625))</f>
        <v/>
      </c>
      <c r="F625" s="16" t="str">
        <f aca="false">IF(B625="","",MAX(0,D625-E625))</f>
        <v/>
      </c>
      <c r="G625" s="16" t="str">
        <f aca="false">IF(B625="","",IF(COUNTIFS($B$2:$B$1201,B625,$A$2:$A$1201,"&lt;&gt;"&amp;A625)&gt;0,"Sim",""))</f>
        <v/>
      </c>
      <c r="H625" s="16" t="str">
        <f aca="false">IF(N(F625)&gt;0,MAX(H$1:H624)+1,"")</f>
        <v/>
      </c>
      <c r="I625" s="11" t="str">
        <f aca="false">IF(B625="","",IF(INDEX($C$2:$C$1201,MATCH(B625,$B$2:$B$1201,0))&lt;&gt;C625,"Nome diferente em outro deck — revisar",""))</f>
        <v/>
      </c>
      <c r="J625" s="16" t="str">
        <f aca="false">IF(AND(B625&lt;&gt;"",A625=BULK!$A$1,N(F625)&gt;0),MAX(J$1:J624)+1,"")</f>
        <v/>
      </c>
      <c r="K625" s="11" t="str">
        <f aca="false">IF(B625="","",IFERROR(LEFT(B625,FIND("-",B625)-1),B625))</f>
        <v/>
      </c>
      <c r="L625" s="11" t="str">
        <f aca="false">IF(K625="","",IF(ISNUMBER(--MID(K625,1,1)),0,IF(ISNUMBER(--MID(K625,2,1)),1,IF(ISNUMBER(--MID(K625,3,1)),2,IF(ISNUMBER(--MID(K625,4,1)),3,MIN(LEN(K625),4))))))</f>
        <v/>
      </c>
      <c r="M625" s="11" t="str">
        <f aca="false">IF(B625="","",LEFT(K625,L625)&amp;REPT("0",4-L625)&amp;RIGHT("000"&amp;IFERROR(VALUE(MID(K625,L625+1,9)),0),3)&amp;RIGHT("0000"&amp;IFERROR(VALUE(MID(B625,FIND("-",B625)+1,9)),0),4))</f>
        <v/>
      </c>
      <c r="N625" s="11" t="str">
        <f aca="false">IF(OR(B625="",N(F625)&lt;=0),"",IF('FALTAS POR DECK'!$P$1="Código","K"&amp;M625&amp;RIGHT("00000"&amp;ROW(),5),IF('FALTAS POR DECK'!$P$1="Nome","K"&amp;UPPER(SUBSTITUTE(SUBSTITUTE(SUBSTITUTE(C625,"*",""),"?",""),"~",""))&amp;"0"&amp;M625&amp;RIGHT("00000"&amp;ROW(),5),IF('FALTAS POR DECK'!$P$1="Falta (maior primeiro)","K"&amp;RIGHT("0000"&amp;(9999-F625),4)&amp;M625&amp;RIGHT("00000"&amp;ROW(),5),IF('FALTAS POR DECK'!$P$1="Deck e código","K"&amp;RIGHT("00"&amp;IFERROR(MATCH(A625,_LEITURA!$P$2:$P$21,0),99),2)&amp;M625&amp;RIGHT("00000"&amp;ROW(),5),"K"&amp;RIGHT("00000"&amp;ROW(),5))))))</f>
        <v/>
      </c>
      <c r="O625" s="16" t="str">
        <f aca="false">IF(N625="","",COUNTIFS($N$2:$N$1201,"&lt;"&amp;N625,$F$2:$F$1201,"&gt;0")+1)</f>
        <v/>
      </c>
    </row>
    <row r="626" customFormat="false" ht="15" hidden="false" customHeight="false" outlineLevel="0" collapsed="false">
      <c r="A626" s="11" t="str">
        <f aca="false">IF(_LEITURA!$N626="","",INDEX(_LEITURA!$K$2:$K$1201,_LEITURA!$N626))</f>
        <v/>
      </c>
      <c r="B626" s="11" t="str">
        <f aca="false">IF(_LEITURA!$N626="","",INDEX(_LEITURA!$E$2:$E$1201,_LEITURA!$N626))</f>
        <v/>
      </c>
      <c r="C626" s="11" t="str">
        <f aca="false">IF(_LEITURA!$N626="","",INDEX(_LEITURA!$J$2:$J$1201,_LEITURA!$N626))</f>
        <v/>
      </c>
      <c r="D626" s="16" t="str">
        <f aca="false">IF(_LEITURA!$N626="","",INDEX(_LEITURA!$G$2:$G$1201,_LEITURA!$N626))</f>
        <v/>
      </c>
      <c r="E626" s="16" t="str">
        <f aca="false">IF(B626="","",SUMIFS(INVENTÁRIO!$C$2:$C$801,INVENTÁRIO!$A$2:$A$801,B626))</f>
        <v/>
      </c>
      <c r="F626" s="16" t="str">
        <f aca="false">IF(B626="","",MAX(0,D626-E626))</f>
        <v/>
      </c>
      <c r="G626" s="16" t="str">
        <f aca="false">IF(B626="","",IF(COUNTIFS($B$2:$B$1201,B626,$A$2:$A$1201,"&lt;&gt;"&amp;A626)&gt;0,"Sim",""))</f>
        <v/>
      </c>
      <c r="H626" s="16" t="str">
        <f aca="false">IF(N(F626)&gt;0,MAX(H$1:H625)+1,"")</f>
        <v/>
      </c>
      <c r="I626" s="11" t="str">
        <f aca="false">IF(B626="","",IF(INDEX($C$2:$C$1201,MATCH(B626,$B$2:$B$1201,0))&lt;&gt;C626,"Nome diferente em outro deck — revisar",""))</f>
        <v/>
      </c>
      <c r="J626" s="16" t="str">
        <f aca="false">IF(AND(B626&lt;&gt;"",A626=BULK!$A$1,N(F626)&gt;0),MAX(J$1:J625)+1,"")</f>
        <v/>
      </c>
      <c r="K626" s="11" t="str">
        <f aca="false">IF(B626="","",IFERROR(LEFT(B626,FIND("-",B626)-1),B626))</f>
        <v/>
      </c>
      <c r="L626" s="11" t="str">
        <f aca="false">IF(K626="","",IF(ISNUMBER(--MID(K626,1,1)),0,IF(ISNUMBER(--MID(K626,2,1)),1,IF(ISNUMBER(--MID(K626,3,1)),2,IF(ISNUMBER(--MID(K626,4,1)),3,MIN(LEN(K626),4))))))</f>
        <v/>
      </c>
      <c r="M626" s="11" t="str">
        <f aca="false">IF(B626="","",LEFT(K626,L626)&amp;REPT("0",4-L626)&amp;RIGHT("000"&amp;IFERROR(VALUE(MID(K626,L626+1,9)),0),3)&amp;RIGHT("0000"&amp;IFERROR(VALUE(MID(B626,FIND("-",B626)+1,9)),0),4))</f>
        <v/>
      </c>
      <c r="N626" s="11" t="str">
        <f aca="false">IF(OR(B626="",N(F626)&lt;=0),"",IF('FALTAS POR DECK'!$P$1="Código","K"&amp;M626&amp;RIGHT("00000"&amp;ROW(),5),IF('FALTAS POR DECK'!$P$1="Nome","K"&amp;UPPER(SUBSTITUTE(SUBSTITUTE(SUBSTITUTE(C626,"*",""),"?",""),"~",""))&amp;"0"&amp;M626&amp;RIGHT("00000"&amp;ROW(),5),IF('FALTAS POR DECK'!$P$1="Falta (maior primeiro)","K"&amp;RIGHT("0000"&amp;(9999-F626),4)&amp;M626&amp;RIGHT("00000"&amp;ROW(),5),IF('FALTAS POR DECK'!$P$1="Deck e código","K"&amp;RIGHT("00"&amp;IFERROR(MATCH(A626,_LEITURA!$P$2:$P$21,0),99),2)&amp;M626&amp;RIGHT("00000"&amp;ROW(),5),"K"&amp;RIGHT("00000"&amp;ROW(),5))))))</f>
        <v/>
      </c>
      <c r="O626" s="16" t="str">
        <f aca="false">IF(N626="","",COUNTIFS($N$2:$N$1201,"&lt;"&amp;N626,$F$2:$F$1201,"&gt;0")+1)</f>
        <v/>
      </c>
    </row>
    <row r="627" customFormat="false" ht="15" hidden="false" customHeight="false" outlineLevel="0" collapsed="false">
      <c r="A627" s="11" t="str">
        <f aca="false">IF(_LEITURA!$N627="","",INDEX(_LEITURA!$K$2:$K$1201,_LEITURA!$N627))</f>
        <v/>
      </c>
      <c r="B627" s="11" t="str">
        <f aca="false">IF(_LEITURA!$N627="","",INDEX(_LEITURA!$E$2:$E$1201,_LEITURA!$N627))</f>
        <v/>
      </c>
      <c r="C627" s="11" t="str">
        <f aca="false">IF(_LEITURA!$N627="","",INDEX(_LEITURA!$J$2:$J$1201,_LEITURA!$N627))</f>
        <v/>
      </c>
      <c r="D627" s="16" t="str">
        <f aca="false">IF(_LEITURA!$N627="","",INDEX(_LEITURA!$G$2:$G$1201,_LEITURA!$N627))</f>
        <v/>
      </c>
      <c r="E627" s="16" t="str">
        <f aca="false">IF(B627="","",SUMIFS(INVENTÁRIO!$C$2:$C$801,INVENTÁRIO!$A$2:$A$801,B627))</f>
        <v/>
      </c>
      <c r="F627" s="16" t="str">
        <f aca="false">IF(B627="","",MAX(0,D627-E627))</f>
        <v/>
      </c>
      <c r="G627" s="16" t="str">
        <f aca="false">IF(B627="","",IF(COUNTIFS($B$2:$B$1201,B627,$A$2:$A$1201,"&lt;&gt;"&amp;A627)&gt;0,"Sim",""))</f>
        <v/>
      </c>
      <c r="H627" s="16" t="str">
        <f aca="false">IF(N(F627)&gt;0,MAX(H$1:H626)+1,"")</f>
        <v/>
      </c>
      <c r="I627" s="11" t="str">
        <f aca="false">IF(B627="","",IF(INDEX($C$2:$C$1201,MATCH(B627,$B$2:$B$1201,0))&lt;&gt;C627,"Nome diferente em outro deck — revisar",""))</f>
        <v/>
      </c>
      <c r="J627" s="16" t="str">
        <f aca="false">IF(AND(B627&lt;&gt;"",A627=BULK!$A$1,N(F627)&gt;0),MAX(J$1:J626)+1,"")</f>
        <v/>
      </c>
      <c r="K627" s="11" t="str">
        <f aca="false">IF(B627="","",IFERROR(LEFT(B627,FIND("-",B627)-1),B627))</f>
        <v/>
      </c>
      <c r="L627" s="11" t="str">
        <f aca="false">IF(K627="","",IF(ISNUMBER(--MID(K627,1,1)),0,IF(ISNUMBER(--MID(K627,2,1)),1,IF(ISNUMBER(--MID(K627,3,1)),2,IF(ISNUMBER(--MID(K627,4,1)),3,MIN(LEN(K627),4))))))</f>
        <v/>
      </c>
      <c r="M627" s="11" t="str">
        <f aca="false">IF(B627="","",LEFT(K627,L627)&amp;REPT("0",4-L627)&amp;RIGHT("000"&amp;IFERROR(VALUE(MID(K627,L627+1,9)),0),3)&amp;RIGHT("0000"&amp;IFERROR(VALUE(MID(B627,FIND("-",B627)+1,9)),0),4))</f>
        <v/>
      </c>
      <c r="N627" s="11" t="str">
        <f aca="false">IF(OR(B627="",N(F627)&lt;=0),"",IF('FALTAS POR DECK'!$P$1="Código","K"&amp;M627&amp;RIGHT("00000"&amp;ROW(),5),IF('FALTAS POR DECK'!$P$1="Nome","K"&amp;UPPER(SUBSTITUTE(SUBSTITUTE(SUBSTITUTE(C627,"*",""),"?",""),"~",""))&amp;"0"&amp;M627&amp;RIGHT("00000"&amp;ROW(),5),IF('FALTAS POR DECK'!$P$1="Falta (maior primeiro)","K"&amp;RIGHT("0000"&amp;(9999-F627),4)&amp;M627&amp;RIGHT("00000"&amp;ROW(),5),IF('FALTAS POR DECK'!$P$1="Deck e código","K"&amp;RIGHT("00"&amp;IFERROR(MATCH(A627,_LEITURA!$P$2:$P$21,0),99),2)&amp;M627&amp;RIGHT("00000"&amp;ROW(),5),"K"&amp;RIGHT("00000"&amp;ROW(),5))))))</f>
        <v/>
      </c>
      <c r="O627" s="16" t="str">
        <f aca="false">IF(N627="","",COUNTIFS($N$2:$N$1201,"&lt;"&amp;N627,$F$2:$F$1201,"&gt;0")+1)</f>
        <v/>
      </c>
    </row>
    <row r="628" customFormat="false" ht="15" hidden="false" customHeight="false" outlineLevel="0" collapsed="false">
      <c r="A628" s="11" t="str">
        <f aca="false">IF(_LEITURA!$N628="","",INDEX(_LEITURA!$K$2:$K$1201,_LEITURA!$N628))</f>
        <v/>
      </c>
      <c r="B628" s="11" t="str">
        <f aca="false">IF(_LEITURA!$N628="","",INDEX(_LEITURA!$E$2:$E$1201,_LEITURA!$N628))</f>
        <v/>
      </c>
      <c r="C628" s="11" t="str">
        <f aca="false">IF(_LEITURA!$N628="","",INDEX(_LEITURA!$J$2:$J$1201,_LEITURA!$N628))</f>
        <v/>
      </c>
      <c r="D628" s="16" t="str">
        <f aca="false">IF(_LEITURA!$N628="","",INDEX(_LEITURA!$G$2:$G$1201,_LEITURA!$N628))</f>
        <v/>
      </c>
      <c r="E628" s="16" t="str">
        <f aca="false">IF(B628="","",SUMIFS(INVENTÁRIO!$C$2:$C$801,INVENTÁRIO!$A$2:$A$801,B628))</f>
        <v/>
      </c>
      <c r="F628" s="16" t="str">
        <f aca="false">IF(B628="","",MAX(0,D628-E628))</f>
        <v/>
      </c>
      <c r="G628" s="16" t="str">
        <f aca="false">IF(B628="","",IF(COUNTIFS($B$2:$B$1201,B628,$A$2:$A$1201,"&lt;&gt;"&amp;A628)&gt;0,"Sim",""))</f>
        <v/>
      </c>
      <c r="H628" s="16" t="str">
        <f aca="false">IF(N(F628)&gt;0,MAX(H$1:H627)+1,"")</f>
        <v/>
      </c>
      <c r="I628" s="11" t="str">
        <f aca="false">IF(B628="","",IF(INDEX($C$2:$C$1201,MATCH(B628,$B$2:$B$1201,0))&lt;&gt;C628,"Nome diferente em outro deck — revisar",""))</f>
        <v/>
      </c>
      <c r="J628" s="16" t="str">
        <f aca="false">IF(AND(B628&lt;&gt;"",A628=BULK!$A$1,N(F628)&gt;0),MAX(J$1:J627)+1,"")</f>
        <v/>
      </c>
      <c r="K628" s="11" t="str">
        <f aca="false">IF(B628="","",IFERROR(LEFT(B628,FIND("-",B628)-1),B628))</f>
        <v/>
      </c>
      <c r="L628" s="11" t="str">
        <f aca="false">IF(K628="","",IF(ISNUMBER(--MID(K628,1,1)),0,IF(ISNUMBER(--MID(K628,2,1)),1,IF(ISNUMBER(--MID(K628,3,1)),2,IF(ISNUMBER(--MID(K628,4,1)),3,MIN(LEN(K628),4))))))</f>
        <v/>
      </c>
      <c r="M628" s="11" t="str">
        <f aca="false">IF(B628="","",LEFT(K628,L628)&amp;REPT("0",4-L628)&amp;RIGHT("000"&amp;IFERROR(VALUE(MID(K628,L628+1,9)),0),3)&amp;RIGHT("0000"&amp;IFERROR(VALUE(MID(B628,FIND("-",B628)+1,9)),0),4))</f>
        <v/>
      </c>
      <c r="N628" s="11" t="str">
        <f aca="false">IF(OR(B628="",N(F628)&lt;=0),"",IF('FALTAS POR DECK'!$P$1="Código","K"&amp;M628&amp;RIGHT("00000"&amp;ROW(),5),IF('FALTAS POR DECK'!$P$1="Nome","K"&amp;UPPER(SUBSTITUTE(SUBSTITUTE(SUBSTITUTE(C628,"*",""),"?",""),"~",""))&amp;"0"&amp;M628&amp;RIGHT("00000"&amp;ROW(),5),IF('FALTAS POR DECK'!$P$1="Falta (maior primeiro)","K"&amp;RIGHT("0000"&amp;(9999-F628),4)&amp;M628&amp;RIGHT("00000"&amp;ROW(),5),IF('FALTAS POR DECK'!$P$1="Deck e código","K"&amp;RIGHT("00"&amp;IFERROR(MATCH(A628,_LEITURA!$P$2:$P$21,0),99),2)&amp;M628&amp;RIGHT("00000"&amp;ROW(),5),"K"&amp;RIGHT("00000"&amp;ROW(),5))))))</f>
        <v/>
      </c>
      <c r="O628" s="16" t="str">
        <f aca="false">IF(N628="","",COUNTIFS($N$2:$N$1201,"&lt;"&amp;N628,$F$2:$F$1201,"&gt;0")+1)</f>
        <v/>
      </c>
    </row>
    <row r="629" customFormat="false" ht="15" hidden="false" customHeight="false" outlineLevel="0" collapsed="false">
      <c r="A629" s="11" t="str">
        <f aca="false">IF(_LEITURA!$N629="","",INDEX(_LEITURA!$K$2:$K$1201,_LEITURA!$N629))</f>
        <v/>
      </c>
      <c r="B629" s="11" t="str">
        <f aca="false">IF(_LEITURA!$N629="","",INDEX(_LEITURA!$E$2:$E$1201,_LEITURA!$N629))</f>
        <v/>
      </c>
      <c r="C629" s="11" t="str">
        <f aca="false">IF(_LEITURA!$N629="","",INDEX(_LEITURA!$J$2:$J$1201,_LEITURA!$N629))</f>
        <v/>
      </c>
      <c r="D629" s="16" t="str">
        <f aca="false">IF(_LEITURA!$N629="","",INDEX(_LEITURA!$G$2:$G$1201,_LEITURA!$N629))</f>
        <v/>
      </c>
      <c r="E629" s="16" t="str">
        <f aca="false">IF(B629="","",SUMIFS(INVENTÁRIO!$C$2:$C$801,INVENTÁRIO!$A$2:$A$801,B629))</f>
        <v/>
      </c>
      <c r="F629" s="16" t="str">
        <f aca="false">IF(B629="","",MAX(0,D629-E629))</f>
        <v/>
      </c>
      <c r="G629" s="16" t="str">
        <f aca="false">IF(B629="","",IF(COUNTIFS($B$2:$B$1201,B629,$A$2:$A$1201,"&lt;&gt;"&amp;A629)&gt;0,"Sim",""))</f>
        <v/>
      </c>
      <c r="H629" s="16" t="str">
        <f aca="false">IF(N(F629)&gt;0,MAX(H$1:H628)+1,"")</f>
        <v/>
      </c>
      <c r="I629" s="11" t="str">
        <f aca="false">IF(B629="","",IF(INDEX($C$2:$C$1201,MATCH(B629,$B$2:$B$1201,0))&lt;&gt;C629,"Nome diferente em outro deck — revisar",""))</f>
        <v/>
      </c>
      <c r="J629" s="16" t="str">
        <f aca="false">IF(AND(B629&lt;&gt;"",A629=BULK!$A$1,N(F629)&gt;0),MAX(J$1:J628)+1,"")</f>
        <v/>
      </c>
      <c r="K629" s="11" t="str">
        <f aca="false">IF(B629="","",IFERROR(LEFT(B629,FIND("-",B629)-1),B629))</f>
        <v/>
      </c>
      <c r="L629" s="11" t="str">
        <f aca="false">IF(K629="","",IF(ISNUMBER(--MID(K629,1,1)),0,IF(ISNUMBER(--MID(K629,2,1)),1,IF(ISNUMBER(--MID(K629,3,1)),2,IF(ISNUMBER(--MID(K629,4,1)),3,MIN(LEN(K629),4))))))</f>
        <v/>
      </c>
      <c r="M629" s="11" t="str">
        <f aca="false">IF(B629="","",LEFT(K629,L629)&amp;REPT("0",4-L629)&amp;RIGHT("000"&amp;IFERROR(VALUE(MID(K629,L629+1,9)),0),3)&amp;RIGHT("0000"&amp;IFERROR(VALUE(MID(B629,FIND("-",B629)+1,9)),0),4))</f>
        <v/>
      </c>
      <c r="N629" s="11" t="str">
        <f aca="false">IF(OR(B629="",N(F629)&lt;=0),"",IF('FALTAS POR DECK'!$P$1="Código","K"&amp;M629&amp;RIGHT("00000"&amp;ROW(),5),IF('FALTAS POR DECK'!$P$1="Nome","K"&amp;UPPER(SUBSTITUTE(SUBSTITUTE(SUBSTITUTE(C629,"*",""),"?",""),"~",""))&amp;"0"&amp;M629&amp;RIGHT("00000"&amp;ROW(),5),IF('FALTAS POR DECK'!$P$1="Falta (maior primeiro)","K"&amp;RIGHT("0000"&amp;(9999-F629),4)&amp;M629&amp;RIGHT("00000"&amp;ROW(),5),IF('FALTAS POR DECK'!$P$1="Deck e código","K"&amp;RIGHT("00"&amp;IFERROR(MATCH(A629,_LEITURA!$P$2:$P$21,0),99),2)&amp;M629&amp;RIGHT("00000"&amp;ROW(),5),"K"&amp;RIGHT("00000"&amp;ROW(),5))))))</f>
        <v/>
      </c>
      <c r="O629" s="16" t="str">
        <f aca="false">IF(N629="","",COUNTIFS($N$2:$N$1201,"&lt;"&amp;N629,$F$2:$F$1201,"&gt;0")+1)</f>
        <v/>
      </c>
    </row>
    <row r="630" customFormat="false" ht="15" hidden="false" customHeight="false" outlineLevel="0" collapsed="false">
      <c r="A630" s="11" t="str">
        <f aca="false">IF(_LEITURA!$N630="","",INDEX(_LEITURA!$K$2:$K$1201,_LEITURA!$N630))</f>
        <v/>
      </c>
      <c r="B630" s="11" t="str">
        <f aca="false">IF(_LEITURA!$N630="","",INDEX(_LEITURA!$E$2:$E$1201,_LEITURA!$N630))</f>
        <v/>
      </c>
      <c r="C630" s="11" t="str">
        <f aca="false">IF(_LEITURA!$N630="","",INDEX(_LEITURA!$J$2:$J$1201,_LEITURA!$N630))</f>
        <v/>
      </c>
      <c r="D630" s="16" t="str">
        <f aca="false">IF(_LEITURA!$N630="","",INDEX(_LEITURA!$G$2:$G$1201,_LEITURA!$N630))</f>
        <v/>
      </c>
      <c r="E630" s="16" t="str">
        <f aca="false">IF(B630="","",SUMIFS(INVENTÁRIO!$C$2:$C$801,INVENTÁRIO!$A$2:$A$801,B630))</f>
        <v/>
      </c>
      <c r="F630" s="16" t="str">
        <f aca="false">IF(B630="","",MAX(0,D630-E630))</f>
        <v/>
      </c>
      <c r="G630" s="16" t="str">
        <f aca="false">IF(B630="","",IF(COUNTIFS($B$2:$B$1201,B630,$A$2:$A$1201,"&lt;&gt;"&amp;A630)&gt;0,"Sim",""))</f>
        <v/>
      </c>
      <c r="H630" s="16" t="str">
        <f aca="false">IF(N(F630)&gt;0,MAX(H$1:H629)+1,"")</f>
        <v/>
      </c>
      <c r="I630" s="11" t="str">
        <f aca="false">IF(B630="","",IF(INDEX($C$2:$C$1201,MATCH(B630,$B$2:$B$1201,0))&lt;&gt;C630,"Nome diferente em outro deck — revisar",""))</f>
        <v/>
      </c>
      <c r="J630" s="16" t="str">
        <f aca="false">IF(AND(B630&lt;&gt;"",A630=BULK!$A$1,N(F630)&gt;0),MAX(J$1:J629)+1,"")</f>
        <v/>
      </c>
      <c r="K630" s="11" t="str">
        <f aca="false">IF(B630="","",IFERROR(LEFT(B630,FIND("-",B630)-1),B630))</f>
        <v/>
      </c>
      <c r="L630" s="11" t="str">
        <f aca="false">IF(K630="","",IF(ISNUMBER(--MID(K630,1,1)),0,IF(ISNUMBER(--MID(K630,2,1)),1,IF(ISNUMBER(--MID(K630,3,1)),2,IF(ISNUMBER(--MID(K630,4,1)),3,MIN(LEN(K630),4))))))</f>
        <v/>
      </c>
      <c r="M630" s="11" t="str">
        <f aca="false">IF(B630="","",LEFT(K630,L630)&amp;REPT("0",4-L630)&amp;RIGHT("000"&amp;IFERROR(VALUE(MID(K630,L630+1,9)),0),3)&amp;RIGHT("0000"&amp;IFERROR(VALUE(MID(B630,FIND("-",B630)+1,9)),0),4))</f>
        <v/>
      </c>
      <c r="N630" s="11" t="str">
        <f aca="false">IF(OR(B630="",N(F630)&lt;=0),"",IF('FALTAS POR DECK'!$P$1="Código","K"&amp;M630&amp;RIGHT("00000"&amp;ROW(),5),IF('FALTAS POR DECK'!$P$1="Nome","K"&amp;UPPER(SUBSTITUTE(SUBSTITUTE(SUBSTITUTE(C630,"*",""),"?",""),"~",""))&amp;"0"&amp;M630&amp;RIGHT("00000"&amp;ROW(),5),IF('FALTAS POR DECK'!$P$1="Falta (maior primeiro)","K"&amp;RIGHT("0000"&amp;(9999-F630),4)&amp;M630&amp;RIGHT("00000"&amp;ROW(),5),IF('FALTAS POR DECK'!$P$1="Deck e código","K"&amp;RIGHT("00"&amp;IFERROR(MATCH(A630,_LEITURA!$P$2:$P$21,0),99),2)&amp;M630&amp;RIGHT("00000"&amp;ROW(),5),"K"&amp;RIGHT("00000"&amp;ROW(),5))))))</f>
        <v/>
      </c>
      <c r="O630" s="16" t="str">
        <f aca="false">IF(N630="","",COUNTIFS($N$2:$N$1201,"&lt;"&amp;N630,$F$2:$F$1201,"&gt;0")+1)</f>
        <v/>
      </c>
    </row>
    <row r="631" customFormat="false" ht="15" hidden="false" customHeight="false" outlineLevel="0" collapsed="false">
      <c r="A631" s="11" t="str">
        <f aca="false">IF(_LEITURA!$N631="","",INDEX(_LEITURA!$K$2:$K$1201,_LEITURA!$N631))</f>
        <v/>
      </c>
      <c r="B631" s="11" t="str">
        <f aca="false">IF(_LEITURA!$N631="","",INDEX(_LEITURA!$E$2:$E$1201,_LEITURA!$N631))</f>
        <v/>
      </c>
      <c r="C631" s="11" t="str">
        <f aca="false">IF(_LEITURA!$N631="","",INDEX(_LEITURA!$J$2:$J$1201,_LEITURA!$N631))</f>
        <v/>
      </c>
      <c r="D631" s="16" t="str">
        <f aca="false">IF(_LEITURA!$N631="","",INDEX(_LEITURA!$G$2:$G$1201,_LEITURA!$N631))</f>
        <v/>
      </c>
      <c r="E631" s="16" t="str">
        <f aca="false">IF(B631="","",SUMIFS(INVENTÁRIO!$C$2:$C$801,INVENTÁRIO!$A$2:$A$801,B631))</f>
        <v/>
      </c>
      <c r="F631" s="16" t="str">
        <f aca="false">IF(B631="","",MAX(0,D631-E631))</f>
        <v/>
      </c>
      <c r="G631" s="16" t="str">
        <f aca="false">IF(B631="","",IF(COUNTIFS($B$2:$B$1201,B631,$A$2:$A$1201,"&lt;&gt;"&amp;A631)&gt;0,"Sim",""))</f>
        <v/>
      </c>
      <c r="H631" s="16" t="str">
        <f aca="false">IF(N(F631)&gt;0,MAX(H$1:H630)+1,"")</f>
        <v/>
      </c>
      <c r="I631" s="11" t="str">
        <f aca="false">IF(B631="","",IF(INDEX($C$2:$C$1201,MATCH(B631,$B$2:$B$1201,0))&lt;&gt;C631,"Nome diferente em outro deck — revisar",""))</f>
        <v/>
      </c>
      <c r="J631" s="16" t="str">
        <f aca="false">IF(AND(B631&lt;&gt;"",A631=BULK!$A$1,N(F631)&gt;0),MAX(J$1:J630)+1,"")</f>
        <v/>
      </c>
      <c r="K631" s="11" t="str">
        <f aca="false">IF(B631="","",IFERROR(LEFT(B631,FIND("-",B631)-1),B631))</f>
        <v/>
      </c>
      <c r="L631" s="11" t="str">
        <f aca="false">IF(K631="","",IF(ISNUMBER(--MID(K631,1,1)),0,IF(ISNUMBER(--MID(K631,2,1)),1,IF(ISNUMBER(--MID(K631,3,1)),2,IF(ISNUMBER(--MID(K631,4,1)),3,MIN(LEN(K631),4))))))</f>
        <v/>
      </c>
      <c r="M631" s="11" t="str">
        <f aca="false">IF(B631="","",LEFT(K631,L631)&amp;REPT("0",4-L631)&amp;RIGHT("000"&amp;IFERROR(VALUE(MID(K631,L631+1,9)),0),3)&amp;RIGHT("0000"&amp;IFERROR(VALUE(MID(B631,FIND("-",B631)+1,9)),0),4))</f>
        <v/>
      </c>
      <c r="N631" s="11" t="str">
        <f aca="false">IF(OR(B631="",N(F631)&lt;=0),"",IF('FALTAS POR DECK'!$P$1="Código","K"&amp;M631&amp;RIGHT("00000"&amp;ROW(),5),IF('FALTAS POR DECK'!$P$1="Nome","K"&amp;UPPER(SUBSTITUTE(SUBSTITUTE(SUBSTITUTE(C631,"*",""),"?",""),"~",""))&amp;"0"&amp;M631&amp;RIGHT("00000"&amp;ROW(),5),IF('FALTAS POR DECK'!$P$1="Falta (maior primeiro)","K"&amp;RIGHT("0000"&amp;(9999-F631),4)&amp;M631&amp;RIGHT("00000"&amp;ROW(),5),IF('FALTAS POR DECK'!$P$1="Deck e código","K"&amp;RIGHT("00"&amp;IFERROR(MATCH(A631,_LEITURA!$P$2:$P$21,0),99),2)&amp;M631&amp;RIGHT("00000"&amp;ROW(),5),"K"&amp;RIGHT("00000"&amp;ROW(),5))))))</f>
        <v/>
      </c>
      <c r="O631" s="16" t="str">
        <f aca="false">IF(N631="","",COUNTIFS($N$2:$N$1201,"&lt;"&amp;N631,$F$2:$F$1201,"&gt;0")+1)</f>
        <v/>
      </c>
    </row>
    <row r="632" customFormat="false" ht="15" hidden="false" customHeight="false" outlineLevel="0" collapsed="false">
      <c r="A632" s="11" t="str">
        <f aca="false">IF(_LEITURA!$N632="","",INDEX(_LEITURA!$K$2:$K$1201,_LEITURA!$N632))</f>
        <v/>
      </c>
      <c r="B632" s="11" t="str">
        <f aca="false">IF(_LEITURA!$N632="","",INDEX(_LEITURA!$E$2:$E$1201,_LEITURA!$N632))</f>
        <v/>
      </c>
      <c r="C632" s="11" t="str">
        <f aca="false">IF(_LEITURA!$N632="","",INDEX(_LEITURA!$J$2:$J$1201,_LEITURA!$N632))</f>
        <v/>
      </c>
      <c r="D632" s="16" t="str">
        <f aca="false">IF(_LEITURA!$N632="","",INDEX(_LEITURA!$G$2:$G$1201,_LEITURA!$N632))</f>
        <v/>
      </c>
      <c r="E632" s="16" t="str">
        <f aca="false">IF(B632="","",SUMIFS(INVENTÁRIO!$C$2:$C$801,INVENTÁRIO!$A$2:$A$801,B632))</f>
        <v/>
      </c>
      <c r="F632" s="16" t="str">
        <f aca="false">IF(B632="","",MAX(0,D632-E632))</f>
        <v/>
      </c>
      <c r="G632" s="16" t="str">
        <f aca="false">IF(B632="","",IF(COUNTIFS($B$2:$B$1201,B632,$A$2:$A$1201,"&lt;&gt;"&amp;A632)&gt;0,"Sim",""))</f>
        <v/>
      </c>
      <c r="H632" s="16" t="str">
        <f aca="false">IF(N(F632)&gt;0,MAX(H$1:H631)+1,"")</f>
        <v/>
      </c>
      <c r="I632" s="11" t="str">
        <f aca="false">IF(B632="","",IF(INDEX($C$2:$C$1201,MATCH(B632,$B$2:$B$1201,0))&lt;&gt;C632,"Nome diferente em outro deck — revisar",""))</f>
        <v/>
      </c>
      <c r="J632" s="16" t="str">
        <f aca="false">IF(AND(B632&lt;&gt;"",A632=BULK!$A$1,N(F632)&gt;0),MAX(J$1:J631)+1,"")</f>
        <v/>
      </c>
      <c r="K632" s="11" t="str">
        <f aca="false">IF(B632="","",IFERROR(LEFT(B632,FIND("-",B632)-1),B632))</f>
        <v/>
      </c>
      <c r="L632" s="11" t="str">
        <f aca="false">IF(K632="","",IF(ISNUMBER(--MID(K632,1,1)),0,IF(ISNUMBER(--MID(K632,2,1)),1,IF(ISNUMBER(--MID(K632,3,1)),2,IF(ISNUMBER(--MID(K632,4,1)),3,MIN(LEN(K632),4))))))</f>
        <v/>
      </c>
      <c r="M632" s="11" t="str">
        <f aca="false">IF(B632="","",LEFT(K632,L632)&amp;REPT("0",4-L632)&amp;RIGHT("000"&amp;IFERROR(VALUE(MID(K632,L632+1,9)),0),3)&amp;RIGHT("0000"&amp;IFERROR(VALUE(MID(B632,FIND("-",B632)+1,9)),0),4))</f>
        <v/>
      </c>
      <c r="N632" s="11" t="str">
        <f aca="false">IF(OR(B632="",N(F632)&lt;=0),"",IF('FALTAS POR DECK'!$P$1="Código","K"&amp;M632&amp;RIGHT("00000"&amp;ROW(),5),IF('FALTAS POR DECK'!$P$1="Nome","K"&amp;UPPER(SUBSTITUTE(SUBSTITUTE(SUBSTITUTE(C632,"*",""),"?",""),"~",""))&amp;"0"&amp;M632&amp;RIGHT("00000"&amp;ROW(),5),IF('FALTAS POR DECK'!$P$1="Falta (maior primeiro)","K"&amp;RIGHT("0000"&amp;(9999-F632),4)&amp;M632&amp;RIGHT("00000"&amp;ROW(),5),IF('FALTAS POR DECK'!$P$1="Deck e código","K"&amp;RIGHT("00"&amp;IFERROR(MATCH(A632,_LEITURA!$P$2:$P$21,0),99),2)&amp;M632&amp;RIGHT("00000"&amp;ROW(),5),"K"&amp;RIGHT("00000"&amp;ROW(),5))))))</f>
        <v/>
      </c>
      <c r="O632" s="16" t="str">
        <f aca="false">IF(N632="","",COUNTIFS($N$2:$N$1201,"&lt;"&amp;N632,$F$2:$F$1201,"&gt;0")+1)</f>
        <v/>
      </c>
    </row>
    <row r="633" customFormat="false" ht="15" hidden="false" customHeight="false" outlineLevel="0" collapsed="false">
      <c r="A633" s="11" t="str">
        <f aca="false">IF(_LEITURA!$N633="","",INDEX(_LEITURA!$K$2:$K$1201,_LEITURA!$N633))</f>
        <v/>
      </c>
      <c r="B633" s="11" t="str">
        <f aca="false">IF(_LEITURA!$N633="","",INDEX(_LEITURA!$E$2:$E$1201,_LEITURA!$N633))</f>
        <v/>
      </c>
      <c r="C633" s="11" t="str">
        <f aca="false">IF(_LEITURA!$N633="","",INDEX(_LEITURA!$J$2:$J$1201,_LEITURA!$N633))</f>
        <v/>
      </c>
      <c r="D633" s="16" t="str">
        <f aca="false">IF(_LEITURA!$N633="","",INDEX(_LEITURA!$G$2:$G$1201,_LEITURA!$N633))</f>
        <v/>
      </c>
      <c r="E633" s="16" t="str">
        <f aca="false">IF(B633="","",SUMIFS(INVENTÁRIO!$C$2:$C$801,INVENTÁRIO!$A$2:$A$801,B633))</f>
        <v/>
      </c>
      <c r="F633" s="16" t="str">
        <f aca="false">IF(B633="","",MAX(0,D633-E633))</f>
        <v/>
      </c>
      <c r="G633" s="16" t="str">
        <f aca="false">IF(B633="","",IF(COUNTIFS($B$2:$B$1201,B633,$A$2:$A$1201,"&lt;&gt;"&amp;A633)&gt;0,"Sim",""))</f>
        <v/>
      </c>
      <c r="H633" s="16" t="str">
        <f aca="false">IF(N(F633)&gt;0,MAX(H$1:H632)+1,"")</f>
        <v/>
      </c>
      <c r="I633" s="11" t="str">
        <f aca="false">IF(B633="","",IF(INDEX($C$2:$C$1201,MATCH(B633,$B$2:$B$1201,0))&lt;&gt;C633,"Nome diferente em outro deck — revisar",""))</f>
        <v/>
      </c>
      <c r="J633" s="16" t="str">
        <f aca="false">IF(AND(B633&lt;&gt;"",A633=BULK!$A$1,N(F633)&gt;0),MAX(J$1:J632)+1,"")</f>
        <v/>
      </c>
      <c r="K633" s="11" t="str">
        <f aca="false">IF(B633="","",IFERROR(LEFT(B633,FIND("-",B633)-1),B633))</f>
        <v/>
      </c>
      <c r="L633" s="11" t="str">
        <f aca="false">IF(K633="","",IF(ISNUMBER(--MID(K633,1,1)),0,IF(ISNUMBER(--MID(K633,2,1)),1,IF(ISNUMBER(--MID(K633,3,1)),2,IF(ISNUMBER(--MID(K633,4,1)),3,MIN(LEN(K633),4))))))</f>
        <v/>
      </c>
      <c r="M633" s="11" t="str">
        <f aca="false">IF(B633="","",LEFT(K633,L633)&amp;REPT("0",4-L633)&amp;RIGHT("000"&amp;IFERROR(VALUE(MID(K633,L633+1,9)),0),3)&amp;RIGHT("0000"&amp;IFERROR(VALUE(MID(B633,FIND("-",B633)+1,9)),0),4))</f>
        <v/>
      </c>
      <c r="N633" s="11" t="str">
        <f aca="false">IF(OR(B633="",N(F633)&lt;=0),"",IF('FALTAS POR DECK'!$P$1="Código","K"&amp;M633&amp;RIGHT("00000"&amp;ROW(),5),IF('FALTAS POR DECK'!$P$1="Nome","K"&amp;UPPER(SUBSTITUTE(SUBSTITUTE(SUBSTITUTE(C633,"*",""),"?",""),"~",""))&amp;"0"&amp;M633&amp;RIGHT("00000"&amp;ROW(),5),IF('FALTAS POR DECK'!$P$1="Falta (maior primeiro)","K"&amp;RIGHT("0000"&amp;(9999-F633),4)&amp;M633&amp;RIGHT("00000"&amp;ROW(),5),IF('FALTAS POR DECK'!$P$1="Deck e código","K"&amp;RIGHT("00"&amp;IFERROR(MATCH(A633,_LEITURA!$P$2:$P$21,0),99),2)&amp;M633&amp;RIGHT("00000"&amp;ROW(),5),"K"&amp;RIGHT("00000"&amp;ROW(),5))))))</f>
        <v/>
      </c>
      <c r="O633" s="16" t="str">
        <f aca="false">IF(N633="","",COUNTIFS($N$2:$N$1201,"&lt;"&amp;N633,$F$2:$F$1201,"&gt;0")+1)</f>
        <v/>
      </c>
    </row>
    <row r="634" customFormat="false" ht="15" hidden="false" customHeight="false" outlineLevel="0" collapsed="false">
      <c r="A634" s="11" t="str">
        <f aca="false">IF(_LEITURA!$N634="","",INDEX(_LEITURA!$K$2:$K$1201,_LEITURA!$N634))</f>
        <v/>
      </c>
      <c r="B634" s="11" t="str">
        <f aca="false">IF(_LEITURA!$N634="","",INDEX(_LEITURA!$E$2:$E$1201,_LEITURA!$N634))</f>
        <v/>
      </c>
      <c r="C634" s="11" t="str">
        <f aca="false">IF(_LEITURA!$N634="","",INDEX(_LEITURA!$J$2:$J$1201,_LEITURA!$N634))</f>
        <v/>
      </c>
      <c r="D634" s="16" t="str">
        <f aca="false">IF(_LEITURA!$N634="","",INDEX(_LEITURA!$G$2:$G$1201,_LEITURA!$N634))</f>
        <v/>
      </c>
      <c r="E634" s="16" t="str">
        <f aca="false">IF(B634="","",SUMIFS(INVENTÁRIO!$C$2:$C$801,INVENTÁRIO!$A$2:$A$801,B634))</f>
        <v/>
      </c>
      <c r="F634" s="16" t="str">
        <f aca="false">IF(B634="","",MAX(0,D634-E634))</f>
        <v/>
      </c>
      <c r="G634" s="16" t="str">
        <f aca="false">IF(B634="","",IF(COUNTIFS($B$2:$B$1201,B634,$A$2:$A$1201,"&lt;&gt;"&amp;A634)&gt;0,"Sim",""))</f>
        <v/>
      </c>
      <c r="H634" s="16" t="str">
        <f aca="false">IF(N(F634)&gt;0,MAX(H$1:H633)+1,"")</f>
        <v/>
      </c>
      <c r="I634" s="11" t="str">
        <f aca="false">IF(B634="","",IF(INDEX($C$2:$C$1201,MATCH(B634,$B$2:$B$1201,0))&lt;&gt;C634,"Nome diferente em outro deck — revisar",""))</f>
        <v/>
      </c>
      <c r="J634" s="16" t="str">
        <f aca="false">IF(AND(B634&lt;&gt;"",A634=BULK!$A$1,N(F634)&gt;0),MAX(J$1:J633)+1,"")</f>
        <v/>
      </c>
      <c r="K634" s="11" t="str">
        <f aca="false">IF(B634="","",IFERROR(LEFT(B634,FIND("-",B634)-1),B634))</f>
        <v/>
      </c>
      <c r="L634" s="11" t="str">
        <f aca="false">IF(K634="","",IF(ISNUMBER(--MID(K634,1,1)),0,IF(ISNUMBER(--MID(K634,2,1)),1,IF(ISNUMBER(--MID(K634,3,1)),2,IF(ISNUMBER(--MID(K634,4,1)),3,MIN(LEN(K634),4))))))</f>
        <v/>
      </c>
      <c r="M634" s="11" t="str">
        <f aca="false">IF(B634="","",LEFT(K634,L634)&amp;REPT("0",4-L634)&amp;RIGHT("000"&amp;IFERROR(VALUE(MID(K634,L634+1,9)),0),3)&amp;RIGHT("0000"&amp;IFERROR(VALUE(MID(B634,FIND("-",B634)+1,9)),0),4))</f>
        <v/>
      </c>
      <c r="N634" s="11" t="str">
        <f aca="false">IF(OR(B634="",N(F634)&lt;=0),"",IF('FALTAS POR DECK'!$P$1="Código","K"&amp;M634&amp;RIGHT("00000"&amp;ROW(),5),IF('FALTAS POR DECK'!$P$1="Nome","K"&amp;UPPER(SUBSTITUTE(SUBSTITUTE(SUBSTITUTE(C634,"*",""),"?",""),"~",""))&amp;"0"&amp;M634&amp;RIGHT("00000"&amp;ROW(),5),IF('FALTAS POR DECK'!$P$1="Falta (maior primeiro)","K"&amp;RIGHT("0000"&amp;(9999-F634),4)&amp;M634&amp;RIGHT("00000"&amp;ROW(),5),IF('FALTAS POR DECK'!$P$1="Deck e código","K"&amp;RIGHT("00"&amp;IFERROR(MATCH(A634,_LEITURA!$P$2:$P$21,0),99),2)&amp;M634&amp;RIGHT("00000"&amp;ROW(),5),"K"&amp;RIGHT("00000"&amp;ROW(),5))))))</f>
        <v/>
      </c>
      <c r="O634" s="16" t="str">
        <f aca="false">IF(N634="","",COUNTIFS($N$2:$N$1201,"&lt;"&amp;N634,$F$2:$F$1201,"&gt;0")+1)</f>
        <v/>
      </c>
    </row>
    <row r="635" customFormat="false" ht="15" hidden="false" customHeight="false" outlineLevel="0" collapsed="false">
      <c r="A635" s="11" t="str">
        <f aca="false">IF(_LEITURA!$N635="","",INDEX(_LEITURA!$K$2:$K$1201,_LEITURA!$N635))</f>
        <v/>
      </c>
      <c r="B635" s="11" t="str">
        <f aca="false">IF(_LEITURA!$N635="","",INDEX(_LEITURA!$E$2:$E$1201,_LEITURA!$N635))</f>
        <v/>
      </c>
      <c r="C635" s="11" t="str">
        <f aca="false">IF(_LEITURA!$N635="","",INDEX(_LEITURA!$J$2:$J$1201,_LEITURA!$N635))</f>
        <v/>
      </c>
      <c r="D635" s="16" t="str">
        <f aca="false">IF(_LEITURA!$N635="","",INDEX(_LEITURA!$G$2:$G$1201,_LEITURA!$N635))</f>
        <v/>
      </c>
      <c r="E635" s="16" t="str">
        <f aca="false">IF(B635="","",SUMIFS(INVENTÁRIO!$C$2:$C$801,INVENTÁRIO!$A$2:$A$801,B635))</f>
        <v/>
      </c>
      <c r="F635" s="16" t="str">
        <f aca="false">IF(B635="","",MAX(0,D635-E635))</f>
        <v/>
      </c>
      <c r="G635" s="16" t="str">
        <f aca="false">IF(B635="","",IF(COUNTIFS($B$2:$B$1201,B635,$A$2:$A$1201,"&lt;&gt;"&amp;A635)&gt;0,"Sim",""))</f>
        <v/>
      </c>
      <c r="H635" s="16" t="str">
        <f aca="false">IF(N(F635)&gt;0,MAX(H$1:H634)+1,"")</f>
        <v/>
      </c>
      <c r="I635" s="11" t="str">
        <f aca="false">IF(B635="","",IF(INDEX($C$2:$C$1201,MATCH(B635,$B$2:$B$1201,0))&lt;&gt;C635,"Nome diferente em outro deck — revisar",""))</f>
        <v/>
      </c>
      <c r="J635" s="16" t="str">
        <f aca="false">IF(AND(B635&lt;&gt;"",A635=BULK!$A$1,N(F635)&gt;0),MAX(J$1:J634)+1,"")</f>
        <v/>
      </c>
      <c r="K635" s="11" t="str">
        <f aca="false">IF(B635="","",IFERROR(LEFT(B635,FIND("-",B635)-1),B635))</f>
        <v/>
      </c>
      <c r="L635" s="11" t="str">
        <f aca="false">IF(K635="","",IF(ISNUMBER(--MID(K635,1,1)),0,IF(ISNUMBER(--MID(K635,2,1)),1,IF(ISNUMBER(--MID(K635,3,1)),2,IF(ISNUMBER(--MID(K635,4,1)),3,MIN(LEN(K635),4))))))</f>
        <v/>
      </c>
      <c r="M635" s="11" t="str">
        <f aca="false">IF(B635="","",LEFT(K635,L635)&amp;REPT("0",4-L635)&amp;RIGHT("000"&amp;IFERROR(VALUE(MID(K635,L635+1,9)),0),3)&amp;RIGHT("0000"&amp;IFERROR(VALUE(MID(B635,FIND("-",B635)+1,9)),0),4))</f>
        <v/>
      </c>
      <c r="N635" s="11" t="str">
        <f aca="false">IF(OR(B635="",N(F635)&lt;=0),"",IF('FALTAS POR DECK'!$P$1="Código","K"&amp;M635&amp;RIGHT("00000"&amp;ROW(),5),IF('FALTAS POR DECK'!$P$1="Nome","K"&amp;UPPER(SUBSTITUTE(SUBSTITUTE(SUBSTITUTE(C635,"*",""),"?",""),"~",""))&amp;"0"&amp;M635&amp;RIGHT("00000"&amp;ROW(),5),IF('FALTAS POR DECK'!$P$1="Falta (maior primeiro)","K"&amp;RIGHT("0000"&amp;(9999-F635),4)&amp;M635&amp;RIGHT("00000"&amp;ROW(),5),IF('FALTAS POR DECK'!$P$1="Deck e código","K"&amp;RIGHT("00"&amp;IFERROR(MATCH(A635,_LEITURA!$P$2:$P$21,0),99),2)&amp;M635&amp;RIGHT("00000"&amp;ROW(),5),"K"&amp;RIGHT("00000"&amp;ROW(),5))))))</f>
        <v/>
      </c>
      <c r="O635" s="16" t="str">
        <f aca="false">IF(N635="","",COUNTIFS($N$2:$N$1201,"&lt;"&amp;N635,$F$2:$F$1201,"&gt;0")+1)</f>
        <v/>
      </c>
    </row>
    <row r="636" customFormat="false" ht="15" hidden="false" customHeight="false" outlineLevel="0" collapsed="false">
      <c r="A636" s="11" t="str">
        <f aca="false">IF(_LEITURA!$N636="","",INDEX(_LEITURA!$K$2:$K$1201,_LEITURA!$N636))</f>
        <v/>
      </c>
      <c r="B636" s="11" t="str">
        <f aca="false">IF(_LEITURA!$N636="","",INDEX(_LEITURA!$E$2:$E$1201,_LEITURA!$N636))</f>
        <v/>
      </c>
      <c r="C636" s="11" t="str">
        <f aca="false">IF(_LEITURA!$N636="","",INDEX(_LEITURA!$J$2:$J$1201,_LEITURA!$N636))</f>
        <v/>
      </c>
      <c r="D636" s="16" t="str">
        <f aca="false">IF(_LEITURA!$N636="","",INDEX(_LEITURA!$G$2:$G$1201,_LEITURA!$N636))</f>
        <v/>
      </c>
      <c r="E636" s="16" t="str">
        <f aca="false">IF(B636="","",SUMIFS(INVENTÁRIO!$C$2:$C$801,INVENTÁRIO!$A$2:$A$801,B636))</f>
        <v/>
      </c>
      <c r="F636" s="16" t="str">
        <f aca="false">IF(B636="","",MAX(0,D636-E636))</f>
        <v/>
      </c>
      <c r="G636" s="16" t="str">
        <f aca="false">IF(B636="","",IF(COUNTIFS($B$2:$B$1201,B636,$A$2:$A$1201,"&lt;&gt;"&amp;A636)&gt;0,"Sim",""))</f>
        <v/>
      </c>
      <c r="H636" s="16" t="str">
        <f aca="false">IF(N(F636)&gt;0,MAX(H$1:H635)+1,"")</f>
        <v/>
      </c>
      <c r="I636" s="11" t="str">
        <f aca="false">IF(B636="","",IF(INDEX($C$2:$C$1201,MATCH(B636,$B$2:$B$1201,0))&lt;&gt;C636,"Nome diferente em outro deck — revisar",""))</f>
        <v/>
      </c>
      <c r="J636" s="16" t="str">
        <f aca="false">IF(AND(B636&lt;&gt;"",A636=BULK!$A$1,N(F636)&gt;0),MAX(J$1:J635)+1,"")</f>
        <v/>
      </c>
      <c r="K636" s="11" t="str">
        <f aca="false">IF(B636="","",IFERROR(LEFT(B636,FIND("-",B636)-1),B636))</f>
        <v/>
      </c>
      <c r="L636" s="11" t="str">
        <f aca="false">IF(K636="","",IF(ISNUMBER(--MID(K636,1,1)),0,IF(ISNUMBER(--MID(K636,2,1)),1,IF(ISNUMBER(--MID(K636,3,1)),2,IF(ISNUMBER(--MID(K636,4,1)),3,MIN(LEN(K636),4))))))</f>
        <v/>
      </c>
      <c r="M636" s="11" t="str">
        <f aca="false">IF(B636="","",LEFT(K636,L636)&amp;REPT("0",4-L636)&amp;RIGHT("000"&amp;IFERROR(VALUE(MID(K636,L636+1,9)),0),3)&amp;RIGHT("0000"&amp;IFERROR(VALUE(MID(B636,FIND("-",B636)+1,9)),0),4))</f>
        <v/>
      </c>
      <c r="N636" s="11" t="str">
        <f aca="false">IF(OR(B636="",N(F636)&lt;=0),"",IF('FALTAS POR DECK'!$P$1="Código","K"&amp;M636&amp;RIGHT("00000"&amp;ROW(),5),IF('FALTAS POR DECK'!$P$1="Nome","K"&amp;UPPER(SUBSTITUTE(SUBSTITUTE(SUBSTITUTE(C636,"*",""),"?",""),"~",""))&amp;"0"&amp;M636&amp;RIGHT("00000"&amp;ROW(),5),IF('FALTAS POR DECK'!$P$1="Falta (maior primeiro)","K"&amp;RIGHT("0000"&amp;(9999-F636),4)&amp;M636&amp;RIGHT("00000"&amp;ROW(),5),IF('FALTAS POR DECK'!$P$1="Deck e código","K"&amp;RIGHT("00"&amp;IFERROR(MATCH(A636,_LEITURA!$P$2:$P$21,0),99),2)&amp;M636&amp;RIGHT("00000"&amp;ROW(),5),"K"&amp;RIGHT("00000"&amp;ROW(),5))))))</f>
        <v/>
      </c>
      <c r="O636" s="16" t="str">
        <f aca="false">IF(N636="","",COUNTIFS($N$2:$N$1201,"&lt;"&amp;N636,$F$2:$F$1201,"&gt;0")+1)</f>
        <v/>
      </c>
    </row>
    <row r="637" customFormat="false" ht="15" hidden="false" customHeight="false" outlineLevel="0" collapsed="false">
      <c r="A637" s="11" t="str">
        <f aca="false">IF(_LEITURA!$N637="","",INDEX(_LEITURA!$K$2:$K$1201,_LEITURA!$N637))</f>
        <v/>
      </c>
      <c r="B637" s="11" t="str">
        <f aca="false">IF(_LEITURA!$N637="","",INDEX(_LEITURA!$E$2:$E$1201,_LEITURA!$N637))</f>
        <v/>
      </c>
      <c r="C637" s="11" t="str">
        <f aca="false">IF(_LEITURA!$N637="","",INDEX(_LEITURA!$J$2:$J$1201,_LEITURA!$N637))</f>
        <v/>
      </c>
      <c r="D637" s="16" t="str">
        <f aca="false">IF(_LEITURA!$N637="","",INDEX(_LEITURA!$G$2:$G$1201,_LEITURA!$N637))</f>
        <v/>
      </c>
      <c r="E637" s="16" t="str">
        <f aca="false">IF(B637="","",SUMIFS(INVENTÁRIO!$C$2:$C$801,INVENTÁRIO!$A$2:$A$801,B637))</f>
        <v/>
      </c>
      <c r="F637" s="16" t="str">
        <f aca="false">IF(B637="","",MAX(0,D637-E637))</f>
        <v/>
      </c>
      <c r="G637" s="16" t="str">
        <f aca="false">IF(B637="","",IF(COUNTIFS($B$2:$B$1201,B637,$A$2:$A$1201,"&lt;&gt;"&amp;A637)&gt;0,"Sim",""))</f>
        <v/>
      </c>
      <c r="H637" s="16" t="str">
        <f aca="false">IF(N(F637)&gt;0,MAX(H$1:H636)+1,"")</f>
        <v/>
      </c>
      <c r="I637" s="11" t="str">
        <f aca="false">IF(B637="","",IF(INDEX($C$2:$C$1201,MATCH(B637,$B$2:$B$1201,0))&lt;&gt;C637,"Nome diferente em outro deck — revisar",""))</f>
        <v/>
      </c>
      <c r="J637" s="16" t="str">
        <f aca="false">IF(AND(B637&lt;&gt;"",A637=BULK!$A$1,N(F637)&gt;0),MAX(J$1:J636)+1,"")</f>
        <v/>
      </c>
      <c r="K637" s="11" t="str">
        <f aca="false">IF(B637="","",IFERROR(LEFT(B637,FIND("-",B637)-1),B637))</f>
        <v/>
      </c>
      <c r="L637" s="11" t="str">
        <f aca="false">IF(K637="","",IF(ISNUMBER(--MID(K637,1,1)),0,IF(ISNUMBER(--MID(K637,2,1)),1,IF(ISNUMBER(--MID(K637,3,1)),2,IF(ISNUMBER(--MID(K637,4,1)),3,MIN(LEN(K637),4))))))</f>
        <v/>
      </c>
      <c r="M637" s="11" t="str">
        <f aca="false">IF(B637="","",LEFT(K637,L637)&amp;REPT("0",4-L637)&amp;RIGHT("000"&amp;IFERROR(VALUE(MID(K637,L637+1,9)),0),3)&amp;RIGHT("0000"&amp;IFERROR(VALUE(MID(B637,FIND("-",B637)+1,9)),0),4))</f>
        <v/>
      </c>
      <c r="N637" s="11" t="str">
        <f aca="false">IF(OR(B637="",N(F637)&lt;=0),"",IF('FALTAS POR DECK'!$P$1="Código","K"&amp;M637&amp;RIGHT("00000"&amp;ROW(),5),IF('FALTAS POR DECK'!$P$1="Nome","K"&amp;UPPER(SUBSTITUTE(SUBSTITUTE(SUBSTITUTE(C637,"*",""),"?",""),"~",""))&amp;"0"&amp;M637&amp;RIGHT("00000"&amp;ROW(),5),IF('FALTAS POR DECK'!$P$1="Falta (maior primeiro)","K"&amp;RIGHT("0000"&amp;(9999-F637),4)&amp;M637&amp;RIGHT("00000"&amp;ROW(),5),IF('FALTAS POR DECK'!$P$1="Deck e código","K"&amp;RIGHT("00"&amp;IFERROR(MATCH(A637,_LEITURA!$P$2:$P$21,0),99),2)&amp;M637&amp;RIGHT("00000"&amp;ROW(),5),"K"&amp;RIGHT("00000"&amp;ROW(),5))))))</f>
        <v/>
      </c>
      <c r="O637" s="16" t="str">
        <f aca="false">IF(N637="","",COUNTIFS($N$2:$N$1201,"&lt;"&amp;N637,$F$2:$F$1201,"&gt;0")+1)</f>
        <v/>
      </c>
    </row>
    <row r="638" customFormat="false" ht="15" hidden="false" customHeight="false" outlineLevel="0" collapsed="false">
      <c r="A638" s="11" t="str">
        <f aca="false">IF(_LEITURA!$N638="","",INDEX(_LEITURA!$K$2:$K$1201,_LEITURA!$N638))</f>
        <v/>
      </c>
      <c r="B638" s="11" t="str">
        <f aca="false">IF(_LEITURA!$N638="","",INDEX(_LEITURA!$E$2:$E$1201,_LEITURA!$N638))</f>
        <v/>
      </c>
      <c r="C638" s="11" t="str">
        <f aca="false">IF(_LEITURA!$N638="","",INDEX(_LEITURA!$J$2:$J$1201,_LEITURA!$N638))</f>
        <v/>
      </c>
      <c r="D638" s="16" t="str">
        <f aca="false">IF(_LEITURA!$N638="","",INDEX(_LEITURA!$G$2:$G$1201,_LEITURA!$N638))</f>
        <v/>
      </c>
      <c r="E638" s="16" t="str">
        <f aca="false">IF(B638="","",SUMIFS(INVENTÁRIO!$C$2:$C$801,INVENTÁRIO!$A$2:$A$801,B638))</f>
        <v/>
      </c>
      <c r="F638" s="16" t="str">
        <f aca="false">IF(B638="","",MAX(0,D638-E638))</f>
        <v/>
      </c>
      <c r="G638" s="16" t="str">
        <f aca="false">IF(B638="","",IF(COUNTIFS($B$2:$B$1201,B638,$A$2:$A$1201,"&lt;&gt;"&amp;A638)&gt;0,"Sim",""))</f>
        <v/>
      </c>
      <c r="H638" s="16" t="str">
        <f aca="false">IF(N(F638)&gt;0,MAX(H$1:H637)+1,"")</f>
        <v/>
      </c>
      <c r="I638" s="11" t="str">
        <f aca="false">IF(B638="","",IF(INDEX($C$2:$C$1201,MATCH(B638,$B$2:$B$1201,0))&lt;&gt;C638,"Nome diferente em outro deck — revisar",""))</f>
        <v/>
      </c>
      <c r="J638" s="16" t="str">
        <f aca="false">IF(AND(B638&lt;&gt;"",A638=BULK!$A$1,N(F638)&gt;0),MAX(J$1:J637)+1,"")</f>
        <v/>
      </c>
      <c r="K638" s="11" t="str">
        <f aca="false">IF(B638="","",IFERROR(LEFT(B638,FIND("-",B638)-1),B638))</f>
        <v/>
      </c>
      <c r="L638" s="11" t="str">
        <f aca="false">IF(K638="","",IF(ISNUMBER(--MID(K638,1,1)),0,IF(ISNUMBER(--MID(K638,2,1)),1,IF(ISNUMBER(--MID(K638,3,1)),2,IF(ISNUMBER(--MID(K638,4,1)),3,MIN(LEN(K638),4))))))</f>
        <v/>
      </c>
      <c r="M638" s="11" t="str">
        <f aca="false">IF(B638="","",LEFT(K638,L638)&amp;REPT("0",4-L638)&amp;RIGHT("000"&amp;IFERROR(VALUE(MID(K638,L638+1,9)),0),3)&amp;RIGHT("0000"&amp;IFERROR(VALUE(MID(B638,FIND("-",B638)+1,9)),0),4))</f>
        <v/>
      </c>
      <c r="N638" s="11" t="str">
        <f aca="false">IF(OR(B638="",N(F638)&lt;=0),"",IF('FALTAS POR DECK'!$P$1="Código","K"&amp;M638&amp;RIGHT("00000"&amp;ROW(),5),IF('FALTAS POR DECK'!$P$1="Nome","K"&amp;UPPER(SUBSTITUTE(SUBSTITUTE(SUBSTITUTE(C638,"*",""),"?",""),"~",""))&amp;"0"&amp;M638&amp;RIGHT("00000"&amp;ROW(),5),IF('FALTAS POR DECK'!$P$1="Falta (maior primeiro)","K"&amp;RIGHT("0000"&amp;(9999-F638),4)&amp;M638&amp;RIGHT("00000"&amp;ROW(),5),IF('FALTAS POR DECK'!$P$1="Deck e código","K"&amp;RIGHT("00"&amp;IFERROR(MATCH(A638,_LEITURA!$P$2:$P$21,0),99),2)&amp;M638&amp;RIGHT("00000"&amp;ROW(),5),"K"&amp;RIGHT("00000"&amp;ROW(),5))))))</f>
        <v/>
      </c>
      <c r="O638" s="16" t="str">
        <f aca="false">IF(N638="","",COUNTIFS($N$2:$N$1201,"&lt;"&amp;N638,$F$2:$F$1201,"&gt;0")+1)</f>
        <v/>
      </c>
    </row>
    <row r="639" customFormat="false" ht="15" hidden="false" customHeight="false" outlineLevel="0" collapsed="false">
      <c r="A639" s="11" t="str">
        <f aca="false">IF(_LEITURA!$N639="","",INDEX(_LEITURA!$K$2:$K$1201,_LEITURA!$N639))</f>
        <v/>
      </c>
      <c r="B639" s="11" t="str">
        <f aca="false">IF(_LEITURA!$N639="","",INDEX(_LEITURA!$E$2:$E$1201,_LEITURA!$N639))</f>
        <v/>
      </c>
      <c r="C639" s="11" t="str">
        <f aca="false">IF(_LEITURA!$N639="","",INDEX(_LEITURA!$J$2:$J$1201,_LEITURA!$N639))</f>
        <v/>
      </c>
      <c r="D639" s="16" t="str">
        <f aca="false">IF(_LEITURA!$N639="","",INDEX(_LEITURA!$G$2:$G$1201,_LEITURA!$N639))</f>
        <v/>
      </c>
      <c r="E639" s="16" t="str">
        <f aca="false">IF(B639="","",SUMIFS(INVENTÁRIO!$C$2:$C$801,INVENTÁRIO!$A$2:$A$801,B639))</f>
        <v/>
      </c>
      <c r="F639" s="16" t="str">
        <f aca="false">IF(B639="","",MAX(0,D639-E639))</f>
        <v/>
      </c>
      <c r="G639" s="16" t="str">
        <f aca="false">IF(B639="","",IF(COUNTIFS($B$2:$B$1201,B639,$A$2:$A$1201,"&lt;&gt;"&amp;A639)&gt;0,"Sim",""))</f>
        <v/>
      </c>
      <c r="H639" s="16" t="str">
        <f aca="false">IF(N(F639)&gt;0,MAX(H$1:H638)+1,"")</f>
        <v/>
      </c>
      <c r="I639" s="11" t="str">
        <f aca="false">IF(B639="","",IF(INDEX($C$2:$C$1201,MATCH(B639,$B$2:$B$1201,0))&lt;&gt;C639,"Nome diferente em outro deck — revisar",""))</f>
        <v/>
      </c>
      <c r="J639" s="16" t="str">
        <f aca="false">IF(AND(B639&lt;&gt;"",A639=BULK!$A$1,N(F639)&gt;0),MAX(J$1:J638)+1,"")</f>
        <v/>
      </c>
      <c r="K639" s="11" t="str">
        <f aca="false">IF(B639="","",IFERROR(LEFT(B639,FIND("-",B639)-1),B639))</f>
        <v/>
      </c>
      <c r="L639" s="11" t="str">
        <f aca="false">IF(K639="","",IF(ISNUMBER(--MID(K639,1,1)),0,IF(ISNUMBER(--MID(K639,2,1)),1,IF(ISNUMBER(--MID(K639,3,1)),2,IF(ISNUMBER(--MID(K639,4,1)),3,MIN(LEN(K639),4))))))</f>
        <v/>
      </c>
      <c r="M639" s="11" t="str">
        <f aca="false">IF(B639="","",LEFT(K639,L639)&amp;REPT("0",4-L639)&amp;RIGHT("000"&amp;IFERROR(VALUE(MID(K639,L639+1,9)),0),3)&amp;RIGHT("0000"&amp;IFERROR(VALUE(MID(B639,FIND("-",B639)+1,9)),0),4))</f>
        <v/>
      </c>
      <c r="N639" s="11" t="str">
        <f aca="false">IF(OR(B639="",N(F639)&lt;=0),"",IF('FALTAS POR DECK'!$P$1="Código","K"&amp;M639&amp;RIGHT("00000"&amp;ROW(),5),IF('FALTAS POR DECK'!$P$1="Nome","K"&amp;UPPER(SUBSTITUTE(SUBSTITUTE(SUBSTITUTE(C639,"*",""),"?",""),"~",""))&amp;"0"&amp;M639&amp;RIGHT("00000"&amp;ROW(),5),IF('FALTAS POR DECK'!$P$1="Falta (maior primeiro)","K"&amp;RIGHT("0000"&amp;(9999-F639),4)&amp;M639&amp;RIGHT("00000"&amp;ROW(),5),IF('FALTAS POR DECK'!$P$1="Deck e código","K"&amp;RIGHT("00"&amp;IFERROR(MATCH(A639,_LEITURA!$P$2:$P$21,0),99),2)&amp;M639&amp;RIGHT("00000"&amp;ROW(),5),"K"&amp;RIGHT("00000"&amp;ROW(),5))))))</f>
        <v/>
      </c>
      <c r="O639" s="16" t="str">
        <f aca="false">IF(N639="","",COUNTIFS($N$2:$N$1201,"&lt;"&amp;N639,$F$2:$F$1201,"&gt;0")+1)</f>
        <v/>
      </c>
    </row>
    <row r="640" customFormat="false" ht="15" hidden="false" customHeight="false" outlineLevel="0" collapsed="false">
      <c r="A640" s="11" t="str">
        <f aca="false">IF(_LEITURA!$N640="","",INDEX(_LEITURA!$K$2:$K$1201,_LEITURA!$N640))</f>
        <v/>
      </c>
      <c r="B640" s="11" t="str">
        <f aca="false">IF(_LEITURA!$N640="","",INDEX(_LEITURA!$E$2:$E$1201,_LEITURA!$N640))</f>
        <v/>
      </c>
      <c r="C640" s="11" t="str">
        <f aca="false">IF(_LEITURA!$N640="","",INDEX(_LEITURA!$J$2:$J$1201,_LEITURA!$N640))</f>
        <v/>
      </c>
      <c r="D640" s="16" t="str">
        <f aca="false">IF(_LEITURA!$N640="","",INDEX(_LEITURA!$G$2:$G$1201,_LEITURA!$N640))</f>
        <v/>
      </c>
      <c r="E640" s="16" t="str">
        <f aca="false">IF(B640="","",SUMIFS(INVENTÁRIO!$C$2:$C$801,INVENTÁRIO!$A$2:$A$801,B640))</f>
        <v/>
      </c>
      <c r="F640" s="16" t="str">
        <f aca="false">IF(B640="","",MAX(0,D640-E640))</f>
        <v/>
      </c>
      <c r="G640" s="16" t="str">
        <f aca="false">IF(B640="","",IF(COUNTIFS($B$2:$B$1201,B640,$A$2:$A$1201,"&lt;&gt;"&amp;A640)&gt;0,"Sim",""))</f>
        <v/>
      </c>
      <c r="H640" s="16" t="str">
        <f aca="false">IF(N(F640)&gt;0,MAX(H$1:H639)+1,"")</f>
        <v/>
      </c>
      <c r="I640" s="11" t="str">
        <f aca="false">IF(B640="","",IF(INDEX($C$2:$C$1201,MATCH(B640,$B$2:$B$1201,0))&lt;&gt;C640,"Nome diferente em outro deck — revisar",""))</f>
        <v/>
      </c>
      <c r="J640" s="16" t="str">
        <f aca="false">IF(AND(B640&lt;&gt;"",A640=BULK!$A$1,N(F640)&gt;0),MAX(J$1:J639)+1,"")</f>
        <v/>
      </c>
      <c r="K640" s="11" t="str">
        <f aca="false">IF(B640="","",IFERROR(LEFT(B640,FIND("-",B640)-1),B640))</f>
        <v/>
      </c>
      <c r="L640" s="11" t="str">
        <f aca="false">IF(K640="","",IF(ISNUMBER(--MID(K640,1,1)),0,IF(ISNUMBER(--MID(K640,2,1)),1,IF(ISNUMBER(--MID(K640,3,1)),2,IF(ISNUMBER(--MID(K640,4,1)),3,MIN(LEN(K640),4))))))</f>
        <v/>
      </c>
      <c r="M640" s="11" t="str">
        <f aca="false">IF(B640="","",LEFT(K640,L640)&amp;REPT("0",4-L640)&amp;RIGHT("000"&amp;IFERROR(VALUE(MID(K640,L640+1,9)),0),3)&amp;RIGHT("0000"&amp;IFERROR(VALUE(MID(B640,FIND("-",B640)+1,9)),0),4))</f>
        <v/>
      </c>
      <c r="N640" s="11" t="str">
        <f aca="false">IF(OR(B640="",N(F640)&lt;=0),"",IF('FALTAS POR DECK'!$P$1="Código","K"&amp;M640&amp;RIGHT("00000"&amp;ROW(),5),IF('FALTAS POR DECK'!$P$1="Nome","K"&amp;UPPER(SUBSTITUTE(SUBSTITUTE(SUBSTITUTE(C640,"*",""),"?",""),"~",""))&amp;"0"&amp;M640&amp;RIGHT("00000"&amp;ROW(),5),IF('FALTAS POR DECK'!$P$1="Falta (maior primeiro)","K"&amp;RIGHT("0000"&amp;(9999-F640),4)&amp;M640&amp;RIGHT("00000"&amp;ROW(),5),IF('FALTAS POR DECK'!$P$1="Deck e código","K"&amp;RIGHT("00"&amp;IFERROR(MATCH(A640,_LEITURA!$P$2:$P$21,0),99),2)&amp;M640&amp;RIGHT("00000"&amp;ROW(),5),"K"&amp;RIGHT("00000"&amp;ROW(),5))))))</f>
        <v/>
      </c>
      <c r="O640" s="16" t="str">
        <f aca="false">IF(N640="","",COUNTIFS($N$2:$N$1201,"&lt;"&amp;N640,$F$2:$F$1201,"&gt;0")+1)</f>
        <v/>
      </c>
    </row>
    <row r="641" customFormat="false" ht="15" hidden="false" customHeight="false" outlineLevel="0" collapsed="false">
      <c r="A641" s="11" t="str">
        <f aca="false">IF(_LEITURA!$N641="","",INDEX(_LEITURA!$K$2:$K$1201,_LEITURA!$N641))</f>
        <v/>
      </c>
      <c r="B641" s="11" t="str">
        <f aca="false">IF(_LEITURA!$N641="","",INDEX(_LEITURA!$E$2:$E$1201,_LEITURA!$N641))</f>
        <v/>
      </c>
      <c r="C641" s="11" t="str">
        <f aca="false">IF(_LEITURA!$N641="","",INDEX(_LEITURA!$J$2:$J$1201,_LEITURA!$N641))</f>
        <v/>
      </c>
      <c r="D641" s="16" t="str">
        <f aca="false">IF(_LEITURA!$N641="","",INDEX(_LEITURA!$G$2:$G$1201,_LEITURA!$N641))</f>
        <v/>
      </c>
      <c r="E641" s="16" t="str">
        <f aca="false">IF(B641="","",SUMIFS(INVENTÁRIO!$C$2:$C$801,INVENTÁRIO!$A$2:$A$801,B641))</f>
        <v/>
      </c>
      <c r="F641" s="16" t="str">
        <f aca="false">IF(B641="","",MAX(0,D641-E641))</f>
        <v/>
      </c>
      <c r="G641" s="16" t="str">
        <f aca="false">IF(B641="","",IF(COUNTIFS($B$2:$B$1201,B641,$A$2:$A$1201,"&lt;&gt;"&amp;A641)&gt;0,"Sim",""))</f>
        <v/>
      </c>
      <c r="H641" s="16" t="str">
        <f aca="false">IF(N(F641)&gt;0,MAX(H$1:H640)+1,"")</f>
        <v/>
      </c>
      <c r="I641" s="11" t="str">
        <f aca="false">IF(B641="","",IF(INDEX($C$2:$C$1201,MATCH(B641,$B$2:$B$1201,0))&lt;&gt;C641,"Nome diferente em outro deck — revisar",""))</f>
        <v/>
      </c>
      <c r="J641" s="16" t="str">
        <f aca="false">IF(AND(B641&lt;&gt;"",A641=BULK!$A$1,N(F641)&gt;0),MAX(J$1:J640)+1,"")</f>
        <v/>
      </c>
      <c r="K641" s="11" t="str">
        <f aca="false">IF(B641="","",IFERROR(LEFT(B641,FIND("-",B641)-1),B641))</f>
        <v/>
      </c>
      <c r="L641" s="11" t="str">
        <f aca="false">IF(K641="","",IF(ISNUMBER(--MID(K641,1,1)),0,IF(ISNUMBER(--MID(K641,2,1)),1,IF(ISNUMBER(--MID(K641,3,1)),2,IF(ISNUMBER(--MID(K641,4,1)),3,MIN(LEN(K641),4))))))</f>
        <v/>
      </c>
      <c r="M641" s="11" t="str">
        <f aca="false">IF(B641="","",LEFT(K641,L641)&amp;REPT("0",4-L641)&amp;RIGHT("000"&amp;IFERROR(VALUE(MID(K641,L641+1,9)),0),3)&amp;RIGHT("0000"&amp;IFERROR(VALUE(MID(B641,FIND("-",B641)+1,9)),0),4))</f>
        <v/>
      </c>
      <c r="N641" s="11" t="str">
        <f aca="false">IF(OR(B641="",N(F641)&lt;=0),"",IF('FALTAS POR DECK'!$P$1="Código","K"&amp;M641&amp;RIGHT("00000"&amp;ROW(),5),IF('FALTAS POR DECK'!$P$1="Nome","K"&amp;UPPER(SUBSTITUTE(SUBSTITUTE(SUBSTITUTE(C641,"*",""),"?",""),"~",""))&amp;"0"&amp;M641&amp;RIGHT("00000"&amp;ROW(),5),IF('FALTAS POR DECK'!$P$1="Falta (maior primeiro)","K"&amp;RIGHT("0000"&amp;(9999-F641),4)&amp;M641&amp;RIGHT("00000"&amp;ROW(),5),IF('FALTAS POR DECK'!$P$1="Deck e código","K"&amp;RIGHT("00"&amp;IFERROR(MATCH(A641,_LEITURA!$P$2:$P$21,0),99),2)&amp;M641&amp;RIGHT("00000"&amp;ROW(),5),"K"&amp;RIGHT("00000"&amp;ROW(),5))))))</f>
        <v/>
      </c>
      <c r="O641" s="16" t="str">
        <f aca="false">IF(N641="","",COUNTIFS($N$2:$N$1201,"&lt;"&amp;N641,$F$2:$F$1201,"&gt;0")+1)</f>
        <v/>
      </c>
    </row>
    <row r="642" customFormat="false" ht="15" hidden="false" customHeight="false" outlineLevel="0" collapsed="false">
      <c r="A642" s="11" t="str">
        <f aca="false">IF(_LEITURA!$N642="","",INDEX(_LEITURA!$K$2:$K$1201,_LEITURA!$N642))</f>
        <v/>
      </c>
      <c r="B642" s="11" t="str">
        <f aca="false">IF(_LEITURA!$N642="","",INDEX(_LEITURA!$E$2:$E$1201,_LEITURA!$N642))</f>
        <v/>
      </c>
      <c r="C642" s="11" t="str">
        <f aca="false">IF(_LEITURA!$N642="","",INDEX(_LEITURA!$J$2:$J$1201,_LEITURA!$N642))</f>
        <v/>
      </c>
      <c r="D642" s="16" t="str">
        <f aca="false">IF(_LEITURA!$N642="","",INDEX(_LEITURA!$G$2:$G$1201,_LEITURA!$N642))</f>
        <v/>
      </c>
      <c r="E642" s="16" t="str">
        <f aca="false">IF(B642="","",SUMIFS(INVENTÁRIO!$C$2:$C$801,INVENTÁRIO!$A$2:$A$801,B642))</f>
        <v/>
      </c>
      <c r="F642" s="16" t="str">
        <f aca="false">IF(B642="","",MAX(0,D642-E642))</f>
        <v/>
      </c>
      <c r="G642" s="16" t="str">
        <f aca="false">IF(B642="","",IF(COUNTIFS($B$2:$B$1201,B642,$A$2:$A$1201,"&lt;&gt;"&amp;A642)&gt;0,"Sim",""))</f>
        <v/>
      </c>
      <c r="H642" s="16" t="str">
        <f aca="false">IF(N(F642)&gt;0,MAX(H$1:H641)+1,"")</f>
        <v/>
      </c>
      <c r="I642" s="11" t="str">
        <f aca="false">IF(B642="","",IF(INDEX($C$2:$C$1201,MATCH(B642,$B$2:$B$1201,0))&lt;&gt;C642,"Nome diferente em outro deck — revisar",""))</f>
        <v/>
      </c>
      <c r="J642" s="16" t="str">
        <f aca="false">IF(AND(B642&lt;&gt;"",A642=BULK!$A$1,N(F642)&gt;0),MAX(J$1:J641)+1,"")</f>
        <v/>
      </c>
      <c r="K642" s="11" t="str">
        <f aca="false">IF(B642="","",IFERROR(LEFT(B642,FIND("-",B642)-1),B642))</f>
        <v/>
      </c>
      <c r="L642" s="11" t="str">
        <f aca="false">IF(K642="","",IF(ISNUMBER(--MID(K642,1,1)),0,IF(ISNUMBER(--MID(K642,2,1)),1,IF(ISNUMBER(--MID(K642,3,1)),2,IF(ISNUMBER(--MID(K642,4,1)),3,MIN(LEN(K642),4))))))</f>
        <v/>
      </c>
      <c r="M642" s="11" t="str">
        <f aca="false">IF(B642="","",LEFT(K642,L642)&amp;REPT("0",4-L642)&amp;RIGHT("000"&amp;IFERROR(VALUE(MID(K642,L642+1,9)),0),3)&amp;RIGHT("0000"&amp;IFERROR(VALUE(MID(B642,FIND("-",B642)+1,9)),0),4))</f>
        <v/>
      </c>
      <c r="N642" s="11" t="str">
        <f aca="false">IF(OR(B642="",N(F642)&lt;=0),"",IF('FALTAS POR DECK'!$P$1="Código","K"&amp;M642&amp;RIGHT("00000"&amp;ROW(),5),IF('FALTAS POR DECK'!$P$1="Nome","K"&amp;UPPER(SUBSTITUTE(SUBSTITUTE(SUBSTITUTE(C642,"*",""),"?",""),"~",""))&amp;"0"&amp;M642&amp;RIGHT("00000"&amp;ROW(),5),IF('FALTAS POR DECK'!$P$1="Falta (maior primeiro)","K"&amp;RIGHT("0000"&amp;(9999-F642),4)&amp;M642&amp;RIGHT("00000"&amp;ROW(),5),IF('FALTAS POR DECK'!$P$1="Deck e código","K"&amp;RIGHT("00"&amp;IFERROR(MATCH(A642,_LEITURA!$P$2:$P$21,0),99),2)&amp;M642&amp;RIGHT("00000"&amp;ROW(),5),"K"&amp;RIGHT("00000"&amp;ROW(),5))))))</f>
        <v/>
      </c>
      <c r="O642" s="16" t="str">
        <f aca="false">IF(N642="","",COUNTIFS($N$2:$N$1201,"&lt;"&amp;N642,$F$2:$F$1201,"&gt;0")+1)</f>
        <v/>
      </c>
    </row>
    <row r="643" customFormat="false" ht="15" hidden="false" customHeight="false" outlineLevel="0" collapsed="false">
      <c r="A643" s="11" t="str">
        <f aca="false">IF(_LEITURA!$N643="","",INDEX(_LEITURA!$K$2:$K$1201,_LEITURA!$N643))</f>
        <v/>
      </c>
      <c r="B643" s="11" t="str">
        <f aca="false">IF(_LEITURA!$N643="","",INDEX(_LEITURA!$E$2:$E$1201,_LEITURA!$N643))</f>
        <v/>
      </c>
      <c r="C643" s="11" t="str">
        <f aca="false">IF(_LEITURA!$N643="","",INDEX(_LEITURA!$J$2:$J$1201,_LEITURA!$N643))</f>
        <v/>
      </c>
      <c r="D643" s="16" t="str">
        <f aca="false">IF(_LEITURA!$N643="","",INDEX(_LEITURA!$G$2:$G$1201,_LEITURA!$N643))</f>
        <v/>
      </c>
      <c r="E643" s="16" t="str">
        <f aca="false">IF(B643="","",SUMIFS(INVENTÁRIO!$C$2:$C$801,INVENTÁRIO!$A$2:$A$801,B643))</f>
        <v/>
      </c>
      <c r="F643" s="16" t="str">
        <f aca="false">IF(B643="","",MAX(0,D643-E643))</f>
        <v/>
      </c>
      <c r="G643" s="16" t="str">
        <f aca="false">IF(B643="","",IF(COUNTIFS($B$2:$B$1201,B643,$A$2:$A$1201,"&lt;&gt;"&amp;A643)&gt;0,"Sim",""))</f>
        <v/>
      </c>
      <c r="H643" s="16" t="str">
        <f aca="false">IF(N(F643)&gt;0,MAX(H$1:H642)+1,"")</f>
        <v/>
      </c>
      <c r="I643" s="11" t="str">
        <f aca="false">IF(B643="","",IF(INDEX($C$2:$C$1201,MATCH(B643,$B$2:$B$1201,0))&lt;&gt;C643,"Nome diferente em outro deck — revisar",""))</f>
        <v/>
      </c>
      <c r="J643" s="16" t="str">
        <f aca="false">IF(AND(B643&lt;&gt;"",A643=BULK!$A$1,N(F643)&gt;0),MAX(J$1:J642)+1,"")</f>
        <v/>
      </c>
      <c r="K643" s="11" t="str">
        <f aca="false">IF(B643="","",IFERROR(LEFT(B643,FIND("-",B643)-1),B643))</f>
        <v/>
      </c>
      <c r="L643" s="11" t="str">
        <f aca="false">IF(K643="","",IF(ISNUMBER(--MID(K643,1,1)),0,IF(ISNUMBER(--MID(K643,2,1)),1,IF(ISNUMBER(--MID(K643,3,1)),2,IF(ISNUMBER(--MID(K643,4,1)),3,MIN(LEN(K643),4))))))</f>
        <v/>
      </c>
      <c r="M643" s="11" t="str">
        <f aca="false">IF(B643="","",LEFT(K643,L643)&amp;REPT("0",4-L643)&amp;RIGHT("000"&amp;IFERROR(VALUE(MID(K643,L643+1,9)),0),3)&amp;RIGHT("0000"&amp;IFERROR(VALUE(MID(B643,FIND("-",B643)+1,9)),0),4))</f>
        <v/>
      </c>
      <c r="N643" s="11" t="str">
        <f aca="false">IF(OR(B643="",N(F643)&lt;=0),"",IF('FALTAS POR DECK'!$P$1="Código","K"&amp;M643&amp;RIGHT("00000"&amp;ROW(),5),IF('FALTAS POR DECK'!$P$1="Nome","K"&amp;UPPER(SUBSTITUTE(SUBSTITUTE(SUBSTITUTE(C643,"*",""),"?",""),"~",""))&amp;"0"&amp;M643&amp;RIGHT("00000"&amp;ROW(),5),IF('FALTAS POR DECK'!$P$1="Falta (maior primeiro)","K"&amp;RIGHT("0000"&amp;(9999-F643),4)&amp;M643&amp;RIGHT("00000"&amp;ROW(),5),IF('FALTAS POR DECK'!$P$1="Deck e código","K"&amp;RIGHT("00"&amp;IFERROR(MATCH(A643,_LEITURA!$P$2:$P$21,0),99),2)&amp;M643&amp;RIGHT("00000"&amp;ROW(),5),"K"&amp;RIGHT("00000"&amp;ROW(),5))))))</f>
        <v/>
      </c>
      <c r="O643" s="16" t="str">
        <f aca="false">IF(N643="","",COUNTIFS($N$2:$N$1201,"&lt;"&amp;N643,$F$2:$F$1201,"&gt;0")+1)</f>
        <v/>
      </c>
    </row>
    <row r="644" customFormat="false" ht="15" hidden="false" customHeight="false" outlineLevel="0" collapsed="false">
      <c r="A644" s="11" t="str">
        <f aca="false">IF(_LEITURA!$N644="","",INDEX(_LEITURA!$K$2:$K$1201,_LEITURA!$N644))</f>
        <v/>
      </c>
      <c r="B644" s="11" t="str">
        <f aca="false">IF(_LEITURA!$N644="","",INDEX(_LEITURA!$E$2:$E$1201,_LEITURA!$N644))</f>
        <v/>
      </c>
      <c r="C644" s="11" t="str">
        <f aca="false">IF(_LEITURA!$N644="","",INDEX(_LEITURA!$J$2:$J$1201,_LEITURA!$N644))</f>
        <v/>
      </c>
      <c r="D644" s="16" t="str">
        <f aca="false">IF(_LEITURA!$N644="","",INDEX(_LEITURA!$G$2:$G$1201,_LEITURA!$N644))</f>
        <v/>
      </c>
      <c r="E644" s="16" t="str">
        <f aca="false">IF(B644="","",SUMIFS(INVENTÁRIO!$C$2:$C$801,INVENTÁRIO!$A$2:$A$801,B644))</f>
        <v/>
      </c>
      <c r="F644" s="16" t="str">
        <f aca="false">IF(B644="","",MAX(0,D644-E644))</f>
        <v/>
      </c>
      <c r="G644" s="16" t="str">
        <f aca="false">IF(B644="","",IF(COUNTIFS($B$2:$B$1201,B644,$A$2:$A$1201,"&lt;&gt;"&amp;A644)&gt;0,"Sim",""))</f>
        <v/>
      </c>
      <c r="H644" s="16" t="str">
        <f aca="false">IF(N(F644)&gt;0,MAX(H$1:H643)+1,"")</f>
        <v/>
      </c>
      <c r="I644" s="11" t="str">
        <f aca="false">IF(B644="","",IF(INDEX($C$2:$C$1201,MATCH(B644,$B$2:$B$1201,0))&lt;&gt;C644,"Nome diferente em outro deck — revisar",""))</f>
        <v/>
      </c>
      <c r="J644" s="16" t="str">
        <f aca="false">IF(AND(B644&lt;&gt;"",A644=BULK!$A$1,N(F644)&gt;0),MAX(J$1:J643)+1,"")</f>
        <v/>
      </c>
      <c r="K644" s="11" t="str">
        <f aca="false">IF(B644="","",IFERROR(LEFT(B644,FIND("-",B644)-1),B644))</f>
        <v/>
      </c>
      <c r="L644" s="11" t="str">
        <f aca="false">IF(K644="","",IF(ISNUMBER(--MID(K644,1,1)),0,IF(ISNUMBER(--MID(K644,2,1)),1,IF(ISNUMBER(--MID(K644,3,1)),2,IF(ISNUMBER(--MID(K644,4,1)),3,MIN(LEN(K644),4))))))</f>
        <v/>
      </c>
      <c r="M644" s="11" t="str">
        <f aca="false">IF(B644="","",LEFT(K644,L644)&amp;REPT("0",4-L644)&amp;RIGHT("000"&amp;IFERROR(VALUE(MID(K644,L644+1,9)),0),3)&amp;RIGHT("0000"&amp;IFERROR(VALUE(MID(B644,FIND("-",B644)+1,9)),0),4))</f>
        <v/>
      </c>
      <c r="N644" s="11" t="str">
        <f aca="false">IF(OR(B644="",N(F644)&lt;=0),"",IF('FALTAS POR DECK'!$P$1="Código","K"&amp;M644&amp;RIGHT("00000"&amp;ROW(),5),IF('FALTAS POR DECK'!$P$1="Nome","K"&amp;UPPER(SUBSTITUTE(SUBSTITUTE(SUBSTITUTE(C644,"*",""),"?",""),"~",""))&amp;"0"&amp;M644&amp;RIGHT("00000"&amp;ROW(),5),IF('FALTAS POR DECK'!$P$1="Falta (maior primeiro)","K"&amp;RIGHT("0000"&amp;(9999-F644),4)&amp;M644&amp;RIGHT("00000"&amp;ROW(),5),IF('FALTAS POR DECK'!$P$1="Deck e código","K"&amp;RIGHT("00"&amp;IFERROR(MATCH(A644,_LEITURA!$P$2:$P$21,0),99),2)&amp;M644&amp;RIGHT("00000"&amp;ROW(),5),"K"&amp;RIGHT("00000"&amp;ROW(),5))))))</f>
        <v/>
      </c>
      <c r="O644" s="16" t="str">
        <f aca="false">IF(N644="","",COUNTIFS($N$2:$N$1201,"&lt;"&amp;N644,$F$2:$F$1201,"&gt;0")+1)</f>
        <v/>
      </c>
    </row>
    <row r="645" customFormat="false" ht="15" hidden="false" customHeight="false" outlineLevel="0" collapsed="false">
      <c r="A645" s="11" t="str">
        <f aca="false">IF(_LEITURA!$N645="","",INDEX(_LEITURA!$K$2:$K$1201,_LEITURA!$N645))</f>
        <v/>
      </c>
      <c r="B645" s="11" t="str">
        <f aca="false">IF(_LEITURA!$N645="","",INDEX(_LEITURA!$E$2:$E$1201,_LEITURA!$N645))</f>
        <v/>
      </c>
      <c r="C645" s="11" t="str">
        <f aca="false">IF(_LEITURA!$N645="","",INDEX(_LEITURA!$J$2:$J$1201,_LEITURA!$N645))</f>
        <v/>
      </c>
      <c r="D645" s="16" t="str">
        <f aca="false">IF(_LEITURA!$N645="","",INDEX(_LEITURA!$G$2:$G$1201,_LEITURA!$N645))</f>
        <v/>
      </c>
      <c r="E645" s="16" t="str">
        <f aca="false">IF(B645="","",SUMIFS(INVENTÁRIO!$C$2:$C$801,INVENTÁRIO!$A$2:$A$801,B645))</f>
        <v/>
      </c>
      <c r="F645" s="16" t="str">
        <f aca="false">IF(B645="","",MAX(0,D645-E645))</f>
        <v/>
      </c>
      <c r="G645" s="16" t="str">
        <f aca="false">IF(B645="","",IF(COUNTIFS($B$2:$B$1201,B645,$A$2:$A$1201,"&lt;&gt;"&amp;A645)&gt;0,"Sim",""))</f>
        <v/>
      </c>
      <c r="H645" s="16" t="str">
        <f aca="false">IF(N(F645)&gt;0,MAX(H$1:H644)+1,"")</f>
        <v/>
      </c>
      <c r="I645" s="11" t="str">
        <f aca="false">IF(B645="","",IF(INDEX($C$2:$C$1201,MATCH(B645,$B$2:$B$1201,0))&lt;&gt;C645,"Nome diferente em outro deck — revisar",""))</f>
        <v/>
      </c>
      <c r="J645" s="16" t="str">
        <f aca="false">IF(AND(B645&lt;&gt;"",A645=BULK!$A$1,N(F645)&gt;0),MAX(J$1:J644)+1,"")</f>
        <v/>
      </c>
      <c r="K645" s="11" t="str">
        <f aca="false">IF(B645="","",IFERROR(LEFT(B645,FIND("-",B645)-1),B645))</f>
        <v/>
      </c>
      <c r="L645" s="11" t="str">
        <f aca="false">IF(K645="","",IF(ISNUMBER(--MID(K645,1,1)),0,IF(ISNUMBER(--MID(K645,2,1)),1,IF(ISNUMBER(--MID(K645,3,1)),2,IF(ISNUMBER(--MID(K645,4,1)),3,MIN(LEN(K645),4))))))</f>
        <v/>
      </c>
      <c r="M645" s="11" t="str">
        <f aca="false">IF(B645="","",LEFT(K645,L645)&amp;REPT("0",4-L645)&amp;RIGHT("000"&amp;IFERROR(VALUE(MID(K645,L645+1,9)),0),3)&amp;RIGHT("0000"&amp;IFERROR(VALUE(MID(B645,FIND("-",B645)+1,9)),0),4))</f>
        <v/>
      </c>
      <c r="N645" s="11" t="str">
        <f aca="false">IF(OR(B645="",N(F645)&lt;=0),"",IF('FALTAS POR DECK'!$P$1="Código","K"&amp;M645&amp;RIGHT("00000"&amp;ROW(),5),IF('FALTAS POR DECK'!$P$1="Nome","K"&amp;UPPER(SUBSTITUTE(SUBSTITUTE(SUBSTITUTE(C645,"*",""),"?",""),"~",""))&amp;"0"&amp;M645&amp;RIGHT("00000"&amp;ROW(),5),IF('FALTAS POR DECK'!$P$1="Falta (maior primeiro)","K"&amp;RIGHT("0000"&amp;(9999-F645),4)&amp;M645&amp;RIGHT("00000"&amp;ROW(),5),IF('FALTAS POR DECK'!$P$1="Deck e código","K"&amp;RIGHT("00"&amp;IFERROR(MATCH(A645,_LEITURA!$P$2:$P$21,0),99),2)&amp;M645&amp;RIGHT("00000"&amp;ROW(),5),"K"&amp;RIGHT("00000"&amp;ROW(),5))))))</f>
        <v/>
      </c>
      <c r="O645" s="16" t="str">
        <f aca="false">IF(N645="","",COUNTIFS($N$2:$N$1201,"&lt;"&amp;N645,$F$2:$F$1201,"&gt;0")+1)</f>
        <v/>
      </c>
    </row>
    <row r="646" customFormat="false" ht="15" hidden="false" customHeight="false" outlineLevel="0" collapsed="false">
      <c r="A646" s="11" t="str">
        <f aca="false">IF(_LEITURA!$N646="","",INDEX(_LEITURA!$K$2:$K$1201,_LEITURA!$N646))</f>
        <v/>
      </c>
      <c r="B646" s="11" t="str">
        <f aca="false">IF(_LEITURA!$N646="","",INDEX(_LEITURA!$E$2:$E$1201,_LEITURA!$N646))</f>
        <v/>
      </c>
      <c r="C646" s="11" t="str">
        <f aca="false">IF(_LEITURA!$N646="","",INDEX(_LEITURA!$J$2:$J$1201,_LEITURA!$N646))</f>
        <v/>
      </c>
      <c r="D646" s="16" t="str">
        <f aca="false">IF(_LEITURA!$N646="","",INDEX(_LEITURA!$G$2:$G$1201,_LEITURA!$N646))</f>
        <v/>
      </c>
      <c r="E646" s="16" t="str">
        <f aca="false">IF(B646="","",SUMIFS(INVENTÁRIO!$C$2:$C$801,INVENTÁRIO!$A$2:$A$801,B646))</f>
        <v/>
      </c>
      <c r="F646" s="16" t="str">
        <f aca="false">IF(B646="","",MAX(0,D646-E646))</f>
        <v/>
      </c>
      <c r="G646" s="16" t="str">
        <f aca="false">IF(B646="","",IF(COUNTIFS($B$2:$B$1201,B646,$A$2:$A$1201,"&lt;&gt;"&amp;A646)&gt;0,"Sim",""))</f>
        <v/>
      </c>
      <c r="H646" s="16" t="str">
        <f aca="false">IF(N(F646)&gt;0,MAX(H$1:H645)+1,"")</f>
        <v/>
      </c>
      <c r="I646" s="11" t="str">
        <f aca="false">IF(B646="","",IF(INDEX($C$2:$C$1201,MATCH(B646,$B$2:$B$1201,0))&lt;&gt;C646,"Nome diferente em outro deck — revisar",""))</f>
        <v/>
      </c>
      <c r="J646" s="16" t="str">
        <f aca="false">IF(AND(B646&lt;&gt;"",A646=BULK!$A$1,N(F646)&gt;0),MAX(J$1:J645)+1,"")</f>
        <v/>
      </c>
      <c r="K646" s="11" t="str">
        <f aca="false">IF(B646="","",IFERROR(LEFT(B646,FIND("-",B646)-1),B646))</f>
        <v/>
      </c>
      <c r="L646" s="11" t="str">
        <f aca="false">IF(K646="","",IF(ISNUMBER(--MID(K646,1,1)),0,IF(ISNUMBER(--MID(K646,2,1)),1,IF(ISNUMBER(--MID(K646,3,1)),2,IF(ISNUMBER(--MID(K646,4,1)),3,MIN(LEN(K646),4))))))</f>
        <v/>
      </c>
      <c r="M646" s="11" t="str">
        <f aca="false">IF(B646="","",LEFT(K646,L646)&amp;REPT("0",4-L646)&amp;RIGHT("000"&amp;IFERROR(VALUE(MID(K646,L646+1,9)),0),3)&amp;RIGHT("0000"&amp;IFERROR(VALUE(MID(B646,FIND("-",B646)+1,9)),0),4))</f>
        <v/>
      </c>
      <c r="N646" s="11" t="str">
        <f aca="false">IF(OR(B646="",N(F646)&lt;=0),"",IF('FALTAS POR DECK'!$P$1="Código","K"&amp;M646&amp;RIGHT("00000"&amp;ROW(),5),IF('FALTAS POR DECK'!$P$1="Nome","K"&amp;UPPER(SUBSTITUTE(SUBSTITUTE(SUBSTITUTE(C646,"*",""),"?",""),"~",""))&amp;"0"&amp;M646&amp;RIGHT("00000"&amp;ROW(),5),IF('FALTAS POR DECK'!$P$1="Falta (maior primeiro)","K"&amp;RIGHT("0000"&amp;(9999-F646),4)&amp;M646&amp;RIGHT("00000"&amp;ROW(),5),IF('FALTAS POR DECK'!$P$1="Deck e código","K"&amp;RIGHT("00"&amp;IFERROR(MATCH(A646,_LEITURA!$P$2:$P$21,0),99),2)&amp;M646&amp;RIGHT("00000"&amp;ROW(),5),"K"&amp;RIGHT("00000"&amp;ROW(),5))))))</f>
        <v/>
      </c>
      <c r="O646" s="16" t="str">
        <f aca="false">IF(N646="","",COUNTIFS($N$2:$N$1201,"&lt;"&amp;N646,$F$2:$F$1201,"&gt;0")+1)</f>
        <v/>
      </c>
    </row>
    <row r="647" customFormat="false" ht="15" hidden="false" customHeight="false" outlineLevel="0" collapsed="false">
      <c r="A647" s="11" t="str">
        <f aca="false">IF(_LEITURA!$N647="","",INDEX(_LEITURA!$K$2:$K$1201,_LEITURA!$N647))</f>
        <v/>
      </c>
      <c r="B647" s="11" t="str">
        <f aca="false">IF(_LEITURA!$N647="","",INDEX(_LEITURA!$E$2:$E$1201,_LEITURA!$N647))</f>
        <v/>
      </c>
      <c r="C647" s="11" t="str">
        <f aca="false">IF(_LEITURA!$N647="","",INDEX(_LEITURA!$J$2:$J$1201,_LEITURA!$N647))</f>
        <v/>
      </c>
      <c r="D647" s="16" t="str">
        <f aca="false">IF(_LEITURA!$N647="","",INDEX(_LEITURA!$G$2:$G$1201,_LEITURA!$N647))</f>
        <v/>
      </c>
      <c r="E647" s="16" t="str">
        <f aca="false">IF(B647="","",SUMIFS(INVENTÁRIO!$C$2:$C$801,INVENTÁRIO!$A$2:$A$801,B647))</f>
        <v/>
      </c>
      <c r="F647" s="16" t="str">
        <f aca="false">IF(B647="","",MAX(0,D647-E647))</f>
        <v/>
      </c>
      <c r="G647" s="16" t="str">
        <f aca="false">IF(B647="","",IF(COUNTIFS($B$2:$B$1201,B647,$A$2:$A$1201,"&lt;&gt;"&amp;A647)&gt;0,"Sim",""))</f>
        <v/>
      </c>
      <c r="H647" s="16" t="str">
        <f aca="false">IF(N(F647)&gt;0,MAX(H$1:H646)+1,"")</f>
        <v/>
      </c>
      <c r="I647" s="11" t="str">
        <f aca="false">IF(B647="","",IF(INDEX($C$2:$C$1201,MATCH(B647,$B$2:$B$1201,0))&lt;&gt;C647,"Nome diferente em outro deck — revisar",""))</f>
        <v/>
      </c>
      <c r="J647" s="16" t="str">
        <f aca="false">IF(AND(B647&lt;&gt;"",A647=BULK!$A$1,N(F647)&gt;0),MAX(J$1:J646)+1,"")</f>
        <v/>
      </c>
      <c r="K647" s="11" t="str">
        <f aca="false">IF(B647="","",IFERROR(LEFT(B647,FIND("-",B647)-1),B647))</f>
        <v/>
      </c>
      <c r="L647" s="11" t="str">
        <f aca="false">IF(K647="","",IF(ISNUMBER(--MID(K647,1,1)),0,IF(ISNUMBER(--MID(K647,2,1)),1,IF(ISNUMBER(--MID(K647,3,1)),2,IF(ISNUMBER(--MID(K647,4,1)),3,MIN(LEN(K647),4))))))</f>
        <v/>
      </c>
      <c r="M647" s="11" t="str">
        <f aca="false">IF(B647="","",LEFT(K647,L647)&amp;REPT("0",4-L647)&amp;RIGHT("000"&amp;IFERROR(VALUE(MID(K647,L647+1,9)),0),3)&amp;RIGHT("0000"&amp;IFERROR(VALUE(MID(B647,FIND("-",B647)+1,9)),0),4))</f>
        <v/>
      </c>
      <c r="N647" s="11" t="str">
        <f aca="false">IF(OR(B647="",N(F647)&lt;=0),"",IF('FALTAS POR DECK'!$P$1="Código","K"&amp;M647&amp;RIGHT("00000"&amp;ROW(),5),IF('FALTAS POR DECK'!$P$1="Nome","K"&amp;UPPER(SUBSTITUTE(SUBSTITUTE(SUBSTITUTE(C647,"*",""),"?",""),"~",""))&amp;"0"&amp;M647&amp;RIGHT("00000"&amp;ROW(),5),IF('FALTAS POR DECK'!$P$1="Falta (maior primeiro)","K"&amp;RIGHT("0000"&amp;(9999-F647),4)&amp;M647&amp;RIGHT("00000"&amp;ROW(),5),IF('FALTAS POR DECK'!$P$1="Deck e código","K"&amp;RIGHT("00"&amp;IFERROR(MATCH(A647,_LEITURA!$P$2:$P$21,0),99),2)&amp;M647&amp;RIGHT("00000"&amp;ROW(),5),"K"&amp;RIGHT("00000"&amp;ROW(),5))))))</f>
        <v/>
      </c>
      <c r="O647" s="16" t="str">
        <f aca="false">IF(N647="","",COUNTIFS($N$2:$N$1201,"&lt;"&amp;N647,$F$2:$F$1201,"&gt;0")+1)</f>
        <v/>
      </c>
    </row>
    <row r="648" customFormat="false" ht="15" hidden="false" customHeight="false" outlineLevel="0" collapsed="false">
      <c r="A648" s="11" t="str">
        <f aca="false">IF(_LEITURA!$N648="","",INDEX(_LEITURA!$K$2:$K$1201,_LEITURA!$N648))</f>
        <v/>
      </c>
      <c r="B648" s="11" t="str">
        <f aca="false">IF(_LEITURA!$N648="","",INDEX(_LEITURA!$E$2:$E$1201,_LEITURA!$N648))</f>
        <v/>
      </c>
      <c r="C648" s="11" t="str">
        <f aca="false">IF(_LEITURA!$N648="","",INDEX(_LEITURA!$J$2:$J$1201,_LEITURA!$N648))</f>
        <v/>
      </c>
      <c r="D648" s="16" t="str">
        <f aca="false">IF(_LEITURA!$N648="","",INDEX(_LEITURA!$G$2:$G$1201,_LEITURA!$N648))</f>
        <v/>
      </c>
      <c r="E648" s="16" t="str">
        <f aca="false">IF(B648="","",SUMIFS(INVENTÁRIO!$C$2:$C$801,INVENTÁRIO!$A$2:$A$801,B648))</f>
        <v/>
      </c>
      <c r="F648" s="16" t="str">
        <f aca="false">IF(B648="","",MAX(0,D648-E648))</f>
        <v/>
      </c>
      <c r="G648" s="16" t="str">
        <f aca="false">IF(B648="","",IF(COUNTIFS($B$2:$B$1201,B648,$A$2:$A$1201,"&lt;&gt;"&amp;A648)&gt;0,"Sim",""))</f>
        <v/>
      </c>
      <c r="H648" s="16" t="str">
        <f aca="false">IF(N(F648)&gt;0,MAX(H$1:H647)+1,"")</f>
        <v/>
      </c>
      <c r="I648" s="11" t="str">
        <f aca="false">IF(B648="","",IF(INDEX($C$2:$C$1201,MATCH(B648,$B$2:$B$1201,0))&lt;&gt;C648,"Nome diferente em outro deck — revisar",""))</f>
        <v/>
      </c>
      <c r="J648" s="16" t="str">
        <f aca="false">IF(AND(B648&lt;&gt;"",A648=BULK!$A$1,N(F648)&gt;0),MAX(J$1:J647)+1,"")</f>
        <v/>
      </c>
      <c r="K648" s="11" t="str">
        <f aca="false">IF(B648="","",IFERROR(LEFT(B648,FIND("-",B648)-1),B648))</f>
        <v/>
      </c>
      <c r="L648" s="11" t="str">
        <f aca="false">IF(K648="","",IF(ISNUMBER(--MID(K648,1,1)),0,IF(ISNUMBER(--MID(K648,2,1)),1,IF(ISNUMBER(--MID(K648,3,1)),2,IF(ISNUMBER(--MID(K648,4,1)),3,MIN(LEN(K648),4))))))</f>
        <v/>
      </c>
      <c r="M648" s="11" t="str">
        <f aca="false">IF(B648="","",LEFT(K648,L648)&amp;REPT("0",4-L648)&amp;RIGHT("000"&amp;IFERROR(VALUE(MID(K648,L648+1,9)),0),3)&amp;RIGHT("0000"&amp;IFERROR(VALUE(MID(B648,FIND("-",B648)+1,9)),0),4))</f>
        <v/>
      </c>
      <c r="N648" s="11" t="str">
        <f aca="false">IF(OR(B648="",N(F648)&lt;=0),"",IF('FALTAS POR DECK'!$P$1="Código","K"&amp;M648&amp;RIGHT("00000"&amp;ROW(),5),IF('FALTAS POR DECK'!$P$1="Nome","K"&amp;UPPER(SUBSTITUTE(SUBSTITUTE(SUBSTITUTE(C648,"*",""),"?",""),"~",""))&amp;"0"&amp;M648&amp;RIGHT("00000"&amp;ROW(),5),IF('FALTAS POR DECK'!$P$1="Falta (maior primeiro)","K"&amp;RIGHT("0000"&amp;(9999-F648),4)&amp;M648&amp;RIGHT("00000"&amp;ROW(),5),IF('FALTAS POR DECK'!$P$1="Deck e código","K"&amp;RIGHT("00"&amp;IFERROR(MATCH(A648,_LEITURA!$P$2:$P$21,0),99),2)&amp;M648&amp;RIGHT("00000"&amp;ROW(),5),"K"&amp;RIGHT("00000"&amp;ROW(),5))))))</f>
        <v/>
      </c>
      <c r="O648" s="16" t="str">
        <f aca="false">IF(N648="","",COUNTIFS($N$2:$N$1201,"&lt;"&amp;N648,$F$2:$F$1201,"&gt;0")+1)</f>
        <v/>
      </c>
    </row>
    <row r="649" customFormat="false" ht="15" hidden="false" customHeight="false" outlineLevel="0" collapsed="false">
      <c r="A649" s="11" t="str">
        <f aca="false">IF(_LEITURA!$N649="","",INDEX(_LEITURA!$K$2:$K$1201,_LEITURA!$N649))</f>
        <v/>
      </c>
      <c r="B649" s="11" t="str">
        <f aca="false">IF(_LEITURA!$N649="","",INDEX(_LEITURA!$E$2:$E$1201,_LEITURA!$N649))</f>
        <v/>
      </c>
      <c r="C649" s="11" t="str">
        <f aca="false">IF(_LEITURA!$N649="","",INDEX(_LEITURA!$J$2:$J$1201,_LEITURA!$N649))</f>
        <v/>
      </c>
      <c r="D649" s="16" t="str">
        <f aca="false">IF(_LEITURA!$N649="","",INDEX(_LEITURA!$G$2:$G$1201,_LEITURA!$N649))</f>
        <v/>
      </c>
      <c r="E649" s="16" t="str">
        <f aca="false">IF(B649="","",SUMIFS(INVENTÁRIO!$C$2:$C$801,INVENTÁRIO!$A$2:$A$801,B649))</f>
        <v/>
      </c>
      <c r="F649" s="16" t="str">
        <f aca="false">IF(B649="","",MAX(0,D649-E649))</f>
        <v/>
      </c>
      <c r="G649" s="16" t="str">
        <f aca="false">IF(B649="","",IF(COUNTIFS($B$2:$B$1201,B649,$A$2:$A$1201,"&lt;&gt;"&amp;A649)&gt;0,"Sim",""))</f>
        <v/>
      </c>
      <c r="H649" s="16" t="str">
        <f aca="false">IF(N(F649)&gt;0,MAX(H$1:H648)+1,"")</f>
        <v/>
      </c>
      <c r="I649" s="11" t="str">
        <f aca="false">IF(B649="","",IF(INDEX($C$2:$C$1201,MATCH(B649,$B$2:$B$1201,0))&lt;&gt;C649,"Nome diferente em outro deck — revisar",""))</f>
        <v/>
      </c>
      <c r="J649" s="16" t="str">
        <f aca="false">IF(AND(B649&lt;&gt;"",A649=BULK!$A$1,N(F649)&gt;0),MAX(J$1:J648)+1,"")</f>
        <v/>
      </c>
      <c r="K649" s="11" t="str">
        <f aca="false">IF(B649="","",IFERROR(LEFT(B649,FIND("-",B649)-1),B649))</f>
        <v/>
      </c>
      <c r="L649" s="11" t="str">
        <f aca="false">IF(K649="","",IF(ISNUMBER(--MID(K649,1,1)),0,IF(ISNUMBER(--MID(K649,2,1)),1,IF(ISNUMBER(--MID(K649,3,1)),2,IF(ISNUMBER(--MID(K649,4,1)),3,MIN(LEN(K649),4))))))</f>
        <v/>
      </c>
      <c r="M649" s="11" t="str">
        <f aca="false">IF(B649="","",LEFT(K649,L649)&amp;REPT("0",4-L649)&amp;RIGHT("000"&amp;IFERROR(VALUE(MID(K649,L649+1,9)),0),3)&amp;RIGHT("0000"&amp;IFERROR(VALUE(MID(B649,FIND("-",B649)+1,9)),0),4))</f>
        <v/>
      </c>
      <c r="N649" s="11" t="str">
        <f aca="false">IF(OR(B649="",N(F649)&lt;=0),"",IF('FALTAS POR DECK'!$P$1="Código","K"&amp;M649&amp;RIGHT("00000"&amp;ROW(),5),IF('FALTAS POR DECK'!$P$1="Nome","K"&amp;UPPER(SUBSTITUTE(SUBSTITUTE(SUBSTITUTE(C649,"*",""),"?",""),"~",""))&amp;"0"&amp;M649&amp;RIGHT("00000"&amp;ROW(),5),IF('FALTAS POR DECK'!$P$1="Falta (maior primeiro)","K"&amp;RIGHT("0000"&amp;(9999-F649),4)&amp;M649&amp;RIGHT("00000"&amp;ROW(),5),IF('FALTAS POR DECK'!$P$1="Deck e código","K"&amp;RIGHT("00"&amp;IFERROR(MATCH(A649,_LEITURA!$P$2:$P$21,0),99),2)&amp;M649&amp;RIGHT("00000"&amp;ROW(),5),"K"&amp;RIGHT("00000"&amp;ROW(),5))))))</f>
        <v/>
      </c>
      <c r="O649" s="16" t="str">
        <f aca="false">IF(N649="","",COUNTIFS($N$2:$N$1201,"&lt;"&amp;N649,$F$2:$F$1201,"&gt;0")+1)</f>
        <v/>
      </c>
    </row>
    <row r="650" customFormat="false" ht="15" hidden="false" customHeight="false" outlineLevel="0" collapsed="false">
      <c r="A650" s="11" t="str">
        <f aca="false">IF(_LEITURA!$N650="","",INDEX(_LEITURA!$K$2:$K$1201,_LEITURA!$N650))</f>
        <v/>
      </c>
      <c r="B650" s="11" t="str">
        <f aca="false">IF(_LEITURA!$N650="","",INDEX(_LEITURA!$E$2:$E$1201,_LEITURA!$N650))</f>
        <v/>
      </c>
      <c r="C650" s="11" t="str">
        <f aca="false">IF(_LEITURA!$N650="","",INDEX(_LEITURA!$J$2:$J$1201,_LEITURA!$N650))</f>
        <v/>
      </c>
      <c r="D650" s="16" t="str">
        <f aca="false">IF(_LEITURA!$N650="","",INDEX(_LEITURA!$G$2:$G$1201,_LEITURA!$N650))</f>
        <v/>
      </c>
      <c r="E650" s="16" t="str">
        <f aca="false">IF(B650="","",SUMIFS(INVENTÁRIO!$C$2:$C$801,INVENTÁRIO!$A$2:$A$801,B650))</f>
        <v/>
      </c>
      <c r="F650" s="16" t="str">
        <f aca="false">IF(B650="","",MAX(0,D650-E650))</f>
        <v/>
      </c>
      <c r="G650" s="16" t="str">
        <f aca="false">IF(B650="","",IF(COUNTIFS($B$2:$B$1201,B650,$A$2:$A$1201,"&lt;&gt;"&amp;A650)&gt;0,"Sim",""))</f>
        <v/>
      </c>
      <c r="H650" s="16" t="str">
        <f aca="false">IF(N(F650)&gt;0,MAX(H$1:H649)+1,"")</f>
        <v/>
      </c>
      <c r="I650" s="11" t="str">
        <f aca="false">IF(B650="","",IF(INDEX($C$2:$C$1201,MATCH(B650,$B$2:$B$1201,0))&lt;&gt;C650,"Nome diferente em outro deck — revisar",""))</f>
        <v/>
      </c>
      <c r="J650" s="16" t="str">
        <f aca="false">IF(AND(B650&lt;&gt;"",A650=BULK!$A$1,N(F650)&gt;0),MAX(J$1:J649)+1,"")</f>
        <v/>
      </c>
      <c r="K650" s="11" t="str">
        <f aca="false">IF(B650="","",IFERROR(LEFT(B650,FIND("-",B650)-1),B650))</f>
        <v/>
      </c>
      <c r="L650" s="11" t="str">
        <f aca="false">IF(K650="","",IF(ISNUMBER(--MID(K650,1,1)),0,IF(ISNUMBER(--MID(K650,2,1)),1,IF(ISNUMBER(--MID(K650,3,1)),2,IF(ISNUMBER(--MID(K650,4,1)),3,MIN(LEN(K650),4))))))</f>
        <v/>
      </c>
      <c r="M650" s="11" t="str">
        <f aca="false">IF(B650="","",LEFT(K650,L650)&amp;REPT("0",4-L650)&amp;RIGHT("000"&amp;IFERROR(VALUE(MID(K650,L650+1,9)),0),3)&amp;RIGHT("0000"&amp;IFERROR(VALUE(MID(B650,FIND("-",B650)+1,9)),0),4))</f>
        <v/>
      </c>
      <c r="N650" s="11" t="str">
        <f aca="false">IF(OR(B650="",N(F650)&lt;=0),"",IF('FALTAS POR DECK'!$P$1="Código","K"&amp;M650&amp;RIGHT("00000"&amp;ROW(),5),IF('FALTAS POR DECK'!$P$1="Nome","K"&amp;UPPER(SUBSTITUTE(SUBSTITUTE(SUBSTITUTE(C650,"*",""),"?",""),"~",""))&amp;"0"&amp;M650&amp;RIGHT("00000"&amp;ROW(),5),IF('FALTAS POR DECK'!$P$1="Falta (maior primeiro)","K"&amp;RIGHT("0000"&amp;(9999-F650),4)&amp;M650&amp;RIGHT("00000"&amp;ROW(),5),IF('FALTAS POR DECK'!$P$1="Deck e código","K"&amp;RIGHT("00"&amp;IFERROR(MATCH(A650,_LEITURA!$P$2:$P$21,0),99),2)&amp;M650&amp;RIGHT("00000"&amp;ROW(),5),"K"&amp;RIGHT("00000"&amp;ROW(),5))))))</f>
        <v/>
      </c>
      <c r="O650" s="16" t="str">
        <f aca="false">IF(N650="","",COUNTIFS($N$2:$N$1201,"&lt;"&amp;N650,$F$2:$F$1201,"&gt;0")+1)</f>
        <v/>
      </c>
    </row>
    <row r="651" customFormat="false" ht="15" hidden="false" customHeight="false" outlineLevel="0" collapsed="false">
      <c r="A651" s="11" t="str">
        <f aca="false">IF(_LEITURA!$N651="","",INDEX(_LEITURA!$K$2:$K$1201,_LEITURA!$N651))</f>
        <v/>
      </c>
      <c r="B651" s="11" t="str">
        <f aca="false">IF(_LEITURA!$N651="","",INDEX(_LEITURA!$E$2:$E$1201,_LEITURA!$N651))</f>
        <v/>
      </c>
      <c r="C651" s="11" t="str">
        <f aca="false">IF(_LEITURA!$N651="","",INDEX(_LEITURA!$J$2:$J$1201,_LEITURA!$N651))</f>
        <v/>
      </c>
      <c r="D651" s="16" t="str">
        <f aca="false">IF(_LEITURA!$N651="","",INDEX(_LEITURA!$G$2:$G$1201,_LEITURA!$N651))</f>
        <v/>
      </c>
      <c r="E651" s="16" t="str">
        <f aca="false">IF(B651="","",SUMIFS(INVENTÁRIO!$C$2:$C$801,INVENTÁRIO!$A$2:$A$801,B651))</f>
        <v/>
      </c>
      <c r="F651" s="16" t="str">
        <f aca="false">IF(B651="","",MAX(0,D651-E651))</f>
        <v/>
      </c>
      <c r="G651" s="16" t="str">
        <f aca="false">IF(B651="","",IF(COUNTIFS($B$2:$B$1201,B651,$A$2:$A$1201,"&lt;&gt;"&amp;A651)&gt;0,"Sim",""))</f>
        <v/>
      </c>
      <c r="H651" s="16" t="str">
        <f aca="false">IF(N(F651)&gt;0,MAX(H$1:H650)+1,"")</f>
        <v/>
      </c>
      <c r="I651" s="11" t="str">
        <f aca="false">IF(B651="","",IF(INDEX($C$2:$C$1201,MATCH(B651,$B$2:$B$1201,0))&lt;&gt;C651,"Nome diferente em outro deck — revisar",""))</f>
        <v/>
      </c>
      <c r="J651" s="16" t="str">
        <f aca="false">IF(AND(B651&lt;&gt;"",A651=BULK!$A$1,N(F651)&gt;0),MAX(J$1:J650)+1,"")</f>
        <v/>
      </c>
      <c r="K651" s="11" t="str">
        <f aca="false">IF(B651="","",IFERROR(LEFT(B651,FIND("-",B651)-1),B651))</f>
        <v/>
      </c>
      <c r="L651" s="11" t="str">
        <f aca="false">IF(K651="","",IF(ISNUMBER(--MID(K651,1,1)),0,IF(ISNUMBER(--MID(K651,2,1)),1,IF(ISNUMBER(--MID(K651,3,1)),2,IF(ISNUMBER(--MID(K651,4,1)),3,MIN(LEN(K651),4))))))</f>
        <v/>
      </c>
      <c r="M651" s="11" t="str">
        <f aca="false">IF(B651="","",LEFT(K651,L651)&amp;REPT("0",4-L651)&amp;RIGHT("000"&amp;IFERROR(VALUE(MID(K651,L651+1,9)),0),3)&amp;RIGHT("0000"&amp;IFERROR(VALUE(MID(B651,FIND("-",B651)+1,9)),0),4))</f>
        <v/>
      </c>
      <c r="N651" s="11" t="str">
        <f aca="false">IF(OR(B651="",N(F651)&lt;=0),"",IF('FALTAS POR DECK'!$P$1="Código","K"&amp;M651&amp;RIGHT("00000"&amp;ROW(),5),IF('FALTAS POR DECK'!$P$1="Nome","K"&amp;UPPER(SUBSTITUTE(SUBSTITUTE(SUBSTITUTE(C651,"*",""),"?",""),"~",""))&amp;"0"&amp;M651&amp;RIGHT("00000"&amp;ROW(),5),IF('FALTAS POR DECK'!$P$1="Falta (maior primeiro)","K"&amp;RIGHT("0000"&amp;(9999-F651),4)&amp;M651&amp;RIGHT("00000"&amp;ROW(),5),IF('FALTAS POR DECK'!$P$1="Deck e código","K"&amp;RIGHT("00"&amp;IFERROR(MATCH(A651,_LEITURA!$P$2:$P$21,0),99),2)&amp;M651&amp;RIGHT("00000"&amp;ROW(),5),"K"&amp;RIGHT("00000"&amp;ROW(),5))))))</f>
        <v/>
      </c>
      <c r="O651" s="16" t="str">
        <f aca="false">IF(N651="","",COUNTIFS($N$2:$N$1201,"&lt;"&amp;N651,$F$2:$F$1201,"&gt;0")+1)</f>
        <v/>
      </c>
    </row>
    <row r="652" customFormat="false" ht="15" hidden="false" customHeight="false" outlineLevel="0" collapsed="false">
      <c r="A652" s="11" t="str">
        <f aca="false">IF(_LEITURA!$N652="","",INDEX(_LEITURA!$K$2:$K$1201,_LEITURA!$N652))</f>
        <v/>
      </c>
      <c r="B652" s="11" t="str">
        <f aca="false">IF(_LEITURA!$N652="","",INDEX(_LEITURA!$E$2:$E$1201,_LEITURA!$N652))</f>
        <v/>
      </c>
      <c r="C652" s="11" t="str">
        <f aca="false">IF(_LEITURA!$N652="","",INDEX(_LEITURA!$J$2:$J$1201,_LEITURA!$N652))</f>
        <v/>
      </c>
      <c r="D652" s="16" t="str">
        <f aca="false">IF(_LEITURA!$N652="","",INDEX(_LEITURA!$G$2:$G$1201,_LEITURA!$N652))</f>
        <v/>
      </c>
      <c r="E652" s="16" t="str">
        <f aca="false">IF(B652="","",SUMIFS(INVENTÁRIO!$C$2:$C$801,INVENTÁRIO!$A$2:$A$801,B652))</f>
        <v/>
      </c>
      <c r="F652" s="16" t="str">
        <f aca="false">IF(B652="","",MAX(0,D652-E652))</f>
        <v/>
      </c>
      <c r="G652" s="16" t="str">
        <f aca="false">IF(B652="","",IF(COUNTIFS($B$2:$B$1201,B652,$A$2:$A$1201,"&lt;&gt;"&amp;A652)&gt;0,"Sim",""))</f>
        <v/>
      </c>
      <c r="H652" s="16" t="str">
        <f aca="false">IF(N(F652)&gt;0,MAX(H$1:H651)+1,"")</f>
        <v/>
      </c>
      <c r="I652" s="11" t="str">
        <f aca="false">IF(B652="","",IF(INDEX($C$2:$C$1201,MATCH(B652,$B$2:$B$1201,0))&lt;&gt;C652,"Nome diferente em outro deck — revisar",""))</f>
        <v/>
      </c>
      <c r="J652" s="16" t="str">
        <f aca="false">IF(AND(B652&lt;&gt;"",A652=BULK!$A$1,N(F652)&gt;0),MAX(J$1:J651)+1,"")</f>
        <v/>
      </c>
      <c r="K652" s="11" t="str">
        <f aca="false">IF(B652="","",IFERROR(LEFT(B652,FIND("-",B652)-1),B652))</f>
        <v/>
      </c>
      <c r="L652" s="11" t="str">
        <f aca="false">IF(K652="","",IF(ISNUMBER(--MID(K652,1,1)),0,IF(ISNUMBER(--MID(K652,2,1)),1,IF(ISNUMBER(--MID(K652,3,1)),2,IF(ISNUMBER(--MID(K652,4,1)),3,MIN(LEN(K652),4))))))</f>
        <v/>
      </c>
      <c r="M652" s="11" t="str">
        <f aca="false">IF(B652="","",LEFT(K652,L652)&amp;REPT("0",4-L652)&amp;RIGHT("000"&amp;IFERROR(VALUE(MID(K652,L652+1,9)),0),3)&amp;RIGHT("0000"&amp;IFERROR(VALUE(MID(B652,FIND("-",B652)+1,9)),0),4))</f>
        <v/>
      </c>
      <c r="N652" s="11" t="str">
        <f aca="false">IF(OR(B652="",N(F652)&lt;=0),"",IF('FALTAS POR DECK'!$P$1="Código","K"&amp;M652&amp;RIGHT("00000"&amp;ROW(),5),IF('FALTAS POR DECK'!$P$1="Nome","K"&amp;UPPER(SUBSTITUTE(SUBSTITUTE(SUBSTITUTE(C652,"*",""),"?",""),"~",""))&amp;"0"&amp;M652&amp;RIGHT("00000"&amp;ROW(),5),IF('FALTAS POR DECK'!$P$1="Falta (maior primeiro)","K"&amp;RIGHT("0000"&amp;(9999-F652),4)&amp;M652&amp;RIGHT("00000"&amp;ROW(),5),IF('FALTAS POR DECK'!$P$1="Deck e código","K"&amp;RIGHT("00"&amp;IFERROR(MATCH(A652,_LEITURA!$P$2:$P$21,0),99),2)&amp;M652&amp;RIGHT("00000"&amp;ROW(),5),"K"&amp;RIGHT("00000"&amp;ROW(),5))))))</f>
        <v/>
      </c>
      <c r="O652" s="16" t="str">
        <f aca="false">IF(N652="","",COUNTIFS($N$2:$N$1201,"&lt;"&amp;N652,$F$2:$F$1201,"&gt;0")+1)</f>
        <v/>
      </c>
    </row>
    <row r="653" customFormat="false" ht="15" hidden="false" customHeight="false" outlineLevel="0" collapsed="false">
      <c r="A653" s="11" t="str">
        <f aca="false">IF(_LEITURA!$N653="","",INDEX(_LEITURA!$K$2:$K$1201,_LEITURA!$N653))</f>
        <v/>
      </c>
      <c r="B653" s="11" t="str">
        <f aca="false">IF(_LEITURA!$N653="","",INDEX(_LEITURA!$E$2:$E$1201,_LEITURA!$N653))</f>
        <v/>
      </c>
      <c r="C653" s="11" t="str">
        <f aca="false">IF(_LEITURA!$N653="","",INDEX(_LEITURA!$J$2:$J$1201,_LEITURA!$N653))</f>
        <v/>
      </c>
      <c r="D653" s="16" t="str">
        <f aca="false">IF(_LEITURA!$N653="","",INDEX(_LEITURA!$G$2:$G$1201,_LEITURA!$N653))</f>
        <v/>
      </c>
      <c r="E653" s="16" t="str">
        <f aca="false">IF(B653="","",SUMIFS(INVENTÁRIO!$C$2:$C$801,INVENTÁRIO!$A$2:$A$801,B653))</f>
        <v/>
      </c>
      <c r="F653" s="16" t="str">
        <f aca="false">IF(B653="","",MAX(0,D653-E653))</f>
        <v/>
      </c>
      <c r="G653" s="16" t="str">
        <f aca="false">IF(B653="","",IF(COUNTIFS($B$2:$B$1201,B653,$A$2:$A$1201,"&lt;&gt;"&amp;A653)&gt;0,"Sim",""))</f>
        <v/>
      </c>
      <c r="H653" s="16" t="str">
        <f aca="false">IF(N(F653)&gt;0,MAX(H$1:H652)+1,"")</f>
        <v/>
      </c>
      <c r="I653" s="11" t="str">
        <f aca="false">IF(B653="","",IF(INDEX($C$2:$C$1201,MATCH(B653,$B$2:$B$1201,0))&lt;&gt;C653,"Nome diferente em outro deck — revisar",""))</f>
        <v/>
      </c>
      <c r="J653" s="16" t="str">
        <f aca="false">IF(AND(B653&lt;&gt;"",A653=BULK!$A$1,N(F653)&gt;0),MAX(J$1:J652)+1,"")</f>
        <v/>
      </c>
      <c r="K653" s="11" t="str">
        <f aca="false">IF(B653="","",IFERROR(LEFT(B653,FIND("-",B653)-1),B653))</f>
        <v/>
      </c>
      <c r="L653" s="11" t="str">
        <f aca="false">IF(K653="","",IF(ISNUMBER(--MID(K653,1,1)),0,IF(ISNUMBER(--MID(K653,2,1)),1,IF(ISNUMBER(--MID(K653,3,1)),2,IF(ISNUMBER(--MID(K653,4,1)),3,MIN(LEN(K653),4))))))</f>
        <v/>
      </c>
      <c r="M653" s="11" t="str">
        <f aca="false">IF(B653="","",LEFT(K653,L653)&amp;REPT("0",4-L653)&amp;RIGHT("000"&amp;IFERROR(VALUE(MID(K653,L653+1,9)),0),3)&amp;RIGHT("0000"&amp;IFERROR(VALUE(MID(B653,FIND("-",B653)+1,9)),0),4))</f>
        <v/>
      </c>
      <c r="N653" s="11" t="str">
        <f aca="false">IF(OR(B653="",N(F653)&lt;=0),"",IF('FALTAS POR DECK'!$P$1="Código","K"&amp;M653&amp;RIGHT("00000"&amp;ROW(),5),IF('FALTAS POR DECK'!$P$1="Nome","K"&amp;UPPER(SUBSTITUTE(SUBSTITUTE(SUBSTITUTE(C653,"*",""),"?",""),"~",""))&amp;"0"&amp;M653&amp;RIGHT("00000"&amp;ROW(),5),IF('FALTAS POR DECK'!$P$1="Falta (maior primeiro)","K"&amp;RIGHT("0000"&amp;(9999-F653),4)&amp;M653&amp;RIGHT("00000"&amp;ROW(),5),IF('FALTAS POR DECK'!$P$1="Deck e código","K"&amp;RIGHT("00"&amp;IFERROR(MATCH(A653,_LEITURA!$P$2:$P$21,0),99),2)&amp;M653&amp;RIGHT("00000"&amp;ROW(),5),"K"&amp;RIGHT("00000"&amp;ROW(),5))))))</f>
        <v/>
      </c>
      <c r="O653" s="16" t="str">
        <f aca="false">IF(N653="","",COUNTIFS($N$2:$N$1201,"&lt;"&amp;N653,$F$2:$F$1201,"&gt;0")+1)</f>
        <v/>
      </c>
    </row>
    <row r="654" customFormat="false" ht="15" hidden="false" customHeight="false" outlineLevel="0" collapsed="false">
      <c r="A654" s="11" t="str">
        <f aca="false">IF(_LEITURA!$N654="","",INDEX(_LEITURA!$K$2:$K$1201,_LEITURA!$N654))</f>
        <v/>
      </c>
      <c r="B654" s="11" t="str">
        <f aca="false">IF(_LEITURA!$N654="","",INDEX(_LEITURA!$E$2:$E$1201,_LEITURA!$N654))</f>
        <v/>
      </c>
      <c r="C654" s="11" t="str">
        <f aca="false">IF(_LEITURA!$N654="","",INDEX(_LEITURA!$J$2:$J$1201,_LEITURA!$N654))</f>
        <v/>
      </c>
      <c r="D654" s="16" t="str">
        <f aca="false">IF(_LEITURA!$N654="","",INDEX(_LEITURA!$G$2:$G$1201,_LEITURA!$N654))</f>
        <v/>
      </c>
      <c r="E654" s="16" t="str">
        <f aca="false">IF(B654="","",SUMIFS(INVENTÁRIO!$C$2:$C$801,INVENTÁRIO!$A$2:$A$801,B654))</f>
        <v/>
      </c>
      <c r="F654" s="16" t="str">
        <f aca="false">IF(B654="","",MAX(0,D654-E654))</f>
        <v/>
      </c>
      <c r="G654" s="16" t="str">
        <f aca="false">IF(B654="","",IF(COUNTIFS($B$2:$B$1201,B654,$A$2:$A$1201,"&lt;&gt;"&amp;A654)&gt;0,"Sim",""))</f>
        <v/>
      </c>
      <c r="H654" s="16" t="str">
        <f aca="false">IF(N(F654)&gt;0,MAX(H$1:H653)+1,"")</f>
        <v/>
      </c>
      <c r="I654" s="11" t="str">
        <f aca="false">IF(B654="","",IF(INDEX($C$2:$C$1201,MATCH(B654,$B$2:$B$1201,0))&lt;&gt;C654,"Nome diferente em outro deck — revisar",""))</f>
        <v/>
      </c>
      <c r="J654" s="16" t="str">
        <f aca="false">IF(AND(B654&lt;&gt;"",A654=BULK!$A$1,N(F654)&gt;0),MAX(J$1:J653)+1,"")</f>
        <v/>
      </c>
      <c r="K654" s="11" t="str">
        <f aca="false">IF(B654="","",IFERROR(LEFT(B654,FIND("-",B654)-1),B654))</f>
        <v/>
      </c>
      <c r="L654" s="11" t="str">
        <f aca="false">IF(K654="","",IF(ISNUMBER(--MID(K654,1,1)),0,IF(ISNUMBER(--MID(K654,2,1)),1,IF(ISNUMBER(--MID(K654,3,1)),2,IF(ISNUMBER(--MID(K654,4,1)),3,MIN(LEN(K654),4))))))</f>
        <v/>
      </c>
      <c r="M654" s="11" t="str">
        <f aca="false">IF(B654="","",LEFT(K654,L654)&amp;REPT("0",4-L654)&amp;RIGHT("000"&amp;IFERROR(VALUE(MID(K654,L654+1,9)),0),3)&amp;RIGHT("0000"&amp;IFERROR(VALUE(MID(B654,FIND("-",B654)+1,9)),0),4))</f>
        <v/>
      </c>
      <c r="N654" s="11" t="str">
        <f aca="false">IF(OR(B654="",N(F654)&lt;=0),"",IF('FALTAS POR DECK'!$P$1="Código","K"&amp;M654&amp;RIGHT("00000"&amp;ROW(),5),IF('FALTAS POR DECK'!$P$1="Nome","K"&amp;UPPER(SUBSTITUTE(SUBSTITUTE(SUBSTITUTE(C654,"*",""),"?",""),"~",""))&amp;"0"&amp;M654&amp;RIGHT("00000"&amp;ROW(),5),IF('FALTAS POR DECK'!$P$1="Falta (maior primeiro)","K"&amp;RIGHT("0000"&amp;(9999-F654),4)&amp;M654&amp;RIGHT("00000"&amp;ROW(),5),IF('FALTAS POR DECK'!$P$1="Deck e código","K"&amp;RIGHT("00"&amp;IFERROR(MATCH(A654,_LEITURA!$P$2:$P$21,0),99),2)&amp;M654&amp;RIGHT("00000"&amp;ROW(),5),"K"&amp;RIGHT("00000"&amp;ROW(),5))))))</f>
        <v/>
      </c>
      <c r="O654" s="16" t="str">
        <f aca="false">IF(N654="","",COUNTIFS($N$2:$N$1201,"&lt;"&amp;N654,$F$2:$F$1201,"&gt;0")+1)</f>
        <v/>
      </c>
    </row>
    <row r="655" customFormat="false" ht="15" hidden="false" customHeight="false" outlineLevel="0" collapsed="false">
      <c r="A655" s="11" t="str">
        <f aca="false">IF(_LEITURA!$N655="","",INDEX(_LEITURA!$K$2:$K$1201,_LEITURA!$N655))</f>
        <v/>
      </c>
      <c r="B655" s="11" t="str">
        <f aca="false">IF(_LEITURA!$N655="","",INDEX(_LEITURA!$E$2:$E$1201,_LEITURA!$N655))</f>
        <v/>
      </c>
      <c r="C655" s="11" t="str">
        <f aca="false">IF(_LEITURA!$N655="","",INDEX(_LEITURA!$J$2:$J$1201,_LEITURA!$N655))</f>
        <v/>
      </c>
      <c r="D655" s="16" t="str">
        <f aca="false">IF(_LEITURA!$N655="","",INDEX(_LEITURA!$G$2:$G$1201,_LEITURA!$N655))</f>
        <v/>
      </c>
      <c r="E655" s="16" t="str">
        <f aca="false">IF(B655="","",SUMIFS(INVENTÁRIO!$C$2:$C$801,INVENTÁRIO!$A$2:$A$801,B655))</f>
        <v/>
      </c>
      <c r="F655" s="16" t="str">
        <f aca="false">IF(B655="","",MAX(0,D655-E655))</f>
        <v/>
      </c>
      <c r="G655" s="16" t="str">
        <f aca="false">IF(B655="","",IF(COUNTIFS($B$2:$B$1201,B655,$A$2:$A$1201,"&lt;&gt;"&amp;A655)&gt;0,"Sim",""))</f>
        <v/>
      </c>
      <c r="H655" s="16" t="str">
        <f aca="false">IF(N(F655)&gt;0,MAX(H$1:H654)+1,"")</f>
        <v/>
      </c>
      <c r="I655" s="11" t="str">
        <f aca="false">IF(B655="","",IF(INDEX($C$2:$C$1201,MATCH(B655,$B$2:$B$1201,0))&lt;&gt;C655,"Nome diferente em outro deck — revisar",""))</f>
        <v/>
      </c>
      <c r="J655" s="16" t="str">
        <f aca="false">IF(AND(B655&lt;&gt;"",A655=BULK!$A$1,N(F655)&gt;0),MAX(J$1:J654)+1,"")</f>
        <v/>
      </c>
      <c r="K655" s="11" t="str">
        <f aca="false">IF(B655="","",IFERROR(LEFT(B655,FIND("-",B655)-1),B655))</f>
        <v/>
      </c>
      <c r="L655" s="11" t="str">
        <f aca="false">IF(K655="","",IF(ISNUMBER(--MID(K655,1,1)),0,IF(ISNUMBER(--MID(K655,2,1)),1,IF(ISNUMBER(--MID(K655,3,1)),2,IF(ISNUMBER(--MID(K655,4,1)),3,MIN(LEN(K655),4))))))</f>
        <v/>
      </c>
      <c r="M655" s="11" t="str">
        <f aca="false">IF(B655="","",LEFT(K655,L655)&amp;REPT("0",4-L655)&amp;RIGHT("000"&amp;IFERROR(VALUE(MID(K655,L655+1,9)),0),3)&amp;RIGHT("0000"&amp;IFERROR(VALUE(MID(B655,FIND("-",B655)+1,9)),0),4))</f>
        <v/>
      </c>
      <c r="N655" s="11" t="str">
        <f aca="false">IF(OR(B655="",N(F655)&lt;=0),"",IF('FALTAS POR DECK'!$P$1="Código","K"&amp;M655&amp;RIGHT("00000"&amp;ROW(),5),IF('FALTAS POR DECK'!$P$1="Nome","K"&amp;UPPER(SUBSTITUTE(SUBSTITUTE(SUBSTITUTE(C655,"*",""),"?",""),"~",""))&amp;"0"&amp;M655&amp;RIGHT("00000"&amp;ROW(),5),IF('FALTAS POR DECK'!$P$1="Falta (maior primeiro)","K"&amp;RIGHT("0000"&amp;(9999-F655),4)&amp;M655&amp;RIGHT("00000"&amp;ROW(),5),IF('FALTAS POR DECK'!$P$1="Deck e código","K"&amp;RIGHT("00"&amp;IFERROR(MATCH(A655,_LEITURA!$P$2:$P$21,0),99),2)&amp;M655&amp;RIGHT("00000"&amp;ROW(),5),"K"&amp;RIGHT("00000"&amp;ROW(),5))))))</f>
        <v/>
      </c>
      <c r="O655" s="16" t="str">
        <f aca="false">IF(N655="","",COUNTIFS($N$2:$N$1201,"&lt;"&amp;N655,$F$2:$F$1201,"&gt;0")+1)</f>
        <v/>
      </c>
    </row>
    <row r="656" customFormat="false" ht="15" hidden="false" customHeight="false" outlineLevel="0" collapsed="false">
      <c r="A656" s="11" t="str">
        <f aca="false">IF(_LEITURA!$N656="","",INDEX(_LEITURA!$K$2:$K$1201,_LEITURA!$N656))</f>
        <v/>
      </c>
      <c r="B656" s="11" t="str">
        <f aca="false">IF(_LEITURA!$N656="","",INDEX(_LEITURA!$E$2:$E$1201,_LEITURA!$N656))</f>
        <v/>
      </c>
      <c r="C656" s="11" t="str">
        <f aca="false">IF(_LEITURA!$N656="","",INDEX(_LEITURA!$J$2:$J$1201,_LEITURA!$N656))</f>
        <v/>
      </c>
      <c r="D656" s="16" t="str">
        <f aca="false">IF(_LEITURA!$N656="","",INDEX(_LEITURA!$G$2:$G$1201,_LEITURA!$N656))</f>
        <v/>
      </c>
      <c r="E656" s="16" t="str">
        <f aca="false">IF(B656="","",SUMIFS(INVENTÁRIO!$C$2:$C$801,INVENTÁRIO!$A$2:$A$801,B656))</f>
        <v/>
      </c>
      <c r="F656" s="16" t="str">
        <f aca="false">IF(B656="","",MAX(0,D656-E656))</f>
        <v/>
      </c>
      <c r="G656" s="16" t="str">
        <f aca="false">IF(B656="","",IF(COUNTIFS($B$2:$B$1201,B656,$A$2:$A$1201,"&lt;&gt;"&amp;A656)&gt;0,"Sim",""))</f>
        <v/>
      </c>
      <c r="H656" s="16" t="str">
        <f aca="false">IF(N(F656)&gt;0,MAX(H$1:H655)+1,"")</f>
        <v/>
      </c>
      <c r="I656" s="11" t="str">
        <f aca="false">IF(B656="","",IF(INDEX($C$2:$C$1201,MATCH(B656,$B$2:$B$1201,0))&lt;&gt;C656,"Nome diferente em outro deck — revisar",""))</f>
        <v/>
      </c>
      <c r="J656" s="16" t="str">
        <f aca="false">IF(AND(B656&lt;&gt;"",A656=BULK!$A$1,N(F656)&gt;0),MAX(J$1:J655)+1,"")</f>
        <v/>
      </c>
      <c r="K656" s="11" t="str">
        <f aca="false">IF(B656="","",IFERROR(LEFT(B656,FIND("-",B656)-1),B656))</f>
        <v/>
      </c>
      <c r="L656" s="11" t="str">
        <f aca="false">IF(K656="","",IF(ISNUMBER(--MID(K656,1,1)),0,IF(ISNUMBER(--MID(K656,2,1)),1,IF(ISNUMBER(--MID(K656,3,1)),2,IF(ISNUMBER(--MID(K656,4,1)),3,MIN(LEN(K656),4))))))</f>
        <v/>
      </c>
      <c r="M656" s="11" t="str">
        <f aca="false">IF(B656="","",LEFT(K656,L656)&amp;REPT("0",4-L656)&amp;RIGHT("000"&amp;IFERROR(VALUE(MID(K656,L656+1,9)),0),3)&amp;RIGHT("0000"&amp;IFERROR(VALUE(MID(B656,FIND("-",B656)+1,9)),0),4))</f>
        <v/>
      </c>
      <c r="N656" s="11" t="str">
        <f aca="false">IF(OR(B656="",N(F656)&lt;=0),"",IF('FALTAS POR DECK'!$P$1="Código","K"&amp;M656&amp;RIGHT("00000"&amp;ROW(),5),IF('FALTAS POR DECK'!$P$1="Nome","K"&amp;UPPER(SUBSTITUTE(SUBSTITUTE(SUBSTITUTE(C656,"*",""),"?",""),"~",""))&amp;"0"&amp;M656&amp;RIGHT("00000"&amp;ROW(),5),IF('FALTAS POR DECK'!$P$1="Falta (maior primeiro)","K"&amp;RIGHT("0000"&amp;(9999-F656),4)&amp;M656&amp;RIGHT("00000"&amp;ROW(),5),IF('FALTAS POR DECK'!$P$1="Deck e código","K"&amp;RIGHT("00"&amp;IFERROR(MATCH(A656,_LEITURA!$P$2:$P$21,0),99),2)&amp;M656&amp;RIGHT("00000"&amp;ROW(),5),"K"&amp;RIGHT("00000"&amp;ROW(),5))))))</f>
        <v/>
      </c>
      <c r="O656" s="16" t="str">
        <f aca="false">IF(N656="","",COUNTIFS($N$2:$N$1201,"&lt;"&amp;N656,$F$2:$F$1201,"&gt;0")+1)</f>
        <v/>
      </c>
    </row>
    <row r="657" customFormat="false" ht="15" hidden="false" customHeight="false" outlineLevel="0" collapsed="false">
      <c r="A657" s="11" t="str">
        <f aca="false">IF(_LEITURA!$N657="","",INDEX(_LEITURA!$K$2:$K$1201,_LEITURA!$N657))</f>
        <v/>
      </c>
      <c r="B657" s="11" t="str">
        <f aca="false">IF(_LEITURA!$N657="","",INDEX(_LEITURA!$E$2:$E$1201,_LEITURA!$N657))</f>
        <v/>
      </c>
      <c r="C657" s="11" t="str">
        <f aca="false">IF(_LEITURA!$N657="","",INDEX(_LEITURA!$J$2:$J$1201,_LEITURA!$N657))</f>
        <v/>
      </c>
      <c r="D657" s="16" t="str">
        <f aca="false">IF(_LEITURA!$N657="","",INDEX(_LEITURA!$G$2:$G$1201,_LEITURA!$N657))</f>
        <v/>
      </c>
      <c r="E657" s="16" t="str">
        <f aca="false">IF(B657="","",SUMIFS(INVENTÁRIO!$C$2:$C$801,INVENTÁRIO!$A$2:$A$801,B657))</f>
        <v/>
      </c>
      <c r="F657" s="16" t="str">
        <f aca="false">IF(B657="","",MAX(0,D657-E657))</f>
        <v/>
      </c>
      <c r="G657" s="16" t="str">
        <f aca="false">IF(B657="","",IF(COUNTIFS($B$2:$B$1201,B657,$A$2:$A$1201,"&lt;&gt;"&amp;A657)&gt;0,"Sim",""))</f>
        <v/>
      </c>
      <c r="H657" s="16" t="str">
        <f aca="false">IF(N(F657)&gt;0,MAX(H$1:H656)+1,"")</f>
        <v/>
      </c>
      <c r="I657" s="11" t="str">
        <f aca="false">IF(B657="","",IF(INDEX($C$2:$C$1201,MATCH(B657,$B$2:$B$1201,0))&lt;&gt;C657,"Nome diferente em outro deck — revisar",""))</f>
        <v/>
      </c>
      <c r="J657" s="16" t="str">
        <f aca="false">IF(AND(B657&lt;&gt;"",A657=BULK!$A$1,N(F657)&gt;0),MAX(J$1:J656)+1,"")</f>
        <v/>
      </c>
      <c r="K657" s="11" t="str">
        <f aca="false">IF(B657="","",IFERROR(LEFT(B657,FIND("-",B657)-1),B657))</f>
        <v/>
      </c>
      <c r="L657" s="11" t="str">
        <f aca="false">IF(K657="","",IF(ISNUMBER(--MID(K657,1,1)),0,IF(ISNUMBER(--MID(K657,2,1)),1,IF(ISNUMBER(--MID(K657,3,1)),2,IF(ISNUMBER(--MID(K657,4,1)),3,MIN(LEN(K657),4))))))</f>
        <v/>
      </c>
      <c r="M657" s="11" t="str">
        <f aca="false">IF(B657="","",LEFT(K657,L657)&amp;REPT("0",4-L657)&amp;RIGHT("000"&amp;IFERROR(VALUE(MID(K657,L657+1,9)),0),3)&amp;RIGHT("0000"&amp;IFERROR(VALUE(MID(B657,FIND("-",B657)+1,9)),0),4))</f>
        <v/>
      </c>
      <c r="N657" s="11" t="str">
        <f aca="false">IF(OR(B657="",N(F657)&lt;=0),"",IF('FALTAS POR DECK'!$P$1="Código","K"&amp;M657&amp;RIGHT("00000"&amp;ROW(),5),IF('FALTAS POR DECK'!$P$1="Nome","K"&amp;UPPER(SUBSTITUTE(SUBSTITUTE(SUBSTITUTE(C657,"*",""),"?",""),"~",""))&amp;"0"&amp;M657&amp;RIGHT("00000"&amp;ROW(),5),IF('FALTAS POR DECK'!$P$1="Falta (maior primeiro)","K"&amp;RIGHT("0000"&amp;(9999-F657),4)&amp;M657&amp;RIGHT("00000"&amp;ROW(),5),IF('FALTAS POR DECK'!$P$1="Deck e código","K"&amp;RIGHT("00"&amp;IFERROR(MATCH(A657,_LEITURA!$P$2:$P$21,0),99),2)&amp;M657&amp;RIGHT("00000"&amp;ROW(),5),"K"&amp;RIGHT("00000"&amp;ROW(),5))))))</f>
        <v/>
      </c>
      <c r="O657" s="16" t="str">
        <f aca="false">IF(N657="","",COUNTIFS($N$2:$N$1201,"&lt;"&amp;N657,$F$2:$F$1201,"&gt;0")+1)</f>
        <v/>
      </c>
    </row>
    <row r="658" customFormat="false" ht="15" hidden="false" customHeight="false" outlineLevel="0" collapsed="false">
      <c r="A658" s="11" t="str">
        <f aca="false">IF(_LEITURA!$N658="","",INDEX(_LEITURA!$K$2:$K$1201,_LEITURA!$N658))</f>
        <v/>
      </c>
      <c r="B658" s="11" t="str">
        <f aca="false">IF(_LEITURA!$N658="","",INDEX(_LEITURA!$E$2:$E$1201,_LEITURA!$N658))</f>
        <v/>
      </c>
      <c r="C658" s="11" t="str">
        <f aca="false">IF(_LEITURA!$N658="","",INDEX(_LEITURA!$J$2:$J$1201,_LEITURA!$N658))</f>
        <v/>
      </c>
      <c r="D658" s="16" t="str">
        <f aca="false">IF(_LEITURA!$N658="","",INDEX(_LEITURA!$G$2:$G$1201,_LEITURA!$N658))</f>
        <v/>
      </c>
      <c r="E658" s="16" t="str">
        <f aca="false">IF(B658="","",SUMIFS(INVENTÁRIO!$C$2:$C$801,INVENTÁRIO!$A$2:$A$801,B658))</f>
        <v/>
      </c>
      <c r="F658" s="16" t="str">
        <f aca="false">IF(B658="","",MAX(0,D658-E658))</f>
        <v/>
      </c>
      <c r="G658" s="16" t="str">
        <f aca="false">IF(B658="","",IF(COUNTIFS($B$2:$B$1201,B658,$A$2:$A$1201,"&lt;&gt;"&amp;A658)&gt;0,"Sim",""))</f>
        <v/>
      </c>
      <c r="H658" s="16" t="str">
        <f aca="false">IF(N(F658)&gt;0,MAX(H$1:H657)+1,"")</f>
        <v/>
      </c>
      <c r="I658" s="11" t="str">
        <f aca="false">IF(B658="","",IF(INDEX($C$2:$C$1201,MATCH(B658,$B$2:$B$1201,0))&lt;&gt;C658,"Nome diferente em outro deck — revisar",""))</f>
        <v/>
      </c>
      <c r="J658" s="16" t="str">
        <f aca="false">IF(AND(B658&lt;&gt;"",A658=BULK!$A$1,N(F658)&gt;0),MAX(J$1:J657)+1,"")</f>
        <v/>
      </c>
      <c r="K658" s="11" t="str">
        <f aca="false">IF(B658="","",IFERROR(LEFT(B658,FIND("-",B658)-1),B658))</f>
        <v/>
      </c>
      <c r="L658" s="11" t="str">
        <f aca="false">IF(K658="","",IF(ISNUMBER(--MID(K658,1,1)),0,IF(ISNUMBER(--MID(K658,2,1)),1,IF(ISNUMBER(--MID(K658,3,1)),2,IF(ISNUMBER(--MID(K658,4,1)),3,MIN(LEN(K658),4))))))</f>
        <v/>
      </c>
      <c r="M658" s="11" t="str">
        <f aca="false">IF(B658="","",LEFT(K658,L658)&amp;REPT("0",4-L658)&amp;RIGHT("000"&amp;IFERROR(VALUE(MID(K658,L658+1,9)),0),3)&amp;RIGHT("0000"&amp;IFERROR(VALUE(MID(B658,FIND("-",B658)+1,9)),0),4))</f>
        <v/>
      </c>
      <c r="N658" s="11" t="str">
        <f aca="false">IF(OR(B658="",N(F658)&lt;=0),"",IF('FALTAS POR DECK'!$P$1="Código","K"&amp;M658&amp;RIGHT("00000"&amp;ROW(),5),IF('FALTAS POR DECK'!$P$1="Nome","K"&amp;UPPER(SUBSTITUTE(SUBSTITUTE(SUBSTITUTE(C658,"*",""),"?",""),"~",""))&amp;"0"&amp;M658&amp;RIGHT("00000"&amp;ROW(),5),IF('FALTAS POR DECK'!$P$1="Falta (maior primeiro)","K"&amp;RIGHT("0000"&amp;(9999-F658),4)&amp;M658&amp;RIGHT("00000"&amp;ROW(),5),IF('FALTAS POR DECK'!$P$1="Deck e código","K"&amp;RIGHT("00"&amp;IFERROR(MATCH(A658,_LEITURA!$P$2:$P$21,0),99),2)&amp;M658&amp;RIGHT("00000"&amp;ROW(),5),"K"&amp;RIGHT("00000"&amp;ROW(),5))))))</f>
        <v/>
      </c>
      <c r="O658" s="16" t="str">
        <f aca="false">IF(N658="","",COUNTIFS($N$2:$N$1201,"&lt;"&amp;N658,$F$2:$F$1201,"&gt;0")+1)</f>
        <v/>
      </c>
    </row>
    <row r="659" customFormat="false" ht="15" hidden="false" customHeight="false" outlineLevel="0" collapsed="false">
      <c r="A659" s="11" t="str">
        <f aca="false">IF(_LEITURA!$N659="","",INDEX(_LEITURA!$K$2:$K$1201,_LEITURA!$N659))</f>
        <v/>
      </c>
      <c r="B659" s="11" t="str">
        <f aca="false">IF(_LEITURA!$N659="","",INDEX(_LEITURA!$E$2:$E$1201,_LEITURA!$N659))</f>
        <v/>
      </c>
      <c r="C659" s="11" t="str">
        <f aca="false">IF(_LEITURA!$N659="","",INDEX(_LEITURA!$J$2:$J$1201,_LEITURA!$N659))</f>
        <v/>
      </c>
      <c r="D659" s="16" t="str">
        <f aca="false">IF(_LEITURA!$N659="","",INDEX(_LEITURA!$G$2:$G$1201,_LEITURA!$N659))</f>
        <v/>
      </c>
      <c r="E659" s="16" t="str">
        <f aca="false">IF(B659="","",SUMIFS(INVENTÁRIO!$C$2:$C$801,INVENTÁRIO!$A$2:$A$801,B659))</f>
        <v/>
      </c>
      <c r="F659" s="16" t="str">
        <f aca="false">IF(B659="","",MAX(0,D659-E659))</f>
        <v/>
      </c>
      <c r="G659" s="16" t="str">
        <f aca="false">IF(B659="","",IF(COUNTIFS($B$2:$B$1201,B659,$A$2:$A$1201,"&lt;&gt;"&amp;A659)&gt;0,"Sim",""))</f>
        <v/>
      </c>
      <c r="H659" s="16" t="str">
        <f aca="false">IF(N(F659)&gt;0,MAX(H$1:H658)+1,"")</f>
        <v/>
      </c>
      <c r="I659" s="11" t="str">
        <f aca="false">IF(B659="","",IF(INDEX($C$2:$C$1201,MATCH(B659,$B$2:$B$1201,0))&lt;&gt;C659,"Nome diferente em outro deck — revisar",""))</f>
        <v/>
      </c>
      <c r="J659" s="16" t="str">
        <f aca="false">IF(AND(B659&lt;&gt;"",A659=BULK!$A$1,N(F659)&gt;0),MAX(J$1:J658)+1,"")</f>
        <v/>
      </c>
      <c r="K659" s="11" t="str">
        <f aca="false">IF(B659="","",IFERROR(LEFT(B659,FIND("-",B659)-1),B659))</f>
        <v/>
      </c>
      <c r="L659" s="11" t="str">
        <f aca="false">IF(K659="","",IF(ISNUMBER(--MID(K659,1,1)),0,IF(ISNUMBER(--MID(K659,2,1)),1,IF(ISNUMBER(--MID(K659,3,1)),2,IF(ISNUMBER(--MID(K659,4,1)),3,MIN(LEN(K659),4))))))</f>
        <v/>
      </c>
      <c r="M659" s="11" t="str">
        <f aca="false">IF(B659="","",LEFT(K659,L659)&amp;REPT("0",4-L659)&amp;RIGHT("000"&amp;IFERROR(VALUE(MID(K659,L659+1,9)),0),3)&amp;RIGHT("0000"&amp;IFERROR(VALUE(MID(B659,FIND("-",B659)+1,9)),0),4))</f>
        <v/>
      </c>
      <c r="N659" s="11" t="str">
        <f aca="false">IF(OR(B659="",N(F659)&lt;=0),"",IF('FALTAS POR DECK'!$P$1="Código","K"&amp;M659&amp;RIGHT("00000"&amp;ROW(),5),IF('FALTAS POR DECK'!$P$1="Nome","K"&amp;UPPER(SUBSTITUTE(SUBSTITUTE(SUBSTITUTE(C659,"*",""),"?",""),"~",""))&amp;"0"&amp;M659&amp;RIGHT("00000"&amp;ROW(),5),IF('FALTAS POR DECK'!$P$1="Falta (maior primeiro)","K"&amp;RIGHT("0000"&amp;(9999-F659),4)&amp;M659&amp;RIGHT("00000"&amp;ROW(),5),IF('FALTAS POR DECK'!$P$1="Deck e código","K"&amp;RIGHT("00"&amp;IFERROR(MATCH(A659,_LEITURA!$P$2:$P$21,0),99),2)&amp;M659&amp;RIGHT("00000"&amp;ROW(),5),"K"&amp;RIGHT("00000"&amp;ROW(),5))))))</f>
        <v/>
      </c>
      <c r="O659" s="16" t="str">
        <f aca="false">IF(N659="","",COUNTIFS($N$2:$N$1201,"&lt;"&amp;N659,$F$2:$F$1201,"&gt;0")+1)</f>
        <v/>
      </c>
    </row>
    <row r="660" customFormat="false" ht="15" hidden="false" customHeight="false" outlineLevel="0" collapsed="false">
      <c r="A660" s="11" t="str">
        <f aca="false">IF(_LEITURA!$N660="","",INDEX(_LEITURA!$K$2:$K$1201,_LEITURA!$N660))</f>
        <v/>
      </c>
      <c r="B660" s="11" t="str">
        <f aca="false">IF(_LEITURA!$N660="","",INDEX(_LEITURA!$E$2:$E$1201,_LEITURA!$N660))</f>
        <v/>
      </c>
      <c r="C660" s="11" t="str">
        <f aca="false">IF(_LEITURA!$N660="","",INDEX(_LEITURA!$J$2:$J$1201,_LEITURA!$N660))</f>
        <v/>
      </c>
      <c r="D660" s="16" t="str">
        <f aca="false">IF(_LEITURA!$N660="","",INDEX(_LEITURA!$G$2:$G$1201,_LEITURA!$N660))</f>
        <v/>
      </c>
      <c r="E660" s="16" t="str">
        <f aca="false">IF(B660="","",SUMIFS(INVENTÁRIO!$C$2:$C$801,INVENTÁRIO!$A$2:$A$801,B660))</f>
        <v/>
      </c>
      <c r="F660" s="16" t="str">
        <f aca="false">IF(B660="","",MAX(0,D660-E660))</f>
        <v/>
      </c>
      <c r="G660" s="16" t="str">
        <f aca="false">IF(B660="","",IF(COUNTIFS($B$2:$B$1201,B660,$A$2:$A$1201,"&lt;&gt;"&amp;A660)&gt;0,"Sim",""))</f>
        <v/>
      </c>
      <c r="H660" s="16" t="str">
        <f aca="false">IF(N(F660)&gt;0,MAX(H$1:H659)+1,"")</f>
        <v/>
      </c>
      <c r="I660" s="11" t="str">
        <f aca="false">IF(B660="","",IF(INDEX($C$2:$C$1201,MATCH(B660,$B$2:$B$1201,0))&lt;&gt;C660,"Nome diferente em outro deck — revisar",""))</f>
        <v/>
      </c>
      <c r="J660" s="16" t="str">
        <f aca="false">IF(AND(B660&lt;&gt;"",A660=BULK!$A$1,N(F660)&gt;0),MAX(J$1:J659)+1,"")</f>
        <v/>
      </c>
      <c r="K660" s="11" t="str">
        <f aca="false">IF(B660="","",IFERROR(LEFT(B660,FIND("-",B660)-1),B660))</f>
        <v/>
      </c>
      <c r="L660" s="11" t="str">
        <f aca="false">IF(K660="","",IF(ISNUMBER(--MID(K660,1,1)),0,IF(ISNUMBER(--MID(K660,2,1)),1,IF(ISNUMBER(--MID(K660,3,1)),2,IF(ISNUMBER(--MID(K660,4,1)),3,MIN(LEN(K660),4))))))</f>
        <v/>
      </c>
      <c r="M660" s="11" t="str">
        <f aca="false">IF(B660="","",LEFT(K660,L660)&amp;REPT("0",4-L660)&amp;RIGHT("000"&amp;IFERROR(VALUE(MID(K660,L660+1,9)),0),3)&amp;RIGHT("0000"&amp;IFERROR(VALUE(MID(B660,FIND("-",B660)+1,9)),0),4))</f>
        <v/>
      </c>
      <c r="N660" s="11" t="str">
        <f aca="false">IF(OR(B660="",N(F660)&lt;=0),"",IF('FALTAS POR DECK'!$P$1="Código","K"&amp;M660&amp;RIGHT("00000"&amp;ROW(),5),IF('FALTAS POR DECK'!$P$1="Nome","K"&amp;UPPER(SUBSTITUTE(SUBSTITUTE(SUBSTITUTE(C660,"*",""),"?",""),"~",""))&amp;"0"&amp;M660&amp;RIGHT("00000"&amp;ROW(),5),IF('FALTAS POR DECK'!$P$1="Falta (maior primeiro)","K"&amp;RIGHT("0000"&amp;(9999-F660),4)&amp;M660&amp;RIGHT("00000"&amp;ROW(),5),IF('FALTAS POR DECK'!$P$1="Deck e código","K"&amp;RIGHT("00"&amp;IFERROR(MATCH(A660,_LEITURA!$P$2:$P$21,0),99),2)&amp;M660&amp;RIGHT("00000"&amp;ROW(),5),"K"&amp;RIGHT("00000"&amp;ROW(),5))))))</f>
        <v/>
      </c>
      <c r="O660" s="16" t="str">
        <f aca="false">IF(N660="","",COUNTIFS($N$2:$N$1201,"&lt;"&amp;N660,$F$2:$F$1201,"&gt;0")+1)</f>
        <v/>
      </c>
    </row>
    <row r="661" customFormat="false" ht="15" hidden="false" customHeight="false" outlineLevel="0" collapsed="false">
      <c r="A661" s="11" t="str">
        <f aca="false">IF(_LEITURA!$N661="","",INDEX(_LEITURA!$K$2:$K$1201,_LEITURA!$N661))</f>
        <v/>
      </c>
      <c r="B661" s="11" t="str">
        <f aca="false">IF(_LEITURA!$N661="","",INDEX(_LEITURA!$E$2:$E$1201,_LEITURA!$N661))</f>
        <v/>
      </c>
      <c r="C661" s="11" t="str">
        <f aca="false">IF(_LEITURA!$N661="","",INDEX(_LEITURA!$J$2:$J$1201,_LEITURA!$N661))</f>
        <v/>
      </c>
      <c r="D661" s="16" t="str">
        <f aca="false">IF(_LEITURA!$N661="","",INDEX(_LEITURA!$G$2:$G$1201,_LEITURA!$N661))</f>
        <v/>
      </c>
      <c r="E661" s="16" t="str">
        <f aca="false">IF(B661="","",SUMIFS(INVENTÁRIO!$C$2:$C$801,INVENTÁRIO!$A$2:$A$801,B661))</f>
        <v/>
      </c>
      <c r="F661" s="16" t="str">
        <f aca="false">IF(B661="","",MAX(0,D661-E661))</f>
        <v/>
      </c>
      <c r="G661" s="16" t="str">
        <f aca="false">IF(B661="","",IF(COUNTIFS($B$2:$B$1201,B661,$A$2:$A$1201,"&lt;&gt;"&amp;A661)&gt;0,"Sim",""))</f>
        <v/>
      </c>
      <c r="H661" s="16" t="str">
        <f aca="false">IF(N(F661)&gt;0,MAX(H$1:H660)+1,"")</f>
        <v/>
      </c>
      <c r="I661" s="11" t="str">
        <f aca="false">IF(B661="","",IF(INDEX($C$2:$C$1201,MATCH(B661,$B$2:$B$1201,0))&lt;&gt;C661,"Nome diferente em outro deck — revisar",""))</f>
        <v/>
      </c>
      <c r="J661" s="16" t="str">
        <f aca="false">IF(AND(B661&lt;&gt;"",A661=BULK!$A$1,N(F661)&gt;0),MAX(J$1:J660)+1,"")</f>
        <v/>
      </c>
      <c r="K661" s="11" t="str">
        <f aca="false">IF(B661="","",IFERROR(LEFT(B661,FIND("-",B661)-1),B661))</f>
        <v/>
      </c>
      <c r="L661" s="11" t="str">
        <f aca="false">IF(K661="","",IF(ISNUMBER(--MID(K661,1,1)),0,IF(ISNUMBER(--MID(K661,2,1)),1,IF(ISNUMBER(--MID(K661,3,1)),2,IF(ISNUMBER(--MID(K661,4,1)),3,MIN(LEN(K661),4))))))</f>
        <v/>
      </c>
      <c r="M661" s="11" t="str">
        <f aca="false">IF(B661="","",LEFT(K661,L661)&amp;REPT("0",4-L661)&amp;RIGHT("000"&amp;IFERROR(VALUE(MID(K661,L661+1,9)),0),3)&amp;RIGHT("0000"&amp;IFERROR(VALUE(MID(B661,FIND("-",B661)+1,9)),0),4))</f>
        <v/>
      </c>
      <c r="N661" s="11" t="str">
        <f aca="false">IF(OR(B661="",N(F661)&lt;=0),"",IF('FALTAS POR DECK'!$P$1="Código","K"&amp;M661&amp;RIGHT("00000"&amp;ROW(),5),IF('FALTAS POR DECK'!$P$1="Nome","K"&amp;UPPER(SUBSTITUTE(SUBSTITUTE(SUBSTITUTE(C661,"*",""),"?",""),"~",""))&amp;"0"&amp;M661&amp;RIGHT("00000"&amp;ROW(),5),IF('FALTAS POR DECK'!$P$1="Falta (maior primeiro)","K"&amp;RIGHT("0000"&amp;(9999-F661),4)&amp;M661&amp;RIGHT("00000"&amp;ROW(),5),IF('FALTAS POR DECK'!$P$1="Deck e código","K"&amp;RIGHT("00"&amp;IFERROR(MATCH(A661,_LEITURA!$P$2:$P$21,0),99),2)&amp;M661&amp;RIGHT("00000"&amp;ROW(),5),"K"&amp;RIGHT("00000"&amp;ROW(),5))))))</f>
        <v/>
      </c>
      <c r="O661" s="16" t="str">
        <f aca="false">IF(N661="","",COUNTIFS($N$2:$N$1201,"&lt;"&amp;N661,$F$2:$F$1201,"&gt;0")+1)</f>
        <v/>
      </c>
    </row>
    <row r="662" customFormat="false" ht="15" hidden="false" customHeight="false" outlineLevel="0" collapsed="false">
      <c r="A662" s="11" t="str">
        <f aca="false">IF(_LEITURA!$N662="","",INDEX(_LEITURA!$K$2:$K$1201,_LEITURA!$N662))</f>
        <v/>
      </c>
      <c r="B662" s="11" t="str">
        <f aca="false">IF(_LEITURA!$N662="","",INDEX(_LEITURA!$E$2:$E$1201,_LEITURA!$N662))</f>
        <v/>
      </c>
      <c r="C662" s="11" t="str">
        <f aca="false">IF(_LEITURA!$N662="","",INDEX(_LEITURA!$J$2:$J$1201,_LEITURA!$N662))</f>
        <v/>
      </c>
      <c r="D662" s="16" t="str">
        <f aca="false">IF(_LEITURA!$N662="","",INDEX(_LEITURA!$G$2:$G$1201,_LEITURA!$N662))</f>
        <v/>
      </c>
      <c r="E662" s="16" t="str">
        <f aca="false">IF(B662="","",SUMIFS(INVENTÁRIO!$C$2:$C$801,INVENTÁRIO!$A$2:$A$801,B662))</f>
        <v/>
      </c>
      <c r="F662" s="16" t="str">
        <f aca="false">IF(B662="","",MAX(0,D662-E662))</f>
        <v/>
      </c>
      <c r="G662" s="16" t="str">
        <f aca="false">IF(B662="","",IF(COUNTIFS($B$2:$B$1201,B662,$A$2:$A$1201,"&lt;&gt;"&amp;A662)&gt;0,"Sim",""))</f>
        <v/>
      </c>
      <c r="H662" s="16" t="str">
        <f aca="false">IF(N(F662)&gt;0,MAX(H$1:H661)+1,"")</f>
        <v/>
      </c>
      <c r="I662" s="11" t="str">
        <f aca="false">IF(B662="","",IF(INDEX($C$2:$C$1201,MATCH(B662,$B$2:$B$1201,0))&lt;&gt;C662,"Nome diferente em outro deck — revisar",""))</f>
        <v/>
      </c>
      <c r="J662" s="16" t="str">
        <f aca="false">IF(AND(B662&lt;&gt;"",A662=BULK!$A$1,N(F662)&gt;0),MAX(J$1:J661)+1,"")</f>
        <v/>
      </c>
      <c r="K662" s="11" t="str">
        <f aca="false">IF(B662="","",IFERROR(LEFT(B662,FIND("-",B662)-1),B662))</f>
        <v/>
      </c>
      <c r="L662" s="11" t="str">
        <f aca="false">IF(K662="","",IF(ISNUMBER(--MID(K662,1,1)),0,IF(ISNUMBER(--MID(K662,2,1)),1,IF(ISNUMBER(--MID(K662,3,1)),2,IF(ISNUMBER(--MID(K662,4,1)),3,MIN(LEN(K662),4))))))</f>
        <v/>
      </c>
      <c r="M662" s="11" t="str">
        <f aca="false">IF(B662="","",LEFT(K662,L662)&amp;REPT("0",4-L662)&amp;RIGHT("000"&amp;IFERROR(VALUE(MID(K662,L662+1,9)),0),3)&amp;RIGHT("0000"&amp;IFERROR(VALUE(MID(B662,FIND("-",B662)+1,9)),0),4))</f>
        <v/>
      </c>
      <c r="N662" s="11" t="str">
        <f aca="false">IF(OR(B662="",N(F662)&lt;=0),"",IF('FALTAS POR DECK'!$P$1="Código","K"&amp;M662&amp;RIGHT("00000"&amp;ROW(),5),IF('FALTAS POR DECK'!$P$1="Nome","K"&amp;UPPER(SUBSTITUTE(SUBSTITUTE(SUBSTITUTE(C662,"*",""),"?",""),"~",""))&amp;"0"&amp;M662&amp;RIGHT("00000"&amp;ROW(),5),IF('FALTAS POR DECK'!$P$1="Falta (maior primeiro)","K"&amp;RIGHT("0000"&amp;(9999-F662),4)&amp;M662&amp;RIGHT("00000"&amp;ROW(),5),IF('FALTAS POR DECK'!$P$1="Deck e código","K"&amp;RIGHT("00"&amp;IFERROR(MATCH(A662,_LEITURA!$P$2:$P$21,0),99),2)&amp;M662&amp;RIGHT("00000"&amp;ROW(),5),"K"&amp;RIGHT("00000"&amp;ROW(),5))))))</f>
        <v/>
      </c>
      <c r="O662" s="16" t="str">
        <f aca="false">IF(N662="","",COUNTIFS($N$2:$N$1201,"&lt;"&amp;N662,$F$2:$F$1201,"&gt;0")+1)</f>
        <v/>
      </c>
    </row>
    <row r="663" customFormat="false" ht="15" hidden="false" customHeight="false" outlineLevel="0" collapsed="false">
      <c r="A663" s="11" t="str">
        <f aca="false">IF(_LEITURA!$N663="","",INDEX(_LEITURA!$K$2:$K$1201,_LEITURA!$N663))</f>
        <v/>
      </c>
      <c r="B663" s="11" t="str">
        <f aca="false">IF(_LEITURA!$N663="","",INDEX(_LEITURA!$E$2:$E$1201,_LEITURA!$N663))</f>
        <v/>
      </c>
      <c r="C663" s="11" t="str">
        <f aca="false">IF(_LEITURA!$N663="","",INDEX(_LEITURA!$J$2:$J$1201,_LEITURA!$N663))</f>
        <v/>
      </c>
      <c r="D663" s="16" t="str">
        <f aca="false">IF(_LEITURA!$N663="","",INDEX(_LEITURA!$G$2:$G$1201,_LEITURA!$N663))</f>
        <v/>
      </c>
      <c r="E663" s="16" t="str">
        <f aca="false">IF(B663="","",SUMIFS(INVENTÁRIO!$C$2:$C$801,INVENTÁRIO!$A$2:$A$801,B663))</f>
        <v/>
      </c>
      <c r="F663" s="16" t="str">
        <f aca="false">IF(B663="","",MAX(0,D663-E663))</f>
        <v/>
      </c>
      <c r="G663" s="16" t="str">
        <f aca="false">IF(B663="","",IF(COUNTIFS($B$2:$B$1201,B663,$A$2:$A$1201,"&lt;&gt;"&amp;A663)&gt;0,"Sim",""))</f>
        <v/>
      </c>
      <c r="H663" s="16" t="str">
        <f aca="false">IF(N(F663)&gt;0,MAX(H$1:H662)+1,"")</f>
        <v/>
      </c>
      <c r="I663" s="11" t="str">
        <f aca="false">IF(B663="","",IF(INDEX($C$2:$C$1201,MATCH(B663,$B$2:$B$1201,0))&lt;&gt;C663,"Nome diferente em outro deck — revisar",""))</f>
        <v/>
      </c>
      <c r="J663" s="16" t="str">
        <f aca="false">IF(AND(B663&lt;&gt;"",A663=BULK!$A$1,N(F663)&gt;0),MAX(J$1:J662)+1,"")</f>
        <v/>
      </c>
      <c r="K663" s="11" t="str">
        <f aca="false">IF(B663="","",IFERROR(LEFT(B663,FIND("-",B663)-1),B663))</f>
        <v/>
      </c>
      <c r="L663" s="11" t="str">
        <f aca="false">IF(K663="","",IF(ISNUMBER(--MID(K663,1,1)),0,IF(ISNUMBER(--MID(K663,2,1)),1,IF(ISNUMBER(--MID(K663,3,1)),2,IF(ISNUMBER(--MID(K663,4,1)),3,MIN(LEN(K663),4))))))</f>
        <v/>
      </c>
      <c r="M663" s="11" t="str">
        <f aca="false">IF(B663="","",LEFT(K663,L663)&amp;REPT("0",4-L663)&amp;RIGHT("000"&amp;IFERROR(VALUE(MID(K663,L663+1,9)),0),3)&amp;RIGHT("0000"&amp;IFERROR(VALUE(MID(B663,FIND("-",B663)+1,9)),0),4))</f>
        <v/>
      </c>
      <c r="N663" s="11" t="str">
        <f aca="false">IF(OR(B663="",N(F663)&lt;=0),"",IF('FALTAS POR DECK'!$P$1="Código","K"&amp;M663&amp;RIGHT("00000"&amp;ROW(),5),IF('FALTAS POR DECK'!$P$1="Nome","K"&amp;UPPER(SUBSTITUTE(SUBSTITUTE(SUBSTITUTE(C663,"*",""),"?",""),"~",""))&amp;"0"&amp;M663&amp;RIGHT("00000"&amp;ROW(),5),IF('FALTAS POR DECK'!$P$1="Falta (maior primeiro)","K"&amp;RIGHT("0000"&amp;(9999-F663),4)&amp;M663&amp;RIGHT("00000"&amp;ROW(),5),IF('FALTAS POR DECK'!$P$1="Deck e código","K"&amp;RIGHT("00"&amp;IFERROR(MATCH(A663,_LEITURA!$P$2:$P$21,0),99),2)&amp;M663&amp;RIGHT("00000"&amp;ROW(),5),"K"&amp;RIGHT("00000"&amp;ROW(),5))))))</f>
        <v/>
      </c>
      <c r="O663" s="16" t="str">
        <f aca="false">IF(N663="","",COUNTIFS($N$2:$N$1201,"&lt;"&amp;N663,$F$2:$F$1201,"&gt;0")+1)</f>
        <v/>
      </c>
    </row>
    <row r="664" customFormat="false" ht="15" hidden="false" customHeight="false" outlineLevel="0" collapsed="false">
      <c r="A664" s="11" t="str">
        <f aca="false">IF(_LEITURA!$N664="","",INDEX(_LEITURA!$K$2:$K$1201,_LEITURA!$N664))</f>
        <v/>
      </c>
      <c r="B664" s="11" t="str">
        <f aca="false">IF(_LEITURA!$N664="","",INDEX(_LEITURA!$E$2:$E$1201,_LEITURA!$N664))</f>
        <v/>
      </c>
      <c r="C664" s="11" t="str">
        <f aca="false">IF(_LEITURA!$N664="","",INDEX(_LEITURA!$J$2:$J$1201,_LEITURA!$N664))</f>
        <v/>
      </c>
      <c r="D664" s="16" t="str">
        <f aca="false">IF(_LEITURA!$N664="","",INDEX(_LEITURA!$G$2:$G$1201,_LEITURA!$N664))</f>
        <v/>
      </c>
      <c r="E664" s="16" t="str">
        <f aca="false">IF(B664="","",SUMIFS(INVENTÁRIO!$C$2:$C$801,INVENTÁRIO!$A$2:$A$801,B664))</f>
        <v/>
      </c>
      <c r="F664" s="16" t="str">
        <f aca="false">IF(B664="","",MAX(0,D664-E664))</f>
        <v/>
      </c>
      <c r="G664" s="16" t="str">
        <f aca="false">IF(B664="","",IF(COUNTIFS($B$2:$B$1201,B664,$A$2:$A$1201,"&lt;&gt;"&amp;A664)&gt;0,"Sim",""))</f>
        <v/>
      </c>
      <c r="H664" s="16" t="str">
        <f aca="false">IF(N(F664)&gt;0,MAX(H$1:H663)+1,"")</f>
        <v/>
      </c>
      <c r="I664" s="11" t="str">
        <f aca="false">IF(B664="","",IF(INDEX($C$2:$C$1201,MATCH(B664,$B$2:$B$1201,0))&lt;&gt;C664,"Nome diferente em outro deck — revisar",""))</f>
        <v/>
      </c>
      <c r="J664" s="16" t="str">
        <f aca="false">IF(AND(B664&lt;&gt;"",A664=BULK!$A$1,N(F664)&gt;0),MAX(J$1:J663)+1,"")</f>
        <v/>
      </c>
      <c r="K664" s="11" t="str">
        <f aca="false">IF(B664="","",IFERROR(LEFT(B664,FIND("-",B664)-1),B664))</f>
        <v/>
      </c>
      <c r="L664" s="11" t="str">
        <f aca="false">IF(K664="","",IF(ISNUMBER(--MID(K664,1,1)),0,IF(ISNUMBER(--MID(K664,2,1)),1,IF(ISNUMBER(--MID(K664,3,1)),2,IF(ISNUMBER(--MID(K664,4,1)),3,MIN(LEN(K664),4))))))</f>
        <v/>
      </c>
      <c r="M664" s="11" t="str">
        <f aca="false">IF(B664="","",LEFT(K664,L664)&amp;REPT("0",4-L664)&amp;RIGHT("000"&amp;IFERROR(VALUE(MID(K664,L664+1,9)),0),3)&amp;RIGHT("0000"&amp;IFERROR(VALUE(MID(B664,FIND("-",B664)+1,9)),0),4))</f>
        <v/>
      </c>
      <c r="N664" s="11" t="str">
        <f aca="false">IF(OR(B664="",N(F664)&lt;=0),"",IF('FALTAS POR DECK'!$P$1="Código","K"&amp;M664&amp;RIGHT("00000"&amp;ROW(),5),IF('FALTAS POR DECK'!$P$1="Nome","K"&amp;UPPER(SUBSTITUTE(SUBSTITUTE(SUBSTITUTE(C664,"*",""),"?",""),"~",""))&amp;"0"&amp;M664&amp;RIGHT("00000"&amp;ROW(),5),IF('FALTAS POR DECK'!$P$1="Falta (maior primeiro)","K"&amp;RIGHT("0000"&amp;(9999-F664),4)&amp;M664&amp;RIGHT("00000"&amp;ROW(),5),IF('FALTAS POR DECK'!$P$1="Deck e código","K"&amp;RIGHT("00"&amp;IFERROR(MATCH(A664,_LEITURA!$P$2:$P$21,0),99),2)&amp;M664&amp;RIGHT("00000"&amp;ROW(),5),"K"&amp;RIGHT("00000"&amp;ROW(),5))))))</f>
        <v/>
      </c>
      <c r="O664" s="16" t="str">
        <f aca="false">IF(N664="","",COUNTIFS($N$2:$N$1201,"&lt;"&amp;N664,$F$2:$F$1201,"&gt;0")+1)</f>
        <v/>
      </c>
    </row>
    <row r="665" customFormat="false" ht="15" hidden="false" customHeight="false" outlineLevel="0" collapsed="false">
      <c r="A665" s="11" t="str">
        <f aca="false">IF(_LEITURA!$N665="","",INDEX(_LEITURA!$K$2:$K$1201,_LEITURA!$N665))</f>
        <v/>
      </c>
      <c r="B665" s="11" t="str">
        <f aca="false">IF(_LEITURA!$N665="","",INDEX(_LEITURA!$E$2:$E$1201,_LEITURA!$N665))</f>
        <v/>
      </c>
      <c r="C665" s="11" t="str">
        <f aca="false">IF(_LEITURA!$N665="","",INDEX(_LEITURA!$J$2:$J$1201,_LEITURA!$N665))</f>
        <v/>
      </c>
      <c r="D665" s="16" t="str">
        <f aca="false">IF(_LEITURA!$N665="","",INDEX(_LEITURA!$G$2:$G$1201,_LEITURA!$N665))</f>
        <v/>
      </c>
      <c r="E665" s="16" t="str">
        <f aca="false">IF(B665="","",SUMIFS(INVENTÁRIO!$C$2:$C$801,INVENTÁRIO!$A$2:$A$801,B665))</f>
        <v/>
      </c>
      <c r="F665" s="16" t="str">
        <f aca="false">IF(B665="","",MAX(0,D665-E665))</f>
        <v/>
      </c>
      <c r="G665" s="16" t="str">
        <f aca="false">IF(B665="","",IF(COUNTIFS($B$2:$B$1201,B665,$A$2:$A$1201,"&lt;&gt;"&amp;A665)&gt;0,"Sim",""))</f>
        <v/>
      </c>
      <c r="H665" s="16" t="str">
        <f aca="false">IF(N(F665)&gt;0,MAX(H$1:H664)+1,"")</f>
        <v/>
      </c>
      <c r="I665" s="11" t="str">
        <f aca="false">IF(B665="","",IF(INDEX($C$2:$C$1201,MATCH(B665,$B$2:$B$1201,0))&lt;&gt;C665,"Nome diferente em outro deck — revisar",""))</f>
        <v/>
      </c>
      <c r="J665" s="16" t="str">
        <f aca="false">IF(AND(B665&lt;&gt;"",A665=BULK!$A$1,N(F665)&gt;0),MAX(J$1:J664)+1,"")</f>
        <v/>
      </c>
      <c r="K665" s="11" t="str">
        <f aca="false">IF(B665="","",IFERROR(LEFT(B665,FIND("-",B665)-1),B665))</f>
        <v/>
      </c>
      <c r="L665" s="11" t="str">
        <f aca="false">IF(K665="","",IF(ISNUMBER(--MID(K665,1,1)),0,IF(ISNUMBER(--MID(K665,2,1)),1,IF(ISNUMBER(--MID(K665,3,1)),2,IF(ISNUMBER(--MID(K665,4,1)),3,MIN(LEN(K665),4))))))</f>
        <v/>
      </c>
      <c r="M665" s="11" t="str">
        <f aca="false">IF(B665="","",LEFT(K665,L665)&amp;REPT("0",4-L665)&amp;RIGHT("000"&amp;IFERROR(VALUE(MID(K665,L665+1,9)),0),3)&amp;RIGHT("0000"&amp;IFERROR(VALUE(MID(B665,FIND("-",B665)+1,9)),0),4))</f>
        <v/>
      </c>
      <c r="N665" s="11" t="str">
        <f aca="false">IF(OR(B665="",N(F665)&lt;=0),"",IF('FALTAS POR DECK'!$P$1="Código","K"&amp;M665&amp;RIGHT("00000"&amp;ROW(),5),IF('FALTAS POR DECK'!$P$1="Nome","K"&amp;UPPER(SUBSTITUTE(SUBSTITUTE(SUBSTITUTE(C665,"*",""),"?",""),"~",""))&amp;"0"&amp;M665&amp;RIGHT("00000"&amp;ROW(),5),IF('FALTAS POR DECK'!$P$1="Falta (maior primeiro)","K"&amp;RIGHT("0000"&amp;(9999-F665),4)&amp;M665&amp;RIGHT("00000"&amp;ROW(),5),IF('FALTAS POR DECK'!$P$1="Deck e código","K"&amp;RIGHT("00"&amp;IFERROR(MATCH(A665,_LEITURA!$P$2:$P$21,0),99),2)&amp;M665&amp;RIGHT("00000"&amp;ROW(),5),"K"&amp;RIGHT("00000"&amp;ROW(),5))))))</f>
        <v/>
      </c>
      <c r="O665" s="16" t="str">
        <f aca="false">IF(N665="","",COUNTIFS($N$2:$N$1201,"&lt;"&amp;N665,$F$2:$F$1201,"&gt;0")+1)</f>
        <v/>
      </c>
    </row>
    <row r="666" customFormat="false" ht="15" hidden="false" customHeight="false" outlineLevel="0" collapsed="false">
      <c r="A666" s="11" t="str">
        <f aca="false">IF(_LEITURA!$N666="","",INDEX(_LEITURA!$K$2:$K$1201,_LEITURA!$N666))</f>
        <v/>
      </c>
      <c r="B666" s="11" t="str">
        <f aca="false">IF(_LEITURA!$N666="","",INDEX(_LEITURA!$E$2:$E$1201,_LEITURA!$N666))</f>
        <v/>
      </c>
      <c r="C666" s="11" t="str">
        <f aca="false">IF(_LEITURA!$N666="","",INDEX(_LEITURA!$J$2:$J$1201,_LEITURA!$N666))</f>
        <v/>
      </c>
      <c r="D666" s="16" t="str">
        <f aca="false">IF(_LEITURA!$N666="","",INDEX(_LEITURA!$G$2:$G$1201,_LEITURA!$N666))</f>
        <v/>
      </c>
      <c r="E666" s="16" t="str">
        <f aca="false">IF(B666="","",SUMIFS(INVENTÁRIO!$C$2:$C$801,INVENTÁRIO!$A$2:$A$801,B666))</f>
        <v/>
      </c>
      <c r="F666" s="16" t="str">
        <f aca="false">IF(B666="","",MAX(0,D666-E666))</f>
        <v/>
      </c>
      <c r="G666" s="16" t="str">
        <f aca="false">IF(B666="","",IF(COUNTIFS($B$2:$B$1201,B666,$A$2:$A$1201,"&lt;&gt;"&amp;A666)&gt;0,"Sim",""))</f>
        <v/>
      </c>
      <c r="H666" s="16" t="str">
        <f aca="false">IF(N(F666)&gt;0,MAX(H$1:H665)+1,"")</f>
        <v/>
      </c>
      <c r="I666" s="11" t="str">
        <f aca="false">IF(B666="","",IF(INDEX($C$2:$C$1201,MATCH(B666,$B$2:$B$1201,0))&lt;&gt;C666,"Nome diferente em outro deck — revisar",""))</f>
        <v/>
      </c>
      <c r="J666" s="16" t="str">
        <f aca="false">IF(AND(B666&lt;&gt;"",A666=BULK!$A$1,N(F666)&gt;0),MAX(J$1:J665)+1,"")</f>
        <v/>
      </c>
      <c r="K666" s="11" t="str">
        <f aca="false">IF(B666="","",IFERROR(LEFT(B666,FIND("-",B666)-1),B666))</f>
        <v/>
      </c>
      <c r="L666" s="11" t="str">
        <f aca="false">IF(K666="","",IF(ISNUMBER(--MID(K666,1,1)),0,IF(ISNUMBER(--MID(K666,2,1)),1,IF(ISNUMBER(--MID(K666,3,1)),2,IF(ISNUMBER(--MID(K666,4,1)),3,MIN(LEN(K666),4))))))</f>
        <v/>
      </c>
      <c r="M666" s="11" t="str">
        <f aca="false">IF(B666="","",LEFT(K666,L666)&amp;REPT("0",4-L666)&amp;RIGHT("000"&amp;IFERROR(VALUE(MID(K666,L666+1,9)),0),3)&amp;RIGHT("0000"&amp;IFERROR(VALUE(MID(B666,FIND("-",B666)+1,9)),0),4))</f>
        <v/>
      </c>
      <c r="N666" s="11" t="str">
        <f aca="false">IF(OR(B666="",N(F666)&lt;=0),"",IF('FALTAS POR DECK'!$P$1="Código","K"&amp;M666&amp;RIGHT("00000"&amp;ROW(),5),IF('FALTAS POR DECK'!$P$1="Nome","K"&amp;UPPER(SUBSTITUTE(SUBSTITUTE(SUBSTITUTE(C666,"*",""),"?",""),"~",""))&amp;"0"&amp;M666&amp;RIGHT("00000"&amp;ROW(),5),IF('FALTAS POR DECK'!$P$1="Falta (maior primeiro)","K"&amp;RIGHT("0000"&amp;(9999-F666),4)&amp;M666&amp;RIGHT("00000"&amp;ROW(),5),IF('FALTAS POR DECK'!$P$1="Deck e código","K"&amp;RIGHT("00"&amp;IFERROR(MATCH(A666,_LEITURA!$P$2:$P$21,0),99),2)&amp;M666&amp;RIGHT("00000"&amp;ROW(),5),"K"&amp;RIGHT("00000"&amp;ROW(),5))))))</f>
        <v/>
      </c>
      <c r="O666" s="16" t="str">
        <f aca="false">IF(N666="","",COUNTIFS($N$2:$N$1201,"&lt;"&amp;N666,$F$2:$F$1201,"&gt;0")+1)</f>
        <v/>
      </c>
    </row>
    <row r="667" customFormat="false" ht="15" hidden="false" customHeight="false" outlineLevel="0" collapsed="false">
      <c r="A667" s="11" t="str">
        <f aca="false">IF(_LEITURA!$N667="","",INDEX(_LEITURA!$K$2:$K$1201,_LEITURA!$N667))</f>
        <v/>
      </c>
      <c r="B667" s="11" t="str">
        <f aca="false">IF(_LEITURA!$N667="","",INDEX(_LEITURA!$E$2:$E$1201,_LEITURA!$N667))</f>
        <v/>
      </c>
      <c r="C667" s="11" t="str">
        <f aca="false">IF(_LEITURA!$N667="","",INDEX(_LEITURA!$J$2:$J$1201,_LEITURA!$N667))</f>
        <v/>
      </c>
      <c r="D667" s="16" t="str">
        <f aca="false">IF(_LEITURA!$N667="","",INDEX(_LEITURA!$G$2:$G$1201,_LEITURA!$N667))</f>
        <v/>
      </c>
      <c r="E667" s="16" t="str">
        <f aca="false">IF(B667="","",SUMIFS(INVENTÁRIO!$C$2:$C$801,INVENTÁRIO!$A$2:$A$801,B667))</f>
        <v/>
      </c>
      <c r="F667" s="16" t="str">
        <f aca="false">IF(B667="","",MAX(0,D667-E667))</f>
        <v/>
      </c>
      <c r="G667" s="16" t="str">
        <f aca="false">IF(B667="","",IF(COUNTIFS($B$2:$B$1201,B667,$A$2:$A$1201,"&lt;&gt;"&amp;A667)&gt;0,"Sim",""))</f>
        <v/>
      </c>
      <c r="H667" s="16" t="str">
        <f aca="false">IF(N(F667)&gt;0,MAX(H$1:H666)+1,"")</f>
        <v/>
      </c>
      <c r="I667" s="11" t="str">
        <f aca="false">IF(B667="","",IF(INDEX($C$2:$C$1201,MATCH(B667,$B$2:$B$1201,0))&lt;&gt;C667,"Nome diferente em outro deck — revisar",""))</f>
        <v/>
      </c>
      <c r="J667" s="16" t="str">
        <f aca="false">IF(AND(B667&lt;&gt;"",A667=BULK!$A$1,N(F667)&gt;0),MAX(J$1:J666)+1,"")</f>
        <v/>
      </c>
      <c r="K667" s="11" t="str">
        <f aca="false">IF(B667="","",IFERROR(LEFT(B667,FIND("-",B667)-1),B667))</f>
        <v/>
      </c>
      <c r="L667" s="11" t="str">
        <f aca="false">IF(K667="","",IF(ISNUMBER(--MID(K667,1,1)),0,IF(ISNUMBER(--MID(K667,2,1)),1,IF(ISNUMBER(--MID(K667,3,1)),2,IF(ISNUMBER(--MID(K667,4,1)),3,MIN(LEN(K667),4))))))</f>
        <v/>
      </c>
      <c r="M667" s="11" t="str">
        <f aca="false">IF(B667="","",LEFT(K667,L667)&amp;REPT("0",4-L667)&amp;RIGHT("000"&amp;IFERROR(VALUE(MID(K667,L667+1,9)),0),3)&amp;RIGHT("0000"&amp;IFERROR(VALUE(MID(B667,FIND("-",B667)+1,9)),0),4))</f>
        <v/>
      </c>
      <c r="N667" s="11" t="str">
        <f aca="false">IF(OR(B667="",N(F667)&lt;=0),"",IF('FALTAS POR DECK'!$P$1="Código","K"&amp;M667&amp;RIGHT("00000"&amp;ROW(),5),IF('FALTAS POR DECK'!$P$1="Nome","K"&amp;UPPER(SUBSTITUTE(SUBSTITUTE(SUBSTITUTE(C667,"*",""),"?",""),"~",""))&amp;"0"&amp;M667&amp;RIGHT("00000"&amp;ROW(),5),IF('FALTAS POR DECK'!$P$1="Falta (maior primeiro)","K"&amp;RIGHT("0000"&amp;(9999-F667),4)&amp;M667&amp;RIGHT("00000"&amp;ROW(),5),IF('FALTAS POR DECK'!$P$1="Deck e código","K"&amp;RIGHT("00"&amp;IFERROR(MATCH(A667,_LEITURA!$P$2:$P$21,0),99),2)&amp;M667&amp;RIGHT("00000"&amp;ROW(),5),"K"&amp;RIGHT("00000"&amp;ROW(),5))))))</f>
        <v/>
      </c>
      <c r="O667" s="16" t="str">
        <f aca="false">IF(N667="","",COUNTIFS($N$2:$N$1201,"&lt;"&amp;N667,$F$2:$F$1201,"&gt;0")+1)</f>
        <v/>
      </c>
    </row>
    <row r="668" customFormat="false" ht="15" hidden="false" customHeight="false" outlineLevel="0" collapsed="false">
      <c r="A668" s="11" t="str">
        <f aca="false">IF(_LEITURA!$N668="","",INDEX(_LEITURA!$K$2:$K$1201,_LEITURA!$N668))</f>
        <v/>
      </c>
      <c r="B668" s="11" t="str">
        <f aca="false">IF(_LEITURA!$N668="","",INDEX(_LEITURA!$E$2:$E$1201,_LEITURA!$N668))</f>
        <v/>
      </c>
      <c r="C668" s="11" t="str">
        <f aca="false">IF(_LEITURA!$N668="","",INDEX(_LEITURA!$J$2:$J$1201,_LEITURA!$N668))</f>
        <v/>
      </c>
      <c r="D668" s="16" t="str">
        <f aca="false">IF(_LEITURA!$N668="","",INDEX(_LEITURA!$G$2:$G$1201,_LEITURA!$N668))</f>
        <v/>
      </c>
      <c r="E668" s="16" t="str">
        <f aca="false">IF(B668="","",SUMIFS(INVENTÁRIO!$C$2:$C$801,INVENTÁRIO!$A$2:$A$801,B668))</f>
        <v/>
      </c>
      <c r="F668" s="16" t="str">
        <f aca="false">IF(B668="","",MAX(0,D668-E668))</f>
        <v/>
      </c>
      <c r="G668" s="16" t="str">
        <f aca="false">IF(B668="","",IF(COUNTIFS($B$2:$B$1201,B668,$A$2:$A$1201,"&lt;&gt;"&amp;A668)&gt;0,"Sim",""))</f>
        <v/>
      </c>
      <c r="H668" s="16" t="str">
        <f aca="false">IF(N(F668)&gt;0,MAX(H$1:H667)+1,"")</f>
        <v/>
      </c>
      <c r="I668" s="11" t="str">
        <f aca="false">IF(B668="","",IF(INDEX($C$2:$C$1201,MATCH(B668,$B$2:$B$1201,0))&lt;&gt;C668,"Nome diferente em outro deck — revisar",""))</f>
        <v/>
      </c>
      <c r="J668" s="16" t="str">
        <f aca="false">IF(AND(B668&lt;&gt;"",A668=BULK!$A$1,N(F668)&gt;0),MAX(J$1:J667)+1,"")</f>
        <v/>
      </c>
      <c r="K668" s="11" t="str">
        <f aca="false">IF(B668="","",IFERROR(LEFT(B668,FIND("-",B668)-1),B668))</f>
        <v/>
      </c>
      <c r="L668" s="11" t="str">
        <f aca="false">IF(K668="","",IF(ISNUMBER(--MID(K668,1,1)),0,IF(ISNUMBER(--MID(K668,2,1)),1,IF(ISNUMBER(--MID(K668,3,1)),2,IF(ISNUMBER(--MID(K668,4,1)),3,MIN(LEN(K668),4))))))</f>
        <v/>
      </c>
      <c r="M668" s="11" t="str">
        <f aca="false">IF(B668="","",LEFT(K668,L668)&amp;REPT("0",4-L668)&amp;RIGHT("000"&amp;IFERROR(VALUE(MID(K668,L668+1,9)),0),3)&amp;RIGHT("0000"&amp;IFERROR(VALUE(MID(B668,FIND("-",B668)+1,9)),0),4))</f>
        <v/>
      </c>
      <c r="N668" s="11" t="str">
        <f aca="false">IF(OR(B668="",N(F668)&lt;=0),"",IF('FALTAS POR DECK'!$P$1="Código","K"&amp;M668&amp;RIGHT("00000"&amp;ROW(),5),IF('FALTAS POR DECK'!$P$1="Nome","K"&amp;UPPER(SUBSTITUTE(SUBSTITUTE(SUBSTITUTE(C668,"*",""),"?",""),"~",""))&amp;"0"&amp;M668&amp;RIGHT("00000"&amp;ROW(),5),IF('FALTAS POR DECK'!$P$1="Falta (maior primeiro)","K"&amp;RIGHT("0000"&amp;(9999-F668),4)&amp;M668&amp;RIGHT("00000"&amp;ROW(),5),IF('FALTAS POR DECK'!$P$1="Deck e código","K"&amp;RIGHT("00"&amp;IFERROR(MATCH(A668,_LEITURA!$P$2:$P$21,0),99),2)&amp;M668&amp;RIGHT("00000"&amp;ROW(),5),"K"&amp;RIGHT("00000"&amp;ROW(),5))))))</f>
        <v/>
      </c>
      <c r="O668" s="16" t="str">
        <f aca="false">IF(N668="","",COUNTIFS($N$2:$N$1201,"&lt;"&amp;N668,$F$2:$F$1201,"&gt;0")+1)</f>
        <v/>
      </c>
    </row>
    <row r="669" customFormat="false" ht="15" hidden="false" customHeight="false" outlineLevel="0" collapsed="false">
      <c r="A669" s="11" t="str">
        <f aca="false">IF(_LEITURA!$N669="","",INDEX(_LEITURA!$K$2:$K$1201,_LEITURA!$N669))</f>
        <v/>
      </c>
      <c r="B669" s="11" t="str">
        <f aca="false">IF(_LEITURA!$N669="","",INDEX(_LEITURA!$E$2:$E$1201,_LEITURA!$N669))</f>
        <v/>
      </c>
      <c r="C669" s="11" t="str">
        <f aca="false">IF(_LEITURA!$N669="","",INDEX(_LEITURA!$J$2:$J$1201,_LEITURA!$N669))</f>
        <v/>
      </c>
      <c r="D669" s="16" t="str">
        <f aca="false">IF(_LEITURA!$N669="","",INDEX(_LEITURA!$G$2:$G$1201,_LEITURA!$N669))</f>
        <v/>
      </c>
      <c r="E669" s="16" t="str">
        <f aca="false">IF(B669="","",SUMIFS(INVENTÁRIO!$C$2:$C$801,INVENTÁRIO!$A$2:$A$801,B669))</f>
        <v/>
      </c>
      <c r="F669" s="16" t="str">
        <f aca="false">IF(B669="","",MAX(0,D669-E669))</f>
        <v/>
      </c>
      <c r="G669" s="16" t="str">
        <f aca="false">IF(B669="","",IF(COUNTIFS($B$2:$B$1201,B669,$A$2:$A$1201,"&lt;&gt;"&amp;A669)&gt;0,"Sim",""))</f>
        <v/>
      </c>
      <c r="H669" s="16" t="str">
        <f aca="false">IF(N(F669)&gt;0,MAX(H$1:H668)+1,"")</f>
        <v/>
      </c>
      <c r="I669" s="11" t="str">
        <f aca="false">IF(B669="","",IF(INDEX($C$2:$C$1201,MATCH(B669,$B$2:$B$1201,0))&lt;&gt;C669,"Nome diferente em outro deck — revisar",""))</f>
        <v/>
      </c>
      <c r="J669" s="16" t="str">
        <f aca="false">IF(AND(B669&lt;&gt;"",A669=BULK!$A$1,N(F669)&gt;0),MAX(J$1:J668)+1,"")</f>
        <v/>
      </c>
      <c r="K669" s="11" t="str">
        <f aca="false">IF(B669="","",IFERROR(LEFT(B669,FIND("-",B669)-1),B669))</f>
        <v/>
      </c>
      <c r="L669" s="11" t="str">
        <f aca="false">IF(K669="","",IF(ISNUMBER(--MID(K669,1,1)),0,IF(ISNUMBER(--MID(K669,2,1)),1,IF(ISNUMBER(--MID(K669,3,1)),2,IF(ISNUMBER(--MID(K669,4,1)),3,MIN(LEN(K669),4))))))</f>
        <v/>
      </c>
      <c r="M669" s="11" t="str">
        <f aca="false">IF(B669="","",LEFT(K669,L669)&amp;REPT("0",4-L669)&amp;RIGHT("000"&amp;IFERROR(VALUE(MID(K669,L669+1,9)),0),3)&amp;RIGHT("0000"&amp;IFERROR(VALUE(MID(B669,FIND("-",B669)+1,9)),0),4))</f>
        <v/>
      </c>
      <c r="N669" s="11" t="str">
        <f aca="false">IF(OR(B669="",N(F669)&lt;=0),"",IF('FALTAS POR DECK'!$P$1="Código","K"&amp;M669&amp;RIGHT("00000"&amp;ROW(),5),IF('FALTAS POR DECK'!$P$1="Nome","K"&amp;UPPER(SUBSTITUTE(SUBSTITUTE(SUBSTITUTE(C669,"*",""),"?",""),"~",""))&amp;"0"&amp;M669&amp;RIGHT("00000"&amp;ROW(),5),IF('FALTAS POR DECK'!$P$1="Falta (maior primeiro)","K"&amp;RIGHT("0000"&amp;(9999-F669),4)&amp;M669&amp;RIGHT("00000"&amp;ROW(),5),IF('FALTAS POR DECK'!$P$1="Deck e código","K"&amp;RIGHT("00"&amp;IFERROR(MATCH(A669,_LEITURA!$P$2:$P$21,0),99),2)&amp;M669&amp;RIGHT("00000"&amp;ROW(),5),"K"&amp;RIGHT("00000"&amp;ROW(),5))))))</f>
        <v/>
      </c>
      <c r="O669" s="16" t="str">
        <f aca="false">IF(N669="","",COUNTIFS($N$2:$N$1201,"&lt;"&amp;N669,$F$2:$F$1201,"&gt;0")+1)</f>
        <v/>
      </c>
    </row>
    <row r="670" customFormat="false" ht="15" hidden="false" customHeight="false" outlineLevel="0" collapsed="false">
      <c r="A670" s="11" t="str">
        <f aca="false">IF(_LEITURA!$N670="","",INDEX(_LEITURA!$K$2:$K$1201,_LEITURA!$N670))</f>
        <v/>
      </c>
      <c r="B670" s="11" t="str">
        <f aca="false">IF(_LEITURA!$N670="","",INDEX(_LEITURA!$E$2:$E$1201,_LEITURA!$N670))</f>
        <v/>
      </c>
      <c r="C670" s="11" t="str">
        <f aca="false">IF(_LEITURA!$N670="","",INDEX(_LEITURA!$J$2:$J$1201,_LEITURA!$N670))</f>
        <v/>
      </c>
      <c r="D670" s="16" t="str">
        <f aca="false">IF(_LEITURA!$N670="","",INDEX(_LEITURA!$G$2:$G$1201,_LEITURA!$N670))</f>
        <v/>
      </c>
      <c r="E670" s="16" t="str">
        <f aca="false">IF(B670="","",SUMIFS(INVENTÁRIO!$C$2:$C$801,INVENTÁRIO!$A$2:$A$801,B670))</f>
        <v/>
      </c>
      <c r="F670" s="16" t="str">
        <f aca="false">IF(B670="","",MAX(0,D670-E670))</f>
        <v/>
      </c>
      <c r="G670" s="16" t="str">
        <f aca="false">IF(B670="","",IF(COUNTIFS($B$2:$B$1201,B670,$A$2:$A$1201,"&lt;&gt;"&amp;A670)&gt;0,"Sim",""))</f>
        <v/>
      </c>
      <c r="H670" s="16" t="str">
        <f aca="false">IF(N(F670)&gt;0,MAX(H$1:H669)+1,"")</f>
        <v/>
      </c>
      <c r="I670" s="11" t="str">
        <f aca="false">IF(B670="","",IF(INDEX($C$2:$C$1201,MATCH(B670,$B$2:$B$1201,0))&lt;&gt;C670,"Nome diferente em outro deck — revisar",""))</f>
        <v/>
      </c>
      <c r="J670" s="16" t="str">
        <f aca="false">IF(AND(B670&lt;&gt;"",A670=BULK!$A$1,N(F670)&gt;0),MAX(J$1:J669)+1,"")</f>
        <v/>
      </c>
      <c r="K670" s="11" t="str">
        <f aca="false">IF(B670="","",IFERROR(LEFT(B670,FIND("-",B670)-1),B670))</f>
        <v/>
      </c>
      <c r="L670" s="11" t="str">
        <f aca="false">IF(K670="","",IF(ISNUMBER(--MID(K670,1,1)),0,IF(ISNUMBER(--MID(K670,2,1)),1,IF(ISNUMBER(--MID(K670,3,1)),2,IF(ISNUMBER(--MID(K670,4,1)),3,MIN(LEN(K670),4))))))</f>
        <v/>
      </c>
      <c r="M670" s="11" t="str">
        <f aca="false">IF(B670="","",LEFT(K670,L670)&amp;REPT("0",4-L670)&amp;RIGHT("000"&amp;IFERROR(VALUE(MID(K670,L670+1,9)),0),3)&amp;RIGHT("0000"&amp;IFERROR(VALUE(MID(B670,FIND("-",B670)+1,9)),0),4))</f>
        <v/>
      </c>
      <c r="N670" s="11" t="str">
        <f aca="false">IF(OR(B670="",N(F670)&lt;=0),"",IF('FALTAS POR DECK'!$P$1="Código","K"&amp;M670&amp;RIGHT("00000"&amp;ROW(),5),IF('FALTAS POR DECK'!$P$1="Nome","K"&amp;UPPER(SUBSTITUTE(SUBSTITUTE(SUBSTITUTE(C670,"*",""),"?",""),"~",""))&amp;"0"&amp;M670&amp;RIGHT("00000"&amp;ROW(),5),IF('FALTAS POR DECK'!$P$1="Falta (maior primeiro)","K"&amp;RIGHT("0000"&amp;(9999-F670),4)&amp;M670&amp;RIGHT("00000"&amp;ROW(),5),IF('FALTAS POR DECK'!$P$1="Deck e código","K"&amp;RIGHT("00"&amp;IFERROR(MATCH(A670,_LEITURA!$P$2:$P$21,0),99),2)&amp;M670&amp;RIGHT("00000"&amp;ROW(),5),"K"&amp;RIGHT("00000"&amp;ROW(),5))))))</f>
        <v/>
      </c>
      <c r="O670" s="16" t="str">
        <f aca="false">IF(N670="","",COUNTIFS($N$2:$N$1201,"&lt;"&amp;N670,$F$2:$F$1201,"&gt;0")+1)</f>
        <v/>
      </c>
    </row>
    <row r="671" customFormat="false" ht="15" hidden="false" customHeight="false" outlineLevel="0" collapsed="false">
      <c r="A671" s="11" t="str">
        <f aca="false">IF(_LEITURA!$N671="","",INDEX(_LEITURA!$K$2:$K$1201,_LEITURA!$N671))</f>
        <v/>
      </c>
      <c r="B671" s="11" t="str">
        <f aca="false">IF(_LEITURA!$N671="","",INDEX(_LEITURA!$E$2:$E$1201,_LEITURA!$N671))</f>
        <v/>
      </c>
      <c r="C671" s="11" t="str">
        <f aca="false">IF(_LEITURA!$N671="","",INDEX(_LEITURA!$J$2:$J$1201,_LEITURA!$N671))</f>
        <v/>
      </c>
      <c r="D671" s="16" t="str">
        <f aca="false">IF(_LEITURA!$N671="","",INDEX(_LEITURA!$G$2:$G$1201,_LEITURA!$N671))</f>
        <v/>
      </c>
      <c r="E671" s="16" t="str">
        <f aca="false">IF(B671="","",SUMIFS(INVENTÁRIO!$C$2:$C$801,INVENTÁRIO!$A$2:$A$801,B671))</f>
        <v/>
      </c>
      <c r="F671" s="16" t="str">
        <f aca="false">IF(B671="","",MAX(0,D671-E671))</f>
        <v/>
      </c>
      <c r="G671" s="16" t="str">
        <f aca="false">IF(B671="","",IF(COUNTIFS($B$2:$B$1201,B671,$A$2:$A$1201,"&lt;&gt;"&amp;A671)&gt;0,"Sim",""))</f>
        <v/>
      </c>
      <c r="H671" s="16" t="str">
        <f aca="false">IF(N(F671)&gt;0,MAX(H$1:H670)+1,"")</f>
        <v/>
      </c>
      <c r="I671" s="11" t="str">
        <f aca="false">IF(B671="","",IF(INDEX($C$2:$C$1201,MATCH(B671,$B$2:$B$1201,0))&lt;&gt;C671,"Nome diferente em outro deck — revisar",""))</f>
        <v/>
      </c>
      <c r="J671" s="16" t="str">
        <f aca="false">IF(AND(B671&lt;&gt;"",A671=BULK!$A$1,N(F671)&gt;0),MAX(J$1:J670)+1,"")</f>
        <v/>
      </c>
      <c r="K671" s="11" t="str">
        <f aca="false">IF(B671="","",IFERROR(LEFT(B671,FIND("-",B671)-1),B671))</f>
        <v/>
      </c>
      <c r="L671" s="11" t="str">
        <f aca="false">IF(K671="","",IF(ISNUMBER(--MID(K671,1,1)),0,IF(ISNUMBER(--MID(K671,2,1)),1,IF(ISNUMBER(--MID(K671,3,1)),2,IF(ISNUMBER(--MID(K671,4,1)),3,MIN(LEN(K671),4))))))</f>
        <v/>
      </c>
      <c r="M671" s="11" t="str">
        <f aca="false">IF(B671="","",LEFT(K671,L671)&amp;REPT("0",4-L671)&amp;RIGHT("000"&amp;IFERROR(VALUE(MID(K671,L671+1,9)),0),3)&amp;RIGHT("0000"&amp;IFERROR(VALUE(MID(B671,FIND("-",B671)+1,9)),0),4))</f>
        <v/>
      </c>
      <c r="N671" s="11" t="str">
        <f aca="false">IF(OR(B671="",N(F671)&lt;=0),"",IF('FALTAS POR DECK'!$P$1="Código","K"&amp;M671&amp;RIGHT("00000"&amp;ROW(),5),IF('FALTAS POR DECK'!$P$1="Nome","K"&amp;UPPER(SUBSTITUTE(SUBSTITUTE(SUBSTITUTE(C671,"*",""),"?",""),"~",""))&amp;"0"&amp;M671&amp;RIGHT("00000"&amp;ROW(),5),IF('FALTAS POR DECK'!$P$1="Falta (maior primeiro)","K"&amp;RIGHT("0000"&amp;(9999-F671),4)&amp;M671&amp;RIGHT("00000"&amp;ROW(),5),IF('FALTAS POR DECK'!$P$1="Deck e código","K"&amp;RIGHT("00"&amp;IFERROR(MATCH(A671,_LEITURA!$P$2:$P$21,0),99),2)&amp;M671&amp;RIGHT("00000"&amp;ROW(),5),"K"&amp;RIGHT("00000"&amp;ROW(),5))))))</f>
        <v/>
      </c>
      <c r="O671" s="16" t="str">
        <f aca="false">IF(N671="","",COUNTIFS($N$2:$N$1201,"&lt;"&amp;N671,$F$2:$F$1201,"&gt;0")+1)</f>
        <v/>
      </c>
    </row>
    <row r="672" customFormat="false" ht="15" hidden="false" customHeight="false" outlineLevel="0" collapsed="false">
      <c r="A672" s="11" t="str">
        <f aca="false">IF(_LEITURA!$N672="","",INDEX(_LEITURA!$K$2:$K$1201,_LEITURA!$N672))</f>
        <v/>
      </c>
      <c r="B672" s="11" t="str">
        <f aca="false">IF(_LEITURA!$N672="","",INDEX(_LEITURA!$E$2:$E$1201,_LEITURA!$N672))</f>
        <v/>
      </c>
      <c r="C672" s="11" t="str">
        <f aca="false">IF(_LEITURA!$N672="","",INDEX(_LEITURA!$J$2:$J$1201,_LEITURA!$N672))</f>
        <v/>
      </c>
      <c r="D672" s="16" t="str">
        <f aca="false">IF(_LEITURA!$N672="","",INDEX(_LEITURA!$G$2:$G$1201,_LEITURA!$N672))</f>
        <v/>
      </c>
      <c r="E672" s="16" t="str">
        <f aca="false">IF(B672="","",SUMIFS(INVENTÁRIO!$C$2:$C$801,INVENTÁRIO!$A$2:$A$801,B672))</f>
        <v/>
      </c>
      <c r="F672" s="16" t="str">
        <f aca="false">IF(B672="","",MAX(0,D672-E672))</f>
        <v/>
      </c>
      <c r="G672" s="16" t="str">
        <f aca="false">IF(B672="","",IF(COUNTIFS($B$2:$B$1201,B672,$A$2:$A$1201,"&lt;&gt;"&amp;A672)&gt;0,"Sim",""))</f>
        <v/>
      </c>
      <c r="H672" s="16" t="str">
        <f aca="false">IF(N(F672)&gt;0,MAX(H$1:H671)+1,"")</f>
        <v/>
      </c>
      <c r="I672" s="11" t="str">
        <f aca="false">IF(B672="","",IF(INDEX($C$2:$C$1201,MATCH(B672,$B$2:$B$1201,0))&lt;&gt;C672,"Nome diferente em outro deck — revisar",""))</f>
        <v/>
      </c>
      <c r="J672" s="16" t="str">
        <f aca="false">IF(AND(B672&lt;&gt;"",A672=BULK!$A$1,N(F672)&gt;0),MAX(J$1:J671)+1,"")</f>
        <v/>
      </c>
      <c r="K672" s="11" t="str">
        <f aca="false">IF(B672="","",IFERROR(LEFT(B672,FIND("-",B672)-1),B672))</f>
        <v/>
      </c>
      <c r="L672" s="11" t="str">
        <f aca="false">IF(K672="","",IF(ISNUMBER(--MID(K672,1,1)),0,IF(ISNUMBER(--MID(K672,2,1)),1,IF(ISNUMBER(--MID(K672,3,1)),2,IF(ISNUMBER(--MID(K672,4,1)),3,MIN(LEN(K672),4))))))</f>
        <v/>
      </c>
      <c r="M672" s="11" t="str">
        <f aca="false">IF(B672="","",LEFT(K672,L672)&amp;REPT("0",4-L672)&amp;RIGHT("000"&amp;IFERROR(VALUE(MID(K672,L672+1,9)),0),3)&amp;RIGHT("0000"&amp;IFERROR(VALUE(MID(B672,FIND("-",B672)+1,9)),0),4))</f>
        <v/>
      </c>
      <c r="N672" s="11" t="str">
        <f aca="false">IF(OR(B672="",N(F672)&lt;=0),"",IF('FALTAS POR DECK'!$P$1="Código","K"&amp;M672&amp;RIGHT("00000"&amp;ROW(),5),IF('FALTAS POR DECK'!$P$1="Nome","K"&amp;UPPER(SUBSTITUTE(SUBSTITUTE(SUBSTITUTE(C672,"*",""),"?",""),"~",""))&amp;"0"&amp;M672&amp;RIGHT("00000"&amp;ROW(),5),IF('FALTAS POR DECK'!$P$1="Falta (maior primeiro)","K"&amp;RIGHT("0000"&amp;(9999-F672),4)&amp;M672&amp;RIGHT("00000"&amp;ROW(),5),IF('FALTAS POR DECK'!$P$1="Deck e código","K"&amp;RIGHT("00"&amp;IFERROR(MATCH(A672,_LEITURA!$P$2:$P$21,0),99),2)&amp;M672&amp;RIGHT("00000"&amp;ROW(),5),"K"&amp;RIGHT("00000"&amp;ROW(),5))))))</f>
        <v/>
      </c>
      <c r="O672" s="16" t="str">
        <f aca="false">IF(N672="","",COUNTIFS($N$2:$N$1201,"&lt;"&amp;N672,$F$2:$F$1201,"&gt;0")+1)</f>
        <v/>
      </c>
    </row>
    <row r="673" customFormat="false" ht="15" hidden="false" customHeight="false" outlineLevel="0" collapsed="false">
      <c r="A673" s="11" t="str">
        <f aca="false">IF(_LEITURA!$N673="","",INDEX(_LEITURA!$K$2:$K$1201,_LEITURA!$N673))</f>
        <v/>
      </c>
      <c r="B673" s="11" t="str">
        <f aca="false">IF(_LEITURA!$N673="","",INDEX(_LEITURA!$E$2:$E$1201,_LEITURA!$N673))</f>
        <v/>
      </c>
      <c r="C673" s="11" t="str">
        <f aca="false">IF(_LEITURA!$N673="","",INDEX(_LEITURA!$J$2:$J$1201,_LEITURA!$N673))</f>
        <v/>
      </c>
      <c r="D673" s="16" t="str">
        <f aca="false">IF(_LEITURA!$N673="","",INDEX(_LEITURA!$G$2:$G$1201,_LEITURA!$N673))</f>
        <v/>
      </c>
      <c r="E673" s="16" t="str">
        <f aca="false">IF(B673="","",SUMIFS(INVENTÁRIO!$C$2:$C$801,INVENTÁRIO!$A$2:$A$801,B673))</f>
        <v/>
      </c>
      <c r="F673" s="16" t="str">
        <f aca="false">IF(B673="","",MAX(0,D673-E673))</f>
        <v/>
      </c>
      <c r="G673" s="16" t="str">
        <f aca="false">IF(B673="","",IF(COUNTIFS($B$2:$B$1201,B673,$A$2:$A$1201,"&lt;&gt;"&amp;A673)&gt;0,"Sim",""))</f>
        <v/>
      </c>
      <c r="H673" s="16" t="str">
        <f aca="false">IF(N(F673)&gt;0,MAX(H$1:H672)+1,"")</f>
        <v/>
      </c>
      <c r="I673" s="11" t="str">
        <f aca="false">IF(B673="","",IF(INDEX($C$2:$C$1201,MATCH(B673,$B$2:$B$1201,0))&lt;&gt;C673,"Nome diferente em outro deck — revisar",""))</f>
        <v/>
      </c>
      <c r="J673" s="16" t="str">
        <f aca="false">IF(AND(B673&lt;&gt;"",A673=BULK!$A$1,N(F673)&gt;0),MAX(J$1:J672)+1,"")</f>
        <v/>
      </c>
      <c r="K673" s="11" t="str">
        <f aca="false">IF(B673="","",IFERROR(LEFT(B673,FIND("-",B673)-1),B673))</f>
        <v/>
      </c>
      <c r="L673" s="11" t="str">
        <f aca="false">IF(K673="","",IF(ISNUMBER(--MID(K673,1,1)),0,IF(ISNUMBER(--MID(K673,2,1)),1,IF(ISNUMBER(--MID(K673,3,1)),2,IF(ISNUMBER(--MID(K673,4,1)),3,MIN(LEN(K673),4))))))</f>
        <v/>
      </c>
      <c r="M673" s="11" t="str">
        <f aca="false">IF(B673="","",LEFT(K673,L673)&amp;REPT("0",4-L673)&amp;RIGHT("000"&amp;IFERROR(VALUE(MID(K673,L673+1,9)),0),3)&amp;RIGHT("0000"&amp;IFERROR(VALUE(MID(B673,FIND("-",B673)+1,9)),0),4))</f>
        <v/>
      </c>
      <c r="N673" s="11" t="str">
        <f aca="false">IF(OR(B673="",N(F673)&lt;=0),"",IF('FALTAS POR DECK'!$P$1="Código","K"&amp;M673&amp;RIGHT("00000"&amp;ROW(),5),IF('FALTAS POR DECK'!$P$1="Nome","K"&amp;UPPER(SUBSTITUTE(SUBSTITUTE(SUBSTITUTE(C673,"*",""),"?",""),"~",""))&amp;"0"&amp;M673&amp;RIGHT("00000"&amp;ROW(),5),IF('FALTAS POR DECK'!$P$1="Falta (maior primeiro)","K"&amp;RIGHT("0000"&amp;(9999-F673),4)&amp;M673&amp;RIGHT("00000"&amp;ROW(),5),IF('FALTAS POR DECK'!$P$1="Deck e código","K"&amp;RIGHT("00"&amp;IFERROR(MATCH(A673,_LEITURA!$P$2:$P$21,0),99),2)&amp;M673&amp;RIGHT("00000"&amp;ROW(),5),"K"&amp;RIGHT("00000"&amp;ROW(),5))))))</f>
        <v/>
      </c>
      <c r="O673" s="16" t="str">
        <f aca="false">IF(N673="","",COUNTIFS($N$2:$N$1201,"&lt;"&amp;N673,$F$2:$F$1201,"&gt;0")+1)</f>
        <v/>
      </c>
    </row>
    <row r="674" customFormat="false" ht="15" hidden="false" customHeight="false" outlineLevel="0" collapsed="false">
      <c r="A674" s="11" t="str">
        <f aca="false">IF(_LEITURA!$N674="","",INDEX(_LEITURA!$K$2:$K$1201,_LEITURA!$N674))</f>
        <v/>
      </c>
      <c r="B674" s="11" t="str">
        <f aca="false">IF(_LEITURA!$N674="","",INDEX(_LEITURA!$E$2:$E$1201,_LEITURA!$N674))</f>
        <v/>
      </c>
      <c r="C674" s="11" t="str">
        <f aca="false">IF(_LEITURA!$N674="","",INDEX(_LEITURA!$J$2:$J$1201,_LEITURA!$N674))</f>
        <v/>
      </c>
      <c r="D674" s="16" t="str">
        <f aca="false">IF(_LEITURA!$N674="","",INDEX(_LEITURA!$G$2:$G$1201,_LEITURA!$N674))</f>
        <v/>
      </c>
      <c r="E674" s="16" t="str">
        <f aca="false">IF(B674="","",SUMIFS(INVENTÁRIO!$C$2:$C$801,INVENTÁRIO!$A$2:$A$801,B674))</f>
        <v/>
      </c>
      <c r="F674" s="16" t="str">
        <f aca="false">IF(B674="","",MAX(0,D674-E674))</f>
        <v/>
      </c>
      <c r="G674" s="16" t="str">
        <f aca="false">IF(B674="","",IF(COUNTIFS($B$2:$B$1201,B674,$A$2:$A$1201,"&lt;&gt;"&amp;A674)&gt;0,"Sim",""))</f>
        <v/>
      </c>
      <c r="H674" s="16" t="str">
        <f aca="false">IF(N(F674)&gt;0,MAX(H$1:H673)+1,"")</f>
        <v/>
      </c>
      <c r="I674" s="11" t="str">
        <f aca="false">IF(B674="","",IF(INDEX($C$2:$C$1201,MATCH(B674,$B$2:$B$1201,0))&lt;&gt;C674,"Nome diferente em outro deck — revisar",""))</f>
        <v/>
      </c>
      <c r="J674" s="16" t="str">
        <f aca="false">IF(AND(B674&lt;&gt;"",A674=BULK!$A$1,N(F674)&gt;0),MAX(J$1:J673)+1,"")</f>
        <v/>
      </c>
      <c r="K674" s="11" t="str">
        <f aca="false">IF(B674="","",IFERROR(LEFT(B674,FIND("-",B674)-1),B674))</f>
        <v/>
      </c>
      <c r="L674" s="11" t="str">
        <f aca="false">IF(K674="","",IF(ISNUMBER(--MID(K674,1,1)),0,IF(ISNUMBER(--MID(K674,2,1)),1,IF(ISNUMBER(--MID(K674,3,1)),2,IF(ISNUMBER(--MID(K674,4,1)),3,MIN(LEN(K674),4))))))</f>
        <v/>
      </c>
      <c r="M674" s="11" t="str">
        <f aca="false">IF(B674="","",LEFT(K674,L674)&amp;REPT("0",4-L674)&amp;RIGHT("000"&amp;IFERROR(VALUE(MID(K674,L674+1,9)),0),3)&amp;RIGHT("0000"&amp;IFERROR(VALUE(MID(B674,FIND("-",B674)+1,9)),0),4))</f>
        <v/>
      </c>
      <c r="N674" s="11" t="str">
        <f aca="false">IF(OR(B674="",N(F674)&lt;=0),"",IF('FALTAS POR DECK'!$P$1="Código","K"&amp;M674&amp;RIGHT("00000"&amp;ROW(),5),IF('FALTAS POR DECK'!$P$1="Nome","K"&amp;UPPER(SUBSTITUTE(SUBSTITUTE(SUBSTITUTE(C674,"*",""),"?",""),"~",""))&amp;"0"&amp;M674&amp;RIGHT("00000"&amp;ROW(),5),IF('FALTAS POR DECK'!$P$1="Falta (maior primeiro)","K"&amp;RIGHT("0000"&amp;(9999-F674),4)&amp;M674&amp;RIGHT("00000"&amp;ROW(),5),IF('FALTAS POR DECK'!$P$1="Deck e código","K"&amp;RIGHT("00"&amp;IFERROR(MATCH(A674,_LEITURA!$P$2:$P$21,0),99),2)&amp;M674&amp;RIGHT("00000"&amp;ROW(),5),"K"&amp;RIGHT("00000"&amp;ROW(),5))))))</f>
        <v/>
      </c>
      <c r="O674" s="16" t="str">
        <f aca="false">IF(N674="","",COUNTIFS($N$2:$N$1201,"&lt;"&amp;N674,$F$2:$F$1201,"&gt;0")+1)</f>
        <v/>
      </c>
    </row>
    <row r="675" customFormat="false" ht="15" hidden="false" customHeight="false" outlineLevel="0" collapsed="false">
      <c r="A675" s="11" t="str">
        <f aca="false">IF(_LEITURA!$N675="","",INDEX(_LEITURA!$K$2:$K$1201,_LEITURA!$N675))</f>
        <v/>
      </c>
      <c r="B675" s="11" t="str">
        <f aca="false">IF(_LEITURA!$N675="","",INDEX(_LEITURA!$E$2:$E$1201,_LEITURA!$N675))</f>
        <v/>
      </c>
      <c r="C675" s="11" t="str">
        <f aca="false">IF(_LEITURA!$N675="","",INDEX(_LEITURA!$J$2:$J$1201,_LEITURA!$N675))</f>
        <v/>
      </c>
      <c r="D675" s="16" t="str">
        <f aca="false">IF(_LEITURA!$N675="","",INDEX(_LEITURA!$G$2:$G$1201,_LEITURA!$N675))</f>
        <v/>
      </c>
      <c r="E675" s="16" t="str">
        <f aca="false">IF(B675="","",SUMIFS(INVENTÁRIO!$C$2:$C$801,INVENTÁRIO!$A$2:$A$801,B675))</f>
        <v/>
      </c>
      <c r="F675" s="16" t="str">
        <f aca="false">IF(B675="","",MAX(0,D675-E675))</f>
        <v/>
      </c>
      <c r="G675" s="16" t="str">
        <f aca="false">IF(B675="","",IF(COUNTIFS($B$2:$B$1201,B675,$A$2:$A$1201,"&lt;&gt;"&amp;A675)&gt;0,"Sim",""))</f>
        <v/>
      </c>
      <c r="H675" s="16" t="str">
        <f aca="false">IF(N(F675)&gt;0,MAX(H$1:H674)+1,"")</f>
        <v/>
      </c>
      <c r="I675" s="11" t="str">
        <f aca="false">IF(B675="","",IF(INDEX($C$2:$C$1201,MATCH(B675,$B$2:$B$1201,0))&lt;&gt;C675,"Nome diferente em outro deck — revisar",""))</f>
        <v/>
      </c>
      <c r="J675" s="16" t="str">
        <f aca="false">IF(AND(B675&lt;&gt;"",A675=BULK!$A$1,N(F675)&gt;0),MAX(J$1:J674)+1,"")</f>
        <v/>
      </c>
      <c r="K675" s="11" t="str">
        <f aca="false">IF(B675="","",IFERROR(LEFT(B675,FIND("-",B675)-1),B675))</f>
        <v/>
      </c>
      <c r="L675" s="11" t="str">
        <f aca="false">IF(K675="","",IF(ISNUMBER(--MID(K675,1,1)),0,IF(ISNUMBER(--MID(K675,2,1)),1,IF(ISNUMBER(--MID(K675,3,1)),2,IF(ISNUMBER(--MID(K675,4,1)),3,MIN(LEN(K675),4))))))</f>
        <v/>
      </c>
      <c r="M675" s="11" t="str">
        <f aca="false">IF(B675="","",LEFT(K675,L675)&amp;REPT("0",4-L675)&amp;RIGHT("000"&amp;IFERROR(VALUE(MID(K675,L675+1,9)),0),3)&amp;RIGHT("0000"&amp;IFERROR(VALUE(MID(B675,FIND("-",B675)+1,9)),0),4))</f>
        <v/>
      </c>
      <c r="N675" s="11" t="str">
        <f aca="false">IF(OR(B675="",N(F675)&lt;=0),"",IF('FALTAS POR DECK'!$P$1="Código","K"&amp;M675&amp;RIGHT("00000"&amp;ROW(),5),IF('FALTAS POR DECK'!$P$1="Nome","K"&amp;UPPER(SUBSTITUTE(SUBSTITUTE(SUBSTITUTE(C675,"*",""),"?",""),"~",""))&amp;"0"&amp;M675&amp;RIGHT("00000"&amp;ROW(),5),IF('FALTAS POR DECK'!$P$1="Falta (maior primeiro)","K"&amp;RIGHT("0000"&amp;(9999-F675),4)&amp;M675&amp;RIGHT("00000"&amp;ROW(),5),IF('FALTAS POR DECK'!$P$1="Deck e código","K"&amp;RIGHT("00"&amp;IFERROR(MATCH(A675,_LEITURA!$P$2:$P$21,0),99),2)&amp;M675&amp;RIGHT("00000"&amp;ROW(),5),"K"&amp;RIGHT("00000"&amp;ROW(),5))))))</f>
        <v/>
      </c>
      <c r="O675" s="16" t="str">
        <f aca="false">IF(N675="","",COUNTIFS($N$2:$N$1201,"&lt;"&amp;N675,$F$2:$F$1201,"&gt;0")+1)</f>
        <v/>
      </c>
    </row>
    <row r="676" customFormat="false" ht="15" hidden="false" customHeight="false" outlineLevel="0" collapsed="false">
      <c r="A676" s="11" t="str">
        <f aca="false">IF(_LEITURA!$N676="","",INDEX(_LEITURA!$K$2:$K$1201,_LEITURA!$N676))</f>
        <v/>
      </c>
      <c r="B676" s="11" t="str">
        <f aca="false">IF(_LEITURA!$N676="","",INDEX(_LEITURA!$E$2:$E$1201,_LEITURA!$N676))</f>
        <v/>
      </c>
      <c r="C676" s="11" t="str">
        <f aca="false">IF(_LEITURA!$N676="","",INDEX(_LEITURA!$J$2:$J$1201,_LEITURA!$N676))</f>
        <v/>
      </c>
      <c r="D676" s="16" t="str">
        <f aca="false">IF(_LEITURA!$N676="","",INDEX(_LEITURA!$G$2:$G$1201,_LEITURA!$N676))</f>
        <v/>
      </c>
      <c r="E676" s="16" t="str">
        <f aca="false">IF(B676="","",SUMIFS(INVENTÁRIO!$C$2:$C$801,INVENTÁRIO!$A$2:$A$801,B676))</f>
        <v/>
      </c>
      <c r="F676" s="16" t="str">
        <f aca="false">IF(B676="","",MAX(0,D676-E676))</f>
        <v/>
      </c>
      <c r="G676" s="16" t="str">
        <f aca="false">IF(B676="","",IF(COUNTIFS($B$2:$B$1201,B676,$A$2:$A$1201,"&lt;&gt;"&amp;A676)&gt;0,"Sim",""))</f>
        <v/>
      </c>
      <c r="H676" s="16" t="str">
        <f aca="false">IF(N(F676)&gt;0,MAX(H$1:H675)+1,"")</f>
        <v/>
      </c>
      <c r="I676" s="11" t="str">
        <f aca="false">IF(B676="","",IF(INDEX($C$2:$C$1201,MATCH(B676,$B$2:$B$1201,0))&lt;&gt;C676,"Nome diferente em outro deck — revisar",""))</f>
        <v/>
      </c>
      <c r="J676" s="16" t="str">
        <f aca="false">IF(AND(B676&lt;&gt;"",A676=BULK!$A$1,N(F676)&gt;0),MAX(J$1:J675)+1,"")</f>
        <v/>
      </c>
      <c r="K676" s="11" t="str">
        <f aca="false">IF(B676="","",IFERROR(LEFT(B676,FIND("-",B676)-1),B676))</f>
        <v/>
      </c>
      <c r="L676" s="11" t="str">
        <f aca="false">IF(K676="","",IF(ISNUMBER(--MID(K676,1,1)),0,IF(ISNUMBER(--MID(K676,2,1)),1,IF(ISNUMBER(--MID(K676,3,1)),2,IF(ISNUMBER(--MID(K676,4,1)),3,MIN(LEN(K676),4))))))</f>
        <v/>
      </c>
      <c r="M676" s="11" t="str">
        <f aca="false">IF(B676="","",LEFT(K676,L676)&amp;REPT("0",4-L676)&amp;RIGHT("000"&amp;IFERROR(VALUE(MID(K676,L676+1,9)),0),3)&amp;RIGHT("0000"&amp;IFERROR(VALUE(MID(B676,FIND("-",B676)+1,9)),0),4))</f>
        <v/>
      </c>
      <c r="N676" s="11" t="str">
        <f aca="false">IF(OR(B676="",N(F676)&lt;=0),"",IF('FALTAS POR DECK'!$P$1="Código","K"&amp;M676&amp;RIGHT("00000"&amp;ROW(),5),IF('FALTAS POR DECK'!$P$1="Nome","K"&amp;UPPER(SUBSTITUTE(SUBSTITUTE(SUBSTITUTE(C676,"*",""),"?",""),"~",""))&amp;"0"&amp;M676&amp;RIGHT("00000"&amp;ROW(),5),IF('FALTAS POR DECK'!$P$1="Falta (maior primeiro)","K"&amp;RIGHT("0000"&amp;(9999-F676),4)&amp;M676&amp;RIGHT("00000"&amp;ROW(),5),IF('FALTAS POR DECK'!$P$1="Deck e código","K"&amp;RIGHT("00"&amp;IFERROR(MATCH(A676,_LEITURA!$P$2:$P$21,0),99),2)&amp;M676&amp;RIGHT("00000"&amp;ROW(),5),"K"&amp;RIGHT("00000"&amp;ROW(),5))))))</f>
        <v/>
      </c>
      <c r="O676" s="16" t="str">
        <f aca="false">IF(N676="","",COUNTIFS($N$2:$N$1201,"&lt;"&amp;N676,$F$2:$F$1201,"&gt;0")+1)</f>
        <v/>
      </c>
    </row>
    <row r="677" customFormat="false" ht="15" hidden="false" customHeight="false" outlineLevel="0" collapsed="false">
      <c r="A677" s="11" t="str">
        <f aca="false">IF(_LEITURA!$N677="","",INDEX(_LEITURA!$K$2:$K$1201,_LEITURA!$N677))</f>
        <v/>
      </c>
      <c r="B677" s="11" t="str">
        <f aca="false">IF(_LEITURA!$N677="","",INDEX(_LEITURA!$E$2:$E$1201,_LEITURA!$N677))</f>
        <v/>
      </c>
      <c r="C677" s="11" t="str">
        <f aca="false">IF(_LEITURA!$N677="","",INDEX(_LEITURA!$J$2:$J$1201,_LEITURA!$N677))</f>
        <v/>
      </c>
      <c r="D677" s="16" t="str">
        <f aca="false">IF(_LEITURA!$N677="","",INDEX(_LEITURA!$G$2:$G$1201,_LEITURA!$N677))</f>
        <v/>
      </c>
      <c r="E677" s="16" t="str">
        <f aca="false">IF(B677="","",SUMIFS(INVENTÁRIO!$C$2:$C$801,INVENTÁRIO!$A$2:$A$801,B677))</f>
        <v/>
      </c>
      <c r="F677" s="16" t="str">
        <f aca="false">IF(B677="","",MAX(0,D677-E677))</f>
        <v/>
      </c>
      <c r="G677" s="16" t="str">
        <f aca="false">IF(B677="","",IF(COUNTIFS($B$2:$B$1201,B677,$A$2:$A$1201,"&lt;&gt;"&amp;A677)&gt;0,"Sim",""))</f>
        <v/>
      </c>
      <c r="H677" s="16" t="str">
        <f aca="false">IF(N(F677)&gt;0,MAX(H$1:H676)+1,"")</f>
        <v/>
      </c>
      <c r="I677" s="11" t="str">
        <f aca="false">IF(B677="","",IF(INDEX($C$2:$C$1201,MATCH(B677,$B$2:$B$1201,0))&lt;&gt;C677,"Nome diferente em outro deck — revisar",""))</f>
        <v/>
      </c>
      <c r="J677" s="16" t="str">
        <f aca="false">IF(AND(B677&lt;&gt;"",A677=BULK!$A$1,N(F677)&gt;0),MAX(J$1:J676)+1,"")</f>
        <v/>
      </c>
      <c r="K677" s="11" t="str">
        <f aca="false">IF(B677="","",IFERROR(LEFT(B677,FIND("-",B677)-1),B677))</f>
        <v/>
      </c>
      <c r="L677" s="11" t="str">
        <f aca="false">IF(K677="","",IF(ISNUMBER(--MID(K677,1,1)),0,IF(ISNUMBER(--MID(K677,2,1)),1,IF(ISNUMBER(--MID(K677,3,1)),2,IF(ISNUMBER(--MID(K677,4,1)),3,MIN(LEN(K677),4))))))</f>
        <v/>
      </c>
      <c r="M677" s="11" t="str">
        <f aca="false">IF(B677="","",LEFT(K677,L677)&amp;REPT("0",4-L677)&amp;RIGHT("000"&amp;IFERROR(VALUE(MID(K677,L677+1,9)),0),3)&amp;RIGHT("0000"&amp;IFERROR(VALUE(MID(B677,FIND("-",B677)+1,9)),0),4))</f>
        <v/>
      </c>
      <c r="N677" s="11" t="str">
        <f aca="false">IF(OR(B677="",N(F677)&lt;=0),"",IF('FALTAS POR DECK'!$P$1="Código","K"&amp;M677&amp;RIGHT("00000"&amp;ROW(),5),IF('FALTAS POR DECK'!$P$1="Nome","K"&amp;UPPER(SUBSTITUTE(SUBSTITUTE(SUBSTITUTE(C677,"*",""),"?",""),"~",""))&amp;"0"&amp;M677&amp;RIGHT("00000"&amp;ROW(),5),IF('FALTAS POR DECK'!$P$1="Falta (maior primeiro)","K"&amp;RIGHT("0000"&amp;(9999-F677),4)&amp;M677&amp;RIGHT("00000"&amp;ROW(),5),IF('FALTAS POR DECK'!$P$1="Deck e código","K"&amp;RIGHT("00"&amp;IFERROR(MATCH(A677,_LEITURA!$P$2:$P$21,0),99),2)&amp;M677&amp;RIGHT("00000"&amp;ROW(),5),"K"&amp;RIGHT("00000"&amp;ROW(),5))))))</f>
        <v/>
      </c>
      <c r="O677" s="16" t="str">
        <f aca="false">IF(N677="","",COUNTIFS($N$2:$N$1201,"&lt;"&amp;N677,$F$2:$F$1201,"&gt;0")+1)</f>
        <v/>
      </c>
    </row>
    <row r="678" customFormat="false" ht="15" hidden="false" customHeight="false" outlineLevel="0" collapsed="false">
      <c r="A678" s="11" t="str">
        <f aca="false">IF(_LEITURA!$N678="","",INDEX(_LEITURA!$K$2:$K$1201,_LEITURA!$N678))</f>
        <v/>
      </c>
      <c r="B678" s="11" t="str">
        <f aca="false">IF(_LEITURA!$N678="","",INDEX(_LEITURA!$E$2:$E$1201,_LEITURA!$N678))</f>
        <v/>
      </c>
      <c r="C678" s="11" t="str">
        <f aca="false">IF(_LEITURA!$N678="","",INDEX(_LEITURA!$J$2:$J$1201,_LEITURA!$N678))</f>
        <v/>
      </c>
      <c r="D678" s="16" t="str">
        <f aca="false">IF(_LEITURA!$N678="","",INDEX(_LEITURA!$G$2:$G$1201,_LEITURA!$N678))</f>
        <v/>
      </c>
      <c r="E678" s="16" t="str">
        <f aca="false">IF(B678="","",SUMIFS(INVENTÁRIO!$C$2:$C$801,INVENTÁRIO!$A$2:$A$801,B678))</f>
        <v/>
      </c>
      <c r="F678" s="16" t="str">
        <f aca="false">IF(B678="","",MAX(0,D678-E678))</f>
        <v/>
      </c>
      <c r="G678" s="16" t="str">
        <f aca="false">IF(B678="","",IF(COUNTIFS($B$2:$B$1201,B678,$A$2:$A$1201,"&lt;&gt;"&amp;A678)&gt;0,"Sim",""))</f>
        <v/>
      </c>
      <c r="H678" s="16" t="str">
        <f aca="false">IF(N(F678)&gt;0,MAX(H$1:H677)+1,"")</f>
        <v/>
      </c>
      <c r="I678" s="11" t="str">
        <f aca="false">IF(B678="","",IF(INDEX($C$2:$C$1201,MATCH(B678,$B$2:$B$1201,0))&lt;&gt;C678,"Nome diferente em outro deck — revisar",""))</f>
        <v/>
      </c>
      <c r="J678" s="16" t="str">
        <f aca="false">IF(AND(B678&lt;&gt;"",A678=BULK!$A$1,N(F678)&gt;0),MAX(J$1:J677)+1,"")</f>
        <v/>
      </c>
      <c r="K678" s="11" t="str">
        <f aca="false">IF(B678="","",IFERROR(LEFT(B678,FIND("-",B678)-1),B678))</f>
        <v/>
      </c>
      <c r="L678" s="11" t="str">
        <f aca="false">IF(K678="","",IF(ISNUMBER(--MID(K678,1,1)),0,IF(ISNUMBER(--MID(K678,2,1)),1,IF(ISNUMBER(--MID(K678,3,1)),2,IF(ISNUMBER(--MID(K678,4,1)),3,MIN(LEN(K678),4))))))</f>
        <v/>
      </c>
      <c r="M678" s="11" t="str">
        <f aca="false">IF(B678="","",LEFT(K678,L678)&amp;REPT("0",4-L678)&amp;RIGHT("000"&amp;IFERROR(VALUE(MID(K678,L678+1,9)),0),3)&amp;RIGHT("0000"&amp;IFERROR(VALUE(MID(B678,FIND("-",B678)+1,9)),0),4))</f>
        <v/>
      </c>
      <c r="N678" s="11" t="str">
        <f aca="false">IF(OR(B678="",N(F678)&lt;=0),"",IF('FALTAS POR DECK'!$P$1="Código","K"&amp;M678&amp;RIGHT("00000"&amp;ROW(),5),IF('FALTAS POR DECK'!$P$1="Nome","K"&amp;UPPER(SUBSTITUTE(SUBSTITUTE(SUBSTITUTE(C678,"*",""),"?",""),"~",""))&amp;"0"&amp;M678&amp;RIGHT("00000"&amp;ROW(),5),IF('FALTAS POR DECK'!$P$1="Falta (maior primeiro)","K"&amp;RIGHT("0000"&amp;(9999-F678),4)&amp;M678&amp;RIGHT("00000"&amp;ROW(),5),IF('FALTAS POR DECK'!$P$1="Deck e código","K"&amp;RIGHT("00"&amp;IFERROR(MATCH(A678,_LEITURA!$P$2:$P$21,0),99),2)&amp;M678&amp;RIGHT("00000"&amp;ROW(),5),"K"&amp;RIGHT("00000"&amp;ROW(),5))))))</f>
        <v/>
      </c>
      <c r="O678" s="16" t="str">
        <f aca="false">IF(N678="","",COUNTIFS($N$2:$N$1201,"&lt;"&amp;N678,$F$2:$F$1201,"&gt;0")+1)</f>
        <v/>
      </c>
    </row>
    <row r="679" customFormat="false" ht="15" hidden="false" customHeight="false" outlineLevel="0" collapsed="false">
      <c r="A679" s="11" t="str">
        <f aca="false">IF(_LEITURA!$N679="","",INDEX(_LEITURA!$K$2:$K$1201,_LEITURA!$N679))</f>
        <v/>
      </c>
      <c r="B679" s="11" t="str">
        <f aca="false">IF(_LEITURA!$N679="","",INDEX(_LEITURA!$E$2:$E$1201,_LEITURA!$N679))</f>
        <v/>
      </c>
      <c r="C679" s="11" t="str">
        <f aca="false">IF(_LEITURA!$N679="","",INDEX(_LEITURA!$J$2:$J$1201,_LEITURA!$N679))</f>
        <v/>
      </c>
      <c r="D679" s="16" t="str">
        <f aca="false">IF(_LEITURA!$N679="","",INDEX(_LEITURA!$G$2:$G$1201,_LEITURA!$N679))</f>
        <v/>
      </c>
      <c r="E679" s="16" t="str">
        <f aca="false">IF(B679="","",SUMIFS(INVENTÁRIO!$C$2:$C$801,INVENTÁRIO!$A$2:$A$801,B679))</f>
        <v/>
      </c>
      <c r="F679" s="16" t="str">
        <f aca="false">IF(B679="","",MAX(0,D679-E679))</f>
        <v/>
      </c>
      <c r="G679" s="16" t="str">
        <f aca="false">IF(B679="","",IF(COUNTIFS($B$2:$B$1201,B679,$A$2:$A$1201,"&lt;&gt;"&amp;A679)&gt;0,"Sim",""))</f>
        <v/>
      </c>
      <c r="H679" s="16" t="str">
        <f aca="false">IF(N(F679)&gt;0,MAX(H$1:H678)+1,"")</f>
        <v/>
      </c>
      <c r="I679" s="11" t="str">
        <f aca="false">IF(B679="","",IF(INDEX($C$2:$C$1201,MATCH(B679,$B$2:$B$1201,0))&lt;&gt;C679,"Nome diferente em outro deck — revisar",""))</f>
        <v/>
      </c>
      <c r="J679" s="16" t="str">
        <f aca="false">IF(AND(B679&lt;&gt;"",A679=BULK!$A$1,N(F679)&gt;0),MAX(J$1:J678)+1,"")</f>
        <v/>
      </c>
      <c r="K679" s="11" t="str">
        <f aca="false">IF(B679="","",IFERROR(LEFT(B679,FIND("-",B679)-1),B679))</f>
        <v/>
      </c>
      <c r="L679" s="11" t="str">
        <f aca="false">IF(K679="","",IF(ISNUMBER(--MID(K679,1,1)),0,IF(ISNUMBER(--MID(K679,2,1)),1,IF(ISNUMBER(--MID(K679,3,1)),2,IF(ISNUMBER(--MID(K679,4,1)),3,MIN(LEN(K679),4))))))</f>
        <v/>
      </c>
      <c r="M679" s="11" t="str">
        <f aca="false">IF(B679="","",LEFT(K679,L679)&amp;REPT("0",4-L679)&amp;RIGHT("000"&amp;IFERROR(VALUE(MID(K679,L679+1,9)),0),3)&amp;RIGHT("0000"&amp;IFERROR(VALUE(MID(B679,FIND("-",B679)+1,9)),0),4))</f>
        <v/>
      </c>
      <c r="N679" s="11" t="str">
        <f aca="false">IF(OR(B679="",N(F679)&lt;=0),"",IF('FALTAS POR DECK'!$P$1="Código","K"&amp;M679&amp;RIGHT("00000"&amp;ROW(),5),IF('FALTAS POR DECK'!$P$1="Nome","K"&amp;UPPER(SUBSTITUTE(SUBSTITUTE(SUBSTITUTE(C679,"*",""),"?",""),"~",""))&amp;"0"&amp;M679&amp;RIGHT("00000"&amp;ROW(),5),IF('FALTAS POR DECK'!$P$1="Falta (maior primeiro)","K"&amp;RIGHT("0000"&amp;(9999-F679),4)&amp;M679&amp;RIGHT("00000"&amp;ROW(),5),IF('FALTAS POR DECK'!$P$1="Deck e código","K"&amp;RIGHT("00"&amp;IFERROR(MATCH(A679,_LEITURA!$P$2:$P$21,0),99),2)&amp;M679&amp;RIGHT("00000"&amp;ROW(),5),"K"&amp;RIGHT("00000"&amp;ROW(),5))))))</f>
        <v/>
      </c>
      <c r="O679" s="16" t="str">
        <f aca="false">IF(N679="","",COUNTIFS($N$2:$N$1201,"&lt;"&amp;N679,$F$2:$F$1201,"&gt;0")+1)</f>
        <v/>
      </c>
    </row>
    <row r="680" customFormat="false" ht="15" hidden="false" customHeight="false" outlineLevel="0" collapsed="false">
      <c r="A680" s="11" t="str">
        <f aca="false">IF(_LEITURA!$N680="","",INDEX(_LEITURA!$K$2:$K$1201,_LEITURA!$N680))</f>
        <v/>
      </c>
      <c r="B680" s="11" t="str">
        <f aca="false">IF(_LEITURA!$N680="","",INDEX(_LEITURA!$E$2:$E$1201,_LEITURA!$N680))</f>
        <v/>
      </c>
      <c r="C680" s="11" t="str">
        <f aca="false">IF(_LEITURA!$N680="","",INDEX(_LEITURA!$J$2:$J$1201,_LEITURA!$N680))</f>
        <v/>
      </c>
      <c r="D680" s="16" t="str">
        <f aca="false">IF(_LEITURA!$N680="","",INDEX(_LEITURA!$G$2:$G$1201,_LEITURA!$N680))</f>
        <v/>
      </c>
      <c r="E680" s="16" t="str">
        <f aca="false">IF(B680="","",SUMIFS(INVENTÁRIO!$C$2:$C$801,INVENTÁRIO!$A$2:$A$801,B680))</f>
        <v/>
      </c>
      <c r="F680" s="16" t="str">
        <f aca="false">IF(B680="","",MAX(0,D680-E680))</f>
        <v/>
      </c>
      <c r="G680" s="16" t="str">
        <f aca="false">IF(B680="","",IF(COUNTIFS($B$2:$B$1201,B680,$A$2:$A$1201,"&lt;&gt;"&amp;A680)&gt;0,"Sim",""))</f>
        <v/>
      </c>
      <c r="H680" s="16" t="str">
        <f aca="false">IF(N(F680)&gt;0,MAX(H$1:H679)+1,"")</f>
        <v/>
      </c>
      <c r="I680" s="11" t="str">
        <f aca="false">IF(B680="","",IF(INDEX($C$2:$C$1201,MATCH(B680,$B$2:$B$1201,0))&lt;&gt;C680,"Nome diferente em outro deck — revisar",""))</f>
        <v/>
      </c>
      <c r="J680" s="16" t="str">
        <f aca="false">IF(AND(B680&lt;&gt;"",A680=BULK!$A$1,N(F680)&gt;0),MAX(J$1:J679)+1,"")</f>
        <v/>
      </c>
      <c r="K680" s="11" t="str">
        <f aca="false">IF(B680="","",IFERROR(LEFT(B680,FIND("-",B680)-1),B680))</f>
        <v/>
      </c>
      <c r="L680" s="11" t="str">
        <f aca="false">IF(K680="","",IF(ISNUMBER(--MID(K680,1,1)),0,IF(ISNUMBER(--MID(K680,2,1)),1,IF(ISNUMBER(--MID(K680,3,1)),2,IF(ISNUMBER(--MID(K680,4,1)),3,MIN(LEN(K680),4))))))</f>
        <v/>
      </c>
      <c r="M680" s="11" t="str">
        <f aca="false">IF(B680="","",LEFT(K680,L680)&amp;REPT("0",4-L680)&amp;RIGHT("000"&amp;IFERROR(VALUE(MID(K680,L680+1,9)),0),3)&amp;RIGHT("0000"&amp;IFERROR(VALUE(MID(B680,FIND("-",B680)+1,9)),0),4))</f>
        <v/>
      </c>
      <c r="N680" s="11" t="str">
        <f aca="false">IF(OR(B680="",N(F680)&lt;=0),"",IF('FALTAS POR DECK'!$P$1="Código","K"&amp;M680&amp;RIGHT("00000"&amp;ROW(),5),IF('FALTAS POR DECK'!$P$1="Nome","K"&amp;UPPER(SUBSTITUTE(SUBSTITUTE(SUBSTITUTE(C680,"*",""),"?",""),"~",""))&amp;"0"&amp;M680&amp;RIGHT("00000"&amp;ROW(),5),IF('FALTAS POR DECK'!$P$1="Falta (maior primeiro)","K"&amp;RIGHT("0000"&amp;(9999-F680),4)&amp;M680&amp;RIGHT("00000"&amp;ROW(),5),IF('FALTAS POR DECK'!$P$1="Deck e código","K"&amp;RIGHT("00"&amp;IFERROR(MATCH(A680,_LEITURA!$P$2:$P$21,0),99),2)&amp;M680&amp;RIGHT("00000"&amp;ROW(),5),"K"&amp;RIGHT("00000"&amp;ROW(),5))))))</f>
        <v/>
      </c>
      <c r="O680" s="16" t="str">
        <f aca="false">IF(N680="","",COUNTIFS($N$2:$N$1201,"&lt;"&amp;N680,$F$2:$F$1201,"&gt;0")+1)</f>
        <v/>
      </c>
    </row>
    <row r="681" customFormat="false" ht="15" hidden="false" customHeight="false" outlineLevel="0" collapsed="false">
      <c r="A681" s="11" t="str">
        <f aca="false">IF(_LEITURA!$N681="","",INDEX(_LEITURA!$K$2:$K$1201,_LEITURA!$N681))</f>
        <v/>
      </c>
      <c r="B681" s="11" t="str">
        <f aca="false">IF(_LEITURA!$N681="","",INDEX(_LEITURA!$E$2:$E$1201,_LEITURA!$N681))</f>
        <v/>
      </c>
      <c r="C681" s="11" t="str">
        <f aca="false">IF(_LEITURA!$N681="","",INDEX(_LEITURA!$J$2:$J$1201,_LEITURA!$N681))</f>
        <v/>
      </c>
      <c r="D681" s="16" t="str">
        <f aca="false">IF(_LEITURA!$N681="","",INDEX(_LEITURA!$G$2:$G$1201,_LEITURA!$N681))</f>
        <v/>
      </c>
      <c r="E681" s="16" t="str">
        <f aca="false">IF(B681="","",SUMIFS(INVENTÁRIO!$C$2:$C$801,INVENTÁRIO!$A$2:$A$801,B681))</f>
        <v/>
      </c>
      <c r="F681" s="16" t="str">
        <f aca="false">IF(B681="","",MAX(0,D681-E681))</f>
        <v/>
      </c>
      <c r="G681" s="16" t="str">
        <f aca="false">IF(B681="","",IF(COUNTIFS($B$2:$B$1201,B681,$A$2:$A$1201,"&lt;&gt;"&amp;A681)&gt;0,"Sim",""))</f>
        <v/>
      </c>
      <c r="H681" s="16" t="str">
        <f aca="false">IF(N(F681)&gt;0,MAX(H$1:H680)+1,"")</f>
        <v/>
      </c>
      <c r="I681" s="11" t="str">
        <f aca="false">IF(B681="","",IF(INDEX($C$2:$C$1201,MATCH(B681,$B$2:$B$1201,0))&lt;&gt;C681,"Nome diferente em outro deck — revisar",""))</f>
        <v/>
      </c>
      <c r="J681" s="16" t="str">
        <f aca="false">IF(AND(B681&lt;&gt;"",A681=BULK!$A$1,N(F681)&gt;0),MAX(J$1:J680)+1,"")</f>
        <v/>
      </c>
      <c r="K681" s="11" t="str">
        <f aca="false">IF(B681="","",IFERROR(LEFT(B681,FIND("-",B681)-1),B681))</f>
        <v/>
      </c>
      <c r="L681" s="11" t="str">
        <f aca="false">IF(K681="","",IF(ISNUMBER(--MID(K681,1,1)),0,IF(ISNUMBER(--MID(K681,2,1)),1,IF(ISNUMBER(--MID(K681,3,1)),2,IF(ISNUMBER(--MID(K681,4,1)),3,MIN(LEN(K681),4))))))</f>
        <v/>
      </c>
      <c r="M681" s="11" t="str">
        <f aca="false">IF(B681="","",LEFT(K681,L681)&amp;REPT("0",4-L681)&amp;RIGHT("000"&amp;IFERROR(VALUE(MID(K681,L681+1,9)),0),3)&amp;RIGHT("0000"&amp;IFERROR(VALUE(MID(B681,FIND("-",B681)+1,9)),0),4))</f>
        <v/>
      </c>
      <c r="N681" s="11" t="str">
        <f aca="false">IF(OR(B681="",N(F681)&lt;=0),"",IF('FALTAS POR DECK'!$P$1="Código","K"&amp;M681&amp;RIGHT("00000"&amp;ROW(),5),IF('FALTAS POR DECK'!$P$1="Nome","K"&amp;UPPER(SUBSTITUTE(SUBSTITUTE(SUBSTITUTE(C681,"*",""),"?",""),"~",""))&amp;"0"&amp;M681&amp;RIGHT("00000"&amp;ROW(),5),IF('FALTAS POR DECK'!$P$1="Falta (maior primeiro)","K"&amp;RIGHT("0000"&amp;(9999-F681),4)&amp;M681&amp;RIGHT("00000"&amp;ROW(),5),IF('FALTAS POR DECK'!$P$1="Deck e código","K"&amp;RIGHT("00"&amp;IFERROR(MATCH(A681,_LEITURA!$P$2:$P$21,0),99),2)&amp;M681&amp;RIGHT("00000"&amp;ROW(),5),"K"&amp;RIGHT("00000"&amp;ROW(),5))))))</f>
        <v/>
      </c>
      <c r="O681" s="16" t="str">
        <f aca="false">IF(N681="","",COUNTIFS($N$2:$N$1201,"&lt;"&amp;N681,$F$2:$F$1201,"&gt;0")+1)</f>
        <v/>
      </c>
    </row>
    <row r="682" customFormat="false" ht="15" hidden="false" customHeight="false" outlineLevel="0" collapsed="false">
      <c r="A682" s="11" t="str">
        <f aca="false">IF(_LEITURA!$N682="","",INDEX(_LEITURA!$K$2:$K$1201,_LEITURA!$N682))</f>
        <v/>
      </c>
      <c r="B682" s="11" t="str">
        <f aca="false">IF(_LEITURA!$N682="","",INDEX(_LEITURA!$E$2:$E$1201,_LEITURA!$N682))</f>
        <v/>
      </c>
      <c r="C682" s="11" t="str">
        <f aca="false">IF(_LEITURA!$N682="","",INDEX(_LEITURA!$J$2:$J$1201,_LEITURA!$N682))</f>
        <v/>
      </c>
      <c r="D682" s="16" t="str">
        <f aca="false">IF(_LEITURA!$N682="","",INDEX(_LEITURA!$G$2:$G$1201,_LEITURA!$N682))</f>
        <v/>
      </c>
      <c r="E682" s="16" t="str">
        <f aca="false">IF(B682="","",SUMIFS(INVENTÁRIO!$C$2:$C$801,INVENTÁRIO!$A$2:$A$801,B682))</f>
        <v/>
      </c>
      <c r="F682" s="16" t="str">
        <f aca="false">IF(B682="","",MAX(0,D682-E682))</f>
        <v/>
      </c>
      <c r="G682" s="16" t="str">
        <f aca="false">IF(B682="","",IF(COUNTIFS($B$2:$B$1201,B682,$A$2:$A$1201,"&lt;&gt;"&amp;A682)&gt;0,"Sim",""))</f>
        <v/>
      </c>
      <c r="H682" s="16" t="str">
        <f aca="false">IF(N(F682)&gt;0,MAX(H$1:H681)+1,"")</f>
        <v/>
      </c>
      <c r="I682" s="11" t="str">
        <f aca="false">IF(B682="","",IF(INDEX($C$2:$C$1201,MATCH(B682,$B$2:$B$1201,0))&lt;&gt;C682,"Nome diferente em outro deck — revisar",""))</f>
        <v/>
      </c>
      <c r="J682" s="16" t="str">
        <f aca="false">IF(AND(B682&lt;&gt;"",A682=BULK!$A$1,N(F682)&gt;0),MAX(J$1:J681)+1,"")</f>
        <v/>
      </c>
      <c r="K682" s="11" t="str">
        <f aca="false">IF(B682="","",IFERROR(LEFT(B682,FIND("-",B682)-1),B682))</f>
        <v/>
      </c>
      <c r="L682" s="11" t="str">
        <f aca="false">IF(K682="","",IF(ISNUMBER(--MID(K682,1,1)),0,IF(ISNUMBER(--MID(K682,2,1)),1,IF(ISNUMBER(--MID(K682,3,1)),2,IF(ISNUMBER(--MID(K682,4,1)),3,MIN(LEN(K682),4))))))</f>
        <v/>
      </c>
      <c r="M682" s="11" t="str">
        <f aca="false">IF(B682="","",LEFT(K682,L682)&amp;REPT("0",4-L682)&amp;RIGHT("000"&amp;IFERROR(VALUE(MID(K682,L682+1,9)),0),3)&amp;RIGHT("0000"&amp;IFERROR(VALUE(MID(B682,FIND("-",B682)+1,9)),0),4))</f>
        <v/>
      </c>
      <c r="N682" s="11" t="str">
        <f aca="false">IF(OR(B682="",N(F682)&lt;=0),"",IF('FALTAS POR DECK'!$P$1="Código","K"&amp;M682&amp;RIGHT("00000"&amp;ROW(),5),IF('FALTAS POR DECK'!$P$1="Nome","K"&amp;UPPER(SUBSTITUTE(SUBSTITUTE(SUBSTITUTE(C682,"*",""),"?",""),"~",""))&amp;"0"&amp;M682&amp;RIGHT("00000"&amp;ROW(),5),IF('FALTAS POR DECK'!$P$1="Falta (maior primeiro)","K"&amp;RIGHT("0000"&amp;(9999-F682),4)&amp;M682&amp;RIGHT("00000"&amp;ROW(),5),IF('FALTAS POR DECK'!$P$1="Deck e código","K"&amp;RIGHT("00"&amp;IFERROR(MATCH(A682,_LEITURA!$P$2:$P$21,0),99),2)&amp;M682&amp;RIGHT("00000"&amp;ROW(),5),"K"&amp;RIGHT("00000"&amp;ROW(),5))))))</f>
        <v/>
      </c>
      <c r="O682" s="16" t="str">
        <f aca="false">IF(N682="","",COUNTIFS($N$2:$N$1201,"&lt;"&amp;N682,$F$2:$F$1201,"&gt;0")+1)</f>
        <v/>
      </c>
    </row>
    <row r="683" customFormat="false" ht="15" hidden="false" customHeight="false" outlineLevel="0" collapsed="false">
      <c r="A683" s="11" t="str">
        <f aca="false">IF(_LEITURA!$N683="","",INDEX(_LEITURA!$K$2:$K$1201,_LEITURA!$N683))</f>
        <v/>
      </c>
      <c r="B683" s="11" t="str">
        <f aca="false">IF(_LEITURA!$N683="","",INDEX(_LEITURA!$E$2:$E$1201,_LEITURA!$N683))</f>
        <v/>
      </c>
      <c r="C683" s="11" t="str">
        <f aca="false">IF(_LEITURA!$N683="","",INDEX(_LEITURA!$J$2:$J$1201,_LEITURA!$N683))</f>
        <v/>
      </c>
      <c r="D683" s="16" t="str">
        <f aca="false">IF(_LEITURA!$N683="","",INDEX(_LEITURA!$G$2:$G$1201,_LEITURA!$N683))</f>
        <v/>
      </c>
      <c r="E683" s="16" t="str">
        <f aca="false">IF(B683="","",SUMIFS(INVENTÁRIO!$C$2:$C$801,INVENTÁRIO!$A$2:$A$801,B683))</f>
        <v/>
      </c>
      <c r="F683" s="16" t="str">
        <f aca="false">IF(B683="","",MAX(0,D683-E683))</f>
        <v/>
      </c>
      <c r="G683" s="16" t="str">
        <f aca="false">IF(B683="","",IF(COUNTIFS($B$2:$B$1201,B683,$A$2:$A$1201,"&lt;&gt;"&amp;A683)&gt;0,"Sim",""))</f>
        <v/>
      </c>
      <c r="H683" s="16" t="str">
        <f aca="false">IF(N(F683)&gt;0,MAX(H$1:H682)+1,"")</f>
        <v/>
      </c>
      <c r="I683" s="11" t="str">
        <f aca="false">IF(B683="","",IF(INDEX($C$2:$C$1201,MATCH(B683,$B$2:$B$1201,0))&lt;&gt;C683,"Nome diferente em outro deck — revisar",""))</f>
        <v/>
      </c>
      <c r="J683" s="16" t="str">
        <f aca="false">IF(AND(B683&lt;&gt;"",A683=BULK!$A$1,N(F683)&gt;0),MAX(J$1:J682)+1,"")</f>
        <v/>
      </c>
      <c r="K683" s="11" t="str">
        <f aca="false">IF(B683="","",IFERROR(LEFT(B683,FIND("-",B683)-1),B683))</f>
        <v/>
      </c>
      <c r="L683" s="11" t="str">
        <f aca="false">IF(K683="","",IF(ISNUMBER(--MID(K683,1,1)),0,IF(ISNUMBER(--MID(K683,2,1)),1,IF(ISNUMBER(--MID(K683,3,1)),2,IF(ISNUMBER(--MID(K683,4,1)),3,MIN(LEN(K683),4))))))</f>
        <v/>
      </c>
      <c r="M683" s="11" t="str">
        <f aca="false">IF(B683="","",LEFT(K683,L683)&amp;REPT("0",4-L683)&amp;RIGHT("000"&amp;IFERROR(VALUE(MID(K683,L683+1,9)),0),3)&amp;RIGHT("0000"&amp;IFERROR(VALUE(MID(B683,FIND("-",B683)+1,9)),0),4))</f>
        <v/>
      </c>
      <c r="N683" s="11" t="str">
        <f aca="false">IF(OR(B683="",N(F683)&lt;=0),"",IF('FALTAS POR DECK'!$P$1="Código","K"&amp;M683&amp;RIGHT("00000"&amp;ROW(),5),IF('FALTAS POR DECK'!$P$1="Nome","K"&amp;UPPER(SUBSTITUTE(SUBSTITUTE(SUBSTITUTE(C683,"*",""),"?",""),"~",""))&amp;"0"&amp;M683&amp;RIGHT("00000"&amp;ROW(),5),IF('FALTAS POR DECK'!$P$1="Falta (maior primeiro)","K"&amp;RIGHT("0000"&amp;(9999-F683),4)&amp;M683&amp;RIGHT("00000"&amp;ROW(),5),IF('FALTAS POR DECK'!$P$1="Deck e código","K"&amp;RIGHT("00"&amp;IFERROR(MATCH(A683,_LEITURA!$P$2:$P$21,0),99),2)&amp;M683&amp;RIGHT("00000"&amp;ROW(),5),"K"&amp;RIGHT("00000"&amp;ROW(),5))))))</f>
        <v/>
      </c>
      <c r="O683" s="16" t="str">
        <f aca="false">IF(N683="","",COUNTIFS($N$2:$N$1201,"&lt;"&amp;N683,$F$2:$F$1201,"&gt;0")+1)</f>
        <v/>
      </c>
    </row>
    <row r="684" customFormat="false" ht="15" hidden="false" customHeight="false" outlineLevel="0" collapsed="false">
      <c r="A684" s="11" t="str">
        <f aca="false">IF(_LEITURA!$N684="","",INDEX(_LEITURA!$K$2:$K$1201,_LEITURA!$N684))</f>
        <v/>
      </c>
      <c r="B684" s="11" t="str">
        <f aca="false">IF(_LEITURA!$N684="","",INDEX(_LEITURA!$E$2:$E$1201,_LEITURA!$N684))</f>
        <v/>
      </c>
      <c r="C684" s="11" t="str">
        <f aca="false">IF(_LEITURA!$N684="","",INDEX(_LEITURA!$J$2:$J$1201,_LEITURA!$N684))</f>
        <v/>
      </c>
      <c r="D684" s="16" t="str">
        <f aca="false">IF(_LEITURA!$N684="","",INDEX(_LEITURA!$G$2:$G$1201,_LEITURA!$N684))</f>
        <v/>
      </c>
      <c r="E684" s="16" t="str">
        <f aca="false">IF(B684="","",SUMIFS(INVENTÁRIO!$C$2:$C$801,INVENTÁRIO!$A$2:$A$801,B684))</f>
        <v/>
      </c>
      <c r="F684" s="16" t="str">
        <f aca="false">IF(B684="","",MAX(0,D684-E684))</f>
        <v/>
      </c>
      <c r="G684" s="16" t="str">
        <f aca="false">IF(B684="","",IF(COUNTIFS($B$2:$B$1201,B684,$A$2:$A$1201,"&lt;&gt;"&amp;A684)&gt;0,"Sim",""))</f>
        <v/>
      </c>
      <c r="H684" s="16" t="str">
        <f aca="false">IF(N(F684)&gt;0,MAX(H$1:H683)+1,"")</f>
        <v/>
      </c>
      <c r="I684" s="11" t="str">
        <f aca="false">IF(B684="","",IF(INDEX($C$2:$C$1201,MATCH(B684,$B$2:$B$1201,0))&lt;&gt;C684,"Nome diferente em outro deck — revisar",""))</f>
        <v/>
      </c>
      <c r="J684" s="16" t="str">
        <f aca="false">IF(AND(B684&lt;&gt;"",A684=BULK!$A$1,N(F684)&gt;0),MAX(J$1:J683)+1,"")</f>
        <v/>
      </c>
      <c r="K684" s="11" t="str">
        <f aca="false">IF(B684="","",IFERROR(LEFT(B684,FIND("-",B684)-1),B684))</f>
        <v/>
      </c>
      <c r="L684" s="11" t="str">
        <f aca="false">IF(K684="","",IF(ISNUMBER(--MID(K684,1,1)),0,IF(ISNUMBER(--MID(K684,2,1)),1,IF(ISNUMBER(--MID(K684,3,1)),2,IF(ISNUMBER(--MID(K684,4,1)),3,MIN(LEN(K684),4))))))</f>
        <v/>
      </c>
      <c r="M684" s="11" t="str">
        <f aca="false">IF(B684="","",LEFT(K684,L684)&amp;REPT("0",4-L684)&amp;RIGHT("000"&amp;IFERROR(VALUE(MID(K684,L684+1,9)),0),3)&amp;RIGHT("0000"&amp;IFERROR(VALUE(MID(B684,FIND("-",B684)+1,9)),0),4))</f>
        <v/>
      </c>
      <c r="N684" s="11" t="str">
        <f aca="false">IF(OR(B684="",N(F684)&lt;=0),"",IF('FALTAS POR DECK'!$P$1="Código","K"&amp;M684&amp;RIGHT("00000"&amp;ROW(),5),IF('FALTAS POR DECK'!$P$1="Nome","K"&amp;UPPER(SUBSTITUTE(SUBSTITUTE(SUBSTITUTE(C684,"*",""),"?",""),"~",""))&amp;"0"&amp;M684&amp;RIGHT("00000"&amp;ROW(),5),IF('FALTAS POR DECK'!$P$1="Falta (maior primeiro)","K"&amp;RIGHT("0000"&amp;(9999-F684),4)&amp;M684&amp;RIGHT("00000"&amp;ROW(),5),IF('FALTAS POR DECK'!$P$1="Deck e código","K"&amp;RIGHT("00"&amp;IFERROR(MATCH(A684,_LEITURA!$P$2:$P$21,0),99),2)&amp;M684&amp;RIGHT("00000"&amp;ROW(),5),"K"&amp;RIGHT("00000"&amp;ROW(),5))))))</f>
        <v/>
      </c>
      <c r="O684" s="16" t="str">
        <f aca="false">IF(N684="","",COUNTIFS($N$2:$N$1201,"&lt;"&amp;N684,$F$2:$F$1201,"&gt;0")+1)</f>
        <v/>
      </c>
    </row>
    <row r="685" customFormat="false" ht="15" hidden="false" customHeight="false" outlineLevel="0" collapsed="false">
      <c r="A685" s="11" t="str">
        <f aca="false">IF(_LEITURA!$N685="","",INDEX(_LEITURA!$K$2:$K$1201,_LEITURA!$N685))</f>
        <v/>
      </c>
      <c r="B685" s="11" t="str">
        <f aca="false">IF(_LEITURA!$N685="","",INDEX(_LEITURA!$E$2:$E$1201,_LEITURA!$N685))</f>
        <v/>
      </c>
      <c r="C685" s="11" t="str">
        <f aca="false">IF(_LEITURA!$N685="","",INDEX(_LEITURA!$J$2:$J$1201,_LEITURA!$N685))</f>
        <v/>
      </c>
      <c r="D685" s="16" t="str">
        <f aca="false">IF(_LEITURA!$N685="","",INDEX(_LEITURA!$G$2:$G$1201,_LEITURA!$N685))</f>
        <v/>
      </c>
      <c r="E685" s="16" t="str">
        <f aca="false">IF(B685="","",SUMIFS(INVENTÁRIO!$C$2:$C$801,INVENTÁRIO!$A$2:$A$801,B685))</f>
        <v/>
      </c>
      <c r="F685" s="16" t="str">
        <f aca="false">IF(B685="","",MAX(0,D685-E685))</f>
        <v/>
      </c>
      <c r="G685" s="16" t="str">
        <f aca="false">IF(B685="","",IF(COUNTIFS($B$2:$B$1201,B685,$A$2:$A$1201,"&lt;&gt;"&amp;A685)&gt;0,"Sim",""))</f>
        <v/>
      </c>
      <c r="H685" s="16" t="str">
        <f aca="false">IF(N(F685)&gt;0,MAX(H$1:H684)+1,"")</f>
        <v/>
      </c>
      <c r="I685" s="11" t="str">
        <f aca="false">IF(B685="","",IF(INDEX($C$2:$C$1201,MATCH(B685,$B$2:$B$1201,0))&lt;&gt;C685,"Nome diferente em outro deck — revisar",""))</f>
        <v/>
      </c>
      <c r="J685" s="16" t="str">
        <f aca="false">IF(AND(B685&lt;&gt;"",A685=BULK!$A$1,N(F685)&gt;0),MAX(J$1:J684)+1,"")</f>
        <v/>
      </c>
      <c r="K685" s="11" t="str">
        <f aca="false">IF(B685="","",IFERROR(LEFT(B685,FIND("-",B685)-1),B685))</f>
        <v/>
      </c>
      <c r="L685" s="11" t="str">
        <f aca="false">IF(K685="","",IF(ISNUMBER(--MID(K685,1,1)),0,IF(ISNUMBER(--MID(K685,2,1)),1,IF(ISNUMBER(--MID(K685,3,1)),2,IF(ISNUMBER(--MID(K685,4,1)),3,MIN(LEN(K685),4))))))</f>
        <v/>
      </c>
      <c r="M685" s="11" t="str">
        <f aca="false">IF(B685="","",LEFT(K685,L685)&amp;REPT("0",4-L685)&amp;RIGHT("000"&amp;IFERROR(VALUE(MID(K685,L685+1,9)),0),3)&amp;RIGHT("0000"&amp;IFERROR(VALUE(MID(B685,FIND("-",B685)+1,9)),0),4))</f>
        <v/>
      </c>
      <c r="N685" s="11" t="str">
        <f aca="false">IF(OR(B685="",N(F685)&lt;=0),"",IF('FALTAS POR DECK'!$P$1="Código","K"&amp;M685&amp;RIGHT("00000"&amp;ROW(),5),IF('FALTAS POR DECK'!$P$1="Nome","K"&amp;UPPER(SUBSTITUTE(SUBSTITUTE(SUBSTITUTE(C685,"*",""),"?",""),"~",""))&amp;"0"&amp;M685&amp;RIGHT("00000"&amp;ROW(),5),IF('FALTAS POR DECK'!$P$1="Falta (maior primeiro)","K"&amp;RIGHT("0000"&amp;(9999-F685),4)&amp;M685&amp;RIGHT("00000"&amp;ROW(),5),IF('FALTAS POR DECK'!$P$1="Deck e código","K"&amp;RIGHT("00"&amp;IFERROR(MATCH(A685,_LEITURA!$P$2:$P$21,0),99),2)&amp;M685&amp;RIGHT("00000"&amp;ROW(),5),"K"&amp;RIGHT("00000"&amp;ROW(),5))))))</f>
        <v/>
      </c>
      <c r="O685" s="16" t="str">
        <f aca="false">IF(N685="","",COUNTIFS($N$2:$N$1201,"&lt;"&amp;N685,$F$2:$F$1201,"&gt;0")+1)</f>
        <v/>
      </c>
    </row>
    <row r="686" customFormat="false" ht="15" hidden="false" customHeight="false" outlineLevel="0" collapsed="false">
      <c r="A686" s="11" t="str">
        <f aca="false">IF(_LEITURA!$N686="","",INDEX(_LEITURA!$K$2:$K$1201,_LEITURA!$N686))</f>
        <v/>
      </c>
      <c r="B686" s="11" t="str">
        <f aca="false">IF(_LEITURA!$N686="","",INDEX(_LEITURA!$E$2:$E$1201,_LEITURA!$N686))</f>
        <v/>
      </c>
      <c r="C686" s="11" t="str">
        <f aca="false">IF(_LEITURA!$N686="","",INDEX(_LEITURA!$J$2:$J$1201,_LEITURA!$N686))</f>
        <v/>
      </c>
      <c r="D686" s="16" t="str">
        <f aca="false">IF(_LEITURA!$N686="","",INDEX(_LEITURA!$G$2:$G$1201,_LEITURA!$N686))</f>
        <v/>
      </c>
      <c r="E686" s="16" t="str">
        <f aca="false">IF(B686="","",SUMIFS(INVENTÁRIO!$C$2:$C$801,INVENTÁRIO!$A$2:$A$801,B686))</f>
        <v/>
      </c>
      <c r="F686" s="16" t="str">
        <f aca="false">IF(B686="","",MAX(0,D686-E686))</f>
        <v/>
      </c>
      <c r="G686" s="16" t="str">
        <f aca="false">IF(B686="","",IF(COUNTIFS($B$2:$B$1201,B686,$A$2:$A$1201,"&lt;&gt;"&amp;A686)&gt;0,"Sim",""))</f>
        <v/>
      </c>
      <c r="H686" s="16" t="str">
        <f aca="false">IF(N(F686)&gt;0,MAX(H$1:H685)+1,"")</f>
        <v/>
      </c>
      <c r="I686" s="11" t="str">
        <f aca="false">IF(B686="","",IF(INDEX($C$2:$C$1201,MATCH(B686,$B$2:$B$1201,0))&lt;&gt;C686,"Nome diferente em outro deck — revisar",""))</f>
        <v/>
      </c>
      <c r="J686" s="16" t="str">
        <f aca="false">IF(AND(B686&lt;&gt;"",A686=BULK!$A$1,N(F686)&gt;0),MAX(J$1:J685)+1,"")</f>
        <v/>
      </c>
      <c r="K686" s="11" t="str">
        <f aca="false">IF(B686="","",IFERROR(LEFT(B686,FIND("-",B686)-1),B686))</f>
        <v/>
      </c>
      <c r="L686" s="11" t="str">
        <f aca="false">IF(K686="","",IF(ISNUMBER(--MID(K686,1,1)),0,IF(ISNUMBER(--MID(K686,2,1)),1,IF(ISNUMBER(--MID(K686,3,1)),2,IF(ISNUMBER(--MID(K686,4,1)),3,MIN(LEN(K686),4))))))</f>
        <v/>
      </c>
      <c r="M686" s="11" t="str">
        <f aca="false">IF(B686="","",LEFT(K686,L686)&amp;REPT("0",4-L686)&amp;RIGHT("000"&amp;IFERROR(VALUE(MID(K686,L686+1,9)),0),3)&amp;RIGHT("0000"&amp;IFERROR(VALUE(MID(B686,FIND("-",B686)+1,9)),0),4))</f>
        <v/>
      </c>
      <c r="N686" s="11" t="str">
        <f aca="false">IF(OR(B686="",N(F686)&lt;=0),"",IF('FALTAS POR DECK'!$P$1="Código","K"&amp;M686&amp;RIGHT("00000"&amp;ROW(),5),IF('FALTAS POR DECK'!$P$1="Nome","K"&amp;UPPER(SUBSTITUTE(SUBSTITUTE(SUBSTITUTE(C686,"*",""),"?",""),"~",""))&amp;"0"&amp;M686&amp;RIGHT("00000"&amp;ROW(),5),IF('FALTAS POR DECK'!$P$1="Falta (maior primeiro)","K"&amp;RIGHT("0000"&amp;(9999-F686),4)&amp;M686&amp;RIGHT("00000"&amp;ROW(),5),IF('FALTAS POR DECK'!$P$1="Deck e código","K"&amp;RIGHT("00"&amp;IFERROR(MATCH(A686,_LEITURA!$P$2:$P$21,0),99),2)&amp;M686&amp;RIGHT("00000"&amp;ROW(),5),"K"&amp;RIGHT("00000"&amp;ROW(),5))))))</f>
        <v/>
      </c>
      <c r="O686" s="16" t="str">
        <f aca="false">IF(N686="","",COUNTIFS($N$2:$N$1201,"&lt;"&amp;N686,$F$2:$F$1201,"&gt;0")+1)</f>
        <v/>
      </c>
    </row>
    <row r="687" customFormat="false" ht="15" hidden="false" customHeight="false" outlineLevel="0" collapsed="false">
      <c r="A687" s="11" t="str">
        <f aca="false">IF(_LEITURA!$N687="","",INDEX(_LEITURA!$K$2:$K$1201,_LEITURA!$N687))</f>
        <v/>
      </c>
      <c r="B687" s="11" t="str">
        <f aca="false">IF(_LEITURA!$N687="","",INDEX(_LEITURA!$E$2:$E$1201,_LEITURA!$N687))</f>
        <v/>
      </c>
      <c r="C687" s="11" t="str">
        <f aca="false">IF(_LEITURA!$N687="","",INDEX(_LEITURA!$J$2:$J$1201,_LEITURA!$N687))</f>
        <v/>
      </c>
      <c r="D687" s="16" t="str">
        <f aca="false">IF(_LEITURA!$N687="","",INDEX(_LEITURA!$G$2:$G$1201,_LEITURA!$N687))</f>
        <v/>
      </c>
      <c r="E687" s="16" t="str">
        <f aca="false">IF(B687="","",SUMIFS(INVENTÁRIO!$C$2:$C$801,INVENTÁRIO!$A$2:$A$801,B687))</f>
        <v/>
      </c>
      <c r="F687" s="16" t="str">
        <f aca="false">IF(B687="","",MAX(0,D687-E687))</f>
        <v/>
      </c>
      <c r="G687" s="16" t="str">
        <f aca="false">IF(B687="","",IF(COUNTIFS($B$2:$B$1201,B687,$A$2:$A$1201,"&lt;&gt;"&amp;A687)&gt;0,"Sim",""))</f>
        <v/>
      </c>
      <c r="H687" s="16" t="str">
        <f aca="false">IF(N(F687)&gt;0,MAX(H$1:H686)+1,"")</f>
        <v/>
      </c>
      <c r="I687" s="11" t="str">
        <f aca="false">IF(B687="","",IF(INDEX($C$2:$C$1201,MATCH(B687,$B$2:$B$1201,0))&lt;&gt;C687,"Nome diferente em outro deck — revisar",""))</f>
        <v/>
      </c>
      <c r="J687" s="16" t="str">
        <f aca="false">IF(AND(B687&lt;&gt;"",A687=BULK!$A$1,N(F687)&gt;0),MAX(J$1:J686)+1,"")</f>
        <v/>
      </c>
      <c r="K687" s="11" t="str">
        <f aca="false">IF(B687="","",IFERROR(LEFT(B687,FIND("-",B687)-1),B687))</f>
        <v/>
      </c>
      <c r="L687" s="11" t="str">
        <f aca="false">IF(K687="","",IF(ISNUMBER(--MID(K687,1,1)),0,IF(ISNUMBER(--MID(K687,2,1)),1,IF(ISNUMBER(--MID(K687,3,1)),2,IF(ISNUMBER(--MID(K687,4,1)),3,MIN(LEN(K687),4))))))</f>
        <v/>
      </c>
      <c r="M687" s="11" t="str">
        <f aca="false">IF(B687="","",LEFT(K687,L687)&amp;REPT("0",4-L687)&amp;RIGHT("000"&amp;IFERROR(VALUE(MID(K687,L687+1,9)),0),3)&amp;RIGHT("0000"&amp;IFERROR(VALUE(MID(B687,FIND("-",B687)+1,9)),0),4))</f>
        <v/>
      </c>
      <c r="N687" s="11" t="str">
        <f aca="false">IF(OR(B687="",N(F687)&lt;=0),"",IF('FALTAS POR DECK'!$P$1="Código","K"&amp;M687&amp;RIGHT("00000"&amp;ROW(),5),IF('FALTAS POR DECK'!$P$1="Nome","K"&amp;UPPER(SUBSTITUTE(SUBSTITUTE(SUBSTITUTE(C687,"*",""),"?",""),"~",""))&amp;"0"&amp;M687&amp;RIGHT("00000"&amp;ROW(),5),IF('FALTAS POR DECK'!$P$1="Falta (maior primeiro)","K"&amp;RIGHT("0000"&amp;(9999-F687),4)&amp;M687&amp;RIGHT("00000"&amp;ROW(),5),IF('FALTAS POR DECK'!$P$1="Deck e código","K"&amp;RIGHT("00"&amp;IFERROR(MATCH(A687,_LEITURA!$P$2:$P$21,0),99),2)&amp;M687&amp;RIGHT("00000"&amp;ROW(),5),"K"&amp;RIGHT("00000"&amp;ROW(),5))))))</f>
        <v/>
      </c>
      <c r="O687" s="16" t="str">
        <f aca="false">IF(N687="","",COUNTIFS($N$2:$N$1201,"&lt;"&amp;N687,$F$2:$F$1201,"&gt;0")+1)</f>
        <v/>
      </c>
    </row>
    <row r="688" customFormat="false" ht="15" hidden="false" customHeight="false" outlineLevel="0" collapsed="false">
      <c r="A688" s="11" t="str">
        <f aca="false">IF(_LEITURA!$N688="","",INDEX(_LEITURA!$K$2:$K$1201,_LEITURA!$N688))</f>
        <v/>
      </c>
      <c r="B688" s="11" t="str">
        <f aca="false">IF(_LEITURA!$N688="","",INDEX(_LEITURA!$E$2:$E$1201,_LEITURA!$N688))</f>
        <v/>
      </c>
      <c r="C688" s="11" t="str">
        <f aca="false">IF(_LEITURA!$N688="","",INDEX(_LEITURA!$J$2:$J$1201,_LEITURA!$N688))</f>
        <v/>
      </c>
      <c r="D688" s="16" t="str">
        <f aca="false">IF(_LEITURA!$N688="","",INDEX(_LEITURA!$G$2:$G$1201,_LEITURA!$N688))</f>
        <v/>
      </c>
      <c r="E688" s="16" t="str">
        <f aca="false">IF(B688="","",SUMIFS(INVENTÁRIO!$C$2:$C$801,INVENTÁRIO!$A$2:$A$801,B688))</f>
        <v/>
      </c>
      <c r="F688" s="16" t="str">
        <f aca="false">IF(B688="","",MAX(0,D688-E688))</f>
        <v/>
      </c>
      <c r="G688" s="16" t="str">
        <f aca="false">IF(B688="","",IF(COUNTIFS($B$2:$B$1201,B688,$A$2:$A$1201,"&lt;&gt;"&amp;A688)&gt;0,"Sim",""))</f>
        <v/>
      </c>
      <c r="H688" s="16" t="str">
        <f aca="false">IF(N(F688)&gt;0,MAX(H$1:H687)+1,"")</f>
        <v/>
      </c>
      <c r="I688" s="11" t="str">
        <f aca="false">IF(B688="","",IF(INDEX($C$2:$C$1201,MATCH(B688,$B$2:$B$1201,0))&lt;&gt;C688,"Nome diferente em outro deck — revisar",""))</f>
        <v/>
      </c>
      <c r="J688" s="16" t="str">
        <f aca="false">IF(AND(B688&lt;&gt;"",A688=BULK!$A$1,N(F688)&gt;0),MAX(J$1:J687)+1,"")</f>
        <v/>
      </c>
      <c r="K688" s="11" t="str">
        <f aca="false">IF(B688="","",IFERROR(LEFT(B688,FIND("-",B688)-1),B688))</f>
        <v/>
      </c>
      <c r="L688" s="11" t="str">
        <f aca="false">IF(K688="","",IF(ISNUMBER(--MID(K688,1,1)),0,IF(ISNUMBER(--MID(K688,2,1)),1,IF(ISNUMBER(--MID(K688,3,1)),2,IF(ISNUMBER(--MID(K688,4,1)),3,MIN(LEN(K688),4))))))</f>
        <v/>
      </c>
      <c r="M688" s="11" t="str">
        <f aca="false">IF(B688="","",LEFT(K688,L688)&amp;REPT("0",4-L688)&amp;RIGHT("000"&amp;IFERROR(VALUE(MID(K688,L688+1,9)),0),3)&amp;RIGHT("0000"&amp;IFERROR(VALUE(MID(B688,FIND("-",B688)+1,9)),0),4))</f>
        <v/>
      </c>
      <c r="N688" s="11" t="str">
        <f aca="false">IF(OR(B688="",N(F688)&lt;=0),"",IF('FALTAS POR DECK'!$P$1="Código","K"&amp;M688&amp;RIGHT("00000"&amp;ROW(),5),IF('FALTAS POR DECK'!$P$1="Nome","K"&amp;UPPER(SUBSTITUTE(SUBSTITUTE(SUBSTITUTE(C688,"*",""),"?",""),"~",""))&amp;"0"&amp;M688&amp;RIGHT("00000"&amp;ROW(),5),IF('FALTAS POR DECK'!$P$1="Falta (maior primeiro)","K"&amp;RIGHT("0000"&amp;(9999-F688),4)&amp;M688&amp;RIGHT("00000"&amp;ROW(),5),IF('FALTAS POR DECK'!$P$1="Deck e código","K"&amp;RIGHT("00"&amp;IFERROR(MATCH(A688,_LEITURA!$P$2:$P$21,0),99),2)&amp;M688&amp;RIGHT("00000"&amp;ROW(),5),"K"&amp;RIGHT("00000"&amp;ROW(),5))))))</f>
        <v/>
      </c>
      <c r="O688" s="16" t="str">
        <f aca="false">IF(N688="","",COUNTIFS($N$2:$N$1201,"&lt;"&amp;N688,$F$2:$F$1201,"&gt;0")+1)</f>
        <v/>
      </c>
    </row>
    <row r="689" customFormat="false" ht="15" hidden="false" customHeight="false" outlineLevel="0" collapsed="false">
      <c r="A689" s="11" t="str">
        <f aca="false">IF(_LEITURA!$N689="","",INDEX(_LEITURA!$K$2:$K$1201,_LEITURA!$N689))</f>
        <v/>
      </c>
      <c r="B689" s="11" t="str">
        <f aca="false">IF(_LEITURA!$N689="","",INDEX(_LEITURA!$E$2:$E$1201,_LEITURA!$N689))</f>
        <v/>
      </c>
      <c r="C689" s="11" t="str">
        <f aca="false">IF(_LEITURA!$N689="","",INDEX(_LEITURA!$J$2:$J$1201,_LEITURA!$N689))</f>
        <v/>
      </c>
      <c r="D689" s="16" t="str">
        <f aca="false">IF(_LEITURA!$N689="","",INDEX(_LEITURA!$G$2:$G$1201,_LEITURA!$N689))</f>
        <v/>
      </c>
      <c r="E689" s="16" t="str">
        <f aca="false">IF(B689="","",SUMIFS(INVENTÁRIO!$C$2:$C$801,INVENTÁRIO!$A$2:$A$801,B689))</f>
        <v/>
      </c>
      <c r="F689" s="16" t="str">
        <f aca="false">IF(B689="","",MAX(0,D689-E689))</f>
        <v/>
      </c>
      <c r="G689" s="16" t="str">
        <f aca="false">IF(B689="","",IF(COUNTIFS($B$2:$B$1201,B689,$A$2:$A$1201,"&lt;&gt;"&amp;A689)&gt;0,"Sim",""))</f>
        <v/>
      </c>
      <c r="H689" s="16" t="str">
        <f aca="false">IF(N(F689)&gt;0,MAX(H$1:H688)+1,"")</f>
        <v/>
      </c>
      <c r="I689" s="11" t="str">
        <f aca="false">IF(B689="","",IF(INDEX($C$2:$C$1201,MATCH(B689,$B$2:$B$1201,0))&lt;&gt;C689,"Nome diferente em outro deck — revisar",""))</f>
        <v/>
      </c>
      <c r="J689" s="16" t="str">
        <f aca="false">IF(AND(B689&lt;&gt;"",A689=BULK!$A$1,N(F689)&gt;0),MAX(J$1:J688)+1,"")</f>
        <v/>
      </c>
      <c r="K689" s="11" t="str">
        <f aca="false">IF(B689="","",IFERROR(LEFT(B689,FIND("-",B689)-1),B689))</f>
        <v/>
      </c>
      <c r="L689" s="11" t="str">
        <f aca="false">IF(K689="","",IF(ISNUMBER(--MID(K689,1,1)),0,IF(ISNUMBER(--MID(K689,2,1)),1,IF(ISNUMBER(--MID(K689,3,1)),2,IF(ISNUMBER(--MID(K689,4,1)),3,MIN(LEN(K689),4))))))</f>
        <v/>
      </c>
      <c r="M689" s="11" t="str">
        <f aca="false">IF(B689="","",LEFT(K689,L689)&amp;REPT("0",4-L689)&amp;RIGHT("000"&amp;IFERROR(VALUE(MID(K689,L689+1,9)),0),3)&amp;RIGHT("0000"&amp;IFERROR(VALUE(MID(B689,FIND("-",B689)+1,9)),0),4))</f>
        <v/>
      </c>
      <c r="N689" s="11" t="str">
        <f aca="false">IF(OR(B689="",N(F689)&lt;=0),"",IF('FALTAS POR DECK'!$P$1="Código","K"&amp;M689&amp;RIGHT("00000"&amp;ROW(),5),IF('FALTAS POR DECK'!$P$1="Nome","K"&amp;UPPER(SUBSTITUTE(SUBSTITUTE(SUBSTITUTE(C689,"*",""),"?",""),"~",""))&amp;"0"&amp;M689&amp;RIGHT("00000"&amp;ROW(),5),IF('FALTAS POR DECK'!$P$1="Falta (maior primeiro)","K"&amp;RIGHT("0000"&amp;(9999-F689),4)&amp;M689&amp;RIGHT("00000"&amp;ROW(),5),IF('FALTAS POR DECK'!$P$1="Deck e código","K"&amp;RIGHT("00"&amp;IFERROR(MATCH(A689,_LEITURA!$P$2:$P$21,0),99),2)&amp;M689&amp;RIGHT("00000"&amp;ROW(),5),"K"&amp;RIGHT("00000"&amp;ROW(),5))))))</f>
        <v/>
      </c>
      <c r="O689" s="16" t="str">
        <f aca="false">IF(N689="","",COUNTIFS($N$2:$N$1201,"&lt;"&amp;N689,$F$2:$F$1201,"&gt;0")+1)</f>
        <v/>
      </c>
    </row>
    <row r="690" customFormat="false" ht="15" hidden="false" customHeight="false" outlineLevel="0" collapsed="false">
      <c r="A690" s="11" t="str">
        <f aca="false">IF(_LEITURA!$N690="","",INDEX(_LEITURA!$K$2:$K$1201,_LEITURA!$N690))</f>
        <v/>
      </c>
      <c r="B690" s="11" t="str">
        <f aca="false">IF(_LEITURA!$N690="","",INDEX(_LEITURA!$E$2:$E$1201,_LEITURA!$N690))</f>
        <v/>
      </c>
      <c r="C690" s="11" t="str">
        <f aca="false">IF(_LEITURA!$N690="","",INDEX(_LEITURA!$J$2:$J$1201,_LEITURA!$N690))</f>
        <v/>
      </c>
      <c r="D690" s="16" t="str">
        <f aca="false">IF(_LEITURA!$N690="","",INDEX(_LEITURA!$G$2:$G$1201,_LEITURA!$N690))</f>
        <v/>
      </c>
      <c r="E690" s="16" t="str">
        <f aca="false">IF(B690="","",SUMIFS(INVENTÁRIO!$C$2:$C$801,INVENTÁRIO!$A$2:$A$801,B690))</f>
        <v/>
      </c>
      <c r="F690" s="16" t="str">
        <f aca="false">IF(B690="","",MAX(0,D690-E690))</f>
        <v/>
      </c>
      <c r="G690" s="16" t="str">
        <f aca="false">IF(B690="","",IF(COUNTIFS($B$2:$B$1201,B690,$A$2:$A$1201,"&lt;&gt;"&amp;A690)&gt;0,"Sim",""))</f>
        <v/>
      </c>
      <c r="H690" s="16" t="str">
        <f aca="false">IF(N(F690)&gt;0,MAX(H$1:H689)+1,"")</f>
        <v/>
      </c>
      <c r="I690" s="11" t="str">
        <f aca="false">IF(B690="","",IF(INDEX($C$2:$C$1201,MATCH(B690,$B$2:$B$1201,0))&lt;&gt;C690,"Nome diferente em outro deck — revisar",""))</f>
        <v/>
      </c>
      <c r="J690" s="16" t="str">
        <f aca="false">IF(AND(B690&lt;&gt;"",A690=BULK!$A$1,N(F690)&gt;0),MAX(J$1:J689)+1,"")</f>
        <v/>
      </c>
      <c r="K690" s="11" t="str">
        <f aca="false">IF(B690="","",IFERROR(LEFT(B690,FIND("-",B690)-1),B690))</f>
        <v/>
      </c>
      <c r="L690" s="11" t="str">
        <f aca="false">IF(K690="","",IF(ISNUMBER(--MID(K690,1,1)),0,IF(ISNUMBER(--MID(K690,2,1)),1,IF(ISNUMBER(--MID(K690,3,1)),2,IF(ISNUMBER(--MID(K690,4,1)),3,MIN(LEN(K690),4))))))</f>
        <v/>
      </c>
      <c r="M690" s="11" t="str">
        <f aca="false">IF(B690="","",LEFT(K690,L690)&amp;REPT("0",4-L690)&amp;RIGHT("000"&amp;IFERROR(VALUE(MID(K690,L690+1,9)),0),3)&amp;RIGHT("0000"&amp;IFERROR(VALUE(MID(B690,FIND("-",B690)+1,9)),0),4))</f>
        <v/>
      </c>
      <c r="N690" s="11" t="str">
        <f aca="false">IF(OR(B690="",N(F690)&lt;=0),"",IF('FALTAS POR DECK'!$P$1="Código","K"&amp;M690&amp;RIGHT("00000"&amp;ROW(),5),IF('FALTAS POR DECK'!$P$1="Nome","K"&amp;UPPER(SUBSTITUTE(SUBSTITUTE(SUBSTITUTE(C690,"*",""),"?",""),"~",""))&amp;"0"&amp;M690&amp;RIGHT("00000"&amp;ROW(),5),IF('FALTAS POR DECK'!$P$1="Falta (maior primeiro)","K"&amp;RIGHT("0000"&amp;(9999-F690),4)&amp;M690&amp;RIGHT("00000"&amp;ROW(),5),IF('FALTAS POR DECK'!$P$1="Deck e código","K"&amp;RIGHT("00"&amp;IFERROR(MATCH(A690,_LEITURA!$P$2:$P$21,0),99),2)&amp;M690&amp;RIGHT("00000"&amp;ROW(),5),"K"&amp;RIGHT("00000"&amp;ROW(),5))))))</f>
        <v/>
      </c>
      <c r="O690" s="16" t="str">
        <f aca="false">IF(N690="","",COUNTIFS($N$2:$N$1201,"&lt;"&amp;N690,$F$2:$F$1201,"&gt;0")+1)</f>
        <v/>
      </c>
    </row>
    <row r="691" customFormat="false" ht="15" hidden="false" customHeight="false" outlineLevel="0" collapsed="false">
      <c r="A691" s="11" t="str">
        <f aca="false">IF(_LEITURA!$N691="","",INDEX(_LEITURA!$K$2:$K$1201,_LEITURA!$N691))</f>
        <v/>
      </c>
      <c r="B691" s="11" t="str">
        <f aca="false">IF(_LEITURA!$N691="","",INDEX(_LEITURA!$E$2:$E$1201,_LEITURA!$N691))</f>
        <v/>
      </c>
      <c r="C691" s="11" t="str">
        <f aca="false">IF(_LEITURA!$N691="","",INDEX(_LEITURA!$J$2:$J$1201,_LEITURA!$N691))</f>
        <v/>
      </c>
      <c r="D691" s="16" t="str">
        <f aca="false">IF(_LEITURA!$N691="","",INDEX(_LEITURA!$G$2:$G$1201,_LEITURA!$N691))</f>
        <v/>
      </c>
      <c r="E691" s="16" t="str">
        <f aca="false">IF(B691="","",SUMIFS(INVENTÁRIO!$C$2:$C$801,INVENTÁRIO!$A$2:$A$801,B691))</f>
        <v/>
      </c>
      <c r="F691" s="16" t="str">
        <f aca="false">IF(B691="","",MAX(0,D691-E691))</f>
        <v/>
      </c>
      <c r="G691" s="16" t="str">
        <f aca="false">IF(B691="","",IF(COUNTIFS($B$2:$B$1201,B691,$A$2:$A$1201,"&lt;&gt;"&amp;A691)&gt;0,"Sim",""))</f>
        <v/>
      </c>
      <c r="H691" s="16" t="str">
        <f aca="false">IF(N(F691)&gt;0,MAX(H$1:H690)+1,"")</f>
        <v/>
      </c>
      <c r="I691" s="11" t="str">
        <f aca="false">IF(B691="","",IF(INDEX($C$2:$C$1201,MATCH(B691,$B$2:$B$1201,0))&lt;&gt;C691,"Nome diferente em outro deck — revisar",""))</f>
        <v/>
      </c>
      <c r="J691" s="16" t="str">
        <f aca="false">IF(AND(B691&lt;&gt;"",A691=BULK!$A$1,N(F691)&gt;0),MAX(J$1:J690)+1,"")</f>
        <v/>
      </c>
      <c r="K691" s="11" t="str">
        <f aca="false">IF(B691="","",IFERROR(LEFT(B691,FIND("-",B691)-1),B691))</f>
        <v/>
      </c>
      <c r="L691" s="11" t="str">
        <f aca="false">IF(K691="","",IF(ISNUMBER(--MID(K691,1,1)),0,IF(ISNUMBER(--MID(K691,2,1)),1,IF(ISNUMBER(--MID(K691,3,1)),2,IF(ISNUMBER(--MID(K691,4,1)),3,MIN(LEN(K691),4))))))</f>
        <v/>
      </c>
      <c r="M691" s="11" t="str">
        <f aca="false">IF(B691="","",LEFT(K691,L691)&amp;REPT("0",4-L691)&amp;RIGHT("000"&amp;IFERROR(VALUE(MID(K691,L691+1,9)),0),3)&amp;RIGHT("0000"&amp;IFERROR(VALUE(MID(B691,FIND("-",B691)+1,9)),0),4))</f>
        <v/>
      </c>
      <c r="N691" s="11" t="str">
        <f aca="false">IF(OR(B691="",N(F691)&lt;=0),"",IF('FALTAS POR DECK'!$P$1="Código","K"&amp;M691&amp;RIGHT("00000"&amp;ROW(),5),IF('FALTAS POR DECK'!$P$1="Nome","K"&amp;UPPER(SUBSTITUTE(SUBSTITUTE(SUBSTITUTE(C691,"*",""),"?",""),"~",""))&amp;"0"&amp;M691&amp;RIGHT("00000"&amp;ROW(),5),IF('FALTAS POR DECK'!$P$1="Falta (maior primeiro)","K"&amp;RIGHT("0000"&amp;(9999-F691),4)&amp;M691&amp;RIGHT("00000"&amp;ROW(),5),IF('FALTAS POR DECK'!$P$1="Deck e código","K"&amp;RIGHT("00"&amp;IFERROR(MATCH(A691,_LEITURA!$P$2:$P$21,0),99),2)&amp;M691&amp;RIGHT("00000"&amp;ROW(),5),"K"&amp;RIGHT("00000"&amp;ROW(),5))))))</f>
        <v/>
      </c>
      <c r="O691" s="16" t="str">
        <f aca="false">IF(N691="","",COUNTIFS($N$2:$N$1201,"&lt;"&amp;N691,$F$2:$F$1201,"&gt;0")+1)</f>
        <v/>
      </c>
    </row>
    <row r="692" customFormat="false" ht="15" hidden="false" customHeight="false" outlineLevel="0" collapsed="false">
      <c r="A692" s="11" t="str">
        <f aca="false">IF(_LEITURA!$N692="","",INDEX(_LEITURA!$K$2:$K$1201,_LEITURA!$N692))</f>
        <v/>
      </c>
      <c r="B692" s="11" t="str">
        <f aca="false">IF(_LEITURA!$N692="","",INDEX(_LEITURA!$E$2:$E$1201,_LEITURA!$N692))</f>
        <v/>
      </c>
      <c r="C692" s="11" t="str">
        <f aca="false">IF(_LEITURA!$N692="","",INDEX(_LEITURA!$J$2:$J$1201,_LEITURA!$N692))</f>
        <v/>
      </c>
      <c r="D692" s="16" t="str">
        <f aca="false">IF(_LEITURA!$N692="","",INDEX(_LEITURA!$G$2:$G$1201,_LEITURA!$N692))</f>
        <v/>
      </c>
      <c r="E692" s="16" t="str">
        <f aca="false">IF(B692="","",SUMIFS(INVENTÁRIO!$C$2:$C$801,INVENTÁRIO!$A$2:$A$801,B692))</f>
        <v/>
      </c>
      <c r="F692" s="16" t="str">
        <f aca="false">IF(B692="","",MAX(0,D692-E692))</f>
        <v/>
      </c>
      <c r="G692" s="16" t="str">
        <f aca="false">IF(B692="","",IF(COUNTIFS($B$2:$B$1201,B692,$A$2:$A$1201,"&lt;&gt;"&amp;A692)&gt;0,"Sim",""))</f>
        <v/>
      </c>
      <c r="H692" s="16" t="str">
        <f aca="false">IF(N(F692)&gt;0,MAX(H$1:H691)+1,"")</f>
        <v/>
      </c>
      <c r="I692" s="11" t="str">
        <f aca="false">IF(B692="","",IF(INDEX($C$2:$C$1201,MATCH(B692,$B$2:$B$1201,0))&lt;&gt;C692,"Nome diferente em outro deck — revisar",""))</f>
        <v/>
      </c>
      <c r="J692" s="16" t="str">
        <f aca="false">IF(AND(B692&lt;&gt;"",A692=BULK!$A$1,N(F692)&gt;0),MAX(J$1:J691)+1,"")</f>
        <v/>
      </c>
      <c r="K692" s="11" t="str">
        <f aca="false">IF(B692="","",IFERROR(LEFT(B692,FIND("-",B692)-1),B692))</f>
        <v/>
      </c>
      <c r="L692" s="11" t="str">
        <f aca="false">IF(K692="","",IF(ISNUMBER(--MID(K692,1,1)),0,IF(ISNUMBER(--MID(K692,2,1)),1,IF(ISNUMBER(--MID(K692,3,1)),2,IF(ISNUMBER(--MID(K692,4,1)),3,MIN(LEN(K692),4))))))</f>
        <v/>
      </c>
      <c r="M692" s="11" t="str">
        <f aca="false">IF(B692="","",LEFT(K692,L692)&amp;REPT("0",4-L692)&amp;RIGHT("000"&amp;IFERROR(VALUE(MID(K692,L692+1,9)),0),3)&amp;RIGHT("0000"&amp;IFERROR(VALUE(MID(B692,FIND("-",B692)+1,9)),0),4))</f>
        <v/>
      </c>
      <c r="N692" s="11" t="str">
        <f aca="false">IF(OR(B692="",N(F692)&lt;=0),"",IF('FALTAS POR DECK'!$P$1="Código","K"&amp;M692&amp;RIGHT("00000"&amp;ROW(),5),IF('FALTAS POR DECK'!$P$1="Nome","K"&amp;UPPER(SUBSTITUTE(SUBSTITUTE(SUBSTITUTE(C692,"*",""),"?",""),"~",""))&amp;"0"&amp;M692&amp;RIGHT("00000"&amp;ROW(),5),IF('FALTAS POR DECK'!$P$1="Falta (maior primeiro)","K"&amp;RIGHT("0000"&amp;(9999-F692),4)&amp;M692&amp;RIGHT("00000"&amp;ROW(),5),IF('FALTAS POR DECK'!$P$1="Deck e código","K"&amp;RIGHT("00"&amp;IFERROR(MATCH(A692,_LEITURA!$P$2:$P$21,0),99),2)&amp;M692&amp;RIGHT("00000"&amp;ROW(),5),"K"&amp;RIGHT("00000"&amp;ROW(),5))))))</f>
        <v/>
      </c>
      <c r="O692" s="16" t="str">
        <f aca="false">IF(N692="","",COUNTIFS($N$2:$N$1201,"&lt;"&amp;N692,$F$2:$F$1201,"&gt;0")+1)</f>
        <v/>
      </c>
    </row>
    <row r="693" customFormat="false" ht="15" hidden="false" customHeight="false" outlineLevel="0" collapsed="false">
      <c r="A693" s="11" t="str">
        <f aca="false">IF(_LEITURA!$N693="","",INDEX(_LEITURA!$K$2:$K$1201,_LEITURA!$N693))</f>
        <v/>
      </c>
      <c r="B693" s="11" t="str">
        <f aca="false">IF(_LEITURA!$N693="","",INDEX(_LEITURA!$E$2:$E$1201,_LEITURA!$N693))</f>
        <v/>
      </c>
      <c r="C693" s="11" t="str">
        <f aca="false">IF(_LEITURA!$N693="","",INDEX(_LEITURA!$J$2:$J$1201,_LEITURA!$N693))</f>
        <v/>
      </c>
      <c r="D693" s="16" t="str">
        <f aca="false">IF(_LEITURA!$N693="","",INDEX(_LEITURA!$G$2:$G$1201,_LEITURA!$N693))</f>
        <v/>
      </c>
      <c r="E693" s="16" t="str">
        <f aca="false">IF(B693="","",SUMIFS(INVENTÁRIO!$C$2:$C$801,INVENTÁRIO!$A$2:$A$801,B693))</f>
        <v/>
      </c>
      <c r="F693" s="16" t="str">
        <f aca="false">IF(B693="","",MAX(0,D693-E693))</f>
        <v/>
      </c>
      <c r="G693" s="16" t="str">
        <f aca="false">IF(B693="","",IF(COUNTIFS($B$2:$B$1201,B693,$A$2:$A$1201,"&lt;&gt;"&amp;A693)&gt;0,"Sim",""))</f>
        <v/>
      </c>
      <c r="H693" s="16" t="str">
        <f aca="false">IF(N(F693)&gt;0,MAX(H$1:H692)+1,"")</f>
        <v/>
      </c>
      <c r="I693" s="11" t="str">
        <f aca="false">IF(B693="","",IF(INDEX($C$2:$C$1201,MATCH(B693,$B$2:$B$1201,0))&lt;&gt;C693,"Nome diferente em outro deck — revisar",""))</f>
        <v/>
      </c>
      <c r="J693" s="16" t="str">
        <f aca="false">IF(AND(B693&lt;&gt;"",A693=BULK!$A$1,N(F693)&gt;0),MAX(J$1:J692)+1,"")</f>
        <v/>
      </c>
      <c r="K693" s="11" t="str">
        <f aca="false">IF(B693="","",IFERROR(LEFT(B693,FIND("-",B693)-1),B693))</f>
        <v/>
      </c>
      <c r="L693" s="11" t="str">
        <f aca="false">IF(K693="","",IF(ISNUMBER(--MID(K693,1,1)),0,IF(ISNUMBER(--MID(K693,2,1)),1,IF(ISNUMBER(--MID(K693,3,1)),2,IF(ISNUMBER(--MID(K693,4,1)),3,MIN(LEN(K693),4))))))</f>
        <v/>
      </c>
      <c r="M693" s="11" t="str">
        <f aca="false">IF(B693="","",LEFT(K693,L693)&amp;REPT("0",4-L693)&amp;RIGHT("000"&amp;IFERROR(VALUE(MID(K693,L693+1,9)),0),3)&amp;RIGHT("0000"&amp;IFERROR(VALUE(MID(B693,FIND("-",B693)+1,9)),0),4))</f>
        <v/>
      </c>
      <c r="N693" s="11" t="str">
        <f aca="false">IF(OR(B693="",N(F693)&lt;=0),"",IF('FALTAS POR DECK'!$P$1="Código","K"&amp;M693&amp;RIGHT("00000"&amp;ROW(),5),IF('FALTAS POR DECK'!$P$1="Nome","K"&amp;UPPER(SUBSTITUTE(SUBSTITUTE(SUBSTITUTE(C693,"*",""),"?",""),"~",""))&amp;"0"&amp;M693&amp;RIGHT("00000"&amp;ROW(),5),IF('FALTAS POR DECK'!$P$1="Falta (maior primeiro)","K"&amp;RIGHT("0000"&amp;(9999-F693),4)&amp;M693&amp;RIGHT("00000"&amp;ROW(),5),IF('FALTAS POR DECK'!$P$1="Deck e código","K"&amp;RIGHT("00"&amp;IFERROR(MATCH(A693,_LEITURA!$P$2:$P$21,0),99),2)&amp;M693&amp;RIGHT("00000"&amp;ROW(),5),"K"&amp;RIGHT("00000"&amp;ROW(),5))))))</f>
        <v/>
      </c>
      <c r="O693" s="16" t="str">
        <f aca="false">IF(N693="","",COUNTIFS($N$2:$N$1201,"&lt;"&amp;N693,$F$2:$F$1201,"&gt;0")+1)</f>
        <v/>
      </c>
    </row>
    <row r="694" customFormat="false" ht="15" hidden="false" customHeight="false" outlineLevel="0" collapsed="false">
      <c r="A694" s="11" t="str">
        <f aca="false">IF(_LEITURA!$N694="","",INDEX(_LEITURA!$K$2:$K$1201,_LEITURA!$N694))</f>
        <v/>
      </c>
      <c r="B694" s="11" t="str">
        <f aca="false">IF(_LEITURA!$N694="","",INDEX(_LEITURA!$E$2:$E$1201,_LEITURA!$N694))</f>
        <v/>
      </c>
      <c r="C694" s="11" t="str">
        <f aca="false">IF(_LEITURA!$N694="","",INDEX(_LEITURA!$J$2:$J$1201,_LEITURA!$N694))</f>
        <v/>
      </c>
      <c r="D694" s="16" t="str">
        <f aca="false">IF(_LEITURA!$N694="","",INDEX(_LEITURA!$G$2:$G$1201,_LEITURA!$N694))</f>
        <v/>
      </c>
      <c r="E694" s="16" t="str">
        <f aca="false">IF(B694="","",SUMIFS(INVENTÁRIO!$C$2:$C$801,INVENTÁRIO!$A$2:$A$801,B694))</f>
        <v/>
      </c>
      <c r="F694" s="16" t="str">
        <f aca="false">IF(B694="","",MAX(0,D694-E694))</f>
        <v/>
      </c>
      <c r="G694" s="16" t="str">
        <f aca="false">IF(B694="","",IF(COUNTIFS($B$2:$B$1201,B694,$A$2:$A$1201,"&lt;&gt;"&amp;A694)&gt;0,"Sim",""))</f>
        <v/>
      </c>
      <c r="H694" s="16" t="str">
        <f aca="false">IF(N(F694)&gt;0,MAX(H$1:H693)+1,"")</f>
        <v/>
      </c>
      <c r="I694" s="11" t="str">
        <f aca="false">IF(B694="","",IF(INDEX($C$2:$C$1201,MATCH(B694,$B$2:$B$1201,0))&lt;&gt;C694,"Nome diferente em outro deck — revisar",""))</f>
        <v/>
      </c>
      <c r="J694" s="16" t="str">
        <f aca="false">IF(AND(B694&lt;&gt;"",A694=BULK!$A$1,N(F694)&gt;0),MAX(J$1:J693)+1,"")</f>
        <v/>
      </c>
      <c r="K694" s="11" t="str">
        <f aca="false">IF(B694="","",IFERROR(LEFT(B694,FIND("-",B694)-1),B694))</f>
        <v/>
      </c>
      <c r="L694" s="11" t="str">
        <f aca="false">IF(K694="","",IF(ISNUMBER(--MID(K694,1,1)),0,IF(ISNUMBER(--MID(K694,2,1)),1,IF(ISNUMBER(--MID(K694,3,1)),2,IF(ISNUMBER(--MID(K694,4,1)),3,MIN(LEN(K694),4))))))</f>
        <v/>
      </c>
      <c r="M694" s="11" t="str">
        <f aca="false">IF(B694="","",LEFT(K694,L694)&amp;REPT("0",4-L694)&amp;RIGHT("000"&amp;IFERROR(VALUE(MID(K694,L694+1,9)),0),3)&amp;RIGHT("0000"&amp;IFERROR(VALUE(MID(B694,FIND("-",B694)+1,9)),0),4))</f>
        <v/>
      </c>
      <c r="N694" s="11" t="str">
        <f aca="false">IF(OR(B694="",N(F694)&lt;=0),"",IF('FALTAS POR DECK'!$P$1="Código","K"&amp;M694&amp;RIGHT("00000"&amp;ROW(),5),IF('FALTAS POR DECK'!$P$1="Nome","K"&amp;UPPER(SUBSTITUTE(SUBSTITUTE(SUBSTITUTE(C694,"*",""),"?",""),"~",""))&amp;"0"&amp;M694&amp;RIGHT("00000"&amp;ROW(),5),IF('FALTAS POR DECK'!$P$1="Falta (maior primeiro)","K"&amp;RIGHT("0000"&amp;(9999-F694),4)&amp;M694&amp;RIGHT("00000"&amp;ROW(),5),IF('FALTAS POR DECK'!$P$1="Deck e código","K"&amp;RIGHT("00"&amp;IFERROR(MATCH(A694,_LEITURA!$P$2:$P$21,0),99),2)&amp;M694&amp;RIGHT("00000"&amp;ROW(),5),"K"&amp;RIGHT("00000"&amp;ROW(),5))))))</f>
        <v/>
      </c>
      <c r="O694" s="16" t="str">
        <f aca="false">IF(N694="","",COUNTIFS($N$2:$N$1201,"&lt;"&amp;N694,$F$2:$F$1201,"&gt;0")+1)</f>
        <v/>
      </c>
    </row>
    <row r="695" customFormat="false" ht="15" hidden="false" customHeight="false" outlineLevel="0" collapsed="false">
      <c r="A695" s="11" t="str">
        <f aca="false">IF(_LEITURA!$N695="","",INDEX(_LEITURA!$K$2:$K$1201,_LEITURA!$N695))</f>
        <v/>
      </c>
      <c r="B695" s="11" t="str">
        <f aca="false">IF(_LEITURA!$N695="","",INDEX(_LEITURA!$E$2:$E$1201,_LEITURA!$N695))</f>
        <v/>
      </c>
      <c r="C695" s="11" t="str">
        <f aca="false">IF(_LEITURA!$N695="","",INDEX(_LEITURA!$J$2:$J$1201,_LEITURA!$N695))</f>
        <v/>
      </c>
      <c r="D695" s="16" t="str">
        <f aca="false">IF(_LEITURA!$N695="","",INDEX(_LEITURA!$G$2:$G$1201,_LEITURA!$N695))</f>
        <v/>
      </c>
      <c r="E695" s="16" t="str">
        <f aca="false">IF(B695="","",SUMIFS(INVENTÁRIO!$C$2:$C$801,INVENTÁRIO!$A$2:$A$801,B695))</f>
        <v/>
      </c>
      <c r="F695" s="16" t="str">
        <f aca="false">IF(B695="","",MAX(0,D695-E695))</f>
        <v/>
      </c>
      <c r="G695" s="16" t="str">
        <f aca="false">IF(B695="","",IF(COUNTIFS($B$2:$B$1201,B695,$A$2:$A$1201,"&lt;&gt;"&amp;A695)&gt;0,"Sim",""))</f>
        <v/>
      </c>
      <c r="H695" s="16" t="str">
        <f aca="false">IF(N(F695)&gt;0,MAX(H$1:H694)+1,"")</f>
        <v/>
      </c>
      <c r="I695" s="11" t="str">
        <f aca="false">IF(B695="","",IF(INDEX($C$2:$C$1201,MATCH(B695,$B$2:$B$1201,0))&lt;&gt;C695,"Nome diferente em outro deck — revisar",""))</f>
        <v/>
      </c>
      <c r="J695" s="16" t="str">
        <f aca="false">IF(AND(B695&lt;&gt;"",A695=BULK!$A$1,N(F695)&gt;0),MAX(J$1:J694)+1,"")</f>
        <v/>
      </c>
      <c r="K695" s="11" t="str">
        <f aca="false">IF(B695="","",IFERROR(LEFT(B695,FIND("-",B695)-1),B695))</f>
        <v/>
      </c>
      <c r="L695" s="11" t="str">
        <f aca="false">IF(K695="","",IF(ISNUMBER(--MID(K695,1,1)),0,IF(ISNUMBER(--MID(K695,2,1)),1,IF(ISNUMBER(--MID(K695,3,1)),2,IF(ISNUMBER(--MID(K695,4,1)),3,MIN(LEN(K695),4))))))</f>
        <v/>
      </c>
      <c r="M695" s="11" t="str">
        <f aca="false">IF(B695="","",LEFT(K695,L695)&amp;REPT("0",4-L695)&amp;RIGHT("000"&amp;IFERROR(VALUE(MID(K695,L695+1,9)),0),3)&amp;RIGHT("0000"&amp;IFERROR(VALUE(MID(B695,FIND("-",B695)+1,9)),0),4))</f>
        <v/>
      </c>
      <c r="N695" s="11" t="str">
        <f aca="false">IF(OR(B695="",N(F695)&lt;=0),"",IF('FALTAS POR DECK'!$P$1="Código","K"&amp;M695&amp;RIGHT("00000"&amp;ROW(),5),IF('FALTAS POR DECK'!$P$1="Nome","K"&amp;UPPER(SUBSTITUTE(SUBSTITUTE(SUBSTITUTE(C695,"*",""),"?",""),"~",""))&amp;"0"&amp;M695&amp;RIGHT("00000"&amp;ROW(),5),IF('FALTAS POR DECK'!$P$1="Falta (maior primeiro)","K"&amp;RIGHT("0000"&amp;(9999-F695),4)&amp;M695&amp;RIGHT("00000"&amp;ROW(),5),IF('FALTAS POR DECK'!$P$1="Deck e código","K"&amp;RIGHT("00"&amp;IFERROR(MATCH(A695,_LEITURA!$P$2:$P$21,0),99),2)&amp;M695&amp;RIGHT("00000"&amp;ROW(),5),"K"&amp;RIGHT("00000"&amp;ROW(),5))))))</f>
        <v/>
      </c>
      <c r="O695" s="16" t="str">
        <f aca="false">IF(N695="","",COUNTIFS($N$2:$N$1201,"&lt;"&amp;N695,$F$2:$F$1201,"&gt;0")+1)</f>
        <v/>
      </c>
    </row>
    <row r="696" customFormat="false" ht="15" hidden="false" customHeight="false" outlineLevel="0" collapsed="false">
      <c r="A696" s="11" t="str">
        <f aca="false">IF(_LEITURA!$N696="","",INDEX(_LEITURA!$K$2:$K$1201,_LEITURA!$N696))</f>
        <v/>
      </c>
      <c r="B696" s="11" t="str">
        <f aca="false">IF(_LEITURA!$N696="","",INDEX(_LEITURA!$E$2:$E$1201,_LEITURA!$N696))</f>
        <v/>
      </c>
      <c r="C696" s="11" t="str">
        <f aca="false">IF(_LEITURA!$N696="","",INDEX(_LEITURA!$J$2:$J$1201,_LEITURA!$N696))</f>
        <v/>
      </c>
      <c r="D696" s="16" t="str">
        <f aca="false">IF(_LEITURA!$N696="","",INDEX(_LEITURA!$G$2:$G$1201,_LEITURA!$N696))</f>
        <v/>
      </c>
      <c r="E696" s="16" t="str">
        <f aca="false">IF(B696="","",SUMIFS(INVENTÁRIO!$C$2:$C$801,INVENTÁRIO!$A$2:$A$801,B696))</f>
        <v/>
      </c>
      <c r="F696" s="16" t="str">
        <f aca="false">IF(B696="","",MAX(0,D696-E696))</f>
        <v/>
      </c>
      <c r="G696" s="16" t="str">
        <f aca="false">IF(B696="","",IF(COUNTIFS($B$2:$B$1201,B696,$A$2:$A$1201,"&lt;&gt;"&amp;A696)&gt;0,"Sim",""))</f>
        <v/>
      </c>
      <c r="H696" s="16" t="str">
        <f aca="false">IF(N(F696)&gt;0,MAX(H$1:H695)+1,"")</f>
        <v/>
      </c>
      <c r="I696" s="11" t="str">
        <f aca="false">IF(B696="","",IF(INDEX($C$2:$C$1201,MATCH(B696,$B$2:$B$1201,0))&lt;&gt;C696,"Nome diferente em outro deck — revisar",""))</f>
        <v/>
      </c>
      <c r="J696" s="16" t="str">
        <f aca="false">IF(AND(B696&lt;&gt;"",A696=BULK!$A$1,N(F696)&gt;0),MAX(J$1:J695)+1,"")</f>
        <v/>
      </c>
      <c r="K696" s="11" t="str">
        <f aca="false">IF(B696="","",IFERROR(LEFT(B696,FIND("-",B696)-1),B696))</f>
        <v/>
      </c>
      <c r="L696" s="11" t="str">
        <f aca="false">IF(K696="","",IF(ISNUMBER(--MID(K696,1,1)),0,IF(ISNUMBER(--MID(K696,2,1)),1,IF(ISNUMBER(--MID(K696,3,1)),2,IF(ISNUMBER(--MID(K696,4,1)),3,MIN(LEN(K696),4))))))</f>
        <v/>
      </c>
      <c r="M696" s="11" t="str">
        <f aca="false">IF(B696="","",LEFT(K696,L696)&amp;REPT("0",4-L696)&amp;RIGHT("000"&amp;IFERROR(VALUE(MID(K696,L696+1,9)),0),3)&amp;RIGHT("0000"&amp;IFERROR(VALUE(MID(B696,FIND("-",B696)+1,9)),0),4))</f>
        <v/>
      </c>
      <c r="N696" s="11" t="str">
        <f aca="false">IF(OR(B696="",N(F696)&lt;=0),"",IF('FALTAS POR DECK'!$P$1="Código","K"&amp;M696&amp;RIGHT("00000"&amp;ROW(),5),IF('FALTAS POR DECK'!$P$1="Nome","K"&amp;UPPER(SUBSTITUTE(SUBSTITUTE(SUBSTITUTE(C696,"*",""),"?",""),"~",""))&amp;"0"&amp;M696&amp;RIGHT("00000"&amp;ROW(),5),IF('FALTAS POR DECK'!$P$1="Falta (maior primeiro)","K"&amp;RIGHT("0000"&amp;(9999-F696),4)&amp;M696&amp;RIGHT("00000"&amp;ROW(),5),IF('FALTAS POR DECK'!$P$1="Deck e código","K"&amp;RIGHT("00"&amp;IFERROR(MATCH(A696,_LEITURA!$P$2:$P$21,0),99),2)&amp;M696&amp;RIGHT("00000"&amp;ROW(),5),"K"&amp;RIGHT("00000"&amp;ROW(),5))))))</f>
        <v/>
      </c>
      <c r="O696" s="16" t="str">
        <f aca="false">IF(N696="","",COUNTIFS($N$2:$N$1201,"&lt;"&amp;N696,$F$2:$F$1201,"&gt;0")+1)</f>
        <v/>
      </c>
    </row>
    <row r="697" customFormat="false" ht="15" hidden="false" customHeight="false" outlineLevel="0" collapsed="false">
      <c r="A697" s="11" t="str">
        <f aca="false">IF(_LEITURA!$N697="","",INDEX(_LEITURA!$K$2:$K$1201,_LEITURA!$N697))</f>
        <v/>
      </c>
      <c r="B697" s="11" t="str">
        <f aca="false">IF(_LEITURA!$N697="","",INDEX(_LEITURA!$E$2:$E$1201,_LEITURA!$N697))</f>
        <v/>
      </c>
      <c r="C697" s="11" t="str">
        <f aca="false">IF(_LEITURA!$N697="","",INDEX(_LEITURA!$J$2:$J$1201,_LEITURA!$N697))</f>
        <v/>
      </c>
      <c r="D697" s="16" t="str">
        <f aca="false">IF(_LEITURA!$N697="","",INDEX(_LEITURA!$G$2:$G$1201,_LEITURA!$N697))</f>
        <v/>
      </c>
      <c r="E697" s="16" t="str">
        <f aca="false">IF(B697="","",SUMIFS(INVENTÁRIO!$C$2:$C$801,INVENTÁRIO!$A$2:$A$801,B697))</f>
        <v/>
      </c>
      <c r="F697" s="16" t="str">
        <f aca="false">IF(B697="","",MAX(0,D697-E697))</f>
        <v/>
      </c>
      <c r="G697" s="16" t="str">
        <f aca="false">IF(B697="","",IF(COUNTIFS($B$2:$B$1201,B697,$A$2:$A$1201,"&lt;&gt;"&amp;A697)&gt;0,"Sim",""))</f>
        <v/>
      </c>
      <c r="H697" s="16" t="str">
        <f aca="false">IF(N(F697)&gt;0,MAX(H$1:H696)+1,"")</f>
        <v/>
      </c>
      <c r="I697" s="11" t="str">
        <f aca="false">IF(B697="","",IF(INDEX($C$2:$C$1201,MATCH(B697,$B$2:$B$1201,0))&lt;&gt;C697,"Nome diferente em outro deck — revisar",""))</f>
        <v/>
      </c>
      <c r="J697" s="16" t="str">
        <f aca="false">IF(AND(B697&lt;&gt;"",A697=BULK!$A$1,N(F697)&gt;0),MAX(J$1:J696)+1,"")</f>
        <v/>
      </c>
      <c r="K697" s="11" t="str">
        <f aca="false">IF(B697="","",IFERROR(LEFT(B697,FIND("-",B697)-1),B697))</f>
        <v/>
      </c>
      <c r="L697" s="11" t="str">
        <f aca="false">IF(K697="","",IF(ISNUMBER(--MID(K697,1,1)),0,IF(ISNUMBER(--MID(K697,2,1)),1,IF(ISNUMBER(--MID(K697,3,1)),2,IF(ISNUMBER(--MID(K697,4,1)),3,MIN(LEN(K697),4))))))</f>
        <v/>
      </c>
      <c r="M697" s="11" t="str">
        <f aca="false">IF(B697="","",LEFT(K697,L697)&amp;REPT("0",4-L697)&amp;RIGHT("000"&amp;IFERROR(VALUE(MID(K697,L697+1,9)),0),3)&amp;RIGHT("0000"&amp;IFERROR(VALUE(MID(B697,FIND("-",B697)+1,9)),0),4))</f>
        <v/>
      </c>
      <c r="N697" s="11" t="str">
        <f aca="false">IF(OR(B697="",N(F697)&lt;=0),"",IF('FALTAS POR DECK'!$P$1="Código","K"&amp;M697&amp;RIGHT("00000"&amp;ROW(),5),IF('FALTAS POR DECK'!$P$1="Nome","K"&amp;UPPER(SUBSTITUTE(SUBSTITUTE(SUBSTITUTE(C697,"*",""),"?",""),"~",""))&amp;"0"&amp;M697&amp;RIGHT("00000"&amp;ROW(),5),IF('FALTAS POR DECK'!$P$1="Falta (maior primeiro)","K"&amp;RIGHT("0000"&amp;(9999-F697),4)&amp;M697&amp;RIGHT("00000"&amp;ROW(),5),IF('FALTAS POR DECK'!$P$1="Deck e código","K"&amp;RIGHT("00"&amp;IFERROR(MATCH(A697,_LEITURA!$P$2:$P$21,0),99),2)&amp;M697&amp;RIGHT("00000"&amp;ROW(),5),"K"&amp;RIGHT("00000"&amp;ROW(),5))))))</f>
        <v/>
      </c>
      <c r="O697" s="16" t="str">
        <f aca="false">IF(N697="","",COUNTIFS($N$2:$N$1201,"&lt;"&amp;N697,$F$2:$F$1201,"&gt;0")+1)</f>
        <v/>
      </c>
    </row>
    <row r="698" customFormat="false" ht="15" hidden="false" customHeight="false" outlineLevel="0" collapsed="false">
      <c r="A698" s="11" t="str">
        <f aca="false">IF(_LEITURA!$N698="","",INDEX(_LEITURA!$K$2:$K$1201,_LEITURA!$N698))</f>
        <v/>
      </c>
      <c r="B698" s="11" t="str">
        <f aca="false">IF(_LEITURA!$N698="","",INDEX(_LEITURA!$E$2:$E$1201,_LEITURA!$N698))</f>
        <v/>
      </c>
      <c r="C698" s="11" t="str">
        <f aca="false">IF(_LEITURA!$N698="","",INDEX(_LEITURA!$J$2:$J$1201,_LEITURA!$N698))</f>
        <v/>
      </c>
      <c r="D698" s="16" t="str">
        <f aca="false">IF(_LEITURA!$N698="","",INDEX(_LEITURA!$G$2:$G$1201,_LEITURA!$N698))</f>
        <v/>
      </c>
      <c r="E698" s="16" t="str">
        <f aca="false">IF(B698="","",SUMIFS(INVENTÁRIO!$C$2:$C$801,INVENTÁRIO!$A$2:$A$801,B698))</f>
        <v/>
      </c>
      <c r="F698" s="16" t="str">
        <f aca="false">IF(B698="","",MAX(0,D698-E698))</f>
        <v/>
      </c>
      <c r="G698" s="16" t="str">
        <f aca="false">IF(B698="","",IF(COUNTIFS($B$2:$B$1201,B698,$A$2:$A$1201,"&lt;&gt;"&amp;A698)&gt;0,"Sim",""))</f>
        <v/>
      </c>
      <c r="H698" s="16" t="str">
        <f aca="false">IF(N(F698)&gt;0,MAX(H$1:H697)+1,"")</f>
        <v/>
      </c>
      <c r="I698" s="11" t="str">
        <f aca="false">IF(B698="","",IF(INDEX($C$2:$C$1201,MATCH(B698,$B$2:$B$1201,0))&lt;&gt;C698,"Nome diferente em outro deck — revisar",""))</f>
        <v/>
      </c>
      <c r="J698" s="16" t="str">
        <f aca="false">IF(AND(B698&lt;&gt;"",A698=BULK!$A$1,N(F698)&gt;0),MAX(J$1:J697)+1,"")</f>
        <v/>
      </c>
      <c r="K698" s="11" t="str">
        <f aca="false">IF(B698="","",IFERROR(LEFT(B698,FIND("-",B698)-1),B698))</f>
        <v/>
      </c>
      <c r="L698" s="11" t="str">
        <f aca="false">IF(K698="","",IF(ISNUMBER(--MID(K698,1,1)),0,IF(ISNUMBER(--MID(K698,2,1)),1,IF(ISNUMBER(--MID(K698,3,1)),2,IF(ISNUMBER(--MID(K698,4,1)),3,MIN(LEN(K698),4))))))</f>
        <v/>
      </c>
      <c r="M698" s="11" t="str">
        <f aca="false">IF(B698="","",LEFT(K698,L698)&amp;REPT("0",4-L698)&amp;RIGHT("000"&amp;IFERROR(VALUE(MID(K698,L698+1,9)),0),3)&amp;RIGHT("0000"&amp;IFERROR(VALUE(MID(B698,FIND("-",B698)+1,9)),0),4))</f>
        <v/>
      </c>
      <c r="N698" s="11" t="str">
        <f aca="false">IF(OR(B698="",N(F698)&lt;=0),"",IF('FALTAS POR DECK'!$P$1="Código","K"&amp;M698&amp;RIGHT("00000"&amp;ROW(),5),IF('FALTAS POR DECK'!$P$1="Nome","K"&amp;UPPER(SUBSTITUTE(SUBSTITUTE(SUBSTITUTE(C698,"*",""),"?",""),"~",""))&amp;"0"&amp;M698&amp;RIGHT("00000"&amp;ROW(),5),IF('FALTAS POR DECK'!$P$1="Falta (maior primeiro)","K"&amp;RIGHT("0000"&amp;(9999-F698),4)&amp;M698&amp;RIGHT("00000"&amp;ROW(),5),IF('FALTAS POR DECK'!$P$1="Deck e código","K"&amp;RIGHT("00"&amp;IFERROR(MATCH(A698,_LEITURA!$P$2:$P$21,0),99),2)&amp;M698&amp;RIGHT("00000"&amp;ROW(),5),"K"&amp;RIGHT("00000"&amp;ROW(),5))))))</f>
        <v/>
      </c>
      <c r="O698" s="16" t="str">
        <f aca="false">IF(N698="","",COUNTIFS($N$2:$N$1201,"&lt;"&amp;N698,$F$2:$F$1201,"&gt;0")+1)</f>
        <v/>
      </c>
    </row>
    <row r="699" customFormat="false" ht="15" hidden="false" customHeight="false" outlineLevel="0" collapsed="false">
      <c r="A699" s="11" t="str">
        <f aca="false">IF(_LEITURA!$N699="","",INDEX(_LEITURA!$K$2:$K$1201,_LEITURA!$N699))</f>
        <v/>
      </c>
      <c r="B699" s="11" t="str">
        <f aca="false">IF(_LEITURA!$N699="","",INDEX(_LEITURA!$E$2:$E$1201,_LEITURA!$N699))</f>
        <v/>
      </c>
      <c r="C699" s="11" t="str">
        <f aca="false">IF(_LEITURA!$N699="","",INDEX(_LEITURA!$J$2:$J$1201,_LEITURA!$N699))</f>
        <v/>
      </c>
      <c r="D699" s="16" t="str">
        <f aca="false">IF(_LEITURA!$N699="","",INDEX(_LEITURA!$G$2:$G$1201,_LEITURA!$N699))</f>
        <v/>
      </c>
      <c r="E699" s="16" t="str">
        <f aca="false">IF(B699="","",SUMIFS(INVENTÁRIO!$C$2:$C$801,INVENTÁRIO!$A$2:$A$801,B699))</f>
        <v/>
      </c>
      <c r="F699" s="16" t="str">
        <f aca="false">IF(B699="","",MAX(0,D699-E699))</f>
        <v/>
      </c>
      <c r="G699" s="16" t="str">
        <f aca="false">IF(B699="","",IF(COUNTIFS($B$2:$B$1201,B699,$A$2:$A$1201,"&lt;&gt;"&amp;A699)&gt;0,"Sim",""))</f>
        <v/>
      </c>
      <c r="H699" s="16" t="str">
        <f aca="false">IF(N(F699)&gt;0,MAX(H$1:H698)+1,"")</f>
        <v/>
      </c>
      <c r="I699" s="11" t="str">
        <f aca="false">IF(B699="","",IF(INDEX($C$2:$C$1201,MATCH(B699,$B$2:$B$1201,0))&lt;&gt;C699,"Nome diferente em outro deck — revisar",""))</f>
        <v/>
      </c>
      <c r="J699" s="16" t="str">
        <f aca="false">IF(AND(B699&lt;&gt;"",A699=BULK!$A$1,N(F699)&gt;0),MAX(J$1:J698)+1,"")</f>
        <v/>
      </c>
      <c r="K699" s="11" t="str">
        <f aca="false">IF(B699="","",IFERROR(LEFT(B699,FIND("-",B699)-1),B699))</f>
        <v/>
      </c>
      <c r="L699" s="11" t="str">
        <f aca="false">IF(K699="","",IF(ISNUMBER(--MID(K699,1,1)),0,IF(ISNUMBER(--MID(K699,2,1)),1,IF(ISNUMBER(--MID(K699,3,1)),2,IF(ISNUMBER(--MID(K699,4,1)),3,MIN(LEN(K699),4))))))</f>
        <v/>
      </c>
      <c r="M699" s="11" t="str">
        <f aca="false">IF(B699="","",LEFT(K699,L699)&amp;REPT("0",4-L699)&amp;RIGHT("000"&amp;IFERROR(VALUE(MID(K699,L699+1,9)),0),3)&amp;RIGHT("0000"&amp;IFERROR(VALUE(MID(B699,FIND("-",B699)+1,9)),0),4))</f>
        <v/>
      </c>
      <c r="N699" s="11" t="str">
        <f aca="false">IF(OR(B699="",N(F699)&lt;=0),"",IF('FALTAS POR DECK'!$P$1="Código","K"&amp;M699&amp;RIGHT("00000"&amp;ROW(),5),IF('FALTAS POR DECK'!$P$1="Nome","K"&amp;UPPER(SUBSTITUTE(SUBSTITUTE(SUBSTITUTE(C699,"*",""),"?",""),"~",""))&amp;"0"&amp;M699&amp;RIGHT("00000"&amp;ROW(),5),IF('FALTAS POR DECK'!$P$1="Falta (maior primeiro)","K"&amp;RIGHT("0000"&amp;(9999-F699),4)&amp;M699&amp;RIGHT("00000"&amp;ROW(),5),IF('FALTAS POR DECK'!$P$1="Deck e código","K"&amp;RIGHT("00"&amp;IFERROR(MATCH(A699,_LEITURA!$P$2:$P$21,0),99),2)&amp;M699&amp;RIGHT("00000"&amp;ROW(),5),"K"&amp;RIGHT("00000"&amp;ROW(),5))))))</f>
        <v/>
      </c>
      <c r="O699" s="16" t="str">
        <f aca="false">IF(N699="","",COUNTIFS($N$2:$N$1201,"&lt;"&amp;N699,$F$2:$F$1201,"&gt;0")+1)</f>
        <v/>
      </c>
    </row>
    <row r="700" customFormat="false" ht="15" hidden="false" customHeight="false" outlineLevel="0" collapsed="false">
      <c r="A700" s="11" t="str">
        <f aca="false">IF(_LEITURA!$N700="","",INDEX(_LEITURA!$K$2:$K$1201,_LEITURA!$N700))</f>
        <v/>
      </c>
      <c r="B700" s="11" t="str">
        <f aca="false">IF(_LEITURA!$N700="","",INDEX(_LEITURA!$E$2:$E$1201,_LEITURA!$N700))</f>
        <v/>
      </c>
      <c r="C700" s="11" t="str">
        <f aca="false">IF(_LEITURA!$N700="","",INDEX(_LEITURA!$J$2:$J$1201,_LEITURA!$N700))</f>
        <v/>
      </c>
      <c r="D700" s="16" t="str">
        <f aca="false">IF(_LEITURA!$N700="","",INDEX(_LEITURA!$G$2:$G$1201,_LEITURA!$N700))</f>
        <v/>
      </c>
      <c r="E700" s="16" t="str">
        <f aca="false">IF(B700="","",SUMIFS(INVENTÁRIO!$C$2:$C$801,INVENTÁRIO!$A$2:$A$801,B700))</f>
        <v/>
      </c>
      <c r="F700" s="16" t="str">
        <f aca="false">IF(B700="","",MAX(0,D700-E700))</f>
        <v/>
      </c>
      <c r="G700" s="16" t="str">
        <f aca="false">IF(B700="","",IF(COUNTIFS($B$2:$B$1201,B700,$A$2:$A$1201,"&lt;&gt;"&amp;A700)&gt;0,"Sim",""))</f>
        <v/>
      </c>
      <c r="H700" s="16" t="str">
        <f aca="false">IF(N(F700)&gt;0,MAX(H$1:H699)+1,"")</f>
        <v/>
      </c>
      <c r="I700" s="11" t="str">
        <f aca="false">IF(B700="","",IF(INDEX($C$2:$C$1201,MATCH(B700,$B$2:$B$1201,0))&lt;&gt;C700,"Nome diferente em outro deck — revisar",""))</f>
        <v/>
      </c>
      <c r="J700" s="16" t="str">
        <f aca="false">IF(AND(B700&lt;&gt;"",A700=BULK!$A$1,N(F700)&gt;0),MAX(J$1:J699)+1,"")</f>
        <v/>
      </c>
      <c r="K700" s="11" t="str">
        <f aca="false">IF(B700="","",IFERROR(LEFT(B700,FIND("-",B700)-1),B700))</f>
        <v/>
      </c>
      <c r="L700" s="11" t="str">
        <f aca="false">IF(K700="","",IF(ISNUMBER(--MID(K700,1,1)),0,IF(ISNUMBER(--MID(K700,2,1)),1,IF(ISNUMBER(--MID(K700,3,1)),2,IF(ISNUMBER(--MID(K700,4,1)),3,MIN(LEN(K700),4))))))</f>
        <v/>
      </c>
      <c r="M700" s="11" t="str">
        <f aca="false">IF(B700="","",LEFT(K700,L700)&amp;REPT("0",4-L700)&amp;RIGHT("000"&amp;IFERROR(VALUE(MID(K700,L700+1,9)),0),3)&amp;RIGHT("0000"&amp;IFERROR(VALUE(MID(B700,FIND("-",B700)+1,9)),0),4))</f>
        <v/>
      </c>
      <c r="N700" s="11" t="str">
        <f aca="false">IF(OR(B700="",N(F700)&lt;=0),"",IF('FALTAS POR DECK'!$P$1="Código","K"&amp;M700&amp;RIGHT("00000"&amp;ROW(),5),IF('FALTAS POR DECK'!$P$1="Nome","K"&amp;UPPER(SUBSTITUTE(SUBSTITUTE(SUBSTITUTE(C700,"*",""),"?",""),"~",""))&amp;"0"&amp;M700&amp;RIGHT("00000"&amp;ROW(),5),IF('FALTAS POR DECK'!$P$1="Falta (maior primeiro)","K"&amp;RIGHT("0000"&amp;(9999-F700),4)&amp;M700&amp;RIGHT("00000"&amp;ROW(),5),IF('FALTAS POR DECK'!$P$1="Deck e código","K"&amp;RIGHT("00"&amp;IFERROR(MATCH(A700,_LEITURA!$P$2:$P$21,0),99),2)&amp;M700&amp;RIGHT("00000"&amp;ROW(),5),"K"&amp;RIGHT("00000"&amp;ROW(),5))))))</f>
        <v/>
      </c>
      <c r="O700" s="16" t="str">
        <f aca="false">IF(N700="","",COUNTIFS($N$2:$N$1201,"&lt;"&amp;N700,$F$2:$F$1201,"&gt;0")+1)</f>
        <v/>
      </c>
    </row>
    <row r="701" customFormat="false" ht="15" hidden="false" customHeight="false" outlineLevel="0" collapsed="false">
      <c r="A701" s="11" t="str">
        <f aca="false">IF(_LEITURA!$N701="","",INDEX(_LEITURA!$K$2:$K$1201,_LEITURA!$N701))</f>
        <v/>
      </c>
      <c r="B701" s="11" t="str">
        <f aca="false">IF(_LEITURA!$N701="","",INDEX(_LEITURA!$E$2:$E$1201,_LEITURA!$N701))</f>
        <v/>
      </c>
      <c r="C701" s="11" t="str">
        <f aca="false">IF(_LEITURA!$N701="","",INDEX(_LEITURA!$J$2:$J$1201,_LEITURA!$N701))</f>
        <v/>
      </c>
      <c r="D701" s="16" t="str">
        <f aca="false">IF(_LEITURA!$N701="","",INDEX(_LEITURA!$G$2:$G$1201,_LEITURA!$N701))</f>
        <v/>
      </c>
      <c r="E701" s="16" t="str">
        <f aca="false">IF(B701="","",SUMIFS(INVENTÁRIO!$C$2:$C$801,INVENTÁRIO!$A$2:$A$801,B701))</f>
        <v/>
      </c>
      <c r="F701" s="16" t="str">
        <f aca="false">IF(B701="","",MAX(0,D701-E701))</f>
        <v/>
      </c>
      <c r="G701" s="16" t="str">
        <f aca="false">IF(B701="","",IF(COUNTIFS($B$2:$B$1201,B701,$A$2:$A$1201,"&lt;&gt;"&amp;A701)&gt;0,"Sim",""))</f>
        <v/>
      </c>
      <c r="H701" s="16" t="str">
        <f aca="false">IF(N(F701)&gt;0,MAX(H$1:H700)+1,"")</f>
        <v/>
      </c>
      <c r="I701" s="11" t="str">
        <f aca="false">IF(B701="","",IF(INDEX($C$2:$C$1201,MATCH(B701,$B$2:$B$1201,0))&lt;&gt;C701,"Nome diferente em outro deck — revisar",""))</f>
        <v/>
      </c>
      <c r="J701" s="16" t="str">
        <f aca="false">IF(AND(B701&lt;&gt;"",A701=BULK!$A$1,N(F701)&gt;0),MAX(J$1:J700)+1,"")</f>
        <v/>
      </c>
      <c r="K701" s="11" t="str">
        <f aca="false">IF(B701="","",IFERROR(LEFT(B701,FIND("-",B701)-1),B701))</f>
        <v/>
      </c>
      <c r="L701" s="11" t="str">
        <f aca="false">IF(K701="","",IF(ISNUMBER(--MID(K701,1,1)),0,IF(ISNUMBER(--MID(K701,2,1)),1,IF(ISNUMBER(--MID(K701,3,1)),2,IF(ISNUMBER(--MID(K701,4,1)),3,MIN(LEN(K701),4))))))</f>
        <v/>
      </c>
      <c r="M701" s="11" t="str">
        <f aca="false">IF(B701="","",LEFT(K701,L701)&amp;REPT("0",4-L701)&amp;RIGHT("000"&amp;IFERROR(VALUE(MID(K701,L701+1,9)),0),3)&amp;RIGHT("0000"&amp;IFERROR(VALUE(MID(B701,FIND("-",B701)+1,9)),0),4))</f>
        <v/>
      </c>
      <c r="N701" s="11" t="str">
        <f aca="false">IF(OR(B701="",N(F701)&lt;=0),"",IF('FALTAS POR DECK'!$P$1="Código","K"&amp;M701&amp;RIGHT("00000"&amp;ROW(),5),IF('FALTAS POR DECK'!$P$1="Nome","K"&amp;UPPER(SUBSTITUTE(SUBSTITUTE(SUBSTITUTE(C701,"*",""),"?",""),"~",""))&amp;"0"&amp;M701&amp;RIGHT("00000"&amp;ROW(),5),IF('FALTAS POR DECK'!$P$1="Falta (maior primeiro)","K"&amp;RIGHT("0000"&amp;(9999-F701),4)&amp;M701&amp;RIGHT("00000"&amp;ROW(),5),IF('FALTAS POR DECK'!$P$1="Deck e código","K"&amp;RIGHT("00"&amp;IFERROR(MATCH(A701,_LEITURA!$P$2:$P$21,0),99),2)&amp;M701&amp;RIGHT("00000"&amp;ROW(),5),"K"&amp;RIGHT("00000"&amp;ROW(),5))))))</f>
        <v/>
      </c>
      <c r="O701" s="16" t="str">
        <f aca="false">IF(N701="","",COUNTIFS($N$2:$N$1201,"&lt;"&amp;N701,$F$2:$F$1201,"&gt;0")+1)</f>
        <v/>
      </c>
    </row>
    <row r="702" customFormat="false" ht="15" hidden="false" customHeight="false" outlineLevel="0" collapsed="false">
      <c r="A702" s="11" t="str">
        <f aca="false">IF(_LEITURA!$N702="","",INDEX(_LEITURA!$K$2:$K$1201,_LEITURA!$N702))</f>
        <v/>
      </c>
      <c r="B702" s="11" t="str">
        <f aca="false">IF(_LEITURA!$N702="","",INDEX(_LEITURA!$E$2:$E$1201,_LEITURA!$N702))</f>
        <v/>
      </c>
      <c r="C702" s="11" t="str">
        <f aca="false">IF(_LEITURA!$N702="","",INDEX(_LEITURA!$J$2:$J$1201,_LEITURA!$N702))</f>
        <v/>
      </c>
      <c r="D702" s="16" t="str">
        <f aca="false">IF(_LEITURA!$N702="","",INDEX(_LEITURA!$G$2:$G$1201,_LEITURA!$N702))</f>
        <v/>
      </c>
      <c r="E702" s="16" t="str">
        <f aca="false">IF(B702="","",SUMIFS(INVENTÁRIO!$C$2:$C$801,INVENTÁRIO!$A$2:$A$801,B702))</f>
        <v/>
      </c>
      <c r="F702" s="16" t="str">
        <f aca="false">IF(B702="","",MAX(0,D702-E702))</f>
        <v/>
      </c>
      <c r="G702" s="16" t="str">
        <f aca="false">IF(B702="","",IF(COUNTIFS($B$2:$B$1201,B702,$A$2:$A$1201,"&lt;&gt;"&amp;A702)&gt;0,"Sim",""))</f>
        <v/>
      </c>
      <c r="H702" s="16" t="str">
        <f aca="false">IF(N(F702)&gt;0,MAX(H$1:H701)+1,"")</f>
        <v/>
      </c>
      <c r="I702" s="11" t="str">
        <f aca="false">IF(B702="","",IF(INDEX($C$2:$C$1201,MATCH(B702,$B$2:$B$1201,0))&lt;&gt;C702,"Nome diferente em outro deck — revisar",""))</f>
        <v/>
      </c>
      <c r="J702" s="16" t="str">
        <f aca="false">IF(AND(B702&lt;&gt;"",A702=BULK!$A$1,N(F702)&gt;0),MAX(J$1:J701)+1,"")</f>
        <v/>
      </c>
      <c r="K702" s="11" t="str">
        <f aca="false">IF(B702="","",IFERROR(LEFT(B702,FIND("-",B702)-1),B702))</f>
        <v/>
      </c>
      <c r="L702" s="11" t="str">
        <f aca="false">IF(K702="","",IF(ISNUMBER(--MID(K702,1,1)),0,IF(ISNUMBER(--MID(K702,2,1)),1,IF(ISNUMBER(--MID(K702,3,1)),2,IF(ISNUMBER(--MID(K702,4,1)),3,MIN(LEN(K702),4))))))</f>
        <v/>
      </c>
      <c r="M702" s="11" t="str">
        <f aca="false">IF(B702="","",LEFT(K702,L702)&amp;REPT("0",4-L702)&amp;RIGHT("000"&amp;IFERROR(VALUE(MID(K702,L702+1,9)),0),3)&amp;RIGHT("0000"&amp;IFERROR(VALUE(MID(B702,FIND("-",B702)+1,9)),0),4))</f>
        <v/>
      </c>
      <c r="N702" s="11" t="str">
        <f aca="false">IF(OR(B702="",N(F702)&lt;=0),"",IF('FALTAS POR DECK'!$P$1="Código","K"&amp;M702&amp;RIGHT("00000"&amp;ROW(),5),IF('FALTAS POR DECK'!$P$1="Nome","K"&amp;UPPER(SUBSTITUTE(SUBSTITUTE(SUBSTITUTE(C702,"*",""),"?",""),"~",""))&amp;"0"&amp;M702&amp;RIGHT("00000"&amp;ROW(),5),IF('FALTAS POR DECK'!$P$1="Falta (maior primeiro)","K"&amp;RIGHT("0000"&amp;(9999-F702),4)&amp;M702&amp;RIGHT("00000"&amp;ROW(),5),IF('FALTAS POR DECK'!$P$1="Deck e código","K"&amp;RIGHT("00"&amp;IFERROR(MATCH(A702,_LEITURA!$P$2:$P$21,0),99),2)&amp;M702&amp;RIGHT("00000"&amp;ROW(),5),"K"&amp;RIGHT("00000"&amp;ROW(),5))))))</f>
        <v/>
      </c>
      <c r="O702" s="16" t="str">
        <f aca="false">IF(N702="","",COUNTIFS($N$2:$N$1201,"&lt;"&amp;N702,$F$2:$F$1201,"&gt;0")+1)</f>
        <v/>
      </c>
    </row>
    <row r="703" customFormat="false" ht="15" hidden="false" customHeight="false" outlineLevel="0" collapsed="false">
      <c r="A703" s="11" t="str">
        <f aca="false">IF(_LEITURA!$N703="","",INDEX(_LEITURA!$K$2:$K$1201,_LEITURA!$N703))</f>
        <v/>
      </c>
      <c r="B703" s="11" t="str">
        <f aca="false">IF(_LEITURA!$N703="","",INDEX(_LEITURA!$E$2:$E$1201,_LEITURA!$N703))</f>
        <v/>
      </c>
      <c r="C703" s="11" t="str">
        <f aca="false">IF(_LEITURA!$N703="","",INDEX(_LEITURA!$J$2:$J$1201,_LEITURA!$N703))</f>
        <v/>
      </c>
      <c r="D703" s="16" t="str">
        <f aca="false">IF(_LEITURA!$N703="","",INDEX(_LEITURA!$G$2:$G$1201,_LEITURA!$N703))</f>
        <v/>
      </c>
      <c r="E703" s="16" t="str">
        <f aca="false">IF(B703="","",SUMIFS(INVENTÁRIO!$C$2:$C$801,INVENTÁRIO!$A$2:$A$801,B703))</f>
        <v/>
      </c>
      <c r="F703" s="16" t="str">
        <f aca="false">IF(B703="","",MAX(0,D703-E703))</f>
        <v/>
      </c>
      <c r="G703" s="16" t="str">
        <f aca="false">IF(B703="","",IF(COUNTIFS($B$2:$B$1201,B703,$A$2:$A$1201,"&lt;&gt;"&amp;A703)&gt;0,"Sim",""))</f>
        <v/>
      </c>
      <c r="H703" s="16" t="str">
        <f aca="false">IF(N(F703)&gt;0,MAX(H$1:H702)+1,"")</f>
        <v/>
      </c>
      <c r="I703" s="11" t="str">
        <f aca="false">IF(B703="","",IF(INDEX($C$2:$C$1201,MATCH(B703,$B$2:$B$1201,0))&lt;&gt;C703,"Nome diferente em outro deck — revisar",""))</f>
        <v/>
      </c>
      <c r="J703" s="16" t="str">
        <f aca="false">IF(AND(B703&lt;&gt;"",A703=BULK!$A$1,N(F703)&gt;0),MAX(J$1:J702)+1,"")</f>
        <v/>
      </c>
      <c r="K703" s="11" t="str">
        <f aca="false">IF(B703="","",IFERROR(LEFT(B703,FIND("-",B703)-1),B703))</f>
        <v/>
      </c>
      <c r="L703" s="11" t="str">
        <f aca="false">IF(K703="","",IF(ISNUMBER(--MID(K703,1,1)),0,IF(ISNUMBER(--MID(K703,2,1)),1,IF(ISNUMBER(--MID(K703,3,1)),2,IF(ISNUMBER(--MID(K703,4,1)),3,MIN(LEN(K703),4))))))</f>
        <v/>
      </c>
      <c r="M703" s="11" t="str">
        <f aca="false">IF(B703="","",LEFT(K703,L703)&amp;REPT("0",4-L703)&amp;RIGHT("000"&amp;IFERROR(VALUE(MID(K703,L703+1,9)),0),3)&amp;RIGHT("0000"&amp;IFERROR(VALUE(MID(B703,FIND("-",B703)+1,9)),0),4))</f>
        <v/>
      </c>
      <c r="N703" s="11" t="str">
        <f aca="false">IF(OR(B703="",N(F703)&lt;=0),"",IF('FALTAS POR DECK'!$P$1="Código","K"&amp;M703&amp;RIGHT("00000"&amp;ROW(),5),IF('FALTAS POR DECK'!$P$1="Nome","K"&amp;UPPER(SUBSTITUTE(SUBSTITUTE(SUBSTITUTE(C703,"*",""),"?",""),"~",""))&amp;"0"&amp;M703&amp;RIGHT("00000"&amp;ROW(),5),IF('FALTAS POR DECK'!$P$1="Falta (maior primeiro)","K"&amp;RIGHT("0000"&amp;(9999-F703),4)&amp;M703&amp;RIGHT("00000"&amp;ROW(),5),IF('FALTAS POR DECK'!$P$1="Deck e código","K"&amp;RIGHT("00"&amp;IFERROR(MATCH(A703,_LEITURA!$P$2:$P$21,0),99),2)&amp;M703&amp;RIGHT("00000"&amp;ROW(),5),"K"&amp;RIGHT("00000"&amp;ROW(),5))))))</f>
        <v/>
      </c>
      <c r="O703" s="16" t="str">
        <f aca="false">IF(N703="","",COUNTIFS($N$2:$N$1201,"&lt;"&amp;N703,$F$2:$F$1201,"&gt;0")+1)</f>
        <v/>
      </c>
    </row>
    <row r="704" customFormat="false" ht="15" hidden="false" customHeight="false" outlineLevel="0" collapsed="false">
      <c r="A704" s="11" t="str">
        <f aca="false">IF(_LEITURA!$N704="","",INDEX(_LEITURA!$K$2:$K$1201,_LEITURA!$N704))</f>
        <v/>
      </c>
      <c r="B704" s="11" t="str">
        <f aca="false">IF(_LEITURA!$N704="","",INDEX(_LEITURA!$E$2:$E$1201,_LEITURA!$N704))</f>
        <v/>
      </c>
      <c r="C704" s="11" t="str">
        <f aca="false">IF(_LEITURA!$N704="","",INDEX(_LEITURA!$J$2:$J$1201,_LEITURA!$N704))</f>
        <v/>
      </c>
      <c r="D704" s="16" t="str">
        <f aca="false">IF(_LEITURA!$N704="","",INDEX(_LEITURA!$G$2:$G$1201,_LEITURA!$N704))</f>
        <v/>
      </c>
      <c r="E704" s="16" t="str">
        <f aca="false">IF(B704="","",SUMIFS(INVENTÁRIO!$C$2:$C$801,INVENTÁRIO!$A$2:$A$801,B704))</f>
        <v/>
      </c>
      <c r="F704" s="16" t="str">
        <f aca="false">IF(B704="","",MAX(0,D704-E704))</f>
        <v/>
      </c>
      <c r="G704" s="16" t="str">
        <f aca="false">IF(B704="","",IF(COUNTIFS($B$2:$B$1201,B704,$A$2:$A$1201,"&lt;&gt;"&amp;A704)&gt;0,"Sim",""))</f>
        <v/>
      </c>
      <c r="H704" s="16" t="str">
        <f aca="false">IF(N(F704)&gt;0,MAX(H$1:H703)+1,"")</f>
        <v/>
      </c>
      <c r="I704" s="11" t="str">
        <f aca="false">IF(B704="","",IF(INDEX($C$2:$C$1201,MATCH(B704,$B$2:$B$1201,0))&lt;&gt;C704,"Nome diferente em outro deck — revisar",""))</f>
        <v/>
      </c>
      <c r="J704" s="16" t="str">
        <f aca="false">IF(AND(B704&lt;&gt;"",A704=BULK!$A$1,N(F704)&gt;0),MAX(J$1:J703)+1,"")</f>
        <v/>
      </c>
      <c r="K704" s="11" t="str">
        <f aca="false">IF(B704="","",IFERROR(LEFT(B704,FIND("-",B704)-1),B704))</f>
        <v/>
      </c>
      <c r="L704" s="11" t="str">
        <f aca="false">IF(K704="","",IF(ISNUMBER(--MID(K704,1,1)),0,IF(ISNUMBER(--MID(K704,2,1)),1,IF(ISNUMBER(--MID(K704,3,1)),2,IF(ISNUMBER(--MID(K704,4,1)),3,MIN(LEN(K704),4))))))</f>
        <v/>
      </c>
      <c r="M704" s="11" t="str">
        <f aca="false">IF(B704="","",LEFT(K704,L704)&amp;REPT("0",4-L704)&amp;RIGHT("000"&amp;IFERROR(VALUE(MID(K704,L704+1,9)),0),3)&amp;RIGHT("0000"&amp;IFERROR(VALUE(MID(B704,FIND("-",B704)+1,9)),0),4))</f>
        <v/>
      </c>
      <c r="N704" s="11" t="str">
        <f aca="false">IF(OR(B704="",N(F704)&lt;=0),"",IF('FALTAS POR DECK'!$P$1="Código","K"&amp;M704&amp;RIGHT("00000"&amp;ROW(),5),IF('FALTAS POR DECK'!$P$1="Nome","K"&amp;UPPER(SUBSTITUTE(SUBSTITUTE(SUBSTITUTE(C704,"*",""),"?",""),"~",""))&amp;"0"&amp;M704&amp;RIGHT("00000"&amp;ROW(),5),IF('FALTAS POR DECK'!$P$1="Falta (maior primeiro)","K"&amp;RIGHT("0000"&amp;(9999-F704),4)&amp;M704&amp;RIGHT("00000"&amp;ROW(),5),IF('FALTAS POR DECK'!$P$1="Deck e código","K"&amp;RIGHT("00"&amp;IFERROR(MATCH(A704,_LEITURA!$P$2:$P$21,0),99),2)&amp;M704&amp;RIGHT("00000"&amp;ROW(),5),"K"&amp;RIGHT("00000"&amp;ROW(),5))))))</f>
        <v/>
      </c>
      <c r="O704" s="16" t="str">
        <f aca="false">IF(N704="","",COUNTIFS($N$2:$N$1201,"&lt;"&amp;N704,$F$2:$F$1201,"&gt;0")+1)</f>
        <v/>
      </c>
    </row>
    <row r="705" customFormat="false" ht="15" hidden="false" customHeight="false" outlineLevel="0" collapsed="false">
      <c r="A705" s="11" t="str">
        <f aca="false">IF(_LEITURA!$N705="","",INDEX(_LEITURA!$K$2:$K$1201,_LEITURA!$N705))</f>
        <v/>
      </c>
      <c r="B705" s="11" t="str">
        <f aca="false">IF(_LEITURA!$N705="","",INDEX(_LEITURA!$E$2:$E$1201,_LEITURA!$N705))</f>
        <v/>
      </c>
      <c r="C705" s="11" t="str">
        <f aca="false">IF(_LEITURA!$N705="","",INDEX(_LEITURA!$J$2:$J$1201,_LEITURA!$N705))</f>
        <v/>
      </c>
      <c r="D705" s="16" t="str">
        <f aca="false">IF(_LEITURA!$N705="","",INDEX(_LEITURA!$G$2:$G$1201,_LEITURA!$N705))</f>
        <v/>
      </c>
      <c r="E705" s="16" t="str">
        <f aca="false">IF(B705="","",SUMIFS(INVENTÁRIO!$C$2:$C$801,INVENTÁRIO!$A$2:$A$801,B705))</f>
        <v/>
      </c>
      <c r="F705" s="16" t="str">
        <f aca="false">IF(B705="","",MAX(0,D705-E705))</f>
        <v/>
      </c>
      <c r="G705" s="16" t="str">
        <f aca="false">IF(B705="","",IF(COUNTIFS($B$2:$B$1201,B705,$A$2:$A$1201,"&lt;&gt;"&amp;A705)&gt;0,"Sim",""))</f>
        <v/>
      </c>
      <c r="H705" s="16" t="str">
        <f aca="false">IF(N(F705)&gt;0,MAX(H$1:H704)+1,"")</f>
        <v/>
      </c>
      <c r="I705" s="11" t="str">
        <f aca="false">IF(B705="","",IF(INDEX($C$2:$C$1201,MATCH(B705,$B$2:$B$1201,0))&lt;&gt;C705,"Nome diferente em outro deck — revisar",""))</f>
        <v/>
      </c>
      <c r="J705" s="16" t="str">
        <f aca="false">IF(AND(B705&lt;&gt;"",A705=BULK!$A$1,N(F705)&gt;0),MAX(J$1:J704)+1,"")</f>
        <v/>
      </c>
      <c r="K705" s="11" t="str">
        <f aca="false">IF(B705="","",IFERROR(LEFT(B705,FIND("-",B705)-1),B705))</f>
        <v/>
      </c>
      <c r="L705" s="11" t="str">
        <f aca="false">IF(K705="","",IF(ISNUMBER(--MID(K705,1,1)),0,IF(ISNUMBER(--MID(K705,2,1)),1,IF(ISNUMBER(--MID(K705,3,1)),2,IF(ISNUMBER(--MID(K705,4,1)),3,MIN(LEN(K705),4))))))</f>
        <v/>
      </c>
      <c r="M705" s="11" t="str">
        <f aca="false">IF(B705="","",LEFT(K705,L705)&amp;REPT("0",4-L705)&amp;RIGHT("000"&amp;IFERROR(VALUE(MID(K705,L705+1,9)),0),3)&amp;RIGHT("0000"&amp;IFERROR(VALUE(MID(B705,FIND("-",B705)+1,9)),0),4))</f>
        <v/>
      </c>
      <c r="N705" s="11" t="str">
        <f aca="false">IF(OR(B705="",N(F705)&lt;=0),"",IF('FALTAS POR DECK'!$P$1="Código","K"&amp;M705&amp;RIGHT("00000"&amp;ROW(),5),IF('FALTAS POR DECK'!$P$1="Nome","K"&amp;UPPER(SUBSTITUTE(SUBSTITUTE(SUBSTITUTE(C705,"*",""),"?",""),"~",""))&amp;"0"&amp;M705&amp;RIGHT("00000"&amp;ROW(),5),IF('FALTAS POR DECK'!$P$1="Falta (maior primeiro)","K"&amp;RIGHT("0000"&amp;(9999-F705),4)&amp;M705&amp;RIGHT("00000"&amp;ROW(),5),IF('FALTAS POR DECK'!$P$1="Deck e código","K"&amp;RIGHT("00"&amp;IFERROR(MATCH(A705,_LEITURA!$P$2:$P$21,0),99),2)&amp;M705&amp;RIGHT("00000"&amp;ROW(),5),"K"&amp;RIGHT("00000"&amp;ROW(),5))))))</f>
        <v/>
      </c>
      <c r="O705" s="16" t="str">
        <f aca="false">IF(N705="","",COUNTIFS($N$2:$N$1201,"&lt;"&amp;N705,$F$2:$F$1201,"&gt;0")+1)</f>
        <v/>
      </c>
    </row>
    <row r="706" customFormat="false" ht="15" hidden="false" customHeight="false" outlineLevel="0" collapsed="false">
      <c r="A706" s="11" t="str">
        <f aca="false">IF(_LEITURA!$N706="","",INDEX(_LEITURA!$K$2:$K$1201,_LEITURA!$N706))</f>
        <v/>
      </c>
      <c r="B706" s="11" t="str">
        <f aca="false">IF(_LEITURA!$N706="","",INDEX(_LEITURA!$E$2:$E$1201,_LEITURA!$N706))</f>
        <v/>
      </c>
      <c r="C706" s="11" t="str">
        <f aca="false">IF(_LEITURA!$N706="","",INDEX(_LEITURA!$J$2:$J$1201,_LEITURA!$N706))</f>
        <v/>
      </c>
      <c r="D706" s="16" t="str">
        <f aca="false">IF(_LEITURA!$N706="","",INDEX(_LEITURA!$G$2:$G$1201,_LEITURA!$N706))</f>
        <v/>
      </c>
      <c r="E706" s="16" t="str">
        <f aca="false">IF(B706="","",SUMIFS(INVENTÁRIO!$C$2:$C$801,INVENTÁRIO!$A$2:$A$801,B706))</f>
        <v/>
      </c>
      <c r="F706" s="16" t="str">
        <f aca="false">IF(B706="","",MAX(0,D706-E706))</f>
        <v/>
      </c>
      <c r="G706" s="16" t="str">
        <f aca="false">IF(B706="","",IF(COUNTIFS($B$2:$B$1201,B706,$A$2:$A$1201,"&lt;&gt;"&amp;A706)&gt;0,"Sim",""))</f>
        <v/>
      </c>
      <c r="H706" s="16" t="str">
        <f aca="false">IF(N(F706)&gt;0,MAX(H$1:H705)+1,"")</f>
        <v/>
      </c>
      <c r="I706" s="11" t="str">
        <f aca="false">IF(B706="","",IF(INDEX($C$2:$C$1201,MATCH(B706,$B$2:$B$1201,0))&lt;&gt;C706,"Nome diferente em outro deck — revisar",""))</f>
        <v/>
      </c>
      <c r="J706" s="16" t="str">
        <f aca="false">IF(AND(B706&lt;&gt;"",A706=BULK!$A$1,N(F706)&gt;0),MAX(J$1:J705)+1,"")</f>
        <v/>
      </c>
      <c r="K706" s="11" t="str">
        <f aca="false">IF(B706="","",IFERROR(LEFT(B706,FIND("-",B706)-1),B706))</f>
        <v/>
      </c>
      <c r="L706" s="11" t="str">
        <f aca="false">IF(K706="","",IF(ISNUMBER(--MID(K706,1,1)),0,IF(ISNUMBER(--MID(K706,2,1)),1,IF(ISNUMBER(--MID(K706,3,1)),2,IF(ISNUMBER(--MID(K706,4,1)),3,MIN(LEN(K706),4))))))</f>
        <v/>
      </c>
      <c r="M706" s="11" t="str">
        <f aca="false">IF(B706="","",LEFT(K706,L706)&amp;REPT("0",4-L706)&amp;RIGHT("000"&amp;IFERROR(VALUE(MID(K706,L706+1,9)),0),3)&amp;RIGHT("0000"&amp;IFERROR(VALUE(MID(B706,FIND("-",B706)+1,9)),0),4))</f>
        <v/>
      </c>
      <c r="N706" s="11" t="str">
        <f aca="false">IF(OR(B706="",N(F706)&lt;=0),"",IF('FALTAS POR DECK'!$P$1="Código","K"&amp;M706&amp;RIGHT("00000"&amp;ROW(),5),IF('FALTAS POR DECK'!$P$1="Nome","K"&amp;UPPER(SUBSTITUTE(SUBSTITUTE(SUBSTITUTE(C706,"*",""),"?",""),"~",""))&amp;"0"&amp;M706&amp;RIGHT("00000"&amp;ROW(),5),IF('FALTAS POR DECK'!$P$1="Falta (maior primeiro)","K"&amp;RIGHT("0000"&amp;(9999-F706),4)&amp;M706&amp;RIGHT("00000"&amp;ROW(),5),IF('FALTAS POR DECK'!$P$1="Deck e código","K"&amp;RIGHT("00"&amp;IFERROR(MATCH(A706,_LEITURA!$P$2:$P$21,0),99),2)&amp;M706&amp;RIGHT("00000"&amp;ROW(),5),"K"&amp;RIGHT("00000"&amp;ROW(),5))))))</f>
        <v/>
      </c>
      <c r="O706" s="16" t="str">
        <f aca="false">IF(N706="","",COUNTIFS($N$2:$N$1201,"&lt;"&amp;N706,$F$2:$F$1201,"&gt;0")+1)</f>
        <v/>
      </c>
    </row>
    <row r="707" customFormat="false" ht="15" hidden="false" customHeight="false" outlineLevel="0" collapsed="false">
      <c r="A707" s="11" t="str">
        <f aca="false">IF(_LEITURA!$N707="","",INDEX(_LEITURA!$K$2:$K$1201,_LEITURA!$N707))</f>
        <v/>
      </c>
      <c r="B707" s="11" t="str">
        <f aca="false">IF(_LEITURA!$N707="","",INDEX(_LEITURA!$E$2:$E$1201,_LEITURA!$N707))</f>
        <v/>
      </c>
      <c r="C707" s="11" t="str">
        <f aca="false">IF(_LEITURA!$N707="","",INDEX(_LEITURA!$J$2:$J$1201,_LEITURA!$N707))</f>
        <v/>
      </c>
      <c r="D707" s="16" t="str">
        <f aca="false">IF(_LEITURA!$N707="","",INDEX(_LEITURA!$G$2:$G$1201,_LEITURA!$N707))</f>
        <v/>
      </c>
      <c r="E707" s="16" t="str">
        <f aca="false">IF(B707="","",SUMIFS(INVENTÁRIO!$C$2:$C$801,INVENTÁRIO!$A$2:$A$801,B707))</f>
        <v/>
      </c>
      <c r="F707" s="16" t="str">
        <f aca="false">IF(B707="","",MAX(0,D707-E707))</f>
        <v/>
      </c>
      <c r="G707" s="16" t="str">
        <f aca="false">IF(B707="","",IF(COUNTIFS($B$2:$B$1201,B707,$A$2:$A$1201,"&lt;&gt;"&amp;A707)&gt;0,"Sim",""))</f>
        <v/>
      </c>
      <c r="H707" s="16" t="str">
        <f aca="false">IF(N(F707)&gt;0,MAX(H$1:H706)+1,"")</f>
        <v/>
      </c>
      <c r="I707" s="11" t="str">
        <f aca="false">IF(B707="","",IF(INDEX($C$2:$C$1201,MATCH(B707,$B$2:$B$1201,0))&lt;&gt;C707,"Nome diferente em outro deck — revisar",""))</f>
        <v/>
      </c>
      <c r="J707" s="16" t="str">
        <f aca="false">IF(AND(B707&lt;&gt;"",A707=BULK!$A$1,N(F707)&gt;0),MAX(J$1:J706)+1,"")</f>
        <v/>
      </c>
      <c r="K707" s="11" t="str">
        <f aca="false">IF(B707="","",IFERROR(LEFT(B707,FIND("-",B707)-1),B707))</f>
        <v/>
      </c>
      <c r="L707" s="11" t="str">
        <f aca="false">IF(K707="","",IF(ISNUMBER(--MID(K707,1,1)),0,IF(ISNUMBER(--MID(K707,2,1)),1,IF(ISNUMBER(--MID(K707,3,1)),2,IF(ISNUMBER(--MID(K707,4,1)),3,MIN(LEN(K707),4))))))</f>
        <v/>
      </c>
      <c r="M707" s="11" t="str">
        <f aca="false">IF(B707="","",LEFT(K707,L707)&amp;REPT("0",4-L707)&amp;RIGHT("000"&amp;IFERROR(VALUE(MID(K707,L707+1,9)),0),3)&amp;RIGHT("0000"&amp;IFERROR(VALUE(MID(B707,FIND("-",B707)+1,9)),0),4))</f>
        <v/>
      </c>
      <c r="N707" s="11" t="str">
        <f aca="false">IF(OR(B707="",N(F707)&lt;=0),"",IF('FALTAS POR DECK'!$P$1="Código","K"&amp;M707&amp;RIGHT("00000"&amp;ROW(),5),IF('FALTAS POR DECK'!$P$1="Nome","K"&amp;UPPER(SUBSTITUTE(SUBSTITUTE(SUBSTITUTE(C707,"*",""),"?",""),"~",""))&amp;"0"&amp;M707&amp;RIGHT("00000"&amp;ROW(),5),IF('FALTAS POR DECK'!$P$1="Falta (maior primeiro)","K"&amp;RIGHT("0000"&amp;(9999-F707),4)&amp;M707&amp;RIGHT("00000"&amp;ROW(),5),IF('FALTAS POR DECK'!$P$1="Deck e código","K"&amp;RIGHT("00"&amp;IFERROR(MATCH(A707,_LEITURA!$P$2:$P$21,0),99),2)&amp;M707&amp;RIGHT("00000"&amp;ROW(),5),"K"&amp;RIGHT("00000"&amp;ROW(),5))))))</f>
        <v/>
      </c>
      <c r="O707" s="16" t="str">
        <f aca="false">IF(N707="","",COUNTIFS($N$2:$N$1201,"&lt;"&amp;N707,$F$2:$F$1201,"&gt;0")+1)</f>
        <v/>
      </c>
    </row>
    <row r="708" customFormat="false" ht="15" hidden="false" customHeight="false" outlineLevel="0" collapsed="false">
      <c r="A708" s="11" t="str">
        <f aca="false">IF(_LEITURA!$N708="","",INDEX(_LEITURA!$K$2:$K$1201,_LEITURA!$N708))</f>
        <v/>
      </c>
      <c r="B708" s="11" t="str">
        <f aca="false">IF(_LEITURA!$N708="","",INDEX(_LEITURA!$E$2:$E$1201,_LEITURA!$N708))</f>
        <v/>
      </c>
      <c r="C708" s="11" t="str">
        <f aca="false">IF(_LEITURA!$N708="","",INDEX(_LEITURA!$J$2:$J$1201,_LEITURA!$N708))</f>
        <v/>
      </c>
      <c r="D708" s="16" t="str">
        <f aca="false">IF(_LEITURA!$N708="","",INDEX(_LEITURA!$G$2:$G$1201,_LEITURA!$N708))</f>
        <v/>
      </c>
      <c r="E708" s="16" t="str">
        <f aca="false">IF(B708="","",SUMIFS(INVENTÁRIO!$C$2:$C$801,INVENTÁRIO!$A$2:$A$801,B708))</f>
        <v/>
      </c>
      <c r="F708" s="16" t="str">
        <f aca="false">IF(B708="","",MAX(0,D708-E708))</f>
        <v/>
      </c>
      <c r="G708" s="16" t="str">
        <f aca="false">IF(B708="","",IF(COUNTIFS($B$2:$B$1201,B708,$A$2:$A$1201,"&lt;&gt;"&amp;A708)&gt;0,"Sim",""))</f>
        <v/>
      </c>
      <c r="H708" s="16" t="str">
        <f aca="false">IF(N(F708)&gt;0,MAX(H$1:H707)+1,"")</f>
        <v/>
      </c>
      <c r="I708" s="11" t="str">
        <f aca="false">IF(B708="","",IF(INDEX($C$2:$C$1201,MATCH(B708,$B$2:$B$1201,0))&lt;&gt;C708,"Nome diferente em outro deck — revisar",""))</f>
        <v/>
      </c>
      <c r="J708" s="16" t="str">
        <f aca="false">IF(AND(B708&lt;&gt;"",A708=BULK!$A$1,N(F708)&gt;0),MAX(J$1:J707)+1,"")</f>
        <v/>
      </c>
      <c r="K708" s="11" t="str">
        <f aca="false">IF(B708="","",IFERROR(LEFT(B708,FIND("-",B708)-1),B708))</f>
        <v/>
      </c>
      <c r="L708" s="11" t="str">
        <f aca="false">IF(K708="","",IF(ISNUMBER(--MID(K708,1,1)),0,IF(ISNUMBER(--MID(K708,2,1)),1,IF(ISNUMBER(--MID(K708,3,1)),2,IF(ISNUMBER(--MID(K708,4,1)),3,MIN(LEN(K708),4))))))</f>
        <v/>
      </c>
      <c r="M708" s="11" t="str">
        <f aca="false">IF(B708="","",LEFT(K708,L708)&amp;REPT("0",4-L708)&amp;RIGHT("000"&amp;IFERROR(VALUE(MID(K708,L708+1,9)),0),3)&amp;RIGHT("0000"&amp;IFERROR(VALUE(MID(B708,FIND("-",B708)+1,9)),0),4))</f>
        <v/>
      </c>
      <c r="N708" s="11" t="str">
        <f aca="false">IF(OR(B708="",N(F708)&lt;=0),"",IF('FALTAS POR DECK'!$P$1="Código","K"&amp;M708&amp;RIGHT("00000"&amp;ROW(),5),IF('FALTAS POR DECK'!$P$1="Nome","K"&amp;UPPER(SUBSTITUTE(SUBSTITUTE(SUBSTITUTE(C708,"*",""),"?",""),"~",""))&amp;"0"&amp;M708&amp;RIGHT("00000"&amp;ROW(),5),IF('FALTAS POR DECK'!$P$1="Falta (maior primeiro)","K"&amp;RIGHT("0000"&amp;(9999-F708),4)&amp;M708&amp;RIGHT("00000"&amp;ROW(),5),IF('FALTAS POR DECK'!$P$1="Deck e código","K"&amp;RIGHT("00"&amp;IFERROR(MATCH(A708,_LEITURA!$P$2:$P$21,0),99),2)&amp;M708&amp;RIGHT("00000"&amp;ROW(),5),"K"&amp;RIGHT("00000"&amp;ROW(),5))))))</f>
        <v/>
      </c>
      <c r="O708" s="16" t="str">
        <f aca="false">IF(N708="","",COUNTIFS($N$2:$N$1201,"&lt;"&amp;N708,$F$2:$F$1201,"&gt;0")+1)</f>
        <v/>
      </c>
    </row>
    <row r="709" customFormat="false" ht="15" hidden="false" customHeight="false" outlineLevel="0" collapsed="false">
      <c r="A709" s="11" t="str">
        <f aca="false">IF(_LEITURA!$N709="","",INDEX(_LEITURA!$K$2:$K$1201,_LEITURA!$N709))</f>
        <v/>
      </c>
      <c r="B709" s="11" t="str">
        <f aca="false">IF(_LEITURA!$N709="","",INDEX(_LEITURA!$E$2:$E$1201,_LEITURA!$N709))</f>
        <v/>
      </c>
      <c r="C709" s="11" t="str">
        <f aca="false">IF(_LEITURA!$N709="","",INDEX(_LEITURA!$J$2:$J$1201,_LEITURA!$N709))</f>
        <v/>
      </c>
      <c r="D709" s="16" t="str">
        <f aca="false">IF(_LEITURA!$N709="","",INDEX(_LEITURA!$G$2:$G$1201,_LEITURA!$N709))</f>
        <v/>
      </c>
      <c r="E709" s="16" t="str">
        <f aca="false">IF(B709="","",SUMIFS(INVENTÁRIO!$C$2:$C$801,INVENTÁRIO!$A$2:$A$801,B709))</f>
        <v/>
      </c>
      <c r="F709" s="16" t="str">
        <f aca="false">IF(B709="","",MAX(0,D709-E709))</f>
        <v/>
      </c>
      <c r="G709" s="16" t="str">
        <f aca="false">IF(B709="","",IF(COUNTIFS($B$2:$B$1201,B709,$A$2:$A$1201,"&lt;&gt;"&amp;A709)&gt;0,"Sim",""))</f>
        <v/>
      </c>
      <c r="H709" s="16" t="str">
        <f aca="false">IF(N(F709)&gt;0,MAX(H$1:H708)+1,"")</f>
        <v/>
      </c>
      <c r="I709" s="11" t="str">
        <f aca="false">IF(B709="","",IF(INDEX($C$2:$C$1201,MATCH(B709,$B$2:$B$1201,0))&lt;&gt;C709,"Nome diferente em outro deck — revisar",""))</f>
        <v/>
      </c>
      <c r="J709" s="16" t="str">
        <f aca="false">IF(AND(B709&lt;&gt;"",A709=BULK!$A$1,N(F709)&gt;0),MAX(J$1:J708)+1,"")</f>
        <v/>
      </c>
      <c r="K709" s="11" t="str">
        <f aca="false">IF(B709="","",IFERROR(LEFT(B709,FIND("-",B709)-1),B709))</f>
        <v/>
      </c>
      <c r="L709" s="11" t="str">
        <f aca="false">IF(K709="","",IF(ISNUMBER(--MID(K709,1,1)),0,IF(ISNUMBER(--MID(K709,2,1)),1,IF(ISNUMBER(--MID(K709,3,1)),2,IF(ISNUMBER(--MID(K709,4,1)),3,MIN(LEN(K709),4))))))</f>
        <v/>
      </c>
      <c r="M709" s="11" t="str">
        <f aca="false">IF(B709="","",LEFT(K709,L709)&amp;REPT("0",4-L709)&amp;RIGHT("000"&amp;IFERROR(VALUE(MID(K709,L709+1,9)),0),3)&amp;RIGHT("0000"&amp;IFERROR(VALUE(MID(B709,FIND("-",B709)+1,9)),0),4))</f>
        <v/>
      </c>
      <c r="N709" s="11" t="str">
        <f aca="false">IF(OR(B709="",N(F709)&lt;=0),"",IF('FALTAS POR DECK'!$P$1="Código","K"&amp;M709&amp;RIGHT("00000"&amp;ROW(),5),IF('FALTAS POR DECK'!$P$1="Nome","K"&amp;UPPER(SUBSTITUTE(SUBSTITUTE(SUBSTITUTE(C709,"*",""),"?",""),"~",""))&amp;"0"&amp;M709&amp;RIGHT("00000"&amp;ROW(),5),IF('FALTAS POR DECK'!$P$1="Falta (maior primeiro)","K"&amp;RIGHT("0000"&amp;(9999-F709),4)&amp;M709&amp;RIGHT("00000"&amp;ROW(),5),IF('FALTAS POR DECK'!$P$1="Deck e código","K"&amp;RIGHT("00"&amp;IFERROR(MATCH(A709,_LEITURA!$P$2:$P$21,0),99),2)&amp;M709&amp;RIGHT("00000"&amp;ROW(),5),"K"&amp;RIGHT("00000"&amp;ROW(),5))))))</f>
        <v/>
      </c>
      <c r="O709" s="16" t="str">
        <f aca="false">IF(N709="","",COUNTIFS($N$2:$N$1201,"&lt;"&amp;N709,$F$2:$F$1201,"&gt;0")+1)</f>
        <v/>
      </c>
    </row>
    <row r="710" customFormat="false" ht="15" hidden="false" customHeight="false" outlineLevel="0" collapsed="false">
      <c r="A710" s="11" t="str">
        <f aca="false">IF(_LEITURA!$N710="","",INDEX(_LEITURA!$K$2:$K$1201,_LEITURA!$N710))</f>
        <v/>
      </c>
      <c r="B710" s="11" t="str">
        <f aca="false">IF(_LEITURA!$N710="","",INDEX(_LEITURA!$E$2:$E$1201,_LEITURA!$N710))</f>
        <v/>
      </c>
      <c r="C710" s="11" t="str">
        <f aca="false">IF(_LEITURA!$N710="","",INDEX(_LEITURA!$J$2:$J$1201,_LEITURA!$N710))</f>
        <v/>
      </c>
      <c r="D710" s="16" t="str">
        <f aca="false">IF(_LEITURA!$N710="","",INDEX(_LEITURA!$G$2:$G$1201,_LEITURA!$N710))</f>
        <v/>
      </c>
      <c r="E710" s="16" t="str">
        <f aca="false">IF(B710="","",SUMIFS(INVENTÁRIO!$C$2:$C$801,INVENTÁRIO!$A$2:$A$801,B710))</f>
        <v/>
      </c>
      <c r="F710" s="16" t="str">
        <f aca="false">IF(B710="","",MAX(0,D710-E710))</f>
        <v/>
      </c>
      <c r="G710" s="16" t="str">
        <f aca="false">IF(B710="","",IF(COUNTIFS($B$2:$B$1201,B710,$A$2:$A$1201,"&lt;&gt;"&amp;A710)&gt;0,"Sim",""))</f>
        <v/>
      </c>
      <c r="H710" s="16" t="str">
        <f aca="false">IF(N(F710)&gt;0,MAX(H$1:H709)+1,"")</f>
        <v/>
      </c>
      <c r="I710" s="11" t="str">
        <f aca="false">IF(B710="","",IF(INDEX($C$2:$C$1201,MATCH(B710,$B$2:$B$1201,0))&lt;&gt;C710,"Nome diferente em outro deck — revisar",""))</f>
        <v/>
      </c>
      <c r="J710" s="16" t="str">
        <f aca="false">IF(AND(B710&lt;&gt;"",A710=BULK!$A$1,N(F710)&gt;0),MAX(J$1:J709)+1,"")</f>
        <v/>
      </c>
      <c r="K710" s="11" t="str">
        <f aca="false">IF(B710="","",IFERROR(LEFT(B710,FIND("-",B710)-1),B710))</f>
        <v/>
      </c>
      <c r="L710" s="11" t="str">
        <f aca="false">IF(K710="","",IF(ISNUMBER(--MID(K710,1,1)),0,IF(ISNUMBER(--MID(K710,2,1)),1,IF(ISNUMBER(--MID(K710,3,1)),2,IF(ISNUMBER(--MID(K710,4,1)),3,MIN(LEN(K710),4))))))</f>
        <v/>
      </c>
      <c r="M710" s="11" t="str">
        <f aca="false">IF(B710="","",LEFT(K710,L710)&amp;REPT("0",4-L710)&amp;RIGHT("000"&amp;IFERROR(VALUE(MID(K710,L710+1,9)),0),3)&amp;RIGHT("0000"&amp;IFERROR(VALUE(MID(B710,FIND("-",B710)+1,9)),0),4))</f>
        <v/>
      </c>
      <c r="N710" s="11" t="str">
        <f aca="false">IF(OR(B710="",N(F710)&lt;=0),"",IF('FALTAS POR DECK'!$P$1="Código","K"&amp;M710&amp;RIGHT("00000"&amp;ROW(),5),IF('FALTAS POR DECK'!$P$1="Nome","K"&amp;UPPER(SUBSTITUTE(SUBSTITUTE(SUBSTITUTE(C710,"*",""),"?",""),"~",""))&amp;"0"&amp;M710&amp;RIGHT("00000"&amp;ROW(),5),IF('FALTAS POR DECK'!$P$1="Falta (maior primeiro)","K"&amp;RIGHT("0000"&amp;(9999-F710),4)&amp;M710&amp;RIGHT("00000"&amp;ROW(),5),IF('FALTAS POR DECK'!$P$1="Deck e código","K"&amp;RIGHT("00"&amp;IFERROR(MATCH(A710,_LEITURA!$P$2:$P$21,0),99),2)&amp;M710&amp;RIGHT("00000"&amp;ROW(),5),"K"&amp;RIGHT("00000"&amp;ROW(),5))))))</f>
        <v/>
      </c>
      <c r="O710" s="16" t="str">
        <f aca="false">IF(N710="","",COUNTIFS($N$2:$N$1201,"&lt;"&amp;N710,$F$2:$F$1201,"&gt;0")+1)</f>
        <v/>
      </c>
    </row>
    <row r="711" customFormat="false" ht="15" hidden="false" customHeight="false" outlineLevel="0" collapsed="false">
      <c r="A711" s="11" t="str">
        <f aca="false">IF(_LEITURA!$N711="","",INDEX(_LEITURA!$K$2:$K$1201,_LEITURA!$N711))</f>
        <v/>
      </c>
      <c r="B711" s="11" t="str">
        <f aca="false">IF(_LEITURA!$N711="","",INDEX(_LEITURA!$E$2:$E$1201,_LEITURA!$N711))</f>
        <v/>
      </c>
      <c r="C711" s="11" t="str">
        <f aca="false">IF(_LEITURA!$N711="","",INDEX(_LEITURA!$J$2:$J$1201,_LEITURA!$N711))</f>
        <v/>
      </c>
      <c r="D711" s="16" t="str">
        <f aca="false">IF(_LEITURA!$N711="","",INDEX(_LEITURA!$G$2:$G$1201,_LEITURA!$N711))</f>
        <v/>
      </c>
      <c r="E711" s="16" t="str">
        <f aca="false">IF(B711="","",SUMIFS(INVENTÁRIO!$C$2:$C$801,INVENTÁRIO!$A$2:$A$801,B711))</f>
        <v/>
      </c>
      <c r="F711" s="16" t="str">
        <f aca="false">IF(B711="","",MAX(0,D711-E711))</f>
        <v/>
      </c>
      <c r="G711" s="16" t="str">
        <f aca="false">IF(B711="","",IF(COUNTIFS($B$2:$B$1201,B711,$A$2:$A$1201,"&lt;&gt;"&amp;A711)&gt;0,"Sim",""))</f>
        <v/>
      </c>
      <c r="H711" s="16" t="str">
        <f aca="false">IF(N(F711)&gt;0,MAX(H$1:H710)+1,"")</f>
        <v/>
      </c>
      <c r="I711" s="11" t="str">
        <f aca="false">IF(B711="","",IF(INDEX($C$2:$C$1201,MATCH(B711,$B$2:$B$1201,0))&lt;&gt;C711,"Nome diferente em outro deck — revisar",""))</f>
        <v/>
      </c>
      <c r="J711" s="16" t="str">
        <f aca="false">IF(AND(B711&lt;&gt;"",A711=BULK!$A$1,N(F711)&gt;0),MAX(J$1:J710)+1,"")</f>
        <v/>
      </c>
      <c r="K711" s="11" t="str">
        <f aca="false">IF(B711="","",IFERROR(LEFT(B711,FIND("-",B711)-1),B711))</f>
        <v/>
      </c>
      <c r="L711" s="11" t="str">
        <f aca="false">IF(K711="","",IF(ISNUMBER(--MID(K711,1,1)),0,IF(ISNUMBER(--MID(K711,2,1)),1,IF(ISNUMBER(--MID(K711,3,1)),2,IF(ISNUMBER(--MID(K711,4,1)),3,MIN(LEN(K711),4))))))</f>
        <v/>
      </c>
      <c r="M711" s="11" t="str">
        <f aca="false">IF(B711="","",LEFT(K711,L711)&amp;REPT("0",4-L711)&amp;RIGHT("000"&amp;IFERROR(VALUE(MID(K711,L711+1,9)),0),3)&amp;RIGHT("0000"&amp;IFERROR(VALUE(MID(B711,FIND("-",B711)+1,9)),0),4))</f>
        <v/>
      </c>
      <c r="N711" s="11" t="str">
        <f aca="false">IF(OR(B711="",N(F711)&lt;=0),"",IF('FALTAS POR DECK'!$P$1="Código","K"&amp;M711&amp;RIGHT("00000"&amp;ROW(),5),IF('FALTAS POR DECK'!$P$1="Nome","K"&amp;UPPER(SUBSTITUTE(SUBSTITUTE(SUBSTITUTE(C711,"*",""),"?",""),"~",""))&amp;"0"&amp;M711&amp;RIGHT("00000"&amp;ROW(),5),IF('FALTAS POR DECK'!$P$1="Falta (maior primeiro)","K"&amp;RIGHT("0000"&amp;(9999-F711),4)&amp;M711&amp;RIGHT("00000"&amp;ROW(),5),IF('FALTAS POR DECK'!$P$1="Deck e código","K"&amp;RIGHT("00"&amp;IFERROR(MATCH(A711,_LEITURA!$P$2:$P$21,0),99),2)&amp;M711&amp;RIGHT("00000"&amp;ROW(),5),"K"&amp;RIGHT("00000"&amp;ROW(),5))))))</f>
        <v/>
      </c>
      <c r="O711" s="16" t="str">
        <f aca="false">IF(N711="","",COUNTIFS($N$2:$N$1201,"&lt;"&amp;N711,$F$2:$F$1201,"&gt;0")+1)</f>
        <v/>
      </c>
    </row>
    <row r="712" customFormat="false" ht="15" hidden="false" customHeight="false" outlineLevel="0" collapsed="false">
      <c r="A712" s="11" t="str">
        <f aca="false">IF(_LEITURA!$N712="","",INDEX(_LEITURA!$K$2:$K$1201,_LEITURA!$N712))</f>
        <v/>
      </c>
      <c r="B712" s="11" t="str">
        <f aca="false">IF(_LEITURA!$N712="","",INDEX(_LEITURA!$E$2:$E$1201,_LEITURA!$N712))</f>
        <v/>
      </c>
      <c r="C712" s="11" t="str">
        <f aca="false">IF(_LEITURA!$N712="","",INDEX(_LEITURA!$J$2:$J$1201,_LEITURA!$N712))</f>
        <v/>
      </c>
      <c r="D712" s="16" t="str">
        <f aca="false">IF(_LEITURA!$N712="","",INDEX(_LEITURA!$G$2:$G$1201,_LEITURA!$N712))</f>
        <v/>
      </c>
      <c r="E712" s="16" t="str">
        <f aca="false">IF(B712="","",SUMIFS(INVENTÁRIO!$C$2:$C$801,INVENTÁRIO!$A$2:$A$801,B712))</f>
        <v/>
      </c>
      <c r="F712" s="16" t="str">
        <f aca="false">IF(B712="","",MAX(0,D712-E712))</f>
        <v/>
      </c>
      <c r="G712" s="16" t="str">
        <f aca="false">IF(B712="","",IF(COUNTIFS($B$2:$B$1201,B712,$A$2:$A$1201,"&lt;&gt;"&amp;A712)&gt;0,"Sim",""))</f>
        <v/>
      </c>
      <c r="H712" s="16" t="str">
        <f aca="false">IF(N(F712)&gt;0,MAX(H$1:H711)+1,"")</f>
        <v/>
      </c>
      <c r="I712" s="11" t="str">
        <f aca="false">IF(B712="","",IF(INDEX($C$2:$C$1201,MATCH(B712,$B$2:$B$1201,0))&lt;&gt;C712,"Nome diferente em outro deck — revisar",""))</f>
        <v/>
      </c>
      <c r="J712" s="16" t="str">
        <f aca="false">IF(AND(B712&lt;&gt;"",A712=BULK!$A$1,N(F712)&gt;0),MAX(J$1:J711)+1,"")</f>
        <v/>
      </c>
      <c r="K712" s="11" t="str">
        <f aca="false">IF(B712="","",IFERROR(LEFT(B712,FIND("-",B712)-1),B712))</f>
        <v/>
      </c>
      <c r="L712" s="11" t="str">
        <f aca="false">IF(K712="","",IF(ISNUMBER(--MID(K712,1,1)),0,IF(ISNUMBER(--MID(K712,2,1)),1,IF(ISNUMBER(--MID(K712,3,1)),2,IF(ISNUMBER(--MID(K712,4,1)),3,MIN(LEN(K712),4))))))</f>
        <v/>
      </c>
      <c r="M712" s="11" t="str">
        <f aca="false">IF(B712="","",LEFT(K712,L712)&amp;REPT("0",4-L712)&amp;RIGHT("000"&amp;IFERROR(VALUE(MID(K712,L712+1,9)),0),3)&amp;RIGHT("0000"&amp;IFERROR(VALUE(MID(B712,FIND("-",B712)+1,9)),0),4))</f>
        <v/>
      </c>
      <c r="N712" s="11" t="str">
        <f aca="false">IF(OR(B712="",N(F712)&lt;=0),"",IF('FALTAS POR DECK'!$P$1="Código","K"&amp;M712&amp;RIGHT("00000"&amp;ROW(),5),IF('FALTAS POR DECK'!$P$1="Nome","K"&amp;UPPER(SUBSTITUTE(SUBSTITUTE(SUBSTITUTE(C712,"*",""),"?",""),"~",""))&amp;"0"&amp;M712&amp;RIGHT("00000"&amp;ROW(),5),IF('FALTAS POR DECK'!$P$1="Falta (maior primeiro)","K"&amp;RIGHT("0000"&amp;(9999-F712),4)&amp;M712&amp;RIGHT("00000"&amp;ROW(),5),IF('FALTAS POR DECK'!$P$1="Deck e código","K"&amp;RIGHT("00"&amp;IFERROR(MATCH(A712,_LEITURA!$P$2:$P$21,0),99),2)&amp;M712&amp;RIGHT("00000"&amp;ROW(),5),"K"&amp;RIGHT("00000"&amp;ROW(),5))))))</f>
        <v/>
      </c>
      <c r="O712" s="16" t="str">
        <f aca="false">IF(N712="","",COUNTIFS($N$2:$N$1201,"&lt;"&amp;N712,$F$2:$F$1201,"&gt;0")+1)</f>
        <v/>
      </c>
    </row>
    <row r="713" customFormat="false" ht="15" hidden="false" customHeight="false" outlineLevel="0" collapsed="false">
      <c r="A713" s="11" t="str">
        <f aca="false">IF(_LEITURA!$N713="","",INDEX(_LEITURA!$K$2:$K$1201,_LEITURA!$N713))</f>
        <v/>
      </c>
      <c r="B713" s="11" t="str">
        <f aca="false">IF(_LEITURA!$N713="","",INDEX(_LEITURA!$E$2:$E$1201,_LEITURA!$N713))</f>
        <v/>
      </c>
      <c r="C713" s="11" t="str">
        <f aca="false">IF(_LEITURA!$N713="","",INDEX(_LEITURA!$J$2:$J$1201,_LEITURA!$N713))</f>
        <v/>
      </c>
      <c r="D713" s="16" t="str">
        <f aca="false">IF(_LEITURA!$N713="","",INDEX(_LEITURA!$G$2:$G$1201,_LEITURA!$N713))</f>
        <v/>
      </c>
      <c r="E713" s="16" t="str">
        <f aca="false">IF(B713="","",SUMIFS(INVENTÁRIO!$C$2:$C$801,INVENTÁRIO!$A$2:$A$801,B713))</f>
        <v/>
      </c>
      <c r="F713" s="16" t="str">
        <f aca="false">IF(B713="","",MAX(0,D713-E713))</f>
        <v/>
      </c>
      <c r="G713" s="16" t="str">
        <f aca="false">IF(B713="","",IF(COUNTIFS($B$2:$B$1201,B713,$A$2:$A$1201,"&lt;&gt;"&amp;A713)&gt;0,"Sim",""))</f>
        <v/>
      </c>
      <c r="H713" s="16" t="str">
        <f aca="false">IF(N(F713)&gt;0,MAX(H$1:H712)+1,"")</f>
        <v/>
      </c>
      <c r="I713" s="11" t="str">
        <f aca="false">IF(B713="","",IF(INDEX($C$2:$C$1201,MATCH(B713,$B$2:$B$1201,0))&lt;&gt;C713,"Nome diferente em outro deck — revisar",""))</f>
        <v/>
      </c>
      <c r="J713" s="16" t="str">
        <f aca="false">IF(AND(B713&lt;&gt;"",A713=BULK!$A$1,N(F713)&gt;0),MAX(J$1:J712)+1,"")</f>
        <v/>
      </c>
      <c r="K713" s="11" t="str">
        <f aca="false">IF(B713="","",IFERROR(LEFT(B713,FIND("-",B713)-1),B713))</f>
        <v/>
      </c>
      <c r="L713" s="11" t="str">
        <f aca="false">IF(K713="","",IF(ISNUMBER(--MID(K713,1,1)),0,IF(ISNUMBER(--MID(K713,2,1)),1,IF(ISNUMBER(--MID(K713,3,1)),2,IF(ISNUMBER(--MID(K713,4,1)),3,MIN(LEN(K713),4))))))</f>
        <v/>
      </c>
      <c r="M713" s="11" t="str">
        <f aca="false">IF(B713="","",LEFT(K713,L713)&amp;REPT("0",4-L713)&amp;RIGHT("000"&amp;IFERROR(VALUE(MID(K713,L713+1,9)),0),3)&amp;RIGHT("0000"&amp;IFERROR(VALUE(MID(B713,FIND("-",B713)+1,9)),0),4))</f>
        <v/>
      </c>
      <c r="N713" s="11" t="str">
        <f aca="false">IF(OR(B713="",N(F713)&lt;=0),"",IF('FALTAS POR DECK'!$P$1="Código","K"&amp;M713&amp;RIGHT("00000"&amp;ROW(),5),IF('FALTAS POR DECK'!$P$1="Nome","K"&amp;UPPER(SUBSTITUTE(SUBSTITUTE(SUBSTITUTE(C713,"*",""),"?",""),"~",""))&amp;"0"&amp;M713&amp;RIGHT("00000"&amp;ROW(),5),IF('FALTAS POR DECK'!$P$1="Falta (maior primeiro)","K"&amp;RIGHT("0000"&amp;(9999-F713),4)&amp;M713&amp;RIGHT("00000"&amp;ROW(),5),IF('FALTAS POR DECK'!$P$1="Deck e código","K"&amp;RIGHT("00"&amp;IFERROR(MATCH(A713,_LEITURA!$P$2:$P$21,0),99),2)&amp;M713&amp;RIGHT("00000"&amp;ROW(),5),"K"&amp;RIGHT("00000"&amp;ROW(),5))))))</f>
        <v/>
      </c>
      <c r="O713" s="16" t="str">
        <f aca="false">IF(N713="","",COUNTIFS($N$2:$N$1201,"&lt;"&amp;N713,$F$2:$F$1201,"&gt;0")+1)</f>
        <v/>
      </c>
    </row>
    <row r="714" customFormat="false" ht="15" hidden="false" customHeight="false" outlineLevel="0" collapsed="false">
      <c r="A714" s="11" t="str">
        <f aca="false">IF(_LEITURA!$N714="","",INDEX(_LEITURA!$K$2:$K$1201,_LEITURA!$N714))</f>
        <v/>
      </c>
      <c r="B714" s="11" t="str">
        <f aca="false">IF(_LEITURA!$N714="","",INDEX(_LEITURA!$E$2:$E$1201,_LEITURA!$N714))</f>
        <v/>
      </c>
      <c r="C714" s="11" t="str">
        <f aca="false">IF(_LEITURA!$N714="","",INDEX(_LEITURA!$J$2:$J$1201,_LEITURA!$N714))</f>
        <v/>
      </c>
      <c r="D714" s="16" t="str">
        <f aca="false">IF(_LEITURA!$N714="","",INDEX(_LEITURA!$G$2:$G$1201,_LEITURA!$N714))</f>
        <v/>
      </c>
      <c r="E714" s="16" t="str">
        <f aca="false">IF(B714="","",SUMIFS(INVENTÁRIO!$C$2:$C$801,INVENTÁRIO!$A$2:$A$801,B714))</f>
        <v/>
      </c>
      <c r="F714" s="16" t="str">
        <f aca="false">IF(B714="","",MAX(0,D714-E714))</f>
        <v/>
      </c>
      <c r="G714" s="16" t="str">
        <f aca="false">IF(B714="","",IF(COUNTIFS($B$2:$B$1201,B714,$A$2:$A$1201,"&lt;&gt;"&amp;A714)&gt;0,"Sim",""))</f>
        <v/>
      </c>
      <c r="H714" s="16" t="str">
        <f aca="false">IF(N(F714)&gt;0,MAX(H$1:H713)+1,"")</f>
        <v/>
      </c>
      <c r="I714" s="11" t="str">
        <f aca="false">IF(B714="","",IF(INDEX($C$2:$C$1201,MATCH(B714,$B$2:$B$1201,0))&lt;&gt;C714,"Nome diferente em outro deck — revisar",""))</f>
        <v/>
      </c>
      <c r="J714" s="16" t="str">
        <f aca="false">IF(AND(B714&lt;&gt;"",A714=BULK!$A$1,N(F714)&gt;0),MAX(J$1:J713)+1,"")</f>
        <v/>
      </c>
      <c r="K714" s="11" t="str">
        <f aca="false">IF(B714="","",IFERROR(LEFT(B714,FIND("-",B714)-1),B714))</f>
        <v/>
      </c>
      <c r="L714" s="11" t="str">
        <f aca="false">IF(K714="","",IF(ISNUMBER(--MID(K714,1,1)),0,IF(ISNUMBER(--MID(K714,2,1)),1,IF(ISNUMBER(--MID(K714,3,1)),2,IF(ISNUMBER(--MID(K714,4,1)),3,MIN(LEN(K714),4))))))</f>
        <v/>
      </c>
      <c r="M714" s="11" t="str">
        <f aca="false">IF(B714="","",LEFT(K714,L714)&amp;REPT("0",4-L714)&amp;RIGHT("000"&amp;IFERROR(VALUE(MID(K714,L714+1,9)),0),3)&amp;RIGHT("0000"&amp;IFERROR(VALUE(MID(B714,FIND("-",B714)+1,9)),0),4))</f>
        <v/>
      </c>
      <c r="N714" s="11" t="str">
        <f aca="false">IF(OR(B714="",N(F714)&lt;=0),"",IF('FALTAS POR DECK'!$P$1="Código","K"&amp;M714&amp;RIGHT("00000"&amp;ROW(),5),IF('FALTAS POR DECK'!$P$1="Nome","K"&amp;UPPER(SUBSTITUTE(SUBSTITUTE(SUBSTITUTE(C714,"*",""),"?",""),"~",""))&amp;"0"&amp;M714&amp;RIGHT("00000"&amp;ROW(),5),IF('FALTAS POR DECK'!$P$1="Falta (maior primeiro)","K"&amp;RIGHT("0000"&amp;(9999-F714),4)&amp;M714&amp;RIGHT("00000"&amp;ROW(),5),IF('FALTAS POR DECK'!$P$1="Deck e código","K"&amp;RIGHT("00"&amp;IFERROR(MATCH(A714,_LEITURA!$P$2:$P$21,0),99),2)&amp;M714&amp;RIGHT("00000"&amp;ROW(),5),"K"&amp;RIGHT("00000"&amp;ROW(),5))))))</f>
        <v/>
      </c>
      <c r="O714" s="16" t="str">
        <f aca="false">IF(N714="","",COUNTIFS($N$2:$N$1201,"&lt;"&amp;N714,$F$2:$F$1201,"&gt;0")+1)</f>
        <v/>
      </c>
    </row>
    <row r="715" customFormat="false" ht="15" hidden="false" customHeight="false" outlineLevel="0" collapsed="false">
      <c r="A715" s="11" t="str">
        <f aca="false">IF(_LEITURA!$N715="","",INDEX(_LEITURA!$K$2:$K$1201,_LEITURA!$N715))</f>
        <v/>
      </c>
      <c r="B715" s="11" t="str">
        <f aca="false">IF(_LEITURA!$N715="","",INDEX(_LEITURA!$E$2:$E$1201,_LEITURA!$N715))</f>
        <v/>
      </c>
      <c r="C715" s="11" t="str">
        <f aca="false">IF(_LEITURA!$N715="","",INDEX(_LEITURA!$J$2:$J$1201,_LEITURA!$N715))</f>
        <v/>
      </c>
      <c r="D715" s="16" t="str">
        <f aca="false">IF(_LEITURA!$N715="","",INDEX(_LEITURA!$G$2:$G$1201,_LEITURA!$N715))</f>
        <v/>
      </c>
      <c r="E715" s="16" t="str">
        <f aca="false">IF(B715="","",SUMIFS(INVENTÁRIO!$C$2:$C$801,INVENTÁRIO!$A$2:$A$801,B715))</f>
        <v/>
      </c>
      <c r="F715" s="16" t="str">
        <f aca="false">IF(B715="","",MAX(0,D715-E715))</f>
        <v/>
      </c>
      <c r="G715" s="16" t="str">
        <f aca="false">IF(B715="","",IF(COUNTIFS($B$2:$B$1201,B715,$A$2:$A$1201,"&lt;&gt;"&amp;A715)&gt;0,"Sim",""))</f>
        <v/>
      </c>
      <c r="H715" s="16" t="str">
        <f aca="false">IF(N(F715)&gt;0,MAX(H$1:H714)+1,"")</f>
        <v/>
      </c>
      <c r="I715" s="11" t="str">
        <f aca="false">IF(B715="","",IF(INDEX($C$2:$C$1201,MATCH(B715,$B$2:$B$1201,0))&lt;&gt;C715,"Nome diferente em outro deck — revisar",""))</f>
        <v/>
      </c>
      <c r="J715" s="16" t="str">
        <f aca="false">IF(AND(B715&lt;&gt;"",A715=BULK!$A$1,N(F715)&gt;0),MAX(J$1:J714)+1,"")</f>
        <v/>
      </c>
      <c r="K715" s="11" t="str">
        <f aca="false">IF(B715="","",IFERROR(LEFT(B715,FIND("-",B715)-1),B715))</f>
        <v/>
      </c>
      <c r="L715" s="11" t="str">
        <f aca="false">IF(K715="","",IF(ISNUMBER(--MID(K715,1,1)),0,IF(ISNUMBER(--MID(K715,2,1)),1,IF(ISNUMBER(--MID(K715,3,1)),2,IF(ISNUMBER(--MID(K715,4,1)),3,MIN(LEN(K715),4))))))</f>
        <v/>
      </c>
      <c r="M715" s="11" t="str">
        <f aca="false">IF(B715="","",LEFT(K715,L715)&amp;REPT("0",4-L715)&amp;RIGHT("000"&amp;IFERROR(VALUE(MID(K715,L715+1,9)),0),3)&amp;RIGHT("0000"&amp;IFERROR(VALUE(MID(B715,FIND("-",B715)+1,9)),0),4))</f>
        <v/>
      </c>
      <c r="N715" s="11" t="str">
        <f aca="false">IF(OR(B715="",N(F715)&lt;=0),"",IF('FALTAS POR DECK'!$P$1="Código","K"&amp;M715&amp;RIGHT("00000"&amp;ROW(),5),IF('FALTAS POR DECK'!$P$1="Nome","K"&amp;UPPER(SUBSTITUTE(SUBSTITUTE(SUBSTITUTE(C715,"*",""),"?",""),"~",""))&amp;"0"&amp;M715&amp;RIGHT("00000"&amp;ROW(),5),IF('FALTAS POR DECK'!$P$1="Falta (maior primeiro)","K"&amp;RIGHT("0000"&amp;(9999-F715),4)&amp;M715&amp;RIGHT("00000"&amp;ROW(),5),IF('FALTAS POR DECK'!$P$1="Deck e código","K"&amp;RIGHT("00"&amp;IFERROR(MATCH(A715,_LEITURA!$P$2:$P$21,0),99),2)&amp;M715&amp;RIGHT("00000"&amp;ROW(),5),"K"&amp;RIGHT("00000"&amp;ROW(),5))))))</f>
        <v/>
      </c>
      <c r="O715" s="16" t="str">
        <f aca="false">IF(N715="","",COUNTIFS($N$2:$N$1201,"&lt;"&amp;N715,$F$2:$F$1201,"&gt;0")+1)</f>
        <v/>
      </c>
    </row>
    <row r="716" customFormat="false" ht="15" hidden="false" customHeight="false" outlineLevel="0" collapsed="false">
      <c r="A716" s="11" t="str">
        <f aca="false">IF(_LEITURA!$N716="","",INDEX(_LEITURA!$K$2:$K$1201,_LEITURA!$N716))</f>
        <v/>
      </c>
      <c r="B716" s="11" t="str">
        <f aca="false">IF(_LEITURA!$N716="","",INDEX(_LEITURA!$E$2:$E$1201,_LEITURA!$N716))</f>
        <v/>
      </c>
      <c r="C716" s="11" t="str">
        <f aca="false">IF(_LEITURA!$N716="","",INDEX(_LEITURA!$J$2:$J$1201,_LEITURA!$N716))</f>
        <v/>
      </c>
      <c r="D716" s="16" t="str">
        <f aca="false">IF(_LEITURA!$N716="","",INDEX(_LEITURA!$G$2:$G$1201,_LEITURA!$N716))</f>
        <v/>
      </c>
      <c r="E716" s="16" t="str">
        <f aca="false">IF(B716="","",SUMIFS(INVENTÁRIO!$C$2:$C$801,INVENTÁRIO!$A$2:$A$801,B716))</f>
        <v/>
      </c>
      <c r="F716" s="16" t="str">
        <f aca="false">IF(B716="","",MAX(0,D716-E716))</f>
        <v/>
      </c>
      <c r="G716" s="16" t="str">
        <f aca="false">IF(B716="","",IF(COUNTIFS($B$2:$B$1201,B716,$A$2:$A$1201,"&lt;&gt;"&amp;A716)&gt;0,"Sim",""))</f>
        <v/>
      </c>
      <c r="H716" s="16" t="str">
        <f aca="false">IF(N(F716)&gt;0,MAX(H$1:H715)+1,"")</f>
        <v/>
      </c>
      <c r="I716" s="11" t="str">
        <f aca="false">IF(B716="","",IF(INDEX($C$2:$C$1201,MATCH(B716,$B$2:$B$1201,0))&lt;&gt;C716,"Nome diferente em outro deck — revisar",""))</f>
        <v/>
      </c>
      <c r="J716" s="16" t="str">
        <f aca="false">IF(AND(B716&lt;&gt;"",A716=BULK!$A$1,N(F716)&gt;0),MAX(J$1:J715)+1,"")</f>
        <v/>
      </c>
      <c r="K716" s="11" t="str">
        <f aca="false">IF(B716="","",IFERROR(LEFT(B716,FIND("-",B716)-1),B716))</f>
        <v/>
      </c>
      <c r="L716" s="11" t="str">
        <f aca="false">IF(K716="","",IF(ISNUMBER(--MID(K716,1,1)),0,IF(ISNUMBER(--MID(K716,2,1)),1,IF(ISNUMBER(--MID(K716,3,1)),2,IF(ISNUMBER(--MID(K716,4,1)),3,MIN(LEN(K716),4))))))</f>
        <v/>
      </c>
      <c r="M716" s="11" t="str">
        <f aca="false">IF(B716="","",LEFT(K716,L716)&amp;REPT("0",4-L716)&amp;RIGHT("000"&amp;IFERROR(VALUE(MID(K716,L716+1,9)),0),3)&amp;RIGHT("0000"&amp;IFERROR(VALUE(MID(B716,FIND("-",B716)+1,9)),0),4))</f>
        <v/>
      </c>
      <c r="N716" s="11" t="str">
        <f aca="false">IF(OR(B716="",N(F716)&lt;=0),"",IF('FALTAS POR DECK'!$P$1="Código","K"&amp;M716&amp;RIGHT("00000"&amp;ROW(),5),IF('FALTAS POR DECK'!$P$1="Nome","K"&amp;UPPER(SUBSTITUTE(SUBSTITUTE(SUBSTITUTE(C716,"*",""),"?",""),"~",""))&amp;"0"&amp;M716&amp;RIGHT("00000"&amp;ROW(),5),IF('FALTAS POR DECK'!$P$1="Falta (maior primeiro)","K"&amp;RIGHT("0000"&amp;(9999-F716),4)&amp;M716&amp;RIGHT("00000"&amp;ROW(),5),IF('FALTAS POR DECK'!$P$1="Deck e código","K"&amp;RIGHT("00"&amp;IFERROR(MATCH(A716,_LEITURA!$P$2:$P$21,0),99),2)&amp;M716&amp;RIGHT("00000"&amp;ROW(),5),"K"&amp;RIGHT("00000"&amp;ROW(),5))))))</f>
        <v/>
      </c>
      <c r="O716" s="16" t="str">
        <f aca="false">IF(N716="","",COUNTIFS($N$2:$N$1201,"&lt;"&amp;N716,$F$2:$F$1201,"&gt;0")+1)</f>
        <v/>
      </c>
    </row>
    <row r="717" customFormat="false" ht="15" hidden="false" customHeight="false" outlineLevel="0" collapsed="false">
      <c r="A717" s="11" t="str">
        <f aca="false">IF(_LEITURA!$N717="","",INDEX(_LEITURA!$K$2:$K$1201,_LEITURA!$N717))</f>
        <v/>
      </c>
      <c r="B717" s="11" t="str">
        <f aca="false">IF(_LEITURA!$N717="","",INDEX(_LEITURA!$E$2:$E$1201,_LEITURA!$N717))</f>
        <v/>
      </c>
      <c r="C717" s="11" t="str">
        <f aca="false">IF(_LEITURA!$N717="","",INDEX(_LEITURA!$J$2:$J$1201,_LEITURA!$N717))</f>
        <v/>
      </c>
      <c r="D717" s="16" t="str">
        <f aca="false">IF(_LEITURA!$N717="","",INDEX(_LEITURA!$G$2:$G$1201,_LEITURA!$N717))</f>
        <v/>
      </c>
      <c r="E717" s="16" t="str">
        <f aca="false">IF(B717="","",SUMIFS(INVENTÁRIO!$C$2:$C$801,INVENTÁRIO!$A$2:$A$801,B717))</f>
        <v/>
      </c>
      <c r="F717" s="16" t="str">
        <f aca="false">IF(B717="","",MAX(0,D717-E717))</f>
        <v/>
      </c>
      <c r="G717" s="16" t="str">
        <f aca="false">IF(B717="","",IF(COUNTIFS($B$2:$B$1201,B717,$A$2:$A$1201,"&lt;&gt;"&amp;A717)&gt;0,"Sim",""))</f>
        <v/>
      </c>
      <c r="H717" s="16" t="str">
        <f aca="false">IF(N(F717)&gt;0,MAX(H$1:H716)+1,"")</f>
        <v/>
      </c>
      <c r="I717" s="11" t="str">
        <f aca="false">IF(B717="","",IF(INDEX($C$2:$C$1201,MATCH(B717,$B$2:$B$1201,0))&lt;&gt;C717,"Nome diferente em outro deck — revisar",""))</f>
        <v/>
      </c>
      <c r="J717" s="16" t="str">
        <f aca="false">IF(AND(B717&lt;&gt;"",A717=BULK!$A$1,N(F717)&gt;0),MAX(J$1:J716)+1,"")</f>
        <v/>
      </c>
      <c r="K717" s="11" t="str">
        <f aca="false">IF(B717="","",IFERROR(LEFT(B717,FIND("-",B717)-1),B717))</f>
        <v/>
      </c>
      <c r="L717" s="11" t="str">
        <f aca="false">IF(K717="","",IF(ISNUMBER(--MID(K717,1,1)),0,IF(ISNUMBER(--MID(K717,2,1)),1,IF(ISNUMBER(--MID(K717,3,1)),2,IF(ISNUMBER(--MID(K717,4,1)),3,MIN(LEN(K717),4))))))</f>
        <v/>
      </c>
      <c r="M717" s="11" t="str">
        <f aca="false">IF(B717="","",LEFT(K717,L717)&amp;REPT("0",4-L717)&amp;RIGHT("000"&amp;IFERROR(VALUE(MID(K717,L717+1,9)),0),3)&amp;RIGHT("0000"&amp;IFERROR(VALUE(MID(B717,FIND("-",B717)+1,9)),0),4))</f>
        <v/>
      </c>
      <c r="N717" s="11" t="str">
        <f aca="false">IF(OR(B717="",N(F717)&lt;=0),"",IF('FALTAS POR DECK'!$P$1="Código","K"&amp;M717&amp;RIGHT("00000"&amp;ROW(),5),IF('FALTAS POR DECK'!$P$1="Nome","K"&amp;UPPER(SUBSTITUTE(SUBSTITUTE(SUBSTITUTE(C717,"*",""),"?",""),"~",""))&amp;"0"&amp;M717&amp;RIGHT("00000"&amp;ROW(),5),IF('FALTAS POR DECK'!$P$1="Falta (maior primeiro)","K"&amp;RIGHT("0000"&amp;(9999-F717),4)&amp;M717&amp;RIGHT("00000"&amp;ROW(),5),IF('FALTAS POR DECK'!$P$1="Deck e código","K"&amp;RIGHT("00"&amp;IFERROR(MATCH(A717,_LEITURA!$P$2:$P$21,0),99),2)&amp;M717&amp;RIGHT("00000"&amp;ROW(),5),"K"&amp;RIGHT("00000"&amp;ROW(),5))))))</f>
        <v/>
      </c>
      <c r="O717" s="16" t="str">
        <f aca="false">IF(N717="","",COUNTIFS($N$2:$N$1201,"&lt;"&amp;N717,$F$2:$F$1201,"&gt;0")+1)</f>
        <v/>
      </c>
    </row>
    <row r="718" customFormat="false" ht="15" hidden="false" customHeight="false" outlineLevel="0" collapsed="false">
      <c r="A718" s="11" t="str">
        <f aca="false">IF(_LEITURA!$N718="","",INDEX(_LEITURA!$K$2:$K$1201,_LEITURA!$N718))</f>
        <v/>
      </c>
      <c r="B718" s="11" t="str">
        <f aca="false">IF(_LEITURA!$N718="","",INDEX(_LEITURA!$E$2:$E$1201,_LEITURA!$N718))</f>
        <v/>
      </c>
      <c r="C718" s="11" t="str">
        <f aca="false">IF(_LEITURA!$N718="","",INDEX(_LEITURA!$J$2:$J$1201,_LEITURA!$N718))</f>
        <v/>
      </c>
      <c r="D718" s="16" t="str">
        <f aca="false">IF(_LEITURA!$N718="","",INDEX(_LEITURA!$G$2:$G$1201,_LEITURA!$N718))</f>
        <v/>
      </c>
      <c r="E718" s="16" t="str">
        <f aca="false">IF(B718="","",SUMIFS(INVENTÁRIO!$C$2:$C$801,INVENTÁRIO!$A$2:$A$801,B718))</f>
        <v/>
      </c>
      <c r="F718" s="16" t="str">
        <f aca="false">IF(B718="","",MAX(0,D718-E718))</f>
        <v/>
      </c>
      <c r="G718" s="16" t="str">
        <f aca="false">IF(B718="","",IF(COUNTIFS($B$2:$B$1201,B718,$A$2:$A$1201,"&lt;&gt;"&amp;A718)&gt;0,"Sim",""))</f>
        <v/>
      </c>
      <c r="H718" s="16" t="str">
        <f aca="false">IF(N(F718)&gt;0,MAX(H$1:H717)+1,"")</f>
        <v/>
      </c>
      <c r="I718" s="11" t="str">
        <f aca="false">IF(B718="","",IF(INDEX($C$2:$C$1201,MATCH(B718,$B$2:$B$1201,0))&lt;&gt;C718,"Nome diferente em outro deck — revisar",""))</f>
        <v/>
      </c>
      <c r="J718" s="16" t="str">
        <f aca="false">IF(AND(B718&lt;&gt;"",A718=BULK!$A$1,N(F718)&gt;0),MAX(J$1:J717)+1,"")</f>
        <v/>
      </c>
      <c r="K718" s="11" t="str">
        <f aca="false">IF(B718="","",IFERROR(LEFT(B718,FIND("-",B718)-1),B718))</f>
        <v/>
      </c>
      <c r="L718" s="11" t="str">
        <f aca="false">IF(K718="","",IF(ISNUMBER(--MID(K718,1,1)),0,IF(ISNUMBER(--MID(K718,2,1)),1,IF(ISNUMBER(--MID(K718,3,1)),2,IF(ISNUMBER(--MID(K718,4,1)),3,MIN(LEN(K718),4))))))</f>
        <v/>
      </c>
      <c r="M718" s="11" t="str">
        <f aca="false">IF(B718="","",LEFT(K718,L718)&amp;REPT("0",4-L718)&amp;RIGHT("000"&amp;IFERROR(VALUE(MID(K718,L718+1,9)),0),3)&amp;RIGHT("0000"&amp;IFERROR(VALUE(MID(B718,FIND("-",B718)+1,9)),0),4))</f>
        <v/>
      </c>
      <c r="N718" s="11" t="str">
        <f aca="false">IF(OR(B718="",N(F718)&lt;=0),"",IF('FALTAS POR DECK'!$P$1="Código","K"&amp;M718&amp;RIGHT("00000"&amp;ROW(),5),IF('FALTAS POR DECK'!$P$1="Nome","K"&amp;UPPER(SUBSTITUTE(SUBSTITUTE(SUBSTITUTE(C718,"*",""),"?",""),"~",""))&amp;"0"&amp;M718&amp;RIGHT("00000"&amp;ROW(),5),IF('FALTAS POR DECK'!$P$1="Falta (maior primeiro)","K"&amp;RIGHT("0000"&amp;(9999-F718),4)&amp;M718&amp;RIGHT("00000"&amp;ROW(),5),IF('FALTAS POR DECK'!$P$1="Deck e código","K"&amp;RIGHT("00"&amp;IFERROR(MATCH(A718,_LEITURA!$P$2:$P$21,0),99),2)&amp;M718&amp;RIGHT("00000"&amp;ROW(),5),"K"&amp;RIGHT("00000"&amp;ROW(),5))))))</f>
        <v/>
      </c>
      <c r="O718" s="16" t="str">
        <f aca="false">IF(N718="","",COUNTIFS($N$2:$N$1201,"&lt;"&amp;N718,$F$2:$F$1201,"&gt;0")+1)</f>
        <v/>
      </c>
    </row>
    <row r="719" customFormat="false" ht="15" hidden="false" customHeight="false" outlineLevel="0" collapsed="false">
      <c r="A719" s="11" t="str">
        <f aca="false">IF(_LEITURA!$N719="","",INDEX(_LEITURA!$K$2:$K$1201,_LEITURA!$N719))</f>
        <v/>
      </c>
      <c r="B719" s="11" t="str">
        <f aca="false">IF(_LEITURA!$N719="","",INDEX(_LEITURA!$E$2:$E$1201,_LEITURA!$N719))</f>
        <v/>
      </c>
      <c r="C719" s="11" t="str">
        <f aca="false">IF(_LEITURA!$N719="","",INDEX(_LEITURA!$J$2:$J$1201,_LEITURA!$N719))</f>
        <v/>
      </c>
      <c r="D719" s="16" t="str">
        <f aca="false">IF(_LEITURA!$N719="","",INDEX(_LEITURA!$G$2:$G$1201,_LEITURA!$N719))</f>
        <v/>
      </c>
      <c r="E719" s="16" t="str">
        <f aca="false">IF(B719="","",SUMIFS(INVENTÁRIO!$C$2:$C$801,INVENTÁRIO!$A$2:$A$801,B719))</f>
        <v/>
      </c>
      <c r="F719" s="16" t="str">
        <f aca="false">IF(B719="","",MAX(0,D719-E719))</f>
        <v/>
      </c>
      <c r="G719" s="16" t="str">
        <f aca="false">IF(B719="","",IF(COUNTIFS($B$2:$B$1201,B719,$A$2:$A$1201,"&lt;&gt;"&amp;A719)&gt;0,"Sim",""))</f>
        <v/>
      </c>
      <c r="H719" s="16" t="str">
        <f aca="false">IF(N(F719)&gt;0,MAX(H$1:H718)+1,"")</f>
        <v/>
      </c>
      <c r="I719" s="11" t="str">
        <f aca="false">IF(B719="","",IF(INDEX($C$2:$C$1201,MATCH(B719,$B$2:$B$1201,0))&lt;&gt;C719,"Nome diferente em outro deck — revisar",""))</f>
        <v/>
      </c>
      <c r="J719" s="16" t="str">
        <f aca="false">IF(AND(B719&lt;&gt;"",A719=BULK!$A$1,N(F719)&gt;0),MAX(J$1:J718)+1,"")</f>
        <v/>
      </c>
      <c r="K719" s="11" t="str">
        <f aca="false">IF(B719="","",IFERROR(LEFT(B719,FIND("-",B719)-1),B719))</f>
        <v/>
      </c>
      <c r="L719" s="11" t="str">
        <f aca="false">IF(K719="","",IF(ISNUMBER(--MID(K719,1,1)),0,IF(ISNUMBER(--MID(K719,2,1)),1,IF(ISNUMBER(--MID(K719,3,1)),2,IF(ISNUMBER(--MID(K719,4,1)),3,MIN(LEN(K719),4))))))</f>
        <v/>
      </c>
      <c r="M719" s="11" t="str">
        <f aca="false">IF(B719="","",LEFT(K719,L719)&amp;REPT("0",4-L719)&amp;RIGHT("000"&amp;IFERROR(VALUE(MID(K719,L719+1,9)),0),3)&amp;RIGHT("0000"&amp;IFERROR(VALUE(MID(B719,FIND("-",B719)+1,9)),0),4))</f>
        <v/>
      </c>
      <c r="N719" s="11" t="str">
        <f aca="false">IF(OR(B719="",N(F719)&lt;=0),"",IF('FALTAS POR DECK'!$P$1="Código","K"&amp;M719&amp;RIGHT("00000"&amp;ROW(),5),IF('FALTAS POR DECK'!$P$1="Nome","K"&amp;UPPER(SUBSTITUTE(SUBSTITUTE(SUBSTITUTE(C719,"*",""),"?",""),"~",""))&amp;"0"&amp;M719&amp;RIGHT("00000"&amp;ROW(),5),IF('FALTAS POR DECK'!$P$1="Falta (maior primeiro)","K"&amp;RIGHT("0000"&amp;(9999-F719),4)&amp;M719&amp;RIGHT("00000"&amp;ROW(),5),IF('FALTAS POR DECK'!$P$1="Deck e código","K"&amp;RIGHT("00"&amp;IFERROR(MATCH(A719,_LEITURA!$P$2:$P$21,0),99),2)&amp;M719&amp;RIGHT("00000"&amp;ROW(),5),"K"&amp;RIGHT("00000"&amp;ROW(),5))))))</f>
        <v/>
      </c>
      <c r="O719" s="16" t="str">
        <f aca="false">IF(N719="","",COUNTIFS($N$2:$N$1201,"&lt;"&amp;N719,$F$2:$F$1201,"&gt;0")+1)</f>
        <v/>
      </c>
    </row>
    <row r="720" customFormat="false" ht="15" hidden="false" customHeight="false" outlineLevel="0" collapsed="false">
      <c r="A720" s="11" t="str">
        <f aca="false">IF(_LEITURA!$N720="","",INDEX(_LEITURA!$K$2:$K$1201,_LEITURA!$N720))</f>
        <v/>
      </c>
      <c r="B720" s="11" t="str">
        <f aca="false">IF(_LEITURA!$N720="","",INDEX(_LEITURA!$E$2:$E$1201,_LEITURA!$N720))</f>
        <v/>
      </c>
      <c r="C720" s="11" t="str">
        <f aca="false">IF(_LEITURA!$N720="","",INDEX(_LEITURA!$J$2:$J$1201,_LEITURA!$N720))</f>
        <v/>
      </c>
      <c r="D720" s="16" t="str">
        <f aca="false">IF(_LEITURA!$N720="","",INDEX(_LEITURA!$G$2:$G$1201,_LEITURA!$N720))</f>
        <v/>
      </c>
      <c r="E720" s="16" t="str">
        <f aca="false">IF(B720="","",SUMIFS(INVENTÁRIO!$C$2:$C$801,INVENTÁRIO!$A$2:$A$801,B720))</f>
        <v/>
      </c>
      <c r="F720" s="16" t="str">
        <f aca="false">IF(B720="","",MAX(0,D720-E720))</f>
        <v/>
      </c>
      <c r="G720" s="16" t="str">
        <f aca="false">IF(B720="","",IF(COUNTIFS($B$2:$B$1201,B720,$A$2:$A$1201,"&lt;&gt;"&amp;A720)&gt;0,"Sim",""))</f>
        <v/>
      </c>
      <c r="H720" s="16" t="str">
        <f aca="false">IF(N(F720)&gt;0,MAX(H$1:H719)+1,"")</f>
        <v/>
      </c>
      <c r="I720" s="11" t="str">
        <f aca="false">IF(B720="","",IF(INDEX($C$2:$C$1201,MATCH(B720,$B$2:$B$1201,0))&lt;&gt;C720,"Nome diferente em outro deck — revisar",""))</f>
        <v/>
      </c>
      <c r="J720" s="16" t="str">
        <f aca="false">IF(AND(B720&lt;&gt;"",A720=BULK!$A$1,N(F720)&gt;0),MAX(J$1:J719)+1,"")</f>
        <v/>
      </c>
      <c r="K720" s="11" t="str">
        <f aca="false">IF(B720="","",IFERROR(LEFT(B720,FIND("-",B720)-1),B720))</f>
        <v/>
      </c>
      <c r="L720" s="11" t="str">
        <f aca="false">IF(K720="","",IF(ISNUMBER(--MID(K720,1,1)),0,IF(ISNUMBER(--MID(K720,2,1)),1,IF(ISNUMBER(--MID(K720,3,1)),2,IF(ISNUMBER(--MID(K720,4,1)),3,MIN(LEN(K720),4))))))</f>
        <v/>
      </c>
      <c r="M720" s="11" t="str">
        <f aca="false">IF(B720="","",LEFT(K720,L720)&amp;REPT("0",4-L720)&amp;RIGHT("000"&amp;IFERROR(VALUE(MID(K720,L720+1,9)),0),3)&amp;RIGHT("0000"&amp;IFERROR(VALUE(MID(B720,FIND("-",B720)+1,9)),0),4))</f>
        <v/>
      </c>
      <c r="N720" s="11" t="str">
        <f aca="false">IF(OR(B720="",N(F720)&lt;=0),"",IF('FALTAS POR DECK'!$P$1="Código","K"&amp;M720&amp;RIGHT("00000"&amp;ROW(),5),IF('FALTAS POR DECK'!$P$1="Nome","K"&amp;UPPER(SUBSTITUTE(SUBSTITUTE(SUBSTITUTE(C720,"*",""),"?",""),"~",""))&amp;"0"&amp;M720&amp;RIGHT("00000"&amp;ROW(),5),IF('FALTAS POR DECK'!$P$1="Falta (maior primeiro)","K"&amp;RIGHT("0000"&amp;(9999-F720),4)&amp;M720&amp;RIGHT("00000"&amp;ROW(),5),IF('FALTAS POR DECK'!$P$1="Deck e código","K"&amp;RIGHT("00"&amp;IFERROR(MATCH(A720,_LEITURA!$P$2:$P$21,0),99),2)&amp;M720&amp;RIGHT("00000"&amp;ROW(),5),"K"&amp;RIGHT("00000"&amp;ROW(),5))))))</f>
        <v/>
      </c>
      <c r="O720" s="16" t="str">
        <f aca="false">IF(N720="","",COUNTIFS($N$2:$N$1201,"&lt;"&amp;N720,$F$2:$F$1201,"&gt;0")+1)</f>
        <v/>
      </c>
    </row>
    <row r="721" customFormat="false" ht="15" hidden="false" customHeight="false" outlineLevel="0" collapsed="false">
      <c r="A721" s="11" t="str">
        <f aca="false">IF(_LEITURA!$N721="","",INDEX(_LEITURA!$K$2:$K$1201,_LEITURA!$N721))</f>
        <v/>
      </c>
      <c r="B721" s="11" t="str">
        <f aca="false">IF(_LEITURA!$N721="","",INDEX(_LEITURA!$E$2:$E$1201,_LEITURA!$N721))</f>
        <v/>
      </c>
      <c r="C721" s="11" t="str">
        <f aca="false">IF(_LEITURA!$N721="","",INDEX(_LEITURA!$J$2:$J$1201,_LEITURA!$N721))</f>
        <v/>
      </c>
      <c r="D721" s="16" t="str">
        <f aca="false">IF(_LEITURA!$N721="","",INDEX(_LEITURA!$G$2:$G$1201,_LEITURA!$N721))</f>
        <v/>
      </c>
      <c r="E721" s="16" t="str">
        <f aca="false">IF(B721="","",SUMIFS(INVENTÁRIO!$C$2:$C$801,INVENTÁRIO!$A$2:$A$801,B721))</f>
        <v/>
      </c>
      <c r="F721" s="16" t="str">
        <f aca="false">IF(B721="","",MAX(0,D721-E721))</f>
        <v/>
      </c>
      <c r="G721" s="16" t="str">
        <f aca="false">IF(B721="","",IF(COUNTIFS($B$2:$B$1201,B721,$A$2:$A$1201,"&lt;&gt;"&amp;A721)&gt;0,"Sim",""))</f>
        <v/>
      </c>
      <c r="H721" s="16" t="str">
        <f aca="false">IF(N(F721)&gt;0,MAX(H$1:H720)+1,"")</f>
        <v/>
      </c>
      <c r="I721" s="11" t="str">
        <f aca="false">IF(B721="","",IF(INDEX($C$2:$C$1201,MATCH(B721,$B$2:$B$1201,0))&lt;&gt;C721,"Nome diferente em outro deck — revisar",""))</f>
        <v/>
      </c>
      <c r="J721" s="16" t="str">
        <f aca="false">IF(AND(B721&lt;&gt;"",A721=BULK!$A$1,N(F721)&gt;0),MAX(J$1:J720)+1,"")</f>
        <v/>
      </c>
      <c r="K721" s="11" t="str">
        <f aca="false">IF(B721="","",IFERROR(LEFT(B721,FIND("-",B721)-1),B721))</f>
        <v/>
      </c>
      <c r="L721" s="11" t="str">
        <f aca="false">IF(K721="","",IF(ISNUMBER(--MID(K721,1,1)),0,IF(ISNUMBER(--MID(K721,2,1)),1,IF(ISNUMBER(--MID(K721,3,1)),2,IF(ISNUMBER(--MID(K721,4,1)),3,MIN(LEN(K721),4))))))</f>
        <v/>
      </c>
      <c r="M721" s="11" t="str">
        <f aca="false">IF(B721="","",LEFT(K721,L721)&amp;REPT("0",4-L721)&amp;RIGHT("000"&amp;IFERROR(VALUE(MID(K721,L721+1,9)),0),3)&amp;RIGHT("0000"&amp;IFERROR(VALUE(MID(B721,FIND("-",B721)+1,9)),0),4))</f>
        <v/>
      </c>
      <c r="N721" s="11" t="str">
        <f aca="false">IF(OR(B721="",N(F721)&lt;=0),"",IF('FALTAS POR DECK'!$P$1="Código","K"&amp;M721&amp;RIGHT("00000"&amp;ROW(),5),IF('FALTAS POR DECK'!$P$1="Nome","K"&amp;UPPER(SUBSTITUTE(SUBSTITUTE(SUBSTITUTE(C721,"*",""),"?",""),"~",""))&amp;"0"&amp;M721&amp;RIGHT("00000"&amp;ROW(),5),IF('FALTAS POR DECK'!$P$1="Falta (maior primeiro)","K"&amp;RIGHT("0000"&amp;(9999-F721),4)&amp;M721&amp;RIGHT("00000"&amp;ROW(),5),IF('FALTAS POR DECK'!$P$1="Deck e código","K"&amp;RIGHT("00"&amp;IFERROR(MATCH(A721,_LEITURA!$P$2:$P$21,0),99),2)&amp;M721&amp;RIGHT("00000"&amp;ROW(),5),"K"&amp;RIGHT("00000"&amp;ROW(),5))))))</f>
        <v/>
      </c>
      <c r="O721" s="16" t="str">
        <f aca="false">IF(N721="","",COUNTIFS($N$2:$N$1201,"&lt;"&amp;N721,$F$2:$F$1201,"&gt;0")+1)</f>
        <v/>
      </c>
    </row>
    <row r="722" customFormat="false" ht="15" hidden="false" customHeight="false" outlineLevel="0" collapsed="false">
      <c r="A722" s="11" t="str">
        <f aca="false">IF(_LEITURA!$N722="","",INDEX(_LEITURA!$K$2:$K$1201,_LEITURA!$N722))</f>
        <v/>
      </c>
      <c r="B722" s="11" t="str">
        <f aca="false">IF(_LEITURA!$N722="","",INDEX(_LEITURA!$E$2:$E$1201,_LEITURA!$N722))</f>
        <v/>
      </c>
      <c r="C722" s="11" t="str">
        <f aca="false">IF(_LEITURA!$N722="","",INDEX(_LEITURA!$J$2:$J$1201,_LEITURA!$N722))</f>
        <v/>
      </c>
      <c r="D722" s="16" t="str">
        <f aca="false">IF(_LEITURA!$N722="","",INDEX(_LEITURA!$G$2:$G$1201,_LEITURA!$N722))</f>
        <v/>
      </c>
      <c r="E722" s="16" t="str">
        <f aca="false">IF(B722="","",SUMIFS(INVENTÁRIO!$C$2:$C$801,INVENTÁRIO!$A$2:$A$801,B722))</f>
        <v/>
      </c>
      <c r="F722" s="16" t="str">
        <f aca="false">IF(B722="","",MAX(0,D722-E722))</f>
        <v/>
      </c>
      <c r="G722" s="16" t="str">
        <f aca="false">IF(B722="","",IF(COUNTIFS($B$2:$B$1201,B722,$A$2:$A$1201,"&lt;&gt;"&amp;A722)&gt;0,"Sim",""))</f>
        <v/>
      </c>
      <c r="H722" s="16" t="str">
        <f aca="false">IF(N(F722)&gt;0,MAX(H$1:H721)+1,"")</f>
        <v/>
      </c>
      <c r="I722" s="11" t="str">
        <f aca="false">IF(B722="","",IF(INDEX($C$2:$C$1201,MATCH(B722,$B$2:$B$1201,0))&lt;&gt;C722,"Nome diferente em outro deck — revisar",""))</f>
        <v/>
      </c>
      <c r="J722" s="16" t="str">
        <f aca="false">IF(AND(B722&lt;&gt;"",A722=BULK!$A$1,N(F722)&gt;0),MAX(J$1:J721)+1,"")</f>
        <v/>
      </c>
      <c r="K722" s="11" t="str">
        <f aca="false">IF(B722="","",IFERROR(LEFT(B722,FIND("-",B722)-1),B722))</f>
        <v/>
      </c>
      <c r="L722" s="11" t="str">
        <f aca="false">IF(K722="","",IF(ISNUMBER(--MID(K722,1,1)),0,IF(ISNUMBER(--MID(K722,2,1)),1,IF(ISNUMBER(--MID(K722,3,1)),2,IF(ISNUMBER(--MID(K722,4,1)),3,MIN(LEN(K722),4))))))</f>
        <v/>
      </c>
      <c r="M722" s="11" t="str">
        <f aca="false">IF(B722="","",LEFT(K722,L722)&amp;REPT("0",4-L722)&amp;RIGHT("000"&amp;IFERROR(VALUE(MID(K722,L722+1,9)),0),3)&amp;RIGHT("0000"&amp;IFERROR(VALUE(MID(B722,FIND("-",B722)+1,9)),0),4))</f>
        <v/>
      </c>
      <c r="N722" s="11" t="str">
        <f aca="false">IF(OR(B722="",N(F722)&lt;=0),"",IF('FALTAS POR DECK'!$P$1="Código","K"&amp;M722&amp;RIGHT("00000"&amp;ROW(),5),IF('FALTAS POR DECK'!$P$1="Nome","K"&amp;UPPER(SUBSTITUTE(SUBSTITUTE(SUBSTITUTE(C722,"*",""),"?",""),"~",""))&amp;"0"&amp;M722&amp;RIGHT("00000"&amp;ROW(),5),IF('FALTAS POR DECK'!$P$1="Falta (maior primeiro)","K"&amp;RIGHT("0000"&amp;(9999-F722),4)&amp;M722&amp;RIGHT("00000"&amp;ROW(),5),IF('FALTAS POR DECK'!$P$1="Deck e código","K"&amp;RIGHT("00"&amp;IFERROR(MATCH(A722,_LEITURA!$P$2:$P$21,0),99),2)&amp;M722&amp;RIGHT("00000"&amp;ROW(),5),"K"&amp;RIGHT("00000"&amp;ROW(),5))))))</f>
        <v/>
      </c>
      <c r="O722" s="16" t="str">
        <f aca="false">IF(N722="","",COUNTIFS($N$2:$N$1201,"&lt;"&amp;N722,$F$2:$F$1201,"&gt;0")+1)</f>
        <v/>
      </c>
    </row>
    <row r="723" customFormat="false" ht="15" hidden="false" customHeight="false" outlineLevel="0" collapsed="false">
      <c r="A723" s="11" t="str">
        <f aca="false">IF(_LEITURA!$N723="","",INDEX(_LEITURA!$K$2:$K$1201,_LEITURA!$N723))</f>
        <v/>
      </c>
      <c r="B723" s="11" t="str">
        <f aca="false">IF(_LEITURA!$N723="","",INDEX(_LEITURA!$E$2:$E$1201,_LEITURA!$N723))</f>
        <v/>
      </c>
      <c r="C723" s="11" t="str">
        <f aca="false">IF(_LEITURA!$N723="","",INDEX(_LEITURA!$J$2:$J$1201,_LEITURA!$N723))</f>
        <v/>
      </c>
      <c r="D723" s="16" t="str">
        <f aca="false">IF(_LEITURA!$N723="","",INDEX(_LEITURA!$G$2:$G$1201,_LEITURA!$N723))</f>
        <v/>
      </c>
      <c r="E723" s="16" t="str">
        <f aca="false">IF(B723="","",SUMIFS(INVENTÁRIO!$C$2:$C$801,INVENTÁRIO!$A$2:$A$801,B723))</f>
        <v/>
      </c>
      <c r="F723" s="16" t="str">
        <f aca="false">IF(B723="","",MAX(0,D723-E723))</f>
        <v/>
      </c>
      <c r="G723" s="16" t="str">
        <f aca="false">IF(B723="","",IF(COUNTIFS($B$2:$B$1201,B723,$A$2:$A$1201,"&lt;&gt;"&amp;A723)&gt;0,"Sim",""))</f>
        <v/>
      </c>
      <c r="H723" s="16" t="str">
        <f aca="false">IF(N(F723)&gt;0,MAX(H$1:H722)+1,"")</f>
        <v/>
      </c>
      <c r="I723" s="11" t="str">
        <f aca="false">IF(B723="","",IF(INDEX($C$2:$C$1201,MATCH(B723,$B$2:$B$1201,0))&lt;&gt;C723,"Nome diferente em outro deck — revisar",""))</f>
        <v/>
      </c>
      <c r="J723" s="16" t="str">
        <f aca="false">IF(AND(B723&lt;&gt;"",A723=BULK!$A$1,N(F723)&gt;0),MAX(J$1:J722)+1,"")</f>
        <v/>
      </c>
      <c r="K723" s="11" t="str">
        <f aca="false">IF(B723="","",IFERROR(LEFT(B723,FIND("-",B723)-1),B723))</f>
        <v/>
      </c>
      <c r="L723" s="11" t="str">
        <f aca="false">IF(K723="","",IF(ISNUMBER(--MID(K723,1,1)),0,IF(ISNUMBER(--MID(K723,2,1)),1,IF(ISNUMBER(--MID(K723,3,1)),2,IF(ISNUMBER(--MID(K723,4,1)),3,MIN(LEN(K723),4))))))</f>
        <v/>
      </c>
      <c r="M723" s="11" t="str">
        <f aca="false">IF(B723="","",LEFT(K723,L723)&amp;REPT("0",4-L723)&amp;RIGHT("000"&amp;IFERROR(VALUE(MID(K723,L723+1,9)),0),3)&amp;RIGHT("0000"&amp;IFERROR(VALUE(MID(B723,FIND("-",B723)+1,9)),0),4))</f>
        <v/>
      </c>
      <c r="N723" s="11" t="str">
        <f aca="false">IF(OR(B723="",N(F723)&lt;=0),"",IF('FALTAS POR DECK'!$P$1="Código","K"&amp;M723&amp;RIGHT("00000"&amp;ROW(),5),IF('FALTAS POR DECK'!$P$1="Nome","K"&amp;UPPER(SUBSTITUTE(SUBSTITUTE(SUBSTITUTE(C723,"*",""),"?",""),"~",""))&amp;"0"&amp;M723&amp;RIGHT("00000"&amp;ROW(),5),IF('FALTAS POR DECK'!$P$1="Falta (maior primeiro)","K"&amp;RIGHT("0000"&amp;(9999-F723),4)&amp;M723&amp;RIGHT("00000"&amp;ROW(),5),IF('FALTAS POR DECK'!$P$1="Deck e código","K"&amp;RIGHT("00"&amp;IFERROR(MATCH(A723,_LEITURA!$P$2:$P$21,0),99),2)&amp;M723&amp;RIGHT("00000"&amp;ROW(),5),"K"&amp;RIGHT("00000"&amp;ROW(),5))))))</f>
        <v/>
      </c>
      <c r="O723" s="16" t="str">
        <f aca="false">IF(N723="","",COUNTIFS($N$2:$N$1201,"&lt;"&amp;N723,$F$2:$F$1201,"&gt;0")+1)</f>
        <v/>
      </c>
    </row>
    <row r="724" customFormat="false" ht="15" hidden="false" customHeight="false" outlineLevel="0" collapsed="false">
      <c r="A724" s="11" t="str">
        <f aca="false">IF(_LEITURA!$N724="","",INDEX(_LEITURA!$K$2:$K$1201,_LEITURA!$N724))</f>
        <v/>
      </c>
      <c r="B724" s="11" t="str">
        <f aca="false">IF(_LEITURA!$N724="","",INDEX(_LEITURA!$E$2:$E$1201,_LEITURA!$N724))</f>
        <v/>
      </c>
      <c r="C724" s="11" t="str">
        <f aca="false">IF(_LEITURA!$N724="","",INDEX(_LEITURA!$J$2:$J$1201,_LEITURA!$N724))</f>
        <v/>
      </c>
      <c r="D724" s="16" t="str">
        <f aca="false">IF(_LEITURA!$N724="","",INDEX(_LEITURA!$G$2:$G$1201,_LEITURA!$N724))</f>
        <v/>
      </c>
      <c r="E724" s="16" t="str">
        <f aca="false">IF(B724="","",SUMIFS(INVENTÁRIO!$C$2:$C$801,INVENTÁRIO!$A$2:$A$801,B724))</f>
        <v/>
      </c>
      <c r="F724" s="16" t="str">
        <f aca="false">IF(B724="","",MAX(0,D724-E724))</f>
        <v/>
      </c>
      <c r="G724" s="16" t="str">
        <f aca="false">IF(B724="","",IF(COUNTIFS($B$2:$B$1201,B724,$A$2:$A$1201,"&lt;&gt;"&amp;A724)&gt;0,"Sim",""))</f>
        <v/>
      </c>
      <c r="H724" s="16" t="str">
        <f aca="false">IF(N(F724)&gt;0,MAX(H$1:H723)+1,"")</f>
        <v/>
      </c>
      <c r="I724" s="11" t="str">
        <f aca="false">IF(B724="","",IF(INDEX($C$2:$C$1201,MATCH(B724,$B$2:$B$1201,0))&lt;&gt;C724,"Nome diferente em outro deck — revisar",""))</f>
        <v/>
      </c>
      <c r="J724" s="16" t="str">
        <f aca="false">IF(AND(B724&lt;&gt;"",A724=BULK!$A$1,N(F724)&gt;0),MAX(J$1:J723)+1,"")</f>
        <v/>
      </c>
      <c r="K724" s="11" t="str">
        <f aca="false">IF(B724="","",IFERROR(LEFT(B724,FIND("-",B724)-1),B724))</f>
        <v/>
      </c>
      <c r="L724" s="11" t="str">
        <f aca="false">IF(K724="","",IF(ISNUMBER(--MID(K724,1,1)),0,IF(ISNUMBER(--MID(K724,2,1)),1,IF(ISNUMBER(--MID(K724,3,1)),2,IF(ISNUMBER(--MID(K724,4,1)),3,MIN(LEN(K724),4))))))</f>
        <v/>
      </c>
      <c r="M724" s="11" t="str">
        <f aca="false">IF(B724="","",LEFT(K724,L724)&amp;REPT("0",4-L724)&amp;RIGHT("000"&amp;IFERROR(VALUE(MID(K724,L724+1,9)),0),3)&amp;RIGHT("0000"&amp;IFERROR(VALUE(MID(B724,FIND("-",B724)+1,9)),0),4))</f>
        <v/>
      </c>
      <c r="N724" s="11" t="str">
        <f aca="false">IF(OR(B724="",N(F724)&lt;=0),"",IF('FALTAS POR DECK'!$P$1="Código","K"&amp;M724&amp;RIGHT("00000"&amp;ROW(),5),IF('FALTAS POR DECK'!$P$1="Nome","K"&amp;UPPER(SUBSTITUTE(SUBSTITUTE(SUBSTITUTE(C724,"*",""),"?",""),"~",""))&amp;"0"&amp;M724&amp;RIGHT("00000"&amp;ROW(),5),IF('FALTAS POR DECK'!$P$1="Falta (maior primeiro)","K"&amp;RIGHT("0000"&amp;(9999-F724),4)&amp;M724&amp;RIGHT("00000"&amp;ROW(),5),IF('FALTAS POR DECK'!$P$1="Deck e código","K"&amp;RIGHT("00"&amp;IFERROR(MATCH(A724,_LEITURA!$P$2:$P$21,0),99),2)&amp;M724&amp;RIGHT("00000"&amp;ROW(),5),"K"&amp;RIGHT("00000"&amp;ROW(),5))))))</f>
        <v/>
      </c>
      <c r="O724" s="16" t="str">
        <f aca="false">IF(N724="","",COUNTIFS($N$2:$N$1201,"&lt;"&amp;N724,$F$2:$F$1201,"&gt;0")+1)</f>
        <v/>
      </c>
    </row>
    <row r="725" customFormat="false" ht="15" hidden="false" customHeight="false" outlineLevel="0" collapsed="false">
      <c r="A725" s="11" t="str">
        <f aca="false">IF(_LEITURA!$N725="","",INDEX(_LEITURA!$K$2:$K$1201,_LEITURA!$N725))</f>
        <v/>
      </c>
      <c r="B725" s="11" t="str">
        <f aca="false">IF(_LEITURA!$N725="","",INDEX(_LEITURA!$E$2:$E$1201,_LEITURA!$N725))</f>
        <v/>
      </c>
      <c r="C725" s="11" t="str">
        <f aca="false">IF(_LEITURA!$N725="","",INDEX(_LEITURA!$J$2:$J$1201,_LEITURA!$N725))</f>
        <v/>
      </c>
      <c r="D725" s="16" t="str">
        <f aca="false">IF(_LEITURA!$N725="","",INDEX(_LEITURA!$G$2:$G$1201,_LEITURA!$N725))</f>
        <v/>
      </c>
      <c r="E725" s="16" t="str">
        <f aca="false">IF(B725="","",SUMIFS(INVENTÁRIO!$C$2:$C$801,INVENTÁRIO!$A$2:$A$801,B725))</f>
        <v/>
      </c>
      <c r="F725" s="16" t="str">
        <f aca="false">IF(B725="","",MAX(0,D725-E725))</f>
        <v/>
      </c>
      <c r="G725" s="16" t="str">
        <f aca="false">IF(B725="","",IF(COUNTIFS($B$2:$B$1201,B725,$A$2:$A$1201,"&lt;&gt;"&amp;A725)&gt;0,"Sim",""))</f>
        <v/>
      </c>
      <c r="H725" s="16" t="str">
        <f aca="false">IF(N(F725)&gt;0,MAX(H$1:H724)+1,"")</f>
        <v/>
      </c>
      <c r="I725" s="11" t="str">
        <f aca="false">IF(B725="","",IF(INDEX($C$2:$C$1201,MATCH(B725,$B$2:$B$1201,0))&lt;&gt;C725,"Nome diferente em outro deck — revisar",""))</f>
        <v/>
      </c>
      <c r="J725" s="16" t="str">
        <f aca="false">IF(AND(B725&lt;&gt;"",A725=BULK!$A$1,N(F725)&gt;0),MAX(J$1:J724)+1,"")</f>
        <v/>
      </c>
      <c r="K725" s="11" t="str">
        <f aca="false">IF(B725="","",IFERROR(LEFT(B725,FIND("-",B725)-1),B725))</f>
        <v/>
      </c>
      <c r="L725" s="11" t="str">
        <f aca="false">IF(K725="","",IF(ISNUMBER(--MID(K725,1,1)),0,IF(ISNUMBER(--MID(K725,2,1)),1,IF(ISNUMBER(--MID(K725,3,1)),2,IF(ISNUMBER(--MID(K725,4,1)),3,MIN(LEN(K725),4))))))</f>
        <v/>
      </c>
      <c r="M725" s="11" t="str">
        <f aca="false">IF(B725="","",LEFT(K725,L725)&amp;REPT("0",4-L725)&amp;RIGHT("000"&amp;IFERROR(VALUE(MID(K725,L725+1,9)),0),3)&amp;RIGHT("0000"&amp;IFERROR(VALUE(MID(B725,FIND("-",B725)+1,9)),0),4))</f>
        <v/>
      </c>
      <c r="N725" s="11" t="str">
        <f aca="false">IF(OR(B725="",N(F725)&lt;=0),"",IF('FALTAS POR DECK'!$P$1="Código","K"&amp;M725&amp;RIGHT("00000"&amp;ROW(),5),IF('FALTAS POR DECK'!$P$1="Nome","K"&amp;UPPER(SUBSTITUTE(SUBSTITUTE(SUBSTITUTE(C725,"*",""),"?",""),"~",""))&amp;"0"&amp;M725&amp;RIGHT("00000"&amp;ROW(),5),IF('FALTAS POR DECK'!$P$1="Falta (maior primeiro)","K"&amp;RIGHT("0000"&amp;(9999-F725),4)&amp;M725&amp;RIGHT("00000"&amp;ROW(),5),IF('FALTAS POR DECK'!$P$1="Deck e código","K"&amp;RIGHT("00"&amp;IFERROR(MATCH(A725,_LEITURA!$P$2:$P$21,0),99),2)&amp;M725&amp;RIGHT("00000"&amp;ROW(),5),"K"&amp;RIGHT("00000"&amp;ROW(),5))))))</f>
        <v/>
      </c>
      <c r="O725" s="16" t="str">
        <f aca="false">IF(N725="","",COUNTIFS($N$2:$N$1201,"&lt;"&amp;N725,$F$2:$F$1201,"&gt;0")+1)</f>
        <v/>
      </c>
    </row>
    <row r="726" customFormat="false" ht="15" hidden="false" customHeight="false" outlineLevel="0" collapsed="false">
      <c r="A726" s="11" t="str">
        <f aca="false">IF(_LEITURA!$N726="","",INDEX(_LEITURA!$K$2:$K$1201,_LEITURA!$N726))</f>
        <v/>
      </c>
      <c r="B726" s="11" t="str">
        <f aca="false">IF(_LEITURA!$N726="","",INDEX(_LEITURA!$E$2:$E$1201,_LEITURA!$N726))</f>
        <v/>
      </c>
      <c r="C726" s="11" t="str">
        <f aca="false">IF(_LEITURA!$N726="","",INDEX(_LEITURA!$J$2:$J$1201,_LEITURA!$N726))</f>
        <v/>
      </c>
      <c r="D726" s="16" t="str">
        <f aca="false">IF(_LEITURA!$N726="","",INDEX(_LEITURA!$G$2:$G$1201,_LEITURA!$N726))</f>
        <v/>
      </c>
      <c r="E726" s="16" t="str">
        <f aca="false">IF(B726="","",SUMIFS(INVENTÁRIO!$C$2:$C$801,INVENTÁRIO!$A$2:$A$801,B726))</f>
        <v/>
      </c>
      <c r="F726" s="16" t="str">
        <f aca="false">IF(B726="","",MAX(0,D726-E726))</f>
        <v/>
      </c>
      <c r="G726" s="16" t="str">
        <f aca="false">IF(B726="","",IF(COUNTIFS($B$2:$B$1201,B726,$A$2:$A$1201,"&lt;&gt;"&amp;A726)&gt;0,"Sim",""))</f>
        <v/>
      </c>
      <c r="H726" s="16" t="str">
        <f aca="false">IF(N(F726)&gt;0,MAX(H$1:H725)+1,"")</f>
        <v/>
      </c>
      <c r="I726" s="11" t="str">
        <f aca="false">IF(B726="","",IF(INDEX($C$2:$C$1201,MATCH(B726,$B$2:$B$1201,0))&lt;&gt;C726,"Nome diferente em outro deck — revisar",""))</f>
        <v/>
      </c>
      <c r="J726" s="16" t="str">
        <f aca="false">IF(AND(B726&lt;&gt;"",A726=BULK!$A$1,N(F726)&gt;0),MAX(J$1:J725)+1,"")</f>
        <v/>
      </c>
      <c r="K726" s="11" t="str">
        <f aca="false">IF(B726="","",IFERROR(LEFT(B726,FIND("-",B726)-1),B726))</f>
        <v/>
      </c>
      <c r="L726" s="11" t="str">
        <f aca="false">IF(K726="","",IF(ISNUMBER(--MID(K726,1,1)),0,IF(ISNUMBER(--MID(K726,2,1)),1,IF(ISNUMBER(--MID(K726,3,1)),2,IF(ISNUMBER(--MID(K726,4,1)),3,MIN(LEN(K726),4))))))</f>
        <v/>
      </c>
      <c r="M726" s="11" t="str">
        <f aca="false">IF(B726="","",LEFT(K726,L726)&amp;REPT("0",4-L726)&amp;RIGHT("000"&amp;IFERROR(VALUE(MID(K726,L726+1,9)),0),3)&amp;RIGHT("0000"&amp;IFERROR(VALUE(MID(B726,FIND("-",B726)+1,9)),0),4))</f>
        <v/>
      </c>
      <c r="N726" s="11" t="str">
        <f aca="false">IF(OR(B726="",N(F726)&lt;=0),"",IF('FALTAS POR DECK'!$P$1="Código","K"&amp;M726&amp;RIGHT("00000"&amp;ROW(),5),IF('FALTAS POR DECK'!$P$1="Nome","K"&amp;UPPER(SUBSTITUTE(SUBSTITUTE(SUBSTITUTE(C726,"*",""),"?",""),"~",""))&amp;"0"&amp;M726&amp;RIGHT("00000"&amp;ROW(),5),IF('FALTAS POR DECK'!$P$1="Falta (maior primeiro)","K"&amp;RIGHT("0000"&amp;(9999-F726),4)&amp;M726&amp;RIGHT("00000"&amp;ROW(),5),IF('FALTAS POR DECK'!$P$1="Deck e código","K"&amp;RIGHT("00"&amp;IFERROR(MATCH(A726,_LEITURA!$P$2:$P$21,0),99),2)&amp;M726&amp;RIGHT("00000"&amp;ROW(),5),"K"&amp;RIGHT("00000"&amp;ROW(),5))))))</f>
        <v/>
      </c>
      <c r="O726" s="16" t="str">
        <f aca="false">IF(N726="","",COUNTIFS($N$2:$N$1201,"&lt;"&amp;N726,$F$2:$F$1201,"&gt;0")+1)</f>
        <v/>
      </c>
    </row>
    <row r="727" customFormat="false" ht="15" hidden="false" customHeight="false" outlineLevel="0" collapsed="false">
      <c r="A727" s="11" t="str">
        <f aca="false">IF(_LEITURA!$N727="","",INDEX(_LEITURA!$K$2:$K$1201,_LEITURA!$N727))</f>
        <v/>
      </c>
      <c r="B727" s="11" t="str">
        <f aca="false">IF(_LEITURA!$N727="","",INDEX(_LEITURA!$E$2:$E$1201,_LEITURA!$N727))</f>
        <v/>
      </c>
      <c r="C727" s="11" t="str">
        <f aca="false">IF(_LEITURA!$N727="","",INDEX(_LEITURA!$J$2:$J$1201,_LEITURA!$N727))</f>
        <v/>
      </c>
      <c r="D727" s="16" t="str">
        <f aca="false">IF(_LEITURA!$N727="","",INDEX(_LEITURA!$G$2:$G$1201,_LEITURA!$N727))</f>
        <v/>
      </c>
      <c r="E727" s="16" t="str">
        <f aca="false">IF(B727="","",SUMIFS(INVENTÁRIO!$C$2:$C$801,INVENTÁRIO!$A$2:$A$801,B727))</f>
        <v/>
      </c>
      <c r="F727" s="16" t="str">
        <f aca="false">IF(B727="","",MAX(0,D727-E727))</f>
        <v/>
      </c>
      <c r="G727" s="16" t="str">
        <f aca="false">IF(B727="","",IF(COUNTIFS($B$2:$B$1201,B727,$A$2:$A$1201,"&lt;&gt;"&amp;A727)&gt;0,"Sim",""))</f>
        <v/>
      </c>
      <c r="H727" s="16" t="str">
        <f aca="false">IF(N(F727)&gt;0,MAX(H$1:H726)+1,"")</f>
        <v/>
      </c>
      <c r="I727" s="11" t="str">
        <f aca="false">IF(B727="","",IF(INDEX($C$2:$C$1201,MATCH(B727,$B$2:$B$1201,0))&lt;&gt;C727,"Nome diferente em outro deck — revisar",""))</f>
        <v/>
      </c>
      <c r="J727" s="16" t="str">
        <f aca="false">IF(AND(B727&lt;&gt;"",A727=BULK!$A$1,N(F727)&gt;0),MAX(J$1:J726)+1,"")</f>
        <v/>
      </c>
      <c r="K727" s="11" t="str">
        <f aca="false">IF(B727="","",IFERROR(LEFT(B727,FIND("-",B727)-1),B727))</f>
        <v/>
      </c>
      <c r="L727" s="11" t="str">
        <f aca="false">IF(K727="","",IF(ISNUMBER(--MID(K727,1,1)),0,IF(ISNUMBER(--MID(K727,2,1)),1,IF(ISNUMBER(--MID(K727,3,1)),2,IF(ISNUMBER(--MID(K727,4,1)),3,MIN(LEN(K727),4))))))</f>
        <v/>
      </c>
      <c r="M727" s="11" t="str">
        <f aca="false">IF(B727="","",LEFT(K727,L727)&amp;REPT("0",4-L727)&amp;RIGHT("000"&amp;IFERROR(VALUE(MID(K727,L727+1,9)),0),3)&amp;RIGHT("0000"&amp;IFERROR(VALUE(MID(B727,FIND("-",B727)+1,9)),0),4))</f>
        <v/>
      </c>
      <c r="N727" s="11" t="str">
        <f aca="false">IF(OR(B727="",N(F727)&lt;=0),"",IF('FALTAS POR DECK'!$P$1="Código","K"&amp;M727&amp;RIGHT("00000"&amp;ROW(),5),IF('FALTAS POR DECK'!$P$1="Nome","K"&amp;UPPER(SUBSTITUTE(SUBSTITUTE(SUBSTITUTE(C727,"*",""),"?",""),"~",""))&amp;"0"&amp;M727&amp;RIGHT("00000"&amp;ROW(),5),IF('FALTAS POR DECK'!$P$1="Falta (maior primeiro)","K"&amp;RIGHT("0000"&amp;(9999-F727),4)&amp;M727&amp;RIGHT("00000"&amp;ROW(),5),IF('FALTAS POR DECK'!$P$1="Deck e código","K"&amp;RIGHT("00"&amp;IFERROR(MATCH(A727,_LEITURA!$P$2:$P$21,0),99),2)&amp;M727&amp;RIGHT("00000"&amp;ROW(),5),"K"&amp;RIGHT("00000"&amp;ROW(),5))))))</f>
        <v/>
      </c>
      <c r="O727" s="16" t="str">
        <f aca="false">IF(N727="","",COUNTIFS($N$2:$N$1201,"&lt;"&amp;N727,$F$2:$F$1201,"&gt;0")+1)</f>
        <v/>
      </c>
    </row>
    <row r="728" customFormat="false" ht="15" hidden="false" customHeight="false" outlineLevel="0" collapsed="false">
      <c r="A728" s="11" t="str">
        <f aca="false">IF(_LEITURA!$N728="","",INDEX(_LEITURA!$K$2:$K$1201,_LEITURA!$N728))</f>
        <v/>
      </c>
      <c r="B728" s="11" t="str">
        <f aca="false">IF(_LEITURA!$N728="","",INDEX(_LEITURA!$E$2:$E$1201,_LEITURA!$N728))</f>
        <v/>
      </c>
      <c r="C728" s="11" t="str">
        <f aca="false">IF(_LEITURA!$N728="","",INDEX(_LEITURA!$J$2:$J$1201,_LEITURA!$N728))</f>
        <v/>
      </c>
      <c r="D728" s="16" t="str">
        <f aca="false">IF(_LEITURA!$N728="","",INDEX(_LEITURA!$G$2:$G$1201,_LEITURA!$N728))</f>
        <v/>
      </c>
      <c r="E728" s="16" t="str">
        <f aca="false">IF(B728="","",SUMIFS(INVENTÁRIO!$C$2:$C$801,INVENTÁRIO!$A$2:$A$801,B728))</f>
        <v/>
      </c>
      <c r="F728" s="16" t="str">
        <f aca="false">IF(B728="","",MAX(0,D728-E728))</f>
        <v/>
      </c>
      <c r="G728" s="16" t="str">
        <f aca="false">IF(B728="","",IF(COUNTIFS($B$2:$B$1201,B728,$A$2:$A$1201,"&lt;&gt;"&amp;A728)&gt;0,"Sim",""))</f>
        <v/>
      </c>
      <c r="H728" s="16" t="str">
        <f aca="false">IF(N(F728)&gt;0,MAX(H$1:H727)+1,"")</f>
        <v/>
      </c>
      <c r="I728" s="11" t="str">
        <f aca="false">IF(B728="","",IF(INDEX($C$2:$C$1201,MATCH(B728,$B$2:$B$1201,0))&lt;&gt;C728,"Nome diferente em outro deck — revisar",""))</f>
        <v/>
      </c>
      <c r="J728" s="16" t="str">
        <f aca="false">IF(AND(B728&lt;&gt;"",A728=BULK!$A$1,N(F728)&gt;0),MAX(J$1:J727)+1,"")</f>
        <v/>
      </c>
      <c r="K728" s="11" t="str">
        <f aca="false">IF(B728="","",IFERROR(LEFT(B728,FIND("-",B728)-1),B728))</f>
        <v/>
      </c>
      <c r="L728" s="11" t="str">
        <f aca="false">IF(K728="","",IF(ISNUMBER(--MID(K728,1,1)),0,IF(ISNUMBER(--MID(K728,2,1)),1,IF(ISNUMBER(--MID(K728,3,1)),2,IF(ISNUMBER(--MID(K728,4,1)),3,MIN(LEN(K728),4))))))</f>
        <v/>
      </c>
      <c r="M728" s="11" t="str">
        <f aca="false">IF(B728="","",LEFT(K728,L728)&amp;REPT("0",4-L728)&amp;RIGHT("000"&amp;IFERROR(VALUE(MID(K728,L728+1,9)),0),3)&amp;RIGHT("0000"&amp;IFERROR(VALUE(MID(B728,FIND("-",B728)+1,9)),0),4))</f>
        <v/>
      </c>
      <c r="N728" s="11" t="str">
        <f aca="false">IF(OR(B728="",N(F728)&lt;=0),"",IF('FALTAS POR DECK'!$P$1="Código","K"&amp;M728&amp;RIGHT("00000"&amp;ROW(),5),IF('FALTAS POR DECK'!$P$1="Nome","K"&amp;UPPER(SUBSTITUTE(SUBSTITUTE(SUBSTITUTE(C728,"*",""),"?",""),"~",""))&amp;"0"&amp;M728&amp;RIGHT("00000"&amp;ROW(),5),IF('FALTAS POR DECK'!$P$1="Falta (maior primeiro)","K"&amp;RIGHT("0000"&amp;(9999-F728),4)&amp;M728&amp;RIGHT("00000"&amp;ROW(),5),IF('FALTAS POR DECK'!$P$1="Deck e código","K"&amp;RIGHT("00"&amp;IFERROR(MATCH(A728,_LEITURA!$P$2:$P$21,0),99),2)&amp;M728&amp;RIGHT("00000"&amp;ROW(),5),"K"&amp;RIGHT("00000"&amp;ROW(),5))))))</f>
        <v/>
      </c>
      <c r="O728" s="16" t="str">
        <f aca="false">IF(N728="","",COUNTIFS($N$2:$N$1201,"&lt;"&amp;N728,$F$2:$F$1201,"&gt;0")+1)</f>
        <v/>
      </c>
    </row>
    <row r="729" customFormat="false" ht="15" hidden="false" customHeight="false" outlineLevel="0" collapsed="false">
      <c r="A729" s="11" t="str">
        <f aca="false">IF(_LEITURA!$N729="","",INDEX(_LEITURA!$K$2:$K$1201,_LEITURA!$N729))</f>
        <v/>
      </c>
      <c r="B729" s="11" t="str">
        <f aca="false">IF(_LEITURA!$N729="","",INDEX(_LEITURA!$E$2:$E$1201,_LEITURA!$N729))</f>
        <v/>
      </c>
      <c r="C729" s="11" t="str">
        <f aca="false">IF(_LEITURA!$N729="","",INDEX(_LEITURA!$J$2:$J$1201,_LEITURA!$N729))</f>
        <v/>
      </c>
      <c r="D729" s="16" t="str">
        <f aca="false">IF(_LEITURA!$N729="","",INDEX(_LEITURA!$G$2:$G$1201,_LEITURA!$N729))</f>
        <v/>
      </c>
      <c r="E729" s="16" t="str">
        <f aca="false">IF(B729="","",SUMIFS(INVENTÁRIO!$C$2:$C$801,INVENTÁRIO!$A$2:$A$801,B729))</f>
        <v/>
      </c>
      <c r="F729" s="16" t="str">
        <f aca="false">IF(B729="","",MAX(0,D729-E729))</f>
        <v/>
      </c>
      <c r="G729" s="16" t="str">
        <f aca="false">IF(B729="","",IF(COUNTIFS($B$2:$B$1201,B729,$A$2:$A$1201,"&lt;&gt;"&amp;A729)&gt;0,"Sim",""))</f>
        <v/>
      </c>
      <c r="H729" s="16" t="str">
        <f aca="false">IF(N(F729)&gt;0,MAX(H$1:H728)+1,"")</f>
        <v/>
      </c>
      <c r="I729" s="11" t="str">
        <f aca="false">IF(B729="","",IF(INDEX($C$2:$C$1201,MATCH(B729,$B$2:$B$1201,0))&lt;&gt;C729,"Nome diferente em outro deck — revisar",""))</f>
        <v/>
      </c>
      <c r="J729" s="16" t="str">
        <f aca="false">IF(AND(B729&lt;&gt;"",A729=BULK!$A$1,N(F729)&gt;0),MAX(J$1:J728)+1,"")</f>
        <v/>
      </c>
      <c r="K729" s="11" t="str">
        <f aca="false">IF(B729="","",IFERROR(LEFT(B729,FIND("-",B729)-1),B729))</f>
        <v/>
      </c>
      <c r="L729" s="11" t="str">
        <f aca="false">IF(K729="","",IF(ISNUMBER(--MID(K729,1,1)),0,IF(ISNUMBER(--MID(K729,2,1)),1,IF(ISNUMBER(--MID(K729,3,1)),2,IF(ISNUMBER(--MID(K729,4,1)),3,MIN(LEN(K729),4))))))</f>
        <v/>
      </c>
      <c r="M729" s="11" t="str">
        <f aca="false">IF(B729="","",LEFT(K729,L729)&amp;REPT("0",4-L729)&amp;RIGHT("000"&amp;IFERROR(VALUE(MID(K729,L729+1,9)),0),3)&amp;RIGHT("0000"&amp;IFERROR(VALUE(MID(B729,FIND("-",B729)+1,9)),0),4))</f>
        <v/>
      </c>
      <c r="N729" s="11" t="str">
        <f aca="false">IF(OR(B729="",N(F729)&lt;=0),"",IF('FALTAS POR DECK'!$P$1="Código","K"&amp;M729&amp;RIGHT("00000"&amp;ROW(),5),IF('FALTAS POR DECK'!$P$1="Nome","K"&amp;UPPER(SUBSTITUTE(SUBSTITUTE(SUBSTITUTE(C729,"*",""),"?",""),"~",""))&amp;"0"&amp;M729&amp;RIGHT("00000"&amp;ROW(),5),IF('FALTAS POR DECK'!$P$1="Falta (maior primeiro)","K"&amp;RIGHT("0000"&amp;(9999-F729),4)&amp;M729&amp;RIGHT("00000"&amp;ROW(),5),IF('FALTAS POR DECK'!$P$1="Deck e código","K"&amp;RIGHT("00"&amp;IFERROR(MATCH(A729,_LEITURA!$P$2:$P$21,0),99),2)&amp;M729&amp;RIGHT("00000"&amp;ROW(),5),"K"&amp;RIGHT("00000"&amp;ROW(),5))))))</f>
        <v/>
      </c>
      <c r="O729" s="16" t="str">
        <f aca="false">IF(N729="","",COUNTIFS($N$2:$N$1201,"&lt;"&amp;N729,$F$2:$F$1201,"&gt;0")+1)</f>
        <v/>
      </c>
    </row>
    <row r="730" customFormat="false" ht="15" hidden="false" customHeight="false" outlineLevel="0" collapsed="false">
      <c r="A730" s="11" t="str">
        <f aca="false">IF(_LEITURA!$N730="","",INDEX(_LEITURA!$K$2:$K$1201,_LEITURA!$N730))</f>
        <v/>
      </c>
      <c r="B730" s="11" t="str">
        <f aca="false">IF(_LEITURA!$N730="","",INDEX(_LEITURA!$E$2:$E$1201,_LEITURA!$N730))</f>
        <v/>
      </c>
      <c r="C730" s="11" t="str">
        <f aca="false">IF(_LEITURA!$N730="","",INDEX(_LEITURA!$J$2:$J$1201,_LEITURA!$N730))</f>
        <v/>
      </c>
      <c r="D730" s="16" t="str">
        <f aca="false">IF(_LEITURA!$N730="","",INDEX(_LEITURA!$G$2:$G$1201,_LEITURA!$N730))</f>
        <v/>
      </c>
      <c r="E730" s="16" t="str">
        <f aca="false">IF(B730="","",SUMIFS(INVENTÁRIO!$C$2:$C$801,INVENTÁRIO!$A$2:$A$801,B730))</f>
        <v/>
      </c>
      <c r="F730" s="16" t="str">
        <f aca="false">IF(B730="","",MAX(0,D730-E730))</f>
        <v/>
      </c>
      <c r="G730" s="16" t="str">
        <f aca="false">IF(B730="","",IF(COUNTIFS($B$2:$B$1201,B730,$A$2:$A$1201,"&lt;&gt;"&amp;A730)&gt;0,"Sim",""))</f>
        <v/>
      </c>
      <c r="H730" s="16" t="str">
        <f aca="false">IF(N(F730)&gt;0,MAX(H$1:H729)+1,"")</f>
        <v/>
      </c>
      <c r="I730" s="11" t="str">
        <f aca="false">IF(B730="","",IF(INDEX($C$2:$C$1201,MATCH(B730,$B$2:$B$1201,0))&lt;&gt;C730,"Nome diferente em outro deck — revisar",""))</f>
        <v/>
      </c>
      <c r="J730" s="16" t="str">
        <f aca="false">IF(AND(B730&lt;&gt;"",A730=BULK!$A$1,N(F730)&gt;0),MAX(J$1:J729)+1,"")</f>
        <v/>
      </c>
      <c r="K730" s="11" t="str">
        <f aca="false">IF(B730="","",IFERROR(LEFT(B730,FIND("-",B730)-1),B730))</f>
        <v/>
      </c>
      <c r="L730" s="11" t="str">
        <f aca="false">IF(K730="","",IF(ISNUMBER(--MID(K730,1,1)),0,IF(ISNUMBER(--MID(K730,2,1)),1,IF(ISNUMBER(--MID(K730,3,1)),2,IF(ISNUMBER(--MID(K730,4,1)),3,MIN(LEN(K730),4))))))</f>
        <v/>
      </c>
      <c r="M730" s="11" t="str">
        <f aca="false">IF(B730="","",LEFT(K730,L730)&amp;REPT("0",4-L730)&amp;RIGHT("000"&amp;IFERROR(VALUE(MID(K730,L730+1,9)),0),3)&amp;RIGHT("0000"&amp;IFERROR(VALUE(MID(B730,FIND("-",B730)+1,9)),0),4))</f>
        <v/>
      </c>
      <c r="N730" s="11" t="str">
        <f aca="false">IF(OR(B730="",N(F730)&lt;=0),"",IF('FALTAS POR DECK'!$P$1="Código","K"&amp;M730&amp;RIGHT("00000"&amp;ROW(),5),IF('FALTAS POR DECK'!$P$1="Nome","K"&amp;UPPER(SUBSTITUTE(SUBSTITUTE(SUBSTITUTE(C730,"*",""),"?",""),"~",""))&amp;"0"&amp;M730&amp;RIGHT("00000"&amp;ROW(),5),IF('FALTAS POR DECK'!$P$1="Falta (maior primeiro)","K"&amp;RIGHT("0000"&amp;(9999-F730),4)&amp;M730&amp;RIGHT("00000"&amp;ROW(),5),IF('FALTAS POR DECK'!$P$1="Deck e código","K"&amp;RIGHT("00"&amp;IFERROR(MATCH(A730,_LEITURA!$P$2:$P$21,0),99),2)&amp;M730&amp;RIGHT("00000"&amp;ROW(),5),"K"&amp;RIGHT("00000"&amp;ROW(),5))))))</f>
        <v/>
      </c>
      <c r="O730" s="16" t="str">
        <f aca="false">IF(N730="","",COUNTIFS($N$2:$N$1201,"&lt;"&amp;N730,$F$2:$F$1201,"&gt;0")+1)</f>
        <v/>
      </c>
    </row>
    <row r="731" customFormat="false" ht="15" hidden="false" customHeight="false" outlineLevel="0" collapsed="false">
      <c r="A731" s="11" t="str">
        <f aca="false">IF(_LEITURA!$N731="","",INDEX(_LEITURA!$K$2:$K$1201,_LEITURA!$N731))</f>
        <v/>
      </c>
      <c r="B731" s="11" t="str">
        <f aca="false">IF(_LEITURA!$N731="","",INDEX(_LEITURA!$E$2:$E$1201,_LEITURA!$N731))</f>
        <v/>
      </c>
      <c r="C731" s="11" t="str">
        <f aca="false">IF(_LEITURA!$N731="","",INDEX(_LEITURA!$J$2:$J$1201,_LEITURA!$N731))</f>
        <v/>
      </c>
      <c r="D731" s="16" t="str">
        <f aca="false">IF(_LEITURA!$N731="","",INDEX(_LEITURA!$G$2:$G$1201,_LEITURA!$N731))</f>
        <v/>
      </c>
      <c r="E731" s="16" t="str">
        <f aca="false">IF(B731="","",SUMIFS(INVENTÁRIO!$C$2:$C$801,INVENTÁRIO!$A$2:$A$801,B731))</f>
        <v/>
      </c>
      <c r="F731" s="16" t="str">
        <f aca="false">IF(B731="","",MAX(0,D731-E731))</f>
        <v/>
      </c>
      <c r="G731" s="16" t="str">
        <f aca="false">IF(B731="","",IF(COUNTIFS($B$2:$B$1201,B731,$A$2:$A$1201,"&lt;&gt;"&amp;A731)&gt;0,"Sim",""))</f>
        <v/>
      </c>
      <c r="H731" s="16" t="str">
        <f aca="false">IF(N(F731)&gt;0,MAX(H$1:H730)+1,"")</f>
        <v/>
      </c>
      <c r="I731" s="11" t="str">
        <f aca="false">IF(B731="","",IF(INDEX($C$2:$C$1201,MATCH(B731,$B$2:$B$1201,0))&lt;&gt;C731,"Nome diferente em outro deck — revisar",""))</f>
        <v/>
      </c>
      <c r="J731" s="16" t="str">
        <f aca="false">IF(AND(B731&lt;&gt;"",A731=BULK!$A$1,N(F731)&gt;0),MAX(J$1:J730)+1,"")</f>
        <v/>
      </c>
      <c r="K731" s="11" t="str">
        <f aca="false">IF(B731="","",IFERROR(LEFT(B731,FIND("-",B731)-1),B731))</f>
        <v/>
      </c>
      <c r="L731" s="11" t="str">
        <f aca="false">IF(K731="","",IF(ISNUMBER(--MID(K731,1,1)),0,IF(ISNUMBER(--MID(K731,2,1)),1,IF(ISNUMBER(--MID(K731,3,1)),2,IF(ISNUMBER(--MID(K731,4,1)),3,MIN(LEN(K731),4))))))</f>
        <v/>
      </c>
      <c r="M731" s="11" t="str">
        <f aca="false">IF(B731="","",LEFT(K731,L731)&amp;REPT("0",4-L731)&amp;RIGHT("000"&amp;IFERROR(VALUE(MID(K731,L731+1,9)),0),3)&amp;RIGHT("0000"&amp;IFERROR(VALUE(MID(B731,FIND("-",B731)+1,9)),0),4))</f>
        <v/>
      </c>
      <c r="N731" s="11" t="str">
        <f aca="false">IF(OR(B731="",N(F731)&lt;=0),"",IF('FALTAS POR DECK'!$P$1="Código","K"&amp;M731&amp;RIGHT("00000"&amp;ROW(),5),IF('FALTAS POR DECK'!$P$1="Nome","K"&amp;UPPER(SUBSTITUTE(SUBSTITUTE(SUBSTITUTE(C731,"*",""),"?",""),"~",""))&amp;"0"&amp;M731&amp;RIGHT("00000"&amp;ROW(),5),IF('FALTAS POR DECK'!$P$1="Falta (maior primeiro)","K"&amp;RIGHT("0000"&amp;(9999-F731),4)&amp;M731&amp;RIGHT("00000"&amp;ROW(),5),IF('FALTAS POR DECK'!$P$1="Deck e código","K"&amp;RIGHT("00"&amp;IFERROR(MATCH(A731,_LEITURA!$P$2:$P$21,0),99),2)&amp;M731&amp;RIGHT("00000"&amp;ROW(),5),"K"&amp;RIGHT("00000"&amp;ROW(),5))))))</f>
        <v/>
      </c>
      <c r="O731" s="16" t="str">
        <f aca="false">IF(N731="","",COUNTIFS($N$2:$N$1201,"&lt;"&amp;N731,$F$2:$F$1201,"&gt;0")+1)</f>
        <v/>
      </c>
    </row>
    <row r="732" customFormat="false" ht="15" hidden="false" customHeight="false" outlineLevel="0" collapsed="false">
      <c r="A732" s="11" t="str">
        <f aca="false">IF(_LEITURA!$N732="","",INDEX(_LEITURA!$K$2:$K$1201,_LEITURA!$N732))</f>
        <v/>
      </c>
      <c r="B732" s="11" t="str">
        <f aca="false">IF(_LEITURA!$N732="","",INDEX(_LEITURA!$E$2:$E$1201,_LEITURA!$N732))</f>
        <v/>
      </c>
      <c r="C732" s="11" t="str">
        <f aca="false">IF(_LEITURA!$N732="","",INDEX(_LEITURA!$J$2:$J$1201,_LEITURA!$N732))</f>
        <v/>
      </c>
      <c r="D732" s="16" t="str">
        <f aca="false">IF(_LEITURA!$N732="","",INDEX(_LEITURA!$G$2:$G$1201,_LEITURA!$N732))</f>
        <v/>
      </c>
      <c r="E732" s="16" t="str">
        <f aca="false">IF(B732="","",SUMIFS(INVENTÁRIO!$C$2:$C$801,INVENTÁRIO!$A$2:$A$801,B732))</f>
        <v/>
      </c>
      <c r="F732" s="16" t="str">
        <f aca="false">IF(B732="","",MAX(0,D732-E732))</f>
        <v/>
      </c>
      <c r="G732" s="16" t="str">
        <f aca="false">IF(B732="","",IF(COUNTIFS($B$2:$B$1201,B732,$A$2:$A$1201,"&lt;&gt;"&amp;A732)&gt;0,"Sim",""))</f>
        <v/>
      </c>
      <c r="H732" s="16" t="str">
        <f aca="false">IF(N(F732)&gt;0,MAX(H$1:H731)+1,"")</f>
        <v/>
      </c>
      <c r="I732" s="11" t="str">
        <f aca="false">IF(B732="","",IF(INDEX($C$2:$C$1201,MATCH(B732,$B$2:$B$1201,0))&lt;&gt;C732,"Nome diferente em outro deck — revisar",""))</f>
        <v/>
      </c>
      <c r="J732" s="16" t="str">
        <f aca="false">IF(AND(B732&lt;&gt;"",A732=BULK!$A$1,N(F732)&gt;0),MAX(J$1:J731)+1,"")</f>
        <v/>
      </c>
      <c r="K732" s="11" t="str">
        <f aca="false">IF(B732="","",IFERROR(LEFT(B732,FIND("-",B732)-1),B732))</f>
        <v/>
      </c>
      <c r="L732" s="11" t="str">
        <f aca="false">IF(K732="","",IF(ISNUMBER(--MID(K732,1,1)),0,IF(ISNUMBER(--MID(K732,2,1)),1,IF(ISNUMBER(--MID(K732,3,1)),2,IF(ISNUMBER(--MID(K732,4,1)),3,MIN(LEN(K732),4))))))</f>
        <v/>
      </c>
      <c r="M732" s="11" t="str">
        <f aca="false">IF(B732="","",LEFT(K732,L732)&amp;REPT("0",4-L732)&amp;RIGHT("000"&amp;IFERROR(VALUE(MID(K732,L732+1,9)),0),3)&amp;RIGHT("0000"&amp;IFERROR(VALUE(MID(B732,FIND("-",B732)+1,9)),0),4))</f>
        <v/>
      </c>
      <c r="N732" s="11" t="str">
        <f aca="false">IF(OR(B732="",N(F732)&lt;=0),"",IF('FALTAS POR DECK'!$P$1="Código","K"&amp;M732&amp;RIGHT("00000"&amp;ROW(),5),IF('FALTAS POR DECK'!$P$1="Nome","K"&amp;UPPER(SUBSTITUTE(SUBSTITUTE(SUBSTITUTE(C732,"*",""),"?",""),"~",""))&amp;"0"&amp;M732&amp;RIGHT("00000"&amp;ROW(),5),IF('FALTAS POR DECK'!$P$1="Falta (maior primeiro)","K"&amp;RIGHT("0000"&amp;(9999-F732),4)&amp;M732&amp;RIGHT("00000"&amp;ROW(),5),IF('FALTAS POR DECK'!$P$1="Deck e código","K"&amp;RIGHT("00"&amp;IFERROR(MATCH(A732,_LEITURA!$P$2:$P$21,0),99),2)&amp;M732&amp;RIGHT("00000"&amp;ROW(),5),"K"&amp;RIGHT("00000"&amp;ROW(),5))))))</f>
        <v/>
      </c>
      <c r="O732" s="16" t="str">
        <f aca="false">IF(N732="","",COUNTIFS($N$2:$N$1201,"&lt;"&amp;N732,$F$2:$F$1201,"&gt;0")+1)</f>
        <v/>
      </c>
    </row>
    <row r="733" customFormat="false" ht="15" hidden="false" customHeight="false" outlineLevel="0" collapsed="false">
      <c r="A733" s="11" t="str">
        <f aca="false">IF(_LEITURA!$N733="","",INDEX(_LEITURA!$K$2:$K$1201,_LEITURA!$N733))</f>
        <v/>
      </c>
      <c r="B733" s="11" t="str">
        <f aca="false">IF(_LEITURA!$N733="","",INDEX(_LEITURA!$E$2:$E$1201,_LEITURA!$N733))</f>
        <v/>
      </c>
      <c r="C733" s="11" t="str">
        <f aca="false">IF(_LEITURA!$N733="","",INDEX(_LEITURA!$J$2:$J$1201,_LEITURA!$N733))</f>
        <v/>
      </c>
      <c r="D733" s="16" t="str">
        <f aca="false">IF(_LEITURA!$N733="","",INDEX(_LEITURA!$G$2:$G$1201,_LEITURA!$N733))</f>
        <v/>
      </c>
      <c r="E733" s="16" t="str">
        <f aca="false">IF(B733="","",SUMIFS(INVENTÁRIO!$C$2:$C$801,INVENTÁRIO!$A$2:$A$801,B733))</f>
        <v/>
      </c>
      <c r="F733" s="16" t="str">
        <f aca="false">IF(B733="","",MAX(0,D733-E733))</f>
        <v/>
      </c>
      <c r="G733" s="16" t="str">
        <f aca="false">IF(B733="","",IF(COUNTIFS($B$2:$B$1201,B733,$A$2:$A$1201,"&lt;&gt;"&amp;A733)&gt;0,"Sim",""))</f>
        <v/>
      </c>
      <c r="H733" s="16" t="str">
        <f aca="false">IF(N(F733)&gt;0,MAX(H$1:H732)+1,"")</f>
        <v/>
      </c>
      <c r="I733" s="11" t="str">
        <f aca="false">IF(B733="","",IF(INDEX($C$2:$C$1201,MATCH(B733,$B$2:$B$1201,0))&lt;&gt;C733,"Nome diferente em outro deck — revisar",""))</f>
        <v/>
      </c>
      <c r="J733" s="16" t="str">
        <f aca="false">IF(AND(B733&lt;&gt;"",A733=BULK!$A$1,N(F733)&gt;0),MAX(J$1:J732)+1,"")</f>
        <v/>
      </c>
      <c r="K733" s="11" t="str">
        <f aca="false">IF(B733="","",IFERROR(LEFT(B733,FIND("-",B733)-1),B733))</f>
        <v/>
      </c>
      <c r="L733" s="11" t="str">
        <f aca="false">IF(K733="","",IF(ISNUMBER(--MID(K733,1,1)),0,IF(ISNUMBER(--MID(K733,2,1)),1,IF(ISNUMBER(--MID(K733,3,1)),2,IF(ISNUMBER(--MID(K733,4,1)),3,MIN(LEN(K733),4))))))</f>
        <v/>
      </c>
      <c r="M733" s="11" t="str">
        <f aca="false">IF(B733="","",LEFT(K733,L733)&amp;REPT("0",4-L733)&amp;RIGHT("000"&amp;IFERROR(VALUE(MID(K733,L733+1,9)),0),3)&amp;RIGHT("0000"&amp;IFERROR(VALUE(MID(B733,FIND("-",B733)+1,9)),0),4))</f>
        <v/>
      </c>
      <c r="N733" s="11" t="str">
        <f aca="false">IF(OR(B733="",N(F733)&lt;=0),"",IF('FALTAS POR DECK'!$P$1="Código","K"&amp;M733&amp;RIGHT("00000"&amp;ROW(),5),IF('FALTAS POR DECK'!$P$1="Nome","K"&amp;UPPER(SUBSTITUTE(SUBSTITUTE(SUBSTITUTE(C733,"*",""),"?",""),"~",""))&amp;"0"&amp;M733&amp;RIGHT("00000"&amp;ROW(),5),IF('FALTAS POR DECK'!$P$1="Falta (maior primeiro)","K"&amp;RIGHT("0000"&amp;(9999-F733),4)&amp;M733&amp;RIGHT("00000"&amp;ROW(),5),IF('FALTAS POR DECK'!$P$1="Deck e código","K"&amp;RIGHT("00"&amp;IFERROR(MATCH(A733,_LEITURA!$P$2:$P$21,0),99),2)&amp;M733&amp;RIGHT("00000"&amp;ROW(),5),"K"&amp;RIGHT("00000"&amp;ROW(),5))))))</f>
        <v/>
      </c>
      <c r="O733" s="16" t="str">
        <f aca="false">IF(N733="","",COUNTIFS($N$2:$N$1201,"&lt;"&amp;N733,$F$2:$F$1201,"&gt;0")+1)</f>
        <v/>
      </c>
    </row>
    <row r="734" customFormat="false" ht="15" hidden="false" customHeight="false" outlineLevel="0" collapsed="false">
      <c r="A734" s="11" t="str">
        <f aca="false">IF(_LEITURA!$N734="","",INDEX(_LEITURA!$K$2:$K$1201,_LEITURA!$N734))</f>
        <v/>
      </c>
      <c r="B734" s="11" t="str">
        <f aca="false">IF(_LEITURA!$N734="","",INDEX(_LEITURA!$E$2:$E$1201,_LEITURA!$N734))</f>
        <v/>
      </c>
      <c r="C734" s="11" t="str">
        <f aca="false">IF(_LEITURA!$N734="","",INDEX(_LEITURA!$J$2:$J$1201,_LEITURA!$N734))</f>
        <v/>
      </c>
      <c r="D734" s="16" t="str">
        <f aca="false">IF(_LEITURA!$N734="","",INDEX(_LEITURA!$G$2:$G$1201,_LEITURA!$N734))</f>
        <v/>
      </c>
      <c r="E734" s="16" t="str">
        <f aca="false">IF(B734="","",SUMIFS(INVENTÁRIO!$C$2:$C$801,INVENTÁRIO!$A$2:$A$801,B734))</f>
        <v/>
      </c>
      <c r="F734" s="16" t="str">
        <f aca="false">IF(B734="","",MAX(0,D734-E734))</f>
        <v/>
      </c>
      <c r="G734" s="16" t="str">
        <f aca="false">IF(B734="","",IF(COUNTIFS($B$2:$B$1201,B734,$A$2:$A$1201,"&lt;&gt;"&amp;A734)&gt;0,"Sim",""))</f>
        <v/>
      </c>
      <c r="H734" s="16" t="str">
        <f aca="false">IF(N(F734)&gt;0,MAX(H$1:H733)+1,"")</f>
        <v/>
      </c>
      <c r="I734" s="11" t="str">
        <f aca="false">IF(B734="","",IF(INDEX($C$2:$C$1201,MATCH(B734,$B$2:$B$1201,0))&lt;&gt;C734,"Nome diferente em outro deck — revisar",""))</f>
        <v/>
      </c>
      <c r="J734" s="16" t="str">
        <f aca="false">IF(AND(B734&lt;&gt;"",A734=BULK!$A$1,N(F734)&gt;0),MAX(J$1:J733)+1,"")</f>
        <v/>
      </c>
      <c r="K734" s="11" t="str">
        <f aca="false">IF(B734="","",IFERROR(LEFT(B734,FIND("-",B734)-1),B734))</f>
        <v/>
      </c>
      <c r="L734" s="11" t="str">
        <f aca="false">IF(K734="","",IF(ISNUMBER(--MID(K734,1,1)),0,IF(ISNUMBER(--MID(K734,2,1)),1,IF(ISNUMBER(--MID(K734,3,1)),2,IF(ISNUMBER(--MID(K734,4,1)),3,MIN(LEN(K734),4))))))</f>
        <v/>
      </c>
      <c r="M734" s="11" t="str">
        <f aca="false">IF(B734="","",LEFT(K734,L734)&amp;REPT("0",4-L734)&amp;RIGHT("000"&amp;IFERROR(VALUE(MID(K734,L734+1,9)),0),3)&amp;RIGHT("0000"&amp;IFERROR(VALUE(MID(B734,FIND("-",B734)+1,9)),0),4))</f>
        <v/>
      </c>
      <c r="N734" s="11" t="str">
        <f aca="false">IF(OR(B734="",N(F734)&lt;=0),"",IF('FALTAS POR DECK'!$P$1="Código","K"&amp;M734&amp;RIGHT("00000"&amp;ROW(),5),IF('FALTAS POR DECK'!$P$1="Nome","K"&amp;UPPER(SUBSTITUTE(SUBSTITUTE(SUBSTITUTE(C734,"*",""),"?",""),"~",""))&amp;"0"&amp;M734&amp;RIGHT("00000"&amp;ROW(),5),IF('FALTAS POR DECK'!$P$1="Falta (maior primeiro)","K"&amp;RIGHT("0000"&amp;(9999-F734),4)&amp;M734&amp;RIGHT("00000"&amp;ROW(),5),IF('FALTAS POR DECK'!$P$1="Deck e código","K"&amp;RIGHT("00"&amp;IFERROR(MATCH(A734,_LEITURA!$P$2:$P$21,0),99),2)&amp;M734&amp;RIGHT("00000"&amp;ROW(),5),"K"&amp;RIGHT("00000"&amp;ROW(),5))))))</f>
        <v/>
      </c>
      <c r="O734" s="16" t="str">
        <f aca="false">IF(N734="","",COUNTIFS($N$2:$N$1201,"&lt;"&amp;N734,$F$2:$F$1201,"&gt;0")+1)</f>
        <v/>
      </c>
    </row>
    <row r="735" customFormat="false" ht="15" hidden="false" customHeight="false" outlineLevel="0" collapsed="false">
      <c r="A735" s="11" t="str">
        <f aca="false">IF(_LEITURA!$N735="","",INDEX(_LEITURA!$K$2:$K$1201,_LEITURA!$N735))</f>
        <v/>
      </c>
      <c r="B735" s="11" t="str">
        <f aca="false">IF(_LEITURA!$N735="","",INDEX(_LEITURA!$E$2:$E$1201,_LEITURA!$N735))</f>
        <v/>
      </c>
      <c r="C735" s="11" t="str">
        <f aca="false">IF(_LEITURA!$N735="","",INDEX(_LEITURA!$J$2:$J$1201,_LEITURA!$N735))</f>
        <v/>
      </c>
      <c r="D735" s="16" t="str">
        <f aca="false">IF(_LEITURA!$N735="","",INDEX(_LEITURA!$G$2:$G$1201,_LEITURA!$N735))</f>
        <v/>
      </c>
      <c r="E735" s="16" t="str">
        <f aca="false">IF(B735="","",SUMIFS(INVENTÁRIO!$C$2:$C$801,INVENTÁRIO!$A$2:$A$801,B735))</f>
        <v/>
      </c>
      <c r="F735" s="16" t="str">
        <f aca="false">IF(B735="","",MAX(0,D735-E735))</f>
        <v/>
      </c>
      <c r="G735" s="16" t="str">
        <f aca="false">IF(B735="","",IF(COUNTIFS($B$2:$B$1201,B735,$A$2:$A$1201,"&lt;&gt;"&amp;A735)&gt;0,"Sim",""))</f>
        <v/>
      </c>
      <c r="H735" s="16" t="str">
        <f aca="false">IF(N(F735)&gt;0,MAX(H$1:H734)+1,"")</f>
        <v/>
      </c>
      <c r="I735" s="11" t="str">
        <f aca="false">IF(B735="","",IF(INDEX($C$2:$C$1201,MATCH(B735,$B$2:$B$1201,0))&lt;&gt;C735,"Nome diferente em outro deck — revisar",""))</f>
        <v/>
      </c>
      <c r="J735" s="16" t="str">
        <f aca="false">IF(AND(B735&lt;&gt;"",A735=BULK!$A$1,N(F735)&gt;0),MAX(J$1:J734)+1,"")</f>
        <v/>
      </c>
      <c r="K735" s="11" t="str">
        <f aca="false">IF(B735="","",IFERROR(LEFT(B735,FIND("-",B735)-1),B735))</f>
        <v/>
      </c>
      <c r="L735" s="11" t="str">
        <f aca="false">IF(K735="","",IF(ISNUMBER(--MID(K735,1,1)),0,IF(ISNUMBER(--MID(K735,2,1)),1,IF(ISNUMBER(--MID(K735,3,1)),2,IF(ISNUMBER(--MID(K735,4,1)),3,MIN(LEN(K735),4))))))</f>
        <v/>
      </c>
      <c r="M735" s="11" t="str">
        <f aca="false">IF(B735="","",LEFT(K735,L735)&amp;REPT("0",4-L735)&amp;RIGHT("000"&amp;IFERROR(VALUE(MID(K735,L735+1,9)),0),3)&amp;RIGHT("0000"&amp;IFERROR(VALUE(MID(B735,FIND("-",B735)+1,9)),0),4))</f>
        <v/>
      </c>
      <c r="N735" s="11" t="str">
        <f aca="false">IF(OR(B735="",N(F735)&lt;=0),"",IF('FALTAS POR DECK'!$P$1="Código","K"&amp;M735&amp;RIGHT("00000"&amp;ROW(),5),IF('FALTAS POR DECK'!$P$1="Nome","K"&amp;UPPER(SUBSTITUTE(SUBSTITUTE(SUBSTITUTE(C735,"*",""),"?",""),"~",""))&amp;"0"&amp;M735&amp;RIGHT("00000"&amp;ROW(),5),IF('FALTAS POR DECK'!$P$1="Falta (maior primeiro)","K"&amp;RIGHT("0000"&amp;(9999-F735),4)&amp;M735&amp;RIGHT("00000"&amp;ROW(),5),IF('FALTAS POR DECK'!$P$1="Deck e código","K"&amp;RIGHT("00"&amp;IFERROR(MATCH(A735,_LEITURA!$P$2:$P$21,0),99),2)&amp;M735&amp;RIGHT("00000"&amp;ROW(),5),"K"&amp;RIGHT("00000"&amp;ROW(),5))))))</f>
        <v/>
      </c>
      <c r="O735" s="16" t="str">
        <f aca="false">IF(N735="","",COUNTIFS($N$2:$N$1201,"&lt;"&amp;N735,$F$2:$F$1201,"&gt;0")+1)</f>
        <v/>
      </c>
    </row>
    <row r="736" customFormat="false" ht="15" hidden="false" customHeight="false" outlineLevel="0" collapsed="false">
      <c r="A736" s="11" t="str">
        <f aca="false">IF(_LEITURA!$N736="","",INDEX(_LEITURA!$K$2:$K$1201,_LEITURA!$N736))</f>
        <v/>
      </c>
      <c r="B736" s="11" t="str">
        <f aca="false">IF(_LEITURA!$N736="","",INDEX(_LEITURA!$E$2:$E$1201,_LEITURA!$N736))</f>
        <v/>
      </c>
      <c r="C736" s="11" t="str">
        <f aca="false">IF(_LEITURA!$N736="","",INDEX(_LEITURA!$J$2:$J$1201,_LEITURA!$N736))</f>
        <v/>
      </c>
      <c r="D736" s="16" t="str">
        <f aca="false">IF(_LEITURA!$N736="","",INDEX(_LEITURA!$G$2:$G$1201,_LEITURA!$N736))</f>
        <v/>
      </c>
      <c r="E736" s="16" t="str">
        <f aca="false">IF(B736="","",SUMIFS(INVENTÁRIO!$C$2:$C$801,INVENTÁRIO!$A$2:$A$801,B736))</f>
        <v/>
      </c>
      <c r="F736" s="16" t="str">
        <f aca="false">IF(B736="","",MAX(0,D736-E736))</f>
        <v/>
      </c>
      <c r="G736" s="16" t="str">
        <f aca="false">IF(B736="","",IF(COUNTIFS($B$2:$B$1201,B736,$A$2:$A$1201,"&lt;&gt;"&amp;A736)&gt;0,"Sim",""))</f>
        <v/>
      </c>
      <c r="H736" s="16" t="str">
        <f aca="false">IF(N(F736)&gt;0,MAX(H$1:H735)+1,"")</f>
        <v/>
      </c>
      <c r="I736" s="11" t="str">
        <f aca="false">IF(B736="","",IF(INDEX($C$2:$C$1201,MATCH(B736,$B$2:$B$1201,0))&lt;&gt;C736,"Nome diferente em outro deck — revisar",""))</f>
        <v/>
      </c>
      <c r="J736" s="16" t="str">
        <f aca="false">IF(AND(B736&lt;&gt;"",A736=BULK!$A$1,N(F736)&gt;0),MAX(J$1:J735)+1,"")</f>
        <v/>
      </c>
      <c r="K736" s="11" t="str">
        <f aca="false">IF(B736="","",IFERROR(LEFT(B736,FIND("-",B736)-1),B736))</f>
        <v/>
      </c>
      <c r="L736" s="11" t="str">
        <f aca="false">IF(K736="","",IF(ISNUMBER(--MID(K736,1,1)),0,IF(ISNUMBER(--MID(K736,2,1)),1,IF(ISNUMBER(--MID(K736,3,1)),2,IF(ISNUMBER(--MID(K736,4,1)),3,MIN(LEN(K736),4))))))</f>
        <v/>
      </c>
      <c r="M736" s="11" t="str">
        <f aca="false">IF(B736="","",LEFT(K736,L736)&amp;REPT("0",4-L736)&amp;RIGHT("000"&amp;IFERROR(VALUE(MID(K736,L736+1,9)),0),3)&amp;RIGHT("0000"&amp;IFERROR(VALUE(MID(B736,FIND("-",B736)+1,9)),0),4))</f>
        <v/>
      </c>
      <c r="N736" s="11" t="str">
        <f aca="false">IF(OR(B736="",N(F736)&lt;=0),"",IF('FALTAS POR DECK'!$P$1="Código","K"&amp;M736&amp;RIGHT("00000"&amp;ROW(),5),IF('FALTAS POR DECK'!$P$1="Nome","K"&amp;UPPER(SUBSTITUTE(SUBSTITUTE(SUBSTITUTE(C736,"*",""),"?",""),"~",""))&amp;"0"&amp;M736&amp;RIGHT("00000"&amp;ROW(),5),IF('FALTAS POR DECK'!$P$1="Falta (maior primeiro)","K"&amp;RIGHT("0000"&amp;(9999-F736),4)&amp;M736&amp;RIGHT("00000"&amp;ROW(),5),IF('FALTAS POR DECK'!$P$1="Deck e código","K"&amp;RIGHT("00"&amp;IFERROR(MATCH(A736,_LEITURA!$P$2:$P$21,0),99),2)&amp;M736&amp;RIGHT("00000"&amp;ROW(),5),"K"&amp;RIGHT("00000"&amp;ROW(),5))))))</f>
        <v/>
      </c>
      <c r="O736" s="16" t="str">
        <f aca="false">IF(N736="","",COUNTIFS($N$2:$N$1201,"&lt;"&amp;N736,$F$2:$F$1201,"&gt;0")+1)</f>
        <v/>
      </c>
    </row>
    <row r="737" customFormat="false" ht="15" hidden="false" customHeight="false" outlineLevel="0" collapsed="false">
      <c r="A737" s="11" t="str">
        <f aca="false">IF(_LEITURA!$N737="","",INDEX(_LEITURA!$K$2:$K$1201,_LEITURA!$N737))</f>
        <v/>
      </c>
      <c r="B737" s="11" t="str">
        <f aca="false">IF(_LEITURA!$N737="","",INDEX(_LEITURA!$E$2:$E$1201,_LEITURA!$N737))</f>
        <v/>
      </c>
      <c r="C737" s="11" t="str">
        <f aca="false">IF(_LEITURA!$N737="","",INDEX(_LEITURA!$J$2:$J$1201,_LEITURA!$N737))</f>
        <v/>
      </c>
      <c r="D737" s="16" t="str">
        <f aca="false">IF(_LEITURA!$N737="","",INDEX(_LEITURA!$G$2:$G$1201,_LEITURA!$N737))</f>
        <v/>
      </c>
      <c r="E737" s="16" t="str">
        <f aca="false">IF(B737="","",SUMIFS(INVENTÁRIO!$C$2:$C$801,INVENTÁRIO!$A$2:$A$801,B737))</f>
        <v/>
      </c>
      <c r="F737" s="16" t="str">
        <f aca="false">IF(B737="","",MAX(0,D737-E737))</f>
        <v/>
      </c>
      <c r="G737" s="16" t="str">
        <f aca="false">IF(B737="","",IF(COUNTIFS($B$2:$B$1201,B737,$A$2:$A$1201,"&lt;&gt;"&amp;A737)&gt;0,"Sim",""))</f>
        <v/>
      </c>
      <c r="H737" s="16" t="str">
        <f aca="false">IF(N(F737)&gt;0,MAX(H$1:H736)+1,"")</f>
        <v/>
      </c>
      <c r="I737" s="11" t="str">
        <f aca="false">IF(B737="","",IF(INDEX($C$2:$C$1201,MATCH(B737,$B$2:$B$1201,0))&lt;&gt;C737,"Nome diferente em outro deck — revisar",""))</f>
        <v/>
      </c>
      <c r="J737" s="16" t="str">
        <f aca="false">IF(AND(B737&lt;&gt;"",A737=BULK!$A$1,N(F737)&gt;0),MAX(J$1:J736)+1,"")</f>
        <v/>
      </c>
      <c r="K737" s="11" t="str">
        <f aca="false">IF(B737="","",IFERROR(LEFT(B737,FIND("-",B737)-1),B737))</f>
        <v/>
      </c>
      <c r="L737" s="11" t="str">
        <f aca="false">IF(K737="","",IF(ISNUMBER(--MID(K737,1,1)),0,IF(ISNUMBER(--MID(K737,2,1)),1,IF(ISNUMBER(--MID(K737,3,1)),2,IF(ISNUMBER(--MID(K737,4,1)),3,MIN(LEN(K737),4))))))</f>
        <v/>
      </c>
      <c r="M737" s="11" t="str">
        <f aca="false">IF(B737="","",LEFT(K737,L737)&amp;REPT("0",4-L737)&amp;RIGHT("000"&amp;IFERROR(VALUE(MID(K737,L737+1,9)),0),3)&amp;RIGHT("0000"&amp;IFERROR(VALUE(MID(B737,FIND("-",B737)+1,9)),0),4))</f>
        <v/>
      </c>
      <c r="N737" s="11" t="str">
        <f aca="false">IF(OR(B737="",N(F737)&lt;=0),"",IF('FALTAS POR DECK'!$P$1="Código","K"&amp;M737&amp;RIGHT("00000"&amp;ROW(),5),IF('FALTAS POR DECK'!$P$1="Nome","K"&amp;UPPER(SUBSTITUTE(SUBSTITUTE(SUBSTITUTE(C737,"*",""),"?",""),"~",""))&amp;"0"&amp;M737&amp;RIGHT("00000"&amp;ROW(),5),IF('FALTAS POR DECK'!$P$1="Falta (maior primeiro)","K"&amp;RIGHT("0000"&amp;(9999-F737),4)&amp;M737&amp;RIGHT("00000"&amp;ROW(),5),IF('FALTAS POR DECK'!$P$1="Deck e código","K"&amp;RIGHT("00"&amp;IFERROR(MATCH(A737,_LEITURA!$P$2:$P$21,0),99),2)&amp;M737&amp;RIGHT("00000"&amp;ROW(),5),"K"&amp;RIGHT("00000"&amp;ROW(),5))))))</f>
        <v/>
      </c>
      <c r="O737" s="16" t="str">
        <f aca="false">IF(N737="","",COUNTIFS($N$2:$N$1201,"&lt;"&amp;N737,$F$2:$F$1201,"&gt;0")+1)</f>
        <v/>
      </c>
    </row>
    <row r="738" customFormat="false" ht="15" hidden="false" customHeight="false" outlineLevel="0" collapsed="false">
      <c r="A738" s="11" t="str">
        <f aca="false">IF(_LEITURA!$N738="","",INDEX(_LEITURA!$K$2:$K$1201,_LEITURA!$N738))</f>
        <v/>
      </c>
      <c r="B738" s="11" t="str">
        <f aca="false">IF(_LEITURA!$N738="","",INDEX(_LEITURA!$E$2:$E$1201,_LEITURA!$N738))</f>
        <v/>
      </c>
      <c r="C738" s="11" t="str">
        <f aca="false">IF(_LEITURA!$N738="","",INDEX(_LEITURA!$J$2:$J$1201,_LEITURA!$N738))</f>
        <v/>
      </c>
      <c r="D738" s="16" t="str">
        <f aca="false">IF(_LEITURA!$N738="","",INDEX(_LEITURA!$G$2:$G$1201,_LEITURA!$N738))</f>
        <v/>
      </c>
      <c r="E738" s="16" t="str">
        <f aca="false">IF(B738="","",SUMIFS(INVENTÁRIO!$C$2:$C$801,INVENTÁRIO!$A$2:$A$801,B738))</f>
        <v/>
      </c>
      <c r="F738" s="16" t="str">
        <f aca="false">IF(B738="","",MAX(0,D738-E738))</f>
        <v/>
      </c>
      <c r="G738" s="16" t="str">
        <f aca="false">IF(B738="","",IF(COUNTIFS($B$2:$B$1201,B738,$A$2:$A$1201,"&lt;&gt;"&amp;A738)&gt;0,"Sim",""))</f>
        <v/>
      </c>
      <c r="H738" s="16" t="str">
        <f aca="false">IF(N(F738)&gt;0,MAX(H$1:H737)+1,"")</f>
        <v/>
      </c>
      <c r="I738" s="11" t="str">
        <f aca="false">IF(B738="","",IF(INDEX($C$2:$C$1201,MATCH(B738,$B$2:$B$1201,0))&lt;&gt;C738,"Nome diferente em outro deck — revisar",""))</f>
        <v/>
      </c>
      <c r="J738" s="16" t="str">
        <f aca="false">IF(AND(B738&lt;&gt;"",A738=BULK!$A$1,N(F738)&gt;0),MAX(J$1:J737)+1,"")</f>
        <v/>
      </c>
      <c r="K738" s="11" t="str">
        <f aca="false">IF(B738="","",IFERROR(LEFT(B738,FIND("-",B738)-1),B738))</f>
        <v/>
      </c>
      <c r="L738" s="11" t="str">
        <f aca="false">IF(K738="","",IF(ISNUMBER(--MID(K738,1,1)),0,IF(ISNUMBER(--MID(K738,2,1)),1,IF(ISNUMBER(--MID(K738,3,1)),2,IF(ISNUMBER(--MID(K738,4,1)),3,MIN(LEN(K738),4))))))</f>
        <v/>
      </c>
      <c r="M738" s="11" t="str">
        <f aca="false">IF(B738="","",LEFT(K738,L738)&amp;REPT("0",4-L738)&amp;RIGHT("000"&amp;IFERROR(VALUE(MID(K738,L738+1,9)),0),3)&amp;RIGHT("0000"&amp;IFERROR(VALUE(MID(B738,FIND("-",B738)+1,9)),0),4))</f>
        <v/>
      </c>
      <c r="N738" s="11" t="str">
        <f aca="false">IF(OR(B738="",N(F738)&lt;=0),"",IF('FALTAS POR DECK'!$P$1="Código","K"&amp;M738&amp;RIGHT("00000"&amp;ROW(),5),IF('FALTAS POR DECK'!$P$1="Nome","K"&amp;UPPER(SUBSTITUTE(SUBSTITUTE(SUBSTITUTE(C738,"*",""),"?",""),"~",""))&amp;"0"&amp;M738&amp;RIGHT("00000"&amp;ROW(),5),IF('FALTAS POR DECK'!$P$1="Falta (maior primeiro)","K"&amp;RIGHT("0000"&amp;(9999-F738),4)&amp;M738&amp;RIGHT("00000"&amp;ROW(),5),IF('FALTAS POR DECK'!$P$1="Deck e código","K"&amp;RIGHT("00"&amp;IFERROR(MATCH(A738,_LEITURA!$P$2:$P$21,0),99),2)&amp;M738&amp;RIGHT("00000"&amp;ROW(),5),"K"&amp;RIGHT("00000"&amp;ROW(),5))))))</f>
        <v/>
      </c>
      <c r="O738" s="16" t="str">
        <f aca="false">IF(N738="","",COUNTIFS($N$2:$N$1201,"&lt;"&amp;N738,$F$2:$F$1201,"&gt;0")+1)</f>
        <v/>
      </c>
    </row>
    <row r="739" customFormat="false" ht="15" hidden="false" customHeight="false" outlineLevel="0" collapsed="false">
      <c r="A739" s="11" t="str">
        <f aca="false">IF(_LEITURA!$N739="","",INDEX(_LEITURA!$K$2:$K$1201,_LEITURA!$N739))</f>
        <v/>
      </c>
      <c r="B739" s="11" t="str">
        <f aca="false">IF(_LEITURA!$N739="","",INDEX(_LEITURA!$E$2:$E$1201,_LEITURA!$N739))</f>
        <v/>
      </c>
      <c r="C739" s="11" t="str">
        <f aca="false">IF(_LEITURA!$N739="","",INDEX(_LEITURA!$J$2:$J$1201,_LEITURA!$N739))</f>
        <v/>
      </c>
      <c r="D739" s="16" t="str">
        <f aca="false">IF(_LEITURA!$N739="","",INDEX(_LEITURA!$G$2:$G$1201,_LEITURA!$N739))</f>
        <v/>
      </c>
      <c r="E739" s="16" t="str">
        <f aca="false">IF(B739="","",SUMIFS(INVENTÁRIO!$C$2:$C$801,INVENTÁRIO!$A$2:$A$801,B739))</f>
        <v/>
      </c>
      <c r="F739" s="16" t="str">
        <f aca="false">IF(B739="","",MAX(0,D739-E739))</f>
        <v/>
      </c>
      <c r="G739" s="16" t="str">
        <f aca="false">IF(B739="","",IF(COUNTIFS($B$2:$B$1201,B739,$A$2:$A$1201,"&lt;&gt;"&amp;A739)&gt;0,"Sim",""))</f>
        <v/>
      </c>
      <c r="H739" s="16" t="str">
        <f aca="false">IF(N(F739)&gt;0,MAX(H$1:H738)+1,"")</f>
        <v/>
      </c>
      <c r="I739" s="11" t="str">
        <f aca="false">IF(B739="","",IF(INDEX($C$2:$C$1201,MATCH(B739,$B$2:$B$1201,0))&lt;&gt;C739,"Nome diferente em outro deck — revisar",""))</f>
        <v/>
      </c>
      <c r="J739" s="16" t="str">
        <f aca="false">IF(AND(B739&lt;&gt;"",A739=BULK!$A$1,N(F739)&gt;0),MAX(J$1:J738)+1,"")</f>
        <v/>
      </c>
      <c r="K739" s="11" t="str">
        <f aca="false">IF(B739="","",IFERROR(LEFT(B739,FIND("-",B739)-1),B739))</f>
        <v/>
      </c>
      <c r="L739" s="11" t="str">
        <f aca="false">IF(K739="","",IF(ISNUMBER(--MID(K739,1,1)),0,IF(ISNUMBER(--MID(K739,2,1)),1,IF(ISNUMBER(--MID(K739,3,1)),2,IF(ISNUMBER(--MID(K739,4,1)),3,MIN(LEN(K739),4))))))</f>
        <v/>
      </c>
      <c r="M739" s="11" t="str">
        <f aca="false">IF(B739="","",LEFT(K739,L739)&amp;REPT("0",4-L739)&amp;RIGHT("000"&amp;IFERROR(VALUE(MID(K739,L739+1,9)),0),3)&amp;RIGHT("0000"&amp;IFERROR(VALUE(MID(B739,FIND("-",B739)+1,9)),0),4))</f>
        <v/>
      </c>
      <c r="N739" s="11" t="str">
        <f aca="false">IF(OR(B739="",N(F739)&lt;=0),"",IF('FALTAS POR DECK'!$P$1="Código","K"&amp;M739&amp;RIGHT("00000"&amp;ROW(),5),IF('FALTAS POR DECK'!$P$1="Nome","K"&amp;UPPER(SUBSTITUTE(SUBSTITUTE(SUBSTITUTE(C739,"*",""),"?",""),"~",""))&amp;"0"&amp;M739&amp;RIGHT("00000"&amp;ROW(),5),IF('FALTAS POR DECK'!$P$1="Falta (maior primeiro)","K"&amp;RIGHT("0000"&amp;(9999-F739),4)&amp;M739&amp;RIGHT("00000"&amp;ROW(),5),IF('FALTAS POR DECK'!$P$1="Deck e código","K"&amp;RIGHT("00"&amp;IFERROR(MATCH(A739,_LEITURA!$P$2:$P$21,0),99),2)&amp;M739&amp;RIGHT("00000"&amp;ROW(),5),"K"&amp;RIGHT("00000"&amp;ROW(),5))))))</f>
        <v/>
      </c>
      <c r="O739" s="16" t="str">
        <f aca="false">IF(N739="","",COUNTIFS($N$2:$N$1201,"&lt;"&amp;N739,$F$2:$F$1201,"&gt;0")+1)</f>
        <v/>
      </c>
    </row>
    <row r="740" customFormat="false" ht="15" hidden="false" customHeight="false" outlineLevel="0" collapsed="false">
      <c r="A740" s="11" t="str">
        <f aca="false">IF(_LEITURA!$N740="","",INDEX(_LEITURA!$K$2:$K$1201,_LEITURA!$N740))</f>
        <v/>
      </c>
      <c r="B740" s="11" t="str">
        <f aca="false">IF(_LEITURA!$N740="","",INDEX(_LEITURA!$E$2:$E$1201,_LEITURA!$N740))</f>
        <v/>
      </c>
      <c r="C740" s="11" t="str">
        <f aca="false">IF(_LEITURA!$N740="","",INDEX(_LEITURA!$J$2:$J$1201,_LEITURA!$N740))</f>
        <v/>
      </c>
      <c r="D740" s="16" t="str">
        <f aca="false">IF(_LEITURA!$N740="","",INDEX(_LEITURA!$G$2:$G$1201,_LEITURA!$N740))</f>
        <v/>
      </c>
      <c r="E740" s="16" t="str">
        <f aca="false">IF(B740="","",SUMIFS(INVENTÁRIO!$C$2:$C$801,INVENTÁRIO!$A$2:$A$801,B740))</f>
        <v/>
      </c>
      <c r="F740" s="16" t="str">
        <f aca="false">IF(B740="","",MAX(0,D740-E740))</f>
        <v/>
      </c>
      <c r="G740" s="16" t="str">
        <f aca="false">IF(B740="","",IF(COUNTIFS($B$2:$B$1201,B740,$A$2:$A$1201,"&lt;&gt;"&amp;A740)&gt;0,"Sim",""))</f>
        <v/>
      </c>
      <c r="H740" s="16" t="str">
        <f aca="false">IF(N(F740)&gt;0,MAX(H$1:H739)+1,"")</f>
        <v/>
      </c>
      <c r="I740" s="11" t="str">
        <f aca="false">IF(B740="","",IF(INDEX($C$2:$C$1201,MATCH(B740,$B$2:$B$1201,0))&lt;&gt;C740,"Nome diferente em outro deck — revisar",""))</f>
        <v/>
      </c>
      <c r="J740" s="16" t="str">
        <f aca="false">IF(AND(B740&lt;&gt;"",A740=BULK!$A$1,N(F740)&gt;0),MAX(J$1:J739)+1,"")</f>
        <v/>
      </c>
      <c r="K740" s="11" t="str">
        <f aca="false">IF(B740="","",IFERROR(LEFT(B740,FIND("-",B740)-1),B740))</f>
        <v/>
      </c>
      <c r="L740" s="11" t="str">
        <f aca="false">IF(K740="","",IF(ISNUMBER(--MID(K740,1,1)),0,IF(ISNUMBER(--MID(K740,2,1)),1,IF(ISNUMBER(--MID(K740,3,1)),2,IF(ISNUMBER(--MID(K740,4,1)),3,MIN(LEN(K740),4))))))</f>
        <v/>
      </c>
      <c r="M740" s="11" t="str">
        <f aca="false">IF(B740="","",LEFT(K740,L740)&amp;REPT("0",4-L740)&amp;RIGHT("000"&amp;IFERROR(VALUE(MID(K740,L740+1,9)),0),3)&amp;RIGHT("0000"&amp;IFERROR(VALUE(MID(B740,FIND("-",B740)+1,9)),0),4))</f>
        <v/>
      </c>
      <c r="N740" s="11" t="str">
        <f aca="false">IF(OR(B740="",N(F740)&lt;=0),"",IF('FALTAS POR DECK'!$P$1="Código","K"&amp;M740&amp;RIGHT("00000"&amp;ROW(),5),IF('FALTAS POR DECK'!$P$1="Nome","K"&amp;UPPER(SUBSTITUTE(SUBSTITUTE(SUBSTITUTE(C740,"*",""),"?",""),"~",""))&amp;"0"&amp;M740&amp;RIGHT("00000"&amp;ROW(),5),IF('FALTAS POR DECK'!$P$1="Falta (maior primeiro)","K"&amp;RIGHT("0000"&amp;(9999-F740),4)&amp;M740&amp;RIGHT("00000"&amp;ROW(),5),IF('FALTAS POR DECK'!$P$1="Deck e código","K"&amp;RIGHT("00"&amp;IFERROR(MATCH(A740,_LEITURA!$P$2:$P$21,0),99),2)&amp;M740&amp;RIGHT("00000"&amp;ROW(),5),"K"&amp;RIGHT("00000"&amp;ROW(),5))))))</f>
        <v/>
      </c>
      <c r="O740" s="16" t="str">
        <f aca="false">IF(N740="","",COUNTIFS($N$2:$N$1201,"&lt;"&amp;N740,$F$2:$F$1201,"&gt;0")+1)</f>
        <v/>
      </c>
    </row>
    <row r="741" customFormat="false" ht="15" hidden="false" customHeight="false" outlineLevel="0" collapsed="false">
      <c r="A741" s="11" t="str">
        <f aca="false">IF(_LEITURA!$N741="","",INDEX(_LEITURA!$K$2:$K$1201,_LEITURA!$N741))</f>
        <v/>
      </c>
      <c r="B741" s="11" t="str">
        <f aca="false">IF(_LEITURA!$N741="","",INDEX(_LEITURA!$E$2:$E$1201,_LEITURA!$N741))</f>
        <v/>
      </c>
      <c r="C741" s="11" t="str">
        <f aca="false">IF(_LEITURA!$N741="","",INDEX(_LEITURA!$J$2:$J$1201,_LEITURA!$N741))</f>
        <v/>
      </c>
      <c r="D741" s="16" t="str">
        <f aca="false">IF(_LEITURA!$N741="","",INDEX(_LEITURA!$G$2:$G$1201,_LEITURA!$N741))</f>
        <v/>
      </c>
      <c r="E741" s="16" t="str">
        <f aca="false">IF(B741="","",SUMIFS(INVENTÁRIO!$C$2:$C$801,INVENTÁRIO!$A$2:$A$801,B741))</f>
        <v/>
      </c>
      <c r="F741" s="16" t="str">
        <f aca="false">IF(B741="","",MAX(0,D741-E741))</f>
        <v/>
      </c>
      <c r="G741" s="16" t="str">
        <f aca="false">IF(B741="","",IF(COUNTIFS($B$2:$B$1201,B741,$A$2:$A$1201,"&lt;&gt;"&amp;A741)&gt;0,"Sim",""))</f>
        <v/>
      </c>
      <c r="H741" s="16" t="str">
        <f aca="false">IF(N(F741)&gt;0,MAX(H$1:H740)+1,"")</f>
        <v/>
      </c>
      <c r="I741" s="11" t="str">
        <f aca="false">IF(B741="","",IF(INDEX($C$2:$C$1201,MATCH(B741,$B$2:$B$1201,0))&lt;&gt;C741,"Nome diferente em outro deck — revisar",""))</f>
        <v/>
      </c>
      <c r="J741" s="16" t="str">
        <f aca="false">IF(AND(B741&lt;&gt;"",A741=BULK!$A$1,N(F741)&gt;0),MAX(J$1:J740)+1,"")</f>
        <v/>
      </c>
      <c r="K741" s="11" t="str">
        <f aca="false">IF(B741="","",IFERROR(LEFT(B741,FIND("-",B741)-1),B741))</f>
        <v/>
      </c>
      <c r="L741" s="11" t="str">
        <f aca="false">IF(K741="","",IF(ISNUMBER(--MID(K741,1,1)),0,IF(ISNUMBER(--MID(K741,2,1)),1,IF(ISNUMBER(--MID(K741,3,1)),2,IF(ISNUMBER(--MID(K741,4,1)),3,MIN(LEN(K741),4))))))</f>
        <v/>
      </c>
      <c r="M741" s="11" t="str">
        <f aca="false">IF(B741="","",LEFT(K741,L741)&amp;REPT("0",4-L741)&amp;RIGHT("000"&amp;IFERROR(VALUE(MID(K741,L741+1,9)),0),3)&amp;RIGHT("0000"&amp;IFERROR(VALUE(MID(B741,FIND("-",B741)+1,9)),0),4))</f>
        <v/>
      </c>
      <c r="N741" s="11" t="str">
        <f aca="false">IF(OR(B741="",N(F741)&lt;=0),"",IF('FALTAS POR DECK'!$P$1="Código","K"&amp;M741&amp;RIGHT("00000"&amp;ROW(),5),IF('FALTAS POR DECK'!$P$1="Nome","K"&amp;UPPER(SUBSTITUTE(SUBSTITUTE(SUBSTITUTE(C741,"*",""),"?",""),"~",""))&amp;"0"&amp;M741&amp;RIGHT("00000"&amp;ROW(),5),IF('FALTAS POR DECK'!$P$1="Falta (maior primeiro)","K"&amp;RIGHT("0000"&amp;(9999-F741),4)&amp;M741&amp;RIGHT("00000"&amp;ROW(),5),IF('FALTAS POR DECK'!$P$1="Deck e código","K"&amp;RIGHT("00"&amp;IFERROR(MATCH(A741,_LEITURA!$P$2:$P$21,0),99),2)&amp;M741&amp;RIGHT("00000"&amp;ROW(),5),"K"&amp;RIGHT("00000"&amp;ROW(),5))))))</f>
        <v/>
      </c>
      <c r="O741" s="16" t="str">
        <f aca="false">IF(N741="","",COUNTIFS($N$2:$N$1201,"&lt;"&amp;N741,$F$2:$F$1201,"&gt;0")+1)</f>
        <v/>
      </c>
    </row>
    <row r="742" customFormat="false" ht="15" hidden="false" customHeight="false" outlineLevel="0" collapsed="false">
      <c r="A742" s="11" t="str">
        <f aca="false">IF(_LEITURA!$N742="","",INDEX(_LEITURA!$K$2:$K$1201,_LEITURA!$N742))</f>
        <v/>
      </c>
      <c r="B742" s="11" t="str">
        <f aca="false">IF(_LEITURA!$N742="","",INDEX(_LEITURA!$E$2:$E$1201,_LEITURA!$N742))</f>
        <v/>
      </c>
      <c r="C742" s="11" t="str">
        <f aca="false">IF(_LEITURA!$N742="","",INDEX(_LEITURA!$J$2:$J$1201,_LEITURA!$N742))</f>
        <v/>
      </c>
      <c r="D742" s="16" t="str">
        <f aca="false">IF(_LEITURA!$N742="","",INDEX(_LEITURA!$G$2:$G$1201,_LEITURA!$N742))</f>
        <v/>
      </c>
      <c r="E742" s="16" t="str">
        <f aca="false">IF(B742="","",SUMIFS(INVENTÁRIO!$C$2:$C$801,INVENTÁRIO!$A$2:$A$801,B742))</f>
        <v/>
      </c>
      <c r="F742" s="16" t="str">
        <f aca="false">IF(B742="","",MAX(0,D742-E742))</f>
        <v/>
      </c>
      <c r="G742" s="16" t="str">
        <f aca="false">IF(B742="","",IF(COUNTIFS($B$2:$B$1201,B742,$A$2:$A$1201,"&lt;&gt;"&amp;A742)&gt;0,"Sim",""))</f>
        <v/>
      </c>
      <c r="H742" s="16" t="str">
        <f aca="false">IF(N(F742)&gt;0,MAX(H$1:H741)+1,"")</f>
        <v/>
      </c>
      <c r="I742" s="11" t="str">
        <f aca="false">IF(B742="","",IF(INDEX($C$2:$C$1201,MATCH(B742,$B$2:$B$1201,0))&lt;&gt;C742,"Nome diferente em outro deck — revisar",""))</f>
        <v/>
      </c>
      <c r="J742" s="16" t="str">
        <f aca="false">IF(AND(B742&lt;&gt;"",A742=BULK!$A$1,N(F742)&gt;0),MAX(J$1:J741)+1,"")</f>
        <v/>
      </c>
      <c r="K742" s="11" t="str">
        <f aca="false">IF(B742="","",IFERROR(LEFT(B742,FIND("-",B742)-1),B742))</f>
        <v/>
      </c>
      <c r="L742" s="11" t="str">
        <f aca="false">IF(K742="","",IF(ISNUMBER(--MID(K742,1,1)),0,IF(ISNUMBER(--MID(K742,2,1)),1,IF(ISNUMBER(--MID(K742,3,1)),2,IF(ISNUMBER(--MID(K742,4,1)),3,MIN(LEN(K742),4))))))</f>
        <v/>
      </c>
      <c r="M742" s="11" t="str">
        <f aca="false">IF(B742="","",LEFT(K742,L742)&amp;REPT("0",4-L742)&amp;RIGHT("000"&amp;IFERROR(VALUE(MID(K742,L742+1,9)),0),3)&amp;RIGHT("0000"&amp;IFERROR(VALUE(MID(B742,FIND("-",B742)+1,9)),0),4))</f>
        <v/>
      </c>
      <c r="N742" s="11" t="str">
        <f aca="false">IF(OR(B742="",N(F742)&lt;=0),"",IF('FALTAS POR DECK'!$P$1="Código","K"&amp;M742&amp;RIGHT("00000"&amp;ROW(),5),IF('FALTAS POR DECK'!$P$1="Nome","K"&amp;UPPER(SUBSTITUTE(SUBSTITUTE(SUBSTITUTE(C742,"*",""),"?",""),"~",""))&amp;"0"&amp;M742&amp;RIGHT("00000"&amp;ROW(),5),IF('FALTAS POR DECK'!$P$1="Falta (maior primeiro)","K"&amp;RIGHT("0000"&amp;(9999-F742),4)&amp;M742&amp;RIGHT("00000"&amp;ROW(),5),IF('FALTAS POR DECK'!$P$1="Deck e código","K"&amp;RIGHT("00"&amp;IFERROR(MATCH(A742,_LEITURA!$P$2:$P$21,0),99),2)&amp;M742&amp;RIGHT("00000"&amp;ROW(),5),"K"&amp;RIGHT("00000"&amp;ROW(),5))))))</f>
        <v/>
      </c>
      <c r="O742" s="16" t="str">
        <f aca="false">IF(N742="","",COUNTIFS($N$2:$N$1201,"&lt;"&amp;N742,$F$2:$F$1201,"&gt;0")+1)</f>
        <v/>
      </c>
    </row>
    <row r="743" customFormat="false" ht="15" hidden="false" customHeight="false" outlineLevel="0" collapsed="false">
      <c r="A743" s="11" t="str">
        <f aca="false">IF(_LEITURA!$N743="","",INDEX(_LEITURA!$K$2:$K$1201,_LEITURA!$N743))</f>
        <v/>
      </c>
      <c r="B743" s="11" t="str">
        <f aca="false">IF(_LEITURA!$N743="","",INDEX(_LEITURA!$E$2:$E$1201,_LEITURA!$N743))</f>
        <v/>
      </c>
      <c r="C743" s="11" t="str">
        <f aca="false">IF(_LEITURA!$N743="","",INDEX(_LEITURA!$J$2:$J$1201,_LEITURA!$N743))</f>
        <v/>
      </c>
      <c r="D743" s="16" t="str">
        <f aca="false">IF(_LEITURA!$N743="","",INDEX(_LEITURA!$G$2:$G$1201,_LEITURA!$N743))</f>
        <v/>
      </c>
      <c r="E743" s="16" t="str">
        <f aca="false">IF(B743="","",SUMIFS(INVENTÁRIO!$C$2:$C$801,INVENTÁRIO!$A$2:$A$801,B743))</f>
        <v/>
      </c>
      <c r="F743" s="16" t="str">
        <f aca="false">IF(B743="","",MAX(0,D743-E743))</f>
        <v/>
      </c>
      <c r="G743" s="16" t="str">
        <f aca="false">IF(B743="","",IF(COUNTIFS($B$2:$B$1201,B743,$A$2:$A$1201,"&lt;&gt;"&amp;A743)&gt;0,"Sim",""))</f>
        <v/>
      </c>
      <c r="H743" s="16" t="str">
        <f aca="false">IF(N(F743)&gt;0,MAX(H$1:H742)+1,"")</f>
        <v/>
      </c>
      <c r="I743" s="11" t="str">
        <f aca="false">IF(B743="","",IF(INDEX($C$2:$C$1201,MATCH(B743,$B$2:$B$1201,0))&lt;&gt;C743,"Nome diferente em outro deck — revisar",""))</f>
        <v/>
      </c>
      <c r="J743" s="16" t="str">
        <f aca="false">IF(AND(B743&lt;&gt;"",A743=BULK!$A$1,N(F743)&gt;0),MAX(J$1:J742)+1,"")</f>
        <v/>
      </c>
      <c r="K743" s="11" t="str">
        <f aca="false">IF(B743="","",IFERROR(LEFT(B743,FIND("-",B743)-1),B743))</f>
        <v/>
      </c>
      <c r="L743" s="11" t="str">
        <f aca="false">IF(K743="","",IF(ISNUMBER(--MID(K743,1,1)),0,IF(ISNUMBER(--MID(K743,2,1)),1,IF(ISNUMBER(--MID(K743,3,1)),2,IF(ISNUMBER(--MID(K743,4,1)),3,MIN(LEN(K743),4))))))</f>
        <v/>
      </c>
      <c r="M743" s="11" t="str">
        <f aca="false">IF(B743="","",LEFT(K743,L743)&amp;REPT("0",4-L743)&amp;RIGHT("000"&amp;IFERROR(VALUE(MID(K743,L743+1,9)),0),3)&amp;RIGHT("0000"&amp;IFERROR(VALUE(MID(B743,FIND("-",B743)+1,9)),0),4))</f>
        <v/>
      </c>
      <c r="N743" s="11" t="str">
        <f aca="false">IF(OR(B743="",N(F743)&lt;=0),"",IF('FALTAS POR DECK'!$P$1="Código","K"&amp;M743&amp;RIGHT("00000"&amp;ROW(),5),IF('FALTAS POR DECK'!$P$1="Nome","K"&amp;UPPER(SUBSTITUTE(SUBSTITUTE(SUBSTITUTE(C743,"*",""),"?",""),"~",""))&amp;"0"&amp;M743&amp;RIGHT("00000"&amp;ROW(),5),IF('FALTAS POR DECK'!$P$1="Falta (maior primeiro)","K"&amp;RIGHT("0000"&amp;(9999-F743),4)&amp;M743&amp;RIGHT("00000"&amp;ROW(),5),IF('FALTAS POR DECK'!$P$1="Deck e código","K"&amp;RIGHT("00"&amp;IFERROR(MATCH(A743,_LEITURA!$P$2:$P$21,0),99),2)&amp;M743&amp;RIGHT("00000"&amp;ROW(),5),"K"&amp;RIGHT("00000"&amp;ROW(),5))))))</f>
        <v/>
      </c>
      <c r="O743" s="16" t="str">
        <f aca="false">IF(N743="","",COUNTIFS($N$2:$N$1201,"&lt;"&amp;N743,$F$2:$F$1201,"&gt;0")+1)</f>
        <v/>
      </c>
    </row>
    <row r="744" customFormat="false" ht="15" hidden="false" customHeight="false" outlineLevel="0" collapsed="false">
      <c r="A744" s="11" t="str">
        <f aca="false">IF(_LEITURA!$N744="","",INDEX(_LEITURA!$K$2:$K$1201,_LEITURA!$N744))</f>
        <v/>
      </c>
      <c r="B744" s="11" t="str">
        <f aca="false">IF(_LEITURA!$N744="","",INDEX(_LEITURA!$E$2:$E$1201,_LEITURA!$N744))</f>
        <v/>
      </c>
      <c r="C744" s="11" t="str">
        <f aca="false">IF(_LEITURA!$N744="","",INDEX(_LEITURA!$J$2:$J$1201,_LEITURA!$N744))</f>
        <v/>
      </c>
      <c r="D744" s="16" t="str">
        <f aca="false">IF(_LEITURA!$N744="","",INDEX(_LEITURA!$G$2:$G$1201,_LEITURA!$N744))</f>
        <v/>
      </c>
      <c r="E744" s="16" t="str">
        <f aca="false">IF(B744="","",SUMIFS(INVENTÁRIO!$C$2:$C$801,INVENTÁRIO!$A$2:$A$801,B744))</f>
        <v/>
      </c>
      <c r="F744" s="16" t="str">
        <f aca="false">IF(B744="","",MAX(0,D744-E744))</f>
        <v/>
      </c>
      <c r="G744" s="16" t="str">
        <f aca="false">IF(B744="","",IF(COUNTIFS($B$2:$B$1201,B744,$A$2:$A$1201,"&lt;&gt;"&amp;A744)&gt;0,"Sim",""))</f>
        <v/>
      </c>
      <c r="H744" s="16" t="str">
        <f aca="false">IF(N(F744)&gt;0,MAX(H$1:H743)+1,"")</f>
        <v/>
      </c>
      <c r="I744" s="11" t="str">
        <f aca="false">IF(B744="","",IF(INDEX($C$2:$C$1201,MATCH(B744,$B$2:$B$1201,0))&lt;&gt;C744,"Nome diferente em outro deck — revisar",""))</f>
        <v/>
      </c>
      <c r="J744" s="16" t="str">
        <f aca="false">IF(AND(B744&lt;&gt;"",A744=BULK!$A$1,N(F744)&gt;0),MAX(J$1:J743)+1,"")</f>
        <v/>
      </c>
      <c r="K744" s="11" t="str">
        <f aca="false">IF(B744="","",IFERROR(LEFT(B744,FIND("-",B744)-1),B744))</f>
        <v/>
      </c>
      <c r="L744" s="11" t="str">
        <f aca="false">IF(K744="","",IF(ISNUMBER(--MID(K744,1,1)),0,IF(ISNUMBER(--MID(K744,2,1)),1,IF(ISNUMBER(--MID(K744,3,1)),2,IF(ISNUMBER(--MID(K744,4,1)),3,MIN(LEN(K744),4))))))</f>
        <v/>
      </c>
      <c r="M744" s="11" t="str">
        <f aca="false">IF(B744="","",LEFT(K744,L744)&amp;REPT("0",4-L744)&amp;RIGHT("000"&amp;IFERROR(VALUE(MID(K744,L744+1,9)),0),3)&amp;RIGHT("0000"&amp;IFERROR(VALUE(MID(B744,FIND("-",B744)+1,9)),0),4))</f>
        <v/>
      </c>
      <c r="N744" s="11" t="str">
        <f aca="false">IF(OR(B744="",N(F744)&lt;=0),"",IF('FALTAS POR DECK'!$P$1="Código","K"&amp;M744&amp;RIGHT("00000"&amp;ROW(),5),IF('FALTAS POR DECK'!$P$1="Nome","K"&amp;UPPER(SUBSTITUTE(SUBSTITUTE(SUBSTITUTE(C744,"*",""),"?",""),"~",""))&amp;"0"&amp;M744&amp;RIGHT("00000"&amp;ROW(),5),IF('FALTAS POR DECK'!$P$1="Falta (maior primeiro)","K"&amp;RIGHT("0000"&amp;(9999-F744),4)&amp;M744&amp;RIGHT("00000"&amp;ROW(),5),IF('FALTAS POR DECK'!$P$1="Deck e código","K"&amp;RIGHT("00"&amp;IFERROR(MATCH(A744,_LEITURA!$P$2:$P$21,0),99),2)&amp;M744&amp;RIGHT("00000"&amp;ROW(),5),"K"&amp;RIGHT("00000"&amp;ROW(),5))))))</f>
        <v/>
      </c>
      <c r="O744" s="16" t="str">
        <f aca="false">IF(N744="","",COUNTIFS($N$2:$N$1201,"&lt;"&amp;N744,$F$2:$F$1201,"&gt;0")+1)</f>
        <v/>
      </c>
    </row>
    <row r="745" customFormat="false" ht="15" hidden="false" customHeight="false" outlineLevel="0" collapsed="false">
      <c r="A745" s="11" t="str">
        <f aca="false">IF(_LEITURA!$N745="","",INDEX(_LEITURA!$K$2:$K$1201,_LEITURA!$N745))</f>
        <v/>
      </c>
      <c r="B745" s="11" t="str">
        <f aca="false">IF(_LEITURA!$N745="","",INDEX(_LEITURA!$E$2:$E$1201,_LEITURA!$N745))</f>
        <v/>
      </c>
      <c r="C745" s="11" t="str">
        <f aca="false">IF(_LEITURA!$N745="","",INDEX(_LEITURA!$J$2:$J$1201,_LEITURA!$N745))</f>
        <v/>
      </c>
      <c r="D745" s="16" t="str">
        <f aca="false">IF(_LEITURA!$N745="","",INDEX(_LEITURA!$G$2:$G$1201,_LEITURA!$N745))</f>
        <v/>
      </c>
      <c r="E745" s="16" t="str">
        <f aca="false">IF(B745="","",SUMIFS(INVENTÁRIO!$C$2:$C$801,INVENTÁRIO!$A$2:$A$801,B745))</f>
        <v/>
      </c>
      <c r="F745" s="16" t="str">
        <f aca="false">IF(B745="","",MAX(0,D745-E745))</f>
        <v/>
      </c>
      <c r="G745" s="16" t="str">
        <f aca="false">IF(B745="","",IF(COUNTIFS($B$2:$B$1201,B745,$A$2:$A$1201,"&lt;&gt;"&amp;A745)&gt;0,"Sim",""))</f>
        <v/>
      </c>
      <c r="H745" s="16" t="str">
        <f aca="false">IF(N(F745)&gt;0,MAX(H$1:H744)+1,"")</f>
        <v/>
      </c>
      <c r="I745" s="11" t="str">
        <f aca="false">IF(B745="","",IF(INDEX($C$2:$C$1201,MATCH(B745,$B$2:$B$1201,0))&lt;&gt;C745,"Nome diferente em outro deck — revisar",""))</f>
        <v/>
      </c>
      <c r="J745" s="16" t="str">
        <f aca="false">IF(AND(B745&lt;&gt;"",A745=BULK!$A$1,N(F745)&gt;0),MAX(J$1:J744)+1,"")</f>
        <v/>
      </c>
      <c r="K745" s="11" t="str">
        <f aca="false">IF(B745="","",IFERROR(LEFT(B745,FIND("-",B745)-1),B745))</f>
        <v/>
      </c>
      <c r="L745" s="11" t="str">
        <f aca="false">IF(K745="","",IF(ISNUMBER(--MID(K745,1,1)),0,IF(ISNUMBER(--MID(K745,2,1)),1,IF(ISNUMBER(--MID(K745,3,1)),2,IF(ISNUMBER(--MID(K745,4,1)),3,MIN(LEN(K745),4))))))</f>
        <v/>
      </c>
      <c r="M745" s="11" t="str">
        <f aca="false">IF(B745="","",LEFT(K745,L745)&amp;REPT("0",4-L745)&amp;RIGHT("000"&amp;IFERROR(VALUE(MID(K745,L745+1,9)),0),3)&amp;RIGHT("0000"&amp;IFERROR(VALUE(MID(B745,FIND("-",B745)+1,9)),0),4))</f>
        <v/>
      </c>
      <c r="N745" s="11" t="str">
        <f aca="false">IF(OR(B745="",N(F745)&lt;=0),"",IF('FALTAS POR DECK'!$P$1="Código","K"&amp;M745&amp;RIGHT("00000"&amp;ROW(),5),IF('FALTAS POR DECK'!$P$1="Nome","K"&amp;UPPER(SUBSTITUTE(SUBSTITUTE(SUBSTITUTE(C745,"*",""),"?",""),"~",""))&amp;"0"&amp;M745&amp;RIGHT("00000"&amp;ROW(),5),IF('FALTAS POR DECK'!$P$1="Falta (maior primeiro)","K"&amp;RIGHT("0000"&amp;(9999-F745),4)&amp;M745&amp;RIGHT("00000"&amp;ROW(),5),IF('FALTAS POR DECK'!$P$1="Deck e código","K"&amp;RIGHT("00"&amp;IFERROR(MATCH(A745,_LEITURA!$P$2:$P$21,0),99),2)&amp;M745&amp;RIGHT("00000"&amp;ROW(),5),"K"&amp;RIGHT("00000"&amp;ROW(),5))))))</f>
        <v/>
      </c>
      <c r="O745" s="16" t="str">
        <f aca="false">IF(N745="","",COUNTIFS($N$2:$N$1201,"&lt;"&amp;N745,$F$2:$F$1201,"&gt;0")+1)</f>
        <v/>
      </c>
    </row>
    <row r="746" customFormat="false" ht="15" hidden="false" customHeight="false" outlineLevel="0" collapsed="false">
      <c r="A746" s="11" t="str">
        <f aca="false">IF(_LEITURA!$N746="","",INDEX(_LEITURA!$K$2:$K$1201,_LEITURA!$N746))</f>
        <v/>
      </c>
      <c r="B746" s="11" t="str">
        <f aca="false">IF(_LEITURA!$N746="","",INDEX(_LEITURA!$E$2:$E$1201,_LEITURA!$N746))</f>
        <v/>
      </c>
      <c r="C746" s="11" t="str">
        <f aca="false">IF(_LEITURA!$N746="","",INDEX(_LEITURA!$J$2:$J$1201,_LEITURA!$N746))</f>
        <v/>
      </c>
      <c r="D746" s="16" t="str">
        <f aca="false">IF(_LEITURA!$N746="","",INDEX(_LEITURA!$G$2:$G$1201,_LEITURA!$N746))</f>
        <v/>
      </c>
      <c r="E746" s="16" t="str">
        <f aca="false">IF(B746="","",SUMIFS(INVENTÁRIO!$C$2:$C$801,INVENTÁRIO!$A$2:$A$801,B746))</f>
        <v/>
      </c>
      <c r="F746" s="16" t="str">
        <f aca="false">IF(B746="","",MAX(0,D746-E746))</f>
        <v/>
      </c>
      <c r="G746" s="16" t="str">
        <f aca="false">IF(B746="","",IF(COUNTIFS($B$2:$B$1201,B746,$A$2:$A$1201,"&lt;&gt;"&amp;A746)&gt;0,"Sim",""))</f>
        <v/>
      </c>
      <c r="H746" s="16" t="str">
        <f aca="false">IF(N(F746)&gt;0,MAX(H$1:H745)+1,"")</f>
        <v/>
      </c>
      <c r="I746" s="11" t="str">
        <f aca="false">IF(B746="","",IF(INDEX($C$2:$C$1201,MATCH(B746,$B$2:$B$1201,0))&lt;&gt;C746,"Nome diferente em outro deck — revisar",""))</f>
        <v/>
      </c>
      <c r="J746" s="16" t="str">
        <f aca="false">IF(AND(B746&lt;&gt;"",A746=BULK!$A$1,N(F746)&gt;0),MAX(J$1:J745)+1,"")</f>
        <v/>
      </c>
      <c r="K746" s="11" t="str">
        <f aca="false">IF(B746="","",IFERROR(LEFT(B746,FIND("-",B746)-1),B746))</f>
        <v/>
      </c>
      <c r="L746" s="11" t="str">
        <f aca="false">IF(K746="","",IF(ISNUMBER(--MID(K746,1,1)),0,IF(ISNUMBER(--MID(K746,2,1)),1,IF(ISNUMBER(--MID(K746,3,1)),2,IF(ISNUMBER(--MID(K746,4,1)),3,MIN(LEN(K746),4))))))</f>
        <v/>
      </c>
      <c r="M746" s="11" t="str">
        <f aca="false">IF(B746="","",LEFT(K746,L746)&amp;REPT("0",4-L746)&amp;RIGHT("000"&amp;IFERROR(VALUE(MID(K746,L746+1,9)),0),3)&amp;RIGHT("0000"&amp;IFERROR(VALUE(MID(B746,FIND("-",B746)+1,9)),0),4))</f>
        <v/>
      </c>
      <c r="N746" s="11" t="str">
        <f aca="false">IF(OR(B746="",N(F746)&lt;=0),"",IF('FALTAS POR DECK'!$P$1="Código","K"&amp;M746&amp;RIGHT("00000"&amp;ROW(),5),IF('FALTAS POR DECK'!$P$1="Nome","K"&amp;UPPER(SUBSTITUTE(SUBSTITUTE(SUBSTITUTE(C746,"*",""),"?",""),"~",""))&amp;"0"&amp;M746&amp;RIGHT("00000"&amp;ROW(),5),IF('FALTAS POR DECK'!$P$1="Falta (maior primeiro)","K"&amp;RIGHT("0000"&amp;(9999-F746),4)&amp;M746&amp;RIGHT("00000"&amp;ROW(),5),IF('FALTAS POR DECK'!$P$1="Deck e código","K"&amp;RIGHT("00"&amp;IFERROR(MATCH(A746,_LEITURA!$P$2:$P$21,0),99),2)&amp;M746&amp;RIGHT("00000"&amp;ROW(),5),"K"&amp;RIGHT("00000"&amp;ROW(),5))))))</f>
        <v/>
      </c>
      <c r="O746" s="16" t="str">
        <f aca="false">IF(N746="","",COUNTIFS($N$2:$N$1201,"&lt;"&amp;N746,$F$2:$F$1201,"&gt;0")+1)</f>
        <v/>
      </c>
    </row>
    <row r="747" customFormat="false" ht="15" hidden="false" customHeight="false" outlineLevel="0" collapsed="false">
      <c r="A747" s="11" t="str">
        <f aca="false">IF(_LEITURA!$N747="","",INDEX(_LEITURA!$K$2:$K$1201,_LEITURA!$N747))</f>
        <v/>
      </c>
      <c r="B747" s="11" t="str">
        <f aca="false">IF(_LEITURA!$N747="","",INDEX(_LEITURA!$E$2:$E$1201,_LEITURA!$N747))</f>
        <v/>
      </c>
      <c r="C747" s="11" t="str">
        <f aca="false">IF(_LEITURA!$N747="","",INDEX(_LEITURA!$J$2:$J$1201,_LEITURA!$N747))</f>
        <v/>
      </c>
      <c r="D747" s="16" t="str">
        <f aca="false">IF(_LEITURA!$N747="","",INDEX(_LEITURA!$G$2:$G$1201,_LEITURA!$N747))</f>
        <v/>
      </c>
      <c r="E747" s="16" t="str">
        <f aca="false">IF(B747="","",SUMIFS(INVENTÁRIO!$C$2:$C$801,INVENTÁRIO!$A$2:$A$801,B747))</f>
        <v/>
      </c>
      <c r="F747" s="16" t="str">
        <f aca="false">IF(B747="","",MAX(0,D747-E747))</f>
        <v/>
      </c>
      <c r="G747" s="16" t="str">
        <f aca="false">IF(B747="","",IF(COUNTIFS($B$2:$B$1201,B747,$A$2:$A$1201,"&lt;&gt;"&amp;A747)&gt;0,"Sim",""))</f>
        <v/>
      </c>
      <c r="H747" s="16" t="str">
        <f aca="false">IF(N(F747)&gt;0,MAX(H$1:H746)+1,"")</f>
        <v/>
      </c>
      <c r="I747" s="11" t="str">
        <f aca="false">IF(B747="","",IF(INDEX($C$2:$C$1201,MATCH(B747,$B$2:$B$1201,0))&lt;&gt;C747,"Nome diferente em outro deck — revisar",""))</f>
        <v/>
      </c>
      <c r="J747" s="16" t="str">
        <f aca="false">IF(AND(B747&lt;&gt;"",A747=BULK!$A$1,N(F747)&gt;0),MAX(J$1:J746)+1,"")</f>
        <v/>
      </c>
      <c r="K747" s="11" t="str">
        <f aca="false">IF(B747="","",IFERROR(LEFT(B747,FIND("-",B747)-1),B747))</f>
        <v/>
      </c>
      <c r="L747" s="11" t="str">
        <f aca="false">IF(K747="","",IF(ISNUMBER(--MID(K747,1,1)),0,IF(ISNUMBER(--MID(K747,2,1)),1,IF(ISNUMBER(--MID(K747,3,1)),2,IF(ISNUMBER(--MID(K747,4,1)),3,MIN(LEN(K747),4))))))</f>
        <v/>
      </c>
      <c r="M747" s="11" t="str">
        <f aca="false">IF(B747="","",LEFT(K747,L747)&amp;REPT("0",4-L747)&amp;RIGHT("000"&amp;IFERROR(VALUE(MID(K747,L747+1,9)),0),3)&amp;RIGHT("0000"&amp;IFERROR(VALUE(MID(B747,FIND("-",B747)+1,9)),0),4))</f>
        <v/>
      </c>
      <c r="N747" s="11" t="str">
        <f aca="false">IF(OR(B747="",N(F747)&lt;=0),"",IF('FALTAS POR DECK'!$P$1="Código","K"&amp;M747&amp;RIGHT("00000"&amp;ROW(),5),IF('FALTAS POR DECK'!$P$1="Nome","K"&amp;UPPER(SUBSTITUTE(SUBSTITUTE(SUBSTITUTE(C747,"*",""),"?",""),"~",""))&amp;"0"&amp;M747&amp;RIGHT("00000"&amp;ROW(),5),IF('FALTAS POR DECK'!$P$1="Falta (maior primeiro)","K"&amp;RIGHT("0000"&amp;(9999-F747),4)&amp;M747&amp;RIGHT("00000"&amp;ROW(),5),IF('FALTAS POR DECK'!$P$1="Deck e código","K"&amp;RIGHT("00"&amp;IFERROR(MATCH(A747,_LEITURA!$P$2:$P$21,0),99),2)&amp;M747&amp;RIGHT("00000"&amp;ROW(),5),"K"&amp;RIGHT("00000"&amp;ROW(),5))))))</f>
        <v/>
      </c>
      <c r="O747" s="16" t="str">
        <f aca="false">IF(N747="","",COUNTIFS($N$2:$N$1201,"&lt;"&amp;N747,$F$2:$F$1201,"&gt;0")+1)</f>
        <v/>
      </c>
    </row>
    <row r="748" customFormat="false" ht="15" hidden="false" customHeight="false" outlineLevel="0" collapsed="false">
      <c r="A748" s="11" t="str">
        <f aca="false">IF(_LEITURA!$N748="","",INDEX(_LEITURA!$K$2:$K$1201,_LEITURA!$N748))</f>
        <v/>
      </c>
      <c r="B748" s="11" t="str">
        <f aca="false">IF(_LEITURA!$N748="","",INDEX(_LEITURA!$E$2:$E$1201,_LEITURA!$N748))</f>
        <v/>
      </c>
      <c r="C748" s="11" t="str">
        <f aca="false">IF(_LEITURA!$N748="","",INDEX(_LEITURA!$J$2:$J$1201,_LEITURA!$N748))</f>
        <v/>
      </c>
      <c r="D748" s="16" t="str">
        <f aca="false">IF(_LEITURA!$N748="","",INDEX(_LEITURA!$G$2:$G$1201,_LEITURA!$N748))</f>
        <v/>
      </c>
      <c r="E748" s="16" t="str">
        <f aca="false">IF(B748="","",SUMIFS(INVENTÁRIO!$C$2:$C$801,INVENTÁRIO!$A$2:$A$801,B748))</f>
        <v/>
      </c>
      <c r="F748" s="16" t="str">
        <f aca="false">IF(B748="","",MAX(0,D748-E748))</f>
        <v/>
      </c>
      <c r="G748" s="16" t="str">
        <f aca="false">IF(B748="","",IF(COUNTIFS($B$2:$B$1201,B748,$A$2:$A$1201,"&lt;&gt;"&amp;A748)&gt;0,"Sim",""))</f>
        <v/>
      </c>
      <c r="H748" s="16" t="str">
        <f aca="false">IF(N(F748)&gt;0,MAX(H$1:H747)+1,"")</f>
        <v/>
      </c>
      <c r="I748" s="11" t="str">
        <f aca="false">IF(B748="","",IF(INDEX($C$2:$C$1201,MATCH(B748,$B$2:$B$1201,0))&lt;&gt;C748,"Nome diferente em outro deck — revisar",""))</f>
        <v/>
      </c>
      <c r="J748" s="16" t="str">
        <f aca="false">IF(AND(B748&lt;&gt;"",A748=BULK!$A$1,N(F748)&gt;0),MAX(J$1:J747)+1,"")</f>
        <v/>
      </c>
      <c r="K748" s="11" t="str">
        <f aca="false">IF(B748="","",IFERROR(LEFT(B748,FIND("-",B748)-1),B748))</f>
        <v/>
      </c>
      <c r="L748" s="11" t="str">
        <f aca="false">IF(K748="","",IF(ISNUMBER(--MID(K748,1,1)),0,IF(ISNUMBER(--MID(K748,2,1)),1,IF(ISNUMBER(--MID(K748,3,1)),2,IF(ISNUMBER(--MID(K748,4,1)),3,MIN(LEN(K748),4))))))</f>
        <v/>
      </c>
      <c r="M748" s="11" t="str">
        <f aca="false">IF(B748="","",LEFT(K748,L748)&amp;REPT("0",4-L748)&amp;RIGHT("000"&amp;IFERROR(VALUE(MID(K748,L748+1,9)),0),3)&amp;RIGHT("0000"&amp;IFERROR(VALUE(MID(B748,FIND("-",B748)+1,9)),0),4))</f>
        <v/>
      </c>
      <c r="N748" s="11" t="str">
        <f aca="false">IF(OR(B748="",N(F748)&lt;=0),"",IF('FALTAS POR DECK'!$P$1="Código","K"&amp;M748&amp;RIGHT("00000"&amp;ROW(),5),IF('FALTAS POR DECK'!$P$1="Nome","K"&amp;UPPER(SUBSTITUTE(SUBSTITUTE(SUBSTITUTE(C748,"*",""),"?",""),"~",""))&amp;"0"&amp;M748&amp;RIGHT("00000"&amp;ROW(),5),IF('FALTAS POR DECK'!$P$1="Falta (maior primeiro)","K"&amp;RIGHT("0000"&amp;(9999-F748),4)&amp;M748&amp;RIGHT("00000"&amp;ROW(),5),IF('FALTAS POR DECK'!$P$1="Deck e código","K"&amp;RIGHT("00"&amp;IFERROR(MATCH(A748,_LEITURA!$P$2:$P$21,0),99),2)&amp;M748&amp;RIGHT("00000"&amp;ROW(),5),"K"&amp;RIGHT("00000"&amp;ROW(),5))))))</f>
        <v/>
      </c>
      <c r="O748" s="16" t="str">
        <f aca="false">IF(N748="","",COUNTIFS($N$2:$N$1201,"&lt;"&amp;N748,$F$2:$F$1201,"&gt;0")+1)</f>
        <v/>
      </c>
    </row>
    <row r="749" customFormat="false" ht="15" hidden="false" customHeight="false" outlineLevel="0" collapsed="false">
      <c r="A749" s="11" t="str">
        <f aca="false">IF(_LEITURA!$N749="","",INDEX(_LEITURA!$K$2:$K$1201,_LEITURA!$N749))</f>
        <v/>
      </c>
      <c r="B749" s="11" t="str">
        <f aca="false">IF(_LEITURA!$N749="","",INDEX(_LEITURA!$E$2:$E$1201,_LEITURA!$N749))</f>
        <v/>
      </c>
      <c r="C749" s="11" t="str">
        <f aca="false">IF(_LEITURA!$N749="","",INDEX(_LEITURA!$J$2:$J$1201,_LEITURA!$N749))</f>
        <v/>
      </c>
      <c r="D749" s="16" t="str">
        <f aca="false">IF(_LEITURA!$N749="","",INDEX(_LEITURA!$G$2:$G$1201,_LEITURA!$N749))</f>
        <v/>
      </c>
      <c r="E749" s="16" t="str">
        <f aca="false">IF(B749="","",SUMIFS(INVENTÁRIO!$C$2:$C$801,INVENTÁRIO!$A$2:$A$801,B749))</f>
        <v/>
      </c>
      <c r="F749" s="16" t="str">
        <f aca="false">IF(B749="","",MAX(0,D749-E749))</f>
        <v/>
      </c>
      <c r="G749" s="16" t="str">
        <f aca="false">IF(B749="","",IF(COUNTIFS($B$2:$B$1201,B749,$A$2:$A$1201,"&lt;&gt;"&amp;A749)&gt;0,"Sim",""))</f>
        <v/>
      </c>
      <c r="H749" s="16" t="str">
        <f aca="false">IF(N(F749)&gt;0,MAX(H$1:H748)+1,"")</f>
        <v/>
      </c>
      <c r="I749" s="11" t="str">
        <f aca="false">IF(B749="","",IF(INDEX($C$2:$C$1201,MATCH(B749,$B$2:$B$1201,0))&lt;&gt;C749,"Nome diferente em outro deck — revisar",""))</f>
        <v/>
      </c>
      <c r="J749" s="16" t="str">
        <f aca="false">IF(AND(B749&lt;&gt;"",A749=BULK!$A$1,N(F749)&gt;0),MAX(J$1:J748)+1,"")</f>
        <v/>
      </c>
      <c r="K749" s="11" t="str">
        <f aca="false">IF(B749="","",IFERROR(LEFT(B749,FIND("-",B749)-1),B749))</f>
        <v/>
      </c>
      <c r="L749" s="11" t="str">
        <f aca="false">IF(K749="","",IF(ISNUMBER(--MID(K749,1,1)),0,IF(ISNUMBER(--MID(K749,2,1)),1,IF(ISNUMBER(--MID(K749,3,1)),2,IF(ISNUMBER(--MID(K749,4,1)),3,MIN(LEN(K749),4))))))</f>
        <v/>
      </c>
      <c r="M749" s="11" t="str">
        <f aca="false">IF(B749="","",LEFT(K749,L749)&amp;REPT("0",4-L749)&amp;RIGHT("000"&amp;IFERROR(VALUE(MID(K749,L749+1,9)),0),3)&amp;RIGHT("0000"&amp;IFERROR(VALUE(MID(B749,FIND("-",B749)+1,9)),0),4))</f>
        <v/>
      </c>
      <c r="N749" s="11" t="str">
        <f aca="false">IF(OR(B749="",N(F749)&lt;=0),"",IF('FALTAS POR DECK'!$P$1="Código","K"&amp;M749&amp;RIGHT("00000"&amp;ROW(),5),IF('FALTAS POR DECK'!$P$1="Nome","K"&amp;UPPER(SUBSTITUTE(SUBSTITUTE(SUBSTITUTE(C749,"*",""),"?",""),"~",""))&amp;"0"&amp;M749&amp;RIGHT("00000"&amp;ROW(),5),IF('FALTAS POR DECK'!$P$1="Falta (maior primeiro)","K"&amp;RIGHT("0000"&amp;(9999-F749),4)&amp;M749&amp;RIGHT("00000"&amp;ROW(),5),IF('FALTAS POR DECK'!$P$1="Deck e código","K"&amp;RIGHT("00"&amp;IFERROR(MATCH(A749,_LEITURA!$P$2:$P$21,0),99),2)&amp;M749&amp;RIGHT("00000"&amp;ROW(),5),"K"&amp;RIGHT("00000"&amp;ROW(),5))))))</f>
        <v/>
      </c>
      <c r="O749" s="16" t="str">
        <f aca="false">IF(N749="","",COUNTIFS($N$2:$N$1201,"&lt;"&amp;N749,$F$2:$F$1201,"&gt;0")+1)</f>
        <v/>
      </c>
    </row>
    <row r="750" customFormat="false" ht="15" hidden="false" customHeight="false" outlineLevel="0" collapsed="false">
      <c r="A750" s="11" t="str">
        <f aca="false">IF(_LEITURA!$N750="","",INDEX(_LEITURA!$K$2:$K$1201,_LEITURA!$N750))</f>
        <v/>
      </c>
      <c r="B750" s="11" t="str">
        <f aca="false">IF(_LEITURA!$N750="","",INDEX(_LEITURA!$E$2:$E$1201,_LEITURA!$N750))</f>
        <v/>
      </c>
      <c r="C750" s="11" t="str">
        <f aca="false">IF(_LEITURA!$N750="","",INDEX(_LEITURA!$J$2:$J$1201,_LEITURA!$N750))</f>
        <v/>
      </c>
      <c r="D750" s="16" t="str">
        <f aca="false">IF(_LEITURA!$N750="","",INDEX(_LEITURA!$G$2:$G$1201,_LEITURA!$N750))</f>
        <v/>
      </c>
      <c r="E750" s="16" t="str">
        <f aca="false">IF(B750="","",SUMIFS(INVENTÁRIO!$C$2:$C$801,INVENTÁRIO!$A$2:$A$801,B750))</f>
        <v/>
      </c>
      <c r="F750" s="16" t="str">
        <f aca="false">IF(B750="","",MAX(0,D750-E750))</f>
        <v/>
      </c>
      <c r="G750" s="16" t="str">
        <f aca="false">IF(B750="","",IF(COUNTIFS($B$2:$B$1201,B750,$A$2:$A$1201,"&lt;&gt;"&amp;A750)&gt;0,"Sim",""))</f>
        <v/>
      </c>
      <c r="H750" s="16" t="str">
        <f aca="false">IF(N(F750)&gt;0,MAX(H$1:H749)+1,"")</f>
        <v/>
      </c>
      <c r="I750" s="11" t="str">
        <f aca="false">IF(B750="","",IF(INDEX($C$2:$C$1201,MATCH(B750,$B$2:$B$1201,0))&lt;&gt;C750,"Nome diferente em outro deck — revisar",""))</f>
        <v/>
      </c>
      <c r="J750" s="16" t="str">
        <f aca="false">IF(AND(B750&lt;&gt;"",A750=BULK!$A$1,N(F750)&gt;0),MAX(J$1:J749)+1,"")</f>
        <v/>
      </c>
      <c r="K750" s="11" t="str">
        <f aca="false">IF(B750="","",IFERROR(LEFT(B750,FIND("-",B750)-1),B750))</f>
        <v/>
      </c>
      <c r="L750" s="11" t="str">
        <f aca="false">IF(K750="","",IF(ISNUMBER(--MID(K750,1,1)),0,IF(ISNUMBER(--MID(K750,2,1)),1,IF(ISNUMBER(--MID(K750,3,1)),2,IF(ISNUMBER(--MID(K750,4,1)),3,MIN(LEN(K750),4))))))</f>
        <v/>
      </c>
      <c r="M750" s="11" t="str">
        <f aca="false">IF(B750="","",LEFT(K750,L750)&amp;REPT("0",4-L750)&amp;RIGHT("000"&amp;IFERROR(VALUE(MID(K750,L750+1,9)),0),3)&amp;RIGHT("0000"&amp;IFERROR(VALUE(MID(B750,FIND("-",B750)+1,9)),0),4))</f>
        <v/>
      </c>
      <c r="N750" s="11" t="str">
        <f aca="false">IF(OR(B750="",N(F750)&lt;=0),"",IF('FALTAS POR DECK'!$P$1="Código","K"&amp;M750&amp;RIGHT("00000"&amp;ROW(),5),IF('FALTAS POR DECK'!$P$1="Nome","K"&amp;UPPER(SUBSTITUTE(SUBSTITUTE(SUBSTITUTE(C750,"*",""),"?",""),"~",""))&amp;"0"&amp;M750&amp;RIGHT("00000"&amp;ROW(),5),IF('FALTAS POR DECK'!$P$1="Falta (maior primeiro)","K"&amp;RIGHT("0000"&amp;(9999-F750),4)&amp;M750&amp;RIGHT("00000"&amp;ROW(),5),IF('FALTAS POR DECK'!$P$1="Deck e código","K"&amp;RIGHT("00"&amp;IFERROR(MATCH(A750,_LEITURA!$P$2:$P$21,0),99),2)&amp;M750&amp;RIGHT("00000"&amp;ROW(),5),"K"&amp;RIGHT("00000"&amp;ROW(),5))))))</f>
        <v/>
      </c>
      <c r="O750" s="16" t="str">
        <f aca="false">IF(N750="","",COUNTIFS($N$2:$N$1201,"&lt;"&amp;N750,$F$2:$F$1201,"&gt;0")+1)</f>
        <v/>
      </c>
    </row>
    <row r="751" customFormat="false" ht="15" hidden="false" customHeight="false" outlineLevel="0" collapsed="false">
      <c r="A751" s="11" t="str">
        <f aca="false">IF(_LEITURA!$N751="","",INDEX(_LEITURA!$K$2:$K$1201,_LEITURA!$N751))</f>
        <v/>
      </c>
      <c r="B751" s="11" t="str">
        <f aca="false">IF(_LEITURA!$N751="","",INDEX(_LEITURA!$E$2:$E$1201,_LEITURA!$N751))</f>
        <v/>
      </c>
      <c r="C751" s="11" t="str">
        <f aca="false">IF(_LEITURA!$N751="","",INDEX(_LEITURA!$J$2:$J$1201,_LEITURA!$N751))</f>
        <v/>
      </c>
      <c r="D751" s="16" t="str">
        <f aca="false">IF(_LEITURA!$N751="","",INDEX(_LEITURA!$G$2:$G$1201,_LEITURA!$N751))</f>
        <v/>
      </c>
      <c r="E751" s="16" t="str">
        <f aca="false">IF(B751="","",SUMIFS(INVENTÁRIO!$C$2:$C$801,INVENTÁRIO!$A$2:$A$801,B751))</f>
        <v/>
      </c>
      <c r="F751" s="16" t="str">
        <f aca="false">IF(B751="","",MAX(0,D751-E751))</f>
        <v/>
      </c>
      <c r="G751" s="16" t="str">
        <f aca="false">IF(B751="","",IF(COUNTIFS($B$2:$B$1201,B751,$A$2:$A$1201,"&lt;&gt;"&amp;A751)&gt;0,"Sim",""))</f>
        <v/>
      </c>
      <c r="H751" s="16" t="str">
        <f aca="false">IF(N(F751)&gt;0,MAX(H$1:H750)+1,"")</f>
        <v/>
      </c>
      <c r="I751" s="11" t="str">
        <f aca="false">IF(B751="","",IF(INDEX($C$2:$C$1201,MATCH(B751,$B$2:$B$1201,0))&lt;&gt;C751,"Nome diferente em outro deck — revisar",""))</f>
        <v/>
      </c>
      <c r="J751" s="16" t="str">
        <f aca="false">IF(AND(B751&lt;&gt;"",A751=BULK!$A$1,N(F751)&gt;0),MAX(J$1:J750)+1,"")</f>
        <v/>
      </c>
      <c r="K751" s="11" t="str">
        <f aca="false">IF(B751="","",IFERROR(LEFT(B751,FIND("-",B751)-1),B751))</f>
        <v/>
      </c>
      <c r="L751" s="11" t="str">
        <f aca="false">IF(K751="","",IF(ISNUMBER(--MID(K751,1,1)),0,IF(ISNUMBER(--MID(K751,2,1)),1,IF(ISNUMBER(--MID(K751,3,1)),2,IF(ISNUMBER(--MID(K751,4,1)),3,MIN(LEN(K751),4))))))</f>
        <v/>
      </c>
      <c r="M751" s="11" t="str">
        <f aca="false">IF(B751="","",LEFT(K751,L751)&amp;REPT("0",4-L751)&amp;RIGHT("000"&amp;IFERROR(VALUE(MID(K751,L751+1,9)),0),3)&amp;RIGHT("0000"&amp;IFERROR(VALUE(MID(B751,FIND("-",B751)+1,9)),0),4))</f>
        <v/>
      </c>
      <c r="N751" s="11" t="str">
        <f aca="false">IF(OR(B751="",N(F751)&lt;=0),"",IF('FALTAS POR DECK'!$P$1="Código","K"&amp;M751&amp;RIGHT("00000"&amp;ROW(),5),IF('FALTAS POR DECK'!$P$1="Nome","K"&amp;UPPER(SUBSTITUTE(SUBSTITUTE(SUBSTITUTE(C751,"*",""),"?",""),"~",""))&amp;"0"&amp;M751&amp;RIGHT("00000"&amp;ROW(),5),IF('FALTAS POR DECK'!$P$1="Falta (maior primeiro)","K"&amp;RIGHT("0000"&amp;(9999-F751),4)&amp;M751&amp;RIGHT("00000"&amp;ROW(),5),IF('FALTAS POR DECK'!$P$1="Deck e código","K"&amp;RIGHT("00"&amp;IFERROR(MATCH(A751,_LEITURA!$P$2:$P$21,0),99),2)&amp;M751&amp;RIGHT("00000"&amp;ROW(),5),"K"&amp;RIGHT("00000"&amp;ROW(),5))))))</f>
        <v/>
      </c>
      <c r="O751" s="16" t="str">
        <f aca="false">IF(N751="","",COUNTIFS($N$2:$N$1201,"&lt;"&amp;N751,$F$2:$F$1201,"&gt;0")+1)</f>
        <v/>
      </c>
    </row>
    <row r="752" customFormat="false" ht="15" hidden="false" customHeight="false" outlineLevel="0" collapsed="false">
      <c r="A752" s="11" t="str">
        <f aca="false">IF(_LEITURA!$N752="","",INDEX(_LEITURA!$K$2:$K$1201,_LEITURA!$N752))</f>
        <v/>
      </c>
      <c r="B752" s="11" t="str">
        <f aca="false">IF(_LEITURA!$N752="","",INDEX(_LEITURA!$E$2:$E$1201,_LEITURA!$N752))</f>
        <v/>
      </c>
      <c r="C752" s="11" t="str">
        <f aca="false">IF(_LEITURA!$N752="","",INDEX(_LEITURA!$J$2:$J$1201,_LEITURA!$N752))</f>
        <v/>
      </c>
      <c r="D752" s="16" t="str">
        <f aca="false">IF(_LEITURA!$N752="","",INDEX(_LEITURA!$G$2:$G$1201,_LEITURA!$N752))</f>
        <v/>
      </c>
      <c r="E752" s="16" t="str">
        <f aca="false">IF(B752="","",SUMIFS(INVENTÁRIO!$C$2:$C$801,INVENTÁRIO!$A$2:$A$801,B752))</f>
        <v/>
      </c>
      <c r="F752" s="16" t="str">
        <f aca="false">IF(B752="","",MAX(0,D752-E752))</f>
        <v/>
      </c>
      <c r="G752" s="16" t="str">
        <f aca="false">IF(B752="","",IF(COUNTIFS($B$2:$B$1201,B752,$A$2:$A$1201,"&lt;&gt;"&amp;A752)&gt;0,"Sim",""))</f>
        <v/>
      </c>
      <c r="H752" s="16" t="str">
        <f aca="false">IF(N(F752)&gt;0,MAX(H$1:H751)+1,"")</f>
        <v/>
      </c>
      <c r="I752" s="11" t="str">
        <f aca="false">IF(B752="","",IF(INDEX($C$2:$C$1201,MATCH(B752,$B$2:$B$1201,0))&lt;&gt;C752,"Nome diferente em outro deck — revisar",""))</f>
        <v/>
      </c>
      <c r="J752" s="16" t="str">
        <f aca="false">IF(AND(B752&lt;&gt;"",A752=BULK!$A$1,N(F752)&gt;0),MAX(J$1:J751)+1,"")</f>
        <v/>
      </c>
      <c r="K752" s="11" t="str">
        <f aca="false">IF(B752="","",IFERROR(LEFT(B752,FIND("-",B752)-1),B752))</f>
        <v/>
      </c>
      <c r="L752" s="11" t="str">
        <f aca="false">IF(K752="","",IF(ISNUMBER(--MID(K752,1,1)),0,IF(ISNUMBER(--MID(K752,2,1)),1,IF(ISNUMBER(--MID(K752,3,1)),2,IF(ISNUMBER(--MID(K752,4,1)),3,MIN(LEN(K752),4))))))</f>
        <v/>
      </c>
      <c r="M752" s="11" t="str">
        <f aca="false">IF(B752="","",LEFT(K752,L752)&amp;REPT("0",4-L752)&amp;RIGHT("000"&amp;IFERROR(VALUE(MID(K752,L752+1,9)),0),3)&amp;RIGHT("0000"&amp;IFERROR(VALUE(MID(B752,FIND("-",B752)+1,9)),0),4))</f>
        <v/>
      </c>
      <c r="N752" s="11" t="str">
        <f aca="false">IF(OR(B752="",N(F752)&lt;=0),"",IF('FALTAS POR DECK'!$P$1="Código","K"&amp;M752&amp;RIGHT("00000"&amp;ROW(),5),IF('FALTAS POR DECK'!$P$1="Nome","K"&amp;UPPER(SUBSTITUTE(SUBSTITUTE(SUBSTITUTE(C752,"*",""),"?",""),"~",""))&amp;"0"&amp;M752&amp;RIGHT("00000"&amp;ROW(),5),IF('FALTAS POR DECK'!$P$1="Falta (maior primeiro)","K"&amp;RIGHT("0000"&amp;(9999-F752),4)&amp;M752&amp;RIGHT("00000"&amp;ROW(),5),IF('FALTAS POR DECK'!$P$1="Deck e código","K"&amp;RIGHT("00"&amp;IFERROR(MATCH(A752,_LEITURA!$P$2:$P$21,0),99),2)&amp;M752&amp;RIGHT("00000"&amp;ROW(),5),"K"&amp;RIGHT("00000"&amp;ROW(),5))))))</f>
        <v/>
      </c>
      <c r="O752" s="16" t="str">
        <f aca="false">IF(N752="","",COUNTIFS($N$2:$N$1201,"&lt;"&amp;N752,$F$2:$F$1201,"&gt;0")+1)</f>
        <v/>
      </c>
    </row>
    <row r="753" customFormat="false" ht="15" hidden="false" customHeight="false" outlineLevel="0" collapsed="false">
      <c r="A753" s="11" t="str">
        <f aca="false">IF(_LEITURA!$N753="","",INDEX(_LEITURA!$K$2:$K$1201,_LEITURA!$N753))</f>
        <v/>
      </c>
      <c r="B753" s="11" t="str">
        <f aca="false">IF(_LEITURA!$N753="","",INDEX(_LEITURA!$E$2:$E$1201,_LEITURA!$N753))</f>
        <v/>
      </c>
      <c r="C753" s="11" t="str">
        <f aca="false">IF(_LEITURA!$N753="","",INDEX(_LEITURA!$J$2:$J$1201,_LEITURA!$N753))</f>
        <v/>
      </c>
      <c r="D753" s="16" t="str">
        <f aca="false">IF(_LEITURA!$N753="","",INDEX(_LEITURA!$G$2:$G$1201,_LEITURA!$N753))</f>
        <v/>
      </c>
      <c r="E753" s="16" t="str">
        <f aca="false">IF(B753="","",SUMIFS(INVENTÁRIO!$C$2:$C$801,INVENTÁRIO!$A$2:$A$801,B753))</f>
        <v/>
      </c>
      <c r="F753" s="16" t="str">
        <f aca="false">IF(B753="","",MAX(0,D753-E753))</f>
        <v/>
      </c>
      <c r="G753" s="16" t="str">
        <f aca="false">IF(B753="","",IF(COUNTIFS($B$2:$B$1201,B753,$A$2:$A$1201,"&lt;&gt;"&amp;A753)&gt;0,"Sim",""))</f>
        <v/>
      </c>
      <c r="H753" s="16" t="str">
        <f aca="false">IF(N(F753)&gt;0,MAX(H$1:H752)+1,"")</f>
        <v/>
      </c>
      <c r="I753" s="11" t="str">
        <f aca="false">IF(B753="","",IF(INDEX($C$2:$C$1201,MATCH(B753,$B$2:$B$1201,0))&lt;&gt;C753,"Nome diferente em outro deck — revisar",""))</f>
        <v/>
      </c>
      <c r="J753" s="16" t="str">
        <f aca="false">IF(AND(B753&lt;&gt;"",A753=BULK!$A$1,N(F753)&gt;0),MAX(J$1:J752)+1,"")</f>
        <v/>
      </c>
      <c r="K753" s="11" t="str">
        <f aca="false">IF(B753="","",IFERROR(LEFT(B753,FIND("-",B753)-1),B753))</f>
        <v/>
      </c>
      <c r="L753" s="11" t="str">
        <f aca="false">IF(K753="","",IF(ISNUMBER(--MID(K753,1,1)),0,IF(ISNUMBER(--MID(K753,2,1)),1,IF(ISNUMBER(--MID(K753,3,1)),2,IF(ISNUMBER(--MID(K753,4,1)),3,MIN(LEN(K753),4))))))</f>
        <v/>
      </c>
      <c r="M753" s="11" t="str">
        <f aca="false">IF(B753="","",LEFT(K753,L753)&amp;REPT("0",4-L753)&amp;RIGHT("000"&amp;IFERROR(VALUE(MID(K753,L753+1,9)),0),3)&amp;RIGHT("0000"&amp;IFERROR(VALUE(MID(B753,FIND("-",B753)+1,9)),0),4))</f>
        <v/>
      </c>
      <c r="N753" s="11" t="str">
        <f aca="false">IF(OR(B753="",N(F753)&lt;=0),"",IF('FALTAS POR DECK'!$P$1="Código","K"&amp;M753&amp;RIGHT("00000"&amp;ROW(),5),IF('FALTAS POR DECK'!$P$1="Nome","K"&amp;UPPER(SUBSTITUTE(SUBSTITUTE(SUBSTITUTE(C753,"*",""),"?",""),"~",""))&amp;"0"&amp;M753&amp;RIGHT("00000"&amp;ROW(),5),IF('FALTAS POR DECK'!$P$1="Falta (maior primeiro)","K"&amp;RIGHT("0000"&amp;(9999-F753),4)&amp;M753&amp;RIGHT("00000"&amp;ROW(),5),IF('FALTAS POR DECK'!$P$1="Deck e código","K"&amp;RIGHT("00"&amp;IFERROR(MATCH(A753,_LEITURA!$P$2:$P$21,0),99),2)&amp;M753&amp;RIGHT("00000"&amp;ROW(),5),"K"&amp;RIGHT("00000"&amp;ROW(),5))))))</f>
        <v/>
      </c>
      <c r="O753" s="16" t="str">
        <f aca="false">IF(N753="","",COUNTIFS($N$2:$N$1201,"&lt;"&amp;N753,$F$2:$F$1201,"&gt;0")+1)</f>
        <v/>
      </c>
    </row>
    <row r="754" customFormat="false" ht="15" hidden="false" customHeight="false" outlineLevel="0" collapsed="false">
      <c r="A754" s="11" t="str">
        <f aca="false">IF(_LEITURA!$N754="","",INDEX(_LEITURA!$K$2:$K$1201,_LEITURA!$N754))</f>
        <v/>
      </c>
      <c r="B754" s="11" t="str">
        <f aca="false">IF(_LEITURA!$N754="","",INDEX(_LEITURA!$E$2:$E$1201,_LEITURA!$N754))</f>
        <v/>
      </c>
      <c r="C754" s="11" t="str">
        <f aca="false">IF(_LEITURA!$N754="","",INDEX(_LEITURA!$J$2:$J$1201,_LEITURA!$N754))</f>
        <v/>
      </c>
      <c r="D754" s="16" t="str">
        <f aca="false">IF(_LEITURA!$N754="","",INDEX(_LEITURA!$G$2:$G$1201,_LEITURA!$N754))</f>
        <v/>
      </c>
      <c r="E754" s="16" t="str">
        <f aca="false">IF(B754="","",SUMIFS(INVENTÁRIO!$C$2:$C$801,INVENTÁRIO!$A$2:$A$801,B754))</f>
        <v/>
      </c>
      <c r="F754" s="16" t="str">
        <f aca="false">IF(B754="","",MAX(0,D754-E754))</f>
        <v/>
      </c>
      <c r="G754" s="16" t="str">
        <f aca="false">IF(B754="","",IF(COUNTIFS($B$2:$B$1201,B754,$A$2:$A$1201,"&lt;&gt;"&amp;A754)&gt;0,"Sim",""))</f>
        <v/>
      </c>
      <c r="H754" s="16" t="str">
        <f aca="false">IF(N(F754)&gt;0,MAX(H$1:H753)+1,"")</f>
        <v/>
      </c>
      <c r="I754" s="11" t="str">
        <f aca="false">IF(B754="","",IF(INDEX($C$2:$C$1201,MATCH(B754,$B$2:$B$1201,0))&lt;&gt;C754,"Nome diferente em outro deck — revisar",""))</f>
        <v/>
      </c>
      <c r="J754" s="16" t="str">
        <f aca="false">IF(AND(B754&lt;&gt;"",A754=BULK!$A$1,N(F754)&gt;0),MAX(J$1:J753)+1,"")</f>
        <v/>
      </c>
      <c r="K754" s="11" t="str">
        <f aca="false">IF(B754="","",IFERROR(LEFT(B754,FIND("-",B754)-1),B754))</f>
        <v/>
      </c>
      <c r="L754" s="11" t="str">
        <f aca="false">IF(K754="","",IF(ISNUMBER(--MID(K754,1,1)),0,IF(ISNUMBER(--MID(K754,2,1)),1,IF(ISNUMBER(--MID(K754,3,1)),2,IF(ISNUMBER(--MID(K754,4,1)),3,MIN(LEN(K754),4))))))</f>
        <v/>
      </c>
      <c r="M754" s="11" t="str">
        <f aca="false">IF(B754="","",LEFT(K754,L754)&amp;REPT("0",4-L754)&amp;RIGHT("000"&amp;IFERROR(VALUE(MID(K754,L754+1,9)),0),3)&amp;RIGHT("0000"&amp;IFERROR(VALUE(MID(B754,FIND("-",B754)+1,9)),0),4))</f>
        <v/>
      </c>
      <c r="N754" s="11" t="str">
        <f aca="false">IF(OR(B754="",N(F754)&lt;=0),"",IF('FALTAS POR DECK'!$P$1="Código","K"&amp;M754&amp;RIGHT("00000"&amp;ROW(),5),IF('FALTAS POR DECK'!$P$1="Nome","K"&amp;UPPER(SUBSTITUTE(SUBSTITUTE(SUBSTITUTE(C754,"*",""),"?",""),"~",""))&amp;"0"&amp;M754&amp;RIGHT("00000"&amp;ROW(),5),IF('FALTAS POR DECK'!$P$1="Falta (maior primeiro)","K"&amp;RIGHT("0000"&amp;(9999-F754),4)&amp;M754&amp;RIGHT("00000"&amp;ROW(),5),IF('FALTAS POR DECK'!$P$1="Deck e código","K"&amp;RIGHT("00"&amp;IFERROR(MATCH(A754,_LEITURA!$P$2:$P$21,0),99),2)&amp;M754&amp;RIGHT("00000"&amp;ROW(),5),"K"&amp;RIGHT("00000"&amp;ROW(),5))))))</f>
        <v/>
      </c>
      <c r="O754" s="16" t="str">
        <f aca="false">IF(N754="","",COUNTIFS($N$2:$N$1201,"&lt;"&amp;N754,$F$2:$F$1201,"&gt;0")+1)</f>
        <v/>
      </c>
    </row>
    <row r="755" customFormat="false" ht="15" hidden="false" customHeight="false" outlineLevel="0" collapsed="false">
      <c r="A755" s="11" t="str">
        <f aca="false">IF(_LEITURA!$N755="","",INDEX(_LEITURA!$K$2:$K$1201,_LEITURA!$N755))</f>
        <v/>
      </c>
      <c r="B755" s="11" t="str">
        <f aca="false">IF(_LEITURA!$N755="","",INDEX(_LEITURA!$E$2:$E$1201,_LEITURA!$N755))</f>
        <v/>
      </c>
      <c r="C755" s="11" t="str">
        <f aca="false">IF(_LEITURA!$N755="","",INDEX(_LEITURA!$J$2:$J$1201,_LEITURA!$N755))</f>
        <v/>
      </c>
      <c r="D755" s="16" t="str">
        <f aca="false">IF(_LEITURA!$N755="","",INDEX(_LEITURA!$G$2:$G$1201,_LEITURA!$N755))</f>
        <v/>
      </c>
      <c r="E755" s="16" t="str">
        <f aca="false">IF(B755="","",SUMIFS(INVENTÁRIO!$C$2:$C$801,INVENTÁRIO!$A$2:$A$801,B755))</f>
        <v/>
      </c>
      <c r="F755" s="16" t="str">
        <f aca="false">IF(B755="","",MAX(0,D755-E755))</f>
        <v/>
      </c>
      <c r="G755" s="16" t="str">
        <f aca="false">IF(B755="","",IF(COUNTIFS($B$2:$B$1201,B755,$A$2:$A$1201,"&lt;&gt;"&amp;A755)&gt;0,"Sim",""))</f>
        <v/>
      </c>
      <c r="H755" s="16" t="str">
        <f aca="false">IF(N(F755)&gt;0,MAX(H$1:H754)+1,"")</f>
        <v/>
      </c>
      <c r="I755" s="11" t="str">
        <f aca="false">IF(B755="","",IF(INDEX($C$2:$C$1201,MATCH(B755,$B$2:$B$1201,0))&lt;&gt;C755,"Nome diferente em outro deck — revisar",""))</f>
        <v/>
      </c>
      <c r="J755" s="16" t="str">
        <f aca="false">IF(AND(B755&lt;&gt;"",A755=BULK!$A$1,N(F755)&gt;0),MAX(J$1:J754)+1,"")</f>
        <v/>
      </c>
      <c r="K755" s="11" t="str">
        <f aca="false">IF(B755="","",IFERROR(LEFT(B755,FIND("-",B755)-1),B755))</f>
        <v/>
      </c>
      <c r="L755" s="11" t="str">
        <f aca="false">IF(K755="","",IF(ISNUMBER(--MID(K755,1,1)),0,IF(ISNUMBER(--MID(K755,2,1)),1,IF(ISNUMBER(--MID(K755,3,1)),2,IF(ISNUMBER(--MID(K755,4,1)),3,MIN(LEN(K755),4))))))</f>
        <v/>
      </c>
      <c r="M755" s="11" t="str">
        <f aca="false">IF(B755="","",LEFT(K755,L755)&amp;REPT("0",4-L755)&amp;RIGHT("000"&amp;IFERROR(VALUE(MID(K755,L755+1,9)),0),3)&amp;RIGHT("0000"&amp;IFERROR(VALUE(MID(B755,FIND("-",B755)+1,9)),0),4))</f>
        <v/>
      </c>
      <c r="N755" s="11" t="str">
        <f aca="false">IF(OR(B755="",N(F755)&lt;=0),"",IF('FALTAS POR DECK'!$P$1="Código","K"&amp;M755&amp;RIGHT("00000"&amp;ROW(),5),IF('FALTAS POR DECK'!$P$1="Nome","K"&amp;UPPER(SUBSTITUTE(SUBSTITUTE(SUBSTITUTE(C755,"*",""),"?",""),"~",""))&amp;"0"&amp;M755&amp;RIGHT("00000"&amp;ROW(),5),IF('FALTAS POR DECK'!$P$1="Falta (maior primeiro)","K"&amp;RIGHT("0000"&amp;(9999-F755),4)&amp;M755&amp;RIGHT("00000"&amp;ROW(),5),IF('FALTAS POR DECK'!$P$1="Deck e código","K"&amp;RIGHT("00"&amp;IFERROR(MATCH(A755,_LEITURA!$P$2:$P$21,0),99),2)&amp;M755&amp;RIGHT("00000"&amp;ROW(),5),"K"&amp;RIGHT("00000"&amp;ROW(),5))))))</f>
        <v/>
      </c>
      <c r="O755" s="16" t="str">
        <f aca="false">IF(N755="","",COUNTIFS($N$2:$N$1201,"&lt;"&amp;N755,$F$2:$F$1201,"&gt;0")+1)</f>
        <v/>
      </c>
    </row>
    <row r="756" customFormat="false" ht="15" hidden="false" customHeight="false" outlineLevel="0" collapsed="false">
      <c r="A756" s="11" t="str">
        <f aca="false">IF(_LEITURA!$N756="","",INDEX(_LEITURA!$K$2:$K$1201,_LEITURA!$N756))</f>
        <v/>
      </c>
      <c r="B756" s="11" t="str">
        <f aca="false">IF(_LEITURA!$N756="","",INDEX(_LEITURA!$E$2:$E$1201,_LEITURA!$N756))</f>
        <v/>
      </c>
      <c r="C756" s="11" t="str">
        <f aca="false">IF(_LEITURA!$N756="","",INDEX(_LEITURA!$J$2:$J$1201,_LEITURA!$N756))</f>
        <v/>
      </c>
      <c r="D756" s="16" t="str">
        <f aca="false">IF(_LEITURA!$N756="","",INDEX(_LEITURA!$G$2:$G$1201,_LEITURA!$N756))</f>
        <v/>
      </c>
      <c r="E756" s="16" t="str">
        <f aca="false">IF(B756="","",SUMIFS(INVENTÁRIO!$C$2:$C$801,INVENTÁRIO!$A$2:$A$801,B756))</f>
        <v/>
      </c>
      <c r="F756" s="16" t="str">
        <f aca="false">IF(B756="","",MAX(0,D756-E756))</f>
        <v/>
      </c>
      <c r="G756" s="16" t="str">
        <f aca="false">IF(B756="","",IF(COUNTIFS($B$2:$B$1201,B756,$A$2:$A$1201,"&lt;&gt;"&amp;A756)&gt;0,"Sim",""))</f>
        <v/>
      </c>
      <c r="H756" s="16" t="str">
        <f aca="false">IF(N(F756)&gt;0,MAX(H$1:H755)+1,"")</f>
        <v/>
      </c>
      <c r="I756" s="11" t="str">
        <f aca="false">IF(B756="","",IF(INDEX($C$2:$C$1201,MATCH(B756,$B$2:$B$1201,0))&lt;&gt;C756,"Nome diferente em outro deck — revisar",""))</f>
        <v/>
      </c>
      <c r="J756" s="16" t="str">
        <f aca="false">IF(AND(B756&lt;&gt;"",A756=BULK!$A$1,N(F756)&gt;0),MAX(J$1:J755)+1,"")</f>
        <v/>
      </c>
      <c r="K756" s="11" t="str">
        <f aca="false">IF(B756="","",IFERROR(LEFT(B756,FIND("-",B756)-1),B756))</f>
        <v/>
      </c>
      <c r="L756" s="11" t="str">
        <f aca="false">IF(K756="","",IF(ISNUMBER(--MID(K756,1,1)),0,IF(ISNUMBER(--MID(K756,2,1)),1,IF(ISNUMBER(--MID(K756,3,1)),2,IF(ISNUMBER(--MID(K756,4,1)),3,MIN(LEN(K756),4))))))</f>
        <v/>
      </c>
      <c r="M756" s="11" t="str">
        <f aca="false">IF(B756="","",LEFT(K756,L756)&amp;REPT("0",4-L756)&amp;RIGHT("000"&amp;IFERROR(VALUE(MID(K756,L756+1,9)),0),3)&amp;RIGHT("0000"&amp;IFERROR(VALUE(MID(B756,FIND("-",B756)+1,9)),0),4))</f>
        <v/>
      </c>
      <c r="N756" s="11" t="str">
        <f aca="false">IF(OR(B756="",N(F756)&lt;=0),"",IF('FALTAS POR DECK'!$P$1="Código","K"&amp;M756&amp;RIGHT("00000"&amp;ROW(),5),IF('FALTAS POR DECK'!$P$1="Nome","K"&amp;UPPER(SUBSTITUTE(SUBSTITUTE(SUBSTITUTE(C756,"*",""),"?",""),"~",""))&amp;"0"&amp;M756&amp;RIGHT("00000"&amp;ROW(),5),IF('FALTAS POR DECK'!$P$1="Falta (maior primeiro)","K"&amp;RIGHT("0000"&amp;(9999-F756),4)&amp;M756&amp;RIGHT("00000"&amp;ROW(),5),IF('FALTAS POR DECK'!$P$1="Deck e código","K"&amp;RIGHT("00"&amp;IFERROR(MATCH(A756,_LEITURA!$P$2:$P$21,0),99),2)&amp;M756&amp;RIGHT("00000"&amp;ROW(),5),"K"&amp;RIGHT("00000"&amp;ROW(),5))))))</f>
        <v/>
      </c>
      <c r="O756" s="16" t="str">
        <f aca="false">IF(N756="","",COUNTIFS($N$2:$N$1201,"&lt;"&amp;N756,$F$2:$F$1201,"&gt;0")+1)</f>
        <v/>
      </c>
    </row>
    <row r="757" customFormat="false" ht="15" hidden="false" customHeight="false" outlineLevel="0" collapsed="false">
      <c r="A757" s="11" t="str">
        <f aca="false">IF(_LEITURA!$N757="","",INDEX(_LEITURA!$K$2:$K$1201,_LEITURA!$N757))</f>
        <v/>
      </c>
      <c r="B757" s="11" t="str">
        <f aca="false">IF(_LEITURA!$N757="","",INDEX(_LEITURA!$E$2:$E$1201,_LEITURA!$N757))</f>
        <v/>
      </c>
      <c r="C757" s="11" t="str">
        <f aca="false">IF(_LEITURA!$N757="","",INDEX(_LEITURA!$J$2:$J$1201,_LEITURA!$N757))</f>
        <v/>
      </c>
      <c r="D757" s="16" t="str">
        <f aca="false">IF(_LEITURA!$N757="","",INDEX(_LEITURA!$G$2:$G$1201,_LEITURA!$N757))</f>
        <v/>
      </c>
      <c r="E757" s="16" t="str">
        <f aca="false">IF(B757="","",SUMIFS(INVENTÁRIO!$C$2:$C$801,INVENTÁRIO!$A$2:$A$801,B757))</f>
        <v/>
      </c>
      <c r="F757" s="16" t="str">
        <f aca="false">IF(B757="","",MAX(0,D757-E757))</f>
        <v/>
      </c>
      <c r="G757" s="16" t="str">
        <f aca="false">IF(B757="","",IF(COUNTIFS($B$2:$B$1201,B757,$A$2:$A$1201,"&lt;&gt;"&amp;A757)&gt;0,"Sim",""))</f>
        <v/>
      </c>
      <c r="H757" s="16" t="str">
        <f aca="false">IF(N(F757)&gt;0,MAX(H$1:H756)+1,"")</f>
        <v/>
      </c>
      <c r="I757" s="11" t="str">
        <f aca="false">IF(B757="","",IF(INDEX($C$2:$C$1201,MATCH(B757,$B$2:$B$1201,0))&lt;&gt;C757,"Nome diferente em outro deck — revisar",""))</f>
        <v/>
      </c>
      <c r="J757" s="16" t="str">
        <f aca="false">IF(AND(B757&lt;&gt;"",A757=BULK!$A$1,N(F757)&gt;0),MAX(J$1:J756)+1,"")</f>
        <v/>
      </c>
      <c r="K757" s="11" t="str">
        <f aca="false">IF(B757="","",IFERROR(LEFT(B757,FIND("-",B757)-1),B757))</f>
        <v/>
      </c>
      <c r="L757" s="11" t="str">
        <f aca="false">IF(K757="","",IF(ISNUMBER(--MID(K757,1,1)),0,IF(ISNUMBER(--MID(K757,2,1)),1,IF(ISNUMBER(--MID(K757,3,1)),2,IF(ISNUMBER(--MID(K757,4,1)),3,MIN(LEN(K757),4))))))</f>
        <v/>
      </c>
      <c r="M757" s="11" t="str">
        <f aca="false">IF(B757="","",LEFT(K757,L757)&amp;REPT("0",4-L757)&amp;RIGHT("000"&amp;IFERROR(VALUE(MID(K757,L757+1,9)),0),3)&amp;RIGHT("0000"&amp;IFERROR(VALUE(MID(B757,FIND("-",B757)+1,9)),0),4))</f>
        <v/>
      </c>
      <c r="N757" s="11" t="str">
        <f aca="false">IF(OR(B757="",N(F757)&lt;=0),"",IF('FALTAS POR DECK'!$P$1="Código","K"&amp;M757&amp;RIGHT("00000"&amp;ROW(),5),IF('FALTAS POR DECK'!$P$1="Nome","K"&amp;UPPER(SUBSTITUTE(SUBSTITUTE(SUBSTITUTE(C757,"*",""),"?",""),"~",""))&amp;"0"&amp;M757&amp;RIGHT("00000"&amp;ROW(),5),IF('FALTAS POR DECK'!$P$1="Falta (maior primeiro)","K"&amp;RIGHT("0000"&amp;(9999-F757),4)&amp;M757&amp;RIGHT("00000"&amp;ROW(),5),IF('FALTAS POR DECK'!$P$1="Deck e código","K"&amp;RIGHT("00"&amp;IFERROR(MATCH(A757,_LEITURA!$P$2:$P$21,0),99),2)&amp;M757&amp;RIGHT("00000"&amp;ROW(),5),"K"&amp;RIGHT("00000"&amp;ROW(),5))))))</f>
        <v/>
      </c>
      <c r="O757" s="16" t="str">
        <f aca="false">IF(N757="","",COUNTIFS($N$2:$N$1201,"&lt;"&amp;N757,$F$2:$F$1201,"&gt;0")+1)</f>
        <v/>
      </c>
    </row>
    <row r="758" customFormat="false" ht="15" hidden="false" customHeight="false" outlineLevel="0" collapsed="false">
      <c r="A758" s="11" t="str">
        <f aca="false">IF(_LEITURA!$N758="","",INDEX(_LEITURA!$K$2:$K$1201,_LEITURA!$N758))</f>
        <v/>
      </c>
      <c r="B758" s="11" t="str">
        <f aca="false">IF(_LEITURA!$N758="","",INDEX(_LEITURA!$E$2:$E$1201,_LEITURA!$N758))</f>
        <v/>
      </c>
      <c r="C758" s="11" t="str">
        <f aca="false">IF(_LEITURA!$N758="","",INDEX(_LEITURA!$J$2:$J$1201,_LEITURA!$N758))</f>
        <v/>
      </c>
      <c r="D758" s="16" t="str">
        <f aca="false">IF(_LEITURA!$N758="","",INDEX(_LEITURA!$G$2:$G$1201,_LEITURA!$N758))</f>
        <v/>
      </c>
      <c r="E758" s="16" t="str">
        <f aca="false">IF(B758="","",SUMIFS(INVENTÁRIO!$C$2:$C$801,INVENTÁRIO!$A$2:$A$801,B758))</f>
        <v/>
      </c>
      <c r="F758" s="16" t="str">
        <f aca="false">IF(B758="","",MAX(0,D758-E758))</f>
        <v/>
      </c>
      <c r="G758" s="16" t="str">
        <f aca="false">IF(B758="","",IF(COUNTIFS($B$2:$B$1201,B758,$A$2:$A$1201,"&lt;&gt;"&amp;A758)&gt;0,"Sim",""))</f>
        <v/>
      </c>
      <c r="H758" s="16" t="str">
        <f aca="false">IF(N(F758)&gt;0,MAX(H$1:H757)+1,"")</f>
        <v/>
      </c>
      <c r="I758" s="11" t="str">
        <f aca="false">IF(B758="","",IF(INDEX($C$2:$C$1201,MATCH(B758,$B$2:$B$1201,0))&lt;&gt;C758,"Nome diferente em outro deck — revisar",""))</f>
        <v/>
      </c>
      <c r="J758" s="16" t="str">
        <f aca="false">IF(AND(B758&lt;&gt;"",A758=BULK!$A$1,N(F758)&gt;0),MAX(J$1:J757)+1,"")</f>
        <v/>
      </c>
      <c r="K758" s="11" t="str">
        <f aca="false">IF(B758="","",IFERROR(LEFT(B758,FIND("-",B758)-1),B758))</f>
        <v/>
      </c>
      <c r="L758" s="11" t="str">
        <f aca="false">IF(K758="","",IF(ISNUMBER(--MID(K758,1,1)),0,IF(ISNUMBER(--MID(K758,2,1)),1,IF(ISNUMBER(--MID(K758,3,1)),2,IF(ISNUMBER(--MID(K758,4,1)),3,MIN(LEN(K758),4))))))</f>
        <v/>
      </c>
      <c r="M758" s="11" t="str">
        <f aca="false">IF(B758="","",LEFT(K758,L758)&amp;REPT("0",4-L758)&amp;RIGHT("000"&amp;IFERROR(VALUE(MID(K758,L758+1,9)),0),3)&amp;RIGHT("0000"&amp;IFERROR(VALUE(MID(B758,FIND("-",B758)+1,9)),0),4))</f>
        <v/>
      </c>
      <c r="N758" s="11" t="str">
        <f aca="false">IF(OR(B758="",N(F758)&lt;=0),"",IF('FALTAS POR DECK'!$P$1="Código","K"&amp;M758&amp;RIGHT("00000"&amp;ROW(),5),IF('FALTAS POR DECK'!$P$1="Nome","K"&amp;UPPER(SUBSTITUTE(SUBSTITUTE(SUBSTITUTE(C758,"*",""),"?",""),"~",""))&amp;"0"&amp;M758&amp;RIGHT("00000"&amp;ROW(),5),IF('FALTAS POR DECK'!$P$1="Falta (maior primeiro)","K"&amp;RIGHT("0000"&amp;(9999-F758),4)&amp;M758&amp;RIGHT("00000"&amp;ROW(),5),IF('FALTAS POR DECK'!$P$1="Deck e código","K"&amp;RIGHT("00"&amp;IFERROR(MATCH(A758,_LEITURA!$P$2:$P$21,0),99),2)&amp;M758&amp;RIGHT("00000"&amp;ROW(),5),"K"&amp;RIGHT("00000"&amp;ROW(),5))))))</f>
        <v/>
      </c>
      <c r="O758" s="16" t="str">
        <f aca="false">IF(N758="","",COUNTIFS($N$2:$N$1201,"&lt;"&amp;N758,$F$2:$F$1201,"&gt;0")+1)</f>
        <v/>
      </c>
    </row>
    <row r="759" customFormat="false" ht="15" hidden="false" customHeight="false" outlineLevel="0" collapsed="false">
      <c r="A759" s="11" t="str">
        <f aca="false">IF(_LEITURA!$N759="","",INDEX(_LEITURA!$K$2:$K$1201,_LEITURA!$N759))</f>
        <v/>
      </c>
      <c r="B759" s="11" t="str">
        <f aca="false">IF(_LEITURA!$N759="","",INDEX(_LEITURA!$E$2:$E$1201,_LEITURA!$N759))</f>
        <v/>
      </c>
      <c r="C759" s="11" t="str">
        <f aca="false">IF(_LEITURA!$N759="","",INDEX(_LEITURA!$J$2:$J$1201,_LEITURA!$N759))</f>
        <v/>
      </c>
      <c r="D759" s="16" t="str">
        <f aca="false">IF(_LEITURA!$N759="","",INDEX(_LEITURA!$G$2:$G$1201,_LEITURA!$N759))</f>
        <v/>
      </c>
      <c r="E759" s="16" t="str">
        <f aca="false">IF(B759="","",SUMIFS(INVENTÁRIO!$C$2:$C$801,INVENTÁRIO!$A$2:$A$801,B759))</f>
        <v/>
      </c>
      <c r="F759" s="16" t="str">
        <f aca="false">IF(B759="","",MAX(0,D759-E759))</f>
        <v/>
      </c>
      <c r="G759" s="16" t="str">
        <f aca="false">IF(B759="","",IF(COUNTIFS($B$2:$B$1201,B759,$A$2:$A$1201,"&lt;&gt;"&amp;A759)&gt;0,"Sim",""))</f>
        <v/>
      </c>
      <c r="H759" s="16" t="str">
        <f aca="false">IF(N(F759)&gt;0,MAX(H$1:H758)+1,"")</f>
        <v/>
      </c>
      <c r="I759" s="11" t="str">
        <f aca="false">IF(B759="","",IF(INDEX($C$2:$C$1201,MATCH(B759,$B$2:$B$1201,0))&lt;&gt;C759,"Nome diferente em outro deck — revisar",""))</f>
        <v/>
      </c>
      <c r="J759" s="16" t="str">
        <f aca="false">IF(AND(B759&lt;&gt;"",A759=BULK!$A$1,N(F759)&gt;0),MAX(J$1:J758)+1,"")</f>
        <v/>
      </c>
      <c r="K759" s="11" t="str">
        <f aca="false">IF(B759="","",IFERROR(LEFT(B759,FIND("-",B759)-1),B759))</f>
        <v/>
      </c>
      <c r="L759" s="11" t="str">
        <f aca="false">IF(K759="","",IF(ISNUMBER(--MID(K759,1,1)),0,IF(ISNUMBER(--MID(K759,2,1)),1,IF(ISNUMBER(--MID(K759,3,1)),2,IF(ISNUMBER(--MID(K759,4,1)),3,MIN(LEN(K759),4))))))</f>
        <v/>
      </c>
      <c r="M759" s="11" t="str">
        <f aca="false">IF(B759="","",LEFT(K759,L759)&amp;REPT("0",4-L759)&amp;RIGHT("000"&amp;IFERROR(VALUE(MID(K759,L759+1,9)),0),3)&amp;RIGHT("0000"&amp;IFERROR(VALUE(MID(B759,FIND("-",B759)+1,9)),0),4))</f>
        <v/>
      </c>
      <c r="N759" s="11" t="str">
        <f aca="false">IF(OR(B759="",N(F759)&lt;=0),"",IF('FALTAS POR DECK'!$P$1="Código","K"&amp;M759&amp;RIGHT("00000"&amp;ROW(),5),IF('FALTAS POR DECK'!$P$1="Nome","K"&amp;UPPER(SUBSTITUTE(SUBSTITUTE(SUBSTITUTE(C759,"*",""),"?",""),"~",""))&amp;"0"&amp;M759&amp;RIGHT("00000"&amp;ROW(),5),IF('FALTAS POR DECK'!$P$1="Falta (maior primeiro)","K"&amp;RIGHT("0000"&amp;(9999-F759),4)&amp;M759&amp;RIGHT("00000"&amp;ROW(),5),IF('FALTAS POR DECK'!$P$1="Deck e código","K"&amp;RIGHT("00"&amp;IFERROR(MATCH(A759,_LEITURA!$P$2:$P$21,0),99),2)&amp;M759&amp;RIGHT("00000"&amp;ROW(),5),"K"&amp;RIGHT("00000"&amp;ROW(),5))))))</f>
        <v/>
      </c>
      <c r="O759" s="16" t="str">
        <f aca="false">IF(N759="","",COUNTIFS($N$2:$N$1201,"&lt;"&amp;N759,$F$2:$F$1201,"&gt;0")+1)</f>
        <v/>
      </c>
    </row>
    <row r="760" customFormat="false" ht="15" hidden="false" customHeight="false" outlineLevel="0" collapsed="false">
      <c r="A760" s="11" t="str">
        <f aca="false">IF(_LEITURA!$N760="","",INDEX(_LEITURA!$K$2:$K$1201,_LEITURA!$N760))</f>
        <v/>
      </c>
      <c r="B760" s="11" t="str">
        <f aca="false">IF(_LEITURA!$N760="","",INDEX(_LEITURA!$E$2:$E$1201,_LEITURA!$N760))</f>
        <v/>
      </c>
      <c r="C760" s="11" t="str">
        <f aca="false">IF(_LEITURA!$N760="","",INDEX(_LEITURA!$J$2:$J$1201,_LEITURA!$N760))</f>
        <v/>
      </c>
      <c r="D760" s="16" t="str">
        <f aca="false">IF(_LEITURA!$N760="","",INDEX(_LEITURA!$G$2:$G$1201,_LEITURA!$N760))</f>
        <v/>
      </c>
      <c r="E760" s="16" t="str">
        <f aca="false">IF(B760="","",SUMIFS(INVENTÁRIO!$C$2:$C$801,INVENTÁRIO!$A$2:$A$801,B760))</f>
        <v/>
      </c>
      <c r="F760" s="16" t="str">
        <f aca="false">IF(B760="","",MAX(0,D760-E760))</f>
        <v/>
      </c>
      <c r="G760" s="16" t="str">
        <f aca="false">IF(B760="","",IF(COUNTIFS($B$2:$B$1201,B760,$A$2:$A$1201,"&lt;&gt;"&amp;A760)&gt;0,"Sim",""))</f>
        <v/>
      </c>
      <c r="H760" s="16" t="str">
        <f aca="false">IF(N(F760)&gt;0,MAX(H$1:H759)+1,"")</f>
        <v/>
      </c>
      <c r="I760" s="11" t="str">
        <f aca="false">IF(B760="","",IF(INDEX($C$2:$C$1201,MATCH(B760,$B$2:$B$1201,0))&lt;&gt;C760,"Nome diferente em outro deck — revisar",""))</f>
        <v/>
      </c>
      <c r="J760" s="16" t="str">
        <f aca="false">IF(AND(B760&lt;&gt;"",A760=BULK!$A$1,N(F760)&gt;0),MAX(J$1:J759)+1,"")</f>
        <v/>
      </c>
      <c r="K760" s="11" t="str">
        <f aca="false">IF(B760="","",IFERROR(LEFT(B760,FIND("-",B760)-1),B760))</f>
        <v/>
      </c>
      <c r="L760" s="11" t="str">
        <f aca="false">IF(K760="","",IF(ISNUMBER(--MID(K760,1,1)),0,IF(ISNUMBER(--MID(K760,2,1)),1,IF(ISNUMBER(--MID(K760,3,1)),2,IF(ISNUMBER(--MID(K760,4,1)),3,MIN(LEN(K760),4))))))</f>
        <v/>
      </c>
      <c r="M760" s="11" t="str">
        <f aca="false">IF(B760="","",LEFT(K760,L760)&amp;REPT("0",4-L760)&amp;RIGHT("000"&amp;IFERROR(VALUE(MID(K760,L760+1,9)),0),3)&amp;RIGHT("0000"&amp;IFERROR(VALUE(MID(B760,FIND("-",B760)+1,9)),0),4))</f>
        <v/>
      </c>
      <c r="N760" s="11" t="str">
        <f aca="false">IF(OR(B760="",N(F760)&lt;=0),"",IF('FALTAS POR DECK'!$P$1="Código","K"&amp;M760&amp;RIGHT("00000"&amp;ROW(),5),IF('FALTAS POR DECK'!$P$1="Nome","K"&amp;UPPER(SUBSTITUTE(SUBSTITUTE(SUBSTITUTE(C760,"*",""),"?",""),"~",""))&amp;"0"&amp;M760&amp;RIGHT("00000"&amp;ROW(),5),IF('FALTAS POR DECK'!$P$1="Falta (maior primeiro)","K"&amp;RIGHT("0000"&amp;(9999-F760),4)&amp;M760&amp;RIGHT("00000"&amp;ROW(),5),IF('FALTAS POR DECK'!$P$1="Deck e código","K"&amp;RIGHT("00"&amp;IFERROR(MATCH(A760,_LEITURA!$P$2:$P$21,0),99),2)&amp;M760&amp;RIGHT("00000"&amp;ROW(),5),"K"&amp;RIGHT("00000"&amp;ROW(),5))))))</f>
        <v/>
      </c>
      <c r="O760" s="16" t="str">
        <f aca="false">IF(N760="","",COUNTIFS($N$2:$N$1201,"&lt;"&amp;N760,$F$2:$F$1201,"&gt;0")+1)</f>
        <v/>
      </c>
    </row>
    <row r="761" customFormat="false" ht="15" hidden="false" customHeight="false" outlineLevel="0" collapsed="false">
      <c r="A761" s="11" t="str">
        <f aca="false">IF(_LEITURA!$N761="","",INDEX(_LEITURA!$K$2:$K$1201,_LEITURA!$N761))</f>
        <v/>
      </c>
      <c r="B761" s="11" t="str">
        <f aca="false">IF(_LEITURA!$N761="","",INDEX(_LEITURA!$E$2:$E$1201,_LEITURA!$N761))</f>
        <v/>
      </c>
      <c r="C761" s="11" t="str">
        <f aca="false">IF(_LEITURA!$N761="","",INDEX(_LEITURA!$J$2:$J$1201,_LEITURA!$N761))</f>
        <v/>
      </c>
      <c r="D761" s="16" t="str">
        <f aca="false">IF(_LEITURA!$N761="","",INDEX(_LEITURA!$G$2:$G$1201,_LEITURA!$N761))</f>
        <v/>
      </c>
      <c r="E761" s="16" t="str">
        <f aca="false">IF(B761="","",SUMIFS(INVENTÁRIO!$C$2:$C$801,INVENTÁRIO!$A$2:$A$801,B761))</f>
        <v/>
      </c>
      <c r="F761" s="16" t="str">
        <f aca="false">IF(B761="","",MAX(0,D761-E761))</f>
        <v/>
      </c>
      <c r="G761" s="16" t="str">
        <f aca="false">IF(B761="","",IF(COUNTIFS($B$2:$B$1201,B761,$A$2:$A$1201,"&lt;&gt;"&amp;A761)&gt;0,"Sim",""))</f>
        <v/>
      </c>
      <c r="H761" s="16" t="str">
        <f aca="false">IF(N(F761)&gt;0,MAX(H$1:H760)+1,"")</f>
        <v/>
      </c>
      <c r="I761" s="11" t="str">
        <f aca="false">IF(B761="","",IF(INDEX($C$2:$C$1201,MATCH(B761,$B$2:$B$1201,0))&lt;&gt;C761,"Nome diferente em outro deck — revisar",""))</f>
        <v/>
      </c>
      <c r="J761" s="16" t="str">
        <f aca="false">IF(AND(B761&lt;&gt;"",A761=BULK!$A$1,N(F761)&gt;0),MAX(J$1:J760)+1,"")</f>
        <v/>
      </c>
      <c r="K761" s="11" t="str">
        <f aca="false">IF(B761="","",IFERROR(LEFT(B761,FIND("-",B761)-1),B761))</f>
        <v/>
      </c>
      <c r="L761" s="11" t="str">
        <f aca="false">IF(K761="","",IF(ISNUMBER(--MID(K761,1,1)),0,IF(ISNUMBER(--MID(K761,2,1)),1,IF(ISNUMBER(--MID(K761,3,1)),2,IF(ISNUMBER(--MID(K761,4,1)),3,MIN(LEN(K761),4))))))</f>
        <v/>
      </c>
      <c r="M761" s="11" t="str">
        <f aca="false">IF(B761="","",LEFT(K761,L761)&amp;REPT("0",4-L761)&amp;RIGHT("000"&amp;IFERROR(VALUE(MID(K761,L761+1,9)),0),3)&amp;RIGHT("0000"&amp;IFERROR(VALUE(MID(B761,FIND("-",B761)+1,9)),0),4))</f>
        <v/>
      </c>
      <c r="N761" s="11" t="str">
        <f aca="false">IF(OR(B761="",N(F761)&lt;=0),"",IF('FALTAS POR DECK'!$P$1="Código","K"&amp;M761&amp;RIGHT("00000"&amp;ROW(),5),IF('FALTAS POR DECK'!$P$1="Nome","K"&amp;UPPER(SUBSTITUTE(SUBSTITUTE(SUBSTITUTE(C761,"*",""),"?",""),"~",""))&amp;"0"&amp;M761&amp;RIGHT("00000"&amp;ROW(),5),IF('FALTAS POR DECK'!$P$1="Falta (maior primeiro)","K"&amp;RIGHT("0000"&amp;(9999-F761),4)&amp;M761&amp;RIGHT("00000"&amp;ROW(),5),IF('FALTAS POR DECK'!$P$1="Deck e código","K"&amp;RIGHT("00"&amp;IFERROR(MATCH(A761,_LEITURA!$P$2:$P$21,0),99),2)&amp;M761&amp;RIGHT("00000"&amp;ROW(),5),"K"&amp;RIGHT("00000"&amp;ROW(),5))))))</f>
        <v/>
      </c>
      <c r="O761" s="16" t="str">
        <f aca="false">IF(N761="","",COUNTIFS($N$2:$N$1201,"&lt;"&amp;N761,$F$2:$F$1201,"&gt;0")+1)</f>
        <v/>
      </c>
    </row>
    <row r="762" customFormat="false" ht="15" hidden="false" customHeight="false" outlineLevel="0" collapsed="false">
      <c r="A762" s="11" t="str">
        <f aca="false">IF(_LEITURA!$N762="","",INDEX(_LEITURA!$K$2:$K$1201,_LEITURA!$N762))</f>
        <v/>
      </c>
      <c r="B762" s="11" t="str">
        <f aca="false">IF(_LEITURA!$N762="","",INDEX(_LEITURA!$E$2:$E$1201,_LEITURA!$N762))</f>
        <v/>
      </c>
      <c r="C762" s="11" t="str">
        <f aca="false">IF(_LEITURA!$N762="","",INDEX(_LEITURA!$J$2:$J$1201,_LEITURA!$N762))</f>
        <v/>
      </c>
      <c r="D762" s="16" t="str">
        <f aca="false">IF(_LEITURA!$N762="","",INDEX(_LEITURA!$G$2:$G$1201,_LEITURA!$N762))</f>
        <v/>
      </c>
      <c r="E762" s="16" t="str">
        <f aca="false">IF(B762="","",SUMIFS(INVENTÁRIO!$C$2:$C$801,INVENTÁRIO!$A$2:$A$801,B762))</f>
        <v/>
      </c>
      <c r="F762" s="16" t="str">
        <f aca="false">IF(B762="","",MAX(0,D762-E762))</f>
        <v/>
      </c>
      <c r="G762" s="16" t="str">
        <f aca="false">IF(B762="","",IF(COUNTIFS($B$2:$B$1201,B762,$A$2:$A$1201,"&lt;&gt;"&amp;A762)&gt;0,"Sim",""))</f>
        <v/>
      </c>
      <c r="H762" s="16" t="str">
        <f aca="false">IF(N(F762)&gt;0,MAX(H$1:H761)+1,"")</f>
        <v/>
      </c>
      <c r="I762" s="11" t="str">
        <f aca="false">IF(B762="","",IF(INDEX($C$2:$C$1201,MATCH(B762,$B$2:$B$1201,0))&lt;&gt;C762,"Nome diferente em outro deck — revisar",""))</f>
        <v/>
      </c>
      <c r="J762" s="16" t="str">
        <f aca="false">IF(AND(B762&lt;&gt;"",A762=BULK!$A$1,N(F762)&gt;0),MAX(J$1:J761)+1,"")</f>
        <v/>
      </c>
      <c r="K762" s="11" t="str">
        <f aca="false">IF(B762="","",IFERROR(LEFT(B762,FIND("-",B762)-1),B762))</f>
        <v/>
      </c>
      <c r="L762" s="11" t="str">
        <f aca="false">IF(K762="","",IF(ISNUMBER(--MID(K762,1,1)),0,IF(ISNUMBER(--MID(K762,2,1)),1,IF(ISNUMBER(--MID(K762,3,1)),2,IF(ISNUMBER(--MID(K762,4,1)),3,MIN(LEN(K762),4))))))</f>
        <v/>
      </c>
      <c r="M762" s="11" t="str">
        <f aca="false">IF(B762="","",LEFT(K762,L762)&amp;REPT("0",4-L762)&amp;RIGHT("000"&amp;IFERROR(VALUE(MID(K762,L762+1,9)),0),3)&amp;RIGHT("0000"&amp;IFERROR(VALUE(MID(B762,FIND("-",B762)+1,9)),0),4))</f>
        <v/>
      </c>
      <c r="N762" s="11" t="str">
        <f aca="false">IF(OR(B762="",N(F762)&lt;=0),"",IF('FALTAS POR DECK'!$P$1="Código","K"&amp;M762&amp;RIGHT("00000"&amp;ROW(),5),IF('FALTAS POR DECK'!$P$1="Nome","K"&amp;UPPER(SUBSTITUTE(SUBSTITUTE(SUBSTITUTE(C762,"*",""),"?",""),"~",""))&amp;"0"&amp;M762&amp;RIGHT("00000"&amp;ROW(),5),IF('FALTAS POR DECK'!$P$1="Falta (maior primeiro)","K"&amp;RIGHT("0000"&amp;(9999-F762),4)&amp;M762&amp;RIGHT("00000"&amp;ROW(),5),IF('FALTAS POR DECK'!$P$1="Deck e código","K"&amp;RIGHT("00"&amp;IFERROR(MATCH(A762,_LEITURA!$P$2:$P$21,0),99),2)&amp;M762&amp;RIGHT("00000"&amp;ROW(),5),"K"&amp;RIGHT("00000"&amp;ROW(),5))))))</f>
        <v/>
      </c>
      <c r="O762" s="16" t="str">
        <f aca="false">IF(N762="","",COUNTIFS($N$2:$N$1201,"&lt;"&amp;N762,$F$2:$F$1201,"&gt;0")+1)</f>
        <v/>
      </c>
    </row>
    <row r="763" customFormat="false" ht="15" hidden="false" customHeight="false" outlineLevel="0" collapsed="false">
      <c r="A763" s="11" t="str">
        <f aca="false">IF(_LEITURA!$N763="","",INDEX(_LEITURA!$K$2:$K$1201,_LEITURA!$N763))</f>
        <v/>
      </c>
      <c r="B763" s="11" t="str">
        <f aca="false">IF(_LEITURA!$N763="","",INDEX(_LEITURA!$E$2:$E$1201,_LEITURA!$N763))</f>
        <v/>
      </c>
      <c r="C763" s="11" t="str">
        <f aca="false">IF(_LEITURA!$N763="","",INDEX(_LEITURA!$J$2:$J$1201,_LEITURA!$N763))</f>
        <v/>
      </c>
      <c r="D763" s="16" t="str">
        <f aca="false">IF(_LEITURA!$N763="","",INDEX(_LEITURA!$G$2:$G$1201,_LEITURA!$N763))</f>
        <v/>
      </c>
      <c r="E763" s="16" t="str">
        <f aca="false">IF(B763="","",SUMIFS(INVENTÁRIO!$C$2:$C$801,INVENTÁRIO!$A$2:$A$801,B763))</f>
        <v/>
      </c>
      <c r="F763" s="16" t="str">
        <f aca="false">IF(B763="","",MAX(0,D763-E763))</f>
        <v/>
      </c>
      <c r="G763" s="16" t="str">
        <f aca="false">IF(B763="","",IF(COUNTIFS($B$2:$B$1201,B763,$A$2:$A$1201,"&lt;&gt;"&amp;A763)&gt;0,"Sim",""))</f>
        <v/>
      </c>
      <c r="H763" s="16" t="str">
        <f aca="false">IF(N(F763)&gt;0,MAX(H$1:H762)+1,"")</f>
        <v/>
      </c>
      <c r="I763" s="11" t="str">
        <f aca="false">IF(B763="","",IF(INDEX($C$2:$C$1201,MATCH(B763,$B$2:$B$1201,0))&lt;&gt;C763,"Nome diferente em outro deck — revisar",""))</f>
        <v/>
      </c>
      <c r="J763" s="16" t="str">
        <f aca="false">IF(AND(B763&lt;&gt;"",A763=BULK!$A$1,N(F763)&gt;0),MAX(J$1:J762)+1,"")</f>
        <v/>
      </c>
      <c r="K763" s="11" t="str">
        <f aca="false">IF(B763="","",IFERROR(LEFT(B763,FIND("-",B763)-1),B763))</f>
        <v/>
      </c>
      <c r="L763" s="11" t="str">
        <f aca="false">IF(K763="","",IF(ISNUMBER(--MID(K763,1,1)),0,IF(ISNUMBER(--MID(K763,2,1)),1,IF(ISNUMBER(--MID(K763,3,1)),2,IF(ISNUMBER(--MID(K763,4,1)),3,MIN(LEN(K763),4))))))</f>
        <v/>
      </c>
      <c r="M763" s="11" t="str">
        <f aca="false">IF(B763="","",LEFT(K763,L763)&amp;REPT("0",4-L763)&amp;RIGHT("000"&amp;IFERROR(VALUE(MID(K763,L763+1,9)),0),3)&amp;RIGHT("0000"&amp;IFERROR(VALUE(MID(B763,FIND("-",B763)+1,9)),0),4))</f>
        <v/>
      </c>
      <c r="N763" s="11" t="str">
        <f aca="false">IF(OR(B763="",N(F763)&lt;=0),"",IF('FALTAS POR DECK'!$P$1="Código","K"&amp;M763&amp;RIGHT("00000"&amp;ROW(),5),IF('FALTAS POR DECK'!$P$1="Nome","K"&amp;UPPER(SUBSTITUTE(SUBSTITUTE(SUBSTITUTE(C763,"*",""),"?",""),"~",""))&amp;"0"&amp;M763&amp;RIGHT("00000"&amp;ROW(),5),IF('FALTAS POR DECK'!$P$1="Falta (maior primeiro)","K"&amp;RIGHT("0000"&amp;(9999-F763),4)&amp;M763&amp;RIGHT("00000"&amp;ROW(),5),IF('FALTAS POR DECK'!$P$1="Deck e código","K"&amp;RIGHT("00"&amp;IFERROR(MATCH(A763,_LEITURA!$P$2:$P$21,0),99),2)&amp;M763&amp;RIGHT("00000"&amp;ROW(),5),"K"&amp;RIGHT("00000"&amp;ROW(),5))))))</f>
        <v/>
      </c>
      <c r="O763" s="16" t="str">
        <f aca="false">IF(N763="","",COUNTIFS($N$2:$N$1201,"&lt;"&amp;N763,$F$2:$F$1201,"&gt;0")+1)</f>
        <v/>
      </c>
    </row>
    <row r="764" customFormat="false" ht="15" hidden="false" customHeight="false" outlineLevel="0" collapsed="false">
      <c r="A764" s="11" t="str">
        <f aca="false">IF(_LEITURA!$N764="","",INDEX(_LEITURA!$K$2:$K$1201,_LEITURA!$N764))</f>
        <v/>
      </c>
      <c r="B764" s="11" t="str">
        <f aca="false">IF(_LEITURA!$N764="","",INDEX(_LEITURA!$E$2:$E$1201,_LEITURA!$N764))</f>
        <v/>
      </c>
      <c r="C764" s="11" t="str">
        <f aca="false">IF(_LEITURA!$N764="","",INDEX(_LEITURA!$J$2:$J$1201,_LEITURA!$N764))</f>
        <v/>
      </c>
      <c r="D764" s="16" t="str">
        <f aca="false">IF(_LEITURA!$N764="","",INDEX(_LEITURA!$G$2:$G$1201,_LEITURA!$N764))</f>
        <v/>
      </c>
      <c r="E764" s="16" t="str">
        <f aca="false">IF(B764="","",SUMIFS(INVENTÁRIO!$C$2:$C$801,INVENTÁRIO!$A$2:$A$801,B764))</f>
        <v/>
      </c>
      <c r="F764" s="16" t="str">
        <f aca="false">IF(B764="","",MAX(0,D764-E764))</f>
        <v/>
      </c>
      <c r="G764" s="16" t="str">
        <f aca="false">IF(B764="","",IF(COUNTIFS($B$2:$B$1201,B764,$A$2:$A$1201,"&lt;&gt;"&amp;A764)&gt;0,"Sim",""))</f>
        <v/>
      </c>
      <c r="H764" s="16" t="str">
        <f aca="false">IF(N(F764)&gt;0,MAX(H$1:H763)+1,"")</f>
        <v/>
      </c>
      <c r="I764" s="11" t="str">
        <f aca="false">IF(B764="","",IF(INDEX($C$2:$C$1201,MATCH(B764,$B$2:$B$1201,0))&lt;&gt;C764,"Nome diferente em outro deck — revisar",""))</f>
        <v/>
      </c>
      <c r="J764" s="16" t="str">
        <f aca="false">IF(AND(B764&lt;&gt;"",A764=BULK!$A$1,N(F764)&gt;0),MAX(J$1:J763)+1,"")</f>
        <v/>
      </c>
      <c r="K764" s="11" t="str">
        <f aca="false">IF(B764="","",IFERROR(LEFT(B764,FIND("-",B764)-1),B764))</f>
        <v/>
      </c>
      <c r="L764" s="11" t="str">
        <f aca="false">IF(K764="","",IF(ISNUMBER(--MID(K764,1,1)),0,IF(ISNUMBER(--MID(K764,2,1)),1,IF(ISNUMBER(--MID(K764,3,1)),2,IF(ISNUMBER(--MID(K764,4,1)),3,MIN(LEN(K764),4))))))</f>
        <v/>
      </c>
      <c r="M764" s="11" t="str">
        <f aca="false">IF(B764="","",LEFT(K764,L764)&amp;REPT("0",4-L764)&amp;RIGHT("000"&amp;IFERROR(VALUE(MID(K764,L764+1,9)),0),3)&amp;RIGHT("0000"&amp;IFERROR(VALUE(MID(B764,FIND("-",B764)+1,9)),0),4))</f>
        <v/>
      </c>
      <c r="N764" s="11" t="str">
        <f aca="false">IF(OR(B764="",N(F764)&lt;=0),"",IF('FALTAS POR DECK'!$P$1="Código","K"&amp;M764&amp;RIGHT("00000"&amp;ROW(),5),IF('FALTAS POR DECK'!$P$1="Nome","K"&amp;UPPER(SUBSTITUTE(SUBSTITUTE(SUBSTITUTE(C764,"*",""),"?",""),"~",""))&amp;"0"&amp;M764&amp;RIGHT("00000"&amp;ROW(),5),IF('FALTAS POR DECK'!$P$1="Falta (maior primeiro)","K"&amp;RIGHT("0000"&amp;(9999-F764),4)&amp;M764&amp;RIGHT("00000"&amp;ROW(),5),IF('FALTAS POR DECK'!$P$1="Deck e código","K"&amp;RIGHT("00"&amp;IFERROR(MATCH(A764,_LEITURA!$P$2:$P$21,0),99),2)&amp;M764&amp;RIGHT("00000"&amp;ROW(),5),"K"&amp;RIGHT("00000"&amp;ROW(),5))))))</f>
        <v/>
      </c>
      <c r="O764" s="16" t="str">
        <f aca="false">IF(N764="","",COUNTIFS($N$2:$N$1201,"&lt;"&amp;N764,$F$2:$F$1201,"&gt;0")+1)</f>
        <v/>
      </c>
    </row>
    <row r="765" customFormat="false" ht="15" hidden="false" customHeight="false" outlineLevel="0" collapsed="false">
      <c r="A765" s="11" t="str">
        <f aca="false">IF(_LEITURA!$N765="","",INDEX(_LEITURA!$K$2:$K$1201,_LEITURA!$N765))</f>
        <v/>
      </c>
      <c r="B765" s="11" t="str">
        <f aca="false">IF(_LEITURA!$N765="","",INDEX(_LEITURA!$E$2:$E$1201,_LEITURA!$N765))</f>
        <v/>
      </c>
      <c r="C765" s="11" t="str">
        <f aca="false">IF(_LEITURA!$N765="","",INDEX(_LEITURA!$J$2:$J$1201,_LEITURA!$N765))</f>
        <v/>
      </c>
      <c r="D765" s="16" t="str">
        <f aca="false">IF(_LEITURA!$N765="","",INDEX(_LEITURA!$G$2:$G$1201,_LEITURA!$N765))</f>
        <v/>
      </c>
      <c r="E765" s="16" t="str">
        <f aca="false">IF(B765="","",SUMIFS(INVENTÁRIO!$C$2:$C$801,INVENTÁRIO!$A$2:$A$801,B765))</f>
        <v/>
      </c>
      <c r="F765" s="16" t="str">
        <f aca="false">IF(B765="","",MAX(0,D765-E765))</f>
        <v/>
      </c>
      <c r="G765" s="16" t="str">
        <f aca="false">IF(B765="","",IF(COUNTIFS($B$2:$B$1201,B765,$A$2:$A$1201,"&lt;&gt;"&amp;A765)&gt;0,"Sim",""))</f>
        <v/>
      </c>
      <c r="H765" s="16" t="str">
        <f aca="false">IF(N(F765)&gt;0,MAX(H$1:H764)+1,"")</f>
        <v/>
      </c>
      <c r="I765" s="11" t="str">
        <f aca="false">IF(B765="","",IF(INDEX($C$2:$C$1201,MATCH(B765,$B$2:$B$1201,0))&lt;&gt;C765,"Nome diferente em outro deck — revisar",""))</f>
        <v/>
      </c>
      <c r="J765" s="16" t="str">
        <f aca="false">IF(AND(B765&lt;&gt;"",A765=BULK!$A$1,N(F765)&gt;0),MAX(J$1:J764)+1,"")</f>
        <v/>
      </c>
      <c r="K765" s="11" t="str">
        <f aca="false">IF(B765="","",IFERROR(LEFT(B765,FIND("-",B765)-1),B765))</f>
        <v/>
      </c>
      <c r="L765" s="11" t="str">
        <f aca="false">IF(K765="","",IF(ISNUMBER(--MID(K765,1,1)),0,IF(ISNUMBER(--MID(K765,2,1)),1,IF(ISNUMBER(--MID(K765,3,1)),2,IF(ISNUMBER(--MID(K765,4,1)),3,MIN(LEN(K765),4))))))</f>
        <v/>
      </c>
      <c r="M765" s="11" t="str">
        <f aca="false">IF(B765="","",LEFT(K765,L765)&amp;REPT("0",4-L765)&amp;RIGHT("000"&amp;IFERROR(VALUE(MID(K765,L765+1,9)),0),3)&amp;RIGHT("0000"&amp;IFERROR(VALUE(MID(B765,FIND("-",B765)+1,9)),0),4))</f>
        <v/>
      </c>
      <c r="N765" s="11" t="str">
        <f aca="false">IF(OR(B765="",N(F765)&lt;=0),"",IF('FALTAS POR DECK'!$P$1="Código","K"&amp;M765&amp;RIGHT("00000"&amp;ROW(),5),IF('FALTAS POR DECK'!$P$1="Nome","K"&amp;UPPER(SUBSTITUTE(SUBSTITUTE(SUBSTITUTE(C765,"*",""),"?",""),"~",""))&amp;"0"&amp;M765&amp;RIGHT("00000"&amp;ROW(),5),IF('FALTAS POR DECK'!$P$1="Falta (maior primeiro)","K"&amp;RIGHT("0000"&amp;(9999-F765),4)&amp;M765&amp;RIGHT("00000"&amp;ROW(),5),IF('FALTAS POR DECK'!$P$1="Deck e código","K"&amp;RIGHT("00"&amp;IFERROR(MATCH(A765,_LEITURA!$P$2:$P$21,0),99),2)&amp;M765&amp;RIGHT("00000"&amp;ROW(),5),"K"&amp;RIGHT("00000"&amp;ROW(),5))))))</f>
        <v/>
      </c>
      <c r="O765" s="16" t="str">
        <f aca="false">IF(N765="","",COUNTIFS($N$2:$N$1201,"&lt;"&amp;N765,$F$2:$F$1201,"&gt;0")+1)</f>
        <v/>
      </c>
    </row>
    <row r="766" customFormat="false" ht="15" hidden="false" customHeight="false" outlineLevel="0" collapsed="false">
      <c r="A766" s="11" t="str">
        <f aca="false">IF(_LEITURA!$N766="","",INDEX(_LEITURA!$K$2:$K$1201,_LEITURA!$N766))</f>
        <v/>
      </c>
      <c r="B766" s="11" t="str">
        <f aca="false">IF(_LEITURA!$N766="","",INDEX(_LEITURA!$E$2:$E$1201,_LEITURA!$N766))</f>
        <v/>
      </c>
      <c r="C766" s="11" t="str">
        <f aca="false">IF(_LEITURA!$N766="","",INDEX(_LEITURA!$J$2:$J$1201,_LEITURA!$N766))</f>
        <v/>
      </c>
      <c r="D766" s="16" t="str">
        <f aca="false">IF(_LEITURA!$N766="","",INDEX(_LEITURA!$G$2:$G$1201,_LEITURA!$N766))</f>
        <v/>
      </c>
      <c r="E766" s="16" t="str">
        <f aca="false">IF(B766="","",SUMIFS(INVENTÁRIO!$C$2:$C$801,INVENTÁRIO!$A$2:$A$801,B766))</f>
        <v/>
      </c>
      <c r="F766" s="16" t="str">
        <f aca="false">IF(B766="","",MAX(0,D766-E766))</f>
        <v/>
      </c>
      <c r="G766" s="16" t="str">
        <f aca="false">IF(B766="","",IF(COUNTIFS($B$2:$B$1201,B766,$A$2:$A$1201,"&lt;&gt;"&amp;A766)&gt;0,"Sim",""))</f>
        <v/>
      </c>
      <c r="H766" s="16" t="str">
        <f aca="false">IF(N(F766)&gt;0,MAX(H$1:H765)+1,"")</f>
        <v/>
      </c>
      <c r="I766" s="11" t="str">
        <f aca="false">IF(B766="","",IF(INDEX($C$2:$C$1201,MATCH(B766,$B$2:$B$1201,0))&lt;&gt;C766,"Nome diferente em outro deck — revisar",""))</f>
        <v/>
      </c>
      <c r="J766" s="16" t="str">
        <f aca="false">IF(AND(B766&lt;&gt;"",A766=BULK!$A$1,N(F766)&gt;0),MAX(J$1:J765)+1,"")</f>
        <v/>
      </c>
      <c r="K766" s="11" t="str">
        <f aca="false">IF(B766="","",IFERROR(LEFT(B766,FIND("-",B766)-1),B766))</f>
        <v/>
      </c>
      <c r="L766" s="11" t="str">
        <f aca="false">IF(K766="","",IF(ISNUMBER(--MID(K766,1,1)),0,IF(ISNUMBER(--MID(K766,2,1)),1,IF(ISNUMBER(--MID(K766,3,1)),2,IF(ISNUMBER(--MID(K766,4,1)),3,MIN(LEN(K766),4))))))</f>
        <v/>
      </c>
      <c r="M766" s="11" t="str">
        <f aca="false">IF(B766="","",LEFT(K766,L766)&amp;REPT("0",4-L766)&amp;RIGHT("000"&amp;IFERROR(VALUE(MID(K766,L766+1,9)),0),3)&amp;RIGHT("0000"&amp;IFERROR(VALUE(MID(B766,FIND("-",B766)+1,9)),0),4))</f>
        <v/>
      </c>
      <c r="N766" s="11" t="str">
        <f aca="false">IF(OR(B766="",N(F766)&lt;=0),"",IF('FALTAS POR DECK'!$P$1="Código","K"&amp;M766&amp;RIGHT("00000"&amp;ROW(),5),IF('FALTAS POR DECK'!$P$1="Nome","K"&amp;UPPER(SUBSTITUTE(SUBSTITUTE(SUBSTITUTE(C766,"*",""),"?",""),"~",""))&amp;"0"&amp;M766&amp;RIGHT("00000"&amp;ROW(),5),IF('FALTAS POR DECK'!$P$1="Falta (maior primeiro)","K"&amp;RIGHT("0000"&amp;(9999-F766),4)&amp;M766&amp;RIGHT("00000"&amp;ROW(),5),IF('FALTAS POR DECK'!$P$1="Deck e código","K"&amp;RIGHT("00"&amp;IFERROR(MATCH(A766,_LEITURA!$P$2:$P$21,0),99),2)&amp;M766&amp;RIGHT("00000"&amp;ROW(),5),"K"&amp;RIGHT("00000"&amp;ROW(),5))))))</f>
        <v/>
      </c>
      <c r="O766" s="16" t="str">
        <f aca="false">IF(N766="","",COUNTIFS($N$2:$N$1201,"&lt;"&amp;N766,$F$2:$F$1201,"&gt;0")+1)</f>
        <v/>
      </c>
    </row>
    <row r="767" customFormat="false" ht="15" hidden="false" customHeight="false" outlineLevel="0" collapsed="false">
      <c r="A767" s="11" t="str">
        <f aca="false">IF(_LEITURA!$N767="","",INDEX(_LEITURA!$K$2:$K$1201,_LEITURA!$N767))</f>
        <v/>
      </c>
      <c r="B767" s="11" t="str">
        <f aca="false">IF(_LEITURA!$N767="","",INDEX(_LEITURA!$E$2:$E$1201,_LEITURA!$N767))</f>
        <v/>
      </c>
      <c r="C767" s="11" t="str">
        <f aca="false">IF(_LEITURA!$N767="","",INDEX(_LEITURA!$J$2:$J$1201,_LEITURA!$N767))</f>
        <v/>
      </c>
      <c r="D767" s="16" t="str">
        <f aca="false">IF(_LEITURA!$N767="","",INDEX(_LEITURA!$G$2:$G$1201,_LEITURA!$N767))</f>
        <v/>
      </c>
      <c r="E767" s="16" t="str">
        <f aca="false">IF(B767="","",SUMIFS(INVENTÁRIO!$C$2:$C$801,INVENTÁRIO!$A$2:$A$801,B767))</f>
        <v/>
      </c>
      <c r="F767" s="16" t="str">
        <f aca="false">IF(B767="","",MAX(0,D767-E767))</f>
        <v/>
      </c>
      <c r="G767" s="16" t="str">
        <f aca="false">IF(B767="","",IF(COUNTIFS($B$2:$B$1201,B767,$A$2:$A$1201,"&lt;&gt;"&amp;A767)&gt;0,"Sim",""))</f>
        <v/>
      </c>
      <c r="H767" s="16" t="str">
        <f aca="false">IF(N(F767)&gt;0,MAX(H$1:H766)+1,"")</f>
        <v/>
      </c>
      <c r="I767" s="11" t="str">
        <f aca="false">IF(B767="","",IF(INDEX($C$2:$C$1201,MATCH(B767,$B$2:$B$1201,0))&lt;&gt;C767,"Nome diferente em outro deck — revisar",""))</f>
        <v/>
      </c>
      <c r="J767" s="16" t="str">
        <f aca="false">IF(AND(B767&lt;&gt;"",A767=BULK!$A$1,N(F767)&gt;0),MAX(J$1:J766)+1,"")</f>
        <v/>
      </c>
      <c r="K767" s="11" t="str">
        <f aca="false">IF(B767="","",IFERROR(LEFT(B767,FIND("-",B767)-1),B767))</f>
        <v/>
      </c>
      <c r="L767" s="11" t="str">
        <f aca="false">IF(K767="","",IF(ISNUMBER(--MID(K767,1,1)),0,IF(ISNUMBER(--MID(K767,2,1)),1,IF(ISNUMBER(--MID(K767,3,1)),2,IF(ISNUMBER(--MID(K767,4,1)),3,MIN(LEN(K767),4))))))</f>
        <v/>
      </c>
      <c r="M767" s="11" t="str">
        <f aca="false">IF(B767="","",LEFT(K767,L767)&amp;REPT("0",4-L767)&amp;RIGHT("000"&amp;IFERROR(VALUE(MID(K767,L767+1,9)),0),3)&amp;RIGHT("0000"&amp;IFERROR(VALUE(MID(B767,FIND("-",B767)+1,9)),0),4))</f>
        <v/>
      </c>
      <c r="N767" s="11" t="str">
        <f aca="false">IF(OR(B767="",N(F767)&lt;=0),"",IF('FALTAS POR DECK'!$P$1="Código","K"&amp;M767&amp;RIGHT("00000"&amp;ROW(),5),IF('FALTAS POR DECK'!$P$1="Nome","K"&amp;UPPER(SUBSTITUTE(SUBSTITUTE(SUBSTITUTE(C767,"*",""),"?",""),"~",""))&amp;"0"&amp;M767&amp;RIGHT("00000"&amp;ROW(),5),IF('FALTAS POR DECK'!$P$1="Falta (maior primeiro)","K"&amp;RIGHT("0000"&amp;(9999-F767),4)&amp;M767&amp;RIGHT("00000"&amp;ROW(),5),IF('FALTAS POR DECK'!$P$1="Deck e código","K"&amp;RIGHT("00"&amp;IFERROR(MATCH(A767,_LEITURA!$P$2:$P$21,0),99),2)&amp;M767&amp;RIGHT("00000"&amp;ROW(),5),"K"&amp;RIGHT("00000"&amp;ROW(),5))))))</f>
        <v/>
      </c>
      <c r="O767" s="16" t="str">
        <f aca="false">IF(N767="","",COUNTIFS($N$2:$N$1201,"&lt;"&amp;N767,$F$2:$F$1201,"&gt;0")+1)</f>
        <v/>
      </c>
    </row>
    <row r="768" customFormat="false" ht="15" hidden="false" customHeight="false" outlineLevel="0" collapsed="false">
      <c r="A768" s="11" t="str">
        <f aca="false">IF(_LEITURA!$N768="","",INDEX(_LEITURA!$K$2:$K$1201,_LEITURA!$N768))</f>
        <v/>
      </c>
      <c r="B768" s="11" t="str">
        <f aca="false">IF(_LEITURA!$N768="","",INDEX(_LEITURA!$E$2:$E$1201,_LEITURA!$N768))</f>
        <v/>
      </c>
      <c r="C768" s="11" t="str">
        <f aca="false">IF(_LEITURA!$N768="","",INDEX(_LEITURA!$J$2:$J$1201,_LEITURA!$N768))</f>
        <v/>
      </c>
      <c r="D768" s="16" t="str">
        <f aca="false">IF(_LEITURA!$N768="","",INDEX(_LEITURA!$G$2:$G$1201,_LEITURA!$N768))</f>
        <v/>
      </c>
      <c r="E768" s="16" t="str">
        <f aca="false">IF(B768="","",SUMIFS(INVENTÁRIO!$C$2:$C$801,INVENTÁRIO!$A$2:$A$801,B768))</f>
        <v/>
      </c>
      <c r="F768" s="16" t="str">
        <f aca="false">IF(B768="","",MAX(0,D768-E768))</f>
        <v/>
      </c>
      <c r="G768" s="16" t="str">
        <f aca="false">IF(B768="","",IF(COUNTIFS($B$2:$B$1201,B768,$A$2:$A$1201,"&lt;&gt;"&amp;A768)&gt;0,"Sim",""))</f>
        <v/>
      </c>
      <c r="H768" s="16" t="str">
        <f aca="false">IF(N(F768)&gt;0,MAX(H$1:H767)+1,"")</f>
        <v/>
      </c>
      <c r="I768" s="11" t="str">
        <f aca="false">IF(B768="","",IF(INDEX($C$2:$C$1201,MATCH(B768,$B$2:$B$1201,0))&lt;&gt;C768,"Nome diferente em outro deck — revisar",""))</f>
        <v/>
      </c>
      <c r="J768" s="16" t="str">
        <f aca="false">IF(AND(B768&lt;&gt;"",A768=BULK!$A$1,N(F768)&gt;0),MAX(J$1:J767)+1,"")</f>
        <v/>
      </c>
      <c r="K768" s="11" t="str">
        <f aca="false">IF(B768="","",IFERROR(LEFT(B768,FIND("-",B768)-1),B768))</f>
        <v/>
      </c>
      <c r="L768" s="11" t="str">
        <f aca="false">IF(K768="","",IF(ISNUMBER(--MID(K768,1,1)),0,IF(ISNUMBER(--MID(K768,2,1)),1,IF(ISNUMBER(--MID(K768,3,1)),2,IF(ISNUMBER(--MID(K768,4,1)),3,MIN(LEN(K768),4))))))</f>
        <v/>
      </c>
      <c r="M768" s="11" t="str">
        <f aca="false">IF(B768="","",LEFT(K768,L768)&amp;REPT("0",4-L768)&amp;RIGHT("000"&amp;IFERROR(VALUE(MID(K768,L768+1,9)),0),3)&amp;RIGHT("0000"&amp;IFERROR(VALUE(MID(B768,FIND("-",B768)+1,9)),0),4))</f>
        <v/>
      </c>
      <c r="N768" s="11" t="str">
        <f aca="false">IF(OR(B768="",N(F768)&lt;=0),"",IF('FALTAS POR DECK'!$P$1="Código","K"&amp;M768&amp;RIGHT("00000"&amp;ROW(),5),IF('FALTAS POR DECK'!$P$1="Nome","K"&amp;UPPER(SUBSTITUTE(SUBSTITUTE(SUBSTITUTE(C768,"*",""),"?",""),"~",""))&amp;"0"&amp;M768&amp;RIGHT("00000"&amp;ROW(),5),IF('FALTAS POR DECK'!$P$1="Falta (maior primeiro)","K"&amp;RIGHT("0000"&amp;(9999-F768),4)&amp;M768&amp;RIGHT("00000"&amp;ROW(),5),IF('FALTAS POR DECK'!$P$1="Deck e código","K"&amp;RIGHT("00"&amp;IFERROR(MATCH(A768,_LEITURA!$P$2:$P$21,0),99),2)&amp;M768&amp;RIGHT("00000"&amp;ROW(),5),"K"&amp;RIGHT("00000"&amp;ROW(),5))))))</f>
        <v/>
      </c>
      <c r="O768" s="16" t="str">
        <f aca="false">IF(N768="","",COUNTIFS($N$2:$N$1201,"&lt;"&amp;N768,$F$2:$F$1201,"&gt;0")+1)</f>
        <v/>
      </c>
    </row>
    <row r="769" customFormat="false" ht="15" hidden="false" customHeight="false" outlineLevel="0" collapsed="false">
      <c r="A769" s="11" t="str">
        <f aca="false">IF(_LEITURA!$N769="","",INDEX(_LEITURA!$K$2:$K$1201,_LEITURA!$N769))</f>
        <v/>
      </c>
      <c r="B769" s="11" t="str">
        <f aca="false">IF(_LEITURA!$N769="","",INDEX(_LEITURA!$E$2:$E$1201,_LEITURA!$N769))</f>
        <v/>
      </c>
      <c r="C769" s="11" t="str">
        <f aca="false">IF(_LEITURA!$N769="","",INDEX(_LEITURA!$J$2:$J$1201,_LEITURA!$N769))</f>
        <v/>
      </c>
      <c r="D769" s="16" t="str">
        <f aca="false">IF(_LEITURA!$N769="","",INDEX(_LEITURA!$G$2:$G$1201,_LEITURA!$N769))</f>
        <v/>
      </c>
      <c r="E769" s="16" t="str">
        <f aca="false">IF(B769="","",SUMIFS(INVENTÁRIO!$C$2:$C$801,INVENTÁRIO!$A$2:$A$801,B769))</f>
        <v/>
      </c>
      <c r="F769" s="16" t="str">
        <f aca="false">IF(B769="","",MAX(0,D769-E769))</f>
        <v/>
      </c>
      <c r="G769" s="16" t="str">
        <f aca="false">IF(B769="","",IF(COUNTIFS($B$2:$B$1201,B769,$A$2:$A$1201,"&lt;&gt;"&amp;A769)&gt;0,"Sim",""))</f>
        <v/>
      </c>
      <c r="H769" s="16" t="str">
        <f aca="false">IF(N(F769)&gt;0,MAX(H$1:H768)+1,"")</f>
        <v/>
      </c>
      <c r="I769" s="11" t="str">
        <f aca="false">IF(B769="","",IF(INDEX($C$2:$C$1201,MATCH(B769,$B$2:$B$1201,0))&lt;&gt;C769,"Nome diferente em outro deck — revisar",""))</f>
        <v/>
      </c>
      <c r="J769" s="16" t="str">
        <f aca="false">IF(AND(B769&lt;&gt;"",A769=BULK!$A$1,N(F769)&gt;0),MAX(J$1:J768)+1,"")</f>
        <v/>
      </c>
      <c r="K769" s="11" t="str">
        <f aca="false">IF(B769="","",IFERROR(LEFT(B769,FIND("-",B769)-1),B769))</f>
        <v/>
      </c>
      <c r="L769" s="11" t="str">
        <f aca="false">IF(K769="","",IF(ISNUMBER(--MID(K769,1,1)),0,IF(ISNUMBER(--MID(K769,2,1)),1,IF(ISNUMBER(--MID(K769,3,1)),2,IF(ISNUMBER(--MID(K769,4,1)),3,MIN(LEN(K769),4))))))</f>
        <v/>
      </c>
      <c r="M769" s="11" t="str">
        <f aca="false">IF(B769="","",LEFT(K769,L769)&amp;REPT("0",4-L769)&amp;RIGHT("000"&amp;IFERROR(VALUE(MID(K769,L769+1,9)),0),3)&amp;RIGHT("0000"&amp;IFERROR(VALUE(MID(B769,FIND("-",B769)+1,9)),0),4))</f>
        <v/>
      </c>
      <c r="N769" s="11" t="str">
        <f aca="false">IF(OR(B769="",N(F769)&lt;=0),"",IF('FALTAS POR DECK'!$P$1="Código","K"&amp;M769&amp;RIGHT("00000"&amp;ROW(),5),IF('FALTAS POR DECK'!$P$1="Nome","K"&amp;UPPER(SUBSTITUTE(SUBSTITUTE(SUBSTITUTE(C769,"*",""),"?",""),"~",""))&amp;"0"&amp;M769&amp;RIGHT("00000"&amp;ROW(),5),IF('FALTAS POR DECK'!$P$1="Falta (maior primeiro)","K"&amp;RIGHT("0000"&amp;(9999-F769),4)&amp;M769&amp;RIGHT("00000"&amp;ROW(),5),IF('FALTAS POR DECK'!$P$1="Deck e código","K"&amp;RIGHT("00"&amp;IFERROR(MATCH(A769,_LEITURA!$P$2:$P$21,0),99),2)&amp;M769&amp;RIGHT("00000"&amp;ROW(),5),"K"&amp;RIGHT("00000"&amp;ROW(),5))))))</f>
        <v/>
      </c>
      <c r="O769" s="16" t="str">
        <f aca="false">IF(N769="","",COUNTIFS($N$2:$N$1201,"&lt;"&amp;N769,$F$2:$F$1201,"&gt;0")+1)</f>
        <v/>
      </c>
    </row>
    <row r="770" customFormat="false" ht="15" hidden="false" customHeight="false" outlineLevel="0" collapsed="false">
      <c r="A770" s="11" t="str">
        <f aca="false">IF(_LEITURA!$N770="","",INDEX(_LEITURA!$K$2:$K$1201,_LEITURA!$N770))</f>
        <v/>
      </c>
      <c r="B770" s="11" t="str">
        <f aca="false">IF(_LEITURA!$N770="","",INDEX(_LEITURA!$E$2:$E$1201,_LEITURA!$N770))</f>
        <v/>
      </c>
      <c r="C770" s="11" t="str">
        <f aca="false">IF(_LEITURA!$N770="","",INDEX(_LEITURA!$J$2:$J$1201,_LEITURA!$N770))</f>
        <v/>
      </c>
      <c r="D770" s="16" t="str">
        <f aca="false">IF(_LEITURA!$N770="","",INDEX(_LEITURA!$G$2:$G$1201,_LEITURA!$N770))</f>
        <v/>
      </c>
      <c r="E770" s="16" t="str">
        <f aca="false">IF(B770="","",SUMIFS(INVENTÁRIO!$C$2:$C$801,INVENTÁRIO!$A$2:$A$801,B770))</f>
        <v/>
      </c>
      <c r="F770" s="16" t="str">
        <f aca="false">IF(B770="","",MAX(0,D770-E770))</f>
        <v/>
      </c>
      <c r="G770" s="16" t="str">
        <f aca="false">IF(B770="","",IF(COUNTIFS($B$2:$B$1201,B770,$A$2:$A$1201,"&lt;&gt;"&amp;A770)&gt;0,"Sim",""))</f>
        <v/>
      </c>
      <c r="H770" s="16" t="str">
        <f aca="false">IF(N(F770)&gt;0,MAX(H$1:H769)+1,"")</f>
        <v/>
      </c>
      <c r="I770" s="11" t="str">
        <f aca="false">IF(B770="","",IF(INDEX($C$2:$C$1201,MATCH(B770,$B$2:$B$1201,0))&lt;&gt;C770,"Nome diferente em outro deck — revisar",""))</f>
        <v/>
      </c>
      <c r="J770" s="16" t="str">
        <f aca="false">IF(AND(B770&lt;&gt;"",A770=BULK!$A$1,N(F770)&gt;0),MAX(J$1:J769)+1,"")</f>
        <v/>
      </c>
      <c r="K770" s="11" t="str">
        <f aca="false">IF(B770="","",IFERROR(LEFT(B770,FIND("-",B770)-1),B770))</f>
        <v/>
      </c>
      <c r="L770" s="11" t="str">
        <f aca="false">IF(K770="","",IF(ISNUMBER(--MID(K770,1,1)),0,IF(ISNUMBER(--MID(K770,2,1)),1,IF(ISNUMBER(--MID(K770,3,1)),2,IF(ISNUMBER(--MID(K770,4,1)),3,MIN(LEN(K770),4))))))</f>
        <v/>
      </c>
      <c r="M770" s="11" t="str">
        <f aca="false">IF(B770="","",LEFT(K770,L770)&amp;REPT("0",4-L770)&amp;RIGHT("000"&amp;IFERROR(VALUE(MID(K770,L770+1,9)),0),3)&amp;RIGHT("0000"&amp;IFERROR(VALUE(MID(B770,FIND("-",B770)+1,9)),0),4))</f>
        <v/>
      </c>
      <c r="N770" s="11" t="str">
        <f aca="false">IF(OR(B770="",N(F770)&lt;=0),"",IF('FALTAS POR DECK'!$P$1="Código","K"&amp;M770&amp;RIGHT("00000"&amp;ROW(),5),IF('FALTAS POR DECK'!$P$1="Nome","K"&amp;UPPER(SUBSTITUTE(SUBSTITUTE(SUBSTITUTE(C770,"*",""),"?",""),"~",""))&amp;"0"&amp;M770&amp;RIGHT("00000"&amp;ROW(),5),IF('FALTAS POR DECK'!$P$1="Falta (maior primeiro)","K"&amp;RIGHT("0000"&amp;(9999-F770),4)&amp;M770&amp;RIGHT("00000"&amp;ROW(),5),IF('FALTAS POR DECK'!$P$1="Deck e código","K"&amp;RIGHT("00"&amp;IFERROR(MATCH(A770,_LEITURA!$P$2:$P$21,0),99),2)&amp;M770&amp;RIGHT("00000"&amp;ROW(),5),"K"&amp;RIGHT("00000"&amp;ROW(),5))))))</f>
        <v/>
      </c>
      <c r="O770" s="16" t="str">
        <f aca="false">IF(N770="","",COUNTIFS($N$2:$N$1201,"&lt;"&amp;N770,$F$2:$F$1201,"&gt;0")+1)</f>
        <v/>
      </c>
    </row>
    <row r="771" customFormat="false" ht="15" hidden="false" customHeight="false" outlineLevel="0" collapsed="false">
      <c r="A771" s="11" t="str">
        <f aca="false">IF(_LEITURA!$N771="","",INDEX(_LEITURA!$K$2:$K$1201,_LEITURA!$N771))</f>
        <v/>
      </c>
      <c r="B771" s="11" t="str">
        <f aca="false">IF(_LEITURA!$N771="","",INDEX(_LEITURA!$E$2:$E$1201,_LEITURA!$N771))</f>
        <v/>
      </c>
      <c r="C771" s="11" t="str">
        <f aca="false">IF(_LEITURA!$N771="","",INDEX(_LEITURA!$J$2:$J$1201,_LEITURA!$N771))</f>
        <v/>
      </c>
      <c r="D771" s="16" t="str">
        <f aca="false">IF(_LEITURA!$N771="","",INDEX(_LEITURA!$G$2:$G$1201,_LEITURA!$N771))</f>
        <v/>
      </c>
      <c r="E771" s="16" t="str">
        <f aca="false">IF(B771="","",SUMIFS(INVENTÁRIO!$C$2:$C$801,INVENTÁRIO!$A$2:$A$801,B771))</f>
        <v/>
      </c>
      <c r="F771" s="16" t="str">
        <f aca="false">IF(B771="","",MAX(0,D771-E771))</f>
        <v/>
      </c>
      <c r="G771" s="16" t="str">
        <f aca="false">IF(B771="","",IF(COUNTIFS($B$2:$B$1201,B771,$A$2:$A$1201,"&lt;&gt;"&amp;A771)&gt;0,"Sim",""))</f>
        <v/>
      </c>
      <c r="H771" s="16" t="str">
        <f aca="false">IF(N(F771)&gt;0,MAX(H$1:H770)+1,"")</f>
        <v/>
      </c>
      <c r="I771" s="11" t="str">
        <f aca="false">IF(B771="","",IF(INDEX($C$2:$C$1201,MATCH(B771,$B$2:$B$1201,0))&lt;&gt;C771,"Nome diferente em outro deck — revisar",""))</f>
        <v/>
      </c>
      <c r="J771" s="16" t="str">
        <f aca="false">IF(AND(B771&lt;&gt;"",A771=BULK!$A$1,N(F771)&gt;0),MAX(J$1:J770)+1,"")</f>
        <v/>
      </c>
      <c r="K771" s="11" t="str">
        <f aca="false">IF(B771="","",IFERROR(LEFT(B771,FIND("-",B771)-1),B771))</f>
        <v/>
      </c>
      <c r="L771" s="11" t="str">
        <f aca="false">IF(K771="","",IF(ISNUMBER(--MID(K771,1,1)),0,IF(ISNUMBER(--MID(K771,2,1)),1,IF(ISNUMBER(--MID(K771,3,1)),2,IF(ISNUMBER(--MID(K771,4,1)),3,MIN(LEN(K771),4))))))</f>
        <v/>
      </c>
      <c r="M771" s="11" t="str">
        <f aca="false">IF(B771="","",LEFT(K771,L771)&amp;REPT("0",4-L771)&amp;RIGHT("000"&amp;IFERROR(VALUE(MID(K771,L771+1,9)),0),3)&amp;RIGHT("0000"&amp;IFERROR(VALUE(MID(B771,FIND("-",B771)+1,9)),0),4))</f>
        <v/>
      </c>
      <c r="N771" s="11" t="str">
        <f aca="false">IF(OR(B771="",N(F771)&lt;=0),"",IF('FALTAS POR DECK'!$P$1="Código","K"&amp;M771&amp;RIGHT("00000"&amp;ROW(),5),IF('FALTAS POR DECK'!$P$1="Nome","K"&amp;UPPER(SUBSTITUTE(SUBSTITUTE(SUBSTITUTE(C771,"*",""),"?",""),"~",""))&amp;"0"&amp;M771&amp;RIGHT("00000"&amp;ROW(),5),IF('FALTAS POR DECK'!$P$1="Falta (maior primeiro)","K"&amp;RIGHT("0000"&amp;(9999-F771),4)&amp;M771&amp;RIGHT("00000"&amp;ROW(),5),IF('FALTAS POR DECK'!$P$1="Deck e código","K"&amp;RIGHT("00"&amp;IFERROR(MATCH(A771,_LEITURA!$P$2:$P$21,0),99),2)&amp;M771&amp;RIGHT("00000"&amp;ROW(),5),"K"&amp;RIGHT("00000"&amp;ROW(),5))))))</f>
        <v/>
      </c>
      <c r="O771" s="16" t="str">
        <f aca="false">IF(N771="","",COUNTIFS($N$2:$N$1201,"&lt;"&amp;N771,$F$2:$F$1201,"&gt;0")+1)</f>
        <v/>
      </c>
    </row>
    <row r="772" customFormat="false" ht="15" hidden="false" customHeight="false" outlineLevel="0" collapsed="false">
      <c r="A772" s="11" t="str">
        <f aca="false">IF(_LEITURA!$N772="","",INDEX(_LEITURA!$K$2:$K$1201,_LEITURA!$N772))</f>
        <v/>
      </c>
      <c r="B772" s="11" t="str">
        <f aca="false">IF(_LEITURA!$N772="","",INDEX(_LEITURA!$E$2:$E$1201,_LEITURA!$N772))</f>
        <v/>
      </c>
      <c r="C772" s="11" t="str">
        <f aca="false">IF(_LEITURA!$N772="","",INDEX(_LEITURA!$J$2:$J$1201,_LEITURA!$N772))</f>
        <v/>
      </c>
      <c r="D772" s="16" t="str">
        <f aca="false">IF(_LEITURA!$N772="","",INDEX(_LEITURA!$G$2:$G$1201,_LEITURA!$N772))</f>
        <v/>
      </c>
      <c r="E772" s="16" t="str">
        <f aca="false">IF(B772="","",SUMIFS(INVENTÁRIO!$C$2:$C$801,INVENTÁRIO!$A$2:$A$801,B772))</f>
        <v/>
      </c>
      <c r="F772" s="16" t="str">
        <f aca="false">IF(B772="","",MAX(0,D772-E772))</f>
        <v/>
      </c>
      <c r="G772" s="16" t="str">
        <f aca="false">IF(B772="","",IF(COUNTIFS($B$2:$B$1201,B772,$A$2:$A$1201,"&lt;&gt;"&amp;A772)&gt;0,"Sim",""))</f>
        <v/>
      </c>
      <c r="H772" s="16" t="str">
        <f aca="false">IF(N(F772)&gt;0,MAX(H$1:H771)+1,"")</f>
        <v/>
      </c>
      <c r="I772" s="11" t="str">
        <f aca="false">IF(B772="","",IF(INDEX($C$2:$C$1201,MATCH(B772,$B$2:$B$1201,0))&lt;&gt;C772,"Nome diferente em outro deck — revisar",""))</f>
        <v/>
      </c>
      <c r="J772" s="16" t="str">
        <f aca="false">IF(AND(B772&lt;&gt;"",A772=BULK!$A$1,N(F772)&gt;0),MAX(J$1:J771)+1,"")</f>
        <v/>
      </c>
      <c r="K772" s="11" t="str">
        <f aca="false">IF(B772="","",IFERROR(LEFT(B772,FIND("-",B772)-1),B772))</f>
        <v/>
      </c>
      <c r="L772" s="11" t="str">
        <f aca="false">IF(K772="","",IF(ISNUMBER(--MID(K772,1,1)),0,IF(ISNUMBER(--MID(K772,2,1)),1,IF(ISNUMBER(--MID(K772,3,1)),2,IF(ISNUMBER(--MID(K772,4,1)),3,MIN(LEN(K772),4))))))</f>
        <v/>
      </c>
      <c r="M772" s="11" t="str">
        <f aca="false">IF(B772="","",LEFT(K772,L772)&amp;REPT("0",4-L772)&amp;RIGHT("000"&amp;IFERROR(VALUE(MID(K772,L772+1,9)),0),3)&amp;RIGHT("0000"&amp;IFERROR(VALUE(MID(B772,FIND("-",B772)+1,9)),0),4))</f>
        <v/>
      </c>
      <c r="N772" s="11" t="str">
        <f aca="false">IF(OR(B772="",N(F772)&lt;=0),"",IF('FALTAS POR DECK'!$P$1="Código","K"&amp;M772&amp;RIGHT("00000"&amp;ROW(),5),IF('FALTAS POR DECK'!$P$1="Nome","K"&amp;UPPER(SUBSTITUTE(SUBSTITUTE(SUBSTITUTE(C772,"*",""),"?",""),"~",""))&amp;"0"&amp;M772&amp;RIGHT("00000"&amp;ROW(),5),IF('FALTAS POR DECK'!$P$1="Falta (maior primeiro)","K"&amp;RIGHT("0000"&amp;(9999-F772),4)&amp;M772&amp;RIGHT("00000"&amp;ROW(),5),IF('FALTAS POR DECK'!$P$1="Deck e código","K"&amp;RIGHT("00"&amp;IFERROR(MATCH(A772,_LEITURA!$P$2:$P$21,0),99),2)&amp;M772&amp;RIGHT("00000"&amp;ROW(),5),"K"&amp;RIGHT("00000"&amp;ROW(),5))))))</f>
        <v/>
      </c>
      <c r="O772" s="16" t="str">
        <f aca="false">IF(N772="","",COUNTIFS($N$2:$N$1201,"&lt;"&amp;N772,$F$2:$F$1201,"&gt;0")+1)</f>
        <v/>
      </c>
    </row>
    <row r="773" customFormat="false" ht="15" hidden="false" customHeight="false" outlineLevel="0" collapsed="false">
      <c r="A773" s="11" t="str">
        <f aca="false">IF(_LEITURA!$N773="","",INDEX(_LEITURA!$K$2:$K$1201,_LEITURA!$N773))</f>
        <v/>
      </c>
      <c r="B773" s="11" t="str">
        <f aca="false">IF(_LEITURA!$N773="","",INDEX(_LEITURA!$E$2:$E$1201,_LEITURA!$N773))</f>
        <v/>
      </c>
      <c r="C773" s="11" t="str">
        <f aca="false">IF(_LEITURA!$N773="","",INDEX(_LEITURA!$J$2:$J$1201,_LEITURA!$N773))</f>
        <v/>
      </c>
      <c r="D773" s="16" t="str">
        <f aca="false">IF(_LEITURA!$N773="","",INDEX(_LEITURA!$G$2:$G$1201,_LEITURA!$N773))</f>
        <v/>
      </c>
      <c r="E773" s="16" t="str">
        <f aca="false">IF(B773="","",SUMIFS(INVENTÁRIO!$C$2:$C$801,INVENTÁRIO!$A$2:$A$801,B773))</f>
        <v/>
      </c>
      <c r="F773" s="16" t="str">
        <f aca="false">IF(B773="","",MAX(0,D773-E773))</f>
        <v/>
      </c>
      <c r="G773" s="16" t="str">
        <f aca="false">IF(B773="","",IF(COUNTIFS($B$2:$B$1201,B773,$A$2:$A$1201,"&lt;&gt;"&amp;A773)&gt;0,"Sim",""))</f>
        <v/>
      </c>
      <c r="H773" s="16" t="str">
        <f aca="false">IF(N(F773)&gt;0,MAX(H$1:H772)+1,"")</f>
        <v/>
      </c>
      <c r="I773" s="11" t="str">
        <f aca="false">IF(B773="","",IF(INDEX($C$2:$C$1201,MATCH(B773,$B$2:$B$1201,0))&lt;&gt;C773,"Nome diferente em outro deck — revisar",""))</f>
        <v/>
      </c>
      <c r="J773" s="16" t="str">
        <f aca="false">IF(AND(B773&lt;&gt;"",A773=BULK!$A$1,N(F773)&gt;0),MAX(J$1:J772)+1,"")</f>
        <v/>
      </c>
      <c r="K773" s="11" t="str">
        <f aca="false">IF(B773="","",IFERROR(LEFT(B773,FIND("-",B773)-1),B773))</f>
        <v/>
      </c>
      <c r="L773" s="11" t="str">
        <f aca="false">IF(K773="","",IF(ISNUMBER(--MID(K773,1,1)),0,IF(ISNUMBER(--MID(K773,2,1)),1,IF(ISNUMBER(--MID(K773,3,1)),2,IF(ISNUMBER(--MID(K773,4,1)),3,MIN(LEN(K773),4))))))</f>
        <v/>
      </c>
      <c r="M773" s="11" t="str">
        <f aca="false">IF(B773="","",LEFT(K773,L773)&amp;REPT("0",4-L773)&amp;RIGHT("000"&amp;IFERROR(VALUE(MID(K773,L773+1,9)),0),3)&amp;RIGHT("0000"&amp;IFERROR(VALUE(MID(B773,FIND("-",B773)+1,9)),0),4))</f>
        <v/>
      </c>
      <c r="N773" s="11" t="str">
        <f aca="false">IF(OR(B773="",N(F773)&lt;=0),"",IF('FALTAS POR DECK'!$P$1="Código","K"&amp;M773&amp;RIGHT("00000"&amp;ROW(),5),IF('FALTAS POR DECK'!$P$1="Nome","K"&amp;UPPER(SUBSTITUTE(SUBSTITUTE(SUBSTITUTE(C773,"*",""),"?",""),"~",""))&amp;"0"&amp;M773&amp;RIGHT("00000"&amp;ROW(),5),IF('FALTAS POR DECK'!$P$1="Falta (maior primeiro)","K"&amp;RIGHT("0000"&amp;(9999-F773),4)&amp;M773&amp;RIGHT("00000"&amp;ROW(),5),IF('FALTAS POR DECK'!$P$1="Deck e código","K"&amp;RIGHT("00"&amp;IFERROR(MATCH(A773,_LEITURA!$P$2:$P$21,0),99),2)&amp;M773&amp;RIGHT("00000"&amp;ROW(),5),"K"&amp;RIGHT("00000"&amp;ROW(),5))))))</f>
        <v/>
      </c>
      <c r="O773" s="16" t="str">
        <f aca="false">IF(N773="","",COUNTIFS($N$2:$N$1201,"&lt;"&amp;N773,$F$2:$F$1201,"&gt;0")+1)</f>
        <v/>
      </c>
    </row>
    <row r="774" customFormat="false" ht="15" hidden="false" customHeight="false" outlineLevel="0" collapsed="false">
      <c r="A774" s="11" t="str">
        <f aca="false">IF(_LEITURA!$N774="","",INDEX(_LEITURA!$K$2:$K$1201,_LEITURA!$N774))</f>
        <v/>
      </c>
      <c r="B774" s="11" t="str">
        <f aca="false">IF(_LEITURA!$N774="","",INDEX(_LEITURA!$E$2:$E$1201,_LEITURA!$N774))</f>
        <v/>
      </c>
      <c r="C774" s="11" t="str">
        <f aca="false">IF(_LEITURA!$N774="","",INDEX(_LEITURA!$J$2:$J$1201,_LEITURA!$N774))</f>
        <v/>
      </c>
      <c r="D774" s="16" t="str">
        <f aca="false">IF(_LEITURA!$N774="","",INDEX(_LEITURA!$G$2:$G$1201,_LEITURA!$N774))</f>
        <v/>
      </c>
      <c r="E774" s="16" t="str">
        <f aca="false">IF(B774="","",SUMIFS(INVENTÁRIO!$C$2:$C$801,INVENTÁRIO!$A$2:$A$801,B774))</f>
        <v/>
      </c>
      <c r="F774" s="16" t="str">
        <f aca="false">IF(B774="","",MAX(0,D774-E774))</f>
        <v/>
      </c>
      <c r="G774" s="16" t="str">
        <f aca="false">IF(B774="","",IF(COUNTIFS($B$2:$B$1201,B774,$A$2:$A$1201,"&lt;&gt;"&amp;A774)&gt;0,"Sim",""))</f>
        <v/>
      </c>
      <c r="H774" s="16" t="str">
        <f aca="false">IF(N(F774)&gt;0,MAX(H$1:H773)+1,"")</f>
        <v/>
      </c>
      <c r="I774" s="11" t="str">
        <f aca="false">IF(B774="","",IF(INDEX($C$2:$C$1201,MATCH(B774,$B$2:$B$1201,0))&lt;&gt;C774,"Nome diferente em outro deck — revisar",""))</f>
        <v/>
      </c>
      <c r="J774" s="16" t="str">
        <f aca="false">IF(AND(B774&lt;&gt;"",A774=BULK!$A$1,N(F774)&gt;0),MAX(J$1:J773)+1,"")</f>
        <v/>
      </c>
      <c r="K774" s="11" t="str">
        <f aca="false">IF(B774="","",IFERROR(LEFT(B774,FIND("-",B774)-1),B774))</f>
        <v/>
      </c>
      <c r="L774" s="11" t="str">
        <f aca="false">IF(K774="","",IF(ISNUMBER(--MID(K774,1,1)),0,IF(ISNUMBER(--MID(K774,2,1)),1,IF(ISNUMBER(--MID(K774,3,1)),2,IF(ISNUMBER(--MID(K774,4,1)),3,MIN(LEN(K774),4))))))</f>
        <v/>
      </c>
      <c r="M774" s="11" t="str">
        <f aca="false">IF(B774="","",LEFT(K774,L774)&amp;REPT("0",4-L774)&amp;RIGHT("000"&amp;IFERROR(VALUE(MID(K774,L774+1,9)),0),3)&amp;RIGHT("0000"&amp;IFERROR(VALUE(MID(B774,FIND("-",B774)+1,9)),0),4))</f>
        <v/>
      </c>
      <c r="N774" s="11" t="str">
        <f aca="false">IF(OR(B774="",N(F774)&lt;=0),"",IF('FALTAS POR DECK'!$P$1="Código","K"&amp;M774&amp;RIGHT("00000"&amp;ROW(),5),IF('FALTAS POR DECK'!$P$1="Nome","K"&amp;UPPER(SUBSTITUTE(SUBSTITUTE(SUBSTITUTE(C774,"*",""),"?",""),"~",""))&amp;"0"&amp;M774&amp;RIGHT("00000"&amp;ROW(),5),IF('FALTAS POR DECK'!$P$1="Falta (maior primeiro)","K"&amp;RIGHT("0000"&amp;(9999-F774),4)&amp;M774&amp;RIGHT("00000"&amp;ROW(),5),IF('FALTAS POR DECK'!$P$1="Deck e código","K"&amp;RIGHT("00"&amp;IFERROR(MATCH(A774,_LEITURA!$P$2:$P$21,0),99),2)&amp;M774&amp;RIGHT("00000"&amp;ROW(),5),"K"&amp;RIGHT("00000"&amp;ROW(),5))))))</f>
        <v/>
      </c>
      <c r="O774" s="16" t="str">
        <f aca="false">IF(N774="","",COUNTIFS($N$2:$N$1201,"&lt;"&amp;N774,$F$2:$F$1201,"&gt;0")+1)</f>
        <v/>
      </c>
    </row>
    <row r="775" customFormat="false" ht="15" hidden="false" customHeight="false" outlineLevel="0" collapsed="false">
      <c r="A775" s="11" t="str">
        <f aca="false">IF(_LEITURA!$N775="","",INDEX(_LEITURA!$K$2:$K$1201,_LEITURA!$N775))</f>
        <v/>
      </c>
      <c r="B775" s="11" t="str">
        <f aca="false">IF(_LEITURA!$N775="","",INDEX(_LEITURA!$E$2:$E$1201,_LEITURA!$N775))</f>
        <v/>
      </c>
      <c r="C775" s="11" t="str">
        <f aca="false">IF(_LEITURA!$N775="","",INDEX(_LEITURA!$J$2:$J$1201,_LEITURA!$N775))</f>
        <v/>
      </c>
      <c r="D775" s="16" t="str">
        <f aca="false">IF(_LEITURA!$N775="","",INDEX(_LEITURA!$G$2:$G$1201,_LEITURA!$N775))</f>
        <v/>
      </c>
      <c r="E775" s="16" t="str">
        <f aca="false">IF(B775="","",SUMIFS(INVENTÁRIO!$C$2:$C$801,INVENTÁRIO!$A$2:$A$801,B775))</f>
        <v/>
      </c>
      <c r="F775" s="16" t="str">
        <f aca="false">IF(B775="","",MAX(0,D775-E775))</f>
        <v/>
      </c>
      <c r="G775" s="16" t="str">
        <f aca="false">IF(B775="","",IF(COUNTIFS($B$2:$B$1201,B775,$A$2:$A$1201,"&lt;&gt;"&amp;A775)&gt;0,"Sim",""))</f>
        <v/>
      </c>
      <c r="H775" s="16" t="str">
        <f aca="false">IF(N(F775)&gt;0,MAX(H$1:H774)+1,"")</f>
        <v/>
      </c>
      <c r="I775" s="11" t="str">
        <f aca="false">IF(B775="","",IF(INDEX($C$2:$C$1201,MATCH(B775,$B$2:$B$1201,0))&lt;&gt;C775,"Nome diferente em outro deck — revisar",""))</f>
        <v/>
      </c>
      <c r="J775" s="16" t="str">
        <f aca="false">IF(AND(B775&lt;&gt;"",A775=BULK!$A$1,N(F775)&gt;0),MAX(J$1:J774)+1,"")</f>
        <v/>
      </c>
      <c r="K775" s="11" t="str">
        <f aca="false">IF(B775="","",IFERROR(LEFT(B775,FIND("-",B775)-1),B775))</f>
        <v/>
      </c>
      <c r="L775" s="11" t="str">
        <f aca="false">IF(K775="","",IF(ISNUMBER(--MID(K775,1,1)),0,IF(ISNUMBER(--MID(K775,2,1)),1,IF(ISNUMBER(--MID(K775,3,1)),2,IF(ISNUMBER(--MID(K775,4,1)),3,MIN(LEN(K775),4))))))</f>
        <v/>
      </c>
      <c r="M775" s="11" t="str">
        <f aca="false">IF(B775="","",LEFT(K775,L775)&amp;REPT("0",4-L775)&amp;RIGHT("000"&amp;IFERROR(VALUE(MID(K775,L775+1,9)),0),3)&amp;RIGHT("0000"&amp;IFERROR(VALUE(MID(B775,FIND("-",B775)+1,9)),0),4))</f>
        <v/>
      </c>
      <c r="N775" s="11" t="str">
        <f aca="false">IF(OR(B775="",N(F775)&lt;=0),"",IF('FALTAS POR DECK'!$P$1="Código","K"&amp;M775&amp;RIGHT("00000"&amp;ROW(),5),IF('FALTAS POR DECK'!$P$1="Nome","K"&amp;UPPER(SUBSTITUTE(SUBSTITUTE(SUBSTITUTE(C775,"*",""),"?",""),"~",""))&amp;"0"&amp;M775&amp;RIGHT("00000"&amp;ROW(),5),IF('FALTAS POR DECK'!$P$1="Falta (maior primeiro)","K"&amp;RIGHT("0000"&amp;(9999-F775),4)&amp;M775&amp;RIGHT("00000"&amp;ROW(),5),IF('FALTAS POR DECK'!$P$1="Deck e código","K"&amp;RIGHT("00"&amp;IFERROR(MATCH(A775,_LEITURA!$P$2:$P$21,0),99),2)&amp;M775&amp;RIGHT("00000"&amp;ROW(),5),"K"&amp;RIGHT("00000"&amp;ROW(),5))))))</f>
        <v/>
      </c>
      <c r="O775" s="16" t="str">
        <f aca="false">IF(N775="","",COUNTIFS($N$2:$N$1201,"&lt;"&amp;N775,$F$2:$F$1201,"&gt;0")+1)</f>
        <v/>
      </c>
    </row>
    <row r="776" customFormat="false" ht="15" hidden="false" customHeight="false" outlineLevel="0" collapsed="false">
      <c r="A776" s="11" t="str">
        <f aca="false">IF(_LEITURA!$N776="","",INDEX(_LEITURA!$K$2:$K$1201,_LEITURA!$N776))</f>
        <v/>
      </c>
      <c r="B776" s="11" t="str">
        <f aca="false">IF(_LEITURA!$N776="","",INDEX(_LEITURA!$E$2:$E$1201,_LEITURA!$N776))</f>
        <v/>
      </c>
      <c r="C776" s="11" t="str">
        <f aca="false">IF(_LEITURA!$N776="","",INDEX(_LEITURA!$J$2:$J$1201,_LEITURA!$N776))</f>
        <v/>
      </c>
      <c r="D776" s="16" t="str">
        <f aca="false">IF(_LEITURA!$N776="","",INDEX(_LEITURA!$G$2:$G$1201,_LEITURA!$N776))</f>
        <v/>
      </c>
      <c r="E776" s="16" t="str">
        <f aca="false">IF(B776="","",SUMIFS(INVENTÁRIO!$C$2:$C$801,INVENTÁRIO!$A$2:$A$801,B776))</f>
        <v/>
      </c>
      <c r="F776" s="16" t="str">
        <f aca="false">IF(B776="","",MAX(0,D776-E776))</f>
        <v/>
      </c>
      <c r="G776" s="16" t="str">
        <f aca="false">IF(B776="","",IF(COUNTIFS($B$2:$B$1201,B776,$A$2:$A$1201,"&lt;&gt;"&amp;A776)&gt;0,"Sim",""))</f>
        <v/>
      </c>
      <c r="H776" s="16" t="str">
        <f aca="false">IF(N(F776)&gt;0,MAX(H$1:H775)+1,"")</f>
        <v/>
      </c>
      <c r="I776" s="11" t="str">
        <f aca="false">IF(B776="","",IF(INDEX($C$2:$C$1201,MATCH(B776,$B$2:$B$1201,0))&lt;&gt;C776,"Nome diferente em outro deck — revisar",""))</f>
        <v/>
      </c>
      <c r="J776" s="16" t="str">
        <f aca="false">IF(AND(B776&lt;&gt;"",A776=BULK!$A$1,N(F776)&gt;0),MAX(J$1:J775)+1,"")</f>
        <v/>
      </c>
      <c r="K776" s="11" t="str">
        <f aca="false">IF(B776="","",IFERROR(LEFT(B776,FIND("-",B776)-1),B776))</f>
        <v/>
      </c>
      <c r="L776" s="11" t="str">
        <f aca="false">IF(K776="","",IF(ISNUMBER(--MID(K776,1,1)),0,IF(ISNUMBER(--MID(K776,2,1)),1,IF(ISNUMBER(--MID(K776,3,1)),2,IF(ISNUMBER(--MID(K776,4,1)),3,MIN(LEN(K776),4))))))</f>
        <v/>
      </c>
      <c r="M776" s="11" t="str">
        <f aca="false">IF(B776="","",LEFT(K776,L776)&amp;REPT("0",4-L776)&amp;RIGHT("000"&amp;IFERROR(VALUE(MID(K776,L776+1,9)),0),3)&amp;RIGHT("0000"&amp;IFERROR(VALUE(MID(B776,FIND("-",B776)+1,9)),0),4))</f>
        <v/>
      </c>
      <c r="N776" s="11" t="str">
        <f aca="false">IF(OR(B776="",N(F776)&lt;=0),"",IF('FALTAS POR DECK'!$P$1="Código","K"&amp;M776&amp;RIGHT("00000"&amp;ROW(),5),IF('FALTAS POR DECK'!$P$1="Nome","K"&amp;UPPER(SUBSTITUTE(SUBSTITUTE(SUBSTITUTE(C776,"*",""),"?",""),"~",""))&amp;"0"&amp;M776&amp;RIGHT("00000"&amp;ROW(),5),IF('FALTAS POR DECK'!$P$1="Falta (maior primeiro)","K"&amp;RIGHT("0000"&amp;(9999-F776),4)&amp;M776&amp;RIGHT("00000"&amp;ROW(),5),IF('FALTAS POR DECK'!$P$1="Deck e código","K"&amp;RIGHT("00"&amp;IFERROR(MATCH(A776,_LEITURA!$P$2:$P$21,0),99),2)&amp;M776&amp;RIGHT("00000"&amp;ROW(),5),"K"&amp;RIGHT("00000"&amp;ROW(),5))))))</f>
        <v/>
      </c>
      <c r="O776" s="16" t="str">
        <f aca="false">IF(N776="","",COUNTIFS($N$2:$N$1201,"&lt;"&amp;N776,$F$2:$F$1201,"&gt;0")+1)</f>
        <v/>
      </c>
    </row>
    <row r="777" customFormat="false" ht="15" hidden="false" customHeight="false" outlineLevel="0" collapsed="false">
      <c r="A777" s="11" t="str">
        <f aca="false">IF(_LEITURA!$N777="","",INDEX(_LEITURA!$K$2:$K$1201,_LEITURA!$N777))</f>
        <v/>
      </c>
      <c r="B777" s="11" t="str">
        <f aca="false">IF(_LEITURA!$N777="","",INDEX(_LEITURA!$E$2:$E$1201,_LEITURA!$N777))</f>
        <v/>
      </c>
      <c r="C777" s="11" t="str">
        <f aca="false">IF(_LEITURA!$N777="","",INDEX(_LEITURA!$J$2:$J$1201,_LEITURA!$N777))</f>
        <v/>
      </c>
      <c r="D777" s="16" t="str">
        <f aca="false">IF(_LEITURA!$N777="","",INDEX(_LEITURA!$G$2:$G$1201,_LEITURA!$N777))</f>
        <v/>
      </c>
      <c r="E777" s="16" t="str">
        <f aca="false">IF(B777="","",SUMIFS(INVENTÁRIO!$C$2:$C$801,INVENTÁRIO!$A$2:$A$801,B777))</f>
        <v/>
      </c>
      <c r="F777" s="16" t="str">
        <f aca="false">IF(B777="","",MAX(0,D777-E777))</f>
        <v/>
      </c>
      <c r="G777" s="16" t="str">
        <f aca="false">IF(B777="","",IF(COUNTIFS($B$2:$B$1201,B777,$A$2:$A$1201,"&lt;&gt;"&amp;A777)&gt;0,"Sim",""))</f>
        <v/>
      </c>
      <c r="H777" s="16" t="str">
        <f aca="false">IF(N(F777)&gt;0,MAX(H$1:H776)+1,"")</f>
        <v/>
      </c>
      <c r="I777" s="11" t="str">
        <f aca="false">IF(B777="","",IF(INDEX($C$2:$C$1201,MATCH(B777,$B$2:$B$1201,0))&lt;&gt;C777,"Nome diferente em outro deck — revisar",""))</f>
        <v/>
      </c>
      <c r="J777" s="16" t="str">
        <f aca="false">IF(AND(B777&lt;&gt;"",A777=BULK!$A$1,N(F777)&gt;0),MAX(J$1:J776)+1,"")</f>
        <v/>
      </c>
      <c r="K777" s="11" t="str">
        <f aca="false">IF(B777="","",IFERROR(LEFT(B777,FIND("-",B777)-1),B777))</f>
        <v/>
      </c>
      <c r="L777" s="11" t="str">
        <f aca="false">IF(K777="","",IF(ISNUMBER(--MID(K777,1,1)),0,IF(ISNUMBER(--MID(K777,2,1)),1,IF(ISNUMBER(--MID(K777,3,1)),2,IF(ISNUMBER(--MID(K777,4,1)),3,MIN(LEN(K777),4))))))</f>
        <v/>
      </c>
      <c r="M777" s="11" t="str">
        <f aca="false">IF(B777="","",LEFT(K777,L777)&amp;REPT("0",4-L777)&amp;RIGHT("000"&amp;IFERROR(VALUE(MID(K777,L777+1,9)),0),3)&amp;RIGHT("0000"&amp;IFERROR(VALUE(MID(B777,FIND("-",B777)+1,9)),0),4))</f>
        <v/>
      </c>
      <c r="N777" s="11" t="str">
        <f aca="false">IF(OR(B777="",N(F777)&lt;=0),"",IF('FALTAS POR DECK'!$P$1="Código","K"&amp;M777&amp;RIGHT("00000"&amp;ROW(),5),IF('FALTAS POR DECK'!$P$1="Nome","K"&amp;UPPER(SUBSTITUTE(SUBSTITUTE(SUBSTITUTE(C777,"*",""),"?",""),"~",""))&amp;"0"&amp;M777&amp;RIGHT("00000"&amp;ROW(),5),IF('FALTAS POR DECK'!$P$1="Falta (maior primeiro)","K"&amp;RIGHT("0000"&amp;(9999-F777),4)&amp;M777&amp;RIGHT("00000"&amp;ROW(),5),IF('FALTAS POR DECK'!$P$1="Deck e código","K"&amp;RIGHT("00"&amp;IFERROR(MATCH(A777,_LEITURA!$P$2:$P$21,0),99),2)&amp;M777&amp;RIGHT("00000"&amp;ROW(),5),"K"&amp;RIGHT("00000"&amp;ROW(),5))))))</f>
        <v/>
      </c>
      <c r="O777" s="16" t="str">
        <f aca="false">IF(N777="","",COUNTIFS($N$2:$N$1201,"&lt;"&amp;N777,$F$2:$F$1201,"&gt;0")+1)</f>
        <v/>
      </c>
    </row>
    <row r="778" customFormat="false" ht="15" hidden="false" customHeight="false" outlineLevel="0" collapsed="false">
      <c r="A778" s="11" t="str">
        <f aca="false">IF(_LEITURA!$N778="","",INDEX(_LEITURA!$K$2:$K$1201,_LEITURA!$N778))</f>
        <v/>
      </c>
      <c r="B778" s="11" t="str">
        <f aca="false">IF(_LEITURA!$N778="","",INDEX(_LEITURA!$E$2:$E$1201,_LEITURA!$N778))</f>
        <v/>
      </c>
      <c r="C778" s="11" t="str">
        <f aca="false">IF(_LEITURA!$N778="","",INDEX(_LEITURA!$J$2:$J$1201,_LEITURA!$N778))</f>
        <v/>
      </c>
      <c r="D778" s="16" t="str">
        <f aca="false">IF(_LEITURA!$N778="","",INDEX(_LEITURA!$G$2:$G$1201,_LEITURA!$N778))</f>
        <v/>
      </c>
      <c r="E778" s="16" t="str">
        <f aca="false">IF(B778="","",SUMIFS(INVENTÁRIO!$C$2:$C$801,INVENTÁRIO!$A$2:$A$801,B778))</f>
        <v/>
      </c>
      <c r="F778" s="16" t="str">
        <f aca="false">IF(B778="","",MAX(0,D778-E778))</f>
        <v/>
      </c>
      <c r="G778" s="16" t="str">
        <f aca="false">IF(B778="","",IF(COUNTIFS($B$2:$B$1201,B778,$A$2:$A$1201,"&lt;&gt;"&amp;A778)&gt;0,"Sim",""))</f>
        <v/>
      </c>
      <c r="H778" s="16" t="str">
        <f aca="false">IF(N(F778)&gt;0,MAX(H$1:H777)+1,"")</f>
        <v/>
      </c>
      <c r="I778" s="11" t="str">
        <f aca="false">IF(B778="","",IF(INDEX($C$2:$C$1201,MATCH(B778,$B$2:$B$1201,0))&lt;&gt;C778,"Nome diferente em outro deck — revisar",""))</f>
        <v/>
      </c>
      <c r="J778" s="16" t="str">
        <f aca="false">IF(AND(B778&lt;&gt;"",A778=BULK!$A$1,N(F778)&gt;0),MAX(J$1:J777)+1,"")</f>
        <v/>
      </c>
      <c r="K778" s="11" t="str">
        <f aca="false">IF(B778="","",IFERROR(LEFT(B778,FIND("-",B778)-1),B778))</f>
        <v/>
      </c>
      <c r="L778" s="11" t="str">
        <f aca="false">IF(K778="","",IF(ISNUMBER(--MID(K778,1,1)),0,IF(ISNUMBER(--MID(K778,2,1)),1,IF(ISNUMBER(--MID(K778,3,1)),2,IF(ISNUMBER(--MID(K778,4,1)),3,MIN(LEN(K778),4))))))</f>
        <v/>
      </c>
      <c r="M778" s="11" t="str">
        <f aca="false">IF(B778="","",LEFT(K778,L778)&amp;REPT("0",4-L778)&amp;RIGHT("000"&amp;IFERROR(VALUE(MID(K778,L778+1,9)),0),3)&amp;RIGHT("0000"&amp;IFERROR(VALUE(MID(B778,FIND("-",B778)+1,9)),0),4))</f>
        <v/>
      </c>
      <c r="N778" s="11" t="str">
        <f aca="false">IF(OR(B778="",N(F778)&lt;=0),"",IF('FALTAS POR DECK'!$P$1="Código","K"&amp;M778&amp;RIGHT("00000"&amp;ROW(),5),IF('FALTAS POR DECK'!$P$1="Nome","K"&amp;UPPER(SUBSTITUTE(SUBSTITUTE(SUBSTITUTE(C778,"*",""),"?",""),"~",""))&amp;"0"&amp;M778&amp;RIGHT("00000"&amp;ROW(),5),IF('FALTAS POR DECK'!$P$1="Falta (maior primeiro)","K"&amp;RIGHT("0000"&amp;(9999-F778),4)&amp;M778&amp;RIGHT("00000"&amp;ROW(),5),IF('FALTAS POR DECK'!$P$1="Deck e código","K"&amp;RIGHT("00"&amp;IFERROR(MATCH(A778,_LEITURA!$P$2:$P$21,0),99),2)&amp;M778&amp;RIGHT("00000"&amp;ROW(),5),"K"&amp;RIGHT("00000"&amp;ROW(),5))))))</f>
        <v/>
      </c>
      <c r="O778" s="16" t="str">
        <f aca="false">IF(N778="","",COUNTIFS($N$2:$N$1201,"&lt;"&amp;N778,$F$2:$F$1201,"&gt;0")+1)</f>
        <v/>
      </c>
    </row>
    <row r="779" customFormat="false" ht="15" hidden="false" customHeight="false" outlineLevel="0" collapsed="false">
      <c r="A779" s="11" t="str">
        <f aca="false">IF(_LEITURA!$N779="","",INDEX(_LEITURA!$K$2:$K$1201,_LEITURA!$N779))</f>
        <v/>
      </c>
      <c r="B779" s="11" t="str">
        <f aca="false">IF(_LEITURA!$N779="","",INDEX(_LEITURA!$E$2:$E$1201,_LEITURA!$N779))</f>
        <v/>
      </c>
      <c r="C779" s="11" t="str">
        <f aca="false">IF(_LEITURA!$N779="","",INDEX(_LEITURA!$J$2:$J$1201,_LEITURA!$N779))</f>
        <v/>
      </c>
      <c r="D779" s="16" t="str">
        <f aca="false">IF(_LEITURA!$N779="","",INDEX(_LEITURA!$G$2:$G$1201,_LEITURA!$N779))</f>
        <v/>
      </c>
      <c r="E779" s="16" t="str">
        <f aca="false">IF(B779="","",SUMIFS(INVENTÁRIO!$C$2:$C$801,INVENTÁRIO!$A$2:$A$801,B779))</f>
        <v/>
      </c>
      <c r="F779" s="16" t="str">
        <f aca="false">IF(B779="","",MAX(0,D779-E779))</f>
        <v/>
      </c>
      <c r="G779" s="16" t="str">
        <f aca="false">IF(B779="","",IF(COUNTIFS($B$2:$B$1201,B779,$A$2:$A$1201,"&lt;&gt;"&amp;A779)&gt;0,"Sim",""))</f>
        <v/>
      </c>
      <c r="H779" s="16" t="str">
        <f aca="false">IF(N(F779)&gt;0,MAX(H$1:H778)+1,"")</f>
        <v/>
      </c>
      <c r="I779" s="11" t="str">
        <f aca="false">IF(B779="","",IF(INDEX($C$2:$C$1201,MATCH(B779,$B$2:$B$1201,0))&lt;&gt;C779,"Nome diferente em outro deck — revisar",""))</f>
        <v/>
      </c>
      <c r="J779" s="16" t="str">
        <f aca="false">IF(AND(B779&lt;&gt;"",A779=BULK!$A$1,N(F779)&gt;0),MAX(J$1:J778)+1,"")</f>
        <v/>
      </c>
      <c r="K779" s="11" t="str">
        <f aca="false">IF(B779="","",IFERROR(LEFT(B779,FIND("-",B779)-1),B779))</f>
        <v/>
      </c>
      <c r="L779" s="11" t="str">
        <f aca="false">IF(K779="","",IF(ISNUMBER(--MID(K779,1,1)),0,IF(ISNUMBER(--MID(K779,2,1)),1,IF(ISNUMBER(--MID(K779,3,1)),2,IF(ISNUMBER(--MID(K779,4,1)),3,MIN(LEN(K779),4))))))</f>
        <v/>
      </c>
      <c r="M779" s="11" t="str">
        <f aca="false">IF(B779="","",LEFT(K779,L779)&amp;REPT("0",4-L779)&amp;RIGHT("000"&amp;IFERROR(VALUE(MID(K779,L779+1,9)),0),3)&amp;RIGHT("0000"&amp;IFERROR(VALUE(MID(B779,FIND("-",B779)+1,9)),0),4))</f>
        <v/>
      </c>
      <c r="N779" s="11" t="str">
        <f aca="false">IF(OR(B779="",N(F779)&lt;=0),"",IF('FALTAS POR DECK'!$P$1="Código","K"&amp;M779&amp;RIGHT("00000"&amp;ROW(),5),IF('FALTAS POR DECK'!$P$1="Nome","K"&amp;UPPER(SUBSTITUTE(SUBSTITUTE(SUBSTITUTE(C779,"*",""),"?",""),"~",""))&amp;"0"&amp;M779&amp;RIGHT("00000"&amp;ROW(),5),IF('FALTAS POR DECK'!$P$1="Falta (maior primeiro)","K"&amp;RIGHT("0000"&amp;(9999-F779),4)&amp;M779&amp;RIGHT("00000"&amp;ROW(),5),IF('FALTAS POR DECK'!$P$1="Deck e código","K"&amp;RIGHT("00"&amp;IFERROR(MATCH(A779,_LEITURA!$P$2:$P$21,0),99),2)&amp;M779&amp;RIGHT("00000"&amp;ROW(),5),"K"&amp;RIGHT("00000"&amp;ROW(),5))))))</f>
        <v/>
      </c>
      <c r="O779" s="16" t="str">
        <f aca="false">IF(N779="","",COUNTIFS($N$2:$N$1201,"&lt;"&amp;N779,$F$2:$F$1201,"&gt;0")+1)</f>
        <v/>
      </c>
    </row>
    <row r="780" customFormat="false" ht="15" hidden="false" customHeight="false" outlineLevel="0" collapsed="false">
      <c r="A780" s="11" t="str">
        <f aca="false">IF(_LEITURA!$N780="","",INDEX(_LEITURA!$K$2:$K$1201,_LEITURA!$N780))</f>
        <v/>
      </c>
      <c r="B780" s="11" t="str">
        <f aca="false">IF(_LEITURA!$N780="","",INDEX(_LEITURA!$E$2:$E$1201,_LEITURA!$N780))</f>
        <v/>
      </c>
      <c r="C780" s="11" t="str">
        <f aca="false">IF(_LEITURA!$N780="","",INDEX(_LEITURA!$J$2:$J$1201,_LEITURA!$N780))</f>
        <v/>
      </c>
      <c r="D780" s="16" t="str">
        <f aca="false">IF(_LEITURA!$N780="","",INDEX(_LEITURA!$G$2:$G$1201,_LEITURA!$N780))</f>
        <v/>
      </c>
      <c r="E780" s="16" t="str">
        <f aca="false">IF(B780="","",SUMIFS(INVENTÁRIO!$C$2:$C$801,INVENTÁRIO!$A$2:$A$801,B780))</f>
        <v/>
      </c>
      <c r="F780" s="16" t="str">
        <f aca="false">IF(B780="","",MAX(0,D780-E780))</f>
        <v/>
      </c>
      <c r="G780" s="16" t="str">
        <f aca="false">IF(B780="","",IF(COUNTIFS($B$2:$B$1201,B780,$A$2:$A$1201,"&lt;&gt;"&amp;A780)&gt;0,"Sim",""))</f>
        <v/>
      </c>
      <c r="H780" s="16" t="str">
        <f aca="false">IF(N(F780)&gt;0,MAX(H$1:H779)+1,"")</f>
        <v/>
      </c>
      <c r="I780" s="11" t="str">
        <f aca="false">IF(B780="","",IF(INDEX($C$2:$C$1201,MATCH(B780,$B$2:$B$1201,0))&lt;&gt;C780,"Nome diferente em outro deck — revisar",""))</f>
        <v/>
      </c>
      <c r="J780" s="16" t="str">
        <f aca="false">IF(AND(B780&lt;&gt;"",A780=BULK!$A$1,N(F780)&gt;0),MAX(J$1:J779)+1,"")</f>
        <v/>
      </c>
      <c r="K780" s="11" t="str">
        <f aca="false">IF(B780="","",IFERROR(LEFT(B780,FIND("-",B780)-1),B780))</f>
        <v/>
      </c>
      <c r="L780" s="11" t="str">
        <f aca="false">IF(K780="","",IF(ISNUMBER(--MID(K780,1,1)),0,IF(ISNUMBER(--MID(K780,2,1)),1,IF(ISNUMBER(--MID(K780,3,1)),2,IF(ISNUMBER(--MID(K780,4,1)),3,MIN(LEN(K780),4))))))</f>
        <v/>
      </c>
      <c r="M780" s="11" t="str">
        <f aca="false">IF(B780="","",LEFT(K780,L780)&amp;REPT("0",4-L780)&amp;RIGHT("000"&amp;IFERROR(VALUE(MID(K780,L780+1,9)),0),3)&amp;RIGHT("0000"&amp;IFERROR(VALUE(MID(B780,FIND("-",B780)+1,9)),0),4))</f>
        <v/>
      </c>
      <c r="N780" s="11" t="str">
        <f aca="false">IF(OR(B780="",N(F780)&lt;=0),"",IF('FALTAS POR DECK'!$P$1="Código","K"&amp;M780&amp;RIGHT("00000"&amp;ROW(),5),IF('FALTAS POR DECK'!$P$1="Nome","K"&amp;UPPER(SUBSTITUTE(SUBSTITUTE(SUBSTITUTE(C780,"*",""),"?",""),"~",""))&amp;"0"&amp;M780&amp;RIGHT("00000"&amp;ROW(),5),IF('FALTAS POR DECK'!$P$1="Falta (maior primeiro)","K"&amp;RIGHT("0000"&amp;(9999-F780),4)&amp;M780&amp;RIGHT("00000"&amp;ROW(),5),IF('FALTAS POR DECK'!$P$1="Deck e código","K"&amp;RIGHT("00"&amp;IFERROR(MATCH(A780,_LEITURA!$P$2:$P$21,0),99),2)&amp;M780&amp;RIGHT("00000"&amp;ROW(),5),"K"&amp;RIGHT("00000"&amp;ROW(),5))))))</f>
        <v/>
      </c>
      <c r="O780" s="16" t="str">
        <f aca="false">IF(N780="","",COUNTIFS($N$2:$N$1201,"&lt;"&amp;N780,$F$2:$F$1201,"&gt;0")+1)</f>
        <v/>
      </c>
    </row>
    <row r="781" customFormat="false" ht="15" hidden="false" customHeight="false" outlineLevel="0" collapsed="false">
      <c r="A781" s="11" t="str">
        <f aca="false">IF(_LEITURA!$N781="","",INDEX(_LEITURA!$K$2:$K$1201,_LEITURA!$N781))</f>
        <v/>
      </c>
      <c r="B781" s="11" t="str">
        <f aca="false">IF(_LEITURA!$N781="","",INDEX(_LEITURA!$E$2:$E$1201,_LEITURA!$N781))</f>
        <v/>
      </c>
      <c r="C781" s="11" t="str">
        <f aca="false">IF(_LEITURA!$N781="","",INDEX(_LEITURA!$J$2:$J$1201,_LEITURA!$N781))</f>
        <v/>
      </c>
      <c r="D781" s="16" t="str">
        <f aca="false">IF(_LEITURA!$N781="","",INDEX(_LEITURA!$G$2:$G$1201,_LEITURA!$N781))</f>
        <v/>
      </c>
      <c r="E781" s="16" t="str">
        <f aca="false">IF(B781="","",SUMIFS(INVENTÁRIO!$C$2:$C$801,INVENTÁRIO!$A$2:$A$801,B781))</f>
        <v/>
      </c>
      <c r="F781" s="16" t="str">
        <f aca="false">IF(B781="","",MAX(0,D781-E781))</f>
        <v/>
      </c>
      <c r="G781" s="16" t="str">
        <f aca="false">IF(B781="","",IF(COUNTIFS($B$2:$B$1201,B781,$A$2:$A$1201,"&lt;&gt;"&amp;A781)&gt;0,"Sim",""))</f>
        <v/>
      </c>
      <c r="H781" s="16" t="str">
        <f aca="false">IF(N(F781)&gt;0,MAX(H$1:H780)+1,"")</f>
        <v/>
      </c>
      <c r="I781" s="11" t="str">
        <f aca="false">IF(B781="","",IF(INDEX($C$2:$C$1201,MATCH(B781,$B$2:$B$1201,0))&lt;&gt;C781,"Nome diferente em outro deck — revisar",""))</f>
        <v/>
      </c>
      <c r="J781" s="16" t="str">
        <f aca="false">IF(AND(B781&lt;&gt;"",A781=BULK!$A$1,N(F781)&gt;0),MAX(J$1:J780)+1,"")</f>
        <v/>
      </c>
      <c r="K781" s="11" t="str">
        <f aca="false">IF(B781="","",IFERROR(LEFT(B781,FIND("-",B781)-1),B781))</f>
        <v/>
      </c>
      <c r="L781" s="11" t="str">
        <f aca="false">IF(K781="","",IF(ISNUMBER(--MID(K781,1,1)),0,IF(ISNUMBER(--MID(K781,2,1)),1,IF(ISNUMBER(--MID(K781,3,1)),2,IF(ISNUMBER(--MID(K781,4,1)),3,MIN(LEN(K781),4))))))</f>
        <v/>
      </c>
      <c r="M781" s="11" t="str">
        <f aca="false">IF(B781="","",LEFT(K781,L781)&amp;REPT("0",4-L781)&amp;RIGHT("000"&amp;IFERROR(VALUE(MID(K781,L781+1,9)),0),3)&amp;RIGHT("0000"&amp;IFERROR(VALUE(MID(B781,FIND("-",B781)+1,9)),0),4))</f>
        <v/>
      </c>
      <c r="N781" s="11" t="str">
        <f aca="false">IF(OR(B781="",N(F781)&lt;=0),"",IF('FALTAS POR DECK'!$P$1="Código","K"&amp;M781&amp;RIGHT("00000"&amp;ROW(),5),IF('FALTAS POR DECK'!$P$1="Nome","K"&amp;UPPER(SUBSTITUTE(SUBSTITUTE(SUBSTITUTE(C781,"*",""),"?",""),"~",""))&amp;"0"&amp;M781&amp;RIGHT("00000"&amp;ROW(),5),IF('FALTAS POR DECK'!$P$1="Falta (maior primeiro)","K"&amp;RIGHT("0000"&amp;(9999-F781),4)&amp;M781&amp;RIGHT("00000"&amp;ROW(),5),IF('FALTAS POR DECK'!$P$1="Deck e código","K"&amp;RIGHT("00"&amp;IFERROR(MATCH(A781,_LEITURA!$P$2:$P$21,0),99),2)&amp;M781&amp;RIGHT("00000"&amp;ROW(),5),"K"&amp;RIGHT("00000"&amp;ROW(),5))))))</f>
        <v/>
      </c>
      <c r="O781" s="16" t="str">
        <f aca="false">IF(N781="","",COUNTIFS($N$2:$N$1201,"&lt;"&amp;N781,$F$2:$F$1201,"&gt;0")+1)</f>
        <v/>
      </c>
    </row>
    <row r="782" customFormat="false" ht="15" hidden="false" customHeight="false" outlineLevel="0" collapsed="false">
      <c r="A782" s="11" t="str">
        <f aca="false">IF(_LEITURA!$N782="","",INDEX(_LEITURA!$K$2:$K$1201,_LEITURA!$N782))</f>
        <v/>
      </c>
      <c r="B782" s="11" t="str">
        <f aca="false">IF(_LEITURA!$N782="","",INDEX(_LEITURA!$E$2:$E$1201,_LEITURA!$N782))</f>
        <v/>
      </c>
      <c r="C782" s="11" t="str">
        <f aca="false">IF(_LEITURA!$N782="","",INDEX(_LEITURA!$J$2:$J$1201,_LEITURA!$N782))</f>
        <v/>
      </c>
      <c r="D782" s="16" t="str">
        <f aca="false">IF(_LEITURA!$N782="","",INDEX(_LEITURA!$G$2:$G$1201,_LEITURA!$N782))</f>
        <v/>
      </c>
      <c r="E782" s="16" t="str">
        <f aca="false">IF(B782="","",SUMIFS(INVENTÁRIO!$C$2:$C$801,INVENTÁRIO!$A$2:$A$801,B782))</f>
        <v/>
      </c>
      <c r="F782" s="16" t="str">
        <f aca="false">IF(B782="","",MAX(0,D782-E782))</f>
        <v/>
      </c>
      <c r="G782" s="16" t="str">
        <f aca="false">IF(B782="","",IF(COUNTIFS($B$2:$B$1201,B782,$A$2:$A$1201,"&lt;&gt;"&amp;A782)&gt;0,"Sim",""))</f>
        <v/>
      </c>
      <c r="H782" s="16" t="str">
        <f aca="false">IF(N(F782)&gt;0,MAX(H$1:H781)+1,"")</f>
        <v/>
      </c>
      <c r="I782" s="11" t="str">
        <f aca="false">IF(B782="","",IF(INDEX($C$2:$C$1201,MATCH(B782,$B$2:$B$1201,0))&lt;&gt;C782,"Nome diferente em outro deck — revisar",""))</f>
        <v/>
      </c>
      <c r="J782" s="16" t="str">
        <f aca="false">IF(AND(B782&lt;&gt;"",A782=BULK!$A$1,N(F782)&gt;0),MAX(J$1:J781)+1,"")</f>
        <v/>
      </c>
      <c r="K782" s="11" t="str">
        <f aca="false">IF(B782="","",IFERROR(LEFT(B782,FIND("-",B782)-1),B782))</f>
        <v/>
      </c>
      <c r="L782" s="11" t="str">
        <f aca="false">IF(K782="","",IF(ISNUMBER(--MID(K782,1,1)),0,IF(ISNUMBER(--MID(K782,2,1)),1,IF(ISNUMBER(--MID(K782,3,1)),2,IF(ISNUMBER(--MID(K782,4,1)),3,MIN(LEN(K782),4))))))</f>
        <v/>
      </c>
      <c r="M782" s="11" t="str">
        <f aca="false">IF(B782="","",LEFT(K782,L782)&amp;REPT("0",4-L782)&amp;RIGHT("000"&amp;IFERROR(VALUE(MID(K782,L782+1,9)),0),3)&amp;RIGHT("0000"&amp;IFERROR(VALUE(MID(B782,FIND("-",B782)+1,9)),0),4))</f>
        <v/>
      </c>
      <c r="N782" s="11" t="str">
        <f aca="false">IF(OR(B782="",N(F782)&lt;=0),"",IF('FALTAS POR DECK'!$P$1="Código","K"&amp;M782&amp;RIGHT("00000"&amp;ROW(),5),IF('FALTAS POR DECK'!$P$1="Nome","K"&amp;UPPER(SUBSTITUTE(SUBSTITUTE(SUBSTITUTE(C782,"*",""),"?",""),"~",""))&amp;"0"&amp;M782&amp;RIGHT("00000"&amp;ROW(),5),IF('FALTAS POR DECK'!$P$1="Falta (maior primeiro)","K"&amp;RIGHT("0000"&amp;(9999-F782),4)&amp;M782&amp;RIGHT("00000"&amp;ROW(),5),IF('FALTAS POR DECK'!$P$1="Deck e código","K"&amp;RIGHT("00"&amp;IFERROR(MATCH(A782,_LEITURA!$P$2:$P$21,0),99),2)&amp;M782&amp;RIGHT("00000"&amp;ROW(),5),"K"&amp;RIGHT("00000"&amp;ROW(),5))))))</f>
        <v/>
      </c>
      <c r="O782" s="16" t="str">
        <f aca="false">IF(N782="","",COUNTIFS($N$2:$N$1201,"&lt;"&amp;N782,$F$2:$F$1201,"&gt;0")+1)</f>
        <v/>
      </c>
    </row>
    <row r="783" customFormat="false" ht="15" hidden="false" customHeight="false" outlineLevel="0" collapsed="false">
      <c r="A783" s="11" t="str">
        <f aca="false">IF(_LEITURA!$N783="","",INDEX(_LEITURA!$K$2:$K$1201,_LEITURA!$N783))</f>
        <v/>
      </c>
      <c r="B783" s="11" t="str">
        <f aca="false">IF(_LEITURA!$N783="","",INDEX(_LEITURA!$E$2:$E$1201,_LEITURA!$N783))</f>
        <v/>
      </c>
      <c r="C783" s="11" t="str">
        <f aca="false">IF(_LEITURA!$N783="","",INDEX(_LEITURA!$J$2:$J$1201,_LEITURA!$N783))</f>
        <v/>
      </c>
      <c r="D783" s="16" t="str">
        <f aca="false">IF(_LEITURA!$N783="","",INDEX(_LEITURA!$G$2:$G$1201,_LEITURA!$N783))</f>
        <v/>
      </c>
      <c r="E783" s="16" t="str">
        <f aca="false">IF(B783="","",SUMIFS(INVENTÁRIO!$C$2:$C$801,INVENTÁRIO!$A$2:$A$801,B783))</f>
        <v/>
      </c>
      <c r="F783" s="16" t="str">
        <f aca="false">IF(B783="","",MAX(0,D783-E783))</f>
        <v/>
      </c>
      <c r="G783" s="16" t="str">
        <f aca="false">IF(B783="","",IF(COUNTIFS($B$2:$B$1201,B783,$A$2:$A$1201,"&lt;&gt;"&amp;A783)&gt;0,"Sim",""))</f>
        <v/>
      </c>
      <c r="H783" s="16" t="str">
        <f aca="false">IF(N(F783)&gt;0,MAX(H$1:H782)+1,"")</f>
        <v/>
      </c>
      <c r="I783" s="11" t="str">
        <f aca="false">IF(B783="","",IF(INDEX($C$2:$C$1201,MATCH(B783,$B$2:$B$1201,0))&lt;&gt;C783,"Nome diferente em outro deck — revisar",""))</f>
        <v/>
      </c>
      <c r="J783" s="16" t="str">
        <f aca="false">IF(AND(B783&lt;&gt;"",A783=BULK!$A$1,N(F783)&gt;0),MAX(J$1:J782)+1,"")</f>
        <v/>
      </c>
      <c r="K783" s="11" t="str">
        <f aca="false">IF(B783="","",IFERROR(LEFT(B783,FIND("-",B783)-1),B783))</f>
        <v/>
      </c>
      <c r="L783" s="11" t="str">
        <f aca="false">IF(K783="","",IF(ISNUMBER(--MID(K783,1,1)),0,IF(ISNUMBER(--MID(K783,2,1)),1,IF(ISNUMBER(--MID(K783,3,1)),2,IF(ISNUMBER(--MID(K783,4,1)),3,MIN(LEN(K783),4))))))</f>
        <v/>
      </c>
      <c r="M783" s="11" t="str">
        <f aca="false">IF(B783="","",LEFT(K783,L783)&amp;REPT("0",4-L783)&amp;RIGHT("000"&amp;IFERROR(VALUE(MID(K783,L783+1,9)),0),3)&amp;RIGHT("0000"&amp;IFERROR(VALUE(MID(B783,FIND("-",B783)+1,9)),0),4))</f>
        <v/>
      </c>
      <c r="N783" s="11" t="str">
        <f aca="false">IF(OR(B783="",N(F783)&lt;=0),"",IF('FALTAS POR DECK'!$P$1="Código","K"&amp;M783&amp;RIGHT("00000"&amp;ROW(),5),IF('FALTAS POR DECK'!$P$1="Nome","K"&amp;UPPER(SUBSTITUTE(SUBSTITUTE(SUBSTITUTE(C783,"*",""),"?",""),"~",""))&amp;"0"&amp;M783&amp;RIGHT("00000"&amp;ROW(),5),IF('FALTAS POR DECK'!$P$1="Falta (maior primeiro)","K"&amp;RIGHT("0000"&amp;(9999-F783),4)&amp;M783&amp;RIGHT("00000"&amp;ROW(),5),IF('FALTAS POR DECK'!$P$1="Deck e código","K"&amp;RIGHT("00"&amp;IFERROR(MATCH(A783,_LEITURA!$P$2:$P$21,0),99),2)&amp;M783&amp;RIGHT("00000"&amp;ROW(),5),"K"&amp;RIGHT("00000"&amp;ROW(),5))))))</f>
        <v/>
      </c>
      <c r="O783" s="16" t="str">
        <f aca="false">IF(N783="","",COUNTIFS($N$2:$N$1201,"&lt;"&amp;N783,$F$2:$F$1201,"&gt;0")+1)</f>
        <v/>
      </c>
    </row>
    <row r="784" customFormat="false" ht="15" hidden="false" customHeight="false" outlineLevel="0" collapsed="false">
      <c r="A784" s="11" t="str">
        <f aca="false">IF(_LEITURA!$N784="","",INDEX(_LEITURA!$K$2:$K$1201,_LEITURA!$N784))</f>
        <v/>
      </c>
      <c r="B784" s="11" t="str">
        <f aca="false">IF(_LEITURA!$N784="","",INDEX(_LEITURA!$E$2:$E$1201,_LEITURA!$N784))</f>
        <v/>
      </c>
      <c r="C784" s="11" t="str">
        <f aca="false">IF(_LEITURA!$N784="","",INDEX(_LEITURA!$J$2:$J$1201,_LEITURA!$N784))</f>
        <v/>
      </c>
      <c r="D784" s="16" t="str">
        <f aca="false">IF(_LEITURA!$N784="","",INDEX(_LEITURA!$G$2:$G$1201,_LEITURA!$N784))</f>
        <v/>
      </c>
      <c r="E784" s="16" t="str">
        <f aca="false">IF(B784="","",SUMIFS(INVENTÁRIO!$C$2:$C$801,INVENTÁRIO!$A$2:$A$801,B784))</f>
        <v/>
      </c>
      <c r="F784" s="16" t="str">
        <f aca="false">IF(B784="","",MAX(0,D784-E784))</f>
        <v/>
      </c>
      <c r="G784" s="16" t="str">
        <f aca="false">IF(B784="","",IF(COUNTIFS($B$2:$B$1201,B784,$A$2:$A$1201,"&lt;&gt;"&amp;A784)&gt;0,"Sim",""))</f>
        <v/>
      </c>
      <c r="H784" s="16" t="str">
        <f aca="false">IF(N(F784)&gt;0,MAX(H$1:H783)+1,"")</f>
        <v/>
      </c>
      <c r="I784" s="11" t="str">
        <f aca="false">IF(B784="","",IF(INDEX($C$2:$C$1201,MATCH(B784,$B$2:$B$1201,0))&lt;&gt;C784,"Nome diferente em outro deck — revisar",""))</f>
        <v/>
      </c>
      <c r="J784" s="16" t="str">
        <f aca="false">IF(AND(B784&lt;&gt;"",A784=BULK!$A$1,N(F784)&gt;0),MAX(J$1:J783)+1,"")</f>
        <v/>
      </c>
      <c r="K784" s="11" t="str">
        <f aca="false">IF(B784="","",IFERROR(LEFT(B784,FIND("-",B784)-1),B784))</f>
        <v/>
      </c>
      <c r="L784" s="11" t="str">
        <f aca="false">IF(K784="","",IF(ISNUMBER(--MID(K784,1,1)),0,IF(ISNUMBER(--MID(K784,2,1)),1,IF(ISNUMBER(--MID(K784,3,1)),2,IF(ISNUMBER(--MID(K784,4,1)),3,MIN(LEN(K784),4))))))</f>
        <v/>
      </c>
      <c r="M784" s="11" t="str">
        <f aca="false">IF(B784="","",LEFT(K784,L784)&amp;REPT("0",4-L784)&amp;RIGHT("000"&amp;IFERROR(VALUE(MID(K784,L784+1,9)),0),3)&amp;RIGHT("0000"&amp;IFERROR(VALUE(MID(B784,FIND("-",B784)+1,9)),0),4))</f>
        <v/>
      </c>
      <c r="N784" s="11" t="str">
        <f aca="false">IF(OR(B784="",N(F784)&lt;=0),"",IF('FALTAS POR DECK'!$P$1="Código","K"&amp;M784&amp;RIGHT("00000"&amp;ROW(),5),IF('FALTAS POR DECK'!$P$1="Nome","K"&amp;UPPER(SUBSTITUTE(SUBSTITUTE(SUBSTITUTE(C784,"*",""),"?",""),"~",""))&amp;"0"&amp;M784&amp;RIGHT("00000"&amp;ROW(),5),IF('FALTAS POR DECK'!$P$1="Falta (maior primeiro)","K"&amp;RIGHT("0000"&amp;(9999-F784),4)&amp;M784&amp;RIGHT("00000"&amp;ROW(),5),IF('FALTAS POR DECK'!$P$1="Deck e código","K"&amp;RIGHT("00"&amp;IFERROR(MATCH(A784,_LEITURA!$P$2:$P$21,0),99),2)&amp;M784&amp;RIGHT("00000"&amp;ROW(),5),"K"&amp;RIGHT("00000"&amp;ROW(),5))))))</f>
        <v/>
      </c>
      <c r="O784" s="16" t="str">
        <f aca="false">IF(N784="","",COUNTIFS($N$2:$N$1201,"&lt;"&amp;N784,$F$2:$F$1201,"&gt;0")+1)</f>
        <v/>
      </c>
    </row>
    <row r="785" customFormat="false" ht="15" hidden="false" customHeight="false" outlineLevel="0" collapsed="false">
      <c r="A785" s="11" t="str">
        <f aca="false">IF(_LEITURA!$N785="","",INDEX(_LEITURA!$K$2:$K$1201,_LEITURA!$N785))</f>
        <v/>
      </c>
      <c r="B785" s="11" t="str">
        <f aca="false">IF(_LEITURA!$N785="","",INDEX(_LEITURA!$E$2:$E$1201,_LEITURA!$N785))</f>
        <v/>
      </c>
      <c r="C785" s="11" t="str">
        <f aca="false">IF(_LEITURA!$N785="","",INDEX(_LEITURA!$J$2:$J$1201,_LEITURA!$N785))</f>
        <v/>
      </c>
      <c r="D785" s="16" t="str">
        <f aca="false">IF(_LEITURA!$N785="","",INDEX(_LEITURA!$G$2:$G$1201,_LEITURA!$N785))</f>
        <v/>
      </c>
      <c r="E785" s="16" t="str">
        <f aca="false">IF(B785="","",SUMIFS(INVENTÁRIO!$C$2:$C$801,INVENTÁRIO!$A$2:$A$801,B785))</f>
        <v/>
      </c>
      <c r="F785" s="16" t="str">
        <f aca="false">IF(B785="","",MAX(0,D785-E785))</f>
        <v/>
      </c>
      <c r="G785" s="16" t="str">
        <f aca="false">IF(B785="","",IF(COUNTIFS($B$2:$B$1201,B785,$A$2:$A$1201,"&lt;&gt;"&amp;A785)&gt;0,"Sim",""))</f>
        <v/>
      </c>
      <c r="H785" s="16" t="str">
        <f aca="false">IF(N(F785)&gt;0,MAX(H$1:H784)+1,"")</f>
        <v/>
      </c>
      <c r="I785" s="11" t="str">
        <f aca="false">IF(B785="","",IF(INDEX($C$2:$C$1201,MATCH(B785,$B$2:$B$1201,0))&lt;&gt;C785,"Nome diferente em outro deck — revisar",""))</f>
        <v/>
      </c>
      <c r="J785" s="16" t="str">
        <f aca="false">IF(AND(B785&lt;&gt;"",A785=BULK!$A$1,N(F785)&gt;0),MAX(J$1:J784)+1,"")</f>
        <v/>
      </c>
      <c r="K785" s="11" t="str">
        <f aca="false">IF(B785="","",IFERROR(LEFT(B785,FIND("-",B785)-1),B785))</f>
        <v/>
      </c>
      <c r="L785" s="11" t="str">
        <f aca="false">IF(K785="","",IF(ISNUMBER(--MID(K785,1,1)),0,IF(ISNUMBER(--MID(K785,2,1)),1,IF(ISNUMBER(--MID(K785,3,1)),2,IF(ISNUMBER(--MID(K785,4,1)),3,MIN(LEN(K785),4))))))</f>
        <v/>
      </c>
      <c r="M785" s="11" t="str">
        <f aca="false">IF(B785="","",LEFT(K785,L785)&amp;REPT("0",4-L785)&amp;RIGHT("000"&amp;IFERROR(VALUE(MID(K785,L785+1,9)),0),3)&amp;RIGHT("0000"&amp;IFERROR(VALUE(MID(B785,FIND("-",B785)+1,9)),0),4))</f>
        <v/>
      </c>
      <c r="N785" s="11" t="str">
        <f aca="false">IF(OR(B785="",N(F785)&lt;=0),"",IF('FALTAS POR DECK'!$P$1="Código","K"&amp;M785&amp;RIGHT("00000"&amp;ROW(),5),IF('FALTAS POR DECK'!$P$1="Nome","K"&amp;UPPER(SUBSTITUTE(SUBSTITUTE(SUBSTITUTE(C785,"*",""),"?",""),"~",""))&amp;"0"&amp;M785&amp;RIGHT("00000"&amp;ROW(),5),IF('FALTAS POR DECK'!$P$1="Falta (maior primeiro)","K"&amp;RIGHT("0000"&amp;(9999-F785),4)&amp;M785&amp;RIGHT("00000"&amp;ROW(),5),IF('FALTAS POR DECK'!$P$1="Deck e código","K"&amp;RIGHT("00"&amp;IFERROR(MATCH(A785,_LEITURA!$P$2:$P$21,0),99),2)&amp;M785&amp;RIGHT("00000"&amp;ROW(),5),"K"&amp;RIGHT("00000"&amp;ROW(),5))))))</f>
        <v/>
      </c>
      <c r="O785" s="16" t="str">
        <f aca="false">IF(N785="","",COUNTIFS($N$2:$N$1201,"&lt;"&amp;N785,$F$2:$F$1201,"&gt;0")+1)</f>
        <v/>
      </c>
    </row>
    <row r="786" customFormat="false" ht="15" hidden="false" customHeight="false" outlineLevel="0" collapsed="false">
      <c r="A786" s="11" t="str">
        <f aca="false">IF(_LEITURA!$N786="","",INDEX(_LEITURA!$K$2:$K$1201,_LEITURA!$N786))</f>
        <v/>
      </c>
      <c r="B786" s="11" t="str">
        <f aca="false">IF(_LEITURA!$N786="","",INDEX(_LEITURA!$E$2:$E$1201,_LEITURA!$N786))</f>
        <v/>
      </c>
      <c r="C786" s="11" t="str">
        <f aca="false">IF(_LEITURA!$N786="","",INDEX(_LEITURA!$J$2:$J$1201,_LEITURA!$N786))</f>
        <v/>
      </c>
      <c r="D786" s="16" t="str">
        <f aca="false">IF(_LEITURA!$N786="","",INDEX(_LEITURA!$G$2:$G$1201,_LEITURA!$N786))</f>
        <v/>
      </c>
      <c r="E786" s="16" t="str">
        <f aca="false">IF(B786="","",SUMIFS(INVENTÁRIO!$C$2:$C$801,INVENTÁRIO!$A$2:$A$801,B786))</f>
        <v/>
      </c>
      <c r="F786" s="16" t="str">
        <f aca="false">IF(B786="","",MAX(0,D786-E786))</f>
        <v/>
      </c>
      <c r="G786" s="16" t="str">
        <f aca="false">IF(B786="","",IF(COUNTIFS($B$2:$B$1201,B786,$A$2:$A$1201,"&lt;&gt;"&amp;A786)&gt;0,"Sim",""))</f>
        <v/>
      </c>
      <c r="H786" s="16" t="str">
        <f aca="false">IF(N(F786)&gt;0,MAX(H$1:H785)+1,"")</f>
        <v/>
      </c>
      <c r="I786" s="11" t="str">
        <f aca="false">IF(B786="","",IF(INDEX($C$2:$C$1201,MATCH(B786,$B$2:$B$1201,0))&lt;&gt;C786,"Nome diferente em outro deck — revisar",""))</f>
        <v/>
      </c>
      <c r="J786" s="16" t="str">
        <f aca="false">IF(AND(B786&lt;&gt;"",A786=BULK!$A$1,N(F786)&gt;0),MAX(J$1:J785)+1,"")</f>
        <v/>
      </c>
      <c r="K786" s="11" t="str">
        <f aca="false">IF(B786="","",IFERROR(LEFT(B786,FIND("-",B786)-1),B786))</f>
        <v/>
      </c>
      <c r="L786" s="11" t="str">
        <f aca="false">IF(K786="","",IF(ISNUMBER(--MID(K786,1,1)),0,IF(ISNUMBER(--MID(K786,2,1)),1,IF(ISNUMBER(--MID(K786,3,1)),2,IF(ISNUMBER(--MID(K786,4,1)),3,MIN(LEN(K786),4))))))</f>
        <v/>
      </c>
      <c r="M786" s="11" t="str">
        <f aca="false">IF(B786="","",LEFT(K786,L786)&amp;REPT("0",4-L786)&amp;RIGHT("000"&amp;IFERROR(VALUE(MID(K786,L786+1,9)),0),3)&amp;RIGHT("0000"&amp;IFERROR(VALUE(MID(B786,FIND("-",B786)+1,9)),0),4))</f>
        <v/>
      </c>
      <c r="N786" s="11" t="str">
        <f aca="false">IF(OR(B786="",N(F786)&lt;=0),"",IF('FALTAS POR DECK'!$P$1="Código","K"&amp;M786&amp;RIGHT("00000"&amp;ROW(),5),IF('FALTAS POR DECK'!$P$1="Nome","K"&amp;UPPER(SUBSTITUTE(SUBSTITUTE(SUBSTITUTE(C786,"*",""),"?",""),"~",""))&amp;"0"&amp;M786&amp;RIGHT("00000"&amp;ROW(),5),IF('FALTAS POR DECK'!$P$1="Falta (maior primeiro)","K"&amp;RIGHT("0000"&amp;(9999-F786),4)&amp;M786&amp;RIGHT("00000"&amp;ROW(),5),IF('FALTAS POR DECK'!$P$1="Deck e código","K"&amp;RIGHT("00"&amp;IFERROR(MATCH(A786,_LEITURA!$P$2:$P$21,0),99),2)&amp;M786&amp;RIGHT("00000"&amp;ROW(),5),"K"&amp;RIGHT("00000"&amp;ROW(),5))))))</f>
        <v/>
      </c>
      <c r="O786" s="16" t="str">
        <f aca="false">IF(N786="","",COUNTIFS($N$2:$N$1201,"&lt;"&amp;N786,$F$2:$F$1201,"&gt;0")+1)</f>
        <v/>
      </c>
    </row>
    <row r="787" customFormat="false" ht="15" hidden="false" customHeight="false" outlineLevel="0" collapsed="false">
      <c r="A787" s="11" t="str">
        <f aca="false">IF(_LEITURA!$N787="","",INDEX(_LEITURA!$K$2:$K$1201,_LEITURA!$N787))</f>
        <v/>
      </c>
      <c r="B787" s="11" t="str">
        <f aca="false">IF(_LEITURA!$N787="","",INDEX(_LEITURA!$E$2:$E$1201,_LEITURA!$N787))</f>
        <v/>
      </c>
      <c r="C787" s="11" t="str">
        <f aca="false">IF(_LEITURA!$N787="","",INDEX(_LEITURA!$J$2:$J$1201,_LEITURA!$N787))</f>
        <v/>
      </c>
      <c r="D787" s="16" t="str">
        <f aca="false">IF(_LEITURA!$N787="","",INDEX(_LEITURA!$G$2:$G$1201,_LEITURA!$N787))</f>
        <v/>
      </c>
      <c r="E787" s="16" t="str">
        <f aca="false">IF(B787="","",SUMIFS(INVENTÁRIO!$C$2:$C$801,INVENTÁRIO!$A$2:$A$801,B787))</f>
        <v/>
      </c>
      <c r="F787" s="16" t="str">
        <f aca="false">IF(B787="","",MAX(0,D787-E787))</f>
        <v/>
      </c>
      <c r="G787" s="16" t="str">
        <f aca="false">IF(B787="","",IF(COUNTIFS($B$2:$B$1201,B787,$A$2:$A$1201,"&lt;&gt;"&amp;A787)&gt;0,"Sim",""))</f>
        <v/>
      </c>
      <c r="H787" s="16" t="str">
        <f aca="false">IF(N(F787)&gt;0,MAX(H$1:H786)+1,"")</f>
        <v/>
      </c>
      <c r="I787" s="11" t="str">
        <f aca="false">IF(B787="","",IF(INDEX($C$2:$C$1201,MATCH(B787,$B$2:$B$1201,0))&lt;&gt;C787,"Nome diferente em outro deck — revisar",""))</f>
        <v/>
      </c>
      <c r="J787" s="16" t="str">
        <f aca="false">IF(AND(B787&lt;&gt;"",A787=BULK!$A$1,N(F787)&gt;0),MAX(J$1:J786)+1,"")</f>
        <v/>
      </c>
      <c r="K787" s="11" t="str">
        <f aca="false">IF(B787="","",IFERROR(LEFT(B787,FIND("-",B787)-1),B787))</f>
        <v/>
      </c>
      <c r="L787" s="11" t="str">
        <f aca="false">IF(K787="","",IF(ISNUMBER(--MID(K787,1,1)),0,IF(ISNUMBER(--MID(K787,2,1)),1,IF(ISNUMBER(--MID(K787,3,1)),2,IF(ISNUMBER(--MID(K787,4,1)),3,MIN(LEN(K787),4))))))</f>
        <v/>
      </c>
      <c r="M787" s="11" t="str">
        <f aca="false">IF(B787="","",LEFT(K787,L787)&amp;REPT("0",4-L787)&amp;RIGHT("000"&amp;IFERROR(VALUE(MID(K787,L787+1,9)),0),3)&amp;RIGHT("0000"&amp;IFERROR(VALUE(MID(B787,FIND("-",B787)+1,9)),0),4))</f>
        <v/>
      </c>
      <c r="N787" s="11" t="str">
        <f aca="false">IF(OR(B787="",N(F787)&lt;=0),"",IF('FALTAS POR DECK'!$P$1="Código","K"&amp;M787&amp;RIGHT("00000"&amp;ROW(),5),IF('FALTAS POR DECK'!$P$1="Nome","K"&amp;UPPER(SUBSTITUTE(SUBSTITUTE(SUBSTITUTE(C787,"*",""),"?",""),"~",""))&amp;"0"&amp;M787&amp;RIGHT("00000"&amp;ROW(),5),IF('FALTAS POR DECK'!$P$1="Falta (maior primeiro)","K"&amp;RIGHT("0000"&amp;(9999-F787),4)&amp;M787&amp;RIGHT("00000"&amp;ROW(),5),IF('FALTAS POR DECK'!$P$1="Deck e código","K"&amp;RIGHT("00"&amp;IFERROR(MATCH(A787,_LEITURA!$P$2:$P$21,0),99),2)&amp;M787&amp;RIGHT("00000"&amp;ROW(),5),"K"&amp;RIGHT("00000"&amp;ROW(),5))))))</f>
        <v/>
      </c>
      <c r="O787" s="16" t="str">
        <f aca="false">IF(N787="","",COUNTIFS($N$2:$N$1201,"&lt;"&amp;N787,$F$2:$F$1201,"&gt;0")+1)</f>
        <v/>
      </c>
    </row>
    <row r="788" customFormat="false" ht="15" hidden="false" customHeight="false" outlineLevel="0" collapsed="false">
      <c r="A788" s="11" t="str">
        <f aca="false">IF(_LEITURA!$N788="","",INDEX(_LEITURA!$K$2:$K$1201,_LEITURA!$N788))</f>
        <v/>
      </c>
      <c r="B788" s="11" t="str">
        <f aca="false">IF(_LEITURA!$N788="","",INDEX(_LEITURA!$E$2:$E$1201,_LEITURA!$N788))</f>
        <v/>
      </c>
      <c r="C788" s="11" t="str">
        <f aca="false">IF(_LEITURA!$N788="","",INDEX(_LEITURA!$J$2:$J$1201,_LEITURA!$N788))</f>
        <v/>
      </c>
      <c r="D788" s="16" t="str">
        <f aca="false">IF(_LEITURA!$N788="","",INDEX(_LEITURA!$G$2:$G$1201,_LEITURA!$N788))</f>
        <v/>
      </c>
      <c r="E788" s="16" t="str">
        <f aca="false">IF(B788="","",SUMIFS(INVENTÁRIO!$C$2:$C$801,INVENTÁRIO!$A$2:$A$801,B788))</f>
        <v/>
      </c>
      <c r="F788" s="16" t="str">
        <f aca="false">IF(B788="","",MAX(0,D788-E788))</f>
        <v/>
      </c>
      <c r="G788" s="16" t="str">
        <f aca="false">IF(B788="","",IF(COUNTIFS($B$2:$B$1201,B788,$A$2:$A$1201,"&lt;&gt;"&amp;A788)&gt;0,"Sim",""))</f>
        <v/>
      </c>
      <c r="H788" s="16" t="str">
        <f aca="false">IF(N(F788)&gt;0,MAX(H$1:H787)+1,"")</f>
        <v/>
      </c>
      <c r="I788" s="11" t="str">
        <f aca="false">IF(B788="","",IF(INDEX($C$2:$C$1201,MATCH(B788,$B$2:$B$1201,0))&lt;&gt;C788,"Nome diferente em outro deck — revisar",""))</f>
        <v/>
      </c>
      <c r="J788" s="16" t="str">
        <f aca="false">IF(AND(B788&lt;&gt;"",A788=BULK!$A$1,N(F788)&gt;0),MAX(J$1:J787)+1,"")</f>
        <v/>
      </c>
      <c r="K788" s="11" t="str">
        <f aca="false">IF(B788="","",IFERROR(LEFT(B788,FIND("-",B788)-1),B788))</f>
        <v/>
      </c>
      <c r="L788" s="11" t="str">
        <f aca="false">IF(K788="","",IF(ISNUMBER(--MID(K788,1,1)),0,IF(ISNUMBER(--MID(K788,2,1)),1,IF(ISNUMBER(--MID(K788,3,1)),2,IF(ISNUMBER(--MID(K788,4,1)),3,MIN(LEN(K788),4))))))</f>
        <v/>
      </c>
      <c r="M788" s="11" t="str">
        <f aca="false">IF(B788="","",LEFT(K788,L788)&amp;REPT("0",4-L788)&amp;RIGHT("000"&amp;IFERROR(VALUE(MID(K788,L788+1,9)),0),3)&amp;RIGHT("0000"&amp;IFERROR(VALUE(MID(B788,FIND("-",B788)+1,9)),0),4))</f>
        <v/>
      </c>
      <c r="N788" s="11" t="str">
        <f aca="false">IF(OR(B788="",N(F788)&lt;=0),"",IF('FALTAS POR DECK'!$P$1="Código","K"&amp;M788&amp;RIGHT("00000"&amp;ROW(),5),IF('FALTAS POR DECK'!$P$1="Nome","K"&amp;UPPER(SUBSTITUTE(SUBSTITUTE(SUBSTITUTE(C788,"*",""),"?",""),"~",""))&amp;"0"&amp;M788&amp;RIGHT("00000"&amp;ROW(),5),IF('FALTAS POR DECK'!$P$1="Falta (maior primeiro)","K"&amp;RIGHT("0000"&amp;(9999-F788),4)&amp;M788&amp;RIGHT("00000"&amp;ROW(),5),IF('FALTAS POR DECK'!$P$1="Deck e código","K"&amp;RIGHT("00"&amp;IFERROR(MATCH(A788,_LEITURA!$P$2:$P$21,0),99),2)&amp;M788&amp;RIGHT("00000"&amp;ROW(),5),"K"&amp;RIGHT("00000"&amp;ROW(),5))))))</f>
        <v/>
      </c>
      <c r="O788" s="16" t="str">
        <f aca="false">IF(N788="","",COUNTIFS($N$2:$N$1201,"&lt;"&amp;N788,$F$2:$F$1201,"&gt;0")+1)</f>
        <v/>
      </c>
    </row>
    <row r="789" customFormat="false" ht="15" hidden="false" customHeight="false" outlineLevel="0" collapsed="false">
      <c r="A789" s="11" t="str">
        <f aca="false">IF(_LEITURA!$N789="","",INDEX(_LEITURA!$K$2:$K$1201,_LEITURA!$N789))</f>
        <v/>
      </c>
      <c r="B789" s="11" t="str">
        <f aca="false">IF(_LEITURA!$N789="","",INDEX(_LEITURA!$E$2:$E$1201,_LEITURA!$N789))</f>
        <v/>
      </c>
      <c r="C789" s="11" t="str">
        <f aca="false">IF(_LEITURA!$N789="","",INDEX(_LEITURA!$J$2:$J$1201,_LEITURA!$N789))</f>
        <v/>
      </c>
      <c r="D789" s="16" t="str">
        <f aca="false">IF(_LEITURA!$N789="","",INDEX(_LEITURA!$G$2:$G$1201,_LEITURA!$N789))</f>
        <v/>
      </c>
      <c r="E789" s="16" t="str">
        <f aca="false">IF(B789="","",SUMIFS(INVENTÁRIO!$C$2:$C$801,INVENTÁRIO!$A$2:$A$801,B789))</f>
        <v/>
      </c>
      <c r="F789" s="16" t="str">
        <f aca="false">IF(B789="","",MAX(0,D789-E789))</f>
        <v/>
      </c>
      <c r="G789" s="16" t="str">
        <f aca="false">IF(B789="","",IF(COUNTIFS($B$2:$B$1201,B789,$A$2:$A$1201,"&lt;&gt;"&amp;A789)&gt;0,"Sim",""))</f>
        <v/>
      </c>
      <c r="H789" s="16" t="str">
        <f aca="false">IF(N(F789)&gt;0,MAX(H$1:H788)+1,"")</f>
        <v/>
      </c>
      <c r="I789" s="11" t="str">
        <f aca="false">IF(B789="","",IF(INDEX($C$2:$C$1201,MATCH(B789,$B$2:$B$1201,0))&lt;&gt;C789,"Nome diferente em outro deck — revisar",""))</f>
        <v/>
      </c>
      <c r="J789" s="16" t="str">
        <f aca="false">IF(AND(B789&lt;&gt;"",A789=BULK!$A$1,N(F789)&gt;0),MAX(J$1:J788)+1,"")</f>
        <v/>
      </c>
      <c r="K789" s="11" t="str">
        <f aca="false">IF(B789="","",IFERROR(LEFT(B789,FIND("-",B789)-1),B789))</f>
        <v/>
      </c>
      <c r="L789" s="11" t="str">
        <f aca="false">IF(K789="","",IF(ISNUMBER(--MID(K789,1,1)),0,IF(ISNUMBER(--MID(K789,2,1)),1,IF(ISNUMBER(--MID(K789,3,1)),2,IF(ISNUMBER(--MID(K789,4,1)),3,MIN(LEN(K789),4))))))</f>
        <v/>
      </c>
      <c r="M789" s="11" t="str">
        <f aca="false">IF(B789="","",LEFT(K789,L789)&amp;REPT("0",4-L789)&amp;RIGHT("000"&amp;IFERROR(VALUE(MID(K789,L789+1,9)),0),3)&amp;RIGHT("0000"&amp;IFERROR(VALUE(MID(B789,FIND("-",B789)+1,9)),0),4))</f>
        <v/>
      </c>
      <c r="N789" s="11" t="str">
        <f aca="false">IF(OR(B789="",N(F789)&lt;=0),"",IF('FALTAS POR DECK'!$P$1="Código","K"&amp;M789&amp;RIGHT("00000"&amp;ROW(),5),IF('FALTAS POR DECK'!$P$1="Nome","K"&amp;UPPER(SUBSTITUTE(SUBSTITUTE(SUBSTITUTE(C789,"*",""),"?",""),"~",""))&amp;"0"&amp;M789&amp;RIGHT("00000"&amp;ROW(),5),IF('FALTAS POR DECK'!$P$1="Falta (maior primeiro)","K"&amp;RIGHT("0000"&amp;(9999-F789),4)&amp;M789&amp;RIGHT("00000"&amp;ROW(),5),IF('FALTAS POR DECK'!$P$1="Deck e código","K"&amp;RIGHT("00"&amp;IFERROR(MATCH(A789,_LEITURA!$P$2:$P$21,0),99),2)&amp;M789&amp;RIGHT("00000"&amp;ROW(),5),"K"&amp;RIGHT("00000"&amp;ROW(),5))))))</f>
        <v/>
      </c>
      <c r="O789" s="16" t="str">
        <f aca="false">IF(N789="","",COUNTIFS($N$2:$N$1201,"&lt;"&amp;N789,$F$2:$F$1201,"&gt;0")+1)</f>
        <v/>
      </c>
    </row>
    <row r="790" customFormat="false" ht="15" hidden="false" customHeight="false" outlineLevel="0" collapsed="false">
      <c r="A790" s="11" t="str">
        <f aca="false">IF(_LEITURA!$N790="","",INDEX(_LEITURA!$K$2:$K$1201,_LEITURA!$N790))</f>
        <v/>
      </c>
      <c r="B790" s="11" t="str">
        <f aca="false">IF(_LEITURA!$N790="","",INDEX(_LEITURA!$E$2:$E$1201,_LEITURA!$N790))</f>
        <v/>
      </c>
      <c r="C790" s="11" t="str">
        <f aca="false">IF(_LEITURA!$N790="","",INDEX(_LEITURA!$J$2:$J$1201,_LEITURA!$N790))</f>
        <v/>
      </c>
      <c r="D790" s="16" t="str">
        <f aca="false">IF(_LEITURA!$N790="","",INDEX(_LEITURA!$G$2:$G$1201,_LEITURA!$N790))</f>
        <v/>
      </c>
      <c r="E790" s="16" t="str">
        <f aca="false">IF(B790="","",SUMIFS(INVENTÁRIO!$C$2:$C$801,INVENTÁRIO!$A$2:$A$801,B790))</f>
        <v/>
      </c>
      <c r="F790" s="16" t="str">
        <f aca="false">IF(B790="","",MAX(0,D790-E790))</f>
        <v/>
      </c>
      <c r="G790" s="16" t="str">
        <f aca="false">IF(B790="","",IF(COUNTIFS($B$2:$B$1201,B790,$A$2:$A$1201,"&lt;&gt;"&amp;A790)&gt;0,"Sim",""))</f>
        <v/>
      </c>
      <c r="H790" s="16" t="str">
        <f aca="false">IF(N(F790)&gt;0,MAX(H$1:H789)+1,"")</f>
        <v/>
      </c>
      <c r="I790" s="11" t="str">
        <f aca="false">IF(B790="","",IF(INDEX($C$2:$C$1201,MATCH(B790,$B$2:$B$1201,0))&lt;&gt;C790,"Nome diferente em outro deck — revisar",""))</f>
        <v/>
      </c>
      <c r="J790" s="16" t="str">
        <f aca="false">IF(AND(B790&lt;&gt;"",A790=BULK!$A$1,N(F790)&gt;0),MAX(J$1:J789)+1,"")</f>
        <v/>
      </c>
      <c r="K790" s="11" t="str">
        <f aca="false">IF(B790="","",IFERROR(LEFT(B790,FIND("-",B790)-1),B790))</f>
        <v/>
      </c>
      <c r="L790" s="11" t="str">
        <f aca="false">IF(K790="","",IF(ISNUMBER(--MID(K790,1,1)),0,IF(ISNUMBER(--MID(K790,2,1)),1,IF(ISNUMBER(--MID(K790,3,1)),2,IF(ISNUMBER(--MID(K790,4,1)),3,MIN(LEN(K790),4))))))</f>
        <v/>
      </c>
      <c r="M790" s="11" t="str">
        <f aca="false">IF(B790="","",LEFT(K790,L790)&amp;REPT("0",4-L790)&amp;RIGHT("000"&amp;IFERROR(VALUE(MID(K790,L790+1,9)),0),3)&amp;RIGHT("0000"&amp;IFERROR(VALUE(MID(B790,FIND("-",B790)+1,9)),0),4))</f>
        <v/>
      </c>
      <c r="N790" s="11" t="str">
        <f aca="false">IF(OR(B790="",N(F790)&lt;=0),"",IF('FALTAS POR DECK'!$P$1="Código","K"&amp;M790&amp;RIGHT("00000"&amp;ROW(),5),IF('FALTAS POR DECK'!$P$1="Nome","K"&amp;UPPER(SUBSTITUTE(SUBSTITUTE(SUBSTITUTE(C790,"*",""),"?",""),"~",""))&amp;"0"&amp;M790&amp;RIGHT("00000"&amp;ROW(),5),IF('FALTAS POR DECK'!$P$1="Falta (maior primeiro)","K"&amp;RIGHT("0000"&amp;(9999-F790),4)&amp;M790&amp;RIGHT("00000"&amp;ROW(),5),IF('FALTAS POR DECK'!$P$1="Deck e código","K"&amp;RIGHT("00"&amp;IFERROR(MATCH(A790,_LEITURA!$P$2:$P$21,0),99),2)&amp;M790&amp;RIGHT("00000"&amp;ROW(),5),"K"&amp;RIGHT("00000"&amp;ROW(),5))))))</f>
        <v/>
      </c>
      <c r="O790" s="16" t="str">
        <f aca="false">IF(N790="","",COUNTIFS($N$2:$N$1201,"&lt;"&amp;N790,$F$2:$F$1201,"&gt;0")+1)</f>
        <v/>
      </c>
    </row>
    <row r="791" customFormat="false" ht="15" hidden="false" customHeight="false" outlineLevel="0" collapsed="false">
      <c r="A791" s="11" t="str">
        <f aca="false">IF(_LEITURA!$N791="","",INDEX(_LEITURA!$K$2:$K$1201,_LEITURA!$N791))</f>
        <v/>
      </c>
      <c r="B791" s="11" t="str">
        <f aca="false">IF(_LEITURA!$N791="","",INDEX(_LEITURA!$E$2:$E$1201,_LEITURA!$N791))</f>
        <v/>
      </c>
      <c r="C791" s="11" t="str">
        <f aca="false">IF(_LEITURA!$N791="","",INDEX(_LEITURA!$J$2:$J$1201,_LEITURA!$N791))</f>
        <v/>
      </c>
      <c r="D791" s="16" t="str">
        <f aca="false">IF(_LEITURA!$N791="","",INDEX(_LEITURA!$G$2:$G$1201,_LEITURA!$N791))</f>
        <v/>
      </c>
      <c r="E791" s="16" t="str">
        <f aca="false">IF(B791="","",SUMIFS(INVENTÁRIO!$C$2:$C$801,INVENTÁRIO!$A$2:$A$801,B791))</f>
        <v/>
      </c>
      <c r="F791" s="16" t="str">
        <f aca="false">IF(B791="","",MAX(0,D791-E791))</f>
        <v/>
      </c>
      <c r="G791" s="16" t="str">
        <f aca="false">IF(B791="","",IF(COUNTIFS($B$2:$B$1201,B791,$A$2:$A$1201,"&lt;&gt;"&amp;A791)&gt;0,"Sim",""))</f>
        <v/>
      </c>
      <c r="H791" s="16" t="str">
        <f aca="false">IF(N(F791)&gt;0,MAX(H$1:H790)+1,"")</f>
        <v/>
      </c>
      <c r="I791" s="11" t="str">
        <f aca="false">IF(B791="","",IF(INDEX($C$2:$C$1201,MATCH(B791,$B$2:$B$1201,0))&lt;&gt;C791,"Nome diferente em outro deck — revisar",""))</f>
        <v/>
      </c>
      <c r="J791" s="16" t="str">
        <f aca="false">IF(AND(B791&lt;&gt;"",A791=BULK!$A$1,N(F791)&gt;0),MAX(J$1:J790)+1,"")</f>
        <v/>
      </c>
      <c r="K791" s="11" t="str">
        <f aca="false">IF(B791="","",IFERROR(LEFT(B791,FIND("-",B791)-1),B791))</f>
        <v/>
      </c>
      <c r="L791" s="11" t="str">
        <f aca="false">IF(K791="","",IF(ISNUMBER(--MID(K791,1,1)),0,IF(ISNUMBER(--MID(K791,2,1)),1,IF(ISNUMBER(--MID(K791,3,1)),2,IF(ISNUMBER(--MID(K791,4,1)),3,MIN(LEN(K791),4))))))</f>
        <v/>
      </c>
      <c r="M791" s="11" t="str">
        <f aca="false">IF(B791="","",LEFT(K791,L791)&amp;REPT("0",4-L791)&amp;RIGHT("000"&amp;IFERROR(VALUE(MID(K791,L791+1,9)),0),3)&amp;RIGHT("0000"&amp;IFERROR(VALUE(MID(B791,FIND("-",B791)+1,9)),0),4))</f>
        <v/>
      </c>
      <c r="N791" s="11" t="str">
        <f aca="false">IF(OR(B791="",N(F791)&lt;=0),"",IF('FALTAS POR DECK'!$P$1="Código","K"&amp;M791&amp;RIGHT("00000"&amp;ROW(),5),IF('FALTAS POR DECK'!$P$1="Nome","K"&amp;UPPER(SUBSTITUTE(SUBSTITUTE(SUBSTITUTE(C791,"*",""),"?",""),"~",""))&amp;"0"&amp;M791&amp;RIGHT("00000"&amp;ROW(),5),IF('FALTAS POR DECK'!$P$1="Falta (maior primeiro)","K"&amp;RIGHT("0000"&amp;(9999-F791),4)&amp;M791&amp;RIGHT("00000"&amp;ROW(),5),IF('FALTAS POR DECK'!$P$1="Deck e código","K"&amp;RIGHT("00"&amp;IFERROR(MATCH(A791,_LEITURA!$P$2:$P$21,0),99),2)&amp;M791&amp;RIGHT("00000"&amp;ROW(),5),"K"&amp;RIGHT("00000"&amp;ROW(),5))))))</f>
        <v/>
      </c>
      <c r="O791" s="16" t="str">
        <f aca="false">IF(N791="","",COUNTIFS($N$2:$N$1201,"&lt;"&amp;N791,$F$2:$F$1201,"&gt;0")+1)</f>
        <v/>
      </c>
    </row>
    <row r="792" customFormat="false" ht="15" hidden="false" customHeight="false" outlineLevel="0" collapsed="false">
      <c r="A792" s="11" t="str">
        <f aca="false">IF(_LEITURA!$N792="","",INDEX(_LEITURA!$K$2:$K$1201,_LEITURA!$N792))</f>
        <v/>
      </c>
      <c r="B792" s="11" t="str">
        <f aca="false">IF(_LEITURA!$N792="","",INDEX(_LEITURA!$E$2:$E$1201,_LEITURA!$N792))</f>
        <v/>
      </c>
      <c r="C792" s="11" t="str">
        <f aca="false">IF(_LEITURA!$N792="","",INDEX(_LEITURA!$J$2:$J$1201,_LEITURA!$N792))</f>
        <v/>
      </c>
      <c r="D792" s="16" t="str">
        <f aca="false">IF(_LEITURA!$N792="","",INDEX(_LEITURA!$G$2:$G$1201,_LEITURA!$N792))</f>
        <v/>
      </c>
      <c r="E792" s="16" t="str">
        <f aca="false">IF(B792="","",SUMIFS(INVENTÁRIO!$C$2:$C$801,INVENTÁRIO!$A$2:$A$801,B792))</f>
        <v/>
      </c>
      <c r="F792" s="16" t="str">
        <f aca="false">IF(B792="","",MAX(0,D792-E792))</f>
        <v/>
      </c>
      <c r="G792" s="16" t="str">
        <f aca="false">IF(B792="","",IF(COUNTIFS($B$2:$B$1201,B792,$A$2:$A$1201,"&lt;&gt;"&amp;A792)&gt;0,"Sim",""))</f>
        <v/>
      </c>
      <c r="H792" s="16" t="str">
        <f aca="false">IF(N(F792)&gt;0,MAX(H$1:H791)+1,"")</f>
        <v/>
      </c>
      <c r="I792" s="11" t="str">
        <f aca="false">IF(B792="","",IF(INDEX($C$2:$C$1201,MATCH(B792,$B$2:$B$1201,0))&lt;&gt;C792,"Nome diferente em outro deck — revisar",""))</f>
        <v/>
      </c>
      <c r="J792" s="16" t="str">
        <f aca="false">IF(AND(B792&lt;&gt;"",A792=BULK!$A$1,N(F792)&gt;0),MAX(J$1:J791)+1,"")</f>
        <v/>
      </c>
      <c r="K792" s="11" t="str">
        <f aca="false">IF(B792="","",IFERROR(LEFT(B792,FIND("-",B792)-1),B792))</f>
        <v/>
      </c>
      <c r="L792" s="11" t="str">
        <f aca="false">IF(K792="","",IF(ISNUMBER(--MID(K792,1,1)),0,IF(ISNUMBER(--MID(K792,2,1)),1,IF(ISNUMBER(--MID(K792,3,1)),2,IF(ISNUMBER(--MID(K792,4,1)),3,MIN(LEN(K792),4))))))</f>
        <v/>
      </c>
      <c r="M792" s="11" t="str">
        <f aca="false">IF(B792="","",LEFT(K792,L792)&amp;REPT("0",4-L792)&amp;RIGHT("000"&amp;IFERROR(VALUE(MID(K792,L792+1,9)),0),3)&amp;RIGHT("0000"&amp;IFERROR(VALUE(MID(B792,FIND("-",B792)+1,9)),0),4))</f>
        <v/>
      </c>
      <c r="N792" s="11" t="str">
        <f aca="false">IF(OR(B792="",N(F792)&lt;=0),"",IF('FALTAS POR DECK'!$P$1="Código","K"&amp;M792&amp;RIGHT("00000"&amp;ROW(),5),IF('FALTAS POR DECK'!$P$1="Nome","K"&amp;UPPER(SUBSTITUTE(SUBSTITUTE(SUBSTITUTE(C792,"*",""),"?",""),"~",""))&amp;"0"&amp;M792&amp;RIGHT("00000"&amp;ROW(),5),IF('FALTAS POR DECK'!$P$1="Falta (maior primeiro)","K"&amp;RIGHT("0000"&amp;(9999-F792),4)&amp;M792&amp;RIGHT("00000"&amp;ROW(),5),IF('FALTAS POR DECK'!$P$1="Deck e código","K"&amp;RIGHT("00"&amp;IFERROR(MATCH(A792,_LEITURA!$P$2:$P$21,0),99),2)&amp;M792&amp;RIGHT("00000"&amp;ROW(),5),"K"&amp;RIGHT("00000"&amp;ROW(),5))))))</f>
        <v/>
      </c>
      <c r="O792" s="16" t="str">
        <f aca="false">IF(N792="","",COUNTIFS($N$2:$N$1201,"&lt;"&amp;N792,$F$2:$F$1201,"&gt;0")+1)</f>
        <v/>
      </c>
    </row>
    <row r="793" customFormat="false" ht="15" hidden="false" customHeight="false" outlineLevel="0" collapsed="false">
      <c r="A793" s="11" t="str">
        <f aca="false">IF(_LEITURA!$N793="","",INDEX(_LEITURA!$K$2:$K$1201,_LEITURA!$N793))</f>
        <v/>
      </c>
      <c r="B793" s="11" t="str">
        <f aca="false">IF(_LEITURA!$N793="","",INDEX(_LEITURA!$E$2:$E$1201,_LEITURA!$N793))</f>
        <v/>
      </c>
      <c r="C793" s="11" t="str">
        <f aca="false">IF(_LEITURA!$N793="","",INDEX(_LEITURA!$J$2:$J$1201,_LEITURA!$N793))</f>
        <v/>
      </c>
      <c r="D793" s="16" t="str">
        <f aca="false">IF(_LEITURA!$N793="","",INDEX(_LEITURA!$G$2:$G$1201,_LEITURA!$N793))</f>
        <v/>
      </c>
      <c r="E793" s="16" t="str">
        <f aca="false">IF(B793="","",SUMIFS(INVENTÁRIO!$C$2:$C$801,INVENTÁRIO!$A$2:$A$801,B793))</f>
        <v/>
      </c>
      <c r="F793" s="16" t="str">
        <f aca="false">IF(B793="","",MAX(0,D793-E793))</f>
        <v/>
      </c>
      <c r="G793" s="16" t="str">
        <f aca="false">IF(B793="","",IF(COUNTIFS($B$2:$B$1201,B793,$A$2:$A$1201,"&lt;&gt;"&amp;A793)&gt;0,"Sim",""))</f>
        <v/>
      </c>
      <c r="H793" s="16" t="str">
        <f aca="false">IF(N(F793)&gt;0,MAX(H$1:H792)+1,"")</f>
        <v/>
      </c>
      <c r="I793" s="11" t="str">
        <f aca="false">IF(B793="","",IF(INDEX($C$2:$C$1201,MATCH(B793,$B$2:$B$1201,0))&lt;&gt;C793,"Nome diferente em outro deck — revisar",""))</f>
        <v/>
      </c>
      <c r="J793" s="16" t="str">
        <f aca="false">IF(AND(B793&lt;&gt;"",A793=BULK!$A$1,N(F793)&gt;0),MAX(J$1:J792)+1,"")</f>
        <v/>
      </c>
      <c r="K793" s="11" t="str">
        <f aca="false">IF(B793="","",IFERROR(LEFT(B793,FIND("-",B793)-1),B793))</f>
        <v/>
      </c>
      <c r="L793" s="11" t="str">
        <f aca="false">IF(K793="","",IF(ISNUMBER(--MID(K793,1,1)),0,IF(ISNUMBER(--MID(K793,2,1)),1,IF(ISNUMBER(--MID(K793,3,1)),2,IF(ISNUMBER(--MID(K793,4,1)),3,MIN(LEN(K793),4))))))</f>
        <v/>
      </c>
      <c r="M793" s="11" t="str">
        <f aca="false">IF(B793="","",LEFT(K793,L793)&amp;REPT("0",4-L793)&amp;RIGHT("000"&amp;IFERROR(VALUE(MID(K793,L793+1,9)),0),3)&amp;RIGHT("0000"&amp;IFERROR(VALUE(MID(B793,FIND("-",B793)+1,9)),0),4))</f>
        <v/>
      </c>
      <c r="N793" s="11" t="str">
        <f aca="false">IF(OR(B793="",N(F793)&lt;=0),"",IF('FALTAS POR DECK'!$P$1="Código","K"&amp;M793&amp;RIGHT("00000"&amp;ROW(),5),IF('FALTAS POR DECK'!$P$1="Nome","K"&amp;UPPER(SUBSTITUTE(SUBSTITUTE(SUBSTITUTE(C793,"*",""),"?",""),"~",""))&amp;"0"&amp;M793&amp;RIGHT("00000"&amp;ROW(),5),IF('FALTAS POR DECK'!$P$1="Falta (maior primeiro)","K"&amp;RIGHT("0000"&amp;(9999-F793),4)&amp;M793&amp;RIGHT("00000"&amp;ROW(),5),IF('FALTAS POR DECK'!$P$1="Deck e código","K"&amp;RIGHT("00"&amp;IFERROR(MATCH(A793,_LEITURA!$P$2:$P$21,0),99),2)&amp;M793&amp;RIGHT("00000"&amp;ROW(),5),"K"&amp;RIGHT("00000"&amp;ROW(),5))))))</f>
        <v/>
      </c>
      <c r="O793" s="16" t="str">
        <f aca="false">IF(N793="","",COUNTIFS($N$2:$N$1201,"&lt;"&amp;N793,$F$2:$F$1201,"&gt;0")+1)</f>
        <v/>
      </c>
    </row>
    <row r="794" customFormat="false" ht="15" hidden="false" customHeight="false" outlineLevel="0" collapsed="false">
      <c r="A794" s="11" t="str">
        <f aca="false">IF(_LEITURA!$N794="","",INDEX(_LEITURA!$K$2:$K$1201,_LEITURA!$N794))</f>
        <v/>
      </c>
      <c r="B794" s="11" t="str">
        <f aca="false">IF(_LEITURA!$N794="","",INDEX(_LEITURA!$E$2:$E$1201,_LEITURA!$N794))</f>
        <v/>
      </c>
      <c r="C794" s="11" t="str">
        <f aca="false">IF(_LEITURA!$N794="","",INDEX(_LEITURA!$J$2:$J$1201,_LEITURA!$N794))</f>
        <v/>
      </c>
      <c r="D794" s="16" t="str">
        <f aca="false">IF(_LEITURA!$N794="","",INDEX(_LEITURA!$G$2:$G$1201,_LEITURA!$N794))</f>
        <v/>
      </c>
      <c r="E794" s="16" t="str">
        <f aca="false">IF(B794="","",SUMIFS(INVENTÁRIO!$C$2:$C$801,INVENTÁRIO!$A$2:$A$801,B794))</f>
        <v/>
      </c>
      <c r="F794" s="16" t="str">
        <f aca="false">IF(B794="","",MAX(0,D794-E794))</f>
        <v/>
      </c>
      <c r="G794" s="16" t="str">
        <f aca="false">IF(B794="","",IF(COUNTIFS($B$2:$B$1201,B794,$A$2:$A$1201,"&lt;&gt;"&amp;A794)&gt;0,"Sim",""))</f>
        <v/>
      </c>
      <c r="H794" s="16" t="str">
        <f aca="false">IF(N(F794)&gt;0,MAX(H$1:H793)+1,"")</f>
        <v/>
      </c>
      <c r="I794" s="11" t="str">
        <f aca="false">IF(B794="","",IF(INDEX($C$2:$C$1201,MATCH(B794,$B$2:$B$1201,0))&lt;&gt;C794,"Nome diferente em outro deck — revisar",""))</f>
        <v/>
      </c>
      <c r="J794" s="16" t="str">
        <f aca="false">IF(AND(B794&lt;&gt;"",A794=BULK!$A$1,N(F794)&gt;0),MAX(J$1:J793)+1,"")</f>
        <v/>
      </c>
      <c r="K794" s="11" t="str">
        <f aca="false">IF(B794="","",IFERROR(LEFT(B794,FIND("-",B794)-1),B794))</f>
        <v/>
      </c>
      <c r="L794" s="11" t="str">
        <f aca="false">IF(K794="","",IF(ISNUMBER(--MID(K794,1,1)),0,IF(ISNUMBER(--MID(K794,2,1)),1,IF(ISNUMBER(--MID(K794,3,1)),2,IF(ISNUMBER(--MID(K794,4,1)),3,MIN(LEN(K794),4))))))</f>
        <v/>
      </c>
      <c r="M794" s="11" t="str">
        <f aca="false">IF(B794="","",LEFT(K794,L794)&amp;REPT("0",4-L794)&amp;RIGHT("000"&amp;IFERROR(VALUE(MID(K794,L794+1,9)),0),3)&amp;RIGHT("0000"&amp;IFERROR(VALUE(MID(B794,FIND("-",B794)+1,9)),0),4))</f>
        <v/>
      </c>
      <c r="N794" s="11" t="str">
        <f aca="false">IF(OR(B794="",N(F794)&lt;=0),"",IF('FALTAS POR DECK'!$P$1="Código","K"&amp;M794&amp;RIGHT("00000"&amp;ROW(),5),IF('FALTAS POR DECK'!$P$1="Nome","K"&amp;UPPER(SUBSTITUTE(SUBSTITUTE(SUBSTITUTE(C794,"*",""),"?",""),"~",""))&amp;"0"&amp;M794&amp;RIGHT("00000"&amp;ROW(),5),IF('FALTAS POR DECK'!$P$1="Falta (maior primeiro)","K"&amp;RIGHT("0000"&amp;(9999-F794),4)&amp;M794&amp;RIGHT("00000"&amp;ROW(),5),IF('FALTAS POR DECK'!$P$1="Deck e código","K"&amp;RIGHT("00"&amp;IFERROR(MATCH(A794,_LEITURA!$P$2:$P$21,0),99),2)&amp;M794&amp;RIGHT("00000"&amp;ROW(),5),"K"&amp;RIGHT("00000"&amp;ROW(),5))))))</f>
        <v/>
      </c>
      <c r="O794" s="16" t="str">
        <f aca="false">IF(N794="","",COUNTIFS($N$2:$N$1201,"&lt;"&amp;N794,$F$2:$F$1201,"&gt;0")+1)</f>
        <v/>
      </c>
    </row>
    <row r="795" customFormat="false" ht="15" hidden="false" customHeight="false" outlineLevel="0" collapsed="false">
      <c r="A795" s="11" t="str">
        <f aca="false">IF(_LEITURA!$N795="","",INDEX(_LEITURA!$K$2:$K$1201,_LEITURA!$N795))</f>
        <v/>
      </c>
      <c r="B795" s="11" t="str">
        <f aca="false">IF(_LEITURA!$N795="","",INDEX(_LEITURA!$E$2:$E$1201,_LEITURA!$N795))</f>
        <v/>
      </c>
      <c r="C795" s="11" t="str">
        <f aca="false">IF(_LEITURA!$N795="","",INDEX(_LEITURA!$J$2:$J$1201,_LEITURA!$N795))</f>
        <v/>
      </c>
      <c r="D795" s="16" t="str">
        <f aca="false">IF(_LEITURA!$N795="","",INDEX(_LEITURA!$G$2:$G$1201,_LEITURA!$N795))</f>
        <v/>
      </c>
      <c r="E795" s="16" t="str">
        <f aca="false">IF(B795="","",SUMIFS(INVENTÁRIO!$C$2:$C$801,INVENTÁRIO!$A$2:$A$801,B795))</f>
        <v/>
      </c>
      <c r="F795" s="16" t="str">
        <f aca="false">IF(B795="","",MAX(0,D795-E795))</f>
        <v/>
      </c>
      <c r="G795" s="16" t="str">
        <f aca="false">IF(B795="","",IF(COUNTIFS($B$2:$B$1201,B795,$A$2:$A$1201,"&lt;&gt;"&amp;A795)&gt;0,"Sim",""))</f>
        <v/>
      </c>
      <c r="H795" s="16" t="str">
        <f aca="false">IF(N(F795)&gt;0,MAX(H$1:H794)+1,"")</f>
        <v/>
      </c>
      <c r="I795" s="11" t="str">
        <f aca="false">IF(B795="","",IF(INDEX($C$2:$C$1201,MATCH(B795,$B$2:$B$1201,0))&lt;&gt;C795,"Nome diferente em outro deck — revisar",""))</f>
        <v/>
      </c>
      <c r="J795" s="16" t="str">
        <f aca="false">IF(AND(B795&lt;&gt;"",A795=BULK!$A$1,N(F795)&gt;0),MAX(J$1:J794)+1,"")</f>
        <v/>
      </c>
      <c r="K795" s="11" t="str">
        <f aca="false">IF(B795="","",IFERROR(LEFT(B795,FIND("-",B795)-1),B795))</f>
        <v/>
      </c>
      <c r="L795" s="11" t="str">
        <f aca="false">IF(K795="","",IF(ISNUMBER(--MID(K795,1,1)),0,IF(ISNUMBER(--MID(K795,2,1)),1,IF(ISNUMBER(--MID(K795,3,1)),2,IF(ISNUMBER(--MID(K795,4,1)),3,MIN(LEN(K795),4))))))</f>
        <v/>
      </c>
      <c r="M795" s="11" t="str">
        <f aca="false">IF(B795="","",LEFT(K795,L795)&amp;REPT("0",4-L795)&amp;RIGHT("000"&amp;IFERROR(VALUE(MID(K795,L795+1,9)),0),3)&amp;RIGHT("0000"&amp;IFERROR(VALUE(MID(B795,FIND("-",B795)+1,9)),0),4))</f>
        <v/>
      </c>
      <c r="N795" s="11" t="str">
        <f aca="false">IF(OR(B795="",N(F795)&lt;=0),"",IF('FALTAS POR DECK'!$P$1="Código","K"&amp;M795&amp;RIGHT("00000"&amp;ROW(),5),IF('FALTAS POR DECK'!$P$1="Nome","K"&amp;UPPER(SUBSTITUTE(SUBSTITUTE(SUBSTITUTE(C795,"*",""),"?",""),"~",""))&amp;"0"&amp;M795&amp;RIGHT("00000"&amp;ROW(),5),IF('FALTAS POR DECK'!$P$1="Falta (maior primeiro)","K"&amp;RIGHT("0000"&amp;(9999-F795),4)&amp;M795&amp;RIGHT("00000"&amp;ROW(),5),IF('FALTAS POR DECK'!$P$1="Deck e código","K"&amp;RIGHT("00"&amp;IFERROR(MATCH(A795,_LEITURA!$P$2:$P$21,0),99),2)&amp;M795&amp;RIGHT("00000"&amp;ROW(),5),"K"&amp;RIGHT("00000"&amp;ROW(),5))))))</f>
        <v/>
      </c>
      <c r="O795" s="16" t="str">
        <f aca="false">IF(N795="","",COUNTIFS($N$2:$N$1201,"&lt;"&amp;N795,$F$2:$F$1201,"&gt;0")+1)</f>
        <v/>
      </c>
    </row>
    <row r="796" customFormat="false" ht="15" hidden="false" customHeight="false" outlineLevel="0" collapsed="false">
      <c r="A796" s="11" t="str">
        <f aca="false">IF(_LEITURA!$N796="","",INDEX(_LEITURA!$K$2:$K$1201,_LEITURA!$N796))</f>
        <v/>
      </c>
      <c r="B796" s="11" t="str">
        <f aca="false">IF(_LEITURA!$N796="","",INDEX(_LEITURA!$E$2:$E$1201,_LEITURA!$N796))</f>
        <v/>
      </c>
      <c r="C796" s="11" t="str">
        <f aca="false">IF(_LEITURA!$N796="","",INDEX(_LEITURA!$J$2:$J$1201,_LEITURA!$N796))</f>
        <v/>
      </c>
      <c r="D796" s="16" t="str">
        <f aca="false">IF(_LEITURA!$N796="","",INDEX(_LEITURA!$G$2:$G$1201,_LEITURA!$N796))</f>
        <v/>
      </c>
      <c r="E796" s="16" t="str">
        <f aca="false">IF(B796="","",SUMIFS(INVENTÁRIO!$C$2:$C$801,INVENTÁRIO!$A$2:$A$801,B796))</f>
        <v/>
      </c>
      <c r="F796" s="16" t="str">
        <f aca="false">IF(B796="","",MAX(0,D796-E796))</f>
        <v/>
      </c>
      <c r="G796" s="16" t="str">
        <f aca="false">IF(B796="","",IF(COUNTIFS($B$2:$B$1201,B796,$A$2:$A$1201,"&lt;&gt;"&amp;A796)&gt;0,"Sim",""))</f>
        <v/>
      </c>
      <c r="H796" s="16" t="str">
        <f aca="false">IF(N(F796)&gt;0,MAX(H$1:H795)+1,"")</f>
        <v/>
      </c>
      <c r="I796" s="11" t="str">
        <f aca="false">IF(B796="","",IF(INDEX($C$2:$C$1201,MATCH(B796,$B$2:$B$1201,0))&lt;&gt;C796,"Nome diferente em outro deck — revisar",""))</f>
        <v/>
      </c>
      <c r="J796" s="16" t="str">
        <f aca="false">IF(AND(B796&lt;&gt;"",A796=BULK!$A$1,N(F796)&gt;0),MAX(J$1:J795)+1,"")</f>
        <v/>
      </c>
      <c r="K796" s="11" t="str">
        <f aca="false">IF(B796="","",IFERROR(LEFT(B796,FIND("-",B796)-1),B796))</f>
        <v/>
      </c>
      <c r="L796" s="11" t="str">
        <f aca="false">IF(K796="","",IF(ISNUMBER(--MID(K796,1,1)),0,IF(ISNUMBER(--MID(K796,2,1)),1,IF(ISNUMBER(--MID(K796,3,1)),2,IF(ISNUMBER(--MID(K796,4,1)),3,MIN(LEN(K796),4))))))</f>
        <v/>
      </c>
      <c r="M796" s="11" t="str">
        <f aca="false">IF(B796="","",LEFT(K796,L796)&amp;REPT("0",4-L796)&amp;RIGHT("000"&amp;IFERROR(VALUE(MID(K796,L796+1,9)),0),3)&amp;RIGHT("0000"&amp;IFERROR(VALUE(MID(B796,FIND("-",B796)+1,9)),0),4))</f>
        <v/>
      </c>
      <c r="N796" s="11" t="str">
        <f aca="false">IF(OR(B796="",N(F796)&lt;=0),"",IF('FALTAS POR DECK'!$P$1="Código","K"&amp;M796&amp;RIGHT("00000"&amp;ROW(),5),IF('FALTAS POR DECK'!$P$1="Nome","K"&amp;UPPER(SUBSTITUTE(SUBSTITUTE(SUBSTITUTE(C796,"*",""),"?",""),"~",""))&amp;"0"&amp;M796&amp;RIGHT("00000"&amp;ROW(),5),IF('FALTAS POR DECK'!$P$1="Falta (maior primeiro)","K"&amp;RIGHT("0000"&amp;(9999-F796),4)&amp;M796&amp;RIGHT("00000"&amp;ROW(),5),IF('FALTAS POR DECK'!$P$1="Deck e código","K"&amp;RIGHT("00"&amp;IFERROR(MATCH(A796,_LEITURA!$P$2:$P$21,0),99),2)&amp;M796&amp;RIGHT("00000"&amp;ROW(),5),"K"&amp;RIGHT("00000"&amp;ROW(),5))))))</f>
        <v/>
      </c>
      <c r="O796" s="16" t="str">
        <f aca="false">IF(N796="","",COUNTIFS($N$2:$N$1201,"&lt;"&amp;N796,$F$2:$F$1201,"&gt;0")+1)</f>
        <v/>
      </c>
    </row>
    <row r="797" customFormat="false" ht="15" hidden="false" customHeight="false" outlineLevel="0" collapsed="false">
      <c r="A797" s="11" t="str">
        <f aca="false">IF(_LEITURA!$N797="","",INDEX(_LEITURA!$K$2:$K$1201,_LEITURA!$N797))</f>
        <v/>
      </c>
      <c r="B797" s="11" t="str">
        <f aca="false">IF(_LEITURA!$N797="","",INDEX(_LEITURA!$E$2:$E$1201,_LEITURA!$N797))</f>
        <v/>
      </c>
      <c r="C797" s="11" t="str">
        <f aca="false">IF(_LEITURA!$N797="","",INDEX(_LEITURA!$J$2:$J$1201,_LEITURA!$N797))</f>
        <v/>
      </c>
      <c r="D797" s="16" t="str">
        <f aca="false">IF(_LEITURA!$N797="","",INDEX(_LEITURA!$G$2:$G$1201,_LEITURA!$N797))</f>
        <v/>
      </c>
      <c r="E797" s="16" t="str">
        <f aca="false">IF(B797="","",SUMIFS(INVENTÁRIO!$C$2:$C$801,INVENTÁRIO!$A$2:$A$801,B797))</f>
        <v/>
      </c>
      <c r="F797" s="16" t="str">
        <f aca="false">IF(B797="","",MAX(0,D797-E797))</f>
        <v/>
      </c>
      <c r="G797" s="16" t="str">
        <f aca="false">IF(B797="","",IF(COUNTIFS($B$2:$B$1201,B797,$A$2:$A$1201,"&lt;&gt;"&amp;A797)&gt;0,"Sim",""))</f>
        <v/>
      </c>
      <c r="H797" s="16" t="str">
        <f aca="false">IF(N(F797)&gt;0,MAX(H$1:H796)+1,"")</f>
        <v/>
      </c>
      <c r="I797" s="11" t="str">
        <f aca="false">IF(B797="","",IF(INDEX($C$2:$C$1201,MATCH(B797,$B$2:$B$1201,0))&lt;&gt;C797,"Nome diferente em outro deck — revisar",""))</f>
        <v/>
      </c>
      <c r="J797" s="16" t="str">
        <f aca="false">IF(AND(B797&lt;&gt;"",A797=BULK!$A$1,N(F797)&gt;0),MAX(J$1:J796)+1,"")</f>
        <v/>
      </c>
      <c r="K797" s="11" t="str">
        <f aca="false">IF(B797="","",IFERROR(LEFT(B797,FIND("-",B797)-1),B797))</f>
        <v/>
      </c>
      <c r="L797" s="11" t="str">
        <f aca="false">IF(K797="","",IF(ISNUMBER(--MID(K797,1,1)),0,IF(ISNUMBER(--MID(K797,2,1)),1,IF(ISNUMBER(--MID(K797,3,1)),2,IF(ISNUMBER(--MID(K797,4,1)),3,MIN(LEN(K797),4))))))</f>
        <v/>
      </c>
      <c r="M797" s="11" t="str">
        <f aca="false">IF(B797="","",LEFT(K797,L797)&amp;REPT("0",4-L797)&amp;RIGHT("000"&amp;IFERROR(VALUE(MID(K797,L797+1,9)),0),3)&amp;RIGHT("0000"&amp;IFERROR(VALUE(MID(B797,FIND("-",B797)+1,9)),0),4))</f>
        <v/>
      </c>
      <c r="N797" s="11" t="str">
        <f aca="false">IF(OR(B797="",N(F797)&lt;=0),"",IF('FALTAS POR DECK'!$P$1="Código","K"&amp;M797&amp;RIGHT("00000"&amp;ROW(),5),IF('FALTAS POR DECK'!$P$1="Nome","K"&amp;UPPER(SUBSTITUTE(SUBSTITUTE(SUBSTITUTE(C797,"*",""),"?",""),"~",""))&amp;"0"&amp;M797&amp;RIGHT("00000"&amp;ROW(),5),IF('FALTAS POR DECK'!$P$1="Falta (maior primeiro)","K"&amp;RIGHT("0000"&amp;(9999-F797),4)&amp;M797&amp;RIGHT("00000"&amp;ROW(),5),IF('FALTAS POR DECK'!$P$1="Deck e código","K"&amp;RIGHT("00"&amp;IFERROR(MATCH(A797,_LEITURA!$P$2:$P$21,0),99),2)&amp;M797&amp;RIGHT("00000"&amp;ROW(),5),"K"&amp;RIGHT("00000"&amp;ROW(),5))))))</f>
        <v/>
      </c>
      <c r="O797" s="16" t="str">
        <f aca="false">IF(N797="","",COUNTIFS($N$2:$N$1201,"&lt;"&amp;N797,$F$2:$F$1201,"&gt;0")+1)</f>
        <v/>
      </c>
    </row>
    <row r="798" customFormat="false" ht="15" hidden="false" customHeight="false" outlineLevel="0" collapsed="false">
      <c r="A798" s="11" t="str">
        <f aca="false">IF(_LEITURA!$N798="","",INDEX(_LEITURA!$K$2:$K$1201,_LEITURA!$N798))</f>
        <v/>
      </c>
      <c r="B798" s="11" t="str">
        <f aca="false">IF(_LEITURA!$N798="","",INDEX(_LEITURA!$E$2:$E$1201,_LEITURA!$N798))</f>
        <v/>
      </c>
      <c r="C798" s="11" t="str">
        <f aca="false">IF(_LEITURA!$N798="","",INDEX(_LEITURA!$J$2:$J$1201,_LEITURA!$N798))</f>
        <v/>
      </c>
      <c r="D798" s="16" t="str">
        <f aca="false">IF(_LEITURA!$N798="","",INDEX(_LEITURA!$G$2:$G$1201,_LEITURA!$N798))</f>
        <v/>
      </c>
      <c r="E798" s="16" t="str">
        <f aca="false">IF(B798="","",SUMIFS(INVENTÁRIO!$C$2:$C$801,INVENTÁRIO!$A$2:$A$801,B798))</f>
        <v/>
      </c>
      <c r="F798" s="16" t="str">
        <f aca="false">IF(B798="","",MAX(0,D798-E798))</f>
        <v/>
      </c>
      <c r="G798" s="16" t="str">
        <f aca="false">IF(B798="","",IF(COUNTIFS($B$2:$B$1201,B798,$A$2:$A$1201,"&lt;&gt;"&amp;A798)&gt;0,"Sim",""))</f>
        <v/>
      </c>
      <c r="H798" s="16" t="str">
        <f aca="false">IF(N(F798)&gt;0,MAX(H$1:H797)+1,"")</f>
        <v/>
      </c>
      <c r="I798" s="11" t="str">
        <f aca="false">IF(B798="","",IF(INDEX($C$2:$C$1201,MATCH(B798,$B$2:$B$1201,0))&lt;&gt;C798,"Nome diferente em outro deck — revisar",""))</f>
        <v/>
      </c>
      <c r="J798" s="16" t="str">
        <f aca="false">IF(AND(B798&lt;&gt;"",A798=BULK!$A$1,N(F798)&gt;0),MAX(J$1:J797)+1,"")</f>
        <v/>
      </c>
      <c r="K798" s="11" t="str">
        <f aca="false">IF(B798="","",IFERROR(LEFT(B798,FIND("-",B798)-1),B798))</f>
        <v/>
      </c>
      <c r="L798" s="11" t="str">
        <f aca="false">IF(K798="","",IF(ISNUMBER(--MID(K798,1,1)),0,IF(ISNUMBER(--MID(K798,2,1)),1,IF(ISNUMBER(--MID(K798,3,1)),2,IF(ISNUMBER(--MID(K798,4,1)),3,MIN(LEN(K798),4))))))</f>
        <v/>
      </c>
      <c r="M798" s="11" t="str">
        <f aca="false">IF(B798="","",LEFT(K798,L798)&amp;REPT("0",4-L798)&amp;RIGHT("000"&amp;IFERROR(VALUE(MID(K798,L798+1,9)),0),3)&amp;RIGHT("0000"&amp;IFERROR(VALUE(MID(B798,FIND("-",B798)+1,9)),0),4))</f>
        <v/>
      </c>
      <c r="N798" s="11" t="str">
        <f aca="false">IF(OR(B798="",N(F798)&lt;=0),"",IF('FALTAS POR DECK'!$P$1="Código","K"&amp;M798&amp;RIGHT("00000"&amp;ROW(),5),IF('FALTAS POR DECK'!$P$1="Nome","K"&amp;UPPER(SUBSTITUTE(SUBSTITUTE(SUBSTITUTE(C798,"*",""),"?",""),"~",""))&amp;"0"&amp;M798&amp;RIGHT("00000"&amp;ROW(),5),IF('FALTAS POR DECK'!$P$1="Falta (maior primeiro)","K"&amp;RIGHT("0000"&amp;(9999-F798),4)&amp;M798&amp;RIGHT("00000"&amp;ROW(),5),IF('FALTAS POR DECK'!$P$1="Deck e código","K"&amp;RIGHT("00"&amp;IFERROR(MATCH(A798,_LEITURA!$P$2:$P$21,0),99),2)&amp;M798&amp;RIGHT("00000"&amp;ROW(),5),"K"&amp;RIGHT("00000"&amp;ROW(),5))))))</f>
        <v/>
      </c>
      <c r="O798" s="16" t="str">
        <f aca="false">IF(N798="","",COUNTIFS($N$2:$N$1201,"&lt;"&amp;N798,$F$2:$F$1201,"&gt;0")+1)</f>
        <v/>
      </c>
    </row>
    <row r="799" customFormat="false" ht="15" hidden="false" customHeight="false" outlineLevel="0" collapsed="false">
      <c r="A799" s="11" t="str">
        <f aca="false">IF(_LEITURA!$N799="","",INDEX(_LEITURA!$K$2:$K$1201,_LEITURA!$N799))</f>
        <v/>
      </c>
      <c r="B799" s="11" t="str">
        <f aca="false">IF(_LEITURA!$N799="","",INDEX(_LEITURA!$E$2:$E$1201,_LEITURA!$N799))</f>
        <v/>
      </c>
      <c r="C799" s="11" t="str">
        <f aca="false">IF(_LEITURA!$N799="","",INDEX(_LEITURA!$J$2:$J$1201,_LEITURA!$N799))</f>
        <v/>
      </c>
      <c r="D799" s="16" t="str">
        <f aca="false">IF(_LEITURA!$N799="","",INDEX(_LEITURA!$G$2:$G$1201,_LEITURA!$N799))</f>
        <v/>
      </c>
      <c r="E799" s="16" t="str">
        <f aca="false">IF(B799="","",SUMIFS(INVENTÁRIO!$C$2:$C$801,INVENTÁRIO!$A$2:$A$801,B799))</f>
        <v/>
      </c>
      <c r="F799" s="16" t="str">
        <f aca="false">IF(B799="","",MAX(0,D799-E799))</f>
        <v/>
      </c>
      <c r="G799" s="16" t="str">
        <f aca="false">IF(B799="","",IF(COUNTIFS($B$2:$B$1201,B799,$A$2:$A$1201,"&lt;&gt;"&amp;A799)&gt;0,"Sim",""))</f>
        <v/>
      </c>
      <c r="H799" s="16" t="str">
        <f aca="false">IF(N(F799)&gt;0,MAX(H$1:H798)+1,"")</f>
        <v/>
      </c>
      <c r="I799" s="11" t="str">
        <f aca="false">IF(B799="","",IF(INDEX($C$2:$C$1201,MATCH(B799,$B$2:$B$1201,0))&lt;&gt;C799,"Nome diferente em outro deck — revisar",""))</f>
        <v/>
      </c>
      <c r="J799" s="16" t="str">
        <f aca="false">IF(AND(B799&lt;&gt;"",A799=BULK!$A$1,N(F799)&gt;0),MAX(J$1:J798)+1,"")</f>
        <v/>
      </c>
      <c r="K799" s="11" t="str">
        <f aca="false">IF(B799="","",IFERROR(LEFT(B799,FIND("-",B799)-1),B799))</f>
        <v/>
      </c>
      <c r="L799" s="11" t="str">
        <f aca="false">IF(K799="","",IF(ISNUMBER(--MID(K799,1,1)),0,IF(ISNUMBER(--MID(K799,2,1)),1,IF(ISNUMBER(--MID(K799,3,1)),2,IF(ISNUMBER(--MID(K799,4,1)),3,MIN(LEN(K799),4))))))</f>
        <v/>
      </c>
      <c r="M799" s="11" t="str">
        <f aca="false">IF(B799="","",LEFT(K799,L799)&amp;REPT("0",4-L799)&amp;RIGHT("000"&amp;IFERROR(VALUE(MID(K799,L799+1,9)),0),3)&amp;RIGHT("0000"&amp;IFERROR(VALUE(MID(B799,FIND("-",B799)+1,9)),0),4))</f>
        <v/>
      </c>
      <c r="N799" s="11" t="str">
        <f aca="false">IF(OR(B799="",N(F799)&lt;=0),"",IF('FALTAS POR DECK'!$P$1="Código","K"&amp;M799&amp;RIGHT("00000"&amp;ROW(),5),IF('FALTAS POR DECK'!$P$1="Nome","K"&amp;UPPER(SUBSTITUTE(SUBSTITUTE(SUBSTITUTE(C799,"*",""),"?",""),"~",""))&amp;"0"&amp;M799&amp;RIGHT("00000"&amp;ROW(),5),IF('FALTAS POR DECK'!$P$1="Falta (maior primeiro)","K"&amp;RIGHT("0000"&amp;(9999-F799),4)&amp;M799&amp;RIGHT("00000"&amp;ROW(),5),IF('FALTAS POR DECK'!$P$1="Deck e código","K"&amp;RIGHT("00"&amp;IFERROR(MATCH(A799,_LEITURA!$P$2:$P$21,0),99),2)&amp;M799&amp;RIGHT("00000"&amp;ROW(),5),"K"&amp;RIGHT("00000"&amp;ROW(),5))))))</f>
        <v/>
      </c>
      <c r="O799" s="16" t="str">
        <f aca="false">IF(N799="","",COUNTIFS($N$2:$N$1201,"&lt;"&amp;N799,$F$2:$F$1201,"&gt;0")+1)</f>
        <v/>
      </c>
    </row>
    <row r="800" customFormat="false" ht="15" hidden="false" customHeight="false" outlineLevel="0" collapsed="false">
      <c r="A800" s="11" t="str">
        <f aca="false">IF(_LEITURA!$N800="","",INDEX(_LEITURA!$K$2:$K$1201,_LEITURA!$N800))</f>
        <v/>
      </c>
      <c r="B800" s="11" t="str">
        <f aca="false">IF(_LEITURA!$N800="","",INDEX(_LEITURA!$E$2:$E$1201,_LEITURA!$N800))</f>
        <v/>
      </c>
      <c r="C800" s="11" t="str">
        <f aca="false">IF(_LEITURA!$N800="","",INDEX(_LEITURA!$J$2:$J$1201,_LEITURA!$N800))</f>
        <v/>
      </c>
      <c r="D800" s="16" t="str">
        <f aca="false">IF(_LEITURA!$N800="","",INDEX(_LEITURA!$G$2:$G$1201,_LEITURA!$N800))</f>
        <v/>
      </c>
      <c r="E800" s="16" t="str">
        <f aca="false">IF(B800="","",SUMIFS(INVENTÁRIO!$C$2:$C$801,INVENTÁRIO!$A$2:$A$801,B800))</f>
        <v/>
      </c>
      <c r="F800" s="16" t="str">
        <f aca="false">IF(B800="","",MAX(0,D800-E800))</f>
        <v/>
      </c>
      <c r="G800" s="16" t="str">
        <f aca="false">IF(B800="","",IF(COUNTIFS($B$2:$B$1201,B800,$A$2:$A$1201,"&lt;&gt;"&amp;A800)&gt;0,"Sim",""))</f>
        <v/>
      </c>
      <c r="H800" s="16" t="str">
        <f aca="false">IF(N(F800)&gt;0,MAX(H$1:H799)+1,"")</f>
        <v/>
      </c>
      <c r="I800" s="11" t="str">
        <f aca="false">IF(B800="","",IF(INDEX($C$2:$C$1201,MATCH(B800,$B$2:$B$1201,0))&lt;&gt;C800,"Nome diferente em outro deck — revisar",""))</f>
        <v/>
      </c>
      <c r="J800" s="16" t="str">
        <f aca="false">IF(AND(B800&lt;&gt;"",A800=BULK!$A$1,N(F800)&gt;0),MAX(J$1:J799)+1,"")</f>
        <v/>
      </c>
      <c r="K800" s="11" t="str">
        <f aca="false">IF(B800="","",IFERROR(LEFT(B800,FIND("-",B800)-1),B800))</f>
        <v/>
      </c>
      <c r="L800" s="11" t="str">
        <f aca="false">IF(K800="","",IF(ISNUMBER(--MID(K800,1,1)),0,IF(ISNUMBER(--MID(K800,2,1)),1,IF(ISNUMBER(--MID(K800,3,1)),2,IF(ISNUMBER(--MID(K800,4,1)),3,MIN(LEN(K800),4))))))</f>
        <v/>
      </c>
      <c r="M800" s="11" t="str">
        <f aca="false">IF(B800="","",LEFT(K800,L800)&amp;REPT("0",4-L800)&amp;RIGHT("000"&amp;IFERROR(VALUE(MID(K800,L800+1,9)),0),3)&amp;RIGHT("0000"&amp;IFERROR(VALUE(MID(B800,FIND("-",B800)+1,9)),0),4))</f>
        <v/>
      </c>
      <c r="N800" s="11" t="str">
        <f aca="false">IF(OR(B800="",N(F800)&lt;=0),"",IF('FALTAS POR DECK'!$P$1="Código","K"&amp;M800&amp;RIGHT("00000"&amp;ROW(),5),IF('FALTAS POR DECK'!$P$1="Nome","K"&amp;UPPER(SUBSTITUTE(SUBSTITUTE(SUBSTITUTE(C800,"*",""),"?",""),"~",""))&amp;"0"&amp;M800&amp;RIGHT("00000"&amp;ROW(),5),IF('FALTAS POR DECK'!$P$1="Falta (maior primeiro)","K"&amp;RIGHT("0000"&amp;(9999-F800),4)&amp;M800&amp;RIGHT("00000"&amp;ROW(),5),IF('FALTAS POR DECK'!$P$1="Deck e código","K"&amp;RIGHT("00"&amp;IFERROR(MATCH(A800,_LEITURA!$P$2:$P$21,0),99),2)&amp;M800&amp;RIGHT("00000"&amp;ROW(),5),"K"&amp;RIGHT("00000"&amp;ROW(),5))))))</f>
        <v/>
      </c>
      <c r="O800" s="16" t="str">
        <f aca="false">IF(N800="","",COUNTIFS($N$2:$N$1201,"&lt;"&amp;N800,$F$2:$F$1201,"&gt;0")+1)</f>
        <v/>
      </c>
    </row>
    <row r="801" customFormat="false" ht="15" hidden="false" customHeight="false" outlineLevel="0" collapsed="false">
      <c r="A801" s="11" t="str">
        <f aca="false">IF(_LEITURA!$N801="","",INDEX(_LEITURA!$K$2:$K$1201,_LEITURA!$N801))</f>
        <v/>
      </c>
      <c r="B801" s="11" t="str">
        <f aca="false">IF(_LEITURA!$N801="","",INDEX(_LEITURA!$E$2:$E$1201,_LEITURA!$N801))</f>
        <v/>
      </c>
      <c r="C801" s="11" t="str">
        <f aca="false">IF(_LEITURA!$N801="","",INDEX(_LEITURA!$J$2:$J$1201,_LEITURA!$N801))</f>
        <v/>
      </c>
      <c r="D801" s="16" t="str">
        <f aca="false">IF(_LEITURA!$N801="","",INDEX(_LEITURA!$G$2:$G$1201,_LEITURA!$N801))</f>
        <v/>
      </c>
      <c r="E801" s="16" t="str">
        <f aca="false">IF(B801="","",SUMIFS(INVENTÁRIO!$C$2:$C$801,INVENTÁRIO!$A$2:$A$801,B801))</f>
        <v/>
      </c>
      <c r="F801" s="16" t="str">
        <f aca="false">IF(B801="","",MAX(0,D801-E801))</f>
        <v/>
      </c>
      <c r="G801" s="16" t="str">
        <f aca="false">IF(B801="","",IF(COUNTIFS($B$2:$B$1201,B801,$A$2:$A$1201,"&lt;&gt;"&amp;A801)&gt;0,"Sim",""))</f>
        <v/>
      </c>
      <c r="H801" s="16" t="str">
        <f aca="false">IF(N(F801)&gt;0,MAX(H$1:H800)+1,"")</f>
        <v/>
      </c>
      <c r="I801" s="11" t="str">
        <f aca="false">IF(B801="","",IF(INDEX($C$2:$C$1201,MATCH(B801,$B$2:$B$1201,0))&lt;&gt;C801,"Nome diferente em outro deck — revisar",""))</f>
        <v/>
      </c>
      <c r="J801" s="16" t="str">
        <f aca="false">IF(AND(B801&lt;&gt;"",A801=BULK!$A$1,N(F801)&gt;0),MAX(J$1:J800)+1,"")</f>
        <v/>
      </c>
      <c r="K801" s="11" t="str">
        <f aca="false">IF(B801="","",IFERROR(LEFT(B801,FIND("-",B801)-1),B801))</f>
        <v/>
      </c>
      <c r="L801" s="11" t="str">
        <f aca="false">IF(K801="","",IF(ISNUMBER(--MID(K801,1,1)),0,IF(ISNUMBER(--MID(K801,2,1)),1,IF(ISNUMBER(--MID(K801,3,1)),2,IF(ISNUMBER(--MID(K801,4,1)),3,MIN(LEN(K801),4))))))</f>
        <v/>
      </c>
      <c r="M801" s="11" t="str">
        <f aca="false">IF(B801="","",LEFT(K801,L801)&amp;REPT("0",4-L801)&amp;RIGHT("000"&amp;IFERROR(VALUE(MID(K801,L801+1,9)),0),3)&amp;RIGHT("0000"&amp;IFERROR(VALUE(MID(B801,FIND("-",B801)+1,9)),0),4))</f>
        <v/>
      </c>
      <c r="N801" s="11" t="str">
        <f aca="false">IF(OR(B801="",N(F801)&lt;=0),"",IF('FALTAS POR DECK'!$P$1="Código","K"&amp;M801&amp;RIGHT("00000"&amp;ROW(),5),IF('FALTAS POR DECK'!$P$1="Nome","K"&amp;UPPER(SUBSTITUTE(SUBSTITUTE(SUBSTITUTE(C801,"*",""),"?",""),"~",""))&amp;"0"&amp;M801&amp;RIGHT("00000"&amp;ROW(),5),IF('FALTAS POR DECK'!$P$1="Falta (maior primeiro)","K"&amp;RIGHT("0000"&amp;(9999-F801),4)&amp;M801&amp;RIGHT("00000"&amp;ROW(),5),IF('FALTAS POR DECK'!$P$1="Deck e código","K"&amp;RIGHT("00"&amp;IFERROR(MATCH(A801,_LEITURA!$P$2:$P$21,0),99),2)&amp;M801&amp;RIGHT("00000"&amp;ROW(),5),"K"&amp;RIGHT("00000"&amp;ROW(),5))))))</f>
        <v/>
      </c>
      <c r="O801" s="16" t="str">
        <f aca="false">IF(N801="","",COUNTIFS($N$2:$N$1201,"&lt;"&amp;N801,$F$2:$F$1201,"&gt;0")+1)</f>
        <v/>
      </c>
    </row>
    <row r="802" customFormat="false" ht="15" hidden="false" customHeight="false" outlineLevel="0" collapsed="false">
      <c r="A802" s="11" t="str">
        <f aca="false">IF(_LEITURA!$N802="","",INDEX(_LEITURA!$K$2:$K$1201,_LEITURA!$N802))</f>
        <v/>
      </c>
      <c r="B802" s="11" t="str">
        <f aca="false">IF(_LEITURA!$N802="","",INDEX(_LEITURA!$E$2:$E$1201,_LEITURA!$N802))</f>
        <v/>
      </c>
      <c r="C802" s="11" t="str">
        <f aca="false">IF(_LEITURA!$N802="","",INDEX(_LEITURA!$J$2:$J$1201,_LEITURA!$N802))</f>
        <v/>
      </c>
      <c r="D802" s="16" t="str">
        <f aca="false">IF(_LEITURA!$N802="","",INDEX(_LEITURA!$G$2:$G$1201,_LEITURA!$N802))</f>
        <v/>
      </c>
      <c r="E802" s="16" t="str">
        <f aca="false">IF(B802="","",SUMIFS(INVENTÁRIO!$C$2:$C$801,INVENTÁRIO!$A$2:$A$801,B802))</f>
        <v/>
      </c>
      <c r="F802" s="16" t="str">
        <f aca="false">IF(B802="","",MAX(0,D802-E802))</f>
        <v/>
      </c>
      <c r="G802" s="16" t="str">
        <f aca="false">IF(B802="","",IF(COUNTIFS($B$2:$B$1201,B802,$A$2:$A$1201,"&lt;&gt;"&amp;A802)&gt;0,"Sim",""))</f>
        <v/>
      </c>
      <c r="H802" s="16" t="str">
        <f aca="false">IF(N(F802)&gt;0,MAX(H$1:H801)+1,"")</f>
        <v/>
      </c>
      <c r="I802" s="11" t="str">
        <f aca="false">IF(B802="","",IF(INDEX($C$2:$C$1201,MATCH(B802,$B$2:$B$1201,0))&lt;&gt;C802,"Nome diferente em outro deck — revisar",""))</f>
        <v/>
      </c>
      <c r="J802" s="16" t="str">
        <f aca="false">IF(AND(B802&lt;&gt;"",A802=BULK!$A$1,N(F802)&gt;0),MAX(J$1:J801)+1,"")</f>
        <v/>
      </c>
      <c r="K802" s="11" t="str">
        <f aca="false">IF(B802="","",IFERROR(LEFT(B802,FIND("-",B802)-1),B802))</f>
        <v/>
      </c>
      <c r="L802" s="11" t="str">
        <f aca="false">IF(K802="","",IF(ISNUMBER(--MID(K802,1,1)),0,IF(ISNUMBER(--MID(K802,2,1)),1,IF(ISNUMBER(--MID(K802,3,1)),2,IF(ISNUMBER(--MID(K802,4,1)),3,MIN(LEN(K802),4))))))</f>
        <v/>
      </c>
      <c r="M802" s="11" t="str">
        <f aca="false">IF(B802="","",LEFT(K802,L802)&amp;REPT("0",4-L802)&amp;RIGHT("000"&amp;IFERROR(VALUE(MID(K802,L802+1,9)),0),3)&amp;RIGHT("0000"&amp;IFERROR(VALUE(MID(B802,FIND("-",B802)+1,9)),0),4))</f>
        <v/>
      </c>
      <c r="N802" s="11" t="str">
        <f aca="false">IF(OR(B802="",N(F802)&lt;=0),"",IF('FALTAS POR DECK'!$P$1="Código","K"&amp;M802&amp;RIGHT("00000"&amp;ROW(),5),IF('FALTAS POR DECK'!$P$1="Nome","K"&amp;UPPER(SUBSTITUTE(SUBSTITUTE(SUBSTITUTE(C802,"*",""),"?",""),"~",""))&amp;"0"&amp;M802&amp;RIGHT("00000"&amp;ROW(),5),IF('FALTAS POR DECK'!$P$1="Falta (maior primeiro)","K"&amp;RIGHT("0000"&amp;(9999-F802),4)&amp;M802&amp;RIGHT("00000"&amp;ROW(),5),IF('FALTAS POR DECK'!$P$1="Deck e código","K"&amp;RIGHT("00"&amp;IFERROR(MATCH(A802,_LEITURA!$P$2:$P$21,0),99),2)&amp;M802&amp;RIGHT("00000"&amp;ROW(),5),"K"&amp;RIGHT("00000"&amp;ROW(),5))))))</f>
        <v/>
      </c>
      <c r="O802" s="16" t="str">
        <f aca="false">IF(N802="","",COUNTIFS($N$2:$N$1201,"&lt;"&amp;N802,$F$2:$F$1201,"&gt;0")+1)</f>
        <v/>
      </c>
    </row>
    <row r="803" customFormat="false" ht="15" hidden="false" customHeight="false" outlineLevel="0" collapsed="false">
      <c r="A803" s="11" t="str">
        <f aca="false">IF(_LEITURA!$N803="","",INDEX(_LEITURA!$K$2:$K$1201,_LEITURA!$N803))</f>
        <v/>
      </c>
      <c r="B803" s="11" t="str">
        <f aca="false">IF(_LEITURA!$N803="","",INDEX(_LEITURA!$E$2:$E$1201,_LEITURA!$N803))</f>
        <v/>
      </c>
      <c r="C803" s="11" t="str">
        <f aca="false">IF(_LEITURA!$N803="","",INDEX(_LEITURA!$J$2:$J$1201,_LEITURA!$N803))</f>
        <v/>
      </c>
      <c r="D803" s="16" t="str">
        <f aca="false">IF(_LEITURA!$N803="","",INDEX(_LEITURA!$G$2:$G$1201,_LEITURA!$N803))</f>
        <v/>
      </c>
      <c r="E803" s="16" t="str">
        <f aca="false">IF(B803="","",SUMIFS(INVENTÁRIO!$C$2:$C$801,INVENTÁRIO!$A$2:$A$801,B803))</f>
        <v/>
      </c>
      <c r="F803" s="16" t="str">
        <f aca="false">IF(B803="","",MAX(0,D803-E803))</f>
        <v/>
      </c>
      <c r="G803" s="16" t="str">
        <f aca="false">IF(B803="","",IF(COUNTIFS($B$2:$B$1201,B803,$A$2:$A$1201,"&lt;&gt;"&amp;A803)&gt;0,"Sim",""))</f>
        <v/>
      </c>
      <c r="H803" s="16" t="str">
        <f aca="false">IF(N(F803)&gt;0,MAX(H$1:H802)+1,"")</f>
        <v/>
      </c>
      <c r="I803" s="11" t="str">
        <f aca="false">IF(B803="","",IF(INDEX($C$2:$C$1201,MATCH(B803,$B$2:$B$1201,0))&lt;&gt;C803,"Nome diferente em outro deck — revisar",""))</f>
        <v/>
      </c>
      <c r="J803" s="16" t="str">
        <f aca="false">IF(AND(B803&lt;&gt;"",A803=BULK!$A$1,N(F803)&gt;0),MAX(J$1:J802)+1,"")</f>
        <v/>
      </c>
      <c r="K803" s="11" t="str">
        <f aca="false">IF(B803="","",IFERROR(LEFT(B803,FIND("-",B803)-1),B803))</f>
        <v/>
      </c>
      <c r="L803" s="11" t="str">
        <f aca="false">IF(K803="","",IF(ISNUMBER(--MID(K803,1,1)),0,IF(ISNUMBER(--MID(K803,2,1)),1,IF(ISNUMBER(--MID(K803,3,1)),2,IF(ISNUMBER(--MID(K803,4,1)),3,MIN(LEN(K803),4))))))</f>
        <v/>
      </c>
      <c r="M803" s="11" t="str">
        <f aca="false">IF(B803="","",LEFT(K803,L803)&amp;REPT("0",4-L803)&amp;RIGHT("000"&amp;IFERROR(VALUE(MID(K803,L803+1,9)),0),3)&amp;RIGHT("0000"&amp;IFERROR(VALUE(MID(B803,FIND("-",B803)+1,9)),0),4))</f>
        <v/>
      </c>
      <c r="N803" s="11" t="str">
        <f aca="false">IF(OR(B803="",N(F803)&lt;=0),"",IF('FALTAS POR DECK'!$P$1="Código","K"&amp;M803&amp;RIGHT("00000"&amp;ROW(),5),IF('FALTAS POR DECK'!$P$1="Nome","K"&amp;UPPER(SUBSTITUTE(SUBSTITUTE(SUBSTITUTE(C803,"*",""),"?",""),"~",""))&amp;"0"&amp;M803&amp;RIGHT("00000"&amp;ROW(),5),IF('FALTAS POR DECK'!$P$1="Falta (maior primeiro)","K"&amp;RIGHT("0000"&amp;(9999-F803),4)&amp;M803&amp;RIGHT("00000"&amp;ROW(),5),IF('FALTAS POR DECK'!$P$1="Deck e código","K"&amp;RIGHT("00"&amp;IFERROR(MATCH(A803,_LEITURA!$P$2:$P$21,0),99),2)&amp;M803&amp;RIGHT("00000"&amp;ROW(),5),"K"&amp;RIGHT("00000"&amp;ROW(),5))))))</f>
        <v/>
      </c>
      <c r="O803" s="16" t="str">
        <f aca="false">IF(N803="","",COUNTIFS($N$2:$N$1201,"&lt;"&amp;N803,$F$2:$F$1201,"&gt;0")+1)</f>
        <v/>
      </c>
    </row>
    <row r="804" customFormat="false" ht="15" hidden="false" customHeight="false" outlineLevel="0" collapsed="false">
      <c r="A804" s="11" t="str">
        <f aca="false">IF(_LEITURA!$N804="","",INDEX(_LEITURA!$K$2:$K$1201,_LEITURA!$N804))</f>
        <v/>
      </c>
      <c r="B804" s="11" t="str">
        <f aca="false">IF(_LEITURA!$N804="","",INDEX(_LEITURA!$E$2:$E$1201,_LEITURA!$N804))</f>
        <v/>
      </c>
      <c r="C804" s="11" t="str">
        <f aca="false">IF(_LEITURA!$N804="","",INDEX(_LEITURA!$J$2:$J$1201,_LEITURA!$N804))</f>
        <v/>
      </c>
      <c r="D804" s="16" t="str">
        <f aca="false">IF(_LEITURA!$N804="","",INDEX(_LEITURA!$G$2:$G$1201,_LEITURA!$N804))</f>
        <v/>
      </c>
      <c r="E804" s="16" t="str">
        <f aca="false">IF(B804="","",SUMIFS(INVENTÁRIO!$C$2:$C$801,INVENTÁRIO!$A$2:$A$801,B804))</f>
        <v/>
      </c>
      <c r="F804" s="16" t="str">
        <f aca="false">IF(B804="","",MAX(0,D804-E804))</f>
        <v/>
      </c>
      <c r="G804" s="16" t="str">
        <f aca="false">IF(B804="","",IF(COUNTIFS($B$2:$B$1201,B804,$A$2:$A$1201,"&lt;&gt;"&amp;A804)&gt;0,"Sim",""))</f>
        <v/>
      </c>
      <c r="H804" s="16" t="str">
        <f aca="false">IF(N(F804)&gt;0,MAX(H$1:H803)+1,"")</f>
        <v/>
      </c>
      <c r="I804" s="11" t="str">
        <f aca="false">IF(B804="","",IF(INDEX($C$2:$C$1201,MATCH(B804,$B$2:$B$1201,0))&lt;&gt;C804,"Nome diferente em outro deck — revisar",""))</f>
        <v/>
      </c>
      <c r="J804" s="16" t="str">
        <f aca="false">IF(AND(B804&lt;&gt;"",A804=BULK!$A$1,N(F804)&gt;0),MAX(J$1:J803)+1,"")</f>
        <v/>
      </c>
      <c r="K804" s="11" t="str">
        <f aca="false">IF(B804="","",IFERROR(LEFT(B804,FIND("-",B804)-1),B804))</f>
        <v/>
      </c>
      <c r="L804" s="11" t="str">
        <f aca="false">IF(K804="","",IF(ISNUMBER(--MID(K804,1,1)),0,IF(ISNUMBER(--MID(K804,2,1)),1,IF(ISNUMBER(--MID(K804,3,1)),2,IF(ISNUMBER(--MID(K804,4,1)),3,MIN(LEN(K804),4))))))</f>
        <v/>
      </c>
      <c r="M804" s="11" t="str">
        <f aca="false">IF(B804="","",LEFT(K804,L804)&amp;REPT("0",4-L804)&amp;RIGHT("000"&amp;IFERROR(VALUE(MID(K804,L804+1,9)),0),3)&amp;RIGHT("0000"&amp;IFERROR(VALUE(MID(B804,FIND("-",B804)+1,9)),0),4))</f>
        <v/>
      </c>
      <c r="N804" s="11" t="str">
        <f aca="false">IF(OR(B804="",N(F804)&lt;=0),"",IF('FALTAS POR DECK'!$P$1="Código","K"&amp;M804&amp;RIGHT("00000"&amp;ROW(),5),IF('FALTAS POR DECK'!$P$1="Nome","K"&amp;UPPER(SUBSTITUTE(SUBSTITUTE(SUBSTITUTE(C804,"*",""),"?",""),"~",""))&amp;"0"&amp;M804&amp;RIGHT("00000"&amp;ROW(),5),IF('FALTAS POR DECK'!$P$1="Falta (maior primeiro)","K"&amp;RIGHT("0000"&amp;(9999-F804),4)&amp;M804&amp;RIGHT("00000"&amp;ROW(),5),IF('FALTAS POR DECK'!$P$1="Deck e código","K"&amp;RIGHT("00"&amp;IFERROR(MATCH(A804,_LEITURA!$P$2:$P$21,0),99),2)&amp;M804&amp;RIGHT("00000"&amp;ROW(),5),"K"&amp;RIGHT("00000"&amp;ROW(),5))))))</f>
        <v/>
      </c>
      <c r="O804" s="16" t="str">
        <f aca="false">IF(N804="","",COUNTIFS($N$2:$N$1201,"&lt;"&amp;N804,$F$2:$F$1201,"&gt;0")+1)</f>
        <v/>
      </c>
    </row>
    <row r="805" customFormat="false" ht="15" hidden="false" customHeight="false" outlineLevel="0" collapsed="false">
      <c r="A805" s="11" t="str">
        <f aca="false">IF(_LEITURA!$N805="","",INDEX(_LEITURA!$K$2:$K$1201,_LEITURA!$N805))</f>
        <v/>
      </c>
      <c r="B805" s="11" t="str">
        <f aca="false">IF(_LEITURA!$N805="","",INDEX(_LEITURA!$E$2:$E$1201,_LEITURA!$N805))</f>
        <v/>
      </c>
      <c r="C805" s="11" t="str">
        <f aca="false">IF(_LEITURA!$N805="","",INDEX(_LEITURA!$J$2:$J$1201,_LEITURA!$N805))</f>
        <v/>
      </c>
      <c r="D805" s="16" t="str">
        <f aca="false">IF(_LEITURA!$N805="","",INDEX(_LEITURA!$G$2:$G$1201,_LEITURA!$N805))</f>
        <v/>
      </c>
      <c r="E805" s="16" t="str">
        <f aca="false">IF(B805="","",SUMIFS(INVENTÁRIO!$C$2:$C$801,INVENTÁRIO!$A$2:$A$801,B805))</f>
        <v/>
      </c>
      <c r="F805" s="16" t="str">
        <f aca="false">IF(B805="","",MAX(0,D805-E805))</f>
        <v/>
      </c>
      <c r="G805" s="16" t="str">
        <f aca="false">IF(B805="","",IF(COUNTIFS($B$2:$B$1201,B805,$A$2:$A$1201,"&lt;&gt;"&amp;A805)&gt;0,"Sim",""))</f>
        <v/>
      </c>
      <c r="H805" s="16" t="str">
        <f aca="false">IF(N(F805)&gt;0,MAX(H$1:H804)+1,"")</f>
        <v/>
      </c>
      <c r="I805" s="11" t="str">
        <f aca="false">IF(B805="","",IF(INDEX($C$2:$C$1201,MATCH(B805,$B$2:$B$1201,0))&lt;&gt;C805,"Nome diferente em outro deck — revisar",""))</f>
        <v/>
      </c>
      <c r="J805" s="16" t="str">
        <f aca="false">IF(AND(B805&lt;&gt;"",A805=BULK!$A$1,N(F805)&gt;0),MAX(J$1:J804)+1,"")</f>
        <v/>
      </c>
      <c r="K805" s="11" t="str">
        <f aca="false">IF(B805="","",IFERROR(LEFT(B805,FIND("-",B805)-1),B805))</f>
        <v/>
      </c>
      <c r="L805" s="11" t="str">
        <f aca="false">IF(K805="","",IF(ISNUMBER(--MID(K805,1,1)),0,IF(ISNUMBER(--MID(K805,2,1)),1,IF(ISNUMBER(--MID(K805,3,1)),2,IF(ISNUMBER(--MID(K805,4,1)),3,MIN(LEN(K805),4))))))</f>
        <v/>
      </c>
      <c r="M805" s="11" t="str">
        <f aca="false">IF(B805="","",LEFT(K805,L805)&amp;REPT("0",4-L805)&amp;RIGHT("000"&amp;IFERROR(VALUE(MID(K805,L805+1,9)),0),3)&amp;RIGHT("0000"&amp;IFERROR(VALUE(MID(B805,FIND("-",B805)+1,9)),0),4))</f>
        <v/>
      </c>
      <c r="N805" s="11" t="str">
        <f aca="false">IF(OR(B805="",N(F805)&lt;=0),"",IF('FALTAS POR DECK'!$P$1="Código","K"&amp;M805&amp;RIGHT("00000"&amp;ROW(),5),IF('FALTAS POR DECK'!$P$1="Nome","K"&amp;UPPER(SUBSTITUTE(SUBSTITUTE(SUBSTITUTE(C805,"*",""),"?",""),"~",""))&amp;"0"&amp;M805&amp;RIGHT("00000"&amp;ROW(),5),IF('FALTAS POR DECK'!$P$1="Falta (maior primeiro)","K"&amp;RIGHT("0000"&amp;(9999-F805),4)&amp;M805&amp;RIGHT("00000"&amp;ROW(),5),IF('FALTAS POR DECK'!$P$1="Deck e código","K"&amp;RIGHT("00"&amp;IFERROR(MATCH(A805,_LEITURA!$P$2:$P$21,0),99),2)&amp;M805&amp;RIGHT("00000"&amp;ROW(),5),"K"&amp;RIGHT("00000"&amp;ROW(),5))))))</f>
        <v/>
      </c>
      <c r="O805" s="16" t="str">
        <f aca="false">IF(N805="","",COUNTIFS($N$2:$N$1201,"&lt;"&amp;N805,$F$2:$F$1201,"&gt;0")+1)</f>
        <v/>
      </c>
    </row>
    <row r="806" customFormat="false" ht="15" hidden="false" customHeight="false" outlineLevel="0" collapsed="false">
      <c r="A806" s="11" t="str">
        <f aca="false">IF(_LEITURA!$N806="","",INDEX(_LEITURA!$K$2:$K$1201,_LEITURA!$N806))</f>
        <v/>
      </c>
      <c r="B806" s="11" t="str">
        <f aca="false">IF(_LEITURA!$N806="","",INDEX(_LEITURA!$E$2:$E$1201,_LEITURA!$N806))</f>
        <v/>
      </c>
      <c r="C806" s="11" t="str">
        <f aca="false">IF(_LEITURA!$N806="","",INDEX(_LEITURA!$J$2:$J$1201,_LEITURA!$N806))</f>
        <v/>
      </c>
      <c r="D806" s="16" t="str">
        <f aca="false">IF(_LEITURA!$N806="","",INDEX(_LEITURA!$G$2:$G$1201,_LEITURA!$N806))</f>
        <v/>
      </c>
      <c r="E806" s="16" t="str">
        <f aca="false">IF(B806="","",SUMIFS(INVENTÁRIO!$C$2:$C$801,INVENTÁRIO!$A$2:$A$801,B806))</f>
        <v/>
      </c>
      <c r="F806" s="16" t="str">
        <f aca="false">IF(B806="","",MAX(0,D806-E806))</f>
        <v/>
      </c>
      <c r="G806" s="16" t="str">
        <f aca="false">IF(B806="","",IF(COUNTIFS($B$2:$B$1201,B806,$A$2:$A$1201,"&lt;&gt;"&amp;A806)&gt;0,"Sim",""))</f>
        <v/>
      </c>
      <c r="H806" s="16" t="str">
        <f aca="false">IF(N(F806)&gt;0,MAX(H$1:H805)+1,"")</f>
        <v/>
      </c>
      <c r="I806" s="11" t="str">
        <f aca="false">IF(B806="","",IF(INDEX($C$2:$C$1201,MATCH(B806,$B$2:$B$1201,0))&lt;&gt;C806,"Nome diferente em outro deck — revisar",""))</f>
        <v/>
      </c>
      <c r="J806" s="16" t="str">
        <f aca="false">IF(AND(B806&lt;&gt;"",A806=BULK!$A$1,N(F806)&gt;0),MAX(J$1:J805)+1,"")</f>
        <v/>
      </c>
      <c r="K806" s="11" t="str">
        <f aca="false">IF(B806="","",IFERROR(LEFT(B806,FIND("-",B806)-1),B806))</f>
        <v/>
      </c>
      <c r="L806" s="11" t="str">
        <f aca="false">IF(K806="","",IF(ISNUMBER(--MID(K806,1,1)),0,IF(ISNUMBER(--MID(K806,2,1)),1,IF(ISNUMBER(--MID(K806,3,1)),2,IF(ISNUMBER(--MID(K806,4,1)),3,MIN(LEN(K806),4))))))</f>
        <v/>
      </c>
      <c r="M806" s="11" t="str">
        <f aca="false">IF(B806="","",LEFT(K806,L806)&amp;REPT("0",4-L806)&amp;RIGHT("000"&amp;IFERROR(VALUE(MID(K806,L806+1,9)),0),3)&amp;RIGHT("0000"&amp;IFERROR(VALUE(MID(B806,FIND("-",B806)+1,9)),0),4))</f>
        <v/>
      </c>
      <c r="N806" s="11" t="str">
        <f aca="false">IF(OR(B806="",N(F806)&lt;=0),"",IF('FALTAS POR DECK'!$P$1="Código","K"&amp;M806&amp;RIGHT("00000"&amp;ROW(),5),IF('FALTAS POR DECK'!$P$1="Nome","K"&amp;UPPER(SUBSTITUTE(SUBSTITUTE(SUBSTITUTE(C806,"*",""),"?",""),"~",""))&amp;"0"&amp;M806&amp;RIGHT("00000"&amp;ROW(),5),IF('FALTAS POR DECK'!$P$1="Falta (maior primeiro)","K"&amp;RIGHT("0000"&amp;(9999-F806),4)&amp;M806&amp;RIGHT("00000"&amp;ROW(),5),IF('FALTAS POR DECK'!$P$1="Deck e código","K"&amp;RIGHT("00"&amp;IFERROR(MATCH(A806,_LEITURA!$P$2:$P$21,0),99),2)&amp;M806&amp;RIGHT("00000"&amp;ROW(),5),"K"&amp;RIGHT("00000"&amp;ROW(),5))))))</f>
        <v/>
      </c>
      <c r="O806" s="16" t="str">
        <f aca="false">IF(N806="","",COUNTIFS($N$2:$N$1201,"&lt;"&amp;N806,$F$2:$F$1201,"&gt;0")+1)</f>
        <v/>
      </c>
    </row>
    <row r="807" customFormat="false" ht="15" hidden="false" customHeight="false" outlineLevel="0" collapsed="false">
      <c r="A807" s="11" t="str">
        <f aca="false">IF(_LEITURA!$N807="","",INDEX(_LEITURA!$K$2:$K$1201,_LEITURA!$N807))</f>
        <v/>
      </c>
      <c r="B807" s="11" t="str">
        <f aca="false">IF(_LEITURA!$N807="","",INDEX(_LEITURA!$E$2:$E$1201,_LEITURA!$N807))</f>
        <v/>
      </c>
      <c r="C807" s="11" t="str">
        <f aca="false">IF(_LEITURA!$N807="","",INDEX(_LEITURA!$J$2:$J$1201,_LEITURA!$N807))</f>
        <v/>
      </c>
      <c r="D807" s="16" t="str">
        <f aca="false">IF(_LEITURA!$N807="","",INDEX(_LEITURA!$G$2:$G$1201,_LEITURA!$N807))</f>
        <v/>
      </c>
      <c r="E807" s="16" t="str">
        <f aca="false">IF(B807="","",SUMIFS(INVENTÁRIO!$C$2:$C$801,INVENTÁRIO!$A$2:$A$801,B807))</f>
        <v/>
      </c>
      <c r="F807" s="16" t="str">
        <f aca="false">IF(B807="","",MAX(0,D807-E807))</f>
        <v/>
      </c>
      <c r="G807" s="16" t="str">
        <f aca="false">IF(B807="","",IF(COUNTIFS($B$2:$B$1201,B807,$A$2:$A$1201,"&lt;&gt;"&amp;A807)&gt;0,"Sim",""))</f>
        <v/>
      </c>
      <c r="H807" s="16" t="str">
        <f aca="false">IF(N(F807)&gt;0,MAX(H$1:H806)+1,"")</f>
        <v/>
      </c>
      <c r="I807" s="11" t="str">
        <f aca="false">IF(B807="","",IF(INDEX($C$2:$C$1201,MATCH(B807,$B$2:$B$1201,0))&lt;&gt;C807,"Nome diferente em outro deck — revisar",""))</f>
        <v/>
      </c>
      <c r="J807" s="16" t="str">
        <f aca="false">IF(AND(B807&lt;&gt;"",A807=BULK!$A$1,N(F807)&gt;0),MAX(J$1:J806)+1,"")</f>
        <v/>
      </c>
      <c r="K807" s="11" t="str">
        <f aca="false">IF(B807="","",IFERROR(LEFT(B807,FIND("-",B807)-1),B807))</f>
        <v/>
      </c>
      <c r="L807" s="11" t="str">
        <f aca="false">IF(K807="","",IF(ISNUMBER(--MID(K807,1,1)),0,IF(ISNUMBER(--MID(K807,2,1)),1,IF(ISNUMBER(--MID(K807,3,1)),2,IF(ISNUMBER(--MID(K807,4,1)),3,MIN(LEN(K807),4))))))</f>
        <v/>
      </c>
      <c r="M807" s="11" t="str">
        <f aca="false">IF(B807="","",LEFT(K807,L807)&amp;REPT("0",4-L807)&amp;RIGHT("000"&amp;IFERROR(VALUE(MID(K807,L807+1,9)),0),3)&amp;RIGHT("0000"&amp;IFERROR(VALUE(MID(B807,FIND("-",B807)+1,9)),0),4))</f>
        <v/>
      </c>
      <c r="N807" s="11" t="str">
        <f aca="false">IF(OR(B807="",N(F807)&lt;=0),"",IF('FALTAS POR DECK'!$P$1="Código","K"&amp;M807&amp;RIGHT("00000"&amp;ROW(),5),IF('FALTAS POR DECK'!$P$1="Nome","K"&amp;UPPER(SUBSTITUTE(SUBSTITUTE(SUBSTITUTE(C807,"*",""),"?",""),"~",""))&amp;"0"&amp;M807&amp;RIGHT("00000"&amp;ROW(),5),IF('FALTAS POR DECK'!$P$1="Falta (maior primeiro)","K"&amp;RIGHT("0000"&amp;(9999-F807),4)&amp;M807&amp;RIGHT("00000"&amp;ROW(),5),IF('FALTAS POR DECK'!$P$1="Deck e código","K"&amp;RIGHT("00"&amp;IFERROR(MATCH(A807,_LEITURA!$P$2:$P$21,0),99),2)&amp;M807&amp;RIGHT("00000"&amp;ROW(),5),"K"&amp;RIGHT("00000"&amp;ROW(),5))))))</f>
        <v/>
      </c>
      <c r="O807" s="16" t="str">
        <f aca="false">IF(N807="","",COUNTIFS($N$2:$N$1201,"&lt;"&amp;N807,$F$2:$F$1201,"&gt;0")+1)</f>
        <v/>
      </c>
    </row>
    <row r="808" customFormat="false" ht="15" hidden="false" customHeight="false" outlineLevel="0" collapsed="false">
      <c r="A808" s="11" t="str">
        <f aca="false">IF(_LEITURA!$N808="","",INDEX(_LEITURA!$K$2:$K$1201,_LEITURA!$N808))</f>
        <v/>
      </c>
      <c r="B808" s="11" t="str">
        <f aca="false">IF(_LEITURA!$N808="","",INDEX(_LEITURA!$E$2:$E$1201,_LEITURA!$N808))</f>
        <v/>
      </c>
      <c r="C808" s="11" t="str">
        <f aca="false">IF(_LEITURA!$N808="","",INDEX(_LEITURA!$J$2:$J$1201,_LEITURA!$N808))</f>
        <v/>
      </c>
      <c r="D808" s="16" t="str">
        <f aca="false">IF(_LEITURA!$N808="","",INDEX(_LEITURA!$G$2:$G$1201,_LEITURA!$N808))</f>
        <v/>
      </c>
      <c r="E808" s="16" t="str">
        <f aca="false">IF(B808="","",SUMIFS(INVENTÁRIO!$C$2:$C$801,INVENTÁRIO!$A$2:$A$801,B808))</f>
        <v/>
      </c>
      <c r="F808" s="16" t="str">
        <f aca="false">IF(B808="","",MAX(0,D808-E808))</f>
        <v/>
      </c>
      <c r="G808" s="16" t="str">
        <f aca="false">IF(B808="","",IF(COUNTIFS($B$2:$B$1201,B808,$A$2:$A$1201,"&lt;&gt;"&amp;A808)&gt;0,"Sim",""))</f>
        <v/>
      </c>
      <c r="H808" s="16" t="str">
        <f aca="false">IF(N(F808)&gt;0,MAX(H$1:H807)+1,"")</f>
        <v/>
      </c>
      <c r="I808" s="11" t="str">
        <f aca="false">IF(B808="","",IF(INDEX($C$2:$C$1201,MATCH(B808,$B$2:$B$1201,0))&lt;&gt;C808,"Nome diferente em outro deck — revisar",""))</f>
        <v/>
      </c>
      <c r="J808" s="16" t="str">
        <f aca="false">IF(AND(B808&lt;&gt;"",A808=BULK!$A$1,N(F808)&gt;0),MAX(J$1:J807)+1,"")</f>
        <v/>
      </c>
      <c r="K808" s="11" t="str">
        <f aca="false">IF(B808="","",IFERROR(LEFT(B808,FIND("-",B808)-1),B808))</f>
        <v/>
      </c>
      <c r="L808" s="11" t="str">
        <f aca="false">IF(K808="","",IF(ISNUMBER(--MID(K808,1,1)),0,IF(ISNUMBER(--MID(K808,2,1)),1,IF(ISNUMBER(--MID(K808,3,1)),2,IF(ISNUMBER(--MID(K808,4,1)),3,MIN(LEN(K808),4))))))</f>
        <v/>
      </c>
      <c r="M808" s="11" t="str">
        <f aca="false">IF(B808="","",LEFT(K808,L808)&amp;REPT("0",4-L808)&amp;RIGHT("000"&amp;IFERROR(VALUE(MID(K808,L808+1,9)),0),3)&amp;RIGHT("0000"&amp;IFERROR(VALUE(MID(B808,FIND("-",B808)+1,9)),0),4))</f>
        <v/>
      </c>
      <c r="N808" s="11" t="str">
        <f aca="false">IF(OR(B808="",N(F808)&lt;=0),"",IF('FALTAS POR DECK'!$P$1="Código","K"&amp;M808&amp;RIGHT("00000"&amp;ROW(),5),IF('FALTAS POR DECK'!$P$1="Nome","K"&amp;UPPER(SUBSTITUTE(SUBSTITUTE(SUBSTITUTE(C808,"*",""),"?",""),"~",""))&amp;"0"&amp;M808&amp;RIGHT("00000"&amp;ROW(),5),IF('FALTAS POR DECK'!$P$1="Falta (maior primeiro)","K"&amp;RIGHT("0000"&amp;(9999-F808),4)&amp;M808&amp;RIGHT("00000"&amp;ROW(),5),IF('FALTAS POR DECK'!$P$1="Deck e código","K"&amp;RIGHT("00"&amp;IFERROR(MATCH(A808,_LEITURA!$P$2:$P$21,0),99),2)&amp;M808&amp;RIGHT("00000"&amp;ROW(),5),"K"&amp;RIGHT("00000"&amp;ROW(),5))))))</f>
        <v/>
      </c>
      <c r="O808" s="16" t="str">
        <f aca="false">IF(N808="","",COUNTIFS($N$2:$N$1201,"&lt;"&amp;N808,$F$2:$F$1201,"&gt;0")+1)</f>
        <v/>
      </c>
    </row>
    <row r="809" customFormat="false" ht="15" hidden="false" customHeight="false" outlineLevel="0" collapsed="false">
      <c r="A809" s="11" t="str">
        <f aca="false">IF(_LEITURA!$N809="","",INDEX(_LEITURA!$K$2:$K$1201,_LEITURA!$N809))</f>
        <v/>
      </c>
      <c r="B809" s="11" t="str">
        <f aca="false">IF(_LEITURA!$N809="","",INDEX(_LEITURA!$E$2:$E$1201,_LEITURA!$N809))</f>
        <v/>
      </c>
      <c r="C809" s="11" t="str">
        <f aca="false">IF(_LEITURA!$N809="","",INDEX(_LEITURA!$J$2:$J$1201,_LEITURA!$N809))</f>
        <v/>
      </c>
      <c r="D809" s="16" t="str">
        <f aca="false">IF(_LEITURA!$N809="","",INDEX(_LEITURA!$G$2:$G$1201,_LEITURA!$N809))</f>
        <v/>
      </c>
      <c r="E809" s="16" t="str">
        <f aca="false">IF(B809="","",SUMIFS(INVENTÁRIO!$C$2:$C$801,INVENTÁRIO!$A$2:$A$801,B809))</f>
        <v/>
      </c>
      <c r="F809" s="16" t="str">
        <f aca="false">IF(B809="","",MAX(0,D809-E809))</f>
        <v/>
      </c>
      <c r="G809" s="16" t="str">
        <f aca="false">IF(B809="","",IF(COUNTIFS($B$2:$B$1201,B809,$A$2:$A$1201,"&lt;&gt;"&amp;A809)&gt;0,"Sim",""))</f>
        <v/>
      </c>
      <c r="H809" s="16" t="str">
        <f aca="false">IF(N(F809)&gt;0,MAX(H$1:H808)+1,"")</f>
        <v/>
      </c>
      <c r="I809" s="11" t="str">
        <f aca="false">IF(B809="","",IF(INDEX($C$2:$C$1201,MATCH(B809,$B$2:$B$1201,0))&lt;&gt;C809,"Nome diferente em outro deck — revisar",""))</f>
        <v/>
      </c>
      <c r="J809" s="16" t="str">
        <f aca="false">IF(AND(B809&lt;&gt;"",A809=BULK!$A$1,N(F809)&gt;0),MAX(J$1:J808)+1,"")</f>
        <v/>
      </c>
      <c r="K809" s="11" t="str">
        <f aca="false">IF(B809="","",IFERROR(LEFT(B809,FIND("-",B809)-1),B809))</f>
        <v/>
      </c>
      <c r="L809" s="11" t="str">
        <f aca="false">IF(K809="","",IF(ISNUMBER(--MID(K809,1,1)),0,IF(ISNUMBER(--MID(K809,2,1)),1,IF(ISNUMBER(--MID(K809,3,1)),2,IF(ISNUMBER(--MID(K809,4,1)),3,MIN(LEN(K809),4))))))</f>
        <v/>
      </c>
      <c r="M809" s="11" t="str">
        <f aca="false">IF(B809="","",LEFT(K809,L809)&amp;REPT("0",4-L809)&amp;RIGHT("000"&amp;IFERROR(VALUE(MID(K809,L809+1,9)),0),3)&amp;RIGHT("0000"&amp;IFERROR(VALUE(MID(B809,FIND("-",B809)+1,9)),0),4))</f>
        <v/>
      </c>
      <c r="N809" s="11" t="str">
        <f aca="false">IF(OR(B809="",N(F809)&lt;=0),"",IF('FALTAS POR DECK'!$P$1="Código","K"&amp;M809&amp;RIGHT("00000"&amp;ROW(),5),IF('FALTAS POR DECK'!$P$1="Nome","K"&amp;UPPER(SUBSTITUTE(SUBSTITUTE(SUBSTITUTE(C809,"*",""),"?",""),"~",""))&amp;"0"&amp;M809&amp;RIGHT("00000"&amp;ROW(),5),IF('FALTAS POR DECK'!$P$1="Falta (maior primeiro)","K"&amp;RIGHT("0000"&amp;(9999-F809),4)&amp;M809&amp;RIGHT("00000"&amp;ROW(),5),IF('FALTAS POR DECK'!$P$1="Deck e código","K"&amp;RIGHT("00"&amp;IFERROR(MATCH(A809,_LEITURA!$P$2:$P$21,0),99),2)&amp;M809&amp;RIGHT("00000"&amp;ROW(),5),"K"&amp;RIGHT("00000"&amp;ROW(),5))))))</f>
        <v/>
      </c>
      <c r="O809" s="16" t="str">
        <f aca="false">IF(N809="","",COUNTIFS($N$2:$N$1201,"&lt;"&amp;N809,$F$2:$F$1201,"&gt;0")+1)</f>
        <v/>
      </c>
    </row>
    <row r="810" customFormat="false" ht="15" hidden="false" customHeight="false" outlineLevel="0" collapsed="false">
      <c r="A810" s="11" t="str">
        <f aca="false">IF(_LEITURA!$N810="","",INDEX(_LEITURA!$K$2:$K$1201,_LEITURA!$N810))</f>
        <v/>
      </c>
      <c r="B810" s="11" t="str">
        <f aca="false">IF(_LEITURA!$N810="","",INDEX(_LEITURA!$E$2:$E$1201,_LEITURA!$N810))</f>
        <v/>
      </c>
      <c r="C810" s="11" t="str">
        <f aca="false">IF(_LEITURA!$N810="","",INDEX(_LEITURA!$J$2:$J$1201,_LEITURA!$N810))</f>
        <v/>
      </c>
      <c r="D810" s="16" t="str">
        <f aca="false">IF(_LEITURA!$N810="","",INDEX(_LEITURA!$G$2:$G$1201,_LEITURA!$N810))</f>
        <v/>
      </c>
      <c r="E810" s="16" t="str">
        <f aca="false">IF(B810="","",SUMIFS(INVENTÁRIO!$C$2:$C$801,INVENTÁRIO!$A$2:$A$801,B810))</f>
        <v/>
      </c>
      <c r="F810" s="16" t="str">
        <f aca="false">IF(B810="","",MAX(0,D810-E810))</f>
        <v/>
      </c>
      <c r="G810" s="16" t="str">
        <f aca="false">IF(B810="","",IF(COUNTIFS($B$2:$B$1201,B810,$A$2:$A$1201,"&lt;&gt;"&amp;A810)&gt;0,"Sim",""))</f>
        <v/>
      </c>
      <c r="H810" s="16" t="str">
        <f aca="false">IF(N(F810)&gt;0,MAX(H$1:H809)+1,"")</f>
        <v/>
      </c>
      <c r="I810" s="11" t="str">
        <f aca="false">IF(B810="","",IF(INDEX($C$2:$C$1201,MATCH(B810,$B$2:$B$1201,0))&lt;&gt;C810,"Nome diferente em outro deck — revisar",""))</f>
        <v/>
      </c>
      <c r="J810" s="16" t="str">
        <f aca="false">IF(AND(B810&lt;&gt;"",A810=BULK!$A$1,N(F810)&gt;0),MAX(J$1:J809)+1,"")</f>
        <v/>
      </c>
      <c r="K810" s="11" t="str">
        <f aca="false">IF(B810="","",IFERROR(LEFT(B810,FIND("-",B810)-1),B810))</f>
        <v/>
      </c>
      <c r="L810" s="11" t="str">
        <f aca="false">IF(K810="","",IF(ISNUMBER(--MID(K810,1,1)),0,IF(ISNUMBER(--MID(K810,2,1)),1,IF(ISNUMBER(--MID(K810,3,1)),2,IF(ISNUMBER(--MID(K810,4,1)),3,MIN(LEN(K810),4))))))</f>
        <v/>
      </c>
      <c r="M810" s="11" t="str">
        <f aca="false">IF(B810="","",LEFT(K810,L810)&amp;REPT("0",4-L810)&amp;RIGHT("000"&amp;IFERROR(VALUE(MID(K810,L810+1,9)),0),3)&amp;RIGHT("0000"&amp;IFERROR(VALUE(MID(B810,FIND("-",B810)+1,9)),0),4))</f>
        <v/>
      </c>
      <c r="N810" s="11" t="str">
        <f aca="false">IF(OR(B810="",N(F810)&lt;=0),"",IF('FALTAS POR DECK'!$P$1="Código","K"&amp;M810&amp;RIGHT("00000"&amp;ROW(),5),IF('FALTAS POR DECK'!$P$1="Nome","K"&amp;UPPER(SUBSTITUTE(SUBSTITUTE(SUBSTITUTE(C810,"*",""),"?",""),"~",""))&amp;"0"&amp;M810&amp;RIGHT("00000"&amp;ROW(),5),IF('FALTAS POR DECK'!$P$1="Falta (maior primeiro)","K"&amp;RIGHT("0000"&amp;(9999-F810),4)&amp;M810&amp;RIGHT("00000"&amp;ROW(),5),IF('FALTAS POR DECK'!$P$1="Deck e código","K"&amp;RIGHT("00"&amp;IFERROR(MATCH(A810,_LEITURA!$P$2:$P$21,0),99),2)&amp;M810&amp;RIGHT("00000"&amp;ROW(),5),"K"&amp;RIGHT("00000"&amp;ROW(),5))))))</f>
        <v/>
      </c>
      <c r="O810" s="16" t="str">
        <f aca="false">IF(N810="","",COUNTIFS($N$2:$N$1201,"&lt;"&amp;N810,$F$2:$F$1201,"&gt;0")+1)</f>
        <v/>
      </c>
    </row>
    <row r="811" customFormat="false" ht="15" hidden="false" customHeight="false" outlineLevel="0" collapsed="false">
      <c r="A811" s="11" t="str">
        <f aca="false">IF(_LEITURA!$N811="","",INDEX(_LEITURA!$K$2:$K$1201,_LEITURA!$N811))</f>
        <v/>
      </c>
      <c r="B811" s="11" t="str">
        <f aca="false">IF(_LEITURA!$N811="","",INDEX(_LEITURA!$E$2:$E$1201,_LEITURA!$N811))</f>
        <v/>
      </c>
      <c r="C811" s="11" t="str">
        <f aca="false">IF(_LEITURA!$N811="","",INDEX(_LEITURA!$J$2:$J$1201,_LEITURA!$N811))</f>
        <v/>
      </c>
      <c r="D811" s="16" t="str">
        <f aca="false">IF(_LEITURA!$N811="","",INDEX(_LEITURA!$G$2:$G$1201,_LEITURA!$N811))</f>
        <v/>
      </c>
      <c r="E811" s="16" t="str">
        <f aca="false">IF(B811="","",SUMIFS(INVENTÁRIO!$C$2:$C$801,INVENTÁRIO!$A$2:$A$801,B811))</f>
        <v/>
      </c>
      <c r="F811" s="16" t="str">
        <f aca="false">IF(B811="","",MAX(0,D811-E811))</f>
        <v/>
      </c>
      <c r="G811" s="16" t="str">
        <f aca="false">IF(B811="","",IF(COUNTIFS($B$2:$B$1201,B811,$A$2:$A$1201,"&lt;&gt;"&amp;A811)&gt;0,"Sim",""))</f>
        <v/>
      </c>
      <c r="H811" s="16" t="str">
        <f aca="false">IF(N(F811)&gt;0,MAX(H$1:H810)+1,"")</f>
        <v/>
      </c>
      <c r="I811" s="11" t="str">
        <f aca="false">IF(B811="","",IF(INDEX($C$2:$C$1201,MATCH(B811,$B$2:$B$1201,0))&lt;&gt;C811,"Nome diferente em outro deck — revisar",""))</f>
        <v/>
      </c>
      <c r="J811" s="16" t="str">
        <f aca="false">IF(AND(B811&lt;&gt;"",A811=BULK!$A$1,N(F811)&gt;0),MAX(J$1:J810)+1,"")</f>
        <v/>
      </c>
      <c r="K811" s="11" t="str">
        <f aca="false">IF(B811="","",IFERROR(LEFT(B811,FIND("-",B811)-1),B811))</f>
        <v/>
      </c>
      <c r="L811" s="11" t="str">
        <f aca="false">IF(K811="","",IF(ISNUMBER(--MID(K811,1,1)),0,IF(ISNUMBER(--MID(K811,2,1)),1,IF(ISNUMBER(--MID(K811,3,1)),2,IF(ISNUMBER(--MID(K811,4,1)),3,MIN(LEN(K811),4))))))</f>
        <v/>
      </c>
      <c r="M811" s="11" t="str">
        <f aca="false">IF(B811="","",LEFT(K811,L811)&amp;REPT("0",4-L811)&amp;RIGHT("000"&amp;IFERROR(VALUE(MID(K811,L811+1,9)),0),3)&amp;RIGHT("0000"&amp;IFERROR(VALUE(MID(B811,FIND("-",B811)+1,9)),0),4))</f>
        <v/>
      </c>
      <c r="N811" s="11" t="str">
        <f aca="false">IF(OR(B811="",N(F811)&lt;=0),"",IF('FALTAS POR DECK'!$P$1="Código","K"&amp;M811&amp;RIGHT("00000"&amp;ROW(),5),IF('FALTAS POR DECK'!$P$1="Nome","K"&amp;UPPER(SUBSTITUTE(SUBSTITUTE(SUBSTITUTE(C811,"*",""),"?",""),"~",""))&amp;"0"&amp;M811&amp;RIGHT("00000"&amp;ROW(),5),IF('FALTAS POR DECK'!$P$1="Falta (maior primeiro)","K"&amp;RIGHT("0000"&amp;(9999-F811),4)&amp;M811&amp;RIGHT("00000"&amp;ROW(),5),IF('FALTAS POR DECK'!$P$1="Deck e código","K"&amp;RIGHT("00"&amp;IFERROR(MATCH(A811,_LEITURA!$P$2:$P$21,0),99),2)&amp;M811&amp;RIGHT("00000"&amp;ROW(),5),"K"&amp;RIGHT("00000"&amp;ROW(),5))))))</f>
        <v/>
      </c>
      <c r="O811" s="16" t="str">
        <f aca="false">IF(N811="","",COUNTIFS($N$2:$N$1201,"&lt;"&amp;N811,$F$2:$F$1201,"&gt;0")+1)</f>
        <v/>
      </c>
    </row>
    <row r="812" customFormat="false" ht="15" hidden="false" customHeight="false" outlineLevel="0" collapsed="false">
      <c r="A812" s="11" t="str">
        <f aca="false">IF(_LEITURA!$N812="","",INDEX(_LEITURA!$K$2:$K$1201,_LEITURA!$N812))</f>
        <v/>
      </c>
      <c r="B812" s="11" t="str">
        <f aca="false">IF(_LEITURA!$N812="","",INDEX(_LEITURA!$E$2:$E$1201,_LEITURA!$N812))</f>
        <v/>
      </c>
      <c r="C812" s="11" t="str">
        <f aca="false">IF(_LEITURA!$N812="","",INDEX(_LEITURA!$J$2:$J$1201,_LEITURA!$N812))</f>
        <v/>
      </c>
      <c r="D812" s="16" t="str">
        <f aca="false">IF(_LEITURA!$N812="","",INDEX(_LEITURA!$G$2:$G$1201,_LEITURA!$N812))</f>
        <v/>
      </c>
      <c r="E812" s="16" t="str">
        <f aca="false">IF(B812="","",SUMIFS(INVENTÁRIO!$C$2:$C$801,INVENTÁRIO!$A$2:$A$801,B812))</f>
        <v/>
      </c>
      <c r="F812" s="16" t="str">
        <f aca="false">IF(B812="","",MAX(0,D812-E812))</f>
        <v/>
      </c>
      <c r="G812" s="16" t="str">
        <f aca="false">IF(B812="","",IF(COUNTIFS($B$2:$B$1201,B812,$A$2:$A$1201,"&lt;&gt;"&amp;A812)&gt;0,"Sim",""))</f>
        <v/>
      </c>
      <c r="H812" s="16" t="str">
        <f aca="false">IF(N(F812)&gt;0,MAX(H$1:H811)+1,"")</f>
        <v/>
      </c>
      <c r="I812" s="11" t="str">
        <f aca="false">IF(B812="","",IF(INDEX($C$2:$C$1201,MATCH(B812,$B$2:$B$1201,0))&lt;&gt;C812,"Nome diferente em outro deck — revisar",""))</f>
        <v/>
      </c>
      <c r="J812" s="16" t="str">
        <f aca="false">IF(AND(B812&lt;&gt;"",A812=BULK!$A$1,N(F812)&gt;0),MAX(J$1:J811)+1,"")</f>
        <v/>
      </c>
      <c r="K812" s="11" t="str">
        <f aca="false">IF(B812="","",IFERROR(LEFT(B812,FIND("-",B812)-1),B812))</f>
        <v/>
      </c>
      <c r="L812" s="11" t="str">
        <f aca="false">IF(K812="","",IF(ISNUMBER(--MID(K812,1,1)),0,IF(ISNUMBER(--MID(K812,2,1)),1,IF(ISNUMBER(--MID(K812,3,1)),2,IF(ISNUMBER(--MID(K812,4,1)),3,MIN(LEN(K812),4))))))</f>
        <v/>
      </c>
      <c r="M812" s="11" t="str">
        <f aca="false">IF(B812="","",LEFT(K812,L812)&amp;REPT("0",4-L812)&amp;RIGHT("000"&amp;IFERROR(VALUE(MID(K812,L812+1,9)),0),3)&amp;RIGHT("0000"&amp;IFERROR(VALUE(MID(B812,FIND("-",B812)+1,9)),0),4))</f>
        <v/>
      </c>
      <c r="N812" s="11" t="str">
        <f aca="false">IF(OR(B812="",N(F812)&lt;=0),"",IF('FALTAS POR DECK'!$P$1="Código","K"&amp;M812&amp;RIGHT("00000"&amp;ROW(),5),IF('FALTAS POR DECK'!$P$1="Nome","K"&amp;UPPER(SUBSTITUTE(SUBSTITUTE(SUBSTITUTE(C812,"*",""),"?",""),"~",""))&amp;"0"&amp;M812&amp;RIGHT("00000"&amp;ROW(),5),IF('FALTAS POR DECK'!$P$1="Falta (maior primeiro)","K"&amp;RIGHT("0000"&amp;(9999-F812),4)&amp;M812&amp;RIGHT("00000"&amp;ROW(),5),IF('FALTAS POR DECK'!$P$1="Deck e código","K"&amp;RIGHT("00"&amp;IFERROR(MATCH(A812,_LEITURA!$P$2:$P$21,0),99),2)&amp;M812&amp;RIGHT("00000"&amp;ROW(),5),"K"&amp;RIGHT("00000"&amp;ROW(),5))))))</f>
        <v/>
      </c>
      <c r="O812" s="16" t="str">
        <f aca="false">IF(N812="","",COUNTIFS($N$2:$N$1201,"&lt;"&amp;N812,$F$2:$F$1201,"&gt;0")+1)</f>
        <v/>
      </c>
    </row>
    <row r="813" customFormat="false" ht="15" hidden="false" customHeight="false" outlineLevel="0" collapsed="false">
      <c r="A813" s="11" t="str">
        <f aca="false">IF(_LEITURA!$N813="","",INDEX(_LEITURA!$K$2:$K$1201,_LEITURA!$N813))</f>
        <v/>
      </c>
      <c r="B813" s="11" t="str">
        <f aca="false">IF(_LEITURA!$N813="","",INDEX(_LEITURA!$E$2:$E$1201,_LEITURA!$N813))</f>
        <v/>
      </c>
      <c r="C813" s="11" t="str">
        <f aca="false">IF(_LEITURA!$N813="","",INDEX(_LEITURA!$J$2:$J$1201,_LEITURA!$N813))</f>
        <v/>
      </c>
      <c r="D813" s="16" t="str">
        <f aca="false">IF(_LEITURA!$N813="","",INDEX(_LEITURA!$G$2:$G$1201,_LEITURA!$N813))</f>
        <v/>
      </c>
      <c r="E813" s="16" t="str">
        <f aca="false">IF(B813="","",SUMIFS(INVENTÁRIO!$C$2:$C$801,INVENTÁRIO!$A$2:$A$801,B813))</f>
        <v/>
      </c>
      <c r="F813" s="16" t="str">
        <f aca="false">IF(B813="","",MAX(0,D813-E813))</f>
        <v/>
      </c>
      <c r="G813" s="16" t="str">
        <f aca="false">IF(B813="","",IF(COUNTIFS($B$2:$B$1201,B813,$A$2:$A$1201,"&lt;&gt;"&amp;A813)&gt;0,"Sim",""))</f>
        <v/>
      </c>
      <c r="H813" s="16" t="str">
        <f aca="false">IF(N(F813)&gt;0,MAX(H$1:H812)+1,"")</f>
        <v/>
      </c>
      <c r="I813" s="11" t="str">
        <f aca="false">IF(B813="","",IF(INDEX($C$2:$C$1201,MATCH(B813,$B$2:$B$1201,0))&lt;&gt;C813,"Nome diferente em outro deck — revisar",""))</f>
        <v/>
      </c>
      <c r="J813" s="16" t="str">
        <f aca="false">IF(AND(B813&lt;&gt;"",A813=BULK!$A$1,N(F813)&gt;0),MAX(J$1:J812)+1,"")</f>
        <v/>
      </c>
      <c r="K813" s="11" t="str">
        <f aca="false">IF(B813="","",IFERROR(LEFT(B813,FIND("-",B813)-1),B813))</f>
        <v/>
      </c>
      <c r="L813" s="11" t="str">
        <f aca="false">IF(K813="","",IF(ISNUMBER(--MID(K813,1,1)),0,IF(ISNUMBER(--MID(K813,2,1)),1,IF(ISNUMBER(--MID(K813,3,1)),2,IF(ISNUMBER(--MID(K813,4,1)),3,MIN(LEN(K813),4))))))</f>
        <v/>
      </c>
      <c r="M813" s="11" t="str">
        <f aca="false">IF(B813="","",LEFT(K813,L813)&amp;REPT("0",4-L813)&amp;RIGHT("000"&amp;IFERROR(VALUE(MID(K813,L813+1,9)),0),3)&amp;RIGHT("0000"&amp;IFERROR(VALUE(MID(B813,FIND("-",B813)+1,9)),0),4))</f>
        <v/>
      </c>
      <c r="N813" s="11" t="str">
        <f aca="false">IF(OR(B813="",N(F813)&lt;=0),"",IF('FALTAS POR DECK'!$P$1="Código","K"&amp;M813&amp;RIGHT("00000"&amp;ROW(),5),IF('FALTAS POR DECK'!$P$1="Nome","K"&amp;UPPER(SUBSTITUTE(SUBSTITUTE(SUBSTITUTE(C813,"*",""),"?",""),"~",""))&amp;"0"&amp;M813&amp;RIGHT("00000"&amp;ROW(),5),IF('FALTAS POR DECK'!$P$1="Falta (maior primeiro)","K"&amp;RIGHT("0000"&amp;(9999-F813),4)&amp;M813&amp;RIGHT("00000"&amp;ROW(),5),IF('FALTAS POR DECK'!$P$1="Deck e código","K"&amp;RIGHT("00"&amp;IFERROR(MATCH(A813,_LEITURA!$P$2:$P$21,0),99),2)&amp;M813&amp;RIGHT("00000"&amp;ROW(),5),"K"&amp;RIGHT("00000"&amp;ROW(),5))))))</f>
        <v/>
      </c>
      <c r="O813" s="16" t="str">
        <f aca="false">IF(N813="","",COUNTIFS($N$2:$N$1201,"&lt;"&amp;N813,$F$2:$F$1201,"&gt;0")+1)</f>
        <v/>
      </c>
    </row>
    <row r="814" customFormat="false" ht="15" hidden="false" customHeight="false" outlineLevel="0" collapsed="false">
      <c r="A814" s="11" t="str">
        <f aca="false">IF(_LEITURA!$N814="","",INDEX(_LEITURA!$K$2:$K$1201,_LEITURA!$N814))</f>
        <v/>
      </c>
      <c r="B814" s="11" t="str">
        <f aca="false">IF(_LEITURA!$N814="","",INDEX(_LEITURA!$E$2:$E$1201,_LEITURA!$N814))</f>
        <v/>
      </c>
      <c r="C814" s="11" t="str">
        <f aca="false">IF(_LEITURA!$N814="","",INDEX(_LEITURA!$J$2:$J$1201,_LEITURA!$N814))</f>
        <v/>
      </c>
      <c r="D814" s="16" t="str">
        <f aca="false">IF(_LEITURA!$N814="","",INDEX(_LEITURA!$G$2:$G$1201,_LEITURA!$N814))</f>
        <v/>
      </c>
      <c r="E814" s="16" t="str">
        <f aca="false">IF(B814="","",SUMIFS(INVENTÁRIO!$C$2:$C$801,INVENTÁRIO!$A$2:$A$801,B814))</f>
        <v/>
      </c>
      <c r="F814" s="16" t="str">
        <f aca="false">IF(B814="","",MAX(0,D814-E814))</f>
        <v/>
      </c>
      <c r="G814" s="16" t="str">
        <f aca="false">IF(B814="","",IF(COUNTIFS($B$2:$B$1201,B814,$A$2:$A$1201,"&lt;&gt;"&amp;A814)&gt;0,"Sim",""))</f>
        <v/>
      </c>
      <c r="H814" s="16" t="str">
        <f aca="false">IF(N(F814)&gt;0,MAX(H$1:H813)+1,"")</f>
        <v/>
      </c>
      <c r="I814" s="11" t="str">
        <f aca="false">IF(B814="","",IF(INDEX($C$2:$C$1201,MATCH(B814,$B$2:$B$1201,0))&lt;&gt;C814,"Nome diferente em outro deck — revisar",""))</f>
        <v/>
      </c>
      <c r="J814" s="16" t="str">
        <f aca="false">IF(AND(B814&lt;&gt;"",A814=BULK!$A$1,N(F814)&gt;0),MAX(J$1:J813)+1,"")</f>
        <v/>
      </c>
      <c r="K814" s="11" t="str">
        <f aca="false">IF(B814="","",IFERROR(LEFT(B814,FIND("-",B814)-1),B814))</f>
        <v/>
      </c>
      <c r="L814" s="11" t="str">
        <f aca="false">IF(K814="","",IF(ISNUMBER(--MID(K814,1,1)),0,IF(ISNUMBER(--MID(K814,2,1)),1,IF(ISNUMBER(--MID(K814,3,1)),2,IF(ISNUMBER(--MID(K814,4,1)),3,MIN(LEN(K814),4))))))</f>
        <v/>
      </c>
      <c r="M814" s="11" t="str">
        <f aca="false">IF(B814="","",LEFT(K814,L814)&amp;REPT("0",4-L814)&amp;RIGHT("000"&amp;IFERROR(VALUE(MID(K814,L814+1,9)),0),3)&amp;RIGHT("0000"&amp;IFERROR(VALUE(MID(B814,FIND("-",B814)+1,9)),0),4))</f>
        <v/>
      </c>
      <c r="N814" s="11" t="str">
        <f aca="false">IF(OR(B814="",N(F814)&lt;=0),"",IF('FALTAS POR DECK'!$P$1="Código","K"&amp;M814&amp;RIGHT("00000"&amp;ROW(),5),IF('FALTAS POR DECK'!$P$1="Nome","K"&amp;UPPER(SUBSTITUTE(SUBSTITUTE(SUBSTITUTE(C814,"*",""),"?",""),"~",""))&amp;"0"&amp;M814&amp;RIGHT("00000"&amp;ROW(),5),IF('FALTAS POR DECK'!$P$1="Falta (maior primeiro)","K"&amp;RIGHT("0000"&amp;(9999-F814),4)&amp;M814&amp;RIGHT("00000"&amp;ROW(),5),IF('FALTAS POR DECK'!$P$1="Deck e código","K"&amp;RIGHT("00"&amp;IFERROR(MATCH(A814,_LEITURA!$P$2:$P$21,0),99),2)&amp;M814&amp;RIGHT("00000"&amp;ROW(),5),"K"&amp;RIGHT("00000"&amp;ROW(),5))))))</f>
        <v/>
      </c>
      <c r="O814" s="16" t="str">
        <f aca="false">IF(N814="","",COUNTIFS($N$2:$N$1201,"&lt;"&amp;N814,$F$2:$F$1201,"&gt;0")+1)</f>
        <v/>
      </c>
    </row>
    <row r="815" customFormat="false" ht="15" hidden="false" customHeight="false" outlineLevel="0" collapsed="false">
      <c r="A815" s="11" t="str">
        <f aca="false">IF(_LEITURA!$N815="","",INDEX(_LEITURA!$K$2:$K$1201,_LEITURA!$N815))</f>
        <v/>
      </c>
      <c r="B815" s="11" t="str">
        <f aca="false">IF(_LEITURA!$N815="","",INDEX(_LEITURA!$E$2:$E$1201,_LEITURA!$N815))</f>
        <v/>
      </c>
      <c r="C815" s="11" t="str">
        <f aca="false">IF(_LEITURA!$N815="","",INDEX(_LEITURA!$J$2:$J$1201,_LEITURA!$N815))</f>
        <v/>
      </c>
      <c r="D815" s="16" t="str">
        <f aca="false">IF(_LEITURA!$N815="","",INDEX(_LEITURA!$G$2:$G$1201,_LEITURA!$N815))</f>
        <v/>
      </c>
      <c r="E815" s="16" t="str">
        <f aca="false">IF(B815="","",SUMIFS(INVENTÁRIO!$C$2:$C$801,INVENTÁRIO!$A$2:$A$801,B815))</f>
        <v/>
      </c>
      <c r="F815" s="16" t="str">
        <f aca="false">IF(B815="","",MAX(0,D815-E815))</f>
        <v/>
      </c>
      <c r="G815" s="16" t="str">
        <f aca="false">IF(B815="","",IF(COUNTIFS($B$2:$B$1201,B815,$A$2:$A$1201,"&lt;&gt;"&amp;A815)&gt;0,"Sim",""))</f>
        <v/>
      </c>
      <c r="H815" s="16" t="str">
        <f aca="false">IF(N(F815)&gt;0,MAX(H$1:H814)+1,"")</f>
        <v/>
      </c>
      <c r="I815" s="11" t="str">
        <f aca="false">IF(B815="","",IF(INDEX($C$2:$C$1201,MATCH(B815,$B$2:$B$1201,0))&lt;&gt;C815,"Nome diferente em outro deck — revisar",""))</f>
        <v/>
      </c>
      <c r="J815" s="16" t="str">
        <f aca="false">IF(AND(B815&lt;&gt;"",A815=BULK!$A$1,N(F815)&gt;0),MAX(J$1:J814)+1,"")</f>
        <v/>
      </c>
      <c r="K815" s="11" t="str">
        <f aca="false">IF(B815="","",IFERROR(LEFT(B815,FIND("-",B815)-1),B815))</f>
        <v/>
      </c>
      <c r="L815" s="11" t="str">
        <f aca="false">IF(K815="","",IF(ISNUMBER(--MID(K815,1,1)),0,IF(ISNUMBER(--MID(K815,2,1)),1,IF(ISNUMBER(--MID(K815,3,1)),2,IF(ISNUMBER(--MID(K815,4,1)),3,MIN(LEN(K815),4))))))</f>
        <v/>
      </c>
      <c r="M815" s="11" t="str">
        <f aca="false">IF(B815="","",LEFT(K815,L815)&amp;REPT("0",4-L815)&amp;RIGHT("000"&amp;IFERROR(VALUE(MID(K815,L815+1,9)),0),3)&amp;RIGHT("0000"&amp;IFERROR(VALUE(MID(B815,FIND("-",B815)+1,9)),0),4))</f>
        <v/>
      </c>
      <c r="N815" s="11" t="str">
        <f aca="false">IF(OR(B815="",N(F815)&lt;=0),"",IF('FALTAS POR DECK'!$P$1="Código","K"&amp;M815&amp;RIGHT("00000"&amp;ROW(),5),IF('FALTAS POR DECK'!$P$1="Nome","K"&amp;UPPER(SUBSTITUTE(SUBSTITUTE(SUBSTITUTE(C815,"*",""),"?",""),"~",""))&amp;"0"&amp;M815&amp;RIGHT("00000"&amp;ROW(),5),IF('FALTAS POR DECK'!$P$1="Falta (maior primeiro)","K"&amp;RIGHT("0000"&amp;(9999-F815),4)&amp;M815&amp;RIGHT("00000"&amp;ROW(),5),IF('FALTAS POR DECK'!$P$1="Deck e código","K"&amp;RIGHT("00"&amp;IFERROR(MATCH(A815,_LEITURA!$P$2:$P$21,0),99),2)&amp;M815&amp;RIGHT("00000"&amp;ROW(),5),"K"&amp;RIGHT("00000"&amp;ROW(),5))))))</f>
        <v/>
      </c>
      <c r="O815" s="16" t="str">
        <f aca="false">IF(N815="","",COUNTIFS($N$2:$N$1201,"&lt;"&amp;N815,$F$2:$F$1201,"&gt;0")+1)</f>
        <v/>
      </c>
    </row>
    <row r="816" customFormat="false" ht="15" hidden="false" customHeight="false" outlineLevel="0" collapsed="false">
      <c r="A816" s="11" t="str">
        <f aca="false">IF(_LEITURA!$N816="","",INDEX(_LEITURA!$K$2:$K$1201,_LEITURA!$N816))</f>
        <v/>
      </c>
      <c r="B816" s="11" t="str">
        <f aca="false">IF(_LEITURA!$N816="","",INDEX(_LEITURA!$E$2:$E$1201,_LEITURA!$N816))</f>
        <v/>
      </c>
      <c r="C816" s="11" t="str">
        <f aca="false">IF(_LEITURA!$N816="","",INDEX(_LEITURA!$J$2:$J$1201,_LEITURA!$N816))</f>
        <v/>
      </c>
      <c r="D816" s="16" t="str">
        <f aca="false">IF(_LEITURA!$N816="","",INDEX(_LEITURA!$G$2:$G$1201,_LEITURA!$N816))</f>
        <v/>
      </c>
      <c r="E816" s="16" t="str">
        <f aca="false">IF(B816="","",SUMIFS(INVENTÁRIO!$C$2:$C$801,INVENTÁRIO!$A$2:$A$801,B816))</f>
        <v/>
      </c>
      <c r="F816" s="16" t="str">
        <f aca="false">IF(B816="","",MAX(0,D816-E816))</f>
        <v/>
      </c>
      <c r="G816" s="16" t="str">
        <f aca="false">IF(B816="","",IF(COUNTIFS($B$2:$B$1201,B816,$A$2:$A$1201,"&lt;&gt;"&amp;A816)&gt;0,"Sim",""))</f>
        <v/>
      </c>
      <c r="H816" s="16" t="str">
        <f aca="false">IF(N(F816)&gt;0,MAX(H$1:H815)+1,"")</f>
        <v/>
      </c>
      <c r="I816" s="11" t="str">
        <f aca="false">IF(B816="","",IF(INDEX($C$2:$C$1201,MATCH(B816,$B$2:$B$1201,0))&lt;&gt;C816,"Nome diferente em outro deck — revisar",""))</f>
        <v/>
      </c>
      <c r="J816" s="16" t="str">
        <f aca="false">IF(AND(B816&lt;&gt;"",A816=BULK!$A$1,N(F816)&gt;0),MAX(J$1:J815)+1,"")</f>
        <v/>
      </c>
      <c r="K816" s="11" t="str">
        <f aca="false">IF(B816="","",IFERROR(LEFT(B816,FIND("-",B816)-1),B816))</f>
        <v/>
      </c>
      <c r="L816" s="11" t="str">
        <f aca="false">IF(K816="","",IF(ISNUMBER(--MID(K816,1,1)),0,IF(ISNUMBER(--MID(K816,2,1)),1,IF(ISNUMBER(--MID(K816,3,1)),2,IF(ISNUMBER(--MID(K816,4,1)),3,MIN(LEN(K816),4))))))</f>
        <v/>
      </c>
      <c r="M816" s="11" t="str">
        <f aca="false">IF(B816="","",LEFT(K816,L816)&amp;REPT("0",4-L816)&amp;RIGHT("000"&amp;IFERROR(VALUE(MID(K816,L816+1,9)),0),3)&amp;RIGHT("0000"&amp;IFERROR(VALUE(MID(B816,FIND("-",B816)+1,9)),0),4))</f>
        <v/>
      </c>
      <c r="N816" s="11" t="str">
        <f aca="false">IF(OR(B816="",N(F816)&lt;=0),"",IF('FALTAS POR DECK'!$P$1="Código","K"&amp;M816&amp;RIGHT("00000"&amp;ROW(),5),IF('FALTAS POR DECK'!$P$1="Nome","K"&amp;UPPER(SUBSTITUTE(SUBSTITUTE(SUBSTITUTE(C816,"*",""),"?",""),"~",""))&amp;"0"&amp;M816&amp;RIGHT("00000"&amp;ROW(),5),IF('FALTAS POR DECK'!$P$1="Falta (maior primeiro)","K"&amp;RIGHT("0000"&amp;(9999-F816),4)&amp;M816&amp;RIGHT("00000"&amp;ROW(),5),IF('FALTAS POR DECK'!$P$1="Deck e código","K"&amp;RIGHT("00"&amp;IFERROR(MATCH(A816,_LEITURA!$P$2:$P$21,0),99),2)&amp;M816&amp;RIGHT("00000"&amp;ROW(),5),"K"&amp;RIGHT("00000"&amp;ROW(),5))))))</f>
        <v/>
      </c>
      <c r="O816" s="16" t="str">
        <f aca="false">IF(N816="","",COUNTIFS($N$2:$N$1201,"&lt;"&amp;N816,$F$2:$F$1201,"&gt;0")+1)</f>
        <v/>
      </c>
    </row>
    <row r="817" customFormat="false" ht="15" hidden="false" customHeight="false" outlineLevel="0" collapsed="false">
      <c r="A817" s="11" t="str">
        <f aca="false">IF(_LEITURA!$N817="","",INDEX(_LEITURA!$K$2:$K$1201,_LEITURA!$N817))</f>
        <v/>
      </c>
      <c r="B817" s="11" t="str">
        <f aca="false">IF(_LEITURA!$N817="","",INDEX(_LEITURA!$E$2:$E$1201,_LEITURA!$N817))</f>
        <v/>
      </c>
      <c r="C817" s="11" t="str">
        <f aca="false">IF(_LEITURA!$N817="","",INDEX(_LEITURA!$J$2:$J$1201,_LEITURA!$N817))</f>
        <v/>
      </c>
      <c r="D817" s="16" t="str">
        <f aca="false">IF(_LEITURA!$N817="","",INDEX(_LEITURA!$G$2:$G$1201,_LEITURA!$N817))</f>
        <v/>
      </c>
      <c r="E817" s="16" t="str">
        <f aca="false">IF(B817="","",SUMIFS(INVENTÁRIO!$C$2:$C$801,INVENTÁRIO!$A$2:$A$801,B817))</f>
        <v/>
      </c>
      <c r="F817" s="16" t="str">
        <f aca="false">IF(B817="","",MAX(0,D817-E817))</f>
        <v/>
      </c>
      <c r="G817" s="16" t="str">
        <f aca="false">IF(B817="","",IF(COUNTIFS($B$2:$B$1201,B817,$A$2:$A$1201,"&lt;&gt;"&amp;A817)&gt;0,"Sim",""))</f>
        <v/>
      </c>
      <c r="H817" s="16" t="str">
        <f aca="false">IF(N(F817)&gt;0,MAX(H$1:H816)+1,"")</f>
        <v/>
      </c>
      <c r="I817" s="11" t="str">
        <f aca="false">IF(B817="","",IF(INDEX($C$2:$C$1201,MATCH(B817,$B$2:$B$1201,0))&lt;&gt;C817,"Nome diferente em outro deck — revisar",""))</f>
        <v/>
      </c>
      <c r="J817" s="16" t="str">
        <f aca="false">IF(AND(B817&lt;&gt;"",A817=BULK!$A$1,N(F817)&gt;0),MAX(J$1:J816)+1,"")</f>
        <v/>
      </c>
      <c r="K817" s="11" t="str">
        <f aca="false">IF(B817="","",IFERROR(LEFT(B817,FIND("-",B817)-1),B817))</f>
        <v/>
      </c>
      <c r="L817" s="11" t="str">
        <f aca="false">IF(K817="","",IF(ISNUMBER(--MID(K817,1,1)),0,IF(ISNUMBER(--MID(K817,2,1)),1,IF(ISNUMBER(--MID(K817,3,1)),2,IF(ISNUMBER(--MID(K817,4,1)),3,MIN(LEN(K817),4))))))</f>
        <v/>
      </c>
      <c r="M817" s="11" t="str">
        <f aca="false">IF(B817="","",LEFT(K817,L817)&amp;REPT("0",4-L817)&amp;RIGHT("000"&amp;IFERROR(VALUE(MID(K817,L817+1,9)),0),3)&amp;RIGHT("0000"&amp;IFERROR(VALUE(MID(B817,FIND("-",B817)+1,9)),0),4))</f>
        <v/>
      </c>
      <c r="N817" s="11" t="str">
        <f aca="false">IF(OR(B817="",N(F817)&lt;=0),"",IF('FALTAS POR DECK'!$P$1="Código","K"&amp;M817&amp;RIGHT("00000"&amp;ROW(),5),IF('FALTAS POR DECK'!$P$1="Nome","K"&amp;UPPER(SUBSTITUTE(SUBSTITUTE(SUBSTITUTE(C817,"*",""),"?",""),"~",""))&amp;"0"&amp;M817&amp;RIGHT("00000"&amp;ROW(),5),IF('FALTAS POR DECK'!$P$1="Falta (maior primeiro)","K"&amp;RIGHT("0000"&amp;(9999-F817),4)&amp;M817&amp;RIGHT("00000"&amp;ROW(),5),IF('FALTAS POR DECK'!$P$1="Deck e código","K"&amp;RIGHT("00"&amp;IFERROR(MATCH(A817,_LEITURA!$P$2:$P$21,0),99),2)&amp;M817&amp;RIGHT("00000"&amp;ROW(),5),"K"&amp;RIGHT("00000"&amp;ROW(),5))))))</f>
        <v/>
      </c>
      <c r="O817" s="16" t="str">
        <f aca="false">IF(N817="","",COUNTIFS($N$2:$N$1201,"&lt;"&amp;N817,$F$2:$F$1201,"&gt;0")+1)</f>
        <v/>
      </c>
    </row>
    <row r="818" customFormat="false" ht="15" hidden="false" customHeight="false" outlineLevel="0" collapsed="false">
      <c r="A818" s="11" t="str">
        <f aca="false">IF(_LEITURA!$N818="","",INDEX(_LEITURA!$K$2:$K$1201,_LEITURA!$N818))</f>
        <v/>
      </c>
      <c r="B818" s="11" t="str">
        <f aca="false">IF(_LEITURA!$N818="","",INDEX(_LEITURA!$E$2:$E$1201,_LEITURA!$N818))</f>
        <v/>
      </c>
      <c r="C818" s="11" t="str">
        <f aca="false">IF(_LEITURA!$N818="","",INDEX(_LEITURA!$J$2:$J$1201,_LEITURA!$N818))</f>
        <v/>
      </c>
      <c r="D818" s="16" t="str">
        <f aca="false">IF(_LEITURA!$N818="","",INDEX(_LEITURA!$G$2:$G$1201,_LEITURA!$N818))</f>
        <v/>
      </c>
      <c r="E818" s="16" t="str">
        <f aca="false">IF(B818="","",SUMIFS(INVENTÁRIO!$C$2:$C$801,INVENTÁRIO!$A$2:$A$801,B818))</f>
        <v/>
      </c>
      <c r="F818" s="16" t="str">
        <f aca="false">IF(B818="","",MAX(0,D818-E818))</f>
        <v/>
      </c>
      <c r="G818" s="16" t="str">
        <f aca="false">IF(B818="","",IF(COUNTIFS($B$2:$B$1201,B818,$A$2:$A$1201,"&lt;&gt;"&amp;A818)&gt;0,"Sim",""))</f>
        <v/>
      </c>
      <c r="H818" s="16" t="str">
        <f aca="false">IF(N(F818)&gt;0,MAX(H$1:H817)+1,"")</f>
        <v/>
      </c>
      <c r="I818" s="11" t="str">
        <f aca="false">IF(B818="","",IF(INDEX($C$2:$C$1201,MATCH(B818,$B$2:$B$1201,0))&lt;&gt;C818,"Nome diferente em outro deck — revisar",""))</f>
        <v/>
      </c>
      <c r="J818" s="16" t="str">
        <f aca="false">IF(AND(B818&lt;&gt;"",A818=BULK!$A$1,N(F818)&gt;0),MAX(J$1:J817)+1,"")</f>
        <v/>
      </c>
      <c r="K818" s="11" t="str">
        <f aca="false">IF(B818="","",IFERROR(LEFT(B818,FIND("-",B818)-1),B818))</f>
        <v/>
      </c>
      <c r="L818" s="11" t="str">
        <f aca="false">IF(K818="","",IF(ISNUMBER(--MID(K818,1,1)),0,IF(ISNUMBER(--MID(K818,2,1)),1,IF(ISNUMBER(--MID(K818,3,1)),2,IF(ISNUMBER(--MID(K818,4,1)),3,MIN(LEN(K818),4))))))</f>
        <v/>
      </c>
      <c r="M818" s="11" t="str">
        <f aca="false">IF(B818="","",LEFT(K818,L818)&amp;REPT("0",4-L818)&amp;RIGHT("000"&amp;IFERROR(VALUE(MID(K818,L818+1,9)),0),3)&amp;RIGHT("0000"&amp;IFERROR(VALUE(MID(B818,FIND("-",B818)+1,9)),0),4))</f>
        <v/>
      </c>
      <c r="N818" s="11" t="str">
        <f aca="false">IF(OR(B818="",N(F818)&lt;=0),"",IF('FALTAS POR DECK'!$P$1="Código","K"&amp;M818&amp;RIGHT("00000"&amp;ROW(),5),IF('FALTAS POR DECK'!$P$1="Nome","K"&amp;UPPER(SUBSTITUTE(SUBSTITUTE(SUBSTITUTE(C818,"*",""),"?",""),"~",""))&amp;"0"&amp;M818&amp;RIGHT("00000"&amp;ROW(),5),IF('FALTAS POR DECK'!$P$1="Falta (maior primeiro)","K"&amp;RIGHT("0000"&amp;(9999-F818),4)&amp;M818&amp;RIGHT("00000"&amp;ROW(),5),IF('FALTAS POR DECK'!$P$1="Deck e código","K"&amp;RIGHT("00"&amp;IFERROR(MATCH(A818,_LEITURA!$P$2:$P$21,0),99),2)&amp;M818&amp;RIGHT("00000"&amp;ROW(),5),"K"&amp;RIGHT("00000"&amp;ROW(),5))))))</f>
        <v/>
      </c>
      <c r="O818" s="16" t="str">
        <f aca="false">IF(N818="","",COUNTIFS($N$2:$N$1201,"&lt;"&amp;N818,$F$2:$F$1201,"&gt;0")+1)</f>
        <v/>
      </c>
    </row>
    <row r="819" customFormat="false" ht="15" hidden="false" customHeight="false" outlineLevel="0" collapsed="false">
      <c r="A819" s="11" t="str">
        <f aca="false">IF(_LEITURA!$N819="","",INDEX(_LEITURA!$K$2:$K$1201,_LEITURA!$N819))</f>
        <v/>
      </c>
      <c r="B819" s="11" t="str">
        <f aca="false">IF(_LEITURA!$N819="","",INDEX(_LEITURA!$E$2:$E$1201,_LEITURA!$N819))</f>
        <v/>
      </c>
      <c r="C819" s="11" t="str">
        <f aca="false">IF(_LEITURA!$N819="","",INDEX(_LEITURA!$J$2:$J$1201,_LEITURA!$N819))</f>
        <v/>
      </c>
      <c r="D819" s="16" t="str">
        <f aca="false">IF(_LEITURA!$N819="","",INDEX(_LEITURA!$G$2:$G$1201,_LEITURA!$N819))</f>
        <v/>
      </c>
      <c r="E819" s="16" t="str">
        <f aca="false">IF(B819="","",SUMIFS(INVENTÁRIO!$C$2:$C$801,INVENTÁRIO!$A$2:$A$801,B819))</f>
        <v/>
      </c>
      <c r="F819" s="16" t="str">
        <f aca="false">IF(B819="","",MAX(0,D819-E819))</f>
        <v/>
      </c>
      <c r="G819" s="16" t="str">
        <f aca="false">IF(B819="","",IF(COUNTIFS($B$2:$B$1201,B819,$A$2:$A$1201,"&lt;&gt;"&amp;A819)&gt;0,"Sim",""))</f>
        <v/>
      </c>
      <c r="H819" s="16" t="str">
        <f aca="false">IF(N(F819)&gt;0,MAX(H$1:H818)+1,"")</f>
        <v/>
      </c>
      <c r="I819" s="11" t="str">
        <f aca="false">IF(B819="","",IF(INDEX($C$2:$C$1201,MATCH(B819,$B$2:$B$1201,0))&lt;&gt;C819,"Nome diferente em outro deck — revisar",""))</f>
        <v/>
      </c>
      <c r="J819" s="16" t="str">
        <f aca="false">IF(AND(B819&lt;&gt;"",A819=BULK!$A$1,N(F819)&gt;0),MAX(J$1:J818)+1,"")</f>
        <v/>
      </c>
      <c r="K819" s="11" t="str">
        <f aca="false">IF(B819="","",IFERROR(LEFT(B819,FIND("-",B819)-1),B819))</f>
        <v/>
      </c>
      <c r="L819" s="11" t="str">
        <f aca="false">IF(K819="","",IF(ISNUMBER(--MID(K819,1,1)),0,IF(ISNUMBER(--MID(K819,2,1)),1,IF(ISNUMBER(--MID(K819,3,1)),2,IF(ISNUMBER(--MID(K819,4,1)),3,MIN(LEN(K819),4))))))</f>
        <v/>
      </c>
      <c r="M819" s="11" t="str">
        <f aca="false">IF(B819="","",LEFT(K819,L819)&amp;REPT("0",4-L819)&amp;RIGHT("000"&amp;IFERROR(VALUE(MID(K819,L819+1,9)),0),3)&amp;RIGHT("0000"&amp;IFERROR(VALUE(MID(B819,FIND("-",B819)+1,9)),0),4))</f>
        <v/>
      </c>
      <c r="N819" s="11" t="str">
        <f aca="false">IF(OR(B819="",N(F819)&lt;=0),"",IF('FALTAS POR DECK'!$P$1="Código","K"&amp;M819&amp;RIGHT("00000"&amp;ROW(),5),IF('FALTAS POR DECK'!$P$1="Nome","K"&amp;UPPER(SUBSTITUTE(SUBSTITUTE(SUBSTITUTE(C819,"*",""),"?",""),"~",""))&amp;"0"&amp;M819&amp;RIGHT("00000"&amp;ROW(),5),IF('FALTAS POR DECK'!$P$1="Falta (maior primeiro)","K"&amp;RIGHT("0000"&amp;(9999-F819),4)&amp;M819&amp;RIGHT("00000"&amp;ROW(),5),IF('FALTAS POR DECK'!$P$1="Deck e código","K"&amp;RIGHT("00"&amp;IFERROR(MATCH(A819,_LEITURA!$P$2:$P$21,0),99),2)&amp;M819&amp;RIGHT("00000"&amp;ROW(),5),"K"&amp;RIGHT("00000"&amp;ROW(),5))))))</f>
        <v/>
      </c>
      <c r="O819" s="16" t="str">
        <f aca="false">IF(N819="","",COUNTIFS($N$2:$N$1201,"&lt;"&amp;N819,$F$2:$F$1201,"&gt;0")+1)</f>
        <v/>
      </c>
    </row>
    <row r="820" customFormat="false" ht="15" hidden="false" customHeight="false" outlineLevel="0" collapsed="false">
      <c r="A820" s="11" t="str">
        <f aca="false">IF(_LEITURA!$N820="","",INDEX(_LEITURA!$K$2:$K$1201,_LEITURA!$N820))</f>
        <v/>
      </c>
      <c r="B820" s="11" t="str">
        <f aca="false">IF(_LEITURA!$N820="","",INDEX(_LEITURA!$E$2:$E$1201,_LEITURA!$N820))</f>
        <v/>
      </c>
      <c r="C820" s="11" t="str">
        <f aca="false">IF(_LEITURA!$N820="","",INDEX(_LEITURA!$J$2:$J$1201,_LEITURA!$N820))</f>
        <v/>
      </c>
      <c r="D820" s="16" t="str">
        <f aca="false">IF(_LEITURA!$N820="","",INDEX(_LEITURA!$G$2:$G$1201,_LEITURA!$N820))</f>
        <v/>
      </c>
      <c r="E820" s="16" t="str">
        <f aca="false">IF(B820="","",SUMIFS(INVENTÁRIO!$C$2:$C$801,INVENTÁRIO!$A$2:$A$801,B820))</f>
        <v/>
      </c>
      <c r="F820" s="16" t="str">
        <f aca="false">IF(B820="","",MAX(0,D820-E820))</f>
        <v/>
      </c>
      <c r="G820" s="16" t="str">
        <f aca="false">IF(B820="","",IF(COUNTIFS($B$2:$B$1201,B820,$A$2:$A$1201,"&lt;&gt;"&amp;A820)&gt;0,"Sim",""))</f>
        <v/>
      </c>
      <c r="H820" s="16" t="str">
        <f aca="false">IF(N(F820)&gt;0,MAX(H$1:H819)+1,"")</f>
        <v/>
      </c>
      <c r="I820" s="11" t="str">
        <f aca="false">IF(B820="","",IF(INDEX($C$2:$C$1201,MATCH(B820,$B$2:$B$1201,0))&lt;&gt;C820,"Nome diferente em outro deck — revisar",""))</f>
        <v/>
      </c>
      <c r="J820" s="16" t="str">
        <f aca="false">IF(AND(B820&lt;&gt;"",A820=BULK!$A$1,N(F820)&gt;0),MAX(J$1:J819)+1,"")</f>
        <v/>
      </c>
      <c r="K820" s="11" t="str">
        <f aca="false">IF(B820="","",IFERROR(LEFT(B820,FIND("-",B820)-1),B820))</f>
        <v/>
      </c>
      <c r="L820" s="11" t="str">
        <f aca="false">IF(K820="","",IF(ISNUMBER(--MID(K820,1,1)),0,IF(ISNUMBER(--MID(K820,2,1)),1,IF(ISNUMBER(--MID(K820,3,1)),2,IF(ISNUMBER(--MID(K820,4,1)),3,MIN(LEN(K820),4))))))</f>
        <v/>
      </c>
      <c r="M820" s="11" t="str">
        <f aca="false">IF(B820="","",LEFT(K820,L820)&amp;REPT("0",4-L820)&amp;RIGHT("000"&amp;IFERROR(VALUE(MID(K820,L820+1,9)),0),3)&amp;RIGHT("0000"&amp;IFERROR(VALUE(MID(B820,FIND("-",B820)+1,9)),0),4))</f>
        <v/>
      </c>
      <c r="N820" s="11" t="str">
        <f aca="false">IF(OR(B820="",N(F820)&lt;=0),"",IF('FALTAS POR DECK'!$P$1="Código","K"&amp;M820&amp;RIGHT("00000"&amp;ROW(),5),IF('FALTAS POR DECK'!$P$1="Nome","K"&amp;UPPER(SUBSTITUTE(SUBSTITUTE(SUBSTITUTE(C820,"*",""),"?",""),"~",""))&amp;"0"&amp;M820&amp;RIGHT("00000"&amp;ROW(),5),IF('FALTAS POR DECK'!$P$1="Falta (maior primeiro)","K"&amp;RIGHT("0000"&amp;(9999-F820),4)&amp;M820&amp;RIGHT("00000"&amp;ROW(),5),IF('FALTAS POR DECK'!$P$1="Deck e código","K"&amp;RIGHT("00"&amp;IFERROR(MATCH(A820,_LEITURA!$P$2:$P$21,0),99),2)&amp;M820&amp;RIGHT("00000"&amp;ROW(),5),"K"&amp;RIGHT("00000"&amp;ROW(),5))))))</f>
        <v/>
      </c>
      <c r="O820" s="16" t="str">
        <f aca="false">IF(N820="","",COUNTIFS($N$2:$N$1201,"&lt;"&amp;N820,$F$2:$F$1201,"&gt;0")+1)</f>
        <v/>
      </c>
    </row>
    <row r="821" customFormat="false" ht="15" hidden="false" customHeight="false" outlineLevel="0" collapsed="false">
      <c r="A821" s="11" t="str">
        <f aca="false">IF(_LEITURA!$N821="","",INDEX(_LEITURA!$K$2:$K$1201,_LEITURA!$N821))</f>
        <v/>
      </c>
      <c r="B821" s="11" t="str">
        <f aca="false">IF(_LEITURA!$N821="","",INDEX(_LEITURA!$E$2:$E$1201,_LEITURA!$N821))</f>
        <v/>
      </c>
      <c r="C821" s="11" t="str">
        <f aca="false">IF(_LEITURA!$N821="","",INDEX(_LEITURA!$J$2:$J$1201,_LEITURA!$N821))</f>
        <v/>
      </c>
      <c r="D821" s="16" t="str">
        <f aca="false">IF(_LEITURA!$N821="","",INDEX(_LEITURA!$G$2:$G$1201,_LEITURA!$N821))</f>
        <v/>
      </c>
      <c r="E821" s="16" t="str">
        <f aca="false">IF(B821="","",SUMIFS(INVENTÁRIO!$C$2:$C$801,INVENTÁRIO!$A$2:$A$801,B821))</f>
        <v/>
      </c>
      <c r="F821" s="16" t="str">
        <f aca="false">IF(B821="","",MAX(0,D821-E821))</f>
        <v/>
      </c>
      <c r="G821" s="16" t="str">
        <f aca="false">IF(B821="","",IF(COUNTIFS($B$2:$B$1201,B821,$A$2:$A$1201,"&lt;&gt;"&amp;A821)&gt;0,"Sim",""))</f>
        <v/>
      </c>
      <c r="H821" s="16" t="str">
        <f aca="false">IF(N(F821)&gt;0,MAX(H$1:H820)+1,"")</f>
        <v/>
      </c>
      <c r="I821" s="11" t="str">
        <f aca="false">IF(B821="","",IF(INDEX($C$2:$C$1201,MATCH(B821,$B$2:$B$1201,0))&lt;&gt;C821,"Nome diferente em outro deck — revisar",""))</f>
        <v/>
      </c>
      <c r="J821" s="16" t="str">
        <f aca="false">IF(AND(B821&lt;&gt;"",A821=BULK!$A$1,N(F821)&gt;0),MAX(J$1:J820)+1,"")</f>
        <v/>
      </c>
      <c r="K821" s="11" t="str">
        <f aca="false">IF(B821="","",IFERROR(LEFT(B821,FIND("-",B821)-1),B821))</f>
        <v/>
      </c>
      <c r="L821" s="11" t="str">
        <f aca="false">IF(K821="","",IF(ISNUMBER(--MID(K821,1,1)),0,IF(ISNUMBER(--MID(K821,2,1)),1,IF(ISNUMBER(--MID(K821,3,1)),2,IF(ISNUMBER(--MID(K821,4,1)),3,MIN(LEN(K821),4))))))</f>
        <v/>
      </c>
      <c r="M821" s="11" t="str">
        <f aca="false">IF(B821="","",LEFT(K821,L821)&amp;REPT("0",4-L821)&amp;RIGHT("000"&amp;IFERROR(VALUE(MID(K821,L821+1,9)),0),3)&amp;RIGHT("0000"&amp;IFERROR(VALUE(MID(B821,FIND("-",B821)+1,9)),0),4))</f>
        <v/>
      </c>
      <c r="N821" s="11" t="str">
        <f aca="false">IF(OR(B821="",N(F821)&lt;=0),"",IF('FALTAS POR DECK'!$P$1="Código","K"&amp;M821&amp;RIGHT("00000"&amp;ROW(),5),IF('FALTAS POR DECK'!$P$1="Nome","K"&amp;UPPER(SUBSTITUTE(SUBSTITUTE(SUBSTITUTE(C821,"*",""),"?",""),"~",""))&amp;"0"&amp;M821&amp;RIGHT("00000"&amp;ROW(),5),IF('FALTAS POR DECK'!$P$1="Falta (maior primeiro)","K"&amp;RIGHT("0000"&amp;(9999-F821),4)&amp;M821&amp;RIGHT("00000"&amp;ROW(),5),IF('FALTAS POR DECK'!$P$1="Deck e código","K"&amp;RIGHT("00"&amp;IFERROR(MATCH(A821,_LEITURA!$P$2:$P$21,0),99),2)&amp;M821&amp;RIGHT("00000"&amp;ROW(),5),"K"&amp;RIGHT("00000"&amp;ROW(),5))))))</f>
        <v/>
      </c>
      <c r="O821" s="16" t="str">
        <f aca="false">IF(N821="","",COUNTIFS($N$2:$N$1201,"&lt;"&amp;N821,$F$2:$F$1201,"&gt;0")+1)</f>
        <v/>
      </c>
    </row>
    <row r="822" customFormat="false" ht="15" hidden="false" customHeight="false" outlineLevel="0" collapsed="false">
      <c r="A822" s="11" t="str">
        <f aca="false">IF(_LEITURA!$N822="","",INDEX(_LEITURA!$K$2:$K$1201,_LEITURA!$N822))</f>
        <v/>
      </c>
      <c r="B822" s="11" t="str">
        <f aca="false">IF(_LEITURA!$N822="","",INDEX(_LEITURA!$E$2:$E$1201,_LEITURA!$N822))</f>
        <v/>
      </c>
      <c r="C822" s="11" t="str">
        <f aca="false">IF(_LEITURA!$N822="","",INDEX(_LEITURA!$J$2:$J$1201,_LEITURA!$N822))</f>
        <v/>
      </c>
      <c r="D822" s="16" t="str">
        <f aca="false">IF(_LEITURA!$N822="","",INDEX(_LEITURA!$G$2:$G$1201,_LEITURA!$N822))</f>
        <v/>
      </c>
      <c r="E822" s="16" t="str">
        <f aca="false">IF(B822="","",SUMIFS(INVENTÁRIO!$C$2:$C$801,INVENTÁRIO!$A$2:$A$801,B822))</f>
        <v/>
      </c>
      <c r="F822" s="16" t="str">
        <f aca="false">IF(B822="","",MAX(0,D822-E822))</f>
        <v/>
      </c>
      <c r="G822" s="16" t="str">
        <f aca="false">IF(B822="","",IF(COUNTIFS($B$2:$B$1201,B822,$A$2:$A$1201,"&lt;&gt;"&amp;A822)&gt;0,"Sim",""))</f>
        <v/>
      </c>
      <c r="H822" s="16" t="str">
        <f aca="false">IF(N(F822)&gt;0,MAX(H$1:H821)+1,"")</f>
        <v/>
      </c>
      <c r="I822" s="11" t="str">
        <f aca="false">IF(B822="","",IF(INDEX($C$2:$C$1201,MATCH(B822,$B$2:$B$1201,0))&lt;&gt;C822,"Nome diferente em outro deck — revisar",""))</f>
        <v/>
      </c>
      <c r="J822" s="16" t="str">
        <f aca="false">IF(AND(B822&lt;&gt;"",A822=BULK!$A$1,N(F822)&gt;0),MAX(J$1:J821)+1,"")</f>
        <v/>
      </c>
      <c r="K822" s="11" t="str">
        <f aca="false">IF(B822="","",IFERROR(LEFT(B822,FIND("-",B822)-1),B822))</f>
        <v/>
      </c>
      <c r="L822" s="11" t="str">
        <f aca="false">IF(K822="","",IF(ISNUMBER(--MID(K822,1,1)),0,IF(ISNUMBER(--MID(K822,2,1)),1,IF(ISNUMBER(--MID(K822,3,1)),2,IF(ISNUMBER(--MID(K822,4,1)),3,MIN(LEN(K822),4))))))</f>
        <v/>
      </c>
      <c r="M822" s="11" t="str">
        <f aca="false">IF(B822="","",LEFT(K822,L822)&amp;REPT("0",4-L822)&amp;RIGHT("000"&amp;IFERROR(VALUE(MID(K822,L822+1,9)),0),3)&amp;RIGHT("0000"&amp;IFERROR(VALUE(MID(B822,FIND("-",B822)+1,9)),0),4))</f>
        <v/>
      </c>
      <c r="N822" s="11" t="str">
        <f aca="false">IF(OR(B822="",N(F822)&lt;=0),"",IF('FALTAS POR DECK'!$P$1="Código","K"&amp;M822&amp;RIGHT("00000"&amp;ROW(),5),IF('FALTAS POR DECK'!$P$1="Nome","K"&amp;UPPER(SUBSTITUTE(SUBSTITUTE(SUBSTITUTE(C822,"*",""),"?",""),"~",""))&amp;"0"&amp;M822&amp;RIGHT("00000"&amp;ROW(),5),IF('FALTAS POR DECK'!$P$1="Falta (maior primeiro)","K"&amp;RIGHT("0000"&amp;(9999-F822),4)&amp;M822&amp;RIGHT("00000"&amp;ROW(),5),IF('FALTAS POR DECK'!$P$1="Deck e código","K"&amp;RIGHT("00"&amp;IFERROR(MATCH(A822,_LEITURA!$P$2:$P$21,0),99),2)&amp;M822&amp;RIGHT("00000"&amp;ROW(),5),"K"&amp;RIGHT("00000"&amp;ROW(),5))))))</f>
        <v/>
      </c>
      <c r="O822" s="16" t="str">
        <f aca="false">IF(N822="","",COUNTIFS($N$2:$N$1201,"&lt;"&amp;N822,$F$2:$F$1201,"&gt;0")+1)</f>
        <v/>
      </c>
    </row>
    <row r="823" customFormat="false" ht="15" hidden="false" customHeight="false" outlineLevel="0" collapsed="false">
      <c r="A823" s="11" t="str">
        <f aca="false">IF(_LEITURA!$N823="","",INDEX(_LEITURA!$K$2:$K$1201,_LEITURA!$N823))</f>
        <v/>
      </c>
      <c r="B823" s="11" t="str">
        <f aca="false">IF(_LEITURA!$N823="","",INDEX(_LEITURA!$E$2:$E$1201,_LEITURA!$N823))</f>
        <v/>
      </c>
      <c r="C823" s="11" t="str">
        <f aca="false">IF(_LEITURA!$N823="","",INDEX(_LEITURA!$J$2:$J$1201,_LEITURA!$N823))</f>
        <v/>
      </c>
      <c r="D823" s="16" t="str">
        <f aca="false">IF(_LEITURA!$N823="","",INDEX(_LEITURA!$G$2:$G$1201,_LEITURA!$N823))</f>
        <v/>
      </c>
      <c r="E823" s="16" t="str">
        <f aca="false">IF(B823="","",SUMIFS(INVENTÁRIO!$C$2:$C$801,INVENTÁRIO!$A$2:$A$801,B823))</f>
        <v/>
      </c>
      <c r="F823" s="16" t="str">
        <f aca="false">IF(B823="","",MAX(0,D823-E823))</f>
        <v/>
      </c>
      <c r="G823" s="16" t="str">
        <f aca="false">IF(B823="","",IF(COUNTIFS($B$2:$B$1201,B823,$A$2:$A$1201,"&lt;&gt;"&amp;A823)&gt;0,"Sim",""))</f>
        <v/>
      </c>
      <c r="H823" s="16" t="str">
        <f aca="false">IF(N(F823)&gt;0,MAX(H$1:H822)+1,"")</f>
        <v/>
      </c>
      <c r="I823" s="11" t="str">
        <f aca="false">IF(B823="","",IF(INDEX($C$2:$C$1201,MATCH(B823,$B$2:$B$1201,0))&lt;&gt;C823,"Nome diferente em outro deck — revisar",""))</f>
        <v/>
      </c>
      <c r="J823" s="16" t="str">
        <f aca="false">IF(AND(B823&lt;&gt;"",A823=BULK!$A$1,N(F823)&gt;0),MAX(J$1:J822)+1,"")</f>
        <v/>
      </c>
      <c r="K823" s="11" t="str">
        <f aca="false">IF(B823="","",IFERROR(LEFT(B823,FIND("-",B823)-1),B823))</f>
        <v/>
      </c>
      <c r="L823" s="11" t="str">
        <f aca="false">IF(K823="","",IF(ISNUMBER(--MID(K823,1,1)),0,IF(ISNUMBER(--MID(K823,2,1)),1,IF(ISNUMBER(--MID(K823,3,1)),2,IF(ISNUMBER(--MID(K823,4,1)),3,MIN(LEN(K823),4))))))</f>
        <v/>
      </c>
      <c r="M823" s="11" t="str">
        <f aca="false">IF(B823="","",LEFT(K823,L823)&amp;REPT("0",4-L823)&amp;RIGHT("000"&amp;IFERROR(VALUE(MID(K823,L823+1,9)),0),3)&amp;RIGHT("0000"&amp;IFERROR(VALUE(MID(B823,FIND("-",B823)+1,9)),0),4))</f>
        <v/>
      </c>
      <c r="N823" s="11" t="str">
        <f aca="false">IF(OR(B823="",N(F823)&lt;=0),"",IF('FALTAS POR DECK'!$P$1="Código","K"&amp;M823&amp;RIGHT("00000"&amp;ROW(),5),IF('FALTAS POR DECK'!$P$1="Nome","K"&amp;UPPER(SUBSTITUTE(SUBSTITUTE(SUBSTITUTE(C823,"*",""),"?",""),"~",""))&amp;"0"&amp;M823&amp;RIGHT("00000"&amp;ROW(),5),IF('FALTAS POR DECK'!$P$1="Falta (maior primeiro)","K"&amp;RIGHT("0000"&amp;(9999-F823),4)&amp;M823&amp;RIGHT("00000"&amp;ROW(),5),IF('FALTAS POR DECK'!$P$1="Deck e código","K"&amp;RIGHT("00"&amp;IFERROR(MATCH(A823,_LEITURA!$P$2:$P$21,0),99),2)&amp;M823&amp;RIGHT("00000"&amp;ROW(),5),"K"&amp;RIGHT("00000"&amp;ROW(),5))))))</f>
        <v/>
      </c>
      <c r="O823" s="16" t="str">
        <f aca="false">IF(N823="","",COUNTIFS($N$2:$N$1201,"&lt;"&amp;N823,$F$2:$F$1201,"&gt;0")+1)</f>
        <v/>
      </c>
    </row>
    <row r="824" customFormat="false" ht="15" hidden="false" customHeight="false" outlineLevel="0" collapsed="false">
      <c r="A824" s="11" t="str">
        <f aca="false">IF(_LEITURA!$N824="","",INDEX(_LEITURA!$K$2:$K$1201,_LEITURA!$N824))</f>
        <v/>
      </c>
      <c r="B824" s="11" t="str">
        <f aca="false">IF(_LEITURA!$N824="","",INDEX(_LEITURA!$E$2:$E$1201,_LEITURA!$N824))</f>
        <v/>
      </c>
      <c r="C824" s="11" t="str">
        <f aca="false">IF(_LEITURA!$N824="","",INDEX(_LEITURA!$J$2:$J$1201,_LEITURA!$N824))</f>
        <v/>
      </c>
      <c r="D824" s="16" t="str">
        <f aca="false">IF(_LEITURA!$N824="","",INDEX(_LEITURA!$G$2:$G$1201,_LEITURA!$N824))</f>
        <v/>
      </c>
      <c r="E824" s="16" t="str">
        <f aca="false">IF(B824="","",SUMIFS(INVENTÁRIO!$C$2:$C$801,INVENTÁRIO!$A$2:$A$801,B824))</f>
        <v/>
      </c>
      <c r="F824" s="16" t="str">
        <f aca="false">IF(B824="","",MAX(0,D824-E824))</f>
        <v/>
      </c>
      <c r="G824" s="16" t="str">
        <f aca="false">IF(B824="","",IF(COUNTIFS($B$2:$B$1201,B824,$A$2:$A$1201,"&lt;&gt;"&amp;A824)&gt;0,"Sim",""))</f>
        <v/>
      </c>
      <c r="H824" s="16" t="str">
        <f aca="false">IF(N(F824)&gt;0,MAX(H$1:H823)+1,"")</f>
        <v/>
      </c>
      <c r="I824" s="11" t="str">
        <f aca="false">IF(B824="","",IF(INDEX($C$2:$C$1201,MATCH(B824,$B$2:$B$1201,0))&lt;&gt;C824,"Nome diferente em outro deck — revisar",""))</f>
        <v/>
      </c>
      <c r="J824" s="16" t="str">
        <f aca="false">IF(AND(B824&lt;&gt;"",A824=BULK!$A$1,N(F824)&gt;0),MAX(J$1:J823)+1,"")</f>
        <v/>
      </c>
      <c r="K824" s="11" t="str">
        <f aca="false">IF(B824="","",IFERROR(LEFT(B824,FIND("-",B824)-1),B824))</f>
        <v/>
      </c>
      <c r="L824" s="11" t="str">
        <f aca="false">IF(K824="","",IF(ISNUMBER(--MID(K824,1,1)),0,IF(ISNUMBER(--MID(K824,2,1)),1,IF(ISNUMBER(--MID(K824,3,1)),2,IF(ISNUMBER(--MID(K824,4,1)),3,MIN(LEN(K824),4))))))</f>
        <v/>
      </c>
      <c r="M824" s="11" t="str">
        <f aca="false">IF(B824="","",LEFT(K824,L824)&amp;REPT("0",4-L824)&amp;RIGHT("000"&amp;IFERROR(VALUE(MID(K824,L824+1,9)),0),3)&amp;RIGHT("0000"&amp;IFERROR(VALUE(MID(B824,FIND("-",B824)+1,9)),0),4))</f>
        <v/>
      </c>
      <c r="N824" s="11" t="str">
        <f aca="false">IF(OR(B824="",N(F824)&lt;=0),"",IF('FALTAS POR DECK'!$P$1="Código","K"&amp;M824&amp;RIGHT("00000"&amp;ROW(),5),IF('FALTAS POR DECK'!$P$1="Nome","K"&amp;UPPER(SUBSTITUTE(SUBSTITUTE(SUBSTITUTE(C824,"*",""),"?",""),"~",""))&amp;"0"&amp;M824&amp;RIGHT("00000"&amp;ROW(),5),IF('FALTAS POR DECK'!$P$1="Falta (maior primeiro)","K"&amp;RIGHT("0000"&amp;(9999-F824),4)&amp;M824&amp;RIGHT("00000"&amp;ROW(),5),IF('FALTAS POR DECK'!$P$1="Deck e código","K"&amp;RIGHT("00"&amp;IFERROR(MATCH(A824,_LEITURA!$P$2:$P$21,0),99),2)&amp;M824&amp;RIGHT("00000"&amp;ROW(),5),"K"&amp;RIGHT("00000"&amp;ROW(),5))))))</f>
        <v/>
      </c>
      <c r="O824" s="16" t="str">
        <f aca="false">IF(N824="","",COUNTIFS($N$2:$N$1201,"&lt;"&amp;N824,$F$2:$F$1201,"&gt;0")+1)</f>
        <v/>
      </c>
    </row>
    <row r="825" customFormat="false" ht="15" hidden="false" customHeight="false" outlineLevel="0" collapsed="false">
      <c r="A825" s="11" t="str">
        <f aca="false">IF(_LEITURA!$N825="","",INDEX(_LEITURA!$K$2:$K$1201,_LEITURA!$N825))</f>
        <v/>
      </c>
      <c r="B825" s="11" t="str">
        <f aca="false">IF(_LEITURA!$N825="","",INDEX(_LEITURA!$E$2:$E$1201,_LEITURA!$N825))</f>
        <v/>
      </c>
      <c r="C825" s="11" t="str">
        <f aca="false">IF(_LEITURA!$N825="","",INDEX(_LEITURA!$J$2:$J$1201,_LEITURA!$N825))</f>
        <v/>
      </c>
      <c r="D825" s="16" t="str">
        <f aca="false">IF(_LEITURA!$N825="","",INDEX(_LEITURA!$G$2:$G$1201,_LEITURA!$N825))</f>
        <v/>
      </c>
      <c r="E825" s="16" t="str">
        <f aca="false">IF(B825="","",SUMIFS(INVENTÁRIO!$C$2:$C$801,INVENTÁRIO!$A$2:$A$801,B825))</f>
        <v/>
      </c>
      <c r="F825" s="16" t="str">
        <f aca="false">IF(B825="","",MAX(0,D825-E825))</f>
        <v/>
      </c>
      <c r="G825" s="16" t="str">
        <f aca="false">IF(B825="","",IF(COUNTIFS($B$2:$B$1201,B825,$A$2:$A$1201,"&lt;&gt;"&amp;A825)&gt;0,"Sim",""))</f>
        <v/>
      </c>
      <c r="H825" s="16" t="str">
        <f aca="false">IF(N(F825)&gt;0,MAX(H$1:H824)+1,"")</f>
        <v/>
      </c>
      <c r="I825" s="11" t="str">
        <f aca="false">IF(B825="","",IF(INDEX($C$2:$C$1201,MATCH(B825,$B$2:$B$1201,0))&lt;&gt;C825,"Nome diferente em outro deck — revisar",""))</f>
        <v/>
      </c>
      <c r="J825" s="16" t="str">
        <f aca="false">IF(AND(B825&lt;&gt;"",A825=BULK!$A$1,N(F825)&gt;0),MAX(J$1:J824)+1,"")</f>
        <v/>
      </c>
      <c r="K825" s="11" t="str">
        <f aca="false">IF(B825="","",IFERROR(LEFT(B825,FIND("-",B825)-1),B825))</f>
        <v/>
      </c>
      <c r="L825" s="11" t="str">
        <f aca="false">IF(K825="","",IF(ISNUMBER(--MID(K825,1,1)),0,IF(ISNUMBER(--MID(K825,2,1)),1,IF(ISNUMBER(--MID(K825,3,1)),2,IF(ISNUMBER(--MID(K825,4,1)),3,MIN(LEN(K825),4))))))</f>
        <v/>
      </c>
      <c r="M825" s="11" t="str">
        <f aca="false">IF(B825="","",LEFT(K825,L825)&amp;REPT("0",4-L825)&amp;RIGHT("000"&amp;IFERROR(VALUE(MID(K825,L825+1,9)),0),3)&amp;RIGHT("0000"&amp;IFERROR(VALUE(MID(B825,FIND("-",B825)+1,9)),0),4))</f>
        <v/>
      </c>
      <c r="N825" s="11" t="str">
        <f aca="false">IF(OR(B825="",N(F825)&lt;=0),"",IF('FALTAS POR DECK'!$P$1="Código","K"&amp;M825&amp;RIGHT("00000"&amp;ROW(),5),IF('FALTAS POR DECK'!$P$1="Nome","K"&amp;UPPER(SUBSTITUTE(SUBSTITUTE(SUBSTITUTE(C825,"*",""),"?",""),"~",""))&amp;"0"&amp;M825&amp;RIGHT("00000"&amp;ROW(),5),IF('FALTAS POR DECK'!$P$1="Falta (maior primeiro)","K"&amp;RIGHT("0000"&amp;(9999-F825),4)&amp;M825&amp;RIGHT("00000"&amp;ROW(),5),IF('FALTAS POR DECK'!$P$1="Deck e código","K"&amp;RIGHT("00"&amp;IFERROR(MATCH(A825,_LEITURA!$P$2:$P$21,0),99),2)&amp;M825&amp;RIGHT("00000"&amp;ROW(),5),"K"&amp;RIGHT("00000"&amp;ROW(),5))))))</f>
        <v/>
      </c>
      <c r="O825" s="16" t="str">
        <f aca="false">IF(N825="","",COUNTIFS($N$2:$N$1201,"&lt;"&amp;N825,$F$2:$F$1201,"&gt;0")+1)</f>
        <v/>
      </c>
    </row>
    <row r="826" customFormat="false" ht="15" hidden="false" customHeight="false" outlineLevel="0" collapsed="false">
      <c r="A826" s="11" t="str">
        <f aca="false">IF(_LEITURA!$N826="","",INDEX(_LEITURA!$K$2:$K$1201,_LEITURA!$N826))</f>
        <v/>
      </c>
      <c r="B826" s="11" t="str">
        <f aca="false">IF(_LEITURA!$N826="","",INDEX(_LEITURA!$E$2:$E$1201,_LEITURA!$N826))</f>
        <v/>
      </c>
      <c r="C826" s="11" t="str">
        <f aca="false">IF(_LEITURA!$N826="","",INDEX(_LEITURA!$J$2:$J$1201,_LEITURA!$N826))</f>
        <v/>
      </c>
      <c r="D826" s="16" t="str">
        <f aca="false">IF(_LEITURA!$N826="","",INDEX(_LEITURA!$G$2:$G$1201,_LEITURA!$N826))</f>
        <v/>
      </c>
      <c r="E826" s="16" t="str">
        <f aca="false">IF(B826="","",SUMIFS(INVENTÁRIO!$C$2:$C$801,INVENTÁRIO!$A$2:$A$801,B826))</f>
        <v/>
      </c>
      <c r="F826" s="16" t="str">
        <f aca="false">IF(B826="","",MAX(0,D826-E826))</f>
        <v/>
      </c>
      <c r="G826" s="16" t="str">
        <f aca="false">IF(B826="","",IF(COUNTIFS($B$2:$B$1201,B826,$A$2:$A$1201,"&lt;&gt;"&amp;A826)&gt;0,"Sim",""))</f>
        <v/>
      </c>
      <c r="H826" s="16" t="str">
        <f aca="false">IF(N(F826)&gt;0,MAX(H$1:H825)+1,"")</f>
        <v/>
      </c>
      <c r="I826" s="11" t="str">
        <f aca="false">IF(B826="","",IF(INDEX($C$2:$C$1201,MATCH(B826,$B$2:$B$1201,0))&lt;&gt;C826,"Nome diferente em outro deck — revisar",""))</f>
        <v/>
      </c>
      <c r="J826" s="16" t="str">
        <f aca="false">IF(AND(B826&lt;&gt;"",A826=BULK!$A$1,N(F826)&gt;0),MAX(J$1:J825)+1,"")</f>
        <v/>
      </c>
      <c r="K826" s="11" t="str">
        <f aca="false">IF(B826="","",IFERROR(LEFT(B826,FIND("-",B826)-1),B826))</f>
        <v/>
      </c>
      <c r="L826" s="11" t="str">
        <f aca="false">IF(K826="","",IF(ISNUMBER(--MID(K826,1,1)),0,IF(ISNUMBER(--MID(K826,2,1)),1,IF(ISNUMBER(--MID(K826,3,1)),2,IF(ISNUMBER(--MID(K826,4,1)),3,MIN(LEN(K826),4))))))</f>
        <v/>
      </c>
      <c r="M826" s="11" t="str">
        <f aca="false">IF(B826="","",LEFT(K826,L826)&amp;REPT("0",4-L826)&amp;RIGHT("000"&amp;IFERROR(VALUE(MID(K826,L826+1,9)),0),3)&amp;RIGHT("0000"&amp;IFERROR(VALUE(MID(B826,FIND("-",B826)+1,9)),0),4))</f>
        <v/>
      </c>
      <c r="N826" s="11" t="str">
        <f aca="false">IF(OR(B826="",N(F826)&lt;=0),"",IF('FALTAS POR DECK'!$P$1="Código","K"&amp;M826&amp;RIGHT("00000"&amp;ROW(),5),IF('FALTAS POR DECK'!$P$1="Nome","K"&amp;UPPER(SUBSTITUTE(SUBSTITUTE(SUBSTITUTE(C826,"*",""),"?",""),"~",""))&amp;"0"&amp;M826&amp;RIGHT("00000"&amp;ROW(),5),IF('FALTAS POR DECK'!$P$1="Falta (maior primeiro)","K"&amp;RIGHT("0000"&amp;(9999-F826),4)&amp;M826&amp;RIGHT("00000"&amp;ROW(),5),IF('FALTAS POR DECK'!$P$1="Deck e código","K"&amp;RIGHT("00"&amp;IFERROR(MATCH(A826,_LEITURA!$P$2:$P$21,0),99),2)&amp;M826&amp;RIGHT("00000"&amp;ROW(),5),"K"&amp;RIGHT("00000"&amp;ROW(),5))))))</f>
        <v/>
      </c>
      <c r="O826" s="16" t="str">
        <f aca="false">IF(N826="","",COUNTIFS($N$2:$N$1201,"&lt;"&amp;N826,$F$2:$F$1201,"&gt;0")+1)</f>
        <v/>
      </c>
    </row>
    <row r="827" customFormat="false" ht="15" hidden="false" customHeight="false" outlineLevel="0" collapsed="false">
      <c r="A827" s="11" t="str">
        <f aca="false">IF(_LEITURA!$N827="","",INDEX(_LEITURA!$K$2:$K$1201,_LEITURA!$N827))</f>
        <v/>
      </c>
      <c r="B827" s="11" t="str">
        <f aca="false">IF(_LEITURA!$N827="","",INDEX(_LEITURA!$E$2:$E$1201,_LEITURA!$N827))</f>
        <v/>
      </c>
      <c r="C827" s="11" t="str">
        <f aca="false">IF(_LEITURA!$N827="","",INDEX(_LEITURA!$J$2:$J$1201,_LEITURA!$N827))</f>
        <v/>
      </c>
      <c r="D827" s="16" t="str">
        <f aca="false">IF(_LEITURA!$N827="","",INDEX(_LEITURA!$G$2:$G$1201,_LEITURA!$N827))</f>
        <v/>
      </c>
      <c r="E827" s="16" t="str">
        <f aca="false">IF(B827="","",SUMIFS(INVENTÁRIO!$C$2:$C$801,INVENTÁRIO!$A$2:$A$801,B827))</f>
        <v/>
      </c>
      <c r="F827" s="16" t="str">
        <f aca="false">IF(B827="","",MAX(0,D827-E827))</f>
        <v/>
      </c>
      <c r="G827" s="16" t="str">
        <f aca="false">IF(B827="","",IF(COUNTIFS($B$2:$B$1201,B827,$A$2:$A$1201,"&lt;&gt;"&amp;A827)&gt;0,"Sim",""))</f>
        <v/>
      </c>
      <c r="H827" s="16" t="str">
        <f aca="false">IF(N(F827)&gt;0,MAX(H$1:H826)+1,"")</f>
        <v/>
      </c>
      <c r="I827" s="11" t="str">
        <f aca="false">IF(B827="","",IF(INDEX($C$2:$C$1201,MATCH(B827,$B$2:$B$1201,0))&lt;&gt;C827,"Nome diferente em outro deck — revisar",""))</f>
        <v/>
      </c>
      <c r="J827" s="16" t="str">
        <f aca="false">IF(AND(B827&lt;&gt;"",A827=BULK!$A$1,N(F827)&gt;0),MAX(J$1:J826)+1,"")</f>
        <v/>
      </c>
      <c r="K827" s="11" t="str">
        <f aca="false">IF(B827="","",IFERROR(LEFT(B827,FIND("-",B827)-1),B827))</f>
        <v/>
      </c>
      <c r="L827" s="11" t="str">
        <f aca="false">IF(K827="","",IF(ISNUMBER(--MID(K827,1,1)),0,IF(ISNUMBER(--MID(K827,2,1)),1,IF(ISNUMBER(--MID(K827,3,1)),2,IF(ISNUMBER(--MID(K827,4,1)),3,MIN(LEN(K827),4))))))</f>
        <v/>
      </c>
      <c r="M827" s="11" t="str">
        <f aca="false">IF(B827="","",LEFT(K827,L827)&amp;REPT("0",4-L827)&amp;RIGHT("000"&amp;IFERROR(VALUE(MID(K827,L827+1,9)),0),3)&amp;RIGHT("0000"&amp;IFERROR(VALUE(MID(B827,FIND("-",B827)+1,9)),0),4))</f>
        <v/>
      </c>
      <c r="N827" s="11" t="str">
        <f aca="false">IF(OR(B827="",N(F827)&lt;=0),"",IF('FALTAS POR DECK'!$P$1="Código","K"&amp;M827&amp;RIGHT("00000"&amp;ROW(),5),IF('FALTAS POR DECK'!$P$1="Nome","K"&amp;UPPER(SUBSTITUTE(SUBSTITUTE(SUBSTITUTE(C827,"*",""),"?",""),"~",""))&amp;"0"&amp;M827&amp;RIGHT("00000"&amp;ROW(),5),IF('FALTAS POR DECK'!$P$1="Falta (maior primeiro)","K"&amp;RIGHT("0000"&amp;(9999-F827),4)&amp;M827&amp;RIGHT("00000"&amp;ROW(),5),IF('FALTAS POR DECK'!$P$1="Deck e código","K"&amp;RIGHT("00"&amp;IFERROR(MATCH(A827,_LEITURA!$P$2:$P$21,0),99),2)&amp;M827&amp;RIGHT("00000"&amp;ROW(),5),"K"&amp;RIGHT("00000"&amp;ROW(),5))))))</f>
        <v/>
      </c>
      <c r="O827" s="16" t="str">
        <f aca="false">IF(N827="","",COUNTIFS($N$2:$N$1201,"&lt;"&amp;N827,$F$2:$F$1201,"&gt;0")+1)</f>
        <v/>
      </c>
    </row>
    <row r="828" customFormat="false" ht="15" hidden="false" customHeight="false" outlineLevel="0" collapsed="false">
      <c r="A828" s="11" t="str">
        <f aca="false">IF(_LEITURA!$N828="","",INDEX(_LEITURA!$K$2:$K$1201,_LEITURA!$N828))</f>
        <v/>
      </c>
      <c r="B828" s="11" t="str">
        <f aca="false">IF(_LEITURA!$N828="","",INDEX(_LEITURA!$E$2:$E$1201,_LEITURA!$N828))</f>
        <v/>
      </c>
      <c r="C828" s="11" t="str">
        <f aca="false">IF(_LEITURA!$N828="","",INDEX(_LEITURA!$J$2:$J$1201,_LEITURA!$N828))</f>
        <v/>
      </c>
      <c r="D828" s="16" t="str">
        <f aca="false">IF(_LEITURA!$N828="","",INDEX(_LEITURA!$G$2:$G$1201,_LEITURA!$N828))</f>
        <v/>
      </c>
      <c r="E828" s="16" t="str">
        <f aca="false">IF(B828="","",SUMIFS(INVENTÁRIO!$C$2:$C$801,INVENTÁRIO!$A$2:$A$801,B828))</f>
        <v/>
      </c>
      <c r="F828" s="16" t="str">
        <f aca="false">IF(B828="","",MAX(0,D828-E828))</f>
        <v/>
      </c>
      <c r="G828" s="16" t="str">
        <f aca="false">IF(B828="","",IF(COUNTIFS($B$2:$B$1201,B828,$A$2:$A$1201,"&lt;&gt;"&amp;A828)&gt;0,"Sim",""))</f>
        <v/>
      </c>
      <c r="H828" s="16" t="str">
        <f aca="false">IF(N(F828)&gt;0,MAX(H$1:H827)+1,"")</f>
        <v/>
      </c>
      <c r="I828" s="11" t="str">
        <f aca="false">IF(B828="","",IF(INDEX($C$2:$C$1201,MATCH(B828,$B$2:$B$1201,0))&lt;&gt;C828,"Nome diferente em outro deck — revisar",""))</f>
        <v/>
      </c>
      <c r="J828" s="16" t="str">
        <f aca="false">IF(AND(B828&lt;&gt;"",A828=BULK!$A$1,N(F828)&gt;0),MAX(J$1:J827)+1,"")</f>
        <v/>
      </c>
      <c r="K828" s="11" t="str">
        <f aca="false">IF(B828="","",IFERROR(LEFT(B828,FIND("-",B828)-1),B828))</f>
        <v/>
      </c>
      <c r="L828" s="11" t="str">
        <f aca="false">IF(K828="","",IF(ISNUMBER(--MID(K828,1,1)),0,IF(ISNUMBER(--MID(K828,2,1)),1,IF(ISNUMBER(--MID(K828,3,1)),2,IF(ISNUMBER(--MID(K828,4,1)),3,MIN(LEN(K828),4))))))</f>
        <v/>
      </c>
      <c r="M828" s="11" t="str">
        <f aca="false">IF(B828="","",LEFT(K828,L828)&amp;REPT("0",4-L828)&amp;RIGHT("000"&amp;IFERROR(VALUE(MID(K828,L828+1,9)),0),3)&amp;RIGHT("0000"&amp;IFERROR(VALUE(MID(B828,FIND("-",B828)+1,9)),0),4))</f>
        <v/>
      </c>
      <c r="N828" s="11" t="str">
        <f aca="false">IF(OR(B828="",N(F828)&lt;=0),"",IF('FALTAS POR DECK'!$P$1="Código","K"&amp;M828&amp;RIGHT("00000"&amp;ROW(),5),IF('FALTAS POR DECK'!$P$1="Nome","K"&amp;UPPER(SUBSTITUTE(SUBSTITUTE(SUBSTITUTE(C828,"*",""),"?",""),"~",""))&amp;"0"&amp;M828&amp;RIGHT("00000"&amp;ROW(),5),IF('FALTAS POR DECK'!$P$1="Falta (maior primeiro)","K"&amp;RIGHT("0000"&amp;(9999-F828),4)&amp;M828&amp;RIGHT("00000"&amp;ROW(),5),IF('FALTAS POR DECK'!$P$1="Deck e código","K"&amp;RIGHT("00"&amp;IFERROR(MATCH(A828,_LEITURA!$P$2:$P$21,0),99),2)&amp;M828&amp;RIGHT("00000"&amp;ROW(),5),"K"&amp;RIGHT("00000"&amp;ROW(),5))))))</f>
        <v/>
      </c>
      <c r="O828" s="16" t="str">
        <f aca="false">IF(N828="","",COUNTIFS($N$2:$N$1201,"&lt;"&amp;N828,$F$2:$F$1201,"&gt;0")+1)</f>
        <v/>
      </c>
    </row>
    <row r="829" customFormat="false" ht="15" hidden="false" customHeight="false" outlineLevel="0" collapsed="false">
      <c r="A829" s="11" t="str">
        <f aca="false">IF(_LEITURA!$N829="","",INDEX(_LEITURA!$K$2:$K$1201,_LEITURA!$N829))</f>
        <v/>
      </c>
      <c r="B829" s="11" t="str">
        <f aca="false">IF(_LEITURA!$N829="","",INDEX(_LEITURA!$E$2:$E$1201,_LEITURA!$N829))</f>
        <v/>
      </c>
      <c r="C829" s="11" t="str">
        <f aca="false">IF(_LEITURA!$N829="","",INDEX(_LEITURA!$J$2:$J$1201,_LEITURA!$N829))</f>
        <v/>
      </c>
      <c r="D829" s="16" t="str">
        <f aca="false">IF(_LEITURA!$N829="","",INDEX(_LEITURA!$G$2:$G$1201,_LEITURA!$N829))</f>
        <v/>
      </c>
      <c r="E829" s="16" t="str">
        <f aca="false">IF(B829="","",SUMIFS(INVENTÁRIO!$C$2:$C$801,INVENTÁRIO!$A$2:$A$801,B829))</f>
        <v/>
      </c>
      <c r="F829" s="16" t="str">
        <f aca="false">IF(B829="","",MAX(0,D829-E829))</f>
        <v/>
      </c>
      <c r="G829" s="16" t="str">
        <f aca="false">IF(B829="","",IF(COUNTIFS($B$2:$B$1201,B829,$A$2:$A$1201,"&lt;&gt;"&amp;A829)&gt;0,"Sim",""))</f>
        <v/>
      </c>
      <c r="H829" s="16" t="str">
        <f aca="false">IF(N(F829)&gt;0,MAX(H$1:H828)+1,"")</f>
        <v/>
      </c>
      <c r="I829" s="11" t="str">
        <f aca="false">IF(B829="","",IF(INDEX($C$2:$C$1201,MATCH(B829,$B$2:$B$1201,0))&lt;&gt;C829,"Nome diferente em outro deck — revisar",""))</f>
        <v/>
      </c>
      <c r="J829" s="16" t="str">
        <f aca="false">IF(AND(B829&lt;&gt;"",A829=BULK!$A$1,N(F829)&gt;0),MAX(J$1:J828)+1,"")</f>
        <v/>
      </c>
      <c r="K829" s="11" t="str">
        <f aca="false">IF(B829="","",IFERROR(LEFT(B829,FIND("-",B829)-1),B829))</f>
        <v/>
      </c>
      <c r="L829" s="11" t="str">
        <f aca="false">IF(K829="","",IF(ISNUMBER(--MID(K829,1,1)),0,IF(ISNUMBER(--MID(K829,2,1)),1,IF(ISNUMBER(--MID(K829,3,1)),2,IF(ISNUMBER(--MID(K829,4,1)),3,MIN(LEN(K829),4))))))</f>
        <v/>
      </c>
      <c r="M829" s="11" t="str">
        <f aca="false">IF(B829="","",LEFT(K829,L829)&amp;REPT("0",4-L829)&amp;RIGHT("000"&amp;IFERROR(VALUE(MID(K829,L829+1,9)),0),3)&amp;RIGHT("0000"&amp;IFERROR(VALUE(MID(B829,FIND("-",B829)+1,9)),0),4))</f>
        <v/>
      </c>
      <c r="N829" s="11" t="str">
        <f aca="false">IF(OR(B829="",N(F829)&lt;=0),"",IF('FALTAS POR DECK'!$P$1="Código","K"&amp;M829&amp;RIGHT("00000"&amp;ROW(),5),IF('FALTAS POR DECK'!$P$1="Nome","K"&amp;UPPER(SUBSTITUTE(SUBSTITUTE(SUBSTITUTE(C829,"*",""),"?",""),"~",""))&amp;"0"&amp;M829&amp;RIGHT("00000"&amp;ROW(),5),IF('FALTAS POR DECK'!$P$1="Falta (maior primeiro)","K"&amp;RIGHT("0000"&amp;(9999-F829),4)&amp;M829&amp;RIGHT("00000"&amp;ROW(),5),IF('FALTAS POR DECK'!$P$1="Deck e código","K"&amp;RIGHT("00"&amp;IFERROR(MATCH(A829,_LEITURA!$P$2:$P$21,0),99),2)&amp;M829&amp;RIGHT("00000"&amp;ROW(),5),"K"&amp;RIGHT("00000"&amp;ROW(),5))))))</f>
        <v/>
      </c>
      <c r="O829" s="16" t="str">
        <f aca="false">IF(N829="","",COUNTIFS($N$2:$N$1201,"&lt;"&amp;N829,$F$2:$F$1201,"&gt;0")+1)</f>
        <v/>
      </c>
    </row>
    <row r="830" customFormat="false" ht="15" hidden="false" customHeight="false" outlineLevel="0" collapsed="false">
      <c r="A830" s="11" t="str">
        <f aca="false">IF(_LEITURA!$N830="","",INDEX(_LEITURA!$K$2:$K$1201,_LEITURA!$N830))</f>
        <v/>
      </c>
      <c r="B830" s="11" t="str">
        <f aca="false">IF(_LEITURA!$N830="","",INDEX(_LEITURA!$E$2:$E$1201,_LEITURA!$N830))</f>
        <v/>
      </c>
      <c r="C830" s="11" t="str">
        <f aca="false">IF(_LEITURA!$N830="","",INDEX(_LEITURA!$J$2:$J$1201,_LEITURA!$N830))</f>
        <v/>
      </c>
      <c r="D830" s="16" t="str">
        <f aca="false">IF(_LEITURA!$N830="","",INDEX(_LEITURA!$G$2:$G$1201,_LEITURA!$N830))</f>
        <v/>
      </c>
      <c r="E830" s="16" t="str">
        <f aca="false">IF(B830="","",SUMIFS(INVENTÁRIO!$C$2:$C$801,INVENTÁRIO!$A$2:$A$801,B830))</f>
        <v/>
      </c>
      <c r="F830" s="16" t="str">
        <f aca="false">IF(B830="","",MAX(0,D830-E830))</f>
        <v/>
      </c>
      <c r="G830" s="16" t="str">
        <f aca="false">IF(B830="","",IF(COUNTIFS($B$2:$B$1201,B830,$A$2:$A$1201,"&lt;&gt;"&amp;A830)&gt;0,"Sim",""))</f>
        <v/>
      </c>
      <c r="H830" s="16" t="str">
        <f aca="false">IF(N(F830)&gt;0,MAX(H$1:H829)+1,"")</f>
        <v/>
      </c>
      <c r="I830" s="11" t="str">
        <f aca="false">IF(B830="","",IF(INDEX($C$2:$C$1201,MATCH(B830,$B$2:$B$1201,0))&lt;&gt;C830,"Nome diferente em outro deck — revisar",""))</f>
        <v/>
      </c>
      <c r="J830" s="16" t="str">
        <f aca="false">IF(AND(B830&lt;&gt;"",A830=BULK!$A$1,N(F830)&gt;0),MAX(J$1:J829)+1,"")</f>
        <v/>
      </c>
      <c r="K830" s="11" t="str">
        <f aca="false">IF(B830="","",IFERROR(LEFT(B830,FIND("-",B830)-1),B830))</f>
        <v/>
      </c>
      <c r="L830" s="11" t="str">
        <f aca="false">IF(K830="","",IF(ISNUMBER(--MID(K830,1,1)),0,IF(ISNUMBER(--MID(K830,2,1)),1,IF(ISNUMBER(--MID(K830,3,1)),2,IF(ISNUMBER(--MID(K830,4,1)),3,MIN(LEN(K830),4))))))</f>
        <v/>
      </c>
      <c r="M830" s="11" t="str">
        <f aca="false">IF(B830="","",LEFT(K830,L830)&amp;REPT("0",4-L830)&amp;RIGHT("000"&amp;IFERROR(VALUE(MID(K830,L830+1,9)),0),3)&amp;RIGHT("0000"&amp;IFERROR(VALUE(MID(B830,FIND("-",B830)+1,9)),0),4))</f>
        <v/>
      </c>
      <c r="N830" s="11" t="str">
        <f aca="false">IF(OR(B830="",N(F830)&lt;=0),"",IF('FALTAS POR DECK'!$P$1="Código","K"&amp;M830&amp;RIGHT("00000"&amp;ROW(),5),IF('FALTAS POR DECK'!$P$1="Nome","K"&amp;UPPER(SUBSTITUTE(SUBSTITUTE(SUBSTITUTE(C830,"*",""),"?",""),"~",""))&amp;"0"&amp;M830&amp;RIGHT("00000"&amp;ROW(),5),IF('FALTAS POR DECK'!$P$1="Falta (maior primeiro)","K"&amp;RIGHT("0000"&amp;(9999-F830),4)&amp;M830&amp;RIGHT("00000"&amp;ROW(),5),IF('FALTAS POR DECK'!$P$1="Deck e código","K"&amp;RIGHT("00"&amp;IFERROR(MATCH(A830,_LEITURA!$P$2:$P$21,0),99),2)&amp;M830&amp;RIGHT("00000"&amp;ROW(),5),"K"&amp;RIGHT("00000"&amp;ROW(),5))))))</f>
        <v/>
      </c>
      <c r="O830" s="16" t="str">
        <f aca="false">IF(N830="","",COUNTIFS($N$2:$N$1201,"&lt;"&amp;N830,$F$2:$F$1201,"&gt;0")+1)</f>
        <v/>
      </c>
    </row>
    <row r="831" customFormat="false" ht="15" hidden="false" customHeight="false" outlineLevel="0" collapsed="false">
      <c r="A831" s="11" t="str">
        <f aca="false">IF(_LEITURA!$N831="","",INDEX(_LEITURA!$K$2:$K$1201,_LEITURA!$N831))</f>
        <v/>
      </c>
      <c r="B831" s="11" t="str">
        <f aca="false">IF(_LEITURA!$N831="","",INDEX(_LEITURA!$E$2:$E$1201,_LEITURA!$N831))</f>
        <v/>
      </c>
      <c r="C831" s="11" t="str">
        <f aca="false">IF(_LEITURA!$N831="","",INDEX(_LEITURA!$J$2:$J$1201,_LEITURA!$N831))</f>
        <v/>
      </c>
      <c r="D831" s="16" t="str">
        <f aca="false">IF(_LEITURA!$N831="","",INDEX(_LEITURA!$G$2:$G$1201,_LEITURA!$N831))</f>
        <v/>
      </c>
      <c r="E831" s="16" t="str">
        <f aca="false">IF(B831="","",SUMIFS(INVENTÁRIO!$C$2:$C$801,INVENTÁRIO!$A$2:$A$801,B831))</f>
        <v/>
      </c>
      <c r="F831" s="16" t="str">
        <f aca="false">IF(B831="","",MAX(0,D831-E831))</f>
        <v/>
      </c>
      <c r="G831" s="16" t="str">
        <f aca="false">IF(B831="","",IF(COUNTIFS($B$2:$B$1201,B831,$A$2:$A$1201,"&lt;&gt;"&amp;A831)&gt;0,"Sim",""))</f>
        <v/>
      </c>
      <c r="H831" s="16" t="str">
        <f aca="false">IF(N(F831)&gt;0,MAX(H$1:H830)+1,"")</f>
        <v/>
      </c>
      <c r="I831" s="11" t="str">
        <f aca="false">IF(B831="","",IF(INDEX($C$2:$C$1201,MATCH(B831,$B$2:$B$1201,0))&lt;&gt;C831,"Nome diferente em outro deck — revisar",""))</f>
        <v/>
      </c>
      <c r="J831" s="16" t="str">
        <f aca="false">IF(AND(B831&lt;&gt;"",A831=BULK!$A$1,N(F831)&gt;0),MAX(J$1:J830)+1,"")</f>
        <v/>
      </c>
      <c r="K831" s="11" t="str">
        <f aca="false">IF(B831="","",IFERROR(LEFT(B831,FIND("-",B831)-1),B831))</f>
        <v/>
      </c>
      <c r="L831" s="11" t="str">
        <f aca="false">IF(K831="","",IF(ISNUMBER(--MID(K831,1,1)),0,IF(ISNUMBER(--MID(K831,2,1)),1,IF(ISNUMBER(--MID(K831,3,1)),2,IF(ISNUMBER(--MID(K831,4,1)),3,MIN(LEN(K831),4))))))</f>
        <v/>
      </c>
      <c r="M831" s="11" t="str">
        <f aca="false">IF(B831="","",LEFT(K831,L831)&amp;REPT("0",4-L831)&amp;RIGHT("000"&amp;IFERROR(VALUE(MID(K831,L831+1,9)),0),3)&amp;RIGHT("0000"&amp;IFERROR(VALUE(MID(B831,FIND("-",B831)+1,9)),0),4))</f>
        <v/>
      </c>
      <c r="N831" s="11" t="str">
        <f aca="false">IF(OR(B831="",N(F831)&lt;=0),"",IF('FALTAS POR DECK'!$P$1="Código","K"&amp;M831&amp;RIGHT("00000"&amp;ROW(),5),IF('FALTAS POR DECK'!$P$1="Nome","K"&amp;UPPER(SUBSTITUTE(SUBSTITUTE(SUBSTITUTE(C831,"*",""),"?",""),"~",""))&amp;"0"&amp;M831&amp;RIGHT("00000"&amp;ROW(),5),IF('FALTAS POR DECK'!$P$1="Falta (maior primeiro)","K"&amp;RIGHT("0000"&amp;(9999-F831),4)&amp;M831&amp;RIGHT("00000"&amp;ROW(),5),IF('FALTAS POR DECK'!$P$1="Deck e código","K"&amp;RIGHT("00"&amp;IFERROR(MATCH(A831,_LEITURA!$P$2:$P$21,0),99),2)&amp;M831&amp;RIGHT("00000"&amp;ROW(),5),"K"&amp;RIGHT("00000"&amp;ROW(),5))))))</f>
        <v/>
      </c>
      <c r="O831" s="16" t="str">
        <f aca="false">IF(N831="","",COUNTIFS($N$2:$N$1201,"&lt;"&amp;N831,$F$2:$F$1201,"&gt;0")+1)</f>
        <v/>
      </c>
    </row>
    <row r="832" customFormat="false" ht="15" hidden="false" customHeight="false" outlineLevel="0" collapsed="false">
      <c r="A832" s="11" t="str">
        <f aca="false">IF(_LEITURA!$N832="","",INDEX(_LEITURA!$K$2:$K$1201,_LEITURA!$N832))</f>
        <v/>
      </c>
      <c r="B832" s="11" t="str">
        <f aca="false">IF(_LEITURA!$N832="","",INDEX(_LEITURA!$E$2:$E$1201,_LEITURA!$N832))</f>
        <v/>
      </c>
      <c r="C832" s="11" t="str">
        <f aca="false">IF(_LEITURA!$N832="","",INDEX(_LEITURA!$J$2:$J$1201,_LEITURA!$N832))</f>
        <v/>
      </c>
      <c r="D832" s="16" t="str">
        <f aca="false">IF(_LEITURA!$N832="","",INDEX(_LEITURA!$G$2:$G$1201,_LEITURA!$N832))</f>
        <v/>
      </c>
      <c r="E832" s="16" t="str">
        <f aca="false">IF(B832="","",SUMIFS(INVENTÁRIO!$C$2:$C$801,INVENTÁRIO!$A$2:$A$801,B832))</f>
        <v/>
      </c>
      <c r="F832" s="16" t="str">
        <f aca="false">IF(B832="","",MAX(0,D832-E832))</f>
        <v/>
      </c>
      <c r="G832" s="16" t="str">
        <f aca="false">IF(B832="","",IF(COUNTIFS($B$2:$B$1201,B832,$A$2:$A$1201,"&lt;&gt;"&amp;A832)&gt;0,"Sim",""))</f>
        <v/>
      </c>
      <c r="H832" s="16" t="str">
        <f aca="false">IF(N(F832)&gt;0,MAX(H$1:H831)+1,"")</f>
        <v/>
      </c>
      <c r="I832" s="11" t="str">
        <f aca="false">IF(B832="","",IF(INDEX($C$2:$C$1201,MATCH(B832,$B$2:$B$1201,0))&lt;&gt;C832,"Nome diferente em outro deck — revisar",""))</f>
        <v/>
      </c>
      <c r="J832" s="16" t="str">
        <f aca="false">IF(AND(B832&lt;&gt;"",A832=BULK!$A$1,N(F832)&gt;0),MAX(J$1:J831)+1,"")</f>
        <v/>
      </c>
      <c r="K832" s="11" t="str">
        <f aca="false">IF(B832="","",IFERROR(LEFT(B832,FIND("-",B832)-1),B832))</f>
        <v/>
      </c>
      <c r="L832" s="11" t="str">
        <f aca="false">IF(K832="","",IF(ISNUMBER(--MID(K832,1,1)),0,IF(ISNUMBER(--MID(K832,2,1)),1,IF(ISNUMBER(--MID(K832,3,1)),2,IF(ISNUMBER(--MID(K832,4,1)),3,MIN(LEN(K832),4))))))</f>
        <v/>
      </c>
      <c r="M832" s="11" t="str">
        <f aca="false">IF(B832="","",LEFT(K832,L832)&amp;REPT("0",4-L832)&amp;RIGHT("000"&amp;IFERROR(VALUE(MID(K832,L832+1,9)),0),3)&amp;RIGHT("0000"&amp;IFERROR(VALUE(MID(B832,FIND("-",B832)+1,9)),0),4))</f>
        <v/>
      </c>
      <c r="N832" s="11" t="str">
        <f aca="false">IF(OR(B832="",N(F832)&lt;=0),"",IF('FALTAS POR DECK'!$P$1="Código","K"&amp;M832&amp;RIGHT("00000"&amp;ROW(),5),IF('FALTAS POR DECK'!$P$1="Nome","K"&amp;UPPER(SUBSTITUTE(SUBSTITUTE(SUBSTITUTE(C832,"*",""),"?",""),"~",""))&amp;"0"&amp;M832&amp;RIGHT("00000"&amp;ROW(),5),IF('FALTAS POR DECK'!$P$1="Falta (maior primeiro)","K"&amp;RIGHT("0000"&amp;(9999-F832),4)&amp;M832&amp;RIGHT("00000"&amp;ROW(),5),IF('FALTAS POR DECK'!$P$1="Deck e código","K"&amp;RIGHT("00"&amp;IFERROR(MATCH(A832,_LEITURA!$P$2:$P$21,0),99),2)&amp;M832&amp;RIGHT("00000"&amp;ROW(),5),"K"&amp;RIGHT("00000"&amp;ROW(),5))))))</f>
        <v/>
      </c>
      <c r="O832" s="16" t="str">
        <f aca="false">IF(N832="","",COUNTIFS($N$2:$N$1201,"&lt;"&amp;N832,$F$2:$F$1201,"&gt;0")+1)</f>
        <v/>
      </c>
    </row>
    <row r="833" customFormat="false" ht="15" hidden="false" customHeight="false" outlineLevel="0" collapsed="false">
      <c r="A833" s="11" t="str">
        <f aca="false">IF(_LEITURA!$N833="","",INDEX(_LEITURA!$K$2:$K$1201,_LEITURA!$N833))</f>
        <v/>
      </c>
      <c r="B833" s="11" t="str">
        <f aca="false">IF(_LEITURA!$N833="","",INDEX(_LEITURA!$E$2:$E$1201,_LEITURA!$N833))</f>
        <v/>
      </c>
      <c r="C833" s="11" t="str">
        <f aca="false">IF(_LEITURA!$N833="","",INDEX(_LEITURA!$J$2:$J$1201,_LEITURA!$N833))</f>
        <v/>
      </c>
      <c r="D833" s="16" t="str">
        <f aca="false">IF(_LEITURA!$N833="","",INDEX(_LEITURA!$G$2:$G$1201,_LEITURA!$N833))</f>
        <v/>
      </c>
      <c r="E833" s="16" t="str">
        <f aca="false">IF(B833="","",SUMIFS(INVENTÁRIO!$C$2:$C$801,INVENTÁRIO!$A$2:$A$801,B833))</f>
        <v/>
      </c>
      <c r="F833" s="16" t="str">
        <f aca="false">IF(B833="","",MAX(0,D833-E833))</f>
        <v/>
      </c>
      <c r="G833" s="16" t="str">
        <f aca="false">IF(B833="","",IF(COUNTIFS($B$2:$B$1201,B833,$A$2:$A$1201,"&lt;&gt;"&amp;A833)&gt;0,"Sim",""))</f>
        <v/>
      </c>
      <c r="H833" s="16" t="str">
        <f aca="false">IF(N(F833)&gt;0,MAX(H$1:H832)+1,"")</f>
        <v/>
      </c>
      <c r="I833" s="11" t="str">
        <f aca="false">IF(B833="","",IF(INDEX($C$2:$C$1201,MATCH(B833,$B$2:$B$1201,0))&lt;&gt;C833,"Nome diferente em outro deck — revisar",""))</f>
        <v/>
      </c>
      <c r="J833" s="16" t="str">
        <f aca="false">IF(AND(B833&lt;&gt;"",A833=BULK!$A$1,N(F833)&gt;0),MAX(J$1:J832)+1,"")</f>
        <v/>
      </c>
      <c r="K833" s="11" t="str">
        <f aca="false">IF(B833="","",IFERROR(LEFT(B833,FIND("-",B833)-1),B833))</f>
        <v/>
      </c>
      <c r="L833" s="11" t="str">
        <f aca="false">IF(K833="","",IF(ISNUMBER(--MID(K833,1,1)),0,IF(ISNUMBER(--MID(K833,2,1)),1,IF(ISNUMBER(--MID(K833,3,1)),2,IF(ISNUMBER(--MID(K833,4,1)),3,MIN(LEN(K833),4))))))</f>
        <v/>
      </c>
      <c r="M833" s="11" t="str">
        <f aca="false">IF(B833="","",LEFT(K833,L833)&amp;REPT("0",4-L833)&amp;RIGHT("000"&amp;IFERROR(VALUE(MID(K833,L833+1,9)),0),3)&amp;RIGHT("0000"&amp;IFERROR(VALUE(MID(B833,FIND("-",B833)+1,9)),0),4))</f>
        <v/>
      </c>
      <c r="N833" s="11" t="str">
        <f aca="false">IF(OR(B833="",N(F833)&lt;=0),"",IF('FALTAS POR DECK'!$P$1="Código","K"&amp;M833&amp;RIGHT("00000"&amp;ROW(),5),IF('FALTAS POR DECK'!$P$1="Nome","K"&amp;UPPER(SUBSTITUTE(SUBSTITUTE(SUBSTITUTE(C833,"*",""),"?",""),"~",""))&amp;"0"&amp;M833&amp;RIGHT("00000"&amp;ROW(),5),IF('FALTAS POR DECK'!$P$1="Falta (maior primeiro)","K"&amp;RIGHT("0000"&amp;(9999-F833),4)&amp;M833&amp;RIGHT("00000"&amp;ROW(),5),IF('FALTAS POR DECK'!$P$1="Deck e código","K"&amp;RIGHT("00"&amp;IFERROR(MATCH(A833,_LEITURA!$P$2:$P$21,0),99),2)&amp;M833&amp;RIGHT("00000"&amp;ROW(),5),"K"&amp;RIGHT("00000"&amp;ROW(),5))))))</f>
        <v/>
      </c>
      <c r="O833" s="16" t="str">
        <f aca="false">IF(N833="","",COUNTIFS($N$2:$N$1201,"&lt;"&amp;N833,$F$2:$F$1201,"&gt;0")+1)</f>
        <v/>
      </c>
    </row>
    <row r="834" customFormat="false" ht="15" hidden="false" customHeight="false" outlineLevel="0" collapsed="false">
      <c r="A834" s="11" t="str">
        <f aca="false">IF(_LEITURA!$N834="","",INDEX(_LEITURA!$K$2:$K$1201,_LEITURA!$N834))</f>
        <v/>
      </c>
      <c r="B834" s="11" t="str">
        <f aca="false">IF(_LEITURA!$N834="","",INDEX(_LEITURA!$E$2:$E$1201,_LEITURA!$N834))</f>
        <v/>
      </c>
      <c r="C834" s="11" t="str">
        <f aca="false">IF(_LEITURA!$N834="","",INDEX(_LEITURA!$J$2:$J$1201,_LEITURA!$N834))</f>
        <v/>
      </c>
      <c r="D834" s="16" t="str">
        <f aca="false">IF(_LEITURA!$N834="","",INDEX(_LEITURA!$G$2:$G$1201,_LEITURA!$N834))</f>
        <v/>
      </c>
      <c r="E834" s="16" t="str">
        <f aca="false">IF(B834="","",SUMIFS(INVENTÁRIO!$C$2:$C$801,INVENTÁRIO!$A$2:$A$801,B834))</f>
        <v/>
      </c>
      <c r="F834" s="16" t="str">
        <f aca="false">IF(B834="","",MAX(0,D834-E834))</f>
        <v/>
      </c>
      <c r="G834" s="16" t="str">
        <f aca="false">IF(B834="","",IF(COUNTIFS($B$2:$B$1201,B834,$A$2:$A$1201,"&lt;&gt;"&amp;A834)&gt;0,"Sim",""))</f>
        <v/>
      </c>
      <c r="H834" s="16" t="str">
        <f aca="false">IF(N(F834)&gt;0,MAX(H$1:H833)+1,"")</f>
        <v/>
      </c>
      <c r="I834" s="11" t="str">
        <f aca="false">IF(B834="","",IF(INDEX($C$2:$C$1201,MATCH(B834,$B$2:$B$1201,0))&lt;&gt;C834,"Nome diferente em outro deck — revisar",""))</f>
        <v/>
      </c>
      <c r="J834" s="16" t="str">
        <f aca="false">IF(AND(B834&lt;&gt;"",A834=BULK!$A$1,N(F834)&gt;0),MAX(J$1:J833)+1,"")</f>
        <v/>
      </c>
      <c r="K834" s="11" t="str">
        <f aca="false">IF(B834="","",IFERROR(LEFT(B834,FIND("-",B834)-1),B834))</f>
        <v/>
      </c>
      <c r="L834" s="11" t="str">
        <f aca="false">IF(K834="","",IF(ISNUMBER(--MID(K834,1,1)),0,IF(ISNUMBER(--MID(K834,2,1)),1,IF(ISNUMBER(--MID(K834,3,1)),2,IF(ISNUMBER(--MID(K834,4,1)),3,MIN(LEN(K834),4))))))</f>
        <v/>
      </c>
      <c r="M834" s="11" t="str">
        <f aca="false">IF(B834="","",LEFT(K834,L834)&amp;REPT("0",4-L834)&amp;RIGHT("000"&amp;IFERROR(VALUE(MID(K834,L834+1,9)),0),3)&amp;RIGHT("0000"&amp;IFERROR(VALUE(MID(B834,FIND("-",B834)+1,9)),0),4))</f>
        <v/>
      </c>
      <c r="N834" s="11" t="str">
        <f aca="false">IF(OR(B834="",N(F834)&lt;=0),"",IF('FALTAS POR DECK'!$P$1="Código","K"&amp;M834&amp;RIGHT("00000"&amp;ROW(),5),IF('FALTAS POR DECK'!$P$1="Nome","K"&amp;UPPER(SUBSTITUTE(SUBSTITUTE(SUBSTITUTE(C834,"*",""),"?",""),"~",""))&amp;"0"&amp;M834&amp;RIGHT("00000"&amp;ROW(),5),IF('FALTAS POR DECK'!$P$1="Falta (maior primeiro)","K"&amp;RIGHT("0000"&amp;(9999-F834),4)&amp;M834&amp;RIGHT("00000"&amp;ROW(),5),IF('FALTAS POR DECK'!$P$1="Deck e código","K"&amp;RIGHT("00"&amp;IFERROR(MATCH(A834,_LEITURA!$P$2:$P$21,0),99),2)&amp;M834&amp;RIGHT("00000"&amp;ROW(),5),"K"&amp;RIGHT("00000"&amp;ROW(),5))))))</f>
        <v/>
      </c>
      <c r="O834" s="16" t="str">
        <f aca="false">IF(N834="","",COUNTIFS($N$2:$N$1201,"&lt;"&amp;N834,$F$2:$F$1201,"&gt;0")+1)</f>
        <v/>
      </c>
    </row>
    <row r="835" customFormat="false" ht="15" hidden="false" customHeight="false" outlineLevel="0" collapsed="false">
      <c r="A835" s="11" t="str">
        <f aca="false">IF(_LEITURA!$N835="","",INDEX(_LEITURA!$K$2:$K$1201,_LEITURA!$N835))</f>
        <v/>
      </c>
      <c r="B835" s="11" t="str">
        <f aca="false">IF(_LEITURA!$N835="","",INDEX(_LEITURA!$E$2:$E$1201,_LEITURA!$N835))</f>
        <v/>
      </c>
      <c r="C835" s="11" t="str">
        <f aca="false">IF(_LEITURA!$N835="","",INDEX(_LEITURA!$J$2:$J$1201,_LEITURA!$N835))</f>
        <v/>
      </c>
      <c r="D835" s="16" t="str">
        <f aca="false">IF(_LEITURA!$N835="","",INDEX(_LEITURA!$G$2:$G$1201,_LEITURA!$N835))</f>
        <v/>
      </c>
      <c r="E835" s="16" t="str">
        <f aca="false">IF(B835="","",SUMIFS(INVENTÁRIO!$C$2:$C$801,INVENTÁRIO!$A$2:$A$801,B835))</f>
        <v/>
      </c>
      <c r="F835" s="16" t="str">
        <f aca="false">IF(B835="","",MAX(0,D835-E835))</f>
        <v/>
      </c>
      <c r="G835" s="16" t="str">
        <f aca="false">IF(B835="","",IF(COUNTIFS($B$2:$B$1201,B835,$A$2:$A$1201,"&lt;&gt;"&amp;A835)&gt;0,"Sim",""))</f>
        <v/>
      </c>
      <c r="H835" s="16" t="str">
        <f aca="false">IF(N(F835)&gt;0,MAX(H$1:H834)+1,"")</f>
        <v/>
      </c>
      <c r="I835" s="11" t="str">
        <f aca="false">IF(B835="","",IF(INDEX($C$2:$C$1201,MATCH(B835,$B$2:$B$1201,0))&lt;&gt;C835,"Nome diferente em outro deck — revisar",""))</f>
        <v/>
      </c>
      <c r="J835" s="16" t="str">
        <f aca="false">IF(AND(B835&lt;&gt;"",A835=BULK!$A$1,N(F835)&gt;0),MAX(J$1:J834)+1,"")</f>
        <v/>
      </c>
      <c r="K835" s="11" t="str">
        <f aca="false">IF(B835="","",IFERROR(LEFT(B835,FIND("-",B835)-1),B835))</f>
        <v/>
      </c>
      <c r="L835" s="11" t="str">
        <f aca="false">IF(K835="","",IF(ISNUMBER(--MID(K835,1,1)),0,IF(ISNUMBER(--MID(K835,2,1)),1,IF(ISNUMBER(--MID(K835,3,1)),2,IF(ISNUMBER(--MID(K835,4,1)),3,MIN(LEN(K835),4))))))</f>
        <v/>
      </c>
      <c r="M835" s="11" t="str">
        <f aca="false">IF(B835="","",LEFT(K835,L835)&amp;REPT("0",4-L835)&amp;RIGHT("000"&amp;IFERROR(VALUE(MID(K835,L835+1,9)),0),3)&amp;RIGHT("0000"&amp;IFERROR(VALUE(MID(B835,FIND("-",B835)+1,9)),0),4))</f>
        <v/>
      </c>
      <c r="N835" s="11" t="str">
        <f aca="false">IF(OR(B835="",N(F835)&lt;=0),"",IF('FALTAS POR DECK'!$P$1="Código","K"&amp;M835&amp;RIGHT("00000"&amp;ROW(),5),IF('FALTAS POR DECK'!$P$1="Nome","K"&amp;UPPER(SUBSTITUTE(SUBSTITUTE(SUBSTITUTE(C835,"*",""),"?",""),"~",""))&amp;"0"&amp;M835&amp;RIGHT("00000"&amp;ROW(),5),IF('FALTAS POR DECK'!$P$1="Falta (maior primeiro)","K"&amp;RIGHT("0000"&amp;(9999-F835),4)&amp;M835&amp;RIGHT("00000"&amp;ROW(),5),IF('FALTAS POR DECK'!$P$1="Deck e código","K"&amp;RIGHT("00"&amp;IFERROR(MATCH(A835,_LEITURA!$P$2:$P$21,0),99),2)&amp;M835&amp;RIGHT("00000"&amp;ROW(),5),"K"&amp;RIGHT("00000"&amp;ROW(),5))))))</f>
        <v/>
      </c>
      <c r="O835" s="16" t="str">
        <f aca="false">IF(N835="","",COUNTIFS($N$2:$N$1201,"&lt;"&amp;N835,$F$2:$F$1201,"&gt;0")+1)</f>
        <v/>
      </c>
    </row>
    <row r="836" customFormat="false" ht="15" hidden="false" customHeight="false" outlineLevel="0" collapsed="false">
      <c r="A836" s="11" t="str">
        <f aca="false">IF(_LEITURA!$N836="","",INDEX(_LEITURA!$K$2:$K$1201,_LEITURA!$N836))</f>
        <v/>
      </c>
      <c r="B836" s="11" t="str">
        <f aca="false">IF(_LEITURA!$N836="","",INDEX(_LEITURA!$E$2:$E$1201,_LEITURA!$N836))</f>
        <v/>
      </c>
      <c r="C836" s="11" t="str">
        <f aca="false">IF(_LEITURA!$N836="","",INDEX(_LEITURA!$J$2:$J$1201,_LEITURA!$N836))</f>
        <v/>
      </c>
      <c r="D836" s="16" t="str">
        <f aca="false">IF(_LEITURA!$N836="","",INDEX(_LEITURA!$G$2:$G$1201,_LEITURA!$N836))</f>
        <v/>
      </c>
      <c r="E836" s="16" t="str">
        <f aca="false">IF(B836="","",SUMIFS(INVENTÁRIO!$C$2:$C$801,INVENTÁRIO!$A$2:$A$801,B836))</f>
        <v/>
      </c>
      <c r="F836" s="16" t="str">
        <f aca="false">IF(B836="","",MAX(0,D836-E836))</f>
        <v/>
      </c>
      <c r="G836" s="16" t="str">
        <f aca="false">IF(B836="","",IF(COUNTIFS($B$2:$B$1201,B836,$A$2:$A$1201,"&lt;&gt;"&amp;A836)&gt;0,"Sim",""))</f>
        <v/>
      </c>
      <c r="H836" s="16" t="str">
        <f aca="false">IF(N(F836)&gt;0,MAX(H$1:H835)+1,"")</f>
        <v/>
      </c>
      <c r="I836" s="11" t="str">
        <f aca="false">IF(B836="","",IF(INDEX($C$2:$C$1201,MATCH(B836,$B$2:$B$1201,0))&lt;&gt;C836,"Nome diferente em outro deck — revisar",""))</f>
        <v/>
      </c>
      <c r="J836" s="16" t="str">
        <f aca="false">IF(AND(B836&lt;&gt;"",A836=BULK!$A$1,N(F836)&gt;0),MAX(J$1:J835)+1,"")</f>
        <v/>
      </c>
      <c r="K836" s="11" t="str">
        <f aca="false">IF(B836="","",IFERROR(LEFT(B836,FIND("-",B836)-1),B836))</f>
        <v/>
      </c>
      <c r="L836" s="11" t="str">
        <f aca="false">IF(K836="","",IF(ISNUMBER(--MID(K836,1,1)),0,IF(ISNUMBER(--MID(K836,2,1)),1,IF(ISNUMBER(--MID(K836,3,1)),2,IF(ISNUMBER(--MID(K836,4,1)),3,MIN(LEN(K836),4))))))</f>
        <v/>
      </c>
      <c r="M836" s="11" t="str">
        <f aca="false">IF(B836="","",LEFT(K836,L836)&amp;REPT("0",4-L836)&amp;RIGHT("000"&amp;IFERROR(VALUE(MID(K836,L836+1,9)),0),3)&amp;RIGHT("0000"&amp;IFERROR(VALUE(MID(B836,FIND("-",B836)+1,9)),0),4))</f>
        <v/>
      </c>
      <c r="N836" s="11" t="str">
        <f aca="false">IF(OR(B836="",N(F836)&lt;=0),"",IF('FALTAS POR DECK'!$P$1="Código","K"&amp;M836&amp;RIGHT("00000"&amp;ROW(),5),IF('FALTAS POR DECK'!$P$1="Nome","K"&amp;UPPER(SUBSTITUTE(SUBSTITUTE(SUBSTITUTE(C836,"*",""),"?",""),"~",""))&amp;"0"&amp;M836&amp;RIGHT("00000"&amp;ROW(),5),IF('FALTAS POR DECK'!$P$1="Falta (maior primeiro)","K"&amp;RIGHT("0000"&amp;(9999-F836),4)&amp;M836&amp;RIGHT("00000"&amp;ROW(),5),IF('FALTAS POR DECK'!$P$1="Deck e código","K"&amp;RIGHT("00"&amp;IFERROR(MATCH(A836,_LEITURA!$P$2:$P$21,0),99),2)&amp;M836&amp;RIGHT("00000"&amp;ROW(),5),"K"&amp;RIGHT("00000"&amp;ROW(),5))))))</f>
        <v/>
      </c>
      <c r="O836" s="16" t="str">
        <f aca="false">IF(N836="","",COUNTIFS($N$2:$N$1201,"&lt;"&amp;N836,$F$2:$F$1201,"&gt;0")+1)</f>
        <v/>
      </c>
    </row>
    <row r="837" customFormat="false" ht="15" hidden="false" customHeight="false" outlineLevel="0" collapsed="false">
      <c r="A837" s="11" t="str">
        <f aca="false">IF(_LEITURA!$N837="","",INDEX(_LEITURA!$K$2:$K$1201,_LEITURA!$N837))</f>
        <v/>
      </c>
      <c r="B837" s="11" t="str">
        <f aca="false">IF(_LEITURA!$N837="","",INDEX(_LEITURA!$E$2:$E$1201,_LEITURA!$N837))</f>
        <v/>
      </c>
      <c r="C837" s="11" t="str">
        <f aca="false">IF(_LEITURA!$N837="","",INDEX(_LEITURA!$J$2:$J$1201,_LEITURA!$N837))</f>
        <v/>
      </c>
      <c r="D837" s="16" t="str">
        <f aca="false">IF(_LEITURA!$N837="","",INDEX(_LEITURA!$G$2:$G$1201,_LEITURA!$N837))</f>
        <v/>
      </c>
      <c r="E837" s="16" t="str">
        <f aca="false">IF(B837="","",SUMIFS(INVENTÁRIO!$C$2:$C$801,INVENTÁRIO!$A$2:$A$801,B837))</f>
        <v/>
      </c>
      <c r="F837" s="16" t="str">
        <f aca="false">IF(B837="","",MAX(0,D837-E837))</f>
        <v/>
      </c>
      <c r="G837" s="16" t="str">
        <f aca="false">IF(B837="","",IF(COUNTIFS($B$2:$B$1201,B837,$A$2:$A$1201,"&lt;&gt;"&amp;A837)&gt;0,"Sim",""))</f>
        <v/>
      </c>
      <c r="H837" s="16" t="str">
        <f aca="false">IF(N(F837)&gt;0,MAX(H$1:H836)+1,"")</f>
        <v/>
      </c>
      <c r="I837" s="11" t="str">
        <f aca="false">IF(B837="","",IF(INDEX($C$2:$C$1201,MATCH(B837,$B$2:$B$1201,0))&lt;&gt;C837,"Nome diferente em outro deck — revisar",""))</f>
        <v/>
      </c>
      <c r="J837" s="16" t="str">
        <f aca="false">IF(AND(B837&lt;&gt;"",A837=BULK!$A$1,N(F837)&gt;0),MAX(J$1:J836)+1,"")</f>
        <v/>
      </c>
      <c r="K837" s="11" t="str">
        <f aca="false">IF(B837="","",IFERROR(LEFT(B837,FIND("-",B837)-1),B837))</f>
        <v/>
      </c>
      <c r="L837" s="11" t="str">
        <f aca="false">IF(K837="","",IF(ISNUMBER(--MID(K837,1,1)),0,IF(ISNUMBER(--MID(K837,2,1)),1,IF(ISNUMBER(--MID(K837,3,1)),2,IF(ISNUMBER(--MID(K837,4,1)),3,MIN(LEN(K837),4))))))</f>
        <v/>
      </c>
      <c r="M837" s="11" t="str">
        <f aca="false">IF(B837="","",LEFT(K837,L837)&amp;REPT("0",4-L837)&amp;RIGHT("000"&amp;IFERROR(VALUE(MID(K837,L837+1,9)),0),3)&amp;RIGHT("0000"&amp;IFERROR(VALUE(MID(B837,FIND("-",B837)+1,9)),0),4))</f>
        <v/>
      </c>
      <c r="N837" s="11" t="str">
        <f aca="false">IF(OR(B837="",N(F837)&lt;=0),"",IF('FALTAS POR DECK'!$P$1="Código","K"&amp;M837&amp;RIGHT("00000"&amp;ROW(),5),IF('FALTAS POR DECK'!$P$1="Nome","K"&amp;UPPER(SUBSTITUTE(SUBSTITUTE(SUBSTITUTE(C837,"*",""),"?",""),"~",""))&amp;"0"&amp;M837&amp;RIGHT("00000"&amp;ROW(),5),IF('FALTAS POR DECK'!$P$1="Falta (maior primeiro)","K"&amp;RIGHT("0000"&amp;(9999-F837),4)&amp;M837&amp;RIGHT("00000"&amp;ROW(),5),IF('FALTAS POR DECK'!$P$1="Deck e código","K"&amp;RIGHT("00"&amp;IFERROR(MATCH(A837,_LEITURA!$P$2:$P$21,0),99),2)&amp;M837&amp;RIGHT("00000"&amp;ROW(),5),"K"&amp;RIGHT("00000"&amp;ROW(),5))))))</f>
        <v/>
      </c>
      <c r="O837" s="16" t="str">
        <f aca="false">IF(N837="","",COUNTIFS($N$2:$N$1201,"&lt;"&amp;N837,$F$2:$F$1201,"&gt;0")+1)</f>
        <v/>
      </c>
    </row>
    <row r="838" customFormat="false" ht="15" hidden="false" customHeight="false" outlineLevel="0" collapsed="false">
      <c r="A838" s="11" t="str">
        <f aca="false">IF(_LEITURA!$N838="","",INDEX(_LEITURA!$K$2:$K$1201,_LEITURA!$N838))</f>
        <v/>
      </c>
      <c r="B838" s="11" t="str">
        <f aca="false">IF(_LEITURA!$N838="","",INDEX(_LEITURA!$E$2:$E$1201,_LEITURA!$N838))</f>
        <v/>
      </c>
      <c r="C838" s="11" t="str">
        <f aca="false">IF(_LEITURA!$N838="","",INDEX(_LEITURA!$J$2:$J$1201,_LEITURA!$N838))</f>
        <v/>
      </c>
      <c r="D838" s="16" t="str">
        <f aca="false">IF(_LEITURA!$N838="","",INDEX(_LEITURA!$G$2:$G$1201,_LEITURA!$N838))</f>
        <v/>
      </c>
      <c r="E838" s="16" t="str">
        <f aca="false">IF(B838="","",SUMIFS(INVENTÁRIO!$C$2:$C$801,INVENTÁRIO!$A$2:$A$801,B838))</f>
        <v/>
      </c>
      <c r="F838" s="16" t="str">
        <f aca="false">IF(B838="","",MAX(0,D838-E838))</f>
        <v/>
      </c>
      <c r="G838" s="16" t="str">
        <f aca="false">IF(B838="","",IF(COUNTIFS($B$2:$B$1201,B838,$A$2:$A$1201,"&lt;&gt;"&amp;A838)&gt;0,"Sim",""))</f>
        <v/>
      </c>
      <c r="H838" s="16" t="str">
        <f aca="false">IF(N(F838)&gt;0,MAX(H$1:H837)+1,"")</f>
        <v/>
      </c>
      <c r="I838" s="11" t="str">
        <f aca="false">IF(B838="","",IF(INDEX($C$2:$C$1201,MATCH(B838,$B$2:$B$1201,0))&lt;&gt;C838,"Nome diferente em outro deck — revisar",""))</f>
        <v/>
      </c>
      <c r="J838" s="16" t="str">
        <f aca="false">IF(AND(B838&lt;&gt;"",A838=BULK!$A$1,N(F838)&gt;0),MAX(J$1:J837)+1,"")</f>
        <v/>
      </c>
      <c r="K838" s="11" t="str">
        <f aca="false">IF(B838="","",IFERROR(LEFT(B838,FIND("-",B838)-1),B838))</f>
        <v/>
      </c>
      <c r="L838" s="11" t="str">
        <f aca="false">IF(K838="","",IF(ISNUMBER(--MID(K838,1,1)),0,IF(ISNUMBER(--MID(K838,2,1)),1,IF(ISNUMBER(--MID(K838,3,1)),2,IF(ISNUMBER(--MID(K838,4,1)),3,MIN(LEN(K838),4))))))</f>
        <v/>
      </c>
      <c r="M838" s="11" t="str">
        <f aca="false">IF(B838="","",LEFT(K838,L838)&amp;REPT("0",4-L838)&amp;RIGHT("000"&amp;IFERROR(VALUE(MID(K838,L838+1,9)),0),3)&amp;RIGHT("0000"&amp;IFERROR(VALUE(MID(B838,FIND("-",B838)+1,9)),0),4))</f>
        <v/>
      </c>
      <c r="N838" s="11" t="str">
        <f aca="false">IF(OR(B838="",N(F838)&lt;=0),"",IF('FALTAS POR DECK'!$P$1="Código","K"&amp;M838&amp;RIGHT("00000"&amp;ROW(),5),IF('FALTAS POR DECK'!$P$1="Nome","K"&amp;UPPER(SUBSTITUTE(SUBSTITUTE(SUBSTITUTE(C838,"*",""),"?",""),"~",""))&amp;"0"&amp;M838&amp;RIGHT("00000"&amp;ROW(),5),IF('FALTAS POR DECK'!$P$1="Falta (maior primeiro)","K"&amp;RIGHT("0000"&amp;(9999-F838),4)&amp;M838&amp;RIGHT("00000"&amp;ROW(),5),IF('FALTAS POR DECK'!$P$1="Deck e código","K"&amp;RIGHT("00"&amp;IFERROR(MATCH(A838,_LEITURA!$P$2:$P$21,0),99),2)&amp;M838&amp;RIGHT("00000"&amp;ROW(),5),"K"&amp;RIGHT("00000"&amp;ROW(),5))))))</f>
        <v/>
      </c>
      <c r="O838" s="16" t="str">
        <f aca="false">IF(N838="","",COUNTIFS($N$2:$N$1201,"&lt;"&amp;N838,$F$2:$F$1201,"&gt;0")+1)</f>
        <v/>
      </c>
    </row>
    <row r="839" customFormat="false" ht="15" hidden="false" customHeight="false" outlineLevel="0" collapsed="false">
      <c r="A839" s="11" t="str">
        <f aca="false">IF(_LEITURA!$N839="","",INDEX(_LEITURA!$K$2:$K$1201,_LEITURA!$N839))</f>
        <v/>
      </c>
      <c r="B839" s="11" t="str">
        <f aca="false">IF(_LEITURA!$N839="","",INDEX(_LEITURA!$E$2:$E$1201,_LEITURA!$N839))</f>
        <v/>
      </c>
      <c r="C839" s="11" t="str">
        <f aca="false">IF(_LEITURA!$N839="","",INDEX(_LEITURA!$J$2:$J$1201,_LEITURA!$N839))</f>
        <v/>
      </c>
      <c r="D839" s="16" t="str">
        <f aca="false">IF(_LEITURA!$N839="","",INDEX(_LEITURA!$G$2:$G$1201,_LEITURA!$N839))</f>
        <v/>
      </c>
      <c r="E839" s="16" t="str">
        <f aca="false">IF(B839="","",SUMIFS(INVENTÁRIO!$C$2:$C$801,INVENTÁRIO!$A$2:$A$801,B839))</f>
        <v/>
      </c>
      <c r="F839" s="16" t="str">
        <f aca="false">IF(B839="","",MAX(0,D839-E839))</f>
        <v/>
      </c>
      <c r="G839" s="16" t="str">
        <f aca="false">IF(B839="","",IF(COUNTIFS($B$2:$B$1201,B839,$A$2:$A$1201,"&lt;&gt;"&amp;A839)&gt;0,"Sim",""))</f>
        <v/>
      </c>
      <c r="H839" s="16" t="str">
        <f aca="false">IF(N(F839)&gt;0,MAX(H$1:H838)+1,"")</f>
        <v/>
      </c>
      <c r="I839" s="11" t="str">
        <f aca="false">IF(B839="","",IF(INDEX($C$2:$C$1201,MATCH(B839,$B$2:$B$1201,0))&lt;&gt;C839,"Nome diferente em outro deck — revisar",""))</f>
        <v/>
      </c>
      <c r="J839" s="16" t="str">
        <f aca="false">IF(AND(B839&lt;&gt;"",A839=BULK!$A$1,N(F839)&gt;0),MAX(J$1:J838)+1,"")</f>
        <v/>
      </c>
      <c r="K839" s="11" t="str">
        <f aca="false">IF(B839="","",IFERROR(LEFT(B839,FIND("-",B839)-1),B839))</f>
        <v/>
      </c>
      <c r="L839" s="11" t="str">
        <f aca="false">IF(K839="","",IF(ISNUMBER(--MID(K839,1,1)),0,IF(ISNUMBER(--MID(K839,2,1)),1,IF(ISNUMBER(--MID(K839,3,1)),2,IF(ISNUMBER(--MID(K839,4,1)),3,MIN(LEN(K839),4))))))</f>
        <v/>
      </c>
      <c r="M839" s="11" t="str">
        <f aca="false">IF(B839="","",LEFT(K839,L839)&amp;REPT("0",4-L839)&amp;RIGHT("000"&amp;IFERROR(VALUE(MID(K839,L839+1,9)),0),3)&amp;RIGHT("0000"&amp;IFERROR(VALUE(MID(B839,FIND("-",B839)+1,9)),0),4))</f>
        <v/>
      </c>
      <c r="N839" s="11" t="str">
        <f aca="false">IF(OR(B839="",N(F839)&lt;=0),"",IF('FALTAS POR DECK'!$P$1="Código","K"&amp;M839&amp;RIGHT("00000"&amp;ROW(),5),IF('FALTAS POR DECK'!$P$1="Nome","K"&amp;UPPER(SUBSTITUTE(SUBSTITUTE(SUBSTITUTE(C839,"*",""),"?",""),"~",""))&amp;"0"&amp;M839&amp;RIGHT("00000"&amp;ROW(),5),IF('FALTAS POR DECK'!$P$1="Falta (maior primeiro)","K"&amp;RIGHT("0000"&amp;(9999-F839),4)&amp;M839&amp;RIGHT("00000"&amp;ROW(),5),IF('FALTAS POR DECK'!$P$1="Deck e código","K"&amp;RIGHT("00"&amp;IFERROR(MATCH(A839,_LEITURA!$P$2:$P$21,0),99),2)&amp;M839&amp;RIGHT("00000"&amp;ROW(),5),"K"&amp;RIGHT("00000"&amp;ROW(),5))))))</f>
        <v/>
      </c>
      <c r="O839" s="16" t="str">
        <f aca="false">IF(N839="","",COUNTIFS($N$2:$N$1201,"&lt;"&amp;N839,$F$2:$F$1201,"&gt;0")+1)</f>
        <v/>
      </c>
    </row>
    <row r="840" customFormat="false" ht="15" hidden="false" customHeight="false" outlineLevel="0" collapsed="false">
      <c r="A840" s="11" t="str">
        <f aca="false">IF(_LEITURA!$N840="","",INDEX(_LEITURA!$K$2:$K$1201,_LEITURA!$N840))</f>
        <v/>
      </c>
      <c r="B840" s="11" t="str">
        <f aca="false">IF(_LEITURA!$N840="","",INDEX(_LEITURA!$E$2:$E$1201,_LEITURA!$N840))</f>
        <v/>
      </c>
      <c r="C840" s="11" t="str">
        <f aca="false">IF(_LEITURA!$N840="","",INDEX(_LEITURA!$J$2:$J$1201,_LEITURA!$N840))</f>
        <v/>
      </c>
      <c r="D840" s="16" t="str">
        <f aca="false">IF(_LEITURA!$N840="","",INDEX(_LEITURA!$G$2:$G$1201,_LEITURA!$N840))</f>
        <v/>
      </c>
      <c r="E840" s="16" t="str">
        <f aca="false">IF(B840="","",SUMIFS(INVENTÁRIO!$C$2:$C$801,INVENTÁRIO!$A$2:$A$801,B840))</f>
        <v/>
      </c>
      <c r="F840" s="16" t="str">
        <f aca="false">IF(B840="","",MAX(0,D840-E840))</f>
        <v/>
      </c>
      <c r="G840" s="16" t="str">
        <f aca="false">IF(B840="","",IF(COUNTIFS($B$2:$B$1201,B840,$A$2:$A$1201,"&lt;&gt;"&amp;A840)&gt;0,"Sim",""))</f>
        <v/>
      </c>
      <c r="H840" s="16" t="str">
        <f aca="false">IF(N(F840)&gt;0,MAX(H$1:H839)+1,"")</f>
        <v/>
      </c>
      <c r="I840" s="11" t="str">
        <f aca="false">IF(B840="","",IF(INDEX($C$2:$C$1201,MATCH(B840,$B$2:$B$1201,0))&lt;&gt;C840,"Nome diferente em outro deck — revisar",""))</f>
        <v/>
      </c>
      <c r="J840" s="16" t="str">
        <f aca="false">IF(AND(B840&lt;&gt;"",A840=BULK!$A$1,N(F840)&gt;0),MAX(J$1:J839)+1,"")</f>
        <v/>
      </c>
      <c r="K840" s="11" t="str">
        <f aca="false">IF(B840="","",IFERROR(LEFT(B840,FIND("-",B840)-1),B840))</f>
        <v/>
      </c>
      <c r="L840" s="11" t="str">
        <f aca="false">IF(K840="","",IF(ISNUMBER(--MID(K840,1,1)),0,IF(ISNUMBER(--MID(K840,2,1)),1,IF(ISNUMBER(--MID(K840,3,1)),2,IF(ISNUMBER(--MID(K840,4,1)),3,MIN(LEN(K840),4))))))</f>
        <v/>
      </c>
      <c r="M840" s="11" t="str">
        <f aca="false">IF(B840="","",LEFT(K840,L840)&amp;REPT("0",4-L840)&amp;RIGHT("000"&amp;IFERROR(VALUE(MID(K840,L840+1,9)),0),3)&amp;RIGHT("0000"&amp;IFERROR(VALUE(MID(B840,FIND("-",B840)+1,9)),0),4))</f>
        <v/>
      </c>
      <c r="N840" s="11" t="str">
        <f aca="false">IF(OR(B840="",N(F840)&lt;=0),"",IF('FALTAS POR DECK'!$P$1="Código","K"&amp;M840&amp;RIGHT("00000"&amp;ROW(),5),IF('FALTAS POR DECK'!$P$1="Nome","K"&amp;UPPER(SUBSTITUTE(SUBSTITUTE(SUBSTITUTE(C840,"*",""),"?",""),"~",""))&amp;"0"&amp;M840&amp;RIGHT("00000"&amp;ROW(),5),IF('FALTAS POR DECK'!$P$1="Falta (maior primeiro)","K"&amp;RIGHT("0000"&amp;(9999-F840),4)&amp;M840&amp;RIGHT("00000"&amp;ROW(),5),IF('FALTAS POR DECK'!$P$1="Deck e código","K"&amp;RIGHT("00"&amp;IFERROR(MATCH(A840,_LEITURA!$P$2:$P$21,0),99),2)&amp;M840&amp;RIGHT("00000"&amp;ROW(),5),"K"&amp;RIGHT("00000"&amp;ROW(),5))))))</f>
        <v/>
      </c>
      <c r="O840" s="16" t="str">
        <f aca="false">IF(N840="","",COUNTIFS($N$2:$N$1201,"&lt;"&amp;N840,$F$2:$F$1201,"&gt;0")+1)</f>
        <v/>
      </c>
    </row>
    <row r="841" customFormat="false" ht="15" hidden="false" customHeight="false" outlineLevel="0" collapsed="false">
      <c r="A841" s="11" t="str">
        <f aca="false">IF(_LEITURA!$N841="","",INDEX(_LEITURA!$K$2:$K$1201,_LEITURA!$N841))</f>
        <v/>
      </c>
      <c r="B841" s="11" t="str">
        <f aca="false">IF(_LEITURA!$N841="","",INDEX(_LEITURA!$E$2:$E$1201,_LEITURA!$N841))</f>
        <v/>
      </c>
      <c r="C841" s="11" t="str">
        <f aca="false">IF(_LEITURA!$N841="","",INDEX(_LEITURA!$J$2:$J$1201,_LEITURA!$N841))</f>
        <v/>
      </c>
      <c r="D841" s="16" t="str">
        <f aca="false">IF(_LEITURA!$N841="","",INDEX(_LEITURA!$G$2:$G$1201,_LEITURA!$N841))</f>
        <v/>
      </c>
      <c r="E841" s="16" t="str">
        <f aca="false">IF(B841="","",SUMIFS(INVENTÁRIO!$C$2:$C$801,INVENTÁRIO!$A$2:$A$801,B841))</f>
        <v/>
      </c>
      <c r="F841" s="16" t="str">
        <f aca="false">IF(B841="","",MAX(0,D841-E841))</f>
        <v/>
      </c>
      <c r="G841" s="16" t="str">
        <f aca="false">IF(B841="","",IF(COUNTIFS($B$2:$B$1201,B841,$A$2:$A$1201,"&lt;&gt;"&amp;A841)&gt;0,"Sim",""))</f>
        <v/>
      </c>
      <c r="H841" s="16" t="str">
        <f aca="false">IF(N(F841)&gt;0,MAX(H$1:H840)+1,"")</f>
        <v/>
      </c>
      <c r="I841" s="11" t="str">
        <f aca="false">IF(B841="","",IF(INDEX($C$2:$C$1201,MATCH(B841,$B$2:$B$1201,0))&lt;&gt;C841,"Nome diferente em outro deck — revisar",""))</f>
        <v/>
      </c>
      <c r="J841" s="16" t="str">
        <f aca="false">IF(AND(B841&lt;&gt;"",A841=BULK!$A$1,N(F841)&gt;0),MAX(J$1:J840)+1,"")</f>
        <v/>
      </c>
      <c r="K841" s="11" t="str">
        <f aca="false">IF(B841="","",IFERROR(LEFT(B841,FIND("-",B841)-1),B841))</f>
        <v/>
      </c>
      <c r="L841" s="11" t="str">
        <f aca="false">IF(K841="","",IF(ISNUMBER(--MID(K841,1,1)),0,IF(ISNUMBER(--MID(K841,2,1)),1,IF(ISNUMBER(--MID(K841,3,1)),2,IF(ISNUMBER(--MID(K841,4,1)),3,MIN(LEN(K841),4))))))</f>
        <v/>
      </c>
      <c r="M841" s="11" t="str">
        <f aca="false">IF(B841="","",LEFT(K841,L841)&amp;REPT("0",4-L841)&amp;RIGHT("000"&amp;IFERROR(VALUE(MID(K841,L841+1,9)),0),3)&amp;RIGHT("0000"&amp;IFERROR(VALUE(MID(B841,FIND("-",B841)+1,9)),0),4))</f>
        <v/>
      </c>
      <c r="N841" s="11" t="str">
        <f aca="false">IF(OR(B841="",N(F841)&lt;=0),"",IF('FALTAS POR DECK'!$P$1="Código","K"&amp;M841&amp;RIGHT("00000"&amp;ROW(),5),IF('FALTAS POR DECK'!$P$1="Nome","K"&amp;UPPER(SUBSTITUTE(SUBSTITUTE(SUBSTITUTE(C841,"*",""),"?",""),"~",""))&amp;"0"&amp;M841&amp;RIGHT("00000"&amp;ROW(),5),IF('FALTAS POR DECK'!$P$1="Falta (maior primeiro)","K"&amp;RIGHT("0000"&amp;(9999-F841),4)&amp;M841&amp;RIGHT("00000"&amp;ROW(),5),IF('FALTAS POR DECK'!$P$1="Deck e código","K"&amp;RIGHT("00"&amp;IFERROR(MATCH(A841,_LEITURA!$P$2:$P$21,0),99),2)&amp;M841&amp;RIGHT("00000"&amp;ROW(),5),"K"&amp;RIGHT("00000"&amp;ROW(),5))))))</f>
        <v/>
      </c>
      <c r="O841" s="16" t="str">
        <f aca="false">IF(N841="","",COUNTIFS($N$2:$N$1201,"&lt;"&amp;N841,$F$2:$F$1201,"&gt;0")+1)</f>
        <v/>
      </c>
    </row>
    <row r="842" customFormat="false" ht="15" hidden="false" customHeight="false" outlineLevel="0" collapsed="false">
      <c r="A842" s="11" t="str">
        <f aca="false">IF(_LEITURA!$N842="","",INDEX(_LEITURA!$K$2:$K$1201,_LEITURA!$N842))</f>
        <v/>
      </c>
      <c r="B842" s="11" t="str">
        <f aca="false">IF(_LEITURA!$N842="","",INDEX(_LEITURA!$E$2:$E$1201,_LEITURA!$N842))</f>
        <v/>
      </c>
      <c r="C842" s="11" t="str">
        <f aca="false">IF(_LEITURA!$N842="","",INDEX(_LEITURA!$J$2:$J$1201,_LEITURA!$N842))</f>
        <v/>
      </c>
      <c r="D842" s="16" t="str">
        <f aca="false">IF(_LEITURA!$N842="","",INDEX(_LEITURA!$G$2:$G$1201,_LEITURA!$N842))</f>
        <v/>
      </c>
      <c r="E842" s="16" t="str">
        <f aca="false">IF(B842="","",SUMIFS(INVENTÁRIO!$C$2:$C$801,INVENTÁRIO!$A$2:$A$801,B842))</f>
        <v/>
      </c>
      <c r="F842" s="16" t="str">
        <f aca="false">IF(B842="","",MAX(0,D842-E842))</f>
        <v/>
      </c>
      <c r="G842" s="16" t="str">
        <f aca="false">IF(B842="","",IF(COUNTIFS($B$2:$B$1201,B842,$A$2:$A$1201,"&lt;&gt;"&amp;A842)&gt;0,"Sim",""))</f>
        <v/>
      </c>
      <c r="H842" s="16" t="str">
        <f aca="false">IF(N(F842)&gt;0,MAX(H$1:H841)+1,"")</f>
        <v/>
      </c>
      <c r="I842" s="11" t="str">
        <f aca="false">IF(B842="","",IF(INDEX($C$2:$C$1201,MATCH(B842,$B$2:$B$1201,0))&lt;&gt;C842,"Nome diferente em outro deck — revisar",""))</f>
        <v/>
      </c>
      <c r="J842" s="16" t="str">
        <f aca="false">IF(AND(B842&lt;&gt;"",A842=BULK!$A$1,N(F842)&gt;0),MAX(J$1:J841)+1,"")</f>
        <v/>
      </c>
      <c r="K842" s="11" t="str">
        <f aca="false">IF(B842="","",IFERROR(LEFT(B842,FIND("-",B842)-1),B842))</f>
        <v/>
      </c>
      <c r="L842" s="11" t="str">
        <f aca="false">IF(K842="","",IF(ISNUMBER(--MID(K842,1,1)),0,IF(ISNUMBER(--MID(K842,2,1)),1,IF(ISNUMBER(--MID(K842,3,1)),2,IF(ISNUMBER(--MID(K842,4,1)),3,MIN(LEN(K842),4))))))</f>
        <v/>
      </c>
      <c r="M842" s="11" t="str">
        <f aca="false">IF(B842="","",LEFT(K842,L842)&amp;REPT("0",4-L842)&amp;RIGHT("000"&amp;IFERROR(VALUE(MID(K842,L842+1,9)),0),3)&amp;RIGHT("0000"&amp;IFERROR(VALUE(MID(B842,FIND("-",B842)+1,9)),0),4))</f>
        <v/>
      </c>
      <c r="N842" s="11" t="str">
        <f aca="false">IF(OR(B842="",N(F842)&lt;=0),"",IF('FALTAS POR DECK'!$P$1="Código","K"&amp;M842&amp;RIGHT("00000"&amp;ROW(),5),IF('FALTAS POR DECK'!$P$1="Nome","K"&amp;UPPER(SUBSTITUTE(SUBSTITUTE(SUBSTITUTE(C842,"*",""),"?",""),"~",""))&amp;"0"&amp;M842&amp;RIGHT("00000"&amp;ROW(),5),IF('FALTAS POR DECK'!$P$1="Falta (maior primeiro)","K"&amp;RIGHT("0000"&amp;(9999-F842),4)&amp;M842&amp;RIGHT("00000"&amp;ROW(),5),IF('FALTAS POR DECK'!$P$1="Deck e código","K"&amp;RIGHT("00"&amp;IFERROR(MATCH(A842,_LEITURA!$P$2:$P$21,0),99),2)&amp;M842&amp;RIGHT("00000"&amp;ROW(),5),"K"&amp;RIGHT("00000"&amp;ROW(),5))))))</f>
        <v/>
      </c>
      <c r="O842" s="16" t="str">
        <f aca="false">IF(N842="","",COUNTIFS($N$2:$N$1201,"&lt;"&amp;N842,$F$2:$F$1201,"&gt;0")+1)</f>
        <v/>
      </c>
    </row>
    <row r="843" customFormat="false" ht="15" hidden="false" customHeight="false" outlineLevel="0" collapsed="false">
      <c r="A843" s="11" t="str">
        <f aca="false">IF(_LEITURA!$N843="","",INDEX(_LEITURA!$K$2:$K$1201,_LEITURA!$N843))</f>
        <v/>
      </c>
      <c r="B843" s="11" t="str">
        <f aca="false">IF(_LEITURA!$N843="","",INDEX(_LEITURA!$E$2:$E$1201,_LEITURA!$N843))</f>
        <v/>
      </c>
      <c r="C843" s="11" t="str">
        <f aca="false">IF(_LEITURA!$N843="","",INDEX(_LEITURA!$J$2:$J$1201,_LEITURA!$N843))</f>
        <v/>
      </c>
      <c r="D843" s="16" t="str">
        <f aca="false">IF(_LEITURA!$N843="","",INDEX(_LEITURA!$G$2:$G$1201,_LEITURA!$N843))</f>
        <v/>
      </c>
      <c r="E843" s="16" t="str">
        <f aca="false">IF(B843="","",SUMIFS(INVENTÁRIO!$C$2:$C$801,INVENTÁRIO!$A$2:$A$801,B843))</f>
        <v/>
      </c>
      <c r="F843" s="16" t="str">
        <f aca="false">IF(B843="","",MAX(0,D843-E843))</f>
        <v/>
      </c>
      <c r="G843" s="16" t="str">
        <f aca="false">IF(B843="","",IF(COUNTIFS($B$2:$B$1201,B843,$A$2:$A$1201,"&lt;&gt;"&amp;A843)&gt;0,"Sim",""))</f>
        <v/>
      </c>
      <c r="H843" s="16" t="str">
        <f aca="false">IF(N(F843)&gt;0,MAX(H$1:H842)+1,"")</f>
        <v/>
      </c>
      <c r="I843" s="11" t="str">
        <f aca="false">IF(B843="","",IF(INDEX($C$2:$C$1201,MATCH(B843,$B$2:$B$1201,0))&lt;&gt;C843,"Nome diferente em outro deck — revisar",""))</f>
        <v/>
      </c>
      <c r="J843" s="16" t="str">
        <f aca="false">IF(AND(B843&lt;&gt;"",A843=BULK!$A$1,N(F843)&gt;0),MAX(J$1:J842)+1,"")</f>
        <v/>
      </c>
      <c r="K843" s="11" t="str">
        <f aca="false">IF(B843="","",IFERROR(LEFT(B843,FIND("-",B843)-1),B843))</f>
        <v/>
      </c>
      <c r="L843" s="11" t="str">
        <f aca="false">IF(K843="","",IF(ISNUMBER(--MID(K843,1,1)),0,IF(ISNUMBER(--MID(K843,2,1)),1,IF(ISNUMBER(--MID(K843,3,1)),2,IF(ISNUMBER(--MID(K843,4,1)),3,MIN(LEN(K843),4))))))</f>
        <v/>
      </c>
      <c r="M843" s="11" t="str">
        <f aca="false">IF(B843="","",LEFT(K843,L843)&amp;REPT("0",4-L843)&amp;RIGHT("000"&amp;IFERROR(VALUE(MID(K843,L843+1,9)),0),3)&amp;RIGHT("0000"&amp;IFERROR(VALUE(MID(B843,FIND("-",B843)+1,9)),0),4))</f>
        <v/>
      </c>
      <c r="N843" s="11" t="str">
        <f aca="false">IF(OR(B843="",N(F843)&lt;=0),"",IF('FALTAS POR DECK'!$P$1="Código","K"&amp;M843&amp;RIGHT("00000"&amp;ROW(),5),IF('FALTAS POR DECK'!$P$1="Nome","K"&amp;UPPER(SUBSTITUTE(SUBSTITUTE(SUBSTITUTE(C843,"*",""),"?",""),"~",""))&amp;"0"&amp;M843&amp;RIGHT("00000"&amp;ROW(),5),IF('FALTAS POR DECK'!$P$1="Falta (maior primeiro)","K"&amp;RIGHT("0000"&amp;(9999-F843),4)&amp;M843&amp;RIGHT("00000"&amp;ROW(),5),IF('FALTAS POR DECK'!$P$1="Deck e código","K"&amp;RIGHT("00"&amp;IFERROR(MATCH(A843,_LEITURA!$P$2:$P$21,0),99),2)&amp;M843&amp;RIGHT("00000"&amp;ROW(),5),"K"&amp;RIGHT("00000"&amp;ROW(),5))))))</f>
        <v/>
      </c>
      <c r="O843" s="16" t="str">
        <f aca="false">IF(N843="","",COUNTIFS($N$2:$N$1201,"&lt;"&amp;N843,$F$2:$F$1201,"&gt;0")+1)</f>
        <v/>
      </c>
    </row>
    <row r="844" customFormat="false" ht="15" hidden="false" customHeight="false" outlineLevel="0" collapsed="false">
      <c r="A844" s="11" t="str">
        <f aca="false">IF(_LEITURA!$N844="","",INDEX(_LEITURA!$K$2:$K$1201,_LEITURA!$N844))</f>
        <v/>
      </c>
      <c r="B844" s="11" t="str">
        <f aca="false">IF(_LEITURA!$N844="","",INDEX(_LEITURA!$E$2:$E$1201,_LEITURA!$N844))</f>
        <v/>
      </c>
      <c r="C844" s="11" t="str">
        <f aca="false">IF(_LEITURA!$N844="","",INDEX(_LEITURA!$J$2:$J$1201,_LEITURA!$N844))</f>
        <v/>
      </c>
      <c r="D844" s="16" t="str">
        <f aca="false">IF(_LEITURA!$N844="","",INDEX(_LEITURA!$G$2:$G$1201,_LEITURA!$N844))</f>
        <v/>
      </c>
      <c r="E844" s="16" t="str">
        <f aca="false">IF(B844="","",SUMIFS(INVENTÁRIO!$C$2:$C$801,INVENTÁRIO!$A$2:$A$801,B844))</f>
        <v/>
      </c>
      <c r="F844" s="16" t="str">
        <f aca="false">IF(B844="","",MAX(0,D844-E844))</f>
        <v/>
      </c>
      <c r="G844" s="16" t="str">
        <f aca="false">IF(B844="","",IF(COUNTIFS($B$2:$B$1201,B844,$A$2:$A$1201,"&lt;&gt;"&amp;A844)&gt;0,"Sim",""))</f>
        <v/>
      </c>
      <c r="H844" s="16" t="str">
        <f aca="false">IF(N(F844)&gt;0,MAX(H$1:H843)+1,"")</f>
        <v/>
      </c>
      <c r="I844" s="11" t="str">
        <f aca="false">IF(B844="","",IF(INDEX($C$2:$C$1201,MATCH(B844,$B$2:$B$1201,0))&lt;&gt;C844,"Nome diferente em outro deck — revisar",""))</f>
        <v/>
      </c>
      <c r="J844" s="16" t="str">
        <f aca="false">IF(AND(B844&lt;&gt;"",A844=BULK!$A$1,N(F844)&gt;0),MAX(J$1:J843)+1,"")</f>
        <v/>
      </c>
      <c r="K844" s="11" t="str">
        <f aca="false">IF(B844="","",IFERROR(LEFT(B844,FIND("-",B844)-1),B844))</f>
        <v/>
      </c>
      <c r="L844" s="11" t="str">
        <f aca="false">IF(K844="","",IF(ISNUMBER(--MID(K844,1,1)),0,IF(ISNUMBER(--MID(K844,2,1)),1,IF(ISNUMBER(--MID(K844,3,1)),2,IF(ISNUMBER(--MID(K844,4,1)),3,MIN(LEN(K844),4))))))</f>
        <v/>
      </c>
      <c r="M844" s="11" t="str">
        <f aca="false">IF(B844="","",LEFT(K844,L844)&amp;REPT("0",4-L844)&amp;RIGHT("000"&amp;IFERROR(VALUE(MID(K844,L844+1,9)),0),3)&amp;RIGHT("0000"&amp;IFERROR(VALUE(MID(B844,FIND("-",B844)+1,9)),0),4))</f>
        <v/>
      </c>
      <c r="N844" s="11" t="str">
        <f aca="false">IF(OR(B844="",N(F844)&lt;=0),"",IF('FALTAS POR DECK'!$P$1="Código","K"&amp;M844&amp;RIGHT("00000"&amp;ROW(),5),IF('FALTAS POR DECK'!$P$1="Nome","K"&amp;UPPER(SUBSTITUTE(SUBSTITUTE(SUBSTITUTE(C844,"*",""),"?",""),"~",""))&amp;"0"&amp;M844&amp;RIGHT("00000"&amp;ROW(),5),IF('FALTAS POR DECK'!$P$1="Falta (maior primeiro)","K"&amp;RIGHT("0000"&amp;(9999-F844),4)&amp;M844&amp;RIGHT("00000"&amp;ROW(),5),IF('FALTAS POR DECK'!$P$1="Deck e código","K"&amp;RIGHT("00"&amp;IFERROR(MATCH(A844,_LEITURA!$P$2:$P$21,0),99),2)&amp;M844&amp;RIGHT("00000"&amp;ROW(),5),"K"&amp;RIGHT("00000"&amp;ROW(),5))))))</f>
        <v/>
      </c>
      <c r="O844" s="16" t="str">
        <f aca="false">IF(N844="","",COUNTIFS($N$2:$N$1201,"&lt;"&amp;N844,$F$2:$F$1201,"&gt;0")+1)</f>
        <v/>
      </c>
    </row>
    <row r="845" customFormat="false" ht="15" hidden="false" customHeight="false" outlineLevel="0" collapsed="false">
      <c r="A845" s="11" t="str">
        <f aca="false">IF(_LEITURA!$N845="","",INDEX(_LEITURA!$K$2:$K$1201,_LEITURA!$N845))</f>
        <v/>
      </c>
      <c r="B845" s="11" t="str">
        <f aca="false">IF(_LEITURA!$N845="","",INDEX(_LEITURA!$E$2:$E$1201,_LEITURA!$N845))</f>
        <v/>
      </c>
      <c r="C845" s="11" t="str">
        <f aca="false">IF(_LEITURA!$N845="","",INDEX(_LEITURA!$J$2:$J$1201,_LEITURA!$N845))</f>
        <v/>
      </c>
      <c r="D845" s="16" t="str">
        <f aca="false">IF(_LEITURA!$N845="","",INDEX(_LEITURA!$G$2:$G$1201,_LEITURA!$N845))</f>
        <v/>
      </c>
      <c r="E845" s="16" t="str">
        <f aca="false">IF(B845="","",SUMIFS(INVENTÁRIO!$C$2:$C$801,INVENTÁRIO!$A$2:$A$801,B845))</f>
        <v/>
      </c>
      <c r="F845" s="16" t="str">
        <f aca="false">IF(B845="","",MAX(0,D845-E845))</f>
        <v/>
      </c>
      <c r="G845" s="16" t="str">
        <f aca="false">IF(B845="","",IF(COUNTIFS($B$2:$B$1201,B845,$A$2:$A$1201,"&lt;&gt;"&amp;A845)&gt;0,"Sim",""))</f>
        <v/>
      </c>
      <c r="H845" s="16" t="str">
        <f aca="false">IF(N(F845)&gt;0,MAX(H$1:H844)+1,"")</f>
        <v/>
      </c>
      <c r="I845" s="11" t="str">
        <f aca="false">IF(B845="","",IF(INDEX($C$2:$C$1201,MATCH(B845,$B$2:$B$1201,0))&lt;&gt;C845,"Nome diferente em outro deck — revisar",""))</f>
        <v/>
      </c>
      <c r="J845" s="16" t="str">
        <f aca="false">IF(AND(B845&lt;&gt;"",A845=BULK!$A$1,N(F845)&gt;0),MAX(J$1:J844)+1,"")</f>
        <v/>
      </c>
      <c r="K845" s="11" t="str">
        <f aca="false">IF(B845="","",IFERROR(LEFT(B845,FIND("-",B845)-1),B845))</f>
        <v/>
      </c>
      <c r="L845" s="11" t="str">
        <f aca="false">IF(K845="","",IF(ISNUMBER(--MID(K845,1,1)),0,IF(ISNUMBER(--MID(K845,2,1)),1,IF(ISNUMBER(--MID(K845,3,1)),2,IF(ISNUMBER(--MID(K845,4,1)),3,MIN(LEN(K845),4))))))</f>
        <v/>
      </c>
      <c r="M845" s="11" t="str">
        <f aca="false">IF(B845="","",LEFT(K845,L845)&amp;REPT("0",4-L845)&amp;RIGHT("000"&amp;IFERROR(VALUE(MID(K845,L845+1,9)),0),3)&amp;RIGHT("0000"&amp;IFERROR(VALUE(MID(B845,FIND("-",B845)+1,9)),0),4))</f>
        <v/>
      </c>
      <c r="N845" s="11" t="str">
        <f aca="false">IF(OR(B845="",N(F845)&lt;=0),"",IF('FALTAS POR DECK'!$P$1="Código","K"&amp;M845&amp;RIGHT("00000"&amp;ROW(),5),IF('FALTAS POR DECK'!$P$1="Nome","K"&amp;UPPER(SUBSTITUTE(SUBSTITUTE(SUBSTITUTE(C845,"*",""),"?",""),"~",""))&amp;"0"&amp;M845&amp;RIGHT("00000"&amp;ROW(),5),IF('FALTAS POR DECK'!$P$1="Falta (maior primeiro)","K"&amp;RIGHT("0000"&amp;(9999-F845),4)&amp;M845&amp;RIGHT("00000"&amp;ROW(),5),IF('FALTAS POR DECK'!$P$1="Deck e código","K"&amp;RIGHT("00"&amp;IFERROR(MATCH(A845,_LEITURA!$P$2:$P$21,0),99),2)&amp;M845&amp;RIGHT("00000"&amp;ROW(),5),"K"&amp;RIGHT("00000"&amp;ROW(),5))))))</f>
        <v/>
      </c>
      <c r="O845" s="16" t="str">
        <f aca="false">IF(N845="","",COUNTIFS($N$2:$N$1201,"&lt;"&amp;N845,$F$2:$F$1201,"&gt;0")+1)</f>
        <v/>
      </c>
    </row>
    <row r="846" customFormat="false" ht="15" hidden="false" customHeight="false" outlineLevel="0" collapsed="false">
      <c r="A846" s="11" t="str">
        <f aca="false">IF(_LEITURA!$N846="","",INDEX(_LEITURA!$K$2:$K$1201,_LEITURA!$N846))</f>
        <v/>
      </c>
      <c r="B846" s="11" t="str">
        <f aca="false">IF(_LEITURA!$N846="","",INDEX(_LEITURA!$E$2:$E$1201,_LEITURA!$N846))</f>
        <v/>
      </c>
      <c r="C846" s="11" t="str">
        <f aca="false">IF(_LEITURA!$N846="","",INDEX(_LEITURA!$J$2:$J$1201,_LEITURA!$N846))</f>
        <v/>
      </c>
      <c r="D846" s="16" t="str">
        <f aca="false">IF(_LEITURA!$N846="","",INDEX(_LEITURA!$G$2:$G$1201,_LEITURA!$N846))</f>
        <v/>
      </c>
      <c r="E846" s="16" t="str">
        <f aca="false">IF(B846="","",SUMIFS(INVENTÁRIO!$C$2:$C$801,INVENTÁRIO!$A$2:$A$801,B846))</f>
        <v/>
      </c>
      <c r="F846" s="16" t="str">
        <f aca="false">IF(B846="","",MAX(0,D846-E846))</f>
        <v/>
      </c>
      <c r="G846" s="16" t="str">
        <f aca="false">IF(B846="","",IF(COUNTIFS($B$2:$B$1201,B846,$A$2:$A$1201,"&lt;&gt;"&amp;A846)&gt;0,"Sim",""))</f>
        <v/>
      </c>
      <c r="H846" s="16" t="str">
        <f aca="false">IF(N(F846)&gt;0,MAX(H$1:H845)+1,"")</f>
        <v/>
      </c>
      <c r="I846" s="11" t="str">
        <f aca="false">IF(B846="","",IF(INDEX($C$2:$C$1201,MATCH(B846,$B$2:$B$1201,0))&lt;&gt;C846,"Nome diferente em outro deck — revisar",""))</f>
        <v/>
      </c>
      <c r="J846" s="16" t="str">
        <f aca="false">IF(AND(B846&lt;&gt;"",A846=BULK!$A$1,N(F846)&gt;0),MAX(J$1:J845)+1,"")</f>
        <v/>
      </c>
      <c r="K846" s="11" t="str">
        <f aca="false">IF(B846="","",IFERROR(LEFT(B846,FIND("-",B846)-1),B846))</f>
        <v/>
      </c>
      <c r="L846" s="11" t="str">
        <f aca="false">IF(K846="","",IF(ISNUMBER(--MID(K846,1,1)),0,IF(ISNUMBER(--MID(K846,2,1)),1,IF(ISNUMBER(--MID(K846,3,1)),2,IF(ISNUMBER(--MID(K846,4,1)),3,MIN(LEN(K846),4))))))</f>
        <v/>
      </c>
      <c r="M846" s="11" t="str">
        <f aca="false">IF(B846="","",LEFT(K846,L846)&amp;REPT("0",4-L846)&amp;RIGHT("000"&amp;IFERROR(VALUE(MID(K846,L846+1,9)),0),3)&amp;RIGHT("0000"&amp;IFERROR(VALUE(MID(B846,FIND("-",B846)+1,9)),0),4))</f>
        <v/>
      </c>
      <c r="N846" s="11" t="str">
        <f aca="false">IF(OR(B846="",N(F846)&lt;=0),"",IF('FALTAS POR DECK'!$P$1="Código","K"&amp;M846&amp;RIGHT("00000"&amp;ROW(),5),IF('FALTAS POR DECK'!$P$1="Nome","K"&amp;UPPER(SUBSTITUTE(SUBSTITUTE(SUBSTITUTE(C846,"*",""),"?",""),"~",""))&amp;"0"&amp;M846&amp;RIGHT("00000"&amp;ROW(),5),IF('FALTAS POR DECK'!$P$1="Falta (maior primeiro)","K"&amp;RIGHT("0000"&amp;(9999-F846),4)&amp;M846&amp;RIGHT("00000"&amp;ROW(),5),IF('FALTAS POR DECK'!$P$1="Deck e código","K"&amp;RIGHT("00"&amp;IFERROR(MATCH(A846,_LEITURA!$P$2:$P$21,0),99),2)&amp;M846&amp;RIGHT("00000"&amp;ROW(),5),"K"&amp;RIGHT("00000"&amp;ROW(),5))))))</f>
        <v/>
      </c>
      <c r="O846" s="16" t="str">
        <f aca="false">IF(N846="","",COUNTIFS($N$2:$N$1201,"&lt;"&amp;N846,$F$2:$F$1201,"&gt;0")+1)</f>
        <v/>
      </c>
    </row>
    <row r="847" customFormat="false" ht="15" hidden="false" customHeight="false" outlineLevel="0" collapsed="false">
      <c r="A847" s="11" t="str">
        <f aca="false">IF(_LEITURA!$N847="","",INDEX(_LEITURA!$K$2:$K$1201,_LEITURA!$N847))</f>
        <v/>
      </c>
      <c r="B847" s="11" t="str">
        <f aca="false">IF(_LEITURA!$N847="","",INDEX(_LEITURA!$E$2:$E$1201,_LEITURA!$N847))</f>
        <v/>
      </c>
      <c r="C847" s="11" t="str">
        <f aca="false">IF(_LEITURA!$N847="","",INDEX(_LEITURA!$J$2:$J$1201,_LEITURA!$N847))</f>
        <v/>
      </c>
      <c r="D847" s="16" t="str">
        <f aca="false">IF(_LEITURA!$N847="","",INDEX(_LEITURA!$G$2:$G$1201,_LEITURA!$N847))</f>
        <v/>
      </c>
      <c r="E847" s="16" t="str">
        <f aca="false">IF(B847="","",SUMIFS(INVENTÁRIO!$C$2:$C$801,INVENTÁRIO!$A$2:$A$801,B847))</f>
        <v/>
      </c>
      <c r="F847" s="16" t="str">
        <f aca="false">IF(B847="","",MAX(0,D847-E847))</f>
        <v/>
      </c>
      <c r="G847" s="16" t="str">
        <f aca="false">IF(B847="","",IF(COUNTIFS($B$2:$B$1201,B847,$A$2:$A$1201,"&lt;&gt;"&amp;A847)&gt;0,"Sim",""))</f>
        <v/>
      </c>
      <c r="H847" s="16" t="str">
        <f aca="false">IF(N(F847)&gt;0,MAX(H$1:H846)+1,"")</f>
        <v/>
      </c>
      <c r="I847" s="11" t="str">
        <f aca="false">IF(B847="","",IF(INDEX($C$2:$C$1201,MATCH(B847,$B$2:$B$1201,0))&lt;&gt;C847,"Nome diferente em outro deck — revisar",""))</f>
        <v/>
      </c>
      <c r="J847" s="16" t="str">
        <f aca="false">IF(AND(B847&lt;&gt;"",A847=BULK!$A$1,N(F847)&gt;0),MAX(J$1:J846)+1,"")</f>
        <v/>
      </c>
      <c r="K847" s="11" t="str">
        <f aca="false">IF(B847="","",IFERROR(LEFT(B847,FIND("-",B847)-1),B847))</f>
        <v/>
      </c>
      <c r="L847" s="11" t="str">
        <f aca="false">IF(K847="","",IF(ISNUMBER(--MID(K847,1,1)),0,IF(ISNUMBER(--MID(K847,2,1)),1,IF(ISNUMBER(--MID(K847,3,1)),2,IF(ISNUMBER(--MID(K847,4,1)),3,MIN(LEN(K847),4))))))</f>
        <v/>
      </c>
      <c r="M847" s="11" t="str">
        <f aca="false">IF(B847="","",LEFT(K847,L847)&amp;REPT("0",4-L847)&amp;RIGHT("000"&amp;IFERROR(VALUE(MID(K847,L847+1,9)),0),3)&amp;RIGHT("0000"&amp;IFERROR(VALUE(MID(B847,FIND("-",B847)+1,9)),0),4))</f>
        <v/>
      </c>
      <c r="N847" s="11" t="str">
        <f aca="false">IF(OR(B847="",N(F847)&lt;=0),"",IF('FALTAS POR DECK'!$P$1="Código","K"&amp;M847&amp;RIGHT("00000"&amp;ROW(),5),IF('FALTAS POR DECK'!$P$1="Nome","K"&amp;UPPER(SUBSTITUTE(SUBSTITUTE(SUBSTITUTE(C847,"*",""),"?",""),"~",""))&amp;"0"&amp;M847&amp;RIGHT("00000"&amp;ROW(),5),IF('FALTAS POR DECK'!$P$1="Falta (maior primeiro)","K"&amp;RIGHT("0000"&amp;(9999-F847),4)&amp;M847&amp;RIGHT("00000"&amp;ROW(),5),IF('FALTAS POR DECK'!$P$1="Deck e código","K"&amp;RIGHT("00"&amp;IFERROR(MATCH(A847,_LEITURA!$P$2:$P$21,0),99),2)&amp;M847&amp;RIGHT("00000"&amp;ROW(),5),"K"&amp;RIGHT("00000"&amp;ROW(),5))))))</f>
        <v/>
      </c>
      <c r="O847" s="16" t="str">
        <f aca="false">IF(N847="","",COUNTIFS($N$2:$N$1201,"&lt;"&amp;N847,$F$2:$F$1201,"&gt;0")+1)</f>
        <v/>
      </c>
    </row>
    <row r="848" customFormat="false" ht="15" hidden="false" customHeight="false" outlineLevel="0" collapsed="false">
      <c r="A848" s="11" t="str">
        <f aca="false">IF(_LEITURA!$N848="","",INDEX(_LEITURA!$K$2:$K$1201,_LEITURA!$N848))</f>
        <v/>
      </c>
      <c r="B848" s="11" t="str">
        <f aca="false">IF(_LEITURA!$N848="","",INDEX(_LEITURA!$E$2:$E$1201,_LEITURA!$N848))</f>
        <v/>
      </c>
      <c r="C848" s="11" t="str">
        <f aca="false">IF(_LEITURA!$N848="","",INDEX(_LEITURA!$J$2:$J$1201,_LEITURA!$N848))</f>
        <v/>
      </c>
      <c r="D848" s="16" t="str">
        <f aca="false">IF(_LEITURA!$N848="","",INDEX(_LEITURA!$G$2:$G$1201,_LEITURA!$N848))</f>
        <v/>
      </c>
      <c r="E848" s="16" t="str">
        <f aca="false">IF(B848="","",SUMIFS(INVENTÁRIO!$C$2:$C$801,INVENTÁRIO!$A$2:$A$801,B848))</f>
        <v/>
      </c>
      <c r="F848" s="16" t="str">
        <f aca="false">IF(B848="","",MAX(0,D848-E848))</f>
        <v/>
      </c>
      <c r="G848" s="16" t="str">
        <f aca="false">IF(B848="","",IF(COUNTIFS($B$2:$B$1201,B848,$A$2:$A$1201,"&lt;&gt;"&amp;A848)&gt;0,"Sim",""))</f>
        <v/>
      </c>
      <c r="H848" s="16" t="str">
        <f aca="false">IF(N(F848)&gt;0,MAX(H$1:H847)+1,"")</f>
        <v/>
      </c>
      <c r="I848" s="11" t="str">
        <f aca="false">IF(B848="","",IF(INDEX($C$2:$C$1201,MATCH(B848,$B$2:$B$1201,0))&lt;&gt;C848,"Nome diferente em outro deck — revisar",""))</f>
        <v/>
      </c>
      <c r="J848" s="16" t="str">
        <f aca="false">IF(AND(B848&lt;&gt;"",A848=BULK!$A$1,N(F848)&gt;0),MAX(J$1:J847)+1,"")</f>
        <v/>
      </c>
      <c r="K848" s="11" t="str">
        <f aca="false">IF(B848="","",IFERROR(LEFT(B848,FIND("-",B848)-1),B848))</f>
        <v/>
      </c>
      <c r="L848" s="11" t="str">
        <f aca="false">IF(K848="","",IF(ISNUMBER(--MID(K848,1,1)),0,IF(ISNUMBER(--MID(K848,2,1)),1,IF(ISNUMBER(--MID(K848,3,1)),2,IF(ISNUMBER(--MID(K848,4,1)),3,MIN(LEN(K848),4))))))</f>
        <v/>
      </c>
      <c r="M848" s="11" t="str">
        <f aca="false">IF(B848="","",LEFT(K848,L848)&amp;REPT("0",4-L848)&amp;RIGHT("000"&amp;IFERROR(VALUE(MID(K848,L848+1,9)),0),3)&amp;RIGHT("0000"&amp;IFERROR(VALUE(MID(B848,FIND("-",B848)+1,9)),0),4))</f>
        <v/>
      </c>
      <c r="N848" s="11" t="str">
        <f aca="false">IF(OR(B848="",N(F848)&lt;=0),"",IF('FALTAS POR DECK'!$P$1="Código","K"&amp;M848&amp;RIGHT("00000"&amp;ROW(),5),IF('FALTAS POR DECK'!$P$1="Nome","K"&amp;UPPER(SUBSTITUTE(SUBSTITUTE(SUBSTITUTE(C848,"*",""),"?",""),"~",""))&amp;"0"&amp;M848&amp;RIGHT("00000"&amp;ROW(),5),IF('FALTAS POR DECK'!$P$1="Falta (maior primeiro)","K"&amp;RIGHT("0000"&amp;(9999-F848),4)&amp;M848&amp;RIGHT("00000"&amp;ROW(),5),IF('FALTAS POR DECK'!$P$1="Deck e código","K"&amp;RIGHT("00"&amp;IFERROR(MATCH(A848,_LEITURA!$P$2:$P$21,0),99),2)&amp;M848&amp;RIGHT("00000"&amp;ROW(),5),"K"&amp;RIGHT("00000"&amp;ROW(),5))))))</f>
        <v/>
      </c>
      <c r="O848" s="16" t="str">
        <f aca="false">IF(N848="","",COUNTIFS($N$2:$N$1201,"&lt;"&amp;N848,$F$2:$F$1201,"&gt;0")+1)</f>
        <v/>
      </c>
    </row>
    <row r="849" customFormat="false" ht="15" hidden="false" customHeight="false" outlineLevel="0" collapsed="false">
      <c r="A849" s="11" t="str">
        <f aca="false">IF(_LEITURA!$N849="","",INDEX(_LEITURA!$K$2:$K$1201,_LEITURA!$N849))</f>
        <v/>
      </c>
      <c r="B849" s="11" t="str">
        <f aca="false">IF(_LEITURA!$N849="","",INDEX(_LEITURA!$E$2:$E$1201,_LEITURA!$N849))</f>
        <v/>
      </c>
      <c r="C849" s="11" t="str">
        <f aca="false">IF(_LEITURA!$N849="","",INDEX(_LEITURA!$J$2:$J$1201,_LEITURA!$N849))</f>
        <v/>
      </c>
      <c r="D849" s="16" t="str">
        <f aca="false">IF(_LEITURA!$N849="","",INDEX(_LEITURA!$G$2:$G$1201,_LEITURA!$N849))</f>
        <v/>
      </c>
      <c r="E849" s="16" t="str">
        <f aca="false">IF(B849="","",SUMIFS(INVENTÁRIO!$C$2:$C$801,INVENTÁRIO!$A$2:$A$801,B849))</f>
        <v/>
      </c>
      <c r="F849" s="16" t="str">
        <f aca="false">IF(B849="","",MAX(0,D849-E849))</f>
        <v/>
      </c>
      <c r="G849" s="16" t="str">
        <f aca="false">IF(B849="","",IF(COUNTIFS($B$2:$B$1201,B849,$A$2:$A$1201,"&lt;&gt;"&amp;A849)&gt;0,"Sim",""))</f>
        <v/>
      </c>
      <c r="H849" s="16" t="str">
        <f aca="false">IF(N(F849)&gt;0,MAX(H$1:H848)+1,"")</f>
        <v/>
      </c>
      <c r="I849" s="11" t="str">
        <f aca="false">IF(B849="","",IF(INDEX($C$2:$C$1201,MATCH(B849,$B$2:$B$1201,0))&lt;&gt;C849,"Nome diferente em outro deck — revisar",""))</f>
        <v/>
      </c>
      <c r="J849" s="16" t="str">
        <f aca="false">IF(AND(B849&lt;&gt;"",A849=BULK!$A$1,N(F849)&gt;0),MAX(J$1:J848)+1,"")</f>
        <v/>
      </c>
      <c r="K849" s="11" t="str">
        <f aca="false">IF(B849="","",IFERROR(LEFT(B849,FIND("-",B849)-1),B849))</f>
        <v/>
      </c>
      <c r="L849" s="11" t="str">
        <f aca="false">IF(K849="","",IF(ISNUMBER(--MID(K849,1,1)),0,IF(ISNUMBER(--MID(K849,2,1)),1,IF(ISNUMBER(--MID(K849,3,1)),2,IF(ISNUMBER(--MID(K849,4,1)),3,MIN(LEN(K849),4))))))</f>
        <v/>
      </c>
      <c r="M849" s="11" t="str">
        <f aca="false">IF(B849="","",LEFT(K849,L849)&amp;REPT("0",4-L849)&amp;RIGHT("000"&amp;IFERROR(VALUE(MID(K849,L849+1,9)),0),3)&amp;RIGHT("0000"&amp;IFERROR(VALUE(MID(B849,FIND("-",B849)+1,9)),0),4))</f>
        <v/>
      </c>
      <c r="N849" s="11" t="str">
        <f aca="false">IF(OR(B849="",N(F849)&lt;=0),"",IF('FALTAS POR DECK'!$P$1="Código","K"&amp;M849&amp;RIGHT("00000"&amp;ROW(),5),IF('FALTAS POR DECK'!$P$1="Nome","K"&amp;UPPER(SUBSTITUTE(SUBSTITUTE(SUBSTITUTE(C849,"*",""),"?",""),"~",""))&amp;"0"&amp;M849&amp;RIGHT("00000"&amp;ROW(),5),IF('FALTAS POR DECK'!$P$1="Falta (maior primeiro)","K"&amp;RIGHT("0000"&amp;(9999-F849),4)&amp;M849&amp;RIGHT("00000"&amp;ROW(),5),IF('FALTAS POR DECK'!$P$1="Deck e código","K"&amp;RIGHT("00"&amp;IFERROR(MATCH(A849,_LEITURA!$P$2:$P$21,0),99),2)&amp;M849&amp;RIGHT("00000"&amp;ROW(),5),"K"&amp;RIGHT("00000"&amp;ROW(),5))))))</f>
        <v/>
      </c>
      <c r="O849" s="16" t="str">
        <f aca="false">IF(N849="","",COUNTIFS($N$2:$N$1201,"&lt;"&amp;N849,$F$2:$F$1201,"&gt;0")+1)</f>
        <v/>
      </c>
    </row>
    <row r="850" customFormat="false" ht="15" hidden="false" customHeight="false" outlineLevel="0" collapsed="false">
      <c r="A850" s="11" t="str">
        <f aca="false">IF(_LEITURA!$N850="","",INDEX(_LEITURA!$K$2:$K$1201,_LEITURA!$N850))</f>
        <v/>
      </c>
      <c r="B850" s="11" t="str">
        <f aca="false">IF(_LEITURA!$N850="","",INDEX(_LEITURA!$E$2:$E$1201,_LEITURA!$N850))</f>
        <v/>
      </c>
      <c r="C850" s="11" t="str">
        <f aca="false">IF(_LEITURA!$N850="","",INDEX(_LEITURA!$J$2:$J$1201,_LEITURA!$N850))</f>
        <v/>
      </c>
      <c r="D850" s="16" t="str">
        <f aca="false">IF(_LEITURA!$N850="","",INDEX(_LEITURA!$G$2:$G$1201,_LEITURA!$N850))</f>
        <v/>
      </c>
      <c r="E850" s="16" t="str">
        <f aca="false">IF(B850="","",SUMIFS(INVENTÁRIO!$C$2:$C$801,INVENTÁRIO!$A$2:$A$801,B850))</f>
        <v/>
      </c>
      <c r="F850" s="16" t="str">
        <f aca="false">IF(B850="","",MAX(0,D850-E850))</f>
        <v/>
      </c>
      <c r="G850" s="16" t="str">
        <f aca="false">IF(B850="","",IF(COUNTIFS($B$2:$B$1201,B850,$A$2:$A$1201,"&lt;&gt;"&amp;A850)&gt;0,"Sim",""))</f>
        <v/>
      </c>
      <c r="H850" s="16" t="str">
        <f aca="false">IF(N(F850)&gt;0,MAX(H$1:H849)+1,"")</f>
        <v/>
      </c>
      <c r="I850" s="11" t="str">
        <f aca="false">IF(B850="","",IF(INDEX($C$2:$C$1201,MATCH(B850,$B$2:$B$1201,0))&lt;&gt;C850,"Nome diferente em outro deck — revisar",""))</f>
        <v/>
      </c>
      <c r="J850" s="16" t="str">
        <f aca="false">IF(AND(B850&lt;&gt;"",A850=BULK!$A$1,N(F850)&gt;0),MAX(J$1:J849)+1,"")</f>
        <v/>
      </c>
      <c r="K850" s="11" t="str">
        <f aca="false">IF(B850="","",IFERROR(LEFT(B850,FIND("-",B850)-1),B850))</f>
        <v/>
      </c>
      <c r="L850" s="11" t="str">
        <f aca="false">IF(K850="","",IF(ISNUMBER(--MID(K850,1,1)),0,IF(ISNUMBER(--MID(K850,2,1)),1,IF(ISNUMBER(--MID(K850,3,1)),2,IF(ISNUMBER(--MID(K850,4,1)),3,MIN(LEN(K850),4))))))</f>
        <v/>
      </c>
      <c r="M850" s="11" t="str">
        <f aca="false">IF(B850="","",LEFT(K850,L850)&amp;REPT("0",4-L850)&amp;RIGHT("000"&amp;IFERROR(VALUE(MID(K850,L850+1,9)),0),3)&amp;RIGHT("0000"&amp;IFERROR(VALUE(MID(B850,FIND("-",B850)+1,9)),0),4))</f>
        <v/>
      </c>
      <c r="N850" s="11" t="str">
        <f aca="false">IF(OR(B850="",N(F850)&lt;=0),"",IF('FALTAS POR DECK'!$P$1="Código","K"&amp;M850&amp;RIGHT("00000"&amp;ROW(),5),IF('FALTAS POR DECK'!$P$1="Nome","K"&amp;UPPER(SUBSTITUTE(SUBSTITUTE(SUBSTITUTE(C850,"*",""),"?",""),"~",""))&amp;"0"&amp;M850&amp;RIGHT("00000"&amp;ROW(),5),IF('FALTAS POR DECK'!$P$1="Falta (maior primeiro)","K"&amp;RIGHT("0000"&amp;(9999-F850),4)&amp;M850&amp;RIGHT("00000"&amp;ROW(),5),IF('FALTAS POR DECK'!$P$1="Deck e código","K"&amp;RIGHT("00"&amp;IFERROR(MATCH(A850,_LEITURA!$P$2:$P$21,0),99),2)&amp;M850&amp;RIGHT("00000"&amp;ROW(),5),"K"&amp;RIGHT("00000"&amp;ROW(),5))))))</f>
        <v/>
      </c>
      <c r="O850" s="16" t="str">
        <f aca="false">IF(N850="","",COUNTIFS($N$2:$N$1201,"&lt;"&amp;N850,$F$2:$F$1201,"&gt;0")+1)</f>
        <v/>
      </c>
    </row>
    <row r="851" customFormat="false" ht="15" hidden="false" customHeight="false" outlineLevel="0" collapsed="false">
      <c r="A851" s="11" t="str">
        <f aca="false">IF(_LEITURA!$N851="","",INDEX(_LEITURA!$K$2:$K$1201,_LEITURA!$N851))</f>
        <v/>
      </c>
      <c r="B851" s="11" t="str">
        <f aca="false">IF(_LEITURA!$N851="","",INDEX(_LEITURA!$E$2:$E$1201,_LEITURA!$N851))</f>
        <v/>
      </c>
      <c r="C851" s="11" t="str">
        <f aca="false">IF(_LEITURA!$N851="","",INDEX(_LEITURA!$J$2:$J$1201,_LEITURA!$N851))</f>
        <v/>
      </c>
      <c r="D851" s="16" t="str">
        <f aca="false">IF(_LEITURA!$N851="","",INDEX(_LEITURA!$G$2:$G$1201,_LEITURA!$N851))</f>
        <v/>
      </c>
      <c r="E851" s="16" t="str">
        <f aca="false">IF(B851="","",SUMIFS(INVENTÁRIO!$C$2:$C$801,INVENTÁRIO!$A$2:$A$801,B851))</f>
        <v/>
      </c>
      <c r="F851" s="16" t="str">
        <f aca="false">IF(B851="","",MAX(0,D851-E851))</f>
        <v/>
      </c>
      <c r="G851" s="16" t="str">
        <f aca="false">IF(B851="","",IF(COUNTIFS($B$2:$B$1201,B851,$A$2:$A$1201,"&lt;&gt;"&amp;A851)&gt;0,"Sim",""))</f>
        <v/>
      </c>
      <c r="H851" s="16" t="str">
        <f aca="false">IF(N(F851)&gt;0,MAX(H$1:H850)+1,"")</f>
        <v/>
      </c>
      <c r="I851" s="11" t="str">
        <f aca="false">IF(B851="","",IF(INDEX($C$2:$C$1201,MATCH(B851,$B$2:$B$1201,0))&lt;&gt;C851,"Nome diferente em outro deck — revisar",""))</f>
        <v/>
      </c>
      <c r="J851" s="16" t="str">
        <f aca="false">IF(AND(B851&lt;&gt;"",A851=BULK!$A$1,N(F851)&gt;0),MAX(J$1:J850)+1,"")</f>
        <v/>
      </c>
      <c r="K851" s="11" t="str">
        <f aca="false">IF(B851="","",IFERROR(LEFT(B851,FIND("-",B851)-1),B851))</f>
        <v/>
      </c>
      <c r="L851" s="11" t="str">
        <f aca="false">IF(K851="","",IF(ISNUMBER(--MID(K851,1,1)),0,IF(ISNUMBER(--MID(K851,2,1)),1,IF(ISNUMBER(--MID(K851,3,1)),2,IF(ISNUMBER(--MID(K851,4,1)),3,MIN(LEN(K851),4))))))</f>
        <v/>
      </c>
      <c r="M851" s="11" t="str">
        <f aca="false">IF(B851="","",LEFT(K851,L851)&amp;REPT("0",4-L851)&amp;RIGHT("000"&amp;IFERROR(VALUE(MID(K851,L851+1,9)),0),3)&amp;RIGHT("0000"&amp;IFERROR(VALUE(MID(B851,FIND("-",B851)+1,9)),0),4))</f>
        <v/>
      </c>
      <c r="N851" s="11" t="str">
        <f aca="false">IF(OR(B851="",N(F851)&lt;=0),"",IF('FALTAS POR DECK'!$P$1="Código","K"&amp;M851&amp;RIGHT("00000"&amp;ROW(),5),IF('FALTAS POR DECK'!$P$1="Nome","K"&amp;UPPER(SUBSTITUTE(SUBSTITUTE(SUBSTITUTE(C851,"*",""),"?",""),"~",""))&amp;"0"&amp;M851&amp;RIGHT("00000"&amp;ROW(),5),IF('FALTAS POR DECK'!$P$1="Falta (maior primeiro)","K"&amp;RIGHT("0000"&amp;(9999-F851),4)&amp;M851&amp;RIGHT("00000"&amp;ROW(),5),IF('FALTAS POR DECK'!$P$1="Deck e código","K"&amp;RIGHT("00"&amp;IFERROR(MATCH(A851,_LEITURA!$P$2:$P$21,0),99),2)&amp;M851&amp;RIGHT("00000"&amp;ROW(),5),"K"&amp;RIGHT("00000"&amp;ROW(),5))))))</f>
        <v/>
      </c>
      <c r="O851" s="16" t="str">
        <f aca="false">IF(N851="","",COUNTIFS($N$2:$N$1201,"&lt;"&amp;N851,$F$2:$F$1201,"&gt;0")+1)</f>
        <v/>
      </c>
    </row>
    <row r="852" customFormat="false" ht="15" hidden="false" customHeight="false" outlineLevel="0" collapsed="false">
      <c r="A852" s="11" t="str">
        <f aca="false">IF(_LEITURA!$N852="","",INDEX(_LEITURA!$K$2:$K$1201,_LEITURA!$N852))</f>
        <v/>
      </c>
      <c r="B852" s="11" t="str">
        <f aca="false">IF(_LEITURA!$N852="","",INDEX(_LEITURA!$E$2:$E$1201,_LEITURA!$N852))</f>
        <v/>
      </c>
      <c r="C852" s="11" t="str">
        <f aca="false">IF(_LEITURA!$N852="","",INDEX(_LEITURA!$J$2:$J$1201,_LEITURA!$N852))</f>
        <v/>
      </c>
      <c r="D852" s="16" t="str">
        <f aca="false">IF(_LEITURA!$N852="","",INDEX(_LEITURA!$G$2:$G$1201,_LEITURA!$N852))</f>
        <v/>
      </c>
      <c r="E852" s="16" t="str">
        <f aca="false">IF(B852="","",SUMIFS(INVENTÁRIO!$C$2:$C$801,INVENTÁRIO!$A$2:$A$801,B852))</f>
        <v/>
      </c>
      <c r="F852" s="16" t="str">
        <f aca="false">IF(B852="","",MAX(0,D852-E852))</f>
        <v/>
      </c>
      <c r="G852" s="16" t="str">
        <f aca="false">IF(B852="","",IF(COUNTIFS($B$2:$B$1201,B852,$A$2:$A$1201,"&lt;&gt;"&amp;A852)&gt;0,"Sim",""))</f>
        <v/>
      </c>
      <c r="H852" s="16" t="str">
        <f aca="false">IF(N(F852)&gt;0,MAX(H$1:H851)+1,"")</f>
        <v/>
      </c>
      <c r="I852" s="11" t="str">
        <f aca="false">IF(B852="","",IF(INDEX($C$2:$C$1201,MATCH(B852,$B$2:$B$1201,0))&lt;&gt;C852,"Nome diferente em outro deck — revisar",""))</f>
        <v/>
      </c>
      <c r="J852" s="16" t="str">
        <f aca="false">IF(AND(B852&lt;&gt;"",A852=BULK!$A$1,N(F852)&gt;0),MAX(J$1:J851)+1,"")</f>
        <v/>
      </c>
      <c r="K852" s="11" t="str">
        <f aca="false">IF(B852="","",IFERROR(LEFT(B852,FIND("-",B852)-1),B852))</f>
        <v/>
      </c>
      <c r="L852" s="11" t="str">
        <f aca="false">IF(K852="","",IF(ISNUMBER(--MID(K852,1,1)),0,IF(ISNUMBER(--MID(K852,2,1)),1,IF(ISNUMBER(--MID(K852,3,1)),2,IF(ISNUMBER(--MID(K852,4,1)),3,MIN(LEN(K852),4))))))</f>
        <v/>
      </c>
      <c r="M852" s="11" t="str">
        <f aca="false">IF(B852="","",LEFT(K852,L852)&amp;REPT("0",4-L852)&amp;RIGHT("000"&amp;IFERROR(VALUE(MID(K852,L852+1,9)),0),3)&amp;RIGHT("0000"&amp;IFERROR(VALUE(MID(B852,FIND("-",B852)+1,9)),0),4))</f>
        <v/>
      </c>
      <c r="N852" s="11" t="str">
        <f aca="false">IF(OR(B852="",N(F852)&lt;=0),"",IF('FALTAS POR DECK'!$P$1="Código","K"&amp;M852&amp;RIGHT("00000"&amp;ROW(),5),IF('FALTAS POR DECK'!$P$1="Nome","K"&amp;UPPER(SUBSTITUTE(SUBSTITUTE(SUBSTITUTE(C852,"*",""),"?",""),"~",""))&amp;"0"&amp;M852&amp;RIGHT("00000"&amp;ROW(),5),IF('FALTAS POR DECK'!$P$1="Falta (maior primeiro)","K"&amp;RIGHT("0000"&amp;(9999-F852),4)&amp;M852&amp;RIGHT("00000"&amp;ROW(),5),IF('FALTAS POR DECK'!$P$1="Deck e código","K"&amp;RIGHT("00"&amp;IFERROR(MATCH(A852,_LEITURA!$P$2:$P$21,0),99),2)&amp;M852&amp;RIGHT("00000"&amp;ROW(),5),"K"&amp;RIGHT("00000"&amp;ROW(),5))))))</f>
        <v/>
      </c>
      <c r="O852" s="16" t="str">
        <f aca="false">IF(N852="","",COUNTIFS($N$2:$N$1201,"&lt;"&amp;N852,$F$2:$F$1201,"&gt;0")+1)</f>
        <v/>
      </c>
    </row>
    <row r="853" customFormat="false" ht="15" hidden="false" customHeight="false" outlineLevel="0" collapsed="false">
      <c r="A853" s="11" t="str">
        <f aca="false">IF(_LEITURA!$N853="","",INDEX(_LEITURA!$K$2:$K$1201,_LEITURA!$N853))</f>
        <v/>
      </c>
      <c r="B853" s="11" t="str">
        <f aca="false">IF(_LEITURA!$N853="","",INDEX(_LEITURA!$E$2:$E$1201,_LEITURA!$N853))</f>
        <v/>
      </c>
      <c r="C853" s="11" t="str">
        <f aca="false">IF(_LEITURA!$N853="","",INDEX(_LEITURA!$J$2:$J$1201,_LEITURA!$N853))</f>
        <v/>
      </c>
      <c r="D853" s="16" t="str">
        <f aca="false">IF(_LEITURA!$N853="","",INDEX(_LEITURA!$G$2:$G$1201,_LEITURA!$N853))</f>
        <v/>
      </c>
      <c r="E853" s="16" t="str">
        <f aca="false">IF(B853="","",SUMIFS(INVENTÁRIO!$C$2:$C$801,INVENTÁRIO!$A$2:$A$801,B853))</f>
        <v/>
      </c>
      <c r="F853" s="16" t="str">
        <f aca="false">IF(B853="","",MAX(0,D853-E853))</f>
        <v/>
      </c>
      <c r="G853" s="16" t="str">
        <f aca="false">IF(B853="","",IF(COUNTIFS($B$2:$B$1201,B853,$A$2:$A$1201,"&lt;&gt;"&amp;A853)&gt;0,"Sim",""))</f>
        <v/>
      </c>
      <c r="H853" s="16" t="str">
        <f aca="false">IF(N(F853)&gt;0,MAX(H$1:H852)+1,"")</f>
        <v/>
      </c>
      <c r="I853" s="11" t="str">
        <f aca="false">IF(B853="","",IF(INDEX($C$2:$C$1201,MATCH(B853,$B$2:$B$1201,0))&lt;&gt;C853,"Nome diferente em outro deck — revisar",""))</f>
        <v/>
      </c>
      <c r="J853" s="16" t="str">
        <f aca="false">IF(AND(B853&lt;&gt;"",A853=BULK!$A$1,N(F853)&gt;0),MAX(J$1:J852)+1,"")</f>
        <v/>
      </c>
      <c r="K853" s="11" t="str">
        <f aca="false">IF(B853="","",IFERROR(LEFT(B853,FIND("-",B853)-1),B853))</f>
        <v/>
      </c>
      <c r="L853" s="11" t="str">
        <f aca="false">IF(K853="","",IF(ISNUMBER(--MID(K853,1,1)),0,IF(ISNUMBER(--MID(K853,2,1)),1,IF(ISNUMBER(--MID(K853,3,1)),2,IF(ISNUMBER(--MID(K853,4,1)),3,MIN(LEN(K853),4))))))</f>
        <v/>
      </c>
      <c r="M853" s="11" t="str">
        <f aca="false">IF(B853="","",LEFT(K853,L853)&amp;REPT("0",4-L853)&amp;RIGHT("000"&amp;IFERROR(VALUE(MID(K853,L853+1,9)),0),3)&amp;RIGHT("0000"&amp;IFERROR(VALUE(MID(B853,FIND("-",B853)+1,9)),0),4))</f>
        <v/>
      </c>
      <c r="N853" s="11" t="str">
        <f aca="false">IF(OR(B853="",N(F853)&lt;=0),"",IF('FALTAS POR DECK'!$P$1="Código","K"&amp;M853&amp;RIGHT("00000"&amp;ROW(),5),IF('FALTAS POR DECK'!$P$1="Nome","K"&amp;UPPER(SUBSTITUTE(SUBSTITUTE(SUBSTITUTE(C853,"*",""),"?",""),"~",""))&amp;"0"&amp;M853&amp;RIGHT("00000"&amp;ROW(),5),IF('FALTAS POR DECK'!$P$1="Falta (maior primeiro)","K"&amp;RIGHT("0000"&amp;(9999-F853),4)&amp;M853&amp;RIGHT("00000"&amp;ROW(),5),IF('FALTAS POR DECK'!$P$1="Deck e código","K"&amp;RIGHT("00"&amp;IFERROR(MATCH(A853,_LEITURA!$P$2:$P$21,0),99),2)&amp;M853&amp;RIGHT("00000"&amp;ROW(),5),"K"&amp;RIGHT("00000"&amp;ROW(),5))))))</f>
        <v/>
      </c>
      <c r="O853" s="16" t="str">
        <f aca="false">IF(N853="","",COUNTIFS($N$2:$N$1201,"&lt;"&amp;N853,$F$2:$F$1201,"&gt;0")+1)</f>
        <v/>
      </c>
    </row>
    <row r="854" customFormat="false" ht="15" hidden="false" customHeight="false" outlineLevel="0" collapsed="false">
      <c r="A854" s="11" t="str">
        <f aca="false">IF(_LEITURA!$N854="","",INDEX(_LEITURA!$K$2:$K$1201,_LEITURA!$N854))</f>
        <v/>
      </c>
      <c r="B854" s="11" t="str">
        <f aca="false">IF(_LEITURA!$N854="","",INDEX(_LEITURA!$E$2:$E$1201,_LEITURA!$N854))</f>
        <v/>
      </c>
      <c r="C854" s="11" t="str">
        <f aca="false">IF(_LEITURA!$N854="","",INDEX(_LEITURA!$J$2:$J$1201,_LEITURA!$N854))</f>
        <v/>
      </c>
      <c r="D854" s="16" t="str">
        <f aca="false">IF(_LEITURA!$N854="","",INDEX(_LEITURA!$G$2:$G$1201,_LEITURA!$N854))</f>
        <v/>
      </c>
      <c r="E854" s="16" t="str">
        <f aca="false">IF(B854="","",SUMIFS(INVENTÁRIO!$C$2:$C$801,INVENTÁRIO!$A$2:$A$801,B854))</f>
        <v/>
      </c>
      <c r="F854" s="16" t="str">
        <f aca="false">IF(B854="","",MAX(0,D854-E854))</f>
        <v/>
      </c>
      <c r="G854" s="16" t="str">
        <f aca="false">IF(B854="","",IF(COUNTIFS($B$2:$B$1201,B854,$A$2:$A$1201,"&lt;&gt;"&amp;A854)&gt;0,"Sim",""))</f>
        <v/>
      </c>
      <c r="H854" s="16" t="str">
        <f aca="false">IF(N(F854)&gt;0,MAX(H$1:H853)+1,"")</f>
        <v/>
      </c>
      <c r="I854" s="11" t="str">
        <f aca="false">IF(B854="","",IF(INDEX($C$2:$C$1201,MATCH(B854,$B$2:$B$1201,0))&lt;&gt;C854,"Nome diferente em outro deck — revisar",""))</f>
        <v/>
      </c>
      <c r="J854" s="16" t="str">
        <f aca="false">IF(AND(B854&lt;&gt;"",A854=BULK!$A$1,N(F854)&gt;0),MAX(J$1:J853)+1,"")</f>
        <v/>
      </c>
      <c r="K854" s="11" t="str">
        <f aca="false">IF(B854="","",IFERROR(LEFT(B854,FIND("-",B854)-1),B854))</f>
        <v/>
      </c>
      <c r="L854" s="11" t="str">
        <f aca="false">IF(K854="","",IF(ISNUMBER(--MID(K854,1,1)),0,IF(ISNUMBER(--MID(K854,2,1)),1,IF(ISNUMBER(--MID(K854,3,1)),2,IF(ISNUMBER(--MID(K854,4,1)),3,MIN(LEN(K854),4))))))</f>
        <v/>
      </c>
      <c r="M854" s="11" t="str">
        <f aca="false">IF(B854="","",LEFT(K854,L854)&amp;REPT("0",4-L854)&amp;RIGHT("000"&amp;IFERROR(VALUE(MID(K854,L854+1,9)),0),3)&amp;RIGHT("0000"&amp;IFERROR(VALUE(MID(B854,FIND("-",B854)+1,9)),0),4))</f>
        <v/>
      </c>
      <c r="N854" s="11" t="str">
        <f aca="false">IF(OR(B854="",N(F854)&lt;=0),"",IF('FALTAS POR DECK'!$P$1="Código","K"&amp;M854&amp;RIGHT("00000"&amp;ROW(),5),IF('FALTAS POR DECK'!$P$1="Nome","K"&amp;UPPER(SUBSTITUTE(SUBSTITUTE(SUBSTITUTE(C854,"*",""),"?",""),"~",""))&amp;"0"&amp;M854&amp;RIGHT("00000"&amp;ROW(),5),IF('FALTAS POR DECK'!$P$1="Falta (maior primeiro)","K"&amp;RIGHT("0000"&amp;(9999-F854),4)&amp;M854&amp;RIGHT("00000"&amp;ROW(),5),IF('FALTAS POR DECK'!$P$1="Deck e código","K"&amp;RIGHT("00"&amp;IFERROR(MATCH(A854,_LEITURA!$P$2:$P$21,0),99),2)&amp;M854&amp;RIGHT("00000"&amp;ROW(),5),"K"&amp;RIGHT("00000"&amp;ROW(),5))))))</f>
        <v/>
      </c>
      <c r="O854" s="16" t="str">
        <f aca="false">IF(N854="","",COUNTIFS($N$2:$N$1201,"&lt;"&amp;N854,$F$2:$F$1201,"&gt;0")+1)</f>
        <v/>
      </c>
    </row>
    <row r="855" customFormat="false" ht="15" hidden="false" customHeight="false" outlineLevel="0" collapsed="false">
      <c r="A855" s="11" t="str">
        <f aca="false">IF(_LEITURA!$N855="","",INDEX(_LEITURA!$K$2:$K$1201,_LEITURA!$N855))</f>
        <v/>
      </c>
      <c r="B855" s="11" t="str">
        <f aca="false">IF(_LEITURA!$N855="","",INDEX(_LEITURA!$E$2:$E$1201,_LEITURA!$N855))</f>
        <v/>
      </c>
      <c r="C855" s="11" t="str">
        <f aca="false">IF(_LEITURA!$N855="","",INDEX(_LEITURA!$J$2:$J$1201,_LEITURA!$N855))</f>
        <v/>
      </c>
      <c r="D855" s="16" t="str">
        <f aca="false">IF(_LEITURA!$N855="","",INDEX(_LEITURA!$G$2:$G$1201,_LEITURA!$N855))</f>
        <v/>
      </c>
      <c r="E855" s="16" t="str">
        <f aca="false">IF(B855="","",SUMIFS(INVENTÁRIO!$C$2:$C$801,INVENTÁRIO!$A$2:$A$801,B855))</f>
        <v/>
      </c>
      <c r="F855" s="16" t="str">
        <f aca="false">IF(B855="","",MAX(0,D855-E855))</f>
        <v/>
      </c>
      <c r="G855" s="16" t="str">
        <f aca="false">IF(B855="","",IF(COUNTIFS($B$2:$B$1201,B855,$A$2:$A$1201,"&lt;&gt;"&amp;A855)&gt;0,"Sim",""))</f>
        <v/>
      </c>
      <c r="H855" s="16" t="str">
        <f aca="false">IF(N(F855)&gt;0,MAX(H$1:H854)+1,"")</f>
        <v/>
      </c>
      <c r="I855" s="11" t="str">
        <f aca="false">IF(B855="","",IF(INDEX($C$2:$C$1201,MATCH(B855,$B$2:$B$1201,0))&lt;&gt;C855,"Nome diferente em outro deck — revisar",""))</f>
        <v/>
      </c>
      <c r="J855" s="16" t="str">
        <f aca="false">IF(AND(B855&lt;&gt;"",A855=BULK!$A$1,N(F855)&gt;0),MAX(J$1:J854)+1,"")</f>
        <v/>
      </c>
      <c r="K855" s="11" t="str">
        <f aca="false">IF(B855="","",IFERROR(LEFT(B855,FIND("-",B855)-1),B855))</f>
        <v/>
      </c>
      <c r="L855" s="11" t="str">
        <f aca="false">IF(K855="","",IF(ISNUMBER(--MID(K855,1,1)),0,IF(ISNUMBER(--MID(K855,2,1)),1,IF(ISNUMBER(--MID(K855,3,1)),2,IF(ISNUMBER(--MID(K855,4,1)),3,MIN(LEN(K855),4))))))</f>
        <v/>
      </c>
      <c r="M855" s="11" t="str">
        <f aca="false">IF(B855="","",LEFT(K855,L855)&amp;REPT("0",4-L855)&amp;RIGHT("000"&amp;IFERROR(VALUE(MID(K855,L855+1,9)),0),3)&amp;RIGHT("0000"&amp;IFERROR(VALUE(MID(B855,FIND("-",B855)+1,9)),0),4))</f>
        <v/>
      </c>
      <c r="N855" s="11" t="str">
        <f aca="false">IF(OR(B855="",N(F855)&lt;=0),"",IF('FALTAS POR DECK'!$P$1="Código","K"&amp;M855&amp;RIGHT("00000"&amp;ROW(),5),IF('FALTAS POR DECK'!$P$1="Nome","K"&amp;UPPER(SUBSTITUTE(SUBSTITUTE(SUBSTITUTE(C855,"*",""),"?",""),"~",""))&amp;"0"&amp;M855&amp;RIGHT("00000"&amp;ROW(),5),IF('FALTAS POR DECK'!$P$1="Falta (maior primeiro)","K"&amp;RIGHT("0000"&amp;(9999-F855),4)&amp;M855&amp;RIGHT("00000"&amp;ROW(),5),IF('FALTAS POR DECK'!$P$1="Deck e código","K"&amp;RIGHT("00"&amp;IFERROR(MATCH(A855,_LEITURA!$P$2:$P$21,0),99),2)&amp;M855&amp;RIGHT("00000"&amp;ROW(),5),"K"&amp;RIGHT("00000"&amp;ROW(),5))))))</f>
        <v/>
      </c>
      <c r="O855" s="16" t="str">
        <f aca="false">IF(N855="","",COUNTIFS($N$2:$N$1201,"&lt;"&amp;N855,$F$2:$F$1201,"&gt;0")+1)</f>
        <v/>
      </c>
    </row>
    <row r="856" customFormat="false" ht="15" hidden="false" customHeight="false" outlineLevel="0" collapsed="false">
      <c r="A856" s="11" t="str">
        <f aca="false">IF(_LEITURA!$N856="","",INDEX(_LEITURA!$K$2:$K$1201,_LEITURA!$N856))</f>
        <v/>
      </c>
      <c r="B856" s="11" t="str">
        <f aca="false">IF(_LEITURA!$N856="","",INDEX(_LEITURA!$E$2:$E$1201,_LEITURA!$N856))</f>
        <v/>
      </c>
      <c r="C856" s="11" t="str">
        <f aca="false">IF(_LEITURA!$N856="","",INDEX(_LEITURA!$J$2:$J$1201,_LEITURA!$N856))</f>
        <v/>
      </c>
      <c r="D856" s="16" t="str">
        <f aca="false">IF(_LEITURA!$N856="","",INDEX(_LEITURA!$G$2:$G$1201,_LEITURA!$N856))</f>
        <v/>
      </c>
      <c r="E856" s="16" t="str">
        <f aca="false">IF(B856="","",SUMIFS(INVENTÁRIO!$C$2:$C$801,INVENTÁRIO!$A$2:$A$801,B856))</f>
        <v/>
      </c>
      <c r="F856" s="16" t="str">
        <f aca="false">IF(B856="","",MAX(0,D856-E856))</f>
        <v/>
      </c>
      <c r="G856" s="16" t="str">
        <f aca="false">IF(B856="","",IF(COUNTIFS($B$2:$B$1201,B856,$A$2:$A$1201,"&lt;&gt;"&amp;A856)&gt;0,"Sim",""))</f>
        <v/>
      </c>
      <c r="H856" s="16" t="str">
        <f aca="false">IF(N(F856)&gt;0,MAX(H$1:H855)+1,"")</f>
        <v/>
      </c>
      <c r="I856" s="11" t="str">
        <f aca="false">IF(B856="","",IF(INDEX($C$2:$C$1201,MATCH(B856,$B$2:$B$1201,0))&lt;&gt;C856,"Nome diferente em outro deck — revisar",""))</f>
        <v/>
      </c>
      <c r="J856" s="16" t="str">
        <f aca="false">IF(AND(B856&lt;&gt;"",A856=BULK!$A$1,N(F856)&gt;0),MAX(J$1:J855)+1,"")</f>
        <v/>
      </c>
      <c r="K856" s="11" t="str">
        <f aca="false">IF(B856="","",IFERROR(LEFT(B856,FIND("-",B856)-1),B856))</f>
        <v/>
      </c>
      <c r="L856" s="11" t="str">
        <f aca="false">IF(K856="","",IF(ISNUMBER(--MID(K856,1,1)),0,IF(ISNUMBER(--MID(K856,2,1)),1,IF(ISNUMBER(--MID(K856,3,1)),2,IF(ISNUMBER(--MID(K856,4,1)),3,MIN(LEN(K856),4))))))</f>
        <v/>
      </c>
      <c r="M856" s="11" t="str">
        <f aca="false">IF(B856="","",LEFT(K856,L856)&amp;REPT("0",4-L856)&amp;RIGHT("000"&amp;IFERROR(VALUE(MID(K856,L856+1,9)),0),3)&amp;RIGHT("0000"&amp;IFERROR(VALUE(MID(B856,FIND("-",B856)+1,9)),0),4))</f>
        <v/>
      </c>
      <c r="N856" s="11" t="str">
        <f aca="false">IF(OR(B856="",N(F856)&lt;=0),"",IF('FALTAS POR DECK'!$P$1="Código","K"&amp;M856&amp;RIGHT("00000"&amp;ROW(),5),IF('FALTAS POR DECK'!$P$1="Nome","K"&amp;UPPER(SUBSTITUTE(SUBSTITUTE(SUBSTITUTE(C856,"*",""),"?",""),"~",""))&amp;"0"&amp;M856&amp;RIGHT("00000"&amp;ROW(),5),IF('FALTAS POR DECK'!$P$1="Falta (maior primeiro)","K"&amp;RIGHT("0000"&amp;(9999-F856),4)&amp;M856&amp;RIGHT("00000"&amp;ROW(),5),IF('FALTAS POR DECK'!$P$1="Deck e código","K"&amp;RIGHT("00"&amp;IFERROR(MATCH(A856,_LEITURA!$P$2:$P$21,0),99),2)&amp;M856&amp;RIGHT("00000"&amp;ROW(),5),"K"&amp;RIGHT("00000"&amp;ROW(),5))))))</f>
        <v/>
      </c>
      <c r="O856" s="16" t="str">
        <f aca="false">IF(N856="","",COUNTIFS($N$2:$N$1201,"&lt;"&amp;N856,$F$2:$F$1201,"&gt;0")+1)</f>
        <v/>
      </c>
    </row>
    <row r="857" customFormat="false" ht="15" hidden="false" customHeight="false" outlineLevel="0" collapsed="false">
      <c r="A857" s="11" t="str">
        <f aca="false">IF(_LEITURA!$N857="","",INDEX(_LEITURA!$K$2:$K$1201,_LEITURA!$N857))</f>
        <v/>
      </c>
      <c r="B857" s="11" t="str">
        <f aca="false">IF(_LEITURA!$N857="","",INDEX(_LEITURA!$E$2:$E$1201,_LEITURA!$N857))</f>
        <v/>
      </c>
      <c r="C857" s="11" t="str">
        <f aca="false">IF(_LEITURA!$N857="","",INDEX(_LEITURA!$J$2:$J$1201,_LEITURA!$N857))</f>
        <v/>
      </c>
      <c r="D857" s="16" t="str">
        <f aca="false">IF(_LEITURA!$N857="","",INDEX(_LEITURA!$G$2:$G$1201,_LEITURA!$N857))</f>
        <v/>
      </c>
      <c r="E857" s="16" t="str">
        <f aca="false">IF(B857="","",SUMIFS(INVENTÁRIO!$C$2:$C$801,INVENTÁRIO!$A$2:$A$801,B857))</f>
        <v/>
      </c>
      <c r="F857" s="16" t="str">
        <f aca="false">IF(B857="","",MAX(0,D857-E857))</f>
        <v/>
      </c>
      <c r="G857" s="16" t="str">
        <f aca="false">IF(B857="","",IF(COUNTIFS($B$2:$B$1201,B857,$A$2:$A$1201,"&lt;&gt;"&amp;A857)&gt;0,"Sim",""))</f>
        <v/>
      </c>
      <c r="H857" s="16" t="str">
        <f aca="false">IF(N(F857)&gt;0,MAX(H$1:H856)+1,"")</f>
        <v/>
      </c>
      <c r="I857" s="11" t="str">
        <f aca="false">IF(B857="","",IF(INDEX($C$2:$C$1201,MATCH(B857,$B$2:$B$1201,0))&lt;&gt;C857,"Nome diferente em outro deck — revisar",""))</f>
        <v/>
      </c>
      <c r="J857" s="16" t="str">
        <f aca="false">IF(AND(B857&lt;&gt;"",A857=BULK!$A$1,N(F857)&gt;0),MAX(J$1:J856)+1,"")</f>
        <v/>
      </c>
      <c r="K857" s="11" t="str">
        <f aca="false">IF(B857="","",IFERROR(LEFT(B857,FIND("-",B857)-1),B857))</f>
        <v/>
      </c>
      <c r="L857" s="11" t="str">
        <f aca="false">IF(K857="","",IF(ISNUMBER(--MID(K857,1,1)),0,IF(ISNUMBER(--MID(K857,2,1)),1,IF(ISNUMBER(--MID(K857,3,1)),2,IF(ISNUMBER(--MID(K857,4,1)),3,MIN(LEN(K857),4))))))</f>
        <v/>
      </c>
      <c r="M857" s="11" t="str">
        <f aca="false">IF(B857="","",LEFT(K857,L857)&amp;REPT("0",4-L857)&amp;RIGHT("000"&amp;IFERROR(VALUE(MID(K857,L857+1,9)),0),3)&amp;RIGHT("0000"&amp;IFERROR(VALUE(MID(B857,FIND("-",B857)+1,9)),0),4))</f>
        <v/>
      </c>
      <c r="N857" s="11" t="str">
        <f aca="false">IF(OR(B857="",N(F857)&lt;=0),"",IF('FALTAS POR DECK'!$P$1="Código","K"&amp;M857&amp;RIGHT("00000"&amp;ROW(),5),IF('FALTAS POR DECK'!$P$1="Nome","K"&amp;UPPER(SUBSTITUTE(SUBSTITUTE(SUBSTITUTE(C857,"*",""),"?",""),"~",""))&amp;"0"&amp;M857&amp;RIGHT("00000"&amp;ROW(),5),IF('FALTAS POR DECK'!$P$1="Falta (maior primeiro)","K"&amp;RIGHT("0000"&amp;(9999-F857),4)&amp;M857&amp;RIGHT("00000"&amp;ROW(),5),IF('FALTAS POR DECK'!$P$1="Deck e código","K"&amp;RIGHT("00"&amp;IFERROR(MATCH(A857,_LEITURA!$P$2:$P$21,0),99),2)&amp;M857&amp;RIGHT("00000"&amp;ROW(),5),"K"&amp;RIGHT("00000"&amp;ROW(),5))))))</f>
        <v/>
      </c>
      <c r="O857" s="16" t="str">
        <f aca="false">IF(N857="","",COUNTIFS($N$2:$N$1201,"&lt;"&amp;N857,$F$2:$F$1201,"&gt;0")+1)</f>
        <v/>
      </c>
    </row>
    <row r="858" customFormat="false" ht="15" hidden="false" customHeight="false" outlineLevel="0" collapsed="false">
      <c r="A858" s="11" t="str">
        <f aca="false">IF(_LEITURA!$N858="","",INDEX(_LEITURA!$K$2:$K$1201,_LEITURA!$N858))</f>
        <v/>
      </c>
      <c r="B858" s="11" t="str">
        <f aca="false">IF(_LEITURA!$N858="","",INDEX(_LEITURA!$E$2:$E$1201,_LEITURA!$N858))</f>
        <v/>
      </c>
      <c r="C858" s="11" t="str">
        <f aca="false">IF(_LEITURA!$N858="","",INDEX(_LEITURA!$J$2:$J$1201,_LEITURA!$N858))</f>
        <v/>
      </c>
      <c r="D858" s="16" t="str">
        <f aca="false">IF(_LEITURA!$N858="","",INDEX(_LEITURA!$G$2:$G$1201,_LEITURA!$N858))</f>
        <v/>
      </c>
      <c r="E858" s="16" t="str">
        <f aca="false">IF(B858="","",SUMIFS(INVENTÁRIO!$C$2:$C$801,INVENTÁRIO!$A$2:$A$801,B858))</f>
        <v/>
      </c>
      <c r="F858" s="16" t="str">
        <f aca="false">IF(B858="","",MAX(0,D858-E858))</f>
        <v/>
      </c>
      <c r="G858" s="16" t="str">
        <f aca="false">IF(B858="","",IF(COUNTIFS($B$2:$B$1201,B858,$A$2:$A$1201,"&lt;&gt;"&amp;A858)&gt;0,"Sim",""))</f>
        <v/>
      </c>
      <c r="H858" s="16" t="str">
        <f aca="false">IF(N(F858)&gt;0,MAX(H$1:H857)+1,"")</f>
        <v/>
      </c>
      <c r="I858" s="11" t="str">
        <f aca="false">IF(B858="","",IF(INDEX($C$2:$C$1201,MATCH(B858,$B$2:$B$1201,0))&lt;&gt;C858,"Nome diferente em outro deck — revisar",""))</f>
        <v/>
      </c>
      <c r="J858" s="16" t="str">
        <f aca="false">IF(AND(B858&lt;&gt;"",A858=BULK!$A$1,N(F858)&gt;0),MAX(J$1:J857)+1,"")</f>
        <v/>
      </c>
      <c r="K858" s="11" t="str">
        <f aca="false">IF(B858="","",IFERROR(LEFT(B858,FIND("-",B858)-1),B858))</f>
        <v/>
      </c>
      <c r="L858" s="11" t="str">
        <f aca="false">IF(K858="","",IF(ISNUMBER(--MID(K858,1,1)),0,IF(ISNUMBER(--MID(K858,2,1)),1,IF(ISNUMBER(--MID(K858,3,1)),2,IF(ISNUMBER(--MID(K858,4,1)),3,MIN(LEN(K858),4))))))</f>
        <v/>
      </c>
      <c r="M858" s="11" t="str">
        <f aca="false">IF(B858="","",LEFT(K858,L858)&amp;REPT("0",4-L858)&amp;RIGHT("000"&amp;IFERROR(VALUE(MID(K858,L858+1,9)),0),3)&amp;RIGHT("0000"&amp;IFERROR(VALUE(MID(B858,FIND("-",B858)+1,9)),0),4))</f>
        <v/>
      </c>
      <c r="N858" s="11" t="str">
        <f aca="false">IF(OR(B858="",N(F858)&lt;=0),"",IF('FALTAS POR DECK'!$P$1="Código","K"&amp;M858&amp;RIGHT("00000"&amp;ROW(),5),IF('FALTAS POR DECK'!$P$1="Nome","K"&amp;UPPER(SUBSTITUTE(SUBSTITUTE(SUBSTITUTE(C858,"*",""),"?",""),"~",""))&amp;"0"&amp;M858&amp;RIGHT("00000"&amp;ROW(),5),IF('FALTAS POR DECK'!$P$1="Falta (maior primeiro)","K"&amp;RIGHT("0000"&amp;(9999-F858),4)&amp;M858&amp;RIGHT("00000"&amp;ROW(),5),IF('FALTAS POR DECK'!$P$1="Deck e código","K"&amp;RIGHT("00"&amp;IFERROR(MATCH(A858,_LEITURA!$P$2:$P$21,0),99),2)&amp;M858&amp;RIGHT("00000"&amp;ROW(),5),"K"&amp;RIGHT("00000"&amp;ROW(),5))))))</f>
        <v/>
      </c>
      <c r="O858" s="16" t="str">
        <f aca="false">IF(N858="","",COUNTIFS($N$2:$N$1201,"&lt;"&amp;N858,$F$2:$F$1201,"&gt;0")+1)</f>
        <v/>
      </c>
    </row>
    <row r="859" customFormat="false" ht="15" hidden="false" customHeight="false" outlineLevel="0" collapsed="false">
      <c r="A859" s="11" t="str">
        <f aca="false">IF(_LEITURA!$N859="","",INDEX(_LEITURA!$K$2:$K$1201,_LEITURA!$N859))</f>
        <v/>
      </c>
      <c r="B859" s="11" t="str">
        <f aca="false">IF(_LEITURA!$N859="","",INDEX(_LEITURA!$E$2:$E$1201,_LEITURA!$N859))</f>
        <v/>
      </c>
      <c r="C859" s="11" t="str">
        <f aca="false">IF(_LEITURA!$N859="","",INDEX(_LEITURA!$J$2:$J$1201,_LEITURA!$N859))</f>
        <v/>
      </c>
      <c r="D859" s="16" t="str">
        <f aca="false">IF(_LEITURA!$N859="","",INDEX(_LEITURA!$G$2:$G$1201,_LEITURA!$N859))</f>
        <v/>
      </c>
      <c r="E859" s="16" t="str">
        <f aca="false">IF(B859="","",SUMIFS(INVENTÁRIO!$C$2:$C$801,INVENTÁRIO!$A$2:$A$801,B859))</f>
        <v/>
      </c>
      <c r="F859" s="16" t="str">
        <f aca="false">IF(B859="","",MAX(0,D859-E859))</f>
        <v/>
      </c>
      <c r="G859" s="16" t="str">
        <f aca="false">IF(B859="","",IF(COUNTIFS($B$2:$B$1201,B859,$A$2:$A$1201,"&lt;&gt;"&amp;A859)&gt;0,"Sim",""))</f>
        <v/>
      </c>
      <c r="H859" s="16" t="str">
        <f aca="false">IF(N(F859)&gt;0,MAX(H$1:H858)+1,"")</f>
        <v/>
      </c>
      <c r="I859" s="11" t="str">
        <f aca="false">IF(B859="","",IF(INDEX($C$2:$C$1201,MATCH(B859,$B$2:$B$1201,0))&lt;&gt;C859,"Nome diferente em outro deck — revisar",""))</f>
        <v/>
      </c>
      <c r="J859" s="16" t="str">
        <f aca="false">IF(AND(B859&lt;&gt;"",A859=BULK!$A$1,N(F859)&gt;0),MAX(J$1:J858)+1,"")</f>
        <v/>
      </c>
      <c r="K859" s="11" t="str">
        <f aca="false">IF(B859="","",IFERROR(LEFT(B859,FIND("-",B859)-1),B859))</f>
        <v/>
      </c>
      <c r="L859" s="11" t="str">
        <f aca="false">IF(K859="","",IF(ISNUMBER(--MID(K859,1,1)),0,IF(ISNUMBER(--MID(K859,2,1)),1,IF(ISNUMBER(--MID(K859,3,1)),2,IF(ISNUMBER(--MID(K859,4,1)),3,MIN(LEN(K859),4))))))</f>
        <v/>
      </c>
      <c r="M859" s="11" t="str">
        <f aca="false">IF(B859="","",LEFT(K859,L859)&amp;REPT("0",4-L859)&amp;RIGHT("000"&amp;IFERROR(VALUE(MID(K859,L859+1,9)),0),3)&amp;RIGHT("0000"&amp;IFERROR(VALUE(MID(B859,FIND("-",B859)+1,9)),0),4))</f>
        <v/>
      </c>
      <c r="N859" s="11" t="str">
        <f aca="false">IF(OR(B859="",N(F859)&lt;=0),"",IF('FALTAS POR DECK'!$P$1="Código","K"&amp;M859&amp;RIGHT("00000"&amp;ROW(),5),IF('FALTAS POR DECK'!$P$1="Nome","K"&amp;UPPER(SUBSTITUTE(SUBSTITUTE(SUBSTITUTE(C859,"*",""),"?",""),"~",""))&amp;"0"&amp;M859&amp;RIGHT("00000"&amp;ROW(),5),IF('FALTAS POR DECK'!$P$1="Falta (maior primeiro)","K"&amp;RIGHT("0000"&amp;(9999-F859),4)&amp;M859&amp;RIGHT("00000"&amp;ROW(),5),IF('FALTAS POR DECK'!$P$1="Deck e código","K"&amp;RIGHT("00"&amp;IFERROR(MATCH(A859,_LEITURA!$P$2:$P$21,0),99),2)&amp;M859&amp;RIGHT("00000"&amp;ROW(),5),"K"&amp;RIGHT("00000"&amp;ROW(),5))))))</f>
        <v/>
      </c>
      <c r="O859" s="16" t="str">
        <f aca="false">IF(N859="","",COUNTIFS($N$2:$N$1201,"&lt;"&amp;N859,$F$2:$F$1201,"&gt;0")+1)</f>
        <v/>
      </c>
    </row>
    <row r="860" customFormat="false" ht="15" hidden="false" customHeight="false" outlineLevel="0" collapsed="false">
      <c r="A860" s="11" t="str">
        <f aca="false">IF(_LEITURA!$N860="","",INDEX(_LEITURA!$K$2:$K$1201,_LEITURA!$N860))</f>
        <v/>
      </c>
      <c r="B860" s="11" t="str">
        <f aca="false">IF(_LEITURA!$N860="","",INDEX(_LEITURA!$E$2:$E$1201,_LEITURA!$N860))</f>
        <v/>
      </c>
      <c r="C860" s="11" t="str">
        <f aca="false">IF(_LEITURA!$N860="","",INDEX(_LEITURA!$J$2:$J$1201,_LEITURA!$N860))</f>
        <v/>
      </c>
      <c r="D860" s="16" t="str">
        <f aca="false">IF(_LEITURA!$N860="","",INDEX(_LEITURA!$G$2:$G$1201,_LEITURA!$N860))</f>
        <v/>
      </c>
      <c r="E860" s="16" t="str">
        <f aca="false">IF(B860="","",SUMIFS(INVENTÁRIO!$C$2:$C$801,INVENTÁRIO!$A$2:$A$801,B860))</f>
        <v/>
      </c>
      <c r="F860" s="16" t="str">
        <f aca="false">IF(B860="","",MAX(0,D860-E860))</f>
        <v/>
      </c>
      <c r="G860" s="16" t="str">
        <f aca="false">IF(B860="","",IF(COUNTIFS($B$2:$B$1201,B860,$A$2:$A$1201,"&lt;&gt;"&amp;A860)&gt;0,"Sim",""))</f>
        <v/>
      </c>
      <c r="H860" s="16" t="str">
        <f aca="false">IF(N(F860)&gt;0,MAX(H$1:H859)+1,"")</f>
        <v/>
      </c>
      <c r="I860" s="11" t="str">
        <f aca="false">IF(B860="","",IF(INDEX($C$2:$C$1201,MATCH(B860,$B$2:$B$1201,0))&lt;&gt;C860,"Nome diferente em outro deck — revisar",""))</f>
        <v/>
      </c>
      <c r="J860" s="16" t="str">
        <f aca="false">IF(AND(B860&lt;&gt;"",A860=BULK!$A$1,N(F860)&gt;0),MAX(J$1:J859)+1,"")</f>
        <v/>
      </c>
      <c r="K860" s="11" t="str">
        <f aca="false">IF(B860="","",IFERROR(LEFT(B860,FIND("-",B860)-1),B860))</f>
        <v/>
      </c>
      <c r="L860" s="11" t="str">
        <f aca="false">IF(K860="","",IF(ISNUMBER(--MID(K860,1,1)),0,IF(ISNUMBER(--MID(K860,2,1)),1,IF(ISNUMBER(--MID(K860,3,1)),2,IF(ISNUMBER(--MID(K860,4,1)),3,MIN(LEN(K860),4))))))</f>
        <v/>
      </c>
      <c r="M860" s="11" t="str">
        <f aca="false">IF(B860="","",LEFT(K860,L860)&amp;REPT("0",4-L860)&amp;RIGHT("000"&amp;IFERROR(VALUE(MID(K860,L860+1,9)),0),3)&amp;RIGHT("0000"&amp;IFERROR(VALUE(MID(B860,FIND("-",B860)+1,9)),0),4))</f>
        <v/>
      </c>
      <c r="N860" s="11" t="str">
        <f aca="false">IF(OR(B860="",N(F860)&lt;=0),"",IF('FALTAS POR DECK'!$P$1="Código","K"&amp;M860&amp;RIGHT("00000"&amp;ROW(),5),IF('FALTAS POR DECK'!$P$1="Nome","K"&amp;UPPER(SUBSTITUTE(SUBSTITUTE(SUBSTITUTE(C860,"*",""),"?",""),"~",""))&amp;"0"&amp;M860&amp;RIGHT("00000"&amp;ROW(),5),IF('FALTAS POR DECK'!$P$1="Falta (maior primeiro)","K"&amp;RIGHT("0000"&amp;(9999-F860),4)&amp;M860&amp;RIGHT("00000"&amp;ROW(),5),IF('FALTAS POR DECK'!$P$1="Deck e código","K"&amp;RIGHT("00"&amp;IFERROR(MATCH(A860,_LEITURA!$P$2:$P$21,0),99),2)&amp;M860&amp;RIGHT("00000"&amp;ROW(),5),"K"&amp;RIGHT("00000"&amp;ROW(),5))))))</f>
        <v/>
      </c>
      <c r="O860" s="16" t="str">
        <f aca="false">IF(N860="","",COUNTIFS($N$2:$N$1201,"&lt;"&amp;N860,$F$2:$F$1201,"&gt;0")+1)</f>
        <v/>
      </c>
    </row>
    <row r="861" customFormat="false" ht="15" hidden="false" customHeight="false" outlineLevel="0" collapsed="false">
      <c r="A861" s="11" t="str">
        <f aca="false">IF(_LEITURA!$N861="","",INDEX(_LEITURA!$K$2:$K$1201,_LEITURA!$N861))</f>
        <v/>
      </c>
      <c r="B861" s="11" t="str">
        <f aca="false">IF(_LEITURA!$N861="","",INDEX(_LEITURA!$E$2:$E$1201,_LEITURA!$N861))</f>
        <v/>
      </c>
      <c r="C861" s="11" t="str">
        <f aca="false">IF(_LEITURA!$N861="","",INDEX(_LEITURA!$J$2:$J$1201,_LEITURA!$N861))</f>
        <v/>
      </c>
      <c r="D861" s="16" t="str">
        <f aca="false">IF(_LEITURA!$N861="","",INDEX(_LEITURA!$G$2:$G$1201,_LEITURA!$N861))</f>
        <v/>
      </c>
      <c r="E861" s="16" t="str">
        <f aca="false">IF(B861="","",SUMIFS(INVENTÁRIO!$C$2:$C$801,INVENTÁRIO!$A$2:$A$801,B861))</f>
        <v/>
      </c>
      <c r="F861" s="16" t="str">
        <f aca="false">IF(B861="","",MAX(0,D861-E861))</f>
        <v/>
      </c>
      <c r="G861" s="16" t="str">
        <f aca="false">IF(B861="","",IF(COUNTIFS($B$2:$B$1201,B861,$A$2:$A$1201,"&lt;&gt;"&amp;A861)&gt;0,"Sim",""))</f>
        <v/>
      </c>
      <c r="H861" s="16" t="str">
        <f aca="false">IF(N(F861)&gt;0,MAX(H$1:H860)+1,"")</f>
        <v/>
      </c>
      <c r="I861" s="11" t="str">
        <f aca="false">IF(B861="","",IF(INDEX($C$2:$C$1201,MATCH(B861,$B$2:$B$1201,0))&lt;&gt;C861,"Nome diferente em outro deck — revisar",""))</f>
        <v/>
      </c>
      <c r="J861" s="16" t="str">
        <f aca="false">IF(AND(B861&lt;&gt;"",A861=BULK!$A$1,N(F861)&gt;0),MAX(J$1:J860)+1,"")</f>
        <v/>
      </c>
      <c r="K861" s="11" t="str">
        <f aca="false">IF(B861="","",IFERROR(LEFT(B861,FIND("-",B861)-1),B861))</f>
        <v/>
      </c>
      <c r="L861" s="11" t="str">
        <f aca="false">IF(K861="","",IF(ISNUMBER(--MID(K861,1,1)),0,IF(ISNUMBER(--MID(K861,2,1)),1,IF(ISNUMBER(--MID(K861,3,1)),2,IF(ISNUMBER(--MID(K861,4,1)),3,MIN(LEN(K861),4))))))</f>
        <v/>
      </c>
      <c r="M861" s="11" t="str">
        <f aca="false">IF(B861="","",LEFT(K861,L861)&amp;REPT("0",4-L861)&amp;RIGHT("000"&amp;IFERROR(VALUE(MID(K861,L861+1,9)),0),3)&amp;RIGHT("0000"&amp;IFERROR(VALUE(MID(B861,FIND("-",B861)+1,9)),0),4))</f>
        <v/>
      </c>
      <c r="N861" s="11" t="str">
        <f aca="false">IF(OR(B861="",N(F861)&lt;=0),"",IF('FALTAS POR DECK'!$P$1="Código","K"&amp;M861&amp;RIGHT("00000"&amp;ROW(),5),IF('FALTAS POR DECK'!$P$1="Nome","K"&amp;UPPER(SUBSTITUTE(SUBSTITUTE(SUBSTITUTE(C861,"*",""),"?",""),"~",""))&amp;"0"&amp;M861&amp;RIGHT("00000"&amp;ROW(),5),IF('FALTAS POR DECK'!$P$1="Falta (maior primeiro)","K"&amp;RIGHT("0000"&amp;(9999-F861),4)&amp;M861&amp;RIGHT("00000"&amp;ROW(),5),IF('FALTAS POR DECK'!$P$1="Deck e código","K"&amp;RIGHT("00"&amp;IFERROR(MATCH(A861,_LEITURA!$P$2:$P$21,0),99),2)&amp;M861&amp;RIGHT("00000"&amp;ROW(),5),"K"&amp;RIGHT("00000"&amp;ROW(),5))))))</f>
        <v/>
      </c>
      <c r="O861" s="16" t="str">
        <f aca="false">IF(N861="","",COUNTIFS($N$2:$N$1201,"&lt;"&amp;N861,$F$2:$F$1201,"&gt;0")+1)</f>
        <v/>
      </c>
    </row>
    <row r="862" customFormat="false" ht="15" hidden="false" customHeight="false" outlineLevel="0" collapsed="false">
      <c r="A862" s="11" t="str">
        <f aca="false">IF(_LEITURA!$N862="","",INDEX(_LEITURA!$K$2:$K$1201,_LEITURA!$N862))</f>
        <v/>
      </c>
      <c r="B862" s="11" t="str">
        <f aca="false">IF(_LEITURA!$N862="","",INDEX(_LEITURA!$E$2:$E$1201,_LEITURA!$N862))</f>
        <v/>
      </c>
      <c r="C862" s="11" t="str">
        <f aca="false">IF(_LEITURA!$N862="","",INDEX(_LEITURA!$J$2:$J$1201,_LEITURA!$N862))</f>
        <v/>
      </c>
      <c r="D862" s="16" t="str">
        <f aca="false">IF(_LEITURA!$N862="","",INDEX(_LEITURA!$G$2:$G$1201,_LEITURA!$N862))</f>
        <v/>
      </c>
      <c r="E862" s="16" t="str">
        <f aca="false">IF(B862="","",SUMIFS(INVENTÁRIO!$C$2:$C$801,INVENTÁRIO!$A$2:$A$801,B862))</f>
        <v/>
      </c>
      <c r="F862" s="16" t="str">
        <f aca="false">IF(B862="","",MAX(0,D862-E862))</f>
        <v/>
      </c>
      <c r="G862" s="16" t="str">
        <f aca="false">IF(B862="","",IF(COUNTIFS($B$2:$B$1201,B862,$A$2:$A$1201,"&lt;&gt;"&amp;A862)&gt;0,"Sim",""))</f>
        <v/>
      </c>
      <c r="H862" s="16" t="str">
        <f aca="false">IF(N(F862)&gt;0,MAX(H$1:H861)+1,"")</f>
        <v/>
      </c>
      <c r="I862" s="11" t="str">
        <f aca="false">IF(B862="","",IF(INDEX($C$2:$C$1201,MATCH(B862,$B$2:$B$1201,0))&lt;&gt;C862,"Nome diferente em outro deck — revisar",""))</f>
        <v/>
      </c>
      <c r="J862" s="16" t="str">
        <f aca="false">IF(AND(B862&lt;&gt;"",A862=BULK!$A$1,N(F862)&gt;0),MAX(J$1:J861)+1,"")</f>
        <v/>
      </c>
      <c r="K862" s="11" t="str">
        <f aca="false">IF(B862="","",IFERROR(LEFT(B862,FIND("-",B862)-1),B862))</f>
        <v/>
      </c>
      <c r="L862" s="11" t="str">
        <f aca="false">IF(K862="","",IF(ISNUMBER(--MID(K862,1,1)),0,IF(ISNUMBER(--MID(K862,2,1)),1,IF(ISNUMBER(--MID(K862,3,1)),2,IF(ISNUMBER(--MID(K862,4,1)),3,MIN(LEN(K862),4))))))</f>
        <v/>
      </c>
      <c r="M862" s="11" t="str">
        <f aca="false">IF(B862="","",LEFT(K862,L862)&amp;REPT("0",4-L862)&amp;RIGHT("000"&amp;IFERROR(VALUE(MID(K862,L862+1,9)),0),3)&amp;RIGHT("0000"&amp;IFERROR(VALUE(MID(B862,FIND("-",B862)+1,9)),0),4))</f>
        <v/>
      </c>
      <c r="N862" s="11" t="str">
        <f aca="false">IF(OR(B862="",N(F862)&lt;=0),"",IF('FALTAS POR DECK'!$P$1="Código","K"&amp;M862&amp;RIGHT("00000"&amp;ROW(),5),IF('FALTAS POR DECK'!$P$1="Nome","K"&amp;UPPER(SUBSTITUTE(SUBSTITUTE(SUBSTITUTE(C862,"*",""),"?",""),"~",""))&amp;"0"&amp;M862&amp;RIGHT("00000"&amp;ROW(),5),IF('FALTAS POR DECK'!$P$1="Falta (maior primeiro)","K"&amp;RIGHT("0000"&amp;(9999-F862),4)&amp;M862&amp;RIGHT("00000"&amp;ROW(),5),IF('FALTAS POR DECK'!$P$1="Deck e código","K"&amp;RIGHT("00"&amp;IFERROR(MATCH(A862,_LEITURA!$P$2:$P$21,0),99),2)&amp;M862&amp;RIGHT("00000"&amp;ROW(),5),"K"&amp;RIGHT("00000"&amp;ROW(),5))))))</f>
        <v/>
      </c>
      <c r="O862" s="16" t="str">
        <f aca="false">IF(N862="","",COUNTIFS($N$2:$N$1201,"&lt;"&amp;N862,$F$2:$F$1201,"&gt;0")+1)</f>
        <v/>
      </c>
    </row>
    <row r="863" customFormat="false" ht="15" hidden="false" customHeight="false" outlineLevel="0" collapsed="false">
      <c r="A863" s="11" t="str">
        <f aca="false">IF(_LEITURA!$N863="","",INDEX(_LEITURA!$K$2:$K$1201,_LEITURA!$N863))</f>
        <v/>
      </c>
      <c r="B863" s="11" t="str">
        <f aca="false">IF(_LEITURA!$N863="","",INDEX(_LEITURA!$E$2:$E$1201,_LEITURA!$N863))</f>
        <v/>
      </c>
      <c r="C863" s="11" t="str">
        <f aca="false">IF(_LEITURA!$N863="","",INDEX(_LEITURA!$J$2:$J$1201,_LEITURA!$N863))</f>
        <v/>
      </c>
      <c r="D863" s="16" t="str">
        <f aca="false">IF(_LEITURA!$N863="","",INDEX(_LEITURA!$G$2:$G$1201,_LEITURA!$N863))</f>
        <v/>
      </c>
      <c r="E863" s="16" t="str">
        <f aca="false">IF(B863="","",SUMIFS(INVENTÁRIO!$C$2:$C$801,INVENTÁRIO!$A$2:$A$801,B863))</f>
        <v/>
      </c>
      <c r="F863" s="16" t="str">
        <f aca="false">IF(B863="","",MAX(0,D863-E863))</f>
        <v/>
      </c>
      <c r="G863" s="16" t="str">
        <f aca="false">IF(B863="","",IF(COUNTIFS($B$2:$B$1201,B863,$A$2:$A$1201,"&lt;&gt;"&amp;A863)&gt;0,"Sim",""))</f>
        <v/>
      </c>
      <c r="H863" s="16" t="str">
        <f aca="false">IF(N(F863)&gt;0,MAX(H$1:H862)+1,"")</f>
        <v/>
      </c>
      <c r="I863" s="11" t="str">
        <f aca="false">IF(B863="","",IF(INDEX($C$2:$C$1201,MATCH(B863,$B$2:$B$1201,0))&lt;&gt;C863,"Nome diferente em outro deck — revisar",""))</f>
        <v/>
      </c>
      <c r="J863" s="16" t="str">
        <f aca="false">IF(AND(B863&lt;&gt;"",A863=BULK!$A$1,N(F863)&gt;0),MAX(J$1:J862)+1,"")</f>
        <v/>
      </c>
      <c r="K863" s="11" t="str">
        <f aca="false">IF(B863="","",IFERROR(LEFT(B863,FIND("-",B863)-1),B863))</f>
        <v/>
      </c>
      <c r="L863" s="11" t="str">
        <f aca="false">IF(K863="","",IF(ISNUMBER(--MID(K863,1,1)),0,IF(ISNUMBER(--MID(K863,2,1)),1,IF(ISNUMBER(--MID(K863,3,1)),2,IF(ISNUMBER(--MID(K863,4,1)),3,MIN(LEN(K863),4))))))</f>
        <v/>
      </c>
      <c r="M863" s="11" t="str">
        <f aca="false">IF(B863="","",LEFT(K863,L863)&amp;REPT("0",4-L863)&amp;RIGHT("000"&amp;IFERROR(VALUE(MID(K863,L863+1,9)),0),3)&amp;RIGHT("0000"&amp;IFERROR(VALUE(MID(B863,FIND("-",B863)+1,9)),0),4))</f>
        <v/>
      </c>
      <c r="N863" s="11" t="str">
        <f aca="false">IF(OR(B863="",N(F863)&lt;=0),"",IF('FALTAS POR DECK'!$P$1="Código","K"&amp;M863&amp;RIGHT("00000"&amp;ROW(),5),IF('FALTAS POR DECK'!$P$1="Nome","K"&amp;UPPER(SUBSTITUTE(SUBSTITUTE(SUBSTITUTE(C863,"*",""),"?",""),"~",""))&amp;"0"&amp;M863&amp;RIGHT("00000"&amp;ROW(),5),IF('FALTAS POR DECK'!$P$1="Falta (maior primeiro)","K"&amp;RIGHT("0000"&amp;(9999-F863),4)&amp;M863&amp;RIGHT("00000"&amp;ROW(),5),IF('FALTAS POR DECK'!$P$1="Deck e código","K"&amp;RIGHT("00"&amp;IFERROR(MATCH(A863,_LEITURA!$P$2:$P$21,0),99),2)&amp;M863&amp;RIGHT("00000"&amp;ROW(),5),"K"&amp;RIGHT("00000"&amp;ROW(),5))))))</f>
        <v/>
      </c>
      <c r="O863" s="16" t="str">
        <f aca="false">IF(N863="","",COUNTIFS($N$2:$N$1201,"&lt;"&amp;N863,$F$2:$F$1201,"&gt;0")+1)</f>
        <v/>
      </c>
    </row>
    <row r="864" customFormat="false" ht="15" hidden="false" customHeight="false" outlineLevel="0" collapsed="false">
      <c r="A864" s="11" t="str">
        <f aca="false">IF(_LEITURA!$N864="","",INDEX(_LEITURA!$K$2:$K$1201,_LEITURA!$N864))</f>
        <v/>
      </c>
      <c r="B864" s="11" t="str">
        <f aca="false">IF(_LEITURA!$N864="","",INDEX(_LEITURA!$E$2:$E$1201,_LEITURA!$N864))</f>
        <v/>
      </c>
      <c r="C864" s="11" t="str">
        <f aca="false">IF(_LEITURA!$N864="","",INDEX(_LEITURA!$J$2:$J$1201,_LEITURA!$N864))</f>
        <v/>
      </c>
      <c r="D864" s="16" t="str">
        <f aca="false">IF(_LEITURA!$N864="","",INDEX(_LEITURA!$G$2:$G$1201,_LEITURA!$N864))</f>
        <v/>
      </c>
      <c r="E864" s="16" t="str">
        <f aca="false">IF(B864="","",SUMIFS(INVENTÁRIO!$C$2:$C$801,INVENTÁRIO!$A$2:$A$801,B864))</f>
        <v/>
      </c>
      <c r="F864" s="16" t="str">
        <f aca="false">IF(B864="","",MAX(0,D864-E864))</f>
        <v/>
      </c>
      <c r="G864" s="16" t="str">
        <f aca="false">IF(B864="","",IF(COUNTIFS($B$2:$B$1201,B864,$A$2:$A$1201,"&lt;&gt;"&amp;A864)&gt;0,"Sim",""))</f>
        <v/>
      </c>
      <c r="H864" s="16" t="str">
        <f aca="false">IF(N(F864)&gt;0,MAX(H$1:H863)+1,"")</f>
        <v/>
      </c>
      <c r="I864" s="11" t="str">
        <f aca="false">IF(B864="","",IF(INDEX($C$2:$C$1201,MATCH(B864,$B$2:$B$1201,0))&lt;&gt;C864,"Nome diferente em outro deck — revisar",""))</f>
        <v/>
      </c>
      <c r="J864" s="16" t="str">
        <f aca="false">IF(AND(B864&lt;&gt;"",A864=BULK!$A$1,N(F864)&gt;0),MAX(J$1:J863)+1,"")</f>
        <v/>
      </c>
      <c r="K864" s="11" t="str">
        <f aca="false">IF(B864="","",IFERROR(LEFT(B864,FIND("-",B864)-1),B864))</f>
        <v/>
      </c>
      <c r="L864" s="11" t="str">
        <f aca="false">IF(K864="","",IF(ISNUMBER(--MID(K864,1,1)),0,IF(ISNUMBER(--MID(K864,2,1)),1,IF(ISNUMBER(--MID(K864,3,1)),2,IF(ISNUMBER(--MID(K864,4,1)),3,MIN(LEN(K864),4))))))</f>
        <v/>
      </c>
      <c r="M864" s="11" t="str">
        <f aca="false">IF(B864="","",LEFT(K864,L864)&amp;REPT("0",4-L864)&amp;RIGHT("000"&amp;IFERROR(VALUE(MID(K864,L864+1,9)),0),3)&amp;RIGHT("0000"&amp;IFERROR(VALUE(MID(B864,FIND("-",B864)+1,9)),0),4))</f>
        <v/>
      </c>
      <c r="N864" s="11" t="str">
        <f aca="false">IF(OR(B864="",N(F864)&lt;=0),"",IF('FALTAS POR DECK'!$P$1="Código","K"&amp;M864&amp;RIGHT("00000"&amp;ROW(),5),IF('FALTAS POR DECK'!$P$1="Nome","K"&amp;UPPER(SUBSTITUTE(SUBSTITUTE(SUBSTITUTE(C864,"*",""),"?",""),"~",""))&amp;"0"&amp;M864&amp;RIGHT("00000"&amp;ROW(),5),IF('FALTAS POR DECK'!$P$1="Falta (maior primeiro)","K"&amp;RIGHT("0000"&amp;(9999-F864),4)&amp;M864&amp;RIGHT("00000"&amp;ROW(),5),IF('FALTAS POR DECK'!$P$1="Deck e código","K"&amp;RIGHT("00"&amp;IFERROR(MATCH(A864,_LEITURA!$P$2:$P$21,0),99),2)&amp;M864&amp;RIGHT("00000"&amp;ROW(),5),"K"&amp;RIGHT("00000"&amp;ROW(),5))))))</f>
        <v/>
      </c>
      <c r="O864" s="16" t="str">
        <f aca="false">IF(N864="","",COUNTIFS($N$2:$N$1201,"&lt;"&amp;N864,$F$2:$F$1201,"&gt;0")+1)</f>
        <v/>
      </c>
    </row>
    <row r="865" customFormat="false" ht="15" hidden="false" customHeight="false" outlineLevel="0" collapsed="false">
      <c r="A865" s="11" t="str">
        <f aca="false">IF(_LEITURA!$N865="","",INDEX(_LEITURA!$K$2:$K$1201,_LEITURA!$N865))</f>
        <v/>
      </c>
      <c r="B865" s="11" t="str">
        <f aca="false">IF(_LEITURA!$N865="","",INDEX(_LEITURA!$E$2:$E$1201,_LEITURA!$N865))</f>
        <v/>
      </c>
      <c r="C865" s="11" t="str">
        <f aca="false">IF(_LEITURA!$N865="","",INDEX(_LEITURA!$J$2:$J$1201,_LEITURA!$N865))</f>
        <v/>
      </c>
      <c r="D865" s="16" t="str">
        <f aca="false">IF(_LEITURA!$N865="","",INDEX(_LEITURA!$G$2:$G$1201,_LEITURA!$N865))</f>
        <v/>
      </c>
      <c r="E865" s="16" t="str">
        <f aca="false">IF(B865="","",SUMIFS(INVENTÁRIO!$C$2:$C$801,INVENTÁRIO!$A$2:$A$801,B865))</f>
        <v/>
      </c>
      <c r="F865" s="16" t="str">
        <f aca="false">IF(B865="","",MAX(0,D865-E865))</f>
        <v/>
      </c>
      <c r="G865" s="16" t="str">
        <f aca="false">IF(B865="","",IF(COUNTIFS($B$2:$B$1201,B865,$A$2:$A$1201,"&lt;&gt;"&amp;A865)&gt;0,"Sim",""))</f>
        <v/>
      </c>
      <c r="H865" s="16" t="str">
        <f aca="false">IF(N(F865)&gt;0,MAX(H$1:H864)+1,"")</f>
        <v/>
      </c>
      <c r="I865" s="11" t="str">
        <f aca="false">IF(B865="","",IF(INDEX($C$2:$C$1201,MATCH(B865,$B$2:$B$1201,0))&lt;&gt;C865,"Nome diferente em outro deck — revisar",""))</f>
        <v/>
      </c>
      <c r="J865" s="16" t="str">
        <f aca="false">IF(AND(B865&lt;&gt;"",A865=BULK!$A$1,N(F865)&gt;0),MAX(J$1:J864)+1,"")</f>
        <v/>
      </c>
      <c r="K865" s="11" t="str">
        <f aca="false">IF(B865="","",IFERROR(LEFT(B865,FIND("-",B865)-1),B865))</f>
        <v/>
      </c>
      <c r="L865" s="11" t="str">
        <f aca="false">IF(K865="","",IF(ISNUMBER(--MID(K865,1,1)),0,IF(ISNUMBER(--MID(K865,2,1)),1,IF(ISNUMBER(--MID(K865,3,1)),2,IF(ISNUMBER(--MID(K865,4,1)),3,MIN(LEN(K865),4))))))</f>
        <v/>
      </c>
      <c r="M865" s="11" t="str">
        <f aca="false">IF(B865="","",LEFT(K865,L865)&amp;REPT("0",4-L865)&amp;RIGHT("000"&amp;IFERROR(VALUE(MID(K865,L865+1,9)),0),3)&amp;RIGHT("0000"&amp;IFERROR(VALUE(MID(B865,FIND("-",B865)+1,9)),0),4))</f>
        <v/>
      </c>
      <c r="N865" s="11" t="str">
        <f aca="false">IF(OR(B865="",N(F865)&lt;=0),"",IF('FALTAS POR DECK'!$P$1="Código","K"&amp;M865&amp;RIGHT("00000"&amp;ROW(),5),IF('FALTAS POR DECK'!$P$1="Nome","K"&amp;UPPER(SUBSTITUTE(SUBSTITUTE(SUBSTITUTE(C865,"*",""),"?",""),"~",""))&amp;"0"&amp;M865&amp;RIGHT("00000"&amp;ROW(),5),IF('FALTAS POR DECK'!$P$1="Falta (maior primeiro)","K"&amp;RIGHT("0000"&amp;(9999-F865),4)&amp;M865&amp;RIGHT("00000"&amp;ROW(),5),IF('FALTAS POR DECK'!$P$1="Deck e código","K"&amp;RIGHT("00"&amp;IFERROR(MATCH(A865,_LEITURA!$P$2:$P$21,0),99),2)&amp;M865&amp;RIGHT("00000"&amp;ROW(),5),"K"&amp;RIGHT("00000"&amp;ROW(),5))))))</f>
        <v/>
      </c>
      <c r="O865" s="16" t="str">
        <f aca="false">IF(N865="","",COUNTIFS($N$2:$N$1201,"&lt;"&amp;N865,$F$2:$F$1201,"&gt;0")+1)</f>
        <v/>
      </c>
    </row>
    <row r="866" customFormat="false" ht="15" hidden="false" customHeight="false" outlineLevel="0" collapsed="false">
      <c r="A866" s="11" t="str">
        <f aca="false">IF(_LEITURA!$N866="","",INDEX(_LEITURA!$K$2:$K$1201,_LEITURA!$N866))</f>
        <v/>
      </c>
      <c r="B866" s="11" t="str">
        <f aca="false">IF(_LEITURA!$N866="","",INDEX(_LEITURA!$E$2:$E$1201,_LEITURA!$N866))</f>
        <v/>
      </c>
      <c r="C866" s="11" t="str">
        <f aca="false">IF(_LEITURA!$N866="","",INDEX(_LEITURA!$J$2:$J$1201,_LEITURA!$N866))</f>
        <v/>
      </c>
      <c r="D866" s="16" t="str">
        <f aca="false">IF(_LEITURA!$N866="","",INDEX(_LEITURA!$G$2:$G$1201,_LEITURA!$N866))</f>
        <v/>
      </c>
      <c r="E866" s="16" t="str">
        <f aca="false">IF(B866="","",SUMIFS(INVENTÁRIO!$C$2:$C$801,INVENTÁRIO!$A$2:$A$801,B866))</f>
        <v/>
      </c>
      <c r="F866" s="16" t="str">
        <f aca="false">IF(B866="","",MAX(0,D866-E866))</f>
        <v/>
      </c>
      <c r="G866" s="16" t="str">
        <f aca="false">IF(B866="","",IF(COUNTIFS($B$2:$B$1201,B866,$A$2:$A$1201,"&lt;&gt;"&amp;A866)&gt;0,"Sim",""))</f>
        <v/>
      </c>
      <c r="H866" s="16" t="str">
        <f aca="false">IF(N(F866)&gt;0,MAX(H$1:H865)+1,"")</f>
        <v/>
      </c>
      <c r="I866" s="11" t="str">
        <f aca="false">IF(B866="","",IF(INDEX($C$2:$C$1201,MATCH(B866,$B$2:$B$1201,0))&lt;&gt;C866,"Nome diferente em outro deck — revisar",""))</f>
        <v/>
      </c>
      <c r="J866" s="16" t="str">
        <f aca="false">IF(AND(B866&lt;&gt;"",A866=BULK!$A$1,N(F866)&gt;0),MAX(J$1:J865)+1,"")</f>
        <v/>
      </c>
      <c r="K866" s="11" t="str">
        <f aca="false">IF(B866="","",IFERROR(LEFT(B866,FIND("-",B866)-1),B866))</f>
        <v/>
      </c>
      <c r="L866" s="11" t="str">
        <f aca="false">IF(K866="","",IF(ISNUMBER(--MID(K866,1,1)),0,IF(ISNUMBER(--MID(K866,2,1)),1,IF(ISNUMBER(--MID(K866,3,1)),2,IF(ISNUMBER(--MID(K866,4,1)),3,MIN(LEN(K866),4))))))</f>
        <v/>
      </c>
      <c r="M866" s="11" t="str">
        <f aca="false">IF(B866="","",LEFT(K866,L866)&amp;REPT("0",4-L866)&amp;RIGHT("000"&amp;IFERROR(VALUE(MID(K866,L866+1,9)),0),3)&amp;RIGHT("0000"&amp;IFERROR(VALUE(MID(B866,FIND("-",B866)+1,9)),0),4))</f>
        <v/>
      </c>
      <c r="N866" s="11" t="str">
        <f aca="false">IF(OR(B866="",N(F866)&lt;=0),"",IF('FALTAS POR DECK'!$P$1="Código","K"&amp;M866&amp;RIGHT("00000"&amp;ROW(),5),IF('FALTAS POR DECK'!$P$1="Nome","K"&amp;UPPER(SUBSTITUTE(SUBSTITUTE(SUBSTITUTE(C866,"*",""),"?",""),"~",""))&amp;"0"&amp;M866&amp;RIGHT("00000"&amp;ROW(),5),IF('FALTAS POR DECK'!$P$1="Falta (maior primeiro)","K"&amp;RIGHT("0000"&amp;(9999-F866),4)&amp;M866&amp;RIGHT("00000"&amp;ROW(),5),IF('FALTAS POR DECK'!$P$1="Deck e código","K"&amp;RIGHT("00"&amp;IFERROR(MATCH(A866,_LEITURA!$P$2:$P$21,0),99),2)&amp;M866&amp;RIGHT("00000"&amp;ROW(),5),"K"&amp;RIGHT("00000"&amp;ROW(),5))))))</f>
        <v/>
      </c>
      <c r="O866" s="16" t="str">
        <f aca="false">IF(N866="","",COUNTIFS($N$2:$N$1201,"&lt;"&amp;N866,$F$2:$F$1201,"&gt;0")+1)</f>
        <v/>
      </c>
    </row>
    <row r="867" customFormat="false" ht="15" hidden="false" customHeight="false" outlineLevel="0" collapsed="false">
      <c r="A867" s="11" t="str">
        <f aca="false">IF(_LEITURA!$N867="","",INDEX(_LEITURA!$K$2:$K$1201,_LEITURA!$N867))</f>
        <v/>
      </c>
      <c r="B867" s="11" t="str">
        <f aca="false">IF(_LEITURA!$N867="","",INDEX(_LEITURA!$E$2:$E$1201,_LEITURA!$N867))</f>
        <v/>
      </c>
      <c r="C867" s="11" t="str">
        <f aca="false">IF(_LEITURA!$N867="","",INDEX(_LEITURA!$J$2:$J$1201,_LEITURA!$N867))</f>
        <v/>
      </c>
      <c r="D867" s="16" t="str">
        <f aca="false">IF(_LEITURA!$N867="","",INDEX(_LEITURA!$G$2:$G$1201,_LEITURA!$N867))</f>
        <v/>
      </c>
      <c r="E867" s="16" t="str">
        <f aca="false">IF(B867="","",SUMIFS(INVENTÁRIO!$C$2:$C$801,INVENTÁRIO!$A$2:$A$801,B867))</f>
        <v/>
      </c>
      <c r="F867" s="16" t="str">
        <f aca="false">IF(B867="","",MAX(0,D867-E867))</f>
        <v/>
      </c>
      <c r="G867" s="16" t="str">
        <f aca="false">IF(B867="","",IF(COUNTIFS($B$2:$B$1201,B867,$A$2:$A$1201,"&lt;&gt;"&amp;A867)&gt;0,"Sim",""))</f>
        <v/>
      </c>
      <c r="H867" s="16" t="str">
        <f aca="false">IF(N(F867)&gt;0,MAX(H$1:H866)+1,"")</f>
        <v/>
      </c>
      <c r="I867" s="11" t="str">
        <f aca="false">IF(B867="","",IF(INDEX($C$2:$C$1201,MATCH(B867,$B$2:$B$1201,0))&lt;&gt;C867,"Nome diferente em outro deck — revisar",""))</f>
        <v/>
      </c>
      <c r="J867" s="16" t="str">
        <f aca="false">IF(AND(B867&lt;&gt;"",A867=BULK!$A$1,N(F867)&gt;0),MAX(J$1:J866)+1,"")</f>
        <v/>
      </c>
      <c r="K867" s="11" t="str">
        <f aca="false">IF(B867="","",IFERROR(LEFT(B867,FIND("-",B867)-1),B867))</f>
        <v/>
      </c>
      <c r="L867" s="11" t="str">
        <f aca="false">IF(K867="","",IF(ISNUMBER(--MID(K867,1,1)),0,IF(ISNUMBER(--MID(K867,2,1)),1,IF(ISNUMBER(--MID(K867,3,1)),2,IF(ISNUMBER(--MID(K867,4,1)),3,MIN(LEN(K867),4))))))</f>
        <v/>
      </c>
      <c r="M867" s="11" t="str">
        <f aca="false">IF(B867="","",LEFT(K867,L867)&amp;REPT("0",4-L867)&amp;RIGHT("000"&amp;IFERROR(VALUE(MID(K867,L867+1,9)),0),3)&amp;RIGHT("0000"&amp;IFERROR(VALUE(MID(B867,FIND("-",B867)+1,9)),0),4))</f>
        <v/>
      </c>
      <c r="N867" s="11" t="str">
        <f aca="false">IF(OR(B867="",N(F867)&lt;=0),"",IF('FALTAS POR DECK'!$P$1="Código","K"&amp;M867&amp;RIGHT("00000"&amp;ROW(),5),IF('FALTAS POR DECK'!$P$1="Nome","K"&amp;UPPER(SUBSTITUTE(SUBSTITUTE(SUBSTITUTE(C867,"*",""),"?",""),"~",""))&amp;"0"&amp;M867&amp;RIGHT("00000"&amp;ROW(),5),IF('FALTAS POR DECK'!$P$1="Falta (maior primeiro)","K"&amp;RIGHT("0000"&amp;(9999-F867),4)&amp;M867&amp;RIGHT("00000"&amp;ROW(),5),IF('FALTAS POR DECK'!$P$1="Deck e código","K"&amp;RIGHT("00"&amp;IFERROR(MATCH(A867,_LEITURA!$P$2:$P$21,0),99),2)&amp;M867&amp;RIGHT("00000"&amp;ROW(),5),"K"&amp;RIGHT("00000"&amp;ROW(),5))))))</f>
        <v/>
      </c>
      <c r="O867" s="16" t="str">
        <f aca="false">IF(N867="","",COUNTIFS($N$2:$N$1201,"&lt;"&amp;N867,$F$2:$F$1201,"&gt;0")+1)</f>
        <v/>
      </c>
    </row>
    <row r="868" customFormat="false" ht="15" hidden="false" customHeight="false" outlineLevel="0" collapsed="false">
      <c r="A868" s="11" t="str">
        <f aca="false">IF(_LEITURA!$N868="","",INDEX(_LEITURA!$K$2:$K$1201,_LEITURA!$N868))</f>
        <v/>
      </c>
      <c r="B868" s="11" t="str">
        <f aca="false">IF(_LEITURA!$N868="","",INDEX(_LEITURA!$E$2:$E$1201,_LEITURA!$N868))</f>
        <v/>
      </c>
      <c r="C868" s="11" t="str">
        <f aca="false">IF(_LEITURA!$N868="","",INDEX(_LEITURA!$J$2:$J$1201,_LEITURA!$N868))</f>
        <v/>
      </c>
      <c r="D868" s="16" t="str">
        <f aca="false">IF(_LEITURA!$N868="","",INDEX(_LEITURA!$G$2:$G$1201,_LEITURA!$N868))</f>
        <v/>
      </c>
      <c r="E868" s="16" t="str">
        <f aca="false">IF(B868="","",SUMIFS(INVENTÁRIO!$C$2:$C$801,INVENTÁRIO!$A$2:$A$801,B868))</f>
        <v/>
      </c>
      <c r="F868" s="16" t="str">
        <f aca="false">IF(B868="","",MAX(0,D868-E868))</f>
        <v/>
      </c>
      <c r="G868" s="16" t="str">
        <f aca="false">IF(B868="","",IF(COUNTIFS($B$2:$B$1201,B868,$A$2:$A$1201,"&lt;&gt;"&amp;A868)&gt;0,"Sim",""))</f>
        <v/>
      </c>
      <c r="H868" s="16" t="str">
        <f aca="false">IF(N(F868)&gt;0,MAX(H$1:H867)+1,"")</f>
        <v/>
      </c>
      <c r="I868" s="11" t="str">
        <f aca="false">IF(B868="","",IF(INDEX($C$2:$C$1201,MATCH(B868,$B$2:$B$1201,0))&lt;&gt;C868,"Nome diferente em outro deck — revisar",""))</f>
        <v/>
      </c>
      <c r="J868" s="16" t="str">
        <f aca="false">IF(AND(B868&lt;&gt;"",A868=BULK!$A$1,N(F868)&gt;0),MAX(J$1:J867)+1,"")</f>
        <v/>
      </c>
      <c r="K868" s="11" t="str">
        <f aca="false">IF(B868="","",IFERROR(LEFT(B868,FIND("-",B868)-1),B868))</f>
        <v/>
      </c>
      <c r="L868" s="11" t="str">
        <f aca="false">IF(K868="","",IF(ISNUMBER(--MID(K868,1,1)),0,IF(ISNUMBER(--MID(K868,2,1)),1,IF(ISNUMBER(--MID(K868,3,1)),2,IF(ISNUMBER(--MID(K868,4,1)),3,MIN(LEN(K868),4))))))</f>
        <v/>
      </c>
      <c r="M868" s="11" t="str">
        <f aca="false">IF(B868="","",LEFT(K868,L868)&amp;REPT("0",4-L868)&amp;RIGHT("000"&amp;IFERROR(VALUE(MID(K868,L868+1,9)),0),3)&amp;RIGHT("0000"&amp;IFERROR(VALUE(MID(B868,FIND("-",B868)+1,9)),0),4))</f>
        <v/>
      </c>
      <c r="N868" s="11" t="str">
        <f aca="false">IF(OR(B868="",N(F868)&lt;=0),"",IF('FALTAS POR DECK'!$P$1="Código","K"&amp;M868&amp;RIGHT("00000"&amp;ROW(),5),IF('FALTAS POR DECK'!$P$1="Nome","K"&amp;UPPER(SUBSTITUTE(SUBSTITUTE(SUBSTITUTE(C868,"*",""),"?",""),"~",""))&amp;"0"&amp;M868&amp;RIGHT("00000"&amp;ROW(),5),IF('FALTAS POR DECK'!$P$1="Falta (maior primeiro)","K"&amp;RIGHT("0000"&amp;(9999-F868),4)&amp;M868&amp;RIGHT("00000"&amp;ROW(),5),IF('FALTAS POR DECK'!$P$1="Deck e código","K"&amp;RIGHT("00"&amp;IFERROR(MATCH(A868,_LEITURA!$P$2:$P$21,0),99),2)&amp;M868&amp;RIGHT("00000"&amp;ROW(),5),"K"&amp;RIGHT("00000"&amp;ROW(),5))))))</f>
        <v/>
      </c>
      <c r="O868" s="16" t="str">
        <f aca="false">IF(N868="","",COUNTIFS($N$2:$N$1201,"&lt;"&amp;N868,$F$2:$F$1201,"&gt;0")+1)</f>
        <v/>
      </c>
    </row>
    <row r="869" customFormat="false" ht="15" hidden="false" customHeight="false" outlineLevel="0" collapsed="false">
      <c r="A869" s="11" t="str">
        <f aca="false">IF(_LEITURA!$N869="","",INDEX(_LEITURA!$K$2:$K$1201,_LEITURA!$N869))</f>
        <v/>
      </c>
      <c r="B869" s="11" t="str">
        <f aca="false">IF(_LEITURA!$N869="","",INDEX(_LEITURA!$E$2:$E$1201,_LEITURA!$N869))</f>
        <v/>
      </c>
      <c r="C869" s="11" t="str">
        <f aca="false">IF(_LEITURA!$N869="","",INDEX(_LEITURA!$J$2:$J$1201,_LEITURA!$N869))</f>
        <v/>
      </c>
      <c r="D869" s="16" t="str">
        <f aca="false">IF(_LEITURA!$N869="","",INDEX(_LEITURA!$G$2:$G$1201,_LEITURA!$N869))</f>
        <v/>
      </c>
      <c r="E869" s="16" t="str">
        <f aca="false">IF(B869="","",SUMIFS(INVENTÁRIO!$C$2:$C$801,INVENTÁRIO!$A$2:$A$801,B869))</f>
        <v/>
      </c>
      <c r="F869" s="16" t="str">
        <f aca="false">IF(B869="","",MAX(0,D869-E869))</f>
        <v/>
      </c>
      <c r="G869" s="16" t="str">
        <f aca="false">IF(B869="","",IF(COUNTIFS($B$2:$B$1201,B869,$A$2:$A$1201,"&lt;&gt;"&amp;A869)&gt;0,"Sim",""))</f>
        <v/>
      </c>
      <c r="H869" s="16" t="str">
        <f aca="false">IF(N(F869)&gt;0,MAX(H$1:H868)+1,"")</f>
        <v/>
      </c>
      <c r="I869" s="11" t="str">
        <f aca="false">IF(B869="","",IF(INDEX($C$2:$C$1201,MATCH(B869,$B$2:$B$1201,0))&lt;&gt;C869,"Nome diferente em outro deck — revisar",""))</f>
        <v/>
      </c>
      <c r="J869" s="16" t="str">
        <f aca="false">IF(AND(B869&lt;&gt;"",A869=BULK!$A$1,N(F869)&gt;0),MAX(J$1:J868)+1,"")</f>
        <v/>
      </c>
      <c r="K869" s="11" t="str">
        <f aca="false">IF(B869="","",IFERROR(LEFT(B869,FIND("-",B869)-1),B869))</f>
        <v/>
      </c>
      <c r="L869" s="11" t="str">
        <f aca="false">IF(K869="","",IF(ISNUMBER(--MID(K869,1,1)),0,IF(ISNUMBER(--MID(K869,2,1)),1,IF(ISNUMBER(--MID(K869,3,1)),2,IF(ISNUMBER(--MID(K869,4,1)),3,MIN(LEN(K869),4))))))</f>
        <v/>
      </c>
      <c r="M869" s="11" t="str">
        <f aca="false">IF(B869="","",LEFT(K869,L869)&amp;REPT("0",4-L869)&amp;RIGHT("000"&amp;IFERROR(VALUE(MID(K869,L869+1,9)),0),3)&amp;RIGHT("0000"&amp;IFERROR(VALUE(MID(B869,FIND("-",B869)+1,9)),0),4))</f>
        <v/>
      </c>
      <c r="N869" s="11" t="str">
        <f aca="false">IF(OR(B869="",N(F869)&lt;=0),"",IF('FALTAS POR DECK'!$P$1="Código","K"&amp;M869&amp;RIGHT("00000"&amp;ROW(),5),IF('FALTAS POR DECK'!$P$1="Nome","K"&amp;UPPER(SUBSTITUTE(SUBSTITUTE(SUBSTITUTE(C869,"*",""),"?",""),"~",""))&amp;"0"&amp;M869&amp;RIGHT("00000"&amp;ROW(),5),IF('FALTAS POR DECK'!$P$1="Falta (maior primeiro)","K"&amp;RIGHT("0000"&amp;(9999-F869),4)&amp;M869&amp;RIGHT("00000"&amp;ROW(),5),IF('FALTAS POR DECK'!$P$1="Deck e código","K"&amp;RIGHT("00"&amp;IFERROR(MATCH(A869,_LEITURA!$P$2:$P$21,0),99),2)&amp;M869&amp;RIGHT("00000"&amp;ROW(),5),"K"&amp;RIGHT("00000"&amp;ROW(),5))))))</f>
        <v/>
      </c>
      <c r="O869" s="16" t="str">
        <f aca="false">IF(N869="","",COUNTIFS($N$2:$N$1201,"&lt;"&amp;N869,$F$2:$F$1201,"&gt;0")+1)</f>
        <v/>
      </c>
    </row>
    <row r="870" customFormat="false" ht="15" hidden="false" customHeight="false" outlineLevel="0" collapsed="false">
      <c r="A870" s="11" t="str">
        <f aca="false">IF(_LEITURA!$N870="","",INDEX(_LEITURA!$K$2:$K$1201,_LEITURA!$N870))</f>
        <v/>
      </c>
      <c r="B870" s="11" t="str">
        <f aca="false">IF(_LEITURA!$N870="","",INDEX(_LEITURA!$E$2:$E$1201,_LEITURA!$N870))</f>
        <v/>
      </c>
      <c r="C870" s="11" t="str">
        <f aca="false">IF(_LEITURA!$N870="","",INDEX(_LEITURA!$J$2:$J$1201,_LEITURA!$N870))</f>
        <v/>
      </c>
      <c r="D870" s="16" t="str">
        <f aca="false">IF(_LEITURA!$N870="","",INDEX(_LEITURA!$G$2:$G$1201,_LEITURA!$N870))</f>
        <v/>
      </c>
      <c r="E870" s="16" t="str">
        <f aca="false">IF(B870="","",SUMIFS(INVENTÁRIO!$C$2:$C$801,INVENTÁRIO!$A$2:$A$801,B870))</f>
        <v/>
      </c>
      <c r="F870" s="16" t="str">
        <f aca="false">IF(B870="","",MAX(0,D870-E870))</f>
        <v/>
      </c>
      <c r="G870" s="16" t="str">
        <f aca="false">IF(B870="","",IF(COUNTIFS($B$2:$B$1201,B870,$A$2:$A$1201,"&lt;&gt;"&amp;A870)&gt;0,"Sim",""))</f>
        <v/>
      </c>
      <c r="H870" s="16" t="str">
        <f aca="false">IF(N(F870)&gt;0,MAX(H$1:H869)+1,"")</f>
        <v/>
      </c>
      <c r="I870" s="11" t="str">
        <f aca="false">IF(B870="","",IF(INDEX($C$2:$C$1201,MATCH(B870,$B$2:$B$1201,0))&lt;&gt;C870,"Nome diferente em outro deck — revisar",""))</f>
        <v/>
      </c>
      <c r="J870" s="16" t="str">
        <f aca="false">IF(AND(B870&lt;&gt;"",A870=BULK!$A$1,N(F870)&gt;0),MAX(J$1:J869)+1,"")</f>
        <v/>
      </c>
      <c r="K870" s="11" t="str">
        <f aca="false">IF(B870="","",IFERROR(LEFT(B870,FIND("-",B870)-1),B870))</f>
        <v/>
      </c>
      <c r="L870" s="11" t="str">
        <f aca="false">IF(K870="","",IF(ISNUMBER(--MID(K870,1,1)),0,IF(ISNUMBER(--MID(K870,2,1)),1,IF(ISNUMBER(--MID(K870,3,1)),2,IF(ISNUMBER(--MID(K870,4,1)),3,MIN(LEN(K870),4))))))</f>
        <v/>
      </c>
      <c r="M870" s="11" t="str">
        <f aca="false">IF(B870="","",LEFT(K870,L870)&amp;REPT("0",4-L870)&amp;RIGHT("000"&amp;IFERROR(VALUE(MID(K870,L870+1,9)),0),3)&amp;RIGHT("0000"&amp;IFERROR(VALUE(MID(B870,FIND("-",B870)+1,9)),0),4))</f>
        <v/>
      </c>
      <c r="N870" s="11" t="str">
        <f aca="false">IF(OR(B870="",N(F870)&lt;=0),"",IF('FALTAS POR DECK'!$P$1="Código","K"&amp;M870&amp;RIGHT("00000"&amp;ROW(),5),IF('FALTAS POR DECK'!$P$1="Nome","K"&amp;UPPER(SUBSTITUTE(SUBSTITUTE(SUBSTITUTE(C870,"*",""),"?",""),"~",""))&amp;"0"&amp;M870&amp;RIGHT("00000"&amp;ROW(),5),IF('FALTAS POR DECK'!$P$1="Falta (maior primeiro)","K"&amp;RIGHT("0000"&amp;(9999-F870),4)&amp;M870&amp;RIGHT("00000"&amp;ROW(),5),IF('FALTAS POR DECK'!$P$1="Deck e código","K"&amp;RIGHT("00"&amp;IFERROR(MATCH(A870,_LEITURA!$P$2:$P$21,0),99),2)&amp;M870&amp;RIGHT("00000"&amp;ROW(),5),"K"&amp;RIGHT("00000"&amp;ROW(),5))))))</f>
        <v/>
      </c>
      <c r="O870" s="16" t="str">
        <f aca="false">IF(N870="","",COUNTIFS($N$2:$N$1201,"&lt;"&amp;N870,$F$2:$F$1201,"&gt;0")+1)</f>
        <v/>
      </c>
    </row>
    <row r="871" customFormat="false" ht="15" hidden="false" customHeight="false" outlineLevel="0" collapsed="false">
      <c r="A871" s="11" t="str">
        <f aca="false">IF(_LEITURA!$N871="","",INDEX(_LEITURA!$K$2:$K$1201,_LEITURA!$N871))</f>
        <v/>
      </c>
      <c r="B871" s="11" t="str">
        <f aca="false">IF(_LEITURA!$N871="","",INDEX(_LEITURA!$E$2:$E$1201,_LEITURA!$N871))</f>
        <v/>
      </c>
      <c r="C871" s="11" t="str">
        <f aca="false">IF(_LEITURA!$N871="","",INDEX(_LEITURA!$J$2:$J$1201,_LEITURA!$N871))</f>
        <v/>
      </c>
      <c r="D871" s="16" t="str">
        <f aca="false">IF(_LEITURA!$N871="","",INDEX(_LEITURA!$G$2:$G$1201,_LEITURA!$N871))</f>
        <v/>
      </c>
      <c r="E871" s="16" t="str">
        <f aca="false">IF(B871="","",SUMIFS(INVENTÁRIO!$C$2:$C$801,INVENTÁRIO!$A$2:$A$801,B871))</f>
        <v/>
      </c>
      <c r="F871" s="16" t="str">
        <f aca="false">IF(B871="","",MAX(0,D871-E871))</f>
        <v/>
      </c>
      <c r="G871" s="16" t="str">
        <f aca="false">IF(B871="","",IF(COUNTIFS($B$2:$B$1201,B871,$A$2:$A$1201,"&lt;&gt;"&amp;A871)&gt;0,"Sim",""))</f>
        <v/>
      </c>
      <c r="H871" s="16" t="str">
        <f aca="false">IF(N(F871)&gt;0,MAX(H$1:H870)+1,"")</f>
        <v/>
      </c>
      <c r="I871" s="11" t="str">
        <f aca="false">IF(B871="","",IF(INDEX($C$2:$C$1201,MATCH(B871,$B$2:$B$1201,0))&lt;&gt;C871,"Nome diferente em outro deck — revisar",""))</f>
        <v/>
      </c>
      <c r="J871" s="16" t="str">
        <f aca="false">IF(AND(B871&lt;&gt;"",A871=BULK!$A$1,N(F871)&gt;0),MAX(J$1:J870)+1,"")</f>
        <v/>
      </c>
      <c r="K871" s="11" t="str">
        <f aca="false">IF(B871="","",IFERROR(LEFT(B871,FIND("-",B871)-1),B871))</f>
        <v/>
      </c>
      <c r="L871" s="11" t="str">
        <f aca="false">IF(K871="","",IF(ISNUMBER(--MID(K871,1,1)),0,IF(ISNUMBER(--MID(K871,2,1)),1,IF(ISNUMBER(--MID(K871,3,1)),2,IF(ISNUMBER(--MID(K871,4,1)),3,MIN(LEN(K871),4))))))</f>
        <v/>
      </c>
      <c r="M871" s="11" t="str">
        <f aca="false">IF(B871="","",LEFT(K871,L871)&amp;REPT("0",4-L871)&amp;RIGHT("000"&amp;IFERROR(VALUE(MID(K871,L871+1,9)),0),3)&amp;RIGHT("0000"&amp;IFERROR(VALUE(MID(B871,FIND("-",B871)+1,9)),0),4))</f>
        <v/>
      </c>
      <c r="N871" s="11" t="str">
        <f aca="false">IF(OR(B871="",N(F871)&lt;=0),"",IF('FALTAS POR DECK'!$P$1="Código","K"&amp;M871&amp;RIGHT("00000"&amp;ROW(),5),IF('FALTAS POR DECK'!$P$1="Nome","K"&amp;UPPER(SUBSTITUTE(SUBSTITUTE(SUBSTITUTE(C871,"*",""),"?",""),"~",""))&amp;"0"&amp;M871&amp;RIGHT("00000"&amp;ROW(),5),IF('FALTAS POR DECK'!$P$1="Falta (maior primeiro)","K"&amp;RIGHT("0000"&amp;(9999-F871),4)&amp;M871&amp;RIGHT("00000"&amp;ROW(),5),IF('FALTAS POR DECK'!$P$1="Deck e código","K"&amp;RIGHT("00"&amp;IFERROR(MATCH(A871,_LEITURA!$P$2:$P$21,0),99),2)&amp;M871&amp;RIGHT("00000"&amp;ROW(),5),"K"&amp;RIGHT("00000"&amp;ROW(),5))))))</f>
        <v/>
      </c>
      <c r="O871" s="16" t="str">
        <f aca="false">IF(N871="","",COUNTIFS($N$2:$N$1201,"&lt;"&amp;N871,$F$2:$F$1201,"&gt;0")+1)</f>
        <v/>
      </c>
    </row>
    <row r="872" customFormat="false" ht="15" hidden="false" customHeight="false" outlineLevel="0" collapsed="false">
      <c r="A872" s="11" t="str">
        <f aca="false">IF(_LEITURA!$N872="","",INDEX(_LEITURA!$K$2:$K$1201,_LEITURA!$N872))</f>
        <v/>
      </c>
      <c r="B872" s="11" t="str">
        <f aca="false">IF(_LEITURA!$N872="","",INDEX(_LEITURA!$E$2:$E$1201,_LEITURA!$N872))</f>
        <v/>
      </c>
      <c r="C872" s="11" t="str">
        <f aca="false">IF(_LEITURA!$N872="","",INDEX(_LEITURA!$J$2:$J$1201,_LEITURA!$N872))</f>
        <v/>
      </c>
      <c r="D872" s="16" t="str">
        <f aca="false">IF(_LEITURA!$N872="","",INDEX(_LEITURA!$G$2:$G$1201,_LEITURA!$N872))</f>
        <v/>
      </c>
      <c r="E872" s="16" t="str">
        <f aca="false">IF(B872="","",SUMIFS(INVENTÁRIO!$C$2:$C$801,INVENTÁRIO!$A$2:$A$801,B872))</f>
        <v/>
      </c>
      <c r="F872" s="16" t="str">
        <f aca="false">IF(B872="","",MAX(0,D872-E872))</f>
        <v/>
      </c>
      <c r="G872" s="16" t="str">
        <f aca="false">IF(B872="","",IF(COUNTIFS($B$2:$B$1201,B872,$A$2:$A$1201,"&lt;&gt;"&amp;A872)&gt;0,"Sim",""))</f>
        <v/>
      </c>
      <c r="H872" s="16" t="str">
        <f aca="false">IF(N(F872)&gt;0,MAX(H$1:H871)+1,"")</f>
        <v/>
      </c>
      <c r="I872" s="11" t="str">
        <f aca="false">IF(B872="","",IF(INDEX($C$2:$C$1201,MATCH(B872,$B$2:$B$1201,0))&lt;&gt;C872,"Nome diferente em outro deck — revisar",""))</f>
        <v/>
      </c>
      <c r="J872" s="16" t="str">
        <f aca="false">IF(AND(B872&lt;&gt;"",A872=BULK!$A$1,N(F872)&gt;0),MAX(J$1:J871)+1,"")</f>
        <v/>
      </c>
      <c r="K872" s="11" t="str">
        <f aca="false">IF(B872="","",IFERROR(LEFT(B872,FIND("-",B872)-1),B872))</f>
        <v/>
      </c>
      <c r="L872" s="11" t="str">
        <f aca="false">IF(K872="","",IF(ISNUMBER(--MID(K872,1,1)),0,IF(ISNUMBER(--MID(K872,2,1)),1,IF(ISNUMBER(--MID(K872,3,1)),2,IF(ISNUMBER(--MID(K872,4,1)),3,MIN(LEN(K872),4))))))</f>
        <v/>
      </c>
      <c r="M872" s="11" t="str">
        <f aca="false">IF(B872="","",LEFT(K872,L872)&amp;REPT("0",4-L872)&amp;RIGHT("000"&amp;IFERROR(VALUE(MID(K872,L872+1,9)),0),3)&amp;RIGHT("0000"&amp;IFERROR(VALUE(MID(B872,FIND("-",B872)+1,9)),0),4))</f>
        <v/>
      </c>
      <c r="N872" s="11" t="str">
        <f aca="false">IF(OR(B872="",N(F872)&lt;=0),"",IF('FALTAS POR DECK'!$P$1="Código","K"&amp;M872&amp;RIGHT("00000"&amp;ROW(),5),IF('FALTAS POR DECK'!$P$1="Nome","K"&amp;UPPER(SUBSTITUTE(SUBSTITUTE(SUBSTITUTE(C872,"*",""),"?",""),"~",""))&amp;"0"&amp;M872&amp;RIGHT("00000"&amp;ROW(),5),IF('FALTAS POR DECK'!$P$1="Falta (maior primeiro)","K"&amp;RIGHT("0000"&amp;(9999-F872),4)&amp;M872&amp;RIGHT("00000"&amp;ROW(),5),IF('FALTAS POR DECK'!$P$1="Deck e código","K"&amp;RIGHT("00"&amp;IFERROR(MATCH(A872,_LEITURA!$P$2:$P$21,0),99),2)&amp;M872&amp;RIGHT("00000"&amp;ROW(),5),"K"&amp;RIGHT("00000"&amp;ROW(),5))))))</f>
        <v/>
      </c>
      <c r="O872" s="16" t="str">
        <f aca="false">IF(N872="","",COUNTIFS($N$2:$N$1201,"&lt;"&amp;N872,$F$2:$F$1201,"&gt;0")+1)</f>
        <v/>
      </c>
    </row>
    <row r="873" customFormat="false" ht="15" hidden="false" customHeight="false" outlineLevel="0" collapsed="false">
      <c r="A873" s="11" t="str">
        <f aca="false">IF(_LEITURA!$N873="","",INDEX(_LEITURA!$K$2:$K$1201,_LEITURA!$N873))</f>
        <v/>
      </c>
      <c r="B873" s="11" t="str">
        <f aca="false">IF(_LEITURA!$N873="","",INDEX(_LEITURA!$E$2:$E$1201,_LEITURA!$N873))</f>
        <v/>
      </c>
      <c r="C873" s="11" t="str">
        <f aca="false">IF(_LEITURA!$N873="","",INDEX(_LEITURA!$J$2:$J$1201,_LEITURA!$N873))</f>
        <v/>
      </c>
      <c r="D873" s="16" t="str">
        <f aca="false">IF(_LEITURA!$N873="","",INDEX(_LEITURA!$G$2:$G$1201,_LEITURA!$N873))</f>
        <v/>
      </c>
      <c r="E873" s="16" t="str">
        <f aca="false">IF(B873="","",SUMIFS(INVENTÁRIO!$C$2:$C$801,INVENTÁRIO!$A$2:$A$801,B873))</f>
        <v/>
      </c>
      <c r="F873" s="16" t="str">
        <f aca="false">IF(B873="","",MAX(0,D873-E873))</f>
        <v/>
      </c>
      <c r="G873" s="16" t="str">
        <f aca="false">IF(B873="","",IF(COUNTIFS($B$2:$B$1201,B873,$A$2:$A$1201,"&lt;&gt;"&amp;A873)&gt;0,"Sim",""))</f>
        <v/>
      </c>
      <c r="H873" s="16" t="str">
        <f aca="false">IF(N(F873)&gt;0,MAX(H$1:H872)+1,"")</f>
        <v/>
      </c>
      <c r="I873" s="11" t="str">
        <f aca="false">IF(B873="","",IF(INDEX($C$2:$C$1201,MATCH(B873,$B$2:$B$1201,0))&lt;&gt;C873,"Nome diferente em outro deck — revisar",""))</f>
        <v/>
      </c>
      <c r="J873" s="16" t="str">
        <f aca="false">IF(AND(B873&lt;&gt;"",A873=BULK!$A$1,N(F873)&gt;0),MAX(J$1:J872)+1,"")</f>
        <v/>
      </c>
      <c r="K873" s="11" t="str">
        <f aca="false">IF(B873="","",IFERROR(LEFT(B873,FIND("-",B873)-1),B873))</f>
        <v/>
      </c>
      <c r="L873" s="11" t="str">
        <f aca="false">IF(K873="","",IF(ISNUMBER(--MID(K873,1,1)),0,IF(ISNUMBER(--MID(K873,2,1)),1,IF(ISNUMBER(--MID(K873,3,1)),2,IF(ISNUMBER(--MID(K873,4,1)),3,MIN(LEN(K873),4))))))</f>
        <v/>
      </c>
      <c r="M873" s="11" t="str">
        <f aca="false">IF(B873="","",LEFT(K873,L873)&amp;REPT("0",4-L873)&amp;RIGHT("000"&amp;IFERROR(VALUE(MID(K873,L873+1,9)),0),3)&amp;RIGHT("0000"&amp;IFERROR(VALUE(MID(B873,FIND("-",B873)+1,9)),0),4))</f>
        <v/>
      </c>
      <c r="N873" s="11" t="str">
        <f aca="false">IF(OR(B873="",N(F873)&lt;=0),"",IF('FALTAS POR DECK'!$P$1="Código","K"&amp;M873&amp;RIGHT("00000"&amp;ROW(),5),IF('FALTAS POR DECK'!$P$1="Nome","K"&amp;UPPER(SUBSTITUTE(SUBSTITUTE(SUBSTITUTE(C873,"*",""),"?",""),"~",""))&amp;"0"&amp;M873&amp;RIGHT("00000"&amp;ROW(),5),IF('FALTAS POR DECK'!$P$1="Falta (maior primeiro)","K"&amp;RIGHT("0000"&amp;(9999-F873),4)&amp;M873&amp;RIGHT("00000"&amp;ROW(),5),IF('FALTAS POR DECK'!$P$1="Deck e código","K"&amp;RIGHT("00"&amp;IFERROR(MATCH(A873,_LEITURA!$P$2:$P$21,0),99),2)&amp;M873&amp;RIGHT("00000"&amp;ROW(),5),"K"&amp;RIGHT("00000"&amp;ROW(),5))))))</f>
        <v/>
      </c>
      <c r="O873" s="16" t="str">
        <f aca="false">IF(N873="","",COUNTIFS($N$2:$N$1201,"&lt;"&amp;N873,$F$2:$F$1201,"&gt;0")+1)</f>
        <v/>
      </c>
    </row>
    <row r="874" customFormat="false" ht="15" hidden="false" customHeight="false" outlineLevel="0" collapsed="false">
      <c r="A874" s="11" t="str">
        <f aca="false">IF(_LEITURA!$N874="","",INDEX(_LEITURA!$K$2:$K$1201,_LEITURA!$N874))</f>
        <v/>
      </c>
      <c r="B874" s="11" t="str">
        <f aca="false">IF(_LEITURA!$N874="","",INDEX(_LEITURA!$E$2:$E$1201,_LEITURA!$N874))</f>
        <v/>
      </c>
      <c r="C874" s="11" t="str">
        <f aca="false">IF(_LEITURA!$N874="","",INDEX(_LEITURA!$J$2:$J$1201,_LEITURA!$N874))</f>
        <v/>
      </c>
      <c r="D874" s="16" t="str">
        <f aca="false">IF(_LEITURA!$N874="","",INDEX(_LEITURA!$G$2:$G$1201,_LEITURA!$N874))</f>
        <v/>
      </c>
      <c r="E874" s="16" t="str">
        <f aca="false">IF(B874="","",SUMIFS(INVENTÁRIO!$C$2:$C$801,INVENTÁRIO!$A$2:$A$801,B874))</f>
        <v/>
      </c>
      <c r="F874" s="16" t="str">
        <f aca="false">IF(B874="","",MAX(0,D874-E874))</f>
        <v/>
      </c>
      <c r="G874" s="16" t="str">
        <f aca="false">IF(B874="","",IF(COUNTIFS($B$2:$B$1201,B874,$A$2:$A$1201,"&lt;&gt;"&amp;A874)&gt;0,"Sim",""))</f>
        <v/>
      </c>
      <c r="H874" s="16" t="str">
        <f aca="false">IF(N(F874)&gt;0,MAX(H$1:H873)+1,"")</f>
        <v/>
      </c>
      <c r="I874" s="11" t="str">
        <f aca="false">IF(B874="","",IF(INDEX($C$2:$C$1201,MATCH(B874,$B$2:$B$1201,0))&lt;&gt;C874,"Nome diferente em outro deck — revisar",""))</f>
        <v/>
      </c>
      <c r="J874" s="16" t="str">
        <f aca="false">IF(AND(B874&lt;&gt;"",A874=BULK!$A$1,N(F874)&gt;0),MAX(J$1:J873)+1,"")</f>
        <v/>
      </c>
      <c r="K874" s="11" t="str">
        <f aca="false">IF(B874="","",IFERROR(LEFT(B874,FIND("-",B874)-1),B874))</f>
        <v/>
      </c>
      <c r="L874" s="11" t="str">
        <f aca="false">IF(K874="","",IF(ISNUMBER(--MID(K874,1,1)),0,IF(ISNUMBER(--MID(K874,2,1)),1,IF(ISNUMBER(--MID(K874,3,1)),2,IF(ISNUMBER(--MID(K874,4,1)),3,MIN(LEN(K874),4))))))</f>
        <v/>
      </c>
      <c r="M874" s="11" t="str">
        <f aca="false">IF(B874="","",LEFT(K874,L874)&amp;REPT("0",4-L874)&amp;RIGHT("000"&amp;IFERROR(VALUE(MID(K874,L874+1,9)),0),3)&amp;RIGHT("0000"&amp;IFERROR(VALUE(MID(B874,FIND("-",B874)+1,9)),0),4))</f>
        <v/>
      </c>
      <c r="N874" s="11" t="str">
        <f aca="false">IF(OR(B874="",N(F874)&lt;=0),"",IF('FALTAS POR DECK'!$P$1="Código","K"&amp;M874&amp;RIGHT("00000"&amp;ROW(),5),IF('FALTAS POR DECK'!$P$1="Nome","K"&amp;UPPER(SUBSTITUTE(SUBSTITUTE(SUBSTITUTE(C874,"*",""),"?",""),"~",""))&amp;"0"&amp;M874&amp;RIGHT("00000"&amp;ROW(),5),IF('FALTAS POR DECK'!$P$1="Falta (maior primeiro)","K"&amp;RIGHT("0000"&amp;(9999-F874),4)&amp;M874&amp;RIGHT("00000"&amp;ROW(),5),IF('FALTAS POR DECK'!$P$1="Deck e código","K"&amp;RIGHT("00"&amp;IFERROR(MATCH(A874,_LEITURA!$P$2:$P$21,0),99),2)&amp;M874&amp;RIGHT("00000"&amp;ROW(),5),"K"&amp;RIGHT("00000"&amp;ROW(),5))))))</f>
        <v/>
      </c>
      <c r="O874" s="16" t="str">
        <f aca="false">IF(N874="","",COUNTIFS($N$2:$N$1201,"&lt;"&amp;N874,$F$2:$F$1201,"&gt;0")+1)</f>
        <v/>
      </c>
    </row>
    <row r="875" customFormat="false" ht="15" hidden="false" customHeight="false" outlineLevel="0" collapsed="false">
      <c r="A875" s="11" t="str">
        <f aca="false">IF(_LEITURA!$N875="","",INDEX(_LEITURA!$K$2:$K$1201,_LEITURA!$N875))</f>
        <v/>
      </c>
      <c r="B875" s="11" t="str">
        <f aca="false">IF(_LEITURA!$N875="","",INDEX(_LEITURA!$E$2:$E$1201,_LEITURA!$N875))</f>
        <v/>
      </c>
      <c r="C875" s="11" t="str">
        <f aca="false">IF(_LEITURA!$N875="","",INDEX(_LEITURA!$J$2:$J$1201,_LEITURA!$N875))</f>
        <v/>
      </c>
      <c r="D875" s="16" t="str">
        <f aca="false">IF(_LEITURA!$N875="","",INDEX(_LEITURA!$G$2:$G$1201,_LEITURA!$N875))</f>
        <v/>
      </c>
      <c r="E875" s="16" t="str">
        <f aca="false">IF(B875="","",SUMIFS(INVENTÁRIO!$C$2:$C$801,INVENTÁRIO!$A$2:$A$801,B875))</f>
        <v/>
      </c>
      <c r="F875" s="16" t="str">
        <f aca="false">IF(B875="","",MAX(0,D875-E875))</f>
        <v/>
      </c>
      <c r="G875" s="16" t="str">
        <f aca="false">IF(B875="","",IF(COUNTIFS($B$2:$B$1201,B875,$A$2:$A$1201,"&lt;&gt;"&amp;A875)&gt;0,"Sim",""))</f>
        <v/>
      </c>
      <c r="H875" s="16" t="str">
        <f aca="false">IF(N(F875)&gt;0,MAX(H$1:H874)+1,"")</f>
        <v/>
      </c>
      <c r="I875" s="11" t="str">
        <f aca="false">IF(B875="","",IF(INDEX($C$2:$C$1201,MATCH(B875,$B$2:$B$1201,0))&lt;&gt;C875,"Nome diferente em outro deck — revisar",""))</f>
        <v/>
      </c>
      <c r="J875" s="16" t="str">
        <f aca="false">IF(AND(B875&lt;&gt;"",A875=BULK!$A$1,N(F875)&gt;0),MAX(J$1:J874)+1,"")</f>
        <v/>
      </c>
      <c r="K875" s="11" t="str">
        <f aca="false">IF(B875="","",IFERROR(LEFT(B875,FIND("-",B875)-1),B875))</f>
        <v/>
      </c>
      <c r="L875" s="11" t="str">
        <f aca="false">IF(K875="","",IF(ISNUMBER(--MID(K875,1,1)),0,IF(ISNUMBER(--MID(K875,2,1)),1,IF(ISNUMBER(--MID(K875,3,1)),2,IF(ISNUMBER(--MID(K875,4,1)),3,MIN(LEN(K875),4))))))</f>
        <v/>
      </c>
      <c r="M875" s="11" t="str">
        <f aca="false">IF(B875="","",LEFT(K875,L875)&amp;REPT("0",4-L875)&amp;RIGHT("000"&amp;IFERROR(VALUE(MID(K875,L875+1,9)),0),3)&amp;RIGHT("0000"&amp;IFERROR(VALUE(MID(B875,FIND("-",B875)+1,9)),0),4))</f>
        <v/>
      </c>
      <c r="N875" s="11" t="str">
        <f aca="false">IF(OR(B875="",N(F875)&lt;=0),"",IF('FALTAS POR DECK'!$P$1="Código","K"&amp;M875&amp;RIGHT("00000"&amp;ROW(),5),IF('FALTAS POR DECK'!$P$1="Nome","K"&amp;UPPER(SUBSTITUTE(SUBSTITUTE(SUBSTITUTE(C875,"*",""),"?",""),"~",""))&amp;"0"&amp;M875&amp;RIGHT("00000"&amp;ROW(),5),IF('FALTAS POR DECK'!$P$1="Falta (maior primeiro)","K"&amp;RIGHT("0000"&amp;(9999-F875),4)&amp;M875&amp;RIGHT("00000"&amp;ROW(),5),IF('FALTAS POR DECK'!$P$1="Deck e código","K"&amp;RIGHT("00"&amp;IFERROR(MATCH(A875,_LEITURA!$P$2:$P$21,0),99),2)&amp;M875&amp;RIGHT("00000"&amp;ROW(),5),"K"&amp;RIGHT("00000"&amp;ROW(),5))))))</f>
        <v/>
      </c>
      <c r="O875" s="16" t="str">
        <f aca="false">IF(N875="","",COUNTIFS($N$2:$N$1201,"&lt;"&amp;N875,$F$2:$F$1201,"&gt;0")+1)</f>
        <v/>
      </c>
    </row>
    <row r="876" customFormat="false" ht="15" hidden="false" customHeight="false" outlineLevel="0" collapsed="false">
      <c r="A876" s="11" t="str">
        <f aca="false">IF(_LEITURA!$N876="","",INDEX(_LEITURA!$K$2:$K$1201,_LEITURA!$N876))</f>
        <v/>
      </c>
      <c r="B876" s="11" t="str">
        <f aca="false">IF(_LEITURA!$N876="","",INDEX(_LEITURA!$E$2:$E$1201,_LEITURA!$N876))</f>
        <v/>
      </c>
      <c r="C876" s="11" t="str">
        <f aca="false">IF(_LEITURA!$N876="","",INDEX(_LEITURA!$J$2:$J$1201,_LEITURA!$N876))</f>
        <v/>
      </c>
      <c r="D876" s="16" t="str">
        <f aca="false">IF(_LEITURA!$N876="","",INDEX(_LEITURA!$G$2:$G$1201,_LEITURA!$N876))</f>
        <v/>
      </c>
      <c r="E876" s="16" t="str">
        <f aca="false">IF(B876="","",SUMIFS(INVENTÁRIO!$C$2:$C$801,INVENTÁRIO!$A$2:$A$801,B876))</f>
        <v/>
      </c>
      <c r="F876" s="16" t="str">
        <f aca="false">IF(B876="","",MAX(0,D876-E876))</f>
        <v/>
      </c>
      <c r="G876" s="16" t="str">
        <f aca="false">IF(B876="","",IF(COUNTIFS($B$2:$B$1201,B876,$A$2:$A$1201,"&lt;&gt;"&amp;A876)&gt;0,"Sim",""))</f>
        <v/>
      </c>
      <c r="H876" s="16" t="str">
        <f aca="false">IF(N(F876)&gt;0,MAX(H$1:H875)+1,"")</f>
        <v/>
      </c>
      <c r="I876" s="11" t="str">
        <f aca="false">IF(B876="","",IF(INDEX($C$2:$C$1201,MATCH(B876,$B$2:$B$1201,0))&lt;&gt;C876,"Nome diferente em outro deck — revisar",""))</f>
        <v/>
      </c>
      <c r="J876" s="16" t="str">
        <f aca="false">IF(AND(B876&lt;&gt;"",A876=BULK!$A$1,N(F876)&gt;0),MAX(J$1:J875)+1,"")</f>
        <v/>
      </c>
      <c r="K876" s="11" t="str">
        <f aca="false">IF(B876="","",IFERROR(LEFT(B876,FIND("-",B876)-1),B876))</f>
        <v/>
      </c>
      <c r="L876" s="11" t="str">
        <f aca="false">IF(K876="","",IF(ISNUMBER(--MID(K876,1,1)),0,IF(ISNUMBER(--MID(K876,2,1)),1,IF(ISNUMBER(--MID(K876,3,1)),2,IF(ISNUMBER(--MID(K876,4,1)),3,MIN(LEN(K876),4))))))</f>
        <v/>
      </c>
      <c r="M876" s="11" t="str">
        <f aca="false">IF(B876="","",LEFT(K876,L876)&amp;REPT("0",4-L876)&amp;RIGHT("000"&amp;IFERROR(VALUE(MID(K876,L876+1,9)),0),3)&amp;RIGHT("0000"&amp;IFERROR(VALUE(MID(B876,FIND("-",B876)+1,9)),0),4))</f>
        <v/>
      </c>
      <c r="N876" s="11" t="str">
        <f aca="false">IF(OR(B876="",N(F876)&lt;=0),"",IF('FALTAS POR DECK'!$P$1="Código","K"&amp;M876&amp;RIGHT("00000"&amp;ROW(),5),IF('FALTAS POR DECK'!$P$1="Nome","K"&amp;UPPER(SUBSTITUTE(SUBSTITUTE(SUBSTITUTE(C876,"*",""),"?",""),"~",""))&amp;"0"&amp;M876&amp;RIGHT("00000"&amp;ROW(),5),IF('FALTAS POR DECK'!$P$1="Falta (maior primeiro)","K"&amp;RIGHT("0000"&amp;(9999-F876),4)&amp;M876&amp;RIGHT("00000"&amp;ROW(),5),IF('FALTAS POR DECK'!$P$1="Deck e código","K"&amp;RIGHT("00"&amp;IFERROR(MATCH(A876,_LEITURA!$P$2:$P$21,0),99),2)&amp;M876&amp;RIGHT("00000"&amp;ROW(),5),"K"&amp;RIGHT("00000"&amp;ROW(),5))))))</f>
        <v/>
      </c>
      <c r="O876" s="16" t="str">
        <f aca="false">IF(N876="","",COUNTIFS($N$2:$N$1201,"&lt;"&amp;N876,$F$2:$F$1201,"&gt;0")+1)</f>
        <v/>
      </c>
    </row>
    <row r="877" customFormat="false" ht="15" hidden="false" customHeight="false" outlineLevel="0" collapsed="false">
      <c r="A877" s="11" t="str">
        <f aca="false">IF(_LEITURA!$N877="","",INDEX(_LEITURA!$K$2:$K$1201,_LEITURA!$N877))</f>
        <v/>
      </c>
      <c r="B877" s="11" t="str">
        <f aca="false">IF(_LEITURA!$N877="","",INDEX(_LEITURA!$E$2:$E$1201,_LEITURA!$N877))</f>
        <v/>
      </c>
      <c r="C877" s="11" t="str">
        <f aca="false">IF(_LEITURA!$N877="","",INDEX(_LEITURA!$J$2:$J$1201,_LEITURA!$N877))</f>
        <v/>
      </c>
      <c r="D877" s="16" t="str">
        <f aca="false">IF(_LEITURA!$N877="","",INDEX(_LEITURA!$G$2:$G$1201,_LEITURA!$N877))</f>
        <v/>
      </c>
      <c r="E877" s="16" t="str">
        <f aca="false">IF(B877="","",SUMIFS(INVENTÁRIO!$C$2:$C$801,INVENTÁRIO!$A$2:$A$801,B877))</f>
        <v/>
      </c>
      <c r="F877" s="16" t="str">
        <f aca="false">IF(B877="","",MAX(0,D877-E877))</f>
        <v/>
      </c>
      <c r="G877" s="16" t="str">
        <f aca="false">IF(B877="","",IF(COUNTIFS($B$2:$B$1201,B877,$A$2:$A$1201,"&lt;&gt;"&amp;A877)&gt;0,"Sim",""))</f>
        <v/>
      </c>
      <c r="H877" s="16" t="str">
        <f aca="false">IF(N(F877)&gt;0,MAX(H$1:H876)+1,"")</f>
        <v/>
      </c>
      <c r="I877" s="11" t="str">
        <f aca="false">IF(B877="","",IF(INDEX($C$2:$C$1201,MATCH(B877,$B$2:$B$1201,0))&lt;&gt;C877,"Nome diferente em outro deck — revisar",""))</f>
        <v/>
      </c>
      <c r="J877" s="16" t="str">
        <f aca="false">IF(AND(B877&lt;&gt;"",A877=BULK!$A$1,N(F877)&gt;0),MAX(J$1:J876)+1,"")</f>
        <v/>
      </c>
      <c r="K877" s="11" t="str">
        <f aca="false">IF(B877="","",IFERROR(LEFT(B877,FIND("-",B877)-1),B877))</f>
        <v/>
      </c>
      <c r="L877" s="11" t="str">
        <f aca="false">IF(K877="","",IF(ISNUMBER(--MID(K877,1,1)),0,IF(ISNUMBER(--MID(K877,2,1)),1,IF(ISNUMBER(--MID(K877,3,1)),2,IF(ISNUMBER(--MID(K877,4,1)),3,MIN(LEN(K877),4))))))</f>
        <v/>
      </c>
      <c r="M877" s="11" t="str">
        <f aca="false">IF(B877="","",LEFT(K877,L877)&amp;REPT("0",4-L877)&amp;RIGHT("000"&amp;IFERROR(VALUE(MID(K877,L877+1,9)),0),3)&amp;RIGHT("0000"&amp;IFERROR(VALUE(MID(B877,FIND("-",B877)+1,9)),0),4))</f>
        <v/>
      </c>
      <c r="N877" s="11" t="str">
        <f aca="false">IF(OR(B877="",N(F877)&lt;=0),"",IF('FALTAS POR DECK'!$P$1="Código","K"&amp;M877&amp;RIGHT("00000"&amp;ROW(),5),IF('FALTAS POR DECK'!$P$1="Nome","K"&amp;UPPER(SUBSTITUTE(SUBSTITUTE(SUBSTITUTE(C877,"*",""),"?",""),"~",""))&amp;"0"&amp;M877&amp;RIGHT("00000"&amp;ROW(),5),IF('FALTAS POR DECK'!$P$1="Falta (maior primeiro)","K"&amp;RIGHT("0000"&amp;(9999-F877),4)&amp;M877&amp;RIGHT("00000"&amp;ROW(),5),IF('FALTAS POR DECK'!$P$1="Deck e código","K"&amp;RIGHT("00"&amp;IFERROR(MATCH(A877,_LEITURA!$P$2:$P$21,0),99),2)&amp;M877&amp;RIGHT("00000"&amp;ROW(),5),"K"&amp;RIGHT("00000"&amp;ROW(),5))))))</f>
        <v/>
      </c>
      <c r="O877" s="16" t="str">
        <f aca="false">IF(N877="","",COUNTIFS($N$2:$N$1201,"&lt;"&amp;N877,$F$2:$F$1201,"&gt;0")+1)</f>
        <v/>
      </c>
    </row>
    <row r="878" customFormat="false" ht="15" hidden="false" customHeight="false" outlineLevel="0" collapsed="false">
      <c r="A878" s="11" t="str">
        <f aca="false">IF(_LEITURA!$N878="","",INDEX(_LEITURA!$K$2:$K$1201,_LEITURA!$N878))</f>
        <v/>
      </c>
      <c r="B878" s="11" t="str">
        <f aca="false">IF(_LEITURA!$N878="","",INDEX(_LEITURA!$E$2:$E$1201,_LEITURA!$N878))</f>
        <v/>
      </c>
      <c r="C878" s="11" t="str">
        <f aca="false">IF(_LEITURA!$N878="","",INDEX(_LEITURA!$J$2:$J$1201,_LEITURA!$N878))</f>
        <v/>
      </c>
      <c r="D878" s="16" t="str">
        <f aca="false">IF(_LEITURA!$N878="","",INDEX(_LEITURA!$G$2:$G$1201,_LEITURA!$N878))</f>
        <v/>
      </c>
      <c r="E878" s="16" t="str">
        <f aca="false">IF(B878="","",SUMIFS(INVENTÁRIO!$C$2:$C$801,INVENTÁRIO!$A$2:$A$801,B878))</f>
        <v/>
      </c>
      <c r="F878" s="16" t="str">
        <f aca="false">IF(B878="","",MAX(0,D878-E878))</f>
        <v/>
      </c>
      <c r="G878" s="16" t="str">
        <f aca="false">IF(B878="","",IF(COUNTIFS($B$2:$B$1201,B878,$A$2:$A$1201,"&lt;&gt;"&amp;A878)&gt;0,"Sim",""))</f>
        <v/>
      </c>
      <c r="H878" s="16" t="str">
        <f aca="false">IF(N(F878)&gt;0,MAX(H$1:H877)+1,"")</f>
        <v/>
      </c>
      <c r="I878" s="11" t="str">
        <f aca="false">IF(B878="","",IF(INDEX($C$2:$C$1201,MATCH(B878,$B$2:$B$1201,0))&lt;&gt;C878,"Nome diferente em outro deck — revisar",""))</f>
        <v/>
      </c>
      <c r="J878" s="16" t="str">
        <f aca="false">IF(AND(B878&lt;&gt;"",A878=BULK!$A$1,N(F878)&gt;0),MAX(J$1:J877)+1,"")</f>
        <v/>
      </c>
      <c r="K878" s="11" t="str">
        <f aca="false">IF(B878="","",IFERROR(LEFT(B878,FIND("-",B878)-1),B878))</f>
        <v/>
      </c>
      <c r="L878" s="11" t="str">
        <f aca="false">IF(K878="","",IF(ISNUMBER(--MID(K878,1,1)),0,IF(ISNUMBER(--MID(K878,2,1)),1,IF(ISNUMBER(--MID(K878,3,1)),2,IF(ISNUMBER(--MID(K878,4,1)),3,MIN(LEN(K878),4))))))</f>
        <v/>
      </c>
      <c r="M878" s="11" t="str">
        <f aca="false">IF(B878="","",LEFT(K878,L878)&amp;REPT("0",4-L878)&amp;RIGHT("000"&amp;IFERROR(VALUE(MID(K878,L878+1,9)),0),3)&amp;RIGHT("0000"&amp;IFERROR(VALUE(MID(B878,FIND("-",B878)+1,9)),0),4))</f>
        <v/>
      </c>
      <c r="N878" s="11" t="str">
        <f aca="false">IF(OR(B878="",N(F878)&lt;=0),"",IF('FALTAS POR DECK'!$P$1="Código","K"&amp;M878&amp;RIGHT("00000"&amp;ROW(),5),IF('FALTAS POR DECK'!$P$1="Nome","K"&amp;UPPER(SUBSTITUTE(SUBSTITUTE(SUBSTITUTE(C878,"*",""),"?",""),"~",""))&amp;"0"&amp;M878&amp;RIGHT("00000"&amp;ROW(),5),IF('FALTAS POR DECK'!$P$1="Falta (maior primeiro)","K"&amp;RIGHT("0000"&amp;(9999-F878),4)&amp;M878&amp;RIGHT("00000"&amp;ROW(),5),IF('FALTAS POR DECK'!$P$1="Deck e código","K"&amp;RIGHT("00"&amp;IFERROR(MATCH(A878,_LEITURA!$P$2:$P$21,0),99),2)&amp;M878&amp;RIGHT("00000"&amp;ROW(),5),"K"&amp;RIGHT("00000"&amp;ROW(),5))))))</f>
        <v/>
      </c>
      <c r="O878" s="16" t="str">
        <f aca="false">IF(N878="","",COUNTIFS($N$2:$N$1201,"&lt;"&amp;N878,$F$2:$F$1201,"&gt;0")+1)</f>
        <v/>
      </c>
    </row>
    <row r="879" customFormat="false" ht="15" hidden="false" customHeight="false" outlineLevel="0" collapsed="false">
      <c r="A879" s="11" t="str">
        <f aca="false">IF(_LEITURA!$N879="","",INDEX(_LEITURA!$K$2:$K$1201,_LEITURA!$N879))</f>
        <v/>
      </c>
      <c r="B879" s="11" t="str">
        <f aca="false">IF(_LEITURA!$N879="","",INDEX(_LEITURA!$E$2:$E$1201,_LEITURA!$N879))</f>
        <v/>
      </c>
      <c r="C879" s="11" t="str">
        <f aca="false">IF(_LEITURA!$N879="","",INDEX(_LEITURA!$J$2:$J$1201,_LEITURA!$N879))</f>
        <v/>
      </c>
      <c r="D879" s="16" t="str">
        <f aca="false">IF(_LEITURA!$N879="","",INDEX(_LEITURA!$G$2:$G$1201,_LEITURA!$N879))</f>
        <v/>
      </c>
      <c r="E879" s="16" t="str">
        <f aca="false">IF(B879="","",SUMIFS(INVENTÁRIO!$C$2:$C$801,INVENTÁRIO!$A$2:$A$801,B879))</f>
        <v/>
      </c>
      <c r="F879" s="16" t="str">
        <f aca="false">IF(B879="","",MAX(0,D879-E879))</f>
        <v/>
      </c>
      <c r="G879" s="16" t="str">
        <f aca="false">IF(B879="","",IF(COUNTIFS($B$2:$B$1201,B879,$A$2:$A$1201,"&lt;&gt;"&amp;A879)&gt;0,"Sim",""))</f>
        <v/>
      </c>
      <c r="H879" s="16" t="str">
        <f aca="false">IF(N(F879)&gt;0,MAX(H$1:H878)+1,"")</f>
        <v/>
      </c>
      <c r="I879" s="11" t="str">
        <f aca="false">IF(B879="","",IF(INDEX($C$2:$C$1201,MATCH(B879,$B$2:$B$1201,0))&lt;&gt;C879,"Nome diferente em outro deck — revisar",""))</f>
        <v/>
      </c>
      <c r="J879" s="16" t="str">
        <f aca="false">IF(AND(B879&lt;&gt;"",A879=BULK!$A$1,N(F879)&gt;0),MAX(J$1:J878)+1,"")</f>
        <v/>
      </c>
      <c r="K879" s="11" t="str">
        <f aca="false">IF(B879="","",IFERROR(LEFT(B879,FIND("-",B879)-1),B879))</f>
        <v/>
      </c>
      <c r="L879" s="11" t="str">
        <f aca="false">IF(K879="","",IF(ISNUMBER(--MID(K879,1,1)),0,IF(ISNUMBER(--MID(K879,2,1)),1,IF(ISNUMBER(--MID(K879,3,1)),2,IF(ISNUMBER(--MID(K879,4,1)),3,MIN(LEN(K879),4))))))</f>
        <v/>
      </c>
      <c r="M879" s="11" t="str">
        <f aca="false">IF(B879="","",LEFT(K879,L879)&amp;REPT("0",4-L879)&amp;RIGHT("000"&amp;IFERROR(VALUE(MID(K879,L879+1,9)),0),3)&amp;RIGHT("0000"&amp;IFERROR(VALUE(MID(B879,FIND("-",B879)+1,9)),0),4))</f>
        <v/>
      </c>
      <c r="N879" s="11" t="str">
        <f aca="false">IF(OR(B879="",N(F879)&lt;=0),"",IF('FALTAS POR DECK'!$P$1="Código","K"&amp;M879&amp;RIGHT("00000"&amp;ROW(),5),IF('FALTAS POR DECK'!$P$1="Nome","K"&amp;UPPER(SUBSTITUTE(SUBSTITUTE(SUBSTITUTE(C879,"*",""),"?",""),"~",""))&amp;"0"&amp;M879&amp;RIGHT("00000"&amp;ROW(),5),IF('FALTAS POR DECK'!$P$1="Falta (maior primeiro)","K"&amp;RIGHT("0000"&amp;(9999-F879),4)&amp;M879&amp;RIGHT("00000"&amp;ROW(),5),IF('FALTAS POR DECK'!$P$1="Deck e código","K"&amp;RIGHT("00"&amp;IFERROR(MATCH(A879,_LEITURA!$P$2:$P$21,0),99),2)&amp;M879&amp;RIGHT("00000"&amp;ROW(),5),"K"&amp;RIGHT("00000"&amp;ROW(),5))))))</f>
        <v/>
      </c>
      <c r="O879" s="16" t="str">
        <f aca="false">IF(N879="","",COUNTIFS($N$2:$N$1201,"&lt;"&amp;N879,$F$2:$F$1201,"&gt;0")+1)</f>
        <v/>
      </c>
    </row>
    <row r="880" customFormat="false" ht="15" hidden="false" customHeight="false" outlineLevel="0" collapsed="false">
      <c r="A880" s="11" t="str">
        <f aca="false">IF(_LEITURA!$N880="","",INDEX(_LEITURA!$K$2:$K$1201,_LEITURA!$N880))</f>
        <v/>
      </c>
      <c r="B880" s="11" t="str">
        <f aca="false">IF(_LEITURA!$N880="","",INDEX(_LEITURA!$E$2:$E$1201,_LEITURA!$N880))</f>
        <v/>
      </c>
      <c r="C880" s="11" t="str">
        <f aca="false">IF(_LEITURA!$N880="","",INDEX(_LEITURA!$J$2:$J$1201,_LEITURA!$N880))</f>
        <v/>
      </c>
      <c r="D880" s="16" t="str">
        <f aca="false">IF(_LEITURA!$N880="","",INDEX(_LEITURA!$G$2:$G$1201,_LEITURA!$N880))</f>
        <v/>
      </c>
      <c r="E880" s="16" t="str">
        <f aca="false">IF(B880="","",SUMIFS(INVENTÁRIO!$C$2:$C$801,INVENTÁRIO!$A$2:$A$801,B880))</f>
        <v/>
      </c>
      <c r="F880" s="16" t="str">
        <f aca="false">IF(B880="","",MAX(0,D880-E880))</f>
        <v/>
      </c>
      <c r="G880" s="16" t="str">
        <f aca="false">IF(B880="","",IF(COUNTIFS($B$2:$B$1201,B880,$A$2:$A$1201,"&lt;&gt;"&amp;A880)&gt;0,"Sim",""))</f>
        <v/>
      </c>
      <c r="H880" s="16" t="str">
        <f aca="false">IF(N(F880)&gt;0,MAX(H$1:H879)+1,"")</f>
        <v/>
      </c>
      <c r="I880" s="11" t="str">
        <f aca="false">IF(B880="","",IF(INDEX($C$2:$C$1201,MATCH(B880,$B$2:$B$1201,0))&lt;&gt;C880,"Nome diferente em outro deck — revisar",""))</f>
        <v/>
      </c>
      <c r="J880" s="16" t="str">
        <f aca="false">IF(AND(B880&lt;&gt;"",A880=BULK!$A$1,N(F880)&gt;0),MAX(J$1:J879)+1,"")</f>
        <v/>
      </c>
      <c r="K880" s="11" t="str">
        <f aca="false">IF(B880="","",IFERROR(LEFT(B880,FIND("-",B880)-1),B880))</f>
        <v/>
      </c>
      <c r="L880" s="11" t="str">
        <f aca="false">IF(K880="","",IF(ISNUMBER(--MID(K880,1,1)),0,IF(ISNUMBER(--MID(K880,2,1)),1,IF(ISNUMBER(--MID(K880,3,1)),2,IF(ISNUMBER(--MID(K880,4,1)),3,MIN(LEN(K880),4))))))</f>
        <v/>
      </c>
      <c r="M880" s="11" t="str">
        <f aca="false">IF(B880="","",LEFT(K880,L880)&amp;REPT("0",4-L880)&amp;RIGHT("000"&amp;IFERROR(VALUE(MID(K880,L880+1,9)),0),3)&amp;RIGHT("0000"&amp;IFERROR(VALUE(MID(B880,FIND("-",B880)+1,9)),0),4))</f>
        <v/>
      </c>
      <c r="N880" s="11" t="str">
        <f aca="false">IF(OR(B880="",N(F880)&lt;=0),"",IF('FALTAS POR DECK'!$P$1="Código","K"&amp;M880&amp;RIGHT("00000"&amp;ROW(),5),IF('FALTAS POR DECK'!$P$1="Nome","K"&amp;UPPER(SUBSTITUTE(SUBSTITUTE(SUBSTITUTE(C880,"*",""),"?",""),"~",""))&amp;"0"&amp;M880&amp;RIGHT("00000"&amp;ROW(),5),IF('FALTAS POR DECK'!$P$1="Falta (maior primeiro)","K"&amp;RIGHT("0000"&amp;(9999-F880),4)&amp;M880&amp;RIGHT("00000"&amp;ROW(),5),IF('FALTAS POR DECK'!$P$1="Deck e código","K"&amp;RIGHT("00"&amp;IFERROR(MATCH(A880,_LEITURA!$P$2:$P$21,0),99),2)&amp;M880&amp;RIGHT("00000"&amp;ROW(),5),"K"&amp;RIGHT("00000"&amp;ROW(),5))))))</f>
        <v/>
      </c>
      <c r="O880" s="16" t="str">
        <f aca="false">IF(N880="","",COUNTIFS($N$2:$N$1201,"&lt;"&amp;N880,$F$2:$F$1201,"&gt;0")+1)</f>
        <v/>
      </c>
    </row>
    <row r="881" customFormat="false" ht="15" hidden="false" customHeight="false" outlineLevel="0" collapsed="false">
      <c r="A881" s="11" t="str">
        <f aca="false">IF(_LEITURA!$N881="","",INDEX(_LEITURA!$K$2:$K$1201,_LEITURA!$N881))</f>
        <v/>
      </c>
      <c r="B881" s="11" t="str">
        <f aca="false">IF(_LEITURA!$N881="","",INDEX(_LEITURA!$E$2:$E$1201,_LEITURA!$N881))</f>
        <v/>
      </c>
      <c r="C881" s="11" t="str">
        <f aca="false">IF(_LEITURA!$N881="","",INDEX(_LEITURA!$J$2:$J$1201,_LEITURA!$N881))</f>
        <v/>
      </c>
      <c r="D881" s="16" t="str">
        <f aca="false">IF(_LEITURA!$N881="","",INDEX(_LEITURA!$G$2:$G$1201,_LEITURA!$N881))</f>
        <v/>
      </c>
      <c r="E881" s="16" t="str">
        <f aca="false">IF(B881="","",SUMIFS(INVENTÁRIO!$C$2:$C$801,INVENTÁRIO!$A$2:$A$801,B881))</f>
        <v/>
      </c>
      <c r="F881" s="16" t="str">
        <f aca="false">IF(B881="","",MAX(0,D881-E881))</f>
        <v/>
      </c>
      <c r="G881" s="16" t="str">
        <f aca="false">IF(B881="","",IF(COUNTIFS($B$2:$B$1201,B881,$A$2:$A$1201,"&lt;&gt;"&amp;A881)&gt;0,"Sim",""))</f>
        <v/>
      </c>
      <c r="H881" s="16" t="str">
        <f aca="false">IF(N(F881)&gt;0,MAX(H$1:H880)+1,"")</f>
        <v/>
      </c>
      <c r="I881" s="11" t="str">
        <f aca="false">IF(B881="","",IF(INDEX($C$2:$C$1201,MATCH(B881,$B$2:$B$1201,0))&lt;&gt;C881,"Nome diferente em outro deck — revisar",""))</f>
        <v/>
      </c>
      <c r="J881" s="16" t="str">
        <f aca="false">IF(AND(B881&lt;&gt;"",A881=BULK!$A$1,N(F881)&gt;0),MAX(J$1:J880)+1,"")</f>
        <v/>
      </c>
      <c r="K881" s="11" t="str">
        <f aca="false">IF(B881="","",IFERROR(LEFT(B881,FIND("-",B881)-1),B881))</f>
        <v/>
      </c>
      <c r="L881" s="11" t="str">
        <f aca="false">IF(K881="","",IF(ISNUMBER(--MID(K881,1,1)),0,IF(ISNUMBER(--MID(K881,2,1)),1,IF(ISNUMBER(--MID(K881,3,1)),2,IF(ISNUMBER(--MID(K881,4,1)),3,MIN(LEN(K881),4))))))</f>
        <v/>
      </c>
      <c r="M881" s="11" t="str">
        <f aca="false">IF(B881="","",LEFT(K881,L881)&amp;REPT("0",4-L881)&amp;RIGHT("000"&amp;IFERROR(VALUE(MID(K881,L881+1,9)),0),3)&amp;RIGHT("0000"&amp;IFERROR(VALUE(MID(B881,FIND("-",B881)+1,9)),0),4))</f>
        <v/>
      </c>
      <c r="N881" s="11" t="str">
        <f aca="false">IF(OR(B881="",N(F881)&lt;=0),"",IF('FALTAS POR DECK'!$P$1="Código","K"&amp;M881&amp;RIGHT("00000"&amp;ROW(),5),IF('FALTAS POR DECK'!$P$1="Nome","K"&amp;UPPER(SUBSTITUTE(SUBSTITUTE(SUBSTITUTE(C881,"*",""),"?",""),"~",""))&amp;"0"&amp;M881&amp;RIGHT("00000"&amp;ROW(),5),IF('FALTAS POR DECK'!$P$1="Falta (maior primeiro)","K"&amp;RIGHT("0000"&amp;(9999-F881),4)&amp;M881&amp;RIGHT("00000"&amp;ROW(),5),IF('FALTAS POR DECK'!$P$1="Deck e código","K"&amp;RIGHT("00"&amp;IFERROR(MATCH(A881,_LEITURA!$P$2:$P$21,0),99),2)&amp;M881&amp;RIGHT("00000"&amp;ROW(),5),"K"&amp;RIGHT("00000"&amp;ROW(),5))))))</f>
        <v/>
      </c>
      <c r="O881" s="16" t="str">
        <f aca="false">IF(N881="","",COUNTIFS($N$2:$N$1201,"&lt;"&amp;N881,$F$2:$F$1201,"&gt;0")+1)</f>
        <v/>
      </c>
    </row>
    <row r="882" customFormat="false" ht="15" hidden="false" customHeight="false" outlineLevel="0" collapsed="false">
      <c r="A882" s="11" t="str">
        <f aca="false">IF(_LEITURA!$N882="","",INDEX(_LEITURA!$K$2:$K$1201,_LEITURA!$N882))</f>
        <v/>
      </c>
      <c r="B882" s="11" t="str">
        <f aca="false">IF(_LEITURA!$N882="","",INDEX(_LEITURA!$E$2:$E$1201,_LEITURA!$N882))</f>
        <v/>
      </c>
      <c r="C882" s="11" t="str">
        <f aca="false">IF(_LEITURA!$N882="","",INDEX(_LEITURA!$J$2:$J$1201,_LEITURA!$N882))</f>
        <v/>
      </c>
      <c r="D882" s="16" t="str">
        <f aca="false">IF(_LEITURA!$N882="","",INDEX(_LEITURA!$G$2:$G$1201,_LEITURA!$N882))</f>
        <v/>
      </c>
      <c r="E882" s="16" t="str">
        <f aca="false">IF(B882="","",SUMIFS(INVENTÁRIO!$C$2:$C$801,INVENTÁRIO!$A$2:$A$801,B882))</f>
        <v/>
      </c>
      <c r="F882" s="16" t="str">
        <f aca="false">IF(B882="","",MAX(0,D882-E882))</f>
        <v/>
      </c>
      <c r="G882" s="16" t="str">
        <f aca="false">IF(B882="","",IF(COUNTIFS($B$2:$B$1201,B882,$A$2:$A$1201,"&lt;&gt;"&amp;A882)&gt;0,"Sim",""))</f>
        <v/>
      </c>
      <c r="H882" s="16" t="str">
        <f aca="false">IF(N(F882)&gt;0,MAX(H$1:H881)+1,"")</f>
        <v/>
      </c>
      <c r="I882" s="11" t="str">
        <f aca="false">IF(B882="","",IF(INDEX($C$2:$C$1201,MATCH(B882,$B$2:$B$1201,0))&lt;&gt;C882,"Nome diferente em outro deck — revisar",""))</f>
        <v/>
      </c>
      <c r="J882" s="16" t="str">
        <f aca="false">IF(AND(B882&lt;&gt;"",A882=BULK!$A$1,N(F882)&gt;0),MAX(J$1:J881)+1,"")</f>
        <v/>
      </c>
      <c r="K882" s="11" t="str">
        <f aca="false">IF(B882="","",IFERROR(LEFT(B882,FIND("-",B882)-1),B882))</f>
        <v/>
      </c>
      <c r="L882" s="11" t="str">
        <f aca="false">IF(K882="","",IF(ISNUMBER(--MID(K882,1,1)),0,IF(ISNUMBER(--MID(K882,2,1)),1,IF(ISNUMBER(--MID(K882,3,1)),2,IF(ISNUMBER(--MID(K882,4,1)),3,MIN(LEN(K882),4))))))</f>
        <v/>
      </c>
      <c r="M882" s="11" t="str">
        <f aca="false">IF(B882="","",LEFT(K882,L882)&amp;REPT("0",4-L882)&amp;RIGHT("000"&amp;IFERROR(VALUE(MID(K882,L882+1,9)),0),3)&amp;RIGHT("0000"&amp;IFERROR(VALUE(MID(B882,FIND("-",B882)+1,9)),0),4))</f>
        <v/>
      </c>
      <c r="N882" s="11" t="str">
        <f aca="false">IF(OR(B882="",N(F882)&lt;=0),"",IF('FALTAS POR DECK'!$P$1="Código","K"&amp;M882&amp;RIGHT("00000"&amp;ROW(),5),IF('FALTAS POR DECK'!$P$1="Nome","K"&amp;UPPER(SUBSTITUTE(SUBSTITUTE(SUBSTITUTE(C882,"*",""),"?",""),"~",""))&amp;"0"&amp;M882&amp;RIGHT("00000"&amp;ROW(),5),IF('FALTAS POR DECK'!$P$1="Falta (maior primeiro)","K"&amp;RIGHT("0000"&amp;(9999-F882),4)&amp;M882&amp;RIGHT("00000"&amp;ROW(),5),IF('FALTAS POR DECK'!$P$1="Deck e código","K"&amp;RIGHT("00"&amp;IFERROR(MATCH(A882,_LEITURA!$P$2:$P$21,0),99),2)&amp;M882&amp;RIGHT("00000"&amp;ROW(),5),"K"&amp;RIGHT("00000"&amp;ROW(),5))))))</f>
        <v/>
      </c>
      <c r="O882" s="16" t="str">
        <f aca="false">IF(N882="","",COUNTIFS($N$2:$N$1201,"&lt;"&amp;N882,$F$2:$F$1201,"&gt;0")+1)</f>
        <v/>
      </c>
    </row>
    <row r="883" customFormat="false" ht="15" hidden="false" customHeight="false" outlineLevel="0" collapsed="false">
      <c r="A883" s="11" t="str">
        <f aca="false">IF(_LEITURA!$N883="","",INDEX(_LEITURA!$K$2:$K$1201,_LEITURA!$N883))</f>
        <v/>
      </c>
      <c r="B883" s="11" t="str">
        <f aca="false">IF(_LEITURA!$N883="","",INDEX(_LEITURA!$E$2:$E$1201,_LEITURA!$N883))</f>
        <v/>
      </c>
      <c r="C883" s="11" t="str">
        <f aca="false">IF(_LEITURA!$N883="","",INDEX(_LEITURA!$J$2:$J$1201,_LEITURA!$N883))</f>
        <v/>
      </c>
      <c r="D883" s="16" t="str">
        <f aca="false">IF(_LEITURA!$N883="","",INDEX(_LEITURA!$G$2:$G$1201,_LEITURA!$N883))</f>
        <v/>
      </c>
      <c r="E883" s="16" t="str">
        <f aca="false">IF(B883="","",SUMIFS(INVENTÁRIO!$C$2:$C$801,INVENTÁRIO!$A$2:$A$801,B883))</f>
        <v/>
      </c>
      <c r="F883" s="16" t="str">
        <f aca="false">IF(B883="","",MAX(0,D883-E883))</f>
        <v/>
      </c>
      <c r="G883" s="16" t="str">
        <f aca="false">IF(B883="","",IF(COUNTIFS($B$2:$B$1201,B883,$A$2:$A$1201,"&lt;&gt;"&amp;A883)&gt;0,"Sim",""))</f>
        <v/>
      </c>
      <c r="H883" s="16" t="str">
        <f aca="false">IF(N(F883)&gt;0,MAX(H$1:H882)+1,"")</f>
        <v/>
      </c>
      <c r="I883" s="11" t="str">
        <f aca="false">IF(B883="","",IF(INDEX($C$2:$C$1201,MATCH(B883,$B$2:$B$1201,0))&lt;&gt;C883,"Nome diferente em outro deck — revisar",""))</f>
        <v/>
      </c>
      <c r="J883" s="16" t="str">
        <f aca="false">IF(AND(B883&lt;&gt;"",A883=BULK!$A$1,N(F883)&gt;0),MAX(J$1:J882)+1,"")</f>
        <v/>
      </c>
      <c r="K883" s="11" t="str">
        <f aca="false">IF(B883="","",IFERROR(LEFT(B883,FIND("-",B883)-1),B883))</f>
        <v/>
      </c>
      <c r="L883" s="11" t="str">
        <f aca="false">IF(K883="","",IF(ISNUMBER(--MID(K883,1,1)),0,IF(ISNUMBER(--MID(K883,2,1)),1,IF(ISNUMBER(--MID(K883,3,1)),2,IF(ISNUMBER(--MID(K883,4,1)),3,MIN(LEN(K883),4))))))</f>
        <v/>
      </c>
      <c r="M883" s="11" t="str">
        <f aca="false">IF(B883="","",LEFT(K883,L883)&amp;REPT("0",4-L883)&amp;RIGHT("000"&amp;IFERROR(VALUE(MID(K883,L883+1,9)),0),3)&amp;RIGHT("0000"&amp;IFERROR(VALUE(MID(B883,FIND("-",B883)+1,9)),0),4))</f>
        <v/>
      </c>
      <c r="N883" s="11" t="str">
        <f aca="false">IF(OR(B883="",N(F883)&lt;=0),"",IF('FALTAS POR DECK'!$P$1="Código","K"&amp;M883&amp;RIGHT("00000"&amp;ROW(),5),IF('FALTAS POR DECK'!$P$1="Nome","K"&amp;UPPER(SUBSTITUTE(SUBSTITUTE(SUBSTITUTE(C883,"*",""),"?",""),"~",""))&amp;"0"&amp;M883&amp;RIGHT("00000"&amp;ROW(),5),IF('FALTAS POR DECK'!$P$1="Falta (maior primeiro)","K"&amp;RIGHT("0000"&amp;(9999-F883),4)&amp;M883&amp;RIGHT("00000"&amp;ROW(),5),IF('FALTAS POR DECK'!$P$1="Deck e código","K"&amp;RIGHT("00"&amp;IFERROR(MATCH(A883,_LEITURA!$P$2:$P$21,0),99),2)&amp;M883&amp;RIGHT("00000"&amp;ROW(),5),"K"&amp;RIGHT("00000"&amp;ROW(),5))))))</f>
        <v/>
      </c>
      <c r="O883" s="16" t="str">
        <f aca="false">IF(N883="","",COUNTIFS($N$2:$N$1201,"&lt;"&amp;N883,$F$2:$F$1201,"&gt;0")+1)</f>
        <v/>
      </c>
    </row>
    <row r="884" customFormat="false" ht="15" hidden="false" customHeight="false" outlineLevel="0" collapsed="false">
      <c r="A884" s="11" t="str">
        <f aca="false">IF(_LEITURA!$N884="","",INDEX(_LEITURA!$K$2:$K$1201,_LEITURA!$N884))</f>
        <v/>
      </c>
      <c r="B884" s="11" t="str">
        <f aca="false">IF(_LEITURA!$N884="","",INDEX(_LEITURA!$E$2:$E$1201,_LEITURA!$N884))</f>
        <v/>
      </c>
      <c r="C884" s="11" t="str">
        <f aca="false">IF(_LEITURA!$N884="","",INDEX(_LEITURA!$J$2:$J$1201,_LEITURA!$N884))</f>
        <v/>
      </c>
      <c r="D884" s="16" t="str">
        <f aca="false">IF(_LEITURA!$N884="","",INDEX(_LEITURA!$G$2:$G$1201,_LEITURA!$N884))</f>
        <v/>
      </c>
      <c r="E884" s="16" t="str">
        <f aca="false">IF(B884="","",SUMIFS(INVENTÁRIO!$C$2:$C$801,INVENTÁRIO!$A$2:$A$801,B884))</f>
        <v/>
      </c>
      <c r="F884" s="16" t="str">
        <f aca="false">IF(B884="","",MAX(0,D884-E884))</f>
        <v/>
      </c>
      <c r="G884" s="16" t="str">
        <f aca="false">IF(B884="","",IF(COUNTIFS($B$2:$B$1201,B884,$A$2:$A$1201,"&lt;&gt;"&amp;A884)&gt;0,"Sim",""))</f>
        <v/>
      </c>
      <c r="H884" s="16" t="str">
        <f aca="false">IF(N(F884)&gt;0,MAX(H$1:H883)+1,"")</f>
        <v/>
      </c>
      <c r="I884" s="11" t="str">
        <f aca="false">IF(B884="","",IF(INDEX($C$2:$C$1201,MATCH(B884,$B$2:$B$1201,0))&lt;&gt;C884,"Nome diferente em outro deck — revisar",""))</f>
        <v/>
      </c>
      <c r="J884" s="16" t="str">
        <f aca="false">IF(AND(B884&lt;&gt;"",A884=BULK!$A$1,N(F884)&gt;0),MAX(J$1:J883)+1,"")</f>
        <v/>
      </c>
      <c r="K884" s="11" t="str">
        <f aca="false">IF(B884="","",IFERROR(LEFT(B884,FIND("-",B884)-1),B884))</f>
        <v/>
      </c>
      <c r="L884" s="11" t="str">
        <f aca="false">IF(K884="","",IF(ISNUMBER(--MID(K884,1,1)),0,IF(ISNUMBER(--MID(K884,2,1)),1,IF(ISNUMBER(--MID(K884,3,1)),2,IF(ISNUMBER(--MID(K884,4,1)),3,MIN(LEN(K884),4))))))</f>
        <v/>
      </c>
      <c r="M884" s="11" t="str">
        <f aca="false">IF(B884="","",LEFT(K884,L884)&amp;REPT("0",4-L884)&amp;RIGHT("000"&amp;IFERROR(VALUE(MID(K884,L884+1,9)),0),3)&amp;RIGHT("0000"&amp;IFERROR(VALUE(MID(B884,FIND("-",B884)+1,9)),0),4))</f>
        <v/>
      </c>
      <c r="N884" s="11" t="str">
        <f aca="false">IF(OR(B884="",N(F884)&lt;=0),"",IF('FALTAS POR DECK'!$P$1="Código","K"&amp;M884&amp;RIGHT("00000"&amp;ROW(),5),IF('FALTAS POR DECK'!$P$1="Nome","K"&amp;UPPER(SUBSTITUTE(SUBSTITUTE(SUBSTITUTE(C884,"*",""),"?",""),"~",""))&amp;"0"&amp;M884&amp;RIGHT("00000"&amp;ROW(),5),IF('FALTAS POR DECK'!$P$1="Falta (maior primeiro)","K"&amp;RIGHT("0000"&amp;(9999-F884),4)&amp;M884&amp;RIGHT("00000"&amp;ROW(),5),IF('FALTAS POR DECK'!$P$1="Deck e código","K"&amp;RIGHT("00"&amp;IFERROR(MATCH(A884,_LEITURA!$P$2:$P$21,0),99),2)&amp;M884&amp;RIGHT("00000"&amp;ROW(),5),"K"&amp;RIGHT("00000"&amp;ROW(),5))))))</f>
        <v/>
      </c>
      <c r="O884" s="16" t="str">
        <f aca="false">IF(N884="","",COUNTIFS($N$2:$N$1201,"&lt;"&amp;N884,$F$2:$F$1201,"&gt;0")+1)</f>
        <v/>
      </c>
    </row>
    <row r="885" customFormat="false" ht="15" hidden="false" customHeight="false" outlineLevel="0" collapsed="false">
      <c r="A885" s="11" t="str">
        <f aca="false">IF(_LEITURA!$N885="","",INDEX(_LEITURA!$K$2:$K$1201,_LEITURA!$N885))</f>
        <v/>
      </c>
      <c r="B885" s="11" t="str">
        <f aca="false">IF(_LEITURA!$N885="","",INDEX(_LEITURA!$E$2:$E$1201,_LEITURA!$N885))</f>
        <v/>
      </c>
      <c r="C885" s="11" t="str">
        <f aca="false">IF(_LEITURA!$N885="","",INDEX(_LEITURA!$J$2:$J$1201,_LEITURA!$N885))</f>
        <v/>
      </c>
      <c r="D885" s="16" t="str">
        <f aca="false">IF(_LEITURA!$N885="","",INDEX(_LEITURA!$G$2:$G$1201,_LEITURA!$N885))</f>
        <v/>
      </c>
      <c r="E885" s="16" t="str">
        <f aca="false">IF(B885="","",SUMIFS(INVENTÁRIO!$C$2:$C$801,INVENTÁRIO!$A$2:$A$801,B885))</f>
        <v/>
      </c>
      <c r="F885" s="16" t="str">
        <f aca="false">IF(B885="","",MAX(0,D885-E885))</f>
        <v/>
      </c>
      <c r="G885" s="16" t="str">
        <f aca="false">IF(B885="","",IF(COUNTIFS($B$2:$B$1201,B885,$A$2:$A$1201,"&lt;&gt;"&amp;A885)&gt;0,"Sim",""))</f>
        <v/>
      </c>
      <c r="H885" s="16" t="str">
        <f aca="false">IF(N(F885)&gt;0,MAX(H$1:H884)+1,"")</f>
        <v/>
      </c>
      <c r="I885" s="11" t="str">
        <f aca="false">IF(B885="","",IF(INDEX($C$2:$C$1201,MATCH(B885,$B$2:$B$1201,0))&lt;&gt;C885,"Nome diferente em outro deck — revisar",""))</f>
        <v/>
      </c>
      <c r="J885" s="16" t="str">
        <f aca="false">IF(AND(B885&lt;&gt;"",A885=BULK!$A$1,N(F885)&gt;0),MAX(J$1:J884)+1,"")</f>
        <v/>
      </c>
      <c r="K885" s="11" t="str">
        <f aca="false">IF(B885="","",IFERROR(LEFT(B885,FIND("-",B885)-1),B885))</f>
        <v/>
      </c>
      <c r="L885" s="11" t="str">
        <f aca="false">IF(K885="","",IF(ISNUMBER(--MID(K885,1,1)),0,IF(ISNUMBER(--MID(K885,2,1)),1,IF(ISNUMBER(--MID(K885,3,1)),2,IF(ISNUMBER(--MID(K885,4,1)),3,MIN(LEN(K885),4))))))</f>
        <v/>
      </c>
      <c r="M885" s="11" t="str">
        <f aca="false">IF(B885="","",LEFT(K885,L885)&amp;REPT("0",4-L885)&amp;RIGHT("000"&amp;IFERROR(VALUE(MID(K885,L885+1,9)),0),3)&amp;RIGHT("0000"&amp;IFERROR(VALUE(MID(B885,FIND("-",B885)+1,9)),0),4))</f>
        <v/>
      </c>
      <c r="N885" s="11" t="str">
        <f aca="false">IF(OR(B885="",N(F885)&lt;=0),"",IF('FALTAS POR DECK'!$P$1="Código","K"&amp;M885&amp;RIGHT("00000"&amp;ROW(),5),IF('FALTAS POR DECK'!$P$1="Nome","K"&amp;UPPER(SUBSTITUTE(SUBSTITUTE(SUBSTITUTE(C885,"*",""),"?",""),"~",""))&amp;"0"&amp;M885&amp;RIGHT("00000"&amp;ROW(),5),IF('FALTAS POR DECK'!$P$1="Falta (maior primeiro)","K"&amp;RIGHT("0000"&amp;(9999-F885),4)&amp;M885&amp;RIGHT("00000"&amp;ROW(),5),IF('FALTAS POR DECK'!$P$1="Deck e código","K"&amp;RIGHT("00"&amp;IFERROR(MATCH(A885,_LEITURA!$P$2:$P$21,0),99),2)&amp;M885&amp;RIGHT("00000"&amp;ROW(),5),"K"&amp;RIGHT("00000"&amp;ROW(),5))))))</f>
        <v/>
      </c>
      <c r="O885" s="16" t="str">
        <f aca="false">IF(N885="","",COUNTIFS($N$2:$N$1201,"&lt;"&amp;N885,$F$2:$F$1201,"&gt;0")+1)</f>
        <v/>
      </c>
    </row>
    <row r="886" customFormat="false" ht="15" hidden="false" customHeight="false" outlineLevel="0" collapsed="false">
      <c r="A886" s="11" t="str">
        <f aca="false">IF(_LEITURA!$N886="","",INDEX(_LEITURA!$K$2:$K$1201,_LEITURA!$N886))</f>
        <v/>
      </c>
      <c r="B886" s="11" t="str">
        <f aca="false">IF(_LEITURA!$N886="","",INDEX(_LEITURA!$E$2:$E$1201,_LEITURA!$N886))</f>
        <v/>
      </c>
      <c r="C886" s="11" t="str">
        <f aca="false">IF(_LEITURA!$N886="","",INDEX(_LEITURA!$J$2:$J$1201,_LEITURA!$N886))</f>
        <v/>
      </c>
      <c r="D886" s="16" t="str">
        <f aca="false">IF(_LEITURA!$N886="","",INDEX(_LEITURA!$G$2:$G$1201,_LEITURA!$N886))</f>
        <v/>
      </c>
      <c r="E886" s="16" t="str">
        <f aca="false">IF(B886="","",SUMIFS(INVENTÁRIO!$C$2:$C$801,INVENTÁRIO!$A$2:$A$801,B886))</f>
        <v/>
      </c>
      <c r="F886" s="16" t="str">
        <f aca="false">IF(B886="","",MAX(0,D886-E886))</f>
        <v/>
      </c>
      <c r="G886" s="16" t="str">
        <f aca="false">IF(B886="","",IF(COUNTIFS($B$2:$B$1201,B886,$A$2:$A$1201,"&lt;&gt;"&amp;A886)&gt;0,"Sim",""))</f>
        <v/>
      </c>
      <c r="H886" s="16" t="str">
        <f aca="false">IF(N(F886)&gt;0,MAX(H$1:H885)+1,"")</f>
        <v/>
      </c>
      <c r="I886" s="11" t="str">
        <f aca="false">IF(B886="","",IF(INDEX($C$2:$C$1201,MATCH(B886,$B$2:$B$1201,0))&lt;&gt;C886,"Nome diferente em outro deck — revisar",""))</f>
        <v/>
      </c>
      <c r="J886" s="16" t="str">
        <f aca="false">IF(AND(B886&lt;&gt;"",A886=BULK!$A$1,N(F886)&gt;0),MAX(J$1:J885)+1,"")</f>
        <v/>
      </c>
      <c r="K886" s="11" t="str">
        <f aca="false">IF(B886="","",IFERROR(LEFT(B886,FIND("-",B886)-1),B886))</f>
        <v/>
      </c>
      <c r="L886" s="11" t="str">
        <f aca="false">IF(K886="","",IF(ISNUMBER(--MID(K886,1,1)),0,IF(ISNUMBER(--MID(K886,2,1)),1,IF(ISNUMBER(--MID(K886,3,1)),2,IF(ISNUMBER(--MID(K886,4,1)),3,MIN(LEN(K886),4))))))</f>
        <v/>
      </c>
      <c r="M886" s="11" t="str">
        <f aca="false">IF(B886="","",LEFT(K886,L886)&amp;REPT("0",4-L886)&amp;RIGHT("000"&amp;IFERROR(VALUE(MID(K886,L886+1,9)),0),3)&amp;RIGHT("0000"&amp;IFERROR(VALUE(MID(B886,FIND("-",B886)+1,9)),0),4))</f>
        <v/>
      </c>
      <c r="N886" s="11" t="str">
        <f aca="false">IF(OR(B886="",N(F886)&lt;=0),"",IF('FALTAS POR DECK'!$P$1="Código","K"&amp;M886&amp;RIGHT("00000"&amp;ROW(),5),IF('FALTAS POR DECK'!$P$1="Nome","K"&amp;UPPER(SUBSTITUTE(SUBSTITUTE(SUBSTITUTE(C886,"*",""),"?",""),"~",""))&amp;"0"&amp;M886&amp;RIGHT("00000"&amp;ROW(),5),IF('FALTAS POR DECK'!$P$1="Falta (maior primeiro)","K"&amp;RIGHT("0000"&amp;(9999-F886),4)&amp;M886&amp;RIGHT("00000"&amp;ROW(),5),IF('FALTAS POR DECK'!$P$1="Deck e código","K"&amp;RIGHT("00"&amp;IFERROR(MATCH(A886,_LEITURA!$P$2:$P$21,0),99),2)&amp;M886&amp;RIGHT("00000"&amp;ROW(),5),"K"&amp;RIGHT("00000"&amp;ROW(),5))))))</f>
        <v/>
      </c>
      <c r="O886" s="16" t="str">
        <f aca="false">IF(N886="","",COUNTIFS($N$2:$N$1201,"&lt;"&amp;N886,$F$2:$F$1201,"&gt;0")+1)</f>
        <v/>
      </c>
    </row>
    <row r="887" customFormat="false" ht="15" hidden="false" customHeight="false" outlineLevel="0" collapsed="false">
      <c r="A887" s="11" t="str">
        <f aca="false">IF(_LEITURA!$N887="","",INDEX(_LEITURA!$K$2:$K$1201,_LEITURA!$N887))</f>
        <v/>
      </c>
      <c r="B887" s="11" t="str">
        <f aca="false">IF(_LEITURA!$N887="","",INDEX(_LEITURA!$E$2:$E$1201,_LEITURA!$N887))</f>
        <v/>
      </c>
      <c r="C887" s="11" t="str">
        <f aca="false">IF(_LEITURA!$N887="","",INDEX(_LEITURA!$J$2:$J$1201,_LEITURA!$N887))</f>
        <v/>
      </c>
      <c r="D887" s="16" t="str">
        <f aca="false">IF(_LEITURA!$N887="","",INDEX(_LEITURA!$G$2:$G$1201,_LEITURA!$N887))</f>
        <v/>
      </c>
      <c r="E887" s="16" t="str">
        <f aca="false">IF(B887="","",SUMIFS(INVENTÁRIO!$C$2:$C$801,INVENTÁRIO!$A$2:$A$801,B887))</f>
        <v/>
      </c>
      <c r="F887" s="16" t="str">
        <f aca="false">IF(B887="","",MAX(0,D887-E887))</f>
        <v/>
      </c>
      <c r="G887" s="16" t="str">
        <f aca="false">IF(B887="","",IF(COUNTIFS($B$2:$B$1201,B887,$A$2:$A$1201,"&lt;&gt;"&amp;A887)&gt;0,"Sim",""))</f>
        <v/>
      </c>
      <c r="H887" s="16" t="str">
        <f aca="false">IF(N(F887)&gt;0,MAX(H$1:H886)+1,"")</f>
        <v/>
      </c>
      <c r="I887" s="11" t="str">
        <f aca="false">IF(B887="","",IF(INDEX($C$2:$C$1201,MATCH(B887,$B$2:$B$1201,0))&lt;&gt;C887,"Nome diferente em outro deck — revisar",""))</f>
        <v/>
      </c>
      <c r="J887" s="16" t="str">
        <f aca="false">IF(AND(B887&lt;&gt;"",A887=BULK!$A$1,N(F887)&gt;0),MAX(J$1:J886)+1,"")</f>
        <v/>
      </c>
      <c r="K887" s="11" t="str">
        <f aca="false">IF(B887="","",IFERROR(LEFT(B887,FIND("-",B887)-1),B887))</f>
        <v/>
      </c>
      <c r="L887" s="11" t="str">
        <f aca="false">IF(K887="","",IF(ISNUMBER(--MID(K887,1,1)),0,IF(ISNUMBER(--MID(K887,2,1)),1,IF(ISNUMBER(--MID(K887,3,1)),2,IF(ISNUMBER(--MID(K887,4,1)),3,MIN(LEN(K887),4))))))</f>
        <v/>
      </c>
      <c r="M887" s="11" t="str">
        <f aca="false">IF(B887="","",LEFT(K887,L887)&amp;REPT("0",4-L887)&amp;RIGHT("000"&amp;IFERROR(VALUE(MID(K887,L887+1,9)),0),3)&amp;RIGHT("0000"&amp;IFERROR(VALUE(MID(B887,FIND("-",B887)+1,9)),0),4))</f>
        <v/>
      </c>
      <c r="N887" s="11" t="str">
        <f aca="false">IF(OR(B887="",N(F887)&lt;=0),"",IF('FALTAS POR DECK'!$P$1="Código","K"&amp;M887&amp;RIGHT("00000"&amp;ROW(),5),IF('FALTAS POR DECK'!$P$1="Nome","K"&amp;UPPER(SUBSTITUTE(SUBSTITUTE(SUBSTITUTE(C887,"*",""),"?",""),"~",""))&amp;"0"&amp;M887&amp;RIGHT("00000"&amp;ROW(),5),IF('FALTAS POR DECK'!$P$1="Falta (maior primeiro)","K"&amp;RIGHT("0000"&amp;(9999-F887),4)&amp;M887&amp;RIGHT("00000"&amp;ROW(),5),IF('FALTAS POR DECK'!$P$1="Deck e código","K"&amp;RIGHT("00"&amp;IFERROR(MATCH(A887,_LEITURA!$P$2:$P$21,0),99),2)&amp;M887&amp;RIGHT("00000"&amp;ROW(),5),"K"&amp;RIGHT("00000"&amp;ROW(),5))))))</f>
        <v/>
      </c>
      <c r="O887" s="16" t="str">
        <f aca="false">IF(N887="","",COUNTIFS($N$2:$N$1201,"&lt;"&amp;N887,$F$2:$F$1201,"&gt;0")+1)</f>
        <v/>
      </c>
    </row>
    <row r="888" customFormat="false" ht="15" hidden="false" customHeight="false" outlineLevel="0" collapsed="false">
      <c r="A888" s="11" t="str">
        <f aca="false">IF(_LEITURA!$N888="","",INDEX(_LEITURA!$K$2:$K$1201,_LEITURA!$N888))</f>
        <v/>
      </c>
      <c r="B888" s="11" t="str">
        <f aca="false">IF(_LEITURA!$N888="","",INDEX(_LEITURA!$E$2:$E$1201,_LEITURA!$N888))</f>
        <v/>
      </c>
      <c r="C888" s="11" t="str">
        <f aca="false">IF(_LEITURA!$N888="","",INDEX(_LEITURA!$J$2:$J$1201,_LEITURA!$N888))</f>
        <v/>
      </c>
      <c r="D888" s="16" t="str">
        <f aca="false">IF(_LEITURA!$N888="","",INDEX(_LEITURA!$G$2:$G$1201,_LEITURA!$N888))</f>
        <v/>
      </c>
      <c r="E888" s="16" t="str">
        <f aca="false">IF(B888="","",SUMIFS(INVENTÁRIO!$C$2:$C$801,INVENTÁRIO!$A$2:$A$801,B888))</f>
        <v/>
      </c>
      <c r="F888" s="16" t="str">
        <f aca="false">IF(B888="","",MAX(0,D888-E888))</f>
        <v/>
      </c>
      <c r="G888" s="16" t="str">
        <f aca="false">IF(B888="","",IF(COUNTIFS($B$2:$B$1201,B888,$A$2:$A$1201,"&lt;&gt;"&amp;A888)&gt;0,"Sim",""))</f>
        <v/>
      </c>
      <c r="H888" s="16" t="str">
        <f aca="false">IF(N(F888)&gt;0,MAX(H$1:H887)+1,"")</f>
        <v/>
      </c>
      <c r="I888" s="11" t="str">
        <f aca="false">IF(B888="","",IF(INDEX($C$2:$C$1201,MATCH(B888,$B$2:$B$1201,0))&lt;&gt;C888,"Nome diferente em outro deck — revisar",""))</f>
        <v/>
      </c>
      <c r="J888" s="16" t="str">
        <f aca="false">IF(AND(B888&lt;&gt;"",A888=BULK!$A$1,N(F888)&gt;0),MAX(J$1:J887)+1,"")</f>
        <v/>
      </c>
      <c r="K888" s="11" t="str">
        <f aca="false">IF(B888="","",IFERROR(LEFT(B888,FIND("-",B888)-1),B888))</f>
        <v/>
      </c>
      <c r="L888" s="11" t="str">
        <f aca="false">IF(K888="","",IF(ISNUMBER(--MID(K888,1,1)),0,IF(ISNUMBER(--MID(K888,2,1)),1,IF(ISNUMBER(--MID(K888,3,1)),2,IF(ISNUMBER(--MID(K888,4,1)),3,MIN(LEN(K888),4))))))</f>
        <v/>
      </c>
      <c r="M888" s="11" t="str">
        <f aca="false">IF(B888="","",LEFT(K888,L888)&amp;REPT("0",4-L888)&amp;RIGHT("000"&amp;IFERROR(VALUE(MID(K888,L888+1,9)),0),3)&amp;RIGHT("0000"&amp;IFERROR(VALUE(MID(B888,FIND("-",B888)+1,9)),0),4))</f>
        <v/>
      </c>
      <c r="N888" s="11" t="str">
        <f aca="false">IF(OR(B888="",N(F888)&lt;=0),"",IF('FALTAS POR DECK'!$P$1="Código","K"&amp;M888&amp;RIGHT("00000"&amp;ROW(),5),IF('FALTAS POR DECK'!$P$1="Nome","K"&amp;UPPER(SUBSTITUTE(SUBSTITUTE(SUBSTITUTE(C888,"*",""),"?",""),"~",""))&amp;"0"&amp;M888&amp;RIGHT("00000"&amp;ROW(),5),IF('FALTAS POR DECK'!$P$1="Falta (maior primeiro)","K"&amp;RIGHT("0000"&amp;(9999-F888),4)&amp;M888&amp;RIGHT("00000"&amp;ROW(),5),IF('FALTAS POR DECK'!$P$1="Deck e código","K"&amp;RIGHT("00"&amp;IFERROR(MATCH(A888,_LEITURA!$P$2:$P$21,0),99),2)&amp;M888&amp;RIGHT("00000"&amp;ROW(),5),"K"&amp;RIGHT("00000"&amp;ROW(),5))))))</f>
        <v/>
      </c>
      <c r="O888" s="16" t="str">
        <f aca="false">IF(N888="","",COUNTIFS($N$2:$N$1201,"&lt;"&amp;N888,$F$2:$F$1201,"&gt;0")+1)</f>
        <v/>
      </c>
    </row>
    <row r="889" customFormat="false" ht="15" hidden="false" customHeight="false" outlineLevel="0" collapsed="false">
      <c r="A889" s="11" t="str">
        <f aca="false">IF(_LEITURA!$N889="","",INDEX(_LEITURA!$K$2:$K$1201,_LEITURA!$N889))</f>
        <v/>
      </c>
      <c r="B889" s="11" t="str">
        <f aca="false">IF(_LEITURA!$N889="","",INDEX(_LEITURA!$E$2:$E$1201,_LEITURA!$N889))</f>
        <v/>
      </c>
      <c r="C889" s="11" t="str">
        <f aca="false">IF(_LEITURA!$N889="","",INDEX(_LEITURA!$J$2:$J$1201,_LEITURA!$N889))</f>
        <v/>
      </c>
      <c r="D889" s="16" t="str">
        <f aca="false">IF(_LEITURA!$N889="","",INDEX(_LEITURA!$G$2:$G$1201,_LEITURA!$N889))</f>
        <v/>
      </c>
      <c r="E889" s="16" t="str">
        <f aca="false">IF(B889="","",SUMIFS(INVENTÁRIO!$C$2:$C$801,INVENTÁRIO!$A$2:$A$801,B889))</f>
        <v/>
      </c>
      <c r="F889" s="16" t="str">
        <f aca="false">IF(B889="","",MAX(0,D889-E889))</f>
        <v/>
      </c>
      <c r="G889" s="16" t="str">
        <f aca="false">IF(B889="","",IF(COUNTIFS($B$2:$B$1201,B889,$A$2:$A$1201,"&lt;&gt;"&amp;A889)&gt;0,"Sim",""))</f>
        <v/>
      </c>
      <c r="H889" s="16" t="str">
        <f aca="false">IF(N(F889)&gt;0,MAX(H$1:H888)+1,"")</f>
        <v/>
      </c>
      <c r="I889" s="11" t="str">
        <f aca="false">IF(B889="","",IF(INDEX($C$2:$C$1201,MATCH(B889,$B$2:$B$1201,0))&lt;&gt;C889,"Nome diferente em outro deck — revisar",""))</f>
        <v/>
      </c>
      <c r="J889" s="16" t="str">
        <f aca="false">IF(AND(B889&lt;&gt;"",A889=BULK!$A$1,N(F889)&gt;0),MAX(J$1:J888)+1,"")</f>
        <v/>
      </c>
      <c r="K889" s="11" t="str">
        <f aca="false">IF(B889="","",IFERROR(LEFT(B889,FIND("-",B889)-1),B889))</f>
        <v/>
      </c>
      <c r="L889" s="11" t="str">
        <f aca="false">IF(K889="","",IF(ISNUMBER(--MID(K889,1,1)),0,IF(ISNUMBER(--MID(K889,2,1)),1,IF(ISNUMBER(--MID(K889,3,1)),2,IF(ISNUMBER(--MID(K889,4,1)),3,MIN(LEN(K889),4))))))</f>
        <v/>
      </c>
      <c r="M889" s="11" t="str">
        <f aca="false">IF(B889="","",LEFT(K889,L889)&amp;REPT("0",4-L889)&amp;RIGHT("000"&amp;IFERROR(VALUE(MID(K889,L889+1,9)),0),3)&amp;RIGHT("0000"&amp;IFERROR(VALUE(MID(B889,FIND("-",B889)+1,9)),0),4))</f>
        <v/>
      </c>
      <c r="N889" s="11" t="str">
        <f aca="false">IF(OR(B889="",N(F889)&lt;=0),"",IF('FALTAS POR DECK'!$P$1="Código","K"&amp;M889&amp;RIGHT("00000"&amp;ROW(),5),IF('FALTAS POR DECK'!$P$1="Nome","K"&amp;UPPER(SUBSTITUTE(SUBSTITUTE(SUBSTITUTE(C889,"*",""),"?",""),"~",""))&amp;"0"&amp;M889&amp;RIGHT("00000"&amp;ROW(),5),IF('FALTAS POR DECK'!$P$1="Falta (maior primeiro)","K"&amp;RIGHT("0000"&amp;(9999-F889),4)&amp;M889&amp;RIGHT("00000"&amp;ROW(),5),IF('FALTAS POR DECK'!$P$1="Deck e código","K"&amp;RIGHT("00"&amp;IFERROR(MATCH(A889,_LEITURA!$P$2:$P$21,0),99),2)&amp;M889&amp;RIGHT("00000"&amp;ROW(),5),"K"&amp;RIGHT("00000"&amp;ROW(),5))))))</f>
        <v/>
      </c>
      <c r="O889" s="16" t="str">
        <f aca="false">IF(N889="","",COUNTIFS($N$2:$N$1201,"&lt;"&amp;N889,$F$2:$F$1201,"&gt;0")+1)</f>
        <v/>
      </c>
    </row>
    <row r="890" customFormat="false" ht="15" hidden="false" customHeight="false" outlineLevel="0" collapsed="false">
      <c r="A890" s="11" t="str">
        <f aca="false">IF(_LEITURA!$N890="","",INDEX(_LEITURA!$K$2:$K$1201,_LEITURA!$N890))</f>
        <v/>
      </c>
      <c r="B890" s="11" t="str">
        <f aca="false">IF(_LEITURA!$N890="","",INDEX(_LEITURA!$E$2:$E$1201,_LEITURA!$N890))</f>
        <v/>
      </c>
      <c r="C890" s="11" t="str">
        <f aca="false">IF(_LEITURA!$N890="","",INDEX(_LEITURA!$J$2:$J$1201,_LEITURA!$N890))</f>
        <v/>
      </c>
      <c r="D890" s="16" t="str">
        <f aca="false">IF(_LEITURA!$N890="","",INDEX(_LEITURA!$G$2:$G$1201,_LEITURA!$N890))</f>
        <v/>
      </c>
      <c r="E890" s="16" t="str">
        <f aca="false">IF(B890="","",SUMIFS(INVENTÁRIO!$C$2:$C$801,INVENTÁRIO!$A$2:$A$801,B890))</f>
        <v/>
      </c>
      <c r="F890" s="16" t="str">
        <f aca="false">IF(B890="","",MAX(0,D890-E890))</f>
        <v/>
      </c>
      <c r="G890" s="16" t="str">
        <f aca="false">IF(B890="","",IF(COUNTIFS($B$2:$B$1201,B890,$A$2:$A$1201,"&lt;&gt;"&amp;A890)&gt;0,"Sim",""))</f>
        <v/>
      </c>
      <c r="H890" s="16" t="str">
        <f aca="false">IF(N(F890)&gt;0,MAX(H$1:H889)+1,"")</f>
        <v/>
      </c>
      <c r="I890" s="11" t="str">
        <f aca="false">IF(B890="","",IF(INDEX($C$2:$C$1201,MATCH(B890,$B$2:$B$1201,0))&lt;&gt;C890,"Nome diferente em outro deck — revisar",""))</f>
        <v/>
      </c>
      <c r="J890" s="16" t="str">
        <f aca="false">IF(AND(B890&lt;&gt;"",A890=BULK!$A$1,N(F890)&gt;0),MAX(J$1:J889)+1,"")</f>
        <v/>
      </c>
      <c r="K890" s="11" t="str">
        <f aca="false">IF(B890="","",IFERROR(LEFT(B890,FIND("-",B890)-1),B890))</f>
        <v/>
      </c>
      <c r="L890" s="11" t="str">
        <f aca="false">IF(K890="","",IF(ISNUMBER(--MID(K890,1,1)),0,IF(ISNUMBER(--MID(K890,2,1)),1,IF(ISNUMBER(--MID(K890,3,1)),2,IF(ISNUMBER(--MID(K890,4,1)),3,MIN(LEN(K890),4))))))</f>
        <v/>
      </c>
      <c r="M890" s="11" t="str">
        <f aca="false">IF(B890="","",LEFT(K890,L890)&amp;REPT("0",4-L890)&amp;RIGHT("000"&amp;IFERROR(VALUE(MID(K890,L890+1,9)),0),3)&amp;RIGHT("0000"&amp;IFERROR(VALUE(MID(B890,FIND("-",B890)+1,9)),0),4))</f>
        <v/>
      </c>
      <c r="N890" s="11" t="str">
        <f aca="false">IF(OR(B890="",N(F890)&lt;=0),"",IF('FALTAS POR DECK'!$P$1="Código","K"&amp;M890&amp;RIGHT("00000"&amp;ROW(),5),IF('FALTAS POR DECK'!$P$1="Nome","K"&amp;UPPER(SUBSTITUTE(SUBSTITUTE(SUBSTITUTE(C890,"*",""),"?",""),"~",""))&amp;"0"&amp;M890&amp;RIGHT("00000"&amp;ROW(),5),IF('FALTAS POR DECK'!$P$1="Falta (maior primeiro)","K"&amp;RIGHT("0000"&amp;(9999-F890),4)&amp;M890&amp;RIGHT("00000"&amp;ROW(),5),IF('FALTAS POR DECK'!$P$1="Deck e código","K"&amp;RIGHT("00"&amp;IFERROR(MATCH(A890,_LEITURA!$P$2:$P$21,0),99),2)&amp;M890&amp;RIGHT("00000"&amp;ROW(),5),"K"&amp;RIGHT("00000"&amp;ROW(),5))))))</f>
        <v/>
      </c>
      <c r="O890" s="16" t="str">
        <f aca="false">IF(N890="","",COUNTIFS($N$2:$N$1201,"&lt;"&amp;N890,$F$2:$F$1201,"&gt;0")+1)</f>
        <v/>
      </c>
    </row>
    <row r="891" customFormat="false" ht="15" hidden="false" customHeight="false" outlineLevel="0" collapsed="false">
      <c r="A891" s="11" t="str">
        <f aca="false">IF(_LEITURA!$N891="","",INDEX(_LEITURA!$K$2:$K$1201,_LEITURA!$N891))</f>
        <v/>
      </c>
      <c r="B891" s="11" t="str">
        <f aca="false">IF(_LEITURA!$N891="","",INDEX(_LEITURA!$E$2:$E$1201,_LEITURA!$N891))</f>
        <v/>
      </c>
      <c r="C891" s="11" t="str">
        <f aca="false">IF(_LEITURA!$N891="","",INDEX(_LEITURA!$J$2:$J$1201,_LEITURA!$N891))</f>
        <v/>
      </c>
      <c r="D891" s="16" t="str">
        <f aca="false">IF(_LEITURA!$N891="","",INDEX(_LEITURA!$G$2:$G$1201,_LEITURA!$N891))</f>
        <v/>
      </c>
      <c r="E891" s="16" t="str">
        <f aca="false">IF(B891="","",SUMIFS(INVENTÁRIO!$C$2:$C$801,INVENTÁRIO!$A$2:$A$801,B891))</f>
        <v/>
      </c>
      <c r="F891" s="16" t="str">
        <f aca="false">IF(B891="","",MAX(0,D891-E891))</f>
        <v/>
      </c>
      <c r="G891" s="16" t="str">
        <f aca="false">IF(B891="","",IF(COUNTIFS($B$2:$B$1201,B891,$A$2:$A$1201,"&lt;&gt;"&amp;A891)&gt;0,"Sim",""))</f>
        <v/>
      </c>
      <c r="H891" s="16" t="str">
        <f aca="false">IF(N(F891)&gt;0,MAX(H$1:H890)+1,"")</f>
        <v/>
      </c>
      <c r="I891" s="11" t="str">
        <f aca="false">IF(B891="","",IF(INDEX($C$2:$C$1201,MATCH(B891,$B$2:$B$1201,0))&lt;&gt;C891,"Nome diferente em outro deck — revisar",""))</f>
        <v/>
      </c>
      <c r="J891" s="16" t="str">
        <f aca="false">IF(AND(B891&lt;&gt;"",A891=BULK!$A$1,N(F891)&gt;0),MAX(J$1:J890)+1,"")</f>
        <v/>
      </c>
      <c r="K891" s="11" t="str">
        <f aca="false">IF(B891="","",IFERROR(LEFT(B891,FIND("-",B891)-1),B891))</f>
        <v/>
      </c>
      <c r="L891" s="11" t="str">
        <f aca="false">IF(K891="","",IF(ISNUMBER(--MID(K891,1,1)),0,IF(ISNUMBER(--MID(K891,2,1)),1,IF(ISNUMBER(--MID(K891,3,1)),2,IF(ISNUMBER(--MID(K891,4,1)),3,MIN(LEN(K891),4))))))</f>
        <v/>
      </c>
      <c r="M891" s="11" t="str">
        <f aca="false">IF(B891="","",LEFT(K891,L891)&amp;REPT("0",4-L891)&amp;RIGHT("000"&amp;IFERROR(VALUE(MID(K891,L891+1,9)),0),3)&amp;RIGHT("0000"&amp;IFERROR(VALUE(MID(B891,FIND("-",B891)+1,9)),0),4))</f>
        <v/>
      </c>
      <c r="N891" s="11" t="str">
        <f aca="false">IF(OR(B891="",N(F891)&lt;=0),"",IF('FALTAS POR DECK'!$P$1="Código","K"&amp;M891&amp;RIGHT("00000"&amp;ROW(),5),IF('FALTAS POR DECK'!$P$1="Nome","K"&amp;UPPER(SUBSTITUTE(SUBSTITUTE(SUBSTITUTE(C891,"*",""),"?",""),"~",""))&amp;"0"&amp;M891&amp;RIGHT("00000"&amp;ROW(),5),IF('FALTAS POR DECK'!$P$1="Falta (maior primeiro)","K"&amp;RIGHT("0000"&amp;(9999-F891),4)&amp;M891&amp;RIGHT("00000"&amp;ROW(),5),IF('FALTAS POR DECK'!$P$1="Deck e código","K"&amp;RIGHT("00"&amp;IFERROR(MATCH(A891,_LEITURA!$P$2:$P$21,0),99),2)&amp;M891&amp;RIGHT("00000"&amp;ROW(),5),"K"&amp;RIGHT("00000"&amp;ROW(),5))))))</f>
        <v/>
      </c>
      <c r="O891" s="16" t="str">
        <f aca="false">IF(N891="","",COUNTIFS($N$2:$N$1201,"&lt;"&amp;N891,$F$2:$F$1201,"&gt;0")+1)</f>
        <v/>
      </c>
    </row>
    <row r="892" customFormat="false" ht="15" hidden="false" customHeight="false" outlineLevel="0" collapsed="false">
      <c r="A892" s="11" t="str">
        <f aca="false">IF(_LEITURA!$N892="","",INDEX(_LEITURA!$K$2:$K$1201,_LEITURA!$N892))</f>
        <v/>
      </c>
      <c r="B892" s="11" t="str">
        <f aca="false">IF(_LEITURA!$N892="","",INDEX(_LEITURA!$E$2:$E$1201,_LEITURA!$N892))</f>
        <v/>
      </c>
      <c r="C892" s="11" t="str">
        <f aca="false">IF(_LEITURA!$N892="","",INDEX(_LEITURA!$J$2:$J$1201,_LEITURA!$N892))</f>
        <v/>
      </c>
      <c r="D892" s="16" t="str">
        <f aca="false">IF(_LEITURA!$N892="","",INDEX(_LEITURA!$G$2:$G$1201,_LEITURA!$N892))</f>
        <v/>
      </c>
      <c r="E892" s="16" t="str">
        <f aca="false">IF(B892="","",SUMIFS(INVENTÁRIO!$C$2:$C$801,INVENTÁRIO!$A$2:$A$801,B892))</f>
        <v/>
      </c>
      <c r="F892" s="16" t="str">
        <f aca="false">IF(B892="","",MAX(0,D892-E892))</f>
        <v/>
      </c>
      <c r="G892" s="16" t="str">
        <f aca="false">IF(B892="","",IF(COUNTIFS($B$2:$B$1201,B892,$A$2:$A$1201,"&lt;&gt;"&amp;A892)&gt;0,"Sim",""))</f>
        <v/>
      </c>
      <c r="H892" s="16" t="str">
        <f aca="false">IF(N(F892)&gt;0,MAX(H$1:H891)+1,"")</f>
        <v/>
      </c>
      <c r="I892" s="11" t="str">
        <f aca="false">IF(B892="","",IF(INDEX($C$2:$C$1201,MATCH(B892,$B$2:$B$1201,0))&lt;&gt;C892,"Nome diferente em outro deck — revisar",""))</f>
        <v/>
      </c>
      <c r="J892" s="16" t="str">
        <f aca="false">IF(AND(B892&lt;&gt;"",A892=BULK!$A$1,N(F892)&gt;0),MAX(J$1:J891)+1,"")</f>
        <v/>
      </c>
      <c r="K892" s="11" t="str">
        <f aca="false">IF(B892="","",IFERROR(LEFT(B892,FIND("-",B892)-1),B892))</f>
        <v/>
      </c>
      <c r="L892" s="11" t="str">
        <f aca="false">IF(K892="","",IF(ISNUMBER(--MID(K892,1,1)),0,IF(ISNUMBER(--MID(K892,2,1)),1,IF(ISNUMBER(--MID(K892,3,1)),2,IF(ISNUMBER(--MID(K892,4,1)),3,MIN(LEN(K892),4))))))</f>
        <v/>
      </c>
      <c r="M892" s="11" t="str">
        <f aca="false">IF(B892="","",LEFT(K892,L892)&amp;REPT("0",4-L892)&amp;RIGHT("000"&amp;IFERROR(VALUE(MID(K892,L892+1,9)),0),3)&amp;RIGHT("0000"&amp;IFERROR(VALUE(MID(B892,FIND("-",B892)+1,9)),0),4))</f>
        <v/>
      </c>
      <c r="N892" s="11" t="str">
        <f aca="false">IF(OR(B892="",N(F892)&lt;=0),"",IF('FALTAS POR DECK'!$P$1="Código","K"&amp;M892&amp;RIGHT("00000"&amp;ROW(),5),IF('FALTAS POR DECK'!$P$1="Nome","K"&amp;UPPER(SUBSTITUTE(SUBSTITUTE(SUBSTITUTE(C892,"*",""),"?",""),"~",""))&amp;"0"&amp;M892&amp;RIGHT("00000"&amp;ROW(),5),IF('FALTAS POR DECK'!$P$1="Falta (maior primeiro)","K"&amp;RIGHT("0000"&amp;(9999-F892),4)&amp;M892&amp;RIGHT("00000"&amp;ROW(),5),IF('FALTAS POR DECK'!$P$1="Deck e código","K"&amp;RIGHT("00"&amp;IFERROR(MATCH(A892,_LEITURA!$P$2:$P$21,0),99),2)&amp;M892&amp;RIGHT("00000"&amp;ROW(),5),"K"&amp;RIGHT("00000"&amp;ROW(),5))))))</f>
        <v/>
      </c>
      <c r="O892" s="16" t="str">
        <f aca="false">IF(N892="","",COUNTIFS($N$2:$N$1201,"&lt;"&amp;N892,$F$2:$F$1201,"&gt;0")+1)</f>
        <v/>
      </c>
    </row>
    <row r="893" customFormat="false" ht="15" hidden="false" customHeight="false" outlineLevel="0" collapsed="false">
      <c r="A893" s="11" t="str">
        <f aca="false">IF(_LEITURA!$N893="","",INDEX(_LEITURA!$K$2:$K$1201,_LEITURA!$N893))</f>
        <v/>
      </c>
      <c r="B893" s="11" t="str">
        <f aca="false">IF(_LEITURA!$N893="","",INDEX(_LEITURA!$E$2:$E$1201,_LEITURA!$N893))</f>
        <v/>
      </c>
      <c r="C893" s="11" t="str">
        <f aca="false">IF(_LEITURA!$N893="","",INDEX(_LEITURA!$J$2:$J$1201,_LEITURA!$N893))</f>
        <v/>
      </c>
      <c r="D893" s="16" t="str">
        <f aca="false">IF(_LEITURA!$N893="","",INDEX(_LEITURA!$G$2:$G$1201,_LEITURA!$N893))</f>
        <v/>
      </c>
      <c r="E893" s="16" t="str">
        <f aca="false">IF(B893="","",SUMIFS(INVENTÁRIO!$C$2:$C$801,INVENTÁRIO!$A$2:$A$801,B893))</f>
        <v/>
      </c>
      <c r="F893" s="16" t="str">
        <f aca="false">IF(B893="","",MAX(0,D893-E893))</f>
        <v/>
      </c>
      <c r="G893" s="16" t="str">
        <f aca="false">IF(B893="","",IF(COUNTIFS($B$2:$B$1201,B893,$A$2:$A$1201,"&lt;&gt;"&amp;A893)&gt;0,"Sim",""))</f>
        <v/>
      </c>
      <c r="H893" s="16" t="str">
        <f aca="false">IF(N(F893)&gt;0,MAX(H$1:H892)+1,"")</f>
        <v/>
      </c>
      <c r="I893" s="11" t="str">
        <f aca="false">IF(B893="","",IF(INDEX($C$2:$C$1201,MATCH(B893,$B$2:$B$1201,0))&lt;&gt;C893,"Nome diferente em outro deck — revisar",""))</f>
        <v/>
      </c>
      <c r="J893" s="16" t="str">
        <f aca="false">IF(AND(B893&lt;&gt;"",A893=BULK!$A$1,N(F893)&gt;0),MAX(J$1:J892)+1,"")</f>
        <v/>
      </c>
      <c r="K893" s="11" t="str">
        <f aca="false">IF(B893="","",IFERROR(LEFT(B893,FIND("-",B893)-1),B893))</f>
        <v/>
      </c>
      <c r="L893" s="11" t="str">
        <f aca="false">IF(K893="","",IF(ISNUMBER(--MID(K893,1,1)),0,IF(ISNUMBER(--MID(K893,2,1)),1,IF(ISNUMBER(--MID(K893,3,1)),2,IF(ISNUMBER(--MID(K893,4,1)),3,MIN(LEN(K893),4))))))</f>
        <v/>
      </c>
      <c r="M893" s="11" t="str">
        <f aca="false">IF(B893="","",LEFT(K893,L893)&amp;REPT("0",4-L893)&amp;RIGHT("000"&amp;IFERROR(VALUE(MID(K893,L893+1,9)),0),3)&amp;RIGHT("0000"&amp;IFERROR(VALUE(MID(B893,FIND("-",B893)+1,9)),0),4))</f>
        <v/>
      </c>
      <c r="N893" s="11" t="str">
        <f aca="false">IF(OR(B893="",N(F893)&lt;=0),"",IF('FALTAS POR DECK'!$P$1="Código","K"&amp;M893&amp;RIGHT("00000"&amp;ROW(),5),IF('FALTAS POR DECK'!$P$1="Nome","K"&amp;UPPER(SUBSTITUTE(SUBSTITUTE(SUBSTITUTE(C893,"*",""),"?",""),"~",""))&amp;"0"&amp;M893&amp;RIGHT("00000"&amp;ROW(),5),IF('FALTAS POR DECK'!$P$1="Falta (maior primeiro)","K"&amp;RIGHT("0000"&amp;(9999-F893),4)&amp;M893&amp;RIGHT("00000"&amp;ROW(),5),IF('FALTAS POR DECK'!$P$1="Deck e código","K"&amp;RIGHT("00"&amp;IFERROR(MATCH(A893,_LEITURA!$P$2:$P$21,0),99),2)&amp;M893&amp;RIGHT("00000"&amp;ROW(),5),"K"&amp;RIGHT("00000"&amp;ROW(),5))))))</f>
        <v/>
      </c>
      <c r="O893" s="16" t="str">
        <f aca="false">IF(N893="","",COUNTIFS($N$2:$N$1201,"&lt;"&amp;N893,$F$2:$F$1201,"&gt;0")+1)</f>
        <v/>
      </c>
    </row>
    <row r="894" customFormat="false" ht="15" hidden="false" customHeight="false" outlineLevel="0" collapsed="false">
      <c r="A894" s="11" t="str">
        <f aca="false">IF(_LEITURA!$N894="","",INDEX(_LEITURA!$K$2:$K$1201,_LEITURA!$N894))</f>
        <v/>
      </c>
      <c r="B894" s="11" t="str">
        <f aca="false">IF(_LEITURA!$N894="","",INDEX(_LEITURA!$E$2:$E$1201,_LEITURA!$N894))</f>
        <v/>
      </c>
      <c r="C894" s="11" t="str">
        <f aca="false">IF(_LEITURA!$N894="","",INDEX(_LEITURA!$J$2:$J$1201,_LEITURA!$N894))</f>
        <v/>
      </c>
      <c r="D894" s="16" t="str">
        <f aca="false">IF(_LEITURA!$N894="","",INDEX(_LEITURA!$G$2:$G$1201,_LEITURA!$N894))</f>
        <v/>
      </c>
      <c r="E894" s="16" t="str">
        <f aca="false">IF(B894="","",SUMIFS(INVENTÁRIO!$C$2:$C$801,INVENTÁRIO!$A$2:$A$801,B894))</f>
        <v/>
      </c>
      <c r="F894" s="16" t="str">
        <f aca="false">IF(B894="","",MAX(0,D894-E894))</f>
        <v/>
      </c>
      <c r="G894" s="16" t="str">
        <f aca="false">IF(B894="","",IF(COUNTIFS($B$2:$B$1201,B894,$A$2:$A$1201,"&lt;&gt;"&amp;A894)&gt;0,"Sim",""))</f>
        <v/>
      </c>
      <c r="H894" s="16" t="str">
        <f aca="false">IF(N(F894)&gt;0,MAX(H$1:H893)+1,"")</f>
        <v/>
      </c>
      <c r="I894" s="11" t="str">
        <f aca="false">IF(B894="","",IF(INDEX($C$2:$C$1201,MATCH(B894,$B$2:$B$1201,0))&lt;&gt;C894,"Nome diferente em outro deck — revisar",""))</f>
        <v/>
      </c>
      <c r="J894" s="16" t="str">
        <f aca="false">IF(AND(B894&lt;&gt;"",A894=BULK!$A$1,N(F894)&gt;0),MAX(J$1:J893)+1,"")</f>
        <v/>
      </c>
      <c r="K894" s="11" t="str">
        <f aca="false">IF(B894="","",IFERROR(LEFT(B894,FIND("-",B894)-1),B894))</f>
        <v/>
      </c>
      <c r="L894" s="11" t="str">
        <f aca="false">IF(K894="","",IF(ISNUMBER(--MID(K894,1,1)),0,IF(ISNUMBER(--MID(K894,2,1)),1,IF(ISNUMBER(--MID(K894,3,1)),2,IF(ISNUMBER(--MID(K894,4,1)),3,MIN(LEN(K894),4))))))</f>
        <v/>
      </c>
      <c r="M894" s="11" t="str">
        <f aca="false">IF(B894="","",LEFT(K894,L894)&amp;REPT("0",4-L894)&amp;RIGHT("000"&amp;IFERROR(VALUE(MID(K894,L894+1,9)),0),3)&amp;RIGHT("0000"&amp;IFERROR(VALUE(MID(B894,FIND("-",B894)+1,9)),0),4))</f>
        <v/>
      </c>
      <c r="N894" s="11" t="str">
        <f aca="false">IF(OR(B894="",N(F894)&lt;=0),"",IF('FALTAS POR DECK'!$P$1="Código","K"&amp;M894&amp;RIGHT("00000"&amp;ROW(),5),IF('FALTAS POR DECK'!$P$1="Nome","K"&amp;UPPER(SUBSTITUTE(SUBSTITUTE(SUBSTITUTE(C894,"*",""),"?",""),"~",""))&amp;"0"&amp;M894&amp;RIGHT("00000"&amp;ROW(),5),IF('FALTAS POR DECK'!$P$1="Falta (maior primeiro)","K"&amp;RIGHT("0000"&amp;(9999-F894),4)&amp;M894&amp;RIGHT("00000"&amp;ROW(),5),IF('FALTAS POR DECK'!$P$1="Deck e código","K"&amp;RIGHT("00"&amp;IFERROR(MATCH(A894,_LEITURA!$P$2:$P$21,0),99),2)&amp;M894&amp;RIGHT("00000"&amp;ROW(),5),"K"&amp;RIGHT("00000"&amp;ROW(),5))))))</f>
        <v/>
      </c>
      <c r="O894" s="16" t="str">
        <f aca="false">IF(N894="","",COUNTIFS($N$2:$N$1201,"&lt;"&amp;N894,$F$2:$F$1201,"&gt;0")+1)</f>
        <v/>
      </c>
    </row>
    <row r="895" customFormat="false" ht="15" hidden="false" customHeight="false" outlineLevel="0" collapsed="false">
      <c r="A895" s="11" t="str">
        <f aca="false">IF(_LEITURA!$N895="","",INDEX(_LEITURA!$K$2:$K$1201,_LEITURA!$N895))</f>
        <v/>
      </c>
      <c r="B895" s="11" t="str">
        <f aca="false">IF(_LEITURA!$N895="","",INDEX(_LEITURA!$E$2:$E$1201,_LEITURA!$N895))</f>
        <v/>
      </c>
      <c r="C895" s="11" t="str">
        <f aca="false">IF(_LEITURA!$N895="","",INDEX(_LEITURA!$J$2:$J$1201,_LEITURA!$N895))</f>
        <v/>
      </c>
      <c r="D895" s="16" t="str">
        <f aca="false">IF(_LEITURA!$N895="","",INDEX(_LEITURA!$G$2:$G$1201,_LEITURA!$N895))</f>
        <v/>
      </c>
      <c r="E895" s="16" t="str">
        <f aca="false">IF(B895="","",SUMIFS(INVENTÁRIO!$C$2:$C$801,INVENTÁRIO!$A$2:$A$801,B895))</f>
        <v/>
      </c>
      <c r="F895" s="16" t="str">
        <f aca="false">IF(B895="","",MAX(0,D895-E895))</f>
        <v/>
      </c>
      <c r="G895" s="16" t="str">
        <f aca="false">IF(B895="","",IF(COUNTIFS($B$2:$B$1201,B895,$A$2:$A$1201,"&lt;&gt;"&amp;A895)&gt;0,"Sim",""))</f>
        <v/>
      </c>
      <c r="H895" s="16" t="str">
        <f aca="false">IF(N(F895)&gt;0,MAX(H$1:H894)+1,"")</f>
        <v/>
      </c>
      <c r="I895" s="11" t="str">
        <f aca="false">IF(B895="","",IF(INDEX($C$2:$C$1201,MATCH(B895,$B$2:$B$1201,0))&lt;&gt;C895,"Nome diferente em outro deck — revisar",""))</f>
        <v/>
      </c>
      <c r="J895" s="16" t="str">
        <f aca="false">IF(AND(B895&lt;&gt;"",A895=BULK!$A$1,N(F895)&gt;0),MAX(J$1:J894)+1,"")</f>
        <v/>
      </c>
      <c r="K895" s="11" t="str">
        <f aca="false">IF(B895="","",IFERROR(LEFT(B895,FIND("-",B895)-1),B895))</f>
        <v/>
      </c>
      <c r="L895" s="11" t="str">
        <f aca="false">IF(K895="","",IF(ISNUMBER(--MID(K895,1,1)),0,IF(ISNUMBER(--MID(K895,2,1)),1,IF(ISNUMBER(--MID(K895,3,1)),2,IF(ISNUMBER(--MID(K895,4,1)),3,MIN(LEN(K895),4))))))</f>
        <v/>
      </c>
      <c r="M895" s="11" t="str">
        <f aca="false">IF(B895="","",LEFT(K895,L895)&amp;REPT("0",4-L895)&amp;RIGHT("000"&amp;IFERROR(VALUE(MID(K895,L895+1,9)),0),3)&amp;RIGHT("0000"&amp;IFERROR(VALUE(MID(B895,FIND("-",B895)+1,9)),0),4))</f>
        <v/>
      </c>
      <c r="N895" s="11" t="str">
        <f aca="false">IF(OR(B895="",N(F895)&lt;=0),"",IF('FALTAS POR DECK'!$P$1="Código","K"&amp;M895&amp;RIGHT("00000"&amp;ROW(),5),IF('FALTAS POR DECK'!$P$1="Nome","K"&amp;UPPER(SUBSTITUTE(SUBSTITUTE(SUBSTITUTE(C895,"*",""),"?",""),"~",""))&amp;"0"&amp;M895&amp;RIGHT("00000"&amp;ROW(),5),IF('FALTAS POR DECK'!$P$1="Falta (maior primeiro)","K"&amp;RIGHT("0000"&amp;(9999-F895),4)&amp;M895&amp;RIGHT("00000"&amp;ROW(),5),IF('FALTAS POR DECK'!$P$1="Deck e código","K"&amp;RIGHT("00"&amp;IFERROR(MATCH(A895,_LEITURA!$P$2:$P$21,0),99),2)&amp;M895&amp;RIGHT("00000"&amp;ROW(),5),"K"&amp;RIGHT("00000"&amp;ROW(),5))))))</f>
        <v/>
      </c>
      <c r="O895" s="16" t="str">
        <f aca="false">IF(N895="","",COUNTIFS($N$2:$N$1201,"&lt;"&amp;N895,$F$2:$F$1201,"&gt;0")+1)</f>
        <v/>
      </c>
    </row>
    <row r="896" customFormat="false" ht="15" hidden="false" customHeight="false" outlineLevel="0" collapsed="false">
      <c r="A896" s="11" t="str">
        <f aca="false">IF(_LEITURA!$N896="","",INDEX(_LEITURA!$K$2:$K$1201,_LEITURA!$N896))</f>
        <v/>
      </c>
      <c r="B896" s="11" t="str">
        <f aca="false">IF(_LEITURA!$N896="","",INDEX(_LEITURA!$E$2:$E$1201,_LEITURA!$N896))</f>
        <v/>
      </c>
      <c r="C896" s="11" t="str">
        <f aca="false">IF(_LEITURA!$N896="","",INDEX(_LEITURA!$J$2:$J$1201,_LEITURA!$N896))</f>
        <v/>
      </c>
      <c r="D896" s="16" t="str">
        <f aca="false">IF(_LEITURA!$N896="","",INDEX(_LEITURA!$G$2:$G$1201,_LEITURA!$N896))</f>
        <v/>
      </c>
      <c r="E896" s="16" t="str">
        <f aca="false">IF(B896="","",SUMIFS(INVENTÁRIO!$C$2:$C$801,INVENTÁRIO!$A$2:$A$801,B896))</f>
        <v/>
      </c>
      <c r="F896" s="16" t="str">
        <f aca="false">IF(B896="","",MAX(0,D896-E896))</f>
        <v/>
      </c>
      <c r="G896" s="16" t="str">
        <f aca="false">IF(B896="","",IF(COUNTIFS($B$2:$B$1201,B896,$A$2:$A$1201,"&lt;&gt;"&amp;A896)&gt;0,"Sim",""))</f>
        <v/>
      </c>
      <c r="H896" s="16" t="str">
        <f aca="false">IF(N(F896)&gt;0,MAX(H$1:H895)+1,"")</f>
        <v/>
      </c>
      <c r="I896" s="11" t="str">
        <f aca="false">IF(B896="","",IF(INDEX($C$2:$C$1201,MATCH(B896,$B$2:$B$1201,0))&lt;&gt;C896,"Nome diferente em outro deck — revisar",""))</f>
        <v/>
      </c>
      <c r="J896" s="16" t="str">
        <f aca="false">IF(AND(B896&lt;&gt;"",A896=BULK!$A$1,N(F896)&gt;0),MAX(J$1:J895)+1,"")</f>
        <v/>
      </c>
      <c r="K896" s="11" t="str">
        <f aca="false">IF(B896="","",IFERROR(LEFT(B896,FIND("-",B896)-1),B896))</f>
        <v/>
      </c>
      <c r="L896" s="11" t="str">
        <f aca="false">IF(K896="","",IF(ISNUMBER(--MID(K896,1,1)),0,IF(ISNUMBER(--MID(K896,2,1)),1,IF(ISNUMBER(--MID(K896,3,1)),2,IF(ISNUMBER(--MID(K896,4,1)),3,MIN(LEN(K896),4))))))</f>
        <v/>
      </c>
      <c r="M896" s="11" t="str">
        <f aca="false">IF(B896="","",LEFT(K896,L896)&amp;REPT("0",4-L896)&amp;RIGHT("000"&amp;IFERROR(VALUE(MID(K896,L896+1,9)),0),3)&amp;RIGHT("0000"&amp;IFERROR(VALUE(MID(B896,FIND("-",B896)+1,9)),0),4))</f>
        <v/>
      </c>
      <c r="N896" s="11" t="str">
        <f aca="false">IF(OR(B896="",N(F896)&lt;=0),"",IF('FALTAS POR DECK'!$P$1="Código","K"&amp;M896&amp;RIGHT("00000"&amp;ROW(),5),IF('FALTAS POR DECK'!$P$1="Nome","K"&amp;UPPER(SUBSTITUTE(SUBSTITUTE(SUBSTITUTE(C896,"*",""),"?",""),"~",""))&amp;"0"&amp;M896&amp;RIGHT("00000"&amp;ROW(),5),IF('FALTAS POR DECK'!$P$1="Falta (maior primeiro)","K"&amp;RIGHT("0000"&amp;(9999-F896),4)&amp;M896&amp;RIGHT("00000"&amp;ROW(),5),IF('FALTAS POR DECK'!$P$1="Deck e código","K"&amp;RIGHT("00"&amp;IFERROR(MATCH(A896,_LEITURA!$P$2:$P$21,0),99),2)&amp;M896&amp;RIGHT("00000"&amp;ROW(),5),"K"&amp;RIGHT("00000"&amp;ROW(),5))))))</f>
        <v/>
      </c>
      <c r="O896" s="16" t="str">
        <f aca="false">IF(N896="","",COUNTIFS($N$2:$N$1201,"&lt;"&amp;N896,$F$2:$F$1201,"&gt;0")+1)</f>
        <v/>
      </c>
    </row>
    <row r="897" customFormat="false" ht="15" hidden="false" customHeight="false" outlineLevel="0" collapsed="false">
      <c r="A897" s="11" t="str">
        <f aca="false">IF(_LEITURA!$N897="","",INDEX(_LEITURA!$K$2:$K$1201,_LEITURA!$N897))</f>
        <v/>
      </c>
      <c r="B897" s="11" t="str">
        <f aca="false">IF(_LEITURA!$N897="","",INDEX(_LEITURA!$E$2:$E$1201,_LEITURA!$N897))</f>
        <v/>
      </c>
      <c r="C897" s="11" t="str">
        <f aca="false">IF(_LEITURA!$N897="","",INDEX(_LEITURA!$J$2:$J$1201,_LEITURA!$N897))</f>
        <v/>
      </c>
      <c r="D897" s="16" t="str">
        <f aca="false">IF(_LEITURA!$N897="","",INDEX(_LEITURA!$G$2:$G$1201,_LEITURA!$N897))</f>
        <v/>
      </c>
      <c r="E897" s="16" t="str">
        <f aca="false">IF(B897="","",SUMIFS(INVENTÁRIO!$C$2:$C$801,INVENTÁRIO!$A$2:$A$801,B897))</f>
        <v/>
      </c>
      <c r="F897" s="16" t="str">
        <f aca="false">IF(B897="","",MAX(0,D897-E897))</f>
        <v/>
      </c>
      <c r="G897" s="16" t="str">
        <f aca="false">IF(B897="","",IF(COUNTIFS($B$2:$B$1201,B897,$A$2:$A$1201,"&lt;&gt;"&amp;A897)&gt;0,"Sim",""))</f>
        <v/>
      </c>
      <c r="H897" s="16" t="str">
        <f aca="false">IF(N(F897)&gt;0,MAX(H$1:H896)+1,"")</f>
        <v/>
      </c>
      <c r="I897" s="11" t="str">
        <f aca="false">IF(B897="","",IF(INDEX($C$2:$C$1201,MATCH(B897,$B$2:$B$1201,0))&lt;&gt;C897,"Nome diferente em outro deck — revisar",""))</f>
        <v/>
      </c>
      <c r="J897" s="16" t="str">
        <f aca="false">IF(AND(B897&lt;&gt;"",A897=BULK!$A$1,N(F897)&gt;0),MAX(J$1:J896)+1,"")</f>
        <v/>
      </c>
      <c r="K897" s="11" t="str">
        <f aca="false">IF(B897="","",IFERROR(LEFT(B897,FIND("-",B897)-1),B897))</f>
        <v/>
      </c>
      <c r="L897" s="11" t="str">
        <f aca="false">IF(K897="","",IF(ISNUMBER(--MID(K897,1,1)),0,IF(ISNUMBER(--MID(K897,2,1)),1,IF(ISNUMBER(--MID(K897,3,1)),2,IF(ISNUMBER(--MID(K897,4,1)),3,MIN(LEN(K897),4))))))</f>
        <v/>
      </c>
      <c r="M897" s="11" t="str">
        <f aca="false">IF(B897="","",LEFT(K897,L897)&amp;REPT("0",4-L897)&amp;RIGHT("000"&amp;IFERROR(VALUE(MID(K897,L897+1,9)),0),3)&amp;RIGHT("0000"&amp;IFERROR(VALUE(MID(B897,FIND("-",B897)+1,9)),0),4))</f>
        <v/>
      </c>
      <c r="N897" s="11" t="str">
        <f aca="false">IF(OR(B897="",N(F897)&lt;=0),"",IF('FALTAS POR DECK'!$P$1="Código","K"&amp;M897&amp;RIGHT("00000"&amp;ROW(),5),IF('FALTAS POR DECK'!$P$1="Nome","K"&amp;UPPER(SUBSTITUTE(SUBSTITUTE(SUBSTITUTE(C897,"*",""),"?",""),"~",""))&amp;"0"&amp;M897&amp;RIGHT("00000"&amp;ROW(),5),IF('FALTAS POR DECK'!$P$1="Falta (maior primeiro)","K"&amp;RIGHT("0000"&amp;(9999-F897),4)&amp;M897&amp;RIGHT("00000"&amp;ROW(),5),IF('FALTAS POR DECK'!$P$1="Deck e código","K"&amp;RIGHT("00"&amp;IFERROR(MATCH(A897,_LEITURA!$P$2:$P$21,0),99),2)&amp;M897&amp;RIGHT("00000"&amp;ROW(),5),"K"&amp;RIGHT("00000"&amp;ROW(),5))))))</f>
        <v/>
      </c>
      <c r="O897" s="16" t="str">
        <f aca="false">IF(N897="","",COUNTIFS($N$2:$N$1201,"&lt;"&amp;N897,$F$2:$F$1201,"&gt;0")+1)</f>
        <v/>
      </c>
    </row>
    <row r="898" customFormat="false" ht="15" hidden="false" customHeight="false" outlineLevel="0" collapsed="false">
      <c r="A898" s="11" t="str">
        <f aca="false">IF(_LEITURA!$N898="","",INDEX(_LEITURA!$K$2:$K$1201,_LEITURA!$N898))</f>
        <v/>
      </c>
      <c r="B898" s="11" t="str">
        <f aca="false">IF(_LEITURA!$N898="","",INDEX(_LEITURA!$E$2:$E$1201,_LEITURA!$N898))</f>
        <v/>
      </c>
      <c r="C898" s="11" t="str">
        <f aca="false">IF(_LEITURA!$N898="","",INDEX(_LEITURA!$J$2:$J$1201,_LEITURA!$N898))</f>
        <v/>
      </c>
      <c r="D898" s="16" t="str">
        <f aca="false">IF(_LEITURA!$N898="","",INDEX(_LEITURA!$G$2:$G$1201,_LEITURA!$N898))</f>
        <v/>
      </c>
      <c r="E898" s="16" t="str">
        <f aca="false">IF(B898="","",SUMIFS(INVENTÁRIO!$C$2:$C$801,INVENTÁRIO!$A$2:$A$801,B898))</f>
        <v/>
      </c>
      <c r="F898" s="16" t="str">
        <f aca="false">IF(B898="","",MAX(0,D898-E898))</f>
        <v/>
      </c>
      <c r="G898" s="16" t="str">
        <f aca="false">IF(B898="","",IF(COUNTIFS($B$2:$B$1201,B898,$A$2:$A$1201,"&lt;&gt;"&amp;A898)&gt;0,"Sim",""))</f>
        <v/>
      </c>
      <c r="H898" s="16" t="str">
        <f aca="false">IF(N(F898)&gt;0,MAX(H$1:H897)+1,"")</f>
        <v/>
      </c>
      <c r="I898" s="11" t="str">
        <f aca="false">IF(B898="","",IF(INDEX($C$2:$C$1201,MATCH(B898,$B$2:$B$1201,0))&lt;&gt;C898,"Nome diferente em outro deck — revisar",""))</f>
        <v/>
      </c>
      <c r="J898" s="16" t="str">
        <f aca="false">IF(AND(B898&lt;&gt;"",A898=BULK!$A$1,N(F898)&gt;0),MAX(J$1:J897)+1,"")</f>
        <v/>
      </c>
      <c r="K898" s="11" t="str">
        <f aca="false">IF(B898="","",IFERROR(LEFT(B898,FIND("-",B898)-1),B898))</f>
        <v/>
      </c>
      <c r="L898" s="11" t="str">
        <f aca="false">IF(K898="","",IF(ISNUMBER(--MID(K898,1,1)),0,IF(ISNUMBER(--MID(K898,2,1)),1,IF(ISNUMBER(--MID(K898,3,1)),2,IF(ISNUMBER(--MID(K898,4,1)),3,MIN(LEN(K898),4))))))</f>
        <v/>
      </c>
      <c r="M898" s="11" t="str">
        <f aca="false">IF(B898="","",LEFT(K898,L898)&amp;REPT("0",4-L898)&amp;RIGHT("000"&amp;IFERROR(VALUE(MID(K898,L898+1,9)),0),3)&amp;RIGHT("0000"&amp;IFERROR(VALUE(MID(B898,FIND("-",B898)+1,9)),0),4))</f>
        <v/>
      </c>
      <c r="N898" s="11" t="str">
        <f aca="false">IF(OR(B898="",N(F898)&lt;=0),"",IF('FALTAS POR DECK'!$P$1="Código","K"&amp;M898&amp;RIGHT("00000"&amp;ROW(),5),IF('FALTAS POR DECK'!$P$1="Nome","K"&amp;UPPER(SUBSTITUTE(SUBSTITUTE(SUBSTITUTE(C898,"*",""),"?",""),"~",""))&amp;"0"&amp;M898&amp;RIGHT("00000"&amp;ROW(),5),IF('FALTAS POR DECK'!$P$1="Falta (maior primeiro)","K"&amp;RIGHT("0000"&amp;(9999-F898),4)&amp;M898&amp;RIGHT("00000"&amp;ROW(),5),IF('FALTAS POR DECK'!$P$1="Deck e código","K"&amp;RIGHT("00"&amp;IFERROR(MATCH(A898,_LEITURA!$P$2:$P$21,0),99),2)&amp;M898&amp;RIGHT("00000"&amp;ROW(),5),"K"&amp;RIGHT("00000"&amp;ROW(),5))))))</f>
        <v/>
      </c>
      <c r="O898" s="16" t="str">
        <f aca="false">IF(N898="","",COUNTIFS($N$2:$N$1201,"&lt;"&amp;N898,$F$2:$F$1201,"&gt;0")+1)</f>
        <v/>
      </c>
    </row>
    <row r="899" customFormat="false" ht="15" hidden="false" customHeight="false" outlineLevel="0" collapsed="false">
      <c r="A899" s="11" t="str">
        <f aca="false">IF(_LEITURA!$N899="","",INDEX(_LEITURA!$K$2:$K$1201,_LEITURA!$N899))</f>
        <v/>
      </c>
      <c r="B899" s="11" t="str">
        <f aca="false">IF(_LEITURA!$N899="","",INDEX(_LEITURA!$E$2:$E$1201,_LEITURA!$N899))</f>
        <v/>
      </c>
      <c r="C899" s="11" t="str">
        <f aca="false">IF(_LEITURA!$N899="","",INDEX(_LEITURA!$J$2:$J$1201,_LEITURA!$N899))</f>
        <v/>
      </c>
      <c r="D899" s="16" t="str">
        <f aca="false">IF(_LEITURA!$N899="","",INDEX(_LEITURA!$G$2:$G$1201,_LEITURA!$N899))</f>
        <v/>
      </c>
      <c r="E899" s="16" t="str">
        <f aca="false">IF(B899="","",SUMIFS(INVENTÁRIO!$C$2:$C$801,INVENTÁRIO!$A$2:$A$801,B899))</f>
        <v/>
      </c>
      <c r="F899" s="16" t="str">
        <f aca="false">IF(B899="","",MAX(0,D899-E899))</f>
        <v/>
      </c>
      <c r="G899" s="16" t="str">
        <f aca="false">IF(B899="","",IF(COUNTIFS($B$2:$B$1201,B899,$A$2:$A$1201,"&lt;&gt;"&amp;A899)&gt;0,"Sim",""))</f>
        <v/>
      </c>
      <c r="H899" s="16" t="str">
        <f aca="false">IF(N(F899)&gt;0,MAX(H$1:H898)+1,"")</f>
        <v/>
      </c>
      <c r="I899" s="11" t="str">
        <f aca="false">IF(B899="","",IF(INDEX($C$2:$C$1201,MATCH(B899,$B$2:$B$1201,0))&lt;&gt;C899,"Nome diferente em outro deck — revisar",""))</f>
        <v/>
      </c>
      <c r="J899" s="16" t="str">
        <f aca="false">IF(AND(B899&lt;&gt;"",A899=BULK!$A$1,N(F899)&gt;0),MAX(J$1:J898)+1,"")</f>
        <v/>
      </c>
      <c r="K899" s="11" t="str">
        <f aca="false">IF(B899="","",IFERROR(LEFT(B899,FIND("-",B899)-1),B899))</f>
        <v/>
      </c>
      <c r="L899" s="11" t="str">
        <f aca="false">IF(K899="","",IF(ISNUMBER(--MID(K899,1,1)),0,IF(ISNUMBER(--MID(K899,2,1)),1,IF(ISNUMBER(--MID(K899,3,1)),2,IF(ISNUMBER(--MID(K899,4,1)),3,MIN(LEN(K899),4))))))</f>
        <v/>
      </c>
      <c r="M899" s="11" t="str">
        <f aca="false">IF(B899="","",LEFT(K899,L899)&amp;REPT("0",4-L899)&amp;RIGHT("000"&amp;IFERROR(VALUE(MID(K899,L899+1,9)),0),3)&amp;RIGHT("0000"&amp;IFERROR(VALUE(MID(B899,FIND("-",B899)+1,9)),0),4))</f>
        <v/>
      </c>
      <c r="N899" s="11" t="str">
        <f aca="false">IF(OR(B899="",N(F899)&lt;=0),"",IF('FALTAS POR DECK'!$P$1="Código","K"&amp;M899&amp;RIGHT("00000"&amp;ROW(),5),IF('FALTAS POR DECK'!$P$1="Nome","K"&amp;UPPER(SUBSTITUTE(SUBSTITUTE(SUBSTITUTE(C899,"*",""),"?",""),"~",""))&amp;"0"&amp;M899&amp;RIGHT("00000"&amp;ROW(),5),IF('FALTAS POR DECK'!$P$1="Falta (maior primeiro)","K"&amp;RIGHT("0000"&amp;(9999-F899),4)&amp;M899&amp;RIGHT("00000"&amp;ROW(),5),IF('FALTAS POR DECK'!$P$1="Deck e código","K"&amp;RIGHT("00"&amp;IFERROR(MATCH(A899,_LEITURA!$P$2:$P$21,0),99),2)&amp;M899&amp;RIGHT("00000"&amp;ROW(),5),"K"&amp;RIGHT("00000"&amp;ROW(),5))))))</f>
        <v/>
      </c>
      <c r="O899" s="16" t="str">
        <f aca="false">IF(N899="","",COUNTIFS($N$2:$N$1201,"&lt;"&amp;N899,$F$2:$F$1201,"&gt;0")+1)</f>
        <v/>
      </c>
    </row>
    <row r="900" customFormat="false" ht="15" hidden="false" customHeight="false" outlineLevel="0" collapsed="false">
      <c r="A900" s="11" t="str">
        <f aca="false">IF(_LEITURA!$N900="","",INDEX(_LEITURA!$K$2:$K$1201,_LEITURA!$N900))</f>
        <v/>
      </c>
      <c r="B900" s="11" t="str">
        <f aca="false">IF(_LEITURA!$N900="","",INDEX(_LEITURA!$E$2:$E$1201,_LEITURA!$N900))</f>
        <v/>
      </c>
      <c r="C900" s="11" t="str">
        <f aca="false">IF(_LEITURA!$N900="","",INDEX(_LEITURA!$J$2:$J$1201,_LEITURA!$N900))</f>
        <v/>
      </c>
      <c r="D900" s="16" t="str">
        <f aca="false">IF(_LEITURA!$N900="","",INDEX(_LEITURA!$G$2:$G$1201,_LEITURA!$N900))</f>
        <v/>
      </c>
      <c r="E900" s="16" t="str">
        <f aca="false">IF(B900="","",SUMIFS(INVENTÁRIO!$C$2:$C$801,INVENTÁRIO!$A$2:$A$801,B900))</f>
        <v/>
      </c>
      <c r="F900" s="16" t="str">
        <f aca="false">IF(B900="","",MAX(0,D900-E900))</f>
        <v/>
      </c>
      <c r="G900" s="16" t="str">
        <f aca="false">IF(B900="","",IF(COUNTIFS($B$2:$B$1201,B900,$A$2:$A$1201,"&lt;&gt;"&amp;A900)&gt;0,"Sim",""))</f>
        <v/>
      </c>
      <c r="H900" s="16" t="str">
        <f aca="false">IF(N(F900)&gt;0,MAX(H$1:H899)+1,"")</f>
        <v/>
      </c>
      <c r="I900" s="11" t="str">
        <f aca="false">IF(B900="","",IF(INDEX($C$2:$C$1201,MATCH(B900,$B$2:$B$1201,0))&lt;&gt;C900,"Nome diferente em outro deck — revisar",""))</f>
        <v/>
      </c>
      <c r="J900" s="16" t="str">
        <f aca="false">IF(AND(B900&lt;&gt;"",A900=BULK!$A$1,N(F900)&gt;0),MAX(J$1:J899)+1,"")</f>
        <v/>
      </c>
      <c r="K900" s="11" t="str">
        <f aca="false">IF(B900="","",IFERROR(LEFT(B900,FIND("-",B900)-1),B900))</f>
        <v/>
      </c>
      <c r="L900" s="11" t="str">
        <f aca="false">IF(K900="","",IF(ISNUMBER(--MID(K900,1,1)),0,IF(ISNUMBER(--MID(K900,2,1)),1,IF(ISNUMBER(--MID(K900,3,1)),2,IF(ISNUMBER(--MID(K900,4,1)),3,MIN(LEN(K900),4))))))</f>
        <v/>
      </c>
      <c r="M900" s="11" t="str">
        <f aca="false">IF(B900="","",LEFT(K900,L900)&amp;REPT("0",4-L900)&amp;RIGHT("000"&amp;IFERROR(VALUE(MID(K900,L900+1,9)),0),3)&amp;RIGHT("0000"&amp;IFERROR(VALUE(MID(B900,FIND("-",B900)+1,9)),0),4))</f>
        <v/>
      </c>
      <c r="N900" s="11" t="str">
        <f aca="false">IF(OR(B900="",N(F900)&lt;=0),"",IF('FALTAS POR DECK'!$P$1="Código","K"&amp;M900&amp;RIGHT("00000"&amp;ROW(),5),IF('FALTAS POR DECK'!$P$1="Nome","K"&amp;UPPER(SUBSTITUTE(SUBSTITUTE(SUBSTITUTE(C900,"*",""),"?",""),"~",""))&amp;"0"&amp;M900&amp;RIGHT("00000"&amp;ROW(),5),IF('FALTAS POR DECK'!$P$1="Falta (maior primeiro)","K"&amp;RIGHT("0000"&amp;(9999-F900),4)&amp;M900&amp;RIGHT("00000"&amp;ROW(),5),IF('FALTAS POR DECK'!$P$1="Deck e código","K"&amp;RIGHT("00"&amp;IFERROR(MATCH(A900,_LEITURA!$P$2:$P$21,0),99),2)&amp;M900&amp;RIGHT("00000"&amp;ROW(),5),"K"&amp;RIGHT("00000"&amp;ROW(),5))))))</f>
        <v/>
      </c>
      <c r="O900" s="16" t="str">
        <f aca="false">IF(N900="","",COUNTIFS($N$2:$N$1201,"&lt;"&amp;N900,$F$2:$F$1201,"&gt;0")+1)</f>
        <v/>
      </c>
    </row>
    <row r="901" customFormat="false" ht="15" hidden="false" customHeight="false" outlineLevel="0" collapsed="false">
      <c r="A901" s="11" t="str">
        <f aca="false">IF(_LEITURA!$N901="","",INDEX(_LEITURA!$K$2:$K$1201,_LEITURA!$N901))</f>
        <v/>
      </c>
      <c r="B901" s="11" t="str">
        <f aca="false">IF(_LEITURA!$N901="","",INDEX(_LEITURA!$E$2:$E$1201,_LEITURA!$N901))</f>
        <v/>
      </c>
      <c r="C901" s="11" t="str">
        <f aca="false">IF(_LEITURA!$N901="","",INDEX(_LEITURA!$J$2:$J$1201,_LEITURA!$N901))</f>
        <v/>
      </c>
      <c r="D901" s="16" t="str">
        <f aca="false">IF(_LEITURA!$N901="","",INDEX(_LEITURA!$G$2:$G$1201,_LEITURA!$N901))</f>
        <v/>
      </c>
      <c r="E901" s="16" t="str">
        <f aca="false">IF(B901="","",SUMIFS(INVENTÁRIO!$C$2:$C$801,INVENTÁRIO!$A$2:$A$801,B901))</f>
        <v/>
      </c>
      <c r="F901" s="16" t="str">
        <f aca="false">IF(B901="","",MAX(0,D901-E901))</f>
        <v/>
      </c>
      <c r="G901" s="16" t="str">
        <f aca="false">IF(B901="","",IF(COUNTIFS($B$2:$B$1201,B901,$A$2:$A$1201,"&lt;&gt;"&amp;A901)&gt;0,"Sim",""))</f>
        <v/>
      </c>
      <c r="H901" s="16" t="str">
        <f aca="false">IF(N(F901)&gt;0,MAX(H$1:H900)+1,"")</f>
        <v/>
      </c>
      <c r="I901" s="11" t="str">
        <f aca="false">IF(B901="","",IF(INDEX($C$2:$C$1201,MATCH(B901,$B$2:$B$1201,0))&lt;&gt;C901,"Nome diferente em outro deck — revisar",""))</f>
        <v/>
      </c>
      <c r="J901" s="16" t="str">
        <f aca="false">IF(AND(B901&lt;&gt;"",A901=BULK!$A$1,N(F901)&gt;0),MAX(J$1:J900)+1,"")</f>
        <v/>
      </c>
      <c r="K901" s="11" t="str">
        <f aca="false">IF(B901="","",IFERROR(LEFT(B901,FIND("-",B901)-1),B901))</f>
        <v/>
      </c>
      <c r="L901" s="11" t="str">
        <f aca="false">IF(K901="","",IF(ISNUMBER(--MID(K901,1,1)),0,IF(ISNUMBER(--MID(K901,2,1)),1,IF(ISNUMBER(--MID(K901,3,1)),2,IF(ISNUMBER(--MID(K901,4,1)),3,MIN(LEN(K901),4))))))</f>
        <v/>
      </c>
      <c r="M901" s="11" t="str">
        <f aca="false">IF(B901="","",LEFT(K901,L901)&amp;REPT("0",4-L901)&amp;RIGHT("000"&amp;IFERROR(VALUE(MID(K901,L901+1,9)),0),3)&amp;RIGHT("0000"&amp;IFERROR(VALUE(MID(B901,FIND("-",B901)+1,9)),0),4))</f>
        <v/>
      </c>
      <c r="N901" s="11" t="str">
        <f aca="false">IF(OR(B901="",N(F901)&lt;=0),"",IF('FALTAS POR DECK'!$P$1="Código","K"&amp;M901&amp;RIGHT("00000"&amp;ROW(),5),IF('FALTAS POR DECK'!$P$1="Nome","K"&amp;UPPER(SUBSTITUTE(SUBSTITUTE(SUBSTITUTE(C901,"*",""),"?",""),"~",""))&amp;"0"&amp;M901&amp;RIGHT("00000"&amp;ROW(),5),IF('FALTAS POR DECK'!$P$1="Falta (maior primeiro)","K"&amp;RIGHT("0000"&amp;(9999-F901),4)&amp;M901&amp;RIGHT("00000"&amp;ROW(),5),IF('FALTAS POR DECK'!$P$1="Deck e código","K"&amp;RIGHT("00"&amp;IFERROR(MATCH(A901,_LEITURA!$P$2:$P$21,0),99),2)&amp;M901&amp;RIGHT("00000"&amp;ROW(),5),"K"&amp;RIGHT("00000"&amp;ROW(),5))))))</f>
        <v/>
      </c>
      <c r="O901" s="16" t="str">
        <f aca="false">IF(N901="","",COUNTIFS($N$2:$N$1201,"&lt;"&amp;N901,$F$2:$F$1201,"&gt;0")+1)</f>
        <v/>
      </c>
    </row>
    <row r="902" customFormat="false" ht="15" hidden="false" customHeight="false" outlineLevel="0" collapsed="false">
      <c r="A902" s="11" t="str">
        <f aca="false">IF(_LEITURA!$N902="","",INDEX(_LEITURA!$K$2:$K$1201,_LEITURA!$N902))</f>
        <v/>
      </c>
      <c r="B902" s="11" t="str">
        <f aca="false">IF(_LEITURA!$N902="","",INDEX(_LEITURA!$E$2:$E$1201,_LEITURA!$N902))</f>
        <v/>
      </c>
      <c r="C902" s="11" t="str">
        <f aca="false">IF(_LEITURA!$N902="","",INDEX(_LEITURA!$J$2:$J$1201,_LEITURA!$N902))</f>
        <v/>
      </c>
      <c r="D902" s="16" t="str">
        <f aca="false">IF(_LEITURA!$N902="","",INDEX(_LEITURA!$G$2:$G$1201,_LEITURA!$N902))</f>
        <v/>
      </c>
      <c r="E902" s="16" t="str">
        <f aca="false">IF(B902="","",SUMIFS(INVENTÁRIO!$C$2:$C$801,INVENTÁRIO!$A$2:$A$801,B902))</f>
        <v/>
      </c>
      <c r="F902" s="16" t="str">
        <f aca="false">IF(B902="","",MAX(0,D902-E902))</f>
        <v/>
      </c>
      <c r="G902" s="16" t="str">
        <f aca="false">IF(B902="","",IF(COUNTIFS($B$2:$B$1201,B902,$A$2:$A$1201,"&lt;&gt;"&amp;A902)&gt;0,"Sim",""))</f>
        <v/>
      </c>
      <c r="H902" s="16" t="str">
        <f aca="false">IF(N(F902)&gt;0,MAX(H$1:H901)+1,"")</f>
        <v/>
      </c>
      <c r="I902" s="11" t="str">
        <f aca="false">IF(B902="","",IF(INDEX($C$2:$C$1201,MATCH(B902,$B$2:$B$1201,0))&lt;&gt;C902,"Nome diferente em outro deck — revisar",""))</f>
        <v/>
      </c>
      <c r="J902" s="16" t="str">
        <f aca="false">IF(AND(B902&lt;&gt;"",A902=BULK!$A$1,N(F902)&gt;0),MAX(J$1:J901)+1,"")</f>
        <v/>
      </c>
      <c r="K902" s="11" t="str">
        <f aca="false">IF(B902="","",IFERROR(LEFT(B902,FIND("-",B902)-1),B902))</f>
        <v/>
      </c>
      <c r="L902" s="11" t="str">
        <f aca="false">IF(K902="","",IF(ISNUMBER(--MID(K902,1,1)),0,IF(ISNUMBER(--MID(K902,2,1)),1,IF(ISNUMBER(--MID(K902,3,1)),2,IF(ISNUMBER(--MID(K902,4,1)),3,MIN(LEN(K902),4))))))</f>
        <v/>
      </c>
      <c r="M902" s="11" t="str">
        <f aca="false">IF(B902="","",LEFT(K902,L902)&amp;REPT("0",4-L902)&amp;RIGHT("000"&amp;IFERROR(VALUE(MID(K902,L902+1,9)),0),3)&amp;RIGHT("0000"&amp;IFERROR(VALUE(MID(B902,FIND("-",B902)+1,9)),0),4))</f>
        <v/>
      </c>
      <c r="N902" s="11" t="str">
        <f aca="false">IF(OR(B902="",N(F902)&lt;=0),"",IF('FALTAS POR DECK'!$P$1="Código","K"&amp;M902&amp;RIGHT("00000"&amp;ROW(),5),IF('FALTAS POR DECK'!$P$1="Nome","K"&amp;UPPER(SUBSTITUTE(SUBSTITUTE(SUBSTITUTE(C902,"*",""),"?",""),"~",""))&amp;"0"&amp;M902&amp;RIGHT("00000"&amp;ROW(),5),IF('FALTAS POR DECK'!$P$1="Falta (maior primeiro)","K"&amp;RIGHT("0000"&amp;(9999-F902),4)&amp;M902&amp;RIGHT("00000"&amp;ROW(),5),IF('FALTAS POR DECK'!$P$1="Deck e código","K"&amp;RIGHT("00"&amp;IFERROR(MATCH(A902,_LEITURA!$P$2:$P$21,0),99),2)&amp;M902&amp;RIGHT("00000"&amp;ROW(),5),"K"&amp;RIGHT("00000"&amp;ROW(),5))))))</f>
        <v/>
      </c>
      <c r="O902" s="16" t="str">
        <f aca="false">IF(N902="","",COUNTIFS($N$2:$N$1201,"&lt;"&amp;N902,$F$2:$F$1201,"&gt;0")+1)</f>
        <v/>
      </c>
    </row>
    <row r="903" customFormat="false" ht="15" hidden="false" customHeight="false" outlineLevel="0" collapsed="false">
      <c r="A903" s="11" t="str">
        <f aca="false">IF(_LEITURA!$N903="","",INDEX(_LEITURA!$K$2:$K$1201,_LEITURA!$N903))</f>
        <v/>
      </c>
      <c r="B903" s="11" t="str">
        <f aca="false">IF(_LEITURA!$N903="","",INDEX(_LEITURA!$E$2:$E$1201,_LEITURA!$N903))</f>
        <v/>
      </c>
      <c r="C903" s="11" t="str">
        <f aca="false">IF(_LEITURA!$N903="","",INDEX(_LEITURA!$J$2:$J$1201,_LEITURA!$N903))</f>
        <v/>
      </c>
      <c r="D903" s="16" t="str">
        <f aca="false">IF(_LEITURA!$N903="","",INDEX(_LEITURA!$G$2:$G$1201,_LEITURA!$N903))</f>
        <v/>
      </c>
      <c r="E903" s="16" t="str">
        <f aca="false">IF(B903="","",SUMIFS(INVENTÁRIO!$C$2:$C$801,INVENTÁRIO!$A$2:$A$801,B903))</f>
        <v/>
      </c>
      <c r="F903" s="16" t="str">
        <f aca="false">IF(B903="","",MAX(0,D903-E903))</f>
        <v/>
      </c>
      <c r="G903" s="16" t="str">
        <f aca="false">IF(B903="","",IF(COUNTIFS($B$2:$B$1201,B903,$A$2:$A$1201,"&lt;&gt;"&amp;A903)&gt;0,"Sim",""))</f>
        <v/>
      </c>
      <c r="H903" s="16" t="str">
        <f aca="false">IF(N(F903)&gt;0,MAX(H$1:H902)+1,"")</f>
        <v/>
      </c>
      <c r="I903" s="11" t="str">
        <f aca="false">IF(B903="","",IF(INDEX($C$2:$C$1201,MATCH(B903,$B$2:$B$1201,0))&lt;&gt;C903,"Nome diferente em outro deck — revisar",""))</f>
        <v/>
      </c>
      <c r="J903" s="16" t="str">
        <f aca="false">IF(AND(B903&lt;&gt;"",A903=BULK!$A$1,N(F903)&gt;0),MAX(J$1:J902)+1,"")</f>
        <v/>
      </c>
      <c r="K903" s="11" t="str">
        <f aca="false">IF(B903="","",IFERROR(LEFT(B903,FIND("-",B903)-1),B903))</f>
        <v/>
      </c>
      <c r="L903" s="11" t="str">
        <f aca="false">IF(K903="","",IF(ISNUMBER(--MID(K903,1,1)),0,IF(ISNUMBER(--MID(K903,2,1)),1,IF(ISNUMBER(--MID(K903,3,1)),2,IF(ISNUMBER(--MID(K903,4,1)),3,MIN(LEN(K903),4))))))</f>
        <v/>
      </c>
      <c r="M903" s="11" t="str">
        <f aca="false">IF(B903="","",LEFT(K903,L903)&amp;REPT("0",4-L903)&amp;RIGHT("000"&amp;IFERROR(VALUE(MID(K903,L903+1,9)),0),3)&amp;RIGHT("0000"&amp;IFERROR(VALUE(MID(B903,FIND("-",B903)+1,9)),0),4))</f>
        <v/>
      </c>
      <c r="N903" s="11" t="str">
        <f aca="false">IF(OR(B903="",N(F903)&lt;=0),"",IF('FALTAS POR DECK'!$P$1="Código","K"&amp;M903&amp;RIGHT("00000"&amp;ROW(),5),IF('FALTAS POR DECK'!$P$1="Nome","K"&amp;UPPER(SUBSTITUTE(SUBSTITUTE(SUBSTITUTE(C903,"*",""),"?",""),"~",""))&amp;"0"&amp;M903&amp;RIGHT("00000"&amp;ROW(),5),IF('FALTAS POR DECK'!$P$1="Falta (maior primeiro)","K"&amp;RIGHT("0000"&amp;(9999-F903),4)&amp;M903&amp;RIGHT("00000"&amp;ROW(),5),IF('FALTAS POR DECK'!$P$1="Deck e código","K"&amp;RIGHT("00"&amp;IFERROR(MATCH(A903,_LEITURA!$P$2:$P$21,0),99),2)&amp;M903&amp;RIGHT("00000"&amp;ROW(),5),"K"&amp;RIGHT("00000"&amp;ROW(),5))))))</f>
        <v/>
      </c>
      <c r="O903" s="16" t="str">
        <f aca="false">IF(N903="","",COUNTIFS($N$2:$N$1201,"&lt;"&amp;N903,$F$2:$F$1201,"&gt;0")+1)</f>
        <v/>
      </c>
    </row>
    <row r="904" customFormat="false" ht="15" hidden="false" customHeight="false" outlineLevel="0" collapsed="false">
      <c r="A904" s="11" t="str">
        <f aca="false">IF(_LEITURA!$N904="","",INDEX(_LEITURA!$K$2:$K$1201,_LEITURA!$N904))</f>
        <v/>
      </c>
      <c r="B904" s="11" t="str">
        <f aca="false">IF(_LEITURA!$N904="","",INDEX(_LEITURA!$E$2:$E$1201,_LEITURA!$N904))</f>
        <v/>
      </c>
      <c r="C904" s="11" t="str">
        <f aca="false">IF(_LEITURA!$N904="","",INDEX(_LEITURA!$J$2:$J$1201,_LEITURA!$N904))</f>
        <v/>
      </c>
      <c r="D904" s="16" t="str">
        <f aca="false">IF(_LEITURA!$N904="","",INDEX(_LEITURA!$G$2:$G$1201,_LEITURA!$N904))</f>
        <v/>
      </c>
      <c r="E904" s="16" t="str">
        <f aca="false">IF(B904="","",SUMIFS(INVENTÁRIO!$C$2:$C$801,INVENTÁRIO!$A$2:$A$801,B904))</f>
        <v/>
      </c>
      <c r="F904" s="16" t="str">
        <f aca="false">IF(B904="","",MAX(0,D904-E904))</f>
        <v/>
      </c>
      <c r="G904" s="16" t="str">
        <f aca="false">IF(B904="","",IF(COUNTIFS($B$2:$B$1201,B904,$A$2:$A$1201,"&lt;&gt;"&amp;A904)&gt;0,"Sim",""))</f>
        <v/>
      </c>
      <c r="H904" s="16" t="str">
        <f aca="false">IF(N(F904)&gt;0,MAX(H$1:H903)+1,"")</f>
        <v/>
      </c>
      <c r="I904" s="11" t="str">
        <f aca="false">IF(B904="","",IF(INDEX($C$2:$C$1201,MATCH(B904,$B$2:$B$1201,0))&lt;&gt;C904,"Nome diferente em outro deck — revisar",""))</f>
        <v/>
      </c>
      <c r="J904" s="16" t="str">
        <f aca="false">IF(AND(B904&lt;&gt;"",A904=BULK!$A$1,N(F904)&gt;0),MAX(J$1:J903)+1,"")</f>
        <v/>
      </c>
      <c r="K904" s="11" t="str">
        <f aca="false">IF(B904="","",IFERROR(LEFT(B904,FIND("-",B904)-1),B904))</f>
        <v/>
      </c>
      <c r="L904" s="11" t="str">
        <f aca="false">IF(K904="","",IF(ISNUMBER(--MID(K904,1,1)),0,IF(ISNUMBER(--MID(K904,2,1)),1,IF(ISNUMBER(--MID(K904,3,1)),2,IF(ISNUMBER(--MID(K904,4,1)),3,MIN(LEN(K904),4))))))</f>
        <v/>
      </c>
      <c r="M904" s="11" t="str">
        <f aca="false">IF(B904="","",LEFT(K904,L904)&amp;REPT("0",4-L904)&amp;RIGHT("000"&amp;IFERROR(VALUE(MID(K904,L904+1,9)),0),3)&amp;RIGHT("0000"&amp;IFERROR(VALUE(MID(B904,FIND("-",B904)+1,9)),0),4))</f>
        <v/>
      </c>
      <c r="N904" s="11" t="str">
        <f aca="false">IF(OR(B904="",N(F904)&lt;=0),"",IF('FALTAS POR DECK'!$P$1="Código","K"&amp;M904&amp;RIGHT("00000"&amp;ROW(),5),IF('FALTAS POR DECK'!$P$1="Nome","K"&amp;UPPER(SUBSTITUTE(SUBSTITUTE(SUBSTITUTE(C904,"*",""),"?",""),"~",""))&amp;"0"&amp;M904&amp;RIGHT("00000"&amp;ROW(),5),IF('FALTAS POR DECK'!$P$1="Falta (maior primeiro)","K"&amp;RIGHT("0000"&amp;(9999-F904),4)&amp;M904&amp;RIGHT("00000"&amp;ROW(),5),IF('FALTAS POR DECK'!$P$1="Deck e código","K"&amp;RIGHT("00"&amp;IFERROR(MATCH(A904,_LEITURA!$P$2:$P$21,0),99),2)&amp;M904&amp;RIGHT("00000"&amp;ROW(),5),"K"&amp;RIGHT("00000"&amp;ROW(),5))))))</f>
        <v/>
      </c>
      <c r="O904" s="16" t="str">
        <f aca="false">IF(N904="","",COUNTIFS($N$2:$N$1201,"&lt;"&amp;N904,$F$2:$F$1201,"&gt;0")+1)</f>
        <v/>
      </c>
    </row>
    <row r="905" customFormat="false" ht="15" hidden="false" customHeight="false" outlineLevel="0" collapsed="false">
      <c r="A905" s="11" t="str">
        <f aca="false">IF(_LEITURA!$N905="","",INDEX(_LEITURA!$K$2:$K$1201,_LEITURA!$N905))</f>
        <v/>
      </c>
      <c r="B905" s="11" t="str">
        <f aca="false">IF(_LEITURA!$N905="","",INDEX(_LEITURA!$E$2:$E$1201,_LEITURA!$N905))</f>
        <v/>
      </c>
      <c r="C905" s="11" t="str">
        <f aca="false">IF(_LEITURA!$N905="","",INDEX(_LEITURA!$J$2:$J$1201,_LEITURA!$N905))</f>
        <v/>
      </c>
      <c r="D905" s="16" t="str">
        <f aca="false">IF(_LEITURA!$N905="","",INDEX(_LEITURA!$G$2:$G$1201,_LEITURA!$N905))</f>
        <v/>
      </c>
      <c r="E905" s="16" t="str">
        <f aca="false">IF(B905="","",SUMIFS(INVENTÁRIO!$C$2:$C$801,INVENTÁRIO!$A$2:$A$801,B905))</f>
        <v/>
      </c>
      <c r="F905" s="16" t="str">
        <f aca="false">IF(B905="","",MAX(0,D905-E905))</f>
        <v/>
      </c>
      <c r="G905" s="16" t="str">
        <f aca="false">IF(B905="","",IF(COUNTIFS($B$2:$B$1201,B905,$A$2:$A$1201,"&lt;&gt;"&amp;A905)&gt;0,"Sim",""))</f>
        <v/>
      </c>
      <c r="H905" s="16" t="str">
        <f aca="false">IF(N(F905)&gt;0,MAX(H$1:H904)+1,"")</f>
        <v/>
      </c>
      <c r="I905" s="11" t="str">
        <f aca="false">IF(B905="","",IF(INDEX($C$2:$C$1201,MATCH(B905,$B$2:$B$1201,0))&lt;&gt;C905,"Nome diferente em outro deck — revisar",""))</f>
        <v/>
      </c>
      <c r="J905" s="16" t="str">
        <f aca="false">IF(AND(B905&lt;&gt;"",A905=BULK!$A$1,N(F905)&gt;0),MAX(J$1:J904)+1,"")</f>
        <v/>
      </c>
      <c r="K905" s="11" t="str">
        <f aca="false">IF(B905="","",IFERROR(LEFT(B905,FIND("-",B905)-1),B905))</f>
        <v/>
      </c>
      <c r="L905" s="11" t="str">
        <f aca="false">IF(K905="","",IF(ISNUMBER(--MID(K905,1,1)),0,IF(ISNUMBER(--MID(K905,2,1)),1,IF(ISNUMBER(--MID(K905,3,1)),2,IF(ISNUMBER(--MID(K905,4,1)),3,MIN(LEN(K905),4))))))</f>
        <v/>
      </c>
      <c r="M905" s="11" t="str">
        <f aca="false">IF(B905="","",LEFT(K905,L905)&amp;REPT("0",4-L905)&amp;RIGHT("000"&amp;IFERROR(VALUE(MID(K905,L905+1,9)),0),3)&amp;RIGHT("0000"&amp;IFERROR(VALUE(MID(B905,FIND("-",B905)+1,9)),0),4))</f>
        <v/>
      </c>
      <c r="N905" s="11" t="str">
        <f aca="false">IF(OR(B905="",N(F905)&lt;=0),"",IF('FALTAS POR DECK'!$P$1="Código","K"&amp;M905&amp;RIGHT("00000"&amp;ROW(),5),IF('FALTAS POR DECK'!$P$1="Nome","K"&amp;UPPER(SUBSTITUTE(SUBSTITUTE(SUBSTITUTE(C905,"*",""),"?",""),"~",""))&amp;"0"&amp;M905&amp;RIGHT("00000"&amp;ROW(),5),IF('FALTAS POR DECK'!$P$1="Falta (maior primeiro)","K"&amp;RIGHT("0000"&amp;(9999-F905),4)&amp;M905&amp;RIGHT("00000"&amp;ROW(),5),IF('FALTAS POR DECK'!$P$1="Deck e código","K"&amp;RIGHT("00"&amp;IFERROR(MATCH(A905,_LEITURA!$P$2:$P$21,0),99),2)&amp;M905&amp;RIGHT("00000"&amp;ROW(),5),"K"&amp;RIGHT("00000"&amp;ROW(),5))))))</f>
        <v/>
      </c>
      <c r="O905" s="16" t="str">
        <f aca="false">IF(N905="","",COUNTIFS($N$2:$N$1201,"&lt;"&amp;N905,$F$2:$F$1201,"&gt;0")+1)</f>
        <v/>
      </c>
    </row>
    <row r="906" customFormat="false" ht="15" hidden="false" customHeight="false" outlineLevel="0" collapsed="false">
      <c r="A906" s="11" t="str">
        <f aca="false">IF(_LEITURA!$N906="","",INDEX(_LEITURA!$K$2:$K$1201,_LEITURA!$N906))</f>
        <v/>
      </c>
      <c r="B906" s="11" t="str">
        <f aca="false">IF(_LEITURA!$N906="","",INDEX(_LEITURA!$E$2:$E$1201,_LEITURA!$N906))</f>
        <v/>
      </c>
      <c r="C906" s="11" t="str">
        <f aca="false">IF(_LEITURA!$N906="","",INDEX(_LEITURA!$J$2:$J$1201,_LEITURA!$N906))</f>
        <v/>
      </c>
      <c r="D906" s="16" t="str">
        <f aca="false">IF(_LEITURA!$N906="","",INDEX(_LEITURA!$G$2:$G$1201,_LEITURA!$N906))</f>
        <v/>
      </c>
      <c r="E906" s="16" t="str">
        <f aca="false">IF(B906="","",SUMIFS(INVENTÁRIO!$C$2:$C$801,INVENTÁRIO!$A$2:$A$801,B906))</f>
        <v/>
      </c>
      <c r="F906" s="16" t="str">
        <f aca="false">IF(B906="","",MAX(0,D906-E906))</f>
        <v/>
      </c>
      <c r="G906" s="16" t="str">
        <f aca="false">IF(B906="","",IF(COUNTIFS($B$2:$B$1201,B906,$A$2:$A$1201,"&lt;&gt;"&amp;A906)&gt;0,"Sim",""))</f>
        <v/>
      </c>
      <c r="H906" s="16" t="str">
        <f aca="false">IF(N(F906)&gt;0,MAX(H$1:H905)+1,"")</f>
        <v/>
      </c>
      <c r="I906" s="11" t="str">
        <f aca="false">IF(B906="","",IF(INDEX($C$2:$C$1201,MATCH(B906,$B$2:$B$1201,0))&lt;&gt;C906,"Nome diferente em outro deck — revisar",""))</f>
        <v/>
      </c>
      <c r="J906" s="16" t="str">
        <f aca="false">IF(AND(B906&lt;&gt;"",A906=BULK!$A$1,N(F906)&gt;0),MAX(J$1:J905)+1,"")</f>
        <v/>
      </c>
      <c r="K906" s="11" t="str">
        <f aca="false">IF(B906="","",IFERROR(LEFT(B906,FIND("-",B906)-1),B906))</f>
        <v/>
      </c>
      <c r="L906" s="11" t="str">
        <f aca="false">IF(K906="","",IF(ISNUMBER(--MID(K906,1,1)),0,IF(ISNUMBER(--MID(K906,2,1)),1,IF(ISNUMBER(--MID(K906,3,1)),2,IF(ISNUMBER(--MID(K906,4,1)),3,MIN(LEN(K906),4))))))</f>
        <v/>
      </c>
      <c r="M906" s="11" t="str">
        <f aca="false">IF(B906="","",LEFT(K906,L906)&amp;REPT("0",4-L906)&amp;RIGHT("000"&amp;IFERROR(VALUE(MID(K906,L906+1,9)),0),3)&amp;RIGHT("0000"&amp;IFERROR(VALUE(MID(B906,FIND("-",B906)+1,9)),0),4))</f>
        <v/>
      </c>
      <c r="N906" s="11" t="str">
        <f aca="false">IF(OR(B906="",N(F906)&lt;=0),"",IF('FALTAS POR DECK'!$P$1="Código","K"&amp;M906&amp;RIGHT("00000"&amp;ROW(),5),IF('FALTAS POR DECK'!$P$1="Nome","K"&amp;UPPER(SUBSTITUTE(SUBSTITUTE(SUBSTITUTE(C906,"*",""),"?",""),"~",""))&amp;"0"&amp;M906&amp;RIGHT("00000"&amp;ROW(),5),IF('FALTAS POR DECK'!$P$1="Falta (maior primeiro)","K"&amp;RIGHT("0000"&amp;(9999-F906),4)&amp;M906&amp;RIGHT("00000"&amp;ROW(),5),IF('FALTAS POR DECK'!$P$1="Deck e código","K"&amp;RIGHT("00"&amp;IFERROR(MATCH(A906,_LEITURA!$P$2:$P$21,0),99),2)&amp;M906&amp;RIGHT("00000"&amp;ROW(),5),"K"&amp;RIGHT("00000"&amp;ROW(),5))))))</f>
        <v/>
      </c>
      <c r="O906" s="16" t="str">
        <f aca="false">IF(N906="","",COUNTIFS($N$2:$N$1201,"&lt;"&amp;N906,$F$2:$F$1201,"&gt;0")+1)</f>
        <v/>
      </c>
    </row>
    <row r="907" customFormat="false" ht="15" hidden="false" customHeight="false" outlineLevel="0" collapsed="false">
      <c r="A907" s="11" t="str">
        <f aca="false">IF(_LEITURA!$N907="","",INDEX(_LEITURA!$K$2:$K$1201,_LEITURA!$N907))</f>
        <v/>
      </c>
      <c r="B907" s="11" t="str">
        <f aca="false">IF(_LEITURA!$N907="","",INDEX(_LEITURA!$E$2:$E$1201,_LEITURA!$N907))</f>
        <v/>
      </c>
      <c r="C907" s="11" t="str">
        <f aca="false">IF(_LEITURA!$N907="","",INDEX(_LEITURA!$J$2:$J$1201,_LEITURA!$N907))</f>
        <v/>
      </c>
      <c r="D907" s="16" t="str">
        <f aca="false">IF(_LEITURA!$N907="","",INDEX(_LEITURA!$G$2:$G$1201,_LEITURA!$N907))</f>
        <v/>
      </c>
      <c r="E907" s="16" t="str">
        <f aca="false">IF(B907="","",SUMIFS(INVENTÁRIO!$C$2:$C$801,INVENTÁRIO!$A$2:$A$801,B907))</f>
        <v/>
      </c>
      <c r="F907" s="16" t="str">
        <f aca="false">IF(B907="","",MAX(0,D907-E907))</f>
        <v/>
      </c>
      <c r="G907" s="16" t="str">
        <f aca="false">IF(B907="","",IF(COUNTIFS($B$2:$B$1201,B907,$A$2:$A$1201,"&lt;&gt;"&amp;A907)&gt;0,"Sim",""))</f>
        <v/>
      </c>
      <c r="H907" s="16" t="str">
        <f aca="false">IF(N(F907)&gt;0,MAX(H$1:H906)+1,"")</f>
        <v/>
      </c>
      <c r="I907" s="11" t="str">
        <f aca="false">IF(B907="","",IF(INDEX($C$2:$C$1201,MATCH(B907,$B$2:$B$1201,0))&lt;&gt;C907,"Nome diferente em outro deck — revisar",""))</f>
        <v/>
      </c>
      <c r="J907" s="16" t="str">
        <f aca="false">IF(AND(B907&lt;&gt;"",A907=BULK!$A$1,N(F907)&gt;0),MAX(J$1:J906)+1,"")</f>
        <v/>
      </c>
      <c r="K907" s="11" t="str">
        <f aca="false">IF(B907="","",IFERROR(LEFT(B907,FIND("-",B907)-1),B907))</f>
        <v/>
      </c>
      <c r="L907" s="11" t="str">
        <f aca="false">IF(K907="","",IF(ISNUMBER(--MID(K907,1,1)),0,IF(ISNUMBER(--MID(K907,2,1)),1,IF(ISNUMBER(--MID(K907,3,1)),2,IF(ISNUMBER(--MID(K907,4,1)),3,MIN(LEN(K907),4))))))</f>
        <v/>
      </c>
      <c r="M907" s="11" t="str">
        <f aca="false">IF(B907="","",LEFT(K907,L907)&amp;REPT("0",4-L907)&amp;RIGHT("000"&amp;IFERROR(VALUE(MID(K907,L907+1,9)),0),3)&amp;RIGHT("0000"&amp;IFERROR(VALUE(MID(B907,FIND("-",B907)+1,9)),0),4))</f>
        <v/>
      </c>
      <c r="N907" s="11" t="str">
        <f aca="false">IF(OR(B907="",N(F907)&lt;=0),"",IF('FALTAS POR DECK'!$P$1="Código","K"&amp;M907&amp;RIGHT("00000"&amp;ROW(),5),IF('FALTAS POR DECK'!$P$1="Nome","K"&amp;UPPER(SUBSTITUTE(SUBSTITUTE(SUBSTITUTE(C907,"*",""),"?",""),"~",""))&amp;"0"&amp;M907&amp;RIGHT("00000"&amp;ROW(),5),IF('FALTAS POR DECK'!$P$1="Falta (maior primeiro)","K"&amp;RIGHT("0000"&amp;(9999-F907),4)&amp;M907&amp;RIGHT("00000"&amp;ROW(),5),IF('FALTAS POR DECK'!$P$1="Deck e código","K"&amp;RIGHT("00"&amp;IFERROR(MATCH(A907,_LEITURA!$P$2:$P$21,0),99),2)&amp;M907&amp;RIGHT("00000"&amp;ROW(),5),"K"&amp;RIGHT("00000"&amp;ROW(),5))))))</f>
        <v/>
      </c>
      <c r="O907" s="16" t="str">
        <f aca="false">IF(N907="","",COUNTIFS($N$2:$N$1201,"&lt;"&amp;N907,$F$2:$F$1201,"&gt;0")+1)</f>
        <v/>
      </c>
    </row>
    <row r="908" customFormat="false" ht="15" hidden="false" customHeight="false" outlineLevel="0" collapsed="false">
      <c r="A908" s="11" t="str">
        <f aca="false">IF(_LEITURA!$N908="","",INDEX(_LEITURA!$K$2:$K$1201,_LEITURA!$N908))</f>
        <v/>
      </c>
      <c r="B908" s="11" t="str">
        <f aca="false">IF(_LEITURA!$N908="","",INDEX(_LEITURA!$E$2:$E$1201,_LEITURA!$N908))</f>
        <v/>
      </c>
      <c r="C908" s="11" t="str">
        <f aca="false">IF(_LEITURA!$N908="","",INDEX(_LEITURA!$J$2:$J$1201,_LEITURA!$N908))</f>
        <v/>
      </c>
      <c r="D908" s="16" t="str">
        <f aca="false">IF(_LEITURA!$N908="","",INDEX(_LEITURA!$G$2:$G$1201,_LEITURA!$N908))</f>
        <v/>
      </c>
      <c r="E908" s="16" t="str">
        <f aca="false">IF(B908="","",SUMIFS(INVENTÁRIO!$C$2:$C$801,INVENTÁRIO!$A$2:$A$801,B908))</f>
        <v/>
      </c>
      <c r="F908" s="16" t="str">
        <f aca="false">IF(B908="","",MAX(0,D908-E908))</f>
        <v/>
      </c>
      <c r="G908" s="16" t="str">
        <f aca="false">IF(B908="","",IF(COUNTIFS($B$2:$B$1201,B908,$A$2:$A$1201,"&lt;&gt;"&amp;A908)&gt;0,"Sim",""))</f>
        <v/>
      </c>
      <c r="H908" s="16" t="str">
        <f aca="false">IF(N(F908)&gt;0,MAX(H$1:H907)+1,"")</f>
        <v/>
      </c>
      <c r="I908" s="11" t="str">
        <f aca="false">IF(B908="","",IF(INDEX($C$2:$C$1201,MATCH(B908,$B$2:$B$1201,0))&lt;&gt;C908,"Nome diferente em outro deck — revisar",""))</f>
        <v/>
      </c>
      <c r="J908" s="16" t="str">
        <f aca="false">IF(AND(B908&lt;&gt;"",A908=BULK!$A$1,N(F908)&gt;0),MAX(J$1:J907)+1,"")</f>
        <v/>
      </c>
      <c r="K908" s="11" t="str">
        <f aca="false">IF(B908="","",IFERROR(LEFT(B908,FIND("-",B908)-1),B908))</f>
        <v/>
      </c>
      <c r="L908" s="11" t="str">
        <f aca="false">IF(K908="","",IF(ISNUMBER(--MID(K908,1,1)),0,IF(ISNUMBER(--MID(K908,2,1)),1,IF(ISNUMBER(--MID(K908,3,1)),2,IF(ISNUMBER(--MID(K908,4,1)),3,MIN(LEN(K908),4))))))</f>
        <v/>
      </c>
      <c r="M908" s="11" t="str">
        <f aca="false">IF(B908="","",LEFT(K908,L908)&amp;REPT("0",4-L908)&amp;RIGHT("000"&amp;IFERROR(VALUE(MID(K908,L908+1,9)),0),3)&amp;RIGHT("0000"&amp;IFERROR(VALUE(MID(B908,FIND("-",B908)+1,9)),0),4))</f>
        <v/>
      </c>
      <c r="N908" s="11" t="str">
        <f aca="false">IF(OR(B908="",N(F908)&lt;=0),"",IF('FALTAS POR DECK'!$P$1="Código","K"&amp;M908&amp;RIGHT("00000"&amp;ROW(),5),IF('FALTAS POR DECK'!$P$1="Nome","K"&amp;UPPER(SUBSTITUTE(SUBSTITUTE(SUBSTITUTE(C908,"*",""),"?",""),"~",""))&amp;"0"&amp;M908&amp;RIGHT("00000"&amp;ROW(),5),IF('FALTAS POR DECK'!$P$1="Falta (maior primeiro)","K"&amp;RIGHT("0000"&amp;(9999-F908),4)&amp;M908&amp;RIGHT("00000"&amp;ROW(),5),IF('FALTAS POR DECK'!$P$1="Deck e código","K"&amp;RIGHT("00"&amp;IFERROR(MATCH(A908,_LEITURA!$P$2:$P$21,0),99),2)&amp;M908&amp;RIGHT("00000"&amp;ROW(),5),"K"&amp;RIGHT("00000"&amp;ROW(),5))))))</f>
        <v/>
      </c>
      <c r="O908" s="16" t="str">
        <f aca="false">IF(N908="","",COUNTIFS($N$2:$N$1201,"&lt;"&amp;N908,$F$2:$F$1201,"&gt;0")+1)</f>
        <v/>
      </c>
    </row>
    <row r="909" customFormat="false" ht="15" hidden="false" customHeight="false" outlineLevel="0" collapsed="false">
      <c r="A909" s="11" t="str">
        <f aca="false">IF(_LEITURA!$N909="","",INDEX(_LEITURA!$K$2:$K$1201,_LEITURA!$N909))</f>
        <v/>
      </c>
      <c r="B909" s="11" t="str">
        <f aca="false">IF(_LEITURA!$N909="","",INDEX(_LEITURA!$E$2:$E$1201,_LEITURA!$N909))</f>
        <v/>
      </c>
      <c r="C909" s="11" t="str">
        <f aca="false">IF(_LEITURA!$N909="","",INDEX(_LEITURA!$J$2:$J$1201,_LEITURA!$N909))</f>
        <v/>
      </c>
      <c r="D909" s="16" t="str">
        <f aca="false">IF(_LEITURA!$N909="","",INDEX(_LEITURA!$G$2:$G$1201,_LEITURA!$N909))</f>
        <v/>
      </c>
      <c r="E909" s="16" t="str">
        <f aca="false">IF(B909="","",SUMIFS(INVENTÁRIO!$C$2:$C$801,INVENTÁRIO!$A$2:$A$801,B909))</f>
        <v/>
      </c>
      <c r="F909" s="16" t="str">
        <f aca="false">IF(B909="","",MAX(0,D909-E909))</f>
        <v/>
      </c>
      <c r="G909" s="16" t="str">
        <f aca="false">IF(B909="","",IF(COUNTIFS($B$2:$B$1201,B909,$A$2:$A$1201,"&lt;&gt;"&amp;A909)&gt;0,"Sim",""))</f>
        <v/>
      </c>
      <c r="H909" s="16" t="str">
        <f aca="false">IF(N(F909)&gt;0,MAX(H$1:H908)+1,"")</f>
        <v/>
      </c>
      <c r="I909" s="11" t="str">
        <f aca="false">IF(B909="","",IF(INDEX($C$2:$C$1201,MATCH(B909,$B$2:$B$1201,0))&lt;&gt;C909,"Nome diferente em outro deck — revisar",""))</f>
        <v/>
      </c>
      <c r="J909" s="16" t="str">
        <f aca="false">IF(AND(B909&lt;&gt;"",A909=BULK!$A$1,N(F909)&gt;0),MAX(J$1:J908)+1,"")</f>
        <v/>
      </c>
      <c r="K909" s="11" t="str">
        <f aca="false">IF(B909="","",IFERROR(LEFT(B909,FIND("-",B909)-1),B909))</f>
        <v/>
      </c>
      <c r="L909" s="11" t="str">
        <f aca="false">IF(K909="","",IF(ISNUMBER(--MID(K909,1,1)),0,IF(ISNUMBER(--MID(K909,2,1)),1,IF(ISNUMBER(--MID(K909,3,1)),2,IF(ISNUMBER(--MID(K909,4,1)),3,MIN(LEN(K909),4))))))</f>
        <v/>
      </c>
      <c r="M909" s="11" t="str">
        <f aca="false">IF(B909="","",LEFT(K909,L909)&amp;REPT("0",4-L909)&amp;RIGHT("000"&amp;IFERROR(VALUE(MID(K909,L909+1,9)),0),3)&amp;RIGHT("0000"&amp;IFERROR(VALUE(MID(B909,FIND("-",B909)+1,9)),0),4))</f>
        <v/>
      </c>
      <c r="N909" s="11" t="str">
        <f aca="false">IF(OR(B909="",N(F909)&lt;=0),"",IF('FALTAS POR DECK'!$P$1="Código","K"&amp;M909&amp;RIGHT("00000"&amp;ROW(),5),IF('FALTAS POR DECK'!$P$1="Nome","K"&amp;UPPER(SUBSTITUTE(SUBSTITUTE(SUBSTITUTE(C909,"*",""),"?",""),"~",""))&amp;"0"&amp;M909&amp;RIGHT("00000"&amp;ROW(),5),IF('FALTAS POR DECK'!$P$1="Falta (maior primeiro)","K"&amp;RIGHT("0000"&amp;(9999-F909),4)&amp;M909&amp;RIGHT("00000"&amp;ROW(),5),IF('FALTAS POR DECK'!$P$1="Deck e código","K"&amp;RIGHT("00"&amp;IFERROR(MATCH(A909,_LEITURA!$P$2:$P$21,0),99),2)&amp;M909&amp;RIGHT("00000"&amp;ROW(),5),"K"&amp;RIGHT("00000"&amp;ROW(),5))))))</f>
        <v/>
      </c>
      <c r="O909" s="16" t="str">
        <f aca="false">IF(N909="","",COUNTIFS($N$2:$N$1201,"&lt;"&amp;N909,$F$2:$F$1201,"&gt;0")+1)</f>
        <v/>
      </c>
    </row>
    <row r="910" customFormat="false" ht="15" hidden="false" customHeight="false" outlineLevel="0" collapsed="false">
      <c r="A910" s="11" t="str">
        <f aca="false">IF(_LEITURA!$N910="","",INDEX(_LEITURA!$K$2:$K$1201,_LEITURA!$N910))</f>
        <v/>
      </c>
      <c r="B910" s="11" t="str">
        <f aca="false">IF(_LEITURA!$N910="","",INDEX(_LEITURA!$E$2:$E$1201,_LEITURA!$N910))</f>
        <v/>
      </c>
      <c r="C910" s="11" t="str">
        <f aca="false">IF(_LEITURA!$N910="","",INDEX(_LEITURA!$J$2:$J$1201,_LEITURA!$N910))</f>
        <v/>
      </c>
      <c r="D910" s="16" t="str">
        <f aca="false">IF(_LEITURA!$N910="","",INDEX(_LEITURA!$G$2:$G$1201,_LEITURA!$N910))</f>
        <v/>
      </c>
      <c r="E910" s="16" t="str">
        <f aca="false">IF(B910="","",SUMIFS(INVENTÁRIO!$C$2:$C$801,INVENTÁRIO!$A$2:$A$801,B910))</f>
        <v/>
      </c>
      <c r="F910" s="16" t="str">
        <f aca="false">IF(B910="","",MAX(0,D910-E910))</f>
        <v/>
      </c>
      <c r="G910" s="16" t="str">
        <f aca="false">IF(B910="","",IF(COUNTIFS($B$2:$B$1201,B910,$A$2:$A$1201,"&lt;&gt;"&amp;A910)&gt;0,"Sim",""))</f>
        <v/>
      </c>
      <c r="H910" s="16" t="str">
        <f aca="false">IF(N(F910)&gt;0,MAX(H$1:H909)+1,"")</f>
        <v/>
      </c>
      <c r="I910" s="11" t="str">
        <f aca="false">IF(B910="","",IF(INDEX($C$2:$C$1201,MATCH(B910,$B$2:$B$1201,0))&lt;&gt;C910,"Nome diferente em outro deck — revisar",""))</f>
        <v/>
      </c>
      <c r="J910" s="16" t="str">
        <f aca="false">IF(AND(B910&lt;&gt;"",A910=BULK!$A$1,N(F910)&gt;0),MAX(J$1:J909)+1,"")</f>
        <v/>
      </c>
      <c r="K910" s="11" t="str">
        <f aca="false">IF(B910="","",IFERROR(LEFT(B910,FIND("-",B910)-1),B910))</f>
        <v/>
      </c>
      <c r="L910" s="11" t="str">
        <f aca="false">IF(K910="","",IF(ISNUMBER(--MID(K910,1,1)),0,IF(ISNUMBER(--MID(K910,2,1)),1,IF(ISNUMBER(--MID(K910,3,1)),2,IF(ISNUMBER(--MID(K910,4,1)),3,MIN(LEN(K910),4))))))</f>
        <v/>
      </c>
      <c r="M910" s="11" t="str">
        <f aca="false">IF(B910="","",LEFT(K910,L910)&amp;REPT("0",4-L910)&amp;RIGHT("000"&amp;IFERROR(VALUE(MID(K910,L910+1,9)),0),3)&amp;RIGHT("0000"&amp;IFERROR(VALUE(MID(B910,FIND("-",B910)+1,9)),0),4))</f>
        <v/>
      </c>
      <c r="N910" s="11" t="str">
        <f aca="false">IF(OR(B910="",N(F910)&lt;=0),"",IF('FALTAS POR DECK'!$P$1="Código","K"&amp;M910&amp;RIGHT("00000"&amp;ROW(),5),IF('FALTAS POR DECK'!$P$1="Nome","K"&amp;UPPER(SUBSTITUTE(SUBSTITUTE(SUBSTITUTE(C910,"*",""),"?",""),"~",""))&amp;"0"&amp;M910&amp;RIGHT("00000"&amp;ROW(),5),IF('FALTAS POR DECK'!$P$1="Falta (maior primeiro)","K"&amp;RIGHT("0000"&amp;(9999-F910),4)&amp;M910&amp;RIGHT("00000"&amp;ROW(),5),IF('FALTAS POR DECK'!$P$1="Deck e código","K"&amp;RIGHT("00"&amp;IFERROR(MATCH(A910,_LEITURA!$P$2:$P$21,0),99),2)&amp;M910&amp;RIGHT("00000"&amp;ROW(),5),"K"&amp;RIGHT("00000"&amp;ROW(),5))))))</f>
        <v/>
      </c>
      <c r="O910" s="16" t="str">
        <f aca="false">IF(N910="","",COUNTIFS($N$2:$N$1201,"&lt;"&amp;N910,$F$2:$F$1201,"&gt;0")+1)</f>
        <v/>
      </c>
    </row>
    <row r="911" customFormat="false" ht="15" hidden="false" customHeight="false" outlineLevel="0" collapsed="false">
      <c r="A911" s="11" t="str">
        <f aca="false">IF(_LEITURA!$N911="","",INDEX(_LEITURA!$K$2:$K$1201,_LEITURA!$N911))</f>
        <v/>
      </c>
      <c r="B911" s="11" t="str">
        <f aca="false">IF(_LEITURA!$N911="","",INDEX(_LEITURA!$E$2:$E$1201,_LEITURA!$N911))</f>
        <v/>
      </c>
      <c r="C911" s="11" t="str">
        <f aca="false">IF(_LEITURA!$N911="","",INDEX(_LEITURA!$J$2:$J$1201,_LEITURA!$N911))</f>
        <v/>
      </c>
      <c r="D911" s="16" t="str">
        <f aca="false">IF(_LEITURA!$N911="","",INDEX(_LEITURA!$G$2:$G$1201,_LEITURA!$N911))</f>
        <v/>
      </c>
      <c r="E911" s="16" t="str">
        <f aca="false">IF(B911="","",SUMIFS(INVENTÁRIO!$C$2:$C$801,INVENTÁRIO!$A$2:$A$801,B911))</f>
        <v/>
      </c>
      <c r="F911" s="16" t="str">
        <f aca="false">IF(B911="","",MAX(0,D911-E911))</f>
        <v/>
      </c>
      <c r="G911" s="16" t="str">
        <f aca="false">IF(B911="","",IF(COUNTIFS($B$2:$B$1201,B911,$A$2:$A$1201,"&lt;&gt;"&amp;A911)&gt;0,"Sim",""))</f>
        <v/>
      </c>
      <c r="H911" s="16" t="str">
        <f aca="false">IF(N(F911)&gt;0,MAX(H$1:H910)+1,"")</f>
        <v/>
      </c>
      <c r="I911" s="11" t="str">
        <f aca="false">IF(B911="","",IF(INDEX($C$2:$C$1201,MATCH(B911,$B$2:$B$1201,0))&lt;&gt;C911,"Nome diferente em outro deck — revisar",""))</f>
        <v/>
      </c>
      <c r="J911" s="16" t="str">
        <f aca="false">IF(AND(B911&lt;&gt;"",A911=BULK!$A$1,N(F911)&gt;0),MAX(J$1:J910)+1,"")</f>
        <v/>
      </c>
      <c r="K911" s="11" t="str">
        <f aca="false">IF(B911="","",IFERROR(LEFT(B911,FIND("-",B911)-1),B911))</f>
        <v/>
      </c>
      <c r="L911" s="11" t="str">
        <f aca="false">IF(K911="","",IF(ISNUMBER(--MID(K911,1,1)),0,IF(ISNUMBER(--MID(K911,2,1)),1,IF(ISNUMBER(--MID(K911,3,1)),2,IF(ISNUMBER(--MID(K911,4,1)),3,MIN(LEN(K911),4))))))</f>
        <v/>
      </c>
      <c r="M911" s="11" t="str">
        <f aca="false">IF(B911="","",LEFT(K911,L911)&amp;REPT("0",4-L911)&amp;RIGHT("000"&amp;IFERROR(VALUE(MID(K911,L911+1,9)),0),3)&amp;RIGHT("0000"&amp;IFERROR(VALUE(MID(B911,FIND("-",B911)+1,9)),0),4))</f>
        <v/>
      </c>
      <c r="N911" s="11" t="str">
        <f aca="false">IF(OR(B911="",N(F911)&lt;=0),"",IF('FALTAS POR DECK'!$P$1="Código","K"&amp;M911&amp;RIGHT("00000"&amp;ROW(),5),IF('FALTAS POR DECK'!$P$1="Nome","K"&amp;UPPER(SUBSTITUTE(SUBSTITUTE(SUBSTITUTE(C911,"*",""),"?",""),"~",""))&amp;"0"&amp;M911&amp;RIGHT("00000"&amp;ROW(),5),IF('FALTAS POR DECK'!$P$1="Falta (maior primeiro)","K"&amp;RIGHT("0000"&amp;(9999-F911),4)&amp;M911&amp;RIGHT("00000"&amp;ROW(),5),IF('FALTAS POR DECK'!$P$1="Deck e código","K"&amp;RIGHT("00"&amp;IFERROR(MATCH(A911,_LEITURA!$P$2:$P$21,0),99),2)&amp;M911&amp;RIGHT("00000"&amp;ROW(),5),"K"&amp;RIGHT("00000"&amp;ROW(),5))))))</f>
        <v/>
      </c>
      <c r="O911" s="16" t="str">
        <f aca="false">IF(N911="","",COUNTIFS($N$2:$N$1201,"&lt;"&amp;N911,$F$2:$F$1201,"&gt;0")+1)</f>
        <v/>
      </c>
    </row>
    <row r="912" customFormat="false" ht="15" hidden="false" customHeight="false" outlineLevel="0" collapsed="false">
      <c r="A912" s="11" t="str">
        <f aca="false">IF(_LEITURA!$N912="","",INDEX(_LEITURA!$K$2:$K$1201,_LEITURA!$N912))</f>
        <v/>
      </c>
      <c r="B912" s="11" t="str">
        <f aca="false">IF(_LEITURA!$N912="","",INDEX(_LEITURA!$E$2:$E$1201,_LEITURA!$N912))</f>
        <v/>
      </c>
      <c r="C912" s="11" t="str">
        <f aca="false">IF(_LEITURA!$N912="","",INDEX(_LEITURA!$J$2:$J$1201,_LEITURA!$N912))</f>
        <v/>
      </c>
      <c r="D912" s="16" t="str">
        <f aca="false">IF(_LEITURA!$N912="","",INDEX(_LEITURA!$G$2:$G$1201,_LEITURA!$N912))</f>
        <v/>
      </c>
      <c r="E912" s="16" t="str">
        <f aca="false">IF(B912="","",SUMIFS(INVENTÁRIO!$C$2:$C$801,INVENTÁRIO!$A$2:$A$801,B912))</f>
        <v/>
      </c>
      <c r="F912" s="16" t="str">
        <f aca="false">IF(B912="","",MAX(0,D912-E912))</f>
        <v/>
      </c>
      <c r="G912" s="16" t="str">
        <f aca="false">IF(B912="","",IF(COUNTIFS($B$2:$B$1201,B912,$A$2:$A$1201,"&lt;&gt;"&amp;A912)&gt;0,"Sim",""))</f>
        <v/>
      </c>
      <c r="H912" s="16" t="str">
        <f aca="false">IF(N(F912)&gt;0,MAX(H$1:H911)+1,"")</f>
        <v/>
      </c>
      <c r="I912" s="11" t="str">
        <f aca="false">IF(B912="","",IF(INDEX($C$2:$C$1201,MATCH(B912,$B$2:$B$1201,0))&lt;&gt;C912,"Nome diferente em outro deck — revisar",""))</f>
        <v/>
      </c>
      <c r="J912" s="16" t="str">
        <f aca="false">IF(AND(B912&lt;&gt;"",A912=BULK!$A$1,N(F912)&gt;0),MAX(J$1:J911)+1,"")</f>
        <v/>
      </c>
      <c r="K912" s="11" t="str">
        <f aca="false">IF(B912="","",IFERROR(LEFT(B912,FIND("-",B912)-1),B912))</f>
        <v/>
      </c>
      <c r="L912" s="11" t="str">
        <f aca="false">IF(K912="","",IF(ISNUMBER(--MID(K912,1,1)),0,IF(ISNUMBER(--MID(K912,2,1)),1,IF(ISNUMBER(--MID(K912,3,1)),2,IF(ISNUMBER(--MID(K912,4,1)),3,MIN(LEN(K912),4))))))</f>
        <v/>
      </c>
      <c r="M912" s="11" t="str">
        <f aca="false">IF(B912="","",LEFT(K912,L912)&amp;REPT("0",4-L912)&amp;RIGHT("000"&amp;IFERROR(VALUE(MID(K912,L912+1,9)),0),3)&amp;RIGHT("0000"&amp;IFERROR(VALUE(MID(B912,FIND("-",B912)+1,9)),0),4))</f>
        <v/>
      </c>
      <c r="N912" s="11" t="str">
        <f aca="false">IF(OR(B912="",N(F912)&lt;=0),"",IF('FALTAS POR DECK'!$P$1="Código","K"&amp;M912&amp;RIGHT("00000"&amp;ROW(),5),IF('FALTAS POR DECK'!$P$1="Nome","K"&amp;UPPER(SUBSTITUTE(SUBSTITUTE(SUBSTITUTE(C912,"*",""),"?",""),"~",""))&amp;"0"&amp;M912&amp;RIGHT("00000"&amp;ROW(),5),IF('FALTAS POR DECK'!$P$1="Falta (maior primeiro)","K"&amp;RIGHT("0000"&amp;(9999-F912),4)&amp;M912&amp;RIGHT("00000"&amp;ROW(),5),IF('FALTAS POR DECK'!$P$1="Deck e código","K"&amp;RIGHT("00"&amp;IFERROR(MATCH(A912,_LEITURA!$P$2:$P$21,0),99),2)&amp;M912&amp;RIGHT("00000"&amp;ROW(),5),"K"&amp;RIGHT("00000"&amp;ROW(),5))))))</f>
        <v/>
      </c>
      <c r="O912" s="16" t="str">
        <f aca="false">IF(N912="","",COUNTIFS($N$2:$N$1201,"&lt;"&amp;N912,$F$2:$F$1201,"&gt;0")+1)</f>
        <v/>
      </c>
    </row>
    <row r="913" customFormat="false" ht="15" hidden="false" customHeight="false" outlineLevel="0" collapsed="false">
      <c r="A913" s="11" t="str">
        <f aca="false">IF(_LEITURA!$N913="","",INDEX(_LEITURA!$K$2:$K$1201,_LEITURA!$N913))</f>
        <v/>
      </c>
      <c r="B913" s="11" t="str">
        <f aca="false">IF(_LEITURA!$N913="","",INDEX(_LEITURA!$E$2:$E$1201,_LEITURA!$N913))</f>
        <v/>
      </c>
      <c r="C913" s="11" t="str">
        <f aca="false">IF(_LEITURA!$N913="","",INDEX(_LEITURA!$J$2:$J$1201,_LEITURA!$N913))</f>
        <v/>
      </c>
      <c r="D913" s="16" t="str">
        <f aca="false">IF(_LEITURA!$N913="","",INDEX(_LEITURA!$G$2:$G$1201,_LEITURA!$N913))</f>
        <v/>
      </c>
      <c r="E913" s="16" t="str">
        <f aca="false">IF(B913="","",SUMIFS(INVENTÁRIO!$C$2:$C$801,INVENTÁRIO!$A$2:$A$801,B913))</f>
        <v/>
      </c>
      <c r="F913" s="16" t="str">
        <f aca="false">IF(B913="","",MAX(0,D913-E913))</f>
        <v/>
      </c>
      <c r="G913" s="16" t="str">
        <f aca="false">IF(B913="","",IF(COUNTIFS($B$2:$B$1201,B913,$A$2:$A$1201,"&lt;&gt;"&amp;A913)&gt;0,"Sim",""))</f>
        <v/>
      </c>
      <c r="H913" s="16" t="str">
        <f aca="false">IF(N(F913)&gt;0,MAX(H$1:H912)+1,"")</f>
        <v/>
      </c>
      <c r="I913" s="11" t="str">
        <f aca="false">IF(B913="","",IF(INDEX($C$2:$C$1201,MATCH(B913,$B$2:$B$1201,0))&lt;&gt;C913,"Nome diferente em outro deck — revisar",""))</f>
        <v/>
      </c>
      <c r="J913" s="16" t="str">
        <f aca="false">IF(AND(B913&lt;&gt;"",A913=BULK!$A$1,N(F913)&gt;0),MAX(J$1:J912)+1,"")</f>
        <v/>
      </c>
      <c r="K913" s="11" t="str">
        <f aca="false">IF(B913="","",IFERROR(LEFT(B913,FIND("-",B913)-1),B913))</f>
        <v/>
      </c>
      <c r="L913" s="11" t="str">
        <f aca="false">IF(K913="","",IF(ISNUMBER(--MID(K913,1,1)),0,IF(ISNUMBER(--MID(K913,2,1)),1,IF(ISNUMBER(--MID(K913,3,1)),2,IF(ISNUMBER(--MID(K913,4,1)),3,MIN(LEN(K913),4))))))</f>
        <v/>
      </c>
      <c r="M913" s="11" t="str">
        <f aca="false">IF(B913="","",LEFT(K913,L913)&amp;REPT("0",4-L913)&amp;RIGHT("000"&amp;IFERROR(VALUE(MID(K913,L913+1,9)),0),3)&amp;RIGHT("0000"&amp;IFERROR(VALUE(MID(B913,FIND("-",B913)+1,9)),0),4))</f>
        <v/>
      </c>
      <c r="N913" s="11" t="str">
        <f aca="false">IF(OR(B913="",N(F913)&lt;=0),"",IF('FALTAS POR DECK'!$P$1="Código","K"&amp;M913&amp;RIGHT("00000"&amp;ROW(),5),IF('FALTAS POR DECK'!$P$1="Nome","K"&amp;UPPER(SUBSTITUTE(SUBSTITUTE(SUBSTITUTE(C913,"*",""),"?",""),"~",""))&amp;"0"&amp;M913&amp;RIGHT("00000"&amp;ROW(),5),IF('FALTAS POR DECK'!$P$1="Falta (maior primeiro)","K"&amp;RIGHT("0000"&amp;(9999-F913),4)&amp;M913&amp;RIGHT("00000"&amp;ROW(),5),IF('FALTAS POR DECK'!$P$1="Deck e código","K"&amp;RIGHT("00"&amp;IFERROR(MATCH(A913,_LEITURA!$P$2:$P$21,0),99),2)&amp;M913&amp;RIGHT("00000"&amp;ROW(),5),"K"&amp;RIGHT("00000"&amp;ROW(),5))))))</f>
        <v/>
      </c>
      <c r="O913" s="16" t="str">
        <f aca="false">IF(N913="","",COUNTIFS($N$2:$N$1201,"&lt;"&amp;N913,$F$2:$F$1201,"&gt;0")+1)</f>
        <v/>
      </c>
    </row>
    <row r="914" customFormat="false" ht="15" hidden="false" customHeight="false" outlineLevel="0" collapsed="false">
      <c r="A914" s="11" t="str">
        <f aca="false">IF(_LEITURA!$N914="","",INDEX(_LEITURA!$K$2:$K$1201,_LEITURA!$N914))</f>
        <v/>
      </c>
      <c r="B914" s="11" t="str">
        <f aca="false">IF(_LEITURA!$N914="","",INDEX(_LEITURA!$E$2:$E$1201,_LEITURA!$N914))</f>
        <v/>
      </c>
      <c r="C914" s="11" t="str">
        <f aca="false">IF(_LEITURA!$N914="","",INDEX(_LEITURA!$J$2:$J$1201,_LEITURA!$N914))</f>
        <v/>
      </c>
      <c r="D914" s="16" t="str">
        <f aca="false">IF(_LEITURA!$N914="","",INDEX(_LEITURA!$G$2:$G$1201,_LEITURA!$N914))</f>
        <v/>
      </c>
      <c r="E914" s="16" t="str">
        <f aca="false">IF(B914="","",SUMIFS(INVENTÁRIO!$C$2:$C$801,INVENTÁRIO!$A$2:$A$801,B914))</f>
        <v/>
      </c>
      <c r="F914" s="16" t="str">
        <f aca="false">IF(B914="","",MAX(0,D914-E914))</f>
        <v/>
      </c>
      <c r="G914" s="16" t="str">
        <f aca="false">IF(B914="","",IF(COUNTIFS($B$2:$B$1201,B914,$A$2:$A$1201,"&lt;&gt;"&amp;A914)&gt;0,"Sim",""))</f>
        <v/>
      </c>
      <c r="H914" s="16" t="str">
        <f aca="false">IF(N(F914)&gt;0,MAX(H$1:H913)+1,"")</f>
        <v/>
      </c>
      <c r="I914" s="11" t="str">
        <f aca="false">IF(B914="","",IF(INDEX($C$2:$C$1201,MATCH(B914,$B$2:$B$1201,0))&lt;&gt;C914,"Nome diferente em outro deck — revisar",""))</f>
        <v/>
      </c>
      <c r="J914" s="16" t="str">
        <f aca="false">IF(AND(B914&lt;&gt;"",A914=BULK!$A$1,N(F914)&gt;0),MAX(J$1:J913)+1,"")</f>
        <v/>
      </c>
      <c r="K914" s="11" t="str">
        <f aca="false">IF(B914="","",IFERROR(LEFT(B914,FIND("-",B914)-1),B914))</f>
        <v/>
      </c>
      <c r="L914" s="11" t="str">
        <f aca="false">IF(K914="","",IF(ISNUMBER(--MID(K914,1,1)),0,IF(ISNUMBER(--MID(K914,2,1)),1,IF(ISNUMBER(--MID(K914,3,1)),2,IF(ISNUMBER(--MID(K914,4,1)),3,MIN(LEN(K914),4))))))</f>
        <v/>
      </c>
      <c r="M914" s="11" t="str">
        <f aca="false">IF(B914="","",LEFT(K914,L914)&amp;REPT("0",4-L914)&amp;RIGHT("000"&amp;IFERROR(VALUE(MID(K914,L914+1,9)),0),3)&amp;RIGHT("0000"&amp;IFERROR(VALUE(MID(B914,FIND("-",B914)+1,9)),0),4))</f>
        <v/>
      </c>
      <c r="N914" s="11" t="str">
        <f aca="false">IF(OR(B914="",N(F914)&lt;=0),"",IF('FALTAS POR DECK'!$P$1="Código","K"&amp;M914&amp;RIGHT("00000"&amp;ROW(),5),IF('FALTAS POR DECK'!$P$1="Nome","K"&amp;UPPER(SUBSTITUTE(SUBSTITUTE(SUBSTITUTE(C914,"*",""),"?",""),"~",""))&amp;"0"&amp;M914&amp;RIGHT("00000"&amp;ROW(),5),IF('FALTAS POR DECK'!$P$1="Falta (maior primeiro)","K"&amp;RIGHT("0000"&amp;(9999-F914),4)&amp;M914&amp;RIGHT("00000"&amp;ROW(),5),IF('FALTAS POR DECK'!$P$1="Deck e código","K"&amp;RIGHT("00"&amp;IFERROR(MATCH(A914,_LEITURA!$P$2:$P$21,0),99),2)&amp;M914&amp;RIGHT("00000"&amp;ROW(),5),"K"&amp;RIGHT("00000"&amp;ROW(),5))))))</f>
        <v/>
      </c>
      <c r="O914" s="16" t="str">
        <f aca="false">IF(N914="","",COUNTIFS($N$2:$N$1201,"&lt;"&amp;N914,$F$2:$F$1201,"&gt;0")+1)</f>
        <v/>
      </c>
    </row>
    <row r="915" customFormat="false" ht="15" hidden="false" customHeight="false" outlineLevel="0" collapsed="false">
      <c r="A915" s="11" t="str">
        <f aca="false">IF(_LEITURA!$N915="","",INDEX(_LEITURA!$K$2:$K$1201,_LEITURA!$N915))</f>
        <v/>
      </c>
      <c r="B915" s="11" t="str">
        <f aca="false">IF(_LEITURA!$N915="","",INDEX(_LEITURA!$E$2:$E$1201,_LEITURA!$N915))</f>
        <v/>
      </c>
      <c r="C915" s="11" t="str">
        <f aca="false">IF(_LEITURA!$N915="","",INDEX(_LEITURA!$J$2:$J$1201,_LEITURA!$N915))</f>
        <v/>
      </c>
      <c r="D915" s="16" t="str">
        <f aca="false">IF(_LEITURA!$N915="","",INDEX(_LEITURA!$G$2:$G$1201,_LEITURA!$N915))</f>
        <v/>
      </c>
      <c r="E915" s="16" t="str">
        <f aca="false">IF(B915="","",SUMIFS(INVENTÁRIO!$C$2:$C$801,INVENTÁRIO!$A$2:$A$801,B915))</f>
        <v/>
      </c>
      <c r="F915" s="16" t="str">
        <f aca="false">IF(B915="","",MAX(0,D915-E915))</f>
        <v/>
      </c>
      <c r="G915" s="16" t="str">
        <f aca="false">IF(B915="","",IF(COUNTIFS($B$2:$B$1201,B915,$A$2:$A$1201,"&lt;&gt;"&amp;A915)&gt;0,"Sim",""))</f>
        <v/>
      </c>
      <c r="H915" s="16" t="str">
        <f aca="false">IF(N(F915)&gt;0,MAX(H$1:H914)+1,"")</f>
        <v/>
      </c>
      <c r="I915" s="11" t="str">
        <f aca="false">IF(B915="","",IF(INDEX($C$2:$C$1201,MATCH(B915,$B$2:$B$1201,0))&lt;&gt;C915,"Nome diferente em outro deck — revisar",""))</f>
        <v/>
      </c>
      <c r="J915" s="16" t="str">
        <f aca="false">IF(AND(B915&lt;&gt;"",A915=BULK!$A$1,N(F915)&gt;0),MAX(J$1:J914)+1,"")</f>
        <v/>
      </c>
      <c r="K915" s="11" t="str">
        <f aca="false">IF(B915="","",IFERROR(LEFT(B915,FIND("-",B915)-1),B915))</f>
        <v/>
      </c>
      <c r="L915" s="11" t="str">
        <f aca="false">IF(K915="","",IF(ISNUMBER(--MID(K915,1,1)),0,IF(ISNUMBER(--MID(K915,2,1)),1,IF(ISNUMBER(--MID(K915,3,1)),2,IF(ISNUMBER(--MID(K915,4,1)),3,MIN(LEN(K915),4))))))</f>
        <v/>
      </c>
      <c r="M915" s="11" t="str">
        <f aca="false">IF(B915="","",LEFT(K915,L915)&amp;REPT("0",4-L915)&amp;RIGHT("000"&amp;IFERROR(VALUE(MID(K915,L915+1,9)),0),3)&amp;RIGHT("0000"&amp;IFERROR(VALUE(MID(B915,FIND("-",B915)+1,9)),0),4))</f>
        <v/>
      </c>
      <c r="N915" s="11" t="str">
        <f aca="false">IF(OR(B915="",N(F915)&lt;=0),"",IF('FALTAS POR DECK'!$P$1="Código","K"&amp;M915&amp;RIGHT("00000"&amp;ROW(),5),IF('FALTAS POR DECK'!$P$1="Nome","K"&amp;UPPER(SUBSTITUTE(SUBSTITUTE(SUBSTITUTE(C915,"*",""),"?",""),"~",""))&amp;"0"&amp;M915&amp;RIGHT("00000"&amp;ROW(),5),IF('FALTAS POR DECK'!$P$1="Falta (maior primeiro)","K"&amp;RIGHT("0000"&amp;(9999-F915),4)&amp;M915&amp;RIGHT("00000"&amp;ROW(),5),IF('FALTAS POR DECK'!$P$1="Deck e código","K"&amp;RIGHT("00"&amp;IFERROR(MATCH(A915,_LEITURA!$P$2:$P$21,0),99),2)&amp;M915&amp;RIGHT("00000"&amp;ROW(),5),"K"&amp;RIGHT("00000"&amp;ROW(),5))))))</f>
        <v/>
      </c>
      <c r="O915" s="16" t="str">
        <f aca="false">IF(N915="","",COUNTIFS($N$2:$N$1201,"&lt;"&amp;N915,$F$2:$F$1201,"&gt;0")+1)</f>
        <v/>
      </c>
    </row>
    <row r="916" customFormat="false" ht="15" hidden="false" customHeight="false" outlineLevel="0" collapsed="false">
      <c r="A916" s="11" t="str">
        <f aca="false">IF(_LEITURA!$N916="","",INDEX(_LEITURA!$K$2:$K$1201,_LEITURA!$N916))</f>
        <v/>
      </c>
      <c r="B916" s="11" t="str">
        <f aca="false">IF(_LEITURA!$N916="","",INDEX(_LEITURA!$E$2:$E$1201,_LEITURA!$N916))</f>
        <v/>
      </c>
      <c r="C916" s="11" t="str">
        <f aca="false">IF(_LEITURA!$N916="","",INDEX(_LEITURA!$J$2:$J$1201,_LEITURA!$N916))</f>
        <v/>
      </c>
      <c r="D916" s="16" t="str">
        <f aca="false">IF(_LEITURA!$N916="","",INDEX(_LEITURA!$G$2:$G$1201,_LEITURA!$N916))</f>
        <v/>
      </c>
      <c r="E916" s="16" t="str">
        <f aca="false">IF(B916="","",SUMIFS(INVENTÁRIO!$C$2:$C$801,INVENTÁRIO!$A$2:$A$801,B916))</f>
        <v/>
      </c>
      <c r="F916" s="16" t="str">
        <f aca="false">IF(B916="","",MAX(0,D916-E916))</f>
        <v/>
      </c>
      <c r="G916" s="16" t="str">
        <f aca="false">IF(B916="","",IF(COUNTIFS($B$2:$B$1201,B916,$A$2:$A$1201,"&lt;&gt;"&amp;A916)&gt;0,"Sim",""))</f>
        <v/>
      </c>
      <c r="H916" s="16" t="str">
        <f aca="false">IF(N(F916)&gt;0,MAX(H$1:H915)+1,"")</f>
        <v/>
      </c>
      <c r="I916" s="11" t="str">
        <f aca="false">IF(B916="","",IF(INDEX($C$2:$C$1201,MATCH(B916,$B$2:$B$1201,0))&lt;&gt;C916,"Nome diferente em outro deck — revisar",""))</f>
        <v/>
      </c>
      <c r="J916" s="16" t="str">
        <f aca="false">IF(AND(B916&lt;&gt;"",A916=BULK!$A$1,N(F916)&gt;0),MAX(J$1:J915)+1,"")</f>
        <v/>
      </c>
      <c r="K916" s="11" t="str">
        <f aca="false">IF(B916="","",IFERROR(LEFT(B916,FIND("-",B916)-1),B916))</f>
        <v/>
      </c>
      <c r="L916" s="11" t="str">
        <f aca="false">IF(K916="","",IF(ISNUMBER(--MID(K916,1,1)),0,IF(ISNUMBER(--MID(K916,2,1)),1,IF(ISNUMBER(--MID(K916,3,1)),2,IF(ISNUMBER(--MID(K916,4,1)),3,MIN(LEN(K916),4))))))</f>
        <v/>
      </c>
      <c r="M916" s="11" t="str">
        <f aca="false">IF(B916="","",LEFT(K916,L916)&amp;REPT("0",4-L916)&amp;RIGHT("000"&amp;IFERROR(VALUE(MID(K916,L916+1,9)),0),3)&amp;RIGHT("0000"&amp;IFERROR(VALUE(MID(B916,FIND("-",B916)+1,9)),0),4))</f>
        <v/>
      </c>
      <c r="N916" s="11" t="str">
        <f aca="false">IF(OR(B916="",N(F916)&lt;=0),"",IF('FALTAS POR DECK'!$P$1="Código","K"&amp;M916&amp;RIGHT("00000"&amp;ROW(),5),IF('FALTAS POR DECK'!$P$1="Nome","K"&amp;UPPER(SUBSTITUTE(SUBSTITUTE(SUBSTITUTE(C916,"*",""),"?",""),"~",""))&amp;"0"&amp;M916&amp;RIGHT("00000"&amp;ROW(),5),IF('FALTAS POR DECK'!$P$1="Falta (maior primeiro)","K"&amp;RIGHT("0000"&amp;(9999-F916),4)&amp;M916&amp;RIGHT("00000"&amp;ROW(),5),IF('FALTAS POR DECK'!$P$1="Deck e código","K"&amp;RIGHT("00"&amp;IFERROR(MATCH(A916,_LEITURA!$P$2:$P$21,0),99),2)&amp;M916&amp;RIGHT("00000"&amp;ROW(),5),"K"&amp;RIGHT("00000"&amp;ROW(),5))))))</f>
        <v/>
      </c>
      <c r="O916" s="16" t="str">
        <f aca="false">IF(N916="","",COUNTIFS($N$2:$N$1201,"&lt;"&amp;N916,$F$2:$F$1201,"&gt;0")+1)</f>
        <v/>
      </c>
    </row>
    <row r="917" customFormat="false" ht="15" hidden="false" customHeight="false" outlineLevel="0" collapsed="false">
      <c r="A917" s="11" t="str">
        <f aca="false">IF(_LEITURA!$N917="","",INDEX(_LEITURA!$K$2:$K$1201,_LEITURA!$N917))</f>
        <v/>
      </c>
      <c r="B917" s="11" t="str">
        <f aca="false">IF(_LEITURA!$N917="","",INDEX(_LEITURA!$E$2:$E$1201,_LEITURA!$N917))</f>
        <v/>
      </c>
      <c r="C917" s="11" t="str">
        <f aca="false">IF(_LEITURA!$N917="","",INDEX(_LEITURA!$J$2:$J$1201,_LEITURA!$N917))</f>
        <v/>
      </c>
      <c r="D917" s="16" t="str">
        <f aca="false">IF(_LEITURA!$N917="","",INDEX(_LEITURA!$G$2:$G$1201,_LEITURA!$N917))</f>
        <v/>
      </c>
      <c r="E917" s="16" t="str">
        <f aca="false">IF(B917="","",SUMIFS(INVENTÁRIO!$C$2:$C$801,INVENTÁRIO!$A$2:$A$801,B917))</f>
        <v/>
      </c>
      <c r="F917" s="16" t="str">
        <f aca="false">IF(B917="","",MAX(0,D917-E917))</f>
        <v/>
      </c>
      <c r="G917" s="16" t="str">
        <f aca="false">IF(B917="","",IF(COUNTIFS($B$2:$B$1201,B917,$A$2:$A$1201,"&lt;&gt;"&amp;A917)&gt;0,"Sim",""))</f>
        <v/>
      </c>
      <c r="H917" s="16" t="str">
        <f aca="false">IF(N(F917)&gt;0,MAX(H$1:H916)+1,"")</f>
        <v/>
      </c>
      <c r="I917" s="11" t="str">
        <f aca="false">IF(B917="","",IF(INDEX($C$2:$C$1201,MATCH(B917,$B$2:$B$1201,0))&lt;&gt;C917,"Nome diferente em outro deck — revisar",""))</f>
        <v/>
      </c>
      <c r="J917" s="16" t="str">
        <f aca="false">IF(AND(B917&lt;&gt;"",A917=BULK!$A$1,N(F917)&gt;0),MAX(J$1:J916)+1,"")</f>
        <v/>
      </c>
      <c r="K917" s="11" t="str">
        <f aca="false">IF(B917="","",IFERROR(LEFT(B917,FIND("-",B917)-1),B917))</f>
        <v/>
      </c>
      <c r="L917" s="11" t="str">
        <f aca="false">IF(K917="","",IF(ISNUMBER(--MID(K917,1,1)),0,IF(ISNUMBER(--MID(K917,2,1)),1,IF(ISNUMBER(--MID(K917,3,1)),2,IF(ISNUMBER(--MID(K917,4,1)),3,MIN(LEN(K917),4))))))</f>
        <v/>
      </c>
      <c r="M917" s="11" t="str">
        <f aca="false">IF(B917="","",LEFT(K917,L917)&amp;REPT("0",4-L917)&amp;RIGHT("000"&amp;IFERROR(VALUE(MID(K917,L917+1,9)),0),3)&amp;RIGHT("0000"&amp;IFERROR(VALUE(MID(B917,FIND("-",B917)+1,9)),0),4))</f>
        <v/>
      </c>
      <c r="N917" s="11" t="str">
        <f aca="false">IF(OR(B917="",N(F917)&lt;=0),"",IF('FALTAS POR DECK'!$P$1="Código","K"&amp;M917&amp;RIGHT("00000"&amp;ROW(),5),IF('FALTAS POR DECK'!$P$1="Nome","K"&amp;UPPER(SUBSTITUTE(SUBSTITUTE(SUBSTITUTE(C917,"*",""),"?",""),"~",""))&amp;"0"&amp;M917&amp;RIGHT("00000"&amp;ROW(),5),IF('FALTAS POR DECK'!$P$1="Falta (maior primeiro)","K"&amp;RIGHT("0000"&amp;(9999-F917),4)&amp;M917&amp;RIGHT("00000"&amp;ROW(),5),IF('FALTAS POR DECK'!$P$1="Deck e código","K"&amp;RIGHT("00"&amp;IFERROR(MATCH(A917,_LEITURA!$P$2:$P$21,0),99),2)&amp;M917&amp;RIGHT("00000"&amp;ROW(),5),"K"&amp;RIGHT("00000"&amp;ROW(),5))))))</f>
        <v/>
      </c>
      <c r="O917" s="16" t="str">
        <f aca="false">IF(N917="","",COUNTIFS($N$2:$N$1201,"&lt;"&amp;N917,$F$2:$F$1201,"&gt;0")+1)</f>
        <v/>
      </c>
    </row>
    <row r="918" customFormat="false" ht="15" hidden="false" customHeight="false" outlineLevel="0" collapsed="false">
      <c r="A918" s="11" t="str">
        <f aca="false">IF(_LEITURA!$N918="","",INDEX(_LEITURA!$K$2:$K$1201,_LEITURA!$N918))</f>
        <v/>
      </c>
      <c r="B918" s="11" t="str">
        <f aca="false">IF(_LEITURA!$N918="","",INDEX(_LEITURA!$E$2:$E$1201,_LEITURA!$N918))</f>
        <v/>
      </c>
      <c r="C918" s="11" t="str">
        <f aca="false">IF(_LEITURA!$N918="","",INDEX(_LEITURA!$J$2:$J$1201,_LEITURA!$N918))</f>
        <v/>
      </c>
      <c r="D918" s="16" t="str">
        <f aca="false">IF(_LEITURA!$N918="","",INDEX(_LEITURA!$G$2:$G$1201,_LEITURA!$N918))</f>
        <v/>
      </c>
      <c r="E918" s="16" t="str">
        <f aca="false">IF(B918="","",SUMIFS(INVENTÁRIO!$C$2:$C$801,INVENTÁRIO!$A$2:$A$801,B918))</f>
        <v/>
      </c>
      <c r="F918" s="16" t="str">
        <f aca="false">IF(B918="","",MAX(0,D918-E918))</f>
        <v/>
      </c>
      <c r="G918" s="16" t="str">
        <f aca="false">IF(B918="","",IF(COUNTIFS($B$2:$B$1201,B918,$A$2:$A$1201,"&lt;&gt;"&amp;A918)&gt;0,"Sim",""))</f>
        <v/>
      </c>
      <c r="H918" s="16" t="str">
        <f aca="false">IF(N(F918)&gt;0,MAX(H$1:H917)+1,"")</f>
        <v/>
      </c>
      <c r="I918" s="11" t="str">
        <f aca="false">IF(B918="","",IF(INDEX($C$2:$C$1201,MATCH(B918,$B$2:$B$1201,0))&lt;&gt;C918,"Nome diferente em outro deck — revisar",""))</f>
        <v/>
      </c>
      <c r="J918" s="16" t="str">
        <f aca="false">IF(AND(B918&lt;&gt;"",A918=BULK!$A$1,N(F918)&gt;0),MAX(J$1:J917)+1,"")</f>
        <v/>
      </c>
      <c r="K918" s="11" t="str">
        <f aca="false">IF(B918="","",IFERROR(LEFT(B918,FIND("-",B918)-1),B918))</f>
        <v/>
      </c>
      <c r="L918" s="11" t="str">
        <f aca="false">IF(K918="","",IF(ISNUMBER(--MID(K918,1,1)),0,IF(ISNUMBER(--MID(K918,2,1)),1,IF(ISNUMBER(--MID(K918,3,1)),2,IF(ISNUMBER(--MID(K918,4,1)),3,MIN(LEN(K918),4))))))</f>
        <v/>
      </c>
      <c r="M918" s="11" t="str">
        <f aca="false">IF(B918="","",LEFT(K918,L918)&amp;REPT("0",4-L918)&amp;RIGHT("000"&amp;IFERROR(VALUE(MID(K918,L918+1,9)),0),3)&amp;RIGHT("0000"&amp;IFERROR(VALUE(MID(B918,FIND("-",B918)+1,9)),0),4))</f>
        <v/>
      </c>
      <c r="N918" s="11" t="str">
        <f aca="false">IF(OR(B918="",N(F918)&lt;=0),"",IF('FALTAS POR DECK'!$P$1="Código","K"&amp;M918&amp;RIGHT("00000"&amp;ROW(),5),IF('FALTAS POR DECK'!$P$1="Nome","K"&amp;UPPER(SUBSTITUTE(SUBSTITUTE(SUBSTITUTE(C918,"*",""),"?",""),"~",""))&amp;"0"&amp;M918&amp;RIGHT("00000"&amp;ROW(),5),IF('FALTAS POR DECK'!$P$1="Falta (maior primeiro)","K"&amp;RIGHT("0000"&amp;(9999-F918),4)&amp;M918&amp;RIGHT("00000"&amp;ROW(),5),IF('FALTAS POR DECK'!$P$1="Deck e código","K"&amp;RIGHT("00"&amp;IFERROR(MATCH(A918,_LEITURA!$P$2:$P$21,0),99),2)&amp;M918&amp;RIGHT("00000"&amp;ROW(),5),"K"&amp;RIGHT("00000"&amp;ROW(),5))))))</f>
        <v/>
      </c>
      <c r="O918" s="16" t="str">
        <f aca="false">IF(N918="","",COUNTIFS($N$2:$N$1201,"&lt;"&amp;N918,$F$2:$F$1201,"&gt;0")+1)</f>
        <v/>
      </c>
    </row>
    <row r="919" customFormat="false" ht="15" hidden="false" customHeight="false" outlineLevel="0" collapsed="false">
      <c r="A919" s="11" t="str">
        <f aca="false">IF(_LEITURA!$N919="","",INDEX(_LEITURA!$K$2:$K$1201,_LEITURA!$N919))</f>
        <v/>
      </c>
      <c r="B919" s="11" t="str">
        <f aca="false">IF(_LEITURA!$N919="","",INDEX(_LEITURA!$E$2:$E$1201,_LEITURA!$N919))</f>
        <v/>
      </c>
      <c r="C919" s="11" t="str">
        <f aca="false">IF(_LEITURA!$N919="","",INDEX(_LEITURA!$J$2:$J$1201,_LEITURA!$N919))</f>
        <v/>
      </c>
      <c r="D919" s="16" t="str">
        <f aca="false">IF(_LEITURA!$N919="","",INDEX(_LEITURA!$G$2:$G$1201,_LEITURA!$N919))</f>
        <v/>
      </c>
      <c r="E919" s="16" t="str">
        <f aca="false">IF(B919="","",SUMIFS(INVENTÁRIO!$C$2:$C$801,INVENTÁRIO!$A$2:$A$801,B919))</f>
        <v/>
      </c>
      <c r="F919" s="16" t="str">
        <f aca="false">IF(B919="","",MAX(0,D919-E919))</f>
        <v/>
      </c>
      <c r="G919" s="16" t="str">
        <f aca="false">IF(B919="","",IF(COUNTIFS($B$2:$B$1201,B919,$A$2:$A$1201,"&lt;&gt;"&amp;A919)&gt;0,"Sim",""))</f>
        <v/>
      </c>
      <c r="H919" s="16" t="str">
        <f aca="false">IF(N(F919)&gt;0,MAX(H$1:H918)+1,"")</f>
        <v/>
      </c>
      <c r="I919" s="11" t="str">
        <f aca="false">IF(B919="","",IF(INDEX($C$2:$C$1201,MATCH(B919,$B$2:$B$1201,0))&lt;&gt;C919,"Nome diferente em outro deck — revisar",""))</f>
        <v/>
      </c>
      <c r="J919" s="16" t="str">
        <f aca="false">IF(AND(B919&lt;&gt;"",A919=BULK!$A$1,N(F919)&gt;0),MAX(J$1:J918)+1,"")</f>
        <v/>
      </c>
      <c r="K919" s="11" t="str">
        <f aca="false">IF(B919="","",IFERROR(LEFT(B919,FIND("-",B919)-1),B919))</f>
        <v/>
      </c>
      <c r="L919" s="11" t="str">
        <f aca="false">IF(K919="","",IF(ISNUMBER(--MID(K919,1,1)),0,IF(ISNUMBER(--MID(K919,2,1)),1,IF(ISNUMBER(--MID(K919,3,1)),2,IF(ISNUMBER(--MID(K919,4,1)),3,MIN(LEN(K919),4))))))</f>
        <v/>
      </c>
      <c r="M919" s="11" t="str">
        <f aca="false">IF(B919="","",LEFT(K919,L919)&amp;REPT("0",4-L919)&amp;RIGHT("000"&amp;IFERROR(VALUE(MID(K919,L919+1,9)),0),3)&amp;RIGHT("0000"&amp;IFERROR(VALUE(MID(B919,FIND("-",B919)+1,9)),0),4))</f>
        <v/>
      </c>
      <c r="N919" s="11" t="str">
        <f aca="false">IF(OR(B919="",N(F919)&lt;=0),"",IF('FALTAS POR DECK'!$P$1="Código","K"&amp;M919&amp;RIGHT("00000"&amp;ROW(),5),IF('FALTAS POR DECK'!$P$1="Nome","K"&amp;UPPER(SUBSTITUTE(SUBSTITUTE(SUBSTITUTE(C919,"*",""),"?",""),"~",""))&amp;"0"&amp;M919&amp;RIGHT("00000"&amp;ROW(),5),IF('FALTAS POR DECK'!$P$1="Falta (maior primeiro)","K"&amp;RIGHT("0000"&amp;(9999-F919),4)&amp;M919&amp;RIGHT("00000"&amp;ROW(),5),IF('FALTAS POR DECK'!$P$1="Deck e código","K"&amp;RIGHT("00"&amp;IFERROR(MATCH(A919,_LEITURA!$P$2:$P$21,0),99),2)&amp;M919&amp;RIGHT("00000"&amp;ROW(),5),"K"&amp;RIGHT("00000"&amp;ROW(),5))))))</f>
        <v/>
      </c>
      <c r="O919" s="16" t="str">
        <f aca="false">IF(N919="","",COUNTIFS($N$2:$N$1201,"&lt;"&amp;N919,$F$2:$F$1201,"&gt;0")+1)</f>
        <v/>
      </c>
    </row>
    <row r="920" customFormat="false" ht="15" hidden="false" customHeight="false" outlineLevel="0" collapsed="false">
      <c r="A920" s="11" t="str">
        <f aca="false">IF(_LEITURA!$N920="","",INDEX(_LEITURA!$K$2:$K$1201,_LEITURA!$N920))</f>
        <v/>
      </c>
      <c r="B920" s="11" t="str">
        <f aca="false">IF(_LEITURA!$N920="","",INDEX(_LEITURA!$E$2:$E$1201,_LEITURA!$N920))</f>
        <v/>
      </c>
      <c r="C920" s="11" t="str">
        <f aca="false">IF(_LEITURA!$N920="","",INDEX(_LEITURA!$J$2:$J$1201,_LEITURA!$N920))</f>
        <v/>
      </c>
      <c r="D920" s="16" t="str">
        <f aca="false">IF(_LEITURA!$N920="","",INDEX(_LEITURA!$G$2:$G$1201,_LEITURA!$N920))</f>
        <v/>
      </c>
      <c r="E920" s="16" t="str">
        <f aca="false">IF(B920="","",SUMIFS(INVENTÁRIO!$C$2:$C$801,INVENTÁRIO!$A$2:$A$801,B920))</f>
        <v/>
      </c>
      <c r="F920" s="16" t="str">
        <f aca="false">IF(B920="","",MAX(0,D920-E920))</f>
        <v/>
      </c>
      <c r="G920" s="16" t="str">
        <f aca="false">IF(B920="","",IF(COUNTIFS($B$2:$B$1201,B920,$A$2:$A$1201,"&lt;&gt;"&amp;A920)&gt;0,"Sim",""))</f>
        <v/>
      </c>
      <c r="H920" s="16" t="str">
        <f aca="false">IF(N(F920)&gt;0,MAX(H$1:H919)+1,"")</f>
        <v/>
      </c>
      <c r="I920" s="11" t="str">
        <f aca="false">IF(B920="","",IF(INDEX($C$2:$C$1201,MATCH(B920,$B$2:$B$1201,0))&lt;&gt;C920,"Nome diferente em outro deck — revisar",""))</f>
        <v/>
      </c>
      <c r="J920" s="16" t="str">
        <f aca="false">IF(AND(B920&lt;&gt;"",A920=BULK!$A$1,N(F920)&gt;0),MAX(J$1:J919)+1,"")</f>
        <v/>
      </c>
      <c r="K920" s="11" t="str">
        <f aca="false">IF(B920="","",IFERROR(LEFT(B920,FIND("-",B920)-1),B920))</f>
        <v/>
      </c>
      <c r="L920" s="11" t="str">
        <f aca="false">IF(K920="","",IF(ISNUMBER(--MID(K920,1,1)),0,IF(ISNUMBER(--MID(K920,2,1)),1,IF(ISNUMBER(--MID(K920,3,1)),2,IF(ISNUMBER(--MID(K920,4,1)),3,MIN(LEN(K920),4))))))</f>
        <v/>
      </c>
      <c r="M920" s="11" t="str">
        <f aca="false">IF(B920="","",LEFT(K920,L920)&amp;REPT("0",4-L920)&amp;RIGHT("000"&amp;IFERROR(VALUE(MID(K920,L920+1,9)),0),3)&amp;RIGHT("0000"&amp;IFERROR(VALUE(MID(B920,FIND("-",B920)+1,9)),0),4))</f>
        <v/>
      </c>
      <c r="N920" s="11" t="str">
        <f aca="false">IF(OR(B920="",N(F920)&lt;=0),"",IF('FALTAS POR DECK'!$P$1="Código","K"&amp;M920&amp;RIGHT("00000"&amp;ROW(),5),IF('FALTAS POR DECK'!$P$1="Nome","K"&amp;UPPER(SUBSTITUTE(SUBSTITUTE(SUBSTITUTE(C920,"*",""),"?",""),"~",""))&amp;"0"&amp;M920&amp;RIGHT("00000"&amp;ROW(),5),IF('FALTAS POR DECK'!$P$1="Falta (maior primeiro)","K"&amp;RIGHT("0000"&amp;(9999-F920),4)&amp;M920&amp;RIGHT("00000"&amp;ROW(),5),IF('FALTAS POR DECK'!$P$1="Deck e código","K"&amp;RIGHT("00"&amp;IFERROR(MATCH(A920,_LEITURA!$P$2:$P$21,0),99),2)&amp;M920&amp;RIGHT("00000"&amp;ROW(),5),"K"&amp;RIGHT("00000"&amp;ROW(),5))))))</f>
        <v/>
      </c>
      <c r="O920" s="16" t="str">
        <f aca="false">IF(N920="","",COUNTIFS($N$2:$N$1201,"&lt;"&amp;N920,$F$2:$F$1201,"&gt;0")+1)</f>
        <v/>
      </c>
    </row>
    <row r="921" customFormat="false" ht="15" hidden="false" customHeight="false" outlineLevel="0" collapsed="false">
      <c r="A921" s="11" t="str">
        <f aca="false">IF(_LEITURA!$N921="","",INDEX(_LEITURA!$K$2:$K$1201,_LEITURA!$N921))</f>
        <v/>
      </c>
      <c r="B921" s="11" t="str">
        <f aca="false">IF(_LEITURA!$N921="","",INDEX(_LEITURA!$E$2:$E$1201,_LEITURA!$N921))</f>
        <v/>
      </c>
      <c r="C921" s="11" t="str">
        <f aca="false">IF(_LEITURA!$N921="","",INDEX(_LEITURA!$J$2:$J$1201,_LEITURA!$N921))</f>
        <v/>
      </c>
      <c r="D921" s="16" t="str">
        <f aca="false">IF(_LEITURA!$N921="","",INDEX(_LEITURA!$G$2:$G$1201,_LEITURA!$N921))</f>
        <v/>
      </c>
      <c r="E921" s="16" t="str">
        <f aca="false">IF(B921="","",SUMIFS(INVENTÁRIO!$C$2:$C$801,INVENTÁRIO!$A$2:$A$801,B921))</f>
        <v/>
      </c>
      <c r="F921" s="16" t="str">
        <f aca="false">IF(B921="","",MAX(0,D921-E921))</f>
        <v/>
      </c>
      <c r="G921" s="16" t="str">
        <f aca="false">IF(B921="","",IF(COUNTIFS($B$2:$B$1201,B921,$A$2:$A$1201,"&lt;&gt;"&amp;A921)&gt;0,"Sim",""))</f>
        <v/>
      </c>
      <c r="H921" s="16" t="str">
        <f aca="false">IF(N(F921)&gt;0,MAX(H$1:H920)+1,"")</f>
        <v/>
      </c>
      <c r="I921" s="11" t="str">
        <f aca="false">IF(B921="","",IF(INDEX($C$2:$C$1201,MATCH(B921,$B$2:$B$1201,0))&lt;&gt;C921,"Nome diferente em outro deck — revisar",""))</f>
        <v/>
      </c>
      <c r="J921" s="16" t="str">
        <f aca="false">IF(AND(B921&lt;&gt;"",A921=BULK!$A$1,N(F921)&gt;0),MAX(J$1:J920)+1,"")</f>
        <v/>
      </c>
      <c r="K921" s="11" t="str">
        <f aca="false">IF(B921="","",IFERROR(LEFT(B921,FIND("-",B921)-1),B921))</f>
        <v/>
      </c>
      <c r="L921" s="11" t="str">
        <f aca="false">IF(K921="","",IF(ISNUMBER(--MID(K921,1,1)),0,IF(ISNUMBER(--MID(K921,2,1)),1,IF(ISNUMBER(--MID(K921,3,1)),2,IF(ISNUMBER(--MID(K921,4,1)),3,MIN(LEN(K921),4))))))</f>
        <v/>
      </c>
      <c r="M921" s="11" t="str">
        <f aca="false">IF(B921="","",LEFT(K921,L921)&amp;REPT("0",4-L921)&amp;RIGHT("000"&amp;IFERROR(VALUE(MID(K921,L921+1,9)),0),3)&amp;RIGHT("0000"&amp;IFERROR(VALUE(MID(B921,FIND("-",B921)+1,9)),0),4))</f>
        <v/>
      </c>
      <c r="N921" s="11" t="str">
        <f aca="false">IF(OR(B921="",N(F921)&lt;=0),"",IF('FALTAS POR DECK'!$P$1="Código","K"&amp;M921&amp;RIGHT("00000"&amp;ROW(),5),IF('FALTAS POR DECK'!$P$1="Nome","K"&amp;UPPER(SUBSTITUTE(SUBSTITUTE(SUBSTITUTE(C921,"*",""),"?",""),"~",""))&amp;"0"&amp;M921&amp;RIGHT("00000"&amp;ROW(),5),IF('FALTAS POR DECK'!$P$1="Falta (maior primeiro)","K"&amp;RIGHT("0000"&amp;(9999-F921),4)&amp;M921&amp;RIGHT("00000"&amp;ROW(),5),IF('FALTAS POR DECK'!$P$1="Deck e código","K"&amp;RIGHT("00"&amp;IFERROR(MATCH(A921,_LEITURA!$P$2:$P$21,0),99),2)&amp;M921&amp;RIGHT("00000"&amp;ROW(),5),"K"&amp;RIGHT("00000"&amp;ROW(),5))))))</f>
        <v/>
      </c>
      <c r="O921" s="16" t="str">
        <f aca="false">IF(N921="","",COUNTIFS($N$2:$N$1201,"&lt;"&amp;N921,$F$2:$F$1201,"&gt;0")+1)</f>
        <v/>
      </c>
    </row>
    <row r="922" customFormat="false" ht="15" hidden="false" customHeight="false" outlineLevel="0" collapsed="false">
      <c r="A922" s="11" t="str">
        <f aca="false">IF(_LEITURA!$N922="","",INDEX(_LEITURA!$K$2:$K$1201,_LEITURA!$N922))</f>
        <v/>
      </c>
      <c r="B922" s="11" t="str">
        <f aca="false">IF(_LEITURA!$N922="","",INDEX(_LEITURA!$E$2:$E$1201,_LEITURA!$N922))</f>
        <v/>
      </c>
      <c r="C922" s="11" t="str">
        <f aca="false">IF(_LEITURA!$N922="","",INDEX(_LEITURA!$J$2:$J$1201,_LEITURA!$N922))</f>
        <v/>
      </c>
      <c r="D922" s="16" t="str">
        <f aca="false">IF(_LEITURA!$N922="","",INDEX(_LEITURA!$G$2:$G$1201,_LEITURA!$N922))</f>
        <v/>
      </c>
      <c r="E922" s="16" t="str">
        <f aca="false">IF(B922="","",SUMIFS(INVENTÁRIO!$C$2:$C$801,INVENTÁRIO!$A$2:$A$801,B922))</f>
        <v/>
      </c>
      <c r="F922" s="16" t="str">
        <f aca="false">IF(B922="","",MAX(0,D922-E922))</f>
        <v/>
      </c>
      <c r="G922" s="16" t="str">
        <f aca="false">IF(B922="","",IF(COUNTIFS($B$2:$B$1201,B922,$A$2:$A$1201,"&lt;&gt;"&amp;A922)&gt;0,"Sim",""))</f>
        <v/>
      </c>
      <c r="H922" s="16" t="str">
        <f aca="false">IF(N(F922)&gt;0,MAX(H$1:H921)+1,"")</f>
        <v/>
      </c>
      <c r="I922" s="11" t="str">
        <f aca="false">IF(B922="","",IF(INDEX($C$2:$C$1201,MATCH(B922,$B$2:$B$1201,0))&lt;&gt;C922,"Nome diferente em outro deck — revisar",""))</f>
        <v/>
      </c>
      <c r="J922" s="16" t="str">
        <f aca="false">IF(AND(B922&lt;&gt;"",A922=BULK!$A$1,N(F922)&gt;0),MAX(J$1:J921)+1,"")</f>
        <v/>
      </c>
      <c r="K922" s="11" t="str">
        <f aca="false">IF(B922="","",IFERROR(LEFT(B922,FIND("-",B922)-1),B922))</f>
        <v/>
      </c>
      <c r="L922" s="11" t="str">
        <f aca="false">IF(K922="","",IF(ISNUMBER(--MID(K922,1,1)),0,IF(ISNUMBER(--MID(K922,2,1)),1,IF(ISNUMBER(--MID(K922,3,1)),2,IF(ISNUMBER(--MID(K922,4,1)),3,MIN(LEN(K922),4))))))</f>
        <v/>
      </c>
      <c r="M922" s="11" t="str">
        <f aca="false">IF(B922="","",LEFT(K922,L922)&amp;REPT("0",4-L922)&amp;RIGHT("000"&amp;IFERROR(VALUE(MID(K922,L922+1,9)),0),3)&amp;RIGHT("0000"&amp;IFERROR(VALUE(MID(B922,FIND("-",B922)+1,9)),0),4))</f>
        <v/>
      </c>
      <c r="N922" s="11" t="str">
        <f aca="false">IF(OR(B922="",N(F922)&lt;=0),"",IF('FALTAS POR DECK'!$P$1="Código","K"&amp;M922&amp;RIGHT("00000"&amp;ROW(),5),IF('FALTAS POR DECK'!$P$1="Nome","K"&amp;UPPER(SUBSTITUTE(SUBSTITUTE(SUBSTITUTE(C922,"*",""),"?",""),"~",""))&amp;"0"&amp;M922&amp;RIGHT("00000"&amp;ROW(),5),IF('FALTAS POR DECK'!$P$1="Falta (maior primeiro)","K"&amp;RIGHT("0000"&amp;(9999-F922),4)&amp;M922&amp;RIGHT("00000"&amp;ROW(),5),IF('FALTAS POR DECK'!$P$1="Deck e código","K"&amp;RIGHT("00"&amp;IFERROR(MATCH(A922,_LEITURA!$P$2:$P$21,0),99),2)&amp;M922&amp;RIGHT("00000"&amp;ROW(),5),"K"&amp;RIGHT("00000"&amp;ROW(),5))))))</f>
        <v/>
      </c>
      <c r="O922" s="16" t="str">
        <f aca="false">IF(N922="","",COUNTIFS($N$2:$N$1201,"&lt;"&amp;N922,$F$2:$F$1201,"&gt;0")+1)</f>
        <v/>
      </c>
    </row>
    <row r="923" customFormat="false" ht="15" hidden="false" customHeight="false" outlineLevel="0" collapsed="false">
      <c r="A923" s="11" t="str">
        <f aca="false">IF(_LEITURA!$N923="","",INDEX(_LEITURA!$K$2:$K$1201,_LEITURA!$N923))</f>
        <v/>
      </c>
      <c r="B923" s="11" t="str">
        <f aca="false">IF(_LEITURA!$N923="","",INDEX(_LEITURA!$E$2:$E$1201,_LEITURA!$N923))</f>
        <v/>
      </c>
      <c r="C923" s="11" t="str">
        <f aca="false">IF(_LEITURA!$N923="","",INDEX(_LEITURA!$J$2:$J$1201,_LEITURA!$N923))</f>
        <v/>
      </c>
      <c r="D923" s="16" t="str">
        <f aca="false">IF(_LEITURA!$N923="","",INDEX(_LEITURA!$G$2:$G$1201,_LEITURA!$N923))</f>
        <v/>
      </c>
      <c r="E923" s="16" t="str">
        <f aca="false">IF(B923="","",SUMIFS(INVENTÁRIO!$C$2:$C$801,INVENTÁRIO!$A$2:$A$801,B923))</f>
        <v/>
      </c>
      <c r="F923" s="16" t="str">
        <f aca="false">IF(B923="","",MAX(0,D923-E923))</f>
        <v/>
      </c>
      <c r="G923" s="16" t="str">
        <f aca="false">IF(B923="","",IF(COUNTIFS($B$2:$B$1201,B923,$A$2:$A$1201,"&lt;&gt;"&amp;A923)&gt;0,"Sim",""))</f>
        <v/>
      </c>
      <c r="H923" s="16" t="str">
        <f aca="false">IF(N(F923)&gt;0,MAX(H$1:H922)+1,"")</f>
        <v/>
      </c>
      <c r="I923" s="11" t="str">
        <f aca="false">IF(B923="","",IF(INDEX($C$2:$C$1201,MATCH(B923,$B$2:$B$1201,0))&lt;&gt;C923,"Nome diferente em outro deck — revisar",""))</f>
        <v/>
      </c>
      <c r="J923" s="16" t="str">
        <f aca="false">IF(AND(B923&lt;&gt;"",A923=BULK!$A$1,N(F923)&gt;0),MAX(J$1:J922)+1,"")</f>
        <v/>
      </c>
      <c r="K923" s="11" t="str">
        <f aca="false">IF(B923="","",IFERROR(LEFT(B923,FIND("-",B923)-1),B923))</f>
        <v/>
      </c>
      <c r="L923" s="11" t="str">
        <f aca="false">IF(K923="","",IF(ISNUMBER(--MID(K923,1,1)),0,IF(ISNUMBER(--MID(K923,2,1)),1,IF(ISNUMBER(--MID(K923,3,1)),2,IF(ISNUMBER(--MID(K923,4,1)),3,MIN(LEN(K923),4))))))</f>
        <v/>
      </c>
      <c r="M923" s="11" t="str">
        <f aca="false">IF(B923="","",LEFT(K923,L923)&amp;REPT("0",4-L923)&amp;RIGHT("000"&amp;IFERROR(VALUE(MID(K923,L923+1,9)),0),3)&amp;RIGHT("0000"&amp;IFERROR(VALUE(MID(B923,FIND("-",B923)+1,9)),0),4))</f>
        <v/>
      </c>
      <c r="N923" s="11" t="str">
        <f aca="false">IF(OR(B923="",N(F923)&lt;=0),"",IF('FALTAS POR DECK'!$P$1="Código","K"&amp;M923&amp;RIGHT("00000"&amp;ROW(),5),IF('FALTAS POR DECK'!$P$1="Nome","K"&amp;UPPER(SUBSTITUTE(SUBSTITUTE(SUBSTITUTE(C923,"*",""),"?",""),"~",""))&amp;"0"&amp;M923&amp;RIGHT("00000"&amp;ROW(),5),IF('FALTAS POR DECK'!$P$1="Falta (maior primeiro)","K"&amp;RIGHT("0000"&amp;(9999-F923),4)&amp;M923&amp;RIGHT("00000"&amp;ROW(),5),IF('FALTAS POR DECK'!$P$1="Deck e código","K"&amp;RIGHT("00"&amp;IFERROR(MATCH(A923,_LEITURA!$P$2:$P$21,0),99),2)&amp;M923&amp;RIGHT("00000"&amp;ROW(),5),"K"&amp;RIGHT("00000"&amp;ROW(),5))))))</f>
        <v/>
      </c>
      <c r="O923" s="16" t="str">
        <f aca="false">IF(N923="","",COUNTIFS($N$2:$N$1201,"&lt;"&amp;N923,$F$2:$F$1201,"&gt;0")+1)</f>
        <v/>
      </c>
    </row>
    <row r="924" customFormat="false" ht="15" hidden="false" customHeight="false" outlineLevel="0" collapsed="false">
      <c r="A924" s="11" t="str">
        <f aca="false">IF(_LEITURA!$N924="","",INDEX(_LEITURA!$K$2:$K$1201,_LEITURA!$N924))</f>
        <v/>
      </c>
      <c r="B924" s="11" t="str">
        <f aca="false">IF(_LEITURA!$N924="","",INDEX(_LEITURA!$E$2:$E$1201,_LEITURA!$N924))</f>
        <v/>
      </c>
      <c r="C924" s="11" t="str">
        <f aca="false">IF(_LEITURA!$N924="","",INDEX(_LEITURA!$J$2:$J$1201,_LEITURA!$N924))</f>
        <v/>
      </c>
      <c r="D924" s="16" t="str">
        <f aca="false">IF(_LEITURA!$N924="","",INDEX(_LEITURA!$G$2:$G$1201,_LEITURA!$N924))</f>
        <v/>
      </c>
      <c r="E924" s="16" t="str">
        <f aca="false">IF(B924="","",SUMIFS(INVENTÁRIO!$C$2:$C$801,INVENTÁRIO!$A$2:$A$801,B924))</f>
        <v/>
      </c>
      <c r="F924" s="16" t="str">
        <f aca="false">IF(B924="","",MAX(0,D924-E924))</f>
        <v/>
      </c>
      <c r="G924" s="16" t="str">
        <f aca="false">IF(B924="","",IF(COUNTIFS($B$2:$B$1201,B924,$A$2:$A$1201,"&lt;&gt;"&amp;A924)&gt;0,"Sim",""))</f>
        <v/>
      </c>
      <c r="H924" s="16" t="str">
        <f aca="false">IF(N(F924)&gt;0,MAX(H$1:H923)+1,"")</f>
        <v/>
      </c>
      <c r="I924" s="11" t="str">
        <f aca="false">IF(B924="","",IF(INDEX($C$2:$C$1201,MATCH(B924,$B$2:$B$1201,0))&lt;&gt;C924,"Nome diferente em outro deck — revisar",""))</f>
        <v/>
      </c>
      <c r="J924" s="16" t="str">
        <f aca="false">IF(AND(B924&lt;&gt;"",A924=BULK!$A$1,N(F924)&gt;0),MAX(J$1:J923)+1,"")</f>
        <v/>
      </c>
      <c r="K924" s="11" t="str">
        <f aca="false">IF(B924="","",IFERROR(LEFT(B924,FIND("-",B924)-1),B924))</f>
        <v/>
      </c>
      <c r="L924" s="11" t="str">
        <f aca="false">IF(K924="","",IF(ISNUMBER(--MID(K924,1,1)),0,IF(ISNUMBER(--MID(K924,2,1)),1,IF(ISNUMBER(--MID(K924,3,1)),2,IF(ISNUMBER(--MID(K924,4,1)),3,MIN(LEN(K924),4))))))</f>
        <v/>
      </c>
      <c r="M924" s="11" t="str">
        <f aca="false">IF(B924="","",LEFT(K924,L924)&amp;REPT("0",4-L924)&amp;RIGHT("000"&amp;IFERROR(VALUE(MID(K924,L924+1,9)),0),3)&amp;RIGHT("0000"&amp;IFERROR(VALUE(MID(B924,FIND("-",B924)+1,9)),0),4))</f>
        <v/>
      </c>
      <c r="N924" s="11" t="str">
        <f aca="false">IF(OR(B924="",N(F924)&lt;=0),"",IF('FALTAS POR DECK'!$P$1="Código","K"&amp;M924&amp;RIGHT("00000"&amp;ROW(),5),IF('FALTAS POR DECK'!$P$1="Nome","K"&amp;UPPER(SUBSTITUTE(SUBSTITUTE(SUBSTITUTE(C924,"*",""),"?",""),"~",""))&amp;"0"&amp;M924&amp;RIGHT("00000"&amp;ROW(),5),IF('FALTAS POR DECK'!$P$1="Falta (maior primeiro)","K"&amp;RIGHT("0000"&amp;(9999-F924),4)&amp;M924&amp;RIGHT("00000"&amp;ROW(),5),IF('FALTAS POR DECK'!$P$1="Deck e código","K"&amp;RIGHT("00"&amp;IFERROR(MATCH(A924,_LEITURA!$P$2:$P$21,0),99),2)&amp;M924&amp;RIGHT("00000"&amp;ROW(),5),"K"&amp;RIGHT("00000"&amp;ROW(),5))))))</f>
        <v/>
      </c>
      <c r="O924" s="16" t="str">
        <f aca="false">IF(N924="","",COUNTIFS($N$2:$N$1201,"&lt;"&amp;N924,$F$2:$F$1201,"&gt;0")+1)</f>
        <v/>
      </c>
    </row>
    <row r="925" customFormat="false" ht="15" hidden="false" customHeight="false" outlineLevel="0" collapsed="false">
      <c r="A925" s="11" t="str">
        <f aca="false">IF(_LEITURA!$N925="","",INDEX(_LEITURA!$K$2:$K$1201,_LEITURA!$N925))</f>
        <v/>
      </c>
      <c r="B925" s="11" t="str">
        <f aca="false">IF(_LEITURA!$N925="","",INDEX(_LEITURA!$E$2:$E$1201,_LEITURA!$N925))</f>
        <v/>
      </c>
      <c r="C925" s="11" t="str">
        <f aca="false">IF(_LEITURA!$N925="","",INDEX(_LEITURA!$J$2:$J$1201,_LEITURA!$N925))</f>
        <v/>
      </c>
      <c r="D925" s="16" t="str">
        <f aca="false">IF(_LEITURA!$N925="","",INDEX(_LEITURA!$G$2:$G$1201,_LEITURA!$N925))</f>
        <v/>
      </c>
      <c r="E925" s="16" t="str">
        <f aca="false">IF(B925="","",SUMIFS(INVENTÁRIO!$C$2:$C$801,INVENTÁRIO!$A$2:$A$801,B925))</f>
        <v/>
      </c>
      <c r="F925" s="16" t="str">
        <f aca="false">IF(B925="","",MAX(0,D925-E925))</f>
        <v/>
      </c>
      <c r="G925" s="16" t="str">
        <f aca="false">IF(B925="","",IF(COUNTIFS($B$2:$B$1201,B925,$A$2:$A$1201,"&lt;&gt;"&amp;A925)&gt;0,"Sim",""))</f>
        <v/>
      </c>
      <c r="H925" s="16" t="str">
        <f aca="false">IF(N(F925)&gt;0,MAX(H$1:H924)+1,"")</f>
        <v/>
      </c>
      <c r="I925" s="11" t="str">
        <f aca="false">IF(B925="","",IF(INDEX($C$2:$C$1201,MATCH(B925,$B$2:$B$1201,0))&lt;&gt;C925,"Nome diferente em outro deck — revisar",""))</f>
        <v/>
      </c>
      <c r="J925" s="16" t="str">
        <f aca="false">IF(AND(B925&lt;&gt;"",A925=BULK!$A$1,N(F925)&gt;0),MAX(J$1:J924)+1,"")</f>
        <v/>
      </c>
      <c r="K925" s="11" t="str">
        <f aca="false">IF(B925="","",IFERROR(LEFT(B925,FIND("-",B925)-1),B925))</f>
        <v/>
      </c>
      <c r="L925" s="11" t="str">
        <f aca="false">IF(K925="","",IF(ISNUMBER(--MID(K925,1,1)),0,IF(ISNUMBER(--MID(K925,2,1)),1,IF(ISNUMBER(--MID(K925,3,1)),2,IF(ISNUMBER(--MID(K925,4,1)),3,MIN(LEN(K925),4))))))</f>
        <v/>
      </c>
      <c r="M925" s="11" t="str">
        <f aca="false">IF(B925="","",LEFT(K925,L925)&amp;REPT("0",4-L925)&amp;RIGHT("000"&amp;IFERROR(VALUE(MID(K925,L925+1,9)),0),3)&amp;RIGHT("0000"&amp;IFERROR(VALUE(MID(B925,FIND("-",B925)+1,9)),0),4))</f>
        <v/>
      </c>
      <c r="N925" s="11" t="str">
        <f aca="false">IF(OR(B925="",N(F925)&lt;=0),"",IF('FALTAS POR DECK'!$P$1="Código","K"&amp;M925&amp;RIGHT("00000"&amp;ROW(),5),IF('FALTAS POR DECK'!$P$1="Nome","K"&amp;UPPER(SUBSTITUTE(SUBSTITUTE(SUBSTITUTE(C925,"*",""),"?",""),"~",""))&amp;"0"&amp;M925&amp;RIGHT("00000"&amp;ROW(),5),IF('FALTAS POR DECK'!$P$1="Falta (maior primeiro)","K"&amp;RIGHT("0000"&amp;(9999-F925),4)&amp;M925&amp;RIGHT("00000"&amp;ROW(),5),IF('FALTAS POR DECK'!$P$1="Deck e código","K"&amp;RIGHT("00"&amp;IFERROR(MATCH(A925,_LEITURA!$P$2:$P$21,0),99),2)&amp;M925&amp;RIGHT("00000"&amp;ROW(),5),"K"&amp;RIGHT("00000"&amp;ROW(),5))))))</f>
        <v/>
      </c>
      <c r="O925" s="16" t="str">
        <f aca="false">IF(N925="","",COUNTIFS($N$2:$N$1201,"&lt;"&amp;N925,$F$2:$F$1201,"&gt;0")+1)</f>
        <v/>
      </c>
    </row>
    <row r="926" customFormat="false" ht="15" hidden="false" customHeight="false" outlineLevel="0" collapsed="false">
      <c r="A926" s="11" t="str">
        <f aca="false">IF(_LEITURA!$N926="","",INDEX(_LEITURA!$K$2:$K$1201,_LEITURA!$N926))</f>
        <v/>
      </c>
      <c r="B926" s="11" t="str">
        <f aca="false">IF(_LEITURA!$N926="","",INDEX(_LEITURA!$E$2:$E$1201,_LEITURA!$N926))</f>
        <v/>
      </c>
      <c r="C926" s="11" t="str">
        <f aca="false">IF(_LEITURA!$N926="","",INDEX(_LEITURA!$J$2:$J$1201,_LEITURA!$N926))</f>
        <v/>
      </c>
      <c r="D926" s="16" t="str">
        <f aca="false">IF(_LEITURA!$N926="","",INDEX(_LEITURA!$G$2:$G$1201,_LEITURA!$N926))</f>
        <v/>
      </c>
      <c r="E926" s="16" t="str">
        <f aca="false">IF(B926="","",SUMIFS(INVENTÁRIO!$C$2:$C$801,INVENTÁRIO!$A$2:$A$801,B926))</f>
        <v/>
      </c>
      <c r="F926" s="16" t="str">
        <f aca="false">IF(B926="","",MAX(0,D926-E926))</f>
        <v/>
      </c>
      <c r="G926" s="16" t="str">
        <f aca="false">IF(B926="","",IF(COUNTIFS($B$2:$B$1201,B926,$A$2:$A$1201,"&lt;&gt;"&amp;A926)&gt;0,"Sim",""))</f>
        <v/>
      </c>
      <c r="H926" s="16" t="str">
        <f aca="false">IF(N(F926)&gt;0,MAX(H$1:H925)+1,"")</f>
        <v/>
      </c>
      <c r="I926" s="11" t="str">
        <f aca="false">IF(B926="","",IF(INDEX($C$2:$C$1201,MATCH(B926,$B$2:$B$1201,0))&lt;&gt;C926,"Nome diferente em outro deck — revisar",""))</f>
        <v/>
      </c>
      <c r="J926" s="16" t="str">
        <f aca="false">IF(AND(B926&lt;&gt;"",A926=BULK!$A$1,N(F926)&gt;0),MAX(J$1:J925)+1,"")</f>
        <v/>
      </c>
      <c r="K926" s="11" t="str">
        <f aca="false">IF(B926="","",IFERROR(LEFT(B926,FIND("-",B926)-1),B926))</f>
        <v/>
      </c>
      <c r="L926" s="11" t="str">
        <f aca="false">IF(K926="","",IF(ISNUMBER(--MID(K926,1,1)),0,IF(ISNUMBER(--MID(K926,2,1)),1,IF(ISNUMBER(--MID(K926,3,1)),2,IF(ISNUMBER(--MID(K926,4,1)),3,MIN(LEN(K926),4))))))</f>
        <v/>
      </c>
      <c r="M926" s="11" t="str">
        <f aca="false">IF(B926="","",LEFT(K926,L926)&amp;REPT("0",4-L926)&amp;RIGHT("000"&amp;IFERROR(VALUE(MID(K926,L926+1,9)),0),3)&amp;RIGHT("0000"&amp;IFERROR(VALUE(MID(B926,FIND("-",B926)+1,9)),0),4))</f>
        <v/>
      </c>
      <c r="N926" s="11" t="str">
        <f aca="false">IF(OR(B926="",N(F926)&lt;=0),"",IF('FALTAS POR DECK'!$P$1="Código","K"&amp;M926&amp;RIGHT("00000"&amp;ROW(),5),IF('FALTAS POR DECK'!$P$1="Nome","K"&amp;UPPER(SUBSTITUTE(SUBSTITUTE(SUBSTITUTE(C926,"*",""),"?",""),"~",""))&amp;"0"&amp;M926&amp;RIGHT("00000"&amp;ROW(),5),IF('FALTAS POR DECK'!$P$1="Falta (maior primeiro)","K"&amp;RIGHT("0000"&amp;(9999-F926),4)&amp;M926&amp;RIGHT("00000"&amp;ROW(),5),IF('FALTAS POR DECK'!$P$1="Deck e código","K"&amp;RIGHT("00"&amp;IFERROR(MATCH(A926,_LEITURA!$P$2:$P$21,0),99),2)&amp;M926&amp;RIGHT("00000"&amp;ROW(),5),"K"&amp;RIGHT("00000"&amp;ROW(),5))))))</f>
        <v/>
      </c>
      <c r="O926" s="16" t="str">
        <f aca="false">IF(N926="","",COUNTIFS($N$2:$N$1201,"&lt;"&amp;N926,$F$2:$F$1201,"&gt;0")+1)</f>
        <v/>
      </c>
    </row>
    <row r="927" customFormat="false" ht="15" hidden="false" customHeight="false" outlineLevel="0" collapsed="false">
      <c r="A927" s="11" t="str">
        <f aca="false">IF(_LEITURA!$N927="","",INDEX(_LEITURA!$K$2:$K$1201,_LEITURA!$N927))</f>
        <v/>
      </c>
      <c r="B927" s="11" t="str">
        <f aca="false">IF(_LEITURA!$N927="","",INDEX(_LEITURA!$E$2:$E$1201,_LEITURA!$N927))</f>
        <v/>
      </c>
      <c r="C927" s="11" t="str">
        <f aca="false">IF(_LEITURA!$N927="","",INDEX(_LEITURA!$J$2:$J$1201,_LEITURA!$N927))</f>
        <v/>
      </c>
      <c r="D927" s="16" t="str">
        <f aca="false">IF(_LEITURA!$N927="","",INDEX(_LEITURA!$G$2:$G$1201,_LEITURA!$N927))</f>
        <v/>
      </c>
      <c r="E927" s="16" t="str">
        <f aca="false">IF(B927="","",SUMIFS(INVENTÁRIO!$C$2:$C$801,INVENTÁRIO!$A$2:$A$801,B927))</f>
        <v/>
      </c>
      <c r="F927" s="16" t="str">
        <f aca="false">IF(B927="","",MAX(0,D927-E927))</f>
        <v/>
      </c>
      <c r="G927" s="16" t="str">
        <f aca="false">IF(B927="","",IF(COUNTIFS($B$2:$B$1201,B927,$A$2:$A$1201,"&lt;&gt;"&amp;A927)&gt;0,"Sim",""))</f>
        <v/>
      </c>
      <c r="H927" s="16" t="str">
        <f aca="false">IF(N(F927)&gt;0,MAX(H$1:H926)+1,"")</f>
        <v/>
      </c>
      <c r="I927" s="11" t="str">
        <f aca="false">IF(B927="","",IF(INDEX($C$2:$C$1201,MATCH(B927,$B$2:$B$1201,0))&lt;&gt;C927,"Nome diferente em outro deck — revisar",""))</f>
        <v/>
      </c>
      <c r="J927" s="16" t="str">
        <f aca="false">IF(AND(B927&lt;&gt;"",A927=BULK!$A$1,N(F927)&gt;0),MAX(J$1:J926)+1,"")</f>
        <v/>
      </c>
      <c r="K927" s="11" t="str">
        <f aca="false">IF(B927="","",IFERROR(LEFT(B927,FIND("-",B927)-1),B927))</f>
        <v/>
      </c>
      <c r="L927" s="11" t="str">
        <f aca="false">IF(K927="","",IF(ISNUMBER(--MID(K927,1,1)),0,IF(ISNUMBER(--MID(K927,2,1)),1,IF(ISNUMBER(--MID(K927,3,1)),2,IF(ISNUMBER(--MID(K927,4,1)),3,MIN(LEN(K927),4))))))</f>
        <v/>
      </c>
      <c r="M927" s="11" t="str">
        <f aca="false">IF(B927="","",LEFT(K927,L927)&amp;REPT("0",4-L927)&amp;RIGHT("000"&amp;IFERROR(VALUE(MID(K927,L927+1,9)),0),3)&amp;RIGHT("0000"&amp;IFERROR(VALUE(MID(B927,FIND("-",B927)+1,9)),0),4))</f>
        <v/>
      </c>
      <c r="N927" s="11" t="str">
        <f aca="false">IF(OR(B927="",N(F927)&lt;=0),"",IF('FALTAS POR DECK'!$P$1="Código","K"&amp;M927&amp;RIGHT("00000"&amp;ROW(),5),IF('FALTAS POR DECK'!$P$1="Nome","K"&amp;UPPER(SUBSTITUTE(SUBSTITUTE(SUBSTITUTE(C927,"*",""),"?",""),"~",""))&amp;"0"&amp;M927&amp;RIGHT("00000"&amp;ROW(),5),IF('FALTAS POR DECK'!$P$1="Falta (maior primeiro)","K"&amp;RIGHT("0000"&amp;(9999-F927),4)&amp;M927&amp;RIGHT("00000"&amp;ROW(),5),IF('FALTAS POR DECK'!$P$1="Deck e código","K"&amp;RIGHT("00"&amp;IFERROR(MATCH(A927,_LEITURA!$P$2:$P$21,0),99),2)&amp;M927&amp;RIGHT("00000"&amp;ROW(),5),"K"&amp;RIGHT("00000"&amp;ROW(),5))))))</f>
        <v/>
      </c>
      <c r="O927" s="16" t="str">
        <f aca="false">IF(N927="","",COUNTIFS($N$2:$N$1201,"&lt;"&amp;N927,$F$2:$F$1201,"&gt;0")+1)</f>
        <v/>
      </c>
    </row>
    <row r="928" customFormat="false" ht="15" hidden="false" customHeight="false" outlineLevel="0" collapsed="false">
      <c r="A928" s="11" t="str">
        <f aca="false">IF(_LEITURA!$N928="","",INDEX(_LEITURA!$K$2:$K$1201,_LEITURA!$N928))</f>
        <v/>
      </c>
      <c r="B928" s="11" t="str">
        <f aca="false">IF(_LEITURA!$N928="","",INDEX(_LEITURA!$E$2:$E$1201,_LEITURA!$N928))</f>
        <v/>
      </c>
      <c r="C928" s="11" t="str">
        <f aca="false">IF(_LEITURA!$N928="","",INDEX(_LEITURA!$J$2:$J$1201,_LEITURA!$N928))</f>
        <v/>
      </c>
      <c r="D928" s="16" t="str">
        <f aca="false">IF(_LEITURA!$N928="","",INDEX(_LEITURA!$G$2:$G$1201,_LEITURA!$N928))</f>
        <v/>
      </c>
      <c r="E928" s="16" t="str">
        <f aca="false">IF(B928="","",SUMIFS(INVENTÁRIO!$C$2:$C$801,INVENTÁRIO!$A$2:$A$801,B928))</f>
        <v/>
      </c>
      <c r="F928" s="16" t="str">
        <f aca="false">IF(B928="","",MAX(0,D928-E928))</f>
        <v/>
      </c>
      <c r="G928" s="16" t="str">
        <f aca="false">IF(B928="","",IF(COUNTIFS($B$2:$B$1201,B928,$A$2:$A$1201,"&lt;&gt;"&amp;A928)&gt;0,"Sim",""))</f>
        <v/>
      </c>
      <c r="H928" s="16" t="str">
        <f aca="false">IF(N(F928)&gt;0,MAX(H$1:H927)+1,"")</f>
        <v/>
      </c>
      <c r="I928" s="11" t="str">
        <f aca="false">IF(B928="","",IF(INDEX($C$2:$C$1201,MATCH(B928,$B$2:$B$1201,0))&lt;&gt;C928,"Nome diferente em outro deck — revisar",""))</f>
        <v/>
      </c>
      <c r="J928" s="16" t="str">
        <f aca="false">IF(AND(B928&lt;&gt;"",A928=BULK!$A$1,N(F928)&gt;0),MAX(J$1:J927)+1,"")</f>
        <v/>
      </c>
      <c r="K928" s="11" t="str">
        <f aca="false">IF(B928="","",IFERROR(LEFT(B928,FIND("-",B928)-1),B928))</f>
        <v/>
      </c>
      <c r="L928" s="11" t="str">
        <f aca="false">IF(K928="","",IF(ISNUMBER(--MID(K928,1,1)),0,IF(ISNUMBER(--MID(K928,2,1)),1,IF(ISNUMBER(--MID(K928,3,1)),2,IF(ISNUMBER(--MID(K928,4,1)),3,MIN(LEN(K928),4))))))</f>
        <v/>
      </c>
      <c r="M928" s="11" t="str">
        <f aca="false">IF(B928="","",LEFT(K928,L928)&amp;REPT("0",4-L928)&amp;RIGHT("000"&amp;IFERROR(VALUE(MID(K928,L928+1,9)),0),3)&amp;RIGHT("0000"&amp;IFERROR(VALUE(MID(B928,FIND("-",B928)+1,9)),0),4))</f>
        <v/>
      </c>
      <c r="N928" s="11" t="str">
        <f aca="false">IF(OR(B928="",N(F928)&lt;=0),"",IF('FALTAS POR DECK'!$P$1="Código","K"&amp;M928&amp;RIGHT("00000"&amp;ROW(),5),IF('FALTAS POR DECK'!$P$1="Nome","K"&amp;UPPER(SUBSTITUTE(SUBSTITUTE(SUBSTITUTE(C928,"*",""),"?",""),"~",""))&amp;"0"&amp;M928&amp;RIGHT("00000"&amp;ROW(),5),IF('FALTAS POR DECK'!$P$1="Falta (maior primeiro)","K"&amp;RIGHT("0000"&amp;(9999-F928),4)&amp;M928&amp;RIGHT("00000"&amp;ROW(),5),IF('FALTAS POR DECK'!$P$1="Deck e código","K"&amp;RIGHT("00"&amp;IFERROR(MATCH(A928,_LEITURA!$P$2:$P$21,0),99),2)&amp;M928&amp;RIGHT("00000"&amp;ROW(),5),"K"&amp;RIGHT("00000"&amp;ROW(),5))))))</f>
        <v/>
      </c>
      <c r="O928" s="16" t="str">
        <f aca="false">IF(N928="","",COUNTIFS($N$2:$N$1201,"&lt;"&amp;N928,$F$2:$F$1201,"&gt;0")+1)</f>
        <v/>
      </c>
    </row>
    <row r="929" customFormat="false" ht="15" hidden="false" customHeight="false" outlineLevel="0" collapsed="false">
      <c r="A929" s="11" t="str">
        <f aca="false">IF(_LEITURA!$N929="","",INDEX(_LEITURA!$K$2:$K$1201,_LEITURA!$N929))</f>
        <v/>
      </c>
      <c r="B929" s="11" t="str">
        <f aca="false">IF(_LEITURA!$N929="","",INDEX(_LEITURA!$E$2:$E$1201,_LEITURA!$N929))</f>
        <v/>
      </c>
      <c r="C929" s="11" t="str">
        <f aca="false">IF(_LEITURA!$N929="","",INDEX(_LEITURA!$J$2:$J$1201,_LEITURA!$N929))</f>
        <v/>
      </c>
      <c r="D929" s="16" t="str">
        <f aca="false">IF(_LEITURA!$N929="","",INDEX(_LEITURA!$G$2:$G$1201,_LEITURA!$N929))</f>
        <v/>
      </c>
      <c r="E929" s="16" t="str">
        <f aca="false">IF(B929="","",SUMIFS(INVENTÁRIO!$C$2:$C$801,INVENTÁRIO!$A$2:$A$801,B929))</f>
        <v/>
      </c>
      <c r="F929" s="16" t="str">
        <f aca="false">IF(B929="","",MAX(0,D929-E929))</f>
        <v/>
      </c>
      <c r="G929" s="16" t="str">
        <f aca="false">IF(B929="","",IF(COUNTIFS($B$2:$B$1201,B929,$A$2:$A$1201,"&lt;&gt;"&amp;A929)&gt;0,"Sim",""))</f>
        <v/>
      </c>
      <c r="H929" s="16" t="str">
        <f aca="false">IF(N(F929)&gt;0,MAX(H$1:H928)+1,"")</f>
        <v/>
      </c>
      <c r="I929" s="11" t="str">
        <f aca="false">IF(B929="","",IF(INDEX($C$2:$C$1201,MATCH(B929,$B$2:$B$1201,0))&lt;&gt;C929,"Nome diferente em outro deck — revisar",""))</f>
        <v/>
      </c>
      <c r="J929" s="16" t="str">
        <f aca="false">IF(AND(B929&lt;&gt;"",A929=BULK!$A$1,N(F929)&gt;0),MAX(J$1:J928)+1,"")</f>
        <v/>
      </c>
      <c r="K929" s="11" t="str">
        <f aca="false">IF(B929="","",IFERROR(LEFT(B929,FIND("-",B929)-1),B929))</f>
        <v/>
      </c>
      <c r="L929" s="11" t="str">
        <f aca="false">IF(K929="","",IF(ISNUMBER(--MID(K929,1,1)),0,IF(ISNUMBER(--MID(K929,2,1)),1,IF(ISNUMBER(--MID(K929,3,1)),2,IF(ISNUMBER(--MID(K929,4,1)),3,MIN(LEN(K929),4))))))</f>
        <v/>
      </c>
      <c r="M929" s="11" t="str">
        <f aca="false">IF(B929="","",LEFT(K929,L929)&amp;REPT("0",4-L929)&amp;RIGHT("000"&amp;IFERROR(VALUE(MID(K929,L929+1,9)),0),3)&amp;RIGHT("0000"&amp;IFERROR(VALUE(MID(B929,FIND("-",B929)+1,9)),0),4))</f>
        <v/>
      </c>
      <c r="N929" s="11" t="str">
        <f aca="false">IF(OR(B929="",N(F929)&lt;=0),"",IF('FALTAS POR DECK'!$P$1="Código","K"&amp;M929&amp;RIGHT("00000"&amp;ROW(),5),IF('FALTAS POR DECK'!$P$1="Nome","K"&amp;UPPER(SUBSTITUTE(SUBSTITUTE(SUBSTITUTE(C929,"*",""),"?",""),"~",""))&amp;"0"&amp;M929&amp;RIGHT("00000"&amp;ROW(),5),IF('FALTAS POR DECK'!$P$1="Falta (maior primeiro)","K"&amp;RIGHT("0000"&amp;(9999-F929),4)&amp;M929&amp;RIGHT("00000"&amp;ROW(),5),IF('FALTAS POR DECK'!$P$1="Deck e código","K"&amp;RIGHT("00"&amp;IFERROR(MATCH(A929,_LEITURA!$P$2:$P$21,0),99),2)&amp;M929&amp;RIGHT("00000"&amp;ROW(),5),"K"&amp;RIGHT("00000"&amp;ROW(),5))))))</f>
        <v/>
      </c>
      <c r="O929" s="16" t="str">
        <f aca="false">IF(N929="","",COUNTIFS($N$2:$N$1201,"&lt;"&amp;N929,$F$2:$F$1201,"&gt;0")+1)</f>
        <v/>
      </c>
    </row>
    <row r="930" customFormat="false" ht="15" hidden="false" customHeight="false" outlineLevel="0" collapsed="false">
      <c r="A930" s="11" t="str">
        <f aca="false">IF(_LEITURA!$N930="","",INDEX(_LEITURA!$K$2:$K$1201,_LEITURA!$N930))</f>
        <v/>
      </c>
      <c r="B930" s="11" t="str">
        <f aca="false">IF(_LEITURA!$N930="","",INDEX(_LEITURA!$E$2:$E$1201,_LEITURA!$N930))</f>
        <v/>
      </c>
      <c r="C930" s="11" t="str">
        <f aca="false">IF(_LEITURA!$N930="","",INDEX(_LEITURA!$J$2:$J$1201,_LEITURA!$N930))</f>
        <v/>
      </c>
      <c r="D930" s="16" t="str">
        <f aca="false">IF(_LEITURA!$N930="","",INDEX(_LEITURA!$G$2:$G$1201,_LEITURA!$N930))</f>
        <v/>
      </c>
      <c r="E930" s="16" t="str">
        <f aca="false">IF(B930="","",SUMIFS(INVENTÁRIO!$C$2:$C$801,INVENTÁRIO!$A$2:$A$801,B930))</f>
        <v/>
      </c>
      <c r="F930" s="16" t="str">
        <f aca="false">IF(B930="","",MAX(0,D930-E930))</f>
        <v/>
      </c>
      <c r="G930" s="16" t="str">
        <f aca="false">IF(B930="","",IF(COUNTIFS($B$2:$B$1201,B930,$A$2:$A$1201,"&lt;&gt;"&amp;A930)&gt;0,"Sim",""))</f>
        <v/>
      </c>
      <c r="H930" s="16" t="str">
        <f aca="false">IF(N(F930)&gt;0,MAX(H$1:H929)+1,"")</f>
        <v/>
      </c>
      <c r="I930" s="11" t="str">
        <f aca="false">IF(B930="","",IF(INDEX($C$2:$C$1201,MATCH(B930,$B$2:$B$1201,0))&lt;&gt;C930,"Nome diferente em outro deck — revisar",""))</f>
        <v/>
      </c>
      <c r="J930" s="16" t="str">
        <f aca="false">IF(AND(B930&lt;&gt;"",A930=BULK!$A$1,N(F930)&gt;0),MAX(J$1:J929)+1,"")</f>
        <v/>
      </c>
      <c r="K930" s="11" t="str">
        <f aca="false">IF(B930="","",IFERROR(LEFT(B930,FIND("-",B930)-1),B930))</f>
        <v/>
      </c>
      <c r="L930" s="11" t="str">
        <f aca="false">IF(K930="","",IF(ISNUMBER(--MID(K930,1,1)),0,IF(ISNUMBER(--MID(K930,2,1)),1,IF(ISNUMBER(--MID(K930,3,1)),2,IF(ISNUMBER(--MID(K930,4,1)),3,MIN(LEN(K930),4))))))</f>
        <v/>
      </c>
      <c r="M930" s="11" t="str">
        <f aca="false">IF(B930="","",LEFT(K930,L930)&amp;REPT("0",4-L930)&amp;RIGHT("000"&amp;IFERROR(VALUE(MID(K930,L930+1,9)),0),3)&amp;RIGHT("0000"&amp;IFERROR(VALUE(MID(B930,FIND("-",B930)+1,9)),0),4))</f>
        <v/>
      </c>
      <c r="N930" s="11" t="str">
        <f aca="false">IF(OR(B930="",N(F930)&lt;=0),"",IF('FALTAS POR DECK'!$P$1="Código","K"&amp;M930&amp;RIGHT("00000"&amp;ROW(),5),IF('FALTAS POR DECK'!$P$1="Nome","K"&amp;UPPER(SUBSTITUTE(SUBSTITUTE(SUBSTITUTE(C930,"*",""),"?",""),"~",""))&amp;"0"&amp;M930&amp;RIGHT("00000"&amp;ROW(),5),IF('FALTAS POR DECK'!$P$1="Falta (maior primeiro)","K"&amp;RIGHT("0000"&amp;(9999-F930),4)&amp;M930&amp;RIGHT("00000"&amp;ROW(),5),IF('FALTAS POR DECK'!$P$1="Deck e código","K"&amp;RIGHT("00"&amp;IFERROR(MATCH(A930,_LEITURA!$P$2:$P$21,0),99),2)&amp;M930&amp;RIGHT("00000"&amp;ROW(),5),"K"&amp;RIGHT("00000"&amp;ROW(),5))))))</f>
        <v/>
      </c>
      <c r="O930" s="16" t="str">
        <f aca="false">IF(N930="","",COUNTIFS($N$2:$N$1201,"&lt;"&amp;N930,$F$2:$F$1201,"&gt;0")+1)</f>
        <v/>
      </c>
    </row>
    <row r="931" customFormat="false" ht="15" hidden="false" customHeight="false" outlineLevel="0" collapsed="false">
      <c r="A931" s="11" t="str">
        <f aca="false">IF(_LEITURA!$N931="","",INDEX(_LEITURA!$K$2:$K$1201,_LEITURA!$N931))</f>
        <v/>
      </c>
      <c r="B931" s="11" t="str">
        <f aca="false">IF(_LEITURA!$N931="","",INDEX(_LEITURA!$E$2:$E$1201,_LEITURA!$N931))</f>
        <v/>
      </c>
      <c r="C931" s="11" t="str">
        <f aca="false">IF(_LEITURA!$N931="","",INDEX(_LEITURA!$J$2:$J$1201,_LEITURA!$N931))</f>
        <v/>
      </c>
      <c r="D931" s="16" t="str">
        <f aca="false">IF(_LEITURA!$N931="","",INDEX(_LEITURA!$G$2:$G$1201,_LEITURA!$N931))</f>
        <v/>
      </c>
      <c r="E931" s="16" t="str">
        <f aca="false">IF(B931="","",SUMIFS(INVENTÁRIO!$C$2:$C$801,INVENTÁRIO!$A$2:$A$801,B931))</f>
        <v/>
      </c>
      <c r="F931" s="16" t="str">
        <f aca="false">IF(B931="","",MAX(0,D931-E931))</f>
        <v/>
      </c>
      <c r="G931" s="16" t="str">
        <f aca="false">IF(B931="","",IF(COUNTIFS($B$2:$B$1201,B931,$A$2:$A$1201,"&lt;&gt;"&amp;A931)&gt;0,"Sim",""))</f>
        <v/>
      </c>
      <c r="H931" s="16" t="str">
        <f aca="false">IF(N(F931)&gt;0,MAX(H$1:H930)+1,"")</f>
        <v/>
      </c>
      <c r="I931" s="11" t="str">
        <f aca="false">IF(B931="","",IF(INDEX($C$2:$C$1201,MATCH(B931,$B$2:$B$1201,0))&lt;&gt;C931,"Nome diferente em outro deck — revisar",""))</f>
        <v/>
      </c>
      <c r="J931" s="16" t="str">
        <f aca="false">IF(AND(B931&lt;&gt;"",A931=BULK!$A$1,N(F931)&gt;0),MAX(J$1:J930)+1,"")</f>
        <v/>
      </c>
      <c r="K931" s="11" t="str">
        <f aca="false">IF(B931="","",IFERROR(LEFT(B931,FIND("-",B931)-1),B931))</f>
        <v/>
      </c>
      <c r="L931" s="11" t="str">
        <f aca="false">IF(K931="","",IF(ISNUMBER(--MID(K931,1,1)),0,IF(ISNUMBER(--MID(K931,2,1)),1,IF(ISNUMBER(--MID(K931,3,1)),2,IF(ISNUMBER(--MID(K931,4,1)),3,MIN(LEN(K931),4))))))</f>
        <v/>
      </c>
      <c r="M931" s="11" t="str">
        <f aca="false">IF(B931="","",LEFT(K931,L931)&amp;REPT("0",4-L931)&amp;RIGHT("000"&amp;IFERROR(VALUE(MID(K931,L931+1,9)),0),3)&amp;RIGHT("0000"&amp;IFERROR(VALUE(MID(B931,FIND("-",B931)+1,9)),0),4))</f>
        <v/>
      </c>
      <c r="N931" s="11" t="str">
        <f aca="false">IF(OR(B931="",N(F931)&lt;=0),"",IF('FALTAS POR DECK'!$P$1="Código","K"&amp;M931&amp;RIGHT("00000"&amp;ROW(),5),IF('FALTAS POR DECK'!$P$1="Nome","K"&amp;UPPER(SUBSTITUTE(SUBSTITUTE(SUBSTITUTE(C931,"*",""),"?",""),"~",""))&amp;"0"&amp;M931&amp;RIGHT("00000"&amp;ROW(),5),IF('FALTAS POR DECK'!$P$1="Falta (maior primeiro)","K"&amp;RIGHT("0000"&amp;(9999-F931),4)&amp;M931&amp;RIGHT("00000"&amp;ROW(),5),IF('FALTAS POR DECK'!$P$1="Deck e código","K"&amp;RIGHT("00"&amp;IFERROR(MATCH(A931,_LEITURA!$P$2:$P$21,0),99),2)&amp;M931&amp;RIGHT("00000"&amp;ROW(),5),"K"&amp;RIGHT("00000"&amp;ROW(),5))))))</f>
        <v/>
      </c>
      <c r="O931" s="16" t="str">
        <f aca="false">IF(N931="","",COUNTIFS($N$2:$N$1201,"&lt;"&amp;N931,$F$2:$F$1201,"&gt;0")+1)</f>
        <v/>
      </c>
    </row>
    <row r="932" customFormat="false" ht="15" hidden="false" customHeight="false" outlineLevel="0" collapsed="false">
      <c r="A932" s="11" t="str">
        <f aca="false">IF(_LEITURA!$N932="","",INDEX(_LEITURA!$K$2:$K$1201,_LEITURA!$N932))</f>
        <v/>
      </c>
      <c r="B932" s="11" t="str">
        <f aca="false">IF(_LEITURA!$N932="","",INDEX(_LEITURA!$E$2:$E$1201,_LEITURA!$N932))</f>
        <v/>
      </c>
      <c r="C932" s="11" t="str">
        <f aca="false">IF(_LEITURA!$N932="","",INDEX(_LEITURA!$J$2:$J$1201,_LEITURA!$N932))</f>
        <v/>
      </c>
      <c r="D932" s="16" t="str">
        <f aca="false">IF(_LEITURA!$N932="","",INDEX(_LEITURA!$G$2:$G$1201,_LEITURA!$N932))</f>
        <v/>
      </c>
      <c r="E932" s="16" t="str">
        <f aca="false">IF(B932="","",SUMIFS(INVENTÁRIO!$C$2:$C$801,INVENTÁRIO!$A$2:$A$801,B932))</f>
        <v/>
      </c>
      <c r="F932" s="16" t="str">
        <f aca="false">IF(B932="","",MAX(0,D932-E932))</f>
        <v/>
      </c>
      <c r="G932" s="16" t="str">
        <f aca="false">IF(B932="","",IF(COUNTIFS($B$2:$B$1201,B932,$A$2:$A$1201,"&lt;&gt;"&amp;A932)&gt;0,"Sim",""))</f>
        <v/>
      </c>
      <c r="H932" s="16" t="str">
        <f aca="false">IF(N(F932)&gt;0,MAX(H$1:H931)+1,"")</f>
        <v/>
      </c>
      <c r="I932" s="11" t="str">
        <f aca="false">IF(B932="","",IF(INDEX($C$2:$C$1201,MATCH(B932,$B$2:$B$1201,0))&lt;&gt;C932,"Nome diferente em outro deck — revisar",""))</f>
        <v/>
      </c>
      <c r="J932" s="16" t="str">
        <f aca="false">IF(AND(B932&lt;&gt;"",A932=BULK!$A$1,N(F932)&gt;0),MAX(J$1:J931)+1,"")</f>
        <v/>
      </c>
      <c r="K932" s="11" t="str">
        <f aca="false">IF(B932="","",IFERROR(LEFT(B932,FIND("-",B932)-1),B932))</f>
        <v/>
      </c>
      <c r="L932" s="11" t="str">
        <f aca="false">IF(K932="","",IF(ISNUMBER(--MID(K932,1,1)),0,IF(ISNUMBER(--MID(K932,2,1)),1,IF(ISNUMBER(--MID(K932,3,1)),2,IF(ISNUMBER(--MID(K932,4,1)),3,MIN(LEN(K932),4))))))</f>
        <v/>
      </c>
      <c r="M932" s="11" t="str">
        <f aca="false">IF(B932="","",LEFT(K932,L932)&amp;REPT("0",4-L932)&amp;RIGHT("000"&amp;IFERROR(VALUE(MID(K932,L932+1,9)),0),3)&amp;RIGHT("0000"&amp;IFERROR(VALUE(MID(B932,FIND("-",B932)+1,9)),0),4))</f>
        <v/>
      </c>
      <c r="N932" s="11" t="str">
        <f aca="false">IF(OR(B932="",N(F932)&lt;=0),"",IF('FALTAS POR DECK'!$P$1="Código","K"&amp;M932&amp;RIGHT("00000"&amp;ROW(),5),IF('FALTAS POR DECK'!$P$1="Nome","K"&amp;UPPER(SUBSTITUTE(SUBSTITUTE(SUBSTITUTE(C932,"*",""),"?",""),"~",""))&amp;"0"&amp;M932&amp;RIGHT("00000"&amp;ROW(),5),IF('FALTAS POR DECK'!$P$1="Falta (maior primeiro)","K"&amp;RIGHT("0000"&amp;(9999-F932),4)&amp;M932&amp;RIGHT("00000"&amp;ROW(),5),IF('FALTAS POR DECK'!$P$1="Deck e código","K"&amp;RIGHT("00"&amp;IFERROR(MATCH(A932,_LEITURA!$P$2:$P$21,0),99),2)&amp;M932&amp;RIGHT("00000"&amp;ROW(),5),"K"&amp;RIGHT("00000"&amp;ROW(),5))))))</f>
        <v/>
      </c>
      <c r="O932" s="16" t="str">
        <f aca="false">IF(N932="","",COUNTIFS($N$2:$N$1201,"&lt;"&amp;N932,$F$2:$F$1201,"&gt;0")+1)</f>
        <v/>
      </c>
    </row>
    <row r="933" customFormat="false" ht="15" hidden="false" customHeight="false" outlineLevel="0" collapsed="false">
      <c r="A933" s="11" t="str">
        <f aca="false">IF(_LEITURA!$N933="","",INDEX(_LEITURA!$K$2:$K$1201,_LEITURA!$N933))</f>
        <v/>
      </c>
      <c r="B933" s="11" t="str">
        <f aca="false">IF(_LEITURA!$N933="","",INDEX(_LEITURA!$E$2:$E$1201,_LEITURA!$N933))</f>
        <v/>
      </c>
      <c r="C933" s="11" t="str">
        <f aca="false">IF(_LEITURA!$N933="","",INDEX(_LEITURA!$J$2:$J$1201,_LEITURA!$N933))</f>
        <v/>
      </c>
      <c r="D933" s="16" t="str">
        <f aca="false">IF(_LEITURA!$N933="","",INDEX(_LEITURA!$G$2:$G$1201,_LEITURA!$N933))</f>
        <v/>
      </c>
      <c r="E933" s="16" t="str">
        <f aca="false">IF(B933="","",SUMIFS(INVENTÁRIO!$C$2:$C$801,INVENTÁRIO!$A$2:$A$801,B933))</f>
        <v/>
      </c>
      <c r="F933" s="16" t="str">
        <f aca="false">IF(B933="","",MAX(0,D933-E933))</f>
        <v/>
      </c>
      <c r="G933" s="16" t="str">
        <f aca="false">IF(B933="","",IF(COUNTIFS($B$2:$B$1201,B933,$A$2:$A$1201,"&lt;&gt;"&amp;A933)&gt;0,"Sim",""))</f>
        <v/>
      </c>
      <c r="H933" s="16" t="str">
        <f aca="false">IF(N(F933)&gt;0,MAX(H$1:H932)+1,"")</f>
        <v/>
      </c>
      <c r="I933" s="11" t="str">
        <f aca="false">IF(B933="","",IF(INDEX($C$2:$C$1201,MATCH(B933,$B$2:$B$1201,0))&lt;&gt;C933,"Nome diferente em outro deck — revisar",""))</f>
        <v/>
      </c>
      <c r="J933" s="16" t="str">
        <f aca="false">IF(AND(B933&lt;&gt;"",A933=BULK!$A$1,N(F933)&gt;0),MAX(J$1:J932)+1,"")</f>
        <v/>
      </c>
      <c r="K933" s="11" t="str">
        <f aca="false">IF(B933="","",IFERROR(LEFT(B933,FIND("-",B933)-1),B933))</f>
        <v/>
      </c>
      <c r="L933" s="11" t="str">
        <f aca="false">IF(K933="","",IF(ISNUMBER(--MID(K933,1,1)),0,IF(ISNUMBER(--MID(K933,2,1)),1,IF(ISNUMBER(--MID(K933,3,1)),2,IF(ISNUMBER(--MID(K933,4,1)),3,MIN(LEN(K933),4))))))</f>
        <v/>
      </c>
      <c r="M933" s="11" t="str">
        <f aca="false">IF(B933="","",LEFT(K933,L933)&amp;REPT("0",4-L933)&amp;RIGHT("000"&amp;IFERROR(VALUE(MID(K933,L933+1,9)),0),3)&amp;RIGHT("0000"&amp;IFERROR(VALUE(MID(B933,FIND("-",B933)+1,9)),0),4))</f>
        <v/>
      </c>
      <c r="N933" s="11" t="str">
        <f aca="false">IF(OR(B933="",N(F933)&lt;=0),"",IF('FALTAS POR DECK'!$P$1="Código","K"&amp;M933&amp;RIGHT("00000"&amp;ROW(),5),IF('FALTAS POR DECK'!$P$1="Nome","K"&amp;UPPER(SUBSTITUTE(SUBSTITUTE(SUBSTITUTE(C933,"*",""),"?",""),"~",""))&amp;"0"&amp;M933&amp;RIGHT("00000"&amp;ROW(),5),IF('FALTAS POR DECK'!$P$1="Falta (maior primeiro)","K"&amp;RIGHT("0000"&amp;(9999-F933),4)&amp;M933&amp;RIGHT("00000"&amp;ROW(),5),IF('FALTAS POR DECK'!$P$1="Deck e código","K"&amp;RIGHT("00"&amp;IFERROR(MATCH(A933,_LEITURA!$P$2:$P$21,0),99),2)&amp;M933&amp;RIGHT("00000"&amp;ROW(),5),"K"&amp;RIGHT("00000"&amp;ROW(),5))))))</f>
        <v/>
      </c>
      <c r="O933" s="16" t="str">
        <f aca="false">IF(N933="","",COUNTIFS($N$2:$N$1201,"&lt;"&amp;N933,$F$2:$F$1201,"&gt;0")+1)</f>
        <v/>
      </c>
    </row>
    <row r="934" customFormat="false" ht="15" hidden="false" customHeight="false" outlineLevel="0" collapsed="false">
      <c r="A934" s="11" t="str">
        <f aca="false">IF(_LEITURA!$N934="","",INDEX(_LEITURA!$K$2:$K$1201,_LEITURA!$N934))</f>
        <v/>
      </c>
      <c r="B934" s="11" t="str">
        <f aca="false">IF(_LEITURA!$N934="","",INDEX(_LEITURA!$E$2:$E$1201,_LEITURA!$N934))</f>
        <v/>
      </c>
      <c r="C934" s="11" t="str">
        <f aca="false">IF(_LEITURA!$N934="","",INDEX(_LEITURA!$J$2:$J$1201,_LEITURA!$N934))</f>
        <v/>
      </c>
      <c r="D934" s="16" t="str">
        <f aca="false">IF(_LEITURA!$N934="","",INDEX(_LEITURA!$G$2:$G$1201,_LEITURA!$N934))</f>
        <v/>
      </c>
      <c r="E934" s="16" t="str">
        <f aca="false">IF(B934="","",SUMIFS(INVENTÁRIO!$C$2:$C$801,INVENTÁRIO!$A$2:$A$801,B934))</f>
        <v/>
      </c>
      <c r="F934" s="16" t="str">
        <f aca="false">IF(B934="","",MAX(0,D934-E934))</f>
        <v/>
      </c>
      <c r="G934" s="16" t="str">
        <f aca="false">IF(B934="","",IF(COUNTIFS($B$2:$B$1201,B934,$A$2:$A$1201,"&lt;&gt;"&amp;A934)&gt;0,"Sim",""))</f>
        <v/>
      </c>
      <c r="H934" s="16" t="str">
        <f aca="false">IF(N(F934)&gt;0,MAX(H$1:H933)+1,"")</f>
        <v/>
      </c>
      <c r="I934" s="11" t="str">
        <f aca="false">IF(B934="","",IF(INDEX($C$2:$C$1201,MATCH(B934,$B$2:$B$1201,0))&lt;&gt;C934,"Nome diferente em outro deck — revisar",""))</f>
        <v/>
      </c>
      <c r="J934" s="16" t="str">
        <f aca="false">IF(AND(B934&lt;&gt;"",A934=BULK!$A$1,N(F934)&gt;0),MAX(J$1:J933)+1,"")</f>
        <v/>
      </c>
      <c r="K934" s="11" t="str">
        <f aca="false">IF(B934="","",IFERROR(LEFT(B934,FIND("-",B934)-1),B934))</f>
        <v/>
      </c>
      <c r="L934" s="11" t="str">
        <f aca="false">IF(K934="","",IF(ISNUMBER(--MID(K934,1,1)),0,IF(ISNUMBER(--MID(K934,2,1)),1,IF(ISNUMBER(--MID(K934,3,1)),2,IF(ISNUMBER(--MID(K934,4,1)),3,MIN(LEN(K934),4))))))</f>
        <v/>
      </c>
      <c r="M934" s="11" t="str">
        <f aca="false">IF(B934="","",LEFT(K934,L934)&amp;REPT("0",4-L934)&amp;RIGHT("000"&amp;IFERROR(VALUE(MID(K934,L934+1,9)),0),3)&amp;RIGHT("0000"&amp;IFERROR(VALUE(MID(B934,FIND("-",B934)+1,9)),0),4))</f>
        <v/>
      </c>
      <c r="N934" s="11" t="str">
        <f aca="false">IF(OR(B934="",N(F934)&lt;=0),"",IF('FALTAS POR DECK'!$P$1="Código","K"&amp;M934&amp;RIGHT("00000"&amp;ROW(),5),IF('FALTAS POR DECK'!$P$1="Nome","K"&amp;UPPER(SUBSTITUTE(SUBSTITUTE(SUBSTITUTE(C934,"*",""),"?",""),"~",""))&amp;"0"&amp;M934&amp;RIGHT("00000"&amp;ROW(),5),IF('FALTAS POR DECK'!$P$1="Falta (maior primeiro)","K"&amp;RIGHT("0000"&amp;(9999-F934),4)&amp;M934&amp;RIGHT("00000"&amp;ROW(),5),IF('FALTAS POR DECK'!$P$1="Deck e código","K"&amp;RIGHT("00"&amp;IFERROR(MATCH(A934,_LEITURA!$P$2:$P$21,0),99),2)&amp;M934&amp;RIGHT("00000"&amp;ROW(),5),"K"&amp;RIGHT("00000"&amp;ROW(),5))))))</f>
        <v/>
      </c>
      <c r="O934" s="16" t="str">
        <f aca="false">IF(N934="","",COUNTIFS($N$2:$N$1201,"&lt;"&amp;N934,$F$2:$F$1201,"&gt;0")+1)</f>
        <v/>
      </c>
    </row>
    <row r="935" customFormat="false" ht="15" hidden="false" customHeight="false" outlineLevel="0" collapsed="false">
      <c r="A935" s="11" t="str">
        <f aca="false">IF(_LEITURA!$N935="","",INDEX(_LEITURA!$K$2:$K$1201,_LEITURA!$N935))</f>
        <v/>
      </c>
      <c r="B935" s="11" t="str">
        <f aca="false">IF(_LEITURA!$N935="","",INDEX(_LEITURA!$E$2:$E$1201,_LEITURA!$N935))</f>
        <v/>
      </c>
      <c r="C935" s="11" t="str">
        <f aca="false">IF(_LEITURA!$N935="","",INDEX(_LEITURA!$J$2:$J$1201,_LEITURA!$N935))</f>
        <v/>
      </c>
      <c r="D935" s="16" t="str">
        <f aca="false">IF(_LEITURA!$N935="","",INDEX(_LEITURA!$G$2:$G$1201,_LEITURA!$N935))</f>
        <v/>
      </c>
      <c r="E935" s="16" t="str">
        <f aca="false">IF(B935="","",SUMIFS(INVENTÁRIO!$C$2:$C$801,INVENTÁRIO!$A$2:$A$801,B935))</f>
        <v/>
      </c>
      <c r="F935" s="16" t="str">
        <f aca="false">IF(B935="","",MAX(0,D935-E935))</f>
        <v/>
      </c>
      <c r="G935" s="16" t="str">
        <f aca="false">IF(B935="","",IF(COUNTIFS($B$2:$B$1201,B935,$A$2:$A$1201,"&lt;&gt;"&amp;A935)&gt;0,"Sim",""))</f>
        <v/>
      </c>
      <c r="H935" s="16" t="str">
        <f aca="false">IF(N(F935)&gt;0,MAX(H$1:H934)+1,"")</f>
        <v/>
      </c>
      <c r="I935" s="11" t="str">
        <f aca="false">IF(B935="","",IF(INDEX($C$2:$C$1201,MATCH(B935,$B$2:$B$1201,0))&lt;&gt;C935,"Nome diferente em outro deck — revisar",""))</f>
        <v/>
      </c>
      <c r="J935" s="16" t="str">
        <f aca="false">IF(AND(B935&lt;&gt;"",A935=BULK!$A$1,N(F935)&gt;0),MAX(J$1:J934)+1,"")</f>
        <v/>
      </c>
      <c r="K935" s="11" t="str">
        <f aca="false">IF(B935="","",IFERROR(LEFT(B935,FIND("-",B935)-1),B935))</f>
        <v/>
      </c>
      <c r="L935" s="11" t="str">
        <f aca="false">IF(K935="","",IF(ISNUMBER(--MID(K935,1,1)),0,IF(ISNUMBER(--MID(K935,2,1)),1,IF(ISNUMBER(--MID(K935,3,1)),2,IF(ISNUMBER(--MID(K935,4,1)),3,MIN(LEN(K935),4))))))</f>
        <v/>
      </c>
      <c r="M935" s="11" t="str">
        <f aca="false">IF(B935="","",LEFT(K935,L935)&amp;REPT("0",4-L935)&amp;RIGHT("000"&amp;IFERROR(VALUE(MID(K935,L935+1,9)),0),3)&amp;RIGHT("0000"&amp;IFERROR(VALUE(MID(B935,FIND("-",B935)+1,9)),0),4))</f>
        <v/>
      </c>
      <c r="N935" s="11" t="str">
        <f aca="false">IF(OR(B935="",N(F935)&lt;=0),"",IF('FALTAS POR DECK'!$P$1="Código","K"&amp;M935&amp;RIGHT("00000"&amp;ROW(),5),IF('FALTAS POR DECK'!$P$1="Nome","K"&amp;UPPER(SUBSTITUTE(SUBSTITUTE(SUBSTITUTE(C935,"*",""),"?",""),"~",""))&amp;"0"&amp;M935&amp;RIGHT("00000"&amp;ROW(),5),IF('FALTAS POR DECK'!$P$1="Falta (maior primeiro)","K"&amp;RIGHT("0000"&amp;(9999-F935),4)&amp;M935&amp;RIGHT("00000"&amp;ROW(),5),IF('FALTAS POR DECK'!$P$1="Deck e código","K"&amp;RIGHT("00"&amp;IFERROR(MATCH(A935,_LEITURA!$P$2:$P$21,0),99),2)&amp;M935&amp;RIGHT("00000"&amp;ROW(),5),"K"&amp;RIGHT("00000"&amp;ROW(),5))))))</f>
        <v/>
      </c>
      <c r="O935" s="16" t="str">
        <f aca="false">IF(N935="","",COUNTIFS($N$2:$N$1201,"&lt;"&amp;N935,$F$2:$F$1201,"&gt;0")+1)</f>
        <v/>
      </c>
    </row>
    <row r="936" customFormat="false" ht="15" hidden="false" customHeight="false" outlineLevel="0" collapsed="false">
      <c r="A936" s="11" t="str">
        <f aca="false">IF(_LEITURA!$N936="","",INDEX(_LEITURA!$K$2:$K$1201,_LEITURA!$N936))</f>
        <v/>
      </c>
      <c r="B936" s="11" t="str">
        <f aca="false">IF(_LEITURA!$N936="","",INDEX(_LEITURA!$E$2:$E$1201,_LEITURA!$N936))</f>
        <v/>
      </c>
      <c r="C936" s="11" t="str">
        <f aca="false">IF(_LEITURA!$N936="","",INDEX(_LEITURA!$J$2:$J$1201,_LEITURA!$N936))</f>
        <v/>
      </c>
      <c r="D936" s="16" t="str">
        <f aca="false">IF(_LEITURA!$N936="","",INDEX(_LEITURA!$G$2:$G$1201,_LEITURA!$N936))</f>
        <v/>
      </c>
      <c r="E936" s="16" t="str">
        <f aca="false">IF(B936="","",SUMIFS(INVENTÁRIO!$C$2:$C$801,INVENTÁRIO!$A$2:$A$801,B936))</f>
        <v/>
      </c>
      <c r="F936" s="16" t="str">
        <f aca="false">IF(B936="","",MAX(0,D936-E936))</f>
        <v/>
      </c>
      <c r="G936" s="16" t="str">
        <f aca="false">IF(B936="","",IF(COUNTIFS($B$2:$B$1201,B936,$A$2:$A$1201,"&lt;&gt;"&amp;A936)&gt;0,"Sim",""))</f>
        <v/>
      </c>
      <c r="H936" s="16" t="str">
        <f aca="false">IF(N(F936)&gt;0,MAX(H$1:H935)+1,"")</f>
        <v/>
      </c>
      <c r="I936" s="11" t="str">
        <f aca="false">IF(B936="","",IF(INDEX($C$2:$C$1201,MATCH(B936,$B$2:$B$1201,0))&lt;&gt;C936,"Nome diferente em outro deck — revisar",""))</f>
        <v/>
      </c>
      <c r="J936" s="16" t="str">
        <f aca="false">IF(AND(B936&lt;&gt;"",A936=BULK!$A$1,N(F936)&gt;0),MAX(J$1:J935)+1,"")</f>
        <v/>
      </c>
      <c r="K936" s="11" t="str">
        <f aca="false">IF(B936="","",IFERROR(LEFT(B936,FIND("-",B936)-1),B936))</f>
        <v/>
      </c>
      <c r="L936" s="11" t="str">
        <f aca="false">IF(K936="","",IF(ISNUMBER(--MID(K936,1,1)),0,IF(ISNUMBER(--MID(K936,2,1)),1,IF(ISNUMBER(--MID(K936,3,1)),2,IF(ISNUMBER(--MID(K936,4,1)),3,MIN(LEN(K936),4))))))</f>
        <v/>
      </c>
      <c r="M936" s="11" t="str">
        <f aca="false">IF(B936="","",LEFT(K936,L936)&amp;REPT("0",4-L936)&amp;RIGHT("000"&amp;IFERROR(VALUE(MID(K936,L936+1,9)),0),3)&amp;RIGHT("0000"&amp;IFERROR(VALUE(MID(B936,FIND("-",B936)+1,9)),0),4))</f>
        <v/>
      </c>
      <c r="N936" s="11" t="str">
        <f aca="false">IF(OR(B936="",N(F936)&lt;=0),"",IF('FALTAS POR DECK'!$P$1="Código","K"&amp;M936&amp;RIGHT("00000"&amp;ROW(),5),IF('FALTAS POR DECK'!$P$1="Nome","K"&amp;UPPER(SUBSTITUTE(SUBSTITUTE(SUBSTITUTE(C936,"*",""),"?",""),"~",""))&amp;"0"&amp;M936&amp;RIGHT("00000"&amp;ROW(),5),IF('FALTAS POR DECK'!$P$1="Falta (maior primeiro)","K"&amp;RIGHT("0000"&amp;(9999-F936),4)&amp;M936&amp;RIGHT("00000"&amp;ROW(),5),IF('FALTAS POR DECK'!$P$1="Deck e código","K"&amp;RIGHT("00"&amp;IFERROR(MATCH(A936,_LEITURA!$P$2:$P$21,0),99),2)&amp;M936&amp;RIGHT("00000"&amp;ROW(),5),"K"&amp;RIGHT("00000"&amp;ROW(),5))))))</f>
        <v/>
      </c>
      <c r="O936" s="16" t="str">
        <f aca="false">IF(N936="","",COUNTIFS($N$2:$N$1201,"&lt;"&amp;N936,$F$2:$F$1201,"&gt;0")+1)</f>
        <v/>
      </c>
    </row>
    <row r="937" customFormat="false" ht="15" hidden="false" customHeight="false" outlineLevel="0" collapsed="false">
      <c r="A937" s="11" t="str">
        <f aca="false">IF(_LEITURA!$N937="","",INDEX(_LEITURA!$K$2:$K$1201,_LEITURA!$N937))</f>
        <v/>
      </c>
      <c r="B937" s="11" t="str">
        <f aca="false">IF(_LEITURA!$N937="","",INDEX(_LEITURA!$E$2:$E$1201,_LEITURA!$N937))</f>
        <v/>
      </c>
      <c r="C937" s="11" t="str">
        <f aca="false">IF(_LEITURA!$N937="","",INDEX(_LEITURA!$J$2:$J$1201,_LEITURA!$N937))</f>
        <v/>
      </c>
      <c r="D937" s="16" t="str">
        <f aca="false">IF(_LEITURA!$N937="","",INDEX(_LEITURA!$G$2:$G$1201,_LEITURA!$N937))</f>
        <v/>
      </c>
      <c r="E937" s="16" t="str">
        <f aca="false">IF(B937="","",SUMIFS(INVENTÁRIO!$C$2:$C$801,INVENTÁRIO!$A$2:$A$801,B937))</f>
        <v/>
      </c>
      <c r="F937" s="16" t="str">
        <f aca="false">IF(B937="","",MAX(0,D937-E937))</f>
        <v/>
      </c>
      <c r="G937" s="16" t="str">
        <f aca="false">IF(B937="","",IF(COUNTIFS($B$2:$B$1201,B937,$A$2:$A$1201,"&lt;&gt;"&amp;A937)&gt;0,"Sim",""))</f>
        <v/>
      </c>
      <c r="H937" s="16" t="str">
        <f aca="false">IF(N(F937)&gt;0,MAX(H$1:H936)+1,"")</f>
        <v/>
      </c>
      <c r="I937" s="11" t="str">
        <f aca="false">IF(B937="","",IF(INDEX($C$2:$C$1201,MATCH(B937,$B$2:$B$1201,0))&lt;&gt;C937,"Nome diferente em outro deck — revisar",""))</f>
        <v/>
      </c>
      <c r="J937" s="16" t="str">
        <f aca="false">IF(AND(B937&lt;&gt;"",A937=BULK!$A$1,N(F937)&gt;0),MAX(J$1:J936)+1,"")</f>
        <v/>
      </c>
      <c r="K937" s="11" t="str">
        <f aca="false">IF(B937="","",IFERROR(LEFT(B937,FIND("-",B937)-1),B937))</f>
        <v/>
      </c>
      <c r="L937" s="11" t="str">
        <f aca="false">IF(K937="","",IF(ISNUMBER(--MID(K937,1,1)),0,IF(ISNUMBER(--MID(K937,2,1)),1,IF(ISNUMBER(--MID(K937,3,1)),2,IF(ISNUMBER(--MID(K937,4,1)),3,MIN(LEN(K937),4))))))</f>
        <v/>
      </c>
      <c r="M937" s="11" t="str">
        <f aca="false">IF(B937="","",LEFT(K937,L937)&amp;REPT("0",4-L937)&amp;RIGHT("000"&amp;IFERROR(VALUE(MID(K937,L937+1,9)),0),3)&amp;RIGHT("0000"&amp;IFERROR(VALUE(MID(B937,FIND("-",B937)+1,9)),0),4))</f>
        <v/>
      </c>
      <c r="N937" s="11" t="str">
        <f aca="false">IF(OR(B937="",N(F937)&lt;=0),"",IF('FALTAS POR DECK'!$P$1="Código","K"&amp;M937&amp;RIGHT("00000"&amp;ROW(),5),IF('FALTAS POR DECK'!$P$1="Nome","K"&amp;UPPER(SUBSTITUTE(SUBSTITUTE(SUBSTITUTE(C937,"*",""),"?",""),"~",""))&amp;"0"&amp;M937&amp;RIGHT("00000"&amp;ROW(),5),IF('FALTAS POR DECK'!$P$1="Falta (maior primeiro)","K"&amp;RIGHT("0000"&amp;(9999-F937),4)&amp;M937&amp;RIGHT("00000"&amp;ROW(),5),IF('FALTAS POR DECK'!$P$1="Deck e código","K"&amp;RIGHT("00"&amp;IFERROR(MATCH(A937,_LEITURA!$P$2:$P$21,0),99),2)&amp;M937&amp;RIGHT("00000"&amp;ROW(),5),"K"&amp;RIGHT("00000"&amp;ROW(),5))))))</f>
        <v/>
      </c>
      <c r="O937" s="16" t="str">
        <f aca="false">IF(N937="","",COUNTIFS($N$2:$N$1201,"&lt;"&amp;N937,$F$2:$F$1201,"&gt;0")+1)</f>
        <v/>
      </c>
    </row>
    <row r="938" customFormat="false" ht="15" hidden="false" customHeight="false" outlineLevel="0" collapsed="false">
      <c r="A938" s="11" t="str">
        <f aca="false">IF(_LEITURA!$N938="","",INDEX(_LEITURA!$K$2:$K$1201,_LEITURA!$N938))</f>
        <v/>
      </c>
      <c r="B938" s="11" t="str">
        <f aca="false">IF(_LEITURA!$N938="","",INDEX(_LEITURA!$E$2:$E$1201,_LEITURA!$N938))</f>
        <v/>
      </c>
      <c r="C938" s="11" t="str">
        <f aca="false">IF(_LEITURA!$N938="","",INDEX(_LEITURA!$J$2:$J$1201,_LEITURA!$N938))</f>
        <v/>
      </c>
      <c r="D938" s="16" t="str">
        <f aca="false">IF(_LEITURA!$N938="","",INDEX(_LEITURA!$G$2:$G$1201,_LEITURA!$N938))</f>
        <v/>
      </c>
      <c r="E938" s="16" t="str">
        <f aca="false">IF(B938="","",SUMIFS(INVENTÁRIO!$C$2:$C$801,INVENTÁRIO!$A$2:$A$801,B938))</f>
        <v/>
      </c>
      <c r="F938" s="16" t="str">
        <f aca="false">IF(B938="","",MAX(0,D938-E938))</f>
        <v/>
      </c>
      <c r="G938" s="16" t="str">
        <f aca="false">IF(B938="","",IF(COUNTIFS($B$2:$B$1201,B938,$A$2:$A$1201,"&lt;&gt;"&amp;A938)&gt;0,"Sim",""))</f>
        <v/>
      </c>
      <c r="H938" s="16" t="str">
        <f aca="false">IF(N(F938)&gt;0,MAX(H$1:H937)+1,"")</f>
        <v/>
      </c>
      <c r="I938" s="11" t="str">
        <f aca="false">IF(B938="","",IF(INDEX($C$2:$C$1201,MATCH(B938,$B$2:$B$1201,0))&lt;&gt;C938,"Nome diferente em outro deck — revisar",""))</f>
        <v/>
      </c>
      <c r="J938" s="16" t="str">
        <f aca="false">IF(AND(B938&lt;&gt;"",A938=BULK!$A$1,N(F938)&gt;0),MAX(J$1:J937)+1,"")</f>
        <v/>
      </c>
      <c r="K938" s="11" t="str">
        <f aca="false">IF(B938="","",IFERROR(LEFT(B938,FIND("-",B938)-1),B938))</f>
        <v/>
      </c>
      <c r="L938" s="11" t="str">
        <f aca="false">IF(K938="","",IF(ISNUMBER(--MID(K938,1,1)),0,IF(ISNUMBER(--MID(K938,2,1)),1,IF(ISNUMBER(--MID(K938,3,1)),2,IF(ISNUMBER(--MID(K938,4,1)),3,MIN(LEN(K938),4))))))</f>
        <v/>
      </c>
      <c r="M938" s="11" t="str">
        <f aca="false">IF(B938="","",LEFT(K938,L938)&amp;REPT("0",4-L938)&amp;RIGHT("000"&amp;IFERROR(VALUE(MID(K938,L938+1,9)),0),3)&amp;RIGHT("0000"&amp;IFERROR(VALUE(MID(B938,FIND("-",B938)+1,9)),0),4))</f>
        <v/>
      </c>
      <c r="N938" s="11" t="str">
        <f aca="false">IF(OR(B938="",N(F938)&lt;=0),"",IF('FALTAS POR DECK'!$P$1="Código","K"&amp;M938&amp;RIGHT("00000"&amp;ROW(),5),IF('FALTAS POR DECK'!$P$1="Nome","K"&amp;UPPER(SUBSTITUTE(SUBSTITUTE(SUBSTITUTE(C938,"*",""),"?",""),"~",""))&amp;"0"&amp;M938&amp;RIGHT("00000"&amp;ROW(),5),IF('FALTAS POR DECK'!$P$1="Falta (maior primeiro)","K"&amp;RIGHT("0000"&amp;(9999-F938),4)&amp;M938&amp;RIGHT("00000"&amp;ROW(),5),IF('FALTAS POR DECK'!$P$1="Deck e código","K"&amp;RIGHT("00"&amp;IFERROR(MATCH(A938,_LEITURA!$P$2:$P$21,0),99),2)&amp;M938&amp;RIGHT("00000"&amp;ROW(),5),"K"&amp;RIGHT("00000"&amp;ROW(),5))))))</f>
        <v/>
      </c>
      <c r="O938" s="16" t="str">
        <f aca="false">IF(N938="","",COUNTIFS($N$2:$N$1201,"&lt;"&amp;N938,$F$2:$F$1201,"&gt;0")+1)</f>
        <v/>
      </c>
    </row>
    <row r="939" customFormat="false" ht="15" hidden="false" customHeight="false" outlineLevel="0" collapsed="false">
      <c r="A939" s="11" t="str">
        <f aca="false">IF(_LEITURA!$N939="","",INDEX(_LEITURA!$K$2:$K$1201,_LEITURA!$N939))</f>
        <v/>
      </c>
      <c r="B939" s="11" t="str">
        <f aca="false">IF(_LEITURA!$N939="","",INDEX(_LEITURA!$E$2:$E$1201,_LEITURA!$N939))</f>
        <v/>
      </c>
      <c r="C939" s="11" t="str">
        <f aca="false">IF(_LEITURA!$N939="","",INDEX(_LEITURA!$J$2:$J$1201,_LEITURA!$N939))</f>
        <v/>
      </c>
      <c r="D939" s="16" t="str">
        <f aca="false">IF(_LEITURA!$N939="","",INDEX(_LEITURA!$G$2:$G$1201,_LEITURA!$N939))</f>
        <v/>
      </c>
      <c r="E939" s="16" t="str">
        <f aca="false">IF(B939="","",SUMIFS(INVENTÁRIO!$C$2:$C$801,INVENTÁRIO!$A$2:$A$801,B939))</f>
        <v/>
      </c>
      <c r="F939" s="16" t="str">
        <f aca="false">IF(B939="","",MAX(0,D939-E939))</f>
        <v/>
      </c>
      <c r="G939" s="16" t="str">
        <f aca="false">IF(B939="","",IF(COUNTIFS($B$2:$B$1201,B939,$A$2:$A$1201,"&lt;&gt;"&amp;A939)&gt;0,"Sim",""))</f>
        <v/>
      </c>
      <c r="H939" s="16" t="str">
        <f aca="false">IF(N(F939)&gt;0,MAX(H$1:H938)+1,"")</f>
        <v/>
      </c>
      <c r="I939" s="11" t="str">
        <f aca="false">IF(B939="","",IF(INDEX($C$2:$C$1201,MATCH(B939,$B$2:$B$1201,0))&lt;&gt;C939,"Nome diferente em outro deck — revisar",""))</f>
        <v/>
      </c>
      <c r="J939" s="16" t="str">
        <f aca="false">IF(AND(B939&lt;&gt;"",A939=BULK!$A$1,N(F939)&gt;0),MAX(J$1:J938)+1,"")</f>
        <v/>
      </c>
      <c r="K939" s="11" t="str">
        <f aca="false">IF(B939="","",IFERROR(LEFT(B939,FIND("-",B939)-1),B939))</f>
        <v/>
      </c>
      <c r="L939" s="11" t="str">
        <f aca="false">IF(K939="","",IF(ISNUMBER(--MID(K939,1,1)),0,IF(ISNUMBER(--MID(K939,2,1)),1,IF(ISNUMBER(--MID(K939,3,1)),2,IF(ISNUMBER(--MID(K939,4,1)),3,MIN(LEN(K939),4))))))</f>
        <v/>
      </c>
      <c r="M939" s="11" t="str">
        <f aca="false">IF(B939="","",LEFT(K939,L939)&amp;REPT("0",4-L939)&amp;RIGHT("000"&amp;IFERROR(VALUE(MID(K939,L939+1,9)),0),3)&amp;RIGHT("0000"&amp;IFERROR(VALUE(MID(B939,FIND("-",B939)+1,9)),0),4))</f>
        <v/>
      </c>
      <c r="N939" s="11" t="str">
        <f aca="false">IF(OR(B939="",N(F939)&lt;=0),"",IF('FALTAS POR DECK'!$P$1="Código","K"&amp;M939&amp;RIGHT("00000"&amp;ROW(),5),IF('FALTAS POR DECK'!$P$1="Nome","K"&amp;UPPER(SUBSTITUTE(SUBSTITUTE(SUBSTITUTE(C939,"*",""),"?",""),"~",""))&amp;"0"&amp;M939&amp;RIGHT("00000"&amp;ROW(),5),IF('FALTAS POR DECK'!$P$1="Falta (maior primeiro)","K"&amp;RIGHT("0000"&amp;(9999-F939),4)&amp;M939&amp;RIGHT("00000"&amp;ROW(),5),IF('FALTAS POR DECK'!$P$1="Deck e código","K"&amp;RIGHT("00"&amp;IFERROR(MATCH(A939,_LEITURA!$P$2:$P$21,0),99),2)&amp;M939&amp;RIGHT("00000"&amp;ROW(),5),"K"&amp;RIGHT("00000"&amp;ROW(),5))))))</f>
        <v/>
      </c>
      <c r="O939" s="16" t="str">
        <f aca="false">IF(N939="","",COUNTIFS($N$2:$N$1201,"&lt;"&amp;N939,$F$2:$F$1201,"&gt;0")+1)</f>
        <v/>
      </c>
    </row>
    <row r="940" customFormat="false" ht="15" hidden="false" customHeight="false" outlineLevel="0" collapsed="false">
      <c r="A940" s="11" t="str">
        <f aca="false">IF(_LEITURA!$N940="","",INDEX(_LEITURA!$K$2:$K$1201,_LEITURA!$N940))</f>
        <v/>
      </c>
      <c r="B940" s="11" t="str">
        <f aca="false">IF(_LEITURA!$N940="","",INDEX(_LEITURA!$E$2:$E$1201,_LEITURA!$N940))</f>
        <v/>
      </c>
      <c r="C940" s="11" t="str">
        <f aca="false">IF(_LEITURA!$N940="","",INDEX(_LEITURA!$J$2:$J$1201,_LEITURA!$N940))</f>
        <v/>
      </c>
      <c r="D940" s="16" t="str">
        <f aca="false">IF(_LEITURA!$N940="","",INDEX(_LEITURA!$G$2:$G$1201,_LEITURA!$N940))</f>
        <v/>
      </c>
      <c r="E940" s="16" t="str">
        <f aca="false">IF(B940="","",SUMIFS(INVENTÁRIO!$C$2:$C$801,INVENTÁRIO!$A$2:$A$801,B940))</f>
        <v/>
      </c>
      <c r="F940" s="16" t="str">
        <f aca="false">IF(B940="","",MAX(0,D940-E940))</f>
        <v/>
      </c>
      <c r="G940" s="16" t="str">
        <f aca="false">IF(B940="","",IF(COUNTIFS($B$2:$B$1201,B940,$A$2:$A$1201,"&lt;&gt;"&amp;A940)&gt;0,"Sim",""))</f>
        <v/>
      </c>
      <c r="H940" s="16" t="str">
        <f aca="false">IF(N(F940)&gt;0,MAX(H$1:H939)+1,"")</f>
        <v/>
      </c>
      <c r="I940" s="11" t="str">
        <f aca="false">IF(B940="","",IF(INDEX($C$2:$C$1201,MATCH(B940,$B$2:$B$1201,0))&lt;&gt;C940,"Nome diferente em outro deck — revisar",""))</f>
        <v/>
      </c>
      <c r="J940" s="16" t="str">
        <f aca="false">IF(AND(B940&lt;&gt;"",A940=BULK!$A$1,N(F940)&gt;0),MAX(J$1:J939)+1,"")</f>
        <v/>
      </c>
      <c r="K940" s="11" t="str">
        <f aca="false">IF(B940="","",IFERROR(LEFT(B940,FIND("-",B940)-1),B940))</f>
        <v/>
      </c>
      <c r="L940" s="11" t="str">
        <f aca="false">IF(K940="","",IF(ISNUMBER(--MID(K940,1,1)),0,IF(ISNUMBER(--MID(K940,2,1)),1,IF(ISNUMBER(--MID(K940,3,1)),2,IF(ISNUMBER(--MID(K940,4,1)),3,MIN(LEN(K940),4))))))</f>
        <v/>
      </c>
      <c r="M940" s="11" t="str">
        <f aca="false">IF(B940="","",LEFT(K940,L940)&amp;REPT("0",4-L940)&amp;RIGHT("000"&amp;IFERROR(VALUE(MID(K940,L940+1,9)),0),3)&amp;RIGHT("0000"&amp;IFERROR(VALUE(MID(B940,FIND("-",B940)+1,9)),0),4))</f>
        <v/>
      </c>
      <c r="N940" s="11" t="str">
        <f aca="false">IF(OR(B940="",N(F940)&lt;=0),"",IF('FALTAS POR DECK'!$P$1="Código","K"&amp;M940&amp;RIGHT("00000"&amp;ROW(),5),IF('FALTAS POR DECK'!$P$1="Nome","K"&amp;UPPER(SUBSTITUTE(SUBSTITUTE(SUBSTITUTE(C940,"*",""),"?",""),"~",""))&amp;"0"&amp;M940&amp;RIGHT("00000"&amp;ROW(),5),IF('FALTAS POR DECK'!$P$1="Falta (maior primeiro)","K"&amp;RIGHT("0000"&amp;(9999-F940),4)&amp;M940&amp;RIGHT("00000"&amp;ROW(),5),IF('FALTAS POR DECK'!$P$1="Deck e código","K"&amp;RIGHT("00"&amp;IFERROR(MATCH(A940,_LEITURA!$P$2:$P$21,0),99),2)&amp;M940&amp;RIGHT("00000"&amp;ROW(),5),"K"&amp;RIGHT("00000"&amp;ROW(),5))))))</f>
        <v/>
      </c>
      <c r="O940" s="16" t="str">
        <f aca="false">IF(N940="","",COUNTIFS($N$2:$N$1201,"&lt;"&amp;N940,$F$2:$F$1201,"&gt;0")+1)</f>
        <v/>
      </c>
    </row>
    <row r="941" customFormat="false" ht="15" hidden="false" customHeight="false" outlineLevel="0" collapsed="false">
      <c r="A941" s="11" t="str">
        <f aca="false">IF(_LEITURA!$N941="","",INDEX(_LEITURA!$K$2:$K$1201,_LEITURA!$N941))</f>
        <v/>
      </c>
      <c r="B941" s="11" t="str">
        <f aca="false">IF(_LEITURA!$N941="","",INDEX(_LEITURA!$E$2:$E$1201,_LEITURA!$N941))</f>
        <v/>
      </c>
      <c r="C941" s="11" t="str">
        <f aca="false">IF(_LEITURA!$N941="","",INDEX(_LEITURA!$J$2:$J$1201,_LEITURA!$N941))</f>
        <v/>
      </c>
      <c r="D941" s="16" t="str">
        <f aca="false">IF(_LEITURA!$N941="","",INDEX(_LEITURA!$G$2:$G$1201,_LEITURA!$N941))</f>
        <v/>
      </c>
      <c r="E941" s="16" t="str">
        <f aca="false">IF(B941="","",SUMIFS(INVENTÁRIO!$C$2:$C$801,INVENTÁRIO!$A$2:$A$801,B941))</f>
        <v/>
      </c>
      <c r="F941" s="16" t="str">
        <f aca="false">IF(B941="","",MAX(0,D941-E941))</f>
        <v/>
      </c>
      <c r="G941" s="16" t="str">
        <f aca="false">IF(B941="","",IF(COUNTIFS($B$2:$B$1201,B941,$A$2:$A$1201,"&lt;&gt;"&amp;A941)&gt;0,"Sim",""))</f>
        <v/>
      </c>
      <c r="H941" s="16" t="str">
        <f aca="false">IF(N(F941)&gt;0,MAX(H$1:H940)+1,"")</f>
        <v/>
      </c>
      <c r="I941" s="11" t="str">
        <f aca="false">IF(B941="","",IF(INDEX($C$2:$C$1201,MATCH(B941,$B$2:$B$1201,0))&lt;&gt;C941,"Nome diferente em outro deck — revisar",""))</f>
        <v/>
      </c>
      <c r="J941" s="16" t="str">
        <f aca="false">IF(AND(B941&lt;&gt;"",A941=BULK!$A$1,N(F941)&gt;0),MAX(J$1:J940)+1,"")</f>
        <v/>
      </c>
      <c r="K941" s="11" t="str">
        <f aca="false">IF(B941="","",IFERROR(LEFT(B941,FIND("-",B941)-1),B941))</f>
        <v/>
      </c>
      <c r="L941" s="11" t="str">
        <f aca="false">IF(K941="","",IF(ISNUMBER(--MID(K941,1,1)),0,IF(ISNUMBER(--MID(K941,2,1)),1,IF(ISNUMBER(--MID(K941,3,1)),2,IF(ISNUMBER(--MID(K941,4,1)),3,MIN(LEN(K941),4))))))</f>
        <v/>
      </c>
      <c r="M941" s="11" t="str">
        <f aca="false">IF(B941="","",LEFT(K941,L941)&amp;REPT("0",4-L941)&amp;RIGHT("000"&amp;IFERROR(VALUE(MID(K941,L941+1,9)),0),3)&amp;RIGHT("0000"&amp;IFERROR(VALUE(MID(B941,FIND("-",B941)+1,9)),0),4))</f>
        <v/>
      </c>
      <c r="N941" s="11" t="str">
        <f aca="false">IF(OR(B941="",N(F941)&lt;=0),"",IF('FALTAS POR DECK'!$P$1="Código","K"&amp;M941&amp;RIGHT("00000"&amp;ROW(),5),IF('FALTAS POR DECK'!$P$1="Nome","K"&amp;UPPER(SUBSTITUTE(SUBSTITUTE(SUBSTITUTE(C941,"*",""),"?",""),"~",""))&amp;"0"&amp;M941&amp;RIGHT("00000"&amp;ROW(),5),IF('FALTAS POR DECK'!$P$1="Falta (maior primeiro)","K"&amp;RIGHT("0000"&amp;(9999-F941),4)&amp;M941&amp;RIGHT("00000"&amp;ROW(),5),IF('FALTAS POR DECK'!$P$1="Deck e código","K"&amp;RIGHT("00"&amp;IFERROR(MATCH(A941,_LEITURA!$P$2:$P$21,0),99),2)&amp;M941&amp;RIGHT("00000"&amp;ROW(),5),"K"&amp;RIGHT("00000"&amp;ROW(),5))))))</f>
        <v/>
      </c>
      <c r="O941" s="16" t="str">
        <f aca="false">IF(N941="","",COUNTIFS($N$2:$N$1201,"&lt;"&amp;N941,$F$2:$F$1201,"&gt;0")+1)</f>
        <v/>
      </c>
    </row>
    <row r="942" customFormat="false" ht="15" hidden="false" customHeight="false" outlineLevel="0" collapsed="false">
      <c r="A942" s="11" t="str">
        <f aca="false">IF(_LEITURA!$N942="","",INDEX(_LEITURA!$K$2:$K$1201,_LEITURA!$N942))</f>
        <v/>
      </c>
      <c r="B942" s="11" t="str">
        <f aca="false">IF(_LEITURA!$N942="","",INDEX(_LEITURA!$E$2:$E$1201,_LEITURA!$N942))</f>
        <v/>
      </c>
      <c r="C942" s="11" t="str">
        <f aca="false">IF(_LEITURA!$N942="","",INDEX(_LEITURA!$J$2:$J$1201,_LEITURA!$N942))</f>
        <v/>
      </c>
      <c r="D942" s="16" t="str">
        <f aca="false">IF(_LEITURA!$N942="","",INDEX(_LEITURA!$G$2:$G$1201,_LEITURA!$N942))</f>
        <v/>
      </c>
      <c r="E942" s="16" t="str">
        <f aca="false">IF(B942="","",SUMIFS(INVENTÁRIO!$C$2:$C$801,INVENTÁRIO!$A$2:$A$801,B942))</f>
        <v/>
      </c>
      <c r="F942" s="16" t="str">
        <f aca="false">IF(B942="","",MAX(0,D942-E942))</f>
        <v/>
      </c>
      <c r="G942" s="16" t="str">
        <f aca="false">IF(B942="","",IF(COUNTIFS($B$2:$B$1201,B942,$A$2:$A$1201,"&lt;&gt;"&amp;A942)&gt;0,"Sim",""))</f>
        <v/>
      </c>
      <c r="H942" s="16" t="str">
        <f aca="false">IF(N(F942)&gt;0,MAX(H$1:H941)+1,"")</f>
        <v/>
      </c>
      <c r="I942" s="11" t="str">
        <f aca="false">IF(B942="","",IF(INDEX($C$2:$C$1201,MATCH(B942,$B$2:$B$1201,0))&lt;&gt;C942,"Nome diferente em outro deck — revisar",""))</f>
        <v/>
      </c>
      <c r="J942" s="16" t="str">
        <f aca="false">IF(AND(B942&lt;&gt;"",A942=BULK!$A$1,N(F942)&gt;0),MAX(J$1:J941)+1,"")</f>
        <v/>
      </c>
      <c r="K942" s="11" t="str">
        <f aca="false">IF(B942="","",IFERROR(LEFT(B942,FIND("-",B942)-1),B942))</f>
        <v/>
      </c>
      <c r="L942" s="11" t="str">
        <f aca="false">IF(K942="","",IF(ISNUMBER(--MID(K942,1,1)),0,IF(ISNUMBER(--MID(K942,2,1)),1,IF(ISNUMBER(--MID(K942,3,1)),2,IF(ISNUMBER(--MID(K942,4,1)),3,MIN(LEN(K942),4))))))</f>
        <v/>
      </c>
      <c r="M942" s="11" t="str">
        <f aca="false">IF(B942="","",LEFT(K942,L942)&amp;REPT("0",4-L942)&amp;RIGHT("000"&amp;IFERROR(VALUE(MID(K942,L942+1,9)),0),3)&amp;RIGHT("0000"&amp;IFERROR(VALUE(MID(B942,FIND("-",B942)+1,9)),0),4))</f>
        <v/>
      </c>
      <c r="N942" s="11" t="str">
        <f aca="false">IF(OR(B942="",N(F942)&lt;=0),"",IF('FALTAS POR DECK'!$P$1="Código","K"&amp;M942&amp;RIGHT("00000"&amp;ROW(),5),IF('FALTAS POR DECK'!$P$1="Nome","K"&amp;UPPER(SUBSTITUTE(SUBSTITUTE(SUBSTITUTE(C942,"*",""),"?",""),"~",""))&amp;"0"&amp;M942&amp;RIGHT("00000"&amp;ROW(),5),IF('FALTAS POR DECK'!$P$1="Falta (maior primeiro)","K"&amp;RIGHT("0000"&amp;(9999-F942),4)&amp;M942&amp;RIGHT("00000"&amp;ROW(),5),IF('FALTAS POR DECK'!$P$1="Deck e código","K"&amp;RIGHT("00"&amp;IFERROR(MATCH(A942,_LEITURA!$P$2:$P$21,0),99),2)&amp;M942&amp;RIGHT("00000"&amp;ROW(),5),"K"&amp;RIGHT("00000"&amp;ROW(),5))))))</f>
        <v/>
      </c>
      <c r="O942" s="16" t="str">
        <f aca="false">IF(N942="","",COUNTIFS($N$2:$N$1201,"&lt;"&amp;N942,$F$2:$F$1201,"&gt;0")+1)</f>
        <v/>
      </c>
    </row>
    <row r="943" customFormat="false" ht="15" hidden="false" customHeight="false" outlineLevel="0" collapsed="false">
      <c r="A943" s="11" t="str">
        <f aca="false">IF(_LEITURA!$N943="","",INDEX(_LEITURA!$K$2:$K$1201,_LEITURA!$N943))</f>
        <v/>
      </c>
      <c r="B943" s="11" t="str">
        <f aca="false">IF(_LEITURA!$N943="","",INDEX(_LEITURA!$E$2:$E$1201,_LEITURA!$N943))</f>
        <v/>
      </c>
      <c r="C943" s="11" t="str">
        <f aca="false">IF(_LEITURA!$N943="","",INDEX(_LEITURA!$J$2:$J$1201,_LEITURA!$N943))</f>
        <v/>
      </c>
      <c r="D943" s="16" t="str">
        <f aca="false">IF(_LEITURA!$N943="","",INDEX(_LEITURA!$G$2:$G$1201,_LEITURA!$N943))</f>
        <v/>
      </c>
      <c r="E943" s="16" t="str">
        <f aca="false">IF(B943="","",SUMIFS(INVENTÁRIO!$C$2:$C$801,INVENTÁRIO!$A$2:$A$801,B943))</f>
        <v/>
      </c>
      <c r="F943" s="16" t="str">
        <f aca="false">IF(B943="","",MAX(0,D943-E943))</f>
        <v/>
      </c>
      <c r="G943" s="16" t="str">
        <f aca="false">IF(B943="","",IF(COUNTIFS($B$2:$B$1201,B943,$A$2:$A$1201,"&lt;&gt;"&amp;A943)&gt;0,"Sim",""))</f>
        <v/>
      </c>
      <c r="H943" s="16" t="str">
        <f aca="false">IF(N(F943)&gt;0,MAX(H$1:H942)+1,"")</f>
        <v/>
      </c>
      <c r="I943" s="11" t="str">
        <f aca="false">IF(B943="","",IF(INDEX($C$2:$C$1201,MATCH(B943,$B$2:$B$1201,0))&lt;&gt;C943,"Nome diferente em outro deck — revisar",""))</f>
        <v/>
      </c>
      <c r="J943" s="16" t="str">
        <f aca="false">IF(AND(B943&lt;&gt;"",A943=BULK!$A$1,N(F943)&gt;0),MAX(J$1:J942)+1,"")</f>
        <v/>
      </c>
      <c r="K943" s="11" t="str">
        <f aca="false">IF(B943="","",IFERROR(LEFT(B943,FIND("-",B943)-1),B943))</f>
        <v/>
      </c>
      <c r="L943" s="11" t="str">
        <f aca="false">IF(K943="","",IF(ISNUMBER(--MID(K943,1,1)),0,IF(ISNUMBER(--MID(K943,2,1)),1,IF(ISNUMBER(--MID(K943,3,1)),2,IF(ISNUMBER(--MID(K943,4,1)),3,MIN(LEN(K943),4))))))</f>
        <v/>
      </c>
      <c r="M943" s="11" t="str">
        <f aca="false">IF(B943="","",LEFT(K943,L943)&amp;REPT("0",4-L943)&amp;RIGHT("000"&amp;IFERROR(VALUE(MID(K943,L943+1,9)),0),3)&amp;RIGHT("0000"&amp;IFERROR(VALUE(MID(B943,FIND("-",B943)+1,9)),0),4))</f>
        <v/>
      </c>
      <c r="N943" s="11" t="str">
        <f aca="false">IF(OR(B943="",N(F943)&lt;=0),"",IF('FALTAS POR DECK'!$P$1="Código","K"&amp;M943&amp;RIGHT("00000"&amp;ROW(),5),IF('FALTAS POR DECK'!$P$1="Nome","K"&amp;UPPER(SUBSTITUTE(SUBSTITUTE(SUBSTITUTE(C943,"*",""),"?",""),"~",""))&amp;"0"&amp;M943&amp;RIGHT("00000"&amp;ROW(),5),IF('FALTAS POR DECK'!$P$1="Falta (maior primeiro)","K"&amp;RIGHT("0000"&amp;(9999-F943),4)&amp;M943&amp;RIGHT("00000"&amp;ROW(),5),IF('FALTAS POR DECK'!$P$1="Deck e código","K"&amp;RIGHT("00"&amp;IFERROR(MATCH(A943,_LEITURA!$P$2:$P$21,0),99),2)&amp;M943&amp;RIGHT("00000"&amp;ROW(),5),"K"&amp;RIGHT("00000"&amp;ROW(),5))))))</f>
        <v/>
      </c>
      <c r="O943" s="16" t="str">
        <f aca="false">IF(N943="","",COUNTIFS($N$2:$N$1201,"&lt;"&amp;N943,$F$2:$F$1201,"&gt;0")+1)</f>
        <v/>
      </c>
    </row>
    <row r="944" customFormat="false" ht="15" hidden="false" customHeight="false" outlineLevel="0" collapsed="false">
      <c r="A944" s="11" t="str">
        <f aca="false">IF(_LEITURA!$N944="","",INDEX(_LEITURA!$K$2:$K$1201,_LEITURA!$N944))</f>
        <v/>
      </c>
      <c r="B944" s="11" t="str">
        <f aca="false">IF(_LEITURA!$N944="","",INDEX(_LEITURA!$E$2:$E$1201,_LEITURA!$N944))</f>
        <v/>
      </c>
      <c r="C944" s="11" t="str">
        <f aca="false">IF(_LEITURA!$N944="","",INDEX(_LEITURA!$J$2:$J$1201,_LEITURA!$N944))</f>
        <v/>
      </c>
      <c r="D944" s="16" t="str">
        <f aca="false">IF(_LEITURA!$N944="","",INDEX(_LEITURA!$G$2:$G$1201,_LEITURA!$N944))</f>
        <v/>
      </c>
      <c r="E944" s="16" t="str">
        <f aca="false">IF(B944="","",SUMIFS(INVENTÁRIO!$C$2:$C$801,INVENTÁRIO!$A$2:$A$801,B944))</f>
        <v/>
      </c>
      <c r="F944" s="16" t="str">
        <f aca="false">IF(B944="","",MAX(0,D944-E944))</f>
        <v/>
      </c>
      <c r="G944" s="16" t="str">
        <f aca="false">IF(B944="","",IF(COUNTIFS($B$2:$B$1201,B944,$A$2:$A$1201,"&lt;&gt;"&amp;A944)&gt;0,"Sim",""))</f>
        <v/>
      </c>
      <c r="H944" s="16" t="str">
        <f aca="false">IF(N(F944)&gt;0,MAX(H$1:H943)+1,"")</f>
        <v/>
      </c>
      <c r="I944" s="11" t="str">
        <f aca="false">IF(B944="","",IF(INDEX($C$2:$C$1201,MATCH(B944,$B$2:$B$1201,0))&lt;&gt;C944,"Nome diferente em outro deck — revisar",""))</f>
        <v/>
      </c>
      <c r="J944" s="16" t="str">
        <f aca="false">IF(AND(B944&lt;&gt;"",A944=BULK!$A$1,N(F944)&gt;0),MAX(J$1:J943)+1,"")</f>
        <v/>
      </c>
      <c r="K944" s="11" t="str">
        <f aca="false">IF(B944="","",IFERROR(LEFT(B944,FIND("-",B944)-1),B944))</f>
        <v/>
      </c>
      <c r="L944" s="11" t="str">
        <f aca="false">IF(K944="","",IF(ISNUMBER(--MID(K944,1,1)),0,IF(ISNUMBER(--MID(K944,2,1)),1,IF(ISNUMBER(--MID(K944,3,1)),2,IF(ISNUMBER(--MID(K944,4,1)),3,MIN(LEN(K944),4))))))</f>
        <v/>
      </c>
      <c r="M944" s="11" t="str">
        <f aca="false">IF(B944="","",LEFT(K944,L944)&amp;REPT("0",4-L944)&amp;RIGHT("000"&amp;IFERROR(VALUE(MID(K944,L944+1,9)),0),3)&amp;RIGHT("0000"&amp;IFERROR(VALUE(MID(B944,FIND("-",B944)+1,9)),0),4))</f>
        <v/>
      </c>
      <c r="N944" s="11" t="str">
        <f aca="false">IF(OR(B944="",N(F944)&lt;=0),"",IF('FALTAS POR DECK'!$P$1="Código","K"&amp;M944&amp;RIGHT("00000"&amp;ROW(),5),IF('FALTAS POR DECK'!$P$1="Nome","K"&amp;UPPER(SUBSTITUTE(SUBSTITUTE(SUBSTITUTE(C944,"*",""),"?",""),"~",""))&amp;"0"&amp;M944&amp;RIGHT("00000"&amp;ROW(),5),IF('FALTAS POR DECK'!$P$1="Falta (maior primeiro)","K"&amp;RIGHT("0000"&amp;(9999-F944),4)&amp;M944&amp;RIGHT("00000"&amp;ROW(),5),IF('FALTAS POR DECK'!$P$1="Deck e código","K"&amp;RIGHT("00"&amp;IFERROR(MATCH(A944,_LEITURA!$P$2:$P$21,0),99),2)&amp;M944&amp;RIGHT("00000"&amp;ROW(),5),"K"&amp;RIGHT("00000"&amp;ROW(),5))))))</f>
        <v/>
      </c>
      <c r="O944" s="16" t="str">
        <f aca="false">IF(N944="","",COUNTIFS($N$2:$N$1201,"&lt;"&amp;N944,$F$2:$F$1201,"&gt;0")+1)</f>
        <v/>
      </c>
    </row>
    <row r="945" customFormat="false" ht="15" hidden="false" customHeight="false" outlineLevel="0" collapsed="false">
      <c r="A945" s="11" t="str">
        <f aca="false">IF(_LEITURA!$N945="","",INDEX(_LEITURA!$K$2:$K$1201,_LEITURA!$N945))</f>
        <v/>
      </c>
      <c r="B945" s="11" t="str">
        <f aca="false">IF(_LEITURA!$N945="","",INDEX(_LEITURA!$E$2:$E$1201,_LEITURA!$N945))</f>
        <v/>
      </c>
      <c r="C945" s="11" t="str">
        <f aca="false">IF(_LEITURA!$N945="","",INDEX(_LEITURA!$J$2:$J$1201,_LEITURA!$N945))</f>
        <v/>
      </c>
      <c r="D945" s="16" t="str">
        <f aca="false">IF(_LEITURA!$N945="","",INDEX(_LEITURA!$G$2:$G$1201,_LEITURA!$N945))</f>
        <v/>
      </c>
      <c r="E945" s="16" t="str">
        <f aca="false">IF(B945="","",SUMIFS(INVENTÁRIO!$C$2:$C$801,INVENTÁRIO!$A$2:$A$801,B945))</f>
        <v/>
      </c>
      <c r="F945" s="16" t="str">
        <f aca="false">IF(B945="","",MAX(0,D945-E945))</f>
        <v/>
      </c>
      <c r="G945" s="16" t="str">
        <f aca="false">IF(B945="","",IF(COUNTIFS($B$2:$B$1201,B945,$A$2:$A$1201,"&lt;&gt;"&amp;A945)&gt;0,"Sim",""))</f>
        <v/>
      </c>
      <c r="H945" s="16" t="str">
        <f aca="false">IF(N(F945)&gt;0,MAX(H$1:H944)+1,"")</f>
        <v/>
      </c>
      <c r="I945" s="11" t="str">
        <f aca="false">IF(B945="","",IF(INDEX($C$2:$C$1201,MATCH(B945,$B$2:$B$1201,0))&lt;&gt;C945,"Nome diferente em outro deck — revisar",""))</f>
        <v/>
      </c>
      <c r="J945" s="16" t="str">
        <f aca="false">IF(AND(B945&lt;&gt;"",A945=BULK!$A$1,N(F945)&gt;0),MAX(J$1:J944)+1,"")</f>
        <v/>
      </c>
      <c r="K945" s="11" t="str">
        <f aca="false">IF(B945="","",IFERROR(LEFT(B945,FIND("-",B945)-1),B945))</f>
        <v/>
      </c>
      <c r="L945" s="11" t="str">
        <f aca="false">IF(K945="","",IF(ISNUMBER(--MID(K945,1,1)),0,IF(ISNUMBER(--MID(K945,2,1)),1,IF(ISNUMBER(--MID(K945,3,1)),2,IF(ISNUMBER(--MID(K945,4,1)),3,MIN(LEN(K945),4))))))</f>
        <v/>
      </c>
      <c r="M945" s="11" t="str">
        <f aca="false">IF(B945="","",LEFT(K945,L945)&amp;REPT("0",4-L945)&amp;RIGHT("000"&amp;IFERROR(VALUE(MID(K945,L945+1,9)),0),3)&amp;RIGHT("0000"&amp;IFERROR(VALUE(MID(B945,FIND("-",B945)+1,9)),0),4))</f>
        <v/>
      </c>
      <c r="N945" s="11" t="str">
        <f aca="false">IF(OR(B945="",N(F945)&lt;=0),"",IF('FALTAS POR DECK'!$P$1="Código","K"&amp;M945&amp;RIGHT("00000"&amp;ROW(),5),IF('FALTAS POR DECK'!$P$1="Nome","K"&amp;UPPER(SUBSTITUTE(SUBSTITUTE(SUBSTITUTE(C945,"*",""),"?",""),"~",""))&amp;"0"&amp;M945&amp;RIGHT("00000"&amp;ROW(),5),IF('FALTAS POR DECK'!$P$1="Falta (maior primeiro)","K"&amp;RIGHT("0000"&amp;(9999-F945),4)&amp;M945&amp;RIGHT("00000"&amp;ROW(),5),IF('FALTAS POR DECK'!$P$1="Deck e código","K"&amp;RIGHT("00"&amp;IFERROR(MATCH(A945,_LEITURA!$P$2:$P$21,0),99),2)&amp;M945&amp;RIGHT("00000"&amp;ROW(),5),"K"&amp;RIGHT("00000"&amp;ROW(),5))))))</f>
        <v/>
      </c>
      <c r="O945" s="16" t="str">
        <f aca="false">IF(N945="","",COUNTIFS($N$2:$N$1201,"&lt;"&amp;N945,$F$2:$F$1201,"&gt;0")+1)</f>
        <v/>
      </c>
    </row>
    <row r="946" customFormat="false" ht="15" hidden="false" customHeight="false" outlineLevel="0" collapsed="false">
      <c r="A946" s="11" t="str">
        <f aca="false">IF(_LEITURA!$N946="","",INDEX(_LEITURA!$K$2:$K$1201,_LEITURA!$N946))</f>
        <v/>
      </c>
      <c r="B946" s="11" t="str">
        <f aca="false">IF(_LEITURA!$N946="","",INDEX(_LEITURA!$E$2:$E$1201,_LEITURA!$N946))</f>
        <v/>
      </c>
      <c r="C946" s="11" t="str">
        <f aca="false">IF(_LEITURA!$N946="","",INDEX(_LEITURA!$J$2:$J$1201,_LEITURA!$N946))</f>
        <v/>
      </c>
      <c r="D946" s="16" t="str">
        <f aca="false">IF(_LEITURA!$N946="","",INDEX(_LEITURA!$G$2:$G$1201,_LEITURA!$N946))</f>
        <v/>
      </c>
      <c r="E946" s="16" t="str">
        <f aca="false">IF(B946="","",SUMIFS(INVENTÁRIO!$C$2:$C$801,INVENTÁRIO!$A$2:$A$801,B946))</f>
        <v/>
      </c>
      <c r="F946" s="16" t="str">
        <f aca="false">IF(B946="","",MAX(0,D946-E946))</f>
        <v/>
      </c>
      <c r="G946" s="16" t="str">
        <f aca="false">IF(B946="","",IF(COUNTIFS($B$2:$B$1201,B946,$A$2:$A$1201,"&lt;&gt;"&amp;A946)&gt;0,"Sim",""))</f>
        <v/>
      </c>
      <c r="H946" s="16" t="str">
        <f aca="false">IF(N(F946)&gt;0,MAX(H$1:H945)+1,"")</f>
        <v/>
      </c>
      <c r="I946" s="11" t="str">
        <f aca="false">IF(B946="","",IF(INDEX($C$2:$C$1201,MATCH(B946,$B$2:$B$1201,0))&lt;&gt;C946,"Nome diferente em outro deck — revisar",""))</f>
        <v/>
      </c>
      <c r="J946" s="16" t="str">
        <f aca="false">IF(AND(B946&lt;&gt;"",A946=BULK!$A$1,N(F946)&gt;0),MAX(J$1:J945)+1,"")</f>
        <v/>
      </c>
      <c r="K946" s="11" t="str">
        <f aca="false">IF(B946="","",IFERROR(LEFT(B946,FIND("-",B946)-1),B946))</f>
        <v/>
      </c>
      <c r="L946" s="11" t="str">
        <f aca="false">IF(K946="","",IF(ISNUMBER(--MID(K946,1,1)),0,IF(ISNUMBER(--MID(K946,2,1)),1,IF(ISNUMBER(--MID(K946,3,1)),2,IF(ISNUMBER(--MID(K946,4,1)),3,MIN(LEN(K946),4))))))</f>
        <v/>
      </c>
      <c r="M946" s="11" t="str">
        <f aca="false">IF(B946="","",LEFT(K946,L946)&amp;REPT("0",4-L946)&amp;RIGHT("000"&amp;IFERROR(VALUE(MID(K946,L946+1,9)),0),3)&amp;RIGHT("0000"&amp;IFERROR(VALUE(MID(B946,FIND("-",B946)+1,9)),0),4))</f>
        <v/>
      </c>
      <c r="N946" s="11" t="str">
        <f aca="false">IF(OR(B946="",N(F946)&lt;=0),"",IF('FALTAS POR DECK'!$P$1="Código","K"&amp;M946&amp;RIGHT("00000"&amp;ROW(),5),IF('FALTAS POR DECK'!$P$1="Nome","K"&amp;UPPER(SUBSTITUTE(SUBSTITUTE(SUBSTITUTE(C946,"*",""),"?",""),"~",""))&amp;"0"&amp;M946&amp;RIGHT("00000"&amp;ROW(),5),IF('FALTAS POR DECK'!$P$1="Falta (maior primeiro)","K"&amp;RIGHT("0000"&amp;(9999-F946),4)&amp;M946&amp;RIGHT("00000"&amp;ROW(),5),IF('FALTAS POR DECK'!$P$1="Deck e código","K"&amp;RIGHT("00"&amp;IFERROR(MATCH(A946,_LEITURA!$P$2:$P$21,0),99),2)&amp;M946&amp;RIGHT("00000"&amp;ROW(),5),"K"&amp;RIGHT("00000"&amp;ROW(),5))))))</f>
        <v/>
      </c>
      <c r="O946" s="16" t="str">
        <f aca="false">IF(N946="","",COUNTIFS($N$2:$N$1201,"&lt;"&amp;N946,$F$2:$F$1201,"&gt;0")+1)</f>
        <v/>
      </c>
    </row>
    <row r="947" customFormat="false" ht="15" hidden="false" customHeight="false" outlineLevel="0" collapsed="false">
      <c r="A947" s="11" t="str">
        <f aca="false">IF(_LEITURA!$N947="","",INDEX(_LEITURA!$K$2:$K$1201,_LEITURA!$N947))</f>
        <v/>
      </c>
      <c r="B947" s="11" t="str">
        <f aca="false">IF(_LEITURA!$N947="","",INDEX(_LEITURA!$E$2:$E$1201,_LEITURA!$N947))</f>
        <v/>
      </c>
      <c r="C947" s="11" t="str">
        <f aca="false">IF(_LEITURA!$N947="","",INDEX(_LEITURA!$J$2:$J$1201,_LEITURA!$N947))</f>
        <v/>
      </c>
      <c r="D947" s="16" t="str">
        <f aca="false">IF(_LEITURA!$N947="","",INDEX(_LEITURA!$G$2:$G$1201,_LEITURA!$N947))</f>
        <v/>
      </c>
      <c r="E947" s="16" t="str">
        <f aca="false">IF(B947="","",SUMIFS(INVENTÁRIO!$C$2:$C$801,INVENTÁRIO!$A$2:$A$801,B947))</f>
        <v/>
      </c>
      <c r="F947" s="16" t="str">
        <f aca="false">IF(B947="","",MAX(0,D947-E947))</f>
        <v/>
      </c>
      <c r="G947" s="16" t="str">
        <f aca="false">IF(B947="","",IF(COUNTIFS($B$2:$B$1201,B947,$A$2:$A$1201,"&lt;&gt;"&amp;A947)&gt;0,"Sim",""))</f>
        <v/>
      </c>
      <c r="H947" s="16" t="str">
        <f aca="false">IF(N(F947)&gt;0,MAX(H$1:H946)+1,"")</f>
        <v/>
      </c>
      <c r="I947" s="11" t="str">
        <f aca="false">IF(B947="","",IF(INDEX($C$2:$C$1201,MATCH(B947,$B$2:$B$1201,0))&lt;&gt;C947,"Nome diferente em outro deck — revisar",""))</f>
        <v/>
      </c>
      <c r="J947" s="16" t="str">
        <f aca="false">IF(AND(B947&lt;&gt;"",A947=BULK!$A$1,N(F947)&gt;0),MAX(J$1:J946)+1,"")</f>
        <v/>
      </c>
      <c r="K947" s="11" t="str">
        <f aca="false">IF(B947="","",IFERROR(LEFT(B947,FIND("-",B947)-1),B947))</f>
        <v/>
      </c>
      <c r="L947" s="11" t="str">
        <f aca="false">IF(K947="","",IF(ISNUMBER(--MID(K947,1,1)),0,IF(ISNUMBER(--MID(K947,2,1)),1,IF(ISNUMBER(--MID(K947,3,1)),2,IF(ISNUMBER(--MID(K947,4,1)),3,MIN(LEN(K947),4))))))</f>
        <v/>
      </c>
      <c r="M947" s="11" t="str">
        <f aca="false">IF(B947="","",LEFT(K947,L947)&amp;REPT("0",4-L947)&amp;RIGHT("000"&amp;IFERROR(VALUE(MID(K947,L947+1,9)),0),3)&amp;RIGHT("0000"&amp;IFERROR(VALUE(MID(B947,FIND("-",B947)+1,9)),0),4))</f>
        <v/>
      </c>
      <c r="N947" s="11" t="str">
        <f aca="false">IF(OR(B947="",N(F947)&lt;=0),"",IF('FALTAS POR DECK'!$P$1="Código","K"&amp;M947&amp;RIGHT("00000"&amp;ROW(),5),IF('FALTAS POR DECK'!$P$1="Nome","K"&amp;UPPER(SUBSTITUTE(SUBSTITUTE(SUBSTITUTE(C947,"*",""),"?",""),"~",""))&amp;"0"&amp;M947&amp;RIGHT("00000"&amp;ROW(),5),IF('FALTAS POR DECK'!$P$1="Falta (maior primeiro)","K"&amp;RIGHT("0000"&amp;(9999-F947),4)&amp;M947&amp;RIGHT("00000"&amp;ROW(),5),IF('FALTAS POR DECK'!$P$1="Deck e código","K"&amp;RIGHT("00"&amp;IFERROR(MATCH(A947,_LEITURA!$P$2:$P$21,0),99),2)&amp;M947&amp;RIGHT("00000"&amp;ROW(),5),"K"&amp;RIGHT("00000"&amp;ROW(),5))))))</f>
        <v/>
      </c>
      <c r="O947" s="16" t="str">
        <f aca="false">IF(N947="","",COUNTIFS($N$2:$N$1201,"&lt;"&amp;N947,$F$2:$F$1201,"&gt;0")+1)</f>
        <v/>
      </c>
    </row>
    <row r="948" customFormat="false" ht="15" hidden="false" customHeight="false" outlineLevel="0" collapsed="false">
      <c r="A948" s="11" t="str">
        <f aca="false">IF(_LEITURA!$N948="","",INDEX(_LEITURA!$K$2:$K$1201,_LEITURA!$N948))</f>
        <v/>
      </c>
      <c r="B948" s="11" t="str">
        <f aca="false">IF(_LEITURA!$N948="","",INDEX(_LEITURA!$E$2:$E$1201,_LEITURA!$N948))</f>
        <v/>
      </c>
      <c r="C948" s="11" t="str">
        <f aca="false">IF(_LEITURA!$N948="","",INDEX(_LEITURA!$J$2:$J$1201,_LEITURA!$N948))</f>
        <v/>
      </c>
      <c r="D948" s="16" t="str">
        <f aca="false">IF(_LEITURA!$N948="","",INDEX(_LEITURA!$G$2:$G$1201,_LEITURA!$N948))</f>
        <v/>
      </c>
      <c r="E948" s="16" t="str">
        <f aca="false">IF(B948="","",SUMIFS(INVENTÁRIO!$C$2:$C$801,INVENTÁRIO!$A$2:$A$801,B948))</f>
        <v/>
      </c>
      <c r="F948" s="16" t="str">
        <f aca="false">IF(B948="","",MAX(0,D948-E948))</f>
        <v/>
      </c>
      <c r="G948" s="16" t="str">
        <f aca="false">IF(B948="","",IF(COUNTIFS($B$2:$B$1201,B948,$A$2:$A$1201,"&lt;&gt;"&amp;A948)&gt;0,"Sim",""))</f>
        <v/>
      </c>
      <c r="H948" s="16" t="str">
        <f aca="false">IF(N(F948)&gt;0,MAX(H$1:H947)+1,"")</f>
        <v/>
      </c>
      <c r="I948" s="11" t="str">
        <f aca="false">IF(B948="","",IF(INDEX($C$2:$C$1201,MATCH(B948,$B$2:$B$1201,0))&lt;&gt;C948,"Nome diferente em outro deck — revisar",""))</f>
        <v/>
      </c>
      <c r="J948" s="16" t="str">
        <f aca="false">IF(AND(B948&lt;&gt;"",A948=BULK!$A$1,N(F948)&gt;0),MAX(J$1:J947)+1,"")</f>
        <v/>
      </c>
      <c r="K948" s="11" t="str">
        <f aca="false">IF(B948="","",IFERROR(LEFT(B948,FIND("-",B948)-1),B948))</f>
        <v/>
      </c>
      <c r="L948" s="11" t="str">
        <f aca="false">IF(K948="","",IF(ISNUMBER(--MID(K948,1,1)),0,IF(ISNUMBER(--MID(K948,2,1)),1,IF(ISNUMBER(--MID(K948,3,1)),2,IF(ISNUMBER(--MID(K948,4,1)),3,MIN(LEN(K948),4))))))</f>
        <v/>
      </c>
      <c r="M948" s="11" t="str">
        <f aca="false">IF(B948="","",LEFT(K948,L948)&amp;REPT("0",4-L948)&amp;RIGHT("000"&amp;IFERROR(VALUE(MID(K948,L948+1,9)),0),3)&amp;RIGHT("0000"&amp;IFERROR(VALUE(MID(B948,FIND("-",B948)+1,9)),0),4))</f>
        <v/>
      </c>
      <c r="N948" s="11" t="str">
        <f aca="false">IF(OR(B948="",N(F948)&lt;=0),"",IF('FALTAS POR DECK'!$P$1="Código","K"&amp;M948&amp;RIGHT("00000"&amp;ROW(),5),IF('FALTAS POR DECK'!$P$1="Nome","K"&amp;UPPER(SUBSTITUTE(SUBSTITUTE(SUBSTITUTE(C948,"*",""),"?",""),"~",""))&amp;"0"&amp;M948&amp;RIGHT("00000"&amp;ROW(),5),IF('FALTAS POR DECK'!$P$1="Falta (maior primeiro)","K"&amp;RIGHT("0000"&amp;(9999-F948),4)&amp;M948&amp;RIGHT("00000"&amp;ROW(),5),IF('FALTAS POR DECK'!$P$1="Deck e código","K"&amp;RIGHT("00"&amp;IFERROR(MATCH(A948,_LEITURA!$P$2:$P$21,0),99),2)&amp;M948&amp;RIGHT("00000"&amp;ROW(),5),"K"&amp;RIGHT("00000"&amp;ROW(),5))))))</f>
        <v/>
      </c>
      <c r="O948" s="16" t="str">
        <f aca="false">IF(N948="","",COUNTIFS($N$2:$N$1201,"&lt;"&amp;N948,$F$2:$F$1201,"&gt;0")+1)</f>
        <v/>
      </c>
    </row>
    <row r="949" customFormat="false" ht="15" hidden="false" customHeight="false" outlineLevel="0" collapsed="false">
      <c r="A949" s="11" t="str">
        <f aca="false">IF(_LEITURA!$N949="","",INDEX(_LEITURA!$K$2:$K$1201,_LEITURA!$N949))</f>
        <v/>
      </c>
      <c r="B949" s="11" t="str">
        <f aca="false">IF(_LEITURA!$N949="","",INDEX(_LEITURA!$E$2:$E$1201,_LEITURA!$N949))</f>
        <v/>
      </c>
      <c r="C949" s="11" t="str">
        <f aca="false">IF(_LEITURA!$N949="","",INDEX(_LEITURA!$J$2:$J$1201,_LEITURA!$N949))</f>
        <v/>
      </c>
      <c r="D949" s="16" t="str">
        <f aca="false">IF(_LEITURA!$N949="","",INDEX(_LEITURA!$G$2:$G$1201,_LEITURA!$N949))</f>
        <v/>
      </c>
      <c r="E949" s="16" t="str">
        <f aca="false">IF(B949="","",SUMIFS(INVENTÁRIO!$C$2:$C$801,INVENTÁRIO!$A$2:$A$801,B949))</f>
        <v/>
      </c>
      <c r="F949" s="16" t="str">
        <f aca="false">IF(B949="","",MAX(0,D949-E949))</f>
        <v/>
      </c>
      <c r="G949" s="16" t="str">
        <f aca="false">IF(B949="","",IF(COUNTIFS($B$2:$B$1201,B949,$A$2:$A$1201,"&lt;&gt;"&amp;A949)&gt;0,"Sim",""))</f>
        <v/>
      </c>
      <c r="H949" s="16" t="str">
        <f aca="false">IF(N(F949)&gt;0,MAX(H$1:H948)+1,"")</f>
        <v/>
      </c>
      <c r="I949" s="11" t="str">
        <f aca="false">IF(B949="","",IF(INDEX($C$2:$C$1201,MATCH(B949,$B$2:$B$1201,0))&lt;&gt;C949,"Nome diferente em outro deck — revisar",""))</f>
        <v/>
      </c>
      <c r="J949" s="16" t="str">
        <f aca="false">IF(AND(B949&lt;&gt;"",A949=BULK!$A$1,N(F949)&gt;0),MAX(J$1:J948)+1,"")</f>
        <v/>
      </c>
      <c r="K949" s="11" t="str">
        <f aca="false">IF(B949="","",IFERROR(LEFT(B949,FIND("-",B949)-1),B949))</f>
        <v/>
      </c>
      <c r="L949" s="11" t="str">
        <f aca="false">IF(K949="","",IF(ISNUMBER(--MID(K949,1,1)),0,IF(ISNUMBER(--MID(K949,2,1)),1,IF(ISNUMBER(--MID(K949,3,1)),2,IF(ISNUMBER(--MID(K949,4,1)),3,MIN(LEN(K949),4))))))</f>
        <v/>
      </c>
      <c r="M949" s="11" t="str">
        <f aca="false">IF(B949="","",LEFT(K949,L949)&amp;REPT("0",4-L949)&amp;RIGHT("000"&amp;IFERROR(VALUE(MID(K949,L949+1,9)),0),3)&amp;RIGHT("0000"&amp;IFERROR(VALUE(MID(B949,FIND("-",B949)+1,9)),0),4))</f>
        <v/>
      </c>
      <c r="N949" s="11" t="str">
        <f aca="false">IF(OR(B949="",N(F949)&lt;=0),"",IF('FALTAS POR DECK'!$P$1="Código","K"&amp;M949&amp;RIGHT("00000"&amp;ROW(),5),IF('FALTAS POR DECK'!$P$1="Nome","K"&amp;UPPER(SUBSTITUTE(SUBSTITUTE(SUBSTITUTE(C949,"*",""),"?",""),"~",""))&amp;"0"&amp;M949&amp;RIGHT("00000"&amp;ROW(),5),IF('FALTAS POR DECK'!$P$1="Falta (maior primeiro)","K"&amp;RIGHT("0000"&amp;(9999-F949),4)&amp;M949&amp;RIGHT("00000"&amp;ROW(),5),IF('FALTAS POR DECK'!$P$1="Deck e código","K"&amp;RIGHT("00"&amp;IFERROR(MATCH(A949,_LEITURA!$P$2:$P$21,0),99),2)&amp;M949&amp;RIGHT("00000"&amp;ROW(),5),"K"&amp;RIGHT("00000"&amp;ROW(),5))))))</f>
        <v/>
      </c>
      <c r="O949" s="16" t="str">
        <f aca="false">IF(N949="","",COUNTIFS($N$2:$N$1201,"&lt;"&amp;N949,$F$2:$F$1201,"&gt;0")+1)</f>
        <v/>
      </c>
    </row>
    <row r="950" customFormat="false" ht="15" hidden="false" customHeight="false" outlineLevel="0" collapsed="false">
      <c r="A950" s="11" t="str">
        <f aca="false">IF(_LEITURA!$N950="","",INDEX(_LEITURA!$K$2:$K$1201,_LEITURA!$N950))</f>
        <v/>
      </c>
      <c r="B950" s="11" t="str">
        <f aca="false">IF(_LEITURA!$N950="","",INDEX(_LEITURA!$E$2:$E$1201,_LEITURA!$N950))</f>
        <v/>
      </c>
      <c r="C950" s="11" t="str">
        <f aca="false">IF(_LEITURA!$N950="","",INDEX(_LEITURA!$J$2:$J$1201,_LEITURA!$N950))</f>
        <v/>
      </c>
      <c r="D950" s="16" t="str">
        <f aca="false">IF(_LEITURA!$N950="","",INDEX(_LEITURA!$G$2:$G$1201,_LEITURA!$N950))</f>
        <v/>
      </c>
      <c r="E950" s="16" t="str">
        <f aca="false">IF(B950="","",SUMIFS(INVENTÁRIO!$C$2:$C$801,INVENTÁRIO!$A$2:$A$801,B950))</f>
        <v/>
      </c>
      <c r="F950" s="16" t="str">
        <f aca="false">IF(B950="","",MAX(0,D950-E950))</f>
        <v/>
      </c>
      <c r="G950" s="16" t="str">
        <f aca="false">IF(B950="","",IF(COUNTIFS($B$2:$B$1201,B950,$A$2:$A$1201,"&lt;&gt;"&amp;A950)&gt;0,"Sim",""))</f>
        <v/>
      </c>
      <c r="H950" s="16" t="str">
        <f aca="false">IF(N(F950)&gt;0,MAX(H$1:H949)+1,"")</f>
        <v/>
      </c>
      <c r="I950" s="11" t="str">
        <f aca="false">IF(B950="","",IF(INDEX($C$2:$C$1201,MATCH(B950,$B$2:$B$1201,0))&lt;&gt;C950,"Nome diferente em outro deck — revisar",""))</f>
        <v/>
      </c>
      <c r="J950" s="16" t="str">
        <f aca="false">IF(AND(B950&lt;&gt;"",A950=BULK!$A$1,N(F950)&gt;0),MAX(J$1:J949)+1,"")</f>
        <v/>
      </c>
      <c r="K950" s="11" t="str">
        <f aca="false">IF(B950="","",IFERROR(LEFT(B950,FIND("-",B950)-1),B950))</f>
        <v/>
      </c>
      <c r="L950" s="11" t="str">
        <f aca="false">IF(K950="","",IF(ISNUMBER(--MID(K950,1,1)),0,IF(ISNUMBER(--MID(K950,2,1)),1,IF(ISNUMBER(--MID(K950,3,1)),2,IF(ISNUMBER(--MID(K950,4,1)),3,MIN(LEN(K950),4))))))</f>
        <v/>
      </c>
      <c r="M950" s="11" t="str">
        <f aca="false">IF(B950="","",LEFT(K950,L950)&amp;REPT("0",4-L950)&amp;RIGHT("000"&amp;IFERROR(VALUE(MID(K950,L950+1,9)),0),3)&amp;RIGHT("0000"&amp;IFERROR(VALUE(MID(B950,FIND("-",B950)+1,9)),0),4))</f>
        <v/>
      </c>
      <c r="N950" s="11" t="str">
        <f aca="false">IF(OR(B950="",N(F950)&lt;=0),"",IF('FALTAS POR DECK'!$P$1="Código","K"&amp;M950&amp;RIGHT("00000"&amp;ROW(),5),IF('FALTAS POR DECK'!$P$1="Nome","K"&amp;UPPER(SUBSTITUTE(SUBSTITUTE(SUBSTITUTE(C950,"*",""),"?",""),"~",""))&amp;"0"&amp;M950&amp;RIGHT("00000"&amp;ROW(),5),IF('FALTAS POR DECK'!$P$1="Falta (maior primeiro)","K"&amp;RIGHT("0000"&amp;(9999-F950),4)&amp;M950&amp;RIGHT("00000"&amp;ROW(),5),IF('FALTAS POR DECK'!$P$1="Deck e código","K"&amp;RIGHT("00"&amp;IFERROR(MATCH(A950,_LEITURA!$P$2:$P$21,0),99),2)&amp;M950&amp;RIGHT("00000"&amp;ROW(),5),"K"&amp;RIGHT("00000"&amp;ROW(),5))))))</f>
        <v/>
      </c>
      <c r="O950" s="16" t="str">
        <f aca="false">IF(N950="","",COUNTIFS($N$2:$N$1201,"&lt;"&amp;N950,$F$2:$F$1201,"&gt;0")+1)</f>
        <v/>
      </c>
    </row>
    <row r="951" customFormat="false" ht="15" hidden="false" customHeight="false" outlineLevel="0" collapsed="false">
      <c r="A951" s="11" t="str">
        <f aca="false">IF(_LEITURA!$N951="","",INDEX(_LEITURA!$K$2:$K$1201,_LEITURA!$N951))</f>
        <v/>
      </c>
      <c r="B951" s="11" t="str">
        <f aca="false">IF(_LEITURA!$N951="","",INDEX(_LEITURA!$E$2:$E$1201,_LEITURA!$N951))</f>
        <v/>
      </c>
      <c r="C951" s="11" t="str">
        <f aca="false">IF(_LEITURA!$N951="","",INDEX(_LEITURA!$J$2:$J$1201,_LEITURA!$N951))</f>
        <v/>
      </c>
      <c r="D951" s="16" t="str">
        <f aca="false">IF(_LEITURA!$N951="","",INDEX(_LEITURA!$G$2:$G$1201,_LEITURA!$N951))</f>
        <v/>
      </c>
      <c r="E951" s="16" t="str">
        <f aca="false">IF(B951="","",SUMIFS(INVENTÁRIO!$C$2:$C$801,INVENTÁRIO!$A$2:$A$801,B951))</f>
        <v/>
      </c>
      <c r="F951" s="16" t="str">
        <f aca="false">IF(B951="","",MAX(0,D951-E951))</f>
        <v/>
      </c>
      <c r="G951" s="16" t="str">
        <f aca="false">IF(B951="","",IF(COUNTIFS($B$2:$B$1201,B951,$A$2:$A$1201,"&lt;&gt;"&amp;A951)&gt;0,"Sim",""))</f>
        <v/>
      </c>
      <c r="H951" s="16" t="str">
        <f aca="false">IF(N(F951)&gt;0,MAX(H$1:H950)+1,"")</f>
        <v/>
      </c>
      <c r="I951" s="11" t="str">
        <f aca="false">IF(B951="","",IF(INDEX($C$2:$C$1201,MATCH(B951,$B$2:$B$1201,0))&lt;&gt;C951,"Nome diferente em outro deck — revisar",""))</f>
        <v/>
      </c>
      <c r="J951" s="16" t="str">
        <f aca="false">IF(AND(B951&lt;&gt;"",A951=BULK!$A$1,N(F951)&gt;0),MAX(J$1:J950)+1,"")</f>
        <v/>
      </c>
      <c r="K951" s="11" t="str">
        <f aca="false">IF(B951="","",IFERROR(LEFT(B951,FIND("-",B951)-1),B951))</f>
        <v/>
      </c>
      <c r="L951" s="11" t="str">
        <f aca="false">IF(K951="","",IF(ISNUMBER(--MID(K951,1,1)),0,IF(ISNUMBER(--MID(K951,2,1)),1,IF(ISNUMBER(--MID(K951,3,1)),2,IF(ISNUMBER(--MID(K951,4,1)),3,MIN(LEN(K951),4))))))</f>
        <v/>
      </c>
      <c r="M951" s="11" t="str">
        <f aca="false">IF(B951="","",LEFT(K951,L951)&amp;REPT("0",4-L951)&amp;RIGHT("000"&amp;IFERROR(VALUE(MID(K951,L951+1,9)),0),3)&amp;RIGHT("0000"&amp;IFERROR(VALUE(MID(B951,FIND("-",B951)+1,9)),0),4))</f>
        <v/>
      </c>
      <c r="N951" s="11" t="str">
        <f aca="false">IF(OR(B951="",N(F951)&lt;=0),"",IF('FALTAS POR DECK'!$P$1="Código","K"&amp;M951&amp;RIGHT("00000"&amp;ROW(),5),IF('FALTAS POR DECK'!$P$1="Nome","K"&amp;UPPER(SUBSTITUTE(SUBSTITUTE(SUBSTITUTE(C951,"*",""),"?",""),"~",""))&amp;"0"&amp;M951&amp;RIGHT("00000"&amp;ROW(),5),IF('FALTAS POR DECK'!$P$1="Falta (maior primeiro)","K"&amp;RIGHT("0000"&amp;(9999-F951),4)&amp;M951&amp;RIGHT("00000"&amp;ROW(),5),IF('FALTAS POR DECK'!$P$1="Deck e código","K"&amp;RIGHT("00"&amp;IFERROR(MATCH(A951,_LEITURA!$P$2:$P$21,0),99),2)&amp;M951&amp;RIGHT("00000"&amp;ROW(),5),"K"&amp;RIGHT("00000"&amp;ROW(),5))))))</f>
        <v/>
      </c>
      <c r="O951" s="16" t="str">
        <f aca="false">IF(N951="","",COUNTIFS($N$2:$N$1201,"&lt;"&amp;N951,$F$2:$F$1201,"&gt;0")+1)</f>
        <v/>
      </c>
    </row>
    <row r="952" customFormat="false" ht="15" hidden="false" customHeight="false" outlineLevel="0" collapsed="false">
      <c r="A952" s="11" t="str">
        <f aca="false">IF(_LEITURA!$N952="","",INDEX(_LEITURA!$K$2:$K$1201,_LEITURA!$N952))</f>
        <v/>
      </c>
      <c r="B952" s="11" t="str">
        <f aca="false">IF(_LEITURA!$N952="","",INDEX(_LEITURA!$E$2:$E$1201,_LEITURA!$N952))</f>
        <v/>
      </c>
      <c r="C952" s="11" t="str">
        <f aca="false">IF(_LEITURA!$N952="","",INDEX(_LEITURA!$J$2:$J$1201,_LEITURA!$N952))</f>
        <v/>
      </c>
      <c r="D952" s="16" t="str">
        <f aca="false">IF(_LEITURA!$N952="","",INDEX(_LEITURA!$G$2:$G$1201,_LEITURA!$N952))</f>
        <v/>
      </c>
      <c r="E952" s="16" t="str">
        <f aca="false">IF(B952="","",SUMIFS(INVENTÁRIO!$C$2:$C$801,INVENTÁRIO!$A$2:$A$801,B952))</f>
        <v/>
      </c>
      <c r="F952" s="16" t="str">
        <f aca="false">IF(B952="","",MAX(0,D952-E952))</f>
        <v/>
      </c>
      <c r="G952" s="16" t="str">
        <f aca="false">IF(B952="","",IF(COUNTIFS($B$2:$B$1201,B952,$A$2:$A$1201,"&lt;&gt;"&amp;A952)&gt;0,"Sim",""))</f>
        <v/>
      </c>
      <c r="H952" s="16" t="str">
        <f aca="false">IF(N(F952)&gt;0,MAX(H$1:H951)+1,"")</f>
        <v/>
      </c>
      <c r="I952" s="11" t="str">
        <f aca="false">IF(B952="","",IF(INDEX($C$2:$C$1201,MATCH(B952,$B$2:$B$1201,0))&lt;&gt;C952,"Nome diferente em outro deck — revisar",""))</f>
        <v/>
      </c>
      <c r="J952" s="16" t="str">
        <f aca="false">IF(AND(B952&lt;&gt;"",A952=BULK!$A$1,N(F952)&gt;0),MAX(J$1:J951)+1,"")</f>
        <v/>
      </c>
      <c r="K952" s="11" t="str">
        <f aca="false">IF(B952="","",IFERROR(LEFT(B952,FIND("-",B952)-1),B952))</f>
        <v/>
      </c>
      <c r="L952" s="11" t="str">
        <f aca="false">IF(K952="","",IF(ISNUMBER(--MID(K952,1,1)),0,IF(ISNUMBER(--MID(K952,2,1)),1,IF(ISNUMBER(--MID(K952,3,1)),2,IF(ISNUMBER(--MID(K952,4,1)),3,MIN(LEN(K952),4))))))</f>
        <v/>
      </c>
      <c r="M952" s="11" t="str">
        <f aca="false">IF(B952="","",LEFT(K952,L952)&amp;REPT("0",4-L952)&amp;RIGHT("000"&amp;IFERROR(VALUE(MID(K952,L952+1,9)),0),3)&amp;RIGHT("0000"&amp;IFERROR(VALUE(MID(B952,FIND("-",B952)+1,9)),0),4))</f>
        <v/>
      </c>
      <c r="N952" s="11" t="str">
        <f aca="false">IF(OR(B952="",N(F952)&lt;=0),"",IF('FALTAS POR DECK'!$P$1="Código","K"&amp;M952&amp;RIGHT("00000"&amp;ROW(),5),IF('FALTAS POR DECK'!$P$1="Nome","K"&amp;UPPER(SUBSTITUTE(SUBSTITUTE(SUBSTITUTE(C952,"*",""),"?",""),"~",""))&amp;"0"&amp;M952&amp;RIGHT("00000"&amp;ROW(),5),IF('FALTAS POR DECK'!$P$1="Falta (maior primeiro)","K"&amp;RIGHT("0000"&amp;(9999-F952),4)&amp;M952&amp;RIGHT("00000"&amp;ROW(),5),IF('FALTAS POR DECK'!$P$1="Deck e código","K"&amp;RIGHT("00"&amp;IFERROR(MATCH(A952,_LEITURA!$P$2:$P$21,0),99),2)&amp;M952&amp;RIGHT("00000"&amp;ROW(),5),"K"&amp;RIGHT("00000"&amp;ROW(),5))))))</f>
        <v/>
      </c>
      <c r="O952" s="16" t="str">
        <f aca="false">IF(N952="","",COUNTIFS($N$2:$N$1201,"&lt;"&amp;N952,$F$2:$F$1201,"&gt;0")+1)</f>
        <v/>
      </c>
    </row>
    <row r="953" customFormat="false" ht="15" hidden="false" customHeight="false" outlineLevel="0" collapsed="false">
      <c r="A953" s="11" t="str">
        <f aca="false">IF(_LEITURA!$N953="","",INDEX(_LEITURA!$K$2:$K$1201,_LEITURA!$N953))</f>
        <v/>
      </c>
      <c r="B953" s="11" t="str">
        <f aca="false">IF(_LEITURA!$N953="","",INDEX(_LEITURA!$E$2:$E$1201,_LEITURA!$N953))</f>
        <v/>
      </c>
      <c r="C953" s="11" t="str">
        <f aca="false">IF(_LEITURA!$N953="","",INDEX(_LEITURA!$J$2:$J$1201,_LEITURA!$N953))</f>
        <v/>
      </c>
      <c r="D953" s="16" t="str">
        <f aca="false">IF(_LEITURA!$N953="","",INDEX(_LEITURA!$G$2:$G$1201,_LEITURA!$N953))</f>
        <v/>
      </c>
      <c r="E953" s="16" t="str">
        <f aca="false">IF(B953="","",SUMIFS(INVENTÁRIO!$C$2:$C$801,INVENTÁRIO!$A$2:$A$801,B953))</f>
        <v/>
      </c>
      <c r="F953" s="16" t="str">
        <f aca="false">IF(B953="","",MAX(0,D953-E953))</f>
        <v/>
      </c>
      <c r="G953" s="16" t="str">
        <f aca="false">IF(B953="","",IF(COUNTIFS($B$2:$B$1201,B953,$A$2:$A$1201,"&lt;&gt;"&amp;A953)&gt;0,"Sim",""))</f>
        <v/>
      </c>
      <c r="H953" s="16" t="str">
        <f aca="false">IF(N(F953)&gt;0,MAX(H$1:H952)+1,"")</f>
        <v/>
      </c>
      <c r="I953" s="11" t="str">
        <f aca="false">IF(B953="","",IF(INDEX($C$2:$C$1201,MATCH(B953,$B$2:$B$1201,0))&lt;&gt;C953,"Nome diferente em outro deck — revisar",""))</f>
        <v/>
      </c>
      <c r="J953" s="16" t="str">
        <f aca="false">IF(AND(B953&lt;&gt;"",A953=BULK!$A$1,N(F953)&gt;0),MAX(J$1:J952)+1,"")</f>
        <v/>
      </c>
      <c r="K953" s="11" t="str">
        <f aca="false">IF(B953="","",IFERROR(LEFT(B953,FIND("-",B953)-1),B953))</f>
        <v/>
      </c>
      <c r="L953" s="11" t="str">
        <f aca="false">IF(K953="","",IF(ISNUMBER(--MID(K953,1,1)),0,IF(ISNUMBER(--MID(K953,2,1)),1,IF(ISNUMBER(--MID(K953,3,1)),2,IF(ISNUMBER(--MID(K953,4,1)),3,MIN(LEN(K953),4))))))</f>
        <v/>
      </c>
      <c r="M953" s="11" t="str">
        <f aca="false">IF(B953="","",LEFT(K953,L953)&amp;REPT("0",4-L953)&amp;RIGHT("000"&amp;IFERROR(VALUE(MID(K953,L953+1,9)),0),3)&amp;RIGHT("0000"&amp;IFERROR(VALUE(MID(B953,FIND("-",B953)+1,9)),0),4))</f>
        <v/>
      </c>
      <c r="N953" s="11" t="str">
        <f aca="false">IF(OR(B953="",N(F953)&lt;=0),"",IF('FALTAS POR DECK'!$P$1="Código","K"&amp;M953&amp;RIGHT("00000"&amp;ROW(),5),IF('FALTAS POR DECK'!$P$1="Nome","K"&amp;UPPER(SUBSTITUTE(SUBSTITUTE(SUBSTITUTE(C953,"*",""),"?",""),"~",""))&amp;"0"&amp;M953&amp;RIGHT("00000"&amp;ROW(),5),IF('FALTAS POR DECK'!$P$1="Falta (maior primeiro)","K"&amp;RIGHT("0000"&amp;(9999-F953),4)&amp;M953&amp;RIGHT("00000"&amp;ROW(),5),IF('FALTAS POR DECK'!$P$1="Deck e código","K"&amp;RIGHT("00"&amp;IFERROR(MATCH(A953,_LEITURA!$P$2:$P$21,0),99),2)&amp;M953&amp;RIGHT("00000"&amp;ROW(),5),"K"&amp;RIGHT("00000"&amp;ROW(),5))))))</f>
        <v/>
      </c>
      <c r="O953" s="16" t="str">
        <f aca="false">IF(N953="","",COUNTIFS($N$2:$N$1201,"&lt;"&amp;N953,$F$2:$F$1201,"&gt;0")+1)</f>
        <v/>
      </c>
    </row>
    <row r="954" customFormat="false" ht="15" hidden="false" customHeight="false" outlineLevel="0" collapsed="false">
      <c r="A954" s="11" t="str">
        <f aca="false">IF(_LEITURA!$N954="","",INDEX(_LEITURA!$K$2:$K$1201,_LEITURA!$N954))</f>
        <v/>
      </c>
      <c r="B954" s="11" t="str">
        <f aca="false">IF(_LEITURA!$N954="","",INDEX(_LEITURA!$E$2:$E$1201,_LEITURA!$N954))</f>
        <v/>
      </c>
      <c r="C954" s="11" t="str">
        <f aca="false">IF(_LEITURA!$N954="","",INDEX(_LEITURA!$J$2:$J$1201,_LEITURA!$N954))</f>
        <v/>
      </c>
      <c r="D954" s="16" t="str">
        <f aca="false">IF(_LEITURA!$N954="","",INDEX(_LEITURA!$G$2:$G$1201,_LEITURA!$N954))</f>
        <v/>
      </c>
      <c r="E954" s="16" t="str">
        <f aca="false">IF(B954="","",SUMIFS(INVENTÁRIO!$C$2:$C$801,INVENTÁRIO!$A$2:$A$801,B954))</f>
        <v/>
      </c>
      <c r="F954" s="16" t="str">
        <f aca="false">IF(B954="","",MAX(0,D954-E954))</f>
        <v/>
      </c>
      <c r="G954" s="16" t="str">
        <f aca="false">IF(B954="","",IF(COUNTIFS($B$2:$B$1201,B954,$A$2:$A$1201,"&lt;&gt;"&amp;A954)&gt;0,"Sim",""))</f>
        <v/>
      </c>
      <c r="H954" s="16" t="str">
        <f aca="false">IF(N(F954)&gt;0,MAX(H$1:H953)+1,"")</f>
        <v/>
      </c>
      <c r="I954" s="11" t="str">
        <f aca="false">IF(B954="","",IF(INDEX($C$2:$C$1201,MATCH(B954,$B$2:$B$1201,0))&lt;&gt;C954,"Nome diferente em outro deck — revisar",""))</f>
        <v/>
      </c>
      <c r="J954" s="16" t="str">
        <f aca="false">IF(AND(B954&lt;&gt;"",A954=BULK!$A$1,N(F954)&gt;0),MAX(J$1:J953)+1,"")</f>
        <v/>
      </c>
      <c r="K954" s="11" t="str">
        <f aca="false">IF(B954="","",IFERROR(LEFT(B954,FIND("-",B954)-1),B954))</f>
        <v/>
      </c>
      <c r="L954" s="11" t="str">
        <f aca="false">IF(K954="","",IF(ISNUMBER(--MID(K954,1,1)),0,IF(ISNUMBER(--MID(K954,2,1)),1,IF(ISNUMBER(--MID(K954,3,1)),2,IF(ISNUMBER(--MID(K954,4,1)),3,MIN(LEN(K954),4))))))</f>
        <v/>
      </c>
      <c r="M954" s="11" t="str">
        <f aca="false">IF(B954="","",LEFT(K954,L954)&amp;REPT("0",4-L954)&amp;RIGHT("000"&amp;IFERROR(VALUE(MID(K954,L954+1,9)),0),3)&amp;RIGHT("0000"&amp;IFERROR(VALUE(MID(B954,FIND("-",B954)+1,9)),0),4))</f>
        <v/>
      </c>
      <c r="N954" s="11" t="str">
        <f aca="false">IF(OR(B954="",N(F954)&lt;=0),"",IF('FALTAS POR DECK'!$P$1="Código","K"&amp;M954&amp;RIGHT("00000"&amp;ROW(),5),IF('FALTAS POR DECK'!$P$1="Nome","K"&amp;UPPER(SUBSTITUTE(SUBSTITUTE(SUBSTITUTE(C954,"*",""),"?",""),"~",""))&amp;"0"&amp;M954&amp;RIGHT("00000"&amp;ROW(),5),IF('FALTAS POR DECK'!$P$1="Falta (maior primeiro)","K"&amp;RIGHT("0000"&amp;(9999-F954),4)&amp;M954&amp;RIGHT("00000"&amp;ROW(),5),IF('FALTAS POR DECK'!$P$1="Deck e código","K"&amp;RIGHT("00"&amp;IFERROR(MATCH(A954,_LEITURA!$P$2:$P$21,0),99),2)&amp;M954&amp;RIGHT("00000"&amp;ROW(),5),"K"&amp;RIGHT("00000"&amp;ROW(),5))))))</f>
        <v/>
      </c>
      <c r="O954" s="16" t="str">
        <f aca="false">IF(N954="","",COUNTIFS($N$2:$N$1201,"&lt;"&amp;N954,$F$2:$F$1201,"&gt;0")+1)</f>
        <v/>
      </c>
    </row>
    <row r="955" customFormat="false" ht="15" hidden="false" customHeight="false" outlineLevel="0" collapsed="false">
      <c r="A955" s="11" t="str">
        <f aca="false">IF(_LEITURA!$N955="","",INDEX(_LEITURA!$K$2:$K$1201,_LEITURA!$N955))</f>
        <v/>
      </c>
      <c r="B955" s="11" t="str">
        <f aca="false">IF(_LEITURA!$N955="","",INDEX(_LEITURA!$E$2:$E$1201,_LEITURA!$N955))</f>
        <v/>
      </c>
      <c r="C955" s="11" t="str">
        <f aca="false">IF(_LEITURA!$N955="","",INDEX(_LEITURA!$J$2:$J$1201,_LEITURA!$N955))</f>
        <v/>
      </c>
      <c r="D955" s="16" t="str">
        <f aca="false">IF(_LEITURA!$N955="","",INDEX(_LEITURA!$G$2:$G$1201,_LEITURA!$N955))</f>
        <v/>
      </c>
      <c r="E955" s="16" t="str">
        <f aca="false">IF(B955="","",SUMIFS(INVENTÁRIO!$C$2:$C$801,INVENTÁRIO!$A$2:$A$801,B955))</f>
        <v/>
      </c>
      <c r="F955" s="16" t="str">
        <f aca="false">IF(B955="","",MAX(0,D955-E955))</f>
        <v/>
      </c>
      <c r="G955" s="16" t="str">
        <f aca="false">IF(B955="","",IF(COUNTIFS($B$2:$B$1201,B955,$A$2:$A$1201,"&lt;&gt;"&amp;A955)&gt;0,"Sim",""))</f>
        <v/>
      </c>
      <c r="H955" s="16" t="str">
        <f aca="false">IF(N(F955)&gt;0,MAX(H$1:H954)+1,"")</f>
        <v/>
      </c>
      <c r="I955" s="11" t="str">
        <f aca="false">IF(B955="","",IF(INDEX($C$2:$C$1201,MATCH(B955,$B$2:$B$1201,0))&lt;&gt;C955,"Nome diferente em outro deck — revisar",""))</f>
        <v/>
      </c>
      <c r="J955" s="16" t="str">
        <f aca="false">IF(AND(B955&lt;&gt;"",A955=BULK!$A$1,N(F955)&gt;0),MAX(J$1:J954)+1,"")</f>
        <v/>
      </c>
      <c r="K955" s="11" t="str">
        <f aca="false">IF(B955="","",IFERROR(LEFT(B955,FIND("-",B955)-1),B955))</f>
        <v/>
      </c>
      <c r="L955" s="11" t="str">
        <f aca="false">IF(K955="","",IF(ISNUMBER(--MID(K955,1,1)),0,IF(ISNUMBER(--MID(K955,2,1)),1,IF(ISNUMBER(--MID(K955,3,1)),2,IF(ISNUMBER(--MID(K955,4,1)),3,MIN(LEN(K955),4))))))</f>
        <v/>
      </c>
      <c r="M955" s="11" t="str">
        <f aca="false">IF(B955="","",LEFT(K955,L955)&amp;REPT("0",4-L955)&amp;RIGHT("000"&amp;IFERROR(VALUE(MID(K955,L955+1,9)),0),3)&amp;RIGHT("0000"&amp;IFERROR(VALUE(MID(B955,FIND("-",B955)+1,9)),0),4))</f>
        <v/>
      </c>
      <c r="N955" s="11" t="str">
        <f aca="false">IF(OR(B955="",N(F955)&lt;=0),"",IF('FALTAS POR DECK'!$P$1="Código","K"&amp;M955&amp;RIGHT("00000"&amp;ROW(),5),IF('FALTAS POR DECK'!$P$1="Nome","K"&amp;UPPER(SUBSTITUTE(SUBSTITUTE(SUBSTITUTE(C955,"*",""),"?",""),"~",""))&amp;"0"&amp;M955&amp;RIGHT("00000"&amp;ROW(),5),IF('FALTAS POR DECK'!$P$1="Falta (maior primeiro)","K"&amp;RIGHT("0000"&amp;(9999-F955),4)&amp;M955&amp;RIGHT("00000"&amp;ROW(),5),IF('FALTAS POR DECK'!$P$1="Deck e código","K"&amp;RIGHT("00"&amp;IFERROR(MATCH(A955,_LEITURA!$P$2:$P$21,0),99),2)&amp;M955&amp;RIGHT("00000"&amp;ROW(),5),"K"&amp;RIGHT("00000"&amp;ROW(),5))))))</f>
        <v/>
      </c>
      <c r="O955" s="16" t="str">
        <f aca="false">IF(N955="","",COUNTIFS($N$2:$N$1201,"&lt;"&amp;N955,$F$2:$F$1201,"&gt;0")+1)</f>
        <v/>
      </c>
    </row>
    <row r="956" customFormat="false" ht="15" hidden="false" customHeight="false" outlineLevel="0" collapsed="false">
      <c r="A956" s="11" t="str">
        <f aca="false">IF(_LEITURA!$N956="","",INDEX(_LEITURA!$K$2:$K$1201,_LEITURA!$N956))</f>
        <v/>
      </c>
      <c r="B956" s="11" t="str">
        <f aca="false">IF(_LEITURA!$N956="","",INDEX(_LEITURA!$E$2:$E$1201,_LEITURA!$N956))</f>
        <v/>
      </c>
      <c r="C956" s="11" t="str">
        <f aca="false">IF(_LEITURA!$N956="","",INDEX(_LEITURA!$J$2:$J$1201,_LEITURA!$N956))</f>
        <v/>
      </c>
      <c r="D956" s="16" t="str">
        <f aca="false">IF(_LEITURA!$N956="","",INDEX(_LEITURA!$G$2:$G$1201,_LEITURA!$N956))</f>
        <v/>
      </c>
      <c r="E956" s="16" t="str">
        <f aca="false">IF(B956="","",SUMIFS(INVENTÁRIO!$C$2:$C$801,INVENTÁRIO!$A$2:$A$801,B956))</f>
        <v/>
      </c>
      <c r="F956" s="16" t="str">
        <f aca="false">IF(B956="","",MAX(0,D956-E956))</f>
        <v/>
      </c>
      <c r="G956" s="16" t="str">
        <f aca="false">IF(B956="","",IF(COUNTIFS($B$2:$B$1201,B956,$A$2:$A$1201,"&lt;&gt;"&amp;A956)&gt;0,"Sim",""))</f>
        <v/>
      </c>
      <c r="H956" s="16" t="str">
        <f aca="false">IF(N(F956)&gt;0,MAX(H$1:H955)+1,"")</f>
        <v/>
      </c>
      <c r="I956" s="11" t="str">
        <f aca="false">IF(B956="","",IF(INDEX($C$2:$C$1201,MATCH(B956,$B$2:$B$1201,0))&lt;&gt;C956,"Nome diferente em outro deck — revisar",""))</f>
        <v/>
      </c>
      <c r="J956" s="16" t="str">
        <f aca="false">IF(AND(B956&lt;&gt;"",A956=BULK!$A$1,N(F956)&gt;0),MAX(J$1:J955)+1,"")</f>
        <v/>
      </c>
      <c r="K956" s="11" t="str">
        <f aca="false">IF(B956="","",IFERROR(LEFT(B956,FIND("-",B956)-1),B956))</f>
        <v/>
      </c>
      <c r="L956" s="11" t="str">
        <f aca="false">IF(K956="","",IF(ISNUMBER(--MID(K956,1,1)),0,IF(ISNUMBER(--MID(K956,2,1)),1,IF(ISNUMBER(--MID(K956,3,1)),2,IF(ISNUMBER(--MID(K956,4,1)),3,MIN(LEN(K956),4))))))</f>
        <v/>
      </c>
      <c r="M956" s="11" t="str">
        <f aca="false">IF(B956="","",LEFT(K956,L956)&amp;REPT("0",4-L956)&amp;RIGHT("000"&amp;IFERROR(VALUE(MID(K956,L956+1,9)),0),3)&amp;RIGHT("0000"&amp;IFERROR(VALUE(MID(B956,FIND("-",B956)+1,9)),0),4))</f>
        <v/>
      </c>
      <c r="N956" s="11" t="str">
        <f aca="false">IF(OR(B956="",N(F956)&lt;=0),"",IF('FALTAS POR DECK'!$P$1="Código","K"&amp;M956&amp;RIGHT("00000"&amp;ROW(),5),IF('FALTAS POR DECK'!$P$1="Nome","K"&amp;UPPER(SUBSTITUTE(SUBSTITUTE(SUBSTITUTE(C956,"*",""),"?",""),"~",""))&amp;"0"&amp;M956&amp;RIGHT("00000"&amp;ROW(),5),IF('FALTAS POR DECK'!$P$1="Falta (maior primeiro)","K"&amp;RIGHT("0000"&amp;(9999-F956),4)&amp;M956&amp;RIGHT("00000"&amp;ROW(),5),IF('FALTAS POR DECK'!$P$1="Deck e código","K"&amp;RIGHT("00"&amp;IFERROR(MATCH(A956,_LEITURA!$P$2:$P$21,0),99),2)&amp;M956&amp;RIGHT("00000"&amp;ROW(),5),"K"&amp;RIGHT("00000"&amp;ROW(),5))))))</f>
        <v/>
      </c>
      <c r="O956" s="16" t="str">
        <f aca="false">IF(N956="","",COUNTIFS($N$2:$N$1201,"&lt;"&amp;N956,$F$2:$F$1201,"&gt;0")+1)</f>
        <v/>
      </c>
    </row>
    <row r="957" customFormat="false" ht="15" hidden="false" customHeight="false" outlineLevel="0" collapsed="false">
      <c r="A957" s="11" t="str">
        <f aca="false">IF(_LEITURA!$N957="","",INDEX(_LEITURA!$K$2:$K$1201,_LEITURA!$N957))</f>
        <v/>
      </c>
      <c r="B957" s="11" t="str">
        <f aca="false">IF(_LEITURA!$N957="","",INDEX(_LEITURA!$E$2:$E$1201,_LEITURA!$N957))</f>
        <v/>
      </c>
      <c r="C957" s="11" t="str">
        <f aca="false">IF(_LEITURA!$N957="","",INDEX(_LEITURA!$J$2:$J$1201,_LEITURA!$N957))</f>
        <v/>
      </c>
      <c r="D957" s="16" t="str">
        <f aca="false">IF(_LEITURA!$N957="","",INDEX(_LEITURA!$G$2:$G$1201,_LEITURA!$N957))</f>
        <v/>
      </c>
      <c r="E957" s="16" t="str">
        <f aca="false">IF(B957="","",SUMIFS(INVENTÁRIO!$C$2:$C$801,INVENTÁRIO!$A$2:$A$801,B957))</f>
        <v/>
      </c>
      <c r="F957" s="16" t="str">
        <f aca="false">IF(B957="","",MAX(0,D957-E957))</f>
        <v/>
      </c>
      <c r="G957" s="16" t="str">
        <f aca="false">IF(B957="","",IF(COUNTIFS($B$2:$B$1201,B957,$A$2:$A$1201,"&lt;&gt;"&amp;A957)&gt;0,"Sim",""))</f>
        <v/>
      </c>
      <c r="H957" s="16" t="str">
        <f aca="false">IF(N(F957)&gt;0,MAX(H$1:H956)+1,"")</f>
        <v/>
      </c>
      <c r="I957" s="11" t="str">
        <f aca="false">IF(B957="","",IF(INDEX($C$2:$C$1201,MATCH(B957,$B$2:$B$1201,0))&lt;&gt;C957,"Nome diferente em outro deck — revisar",""))</f>
        <v/>
      </c>
      <c r="J957" s="16" t="str">
        <f aca="false">IF(AND(B957&lt;&gt;"",A957=BULK!$A$1,N(F957)&gt;0),MAX(J$1:J956)+1,"")</f>
        <v/>
      </c>
      <c r="K957" s="11" t="str">
        <f aca="false">IF(B957="","",IFERROR(LEFT(B957,FIND("-",B957)-1),B957))</f>
        <v/>
      </c>
      <c r="L957" s="11" t="str">
        <f aca="false">IF(K957="","",IF(ISNUMBER(--MID(K957,1,1)),0,IF(ISNUMBER(--MID(K957,2,1)),1,IF(ISNUMBER(--MID(K957,3,1)),2,IF(ISNUMBER(--MID(K957,4,1)),3,MIN(LEN(K957),4))))))</f>
        <v/>
      </c>
      <c r="M957" s="11" t="str">
        <f aca="false">IF(B957="","",LEFT(K957,L957)&amp;REPT("0",4-L957)&amp;RIGHT("000"&amp;IFERROR(VALUE(MID(K957,L957+1,9)),0),3)&amp;RIGHT("0000"&amp;IFERROR(VALUE(MID(B957,FIND("-",B957)+1,9)),0),4))</f>
        <v/>
      </c>
      <c r="N957" s="11" t="str">
        <f aca="false">IF(OR(B957="",N(F957)&lt;=0),"",IF('FALTAS POR DECK'!$P$1="Código","K"&amp;M957&amp;RIGHT("00000"&amp;ROW(),5),IF('FALTAS POR DECK'!$P$1="Nome","K"&amp;UPPER(SUBSTITUTE(SUBSTITUTE(SUBSTITUTE(C957,"*",""),"?",""),"~",""))&amp;"0"&amp;M957&amp;RIGHT("00000"&amp;ROW(),5),IF('FALTAS POR DECK'!$P$1="Falta (maior primeiro)","K"&amp;RIGHT("0000"&amp;(9999-F957),4)&amp;M957&amp;RIGHT("00000"&amp;ROW(),5),IF('FALTAS POR DECK'!$P$1="Deck e código","K"&amp;RIGHT("00"&amp;IFERROR(MATCH(A957,_LEITURA!$P$2:$P$21,0),99),2)&amp;M957&amp;RIGHT("00000"&amp;ROW(),5),"K"&amp;RIGHT("00000"&amp;ROW(),5))))))</f>
        <v/>
      </c>
      <c r="O957" s="16" t="str">
        <f aca="false">IF(N957="","",COUNTIFS($N$2:$N$1201,"&lt;"&amp;N957,$F$2:$F$1201,"&gt;0")+1)</f>
        <v/>
      </c>
    </row>
    <row r="958" customFormat="false" ht="15" hidden="false" customHeight="false" outlineLevel="0" collapsed="false">
      <c r="A958" s="11" t="str">
        <f aca="false">IF(_LEITURA!$N958="","",INDEX(_LEITURA!$K$2:$K$1201,_LEITURA!$N958))</f>
        <v/>
      </c>
      <c r="B958" s="11" t="str">
        <f aca="false">IF(_LEITURA!$N958="","",INDEX(_LEITURA!$E$2:$E$1201,_LEITURA!$N958))</f>
        <v/>
      </c>
      <c r="C958" s="11" t="str">
        <f aca="false">IF(_LEITURA!$N958="","",INDEX(_LEITURA!$J$2:$J$1201,_LEITURA!$N958))</f>
        <v/>
      </c>
      <c r="D958" s="16" t="str">
        <f aca="false">IF(_LEITURA!$N958="","",INDEX(_LEITURA!$G$2:$G$1201,_LEITURA!$N958))</f>
        <v/>
      </c>
      <c r="E958" s="16" t="str">
        <f aca="false">IF(B958="","",SUMIFS(INVENTÁRIO!$C$2:$C$801,INVENTÁRIO!$A$2:$A$801,B958))</f>
        <v/>
      </c>
      <c r="F958" s="16" t="str">
        <f aca="false">IF(B958="","",MAX(0,D958-E958))</f>
        <v/>
      </c>
      <c r="G958" s="16" t="str">
        <f aca="false">IF(B958="","",IF(COUNTIFS($B$2:$B$1201,B958,$A$2:$A$1201,"&lt;&gt;"&amp;A958)&gt;0,"Sim",""))</f>
        <v/>
      </c>
      <c r="H958" s="16" t="str">
        <f aca="false">IF(N(F958)&gt;0,MAX(H$1:H957)+1,"")</f>
        <v/>
      </c>
      <c r="I958" s="11" t="str">
        <f aca="false">IF(B958="","",IF(INDEX($C$2:$C$1201,MATCH(B958,$B$2:$B$1201,0))&lt;&gt;C958,"Nome diferente em outro deck — revisar",""))</f>
        <v/>
      </c>
      <c r="J958" s="16" t="str">
        <f aca="false">IF(AND(B958&lt;&gt;"",A958=BULK!$A$1,N(F958)&gt;0),MAX(J$1:J957)+1,"")</f>
        <v/>
      </c>
      <c r="K958" s="11" t="str">
        <f aca="false">IF(B958="","",IFERROR(LEFT(B958,FIND("-",B958)-1),B958))</f>
        <v/>
      </c>
      <c r="L958" s="11" t="str">
        <f aca="false">IF(K958="","",IF(ISNUMBER(--MID(K958,1,1)),0,IF(ISNUMBER(--MID(K958,2,1)),1,IF(ISNUMBER(--MID(K958,3,1)),2,IF(ISNUMBER(--MID(K958,4,1)),3,MIN(LEN(K958),4))))))</f>
        <v/>
      </c>
      <c r="M958" s="11" t="str">
        <f aca="false">IF(B958="","",LEFT(K958,L958)&amp;REPT("0",4-L958)&amp;RIGHT("000"&amp;IFERROR(VALUE(MID(K958,L958+1,9)),0),3)&amp;RIGHT("0000"&amp;IFERROR(VALUE(MID(B958,FIND("-",B958)+1,9)),0),4))</f>
        <v/>
      </c>
      <c r="N958" s="11" t="str">
        <f aca="false">IF(OR(B958="",N(F958)&lt;=0),"",IF('FALTAS POR DECK'!$P$1="Código","K"&amp;M958&amp;RIGHT("00000"&amp;ROW(),5),IF('FALTAS POR DECK'!$P$1="Nome","K"&amp;UPPER(SUBSTITUTE(SUBSTITUTE(SUBSTITUTE(C958,"*",""),"?",""),"~",""))&amp;"0"&amp;M958&amp;RIGHT("00000"&amp;ROW(),5),IF('FALTAS POR DECK'!$P$1="Falta (maior primeiro)","K"&amp;RIGHT("0000"&amp;(9999-F958),4)&amp;M958&amp;RIGHT("00000"&amp;ROW(),5),IF('FALTAS POR DECK'!$P$1="Deck e código","K"&amp;RIGHT("00"&amp;IFERROR(MATCH(A958,_LEITURA!$P$2:$P$21,0),99),2)&amp;M958&amp;RIGHT("00000"&amp;ROW(),5),"K"&amp;RIGHT("00000"&amp;ROW(),5))))))</f>
        <v/>
      </c>
      <c r="O958" s="16" t="str">
        <f aca="false">IF(N958="","",COUNTIFS($N$2:$N$1201,"&lt;"&amp;N958,$F$2:$F$1201,"&gt;0")+1)</f>
        <v/>
      </c>
    </row>
    <row r="959" customFormat="false" ht="15" hidden="false" customHeight="false" outlineLevel="0" collapsed="false">
      <c r="A959" s="11" t="str">
        <f aca="false">IF(_LEITURA!$N959="","",INDEX(_LEITURA!$K$2:$K$1201,_LEITURA!$N959))</f>
        <v/>
      </c>
      <c r="B959" s="11" t="str">
        <f aca="false">IF(_LEITURA!$N959="","",INDEX(_LEITURA!$E$2:$E$1201,_LEITURA!$N959))</f>
        <v/>
      </c>
      <c r="C959" s="11" t="str">
        <f aca="false">IF(_LEITURA!$N959="","",INDEX(_LEITURA!$J$2:$J$1201,_LEITURA!$N959))</f>
        <v/>
      </c>
      <c r="D959" s="16" t="str">
        <f aca="false">IF(_LEITURA!$N959="","",INDEX(_LEITURA!$G$2:$G$1201,_LEITURA!$N959))</f>
        <v/>
      </c>
      <c r="E959" s="16" t="str">
        <f aca="false">IF(B959="","",SUMIFS(INVENTÁRIO!$C$2:$C$801,INVENTÁRIO!$A$2:$A$801,B959))</f>
        <v/>
      </c>
      <c r="F959" s="16" t="str">
        <f aca="false">IF(B959="","",MAX(0,D959-E959))</f>
        <v/>
      </c>
      <c r="G959" s="16" t="str">
        <f aca="false">IF(B959="","",IF(COUNTIFS($B$2:$B$1201,B959,$A$2:$A$1201,"&lt;&gt;"&amp;A959)&gt;0,"Sim",""))</f>
        <v/>
      </c>
      <c r="H959" s="16" t="str">
        <f aca="false">IF(N(F959)&gt;0,MAX(H$1:H958)+1,"")</f>
        <v/>
      </c>
      <c r="I959" s="11" t="str">
        <f aca="false">IF(B959="","",IF(INDEX($C$2:$C$1201,MATCH(B959,$B$2:$B$1201,0))&lt;&gt;C959,"Nome diferente em outro deck — revisar",""))</f>
        <v/>
      </c>
      <c r="J959" s="16" t="str">
        <f aca="false">IF(AND(B959&lt;&gt;"",A959=BULK!$A$1,N(F959)&gt;0),MAX(J$1:J958)+1,"")</f>
        <v/>
      </c>
      <c r="K959" s="11" t="str">
        <f aca="false">IF(B959="","",IFERROR(LEFT(B959,FIND("-",B959)-1),B959))</f>
        <v/>
      </c>
      <c r="L959" s="11" t="str">
        <f aca="false">IF(K959="","",IF(ISNUMBER(--MID(K959,1,1)),0,IF(ISNUMBER(--MID(K959,2,1)),1,IF(ISNUMBER(--MID(K959,3,1)),2,IF(ISNUMBER(--MID(K959,4,1)),3,MIN(LEN(K959),4))))))</f>
        <v/>
      </c>
      <c r="M959" s="11" t="str">
        <f aca="false">IF(B959="","",LEFT(K959,L959)&amp;REPT("0",4-L959)&amp;RIGHT("000"&amp;IFERROR(VALUE(MID(K959,L959+1,9)),0),3)&amp;RIGHT("0000"&amp;IFERROR(VALUE(MID(B959,FIND("-",B959)+1,9)),0),4))</f>
        <v/>
      </c>
      <c r="N959" s="11" t="str">
        <f aca="false">IF(OR(B959="",N(F959)&lt;=0),"",IF('FALTAS POR DECK'!$P$1="Código","K"&amp;M959&amp;RIGHT("00000"&amp;ROW(),5),IF('FALTAS POR DECK'!$P$1="Nome","K"&amp;UPPER(SUBSTITUTE(SUBSTITUTE(SUBSTITUTE(C959,"*",""),"?",""),"~",""))&amp;"0"&amp;M959&amp;RIGHT("00000"&amp;ROW(),5),IF('FALTAS POR DECK'!$P$1="Falta (maior primeiro)","K"&amp;RIGHT("0000"&amp;(9999-F959),4)&amp;M959&amp;RIGHT("00000"&amp;ROW(),5),IF('FALTAS POR DECK'!$P$1="Deck e código","K"&amp;RIGHT("00"&amp;IFERROR(MATCH(A959,_LEITURA!$P$2:$P$21,0),99),2)&amp;M959&amp;RIGHT("00000"&amp;ROW(),5),"K"&amp;RIGHT("00000"&amp;ROW(),5))))))</f>
        <v/>
      </c>
      <c r="O959" s="16" t="str">
        <f aca="false">IF(N959="","",COUNTIFS($N$2:$N$1201,"&lt;"&amp;N959,$F$2:$F$1201,"&gt;0")+1)</f>
        <v/>
      </c>
    </row>
    <row r="960" customFormat="false" ht="15" hidden="false" customHeight="false" outlineLevel="0" collapsed="false">
      <c r="A960" s="11" t="str">
        <f aca="false">IF(_LEITURA!$N960="","",INDEX(_LEITURA!$K$2:$K$1201,_LEITURA!$N960))</f>
        <v/>
      </c>
      <c r="B960" s="11" t="str">
        <f aca="false">IF(_LEITURA!$N960="","",INDEX(_LEITURA!$E$2:$E$1201,_LEITURA!$N960))</f>
        <v/>
      </c>
      <c r="C960" s="11" t="str">
        <f aca="false">IF(_LEITURA!$N960="","",INDEX(_LEITURA!$J$2:$J$1201,_LEITURA!$N960))</f>
        <v/>
      </c>
      <c r="D960" s="16" t="str">
        <f aca="false">IF(_LEITURA!$N960="","",INDEX(_LEITURA!$G$2:$G$1201,_LEITURA!$N960))</f>
        <v/>
      </c>
      <c r="E960" s="16" t="str">
        <f aca="false">IF(B960="","",SUMIFS(INVENTÁRIO!$C$2:$C$801,INVENTÁRIO!$A$2:$A$801,B960))</f>
        <v/>
      </c>
      <c r="F960" s="16" t="str">
        <f aca="false">IF(B960="","",MAX(0,D960-E960))</f>
        <v/>
      </c>
      <c r="G960" s="16" t="str">
        <f aca="false">IF(B960="","",IF(COUNTIFS($B$2:$B$1201,B960,$A$2:$A$1201,"&lt;&gt;"&amp;A960)&gt;0,"Sim",""))</f>
        <v/>
      </c>
      <c r="H960" s="16" t="str">
        <f aca="false">IF(N(F960)&gt;0,MAX(H$1:H959)+1,"")</f>
        <v/>
      </c>
      <c r="I960" s="11" t="str">
        <f aca="false">IF(B960="","",IF(INDEX($C$2:$C$1201,MATCH(B960,$B$2:$B$1201,0))&lt;&gt;C960,"Nome diferente em outro deck — revisar",""))</f>
        <v/>
      </c>
      <c r="J960" s="16" t="str">
        <f aca="false">IF(AND(B960&lt;&gt;"",A960=BULK!$A$1,N(F960)&gt;0),MAX(J$1:J959)+1,"")</f>
        <v/>
      </c>
      <c r="K960" s="11" t="str">
        <f aca="false">IF(B960="","",IFERROR(LEFT(B960,FIND("-",B960)-1),B960))</f>
        <v/>
      </c>
      <c r="L960" s="11" t="str">
        <f aca="false">IF(K960="","",IF(ISNUMBER(--MID(K960,1,1)),0,IF(ISNUMBER(--MID(K960,2,1)),1,IF(ISNUMBER(--MID(K960,3,1)),2,IF(ISNUMBER(--MID(K960,4,1)),3,MIN(LEN(K960),4))))))</f>
        <v/>
      </c>
      <c r="M960" s="11" t="str">
        <f aca="false">IF(B960="","",LEFT(K960,L960)&amp;REPT("0",4-L960)&amp;RIGHT("000"&amp;IFERROR(VALUE(MID(K960,L960+1,9)),0),3)&amp;RIGHT("0000"&amp;IFERROR(VALUE(MID(B960,FIND("-",B960)+1,9)),0),4))</f>
        <v/>
      </c>
      <c r="N960" s="11" t="str">
        <f aca="false">IF(OR(B960="",N(F960)&lt;=0),"",IF('FALTAS POR DECK'!$P$1="Código","K"&amp;M960&amp;RIGHT("00000"&amp;ROW(),5),IF('FALTAS POR DECK'!$P$1="Nome","K"&amp;UPPER(SUBSTITUTE(SUBSTITUTE(SUBSTITUTE(C960,"*",""),"?",""),"~",""))&amp;"0"&amp;M960&amp;RIGHT("00000"&amp;ROW(),5),IF('FALTAS POR DECK'!$P$1="Falta (maior primeiro)","K"&amp;RIGHT("0000"&amp;(9999-F960),4)&amp;M960&amp;RIGHT("00000"&amp;ROW(),5),IF('FALTAS POR DECK'!$P$1="Deck e código","K"&amp;RIGHT("00"&amp;IFERROR(MATCH(A960,_LEITURA!$P$2:$P$21,0),99),2)&amp;M960&amp;RIGHT("00000"&amp;ROW(),5),"K"&amp;RIGHT("00000"&amp;ROW(),5))))))</f>
        <v/>
      </c>
      <c r="O960" s="16" t="str">
        <f aca="false">IF(N960="","",COUNTIFS($N$2:$N$1201,"&lt;"&amp;N960,$F$2:$F$1201,"&gt;0")+1)</f>
        <v/>
      </c>
    </row>
    <row r="961" customFormat="false" ht="15" hidden="false" customHeight="false" outlineLevel="0" collapsed="false">
      <c r="A961" s="11" t="str">
        <f aca="false">IF(_LEITURA!$N961="","",INDEX(_LEITURA!$K$2:$K$1201,_LEITURA!$N961))</f>
        <v/>
      </c>
      <c r="B961" s="11" t="str">
        <f aca="false">IF(_LEITURA!$N961="","",INDEX(_LEITURA!$E$2:$E$1201,_LEITURA!$N961))</f>
        <v/>
      </c>
      <c r="C961" s="11" t="str">
        <f aca="false">IF(_LEITURA!$N961="","",INDEX(_LEITURA!$J$2:$J$1201,_LEITURA!$N961))</f>
        <v/>
      </c>
      <c r="D961" s="16" t="str">
        <f aca="false">IF(_LEITURA!$N961="","",INDEX(_LEITURA!$G$2:$G$1201,_LEITURA!$N961))</f>
        <v/>
      </c>
      <c r="E961" s="16" t="str">
        <f aca="false">IF(B961="","",SUMIFS(INVENTÁRIO!$C$2:$C$801,INVENTÁRIO!$A$2:$A$801,B961))</f>
        <v/>
      </c>
      <c r="F961" s="16" t="str">
        <f aca="false">IF(B961="","",MAX(0,D961-E961))</f>
        <v/>
      </c>
      <c r="G961" s="16" t="str">
        <f aca="false">IF(B961="","",IF(COUNTIFS($B$2:$B$1201,B961,$A$2:$A$1201,"&lt;&gt;"&amp;A961)&gt;0,"Sim",""))</f>
        <v/>
      </c>
      <c r="H961" s="16" t="str">
        <f aca="false">IF(N(F961)&gt;0,MAX(H$1:H960)+1,"")</f>
        <v/>
      </c>
      <c r="I961" s="11" t="str">
        <f aca="false">IF(B961="","",IF(INDEX($C$2:$C$1201,MATCH(B961,$B$2:$B$1201,0))&lt;&gt;C961,"Nome diferente em outro deck — revisar",""))</f>
        <v/>
      </c>
      <c r="J961" s="16" t="str">
        <f aca="false">IF(AND(B961&lt;&gt;"",A961=BULK!$A$1,N(F961)&gt;0),MAX(J$1:J960)+1,"")</f>
        <v/>
      </c>
      <c r="K961" s="11" t="str">
        <f aca="false">IF(B961="","",IFERROR(LEFT(B961,FIND("-",B961)-1),B961))</f>
        <v/>
      </c>
      <c r="L961" s="11" t="str">
        <f aca="false">IF(K961="","",IF(ISNUMBER(--MID(K961,1,1)),0,IF(ISNUMBER(--MID(K961,2,1)),1,IF(ISNUMBER(--MID(K961,3,1)),2,IF(ISNUMBER(--MID(K961,4,1)),3,MIN(LEN(K961),4))))))</f>
        <v/>
      </c>
      <c r="M961" s="11" t="str">
        <f aca="false">IF(B961="","",LEFT(K961,L961)&amp;REPT("0",4-L961)&amp;RIGHT("000"&amp;IFERROR(VALUE(MID(K961,L961+1,9)),0),3)&amp;RIGHT("0000"&amp;IFERROR(VALUE(MID(B961,FIND("-",B961)+1,9)),0),4))</f>
        <v/>
      </c>
      <c r="N961" s="11" t="str">
        <f aca="false">IF(OR(B961="",N(F961)&lt;=0),"",IF('FALTAS POR DECK'!$P$1="Código","K"&amp;M961&amp;RIGHT("00000"&amp;ROW(),5),IF('FALTAS POR DECK'!$P$1="Nome","K"&amp;UPPER(SUBSTITUTE(SUBSTITUTE(SUBSTITUTE(C961,"*",""),"?",""),"~",""))&amp;"0"&amp;M961&amp;RIGHT("00000"&amp;ROW(),5),IF('FALTAS POR DECK'!$P$1="Falta (maior primeiro)","K"&amp;RIGHT("0000"&amp;(9999-F961),4)&amp;M961&amp;RIGHT("00000"&amp;ROW(),5),IF('FALTAS POR DECK'!$P$1="Deck e código","K"&amp;RIGHT("00"&amp;IFERROR(MATCH(A961,_LEITURA!$P$2:$P$21,0),99),2)&amp;M961&amp;RIGHT("00000"&amp;ROW(),5),"K"&amp;RIGHT("00000"&amp;ROW(),5))))))</f>
        <v/>
      </c>
      <c r="O961" s="16" t="str">
        <f aca="false">IF(N961="","",COUNTIFS($N$2:$N$1201,"&lt;"&amp;N961,$F$2:$F$1201,"&gt;0")+1)</f>
        <v/>
      </c>
    </row>
    <row r="962" customFormat="false" ht="15" hidden="false" customHeight="false" outlineLevel="0" collapsed="false">
      <c r="A962" s="11" t="str">
        <f aca="false">IF(_LEITURA!$N962="","",INDEX(_LEITURA!$K$2:$K$1201,_LEITURA!$N962))</f>
        <v/>
      </c>
      <c r="B962" s="11" t="str">
        <f aca="false">IF(_LEITURA!$N962="","",INDEX(_LEITURA!$E$2:$E$1201,_LEITURA!$N962))</f>
        <v/>
      </c>
      <c r="C962" s="11" t="str">
        <f aca="false">IF(_LEITURA!$N962="","",INDEX(_LEITURA!$J$2:$J$1201,_LEITURA!$N962))</f>
        <v/>
      </c>
      <c r="D962" s="16" t="str">
        <f aca="false">IF(_LEITURA!$N962="","",INDEX(_LEITURA!$G$2:$G$1201,_LEITURA!$N962))</f>
        <v/>
      </c>
      <c r="E962" s="16" t="str">
        <f aca="false">IF(B962="","",SUMIFS(INVENTÁRIO!$C$2:$C$801,INVENTÁRIO!$A$2:$A$801,B962))</f>
        <v/>
      </c>
      <c r="F962" s="16" t="str">
        <f aca="false">IF(B962="","",MAX(0,D962-E962))</f>
        <v/>
      </c>
      <c r="G962" s="16" t="str">
        <f aca="false">IF(B962="","",IF(COUNTIFS($B$2:$B$1201,B962,$A$2:$A$1201,"&lt;&gt;"&amp;A962)&gt;0,"Sim",""))</f>
        <v/>
      </c>
      <c r="H962" s="16" t="str">
        <f aca="false">IF(N(F962)&gt;0,MAX(H$1:H961)+1,"")</f>
        <v/>
      </c>
      <c r="I962" s="11" t="str">
        <f aca="false">IF(B962="","",IF(INDEX($C$2:$C$1201,MATCH(B962,$B$2:$B$1201,0))&lt;&gt;C962,"Nome diferente em outro deck — revisar",""))</f>
        <v/>
      </c>
      <c r="J962" s="16" t="str">
        <f aca="false">IF(AND(B962&lt;&gt;"",A962=BULK!$A$1,N(F962)&gt;0),MAX(J$1:J961)+1,"")</f>
        <v/>
      </c>
      <c r="K962" s="11" t="str">
        <f aca="false">IF(B962="","",IFERROR(LEFT(B962,FIND("-",B962)-1),B962))</f>
        <v/>
      </c>
      <c r="L962" s="11" t="str">
        <f aca="false">IF(K962="","",IF(ISNUMBER(--MID(K962,1,1)),0,IF(ISNUMBER(--MID(K962,2,1)),1,IF(ISNUMBER(--MID(K962,3,1)),2,IF(ISNUMBER(--MID(K962,4,1)),3,MIN(LEN(K962),4))))))</f>
        <v/>
      </c>
      <c r="M962" s="11" t="str">
        <f aca="false">IF(B962="","",LEFT(K962,L962)&amp;REPT("0",4-L962)&amp;RIGHT("000"&amp;IFERROR(VALUE(MID(K962,L962+1,9)),0),3)&amp;RIGHT("0000"&amp;IFERROR(VALUE(MID(B962,FIND("-",B962)+1,9)),0),4))</f>
        <v/>
      </c>
      <c r="N962" s="11" t="str">
        <f aca="false">IF(OR(B962="",N(F962)&lt;=0),"",IF('FALTAS POR DECK'!$P$1="Código","K"&amp;M962&amp;RIGHT("00000"&amp;ROW(),5),IF('FALTAS POR DECK'!$P$1="Nome","K"&amp;UPPER(SUBSTITUTE(SUBSTITUTE(SUBSTITUTE(C962,"*",""),"?",""),"~",""))&amp;"0"&amp;M962&amp;RIGHT("00000"&amp;ROW(),5),IF('FALTAS POR DECK'!$P$1="Falta (maior primeiro)","K"&amp;RIGHT("0000"&amp;(9999-F962),4)&amp;M962&amp;RIGHT("00000"&amp;ROW(),5),IF('FALTAS POR DECK'!$P$1="Deck e código","K"&amp;RIGHT("00"&amp;IFERROR(MATCH(A962,_LEITURA!$P$2:$P$21,0),99),2)&amp;M962&amp;RIGHT("00000"&amp;ROW(),5),"K"&amp;RIGHT("00000"&amp;ROW(),5))))))</f>
        <v/>
      </c>
      <c r="O962" s="16" t="str">
        <f aca="false">IF(N962="","",COUNTIFS($N$2:$N$1201,"&lt;"&amp;N962,$F$2:$F$1201,"&gt;0")+1)</f>
        <v/>
      </c>
    </row>
    <row r="963" customFormat="false" ht="15" hidden="false" customHeight="false" outlineLevel="0" collapsed="false">
      <c r="A963" s="11" t="str">
        <f aca="false">IF(_LEITURA!$N963="","",INDEX(_LEITURA!$K$2:$K$1201,_LEITURA!$N963))</f>
        <v/>
      </c>
      <c r="B963" s="11" t="str">
        <f aca="false">IF(_LEITURA!$N963="","",INDEX(_LEITURA!$E$2:$E$1201,_LEITURA!$N963))</f>
        <v/>
      </c>
      <c r="C963" s="11" t="str">
        <f aca="false">IF(_LEITURA!$N963="","",INDEX(_LEITURA!$J$2:$J$1201,_LEITURA!$N963))</f>
        <v/>
      </c>
      <c r="D963" s="16" t="str">
        <f aca="false">IF(_LEITURA!$N963="","",INDEX(_LEITURA!$G$2:$G$1201,_LEITURA!$N963))</f>
        <v/>
      </c>
      <c r="E963" s="16" t="str">
        <f aca="false">IF(B963="","",SUMIFS(INVENTÁRIO!$C$2:$C$801,INVENTÁRIO!$A$2:$A$801,B963))</f>
        <v/>
      </c>
      <c r="F963" s="16" t="str">
        <f aca="false">IF(B963="","",MAX(0,D963-E963))</f>
        <v/>
      </c>
      <c r="G963" s="16" t="str">
        <f aca="false">IF(B963="","",IF(COUNTIFS($B$2:$B$1201,B963,$A$2:$A$1201,"&lt;&gt;"&amp;A963)&gt;0,"Sim",""))</f>
        <v/>
      </c>
      <c r="H963" s="16" t="str">
        <f aca="false">IF(N(F963)&gt;0,MAX(H$1:H962)+1,"")</f>
        <v/>
      </c>
      <c r="I963" s="11" t="str">
        <f aca="false">IF(B963="","",IF(INDEX($C$2:$C$1201,MATCH(B963,$B$2:$B$1201,0))&lt;&gt;C963,"Nome diferente em outro deck — revisar",""))</f>
        <v/>
      </c>
      <c r="J963" s="16" t="str">
        <f aca="false">IF(AND(B963&lt;&gt;"",A963=BULK!$A$1,N(F963)&gt;0),MAX(J$1:J962)+1,"")</f>
        <v/>
      </c>
      <c r="K963" s="11" t="str">
        <f aca="false">IF(B963="","",IFERROR(LEFT(B963,FIND("-",B963)-1),B963))</f>
        <v/>
      </c>
      <c r="L963" s="11" t="str">
        <f aca="false">IF(K963="","",IF(ISNUMBER(--MID(K963,1,1)),0,IF(ISNUMBER(--MID(K963,2,1)),1,IF(ISNUMBER(--MID(K963,3,1)),2,IF(ISNUMBER(--MID(K963,4,1)),3,MIN(LEN(K963),4))))))</f>
        <v/>
      </c>
      <c r="M963" s="11" t="str">
        <f aca="false">IF(B963="","",LEFT(K963,L963)&amp;REPT("0",4-L963)&amp;RIGHT("000"&amp;IFERROR(VALUE(MID(K963,L963+1,9)),0),3)&amp;RIGHT("0000"&amp;IFERROR(VALUE(MID(B963,FIND("-",B963)+1,9)),0),4))</f>
        <v/>
      </c>
      <c r="N963" s="11" t="str">
        <f aca="false">IF(OR(B963="",N(F963)&lt;=0),"",IF('FALTAS POR DECK'!$P$1="Código","K"&amp;M963&amp;RIGHT("00000"&amp;ROW(),5),IF('FALTAS POR DECK'!$P$1="Nome","K"&amp;UPPER(SUBSTITUTE(SUBSTITUTE(SUBSTITUTE(C963,"*",""),"?",""),"~",""))&amp;"0"&amp;M963&amp;RIGHT("00000"&amp;ROW(),5),IF('FALTAS POR DECK'!$P$1="Falta (maior primeiro)","K"&amp;RIGHT("0000"&amp;(9999-F963),4)&amp;M963&amp;RIGHT("00000"&amp;ROW(),5),IF('FALTAS POR DECK'!$P$1="Deck e código","K"&amp;RIGHT("00"&amp;IFERROR(MATCH(A963,_LEITURA!$P$2:$P$21,0),99),2)&amp;M963&amp;RIGHT("00000"&amp;ROW(),5),"K"&amp;RIGHT("00000"&amp;ROW(),5))))))</f>
        <v/>
      </c>
      <c r="O963" s="16" t="str">
        <f aca="false">IF(N963="","",COUNTIFS($N$2:$N$1201,"&lt;"&amp;N963,$F$2:$F$1201,"&gt;0")+1)</f>
        <v/>
      </c>
    </row>
    <row r="964" customFormat="false" ht="15" hidden="false" customHeight="false" outlineLevel="0" collapsed="false">
      <c r="A964" s="11" t="str">
        <f aca="false">IF(_LEITURA!$N964="","",INDEX(_LEITURA!$K$2:$K$1201,_LEITURA!$N964))</f>
        <v/>
      </c>
      <c r="B964" s="11" t="str">
        <f aca="false">IF(_LEITURA!$N964="","",INDEX(_LEITURA!$E$2:$E$1201,_LEITURA!$N964))</f>
        <v/>
      </c>
      <c r="C964" s="11" t="str">
        <f aca="false">IF(_LEITURA!$N964="","",INDEX(_LEITURA!$J$2:$J$1201,_LEITURA!$N964))</f>
        <v/>
      </c>
      <c r="D964" s="16" t="str">
        <f aca="false">IF(_LEITURA!$N964="","",INDEX(_LEITURA!$G$2:$G$1201,_LEITURA!$N964))</f>
        <v/>
      </c>
      <c r="E964" s="16" t="str">
        <f aca="false">IF(B964="","",SUMIFS(INVENTÁRIO!$C$2:$C$801,INVENTÁRIO!$A$2:$A$801,B964))</f>
        <v/>
      </c>
      <c r="F964" s="16" t="str">
        <f aca="false">IF(B964="","",MAX(0,D964-E964))</f>
        <v/>
      </c>
      <c r="G964" s="16" t="str">
        <f aca="false">IF(B964="","",IF(COUNTIFS($B$2:$B$1201,B964,$A$2:$A$1201,"&lt;&gt;"&amp;A964)&gt;0,"Sim",""))</f>
        <v/>
      </c>
      <c r="H964" s="16" t="str">
        <f aca="false">IF(N(F964)&gt;0,MAX(H$1:H963)+1,"")</f>
        <v/>
      </c>
      <c r="I964" s="11" t="str">
        <f aca="false">IF(B964="","",IF(INDEX($C$2:$C$1201,MATCH(B964,$B$2:$B$1201,0))&lt;&gt;C964,"Nome diferente em outro deck — revisar",""))</f>
        <v/>
      </c>
      <c r="J964" s="16" t="str">
        <f aca="false">IF(AND(B964&lt;&gt;"",A964=BULK!$A$1,N(F964)&gt;0),MAX(J$1:J963)+1,"")</f>
        <v/>
      </c>
      <c r="K964" s="11" t="str">
        <f aca="false">IF(B964="","",IFERROR(LEFT(B964,FIND("-",B964)-1),B964))</f>
        <v/>
      </c>
      <c r="L964" s="11" t="str">
        <f aca="false">IF(K964="","",IF(ISNUMBER(--MID(K964,1,1)),0,IF(ISNUMBER(--MID(K964,2,1)),1,IF(ISNUMBER(--MID(K964,3,1)),2,IF(ISNUMBER(--MID(K964,4,1)),3,MIN(LEN(K964),4))))))</f>
        <v/>
      </c>
      <c r="M964" s="11" t="str">
        <f aca="false">IF(B964="","",LEFT(K964,L964)&amp;REPT("0",4-L964)&amp;RIGHT("000"&amp;IFERROR(VALUE(MID(K964,L964+1,9)),0),3)&amp;RIGHT("0000"&amp;IFERROR(VALUE(MID(B964,FIND("-",B964)+1,9)),0),4))</f>
        <v/>
      </c>
      <c r="N964" s="11" t="str">
        <f aca="false">IF(OR(B964="",N(F964)&lt;=0),"",IF('FALTAS POR DECK'!$P$1="Código","K"&amp;M964&amp;RIGHT("00000"&amp;ROW(),5),IF('FALTAS POR DECK'!$P$1="Nome","K"&amp;UPPER(SUBSTITUTE(SUBSTITUTE(SUBSTITUTE(C964,"*",""),"?",""),"~",""))&amp;"0"&amp;M964&amp;RIGHT("00000"&amp;ROW(),5),IF('FALTAS POR DECK'!$P$1="Falta (maior primeiro)","K"&amp;RIGHT("0000"&amp;(9999-F964),4)&amp;M964&amp;RIGHT("00000"&amp;ROW(),5),IF('FALTAS POR DECK'!$P$1="Deck e código","K"&amp;RIGHT("00"&amp;IFERROR(MATCH(A964,_LEITURA!$P$2:$P$21,0),99),2)&amp;M964&amp;RIGHT("00000"&amp;ROW(),5),"K"&amp;RIGHT("00000"&amp;ROW(),5))))))</f>
        <v/>
      </c>
      <c r="O964" s="16" t="str">
        <f aca="false">IF(N964="","",COUNTIFS($N$2:$N$1201,"&lt;"&amp;N964,$F$2:$F$1201,"&gt;0")+1)</f>
        <v/>
      </c>
    </row>
    <row r="965" customFormat="false" ht="15" hidden="false" customHeight="false" outlineLevel="0" collapsed="false">
      <c r="A965" s="11" t="str">
        <f aca="false">IF(_LEITURA!$N965="","",INDEX(_LEITURA!$K$2:$K$1201,_LEITURA!$N965))</f>
        <v/>
      </c>
      <c r="B965" s="11" t="str">
        <f aca="false">IF(_LEITURA!$N965="","",INDEX(_LEITURA!$E$2:$E$1201,_LEITURA!$N965))</f>
        <v/>
      </c>
      <c r="C965" s="11" t="str">
        <f aca="false">IF(_LEITURA!$N965="","",INDEX(_LEITURA!$J$2:$J$1201,_LEITURA!$N965))</f>
        <v/>
      </c>
      <c r="D965" s="16" t="str">
        <f aca="false">IF(_LEITURA!$N965="","",INDEX(_LEITURA!$G$2:$G$1201,_LEITURA!$N965))</f>
        <v/>
      </c>
      <c r="E965" s="16" t="str">
        <f aca="false">IF(B965="","",SUMIFS(INVENTÁRIO!$C$2:$C$801,INVENTÁRIO!$A$2:$A$801,B965))</f>
        <v/>
      </c>
      <c r="F965" s="16" t="str">
        <f aca="false">IF(B965="","",MAX(0,D965-E965))</f>
        <v/>
      </c>
      <c r="G965" s="16" t="str">
        <f aca="false">IF(B965="","",IF(COUNTIFS($B$2:$B$1201,B965,$A$2:$A$1201,"&lt;&gt;"&amp;A965)&gt;0,"Sim",""))</f>
        <v/>
      </c>
      <c r="H965" s="16" t="str">
        <f aca="false">IF(N(F965)&gt;0,MAX(H$1:H964)+1,"")</f>
        <v/>
      </c>
      <c r="I965" s="11" t="str">
        <f aca="false">IF(B965="","",IF(INDEX($C$2:$C$1201,MATCH(B965,$B$2:$B$1201,0))&lt;&gt;C965,"Nome diferente em outro deck — revisar",""))</f>
        <v/>
      </c>
      <c r="J965" s="16" t="str">
        <f aca="false">IF(AND(B965&lt;&gt;"",A965=BULK!$A$1,N(F965)&gt;0),MAX(J$1:J964)+1,"")</f>
        <v/>
      </c>
      <c r="K965" s="11" t="str">
        <f aca="false">IF(B965="","",IFERROR(LEFT(B965,FIND("-",B965)-1),B965))</f>
        <v/>
      </c>
      <c r="L965" s="11" t="str">
        <f aca="false">IF(K965="","",IF(ISNUMBER(--MID(K965,1,1)),0,IF(ISNUMBER(--MID(K965,2,1)),1,IF(ISNUMBER(--MID(K965,3,1)),2,IF(ISNUMBER(--MID(K965,4,1)),3,MIN(LEN(K965),4))))))</f>
        <v/>
      </c>
      <c r="M965" s="11" t="str">
        <f aca="false">IF(B965="","",LEFT(K965,L965)&amp;REPT("0",4-L965)&amp;RIGHT("000"&amp;IFERROR(VALUE(MID(K965,L965+1,9)),0),3)&amp;RIGHT("0000"&amp;IFERROR(VALUE(MID(B965,FIND("-",B965)+1,9)),0),4))</f>
        <v/>
      </c>
      <c r="N965" s="11" t="str">
        <f aca="false">IF(OR(B965="",N(F965)&lt;=0),"",IF('FALTAS POR DECK'!$P$1="Código","K"&amp;M965&amp;RIGHT("00000"&amp;ROW(),5),IF('FALTAS POR DECK'!$P$1="Nome","K"&amp;UPPER(SUBSTITUTE(SUBSTITUTE(SUBSTITUTE(C965,"*",""),"?",""),"~",""))&amp;"0"&amp;M965&amp;RIGHT("00000"&amp;ROW(),5),IF('FALTAS POR DECK'!$P$1="Falta (maior primeiro)","K"&amp;RIGHT("0000"&amp;(9999-F965),4)&amp;M965&amp;RIGHT("00000"&amp;ROW(),5),IF('FALTAS POR DECK'!$P$1="Deck e código","K"&amp;RIGHT("00"&amp;IFERROR(MATCH(A965,_LEITURA!$P$2:$P$21,0),99),2)&amp;M965&amp;RIGHT("00000"&amp;ROW(),5),"K"&amp;RIGHT("00000"&amp;ROW(),5))))))</f>
        <v/>
      </c>
      <c r="O965" s="16" t="str">
        <f aca="false">IF(N965="","",COUNTIFS($N$2:$N$1201,"&lt;"&amp;N965,$F$2:$F$1201,"&gt;0")+1)</f>
        <v/>
      </c>
    </row>
    <row r="966" customFormat="false" ht="15" hidden="false" customHeight="false" outlineLevel="0" collapsed="false">
      <c r="A966" s="11" t="str">
        <f aca="false">IF(_LEITURA!$N966="","",INDEX(_LEITURA!$K$2:$K$1201,_LEITURA!$N966))</f>
        <v/>
      </c>
      <c r="B966" s="11" t="str">
        <f aca="false">IF(_LEITURA!$N966="","",INDEX(_LEITURA!$E$2:$E$1201,_LEITURA!$N966))</f>
        <v/>
      </c>
      <c r="C966" s="11" t="str">
        <f aca="false">IF(_LEITURA!$N966="","",INDEX(_LEITURA!$J$2:$J$1201,_LEITURA!$N966))</f>
        <v/>
      </c>
      <c r="D966" s="16" t="str">
        <f aca="false">IF(_LEITURA!$N966="","",INDEX(_LEITURA!$G$2:$G$1201,_LEITURA!$N966))</f>
        <v/>
      </c>
      <c r="E966" s="16" t="str">
        <f aca="false">IF(B966="","",SUMIFS(INVENTÁRIO!$C$2:$C$801,INVENTÁRIO!$A$2:$A$801,B966))</f>
        <v/>
      </c>
      <c r="F966" s="16" t="str">
        <f aca="false">IF(B966="","",MAX(0,D966-E966))</f>
        <v/>
      </c>
      <c r="G966" s="16" t="str">
        <f aca="false">IF(B966="","",IF(COUNTIFS($B$2:$B$1201,B966,$A$2:$A$1201,"&lt;&gt;"&amp;A966)&gt;0,"Sim",""))</f>
        <v/>
      </c>
      <c r="H966" s="16" t="str">
        <f aca="false">IF(N(F966)&gt;0,MAX(H$1:H965)+1,"")</f>
        <v/>
      </c>
      <c r="I966" s="11" t="str">
        <f aca="false">IF(B966="","",IF(INDEX($C$2:$C$1201,MATCH(B966,$B$2:$B$1201,0))&lt;&gt;C966,"Nome diferente em outro deck — revisar",""))</f>
        <v/>
      </c>
      <c r="J966" s="16" t="str">
        <f aca="false">IF(AND(B966&lt;&gt;"",A966=BULK!$A$1,N(F966)&gt;0),MAX(J$1:J965)+1,"")</f>
        <v/>
      </c>
      <c r="K966" s="11" t="str">
        <f aca="false">IF(B966="","",IFERROR(LEFT(B966,FIND("-",B966)-1),B966))</f>
        <v/>
      </c>
      <c r="L966" s="11" t="str">
        <f aca="false">IF(K966="","",IF(ISNUMBER(--MID(K966,1,1)),0,IF(ISNUMBER(--MID(K966,2,1)),1,IF(ISNUMBER(--MID(K966,3,1)),2,IF(ISNUMBER(--MID(K966,4,1)),3,MIN(LEN(K966),4))))))</f>
        <v/>
      </c>
      <c r="M966" s="11" t="str">
        <f aca="false">IF(B966="","",LEFT(K966,L966)&amp;REPT("0",4-L966)&amp;RIGHT("000"&amp;IFERROR(VALUE(MID(K966,L966+1,9)),0),3)&amp;RIGHT("0000"&amp;IFERROR(VALUE(MID(B966,FIND("-",B966)+1,9)),0),4))</f>
        <v/>
      </c>
      <c r="N966" s="11" t="str">
        <f aca="false">IF(OR(B966="",N(F966)&lt;=0),"",IF('FALTAS POR DECK'!$P$1="Código","K"&amp;M966&amp;RIGHT("00000"&amp;ROW(),5),IF('FALTAS POR DECK'!$P$1="Nome","K"&amp;UPPER(SUBSTITUTE(SUBSTITUTE(SUBSTITUTE(C966,"*",""),"?",""),"~",""))&amp;"0"&amp;M966&amp;RIGHT("00000"&amp;ROW(),5),IF('FALTAS POR DECK'!$P$1="Falta (maior primeiro)","K"&amp;RIGHT("0000"&amp;(9999-F966),4)&amp;M966&amp;RIGHT("00000"&amp;ROW(),5),IF('FALTAS POR DECK'!$P$1="Deck e código","K"&amp;RIGHT("00"&amp;IFERROR(MATCH(A966,_LEITURA!$P$2:$P$21,0),99),2)&amp;M966&amp;RIGHT("00000"&amp;ROW(),5),"K"&amp;RIGHT("00000"&amp;ROW(),5))))))</f>
        <v/>
      </c>
      <c r="O966" s="16" t="str">
        <f aca="false">IF(N966="","",COUNTIFS($N$2:$N$1201,"&lt;"&amp;N966,$F$2:$F$1201,"&gt;0")+1)</f>
        <v/>
      </c>
    </row>
    <row r="967" customFormat="false" ht="15" hidden="false" customHeight="false" outlineLevel="0" collapsed="false">
      <c r="A967" s="11" t="str">
        <f aca="false">IF(_LEITURA!$N967="","",INDEX(_LEITURA!$K$2:$K$1201,_LEITURA!$N967))</f>
        <v/>
      </c>
      <c r="B967" s="11" t="str">
        <f aca="false">IF(_LEITURA!$N967="","",INDEX(_LEITURA!$E$2:$E$1201,_LEITURA!$N967))</f>
        <v/>
      </c>
      <c r="C967" s="11" t="str">
        <f aca="false">IF(_LEITURA!$N967="","",INDEX(_LEITURA!$J$2:$J$1201,_LEITURA!$N967))</f>
        <v/>
      </c>
      <c r="D967" s="16" t="str">
        <f aca="false">IF(_LEITURA!$N967="","",INDEX(_LEITURA!$G$2:$G$1201,_LEITURA!$N967))</f>
        <v/>
      </c>
      <c r="E967" s="16" t="str">
        <f aca="false">IF(B967="","",SUMIFS(INVENTÁRIO!$C$2:$C$801,INVENTÁRIO!$A$2:$A$801,B967))</f>
        <v/>
      </c>
      <c r="F967" s="16" t="str">
        <f aca="false">IF(B967="","",MAX(0,D967-E967))</f>
        <v/>
      </c>
      <c r="G967" s="16" t="str">
        <f aca="false">IF(B967="","",IF(COUNTIFS($B$2:$B$1201,B967,$A$2:$A$1201,"&lt;&gt;"&amp;A967)&gt;0,"Sim",""))</f>
        <v/>
      </c>
      <c r="H967" s="16" t="str">
        <f aca="false">IF(N(F967)&gt;0,MAX(H$1:H966)+1,"")</f>
        <v/>
      </c>
      <c r="I967" s="11" t="str">
        <f aca="false">IF(B967="","",IF(INDEX($C$2:$C$1201,MATCH(B967,$B$2:$B$1201,0))&lt;&gt;C967,"Nome diferente em outro deck — revisar",""))</f>
        <v/>
      </c>
      <c r="J967" s="16" t="str">
        <f aca="false">IF(AND(B967&lt;&gt;"",A967=BULK!$A$1,N(F967)&gt;0),MAX(J$1:J966)+1,"")</f>
        <v/>
      </c>
      <c r="K967" s="11" t="str">
        <f aca="false">IF(B967="","",IFERROR(LEFT(B967,FIND("-",B967)-1),B967))</f>
        <v/>
      </c>
      <c r="L967" s="11" t="str">
        <f aca="false">IF(K967="","",IF(ISNUMBER(--MID(K967,1,1)),0,IF(ISNUMBER(--MID(K967,2,1)),1,IF(ISNUMBER(--MID(K967,3,1)),2,IF(ISNUMBER(--MID(K967,4,1)),3,MIN(LEN(K967),4))))))</f>
        <v/>
      </c>
      <c r="M967" s="11" t="str">
        <f aca="false">IF(B967="","",LEFT(K967,L967)&amp;REPT("0",4-L967)&amp;RIGHT("000"&amp;IFERROR(VALUE(MID(K967,L967+1,9)),0),3)&amp;RIGHT("0000"&amp;IFERROR(VALUE(MID(B967,FIND("-",B967)+1,9)),0),4))</f>
        <v/>
      </c>
      <c r="N967" s="11" t="str">
        <f aca="false">IF(OR(B967="",N(F967)&lt;=0),"",IF('FALTAS POR DECK'!$P$1="Código","K"&amp;M967&amp;RIGHT("00000"&amp;ROW(),5),IF('FALTAS POR DECK'!$P$1="Nome","K"&amp;UPPER(SUBSTITUTE(SUBSTITUTE(SUBSTITUTE(C967,"*",""),"?",""),"~",""))&amp;"0"&amp;M967&amp;RIGHT("00000"&amp;ROW(),5),IF('FALTAS POR DECK'!$P$1="Falta (maior primeiro)","K"&amp;RIGHT("0000"&amp;(9999-F967),4)&amp;M967&amp;RIGHT("00000"&amp;ROW(),5),IF('FALTAS POR DECK'!$P$1="Deck e código","K"&amp;RIGHT("00"&amp;IFERROR(MATCH(A967,_LEITURA!$P$2:$P$21,0),99),2)&amp;M967&amp;RIGHT("00000"&amp;ROW(),5),"K"&amp;RIGHT("00000"&amp;ROW(),5))))))</f>
        <v/>
      </c>
      <c r="O967" s="16" t="str">
        <f aca="false">IF(N967="","",COUNTIFS($N$2:$N$1201,"&lt;"&amp;N967,$F$2:$F$1201,"&gt;0")+1)</f>
        <v/>
      </c>
    </row>
    <row r="968" customFormat="false" ht="15" hidden="false" customHeight="false" outlineLevel="0" collapsed="false">
      <c r="A968" s="11" t="str">
        <f aca="false">IF(_LEITURA!$N968="","",INDEX(_LEITURA!$K$2:$K$1201,_LEITURA!$N968))</f>
        <v/>
      </c>
      <c r="B968" s="11" t="str">
        <f aca="false">IF(_LEITURA!$N968="","",INDEX(_LEITURA!$E$2:$E$1201,_LEITURA!$N968))</f>
        <v/>
      </c>
      <c r="C968" s="11" t="str">
        <f aca="false">IF(_LEITURA!$N968="","",INDEX(_LEITURA!$J$2:$J$1201,_LEITURA!$N968))</f>
        <v/>
      </c>
      <c r="D968" s="16" t="str">
        <f aca="false">IF(_LEITURA!$N968="","",INDEX(_LEITURA!$G$2:$G$1201,_LEITURA!$N968))</f>
        <v/>
      </c>
      <c r="E968" s="16" t="str">
        <f aca="false">IF(B968="","",SUMIFS(INVENTÁRIO!$C$2:$C$801,INVENTÁRIO!$A$2:$A$801,B968))</f>
        <v/>
      </c>
      <c r="F968" s="16" t="str">
        <f aca="false">IF(B968="","",MAX(0,D968-E968))</f>
        <v/>
      </c>
      <c r="G968" s="16" t="str">
        <f aca="false">IF(B968="","",IF(COUNTIFS($B$2:$B$1201,B968,$A$2:$A$1201,"&lt;&gt;"&amp;A968)&gt;0,"Sim",""))</f>
        <v/>
      </c>
      <c r="H968" s="16" t="str">
        <f aca="false">IF(N(F968)&gt;0,MAX(H$1:H967)+1,"")</f>
        <v/>
      </c>
      <c r="I968" s="11" t="str">
        <f aca="false">IF(B968="","",IF(INDEX($C$2:$C$1201,MATCH(B968,$B$2:$B$1201,0))&lt;&gt;C968,"Nome diferente em outro deck — revisar",""))</f>
        <v/>
      </c>
      <c r="J968" s="16" t="str">
        <f aca="false">IF(AND(B968&lt;&gt;"",A968=BULK!$A$1,N(F968)&gt;0),MAX(J$1:J967)+1,"")</f>
        <v/>
      </c>
      <c r="K968" s="11" t="str">
        <f aca="false">IF(B968="","",IFERROR(LEFT(B968,FIND("-",B968)-1),B968))</f>
        <v/>
      </c>
      <c r="L968" s="11" t="str">
        <f aca="false">IF(K968="","",IF(ISNUMBER(--MID(K968,1,1)),0,IF(ISNUMBER(--MID(K968,2,1)),1,IF(ISNUMBER(--MID(K968,3,1)),2,IF(ISNUMBER(--MID(K968,4,1)),3,MIN(LEN(K968),4))))))</f>
        <v/>
      </c>
      <c r="M968" s="11" t="str">
        <f aca="false">IF(B968="","",LEFT(K968,L968)&amp;REPT("0",4-L968)&amp;RIGHT("000"&amp;IFERROR(VALUE(MID(K968,L968+1,9)),0),3)&amp;RIGHT("0000"&amp;IFERROR(VALUE(MID(B968,FIND("-",B968)+1,9)),0),4))</f>
        <v/>
      </c>
      <c r="N968" s="11" t="str">
        <f aca="false">IF(OR(B968="",N(F968)&lt;=0),"",IF('FALTAS POR DECK'!$P$1="Código","K"&amp;M968&amp;RIGHT("00000"&amp;ROW(),5),IF('FALTAS POR DECK'!$P$1="Nome","K"&amp;UPPER(SUBSTITUTE(SUBSTITUTE(SUBSTITUTE(C968,"*",""),"?",""),"~",""))&amp;"0"&amp;M968&amp;RIGHT("00000"&amp;ROW(),5),IF('FALTAS POR DECK'!$P$1="Falta (maior primeiro)","K"&amp;RIGHT("0000"&amp;(9999-F968),4)&amp;M968&amp;RIGHT("00000"&amp;ROW(),5),IF('FALTAS POR DECK'!$P$1="Deck e código","K"&amp;RIGHT("00"&amp;IFERROR(MATCH(A968,_LEITURA!$P$2:$P$21,0),99),2)&amp;M968&amp;RIGHT("00000"&amp;ROW(),5),"K"&amp;RIGHT("00000"&amp;ROW(),5))))))</f>
        <v/>
      </c>
      <c r="O968" s="16" t="str">
        <f aca="false">IF(N968="","",COUNTIFS($N$2:$N$1201,"&lt;"&amp;N968,$F$2:$F$1201,"&gt;0")+1)</f>
        <v/>
      </c>
    </row>
    <row r="969" customFormat="false" ht="15" hidden="false" customHeight="false" outlineLevel="0" collapsed="false">
      <c r="A969" s="11" t="str">
        <f aca="false">IF(_LEITURA!$N969="","",INDEX(_LEITURA!$K$2:$K$1201,_LEITURA!$N969))</f>
        <v/>
      </c>
      <c r="B969" s="11" t="str">
        <f aca="false">IF(_LEITURA!$N969="","",INDEX(_LEITURA!$E$2:$E$1201,_LEITURA!$N969))</f>
        <v/>
      </c>
      <c r="C969" s="11" t="str">
        <f aca="false">IF(_LEITURA!$N969="","",INDEX(_LEITURA!$J$2:$J$1201,_LEITURA!$N969))</f>
        <v/>
      </c>
      <c r="D969" s="16" t="str">
        <f aca="false">IF(_LEITURA!$N969="","",INDEX(_LEITURA!$G$2:$G$1201,_LEITURA!$N969))</f>
        <v/>
      </c>
      <c r="E969" s="16" t="str">
        <f aca="false">IF(B969="","",SUMIFS(INVENTÁRIO!$C$2:$C$801,INVENTÁRIO!$A$2:$A$801,B969))</f>
        <v/>
      </c>
      <c r="F969" s="16" t="str">
        <f aca="false">IF(B969="","",MAX(0,D969-E969))</f>
        <v/>
      </c>
      <c r="G969" s="16" t="str">
        <f aca="false">IF(B969="","",IF(COUNTIFS($B$2:$B$1201,B969,$A$2:$A$1201,"&lt;&gt;"&amp;A969)&gt;0,"Sim",""))</f>
        <v/>
      </c>
      <c r="H969" s="16" t="str">
        <f aca="false">IF(N(F969)&gt;0,MAX(H$1:H968)+1,"")</f>
        <v/>
      </c>
      <c r="I969" s="11" t="str">
        <f aca="false">IF(B969="","",IF(INDEX($C$2:$C$1201,MATCH(B969,$B$2:$B$1201,0))&lt;&gt;C969,"Nome diferente em outro deck — revisar",""))</f>
        <v/>
      </c>
      <c r="J969" s="16" t="str">
        <f aca="false">IF(AND(B969&lt;&gt;"",A969=BULK!$A$1,N(F969)&gt;0),MAX(J$1:J968)+1,"")</f>
        <v/>
      </c>
      <c r="K969" s="11" t="str">
        <f aca="false">IF(B969="","",IFERROR(LEFT(B969,FIND("-",B969)-1),B969))</f>
        <v/>
      </c>
      <c r="L969" s="11" t="str">
        <f aca="false">IF(K969="","",IF(ISNUMBER(--MID(K969,1,1)),0,IF(ISNUMBER(--MID(K969,2,1)),1,IF(ISNUMBER(--MID(K969,3,1)),2,IF(ISNUMBER(--MID(K969,4,1)),3,MIN(LEN(K969),4))))))</f>
        <v/>
      </c>
      <c r="M969" s="11" t="str">
        <f aca="false">IF(B969="","",LEFT(K969,L969)&amp;REPT("0",4-L969)&amp;RIGHT("000"&amp;IFERROR(VALUE(MID(K969,L969+1,9)),0),3)&amp;RIGHT("0000"&amp;IFERROR(VALUE(MID(B969,FIND("-",B969)+1,9)),0),4))</f>
        <v/>
      </c>
      <c r="N969" s="11" t="str">
        <f aca="false">IF(OR(B969="",N(F969)&lt;=0),"",IF('FALTAS POR DECK'!$P$1="Código","K"&amp;M969&amp;RIGHT("00000"&amp;ROW(),5),IF('FALTAS POR DECK'!$P$1="Nome","K"&amp;UPPER(SUBSTITUTE(SUBSTITUTE(SUBSTITUTE(C969,"*",""),"?",""),"~",""))&amp;"0"&amp;M969&amp;RIGHT("00000"&amp;ROW(),5),IF('FALTAS POR DECK'!$P$1="Falta (maior primeiro)","K"&amp;RIGHT("0000"&amp;(9999-F969),4)&amp;M969&amp;RIGHT("00000"&amp;ROW(),5),IF('FALTAS POR DECK'!$P$1="Deck e código","K"&amp;RIGHT("00"&amp;IFERROR(MATCH(A969,_LEITURA!$P$2:$P$21,0),99),2)&amp;M969&amp;RIGHT("00000"&amp;ROW(),5),"K"&amp;RIGHT("00000"&amp;ROW(),5))))))</f>
        <v/>
      </c>
      <c r="O969" s="16" t="str">
        <f aca="false">IF(N969="","",COUNTIFS($N$2:$N$1201,"&lt;"&amp;N969,$F$2:$F$1201,"&gt;0")+1)</f>
        <v/>
      </c>
    </row>
    <row r="970" customFormat="false" ht="15" hidden="false" customHeight="false" outlineLevel="0" collapsed="false">
      <c r="A970" s="11" t="str">
        <f aca="false">IF(_LEITURA!$N970="","",INDEX(_LEITURA!$K$2:$K$1201,_LEITURA!$N970))</f>
        <v/>
      </c>
      <c r="B970" s="11" t="str">
        <f aca="false">IF(_LEITURA!$N970="","",INDEX(_LEITURA!$E$2:$E$1201,_LEITURA!$N970))</f>
        <v/>
      </c>
      <c r="C970" s="11" t="str">
        <f aca="false">IF(_LEITURA!$N970="","",INDEX(_LEITURA!$J$2:$J$1201,_LEITURA!$N970))</f>
        <v/>
      </c>
      <c r="D970" s="16" t="str">
        <f aca="false">IF(_LEITURA!$N970="","",INDEX(_LEITURA!$G$2:$G$1201,_LEITURA!$N970))</f>
        <v/>
      </c>
      <c r="E970" s="16" t="str">
        <f aca="false">IF(B970="","",SUMIFS(INVENTÁRIO!$C$2:$C$801,INVENTÁRIO!$A$2:$A$801,B970))</f>
        <v/>
      </c>
      <c r="F970" s="16" t="str">
        <f aca="false">IF(B970="","",MAX(0,D970-E970))</f>
        <v/>
      </c>
      <c r="G970" s="16" t="str">
        <f aca="false">IF(B970="","",IF(COUNTIFS($B$2:$B$1201,B970,$A$2:$A$1201,"&lt;&gt;"&amp;A970)&gt;0,"Sim",""))</f>
        <v/>
      </c>
      <c r="H970" s="16" t="str">
        <f aca="false">IF(N(F970)&gt;0,MAX(H$1:H969)+1,"")</f>
        <v/>
      </c>
      <c r="I970" s="11" t="str">
        <f aca="false">IF(B970="","",IF(INDEX($C$2:$C$1201,MATCH(B970,$B$2:$B$1201,0))&lt;&gt;C970,"Nome diferente em outro deck — revisar",""))</f>
        <v/>
      </c>
      <c r="J970" s="16" t="str">
        <f aca="false">IF(AND(B970&lt;&gt;"",A970=BULK!$A$1,N(F970)&gt;0),MAX(J$1:J969)+1,"")</f>
        <v/>
      </c>
      <c r="K970" s="11" t="str">
        <f aca="false">IF(B970="","",IFERROR(LEFT(B970,FIND("-",B970)-1),B970))</f>
        <v/>
      </c>
      <c r="L970" s="11" t="str">
        <f aca="false">IF(K970="","",IF(ISNUMBER(--MID(K970,1,1)),0,IF(ISNUMBER(--MID(K970,2,1)),1,IF(ISNUMBER(--MID(K970,3,1)),2,IF(ISNUMBER(--MID(K970,4,1)),3,MIN(LEN(K970),4))))))</f>
        <v/>
      </c>
      <c r="M970" s="11" t="str">
        <f aca="false">IF(B970="","",LEFT(K970,L970)&amp;REPT("0",4-L970)&amp;RIGHT("000"&amp;IFERROR(VALUE(MID(K970,L970+1,9)),0),3)&amp;RIGHT("0000"&amp;IFERROR(VALUE(MID(B970,FIND("-",B970)+1,9)),0),4))</f>
        <v/>
      </c>
      <c r="N970" s="11" t="str">
        <f aca="false">IF(OR(B970="",N(F970)&lt;=0),"",IF('FALTAS POR DECK'!$P$1="Código","K"&amp;M970&amp;RIGHT("00000"&amp;ROW(),5),IF('FALTAS POR DECK'!$P$1="Nome","K"&amp;UPPER(SUBSTITUTE(SUBSTITUTE(SUBSTITUTE(C970,"*",""),"?",""),"~",""))&amp;"0"&amp;M970&amp;RIGHT("00000"&amp;ROW(),5),IF('FALTAS POR DECK'!$P$1="Falta (maior primeiro)","K"&amp;RIGHT("0000"&amp;(9999-F970),4)&amp;M970&amp;RIGHT("00000"&amp;ROW(),5),IF('FALTAS POR DECK'!$P$1="Deck e código","K"&amp;RIGHT("00"&amp;IFERROR(MATCH(A970,_LEITURA!$P$2:$P$21,0),99),2)&amp;M970&amp;RIGHT("00000"&amp;ROW(),5),"K"&amp;RIGHT("00000"&amp;ROW(),5))))))</f>
        <v/>
      </c>
      <c r="O970" s="16" t="str">
        <f aca="false">IF(N970="","",COUNTIFS($N$2:$N$1201,"&lt;"&amp;N970,$F$2:$F$1201,"&gt;0")+1)</f>
        <v/>
      </c>
    </row>
    <row r="971" customFormat="false" ht="15" hidden="false" customHeight="false" outlineLevel="0" collapsed="false">
      <c r="A971" s="11" t="str">
        <f aca="false">IF(_LEITURA!$N971="","",INDEX(_LEITURA!$K$2:$K$1201,_LEITURA!$N971))</f>
        <v/>
      </c>
      <c r="B971" s="11" t="str">
        <f aca="false">IF(_LEITURA!$N971="","",INDEX(_LEITURA!$E$2:$E$1201,_LEITURA!$N971))</f>
        <v/>
      </c>
      <c r="C971" s="11" t="str">
        <f aca="false">IF(_LEITURA!$N971="","",INDEX(_LEITURA!$J$2:$J$1201,_LEITURA!$N971))</f>
        <v/>
      </c>
      <c r="D971" s="16" t="str">
        <f aca="false">IF(_LEITURA!$N971="","",INDEX(_LEITURA!$G$2:$G$1201,_LEITURA!$N971))</f>
        <v/>
      </c>
      <c r="E971" s="16" t="str">
        <f aca="false">IF(B971="","",SUMIFS(INVENTÁRIO!$C$2:$C$801,INVENTÁRIO!$A$2:$A$801,B971))</f>
        <v/>
      </c>
      <c r="F971" s="16" t="str">
        <f aca="false">IF(B971="","",MAX(0,D971-E971))</f>
        <v/>
      </c>
      <c r="G971" s="16" t="str">
        <f aca="false">IF(B971="","",IF(COUNTIFS($B$2:$B$1201,B971,$A$2:$A$1201,"&lt;&gt;"&amp;A971)&gt;0,"Sim",""))</f>
        <v/>
      </c>
      <c r="H971" s="16" t="str">
        <f aca="false">IF(N(F971)&gt;0,MAX(H$1:H970)+1,"")</f>
        <v/>
      </c>
      <c r="I971" s="11" t="str">
        <f aca="false">IF(B971="","",IF(INDEX($C$2:$C$1201,MATCH(B971,$B$2:$B$1201,0))&lt;&gt;C971,"Nome diferente em outro deck — revisar",""))</f>
        <v/>
      </c>
      <c r="J971" s="16" t="str">
        <f aca="false">IF(AND(B971&lt;&gt;"",A971=BULK!$A$1,N(F971)&gt;0),MAX(J$1:J970)+1,"")</f>
        <v/>
      </c>
      <c r="K971" s="11" t="str">
        <f aca="false">IF(B971="","",IFERROR(LEFT(B971,FIND("-",B971)-1),B971))</f>
        <v/>
      </c>
      <c r="L971" s="11" t="str">
        <f aca="false">IF(K971="","",IF(ISNUMBER(--MID(K971,1,1)),0,IF(ISNUMBER(--MID(K971,2,1)),1,IF(ISNUMBER(--MID(K971,3,1)),2,IF(ISNUMBER(--MID(K971,4,1)),3,MIN(LEN(K971),4))))))</f>
        <v/>
      </c>
      <c r="M971" s="11" t="str">
        <f aca="false">IF(B971="","",LEFT(K971,L971)&amp;REPT("0",4-L971)&amp;RIGHT("000"&amp;IFERROR(VALUE(MID(K971,L971+1,9)),0),3)&amp;RIGHT("0000"&amp;IFERROR(VALUE(MID(B971,FIND("-",B971)+1,9)),0),4))</f>
        <v/>
      </c>
      <c r="N971" s="11" t="str">
        <f aca="false">IF(OR(B971="",N(F971)&lt;=0),"",IF('FALTAS POR DECK'!$P$1="Código","K"&amp;M971&amp;RIGHT("00000"&amp;ROW(),5),IF('FALTAS POR DECK'!$P$1="Nome","K"&amp;UPPER(SUBSTITUTE(SUBSTITUTE(SUBSTITUTE(C971,"*",""),"?",""),"~",""))&amp;"0"&amp;M971&amp;RIGHT("00000"&amp;ROW(),5),IF('FALTAS POR DECK'!$P$1="Falta (maior primeiro)","K"&amp;RIGHT("0000"&amp;(9999-F971),4)&amp;M971&amp;RIGHT("00000"&amp;ROW(),5),IF('FALTAS POR DECK'!$P$1="Deck e código","K"&amp;RIGHT("00"&amp;IFERROR(MATCH(A971,_LEITURA!$P$2:$P$21,0),99),2)&amp;M971&amp;RIGHT("00000"&amp;ROW(),5),"K"&amp;RIGHT("00000"&amp;ROW(),5))))))</f>
        <v/>
      </c>
      <c r="O971" s="16" t="str">
        <f aca="false">IF(N971="","",COUNTIFS($N$2:$N$1201,"&lt;"&amp;N971,$F$2:$F$1201,"&gt;0")+1)</f>
        <v/>
      </c>
    </row>
    <row r="972" customFormat="false" ht="15" hidden="false" customHeight="false" outlineLevel="0" collapsed="false">
      <c r="A972" s="11" t="str">
        <f aca="false">IF(_LEITURA!$N972="","",INDEX(_LEITURA!$K$2:$K$1201,_LEITURA!$N972))</f>
        <v/>
      </c>
      <c r="B972" s="11" t="str">
        <f aca="false">IF(_LEITURA!$N972="","",INDEX(_LEITURA!$E$2:$E$1201,_LEITURA!$N972))</f>
        <v/>
      </c>
      <c r="C972" s="11" t="str">
        <f aca="false">IF(_LEITURA!$N972="","",INDEX(_LEITURA!$J$2:$J$1201,_LEITURA!$N972))</f>
        <v/>
      </c>
      <c r="D972" s="16" t="str">
        <f aca="false">IF(_LEITURA!$N972="","",INDEX(_LEITURA!$G$2:$G$1201,_LEITURA!$N972))</f>
        <v/>
      </c>
      <c r="E972" s="16" t="str">
        <f aca="false">IF(B972="","",SUMIFS(INVENTÁRIO!$C$2:$C$801,INVENTÁRIO!$A$2:$A$801,B972))</f>
        <v/>
      </c>
      <c r="F972" s="16" t="str">
        <f aca="false">IF(B972="","",MAX(0,D972-E972))</f>
        <v/>
      </c>
      <c r="G972" s="16" t="str">
        <f aca="false">IF(B972="","",IF(COUNTIFS($B$2:$B$1201,B972,$A$2:$A$1201,"&lt;&gt;"&amp;A972)&gt;0,"Sim",""))</f>
        <v/>
      </c>
      <c r="H972" s="16" t="str">
        <f aca="false">IF(N(F972)&gt;0,MAX(H$1:H971)+1,"")</f>
        <v/>
      </c>
      <c r="I972" s="11" t="str">
        <f aca="false">IF(B972="","",IF(INDEX($C$2:$C$1201,MATCH(B972,$B$2:$B$1201,0))&lt;&gt;C972,"Nome diferente em outro deck — revisar",""))</f>
        <v/>
      </c>
      <c r="J972" s="16" t="str">
        <f aca="false">IF(AND(B972&lt;&gt;"",A972=BULK!$A$1,N(F972)&gt;0),MAX(J$1:J971)+1,"")</f>
        <v/>
      </c>
      <c r="K972" s="11" t="str">
        <f aca="false">IF(B972="","",IFERROR(LEFT(B972,FIND("-",B972)-1),B972))</f>
        <v/>
      </c>
      <c r="L972" s="11" t="str">
        <f aca="false">IF(K972="","",IF(ISNUMBER(--MID(K972,1,1)),0,IF(ISNUMBER(--MID(K972,2,1)),1,IF(ISNUMBER(--MID(K972,3,1)),2,IF(ISNUMBER(--MID(K972,4,1)),3,MIN(LEN(K972),4))))))</f>
        <v/>
      </c>
      <c r="M972" s="11" t="str">
        <f aca="false">IF(B972="","",LEFT(K972,L972)&amp;REPT("0",4-L972)&amp;RIGHT("000"&amp;IFERROR(VALUE(MID(K972,L972+1,9)),0),3)&amp;RIGHT("0000"&amp;IFERROR(VALUE(MID(B972,FIND("-",B972)+1,9)),0),4))</f>
        <v/>
      </c>
      <c r="N972" s="11" t="str">
        <f aca="false">IF(OR(B972="",N(F972)&lt;=0),"",IF('FALTAS POR DECK'!$P$1="Código","K"&amp;M972&amp;RIGHT("00000"&amp;ROW(),5),IF('FALTAS POR DECK'!$P$1="Nome","K"&amp;UPPER(SUBSTITUTE(SUBSTITUTE(SUBSTITUTE(C972,"*",""),"?",""),"~",""))&amp;"0"&amp;M972&amp;RIGHT("00000"&amp;ROW(),5),IF('FALTAS POR DECK'!$P$1="Falta (maior primeiro)","K"&amp;RIGHT("0000"&amp;(9999-F972),4)&amp;M972&amp;RIGHT("00000"&amp;ROW(),5),IF('FALTAS POR DECK'!$P$1="Deck e código","K"&amp;RIGHT("00"&amp;IFERROR(MATCH(A972,_LEITURA!$P$2:$P$21,0),99),2)&amp;M972&amp;RIGHT("00000"&amp;ROW(),5),"K"&amp;RIGHT("00000"&amp;ROW(),5))))))</f>
        <v/>
      </c>
      <c r="O972" s="16" t="str">
        <f aca="false">IF(N972="","",COUNTIFS($N$2:$N$1201,"&lt;"&amp;N972,$F$2:$F$1201,"&gt;0")+1)</f>
        <v/>
      </c>
    </row>
    <row r="973" customFormat="false" ht="15" hidden="false" customHeight="false" outlineLevel="0" collapsed="false">
      <c r="A973" s="11" t="str">
        <f aca="false">IF(_LEITURA!$N973="","",INDEX(_LEITURA!$K$2:$K$1201,_LEITURA!$N973))</f>
        <v/>
      </c>
      <c r="B973" s="11" t="str">
        <f aca="false">IF(_LEITURA!$N973="","",INDEX(_LEITURA!$E$2:$E$1201,_LEITURA!$N973))</f>
        <v/>
      </c>
      <c r="C973" s="11" t="str">
        <f aca="false">IF(_LEITURA!$N973="","",INDEX(_LEITURA!$J$2:$J$1201,_LEITURA!$N973))</f>
        <v/>
      </c>
      <c r="D973" s="16" t="str">
        <f aca="false">IF(_LEITURA!$N973="","",INDEX(_LEITURA!$G$2:$G$1201,_LEITURA!$N973))</f>
        <v/>
      </c>
      <c r="E973" s="16" t="str">
        <f aca="false">IF(B973="","",SUMIFS(INVENTÁRIO!$C$2:$C$801,INVENTÁRIO!$A$2:$A$801,B973))</f>
        <v/>
      </c>
      <c r="F973" s="16" t="str">
        <f aca="false">IF(B973="","",MAX(0,D973-E973))</f>
        <v/>
      </c>
      <c r="G973" s="16" t="str">
        <f aca="false">IF(B973="","",IF(COUNTIFS($B$2:$B$1201,B973,$A$2:$A$1201,"&lt;&gt;"&amp;A973)&gt;0,"Sim",""))</f>
        <v/>
      </c>
      <c r="H973" s="16" t="str">
        <f aca="false">IF(N(F973)&gt;0,MAX(H$1:H972)+1,"")</f>
        <v/>
      </c>
      <c r="I973" s="11" t="str">
        <f aca="false">IF(B973="","",IF(INDEX($C$2:$C$1201,MATCH(B973,$B$2:$B$1201,0))&lt;&gt;C973,"Nome diferente em outro deck — revisar",""))</f>
        <v/>
      </c>
      <c r="J973" s="16" t="str">
        <f aca="false">IF(AND(B973&lt;&gt;"",A973=BULK!$A$1,N(F973)&gt;0),MAX(J$1:J972)+1,"")</f>
        <v/>
      </c>
      <c r="K973" s="11" t="str">
        <f aca="false">IF(B973="","",IFERROR(LEFT(B973,FIND("-",B973)-1),B973))</f>
        <v/>
      </c>
      <c r="L973" s="11" t="str">
        <f aca="false">IF(K973="","",IF(ISNUMBER(--MID(K973,1,1)),0,IF(ISNUMBER(--MID(K973,2,1)),1,IF(ISNUMBER(--MID(K973,3,1)),2,IF(ISNUMBER(--MID(K973,4,1)),3,MIN(LEN(K973),4))))))</f>
        <v/>
      </c>
      <c r="M973" s="11" t="str">
        <f aca="false">IF(B973="","",LEFT(K973,L973)&amp;REPT("0",4-L973)&amp;RIGHT("000"&amp;IFERROR(VALUE(MID(K973,L973+1,9)),0),3)&amp;RIGHT("0000"&amp;IFERROR(VALUE(MID(B973,FIND("-",B973)+1,9)),0),4))</f>
        <v/>
      </c>
      <c r="N973" s="11" t="str">
        <f aca="false">IF(OR(B973="",N(F973)&lt;=0),"",IF('FALTAS POR DECK'!$P$1="Código","K"&amp;M973&amp;RIGHT("00000"&amp;ROW(),5),IF('FALTAS POR DECK'!$P$1="Nome","K"&amp;UPPER(SUBSTITUTE(SUBSTITUTE(SUBSTITUTE(C973,"*",""),"?",""),"~",""))&amp;"0"&amp;M973&amp;RIGHT("00000"&amp;ROW(),5),IF('FALTAS POR DECK'!$P$1="Falta (maior primeiro)","K"&amp;RIGHT("0000"&amp;(9999-F973),4)&amp;M973&amp;RIGHT("00000"&amp;ROW(),5),IF('FALTAS POR DECK'!$P$1="Deck e código","K"&amp;RIGHT("00"&amp;IFERROR(MATCH(A973,_LEITURA!$P$2:$P$21,0),99),2)&amp;M973&amp;RIGHT("00000"&amp;ROW(),5),"K"&amp;RIGHT("00000"&amp;ROW(),5))))))</f>
        <v/>
      </c>
      <c r="O973" s="16" t="str">
        <f aca="false">IF(N973="","",COUNTIFS($N$2:$N$1201,"&lt;"&amp;N973,$F$2:$F$1201,"&gt;0")+1)</f>
        <v/>
      </c>
    </row>
    <row r="974" customFormat="false" ht="15" hidden="false" customHeight="false" outlineLevel="0" collapsed="false">
      <c r="A974" s="11" t="str">
        <f aca="false">IF(_LEITURA!$N974="","",INDEX(_LEITURA!$K$2:$K$1201,_LEITURA!$N974))</f>
        <v/>
      </c>
      <c r="B974" s="11" t="str">
        <f aca="false">IF(_LEITURA!$N974="","",INDEX(_LEITURA!$E$2:$E$1201,_LEITURA!$N974))</f>
        <v/>
      </c>
      <c r="C974" s="11" t="str">
        <f aca="false">IF(_LEITURA!$N974="","",INDEX(_LEITURA!$J$2:$J$1201,_LEITURA!$N974))</f>
        <v/>
      </c>
      <c r="D974" s="16" t="str">
        <f aca="false">IF(_LEITURA!$N974="","",INDEX(_LEITURA!$G$2:$G$1201,_LEITURA!$N974))</f>
        <v/>
      </c>
      <c r="E974" s="16" t="str">
        <f aca="false">IF(B974="","",SUMIFS(INVENTÁRIO!$C$2:$C$801,INVENTÁRIO!$A$2:$A$801,B974))</f>
        <v/>
      </c>
      <c r="F974" s="16" t="str">
        <f aca="false">IF(B974="","",MAX(0,D974-E974))</f>
        <v/>
      </c>
      <c r="G974" s="16" t="str">
        <f aca="false">IF(B974="","",IF(COUNTIFS($B$2:$B$1201,B974,$A$2:$A$1201,"&lt;&gt;"&amp;A974)&gt;0,"Sim",""))</f>
        <v/>
      </c>
      <c r="H974" s="16" t="str">
        <f aca="false">IF(N(F974)&gt;0,MAX(H$1:H973)+1,"")</f>
        <v/>
      </c>
      <c r="I974" s="11" t="str">
        <f aca="false">IF(B974="","",IF(INDEX($C$2:$C$1201,MATCH(B974,$B$2:$B$1201,0))&lt;&gt;C974,"Nome diferente em outro deck — revisar",""))</f>
        <v/>
      </c>
      <c r="J974" s="16" t="str">
        <f aca="false">IF(AND(B974&lt;&gt;"",A974=BULK!$A$1,N(F974)&gt;0),MAX(J$1:J973)+1,"")</f>
        <v/>
      </c>
      <c r="K974" s="11" t="str">
        <f aca="false">IF(B974="","",IFERROR(LEFT(B974,FIND("-",B974)-1),B974))</f>
        <v/>
      </c>
      <c r="L974" s="11" t="str">
        <f aca="false">IF(K974="","",IF(ISNUMBER(--MID(K974,1,1)),0,IF(ISNUMBER(--MID(K974,2,1)),1,IF(ISNUMBER(--MID(K974,3,1)),2,IF(ISNUMBER(--MID(K974,4,1)),3,MIN(LEN(K974),4))))))</f>
        <v/>
      </c>
      <c r="M974" s="11" t="str">
        <f aca="false">IF(B974="","",LEFT(K974,L974)&amp;REPT("0",4-L974)&amp;RIGHT("000"&amp;IFERROR(VALUE(MID(K974,L974+1,9)),0),3)&amp;RIGHT("0000"&amp;IFERROR(VALUE(MID(B974,FIND("-",B974)+1,9)),0),4))</f>
        <v/>
      </c>
      <c r="N974" s="11" t="str">
        <f aca="false">IF(OR(B974="",N(F974)&lt;=0),"",IF('FALTAS POR DECK'!$P$1="Código","K"&amp;M974&amp;RIGHT("00000"&amp;ROW(),5),IF('FALTAS POR DECK'!$P$1="Nome","K"&amp;UPPER(SUBSTITUTE(SUBSTITUTE(SUBSTITUTE(C974,"*",""),"?",""),"~",""))&amp;"0"&amp;M974&amp;RIGHT("00000"&amp;ROW(),5),IF('FALTAS POR DECK'!$P$1="Falta (maior primeiro)","K"&amp;RIGHT("0000"&amp;(9999-F974),4)&amp;M974&amp;RIGHT("00000"&amp;ROW(),5),IF('FALTAS POR DECK'!$P$1="Deck e código","K"&amp;RIGHT("00"&amp;IFERROR(MATCH(A974,_LEITURA!$P$2:$P$21,0),99),2)&amp;M974&amp;RIGHT("00000"&amp;ROW(),5),"K"&amp;RIGHT("00000"&amp;ROW(),5))))))</f>
        <v/>
      </c>
      <c r="O974" s="16" t="str">
        <f aca="false">IF(N974="","",COUNTIFS($N$2:$N$1201,"&lt;"&amp;N974,$F$2:$F$1201,"&gt;0")+1)</f>
        <v/>
      </c>
    </row>
    <row r="975" customFormat="false" ht="15" hidden="false" customHeight="false" outlineLevel="0" collapsed="false">
      <c r="A975" s="11" t="str">
        <f aca="false">IF(_LEITURA!$N975="","",INDEX(_LEITURA!$K$2:$K$1201,_LEITURA!$N975))</f>
        <v/>
      </c>
      <c r="B975" s="11" t="str">
        <f aca="false">IF(_LEITURA!$N975="","",INDEX(_LEITURA!$E$2:$E$1201,_LEITURA!$N975))</f>
        <v/>
      </c>
      <c r="C975" s="11" t="str">
        <f aca="false">IF(_LEITURA!$N975="","",INDEX(_LEITURA!$J$2:$J$1201,_LEITURA!$N975))</f>
        <v/>
      </c>
      <c r="D975" s="16" t="str">
        <f aca="false">IF(_LEITURA!$N975="","",INDEX(_LEITURA!$G$2:$G$1201,_LEITURA!$N975))</f>
        <v/>
      </c>
      <c r="E975" s="16" t="str">
        <f aca="false">IF(B975="","",SUMIFS(INVENTÁRIO!$C$2:$C$801,INVENTÁRIO!$A$2:$A$801,B975))</f>
        <v/>
      </c>
      <c r="F975" s="16" t="str">
        <f aca="false">IF(B975="","",MAX(0,D975-E975))</f>
        <v/>
      </c>
      <c r="G975" s="16" t="str">
        <f aca="false">IF(B975="","",IF(COUNTIFS($B$2:$B$1201,B975,$A$2:$A$1201,"&lt;&gt;"&amp;A975)&gt;0,"Sim",""))</f>
        <v/>
      </c>
      <c r="H975" s="16" t="str">
        <f aca="false">IF(N(F975)&gt;0,MAX(H$1:H974)+1,"")</f>
        <v/>
      </c>
      <c r="I975" s="11" t="str">
        <f aca="false">IF(B975="","",IF(INDEX($C$2:$C$1201,MATCH(B975,$B$2:$B$1201,0))&lt;&gt;C975,"Nome diferente em outro deck — revisar",""))</f>
        <v/>
      </c>
      <c r="J975" s="16" t="str">
        <f aca="false">IF(AND(B975&lt;&gt;"",A975=BULK!$A$1,N(F975)&gt;0),MAX(J$1:J974)+1,"")</f>
        <v/>
      </c>
      <c r="K975" s="11" t="str">
        <f aca="false">IF(B975="","",IFERROR(LEFT(B975,FIND("-",B975)-1),B975))</f>
        <v/>
      </c>
      <c r="L975" s="11" t="str">
        <f aca="false">IF(K975="","",IF(ISNUMBER(--MID(K975,1,1)),0,IF(ISNUMBER(--MID(K975,2,1)),1,IF(ISNUMBER(--MID(K975,3,1)),2,IF(ISNUMBER(--MID(K975,4,1)),3,MIN(LEN(K975),4))))))</f>
        <v/>
      </c>
      <c r="M975" s="11" t="str">
        <f aca="false">IF(B975="","",LEFT(K975,L975)&amp;REPT("0",4-L975)&amp;RIGHT("000"&amp;IFERROR(VALUE(MID(K975,L975+1,9)),0),3)&amp;RIGHT("0000"&amp;IFERROR(VALUE(MID(B975,FIND("-",B975)+1,9)),0),4))</f>
        <v/>
      </c>
      <c r="N975" s="11" t="str">
        <f aca="false">IF(OR(B975="",N(F975)&lt;=0),"",IF('FALTAS POR DECK'!$P$1="Código","K"&amp;M975&amp;RIGHT("00000"&amp;ROW(),5),IF('FALTAS POR DECK'!$P$1="Nome","K"&amp;UPPER(SUBSTITUTE(SUBSTITUTE(SUBSTITUTE(C975,"*",""),"?",""),"~",""))&amp;"0"&amp;M975&amp;RIGHT("00000"&amp;ROW(),5),IF('FALTAS POR DECK'!$P$1="Falta (maior primeiro)","K"&amp;RIGHT("0000"&amp;(9999-F975),4)&amp;M975&amp;RIGHT("00000"&amp;ROW(),5),IF('FALTAS POR DECK'!$P$1="Deck e código","K"&amp;RIGHT("00"&amp;IFERROR(MATCH(A975,_LEITURA!$P$2:$P$21,0),99),2)&amp;M975&amp;RIGHT("00000"&amp;ROW(),5),"K"&amp;RIGHT("00000"&amp;ROW(),5))))))</f>
        <v/>
      </c>
      <c r="O975" s="16" t="str">
        <f aca="false">IF(N975="","",COUNTIFS($N$2:$N$1201,"&lt;"&amp;N975,$F$2:$F$1201,"&gt;0")+1)</f>
        <v/>
      </c>
    </row>
    <row r="976" customFormat="false" ht="15" hidden="false" customHeight="false" outlineLevel="0" collapsed="false">
      <c r="A976" s="11" t="str">
        <f aca="false">IF(_LEITURA!$N976="","",INDEX(_LEITURA!$K$2:$K$1201,_LEITURA!$N976))</f>
        <v/>
      </c>
      <c r="B976" s="11" t="str">
        <f aca="false">IF(_LEITURA!$N976="","",INDEX(_LEITURA!$E$2:$E$1201,_LEITURA!$N976))</f>
        <v/>
      </c>
      <c r="C976" s="11" t="str">
        <f aca="false">IF(_LEITURA!$N976="","",INDEX(_LEITURA!$J$2:$J$1201,_LEITURA!$N976))</f>
        <v/>
      </c>
      <c r="D976" s="16" t="str">
        <f aca="false">IF(_LEITURA!$N976="","",INDEX(_LEITURA!$G$2:$G$1201,_LEITURA!$N976))</f>
        <v/>
      </c>
      <c r="E976" s="16" t="str">
        <f aca="false">IF(B976="","",SUMIFS(INVENTÁRIO!$C$2:$C$801,INVENTÁRIO!$A$2:$A$801,B976))</f>
        <v/>
      </c>
      <c r="F976" s="16" t="str">
        <f aca="false">IF(B976="","",MAX(0,D976-E976))</f>
        <v/>
      </c>
      <c r="G976" s="16" t="str">
        <f aca="false">IF(B976="","",IF(COUNTIFS($B$2:$B$1201,B976,$A$2:$A$1201,"&lt;&gt;"&amp;A976)&gt;0,"Sim",""))</f>
        <v/>
      </c>
      <c r="H976" s="16" t="str">
        <f aca="false">IF(N(F976)&gt;0,MAX(H$1:H975)+1,"")</f>
        <v/>
      </c>
      <c r="I976" s="11" t="str">
        <f aca="false">IF(B976="","",IF(INDEX($C$2:$C$1201,MATCH(B976,$B$2:$B$1201,0))&lt;&gt;C976,"Nome diferente em outro deck — revisar",""))</f>
        <v/>
      </c>
      <c r="J976" s="16" t="str">
        <f aca="false">IF(AND(B976&lt;&gt;"",A976=BULK!$A$1,N(F976)&gt;0),MAX(J$1:J975)+1,"")</f>
        <v/>
      </c>
      <c r="K976" s="11" t="str">
        <f aca="false">IF(B976="","",IFERROR(LEFT(B976,FIND("-",B976)-1),B976))</f>
        <v/>
      </c>
      <c r="L976" s="11" t="str">
        <f aca="false">IF(K976="","",IF(ISNUMBER(--MID(K976,1,1)),0,IF(ISNUMBER(--MID(K976,2,1)),1,IF(ISNUMBER(--MID(K976,3,1)),2,IF(ISNUMBER(--MID(K976,4,1)),3,MIN(LEN(K976),4))))))</f>
        <v/>
      </c>
      <c r="M976" s="11" t="str">
        <f aca="false">IF(B976="","",LEFT(K976,L976)&amp;REPT("0",4-L976)&amp;RIGHT("000"&amp;IFERROR(VALUE(MID(K976,L976+1,9)),0),3)&amp;RIGHT("0000"&amp;IFERROR(VALUE(MID(B976,FIND("-",B976)+1,9)),0),4))</f>
        <v/>
      </c>
      <c r="N976" s="11" t="str">
        <f aca="false">IF(OR(B976="",N(F976)&lt;=0),"",IF('FALTAS POR DECK'!$P$1="Código","K"&amp;M976&amp;RIGHT("00000"&amp;ROW(),5),IF('FALTAS POR DECK'!$P$1="Nome","K"&amp;UPPER(SUBSTITUTE(SUBSTITUTE(SUBSTITUTE(C976,"*",""),"?",""),"~",""))&amp;"0"&amp;M976&amp;RIGHT("00000"&amp;ROW(),5),IF('FALTAS POR DECK'!$P$1="Falta (maior primeiro)","K"&amp;RIGHT("0000"&amp;(9999-F976),4)&amp;M976&amp;RIGHT("00000"&amp;ROW(),5),IF('FALTAS POR DECK'!$P$1="Deck e código","K"&amp;RIGHT("00"&amp;IFERROR(MATCH(A976,_LEITURA!$P$2:$P$21,0),99),2)&amp;M976&amp;RIGHT("00000"&amp;ROW(),5),"K"&amp;RIGHT("00000"&amp;ROW(),5))))))</f>
        <v/>
      </c>
      <c r="O976" s="16" t="str">
        <f aca="false">IF(N976="","",COUNTIFS($N$2:$N$1201,"&lt;"&amp;N976,$F$2:$F$1201,"&gt;0")+1)</f>
        <v/>
      </c>
    </row>
    <row r="977" customFormat="false" ht="15" hidden="false" customHeight="false" outlineLevel="0" collapsed="false">
      <c r="A977" s="11" t="str">
        <f aca="false">IF(_LEITURA!$N977="","",INDEX(_LEITURA!$K$2:$K$1201,_LEITURA!$N977))</f>
        <v/>
      </c>
      <c r="B977" s="11" t="str">
        <f aca="false">IF(_LEITURA!$N977="","",INDEX(_LEITURA!$E$2:$E$1201,_LEITURA!$N977))</f>
        <v/>
      </c>
      <c r="C977" s="11" t="str">
        <f aca="false">IF(_LEITURA!$N977="","",INDEX(_LEITURA!$J$2:$J$1201,_LEITURA!$N977))</f>
        <v/>
      </c>
      <c r="D977" s="16" t="str">
        <f aca="false">IF(_LEITURA!$N977="","",INDEX(_LEITURA!$G$2:$G$1201,_LEITURA!$N977))</f>
        <v/>
      </c>
      <c r="E977" s="16" t="str">
        <f aca="false">IF(B977="","",SUMIFS(INVENTÁRIO!$C$2:$C$801,INVENTÁRIO!$A$2:$A$801,B977))</f>
        <v/>
      </c>
      <c r="F977" s="16" t="str">
        <f aca="false">IF(B977="","",MAX(0,D977-E977))</f>
        <v/>
      </c>
      <c r="G977" s="16" t="str">
        <f aca="false">IF(B977="","",IF(COUNTIFS($B$2:$B$1201,B977,$A$2:$A$1201,"&lt;&gt;"&amp;A977)&gt;0,"Sim",""))</f>
        <v/>
      </c>
      <c r="H977" s="16" t="str">
        <f aca="false">IF(N(F977)&gt;0,MAX(H$1:H976)+1,"")</f>
        <v/>
      </c>
      <c r="I977" s="11" t="str">
        <f aca="false">IF(B977="","",IF(INDEX($C$2:$C$1201,MATCH(B977,$B$2:$B$1201,0))&lt;&gt;C977,"Nome diferente em outro deck — revisar",""))</f>
        <v/>
      </c>
      <c r="J977" s="16" t="str">
        <f aca="false">IF(AND(B977&lt;&gt;"",A977=BULK!$A$1,N(F977)&gt;0),MAX(J$1:J976)+1,"")</f>
        <v/>
      </c>
      <c r="K977" s="11" t="str">
        <f aca="false">IF(B977="","",IFERROR(LEFT(B977,FIND("-",B977)-1),B977))</f>
        <v/>
      </c>
      <c r="L977" s="11" t="str">
        <f aca="false">IF(K977="","",IF(ISNUMBER(--MID(K977,1,1)),0,IF(ISNUMBER(--MID(K977,2,1)),1,IF(ISNUMBER(--MID(K977,3,1)),2,IF(ISNUMBER(--MID(K977,4,1)),3,MIN(LEN(K977),4))))))</f>
        <v/>
      </c>
      <c r="M977" s="11" t="str">
        <f aca="false">IF(B977="","",LEFT(K977,L977)&amp;REPT("0",4-L977)&amp;RIGHT("000"&amp;IFERROR(VALUE(MID(K977,L977+1,9)),0),3)&amp;RIGHT("0000"&amp;IFERROR(VALUE(MID(B977,FIND("-",B977)+1,9)),0),4))</f>
        <v/>
      </c>
      <c r="N977" s="11" t="str">
        <f aca="false">IF(OR(B977="",N(F977)&lt;=0),"",IF('FALTAS POR DECK'!$P$1="Código","K"&amp;M977&amp;RIGHT("00000"&amp;ROW(),5),IF('FALTAS POR DECK'!$P$1="Nome","K"&amp;UPPER(SUBSTITUTE(SUBSTITUTE(SUBSTITUTE(C977,"*",""),"?",""),"~",""))&amp;"0"&amp;M977&amp;RIGHT("00000"&amp;ROW(),5),IF('FALTAS POR DECK'!$P$1="Falta (maior primeiro)","K"&amp;RIGHT("0000"&amp;(9999-F977),4)&amp;M977&amp;RIGHT("00000"&amp;ROW(),5),IF('FALTAS POR DECK'!$P$1="Deck e código","K"&amp;RIGHT("00"&amp;IFERROR(MATCH(A977,_LEITURA!$P$2:$P$21,0),99),2)&amp;M977&amp;RIGHT("00000"&amp;ROW(),5),"K"&amp;RIGHT("00000"&amp;ROW(),5))))))</f>
        <v/>
      </c>
      <c r="O977" s="16" t="str">
        <f aca="false">IF(N977="","",COUNTIFS($N$2:$N$1201,"&lt;"&amp;N977,$F$2:$F$1201,"&gt;0")+1)</f>
        <v/>
      </c>
    </row>
    <row r="978" customFormat="false" ht="15" hidden="false" customHeight="false" outlineLevel="0" collapsed="false">
      <c r="A978" s="11" t="str">
        <f aca="false">IF(_LEITURA!$N978="","",INDEX(_LEITURA!$K$2:$K$1201,_LEITURA!$N978))</f>
        <v/>
      </c>
      <c r="B978" s="11" t="str">
        <f aca="false">IF(_LEITURA!$N978="","",INDEX(_LEITURA!$E$2:$E$1201,_LEITURA!$N978))</f>
        <v/>
      </c>
      <c r="C978" s="11" t="str">
        <f aca="false">IF(_LEITURA!$N978="","",INDEX(_LEITURA!$J$2:$J$1201,_LEITURA!$N978))</f>
        <v/>
      </c>
      <c r="D978" s="16" t="str">
        <f aca="false">IF(_LEITURA!$N978="","",INDEX(_LEITURA!$G$2:$G$1201,_LEITURA!$N978))</f>
        <v/>
      </c>
      <c r="E978" s="16" t="str">
        <f aca="false">IF(B978="","",SUMIFS(INVENTÁRIO!$C$2:$C$801,INVENTÁRIO!$A$2:$A$801,B978))</f>
        <v/>
      </c>
      <c r="F978" s="16" t="str">
        <f aca="false">IF(B978="","",MAX(0,D978-E978))</f>
        <v/>
      </c>
      <c r="G978" s="16" t="str">
        <f aca="false">IF(B978="","",IF(COUNTIFS($B$2:$B$1201,B978,$A$2:$A$1201,"&lt;&gt;"&amp;A978)&gt;0,"Sim",""))</f>
        <v/>
      </c>
      <c r="H978" s="16" t="str">
        <f aca="false">IF(N(F978)&gt;0,MAX(H$1:H977)+1,"")</f>
        <v/>
      </c>
      <c r="I978" s="11" t="str">
        <f aca="false">IF(B978="","",IF(INDEX($C$2:$C$1201,MATCH(B978,$B$2:$B$1201,0))&lt;&gt;C978,"Nome diferente em outro deck — revisar",""))</f>
        <v/>
      </c>
      <c r="J978" s="16" t="str">
        <f aca="false">IF(AND(B978&lt;&gt;"",A978=BULK!$A$1,N(F978)&gt;0),MAX(J$1:J977)+1,"")</f>
        <v/>
      </c>
      <c r="K978" s="11" t="str">
        <f aca="false">IF(B978="","",IFERROR(LEFT(B978,FIND("-",B978)-1),B978))</f>
        <v/>
      </c>
      <c r="L978" s="11" t="str">
        <f aca="false">IF(K978="","",IF(ISNUMBER(--MID(K978,1,1)),0,IF(ISNUMBER(--MID(K978,2,1)),1,IF(ISNUMBER(--MID(K978,3,1)),2,IF(ISNUMBER(--MID(K978,4,1)),3,MIN(LEN(K978),4))))))</f>
        <v/>
      </c>
      <c r="M978" s="11" t="str">
        <f aca="false">IF(B978="","",LEFT(K978,L978)&amp;REPT("0",4-L978)&amp;RIGHT("000"&amp;IFERROR(VALUE(MID(K978,L978+1,9)),0),3)&amp;RIGHT("0000"&amp;IFERROR(VALUE(MID(B978,FIND("-",B978)+1,9)),0),4))</f>
        <v/>
      </c>
      <c r="N978" s="11" t="str">
        <f aca="false">IF(OR(B978="",N(F978)&lt;=0),"",IF('FALTAS POR DECK'!$P$1="Código","K"&amp;M978&amp;RIGHT("00000"&amp;ROW(),5),IF('FALTAS POR DECK'!$P$1="Nome","K"&amp;UPPER(SUBSTITUTE(SUBSTITUTE(SUBSTITUTE(C978,"*",""),"?",""),"~",""))&amp;"0"&amp;M978&amp;RIGHT("00000"&amp;ROW(),5),IF('FALTAS POR DECK'!$P$1="Falta (maior primeiro)","K"&amp;RIGHT("0000"&amp;(9999-F978),4)&amp;M978&amp;RIGHT("00000"&amp;ROW(),5),IF('FALTAS POR DECK'!$P$1="Deck e código","K"&amp;RIGHT("00"&amp;IFERROR(MATCH(A978,_LEITURA!$P$2:$P$21,0),99),2)&amp;M978&amp;RIGHT("00000"&amp;ROW(),5),"K"&amp;RIGHT("00000"&amp;ROW(),5))))))</f>
        <v/>
      </c>
      <c r="O978" s="16" t="str">
        <f aca="false">IF(N978="","",COUNTIFS($N$2:$N$1201,"&lt;"&amp;N978,$F$2:$F$1201,"&gt;0")+1)</f>
        <v/>
      </c>
    </row>
    <row r="979" customFormat="false" ht="15" hidden="false" customHeight="false" outlineLevel="0" collapsed="false">
      <c r="A979" s="11" t="str">
        <f aca="false">IF(_LEITURA!$N979="","",INDEX(_LEITURA!$K$2:$K$1201,_LEITURA!$N979))</f>
        <v/>
      </c>
      <c r="B979" s="11" t="str">
        <f aca="false">IF(_LEITURA!$N979="","",INDEX(_LEITURA!$E$2:$E$1201,_LEITURA!$N979))</f>
        <v/>
      </c>
      <c r="C979" s="11" t="str">
        <f aca="false">IF(_LEITURA!$N979="","",INDEX(_LEITURA!$J$2:$J$1201,_LEITURA!$N979))</f>
        <v/>
      </c>
      <c r="D979" s="16" t="str">
        <f aca="false">IF(_LEITURA!$N979="","",INDEX(_LEITURA!$G$2:$G$1201,_LEITURA!$N979))</f>
        <v/>
      </c>
      <c r="E979" s="16" t="str">
        <f aca="false">IF(B979="","",SUMIFS(INVENTÁRIO!$C$2:$C$801,INVENTÁRIO!$A$2:$A$801,B979))</f>
        <v/>
      </c>
      <c r="F979" s="16" t="str">
        <f aca="false">IF(B979="","",MAX(0,D979-E979))</f>
        <v/>
      </c>
      <c r="G979" s="16" t="str">
        <f aca="false">IF(B979="","",IF(COUNTIFS($B$2:$B$1201,B979,$A$2:$A$1201,"&lt;&gt;"&amp;A979)&gt;0,"Sim",""))</f>
        <v/>
      </c>
      <c r="H979" s="16" t="str">
        <f aca="false">IF(N(F979)&gt;0,MAX(H$1:H978)+1,"")</f>
        <v/>
      </c>
      <c r="I979" s="11" t="str">
        <f aca="false">IF(B979="","",IF(INDEX($C$2:$C$1201,MATCH(B979,$B$2:$B$1201,0))&lt;&gt;C979,"Nome diferente em outro deck — revisar",""))</f>
        <v/>
      </c>
      <c r="J979" s="16" t="str">
        <f aca="false">IF(AND(B979&lt;&gt;"",A979=BULK!$A$1,N(F979)&gt;0),MAX(J$1:J978)+1,"")</f>
        <v/>
      </c>
      <c r="K979" s="11" t="str">
        <f aca="false">IF(B979="","",IFERROR(LEFT(B979,FIND("-",B979)-1),B979))</f>
        <v/>
      </c>
      <c r="L979" s="11" t="str">
        <f aca="false">IF(K979="","",IF(ISNUMBER(--MID(K979,1,1)),0,IF(ISNUMBER(--MID(K979,2,1)),1,IF(ISNUMBER(--MID(K979,3,1)),2,IF(ISNUMBER(--MID(K979,4,1)),3,MIN(LEN(K979),4))))))</f>
        <v/>
      </c>
      <c r="M979" s="11" t="str">
        <f aca="false">IF(B979="","",LEFT(K979,L979)&amp;REPT("0",4-L979)&amp;RIGHT("000"&amp;IFERROR(VALUE(MID(K979,L979+1,9)),0),3)&amp;RIGHT("0000"&amp;IFERROR(VALUE(MID(B979,FIND("-",B979)+1,9)),0),4))</f>
        <v/>
      </c>
      <c r="N979" s="11" t="str">
        <f aca="false">IF(OR(B979="",N(F979)&lt;=0),"",IF('FALTAS POR DECK'!$P$1="Código","K"&amp;M979&amp;RIGHT("00000"&amp;ROW(),5),IF('FALTAS POR DECK'!$P$1="Nome","K"&amp;UPPER(SUBSTITUTE(SUBSTITUTE(SUBSTITUTE(C979,"*",""),"?",""),"~",""))&amp;"0"&amp;M979&amp;RIGHT("00000"&amp;ROW(),5),IF('FALTAS POR DECK'!$P$1="Falta (maior primeiro)","K"&amp;RIGHT("0000"&amp;(9999-F979),4)&amp;M979&amp;RIGHT("00000"&amp;ROW(),5),IF('FALTAS POR DECK'!$P$1="Deck e código","K"&amp;RIGHT("00"&amp;IFERROR(MATCH(A979,_LEITURA!$P$2:$P$21,0),99),2)&amp;M979&amp;RIGHT("00000"&amp;ROW(),5),"K"&amp;RIGHT("00000"&amp;ROW(),5))))))</f>
        <v/>
      </c>
      <c r="O979" s="16" t="str">
        <f aca="false">IF(N979="","",COUNTIFS($N$2:$N$1201,"&lt;"&amp;N979,$F$2:$F$1201,"&gt;0")+1)</f>
        <v/>
      </c>
    </row>
    <row r="980" customFormat="false" ht="15" hidden="false" customHeight="false" outlineLevel="0" collapsed="false">
      <c r="A980" s="11" t="str">
        <f aca="false">IF(_LEITURA!$N980="","",INDEX(_LEITURA!$K$2:$K$1201,_LEITURA!$N980))</f>
        <v/>
      </c>
      <c r="B980" s="11" t="str">
        <f aca="false">IF(_LEITURA!$N980="","",INDEX(_LEITURA!$E$2:$E$1201,_LEITURA!$N980))</f>
        <v/>
      </c>
      <c r="C980" s="11" t="str">
        <f aca="false">IF(_LEITURA!$N980="","",INDEX(_LEITURA!$J$2:$J$1201,_LEITURA!$N980))</f>
        <v/>
      </c>
      <c r="D980" s="16" t="str">
        <f aca="false">IF(_LEITURA!$N980="","",INDEX(_LEITURA!$G$2:$G$1201,_LEITURA!$N980))</f>
        <v/>
      </c>
      <c r="E980" s="16" t="str">
        <f aca="false">IF(B980="","",SUMIFS(INVENTÁRIO!$C$2:$C$801,INVENTÁRIO!$A$2:$A$801,B980))</f>
        <v/>
      </c>
      <c r="F980" s="16" t="str">
        <f aca="false">IF(B980="","",MAX(0,D980-E980))</f>
        <v/>
      </c>
      <c r="G980" s="16" t="str">
        <f aca="false">IF(B980="","",IF(COUNTIFS($B$2:$B$1201,B980,$A$2:$A$1201,"&lt;&gt;"&amp;A980)&gt;0,"Sim",""))</f>
        <v/>
      </c>
      <c r="H980" s="16" t="str">
        <f aca="false">IF(N(F980)&gt;0,MAX(H$1:H979)+1,"")</f>
        <v/>
      </c>
      <c r="I980" s="11" t="str">
        <f aca="false">IF(B980="","",IF(INDEX($C$2:$C$1201,MATCH(B980,$B$2:$B$1201,0))&lt;&gt;C980,"Nome diferente em outro deck — revisar",""))</f>
        <v/>
      </c>
      <c r="J980" s="16" t="str">
        <f aca="false">IF(AND(B980&lt;&gt;"",A980=BULK!$A$1,N(F980)&gt;0),MAX(J$1:J979)+1,"")</f>
        <v/>
      </c>
      <c r="K980" s="11" t="str">
        <f aca="false">IF(B980="","",IFERROR(LEFT(B980,FIND("-",B980)-1),B980))</f>
        <v/>
      </c>
      <c r="L980" s="11" t="str">
        <f aca="false">IF(K980="","",IF(ISNUMBER(--MID(K980,1,1)),0,IF(ISNUMBER(--MID(K980,2,1)),1,IF(ISNUMBER(--MID(K980,3,1)),2,IF(ISNUMBER(--MID(K980,4,1)),3,MIN(LEN(K980),4))))))</f>
        <v/>
      </c>
      <c r="M980" s="11" t="str">
        <f aca="false">IF(B980="","",LEFT(K980,L980)&amp;REPT("0",4-L980)&amp;RIGHT("000"&amp;IFERROR(VALUE(MID(K980,L980+1,9)),0),3)&amp;RIGHT("0000"&amp;IFERROR(VALUE(MID(B980,FIND("-",B980)+1,9)),0),4))</f>
        <v/>
      </c>
      <c r="N980" s="11" t="str">
        <f aca="false">IF(OR(B980="",N(F980)&lt;=0),"",IF('FALTAS POR DECK'!$P$1="Código","K"&amp;M980&amp;RIGHT("00000"&amp;ROW(),5),IF('FALTAS POR DECK'!$P$1="Nome","K"&amp;UPPER(SUBSTITUTE(SUBSTITUTE(SUBSTITUTE(C980,"*",""),"?",""),"~",""))&amp;"0"&amp;M980&amp;RIGHT("00000"&amp;ROW(),5),IF('FALTAS POR DECK'!$P$1="Falta (maior primeiro)","K"&amp;RIGHT("0000"&amp;(9999-F980),4)&amp;M980&amp;RIGHT("00000"&amp;ROW(),5),IF('FALTAS POR DECK'!$P$1="Deck e código","K"&amp;RIGHT("00"&amp;IFERROR(MATCH(A980,_LEITURA!$P$2:$P$21,0),99),2)&amp;M980&amp;RIGHT("00000"&amp;ROW(),5),"K"&amp;RIGHT("00000"&amp;ROW(),5))))))</f>
        <v/>
      </c>
      <c r="O980" s="16" t="str">
        <f aca="false">IF(N980="","",COUNTIFS($N$2:$N$1201,"&lt;"&amp;N980,$F$2:$F$1201,"&gt;0")+1)</f>
        <v/>
      </c>
    </row>
    <row r="981" customFormat="false" ht="15" hidden="false" customHeight="false" outlineLevel="0" collapsed="false">
      <c r="A981" s="11" t="str">
        <f aca="false">IF(_LEITURA!$N981="","",INDEX(_LEITURA!$K$2:$K$1201,_LEITURA!$N981))</f>
        <v/>
      </c>
      <c r="B981" s="11" t="str">
        <f aca="false">IF(_LEITURA!$N981="","",INDEX(_LEITURA!$E$2:$E$1201,_LEITURA!$N981))</f>
        <v/>
      </c>
      <c r="C981" s="11" t="str">
        <f aca="false">IF(_LEITURA!$N981="","",INDEX(_LEITURA!$J$2:$J$1201,_LEITURA!$N981))</f>
        <v/>
      </c>
      <c r="D981" s="16" t="str">
        <f aca="false">IF(_LEITURA!$N981="","",INDEX(_LEITURA!$G$2:$G$1201,_LEITURA!$N981))</f>
        <v/>
      </c>
      <c r="E981" s="16" t="str">
        <f aca="false">IF(B981="","",SUMIFS(INVENTÁRIO!$C$2:$C$801,INVENTÁRIO!$A$2:$A$801,B981))</f>
        <v/>
      </c>
      <c r="F981" s="16" t="str">
        <f aca="false">IF(B981="","",MAX(0,D981-E981))</f>
        <v/>
      </c>
      <c r="G981" s="16" t="str">
        <f aca="false">IF(B981="","",IF(COUNTIFS($B$2:$B$1201,B981,$A$2:$A$1201,"&lt;&gt;"&amp;A981)&gt;0,"Sim",""))</f>
        <v/>
      </c>
      <c r="H981" s="16" t="str">
        <f aca="false">IF(N(F981)&gt;0,MAX(H$1:H980)+1,"")</f>
        <v/>
      </c>
      <c r="I981" s="11" t="str">
        <f aca="false">IF(B981="","",IF(INDEX($C$2:$C$1201,MATCH(B981,$B$2:$B$1201,0))&lt;&gt;C981,"Nome diferente em outro deck — revisar",""))</f>
        <v/>
      </c>
      <c r="J981" s="16" t="str">
        <f aca="false">IF(AND(B981&lt;&gt;"",A981=BULK!$A$1,N(F981)&gt;0),MAX(J$1:J980)+1,"")</f>
        <v/>
      </c>
      <c r="K981" s="11" t="str">
        <f aca="false">IF(B981="","",IFERROR(LEFT(B981,FIND("-",B981)-1),B981))</f>
        <v/>
      </c>
      <c r="L981" s="11" t="str">
        <f aca="false">IF(K981="","",IF(ISNUMBER(--MID(K981,1,1)),0,IF(ISNUMBER(--MID(K981,2,1)),1,IF(ISNUMBER(--MID(K981,3,1)),2,IF(ISNUMBER(--MID(K981,4,1)),3,MIN(LEN(K981),4))))))</f>
        <v/>
      </c>
      <c r="M981" s="11" t="str">
        <f aca="false">IF(B981="","",LEFT(K981,L981)&amp;REPT("0",4-L981)&amp;RIGHT("000"&amp;IFERROR(VALUE(MID(K981,L981+1,9)),0),3)&amp;RIGHT("0000"&amp;IFERROR(VALUE(MID(B981,FIND("-",B981)+1,9)),0),4))</f>
        <v/>
      </c>
      <c r="N981" s="11" t="str">
        <f aca="false">IF(OR(B981="",N(F981)&lt;=0),"",IF('FALTAS POR DECK'!$P$1="Código","K"&amp;M981&amp;RIGHT("00000"&amp;ROW(),5),IF('FALTAS POR DECK'!$P$1="Nome","K"&amp;UPPER(SUBSTITUTE(SUBSTITUTE(SUBSTITUTE(C981,"*",""),"?",""),"~",""))&amp;"0"&amp;M981&amp;RIGHT("00000"&amp;ROW(),5),IF('FALTAS POR DECK'!$P$1="Falta (maior primeiro)","K"&amp;RIGHT("0000"&amp;(9999-F981),4)&amp;M981&amp;RIGHT("00000"&amp;ROW(),5),IF('FALTAS POR DECK'!$P$1="Deck e código","K"&amp;RIGHT("00"&amp;IFERROR(MATCH(A981,_LEITURA!$P$2:$P$21,0),99),2)&amp;M981&amp;RIGHT("00000"&amp;ROW(),5),"K"&amp;RIGHT("00000"&amp;ROW(),5))))))</f>
        <v/>
      </c>
      <c r="O981" s="16" t="str">
        <f aca="false">IF(N981="","",COUNTIFS($N$2:$N$1201,"&lt;"&amp;N981,$F$2:$F$1201,"&gt;0")+1)</f>
        <v/>
      </c>
    </row>
    <row r="982" customFormat="false" ht="15" hidden="false" customHeight="false" outlineLevel="0" collapsed="false">
      <c r="A982" s="11" t="str">
        <f aca="false">IF(_LEITURA!$N982="","",INDEX(_LEITURA!$K$2:$K$1201,_LEITURA!$N982))</f>
        <v/>
      </c>
      <c r="B982" s="11" t="str">
        <f aca="false">IF(_LEITURA!$N982="","",INDEX(_LEITURA!$E$2:$E$1201,_LEITURA!$N982))</f>
        <v/>
      </c>
      <c r="C982" s="11" t="str">
        <f aca="false">IF(_LEITURA!$N982="","",INDEX(_LEITURA!$J$2:$J$1201,_LEITURA!$N982))</f>
        <v/>
      </c>
      <c r="D982" s="16" t="str">
        <f aca="false">IF(_LEITURA!$N982="","",INDEX(_LEITURA!$G$2:$G$1201,_LEITURA!$N982))</f>
        <v/>
      </c>
      <c r="E982" s="16" t="str">
        <f aca="false">IF(B982="","",SUMIFS(INVENTÁRIO!$C$2:$C$801,INVENTÁRIO!$A$2:$A$801,B982))</f>
        <v/>
      </c>
      <c r="F982" s="16" t="str">
        <f aca="false">IF(B982="","",MAX(0,D982-E982))</f>
        <v/>
      </c>
      <c r="G982" s="16" t="str">
        <f aca="false">IF(B982="","",IF(COUNTIFS($B$2:$B$1201,B982,$A$2:$A$1201,"&lt;&gt;"&amp;A982)&gt;0,"Sim",""))</f>
        <v/>
      </c>
      <c r="H982" s="16" t="str">
        <f aca="false">IF(N(F982)&gt;0,MAX(H$1:H981)+1,"")</f>
        <v/>
      </c>
      <c r="I982" s="11" t="str">
        <f aca="false">IF(B982="","",IF(INDEX($C$2:$C$1201,MATCH(B982,$B$2:$B$1201,0))&lt;&gt;C982,"Nome diferente em outro deck — revisar",""))</f>
        <v/>
      </c>
      <c r="J982" s="16" t="str">
        <f aca="false">IF(AND(B982&lt;&gt;"",A982=BULK!$A$1,N(F982)&gt;0),MAX(J$1:J981)+1,"")</f>
        <v/>
      </c>
      <c r="K982" s="11" t="str">
        <f aca="false">IF(B982="","",IFERROR(LEFT(B982,FIND("-",B982)-1),B982))</f>
        <v/>
      </c>
      <c r="L982" s="11" t="str">
        <f aca="false">IF(K982="","",IF(ISNUMBER(--MID(K982,1,1)),0,IF(ISNUMBER(--MID(K982,2,1)),1,IF(ISNUMBER(--MID(K982,3,1)),2,IF(ISNUMBER(--MID(K982,4,1)),3,MIN(LEN(K982),4))))))</f>
        <v/>
      </c>
      <c r="M982" s="11" t="str">
        <f aca="false">IF(B982="","",LEFT(K982,L982)&amp;REPT("0",4-L982)&amp;RIGHT("000"&amp;IFERROR(VALUE(MID(K982,L982+1,9)),0),3)&amp;RIGHT("0000"&amp;IFERROR(VALUE(MID(B982,FIND("-",B982)+1,9)),0),4))</f>
        <v/>
      </c>
      <c r="N982" s="11" t="str">
        <f aca="false">IF(OR(B982="",N(F982)&lt;=0),"",IF('FALTAS POR DECK'!$P$1="Código","K"&amp;M982&amp;RIGHT("00000"&amp;ROW(),5),IF('FALTAS POR DECK'!$P$1="Nome","K"&amp;UPPER(SUBSTITUTE(SUBSTITUTE(SUBSTITUTE(C982,"*",""),"?",""),"~",""))&amp;"0"&amp;M982&amp;RIGHT("00000"&amp;ROW(),5),IF('FALTAS POR DECK'!$P$1="Falta (maior primeiro)","K"&amp;RIGHT("0000"&amp;(9999-F982),4)&amp;M982&amp;RIGHT("00000"&amp;ROW(),5),IF('FALTAS POR DECK'!$P$1="Deck e código","K"&amp;RIGHT("00"&amp;IFERROR(MATCH(A982,_LEITURA!$P$2:$P$21,0),99),2)&amp;M982&amp;RIGHT("00000"&amp;ROW(),5),"K"&amp;RIGHT("00000"&amp;ROW(),5))))))</f>
        <v/>
      </c>
      <c r="O982" s="16" t="str">
        <f aca="false">IF(N982="","",COUNTIFS($N$2:$N$1201,"&lt;"&amp;N982,$F$2:$F$1201,"&gt;0")+1)</f>
        <v/>
      </c>
    </row>
    <row r="983" customFormat="false" ht="15" hidden="false" customHeight="false" outlineLevel="0" collapsed="false">
      <c r="A983" s="11" t="str">
        <f aca="false">IF(_LEITURA!$N983="","",INDEX(_LEITURA!$K$2:$K$1201,_LEITURA!$N983))</f>
        <v/>
      </c>
      <c r="B983" s="11" t="str">
        <f aca="false">IF(_LEITURA!$N983="","",INDEX(_LEITURA!$E$2:$E$1201,_LEITURA!$N983))</f>
        <v/>
      </c>
      <c r="C983" s="11" t="str">
        <f aca="false">IF(_LEITURA!$N983="","",INDEX(_LEITURA!$J$2:$J$1201,_LEITURA!$N983))</f>
        <v/>
      </c>
      <c r="D983" s="16" t="str">
        <f aca="false">IF(_LEITURA!$N983="","",INDEX(_LEITURA!$G$2:$G$1201,_LEITURA!$N983))</f>
        <v/>
      </c>
      <c r="E983" s="16" t="str">
        <f aca="false">IF(B983="","",SUMIFS(INVENTÁRIO!$C$2:$C$801,INVENTÁRIO!$A$2:$A$801,B983))</f>
        <v/>
      </c>
      <c r="F983" s="16" t="str">
        <f aca="false">IF(B983="","",MAX(0,D983-E983))</f>
        <v/>
      </c>
      <c r="G983" s="16" t="str">
        <f aca="false">IF(B983="","",IF(COUNTIFS($B$2:$B$1201,B983,$A$2:$A$1201,"&lt;&gt;"&amp;A983)&gt;0,"Sim",""))</f>
        <v/>
      </c>
      <c r="H983" s="16" t="str">
        <f aca="false">IF(N(F983)&gt;0,MAX(H$1:H982)+1,"")</f>
        <v/>
      </c>
      <c r="I983" s="11" t="str">
        <f aca="false">IF(B983="","",IF(INDEX($C$2:$C$1201,MATCH(B983,$B$2:$B$1201,0))&lt;&gt;C983,"Nome diferente em outro deck — revisar",""))</f>
        <v/>
      </c>
      <c r="J983" s="16" t="str">
        <f aca="false">IF(AND(B983&lt;&gt;"",A983=BULK!$A$1,N(F983)&gt;0),MAX(J$1:J982)+1,"")</f>
        <v/>
      </c>
      <c r="K983" s="11" t="str">
        <f aca="false">IF(B983="","",IFERROR(LEFT(B983,FIND("-",B983)-1),B983))</f>
        <v/>
      </c>
      <c r="L983" s="11" t="str">
        <f aca="false">IF(K983="","",IF(ISNUMBER(--MID(K983,1,1)),0,IF(ISNUMBER(--MID(K983,2,1)),1,IF(ISNUMBER(--MID(K983,3,1)),2,IF(ISNUMBER(--MID(K983,4,1)),3,MIN(LEN(K983),4))))))</f>
        <v/>
      </c>
      <c r="M983" s="11" t="str">
        <f aca="false">IF(B983="","",LEFT(K983,L983)&amp;REPT("0",4-L983)&amp;RIGHT("000"&amp;IFERROR(VALUE(MID(K983,L983+1,9)),0),3)&amp;RIGHT("0000"&amp;IFERROR(VALUE(MID(B983,FIND("-",B983)+1,9)),0),4))</f>
        <v/>
      </c>
      <c r="N983" s="11" t="str">
        <f aca="false">IF(OR(B983="",N(F983)&lt;=0),"",IF('FALTAS POR DECK'!$P$1="Código","K"&amp;M983&amp;RIGHT("00000"&amp;ROW(),5),IF('FALTAS POR DECK'!$P$1="Nome","K"&amp;UPPER(SUBSTITUTE(SUBSTITUTE(SUBSTITUTE(C983,"*",""),"?",""),"~",""))&amp;"0"&amp;M983&amp;RIGHT("00000"&amp;ROW(),5),IF('FALTAS POR DECK'!$P$1="Falta (maior primeiro)","K"&amp;RIGHT("0000"&amp;(9999-F983),4)&amp;M983&amp;RIGHT("00000"&amp;ROW(),5),IF('FALTAS POR DECK'!$P$1="Deck e código","K"&amp;RIGHT("00"&amp;IFERROR(MATCH(A983,_LEITURA!$P$2:$P$21,0),99),2)&amp;M983&amp;RIGHT("00000"&amp;ROW(),5),"K"&amp;RIGHT("00000"&amp;ROW(),5))))))</f>
        <v/>
      </c>
      <c r="O983" s="16" t="str">
        <f aca="false">IF(N983="","",COUNTIFS($N$2:$N$1201,"&lt;"&amp;N983,$F$2:$F$1201,"&gt;0")+1)</f>
        <v/>
      </c>
    </row>
    <row r="984" customFormat="false" ht="15" hidden="false" customHeight="false" outlineLevel="0" collapsed="false">
      <c r="A984" s="11" t="str">
        <f aca="false">IF(_LEITURA!$N984="","",INDEX(_LEITURA!$K$2:$K$1201,_LEITURA!$N984))</f>
        <v/>
      </c>
      <c r="B984" s="11" t="str">
        <f aca="false">IF(_LEITURA!$N984="","",INDEX(_LEITURA!$E$2:$E$1201,_LEITURA!$N984))</f>
        <v/>
      </c>
      <c r="C984" s="11" t="str">
        <f aca="false">IF(_LEITURA!$N984="","",INDEX(_LEITURA!$J$2:$J$1201,_LEITURA!$N984))</f>
        <v/>
      </c>
      <c r="D984" s="16" t="str">
        <f aca="false">IF(_LEITURA!$N984="","",INDEX(_LEITURA!$G$2:$G$1201,_LEITURA!$N984))</f>
        <v/>
      </c>
      <c r="E984" s="16" t="str">
        <f aca="false">IF(B984="","",SUMIFS(INVENTÁRIO!$C$2:$C$801,INVENTÁRIO!$A$2:$A$801,B984))</f>
        <v/>
      </c>
      <c r="F984" s="16" t="str">
        <f aca="false">IF(B984="","",MAX(0,D984-E984))</f>
        <v/>
      </c>
      <c r="G984" s="16" t="str">
        <f aca="false">IF(B984="","",IF(COUNTIFS($B$2:$B$1201,B984,$A$2:$A$1201,"&lt;&gt;"&amp;A984)&gt;0,"Sim",""))</f>
        <v/>
      </c>
      <c r="H984" s="16" t="str">
        <f aca="false">IF(N(F984)&gt;0,MAX(H$1:H983)+1,"")</f>
        <v/>
      </c>
      <c r="I984" s="11" t="str">
        <f aca="false">IF(B984="","",IF(INDEX($C$2:$C$1201,MATCH(B984,$B$2:$B$1201,0))&lt;&gt;C984,"Nome diferente em outro deck — revisar",""))</f>
        <v/>
      </c>
      <c r="J984" s="16" t="str">
        <f aca="false">IF(AND(B984&lt;&gt;"",A984=BULK!$A$1,N(F984)&gt;0),MAX(J$1:J983)+1,"")</f>
        <v/>
      </c>
      <c r="K984" s="11" t="str">
        <f aca="false">IF(B984="","",IFERROR(LEFT(B984,FIND("-",B984)-1),B984))</f>
        <v/>
      </c>
      <c r="L984" s="11" t="str">
        <f aca="false">IF(K984="","",IF(ISNUMBER(--MID(K984,1,1)),0,IF(ISNUMBER(--MID(K984,2,1)),1,IF(ISNUMBER(--MID(K984,3,1)),2,IF(ISNUMBER(--MID(K984,4,1)),3,MIN(LEN(K984),4))))))</f>
        <v/>
      </c>
      <c r="M984" s="11" t="str">
        <f aca="false">IF(B984="","",LEFT(K984,L984)&amp;REPT("0",4-L984)&amp;RIGHT("000"&amp;IFERROR(VALUE(MID(K984,L984+1,9)),0),3)&amp;RIGHT("0000"&amp;IFERROR(VALUE(MID(B984,FIND("-",B984)+1,9)),0),4))</f>
        <v/>
      </c>
      <c r="N984" s="11" t="str">
        <f aca="false">IF(OR(B984="",N(F984)&lt;=0),"",IF('FALTAS POR DECK'!$P$1="Código","K"&amp;M984&amp;RIGHT("00000"&amp;ROW(),5),IF('FALTAS POR DECK'!$P$1="Nome","K"&amp;UPPER(SUBSTITUTE(SUBSTITUTE(SUBSTITUTE(C984,"*",""),"?",""),"~",""))&amp;"0"&amp;M984&amp;RIGHT("00000"&amp;ROW(),5),IF('FALTAS POR DECK'!$P$1="Falta (maior primeiro)","K"&amp;RIGHT("0000"&amp;(9999-F984),4)&amp;M984&amp;RIGHT("00000"&amp;ROW(),5),IF('FALTAS POR DECK'!$P$1="Deck e código","K"&amp;RIGHT("00"&amp;IFERROR(MATCH(A984,_LEITURA!$P$2:$P$21,0),99),2)&amp;M984&amp;RIGHT("00000"&amp;ROW(),5),"K"&amp;RIGHT("00000"&amp;ROW(),5))))))</f>
        <v/>
      </c>
      <c r="O984" s="16" t="str">
        <f aca="false">IF(N984="","",COUNTIFS($N$2:$N$1201,"&lt;"&amp;N984,$F$2:$F$1201,"&gt;0")+1)</f>
        <v/>
      </c>
    </row>
    <row r="985" customFormat="false" ht="15" hidden="false" customHeight="false" outlineLevel="0" collapsed="false">
      <c r="A985" s="11" t="str">
        <f aca="false">IF(_LEITURA!$N985="","",INDEX(_LEITURA!$K$2:$K$1201,_LEITURA!$N985))</f>
        <v/>
      </c>
      <c r="B985" s="11" t="str">
        <f aca="false">IF(_LEITURA!$N985="","",INDEX(_LEITURA!$E$2:$E$1201,_LEITURA!$N985))</f>
        <v/>
      </c>
      <c r="C985" s="11" t="str">
        <f aca="false">IF(_LEITURA!$N985="","",INDEX(_LEITURA!$J$2:$J$1201,_LEITURA!$N985))</f>
        <v/>
      </c>
      <c r="D985" s="16" t="str">
        <f aca="false">IF(_LEITURA!$N985="","",INDEX(_LEITURA!$G$2:$G$1201,_LEITURA!$N985))</f>
        <v/>
      </c>
      <c r="E985" s="16" t="str">
        <f aca="false">IF(B985="","",SUMIFS(INVENTÁRIO!$C$2:$C$801,INVENTÁRIO!$A$2:$A$801,B985))</f>
        <v/>
      </c>
      <c r="F985" s="16" t="str">
        <f aca="false">IF(B985="","",MAX(0,D985-E985))</f>
        <v/>
      </c>
      <c r="G985" s="16" t="str">
        <f aca="false">IF(B985="","",IF(COUNTIFS($B$2:$B$1201,B985,$A$2:$A$1201,"&lt;&gt;"&amp;A985)&gt;0,"Sim",""))</f>
        <v/>
      </c>
      <c r="H985" s="16" t="str">
        <f aca="false">IF(N(F985)&gt;0,MAX(H$1:H984)+1,"")</f>
        <v/>
      </c>
      <c r="I985" s="11" t="str">
        <f aca="false">IF(B985="","",IF(INDEX($C$2:$C$1201,MATCH(B985,$B$2:$B$1201,0))&lt;&gt;C985,"Nome diferente em outro deck — revisar",""))</f>
        <v/>
      </c>
      <c r="J985" s="16" t="str">
        <f aca="false">IF(AND(B985&lt;&gt;"",A985=BULK!$A$1,N(F985)&gt;0),MAX(J$1:J984)+1,"")</f>
        <v/>
      </c>
      <c r="K985" s="11" t="str">
        <f aca="false">IF(B985="","",IFERROR(LEFT(B985,FIND("-",B985)-1),B985))</f>
        <v/>
      </c>
      <c r="L985" s="11" t="str">
        <f aca="false">IF(K985="","",IF(ISNUMBER(--MID(K985,1,1)),0,IF(ISNUMBER(--MID(K985,2,1)),1,IF(ISNUMBER(--MID(K985,3,1)),2,IF(ISNUMBER(--MID(K985,4,1)),3,MIN(LEN(K985),4))))))</f>
        <v/>
      </c>
      <c r="M985" s="11" t="str">
        <f aca="false">IF(B985="","",LEFT(K985,L985)&amp;REPT("0",4-L985)&amp;RIGHT("000"&amp;IFERROR(VALUE(MID(K985,L985+1,9)),0),3)&amp;RIGHT("0000"&amp;IFERROR(VALUE(MID(B985,FIND("-",B985)+1,9)),0),4))</f>
        <v/>
      </c>
      <c r="N985" s="11" t="str">
        <f aca="false">IF(OR(B985="",N(F985)&lt;=0),"",IF('FALTAS POR DECK'!$P$1="Código","K"&amp;M985&amp;RIGHT("00000"&amp;ROW(),5),IF('FALTAS POR DECK'!$P$1="Nome","K"&amp;UPPER(SUBSTITUTE(SUBSTITUTE(SUBSTITUTE(C985,"*",""),"?",""),"~",""))&amp;"0"&amp;M985&amp;RIGHT("00000"&amp;ROW(),5),IF('FALTAS POR DECK'!$P$1="Falta (maior primeiro)","K"&amp;RIGHT("0000"&amp;(9999-F985),4)&amp;M985&amp;RIGHT("00000"&amp;ROW(),5),IF('FALTAS POR DECK'!$P$1="Deck e código","K"&amp;RIGHT("00"&amp;IFERROR(MATCH(A985,_LEITURA!$P$2:$P$21,0),99),2)&amp;M985&amp;RIGHT("00000"&amp;ROW(),5),"K"&amp;RIGHT("00000"&amp;ROW(),5))))))</f>
        <v/>
      </c>
      <c r="O985" s="16" t="str">
        <f aca="false">IF(N985="","",COUNTIFS($N$2:$N$1201,"&lt;"&amp;N985,$F$2:$F$1201,"&gt;0")+1)</f>
        <v/>
      </c>
    </row>
    <row r="986" customFormat="false" ht="15" hidden="false" customHeight="false" outlineLevel="0" collapsed="false">
      <c r="A986" s="11" t="str">
        <f aca="false">IF(_LEITURA!$N986="","",INDEX(_LEITURA!$K$2:$K$1201,_LEITURA!$N986))</f>
        <v/>
      </c>
      <c r="B986" s="11" t="str">
        <f aca="false">IF(_LEITURA!$N986="","",INDEX(_LEITURA!$E$2:$E$1201,_LEITURA!$N986))</f>
        <v/>
      </c>
      <c r="C986" s="11" t="str">
        <f aca="false">IF(_LEITURA!$N986="","",INDEX(_LEITURA!$J$2:$J$1201,_LEITURA!$N986))</f>
        <v/>
      </c>
      <c r="D986" s="16" t="str">
        <f aca="false">IF(_LEITURA!$N986="","",INDEX(_LEITURA!$G$2:$G$1201,_LEITURA!$N986))</f>
        <v/>
      </c>
      <c r="E986" s="16" t="str">
        <f aca="false">IF(B986="","",SUMIFS(INVENTÁRIO!$C$2:$C$801,INVENTÁRIO!$A$2:$A$801,B986))</f>
        <v/>
      </c>
      <c r="F986" s="16" t="str">
        <f aca="false">IF(B986="","",MAX(0,D986-E986))</f>
        <v/>
      </c>
      <c r="G986" s="16" t="str">
        <f aca="false">IF(B986="","",IF(COUNTIFS($B$2:$B$1201,B986,$A$2:$A$1201,"&lt;&gt;"&amp;A986)&gt;0,"Sim",""))</f>
        <v/>
      </c>
      <c r="H986" s="16" t="str">
        <f aca="false">IF(N(F986)&gt;0,MAX(H$1:H985)+1,"")</f>
        <v/>
      </c>
      <c r="I986" s="11" t="str">
        <f aca="false">IF(B986="","",IF(INDEX($C$2:$C$1201,MATCH(B986,$B$2:$B$1201,0))&lt;&gt;C986,"Nome diferente em outro deck — revisar",""))</f>
        <v/>
      </c>
      <c r="J986" s="16" t="str">
        <f aca="false">IF(AND(B986&lt;&gt;"",A986=BULK!$A$1,N(F986)&gt;0),MAX(J$1:J985)+1,"")</f>
        <v/>
      </c>
      <c r="K986" s="11" t="str">
        <f aca="false">IF(B986="","",IFERROR(LEFT(B986,FIND("-",B986)-1),B986))</f>
        <v/>
      </c>
      <c r="L986" s="11" t="str">
        <f aca="false">IF(K986="","",IF(ISNUMBER(--MID(K986,1,1)),0,IF(ISNUMBER(--MID(K986,2,1)),1,IF(ISNUMBER(--MID(K986,3,1)),2,IF(ISNUMBER(--MID(K986,4,1)),3,MIN(LEN(K986),4))))))</f>
        <v/>
      </c>
      <c r="M986" s="11" t="str">
        <f aca="false">IF(B986="","",LEFT(K986,L986)&amp;REPT("0",4-L986)&amp;RIGHT("000"&amp;IFERROR(VALUE(MID(K986,L986+1,9)),0),3)&amp;RIGHT("0000"&amp;IFERROR(VALUE(MID(B986,FIND("-",B986)+1,9)),0),4))</f>
        <v/>
      </c>
      <c r="N986" s="11" t="str">
        <f aca="false">IF(OR(B986="",N(F986)&lt;=0),"",IF('FALTAS POR DECK'!$P$1="Código","K"&amp;M986&amp;RIGHT("00000"&amp;ROW(),5),IF('FALTAS POR DECK'!$P$1="Nome","K"&amp;UPPER(SUBSTITUTE(SUBSTITUTE(SUBSTITUTE(C986,"*",""),"?",""),"~",""))&amp;"0"&amp;M986&amp;RIGHT("00000"&amp;ROW(),5),IF('FALTAS POR DECK'!$P$1="Falta (maior primeiro)","K"&amp;RIGHT("0000"&amp;(9999-F986),4)&amp;M986&amp;RIGHT("00000"&amp;ROW(),5),IF('FALTAS POR DECK'!$P$1="Deck e código","K"&amp;RIGHT("00"&amp;IFERROR(MATCH(A986,_LEITURA!$P$2:$P$21,0),99),2)&amp;M986&amp;RIGHT("00000"&amp;ROW(),5),"K"&amp;RIGHT("00000"&amp;ROW(),5))))))</f>
        <v/>
      </c>
      <c r="O986" s="16" t="str">
        <f aca="false">IF(N986="","",COUNTIFS($N$2:$N$1201,"&lt;"&amp;N986,$F$2:$F$1201,"&gt;0")+1)</f>
        <v/>
      </c>
    </row>
    <row r="987" customFormat="false" ht="15" hidden="false" customHeight="false" outlineLevel="0" collapsed="false">
      <c r="A987" s="11" t="str">
        <f aca="false">IF(_LEITURA!$N987="","",INDEX(_LEITURA!$K$2:$K$1201,_LEITURA!$N987))</f>
        <v/>
      </c>
      <c r="B987" s="11" t="str">
        <f aca="false">IF(_LEITURA!$N987="","",INDEX(_LEITURA!$E$2:$E$1201,_LEITURA!$N987))</f>
        <v/>
      </c>
      <c r="C987" s="11" t="str">
        <f aca="false">IF(_LEITURA!$N987="","",INDEX(_LEITURA!$J$2:$J$1201,_LEITURA!$N987))</f>
        <v/>
      </c>
      <c r="D987" s="16" t="str">
        <f aca="false">IF(_LEITURA!$N987="","",INDEX(_LEITURA!$G$2:$G$1201,_LEITURA!$N987))</f>
        <v/>
      </c>
      <c r="E987" s="16" t="str">
        <f aca="false">IF(B987="","",SUMIFS(INVENTÁRIO!$C$2:$C$801,INVENTÁRIO!$A$2:$A$801,B987))</f>
        <v/>
      </c>
      <c r="F987" s="16" t="str">
        <f aca="false">IF(B987="","",MAX(0,D987-E987))</f>
        <v/>
      </c>
      <c r="G987" s="16" t="str">
        <f aca="false">IF(B987="","",IF(COUNTIFS($B$2:$B$1201,B987,$A$2:$A$1201,"&lt;&gt;"&amp;A987)&gt;0,"Sim",""))</f>
        <v/>
      </c>
      <c r="H987" s="16" t="str">
        <f aca="false">IF(N(F987)&gt;0,MAX(H$1:H986)+1,"")</f>
        <v/>
      </c>
      <c r="I987" s="11" t="str">
        <f aca="false">IF(B987="","",IF(INDEX($C$2:$C$1201,MATCH(B987,$B$2:$B$1201,0))&lt;&gt;C987,"Nome diferente em outro deck — revisar",""))</f>
        <v/>
      </c>
      <c r="J987" s="16" t="str">
        <f aca="false">IF(AND(B987&lt;&gt;"",A987=BULK!$A$1,N(F987)&gt;0),MAX(J$1:J986)+1,"")</f>
        <v/>
      </c>
      <c r="K987" s="11" t="str">
        <f aca="false">IF(B987="","",IFERROR(LEFT(B987,FIND("-",B987)-1),B987))</f>
        <v/>
      </c>
      <c r="L987" s="11" t="str">
        <f aca="false">IF(K987="","",IF(ISNUMBER(--MID(K987,1,1)),0,IF(ISNUMBER(--MID(K987,2,1)),1,IF(ISNUMBER(--MID(K987,3,1)),2,IF(ISNUMBER(--MID(K987,4,1)),3,MIN(LEN(K987),4))))))</f>
        <v/>
      </c>
      <c r="M987" s="11" t="str">
        <f aca="false">IF(B987="","",LEFT(K987,L987)&amp;REPT("0",4-L987)&amp;RIGHT("000"&amp;IFERROR(VALUE(MID(K987,L987+1,9)),0),3)&amp;RIGHT("0000"&amp;IFERROR(VALUE(MID(B987,FIND("-",B987)+1,9)),0),4))</f>
        <v/>
      </c>
      <c r="N987" s="11" t="str">
        <f aca="false">IF(OR(B987="",N(F987)&lt;=0),"",IF('FALTAS POR DECK'!$P$1="Código","K"&amp;M987&amp;RIGHT("00000"&amp;ROW(),5),IF('FALTAS POR DECK'!$P$1="Nome","K"&amp;UPPER(SUBSTITUTE(SUBSTITUTE(SUBSTITUTE(C987,"*",""),"?",""),"~",""))&amp;"0"&amp;M987&amp;RIGHT("00000"&amp;ROW(),5),IF('FALTAS POR DECK'!$P$1="Falta (maior primeiro)","K"&amp;RIGHT("0000"&amp;(9999-F987),4)&amp;M987&amp;RIGHT("00000"&amp;ROW(),5),IF('FALTAS POR DECK'!$P$1="Deck e código","K"&amp;RIGHT("00"&amp;IFERROR(MATCH(A987,_LEITURA!$P$2:$P$21,0),99),2)&amp;M987&amp;RIGHT("00000"&amp;ROW(),5),"K"&amp;RIGHT("00000"&amp;ROW(),5))))))</f>
        <v/>
      </c>
      <c r="O987" s="16" t="str">
        <f aca="false">IF(N987="","",COUNTIFS($N$2:$N$1201,"&lt;"&amp;N987,$F$2:$F$1201,"&gt;0")+1)</f>
        <v/>
      </c>
    </row>
    <row r="988" customFormat="false" ht="15" hidden="false" customHeight="false" outlineLevel="0" collapsed="false">
      <c r="A988" s="11" t="str">
        <f aca="false">IF(_LEITURA!$N988="","",INDEX(_LEITURA!$K$2:$K$1201,_LEITURA!$N988))</f>
        <v/>
      </c>
      <c r="B988" s="11" t="str">
        <f aca="false">IF(_LEITURA!$N988="","",INDEX(_LEITURA!$E$2:$E$1201,_LEITURA!$N988))</f>
        <v/>
      </c>
      <c r="C988" s="11" t="str">
        <f aca="false">IF(_LEITURA!$N988="","",INDEX(_LEITURA!$J$2:$J$1201,_LEITURA!$N988))</f>
        <v/>
      </c>
      <c r="D988" s="16" t="str">
        <f aca="false">IF(_LEITURA!$N988="","",INDEX(_LEITURA!$G$2:$G$1201,_LEITURA!$N988))</f>
        <v/>
      </c>
      <c r="E988" s="16" t="str">
        <f aca="false">IF(B988="","",SUMIFS(INVENTÁRIO!$C$2:$C$801,INVENTÁRIO!$A$2:$A$801,B988))</f>
        <v/>
      </c>
      <c r="F988" s="16" t="str">
        <f aca="false">IF(B988="","",MAX(0,D988-E988))</f>
        <v/>
      </c>
      <c r="G988" s="16" t="str">
        <f aca="false">IF(B988="","",IF(COUNTIFS($B$2:$B$1201,B988,$A$2:$A$1201,"&lt;&gt;"&amp;A988)&gt;0,"Sim",""))</f>
        <v/>
      </c>
      <c r="H988" s="16" t="str">
        <f aca="false">IF(N(F988)&gt;0,MAX(H$1:H987)+1,"")</f>
        <v/>
      </c>
      <c r="I988" s="11" t="str">
        <f aca="false">IF(B988="","",IF(INDEX($C$2:$C$1201,MATCH(B988,$B$2:$B$1201,0))&lt;&gt;C988,"Nome diferente em outro deck — revisar",""))</f>
        <v/>
      </c>
      <c r="J988" s="16" t="str">
        <f aca="false">IF(AND(B988&lt;&gt;"",A988=BULK!$A$1,N(F988)&gt;0),MAX(J$1:J987)+1,"")</f>
        <v/>
      </c>
      <c r="K988" s="11" t="str">
        <f aca="false">IF(B988="","",IFERROR(LEFT(B988,FIND("-",B988)-1),B988))</f>
        <v/>
      </c>
      <c r="L988" s="11" t="str">
        <f aca="false">IF(K988="","",IF(ISNUMBER(--MID(K988,1,1)),0,IF(ISNUMBER(--MID(K988,2,1)),1,IF(ISNUMBER(--MID(K988,3,1)),2,IF(ISNUMBER(--MID(K988,4,1)),3,MIN(LEN(K988),4))))))</f>
        <v/>
      </c>
      <c r="M988" s="11" t="str">
        <f aca="false">IF(B988="","",LEFT(K988,L988)&amp;REPT("0",4-L988)&amp;RIGHT("000"&amp;IFERROR(VALUE(MID(K988,L988+1,9)),0),3)&amp;RIGHT("0000"&amp;IFERROR(VALUE(MID(B988,FIND("-",B988)+1,9)),0),4))</f>
        <v/>
      </c>
      <c r="N988" s="11" t="str">
        <f aca="false">IF(OR(B988="",N(F988)&lt;=0),"",IF('FALTAS POR DECK'!$P$1="Código","K"&amp;M988&amp;RIGHT("00000"&amp;ROW(),5),IF('FALTAS POR DECK'!$P$1="Nome","K"&amp;UPPER(SUBSTITUTE(SUBSTITUTE(SUBSTITUTE(C988,"*",""),"?",""),"~",""))&amp;"0"&amp;M988&amp;RIGHT("00000"&amp;ROW(),5),IF('FALTAS POR DECK'!$P$1="Falta (maior primeiro)","K"&amp;RIGHT("0000"&amp;(9999-F988),4)&amp;M988&amp;RIGHT("00000"&amp;ROW(),5),IF('FALTAS POR DECK'!$P$1="Deck e código","K"&amp;RIGHT("00"&amp;IFERROR(MATCH(A988,_LEITURA!$P$2:$P$21,0),99),2)&amp;M988&amp;RIGHT("00000"&amp;ROW(),5),"K"&amp;RIGHT("00000"&amp;ROW(),5))))))</f>
        <v/>
      </c>
      <c r="O988" s="16" t="str">
        <f aca="false">IF(N988="","",COUNTIFS($N$2:$N$1201,"&lt;"&amp;N988,$F$2:$F$1201,"&gt;0")+1)</f>
        <v/>
      </c>
    </row>
    <row r="989" customFormat="false" ht="15" hidden="false" customHeight="false" outlineLevel="0" collapsed="false">
      <c r="A989" s="11" t="str">
        <f aca="false">IF(_LEITURA!$N989="","",INDEX(_LEITURA!$K$2:$K$1201,_LEITURA!$N989))</f>
        <v/>
      </c>
      <c r="B989" s="11" t="str">
        <f aca="false">IF(_LEITURA!$N989="","",INDEX(_LEITURA!$E$2:$E$1201,_LEITURA!$N989))</f>
        <v/>
      </c>
      <c r="C989" s="11" t="str">
        <f aca="false">IF(_LEITURA!$N989="","",INDEX(_LEITURA!$J$2:$J$1201,_LEITURA!$N989))</f>
        <v/>
      </c>
      <c r="D989" s="16" t="str">
        <f aca="false">IF(_LEITURA!$N989="","",INDEX(_LEITURA!$G$2:$G$1201,_LEITURA!$N989))</f>
        <v/>
      </c>
      <c r="E989" s="16" t="str">
        <f aca="false">IF(B989="","",SUMIFS(INVENTÁRIO!$C$2:$C$801,INVENTÁRIO!$A$2:$A$801,B989))</f>
        <v/>
      </c>
      <c r="F989" s="16" t="str">
        <f aca="false">IF(B989="","",MAX(0,D989-E989))</f>
        <v/>
      </c>
      <c r="G989" s="16" t="str">
        <f aca="false">IF(B989="","",IF(COUNTIFS($B$2:$B$1201,B989,$A$2:$A$1201,"&lt;&gt;"&amp;A989)&gt;0,"Sim",""))</f>
        <v/>
      </c>
      <c r="H989" s="16" t="str">
        <f aca="false">IF(N(F989)&gt;0,MAX(H$1:H988)+1,"")</f>
        <v/>
      </c>
      <c r="I989" s="11" t="str">
        <f aca="false">IF(B989="","",IF(INDEX($C$2:$C$1201,MATCH(B989,$B$2:$B$1201,0))&lt;&gt;C989,"Nome diferente em outro deck — revisar",""))</f>
        <v/>
      </c>
      <c r="J989" s="16" t="str">
        <f aca="false">IF(AND(B989&lt;&gt;"",A989=BULK!$A$1,N(F989)&gt;0),MAX(J$1:J988)+1,"")</f>
        <v/>
      </c>
      <c r="K989" s="11" t="str">
        <f aca="false">IF(B989="","",IFERROR(LEFT(B989,FIND("-",B989)-1),B989))</f>
        <v/>
      </c>
      <c r="L989" s="11" t="str">
        <f aca="false">IF(K989="","",IF(ISNUMBER(--MID(K989,1,1)),0,IF(ISNUMBER(--MID(K989,2,1)),1,IF(ISNUMBER(--MID(K989,3,1)),2,IF(ISNUMBER(--MID(K989,4,1)),3,MIN(LEN(K989),4))))))</f>
        <v/>
      </c>
      <c r="M989" s="11" t="str">
        <f aca="false">IF(B989="","",LEFT(K989,L989)&amp;REPT("0",4-L989)&amp;RIGHT("000"&amp;IFERROR(VALUE(MID(K989,L989+1,9)),0),3)&amp;RIGHT("0000"&amp;IFERROR(VALUE(MID(B989,FIND("-",B989)+1,9)),0),4))</f>
        <v/>
      </c>
      <c r="N989" s="11" t="str">
        <f aca="false">IF(OR(B989="",N(F989)&lt;=0),"",IF('FALTAS POR DECK'!$P$1="Código","K"&amp;M989&amp;RIGHT("00000"&amp;ROW(),5),IF('FALTAS POR DECK'!$P$1="Nome","K"&amp;UPPER(SUBSTITUTE(SUBSTITUTE(SUBSTITUTE(C989,"*",""),"?",""),"~",""))&amp;"0"&amp;M989&amp;RIGHT("00000"&amp;ROW(),5),IF('FALTAS POR DECK'!$P$1="Falta (maior primeiro)","K"&amp;RIGHT("0000"&amp;(9999-F989),4)&amp;M989&amp;RIGHT("00000"&amp;ROW(),5),IF('FALTAS POR DECK'!$P$1="Deck e código","K"&amp;RIGHT("00"&amp;IFERROR(MATCH(A989,_LEITURA!$P$2:$P$21,0),99),2)&amp;M989&amp;RIGHT("00000"&amp;ROW(),5),"K"&amp;RIGHT("00000"&amp;ROW(),5))))))</f>
        <v/>
      </c>
      <c r="O989" s="16" t="str">
        <f aca="false">IF(N989="","",COUNTIFS($N$2:$N$1201,"&lt;"&amp;N989,$F$2:$F$1201,"&gt;0")+1)</f>
        <v/>
      </c>
    </row>
    <row r="990" customFormat="false" ht="15" hidden="false" customHeight="false" outlineLevel="0" collapsed="false">
      <c r="A990" s="11" t="str">
        <f aca="false">IF(_LEITURA!$N990="","",INDEX(_LEITURA!$K$2:$K$1201,_LEITURA!$N990))</f>
        <v/>
      </c>
      <c r="B990" s="11" t="str">
        <f aca="false">IF(_LEITURA!$N990="","",INDEX(_LEITURA!$E$2:$E$1201,_LEITURA!$N990))</f>
        <v/>
      </c>
      <c r="C990" s="11" t="str">
        <f aca="false">IF(_LEITURA!$N990="","",INDEX(_LEITURA!$J$2:$J$1201,_LEITURA!$N990))</f>
        <v/>
      </c>
      <c r="D990" s="16" t="str">
        <f aca="false">IF(_LEITURA!$N990="","",INDEX(_LEITURA!$G$2:$G$1201,_LEITURA!$N990))</f>
        <v/>
      </c>
      <c r="E990" s="16" t="str">
        <f aca="false">IF(B990="","",SUMIFS(INVENTÁRIO!$C$2:$C$801,INVENTÁRIO!$A$2:$A$801,B990))</f>
        <v/>
      </c>
      <c r="F990" s="16" t="str">
        <f aca="false">IF(B990="","",MAX(0,D990-E990))</f>
        <v/>
      </c>
      <c r="G990" s="16" t="str">
        <f aca="false">IF(B990="","",IF(COUNTIFS($B$2:$B$1201,B990,$A$2:$A$1201,"&lt;&gt;"&amp;A990)&gt;0,"Sim",""))</f>
        <v/>
      </c>
      <c r="H990" s="16" t="str">
        <f aca="false">IF(N(F990)&gt;0,MAX(H$1:H989)+1,"")</f>
        <v/>
      </c>
      <c r="I990" s="11" t="str">
        <f aca="false">IF(B990="","",IF(INDEX($C$2:$C$1201,MATCH(B990,$B$2:$B$1201,0))&lt;&gt;C990,"Nome diferente em outro deck — revisar",""))</f>
        <v/>
      </c>
      <c r="J990" s="16" t="str">
        <f aca="false">IF(AND(B990&lt;&gt;"",A990=BULK!$A$1,N(F990)&gt;0),MAX(J$1:J989)+1,"")</f>
        <v/>
      </c>
      <c r="K990" s="11" t="str">
        <f aca="false">IF(B990="","",IFERROR(LEFT(B990,FIND("-",B990)-1),B990))</f>
        <v/>
      </c>
      <c r="L990" s="11" t="str">
        <f aca="false">IF(K990="","",IF(ISNUMBER(--MID(K990,1,1)),0,IF(ISNUMBER(--MID(K990,2,1)),1,IF(ISNUMBER(--MID(K990,3,1)),2,IF(ISNUMBER(--MID(K990,4,1)),3,MIN(LEN(K990),4))))))</f>
        <v/>
      </c>
      <c r="M990" s="11" t="str">
        <f aca="false">IF(B990="","",LEFT(K990,L990)&amp;REPT("0",4-L990)&amp;RIGHT("000"&amp;IFERROR(VALUE(MID(K990,L990+1,9)),0),3)&amp;RIGHT("0000"&amp;IFERROR(VALUE(MID(B990,FIND("-",B990)+1,9)),0),4))</f>
        <v/>
      </c>
      <c r="N990" s="11" t="str">
        <f aca="false">IF(OR(B990="",N(F990)&lt;=0),"",IF('FALTAS POR DECK'!$P$1="Código","K"&amp;M990&amp;RIGHT("00000"&amp;ROW(),5),IF('FALTAS POR DECK'!$P$1="Nome","K"&amp;UPPER(SUBSTITUTE(SUBSTITUTE(SUBSTITUTE(C990,"*",""),"?",""),"~",""))&amp;"0"&amp;M990&amp;RIGHT("00000"&amp;ROW(),5),IF('FALTAS POR DECK'!$P$1="Falta (maior primeiro)","K"&amp;RIGHT("0000"&amp;(9999-F990),4)&amp;M990&amp;RIGHT("00000"&amp;ROW(),5),IF('FALTAS POR DECK'!$P$1="Deck e código","K"&amp;RIGHT("00"&amp;IFERROR(MATCH(A990,_LEITURA!$P$2:$P$21,0),99),2)&amp;M990&amp;RIGHT("00000"&amp;ROW(),5),"K"&amp;RIGHT("00000"&amp;ROW(),5))))))</f>
        <v/>
      </c>
      <c r="O990" s="16" t="str">
        <f aca="false">IF(N990="","",COUNTIFS($N$2:$N$1201,"&lt;"&amp;N990,$F$2:$F$1201,"&gt;0")+1)</f>
        <v/>
      </c>
    </row>
    <row r="991" customFormat="false" ht="15" hidden="false" customHeight="false" outlineLevel="0" collapsed="false">
      <c r="A991" s="11" t="str">
        <f aca="false">IF(_LEITURA!$N991="","",INDEX(_LEITURA!$K$2:$K$1201,_LEITURA!$N991))</f>
        <v/>
      </c>
      <c r="B991" s="11" t="str">
        <f aca="false">IF(_LEITURA!$N991="","",INDEX(_LEITURA!$E$2:$E$1201,_LEITURA!$N991))</f>
        <v/>
      </c>
      <c r="C991" s="11" t="str">
        <f aca="false">IF(_LEITURA!$N991="","",INDEX(_LEITURA!$J$2:$J$1201,_LEITURA!$N991))</f>
        <v/>
      </c>
      <c r="D991" s="16" t="str">
        <f aca="false">IF(_LEITURA!$N991="","",INDEX(_LEITURA!$G$2:$G$1201,_LEITURA!$N991))</f>
        <v/>
      </c>
      <c r="E991" s="16" t="str">
        <f aca="false">IF(B991="","",SUMIFS(INVENTÁRIO!$C$2:$C$801,INVENTÁRIO!$A$2:$A$801,B991))</f>
        <v/>
      </c>
      <c r="F991" s="16" t="str">
        <f aca="false">IF(B991="","",MAX(0,D991-E991))</f>
        <v/>
      </c>
      <c r="G991" s="16" t="str">
        <f aca="false">IF(B991="","",IF(COUNTIFS($B$2:$B$1201,B991,$A$2:$A$1201,"&lt;&gt;"&amp;A991)&gt;0,"Sim",""))</f>
        <v/>
      </c>
      <c r="H991" s="16" t="str">
        <f aca="false">IF(N(F991)&gt;0,MAX(H$1:H990)+1,"")</f>
        <v/>
      </c>
      <c r="I991" s="11" t="str">
        <f aca="false">IF(B991="","",IF(INDEX($C$2:$C$1201,MATCH(B991,$B$2:$B$1201,0))&lt;&gt;C991,"Nome diferente em outro deck — revisar",""))</f>
        <v/>
      </c>
      <c r="J991" s="16" t="str">
        <f aca="false">IF(AND(B991&lt;&gt;"",A991=BULK!$A$1,N(F991)&gt;0),MAX(J$1:J990)+1,"")</f>
        <v/>
      </c>
      <c r="K991" s="11" t="str">
        <f aca="false">IF(B991="","",IFERROR(LEFT(B991,FIND("-",B991)-1),B991))</f>
        <v/>
      </c>
      <c r="L991" s="11" t="str">
        <f aca="false">IF(K991="","",IF(ISNUMBER(--MID(K991,1,1)),0,IF(ISNUMBER(--MID(K991,2,1)),1,IF(ISNUMBER(--MID(K991,3,1)),2,IF(ISNUMBER(--MID(K991,4,1)),3,MIN(LEN(K991),4))))))</f>
        <v/>
      </c>
      <c r="M991" s="11" t="str">
        <f aca="false">IF(B991="","",LEFT(K991,L991)&amp;REPT("0",4-L991)&amp;RIGHT("000"&amp;IFERROR(VALUE(MID(K991,L991+1,9)),0),3)&amp;RIGHT("0000"&amp;IFERROR(VALUE(MID(B991,FIND("-",B991)+1,9)),0),4))</f>
        <v/>
      </c>
      <c r="N991" s="11" t="str">
        <f aca="false">IF(OR(B991="",N(F991)&lt;=0),"",IF('FALTAS POR DECK'!$P$1="Código","K"&amp;M991&amp;RIGHT("00000"&amp;ROW(),5),IF('FALTAS POR DECK'!$P$1="Nome","K"&amp;UPPER(SUBSTITUTE(SUBSTITUTE(SUBSTITUTE(C991,"*",""),"?",""),"~",""))&amp;"0"&amp;M991&amp;RIGHT("00000"&amp;ROW(),5),IF('FALTAS POR DECK'!$P$1="Falta (maior primeiro)","K"&amp;RIGHT("0000"&amp;(9999-F991),4)&amp;M991&amp;RIGHT("00000"&amp;ROW(),5),IF('FALTAS POR DECK'!$P$1="Deck e código","K"&amp;RIGHT("00"&amp;IFERROR(MATCH(A991,_LEITURA!$P$2:$P$21,0),99),2)&amp;M991&amp;RIGHT("00000"&amp;ROW(),5),"K"&amp;RIGHT("00000"&amp;ROW(),5))))))</f>
        <v/>
      </c>
      <c r="O991" s="16" t="str">
        <f aca="false">IF(N991="","",COUNTIFS($N$2:$N$1201,"&lt;"&amp;N991,$F$2:$F$1201,"&gt;0")+1)</f>
        <v/>
      </c>
    </row>
    <row r="992" customFormat="false" ht="15" hidden="false" customHeight="false" outlineLevel="0" collapsed="false">
      <c r="A992" s="11" t="str">
        <f aca="false">IF(_LEITURA!$N992="","",INDEX(_LEITURA!$K$2:$K$1201,_LEITURA!$N992))</f>
        <v/>
      </c>
      <c r="B992" s="11" t="str">
        <f aca="false">IF(_LEITURA!$N992="","",INDEX(_LEITURA!$E$2:$E$1201,_LEITURA!$N992))</f>
        <v/>
      </c>
      <c r="C992" s="11" t="str">
        <f aca="false">IF(_LEITURA!$N992="","",INDEX(_LEITURA!$J$2:$J$1201,_LEITURA!$N992))</f>
        <v/>
      </c>
      <c r="D992" s="16" t="str">
        <f aca="false">IF(_LEITURA!$N992="","",INDEX(_LEITURA!$G$2:$G$1201,_LEITURA!$N992))</f>
        <v/>
      </c>
      <c r="E992" s="16" t="str">
        <f aca="false">IF(B992="","",SUMIFS(INVENTÁRIO!$C$2:$C$801,INVENTÁRIO!$A$2:$A$801,B992))</f>
        <v/>
      </c>
      <c r="F992" s="16" t="str">
        <f aca="false">IF(B992="","",MAX(0,D992-E992))</f>
        <v/>
      </c>
      <c r="G992" s="16" t="str">
        <f aca="false">IF(B992="","",IF(COUNTIFS($B$2:$B$1201,B992,$A$2:$A$1201,"&lt;&gt;"&amp;A992)&gt;0,"Sim",""))</f>
        <v/>
      </c>
      <c r="H992" s="16" t="str">
        <f aca="false">IF(N(F992)&gt;0,MAX(H$1:H991)+1,"")</f>
        <v/>
      </c>
      <c r="I992" s="11" t="str">
        <f aca="false">IF(B992="","",IF(INDEX($C$2:$C$1201,MATCH(B992,$B$2:$B$1201,0))&lt;&gt;C992,"Nome diferente em outro deck — revisar",""))</f>
        <v/>
      </c>
      <c r="J992" s="16" t="str">
        <f aca="false">IF(AND(B992&lt;&gt;"",A992=BULK!$A$1,N(F992)&gt;0),MAX(J$1:J991)+1,"")</f>
        <v/>
      </c>
      <c r="K992" s="11" t="str">
        <f aca="false">IF(B992="","",IFERROR(LEFT(B992,FIND("-",B992)-1),B992))</f>
        <v/>
      </c>
      <c r="L992" s="11" t="str">
        <f aca="false">IF(K992="","",IF(ISNUMBER(--MID(K992,1,1)),0,IF(ISNUMBER(--MID(K992,2,1)),1,IF(ISNUMBER(--MID(K992,3,1)),2,IF(ISNUMBER(--MID(K992,4,1)),3,MIN(LEN(K992),4))))))</f>
        <v/>
      </c>
      <c r="M992" s="11" t="str">
        <f aca="false">IF(B992="","",LEFT(K992,L992)&amp;REPT("0",4-L992)&amp;RIGHT("000"&amp;IFERROR(VALUE(MID(K992,L992+1,9)),0),3)&amp;RIGHT("0000"&amp;IFERROR(VALUE(MID(B992,FIND("-",B992)+1,9)),0),4))</f>
        <v/>
      </c>
      <c r="N992" s="11" t="str">
        <f aca="false">IF(OR(B992="",N(F992)&lt;=0),"",IF('FALTAS POR DECK'!$P$1="Código","K"&amp;M992&amp;RIGHT("00000"&amp;ROW(),5),IF('FALTAS POR DECK'!$P$1="Nome","K"&amp;UPPER(SUBSTITUTE(SUBSTITUTE(SUBSTITUTE(C992,"*",""),"?",""),"~",""))&amp;"0"&amp;M992&amp;RIGHT("00000"&amp;ROW(),5),IF('FALTAS POR DECK'!$P$1="Falta (maior primeiro)","K"&amp;RIGHT("0000"&amp;(9999-F992),4)&amp;M992&amp;RIGHT("00000"&amp;ROW(),5),IF('FALTAS POR DECK'!$P$1="Deck e código","K"&amp;RIGHT("00"&amp;IFERROR(MATCH(A992,_LEITURA!$P$2:$P$21,0),99),2)&amp;M992&amp;RIGHT("00000"&amp;ROW(),5),"K"&amp;RIGHT("00000"&amp;ROW(),5))))))</f>
        <v/>
      </c>
      <c r="O992" s="16" t="str">
        <f aca="false">IF(N992="","",COUNTIFS($N$2:$N$1201,"&lt;"&amp;N992,$F$2:$F$1201,"&gt;0")+1)</f>
        <v/>
      </c>
    </row>
    <row r="993" customFormat="false" ht="15" hidden="false" customHeight="false" outlineLevel="0" collapsed="false">
      <c r="A993" s="11" t="str">
        <f aca="false">IF(_LEITURA!$N993="","",INDEX(_LEITURA!$K$2:$K$1201,_LEITURA!$N993))</f>
        <v/>
      </c>
      <c r="B993" s="11" t="str">
        <f aca="false">IF(_LEITURA!$N993="","",INDEX(_LEITURA!$E$2:$E$1201,_LEITURA!$N993))</f>
        <v/>
      </c>
      <c r="C993" s="11" t="str">
        <f aca="false">IF(_LEITURA!$N993="","",INDEX(_LEITURA!$J$2:$J$1201,_LEITURA!$N993))</f>
        <v/>
      </c>
      <c r="D993" s="16" t="str">
        <f aca="false">IF(_LEITURA!$N993="","",INDEX(_LEITURA!$G$2:$G$1201,_LEITURA!$N993))</f>
        <v/>
      </c>
      <c r="E993" s="16" t="str">
        <f aca="false">IF(B993="","",SUMIFS(INVENTÁRIO!$C$2:$C$801,INVENTÁRIO!$A$2:$A$801,B993))</f>
        <v/>
      </c>
      <c r="F993" s="16" t="str">
        <f aca="false">IF(B993="","",MAX(0,D993-E993))</f>
        <v/>
      </c>
      <c r="G993" s="16" t="str">
        <f aca="false">IF(B993="","",IF(COUNTIFS($B$2:$B$1201,B993,$A$2:$A$1201,"&lt;&gt;"&amp;A993)&gt;0,"Sim",""))</f>
        <v/>
      </c>
      <c r="H993" s="16" t="str">
        <f aca="false">IF(N(F993)&gt;0,MAX(H$1:H992)+1,"")</f>
        <v/>
      </c>
      <c r="I993" s="11" t="str">
        <f aca="false">IF(B993="","",IF(INDEX($C$2:$C$1201,MATCH(B993,$B$2:$B$1201,0))&lt;&gt;C993,"Nome diferente em outro deck — revisar",""))</f>
        <v/>
      </c>
      <c r="J993" s="16" t="str">
        <f aca="false">IF(AND(B993&lt;&gt;"",A993=BULK!$A$1,N(F993)&gt;0),MAX(J$1:J992)+1,"")</f>
        <v/>
      </c>
      <c r="K993" s="11" t="str">
        <f aca="false">IF(B993="","",IFERROR(LEFT(B993,FIND("-",B993)-1),B993))</f>
        <v/>
      </c>
      <c r="L993" s="11" t="str">
        <f aca="false">IF(K993="","",IF(ISNUMBER(--MID(K993,1,1)),0,IF(ISNUMBER(--MID(K993,2,1)),1,IF(ISNUMBER(--MID(K993,3,1)),2,IF(ISNUMBER(--MID(K993,4,1)),3,MIN(LEN(K993),4))))))</f>
        <v/>
      </c>
      <c r="M993" s="11" t="str">
        <f aca="false">IF(B993="","",LEFT(K993,L993)&amp;REPT("0",4-L993)&amp;RIGHT("000"&amp;IFERROR(VALUE(MID(K993,L993+1,9)),0),3)&amp;RIGHT("0000"&amp;IFERROR(VALUE(MID(B993,FIND("-",B993)+1,9)),0),4))</f>
        <v/>
      </c>
      <c r="N993" s="11" t="str">
        <f aca="false">IF(OR(B993="",N(F993)&lt;=0),"",IF('FALTAS POR DECK'!$P$1="Código","K"&amp;M993&amp;RIGHT("00000"&amp;ROW(),5),IF('FALTAS POR DECK'!$P$1="Nome","K"&amp;UPPER(SUBSTITUTE(SUBSTITUTE(SUBSTITUTE(C993,"*",""),"?",""),"~",""))&amp;"0"&amp;M993&amp;RIGHT("00000"&amp;ROW(),5),IF('FALTAS POR DECK'!$P$1="Falta (maior primeiro)","K"&amp;RIGHT("0000"&amp;(9999-F993),4)&amp;M993&amp;RIGHT("00000"&amp;ROW(),5),IF('FALTAS POR DECK'!$P$1="Deck e código","K"&amp;RIGHT("00"&amp;IFERROR(MATCH(A993,_LEITURA!$P$2:$P$21,0),99),2)&amp;M993&amp;RIGHT("00000"&amp;ROW(),5),"K"&amp;RIGHT("00000"&amp;ROW(),5))))))</f>
        <v/>
      </c>
      <c r="O993" s="16" t="str">
        <f aca="false">IF(N993="","",COUNTIFS($N$2:$N$1201,"&lt;"&amp;N993,$F$2:$F$1201,"&gt;0")+1)</f>
        <v/>
      </c>
    </row>
    <row r="994" customFormat="false" ht="15" hidden="false" customHeight="false" outlineLevel="0" collapsed="false">
      <c r="A994" s="11" t="str">
        <f aca="false">IF(_LEITURA!$N994="","",INDEX(_LEITURA!$K$2:$K$1201,_LEITURA!$N994))</f>
        <v/>
      </c>
      <c r="B994" s="11" t="str">
        <f aca="false">IF(_LEITURA!$N994="","",INDEX(_LEITURA!$E$2:$E$1201,_LEITURA!$N994))</f>
        <v/>
      </c>
      <c r="C994" s="11" t="str">
        <f aca="false">IF(_LEITURA!$N994="","",INDEX(_LEITURA!$J$2:$J$1201,_LEITURA!$N994))</f>
        <v/>
      </c>
      <c r="D994" s="16" t="str">
        <f aca="false">IF(_LEITURA!$N994="","",INDEX(_LEITURA!$G$2:$G$1201,_LEITURA!$N994))</f>
        <v/>
      </c>
      <c r="E994" s="16" t="str">
        <f aca="false">IF(B994="","",SUMIFS(INVENTÁRIO!$C$2:$C$801,INVENTÁRIO!$A$2:$A$801,B994))</f>
        <v/>
      </c>
      <c r="F994" s="16" t="str">
        <f aca="false">IF(B994="","",MAX(0,D994-E994))</f>
        <v/>
      </c>
      <c r="G994" s="16" t="str">
        <f aca="false">IF(B994="","",IF(COUNTIFS($B$2:$B$1201,B994,$A$2:$A$1201,"&lt;&gt;"&amp;A994)&gt;0,"Sim",""))</f>
        <v/>
      </c>
      <c r="H994" s="16" t="str">
        <f aca="false">IF(N(F994)&gt;0,MAX(H$1:H993)+1,"")</f>
        <v/>
      </c>
      <c r="I994" s="11" t="str">
        <f aca="false">IF(B994="","",IF(INDEX($C$2:$C$1201,MATCH(B994,$B$2:$B$1201,0))&lt;&gt;C994,"Nome diferente em outro deck — revisar",""))</f>
        <v/>
      </c>
      <c r="J994" s="16" t="str">
        <f aca="false">IF(AND(B994&lt;&gt;"",A994=BULK!$A$1,N(F994)&gt;0),MAX(J$1:J993)+1,"")</f>
        <v/>
      </c>
      <c r="K994" s="11" t="str">
        <f aca="false">IF(B994="","",IFERROR(LEFT(B994,FIND("-",B994)-1),B994))</f>
        <v/>
      </c>
      <c r="L994" s="11" t="str">
        <f aca="false">IF(K994="","",IF(ISNUMBER(--MID(K994,1,1)),0,IF(ISNUMBER(--MID(K994,2,1)),1,IF(ISNUMBER(--MID(K994,3,1)),2,IF(ISNUMBER(--MID(K994,4,1)),3,MIN(LEN(K994),4))))))</f>
        <v/>
      </c>
      <c r="M994" s="11" t="str">
        <f aca="false">IF(B994="","",LEFT(K994,L994)&amp;REPT("0",4-L994)&amp;RIGHT("000"&amp;IFERROR(VALUE(MID(K994,L994+1,9)),0),3)&amp;RIGHT("0000"&amp;IFERROR(VALUE(MID(B994,FIND("-",B994)+1,9)),0),4))</f>
        <v/>
      </c>
      <c r="N994" s="11" t="str">
        <f aca="false">IF(OR(B994="",N(F994)&lt;=0),"",IF('FALTAS POR DECK'!$P$1="Código","K"&amp;M994&amp;RIGHT("00000"&amp;ROW(),5),IF('FALTAS POR DECK'!$P$1="Nome","K"&amp;UPPER(SUBSTITUTE(SUBSTITUTE(SUBSTITUTE(C994,"*",""),"?",""),"~",""))&amp;"0"&amp;M994&amp;RIGHT("00000"&amp;ROW(),5),IF('FALTAS POR DECK'!$P$1="Falta (maior primeiro)","K"&amp;RIGHT("0000"&amp;(9999-F994),4)&amp;M994&amp;RIGHT("00000"&amp;ROW(),5),IF('FALTAS POR DECK'!$P$1="Deck e código","K"&amp;RIGHT("00"&amp;IFERROR(MATCH(A994,_LEITURA!$P$2:$P$21,0),99),2)&amp;M994&amp;RIGHT("00000"&amp;ROW(),5),"K"&amp;RIGHT("00000"&amp;ROW(),5))))))</f>
        <v/>
      </c>
      <c r="O994" s="16" t="str">
        <f aca="false">IF(N994="","",COUNTIFS($N$2:$N$1201,"&lt;"&amp;N994,$F$2:$F$1201,"&gt;0")+1)</f>
        <v/>
      </c>
    </row>
    <row r="995" customFormat="false" ht="15" hidden="false" customHeight="false" outlineLevel="0" collapsed="false">
      <c r="A995" s="11" t="str">
        <f aca="false">IF(_LEITURA!$N995="","",INDEX(_LEITURA!$K$2:$K$1201,_LEITURA!$N995))</f>
        <v/>
      </c>
      <c r="B995" s="11" t="str">
        <f aca="false">IF(_LEITURA!$N995="","",INDEX(_LEITURA!$E$2:$E$1201,_LEITURA!$N995))</f>
        <v/>
      </c>
      <c r="C995" s="11" t="str">
        <f aca="false">IF(_LEITURA!$N995="","",INDEX(_LEITURA!$J$2:$J$1201,_LEITURA!$N995))</f>
        <v/>
      </c>
      <c r="D995" s="16" t="str">
        <f aca="false">IF(_LEITURA!$N995="","",INDEX(_LEITURA!$G$2:$G$1201,_LEITURA!$N995))</f>
        <v/>
      </c>
      <c r="E995" s="16" t="str">
        <f aca="false">IF(B995="","",SUMIFS(INVENTÁRIO!$C$2:$C$801,INVENTÁRIO!$A$2:$A$801,B995))</f>
        <v/>
      </c>
      <c r="F995" s="16" t="str">
        <f aca="false">IF(B995="","",MAX(0,D995-E995))</f>
        <v/>
      </c>
      <c r="G995" s="16" t="str">
        <f aca="false">IF(B995="","",IF(COUNTIFS($B$2:$B$1201,B995,$A$2:$A$1201,"&lt;&gt;"&amp;A995)&gt;0,"Sim",""))</f>
        <v/>
      </c>
      <c r="H995" s="16" t="str">
        <f aca="false">IF(N(F995)&gt;0,MAX(H$1:H994)+1,"")</f>
        <v/>
      </c>
      <c r="I995" s="11" t="str">
        <f aca="false">IF(B995="","",IF(INDEX($C$2:$C$1201,MATCH(B995,$B$2:$B$1201,0))&lt;&gt;C995,"Nome diferente em outro deck — revisar",""))</f>
        <v/>
      </c>
      <c r="J995" s="16" t="str">
        <f aca="false">IF(AND(B995&lt;&gt;"",A995=BULK!$A$1,N(F995)&gt;0),MAX(J$1:J994)+1,"")</f>
        <v/>
      </c>
      <c r="K995" s="11" t="str">
        <f aca="false">IF(B995="","",IFERROR(LEFT(B995,FIND("-",B995)-1),B995))</f>
        <v/>
      </c>
      <c r="L995" s="11" t="str">
        <f aca="false">IF(K995="","",IF(ISNUMBER(--MID(K995,1,1)),0,IF(ISNUMBER(--MID(K995,2,1)),1,IF(ISNUMBER(--MID(K995,3,1)),2,IF(ISNUMBER(--MID(K995,4,1)),3,MIN(LEN(K995),4))))))</f>
        <v/>
      </c>
      <c r="M995" s="11" t="str">
        <f aca="false">IF(B995="","",LEFT(K995,L995)&amp;REPT("0",4-L995)&amp;RIGHT("000"&amp;IFERROR(VALUE(MID(K995,L995+1,9)),0),3)&amp;RIGHT("0000"&amp;IFERROR(VALUE(MID(B995,FIND("-",B995)+1,9)),0),4))</f>
        <v/>
      </c>
      <c r="N995" s="11" t="str">
        <f aca="false">IF(OR(B995="",N(F995)&lt;=0),"",IF('FALTAS POR DECK'!$P$1="Código","K"&amp;M995&amp;RIGHT("00000"&amp;ROW(),5),IF('FALTAS POR DECK'!$P$1="Nome","K"&amp;UPPER(SUBSTITUTE(SUBSTITUTE(SUBSTITUTE(C995,"*",""),"?",""),"~",""))&amp;"0"&amp;M995&amp;RIGHT("00000"&amp;ROW(),5),IF('FALTAS POR DECK'!$P$1="Falta (maior primeiro)","K"&amp;RIGHT("0000"&amp;(9999-F995),4)&amp;M995&amp;RIGHT("00000"&amp;ROW(),5),IF('FALTAS POR DECK'!$P$1="Deck e código","K"&amp;RIGHT("00"&amp;IFERROR(MATCH(A995,_LEITURA!$P$2:$P$21,0),99),2)&amp;M995&amp;RIGHT("00000"&amp;ROW(),5),"K"&amp;RIGHT("00000"&amp;ROW(),5))))))</f>
        <v/>
      </c>
      <c r="O995" s="16" t="str">
        <f aca="false">IF(N995="","",COUNTIFS($N$2:$N$1201,"&lt;"&amp;N995,$F$2:$F$1201,"&gt;0")+1)</f>
        <v/>
      </c>
    </row>
    <row r="996" customFormat="false" ht="15" hidden="false" customHeight="false" outlineLevel="0" collapsed="false">
      <c r="A996" s="11" t="str">
        <f aca="false">IF(_LEITURA!$N996="","",INDEX(_LEITURA!$K$2:$K$1201,_LEITURA!$N996))</f>
        <v/>
      </c>
      <c r="B996" s="11" t="str">
        <f aca="false">IF(_LEITURA!$N996="","",INDEX(_LEITURA!$E$2:$E$1201,_LEITURA!$N996))</f>
        <v/>
      </c>
      <c r="C996" s="11" t="str">
        <f aca="false">IF(_LEITURA!$N996="","",INDEX(_LEITURA!$J$2:$J$1201,_LEITURA!$N996))</f>
        <v/>
      </c>
      <c r="D996" s="16" t="str">
        <f aca="false">IF(_LEITURA!$N996="","",INDEX(_LEITURA!$G$2:$G$1201,_LEITURA!$N996))</f>
        <v/>
      </c>
      <c r="E996" s="16" t="str">
        <f aca="false">IF(B996="","",SUMIFS(INVENTÁRIO!$C$2:$C$801,INVENTÁRIO!$A$2:$A$801,B996))</f>
        <v/>
      </c>
      <c r="F996" s="16" t="str">
        <f aca="false">IF(B996="","",MAX(0,D996-E996))</f>
        <v/>
      </c>
      <c r="G996" s="16" t="str">
        <f aca="false">IF(B996="","",IF(COUNTIFS($B$2:$B$1201,B996,$A$2:$A$1201,"&lt;&gt;"&amp;A996)&gt;0,"Sim",""))</f>
        <v/>
      </c>
      <c r="H996" s="16" t="str">
        <f aca="false">IF(N(F996)&gt;0,MAX(H$1:H995)+1,"")</f>
        <v/>
      </c>
      <c r="I996" s="11" t="str">
        <f aca="false">IF(B996="","",IF(INDEX($C$2:$C$1201,MATCH(B996,$B$2:$B$1201,0))&lt;&gt;C996,"Nome diferente em outro deck — revisar",""))</f>
        <v/>
      </c>
      <c r="J996" s="16" t="str">
        <f aca="false">IF(AND(B996&lt;&gt;"",A996=BULK!$A$1,N(F996)&gt;0),MAX(J$1:J995)+1,"")</f>
        <v/>
      </c>
      <c r="K996" s="11" t="str">
        <f aca="false">IF(B996="","",IFERROR(LEFT(B996,FIND("-",B996)-1),B996))</f>
        <v/>
      </c>
      <c r="L996" s="11" t="str">
        <f aca="false">IF(K996="","",IF(ISNUMBER(--MID(K996,1,1)),0,IF(ISNUMBER(--MID(K996,2,1)),1,IF(ISNUMBER(--MID(K996,3,1)),2,IF(ISNUMBER(--MID(K996,4,1)),3,MIN(LEN(K996),4))))))</f>
        <v/>
      </c>
      <c r="M996" s="11" t="str">
        <f aca="false">IF(B996="","",LEFT(K996,L996)&amp;REPT("0",4-L996)&amp;RIGHT("000"&amp;IFERROR(VALUE(MID(K996,L996+1,9)),0),3)&amp;RIGHT("0000"&amp;IFERROR(VALUE(MID(B996,FIND("-",B996)+1,9)),0),4))</f>
        <v/>
      </c>
      <c r="N996" s="11" t="str">
        <f aca="false">IF(OR(B996="",N(F996)&lt;=0),"",IF('FALTAS POR DECK'!$P$1="Código","K"&amp;M996&amp;RIGHT("00000"&amp;ROW(),5),IF('FALTAS POR DECK'!$P$1="Nome","K"&amp;UPPER(SUBSTITUTE(SUBSTITUTE(SUBSTITUTE(C996,"*",""),"?",""),"~",""))&amp;"0"&amp;M996&amp;RIGHT("00000"&amp;ROW(),5),IF('FALTAS POR DECK'!$P$1="Falta (maior primeiro)","K"&amp;RIGHT("0000"&amp;(9999-F996),4)&amp;M996&amp;RIGHT("00000"&amp;ROW(),5),IF('FALTAS POR DECK'!$P$1="Deck e código","K"&amp;RIGHT("00"&amp;IFERROR(MATCH(A996,_LEITURA!$P$2:$P$21,0),99),2)&amp;M996&amp;RIGHT("00000"&amp;ROW(),5),"K"&amp;RIGHT("00000"&amp;ROW(),5))))))</f>
        <v/>
      </c>
      <c r="O996" s="16" t="str">
        <f aca="false">IF(N996="","",COUNTIFS($N$2:$N$1201,"&lt;"&amp;N996,$F$2:$F$1201,"&gt;0")+1)</f>
        <v/>
      </c>
    </row>
    <row r="997" customFormat="false" ht="15" hidden="false" customHeight="false" outlineLevel="0" collapsed="false">
      <c r="A997" s="11" t="str">
        <f aca="false">IF(_LEITURA!$N997="","",INDEX(_LEITURA!$K$2:$K$1201,_LEITURA!$N997))</f>
        <v/>
      </c>
      <c r="B997" s="11" t="str">
        <f aca="false">IF(_LEITURA!$N997="","",INDEX(_LEITURA!$E$2:$E$1201,_LEITURA!$N997))</f>
        <v/>
      </c>
      <c r="C997" s="11" t="str">
        <f aca="false">IF(_LEITURA!$N997="","",INDEX(_LEITURA!$J$2:$J$1201,_LEITURA!$N997))</f>
        <v/>
      </c>
      <c r="D997" s="16" t="str">
        <f aca="false">IF(_LEITURA!$N997="","",INDEX(_LEITURA!$G$2:$G$1201,_LEITURA!$N997))</f>
        <v/>
      </c>
      <c r="E997" s="16" t="str">
        <f aca="false">IF(B997="","",SUMIFS(INVENTÁRIO!$C$2:$C$801,INVENTÁRIO!$A$2:$A$801,B997))</f>
        <v/>
      </c>
      <c r="F997" s="16" t="str">
        <f aca="false">IF(B997="","",MAX(0,D997-E997))</f>
        <v/>
      </c>
      <c r="G997" s="16" t="str">
        <f aca="false">IF(B997="","",IF(COUNTIFS($B$2:$B$1201,B997,$A$2:$A$1201,"&lt;&gt;"&amp;A997)&gt;0,"Sim",""))</f>
        <v/>
      </c>
      <c r="H997" s="16" t="str">
        <f aca="false">IF(N(F997)&gt;0,MAX(H$1:H996)+1,"")</f>
        <v/>
      </c>
      <c r="I997" s="11" t="str">
        <f aca="false">IF(B997="","",IF(INDEX($C$2:$C$1201,MATCH(B997,$B$2:$B$1201,0))&lt;&gt;C997,"Nome diferente em outro deck — revisar",""))</f>
        <v/>
      </c>
      <c r="J997" s="16" t="str">
        <f aca="false">IF(AND(B997&lt;&gt;"",A997=BULK!$A$1,N(F997)&gt;0),MAX(J$1:J996)+1,"")</f>
        <v/>
      </c>
      <c r="K997" s="11" t="str">
        <f aca="false">IF(B997="","",IFERROR(LEFT(B997,FIND("-",B997)-1),B997))</f>
        <v/>
      </c>
      <c r="L997" s="11" t="str">
        <f aca="false">IF(K997="","",IF(ISNUMBER(--MID(K997,1,1)),0,IF(ISNUMBER(--MID(K997,2,1)),1,IF(ISNUMBER(--MID(K997,3,1)),2,IF(ISNUMBER(--MID(K997,4,1)),3,MIN(LEN(K997),4))))))</f>
        <v/>
      </c>
      <c r="M997" s="11" t="str">
        <f aca="false">IF(B997="","",LEFT(K997,L997)&amp;REPT("0",4-L997)&amp;RIGHT("000"&amp;IFERROR(VALUE(MID(K997,L997+1,9)),0),3)&amp;RIGHT("0000"&amp;IFERROR(VALUE(MID(B997,FIND("-",B997)+1,9)),0),4))</f>
        <v/>
      </c>
      <c r="N997" s="11" t="str">
        <f aca="false">IF(OR(B997="",N(F997)&lt;=0),"",IF('FALTAS POR DECK'!$P$1="Código","K"&amp;M997&amp;RIGHT("00000"&amp;ROW(),5),IF('FALTAS POR DECK'!$P$1="Nome","K"&amp;UPPER(SUBSTITUTE(SUBSTITUTE(SUBSTITUTE(C997,"*",""),"?",""),"~",""))&amp;"0"&amp;M997&amp;RIGHT("00000"&amp;ROW(),5),IF('FALTAS POR DECK'!$P$1="Falta (maior primeiro)","K"&amp;RIGHT("0000"&amp;(9999-F997),4)&amp;M997&amp;RIGHT("00000"&amp;ROW(),5),IF('FALTAS POR DECK'!$P$1="Deck e código","K"&amp;RIGHT("00"&amp;IFERROR(MATCH(A997,_LEITURA!$P$2:$P$21,0),99),2)&amp;M997&amp;RIGHT("00000"&amp;ROW(),5),"K"&amp;RIGHT("00000"&amp;ROW(),5))))))</f>
        <v/>
      </c>
      <c r="O997" s="16" t="str">
        <f aca="false">IF(N997="","",COUNTIFS($N$2:$N$1201,"&lt;"&amp;N997,$F$2:$F$1201,"&gt;0")+1)</f>
        <v/>
      </c>
    </row>
    <row r="998" customFormat="false" ht="15" hidden="false" customHeight="false" outlineLevel="0" collapsed="false">
      <c r="A998" s="11" t="str">
        <f aca="false">IF(_LEITURA!$N998="","",INDEX(_LEITURA!$K$2:$K$1201,_LEITURA!$N998))</f>
        <v/>
      </c>
      <c r="B998" s="11" t="str">
        <f aca="false">IF(_LEITURA!$N998="","",INDEX(_LEITURA!$E$2:$E$1201,_LEITURA!$N998))</f>
        <v/>
      </c>
      <c r="C998" s="11" t="str">
        <f aca="false">IF(_LEITURA!$N998="","",INDEX(_LEITURA!$J$2:$J$1201,_LEITURA!$N998))</f>
        <v/>
      </c>
      <c r="D998" s="16" t="str">
        <f aca="false">IF(_LEITURA!$N998="","",INDEX(_LEITURA!$G$2:$G$1201,_LEITURA!$N998))</f>
        <v/>
      </c>
      <c r="E998" s="16" t="str">
        <f aca="false">IF(B998="","",SUMIFS(INVENTÁRIO!$C$2:$C$801,INVENTÁRIO!$A$2:$A$801,B998))</f>
        <v/>
      </c>
      <c r="F998" s="16" t="str">
        <f aca="false">IF(B998="","",MAX(0,D998-E998))</f>
        <v/>
      </c>
      <c r="G998" s="16" t="str">
        <f aca="false">IF(B998="","",IF(COUNTIFS($B$2:$B$1201,B998,$A$2:$A$1201,"&lt;&gt;"&amp;A998)&gt;0,"Sim",""))</f>
        <v/>
      </c>
      <c r="H998" s="16" t="str">
        <f aca="false">IF(N(F998)&gt;0,MAX(H$1:H997)+1,"")</f>
        <v/>
      </c>
      <c r="I998" s="11" t="str">
        <f aca="false">IF(B998="","",IF(INDEX($C$2:$C$1201,MATCH(B998,$B$2:$B$1201,0))&lt;&gt;C998,"Nome diferente em outro deck — revisar",""))</f>
        <v/>
      </c>
      <c r="J998" s="16" t="str">
        <f aca="false">IF(AND(B998&lt;&gt;"",A998=BULK!$A$1,N(F998)&gt;0),MAX(J$1:J997)+1,"")</f>
        <v/>
      </c>
      <c r="K998" s="11" t="str">
        <f aca="false">IF(B998="","",IFERROR(LEFT(B998,FIND("-",B998)-1),B998))</f>
        <v/>
      </c>
      <c r="L998" s="11" t="str">
        <f aca="false">IF(K998="","",IF(ISNUMBER(--MID(K998,1,1)),0,IF(ISNUMBER(--MID(K998,2,1)),1,IF(ISNUMBER(--MID(K998,3,1)),2,IF(ISNUMBER(--MID(K998,4,1)),3,MIN(LEN(K998),4))))))</f>
        <v/>
      </c>
      <c r="M998" s="11" t="str">
        <f aca="false">IF(B998="","",LEFT(K998,L998)&amp;REPT("0",4-L998)&amp;RIGHT("000"&amp;IFERROR(VALUE(MID(K998,L998+1,9)),0),3)&amp;RIGHT("0000"&amp;IFERROR(VALUE(MID(B998,FIND("-",B998)+1,9)),0),4))</f>
        <v/>
      </c>
      <c r="N998" s="11" t="str">
        <f aca="false">IF(OR(B998="",N(F998)&lt;=0),"",IF('FALTAS POR DECK'!$P$1="Código","K"&amp;M998&amp;RIGHT("00000"&amp;ROW(),5),IF('FALTAS POR DECK'!$P$1="Nome","K"&amp;UPPER(SUBSTITUTE(SUBSTITUTE(SUBSTITUTE(C998,"*",""),"?",""),"~",""))&amp;"0"&amp;M998&amp;RIGHT("00000"&amp;ROW(),5),IF('FALTAS POR DECK'!$P$1="Falta (maior primeiro)","K"&amp;RIGHT("0000"&amp;(9999-F998),4)&amp;M998&amp;RIGHT("00000"&amp;ROW(),5),IF('FALTAS POR DECK'!$P$1="Deck e código","K"&amp;RIGHT("00"&amp;IFERROR(MATCH(A998,_LEITURA!$P$2:$P$21,0),99),2)&amp;M998&amp;RIGHT("00000"&amp;ROW(),5),"K"&amp;RIGHT("00000"&amp;ROW(),5))))))</f>
        <v/>
      </c>
      <c r="O998" s="16" t="str">
        <f aca="false">IF(N998="","",COUNTIFS($N$2:$N$1201,"&lt;"&amp;N998,$F$2:$F$1201,"&gt;0")+1)</f>
        <v/>
      </c>
    </row>
    <row r="999" customFormat="false" ht="15" hidden="false" customHeight="false" outlineLevel="0" collapsed="false">
      <c r="A999" s="11" t="str">
        <f aca="false">IF(_LEITURA!$N999="","",INDEX(_LEITURA!$K$2:$K$1201,_LEITURA!$N999))</f>
        <v/>
      </c>
      <c r="B999" s="11" t="str">
        <f aca="false">IF(_LEITURA!$N999="","",INDEX(_LEITURA!$E$2:$E$1201,_LEITURA!$N999))</f>
        <v/>
      </c>
      <c r="C999" s="11" t="str">
        <f aca="false">IF(_LEITURA!$N999="","",INDEX(_LEITURA!$J$2:$J$1201,_LEITURA!$N999))</f>
        <v/>
      </c>
      <c r="D999" s="16" t="str">
        <f aca="false">IF(_LEITURA!$N999="","",INDEX(_LEITURA!$G$2:$G$1201,_LEITURA!$N999))</f>
        <v/>
      </c>
      <c r="E999" s="16" t="str">
        <f aca="false">IF(B999="","",SUMIFS(INVENTÁRIO!$C$2:$C$801,INVENTÁRIO!$A$2:$A$801,B999))</f>
        <v/>
      </c>
      <c r="F999" s="16" t="str">
        <f aca="false">IF(B999="","",MAX(0,D999-E999))</f>
        <v/>
      </c>
      <c r="G999" s="16" t="str">
        <f aca="false">IF(B999="","",IF(COUNTIFS($B$2:$B$1201,B999,$A$2:$A$1201,"&lt;&gt;"&amp;A999)&gt;0,"Sim",""))</f>
        <v/>
      </c>
      <c r="H999" s="16" t="str">
        <f aca="false">IF(N(F999)&gt;0,MAX(H$1:H998)+1,"")</f>
        <v/>
      </c>
      <c r="I999" s="11" t="str">
        <f aca="false">IF(B999="","",IF(INDEX($C$2:$C$1201,MATCH(B999,$B$2:$B$1201,0))&lt;&gt;C999,"Nome diferente em outro deck — revisar",""))</f>
        <v/>
      </c>
      <c r="J999" s="16" t="str">
        <f aca="false">IF(AND(B999&lt;&gt;"",A999=BULK!$A$1,N(F999)&gt;0),MAX(J$1:J998)+1,"")</f>
        <v/>
      </c>
      <c r="K999" s="11" t="str">
        <f aca="false">IF(B999="","",IFERROR(LEFT(B999,FIND("-",B999)-1),B999))</f>
        <v/>
      </c>
      <c r="L999" s="11" t="str">
        <f aca="false">IF(K999="","",IF(ISNUMBER(--MID(K999,1,1)),0,IF(ISNUMBER(--MID(K999,2,1)),1,IF(ISNUMBER(--MID(K999,3,1)),2,IF(ISNUMBER(--MID(K999,4,1)),3,MIN(LEN(K999),4))))))</f>
        <v/>
      </c>
      <c r="M999" s="11" t="str">
        <f aca="false">IF(B999="","",LEFT(K999,L999)&amp;REPT("0",4-L999)&amp;RIGHT("000"&amp;IFERROR(VALUE(MID(K999,L999+1,9)),0),3)&amp;RIGHT("0000"&amp;IFERROR(VALUE(MID(B999,FIND("-",B999)+1,9)),0),4))</f>
        <v/>
      </c>
      <c r="N999" s="11" t="str">
        <f aca="false">IF(OR(B999="",N(F999)&lt;=0),"",IF('FALTAS POR DECK'!$P$1="Código","K"&amp;M999&amp;RIGHT("00000"&amp;ROW(),5),IF('FALTAS POR DECK'!$P$1="Nome","K"&amp;UPPER(SUBSTITUTE(SUBSTITUTE(SUBSTITUTE(C999,"*",""),"?",""),"~",""))&amp;"0"&amp;M999&amp;RIGHT("00000"&amp;ROW(),5),IF('FALTAS POR DECK'!$P$1="Falta (maior primeiro)","K"&amp;RIGHT("0000"&amp;(9999-F999),4)&amp;M999&amp;RIGHT("00000"&amp;ROW(),5),IF('FALTAS POR DECK'!$P$1="Deck e código","K"&amp;RIGHT("00"&amp;IFERROR(MATCH(A999,_LEITURA!$P$2:$P$21,0),99),2)&amp;M999&amp;RIGHT("00000"&amp;ROW(),5),"K"&amp;RIGHT("00000"&amp;ROW(),5))))))</f>
        <v/>
      </c>
      <c r="O999" s="16" t="str">
        <f aca="false">IF(N999="","",COUNTIFS($N$2:$N$1201,"&lt;"&amp;N999,$F$2:$F$1201,"&gt;0")+1)</f>
        <v/>
      </c>
    </row>
    <row r="1000" customFormat="false" ht="15" hidden="false" customHeight="false" outlineLevel="0" collapsed="false">
      <c r="A1000" s="11" t="str">
        <f aca="false">IF(_LEITURA!$N1000="","",INDEX(_LEITURA!$K$2:$K$1201,_LEITURA!$N1000))</f>
        <v/>
      </c>
      <c r="B1000" s="11" t="str">
        <f aca="false">IF(_LEITURA!$N1000="","",INDEX(_LEITURA!$E$2:$E$1201,_LEITURA!$N1000))</f>
        <v/>
      </c>
      <c r="C1000" s="11" t="str">
        <f aca="false">IF(_LEITURA!$N1000="","",INDEX(_LEITURA!$J$2:$J$1201,_LEITURA!$N1000))</f>
        <v/>
      </c>
      <c r="D1000" s="16" t="str">
        <f aca="false">IF(_LEITURA!$N1000="","",INDEX(_LEITURA!$G$2:$G$1201,_LEITURA!$N1000))</f>
        <v/>
      </c>
      <c r="E1000" s="16" t="str">
        <f aca="false">IF(B1000="","",SUMIFS(INVENTÁRIO!$C$2:$C$801,INVENTÁRIO!$A$2:$A$801,B1000))</f>
        <v/>
      </c>
      <c r="F1000" s="16" t="str">
        <f aca="false">IF(B1000="","",MAX(0,D1000-E1000))</f>
        <v/>
      </c>
      <c r="G1000" s="16" t="str">
        <f aca="false">IF(B1000="","",IF(COUNTIFS($B$2:$B$1201,B1000,$A$2:$A$1201,"&lt;&gt;"&amp;A1000)&gt;0,"Sim",""))</f>
        <v/>
      </c>
      <c r="H1000" s="16" t="str">
        <f aca="false">IF(N(F1000)&gt;0,MAX(H$1:H999)+1,"")</f>
        <v/>
      </c>
      <c r="I1000" s="11" t="str">
        <f aca="false">IF(B1000="","",IF(INDEX($C$2:$C$1201,MATCH(B1000,$B$2:$B$1201,0))&lt;&gt;C1000,"Nome diferente em outro deck — revisar",""))</f>
        <v/>
      </c>
      <c r="J1000" s="16" t="str">
        <f aca="false">IF(AND(B1000&lt;&gt;"",A1000=BULK!$A$1,N(F1000)&gt;0),MAX(J$1:J999)+1,"")</f>
        <v/>
      </c>
      <c r="K1000" s="11" t="str">
        <f aca="false">IF(B1000="","",IFERROR(LEFT(B1000,FIND("-",B1000)-1),B1000))</f>
        <v/>
      </c>
      <c r="L1000" s="11" t="str">
        <f aca="false">IF(K1000="","",IF(ISNUMBER(--MID(K1000,1,1)),0,IF(ISNUMBER(--MID(K1000,2,1)),1,IF(ISNUMBER(--MID(K1000,3,1)),2,IF(ISNUMBER(--MID(K1000,4,1)),3,MIN(LEN(K1000),4))))))</f>
        <v/>
      </c>
      <c r="M1000" s="11" t="str">
        <f aca="false">IF(B1000="","",LEFT(K1000,L1000)&amp;REPT("0",4-L1000)&amp;RIGHT("000"&amp;IFERROR(VALUE(MID(K1000,L1000+1,9)),0),3)&amp;RIGHT("0000"&amp;IFERROR(VALUE(MID(B1000,FIND("-",B1000)+1,9)),0),4))</f>
        <v/>
      </c>
      <c r="N1000" s="11" t="str">
        <f aca="false">IF(OR(B1000="",N(F1000)&lt;=0),"",IF('FALTAS POR DECK'!$P$1="Código","K"&amp;M1000&amp;RIGHT("00000"&amp;ROW(),5),IF('FALTAS POR DECK'!$P$1="Nome","K"&amp;UPPER(SUBSTITUTE(SUBSTITUTE(SUBSTITUTE(C1000,"*",""),"?",""),"~",""))&amp;"0"&amp;M1000&amp;RIGHT("00000"&amp;ROW(),5),IF('FALTAS POR DECK'!$P$1="Falta (maior primeiro)","K"&amp;RIGHT("0000"&amp;(9999-F1000),4)&amp;M1000&amp;RIGHT("00000"&amp;ROW(),5),IF('FALTAS POR DECK'!$P$1="Deck e código","K"&amp;RIGHT("00"&amp;IFERROR(MATCH(A1000,_LEITURA!$P$2:$P$21,0),99),2)&amp;M1000&amp;RIGHT("00000"&amp;ROW(),5),"K"&amp;RIGHT("00000"&amp;ROW(),5))))))</f>
        <v/>
      </c>
      <c r="O1000" s="16" t="str">
        <f aca="false">IF(N1000="","",COUNTIFS($N$2:$N$1201,"&lt;"&amp;N1000,$F$2:$F$1201,"&gt;0")+1)</f>
        <v/>
      </c>
    </row>
    <row r="1001" customFormat="false" ht="15" hidden="false" customHeight="false" outlineLevel="0" collapsed="false">
      <c r="A1001" s="11" t="str">
        <f aca="false">IF(_LEITURA!$N1001="","",INDEX(_LEITURA!$K$2:$K$1201,_LEITURA!$N1001))</f>
        <v/>
      </c>
      <c r="B1001" s="11" t="str">
        <f aca="false">IF(_LEITURA!$N1001="","",INDEX(_LEITURA!$E$2:$E$1201,_LEITURA!$N1001))</f>
        <v/>
      </c>
      <c r="C1001" s="11" t="str">
        <f aca="false">IF(_LEITURA!$N1001="","",INDEX(_LEITURA!$J$2:$J$1201,_LEITURA!$N1001))</f>
        <v/>
      </c>
      <c r="D1001" s="16" t="str">
        <f aca="false">IF(_LEITURA!$N1001="","",INDEX(_LEITURA!$G$2:$G$1201,_LEITURA!$N1001))</f>
        <v/>
      </c>
      <c r="E1001" s="16" t="str">
        <f aca="false">IF(B1001="","",SUMIFS(INVENTÁRIO!$C$2:$C$801,INVENTÁRIO!$A$2:$A$801,B1001))</f>
        <v/>
      </c>
      <c r="F1001" s="16" t="str">
        <f aca="false">IF(B1001="","",MAX(0,D1001-E1001))</f>
        <v/>
      </c>
      <c r="G1001" s="16" t="str">
        <f aca="false">IF(B1001="","",IF(COUNTIFS($B$2:$B$1201,B1001,$A$2:$A$1201,"&lt;&gt;"&amp;A1001)&gt;0,"Sim",""))</f>
        <v/>
      </c>
      <c r="H1001" s="16" t="str">
        <f aca="false">IF(N(F1001)&gt;0,MAX(H$1:H1000)+1,"")</f>
        <v/>
      </c>
      <c r="I1001" s="11" t="str">
        <f aca="false">IF(B1001="","",IF(INDEX($C$2:$C$1201,MATCH(B1001,$B$2:$B$1201,0))&lt;&gt;C1001,"Nome diferente em outro deck — revisar",""))</f>
        <v/>
      </c>
      <c r="J1001" s="16" t="str">
        <f aca="false">IF(AND(B1001&lt;&gt;"",A1001=BULK!$A$1,N(F1001)&gt;0),MAX(J$1:J1000)+1,"")</f>
        <v/>
      </c>
      <c r="K1001" s="11" t="str">
        <f aca="false">IF(B1001="","",IFERROR(LEFT(B1001,FIND("-",B1001)-1),B1001))</f>
        <v/>
      </c>
      <c r="L1001" s="11" t="str">
        <f aca="false">IF(K1001="","",IF(ISNUMBER(--MID(K1001,1,1)),0,IF(ISNUMBER(--MID(K1001,2,1)),1,IF(ISNUMBER(--MID(K1001,3,1)),2,IF(ISNUMBER(--MID(K1001,4,1)),3,MIN(LEN(K1001),4))))))</f>
        <v/>
      </c>
      <c r="M1001" s="11" t="str">
        <f aca="false">IF(B1001="","",LEFT(K1001,L1001)&amp;REPT("0",4-L1001)&amp;RIGHT("000"&amp;IFERROR(VALUE(MID(K1001,L1001+1,9)),0),3)&amp;RIGHT("0000"&amp;IFERROR(VALUE(MID(B1001,FIND("-",B1001)+1,9)),0),4))</f>
        <v/>
      </c>
      <c r="N1001" s="11" t="str">
        <f aca="false">IF(OR(B1001="",N(F1001)&lt;=0),"",IF('FALTAS POR DECK'!$P$1="Código","K"&amp;M1001&amp;RIGHT("00000"&amp;ROW(),5),IF('FALTAS POR DECK'!$P$1="Nome","K"&amp;UPPER(SUBSTITUTE(SUBSTITUTE(SUBSTITUTE(C1001,"*",""),"?",""),"~",""))&amp;"0"&amp;M1001&amp;RIGHT("00000"&amp;ROW(),5),IF('FALTAS POR DECK'!$P$1="Falta (maior primeiro)","K"&amp;RIGHT("0000"&amp;(9999-F1001),4)&amp;M1001&amp;RIGHT("00000"&amp;ROW(),5),IF('FALTAS POR DECK'!$P$1="Deck e código","K"&amp;RIGHT("00"&amp;IFERROR(MATCH(A1001,_LEITURA!$P$2:$P$21,0),99),2)&amp;M1001&amp;RIGHT("00000"&amp;ROW(),5),"K"&amp;RIGHT("00000"&amp;ROW(),5))))))</f>
        <v/>
      </c>
      <c r="O1001" s="16" t="str">
        <f aca="false">IF(N1001="","",COUNTIFS($N$2:$N$1201,"&lt;"&amp;N1001,$F$2:$F$1201,"&gt;0")+1)</f>
        <v/>
      </c>
    </row>
    <row r="1002" customFormat="false" ht="15" hidden="false" customHeight="false" outlineLevel="0" collapsed="false">
      <c r="A1002" s="11" t="str">
        <f aca="false">IF(_LEITURA!$N1002="","",INDEX(_LEITURA!$K$2:$K$1201,_LEITURA!$N1002))</f>
        <v/>
      </c>
      <c r="B1002" s="11" t="str">
        <f aca="false">IF(_LEITURA!$N1002="","",INDEX(_LEITURA!$E$2:$E$1201,_LEITURA!$N1002))</f>
        <v/>
      </c>
      <c r="C1002" s="11" t="str">
        <f aca="false">IF(_LEITURA!$N1002="","",INDEX(_LEITURA!$J$2:$J$1201,_LEITURA!$N1002))</f>
        <v/>
      </c>
      <c r="D1002" s="16" t="str">
        <f aca="false">IF(_LEITURA!$N1002="","",INDEX(_LEITURA!$G$2:$G$1201,_LEITURA!$N1002))</f>
        <v/>
      </c>
      <c r="E1002" s="16" t="str">
        <f aca="false">IF(B1002="","",SUMIFS(INVENTÁRIO!$C$2:$C$801,INVENTÁRIO!$A$2:$A$801,B1002))</f>
        <v/>
      </c>
      <c r="F1002" s="16" t="str">
        <f aca="false">IF(B1002="","",MAX(0,D1002-E1002))</f>
        <v/>
      </c>
      <c r="G1002" s="16" t="str">
        <f aca="false">IF(B1002="","",IF(COUNTIFS($B$2:$B$1201,B1002,$A$2:$A$1201,"&lt;&gt;"&amp;A1002)&gt;0,"Sim",""))</f>
        <v/>
      </c>
      <c r="H1002" s="16" t="str">
        <f aca="false">IF(N(F1002)&gt;0,MAX(H$1:H1001)+1,"")</f>
        <v/>
      </c>
      <c r="I1002" s="11" t="str">
        <f aca="false">IF(B1002="","",IF(INDEX($C$2:$C$1201,MATCH(B1002,$B$2:$B$1201,0))&lt;&gt;C1002,"Nome diferente em outro deck — revisar",""))</f>
        <v/>
      </c>
      <c r="J1002" s="16" t="str">
        <f aca="false">IF(AND(B1002&lt;&gt;"",A1002=BULK!$A$1,N(F1002)&gt;0),MAX(J$1:J1001)+1,"")</f>
        <v/>
      </c>
      <c r="K1002" s="11" t="str">
        <f aca="false">IF(B1002="","",IFERROR(LEFT(B1002,FIND("-",B1002)-1),B1002))</f>
        <v/>
      </c>
      <c r="L1002" s="11" t="str">
        <f aca="false">IF(K1002="","",IF(ISNUMBER(--MID(K1002,1,1)),0,IF(ISNUMBER(--MID(K1002,2,1)),1,IF(ISNUMBER(--MID(K1002,3,1)),2,IF(ISNUMBER(--MID(K1002,4,1)),3,MIN(LEN(K1002),4))))))</f>
        <v/>
      </c>
      <c r="M1002" s="11" t="str">
        <f aca="false">IF(B1002="","",LEFT(K1002,L1002)&amp;REPT("0",4-L1002)&amp;RIGHT("000"&amp;IFERROR(VALUE(MID(K1002,L1002+1,9)),0),3)&amp;RIGHT("0000"&amp;IFERROR(VALUE(MID(B1002,FIND("-",B1002)+1,9)),0),4))</f>
        <v/>
      </c>
      <c r="N1002" s="11" t="str">
        <f aca="false">IF(OR(B1002="",N(F1002)&lt;=0),"",IF('FALTAS POR DECK'!$P$1="Código","K"&amp;M1002&amp;RIGHT("00000"&amp;ROW(),5),IF('FALTAS POR DECK'!$P$1="Nome","K"&amp;UPPER(SUBSTITUTE(SUBSTITUTE(SUBSTITUTE(C1002,"*",""),"?",""),"~",""))&amp;"0"&amp;M1002&amp;RIGHT("00000"&amp;ROW(),5),IF('FALTAS POR DECK'!$P$1="Falta (maior primeiro)","K"&amp;RIGHT("0000"&amp;(9999-F1002),4)&amp;M1002&amp;RIGHT("00000"&amp;ROW(),5),IF('FALTAS POR DECK'!$P$1="Deck e código","K"&amp;RIGHT("00"&amp;IFERROR(MATCH(A1002,_LEITURA!$P$2:$P$21,0),99),2)&amp;M1002&amp;RIGHT("00000"&amp;ROW(),5),"K"&amp;RIGHT("00000"&amp;ROW(),5))))))</f>
        <v/>
      </c>
      <c r="O1002" s="16" t="str">
        <f aca="false">IF(N1002="","",COUNTIFS($N$2:$N$1201,"&lt;"&amp;N1002,$F$2:$F$1201,"&gt;0")+1)</f>
        <v/>
      </c>
    </row>
    <row r="1003" customFormat="false" ht="15" hidden="false" customHeight="false" outlineLevel="0" collapsed="false">
      <c r="A1003" s="11" t="str">
        <f aca="false">IF(_LEITURA!$N1003="","",INDEX(_LEITURA!$K$2:$K$1201,_LEITURA!$N1003))</f>
        <v/>
      </c>
      <c r="B1003" s="11" t="str">
        <f aca="false">IF(_LEITURA!$N1003="","",INDEX(_LEITURA!$E$2:$E$1201,_LEITURA!$N1003))</f>
        <v/>
      </c>
      <c r="C1003" s="11" t="str">
        <f aca="false">IF(_LEITURA!$N1003="","",INDEX(_LEITURA!$J$2:$J$1201,_LEITURA!$N1003))</f>
        <v/>
      </c>
      <c r="D1003" s="16" t="str">
        <f aca="false">IF(_LEITURA!$N1003="","",INDEX(_LEITURA!$G$2:$G$1201,_LEITURA!$N1003))</f>
        <v/>
      </c>
      <c r="E1003" s="16" t="str">
        <f aca="false">IF(B1003="","",SUMIFS(INVENTÁRIO!$C$2:$C$801,INVENTÁRIO!$A$2:$A$801,B1003))</f>
        <v/>
      </c>
      <c r="F1003" s="16" t="str">
        <f aca="false">IF(B1003="","",MAX(0,D1003-E1003))</f>
        <v/>
      </c>
      <c r="G1003" s="16" t="str">
        <f aca="false">IF(B1003="","",IF(COUNTIFS($B$2:$B$1201,B1003,$A$2:$A$1201,"&lt;&gt;"&amp;A1003)&gt;0,"Sim",""))</f>
        <v/>
      </c>
      <c r="H1003" s="16" t="str">
        <f aca="false">IF(N(F1003)&gt;0,MAX(H$1:H1002)+1,"")</f>
        <v/>
      </c>
      <c r="I1003" s="11" t="str">
        <f aca="false">IF(B1003="","",IF(INDEX($C$2:$C$1201,MATCH(B1003,$B$2:$B$1201,0))&lt;&gt;C1003,"Nome diferente em outro deck — revisar",""))</f>
        <v/>
      </c>
      <c r="J1003" s="16" t="str">
        <f aca="false">IF(AND(B1003&lt;&gt;"",A1003=BULK!$A$1,N(F1003)&gt;0),MAX(J$1:J1002)+1,"")</f>
        <v/>
      </c>
      <c r="K1003" s="11" t="str">
        <f aca="false">IF(B1003="","",IFERROR(LEFT(B1003,FIND("-",B1003)-1),B1003))</f>
        <v/>
      </c>
      <c r="L1003" s="11" t="str">
        <f aca="false">IF(K1003="","",IF(ISNUMBER(--MID(K1003,1,1)),0,IF(ISNUMBER(--MID(K1003,2,1)),1,IF(ISNUMBER(--MID(K1003,3,1)),2,IF(ISNUMBER(--MID(K1003,4,1)),3,MIN(LEN(K1003),4))))))</f>
        <v/>
      </c>
      <c r="M1003" s="11" t="str">
        <f aca="false">IF(B1003="","",LEFT(K1003,L1003)&amp;REPT("0",4-L1003)&amp;RIGHT("000"&amp;IFERROR(VALUE(MID(K1003,L1003+1,9)),0),3)&amp;RIGHT("0000"&amp;IFERROR(VALUE(MID(B1003,FIND("-",B1003)+1,9)),0),4))</f>
        <v/>
      </c>
      <c r="N1003" s="11" t="str">
        <f aca="false">IF(OR(B1003="",N(F1003)&lt;=0),"",IF('FALTAS POR DECK'!$P$1="Código","K"&amp;M1003&amp;RIGHT("00000"&amp;ROW(),5),IF('FALTAS POR DECK'!$P$1="Nome","K"&amp;UPPER(SUBSTITUTE(SUBSTITUTE(SUBSTITUTE(C1003,"*",""),"?",""),"~",""))&amp;"0"&amp;M1003&amp;RIGHT("00000"&amp;ROW(),5),IF('FALTAS POR DECK'!$P$1="Falta (maior primeiro)","K"&amp;RIGHT("0000"&amp;(9999-F1003),4)&amp;M1003&amp;RIGHT("00000"&amp;ROW(),5),IF('FALTAS POR DECK'!$P$1="Deck e código","K"&amp;RIGHT("00"&amp;IFERROR(MATCH(A1003,_LEITURA!$P$2:$P$21,0),99),2)&amp;M1003&amp;RIGHT("00000"&amp;ROW(),5),"K"&amp;RIGHT("00000"&amp;ROW(),5))))))</f>
        <v/>
      </c>
      <c r="O1003" s="16" t="str">
        <f aca="false">IF(N1003="","",COUNTIFS($N$2:$N$1201,"&lt;"&amp;N1003,$F$2:$F$1201,"&gt;0")+1)</f>
        <v/>
      </c>
    </row>
    <row r="1004" customFormat="false" ht="15" hidden="false" customHeight="false" outlineLevel="0" collapsed="false">
      <c r="A1004" s="11" t="str">
        <f aca="false">IF(_LEITURA!$N1004="","",INDEX(_LEITURA!$K$2:$K$1201,_LEITURA!$N1004))</f>
        <v/>
      </c>
      <c r="B1004" s="11" t="str">
        <f aca="false">IF(_LEITURA!$N1004="","",INDEX(_LEITURA!$E$2:$E$1201,_LEITURA!$N1004))</f>
        <v/>
      </c>
      <c r="C1004" s="11" t="str">
        <f aca="false">IF(_LEITURA!$N1004="","",INDEX(_LEITURA!$J$2:$J$1201,_LEITURA!$N1004))</f>
        <v/>
      </c>
      <c r="D1004" s="16" t="str">
        <f aca="false">IF(_LEITURA!$N1004="","",INDEX(_LEITURA!$G$2:$G$1201,_LEITURA!$N1004))</f>
        <v/>
      </c>
      <c r="E1004" s="16" t="str">
        <f aca="false">IF(B1004="","",SUMIFS(INVENTÁRIO!$C$2:$C$801,INVENTÁRIO!$A$2:$A$801,B1004))</f>
        <v/>
      </c>
      <c r="F1004" s="16" t="str">
        <f aca="false">IF(B1004="","",MAX(0,D1004-E1004))</f>
        <v/>
      </c>
      <c r="G1004" s="16" t="str">
        <f aca="false">IF(B1004="","",IF(COUNTIFS($B$2:$B$1201,B1004,$A$2:$A$1201,"&lt;&gt;"&amp;A1004)&gt;0,"Sim",""))</f>
        <v/>
      </c>
      <c r="H1004" s="16" t="str">
        <f aca="false">IF(N(F1004)&gt;0,MAX(H$1:H1003)+1,"")</f>
        <v/>
      </c>
      <c r="I1004" s="11" t="str">
        <f aca="false">IF(B1004="","",IF(INDEX($C$2:$C$1201,MATCH(B1004,$B$2:$B$1201,0))&lt;&gt;C1004,"Nome diferente em outro deck — revisar",""))</f>
        <v/>
      </c>
      <c r="J1004" s="16" t="str">
        <f aca="false">IF(AND(B1004&lt;&gt;"",A1004=BULK!$A$1,N(F1004)&gt;0),MAX(J$1:J1003)+1,"")</f>
        <v/>
      </c>
      <c r="K1004" s="11" t="str">
        <f aca="false">IF(B1004="","",IFERROR(LEFT(B1004,FIND("-",B1004)-1),B1004))</f>
        <v/>
      </c>
      <c r="L1004" s="11" t="str">
        <f aca="false">IF(K1004="","",IF(ISNUMBER(--MID(K1004,1,1)),0,IF(ISNUMBER(--MID(K1004,2,1)),1,IF(ISNUMBER(--MID(K1004,3,1)),2,IF(ISNUMBER(--MID(K1004,4,1)),3,MIN(LEN(K1004),4))))))</f>
        <v/>
      </c>
      <c r="M1004" s="11" t="str">
        <f aca="false">IF(B1004="","",LEFT(K1004,L1004)&amp;REPT("0",4-L1004)&amp;RIGHT("000"&amp;IFERROR(VALUE(MID(K1004,L1004+1,9)),0),3)&amp;RIGHT("0000"&amp;IFERROR(VALUE(MID(B1004,FIND("-",B1004)+1,9)),0),4))</f>
        <v/>
      </c>
      <c r="N1004" s="11" t="str">
        <f aca="false">IF(OR(B1004="",N(F1004)&lt;=0),"",IF('FALTAS POR DECK'!$P$1="Código","K"&amp;M1004&amp;RIGHT("00000"&amp;ROW(),5),IF('FALTAS POR DECK'!$P$1="Nome","K"&amp;UPPER(SUBSTITUTE(SUBSTITUTE(SUBSTITUTE(C1004,"*",""),"?",""),"~",""))&amp;"0"&amp;M1004&amp;RIGHT("00000"&amp;ROW(),5),IF('FALTAS POR DECK'!$P$1="Falta (maior primeiro)","K"&amp;RIGHT("0000"&amp;(9999-F1004),4)&amp;M1004&amp;RIGHT("00000"&amp;ROW(),5),IF('FALTAS POR DECK'!$P$1="Deck e código","K"&amp;RIGHT("00"&amp;IFERROR(MATCH(A1004,_LEITURA!$P$2:$P$21,0),99),2)&amp;M1004&amp;RIGHT("00000"&amp;ROW(),5),"K"&amp;RIGHT("00000"&amp;ROW(),5))))))</f>
        <v/>
      </c>
      <c r="O1004" s="16" t="str">
        <f aca="false">IF(N1004="","",COUNTIFS($N$2:$N$1201,"&lt;"&amp;N1004,$F$2:$F$1201,"&gt;0")+1)</f>
        <v/>
      </c>
    </row>
    <row r="1005" customFormat="false" ht="15" hidden="false" customHeight="false" outlineLevel="0" collapsed="false">
      <c r="A1005" s="11" t="str">
        <f aca="false">IF(_LEITURA!$N1005="","",INDEX(_LEITURA!$K$2:$K$1201,_LEITURA!$N1005))</f>
        <v/>
      </c>
      <c r="B1005" s="11" t="str">
        <f aca="false">IF(_LEITURA!$N1005="","",INDEX(_LEITURA!$E$2:$E$1201,_LEITURA!$N1005))</f>
        <v/>
      </c>
      <c r="C1005" s="11" t="str">
        <f aca="false">IF(_LEITURA!$N1005="","",INDEX(_LEITURA!$J$2:$J$1201,_LEITURA!$N1005))</f>
        <v/>
      </c>
      <c r="D1005" s="16" t="str">
        <f aca="false">IF(_LEITURA!$N1005="","",INDEX(_LEITURA!$G$2:$G$1201,_LEITURA!$N1005))</f>
        <v/>
      </c>
      <c r="E1005" s="16" t="str">
        <f aca="false">IF(B1005="","",SUMIFS(INVENTÁRIO!$C$2:$C$801,INVENTÁRIO!$A$2:$A$801,B1005))</f>
        <v/>
      </c>
      <c r="F1005" s="16" t="str">
        <f aca="false">IF(B1005="","",MAX(0,D1005-E1005))</f>
        <v/>
      </c>
      <c r="G1005" s="16" t="str">
        <f aca="false">IF(B1005="","",IF(COUNTIFS($B$2:$B$1201,B1005,$A$2:$A$1201,"&lt;&gt;"&amp;A1005)&gt;0,"Sim",""))</f>
        <v/>
      </c>
      <c r="H1005" s="16" t="str">
        <f aca="false">IF(N(F1005)&gt;0,MAX(H$1:H1004)+1,"")</f>
        <v/>
      </c>
      <c r="I1005" s="11" t="str">
        <f aca="false">IF(B1005="","",IF(INDEX($C$2:$C$1201,MATCH(B1005,$B$2:$B$1201,0))&lt;&gt;C1005,"Nome diferente em outro deck — revisar",""))</f>
        <v/>
      </c>
      <c r="J1005" s="16" t="str">
        <f aca="false">IF(AND(B1005&lt;&gt;"",A1005=BULK!$A$1,N(F1005)&gt;0),MAX(J$1:J1004)+1,"")</f>
        <v/>
      </c>
      <c r="K1005" s="11" t="str">
        <f aca="false">IF(B1005="","",IFERROR(LEFT(B1005,FIND("-",B1005)-1),B1005))</f>
        <v/>
      </c>
      <c r="L1005" s="11" t="str">
        <f aca="false">IF(K1005="","",IF(ISNUMBER(--MID(K1005,1,1)),0,IF(ISNUMBER(--MID(K1005,2,1)),1,IF(ISNUMBER(--MID(K1005,3,1)),2,IF(ISNUMBER(--MID(K1005,4,1)),3,MIN(LEN(K1005),4))))))</f>
        <v/>
      </c>
      <c r="M1005" s="11" t="str">
        <f aca="false">IF(B1005="","",LEFT(K1005,L1005)&amp;REPT("0",4-L1005)&amp;RIGHT("000"&amp;IFERROR(VALUE(MID(K1005,L1005+1,9)),0),3)&amp;RIGHT("0000"&amp;IFERROR(VALUE(MID(B1005,FIND("-",B1005)+1,9)),0),4))</f>
        <v/>
      </c>
      <c r="N1005" s="11" t="str">
        <f aca="false">IF(OR(B1005="",N(F1005)&lt;=0),"",IF('FALTAS POR DECK'!$P$1="Código","K"&amp;M1005&amp;RIGHT("00000"&amp;ROW(),5),IF('FALTAS POR DECK'!$P$1="Nome","K"&amp;UPPER(SUBSTITUTE(SUBSTITUTE(SUBSTITUTE(C1005,"*",""),"?",""),"~",""))&amp;"0"&amp;M1005&amp;RIGHT("00000"&amp;ROW(),5),IF('FALTAS POR DECK'!$P$1="Falta (maior primeiro)","K"&amp;RIGHT("0000"&amp;(9999-F1005),4)&amp;M1005&amp;RIGHT("00000"&amp;ROW(),5),IF('FALTAS POR DECK'!$P$1="Deck e código","K"&amp;RIGHT("00"&amp;IFERROR(MATCH(A1005,_LEITURA!$P$2:$P$21,0),99),2)&amp;M1005&amp;RIGHT("00000"&amp;ROW(),5),"K"&amp;RIGHT("00000"&amp;ROW(),5))))))</f>
        <v/>
      </c>
      <c r="O1005" s="16" t="str">
        <f aca="false">IF(N1005="","",COUNTIFS($N$2:$N$1201,"&lt;"&amp;N1005,$F$2:$F$1201,"&gt;0")+1)</f>
        <v/>
      </c>
    </row>
    <row r="1006" customFormat="false" ht="15" hidden="false" customHeight="false" outlineLevel="0" collapsed="false">
      <c r="A1006" s="11" t="str">
        <f aca="false">IF(_LEITURA!$N1006="","",INDEX(_LEITURA!$K$2:$K$1201,_LEITURA!$N1006))</f>
        <v/>
      </c>
      <c r="B1006" s="11" t="str">
        <f aca="false">IF(_LEITURA!$N1006="","",INDEX(_LEITURA!$E$2:$E$1201,_LEITURA!$N1006))</f>
        <v/>
      </c>
      <c r="C1006" s="11" t="str">
        <f aca="false">IF(_LEITURA!$N1006="","",INDEX(_LEITURA!$J$2:$J$1201,_LEITURA!$N1006))</f>
        <v/>
      </c>
      <c r="D1006" s="16" t="str">
        <f aca="false">IF(_LEITURA!$N1006="","",INDEX(_LEITURA!$G$2:$G$1201,_LEITURA!$N1006))</f>
        <v/>
      </c>
      <c r="E1006" s="16" t="str">
        <f aca="false">IF(B1006="","",SUMIFS(INVENTÁRIO!$C$2:$C$801,INVENTÁRIO!$A$2:$A$801,B1006))</f>
        <v/>
      </c>
      <c r="F1006" s="16" t="str">
        <f aca="false">IF(B1006="","",MAX(0,D1006-E1006))</f>
        <v/>
      </c>
      <c r="G1006" s="16" t="str">
        <f aca="false">IF(B1006="","",IF(COUNTIFS($B$2:$B$1201,B1006,$A$2:$A$1201,"&lt;&gt;"&amp;A1006)&gt;0,"Sim",""))</f>
        <v/>
      </c>
      <c r="H1006" s="16" t="str">
        <f aca="false">IF(N(F1006)&gt;0,MAX(H$1:H1005)+1,"")</f>
        <v/>
      </c>
      <c r="I1006" s="11" t="str">
        <f aca="false">IF(B1006="","",IF(INDEX($C$2:$C$1201,MATCH(B1006,$B$2:$B$1201,0))&lt;&gt;C1006,"Nome diferente em outro deck — revisar",""))</f>
        <v/>
      </c>
      <c r="J1006" s="16" t="str">
        <f aca="false">IF(AND(B1006&lt;&gt;"",A1006=BULK!$A$1,N(F1006)&gt;0),MAX(J$1:J1005)+1,"")</f>
        <v/>
      </c>
      <c r="K1006" s="11" t="str">
        <f aca="false">IF(B1006="","",IFERROR(LEFT(B1006,FIND("-",B1006)-1),B1006))</f>
        <v/>
      </c>
      <c r="L1006" s="11" t="str">
        <f aca="false">IF(K1006="","",IF(ISNUMBER(--MID(K1006,1,1)),0,IF(ISNUMBER(--MID(K1006,2,1)),1,IF(ISNUMBER(--MID(K1006,3,1)),2,IF(ISNUMBER(--MID(K1006,4,1)),3,MIN(LEN(K1006),4))))))</f>
        <v/>
      </c>
      <c r="M1006" s="11" t="str">
        <f aca="false">IF(B1006="","",LEFT(K1006,L1006)&amp;REPT("0",4-L1006)&amp;RIGHT("000"&amp;IFERROR(VALUE(MID(K1006,L1006+1,9)),0),3)&amp;RIGHT("0000"&amp;IFERROR(VALUE(MID(B1006,FIND("-",B1006)+1,9)),0),4))</f>
        <v/>
      </c>
      <c r="N1006" s="11" t="str">
        <f aca="false">IF(OR(B1006="",N(F1006)&lt;=0),"",IF('FALTAS POR DECK'!$P$1="Código","K"&amp;M1006&amp;RIGHT("00000"&amp;ROW(),5),IF('FALTAS POR DECK'!$P$1="Nome","K"&amp;UPPER(SUBSTITUTE(SUBSTITUTE(SUBSTITUTE(C1006,"*",""),"?",""),"~",""))&amp;"0"&amp;M1006&amp;RIGHT("00000"&amp;ROW(),5),IF('FALTAS POR DECK'!$P$1="Falta (maior primeiro)","K"&amp;RIGHT("0000"&amp;(9999-F1006),4)&amp;M1006&amp;RIGHT("00000"&amp;ROW(),5),IF('FALTAS POR DECK'!$P$1="Deck e código","K"&amp;RIGHT("00"&amp;IFERROR(MATCH(A1006,_LEITURA!$P$2:$P$21,0),99),2)&amp;M1006&amp;RIGHT("00000"&amp;ROW(),5),"K"&amp;RIGHT("00000"&amp;ROW(),5))))))</f>
        <v/>
      </c>
      <c r="O1006" s="16" t="str">
        <f aca="false">IF(N1006="","",COUNTIFS($N$2:$N$1201,"&lt;"&amp;N1006,$F$2:$F$1201,"&gt;0")+1)</f>
        <v/>
      </c>
    </row>
    <row r="1007" customFormat="false" ht="15" hidden="false" customHeight="false" outlineLevel="0" collapsed="false">
      <c r="A1007" s="11" t="str">
        <f aca="false">IF(_LEITURA!$N1007="","",INDEX(_LEITURA!$K$2:$K$1201,_LEITURA!$N1007))</f>
        <v/>
      </c>
      <c r="B1007" s="11" t="str">
        <f aca="false">IF(_LEITURA!$N1007="","",INDEX(_LEITURA!$E$2:$E$1201,_LEITURA!$N1007))</f>
        <v/>
      </c>
      <c r="C1007" s="11" t="str">
        <f aca="false">IF(_LEITURA!$N1007="","",INDEX(_LEITURA!$J$2:$J$1201,_LEITURA!$N1007))</f>
        <v/>
      </c>
      <c r="D1007" s="16" t="str">
        <f aca="false">IF(_LEITURA!$N1007="","",INDEX(_LEITURA!$G$2:$G$1201,_LEITURA!$N1007))</f>
        <v/>
      </c>
      <c r="E1007" s="16" t="str">
        <f aca="false">IF(B1007="","",SUMIFS(INVENTÁRIO!$C$2:$C$801,INVENTÁRIO!$A$2:$A$801,B1007))</f>
        <v/>
      </c>
      <c r="F1007" s="16" t="str">
        <f aca="false">IF(B1007="","",MAX(0,D1007-E1007))</f>
        <v/>
      </c>
      <c r="G1007" s="16" t="str">
        <f aca="false">IF(B1007="","",IF(COUNTIFS($B$2:$B$1201,B1007,$A$2:$A$1201,"&lt;&gt;"&amp;A1007)&gt;0,"Sim",""))</f>
        <v/>
      </c>
      <c r="H1007" s="16" t="str">
        <f aca="false">IF(N(F1007)&gt;0,MAX(H$1:H1006)+1,"")</f>
        <v/>
      </c>
      <c r="I1007" s="11" t="str">
        <f aca="false">IF(B1007="","",IF(INDEX($C$2:$C$1201,MATCH(B1007,$B$2:$B$1201,0))&lt;&gt;C1007,"Nome diferente em outro deck — revisar",""))</f>
        <v/>
      </c>
      <c r="J1007" s="16" t="str">
        <f aca="false">IF(AND(B1007&lt;&gt;"",A1007=BULK!$A$1,N(F1007)&gt;0),MAX(J$1:J1006)+1,"")</f>
        <v/>
      </c>
      <c r="K1007" s="11" t="str">
        <f aca="false">IF(B1007="","",IFERROR(LEFT(B1007,FIND("-",B1007)-1),B1007))</f>
        <v/>
      </c>
      <c r="L1007" s="11" t="str">
        <f aca="false">IF(K1007="","",IF(ISNUMBER(--MID(K1007,1,1)),0,IF(ISNUMBER(--MID(K1007,2,1)),1,IF(ISNUMBER(--MID(K1007,3,1)),2,IF(ISNUMBER(--MID(K1007,4,1)),3,MIN(LEN(K1007),4))))))</f>
        <v/>
      </c>
      <c r="M1007" s="11" t="str">
        <f aca="false">IF(B1007="","",LEFT(K1007,L1007)&amp;REPT("0",4-L1007)&amp;RIGHT("000"&amp;IFERROR(VALUE(MID(K1007,L1007+1,9)),0),3)&amp;RIGHT("0000"&amp;IFERROR(VALUE(MID(B1007,FIND("-",B1007)+1,9)),0),4))</f>
        <v/>
      </c>
      <c r="N1007" s="11" t="str">
        <f aca="false">IF(OR(B1007="",N(F1007)&lt;=0),"",IF('FALTAS POR DECK'!$P$1="Código","K"&amp;M1007&amp;RIGHT("00000"&amp;ROW(),5),IF('FALTAS POR DECK'!$P$1="Nome","K"&amp;UPPER(SUBSTITUTE(SUBSTITUTE(SUBSTITUTE(C1007,"*",""),"?",""),"~",""))&amp;"0"&amp;M1007&amp;RIGHT("00000"&amp;ROW(),5),IF('FALTAS POR DECK'!$P$1="Falta (maior primeiro)","K"&amp;RIGHT("0000"&amp;(9999-F1007),4)&amp;M1007&amp;RIGHT("00000"&amp;ROW(),5),IF('FALTAS POR DECK'!$P$1="Deck e código","K"&amp;RIGHT("00"&amp;IFERROR(MATCH(A1007,_LEITURA!$P$2:$P$21,0),99),2)&amp;M1007&amp;RIGHT("00000"&amp;ROW(),5),"K"&amp;RIGHT("00000"&amp;ROW(),5))))))</f>
        <v/>
      </c>
      <c r="O1007" s="16" t="str">
        <f aca="false">IF(N1007="","",COUNTIFS($N$2:$N$1201,"&lt;"&amp;N1007,$F$2:$F$1201,"&gt;0")+1)</f>
        <v/>
      </c>
    </row>
    <row r="1008" customFormat="false" ht="15" hidden="false" customHeight="false" outlineLevel="0" collapsed="false">
      <c r="A1008" s="11" t="str">
        <f aca="false">IF(_LEITURA!$N1008="","",INDEX(_LEITURA!$K$2:$K$1201,_LEITURA!$N1008))</f>
        <v/>
      </c>
      <c r="B1008" s="11" t="str">
        <f aca="false">IF(_LEITURA!$N1008="","",INDEX(_LEITURA!$E$2:$E$1201,_LEITURA!$N1008))</f>
        <v/>
      </c>
      <c r="C1008" s="11" t="str">
        <f aca="false">IF(_LEITURA!$N1008="","",INDEX(_LEITURA!$J$2:$J$1201,_LEITURA!$N1008))</f>
        <v/>
      </c>
      <c r="D1008" s="16" t="str">
        <f aca="false">IF(_LEITURA!$N1008="","",INDEX(_LEITURA!$G$2:$G$1201,_LEITURA!$N1008))</f>
        <v/>
      </c>
      <c r="E1008" s="16" t="str">
        <f aca="false">IF(B1008="","",SUMIFS(INVENTÁRIO!$C$2:$C$801,INVENTÁRIO!$A$2:$A$801,B1008))</f>
        <v/>
      </c>
      <c r="F1008" s="16" t="str">
        <f aca="false">IF(B1008="","",MAX(0,D1008-E1008))</f>
        <v/>
      </c>
      <c r="G1008" s="16" t="str">
        <f aca="false">IF(B1008="","",IF(COUNTIFS($B$2:$B$1201,B1008,$A$2:$A$1201,"&lt;&gt;"&amp;A1008)&gt;0,"Sim",""))</f>
        <v/>
      </c>
      <c r="H1008" s="16" t="str">
        <f aca="false">IF(N(F1008)&gt;0,MAX(H$1:H1007)+1,"")</f>
        <v/>
      </c>
      <c r="I1008" s="11" t="str">
        <f aca="false">IF(B1008="","",IF(INDEX($C$2:$C$1201,MATCH(B1008,$B$2:$B$1201,0))&lt;&gt;C1008,"Nome diferente em outro deck — revisar",""))</f>
        <v/>
      </c>
      <c r="J1008" s="16" t="str">
        <f aca="false">IF(AND(B1008&lt;&gt;"",A1008=BULK!$A$1,N(F1008)&gt;0),MAX(J$1:J1007)+1,"")</f>
        <v/>
      </c>
      <c r="K1008" s="11" t="str">
        <f aca="false">IF(B1008="","",IFERROR(LEFT(B1008,FIND("-",B1008)-1),B1008))</f>
        <v/>
      </c>
      <c r="L1008" s="11" t="str">
        <f aca="false">IF(K1008="","",IF(ISNUMBER(--MID(K1008,1,1)),0,IF(ISNUMBER(--MID(K1008,2,1)),1,IF(ISNUMBER(--MID(K1008,3,1)),2,IF(ISNUMBER(--MID(K1008,4,1)),3,MIN(LEN(K1008),4))))))</f>
        <v/>
      </c>
      <c r="M1008" s="11" t="str">
        <f aca="false">IF(B1008="","",LEFT(K1008,L1008)&amp;REPT("0",4-L1008)&amp;RIGHT("000"&amp;IFERROR(VALUE(MID(K1008,L1008+1,9)),0),3)&amp;RIGHT("0000"&amp;IFERROR(VALUE(MID(B1008,FIND("-",B1008)+1,9)),0),4))</f>
        <v/>
      </c>
      <c r="N1008" s="11" t="str">
        <f aca="false">IF(OR(B1008="",N(F1008)&lt;=0),"",IF('FALTAS POR DECK'!$P$1="Código","K"&amp;M1008&amp;RIGHT("00000"&amp;ROW(),5),IF('FALTAS POR DECK'!$P$1="Nome","K"&amp;UPPER(SUBSTITUTE(SUBSTITUTE(SUBSTITUTE(C1008,"*",""),"?",""),"~",""))&amp;"0"&amp;M1008&amp;RIGHT("00000"&amp;ROW(),5),IF('FALTAS POR DECK'!$P$1="Falta (maior primeiro)","K"&amp;RIGHT("0000"&amp;(9999-F1008),4)&amp;M1008&amp;RIGHT("00000"&amp;ROW(),5),IF('FALTAS POR DECK'!$P$1="Deck e código","K"&amp;RIGHT("00"&amp;IFERROR(MATCH(A1008,_LEITURA!$P$2:$P$21,0),99),2)&amp;M1008&amp;RIGHT("00000"&amp;ROW(),5),"K"&amp;RIGHT("00000"&amp;ROW(),5))))))</f>
        <v/>
      </c>
      <c r="O1008" s="16" t="str">
        <f aca="false">IF(N1008="","",COUNTIFS($N$2:$N$1201,"&lt;"&amp;N1008,$F$2:$F$1201,"&gt;0")+1)</f>
        <v/>
      </c>
    </row>
    <row r="1009" customFormat="false" ht="15" hidden="false" customHeight="false" outlineLevel="0" collapsed="false">
      <c r="A1009" s="11" t="str">
        <f aca="false">IF(_LEITURA!$N1009="","",INDEX(_LEITURA!$K$2:$K$1201,_LEITURA!$N1009))</f>
        <v/>
      </c>
      <c r="B1009" s="11" t="str">
        <f aca="false">IF(_LEITURA!$N1009="","",INDEX(_LEITURA!$E$2:$E$1201,_LEITURA!$N1009))</f>
        <v/>
      </c>
      <c r="C1009" s="11" t="str">
        <f aca="false">IF(_LEITURA!$N1009="","",INDEX(_LEITURA!$J$2:$J$1201,_LEITURA!$N1009))</f>
        <v/>
      </c>
      <c r="D1009" s="16" t="str">
        <f aca="false">IF(_LEITURA!$N1009="","",INDEX(_LEITURA!$G$2:$G$1201,_LEITURA!$N1009))</f>
        <v/>
      </c>
      <c r="E1009" s="16" t="str">
        <f aca="false">IF(B1009="","",SUMIFS(INVENTÁRIO!$C$2:$C$801,INVENTÁRIO!$A$2:$A$801,B1009))</f>
        <v/>
      </c>
      <c r="F1009" s="16" t="str">
        <f aca="false">IF(B1009="","",MAX(0,D1009-E1009))</f>
        <v/>
      </c>
      <c r="G1009" s="16" t="str">
        <f aca="false">IF(B1009="","",IF(COUNTIFS($B$2:$B$1201,B1009,$A$2:$A$1201,"&lt;&gt;"&amp;A1009)&gt;0,"Sim",""))</f>
        <v/>
      </c>
      <c r="H1009" s="16" t="str">
        <f aca="false">IF(N(F1009)&gt;0,MAX(H$1:H1008)+1,"")</f>
        <v/>
      </c>
      <c r="I1009" s="11" t="str">
        <f aca="false">IF(B1009="","",IF(INDEX($C$2:$C$1201,MATCH(B1009,$B$2:$B$1201,0))&lt;&gt;C1009,"Nome diferente em outro deck — revisar",""))</f>
        <v/>
      </c>
      <c r="J1009" s="16" t="str">
        <f aca="false">IF(AND(B1009&lt;&gt;"",A1009=BULK!$A$1,N(F1009)&gt;0),MAX(J$1:J1008)+1,"")</f>
        <v/>
      </c>
      <c r="K1009" s="11" t="str">
        <f aca="false">IF(B1009="","",IFERROR(LEFT(B1009,FIND("-",B1009)-1),B1009))</f>
        <v/>
      </c>
      <c r="L1009" s="11" t="str">
        <f aca="false">IF(K1009="","",IF(ISNUMBER(--MID(K1009,1,1)),0,IF(ISNUMBER(--MID(K1009,2,1)),1,IF(ISNUMBER(--MID(K1009,3,1)),2,IF(ISNUMBER(--MID(K1009,4,1)),3,MIN(LEN(K1009),4))))))</f>
        <v/>
      </c>
      <c r="M1009" s="11" t="str">
        <f aca="false">IF(B1009="","",LEFT(K1009,L1009)&amp;REPT("0",4-L1009)&amp;RIGHT("000"&amp;IFERROR(VALUE(MID(K1009,L1009+1,9)),0),3)&amp;RIGHT("0000"&amp;IFERROR(VALUE(MID(B1009,FIND("-",B1009)+1,9)),0),4))</f>
        <v/>
      </c>
      <c r="N1009" s="11" t="str">
        <f aca="false">IF(OR(B1009="",N(F1009)&lt;=0),"",IF('FALTAS POR DECK'!$P$1="Código","K"&amp;M1009&amp;RIGHT("00000"&amp;ROW(),5),IF('FALTAS POR DECK'!$P$1="Nome","K"&amp;UPPER(SUBSTITUTE(SUBSTITUTE(SUBSTITUTE(C1009,"*",""),"?",""),"~",""))&amp;"0"&amp;M1009&amp;RIGHT("00000"&amp;ROW(),5),IF('FALTAS POR DECK'!$P$1="Falta (maior primeiro)","K"&amp;RIGHT("0000"&amp;(9999-F1009),4)&amp;M1009&amp;RIGHT("00000"&amp;ROW(),5),IF('FALTAS POR DECK'!$P$1="Deck e código","K"&amp;RIGHT("00"&amp;IFERROR(MATCH(A1009,_LEITURA!$P$2:$P$21,0),99),2)&amp;M1009&amp;RIGHT("00000"&amp;ROW(),5),"K"&amp;RIGHT("00000"&amp;ROW(),5))))))</f>
        <v/>
      </c>
      <c r="O1009" s="16" t="str">
        <f aca="false">IF(N1009="","",COUNTIFS($N$2:$N$1201,"&lt;"&amp;N1009,$F$2:$F$1201,"&gt;0")+1)</f>
        <v/>
      </c>
    </row>
    <row r="1010" customFormat="false" ht="15" hidden="false" customHeight="false" outlineLevel="0" collapsed="false">
      <c r="A1010" s="11" t="str">
        <f aca="false">IF(_LEITURA!$N1010="","",INDEX(_LEITURA!$K$2:$K$1201,_LEITURA!$N1010))</f>
        <v/>
      </c>
      <c r="B1010" s="11" t="str">
        <f aca="false">IF(_LEITURA!$N1010="","",INDEX(_LEITURA!$E$2:$E$1201,_LEITURA!$N1010))</f>
        <v/>
      </c>
      <c r="C1010" s="11" t="str">
        <f aca="false">IF(_LEITURA!$N1010="","",INDEX(_LEITURA!$J$2:$J$1201,_LEITURA!$N1010))</f>
        <v/>
      </c>
      <c r="D1010" s="16" t="str">
        <f aca="false">IF(_LEITURA!$N1010="","",INDEX(_LEITURA!$G$2:$G$1201,_LEITURA!$N1010))</f>
        <v/>
      </c>
      <c r="E1010" s="16" t="str">
        <f aca="false">IF(B1010="","",SUMIFS(INVENTÁRIO!$C$2:$C$801,INVENTÁRIO!$A$2:$A$801,B1010))</f>
        <v/>
      </c>
      <c r="F1010" s="16" t="str">
        <f aca="false">IF(B1010="","",MAX(0,D1010-E1010))</f>
        <v/>
      </c>
      <c r="G1010" s="16" t="str">
        <f aca="false">IF(B1010="","",IF(COUNTIFS($B$2:$B$1201,B1010,$A$2:$A$1201,"&lt;&gt;"&amp;A1010)&gt;0,"Sim",""))</f>
        <v/>
      </c>
      <c r="H1010" s="16" t="str">
        <f aca="false">IF(N(F1010)&gt;0,MAX(H$1:H1009)+1,"")</f>
        <v/>
      </c>
      <c r="I1010" s="11" t="str">
        <f aca="false">IF(B1010="","",IF(INDEX($C$2:$C$1201,MATCH(B1010,$B$2:$B$1201,0))&lt;&gt;C1010,"Nome diferente em outro deck — revisar",""))</f>
        <v/>
      </c>
      <c r="J1010" s="16" t="str">
        <f aca="false">IF(AND(B1010&lt;&gt;"",A1010=BULK!$A$1,N(F1010)&gt;0),MAX(J$1:J1009)+1,"")</f>
        <v/>
      </c>
      <c r="K1010" s="11" t="str">
        <f aca="false">IF(B1010="","",IFERROR(LEFT(B1010,FIND("-",B1010)-1),B1010))</f>
        <v/>
      </c>
      <c r="L1010" s="11" t="str">
        <f aca="false">IF(K1010="","",IF(ISNUMBER(--MID(K1010,1,1)),0,IF(ISNUMBER(--MID(K1010,2,1)),1,IF(ISNUMBER(--MID(K1010,3,1)),2,IF(ISNUMBER(--MID(K1010,4,1)),3,MIN(LEN(K1010),4))))))</f>
        <v/>
      </c>
      <c r="M1010" s="11" t="str">
        <f aca="false">IF(B1010="","",LEFT(K1010,L1010)&amp;REPT("0",4-L1010)&amp;RIGHT("000"&amp;IFERROR(VALUE(MID(K1010,L1010+1,9)),0),3)&amp;RIGHT("0000"&amp;IFERROR(VALUE(MID(B1010,FIND("-",B1010)+1,9)),0),4))</f>
        <v/>
      </c>
      <c r="N1010" s="11" t="str">
        <f aca="false">IF(OR(B1010="",N(F1010)&lt;=0),"",IF('FALTAS POR DECK'!$P$1="Código","K"&amp;M1010&amp;RIGHT("00000"&amp;ROW(),5),IF('FALTAS POR DECK'!$P$1="Nome","K"&amp;UPPER(SUBSTITUTE(SUBSTITUTE(SUBSTITUTE(C1010,"*",""),"?",""),"~",""))&amp;"0"&amp;M1010&amp;RIGHT("00000"&amp;ROW(),5),IF('FALTAS POR DECK'!$P$1="Falta (maior primeiro)","K"&amp;RIGHT("0000"&amp;(9999-F1010),4)&amp;M1010&amp;RIGHT("00000"&amp;ROW(),5),IF('FALTAS POR DECK'!$P$1="Deck e código","K"&amp;RIGHT("00"&amp;IFERROR(MATCH(A1010,_LEITURA!$P$2:$P$21,0),99),2)&amp;M1010&amp;RIGHT("00000"&amp;ROW(),5),"K"&amp;RIGHT("00000"&amp;ROW(),5))))))</f>
        <v/>
      </c>
      <c r="O1010" s="16" t="str">
        <f aca="false">IF(N1010="","",COUNTIFS($N$2:$N$1201,"&lt;"&amp;N1010,$F$2:$F$1201,"&gt;0")+1)</f>
        <v/>
      </c>
    </row>
    <row r="1011" customFormat="false" ht="15" hidden="false" customHeight="false" outlineLevel="0" collapsed="false">
      <c r="A1011" s="11" t="str">
        <f aca="false">IF(_LEITURA!$N1011="","",INDEX(_LEITURA!$K$2:$K$1201,_LEITURA!$N1011))</f>
        <v/>
      </c>
      <c r="B1011" s="11" t="str">
        <f aca="false">IF(_LEITURA!$N1011="","",INDEX(_LEITURA!$E$2:$E$1201,_LEITURA!$N1011))</f>
        <v/>
      </c>
      <c r="C1011" s="11" t="str">
        <f aca="false">IF(_LEITURA!$N1011="","",INDEX(_LEITURA!$J$2:$J$1201,_LEITURA!$N1011))</f>
        <v/>
      </c>
      <c r="D1011" s="16" t="str">
        <f aca="false">IF(_LEITURA!$N1011="","",INDEX(_LEITURA!$G$2:$G$1201,_LEITURA!$N1011))</f>
        <v/>
      </c>
      <c r="E1011" s="16" t="str">
        <f aca="false">IF(B1011="","",SUMIFS(INVENTÁRIO!$C$2:$C$801,INVENTÁRIO!$A$2:$A$801,B1011))</f>
        <v/>
      </c>
      <c r="F1011" s="16" t="str">
        <f aca="false">IF(B1011="","",MAX(0,D1011-E1011))</f>
        <v/>
      </c>
      <c r="G1011" s="16" t="str">
        <f aca="false">IF(B1011="","",IF(COUNTIFS($B$2:$B$1201,B1011,$A$2:$A$1201,"&lt;&gt;"&amp;A1011)&gt;0,"Sim",""))</f>
        <v/>
      </c>
      <c r="H1011" s="16" t="str">
        <f aca="false">IF(N(F1011)&gt;0,MAX(H$1:H1010)+1,"")</f>
        <v/>
      </c>
      <c r="I1011" s="11" t="str">
        <f aca="false">IF(B1011="","",IF(INDEX($C$2:$C$1201,MATCH(B1011,$B$2:$B$1201,0))&lt;&gt;C1011,"Nome diferente em outro deck — revisar",""))</f>
        <v/>
      </c>
      <c r="J1011" s="16" t="str">
        <f aca="false">IF(AND(B1011&lt;&gt;"",A1011=BULK!$A$1,N(F1011)&gt;0),MAX(J$1:J1010)+1,"")</f>
        <v/>
      </c>
      <c r="K1011" s="11" t="str">
        <f aca="false">IF(B1011="","",IFERROR(LEFT(B1011,FIND("-",B1011)-1),B1011))</f>
        <v/>
      </c>
      <c r="L1011" s="11" t="str">
        <f aca="false">IF(K1011="","",IF(ISNUMBER(--MID(K1011,1,1)),0,IF(ISNUMBER(--MID(K1011,2,1)),1,IF(ISNUMBER(--MID(K1011,3,1)),2,IF(ISNUMBER(--MID(K1011,4,1)),3,MIN(LEN(K1011),4))))))</f>
        <v/>
      </c>
      <c r="M1011" s="11" t="str">
        <f aca="false">IF(B1011="","",LEFT(K1011,L1011)&amp;REPT("0",4-L1011)&amp;RIGHT("000"&amp;IFERROR(VALUE(MID(K1011,L1011+1,9)),0),3)&amp;RIGHT("0000"&amp;IFERROR(VALUE(MID(B1011,FIND("-",B1011)+1,9)),0),4))</f>
        <v/>
      </c>
      <c r="N1011" s="11" t="str">
        <f aca="false">IF(OR(B1011="",N(F1011)&lt;=0),"",IF('FALTAS POR DECK'!$P$1="Código","K"&amp;M1011&amp;RIGHT("00000"&amp;ROW(),5),IF('FALTAS POR DECK'!$P$1="Nome","K"&amp;UPPER(SUBSTITUTE(SUBSTITUTE(SUBSTITUTE(C1011,"*",""),"?",""),"~",""))&amp;"0"&amp;M1011&amp;RIGHT("00000"&amp;ROW(),5),IF('FALTAS POR DECK'!$P$1="Falta (maior primeiro)","K"&amp;RIGHT("0000"&amp;(9999-F1011),4)&amp;M1011&amp;RIGHT("00000"&amp;ROW(),5),IF('FALTAS POR DECK'!$P$1="Deck e código","K"&amp;RIGHT("00"&amp;IFERROR(MATCH(A1011,_LEITURA!$P$2:$P$21,0),99),2)&amp;M1011&amp;RIGHT("00000"&amp;ROW(),5),"K"&amp;RIGHT("00000"&amp;ROW(),5))))))</f>
        <v/>
      </c>
      <c r="O1011" s="16" t="str">
        <f aca="false">IF(N1011="","",COUNTIFS($N$2:$N$1201,"&lt;"&amp;N1011,$F$2:$F$1201,"&gt;0")+1)</f>
        <v/>
      </c>
    </row>
    <row r="1012" customFormat="false" ht="15" hidden="false" customHeight="false" outlineLevel="0" collapsed="false">
      <c r="A1012" s="11" t="str">
        <f aca="false">IF(_LEITURA!$N1012="","",INDEX(_LEITURA!$K$2:$K$1201,_LEITURA!$N1012))</f>
        <v/>
      </c>
      <c r="B1012" s="11" t="str">
        <f aca="false">IF(_LEITURA!$N1012="","",INDEX(_LEITURA!$E$2:$E$1201,_LEITURA!$N1012))</f>
        <v/>
      </c>
      <c r="C1012" s="11" t="str">
        <f aca="false">IF(_LEITURA!$N1012="","",INDEX(_LEITURA!$J$2:$J$1201,_LEITURA!$N1012))</f>
        <v/>
      </c>
      <c r="D1012" s="16" t="str">
        <f aca="false">IF(_LEITURA!$N1012="","",INDEX(_LEITURA!$G$2:$G$1201,_LEITURA!$N1012))</f>
        <v/>
      </c>
      <c r="E1012" s="16" t="str">
        <f aca="false">IF(B1012="","",SUMIFS(INVENTÁRIO!$C$2:$C$801,INVENTÁRIO!$A$2:$A$801,B1012))</f>
        <v/>
      </c>
      <c r="F1012" s="16" t="str">
        <f aca="false">IF(B1012="","",MAX(0,D1012-E1012))</f>
        <v/>
      </c>
      <c r="G1012" s="16" t="str">
        <f aca="false">IF(B1012="","",IF(COUNTIFS($B$2:$B$1201,B1012,$A$2:$A$1201,"&lt;&gt;"&amp;A1012)&gt;0,"Sim",""))</f>
        <v/>
      </c>
      <c r="H1012" s="16" t="str">
        <f aca="false">IF(N(F1012)&gt;0,MAX(H$1:H1011)+1,"")</f>
        <v/>
      </c>
      <c r="I1012" s="11" t="str">
        <f aca="false">IF(B1012="","",IF(INDEX($C$2:$C$1201,MATCH(B1012,$B$2:$B$1201,0))&lt;&gt;C1012,"Nome diferente em outro deck — revisar",""))</f>
        <v/>
      </c>
      <c r="J1012" s="16" t="str">
        <f aca="false">IF(AND(B1012&lt;&gt;"",A1012=BULK!$A$1,N(F1012)&gt;0),MAX(J$1:J1011)+1,"")</f>
        <v/>
      </c>
      <c r="K1012" s="11" t="str">
        <f aca="false">IF(B1012="","",IFERROR(LEFT(B1012,FIND("-",B1012)-1),B1012))</f>
        <v/>
      </c>
      <c r="L1012" s="11" t="str">
        <f aca="false">IF(K1012="","",IF(ISNUMBER(--MID(K1012,1,1)),0,IF(ISNUMBER(--MID(K1012,2,1)),1,IF(ISNUMBER(--MID(K1012,3,1)),2,IF(ISNUMBER(--MID(K1012,4,1)),3,MIN(LEN(K1012),4))))))</f>
        <v/>
      </c>
      <c r="M1012" s="11" t="str">
        <f aca="false">IF(B1012="","",LEFT(K1012,L1012)&amp;REPT("0",4-L1012)&amp;RIGHT("000"&amp;IFERROR(VALUE(MID(K1012,L1012+1,9)),0),3)&amp;RIGHT("0000"&amp;IFERROR(VALUE(MID(B1012,FIND("-",B1012)+1,9)),0),4))</f>
        <v/>
      </c>
      <c r="N1012" s="11" t="str">
        <f aca="false">IF(OR(B1012="",N(F1012)&lt;=0),"",IF('FALTAS POR DECK'!$P$1="Código","K"&amp;M1012&amp;RIGHT("00000"&amp;ROW(),5),IF('FALTAS POR DECK'!$P$1="Nome","K"&amp;UPPER(SUBSTITUTE(SUBSTITUTE(SUBSTITUTE(C1012,"*",""),"?",""),"~",""))&amp;"0"&amp;M1012&amp;RIGHT("00000"&amp;ROW(),5),IF('FALTAS POR DECK'!$P$1="Falta (maior primeiro)","K"&amp;RIGHT("0000"&amp;(9999-F1012),4)&amp;M1012&amp;RIGHT("00000"&amp;ROW(),5),IF('FALTAS POR DECK'!$P$1="Deck e código","K"&amp;RIGHT("00"&amp;IFERROR(MATCH(A1012,_LEITURA!$P$2:$P$21,0),99),2)&amp;M1012&amp;RIGHT("00000"&amp;ROW(),5),"K"&amp;RIGHT("00000"&amp;ROW(),5))))))</f>
        <v/>
      </c>
      <c r="O1012" s="16" t="str">
        <f aca="false">IF(N1012="","",COUNTIFS($N$2:$N$1201,"&lt;"&amp;N1012,$F$2:$F$1201,"&gt;0")+1)</f>
        <v/>
      </c>
    </row>
    <row r="1013" customFormat="false" ht="15" hidden="false" customHeight="false" outlineLevel="0" collapsed="false">
      <c r="A1013" s="11" t="str">
        <f aca="false">IF(_LEITURA!$N1013="","",INDEX(_LEITURA!$K$2:$K$1201,_LEITURA!$N1013))</f>
        <v/>
      </c>
      <c r="B1013" s="11" t="str">
        <f aca="false">IF(_LEITURA!$N1013="","",INDEX(_LEITURA!$E$2:$E$1201,_LEITURA!$N1013))</f>
        <v/>
      </c>
      <c r="C1013" s="11" t="str">
        <f aca="false">IF(_LEITURA!$N1013="","",INDEX(_LEITURA!$J$2:$J$1201,_LEITURA!$N1013))</f>
        <v/>
      </c>
      <c r="D1013" s="16" t="str">
        <f aca="false">IF(_LEITURA!$N1013="","",INDEX(_LEITURA!$G$2:$G$1201,_LEITURA!$N1013))</f>
        <v/>
      </c>
      <c r="E1013" s="16" t="str">
        <f aca="false">IF(B1013="","",SUMIFS(INVENTÁRIO!$C$2:$C$801,INVENTÁRIO!$A$2:$A$801,B1013))</f>
        <v/>
      </c>
      <c r="F1013" s="16" t="str">
        <f aca="false">IF(B1013="","",MAX(0,D1013-E1013))</f>
        <v/>
      </c>
      <c r="G1013" s="16" t="str">
        <f aca="false">IF(B1013="","",IF(COUNTIFS($B$2:$B$1201,B1013,$A$2:$A$1201,"&lt;&gt;"&amp;A1013)&gt;0,"Sim",""))</f>
        <v/>
      </c>
      <c r="H1013" s="16" t="str">
        <f aca="false">IF(N(F1013)&gt;0,MAX(H$1:H1012)+1,"")</f>
        <v/>
      </c>
      <c r="I1013" s="11" t="str">
        <f aca="false">IF(B1013="","",IF(INDEX($C$2:$C$1201,MATCH(B1013,$B$2:$B$1201,0))&lt;&gt;C1013,"Nome diferente em outro deck — revisar",""))</f>
        <v/>
      </c>
      <c r="J1013" s="16" t="str">
        <f aca="false">IF(AND(B1013&lt;&gt;"",A1013=BULK!$A$1,N(F1013)&gt;0),MAX(J$1:J1012)+1,"")</f>
        <v/>
      </c>
      <c r="K1013" s="11" t="str">
        <f aca="false">IF(B1013="","",IFERROR(LEFT(B1013,FIND("-",B1013)-1),B1013))</f>
        <v/>
      </c>
      <c r="L1013" s="11" t="str">
        <f aca="false">IF(K1013="","",IF(ISNUMBER(--MID(K1013,1,1)),0,IF(ISNUMBER(--MID(K1013,2,1)),1,IF(ISNUMBER(--MID(K1013,3,1)),2,IF(ISNUMBER(--MID(K1013,4,1)),3,MIN(LEN(K1013),4))))))</f>
        <v/>
      </c>
      <c r="M1013" s="11" t="str">
        <f aca="false">IF(B1013="","",LEFT(K1013,L1013)&amp;REPT("0",4-L1013)&amp;RIGHT("000"&amp;IFERROR(VALUE(MID(K1013,L1013+1,9)),0),3)&amp;RIGHT("0000"&amp;IFERROR(VALUE(MID(B1013,FIND("-",B1013)+1,9)),0),4))</f>
        <v/>
      </c>
      <c r="N1013" s="11" t="str">
        <f aca="false">IF(OR(B1013="",N(F1013)&lt;=0),"",IF('FALTAS POR DECK'!$P$1="Código","K"&amp;M1013&amp;RIGHT("00000"&amp;ROW(),5),IF('FALTAS POR DECK'!$P$1="Nome","K"&amp;UPPER(SUBSTITUTE(SUBSTITUTE(SUBSTITUTE(C1013,"*",""),"?",""),"~",""))&amp;"0"&amp;M1013&amp;RIGHT("00000"&amp;ROW(),5),IF('FALTAS POR DECK'!$P$1="Falta (maior primeiro)","K"&amp;RIGHT("0000"&amp;(9999-F1013),4)&amp;M1013&amp;RIGHT("00000"&amp;ROW(),5),IF('FALTAS POR DECK'!$P$1="Deck e código","K"&amp;RIGHT("00"&amp;IFERROR(MATCH(A1013,_LEITURA!$P$2:$P$21,0),99),2)&amp;M1013&amp;RIGHT("00000"&amp;ROW(),5),"K"&amp;RIGHT("00000"&amp;ROW(),5))))))</f>
        <v/>
      </c>
      <c r="O1013" s="16" t="str">
        <f aca="false">IF(N1013="","",COUNTIFS($N$2:$N$1201,"&lt;"&amp;N1013,$F$2:$F$1201,"&gt;0")+1)</f>
        <v/>
      </c>
    </row>
    <row r="1014" customFormat="false" ht="15" hidden="false" customHeight="false" outlineLevel="0" collapsed="false">
      <c r="A1014" s="11" t="str">
        <f aca="false">IF(_LEITURA!$N1014="","",INDEX(_LEITURA!$K$2:$K$1201,_LEITURA!$N1014))</f>
        <v/>
      </c>
      <c r="B1014" s="11" t="str">
        <f aca="false">IF(_LEITURA!$N1014="","",INDEX(_LEITURA!$E$2:$E$1201,_LEITURA!$N1014))</f>
        <v/>
      </c>
      <c r="C1014" s="11" t="str">
        <f aca="false">IF(_LEITURA!$N1014="","",INDEX(_LEITURA!$J$2:$J$1201,_LEITURA!$N1014))</f>
        <v/>
      </c>
      <c r="D1014" s="16" t="str">
        <f aca="false">IF(_LEITURA!$N1014="","",INDEX(_LEITURA!$G$2:$G$1201,_LEITURA!$N1014))</f>
        <v/>
      </c>
      <c r="E1014" s="16" t="str">
        <f aca="false">IF(B1014="","",SUMIFS(INVENTÁRIO!$C$2:$C$801,INVENTÁRIO!$A$2:$A$801,B1014))</f>
        <v/>
      </c>
      <c r="F1014" s="16" t="str">
        <f aca="false">IF(B1014="","",MAX(0,D1014-E1014))</f>
        <v/>
      </c>
      <c r="G1014" s="16" t="str">
        <f aca="false">IF(B1014="","",IF(COUNTIFS($B$2:$B$1201,B1014,$A$2:$A$1201,"&lt;&gt;"&amp;A1014)&gt;0,"Sim",""))</f>
        <v/>
      </c>
      <c r="H1014" s="16" t="str">
        <f aca="false">IF(N(F1014)&gt;0,MAX(H$1:H1013)+1,"")</f>
        <v/>
      </c>
      <c r="I1014" s="11" t="str">
        <f aca="false">IF(B1014="","",IF(INDEX($C$2:$C$1201,MATCH(B1014,$B$2:$B$1201,0))&lt;&gt;C1014,"Nome diferente em outro deck — revisar",""))</f>
        <v/>
      </c>
      <c r="J1014" s="16" t="str">
        <f aca="false">IF(AND(B1014&lt;&gt;"",A1014=BULK!$A$1,N(F1014)&gt;0),MAX(J$1:J1013)+1,"")</f>
        <v/>
      </c>
      <c r="K1014" s="11" t="str">
        <f aca="false">IF(B1014="","",IFERROR(LEFT(B1014,FIND("-",B1014)-1),B1014))</f>
        <v/>
      </c>
      <c r="L1014" s="11" t="str">
        <f aca="false">IF(K1014="","",IF(ISNUMBER(--MID(K1014,1,1)),0,IF(ISNUMBER(--MID(K1014,2,1)),1,IF(ISNUMBER(--MID(K1014,3,1)),2,IF(ISNUMBER(--MID(K1014,4,1)),3,MIN(LEN(K1014),4))))))</f>
        <v/>
      </c>
      <c r="M1014" s="11" t="str">
        <f aca="false">IF(B1014="","",LEFT(K1014,L1014)&amp;REPT("0",4-L1014)&amp;RIGHT("000"&amp;IFERROR(VALUE(MID(K1014,L1014+1,9)),0),3)&amp;RIGHT("0000"&amp;IFERROR(VALUE(MID(B1014,FIND("-",B1014)+1,9)),0),4))</f>
        <v/>
      </c>
      <c r="N1014" s="11" t="str">
        <f aca="false">IF(OR(B1014="",N(F1014)&lt;=0),"",IF('FALTAS POR DECK'!$P$1="Código","K"&amp;M1014&amp;RIGHT("00000"&amp;ROW(),5),IF('FALTAS POR DECK'!$P$1="Nome","K"&amp;UPPER(SUBSTITUTE(SUBSTITUTE(SUBSTITUTE(C1014,"*",""),"?",""),"~",""))&amp;"0"&amp;M1014&amp;RIGHT("00000"&amp;ROW(),5),IF('FALTAS POR DECK'!$P$1="Falta (maior primeiro)","K"&amp;RIGHT("0000"&amp;(9999-F1014),4)&amp;M1014&amp;RIGHT("00000"&amp;ROW(),5),IF('FALTAS POR DECK'!$P$1="Deck e código","K"&amp;RIGHT("00"&amp;IFERROR(MATCH(A1014,_LEITURA!$P$2:$P$21,0),99),2)&amp;M1014&amp;RIGHT("00000"&amp;ROW(),5),"K"&amp;RIGHT("00000"&amp;ROW(),5))))))</f>
        <v/>
      </c>
      <c r="O1014" s="16" t="str">
        <f aca="false">IF(N1014="","",COUNTIFS($N$2:$N$1201,"&lt;"&amp;N1014,$F$2:$F$1201,"&gt;0")+1)</f>
        <v/>
      </c>
    </row>
    <row r="1015" customFormat="false" ht="15" hidden="false" customHeight="false" outlineLevel="0" collapsed="false">
      <c r="A1015" s="11" t="str">
        <f aca="false">IF(_LEITURA!$N1015="","",INDEX(_LEITURA!$K$2:$K$1201,_LEITURA!$N1015))</f>
        <v/>
      </c>
      <c r="B1015" s="11" t="str">
        <f aca="false">IF(_LEITURA!$N1015="","",INDEX(_LEITURA!$E$2:$E$1201,_LEITURA!$N1015))</f>
        <v/>
      </c>
      <c r="C1015" s="11" t="str">
        <f aca="false">IF(_LEITURA!$N1015="","",INDEX(_LEITURA!$J$2:$J$1201,_LEITURA!$N1015))</f>
        <v/>
      </c>
      <c r="D1015" s="16" t="str">
        <f aca="false">IF(_LEITURA!$N1015="","",INDEX(_LEITURA!$G$2:$G$1201,_LEITURA!$N1015))</f>
        <v/>
      </c>
      <c r="E1015" s="16" t="str">
        <f aca="false">IF(B1015="","",SUMIFS(INVENTÁRIO!$C$2:$C$801,INVENTÁRIO!$A$2:$A$801,B1015))</f>
        <v/>
      </c>
      <c r="F1015" s="16" t="str">
        <f aca="false">IF(B1015="","",MAX(0,D1015-E1015))</f>
        <v/>
      </c>
      <c r="G1015" s="16" t="str">
        <f aca="false">IF(B1015="","",IF(COUNTIFS($B$2:$B$1201,B1015,$A$2:$A$1201,"&lt;&gt;"&amp;A1015)&gt;0,"Sim",""))</f>
        <v/>
      </c>
      <c r="H1015" s="16" t="str">
        <f aca="false">IF(N(F1015)&gt;0,MAX(H$1:H1014)+1,"")</f>
        <v/>
      </c>
      <c r="I1015" s="11" t="str">
        <f aca="false">IF(B1015="","",IF(INDEX($C$2:$C$1201,MATCH(B1015,$B$2:$B$1201,0))&lt;&gt;C1015,"Nome diferente em outro deck — revisar",""))</f>
        <v/>
      </c>
      <c r="J1015" s="16" t="str">
        <f aca="false">IF(AND(B1015&lt;&gt;"",A1015=BULK!$A$1,N(F1015)&gt;0),MAX(J$1:J1014)+1,"")</f>
        <v/>
      </c>
      <c r="K1015" s="11" t="str">
        <f aca="false">IF(B1015="","",IFERROR(LEFT(B1015,FIND("-",B1015)-1),B1015))</f>
        <v/>
      </c>
      <c r="L1015" s="11" t="str">
        <f aca="false">IF(K1015="","",IF(ISNUMBER(--MID(K1015,1,1)),0,IF(ISNUMBER(--MID(K1015,2,1)),1,IF(ISNUMBER(--MID(K1015,3,1)),2,IF(ISNUMBER(--MID(K1015,4,1)),3,MIN(LEN(K1015),4))))))</f>
        <v/>
      </c>
      <c r="M1015" s="11" t="str">
        <f aca="false">IF(B1015="","",LEFT(K1015,L1015)&amp;REPT("0",4-L1015)&amp;RIGHT("000"&amp;IFERROR(VALUE(MID(K1015,L1015+1,9)),0),3)&amp;RIGHT("0000"&amp;IFERROR(VALUE(MID(B1015,FIND("-",B1015)+1,9)),0),4))</f>
        <v/>
      </c>
      <c r="N1015" s="11" t="str">
        <f aca="false">IF(OR(B1015="",N(F1015)&lt;=0),"",IF('FALTAS POR DECK'!$P$1="Código","K"&amp;M1015&amp;RIGHT("00000"&amp;ROW(),5),IF('FALTAS POR DECK'!$P$1="Nome","K"&amp;UPPER(SUBSTITUTE(SUBSTITUTE(SUBSTITUTE(C1015,"*",""),"?",""),"~",""))&amp;"0"&amp;M1015&amp;RIGHT("00000"&amp;ROW(),5),IF('FALTAS POR DECK'!$P$1="Falta (maior primeiro)","K"&amp;RIGHT("0000"&amp;(9999-F1015),4)&amp;M1015&amp;RIGHT("00000"&amp;ROW(),5),IF('FALTAS POR DECK'!$P$1="Deck e código","K"&amp;RIGHT("00"&amp;IFERROR(MATCH(A1015,_LEITURA!$P$2:$P$21,0),99),2)&amp;M1015&amp;RIGHT("00000"&amp;ROW(),5),"K"&amp;RIGHT("00000"&amp;ROW(),5))))))</f>
        <v/>
      </c>
      <c r="O1015" s="16" t="str">
        <f aca="false">IF(N1015="","",COUNTIFS($N$2:$N$1201,"&lt;"&amp;N1015,$F$2:$F$1201,"&gt;0")+1)</f>
        <v/>
      </c>
    </row>
    <row r="1016" customFormat="false" ht="15" hidden="false" customHeight="false" outlineLevel="0" collapsed="false">
      <c r="A1016" s="11" t="str">
        <f aca="false">IF(_LEITURA!$N1016="","",INDEX(_LEITURA!$K$2:$K$1201,_LEITURA!$N1016))</f>
        <v/>
      </c>
      <c r="B1016" s="11" t="str">
        <f aca="false">IF(_LEITURA!$N1016="","",INDEX(_LEITURA!$E$2:$E$1201,_LEITURA!$N1016))</f>
        <v/>
      </c>
      <c r="C1016" s="11" t="str">
        <f aca="false">IF(_LEITURA!$N1016="","",INDEX(_LEITURA!$J$2:$J$1201,_LEITURA!$N1016))</f>
        <v/>
      </c>
      <c r="D1016" s="16" t="str">
        <f aca="false">IF(_LEITURA!$N1016="","",INDEX(_LEITURA!$G$2:$G$1201,_LEITURA!$N1016))</f>
        <v/>
      </c>
      <c r="E1016" s="16" t="str">
        <f aca="false">IF(B1016="","",SUMIFS(INVENTÁRIO!$C$2:$C$801,INVENTÁRIO!$A$2:$A$801,B1016))</f>
        <v/>
      </c>
      <c r="F1016" s="16" t="str">
        <f aca="false">IF(B1016="","",MAX(0,D1016-E1016))</f>
        <v/>
      </c>
      <c r="G1016" s="16" t="str">
        <f aca="false">IF(B1016="","",IF(COUNTIFS($B$2:$B$1201,B1016,$A$2:$A$1201,"&lt;&gt;"&amp;A1016)&gt;0,"Sim",""))</f>
        <v/>
      </c>
      <c r="H1016" s="16" t="str">
        <f aca="false">IF(N(F1016)&gt;0,MAX(H$1:H1015)+1,"")</f>
        <v/>
      </c>
      <c r="I1016" s="11" t="str">
        <f aca="false">IF(B1016="","",IF(INDEX($C$2:$C$1201,MATCH(B1016,$B$2:$B$1201,0))&lt;&gt;C1016,"Nome diferente em outro deck — revisar",""))</f>
        <v/>
      </c>
      <c r="J1016" s="16" t="str">
        <f aca="false">IF(AND(B1016&lt;&gt;"",A1016=BULK!$A$1,N(F1016)&gt;0),MAX(J$1:J1015)+1,"")</f>
        <v/>
      </c>
      <c r="K1016" s="11" t="str">
        <f aca="false">IF(B1016="","",IFERROR(LEFT(B1016,FIND("-",B1016)-1),B1016))</f>
        <v/>
      </c>
      <c r="L1016" s="11" t="str">
        <f aca="false">IF(K1016="","",IF(ISNUMBER(--MID(K1016,1,1)),0,IF(ISNUMBER(--MID(K1016,2,1)),1,IF(ISNUMBER(--MID(K1016,3,1)),2,IF(ISNUMBER(--MID(K1016,4,1)),3,MIN(LEN(K1016),4))))))</f>
        <v/>
      </c>
      <c r="M1016" s="11" t="str">
        <f aca="false">IF(B1016="","",LEFT(K1016,L1016)&amp;REPT("0",4-L1016)&amp;RIGHT("000"&amp;IFERROR(VALUE(MID(K1016,L1016+1,9)),0),3)&amp;RIGHT("0000"&amp;IFERROR(VALUE(MID(B1016,FIND("-",B1016)+1,9)),0),4))</f>
        <v/>
      </c>
      <c r="N1016" s="11" t="str">
        <f aca="false">IF(OR(B1016="",N(F1016)&lt;=0),"",IF('FALTAS POR DECK'!$P$1="Código","K"&amp;M1016&amp;RIGHT("00000"&amp;ROW(),5),IF('FALTAS POR DECK'!$P$1="Nome","K"&amp;UPPER(SUBSTITUTE(SUBSTITUTE(SUBSTITUTE(C1016,"*",""),"?",""),"~",""))&amp;"0"&amp;M1016&amp;RIGHT("00000"&amp;ROW(),5),IF('FALTAS POR DECK'!$P$1="Falta (maior primeiro)","K"&amp;RIGHT("0000"&amp;(9999-F1016),4)&amp;M1016&amp;RIGHT("00000"&amp;ROW(),5),IF('FALTAS POR DECK'!$P$1="Deck e código","K"&amp;RIGHT("00"&amp;IFERROR(MATCH(A1016,_LEITURA!$P$2:$P$21,0),99),2)&amp;M1016&amp;RIGHT("00000"&amp;ROW(),5),"K"&amp;RIGHT("00000"&amp;ROW(),5))))))</f>
        <v/>
      </c>
      <c r="O1016" s="16" t="str">
        <f aca="false">IF(N1016="","",COUNTIFS($N$2:$N$1201,"&lt;"&amp;N1016,$F$2:$F$1201,"&gt;0")+1)</f>
        <v/>
      </c>
    </row>
    <row r="1017" customFormat="false" ht="15" hidden="false" customHeight="false" outlineLevel="0" collapsed="false">
      <c r="A1017" s="11" t="str">
        <f aca="false">IF(_LEITURA!$N1017="","",INDEX(_LEITURA!$K$2:$K$1201,_LEITURA!$N1017))</f>
        <v/>
      </c>
      <c r="B1017" s="11" t="str">
        <f aca="false">IF(_LEITURA!$N1017="","",INDEX(_LEITURA!$E$2:$E$1201,_LEITURA!$N1017))</f>
        <v/>
      </c>
      <c r="C1017" s="11" t="str">
        <f aca="false">IF(_LEITURA!$N1017="","",INDEX(_LEITURA!$J$2:$J$1201,_LEITURA!$N1017))</f>
        <v/>
      </c>
      <c r="D1017" s="16" t="str">
        <f aca="false">IF(_LEITURA!$N1017="","",INDEX(_LEITURA!$G$2:$G$1201,_LEITURA!$N1017))</f>
        <v/>
      </c>
      <c r="E1017" s="16" t="str">
        <f aca="false">IF(B1017="","",SUMIFS(INVENTÁRIO!$C$2:$C$801,INVENTÁRIO!$A$2:$A$801,B1017))</f>
        <v/>
      </c>
      <c r="F1017" s="16" t="str">
        <f aca="false">IF(B1017="","",MAX(0,D1017-E1017))</f>
        <v/>
      </c>
      <c r="G1017" s="16" t="str">
        <f aca="false">IF(B1017="","",IF(COUNTIFS($B$2:$B$1201,B1017,$A$2:$A$1201,"&lt;&gt;"&amp;A1017)&gt;0,"Sim",""))</f>
        <v/>
      </c>
      <c r="H1017" s="16" t="str">
        <f aca="false">IF(N(F1017)&gt;0,MAX(H$1:H1016)+1,"")</f>
        <v/>
      </c>
      <c r="I1017" s="11" t="str">
        <f aca="false">IF(B1017="","",IF(INDEX($C$2:$C$1201,MATCH(B1017,$B$2:$B$1201,0))&lt;&gt;C1017,"Nome diferente em outro deck — revisar",""))</f>
        <v/>
      </c>
      <c r="J1017" s="16" t="str">
        <f aca="false">IF(AND(B1017&lt;&gt;"",A1017=BULK!$A$1,N(F1017)&gt;0),MAX(J$1:J1016)+1,"")</f>
        <v/>
      </c>
      <c r="K1017" s="11" t="str">
        <f aca="false">IF(B1017="","",IFERROR(LEFT(B1017,FIND("-",B1017)-1),B1017))</f>
        <v/>
      </c>
      <c r="L1017" s="11" t="str">
        <f aca="false">IF(K1017="","",IF(ISNUMBER(--MID(K1017,1,1)),0,IF(ISNUMBER(--MID(K1017,2,1)),1,IF(ISNUMBER(--MID(K1017,3,1)),2,IF(ISNUMBER(--MID(K1017,4,1)),3,MIN(LEN(K1017),4))))))</f>
        <v/>
      </c>
      <c r="M1017" s="11" t="str">
        <f aca="false">IF(B1017="","",LEFT(K1017,L1017)&amp;REPT("0",4-L1017)&amp;RIGHT("000"&amp;IFERROR(VALUE(MID(K1017,L1017+1,9)),0),3)&amp;RIGHT("0000"&amp;IFERROR(VALUE(MID(B1017,FIND("-",B1017)+1,9)),0),4))</f>
        <v/>
      </c>
      <c r="N1017" s="11" t="str">
        <f aca="false">IF(OR(B1017="",N(F1017)&lt;=0),"",IF('FALTAS POR DECK'!$P$1="Código","K"&amp;M1017&amp;RIGHT("00000"&amp;ROW(),5),IF('FALTAS POR DECK'!$P$1="Nome","K"&amp;UPPER(SUBSTITUTE(SUBSTITUTE(SUBSTITUTE(C1017,"*",""),"?",""),"~",""))&amp;"0"&amp;M1017&amp;RIGHT("00000"&amp;ROW(),5),IF('FALTAS POR DECK'!$P$1="Falta (maior primeiro)","K"&amp;RIGHT("0000"&amp;(9999-F1017),4)&amp;M1017&amp;RIGHT("00000"&amp;ROW(),5),IF('FALTAS POR DECK'!$P$1="Deck e código","K"&amp;RIGHT("00"&amp;IFERROR(MATCH(A1017,_LEITURA!$P$2:$P$21,0),99),2)&amp;M1017&amp;RIGHT("00000"&amp;ROW(),5),"K"&amp;RIGHT("00000"&amp;ROW(),5))))))</f>
        <v/>
      </c>
      <c r="O1017" s="16" t="str">
        <f aca="false">IF(N1017="","",COUNTIFS($N$2:$N$1201,"&lt;"&amp;N1017,$F$2:$F$1201,"&gt;0")+1)</f>
        <v/>
      </c>
    </row>
    <row r="1018" customFormat="false" ht="15" hidden="false" customHeight="false" outlineLevel="0" collapsed="false">
      <c r="A1018" s="11" t="str">
        <f aca="false">IF(_LEITURA!$N1018="","",INDEX(_LEITURA!$K$2:$K$1201,_LEITURA!$N1018))</f>
        <v/>
      </c>
      <c r="B1018" s="11" t="str">
        <f aca="false">IF(_LEITURA!$N1018="","",INDEX(_LEITURA!$E$2:$E$1201,_LEITURA!$N1018))</f>
        <v/>
      </c>
      <c r="C1018" s="11" t="str">
        <f aca="false">IF(_LEITURA!$N1018="","",INDEX(_LEITURA!$J$2:$J$1201,_LEITURA!$N1018))</f>
        <v/>
      </c>
      <c r="D1018" s="16" t="str">
        <f aca="false">IF(_LEITURA!$N1018="","",INDEX(_LEITURA!$G$2:$G$1201,_LEITURA!$N1018))</f>
        <v/>
      </c>
      <c r="E1018" s="16" t="str">
        <f aca="false">IF(B1018="","",SUMIFS(INVENTÁRIO!$C$2:$C$801,INVENTÁRIO!$A$2:$A$801,B1018))</f>
        <v/>
      </c>
      <c r="F1018" s="16" t="str">
        <f aca="false">IF(B1018="","",MAX(0,D1018-E1018))</f>
        <v/>
      </c>
      <c r="G1018" s="16" t="str">
        <f aca="false">IF(B1018="","",IF(COUNTIFS($B$2:$B$1201,B1018,$A$2:$A$1201,"&lt;&gt;"&amp;A1018)&gt;0,"Sim",""))</f>
        <v/>
      </c>
      <c r="H1018" s="16" t="str">
        <f aca="false">IF(N(F1018)&gt;0,MAX(H$1:H1017)+1,"")</f>
        <v/>
      </c>
      <c r="I1018" s="11" t="str">
        <f aca="false">IF(B1018="","",IF(INDEX($C$2:$C$1201,MATCH(B1018,$B$2:$B$1201,0))&lt;&gt;C1018,"Nome diferente em outro deck — revisar",""))</f>
        <v/>
      </c>
      <c r="J1018" s="16" t="str">
        <f aca="false">IF(AND(B1018&lt;&gt;"",A1018=BULK!$A$1,N(F1018)&gt;0),MAX(J$1:J1017)+1,"")</f>
        <v/>
      </c>
      <c r="K1018" s="11" t="str">
        <f aca="false">IF(B1018="","",IFERROR(LEFT(B1018,FIND("-",B1018)-1),B1018))</f>
        <v/>
      </c>
      <c r="L1018" s="11" t="str">
        <f aca="false">IF(K1018="","",IF(ISNUMBER(--MID(K1018,1,1)),0,IF(ISNUMBER(--MID(K1018,2,1)),1,IF(ISNUMBER(--MID(K1018,3,1)),2,IF(ISNUMBER(--MID(K1018,4,1)),3,MIN(LEN(K1018),4))))))</f>
        <v/>
      </c>
      <c r="M1018" s="11" t="str">
        <f aca="false">IF(B1018="","",LEFT(K1018,L1018)&amp;REPT("0",4-L1018)&amp;RIGHT("000"&amp;IFERROR(VALUE(MID(K1018,L1018+1,9)),0),3)&amp;RIGHT("0000"&amp;IFERROR(VALUE(MID(B1018,FIND("-",B1018)+1,9)),0),4))</f>
        <v/>
      </c>
      <c r="N1018" s="11" t="str">
        <f aca="false">IF(OR(B1018="",N(F1018)&lt;=0),"",IF('FALTAS POR DECK'!$P$1="Código","K"&amp;M1018&amp;RIGHT("00000"&amp;ROW(),5),IF('FALTAS POR DECK'!$P$1="Nome","K"&amp;UPPER(SUBSTITUTE(SUBSTITUTE(SUBSTITUTE(C1018,"*",""),"?",""),"~",""))&amp;"0"&amp;M1018&amp;RIGHT("00000"&amp;ROW(),5),IF('FALTAS POR DECK'!$P$1="Falta (maior primeiro)","K"&amp;RIGHT("0000"&amp;(9999-F1018),4)&amp;M1018&amp;RIGHT("00000"&amp;ROW(),5),IF('FALTAS POR DECK'!$P$1="Deck e código","K"&amp;RIGHT("00"&amp;IFERROR(MATCH(A1018,_LEITURA!$P$2:$P$21,0),99),2)&amp;M1018&amp;RIGHT("00000"&amp;ROW(),5),"K"&amp;RIGHT("00000"&amp;ROW(),5))))))</f>
        <v/>
      </c>
      <c r="O1018" s="16" t="str">
        <f aca="false">IF(N1018="","",COUNTIFS($N$2:$N$1201,"&lt;"&amp;N1018,$F$2:$F$1201,"&gt;0")+1)</f>
        <v/>
      </c>
    </row>
    <row r="1019" customFormat="false" ht="15" hidden="false" customHeight="false" outlineLevel="0" collapsed="false">
      <c r="A1019" s="11" t="str">
        <f aca="false">IF(_LEITURA!$N1019="","",INDEX(_LEITURA!$K$2:$K$1201,_LEITURA!$N1019))</f>
        <v/>
      </c>
      <c r="B1019" s="11" t="str">
        <f aca="false">IF(_LEITURA!$N1019="","",INDEX(_LEITURA!$E$2:$E$1201,_LEITURA!$N1019))</f>
        <v/>
      </c>
      <c r="C1019" s="11" t="str">
        <f aca="false">IF(_LEITURA!$N1019="","",INDEX(_LEITURA!$J$2:$J$1201,_LEITURA!$N1019))</f>
        <v/>
      </c>
      <c r="D1019" s="16" t="str">
        <f aca="false">IF(_LEITURA!$N1019="","",INDEX(_LEITURA!$G$2:$G$1201,_LEITURA!$N1019))</f>
        <v/>
      </c>
      <c r="E1019" s="16" t="str">
        <f aca="false">IF(B1019="","",SUMIFS(INVENTÁRIO!$C$2:$C$801,INVENTÁRIO!$A$2:$A$801,B1019))</f>
        <v/>
      </c>
      <c r="F1019" s="16" t="str">
        <f aca="false">IF(B1019="","",MAX(0,D1019-E1019))</f>
        <v/>
      </c>
      <c r="G1019" s="16" t="str">
        <f aca="false">IF(B1019="","",IF(COUNTIFS($B$2:$B$1201,B1019,$A$2:$A$1201,"&lt;&gt;"&amp;A1019)&gt;0,"Sim",""))</f>
        <v/>
      </c>
      <c r="H1019" s="16" t="str">
        <f aca="false">IF(N(F1019)&gt;0,MAX(H$1:H1018)+1,"")</f>
        <v/>
      </c>
      <c r="I1019" s="11" t="str">
        <f aca="false">IF(B1019="","",IF(INDEX($C$2:$C$1201,MATCH(B1019,$B$2:$B$1201,0))&lt;&gt;C1019,"Nome diferente em outro deck — revisar",""))</f>
        <v/>
      </c>
      <c r="J1019" s="16" t="str">
        <f aca="false">IF(AND(B1019&lt;&gt;"",A1019=BULK!$A$1,N(F1019)&gt;0),MAX(J$1:J1018)+1,"")</f>
        <v/>
      </c>
      <c r="K1019" s="11" t="str">
        <f aca="false">IF(B1019="","",IFERROR(LEFT(B1019,FIND("-",B1019)-1),B1019))</f>
        <v/>
      </c>
      <c r="L1019" s="11" t="str">
        <f aca="false">IF(K1019="","",IF(ISNUMBER(--MID(K1019,1,1)),0,IF(ISNUMBER(--MID(K1019,2,1)),1,IF(ISNUMBER(--MID(K1019,3,1)),2,IF(ISNUMBER(--MID(K1019,4,1)),3,MIN(LEN(K1019),4))))))</f>
        <v/>
      </c>
      <c r="M1019" s="11" t="str">
        <f aca="false">IF(B1019="","",LEFT(K1019,L1019)&amp;REPT("0",4-L1019)&amp;RIGHT("000"&amp;IFERROR(VALUE(MID(K1019,L1019+1,9)),0),3)&amp;RIGHT("0000"&amp;IFERROR(VALUE(MID(B1019,FIND("-",B1019)+1,9)),0),4))</f>
        <v/>
      </c>
      <c r="N1019" s="11" t="str">
        <f aca="false">IF(OR(B1019="",N(F1019)&lt;=0),"",IF('FALTAS POR DECK'!$P$1="Código","K"&amp;M1019&amp;RIGHT("00000"&amp;ROW(),5),IF('FALTAS POR DECK'!$P$1="Nome","K"&amp;UPPER(SUBSTITUTE(SUBSTITUTE(SUBSTITUTE(C1019,"*",""),"?",""),"~",""))&amp;"0"&amp;M1019&amp;RIGHT("00000"&amp;ROW(),5),IF('FALTAS POR DECK'!$P$1="Falta (maior primeiro)","K"&amp;RIGHT("0000"&amp;(9999-F1019),4)&amp;M1019&amp;RIGHT("00000"&amp;ROW(),5),IF('FALTAS POR DECK'!$P$1="Deck e código","K"&amp;RIGHT("00"&amp;IFERROR(MATCH(A1019,_LEITURA!$P$2:$P$21,0),99),2)&amp;M1019&amp;RIGHT("00000"&amp;ROW(),5),"K"&amp;RIGHT("00000"&amp;ROW(),5))))))</f>
        <v/>
      </c>
      <c r="O1019" s="16" t="str">
        <f aca="false">IF(N1019="","",COUNTIFS($N$2:$N$1201,"&lt;"&amp;N1019,$F$2:$F$1201,"&gt;0")+1)</f>
        <v/>
      </c>
    </row>
    <row r="1020" customFormat="false" ht="15" hidden="false" customHeight="false" outlineLevel="0" collapsed="false">
      <c r="A1020" s="11" t="str">
        <f aca="false">IF(_LEITURA!$N1020="","",INDEX(_LEITURA!$K$2:$K$1201,_LEITURA!$N1020))</f>
        <v/>
      </c>
      <c r="B1020" s="11" t="str">
        <f aca="false">IF(_LEITURA!$N1020="","",INDEX(_LEITURA!$E$2:$E$1201,_LEITURA!$N1020))</f>
        <v/>
      </c>
      <c r="C1020" s="11" t="str">
        <f aca="false">IF(_LEITURA!$N1020="","",INDEX(_LEITURA!$J$2:$J$1201,_LEITURA!$N1020))</f>
        <v/>
      </c>
      <c r="D1020" s="16" t="str">
        <f aca="false">IF(_LEITURA!$N1020="","",INDEX(_LEITURA!$G$2:$G$1201,_LEITURA!$N1020))</f>
        <v/>
      </c>
      <c r="E1020" s="16" t="str">
        <f aca="false">IF(B1020="","",SUMIFS(INVENTÁRIO!$C$2:$C$801,INVENTÁRIO!$A$2:$A$801,B1020))</f>
        <v/>
      </c>
      <c r="F1020" s="16" t="str">
        <f aca="false">IF(B1020="","",MAX(0,D1020-E1020))</f>
        <v/>
      </c>
      <c r="G1020" s="16" t="str">
        <f aca="false">IF(B1020="","",IF(COUNTIFS($B$2:$B$1201,B1020,$A$2:$A$1201,"&lt;&gt;"&amp;A1020)&gt;0,"Sim",""))</f>
        <v/>
      </c>
      <c r="H1020" s="16" t="str">
        <f aca="false">IF(N(F1020)&gt;0,MAX(H$1:H1019)+1,"")</f>
        <v/>
      </c>
      <c r="I1020" s="11" t="str">
        <f aca="false">IF(B1020="","",IF(INDEX($C$2:$C$1201,MATCH(B1020,$B$2:$B$1201,0))&lt;&gt;C1020,"Nome diferente em outro deck — revisar",""))</f>
        <v/>
      </c>
      <c r="J1020" s="16" t="str">
        <f aca="false">IF(AND(B1020&lt;&gt;"",A1020=BULK!$A$1,N(F1020)&gt;0),MAX(J$1:J1019)+1,"")</f>
        <v/>
      </c>
      <c r="K1020" s="11" t="str">
        <f aca="false">IF(B1020="","",IFERROR(LEFT(B1020,FIND("-",B1020)-1),B1020))</f>
        <v/>
      </c>
      <c r="L1020" s="11" t="str">
        <f aca="false">IF(K1020="","",IF(ISNUMBER(--MID(K1020,1,1)),0,IF(ISNUMBER(--MID(K1020,2,1)),1,IF(ISNUMBER(--MID(K1020,3,1)),2,IF(ISNUMBER(--MID(K1020,4,1)),3,MIN(LEN(K1020),4))))))</f>
        <v/>
      </c>
      <c r="M1020" s="11" t="str">
        <f aca="false">IF(B1020="","",LEFT(K1020,L1020)&amp;REPT("0",4-L1020)&amp;RIGHT("000"&amp;IFERROR(VALUE(MID(K1020,L1020+1,9)),0),3)&amp;RIGHT("0000"&amp;IFERROR(VALUE(MID(B1020,FIND("-",B1020)+1,9)),0),4))</f>
        <v/>
      </c>
      <c r="N1020" s="11" t="str">
        <f aca="false">IF(OR(B1020="",N(F1020)&lt;=0),"",IF('FALTAS POR DECK'!$P$1="Código","K"&amp;M1020&amp;RIGHT("00000"&amp;ROW(),5),IF('FALTAS POR DECK'!$P$1="Nome","K"&amp;UPPER(SUBSTITUTE(SUBSTITUTE(SUBSTITUTE(C1020,"*",""),"?",""),"~",""))&amp;"0"&amp;M1020&amp;RIGHT("00000"&amp;ROW(),5),IF('FALTAS POR DECK'!$P$1="Falta (maior primeiro)","K"&amp;RIGHT("0000"&amp;(9999-F1020),4)&amp;M1020&amp;RIGHT("00000"&amp;ROW(),5),IF('FALTAS POR DECK'!$P$1="Deck e código","K"&amp;RIGHT("00"&amp;IFERROR(MATCH(A1020,_LEITURA!$P$2:$P$21,0),99),2)&amp;M1020&amp;RIGHT("00000"&amp;ROW(),5),"K"&amp;RIGHT("00000"&amp;ROW(),5))))))</f>
        <v/>
      </c>
      <c r="O1020" s="16" t="str">
        <f aca="false">IF(N1020="","",COUNTIFS($N$2:$N$1201,"&lt;"&amp;N1020,$F$2:$F$1201,"&gt;0")+1)</f>
        <v/>
      </c>
    </row>
    <row r="1021" customFormat="false" ht="15" hidden="false" customHeight="false" outlineLevel="0" collapsed="false">
      <c r="A1021" s="11" t="str">
        <f aca="false">IF(_LEITURA!$N1021="","",INDEX(_LEITURA!$K$2:$K$1201,_LEITURA!$N1021))</f>
        <v/>
      </c>
      <c r="B1021" s="11" t="str">
        <f aca="false">IF(_LEITURA!$N1021="","",INDEX(_LEITURA!$E$2:$E$1201,_LEITURA!$N1021))</f>
        <v/>
      </c>
      <c r="C1021" s="11" t="str">
        <f aca="false">IF(_LEITURA!$N1021="","",INDEX(_LEITURA!$J$2:$J$1201,_LEITURA!$N1021))</f>
        <v/>
      </c>
      <c r="D1021" s="16" t="str">
        <f aca="false">IF(_LEITURA!$N1021="","",INDEX(_LEITURA!$G$2:$G$1201,_LEITURA!$N1021))</f>
        <v/>
      </c>
      <c r="E1021" s="16" t="str">
        <f aca="false">IF(B1021="","",SUMIFS(INVENTÁRIO!$C$2:$C$801,INVENTÁRIO!$A$2:$A$801,B1021))</f>
        <v/>
      </c>
      <c r="F1021" s="16" t="str">
        <f aca="false">IF(B1021="","",MAX(0,D1021-E1021))</f>
        <v/>
      </c>
      <c r="G1021" s="16" t="str">
        <f aca="false">IF(B1021="","",IF(COUNTIFS($B$2:$B$1201,B1021,$A$2:$A$1201,"&lt;&gt;"&amp;A1021)&gt;0,"Sim",""))</f>
        <v/>
      </c>
      <c r="H1021" s="16" t="str">
        <f aca="false">IF(N(F1021)&gt;0,MAX(H$1:H1020)+1,"")</f>
        <v/>
      </c>
      <c r="I1021" s="11" t="str">
        <f aca="false">IF(B1021="","",IF(INDEX($C$2:$C$1201,MATCH(B1021,$B$2:$B$1201,0))&lt;&gt;C1021,"Nome diferente em outro deck — revisar",""))</f>
        <v/>
      </c>
      <c r="J1021" s="16" t="str">
        <f aca="false">IF(AND(B1021&lt;&gt;"",A1021=BULK!$A$1,N(F1021)&gt;0),MAX(J$1:J1020)+1,"")</f>
        <v/>
      </c>
      <c r="K1021" s="11" t="str">
        <f aca="false">IF(B1021="","",IFERROR(LEFT(B1021,FIND("-",B1021)-1),B1021))</f>
        <v/>
      </c>
      <c r="L1021" s="11" t="str">
        <f aca="false">IF(K1021="","",IF(ISNUMBER(--MID(K1021,1,1)),0,IF(ISNUMBER(--MID(K1021,2,1)),1,IF(ISNUMBER(--MID(K1021,3,1)),2,IF(ISNUMBER(--MID(K1021,4,1)),3,MIN(LEN(K1021),4))))))</f>
        <v/>
      </c>
      <c r="M1021" s="11" t="str">
        <f aca="false">IF(B1021="","",LEFT(K1021,L1021)&amp;REPT("0",4-L1021)&amp;RIGHT("000"&amp;IFERROR(VALUE(MID(K1021,L1021+1,9)),0),3)&amp;RIGHT("0000"&amp;IFERROR(VALUE(MID(B1021,FIND("-",B1021)+1,9)),0),4))</f>
        <v/>
      </c>
      <c r="N1021" s="11" t="str">
        <f aca="false">IF(OR(B1021="",N(F1021)&lt;=0),"",IF('FALTAS POR DECK'!$P$1="Código","K"&amp;M1021&amp;RIGHT("00000"&amp;ROW(),5),IF('FALTAS POR DECK'!$P$1="Nome","K"&amp;UPPER(SUBSTITUTE(SUBSTITUTE(SUBSTITUTE(C1021,"*",""),"?",""),"~",""))&amp;"0"&amp;M1021&amp;RIGHT("00000"&amp;ROW(),5),IF('FALTAS POR DECK'!$P$1="Falta (maior primeiro)","K"&amp;RIGHT("0000"&amp;(9999-F1021),4)&amp;M1021&amp;RIGHT("00000"&amp;ROW(),5),IF('FALTAS POR DECK'!$P$1="Deck e código","K"&amp;RIGHT("00"&amp;IFERROR(MATCH(A1021,_LEITURA!$P$2:$P$21,0),99),2)&amp;M1021&amp;RIGHT("00000"&amp;ROW(),5),"K"&amp;RIGHT("00000"&amp;ROW(),5))))))</f>
        <v/>
      </c>
      <c r="O1021" s="16" t="str">
        <f aca="false">IF(N1021="","",COUNTIFS($N$2:$N$1201,"&lt;"&amp;N1021,$F$2:$F$1201,"&gt;0")+1)</f>
        <v/>
      </c>
    </row>
    <row r="1022" customFormat="false" ht="15" hidden="false" customHeight="false" outlineLevel="0" collapsed="false">
      <c r="A1022" s="11" t="str">
        <f aca="false">IF(_LEITURA!$N1022="","",INDEX(_LEITURA!$K$2:$K$1201,_LEITURA!$N1022))</f>
        <v/>
      </c>
      <c r="B1022" s="11" t="str">
        <f aca="false">IF(_LEITURA!$N1022="","",INDEX(_LEITURA!$E$2:$E$1201,_LEITURA!$N1022))</f>
        <v/>
      </c>
      <c r="C1022" s="11" t="str">
        <f aca="false">IF(_LEITURA!$N1022="","",INDEX(_LEITURA!$J$2:$J$1201,_LEITURA!$N1022))</f>
        <v/>
      </c>
      <c r="D1022" s="16" t="str">
        <f aca="false">IF(_LEITURA!$N1022="","",INDEX(_LEITURA!$G$2:$G$1201,_LEITURA!$N1022))</f>
        <v/>
      </c>
      <c r="E1022" s="16" t="str">
        <f aca="false">IF(B1022="","",SUMIFS(INVENTÁRIO!$C$2:$C$801,INVENTÁRIO!$A$2:$A$801,B1022))</f>
        <v/>
      </c>
      <c r="F1022" s="16" t="str">
        <f aca="false">IF(B1022="","",MAX(0,D1022-E1022))</f>
        <v/>
      </c>
      <c r="G1022" s="16" t="str">
        <f aca="false">IF(B1022="","",IF(COUNTIFS($B$2:$B$1201,B1022,$A$2:$A$1201,"&lt;&gt;"&amp;A1022)&gt;0,"Sim",""))</f>
        <v/>
      </c>
      <c r="H1022" s="16" t="str">
        <f aca="false">IF(N(F1022)&gt;0,MAX(H$1:H1021)+1,"")</f>
        <v/>
      </c>
      <c r="I1022" s="11" t="str">
        <f aca="false">IF(B1022="","",IF(INDEX($C$2:$C$1201,MATCH(B1022,$B$2:$B$1201,0))&lt;&gt;C1022,"Nome diferente em outro deck — revisar",""))</f>
        <v/>
      </c>
      <c r="J1022" s="16" t="str">
        <f aca="false">IF(AND(B1022&lt;&gt;"",A1022=BULK!$A$1,N(F1022)&gt;0),MAX(J$1:J1021)+1,"")</f>
        <v/>
      </c>
      <c r="K1022" s="11" t="str">
        <f aca="false">IF(B1022="","",IFERROR(LEFT(B1022,FIND("-",B1022)-1),B1022))</f>
        <v/>
      </c>
      <c r="L1022" s="11" t="str">
        <f aca="false">IF(K1022="","",IF(ISNUMBER(--MID(K1022,1,1)),0,IF(ISNUMBER(--MID(K1022,2,1)),1,IF(ISNUMBER(--MID(K1022,3,1)),2,IF(ISNUMBER(--MID(K1022,4,1)),3,MIN(LEN(K1022),4))))))</f>
        <v/>
      </c>
      <c r="M1022" s="11" t="str">
        <f aca="false">IF(B1022="","",LEFT(K1022,L1022)&amp;REPT("0",4-L1022)&amp;RIGHT("000"&amp;IFERROR(VALUE(MID(K1022,L1022+1,9)),0),3)&amp;RIGHT("0000"&amp;IFERROR(VALUE(MID(B1022,FIND("-",B1022)+1,9)),0),4))</f>
        <v/>
      </c>
      <c r="N1022" s="11" t="str">
        <f aca="false">IF(OR(B1022="",N(F1022)&lt;=0),"",IF('FALTAS POR DECK'!$P$1="Código","K"&amp;M1022&amp;RIGHT("00000"&amp;ROW(),5),IF('FALTAS POR DECK'!$P$1="Nome","K"&amp;UPPER(SUBSTITUTE(SUBSTITUTE(SUBSTITUTE(C1022,"*",""),"?",""),"~",""))&amp;"0"&amp;M1022&amp;RIGHT("00000"&amp;ROW(),5),IF('FALTAS POR DECK'!$P$1="Falta (maior primeiro)","K"&amp;RIGHT("0000"&amp;(9999-F1022),4)&amp;M1022&amp;RIGHT("00000"&amp;ROW(),5),IF('FALTAS POR DECK'!$P$1="Deck e código","K"&amp;RIGHT("00"&amp;IFERROR(MATCH(A1022,_LEITURA!$P$2:$P$21,0),99),2)&amp;M1022&amp;RIGHT("00000"&amp;ROW(),5),"K"&amp;RIGHT("00000"&amp;ROW(),5))))))</f>
        <v/>
      </c>
      <c r="O1022" s="16" t="str">
        <f aca="false">IF(N1022="","",COUNTIFS($N$2:$N$1201,"&lt;"&amp;N1022,$F$2:$F$1201,"&gt;0")+1)</f>
        <v/>
      </c>
    </row>
    <row r="1023" customFormat="false" ht="15" hidden="false" customHeight="false" outlineLevel="0" collapsed="false">
      <c r="A1023" s="11" t="str">
        <f aca="false">IF(_LEITURA!$N1023="","",INDEX(_LEITURA!$K$2:$K$1201,_LEITURA!$N1023))</f>
        <v/>
      </c>
      <c r="B1023" s="11" t="str">
        <f aca="false">IF(_LEITURA!$N1023="","",INDEX(_LEITURA!$E$2:$E$1201,_LEITURA!$N1023))</f>
        <v/>
      </c>
      <c r="C1023" s="11" t="str">
        <f aca="false">IF(_LEITURA!$N1023="","",INDEX(_LEITURA!$J$2:$J$1201,_LEITURA!$N1023))</f>
        <v/>
      </c>
      <c r="D1023" s="16" t="str">
        <f aca="false">IF(_LEITURA!$N1023="","",INDEX(_LEITURA!$G$2:$G$1201,_LEITURA!$N1023))</f>
        <v/>
      </c>
      <c r="E1023" s="16" t="str">
        <f aca="false">IF(B1023="","",SUMIFS(INVENTÁRIO!$C$2:$C$801,INVENTÁRIO!$A$2:$A$801,B1023))</f>
        <v/>
      </c>
      <c r="F1023" s="16" t="str">
        <f aca="false">IF(B1023="","",MAX(0,D1023-E1023))</f>
        <v/>
      </c>
      <c r="G1023" s="16" t="str">
        <f aca="false">IF(B1023="","",IF(COUNTIFS($B$2:$B$1201,B1023,$A$2:$A$1201,"&lt;&gt;"&amp;A1023)&gt;0,"Sim",""))</f>
        <v/>
      </c>
      <c r="H1023" s="16" t="str">
        <f aca="false">IF(N(F1023)&gt;0,MAX(H$1:H1022)+1,"")</f>
        <v/>
      </c>
      <c r="I1023" s="11" t="str">
        <f aca="false">IF(B1023="","",IF(INDEX($C$2:$C$1201,MATCH(B1023,$B$2:$B$1201,0))&lt;&gt;C1023,"Nome diferente em outro deck — revisar",""))</f>
        <v/>
      </c>
      <c r="J1023" s="16" t="str">
        <f aca="false">IF(AND(B1023&lt;&gt;"",A1023=BULK!$A$1,N(F1023)&gt;0),MAX(J$1:J1022)+1,"")</f>
        <v/>
      </c>
      <c r="K1023" s="11" t="str">
        <f aca="false">IF(B1023="","",IFERROR(LEFT(B1023,FIND("-",B1023)-1),B1023))</f>
        <v/>
      </c>
      <c r="L1023" s="11" t="str">
        <f aca="false">IF(K1023="","",IF(ISNUMBER(--MID(K1023,1,1)),0,IF(ISNUMBER(--MID(K1023,2,1)),1,IF(ISNUMBER(--MID(K1023,3,1)),2,IF(ISNUMBER(--MID(K1023,4,1)),3,MIN(LEN(K1023),4))))))</f>
        <v/>
      </c>
      <c r="M1023" s="11" t="str">
        <f aca="false">IF(B1023="","",LEFT(K1023,L1023)&amp;REPT("0",4-L1023)&amp;RIGHT("000"&amp;IFERROR(VALUE(MID(K1023,L1023+1,9)),0),3)&amp;RIGHT("0000"&amp;IFERROR(VALUE(MID(B1023,FIND("-",B1023)+1,9)),0),4))</f>
        <v/>
      </c>
      <c r="N1023" s="11" t="str">
        <f aca="false">IF(OR(B1023="",N(F1023)&lt;=0),"",IF('FALTAS POR DECK'!$P$1="Código","K"&amp;M1023&amp;RIGHT("00000"&amp;ROW(),5),IF('FALTAS POR DECK'!$P$1="Nome","K"&amp;UPPER(SUBSTITUTE(SUBSTITUTE(SUBSTITUTE(C1023,"*",""),"?",""),"~",""))&amp;"0"&amp;M1023&amp;RIGHT("00000"&amp;ROW(),5),IF('FALTAS POR DECK'!$P$1="Falta (maior primeiro)","K"&amp;RIGHT("0000"&amp;(9999-F1023),4)&amp;M1023&amp;RIGHT("00000"&amp;ROW(),5),IF('FALTAS POR DECK'!$P$1="Deck e código","K"&amp;RIGHT("00"&amp;IFERROR(MATCH(A1023,_LEITURA!$P$2:$P$21,0),99),2)&amp;M1023&amp;RIGHT("00000"&amp;ROW(),5),"K"&amp;RIGHT("00000"&amp;ROW(),5))))))</f>
        <v/>
      </c>
      <c r="O1023" s="16" t="str">
        <f aca="false">IF(N1023="","",COUNTIFS($N$2:$N$1201,"&lt;"&amp;N1023,$F$2:$F$1201,"&gt;0")+1)</f>
        <v/>
      </c>
    </row>
    <row r="1024" customFormat="false" ht="15" hidden="false" customHeight="false" outlineLevel="0" collapsed="false">
      <c r="A1024" s="11" t="str">
        <f aca="false">IF(_LEITURA!$N1024="","",INDEX(_LEITURA!$K$2:$K$1201,_LEITURA!$N1024))</f>
        <v/>
      </c>
      <c r="B1024" s="11" t="str">
        <f aca="false">IF(_LEITURA!$N1024="","",INDEX(_LEITURA!$E$2:$E$1201,_LEITURA!$N1024))</f>
        <v/>
      </c>
      <c r="C1024" s="11" t="str">
        <f aca="false">IF(_LEITURA!$N1024="","",INDEX(_LEITURA!$J$2:$J$1201,_LEITURA!$N1024))</f>
        <v/>
      </c>
      <c r="D1024" s="16" t="str">
        <f aca="false">IF(_LEITURA!$N1024="","",INDEX(_LEITURA!$G$2:$G$1201,_LEITURA!$N1024))</f>
        <v/>
      </c>
      <c r="E1024" s="16" t="str">
        <f aca="false">IF(B1024="","",SUMIFS(INVENTÁRIO!$C$2:$C$801,INVENTÁRIO!$A$2:$A$801,B1024))</f>
        <v/>
      </c>
      <c r="F1024" s="16" t="str">
        <f aca="false">IF(B1024="","",MAX(0,D1024-E1024))</f>
        <v/>
      </c>
      <c r="G1024" s="16" t="str">
        <f aca="false">IF(B1024="","",IF(COUNTIFS($B$2:$B$1201,B1024,$A$2:$A$1201,"&lt;&gt;"&amp;A1024)&gt;0,"Sim",""))</f>
        <v/>
      </c>
      <c r="H1024" s="16" t="str">
        <f aca="false">IF(N(F1024)&gt;0,MAX(H$1:H1023)+1,"")</f>
        <v/>
      </c>
      <c r="I1024" s="11" t="str">
        <f aca="false">IF(B1024="","",IF(INDEX($C$2:$C$1201,MATCH(B1024,$B$2:$B$1201,0))&lt;&gt;C1024,"Nome diferente em outro deck — revisar",""))</f>
        <v/>
      </c>
      <c r="J1024" s="16" t="str">
        <f aca="false">IF(AND(B1024&lt;&gt;"",A1024=BULK!$A$1,N(F1024)&gt;0),MAX(J$1:J1023)+1,"")</f>
        <v/>
      </c>
      <c r="K1024" s="11" t="str">
        <f aca="false">IF(B1024="","",IFERROR(LEFT(B1024,FIND("-",B1024)-1),B1024))</f>
        <v/>
      </c>
      <c r="L1024" s="11" t="str">
        <f aca="false">IF(K1024="","",IF(ISNUMBER(--MID(K1024,1,1)),0,IF(ISNUMBER(--MID(K1024,2,1)),1,IF(ISNUMBER(--MID(K1024,3,1)),2,IF(ISNUMBER(--MID(K1024,4,1)),3,MIN(LEN(K1024),4))))))</f>
        <v/>
      </c>
      <c r="M1024" s="11" t="str">
        <f aca="false">IF(B1024="","",LEFT(K1024,L1024)&amp;REPT("0",4-L1024)&amp;RIGHT("000"&amp;IFERROR(VALUE(MID(K1024,L1024+1,9)),0),3)&amp;RIGHT("0000"&amp;IFERROR(VALUE(MID(B1024,FIND("-",B1024)+1,9)),0),4))</f>
        <v/>
      </c>
      <c r="N1024" s="11" t="str">
        <f aca="false">IF(OR(B1024="",N(F1024)&lt;=0),"",IF('FALTAS POR DECK'!$P$1="Código","K"&amp;M1024&amp;RIGHT("00000"&amp;ROW(),5),IF('FALTAS POR DECK'!$P$1="Nome","K"&amp;UPPER(SUBSTITUTE(SUBSTITUTE(SUBSTITUTE(C1024,"*",""),"?",""),"~",""))&amp;"0"&amp;M1024&amp;RIGHT("00000"&amp;ROW(),5),IF('FALTAS POR DECK'!$P$1="Falta (maior primeiro)","K"&amp;RIGHT("0000"&amp;(9999-F1024),4)&amp;M1024&amp;RIGHT("00000"&amp;ROW(),5),IF('FALTAS POR DECK'!$P$1="Deck e código","K"&amp;RIGHT("00"&amp;IFERROR(MATCH(A1024,_LEITURA!$P$2:$P$21,0),99),2)&amp;M1024&amp;RIGHT("00000"&amp;ROW(),5),"K"&amp;RIGHT("00000"&amp;ROW(),5))))))</f>
        <v/>
      </c>
      <c r="O1024" s="16" t="str">
        <f aca="false">IF(N1024="","",COUNTIFS($N$2:$N$1201,"&lt;"&amp;N1024,$F$2:$F$1201,"&gt;0")+1)</f>
        <v/>
      </c>
    </row>
    <row r="1025" customFormat="false" ht="15" hidden="false" customHeight="false" outlineLevel="0" collapsed="false">
      <c r="A1025" s="11" t="str">
        <f aca="false">IF(_LEITURA!$N1025="","",INDEX(_LEITURA!$K$2:$K$1201,_LEITURA!$N1025))</f>
        <v/>
      </c>
      <c r="B1025" s="11" t="str">
        <f aca="false">IF(_LEITURA!$N1025="","",INDEX(_LEITURA!$E$2:$E$1201,_LEITURA!$N1025))</f>
        <v/>
      </c>
      <c r="C1025" s="11" t="str">
        <f aca="false">IF(_LEITURA!$N1025="","",INDEX(_LEITURA!$J$2:$J$1201,_LEITURA!$N1025))</f>
        <v/>
      </c>
      <c r="D1025" s="16" t="str">
        <f aca="false">IF(_LEITURA!$N1025="","",INDEX(_LEITURA!$G$2:$G$1201,_LEITURA!$N1025))</f>
        <v/>
      </c>
      <c r="E1025" s="16" t="str">
        <f aca="false">IF(B1025="","",SUMIFS(INVENTÁRIO!$C$2:$C$801,INVENTÁRIO!$A$2:$A$801,B1025))</f>
        <v/>
      </c>
      <c r="F1025" s="16" t="str">
        <f aca="false">IF(B1025="","",MAX(0,D1025-E1025))</f>
        <v/>
      </c>
      <c r="G1025" s="16" t="str">
        <f aca="false">IF(B1025="","",IF(COUNTIFS($B$2:$B$1201,B1025,$A$2:$A$1201,"&lt;&gt;"&amp;A1025)&gt;0,"Sim",""))</f>
        <v/>
      </c>
      <c r="H1025" s="16" t="str">
        <f aca="false">IF(N(F1025)&gt;0,MAX(H$1:H1024)+1,"")</f>
        <v/>
      </c>
      <c r="I1025" s="11" t="str">
        <f aca="false">IF(B1025="","",IF(INDEX($C$2:$C$1201,MATCH(B1025,$B$2:$B$1201,0))&lt;&gt;C1025,"Nome diferente em outro deck — revisar",""))</f>
        <v/>
      </c>
      <c r="J1025" s="16" t="str">
        <f aca="false">IF(AND(B1025&lt;&gt;"",A1025=BULK!$A$1,N(F1025)&gt;0),MAX(J$1:J1024)+1,"")</f>
        <v/>
      </c>
      <c r="K1025" s="11" t="str">
        <f aca="false">IF(B1025="","",IFERROR(LEFT(B1025,FIND("-",B1025)-1),B1025))</f>
        <v/>
      </c>
      <c r="L1025" s="11" t="str">
        <f aca="false">IF(K1025="","",IF(ISNUMBER(--MID(K1025,1,1)),0,IF(ISNUMBER(--MID(K1025,2,1)),1,IF(ISNUMBER(--MID(K1025,3,1)),2,IF(ISNUMBER(--MID(K1025,4,1)),3,MIN(LEN(K1025),4))))))</f>
        <v/>
      </c>
      <c r="M1025" s="11" t="str">
        <f aca="false">IF(B1025="","",LEFT(K1025,L1025)&amp;REPT("0",4-L1025)&amp;RIGHT("000"&amp;IFERROR(VALUE(MID(K1025,L1025+1,9)),0),3)&amp;RIGHT("0000"&amp;IFERROR(VALUE(MID(B1025,FIND("-",B1025)+1,9)),0),4))</f>
        <v/>
      </c>
      <c r="N1025" s="11" t="str">
        <f aca="false">IF(OR(B1025="",N(F1025)&lt;=0),"",IF('FALTAS POR DECK'!$P$1="Código","K"&amp;M1025&amp;RIGHT("00000"&amp;ROW(),5),IF('FALTAS POR DECK'!$P$1="Nome","K"&amp;UPPER(SUBSTITUTE(SUBSTITUTE(SUBSTITUTE(C1025,"*",""),"?",""),"~",""))&amp;"0"&amp;M1025&amp;RIGHT("00000"&amp;ROW(),5),IF('FALTAS POR DECK'!$P$1="Falta (maior primeiro)","K"&amp;RIGHT("0000"&amp;(9999-F1025),4)&amp;M1025&amp;RIGHT("00000"&amp;ROW(),5),IF('FALTAS POR DECK'!$P$1="Deck e código","K"&amp;RIGHT("00"&amp;IFERROR(MATCH(A1025,_LEITURA!$P$2:$P$21,0),99),2)&amp;M1025&amp;RIGHT("00000"&amp;ROW(),5),"K"&amp;RIGHT("00000"&amp;ROW(),5))))))</f>
        <v/>
      </c>
      <c r="O1025" s="16" t="str">
        <f aca="false">IF(N1025="","",COUNTIFS($N$2:$N$1201,"&lt;"&amp;N1025,$F$2:$F$1201,"&gt;0")+1)</f>
        <v/>
      </c>
    </row>
    <row r="1026" customFormat="false" ht="15" hidden="false" customHeight="false" outlineLevel="0" collapsed="false">
      <c r="A1026" s="11" t="str">
        <f aca="false">IF(_LEITURA!$N1026="","",INDEX(_LEITURA!$K$2:$K$1201,_LEITURA!$N1026))</f>
        <v/>
      </c>
      <c r="B1026" s="11" t="str">
        <f aca="false">IF(_LEITURA!$N1026="","",INDEX(_LEITURA!$E$2:$E$1201,_LEITURA!$N1026))</f>
        <v/>
      </c>
      <c r="C1026" s="11" t="str">
        <f aca="false">IF(_LEITURA!$N1026="","",INDEX(_LEITURA!$J$2:$J$1201,_LEITURA!$N1026))</f>
        <v/>
      </c>
      <c r="D1026" s="16" t="str">
        <f aca="false">IF(_LEITURA!$N1026="","",INDEX(_LEITURA!$G$2:$G$1201,_LEITURA!$N1026))</f>
        <v/>
      </c>
      <c r="E1026" s="16" t="str">
        <f aca="false">IF(B1026="","",SUMIFS(INVENTÁRIO!$C$2:$C$801,INVENTÁRIO!$A$2:$A$801,B1026))</f>
        <v/>
      </c>
      <c r="F1026" s="16" t="str">
        <f aca="false">IF(B1026="","",MAX(0,D1026-E1026))</f>
        <v/>
      </c>
      <c r="G1026" s="16" t="str">
        <f aca="false">IF(B1026="","",IF(COUNTIFS($B$2:$B$1201,B1026,$A$2:$A$1201,"&lt;&gt;"&amp;A1026)&gt;0,"Sim",""))</f>
        <v/>
      </c>
      <c r="H1026" s="16" t="str">
        <f aca="false">IF(N(F1026)&gt;0,MAX(H$1:H1025)+1,"")</f>
        <v/>
      </c>
      <c r="I1026" s="11" t="str">
        <f aca="false">IF(B1026="","",IF(INDEX($C$2:$C$1201,MATCH(B1026,$B$2:$B$1201,0))&lt;&gt;C1026,"Nome diferente em outro deck — revisar",""))</f>
        <v/>
      </c>
      <c r="J1026" s="16" t="str">
        <f aca="false">IF(AND(B1026&lt;&gt;"",A1026=BULK!$A$1,N(F1026)&gt;0),MAX(J$1:J1025)+1,"")</f>
        <v/>
      </c>
      <c r="K1026" s="11" t="str">
        <f aca="false">IF(B1026="","",IFERROR(LEFT(B1026,FIND("-",B1026)-1),B1026))</f>
        <v/>
      </c>
      <c r="L1026" s="11" t="str">
        <f aca="false">IF(K1026="","",IF(ISNUMBER(--MID(K1026,1,1)),0,IF(ISNUMBER(--MID(K1026,2,1)),1,IF(ISNUMBER(--MID(K1026,3,1)),2,IF(ISNUMBER(--MID(K1026,4,1)),3,MIN(LEN(K1026),4))))))</f>
        <v/>
      </c>
      <c r="M1026" s="11" t="str">
        <f aca="false">IF(B1026="","",LEFT(K1026,L1026)&amp;REPT("0",4-L1026)&amp;RIGHT("000"&amp;IFERROR(VALUE(MID(K1026,L1026+1,9)),0),3)&amp;RIGHT("0000"&amp;IFERROR(VALUE(MID(B1026,FIND("-",B1026)+1,9)),0),4))</f>
        <v/>
      </c>
      <c r="N1026" s="11" t="str">
        <f aca="false">IF(OR(B1026="",N(F1026)&lt;=0),"",IF('FALTAS POR DECK'!$P$1="Código","K"&amp;M1026&amp;RIGHT("00000"&amp;ROW(),5),IF('FALTAS POR DECK'!$P$1="Nome","K"&amp;UPPER(SUBSTITUTE(SUBSTITUTE(SUBSTITUTE(C1026,"*",""),"?",""),"~",""))&amp;"0"&amp;M1026&amp;RIGHT("00000"&amp;ROW(),5),IF('FALTAS POR DECK'!$P$1="Falta (maior primeiro)","K"&amp;RIGHT("0000"&amp;(9999-F1026),4)&amp;M1026&amp;RIGHT("00000"&amp;ROW(),5),IF('FALTAS POR DECK'!$P$1="Deck e código","K"&amp;RIGHT("00"&amp;IFERROR(MATCH(A1026,_LEITURA!$P$2:$P$21,0),99),2)&amp;M1026&amp;RIGHT("00000"&amp;ROW(),5),"K"&amp;RIGHT("00000"&amp;ROW(),5))))))</f>
        <v/>
      </c>
      <c r="O1026" s="16" t="str">
        <f aca="false">IF(N1026="","",COUNTIFS($N$2:$N$1201,"&lt;"&amp;N1026,$F$2:$F$1201,"&gt;0")+1)</f>
        <v/>
      </c>
    </row>
    <row r="1027" customFormat="false" ht="15" hidden="false" customHeight="false" outlineLevel="0" collapsed="false">
      <c r="A1027" s="11" t="str">
        <f aca="false">IF(_LEITURA!$N1027="","",INDEX(_LEITURA!$K$2:$K$1201,_LEITURA!$N1027))</f>
        <v/>
      </c>
      <c r="B1027" s="11" t="str">
        <f aca="false">IF(_LEITURA!$N1027="","",INDEX(_LEITURA!$E$2:$E$1201,_LEITURA!$N1027))</f>
        <v/>
      </c>
      <c r="C1027" s="11" t="str">
        <f aca="false">IF(_LEITURA!$N1027="","",INDEX(_LEITURA!$J$2:$J$1201,_LEITURA!$N1027))</f>
        <v/>
      </c>
      <c r="D1027" s="16" t="str">
        <f aca="false">IF(_LEITURA!$N1027="","",INDEX(_LEITURA!$G$2:$G$1201,_LEITURA!$N1027))</f>
        <v/>
      </c>
      <c r="E1027" s="16" t="str">
        <f aca="false">IF(B1027="","",SUMIFS(INVENTÁRIO!$C$2:$C$801,INVENTÁRIO!$A$2:$A$801,B1027))</f>
        <v/>
      </c>
      <c r="F1027" s="16" t="str">
        <f aca="false">IF(B1027="","",MAX(0,D1027-E1027))</f>
        <v/>
      </c>
      <c r="G1027" s="16" t="str">
        <f aca="false">IF(B1027="","",IF(COUNTIFS($B$2:$B$1201,B1027,$A$2:$A$1201,"&lt;&gt;"&amp;A1027)&gt;0,"Sim",""))</f>
        <v/>
      </c>
      <c r="H1027" s="16" t="str">
        <f aca="false">IF(N(F1027)&gt;0,MAX(H$1:H1026)+1,"")</f>
        <v/>
      </c>
      <c r="I1027" s="11" t="str">
        <f aca="false">IF(B1027="","",IF(INDEX($C$2:$C$1201,MATCH(B1027,$B$2:$B$1201,0))&lt;&gt;C1027,"Nome diferente em outro deck — revisar",""))</f>
        <v/>
      </c>
      <c r="J1027" s="16" t="str">
        <f aca="false">IF(AND(B1027&lt;&gt;"",A1027=BULK!$A$1,N(F1027)&gt;0),MAX(J$1:J1026)+1,"")</f>
        <v/>
      </c>
      <c r="K1027" s="11" t="str">
        <f aca="false">IF(B1027="","",IFERROR(LEFT(B1027,FIND("-",B1027)-1),B1027))</f>
        <v/>
      </c>
      <c r="L1027" s="11" t="str">
        <f aca="false">IF(K1027="","",IF(ISNUMBER(--MID(K1027,1,1)),0,IF(ISNUMBER(--MID(K1027,2,1)),1,IF(ISNUMBER(--MID(K1027,3,1)),2,IF(ISNUMBER(--MID(K1027,4,1)),3,MIN(LEN(K1027),4))))))</f>
        <v/>
      </c>
      <c r="M1027" s="11" t="str">
        <f aca="false">IF(B1027="","",LEFT(K1027,L1027)&amp;REPT("0",4-L1027)&amp;RIGHT("000"&amp;IFERROR(VALUE(MID(K1027,L1027+1,9)),0),3)&amp;RIGHT("0000"&amp;IFERROR(VALUE(MID(B1027,FIND("-",B1027)+1,9)),0),4))</f>
        <v/>
      </c>
      <c r="N1027" s="11" t="str">
        <f aca="false">IF(OR(B1027="",N(F1027)&lt;=0),"",IF('FALTAS POR DECK'!$P$1="Código","K"&amp;M1027&amp;RIGHT("00000"&amp;ROW(),5),IF('FALTAS POR DECK'!$P$1="Nome","K"&amp;UPPER(SUBSTITUTE(SUBSTITUTE(SUBSTITUTE(C1027,"*",""),"?",""),"~",""))&amp;"0"&amp;M1027&amp;RIGHT("00000"&amp;ROW(),5),IF('FALTAS POR DECK'!$P$1="Falta (maior primeiro)","K"&amp;RIGHT("0000"&amp;(9999-F1027),4)&amp;M1027&amp;RIGHT("00000"&amp;ROW(),5),IF('FALTAS POR DECK'!$P$1="Deck e código","K"&amp;RIGHT("00"&amp;IFERROR(MATCH(A1027,_LEITURA!$P$2:$P$21,0),99),2)&amp;M1027&amp;RIGHT("00000"&amp;ROW(),5),"K"&amp;RIGHT("00000"&amp;ROW(),5))))))</f>
        <v/>
      </c>
      <c r="O1027" s="16" t="str">
        <f aca="false">IF(N1027="","",COUNTIFS($N$2:$N$1201,"&lt;"&amp;N1027,$F$2:$F$1201,"&gt;0")+1)</f>
        <v/>
      </c>
    </row>
    <row r="1028" customFormat="false" ht="15" hidden="false" customHeight="false" outlineLevel="0" collapsed="false">
      <c r="A1028" s="11" t="str">
        <f aca="false">IF(_LEITURA!$N1028="","",INDEX(_LEITURA!$K$2:$K$1201,_LEITURA!$N1028))</f>
        <v/>
      </c>
      <c r="B1028" s="11" t="str">
        <f aca="false">IF(_LEITURA!$N1028="","",INDEX(_LEITURA!$E$2:$E$1201,_LEITURA!$N1028))</f>
        <v/>
      </c>
      <c r="C1028" s="11" t="str">
        <f aca="false">IF(_LEITURA!$N1028="","",INDEX(_LEITURA!$J$2:$J$1201,_LEITURA!$N1028))</f>
        <v/>
      </c>
      <c r="D1028" s="16" t="str">
        <f aca="false">IF(_LEITURA!$N1028="","",INDEX(_LEITURA!$G$2:$G$1201,_LEITURA!$N1028))</f>
        <v/>
      </c>
      <c r="E1028" s="16" t="str">
        <f aca="false">IF(B1028="","",SUMIFS(INVENTÁRIO!$C$2:$C$801,INVENTÁRIO!$A$2:$A$801,B1028))</f>
        <v/>
      </c>
      <c r="F1028" s="16" t="str">
        <f aca="false">IF(B1028="","",MAX(0,D1028-E1028))</f>
        <v/>
      </c>
      <c r="G1028" s="16" t="str">
        <f aca="false">IF(B1028="","",IF(COUNTIFS($B$2:$B$1201,B1028,$A$2:$A$1201,"&lt;&gt;"&amp;A1028)&gt;0,"Sim",""))</f>
        <v/>
      </c>
      <c r="H1028" s="16" t="str">
        <f aca="false">IF(N(F1028)&gt;0,MAX(H$1:H1027)+1,"")</f>
        <v/>
      </c>
      <c r="I1028" s="11" t="str">
        <f aca="false">IF(B1028="","",IF(INDEX($C$2:$C$1201,MATCH(B1028,$B$2:$B$1201,0))&lt;&gt;C1028,"Nome diferente em outro deck — revisar",""))</f>
        <v/>
      </c>
      <c r="J1028" s="16" t="str">
        <f aca="false">IF(AND(B1028&lt;&gt;"",A1028=BULK!$A$1,N(F1028)&gt;0),MAX(J$1:J1027)+1,"")</f>
        <v/>
      </c>
      <c r="K1028" s="11" t="str">
        <f aca="false">IF(B1028="","",IFERROR(LEFT(B1028,FIND("-",B1028)-1),B1028))</f>
        <v/>
      </c>
      <c r="L1028" s="11" t="str">
        <f aca="false">IF(K1028="","",IF(ISNUMBER(--MID(K1028,1,1)),0,IF(ISNUMBER(--MID(K1028,2,1)),1,IF(ISNUMBER(--MID(K1028,3,1)),2,IF(ISNUMBER(--MID(K1028,4,1)),3,MIN(LEN(K1028),4))))))</f>
        <v/>
      </c>
      <c r="M1028" s="11" t="str">
        <f aca="false">IF(B1028="","",LEFT(K1028,L1028)&amp;REPT("0",4-L1028)&amp;RIGHT("000"&amp;IFERROR(VALUE(MID(K1028,L1028+1,9)),0),3)&amp;RIGHT("0000"&amp;IFERROR(VALUE(MID(B1028,FIND("-",B1028)+1,9)),0),4))</f>
        <v/>
      </c>
      <c r="N1028" s="11" t="str">
        <f aca="false">IF(OR(B1028="",N(F1028)&lt;=0),"",IF('FALTAS POR DECK'!$P$1="Código","K"&amp;M1028&amp;RIGHT("00000"&amp;ROW(),5),IF('FALTAS POR DECK'!$P$1="Nome","K"&amp;UPPER(SUBSTITUTE(SUBSTITUTE(SUBSTITUTE(C1028,"*",""),"?",""),"~",""))&amp;"0"&amp;M1028&amp;RIGHT("00000"&amp;ROW(),5),IF('FALTAS POR DECK'!$P$1="Falta (maior primeiro)","K"&amp;RIGHT("0000"&amp;(9999-F1028),4)&amp;M1028&amp;RIGHT("00000"&amp;ROW(),5),IF('FALTAS POR DECK'!$P$1="Deck e código","K"&amp;RIGHT("00"&amp;IFERROR(MATCH(A1028,_LEITURA!$P$2:$P$21,0),99),2)&amp;M1028&amp;RIGHT("00000"&amp;ROW(),5),"K"&amp;RIGHT("00000"&amp;ROW(),5))))))</f>
        <v/>
      </c>
      <c r="O1028" s="16" t="str">
        <f aca="false">IF(N1028="","",COUNTIFS($N$2:$N$1201,"&lt;"&amp;N1028,$F$2:$F$1201,"&gt;0")+1)</f>
        <v/>
      </c>
    </row>
    <row r="1029" customFormat="false" ht="15" hidden="false" customHeight="false" outlineLevel="0" collapsed="false">
      <c r="A1029" s="11" t="str">
        <f aca="false">IF(_LEITURA!$N1029="","",INDEX(_LEITURA!$K$2:$K$1201,_LEITURA!$N1029))</f>
        <v/>
      </c>
      <c r="B1029" s="11" t="str">
        <f aca="false">IF(_LEITURA!$N1029="","",INDEX(_LEITURA!$E$2:$E$1201,_LEITURA!$N1029))</f>
        <v/>
      </c>
      <c r="C1029" s="11" t="str">
        <f aca="false">IF(_LEITURA!$N1029="","",INDEX(_LEITURA!$J$2:$J$1201,_LEITURA!$N1029))</f>
        <v/>
      </c>
      <c r="D1029" s="16" t="str">
        <f aca="false">IF(_LEITURA!$N1029="","",INDEX(_LEITURA!$G$2:$G$1201,_LEITURA!$N1029))</f>
        <v/>
      </c>
      <c r="E1029" s="16" t="str">
        <f aca="false">IF(B1029="","",SUMIFS(INVENTÁRIO!$C$2:$C$801,INVENTÁRIO!$A$2:$A$801,B1029))</f>
        <v/>
      </c>
      <c r="F1029" s="16" t="str">
        <f aca="false">IF(B1029="","",MAX(0,D1029-E1029))</f>
        <v/>
      </c>
      <c r="G1029" s="16" t="str">
        <f aca="false">IF(B1029="","",IF(COUNTIFS($B$2:$B$1201,B1029,$A$2:$A$1201,"&lt;&gt;"&amp;A1029)&gt;0,"Sim",""))</f>
        <v/>
      </c>
      <c r="H1029" s="16" t="str">
        <f aca="false">IF(N(F1029)&gt;0,MAX(H$1:H1028)+1,"")</f>
        <v/>
      </c>
      <c r="I1029" s="11" t="str">
        <f aca="false">IF(B1029="","",IF(INDEX($C$2:$C$1201,MATCH(B1029,$B$2:$B$1201,0))&lt;&gt;C1029,"Nome diferente em outro deck — revisar",""))</f>
        <v/>
      </c>
      <c r="J1029" s="16" t="str">
        <f aca="false">IF(AND(B1029&lt;&gt;"",A1029=BULK!$A$1,N(F1029)&gt;0),MAX(J$1:J1028)+1,"")</f>
        <v/>
      </c>
      <c r="K1029" s="11" t="str">
        <f aca="false">IF(B1029="","",IFERROR(LEFT(B1029,FIND("-",B1029)-1),B1029))</f>
        <v/>
      </c>
      <c r="L1029" s="11" t="str">
        <f aca="false">IF(K1029="","",IF(ISNUMBER(--MID(K1029,1,1)),0,IF(ISNUMBER(--MID(K1029,2,1)),1,IF(ISNUMBER(--MID(K1029,3,1)),2,IF(ISNUMBER(--MID(K1029,4,1)),3,MIN(LEN(K1029),4))))))</f>
        <v/>
      </c>
      <c r="M1029" s="11" t="str">
        <f aca="false">IF(B1029="","",LEFT(K1029,L1029)&amp;REPT("0",4-L1029)&amp;RIGHT("000"&amp;IFERROR(VALUE(MID(K1029,L1029+1,9)),0),3)&amp;RIGHT("0000"&amp;IFERROR(VALUE(MID(B1029,FIND("-",B1029)+1,9)),0),4))</f>
        <v/>
      </c>
      <c r="N1029" s="11" t="str">
        <f aca="false">IF(OR(B1029="",N(F1029)&lt;=0),"",IF('FALTAS POR DECK'!$P$1="Código","K"&amp;M1029&amp;RIGHT("00000"&amp;ROW(),5),IF('FALTAS POR DECK'!$P$1="Nome","K"&amp;UPPER(SUBSTITUTE(SUBSTITUTE(SUBSTITUTE(C1029,"*",""),"?",""),"~",""))&amp;"0"&amp;M1029&amp;RIGHT("00000"&amp;ROW(),5),IF('FALTAS POR DECK'!$P$1="Falta (maior primeiro)","K"&amp;RIGHT("0000"&amp;(9999-F1029),4)&amp;M1029&amp;RIGHT("00000"&amp;ROW(),5),IF('FALTAS POR DECK'!$P$1="Deck e código","K"&amp;RIGHT("00"&amp;IFERROR(MATCH(A1029,_LEITURA!$P$2:$P$21,0),99),2)&amp;M1029&amp;RIGHT("00000"&amp;ROW(),5),"K"&amp;RIGHT("00000"&amp;ROW(),5))))))</f>
        <v/>
      </c>
      <c r="O1029" s="16" t="str">
        <f aca="false">IF(N1029="","",COUNTIFS($N$2:$N$1201,"&lt;"&amp;N1029,$F$2:$F$1201,"&gt;0")+1)</f>
        <v/>
      </c>
    </row>
    <row r="1030" customFormat="false" ht="15" hidden="false" customHeight="false" outlineLevel="0" collapsed="false">
      <c r="A1030" s="11" t="str">
        <f aca="false">IF(_LEITURA!$N1030="","",INDEX(_LEITURA!$K$2:$K$1201,_LEITURA!$N1030))</f>
        <v/>
      </c>
      <c r="B1030" s="11" t="str">
        <f aca="false">IF(_LEITURA!$N1030="","",INDEX(_LEITURA!$E$2:$E$1201,_LEITURA!$N1030))</f>
        <v/>
      </c>
      <c r="C1030" s="11" t="str">
        <f aca="false">IF(_LEITURA!$N1030="","",INDEX(_LEITURA!$J$2:$J$1201,_LEITURA!$N1030))</f>
        <v/>
      </c>
      <c r="D1030" s="16" t="str">
        <f aca="false">IF(_LEITURA!$N1030="","",INDEX(_LEITURA!$G$2:$G$1201,_LEITURA!$N1030))</f>
        <v/>
      </c>
      <c r="E1030" s="16" t="str">
        <f aca="false">IF(B1030="","",SUMIFS(INVENTÁRIO!$C$2:$C$801,INVENTÁRIO!$A$2:$A$801,B1030))</f>
        <v/>
      </c>
      <c r="F1030" s="16" t="str">
        <f aca="false">IF(B1030="","",MAX(0,D1030-E1030))</f>
        <v/>
      </c>
      <c r="G1030" s="16" t="str">
        <f aca="false">IF(B1030="","",IF(COUNTIFS($B$2:$B$1201,B1030,$A$2:$A$1201,"&lt;&gt;"&amp;A1030)&gt;0,"Sim",""))</f>
        <v/>
      </c>
      <c r="H1030" s="16" t="str">
        <f aca="false">IF(N(F1030)&gt;0,MAX(H$1:H1029)+1,"")</f>
        <v/>
      </c>
      <c r="I1030" s="11" t="str">
        <f aca="false">IF(B1030="","",IF(INDEX($C$2:$C$1201,MATCH(B1030,$B$2:$B$1201,0))&lt;&gt;C1030,"Nome diferente em outro deck — revisar",""))</f>
        <v/>
      </c>
      <c r="J1030" s="16" t="str">
        <f aca="false">IF(AND(B1030&lt;&gt;"",A1030=BULK!$A$1,N(F1030)&gt;0),MAX(J$1:J1029)+1,"")</f>
        <v/>
      </c>
      <c r="K1030" s="11" t="str">
        <f aca="false">IF(B1030="","",IFERROR(LEFT(B1030,FIND("-",B1030)-1),B1030))</f>
        <v/>
      </c>
      <c r="L1030" s="11" t="str">
        <f aca="false">IF(K1030="","",IF(ISNUMBER(--MID(K1030,1,1)),0,IF(ISNUMBER(--MID(K1030,2,1)),1,IF(ISNUMBER(--MID(K1030,3,1)),2,IF(ISNUMBER(--MID(K1030,4,1)),3,MIN(LEN(K1030),4))))))</f>
        <v/>
      </c>
      <c r="M1030" s="11" t="str">
        <f aca="false">IF(B1030="","",LEFT(K1030,L1030)&amp;REPT("0",4-L1030)&amp;RIGHT("000"&amp;IFERROR(VALUE(MID(K1030,L1030+1,9)),0),3)&amp;RIGHT("0000"&amp;IFERROR(VALUE(MID(B1030,FIND("-",B1030)+1,9)),0),4))</f>
        <v/>
      </c>
      <c r="N1030" s="11" t="str">
        <f aca="false">IF(OR(B1030="",N(F1030)&lt;=0),"",IF('FALTAS POR DECK'!$P$1="Código","K"&amp;M1030&amp;RIGHT("00000"&amp;ROW(),5),IF('FALTAS POR DECK'!$P$1="Nome","K"&amp;UPPER(SUBSTITUTE(SUBSTITUTE(SUBSTITUTE(C1030,"*",""),"?",""),"~",""))&amp;"0"&amp;M1030&amp;RIGHT("00000"&amp;ROW(),5),IF('FALTAS POR DECK'!$P$1="Falta (maior primeiro)","K"&amp;RIGHT("0000"&amp;(9999-F1030),4)&amp;M1030&amp;RIGHT("00000"&amp;ROW(),5),IF('FALTAS POR DECK'!$P$1="Deck e código","K"&amp;RIGHT("00"&amp;IFERROR(MATCH(A1030,_LEITURA!$P$2:$P$21,0),99),2)&amp;M1030&amp;RIGHT("00000"&amp;ROW(),5),"K"&amp;RIGHT("00000"&amp;ROW(),5))))))</f>
        <v/>
      </c>
      <c r="O1030" s="16" t="str">
        <f aca="false">IF(N1030="","",COUNTIFS($N$2:$N$1201,"&lt;"&amp;N1030,$F$2:$F$1201,"&gt;0")+1)</f>
        <v/>
      </c>
    </row>
    <row r="1031" customFormat="false" ht="15" hidden="false" customHeight="false" outlineLevel="0" collapsed="false">
      <c r="A1031" s="11" t="str">
        <f aca="false">IF(_LEITURA!$N1031="","",INDEX(_LEITURA!$K$2:$K$1201,_LEITURA!$N1031))</f>
        <v/>
      </c>
      <c r="B1031" s="11" t="str">
        <f aca="false">IF(_LEITURA!$N1031="","",INDEX(_LEITURA!$E$2:$E$1201,_LEITURA!$N1031))</f>
        <v/>
      </c>
      <c r="C1031" s="11" t="str">
        <f aca="false">IF(_LEITURA!$N1031="","",INDEX(_LEITURA!$J$2:$J$1201,_LEITURA!$N1031))</f>
        <v/>
      </c>
      <c r="D1031" s="16" t="str">
        <f aca="false">IF(_LEITURA!$N1031="","",INDEX(_LEITURA!$G$2:$G$1201,_LEITURA!$N1031))</f>
        <v/>
      </c>
      <c r="E1031" s="16" t="str">
        <f aca="false">IF(B1031="","",SUMIFS(INVENTÁRIO!$C$2:$C$801,INVENTÁRIO!$A$2:$A$801,B1031))</f>
        <v/>
      </c>
      <c r="F1031" s="16" t="str">
        <f aca="false">IF(B1031="","",MAX(0,D1031-E1031))</f>
        <v/>
      </c>
      <c r="G1031" s="16" t="str">
        <f aca="false">IF(B1031="","",IF(COUNTIFS($B$2:$B$1201,B1031,$A$2:$A$1201,"&lt;&gt;"&amp;A1031)&gt;0,"Sim",""))</f>
        <v/>
      </c>
      <c r="H1031" s="16" t="str">
        <f aca="false">IF(N(F1031)&gt;0,MAX(H$1:H1030)+1,"")</f>
        <v/>
      </c>
      <c r="I1031" s="11" t="str">
        <f aca="false">IF(B1031="","",IF(INDEX($C$2:$C$1201,MATCH(B1031,$B$2:$B$1201,0))&lt;&gt;C1031,"Nome diferente em outro deck — revisar",""))</f>
        <v/>
      </c>
      <c r="J1031" s="16" t="str">
        <f aca="false">IF(AND(B1031&lt;&gt;"",A1031=BULK!$A$1,N(F1031)&gt;0),MAX(J$1:J1030)+1,"")</f>
        <v/>
      </c>
      <c r="K1031" s="11" t="str">
        <f aca="false">IF(B1031="","",IFERROR(LEFT(B1031,FIND("-",B1031)-1),B1031))</f>
        <v/>
      </c>
      <c r="L1031" s="11" t="str">
        <f aca="false">IF(K1031="","",IF(ISNUMBER(--MID(K1031,1,1)),0,IF(ISNUMBER(--MID(K1031,2,1)),1,IF(ISNUMBER(--MID(K1031,3,1)),2,IF(ISNUMBER(--MID(K1031,4,1)),3,MIN(LEN(K1031),4))))))</f>
        <v/>
      </c>
      <c r="M1031" s="11" t="str">
        <f aca="false">IF(B1031="","",LEFT(K1031,L1031)&amp;REPT("0",4-L1031)&amp;RIGHT("000"&amp;IFERROR(VALUE(MID(K1031,L1031+1,9)),0),3)&amp;RIGHT("0000"&amp;IFERROR(VALUE(MID(B1031,FIND("-",B1031)+1,9)),0),4))</f>
        <v/>
      </c>
      <c r="N1031" s="11" t="str">
        <f aca="false">IF(OR(B1031="",N(F1031)&lt;=0),"",IF('FALTAS POR DECK'!$P$1="Código","K"&amp;M1031&amp;RIGHT("00000"&amp;ROW(),5),IF('FALTAS POR DECK'!$P$1="Nome","K"&amp;UPPER(SUBSTITUTE(SUBSTITUTE(SUBSTITUTE(C1031,"*",""),"?",""),"~",""))&amp;"0"&amp;M1031&amp;RIGHT("00000"&amp;ROW(),5),IF('FALTAS POR DECK'!$P$1="Falta (maior primeiro)","K"&amp;RIGHT("0000"&amp;(9999-F1031),4)&amp;M1031&amp;RIGHT("00000"&amp;ROW(),5),IF('FALTAS POR DECK'!$P$1="Deck e código","K"&amp;RIGHT("00"&amp;IFERROR(MATCH(A1031,_LEITURA!$P$2:$P$21,0),99),2)&amp;M1031&amp;RIGHT("00000"&amp;ROW(),5),"K"&amp;RIGHT("00000"&amp;ROW(),5))))))</f>
        <v/>
      </c>
      <c r="O1031" s="16" t="str">
        <f aca="false">IF(N1031="","",COUNTIFS($N$2:$N$1201,"&lt;"&amp;N1031,$F$2:$F$1201,"&gt;0")+1)</f>
        <v/>
      </c>
    </row>
    <row r="1032" customFormat="false" ht="15" hidden="false" customHeight="false" outlineLevel="0" collapsed="false">
      <c r="A1032" s="11" t="str">
        <f aca="false">IF(_LEITURA!$N1032="","",INDEX(_LEITURA!$K$2:$K$1201,_LEITURA!$N1032))</f>
        <v/>
      </c>
      <c r="B1032" s="11" t="str">
        <f aca="false">IF(_LEITURA!$N1032="","",INDEX(_LEITURA!$E$2:$E$1201,_LEITURA!$N1032))</f>
        <v/>
      </c>
      <c r="C1032" s="11" t="str">
        <f aca="false">IF(_LEITURA!$N1032="","",INDEX(_LEITURA!$J$2:$J$1201,_LEITURA!$N1032))</f>
        <v/>
      </c>
      <c r="D1032" s="16" t="str">
        <f aca="false">IF(_LEITURA!$N1032="","",INDEX(_LEITURA!$G$2:$G$1201,_LEITURA!$N1032))</f>
        <v/>
      </c>
      <c r="E1032" s="16" t="str">
        <f aca="false">IF(B1032="","",SUMIFS(INVENTÁRIO!$C$2:$C$801,INVENTÁRIO!$A$2:$A$801,B1032))</f>
        <v/>
      </c>
      <c r="F1032" s="16" t="str">
        <f aca="false">IF(B1032="","",MAX(0,D1032-E1032))</f>
        <v/>
      </c>
      <c r="G1032" s="16" t="str">
        <f aca="false">IF(B1032="","",IF(COUNTIFS($B$2:$B$1201,B1032,$A$2:$A$1201,"&lt;&gt;"&amp;A1032)&gt;0,"Sim",""))</f>
        <v/>
      </c>
      <c r="H1032" s="16" t="str">
        <f aca="false">IF(N(F1032)&gt;0,MAX(H$1:H1031)+1,"")</f>
        <v/>
      </c>
      <c r="I1032" s="11" t="str">
        <f aca="false">IF(B1032="","",IF(INDEX($C$2:$C$1201,MATCH(B1032,$B$2:$B$1201,0))&lt;&gt;C1032,"Nome diferente em outro deck — revisar",""))</f>
        <v/>
      </c>
      <c r="J1032" s="16" t="str">
        <f aca="false">IF(AND(B1032&lt;&gt;"",A1032=BULK!$A$1,N(F1032)&gt;0),MAX(J$1:J1031)+1,"")</f>
        <v/>
      </c>
      <c r="K1032" s="11" t="str">
        <f aca="false">IF(B1032="","",IFERROR(LEFT(B1032,FIND("-",B1032)-1),B1032))</f>
        <v/>
      </c>
      <c r="L1032" s="11" t="str">
        <f aca="false">IF(K1032="","",IF(ISNUMBER(--MID(K1032,1,1)),0,IF(ISNUMBER(--MID(K1032,2,1)),1,IF(ISNUMBER(--MID(K1032,3,1)),2,IF(ISNUMBER(--MID(K1032,4,1)),3,MIN(LEN(K1032),4))))))</f>
        <v/>
      </c>
      <c r="M1032" s="11" t="str">
        <f aca="false">IF(B1032="","",LEFT(K1032,L1032)&amp;REPT("0",4-L1032)&amp;RIGHT("000"&amp;IFERROR(VALUE(MID(K1032,L1032+1,9)),0),3)&amp;RIGHT("0000"&amp;IFERROR(VALUE(MID(B1032,FIND("-",B1032)+1,9)),0),4))</f>
        <v/>
      </c>
      <c r="N1032" s="11" t="str">
        <f aca="false">IF(OR(B1032="",N(F1032)&lt;=0),"",IF('FALTAS POR DECK'!$P$1="Código","K"&amp;M1032&amp;RIGHT("00000"&amp;ROW(),5),IF('FALTAS POR DECK'!$P$1="Nome","K"&amp;UPPER(SUBSTITUTE(SUBSTITUTE(SUBSTITUTE(C1032,"*",""),"?",""),"~",""))&amp;"0"&amp;M1032&amp;RIGHT("00000"&amp;ROW(),5),IF('FALTAS POR DECK'!$P$1="Falta (maior primeiro)","K"&amp;RIGHT("0000"&amp;(9999-F1032),4)&amp;M1032&amp;RIGHT("00000"&amp;ROW(),5),IF('FALTAS POR DECK'!$P$1="Deck e código","K"&amp;RIGHT("00"&amp;IFERROR(MATCH(A1032,_LEITURA!$P$2:$P$21,0),99),2)&amp;M1032&amp;RIGHT("00000"&amp;ROW(),5),"K"&amp;RIGHT("00000"&amp;ROW(),5))))))</f>
        <v/>
      </c>
      <c r="O1032" s="16" t="str">
        <f aca="false">IF(N1032="","",COUNTIFS($N$2:$N$1201,"&lt;"&amp;N1032,$F$2:$F$1201,"&gt;0")+1)</f>
        <v/>
      </c>
    </row>
    <row r="1033" customFormat="false" ht="15" hidden="false" customHeight="false" outlineLevel="0" collapsed="false">
      <c r="A1033" s="11" t="str">
        <f aca="false">IF(_LEITURA!$N1033="","",INDEX(_LEITURA!$K$2:$K$1201,_LEITURA!$N1033))</f>
        <v/>
      </c>
      <c r="B1033" s="11" t="str">
        <f aca="false">IF(_LEITURA!$N1033="","",INDEX(_LEITURA!$E$2:$E$1201,_LEITURA!$N1033))</f>
        <v/>
      </c>
      <c r="C1033" s="11" t="str">
        <f aca="false">IF(_LEITURA!$N1033="","",INDEX(_LEITURA!$J$2:$J$1201,_LEITURA!$N1033))</f>
        <v/>
      </c>
      <c r="D1033" s="16" t="str">
        <f aca="false">IF(_LEITURA!$N1033="","",INDEX(_LEITURA!$G$2:$G$1201,_LEITURA!$N1033))</f>
        <v/>
      </c>
      <c r="E1033" s="16" t="str">
        <f aca="false">IF(B1033="","",SUMIFS(INVENTÁRIO!$C$2:$C$801,INVENTÁRIO!$A$2:$A$801,B1033))</f>
        <v/>
      </c>
      <c r="F1033" s="16" t="str">
        <f aca="false">IF(B1033="","",MAX(0,D1033-E1033))</f>
        <v/>
      </c>
      <c r="G1033" s="16" t="str">
        <f aca="false">IF(B1033="","",IF(COUNTIFS($B$2:$B$1201,B1033,$A$2:$A$1201,"&lt;&gt;"&amp;A1033)&gt;0,"Sim",""))</f>
        <v/>
      </c>
      <c r="H1033" s="16" t="str">
        <f aca="false">IF(N(F1033)&gt;0,MAX(H$1:H1032)+1,"")</f>
        <v/>
      </c>
      <c r="I1033" s="11" t="str">
        <f aca="false">IF(B1033="","",IF(INDEX($C$2:$C$1201,MATCH(B1033,$B$2:$B$1201,0))&lt;&gt;C1033,"Nome diferente em outro deck — revisar",""))</f>
        <v/>
      </c>
      <c r="J1033" s="16" t="str">
        <f aca="false">IF(AND(B1033&lt;&gt;"",A1033=BULK!$A$1,N(F1033)&gt;0),MAX(J$1:J1032)+1,"")</f>
        <v/>
      </c>
      <c r="K1033" s="11" t="str">
        <f aca="false">IF(B1033="","",IFERROR(LEFT(B1033,FIND("-",B1033)-1),B1033))</f>
        <v/>
      </c>
      <c r="L1033" s="11" t="str">
        <f aca="false">IF(K1033="","",IF(ISNUMBER(--MID(K1033,1,1)),0,IF(ISNUMBER(--MID(K1033,2,1)),1,IF(ISNUMBER(--MID(K1033,3,1)),2,IF(ISNUMBER(--MID(K1033,4,1)),3,MIN(LEN(K1033),4))))))</f>
        <v/>
      </c>
      <c r="M1033" s="11" t="str">
        <f aca="false">IF(B1033="","",LEFT(K1033,L1033)&amp;REPT("0",4-L1033)&amp;RIGHT("000"&amp;IFERROR(VALUE(MID(K1033,L1033+1,9)),0),3)&amp;RIGHT("0000"&amp;IFERROR(VALUE(MID(B1033,FIND("-",B1033)+1,9)),0),4))</f>
        <v/>
      </c>
      <c r="N1033" s="11" t="str">
        <f aca="false">IF(OR(B1033="",N(F1033)&lt;=0),"",IF('FALTAS POR DECK'!$P$1="Código","K"&amp;M1033&amp;RIGHT("00000"&amp;ROW(),5),IF('FALTAS POR DECK'!$P$1="Nome","K"&amp;UPPER(SUBSTITUTE(SUBSTITUTE(SUBSTITUTE(C1033,"*",""),"?",""),"~",""))&amp;"0"&amp;M1033&amp;RIGHT("00000"&amp;ROW(),5),IF('FALTAS POR DECK'!$P$1="Falta (maior primeiro)","K"&amp;RIGHT("0000"&amp;(9999-F1033),4)&amp;M1033&amp;RIGHT("00000"&amp;ROW(),5),IF('FALTAS POR DECK'!$P$1="Deck e código","K"&amp;RIGHT("00"&amp;IFERROR(MATCH(A1033,_LEITURA!$P$2:$P$21,0),99),2)&amp;M1033&amp;RIGHT("00000"&amp;ROW(),5),"K"&amp;RIGHT("00000"&amp;ROW(),5))))))</f>
        <v/>
      </c>
      <c r="O1033" s="16" t="str">
        <f aca="false">IF(N1033="","",COUNTIFS($N$2:$N$1201,"&lt;"&amp;N1033,$F$2:$F$1201,"&gt;0")+1)</f>
        <v/>
      </c>
    </row>
    <row r="1034" customFormat="false" ht="15" hidden="false" customHeight="false" outlineLevel="0" collapsed="false">
      <c r="A1034" s="11" t="str">
        <f aca="false">IF(_LEITURA!$N1034="","",INDEX(_LEITURA!$K$2:$K$1201,_LEITURA!$N1034))</f>
        <v/>
      </c>
      <c r="B1034" s="11" t="str">
        <f aca="false">IF(_LEITURA!$N1034="","",INDEX(_LEITURA!$E$2:$E$1201,_LEITURA!$N1034))</f>
        <v/>
      </c>
      <c r="C1034" s="11" t="str">
        <f aca="false">IF(_LEITURA!$N1034="","",INDEX(_LEITURA!$J$2:$J$1201,_LEITURA!$N1034))</f>
        <v/>
      </c>
      <c r="D1034" s="16" t="str">
        <f aca="false">IF(_LEITURA!$N1034="","",INDEX(_LEITURA!$G$2:$G$1201,_LEITURA!$N1034))</f>
        <v/>
      </c>
      <c r="E1034" s="16" t="str">
        <f aca="false">IF(B1034="","",SUMIFS(INVENTÁRIO!$C$2:$C$801,INVENTÁRIO!$A$2:$A$801,B1034))</f>
        <v/>
      </c>
      <c r="F1034" s="16" t="str">
        <f aca="false">IF(B1034="","",MAX(0,D1034-E1034))</f>
        <v/>
      </c>
      <c r="G1034" s="16" t="str">
        <f aca="false">IF(B1034="","",IF(COUNTIFS($B$2:$B$1201,B1034,$A$2:$A$1201,"&lt;&gt;"&amp;A1034)&gt;0,"Sim",""))</f>
        <v/>
      </c>
      <c r="H1034" s="16" t="str">
        <f aca="false">IF(N(F1034)&gt;0,MAX(H$1:H1033)+1,"")</f>
        <v/>
      </c>
      <c r="I1034" s="11" t="str">
        <f aca="false">IF(B1034="","",IF(INDEX($C$2:$C$1201,MATCH(B1034,$B$2:$B$1201,0))&lt;&gt;C1034,"Nome diferente em outro deck — revisar",""))</f>
        <v/>
      </c>
      <c r="J1034" s="16" t="str">
        <f aca="false">IF(AND(B1034&lt;&gt;"",A1034=BULK!$A$1,N(F1034)&gt;0),MAX(J$1:J1033)+1,"")</f>
        <v/>
      </c>
      <c r="K1034" s="11" t="str">
        <f aca="false">IF(B1034="","",IFERROR(LEFT(B1034,FIND("-",B1034)-1),B1034))</f>
        <v/>
      </c>
      <c r="L1034" s="11" t="str">
        <f aca="false">IF(K1034="","",IF(ISNUMBER(--MID(K1034,1,1)),0,IF(ISNUMBER(--MID(K1034,2,1)),1,IF(ISNUMBER(--MID(K1034,3,1)),2,IF(ISNUMBER(--MID(K1034,4,1)),3,MIN(LEN(K1034),4))))))</f>
        <v/>
      </c>
      <c r="M1034" s="11" t="str">
        <f aca="false">IF(B1034="","",LEFT(K1034,L1034)&amp;REPT("0",4-L1034)&amp;RIGHT("000"&amp;IFERROR(VALUE(MID(K1034,L1034+1,9)),0),3)&amp;RIGHT("0000"&amp;IFERROR(VALUE(MID(B1034,FIND("-",B1034)+1,9)),0),4))</f>
        <v/>
      </c>
      <c r="N1034" s="11" t="str">
        <f aca="false">IF(OR(B1034="",N(F1034)&lt;=0),"",IF('FALTAS POR DECK'!$P$1="Código","K"&amp;M1034&amp;RIGHT("00000"&amp;ROW(),5),IF('FALTAS POR DECK'!$P$1="Nome","K"&amp;UPPER(SUBSTITUTE(SUBSTITUTE(SUBSTITUTE(C1034,"*",""),"?",""),"~",""))&amp;"0"&amp;M1034&amp;RIGHT("00000"&amp;ROW(),5),IF('FALTAS POR DECK'!$P$1="Falta (maior primeiro)","K"&amp;RIGHT("0000"&amp;(9999-F1034),4)&amp;M1034&amp;RIGHT("00000"&amp;ROW(),5),IF('FALTAS POR DECK'!$P$1="Deck e código","K"&amp;RIGHT("00"&amp;IFERROR(MATCH(A1034,_LEITURA!$P$2:$P$21,0),99),2)&amp;M1034&amp;RIGHT("00000"&amp;ROW(),5),"K"&amp;RIGHT("00000"&amp;ROW(),5))))))</f>
        <v/>
      </c>
      <c r="O1034" s="16" t="str">
        <f aca="false">IF(N1034="","",COUNTIFS($N$2:$N$1201,"&lt;"&amp;N1034,$F$2:$F$1201,"&gt;0")+1)</f>
        <v/>
      </c>
    </row>
    <row r="1035" customFormat="false" ht="15" hidden="false" customHeight="false" outlineLevel="0" collapsed="false">
      <c r="A1035" s="11" t="str">
        <f aca="false">IF(_LEITURA!$N1035="","",INDEX(_LEITURA!$K$2:$K$1201,_LEITURA!$N1035))</f>
        <v/>
      </c>
      <c r="B1035" s="11" t="str">
        <f aca="false">IF(_LEITURA!$N1035="","",INDEX(_LEITURA!$E$2:$E$1201,_LEITURA!$N1035))</f>
        <v/>
      </c>
      <c r="C1035" s="11" t="str">
        <f aca="false">IF(_LEITURA!$N1035="","",INDEX(_LEITURA!$J$2:$J$1201,_LEITURA!$N1035))</f>
        <v/>
      </c>
      <c r="D1035" s="16" t="str">
        <f aca="false">IF(_LEITURA!$N1035="","",INDEX(_LEITURA!$G$2:$G$1201,_LEITURA!$N1035))</f>
        <v/>
      </c>
      <c r="E1035" s="16" t="str">
        <f aca="false">IF(B1035="","",SUMIFS(INVENTÁRIO!$C$2:$C$801,INVENTÁRIO!$A$2:$A$801,B1035))</f>
        <v/>
      </c>
      <c r="F1035" s="16" t="str">
        <f aca="false">IF(B1035="","",MAX(0,D1035-E1035))</f>
        <v/>
      </c>
      <c r="G1035" s="16" t="str">
        <f aca="false">IF(B1035="","",IF(COUNTIFS($B$2:$B$1201,B1035,$A$2:$A$1201,"&lt;&gt;"&amp;A1035)&gt;0,"Sim",""))</f>
        <v/>
      </c>
      <c r="H1035" s="16" t="str">
        <f aca="false">IF(N(F1035)&gt;0,MAX(H$1:H1034)+1,"")</f>
        <v/>
      </c>
      <c r="I1035" s="11" t="str">
        <f aca="false">IF(B1035="","",IF(INDEX($C$2:$C$1201,MATCH(B1035,$B$2:$B$1201,0))&lt;&gt;C1035,"Nome diferente em outro deck — revisar",""))</f>
        <v/>
      </c>
      <c r="J1035" s="16" t="str">
        <f aca="false">IF(AND(B1035&lt;&gt;"",A1035=BULK!$A$1,N(F1035)&gt;0),MAX(J$1:J1034)+1,"")</f>
        <v/>
      </c>
      <c r="K1035" s="11" t="str">
        <f aca="false">IF(B1035="","",IFERROR(LEFT(B1035,FIND("-",B1035)-1),B1035))</f>
        <v/>
      </c>
      <c r="L1035" s="11" t="str">
        <f aca="false">IF(K1035="","",IF(ISNUMBER(--MID(K1035,1,1)),0,IF(ISNUMBER(--MID(K1035,2,1)),1,IF(ISNUMBER(--MID(K1035,3,1)),2,IF(ISNUMBER(--MID(K1035,4,1)),3,MIN(LEN(K1035),4))))))</f>
        <v/>
      </c>
      <c r="M1035" s="11" t="str">
        <f aca="false">IF(B1035="","",LEFT(K1035,L1035)&amp;REPT("0",4-L1035)&amp;RIGHT("000"&amp;IFERROR(VALUE(MID(K1035,L1035+1,9)),0),3)&amp;RIGHT("0000"&amp;IFERROR(VALUE(MID(B1035,FIND("-",B1035)+1,9)),0),4))</f>
        <v/>
      </c>
      <c r="N1035" s="11" t="str">
        <f aca="false">IF(OR(B1035="",N(F1035)&lt;=0),"",IF('FALTAS POR DECK'!$P$1="Código","K"&amp;M1035&amp;RIGHT("00000"&amp;ROW(),5),IF('FALTAS POR DECK'!$P$1="Nome","K"&amp;UPPER(SUBSTITUTE(SUBSTITUTE(SUBSTITUTE(C1035,"*",""),"?",""),"~",""))&amp;"0"&amp;M1035&amp;RIGHT("00000"&amp;ROW(),5),IF('FALTAS POR DECK'!$P$1="Falta (maior primeiro)","K"&amp;RIGHT("0000"&amp;(9999-F1035),4)&amp;M1035&amp;RIGHT("00000"&amp;ROW(),5),IF('FALTAS POR DECK'!$P$1="Deck e código","K"&amp;RIGHT("00"&amp;IFERROR(MATCH(A1035,_LEITURA!$P$2:$P$21,0),99),2)&amp;M1035&amp;RIGHT("00000"&amp;ROW(),5),"K"&amp;RIGHT("00000"&amp;ROW(),5))))))</f>
        <v/>
      </c>
      <c r="O1035" s="16" t="str">
        <f aca="false">IF(N1035="","",COUNTIFS($N$2:$N$1201,"&lt;"&amp;N1035,$F$2:$F$1201,"&gt;0")+1)</f>
        <v/>
      </c>
    </row>
    <row r="1036" customFormat="false" ht="15" hidden="false" customHeight="false" outlineLevel="0" collapsed="false">
      <c r="A1036" s="11" t="str">
        <f aca="false">IF(_LEITURA!$N1036="","",INDEX(_LEITURA!$K$2:$K$1201,_LEITURA!$N1036))</f>
        <v/>
      </c>
      <c r="B1036" s="11" t="str">
        <f aca="false">IF(_LEITURA!$N1036="","",INDEX(_LEITURA!$E$2:$E$1201,_LEITURA!$N1036))</f>
        <v/>
      </c>
      <c r="C1036" s="11" t="str">
        <f aca="false">IF(_LEITURA!$N1036="","",INDEX(_LEITURA!$J$2:$J$1201,_LEITURA!$N1036))</f>
        <v/>
      </c>
      <c r="D1036" s="16" t="str">
        <f aca="false">IF(_LEITURA!$N1036="","",INDEX(_LEITURA!$G$2:$G$1201,_LEITURA!$N1036))</f>
        <v/>
      </c>
      <c r="E1036" s="16" t="str">
        <f aca="false">IF(B1036="","",SUMIFS(INVENTÁRIO!$C$2:$C$801,INVENTÁRIO!$A$2:$A$801,B1036))</f>
        <v/>
      </c>
      <c r="F1036" s="16" t="str">
        <f aca="false">IF(B1036="","",MAX(0,D1036-E1036))</f>
        <v/>
      </c>
      <c r="G1036" s="16" t="str">
        <f aca="false">IF(B1036="","",IF(COUNTIFS($B$2:$B$1201,B1036,$A$2:$A$1201,"&lt;&gt;"&amp;A1036)&gt;0,"Sim",""))</f>
        <v/>
      </c>
      <c r="H1036" s="16" t="str">
        <f aca="false">IF(N(F1036)&gt;0,MAX(H$1:H1035)+1,"")</f>
        <v/>
      </c>
      <c r="I1036" s="11" t="str">
        <f aca="false">IF(B1036="","",IF(INDEX($C$2:$C$1201,MATCH(B1036,$B$2:$B$1201,0))&lt;&gt;C1036,"Nome diferente em outro deck — revisar",""))</f>
        <v/>
      </c>
      <c r="J1036" s="16" t="str">
        <f aca="false">IF(AND(B1036&lt;&gt;"",A1036=BULK!$A$1,N(F1036)&gt;0),MAX(J$1:J1035)+1,"")</f>
        <v/>
      </c>
      <c r="K1036" s="11" t="str">
        <f aca="false">IF(B1036="","",IFERROR(LEFT(B1036,FIND("-",B1036)-1),B1036))</f>
        <v/>
      </c>
      <c r="L1036" s="11" t="str">
        <f aca="false">IF(K1036="","",IF(ISNUMBER(--MID(K1036,1,1)),0,IF(ISNUMBER(--MID(K1036,2,1)),1,IF(ISNUMBER(--MID(K1036,3,1)),2,IF(ISNUMBER(--MID(K1036,4,1)),3,MIN(LEN(K1036),4))))))</f>
        <v/>
      </c>
      <c r="M1036" s="11" t="str">
        <f aca="false">IF(B1036="","",LEFT(K1036,L1036)&amp;REPT("0",4-L1036)&amp;RIGHT("000"&amp;IFERROR(VALUE(MID(K1036,L1036+1,9)),0),3)&amp;RIGHT("0000"&amp;IFERROR(VALUE(MID(B1036,FIND("-",B1036)+1,9)),0),4))</f>
        <v/>
      </c>
      <c r="N1036" s="11" t="str">
        <f aca="false">IF(OR(B1036="",N(F1036)&lt;=0),"",IF('FALTAS POR DECK'!$P$1="Código","K"&amp;M1036&amp;RIGHT("00000"&amp;ROW(),5),IF('FALTAS POR DECK'!$P$1="Nome","K"&amp;UPPER(SUBSTITUTE(SUBSTITUTE(SUBSTITUTE(C1036,"*",""),"?",""),"~",""))&amp;"0"&amp;M1036&amp;RIGHT("00000"&amp;ROW(),5),IF('FALTAS POR DECK'!$P$1="Falta (maior primeiro)","K"&amp;RIGHT("0000"&amp;(9999-F1036),4)&amp;M1036&amp;RIGHT("00000"&amp;ROW(),5),IF('FALTAS POR DECK'!$P$1="Deck e código","K"&amp;RIGHT("00"&amp;IFERROR(MATCH(A1036,_LEITURA!$P$2:$P$21,0),99),2)&amp;M1036&amp;RIGHT("00000"&amp;ROW(),5),"K"&amp;RIGHT("00000"&amp;ROW(),5))))))</f>
        <v/>
      </c>
      <c r="O1036" s="16" t="str">
        <f aca="false">IF(N1036="","",COUNTIFS($N$2:$N$1201,"&lt;"&amp;N1036,$F$2:$F$1201,"&gt;0")+1)</f>
        <v/>
      </c>
    </row>
    <row r="1037" customFormat="false" ht="15" hidden="false" customHeight="false" outlineLevel="0" collapsed="false">
      <c r="A1037" s="11" t="str">
        <f aca="false">IF(_LEITURA!$N1037="","",INDEX(_LEITURA!$K$2:$K$1201,_LEITURA!$N1037))</f>
        <v/>
      </c>
      <c r="B1037" s="11" t="str">
        <f aca="false">IF(_LEITURA!$N1037="","",INDEX(_LEITURA!$E$2:$E$1201,_LEITURA!$N1037))</f>
        <v/>
      </c>
      <c r="C1037" s="11" t="str">
        <f aca="false">IF(_LEITURA!$N1037="","",INDEX(_LEITURA!$J$2:$J$1201,_LEITURA!$N1037))</f>
        <v/>
      </c>
      <c r="D1037" s="16" t="str">
        <f aca="false">IF(_LEITURA!$N1037="","",INDEX(_LEITURA!$G$2:$G$1201,_LEITURA!$N1037))</f>
        <v/>
      </c>
      <c r="E1037" s="16" t="str">
        <f aca="false">IF(B1037="","",SUMIFS(INVENTÁRIO!$C$2:$C$801,INVENTÁRIO!$A$2:$A$801,B1037))</f>
        <v/>
      </c>
      <c r="F1037" s="16" t="str">
        <f aca="false">IF(B1037="","",MAX(0,D1037-E1037))</f>
        <v/>
      </c>
      <c r="G1037" s="16" t="str">
        <f aca="false">IF(B1037="","",IF(COUNTIFS($B$2:$B$1201,B1037,$A$2:$A$1201,"&lt;&gt;"&amp;A1037)&gt;0,"Sim",""))</f>
        <v/>
      </c>
      <c r="H1037" s="16" t="str">
        <f aca="false">IF(N(F1037)&gt;0,MAX(H$1:H1036)+1,"")</f>
        <v/>
      </c>
      <c r="I1037" s="11" t="str">
        <f aca="false">IF(B1037="","",IF(INDEX($C$2:$C$1201,MATCH(B1037,$B$2:$B$1201,0))&lt;&gt;C1037,"Nome diferente em outro deck — revisar",""))</f>
        <v/>
      </c>
      <c r="J1037" s="16" t="str">
        <f aca="false">IF(AND(B1037&lt;&gt;"",A1037=BULK!$A$1,N(F1037)&gt;0),MAX(J$1:J1036)+1,"")</f>
        <v/>
      </c>
      <c r="K1037" s="11" t="str">
        <f aca="false">IF(B1037="","",IFERROR(LEFT(B1037,FIND("-",B1037)-1),B1037))</f>
        <v/>
      </c>
      <c r="L1037" s="11" t="str">
        <f aca="false">IF(K1037="","",IF(ISNUMBER(--MID(K1037,1,1)),0,IF(ISNUMBER(--MID(K1037,2,1)),1,IF(ISNUMBER(--MID(K1037,3,1)),2,IF(ISNUMBER(--MID(K1037,4,1)),3,MIN(LEN(K1037),4))))))</f>
        <v/>
      </c>
      <c r="M1037" s="11" t="str">
        <f aca="false">IF(B1037="","",LEFT(K1037,L1037)&amp;REPT("0",4-L1037)&amp;RIGHT("000"&amp;IFERROR(VALUE(MID(K1037,L1037+1,9)),0),3)&amp;RIGHT("0000"&amp;IFERROR(VALUE(MID(B1037,FIND("-",B1037)+1,9)),0),4))</f>
        <v/>
      </c>
      <c r="N1037" s="11" t="str">
        <f aca="false">IF(OR(B1037="",N(F1037)&lt;=0),"",IF('FALTAS POR DECK'!$P$1="Código","K"&amp;M1037&amp;RIGHT("00000"&amp;ROW(),5),IF('FALTAS POR DECK'!$P$1="Nome","K"&amp;UPPER(SUBSTITUTE(SUBSTITUTE(SUBSTITUTE(C1037,"*",""),"?",""),"~",""))&amp;"0"&amp;M1037&amp;RIGHT("00000"&amp;ROW(),5),IF('FALTAS POR DECK'!$P$1="Falta (maior primeiro)","K"&amp;RIGHT("0000"&amp;(9999-F1037),4)&amp;M1037&amp;RIGHT("00000"&amp;ROW(),5),IF('FALTAS POR DECK'!$P$1="Deck e código","K"&amp;RIGHT("00"&amp;IFERROR(MATCH(A1037,_LEITURA!$P$2:$P$21,0),99),2)&amp;M1037&amp;RIGHT("00000"&amp;ROW(),5),"K"&amp;RIGHT("00000"&amp;ROW(),5))))))</f>
        <v/>
      </c>
      <c r="O1037" s="16" t="str">
        <f aca="false">IF(N1037="","",COUNTIFS($N$2:$N$1201,"&lt;"&amp;N1037,$F$2:$F$1201,"&gt;0")+1)</f>
        <v/>
      </c>
    </row>
    <row r="1038" customFormat="false" ht="15" hidden="false" customHeight="false" outlineLevel="0" collapsed="false">
      <c r="A1038" s="11" t="str">
        <f aca="false">IF(_LEITURA!$N1038="","",INDEX(_LEITURA!$K$2:$K$1201,_LEITURA!$N1038))</f>
        <v/>
      </c>
      <c r="B1038" s="11" t="str">
        <f aca="false">IF(_LEITURA!$N1038="","",INDEX(_LEITURA!$E$2:$E$1201,_LEITURA!$N1038))</f>
        <v/>
      </c>
      <c r="C1038" s="11" t="str">
        <f aca="false">IF(_LEITURA!$N1038="","",INDEX(_LEITURA!$J$2:$J$1201,_LEITURA!$N1038))</f>
        <v/>
      </c>
      <c r="D1038" s="16" t="str">
        <f aca="false">IF(_LEITURA!$N1038="","",INDEX(_LEITURA!$G$2:$G$1201,_LEITURA!$N1038))</f>
        <v/>
      </c>
      <c r="E1038" s="16" t="str">
        <f aca="false">IF(B1038="","",SUMIFS(INVENTÁRIO!$C$2:$C$801,INVENTÁRIO!$A$2:$A$801,B1038))</f>
        <v/>
      </c>
      <c r="F1038" s="16" t="str">
        <f aca="false">IF(B1038="","",MAX(0,D1038-E1038))</f>
        <v/>
      </c>
      <c r="G1038" s="16" t="str">
        <f aca="false">IF(B1038="","",IF(COUNTIFS($B$2:$B$1201,B1038,$A$2:$A$1201,"&lt;&gt;"&amp;A1038)&gt;0,"Sim",""))</f>
        <v/>
      </c>
      <c r="H1038" s="16" t="str">
        <f aca="false">IF(N(F1038)&gt;0,MAX(H$1:H1037)+1,"")</f>
        <v/>
      </c>
      <c r="I1038" s="11" t="str">
        <f aca="false">IF(B1038="","",IF(INDEX($C$2:$C$1201,MATCH(B1038,$B$2:$B$1201,0))&lt;&gt;C1038,"Nome diferente em outro deck — revisar",""))</f>
        <v/>
      </c>
      <c r="J1038" s="16" t="str">
        <f aca="false">IF(AND(B1038&lt;&gt;"",A1038=BULK!$A$1,N(F1038)&gt;0),MAX(J$1:J1037)+1,"")</f>
        <v/>
      </c>
      <c r="K1038" s="11" t="str">
        <f aca="false">IF(B1038="","",IFERROR(LEFT(B1038,FIND("-",B1038)-1),B1038))</f>
        <v/>
      </c>
      <c r="L1038" s="11" t="str">
        <f aca="false">IF(K1038="","",IF(ISNUMBER(--MID(K1038,1,1)),0,IF(ISNUMBER(--MID(K1038,2,1)),1,IF(ISNUMBER(--MID(K1038,3,1)),2,IF(ISNUMBER(--MID(K1038,4,1)),3,MIN(LEN(K1038),4))))))</f>
        <v/>
      </c>
      <c r="M1038" s="11" t="str">
        <f aca="false">IF(B1038="","",LEFT(K1038,L1038)&amp;REPT("0",4-L1038)&amp;RIGHT("000"&amp;IFERROR(VALUE(MID(K1038,L1038+1,9)),0),3)&amp;RIGHT("0000"&amp;IFERROR(VALUE(MID(B1038,FIND("-",B1038)+1,9)),0),4))</f>
        <v/>
      </c>
      <c r="N1038" s="11" t="str">
        <f aca="false">IF(OR(B1038="",N(F1038)&lt;=0),"",IF('FALTAS POR DECK'!$P$1="Código","K"&amp;M1038&amp;RIGHT("00000"&amp;ROW(),5),IF('FALTAS POR DECK'!$P$1="Nome","K"&amp;UPPER(SUBSTITUTE(SUBSTITUTE(SUBSTITUTE(C1038,"*",""),"?",""),"~",""))&amp;"0"&amp;M1038&amp;RIGHT("00000"&amp;ROW(),5),IF('FALTAS POR DECK'!$P$1="Falta (maior primeiro)","K"&amp;RIGHT("0000"&amp;(9999-F1038),4)&amp;M1038&amp;RIGHT("00000"&amp;ROW(),5),IF('FALTAS POR DECK'!$P$1="Deck e código","K"&amp;RIGHT("00"&amp;IFERROR(MATCH(A1038,_LEITURA!$P$2:$P$21,0),99),2)&amp;M1038&amp;RIGHT("00000"&amp;ROW(),5),"K"&amp;RIGHT("00000"&amp;ROW(),5))))))</f>
        <v/>
      </c>
      <c r="O1038" s="16" t="str">
        <f aca="false">IF(N1038="","",COUNTIFS($N$2:$N$1201,"&lt;"&amp;N1038,$F$2:$F$1201,"&gt;0")+1)</f>
        <v/>
      </c>
    </row>
    <row r="1039" customFormat="false" ht="15" hidden="false" customHeight="false" outlineLevel="0" collapsed="false">
      <c r="A1039" s="11" t="str">
        <f aca="false">IF(_LEITURA!$N1039="","",INDEX(_LEITURA!$K$2:$K$1201,_LEITURA!$N1039))</f>
        <v/>
      </c>
      <c r="B1039" s="11" t="str">
        <f aca="false">IF(_LEITURA!$N1039="","",INDEX(_LEITURA!$E$2:$E$1201,_LEITURA!$N1039))</f>
        <v/>
      </c>
      <c r="C1039" s="11" t="str">
        <f aca="false">IF(_LEITURA!$N1039="","",INDEX(_LEITURA!$J$2:$J$1201,_LEITURA!$N1039))</f>
        <v/>
      </c>
      <c r="D1039" s="16" t="str">
        <f aca="false">IF(_LEITURA!$N1039="","",INDEX(_LEITURA!$G$2:$G$1201,_LEITURA!$N1039))</f>
        <v/>
      </c>
      <c r="E1039" s="16" t="str">
        <f aca="false">IF(B1039="","",SUMIFS(INVENTÁRIO!$C$2:$C$801,INVENTÁRIO!$A$2:$A$801,B1039))</f>
        <v/>
      </c>
      <c r="F1039" s="16" t="str">
        <f aca="false">IF(B1039="","",MAX(0,D1039-E1039))</f>
        <v/>
      </c>
      <c r="G1039" s="16" t="str">
        <f aca="false">IF(B1039="","",IF(COUNTIFS($B$2:$B$1201,B1039,$A$2:$A$1201,"&lt;&gt;"&amp;A1039)&gt;0,"Sim",""))</f>
        <v/>
      </c>
      <c r="H1039" s="16" t="str">
        <f aca="false">IF(N(F1039)&gt;0,MAX(H$1:H1038)+1,"")</f>
        <v/>
      </c>
      <c r="I1039" s="11" t="str">
        <f aca="false">IF(B1039="","",IF(INDEX($C$2:$C$1201,MATCH(B1039,$B$2:$B$1201,0))&lt;&gt;C1039,"Nome diferente em outro deck — revisar",""))</f>
        <v/>
      </c>
      <c r="J1039" s="16" t="str">
        <f aca="false">IF(AND(B1039&lt;&gt;"",A1039=BULK!$A$1,N(F1039)&gt;0),MAX(J$1:J1038)+1,"")</f>
        <v/>
      </c>
      <c r="K1039" s="11" t="str">
        <f aca="false">IF(B1039="","",IFERROR(LEFT(B1039,FIND("-",B1039)-1),B1039))</f>
        <v/>
      </c>
      <c r="L1039" s="11" t="str">
        <f aca="false">IF(K1039="","",IF(ISNUMBER(--MID(K1039,1,1)),0,IF(ISNUMBER(--MID(K1039,2,1)),1,IF(ISNUMBER(--MID(K1039,3,1)),2,IF(ISNUMBER(--MID(K1039,4,1)),3,MIN(LEN(K1039),4))))))</f>
        <v/>
      </c>
      <c r="M1039" s="11" t="str">
        <f aca="false">IF(B1039="","",LEFT(K1039,L1039)&amp;REPT("0",4-L1039)&amp;RIGHT("000"&amp;IFERROR(VALUE(MID(K1039,L1039+1,9)),0),3)&amp;RIGHT("0000"&amp;IFERROR(VALUE(MID(B1039,FIND("-",B1039)+1,9)),0),4))</f>
        <v/>
      </c>
      <c r="N1039" s="11" t="str">
        <f aca="false">IF(OR(B1039="",N(F1039)&lt;=0),"",IF('FALTAS POR DECK'!$P$1="Código","K"&amp;M1039&amp;RIGHT("00000"&amp;ROW(),5),IF('FALTAS POR DECK'!$P$1="Nome","K"&amp;UPPER(SUBSTITUTE(SUBSTITUTE(SUBSTITUTE(C1039,"*",""),"?",""),"~",""))&amp;"0"&amp;M1039&amp;RIGHT("00000"&amp;ROW(),5),IF('FALTAS POR DECK'!$P$1="Falta (maior primeiro)","K"&amp;RIGHT("0000"&amp;(9999-F1039),4)&amp;M1039&amp;RIGHT("00000"&amp;ROW(),5),IF('FALTAS POR DECK'!$P$1="Deck e código","K"&amp;RIGHT("00"&amp;IFERROR(MATCH(A1039,_LEITURA!$P$2:$P$21,0),99),2)&amp;M1039&amp;RIGHT("00000"&amp;ROW(),5),"K"&amp;RIGHT("00000"&amp;ROW(),5))))))</f>
        <v/>
      </c>
      <c r="O1039" s="16" t="str">
        <f aca="false">IF(N1039="","",COUNTIFS($N$2:$N$1201,"&lt;"&amp;N1039,$F$2:$F$1201,"&gt;0")+1)</f>
        <v/>
      </c>
    </row>
    <row r="1040" customFormat="false" ht="15" hidden="false" customHeight="false" outlineLevel="0" collapsed="false">
      <c r="A1040" s="11" t="str">
        <f aca="false">IF(_LEITURA!$N1040="","",INDEX(_LEITURA!$K$2:$K$1201,_LEITURA!$N1040))</f>
        <v/>
      </c>
      <c r="B1040" s="11" t="str">
        <f aca="false">IF(_LEITURA!$N1040="","",INDEX(_LEITURA!$E$2:$E$1201,_LEITURA!$N1040))</f>
        <v/>
      </c>
      <c r="C1040" s="11" t="str">
        <f aca="false">IF(_LEITURA!$N1040="","",INDEX(_LEITURA!$J$2:$J$1201,_LEITURA!$N1040))</f>
        <v/>
      </c>
      <c r="D1040" s="16" t="str">
        <f aca="false">IF(_LEITURA!$N1040="","",INDEX(_LEITURA!$G$2:$G$1201,_LEITURA!$N1040))</f>
        <v/>
      </c>
      <c r="E1040" s="16" t="str">
        <f aca="false">IF(B1040="","",SUMIFS(INVENTÁRIO!$C$2:$C$801,INVENTÁRIO!$A$2:$A$801,B1040))</f>
        <v/>
      </c>
      <c r="F1040" s="16" t="str">
        <f aca="false">IF(B1040="","",MAX(0,D1040-E1040))</f>
        <v/>
      </c>
      <c r="G1040" s="16" t="str">
        <f aca="false">IF(B1040="","",IF(COUNTIFS($B$2:$B$1201,B1040,$A$2:$A$1201,"&lt;&gt;"&amp;A1040)&gt;0,"Sim",""))</f>
        <v/>
      </c>
      <c r="H1040" s="16" t="str">
        <f aca="false">IF(N(F1040)&gt;0,MAX(H$1:H1039)+1,"")</f>
        <v/>
      </c>
      <c r="I1040" s="11" t="str">
        <f aca="false">IF(B1040="","",IF(INDEX($C$2:$C$1201,MATCH(B1040,$B$2:$B$1201,0))&lt;&gt;C1040,"Nome diferente em outro deck — revisar",""))</f>
        <v/>
      </c>
      <c r="J1040" s="16" t="str">
        <f aca="false">IF(AND(B1040&lt;&gt;"",A1040=BULK!$A$1,N(F1040)&gt;0),MAX(J$1:J1039)+1,"")</f>
        <v/>
      </c>
      <c r="K1040" s="11" t="str">
        <f aca="false">IF(B1040="","",IFERROR(LEFT(B1040,FIND("-",B1040)-1),B1040))</f>
        <v/>
      </c>
      <c r="L1040" s="11" t="str">
        <f aca="false">IF(K1040="","",IF(ISNUMBER(--MID(K1040,1,1)),0,IF(ISNUMBER(--MID(K1040,2,1)),1,IF(ISNUMBER(--MID(K1040,3,1)),2,IF(ISNUMBER(--MID(K1040,4,1)),3,MIN(LEN(K1040),4))))))</f>
        <v/>
      </c>
      <c r="M1040" s="11" t="str">
        <f aca="false">IF(B1040="","",LEFT(K1040,L1040)&amp;REPT("0",4-L1040)&amp;RIGHT("000"&amp;IFERROR(VALUE(MID(K1040,L1040+1,9)),0),3)&amp;RIGHT("0000"&amp;IFERROR(VALUE(MID(B1040,FIND("-",B1040)+1,9)),0),4))</f>
        <v/>
      </c>
      <c r="N1040" s="11" t="str">
        <f aca="false">IF(OR(B1040="",N(F1040)&lt;=0),"",IF('FALTAS POR DECK'!$P$1="Código","K"&amp;M1040&amp;RIGHT("00000"&amp;ROW(),5),IF('FALTAS POR DECK'!$P$1="Nome","K"&amp;UPPER(SUBSTITUTE(SUBSTITUTE(SUBSTITUTE(C1040,"*",""),"?",""),"~",""))&amp;"0"&amp;M1040&amp;RIGHT("00000"&amp;ROW(),5),IF('FALTAS POR DECK'!$P$1="Falta (maior primeiro)","K"&amp;RIGHT("0000"&amp;(9999-F1040),4)&amp;M1040&amp;RIGHT("00000"&amp;ROW(),5),IF('FALTAS POR DECK'!$P$1="Deck e código","K"&amp;RIGHT("00"&amp;IFERROR(MATCH(A1040,_LEITURA!$P$2:$P$21,0),99),2)&amp;M1040&amp;RIGHT("00000"&amp;ROW(),5),"K"&amp;RIGHT("00000"&amp;ROW(),5))))))</f>
        <v/>
      </c>
      <c r="O1040" s="16" t="str">
        <f aca="false">IF(N1040="","",COUNTIFS($N$2:$N$1201,"&lt;"&amp;N1040,$F$2:$F$1201,"&gt;0")+1)</f>
        <v/>
      </c>
    </row>
    <row r="1041" customFormat="false" ht="15" hidden="false" customHeight="false" outlineLevel="0" collapsed="false">
      <c r="A1041" s="11" t="str">
        <f aca="false">IF(_LEITURA!$N1041="","",INDEX(_LEITURA!$K$2:$K$1201,_LEITURA!$N1041))</f>
        <v/>
      </c>
      <c r="B1041" s="11" t="str">
        <f aca="false">IF(_LEITURA!$N1041="","",INDEX(_LEITURA!$E$2:$E$1201,_LEITURA!$N1041))</f>
        <v/>
      </c>
      <c r="C1041" s="11" t="str">
        <f aca="false">IF(_LEITURA!$N1041="","",INDEX(_LEITURA!$J$2:$J$1201,_LEITURA!$N1041))</f>
        <v/>
      </c>
      <c r="D1041" s="16" t="str">
        <f aca="false">IF(_LEITURA!$N1041="","",INDEX(_LEITURA!$G$2:$G$1201,_LEITURA!$N1041))</f>
        <v/>
      </c>
      <c r="E1041" s="16" t="str">
        <f aca="false">IF(B1041="","",SUMIFS(INVENTÁRIO!$C$2:$C$801,INVENTÁRIO!$A$2:$A$801,B1041))</f>
        <v/>
      </c>
      <c r="F1041" s="16" t="str">
        <f aca="false">IF(B1041="","",MAX(0,D1041-E1041))</f>
        <v/>
      </c>
      <c r="G1041" s="16" t="str">
        <f aca="false">IF(B1041="","",IF(COUNTIFS($B$2:$B$1201,B1041,$A$2:$A$1201,"&lt;&gt;"&amp;A1041)&gt;0,"Sim",""))</f>
        <v/>
      </c>
      <c r="H1041" s="16" t="str">
        <f aca="false">IF(N(F1041)&gt;0,MAX(H$1:H1040)+1,"")</f>
        <v/>
      </c>
      <c r="I1041" s="11" t="str">
        <f aca="false">IF(B1041="","",IF(INDEX($C$2:$C$1201,MATCH(B1041,$B$2:$B$1201,0))&lt;&gt;C1041,"Nome diferente em outro deck — revisar",""))</f>
        <v/>
      </c>
      <c r="J1041" s="16" t="str">
        <f aca="false">IF(AND(B1041&lt;&gt;"",A1041=BULK!$A$1,N(F1041)&gt;0),MAX(J$1:J1040)+1,"")</f>
        <v/>
      </c>
      <c r="K1041" s="11" t="str">
        <f aca="false">IF(B1041="","",IFERROR(LEFT(B1041,FIND("-",B1041)-1),B1041))</f>
        <v/>
      </c>
      <c r="L1041" s="11" t="str">
        <f aca="false">IF(K1041="","",IF(ISNUMBER(--MID(K1041,1,1)),0,IF(ISNUMBER(--MID(K1041,2,1)),1,IF(ISNUMBER(--MID(K1041,3,1)),2,IF(ISNUMBER(--MID(K1041,4,1)),3,MIN(LEN(K1041),4))))))</f>
        <v/>
      </c>
      <c r="M1041" s="11" t="str">
        <f aca="false">IF(B1041="","",LEFT(K1041,L1041)&amp;REPT("0",4-L1041)&amp;RIGHT("000"&amp;IFERROR(VALUE(MID(K1041,L1041+1,9)),0),3)&amp;RIGHT("0000"&amp;IFERROR(VALUE(MID(B1041,FIND("-",B1041)+1,9)),0),4))</f>
        <v/>
      </c>
      <c r="N1041" s="11" t="str">
        <f aca="false">IF(OR(B1041="",N(F1041)&lt;=0),"",IF('FALTAS POR DECK'!$P$1="Código","K"&amp;M1041&amp;RIGHT("00000"&amp;ROW(),5),IF('FALTAS POR DECK'!$P$1="Nome","K"&amp;UPPER(SUBSTITUTE(SUBSTITUTE(SUBSTITUTE(C1041,"*",""),"?",""),"~",""))&amp;"0"&amp;M1041&amp;RIGHT("00000"&amp;ROW(),5),IF('FALTAS POR DECK'!$P$1="Falta (maior primeiro)","K"&amp;RIGHT("0000"&amp;(9999-F1041),4)&amp;M1041&amp;RIGHT("00000"&amp;ROW(),5),IF('FALTAS POR DECK'!$P$1="Deck e código","K"&amp;RIGHT("00"&amp;IFERROR(MATCH(A1041,_LEITURA!$P$2:$P$21,0),99),2)&amp;M1041&amp;RIGHT("00000"&amp;ROW(),5),"K"&amp;RIGHT("00000"&amp;ROW(),5))))))</f>
        <v/>
      </c>
      <c r="O1041" s="16" t="str">
        <f aca="false">IF(N1041="","",COUNTIFS($N$2:$N$1201,"&lt;"&amp;N1041,$F$2:$F$1201,"&gt;0")+1)</f>
        <v/>
      </c>
    </row>
    <row r="1042" customFormat="false" ht="15" hidden="false" customHeight="false" outlineLevel="0" collapsed="false">
      <c r="A1042" s="11" t="str">
        <f aca="false">IF(_LEITURA!$N1042="","",INDEX(_LEITURA!$K$2:$K$1201,_LEITURA!$N1042))</f>
        <v/>
      </c>
      <c r="B1042" s="11" t="str">
        <f aca="false">IF(_LEITURA!$N1042="","",INDEX(_LEITURA!$E$2:$E$1201,_LEITURA!$N1042))</f>
        <v/>
      </c>
      <c r="C1042" s="11" t="str">
        <f aca="false">IF(_LEITURA!$N1042="","",INDEX(_LEITURA!$J$2:$J$1201,_LEITURA!$N1042))</f>
        <v/>
      </c>
      <c r="D1042" s="16" t="str">
        <f aca="false">IF(_LEITURA!$N1042="","",INDEX(_LEITURA!$G$2:$G$1201,_LEITURA!$N1042))</f>
        <v/>
      </c>
      <c r="E1042" s="16" t="str">
        <f aca="false">IF(B1042="","",SUMIFS(INVENTÁRIO!$C$2:$C$801,INVENTÁRIO!$A$2:$A$801,B1042))</f>
        <v/>
      </c>
      <c r="F1042" s="16" t="str">
        <f aca="false">IF(B1042="","",MAX(0,D1042-E1042))</f>
        <v/>
      </c>
      <c r="G1042" s="16" t="str">
        <f aca="false">IF(B1042="","",IF(COUNTIFS($B$2:$B$1201,B1042,$A$2:$A$1201,"&lt;&gt;"&amp;A1042)&gt;0,"Sim",""))</f>
        <v/>
      </c>
      <c r="H1042" s="16" t="str">
        <f aca="false">IF(N(F1042)&gt;0,MAX(H$1:H1041)+1,"")</f>
        <v/>
      </c>
      <c r="I1042" s="11" t="str">
        <f aca="false">IF(B1042="","",IF(INDEX($C$2:$C$1201,MATCH(B1042,$B$2:$B$1201,0))&lt;&gt;C1042,"Nome diferente em outro deck — revisar",""))</f>
        <v/>
      </c>
      <c r="J1042" s="16" t="str">
        <f aca="false">IF(AND(B1042&lt;&gt;"",A1042=BULK!$A$1,N(F1042)&gt;0),MAX(J$1:J1041)+1,"")</f>
        <v/>
      </c>
      <c r="K1042" s="11" t="str">
        <f aca="false">IF(B1042="","",IFERROR(LEFT(B1042,FIND("-",B1042)-1),B1042))</f>
        <v/>
      </c>
      <c r="L1042" s="11" t="str">
        <f aca="false">IF(K1042="","",IF(ISNUMBER(--MID(K1042,1,1)),0,IF(ISNUMBER(--MID(K1042,2,1)),1,IF(ISNUMBER(--MID(K1042,3,1)),2,IF(ISNUMBER(--MID(K1042,4,1)),3,MIN(LEN(K1042),4))))))</f>
        <v/>
      </c>
      <c r="M1042" s="11" t="str">
        <f aca="false">IF(B1042="","",LEFT(K1042,L1042)&amp;REPT("0",4-L1042)&amp;RIGHT("000"&amp;IFERROR(VALUE(MID(K1042,L1042+1,9)),0),3)&amp;RIGHT("0000"&amp;IFERROR(VALUE(MID(B1042,FIND("-",B1042)+1,9)),0),4))</f>
        <v/>
      </c>
      <c r="N1042" s="11" t="str">
        <f aca="false">IF(OR(B1042="",N(F1042)&lt;=0),"",IF('FALTAS POR DECK'!$P$1="Código","K"&amp;M1042&amp;RIGHT("00000"&amp;ROW(),5),IF('FALTAS POR DECK'!$P$1="Nome","K"&amp;UPPER(SUBSTITUTE(SUBSTITUTE(SUBSTITUTE(C1042,"*",""),"?",""),"~",""))&amp;"0"&amp;M1042&amp;RIGHT("00000"&amp;ROW(),5),IF('FALTAS POR DECK'!$P$1="Falta (maior primeiro)","K"&amp;RIGHT("0000"&amp;(9999-F1042),4)&amp;M1042&amp;RIGHT("00000"&amp;ROW(),5),IF('FALTAS POR DECK'!$P$1="Deck e código","K"&amp;RIGHT("00"&amp;IFERROR(MATCH(A1042,_LEITURA!$P$2:$P$21,0),99),2)&amp;M1042&amp;RIGHT("00000"&amp;ROW(),5),"K"&amp;RIGHT("00000"&amp;ROW(),5))))))</f>
        <v/>
      </c>
      <c r="O1042" s="16" t="str">
        <f aca="false">IF(N1042="","",COUNTIFS($N$2:$N$1201,"&lt;"&amp;N1042,$F$2:$F$1201,"&gt;0")+1)</f>
        <v/>
      </c>
    </row>
    <row r="1043" customFormat="false" ht="15" hidden="false" customHeight="false" outlineLevel="0" collapsed="false">
      <c r="A1043" s="11" t="str">
        <f aca="false">IF(_LEITURA!$N1043="","",INDEX(_LEITURA!$K$2:$K$1201,_LEITURA!$N1043))</f>
        <v/>
      </c>
      <c r="B1043" s="11" t="str">
        <f aca="false">IF(_LEITURA!$N1043="","",INDEX(_LEITURA!$E$2:$E$1201,_LEITURA!$N1043))</f>
        <v/>
      </c>
      <c r="C1043" s="11" t="str">
        <f aca="false">IF(_LEITURA!$N1043="","",INDEX(_LEITURA!$J$2:$J$1201,_LEITURA!$N1043))</f>
        <v/>
      </c>
      <c r="D1043" s="16" t="str">
        <f aca="false">IF(_LEITURA!$N1043="","",INDEX(_LEITURA!$G$2:$G$1201,_LEITURA!$N1043))</f>
        <v/>
      </c>
      <c r="E1043" s="16" t="str">
        <f aca="false">IF(B1043="","",SUMIFS(INVENTÁRIO!$C$2:$C$801,INVENTÁRIO!$A$2:$A$801,B1043))</f>
        <v/>
      </c>
      <c r="F1043" s="16" t="str">
        <f aca="false">IF(B1043="","",MAX(0,D1043-E1043))</f>
        <v/>
      </c>
      <c r="G1043" s="16" t="str">
        <f aca="false">IF(B1043="","",IF(COUNTIFS($B$2:$B$1201,B1043,$A$2:$A$1201,"&lt;&gt;"&amp;A1043)&gt;0,"Sim",""))</f>
        <v/>
      </c>
      <c r="H1043" s="16" t="str">
        <f aca="false">IF(N(F1043)&gt;0,MAX(H$1:H1042)+1,"")</f>
        <v/>
      </c>
      <c r="I1043" s="11" t="str">
        <f aca="false">IF(B1043="","",IF(INDEX($C$2:$C$1201,MATCH(B1043,$B$2:$B$1201,0))&lt;&gt;C1043,"Nome diferente em outro deck — revisar",""))</f>
        <v/>
      </c>
      <c r="J1043" s="16" t="str">
        <f aca="false">IF(AND(B1043&lt;&gt;"",A1043=BULK!$A$1,N(F1043)&gt;0),MAX(J$1:J1042)+1,"")</f>
        <v/>
      </c>
      <c r="K1043" s="11" t="str">
        <f aca="false">IF(B1043="","",IFERROR(LEFT(B1043,FIND("-",B1043)-1),B1043))</f>
        <v/>
      </c>
      <c r="L1043" s="11" t="str">
        <f aca="false">IF(K1043="","",IF(ISNUMBER(--MID(K1043,1,1)),0,IF(ISNUMBER(--MID(K1043,2,1)),1,IF(ISNUMBER(--MID(K1043,3,1)),2,IF(ISNUMBER(--MID(K1043,4,1)),3,MIN(LEN(K1043),4))))))</f>
        <v/>
      </c>
      <c r="M1043" s="11" t="str">
        <f aca="false">IF(B1043="","",LEFT(K1043,L1043)&amp;REPT("0",4-L1043)&amp;RIGHT("000"&amp;IFERROR(VALUE(MID(K1043,L1043+1,9)),0),3)&amp;RIGHT("0000"&amp;IFERROR(VALUE(MID(B1043,FIND("-",B1043)+1,9)),0),4))</f>
        <v/>
      </c>
      <c r="N1043" s="11" t="str">
        <f aca="false">IF(OR(B1043="",N(F1043)&lt;=0),"",IF('FALTAS POR DECK'!$P$1="Código","K"&amp;M1043&amp;RIGHT("00000"&amp;ROW(),5),IF('FALTAS POR DECK'!$P$1="Nome","K"&amp;UPPER(SUBSTITUTE(SUBSTITUTE(SUBSTITUTE(C1043,"*",""),"?",""),"~",""))&amp;"0"&amp;M1043&amp;RIGHT("00000"&amp;ROW(),5),IF('FALTAS POR DECK'!$P$1="Falta (maior primeiro)","K"&amp;RIGHT("0000"&amp;(9999-F1043),4)&amp;M1043&amp;RIGHT("00000"&amp;ROW(),5),IF('FALTAS POR DECK'!$P$1="Deck e código","K"&amp;RIGHT("00"&amp;IFERROR(MATCH(A1043,_LEITURA!$P$2:$P$21,0),99),2)&amp;M1043&amp;RIGHT("00000"&amp;ROW(),5),"K"&amp;RIGHT("00000"&amp;ROW(),5))))))</f>
        <v/>
      </c>
      <c r="O1043" s="16" t="str">
        <f aca="false">IF(N1043="","",COUNTIFS($N$2:$N$1201,"&lt;"&amp;N1043,$F$2:$F$1201,"&gt;0")+1)</f>
        <v/>
      </c>
    </row>
    <row r="1044" customFormat="false" ht="15" hidden="false" customHeight="false" outlineLevel="0" collapsed="false">
      <c r="A1044" s="11" t="str">
        <f aca="false">IF(_LEITURA!$N1044="","",INDEX(_LEITURA!$K$2:$K$1201,_LEITURA!$N1044))</f>
        <v/>
      </c>
      <c r="B1044" s="11" t="str">
        <f aca="false">IF(_LEITURA!$N1044="","",INDEX(_LEITURA!$E$2:$E$1201,_LEITURA!$N1044))</f>
        <v/>
      </c>
      <c r="C1044" s="11" t="str">
        <f aca="false">IF(_LEITURA!$N1044="","",INDEX(_LEITURA!$J$2:$J$1201,_LEITURA!$N1044))</f>
        <v/>
      </c>
      <c r="D1044" s="16" t="str">
        <f aca="false">IF(_LEITURA!$N1044="","",INDEX(_LEITURA!$G$2:$G$1201,_LEITURA!$N1044))</f>
        <v/>
      </c>
      <c r="E1044" s="16" t="str">
        <f aca="false">IF(B1044="","",SUMIFS(INVENTÁRIO!$C$2:$C$801,INVENTÁRIO!$A$2:$A$801,B1044))</f>
        <v/>
      </c>
      <c r="F1044" s="16" t="str">
        <f aca="false">IF(B1044="","",MAX(0,D1044-E1044))</f>
        <v/>
      </c>
      <c r="G1044" s="16" t="str">
        <f aca="false">IF(B1044="","",IF(COUNTIFS($B$2:$B$1201,B1044,$A$2:$A$1201,"&lt;&gt;"&amp;A1044)&gt;0,"Sim",""))</f>
        <v/>
      </c>
      <c r="H1044" s="16" t="str">
        <f aca="false">IF(N(F1044)&gt;0,MAX(H$1:H1043)+1,"")</f>
        <v/>
      </c>
      <c r="I1044" s="11" t="str">
        <f aca="false">IF(B1044="","",IF(INDEX($C$2:$C$1201,MATCH(B1044,$B$2:$B$1201,0))&lt;&gt;C1044,"Nome diferente em outro deck — revisar",""))</f>
        <v/>
      </c>
      <c r="J1044" s="16" t="str">
        <f aca="false">IF(AND(B1044&lt;&gt;"",A1044=BULK!$A$1,N(F1044)&gt;0),MAX(J$1:J1043)+1,"")</f>
        <v/>
      </c>
      <c r="K1044" s="11" t="str">
        <f aca="false">IF(B1044="","",IFERROR(LEFT(B1044,FIND("-",B1044)-1),B1044))</f>
        <v/>
      </c>
      <c r="L1044" s="11" t="str">
        <f aca="false">IF(K1044="","",IF(ISNUMBER(--MID(K1044,1,1)),0,IF(ISNUMBER(--MID(K1044,2,1)),1,IF(ISNUMBER(--MID(K1044,3,1)),2,IF(ISNUMBER(--MID(K1044,4,1)),3,MIN(LEN(K1044),4))))))</f>
        <v/>
      </c>
      <c r="M1044" s="11" t="str">
        <f aca="false">IF(B1044="","",LEFT(K1044,L1044)&amp;REPT("0",4-L1044)&amp;RIGHT("000"&amp;IFERROR(VALUE(MID(K1044,L1044+1,9)),0),3)&amp;RIGHT("0000"&amp;IFERROR(VALUE(MID(B1044,FIND("-",B1044)+1,9)),0),4))</f>
        <v/>
      </c>
      <c r="N1044" s="11" t="str">
        <f aca="false">IF(OR(B1044="",N(F1044)&lt;=0),"",IF('FALTAS POR DECK'!$P$1="Código","K"&amp;M1044&amp;RIGHT("00000"&amp;ROW(),5),IF('FALTAS POR DECK'!$P$1="Nome","K"&amp;UPPER(SUBSTITUTE(SUBSTITUTE(SUBSTITUTE(C1044,"*",""),"?",""),"~",""))&amp;"0"&amp;M1044&amp;RIGHT("00000"&amp;ROW(),5),IF('FALTAS POR DECK'!$P$1="Falta (maior primeiro)","K"&amp;RIGHT("0000"&amp;(9999-F1044),4)&amp;M1044&amp;RIGHT("00000"&amp;ROW(),5),IF('FALTAS POR DECK'!$P$1="Deck e código","K"&amp;RIGHT("00"&amp;IFERROR(MATCH(A1044,_LEITURA!$P$2:$P$21,0),99),2)&amp;M1044&amp;RIGHT("00000"&amp;ROW(),5),"K"&amp;RIGHT("00000"&amp;ROW(),5))))))</f>
        <v/>
      </c>
      <c r="O1044" s="16" t="str">
        <f aca="false">IF(N1044="","",COUNTIFS($N$2:$N$1201,"&lt;"&amp;N1044,$F$2:$F$1201,"&gt;0")+1)</f>
        <v/>
      </c>
    </row>
    <row r="1045" customFormat="false" ht="15" hidden="false" customHeight="false" outlineLevel="0" collapsed="false">
      <c r="A1045" s="11" t="str">
        <f aca="false">IF(_LEITURA!$N1045="","",INDEX(_LEITURA!$K$2:$K$1201,_LEITURA!$N1045))</f>
        <v/>
      </c>
      <c r="B1045" s="11" t="str">
        <f aca="false">IF(_LEITURA!$N1045="","",INDEX(_LEITURA!$E$2:$E$1201,_LEITURA!$N1045))</f>
        <v/>
      </c>
      <c r="C1045" s="11" t="str">
        <f aca="false">IF(_LEITURA!$N1045="","",INDEX(_LEITURA!$J$2:$J$1201,_LEITURA!$N1045))</f>
        <v/>
      </c>
      <c r="D1045" s="16" t="str">
        <f aca="false">IF(_LEITURA!$N1045="","",INDEX(_LEITURA!$G$2:$G$1201,_LEITURA!$N1045))</f>
        <v/>
      </c>
      <c r="E1045" s="16" t="str">
        <f aca="false">IF(B1045="","",SUMIFS(INVENTÁRIO!$C$2:$C$801,INVENTÁRIO!$A$2:$A$801,B1045))</f>
        <v/>
      </c>
      <c r="F1045" s="16" t="str">
        <f aca="false">IF(B1045="","",MAX(0,D1045-E1045))</f>
        <v/>
      </c>
      <c r="G1045" s="16" t="str">
        <f aca="false">IF(B1045="","",IF(COUNTIFS($B$2:$B$1201,B1045,$A$2:$A$1201,"&lt;&gt;"&amp;A1045)&gt;0,"Sim",""))</f>
        <v/>
      </c>
      <c r="H1045" s="16" t="str">
        <f aca="false">IF(N(F1045)&gt;0,MAX(H$1:H1044)+1,"")</f>
        <v/>
      </c>
      <c r="I1045" s="11" t="str">
        <f aca="false">IF(B1045="","",IF(INDEX($C$2:$C$1201,MATCH(B1045,$B$2:$B$1201,0))&lt;&gt;C1045,"Nome diferente em outro deck — revisar",""))</f>
        <v/>
      </c>
      <c r="J1045" s="16" t="str">
        <f aca="false">IF(AND(B1045&lt;&gt;"",A1045=BULK!$A$1,N(F1045)&gt;0),MAX(J$1:J1044)+1,"")</f>
        <v/>
      </c>
      <c r="K1045" s="11" t="str">
        <f aca="false">IF(B1045="","",IFERROR(LEFT(B1045,FIND("-",B1045)-1),B1045))</f>
        <v/>
      </c>
      <c r="L1045" s="11" t="str">
        <f aca="false">IF(K1045="","",IF(ISNUMBER(--MID(K1045,1,1)),0,IF(ISNUMBER(--MID(K1045,2,1)),1,IF(ISNUMBER(--MID(K1045,3,1)),2,IF(ISNUMBER(--MID(K1045,4,1)),3,MIN(LEN(K1045),4))))))</f>
        <v/>
      </c>
      <c r="M1045" s="11" t="str">
        <f aca="false">IF(B1045="","",LEFT(K1045,L1045)&amp;REPT("0",4-L1045)&amp;RIGHT("000"&amp;IFERROR(VALUE(MID(K1045,L1045+1,9)),0),3)&amp;RIGHT("0000"&amp;IFERROR(VALUE(MID(B1045,FIND("-",B1045)+1,9)),0),4))</f>
        <v/>
      </c>
      <c r="N1045" s="11" t="str">
        <f aca="false">IF(OR(B1045="",N(F1045)&lt;=0),"",IF('FALTAS POR DECK'!$P$1="Código","K"&amp;M1045&amp;RIGHT("00000"&amp;ROW(),5),IF('FALTAS POR DECK'!$P$1="Nome","K"&amp;UPPER(SUBSTITUTE(SUBSTITUTE(SUBSTITUTE(C1045,"*",""),"?",""),"~",""))&amp;"0"&amp;M1045&amp;RIGHT("00000"&amp;ROW(),5),IF('FALTAS POR DECK'!$P$1="Falta (maior primeiro)","K"&amp;RIGHT("0000"&amp;(9999-F1045),4)&amp;M1045&amp;RIGHT("00000"&amp;ROW(),5),IF('FALTAS POR DECK'!$P$1="Deck e código","K"&amp;RIGHT("00"&amp;IFERROR(MATCH(A1045,_LEITURA!$P$2:$P$21,0),99),2)&amp;M1045&amp;RIGHT("00000"&amp;ROW(),5),"K"&amp;RIGHT("00000"&amp;ROW(),5))))))</f>
        <v/>
      </c>
      <c r="O1045" s="16" t="str">
        <f aca="false">IF(N1045="","",COUNTIFS($N$2:$N$1201,"&lt;"&amp;N1045,$F$2:$F$1201,"&gt;0")+1)</f>
        <v/>
      </c>
    </row>
    <row r="1046" customFormat="false" ht="15" hidden="false" customHeight="false" outlineLevel="0" collapsed="false">
      <c r="A1046" s="11" t="str">
        <f aca="false">IF(_LEITURA!$N1046="","",INDEX(_LEITURA!$K$2:$K$1201,_LEITURA!$N1046))</f>
        <v/>
      </c>
      <c r="B1046" s="11" t="str">
        <f aca="false">IF(_LEITURA!$N1046="","",INDEX(_LEITURA!$E$2:$E$1201,_LEITURA!$N1046))</f>
        <v/>
      </c>
      <c r="C1046" s="11" t="str">
        <f aca="false">IF(_LEITURA!$N1046="","",INDEX(_LEITURA!$J$2:$J$1201,_LEITURA!$N1046))</f>
        <v/>
      </c>
      <c r="D1046" s="16" t="str">
        <f aca="false">IF(_LEITURA!$N1046="","",INDEX(_LEITURA!$G$2:$G$1201,_LEITURA!$N1046))</f>
        <v/>
      </c>
      <c r="E1046" s="16" t="str">
        <f aca="false">IF(B1046="","",SUMIFS(INVENTÁRIO!$C$2:$C$801,INVENTÁRIO!$A$2:$A$801,B1046))</f>
        <v/>
      </c>
      <c r="F1046" s="16" t="str">
        <f aca="false">IF(B1046="","",MAX(0,D1046-E1046))</f>
        <v/>
      </c>
      <c r="G1046" s="16" t="str">
        <f aca="false">IF(B1046="","",IF(COUNTIFS($B$2:$B$1201,B1046,$A$2:$A$1201,"&lt;&gt;"&amp;A1046)&gt;0,"Sim",""))</f>
        <v/>
      </c>
      <c r="H1046" s="16" t="str">
        <f aca="false">IF(N(F1046)&gt;0,MAX(H$1:H1045)+1,"")</f>
        <v/>
      </c>
      <c r="I1046" s="11" t="str">
        <f aca="false">IF(B1046="","",IF(INDEX($C$2:$C$1201,MATCH(B1046,$B$2:$B$1201,0))&lt;&gt;C1046,"Nome diferente em outro deck — revisar",""))</f>
        <v/>
      </c>
      <c r="J1046" s="16" t="str">
        <f aca="false">IF(AND(B1046&lt;&gt;"",A1046=BULK!$A$1,N(F1046)&gt;0),MAX(J$1:J1045)+1,"")</f>
        <v/>
      </c>
      <c r="K1046" s="11" t="str">
        <f aca="false">IF(B1046="","",IFERROR(LEFT(B1046,FIND("-",B1046)-1),B1046))</f>
        <v/>
      </c>
      <c r="L1046" s="11" t="str">
        <f aca="false">IF(K1046="","",IF(ISNUMBER(--MID(K1046,1,1)),0,IF(ISNUMBER(--MID(K1046,2,1)),1,IF(ISNUMBER(--MID(K1046,3,1)),2,IF(ISNUMBER(--MID(K1046,4,1)),3,MIN(LEN(K1046),4))))))</f>
        <v/>
      </c>
      <c r="M1046" s="11" t="str">
        <f aca="false">IF(B1046="","",LEFT(K1046,L1046)&amp;REPT("0",4-L1046)&amp;RIGHT("000"&amp;IFERROR(VALUE(MID(K1046,L1046+1,9)),0),3)&amp;RIGHT("0000"&amp;IFERROR(VALUE(MID(B1046,FIND("-",B1046)+1,9)),0),4))</f>
        <v/>
      </c>
      <c r="N1046" s="11" t="str">
        <f aca="false">IF(OR(B1046="",N(F1046)&lt;=0),"",IF('FALTAS POR DECK'!$P$1="Código","K"&amp;M1046&amp;RIGHT("00000"&amp;ROW(),5),IF('FALTAS POR DECK'!$P$1="Nome","K"&amp;UPPER(SUBSTITUTE(SUBSTITUTE(SUBSTITUTE(C1046,"*",""),"?",""),"~",""))&amp;"0"&amp;M1046&amp;RIGHT("00000"&amp;ROW(),5),IF('FALTAS POR DECK'!$P$1="Falta (maior primeiro)","K"&amp;RIGHT("0000"&amp;(9999-F1046),4)&amp;M1046&amp;RIGHT("00000"&amp;ROW(),5),IF('FALTAS POR DECK'!$P$1="Deck e código","K"&amp;RIGHT("00"&amp;IFERROR(MATCH(A1046,_LEITURA!$P$2:$P$21,0),99),2)&amp;M1046&amp;RIGHT("00000"&amp;ROW(),5),"K"&amp;RIGHT("00000"&amp;ROW(),5))))))</f>
        <v/>
      </c>
      <c r="O1046" s="16" t="str">
        <f aca="false">IF(N1046="","",COUNTIFS($N$2:$N$1201,"&lt;"&amp;N1046,$F$2:$F$1201,"&gt;0")+1)</f>
        <v/>
      </c>
    </row>
    <row r="1047" customFormat="false" ht="15" hidden="false" customHeight="false" outlineLevel="0" collapsed="false">
      <c r="A1047" s="11" t="str">
        <f aca="false">IF(_LEITURA!$N1047="","",INDEX(_LEITURA!$K$2:$K$1201,_LEITURA!$N1047))</f>
        <v/>
      </c>
      <c r="B1047" s="11" t="str">
        <f aca="false">IF(_LEITURA!$N1047="","",INDEX(_LEITURA!$E$2:$E$1201,_LEITURA!$N1047))</f>
        <v/>
      </c>
      <c r="C1047" s="11" t="str">
        <f aca="false">IF(_LEITURA!$N1047="","",INDEX(_LEITURA!$J$2:$J$1201,_LEITURA!$N1047))</f>
        <v/>
      </c>
      <c r="D1047" s="16" t="str">
        <f aca="false">IF(_LEITURA!$N1047="","",INDEX(_LEITURA!$G$2:$G$1201,_LEITURA!$N1047))</f>
        <v/>
      </c>
      <c r="E1047" s="16" t="str">
        <f aca="false">IF(B1047="","",SUMIFS(INVENTÁRIO!$C$2:$C$801,INVENTÁRIO!$A$2:$A$801,B1047))</f>
        <v/>
      </c>
      <c r="F1047" s="16" t="str">
        <f aca="false">IF(B1047="","",MAX(0,D1047-E1047))</f>
        <v/>
      </c>
      <c r="G1047" s="16" t="str">
        <f aca="false">IF(B1047="","",IF(COUNTIFS($B$2:$B$1201,B1047,$A$2:$A$1201,"&lt;&gt;"&amp;A1047)&gt;0,"Sim",""))</f>
        <v/>
      </c>
      <c r="H1047" s="16" t="str">
        <f aca="false">IF(N(F1047)&gt;0,MAX(H$1:H1046)+1,"")</f>
        <v/>
      </c>
      <c r="I1047" s="11" t="str">
        <f aca="false">IF(B1047="","",IF(INDEX($C$2:$C$1201,MATCH(B1047,$B$2:$B$1201,0))&lt;&gt;C1047,"Nome diferente em outro deck — revisar",""))</f>
        <v/>
      </c>
      <c r="J1047" s="16" t="str">
        <f aca="false">IF(AND(B1047&lt;&gt;"",A1047=BULK!$A$1,N(F1047)&gt;0),MAX(J$1:J1046)+1,"")</f>
        <v/>
      </c>
      <c r="K1047" s="11" t="str">
        <f aca="false">IF(B1047="","",IFERROR(LEFT(B1047,FIND("-",B1047)-1),B1047))</f>
        <v/>
      </c>
      <c r="L1047" s="11" t="str">
        <f aca="false">IF(K1047="","",IF(ISNUMBER(--MID(K1047,1,1)),0,IF(ISNUMBER(--MID(K1047,2,1)),1,IF(ISNUMBER(--MID(K1047,3,1)),2,IF(ISNUMBER(--MID(K1047,4,1)),3,MIN(LEN(K1047),4))))))</f>
        <v/>
      </c>
      <c r="M1047" s="11" t="str">
        <f aca="false">IF(B1047="","",LEFT(K1047,L1047)&amp;REPT("0",4-L1047)&amp;RIGHT("000"&amp;IFERROR(VALUE(MID(K1047,L1047+1,9)),0),3)&amp;RIGHT("0000"&amp;IFERROR(VALUE(MID(B1047,FIND("-",B1047)+1,9)),0),4))</f>
        <v/>
      </c>
      <c r="N1047" s="11" t="str">
        <f aca="false">IF(OR(B1047="",N(F1047)&lt;=0),"",IF('FALTAS POR DECK'!$P$1="Código","K"&amp;M1047&amp;RIGHT("00000"&amp;ROW(),5),IF('FALTAS POR DECK'!$P$1="Nome","K"&amp;UPPER(SUBSTITUTE(SUBSTITUTE(SUBSTITUTE(C1047,"*",""),"?",""),"~",""))&amp;"0"&amp;M1047&amp;RIGHT("00000"&amp;ROW(),5),IF('FALTAS POR DECK'!$P$1="Falta (maior primeiro)","K"&amp;RIGHT("0000"&amp;(9999-F1047),4)&amp;M1047&amp;RIGHT("00000"&amp;ROW(),5),IF('FALTAS POR DECK'!$P$1="Deck e código","K"&amp;RIGHT("00"&amp;IFERROR(MATCH(A1047,_LEITURA!$P$2:$P$21,0),99),2)&amp;M1047&amp;RIGHT("00000"&amp;ROW(),5),"K"&amp;RIGHT("00000"&amp;ROW(),5))))))</f>
        <v/>
      </c>
      <c r="O1047" s="16" t="str">
        <f aca="false">IF(N1047="","",COUNTIFS($N$2:$N$1201,"&lt;"&amp;N1047,$F$2:$F$1201,"&gt;0")+1)</f>
        <v/>
      </c>
    </row>
    <row r="1048" customFormat="false" ht="15" hidden="false" customHeight="false" outlineLevel="0" collapsed="false">
      <c r="A1048" s="11" t="str">
        <f aca="false">IF(_LEITURA!$N1048="","",INDEX(_LEITURA!$K$2:$K$1201,_LEITURA!$N1048))</f>
        <v/>
      </c>
      <c r="B1048" s="11" t="str">
        <f aca="false">IF(_LEITURA!$N1048="","",INDEX(_LEITURA!$E$2:$E$1201,_LEITURA!$N1048))</f>
        <v/>
      </c>
      <c r="C1048" s="11" t="str">
        <f aca="false">IF(_LEITURA!$N1048="","",INDEX(_LEITURA!$J$2:$J$1201,_LEITURA!$N1048))</f>
        <v/>
      </c>
      <c r="D1048" s="16" t="str">
        <f aca="false">IF(_LEITURA!$N1048="","",INDEX(_LEITURA!$G$2:$G$1201,_LEITURA!$N1048))</f>
        <v/>
      </c>
      <c r="E1048" s="16" t="str">
        <f aca="false">IF(B1048="","",SUMIFS(INVENTÁRIO!$C$2:$C$801,INVENTÁRIO!$A$2:$A$801,B1048))</f>
        <v/>
      </c>
      <c r="F1048" s="16" t="str">
        <f aca="false">IF(B1048="","",MAX(0,D1048-E1048))</f>
        <v/>
      </c>
      <c r="G1048" s="16" t="str">
        <f aca="false">IF(B1048="","",IF(COUNTIFS($B$2:$B$1201,B1048,$A$2:$A$1201,"&lt;&gt;"&amp;A1048)&gt;0,"Sim",""))</f>
        <v/>
      </c>
      <c r="H1048" s="16" t="str">
        <f aca="false">IF(N(F1048)&gt;0,MAX(H$1:H1047)+1,"")</f>
        <v/>
      </c>
      <c r="I1048" s="11" t="str">
        <f aca="false">IF(B1048="","",IF(INDEX($C$2:$C$1201,MATCH(B1048,$B$2:$B$1201,0))&lt;&gt;C1048,"Nome diferente em outro deck — revisar",""))</f>
        <v/>
      </c>
      <c r="J1048" s="16" t="str">
        <f aca="false">IF(AND(B1048&lt;&gt;"",A1048=BULK!$A$1,N(F1048)&gt;0),MAX(J$1:J1047)+1,"")</f>
        <v/>
      </c>
      <c r="K1048" s="11" t="str">
        <f aca="false">IF(B1048="","",IFERROR(LEFT(B1048,FIND("-",B1048)-1),B1048))</f>
        <v/>
      </c>
      <c r="L1048" s="11" t="str">
        <f aca="false">IF(K1048="","",IF(ISNUMBER(--MID(K1048,1,1)),0,IF(ISNUMBER(--MID(K1048,2,1)),1,IF(ISNUMBER(--MID(K1048,3,1)),2,IF(ISNUMBER(--MID(K1048,4,1)),3,MIN(LEN(K1048),4))))))</f>
        <v/>
      </c>
      <c r="M1048" s="11" t="str">
        <f aca="false">IF(B1048="","",LEFT(K1048,L1048)&amp;REPT("0",4-L1048)&amp;RIGHT("000"&amp;IFERROR(VALUE(MID(K1048,L1048+1,9)),0),3)&amp;RIGHT("0000"&amp;IFERROR(VALUE(MID(B1048,FIND("-",B1048)+1,9)),0),4))</f>
        <v/>
      </c>
      <c r="N1048" s="11" t="str">
        <f aca="false">IF(OR(B1048="",N(F1048)&lt;=0),"",IF('FALTAS POR DECK'!$P$1="Código","K"&amp;M1048&amp;RIGHT("00000"&amp;ROW(),5),IF('FALTAS POR DECK'!$P$1="Nome","K"&amp;UPPER(SUBSTITUTE(SUBSTITUTE(SUBSTITUTE(C1048,"*",""),"?",""),"~",""))&amp;"0"&amp;M1048&amp;RIGHT("00000"&amp;ROW(),5),IF('FALTAS POR DECK'!$P$1="Falta (maior primeiro)","K"&amp;RIGHT("0000"&amp;(9999-F1048),4)&amp;M1048&amp;RIGHT("00000"&amp;ROW(),5),IF('FALTAS POR DECK'!$P$1="Deck e código","K"&amp;RIGHT("00"&amp;IFERROR(MATCH(A1048,_LEITURA!$P$2:$P$21,0),99),2)&amp;M1048&amp;RIGHT("00000"&amp;ROW(),5),"K"&amp;RIGHT("00000"&amp;ROW(),5))))))</f>
        <v/>
      </c>
      <c r="O1048" s="16" t="str">
        <f aca="false">IF(N1048="","",COUNTIFS($N$2:$N$1201,"&lt;"&amp;N1048,$F$2:$F$1201,"&gt;0")+1)</f>
        <v/>
      </c>
    </row>
    <row r="1049" customFormat="false" ht="15" hidden="false" customHeight="false" outlineLevel="0" collapsed="false">
      <c r="A1049" s="11" t="str">
        <f aca="false">IF(_LEITURA!$N1049="","",INDEX(_LEITURA!$K$2:$K$1201,_LEITURA!$N1049))</f>
        <v/>
      </c>
      <c r="B1049" s="11" t="str">
        <f aca="false">IF(_LEITURA!$N1049="","",INDEX(_LEITURA!$E$2:$E$1201,_LEITURA!$N1049))</f>
        <v/>
      </c>
      <c r="C1049" s="11" t="str">
        <f aca="false">IF(_LEITURA!$N1049="","",INDEX(_LEITURA!$J$2:$J$1201,_LEITURA!$N1049))</f>
        <v/>
      </c>
      <c r="D1049" s="16" t="str">
        <f aca="false">IF(_LEITURA!$N1049="","",INDEX(_LEITURA!$G$2:$G$1201,_LEITURA!$N1049))</f>
        <v/>
      </c>
      <c r="E1049" s="16" t="str">
        <f aca="false">IF(B1049="","",SUMIFS(INVENTÁRIO!$C$2:$C$801,INVENTÁRIO!$A$2:$A$801,B1049))</f>
        <v/>
      </c>
      <c r="F1049" s="16" t="str">
        <f aca="false">IF(B1049="","",MAX(0,D1049-E1049))</f>
        <v/>
      </c>
      <c r="G1049" s="16" t="str">
        <f aca="false">IF(B1049="","",IF(COUNTIFS($B$2:$B$1201,B1049,$A$2:$A$1201,"&lt;&gt;"&amp;A1049)&gt;0,"Sim",""))</f>
        <v/>
      </c>
      <c r="H1049" s="16" t="str">
        <f aca="false">IF(N(F1049)&gt;0,MAX(H$1:H1048)+1,"")</f>
        <v/>
      </c>
      <c r="I1049" s="11" t="str">
        <f aca="false">IF(B1049="","",IF(INDEX($C$2:$C$1201,MATCH(B1049,$B$2:$B$1201,0))&lt;&gt;C1049,"Nome diferente em outro deck — revisar",""))</f>
        <v/>
      </c>
      <c r="J1049" s="16" t="str">
        <f aca="false">IF(AND(B1049&lt;&gt;"",A1049=BULK!$A$1,N(F1049)&gt;0),MAX(J$1:J1048)+1,"")</f>
        <v/>
      </c>
      <c r="K1049" s="11" t="str">
        <f aca="false">IF(B1049="","",IFERROR(LEFT(B1049,FIND("-",B1049)-1),B1049))</f>
        <v/>
      </c>
      <c r="L1049" s="11" t="str">
        <f aca="false">IF(K1049="","",IF(ISNUMBER(--MID(K1049,1,1)),0,IF(ISNUMBER(--MID(K1049,2,1)),1,IF(ISNUMBER(--MID(K1049,3,1)),2,IF(ISNUMBER(--MID(K1049,4,1)),3,MIN(LEN(K1049),4))))))</f>
        <v/>
      </c>
      <c r="M1049" s="11" t="str">
        <f aca="false">IF(B1049="","",LEFT(K1049,L1049)&amp;REPT("0",4-L1049)&amp;RIGHT("000"&amp;IFERROR(VALUE(MID(K1049,L1049+1,9)),0),3)&amp;RIGHT("0000"&amp;IFERROR(VALUE(MID(B1049,FIND("-",B1049)+1,9)),0),4))</f>
        <v/>
      </c>
      <c r="N1049" s="11" t="str">
        <f aca="false">IF(OR(B1049="",N(F1049)&lt;=0),"",IF('FALTAS POR DECK'!$P$1="Código","K"&amp;M1049&amp;RIGHT("00000"&amp;ROW(),5),IF('FALTAS POR DECK'!$P$1="Nome","K"&amp;UPPER(SUBSTITUTE(SUBSTITUTE(SUBSTITUTE(C1049,"*",""),"?",""),"~",""))&amp;"0"&amp;M1049&amp;RIGHT("00000"&amp;ROW(),5),IF('FALTAS POR DECK'!$P$1="Falta (maior primeiro)","K"&amp;RIGHT("0000"&amp;(9999-F1049),4)&amp;M1049&amp;RIGHT("00000"&amp;ROW(),5),IF('FALTAS POR DECK'!$P$1="Deck e código","K"&amp;RIGHT("00"&amp;IFERROR(MATCH(A1049,_LEITURA!$P$2:$P$21,0),99),2)&amp;M1049&amp;RIGHT("00000"&amp;ROW(),5),"K"&amp;RIGHT("00000"&amp;ROW(),5))))))</f>
        <v/>
      </c>
      <c r="O1049" s="16" t="str">
        <f aca="false">IF(N1049="","",COUNTIFS($N$2:$N$1201,"&lt;"&amp;N1049,$F$2:$F$1201,"&gt;0")+1)</f>
        <v/>
      </c>
    </row>
    <row r="1050" customFormat="false" ht="15" hidden="false" customHeight="false" outlineLevel="0" collapsed="false">
      <c r="A1050" s="11" t="str">
        <f aca="false">IF(_LEITURA!$N1050="","",INDEX(_LEITURA!$K$2:$K$1201,_LEITURA!$N1050))</f>
        <v/>
      </c>
      <c r="B1050" s="11" t="str">
        <f aca="false">IF(_LEITURA!$N1050="","",INDEX(_LEITURA!$E$2:$E$1201,_LEITURA!$N1050))</f>
        <v/>
      </c>
      <c r="C1050" s="11" t="str">
        <f aca="false">IF(_LEITURA!$N1050="","",INDEX(_LEITURA!$J$2:$J$1201,_LEITURA!$N1050))</f>
        <v/>
      </c>
      <c r="D1050" s="16" t="str">
        <f aca="false">IF(_LEITURA!$N1050="","",INDEX(_LEITURA!$G$2:$G$1201,_LEITURA!$N1050))</f>
        <v/>
      </c>
      <c r="E1050" s="16" t="str">
        <f aca="false">IF(B1050="","",SUMIFS(INVENTÁRIO!$C$2:$C$801,INVENTÁRIO!$A$2:$A$801,B1050))</f>
        <v/>
      </c>
      <c r="F1050" s="16" t="str">
        <f aca="false">IF(B1050="","",MAX(0,D1050-E1050))</f>
        <v/>
      </c>
      <c r="G1050" s="16" t="str">
        <f aca="false">IF(B1050="","",IF(COUNTIFS($B$2:$B$1201,B1050,$A$2:$A$1201,"&lt;&gt;"&amp;A1050)&gt;0,"Sim",""))</f>
        <v/>
      </c>
      <c r="H1050" s="16" t="str">
        <f aca="false">IF(N(F1050)&gt;0,MAX(H$1:H1049)+1,"")</f>
        <v/>
      </c>
      <c r="I1050" s="11" t="str">
        <f aca="false">IF(B1050="","",IF(INDEX($C$2:$C$1201,MATCH(B1050,$B$2:$B$1201,0))&lt;&gt;C1050,"Nome diferente em outro deck — revisar",""))</f>
        <v/>
      </c>
      <c r="J1050" s="16" t="str">
        <f aca="false">IF(AND(B1050&lt;&gt;"",A1050=BULK!$A$1,N(F1050)&gt;0),MAX(J$1:J1049)+1,"")</f>
        <v/>
      </c>
      <c r="K1050" s="11" t="str">
        <f aca="false">IF(B1050="","",IFERROR(LEFT(B1050,FIND("-",B1050)-1),B1050))</f>
        <v/>
      </c>
      <c r="L1050" s="11" t="str">
        <f aca="false">IF(K1050="","",IF(ISNUMBER(--MID(K1050,1,1)),0,IF(ISNUMBER(--MID(K1050,2,1)),1,IF(ISNUMBER(--MID(K1050,3,1)),2,IF(ISNUMBER(--MID(K1050,4,1)),3,MIN(LEN(K1050),4))))))</f>
        <v/>
      </c>
      <c r="M1050" s="11" t="str">
        <f aca="false">IF(B1050="","",LEFT(K1050,L1050)&amp;REPT("0",4-L1050)&amp;RIGHT("000"&amp;IFERROR(VALUE(MID(K1050,L1050+1,9)),0),3)&amp;RIGHT("0000"&amp;IFERROR(VALUE(MID(B1050,FIND("-",B1050)+1,9)),0),4))</f>
        <v/>
      </c>
      <c r="N1050" s="11" t="str">
        <f aca="false">IF(OR(B1050="",N(F1050)&lt;=0),"",IF('FALTAS POR DECK'!$P$1="Código","K"&amp;M1050&amp;RIGHT("00000"&amp;ROW(),5),IF('FALTAS POR DECK'!$P$1="Nome","K"&amp;UPPER(SUBSTITUTE(SUBSTITUTE(SUBSTITUTE(C1050,"*",""),"?",""),"~",""))&amp;"0"&amp;M1050&amp;RIGHT("00000"&amp;ROW(),5),IF('FALTAS POR DECK'!$P$1="Falta (maior primeiro)","K"&amp;RIGHT("0000"&amp;(9999-F1050),4)&amp;M1050&amp;RIGHT("00000"&amp;ROW(),5),IF('FALTAS POR DECK'!$P$1="Deck e código","K"&amp;RIGHT("00"&amp;IFERROR(MATCH(A1050,_LEITURA!$P$2:$P$21,0),99),2)&amp;M1050&amp;RIGHT("00000"&amp;ROW(),5),"K"&amp;RIGHT("00000"&amp;ROW(),5))))))</f>
        <v/>
      </c>
      <c r="O1050" s="16" t="str">
        <f aca="false">IF(N1050="","",COUNTIFS($N$2:$N$1201,"&lt;"&amp;N1050,$F$2:$F$1201,"&gt;0")+1)</f>
        <v/>
      </c>
    </row>
    <row r="1051" customFormat="false" ht="15" hidden="false" customHeight="false" outlineLevel="0" collapsed="false">
      <c r="A1051" s="11" t="str">
        <f aca="false">IF(_LEITURA!$N1051="","",INDEX(_LEITURA!$K$2:$K$1201,_LEITURA!$N1051))</f>
        <v/>
      </c>
      <c r="B1051" s="11" t="str">
        <f aca="false">IF(_LEITURA!$N1051="","",INDEX(_LEITURA!$E$2:$E$1201,_LEITURA!$N1051))</f>
        <v/>
      </c>
      <c r="C1051" s="11" t="str">
        <f aca="false">IF(_LEITURA!$N1051="","",INDEX(_LEITURA!$J$2:$J$1201,_LEITURA!$N1051))</f>
        <v/>
      </c>
      <c r="D1051" s="16" t="str">
        <f aca="false">IF(_LEITURA!$N1051="","",INDEX(_LEITURA!$G$2:$G$1201,_LEITURA!$N1051))</f>
        <v/>
      </c>
      <c r="E1051" s="16" t="str">
        <f aca="false">IF(B1051="","",SUMIFS(INVENTÁRIO!$C$2:$C$801,INVENTÁRIO!$A$2:$A$801,B1051))</f>
        <v/>
      </c>
      <c r="F1051" s="16" t="str">
        <f aca="false">IF(B1051="","",MAX(0,D1051-E1051))</f>
        <v/>
      </c>
      <c r="G1051" s="16" t="str">
        <f aca="false">IF(B1051="","",IF(COUNTIFS($B$2:$B$1201,B1051,$A$2:$A$1201,"&lt;&gt;"&amp;A1051)&gt;0,"Sim",""))</f>
        <v/>
      </c>
      <c r="H1051" s="16" t="str">
        <f aca="false">IF(N(F1051)&gt;0,MAX(H$1:H1050)+1,"")</f>
        <v/>
      </c>
      <c r="I1051" s="11" t="str">
        <f aca="false">IF(B1051="","",IF(INDEX($C$2:$C$1201,MATCH(B1051,$B$2:$B$1201,0))&lt;&gt;C1051,"Nome diferente em outro deck — revisar",""))</f>
        <v/>
      </c>
      <c r="J1051" s="16" t="str">
        <f aca="false">IF(AND(B1051&lt;&gt;"",A1051=BULK!$A$1,N(F1051)&gt;0),MAX(J$1:J1050)+1,"")</f>
        <v/>
      </c>
      <c r="K1051" s="11" t="str">
        <f aca="false">IF(B1051="","",IFERROR(LEFT(B1051,FIND("-",B1051)-1),B1051))</f>
        <v/>
      </c>
      <c r="L1051" s="11" t="str">
        <f aca="false">IF(K1051="","",IF(ISNUMBER(--MID(K1051,1,1)),0,IF(ISNUMBER(--MID(K1051,2,1)),1,IF(ISNUMBER(--MID(K1051,3,1)),2,IF(ISNUMBER(--MID(K1051,4,1)),3,MIN(LEN(K1051),4))))))</f>
        <v/>
      </c>
      <c r="M1051" s="11" t="str">
        <f aca="false">IF(B1051="","",LEFT(K1051,L1051)&amp;REPT("0",4-L1051)&amp;RIGHT("000"&amp;IFERROR(VALUE(MID(K1051,L1051+1,9)),0),3)&amp;RIGHT("0000"&amp;IFERROR(VALUE(MID(B1051,FIND("-",B1051)+1,9)),0),4))</f>
        <v/>
      </c>
      <c r="N1051" s="11" t="str">
        <f aca="false">IF(OR(B1051="",N(F1051)&lt;=0),"",IF('FALTAS POR DECK'!$P$1="Código","K"&amp;M1051&amp;RIGHT("00000"&amp;ROW(),5),IF('FALTAS POR DECK'!$P$1="Nome","K"&amp;UPPER(SUBSTITUTE(SUBSTITUTE(SUBSTITUTE(C1051,"*",""),"?",""),"~",""))&amp;"0"&amp;M1051&amp;RIGHT("00000"&amp;ROW(),5),IF('FALTAS POR DECK'!$P$1="Falta (maior primeiro)","K"&amp;RIGHT("0000"&amp;(9999-F1051),4)&amp;M1051&amp;RIGHT("00000"&amp;ROW(),5),IF('FALTAS POR DECK'!$P$1="Deck e código","K"&amp;RIGHT("00"&amp;IFERROR(MATCH(A1051,_LEITURA!$P$2:$P$21,0),99),2)&amp;M1051&amp;RIGHT("00000"&amp;ROW(),5),"K"&amp;RIGHT("00000"&amp;ROW(),5))))))</f>
        <v/>
      </c>
      <c r="O1051" s="16" t="str">
        <f aca="false">IF(N1051="","",COUNTIFS($N$2:$N$1201,"&lt;"&amp;N1051,$F$2:$F$1201,"&gt;0")+1)</f>
        <v/>
      </c>
    </row>
    <row r="1052" customFormat="false" ht="15" hidden="false" customHeight="false" outlineLevel="0" collapsed="false">
      <c r="A1052" s="11" t="str">
        <f aca="false">IF(_LEITURA!$N1052="","",INDEX(_LEITURA!$K$2:$K$1201,_LEITURA!$N1052))</f>
        <v/>
      </c>
      <c r="B1052" s="11" t="str">
        <f aca="false">IF(_LEITURA!$N1052="","",INDEX(_LEITURA!$E$2:$E$1201,_LEITURA!$N1052))</f>
        <v/>
      </c>
      <c r="C1052" s="11" t="str">
        <f aca="false">IF(_LEITURA!$N1052="","",INDEX(_LEITURA!$J$2:$J$1201,_LEITURA!$N1052))</f>
        <v/>
      </c>
      <c r="D1052" s="16" t="str">
        <f aca="false">IF(_LEITURA!$N1052="","",INDEX(_LEITURA!$G$2:$G$1201,_LEITURA!$N1052))</f>
        <v/>
      </c>
      <c r="E1052" s="16" t="str">
        <f aca="false">IF(B1052="","",SUMIFS(INVENTÁRIO!$C$2:$C$801,INVENTÁRIO!$A$2:$A$801,B1052))</f>
        <v/>
      </c>
      <c r="F1052" s="16" t="str">
        <f aca="false">IF(B1052="","",MAX(0,D1052-E1052))</f>
        <v/>
      </c>
      <c r="G1052" s="16" t="str">
        <f aca="false">IF(B1052="","",IF(COUNTIFS($B$2:$B$1201,B1052,$A$2:$A$1201,"&lt;&gt;"&amp;A1052)&gt;0,"Sim",""))</f>
        <v/>
      </c>
      <c r="H1052" s="16" t="str">
        <f aca="false">IF(N(F1052)&gt;0,MAX(H$1:H1051)+1,"")</f>
        <v/>
      </c>
      <c r="I1052" s="11" t="str">
        <f aca="false">IF(B1052="","",IF(INDEX($C$2:$C$1201,MATCH(B1052,$B$2:$B$1201,0))&lt;&gt;C1052,"Nome diferente em outro deck — revisar",""))</f>
        <v/>
      </c>
      <c r="J1052" s="16" t="str">
        <f aca="false">IF(AND(B1052&lt;&gt;"",A1052=BULK!$A$1,N(F1052)&gt;0),MAX(J$1:J1051)+1,"")</f>
        <v/>
      </c>
      <c r="K1052" s="11" t="str">
        <f aca="false">IF(B1052="","",IFERROR(LEFT(B1052,FIND("-",B1052)-1),B1052))</f>
        <v/>
      </c>
      <c r="L1052" s="11" t="str">
        <f aca="false">IF(K1052="","",IF(ISNUMBER(--MID(K1052,1,1)),0,IF(ISNUMBER(--MID(K1052,2,1)),1,IF(ISNUMBER(--MID(K1052,3,1)),2,IF(ISNUMBER(--MID(K1052,4,1)),3,MIN(LEN(K1052),4))))))</f>
        <v/>
      </c>
      <c r="M1052" s="11" t="str">
        <f aca="false">IF(B1052="","",LEFT(K1052,L1052)&amp;REPT("0",4-L1052)&amp;RIGHT("000"&amp;IFERROR(VALUE(MID(K1052,L1052+1,9)),0),3)&amp;RIGHT("0000"&amp;IFERROR(VALUE(MID(B1052,FIND("-",B1052)+1,9)),0),4))</f>
        <v/>
      </c>
      <c r="N1052" s="11" t="str">
        <f aca="false">IF(OR(B1052="",N(F1052)&lt;=0),"",IF('FALTAS POR DECK'!$P$1="Código","K"&amp;M1052&amp;RIGHT("00000"&amp;ROW(),5),IF('FALTAS POR DECK'!$P$1="Nome","K"&amp;UPPER(SUBSTITUTE(SUBSTITUTE(SUBSTITUTE(C1052,"*",""),"?",""),"~",""))&amp;"0"&amp;M1052&amp;RIGHT("00000"&amp;ROW(),5),IF('FALTAS POR DECK'!$P$1="Falta (maior primeiro)","K"&amp;RIGHT("0000"&amp;(9999-F1052),4)&amp;M1052&amp;RIGHT("00000"&amp;ROW(),5),IF('FALTAS POR DECK'!$P$1="Deck e código","K"&amp;RIGHT("00"&amp;IFERROR(MATCH(A1052,_LEITURA!$P$2:$P$21,0),99),2)&amp;M1052&amp;RIGHT("00000"&amp;ROW(),5),"K"&amp;RIGHT("00000"&amp;ROW(),5))))))</f>
        <v/>
      </c>
      <c r="O1052" s="16" t="str">
        <f aca="false">IF(N1052="","",COUNTIFS($N$2:$N$1201,"&lt;"&amp;N1052,$F$2:$F$1201,"&gt;0")+1)</f>
        <v/>
      </c>
    </row>
    <row r="1053" customFormat="false" ht="15" hidden="false" customHeight="false" outlineLevel="0" collapsed="false">
      <c r="A1053" s="11" t="str">
        <f aca="false">IF(_LEITURA!$N1053="","",INDEX(_LEITURA!$K$2:$K$1201,_LEITURA!$N1053))</f>
        <v/>
      </c>
      <c r="B1053" s="11" t="str">
        <f aca="false">IF(_LEITURA!$N1053="","",INDEX(_LEITURA!$E$2:$E$1201,_LEITURA!$N1053))</f>
        <v/>
      </c>
      <c r="C1053" s="11" t="str">
        <f aca="false">IF(_LEITURA!$N1053="","",INDEX(_LEITURA!$J$2:$J$1201,_LEITURA!$N1053))</f>
        <v/>
      </c>
      <c r="D1053" s="16" t="str">
        <f aca="false">IF(_LEITURA!$N1053="","",INDEX(_LEITURA!$G$2:$G$1201,_LEITURA!$N1053))</f>
        <v/>
      </c>
      <c r="E1053" s="16" t="str">
        <f aca="false">IF(B1053="","",SUMIFS(INVENTÁRIO!$C$2:$C$801,INVENTÁRIO!$A$2:$A$801,B1053))</f>
        <v/>
      </c>
      <c r="F1053" s="16" t="str">
        <f aca="false">IF(B1053="","",MAX(0,D1053-E1053))</f>
        <v/>
      </c>
      <c r="G1053" s="16" t="str">
        <f aca="false">IF(B1053="","",IF(COUNTIFS($B$2:$B$1201,B1053,$A$2:$A$1201,"&lt;&gt;"&amp;A1053)&gt;0,"Sim",""))</f>
        <v/>
      </c>
      <c r="H1053" s="16" t="str">
        <f aca="false">IF(N(F1053)&gt;0,MAX(H$1:H1052)+1,"")</f>
        <v/>
      </c>
      <c r="I1053" s="11" t="str">
        <f aca="false">IF(B1053="","",IF(INDEX($C$2:$C$1201,MATCH(B1053,$B$2:$B$1201,0))&lt;&gt;C1053,"Nome diferente em outro deck — revisar",""))</f>
        <v/>
      </c>
      <c r="J1053" s="16" t="str">
        <f aca="false">IF(AND(B1053&lt;&gt;"",A1053=BULK!$A$1,N(F1053)&gt;0),MAX(J$1:J1052)+1,"")</f>
        <v/>
      </c>
      <c r="K1053" s="11" t="str">
        <f aca="false">IF(B1053="","",IFERROR(LEFT(B1053,FIND("-",B1053)-1),B1053))</f>
        <v/>
      </c>
      <c r="L1053" s="11" t="str">
        <f aca="false">IF(K1053="","",IF(ISNUMBER(--MID(K1053,1,1)),0,IF(ISNUMBER(--MID(K1053,2,1)),1,IF(ISNUMBER(--MID(K1053,3,1)),2,IF(ISNUMBER(--MID(K1053,4,1)),3,MIN(LEN(K1053),4))))))</f>
        <v/>
      </c>
      <c r="M1053" s="11" t="str">
        <f aca="false">IF(B1053="","",LEFT(K1053,L1053)&amp;REPT("0",4-L1053)&amp;RIGHT("000"&amp;IFERROR(VALUE(MID(K1053,L1053+1,9)),0),3)&amp;RIGHT("0000"&amp;IFERROR(VALUE(MID(B1053,FIND("-",B1053)+1,9)),0),4))</f>
        <v/>
      </c>
      <c r="N1053" s="11" t="str">
        <f aca="false">IF(OR(B1053="",N(F1053)&lt;=0),"",IF('FALTAS POR DECK'!$P$1="Código","K"&amp;M1053&amp;RIGHT("00000"&amp;ROW(),5),IF('FALTAS POR DECK'!$P$1="Nome","K"&amp;UPPER(SUBSTITUTE(SUBSTITUTE(SUBSTITUTE(C1053,"*",""),"?",""),"~",""))&amp;"0"&amp;M1053&amp;RIGHT("00000"&amp;ROW(),5),IF('FALTAS POR DECK'!$P$1="Falta (maior primeiro)","K"&amp;RIGHT("0000"&amp;(9999-F1053),4)&amp;M1053&amp;RIGHT("00000"&amp;ROW(),5),IF('FALTAS POR DECK'!$P$1="Deck e código","K"&amp;RIGHT("00"&amp;IFERROR(MATCH(A1053,_LEITURA!$P$2:$P$21,0),99),2)&amp;M1053&amp;RIGHT("00000"&amp;ROW(),5),"K"&amp;RIGHT("00000"&amp;ROW(),5))))))</f>
        <v/>
      </c>
      <c r="O1053" s="16" t="str">
        <f aca="false">IF(N1053="","",COUNTIFS($N$2:$N$1201,"&lt;"&amp;N1053,$F$2:$F$1201,"&gt;0")+1)</f>
        <v/>
      </c>
    </row>
    <row r="1054" customFormat="false" ht="15" hidden="false" customHeight="false" outlineLevel="0" collapsed="false">
      <c r="A1054" s="11" t="str">
        <f aca="false">IF(_LEITURA!$N1054="","",INDEX(_LEITURA!$K$2:$K$1201,_LEITURA!$N1054))</f>
        <v/>
      </c>
      <c r="B1054" s="11" t="str">
        <f aca="false">IF(_LEITURA!$N1054="","",INDEX(_LEITURA!$E$2:$E$1201,_LEITURA!$N1054))</f>
        <v/>
      </c>
      <c r="C1054" s="11" t="str">
        <f aca="false">IF(_LEITURA!$N1054="","",INDEX(_LEITURA!$J$2:$J$1201,_LEITURA!$N1054))</f>
        <v/>
      </c>
      <c r="D1054" s="16" t="str">
        <f aca="false">IF(_LEITURA!$N1054="","",INDEX(_LEITURA!$G$2:$G$1201,_LEITURA!$N1054))</f>
        <v/>
      </c>
      <c r="E1054" s="16" t="str">
        <f aca="false">IF(B1054="","",SUMIFS(INVENTÁRIO!$C$2:$C$801,INVENTÁRIO!$A$2:$A$801,B1054))</f>
        <v/>
      </c>
      <c r="F1054" s="16" t="str">
        <f aca="false">IF(B1054="","",MAX(0,D1054-E1054))</f>
        <v/>
      </c>
      <c r="G1054" s="16" t="str">
        <f aca="false">IF(B1054="","",IF(COUNTIFS($B$2:$B$1201,B1054,$A$2:$A$1201,"&lt;&gt;"&amp;A1054)&gt;0,"Sim",""))</f>
        <v/>
      </c>
      <c r="H1054" s="16" t="str">
        <f aca="false">IF(N(F1054)&gt;0,MAX(H$1:H1053)+1,"")</f>
        <v/>
      </c>
      <c r="I1054" s="11" t="str">
        <f aca="false">IF(B1054="","",IF(INDEX($C$2:$C$1201,MATCH(B1054,$B$2:$B$1201,0))&lt;&gt;C1054,"Nome diferente em outro deck — revisar",""))</f>
        <v/>
      </c>
      <c r="J1054" s="16" t="str">
        <f aca="false">IF(AND(B1054&lt;&gt;"",A1054=BULK!$A$1,N(F1054)&gt;0),MAX(J$1:J1053)+1,"")</f>
        <v/>
      </c>
      <c r="K1054" s="11" t="str">
        <f aca="false">IF(B1054="","",IFERROR(LEFT(B1054,FIND("-",B1054)-1),B1054))</f>
        <v/>
      </c>
      <c r="L1054" s="11" t="str">
        <f aca="false">IF(K1054="","",IF(ISNUMBER(--MID(K1054,1,1)),0,IF(ISNUMBER(--MID(K1054,2,1)),1,IF(ISNUMBER(--MID(K1054,3,1)),2,IF(ISNUMBER(--MID(K1054,4,1)),3,MIN(LEN(K1054),4))))))</f>
        <v/>
      </c>
      <c r="M1054" s="11" t="str">
        <f aca="false">IF(B1054="","",LEFT(K1054,L1054)&amp;REPT("0",4-L1054)&amp;RIGHT("000"&amp;IFERROR(VALUE(MID(K1054,L1054+1,9)),0),3)&amp;RIGHT("0000"&amp;IFERROR(VALUE(MID(B1054,FIND("-",B1054)+1,9)),0),4))</f>
        <v/>
      </c>
      <c r="N1054" s="11" t="str">
        <f aca="false">IF(OR(B1054="",N(F1054)&lt;=0),"",IF('FALTAS POR DECK'!$P$1="Código","K"&amp;M1054&amp;RIGHT("00000"&amp;ROW(),5),IF('FALTAS POR DECK'!$P$1="Nome","K"&amp;UPPER(SUBSTITUTE(SUBSTITUTE(SUBSTITUTE(C1054,"*",""),"?",""),"~",""))&amp;"0"&amp;M1054&amp;RIGHT("00000"&amp;ROW(),5),IF('FALTAS POR DECK'!$P$1="Falta (maior primeiro)","K"&amp;RIGHT("0000"&amp;(9999-F1054),4)&amp;M1054&amp;RIGHT("00000"&amp;ROW(),5),IF('FALTAS POR DECK'!$P$1="Deck e código","K"&amp;RIGHT("00"&amp;IFERROR(MATCH(A1054,_LEITURA!$P$2:$P$21,0),99),2)&amp;M1054&amp;RIGHT("00000"&amp;ROW(),5),"K"&amp;RIGHT("00000"&amp;ROW(),5))))))</f>
        <v/>
      </c>
      <c r="O1054" s="16" t="str">
        <f aca="false">IF(N1054="","",COUNTIFS($N$2:$N$1201,"&lt;"&amp;N1054,$F$2:$F$1201,"&gt;0")+1)</f>
        <v/>
      </c>
    </row>
    <row r="1055" customFormat="false" ht="15" hidden="false" customHeight="false" outlineLevel="0" collapsed="false">
      <c r="A1055" s="11" t="str">
        <f aca="false">IF(_LEITURA!$N1055="","",INDEX(_LEITURA!$K$2:$K$1201,_LEITURA!$N1055))</f>
        <v/>
      </c>
      <c r="B1055" s="11" t="str">
        <f aca="false">IF(_LEITURA!$N1055="","",INDEX(_LEITURA!$E$2:$E$1201,_LEITURA!$N1055))</f>
        <v/>
      </c>
      <c r="C1055" s="11" t="str">
        <f aca="false">IF(_LEITURA!$N1055="","",INDEX(_LEITURA!$J$2:$J$1201,_LEITURA!$N1055))</f>
        <v/>
      </c>
      <c r="D1055" s="16" t="str">
        <f aca="false">IF(_LEITURA!$N1055="","",INDEX(_LEITURA!$G$2:$G$1201,_LEITURA!$N1055))</f>
        <v/>
      </c>
      <c r="E1055" s="16" t="str">
        <f aca="false">IF(B1055="","",SUMIFS(INVENTÁRIO!$C$2:$C$801,INVENTÁRIO!$A$2:$A$801,B1055))</f>
        <v/>
      </c>
      <c r="F1055" s="16" t="str">
        <f aca="false">IF(B1055="","",MAX(0,D1055-E1055))</f>
        <v/>
      </c>
      <c r="G1055" s="16" t="str">
        <f aca="false">IF(B1055="","",IF(COUNTIFS($B$2:$B$1201,B1055,$A$2:$A$1201,"&lt;&gt;"&amp;A1055)&gt;0,"Sim",""))</f>
        <v/>
      </c>
      <c r="H1055" s="16" t="str">
        <f aca="false">IF(N(F1055)&gt;0,MAX(H$1:H1054)+1,"")</f>
        <v/>
      </c>
      <c r="I1055" s="11" t="str">
        <f aca="false">IF(B1055="","",IF(INDEX($C$2:$C$1201,MATCH(B1055,$B$2:$B$1201,0))&lt;&gt;C1055,"Nome diferente em outro deck — revisar",""))</f>
        <v/>
      </c>
      <c r="J1055" s="16" t="str">
        <f aca="false">IF(AND(B1055&lt;&gt;"",A1055=BULK!$A$1,N(F1055)&gt;0),MAX(J$1:J1054)+1,"")</f>
        <v/>
      </c>
      <c r="K1055" s="11" t="str">
        <f aca="false">IF(B1055="","",IFERROR(LEFT(B1055,FIND("-",B1055)-1),B1055))</f>
        <v/>
      </c>
      <c r="L1055" s="11" t="str">
        <f aca="false">IF(K1055="","",IF(ISNUMBER(--MID(K1055,1,1)),0,IF(ISNUMBER(--MID(K1055,2,1)),1,IF(ISNUMBER(--MID(K1055,3,1)),2,IF(ISNUMBER(--MID(K1055,4,1)),3,MIN(LEN(K1055),4))))))</f>
        <v/>
      </c>
      <c r="M1055" s="11" t="str">
        <f aca="false">IF(B1055="","",LEFT(K1055,L1055)&amp;REPT("0",4-L1055)&amp;RIGHT("000"&amp;IFERROR(VALUE(MID(K1055,L1055+1,9)),0),3)&amp;RIGHT("0000"&amp;IFERROR(VALUE(MID(B1055,FIND("-",B1055)+1,9)),0),4))</f>
        <v/>
      </c>
      <c r="N1055" s="11" t="str">
        <f aca="false">IF(OR(B1055="",N(F1055)&lt;=0),"",IF('FALTAS POR DECK'!$P$1="Código","K"&amp;M1055&amp;RIGHT("00000"&amp;ROW(),5),IF('FALTAS POR DECK'!$P$1="Nome","K"&amp;UPPER(SUBSTITUTE(SUBSTITUTE(SUBSTITUTE(C1055,"*",""),"?",""),"~",""))&amp;"0"&amp;M1055&amp;RIGHT("00000"&amp;ROW(),5),IF('FALTAS POR DECK'!$P$1="Falta (maior primeiro)","K"&amp;RIGHT("0000"&amp;(9999-F1055),4)&amp;M1055&amp;RIGHT("00000"&amp;ROW(),5),IF('FALTAS POR DECK'!$P$1="Deck e código","K"&amp;RIGHT("00"&amp;IFERROR(MATCH(A1055,_LEITURA!$P$2:$P$21,0),99),2)&amp;M1055&amp;RIGHT("00000"&amp;ROW(),5),"K"&amp;RIGHT("00000"&amp;ROW(),5))))))</f>
        <v/>
      </c>
      <c r="O1055" s="16" t="str">
        <f aca="false">IF(N1055="","",COUNTIFS($N$2:$N$1201,"&lt;"&amp;N1055,$F$2:$F$1201,"&gt;0")+1)</f>
        <v/>
      </c>
    </row>
    <row r="1056" customFormat="false" ht="15" hidden="false" customHeight="false" outlineLevel="0" collapsed="false">
      <c r="A1056" s="11" t="str">
        <f aca="false">IF(_LEITURA!$N1056="","",INDEX(_LEITURA!$K$2:$K$1201,_LEITURA!$N1056))</f>
        <v/>
      </c>
      <c r="B1056" s="11" t="str">
        <f aca="false">IF(_LEITURA!$N1056="","",INDEX(_LEITURA!$E$2:$E$1201,_LEITURA!$N1056))</f>
        <v/>
      </c>
      <c r="C1056" s="11" t="str">
        <f aca="false">IF(_LEITURA!$N1056="","",INDEX(_LEITURA!$J$2:$J$1201,_LEITURA!$N1056))</f>
        <v/>
      </c>
      <c r="D1056" s="16" t="str">
        <f aca="false">IF(_LEITURA!$N1056="","",INDEX(_LEITURA!$G$2:$G$1201,_LEITURA!$N1056))</f>
        <v/>
      </c>
      <c r="E1056" s="16" t="str">
        <f aca="false">IF(B1056="","",SUMIFS(INVENTÁRIO!$C$2:$C$801,INVENTÁRIO!$A$2:$A$801,B1056))</f>
        <v/>
      </c>
      <c r="F1056" s="16" t="str">
        <f aca="false">IF(B1056="","",MAX(0,D1056-E1056))</f>
        <v/>
      </c>
      <c r="G1056" s="16" t="str">
        <f aca="false">IF(B1056="","",IF(COUNTIFS($B$2:$B$1201,B1056,$A$2:$A$1201,"&lt;&gt;"&amp;A1056)&gt;0,"Sim",""))</f>
        <v/>
      </c>
      <c r="H1056" s="16" t="str">
        <f aca="false">IF(N(F1056)&gt;0,MAX(H$1:H1055)+1,"")</f>
        <v/>
      </c>
      <c r="I1056" s="11" t="str">
        <f aca="false">IF(B1056="","",IF(INDEX($C$2:$C$1201,MATCH(B1056,$B$2:$B$1201,0))&lt;&gt;C1056,"Nome diferente em outro deck — revisar",""))</f>
        <v/>
      </c>
      <c r="J1056" s="16" t="str">
        <f aca="false">IF(AND(B1056&lt;&gt;"",A1056=BULK!$A$1,N(F1056)&gt;0),MAX(J$1:J1055)+1,"")</f>
        <v/>
      </c>
      <c r="K1056" s="11" t="str">
        <f aca="false">IF(B1056="","",IFERROR(LEFT(B1056,FIND("-",B1056)-1),B1056))</f>
        <v/>
      </c>
      <c r="L1056" s="11" t="str">
        <f aca="false">IF(K1056="","",IF(ISNUMBER(--MID(K1056,1,1)),0,IF(ISNUMBER(--MID(K1056,2,1)),1,IF(ISNUMBER(--MID(K1056,3,1)),2,IF(ISNUMBER(--MID(K1056,4,1)),3,MIN(LEN(K1056),4))))))</f>
        <v/>
      </c>
      <c r="M1056" s="11" t="str">
        <f aca="false">IF(B1056="","",LEFT(K1056,L1056)&amp;REPT("0",4-L1056)&amp;RIGHT("000"&amp;IFERROR(VALUE(MID(K1056,L1056+1,9)),0),3)&amp;RIGHT("0000"&amp;IFERROR(VALUE(MID(B1056,FIND("-",B1056)+1,9)),0),4))</f>
        <v/>
      </c>
      <c r="N1056" s="11" t="str">
        <f aca="false">IF(OR(B1056="",N(F1056)&lt;=0),"",IF('FALTAS POR DECK'!$P$1="Código","K"&amp;M1056&amp;RIGHT("00000"&amp;ROW(),5),IF('FALTAS POR DECK'!$P$1="Nome","K"&amp;UPPER(SUBSTITUTE(SUBSTITUTE(SUBSTITUTE(C1056,"*",""),"?",""),"~",""))&amp;"0"&amp;M1056&amp;RIGHT("00000"&amp;ROW(),5),IF('FALTAS POR DECK'!$P$1="Falta (maior primeiro)","K"&amp;RIGHT("0000"&amp;(9999-F1056),4)&amp;M1056&amp;RIGHT("00000"&amp;ROW(),5),IF('FALTAS POR DECK'!$P$1="Deck e código","K"&amp;RIGHT("00"&amp;IFERROR(MATCH(A1056,_LEITURA!$P$2:$P$21,0),99),2)&amp;M1056&amp;RIGHT("00000"&amp;ROW(),5),"K"&amp;RIGHT("00000"&amp;ROW(),5))))))</f>
        <v/>
      </c>
      <c r="O1056" s="16" t="str">
        <f aca="false">IF(N1056="","",COUNTIFS($N$2:$N$1201,"&lt;"&amp;N1056,$F$2:$F$1201,"&gt;0")+1)</f>
        <v/>
      </c>
    </row>
    <row r="1057" customFormat="false" ht="15" hidden="false" customHeight="false" outlineLevel="0" collapsed="false">
      <c r="A1057" s="11" t="str">
        <f aca="false">IF(_LEITURA!$N1057="","",INDEX(_LEITURA!$K$2:$K$1201,_LEITURA!$N1057))</f>
        <v/>
      </c>
      <c r="B1057" s="11" t="str">
        <f aca="false">IF(_LEITURA!$N1057="","",INDEX(_LEITURA!$E$2:$E$1201,_LEITURA!$N1057))</f>
        <v/>
      </c>
      <c r="C1057" s="11" t="str">
        <f aca="false">IF(_LEITURA!$N1057="","",INDEX(_LEITURA!$J$2:$J$1201,_LEITURA!$N1057))</f>
        <v/>
      </c>
      <c r="D1057" s="16" t="str">
        <f aca="false">IF(_LEITURA!$N1057="","",INDEX(_LEITURA!$G$2:$G$1201,_LEITURA!$N1057))</f>
        <v/>
      </c>
      <c r="E1057" s="16" t="str">
        <f aca="false">IF(B1057="","",SUMIFS(INVENTÁRIO!$C$2:$C$801,INVENTÁRIO!$A$2:$A$801,B1057))</f>
        <v/>
      </c>
      <c r="F1057" s="16" t="str">
        <f aca="false">IF(B1057="","",MAX(0,D1057-E1057))</f>
        <v/>
      </c>
      <c r="G1057" s="16" t="str">
        <f aca="false">IF(B1057="","",IF(COUNTIFS($B$2:$B$1201,B1057,$A$2:$A$1201,"&lt;&gt;"&amp;A1057)&gt;0,"Sim",""))</f>
        <v/>
      </c>
      <c r="H1057" s="16" t="str">
        <f aca="false">IF(N(F1057)&gt;0,MAX(H$1:H1056)+1,"")</f>
        <v/>
      </c>
      <c r="I1057" s="11" t="str">
        <f aca="false">IF(B1057="","",IF(INDEX($C$2:$C$1201,MATCH(B1057,$B$2:$B$1201,0))&lt;&gt;C1057,"Nome diferente em outro deck — revisar",""))</f>
        <v/>
      </c>
      <c r="J1057" s="16" t="str">
        <f aca="false">IF(AND(B1057&lt;&gt;"",A1057=BULK!$A$1,N(F1057)&gt;0),MAX(J$1:J1056)+1,"")</f>
        <v/>
      </c>
      <c r="K1057" s="11" t="str">
        <f aca="false">IF(B1057="","",IFERROR(LEFT(B1057,FIND("-",B1057)-1),B1057))</f>
        <v/>
      </c>
      <c r="L1057" s="11" t="str">
        <f aca="false">IF(K1057="","",IF(ISNUMBER(--MID(K1057,1,1)),0,IF(ISNUMBER(--MID(K1057,2,1)),1,IF(ISNUMBER(--MID(K1057,3,1)),2,IF(ISNUMBER(--MID(K1057,4,1)),3,MIN(LEN(K1057),4))))))</f>
        <v/>
      </c>
      <c r="M1057" s="11" t="str">
        <f aca="false">IF(B1057="","",LEFT(K1057,L1057)&amp;REPT("0",4-L1057)&amp;RIGHT("000"&amp;IFERROR(VALUE(MID(K1057,L1057+1,9)),0),3)&amp;RIGHT("0000"&amp;IFERROR(VALUE(MID(B1057,FIND("-",B1057)+1,9)),0),4))</f>
        <v/>
      </c>
      <c r="N1057" s="11" t="str">
        <f aca="false">IF(OR(B1057="",N(F1057)&lt;=0),"",IF('FALTAS POR DECK'!$P$1="Código","K"&amp;M1057&amp;RIGHT("00000"&amp;ROW(),5),IF('FALTAS POR DECK'!$P$1="Nome","K"&amp;UPPER(SUBSTITUTE(SUBSTITUTE(SUBSTITUTE(C1057,"*",""),"?",""),"~",""))&amp;"0"&amp;M1057&amp;RIGHT("00000"&amp;ROW(),5),IF('FALTAS POR DECK'!$P$1="Falta (maior primeiro)","K"&amp;RIGHT("0000"&amp;(9999-F1057),4)&amp;M1057&amp;RIGHT("00000"&amp;ROW(),5),IF('FALTAS POR DECK'!$P$1="Deck e código","K"&amp;RIGHT("00"&amp;IFERROR(MATCH(A1057,_LEITURA!$P$2:$P$21,0),99),2)&amp;M1057&amp;RIGHT("00000"&amp;ROW(),5),"K"&amp;RIGHT("00000"&amp;ROW(),5))))))</f>
        <v/>
      </c>
      <c r="O1057" s="16" t="str">
        <f aca="false">IF(N1057="","",COUNTIFS($N$2:$N$1201,"&lt;"&amp;N1057,$F$2:$F$1201,"&gt;0")+1)</f>
        <v/>
      </c>
    </row>
    <row r="1058" customFormat="false" ht="15" hidden="false" customHeight="false" outlineLevel="0" collapsed="false">
      <c r="A1058" s="11" t="str">
        <f aca="false">IF(_LEITURA!$N1058="","",INDEX(_LEITURA!$K$2:$K$1201,_LEITURA!$N1058))</f>
        <v/>
      </c>
      <c r="B1058" s="11" t="str">
        <f aca="false">IF(_LEITURA!$N1058="","",INDEX(_LEITURA!$E$2:$E$1201,_LEITURA!$N1058))</f>
        <v/>
      </c>
      <c r="C1058" s="11" t="str">
        <f aca="false">IF(_LEITURA!$N1058="","",INDEX(_LEITURA!$J$2:$J$1201,_LEITURA!$N1058))</f>
        <v/>
      </c>
      <c r="D1058" s="16" t="str">
        <f aca="false">IF(_LEITURA!$N1058="","",INDEX(_LEITURA!$G$2:$G$1201,_LEITURA!$N1058))</f>
        <v/>
      </c>
      <c r="E1058" s="16" t="str">
        <f aca="false">IF(B1058="","",SUMIFS(INVENTÁRIO!$C$2:$C$801,INVENTÁRIO!$A$2:$A$801,B1058))</f>
        <v/>
      </c>
      <c r="F1058" s="16" t="str">
        <f aca="false">IF(B1058="","",MAX(0,D1058-E1058))</f>
        <v/>
      </c>
      <c r="G1058" s="16" t="str">
        <f aca="false">IF(B1058="","",IF(COUNTIFS($B$2:$B$1201,B1058,$A$2:$A$1201,"&lt;&gt;"&amp;A1058)&gt;0,"Sim",""))</f>
        <v/>
      </c>
      <c r="H1058" s="16" t="str">
        <f aca="false">IF(N(F1058)&gt;0,MAX(H$1:H1057)+1,"")</f>
        <v/>
      </c>
      <c r="I1058" s="11" t="str">
        <f aca="false">IF(B1058="","",IF(INDEX($C$2:$C$1201,MATCH(B1058,$B$2:$B$1201,0))&lt;&gt;C1058,"Nome diferente em outro deck — revisar",""))</f>
        <v/>
      </c>
      <c r="J1058" s="16" t="str">
        <f aca="false">IF(AND(B1058&lt;&gt;"",A1058=BULK!$A$1,N(F1058)&gt;0),MAX(J$1:J1057)+1,"")</f>
        <v/>
      </c>
      <c r="K1058" s="11" t="str">
        <f aca="false">IF(B1058="","",IFERROR(LEFT(B1058,FIND("-",B1058)-1),B1058))</f>
        <v/>
      </c>
      <c r="L1058" s="11" t="str">
        <f aca="false">IF(K1058="","",IF(ISNUMBER(--MID(K1058,1,1)),0,IF(ISNUMBER(--MID(K1058,2,1)),1,IF(ISNUMBER(--MID(K1058,3,1)),2,IF(ISNUMBER(--MID(K1058,4,1)),3,MIN(LEN(K1058),4))))))</f>
        <v/>
      </c>
      <c r="M1058" s="11" t="str">
        <f aca="false">IF(B1058="","",LEFT(K1058,L1058)&amp;REPT("0",4-L1058)&amp;RIGHT("000"&amp;IFERROR(VALUE(MID(K1058,L1058+1,9)),0),3)&amp;RIGHT("0000"&amp;IFERROR(VALUE(MID(B1058,FIND("-",B1058)+1,9)),0),4))</f>
        <v/>
      </c>
      <c r="N1058" s="11" t="str">
        <f aca="false">IF(OR(B1058="",N(F1058)&lt;=0),"",IF('FALTAS POR DECK'!$P$1="Código","K"&amp;M1058&amp;RIGHT("00000"&amp;ROW(),5),IF('FALTAS POR DECK'!$P$1="Nome","K"&amp;UPPER(SUBSTITUTE(SUBSTITUTE(SUBSTITUTE(C1058,"*",""),"?",""),"~",""))&amp;"0"&amp;M1058&amp;RIGHT("00000"&amp;ROW(),5),IF('FALTAS POR DECK'!$P$1="Falta (maior primeiro)","K"&amp;RIGHT("0000"&amp;(9999-F1058),4)&amp;M1058&amp;RIGHT("00000"&amp;ROW(),5),IF('FALTAS POR DECK'!$P$1="Deck e código","K"&amp;RIGHT("00"&amp;IFERROR(MATCH(A1058,_LEITURA!$P$2:$P$21,0),99),2)&amp;M1058&amp;RIGHT("00000"&amp;ROW(),5),"K"&amp;RIGHT("00000"&amp;ROW(),5))))))</f>
        <v/>
      </c>
      <c r="O1058" s="16" t="str">
        <f aca="false">IF(N1058="","",COUNTIFS($N$2:$N$1201,"&lt;"&amp;N1058,$F$2:$F$1201,"&gt;0")+1)</f>
        <v/>
      </c>
    </row>
    <row r="1059" customFormat="false" ht="15" hidden="false" customHeight="false" outlineLevel="0" collapsed="false">
      <c r="A1059" s="11" t="str">
        <f aca="false">IF(_LEITURA!$N1059="","",INDEX(_LEITURA!$K$2:$K$1201,_LEITURA!$N1059))</f>
        <v/>
      </c>
      <c r="B1059" s="11" t="str">
        <f aca="false">IF(_LEITURA!$N1059="","",INDEX(_LEITURA!$E$2:$E$1201,_LEITURA!$N1059))</f>
        <v/>
      </c>
      <c r="C1059" s="11" t="str">
        <f aca="false">IF(_LEITURA!$N1059="","",INDEX(_LEITURA!$J$2:$J$1201,_LEITURA!$N1059))</f>
        <v/>
      </c>
      <c r="D1059" s="16" t="str">
        <f aca="false">IF(_LEITURA!$N1059="","",INDEX(_LEITURA!$G$2:$G$1201,_LEITURA!$N1059))</f>
        <v/>
      </c>
      <c r="E1059" s="16" t="str">
        <f aca="false">IF(B1059="","",SUMIFS(INVENTÁRIO!$C$2:$C$801,INVENTÁRIO!$A$2:$A$801,B1059))</f>
        <v/>
      </c>
      <c r="F1059" s="16" t="str">
        <f aca="false">IF(B1059="","",MAX(0,D1059-E1059))</f>
        <v/>
      </c>
      <c r="G1059" s="16" t="str">
        <f aca="false">IF(B1059="","",IF(COUNTIFS($B$2:$B$1201,B1059,$A$2:$A$1201,"&lt;&gt;"&amp;A1059)&gt;0,"Sim",""))</f>
        <v/>
      </c>
      <c r="H1059" s="16" t="str">
        <f aca="false">IF(N(F1059)&gt;0,MAX(H$1:H1058)+1,"")</f>
        <v/>
      </c>
      <c r="I1059" s="11" t="str">
        <f aca="false">IF(B1059="","",IF(INDEX($C$2:$C$1201,MATCH(B1059,$B$2:$B$1201,0))&lt;&gt;C1059,"Nome diferente em outro deck — revisar",""))</f>
        <v/>
      </c>
      <c r="J1059" s="16" t="str">
        <f aca="false">IF(AND(B1059&lt;&gt;"",A1059=BULK!$A$1,N(F1059)&gt;0),MAX(J$1:J1058)+1,"")</f>
        <v/>
      </c>
      <c r="K1059" s="11" t="str">
        <f aca="false">IF(B1059="","",IFERROR(LEFT(B1059,FIND("-",B1059)-1),B1059))</f>
        <v/>
      </c>
      <c r="L1059" s="11" t="str">
        <f aca="false">IF(K1059="","",IF(ISNUMBER(--MID(K1059,1,1)),0,IF(ISNUMBER(--MID(K1059,2,1)),1,IF(ISNUMBER(--MID(K1059,3,1)),2,IF(ISNUMBER(--MID(K1059,4,1)),3,MIN(LEN(K1059),4))))))</f>
        <v/>
      </c>
      <c r="M1059" s="11" t="str">
        <f aca="false">IF(B1059="","",LEFT(K1059,L1059)&amp;REPT("0",4-L1059)&amp;RIGHT("000"&amp;IFERROR(VALUE(MID(K1059,L1059+1,9)),0),3)&amp;RIGHT("0000"&amp;IFERROR(VALUE(MID(B1059,FIND("-",B1059)+1,9)),0),4))</f>
        <v/>
      </c>
      <c r="N1059" s="11" t="str">
        <f aca="false">IF(OR(B1059="",N(F1059)&lt;=0),"",IF('FALTAS POR DECK'!$P$1="Código","K"&amp;M1059&amp;RIGHT("00000"&amp;ROW(),5),IF('FALTAS POR DECK'!$P$1="Nome","K"&amp;UPPER(SUBSTITUTE(SUBSTITUTE(SUBSTITUTE(C1059,"*",""),"?",""),"~",""))&amp;"0"&amp;M1059&amp;RIGHT("00000"&amp;ROW(),5),IF('FALTAS POR DECK'!$P$1="Falta (maior primeiro)","K"&amp;RIGHT("0000"&amp;(9999-F1059),4)&amp;M1059&amp;RIGHT("00000"&amp;ROW(),5),IF('FALTAS POR DECK'!$P$1="Deck e código","K"&amp;RIGHT("00"&amp;IFERROR(MATCH(A1059,_LEITURA!$P$2:$P$21,0),99),2)&amp;M1059&amp;RIGHT("00000"&amp;ROW(),5),"K"&amp;RIGHT("00000"&amp;ROW(),5))))))</f>
        <v/>
      </c>
      <c r="O1059" s="16" t="str">
        <f aca="false">IF(N1059="","",COUNTIFS($N$2:$N$1201,"&lt;"&amp;N1059,$F$2:$F$1201,"&gt;0")+1)</f>
        <v/>
      </c>
    </row>
    <row r="1060" customFormat="false" ht="15" hidden="false" customHeight="false" outlineLevel="0" collapsed="false">
      <c r="A1060" s="11" t="str">
        <f aca="false">IF(_LEITURA!$N1060="","",INDEX(_LEITURA!$K$2:$K$1201,_LEITURA!$N1060))</f>
        <v/>
      </c>
      <c r="B1060" s="11" t="str">
        <f aca="false">IF(_LEITURA!$N1060="","",INDEX(_LEITURA!$E$2:$E$1201,_LEITURA!$N1060))</f>
        <v/>
      </c>
      <c r="C1060" s="11" t="str">
        <f aca="false">IF(_LEITURA!$N1060="","",INDEX(_LEITURA!$J$2:$J$1201,_LEITURA!$N1060))</f>
        <v/>
      </c>
      <c r="D1060" s="16" t="str">
        <f aca="false">IF(_LEITURA!$N1060="","",INDEX(_LEITURA!$G$2:$G$1201,_LEITURA!$N1060))</f>
        <v/>
      </c>
      <c r="E1060" s="16" t="str">
        <f aca="false">IF(B1060="","",SUMIFS(INVENTÁRIO!$C$2:$C$801,INVENTÁRIO!$A$2:$A$801,B1060))</f>
        <v/>
      </c>
      <c r="F1060" s="16" t="str">
        <f aca="false">IF(B1060="","",MAX(0,D1060-E1060))</f>
        <v/>
      </c>
      <c r="G1060" s="16" t="str">
        <f aca="false">IF(B1060="","",IF(COUNTIFS($B$2:$B$1201,B1060,$A$2:$A$1201,"&lt;&gt;"&amp;A1060)&gt;0,"Sim",""))</f>
        <v/>
      </c>
      <c r="H1060" s="16" t="str">
        <f aca="false">IF(N(F1060)&gt;0,MAX(H$1:H1059)+1,"")</f>
        <v/>
      </c>
      <c r="I1060" s="11" t="str">
        <f aca="false">IF(B1060="","",IF(INDEX($C$2:$C$1201,MATCH(B1060,$B$2:$B$1201,0))&lt;&gt;C1060,"Nome diferente em outro deck — revisar",""))</f>
        <v/>
      </c>
      <c r="J1060" s="16" t="str">
        <f aca="false">IF(AND(B1060&lt;&gt;"",A1060=BULK!$A$1,N(F1060)&gt;0),MAX(J$1:J1059)+1,"")</f>
        <v/>
      </c>
      <c r="K1060" s="11" t="str">
        <f aca="false">IF(B1060="","",IFERROR(LEFT(B1060,FIND("-",B1060)-1),B1060))</f>
        <v/>
      </c>
      <c r="L1060" s="11" t="str">
        <f aca="false">IF(K1060="","",IF(ISNUMBER(--MID(K1060,1,1)),0,IF(ISNUMBER(--MID(K1060,2,1)),1,IF(ISNUMBER(--MID(K1060,3,1)),2,IF(ISNUMBER(--MID(K1060,4,1)),3,MIN(LEN(K1060),4))))))</f>
        <v/>
      </c>
      <c r="M1060" s="11" t="str">
        <f aca="false">IF(B1060="","",LEFT(K1060,L1060)&amp;REPT("0",4-L1060)&amp;RIGHT("000"&amp;IFERROR(VALUE(MID(K1060,L1060+1,9)),0),3)&amp;RIGHT("0000"&amp;IFERROR(VALUE(MID(B1060,FIND("-",B1060)+1,9)),0),4))</f>
        <v/>
      </c>
      <c r="N1060" s="11" t="str">
        <f aca="false">IF(OR(B1060="",N(F1060)&lt;=0),"",IF('FALTAS POR DECK'!$P$1="Código","K"&amp;M1060&amp;RIGHT("00000"&amp;ROW(),5),IF('FALTAS POR DECK'!$P$1="Nome","K"&amp;UPPER(SUBSTITUTE(SUBSTITUTE(SUBSTITUTE(C1060,"*",""),"?",""),"~",""))&amp;"0"&amp;M1060&amp;RIGHT("00000"&amp;ROW(),5),IF('FALTAS POR DECK'!$P$1="Falta (maior primeiro)","K"&amp;RIGHT("0000"&amp;(9999-F1060),4)&amp;M1060&amp;RIGHT("00000"&amp;ROW(),5),IF('FALTAS POR DECK'!$P$1="Deck e código","K"&amp;RIGHT("00"&amp;IFERROR(MATCH(A1060,_LEITURA!$P$2:$P$21,0),99),2)&amp;M1060&amp;RIGHT("00000"&amp;ROW(),5),"K"&amp;RIGHT("00000"&amp;ROW(),5))))))</f>
        <v/>
      </c>
      <c r="O1060" s="16" t="str">
        <f aca="false">IF(N1060="","",COUNTIFS($N$2:$N$1201,"&lt;"&amp;N1060,$F$2:$F$1201,"&gt;0")+1)</f>
        <v/>
      </c>
    </row>
    <row r="1061" customFormat="false" ht="15" hidden="false" customHeight="false" outlineLevel="0" collapsed="false">
      <c r="A1061" s="11" t="str">
        <f aca="false">IF(_LEITURA!$N1061="","",INDEX(_LEITURA!$K$2:$K$1201,_LEITURA!$N1061))</f>
        <v/>
      </c>
      <c r="B1061" s="11" t="str">
        <f aca="false">IF(_LEITURA!$N1061="","",INDEX(_LEITURA!$E$2:$E$1201,_LEITURA!$N1061))</f>
        <v/>
      </c>
      <c r="C1061" s="11" t="str">
        <f aca="false">IF(_LEITURA!$N1061="","",INDEX(_LEITURA!$J$2:$J$1201,_LEITURA!$N1061))</f>
        <v/>
      </c>
      <c r="D1061" s="16" t="str">
        <f aca="false">IF(_LEITURA!$N1061="","",INDEX(_LEITURA!$G$2:$G$1201,_LEITURA!$N1061))</f>
        <v/>
      </c>
      <c r="E1061" s="16" t="str">
        <f aca="false">IF(B1061="","",SUMIFS(INVENTÁRIO!$C$2:$C$801,INVENTÁRIO!$A$2:$A$801,B1061))</f>
        <v/>
      </c>
      <c r="F1061" s="16" t="str">
        <f aca="false">IF(B1061="","",MAX(0,D1061-E1061))</f>
        <v/>
      </c>
      <c r="G1061" s="16" t="str">
        <f aca="false">IF(B1061="","",IF(COUNTIFS($B$2:$B$1201,B1061,$A$2:$A$1201,"&lt;&gt;"&amp;A1061)&gt;0,"Sim",""))</f>
        <v/>
      </c>
      <c r="H1061" s="16" t="str">
        <f aca="false">IF(N(F1061)&gt;0,MAX(H$1:H1060)+1,"")</f>
        <v/>
      </c>
      <c r="I1061" s="11" t="str">
        <f aca="false">IF(B1061="","",IF(INDEX($C$2:$C$1201,MATCH(B1061,$B$2:$B$1201,0))&lt;&gt;C1061,"Nome diferente em outro deck — revisar",""))</f>
        <v/>
      </c>
      <c r="J1061" s="16" t="str">
        <f aca="false">IF(AND(B1061&lt;&gt;"",A1061=BULK!$A$1,N(F1061)&gt;0),MAX(J$1:J1060)+1,"")</f>
        <v/>
      </c>
      <c r="K1061" s="11" t="str">
        <f aca="false">IF(B1061="","",IFERROR(LEFT(B1061,FIND("-",B1061)-1),B1061))</f>
        <v/>
      </c>
      <c r="L1061" s="11" t="str">
        <f aca="false">IF(K1061="","",IF(ISNUMBER(--MID(K1061,1,1)),0,IF(ISNUMBER(--MID(K1061,2,1)),1,IF(ISNUMBER(--MID(K1061,3,1)),2,IF(ISNUMBER(--MID(K1061,4,1)),3,MIN(LEN(K1061),4))))))</f>
        <v/>
      </c>
      <c r="M1061" s="11" t="str">
        <f aca="false">IF(B1061="","",LEFT(K1061,L1061)&amp;REPT("0",4-L1061)&amp;RIGHT("000"&amp;IFERROR(VALUE(MID(K1061,L1061+1,9)),0),3)&amp;RIGHT("0000"&amp;IFERROR(VALUE(MID(B1061,FIND("-",B1061)+1,9)),0),4))</f>
        <v/>
      </c>
      <c r="N1061" s="11" t="str">
        <f aca="false">IF(OR(B1061="",N(F1061)&lt;=0),"",IF('FALTAS POR DECK'!$P$1="Código","K"&amp;M1061&amp;RIGHT("00000"&amp;ROW(),5),IF('FALTAS POR DECK'!$P$1="Nome","K"&amp;UPPER(SUBSTITUTE(SUBSTITUTE(SUBSTITUTE(C1061,"*",""),"?",""),"~",""))&amp;"0"&amp;M1061&amp;RIGHT("00000"&amp;ROW(),5),IF('FALTAS POR DECK'!$P$1="Falta (maior primeiro)","K"&amp;RIGHT("0000"&amp;(9999-F1061),4)&amp;M1061&amp;RIGHT("00000"&amp;ROW(),5),IF('FALTAS POR DECK'!$P$1="Deck e código","K"&amp;RIGHT("00"&amp;IFERROR(MATCH(A1061,_LEITURA!$P$2:$P$21,0),99),2)&amp;M1061&amp;RIGHT("00000"&amp;ROW(),5),"K"&amp;RIGHT("00000"&amp;ROW(),5))))))</f>
        <v/>
      </c>
      <c r="O1061" s="16" t="str">
        <f aca="false">IF(N1061="","",COUNTIFS($N$2:$N$1201,"&lt;"&amp;N1061,$F$2:$F$1201,"&gt;0")+1)</f>
        <v/>
      </c>
    </row>
    <row r="1062" customFormat="false" ht="15" hidden="false" customHeight="false" outlineLevel="0" collapsed="false">
      <c r="A1062" s="11" t="str">
        <f aca="false">IF(_LEITURA!$N1062="","",INDEX(_LEITURA!$K$2:$K$1201,_LEITURA!$N1062))</f>
        <v/>
      </c>
      <c r="B1062" s="11" t="str">
        <f aca="false">IF(_LEITURA!$N1062="","",INDEX(_LEITURA!$E$2:$E$1201,_LEITURA!$N1062))</f>
        <v/>
      </c>
      <c r="C1062" s="11" t="str">
        <f aca="false">IF(_LEITURA!$N1062="","",INDEX(_LEITURA!$J$2:$J$1201,_LEITURA!$N1062))</f>
        <v/>
      </c>
      <c r="D1062" s="16" t="str">
        <f aca="false">IF(_LEITURA!$N1062="","",INDEX(_LEITURA!$G$2:$G$1201,_LEITURA!$N1062))</f>
        <v/>
      </c>
      <c r="E1062" s="16" t="str">
        <f aca="false">IF(B1062="","",SUMIFS(INVENTÁRIO!$C$2:$C$801,INVENTÁRIO!$A$2:$A$801,B1062))</f>
        <v/>
      </c>
      <c r="F1062" s="16" t="str">
        <f aca="false">IF(B1062="","",MAX(0,D1062-E1062))</f>
        <v/>
      </c>
      <c r="G1062" s="16" t="str">
        <f aca="false">IF(B1062="","",IF(COUNTIFS($B$2:$B$1201,B1062,$A$2:$A$1201,"&lt;&gt;"&amp;A1062)&gt;0,"Sim",""))</f>
        <v/>
      </c>
      <c r="H1062" s="16" t="str">
        <f aca="false">IF(N(F1062)&gt;0,MAX(H$1:H1061)+1,"")</f>
        <v/>
      </c>
      <c r="I1062" s="11" t="str">
        <f aca="false">IF(B1062="","",IF(INDEX($C$2:$C$1201,MATCH(B1062,$B$2:$B$1201,0))&lt;&gt;C1062,"Nome diferente em outro deck — revisar",""))</f>
        <v/>
      </c>
      <c r="J1062" s="16" t="str">
        <f aca="false">IF(AND(B1062&lt;&gt;"",A1062=BULK!$A$1,N(F1062)&gt;0),MAX(J$1:J1061)+1,"")</f>
        <v/>
      </c>
      <c r="K1062" s="11" t="str">
        <f aca="false">IF(B1062="","",IFERROR(LEFT(B1062,FIND("-",B1062)-1),B1062))</f>
        <v/>
      </c>
      <c r="L1062" s="11" t="str">
        <f aca="false">IF(K1062="","",IF(ISNUMBER(--MID(K1062,1,1)),0,IF(ISNUMBER(--MID(K1062,2,1)),1,IF(ISNUMBER(--MID(K1062,3,1)),2,IF(ISNUMBER(--MID(K1062,4,1)),3,MIN(LEN(K1062),4))))))</f>
        <v/>
      </c>
      <c r="M1062" s="11" t="str">
        <f aca="false">IF(B1062="","",LEFT(K1062,L1062)&amp;REPT("0",4-L1062)&amp;RIGHT("000"&amp;IFERROR(VALUE(MID(K1062,L1062+1,9)),0),3)&amp;RIGHT("0000"&amp;IFERROR(VALUE(MID(B1062,FIND("-",B1062)+1,9)),0),4))</f>
        <v/>
      </c>
      <c r="N1062" s="11" t="str">
        <f aca="false">IF(OR(B1062="",N(F1062)&lt;=0),"",IF('FALTAS POR DECK'!$P$1="Código","K"&amp;M1062&amp;RIGHT("00000"&amp;ROW(),5),IF('FALTAS POR DECK'!$P$1="Nome","K"&amp;UPPER(SUBSTITUTE(SUBSTITUTE(SUBSTITUTE(C1062,"*",""),"?",""),"~",""))&amp;"0"&amp;M1062&amp;RIGHT("00000"&amp;ROW(),5),IF('FALTAS POR DECK'!$P$1="Falta (maior primeiro)","K"&amp;RIGHT("0000"&amp;(9999-F1062),4)&amp;M1062&amp;RIGHT("00000"&amp;ROW(),5),IF('FALTAS POR DECK'!$P$1="Deck e código","K"&amp;RIGHT("00"&amp;IFERROR(MATCH(A1062,_LEITURA!$P$2:$P$21,0),99),2)&amp;M1062&amp;RIGHT("00000"&amp;ROW(),5),"K"&amp;RIGHT("00000"&amp;ROW(),5))))))</f>
        <v/>
      </c>
      <c r="O1062" s="16" t="str">
        <f aca="false">IF(N1062="","",COUNTIFS($N$2:$N$1201,"&lt;"&amp;N1062,$F$2:$F$1201,"&gt;0")+1)</f>
        <v/>
      </c>
    </row>
    <row r="1063" customFormat="false" ht="15" hidden="false" customHeight="false" outlineLevel="0" collapsed="false">
      <c r="A1063" s="11" t="str">
        <f aca="false">IF(_LEITURA!$N1063="","",INDEX(_LEITURA!$K$2:$K$1201,_LEITURA!$N1063))</f>
        <v/>
      </c>
      <c r="B1063" s="11" t="str">
        <f aca="false">IF(_LEITURA!$N1063="","",INDEX(_LEITURA!$E$2:$E$1201,_LEITURA!$N1063))</f>
        <v/>
      </c>
      <c r="C1063" s="11" t="str">
        <f aca="false">IF(_LEITURA!$N1063="","",INDEX(_LEITURA!$J$2:$J$1201,_LEITURA!$N1063))</f>
        <v/>
      </c>
      <c r="D1063" s="16" t="str">
        <f aca="false">IF(_LEITURA!$N1063="","",INDEX(_LEITURA!$G$2:$G$1201,_LEITURA!$N1063))</f>
        <v/>
      </c>
      <c r="E1063" s="16" t="str">
        <f aca="false">IF(B1063="","",SUMIFS(INVENTÁRIO!$C$2:$C$801,INVENTÁRIO!$A$2:$A$801,B1063))</f>
        <v/>
      </c>
      <c r="F1063" s="16" t="str">
        <f aca="false">IF(B1063="","",MAX(0,D1063-E1063))</f>
        <v/>
      </c>
      <c r="G1063" s="16" t="str">
        <f aca="false">IF(B1063="","",IF(COUNTIFS($B$2:$B$1201,B1063,$A$2:$A$1201,"&lt;&gt;"&amp;A1063)&gt;0,"Sim",""))</f>
        <v/>
      </c>
      <c r="H1063" s="16" t="str">
        <f aca="false">IF(N(F1063)&gt;0,MAX(H$1:H1062)+1,"")</f>
        <v/>
      </c>
      <c r="I1063" s="11" t="str">
        <f aca="false">IF(B1063="","",IF(INDEX($C$2:$C$1201,MATCH(B1063,$B$2:$B$1201,0))&lt;&gt;C1063,"Nome diferente em outro deck — revisar",""))</f>
        <v/>
      </c>
      <c r="J1063" s="16" t="str">
        <f aca="false">IF(AND(B1063&lt;&gt;"",A1063=BULK!$A$1,N(F1063)&gt;0),MAX(J$1:J1062)+1,"")</f>
        <v/>
      </c>
      <c r="K1063" s="11" t="str">
        <f aca="false">IF(B1063="","",IFERROR(LEFT(B1063,FIND("-",B1063)-1),B1063))</f>
        <v/>
      </c>
      <c r="L1063" s="11" t="str">
        <f aca="false">IF(K1063="","",IF(ISNUMBER(--MID(K1063,1,1)),0,IF(ISNUMBER(--MID(K1063,2,1)),1,IF(ISNUMBER(--MID(K1063,3,1)),2,IF(ISNUMBER(--MID(K1063,4,1)),3,MIN(LEN(K1063),4))))))</f>
        <v/>
      </c>
      <c r="M1063" s="11" t="str">
        <f aca="false">IF(B1063="","",LEFT(K1063,L1063)&amp;REPT("0",4-L1063)&amp;RIGHT("000"&amp;IFERROR(VALUE(MID(K1063,L1063+1,9)),0),3)&amp;RIGHT("0000"&amp;IFERROR(VALUE(MID(B1063,FIND("-",B1063)+1,9)),0),4))</f>
        <v/>
      </c>
      <c r="N1063" s="11" t="str">
        <f aca="false">IF(OR(B1063="",N(F1063)&lt;=0),"",IF('FALTAS POR DECK'!$P$1="Código","K"&amp;M1063&amp;RIGHT("00000"&amp;ROW(),5),IF('FALTAS POR DECK'!$P$1="Nome","K"&amp;UPPER(SUBSTITUTE(SUBSTITUTE(SUBSTITUTE(C1063,"*",""),"?",""),"~",""))&amp;"0"&amp;M1063&amp;RIGHT("00000"&amp;ROW(),5),IF('FALTAS POR DECK'!$P$1="Falta (maior primeiro)","K"&amp;RIGHT("0000"&amp;(9999-F1063),4)&amp;M1063&amp;RIGHT("00000"&amp;ROW(),5),IF('FALTAS POR DECK'!$P$1="Deck e código","K"&amp;RIGHT("00"&amp;IFERROR(MATCH(A1063,_LEITURA!$P$2:$P$21,0),99),2)&amp;M1063&amp;RIGHT("00000"&amp;ROW(),5),"K"&amp;RIGHT("00000"&amp;ROW(),5))))))</f>
        <v/>
      </c>
      <c r="O1063" s="16" t="str">
        <f aca="false">IF(N1063="","",COUNTIFS($N$2:$N$1201,"&lt;"&amp;N1063,$F$2:$F$1201,"&gt;0")+1)</f>
        <v/>
      </c>
    </row>
    <row r="1064" customFormat="false" ht="15" hidden="false" customHeight="false" outlineLevel="0" collapsed="false">
      <c r="A1064" s="11" t="str">
        <f aca="false">IF(_LEITURA!$N1064="","",INDEX(_LEITURA!$K$2:$K$1201,_LEITURA!$N1064))</f>
        <v/>
      </c>
      <c r="B1064" s="11" t="str">
        <f aca="false">IF(_LEITURA!$N1064="","",INDEX(_LEITURA!$E$2:$E$1201,_LEITURA!$N1064))</f>
        <v/>
      </c>
      <c r="C1064" s="11" t="str">
        <f aca="false">IF(_LEITURA!$N1064="","",INDEX(_LEITURA!$J$2:$J$1201,_LEITURA!$N1064))</f>
        <v/>
      </c>
      <c r="D1064" s="16" t="str">
        <f aca="false">IF(_LEITURA!$N1064="","",INDEX(_LEITURA!$G$2:$G$1201,_LEITURA!$N1064))</f>
        <v/>
      </c>
      <c r="E1064" s="16" t="str">
        <f aca="false">IF(B1064="","",SUMIFS(INVENTÁRIO!$C$2:$C$801,INVENTÁRIO!$A$2:$A$801,B1064))</f>
        <v/>
      </c>
      <c r="F1064" s="16" t="str">
        <f aca="false">IF(B1064="","",MAX(0,D1064-E1064))</f>
        <v/>
      </c>
      <c r="G1064" s="16" t="str">
        <f aca="false">IF(B1064="","",IF(COUNTIFS($B$2:$B$1201,B1064,$A$2:$A$1201,"&lt;&gt;"&amp;A1064)&gt;0,"Sim",""))</f>
        <v/>
      </c>
      <c r="H1064" s="16" t="str">
        <f aca="false">IF(N(F1064)&gt;0,MAX(H$1:H1063)+1,"")</f>
        <v/>
      </c>
      <c r="I1064" s="11" t="str">
        <f aca="false">IF(B1064="","",IF(INDEX($C$2:$C$1201,MATCH(B1064,$B$2:$B$1201,0))&lt;&gt;C1064,"Nome diferente em outro deck — revisar",""))</f>
        <v/>
      </c>
      <c r="J1064" s="16" t="str">
        <f aca="false">IF(AND(B1064&lt;&gt;"",A1064=BULK!$A$1,N(F1064)&gt;0),MAX(J$1:J1063)+1,"")</f>
        <v/>
      </c>
      <c r="K1064" s="11" t="str">
        <f aca="false">IF(B1064="","",IFERROR(LEFT(B1064,FIND("-",B1064)-1),B1064))</f>
        <v/>
      </c>
      <c r="L1064" s="11" t="str">
        <f aca="false">IF(K1064="","",IF(ISNUMBER(--MID(K1064,1,1)),0,IF(ISNUMBER(--MID(K1064,2,1)),1,IF(ISNUMBER(--MID(K1064,3,1)),2,IF(ISNUMBER(--MID(K1064,4,1)),3,MIN(LEN(K1064),4))))))</f>
        <v/>
      </c>
      <c r="M1064" s="11" t="str">
        <f aca="false">IF(B1064="","",LEFT(K1064,L1064)&amp;REPT("0",4-L1064)&amp;RIGHT("000"&amp;IFERROR(VALUE(MID(K1064,L1064+1,9)),0),3)&amp;RIGHT("0000"&amp;IFERROR(VALUE(MID(B1064,FIND("-",B1064)+1,9)),0),4))</f>
        <v/>
      </c>
      <c r="N1064" s="11" t="str">
        <f aca="false">IF(OR(B1064="",N(F1064)&lt;=0),"",IF('FALTAS POR DECK'!$P$1="Código","K"&amp;M1064&amp;RIGHT("00000"&amp;ROW(),5),IF('FALTAS POR DECK'!$P$1="Nome","K"&amp;UPPER(SUBSTITUTE(SUBSTITUTE(SUBSTITUTE(C1064,"*",""),"?",""),"~",""))&amp;"0"&amp;M1064&amp;RIGHT("00000"&amp;ROW(),5),IF('FALTAS POR DECK'!$P$1="Falta (maior primeiro)","K"&amp;RIGHT("0000"&amp;(9999-F1064),4)&amp;M1064&amp;RIGHT("00000"&amp;ROW(),5),IF('FALTAS POR DECK'!$P$1="Deck e código","K"&amp;RIGHT("00"&amp;IFERROR(MATCH(A1064,_LEITURA!$P$2:$P$21,0),99),2)&amp;M1064&amp;RIGHT("00000"&amp;ROW(),5),"K"&amp;RIGHT("00000"&amp;ROW(),5))))))</f>
        <v/>
      </c>
      <c r="O1064" s="16" t="str">
        <f aca="false">IF(N1064="","",COUNTIFS($N$2:$N$1201,"&lt;"&amp;N1064,$F$2:$F$1201,"&gt;0")+1)</f>
        <v/>
      </c>
    </row>
    <row r="1065" customFormat="false" ht="15" hidden="false" customHeight="false" outlineLevel="0" collapsed="false">
      <c r="A1065" s="11" t="str">
        <f aca="false">IF(_LEITURA!$N1065="","",INDEX(_LEITURA!$K$2:$K$1201,_LEITURA!$N1065))</f>
        <v/>
      </c>
      <c r="B1065" s="11" t="str">
        <f aca="false">IF(_LEITURA!$N1065="","",INDEX(_LEITURA!$E$2:$E$1201,_LEITURA!$N1065))</f>
        <v/>
      </c>
      <c r="C1065" s="11" t="str">
        <f aca="false">IF(_LEITURA!$N1065="","",INDEX(_LEITURA!$J$2:$J$1201,_LEITURA!$N1065))</f>
        <v/>
      </c>
      <c r="D1065" s="16" t="str">
        <f aca="false">IF(_LEITURA!$N1065="","",INDEX(_LEITURA!$G$2:$G$1201,_LEITURA!$N1065))</f>
        <v/>
      </c>
      <c r="E1065" s="16" t="str">
        <f aca="false">IF(B1065="","",SUMIFS(INVENTÁRIO!$C$2:$C$801,INVENTÁRIO!$A$2:$A$801,B1065))</f>
        <v/>
      </c>
      <c r="F1065" s="16" t="str">
        <f aca="false">IF(B1065="","",MAX(0,D1065-E1065))</f>
        <v/>
      </c>
      <c r="G1065" s="16" t="str">
        <f aca="false">IF(B1065="","",IF(COUNTIFS($B$2:$B$1201,B1065,$A$2:$A$1201,"&lt;&gt;"&amp;A1065)&gt;0,"Sim",""))</f>
        <v/>
      </c>
      <c r="H1065" s="16" t="str">
        <f aca="false">IF(N(F1065)&gt;0,MAX(H$1:H1064)+1,"")</f>
        <v/>
      </c>
      <c r="I1065" s="11" t="str">
        <f aca="false">IF(B1065="","",IF(INDEX($C$2:$C$1201,MATCH(B1065,$B$2:$B$1201,0))&lt;&gt;C1065,"Nome diferente em outro deck — revisar",""))</f>
        <v/>
      </c>
      <c r="J1065" s="16" t="str">
        <f aca="false">IF(AND(B1065&lt;&gt;"",A1065=BULK!$A$1,N(F1065)&gt;0),MAX(J$1:J1064)+1,"")</f>
        <v/>
      </c>
      <c r="K1065" s="11" t="str">
        <f aca="false">IF(B1065="","",IFERROR(LEFT(B1065,FIND("-",B1065)-1),B1065))</f>
        <v/>
      </c>
      <c r="L1065" s="11" t="str">
        <f aca="false">IF(K1065="","",IF(ISNUMBER(--MID(K1065,1,1)),0,IF(ISNUMBER(--MID(K1065,2,1)),1,IF(ISNUMBER(--MID(K1065,3,1)),2,IF(ISNUMBER(--MID(K1065,4,1)),3,MIN(LEN(K1065),4))))))</f>
        <v/>
      </c>
      <c r="M1065" s="11" t="str">
        <f aca="false">IF(B1065="","",LEFT(K1065,L1065)&amp;REPT("0",4-L1065)&amp;RIGHT("000"&amp;IFERROR(VALUE(MID(K1065,L1065+1,9)),0),3)&amp;RIGHT("0000"&amp;IFERROR(VALUE(MID(B1065,FIND("-",B1065)+1,9)),0),4))</f>
        <v/>
      </c>
      <c r="N1065" s="11" t="str">
        <f aca="false">IF(OR(B1065="",N(F1065)&lt;=0),"",IF('FALTAS POR DECK'!$P$1="Código","K"&amp;M1065&amp;RIGHT("00000"&amp;ROW(),5),IF('FALTAS POR DECK'!$P$1="Nome","K"&amp;UPPER(SUBSTITUTE(SUBSTITUTE(SUBSTITUTE(C1065,"*",""),"?",""),"~",""))&amp;"0"&amp;M1065&amp;RIGHT("00000"&amp;ROW(),5),IF('FALTAS POR DECK'!$P$1="Falta (maior primeiro)","K"&amp;RIGHT("0000"&amp;(9999-F1065),4)&amp;M1065&amp;RIGHT("00000"&amp;ROW(),5),IF('FALTAS POR DECK'!$P$1="Deck e código","K"&amp;RIGHT("00"&amp;IFERROR(MATCH(A1065,_LEITURA!$P$2:$P$21,0),99),2)&amp;M1065&amp;RIGHT("00000"&amp;ROW(),5),"K"&amp;RIGHT("00000"&amp;ROW(),5))))))</f>
        <v/>
      </c>
      <c r="O1065" s="16" t="str">
        <f aca="false">IF(N1065="","",COUNTIFS($N$2:$N$1201,"&lt;"&amp;N1065,$F$2:$F$1201,"&gt;0")+1)</f>
        <v/>
      </c>
    </row>
    <row r="1066" customFormat="false" ht="15" hidden="false" customHeight="false" outlineLevel="0" collapsed="false">
      <c r="A1066" s="11" t="str">
        <f aca="false">IF(_LEITURA!$N1066="","",INDEX(_LEITURA!$K$2:$K$1201,_LEITURA!$N1066))</f>
        <v/>
      </c>
      <c r="B1066" s="11" t="str">
        <f aca="false">IF(_LEITURA!$N1066="","",INDEX(_LEITURA!$E$2:$E$1201,_LEITURA!$N1066))</f>
        <v/>
      </c>
      <c r="C1066" s="11" t="str">
        <f aca="false">IF(_LEITURA!$N1066="","",INDEX(_LEITURA!$J$2:$J$1201,_LEITURA!$N1066))</f>
        <v/>
      </c>
      <c r="D1066" s="16" t="str">
        <f aca="false">IF(_LEITURA!$N1066="","",INDEX(_LEITURA!$G$2:$G$1201,_LEITURA!$N1066))</f>
        <v/>
      </c>
      <c r="E1066" s="16" t="str">
        <f aca="false">IF(B1066="","",SUMIFS(INVENTÁRIO!$C$2:$C$801,INVENTÁRIO!$A$2:$A$801,B1066))</f>
        <v/>
      </c>
      <c r="F1066" s="16" t="str">
        <f aca="false">IF(B1066="","",MAX(0,D1066-E1066))</f>
        <v/>
      </c>
      <c r="G1066" s="16" t="str">
        <f aca="false">IF(B1066="","",IF(COUNTIFS($B$2:$B$1201,B1066,$A$2:$A$1201,"&lt;&gt;"&amp;A1066)&gt;0,"Sim",""))</f>
        <v/>
      </c>
      <c r="H1066" s="16" t="str">
        <f aca="false">IF(N(F1066)&gt;0,MAX(H$1:H1065)+1,"")</f>
        <v/>
      </c>
      <c r="I1066" s="11" t="str">
        <f aca="false">IF(B1066="","",IF(INDEX($C$2:$C$1201,MATCH(B1066,$B$2:$B$1201,0))&lt;&gt;C1066,"Nome diferente em outro deck — revisar",""))</f>
        <v/>
      </c>
      <c r="J1066" s="16" t="str">
        <f aca="false">IF(AND(B1066&lt;&gt;"",A1066=BULK!$A$1,N(F1066)&gt;0),MAX(J$1:J1065)+1,"")</f>
        <v/>
      </c>
      <c r="K1066" s="11" t="str">
        <f aca="false">IF(B1066="","",IFERROR(LEFT(B1066,FIND("-",B1066)-1),B1066))</f>
        <v/>
      </c>
      <c r="L1066" s="11" t="str">
        <f aca="false">IF(K1066="","",IF(ISNUMBER(--MID(K1066,1,1)),0,IF(ISNUMBER(--MID(K1066,2,1)),1,IF(ISNUMBER(--MID(K1066,3,1)),2,IF(ISNUMBER(--MID(K1066,4,1)),3,MIN(LEN(K1066),4))))))</f>
        <v/>
      </c>
      <c r="M1066" s="11" t="str">
        <f aca="false">IF(B1066="","",LEFT(K1066,L1066)&amp;REPT("0",4-L1066)&amp;RIGHT("000"&amp;IFERROR(VALUE(MID(K1066,L1066+1,9)),0),3)&amp;RIGHT("0000"&amp;IFERROR(VALUE(MID(B1066,FIND("-",B1066)+1,9)),0),4))</f>
        <v/>
      </c>
      <c r="N1066" s="11" t="str">
        <f aca="false">IF(OR(B1066="",N(F1066)&lt;=0),"",IF('FALTAS POR DECK'!$P$1="Código","K"&amp;M1066&amp;RIGHT("00000"&amp;ROW(),5),IF('FALTAS POR DECK'!$P$1="Nome","K"&amp;UPPER(SUBSTITUTE(SUBSTITUTE(SUBSTITUTE(C1066,"*",""),"?",""),"~",""))&amp;"0"&amp;M1066&amp;RIGHT("00000"&amp;ROW(),5),IF('FALTAS POR DECK'!$P$1="Falta (maior primeiro)","K"&amp;RIGHT("0000"&amp;(9999-F1066),4)&amp;M1066&amp;RIGHT("00000"&amp;ROW(),5),IF('FALTAS POR DECK'!$P$1="Deck e código","K"&amp;RIGHT("00"&amp;IFERROR(MATCH(A1066,_LEITURA!$P$2:$P$21,0),99),2)&amp;M1066&amp;RIGHT("00000"&amp;ROW(),5),"K"&amp;RIGHT("00000"&amp;ROW(),5))))))</f>
        <v/>
      </c>
      <c r="O1066" s="16" t="str">
        <f aca="false">IF(N1066="","",COUNTIFS($N$2:$N$1201,"&lt;"&amp;N1066,$F$2:$F$1201,"&gt;0")+1)</f>
        <v/>
      </c>
    </row>
    <row r="1067" customFormat="false" ht="15" hidden="false" customHeight="false" outlineLevel="0" collapsed="false">
      <c r="A1067" s="11" t="str">
        <f aca="false">IF(_LEITURA!$N1067="","",INDEX(_LEITURA!$K$2:$K$1201,_LEITURA!$N1067))</f>
        <v/>
      </c>
      <c r="B1067" s="11" t="str">
        <f aca="false">IF(_LEITURA!$N1067="","",INDEX(_LEITURA!$E$2:$E$1201,_LEITURA!$N1067))</f>
        <v/>
      </c>
      <c r="C1067" s="11" t="str">
        <f aca="false">IF(_LEITURA!$N1067="","",INDEX(_LEITURA!$J$2:$J$1201,_LEITURA!$N1067))</f>
        <v/>
      </c>
      <c r="D1067" s="16" t="str">
        <f aca="false">IF(_LEITURA!$N1067="","",INDEX(_LEITURA!$G$2:$G$1201,_LEITURA!$N1067))</f>
        <v/>
      </c>
      <c r="E1067" s="16" t="str">
        <f aca="false">IF(B1067="","",SUMIFS(INVENTÁRIO!$C$2:$C$801,INVENTÁRIO!$A$2:$A$801,B1067))</f>
        <v/>
      </c>
      <c r="F1067" s="16" t="str">
        <f aca="false">IF(B1067="","",MAX(0,D1067-E1067))</f>
        <v/>
      </c>
      <c r="G1067" s="16" t="str">
        <f aca="false">IF(B1067="","",IF(COUNTIFS($B$2:$B$1201,B1067,$A$2:$A$1201,"&lt;&gt;"&amp;A1067)&gt;0,"Sim",""))</f>
        <v/>
      </c>
      <c r="H1067" s="16" t="str">
        <f aca="false">IF(N(F1067)&gt;0,MAX(H$1:H1066)+1,"")</f>
        <v/>
      </c>
      <c r="I1067" s="11" t="str">
        <f aca="false">IF(B1067="","",IF(INDEX($C$2:$C$1201,MATCH(B1067,$B$2:$B$1201,0))&lt;&gt;C1067,"Nome diferente em outro deck — revisar",""))</f>
        <v/>
      </c>
      <c r="J1067" s="16" t="str">
        <f aca="false">IF(AND(B1067&lt;&gt;"",A1067=BULK!$A$1,N(F1067)&gt;0),MAX(J$1:J1066)+1,"")</f>
        <v/>
      </c>
      <c r="K1067" s="11" t="str">
        <f aca="false">IF(B1067="","",IFERROR(LEFT(B1067,FIND("-",B1067)-1),B1067))</f>
        <v/>
      </c>
      <c r="L1067" s="11" t="str">
        <f aca="false">IF(K1067="","",IF(ISNUMBER(--MID(K1067,1,1)),0,IF(ISNUMBER(--MID(K1067,2,1)),1,IF(ISNUMBER(--MID(K1067,3,1)),2,IF(ISNUMBER(--MID(K1067,4,1)),3,MIN(LEN(K1067),4))))))</f>
        <v/>
      </c>
      <c r="M1067" s="11" t="str">
        <f aca="false">IF(B1067="","",LEFT(K1067,L1067)&amp;REPT("0",4-L1067)&amp;RIGHT("000"&amp;IFERROR(VALUE(MID(K1067,L1067+1,9)),0),3)&amp;RIGHT("0000"&amp;IFERROR(VALUE(MID(B1067,FIND("-",B1067)+1,9)),0),4))</f>
        <v/>
      </c>
      <c r="N1067" s="11" t="str">
        <f aca="false">IF(OR(B1067="",N(F1067)&lt;=0),"",IF('FALTAS POR DECK'!$P$1="Código","K"&amp;M1067&amp;RIGHT("00000"&amp;ROW(),5),IF('FALTAS POR DECK'!$P$1="Nome","K"&amp;UPPER(SUBSTITUTE(SUBSTITUTE(SUBSTITUTE(C1067,"*",""),"?",""),"~",""))&amp;"0"&amp;M1067&amp;RIGHT("00000"&amp;ROW(),5),IF('FALTAS POR DECK'!$P$1="Falta (maior primeiro)","K"&amp;RIGHT("0000"&amp;(9999-F1067),4)&amp;M1067&amp;RIGHT("00000"&amp;ROW(),5),IF('FALTAS POR DECK'!$P$1="Deck e código","K"&amp;RIGHT("00"&amp;IFERROR(MATCH(A1067,_LEITURA!$P$2:$P$21,0),99),2)&amp;M1067&amp;RIGHT("00000"&amp;ROW(),5),"K"&amp;RIGHT("00000"&amp;ROW(),5))))))</f>
        <v/>
      </c>
      <c r="O1067" s="16" t="str">
        <f aca="false">IF(N1067="","",COUNTIFS($N$2:$N$1201,"&lt;"&amp;N1067,$F$2:$F$1201,"&gt;0")+1)</f>
        <v/>
      </c>
    </row>
    <row r="1068" customFormat="false" ht="15" hidden="false" customHeight="false" outlineLevel="0" collapsed="false">
      <c r="A1068" s="11" t="str">
        <f aca="false">IF(_LEITURA!$N1068="","",INDEX(_LEITURA!$K$2:$K$1201,_LEITURA!$N1068))</f>
        <v/>
      </c>
      <c r="B1068" s="11" t="str">
        <f aca="false">IF(_LEITURA!$N1068="","",INDEX(_LEITURA!$E$2:$E$1201,_LEITURA!$N1068))</f>
        <v/>
      </c>
      <c r="C1068" s="11" t="str">
        <f aca="false">IF(_LEITURA!$N1068="","",INDEX(_LEITURA!$J$2:$J$1201,_LEITURA!$N1068))</f>
        <v/>
      </c>
      <c r="D1068" s="16" t="str">
        <f aca="false">IF(_LEITURA!$N1068="","",INDEX(_LEITURA!$G$2:$G$1201,_LEITURA!$N1068))</f>
        <v/>
      </c>
      <c r="E1068" s="16" t="str">
        <f aca="false">IF(B1068="","",SUMIFS(INVENTÁRIO!$C$2:$C$801,INVENTÁRIO!$A$2:$A$801,B1068))</f>
        <v/>
      </c>
      <c r="F1068" s="16" t="str">
        <f aca="false">IF(B1068="","",MAX(0,D1068-E1068))</f>
        <v/>
      </c>
      <c r="G1068" s="16" t="str">
        <f aca="false">IF(B1068="","",IF(COUNTIFS($B$2:$B$1201,B1068,$A$2:$A$1201,"&lt;&gt;"&amp;A1068)&gt;0,"Sim",""))</f>
        <v/>
      </c>
      <c r="H1068" s="16" t="str">
        <f aca="false">IF(N(F1068)&gt;0,MAX(H$1:H1067)+1,"")</f>
        <v/>
      </c>
      <c r="I1068" s="11" t="str">
        <f aca="false">IF(B1068="","",IF(INDEX($C$2:$C$1201,MATCH(B1068,$B$2:$B$1201,0))&lt;&gt;C1068,"Nome diferente em outro deck — revisar",""))</f>
        <v/>
      </c>
      <c r="J1068" s="16" t="str">
        <f aca="false">IF(AND(B1068&lt;&gt;"",A1068=BULK!$A$1,N(F1068)&gt;0),MAX(J$1:J1067)+1,"")</f>
        <v/>
      </c>
      <c r="K1068" s="11" t="str">
        <f aca="false">IF(B1068="","",IFERROR(LEFT(B1068,FIND("-",B1068)-1),B1068))</f>
        <v/>
      </c>
      <c r="L1068" s="11" t="str">
        <f aca="false">IF(K1068="","",IF(ISNUMBER(--MID(K1068,1,1)),0,IF(ISNUMBER(--MID(K1068,2,1)),1,IF(ISNUMBER(--MID(K1068,3,1)),2,IF(ISNUMBER(--MID(K1068,4,1)),3,MIN(LEN(K1068),4))))))</f>
        <v/>
      </c>
      <c r="M1068" s="11" t="str">
        <f aca="false">IF(B1068="","",LEFT(K1068,L1068)&amp;REPT("0",4-L1068)&amp;RIGHT("000"&amp;IFERROR(VALUE(MID(K1068,L1068+1,9)),0),3)&amp;RIGHT("0000"&amp;IFERROR(VALUE(MID(B1068,FIND("-",B1068)+1,9)),0),4))</f>
        <v/>
      </c>
      <c r="N1068" s="11" t="str">
        <f aca="false">IF(OR(B1068="",N(F1068)&lt;=0),"",IF('FALTAS POR DECK'!$P$1="Código","K"&amp;M1068&amp;RIGHT("00000"&amp;ROW(),5),IF('FALTAS POR DECK'!$P$1="Nome","K"&amp;UPPER(SUBSTITUTE(SUBSTITUTE(SUBSTITUTE(C1068,"*",""),"?",""),"~",""))&amp;"0"&amp;M1068&amp;RIGHT("00000"&amp;ROW(),5),IF('FALTAS POR DECK'!$P$1="Falta (maior primeiro)","K"&amp;RIGHT("0000"&amp;(9999-F1068),4)&amp;M1068&amp;RIGHT("00000"&amp;ROW(),5),IF('FALTAS POR DECK'!$P$1="Deck e código","K"&amp;RIGHT("00"&amp;IFERROR(MATCH(A1068,_LEITURA!$P$2:$P$21,0),99),2)&amp;M1068&amp;RIGHT("00000"&amp;ROW(),5),"K"&amp;RIGHT("00000"&amp;ROW(),5))))))</f>
        <v/>
      </c>
      <c r="O1068" s="16" t="str">
        <f aca="false">IF(N1068="","",COUNTIFS($N$2:$N$1201,"&lt;"&amp;N1068,$F$2:$F$1201,"&gt;0")+1)</f>
        <v/>
      </c>
    </row>
    <row r="1069" customFormat="false" ht="15" hidden="false" customHeight="false" outlineLevel="0" collapsed="false">
      <c r="A1069" s="11" t="str">
        <f aca="false">IF(_LEITURA!$N1069="","",INDEX(_LEITURA!$K$2:$K$1201,_LEITURA!$N1069))</f>
        <v/>
      </c>
      <c r="B1069" s="11" t="str">
        <f aca="false">IF(_LEITURA!$N1069="","",INDEX(_LEITURA!$E$2:$E$1201,_LEITURA!$N1069))</f>
        <v/>
      </c>
      <c r="C1069" s="11" t="str">
        <f aca="false">IF(_LEITURA!$N1069="","",INDEX(_LEITURA!$J$2:$J$1201,_LEITURA!$N1069))</f>
        <v/>
      </c>
      <c r="D1069" s="16" t="str">
        <f aca="false">IF(_LEITURA!$N1069="","",INDEX(_LEITURA!$G$2:$G$1201,_LEITURA!$N1069))</f>
        <v/>
      </c>
      <c r="E1069" s="16" t="str">
        <f aca="false">IF(B1069="","",SUMIFS(INVENTÁRIO!$C$2:$C$801,INVENTÁRIO!$A$2:$A$801,B1069))</f>
        <v/>
      </c>
      <c r="F1069" s="16" t="str">
        <f aca="false">IF(B1069="","",MAX(0,D1069-E1069))</f>
        <v/>
      </c>
      <c r="G1069" s="16" t="str">
        <f aca="false">IF(B1069="","",IF(COUNTIFS($B$2:$B$1201,B1069,$A$2:$A$1201,"&lt;&gt;"&amp;A1069)&gt;0,"Sim",""))</f>
        <v/>
      </c>
      <c r="H1069" s="16" t="str">
        <f aca="false">IF(N(F1069)&gt;0,MAX(H$1:H1068)+1,"")</f>
        <v/>
      </c>
      <c r="I1069" s="11" t="str">
        <f aca="false">IF(B1069="","",IF(INDEX($C$2:$C$1201,MATCH(B1069,$B$2:$B$1201,0))&lt;&gt;C1069,"Nome diferente em outro deck — revisar",""))</f>
        <v/>
      </c>
      <c r="J1069" s="16" t="str">
        <f aca="false">IF(AND(B1069&lt;&gt;"",A1069=BULK!$A$1,N(F1069)&gt;0),MAX(J$1:J1068)+1,"")</f>
        <v/>
      </c>
      <c r="K1069" s="11" t="str">
        <f aca="false">IF(B1069="","",IFERROR(LEFT(B1069,FIND("-",B1069)-1),B1069))</f>
        <v/>
      </c>
      <c r="L1069" s="11" t="str">
        <f aca="false">IF(K1069="","",IF(ISNUMBER(--MID(K1069,1,1)),0,IF(ISNUMBER(--MID(K1069,2,1)),1,IF(ISNUMBER(--MID(K1069,3,1)),2,IF(ISNUMBER(--MID(K1069,4,1)),3,MIN(LEN(K1069),4))))))</f>
        <v/>
      </c>
      <c r="M1069" s="11" t="str">
        <f aca="false">IF(B1069="","",LEFT(K1069,L1069)&amp;REPT("0",4-L1069)&amp;RIGHT("000"&amp;IFERROR(VALUE(MID(K1069,L1069+1,9)),0),3)&amp;RIGHT("0000"&amp;IFERROR(VALUE(MID(B1069,FIND("-",B1069)+1,9)),0),4))</f>
        <v/>
      </c>
      <c r="N1069" s="11" t="str">
        <f aca="false">IF(OR(B1069="",N(F1069)&lt;=0),"",IF('FALTAS POR DECK'!$P$1="Código","K"&amp;M1069&amp;RIGHT("00000"&amp;ROW(),5),IF('FALTAS POR DECK'!$P$1="Nome","K"&amp;UPPER(SUBSTITUTE(SUBSTITUTE(SUBSTITUTE(C1069,"*",""),"?",""),"~",""))&amp;"0"&amp;M1069&amp;RIGHT("00000"&amp;ROW(),5),IF('FALTAS POR DECK'!$P$1="Falta (maior primeiro)","K"&amp;RIGHT("0000"&amp;(9999-F1069),4)&amp;M1069&amp;RIGHT("00000"&amp;ROW(),5),IF('FALTAS POR DECK'!$P$1="Deck e código","K"&amp;RIGHT("00"&amp;IFERROR(MATCH(A1069,_LEITURA!$P$2:$P$21,0),99),2)&amp;M1069&amp;RIGHT("00000"&amp;ROW(),5),"K"&amp;RIGHT("00000"&amp;ROW(),5))))))</f>
        <v/>
      </c>
      <c r="O1069" s="16" t="str">
        <f aca="false">IF(N1069="","",COUNTIFS($N$2:$N$1201,"&lt;"&amp;N1069,$F$2:$F$1201,"&gt;0")+1)</f>
        <v/>
      </c>
    </row>
    <row r="1070" customFormat="false" ht="15" hidden="false" customHeight="false" outlineLevel="0" collapsed="false">
      <c r="A1070" s="11" t="str">
        <f aca="false">IF(_LEITURA!$N1070="","",INDEX(_LEITURA!$K$2:$K$1201,_LEITURA!$N1070))</f>
        <v/>
      </c>
      <c r="B1070" s="11" t="str">
        <f aca="false">IF(_LEITURA!$N1070="","",INDEX(_LEITURA!$E$2:$E$1201,_LEITURA!$N1070))</f>
        <v/>
      </c>
      <c r="C1070" s="11" t="str">
        <f aca="false">IF(_LEITURA!$N1070="","",INDEX(_LEITURA!$J$2:$J$1201,_LEITURA!$N1070))</f>
        <v/>
      </c>
      <c r="D1070" s="16" t="str">
        <f aca="false">IF(_LEITURA!$N1070="","",INDEX(_LEITURA!$G$2:$G$1201,_LEITURA!$N1070))</f>
        <v/>
      </c>
      <c r="E1070" s="16" t="str">
        <f aca="false">IF(B1070="","",SUMIFS(INVENTÁRIO!$C$2:$C$801,INVENTÁRIO!$A$2:$A$801,B1070))</f>
        <v/>
      </c>
      <c r="F1070" s="16" t="str">
        <f aca="false">IF(B1070="","",MAX(0,D1070-E1070))</f>
        <v/>
      </c>
      <c r="G1070" s="16" t="str">
        <f aca="false">IF(B1070="","",IF(COUNTIFS($B$2:$B$1201,B1070,$A$2:$A$1201,"&lt;&gt;"&amp;A1070)&gt;0,"Sim",""))</f>
        <v/>
      </c>
      <c r="H1070" s="16" t="str">
        <f aca="false">IF(N(F1070)&gt;0,MAX(H$1:H1069)+1,"")</f>
        <v/>
      </c>
      <c r="I1070" s="11" t="str">
        <f aca="false">IF(B1070="","",IF(INDEX($C$2:$C$1201,MATCH(B1070,$B$2:$B$1201,0))&lt;&gt;C1070,"Nome diferente em outro deck — revisar",""))</f>
        <v/>
      </c>
      <c r="J1070" s="16" t="str">
        <f aca="false">IF(AND(B1070&lt;&gt;"",A1070=BULK!$A$1,N(F1070)&gt;0),MAX(J$1:J1069)+1,"")</f>
        <v/>
      </c>
      <c r="K1070" s="11" t="str">
        <f aca="false">IF(B1070="","",IFERROR(LEFT(B1070,FIND("-",B1070)-1),B1070))</f>
        <v/>
      </c>
      <c r="L1070" s="11" t="str">
        <f aca="false">IF(K1070="","",IF(ISNUMBER(--MID(K1070,1,1)),0,IF(ISNUMBER(--MID(K1070,2,1)),1,IF(ISNUMBER(--MID(K1070,3,1)),2,IF(ISNUMBER(--MID(K1070,4,1)),3,MIN(LEN(K1070),4))))))</f>
        <v/>
      </c>
      <c r="M1070" s="11" t="str">
        <f aca="false">IF(B1070="","",LEFT(K1070,L1070)&amp;REPT("0",4-L1070)&amp;RIGHT("000"&amp;IFERROR(VALUE(MID(K1070,L1070+1,9)),0),3)&amp;RIGHT("0000"&amp;IFERROR(VALUE(MID(B1070,FIND("-",B1070)+1,9)),0),4))</f>
        <v/>
      </c>
      <c r="N1070" s="11" t="str">
        <f aca="false">IF(OR(B1070="",N(F1070)&lt;=0),"",IF('FALTAS POR DECK'!$P$1="Código","K"&amp;M1070&amp;RIGHT("00000"&amp;ROW(),5),IF('FALTAS POR DECK'!$P$1="Nome","K"&amp;UPPER(SUBSTITUTE(SUBSTITUTE(SUBSTITUTE(C1070,"*",""),"?",""),"~",""))&amp;"0"&amp;M1070&amp;RIGHT("00000"&amp;ROW(),5),IF('FALTAS POR DECK'!$P$1="Falta (maior primeiro)","K"&amp;RIGHT("0000"&amp;(9999-F1070),4)&amp;M1070&amp;RIGHT("00000"&amp;ROW(),5),IF('FALTAS POR DECK'!$P$1="Deck e código","K"&amp;RIGHT("00"&amp;IFERROR(MATCH(A1070,_LEITURA!$P$2:$P$21,0),99),2)&amp;M1070&amp;RIGHT("00000"&amp;ROW(),5),"K"&amp;RIGHT("00000"&amp;ROW(),5))))))</f>
        <v/>
      </c>
      <c r="O1070" s="16" t="str">
        <f aca="false">IF(N1070="","",COUNTIFS($N$2:$N$1201,"&lt;"&amp;N1070,$F$2:$F$1201,"&gt;0")+1)</f>
        <v/>
      </c>
    </row>
    <row r="1071" customFormat="false" ht="15" hidden="false" customHeight="false" outlineLevel="0" collapsed="false">
      <c r="A1071" s="11" t="str">
        <f aca="false">IF(_LEITURA!$N1071="","",INDEX(_LEITURA!$K$2:$K$1201,_LEITURA!$N1071))</f>
        <v/>
      </c>
      <c r="B1071" s="11" t="str">
        <f aca="false">IF(_LEITURA!$N1071="","",INDEX(_LEITURA!$E$2:$E$1201,_LEITURA!$N1071))</f>
        <v/>
      </c>
      <c r="C1071" s="11" t="str">
        <f aca="false">IF(_LEITURA!$N1071="","",INDEX(_LEITURA!$J$2:$J$1201,_LEITURA!$N1071))</f>
        <v/>
      </c>
      <c r="D1071" s="16" t="str">
        <f aca="false">IF(_LEITURA!$N1071="","",INDEX(_LEITURA!$G$2:$G$1201,_LEITURA!$N1071))</f>
        <v/>
      </c>
      <c r="E1071" s="16" t="str">
        <f aca="false">IF(B1071="","",SUMIFS(INVENTÁRIO!$C$2:$C$801,INVENTÁRIO!$A$2:$A$801,B1071))</f>
        <v/>
      </c>
      <c r="F1071" s="16" t="str">
        <f aca="false">IF(B1071="","",MAX(0,D1071-E1071))</f>
        <v/>
      </c>
      <c r="G1071" s="16" t="str">
        <f aca="false">IF(B1071="","",IF(COUNTIFS($B$2:$B$1201,B1071,$A$2:$A$1201,"&lt;&gt;"&amp;A1071)&gt;0,"Sim",""))</f>
        <v/>
      </c>
      <c r="H1071" s="16" t="str">
        <f aca="false">IF(N(F1071)&gt;0,MAX(H$1:H1070)+1,"")</f>
        <v/>
      </c>
      <c r="I1071" s="11" t="str">
        <f aca="false">IF(B1071="","",IF(INDEX($C$2:$C$1201,MATCH(B1071,$B$2:$B$1201,0))&lt;&gt;C1071,"Nome diferente em outro deck — revisar",""))</f>
        <v/>
      </c>
      <c r="J1071" s="16" t="str">
        <f aca="false">IF(AND(B1071&lt;&gt;"",A1071=BULK!$A$1,N(F1071)&gt;0),MAX(J$1:J1070)+1,"")</f>
        <v/>
      </c>
      <c r="K1071" s="11" t="str">
        <f aca="false">IF(B1071="","",IFERROR(LEFT(B1071,FIND("-",B1071)-1),B1071))</f>
        <v/>
      </c>
      <c r="L1071" s="11" t="str">
        <f aca="false">IF(K1071="","",IF(ISNUMBER(--MID(K1071,1,1)),0,IF(ISNUMBER(--MID(K1071,2,1)),1,IF(ISNUMBER(--MID(K1071,3,1)),2,IF(ISNUMBER(--MID(K1071,4,1)),3,MIN(LEN(K1071),4))))))</f>
        <v/>
      </c>
      <c r="M1071" s="11" t="str">
        <f aca="false">IF(B1071="","",LEFT(K1071,L1071)&amp;REPT("0",4-L1071)&amp;RIGHT("000"&amp;IFERROR(VALUE(MID(K1071,L1071+1,9)),0),3)&amp;RIGHT("0000"&amp;IFERROR(VALUE(MID(B1071,FIND("-",B1071)+1,9)),0),4))</f>
        <v/>
      </c>
      <c r="N1071" s="11" t="str">
        <f aca="false">IF(OR(B1071="",N(F1071)&lt;=0),"",IF('FALTAS POR DECK'!$P$1="Código","K"&amp;M1071&amp;RIGHT("00000"&amp;ROW(),5),IF('FALTAS POR DECK'!$P$1="Nome","K"&amp;UPPER(SUBSTITUTE(SUBSTITUTE(SUBSTITUTE(C1071,"*",""),"?",""),"~",""))&amp;"0"&amp;M1071&amp;RIGHT("00000"&amp;ROW(),5),IF('FALTAS POR DECK'!$P$1="Falta (maior primeiro)","K"&amp;RIGHT("0000"&amp;(9999-F1071),4)&amp;M1071&amp;RIGHT("00000"&amp;ROW(),5),IF('FALTAS POR DECK'!$P$1="Deck e código","K"&amp;RIGHT("00"&amp;IFERROR(MATCH(A1071,_LEITURA!$P$2:$P$21,0),99),2)&amp;M1071&amp;RIGHT("00000"&amp;ROW(),5),"K"&amp;RIGHT("00000"&amp;ROW(),5))))))</f>
        <v/>
      </c>
      <c r="O1071" s="16" t="str">
        <f aca="false">IF(N1071="","",COUNTIFS($N$2:$N$1201,"&lt;"&amp;N1071,$F$2:$F$1201,"&gt;0")+1)</f>
        <v/>
      </c>
    </row>
    <row r="1072" customFormat="false" ht="15" hidden="false" customHeight="false" outlineLevel="0" collapsed="false">
      <c r="A1072" s="11" t="str">
        <f aca="false">IF(_LEITURA!$N1072="","",INDEX(_LEITURA!$K$2:$K$1201,_LEITURA!$N1072))</f>
        <v/>
      </c>
      <c r="B1072" s="11" t="str">
        <f aca="false">IF(_LEITURA!$N1072="","",INDEX(_LEITURA!$E$2:$E$1201,_LEITURA!$N1072))</f>
        <v/>
      </c>
      <c r="C1072" s="11" t="str">
        <f aca="false">IF(_LEITURA!$N1072="","",INDEX(_LEITURA!$J$2:$J$1201,_LEITURA!$N1072))</f>
        <v/>
      </c>
      <c r="D1072" s="16" t="str">
        <f aca="false">IF(_LEITURA!$N1072="","",INDEX(_LEITURA!$G$2:$G$1201,_LEITURA!$N1072))</f>
        <v/>
      </c>
      <c r="E1072" s="16" t="str">
        <f aca="false">IF(B1072="","",SUMIFS(INVENTÁRIO!$C$2:$C$801,INVENTÁRIO!$A$2:$A$801,B1072))</f>
        <v/>
      </c>
      <c r="F1072" s="16" t="str">
        <f aca="false">IF(B1072="","",MAX(0,D1072-E1072))</f>
        <v/>
      </c>
      <c r="G1072" s="16" t="str">
        <f aca="false">IF(B1072="","",IF(COUNTIFS($B$2:$B$1201,B1072,$A$2:$A$1201,"&lt;&gt;"&amp;A1072)&gt;0,"Sim",""))</f>
        <v/>
      </c>
      <c r="H1072" s="16" t="str">
        <f aca="false">IF(N(F1072)&gt;0,MAX(H$1:H1071)+1,"")</f>
        <v/>
      </c>
      <c r="I1072" s="11" t="str">
        <f aca="false">IF(B1072="","",IF(INDEX($C$2:$C$1201,MATCH(B1072,$B$2:$B$1201,0))&lt;&gt;C1072,"Nome diferente em outro deck — revisar",""))</f>
        <v/>
      </c>
      <c r="J1072" s="16" t="str">
        <f aca="false">IF(AND(B1072&lt;&gt;"",A1072=BULK!$A$1,N(F1072)&gt;0),MAX(J$1:J1071)+1,"")</f>
        <v/>
      </c>
      <c r="K1072" s="11" t="str">
        <f aca="false">IF(B1072="","",IFERROR(LEFT(B1072,FIND("-",B1072)-1),B1072))</f>
        <v/>
      </c>
      <c r="L1072" s="11" t="str">
        <f aca="false">IF(K1072="","",IF(ISNUMBER(--MID(K1072,1,1)),0,IF(ISNUMBER(--MID(K1072,2,1)),1,IF(ISNUMBER(--MID(K1072,3,1)),2,IF(ISNUMBER(--MID(K1072,4,1)),3,MIN(LEN(K1072),4))))))</f>
        <v/>
      </c>
      <c r="M1072" s="11" t="str">
        <f aca="false">IF(B1072="","",LEFT(K1072,L1072)&amp;REPT("0",4-L1072)&amp;RIGHT("000"&amp;IFERROR(VALUE(MID(K1072,L1072+1,9)),0),3)&amp;RIGHT("0000"&amp;IFERROR(VALUE(MID(B1072,FIND("-",B1072)+1,9)),0),4))</f>
        <v/>
      </c>
      <c r="N1072" s="11" t="str">
        <f aca="false">IF(OR(B1072="",N(F1072)&lt;=0),"",IF('FALTAS POR DECK'!$P$1="Código","K"&amp;M1072&amp;RIGHT("00000"&amp;ROW(),5),IF('FALTAS POR DECK'!$P$1="Nome","K"&amp;UPPER(SUBSTITUTE(SUBSTITUTE(SUBSTITUTE(C1072,"*",""),"?",""),"~",""))&amp;"0"&amp;M1072&amp;RIGHT("00000"&amp;ROW(),5),IF('FALTAS POR DECK'!$P$1="Falta (maior primeiro)","K"&amp;RIGHT("0000"&amp;(9999-F1072),4)&amp;M1072&amp;RIGHT("00000"&amp;ROW(),5),IF('FALTAS POR DECK'!$P$1="Deck e código","K"&amp;RIGHT("00"&amp;IFERROR(MATCH(A1072,_LEITURA!$P$2:$P$21,0),99),2)&amp;M1072&amp;RIGHT("00000"&amp;ROW(),5),"K"&amp;RIGHT("00000"&amp;ROW(),5))))))</f>
        <v/>
      </c>
      <c r="O1072" s="16" t="str">
        <f aca="false">IF(N1072="","",COUNTIFS($N$2:$N$1201,"&lt;"&amp;N1072,$F$2:$F$1201,"&gt;0")+1)</f>
        <v/>
      </c>
    </row>
    <row r="1073" customFormat="false" ht="15" hidden="false" customHeight="false" outlineLevel="0" collapsed="false">
      <c r="A1073" s="11" t="str">
        <f aca="false">IF(_LEITURA!$N1073="","",INDEX(_LEITURA!$K$2:$K$1201,_LEITURA!$N1073))</f>
        <v/>
      </c>
      <c r="B1073" s="11" t="str">
        <f aca="false">IF(_LEITURA!$N1073="","",INDEX(_LEITURA!$E$2:$E$1201,_LEITURA!$N1073))</f>
        <v/>
      </c>
      <c r="C1073" s="11" t="str">
        <f aca="false">IF(_LEITURA!$N1073="","",INDEX(_LEITURA!$J$2:$J$1201,_LEITURA!$N1073))</f>
        <v/>
      </c>
      <c r="D1073" s="16" t="str">
        <f aca="false">IF(_LEITURA!$N1073="","",INDEX(_LEITURA!$G$2:$G$1201,_LEITURA!$N1073))</f>
        <v/>
      </c>
      <c r="E1073" s="16" t="str">
        <f aca="false">IF(B1073="","",SUMIFS(INVENTÁRIO!$C$2:$C$801,INVENTÁRIO!$A$2:$A$801,B1073))</f>
        <v/>
      </c>
      <c r="F1073" s="16" t="str">
        <f aca="false">IF(B1073="","",MAX(0,D1073-E1073))</f>
        <v/>
      </c>
      <c r="G1073" s="16" t="str">
        <f aca="false">IF(B1073="","",IF(COUNTIFS($B$2:$B$1201,B1073,$A$2:$A$1201,"&lt;&gt;"&amp;A1073)&gt;0,"Sim",""))</f>
        <v/>
      </c>
      <c r="H1073" s="16" t="str">
        <f aca="false">IF(N(F1073)&gt;0,MAX(H$1:H1072)+1,"")</f>
        <v/>
      </c>
      <c r="I1073" s="11" t="str">
        <f aca="false">IF(B1073="","",IF(INDEX($C$2:$C$1201,MATCH(B1073,$B$2:$B$1201,0))&lt;&gt;C1073,"Nome diferente em outro deck — revisar",""))</f>
        <v/>
      </c>
      <c r="J1073" s="16" t="str">
        <f aca="false">IF(AND(B1073&lt;&gt;"",A1073=BULK!$A$1,N(F1073)&gt;0),MAX(J$1:J1072)+1,"")</f>
        <v/>
      </c>
      <c r="K1073" s="11" t="str">
        <f aca="false">IF(B1073="","",IFERROR(LEFT(B1073,FIND("-",B1073)-1),B1073))</f>
        <v/>
      </c>
      <c r="L1073" s="11" t="str">
        <f aca="false">IF(K1073="","",IF(ISNUMBER(--MID(K1073,1,1)),0,IF(ISNUMBER(--MID(K1073,2,1)),1,IF(ISNUMBER(--MID(K1073,3,1)),2,IF(ISNUMBER(--MID(K1073,4,1)),3,MIN(LEN(K1073),4))))))</f>
        <v/>
      </c>
      <c r="M1073" s="11" t="str">
        <f aca="false">IF(B1073="","",LEFT(K1073,L1073)&amp;REPT("0",4-L1073)&amp;RIGHT("000"&amp;IFERROR(VALUE(MID(K1073,L1073+1,9)),0),3)&amp;RIGHT("0000"&amp;IFERROR(VALUE(MID(B1073,FIND("-",B1073)+1,9)),0),4))</f>
        <v/>
      </c>
      <c r="N1073" s="11" t="str">
        <f aca="false">IF(OR(B1073="",N(F1073)&lt;=0),"",IF('FALTAS POR DECK'!$P$1="Código","K"&amp;M1073&amp;RIGHT("00000"&amp;ROW(),5),IF('FALTAS POR DECK'!$P$1="Nome","K"&amp;UPPER(SUBSTITUTE(SUBSTITUTE(SUBSTITUTE(C1073,"*",""),"?",""),"~",""))&amp;"0"&amp;M1073&amp;RIGHT("00000"&amp;ROW(),5),IF('FALTAS POR DECK'!$P$1="Falta (maior primeiro)","K"&amp;RIGHT("0000"&amp;(9999-F1073),4)&amp;M1073&amp;RIGHT("00000"&amp;ROW(),5),IF('FALTAS POR DECK'!$P$1="Deck e código","K"&amp;RIGHT("00"&amp;IFERROR(MATCH(A1073,_LEITURA!$P$2:$P$21,0),99),2)&amp;M1073&amp;RIGHT("00000"&amp;ROW(),5),"K"&amp;RIGHT("00000"&amp;ROW(),5))))))</f>
        <v/>
      </c>
      <c r="O1073" s="16" t="str">
        <f aca="false">IF(N1073="","",COUNTIFS($N$2:$N$1201,"&lt;"&amp;N1073,$F$2:$F$1201,"&gt;0")+1)</f>
        <v/>
      </c>
    </row>
    <row r="1074" customFormat="false" ht="15" hidden="false" customHeight="false" outlineLevel="0" collapsed="false">
      <c r="A1074" s="11" t="str">
        <f aca="false">IF(_LEITURA!$N1074="","",INDEX(_LEITURA!$K$2:$K$1201,_LEITURA!$N1074))</f>
        <v/>
      </c>
      <c r="B1074" s="11" t="str">
        <f aca="false">IF(_LEITURA!$N1074="","",INDEX(_LEITURA!$E$2:$E$1201,_LEITURA!$N1074))</f>
        <v/>
      </c>
      <c r="C1074" s="11" t="str">
        <f aca="false">IF(_LEITURA!$N1074="","",INDEX(_LEITURA!$J$2:$J$1201,_LEITURA!$N1074))</f>
        <v/>
      </c>
      <c r="D1074" s="16" t="str">
        <f aca="false">IF(_LEITURA!$N1074="","",INDEX(_LEITURA!$G$2:$G$1201,_LEITURA!$N1074))</f>
        <v/>
      </c>
      <c r="E1074" s="16" t="str">
        <f aca="false">IF(B1074="","",SUMIFS(INVENTÁRIO!$C$2:$C$801,INVENTÁRIO!$A$2:$A$801,B1074))</f>
        <v/>
      </c>
      <c r="F1074" s="16" t="str">
        <f aca="false">IF(B1074="","",MAX(0,D1074-E1074))</f>
        <v/>
      </c>
      <c r="G1074" s="16" t="str">
        <f aca="false">IF(B1074="","",IF(COUNTIFS($B$2:$B$1201,B1074,$A$2:$A$1201,"&lt;&gt;"&amp;A1074)&gt;0,"Sim",""))</f>
        <v/>
      </c>
      <c r="H1074" s="16" t="str">
        <f aca="false">IF(N(F1074)&gt;0,MAX(H$1:H1073)+1,"")</f>
        <v/>
      </c>
      <c r="I1074" s="11" t="str">
        <f aca="false">IF(B1074="","",IF(INDEX($C$2:$C$1201,MATCH(B1074,$B$2:$B$1201,0))&lt;&gt;C1074,"Nome diferente em outro deck — revisar",""))</f>
        <v/>
      </c>
      <c r="J1074" s="16" t="str">
        <f aca="false">IF(AND(B1074&lt;&gt;"",A1074=BULK!$A$1,N(F1074)&gt;0),MAX(J$1:J1073)+1,"")</f>
        <v/>
      </c>
      <c r="K1074" s="11" t="str">
        <f aca="false">IF(B1074="","",IFERROR(LEFT(B1074,FIND("-",B1074)-1),B1074))</f>
        <v/>
      </c>
      <c r="L1074" s="11" t="str">
        <f aca="false">IF(K1074="","",IF(ISNUMBER(--MID(K1074,1,1)),0,IF(ISNUMBER(--MID(K1074,2,1)),1,IF(ISNUMBER(--MID(K1074,3,1)),2,IF(ISNUMBER(--MID(K1074,4,1)),3,MIN(LEN(K1074),4))))))</f>
        <v/>
      </c>
      <c r="M1074" s="11" t="str">
        <f aca="false">IF(B1074="","",LEFT(K1074,L1074)&amp;REPT("0",4-L1074)&amp;RIGHT("000"&amp;IFERROR(VALUE(MID(K1074,L1074+1,9)),0),3)&amp;RIGHT("0000"&amp;IFERROR(VALUE(MID(B1074,FIND("-",B1074)+1,9)),0),4))</f>
        <v/>
      </c>
      <c r="N1074" s="11" t="str">
        <f aca="false">IF(OR(B1074="",N(F1074)&lt;=0),"",IF('FALTAS POR DECK'!$P$1="Código","K"&amp;M1074&amp;RIGHT("00000"&amp;ROW(),5),IF('FALTAS POR DECK'!$P$1="Nome","K"&amp;UPPER(SUBSTITUTE(SUBSTITUTE(SUBSTITUTE(C1074,"*",""),"?",""),"~",""))&amp;"0"&amp;M1074&amp;RIGHT("00000"&amp;ROW(),5),IF('FALTAS POR DECK'!$P$1="Falta (maior primeiro)","K"&amp;RIGHT("0000"&amp;(9999-F1074),4)&amp;M1074&amp;RIGHT("00000"&amp;ROW(),5),IF('FALTAS POR DECK'!$P$1="Deck e código","K"&amp;RIGHT("00"&amp;IFERROR(MATCH(A1074,_LEITURA!$P$2:$P$21,0),99),2)&amp;M1074&amp;RIGHT("00000"&amp;ROW(),5),"K"&amp;RIGHT("00000"&amp;ROW(),5))))))</f>
        <v/>
      </c>
      <c r="O1074" s="16" t="str">
        <f aca="false">IF(N1074="","",COUNTIFS($N$2:$N$1201,"&lt;"&amp;N1074,$F$2:$F$1201,"&gt;0")+1)</f>
        <v/>
      </c>
    </row>
    <row r="1075" customFormat="false" ht="15" hidden="false" customHeight="false" outlineLevel="0" collapsed="false">
      <c r="A1075" s="11" t="str">
        <f aca="false">IF(_LEITURA!$N1075="","",INDEX(_LEITURA!$K$2:$K$1201,_LEITURA!$N1075))</f>
        <v/>
      </c>
      <c r="B1075" s="11" t="str">
        <f aca="false">IF(_LEITURA!$N1075="","",INDEX(_LEITURA!$E$2:$E$1201,_LEITURA!$N1075))</f>
        <v/>
      </c>
      <c r="C1075" s="11" t="str">
        <f aca="false">IF(_LEITURA!$N1075="","",INDEX(_LEITURA!$J$2:$J$1201,_LEITURA!$N1075))</f>
        <v/>
      </c>
      <c r="D1075" s="16" t="str">
        <f aca="false">IF(_LEITURA!$N1075="","",INDEX(_LEITURA!$G$2:$G$1201,_LEITURA!$N1075))</f>
        <v/>
      </c>
      <c r="E1075" s="16" t="str">
        <f aca="false">IF(B1075="","",SUMIFS(INVENTÁRIO!$C$2:$C$801,INVENTÁRIO!$A$2:$A$801,B1075))</f>
        <v/>
      </c>
      <c r="F1075" s="16" t="str">
        <f aca="false">IF(B1075="","",MAX(0,D1075-E1075))</f>
        <v/>
      </c>
      <c r="G1075" s="16" t="str">
        <f aca="false">IF(B1075="","",IF(COUNTIFS($B$2:$B$1201,B1075,$A$2:$A$1201,"&lt;&gt;"&amp;A1075)&gt;0,"Sim",""))</f>
        <v/>
      </c>
      <c r="H1075" s="16" t="str">
        <f aca="false">IF(N(F1075)&gt;0,MAX(H$1:H1074)+1,"")</f>
        <v/>
      </c>
      <c r="I1075" s="11" t="str">
        <f aca="false">IF(B1075="","",IF(INDEX($C$2:$C$1201,MATCH(B1075,$B$2:$B$1201,0))&lt;&gt;C1075,"Nome diferente em outro deck — revisar",""))</f>
        <v/>
      </c>
      <c r="J1075" s="16" t="str">
        <f aca="false">IF(AND(B1075&lt;&gt;"",A1075=BULK!$A$1,N(F1075)&gt;0),MAX(J$1:J1074)+1,"")</f>
        <v/>
      </c>
      <c r="K1075" s="11" t="str">
        <f aca="false">IF(B1075="","",IFERROR(LEFT(B1075,FIND("-",B1075)-1),B1075))</f>
        <v/>
      </c>
      <c r="L1075" s="11" t="str">
        <f aca="false">IF(K1075="","",IF(ISNUMBER(--MID(K1075,1,1)),0,IF(ISNUMBER(--MID(K1075,2,1)),1,IF(ISNUMBER(--MID(K1075,3,1)),2,IF(ISNUMBER(--MID(K1075,4,1)),3,MIN(LEN(K1075),4))))))</f>
        <v/>
      </c>
      <c r="M1075" s="11" t="str">
        <f aca="false">IF(B1075="","",LEFT(K1075,L1075)&amp;REPT("0",4-L1075)&amp;RIGHT("000"&amp;IFERROR(VALUE(MID(K1075,L1075+1,9)),0),3)&amp;RIGHT("0000"&amp;IFERROR(VALUE(MID(B1075,FIND("-",B1075)+1,9)),0),4))</f>
        <v/>
      </c>
      <c r="N1075" s="11" t="str">
        <f aca="false">IF(OR(B1075="",N(F1075)&lt;=0),"",IF('FALTAS POR DECK'!$P$1="Código","K"&amp;M1075&amp;RIGHT("00000"&amp;ROW(),5),IF('FALTAS POR DECK'!$P$1="Nome","K"&amp;UPPER(SUBSTITUTE(SUBSTITUTE(SUBSTITUTE(C1075,"*",""),"?",""),"~",""))&amp;"0"&amp;M1075&amp;RIGHT("00000"&amp;ROW(),5),IF('FALTAS POR DECK'!$P$1="Falta (maior primeiro)","K"&amp;RIGHT("0000"&amp;(9999-F1075),4)&amp;M1075&amp;RIGHT("00000"&amp;ROW(),5),IF('FALTAS POR DECK'!$P$1="Deck e código","K"&amp;RIGHT("00"&amp;IFERROR(MATCH(A1075,_LEITURA!$P$2:$P$21,0),99),2)&amp;M1075&amp;RIGHT("00000"&amp;ROW(),5),"K"&amp;RIGHT("00000"&amp;ROW(),5))))))</f>
        <v/>
      </c>
      <c r="O1075" s="16" t="str">
        <f aca="false">IF(N1075="","",COUNTIFS($N$2:$N$1201,"&lt;"&amp;N1075,$F$2:$F$1201,"&gt;0")+1)</f>
        <v/>
      </c>
    </row>
    <row r="1076" customFormat="false" ht="15" hidden="false" customHeight="false" outlineLevel="0" collapsed="false">
      <c r="A1076" s="11" t="str">
        <f aca="false">IF(_LEITURA!$N1076="","",INDEX(_LEITURA!$K$2:$K$1201,_LEITURA!$N1076))</f>
        <v/>
      </c>
      <c r="B1076" s="11" t="str">
        <f aca="false">IF(_LEITURA!$N1076="","",INDEX(_LEITURA!$E$2:$E$1201,_LEITURA!$N1076))</f>
        <v/>
      </c>
      <c r="C1076" s="11" t="str">
        <f aca="false">IF(_LEITURA!$N1076="","",INDEX(_LEITURA!$J$2:$J$1201,_LEITURA!$N1076))</f>
        <v/>
      </c>
      <c r="D1076" s="16" t="str">
        <f aca="false">IF(_LEITURA!$N1076="","",INDEX(_LEITURA!$G$2:$G$1201,_LEITURA!$N1076))</f>
        <v/>
      </c>
      <c r="E1076" s="16" t="str">
        <f aca="false">IF(B1076="","",SUMIFS(INVENTÁRIO!$C$2:$C$801,INVENTÁRIO!$A$2:$A$801,B1076))</f>
        <v/>
      </c>
      <c r="F1076" s="16" t="str">
        <f aca="false">IF(B1076="","",MAX(0,D1076-E1076))</f>
        <v/>
      </c>
      <c r="G1076" s="16" t="str">
        <f aca="false">IF(B1076="","",IF(COUNTIFS($B$2:$B$1201,B1076,$A$2:$A$1201,"&lt;&gt;"&amp;A1076)&gt;0,"Sim",""))</f>
        <v/>
      </c>
      <c r="H1076" s="16" t="str">
        <f aca="false">IF(N(F1076)&gt;0,MAX(H$1:H1075)+1,"")</f>
        <v/>
      </c>
      <c r="I1076" s="11" t="str">
        <f aca="false">IF(B1076="","",IF(INDEX($C$2:$C$1201,MATCH(B1076,$B$2:$B$1201,0))&lt;&gt;C1076,"Nome diferente em outro deck — revisar",""))</f>
        <v/>
      </c>
      <c r="J1076" s="16" t="str">
        <f aca="false">IF(AND(B1076&lt;&gt;"",A1076=BULK!$A$1,N(F1076)&gt;0),MAX(J$1:J1075)+1,"")</f>
        <v/>
      </c>
      <c r="K1076" s="11" t="str">
        <f aca="false">IF(B1076="","",IFERROR(LEFT(B1076,FIND("-",B1076)-1),B1076))</f>
        <v/>
      </c>
      <c r="L1076" s="11" t="str">
        <f aca="false">IF(K1076="","",IF(ISNUMBER(--MID(K1076,1,1)),0,IF(ISNUMBER(--MID(K1076,2,1)),1,IF(ISNUMBER(--MID(K1076,3,1)),2,IF(ISNUMBER(--MID(K1076,4,1)),3,MIN(LEN(K1076),4))))))</f>
        <v/>
      </c>
      <c r="M1076" s="11" t="str">
        <f aca="false">IF(B1076="","",LEFT(K1076,L1076)&amp;REPT("0",4-L1076)&amp;RIGHT("000"&amp;IFERROR(VALUE(MID(K1076,L1076+1,9)),0),3)&amp;RIGHT("0000"&amp;IFERROR(VALUE(MID(B1076,FIND("-",B1076)+1,9)),0),4))</f>
        <v/>
      </c>
      <c r="N1076" s="11" t="str">
        <f aca="false">IF(OR(B1076="",N(F1076)&lt;=0),"",IF('FALTAS POR DECK'!$P$1="Código","K"&amp;M1076&amp;RIGHT("00000"&amp;ROW(),5),IF('FALTAS POR DECK'!$P$1="Nome","K"&amp;UPPER(SUBSTITUTE(SUBSTITUTE(SUBSTITUTE(C1076,"*",""),"?",""),"~",""))&amp;"0"&amp;M1076&amp;RIGHT("00000"&amp;ROW(),5),IF('FALTAS POR DECK'!$P$1="Falta (maior primeiro)","K"&amp;RIGHT("0000"&amp;(9999-F1076),4)&amp;M1076&amp;RIGHT("00000"&amp;ROW(),5),IF('FALTAS POR DECK'!$P$1="Deck e código","K"&amp;RIGHT("00"&amp;IFERROR(MATCH(A1076,_LEITURA!$P$2:$P$21,0),99),2)&amp;M1076&amp;RIGHT("00000"&amp;ROW(),5),"K"&amp;RIGHT("00000"&amp;ROW(),5))))))</f>
        <v/>
      </c>
      <c r="O1076" s="16" t="str">
        <f aca="false">IF(N1076="","",COUNTIFS($N$2:$N$1201,"&lt;"&amp;N1076,$F$2:$F$1201,"&gt;0")+1)</f>
        <v/>
      </c>
    </row>
    <row r="1077" customFormat="false" ht="15" hidden="false" customHeight="false" outlineLevel="0" collapsed="false">
      <c r="A1077" s="11" t="str">
        <f aca="false">IF(_LEITURA!$N1077="","",INDEX(_LEITURA!$K$2:$K$1201,_LEITURA!$N1077))</f>
        <v/>
      </c>
      <c r="B1077" s="11" t="str">
        <f aca="false">IF(_LEITURA!$N1077="","",INDEX(_LEITURA!$E$2:$E$1201,_LEITURA!$N1077))</f>
        <v/>
      </c>
      <c r="C1077" s="11" t="str">
        <f aca="false">IF(_LEITURA!$N1077="","",INDEX(_LEITURA!$J$2:$J$1201,_LEITURA!$N1077))</f>
        <v/>
      </c>
      <c r="D1077" s="16" t="str">
        <f aca="false">IF(_LEITURA!$N1077="","",INDEX(_LEITURA!$G$2:$G$1201,_LEITURA!$N1077))</f>
        <v/>
      </c>
      <c r="E1077" s="16" t="str">
        <f aca="false">IF(B1077="","",SUMIFS(INVENTÁRIO!$C$2:$C$801,INVENTÁRIO!$A$2:$A$801,B1077))</f>
        <v/>
      </c>
      <c r="F1077" s="16" t="str">
        <f aca="false">IF(B1077="","",MAX(0,D1077-E1077))</f>
        <v/>
      </c>
      <c r="G1077" s="16" t="str">
        <f aca="false">IF(B1077="","",IF(COUNTIFS($B$2:$B$1201,B1077,$A$2:$A$1201,"&lt;&gt;"&amp;A1077)&gt;0,"Sim",""))</f>
        <v/>
      </c>
      <c r="H1077" s="16" t="str">
        <f aca="false">IF(N(F1077)&gt;0,MAX(H$1:H1076)+1,"")</f>
        <v/>
      </c>
      <c r="I1077" s="11" t="str">
        <f aca="false">IF(B1077="","",IF(INDEX($C$2:$C$1201,MATCH(B1077,$B$2:$B$1201,0))&lt;&gt;C1077,"Nome diferente em outro deck — revisar",""))</f>
        <v/>
      </c>
      <c r="J1077" s="16" t="str">
        <f aca="false">IF(AND(B1077&lt;&gt;"",A1077=BULK!$A$1,N(F1077)&gt;0),MAX(J$1:J1076)+1,"")</f>
        <v/>
      </c>
      <c r="K1077" s="11" t="str">
        <f aca="false">IF(B1077="","",IFERROR(LEFT(B1077,FIND("-",B1077)-1),B1077))</f>
        <v/>
      </c>
      <c r="L1077" s="11" t="str">
        <f aca="false">IF(K1077="","",IF(ISNUMBER(--MID(K1077,1,1)),0,IF(ISNUMBER(--MID(K1077,2,1)),1,IF(ISNUMBER(--MID(K1077,3,1)),2,IF(ISNUMBER(--MID(K1077,4,1)),3,MIN(LEN(K1077),4))))))</f>
        <v/>
      </c>
      <c r="M1077" s="11" t="str">
        <f aca="false">IF(B1077="","",LEFT(K1077,L1077)&amp;REPT("0",4-L1077)&amp;RIGHT("000"&amp;IFERROR(VALUE(MID(K1077,L1077+1,9)),0),3)&amp;RIGHT("0000"&amp;IFERROR(VALUE(MID(B1077,FIND("-",B1077)+1,9)),0),4))</f>
        <v/>
      </c>
      <c r="N1077" s="11" t="str">
        <f aca="false">IF(OR(B1077="",N(F1077)&lt;=0),"",IF('FALTAS POR DECK'!$P$1="Código","K"&amp;M1077&amp;RIGHT("00000"&amp;ROW(),5),IF('FALTAS POR DECK'!$P$1="Nome","K"&amp;UPPER(SUBSTITUTE(SUBSTITUTE(SUBSTITUTE(C1077,"*",""),"?",""),"~",""))&amp;"0"&amp;M1077&amp;RIGHT("00000"&amp;ROW(),5),IF('FALTAS POR DECK'!$P$1="Falta (maior primeiro)","K"&amp;RIGHT("0000"&amp;(9999-F1077),4)&amp;M1077&amp;RIGHT("00000"&amp;ROW(),5),IF('FALTAS POR DECK'!$P$1="Deck e código","K"&amp;RIGHT("00"&amp;IFERROR(MATCH(A1077,_LEITURA!$P$2:$P$21,0),99),2)&amp;M1077&amp;RIGHT("00000"&amp;ROW(),5),"K"&amp;RIGHT("00000"&amp;ROW(),5))))))</f>
        <v/>
      </c>
      <c r="O1077" s="16" t="str">
        <f aca="false">IF(N1077="","",COUNTIFS($N$2:$N$1201,"&lt;"&amp;N1077,$F$2:$F$1201,"&gt;0")+1)</f>
        <v/>
      </c>
    </row>
    <row r="1078" customFormat="false" ht="15" hidden="false" customHeight="false" outlineLevel="0" collapsed="false">
      <c r="A1078" s="11" t="str">
        <f aca="false">IF(_LEITURA!$N1078="","",INDEX(_LEITURA!$K$2:$K$1201,_LEITURA!$N1078))</f>
        <v/>
      </c>
      <c r="B1078" s="11" t="str">
        <f aca="false">IF(_LEITURA!$N1078="","",INDEX(_LEITURA!$E$2:$E$1201,_LEITURA!$N1078))</f>
        <v/>
      </c>
      <c r="C1078" s="11" t="str">
        <f aca="false">IF(_LEITURA!$N1078="","",INDEX(_LEITURA!$J$2:$J$1201,_LEITURA!$N1078))</f>
        <v/>
      </c>
      <c r="D1078" s="16" t="str">
        <f aca="false">IF(_LEITURA!$N1078="","",INDEX(_LEITURA!$G$2:$G$1201,_LEITURA!$N1078))</f>
        <v/>
      </c>
      <c r="E1078" s="16" t="str">
        <f aca="false">IF(B1078="","",SUMIFS(INVENTÁRIO!$C$2:$C$801,INVENTÁRIO!$A$2:$A$801,B1078))</f>
        <v/>
      </c>
      <c r="F1078" s="16" t="str">
        <f aca="false">IF(B1078="","",MAX(0,D1078-E1078))</f>
        <v/>
      </c>
      <c r="G1078" s="16" t="str">
        <f aca="false">IF(B1078="","",IF(COUNTIFS($B$2:$B$1201,B1078,$A$2:$A$1201,"&lt;&gt;"&amp;A1078)&gt;0,"Sim",""))</f>
        <v/>
      </c>
      <c r="H1078" s="16" t="str">
        <f aca="false">IF(N(F1078)&gt;0,MAX(H$1:H1077)+1,"")</f>
        <v/>
      </c>
      <c r="I1078" s="11" t="str">
        <f aca="false">IF(B1078="","",IF(INDEX($C$2:$C$1201,MATCH(B1078,$B$2:$B$1201,0))&lt;&gt;C1078,"Nome diferente em outro deck — revisar",""))</f>
        <v/>
      </c>
      <c r="J1078" s="16" t="str">
        <f aca="false">IF(AND(B1078&lt;&gt;"",A1078=BULK!$A$1,N(F1078)&gt;0),MAX(J$1:J1077)+1,"")</f>
        <v/>
      </c>
      <c r="K1078" s="11" t="str">
        <f aca="false">IF(B1078="","",IFERROR(LEFT(B1078,FIND("-",B1078)-1),B1078))</f>
        <v/>
      </c>
      <c r="L1078" s="11" t="str">
        <f aca="false">IF(K1078="","",IF(ISNUMBER(--MID(K1078,1,1)),0,IF(ISNUMBER(--MID(K1078,2,1)),1,IF(ISNUMBER(--MID(K1078,3,1)),2,IF(ISNUMBER(--MID(K1078,4,1)),3,MIN(LEN(K1078),4))))))</f>
        <v/>
      </c>
      <c r="M1078" s="11" t="str">
        <f aca="false">IF(B1078="","",LEFT(K1078,L1078)&amp;REPT("0",4-L1078)&amp;RIGHT("000"&amp;IFERROR(VALUE(MID(K1078,L1078+1,9)),0),3)&amp;RIGHT("0000"&amp;IFERROR(VALUE(MID(B1078,FIND("-",B1078)+1,9)),0),4))</f>
        <v/>
      </c>
      <c r="N1078" s="11" t="str">
        <f aca="false">IF(OR(B1078="",N(F1078)&lt;=0),"",IF('FALTAS POR DECK'!$P$1="Código","K"&amp;M1078&amp;RIGHT("00000"&amp;ROW(),5),IF('FALTAS POR DECK'!$P$1="Nome","K"&amp;UPPER(SUBSTITUTE(SUBSTITUTE(SUBSTITUTE(C1078,"*",""),"?",""),"~",""))&amp;"0"&amp;M1078&amp;RIGHT("00000"&amp;ROW(),5),IF('FALTAS POR DECK'!$P$1="Falta (maior primeiro)","K"&amp;RIGHT("0000"&amp;(9999-F1078),4)&amp;M1078&amp;RIGHT("00000"&amp;ROW(),5),IF('FALTAS POR DECK'!$P$1="Deck e código","K"&amp;RIGHT("00"&amp;IFERROR(MATCH(A1078,_LEITURA!$P$2:$P$21,0),99),2)&amp;M1078&amp;RIGHT("00000"&amp;ROW(),5),"K"&amp;RIGHT("00000"&amp;ROW(),5))))))</f>
        <v/>
      </c>
      <c r="O1078" s="16" t="str">
        <f aca="false">IF(N1078="","",COUNTIFS($N$2:$N$1201,"&lt;"&amp;N1078,$F$2:$F$1201,"&gt;0")+1)</f>
        <v/>
      </c>
    </row>
    <row r="1079" customFormat="false" ht="15" hidden="false" customHeight="false" outlineLevel="0" collapsed="false">
      <c r="A1079" s="11" t="str">
        <f aca="false">IF(_LEITURA!$N1079="","",INDEX(_LEITURA!$K$2:$K$1201,_LEITURA!$N1079))</f>
        <v/>
      </c>
      <c r="B1079" s="11" t="str">
        <f aca="false">IF(_LEITURA!$N1079="","",INDEX(_LEITURA!$E$2:$E$1201,_LEITURA!$N1079))</f>
        <v/>
      </c>
      <c r="C1079" s="11" t="str">
        <f aca="false">IF(_LEITURA!$N1079="","",INDEX(_LEITURA!$J$2:$J$1201,_LEITURA!$N1079))</f>
        <v/>
      </c>
      <c r="D1079" s="16" t="str">
        <f aca="false">IF(_LEITURA!$N1079="","",INDEX(_LEITURA!$G$2:$G$1201,_LEITURA!$N1079))</f>
        <v/>
      </c>
      <c r="E1079" s="16" t="str">
        <f aca="false">IF(B1079="","",SUMIFS(INVENTÁRIO!$C$2:$C$801,INVENTÁRIO!$A$2:$A$801,B1079))</f>
        <v/>
      </c>
      <c r="F1079" s="16" t="str">
        <f aca="false">IF(B1079="","",MAX(0,D1079-E1079))</f>
        <v/>
      </c>
      <c r="G1079" s="16" t="str">
        <f aca="false">IF(B1079="","",IF(COUNTIFS($B$2:$B$1201,B1079,$A$2:$A$1201,"&lt;&gt;"&amp;A1079)&gt;0,"Sim",""))</f>
        <v/>
      </c>
      <c r="H1079" s="16" t="str">
        <f aca="false">IF(N(F1079)&gt;0,MAX(H$1:H1078)+1,"")</f>
        <v/>
      </c>
      <c r="I1079" s="11" t="str">
        <f aca="false">IF(B1079="","",IF(INDEX($C$2:$C$1201,MATCH(B1079,$B$2:$B$1201,0))&lt;&gt;C1079,"Nome diferente em outro deck — revisar",""))</f>
        <v/>
      </c>
      <c r="J1079" s="16" t="str">
        <f aca="false">IF(AND(B1079&lt;&gt;"",A1079=BULK!$A$1,N(F1079)&gt;0),MAX(J$1:J1078)+1,"")</f>
        <v/>
      </c>
      <c r="K1079" s="11" t="str">
        <f aca="false">IF(B1079="","",IFERROR(LEFT(B1079,FIND("-",B1079)-1),B1079))</f>
        <v/>
      </c>
      <c r="L1079" s="11" t="str">
        <f aca="false">IF(K1079="","",IF(ISNUMBER(--MID(K1079,1,1)),0,IF(ISNUMBER(--MID(K1079,2,1)),1,IF(ISNUMBER(--MID(K1079,3,1)),2,IF(ISNUMBER(--MID(K1079,4,1)),3,MIN(LEN(K1079),4))))))</f>
        <v/>
      </c>
      <c r="M1079" s="11" t="str">
        <f aca="false">IF(B1079="","",LEFT(K1079,L1079)&amp;REPT("0",4-L1079)&amp;RIGHT("000"&amp;IFERROR(VALUE(MID(K1079,L1079+1,9)),0),3)&amp;RIGHT("0000"&amp;IFERROR(VALUE(MID(B1079,FIND("-",B1079)+1,9)),0),4))</f>
        <v/>
      </c>
      <c r="N1079" s="11" t="str">
        <f aca="false">IF(OR(B1079="",N(F1079)&lt;=0),"",IF('FALTAS POR DECK'!$P$1="Código","K"&amp;M1079&amp;RIGHT("00000"&amp;ROW(),5),IF('FALTAS POR DECK'!$P$1="Nome","K"&amp;UPPER(SUBSTITUTE(SUBSTITUTE(SUBSTITUTE(C1079,"*",""),"?",""),"~",""))&amp;"0"&amp;M1079&amp;RIGHT("00000"&amp;ROW(),5),IF('FALTAS POR DECK'!$P$1="Falta (maior primeiro)","K"&amp;RIGHT("0000"&amp;(9999-F1079),4)&amp;M1079&amp;RIGHT("00000"&amp;ROW(),5),IF('FALTAS POR DECK'!$P$1="Deck e código","K"&amp;RIGHT("00"&amp;IFERROR(MATCH(A1079,_LEITURA!$P$2:$P$21,0),99),2)&amp;M1079&amp;RIGHT("00000"&amp;ROW(),5),"K"&amp;RIGHT("00000"&amp;ROW(),5))))))</f>
        <v/>
      </c>
      <c r="O1079" s="16" t="str">
        <f aca="false">IF(N1079="","",COUNTIFS($N$2:$N$1201,"&lt;"&amp;N1079,$F$2:$F$1201,"&gt;0")+1)</f>
        <v/>
      </c>
    </row>
    <row r="1080" customFormat="false" ht="15" hidden="false" customHeight="false" outlineLevel="0" collapsed="false">
      <c r="A1080" s="11" t="str">
        <f aca="false">IF(_LEITURA!$N1080="","",INDEX(_LEITURA!$K$2:$K$1201,_LEITURA!$N1080))</f>
        <v/>
      </c>
      <c r="B1080" s="11" t="str">
        <f aca="false">IF(_LEITURA!$N1080="","",INDEX(_LEITURA!$E$2:$E$1201,_LEITURA!$N1080))</f>
        <v/>
      </c>
      <c r="C1080" s="11" t="str">
        <f aca="false">IF(_LEITURA!$N1080="","",INDEX(_LEITURA!$J$2:$J$1201,_LEITURA!$N1080))</f>
        <v/>
      </c>
      <c r="D1080" s="16" t="str">
        <f aca="false">IF(_LEITURA!$N1080="","",INDEX(_LEITURA!$G$2:$G$1201,_LEITURA!$N1080))</f>
        <v/>
      </c>
      <c r="E1080" s="16" t="str">
        <f aca="false">IF(B1080="","",SUMIFS(INVENTÁRIO!$C$2:$C$801,INVENTÁRIO!$A$2:$A$801,B1080))</f>
        <v/>
      </c>
      <c r="F1080" s="16" t="str">
        <f aca="false">IF(B1080="","",MAX(0,D1080-E1080))</f>
        <v/>
      </c>
      <c r="G1080" s="16" t="str">
        <f aca="false">IF(B1080="","",IF(COUNTIFS($B$2:$B$1201,B1080,$A$2:$A$1201,"&lt;&gt;"&amp;A1080)&gt;0,"Sim",""))</f>
        <v/>
      </c>
      <c r="H1080" s="16" t="str">
        <f aca="false">IF(N(F1080)&gt;0,MAX(H$1:H1079)+1,"")</f>
        <v/>
      </c>
      <c r="I1080" s="11" t="str">
        <f aca="false">IF(B1080="","",IF(INDEX($C$2:$C$1201,MATCH(B1080,$B$2:$B$1201,0))&lt;&gt;C1080,"Nome diferente em outro deck — revisar",""))</f>
        <v/>
      </c>
      <c r="J1080" s="16" t="str">
        <f aca="false">IF(AND(B1080&lt;&gt;"",A1080=BULK!$A$1,N(F1080)&gt;0),MAX(J$1:J1079)+1,"")</f>
        <v/>
      </c>
      <c r="K1080" s="11" t="str">
        <f aca="false">IF(B1080="","",IFERROR(LEFT(B1080,FIND("-",B1080)-1),B1080))</f>
        <v/>
      </c>
      <c r="L1080" s="11" t="str">
        <f aca="false">IF(K1080="","",IF(ISNUMBER(--MID(K1080,1,1)),0,IF(ISNUMBER(--MID(K1080,2,1)),1,IF(ISNUMBER(--MID(K1080,3,1)),2,IF(ISNUMBER(--MID(K1080,4,1)),3,MIN(LEN(K1080),4))))))</f>
        <v/>
      </c>
      <c r="M1080" s="11" t="str">
        <f aca="false">IF(B1080="","",LEFT(K1080,L1080)&amp;REPT("0",4-L1080)&amp;RIGHT("000"&amp;IFERROR(VALUE(MID(K1080,L1080+1,9)),0),3)&amp;RIGHT("0000"&amp;IFERROR(VALUE(MID(B1080,FIND("-",B1080)+1,9)),0),4))</f>
        <v/>
      </c>
      <c r="N1080" s="11" t="str">
        <f aca="false">IF(OR(B1080="",N(F1080)&lt;=0),"",IF('FALTAS POR DECK'!$P$1="Código","K"&amp;M1080&amp;RIGHT("00000"&amp;ROW(),5),IF('FALTAS POR DECK'!$P$1="Nome","K"&amp;UPPER(SUBSTITUTE(SUBSTITUTE(SUBSTITUTE(C1080,"*",""),"?",""),"~",""))&amp;"0"&amp;M1080&amp;RIGHT("00000"&amp;ROW(),5),IF('FALTAS POR DECK'!$P$1="Falta (maior primeiro)","K"&amp;RIGHT("0000"&amp;(9999-F1080),4)&amp;M1080&amp;RIGHT("00000"&amp;ROW(),5),IF('FALTAS POR DECK'!$P$1="Deck e código","K"&amp;RIGHT("00"&amp;IFERROR(MATCH(A1080,_LEITURA!$P$2:$P$21,0),99),2)&amp;M1080&amp;RIGHT("00000"&amp;ROW(),5),"K"&amp;RIGHT("00000"&amp;ROW(),5))))))</f>
        <v/>
      </c>
      <c r="O1080" s="16" t="str">
        <f aca="false">IF(N1080="","",COUNTIFS($N$2:$N$1201,"&lt;"&amp;N1080,$F$2:$F$1201,"&gt;0")+1)</f>
        <v/>
      </c>
    </row>
    <row r="1081" customFormat="false" ht="15" hidden="false" customHeight="false" outlineLevel="0" collapsed="false">
      <c r="A1081" s="11" t="str">
        <f aca="false">IF(_LEITURA!$N1081="","",INDEX(_LEITURA!$K$2:$K$1201,_LEITURA!$N1081))</f>
        <v/>
      </c>
      <c r="B1081" s="11" t="str">
        <f aca="false">IF(_LEITURA!$N1081="","",INDEX(_LEITURA!$E$2:$E$1201,_LEITURA!$N1081))</f>
        <v/>
      </c>
      <c r="C1081" s="11" t="str">
        <f aca="false">IF(_LEITURA!$N1081="","",INDEX(_LEITURA!$J$2:$J$1201,_LEITURA!$N1081))</f>
        <v/>
      </c>
      <c r="D1081" s="16" t="str">
        <f aca="false">IF(_LEITURA!$N1081="","",INDEX(_LEITURA!$G$2:$G$1201,_LEITURA!$N1081))</f>
        <v/>
      </c>
      <c r="E1081" s="16" t="str">
        <f aca="false">IF(B1081="","",SUMIFS(INVENTÁRIO!$C$2:$C$801,INVENTÁRIO!$A$2:$A$801,B1081))</f>
        <v/>
      </c>
      <c r="F1081" s="16" t="str">
        <f aca="false">IF(B1081="","",MAX(0,D1081-E1081))</f>
        <v/>
      </c>
      <c r="G1081" s="16" t="str">
        <f aca="false">IF(B1081="","",IF(COUNTIFS($B$2:$B$1201,B1081,$A$2:$A$1201,"&lt;&gt;"&amp;A1081)&gt;0,"Sim",""))</f>
        <v/>
      </c>
      <c r="H1081" s="16" t="str">
        <f aca="false">IF(N(F1081)&gt;0,MAX(H$1:H1080)+1,"")</f>
        <v/>
      </c>
      <c r="I1081" s="11" t="str">
        <f aca="false">IF(B1081="","",IF(INDEX($C$2:$C$1201,MATCH(B1081,$B$2:$B$1201,0))&lt;&gt;C1081,"Nome diferente em outro deck — revisar",""))</f>
        <v/>
      </c>
      <c r="J1081" s="16" t="str">
        <f aca="false">IF(AND(B1081&lt;&gt;"",A1081=BULK!$A$1,N(F1081)&gt;0),MAX(J$1:J1080)+1,"")</f>
        <v/>
      </c>
      <c r="K1081" s="11" t="str">
        <f aca="false">IF(B1081="","",IFERROR(LEFT(B1081,FIND("-",B1081)-1),B1081))</f>
        <v/>
      </c>
      <c r="L1081" s="11" t="str">
        <f aca="false">IF(K1081="","",IF(ISNUMBER(--MID(K1081,1,1)),0,IF(ISNUMBER(--MID(K1081,2,1)),1,IF(ISNUMBER(--MID(K1081,3,1)),2,IF(ISNUMBER(--MID(K1081,4,1)),3,MIN(LEN(K1081),4))))))</f>
        <v/>
      </c>
      <c r="M1081" s="11" t="str">
        <f aca="false">IF(B1081="","",LEFT(K1081,L1081)&amp;REPT("0",4-L1081)&amp;RIGHT("000"&amp;IFERROR(VALUE(MID(K1081,L1081+1,9)),0),3)&amp;RIGHT("0000"&amp;IFERROR(VALUE(MID(B1081,FIND("-",B1081)+1,9)),0),4))</f>
        <v/>
      </c>
      <c r="N1081" s="11" t="str">
        <f aca="false">IF(OR(B1081="",N(F1081)&lt;=0),"",IF('FALTAS POR DECK'!$P$1="Código","K"&amp;M1081&amp;RIGHT("00000"&amp;ROW(),5),IF('FALTAS POR DECK'!$P$1="Nome","K"&amp;UPPER(SUBSTITUTE(SUBSTITUTE(SUBSTITUTE(C1081,"*",""),"?",""),"~",""))&amp;"0"&amp;M1081&amp;RIGHT("00000"&amp;ROW(),5),IF('FALTAS POR DECK'!$P$1="Falta (maior primeiro)","K"&amp;RIGHT("0000"&amp;(9999-F1081),4)&amp;M1081&amp;RIGHT("00000"&amp;ROW(),5),IF('FALTAS POR DECK'!$P$1="Deck e código","K"&amp;RIGHT("00"&amp;IFERROR(MATCH(A1081,_LEITURA!$P$2:$P$21,0),99),2)&amp;M1081&amp;RIGHT("00000"&amp;ROW(),5),"K"&amp;RIGHT("00000"&amp;ROW(),5))))))</f>
        <v/>
      </c>
      <c r="O1081" s="16" t="str">
        <f aca="false">IF(N1081="","",COUNTIFS($N$2:$N$1201,"&lt;"&amp;N1081,$F$2:$F$1201,"&gt;0")+1)</f>
        <v/>
      </c>
    </row>
    <row r="1082" customFormat="false" ht="15" hidden="false" customHeight="false" outlineLevel="0" collapsed="false">
      <c r="A1082" s="11" t="str">
        <f aca="false">IF(_LEITURA!$N1082="","",INDEX(_LEITURA!$K$2:$K$1201,_LEITURA!$N1082))</f>
        <v/>
      </c>
      <c r="B1082" s="11" t="str">
        <f aca="false">IF(_LEITURA!$N1082="","",INDEX(_LEITURA!$E$2:$E$1201,_LEITURA!$N1082))</f>
        <v/>
      </c>
      <c r="C1082" s="11" t="str">
        <f aca="false">IF(_LEITURA!$N1082="","",INDEX(_LEITURA!$J$2:$J$1201,_LEITURA!$N1082))</f>
        <v/>
      </c>
      <c r="D1082" s="16" t="str">
        <f aca="false">IF(_LEITURA!$N1082="","",INDEX(_LEITURA!$G$2:$G$1201,_LEITURA!$N1082))</f>
        <v/>
      </c>
      <c r="E1082" s="16" t="str">
        <f aca="false">IF(B1082="","",SUMIFS(INVENTÁRIO!$C$2:$C$801,INVENTÁRIO!$A$2:$A$801,B1082))</f>
        <v/>
      </c>
      <c r="F1082" s="16" t="str">
        <f aca="false">IF(B1082="","",MAX(0,D1082-E1082))</f>
        <v/>
      </c>
      <c r="G1082" s="16" t="str">
        <f aca="false">IF(B1082="","",IF(COUNTIFS($B$2:$B$1201,B1082,$A$2:$A$1201,"&lt;&gt;"&amp;A1082)&gt;0,"Sim",""))</f>
        <v/>
      </c>
      <c r="H1082" s="16" t="str">
        <f aca="false">IF(N(F1082)&gt;0,MAX(H$1:H1081)+1,"")</f>
        <v/>
      </c>
      <c r="I1082" s="11" t="str">
        <f aca="false">IF(B1082="","",IF(INDEX($C$2:$C$1201,MATCH(B1082,$B$2:$B$1201,0))&lt;&gt;C1082,"Nome diferente em outro deck — revisar",""))</f>
        <v/>
      </c>
      <c r="J1082" s="16" t="str">
        <f aca="false">IF(AND(B1082&lt;&gt;"",A1082=BULK!$A$1,N(F1082)&gt;0),MAX(J$1:J1081)+1,"")</f>
        <v/>
      </c>
      <c r="K1082" s="11" t="str">
        <f aca="false">IF(B1082="","",IFERROR(LEFT(B1082,FIND("-",B1082)-1),B1082))</f>
        <v/>
      </c>
      <c r="L1082" s="11" t="str">
        <f aca="false">IF(K1082="","",IF(ISNUMBER(--MID(K1082,1,1)),0,IF(ISNUMBER(--MID(K1082,2,1)),1,IF(ISNUMBER(--MID(K1082,3,1)),2,IF(ISNUMBER(--MID(K1082,4,1)),3,MIN(LEN(K1082),4))))))</f>
        <v/>
      </c>
      <c r="M1082" s="11" t="str">
        <f aca="false">IF(B1082="","",LEFT(K1082,L1082)&amp;REPT("0",4-L1082)&amp;RIGHT("000"&amp;IFERROR(VALUE(MID(K1082,L1082+1,9)),0),3)&amp;RIGHT("0000"&amp;IFERROR(VALUE(MID(B1082,FIND("-",B1082)+1,9)),0),4))</f>
        <v/>
      </c>
      <c r="N1082" s="11" t="str">
        <f aca="false">IF(OR(B1082="",N(F1082)&lt;=0),"",IF('FALTAS POR DECK'!$P$1="Código","K"&amp;M1082&amp;RIGHT("00000"&amp;ROW(),5),IF('FALTAS POR DECK'!$P$1="Nome","K"&amp;UPPER(SUBSTITUTE(SUBSTITUTE(SUBSTITUTE(C1082,"*",""),"?",""),"~",""))&amp;"0"&amp;M1082&amp;RIGHT("00000"&amp;ROW(),5),IF('FALTAS POR DECK'!$P$1="Falta (maior primeiro)","K"&amp;RIGHT("0000"&amp;(9999-F1082),4)&amp;M1082&amp;RIGHT("00000"&amp;ROW(),5),IF('FALTAS POR DECK'!$P$1="Deck e código","K"&amp;RIGHT("00"&amp;IFERROR(MATCH(A1082,_LEITURA!$P$2:$P$21,0),99),2)&amp;M1082&amp;RIGHT("00000"&amp;ROW(),5),"K"&amp;RIGHT("00000"&amp;ROW(),5))))))</f>
        <v/>
      </c>
      <c r="O1082" s="16" t="str">
        <f aca="false">IF(N1082="","",COUNTIFS($N$2:$N$1201,"&lt;"&amp;N1082,$F$2:$F$1201,"&gt;0")+1)</f>
        <v/>
      </c>
    </row>
    <row r="1083" customFormat="false" ht="15" hidden="false" customHeight="false" outlineLevel="0" collapsed="false">
      <c r="A1083" s="11" t="str">
        <f aca="false">IF(_LEITURA!$N1083="","",INDEX(_LEITURA!$K$2:$K$1201,_LEITURA!$N1083))</f>
        <v/>
      </c>
      <c r="B1083" s="11" t="str">
        <f aca="false">IF(_LEITURA!$N1083="","",INDEX(_LEITURA!$E$2:$E$1201,_LEITURA!$N1083))</f>
        <v/>
      </c>
      <c r="C1083" s="11" t="str">
        <f aca="false">IF(_LEITURA!$N1083="","",INDEX(_LEITURA!$J$2:$J$1201,_LEITURA!$N1083))</f>
        <v/>
      </c>
      <c r="D1083" s="16" t="str">
        <f aca="false">IF(_LEITURA!$N1083="","",INDEX(_LEITURA!$G$2:$G$1201,_LEITURA!$N1083))</f>
        <v/>
      </c>
      <c r="E1083" s="16" t="str">
        <f aca="false">IF(B1083="","",SUMIFS(INVENTÁRIO!$C$2:$C$801,INVENTÁRIO!$A$2:$A$801,B1083))</f>
        <v/>
      </c>
      <c r="F1083" s="16" t="str">
        <f aca="false">IF(B1083="","",MAX(0,D1083-E1083))</f>
        <v/>
      </c>
      <c r="G1083" s="16" t="str">
        <f aca="false">IF(B1083="","",IF(COUNTIFS($B$2:$B$1201,B1083,$A$2:$A$1201,"&lt;&gt;"&amp;A1083)&gt;0,"Sim",""))</f>
        <v/>
      </c>
      <c r="H1083" s="16" t="str">
        <f aca="false">IF(N(F1083)&gt;0,MAX(H$1:H1082)+1,"")</f>
        <v/>
      </c>
      <c r="I1083" s="11" t="str">
        <f aca="false">IF(B1083="","",IF(INDEX($C$2:$C$1201,MATCH(B1083,$B$2:$B$1201,0))&lt;&gt;C1083,"Nome diferente em outro deck — revisar",""))</f>
        <v/>
      </c>
      <c r="J1083" s="16" t="str">
        <f aca="false">IF(AND(B1083&lt;&gt;"",A1083=BULK!$A$1,N(F1083)&gt;0),MAX(J$1:J1082)+1,"")</f>
        <v/>
      </c>
      <c r="K1083" s="11" t="str">
        <f aca="false">IF(B1083="","",IFERROR(LEFT(B1083,FIND("-",B1083)-1),B1083))</f>
        <v/>
      </c>
      <c r="L1083" s="11" t="str">
        <f aca="false">IF(K1083="","",IF(ISNUMBER(--MID(K1083,1,1)),0,IF(ISNUMBER(--MID(K1083,2,1)),1,IF(ISNUMBER(--MID(K1083,3,1)),2,IF(ISNUMBER(--MID(K1083,4,1)),3,MIN(LEN(K1083),4))))))</f>
        <v/>
      </c>
      <c r="M1083" s="11" t="str">
        <f aca="false">IF(B1083="","",LEFT(K1083,L1083)&amp;REPT("0",4-L1083)&amp;RIGHT("000"&amp;IFERROR(VALUE(MID(K1083,L1083+1,9)),0),3)&amp;RIGHT("0000"&amp;IFERROR(VALUE(MID(B1083,FIND("-",B1083)+1,9)),0),4))</f>
        <v/>
      </c>
      <c r="N1083" s="11" t="str">
        <f aca="false">IF(OR(B1083="",N(F1083)&lt;=0),"",IF('FALTAS POR DECK'!$P$1="Código","K"&amp;M1083&amp;RIGHT("00000"&amp;ROW(),5),IF('FALTAS POR DECK'!$P$1="Nome","K"&amp;UPPER(SUBSTITUTE(SUBSTITUTE(SUBSTITUTE(C1083,"*",""),"?",""),"~",""))&amp;"0"&amp;M1083&amp;RIGHT("00000"&amp;ROW(),5),IF('FALTAS POR DECK'!$P$1="Falta (maior primeiro)","K"&amp;RIGHT("0000"&amp;(9999-F1083),4)&amp;M1083&amp;RIGHT("00000"&amp;ROW(),5),IF('FALTAS POR DECK'!$P$1="Deck e código","K"&amp;RIGHT("00"&amp;IFERROR(MATCH(A1083,_LEITURA!$P$2:$P$21,0),99),2)&amp;M1083&amp;RIGHT("00000"&amp;ROW(),5),"K"&amp;RIGHT("00000"&amp;ROW(),5))))))</f>
        <v/>
      </c>
      <c r="O1083" s="16" t="str">
        <f aca="false">IF(N1083="","",COUNTIFS($N$2:$N$1201,"&lt;"&amp;N1083,$F$2:$F$1201,"&gt;0")+1)</f>
        <v/>
      </c>
    </row>
    <row r="1084" customFormat="false" ht="15" hidden="false" customHeight="false" outlineLevel="0" collapsed="false">
      <c r="A1084" s="11" t="str">
        <f aca="false">IF(_LEITURA!$N1084="","",INDEX(_LEITURA!$K$2:$K$1201,_LEITURA!$N1084))</f>
        <v/>
      </c>
      <c r="B1084" s="11" t="str">
        <f aca="false">IF(_LEITURA!$N1084="","",INDEX(_LEITURA!$E$2:$E$1201,_LEITURA!$N1084))</f>
        <v/>
      </c>
      <c r="C1084" s="11" t="str">
        <f aca="false">IF(_LEITURA!$N1084="","",INDEX(_LEITURA!$J$2:$J$1201,_LEITURA!$N1084))</f>
        <v/>
      </c>
      <c r="D1084" s="16" t="str">
        <f aca="false">IF(_LEITURA!$N1084="","",INDEX(_LEITURA!$G$2:$G$1201,_LEITURA!$N1084))</f>
        <v/>
      </c>
      <c r="E1084" s="16" t="str">
        <f aca="false">IF(B1084="","",SUMIFS(INVENTÁRIO!$C$2:$C$801,INVENTÁRIO!$A$2:$A$801,B1084))</f>
        <v/>
      </c>
      <c r="F1084" s="16" t="str">
        <f aca="false">IF(B1084="","",MAX(0,D1084-E1084))</f>
        <v/>
      </c>
      <c r="G1084" s="16" t="str">
        <f aca="false">IF(B1084="","",IF(COUNTIFS($B$2:$B$1201,B1084,$A$2:$A$1201,"&lt;&gt;"&amp;A1084)&gt;0,"Sim",""))</f>
        <v/>
      </c>
      <c r="H1084" s="16" t="str">
        <f aca="false">IF(N(F1084)&gt;0,MAX(H$1:H1083)+1,"")</f>
        <v/>
      </c>
      <c r="I1084" s="11" t="str">
        <f aca="false">IF(B1084="","",IF(INDEX($C$2:$C$1201,MATCH(B1084,$B$2:$B$1201,0))&lt;&gt;C1084,"Nome diferente em outro deck — revisar",""))</f>
        <v/>
      </c>
      <c r="J1084" s="16" t="str">
        <f aca="false">IF(AND(B1084&lt;&gt;"",A1084=BULK!$A$1,N(F1084)&gt;0),MAX(J$1:J1083)+1,"")</f>
        <v/>
      </c>
      <c r="K1084" s="11" t="str">
        <f aca="false">IF(B1084="","",IFERROR(LEFT(B1084,FIND("-",B1084)-1),B1084))</f>
        <v/>
      </c>
      <c r="L1084" s="11" t="str">
        <f aca="false">IF(K1084="","",IF(ISNUMBER(--MID(K1084,1,1)),0,IF(ISNUMBER(--MID(K1084,2,1)),1,IF(ISNUMBER(--MID(K1084,3,1)),2,IF(ISNUMBER(--MID(K1084,4,1)),3,MIN(LEN(K1084),4))))))</f>
        <v/>
      </c>
      <c r="M1084" s="11" t="str">
        <f aca="false">IF(B1084="","",LEFT(K1084,L1084)&amp;REPT("0",4-L1084)&amp;RIGHT("000"&amp;IFERROR(VALUE(MID(K1084,L1084+1,9)),0),3)&amp;RIGHT("0000"&amp;IFERROR(VALUE(MID(B1084,FIND("-",B1084)+1,9)),0),4))</f>
        <v/>
      </c>
      <c r="N1084" s="11" t="str">
        <f aca="false">IF(OR(B1084="",N(F1084)&lt;=0),"",IF('FALTAS POR DECK'!$P$1="Código","K"&amp;M1084&amp;RIGHT("00000"&amp;ROW(),5),IF('FALTAS POR DECK'!$P$1="Nome","K"&amp;UPPER(SUBSTITUTE(SUBSTITUTE(SUBSTITUTE(C1084,"*",""),"?",""),"~",""))&amp;"0"&amp;M1084&amp;RIGHT("00000"&amp;ROW(),5),IF('FALTAS POR DECK'!$P$1="Falta (maior primeiro)","K"&amp;RIGHT("0000"&amp;(9999-F1084),4)&amp;M1084&amp;RIGHT("00000"&amp;ROW(),5),IF('FALTAS POR DECK'!$P$1="Deck e código","K"&amp;RIGHT("00"&amp;IFERROR(MATCH(A1084,_LEITURA!$P$2:$P$21,0),99),2)&amp;M1084&amp;RIGHT("00000"&amp;ROW(),5),"K"&amp;RIGHT("00000"&amp;ROW(),5))))))</f>
        <v/>
      </c>
      <c r="O1084" s="16" t="str">
        <f aca="false">IF(N1084="","",COUNTIFS($N$2:$N$1201,"&lt;"&amp;N1084,$F$2:$F$1201,"&gt;0")+1)</f>
        <v/>
      </c>
    </row>
    <row r="1085" customFormat="false" ht="15" hidden="false" customHeight="false" outlineLevel="0" collapsed="false">
      <c r="A1085" s="11" t="str">
        <f aca="false">IF(_LEITURA!$N1085="","",INDEX(_LEITURA!$K$2:$K$1201,_LEITURA!$N1085))</f>
        <v/>
      </c>
      <c r="B1085" s="11" t="str">
        <f aca="false">IF(_LEITURA!$N1085="","",INDEX(_LEITURA!$E$2:$E$1201,_LEITURA!$N1085))</f>
        <v/>
      </c>
      <c r="C1085" s="11" t="str">
        <f aca="false">IF(_LEITURA!$N1085="","",INDEX(_LEITURA!$J$2:$J$1201,_LEITURA!$N1085))</f>
        <v/>
      </c>
      <c r="D1085" s="16" t="str">
        <f aca="false">IF(_LEITURA!$N1085="","",INDEX(_LEITURA!$G$2:$G$1201,_LEITURA!$N1085))</f>
        <v/>
      </c>
      <c r="E1085" s="16" t="str">
        <f aca="false">IF(B1085="","",SUMIFS(INVENTÁRIO!$C$2:$C$801,INVENTÁRIO!$A$2:$A$801,B1085))</f>
        <v/>
      </c>
      <c r="F1085" s="16" t="str">
        <f aca="false">IF(B1085="","",MAX(0,D1085-E1085))</f>
        <v/>
      </c>
      <c r="G1085" s="16" t="str">
        <f aca="false">IF(B1085="","",IF(COUNTIFS($B$2:$B$1201,B1085,$A$2:$A$1201,"&lt;&gt;"&amp;A1085)&gt;0,"Sim",""))</f>
        <v/>
      </c>
      <c r="H1085" s="16" t="str">
        <f aca="false">IF(N(F1085)&gt;0,MAX(H$1:H1084)+1,"")</f>
        <v/>
      </c>
      <c r="I1085" s="11" t="str">
        <f aca="false">IF(B1085="","",IF(INDEX($C$2:$C$1201,MATCH(B1085,$B$2:$B$1201,0))&lt;&gt;C1085,"Nome diferente em outro deck — revisar",""))</f>
        <v/>
      </c>
      <c r="J1085" s="16" t="str">
        <f aca="false">IF(AND(B1085&lt;&gt;"",A1085=BULK!$A$1,N(F1085)&gt;0),MAX(J$1:J1084)+1,"")</f>
        <v/>
      </c>
      <c r="K1085" s="11" t="str">
        <f aca="false">IF(B1085="","",IFERROR(LEFT(B1085,FIND("-",B1085)-1),B1085))</f>
        <v/>
      </c>
      <c r="L1085" s="11" t="str">
        <f aca="false">IF(K1085="","",IF(ISNUMBER(--MID(K1085,1,1)),0,IF(ISNUMBER(--MID(K1085,2,1)),1,IF(ISNUMBER(--MID(K1085,3,1)),2,IF(ISNUMBER(--MID(K1085,4,1)),3,MIN(LEN(K1085),4))))))</f>
        <v/>
      </c>
      <c r="M1085" s="11" t="str">
        <f aca="false">IF(B1085="","",LEFT(K1085,L1085)&amp;REPT("0",4-L1085)&amp;RIGHT("000"&amp;IFERROR(VALUE(MID(K1085,L1085+1,9)),0),3)&amp;RIGHT("0000"&amp;IFERROR(VALUE(MID(B1085,FIND("-",B1085)+1,9)),0),4))</f>
        <v/>
      </c>
      <c r="N1085" s="11" t="str">
        <f aca="false">IF(OR(B1085="",N(F1085)&lt;=0),"",IF('FALTAS POR DECK'!$P$1="Código","K"&amp;M1085&amp;RIGHT("00000"&amp;ROW(),5),IF('FALTAS POR DECK'!$P$1="Nome","K"&amp;UPPER(SUBSTITUTE(SUBSTITUTE(SUBSTITUTE(C1085,"*",""),"?",""),"~",""))&amp;"0"&amp;M1085&amp;RIGHT("00000"&amp;ROW(),5),IF('FALTAS POR DECK'!$P$1="Falta (maior primeiro)","K"&amp;RIGHT("0000"&amp;(9999-F1085),4)&amp;M1085&amp;RIGHT("00000"&amp;ROW(),5),IF('FALTAS POR DECK'!$P$1="Deck e código","K"&amp;RIGHT("00"&amp;IFERROR(MATCH(A1085,_LEITURA!$P$2:$P$21,0),99),2)&amp;M1085&amp;RIGHT("00000"&amp;ROW(),5),"K"&amp;RIGHT("00000"&amp;ROW(),5))))))</f>
        <v/>
      </c>
      <c r="O1085" s="16" t="str">
        <f aca="false">IF(N1085="","",COUNTIFS($N$2:$N$1201,"&lt;"&amp;N1085,$F$2:$F$1201,"&gt;0")+1)</f>
        <v/>
      </c>
    </row>
    <row r="1086" customFormat="false" ht="15" hidden="false" customHeight="false" outlineLevel="0" collapsed="false">
      <c r="A1086" s="11" t="str">
        <f aca="false">IF(_LEITURA!$N1086="","",INDEX(_LEITURA!$K$2:$K$1201,_LEITURA!$N1086))</f>
        <v/>
      </c>
      <c r="B1086" s="11" t="str">
        <f aca="false">IF(_LEITURA!$N1086="","",INDEX(_LEITURA!$E$2:$E$1201,_LEITURA!$N1086))</f>
        <v/>
      </c>
      <c r="C1086" s="11" t="str">
        <f aca="false">IF(_LEITURA!$N1086="","",INDEX(_LEITURA!$J$2:$J$1201,_LEITURA!$N1086))</f>
        <v/>
      </c>
      <c r="D1086" s="16" t="str">
        <f aca="false">IF(_LEITURA!$N1086="","",INDEX(_LEITURA!$G$2:$G$1201,_LEITURA!$N1086))</f>
        <v/>
      </c>
      <c r="E1086" s="16" t="str">
        <f aca="false">IF(B1086="","",SUMIFS(INVENTÁRIO!$C$2:$C$801,INVENTÁRIO!$A$2:$A$801,B1086))</f>
        <v/>
      </c>
      <c r="F1086" s="16" t="str">
        <f aca="false">IF(B1086="","",MAX(0,D1086-E1086))</f>
        <v/>
      </c>
      <c r="G1086" s="16" t="str">
        <f aca="false">IF(B1086="","",IF(COUNTIFS($B$2:$B$1201,B1086,$A$2:$A$1201,"&lt;&gt;"&amp;A1086)&gt;0,"Sim",""))</f>
        <v/>
      </c>
      <c r="H1086" s="16" t="str">
        <f aca="false">IF(N(F1086)&gt;0,MAX(H$1:H1085)+1,"")</f>
        <v/>
      </c>
      <c r="I1086" s="11" t="str">
        <f aca="false">IF(B1086="","",IF(INDEX($C$2:$C$1201,MATCH(B1086,$B$2:$B$1201,0))&lt;&gt;C1086,"Nome diferente em outro deck — revisar",""))</f>
        <v/>
      </c>
      <c r="J1086" s="16" t="str">
        <f aca="false">IF(AND(B1086&lt;&gt;"",A1086=BULK!$A$1,N(F1086)&gt;0),MAX(J$1:J1085)+1,"")</f>
        <v/>
      </c>
      <c r="K1086" s="11" t="str">
        <f aca="false">IF(B1086="","",IFERROR(LEFT(B1086,FIND("-",B1086)-1),B1086))</f>
        <v/>
      </c>
      <c r="L1086" s="11" t="str">
        <f aca="false">IF(K1086="","",IF(ISNUMBER(--MID(K1086,1,1)),0,IF(ISNUMBER(--MID(K1086,2,1)),1,IF(ISNUMBER(--MID(K1086,3,1)),2,IF(ISNUMBER(--MID(K1086,4,1)),3,MIN(LEN(K1086),4))))))</f>
        <v/>
      </c>
      <c r="M1086" s="11" t="str">
        <f aca="false">IF(B1086="","",LEFT(K1086,L1086)&amp;REPT("0",4-L1086)&amp;RIGHT("000"&amp;IFERROR(VALUE(MID(K1086,L1086+1,9)),0),3)&amp;RIGHT("0000"&amp;IFERROR(VALUE(MID(B1086,FIND("-",B1086)+1,9)),0),4))</f>
        <v/>
      </c>
      <c r="N1086" s="11" t="str">
        <f aca="false">IF(OR(B1086="",N(F1086)&lt;=0),"",IF('FALTAS POR DECK'!$P$1="Código","K"&amp;M1086&amp;RIGHT("00000"&amp;ROW(),5),IF('FALTAS POR DECK'!$P$1="Nome","K"&amp;UPPER(SUBSTITUTE(SUBSTITUTE(SUBSTITUTE(C1086,"*",""),"?",""),"~",""))&amp;"0"&amp;M1086&amp;RIGHT("00000"&amp;ROW(),5),IF('FALTAS POR DECK'!$P$1="Falta (maior primeiro)","K"&amp;RIGHT("0000"&amp;(9999-F1086),4)&amp;M1086&amp;RIGHT("00000"&amp;ROW(),5),IF('FALTAS POR DECK'!$P$1="Deck e código","K"&amp;RIGHT("00"&amp;IFERROR(MATCH(A1086,_LEITURA!$P$2:$P$21,0),99),2)&amp;M1086&amp;RIGHT("00000"&amp;ROW(),5),"K"&amp;RIGHT("00000"&amp;ROW(),5))))))</f>
        <v/>
      </c>
      <c r="O1086" s="16" t="str">
        <f aca="false">IF(N1086="","",COUNTIFS($N$2:$N$1201,"&lt;"&amp;N1086,$F$2:$F$1201,"&gt;0")+1)</f>
        <v/>
      </c>
    </row>
    <row r="1087" customFormat="false" ht="15" hidden="false" customHeight="false" outlineLevel="0" collapsed="false">
      <c r="A1087" s="11" t="str">
        <f aca="false">IF(_LEITURA!$N1087="","",INDEX(_LEITURA!$K$2:$K$1201,_LEITURA!$N1087))</f>
        <v/>
      </c>
      <c r="B1087" s="11" t="str">
        <f aca="false">IF(_LEITURA!$N1087="","",INDEX(_LEITURA!$E$2:$E$1201,_LEITURA!$N1087))</f>
        <v/>
      </c>
      <c r="C1087" s="11" t="str">
        <f aca="false">IF(_LEITURA!$N1087="","",INDEX(_LEITURA!$J$2:$J$1201,_LEITURA!$N1087))</f>
        <v/>
      </c>
      <c r="D1087" s="16" t="str">
        <f aca="false">IF(_LEITURA!$N1087="","",INDEX(_LEITURA!$G$2:$G$1201,_LEITURA!$N1087))</f>
        <v/>
      </c>
      <c r="E1087" s="16" t="str">
        <f aca="false">IF(B1087="","",SUMIFS(INVENTÁRIO!$C$2:$C$801,INVENTÁRIO!$A$2:$A$801,B1087))</f>
        <v/>
      </c>
      <c r="F1087" s="16" t="str">
        <f aca="false">IF(B1087="","",MAX(0,D1087-E1087))</f>
        <v/>
      </c>
      <c r="G1087" s="16" t="str">
        <f aca="false">IF(B1087="","",IF(COUNTIFS($B$2:$B$1201,B1087,$A$2:$A$1201,"&lt;&gt;"&amp;A1087)&gt;0,"Sim",""))</f>
        <v/>
      </c>
      <c r="H1087" s="16" t="str">
        <f aca="false">IF(N(F1087)&gt;0,MAX(H$1:H1086)+1,"")</f>
        <v/>
      </c>
      <c r="I1087" s="11" t="str">
        <f aca="false">IF(B1087="","",IF(INDEX($C$2:$C$1201,MATCH(B1087,$B$2:$B$1201,0))&lt;&gt;C1087,"Nome diferente em outro deck — revisar",""))</f>
        <v/>
      </c>
      <c r="J1087" s="16" t="str">
        <f aca="false">IF(AND(B1087&lt;&gt;"",A1087=BULK!$A$1,N(F1087)&gt;0),MAX(J$1:J1086)+1,"")</f>
        <v/>
      </c>
      <c r="K1087" s="11" t="str">
        <f aca="false">IF(B1087="","",IFERROR(LEFT(B1087,FIND("-",B1087)-1),B1087))</f>
        <v/>
      </c>
      <c r="L1087" s="11" t="str">
        <f aca="false">IF(K1087="","",IF(ISNUMBER(--MID(K1087,1,1)),0,IF(ISNUMBER(--MID(K1087,2,1)),1,IF(ISNUMBER(--MID(K1087,3,1)),2,IF(ISNUMBER(--MID(K1087,4,1)),3,MIN(LEN(K1087),4))))))</f>
        <v/>
      </c>
      <c r="M1087" s="11" t="str">
        <f aca="false">IF(B1087="","",LEFT(K1087,L1087)&amp;REPT("0",4-L1087)&amp;RIGHT("000"&amp;IFERROR(VALUE(MID(K1087,L1087+1,9)),0),3)&amp;RIGHT("0000"&amp;IFERROR(VALUE(MID(B1087,FIND("-",B1087)+1,9)),0),4))</f>
        <v/>
      </c>
      <c r="N1087" s="11" t="str">
        <f aca="false">IF(OR(B1087="",N(F1087)&lt;=0),"",IF('FALTAS POR DECK'!$P$1="Código","K"&amp;M1087&amp;RIGHT("00000"&amp;ROW(),5),IF('FALTAS POR DECK'!$P$1="Nome","K"&amp;UPPER(SUBSTITUTE(SUBSTITUTE(SUBSTITUTE(C1087,"*",""),"?",""),"~",""))&amp;"0"&amp;M1087&amp;RIGHT("00000"&amp;ROW(),5),IF('FALTAS POR DECK'!$P$1="Falta (maior primeiro)","K"&amp;RIGHT("0000"&amp;(9999-F1087),4)&amp;M1087&amp;RIGHT("00000"&amp;ROW(),5),IF('FALTAS POR DECK'!$P$1="Deck e código","K"&amp;RIGHT("00"&amp;IFERROR(MATCH(A1087,_LEITURA!$P$2:$P$21,0),99),2)&amp;M1087&amp;RIGHT("00000"&amp;ROW(),5),"K"&amp;RIGHT("00000"&amp;ROW(),5))))))</f>
        <v/>
      </c>
      <c r="O1087" s="16" t="str">
        <f aca="false">IF(N1087="","",COUNTIFS($N$2:$N$1201,"&lt;"&amp;N1087,$F$2:$F$1201,"&gt;0")+1)</f>
        <v/>
      </c>
    </row>
    <row r="1088" customFormat="false" ht="15" hidden="false" customHeight="false" outlineLevel="0" collapsed="false">
      <c r="A1088" s="11" t="str">
        <f aca="false">IF(_LEITURA!$N1088="","",INDEX(_LEITURA!$K$2:$K$1201,_LEITURA!$N1088))</f>
        <v/>
      </c>
      <c r="B1088" s="11" t="str">
        <f aca="false">IF(_LEITURA!$N1088="","",INDEX(_LEITURA!$E$2:$E$1201,_LEITURA!$N1088))</f>
        <v/>
      </c>
      <c r="C1088" s="11" t="str">
        <f aca="false">IF(_LEITURA!$N1088="","",INDEX(_LEITURA!$J$2:$J$1201,_LEITURA!$N1088))</f>
        <v/>
      </c>
      <c r="D1088" s="16" t="str">
        <f aca="false">IF(_LEITURA!$N1088="","",INDEX(_LEITURA!$G$2:$G$1201,_LEITURA!$N1088))</f>
        <v/>
      </c>
      <c r="E1088" s="16" t="str">
        <f aca="false">IF(B1088="","",SUMIFS(INVENTÁRIO!$C$2:$C$801,INVENTÁRIO!$A$2:$A$801,B1088))</f>
        <v/>
      </c>
      <c r="F1088" s="16" t="str">
        <f aca="false">IF(B1088="","",MAX(0,D1088-E1088))</f>
        <v/>
      </c>
      <c r="G1088" s="16" t="str">
        <f aca="false">IF(B1088="","",IF(COUNTIFS($B$2:$B$1201,B1088,$A$2:$A$1201,"&lt;&gt;"&amp;A1088)&gt;0,"Sim",""))</f>
        <v/>
      </c>
      <c r="H1088" s="16" t="str">
        <f aca="false">IF(N(F1088)&gt;0,MAX(H$1:H1087)+1,"")</f>
        <v/>
      </c>
      <c r="I1088" s="11" t="str">
        <f aca="false">IF(B1088="","",IF(INDEX($C$2:$C$1201,MATCH(B1088,$B$2:$B$1201,0))&lt;&gt;C1088,"Nome diferente em outro deck — revisar",""))</f>
        <v/>
      </c>
      <c r="J1088" s="16" t="str">
        <f aca="false">IF(AND(B1088&lt;&gt;"",A1088=BULK!$A$1,N(F1088)&gt;0),MAX(J$1:J1087)+1,"")</f>
        <v/>
      </c>
      <c r="K1088" s="11" t="str">
        <f aca="false">IF(B1088="","",IFERROR(LEFT(B1088,FIND("-",B1088)-1),B1088))</f>
        <v/>
      </c>
      <c r="L1088" s="11" t="str">
        <f aca="false">IF(K1088="","",IF(ISNUMBER(--MID(K1088,1,1)),0,IF(ISNUMBER(--MID(K1088,2,1)),1,IF(ISNUMBER(--MID(K1088,3,1)),2,IF(ISNUMBER(--MID(K1088,4,1)),3,MIN(LEN(K1088),4))))))</f>
        <v/>
      </c>
      <c r="M1088" s="11" t="str">
        <f aca="false">IF(B1088="","",LEFT(K1088,L1088)&amp;REPT("0",4-L1088)&amp;RIGHT("000"&amp;IFERROR(VALUE(MID(K1088,L1088+1,9)),0),3)&amp;RIGHT("0000"&amp;IFERROR(VALUE(MID(B1088,FIND("-",B1088)+1,9)),0),4))</f>
        <v/>
      </c>
      <c r="N1088" s="11" t="str">
        <f aca="false">IF(OR(B1088="",N(F1088)&lt;=0),"",IF('FALTAS POR DECK'!$P$1="Código","K"&amp;M1088&amp;RIGHT("00000"&amp;ROW(),5),IF('FALTAS POR DECK'!$P$1="Nome","K"&amp;UPPER(SUBSTITUTE(SUBSTITUTE(SUBSTITUTE(C1088,"*",""),"?",""),"~",""))&amp;"0"&amp;M1088&amp;RIGHT("00000"&amp;ROW(),5),IF('FALTAS POR DECK'!$P$1="Falta (maior primeiro)","K"&amp;RIGHT("0000"&amp;(9999-F1088),4)&amp;M1088&amp;RIGHT("00000"&amp;ROW(),5),IF('FALTAS POR DECK'!$P$1="Deck e código","K"&amp;RIGHT("00"&amp;IFERROR(MATCH(A1088,_LEITURA!$P$2:$P$21,0),99),2)&amp;M1088&amp;RIGHT("00000"&amp;ROW(),5),"K"&amp;RIGHT("00000"&amp;ROW(),5))))))</f>
        <v/>
      </c>
      <c r="O1088" s="16" t="str">
        <f aca="false">IF(N1088="","",COUNTIFS($N$2:$N$1201,"&lt;"&amp;N1088,$F$2:$F$1201,"&gt;0")+1)</f>
        <v/>
      </c>
    </row>
    <row r="1089" customFormat="false" ht="15" hidden="false" customHeight="false" outlineLevel="0" collapsed="false">
      <c r="A1089" s="11" t="str">
        <f aca="false">IF(_LEITURA!$N1089="","",INDEX(_LEITURA!$K$2:$K$1201,_LEITURA!$N1089))</f>
        <v/>
      </c>
      <c r="B1089" s="11" t="str">
        <f aca="false">IF(_LEITURA!$N1089="","",INDEX(_LEITURA!$E$2:$E$1201,_LEITURA!$N1089))</f>
        <v/>
      </c>
      <c r="C1089" s="11" t="str">
        <f aca="false">IF(_LEITURA!$N1089="","",INDEX(_LEITURA!$J$2:$J$1201,_LEITURA!$N1089))</f>
        <v/>
      </c>
      <c r="D1089" s="16" t="str">
        <f aca="false">IF(_LEITURA!$N1089="","",INDEX(_LEITURA!$G$2:$G$1201,_LEITURA!$N1089))</f>
        <v/>
      </c>
      <c r="E1089" s="16" t="str">
        <f aca="false">IF(B1089="","",SUMIFS(INVENTÁRIO!$C$2:$C$801,INVENTÁRIO!$A$2:$A$801,B1089))</f>
        <v/>
      </c>
      <c r="F1089" s="16" t="str">
        <f aca="false">IF(B1089="","",MAX(0,D1089-E1089))</f>
        <v/>
      </c>
      <c r="G1089" s="16" t="str">
        <f aca="false">IF(B1089="","",IF(COUNTIFS($B$2:$B$1201,B1089,$A$2:$A$1201,"&lt;&gt;"&amp;A1089)&gt;0,"Sim",""))</f>
        <v/>
      </c>
      <c r="H1089" s="16" t="str">
        <f aca="false">IF(N(F1089)&gt;0,MAX(H$1:H1088)+1,"")</f>
        <v/>
      </c>
      <c r="I1089" s="11" t="str">
        <f aca="false">IF(B1089="","",IF(INDEX($C$2:$C$1201,MATCH(B1089,$B$2:$B$1201,0))&lt;&gt;C1089,"Nome diferente em outro deck — revisar",""))</f>
        <v/>
      </c>
      <c r="J1089" s="16" t="str">
        <f aca="false">IF(AND(B1089&lt;&gt;"",A1089=BULK!$A$1,N(F1089)&gt;0),MAX(J$1:J1088)+1,"")</f>
        <v/>
      </c>
      <c r="K1089" s="11" t="str">
        <f aca="false">IF(B1089="","",IFERROR(LEFT(B1089,FIND("-",B1089)-1),B1089))</f>
        <v/>
      </c>
      <c r="L1089" s="11" t="str">
        <f aca="false">IF(K1089="","",IF(ISNUMBER(--MID(K1089,1,1)),0,IF(ISNUMBER(--MID(K1089,2,1)),1,IF(ISNUMBER(--MID(K1089,3,1)),2,IF(ISNUMBER(--MID(K1089,4,1)),3,MIN(LEN(K1089),4))))))</f>
        <v/>
      </c>
      <c r="M1089" s="11" t="str">
        <f aca="false">IF(B1089="","",LEFT(K1089,L1089)&amp;REPT("0",4-L1089)&amp;RIGHT("000"&amp;IFERROR(VALUE(MID(K1089,L1089+1,9)),0),3)&amp;RIGHT("0000"&amp;IFERROR(VALUE(MID(B1089,FIND("-",B1089)+1,9)),0),4))</f>
        <v/>
      </c>
      <c r="N1089" s="11" t="str">
        <f aca="false">IF(OR(B1089="",N(F1089)&lt;=0),"",IF('FALTAS POR DECK'!$P$1="Código","K"&amp;M1089&amp;RIGHT("00000"&amp;ROW(),5),IF('FALTAS POR DECK'!$P$1="Nome","K"&amp;UPPER(SUBSTITUTE(SUBSTITUTE(SUBSTITUTE(C1089,"*",""),"?",""),"~",""))&amp;"0"&amp;M1089&amp;RIGHT("00000"&amp;ROW(),5),IF('FALTAS POR DECK'!$P$1="Falta (maior primeiro)","K"&amp;RIGHT("0000"&amp;(9999-F1089),4)&amp;M1089&amp;RIGHT("00000"&amp;ROW(),5),IF('FALTAS POR DECK'!$P$1="Deck e código","K"&amp;RIGHT("00"&amp;IFERROR(MATCH(A1089,_LEITURA!$P$2:$P$21,0),99),2)&amp;M1089&amp;RIGHT("00000"&amp;ROW(),5),"K"&amp;RIGHT("00000"&amp;ROW(),5))))))</f>
        <v/>
      </c>
      <c r="O1089" s="16" t="str">
        <f aca="false">IF(N1089="","",COUNTIFS($N$2:$N$1201,"&lt;"&amp;N1089,$F$2:$F$1201,"&gt;0")+1)</f>
        <v/>
      </c>
    </row>
    <row r="1090" customFormat="false" ht="15" hidden="false" customHeight="false" outlineLevel="0" collapsed="false">
      <c r="A1090" s="11" t="str">
        <f aca="false">IF(_LEITURA!$N1090="","",INDEX(_LEITURA!$K$2:$K$1201,_LEITURA!$N1090))</f>
        <v/>
      </c>
      <c r="B1090" s="11" t="str">
        <f aca="false">IF(_LEITURA!$N1090="","",INDEX(_LEITURA!$E$2:$E$1201,_LEITURA!$N1090))</f>
        <v/>
      </c>
      <c r="C1090" s="11" t="str">
        <f aca="false">IF(_LEITURA!$N1090="","",INDEX(_LEITURA!$J$2:$J$1201,_LEITURA!$N1090))</f>
        <v/>
      </c>
      <c r="D1090" s="16" t="str">
        <f aca="false">IF(_LEITURA!$N1090="","",INDEX(_LEITURA!$G$2:$G$1201,_LEITURA!$N1090))</f>
        <v/>
      </c>
      <c r="E1090" s="16" t="str">
        <f aca="false">IF(B1090="","",SUMIFS(INVENTÁRIO!$C$2:$C$801,INVENTÁRIO!$A$2:$A$801,B1090))</f>
        <v/>
      </c>
      <c r="F1090" s="16" t="str">
        <f aca="false">IF(B1090="","",MAX(0,D1090-E1090))</f>
        <v/>
      </c>
      <c r="G1090" s="16" t="str">
        <f aca="false">IF(B1090="","",IF(COUNTIFS($B$2:$B$1201,B1090,$A$2:$A$1201,"&lt;&gt;"&amp;A1090)&gt;0,"Sim",""))</f>
        <v/>
      </c>
      <c r="H1090" s="16" t="str">
        <f aca="false">IF(N(F1090)&gt;0,MAX(H$1:H1089)+1,"")</f>
        <v/>
      </c>
      <c r="I1090" s="11" t="str">
        <f aca="false">IF(B1090="","",IF(INDEX($C$2:$C$1201,MATCH(B1090,$B$2:$B$1201,0))&lt;&gt;C1090,"Nome diferente em outro deck — revisar",""))</f>
        <v/>
      </c>
      <c r="J1090" s="16" t="str">
        <f aca="false">IF(AND(B1090&lt;&gt;"",A1090=BULK!$A$1,N(F1090)&gt;0),MAX(J$1:J1089)+1,"")</f>
        <v/>
      </c>
      <c r="K1090" s="11" t="str">
        <f aca="false">IF(B1090="","",IFERROR(LEFT(B1090,FIND("-",B1090)-1),B1090))</f>
        <v/>
      </c>
      <c r="L1090" s="11" t="str">
        <f aca="false">IF(K1090="","",IF(ISNUMBER(--MID(K1090,1,1)),0,IF(ISNUMBER(--MID(K1090,2,1)),1,IF(ISNUMBER(--MID(K1090,3,1)),2,IF(ISNUMBER(--MID(K1090,4,1)),3,MIN(LEN(K1090),4))))))</f>
        <v/>
      </c>
      <c r="M1090" s="11" t="str">
        <f aca="false">IF(B1090="","",LEFT(K1090,L1090)&amp;REPT("0",4-L1090)&amp;RIGHT("000"&amp;IFERROR(VALUE(MID(K1090,L1090+1,9)),0),3)&amp;RIGHT("0000"&amp;IFERROR(VALUE(MID(B1090,FIND("-",B1090)+1,9)),0),4))</f>
        <v/>
      </c>
      <c r="N1090" s="11" t="str">
        <f aca="false">IF(OR(B1090="",N(F1090)&lt;=0),"",IF('FALTAS POR DECK'!$P$1="Código","K"&amp;M1090&amp;RIGHT("00000"&amp;ROW(),5),IF('FALTAS POR DECK'!$P$1="Nome","K"&amp;UPPER(SUBSTITUTE(SUBSTITUTE(SUBSTITUTE(C1090,"*",""),"?",""),"~",""))&amp;"0"&amp;M1090&amp;RIGHT("00000"&amp;ROW(),5),IF('FALTAS POR DECK'!$P$1="Falta (maior primeiro)","K"&amp;RIGHT("0000"&amp;(9999-F1090),4)&amp;M1090&amp;RIGHT("00000"&amp;ROW(),5),IF('FALTAS POR DECK'!$P$1="Deck e código","K"&amp;RIGHT("00"&amp;IFERROR(MATCH(A1090,_LEITURA!$P$2:$P$21,0),99),2)&amp;M1090&amp;RIGHT("00000"&amp;ROW(),5),"K"&amp;RIGHT("00000"&amp;ROW(),5))))))</f>
        <v/>
      </c>
      <c r="O1090" s="16" t="str">
        <f aca="false">IF(N1090="","",COUNTIFS($N$2:$N$1201,"&lt;"&amp;N1090,$F$2:$F$1201,"&gt;0")+1)</f>
        <v/>
      </c>
    </row>
    <row r="1091" customFormat="false" ht="15" hidden="false" customHeight="false" outlineLevel="0" collapsed="false">
      <c r="A1091" s="11" t="str">
        <f aca="false">IF(_LEITURA!$N1091="","",INDEX(_LEITURA!$K$2:$K$1201,_LEITURA!$N1091))</f>
        <v/>
      </c>
      <c r="B1091" s="11" t="str">
        <f aca="false">IF(_LEITURA!$N1091="","",INDEX(_LEITURA!$E$2:$E$1201,_LEITURA!$N1091))</f>
        <v/>
      </c>
      <c r="C1091" s="11" t="str">
        <f aca="false">IF(_LEITURA!$N1091="","",INDEX(_LEITURA!$J$2:$J$1201,_LEITURA!$N1091))</f>
        <v/>
      </c>
      <c r="D1091" s="16" t="str">
        <f aca="false">IF(_LEITURA!$N1091="","",INDEX(_LEITURA!$G$2:$G$1201,_LEITURA!$N1091))</f>
        <v/>
      </c>
      <c r="E1091" s="16" t="str">
        <f aca="false">IF(B1091="","",SUMIFS(INVENTÁRIO!$C$2:$C$801,INVENTÁRIO!$A$2:$A$801,B1091))</f>
        <v/>
      </c>
      <c r="F1091" s="16" t="str">
        <f aca="false">IF(B1091="","",MAX(0,D1091-E1091))</f>
        <v/>
      </c>
      <c r="G1091" s="16" t="str">
        <f aca="false">IF(B1091="","",IF(COUNTIFS($B$2:$B$1201,B1091,$A$2:$A$1201,"&lt;&gt;"&amp;A1091)&gt;0,"Sim",""))</f>
        <v/>
      </c>
      <c r="H1091" s="16" t="str">
        <f aca="false">IF(N(F1091)&gt;0,MAX(H$1:H1090)+1,"")</f>
        <v/>
      </c>
      <c r="I1091" s="11" t="str">
        <f aca="false">IF(B1091="","",IF(INDEX($C$2:$C$1201,MATCH(B1091,$B$2:$B$1201,0))&lt;&gt;C1091,"Nome diferente em outro deck — revisar",""))</f>
        <v/>
      </c>
      <c r="J1091" s="16" t="str">
        <f aca="false">IF(AND(B1091&lt;&gt;"",A1091=BULK!$A$1,N(F1091)&gt;0),MAX(J$1:J1090)+1,"")</f>
        <v/>
      </c>
      <c r="K1091" s="11" t="str">
        <f aca="false">IF(B1091="","",IFERROR(LEFT(B1091,FIND("-",B1091)-1),B1091))</f>
        <v/>
      </c>
      <c r="L1091" s="11" t="str">
        <f aca="false">IF(K1091="","",IF(ISNUMBER(--MID(K1091,1,1)),0,IF(ISNUMBER(--MID(K1091,2,1)),1,IF(ISNUMBER(--MID(K1091,3,1)),2,IF(ISNUMBER(--MID(K1091,4,1)),3,MIN(LEN(K1091),4))))))</f>
        <v/>
      </c>
      <c r="M1091" s="11" t="str">
        <f aca="false">IF(B1091="","",LEFT(K1091,L1091)&amp;REPT("0",4-L1091)&amp;RIGHT("000"&amp;IFERROR(VALUE(MID(K1091,L1091+1,9)),0),3)&amp;RIGHT("0000"&amp;IFERROR(VALUE(MID(B1091,FIND("-",B1091)+1,9)),0),4))</f>
        <v/>
      </c>
      <c r="N1091" s="11" t="str">
        <f aca="false">IF(OR(B1091="",N(F1091)&lt;=0),"",IF('FALTAS POR DECK'!$P$1="Código","K"&amp;M1091&amp;RIGHT("00000"&amp;ROW(),5),IF('FALTAS POR DECK'!$P$1="Nome","K"&amp;UPPER(SUBSTITUTE(SUBSTITUTE(SUBSTITUTE(C1091,"*",""),"?",""),"~",""))&amp;"0"&amp;M1091&amp;RIGHT("00000"&amp;ROW(),5),IF('FALTAS POR DECK'!$P$1="Falta (maior primeiro)","K"&amp;RIGHT("0000"&amp;(9999-F1091),4)&amp;M1091&amp;RIGHT("00000"&amp;ROW(),5),IF('FALTAS POR DECK'!$P$1="Deck e código","K"&amp;RIGHT("00"&amp;IFERROR(MATCH(A1091,_LEITURA!$P$2:$P$21,0),99),2)&amp;M1091&amp;RIGHT("00000"&amp;ROW(),5),"K"&amp;RIGHT("00000"&amp;ROW(),5))))))</f>
        <v/>
      </c>
      <c r="O1091" s="16" t="str">
        <f aca="false">IF(N1091="","",COUNTIFS($N$2:$N$1201,"&lt;"&amp;N1091,$F$2:$F$1201,"&gt;0")+1)</f>
        <v/>
      </c>
    </row>
    <row r="1092" customFormat="false" ht="15" hidden="false" customHeight="false" outlineLevel="0" collapsed="false">
      <c r="A1092" s="11" t="str">
        <f aca="false">IF(_LEITURA!$N1092="","",INDEX(_LEITURA!$K$2:$K$1201,_LEITURA!$N1092))</f>
        <v/>
      </c>
      <c r="B1092" s="11" t="str">
        <f aca="false">IF(_LEITURA!$N1092="","",INDEX(_LEITURA!$E$2:$E$1201,_LEITURA!$N1092))</f>
        <v/>
      </c>
      <c r="C1092" s="11" t="str">
        <f aca="false">IF(_LEITURA!$N1092="","",INDEX(_LEITURA!$J$2:$J$1201,_LEITURA!$N1092))</f>
        <v/>
      </c>
      <c r="D1092" s="16" t="str">
        <f aca="false">IF(_LEITURA!$N1092="","",INDEX(_LEITURA!$G$2:$G$1201,_LEITURA!$N1092))</f>
        <v/>
      </c>
      <c r="E1092" s="16" t="str">
        <f aca="false">IF(B1092="","",SUMIFS(INVENTÁRIO!$C$2:$C$801,INVENTÁRIO!$A$2:$A$801,B1092))</f>
        <v/>
      </c>
      <c r="F1092" s="16" t="str">
        <f aca="false">IF(B1092="","",MAX(0,D1092-E1092))</f>
        <v/>
      </c>
      <c r="G1092" s="16" t="str">
        <f aca="false">IF(B1092="","",IF(COUNTIFS($B$2:$B$1201,B1092,$A$2:$A$1201,"&lt;&gt;"&amp;A1092)&gt;0,"Sim",""))</f>
        <v/>
      </c>
      <c r="H1092" s="16" t="str">
        <f aca="false">IF(N(F1092)&gt;0,MAX(H$1:H1091)+1,"")</f>
        <v/>
      </c>
      <c r="I1092" s="11" t="str">
        <f aca="false">IF(B1092="","",IF(INDEX($C$2:$C$1201,MATCH(B1092,$B$2:$B$1201,0))&lt;&gt;C1092,"Nome diferente em outro deck — revisar",""))</f>
        <v/>
      </c>
      <c r="J1092" s="16" t="str">
        <f aca="false">IF(AND(B1092&lt;&gt;"",A1092=BULK!$A$1,N(F1092)&gt;0),MAX(J$1:J1091)+1,"")</f>
        <v/>
      </c>
      <c r="K1092" s="11" t="str">
        <f aca="false">IF(B1092="","",IFERROR(LEFT(B1092,FIND("-",B1092)-1),B1092))</f>
        <v/>
      </c>
      <c r="L1092" s="11" t="str">
        <f aca="false">IF(K1092="","",IF(ISNUMBER(--MID(K1092,1,1)),0,IF(ISNUMBER(--MID(K1092,2,1)),1,IF(ISNUMBER(--MID(K1092,3,1)),2,IF(ISNUMBER(--MID(K1092,4,1)),3,MIN(LEN(K1092),4))))))</f>
        <v/>
      </c>
      <c r="M1092" s="11" t="str">
        <f aca="false">IF(B1092="","",LEFT(K1092,L1092)&amp;REPT("0",4-L1092)&amp;RIGHT("000"&amp;IFERROR(VALUE(MID(K1092,L1092+1,9)),0),3)&amp;RIGHT("0000"&amp;IFERROR(VALUE(MID(B1092,FIND("-",B1092)+1,9)),0),4))</f>
        <v/>
      </c>
      <c r="N1092" s="11" t="str">
        <f aca="false">IF(OR(B1092="",N(F1092)&lt;=0),"",IF('FALTAS POR DECK'!$P$1="Código","K"&amp;M1092&amp;RIGHT("00000"&amp;ROW(),5),IF('FALTAS POR DECK'!$P$1="Nome","K"&amp;UPPER(SUBSTITUTE(SUBSTITUTE(SUBSTITUTE(C1092,"*",""),"?",""),"~",""))&amp;"0"&amp;M1092&amp;RIGHT("00000"&amp;ROW(),5),IF('FALTAS POR DECK'!$P$1="Falta (maior primeiro)","K"&amp;RIGHT("0000"&amp;(9999-F1092),4)&amp;M1092&amp;RIGHT("00000"&amp;ROW(),5),IF('FALTAS POR DECK'!$P$1="Deck e código","K"&amp;RIGHT("00"&amp;IFERROR(MATCH(A1092,_LEITURA!$P$2:$P$21,0),99),2)&amp;M1092&amp;RIGHT("00000"&amp;ROW(),5),"K"&amp;RIGHT("00000"&amp;ROW(),5))))))</f>
        <v/>
      </c>
      <c r="O1092" s="16" t="str">
        <f aca="false">IF(N1092="","",COUNTIFS($N$2:$N$1201,"&lt;"&amp;N1092,$F$2:$F$1201,"&gt;0")+1)</f>
        <v/>
      </c>
    </row>
    <row r="1093" customFormat="false" ht="15" hidden="false" customHeight="false" outlineLevel="0" collapsed="false">
      <c r="A1093" s="11" t="str">
        <f aca="false">IF(_LEITURA!$N1093="","",INDEX(_LEITURA!$K$2:$K$1201,_LEITURA!$N1093))</f>
        <v/>
      </c>
      <c r="B1093" s="11" t="str">
        <f aca="false">IF(_LEITURA!$N1093="","",INDEX(_LEITURA!$E$2:$E$1201,_LEITURA!$N1093))</f>
        <v/>
      </c>
      <c r="C1093" s="11" t="str">
        <f aca="false">IF(_LEITURA!$N1093="","",INDEX(_LEITURA!$J$2:$J$1201,_LEITURA!$N1093))</f>
        <v/>
      </c>
      <c r="D1093" s="16" t="str">
        <f aca="false">IF(_LEITURA!$N1093="","",INDEX(_LEITURA!$G$2:$G$1201,_LEITURA!$N1093))</f>
        <v/>
      </c>
      <c r="E1093" s="16" t="str">
        <f aca="false">IF(B1093="","",SUMIFS(INVENTÁRIO!$C$2:$C$801,INVENTÁRIO!$A$2:$A$801,B1093))</f>
        <v/>
      </c>
      <c r="F1093" s="16" t="str">
        <f aca="false">IF(B1093="","",MAX(0,D1093-E1093))</f>
        <v/>
      </c>
      <c r="G1093" s="16" t="str">
        <f aca="false">IF(B1093="","",IF(COUNTIFS($B$2:$B$1201,B1093,$A$2:$A$1201,"&lt;&gt;"&amp;A1093)&gt;0,"Sim",""))</f>
        <v/>
      </c>
      <c r="H1093" s="16" t="str">
        <f aca="false">IF(N(F1093)&gt;0,MAX(H$1:H1092)+1,"")</f>
        <v/>
      </c>
      <c r="I1093" s="11" t="str">
        <f aca="false">IF(B1093="","",IF(INDEX($C$2:$C$1201,MATCH(B1093,$B$2:$B$1201,0))&lt;&gt;C1093,"Nome diferente em outro deck — revisar",""))</f>
        <v/>
      </c>
      <c r="J1093" s="16" t="str">
        <f aca="false">IF(AND(B1093&lt;&gt;"",A1093=BULK!$A$1,N(F1093)&gt;0),MAX(J$1:J1092)+1,"")</f>
        <v/>
      </c>
      <c r="K1093" s="11" t="str">
        <f aca="false">IF(B1093="","",IFERROR(LEFT(B1093,FIND("-",B1093)-1),B1093))</f>
        <v/>
      </c>
      <c r="L1093" s="11" t="str">
        <f aca="false">IF(K1093="","",IF(ISNUMBER(--MID(K1093,1,1)),0,IF(ISNUMBER(--MID(K1093,2,1)),1,IF(ISNUMBER(--MID(K1093,3,1)),2,IF(ISNUMBER(--MID(K1093,4,1)),3,MIN(LEN(K1093),4))))))</f>
        <v/>
      </c>
      <c r="M1093" s="11" t="str">
        <f aca="false">IF(B1093="","",LEFT(K1093,L1093)&amp;REPT("0",4-L1093)&amp;RIGHT("000"&amp;IFERROR(VALUE(MID(K1093,L1093+1,9)),0),3)&amp;RIGHT("0000"&amp;IFERROR(VALUE(MID(B1093,FIND("-",B1093)+1,9)),0),4))</f>
        <v/>
      </c>
      <c r="N1093" s="11" t="str">
        <f aca="false">IF(OR(B1093="",N(F1093)&lt;=0),"",IF('FALTAS POR DECK'!$P$1="Código","K"&amp;M1093&amp;RIGHT("00000"&amp;ROW(),5),IF('FALTAS POR DECK'!$P$1="Nome","K"&amp;UPPER(SUBSTITUTE(SUBSTITUTE(SUBSTITUTE(C1093,"*",""),"?",""),"~",""))&amp;"0"&amp;M1093&amp;RIGHT("00000"&amp;ROW(),5),IF('FALTAS POR DECK'!$P$1="Falta (maior primeiro)","K"&amp;RIGHT("0000"&amp;(9999-F1093),4)&amp;M1093&amp;RIGHT("00000"&amp;ROW(),5),IF('FALTAS POR DECK'!$P$1="Deck e código","K"&amp;RIGHT("00"&amp;IFERROR(MATCH(A1093,_LEITURA!$P$2:$P$21,0),99),2)&amp;M1093&amp;RIGHT("00000"&amp;ROW(),5),"K"&amp;RIGHT("00000"&amp;ROW(),5))))))</f>
        <v/>
      </c>
      <c r="O1093" s="16" t="str">
        <f aca="false">IF(N1093="","",COUNTIFS($N$2:$N$1201,"&lt;"&amp;N1093,$F$2:$F$1201,"&gt;0")+1)</f>
        <v/>
      </c>
    </row>
    <row r="1094" customFormat="false" ht="15" hidden="false" customHeight="false" outlineLevel="0" collapsed="false">
      <c r="A1094" s="11" t="str">
        <f aca="false">IF(_LEITURA!$N1094="","",INDEX(_LEITURA!$K$2:$K$1201,_LEITURA!$N1094))</f>
        <v/>
      </c>
      <c r="B1094" s="11" t="str">
        <f aca="false">IF(_LEITURA!$N1094="","",INDEX(_LEITURA!$E$2:$E$1201,_LEITURA!$N1094))</f>
        <v/>
      </c>
      <c r="C1094" s="11" t="str">
        <f aca="false">IF(_LEITURA!$N1094="","",INDEX(_LEITURA!$J$2:$J$1201,_LEITURA!$N1094))</f>
        <v/>
      </c>
      <c r="D1094" s="16" t="str">
        <f aca="false">IF(_LEITURA!$N1094="","",INDEX(_LEITURA!$G$2:$G$1201,_LEITURA!$N1094))</f>
        <v/>
      </c>
      <c r="E1094" s="16" t="str">
        <f aca="false">IF(B1094="","",SUMIFS(INVENTÁRIO!$C$2:$C$801,INVENTÁRIO!$A$2:$A$801,B1094))</f>
        <v/>
      </c>
      <c r="F1094" s="16" t="str">
        <f aca="false">IF(B1094="","",MAX(0,D1094-E1094))</f>
        <v/>
      </c>
      <c r="G1094" s="16" t="str">
        <f aca="false">IF(B1094="","",IF(COUNTIFS($B$2:$B$1201,B1094,$A$2:$A$1201,"&lt;&gt;"&amp;A1094)&gt;0,"Sim",""))</f>
        <v/>
      </c>
      <c r="H1094" s="16" t="str">
        <f aca="false">IF(N(F1094)&gt;0,MAX(H$1:H1093)+1,"")</f>
        <v/>
      </c>
      <c r="I1094" s="11" t="str">
        <f aca="false">IF(B1094="","",IF(INDEX($C$2:$C$1201,MATCH(B1094,$B$2:$B$1201,0))&lt;&gt;C1094,"Nome diferente em outro deck — revisar",""))</f>
        <v/>
      </c>
      <c r="J1094" s="16" t="str">
        <f aca="false">IF(AND(B1094&lt;&gt;"",A1094=BULK!$A$1,N(F1094)&gt;0),MAX(J$1:J1093)+1,"")</f>
        <v/>
      </c>
      <c r="K1094" s="11" t="str">
        <f aca="false">IF(B1094="","",IFERROR(LEFT(B1094,FIND("-",B1094)-1),B1094))</f>
        <v/>
      </c>
      <c r="L1094" s="11" t="str">
        <f aca="false">IF(K1094="","",IF(ISNUMBER(--MID(K1094,1,1)),0,IF(ISNUMBER(--MID(K1094,2,1)),1,IF(ISNUMBER(--MID(K1094,3,1)),2,IF(ISNUMBER(--MID(K1094,4,1)),3,MIN(LEN(K1094),4))))))</f>
        <v/>
      </c>
      <c r="M1094" s="11" t="str">
        <f aca="false">IF(B1094="","",LEFT(K1094,L1094)&amp;REPT("0",4-L1094)&amp;RIGHT("000"&amp;IFERROR(VALUE(MID(K1094,L1094+1,9)),0),3)&amp;RIGHT("0000"&amp;IFERROR(VALUE(MID(B1094,FIND("-",B1094)+1,9)),0),4))</f>
        <v/>
      </c>
      <c r="N1094" s="11" t="str">
        <f aca="false">IF(OR(B1094="",N(F1094)&lt;=0),"",IF('FALTAS POR DECK'!$P$1="Código","K"&amp;M1094&amp;RIGHT("00000"&amp;ROW(),5),IF('FALTAS POR DECK'!$P$1="Nome","K"&amp;UPPER(SUBSTITUTE(SUBSTITUTE(SUBSTITUTE(C1094,"*",""),"?",""),"~",""))&amp;"0"&amp;M1094&amp;RIGHT("00000"&amp;ROW(),5),IF('FALTAS POR DECK'!$P$1="Falta (maior primeiro)","K"&amp;RIGHT("0000"&amp;(9999-F1094),4)&amp;M1094&amp;RIGHT("00000"&amp;ROW(),5),IF('FALTAS POR DECK'!$P$1="Deck e código","K"&amp;RIGHT("00"&amp;IFERROR(MATCH(A1094,_LEITURA!$P$2:$P$21,0),99),2)&amp;M1094&amp;RIGHT("00000"&amp;ROW(),5),"K"&amp;RIGHT("00000"&amp;ROW(),5))))))</f>
        <v/>
      </c>
      <c r="O1094" s="16" t="str">
        <f aca="false">IF(N1094="","",COUNTIFS($N$2:$N$1201,"&lt;"&amp;N1094,$F$2:$F$1201,"&gt;0")+1)</f>
        <v/>
      </c>
    </row>
    <row r="1095" customFormat="false" ht="15" hidden="false" customHeight="false" outlineLevel="0" collapsed="false">
      <c r="A1095" s="11" t="str">
        <f aca="false">IF(_LEITURA!$N1095="","",INDEX(_LEITURA!$K$2:$K$1201,_LEITURA!$N1095))</f>
        <v/>
      </c>
      <c r="B1095" s="11" t="str">
        <f aca="false">IF(_LEITURA!$N1095="","",INDEX(_LEITURA!$E$2:$E$1201,_LEITURA!$N1095))</f>
        <v/>
      </c>
      <c r="C1095" s="11" t="str">
        <f aca="false">IF(_LEITURA!$N1095="","",INDEX(_LEITURA!$J$2:$J$1201,_LEITURA!$N1095))</f>
        <v/>
      </c>
      <c r="D1095" s="16" t="str">
        <f aca="false">IF(_LEITURA!$N1095="","",INDEX(_LEITURA!$G$2:$G$1201,_LEITURA!$N1095))</f>
        <v/>
      </c>
      <c r="E1095" s="16" t="str">
        <f aca="false">IF(B1095="","",SUMIFS(INVENTÁRIO!$C$2:$C$801,INVENTÁRIO!$A$2:$A$801,B1095))</f>
        <v/>
      </c>
      <c r="F1095" s="16" t="str">
        <f aca="false">IF(B1095="","",MAX(0,D1095-E1095))</f>
        <v/>
      </c>
      <c r="G1095" s="16" t="str">
        <f aca="false">IF(B1095="","",IF(COUNTIFS($B$2:$B$1201,B1095,$A$2:$A$1201,"&lt;&gt;"&amp;A1095)&gt;0,"Sim",""))</f>
        <v/>
      </c>
      <c r="H1095" s="16" t="str">
        <f aca="false">IF(N(F1095)&gt;0,MAX(H$1:H1094)+1,"")</f>
        <v/>
      </c>
      <c r="I1095" s="11" t="str">
        <f aca="false">IF(B1095="","",IF(INDEX($C$2:$C$1201,MATCH(B1095,$B$2:$B$1201,0))&lt;&gt;C1095,"Nome diferente em outro deck — revisar",""))</f>
        <v/>
      </c>
      <c r="J1095" s="16" t="str">
        <f aca="false">IF(AND(B1095&lt;&gt;"",A1095=BULK!$A$1,N(F1095)&gt;0),MAX(J$1:J1094)+1,"")</f>
        <v/>
      </c>
      <c r="K1095" s="11" t="str">
        <f aca="false">IF(B1095="","",IFERROR(LEFT(B1095,FIND("-",B1095)-1),B1095))</f>
        <v/>
      </c>
      <c r="L1095" s="11" t="str">
        <f aca="false">IF(K1095="","",IF(ISNUMBER(--MID(K1095,1,1)),0,IF(ISNUMBER(--MID(K1095,2,1)),1,IF(ISNUMBER(--MID(K1095,3,1)),2,IF(ISNUMBER(--MID(K1095,4,1)),3,MIN(LEN(K1095),4))))))</f>
        <v/>
      </c>
      <c r="M1095" s="11" t="str">
        <f aca="false">IF(B1095="","",LEFT(K1095,L1095)&amp;REPT("0",4-L1095)&amp;RIGHT("000"&amp;IFERROR(VALUE(MID(K1095,L1095+1,9)),0),3)&amp;RIGHT("0000"&amp;IFERROR(VALUE(MID(B1095,FIND("-",B1095)+1,9)),0),4))</f>
        <v/>
      </c>
      <c r="N1095" s="11" t="str">
        <f aca="false">IF(OR(B1095="",N(F1095)&lt;=0),"",IF('FALTAS POR DECK'!$P$1="Código","K"&amp;M1095&amp;RIGHT("00000"&amp;ROW(),5),IF('FALTAS POR DECK'!$P$1="Nome","K"&amp;UPPER(SUBSTITUTE(SUBSTITUTE(SUBSTITUTE(C1095,"*",""),"?",""),"~",""))&amp;"0"&amp;M1095&amp;RIGHT("00000"&amp;ROW(),5),IF('FALTAS POR DECK'!$P$1="Falta (maior primeiro)","K"&amp;RIGHT("0000"&amp;(9999-F1095),4)&amp;M1095&amp;RIGHT("00000"&amp;ROW(),5),IF('FALTAS POR DECK'!$P$1="Deck e código","K"&amp;RIGHT("00"&amp;IFERROR(MATCH(A1095,_LEITURA!$P$2:$P$21,0),99),2)&amp;M1095&amp;RIGHT("00000"&amp;ROW(),5),"K"&amp;RIGHT("00000"&amp;ROW(),5))))))</f>
        <v/>
      </c>
      <c r="O1095" s="16" t="str">
        <f aca="false">IF(N1095="","",COUNTIFS($N$2:$N$1201,"&lt;"&amp;N1095,$F$2:$F$1201,"&gt;0")+1)</f>
        <v/>
      </c>
    </row>
    <row r="1096" customFormat="false" ht="15" hidden="false" customHeight="false" outlineLevel="0" collapsed="false">
      <c r="A1096" s="11" t="str">
        <f aca="false">IF(_LEITURA!$N1096="","",INDEX(_LEITURA!$K$2:$K$1201,_LEITURA!$N1096))</f>
        <v/>
      </c>
      <c r="B1096" s="11" t="str">
        <f aca="false">IF(_LEITURA!$N1096="","",INDEX(_LEITURA!$E$2:$E$1201,_LEITURA!$N1096))</f>
        <v/>
      </c>
      <c r="C1096" s="11" t="str">
        <f aca="false">IF(_LEITURA!$N1096="","",INDEX(_LEITURA!$J$2:$J$1201,_LEITURA!$N1096))</f>
        <v/>
      </c>
      <c r="D1096" s="16" t="str">
        <f aca="false">IF(_LEITURA!$N1096="","",INDEX(_LEITURA!$G$2:$G$1201,_LEITURA!$N1096))</f>
        <v/>
      </c>
      <c r="E1096" s="16" t="str">
        <f aca="false">IF(B1096="","",SUMIFS(INVENTÁRIO!$C$2:$C$801,INVENTÁRIO!$A$2:$A$801,B1096))</f>
        <v/>
      </c>
      <c r="F1096" s="16" t="str">
        <f aca="false">IF(B1096="","",MAX(0,D1096-E1096))</f>
        <v/>
      </c>
      <c r="G1096" s="16" t="str">
        <f aca="false">IF(B1096="","",IF(COUNTIFS($B$2:$B$1201,B1096,$A$2:$A$1201,"&lt;&gt;"&amp;A1096)&gt;0,"Sim",""))</f>
        <v/>
      </c>
      <c r="H1096" s="16" t="str">
        <f aca="false">IF(N(F1096)&gt;0,MAX(H$1:H1095)+1,"")</f>
        <v/>
      </c>
      <c r="I1096" s="11" t="str">
        <f aca="false">IF(B1096="","",IF(INDEX($C$2:$C$1201,MATCH(B1096,$B$2:$B$1201,0))&lt;&gt;C1096,"Nome diferente em outro deck — revisar",""))</f>
        <v/>
      </c>
      <c r="J1096" s="16" t="str">
        <f aca="false">IF(AND(B1096&lt;&gt;"",A1096=BULK!$A$1,N(F1096)&gt;0),MAX(J$1:J1095)+1,"")</f>
        <v/>
      </c>
      <c r="K1096" s="11" t="str">
        <f aca="false">IF(B1096="","",IFERROR(LEFT(B1096,FIND("-",B1096)-1),B1096))</f>
        <v/>
      </c>
      <c r="L1096" s="11" t="str">
        <f aca="false">IF(K1096="","",IF(ISNUMBER(--MID(K1096,1,1)),0,IF(ISNUMBER(--MID(K1096,2,1)),1,IF(ISNUMBER(--MID(K1096,3,1)),2,IF(ISNUMBER(--MID(K1096,4,1)),3,MIN(LEN(K1096),4))))))</f>
        <v/>
      </c>
      <c r="M1096" s="11" t="str">
        <f aca="false">IF(B1096="","",LEFT(K1096,L1096)&amp;REPT("0",4-L1096)&amp;RIGHT("000"&amp;IFERROR(VALUE(MID(K1096,L1096+1,9)),0),3)&amp;RIGHT("0000"&amp;IFERROR(VALUE(MID(B1096,FIND("-",B1096)+1,9)),0),4))</f>
        <v/>
      </c>
      <c r="N1096" s="11" t="str">
        <f aca="false">IF(OR(B1096="",N(F1096)&lt;=0),"",IF('FALTAS POR DECK'!$P$1="Código","K"&amp;M1096&amp;RIGHT("00000"&amp;ROW(),5),IF('FALTAS POR DECK'!$P$1="Nome","K"&amp;UPPER(SUBSTITUTE(SUBSTITUTE(SUBSTITUTE(C1096,"*",""),"?",""),"~",""))&amp;"0"&amp;M1096&amp;RIGHT("00000"&amp;ROW(),5),IF('FALTAS POR DECK'!$P$1="Falta (maior primeiro)","K"&amp;RIGHT("0000"&amp;(9999-F1096),4)&amp;M1096&amp;RIGHT("00000"&amp;ROW(),5),IF('FALTAS POR DECK'!$P$1="Deck e código","K"&amp;RIGHT("00"&amp;IFERROR(MATCH(A1096,_LEITURA!$P$2:$P$21,0),99),2)&amp;M1096&amp;RIGHT("00000"&amp;ROW(),5),"K"&amp;RIGHT("00000"&amp;ROW(),5))))))</f>
        <v/>
      </c>
      <c r="O1096" s="16" t="str">
        <f aca="false">IF(N1096="","",COUNTIFS($N$2:$N$1201,"&lt;"&amp;N1096,$F$2:$F$1201,"&gt;0")+1)</f>
        <v/>
      </c>
    </row>
    <row r="1097" customFormat="false" ht="15" hidden="false" customHeight="false" outlineLevel="0" collapsed="false">
      <c r="A1097" s="11" t="str">
        <f aca="false">IF(_LEITURA!$N1097="","",INDEX(_LEITURA!$K$2:$K$1201,_LEITURA!$N1097))</f>
        <v/>
      </c>
      <c r="B1097" s="11" t="str">
        <f aca="false">IF(_LEITURA!$N1097="","",INDEX(_LEITURA!$E$2:$E$1201,_LEITURA!$N1097))</f>
        <v/>
      </c>
      <c r="C1097" s="11" t="str">
        <f aca="false">IF(_LEITURA!$N1097="","",INDEX(_LEITURA!$J$2:$J$1201,_LEITURA!$N1097))</f>
        <v/>
      </c>
      <c r="D1097" s="16" t="str">
        <f aca="false">IF(_LEITURA!$N1097="","",INDEX(_LEITURA!$G$2:$G$1201,_LEITURA!$N1097))</f>
        <v/>
      </c>
      <c r="E1097" s="16" t="str">
        <f aca="false">IF(B1097="","",SUMIFS(INVENTÁRIO!$C$2:$C$801,INVENTÁRIO!$A$2:$A$801,B1097))</f>
        <v/>
      </c>
      <c r="F1097" s="16" t="str">
        <f aca="false">IF(B1097="","",MAX(0,D1097-E1097))</f>
        <v/>
      </c>
      <c r="G1097" s="16" t="str">
        <f aca="false">IF(B1097="","",IF(COUNTIFS($B$2:$B$1201,B1097,$A$2:$A$1201,"&lt;&gt;"&amp;A1097)&gt;0,"Sim",""))</f>
        <v/>
      </c>
      <c r="H1097" s="16" t="str">
        <f aca="false">IF(N(F1097)&gt;0,MAX(H$1:H1096)+1,"")</f>
        <v/>
      </c>
      <c r="I1097" s="11" t="str">
        <f aca="false">IF(B1097="","",IF(INDEX($C$2:$C$1201,MATCH(B1097,$B$2:$B$1201,0))&lt;&gt;C1097,"Nome diferente em outro deck — revisar",""))</f>
        <v/>
      </c>
      <c r="J1097" s="16" t="str">
        <f aca="false">IF(AND(B1097&lt;&gt;"",A1097=BULK!$A$1,N(F1097)&gt;0),MAX(J$1:J1096)+1,"")</f>
        <v/>
      </c>
      <c r="K1097" s="11" t="str">
        <f aca="false">IF(B1097="","",IFERROR(LEFT(B1097,FIND("-",B1097)-1),B1097))</f>
        <v/>
      </c>
      <c r="L1097" s="11" t="str">
        <f aca="false">IF(K1097="","",IF(ISNUMBER(--MID(K1097,1,1)),0,IF(ISNUMBER(--MID(K1097,2,1)),1,IF(ISNUMBER(--MID(K1097,3,1)),2,IF(ISNUMBER(--MID(K1097,4,1)),3,MIN(LEN(K1097),4))))))</f>
        <v/>
      </c>
      <c r="M1097" s="11" t="str">
        <f aca="false">IF(B1097="","",LEFT(K1097,L1097)&amp;REPT("0",4-L1097)&amp;RIGHT("000"&amp;IFERROR(VALUE(MID(K1097,L1097+1,9)),0),3)&amp;RIGHT("0000"&amp;IFERROR(VALUE(MID(B1097,FIND("-",B1097)+1,9)),0),4))</f>
        <v/>
      </c>
      <c r="N1097" s="11" t="str">
        <f aca="false">IF(OR(B1097="",N(F1097)&lt;=0),"",IF('FALTAS POR DECK'!$P$1="Código","K"&amp;M1097&amp;RIGHT("00000"&amp;ROW(),5),IF('FALTAS POR DECK'!$P$1="Nome","K"&amp;UPPER(SUBSTITUTE(SUBSTITUTE(SUBSTITUTE(C1097,"*",""),"?",""),"~",""))&amp;"0"&amp;M1097&amp;RIGHT("00000"&amp;ROW(),5),IF('FALTAS POR DECK'!$P$1="Falta (maior primeiro)","K"&amp;RIGHT("0000"&amp;(9999-F1097),4)&amp;M1097&amp;RIGHT("00000"&amp;ROW(),5),IF('FALTAS POR DECK'!$P$1="Deck e código","K"&amp;RIGHT("00"&amp;IFERROR(MATCH(A1097,_LEITURA!$P$2:$P$21,0),99),2)&amp;M1097&amp;RIGHT("00000"&amp;ROW(),5),"K"&amp;RIGHT("00000"&amp;ROW(),5))))))</f>
        <v/>
      </c>
      <c r="O1097" s="16" t="str">
        <f aca="false">IF(N1097="","",COUNTIFS($N$2:$N$1201,"&lt;"&amp;N1097,$F$2:$F$1201,"&gt;0")+1)</f>
        <v/>
      </c>
    </row>
    <row r="1098" customFormat="false" ht="15" hidden="false" customHeight="false" outlineLevel="0" collapsed="false">
      <c r="A1098" s="11" t="str">
        <f aca="false">IF(_LEITURA!$N1098="","",INDEX(_LEITURA!$K$2:$K$1201,_LEITURA!$N1098))</f>
        <v/>
      </c>
      <c r="B1098" s="11" t="str">
        <f aca="false">IF(_LEITURA!$N1098="","",INDEX(_LEITURA!$E$2:$E$1201,_LEITURA!$N1098))</f>
        <v/>
      </c>
      <c r="C1098" s="11" t="str">
        <f aca="false">IF(_LEITURA!$N1098="","",INDEX(_LEITURA!$J$2:$J$1201,_LEITURA!$N1098))</f>
        <v/>
      </c>
      <c r="D1098" s="16" t="str">
        <f aca="false">IF(_LEITURA!$N1098="","",INDEX(_LEITURA!$G$2:$G$1201,_LEITURA!$N1098))</f>
        <v/>
      </c>
      <c r="E1098" s="16" t="str">
        <f aca="false">IF(B1098="","",SUMIFS(INVENTÁRIO!$C$2:$C$801,INVENTÁRIO!$A$2:$A$801,B1098))</f>
        <v/>
      </c>
      <c r="F1098" s="16" t="str">
        <f aca="false">IF(B1098="","",MAX(0,D1098-E1098))</f>
        <v/>
      </c>
      <c r="G1098" s="16" t="str">
        <f aca="false">IF(B1098="","",IF(COUNTIFS($B$2:$B$1201,B1098,$A$2:$A$1201,"&lt;&gt;"&amp;A1098)&gt;0,"Sim",""))</f>
        <v/>
      </c>
      <c r="H1098" s="16" t="str">
        <f aca="false">IF(N(F1098)&gt;0,MAX(H$1:H1097)+1,"")</f>
        <v/>
      </c>
      <c r="I1098" s="11" t="str">
        <f aca="false">IF(B1098="","",IF(INDEX($C$2:$C$1201,MATCH(B1098,$B$2:$B$1201,0))&lt;&gt;C1098,"Nome diferente em outro deck — revisar",""))</f>
        <v/>
      </c>
      <c r="J1098" s="16" t="str">
        <f aca="false">IF(AND(B1098&lt;&gt;"",A1098=BULK!$A$1,N(F1098)&gt;0),MAX(J$1:J1097)+1,"")</f>
        <v/>
      </c>
      <c r="K1098" s="11" t="str">
        <f aca="false">IF(B1098="","",IFERROR(LEFT(B1098,FIND("-",B1098)-1),B1098))</f>
        <v/>
      </c>
      <c r="L1098" s="11" t="str">
        <f aca="false">IF(K1098="","",IF(ISNUMBER(--MID(K1098,1,1)),0,IF(ISNUMBER(--MID(K1098,2,1)),1,IF(ISNUMBER(--MID(K1098,3,1)),2,IF(ISNUMBER(--MID(K1098,4,1)),3,MIN(LEN(K1098),4))))))</f>
        <v/>
      </c>
      <c r="M1098" s="11" t="str">
        <f aca="false">IF(B1098="","",LEFT(K1098,L1098)&amp;REPT("0",4-L1098)&amp;RIGHT("000"&amp;IFERROR(VALUE(MID(K1098,L1098+1,9)),0),3)&amp;RIGHT("0000"&amp;IFERROR(VALUE(MID(B1098,FIND("-",B1098)+1,9)),0),4))</f>
        <v/>
      </c>
      <c r="N1098" s="11" t="str">
        <f aca="false">IF(OR(B1098="",N(F1098)&lt;=0),"",IF('FALTAS POR DECK'!$P$1="Código","K"&amp;M1098&amp;RIGHT("00000"&amp;ROW(),5),IF('FALTAS POR DECK'!$P$1="Nome","K"&amp;UPPER(SUBSTITUTE(SUBSTITUTE(SUBSTITUTE(C1098,"*",""),"?",""),"~",""))&amp;"0"&amp;M1098&amp;RIGHT("00000"&amp;ROW(),5),IF('FALTAS POR DECK'!$P$1="Falta (maior primeiro)","K"&amp;RIGHT("0000"&amp;(9999-F1098),4)&amp;M1098&amp;RIGHT("00000"&amp;ROW(),5),IF('FALTAS POR DECK'!$P$1="Deck e código","K"&amp;RIGHT("00"&amp;IFERROR(MATCH(A1098,_LEITURA!$P$2:$P$21,0),99),2)&amp;M1098&amp;RIGHT("00000"&amp;ROW(),5),"K"&amp;RIGHT("00000"&amp;ROW(),5))))))</f>
        <v/>
      </c>
      <c r="O1098" s="16" t="str">
        <f aca="false">IF(N1098="","",COUNTIFS($N$2:$N$1201,"&lt;"&amp;N1098,$F$2:$F$1201,"&gt;0")+1)</f>
        <v/>
      </c>
    </row>
    <row r="1099" customFormat="false" ht="15" hidden="false" customHeight="false" outlineLevel="0" collapsed="false">
      <c r="A1099" s="11" t="str">
        <f aca="false">IF(_LEITURA!$N1099="","",INDEX(_LEITURA!$K$2:$K$1201,_LEITURA!$N1099))</f>
        <v/>
      </c>
      <c r="B1099" s="11" t="str">
        <f aca="false">IF(_LEITURA!$N1099="","",INDEX(_LEITURA!$E$2:$E$1201,_LEITURA!$N1099))</f>
        <v/>
      </c>
      <c r="C1099" s="11" t="str">
        <f aca="false">IF(_LEITURA!$N1099="","",INDEX(_LEITURA!$J$2:$J$1201,_LEITURA!$N1099))</f>
        <v/>
      </c>
      <c r="D1099" s="16" t="str">
        <f aca="false">IF(_LEITURA!$N1099="","",INDEX(_LEITURA!$G$2:$G$1201,_LEITURA!$N1099))</f>
        <v/>
      </c>
      <c r="E1099" s="16" t="str">
        <f aca="false">IF(B1099="","",SUMIFS(INVENTÁRIO!$C$2:$C$801,INVENTÁRIO!$A$2:$A$801,B1099))</f>
        <v/>
      </c>
      <c r="F1099" s="16" t="str">
        <f aca="false">IF(B1099="","",MAX(0,D1099-E1099))</f>
        <v/>
      </c>
      <c r="G1099" s="16" t="str">
        <f aca="false">IF(B1099="","",IF(COUNTIFS($B$2:$B$1201,B1099,$A$2:$A$1201,"&lt;&gt;"&amp;A1099)&gt;0,"Sim",""))</f>
        <v/>
      </c>
      <c r="H1099" s="16" t="str">
        <f aca="false">IF(N(F1099)&gt;0,MAX(H$1:H1098)+1,"")</f>
        <v/>
      </c>
      <c r="I1099" s="11" t="str">
        <f aca="false">IF(B1099="","",IF(INDEX($C$2:$C$1201,MATCH(B1099,$B$2:$B$1201,0))&lt;&gt;C1099,"Nome diferente em outro deck — revisar",""))</f>
        <v/>
      </c>
      <c r="J1099" s="16" t="str">
        <f aca="false">IF(AND(B1099&lt;&gt;"",A1099=BULK!$A$1,N(F1099)&gt;0),MAX(J$1:J1098)+1,"")</f>
        <v/>
      </c>
      <c r="K1099" s="11" t="str">
        <f aca="false">IF(B1099="","",IFERROR(LEFT(B1099,FIND("-",B1099)-1),B1099))</f>
        <v/>
      </c>
      <c r="L1099" s="11" t="str">
        <f aca="false">IF(K1099="","",IF(ISNUMBER(--MID(K1099,1,1)),0,IF(ISNUMBER(--MID(K1099,2,1)),1,IF(ISNUMBER(--MID(K1099,3,1)),2,IF(ISNUMBER(--MID(K1099,4,1)),3,MIN(LEN(K1099),4))))))</f>
        <v/>
      </c>
      <c r="M1099" s="11" t="str">
        <f aca="false">IF(B1099="","",LEFT(K1099,L1099)&amp;REPT("0",4-L1099)&amp;RIGHT("000"&amp;IFERROR(VALUE(MID(K1099,L1099+1,9)),0),3)&amp;RIGHT("0000"&amp;IFERROR(VALUE(MID(B1099,FIND("-",B1099)+1,9)),0),4))</f>
        <v/>
      </c>
      <c r="N1099" s="11" t="str">
        <f aca="false">IF(OR(B1099="",N(F1099)&lt;=0),"",IF('FALTAS POR DECK'!$P$1="Código","K"&amp;M1099&amp;RIGHT("00000"&amp;ROW(),5),IF('FALTAS POR DECK'!$P$1="Nome","K"&amp;UPPER(SUBSTITUTE(SUBSTITUTE(SUBSTITUTE(C1099,"*",""),"?",""),"~",""))&amp;"0"&amp;M1099&amp;RIGHT("00000"&amp;ROW(),5),IF('FALTAS POR DECK'!$P$1="Falta (maior primeiro)","K"&amp;RIGHT("0000"&amp;(9999-F1099),4)&amp;M1099&amp;RIGHT("00000"&amp;ROW(),5),IF('FALTAS POR DECK'!$P$1="Deck e código","K"&amp;RIGHT("00"&amp;IFERROR(MATCH(A1099,_LEITURA!$P$2:$P$21,0),99),2)&amp;M1099&amp;RIGHT("00000"&amp;ROW(),5),"K"&amp;RIGHT("00000"&amp;ROW(),5))))))</f>
        <v/>
      </c>
      <c r="O1099" s="16" t="str">
        <f aca="false">IF(N1099="","",COUNTIFS($N$2:$N$1201,"&lt;"&amp;N1099,$F$2:$F$1201,"&gt;0")+1)</f>
        <v/>
      </c>
    </row>
    <row r="1100" customFormat="false" ht="15" hidden="false" customHeight="false" outlineLevel="0" collapsed="false">
      <c r="A1100" s="11" t="str">
        <f aca="false">IF(_LEITURA!$N1100="","",INDEX(_LEITURA!$K$2:$K$1201,_LEITURA!$N1100))</f>
        <v/>
      </c>
      <c r="B1100" s="11" t="str">
        <f aca="false">IF(_LEITURA!$N1100="","",INDEX(_LEITURA!$E$2:$E$1201,_LEITURA!$N1100))</f>
        <v/>
      </c>
      <c r="C1100" s="11" t="str">
        <f aca="false">IF(_LEITURA!$N1100="","",INDEX(_LEITURA!$J$2:$J$1201,_LEITURA!$N1100))</f>
        <v/>
      </c>
      <c r="D1100" s="16" t="str">
        <f aca="false">IF(_LEITURA!$N1100="","",INDEX(_LEITURA!$G$2:$G$1201,_LEITURA!$N1100))</f>
        <v/>
      </c>
      <c r="E1100" s="16" t="str">
        <f aca="false">IF(B1100="","",SUMIFS(INVENTÁRIO!$C$2:$C$801,INVENTÁRIO!$A$2:$A$801,B1100))</f>
        <v/>
      </c>
      <c r="F1100" s="16" t="str">
        <f aca="false">IF(B1100="","",MAX(0,D1100-E1100))</f>
        <v/>
      </c>
      <c r="G1100" s="16" t="str">
        <f aca="false">IF(B1100="","",IF(COUNTIFS($B$2:$B$1201,B1100,$A$2:$A$1201,"&lt;&gt;"&amp;A1100)&gt;0,"Sim",""))</f>
        <v/>
      </c>
      <c r="H1100" s="16" t="str">
        <f aca="false">IF(N(F1100)&gt;0,MAX(H$1:H1099)+1,"")</f>
        <v/>
      </c>
      <c r="I1100" s="11" t="str">
        <f aca="false">IF(B1100="","",IF(INDEX($C$2:$C$1201,MATCH(B1100,$B$2:$B$1201,0))&lt;&gt;C1100,"Nome diferente em outro deck — revisar",""))</f>
        <v/>
      </c>
      <c r="J1100" s="16" t="str">
        <f aca="false">IF(AND(B1100&lt;&gt;"",A1100=BULK!$A$1,N(F1100)&gt;0),MAX(J$1:J1099)+1,"")</f>
        <v/>
      </c>
      <c r="K1100" s="11" t="str">
        <f aca="false">IF(B1100="","",IFERROR(LEFT(B1100,FIND("-",B1100)-1),B1100))</f>
        <v/>
      </c>
      <c r="L1100" s="11" t="str">
        <f aca="false">IF(K1100="","",IF(ISNUMBER(--MID(K1100,1,1)),0,IF(ISNUMBER(--MID(K1100,2,1)),1,IF(ISNUMBER(--MID(K1100,3,1)),2,IF(ISNUMBER(--MID(K1100,4,1)),3,MIN(LEN(K1100),4))))))</f>
        <v/>
      </c>
      <c r="M1100" s="11" t="str">
        <f aca="false">IF(B1100="","",LEFT(K1100,L1100)&amp;REPT("0",4-L1100)&amp;RIGHT("000"&amp;IFERROR(VALUE(MID(K1100,L1100+1,9)),0),3)&amp;RIGHT("0000"&amp;IFERROR(VALUE(MID(B1100,FIND("-",B1100)+1,9)),0),4))</f>
        <v/>
      </c>
      <c r="N1100" s="11" t="str">
        <f aca="false">IF(OR(B1100="",N(F1100)&lt;=0),"",IF('FALTAS POR DECK'!$P$1="Código","K"&amp;M1100&amp;RIGHT("00000"&amp;ROW(),5),IF('FALTAS POR DECK'!$P$1="Nome","K"&amp;UPPER(SUBSTITUTE(SUBSTITUTE(SUBSTITUTE(C1100,"*",""),"?",""),"~",""))&amp;"0"&amp;M1100&amp;RIGHT("00000"&amp;ROW(),5),IF('FALTAS POR DECK'!$P$1="Falta (maior primeiro)","K"&amp;RIGHT("0000"&amp;(9999-F1100),4)&amp;M1100&amp;RIGHT("00000"&amp;ROW(),5),IF('FALTAS POR DECK'!$P$1="Deck e código","K"&amp;RIGHT("00"&amp;IFERROR(MATCH(A1100,_LEITURA!$P$2:$P$21,0),99),2)&amp;M1100&amp;RIGHT("00000"&amp;ROW(),5),"K"&amp;RIGHT("00000"&amp;ROW(),5))))))</f>
        <v/>
      </c>
      <c r="O1100" s="16" t="str">
        <f aca="false">IF(N1100="","",COUNTIFS($N$2:$N$1201,"&lt;"&amp;N1100,$F$2:$F$1201,"&gt;0")+1)</f>
        <v/>
      </c>
    </row>
    <row r="1101" customFormat="false" ht="15" hidden="false" customHeight="false" outlineLevel="0" collapsed="false">
      <c r="A1101" s="11" t="str">
        <f aca="false">IF(_LEITURA!$N1101="","",INDEX(_LEITURA!$K$2:$K$1201,_LEITURA!$N1101))</f>
        <v/>
      </c>
      <c r="B1101" s="11" t="str">
        <f aca="false">IF(_LEITURA!$N1101="","",INDEX(_LEITURA!$E$2:$E$1201,_LEITURA!$N1101))</f>
        <v/>
      </c>
      <c r="C1101" s="11" t="str">
        <f aca="false">IF(_LEITURA!$N1101="","",INDEX(_LEITURA!$J$2:$J$1201,_LEITURA!$N1101))</f>
        <v/>
      </c>
      <c r="D1101" s="16" t="str">
        <f aca="false">IF(_LEITURA!$N1101="","",INDEX(_LEITURA!$G$2:$G$1201,_LEITURA!$N1101))</f>
        <v/>
      </c>
      <c r="E1101" s="16" t="str">
        <f aca="false">IF(B1101="","",SUMIFS(INVENTÁRIO!$C$2:$C$801,INVENTÁRIO!$A$2:$A$801,B1101))</f>
        <v/>
      </c>
      <c r="F1101" s="16" t="str">
        <f aca="false">IF(B1101="","",MAX(0,D1101-E1101))</f>
        <v/>
      </c>
      <c r="G1101" s="16" t="str">
        <f aca="false">IF(B1101="","",IF(COUNTIFS($B$2:$B$1201,B1101,$A$2:$A$1201,"&lt;&gt;"&amp;A1101)&gt;0,"Sim",""))</f>
        <v/>
      </c>
      <c r="H1101" s="16" t="str">
        <f aca="false">IF(N(F1101)&gt;0,MAX(H$1:H1100)+1,"")</f>
        <v/>
      </c>
      <c r="I1101" s="11" t="str">
        <f aca="false">IF(B1101="","",IF(INDEX($C$2:$C$1201,MATCH(B1101,$B$2:$B$1201,0))&lt;&gt;C1101,"Nome diferente em outro deck — revisar",""))</f>
        <v/>
      </c>
      <c r="J1101" s="16" t="str">
        <f aca="false">IF(AND(B1101&lt;&gt;"",A1101=BULK!$A$1,N(F1101)&gt;0),MAX(J$1:J1100)+1,"")</f>
        <v/>
      </c>
      <c r="K1101" s="11" t="str">
        <f aca="false">IF(B1101="","",IFERROR(LEFT(B1101,FIND("-",B1101)-1),B1101))</f>
        <v/>
      </c>
      <c r="L1101" s="11" t="str">
        <f aca="false">IF(K1101="","",IF(ISNUMBER(--MID(K1101,1,1)),0,IF(ISNUMBER(--MID(K1101,2,1)),1,IF(ISNUMBER(--MID(K1101,3,1)),2,IF(ISNUMBER(--MID(K1101,4,1)),3,MIN(LEN(K1101),4))))))</f>
        <v/>
      </c>
      <c r="M1101" s="11" t="str">
        <f aca="false">IF(B1101="","",LEFT(K1101,L1101)&amp;REPT("0",4-L1101)&amp;RIGHT("000"&amp;IFERROR(VALUE(MID(K1101,L1101+1,9)),0),3)&amp;RIGHT("0000"&amp;IFERROR(VALUE(MID(B1101,FIND("-",B1101)+1,9)),0),4))</f>
        <v/>
      </c>
      <c r="N1101" s="11" t="str">
        <f aca="false">IF(OR(B1101="",N(F1101)&lt;=0),"",IF('FALTAS POR DECK'!$P$1="Código","K"&amp;M1101&amp;RIGHT("00000"&amp;ROW(),5),IF('FALTAS POR DECK'!$P$1="Nome","K"&amp;UPPER(SUBSTITUTE(SUBSTITUTE(SUBSTITUTE(C1101,"*",""),"?",""),"~",""))&amp;"0"&amp;M1101&amp;RIGHT("00000"&amp;ROW(),5),IF('FALTAS POR DECK'!$P$1="Falta (maior primeiro)","K"&amp;RIGHT("0000"&amp;(9999-F1101),4)&amp;M1101&amp;RIGHT("00000"&amp;ROW(),5),IF('FALTAS POR DECK'!$P$1="Deck e código","K"&amp;RIGHT("00"&amp;IFERROR(MATCH(A1101,_LEITURA!$P$2:$P$21,0),99),2)&amp;M1101&amp;RIGHT("00000"&amp;ROW(),5),"K"&amp;RIGHT("00000"&amp;ROW(),5))))))</f>
        <v/>
      </c>
      <c r="O1101" s="16" t="str">
        <f aca="false">IF(N1101="","",COUNTIFS($N$2:$N$1201,"&lt;"&amp;N1101,$F$2:$F$1201,"&gt;0")+1)</f>
        <v/>
      </c>
    </row>
    <row r="1102" customFormat="false" ht="15" hidden="false" customHeight="false" outlineLevel="0" collapsed="false">
      <c r="A1102" s="11" t="str">
        <f aca="false">IF(_LEITURA!$N1102="","",INDEX(_LEITURA!$K$2:$K$1201,_LEITURA!$N1102))</f>
        <v/>
      </c>
      <c r="B1102" s="11" t="str">
        <f aca="false">IF(_LEITURA!$N1102="","",INDEX(_LEITURA!$E$2:$E$1201,_LEITURA!$N1102))</f>
        <v/>
      </c>
      <c r="C1102" s="11" t="str">
        <f aca="false">IF(_LEITURA!$N1102="","",INDEX(_LEITURA!$J$2:$J$1201,_LEITURA!$N1102))</f>
        <v/>
      </c>
      <c r="D1102" s="16" t="str">
        <f aca="false">IF(_LEITURA!$N1102="","",INDEX(_LEITURA!$G$2:$G$1201,_LEITURA!$N1102))</f>
        <v/>
      </c>
      <c r="E1102" s="16" t="str">
        <f aca="false">IF(B1102="","",SUMIFS(INVENTÁRIO!$C$2:$C$801,INVENTÁRIO!$A$2:$A$801,B1102))</f>
        <v/>
      </c>
      <c r="F1102" s="16" t="str">
        <f aca="false">IF(B1102="","",MAX(0,D1102-E1102))</f>
        <v/>
      </c>
      <c r="G1102" s="16" t="str">
        <f aca="false">IF(B1102="","",IF(COUNTIFS($B$2:$B$1201,B1102,$A$2:$A$1201,"&lt;&gt;"&amp;A1102)&gt;0,"Sim",""))</f>
        <v/>
      </c>
      <c r="H1102" s="16" t="str">
        <f aca="false">IF(N(F1102)&gt;0,MAX(H$1:H1101)+1,"")</f>
        <v/>
      </c>
      <c r="I1102" s="11" t="str">
        <f aca="false">IF(B1102="","",IF(INDEX($C$2:$C$1201,MATCH(B1102,$B$2:$B$1201,0))&lt;&gt;C1102,"Nome diferente em outro deck — revisar",""))</f>
        <v/>
      </c>
      <c r="J1102" s="16" t="str">
        <f aca="false">IF(AND(B1102&lt;&gt;"",A1102=BULK!$A$1,N(F1102)&gt;0),MAX(J$1:J1101)+1,"")</f>
        <v/>
      </c>
      <c r="K1102" s="11" t="str">
        <f aca="false">IF(B1102="","",IFERROR(LEFT(B1102,FIND("-",B1102)-1),B1102))</f>
        <v/>
      </c>
      <c r="L1102" s="11" t="str">
        <f aca="false">IF(K1102="","",IF(ISNUMBER(--MID(K1102,1,1)),0,IF(ISNUMBER(--MID(K1102,2,1)),1,IF(ISNUMBER(--MID(K1102,3,1)),2,IF(ISNUMBER(--MID(K1102,4,1)),3,MIN(LEN(K1102),4))))))</f>
        <v/>
      </c>
      <c r="M1102" s="11" t="str">
        <f aca="false">IF(B1102="","",LEFT(K1102,L1102)&amp;REPT("0",4-L1102)&amp;RIGHT("000"&amp;IFERROR(VALUE(MID(K1102,L1102+1,9)),0),3)&amp;RIGHT("0000"&amp;IFERROR(VALUE(MID(B1102,FIND("-",B1102)+1,9)),0),4))</f>
        <v/>
      </c>
      <c r="N1102" s="11" t="str">
        <f aca="false">IF(OR(B1102="",N(F1102)&lt;=0),"",IF('FALTAS POR DECK'!$P$1="Código","K"&amp;M1102&amp;RIGHT("00000"&amp;ROW(),5),IF('FALTAS POR DECK'!$P$1="Nome","K"&amp;UPPER(SUBSTITUTE(SUBSTITUTE(SUBSTITUTE(C1102,"*",""),"?",""),"~",""))&amp;"0"&amp;M1102&amp;RIGHT("00000"&amp;ROW(),5),IF('FALTAS POR DECK'!$P$1="Falta (maior primeiro)","K"&amp;RIGHT("0000"&amp;(9999-F1102),4)&amp;M1102&amp;RIGHT("00000"&amp;ROW(),5),IF('FALTAS POR DECK'!$P$1="Deck e código","K"&amp;RIGHT("00"&amp;IFERROR(MATCH(A1102,_LEITURA!$P$2:$P$21,0),99),2)&amp;M1102&amp;RIGHT("00000"&amp;ROW(),5),"K"&amp;RIGHT("00000"&amp;ROW(),5))))))</f>
        <v/>
      </c>
      <c r="O1102" s="16" t="str">
        <f aca="false">IF(N1102="","",COUNTIFS($N$2:$N$1201,"&lt;"&amp;N1102,$F$2:$F$1201,"&gt;0")+1)</f>
        <v/>
      </c>
    </row>
    <row r="1103" customFormat="false" ht="15" hidden="false" customHeight="false" outlineLevel="0" collapsed="false">
      <c r="A1103" s="11" t="str">
        <f aca="false">IF(_LEITURA!$N1103="","",INDEX(_LEITURA!$K$2:$K$1201,_LEITURA!$N1103))</f>
        <v/>
      </c>
      <c r="B1103" s="11" t="str">
        <f aca="false">IF(_LEITURA!$N1103="","",INDEX(_LEITURA!$E$2:$E$1201,_LEITURA!$N1103))</f>
        <v/>
      </c>
      <c r="C1103" s="11" t="str">
        <f aca="false">IF(_LEITURA!$N1103="","",INDEX(_LEITURA!$J$2:$J$1201,_LEITURA!$N1103))</f>
        <v/>
      </c>
      <c r="D1103" s="16" t="str">
        <f aca="false">IF(_LEITURA!$N1103="","",INDEX(_LEITURA!$G$2:$G$1201,_LEITURA!$N1103))</f>
        <v/>
      </c>
      <c r="E1103" s="16" t="str">
        <f aca="false">IF(B1103="","",SUMIFS(INVENTÁRIO!$C$2:$C$801,INVENTÁRIO!$A$2:$A$801,B1103))</f>
        <v/>
      </c>
      <c r="F1103" s="16" t="str">
        <f aca="false">IF(B1103="","",MAX(0,D1103-E1103))</f>
        <v/>
      </c>
      <c r="G1103" s="16" t="str">
        <f aca="false">IF(B1103="","",IF(COUNTIFS($B$2:$B$1201,B1103,$A$2:$A$1201,"&lt;&gt;"&amp;A1103)&gt;0,"Sim",""))</f>
        <v/>
      </c>
      <c r="H1103" s="16" t="str">
        <f aca="false">IF(N(F1103)&gt;0,MAX(H$1:H1102)+1,"")</f>
        <v/>
      </c>
      <c r="I1103" s="11" t="str">
        <f aca="false">IF(B1103="","",IF(INDEX($C$2:$C$1201,MATCH(B1103,$B$2:$B$1201,0))&lt;&gt;C1103,"Nome diferente em outro deck — revisar",""))</f>
        <v/>
      </c>
      <c r="J1103" s="16" t="str">
        <f aca="false">IF(AND(B1103&lt;&gt;"",A1103=BULK!$A$1,N(F1103)&gt;0),MAX(J$1:J1102)+1,"")</f>
        <v/>
      </c>
      <c r="K1103" s="11" t="str">
        <f aca="false">IF(B1103="","",IFERROR(LEFT(B1103,FIND("-",B1103)-1),B1103))</f>
        <v/>
      </c>
      <c r="L1103" s="11" t="str">
        <f aca="false">IF(K1103="","",IF(ISNUMBER(--MID(K1103,1,1)),0,IF(ISNUMBER(--MID(K1103,2,1)),1,IF(ISNUMBER(--MID(K1103,3,1)),2,IF(ISNUMBER(--MID(K1103,4,1)),3,MIN(LEN(K1103),4))))))</f>
        <v/>
      </c>
      <c r="M1103" s="11" t="str">
        <f aca="false">IF(B1103="","",LEFT(K1103,L1103)&amp;REPT("0",4-L1103)&amp;RIGHT("000"&amp;IFERROR(VALUE(MID(K1103,L1103+1,9)),0),3)&amp;RIGHT("0000"&amp;IFERROR(VALUE(MID(B1103,FIND("-",B1103)+1,9)),0),4))</f>
        <v/>
      </c>
      <c r="N1103" s="11" t="str">
        <f aca="false">IF(OR(B1103="",N(F1103)&lt;=0),"",IF('FALTAS POR DECK'!$P$1="Código","K"&amp;M1103&amp;RIGHT("00000"&amp;ROW(),5),IF('FALTAS POR DECK'!$P$1="Nome","K"&amp;UPPER(SUBSTITUTE(SUBSTITUTE(SUBSTITUTE(C1103,"*",""),"?",""),"~",""))&amp;"0"&amp;M1103&amp;RIGHT("00000"&amp;ROW(),5),IF('FALTAS POR DECK'!$P$1="Falta (maior primeiro)","K"&amp;RIGHT("0000"&amp;(9999-F1103),4)&amp;M1103&amp;RIGHT("00000"&amp;ROW(),5),IF('FALTAS POR DECK'!$P$1="Deck e código","K"&amp;RIGHT("00"&amp;IFERROR(MATCH(A1103,_LEITURA!$P$2:$P$21,0),99),2)&amp;M1103&amp;RIGHT("00000"&amp;ROW(),5),"K"&amp;RIGHT("00000"&amp;ROW(),5))))))</f>
        <v/>
      </c>
      <c r="O1103" s="16" t="str">
        <f aca="false">IF(N1103="","",COUNTIFS($N$2:$N$1201,"&lt;"&amp;N1103,$F$2:$F$1201,"&gt;0")+1)</f>
        <v/>
      </c>
    </row>
    <row r="1104" customFormat="false" ht="15" hidden="false" customHeight="false" outlineLevel="0" collapsed="false">
      <c r="A1104" s="11" t="str">
        <f aca="false">IF(_LEITURA!$N1104="","",INDEX(_LEITURA!$K$2:$K$1201,_LEITURA!$N1104))</f>
        <v/>
      </c>
      <c r="B1104" s="11" t="str">
        <f aca="false">IF(_LEITURA!$N1104="","",INDEX(_LEITURA!$E$2:$E$1201,_LEITURA!$N1104))</f>
        <v/>
      </c>
      <c r="C1104" s="11" t="str">
        <f aca="false">IF(_LEITURA!$N1104="","",INDEX(_LEITURA!$J$2:$J$1201,_LEITURA!$N1104))</f>
        <v/>
      </c>
      <c r="D1104" s="16" t="str">
        <f aca="false">IF(_LEITURA!$N1104="","",INDEX(_LEITURA!$G$2:$G$1201,_LEITURA!$N1104))</f>
        <v/>
      </c>
      <c r="E1104" s="16" t="str">
        <f aca="false">IF(B1104="","",SUMIFS(INVENTÁRIO!$C$2:$C$801,INVENTÁRIO!$A$2:$A$801,B1104))</f>
        <v/>
      </c>
      <c r="F1104" s="16" t="str">
        <f aca="false">IF(B1104="","",MAX(0,D1104-E1104))</f>
        <v/>
      </c>
      <c r="G1104" s="16" t="str">
        <f aca="false">IF(B1104="","",IF(COUNTIFS($B$2:$B$1201,B1104,$A$2:$A$1201,"&lt;&gt;"&amp;A1104)&gt;0,"Sim",""))</f>
        <v/>
      </c>
      <c r="H1104" s="16" t="str">
        <f aca="false">IF(N(F1104)&gt;0,MAX(H$1:H1103)+1,"")</f>
        <v/>
      </c>
      <c r="I1104" s="11" t="str">
        <f aca="false">IF(B1104="","",IF(INDEX($C$2:$C$1201,MATCH(B1104,$B$2:$B$1201,0))&lt;&gt;C1104,"Nome diferente em outro deck — revisar",""))</f>
        <v/>
      </c>
      <c r="J1104" s="16" t="str">
        <f aca="false">IF(AND(B1104&lt;&gt;"",A1104=BULK!$A$1,N(F1104)&gt;0),MAX(J$1:J1103)+1,"")</f>
        <v/>
      </c>
      <c r="K1104" s="11" t="str">
        <f aca="false">IF(B1104="","",IFERROR(LEFT(B1104,FIND("-",B1104)-1),B1104))</f>
        <v/>
      </c>
      <c r="L1104" s="11" t="str">
        <f aca="false">IF(K1104="","",IF(ISNUMBER(--MID(K1104,1,1)),0,IF(ISNUMBER(--MID(K1104,2,1)),1,IF(ISNUMBER(--MID(K1104,3,1)),2,IF(ISNUMBER(--MID(K1104,4,1)),3,MIN(LEN(K1104),4))))))</f>
        <v/>
      </c>
      <c r="M1104" s="11" t="str">
        <f aca="false">IF(B1104="","",LEFT(K1104,L1104)&amp;REPT("0",4-L1104)&amp;RIGHT("000"&amp;IFERROR(VALUE(MID(K1104,L1104+1,9)),0),3)&amp;RIGHT("0000"&amp;IFERROR(VALUE(MID(B1104,FIND("-",B1104)+1,9)),0),4))</f>
        <v/>
      </c>
      <c r="N1104" s="11" t="str">
        <f aca="false">IF(OR(B1104="",N(F1104)&lt;=0),"",IF('FALTAS POR DECK'!$P$1="Código","K"&amp;M1104&amp;RIGHT("00000"&amp;ROW(),5),IF('FALTAS POR DECK'!$P$1="Nome","K"&amp;UPPER(SUBSTITUTE(SUBSTITUTE(SUBSTITUTE(C1104,"*",""),"?",""),"~",""))&amp;"0"&amp;M1104&amp;RIGHT("00000"&amp;ROW(),5),IF('FALTAS POR DECK'!$P$1="Falta (maior primeiro)","K"&amp;RIGHT("0000"&amp;(9999-F1104),4)&amp;M1104&amp;RIGHT("00000"&amp;ROW(),5),IF('FALTAS POR DECK'!$P$1="Deck e código","K"&amp;RIGHT("00"&amp;IFERROR(MATCH(A1104,_LEITURA!$P$2:$P$21,0),99),2)&amp;M1104&amp;RIGHT("00000"&amp;ROW(),5),"K"&amp;RIGHT("00000"&amp;ROW(),5))))))</f>
        <v/>
      </c>
      <c r="O1104" s="16" t="str">
        <f aca="false">IF(N1104="","",COUNTIFS($N$2:$N$1201,"&lt;"&amp;N1104,$F$2:$F$1201,"&gt;0")+1)</f>
        <v/>
      </c>
    </row>
    <row r="1105" customFormat="false" ht="15" hidden="false" customHeight="false" outlineLevel="0" collapsed="false">
      <c r="A1105" s="11" t="str">
        <f aca="false">IF(_LEITURA!$N1105="","",INDEX(_LEITURA!$K$2:$K$1201,_LEITURA!$N1105))</f>
        <v/>
      </c>
      <c r="B1105" s="11" t="str">
        <f aca="false">IF(_LEITURA!$N1105="","",INDEX(_LEITURA!$E$2:$E$1201,_LEITURA!$N1105))</f>
        <v/>
      </c>
      <c r="C1105" s="11" t="str">
        <f aca="false">IF(_LEITURA!$N1105="","",INDEX(_LEITURA!$J$2:$J$1201,_LEITURA!$N1105))</f>
        <v/>
      </c>
      <c r="D1105" s="16" t="str">
        <f aca="false">IF(_LEITURA!$N1105="","",INDEX(_LEITURA!$G$2:$G$1201,_LEITURA!$N1105))</f>
        <v/>
      </c>
      <c r="E1105" s="16" t="str">
        <f aca="false">IF(B1105="","",SUMIFS(INVENTÁRIO!$C$2:$C$801,INVENTÁRIO!$A$2:$A$801,B1105))</f>
        <v/>
      </c>
      <c r="F1105" s="16" t="str">
        <f aca="false">IF(B1105="","",MAX(0,D1105-E1105))</f>
        <v/>
      </c>
      <c r="G1105" s="16" t="str">
        <f aca="false">IF(B1105="","",IF(COUNTIFS($B$2:$B$1201,B1105,$A$2:$A$1201,"&lt;&gt;"&amp;A1105)&gt;0,"Sim",""))</f>
        <v/>
      </c>
      <c r="H1105" s="16" t="str">
        <f aca="false">IF(N(F1105)&gt;0,MAX(H$1:H1104)+1,"")</f>
        <v/>
      </c>
      <c r="I1105" s="11" t="str">
        <f aca="false">IF(B1105="","",IF(INDEX($C$2:$C$1201,MATCH(B1105,$B$2:$B$1201,0))&lt;&gt;C1105,"Nome diferente em outro deck — revisar",""))</f>
        <v/>
      </c>
      <c r="J1105" s="16" t="str">
        <f aca="false">IF(AND(B1105&lt;&gt;"",A1105=BULK!$A$1,N(F1105)&gt;0),MAX(J$1:J1104)+1,"")</f>
        <v/>
      </c>
      <c r="K1105" s="11" t="str">
        <f aca="false">IF(B1105="","",IFERROR(LEFT(B1105,FIND("-",B1105)-1),B1105))</f>
        <v/>
      </c>
      <c r="L1105" s="11" t="str">
        <f aca="false">IF(K1105="","",IF(ISNUMBER(--MID(K1105,1,1)),0,IF(ISNUMBER(--MID(K1105,2,1)),1,IF(ISNUMBER(--MID(K1105,3,1)),2,IF(ISNUMBER(--MID(K1105,4,1)),3,MIN(LEN(K1105),4))))))</f>
        <v/>
      </c>
      <c r="M1105" s="11" t="str">
        <f aca="false">IF(B1105="","",LEFT(K1105,L1105)&amp;REPT("0",4-L1105)&amp;RIGHT("000"&amp;IFERROR(VALUE(MID(K1105,L1105+1,9)),0),3)&amp;RIGHT("0000"&amp;IFERROR(VALUE(MID(B1105,FIND("-",B1105)+1,9)),0),4))</f>
        <v/>
      </c>
      <c r="N1105" s="11" t="str">
        <f aca="false">IF(OR(B1105="",N(F1105)&lt;=0),"",IF('FALTAS POR DECK'!$P$1="Código","K"&amp;M1105&amp;RIGHT("00000"&amp;ROW(),5),IF('FALTAS POR DECK'!$P$1="Nome","K"&amp;UPPER(SUBSTITUTE(SUBSTITUTE(SUBSTITUTE(C1105,"*",""),"?",""),"~",""))&amp;"0"&amp;M1105&amp;RIGHT("00000"&amp;ROW(),5),IF('FALTAS POR DECK'!$P$1="Falta (maior primeiro)","K"&amp;RIGHT("0000"&amp;(9999-F1105),4)&amp;M1105&amp;RIGHT("00000"&amp;ROW(),5),IF('FALTAS POR DECK'!$P$1="Deck e código","K"&amp;RIGHT("00"&amp;IFERROR(MATCH(A1105,_LEITURA!$P$2:$P$21,0),99),2)&amp;M1105&amp;RIGHT("00000"&amp;ROW(),5),"K"&amp;RIGHT("00000"&amp;ROW(),5))))))</f>
        <v/>
      </c>
      <c r="O1105" s="16" t="str">
        <f aca="false">IF(N1105="","",COUNTIFS($N$2:$N$1201,"&lt;"&amp;N1105,$F$2:$F$1201,"&gt;0")+1)</f>
        <v/>
      </c>
    </row>
    <row r="1106" customFormat="false" ht="15" hidden="false" customHeight="false" outlineLevel="0" collapsed="false">
      <c r="A1106" s="11" t="str">
        <f aca="false">IF(_LEITURA!$N1106="","",INDEX(_LEITURA!$K$2:$K$1201,_LEITURA!$N1106))</f>
        <v/>
      </c>
      <c r="B1106" s="11" t="str">
        <f aca="false">IF(_LEITURA!$N1106="","",INDEX(_LEITURA!$E$2:$E$1201,_LEITURA!$N1106))</f>
        <v/>
      </c>
      <c r="C1106" s="11" t="str">
        <f aca="false">IF(_LEITURA!$N1106="","",INDEX(_LEITURA!$J$2:$J$1201,_LEITURA!$N1106))</f>
        <v/>
      </c>
      <c r="D1106" s="16" t="str">
        <f aca="false">IF(_LEITURA!$N1106="","",INDEX(_LEITURA!$G$2:$G$1201,_LEITURA!$N1106))</f>
        <v/>
      </c>
      <c r="E1106" s="16" t="str">
        <f aca="false">IF(B1106="","",SUMIFS(INVENTÁRIO!$C$2:$C$801,INVENTÁRIO!$A$2:$A$801,B1106))</f>
        <v/>
      </c>
      <c r="F1106" s="16" t="str">
        <f aca="false">IF(B1106="","",MAX(0,D1106-E1106))</f>
        <v/>
      </c>
      <c r="G1106" s="16" t="str">
        <f aca="false">IF(B1106="","",IF(COUNTIFS($B$2:$B$1201,B1106,$A$2:$A$1201,"&lt;&gt;"&amp;A1106)&gt;0,"Sim",""))</f>
        <v/>
      </c>
      <c r="H1106" s="16" t="str">
        <f aca="false">IF(N(F1106)&gt;0,MAX(H$1:H1105)+1,"")</f>
        <v/>
      </c>
      <c r="I1106" s="11" t="str">
        <f aca="false">IF(B1106="","",IF(INDEX($C$2:$C$1201,MATCH(B1106,$B$2:$B$1201,0))&lt;&gt;C1106,"Nome diferente em outro deck — revisar",""))</f>
        <v/>
      </c>
      <c r="J1106" s="16" t="str">
        <f aca="false">IF(AND(B1106&lt;&gt;"",A1106=BULK!$A$1,N(F1106)&gt;0),MAX(J$1:J1105)+1,"")</f>
        <v/>
      </c>
      <c r="K1106" s="11" t="str">
        <f aca="false">IF(B1106="","",IFERROR(LEFT(B1106,FIND("-",B1106)-1),B1106))</f>
        <v/>
      </c>
      <c r="L1106" s="11" t="str">
        <f aca="false">IF(K1106="","",IF(ISNUMBER(--MID(K1106,1,1)),0,IF(ISNUMBER(--MID(K1106,2,1)),1,IF(ISNUMBER(--MID(K1106,3,1)),2,IF(ISNUMBER(--MID(K1106,4,1)),3,MIN(LEN(K1106),4))))))</f>
        <v/>
      </c>
      <c r="M1106" s="11" t="str">
        <f aca="false">IF(B1106="","",LEFT(K1106,L1106)&amp;REPT("0",4-L1106)&amp;RIGHT("000"&amp;IFERROR(VALUE(MID(K1106,L1106+1,9)),0),3)&amp;RIGHT("0000"&amp;IFERROR(VALUE(MID(B1106,FIND("-",B1106)+1,9)),0),4))</f>
        <v/>
      </c>
      <c r="N1106" s="11" t="str">
        <f aca="false">IF(OR(B1106="",N(F1106)&lt;=0),"",IF('FALTAS POR DECK'!$P$1="Código","K"&amp;M1106&amp;RIGHT("00000"&amp;ROW(),5),IF('FALTAS POR DECK'!$P$1="Nome","K"&amp;UPPER(SUBSTITUTE(SUBSTITUTE(SUBSTITUTE(C1106,"*",""),"?",""),"~",""))&amp;"0"&amp;M1106&amp;RIGHT("00000"&amp;ROW(),5),IF('FALTAS POR DECK'!$P$1="Falta (maior primeiro)","K"&amp;RIGHT("0000"&amp;(9999-F1106),4)&amp;M1106&amp;RIGHT("00000"&amp;ROW(),5),IF('FALTAS POR DECK'!$P$1="Deck e código","K"&amp;RIGHT("00"&amp;IFERROR(MATCH(A1106,_LEITURA!$P$2:$P$21,0),99),2)&amp;M1106&amp;RIGHT("00000"&amp;ROW(),5),"K"&amp;RIGHT("00000"&amp;ROW(),5))))))</f>
        <v/>
      </c>
      <c r="O1106" s="16" t="str">
        <f aca="false">IF(N1106="","",COUNTIFS($N$2:$N$1201,"&lt;"&amp;N1106,$F$2:$F$1201,"&gt;0")+1)</f>
        <v/>
      </c>
    </row>
    <row r="1107" customFormat="false" ht="15" hidden="false" customHeight="false" outlineLevel="0" collapsed="false">
      <c r="A1107" s="11" t="str">
        <f aca="false">IF(_LEITURA!$N1107="","",INDEX(_LEITURA!$K$2:$K$1201,_LEITURA!$N1107))</f>
        <v/>
      </c>
      <c r="B1107" s="11" t="str">
        <f aca="false">IF(_LEITURA!$N1107="","",INDEX(_LEITURA!$E$2:$E$1201,_LEITURA!$N1107))</f>
        <v/>
      </c>
      <c r="C1107" s="11" t="str">
        <f aca="false">IF(_LEITURA!$N1107="","",INDEX(_LEITURA!$J$2:$J$1201,_LEITURA!$N1107))</f>
        <v/>
      </c>
      <c r="D1107" s="16" t="str">
        <f aca="false">IF(_LEITURA!$N1107="","",INDEX(_LEITURA!$G$2:$G$1201,_LEITURA!$N1107))</f>
        <v/>
      </c>
      <c r="E1107" s="16" t="str">
        <f aca="false">IF(B1107="","",SUMIFS(INVENTÁRIO!$C$2:$C$801,INVENTÁRIO!$A$2:$A$801,B1107))</f>
        <v/>
      </c>
      <c r="F1107" s="16" t="str">
        <f aca="false">IF(B1107="","",MAX(0,D1107-E1107))</f>
        <v/>
      </c>
      <c r="G1107" s="16" t="str">
        <f aca="false">IF(B1107="","",IF(COUNTIFS($B$2:$B$1201,B1107,$A$2:$A$1201,"&lt;&gt;"&amp;A1107)&gt;0,"Sim",""))</f>
        <v/>
      </c>
      <c r="H1107" s="16" t="str">
        <f aca="false">IF(N(F1107)&gt;0,MAX(H$1:H1106)+1,"")</f>
        <v/>
      </c>
      <c r="I1107" s="11" t="str">
        <f aca="false">IF(B1107="","",IF(INDEX($C$2:$C$1201,MATCH(B1107,$B$2:$B$1201,0))&lt;&gt;C1107,"Nome diferente em outro deck — revisar",""))</f>
        <v/>
      </c>
      <c r="J1107" s="16" t="str">
        <f aca="false">IF(AND(B1107&lt;&gt;"",A1107=BULK!$A$1,N(F1107)&gt;0),MAX(J$1:J1106)+1,"")</f>
        <v/>
      </c>
      <c r="K1107" s="11" t="str">
        <f aca="false">IF(B1107="","",IFERROR(LEFT(B1107,FIND("-",B1107)-1),B1107))</f>
        <v/>
      </c>
      <c r="L1107" s="11" t="str">
        <f aca="false">IF(K1107="","",IF(ISNUMBER(--MID(K1107,1,1)),0,IF(ISNUMBER(--MID(K1107,2,1)),1,IF(ISNUMBER(--MID(K1107,3,1)),2,IF(ISNUMBER(--MID(K1107,4,1)),3,MIN(LEN(K1107),4))))))</f>
        <v/>
      </c>
      <c r="M1107" s="11" t="str">
        <f aca="false">IF(B1107="","",LEFT(K1107,L1107)&amp;REPT("0",4-L1107)&amp;RIGHT("000"&amp;IFERROR(VALUE(MID(K1107,L1107+1,9)),0),3)&amp;RIGHT("0000"&amp;IFERROR(VALUE(MID(B1107,FIND("-",B1107)+1,9)),0),4))</f>
        <v/>
      </c>
      <c r="N1107" s="11" t="str">
        <f aca="false">IF(OR(B1107="",N(F1107)&lt;=0),"",IF('FALTAS POR DECK'!$P$1="Código","K"&amp;M1107&amp;RIGHT("00000"&amp;ROW(),5),IF('FALTAS POR DECK'!$P$1="Nome","K"&amp;UPPER(SUBSTITUTE(SUBSTITUTE(SUBSTITUTE(C1107,"*",""),"?",""),"~",""))&amp;"0"&amp;M1107&amp;RIGHT("00000"&amp;ROW(),5),IF('FALTAS POR DECK'!$P$1="Falta (maior primeiro)","K"&amp;RIGHT("0000"&amp;(9999-F1107),4)&amp;M1107&amp;RIGHT("00000"&amp;ROW(),5),IF('FALTAS POR DECK'!$P$1="Deck e código","K"&amp;RIGHT("00"&amp;IFERROR(MATCH(A1107,_LEITURA!$P$2:$P$21,0),99),2)&amp;M1107&amp;RIGHT("00000"&amp;ROW(),5),"K"&amp;RIGHT("00000"&amp;ROW(),5))))))</f>
        <v/>
      </c>
      <c r="O1107" s="16" t="str">
        <f aca="false">IF(N1107="","",COUNTIFS($N$2:$N$1201,"&lt;"&amp;N1107,$F$2:$F$1201,"&gt;0")+1)</f>
        <v/>
      </c>
    </row>
    <row r="1108" customFormat="false" ht="15" hidden="false" customHeight="false" outlineLevel="0" collapsed="false">
      <c r="A1108" s="11" t="str">
        <f aca="false">IF(_LEITURA!$N1108="","",INDEX(_LEITURA!$K$2:$K$1201,_LEITURA!$N1108))</f>
        <v/>
      </c>
      <c r="B1108" s="11" t="str">
        <f aca="false">IF(_LEITURA!$N1108="","",INDEX(_LEITURA!$E$2:$E$1201,_LEITURA!$N1108))</f>
        <v/>
      </c>
      <c r="C1108" s="11" t="str">
        <f aca="false">IF(_LEITURA!$N1108="","",INDEX(_LEITURA!$J$2:$J$1201,_LEITURA!$N1108))</f>
        <v/>
      </c>
      <c r="D1108" s="16" t="str">
        <f aca="false">IF(_LEITURA!$N1108="","",INDEX(_LEITURA!$G$2:$G$1201,_LEITURA!$N1108))</f>
        <v/>
      </c>
      <c r="E1108" s="16" t="str">
        <f aca="false">IF(B1108="","",SUMIFS(INVENTÁRIO!$C$2:$C$801,INVENTÁRIO!$A$2:$A$801,B1108))</f>
        <v/>
      </c>
      <c r="F1108" s="16" t="str">
        <f aca="false">IF(B1108="","",MAX(0,D1108-E1108))</f>
        <v/>
      </c>
      <c r="G1108" s="16" t="str">
        <f aca="false">IF(B1108="","",IF(COUNTIFS($B$2:$B$1201,B1108,$A$2:$A$1201,"&lt;&gt;"&amp;A1108)&gt;0,"Sim",""))</f>
        <v/>
      </c>
      <c r="H1108" s="16" t="str">
        <f aca="false">IF(N(F1108)&gt;0,MAX(H$1:H1107)+1,"")</f>
        <v/>
      </c>
      <c r="I1108" s="11" t="str">
        <f aca="false">IF(B1108="","",IF(INDEX($C$2:$C$1201,MATCH(B1108,$B$2:$B$1201,0))&lt;&gt;C1108,"Nome diferente em outro deck — revisar",""))</f>
        <v/>
      </c>
      <c r="J1108" s="16" t="str">
        <f aca="false">IF(AND(B1108&lt;&gt;"",A1108=BULK!$A$1,N(F1108)&gt;0),MAX(J$1:J1107)+1,"")</f>
        <v/>
      </c>
      <c r="K1108" s="11" t="str">
        <f aca="false">IF(B1108="","",IFERROR(LEFT(B1108,FIND("-",B1108)-1),B1108))</f>
        <v/>
      </c>
      <c r="L1108" s="11" t="str">
        <f aca="false">IF(K1108="","",IF(ISNUMBER(--MID(K1108,1,1)),0,IF(ISNUMBER(--MID(K1108,2,1)),1,IF(ISNUMBER(--MID(K1108,3,1)),2,IF(ISNUMBER(--MID(K1108,4,1)),3,MIN(LEN(K1108),4))))))</f>
        <v/>
      </c>
      <c r="M1108" s="11" t="str">
        <f aca="false">IF(B1108="","",LEFT(K1108,L1108)&amp;REPT("0",4-L1108)&amp;RIGHT("000"&amp;IFERROR(VALUE(MID(K1108,L1108+1,9)),0),3)&amp;RIGHT("0000"&amp;IFERROR(VALUE(MID(B1108,FIND("-",B1108)+1,9)),0),4))</f>
        <v/>
      </c>
      <c r="N1108" s="11" t="str">
        <f aca="false">IF(OR(B1108="",N(F1108)&lt;=0),"",IF('FALTAS POR DECK'!$P$1="Código","K"&amp;M1108&amp;RIGHT("00000"&amp;ROW(),5),IF('FALTAS POR DECK'!$P$1="Nome","K"&amp;UPPER(SUBSTITUTE(SUBSTITUTE(SUBSTITUTE(C1108,"*",""),"?",""),"~",""))&amp;"0"&amp;M1108&amp;RIGHT("00000"&amp;ROW(),5),IF('FALTAS POR DECK'!$P$1="Falta (maior primeiro)","K"&amp;RIGHT("0000"&amp;(9999-F1108),4)&amp;M1108&amp;RIGHT("00000"&amp;ROW(),5),IF('FALTAS POR DECK'!$P$1="Deck e código","K"&amp;RIGHT("00"&amp;IFERROR(MATCH(A1108,_LEITURA!$P$2:$P$21,0),99),2)&amp;M1108&amp;RIGHT("00000"&amp;ROW(),5),"K"&amp;RIGHT("00000"&amp;ROW(),5))))))</f>
        <v/>
      </c>
      <c r="O1108" s="16" t="str">
        <f aca="false">IF(N1108="","",COUNTIFS($N$2:$N$1201,"&lt;"&amp;N1108,$F$2:$F$1201,"&gt;0")+1)</f>
        <v/>
      </c>
    </row>
    <row r="1109" customFormat="false" ht="15" hidden="false" customHeight="false" outlineLevel="0" collapsed="false">
      <c r="A1109" s="11" t="str">
        <f aca="false">IF(_LEITURA!$N1109="","",INDEX(_LEITURA!$K$2:$K$1201,_LEITURA!$N1109))</f>
        <v/>
      </c>
      <c r="B1109" s="11" t="str">
        <f aca="false">IF(_LEITURA!$N1109="","",INDEX(_LEITURA!$E$2:$E$1201,_LEITURA!$N1109))</f>
        <v/>
      </c>
      <c r="C1109" s="11" t="str">
        <f aca="false">IF(_LEITURA!$N1109="","",INDEX(_LEITURA!$J$2:$J$1201,_LEITURA!$N1109))</f>
        <v/>
      </c>
      <c r="D1109" s="16" t="str">
        <f aca="false">IF(_LEITURA!$N1109="","",INDEX(_LEITURA!$G$2:$G$1201,_LEITURA!$N1109))</f>
        <v/>
      </c>
      <c r="E1109" s="16" t="str">
        <f aca="false">IF(B1109="","",SUMIFS(INVENTÁRIO!$C$2:$C$801,INVENTÁRIO!$A$2:$A$801,B1109))</f>
        <v/>
      </c>
      <c r="F1109" s="16" t="str">
        <f aca="false">IF(B1109="","",MAX(0,D1109-E1109))</f>
        <v/>
      </c>
      <c r="G1109" s="16" t="str">
        <f aca="false">IF(B1109="","",IF(COUNTIFS($B$2:$B$1201,B1109,$A$2:$A$1201,"&lt;&gt;"&amp;A1109)&gt;0,"Sim",""))</f>
        <v/>
      </c>
      <c r="H1109" s="16" t="str">
        <f aca="false">IF(N(F1109)&gt;0,MAX(H$1:H1108)+1,"")</f>
        <v/>
      </c>
      <c r="I1109" s="11" t="str">
        <f aca="false">IF(B1109="","",IF(INDEX($C$2:$C$1201,MATCH(B1109,$B$2:$B$1201,0))&lt;&gt;C1109,"Nome diferente em outro deck — revisar",""))</f>
        <v/>
      </c>
      <c r="J1109" s="16" t="str">
        <f aca="false">IF(AND(B1109&lt;&gt;"",A1109=BULK!$A$1,N(F1109)&gt;0),MAX(J$1:J1108)+1,"")</f>
        <v/>
      </c>
      <c r="K1109" s="11" t="str">
        <f aca="false">IF(B1109="","",IFERROR(LEFT(B1109,FIND("-",B1109)-1),B1109))</f>
        <v/>
      </c>
      <c r="L1109" s="11" t="str">
        <f aca="false">IF(K1109="","",IF(ISNUMBER(--MID(K1109,1,1)),0,IF(ISNUMBER(--MID(K1109,2,1)),1,IF(ISNUMBER(--MID(K1109,3,1)),2,IF(ISNUMBER(--MID(K1109,4,1)),3,MIN(LEN(K1109),4))))))</f>
        <v/>
      </c>
      <c r="M1109" s="11" t="str">
        <f aca="false">IF(B1109="","",LEFT(K1109,L1109)&amp;REPT("0",4-L1109)&amp;RIGHT("000"&amp;IFERROR(VALUE(MID(K1109,L1109+1,9)),0),3)&amp;RIGHT("0000"&amp;IFERROR(VALUE(MID(B1109,FIND("-",B1109)+1,9)),0),4))</f>
        <v/>
      </c>
      <c r="N1109" s="11" t="str">
        <f aca="false">IF(OR(B1109="",N(F1109)&lt;=0),"",IF('FALTAS POR DECK'!$P$1="Código","K"&amp;M1109&amp;RIGHT("00000"&amp;ROW(),5),IF('FALTAS POR DECK'!$P$1="Nome","K"&amp;UPPER(SUBSTITUTE(SUBSTITUTE(SUBSTITUTE(C1109,"*",""),"?",""),"~",""))&amp;"0"&amp;M1109&amp;RIGHT("00000"&amp;ROW(),5),IF('FALTAS POR DECK'!$P$1="Falta (maior primeiro)","K"&amp;RIGHT("0000"&amp;(9999-F1109),4)&amp;M1109&amp;RIGHT("00000"&amp;ROW(),5),IF('FALTAS POR DECK'!$P$1="Deck e código","K"&amp;RIGHT("00"&amp;IFERROR(MATCH(A1109,_LEITURA!$P$2:$P$21,0),99),2)&amp;M1109&amp;RIGHT("00000"&amp;ROW(),5),"K"&amp;RIGHT("00000"&amp;ROW(),5))))))</f>
        <v/>
      </c>
      <c r="O1109" s="16" t="str">
        <f aca="false">IF(N1109="","",COUNTIFS($N$2:$N$1201,"&lt;"&amp;N1109,$F$2:$F$1201,"&gt;0")+1)</f>
        <v/>
      </c>
    </row>
    <row r="1110" customFormat="false" ht="15" hidden="false" customHeight="false" outlineLevel="0" collapsed="false">
      <c r="A1110" s="11" t="str">
        <f aca="false">IF(_LEITURA!$N1110="","",INDEX(_LEITURA!$K$2:$K$1201,_LEITURA!$N1110))</f>
        <v/>
      </c>
      <c r="B1110" s="11" t="str">
        <f aca="false">IF(_LEITURA!$N1110="","",INDEX(_LEITURA!$E$2:$E$1201,_LEITURA!$N1110))</f>
        <v/>
      </c>
      <c r="C1110" s="11" t="str">
        <f aca="false">IF(_LEITURA!$N1110="","",INDEX(_LEITURA!$J$2:$J$1201,_LEITURA!$N1110))</f>
        <v/>
      </c>
      <c r="D1110" s="16" t="str">
        <f aca="false">IF(_LEITURA!$N1110="","",INDEX(_LEITURA!$G$2:$G$1201,_LEITURA!$N1110))</f>
        <v/>
      </c>
      <c r="E1110" s="16" t="str">
        <f aca="false">IF(B1110="","",SUMIFS(INVENTÁRIO!$C$2:$C$801,INVENTÁRIO!$A$2:$A$801,B1110))</f>
        <v/>
      </c>
      <c r="F1110" s="16" t="str">
        <f aca="false">IF(B1110="","",MAX(0,D1110-E1110))</f>
        <v/>
      </c>
      <c r="G1110" s="16" t="str">
        <f aca="false">IF(B1110="","",IF(COUNTIFS($B$2:$B$1201,B1110,$A$2:$A$1201,"&lt;&gt;"&amp;A1110)&gt;0,"Sim",""))</f>
        <v/>
      </c>
      <c r="H1110" s="16" t="str">
        <f aca="false">IF(N(F1110)&gt;0,MAX(H$1:H1109)+1,"")</f>
        <v/>
      </c>
      <c r="I1110" s="11" t="str">
        <f aca="false">IF(B1110="","",IF(INDEX($C$2:$C$1201,MATCH(B1110,$B$2:$B$1201,0))&lt;&gt;C1110,"Nome diferente em outro deck — revisar",""))</f>
        <v/>
      </c>
      <c r="J1110" s="16" t="str">
        <f aca="false">IF(AND(B1110&lt;&gt;"",A1110=BULK!$A$1,N(F1110)&gt;0),MAX(J$1:J1109)+1,"")</f>
        <v/>
      </c>
      <c r="K1110" s="11" t="str">
        <f aca="false">IF(B1110="","",IFERROR(LEFT(B1110,FIND("-",B1110)-1),B1110))</f>
        <v/>
      </c>
      <c r="L1110" s="11" t="str">
        <f aca="false">IF(K1110="","",IF(ISNUMBER(--MID(K1110,1,1)),0,IF(ISNUMBER(--MID(K1110,2,1)),1,IF(ISNUMBER(--MID(K1110,3,1)),2,IF(ISNUMBER(--MID(K1110,4,1)),3,MIN(LEN(K1110),4))))))</f>
        <v/>
      </c>
      <c r="M1110" s="11" t="str">
        <f aca="false">IF(B1110="","",LEFT(K1110,L1110)&amp;REPT("0",4-L1110)&amp;RIGHT("000"&amp;IFERROR(VALUE(MID(K1110,L1110+1,9)),0),3)&amp;RIGHT("0000"&amp;IFERROR(VALUE(MID(B1110,FIND("-",B1110)+1,9)),0),4))</f>
        <v/>
      </c>
      <c r="N1110" s="11" t="str">
        <f aca="false">IF(OR(B1110="",N(F1110)&lt;=0),"",IF('FALTAS POR DECK'!$P$1="Código","K"&amp;M1110&amp;RIGHT("00000"&amp;ROW(),5),IF('FALTAS POR DECK'!$P$1="Nome","K"&amp;UPPER(SUBSTITUTE(SUBSTITUTE(SUBSTITUTE(C1110,"*",""),"?",""),"~",""))&amp;"0"&amp;M1110&amp;RIGHT("00000"&amp;ROW(),5),IF('FALTAS POR DECK'!$P$1="Falta (maior primeiro)","K"&amp;RIGHT("0000"&amp;(9999-F1110),4)&amp;M1110&amp;RIGHT("00000"&amp;ROW(),5),IF('FALTAS POR DECK'!$P$1="Deck e código","K"&amp;RIGHT("00"&amp;IFERROR(MATCH(A1110,_LEITURA!$P$2:$P$21,0),99),2)&amp;M1110&amp;RIGHT("00000"&amp;ROW(),5),"K"&amp;RIGHT("00000"&amp;ROW(),5))))))</f>
        <v/>
      </c>
      <c r="O1110" s="16" t="str">
        <f aca="false">IF(N1110="","",COUNTIFS($N$2:$N$1201,"&lt;"&amp;N1110,$F$2:$F$1201,"&gt;0")+1)</f>
        <v/>
      </c>
    </row>
    <row r="1111" customFormat="false" ht="15" hidden="false" customHeight="false" outlineLevel="0" collapsed="false">
      <c r="A1111" s="11" t="str">
        <f aca="false">IF(_LEITURA!$N1111="","",INDEX(_LEITURA!$K$2:$K$1201,_LEITURA!$N1111))</f>
        <v/>
      </c>
      <c r="B1111" s="11" t="str">
        <f aca="false">IF(_LEITURA!$N1111="","",INDEX(_LEITURA!$E$2:$E$1201,_LEITURA!$N1111))</f>
        <v/>
      </c>
      <c r="C1111" s="11" t="str">
        <f aca="false">IF(_LEITURA!$N1111="","",INDEX(_LEITURA!$J$2:$J$1201,_LEITURA!$N1111))</f>
        <v/>
      </c>
      <c r="D1111" s="16" t="str">
        <f aca="false">IF(_LEITURA!$N1111="","",INDEX(_LEITURA!$G$2:$G$1201,_LEITURA!$N1111))</f>
        <v/>
      </c>
      <c r="E1111" s="16" t="str">
        <f aca="false">IF(B1111="","",SUMIFS(INVENTÁRIO!$C$2:$C$801,INVENTÁRIO!$A$2:$A$801,B1111))</f>
        <v/>
      </c>
      <c r="F1111" s="16" t="str">
        <f aca="false">IF(B1111="","",MAX(0,D1111-E1111))</f>
        <v/>
      </c>
      <c r="G1111" s="16" t="str">
        <f aca="false">IF(B1111="","",IF(COUNTIFS($B$2:$B$1201,B1111,$A$2:$A$1201,"&lt;&gt;"&amp;A1111)&gt;0,"Sim",""))</f>
        <v/>
      </c>
      <c r="H1111" s="16" t="str">
        <f aca="false">IF(N(F1111)&gt;0,MAX(H$1:H1110)+1,"")</f>
        <v/>
      </c>
      <c r="I1111" s="11" t="str">
        <f aca="false">IF(B1111="","",IF(INDEX($C$2:$C$1201,MATCH(B1111,$B$2:$B$1201,0))&lt;&gt;C1111,"Nome diferente em outro deck — revisar",""))</f>
        <v/>
      </c>
      <c r="J1111" s="16" t="str">
        <f aca="false">IF(AND(B1111&lt;&gt;"",A1111=BULK!$A$1,N(F1111)&gt;0),MAX(J$1:J1110)+1,"")</f>
        <v/>
      </c>
      <c r="K1111" s="11" t="str">
        <f aca="false">IF(B1111="","",IFERROR(LEFT(B1111,FIND("-",B1111)-1),B1111))</f>
        <v/>
      </c>
      <c r="L1111" s="11" t="str">
        <f aca="false">IF(K1111="","",IF(ISNUMBER(--MID(K1111,1,1)),0,IF(ISNUMBER(--MID(K1111,2,1)),1,IF(ISNUMBER(--MID(K1111,3,1)),2,IF(ISNUMBER(--MID(K1111,4,1)),3,MIN(LEN(K1111),4))))))</f>
        <v/>
      </c>
      <c r="M1111" s="11" t="str">
        <f aca="false">IF(B1111="","",LEFT(K1111,L1111)&amp;REPT("0",4-L1111)&amp;RIGHT("000"&amp;IFERROR(VALUE(MID(K1111,L1111+1,9)),0),3)&amp;RIGHT("0000"&amp;IFERROR(VALUE(MID(B1111,FIND("-",B1111)+1,9)),0),4))</f>
        <v/>
      </c>
      <c r="N1111" s="11" t="str">
        <f aca="false">IF(OR(B1111="",N(F1111)&lt;=0),"",IF('FALTAS POR DECK'!$P$1="Código","K"&amp;M1111&amp;RIGHT("00000"&amp;ROW(),5),IF('FALTAS POR DECK'!$P$1="Nome","K"&amp;UPPER(SUBSTITUTE(SUBSTITUTE(SUBSTITUTE(C1111,"*",""),"?",""),"~",""))&amp;"0"&amp;M1111&amp;RIGHT("00000"&amp;ROW(),5),IF('FALTAS POR DECK'!$P$1="Falta (maior primeiro)","K"&amp;RIGHT("0000"&amp;(9999-F1111),4)&amp;M1111&amp;RIGHT("00000"&amp;ROW(),5),IF('FALTAS POR DECK'!$P$1="Deck e código","K"&amp;RIGHT("00"&amp;IFERROR(MATCH(A1111,_LEITURA!$P$2:$P$21,0),99),2)&amp;M1111&amp;RIGHT("00000"&amp;ROW(),5),"K"&amp;RIGHT("00000"&amp;ROW(),5))))))</f>
        <v/>
      </c>
      <c r="O1111" s="16" t="str">
        <f aca="false">IF(N1111="","",COUNTIFS($N$2:$N$1201,"&lt;"&amp;N1111,$F$2:$F$1201,"&gt;0")+1)</f>
        <v/>
      </c>
    </row>
    <row r="1112" customFormat="false" ht="15" hidden="false" customHeight="false" outlineLevel="0" collapsed="false">
      <c r="A1112" s="11" t="str">
        <f aca="false">IF(_LEITURA!$N1112="","",INDEX(_LEITURA!$K$2:$K$1201,_LEITURA!$N1112))</f>
        <v/>
      </c>
      <c r="B1112" s="11" t="str">
        <f aca="false">IF(_LEITURA!$N1112="","",INDEX(_LEITURA!$E$2:$E$1201,_LEITURA!$N1112))</f>
        <v/>
      </c>
      <c r="C1112" s="11" t="str">
        <f aca="false">IF(_LEITURA!$N1112="","",INDEX(_LEITURA!$J$2:$J$1201,_LEITURA!$N1112))</f>
        <v/>
      </c>
      <c r="D1112" s="16" t="str">
        <f aca="false">IF(_LEITURA!$N1112="","",INDEX(_LEITURA!$G$2:$G$1201,_LEITURA!$N1112))</f>
        <v/>
      </c>
      <c r="E1112" s="16" t="str">
        <f aca="false">IF(B1112="","",SUMIFS(INVENTÁRIO!$C$2:$C$801,INVENTÁRIO!$A$2:$A$801,B1112))</f>
        <v/>
      </c>
      <c r="F1112" s="16" t="str">
        <f aca="false">IF(B1112="","",MAX(0,D1112-E1112))</f>
        <v/>
      </c>
      <c r="G1112" s="16" t="str">
        <f aca="false">IF(B1112="","",IF(COUNTIFS($B$2:$B$1201,B1112,$A$2:$A$1201,"&lt;&gt;"&amp;A1112)&gt;0,"Sim",""))</f>
        <v/>
      </c>
      <c r="H1112" s="16" t="str">
        <f aca="false">IF(N(F1112)&gt;0,MAX(H$1:H1111)+1,"")</f>
        <v/>
      </c>
      <c r="I1112" s="11" t="str">
        <f aca="false">IF(B1112="","",IF(INDEX($C$2:$C$1201,MATCH(B1112,$B$2:$B$1201,0))&lt;&gt;C1112,"Nome diferente em outro deck — revisar",""))</f>
        <v/>
      </c>
      <c r="J1112" s="16" t="str">
        <f aca="false">IF(AND(B1112&lt;&gt;"",A1112=BULK!$A$1,N(F1112)&gt;0),MAX(J$1:J1111)+1,"")</f>
        <v/>
      </c>
      <c r="K1112" s="11" t="str">
        <f aca="false">IF(B1112="","",IFERROR(LEFT(B1112,FIND("-",B1112)-1),B1112))</f>
        <v/>
      </c>
      <c r="L1112" s="11" t="str">
        <f aca="false">IF(K1112="","",IF(ISNUMBER(--MID(K1112,1,1)),0,IF(ISNUMBER(--MID(K1112,2,1)),1,IF(ISNUMBER(--MID(K1112,3,1)),2,IF(ISNUMBER(--MID(K1112,4,1)),3,MIN(LEN(K1112),4))))))</f>
        <v/>
      </c>
      <c r="M1112" s="11" t="str">
        <f aca="false">IF(B1112="","",LEFT(K1112,L1112)&amp;REPT("0",4-L1112)&amp;RIGHT("000"&amp;IFERROR(VALUE(MID(K1112,L1112+1,9)),0),3)&amp;RIGHT("0000"&amp;IFERROR(VALUE(MID(B1112,FIND("-",B1112)+1,9)),0),4))</f>
        <v/>
      </c>
      <c r="N1112" s="11" t="str">
        <f aca="false">IF(OR(B1112="",N(F1112)&lt;=0),"",IF('FALTAS POR DECK'!$P$1="Código","K"&amp;M1112&amp;RIGHT("00000"&amp;ROW(),5),IF('FALTAS POR DECK'!$P$1="Nome","K"&amp;UPPER(SUBSTITUTE(SUBSTITUTE(SUBSTITUTE(C1112,"*",""),"?",""),"~",""))&amp;"0"&amp;M1112&amp;RIGHT("00000"&amp;ROW(),5),IF('FALTAS POR DECK'!$P$1="Falta (maior primeiro)","K"&amp;RIGHT("0000"&amp;(9999-F1112),4)&amp;M1112&amp;RIGHT("00000"&amp;ROW(),5),IF('FALTAS POR DECK'!$P$1="Deck e código","K"&amp;RIGHT("00"&amp;IFERROR(MATCH(A1112,_LEITURA!$P$2:$P$21,0),99),2)&amp;M1112&amp;RIGHT("00000"&amp;ROW(),5),"K"&amp;RIGHT("00000"&amp;ROW(),5))))))</f>
        <v/>
      </c>
      <c r="O1112" s="16" t="str">
        <f aca="false">IF(N1112="","",COUNTIFS($N$2:$N$1201,"&lt;"&amp;N1112,$F$2:$F$1201,"&gt;0")+1)</f>
        <v/>
      </c>
    </row>
    <row r="1113" customFormat="false" ht="15" hidden="false" customHeight="false" outlineLevel="0" collapsed="false">
      <c r="A1113" s="11" t="str">
        <f aca="false">IF(_LEITURA!$N1113="","",INDEX(_LEITURA!$K$2:$K$1201,_LEITURA!$N1113))</f>
        <v/>
      </c>
      <c r="B1113" s="11" t="str">
        <f aca="false">IF(_LEITURA!$N1113="","",INDEX(_LEITURA!$E$2:$E$1201,_LEITURA!$N1113))</f>
        <v/>
      </c>
      <c r="C1113" s="11" t="str">
        <f aca="false">IF(_LEITURA!$N1113="","",INDEX(_LEITURA!$J$2:$J$1201,_LEITURA!$N1113))</f>
        <v/>
      </c>
      <c r="D1113" s="16" t="str">
        <f aca="false">IF(_LEITURA!$N1113="","",INDEX(_LEITURA!$G$2:$G$1201,_LEITURA!$N1113))</f>
        <v/>
      </c>
      <c r="E1113" s="16" t="str">
        <f aca="false">IF(B1113="","",SUMIFS(INVENTÁRIO!$C$2:$C$801,INVENTÁRIO!$A$2:$A$801,B1113))</f>
        <v/>
      </c>
      <c r="F1113" s="16" t="str">
        <f aca="false">IF(B1113="","",MAX(0,D1113-E1113))</f>
        <v/>
      </c>
      <c r="G1113" s="16" t="str">
        <f aca="false">IF(B1113="","",IF(COUNTIFS($B$2:$B$1201,B1113,$A$2:$A$1201,"&lt;&gt;"&amp;A1113)&gt;0,"Sim",""))</f>
        <v/>
      </c>
      <c r="H1113" s="16" t="str">
        <f aca="false">IF(N(F1113)&gt;0,MAX(H$1:H1112)+1,"")</f>
        <v/>
      </c>
      <c r="I1113" s="11" t="str">
        <f aca="false">IF(B1113="","",IF(INDEX($C$2:$C$1201,MATCH(B1113,$B$2:$B$1201,0))&lt;&gt;C1113,"Nome diferente em outro deck — revisar",""))</f>
        <v/>
      </c>
      <c r="J1113" s="16" t="str">
        <f aca="false">IF(AND(B1113&lt;&gt;"",A1113=BULK!$A$1,N(F1113)&gt;0),MAX(J$1:J1112)+1,"")</f>
        <v/>
      </c>
      <c r="K1113" s="11" t="str">
        <f aca="false">IF(B1113="","",IFERROR(LEFT(B1113,FIND("-",B1113)-1),B1113))</f>
        <v/>
      </c>
      <c r="L1113" s="11" t="str">
        <f aca="false">IF(K1113="","",IF(ISNUMBER(--MID(K1113,1,1)),0,IF(ISNUMBER(--MID(K1113,2,1)),1,IF(ISNUMBER(--MID(K1113,3,1)),2,IF(ISNUMBER(--MID(K1113,4,1)),3,MIN(LEN(K1113),4))))))</f>
        <v/>
      </c>
      <c r="M1113" s="11" t="str">
        <f aca="false">IF(B1113="","",LEFT(K1113,L1113)&amp;REPT("0",4-L1113)&amp;RIGHT("000"&amp;IFERROR(VALUE(MID(K1113,L1113+1,9)),0),3)&amp;RIGHT("0000"&amp;IFERROR(VALUE(MID(B1113,FIND("-",B1113)+1,9)),0),4))</f>
        <v/>
      </c>
      <c r="N1113" s="11" t="str">
        <f aca="false">IF(OR(B1113="",N(F1113)&lt;=0),"",IF('FALTAS POR DECK'!$P$1="Código","K"&amp;M1113&amp;RIGHT("00000"&amp;ROW(),5),IF('FALTAS POR DECK'!$P$1="Nome","K"&amp;UPPER(SUBSTITUTE(SUBSTITUTE(SUBSTITUTE(C1113,"*",""),"?",""),"~",""))&amp;"0"&amp;M1113&amp;RIGHT("00000"&amp;ROW(),5),IF('FALTAS POR DECK'!$P$1="Falta (maior primeiro)","K"&amp;RIGHT("0000"&amp;(9999-F1113),4)&amp;M1113&amp;RIGHT("00000"&amp;ROW(),5),IF('FALTAS POR DECK'!$P$1="Deck e código","K"&amp;RIGHT("00"&amp;IFERROR(MATCH(A1113,_LEITURA!$P$2:$P$21,0),99),2)&amp;M1113&amp;RIGHT("00000"&amp;ROW(),5),"K"&amp;RIGHT("00000"&amp;ROW(),5))))))</f>
        <v/>
      </c>
      <c r="O1113" s="16" t="str">
        <f aca="false">IF(N1113="","",COUNTIFS($N$2:$N$1201,"&lt;"&amp;N1113,$F$2:$F$1201,"&gt;0")+1)</f>
        <v/>
      </c>
    </row>
    <row r="1114" customFormat="false" ht="15" hidden="false" customHeight="false" outlineLevel="0" collapsed="false">
      <c r="A1114" s="11" t="str">
        <f aca="false">IF(_LEITURA!$N1114="","",INDEX(_LEITURA!$K$2:$K$1201,_LEITURA!$N1114))</f>
        <v/>
      </c>
      <c r="B1114" s="11" t="str">
        <f aca="false">IF(_LEITURA!$N1114="","",INDEX(_LEITURA!$E$2:$E$1201,_LEITURA!$N1114))</f>
        <v/>
      </c>
      <c r="C1114" s="11" t="str">
        <f aca="false">IF(_LEITURA!$N1114="","",INDEX(_LEITURA!$J$2:$J$1201,_LEITURA!$N1114))</f>
        <v/>
      </c>
      <c r="D1114" s="16" t="str">
        <f aca="false">IF(_LEITURA!$N1114="","",INDEX(_LEITURA!$G$2:$G$1201,_LEITURA!$N1114))</f>
        <v/>
      </c>
      <c r="E1114" s="16" t="str">
        <f aca="false">IF(B1114="","",SUMIFS(INVENTÁRIO!$C$2:$C$801,INVENTÁRIO!$A$2:$A$801,B1114))</f>
        <v/>
      </c>
      <c r="F1114" s="16" t="str">
        <f aca="false">IF(B1114="","",MAX(0,D1114-E1114))</f>
        <v/>
      </c>
      <c r="G1114" s="16" t="str">
        <f aca="false">IF(B1114="","",IF(COUNTIFS($B$2:$B$1201,B1114,$A$2:$A$1201,"&lt;&gt;"&amp;A1114)&gt;0,"Sim",""))</f>
        <v/>
      </c>
      <c r="H1114" s="16" t="str">
        <f aca="false">IF(N(F1114)&gt;0,MAX(H$1:H1113)+1,"")</f>
        <v/>
      </c>
      <c r="I1114" s="11" t="str">
        <f aca="false">IF(B1114="","",IF(INDEX($C$2:$C$1201,MATCH(B1114,$B$2:$B$1201,0))&lt;&gt;C1114,"Nome diferente em outro deck — revisar",""))</f>
        <v/>
      </c>
      <c r="J1114" s="16" t="str">
        <f aca="false">IF(AND(B1114&lt;&gt;"",A1114=BULK!$A$1,N(F1114)&gt;0),MAX(J$1:J1113)+1,"")</f>
        <v/>
      </c>
      <c r="K1114" s="11" t="str">
        <f aca="false">IF(B1114="","",IFERROR(LEFT(B1114,FIND("-",B1114)-1),B1114))</f>
        <v/>
      </c>
      <c r="L1114" s="11" t="str">
        <f aca="false">IF(K1114="","",IF(ISNUMBER(--MID(K1114,1,1)),0,IF(ISNUMBER(--MID(K1114,2,1)),1,IF(ISNUMBER(--MID(K1114,3,1)),2,IF(ISNUMBER(--MID(K1114,4,1)),3,MIN(LEN(K1114),4))))))</f>
        <v/>
      </c>
      <c r="M1114" s="11" t="str">
        <f aca="false">IF(B1114="","",LEFT(K1114,L1114)&amp;REPT("0",4-L1114)&amp;RIGHT("000"&amp;IFERROR(VALUE(MID(K1114,L1114+1,9)),0),3)&amp;RIGHT("0000"&amp;IFERROR(VALUE(MID(B1114,FIND("-",B1114)+1,9)),0),4))</f>
        <v/>
      </c>
      <c r="N1114" s="11" t="str">
        <f aca="false">IF(OR(B1114="",N(F1114)&lt;=0),"",IF('FALTAS POR DECK'!$P$1="Código","K"&amp;M1114&amp;RIGHT("00000"&amp;ROW(),5),IF('FALTAS POR DECK'!$P$1="Nome","K"&amp;UPPER(SUBSTITUTE(SUBSTITUTE(SUBSTITUTE(C1114,"*",""),"?",""),"~",""))&amp;"0"&amp;M1114&amp;RIGHT("00000"&amp;ROW(),5),IF('FALTAS POR DECK'!$P$1="Falta (maior primeiro)","K"&amp;RIGHT("0000"&amp;(9999-F1114),4)&amp;M1114&amp;RIGHT("00000"&amp;ROW(),5),IF('FALTAS POR DECK'!$P$1="Deck e código","K"&amp;RIGHT("00"&amp;IFERROR(MATCH(A1114,_LEITURA!$P$2:$P$21,0),99),2)&amp;M1114&amp;RIGHT("00000"&amp;ROW(),5),"K"&amp;RIGHT("00000"&amp;ROW(),5))))))</f>
        <v/>
      </c>
      <c r="O1114" s="16" t="str">
        <f aca="false">IF(N1114="","",COUNTIFS($N$2:$N$1201,"&lt;"&amp;N1114,$F$2:$F$1201,"&gt;0")+1)</f>
        <v/>
      </c>
    </row>
    <row r="1115" customFormat="false" ht="15" hidden="false" customHeight="false" outlineLevel="0" collapsed="false">
      <c r="A1115" s="11" t="str">
        <f aca="false">IF(_LEITURA!$N1115="","",INDEX(_LEITURA!$K$2:$K$1201,_LEITURA!$N1115))</f>
        <v/>
      </c>
      <c r="B1115" s="11" t="str">
        <f aca="false">IF(_LEITURA!$N1115="","",INDEX(_LEITURA!$E$2:$E$1201,_LEITURA!$N1115))</f>
        <v/>
      </c>
      <c r="C1115" s="11" t="str">
        <f aca="false">IF(_LEITURA!$N1115="","",INDEX(_LEITURA!$J$2:$J$1201,_LEITURA!$N1115))</f>
        <v/>
      </c>
      <c r="D1115" s="16" t="str">
        <f aca="false">IF(_LEITURA!$N1115="","",INDEX(_LEITURA!$G$2:$G$1201,_LEITURA!$N1115))</f>
        <v/>
      </c>
      <c r="E1115" s="16" t="str">
        <f aca="false">IF(B1115="","",SUMIFS(INVENTÁRIO!$C$2:$C$801,INVENTÁRIO!$A$2:$A$801,B1115))</f>
        <v/>
      </c>
      <c r="F1115" s="16" t="str">
        <f aca="false">IF(B1115="","",MAX(0,D1115-E1115))</f>
        <v/>
      </c>
      <c r="G1115" s="16" t="str">
        <f aca="false">IF(B1115="","",IF(COUNTIFS($B$2:$B$1201,B1115,$A$2:$A$1201,"&lt;&gt;"&amp;A1115)&gt;0,"Sim",""))</f>
        <v/>
      </c>
      <c r="H1115" s="16" t="str">
        <f aca="false">IF(N(F1115)&gt;0,MAX(H$1:H1114)+1,"")</f>
        <v/>
      </c>
      <c r="I1115" s="11" t="str">
        <f aca="false">IF(B1115="","",IF(INDEX($C$2:$C$1201,MATCH(B1115,$B$2:$B$1201,0))&lt;&gt;C1115,"Nome diferente em outro deck — revisar",""))</f>
        <v/>
      </c>
      <c r="J1115" s="16" t="str">
        <f aca="false">IF(AND(B1115&lt;&gt;"",A1115=BULK!$A$1,N(F1115)&gt;0),MAX(J$1:J1114)+1,"")</f>
        <v/>
      </c>
      <c r="K1115" s="11" t="str">
        <f aca="false">IF(B1115="","",IFERROR(LEFT(B1115,FIND("-",B1115)-1),B1115))</f>
        <v/>
      </c>
      <c r="L1115" s="11" t="str">
        <f aca="false">IF(K1115="","",IF(ISNUMBER(--MID(K1115,1,1)),0,IF(ISNUMBER(--MID(K1115,2,1)),1,IF(ISNUMBER(--MID(K1115,3,1)),2,IF(ISNUMBER(--MID(K1115,4,1)),3,MIN(LEN(K1115),4))))))</f>
        <v/>
      </c>
      <c r="M1115" s="11" t="str">
        <f aca="false">IF(B1115="","",LEFT(K1115,L1115)&amp;REPT("0",4-L1115)&amp;RIGHT("000"&amp;IFERROR(VALUE(MID(K1115,L1115+1,9)),0),3)&amp;RIGHT("0000"&amp;IFERROR(VALUE(MID(B1115,FIND("-",B1115)+1,9)),0),4))</f>
        <v/>
      </c>
      <c r="N1115" s="11" t="str">
        <f aca="false">IF(OR(B1115="",N(F1115)&lt;=0),"",IF('FALTAS POR DECK'!$P$1="Código","K"&amp;M1115&amp;RIGHT("00000"&amp;ROW(),5),IF('FALTAS POR DECK'!$P$1="Nome","K"&amp;UPPER(SUBSTITUTE(SUBSTITUTE(SUBSTITUTE(C1115,"*",""),"?",""),"~",""))&amp;"0"&amp;M1115&amp;RIGHT("00000"&amp;ROW(),5),IF('FALTAS POR DECK'!$P$1="Falta (maior primeiro)","K"&amp;RIGHT("0000"&amp;(9999-F1115),4)&amp;M1115&amp;RIGHT("00000"&amp;ROW(),5),IF('FALTAS POR DECK'!$P$1="Deck e código","K"&amp;RIGHT("00"&amp;IFERROR(MATCH(A1115,_LEITURA!$P$2:$P$21,0),99),2)&amp;M1115&amp;RIGHT("00000"&amp;ROW(),5),"K"&amp;RIGHT("00000"&amp;ROW(),5))))))</f>
        <v/>
      </c>
      <c r="O1115" s="16" t="str">
        <f aca="false">IF(N1115="","",COUNTIFS($N$2:$N$1201,"&lt;"&amp;N1115,$F$2:$F$1201,"&gt;0")+1)</f>
        <v/>
      </c>
    </row>
    <row r="1116" customFormat="false" ht="15" hidden="false" customHeight="false" outlineLevel="0" collapsed="false">
      <c r="A1116" s="11" t="str">
        <f aca="false">IF(_LEITURA!$N1116="","",INDEX(_LEITURA!$K$2:$K$1201,_LEITURA!$N1116))</f>
        <v/>
      </c>
      <c r="B1116" s="11" t="str">
        <f aca="false">IF(_LEITURA!$N1116="","",INDEX(_LEITURA!$E$2:$E$1201,_LEITURA!$N1116))</f>
        <v/>
      </c>
      <c r="C1116" s="11" t="str">
        <f aca="false">IF(_LEITURA!$N1116="","",INDEX(_LEITURA!$J$2:$J$1201,_LEITURA!$N1116))</f>
        <v/>
      </c>
      <c r="D1116" s="16" t="str">
        <f aca="false">IF(_LEITURA!$N1116="","",INDEX(_LEITURA!$G$2:$G$1201,_LEITURA!$N1116))</f>
        <v/>
      </c>
      <c r="E1116" s="16" t="str">
        <f aca="false">IF(B1116="","",SUMIFS(INVENTÁRIO!$C$2:$C$801,INVENTÁRIO!$A$2:$A$801,B1116))</f>
        <v/>
      </c>
      <c r="F1116" s="16" t="str">
        <f aca="false">IF(B1116="","",MAX(0,D1116-E1116))</f>
        <v/>
      </c>
      <c r="G1116" s="16" t="str">
        <f aca="false">IF(B1116="","",IF(COUNTIFS($B$2:$B$1201,B1116,$A$2:$A$1201,"&lt;&gt;"&amp;A1116)&gt;0,"Sim",""))</f>
        <v/>
      </c>
      <c r="H1116" s="16" t="str">
        <f aca="false">IF(N(F1116)&gt;0,MAX(H$1:H1115)+1,"")</f>
        <v/>
      </c>
      <c r="I1116" s="11" t="str">
        <f aca="false">IF(B1116="","",IF(INDEX($C$2:$C$1201,MATCH(B1116,$B$2:$B$1201,0))&lt;&gt;C1116,"Nome diferente em outro deck — revisar",""))</f>
        <v/>
      </c>
      <c r="J1116" s="16" t="str">
        <f aca="false">IF(AND(B1116&lt;&gt;"",A1116=BULK!$A$1,N(F1116)&gt;0),MAX(J$1:J1115)+1,"")</f>
        <v/>
      </c>
      <c r="K1116" s="11" t="str">
        <f aca="false">IF(B1116="","",IFERROR(LEFT(B1116,FIND("-",B1116)-1),B1116))</f>
        <v/>
      </c>
      <c r="L1116" s="11" t="str">
        <f aca="false">IF(K1116="","",IF(ISNUMBER(--MID(K1116,1,1)),0,IF(ISNUMBER(--MID(K1116,2,1)),1,IF(ISNUMBER(--MID(K1116,3,1)),2,IF(ISNUMBER(--MID(K1116,4,1)),3,MIN(LEN(K1116),4))))))</f>
        <v/>
      </c>
      <c r="M1116" s="11" t="str">
        <f aca="false">IF(B1116="","",LEFT(K1116,L1116)&amp;REPT("0",4-L1116)&amp;RIGHT("000"&amp;IFERROR(VALUE(MID(K1116,L1116+1,9)),0),3)&amp;RIGHT("0000"&amp;IFERROR(VALUE(MID(B1116,FIND("-",B1116)+1,9)),0),4))</f>
        <v/>
      </c>
      <c r="N1116" s="11" t="str">
        <f aca="false">IF(OR(B1116="",N(F1116)&lt;=0),"",IF('FALTAS POR DECK'!$P$1="Código","K"&amp;M1116&amp;RIGHT("00000"&amp;ROW(),5),IF('FALTAS POR DECK'!$P$1="Nome","K"&amp;UPPER(SUBSTITUTE(SUBSTITUTE(SUBSTITUTE(C1116,"*",""),"?",""),"~",""))&amp;"0"&amp;M1116&amp;RIGHT("00000"&amp;ROW(),5),IF('FALTAS POR DECK'!$P$1="Falta (maior primeiro)","K"&amp;RIGHT("0000"&amp;(9999-F1116),4)&amp;M1116&amp;RIGHT("00000"&amp;ROW(),5),IF('FALTAS POR DECK'!$P$1="Deck e código","K"&amp;RIGHT("00"&amp;IFERROR(MATCH(A1116,_LEITURA!$P$2:$P$21,0),99),2)&amp;M1116&amp;RIGHT("00000"&amp;ROW(),5),"K"&amp;RIGHT("00000"&amp;ROW(),5))))))</f>
        <v/>
      </c>
      <c r="O1116" s="16" t="str">
        <f aca="false">IF(N1116="","",COUNTIFS($N$2:$N$1201,"&lt;"&amp;N1116,$F$2:$F$1201,"&gt;0")+1)</f>
        <v/>
      </c>
    </row>
    <row r="1117" customFormat="false" ht="15" hidden="false" customHeight="false" outlineLevel="0" collapsed="false">
      <c r="A1117" s="11" t="str">
        <f aca="false">IF(_LEITURA!$N1117="","",INDEX(_LEITURA!$K$2:$K$1201,_LEITURA!$N1117))</f>
        <v/>
      </c>
      <c r="B1117" s="11" t="str">
        <f aca="false">IF(_LEITURA!$N1117="","",INDEX(_LEITURA!$E$2:$E$1201,_LEITURA!$N1117))</f>
        <v/>
      </c>
      <c r="C1117" s="11" t="str">
        <f aca="false">IF(_LEITURA!$N1117="","",INDEX(_LEITURA!$J$2:$J$1201,_LEITURA!$N1117))</f>
        <v/>
      </c>
      <c r="D1117" s="16" t="str">
        <f aca="false">IF(_LEITURA!$N1117="","",INDEX(_LEITURA!$G$2:$G$1201,_LEITURA!$N1117))</f>
        <v/>
      </c>
      <c r="E1117" s="16" t="str">
        <f aca="false">IF(B1117="","",SUMIFS(INVENTÁRIO!$C$2:$C$801,INVENTÁRIO!$A$2:$A$801,B1117))</f>
        <v/>
      </c>
      <c r="F1117" s="16" t="str">
        <f aca="false">IF(B1117="","",MAX(0,D1117-E1117))</f>
        <v/>
      </c>
      <c r="G1117" s="16" t="str">
        <f aca="false">IF(B1117="","",IF(COUNTIFS($B$2:$B$1201,B1117,$A$2:$A$1201,"&lt;&gt;"&amp;A1117)&gt;0,"Sim",""))</f>
        <v/>
      </c>
      <c r="H1117" s="16" t="str">
        <f aca="false">IF(N(F1117)&gt;0,MAX(H$1:H1116)+1,"")</f>
        <v/>
      </c>
      <c r="I1117" s="11" t="str">
        <f aca="false">IF(B1117="","",IF(INDEX($C$2:$C$1201,MATCH(B1117,$B$2:$B$1201,0))&lt;&gt;C1117,"Nome diferente em outro deck — revisar",""))</f>
        <v/>
      </c>
      <c r="J1117" s="16" t="str">
        <f aca="false">IF(AND(B1117&lt;&gt;"",A1117=BULK!$A$1,N(F1117)&gt;0),MAX(J$1:J1116)+1,"")</f>
        <v/>
      </c>
      <c r="K1117" s="11" t="str">
        <f aca="false">IF(B1117="","",IFERROR(LEFT(B1117,FIND("-",B1117)-1),B1117))</f>
        <v/>
      </c>
      <c r="L1117" s="11" t="str">
        <f aca="false">IF(K1117="","",IF(ISNUMBER(--MID(K1117,1,1)),0,IF(ISNUMBER(--MID(K1117,2,1)),1,IF(ISNUMBER(--MID(K1117,3,1)),2,IF(ISNUMBER(--MID(K1117,4,1)),3,MIN(LEN(K1117),4))))))</f>
        <v/>
      </c>
      <c r="M1117" s="11" t="str">
        <f aca="false">IF(B1117="","",LEFT(K1117,L1117)&amp;REPT("0",4-L1117)&amp;RIGHT("000"&amp;IFERROR(VALUE(MID(K1117,L1117+1,9)),0),3)&amp;RIGHT("0000"&amp;IFERROR(VALUE(MID(B1117,FIND("-",B1117)+1,9)),0),4))</f>
        <v/>
      </c>
      <c r="N1117" s="11" t="str">
        <f aca="false">IF(OR(B1117="",N(F1117)&lt;=0),"",IF('FALTAS POR DECK'!$P$1="Código","K"&amp;M1117&amp;RIGHT("00000"&amp;ROW(),5),IF('FALTAS POR DECK'!$P$1="Nome","K"&amp;UPPER(SUBSTITUTE(SUBSTITUTE(SUBSTITUTE(C1117,"*",""),"?",""),"~",""))&amp;"0"&amp;M1117&amp;RIGHT("00000"&amp;ROW(),5),IF('FALTAS POR DECK'!$P$1="Falta (maior primeiro)","K"&amp;RIGHT("0000"&amp;(9999-F1117),4)&amp;M1117&amp;RIGHT("00000"&amp;ROW(),5),IF('FALTAS POR DECK'!$P$1="Deck e código","K"&amp;RIGHT("00"&amp;IFERROR(MATCH(A1117,_LEITURA!$P$2:$P$21,0),99),2)&amp;M1117&amp;RIGHT("00000"&amp;ROW(),5),"K"&amp;RIGHT("00000"&amp;ROW(),5))))))</f>
        <v/>
      </c>
      <c r="O1117" s="16" t="str">
        <f aca="false">IF(N1117="","",COUNTIFS($N$2:$N$1201,"&lt;"&amp;N1117,$F$2:$F$1201,"&gt;0")+1)</f>
        <v/>
      </c>
    </row>
    <row r="1118" customFormat="false" ht="15" hidden="false" customHeight="false" outlineLevel="0" collapsed="false">
      <c r="A1118" s="11" t="str">
        <f aca="false">IF(_LEITURA!$N1118="","",INDEX(_LEITURA!$K$2:$K$1201,_LEITURA!$N1118))</f>
        <v/>
      </c>
      <c r="B1118" s="11" t="str">
        <f aca="false">IF(_LEITURA!$N1118="","",INDEX(_LEITURA!$E$2:$E$1201,_LEITURA!$N1118))</f>
        <v/>
      </c>
      <c r="C1118" s="11" t="str">
        <f aca="false">IF(_LEITURA!$N1118="","",INDEX(_LEITURA!$J$2:$J$1201,_LEITURA!$N1118))</f>
        <v/>
      </c>
      <c r="D1118" s="16" t="str">
        <f aca="false">IF(_LEITURA!$N1118="","",INDEX(_LEITURA!$G$2:$G$1201,_LEITURA!$N1118))</f>
        <v/>
      </c>
      <c r="E1118" s="16" t="str">
        <f aca="false">IF(B1118="","",SUMIFS(INVENTÁRIO!$C$2:$C$801,INVENTÁRIO!$A$2:$A$801,B1118))</f>
        <v/>
      </c>
      <c r="F1118" s="16" t="str">
        <f aca="false">IF(B1118="","",MAX(0,D1118-E1118))</f>
        <v/>
      </c>
      <c r="G1118" s="16" t="str">
        <f aca="false">IF(B1118="","",IF(COUNTIFS($B$2:$B$1201,B1118,$A$2:$A$1201,"&lt;&gt;"&amp;A1118)&gt;0,"Sim",""))</f>
        <v/>
      </c>
      <c r="H1118" s="16" t="str">
        <f aca="false">IF(N(F1118)&gt;0,MAX(H$1:H1117)+1,"")</f>
        <v/>
      </c>
      <c r="I1118" s="11" t="str">
        <f aca="false">IF(B1118="","",IF(INDEX($C$2:$C$1201,MATCH(B1118,$B$2:$B$1201,0))&lt;&gt;C1118,"Nome diferente em outro deck — revisar",""))</f>
        <v/>
      </c>
      <c r="J1118" s="16" t="str">
        <f aca="false">IF(AND(B1118&lt;&gt;"",A1118=BULK!$A$1,N(F1118)&gt;0),MAX(J$1:J1117)+1,"")</f>
        <v/>
      </c>
      <c r="K1118" s="11" t="str">
        <f aca="false">IF(B1118="","",IFERROR(LEFT(B1118,FIND("-",B1118)-1),B1118))</f>
        <v/>
      </c>
      <c r="L1118" s="11" t="str">
        <f aca="false">IF(K1118="","",IF(ISNUMBER(--MID(K1118,1,1)),0,IF(ISNUMBER(--MID(K1118,2,1)),1,IF(ISNUMBER(--MID(K1118,3,1)),2,IF(ISNUMBER(--MID(K1118,4,1)),3,MIN(LEN(K1118),4))))))</f>
        <v/>
      </c>
      <c r="M1118" s="11" t="str">
        <f aca="false">IF(B1118="","",LEFT(K1118,L1118)&amp;REPT("0",4-L1118)&amp;RIGHT("000"&amp;IFERROR(VALUE(MID(K1118,L1118+1,9)),0),3)&amp;RIGHT("0000"&amp;IFERROR(VALUE(MID(B1118,FIND("-",B1118)+1,9)),0),4))</f>
        <v/>
      </c>
      <c r="N1118" s="11" t="str">
        <f aca="false">IF(OR(B1118="",N(F1118)&lt;=0),"",IF('FALTAS POR DECK'!$P$1="Código","K"&amp;M1118&amp;RIGHT("00000"&amp;ROW(),5),IF('FALTAS POR DECK'!$P$1="Nome","K"&amp;UPPER(SUBSTITUTE(SUBSTITUTE(SUBSTITUTE(C1118,"*",""),"?",""),"~",""))&amp;"0"&amp;M1118&amp;RIGHT("00000"&amp;ROW(),5),IF('FALTAS POR DECK'!$P$1="Falta (maior primeiro)","K"&amp;RIGHT("0000"&amp;(9999-F1118),4)&amp;M1118&amp;RIGHT("00000"&amp;ROW(),5),IF('FALTAS POR DECK'!$P$1="Deck e código","K"&amp;RIGHT("00"&amp;IFERROR(MATCH(A1118,_LEITURA!$P$2:$P$21,0),99),2)&amp;M1118&amp;RIGHT("00000"&amp;ROW(),5),"K"&amp;RIGHT("00000"&amp;ROW(),5))))))</f>
        <v/>
      </c>
      <c r="O1118" s="16" t="str">
        <f aca="false">IF(N1118="","",COUNTIFS($N$2:$N$1201,"&lt;"&amp;N1118,$F$2:$F$1201,"&gt;0")+1)</f>
        <v/>
      </c>
    </row>
    <row r="1119" customFormat="false" ht="15" hidden="false" customHeight="false" outlineLevel="0" collapsed="false">
      <c r="A1119" s="11" t="str">
        <f aca="false">IF(_LEITURA!$N1119="","",INDEX(_LEITURA!$K$2:$K$1201,_LEITURA!$N1119))</f>
        <v/>
      </c>
      <c r="B1119" s="11" t="str">
        <f aca="false">IF(_LEITURA!$N1119="","",INDEX(_LEITURA!$E$2:$E$1201,_LEITURA!$N1119))</f>
        <v/>
      </c>
      <c r="C1119" s="11" t="str">
        <f aca="false">IF(_LEITURA!$N1119="","",INDEX(_LEITURA!$J$2:$J$1201,_LEITURA!$N1119))</f>
        <v/>
      </c>
      <c r="D1119" s="16" t="str">
        <f aca="false">IF(_LEITURA!$N1119="","",INDEX(_LEITURA!$G$2:$G$1201,_LEITURA!$N1119))</f>
        <v/>
      </c>
      <c r="E1119" s="16" t="str">
        <f aca="false">IF(B1119="","",SUMIFS(INVENTÁRIO!$C$2:$C$801,INVENTÁRIO!$A$2:$A$801,B1119))</f>
        <v/>
      </c>
      <c r="F1119" s="16" t="str">
        <f aca="false">IF(B1119="","",MAX(0,D1119-E1119))</f>
        <v/>
      </c>
      <c r="G1119" s="16" t="str">
        <f aca="false">IF(B1119="","",IF(COUNTIFS($B$2:$B$1201,B1119,$A$2:$A$1201,"&lt;&gt;"&amp;A1119)&gt;0,"Sim",""))</f>
        <v/>
      </c>
      <c r="H1119" s="16" t="str">
        <f aca="false">IF(N(F1119)&gt;0,MAX(H$1:H1118)+1,"")</f>
        <v/>
      </c>
      <c r="I1119" s="11" t="str">
        <f aca="false">IF(B1119="","",IF(INDEX($C$2:$C$1201,MATCH(B1119,$B$2:$B$1201,0))&lt;&gt;C1119,"Nome diferente em outro deck — revisar",""))</f>
        <v/>
      </c>
      <c r="J1119" s="16" t="str">
        <f aca="false">IF(AND(B1119&lt;&gt;"",A1119=BULK!$A$1,N(F1119)&gt;0),MAX(J$1:J1118)+1,"")</f>
        <v/>
      </c>
      <c r="K1119" s="11" t="str">
        <f aca="false">IF(B1119="","",IFERROR(LEFT(B1119,FIND("-",B1119)-1),B1119))</f>
        <v/>
      </c>
      <c r="L1119" s="11" t="str">
        <f aca="false">IF(K1119="","",IF(ISNUMBER(--MID(K1119,1,1)),0,IF(ISNUMBER(--MID(K1119,2,1)),1,IF(ISNUMBER(--MID(K1119,3,1)),2,IF(ISNUMBER(--MID(K1119,4,1)),3,MIN(LEN(K1119),4))))))</f>
        <v/>
      </c>
      <c r="M1119" s="11" t="str">
        <f aca="false">IF(B1119="","",LEFT(K1119,L1119)&amp;REPT("0",4-L1119)&amp;RIGHT("000"&amp;IFERROR(VALUE(MID(K1119,L1119+1,9)),0),3)&amp;RIGHT("0000"&amp;IFERROR(VALUE(MID(B1119,FIND("-",B1119)+1,9)),0),4))</f>
        <v/>
      </c>
      <c r="N1119" s="11" t="str">
        <f aca="false">IF(OR(B1119="",N(F1119)&lt;=0),"",IF('FALTAS POR DECK'!$P$1="Código","K"&amp;M1119&amp;RIGHT("00000"&amp;ROW(),5),IF('FALTAS POR DECK'!$P$1="Nome","K"&amp;UPPER(SUBSTITUTE(SUBSTITUTE(SUBSTITUTE(C1119,"*",""),"?",""),"~",""))&amp;"0"&amp;M1119&amp;RIGHT("00000"&amp;ROW(),5),IF('FALTAS POR DECK'!$P$1="Falta (maior primeiro)","K"&amp;RIGHT("0000"&amp;(9999-F1119),4)&amp;M1119&amp;RIGHT("00000"&amp;ROW(),5),IF('FALTAS POR DECK'!$P$1="Deck e código","K"&amp;RIGHT("00"&amp;IFERROR(MATCH(A1119,_LEITURA!$P$2:$P$21,0),99),2)&amp;M1119&amp;RIGHT("00000"&amp;ROW(),5),"K"&amp;RIGHT("00000"&amp;ROW(),5))))))</f>
        <v/>
      </c>
      <c r="O1119" s="16" t="str">
        <f aca="false">IF(N1119="","",COUNTIFS($N$2:$N$1201,"&lt;"&amp;N1119,$F$2:$F$1201,"&gt;0")+1)</f>
        <v/>
      </c>
    </row>
    <row r="1120" customFormat="false" ht="15" hidden="false" customHeight="false" outlineLevel="0" collapsed="false">
      <c r="A1120" s="11" t="str">
        <f aca="false">IF(_LEITURA!$N1120="","",INDEX(_LEITURA!$K$2:$K$1201,_LEITURA!$N1120))</f>
        <v/>
      </c>
      <c r="B1120" s="11" t="str">
        <f aca="false">IF(_LEITURA!$N1120="","",INDEX(_LEITURA!$E$2:$E$1201,_LEITURA!$N1120))</f>
        <v/>
      </c>
      <c r="C1120" s="11" t="str">
        <f aca="false">IF(_LEITURA!$N1120="","",INDEX(_LEITURA!$J$2:$J$1201,_LEITURA!$N1120))</f>
        <v/>
      </c>
      <c r="D1120" s="16" t="str">
        <f aca="false">IF(_LEITURA!$N1120="","",INDEX(_LEITURA!$G$2:$G$1201,_LEITURA!$N1120))</f>
        <v/>
      </c>
      <c r="E1120" s="16" t="str">
        <f aca="false">IF(B1120="","",SUMIFS(INVENTÁRIO!$C$2:$C$801,INVENTÁRIO!$A$2:$A$801,B1120))</f>
        <v/>
      </c>
      <c r="F1120" s="16" t="str">
        <f aca="false">IF(B1120="","",MAX(0,D1120-E1120))</f>
        <v/>
      </c>
      <c r="G1120" s="16" t="str">
        <f aca="false">IF(B1120="","",IF(COUNTIFS($B$2:$B$1201,B1120,$A$2:$A$1201,"&lt;&gt;"&amp;A1120)&gt;0,"Sim",""))</f>
        <v/>
      </c>
      <c r="H1120" s="16" t="str">
        <f aca="false">IF(N(F1120)&gt;0,MAX(H$1:H1119)+1,"")</f>
        <v/>
      </c>
      <c r="I1120" s="11" t="str">
        <f aca="false">IF(B1120="","",IF(INDEX($C$2:$C$1201,MATCH(B1120,$B$2:$B$1201,0))&lt;&gt;C1120,"Nome diferente em outro deck — revisar",""))</f>
        <v/>
      </c>
      <c r="J1120" s="16" t="str">
        <f aca="false">IF(AND(B1120&lt;&gt;"",A1120=BULK!$A$1,N(F1120)&gt;0),MAX(J$1:J1119)+1,"")</f>
        <v/>
      </c>
      <c r="K1120" s="11" t="str">
        <f aca="false">IF(B1120="","",IFERROR(LEFT(B1120,FIND("-",B1120)-1),B1120))</f>
        <v/>
      </c>
      <c r="L1120" s="11" t="str">
        <f aca="false">IF(K1120="","",IF(ISNUMBER(--MID(K1120,1,1)),0,IF(ISNUMBER(--MID(K1120,2,1)),1,IF(ISNUMBER(--MID(K1120,3,1)),2,IF(ISNUMBER(--MID(K1120,4,1)),3,MIN(LEN(K1120),4))))))</f>
        <v/>
      </c>
      <c r="M1120" s="11" t="str">
        <f aca="false">IF(B1120="","",LEFT(K1120,L1120)&amp;REPT("0",4-L1120)&amp;RIGHT("000"&amp;IFERROR(VALUE(MID(K1120,L1120+1,9)),0),3)&amp;RIGHT("0000"&amp;IFERROR(VALUE(MID(B1120,FIND("-",B1120)+1,9)),0),4))</f>
        <v/>
      </c>
      <c r="N1120" s="11" t="str">
        <f aca="false">IF(OR(B1120="",N(F1120)&lt;=0),"",IF('FALTAS POR DECK'!$P$1="Código","K"&amp;M1120&amp;RIGHT("00000"&amp;ROW(),5),IF('FALTAS POR DECK'!$P$1="Nome","K"&amp;UPPER(SUBSTITUTE(SUBSTITUTE(SUBSTITUTE(C1120,"*",""),"?",""),"~",""))&amp;"0"&amp;M1120&amp;RIGHT("00000"&amp;ROW(),5),IF('FALTAS POR DECK'!$P$1="Falta (maior primeiro)","K"&amp;RIGHT("0000"&amp;(9999-F1120),4)&amp;M1120&amp;RIGHT("00000"&amp;ROW(),5),IF('FALTAS POR DECK'!$P$1="Deck e código","K"&amp;RIGHT("00"&amp;IFERROR(MATCH(A1120,_LEITURA!$P$2:$P$21,0),99),2)&amp;M1120&amp;RIGHT("00000"&amp;ROW(),5),"K"&amp;RIGHT("00000"&amp;ROW(),5))))))</f>
        <v/>
      </c>
      <c r="O1120" s="16" t="str">
        <f aca="false">IF(N1120="","",COUNTIFS($N$2:$N$1201,"&lt;"&amp;N1120,$F$2:$F$1201,"&gt;0")+1)</f>
        <v/>
      </c>
    </row>
    <row r="1121" customFormat="false" ht="15" hidden="false" customHeight="false" outlineLevel="0" collapsed="false">
      <c r="A1121" s="11" t="str">
        <f aca="false">IF(_LEITURA!$N1121="","",INDEX(_LEITURA!$K$2:$K$1201,_LEITURA!$N1121))</f>
        <v/>
      </c>
      <c r="B1121" s="11" t="str">
        <f aca="false">IF(_LEITURA!$N1121="","",INDEX(_LEITURA!$E$2:$E$1201,_LEITURA!$N1121))</f>
        <v/>
      </c>
      <c r="C1121" s="11" t="str">
        <f aca="false">IF(_LEITURA!$N1121="","",INDEX(_LEITURA!$J$2:$J$1201,_LEITURA!$N1121))</f>
        <v/>
      </c>
      <c r="D1121" s="16" t="str">
        <f aca="false">IF(_LEITURA!$N1121="","",INDEX(_LEITURA!$G$2:$G$1201,_LEITURA!$N1121))</f>
        <v/>
      </c>
      <c r="E1121" s="16" t="str">
        <f aca="false">IF(B1121="","",SUMIFS(INVENTÁRIO!$C$2:$C$801,INVENTÁRIO!$A$2:$A$801,B1121))</f>
        <v/>
      </c>
      <c r="F1121" s="16" t="str">
        <f aca="false">IF(B1121="","",MAX(0,D1121-E1121))</f>
        <v/>
      </c>
      <c r="G1121" s="16" t="str">
        <f aca="false">IF(B1121="","",IF(COUNTIFS($B$2:$B$1201,B1121,$A$2:$A$1201,"&lt;&gt;"&amp;A1121)&gt;0,"Sim",""))</f>
        <v/>
      </c>
      <c r="H1121" s="16" t="str">
        <f aca="false">IF(N(F1121)&gt;0,MAX(H$1:H1120)+1,"")</f>
        <v/>
      </c>
      <c r="I1121" s="11" t="str">
        <f aca="false">IF(B1121="","",IF(INDEX($C$2:$C$1201,MATCH(B1121,$B$2:$B$1201,0))&lt;&gt;C1121,"Nome diferente em outro deck — revisar",""))</f>
        <v/>
      </c>
      <c r="J1121" s="16" t="str">
        <f aca="false">IF(AND(B1121&lt;&gt;"",A1121=BULK!$A$1,N(F1121)&gt;0),MAX(J$1:J1120)+1,"")</f>
        <v/>
      </c>
      <c r="K1121" s="11" t="str">
        <f aca="false">IF(B1121="","",IFERROR(LEFT(B1121,FIND("-",B1121)-1),B1121))</f>
        <v/>
      </c>
      <c r="L1121" s="11" t="str">
        <f aca="false">IF(K1121="","",IF(ISNUMBER(--MID(K1121,1,1)),0,IF(ISNUMBER(--MID(K1121,2,1)),1,IF(ISNUMBER(--MID(K1121,3,1)),2,IF(ISNUMBER(--MID(K1121,4,1)),3,MIN(LEN(K1121),4))))))</f>
        <v/>
      </c>
      <c r="M1121" s="11" t="str">
        <f aca="false">IF(B1121="","",LEFT(K1121,L1121)&amp;REPT("0",4-L1121)&amp;RIGHT("000"&amp;IFERROR(VALUE(MID(K1121,L1121+1,9)),0),3)&amp;RIGHT("0000"&amp;IFERROR(VALUE(MID(B1121,FIND("-",B1121)+1,9)),0),4))</f>
        <v/>
      </c>
      <c r="N1121" s="11" t="str">
        <f aca="false">IF(OR(B1121="",N(F1121)&lt;=0),"",IF('FALTAS POR DECK'!$P$1="Código","K"&amp;M1121&amp;RIGHT("00000"&amp;ROW(),5),IF('FALTAS POR DECK'!$P$1="Nome","K"&amp;UPPER(SUBSTITUTE(SUBSTITUTE(SUBSTITUTE(C1121,"*",""),"?",""),"~",""))&amp;"0"&amp;M1121&amp;RIGHT("00000"&amp;ROW(),5),IF('FALTAS POR DECK'!$P$1="Falta (maior primeiro)","K"&amp;RIGHT("0000"&amp;(9999-F1121),4)&amp;M1121&amp;RIGHT("00000"&amp;ROW(),5),IF('FALTAS POR DECK'!$P$1="Deck e código","K"&amp;RIGHT("00"&amp;IFERROR(MATCH(A1121,_LEITURA!$P$2:$P$21,0),99),2)&amp;M1121&amp;RIGHT("00000"&amp;ROW(),5),"K"&amp;RIGHT("00000"&amp;ROW(),5))))))</f>
        <v/>
      </c>
      <c r="O1121" s="16" t="str">
        <f aca="false">IF(N1121="","",COUNTIFS($N$2:$N$1201,"&lt;"&amp;N1121,$F$2:$F$1201,"&gt;0")+1)</f>
        <v/>
      </c>
    </row>
    <row r="1122" customFormat="false" ht="15" hidden="false" customHeight="false" outlineLevel="0" collapsed="false">
      <c r="A1122" s="11" t="str">
        <f aca="false">IF(_LEITURA!$N1122="","",INDEX(_LEITURA!$K$2:$K$1201,_LEITURA!$N1122))</f>
        <v/>
      </c>
      <c r="B1122" s="11" t="str">
        <f aca="false">IF(_LEITURA!$N1122="","",INDEX(_LEITURA!$E$2:$E$1201,_LEITURA!$N1122))</f>
        <v/>
      </c>
      <c r="C1122" s="11" t="str">
        <f aca="false">IF(_LEITURA!$N1122="","",INDEX(_LEITURA!$J$2:$J$1201,_LEITURA!$N1122))</f>
        <v/>
      </c>
      <c r="D1122" s="16" t="str">
        <f aca="false">IF(_LEITURA!$N1122="","",INDEX(_LEITURA!$G$2:$G$1201,_LEITURA!$N1122))</f>
        <v/>
      </c>
      <c r="E1122" s="16" t="str">
        <f aca="false">IF(B1122="","",SUMIFS(INVENTÁRIO!$C$2:$C$801,INVENTÁRIO!$A$2:$A$801,B1122))</f>
        <v/>
      </c>
      <c r="F1122" s="16" t="str">
        <f aca="false">IF(B1122="","",MAX(0,D1122-E1122))</f>
        <v/>
      </c>
      <c r="G1122" s="16" t="str">
        <f aca="false">IF(B1122="","",IF(COUNTIFS($B$2:$B$1201,B1122,$A$2:$A$1201,"&lt;&gt;"&amp;A1122)&gt;0,"Sim",""))</f>
        <v/>
      </c>
      <c r="H1122" s="16" t="str">
        <f aca="false">IF(N(F1122)&gt;0,MAX(H$1:H1121)+1,"")</f>
        <v/>
      </c>
      <c r="I1122" s="11" t="str">
        <f aca="false">IF(B1122="","",IF(INDEX($C$2:$C$1201,MATCH(B1122,$B$2:$B$1201,0))&lt;&gt;C1122,"Nome diferente em outro deck — revisar",""))</f>
        <v/>
      </c>
      <c r="J1122" s="16" t="str">
        <f aca="false">IF(AND(B1122&lt;&gt;"",A1122=BULK!$A$1,N(F1122)&gt;0),MAX(J$1:J1121)+1,"")</f>
        <v/>
      </c>
      <c r="K1122" s="11" t="str">
        <f aca="false">IF(B1122="","",IFERROR(LEFT(B1122,FIND("-",B1122)-1),B1122))</f>
        <v/>
      </c>
      <c r="L1122" s="11" t="str">
        <f aca="false">IF(K1122="","",IF(ISNUMBER(--MID(K1122,1,1)),0,IF(ISNUMBER(--MID(K1122,2,1)),1,IF(ISNUMBER(--MID(K1122,3,1)),2,IF(ISNUMBER(--MID(K1122,4,1)),3,MIN(LEN(K1122),4))))))</f>
        <v/>
      </c>
      <c r="M1122" s="11" t="str">
        <f aca="false">IF(B1122="","",LEFT(K1122,L1122)&amp;REPT("0",4-L1122)&amp;RIGHT("000"&amp;IFERROR(VALUE(MID(K1122,L1122+1,9)),0),3)&amp;RIGHT("0000"&amp;IFERROR(VALUE(MID(B1122,FIND("-",B1122)+1,9)),0),4))</f>
        <v/>
      </c>
      <c r="N1122" s="11" t="str">
        <f aca="false">IF(OR(B1122="",N(F1122)&lt;=0),"",IF('FALTAS POR DECK'!$P$1="Código","K"&amp;M1122&amp;RIGHT("00000"&amp;ROW(),5),IF('FALTAS POR DECK'!$P$1="Nome","K"&amp;UPPER(SUBSTITUTE(SUBSTITUTE(SUBSTITUTE(C1122,"*",""),"?",""),"~",""))&amp;"0"&amp;M1122&amp;RIGHT("00000"&amp;ROW(),5),IF('FALTAS POR DECK'!$P$1="Falta (maior primeiro)","K"&amp;RIGHT("0000"&amp;(9999-F1122),4)&amp;M1122&amp;RIGHT("00000"&amp;ROW(),5),IF('FALTAS POR DECK'!$P$1="Deck e código","K"&amp;RIGHT("00"&amp;IFERROR(MATCH(A1122,_LEITURA!$P$2:$P$21,0),99),2)&amp;M1122&amp;RIGHT("00000"&amp;ROW(),5),"K"&amp;RIGHT("00000"&amp;ROW(),5))))))</f>
        <v/>
      </c>
      <c r="O1122" s="16" t="str">
        <f aca="false">IF(N1122="","",COUNTIFS($N$2:$N$1201,"&lt;"&amp;N1122,$F$2:$F$1201,"&gt;0")+1)</f>
        <v/>
      </c>
    </row>
    <row r="1123" customFormat="false" ht="15" hidden="false" customHeight="false" outlineLevel="0" collapsed="false">
      <c r="A1123" s="11" t="str">
        <f aca="false">IF(_LEITURA!$N1123="","",INDEX(_LEITURA!$K$2:$K$1201,_LEITURA!$N1123))</f>
        <v/>
      </c>
      <c r="B1123" s="11" t="str">
        <f aca="false">IF(_LEITURA!$N1123="","",INDEX(_LEITURA!$E$2:$E$1201,_LEITURA!$N1123))</f>
        <v/>
      </c>
      <c r="C1123" s="11" t="str">
        <f aca="false">IF(_LEITURA!$N1123="","",INDEX(_LEITURA!$J$2:$J$1201,_LEITURA!$N1123))</f>
        <v/>
      </c>
      <c r="D1123" s="16" t="str">
        <f aca="false">IF(_LEITURA!$N1123="","",INDEX(_LEITURA!$G$2:$G$1201,_LEITURA!$N1123))</f>
        <v/>
      </c>
      <c r="E1123" s="16" t="str">
        <f aca="false">IF(B1123="","",SUMIFS(INVENTÁRIO!$C$2:$C$801,INVENTÁRIO!$A$2:$A$801,B1123))</f>
        <v/>
      </c>
      <c r="F1123" s="16" t="str">
        <f aca="false">IF(B1123="","",MAX(0,D1123-E1123))</f>
        <v/>
      </c>
      <c r="G1123" s="16" t="str">
        <f aca="false">IF(B1123="","",IF(COUNTIFS($B$2:$B$1201,B1123,$A$2:$A$1201,"&lt;&gt;"&amp;A1123)&gt;0,"Sim",""))</f>
        <v/>
      </c>
      <c r="H1123" s="16" t="str">
        <f aca="false">IF(N(F1123)&gt;0,MAX(H$1:H1122)+1,"")</f>
        <v/>
      </c>
      <c r="I1123" s="11" t="str">
        <f aca="false">IF(B1123="","",IF(INDEX($C$2:$C$1201,MATCH(B1123,$B$2:$B$1201,0))&lt;&gt;C1123,"Nome diferente em outro deck — revisar",""))</f>
        <v/>
      </c>
      <c r="J1123" s="16" t="str">
        <f aca="false">IF(AND(B1123&lt;&gt;"",A1123=BULK!$A$1,N(F1123)&gt;0),MAX(J$1:J1122)+1,"")</f>
        <v/>
      </c>
      <c r="K1123" s="11" t="str">
        <f aca="false">IF(B1123="","",IFERROR(LEFT(B1123,FIND("-",B1123)-1),B1123))</f>
        <v/>
      </c>
      <c r="L1123" s="11" t="str">
        <f aca="false">IF(K1123="","",IF(ISNUMBER(--MID(K1123,1,1)),0,IF(ISNUMBER(--MID(K1123,2,1)),1,IF(ISNUMBER(--MID(K1123,3,1)),2,IF(ISNUMBER(--MID(K1123,4,1)),3,MIN(LEN(K1123),4))))))</f>
        <v/>
      </c>
      <c r="M1123" s="11" t="str">
        <f aca="false">IF(B1123="","",LEFT(K1123,L1123)&amp;REPT("0",4-L1123)&amp;RIGHT("000"&amp;IFERROR(VALUE(MID(K1123,L1123+1,9)),0),3)&amp;RIGHT("0000"&amp;IFERROR(VALUE(MID(B1123,FIND("-",B1123)+1,9)),0),4))</f>
        <v/>
      </c>
      <c r="N1123" s="11" t="str">
        <f aca="false">IF(OR(B1123="",N(F1123)&lt;=0),"",IF('FALTAS POR DECK'!$P$1="Código","K"&amp;M1123&amp;RIGHT("00000"&amp;ROW(),5),IF('FALTAS POR DECK'!$P$1="Nome","K"&amp;UPPER(SUBSTITUTE(SUBSTITUTE(SUBSTITUTE(C1123,"*",""),"?",""),"~",""))&amp;"0"&amp;M1123&amp;RIGHT("00000"&amp;ROW(),5),IF('FALTAS POR DECK'!$P$1="Falta (maior primeiro)","K"&amp;RIGHT("0000"&amp;(9999-F1123),4)&amp;M1123&amp;RIGHT("00000"&amp;ROW(),5),IF('FALTAS POR DECK'!$P$1="Deck e código","K"&amp;RIGHT("00"&amp;IFERROR(MATCH(A1123,_LEITURA!$P$2:$P$21,0),99),2)&amp;M1123&amp;RIGHT("00000"&amp;ROW(),5),"K"&amp;RIGHT("00000"&amp;ROW(),5))))))</f>
        <v/>
      </c>
      <c r="O1123" s="16" t="str">
        <f aca="false">IF(N1123="","",COUNTIFS($N$2:$N$1201,"&lt;"&amp;N1123,$F$2:$F$1201,"&gt;0")+1)</f>
        <v/>
      </c>
    </row>
    <row r="1124" customFormat="false" ht="15" hidden="false" customHeight="false" outlineLevel="0" collapsed="false">
      <c r="A1124" s="11" t="str">
        <f aca="false">IF(_LEITURA!$N1124="","",INDEX(_LEITURA!$K$2:$K$1201,_LEITURA!$N1124))</f>
        <v/>
      </c>
      <c r="B1124" s="11" t="str">
        <f aca="false">IF(_LEITURA!$N1124="","",INDEX(_LEITURA!$E$2:$E$1201,_LEITURA!$N1124))</f>
        <v/>
      </c>
      <c r="C1124" s="11" t="str">
        <f aca="false">IF(_LEITURA!$N1124="","",INDEX(_LEITURA!$J$2:$J$1201,_LEITURA!$N1124))</f>
        <v/>
      </c>
      <c r="D1124" s="16" t="str">
        <f aca="false">IF(_LEITURA!$N1124="","",INDEX(_LEITURA!$G$2:$G$1201,_LEITURA!$N1124))</f>
        <v/>
      </c>
      <c r="E1124" s="16" t="str">
        <f aca="false">IF(B1124="","",SUMIFS(INVENTÁRIO!$C$2:$C$801,INVENTÁRIO!$A$2:$A$801,B1124))</f>
        <v/>
      </c>
      <c r="F1124" s="16" t="str">
        <f aca="false">IF(B1124="","",MAX(0,D1124-E1124))</f>
        <v/>
      </c>
      <c r="G1124" s="16" t="str">
        <f aca="false">IF(B1124="","",IF(COUNTIFS($B$2:$B$1201,B1124,$A$2:$A$1201,"&lt;&gt;"&amp;A1124)&gt;0,"Sim",""))</f>
        <v/>
      </c>
      <c r="H1124" s="16" t="str">
        <f aca="false">IF(N(F1124)&gt;0,MAX(H$1:H1123)+1,"")</f>
        <v/>
      </c>
      <c r="I1124" s="11" t="str">
        <f aca="false">IF(B1124="","",IF(INDEX($C$2:$C$1201,MATCH(B1124,$B$2:$B$1201,0))&lt;&gt;C1124,"Nome diferente em outro deck — revisar",""))</f>
        <v/>
      </c>
      <c r="J1124" s="16" t="str">
        <f aca="false">IF(AND(B1124&lt;&gt;"",A1124=BULK!$A$1,N(F1124)&gt;0),MAX(J$1:J1123)+1,"")</f>
        <v/>
      </c>
      <c r="K1124" s="11" t="str">
        <f aca="false">IF(B1124="","",IFERROR(LEFT(B1124,FIND("-",B1124)-1),B1124))</f>
        <v/>
      </c>
      <c r="L1124" s="11" t="str">
        <f aca="false">IF(K1124="","",IF(ISNUMBER(--MID(K1124,1,1)),0,IF(ISNUMBER(--MID(K1124,2,1)),1,IF(ISNUMBER(--MID(K1124,3,1)),2,IF(ISNUMBER(--MID(K1124,4,1)),3,MIN(LEN(K1124),4))))))</f>
        <v/>
      </c>
      <c r="M1124" s="11" t="str">
        <f aca="false">IF(B1124="","",LEFT(K1124,L1124)&amp;REPT("0",4-L1124)&amp;RIGHT("000"&amp;IFERROR(VALUE(MID(K1124,L1124+1,9)),0),3)&amp;RIGHT("0000"&amp;IFERROR(VALUE(MID(B1124,FIND("-",B1124)+1,9)),0),4))</f>
        <v/>
      </c>
      <c r="N1124" s="11" t="str">
        <f aca="false">IF(OR(B1124="",N(F1124)&lt;=0),"",IF('FALTAS POR DECK'!$P$1="Código","K"&amp;M1124&amp;RIGHT("00000"&amp;ROW(),5),IF('FALTAS POR DECK'!$P$1="Nome","K"&amp;UPPER(SUBSTITUTE(SUBSTITUTE(SUBSTITUTE(C1124,"*",""),"?",""),"~",""))&amp;"0"&amp;M1124&amp;RIGHT("00000"&amp;ROW(),5),IF('FALTAS POR DECK'!$P$1="Falta (maior primeiro)","K"&amp;RIGHT("0000"&amp;(9999-F1124),4)&amp;M1124&amp;RIGHT("00000"&amp;ROW(),5),IF('FALTAS POR DECK'!$P$1="Deck e código","K"&amp;RIGHT("00"&amp;IFERROR(MATCH(A1124,_LEITURA!$P$2:$P$21,0),99),2)&amp;M1124&amp;RIGHT("00000"&amp;ROW(),5),"K"&amp;RIGHT("00000"&amp;ROW(),5))))))</f>
        <v/>
      </c>
      <c r="O1124" s="16" t="str">
        <f aca="false">IF(N1124="","",COUNTIFS($N$2:$N$1201,"&lt;"&amp;N1124,$F$2:$F$1201,"&gt;0")+1)</f>
        <v/>
      </c>
    </row>
    <row r="1125" customFormat="false" ht="15" hidden="false" customHeight="false" outlineLevel="0" collapsed="false">
      <c r="A1125" s="11" t="str">
        <f aca="false">IF(_LEITURA!$N1125="","",INDEX(_LEITURA!$K$2:$K$1201,_LEITURA!$N1125))</f>
        <v/>
      </c>
      <c r="B1125" s="11" t="str">
        <f aca="false">IF(_LEITURA!$N1125="","",INDEX(_LEITURA!$E$2:$E$1201,_LEITURA!$N1125))</f>
        <v/>
      </c>
      <c r="C1125" s="11" t="str">
        <f aca="false">IF(_LEITURA!$N1125="","",INDEX(_LEITURA!$J$2:$J$1201,_LEITURA!$N1125))</f>
        <v/>
      </c>
      <c r="D1125" s="16" t="str">
        <f aca="false">IF(_LEITURA!$N1125="","",INDEX(_LEITURA!$G$2:$G$1201,_LEITURA!$N1125))</f>
        <v/>
      </c>
      <c r="E1125" s="16" t="str">
        <f aca="false">IF(B1125="","",SUMIFS(INVENTÁRIO!$C$2:$C$801,INVENTÁRIO!$A$2:$A$801,B1125))</f>
        <v/>
      </c>
      <c r="F1125" s="16" t="str">
        <f aca="false">IF(B1125="","",MAX(0,D1125-E1125))</f>
        <v/>
      </c>
      <c r="G1125" s="16" t="str">
        <f aca="false">IF(B1125="","",IF(COUNTIFS($B$2:$B$1201,B1125,$A$2:$A$1201,"&lt;&gt;"&amp;A1125)&gt;0,"Sim",""))</f>
        <v/>
      </c>
      <c r="H1125" s="16" t="str">
        <f aca="false">IF(N(F1125)&gt;0,MAX(H$1:H1124)+1,"")</f>
        <v/>
      </c>
      <c r="I1125" s="11" t="str">
        <f aca="false">IF(B1125="","",IF(INDEX($C$2:$C$1201,MATCH(B1125,$B$2:$B$1201,0))&lt;&gt;C1125,"Nome diferente em outro deck — revisar",""))</f>
        <v/>
      </c>
      <c r="J1125" s="16" t="str">
        <f aca="false">IF(AND(B1125&lt;&gt;"",A1125=BULK!$A$1,N(F1125)&gt;0),MAX(J$1:J1124)+1,"")</f>
        <v/>
      </c>
      <c r="K1125" s="11" t="str">
        <f aca="false">IF(B1125="","",IFERROR(LEFT(B1125,FIND("-",B1125)-1),B1125))</f>
        <v/>
      </c>
      <c r="L1125" s="11" t="str">
        <f aca="false">IF(K1125="","",IF(ISNUMBER(--MID(K1125,1,1)),0,IF(ISNUMBER(--MID(K1125,2,1)),1,IF(ISNUMBER(--MID(K1125,3,1)),2,IF(ISNUMBER(--MID(K1125,4,1)),3,MIN(LEN(K1125),4))))))</f>
        <v/>
      </c>
      <c r="M1125" s="11" t="str">
        <f aca="false">IF(B1125="","",LEFT(K1125,L1125)&amp;REPT("0",4-L1125)&amp;RIGHT("000"&amp;IFERROR(VALUE(MID(K1125,L1125+1,9)),0),3)&amp;RIGHT("0000"&amp;IFERROR(VALUE(MID(B1125,FIND("-",B1125)+1,9)),0),4))</f>
        <v/>
      </c>
      <c r="N1125" s="11" t="str">
        <f aca="false">IF(OR(B1125="",N(F1125)&lt;=0),"",IF('FALTAS POR DECK'!$P$1="Código","K"&amp;M1125&amp;RIGHT("00000"&amp;ROW(),5),IF('FALTAS POR DECK'!$P$1="Nome","K"&amp;UPPER(SUBSTITUTE(SUBSTITUTE(SUBSTITUTE(C1125,"*",""),"?",""),"~",""))&amp;"0"&amp;M1125&amp;RIGHT("00000"&amp;ROW(),5),IF('FALTAS POR DECK'!$P$1="Falta (maior primeiro)","K"&amp;RIGHT("0000"&amp;(9999-F1125),4)&amp;M1125&amp;RIGHT("00000"&amp;ROW(),5),IF('FALTAS POR DECK'!$P$1="Deck e código","K"&amp;RIGHT("00"&amp;IFERROR(MATCH(A1125,_LEITURA!$P$2:$P$21,0),99),2)&amp;M1125&amp;RIGHT("00000"&amp;ROW(),5),"K"&amp;RIGHT("00000"&amp;ROW(),5))))))</f>
        <v/>
      </c>
      <c r="O1125" s="16" t="str">
        <f aca="false">IF(N1125="","",COUNTIFS($N$2:$N$1201,"&lt;"&amp;N1125,$F$2:$F$1201,"&gt;0")+1)</f>
        <v/>
      </c>
    </row>
    <row r="1126" customFormat="false" ht="15" hidden="false" customHeight="false" outlineLevel="0" collapsed="false">
      <c r="A1126" s="11" t="str">
        <f aca="false">IF(_LEITURA!$N1126="","",INDEX(_LEITURA!$K$2:$K$1201,_LEITURA!$N1126))</f>
        <v/>
      </c>
      <c r="B1126" s="11" t="str">
        <f aca="false">IF(_LEITURA!$N1126="","",INDEX(_LEITURA!$E$2:$E$1201,_LEITURA!$N1126))</f>
        <v/>
      </c>
      <c r="C1126" s="11" t="str">
        <f aca="false">IF(_LEITURA!$N1126="","",INDEX(_LEITURA!$J$2:$J$1201,_LEITURA!$N1126))</f>
        <v/>
      </c>
      <c r="D1126" s="16" t="str">
        <f aca="false">IF(_LEITURA!$N1126="","",INDEX(_LEITURA!$G$2:$G$1201,_LEITURA!$N1126))</f>
        <v/>
      </c>
      <c r="E1126" s="16" t="str">
        <f aca="false">IF(B1126="","",SUMIFS(INVENTÁRIO!$C$2:$C$801,INVENTÁRIO!$A$2:$A$801,B1126))</f>
        <v/>
      </c>
      <c r="F1126" s="16" t="str">
        <f aca="false">IF(B1126="","",MAX(0,D1126-E1126))</f>
        <v/>
      </c>
      <c r="G1126" s="16" t="str">
        <f aca="false">IF(B1126="","",IF(COUNTIFS($B$2:$B$1201,B1126,$A$2:$A$1201,"&lt;&gt;"&amp;A1126)&gt;0,"Sim",""))</f>
        <v/>
      </c>
      <c r="H1126" s="16" t="str">
        <f aca="false">IF(N(F1126)&gt;0,MAX(H$1:H1125)+1,"")</f>
        <v/>
      </c>
      <c r="I1126" s="11" t="str">
        <f aca="false">IF(B1126="","",IF(INDEX($C$2:$C$1201,MATCH(B1126,$B$2:$B$1201,0))&lt;&gt;C1126,"Nome diferente em outro deck — revisar",""))</f>
        <v/>
      </c>
      <c r="J1126" s="16" t="str">
        <f aca="false">IF(AND(B1126&lt;&gt;"",A1126=BULK!$A$1,N(F1126)&gt;0),MAX(J$1:J1125)+1,"")</f>
        <v/>
      </c>
      <c r="K1126" s="11" t="str">
        <f aca="false">IF(B1126="","",IFERROR(LEFT(B1126,FIND("-",B1126)-1),B1126))</f>
        <v/>
      </c>
      <c r="L1126" s="11" t="str">
        <f aca="false">IF(K1126="","",IF(ISNUMBER(--MID(K1126,1,1)),0,IF(ISNUMBER(--MID(K1126,2,1)),1,IF(ISNUMBER(--MID(K1126,3,1)),2,IF(ISNUMBER(--MID(K1126,4,1)),3,MIN(LEN(K1126),4))))))</f>
        <v/>
      </c>
      <c r="M1126" s="11" t="str">
        <f aca="false">IF(B1126="","",LEFT(K1126,L1126)&amp;REPT("0",4-L1126)&amp;RIGHT("000"&amp;IFERROR(VALUE(MID(K1126,L1126+1,9)),0),3)&amp;RIGHT("0000"&amp;IFERROR(VALUE(MID(B1126,FIND("-",B1126)+1,9)),0),4))</f>
        <v/>
      </c>
      <c r="N1126" s="11" t="str">
        <f aca="false">IF(OR(B1126="",N(F1126)&lt;=0),"",IF('FALTAS POR DECK'!$P$1="Código","K"&amp;M1126&amp;RIGHT("00000"&amp;ROW(),5),IF('FALTAS POR DECK'!$P$1="Nome","K"&amp;UPPER(SUBSTITUTE(SUBSTITUTE(SUBSTITUTE(C1126,"*",""),"?",""),"~",""))&amp;"0"&amp;M1126&amp;RIGHT("00000"&amp;ROW(),5),IF('FALTAS POR DECK'!$P$1="Falta (maior primeiro)","K"&amp;RIGHT("0000"&amp;(9999-F1126),4)&amp;M1126&amp;RIGHT("00000"&amp;ROW(),5),IF('FALTAS POR DECK'!$P$1="Deck e código","K"&amp;RIGHT("00"&amp;IFERROR(MATCH(A1126,_LEITURA!$P$2:$P$21,0),99),2)&amp;M1126&amp;RIGHT("00000"&amp;ROW(),5),"K"&amp;RIGHT("00000"&amp;ROW(),5))))))</f>
        <v/>
      </c>
      <c r="O1126" s="16" t="str">
        <f aca="false">IF(N1126="","",COUNTIFS($N$2:$N$1201,"&lt;"&amp;N1126,$F$2:$F$1201,"&gt;0")+1)</f>
        <v/>
      </c>
    </row>
    <row r="1127" customFormat="false" ht="15" hidden="false" customHeight="false" outlineLevel="0" collapsed="false">
      <c r="A1127" s="11" t="str">
        <f aca="false">IF(_LEITURA!$N1127="","",INDEX(_LEITURA!$K$2:$K$1201,_LEITURA!$N1127))</f>
        <v/>
      </c>
      <c r="B1127" s="11" t="str">
        <f aca="false">IF(_LEITURA!$N1127="","",INDEX(_LEITURA!$E$2:$E$1201,_LEITURA!$N1127))</f>
        <v/>
      </c>
      <c r="C1127" s="11" t="str">
        <f aca="false">IF(_LEITURA!$N1127="","",INDEX(_LEITURA!$J$2:$J$1201,_LEITURA!$N1127))</f>
        <v/>
      </c>
      <c r="D1127" s="16" t="str">
        <f aca="false">IF(_LEITURA!$N1127="","",INDEX(_LEITURA!$G$2:$G$1201,_LEITURA!$N1127))</f>
        <v/>
      </c>
      <c r="E1127" s="16" t="str">
        <f aca="false">IF(B1127="","",SUMIFS(INVENTÁRIO!$C$2:$C$801,INVENTÁRIO!$A$2:$A$801,B1127))</f>
        <v/>
      </c>
      <c r="F1127" s="16" t="str">
        <f aca="false">IF(B1127="","",MAX(0,D1127-E1127))</f>
        <v/>
      </c>
      <c r="G1127" s="16" t="str">
        <f aca="false">IF(B1127="","",IF(COUNTIFS($B$2:$B$1201,B1127,$A$2:$A$1201,"&lt;&gt;"&amp;A1127)&gt;0,"Sim",""))</f>
        <v/>
      </c>
      <c r="H1127" s="16" t="str">
        <f aca="false">IF(N(F1127)&gt;0,MAX(H$1:H1126)+1,"")</f>
        <v/>
      </c>
      <c r="I1127" s="11" t="str">
        <f aca="false">IF(B1127="","",IF(INDEX($C$2:$C$1201,MATCH(B1127,$B$2:$B$1201,0))&lt;&gt;C1127,"Nome diferente em outro deck — revisar",""))</f>
        <v/>
      </c>
      <c r="J1127" s="16" t="str">
        <f aca="false">IF(AND(B1127&lt;&gt;"",A1127=BULK!$A$1,N(F1127)&gt;0),MAX(J$1:J1126)+1,"")</f>
        <v/>
      </c>
      <c r="K1127" s="11" t="str">
        <f aca="false">IF(B1127="","",IFERROR(LEFT(B1127,FIND("-",B1127)-1),B1127))</f>
        <v/>
      </c>
      <c r="L1127" s="11" t="str">
        <f aca="false">IF(K1127="","",IF(ISNUMBER(--MID(K1127,1,1)),0,IF(ISNUMBER(--MID(K1127,2,1)),1,IF(ISNUMBER(--MID(K1127,3,1)),2,IF(ISNUMBER(--MID(K1127,4,1)),3,MIN(LEN(K1127),4))))))</f>
        <v/>
      </c>
      <c r="M1127" s="11" t="str">
        <f aca="false">IF(B1127="","",LEFT(K1127,L1127)&amp;REPT("0",4-L1127)&amp;RIGHT("000"&amp;IFERROR(VALUE(MID(K1127,L1127+1,9)),0),3)&amp;RIGHT("0000"&amp;IFERROR(VALUE(MID(B1127,FIND("-",B1127)+1,9)),0),4))</f>
        <v/>
      </c>
      <c r="N1127" s="11" t="str">
        <f aca="false">IF(OR(B1127="",N(F1127)&lt;=0),"",IF('FALTAS POR DECK'!$P$1="Código","K"&amp;M1127&amp;RIGHT("00000"&amp;ROW(),5),IF('FALTAS POR DECK'!$P$1="Nome","K"&amp;UPPER(SUBSTITUTE(SUBSTITUTE(SUBSTITUTE(C1127,"*",""),"?",""),"~",""))&amp;"0"&amp;M1127&amp;RIGHT("00000"&amp;ROW(),5),IF('FALTAS POR DECK'!$P$1="Falta (maior primeiro)","K"&amp;RIGHT("0000"&amp;(9999-F1127),4)&amp;M1127&amp;RIGHT("00000"&amp;ROW(),5),IF('FALTAS POR DECK'!$P$1="Deck e código","K"&amp;RIGHT("00"&amp;IFERROR(MATCH(A1127,_LEITURA!$P$2:$P$21,0),99),2)&amp;M1127&amp;RIGHT("00000"&amp;ROW(),5),"K"&amp;RIGHT("00000"&amp;ROW(),5))))))</f>
        <v/>
      </c>
      <c r="O1127" s="16" t="str">
        <f aca="false">IF(N1127="","",COUNTIFS($N$2:$N$1201,"&lt;"&amp;N1127,$F$2:$F$1201,"&gt;0")+1)</f>
        <v/>
      </c>
    </row>
    <row r="1128" customFormat="false" ht="15" hidden="false" customHeight="false" outlineLevel="0" collapsed="false">
      <c r="A1128" s="11" t="str">
        <f aca="false">IF(_LEITURA!$N1128="","",INDEX(_LEITURA!$K$2:$K$1201,_LEITURA!$N1128))</f>
        <v/>
      </c>
      <c r="B1128" s="11" t="str">
        <f aca="false">IF(_LEITURA!$N1128="","",INDEX(_LEITURA!$E$2:$E$1201,_LEITURA!$N1128))</f>
        <v/>
      </c>
      <c r="C1128" s="11" t="str">
        <f aca="false">IF(_LEITURA!$N1128="","",INDEX(_LEITURA!$J$2:$J$1201,_LEITURA!$N1128))</f>
        <v/>
      </c>
      <c r="D1128" s="16" t="str">
        <f aca="false">IF(_LEITURA!$N1128="","",INDEX(_LEITURA!$G$2:$G$1201,_LEITURA!$N1128))</f>
        <v/>
      </c>
      <c r="E1128" s="16" t="str">
        <f aca="false">IF(B1128="","",SUMIFS(INVENTÁRIO!$C$2:$C$801,INVENTÁRIO!$A$2:$A$801,B1128))</f>
        <v/>
      </c>
      <c r="F1128" s="16" t="str">
        <f aca="false">IF(B1128="","",MAX(0,D1128-E1128))</f>
        <v/>
      </c>
      <c r="G1128" s="16" t="str">
        <f aca="false">IF(B1128="","",IF(COUNTIFS($B$2:$B$1201,B1128,$A$2:$A$1201,"&lt;&gt;"&amp;A1128)&gt;0,"Sim",""))</f>
        <v/>
      </c>
      <c r="H1128" s="16" t="str">
        <f aca="false">IF(N(F1128)&gt;0,MAX(H$1:H1127)+1,"")</f>
        <v/>
      </c>
      <c r="I1128" s="11" t="str">
        <f aca="false">IF(B1128="","",IF(INDEX($C$2:$C$1201,MATCH(B1128,$B$2:$B$1201,0))&lt;&gt;C1128,"Nome diferente em outro deck — revisar",""))</f>
        <v/>
      </c>
      <c r="J1128" s="16" t="str">
        <f aca="false">IF(AND(B1128&lt;&gt;"",A1128=BULK!$A$1,N(F1128)&gt;0),MAX(J$1:J1127)+1,"")</f>
        <v/>
      </c>
      <c r="K1128" s="11" t="str">
        <f aca="false">IF(B1128="","",IFERROR(LEFT(B1128,FIND("-",B1128)-1),B1128))</f>
        <v/>
      </c>
      <c r="L1128" s="11" t="str">
        <f aca="false">IF(K1128="","",IF(ISNUMBER(--MID(K1128,1,1)),0,IF(ISNUMBER(--MID(K1128,2,1)),1,IF(ISNUMBER(--MID(K1128,3,1)),2,IF(ISNUMBER(--MID(K1128,4,1)),3,MIN(LEN(K1128),4))))))</f>
        <v/>
      </c>
      <c r="M1128" s="11" t="str">
        <f aca="false">IF(B1128="","",LEFT(K1128,L1128)&amp;REPT("0",4-L1128)&amp;RIGHT("000"&amp;IFERROR(VALUE(MID(K1128,L1128+1,9)),0),3)&amp;RIGHT("0000"&amp;IFERROR(VALUE(MID(B1128,FIND("-",B1128)+1,9)),0),4))</f>
        <v/>
      </c>
      <c r="N1128" s="11" t="str">
        <f aca="false">IF(OR(B1128="",N(F1128)&lt;=0),"",IF('FALTAS POR DECK'!$P$1="Código","K"&amp;M1128&amp;RIGHT("00000"&amp;ROW(),5),IF('FALTAS POR DECK'!$P$1="Nome","K"&amp;UPPER(SUBSTITUTE(SUBSTITUTE(SUBSTITUTE(C1128,"*",""),"?",""),"~",""))&amp;"0"&amp;M1128&amp;RIGHT("00000"&amp;ROW(),5),IF('FALTAS POR DECK'!$P$1="Falta (maior primeiro)","K"&amp;RIGHT("0000"&amp;(9999-F1128),4)&amp;M1128&amp;RIGHT("00000"&amp;ROW(),5),IF('FALTAS POR DECK'!$P$1="Deck e código","K"&amp;RIGHT("00"&amp;IFERROR(MATCH(A1128,_LEITURA!$P$2:$P$21,0),99),2)&amp;M1128&amp;RIGHT("00000"&amp;ROW(),5),"K"&amp;RIGHT("00000"&amp;ROW(),5))))))</f>
        <v/>
      </c>
      <c r="O1128" s="16" t="str">
        <f aca="false">IF(N1128="","",COUNTIFS($N$2:$N$1201,"&lt;"&amp;N1128,$F$2:$F$1201,"&gt;0")+1)</f>
        <v/>
      </c>
    </row>
    <row r="1129" customFormat="false" ht="15" hidden="false" customHeight="false" outlineLevel="0" collapsed="false">
      <c r="A1129" s="11" t="str">
        <f aca="false">IF(_LEITURA!$N1129="","",INDEX(_LEITURA!$K$2:$K$1201,_LEITURA!$N1129))</f>
        <v/>
      </c>
      <c r="B1129" s="11" t="str">
        <f aca="false">IF(_LEITURA!$N1129="","",INDEX(_LEITURA!$E$2:$E$1201,_LEITURA!$N1129))</f>
        <v/>
      </c>
      <c r="C1129" s="11" t="str">
        <f aca="false">IF(_LEITURA!$N1129="","",INDEX(_LEITURA!$J$2:$J$1201,_LEITURA!$N1129))</f>
        <v/>
      </c>
      <c r="D1129" s="16" t="str">
        <f aca="false">IF(_LEITURA!$N1129="","",INDEX(_LEITURA!$G$2:$G$1201,_LEITURA!$N1129))</f>
        <v/>
      </c>
      <c r="E1129" s="16" t="str">
        <f aca="false">IF(B1129="","",SUMIFS(INVENTÁRIO!$C$2:$C$801,INVENTÁRIO!$A$2:$A$801,B1129))</f>
        <v/>
      </c>
      <c r="F1129" s="16" t="str">
        <f aca="false">IF(B1129="","",MAX(0,D1129-E1129))</f>
        <v/>
      </c>
      <c r="G1129" s="16" t="str">
        <f aca="false">IF(B1129="","",IF(COUNTIFS($B$2:$B$1201,B1129,$A$2:$A$1201,"&lt;&gt;"&amp;A1129)&gt;0,"Sim",""))</f>
        <v/>
      </c>
      <c r="H1129" s="16" t="str">
        <f aca="false">IF(N(F1129)&gt;0,MAX(H$1:H1128)+1,"")</f>
        <v/>
      </c>
      <c r="I1129" s="11" t="str">
        <f aca="false">IF(B1129="","",IF(INDEX($C$2:$C$1201,MATCH(B1129,$B$2:$B$1201,0))&lt;&gt;C1129,"Nome diferente em outro deck — revisar",""))</f>
        <v/>
      </c>
      <c r="J1129" s="16" t="str">
        <f aca="false">IF(AND(B1129&lt;&gt;"",A1129=BULK!$A$1,N(F1129)&gt;0),MAX(J$1:J1128)+1,"")</f>
        <v/>
      </c>
      <c r="K1129" s="11" t="str">
        <f aca="false">IF(B1129="","",IFERROR(LEFT(B1129,FIND("-",B1129)-1),B1129))</f>
        <v/>
      </c>
      <c r="L1129" s="11" t="str">
        <f aca="false">IF(K1129="","",IF(ISNUMBER(--MID(K1129,1,1)),0,IF(ISNUMBER(--MID(K1129,2,1)),1,IF(ISNUMBER(--MID(K1129,3,1)),2,IF(ISNUMBER(--MID(K1129,4,1)),3,MIN(LEN(K1129),4))))))</f>
        <v/>
      </c>
      <c r="M1129" s="11" t="str">
        <f aca="false">IF(B1129="","",LEFT(K1129,L1129)&amp;REPT("0",4-L1129)&amp;RIGHT("000"&amp;IFERROR(VALUE(MID(K1129,L1129+1,9)),0),3)&amp;RIGHT("0000"&amp;IFERROR(VALUE(MID(B1129,FIND("-",B1129)+1,9)),0),4))</f>
        <v/>
      </c>
      <c r="N1129" s="11" t="str">
        <f aca="false">IF(OR(B1129="",N(F1129)&lt;=0),"",IF('FALTAS POR DECK'!$P$1="Código","K"&amp;M1129&amp;RIGHT("00000"&amp;ROW(),5),IF('FALTAS POR DECK'!$P$1="Nome","K"&amp;UPPER(SUBSTITUTE(SUBSTITUTE(SUBSTITUTE(C1129,"*",""),"?",""),"~",""))&amp;"0"&amp;M1129&amp;RIGHT("00000"&amp;ROW(),5),IF('FALTAS POR DECK'!$P$1="Falta (maior primeiro)","K"&amp;RIGHT("0000"&amp;(9999-F1129),4)&amp;M1129&amp;RIGHT("00000"&amp;ROW(),5),IF('FALTAS POR DECK'!$P$1="Deck e código","K"&amp;RIGHT("00"&amp;IFERROR(MATCH(A1129,_LEITURA!$P$2:$P$21,0),99),2)&amp;M1129&amp;RIGHT("00000"&amp;ROW(),5),"K"&amp;RIGHT("00000"&amp;ROW(),5))))))</f>
        <v/>
      </c>
      <c r="O1129" s="16" t="str">
        <f aca="false">IF(N1129="","",COUNTIFS($N$2:$N$1201,"&lt;"&amp;N1129,$F$2:$F$1201,"&gt;0")+1)</f>
        <v/>
      </c>
    </row>
    <row r="1130" customFormat="false" ht="15" hidden="false" customHeight="false" outlineLevel="0" collapsed="false">
      <c r="A1130" s="11" t="str">
        <f aca="false">IF(_LEITURA!$N1130="","",INDEX(_LEITURA!$K$2:$K$1201,_LEITURA!$N1130))</f>
        <v/>
      </c>
      <c r="B1130" s="11" t="str">
        <f aca="false">IF(_LEITURA!$N1130="","",INDEX(_LEITURA!$E$2:$E$1201,_LEITURA!$N1130))</f>
        <v/>
      </c>
      <c r="C1130" s="11" t="str">
        <f aca="false">IF(_LEITURA!$N1130="","",INDEX(_LEITURA!$J$2:$J$1201,_LEITURA!$N1130))</f>
        <v/>
      </c>
      <c r="D1130" s="16" t="str">
        <f aca="false">IF(_LEITURA!$N1130="","",INDEX(_LEITURA!$G$2:$G$1201,_LEITURA!$N1130))</f>
        <v/>
      </c>
      <c r="E1130" s="16" t="str">
        <f aca="false">IF(B1130="","",SUMIFS(INVENTÁRIO!$C$2:$C$801,INVENTÁRIO!$A$2:$A$801,B1130))</f>
        <v/>
      </c>
      <c r="F1130" s="16" t="str">
        <f aca="false">IF(B1130="","",MAX(0,D1130-E1130))</f>
        <v/>
      </c>
      <c r="G1130" s="16" t="str">
        <f aca="false">IF(B1130="","",IF(COUNTIFS($B$2:$B$1201,B1130,$A$2:$A$1201,"&lt;&gt;"&amp;A1130)&gt;0,"Sim",""))</f>
        <v/>
      </c>
      <c r="H1130" s="16" t="str">
        <f aca="false">IF(N(F1130)&gt;0,MAX(H$1:H1129)+1,"")</f>
        <v/>
      </c>
      <c r="I1130" s="11" t="str">
        <f aca="false">IF(B1130="","",IF(INDEX($C$2:$C$1201,MATCH(B1130,$B$2:$B$1201,0))&lt;&gt;C1130,"Nome diferente em outro deck — revisar",""))</f>
        <v/>
      </c>
      <c r="J1130" s="16" t="str">
        <f aca="false">IF(AND(B1130&lt;&gt;"",A1130=BULK!$A$1,N(F1130)&gt;0),MAX(J$1:J1129)+1,"")</f>
        <v/>
      </c>
      <c r="K1130" s="11" t="str">
        <f aca="false">IF(B1130="","",IFERROR(LEFT(B1130,FIND("-",B1130)-1),B1130))</f>
        <v/>
      </c>
      <c r="L1130" s="11" t="str">
        <f aca="false">IF(K1130="","",IF(ISNUMBER(--MID(K1130,1,1)),0,IF(ISNUMBER(--MID(K1130,2,1)),1,IF(ISNUMBER(--MID(K1130,3,1)),2,IF(ISNUMBER(--MID(K1130,4,1)),3,MIN(LEN(K1130),4))))))</f>
        <v/>
      </c>
      <c r="M1130" s="11" t="str">
        <f aca="false">IF(B1130="","",LEFT(K1130,L1130)&amp;REPT("0",4-L1130)&amp;RIGHT("000"&amp;IFERROR(VALUE(MID(K1130,L1130+1,9)),0),3)&amp;RIGHT("0000"&amp;IFERROR(VALUE(MID(B1130,FIND("-",B1130)+1,9)),0),4))</f>
        <v/>
      </c>
      <c r="N1130" s="11" t="str">
        <f aca="false">IF(OR(B1130="",N(F1130)&lt;=0),"",IF('FALTAS POR DECK'!$P$1="Código","K"&amp;M1130&amp;RIGHT("00000"&amp;ROW(),5),IF('FALTAS POR DECK'!$P$1="Nome","K"&amp;UPPER(SUBSTITUTE(SUBSTITUTE(SUBSTITUTE(C1130,"*",""),"?",""),"~",""))&amp;"0"&amp;M1130&amp;RIGHT("00000"&amp;ROW(),5),IF('FALTAS POR DECK'!$P$1="Falta (maior primeiro)","K"&amp;RIGHT("0000"&amp;(9999-F1130),4)&amp;M1130&amp;RIGHT("00000"&amp;ROW(),5),IF('FALTAS POR DECK'!$P$1="Deck e código","K"&amp;RIGHT("00"&amp;IFERROR(MATCH(A1130,_LEITURA!$P$2:$P$21,0),99),2)&amp;M1130&amp;RIGHT("00000"&amp;ROW(),5),"K"&amp;RIGHT("00000"&amp;ROW(),5))))))</f>
        <v/>
      </c>
      <c r="O1130" s="16" t="str">
        <f aca="false">IF(N1130="","",COUNTIFS($N$2:$N$1201,"&lt;"&amp;N1130,$F$2:$F$1201,"&gt;0")+1)</f>
        <v/>
      </c>
    </row>
    <row r="1131" customFormat="false" ht="15" hidden="false" customHeight="false" outlineLevel="0" collapsed="false">
      <c r="A1131" s="11" t="str">
        <f aca="false">IF(_LEITURA!$N1131="","",INDEX(_LEITURA!$K$2:$K$1201,_LEITURA!$N1131))</f>
        <v/>
      </c>
      <c r="B1131" s="11" t="str">
        <f aca="false">IF(_LEITURA!$N1131="","",INDEX(_LEITURA!$E$2:$E$1201,_LEITURA!$N1131))</f>
        <v/>
      </c>
      <c r="C1131" s="11" t="str">
        <f aca="false">IF(_LEITURA!$N1131="","",INDEX(_LEITURA!$J$2:$J$1201,_LEITURA!$N1131))</f>
        <v/>
      </c>
      <c r="D1131" s="16" t="str">
        <f aca="false">IF(_LEITURA!$N1131="","",INDEX(_LEITURA!$G$2:$G$1201,_LEITURA!$N1131))</f>
        <v/>
      </c>
      <c r="E1131" s="16" t="str">
        <f aca="false">IF(B1131="","",SUMIFS(INVENTÁRIO!$C$2:$C$801,INVENTÁRIO!$A$2:$A$801,B1131))</f>
        <v/>
      </c>
      <c r="F1131" s="16" t="str">
        <f aca="false">IF(B1131="","",MAX(0,D1131-E1131))</f>
        <v/>
      </c>
      <c r="G1131" s="16" t="str">
        <f aca="false">IF(B1131="","",IF(COUNTIFS($B$2:$B$1201,B1131,$A$2:$A$1201,"&lt;&gt;"&amp;A1131)&gt;0,"Sim",""))</f>
        <v/>
      </c>
      <c r="H1131" s="16" t="str">
        <f aca="false">IF(N(F1131)&gt;0,MAX(H$1:H1130)+1,"")</f>
        <v/>
      </c>
      <c r="I1131" s="11" t="str">
        <f aca="false">IF(B1131="","",IF(INDEX($C$2:$C$1201,MATCH(B1131,$B$2:$B$1201,0))&lt;&gt;C1131,"Nome diferente em outro deck — revisar",""))</f>
        <v/>
      </c>
      <c r="J1131" s="16" t="str">
        <f aca="false">IF(AND(B1131&lt;&gt;"",A1131=BULK!$A$1,N(F1131)&gt;0),MAX(J$1:J1130)+1,"")</f>
        <v/>
      </c>
      <c r="K1131" s="11" t="str">
        <f aca="false">IF(B1131="","",IFERROR(LEFT(B1131,FIND("-",B1131)-1),B1131))</f>
        <v/>
      </c>
      <c r="L1131" s="11" t="str">
        <f aca="false">IF(K1131="","",IF(ISNUMBER(--MID(K1131,1,1)),0,IF(ISNUMBER(--MID(K1131,2,1)),1,IF(ISNUMBER(--MID(K1131,3,1)),2,IF(ISNUMBER(--MID(K1131,4,1)),3,MIN(LEN(K1131),4))))))</f>
        <v/>
      </c>
      <c r="M1131" s="11" t="str">
        <f aca="false">IF(B1131="","",LEFT(K1131,L1131)&amp;REPT("0",4-L1131)&amp;RIGHT("000"&amp;IFERROR(VALUE(MID(K1131,L1131+1,9)),0),3)&amp;RIGHT("0000"&amp;IFERROR(VALUE(MID(B1131,FIND("-",B1131)+1,9)),0),4))</f>
        <v/>
      </c>
      <c r="N1131" s="11" t="str">
        <f aca="false">IF(OR(B1131="",N(F1131)&lt;=0),"",IF('FALTAS POR DECK'!$P$1="Código","K"&amp;M1131&amp;RIGHT("00000"&amp;ROW(),5),IF('FALTAS POR DECK'!$P$1="Nome","K"&amp;UPPER(SUBSTITUTE(SUBSTITUTE(SUBSTITUTE(C1131,"*",""),"?",""),"~",""))&amp;"0"&amp;M1131&amp;RIGHT("00000"&amp;ROW(),5),IF('FALTAS POR DECK'!$P$1="Falta (maior primeiro)","K"&amp;RIGHT("0000"&amp;(9999-F1131),4)&amp;M1131&amp;RIGHT("00000"&amp;ROW(),5),IF('FALTAS POR DECK'!$P$1="Deck e código","K"&amp;RIGHT("00"&amp;IFERROR(MATCH(A1131,_LEITURA!$P$2:$P$21,0),99),2)&amp;M1131&amp;RIGHT("00000"&amp;ROW(),5),"K"&amp;RIGHT("00000"&amp;ROW(),5))))))</f>
        <v/>
      </c>
      <c r="O1131" s="16" t="str">
        <f aca="false">IF(N1131="","",COUNTIFS($N$2:$N$1201,"&lt;"&amp;N1131,$F$2:$F$1201,"&gt;0")+1)</f>
        <v/>
      </c>
    </row>
    <row r="1132" customFormat="false" ht="15" hidden="false" customHeight="false" outlineLevel="0" collapsed="false">
      <c r="A1132" s="11" t="str">
        <f aca="false">IF(_LEITURA!$N1132="","",INDEX(_LEITURA!$K$2:$K$1201,_LEITURA!$N1132))</f>
        <v/>
      </c>
      <c r="B1132" s="11" t="str">
        <f aca="false">IF(_LEITURA!$N1132="","",INDEX(_LEITURA!$E$2:$E$1201,_LEITURA!$N1132))</f>
        <v/>
      </c>
      <c r="C1132" s="11" t="str">
        <f aca="false">IF(_LEITURA!$N1132="","",INDEX(_LEITURA!$J$2:$J$1201,_LEITURA!$N1132))</f>
        <v/>
      </c>
      <c r="D1132" s="16" t="str">
        <f aca="false">IF(_LEITURA!$N1132="","",INDEX(_LEITURA!$G$2:$G$1201,_LEITURA!$N1132))</f>
        <v/>
      </c>
      <c r="E1132" s="16" t="str">
        <f aca="false">IF(B1132="","",SUMIFS(INVENTÁRIO!$C$2:$C$801,INVENTÁRIO!$A$2:$A$801,B1132))</f>
        <v/>
      </c>
      <c r="F1132" s="16" t="str">
        <f aca="false">IF(B1132="","",MAX(0,D1132-E1132))</f>
        <v/>
      </c>
      <c r="G1132" s="16" t="str">
        <f aca="false">IF(B1132="","",IF(COUNTIFS($B$2:$B$1201,B1132,$A$2:$A$1201,"&lt;&gt;"&amp;A1132)&gt;0,"Sim",""))</f>
        <v/>
      </c>
      <c r="H1132" s="16" t="str">
        <f aca="false">IF(N(F1132)&gt;0,MAX(H$1:H1131)+1,"")</f>
        <v/>
      </c>
      <c r="I1132" s="11" t="str">
        <f aca="false">IF(B1132="","",IF(INDEX($C$2:$C$1201,MATCH(B1132,$B$2:$B$1201,0))&lt;&gt;C1132,"Nome diferente em outro deck — revisar",""))</f>
        <v/>
      </c>
      <c r="J1132" s="16" t="str">
        <f aca="false">IF(AND(B1132&lt;&gt;"",A1132=BULK!$A$1,N(F1132)&gt;0),MAX(J$1:J1131)+1,"")</f>
        <v/>
      </c>
      <c r="K1132" s="11" t="str">
        <f aca="false">IF(B1132="","",IFERROR(LEFT(B1132,FIND("-",B1132)-1),B1132))</f>
        <v/>
      </c>
      <c r="L1132" s="11" t="str">
        <f aca="false">IF(K1132="","",IF(ISNUMBER(--MID(K1132,1,1)),0,IF(ISNUMBER(--MID(K1132,2,1)),1,IF(ISNUMBER(--MID(K1132,3,1)),2,IF(ISNUMBER(--MID(K1132,4,1)),3,MIN(LEN(K1132),4))))))</f>
        <v/>
      </c>
      <c r="M1132" s="11" t="str">
        <f aca="false">IF(B1132="","",LEFT(K1132,L1132)&amp;REPT("0",4-L1132)&amp;RIGHT("000"&amp;IFERROR(VALUE(MID(K1132,L1132+1,9)),0),3)&amp;RIGHT("0000"&amp;IFERROR(VALUE(MID(B1132,FIND("-",B1132)+1,9)),0),4))</f>
        <v/>
      </c>
      <c r="N1132" s="11" t="str">
        <f aca="false">IF(OR(B1132="",N(F1132)&lt;=0),"",IF('FALTAS POR DECK'!$P$1="Código","K"&amp;M1132&amp;RIGHT("00000"&amp;ROW(),5),IF('FALTAS POR DECK'!$P$1="Nome","K"&amp;UPPER(SUBSTITUTE(SUBSTITUTE(SUBSTITUTE(C1132,"*",""),"?",""),"~",""))&amp;"0"&amp;M1132&amp;RIGHT("00000"&amp;ROW(),5),IF('FALTAS POR DECK'!$P$1="Falta (maior primeiro)","K"&amp;RIGHT("0000"&amp;(9999-F1132),4)&amp;M1132&amp;RIGHT("00000"&amp;ROW(),5),IF('FALTAS POR DECK'!$P$1="Deck e código","K"&amp;RIGHT("00"&amp;IFERROR(MATCH(A1132,_LEITURA!$P$2:$P$21,0),99),2)&amp;M1132&amp;RIGHT("00000"&amp;ROW(),5),"K"&amp;RIGHT("00000"&amp;ROW(),5))))))</f>
        <v/>
      </c>
      <c r="O1132" s="16" t="str">
        <f aca="false">IF(N1132="","",COUNTIFS($N$2:$N$1201,"&lt;"&amp;N1132,$F$2:$F$1201,"&gt;0")+1)</f>
        <v/>
      </c>
    </row>
    <row r="1133" customFormat="false" ht="15" hidden="false" customHeight="false" outlineLevel="0" collapsed="false">
      <c r="A1133" s="11" t="str">
        <f aca="false">IF(_LEITURA!$N1133="","",INDEX(_LEITURA!$K$2:$K$1201,_LEITURA!$N1133))</f>
        <v/>
      </c>
      <c r="B1133" s="11" t="str">
        <f aca="false">IF(_LEITURA!$N1133="","",INDEX(_LEITURA!$E$2:$E$1201,_LEITURA!$N1133))</f>
        <v/>
      </c>
      <c r="C1133" s="11" t="str">
        <f aca="false">IF(_LEITURA!$N1133="","",INDEX(_LEITURA!$J$2:$J$1201,_LEITURA!$N1133))</f>
        <v/>
      </c>
      <c r="D1133" s="16" t="str">
        <f aca="false">IF(_LEITURA!$N1133="","",INDEX(_LEITURA!$G$2:$G$1201,_LEITURA!$N1133))</f>
        <v/>
      </c>
      <c r="E1133" s="16" t="str">
        <f aca="false">IF(B1133="","",SUMIFS(INVENTÁRIO!$C$2:$C$801,INVENTÁRIO!$A$2:$A$801,B1133))</f>
        <v/>
      </c>
      <c r="F1133" s="16" t="str">
        <f aca="false">IF(B1133="","",MAX(0,D1133-E1133))</f>
        <v/>
      </c>
      <c r="G1133" s="16" t="str">
        <f aca="false">IF(B1133="","",IF(COUNTIFS($B$2:$B$1201,B1133,$A$2:$A$1201,"&lt;&gt;"&amp;A1133)&gt;0,"Sim",""))</f>
        <v/>
      </c>
      <c r="H1133" s="16" t="str">
        <f aca="false">IF(N(F1133)&gt;0,MAX(H$1:H1132)+1,"")</f>
        <v/>
      </c>
      <c r="I1133" s="11" t="str">
        <f aca="false">IF(B1133="","",IF(INDEX($C$2:$C$1201,MATCH(B1133,$B$2:$B$1201,0))&lt;&gt;C1133,"Nome diferente em outro deck — revisar",""))</f>
        <v/>
      </c>
      <c r="J1133" s="16" t="str">
        <f aca="false">IF(AND(B1133&lt;&gt;"",A1133=BULK!$A$1,N(F1133)&gt;0),MAX(J$1:J1132)+1,"")</f>
        <v/>
      </c>
      <c r="K1133" s="11" t="str">
        <f aca="false">IF(B1133="","",IFERROR(LEFT(B1133,FIND("-",B1133)-1),B1133))</f>
        <v/>
      </c>
      <c r="L1133" s="11" t="str">
        <f aca="false">IF(K1133="","",IF(ISNUMBER(--MID(K1133,1,1)),0,IF(ISNUMBER(--MID(K1133,2,1)),1,IF(ISNUMBER(--MID(K1133,3,1)),2,IF(ISNUMBER(--MID(K1133,4,1)),3,MIN(LEN(K1133),4))))))</f>
        <v/>
      </c>
      <c r="M1133" s="11" t="str">
        <f aca="false">IF(B1133="","",LEFT(K1133,L1133)&amp;REPT("0",4-L1133)&amp;RIGHT("000"&amp;IFERROR(VALUE(MID(K1133,L1133+1,9)),0),3)&amp;RIGHT("0000"&amp;IFERROR(VALUE(MID(B1133,FIND("-",B1133)+1,9)),0),4))</f>
        <v/>
      </c>
      <c r="N1133" s="11" t="str">
        <f aca="false">IF(OR(B1133="",N(F1133)&lt;=0),"",IF('FALTAS POR DECK'!$P$1="Código","K"&amp;M1133&amp;RIGHT("00000"&amp;ROW(),5),IF('FALTAS POR DECK'!$P$1="Nome","K"&amp;UPPER(SUBSTITUTE(SUBSTITUTE(SUBSTITUTE(C1133,"*",""),"?",""),"~",""))&amp;"0"&amp;M1133&amp;RIGHT("00000"&amp;ROW(),5),IF('FALTAS POR DECK'!$P$1="Falta (maior primeiro)","K"&amp;RIGHT("0000"&amp;(9999-F1133),4)&amp;M1133&amp;RIGHT("00000"&amp;ROW(),5),IF('FALTAS POR DECK'!$P$1="Deck e código","K"&amp;RIGHT("00"&amp;IFERROR(MATCH(A1133,_LEITURA!$P$2:$P$21,0),99),2)&amp;M1133&amp;RIGHT("00000"&amp;ROW(),5),"K"&amp;RIGHT("00000"&amp;ROW(),5))))))</f>
        <v/>
      </c>
      <c r="O1133" s="16" t="str">
        <f aca="false">IF(N1133="","",COUNTIFS($N$2:$N$1201,"&lt;"&amp;N1133,$F$2:$F$1201,"&gt;0")+1)</f>
        <v/>
      </c>
    </row>
    <row r="1134" customFormat="false" ht="15" hidden="false" customHeight="false" outlineLevel="0" collapsed="false">
      <c r="A1134" s="11" t="str">
        <f aca="false">IF(_LEITURA!$N1134="","",INDEX(_LEITURA!$K$2:$K$1201,_LEITURA!$N1134))</f>
        <v/>
      </c>
      <c r="B1134" s="11" t="str">
        <f aca="false">IF(_LEITURA!$N1134="","",INDEX(_LEITURA!$E$2:$E$1201,_LEITURA!$N1134))</f>
        <v/>
      </c>
      <c r="C1134" s="11" t="str">
        <f aca="false">IF(_LEITURA!$N1134="","",INDEX(_LEITURA!$J$2:$J$1201,_LEITURA!$N1134))</f>
        <v/>
      </c>
      <c r="D1134" s="16" t="str">
        <f aca="false">IF(_LEITURA!$N1134="","",INDEX(_LEITURA!$G$2:$G$1201,_LEITURA!$N1134))</f>
        <v/>
      </c>
      <c r="E1134" s="16" t="str">
        <f aca="false">IF(B1134="","",SUMIFS(INVENTÁRIO!$C$2:$C$801,INVENTÁRIO!$A$2:$A$801,B1134))</f>
        <v/>
      </c>
      <c r="F1134" s="16" t="str">
        <f aca="false">IF(B1134="","",MAX(0,D1134-E1134))</f>
        <v/>
      </c>
      <c r="G1134" s="16" t="str">
        <f aca="false">IF(B1134="","",IF(COUNTIFS($B$2:$B$1201,B1134,$A$2:$A$1201,"&lt;&gt;"&amp;A1134)&gt;0,"Sim",""))</f>
        <v/>
      </c>
      <c r="H1134" s="16" t="str">
        <f aca="false">IF(N(F1134)&gt;0,MAX(H$1:H1133)+1,"")</f>
        <v/>
      </c>
      <c r="I1134" s="11" t="str">
        <f aca="false">IF(B1134="","",IF(INDEX($C$2:$C$1201,MATCH(B1134,$B$2:$B$1201,0))&lt;&gt;C1134,"Nome diferente em outro deck — revisar",""))</f>
        <v/>
      </c>
      <c r="J1134" s="16" t="str">
        <f aca="false">IF(AND(B1134&lt;&gt;"",A1134=BULK!$A$1,N(F1134)&gt;0),MAX(J$1:J1133)+1,"")</f>
        <v/>
      </c>
      <c r="K1134" s="11" t="str">
        <f aca="false">IF(B1134="","",IFERROR(LEFT(B1134,FIND("-",B1134)-1),B1134))</f>
        <v/>
      </c>
      <c r="L1134" s="11" t="str">
        <f aca="false">IF(K1134="","",IF(ISNUMBER(--MID(K1134,1,1)),0,IF(ISNUMBER(--MID(K1134,2,1)),1,IF(ISNUMBER(--MID(K1134,3,1)),2,IF(ISNUMBER(--MID(K1134,4,1)),3,MIN(LEN(K1134),4))))))</f>
        <v/>
      </c>
      <c r="M1134" s="11" t="str">
        <f aca="false">IF(B1134="","",LEFT(K1134,L1134)&amp;REPT("0",4-L1134)&amp;RIGHT("000"&amp;IFERROR(VALUE(MID(K1134,L1134+1,9)),0),3)&amp;RIGHT("0000"&amp;IFERROR(VALUE(MID(B1134,FIND("-",B1134)+1,9)),0),4))</f>
        <v/>
      </c>
      <c r="N1134" s="11" t="str">
        <f aca="false">IF(OR(B1134="",N(F1134)&lt;=0),"",IF('FALTAS POR DECK'!$P$1="Código","K"&amp;M1134&amp;RIGHT("00000"&amp;ROW(),5),IF('FALTAS POR DECK'!$P$1="Nome","K"&amp;UPPER(SUBSTITUTE(SUBSTITUTE(SUBSTITUTE(C1134,"*",""),"?",""),"~",""))&amp;"0"&amp;M1134&amp;RIGHT("00000"&amp;ROW(),5),IF('FALTAS POR DECK'!$P$1="Falta (maior primeiro)","K"&amp;RIGHT("0000"&amp;(9999-F1134),4)&amp;M1134&amp;RIGHT("00000"&amp;ROW(),5),IF('FALTAS POR DECK'!$P$1="Deck e código","K"&amp;RIGHT("00"&amp;IFERROR(MATCH(A1134,_LEITURA!$P$2:$P$21,0),99),2)&amp;M1134&amp;RIGHT("00000"&amp;ROW(),5),"K"&amp;RIGHT("00000"&amp;ROW(),5))))))</f>
        <v/>
      </c>
      <c r="O1134" s="16" t="str">
        <f aca="false">IF(N1134="","",COUNTIFS($N$2:$N$1201,"&lt;"&amp;N1134,$F$2:$F$1201,"&gt;0")+1)</f>
        <v/>
      </c>
    </row>
    <row r="1135" customFormat="false" ht="15" hidden="false" customHeight="false" outlineLevel="0" collapsed="false">
      <c r="A1135" s="11" t="str">
        <f aca="false">IF(_LEITURA!$N1135="","",INDEX(_LEITURA!$K$2:$K$1201,_LEITURA!$N1135))</f>
        <v/>
      </c>
      <c r="B1135" s="11" t="str">
        <f aca="false">IF(_LEITURA!$N1135="","",INDEX(_LEITURA!$E$2:$E$1201,_LEITURA!$N1135))</f>
        <v/>
      </c>
      <c r="C1135" s="11" t="str">
        <f aca="false">IF(_LEITURA!$N1135="","",INDEX(_LEITURA!$J$2:$J$1201,_LEITURA!$N1135))</f>
        <v/>
      </c>
      <c r="D1135" s="16" t="str">
        <f aca="false">IF(_LEITURA!$N1135="","",INDEX(_LEITURA!$G$2:$G$1201,_LEITURA!$N1135))</f>
        <v/>
      </c>
      <c r="E1135" s="16" t="str">
        <f aca="false">IF(B1135="","",SUMIFS(INVENTÁRIO!$C$2:$C$801,INVENTÁRIO!$A$2:$A$801,B1135))</f>
        <v/>
      </c>
      <c r="F1135" s="16" t="str">
        <f aca="false">IF(B1135="","",MAX(0,D1135-E1135))</f>
        <v/>
      </c>
      <c r="G1135" s="16" t="str">
        <f aca="false">IF(B1135="","",IF(COUNTIFS($B$2:$B$1201,B1135,$A$2:$A$1201,"&lt;&gt;"&amp;A1135)&gt;0,"Sim",""))</f>
        <v/>
      </c>
      <c r="H1135" s="16" t="str">
        <f aca="false">IF(N(F1135)&gt;0,MAX(H$1:H1134)+1,"")</f>
        <v/>
      </c>
      <c r="I1135" s="11" t="str">
        <f aca="false">IF(B1135="","",IF(INDEX($C$2:$C$1201,MATCH(B1135,$B$2:$B$1201,0))&lt;&gt;C1135,"Nome diferente em outro deck — revisar",""))</f>
        <v/>
      </c>
      <c r="J1135" s="16" t="str">
        <f aca="false">IF(AND(B1135&lt;&gt;"",A1135=BULK!$A$1,N(F1135)&gt;0),MAX(J$1:J1134)+1,"")</f>
        <v/>
      </c>
      <c r="K1135" s="11" t="str">
        <f aca="false">IF(B1135="","",IFERROR(LEFT(B1135,FIND("-",B1135)-1),B1135))</f>
        <v/>
      </c>
      <c r="L1135" s="11" t="str">
        <f aca="false">IF(K1135="","",IF(ISNUMBER(--MID(K1135,1,1)),0,IF(ISNUMBER(--MID(K1135,2,1)),1,IF(ISNUMBER(--MID(K1135,3,1)),2,IF(ISNUMBER(--MID(K1135,4,1)),3,MIN(LEN(K1135),4))))))</f>
        <v/>
      </c>
      <c r="M1135" s="11" t="str">
        <f aca="false">IF(B1135="","",LEFT(K1135,L1135)&amp;REPT("0",4-L1135)&amp;RIGHT("000"&amp;IFERROR(VALUE(MID(K1135,L1135+1,9)),0),3)&amp;RIGHT("0000"&amp;IFERROR(VALUE(MID(B1135,FIND("-",B1135)+1,9)),0),4))</f>
        <v/>
      </c>
      <c r="N1135" s="11" t="str">
        <f aca="false">IF(OR(B1135="",N(F1135)&lt;=0),"",IF('FALTAS POR DECK'!$P$1="Código","K"&amp;M1135&amp;RIGHT("00000"&amp;ROW(),5),IF('FALTAS POR DECK'!$P$1="Nome","K"&amp;UPPER(SUBSTITUTE(SUBSTITUTE(SUBSTITUTE(C1135,"*",""),"?",""),"~",""))&amp;"0"&amp;M1135&amp;RIGHT("00000"&amp;ROW(),5),IF('FALTAS POR DECK'!$P$1="Falta (maior primeiro)","K"&amp;RIGHT("0000"&amp;(9999-F1135),4)&amp;M1135&amp;RIGHT("00000"&amp;ROW(),5),IF('FALTAS POR DECK'!$P$1="Deck e código","K"&amp;RIGHT("00"&amp;IFERROR(MATCH(A1135,_LEITURA!$P$2:$P$21,0),99),2)&amp;M1135&amp;RIGHT("00000"&amp;ROW(),5),"K"&amp;RIGHT("00000"&amp;ROW(),5))))))</f>
        <v/>
      </c>
      <c r="O1135" s="16" t="str">
        <f aca="false">IF(N1135="","",COUNTIFS($N$2:$N$1201,"&lt;"&amp;N1135,$F$2:$F$1201,"&gt;0")+1)</f>
        <v/>
      </c>
    </row>
    <row r="1136" customFormat="false" ht="15" hidden="false" customHeight="false" outlineLevel="0" collapsed="false">
      <c r="A1136" s="11" t="str">
        <f aca="false">IF(_LEITURA!$N1136="","",INDEX(_LEITURA!$K$2:$K$1201,_LEITURA!$N1136))</f>
        <v/>
      </c>
      <c r="B1136" s="11" t="str">
        <f aca="false">IF(_LEITURA!$N1136="","",INDEX(_LEITURA!$E$2:$E$1201,_LEITURA!$N1136))</f>
        <v/>
      </c>
      <c r="C1136" s="11" t="str">
        <f aca="false">IF(_LEITURA!$N1136="","",INDEX(_LEITURA!$J$2:$J$1201,_LEITURA!$N1136))</f>
        <v/>
      </c>
      <c r="D1136" s="16" t="str">
        <f aca="false">IF(_LEITURA!$N1136="","",INDEX(_LEITURA!$G$2:$G$1201,_LEITURA!$N1136))</f>
        <v/>
      </c>
      <c r="E1136" s="16" t="str">
        <f aca="false">IF(B1136="","",SUMIFS(INVENTÁRIO!$C$2:$C$801,INVENTÁRIO!$A$2:$A$801,B1136))</f>
        <v/>
      </c>
      <c r="F1136" s="16" t="str">
        <f aca="false">IF(B1136="","",MAX(0,D1136-E1136))</f>
        <v/>
      </c>
      <c r="G1136" s="16" t="str">
        <f aca="false">IF(B1136="","",IF(COUNTIFS($B$2:$B$1201,B1136,$A$2:$A$1201,"&lt;&gt;"&amp;A1136)&gt;0,"Sim",""))</f>
        <v/>
      </c>
      <c r="H1136" s="16" t="str">
        <f aca="false">IF(N(F1136)&gt;0,MAX(H$1:H1135)+1,"")</f>
        <v/>
      </c>
      <c r="I1136" s="11" t="str">
        <f aca="false">IF(B1136="","",IF(INDEX($C$2:$C$1201,MATCH(B1136,$B$2:$B$1201,0))&lt;&gt;C1136,"Nome diferente em outro deck — revisar",""))</f>
        <v/>
      </c>
      <c r="J1136" s="16" t="str">
        <f aca="false">IF(AND(B1136&lt;&gt;"",A1136=BULK!$A$1,N(F1136)&gt;0),MAX(J$1:J1135)+1,"")</f>
        <v/>
      </c>
      <c r="K1136" s="11" t="str">
        <f aca="false">IF(B1136="","",IFERROR(LEFT(B1136,FIND("-",B1136)-1),B1136))</f>
        <v/>
      </c>
      <c r="L1136" s="11" t="str">
        <f aca="false">IF(K1136="","",IF(ISNUMBER(--MID(K1136,1,1)),0,IF(ISNUMBER(--MID(K1136,2,1)),1,IF(ISNUMBER(--MID(K1136,3,1)),2,IF(ISNUMBER(--MID(K1136,4,1)),3,MIN(LEN(K1136),4))))))</f>
        <v/>
      </c>
      <c r="M1136" s="11" t="str">
        <f aca="false">IF(B1136="","",LEFT(K1136,L1136)&amp;REPT("0",4-L1136)&amp;RIGHT("000"&amp;IFERROR(VALUE(MID(K1136,L1136+1,9)),0),3)&amp;RIGHT("0000"&amp;IFERROR(VALUE(MID(B1136,FIND("-",B1136)+1,9)),0),4))</f>
        <v/>
      </c>
      <c r="N1136" s="11" t="str">
        <f aca="false">IF(OR(B1136="",N(F1136)&lt;=0),"",IF('FALTAS POR DECK'!$P$1="Código","K"&amp;M1136&amp;RIGHT("00000"&amp;ROW(),5),IF('FALTAS POR DECK'!$P$1="Nome","K"&amp;UPPER(SUBSTITUTE(SUBSTITUTE(SUBSTITUTE(C1136,"*",""),"?",""),"~",""))&amp;"0"&amp;M1136&amp;RIGHT("00000"&amp;ROW(),5),IF('FALTAS POR DECK'!$P$1="Falta (maior primeiro)","K"&amp;RIGHT("0000"&amp;(9999-F1136),4)&amp;M1136&amp;RIGHT("00000"&amp;ROW(),5),IF('FALTAS POR DECK'!$P$1="Deck e código","K"&amp;RIGHT("00"&amp;IFERROR(MATCH(A1136,_LEITURA!$P$2:$P$21,0),99),2)&amp;M1136&amp;RIGHT("00000"&amp;ROW(),5),"K"&amp;RIGHT("00000"&amp;ROW(),5))))))</f>
        <v/>
      </c>
      <c r="O1136" s="16" t="str">
        <f aca="false">IF(N1136="","",COUNTIFS($N$2:$N$1201,"&lt;"&amp;N1136,$F$2:$F$1201,"&gt;0")+1)</f>
        <v/>
      </c>
    </row>
    <row r="1137" customFormat="false" ht="15" hidden="false" customHeight="false" outlineLevel="0" collapsed="false">
      <c r="A1137" s="11" t="str">
        <f aca="false">IF(_LEITURA!$N1137="","",INDEX(_LEITURA!$K$2:$K$1201,_LEITURA!$N1137))</f>
        <v/>
      </c>
      <c r="B1137" s="11" t="str">
        <f aca="false">IF(_LEITURA!$N1137="","",INDEX(_LEITURA!$E$2:$E$1201,_LEITURA!$N1137))</f>
        <v/>
      </c>
      <c r="C1137" s="11" t="str">
        <f aca="false">IF(_LEITURA!$N1137="","",INDEX(_LEITURA!$J$2:$J$1201,_LEITURA!$N1137))</f>
        <v/>
      </c>
      <c r="D1137" s="16" t="str">
        <f aca="false">IF(_LEITURA!$N1137="","",INDEX(_LEITURA!$G$2:$G$1201,_LEITURA!$N1137))</f>
        <v/>
      </c>
      <c r="E1137" s="16" t="str">
        <f aca="false">IF(B1137="","",SUMIFS(INVENTÁRIO!$C$2:$C$801,INVENTÁRIO!$A$2:$A$801,B1137))</f>
        <v/>
      </c>
      <c r="F1137" s="16" t="str">
        <f aca="false">IF(B1137="","",MAX(0,D1137-E1137))</f>
        <v/>
      </c>
      <c r="G1137" s="16" t="str">
        <f aca="false">IF(B1137="","",IF(COUNTIFS($B$2:$B$1201,B1137,$A$2:$A$1201,"&lt;&gt;"&amp;A1137)&gt;0,"Sim",""))</f>
        <v/>
      </c>
      <c r="H1137" s="16" t="str">
        <f aca="false">IF(N(F1137)&gt;0,MAX(H$1:H1136)+1,"")</f>
        <v/>
      </c>
      <c r="I1137" s="11" t="str">
        <f aca="false">IF(B1137="","",IF(INDEX($C$2:$C$1201,MATCH(B1137,$B$2:$B$1201,0))&lt;&gt;C1137,"Nome diferente em outro deck — revisar",""))</f>
        <v/>
      </c>
      <c r="J1137" s="16" t="str">
        <f aca="false">IF(AND(B1137&lt;&gt;"",A1137=BULK!$A$1,N(F1137)&gt;0),MAX(J$1:J1136)+1,"")</f>
        <v/>
      </c>
      <c r="K1137" s="11" t="str">
        <f aca="false">IF(B1137="","",IFERROR(LEFT(B1137,FIND("-",B1137)-1),B1137))</f>
        <v/>
      </c>
      <c r="L1137" s="11" t="str">
        <f aca="false">IF(K1137="","",IF(ISNUMBER(--MID(K1137,1,1)),0,IF(ISNUMBER(--MID(K1137,2,1)),1,IF(ISNUMBER(--MID(K1137,3,1)),2,IF(ISNUMBER(--MID(K1137,4,1)),3,MIN(LEN(K1137),4))))))</f>
        <v/>
      </c>
      <c r="M1137" s="11" t="str">
        <f aca="false">IF(B1137="","",LEFT(K1137,L1137)&amp;REPT("0",4-L1137)&amp;RIGHT("000"&amp;IFERROR(VALUE(MID(K1137,L1137+1,9)),0),3)&amp;RIGHT("0000"&amp;IFERROR(VALUE(MID(B1137,FIND("-",B1137)+1,9)),0),4))</f>
        <v/>
      </c>
      <c r="N1137" s="11" t="str">
        <f aca="false">IF(OR(B1137="",N(F1137)&lt;=0),"",IF('FALTAS POR DECK'!$P$1="Código","K"&amp;M1137&amp;RIGHT("00000"&amp;ROW(),5),IF('FALTAS POR DECK'!$P$1="Nome","K"&amp;UPPER(SUBSTITUTE(SUBSTITUTE(SUBSTITUTE(C1137,"*",""),"?",""),"~",""))&amp;"0"&amp;M1137&amp;RIGHT("00000"&amp;ROW(),5),IF('FALTAS POR DECK'!$P$1="Falta (maior primeiro)","K"&amp;RIGHT("0000"&amp;(9999-F1137),4)&amp;M1137&amp;RIGHT("00000"&amp;ROW(),5),IF('FALTAS POR DECK'!$P$1="Deck e código","K"&amp;RIGHT("00"&amp;IFERROR(MATCH(A1137,_LEITURA!$P$2:$P$21,0),99),2)&amp;M1137&amp;RIGHT("00000"&amp;ROW(),5),"K"&amp;RIGHT("00000"&amp;ROW(),5))))))</f>
        <v/>
      </c>
      <c r="O1137" s="16" t="str">
        <f aca="false">IF(N1137="","",COUNTIFS($N$2:$N$1201,"&lt;"&amp;N1137,$F$2:$F$1201,"&gt;0")+1)</f>
        <v/>
      </c>
    </row>
    <row r="1138" customFormat="false" ht="15" hidden="false" customHeight="false" outlineLevel="0" collapsed="false">
      <c r="A1138" s="11" t="str">
        <f aca="false">IF(_LEITURA!$N1138="","",INDEX(_LEITURA!$K$2:$K$1201,_LEITURA!$N1138))</f>
        <v/>
      </c>
      <c r="B1138" s="11" t="str">
        <f aca="false">IF(_LEITURA!$N1138="","",INDEX(_LEITURA!$E$2:$E$1201,_LEITURA!$N1138))</f>
        <v/>
      </c>
      <c r="C1138" s="11" t="str">
        <f aca="false">IF(_LEITURA!$N1138="","",INDEX(_LEITURA!$J$2:$J$1201,_LEITURA!$N1138))</f>
        <v/>
      </c>
      <c r="D1138" s="16" t="str">
        <f aca="false">IF(_LEITURA!$N1138="","",INDEX(_LEITURA!$G$2:$G$1201,_LEITURA!$N1138))</f>
        <v/>
      </c>
      <c r="E1138" s="16" t="str">
        <f aca="false">IF(B1138="","",SUMIFS(INVENTÁRIO!$C$2:$C$801,INVENTÁRIO!$A$2:$A$801,B1138))</f>
        <v/>
      </c>
      <c r="F1138" s="16" t="str">
        <f aca="false">IF(B1138="","",MAX(0,D1138-E1138))</f>
        <v/>
      </c>
      <c r="G1138" s="16" t="str">
        <f aca="false">IF(B1138="","",IF(COUNTIFS($B$2:$B$1201,B1138,$A$2:$A$1201,"&lt;&gt;"&amp;A1138)&gt;0,"Sim",""))</f>
        <v/>
      </c>
      <c r="H1138" s="16" t="str">
        <f aca="false">IF(N(F1138)&gt;0,MAX(H$1:H1137)+1,"")</f>
        <v/>
      </c>
      <c r="I1138" s="11" t="str">
        <f aca="false">IF(B1138="","",IF(INDEX($C$2:$C$1201,MATCH(B1138,$B$2:$B$1201,0))&lt;&gt;C1138,"Nome diferente em outro deck — revisar",""))</f>
        <v/>
      </c>
      <c r="J1138" s="16" t="str">
        <f aca="false">IF(AND(B1138&lt;&gt;"",A1138=BULK!$A$1,N(F1138)&gt;0),MAX(J$1:J1137)+1,"")</f>
        <v/>
      </c>
      <c r="K1138" s="11" t="str">
        <f aca="false">IF(B1138="","",IFERROR(LEFT(B1138,FIND("-",B1138)-1),B1138))</f>
        <v/>
      </c>
      <c r="L1138" s="11" t="str">
        <f aca="false">IF(K1138="","",IF(ISNUMBER(--MID(K1138,1,1)),0,IF(ISNUMBER(--MID(K1138,2,1)),1,IF(ISNUMBER(--MID(K1138,3,1)),2,IF(ISNUMBER(--MID(K1138,4,1)),3,MIN(LEN(K1138),4))))))</f>
        <v/>
      </c>
      <c r="M1138" s="11" t="str">
        <f aca="false">IF(B1138="","",LEFT(K1138,L1138)&amp;REPT("0",4-L1138)&amp;RIGHT("000"&amp;IFERROR(VALUE(MID(K1138,L1138+1,9)),0),3)&amp;RIGHT("0000"&amp;IFERROR(VALUE(MID(B1138,FIND("-",B1138)+1,9)),0),4))</f>
        <v/>
      </c>
      <c r="N1138" s="11" t="str">
        <f aca="false">IF(OR(B1138="",N(F1138)&lt;=0),"",IF('FALTAS POR DECK'!$P$1="Código","K"&amp;M1138&amp;RIGHT("00000"&amp;ROW(),5),IF('FALTAS POR DECK'!$P$1="Nome","K"&amp;UPPER(SUBSTITUTE(SUBSTITUTE(SUBSTITUTE(C1138,"*",""),"?",""),"~",""))&amp;"0"&amp;M1138&amp;RIGHT("00000"&amp;ROW(),5),IF('FALTAS POR DECK'!$P$1="Falta (maior primeiro)","K"&amp;RIGHT("0000"&amp;(9999-F1138),4)&amp;M1138&amp;RIGHT("00000"&amp;ROW(),5),IF('FALTAS POR DECK'!$P$1="Deck e código","K"&amp;RIGHT("00"&amp;IFERROR(MATCH(A1138,_LEITURA!$P$2:$P$21,0),99),2)&amp;M1138&amp;RIGHT("00000"&amp;ROW(),5),"K"&amp;RIGHT("00000"&amp;ROW(),5))))))</f>
        <v/>
      </c>
      <c r="O1138" s="16" t="str">
        <f aca="false">IF(N1138="","",COUNTIFS($N$2:$N$1201,"&lt;"&amp;N1138,$F$2:$F$1201,"&gt;0")+1)</f>
        <v/>
      </c>
    </row>
    <row r="1139" customFormat="false" ht="15" hidden="false" customHeight="false" outlineLevel="0" collapsed="false">
      <c r="A1139" s="11" t="str">
        <f aca="false">IF(_LEITURA!$N1139="","",INDEX(_LEITURA!$K$2:$K$1201,_LEITURA!$N1139))</f>
        <v/>
      </c>
      <c r="B1139" s="11" t="str">
        <f aca="false">IF(_LEITURA!$N1139="","",INDEX(_LEITURA!$E$2:$E$1201,_LEITURA!$N1139))</f>
        <v/>
      </c>
      <c r="C1139" s="11" t="str">
        <f aca="false">IF(_LEITURA!$N1139="","",INDEX(_LEITURA!$J$2:$J$1201,_LEITURA!$N1139))</f>
        <v/>
      </c>
      <c r="D1139" s="16" t="str">
        <f aca="false">IF(_LEITURA!$N1139="","",INDEX(_LEITURA!$G$2:$G$1201,_LEITURA!$N1139))</f>
        <v/>
      </c>
      <c r="E1139" s="16" t="str">
        <f aca="false">IF(B1139="","",SUMIFS(INVENTÁRIO!$C$2:$C$801,INVENTÁRIO!$A$2:$A$801,B1139))</f>
        <v/>
      </c>
      <c r="F1139" s="16" t="str">
        <f aca="false">IF(B1139="","",MAX(0,D1139-E1139))</f>
        <v/>
      </c>
      <c r="G1139" s="16" t="str">
        <f aca="false">IF(B1139="","",IF(COUNTIFS($B$2:$B$1201,B1139,$A$2:$A$1201,"&lt;&gt;"&amp;A1139)&gt;0,"Sim",""))</f>
        <v/>
      </c>
      <c r="H1139" s="16" t="str">
        <f aca="false">IF(N(F1139)&gt;0,MAX(H$1:H1138)+1,"")</f>
        <v/>
      </c>
      <c r="I1139" s="11" t="str">
        <f aca="false">IF(B1139="","",IF(INDEX($C$2:$C$1201,MATCH(B1139,$B$2:$B$1201,0))&lt;&gt;C1139,"Nome diferente em outro deck — revisar",""))</f>
        <v/>
      </c>
      <c r="J1139" s="16" t="str">
        <f aca="false">IF(AND(B1139&lt;&gt;"",A1139=BULK!$A$1,N(F1139)&gt;0),MAX(J$1:J1138)+1,"")</f>
        <v/>
      </c>
      <c r="K1139" s="11" t="str">
        <f aca="false">IF(B1139="","",IFERROR(LEFT(B1139,FIND("-",B1139)-1),B1139))</f>
        <v/>
      </c>
      <c r="L1139" s="11" t="str">
        <f aca="false">IF(K1139="","",IF(ISNUMBER(--MID(K1139,1,1)),0,IF(ISNUMBER(--MID(K1139,2,1)),1,IF(ISNUMBER(--MID(K1139,3,1)),2,IF(ISNUMBER(--MID(K1139,4,1)),3,MIN(LEN(K1139),4))))))</f>
        <v/>
      </c>
      <c r="M1139" s="11" t="str">
        <f aca="false">IF(B1139="","",LEFT(K1139,L1139)&amp;REPT("0",4-L1139)&amp;RIGHT("000"&amp;IFERROR(VALUE(MID(K1139,L1139+1,9)),0),3)&amp;RIGHT("0000"&amp;IFERROR(VALUE(MID(B1139,FIND("-",B1139)+1,9)),0),4))</f>
        <v/>
      </c>
      <c r="N1139" s="11" t="str">
        <f aca="false">IF(OR(B1139="",N(F1139)&lt;=0),"",IF('FALTAS POR DECK'!$P$1="Código","K"&amp;M1139&amp;RIGHT("00000"&amp;ROW(),5),IF('FALTAS POR DECK'!$P$1="Nome","K"&amp;UPPER(SUBSTITUTE(SUBSTITUTE(SUBSTITUTE(C1139,"*",""),"?",""),"~",""))&amp;"0"&amp;M1139&amp;RIGHT("00000"&amp;ROW(),5),IF('FALTAS POR DECK'!$P$1="Falta (maior primeiro)","K"&amp;RIGHT("0000"&amp;(9999-F1139),4)&amp;M1139&amp;RIGHT("00000"&amp;ROW(),5),IF('FALTAS POR DECK'!$P$1="Deck e código","K"&amp;RIGHT("00"&amp;IFERROR(MATCH(A1139,_LEITURA!$P$2:$P$21,0),99),2)&amp;M1139&amp;RIGHT("00000"&amp;ROW(),5),"K"&amp;RIGHT("00000"&amp;ROW(),5))))))</f>
        <v/>
      </c>
      <c r="O1139" s="16" t="str">
        <f aca="false">IF(N1139="","",COUNTIFS($N$2:$N$1201,"&lt;"&amp;N1139,$F$2:$F$1201,"&gt;0")+1)</f>
        <v/>
      </c>
    </row>
    <row r="1140" customFormat="false" ht="15" hidden="false" customHeight="false" outlineLevel="0" collapsed="false">
      <c r="A1140" s="11" t="str">
        <f aca="false">IF(_LEITURA!$N1140="","",INDEX(_LEITURA!$K$2:$K$1201,_LEITURA!$N1140))</f>
        <v/>
      </c>
      <c r="B1140" s="11" t="str">
        <f aca="false">IF(_LEITURA!$N1140="","",INDEX(_LEITURA!$E$2:$E$1201,_LEITURA!$N1140))</f>
        <v/>
      </c>
      <c r="C1140" s="11" t="str">
        <f aca="false">IF(_LEITURA!$N1140="","",INDEX(_LEITURA!$J$2:$J$1201,_LEITURA!$N1140))</f>
        <v/>
      </c>
      <c r="D1140" s="16" t="str">
        <f aca="false">IF(_LEITURA!$N1140="","",INDEX(_LEITURA!$G$2:$G$1201,_LEITURA!$N1140))</f>
        <v/>
      </c>
      <c r="E1140" s="16" t="str">
        <f aca="false">IF(B1140="","",SUMIFS(INVENTÁRIO!$C$2:$C$801,INVENTÁRIO!$A$2:$A$801,B1140))</f>
        <v/>
      </c>
      <c r="F1140" s="16" t="str">
        <f aca="false">IF(B1140="","",MAX(0,D1140-E1140))</f>
        <v/>
      </c>
      <c r="G1140" s="16" t="str">
        <f aca="false">IF(B1140="","",IF(COUNTIFS($B$2:$B$1201,B1140,$A$2:$A$1201,"&lt;&gt;"&amp;A1140)&gt;0,"Sim",""))</f>
        <v/>
      </c>
      <c r="H1140" s="16" t="str">
        <f aca="false">IF(N(F1140)&gt;0,MAX(H$1:H1139)+1,"")</f>
        <v/>
      </c>
      <c r="I1140" s="11" t="str">
        <f aca="false">IF(B1140="","",IF(INDEX($C$2:$C$1201,MATCH(B1140,$B$2:$B$1201,0))&lt;&gt;C1140,"Nome diferente em outro deck — revisar",""))</f>
        <v/>
      </c>
      <c r="J1140" s="16" t="str">
        <f aca="false">IF(AND(B1140&lt;&gt;"",A1140=BULK!$A$1,N(F1140)&gt;0),MAX(J$1:J1139)+1,"")</f>
        <v/>
      </c>
      <c r="K1140" s="11" t="str">
        <f aca="false">IF(B1140="","",IFERROR(LEFT(B1140,FIND("-",B1140)-1),B1140))</f>
        <v/>
      </c>
      <c r="L1140" s="11" t="str">
        <f aca="false">IF(K1140="","",IF(ISNUMBER(--MID(K1140,1,1)),0,IF(ISNUMBER(--MID(K1140,2,1)),1,IF(ISNUMBER(--MID(K1140,3,1)),2,IF(ISNUMBER(--MID(K1140,4,1)),3,MIN(LEN(K1140),4))))))</f>
        <v/>
      </c>
      <c r="M1140" s="11" t="str">
        <f aca="false">IF(B1140="","",LEFT(K1140,L1140)&amp;REPT("0",4-L1140)&amp;RIGHT("000"&amp;IFERROR(VALUE(MID(K1140,L1140+1,9)),0),3)&amp;RIGHT("0000"&amp;IFERROR(VALUE(MID(B1140,FIND("-",B1140)+1,9)),0),4))</f>
        <v/>
      </c>
      <c r="N1140" s="11" t="str">
        <f aca="false">IF(OR(B1140="",N(F1140)&lt;=0),"",IF('FALTAS POR DECK'!$P$1="Código","K"&amp;M1140&amp;RIGHT("00000"&amp;ROW(),5),IF('FALTAS POR DECK'!$P$1="Nome","K"&amp;UPPER(SUBSTITUTE(SUBSTITUTE(SUBSTITUTE(C1140,"*",""),"?",""),"~",""))&amp;"0"&amp;M1140&amp;RIGHT("00000"&amp;ROW(),5),IF('FALTAS POR DECK'!$P$1="Falta (maior primeiro)","K"&amp;RIGHT("0000"&amp;(9999-F1140),4)&amp;M1140&amp;RIGHT("00000"&amp;ROW(),5),IF('FALTAS POR DECK'!$P$1="Deck e código","K"&amp;RIGHT("00"&amp;IFERROR(MATCH(A1140,_LEITURA!$P$2:$P$21,0),99),2)&amp;M1140&amp;RIGHT("00000"&amp;ROW(),5),"K"&amp;RIGHT("00000"&amp;ROW(),5))))))</f>
        <v/>
      </c>
      <c r="O1140" s="16" t="str">
        <f aca="false">IF(N1140="","",COUNTIFS($N$2:$N$1201,"&lt;"&amp;N1140,$F$2:$F$1201,"&gt;0")+1)</f>
        <v/>
      </c>
    </row>
    <row r="1141" customFormat="false" ht="15" hidden="false" customHeight="false" outlineLevel="0" collapsed="false">
      <c r="A1141" s="11" t="str">
        <f aca="false">IF(_LEITURA!$N1141="","",INDEX(_LEITURA!$K$2:$K$1201,_LEITURA!$N1141))</f>
        <v/>
      </c>
      <c r="B1141" s="11" t="str">
        <f aca="false">IF(_LEITURA!$N1141="","",INDEX(_LEITURA!$E$2:$E$1201,_LEITURA!$N1141))</f>
        <v/>
      </c>
      <c r="C1141" s="11" t="str">
        <f aca="false">IF(_LEITURA!$N1141="","",INDEX(_LEITURA!$J$2:$J$1201,_LEITURA!$N1141))</f>
        <v/>
      </c>
      <c r="D1141" s="16" t="str">
        <f aca="false">IF(_LEITURA!$N1141="","",INDEX(_LEITURA!$G$2:$G$1201,_LEITURA!$N1141))</f>
        <v/>
      </c>
      <c r="E1141" s="16" t="str">
        <f aca="false">IF(B1141="","",SUMIFS(INVENTÁRIO!$C$2:$C$801,INVENTÁRIO!$A$2:$A$801,B1141))</f>
        <v/>
      </c>
      <c r="F1141" s="16" t="str">
        <f aca="false">IF(B1141="","",MAX(0,D1141-E1141))</f>
        <v/>
      </c>
      <c r="G1141" s="16" t="str">
        <f aca="false">IF(B1141="","",IF(COUNTIFS($B$2:$B$1201,B1141,$A$2:$A$1201,"&lt;&gt;"&amp;A1141)&gt;0,"Sim",""))</f>
        <v/>
      </c>
      <c r="H1141" s="16" t="str">
        <f aca="false">IF(N(F1141)&gt;0,MAX(H$1:H1140)+1,"")</f>
        <v/>
      </c>
      <c r="I1141" s="11" t="str">
        <f aca="false">IF(B1141="","",IF(INDEX($C$2:$C$1201,MATCH(B1141,$B$2:$B$1201,0))&lt;&gt;C1141,"Nome diferente em outro deck — revisar",""))</f>
        <v/>
      </c>
      <c r="J1141" s="16" t="str">
        <f aca="false">IF(AND(B1141&lt;&gt;"",A1141=BULK!$A$1,N(F1141)&gt;0),MAX(J$1:J1140)+1,"")</f>
        <v/>
      </c>
      <c r="K1141" s="11" t="str">
        <f aca="false">IF(B1141="","",IFERROR(LEFT(B1141,FIND("-",B1141)-1),B1141))</f>
        <v/>
      </c>
      <c r="L1141" s="11" t="str">
        <f aca="false">IF(K1141="","",IF(ISNUMBER(--MID(K1141,1,1)),0,IF(ISNUMBER(--MID(K1141,2,1)),1,IF(ISNUMBER(--MID(K1141,3,1)),2,IF(ISNUMBER(--MID(K1141,4,1)),3,MIN(LEN(K1141),4))))))</f>
        <v/>
      </c>
      <c r="M1141" s="11" t="str">
        <f aca="false">IF(B1141="","",LEFT(K1141,L1141)&amp;REPT("0",4-L1141)&amp;RIGHT("000"&amp;IFERROR(VALUE(MID(K1141,L1141+1,9)),0),3)&amp;RIGHT("0000"&amp;IFERROR(VALUE(MID(B1141,FIND("-",B1141)+1,9)),0),4))</f>
        <v/>
      </c>
      <c r="N1141" s="11" t="str">
        <f aca="false">IF(OR(B1141="",N(F1141)&lt;=0),"",IF('FALTAS POR DECK'!$P$1="Código","K"&amp;M1141&amp;RIGHT("00000"&amp;ROW(),5),IF('FALTAS POR DECK'!$P$1="Nome","K"&amp;UPPER(SUBSTITUTE(SUBSTITUTE(SUBSTITUTE(C1141,"*",""),"?",""),"~",""))&amp;"0"&amp;M1141&amp;RIGHT("00000"&amp;ROW(),5),IF('FALTAS POR DECK'!$P$1="Falta (maior primeiro)","K"&amp;RIGHT("0000"&amp;(9999-F1141),4)&amp;M1141&amp;RIGHT("00000"&amp;ROW(),5),IF('FALTAS POR DECK'!$P$1="Deck e código","K"&amp;RIGHT("00"&amp;IFERROR(MATCH(A1141,_LEITURA!$P$2:$P$21,0),99),2)&amp;M1141&amp;RIGHT("00000"&amp;ROW(),5),"K"&amp;RIGHT("00000"&amp;ROW(),5))))))</f>
        <v/>
      </c>
      <c r="O1141" s="16" t="str">
        <f aca="false">IF(N1141="","",COUNTIFS($N$2:$N$1201,"&lt;"&amp;N1141,$F$2:$F$1201,"&gt;0")+1)</f>
        <v/>
      </c>
    </row>
    <row r="1142" customFormat="false" ht="15" hidden="false" customHeight="false" outlineLevel="0" collapsed="false">
      <c r="A1142" s="11" t="str">
        <f aca="false">IF(_LEITURA!$N1142="","",INDEX(_LEITURA!$K$2:$K$1201,_LEITURA!$N1142))</f>
        <v/>
      </c>
      <c r="B1142" s="11" t="str">
        <f aca="false">IF(_LEITURA!$N1142="","",INDEX(_LEITURA!$E$2:$E$1201,_LEITURA!$N1142))</f>
        <v/>
      </c>
      <c r="C1142" s="11" t="str">
        <f aca="false">IF(_LEITURA!$N1142="","",INDEX(_LEITURA!$J$2:$J$1201,_LEITURA!$N1142))</f>
        <v/>
      </c>
      <c r="D1142" s="16" t="str">
        <f aca="false">IF(_LEITURA!$N1142="","",INDEX(_LEITURA!$G$2:$G$1201,_LEITURA!$N1142))</f>
        <v/>
      </c>
      <c r="E1142" s="16" t="str">
        <f aca="false">IF(B1142="","",SUMIFS(INVENTÁRIO!$C$2:$C$801,INVENTÁRIO!$A$2:$A$801,B1142))</f>
        <v/>
      </c>
      <c r="F1142" s="16" t="str">
        <f aca="false">IF(B1142="","",MAX(0,D1142-E1142))</f>
        <v/>
      </c>
      <c r="G1142" s="16" t="str">
        <f aca="false">IF(B1142="","",IF(COUNTIFS($B$2:$B$1201,B1142,$A$2:$A$1201,"&lt;&gt;"&amp;A1142)&gt;0,"Sim",""))</f>
        <v/>
      </c>
      <c r="H1142" s="16" t="str">
        <f aca="false">IF(N(F1142)&gt;0,MAX(H$1:H1141)+1,"")</f>
        <v/>
      </c>
      <c r="I1142" s="11" t="str">
        <f aca="false">IF(B1142="","",IF(INDEX($C$2:$C$1201,MATCH(B1142,$B$2:$B$1201,0))&lt;&gt;C1142,"Nome diferente em outro deck — revisar",""))</f>
        <v/>
      </c>
      <c r="J1142" s="16" t="str">
        <f aca="false">IF(AND(B1142&lt;&gt;"",A1142=BULK!$A$1,N(F1142)&gt;0),MAX(J$1:J1141)+1,"")</f>
        <v/>
      </c>
      <c r="K1142" s="11" t="str">
        <f aca="false">IF(B1142="","",IFERROR(LEFT(B1142,FIND("-",B1142)-1),B1142))</f>
        <v/>
      </c>
      <c r="L1142" s="11" t="str">
        <f aca="false">IF(K1142="","",IF(ISNUMBER(--MID(K1142,1,1)),0,IF(ISNUMBER(--MID(K1142,2,1)),1,IF(ISNUMBER(--MID(K1142,3,1)),2,IF(ISNUMBER(--MID(K1142,4,1)),3,MIN(LEN(K1142),4))))))</f>
        <v/>
      </c>
      <c r="M1142" s="11" t="str">
        <f aca="false">IF(B1142="","",LEFT(K1142,L1142)&amp;REPT("0",4-L1142)&amp;RIGHT("000"&amp;IFERROR(VALUE(MID(K1142,L1142+1,9)),0),3)&amp;RIGHT("0000"&amp;IFERROR(VALUE(MID(B1142,FIND("-",B1142)+1,9)),0),4))</f>
        <v/>
      </c>
      <c r="N1142" s="11" t="str">
        <f aca="false">IF(OR(B1142="",N(F1142)&lt;=0),"",IF('FALTAS POR DECK'!$P$1="Código","K"&amp;M1142&amp;RIGHT("00000"&amp;ROW(),5),IF('FALTAS POR DECK'!$P$1="Nome","K"&amp;UPPER(SUBSTITUTE(SUBSTITUTE(SUBSTITUTE(C1142,"*",""),"?",""),"~",""))&amp;"0"&amp;M1142&amp;RIGHT("00000"&amp;ROW(),5),IF('FALTAS POR DECK'!$P$1="Falta (maior primeiro)","K"&amp;RIGHT("0000"&amp;(9999-F1142),4)&amp;M1142&amp;RIGHT("00000"&amp;ROW(),5),IF('FALTAS POR DECK'!$P$1="Deck e código","K"&amp;RIGHT("00"&amp;IFERROR(MATCH(A1142,_LEITURA!$P$2:$P$21,0),99),2)&amp;M1142&amp;RIGHT("00000"&amp;ROW(),5),"K"&amp;RIGHT("00000"&amp;ROW(),5))))))</f>
        <v/>
      </c>
      <c r="O1142" s="16" t="str">
        <f aca="false">IF(N1142="","",COUNTIFS($N$2:$N$1201,"&lt;"&amp;N1142,$F$2:$F$1201,"&gt;0")+1)</f>
        <v/>
      </c>
    </row>
    <row r="1143" customFormat="false" ht="15" hidden="false" customHeight="false" outlineLevel="0" collapsed="false">
      <c r="A1143" s="11" t="str">
        <f aca="false">IF(_LEITURA!$N1143="","",INDEX(_LEITURA!$K$2:$K$1201,_LEITURA!$N1143))</f>
        <v/>
      </c>
      <c r="B1143" s="11" t="str">
        <f aca="false">IF(_LEITURA!$N1143="","",INDEX(_LEITURA!$E$2:$E$1201,_LEITURA!$N1143))</f>
        <v/>
      </c>
      <c r="C1143" s="11" t="str">
        <f aca="false">IF(_LEITURA!$N1143="","",INDEX(_LEITURA!$J$2:$J$1201,_LEITURA!$N1143))</f>
        <v/>
      </c>
      <c r="D1143" s="16" t="str">
        <f aca="false">IF(_LEITURA!$N1143="","",INDEX(_LEITURA!$G$2:$G$1201,_LEITURA!$N1143))</f>
        <v/>
      </c>
      <c r="E1143" s="16" t="str">
        <f aca="false">IF(B1143="","",SUMIFS(INVENTÁRIO!$C$2:$C$801,INVENTÁRIO!$A$2:$A$801,B1143))</f>
        <v/>
      </c>
      <c r="F1143" s="16" t="str">
        <f aca="false">IF(B1143="","",MAX(0,D1143-E1143))</f>
        <v/>
      </c>
      <c r="G1143" s="16" t="str">
        <f aca="false">IF(B1143="","",IF(COUNTIFS($B$2:$B$1201,B1143,$A$2:$A$1201,"&lt;&gt;"&amp;A1143)&gt;0,"Sim",""))</f>
        <v/>
      </c>
      <c r="H1143" s="16" t="str">
        <f aca="false">IF(N(F1143)&gt;0,MAX(H$1:H1142)+1,"")</f>
        <v/>
      </c>
      <c r="I1143" s="11" t="str">
        <f aca="false">IF(B1143="","",IF(INDEX($C$2:$C$1201,MATCH(B1143,$B$2:$B$1201,0))&lt;&gt;C1143,"Nome diferente em outro deck — revisar",""))</f>
        <v/>
      </c>
      <c r="J1143" s="16" t="str">
        <f aca="false">IF(AND(B1143&lt;&gt;"",A1143=BULK!$A$1,N(F1143)&gt;0),MAX(J$1:J1142)+1,"")</f>
        <v/>
      </c>
      <c r="K1143" s="11" t="str">
        <f aca="false">IF(B1143="","",IFERROR(LEFT(B1143,FIND("-",B1143)-1),B1143))</f>
        <v/>
      </c>
      <c r="L1143" s="11" t="str">
        <f aca="false">IF(K1143="","",IF(ISNUMBER(--MID(K1143,1,1)),0,IF(ISNUMBER(--MID(K1143,2,1)),1,IF(ISNUMBER(--MID(K1143,3,1)),2,IF(ISNUMBER(--MID(K1143,4,1)),3,MIN(LEN(K1143),4))))))</f>
        <v/>
      </c>
      <c r="M1143" s="11" t="str">
        <f aca="false">IF(B1143="","",LEFT(K1143,L1143)&amp;REPT("0",4-L1143)&amp;RIGHT("000"&amp;IFERROR(VALUE(MID(K1143,L1143+1,9)),0),3)&amp;RIGHT("0000"&amp;IFERROR(VALUE(MID(B1143,FIND("-",B1143)+1,9)),0),4))</f>
        <v/>
      </c>
      <c r="N1143" s="11" t="str">
        <f aca="false">IF(OR(B1143="",N(F1143)&lt;=0),"",IF('FALTAS POR DECK'!$P$1="Código","K"&amp;M1143&amp;RIGHT("00000"&amp;ROW(),5),IF('FALTAS POR DECK'!$P$1="Nome","K"&amp;UPPER(SUBSTITUTE(SUBSTITUTE(SUBSTITUTE(C1143,"*",""),"?",""),"~",""))&amp;"0"&amp;M1143&amp;RIGHT("00000"&amp;ROW(),5),IF('FALTAS POR DECK'!$P$1="Falta (maior primeiro)","K"&amp;RIGHT("0000"&amp;(9999-F1143),4)&amp;M1143&amp;RIGHT("00000"&amp;ROW(),5),IF('FALTAS POR DECK'!$P$1="Deck e código","K"&amp;RIGHT("00"&amp;IFERROR(MATCH(A1143,_LEITURA!$P$2:$P$21,0),99),2)&amp;M1143&amp;RIGHT("00000"&amp;ROW(),5),"K"&amp;RIGHT("00000"&amp;ROW(),5))))))</f>
        <v/>
      </c>
      <c r="O1143" s="16" t="str">
        <f aca="false">IF(N1143="","",COUNTIFS($N$2:$N$1201,"&lt;"&amp;N1143,$F$2:$F$1201,"&gt;0")+1)</f>
        <v/>
      </c>
    </row>
    <row r="1144" customFormat="false" ht="15" hidden="false" customHeight="false" outlineLevel="0" collapsed="false">
      <c r="A1144" s="11" t="str">
        <f aca="false">IF(_LEITURA!$N1144="","",INDEX(_LEITURA!$K$2:$K$1201,_LEITURA!$N1144))</f>
        <v/>
      </c>
      <c r="B1144" s="11" t="str">
        <f aca="false">IF(_LEITURA!$N1144="","",INDEX(_LEITURA!$E$2:$E$1201,_LEITURA!$N1144))</f>
        <v/>
      </c>
      <c r="C1144" s="11" t="str">
        <f aca="false">IF(_LEITURA!$N1144="","",INDEX(_LEITURA!$J$2:$J$1201,_LEITURA!$N1144))</f>
        <v/>
      </c>
      <c r="D1144" s="16" t="str">
        <f aca="false">IF(_LEITURA!$N1144="","",INDEX(_LEITURA!$G$2:$G$1201,_LEITURA!$N1144))</f>
        <v/>
      </c>
      <c r="E1144" s="16" t="str">
        <f aca="false">IF(B1144="","",SUMIFS(INVENTÁRIO!$C$2:$C$801,INVENTÁRIO!$A$2:$A$801,B1144))</f>
        <v/>
      </c>
      <c r="F1144" s="16" t="str">
        <f aca="false">IF(B1144="","",MAX(0,D1144-E1144))</f>
        <v/>
      </c>
      <c r="G1144" s="16" t="str">
        <f aca="false">IF(B1144="","",IF(COUNTIFS($B$2:$B$1201,B1144,$A$2:$A$1201,"&lt;&gt;"&amp;A1144)&gt;0,"Sim",""))</f>
        <v/>
      </c>
      <c r="H1144" s="16" t="str">
        <f aca="false">IF(N(F1144)&gt;0,MAX(H$1:H1143)+1,"")</f>
        <v/>
      </c>
      <c r="I1144" s="11" t="str">
        <f aca="false">IF(B1144="","",IF(INDEX($C$2:$C$1201,MATCH(B1144,$B$2:$B$1201,0))&lt;&gt;C1144,"Nome diferente em outro deck — revisar",""))</f>
        <v/>
      </c>
      <c r="J1144" s="16" t="str">
        <f aca="false">IF(AND(B1144&lt;&gt;"",A1144=BULK!$A$1,N(F1144)&gt;0),MAX(J$1:J1143)+1,"")</f>
        <v/>
      </c>
      <c r="K1144" s="11" t="str">
        <f aca="false">IF(B1144="","",IFERROR(LEFT(B1144,FIND("-",B1144)-1),B1144))</f>
        <v/>
      </c>
      <c r="L1144" s="11" t="str">
        <f aca="false">IF(K1144="","",IF(ISNUMBER(--MID(K1144,1,1)),0,IF(ISNUMBER(--MID(K1144,2,1)),1,IF(ISNUMBER(--MID(K1144,3,1)),2,IF(ISNUMBER(--MID(K1144,4,1)),3,MIN(LEN(K1144),4))))))</f>
        <v/>
      </c>
      <c r="M1144" s="11" t="str">
        <f aca="false">IF(B1144="","",LEFT(K1144,L1144)&amp;REPT("0",4-L1144)&amp;RIGHT("000"&amp;IFERROR(VALUE(MID(K1144,L1144+1,9)),0),3)&amp;RIGHT("0000"&amp;IFERROR(VALUE(MID(B1144,FIND("-",B1144)+1,9)),0),4))</f>
        <v/>
      </c>
      <c r="N1144" s="11" t="str">
        <f aca="false">IF(OR(B1144="",N(F1144)&lt;=0),"",IF('FALTAS POR DECK'!$P$1="Código","K"&amp;M1144&amp;RIGHT("00000"&amp;ROW(),5),IF('FALTAS POR DECK'!$P$1="Nome","K"&amp;UPPER(SUBSTITUTE(SUBSTITUTE(SUBSTITUTE(C1144,"*",""),"?",""),"~",""))&amp;"0"&amp;M1144&amp;RIGHT("00000"&amp;ROW(),5),IF('FALTAS POR DECK'!$P$1="Falta (maior primeiro)","K"&amp;RIGHT("0000"&amp;(9999-F1144),4)&amp;M1144&amp;RIGHT("00000"&amp;ROW(),5),IF('FALTAS POR DECK'!$P$1="Deck e código","K"&amp;RIGHT("00"&amp;IFERROR(MATCH(A1144,_LEITURA!$P$2:$P$21,0),99),2)&amp;M1144&amp;RIGHT("00000"&amp;ROW(),5),"K"&amp;RIGHT("00000"&amp;ROW(),5))))))</f>
        <v/>
      </c>
      <c r="O1144" s="16" t="str">
        <f aca="false">IF(N1144="","",COUNTIFS($N$2:$N$1201,"&lt;"&amp;N1144,$F$2:$F$1201,"&gt;0")+1)</f>
        <v/>
      </c>
    </row>
    <row r="1145" customFormat="false" ht="15" hidden="false" customHeight="false" outlineLevel="0" collapsed="false">
      <c r="A1145" s="11" t="str">
        <f aca="false">IF(_LEITURA!$N1145="","",INDEX(_LEITURA!$K$2:$K$1201,_LEITURA!$N1145))</f>
        <v/>
      </c>
      <c r="B1145" s="11" t="str">
        <f aca="false">IF(_LEITURA!$N1145="","",INDEX(_LEITURA!$E$2:$E$1201,_LEITURA!$N1145))</f>
        <v/>
      </c>
      <c r="C1145" s="11" t="str">
        <f aca="false">IF(_LEITURA!$N1145="","",INDEX(_LEITURA!$J$2:$J$1201,_LEITURA!$N1145))</f>
        <v/>
      </c>
      <c r="D1145" s="16" t="str">
        <f aca="false">IF(_LEITURA!$N1145="","",INDEX(_LEITURA!$G$2:$G$1201,_LEITURA!$N1145))</f>
        <v/>
      </c>
      <c r="E1145" s="16" t="str">
        <f aca="false">IF(B1145="","",SUMIFS(INVENTÁRIO!$C$2:$C$801,INVENTÁRIO!$A$2:$A$801,B1145))</f>
        <v/>
      </c>
      <c r="F1145" s="16" t="str">
        <f aca="false">IF(B1145="","",MAX(0,D1145-E1145))</f>
        <v/>
      </c>
      <c r="G1145" s="16" t="str">
        <f aca="false">IF(B1145="","",IF(COUNTIFS($B$2:$B$1201,B1145,$A$2:$A$1201,"&lt;&gt;"&amp;A1145)&gt;0,"Sim",""))</f>
        <v/>
      </c>
      <c r="H1145" s="16" t="str">
        <f aca="false">IF(N(F1145)&gt;0,MAX(H$1:H1144)+1,"")</f>
        <v/>
      </c>
      <c r="I1145" s="11" t="str">
        <f aca="false">IF(B1145="","",IF(INDEX($C$2:$C$1201,MATCH(B1145,$B$2:$B$1201,0))&lt;&gt;C1145,"Nome diferente em outro deck — revisar",""))</f>
        <v/>
      </c>
      <c r="J1145" s="16" t="str">
        <f aca="false">IF(AND(B1145&lt;&gt;"",A1145=BULK!$A$1,N(F1145)&gt;0),MAX(J$1:J1144)+1,"")</f>
        <v/>
      </c>
      <c r="K1145" s="11" t="str">
        <f aca="false">IF(B1145="","",IFERROR(LEFT(B1145,FIND("-",B1145)-1),B1145))</f>
        <v/>
      </c>
      <c r="L1145" s="11" t="str">
        <f aca="false">IF(K1145="","",IF(ISNUMBER(--MID(K1145,1,1)),0,IF(ISNUMBER(--MID(K1145,2,1)),1,IF(ISNUMBER(--MID(K1145,3,1)),2,IF(ISNUMBER(--MID(K1145,4,1)),3,MIN(LEN(K1145),4))))))</f>
        <v/>
      </c>
      <c r="M1145" s="11" t="str">
        <f aca="false">IF(B1145="","",LEFT(K1145,L1145)&amp;REPT("0",4-L1145)&amp;RIGHT("000"&amp;IFERROR(VALUE(MID(K1145,L1145+1,9)),0),3)&amp;RIGHT("0000"&amp;IFERROR(VALUE(MID(B1145,FIND("-",B1145)+1,9)),0),4))</f>
        <v/>
      </c>
      <c r="N1145" s="11" t="str">
        <f aca="false">IF(OR(B1145="",N(F1145)&lt;=0),"",IF('FALTAS POR DECK'!$P$1="Código","K"&amp;M1145&amp;RIGHT("00000"&amp;ROW(),5),IF('FALTAS POR DECK'!$P$1="Nome","K"&amp;UPPER(SUBSTITUTE(SUBSTITUTE(SUBSTITUTE(C1145,"*",""),"?",""),"~",""))&amp;"0"&amp;M1145&amp;RIGHT("00000"&amp;ROW(),5),IF('FALTAS POR DECK'!$P$1="Falta (maior primeiro)","K"&amp;RIGHT("0000"&amp;(9999-F1145),4)&amp;M1145&amp;RIGHT("00000"&amp;ROW(),5),IF('FALTAS POR DECK'!$P$1="Deck e código","K"&amp;RIGHT("00"&amp;IFERROR(MATCH(A1145,_LEITURA!$P$2:$P$21,0),99),2)&amp;M1145&amp;RIGHT("00000"&amp;ROW(),5),"K"&amp;RIGHT("00000"&amp;ROW(),5))))))</f>
        <v/>
      </c>
      <c r="O1145" s="16" t="str">
        <f aca="false">IF(N1145="","",COUNTIFS($N$2:$N$1201,"&lt;"&amp;N1145,$F$2:$F$1201,"&gt;0")+1)</f>
        <v/>
      </c>
    </row>
    <row r="1146" customFormat="false" ht="15" hidden="false" customHeight="false" outlineLevel="0" collapsed="false">
      <c r="A1146" s="11" t="str">
        <f aca="false">IF(_LEITURA!$N1146="","",INDEX(_LEITURA!$K$2:$K$1201,_LEITURA!$N1146))</f>
        <v/>
      </c>
      <c r="B1146" s="11" t="str">
        <f aca="false">IF(_LEITURA!$N1146="","",INDEX(_LEITURA!$E$2:$E$1201,_LEITURA!$N1146))</f>
        <v/>
      </c>
      <c r="C1146" s="11" t="str">
        <f aca="false">IF(_LEITURA!$N1146="","",INDEX(_LEITURA!$J$2:$J$1201,_LEITURA!$N1146))</f>
        <v/>
      </c>
      <c r="D1146" s="16" t="str">
        <f aca="false">IF(_LEITURA!$N1146="","",INDEX(_LEITURA!$G$2:$G$1201,_LEITURA!$N1146))</f>
        <v/>
      </c>
      <c r="E1146" s="16" t="str">
        <f aca="false">IF(B1146="","",SUMIFS(INVENTÁRIO!$C$2:$C$801,INVENTÁRIO!$A$2:$A$801,B1146))</f>
        <v/>
      </c>
      <c r="F1146" s="16" t="str">
        <f aca="false">IF(B1146="","",MAX(0,D1146-E1146))</f>
        <v/>
      </c>
      <c r="G1146" s="16" t="str">
        <f aca="false">IF(B1146="","",IF(COUNTIFS($B$2:$B$1201,B1146,$A$2:$A$1201,"&lt;&gt;"&amp;A1146)&gt;0,"Sim",""))</f>
        <v/>
      </c>
      <c r="H1146" s="16" t="str">
        <f aca="false">IF(N(F1146)&gt;0,MAX(H$1:H1145)+1,"")</f>
        <v/>
      </c>
      <c r="I1146" s="11" t="str">
        <f aca="false">IF(B1146="","",IF(INDEX($C$2:$C$1201,MATCH(B1146,$B$2:$B$1201,0))&lt;&gt;C1146,"Nome diferente em outro deck — revisar",""))</f>
        <v/>
      </c>
      <c r="J1146" s="16" t="str">
        <f aca="false">IF(AND(B1146&lt;&gt;"",A1146=BULK!$A$1,N(F1146)&gt;0),MAX(J$1:J1145)+1,"")</f>
        <v/>
      </c>
      <c r="K1146" s="11" t="str">
        <f aca="false">IF(B1146="","",IFERROR(LEFT(B1146,FIND("-",B1146)-1),B1146))</f>
        <v/>
      </c>
      <c r="L1146" s="11" t="str">
        <f aca="false">IF(K1146="","",IF(ISNUMBER(--MID(K1146,1,1)),0,IF(ISNUMBER(--MID(K1146,2,1)),1,IF(ISNUMBER(--MID(K1146,3,1)),2,IF(ISNUMBER(--MID(K1146,4,1)),3,MIN(LEN(K1146),4))))))</f>
        <v/>
      </c>
      <c r="M1146" s="11" t="str">
        <f aca="false">IF(B1146="","",LEFT(K1146,L1146)&amp;REPT("0",4-L1146)&amp;RIGHT("000"&amp;IFERROR(VALUE(MID(K1146,L1146+1,9)),0),3)&amp;RIGHT("0000"&amp;IFERROR(VALUE(MID(B1146,FIND("-",B1146)+1,9)),0),4))</f>
        <v/>
      </c>
      <c r="N1146" s="11" t="str">
        <f aca="false">IF(OR(B1146="",N(F1146)&lt;=0),"",IF('FALTAS POR DECK'!$P$1="Código","K"&amp;M1146&amp;RIGHT("00000"&amp;ROW(),5),IF('FALTAS POR DECK'!$P$1="Nome","K"&amp;UPPER(SUBSTITUTE(SUBSTITUTE(SUBSTITUTE(C1146,"*",""),"?",""),"~",""))&amp;"0"&amp;M1146&amp;RIGHT("00000"&amp;ROW(),5),IF('FALTAS POR DECK'!$P$1="Falta (maior primeiro)","K"&amp;RIGHT("0000"&amp;(9999-F1146),4)&amp;M1146&amp;RIGHT("00000"&amp;ROW(),5),IF('FALTAS POR DECK'!$P$1="Deck e código","K"&amp;RIGHT("00"&amp;IFERROR(MATCH(A1146,_LEITURA!$P$2:$P$21,0),99),2)&amp;M1146&amp;RIGHT("00000"&amp;ROW(),5),"K"&amp;RIGHT("00000"&amp;ROW(),5))))))</f>
        <v/>
      </c>
      <c r="O1146" s="16" t="str">
        <f aca="false">IF(N1146="","",COUNTIFS($N$2:$N$1201,"&lt;"&amp;N1146,$F$2:$F$1201,"&gt;0")+1)</f>
        <v/>
      </c>
    </row>
    <row r="1147" customFormat="false" ht="15" hidden="false" customHeight="false" outlineLevel="0" collapsed="false">
      <c r="A1147" s="11" t="str">
        <f aca="false">IF(_LEITURA!$N1147="","",INDEX(_LEITURA!$K$2:$K$1201,_LEITURA!$N1147))</f>
        <v/>
      </c>
      <c r="B1147" s="11" t="str">
        <f aca="false">IF(_LEITURA!$N1147="","",INDEX(_LEITURA!$E$2:$E$1201,_LEITURA!$N1147))</f>
        <v/>
      </c>
      <c r="C1147" s="11" t="str">
        <f aca="false">IF(_LEITURA!$N1147="","",INDEX(_LEITURA!$J$2:$J$1201,_LEITURA!$N1147))</f>
        <v/>
      </c>
      <c r="D1147" s="16" t="str">
        <f aca="false">IF(_LEITURA!$N1147="","",INDEX(_LEITURA!$G$2:$G$1201,_LEITURA!$N1147))</f>
        <v/>
      </c>
      <c r="E1147" s="16" t="str">
        <f aca="false">IF(B1147="","",SUMIFS(INVENTÁRIO!$C$2:$C$801,INVENTÁRIO!$A$2:$A$801,B1147))</f>
        <v/>
      </c>
      <c r="F1147" s="16" t="str">
        <f aca="false">IF(B1147="","",MAX(0,D1147-E1147))</f>
        <v/>
      </c>
      <c r="G1147" s="16" t="str">
        <f aca="false">IF(B1147="","",IF(COUNTIFS($B$2:$B$1201,B1147,$A$2:$A$1201,"&lt;&gt;"&amp;A1147)&gt;0,"Sim",""))</f>
        <v/>
      </c>
      <c r="H1147" s="16" t="str">
        <f aca="false">IF(N(F1147)&gt;0,MAX(H$1:H1146)+1,"")</f>
        <v/>
      </c>
      <c r="I1147" s="11" t="str">
        <f aca="false">IF(B1147="","",IF(INDEX($C$2:$C$1201,MATCH(B1147,$B$2:$B$1201,0))&lt;&gt;C1147,"Nome diferente em outro deck — revisar",""))</f>
        <v/>
      </c>
      <c r="J1147" s="16" t="str">
        <f aca="false">IF(AND(B1147&lt;&gt;"",A1147=BULK!$A$1,N(F1147)&gt;0),MAX(J$1:J1146)+1,"")</f>
        <v/>
      </c>
      <c r="K1147" s="11" t="str">
        <f aca="false">IF(B1147="","",IFERROR(LEFT(B1147,FIND("-",B1147)-1),B1147))</f>
        <v/>
      </c>
      <c r="L1147" s="11" t="str">
        <f aca="false">IF(K1147="","",IF(ISNUMBER(--MID(K1147,1,1)),0,IF(ISNUMBER(--MID(K1147,2,1)),1,IF(ISNUMBER(--MID(K1147,3,1)),2,IF(ISNUMBER(--MID(K1147,4,1)),3,MIN(LEN(K1147),4))))))</f>
        <v/>
      </c>
      <c r="M1147" s="11" t="str">
        <f aca="false">IF(B1147="","",LEFT(K1147,L1147)&amp;REPT("0",4-L1147)&amp;RIGHT("000"&amp;IFERROR(VALUE(MID(K1147,L1147+1,9)),0),3)&amp;RIGHT("0000"&amp;IFERROR(VALUE(MID(B1147,FIND("-",B1147)+1,9)),0),4))</f>
        <v/>
      </c>
      <c r="N1147" s="11" t="str">
        <f aca="false">IF(OR(B1147="",N(F1147)&lt;=0),"",IF('FALTAS POR DECK'!$P$1="Código","K"&amp;M1147&amp;RIGHT("00000"&amp;ROW(),5),IF('FALTAS POR DECK'!$P$1="Nome","K"&amp;UPPER(SUBSTITUTE(SUBSTITUTE(SUBSTITUTE(C1147,"*",""),"?",""),"~",""))&amp;"0"&amp;M1147&amp;RIGHT("00000"&amp;ROW(),5),IF('FALTAS POR DECK'!$P$1="Falta (maior primeiro)","K"&amp;RIGHT("0000"&amp;(9999-F1147),4)&amp;M1147&amp;RIGHT("00000"&amp;ROW(),5),IF('FALTAS POR DECK'!$P$1="Deck e código","K"&amp;RIGHT("00"&amp;IFERROR(MATCH(A1147,_LEITURA!$P$2:$P$21,0),99),2)&amp;M1147&amp;RIGHT("00000"&amp;ROW(),5),"K"&amp;RIGHT("00000"&amp;ROW(),5))))))</f>
        <v/>
      </c>
      <c r="O1147" s="16" t="str">
        <f aca="false">IF(N1147="","",COUNTIFS($N$2:$N$1201,"&lt;"&amp;N1147,$F$2:$F$1201,"&gt;0")+1)</f>
        <v/>
      </c>
    </row>
    <row r="1148" customFormat="false" ht="15" hidden="false" customHeight="false" outlineLevel="0" collapsed="false">
      <c r="A1148" s="11" t="str">
        <f aca="false">IF(_LEITURA!$N1148="","",INDEX(_LEITURA!$K$2:$K$1201,_LEITURA!$N1148))</f>
        <v/>
      </c>
      <c r="B1148" s="11" t="str">
        <f aca="false">IF(_LEITURA!$N1148="","",INDEX(_LEITURA!$E$2:$E$1201,_LEITURA!$N1148))</f>
        <v/>
      </c>
      <c r="C1148" s="11" t="str">
        <f aca="false">IF(_LEITURA!$N1148="","",INDEX(_LEITURA!$J$2:$J$1201,_LEITURA!$N1148))</f>
        <v/>
      </c>
      <c r="D1148" s="16" t="str">
        <f aca="false">IF(_LEITURA!$N1148="","",INDEX(_LEITURA!$G$2:$G$1201,_LEITURA!$N1148))</f>
        <v/>
      </c>
      <c r="E1148" s="16" t="str">
        <f aca="false">IF(B1148="","",SUMIFS(INVENTÁRIO!$C$2:$C$801,INVENTÁRIO!$A$2:$A$801,B1148))</f>
        <v/>
      </c>
      <c r="F1148" s="16" t="str">
        <f aca="false">IF(B1148="","",MAX(0,D1148-E1148))</f>
        <v/>
      </c>
      <c r="G1148" s="16" t="str">
        <f aca="false">IF(B1148="","",IF(COUNTIFS($B$2:$B$1201,B1148,$A$2:$A$1201,"&lt;&gt;"&amp;A1148)&gt;0,"Sim",""))</f>
        <v/>
      </c>
      <c r="H1148" s="16" t="str">
        <f aca="false">IF(N(F1148)&gt;0,MAX(H$1:H1147)+1,"")</f>
        <v/>
      </c>
      <c r="I1148" s="11" t="str">
        <f aca="false">IF(B1148="","",IF(INDEX($C$2:$C$1201,MATCH(B1148,$B$2:$B$1201,0))&lt;&gt;C1148,"Nome diferente em outro deck — revisar",""))</f>
        <v/>
      </c>
      <c r="J1148" s="16" t="str">
        <f aca="false">IF(AND(B1148&lt;&gt;"",A1148=BULK!$A$1,N(F1148)&gt;0),MAX(J$1:J1147)+1,"")</f>
        <v/>
      </c>
      <c r="K1148" s="11" t="str">
        <f aca="false">IF(B1148="","",IFERROR(LEFT(B1148,FIND("-",B1148)-1),B1148))</f>
        <v/>
      </c>
      <c r="L1148" s="11" t="str">
        <f aca="false">IF(K1148="","",IF(ISNUMBER(--MID(K1148,1,1)),0,IF(ISNUMBER(--MID(K1148,2,1)),1,IF(ISNUMBER(--MID(K1148,3,1)),2,IF(ISNUMBER(--MID(K1148,4,1)),3,MIN(LEN(K1148),4))))))</f>
        <v/>
      </c>
      <c r="M1148" s="11" t="str">
        <f aca="false">IF(B1148="","",LEFT(K1148,L1148)&amp;REPT("0",4-L1148)&amp;RIGHT("000"&amp;IFERROR(VALUE(MID(K1148,L1148+1,9)),0),3)&amp;RIGHT("0000"&amp;IFERROR(VALUE(MID(B1148,FIND("-",B1148)+1,9)),0),4))</f>
        <v/>
      </c>
      <c r="N1148" s="11" t="str">
        <f aca="false">IF(OR(B1148="",N(F1148)&lt;=0),"",IF('FALTAS POR DECK'!$P$1="Código","K"&amp;M1148&amp;RIGHT("00000"&amp;ROW(),5),IF('FALTAS POR DECK'!$P$1="Nome","K"&amp;UPPER(SUBSTITUTE(SUBSTITUTE(SUBSTITUTE(C1148,"*",""),"?",""),"~",""))&amp;"0"&amp;M1148&amp;RIGHT("00000"&amp;ROW(),5),IF('FALTAS POR DECK'!$P$1="Falta (maior primeiro)","K"&amp;RIGHT("0000"&amp;(9999-F1148),4)&amp;M1148&amp;RIGHT("00000"&amp;ROW(),5),IF('FALTAS POR DECK'!$P$1="Deck e código","K"&amp;RIGHT("00"&amp;IFERROR(MATCH(A1148,_LEITURA!$P$2:$P$21,0),99),2)&amp;M1148&amp;RIGHT("00000"&amp;ROW(),5),"K"&amp;RIGHT("00000"&amp;ROW(),5))))))</f>
        <v/>
      </c>
      <c r="O1148" s="16" t="str">
        <f aca="false">IF(N1148="","",COUNTIFS($N$2:$N$1201,"&lt;"&amp;N1148,$F$2:$F$1201,"&gt;0")+1)</f>
        <v/>
      </c>
    </row>
    <row r="1149" customFormat="false" ht="15" hidden="false" customHeight="false" outlineLevel="0" collapsed="false">
      <c r="A1149" s="11" t="str">
        <f aca="false">IF(_LEITURA!$N1149="","",INDEX(_LEITURA!$K$2:$K$1201,_LEITURA!$N1149))</f>
        <v/>
      </c>
      <c r="B1149" s="11" t="str">
        <f aca="false">IF(_LEITURA!$N1149="","",INDEX(_LEITURA!$E$2:$E$1201,_LEITURA!$N1149))</f>
        <v/>
      </c>
      <c r="C1149" s="11" t="str">
        <f aca="false">IF(_LEITURA!$N1149="","",INDEX(_LEITURA!$J$2:$J$1201,_LEITURA!$N1149))</f>
        <v/>
      </c>
      <c r="D1149" s="16" t="str">
        <f aca="false">IF(_LEITURA!$N1149="","",INDEX(_LEITURA!$G$2:$G$1201,_LEITURA!$N1149))</f>
        <v/>
      </c>
      <c r="E1149" s="16" t="str">
        <f aca="false">IF(B1149="","",SUMIFS(INVENTÁRIO!$C$2:$C$801,INVENTÁRIO!$A$2:$A$801,B1149))</f>
        <v/>
      </c>
      <c r="F1149" s="16" t="str">
        <f aca="false">IF(B1149="","",MAX(0,D1149-E1149))</f>
        <v/>
      </c>
      <c r="G1149" s="16" t="str">
        <f aca="false">IF(B1149="","",IF(COUNTIFS($B$2:$B$1201,B1149,$A$2:$A$1201,"&lt;&gt;"&amp;A1149)&gt;0,"Sim",""))</f>
        <v/>
      </c>
      <c r="H1149" s="16" t="str">
        <f aca="false">IF(N(F1149)&gt;0,MAX(H$1:H1148)+1,"")</f>
        <v/>
      </c>
      <c r="I1149" s="11" t="str">
        <f aca="false">IF(B1149="","",IF(INDEX($C$2:$C$1201,MATCH(B1149,$B$2:$B$1201,0))&lt;&gt;C1149,"Nome diferente em outro deck — revisar",""))</f>
        <v/>
      </c>
      <c r="J1149" s="16" t="str">
        <f aca="false">IF(AND(B1149&lt;&gt;"",A1149=BULK!$A$1,N(F1149)&gt;0),MAX(J$1:J1148)+1,"")</f>
        <v/>
      </c>
      <c r="K1149" s="11" t="str">
        <f aca="false">IF(B1149="","",IFERROR(LEFT(B1149,FIND("-",B1149)-1),B1149))</f>
        <v/>
      </c>
      <c r="L1149" s="11" t="str">
        <f aca="false">IF(K1149="","",IF(ISNUMBER(--MID(K1149,1,1)),0,IF(ISNUMBER(--MID(K1149,2,1)),1,IF(ISNUMBER(--MID(K1149,3,1)),2,IF(ISNUMBER(--MID(K1149,4,1)),3,MIN(LEN(K1149),4))))))</f>
        <v/>
      </c>
      <c r="M1149" s="11" t="str">
        <f aca="false">IF(B1149="","",LEFT(K1149,L1149)&amp;REPT("0",4-L1149)&amp;RIGHT("000"&amp;IFERROR(VALUE(MID(K1149,L1149+1,9)),0),3)&amp;RIGHT("0000"&amp;IFERROR(VALUE(MID(B1149,FIND("-",B1149)+1,9)),0),4))</f>
        <v/>
      </c>
      <c r="N1149" s="11" t="str">
        <f aca="false">IF(OR(B1149="",N(F1149)&lt;=0),"",IF('FALTAS POR DECK'!$P$1="Código","K"&amp;M1149&amp;RIGHT("00000"&amp;ROW(),5),IF('FALTAS POR DECK'!$P$1="Nome","K"&amp;UPPER(SUBSTITUTE(SUBSTITUTE(SUBSTITUTE(C1149,"*",""),"?",""),"~",""))&amp;"0"&amp;M1149&amp;RIGHT("00000"&amp;ROW(),5),IF('FALTAS POR DECK'!$P$1="Falta (maior primeiro)","K"&amp;RIGHT("0000"&amp;(9999-F1149),4)&amp;M1149&amp;RIGHT("00000"&amp;ROW(),5),IF('FALTAS POR DECK'!$P$1="Deck e código","K"&amp;RIGHT("00"&amp;IFERROR(MATCH(A1149,_LEITURA!$P$2:$P$21,0),99),2)&amp;M1149&amp;RIGHT("00000"&amp;ROW(),5),"K"&amp;RIGHT("00000"&amp;ROW(),5))))))</f>
        <v/>
      </c>
      <c r="O1149" s="16" t="str">
        <f aca="false">IF(N1149="","",COUNTIFS($N$2:$N$1201,"&lt;"&amp;N1149,$F$2:$F$1201,"&gt;0")+1)</f>
        <v/>
      </c>
    </row>
    <row r="1150" customFormat="false" ht="15" hidden="false" customHeight="false" outlineLevel="0" collapsed="false">
      <c r="A1150" s="11" t="str">
        <f aca="false">IF(_LEITURA!$N1150="","",INDEX(_LEITURA!$K$2:$K$1201,_LEITURA!$N1150))</f>
        <v/>
      </c>
      <c r="B1150" s="11" t="str">
        <f aca="false">IF(_LEITURA!$N1150="","",INDEX(_LEITURA!$E$2:$E$1201,_LEITURA!$N1150))</f>
        <v/>
      </c>
      <c r="C1150" s="11" t="str">
        <f aca="false">IF(_LEITURA!$N1150="","",INDEX(_LEITURA!$J$2:$J$1201,_LEITURA!$N1150))</f>
        <v/>
      </c>
      <c r="D1150" s="16" t="str">
        <f aca="false">IF(_LEITURA!$N1150="","",INDEX(_LEITURA!$G$2:$G$1201,_LEITURA!$N1150))</f>
        <v/>
      </c>
      <c r="E1150" s="16" t="str">
        <f aca="false">IF(B1150="","",SUMIFS(INVENTÁRIO!$C$2:$C$801,INVENTÁRIO!$A$2:$A$801,B1150))</f>
        <v/>
      </c>
      <c r="F1150" s="16" t="str">
        <f aca="false">IF(B1150="","",MAX(0,D1150-E1150))</f>
        <v/>
      </c>
      <c r="G1150" s="16" t="str">
        <f aca="false">IF(B1150="","",IF(COUNTIFS($B$2:$B$1201,B1150,$A$2:$A$1201,"&lt;&gt;"&amp;A1150)&gt;0,"Sim",""))</f>
        <v/>
      </c>
      <c r="H1150" s="16" t="str">
        <f aca="false">IF(N(F1150)&gt;0,MAX(H$1:H1149)+1,"")</f>
        <v/>
      </c>
      <c r="I1150" s="11" t="str">
        <f aca="false">IF(B1150="","",IF(INDEX($C$2:$C$1201,MATCH(B1150,$B$2:$B$1201,0))&lt;&gt;C1150,"Nome diferente em outro deck — revisar",""))</f>
        <v/>
      </c>
      <c r="J1150" s="16" t="str">
        <f aca="false">IF(AND(B1150&lt;&gt;"",A1150=BULK!$A$1,N(F1150)&gt;0),MAX(J$1:J1149)+1,"")</f>
        <v/>
      </c>
      <c r="K1150" s="11" t="str">
        <f aca="false">IF(B1150="","",IFERROR(LEFT(B1150,FIND("-",B1150)-1),B1150))</f>
        <v/>
      </c>
      <c r="L1150" s="11" t="str">
        <f aca="false">IF(K1150="","",IF(ISNUMBER(--MID(K1150,1,1)),0,IF(ISNUMBER(--MID(K1150,2,1)),1,IF(ISNUMBER(--MID(K1150,3,1)),2,IF(ISNUMBER(--MID(K1150,4,1)),3,MIN(LEN(K1150),4))))))</f>
        <v/>
      </c>
      <c r="M1150" s="11" t="str">
        <f aca="false">IF(B1150="","",LEFT(K1150,L1150)&amp;REPT("0",4-L1150)&amp;RIGHT("000"&amp;IFERROR(VALUE(MID(K1150,L1150+1,9)),0),3)&amp;RIGHT("0000"&amp;IFERROR(VALUE(MID(B1150,FIND("-",B1150)+1,9)),0),4))</f>
        <v/>
      </c>
      <c r="N1150" s="11" t="str">
        <f aca="false">IF(OR(B1150="",N(F1150)&lt;=0),"",IF('FALTAS POR DECK'!$P$1="Código","K"&amp;M1150&amp;RIGHT("00000"&amp;ROW(),5),IF('FALTAS POR DECK'!$P$1="Nome","K"&amp;UPPER(SUBSTITUTE(SUBSTITUTE(SUBSTITUTE(C1150,"*",""),"?",""),"~",""))&amp;"0"&amp;M1150&amp;RIGHT("00000"&amp;ROW(),5),IF('FALTAS POR DECK'!$P$1="Falta (maior primeiro)","K"&amp;RIGHT("0000"&amp;(9999-F1150),4)&amp;M1150&amp;RIGHT("00000"&amp;ROW(),5),IF('FALTAS POR DECK'!$P$1="Deck e código","K"&amp;RIGHT("00"&amp;IFERROR(MATCH(A1150,_LEITURA!$P$2:$P$21,0),99),2)&amp;M1150&amp;RIGHT("00000"&amp;ROW(),5),"K"&amp;RIGHT("00000"&amp;ROW(),5))))))</f>
        <v/>
      </c>
      <c r="O1150" s="16" t="str">
        <f aca="false">IF(N1150="","",COUNTIFS($N$2:$N$1201,"&lt;"&amp;N1150,$F$2:$F$1201,"&gt;0")+1)</f>
        <v/>
      </c>
    </row>
    <row r="1151" customFormat="false" ht="15" hidden="false" customHeight="false" outlineLevel="0" collapsed="false">
      <c r="A1151" s="11" t="str">
        <f aca="false">IF(_LEITURA!$N1151="","",INDEX(_LEITURA!$K$2:$K$1201,_LEITURA!$N1151))</f>
        <v/>
      </c>
      <c r="B1151" s="11" t="str">
        <f aca="false">IF(_LEITURA!$N1151="","",INDEX(_LEITURA!$E$2:$E$1201,_LEITURA!$N1151))</f>
        <v/>
      </c>
      <c r="C1151" s="11" t="str">
        <f aca="false">IF(_LEITURA!$N1151="","",INDEX(_LEITURA!$J$2:$J$1201,_LEITURA!$N1151))</f>
        <v/>
      </c>
      <c r="D1151" s="16" t="str">
        <f aca="false">IF(_LEITURA!$N1151="","",INDEX(_LEITURA!$G$2:$G$1201,_LEITURA!$N1151))</f>
        <v/>
      </c>
      <c r="E1151" s="16" t="str">
        <f aca="false">IF(B1151="","",SUMIFS(INVENTÁRIO!$C$2:$C$801,INVENTÁRIO!$A$2:$A$801,B1151))</f>
        <v/>
      </c>
      <c r="F1151" s="16" t="str">
        <f aca="false">IF(B1151="","",MAX(0,D1151-E1151))</f>
        <v/>
      </c>
      <c r="G1151" s="16" t="str">
        <f aca="false">IF(B1151="","",IF(COUNTIFS($B$2:$B$1201,B1151,$A$2:$A$1201,"&lt;&gt;"&amp;A1151)&gt;0,"Sim",""))</f>
        <v/>
      </c>
      <c r="H1151" s="16" t="str">
        <f aca="false">IF(N(F1151)&gt;0,MAX(H$1:H1150)+1,"")</f>
        <v/>
      </c>
      <c r="I1151" s="11" t="str">
        <f aca="false">IF(B1151="","",IF(INDEX($C$2:$C$1201,MATCH(B1151,$B$2:$B$1201,0))&lt;&gt;C1151,"Nome diferente em outro deck — revisar",""))</f>
        <v/>
      </c>
      <c r="J1151" s="16" t="str">
        <f aca="false">IF(AND(B1151&lt;&gt;"",A1151=BULK!$A$1,N(F1151)&gt;0),MAX(J$1:J1150)+1,"")</f>
        <v/>
      </c>
      <c r="K1151" s="11" t="str">
        <f aca="false">IF(B1151="","",IFERROR(LEFT(B1151,FIND("-",B1151)-1),B1151))</f>
        <v/>
      </c>
      <c r="L1151" s="11" t="str">
        <f aca="false">IF(K1151="","",IF(ISNUMBER(--MID(K1151,1,1)),0,IF(ISNUMBER(--MID(K1151,2,1)),1,IF(ISNUMBER(--MID(K1151,3,1)),2,IF(ISNUMBER(--MID(K1151,4,1)),3,MIN(LEN(K1151),4))))))</f>
        <v/>
      </c>
      <c r="M1151" s="11" t="str">
        <f aca="false">IF(B1151="","",LEFT(K1151,L1151)&amp;REPT("0",4-L1151)&amp;RIGHT("000"&amp;IFERROR(VALUE(MID(K1151,L1151+1,9)),0),3)&amp;RIGHT("0000"&amp;IFERROR(VALUE(MID(B1151,FIND("-",B1151)+1,9)),0),4))</f>
        <v/>
      </c>
      <c r="N1151" s="11" t="str">
        <f aca="false">IF(OR(B1151="",N(F1151)&lt;=0),"",IF('FALTAS POR DECK'!$P$1="Código","K"&amp;M1151&amp;RIGHT("00000"&amp;ROW(),5),IF('FALTAS POR DECK'!$P$1="Nome","K"&amp;UPPER(SUBSTITUTE(SUBSTITUTE(SUBSTITUTE(C1151,"*",""),"?",""),"~",""))&amp;"0"&amp;M1151&amp;RIGHT("00000"&amp;ROW(),5),IF('FALTAS POR DECK'!$P$1="Falta (maior primeiro)","K"&amp;RIGHT("0000"&amp;(9999-F1151),4)&amp;M1151&amp;RIGHT("00000"&amp;ROW(),5),IF('FALTAS POR DECK'!$P$1="Deck e código","K"&amp;RIGHT("00"&amp;IFERROR(MATCH(A1151,_LEITURA!$P$2:$P$21,0),99),2)&amp;M1151&amp;RIGHT("00000"&amp;ROW(),5),"K"&amp;RIGHT("00000"&amp;ROW(),5))))))</f>
        <v/>
      </c>
      <c r="O1151" s="16" t="str">
        <f aca="false">IF(N1151="","",COUNTIFS($N$2:$N$1201,"&lt;"&amp;N1151,$F$2:$F$1201,"&gt;0")+1)</f>
        <v/>
      </c>
    </row>
    <row r="1152" customFormat="false" ht="15" hidden="false" customHeight="false" outlineLevel="0" collapsed="false">
      <c r="A1152" s="11" t="str">
        <f aca="false">IF(_LEITURA!$N1152="","",INDEX(_LEITURA!$K$2:$K$1201,_LEITURA!$N1152))</f>
        <v/>
      </c>
      <c r="B1152" s="11" t="str">
        <f aca="false">IF(_LEITURA!$N1152="","",INDEX(_LEITURA!$E$2:$E$1201,_LEITURA!$N1152))</f>
        <v/>
      </c>
      <c r="C1152" s="11" t="str">
        <f aca="false">IF(_LEITURA!$N1152="","",INDEX(_LEITURA!$J$2:$J$1201,_LEITURA!$N1152))</f>
        <v/>
      </c>
      <c r="D1152" s="16" t="str">
        <f aca="false">IF(_LEITURA!$N1152="","",INDEX(_LEITURA!$G$2:$G$1201,_LEITURA!$N1152))</f>
        <v/>
      </c>
      <c r="E1152" s="16" t="str">
        <f aca="false">IF(B1152="","",SUMIFS(INVENTÁRIO!$C$2:$C$801,INVENTÁRIO!$A$2:$A$801,B1152))</f>
        <v/>
      </c>
      <c r="F1152" s="16" t="str">
        <f aca="false">IF(B1152="","",MAX(0,D1152-E1152))</f>
        <v/>
      </c>
      <c r="G1152" s="16" t="str">
        <f aca="false">IF(B1152="","",IF(COUNTIFS($B$2:$B$1201,B1152,$A$2:$A$1201,"&lt;&gt;"&amp;A1152)&gt;0,"Sim",""))</f>
        <v/>
      </c>
      <c r="H1152" s="16" t="str">
        <f aca="false">IF(N(F1152)&gt;0,MAX(H$1:H1151)+1,"")</f>
        <v/>
      </c>
      <c r="I1152" s="11" t="str">
        <f aca="false">IF(B1152="","",IF(INDEX($C$2:$C$1201,MATCH(B1152,$B$2:$B$1201,0))&lt;&gt;C1152,"Nome diferente em outro deck — revisar",""))</f>
        <v/>
      </c>
      <c r="J1152" s="16" t="str">
        <f aca="false">IF(AND(B1152&lt;&gt;"",A1152=BULK!$A$1,N(F1152)&gt;0),MAX(J$1:J1151)+1,"")</f>
        <v/>
      </c>
      <c r="K1152" s="11" t="str">
        <f aca="false">IF(B1152="","",IFERROR(LEFT(B1152,FIND("-",B1152)-1),B1152))</f>
        <v/>
      </c>
      <c r="L1152" s="11" t="str">
        <f aca="false">IF(K1152="","",IF(ISNUMBER(--MID(K1152,1,1)),0,IF(ISNUMBER(--MID(K1152,2,1)),1,IF(ISNUMBER(--MID(K1152,3,1)),2,IF(ISNUMBER(--MID(K1152,4,1)),3,MIN(LEN(K1152),4))))))</f>
        <v/>
      </c>
      <c r="M1152" s="11" t="str">
        <f aca="false">IF(B1152="","",LEFT(K1152,L1152)&amp;REPT("0",4-L1152)&amp;RIGHT("000"&amp;IFERROR(VALUE(MID(K1152,L1152+1,9)),0),3)&amp;RIGHT("0000"&amp;IFERROR(VALUE(MID(B1152,FIND("-",B1152)+1,9)),0),4))</f>
        <v/>
      </c>
      <c r="N1152" s="11" t="str">
        <f aca="false">IF(OR(B1152="",N(F1152)&lt;=0),"",IF('FALTAS POR DECK'!$P$1="Código","K"&amp;M1152&amp;RIGHT("00000"&amp;ROW(),5),IF('FALTAS POR DECK'!$P$1="Nome","K"&amp;UPPER(SUBSTITUTE(SUBSTITUTE(SUBSTITUTE(C1152,"*",""),"?",""),"~",""))&amp;"0"&amp;M1152&amp;RIGHT("00000"&amp;ROW(),5),IF('FALTAS POR DECK'!$P$1="Falta (maior primeiro)","K"&amp;RIGHT("0000"&amp;(9999-F1152),4)&amp;M1152&amp;RIGHT("00000"&amp;ROW(),5),IF('FALTAS POR DECK'!$P$1="Deck e código","K"&amp;RIGHT("00"&amp;IFERROR(MATCH(A1152,_LEITURA!$P$2:$P$21,0),99),2)&amp;M1152&amp;RIGHT("00000"&amp;ROW(),5),"K"&amp;RIGHT("00000"&amp;ROW(),5))))))</f>
        <v/>
      </c>
      <c r="O1152" s="16" t="str">
        <f aca="false">IF(N1152="","",COUNTIFS($N$2:$N$1201,"&lt;"&amp;N1152,$F$2:$F$1201,"&gt;0")+1)</f>
        <v/>
      </c>
    </row>
    <row r="1153" customFormat="false" ht="15" hidden="false" customHeight="false" outlineLevel="0" collapsed="false">
      <c r="A1153" s="11" t="str">
        <f aca="false">IF(_LEITURA!$N1153="","",INDEX(_LEITURA!$K$2:$K$1201,_LEITURA!$N1153))</f>
        <v/>
      </c>
      <c r="B1153" s="11" t="str">
        <f aca="false">IF(_LEITURA!$N1153="","",INDEX(_LEITURA!$E$2:$E$1201,_LEITURA!$N1153))</f>
        <v/>
      </c>
      <c r="C1153" s="11" t="str">
        <f aca="false">IF(_LEITURA!$N1153="","",INDEX(_LEITURA!$J$2:$J$1201,_LEITURA!$N1153))</f>
        <v/>
      </c>
      <c r="D1153" s="16" t="str">
        <f aca="false">IF(_LEITURA!$N1153="","",INDEX(_LEITURA!$G$2:$G$1201,_LEITURA!$N1153))</f>
        <v/>
      </c>
      <c r="E1153" s="16" t="str">
        <f aca="false">IF(B1153="","",SUMIFS(INVENTÁRIO!$C$2:$C$801,INVENTÁRIO!$A$2:$A$801,B1153))</f>
        <v/>
      </c>
      <c r="F1153" s="16" t="str">
        <f aca="false">IF(B1153="","",MAX(0,D1153-E1153))</f>
        <v/>
      </c>
      <c r="G1153" s="16" t="str">
        <f aca="false">IF(B1153="","",IF(COUNTIFS($B$2:$B$1201,B1153,$A$2:$A$1201,"&lt;&gt;"&amp;A1153)&gt;0,"Sim",""))</f>
        <v/>
      </c>
      <c r="H1153" s="16" t="str">
        <f aca="false">IF(N(F1153)&gt;0,MAX(H$1:H1152)+1,"")</f>
        <v/>
      </c>
      <c r="I1153" s="11" t="str">
        <f aca="false">IF(B1153="","",IF(INDEX($C$2:$C$1201,MATCH(B1153,$B$2:$B$1201,0))&lt;&gt;C1153,"Nome diferente em outro deck — revisar",""))</f>
        <v/>
      </c>
      <c r="J1153" s="16" t="str">
        <f aca="false">IF(AND(B1153&lt;&gt;"",A1153=BULK!$A$1,N(F1153)&gt;0),MAX(J$1:J1152)+1,"")</f>
        <v/>
      </c>
      <c r="K1153" s="11" t="str">
        <f aca="false">IF(B1153="","",IFERROR(LEFT(B1153,FIND("-",B1153)-1),B1153))</f>
        <v/>
      </c>
      <c r="L1153" s="11" t="str">
        <f aca="false">IF(K1153="","",IF(ISNUMBER(--MID(K1153,1,1)),0,IF(ISNUMBER(--MID(K1153,2,1)),1,IF(ISNUMBER(--MID(K1153,3,1)),2,IF(ISNUMBER(--MID(K1153,4,1)),3,MIN(LEN(K1153),4))))))</f>
        <v/>
      </c>
      <c r="M1153" s="11" t="str">
        <f aca="false">IF(B1153="","",LEFT(K1153,L1153)&amp;REPT("0",4-L1153)&amp;RIGHT("000"&amp;IFERROR(VALUE(MID(K1153,L1153+1,9)),0),3)&amp;RIGHT("0000"&amp;IFERROR(VALUE(MID(B1153,FIND("-",B1153)+1,9)),0),4))</f>
        <v/>
      </c>
      <c r="N1153" s="11" t="str">
        <f aca="false">IF(OR(B1153="",N(F1153)&lt;=0),"",IF('FALTAS POR DECK'!$P$1="Código","K"&amp;M1153&amp;RIGHT("00000"&amp;ROW(),5),IF('FALTAS POR DECK'!$P$1="Nome","K"&amp;UPPER(SUBSTITUTE(SUBSTITUTE(SUBSTITUTE(C1153,"*",""),"?",""),"~",""))&amp;"0"&amp;M1153&amp;RIGHT("00000"&amp;ROW(),5),IF('FALTAS POR DECK'!$P$1="Falta (maior primeiro)","K"&amp;RIGHT("0000"&amp;(9999-F1153),4)&amp;M1153&amp;RIGHT("00000"&amp;ROW(),5),IF('FALTAS POR DECK'!$P$1="Deck e código","K"&amp;RIGHT("00"&amp;IFERROR(MATCH(A1153,_LEITURA!$P$2:$P$21,0),99),2)&amp;M1153&amp;RIGHT("00000"&amp;ROW(),5),"K"&amp;RIGHT("00000"&amp;ROW(),5))))))</f>
        <v/>
      </c>
      <c r="O1153" s="16" t="str">
        <f aca="false">IF(N1153="","",COUNTIFS($N$2:$N$1201,"&lt;"&amp;N1153,$F$2:$F$1201,"&gt;0")+1)</f>
        <v/>
      </c>
    </row>
    <row r="1154" customFormat="false" ht="15" hidden="false" customHeight="false" outlineLevel="0" collapsed="false">
      <c r="A1154" s="11" t="str">
        <f aca="false">IF(_LEITURA!$N1154="","",INDEX(_LEITURA!$K$2:$K$1201,_LEITURA!$N1154))</f>
        <v/>
      </c>
      <c r="B1154" s="11" t="str">
        <f aca="false">IF(_LEITURA!$N1154="","",INDEX(_LEITURA!$E$2:$E$1201,_LEITURA!$N1154))</f>
        <v/>
      </c>
      <c r="C1154" s="11" t="str">
        <f aca="false">IF(_LEITURA!$N1154="","",INDEX(_LEITURA!$J$2:$J$1201,_LEITURA!$N1154))</f>
        <v/>
      </c>
      <c r="D1154" s="16" t="str">
        <f aca="false">IF(_LEITURA!$N1154="","",INDEX(_LEITURA!$G$2:$G$1201,_LEITURA!$N1154))</f>
        <v/>
      </c>
      <c r="E1154" s="16" t="str">
        <f aca="false">IF(B1154="","",SUMIFS(INVENTÁRIO!$C$2:$C$801,INVENTÁRIO!$A$2:$A$801,B1154))</f>
        <v/>
      </c>
      <c r="F1154" s="16" t="str">
        <f aca="false">IF(B1154="","",MAX(0,D1154-E1154))</f>
        <v/>
      </c>
      <c r="G1154" s="16" t="str">
        <f aca="false">IF(B1154="","",IF(COUNTIFS($B$2:$B$1201,B1154,$A$2:$A$1201,"&lt;&gt;"&amp;A1154)&gt;0,"Sim",""))</f>
        <v/>
      </c>
      <c r="H1154" s="16" t="str">
        <f aca="false">IF(N(F1154)&gt;0,MAX(H$1:H1153)+1,"")</f>
        <v/>
      </c>
      <c r="I1154" s="11" t="str">
        <f aca="false">IF(B1154="","",IF(INDEX($C$2:$C$1201,MATCH(B1154,$B$2:$B$1201,0))&lt;&gt;C1154,"Nome diferente em outro deck — revisar",""))</f>
        <v/>
      </c>
      <c r="J1154" s="16" t="str">
        <f aca="false">IF(AND(B1154&lt;&gt;"",A1154=BULK!$A$1,N(F1154)&gt;0),MAX(J$1:J1153)+1,"")</f>
        <v/>
      </c>
      <c r="K1154" s="11" t="str">
        <f aca="false">IF(B1154="","",IFERROR(LEFT(B1154,FIND("-",B1154)-1),B1154))</f>
        <v/>
      </c>
      <c r="L1154" s="11" t="str">
        <f aca="false">IF(K1154="","",IF(ISNUMBER(--MID(K1154,1,1)),0,IF(ISNUMBER(--MID(K1154,2,1)),1,IF(ISNUMBER(--MID(K1154,3,1)),2,IF(ISNUMBER(--MID(K1154,4,1)),3,MIN(LEN(K1154),4))))))</f>
        <v/>
      </c>
      <c r="M1154" s="11" t="str">
        <f aca="false">IF(B1154="","",LEFT(K1154,L1154)&amp;REPT("0",4-L1154)&amp;RIGHT("000"&amp;IFERROR(VALUE(MID(K1154,L1154+1,9)),0),3)&amp;RIGHT("0000"&amp;IFERROR(VALUE(MID(B1154,FIND("-",B1154)+1,9)),0),4))</f>
        <v/>
      </c>
      <c r="N1154" s="11" t="str">
        <f aca="false">IF(OR(B1154="",N(F1154)&lt;=0),"",IF('FALTAS POR DECK'!$P$1="Código","K"&amp;M1154&amp;RIGHT("00000"&amp;ROW(),5),IF('FALTAS POR DECK'!$P$1="Nome","K"&amp;UPPER(SUBSTITUTE(SUBSTITUTE(SUBSTITUTE(C1154,"*",""),"?",""),"~",""))&amp;"0"&amp;M1154&amp;RIGHT("00000"&amp;ROW(),5),IF('FALTAS POR DECK'!$P$1="Falta (maior primeiro)","K"&amp;RIGHT("0000"&amp;(9999-F1154),4)&amp;M1154&amp;RIGHT("00000"&amp;ROW(),5),IF('FALTAS POR DECK'!$P$1="Deck e código","K"&amp;RIGHT("00"&amp;IFERROR(MATCH(A1154,_LEITURA!$P$2:$P$21,0),99),2)&amp;M1154&amp;RIGHT("00000"&amp;ROW(),5),"K"&amp;RIGHT("00000"&amp;ROW(),5))))))</f>
        <v/>
      </c>
      <c r="O1154" s="16" t="str">
        <f aca="false">IF(N1154="","",COUNTIFS($N$2:$N$1201,"&lt;"&amp;N1154,$F$2:$F$1201,"&gt;0")+1)</f>
        <v/>
      </c>
    </row>
    <row r="1155" customFormat="false" ht="15" hidden="false" customHeight="false" outlineLevel="0" collapsed="false">
      <c r="A1155" s="11" t="str">
        <f aca="false">IF(_LEITURA!$N1155="","",INDEX(_LEITURA!$K$2:$K$1201,_LEITURA!$N1155))</f>
        <v/>
      </c>
      <c r="B1155" s="11" t="str">
        <f aca="false">IF(_LEITURA!$N1155="","",INDEX(_LEITURA!$E$2:$E$1201,_LEITURA!$N1155))</f>
        <v/>
      </c>
      <c r="C1155" s="11" t="str">
        <f aca="false">IF(_LEITURA!$N1155="","",INDEX(_LEITURA!$J$2:$J$1201,_LEITURA!$N1155))</f>
        <v/>
      </c>
      <c r="D1155" s="16" t="str">
        <f aca="false">IF(_LEITURA!$N1155="","",INDEX(_LEITURA!$G$2:$G$1201,_LEITURA!$N1155))</f>
        <v/>
      </c>
      <c r="E1155" s="16" t="str">
        <f aca="false">IF(B1155="","",SUMIFS(INVENTÁRIO!$C$2:$C$801,INVENTÁRIO!$A$2:$A$801,B1155))</f>
        <v/>
      </c>
      <c r="F1155" s="16" t="str">
        <f aca="false">IF(B1155="","",MAX(0,D1155-E1155))</f>
        <v/>
      </c>
      <c r="G1155" s="16" t="str">
        <f aca="false">IF(B1155="","",IF(COUNTIFS($B$2:$B$1201,B1155,$A$2:$A$1201,"&lt;&gt;"&amp;A1155)&gt;0,"Sim",""))</f>
        <v/>
      </c>
      <c r="H1155" s="16" t="str">
        <f aca="false">IF(N(F1155)&gt;0,MAX(H$1:H1154)+1,"")</f>
        <v/>
      </c>
      <c r="I1155" s="11" t="str">
        <f aca="false">IF(B1155="","",IF(INDEX($C$2:$C$1201,MATCH(B1155,$B$2:$B$1201,0))&lt;&gt;C1155,"Nome diferente em outro deck — revisar",""))</f>
        <v/>
      </c>
      <c r="J1155" s="16" t="str">
        <f aca="false">IF(AND(B1155&lt;&gt;"",A1155=BULK!$A$1,N(F1155)&gt;0),MAX(J$1:J1154)+1,"")</f>
        <v/>
      </c>
      <c r="K1155" s="11" t="str">
        <f aca="false">IF(B1155="","",IFERROR(LEFT(B1155,FIND("-",B1155)-1),B1155))</f>
        <v/>
      </c>
      <c r="L1155" s="11" t="str">
        <f aca="false">IF(K1155="","",IF(ISNUMBER(--MID(K1155,1,1)),0,IF(ISNUMBER(--MID(K1155,2,1)),1,IF(ISNUMBER(--MID(K1155,3,1)),2,IF(ISNUMBER(--MID(K1155,4,1)),3,MIN(LEN(K1155),4))))))</f>
        <v/>
      </c>
      <c r="M1155" s="11" t="str">
        <f aca="false">IF(B1155="","",LEFT(K1155,L1155)&amp;REPT("0",4-L1155)&amp;RIGHT("000"&amp;IFERROR(VALUE(MID(K1155,L1155+1,9)),0),3)&amp;RIGHT("0000"&amp;IFERROR(VALUE(MID(B1155,FIND("-",B1155)+1,9)),0),4))</f>
        <v/>
      </c>
      <c r="N1155" s="11" t="str">
        <f aca="false">IF(OR(B1155="",N(F1155)&lt;=0),"",IF('FALTAS POR DECK'!$P$1="Código","K"&amp;M1155&amp;RIGHT("00000"&amp;ROW(),5),IF('FALTAS POR DECK'!$P$1="Nome","K"&amp;UPPER(SUBSTITUTE(SUBSTITUTE(SUBSTITUTE(C1155,"*",""),"?",""),"~",""))&amp;"0"&amp;M1155&amp;RIGHT("00000"&amp;ROW(),5),IF('FALTAS POR DECK'!$P$1="Falta (maior primeiro)","K"&amp;RIGHT("0000"&amp;(9999-F1155),4)&amp;M1155&amp;RIGHT("00000"&amp;ROW(),5),IF('FALTAS POR DECK'!$P$1="Deck e código","K"&amp;RIGHT("00"&amp;IFERROR(MATCH(A1155,_LEITURA!$P$2:$P$21,0),99),2)&amp;M1155&amp;RIGHT("00000"&amp;ROW(),5),"K"&amp;RIGHT("00000"&amp;ROW(),5))))))</f>
        <v/>
      </c>
      <c r="O1155" s="16" t="str">
        <f aca="false">IF(N1155="","",COUNTIFS($N$2:$N$1201,"&lt;"&amp;N1155,$F$2:$F$1201,"&gt;0")+1)</f>
        <v/>
      </c>
    </row>
    <row r="1156" customFormat="false" ht="15" hidden="false" customHeight="false" outlineLevel="0" collapsed="false">
      <c r="A1156" s="11" t="str">
        <f aca="false">IF(_LEITURA!$N1156="","",INDEX(_LEITURA!$K$2:$K$1201,_LEITURA!$N1156))</f>
        <v/>
      </c>
      <c r="B1156" s="11" t="str">
        <f aca="false">IF(_LEITURA!$N1156="","",INDEX(_LEITURA!$E$2:$E$1201,_LEITURA!$N1156))</f>
        <v/>
      </c>
      <c r="C1156" s="11" t="str">
        <f aca="false">IF(_LEITURA!$N1156="","",INDEX(_LEITURA!$J$2:$J$1201,_LEITURA!$N1156))</f>
        <v/>
      </c>
      <c r="D1156" s="16" t="str">
        <f aca="false">IF(_LEITURA!$N1156="","",INDEX(_LEITURA!$G$2:$G$1201,_LEITURA!$N1156))</f>
        <v/>
      </c>
      <c r="E1156" s="16" t="str">
        <f aca="false">IF(B1156="","",SUMIFS(INVENTÁRIO!$C$2:$C$801,INVENTÁRIO!$A$2:$A$801,B1156))</f>
        <v/>
      </c>
      <c r="F1156" s="16" t="str">
        <f aca="false">IF(B1156="","",MAX(0,D1156-E1156))</f>
        <v/>
      </c>
      <c r="G1156" s="16" t="str">
        <f aca="false">IF(B1156="","",IF(COUNTIFS($B$2:$B$1201,B1156,$A$2:$A$1201,"&lt;&gt;"&amp;A1156)&gt;0,"Sim",""))</f>
        <v/>
      </c>
      <c r="H1156" s="16" t="str">
        <f aca="false">IF(N(F1156)&gt;0,MAX(H$1:H1155)+1,"")</f>
        <v/>
      </c>
      <c r="I1156" s="11" t="str">
        <f aca="false">IF(B1156="","",IF(INDEX($C$2:$C$1201,MATCH(B1156,$B$2:$B$1201,0))&lt;&gt;C1156,"Nome diferente em outro deck — revisar",""))</f>
        <v/>
      </c>
      <c r="J1156" s="16" t="str">
        <f aca="false">IF(AND(B1156&lt;&gt;"",A1156=BULK!$A$1,N(F1156)&gt;0),MAX(J$1:J1155)+1,"")</f>
        <v/>
      </c>
      <c r="K1156" s="11" t="str">
        <f aca="false">IF(B1156="","",IFERROR(LEFT(B1156,FIND("-",B1156)-1),B1156))</f>
        <v/>
      </c>
      <c r="L1156" s="11" t="str">
        <f aca="false">IF(K1156="","",IF(ISNUMBER(--MID(K1156,1,1)),0,IF(ISNUMBER(--MID(K1156,2,1)),1,IF(ISNUMBER(--MID(K1156,3,1)),2,IF(ISNUMBER(--MID(K1156,4,1)),3,MIN(LEN(K1156),4))))))</f>
        <v/>
      </c>
      <c r="M1156" s="11" t="str">
        <f aca="false">IF(B1156="","",LEFT(K1156,L1156)&amp;REPT("0",4-L1156)&amp;RIGHT("000"&amp;IFERROR(VALUE(MID(K1156,L1156+1,9)),0),3)&amp;RIGHT("0000"&amp;IFERROR(VALUE(MID(B1156,FIND("-",B1156)+1,9)),0),4))</f>
        <v/>
      </c>
      <c r="N1156" s="11" t="str">
        <f aca="false">IF(OR(B1156="",N(F1156)&lt;=0),"",IF('FALTAS POR DECK'!$P$1="Código","K"&amp;M1156&amp;RIGHT("00000"&amp;ROW(),5),IF('FALTAS POR DECK'!$P$1="Nome","K"&amp;UPPER(SUBSTITUTE(SUBSTITUTE(SUBSTITUTE(C1156,"*",""),"?",""),"~",""))&amp;"0"&amp;M1156&amp;RIGHT("00000"&amp;ROW(),5),IF('FALTAS POR DECK'!$P$1="Falta (maior primeiro)","K"&amp;RIGHT("0000"&amp;(9999-F1156),4)&amp;M1156&amp;RIGHT("00000"&amp;ROW(),5),IF('FALTAS POR DECK'!$P$1="Deck e código","K"&amp;RIGHT("00"&amp;IFERROR(MATCH(A1156,_LEITURA!$P$2:$P$21,0),99),2)&amp;M1156&amp;RIGHT("00000"&amp;ROW(),5),"K"&amp;RIGHT("00000"&amp;ROW(),5))))))</f>
        <v/>
      </c>
      <c r="O1156" s="16" t="str">
        <f aca="false">IF(N1156="","",COUNTIFS($N$2:$N$1201,"&lt;"&amp;N1156,$F$2:$F$1201,"&gt;0")+1)</f>
        <v/>
      </c>
    </row>
    <row r="1157" customFormat="false" ht="15" hidden="false" customHeight="false" outlineLevel="0" collapsed="false">
      <c r="A1157" s="11" t="str">
        <f aca="false">IF(_LEITURA!$N1157="","",INDEX(_LEITURA!$K$2:$K$1201,_LEITURA!$N1157))</f>
        <v/>
      </c>
      <c r="B1157" s="11" t="str">
        <f aca="false">IF(_LEITURA!$N1157="","",INDEX(_LEITURA!$E$2:$E$1201,_LEITURA!$N1157))</f>
        <v/>
      </c>
      <c r="C1157" s="11" t="str">
        <f aca="false">IF(_LEITURA!$N1157="","",INDEX(_LEITURA!$J$2:$J$1201,_LEITURA!$N1157))</f>
        <v/>
      </c>
      <c r="D1157" s="16" t="str">
        <f aca="false">IF(_LEITURA!$N1157="","",INDEX(_LEITURA!$G$2:$G$1201,_LEITURA!$N1157))</f>
        <v/>
      </c>
      <c r="E1157" s="16" t="str">
        <f aca="false">IF(B1157="","",SUMIFS(INVENTÁRIO!$C$2:$C$801,INVENTÁRIO!$A$2:$A$801,B1157))</f>
        <v/>
      </c>
      <c r="F1157" s="16" t="str">
        <f aca="false">IF(B1157="","",MAX(0,D1157-E1157))</f>
        <v/>
      </c>
      <c r="G1157" s="16" t="str">
        <f aca="false">IF(B1157="","",IF(COUNTIFS($B$2:$B$1201,B1157,$A$2:$A$1201,"&lt;&gt;"&amp;A1157)&gt;0,"Sim",""))</f>
        <v/>
      </c>
      <c r="H1157" s="16" t="str">
        <f aca="false">IF(N(F1157)&gt;0,MAX(H$1:H1156)+1,"")</f>
        <v/>
      </c>
      <c r="I1157" s="11" t="str">
        <f aca="false">IF(B1157="","",IF(INDEX($C$2:$C$1201,MATCH(B1157,$B$2:$B$1201,0))&lt;&gt;C1157,"Nome diferente em outro deck — revisar",""))</f>
        <v/>
      </c>
      <c r="J1157" s="16" t="str">
        <f aca="false">IF(AND(B1157&lt;&gt;"",A1157=BULK!$A$1,N(F1157)&gt;0),MAX(J$1:J1156)+1,"")</f>
        <v/>
      </c>
      <c r="K1157" s="11" t="str">
        <f aca="false">IF(B1157="","",IFERROR(LEFT(B1157,FIND("-",B1157)-1),B1157))</f>
        <v/>
      </c>
      <c r="L1157" s="11" t="str">
        <f aca="false">IF(K1157="","",IF(ISNUMBER(--MID(K1157,1,1)),0,IF(ISNUMBER(--MID(K1157,2,1)),1,IF(ISNUMBER(--MID(K1157,3,1)),2,IF(ISNUMBER(--MID(K1157,4,1)),3,MIN(LEN(K1157),4))))))</f>
        <v/>
      </c>
      <c r="M1157" s="11" t="str">
        <f aca="false">IF(B1157="","",LEFT(K1157,L1157)&amp;REPT("0",4-L1157)&amp;RIGHT("000"&amp;IFERROR(VALUE(MID(K1157,L1157+1,9)),0),3)&amp;RIGHT("0000"&amp;IFERROR(VALUE(MID(B1157,FIND("-",B1157)+1,9)),0),4))</f>
        <v/>
      </c>
      <c r="N1157" s="11" t="str">
        <f aca="false">IF(OR(B1157="",N(F1157)&lt;=0),"",IF('FALTAS POR DECK'!$P$1="Código","K"&amp;M1157&amp;RIGHT("00000"&amp;ROW(),5),IF('FALTAS POR DECK'!$P$1="Nome","K"&amp;UPPER(SUBSTITUTE(SUBSTITUTE(SUBSTITUTE(C1157,"*",""),"?",""),"~",""))&amp;"0"&amp;M1157&amp;RIGHT("00000"&amp;ROW(),5),IF('FALTAS POR DECK'!$P$1="Falta (maior primeiro)","K"&amp;RIGHT("0000"&amp;(9999-F1157),4)&amp;M1157&amp;RIGHT("00000"&amp;ROW(),5),IF('FALTAS POR DECK'!$P$1="Deck e código","K"&amp;RIGHT("00"&amp;IFERROR(MATCH(A1157,_LEITURA!$P$2:$P$21,0),99),2)&amp;M1157&amp;RIGHT("00000"&amp;ROW(),5),"K"&amp;RIGHT("00000"&amp;ROW(),5))))))</f>
        <v/>
      </c>
      <c r="O1157" s="16" t="str">
        <f aca="false">IF(N1157="","",COUNTIFS($N$2:$N$1201,"&lt;"&amp;N1157,$F$2:$F$1201,"&gt;0")+1)</f>
        <v/>
      </c>
    </row>
    <row r="1158" customFormat="false" ht="15" hidden="false" customHeight="false" outlineLevel="0" collapsed="false">
      <c r="A1158" s="11" t="str">
        <f aca="false">IF(_LEITURA!$N1158="","",INDEX(_LEITURA!$K$2:$K$1201,_LEITURA!$N1158))</f>
        <v/>
      </c>
      <c r="B1158" s="11" t="str">
        <f aca="false">IF(_LEITURA!$N1158="","",INDEX(_LEITURA!$E$2:$E$1201,_LEITURA!$N1158))</f>
        <v/>
      </c>
      <c r="C1158" s="11" t="str">
        <f aca="false">IF(_LEITURA!$N1158="","",INDEX(_LEITURA!$J$2:$J$1201,_LEITURA!$N1158))</f>
        <v/>
      </c>
      <c r="D1158" s="16" t="str">
        <f aca="false">IF(_LEITURA!$N1158="","",INDEX(_LEITURA!$G$2:$G$1201,_LEITURA!$N1158))</f>
        <v/>
      </c>
      <c r="E1158" s="16" t="str">
        <f aca="false">IF(B1158="","",SUMIFS(INVENTÁRIO!$C$2:$C$801,INVENTÁRIO!$A$2:$A$801,B1158))</f>
        <v/>
      </c>
      <c r="F1158" s="16" t="str">
        <f aca="false">IF(B1158="","",MAX(0,D1158-E1158))</f>
        <v/>
      </c>
      <c r="G1158" s="16" t="str">
        <f aca="false">IF(B1158="","",IF(COUNTIFS($B$2:$B$1201,B1158,$A$2:$A$1201,"&lt;&gt;"&amp;A1158)&gt;0,"Sim",""))</f>
        <v/>
      </c>
      <c r="H1158" s="16" t="str">
        <f aca="false">IF(N(F1158)&gt;0,MAX(H$1:H1157)+1,"")</f>
        <v/>
      </c>
      <c r="I1158" s="11" t="str">
        <f aca="false">IF(B1158="","",IF(INDEX($C$2:$C$1201,MATCH(B1158,$B$2:$B$1201,0))&lt;&gt;C1158,"Nome diferente em outro deck — revisar",""))</f>
        <v/>
      </c>
      <c r="J1158" s="16" t="str">
        <f aca="false">IF(AND(B1158&lt;&gt;"",A1158=BULK!$A$1,N(F1158)&gt;0),MAX(J$1:J1157)+1,"")</f>
        <v/>
      </c>
      <c r="K1158" s="11" t="str">
        <f aca="false">IF(B1158="","",IFERROR(LEFT(B1158,FIND("-",B1158)-1),B1158))</f>
        <v/>
      </c>
      <c r="L1158" s="11" t="str">
        <f aca="false">IF(K1158="","",IF(ISNUMBER(--MID(K1158,1,1)),0,IF(ISNUMBER(--MID(K1158,2,1)),1,IF(ISNUMBER(--MID(K1158,3,1)),2,IF(ISNUMBER(--MID(K1158,4,1)),3,MIN(LEN(K1158),4))))))</f>
        <v/>
      </c>
      <c r="M1158" s="11" t="str">
        <f aca="false">IF(B1158="","",LEFT(K1158,L1158)&amp;REPT("0",4-L1158)&amp;RIGHT("000"&amp;IFERROR(VALUE(MID(K1158,L1158+1,9)),0),3)&amp;RIGHT("0000"&amp;IFERROR(VALUE(MID(B1158,FIND("-",B1158)+1,9)),0),4))</f>
        <v/>
      </c>
      <c r="N1158" s="11" t="str">
        <f aca="false">IF(OR(B1158="",N(F1158)&lt;=0),"",IF('FALTAS POR DECK'!$P$1="Código","K"&amp;M1158&amp;RIGHT("00000"&amp;ROW(),5),IF('FALTAS POR DECK'!$P$1="Nome","K"&amp;UPPER(SUBSTITUTE(SUBSTITUTE(SUBSTITUTE(C1158,"*",""),"?",""),"~",""))&amp;"0"&amp;M1158&amp;RIGHT("00000"&amp;ROW(),5),IF('FALTAS POR DECK'!$P$1="Falta (maior primeiro)","K"&amp;RIGHT("0000"&amp;(9999-F1158),4)&amp;M1158&amp;RIGHT("00000"&amp;ROW(),5),IF('FALTAS POR DECK'!$P$1="Deck e código","K"&amp;RIGHT("00"&amp;IFERROR(MATCH(A1158,_LEITURA!$P$2:$P$21,0),99),2)&amp;M1158&amp;RIGHT("00000"&amp;ROW(),5),"K"&amp;RIGHT("00000"&amp;ROW(),5))))))</f>
        <v/>
      </c>
      <c r="O1158" s="16" t="str">
        <f aca="false">IF(N1158="","",COUNTIFS($N$2:$N$1201,"&lt;"&amp;N1158,$F$2:$F$1201,"&gt;0")+1)</f>
        <v/>
      </c>
    </row>
    <row r="1159" customFormat="false" ht="15" hidden="false" customHeight="false" outlineLevel="0" collapsed="false">
      <c r="A1159" s="11" t="str">
        <f aca="false">IF(_LEITURA!$N1159="","",INDEX(_LEITURA!$K$2:$K$1201,_LEITURA!$N1159))</f>
        <v/>
      </c>
      <c r="B1159" s="11" t="str">
        <f aca="false">IF(_LEITURA!$N1159="","",INDEX(_LEITURA!$E$2:$E$1201,_LEITURA!$N1159))</f>
        <v/>
      </c>
      <c r="C1159" s="11" t="str">
        <f aca="false">IF(_LEITURA!$N1159="","",INDEX(_LEITURA!$J$2:$J$1201,_LEITURA!$N1159))</f>
        <v/>
      </c>
      <c r="D1159" s="16" t="str">
        <f aca="false">IF(_LEITURA!$N1159="","",INDEX(_LEITURA!$G$2:$G$1201,_LEITURA!$N1159))</f>
        <v/>
      </c>
      <c r="E1159" s="16" t="str">
        <f aca="false">IF(B1159="","",SUMIFS(INVENTÁRIO!$C$2:$C$801,INVENTÁRIO!$A$2:$A$801,B1159))</f>
        <v/>
      </c>
      <c r="F1159" s="16" t="str">
        <f aca="false">IF(B1159="","",MAX(0,D1159-E1159))</f>
        <v/>
      </c>
      <c r="G1159" s="16" t="str">
        <f aca="false">IF(B1159="","",IF(COUNTIFS($B$2:$B$1201,B1159,$A$2:$A$1201,"&lt;&gt;"&amp;A1159)&gt;0,"Sim",""))</f>
        <v/>
      </c>
      <c r="H1159" s="16" t="str">
        <f aca="false">IF(N(F1159)&gt;0,MAX(H$1:H1158)+1,"")</f>
        <v/>
      </c>
      <c r="I1159" s="11" t="str">
        <f aca="false">IF(B1159="","",IF(INDEX($C$2:$C$1201,MATCH(B1159,$B$2:$B$1201,0))&lt;&gt;C1159,"Nome diferente em outro deck — revisar",""))</f>
        <v/>
      </c>
      <c r="J1159" s="16" t="str">
        <f aca="false">IF(AND(B1159&lt;&gt;"",A1159=BULK!$A$1,N(F1159)&gt;0),MAX(J$1:J1158)+1,"")</f>
        <v/>
      </c>
      <c r="K1159" s="11" t="str">
        <f aca="false">IF(B1159="","",IFERROR(LEFT(B1159,FIND("-",B1159)-1),B1159))</f>
        <v/>
      </c>
      <c r="L1159" s="11" t="str">
        <f aca="false">IF(K1159="","",IF(ISNUMBER(--MID(K1159,1,1)),0,IF(ISNUMBER(--MID(K1159,2,1)),1,IF(ISNUMBER(--MID(K1159,3,1)),2,IF(ISNUMBER(--MID(K1159,4,1)),3,MIN(LEN(K1159),4))))))</f>
        <v/>
      </c>
      <c r="M1159" s="11" t="str">
        <f aca="false">IF(B1159="","",LEFT(K1159,L1159)&amp;REPT("0",4-L1159)&amp;RIGHT("000"&amp;IFERROR(VALUE(MID(K1159,L1159+1,9)),0),3)&amp;RIGHT("0000"&amp;IFERROR(VALUE(MID(B1159,FIND("-",B1159)+1,9)),0),4))</f>
        <v/>
      </c>
      <c r="N1159" s="11" t="str">
        <f aca="false">IF(OR(B1159="",N(F1159)&lt;=0),"",IF('FALTAS POR DECK'!$P$1="Código","K"&amp;M1159&amp;RIGHT("00000"&amp;ROW(),5),IF('FALTAS POR DECK'!$P$1="Nome","K"&amp;UPPER(SUBSTITUTE(SUBSTITUTE(SUBSTITUTE(C1159,"*",""),"?",""),"~",""))&amp;"0"&amp;M1159&amp;RIGHT("00000"&amp;ROW(),5),IF('FALTAS POR DECK'!$P$1="Falta (maior primeiro)","K"&amp;RIGHT("0000"&amp;(9999-F1159),4)&amp;M1159&amp;RIGHT("00000"&amp;ROW(),5),IF('FALTAS POR DECK'!$P$1="Deck e código","K"&amp;RIGHT("00"&amp;IFERROR(MATCH(A1159,_LEITURA!$P$2:$P$21,0),99),2)&amp;M1159&amp;RIGHT("00000"&amp;ROW(),5),"K"&amp;RIGHT("00000"&amp;ROW(),5))))))</f>
        <v/>
      </c>
      <c r="O1159" s="16" t="str">
        <f aca="false">IF(N1159="","",COUNTIFS($N$2:$N$1201,"&lt;"&amp;N1159,$F$2:$F$1201,"&gt;0")+1)</f>
        <v/>
      </c>
    </row>
    <row r="1160" customFormat="false" ht="15" hidden="false" customHeight="false" outlineLevel="0" collapsed="false">
      <c r="A1160" s="11" t="str">
        <f aca="false">IF(_LEITURA!$N1160="","",INDEX(_LEITURA!$K$2:$K$1201,_LEITURA!$N1160))</f>
        <v/>
      </c>
      <c r="B1160" s="11" t="str">
        <f aca="false">IF(_LEITURA!$N1160="","",INDEX(_LEITURA!$E$2:$E$1201,_LEITURA!$N1160))</f>
        <v/>
      </c>
      <c r="C1160" s="11" t="str">
        <f aca="false">IF(_LEITURA!$N1160="","",INDEX(_LEITURA!$J$2:$J$1201,_LEITURA!$N1160))</f>
        <v/>
      </c>
      <c r="D1160" s="16" t="str">
        <f aca="false">IF(_LEITURA!$N1160="","",INDEX(_LEITURA!$G$2:$G$1201,_LEITURA!$N1160))</f>
        <v/>
      </c>
      <c r="E1160" s="16" t="str">
        <f aca="false">IF(B1160="","",SUMIFS(INVENTÁRIO!$C$2:$C$801,INVENTÁRIO!$A$2:$A$801,B1160))</f>
        <v/>
      </c>
      <c r="F1160" s="16" t="str">
        <f aca="false">IF(B1160="","",MAX(0,D1160-E1160))</f>
        <v/>
      </c>
      <c r="G1160" s="16" t="str">
        <f aca="false">IF(B1160="","",IF(COUNTIFS($B$2:$B$1201,B1160,$A$2:$A$1201,"&lt;&gt;"&amp;A1160)&gt;0,"Sim",""))</f>
        <v/>
      </c>
      <c r="H1160" s="16" t="str">
        <f aca="false">IF(N(F1160)&gt;0,MAX(H$1:H1159)+1,"")</f>
        <v/>
      </c>
      <c r="I1160" s="11" t="str">
        <f aca="false">IF(B1160="","",IF(INDEX($C$2:$C$1201,MATCH(B1160,$B$2:$B$1201,0))&lt;&gt;C1160,"Nome diferente em outro deck — revisar",""))</f>
        <v/>
      </c>
      <c r="J1160" s="16" t="str">
        <f aca="false">IF(AND(B1160&lt;&gt;"",A1160=BULK!$A$1,N(F1160)&gt;0),MAX(J$1:J1159)+1,"")</f>
        <v/>
      </c>
      <c r="K1160" s="11" t="str">
        <f aca="false">IF(B1160="","",IFERROR(LEFT(B1160,FIND("-",B1160)-1),B1160))</f>
        <v/>
      </c>
      <c r="L1160" s="11" t="str">
        <f aca="false">IF(K1160="","",IF(ISNUMBER(--MID(K1160,1,1)),0,IF(ISNUMBER(--MID(K1160,2,1)),1,IF(ISNUMBER(--MID(K1160,3,1)),2,IF(ISNUMBER(--MID(K1160,4,1)),3,MIN(LEN(K1160),4))))))</f>
        <v/>
      </c>
      <c r="M1160" s="11" t="str">
        <f aca="false">IF(B1160="","",LEFT(K1160,L1160)&amp;REPT("0",4-L1160)&amp;RIGHT("000"&amp;IFERROR(VALUE(MID(K1160,L1160+1,9)),0),3)&amp;RIGHT("0000"&amp;IFERROR(VALUE(MID(B1160,FIND("-",B1160)+1,9)),0),4))</f>
        <v/>
      </c>
      <c r="N1160" s="11" t="str">
        <f aca="false">IF(OR(B1160="",N(F1160)&lt;=0),"",IF('FALTAS POR DECK'!$P$1="Código","K"&amp;M1160&amp;RIGHT("00000"&amp;ROW(),5),IF('FALTAS POR DECK'!$P$1="Nome","K"&amp;UPPER(SUBSTITUTE(SUBSTITUTE(SUBSTITUTE(C1160,"*",""),"?",""),"~",""))&amp;"0"&amp;M1160&amp;RIGHT("00000"&amp;ROW(),5),IF('FALTAS POR DECK'!$P$1="Falta (maior primeiro)","K"&amp;RIGHT("0000"&amp;(9999-F1160),4)&amp;M1160&amp;RIGHT("00000"&amp;ROW(),5),IF('FALTAS POR DECK'!$P$1="Deck e código","K"&amp;RIGHT("00"&amp;IFERROR(MATCH(A1160,_LEITURA!$P$2:$P$21,0),99),2)&amp;M1160&amp;RIGHT("00000"&amp;ROW(),5),"K"&amp;RIGHT("00000"&amp;ROW(),5))))))</f>
        <v/>
      </c>
      <c r="O1160" s="16" t="str">
        <f aca="false">IF(N1160="","",COUNTIFS($N$2:$N$1201,"&lt;"&amp;N1160,$F$2:$F$1201,"&gt;0")+1)</f>
        <v/>
      </c>
    </row>
    <row r="1161" customFormat="false" ht="15" hidden="false" customHeight="false" outlineLevel="0" collapsed="false">
      <c r="A1161" s="11" t="str">
        <f aca="false">IF(_LEITURA!$N1161="","",INDEX(_LEITURA!$K$2:$K$1201,_LEITURA!$N1161))</f>
        <v/>
      </c>
      <c r="B1161" s="11" t="str">
        <f aca="false">IF(_LEITURA!$N1161="","",INDEX(_LEITURA!$E$2:$E$1201,_LEITURA!$N1161))</f>
        <v/>
      </c>
      <c r="C1161" s="11" t="str">
        <f aca="false">IF(_LEITURA!$N1161="","",INDEX(_LEITURA!$J$2:$J$1201,_LEITURA!$N1161))</f>
        <v/>
      </c>
      <c r="D1161" s="16" t="str">
        <f aca="false">IF(_LEITURA!$N1161="","",INDEX(_LEITURA!$G$2:$G$1201,_LEITURA!$N1161))</f>
        <v/>
      </c>
      <c r="E1161" s="16" t="str">
        <f aca="false">IF(B1161="","",SUMIFS(INVENTÁRIO!$C$2:$C$801,INVENTÁRIO!$A$2:$A$801,B1161))</f>
        <v/>
      </c>
      <c r="F1161" s="16" t="str">
        <f aca="false">IF(B1161="","",MAX(0,D1161-E1161))</f>
        <v/>
      </c>
      <c r="G1161" s="16" t="str">
        <f aca="false">IF(B1161="","",IF(COUNTIFS($B$2:$B$1201,B1161,$A$2:$A$1201,"&lt;&gt;"&amp;A1161)&gt;0,"Sim",""))</f>
        <v/>
      </c>
      <c r="H1161" s="16" t="str">
        <f aca="false">IF(N(F1161)&gt;0,MAX(H$1:H1160)+1,"")</f>
        <v/>
      </c>
      <c r="I1161" s="11" t="str">
        <f aca="false">IF(B1161="","",IF(INDEX($C$2:$C$1201,MATCH(B1161,$B$2:$B$1201,0))&lt;&gt;C1161,"Nome diferente em outro deck — revisar",""))</f>
        <v/>
      </c>
      <c r="J1161" s="16" t="str">
        <f aca="false">IF(AND(B1161&lt;&gt;"",A1161=BULK!$A$1,N(F1161)&gt;0),MAX(J$1:J1160)+1,"")</f>
        <v/>
      </c>
      <c r="K1161" s="11" t="str">
        <f aca="false">IF(B1161="","",IFERROR(LEFT(B1161,FIND("-",B1161)-1),B1161))</f>
        <v/>
      </c>
      <c r="L1161" s="11" t="str">
        <f aca="false">IF(K1161="","",IF(ISNUMBER(--MID(K1161,1,1)),0,IF(ISNUMBER(--MID(K1161,2,1)),1,IF(ISNUMBER(--MID(K1161,3,1)),2,IF(ISNUMBER(--MID(K1161,4,1)),3,MIN(LEN(K1161),4))))))</f>
        <v/>
      </c>
      <c r="M1161" s="11" t="str">
        <f aca="false">IF(B1161="","",LEFT(K1161,L1161)&amp;REPT("0",4-L1161)&amp;RIGHT("000"&amp;IFERROR(VALUE(MID(K1161,L1161+1,9)),0),3)&amp;RIGHT("0000"&amp;IFERROR(VALUE(MID(B1161,FIND("-",B1161)+1,9)),0),4))</f>
        <v/>
      </c>
      <c r="N1161" s="11" t="str">
        <f aca="false">IF(OR(B1161="",N(F1161)&lt;=0),"",IF('FALTAS POR DECK'!$P$1="Código","K"&amp;M1161&amp;RIGHT("00000"&amp;ROW(),5),IF('FALTAS POR DECK'!$P$1="Nome","K"&amp;UPPER(SUBSTITUTE(SUBSTITUTE(SUBSTITUTE(C1161,"*",""),"?",""),"~",""))&amp;"0"&amp;M1161&amp;RIGHT("00000"&amp;ROW(),5),IF('FALTAS POR DECK'!$P$1="Falta (maior primeiro)","K"&amp;RIGHT("0000"&amp;(9999-F1161),4)&amp;M1161&amp;RIGHT("00000"&amp;ROW(),5),IF('FALTAS POR DECK'!$P$1="Deck e código","K"&amp;RIGHT("00"&amp;IFERROR(MATCH(A1161,_LEITURA!$P$2:$P$21,0),99),2)&amp;M1161&amp;RIGHT("00000"&amp;ROW(),5),"K"&amp;RIGHT("00000"&amp;ROW(),5))))))</f>
        <v/>
      </c>
      <c r="O1161" s="16" t="str">
        <f aca="false">IF(N1161="","",COUNTIFS($N$2:$N$1201,"&lt;"&amp;N1161,$F$2:$F$1201,"&gt;0")+1)</f>
        <v/>
      </c>
    </row>
    <row r="1162" customFormat="false" ht="15" hidden="false" customHeight="false" outlineLevel="0" collapsed="false">
      <c r="A1162" s="11" t="str">
        <f aca="false">IF(_LEITURA!$N1162="","",INDEX(_LEITURA!$K$2:$K$1201,_LEITURA!$N1162))</f>
        <v/>
      </c>
      <c r="B1162" s="11" t="str">
        <f aca="false">IF(_LEITURA!$N1162="","",INDEX(_LEITURA!$E$2:$E$1201,_LEITURA!$N1162))</f>
        <v/>
      </c>
      <c r="C1162" s="11" t="str">
        <f aca="false">IF(_LEITURA!$N1162="","",INDEX(_LEITURA!$J$2:$J$1201,_LEITURA!$N1162))</f>
        <v/>
      </c>
      <c r="D1162" s="16" t="str">
        <f aca="false">IF(_LEITURA!$N1162="","",INDEX(_LEITURA!$G$2:$G$1201,_LEITURA!$N1162))</f>
        <v/>
      </c>
      <c r="E1162" s="16" t="str">
        <f aca="false">IF(B1162="","",SUMIFS(INVENTÁRIO!$C$2:$C$801,INVENTÁRIO!$A$2:$A$801,B1162))</f>
        <v/>
      </c>
      <c r="F1162" s="16" t="str">
        <f aca="false">IF(B1162="","",MAX(0,D1162-E1162))</f>
        <v/>
      </c>
      <c r="G1162" s="16" t="str">
        <f aca="false">IF(B1162="","",IF(COUNTIFS($B$2:$B$1201,B1162,$A$2:$A$1201,"&lt;&gt;"&amp;A1162)&gt;0,"Sim",""))</f>
        <v/>
      </c>
      <c r="H1162" s="16" t="str">
        <f aca="false">IF(N(F1162)&gt;0,MAX(H$1:H1161)+1,"")</f>
        <v/>
      </c>
      <c r="I1162" s="11" t="str">
        <f aca="false">IF(B1162="","",IF(INDEX($C$2:$C$1201,MATCH(B1162,$B$2:$B$1201,0))&lt;&gt;C1162,"Nome diferente em outro deck — revisar",""))</f>
        <v/>
      </c>
      <c r="J1162" s="16" t="str">
        <f aca="false">IF(AND(B1162&lt;&gt;"",A1162=BULK!$A$1,N(F1162)&gt;0),MAX(J$1:J1161)+1,"")</f>
        <v/>
      </c>
      <c r="K1162" s="11" t="str">
        <f aca="false">IF(B1162="","",IFERROR(LEFT(B1162,FIND("-",B1162)-1),B1162))</f>
        <v/>
      </c>
      <c r="L1162" s="11" t="str">
        <f aca="false">IF(K1162="","",IF(ISNUMBER(--MID(K1162,1,1)),0,IF(ISNUMBER(--MID(K1162,2,1)),1,IF(ISNUMBER(--MID(K1162,3,1)),2,IF(ISNUMBER(--MID(K1162,4,1)),3,MIN(LEN(K1162),4))))))</f>
        <v/>
      </c>
      <c r="M1162" s="11" t="str">
        <f aca="false">IF(B1162="","",LEFT(K1162,L1162)&amp;REPT("0",4-L1162)&amp;RIGHT("000"&amp;IFERROR(VALUE(MID(K1162,L1162+1,9)),0),3)&amp;RIGHT("0000"&amp;IFERROR(VALUE(MID(B1162,FIND("-",B1162)+1,9)),0),4))</f>
        <v/>
      </c>
      <c r="N1162" s="11" t="str">
        <f aca="false">IF(OR(B1162="",N(F1162)&lt;=0),"",IF('FALTAS POR DECK'!$P$1="Código","K"&amp;M1162&amp;RIGHT("00000"&amp;ROW(),5),IF('FALTAS POR DECK'!$P$1="Nome","K"&amp;UPPER(SUBSTITUTE(SUBSTITUTE(SUBSTITUTE(C1162,"*",""),"?",""),"~",""))&amp;"0"&amp;M1162&amp;RIGHT("00000"&amp;ROW(),5),IF('FALTAS POR DECK'!$P$1="Falta (maior primeiro)","K"&amp;RIGHT("0000"&amp;(9999-F1162),4)&amp;M1162&amp;RIGHT("00000"&amp;ROW(),5),IF('FALTAS POR DECK'!$P$1="Deck e código","K"&amp;RIGHT("00"&amp;IFERROR(MATCH(A1162,_LEITURA!$P$2:$P$21,0),99),2)&amp;M1162&amp;RIGHT("00000"&amp;ROW(),5),"K"&amp;RIGHT("00000"&amp;ROW(),5))))))</f>
        <v/>
      </c>
      <c r="O1162" s="16" t="str">
        <f aca="false">IF(N1162="","",COUNTIFS($N$2:$N$1201,"&lt;"&amp;N1162,$F$2:$F$1201,"&gt;0")+1)</f>
        <v/>
      </c>
    </row>
    <row r="1163" customFormat="false" ht="15" hidden="false" customHeight="false" outlineLevel="0" collapsed="false">
      <c r="A1163" s="11" t="str">
        <f aca="false">IF(_LEITURA!$N1163="","",INDEX(_LEITURA!$K$2:$K$1201,_LEITURA!$N1163))</f>
        <v/>
      </c>
      <c r="B1163" s="11" t="str">
        <f aca="false">IF(_LEITURA!$N1163="","",INDEX(_LEITURA!$E$2:$E$1201,_LEITURA!$N1163))</f>
        <v/>
      </c>
      <c r="C1163" s="11" t="str">
        <f aca="false">IF(_LEITURA!$N1163="","",INDEX(_LEITURA!$J$2:$J$1201,_LEITURA!$N1163))</f>
        <v/>
      </c>
      <c r="D1163" s="16" t="str">
        <f aca="false">IF(_LEITURA!$N1163="","",INDEX(_LEITURA!$G$2:$G$1201,_LEITURA!$N1163))</f>
        <v/>
      </c>
      <c r="E1163" s="16" t="str">
        <f aca="false">IF(B1163="","",SUMIFS(INVENTÁRIO!$C$2:$C$801,INVENTÁRIO!$A$2:$A$801,B1163))</f>
        <v/>
      </c>
      <c r="F1163" s="16" t="str">
        <f aca="false">IF(B1163="","",MAX(0,D1163-E1163))</f>
        <v/>
      </c>
      <c r="G1163" s="16" t="str">
        <f aca="false">IF(B1163="","",IF(COUNTIFS($B$2:$B$1201,B1163,$A$2:$A$1201,"&lt;&gt;"&amp;A1163)&gt;0,"Sim",""))</f>
        <v/>
      </c>
      <c r="H1163" s="16" t="str">
        <f aca="false">IF(N(F1163)&gt;0,MAX(H$1:H1162)+1,"")</f>
        <v/>
      </c>
      <c r="I1163" s="11" t="str">
        <f aca="false">IF(B1163="","",IF(INDEX($C$2:$C$1201,MATCH(B1163,$B$2:$B$1201,0))&lt;&gt;C1163,"Nome diferente em outro deck — revisar",""))</f>
        <v/>
      </c>
      <c r="J1163" s="16" t="str">
        <f aca="false">IF(AND(B1163&lt;&gt;"",A1163=BULK!$A$1,N(F1163)&gt;0),MAX(J$1:J1162)+1,"")</f>
        <v/>
      </c>
      <c r="K1163" s="11" t="str">
        <f aca="false">IF(B1163="","",IFERROR(LEFT(B1163,FIND("-",B1163)-1),B1163))</f>
        <v/>
      </c>
      <c r="L1163" s="11" t="str">
        <f aca="false">IF(K1163="","",IF(ISNUMBER(--MID(K1163,1,1)),0,IF(ISNUMBER(--MID(K1163,2,1)),1,IF(ISNUMBER(--MID(K1163,3,1)),2,IF(ISNUMBER(--MID(K1163,4,1)),3,MIN(LEN(K1163),4))))))</f>
        <v/>
      </c>
      <c r="M1163" s="11" t="str">
        <f aca="false">IF(B1163="","",LEFT(K1163,L1163)&amp;REPT("0",4-L1163)&amp;RIGHT("000"&amp;IFERROR(VALUE(MID(K1163,L1163+1,9)),0),3)&amp;RIGHT("0000"&amp;IFERROR(VALUE(MID(B1163,FIND("-",B1163)+1,9)),0),4))</f>
        <v/>
      </c>
      <c r="N1163" s="11" t="str">
        <f aca="false">IF(OR(B1163="",N(F1163)&lt;=0),"",IF('FALTAS POR DECK'!$P$1="Código","K"&amp;M1163&amp;RIGHT("00000"&amp;ROW(),5),IF('FALTAS POR DECK'!$P$1="Nome","K"&amp;UPPER(SUBSTITUTE(SUBSTITUTE(SUBSTITUTE(C1163,"*",""),"?",""),"~",""))&amp;"0"&amp;M1163&amp;RIGHT("00000"&amp;ROW(),5),IF('FALTAS POR DECK'!$P$1="Falta (maior primeiro)","K"&amp;RIGHT("0000"&amp;(9999-F1163),4)&amp;M1163&amp;RIGHT("00000"&amp;ROW(),5),IF('FALTAS POR DECK'!$P$1="Deck e código","K"&amp;RIGHT("00"&amp;IFERROR(MATCH(A1163,_LEITURA!$P$2:$P$21,0),99),2)&amp;M1163&amp;RIGHT("00000"&amp;ROW(),5),"K"&amp;RIGHT("00000"&amp;ROW(),5))))))</f>
        <v/>
      </c>
      <c r="O1163" s="16" t="str">
        <f aca="false">IF(N1163="","",COUNTIFS($N$2:$N$1201,"&lt;"&amp;N1163,$F$2:$F$1201,"&gt;0")+1)</f>
        <v/>
      </c>
    </row>
    <row r="1164" customFormat="false" ht="15" hidden="false" customHeight="false" outlineLevel="0" collapsed="false">
      <c r="A1164" s="11" t="str">
        <f aca="false">IF(_LEITURA!$N1164="","",INDEX(_LEITURA!$K$2:$K$1201,_LEITURA!$N1164))</f>
        <v/>
      </c>
      <c r="B1164" s="11" t="str">
        <f aca="false">IF(_LEITURA!$N1164="","",INDEX(_LEITURA!$E$2:$E$1201,_LEITURA!$N1164))</f>
        <v/>
      </c>
      <c r="C1164" s="11" t="str">
        <f aca="false">IF(_LEITURA!$N1164="","",INDEX(_LEITURA!$J$2:$J$1201,_LEITURA!$N1164))</f>
        <v/>
      </c>
      <c r="D1164" s="16" t="str">
        <f aca="false">IF(_LEITURA!$N1164="","",INDEX(_LEITURA!$G$2:$G$1201,_LEITURA!$N1164))</f>
        <v/>
      </c>
      <c r="E1164" s="16" t="str">
        <f aca="false">IF(B1164="","",SUMIFS(INVENTÁRIO!$C$2:$C$801,INVENTÁRIO!$A$2:$A$801,B1164))</f>
        <v/>
      </c>
      <c r="F1164" s="16" t="str">
        <f aca="false">IF(B1164="","",MAX(0,D1164-E1164))</f>
        <v/>
      </c>
      <c r="G1164" s="16" t="str">
        <f aca="false">IF(B1164="","",IF(COUNTIFS($B$2:$B$1201,B1164,$A$2:$A$1201,"&lt;&gt;"&amp;A1164)&gt;0,"Sim",""))</f>
        <v/>
      </c>
      <c r="H1164" s="16" t="str">
        <f aca="false">IF(N(F1164)&gt;0,MAX(H$1:H1163)+1,"")</f>
        <v/>
      </c>
      <c r="I1164" s="11" t="str">
        <f aca="false">IF(B1164="","",IF(INDEX($C$2:$C$1201,MATCH(B1164,$B$2:$B$1201,0))&lt;&gt;C1164,"Nome diferente em outro deck — revisar",""))</f>
        <v/>
      </c>
      <c r="J1164" s="16" t="str">
        <f aca="false">IF(AND(B1164&lt;&gt;"",A1164=BULK!$A$1,N(F1164)&gt;0),MAX(J$1:J1163)+1,"")</f>
        <v/>
      </c>
      <c r="K1164" s="11" t="str">
        <f aca="false">IF(B1164="","",IFERROR(LEFT(B1164,FIND("-",B1164)-1),B1164))</f>
        <v/>
      </c>
      <c r="L1164" s="11" t="str">
        <f aca="false">IF(K1164="","",IF(ISNUMBER(--MID(K1164,1,1)),0,IF(ISNUMBER(--MID(K1164,2,1)),1,IF(ISNUMBER(--MID(K1164,3,1)),2,IF(ISNUMBER(--MID(K1164,4,1)),3,MIN(LEN(K1164),4))))))</f>
        <v/>
      </c>
      <c r="M1164" s="11" t="str">
        <f aca="false">IF(B1164="","",LEFT(K1164,L1164)&amp;REPT("0",4-L1164)&amp;RIGHT("000"&amp;IFERROR(VALUE(MID(K1164,L1164+1,9)),0),3)&amp;RIGHT("0000"&amp;IFERROR(VALUE(MID(B1164,FIND("-",B1164)+1,9)),0),4))</f>
        <v/>
      </c>
      <c r="N1164" s="11" t="str">
        <f aca="false">IF(OR(B1164="",N(F1164)&lt;=0),"",IF('FALTAS POR DECK'!$P$1="Código","K"&amp;M1164&amp;RIGHT("00000"&amp;ROW(),5),IF('FALTAS POR DECK'!$P$1="Nome","K"&amp;UPPER(SUBSTITUTE(SUBSTITUTE(SUBSTITUTE(C1164,"*",""),"?",""),"~",""))&amp;"0"&amp;M1164&amp;RIGHT("00000"&amp;ROW(),5),IF('FALTAS POR DECK'!$P$1="Falta (maior primeiro)","K"&amp;RIGHT("0000"&amp;(9999-F1164),4)&amp;M1164&amp;RIGHT("00000"&amp;ROW(),5),IF('FALTAS POR DECK'!$P$1="Deck e código","K"&amp;RIGHT("00"&amp;IFERROR(MATCH(A1164,_LEITURA!$P$2:$P$21,0),99),2)&amp;M1164&amp;RIGHT("00000"&amp;ROW(),5),"K"&amp;RIGHT("00000"&amp;ROW(),5))))))</f>
        <v/>
      </c>
      <c r="O1164" s="16" t="str">
        <f aca="false">IF(N1164="","",COUNTIFS($N$2:$N$1201,"&lt;"&amp;N1164,$F$2:$F$1201,"&gt;0")+1)</f>
        <v/>
      </c>
    </row>
    <row r="1165" customFormat="false" ht="15" hidden="false" customHeight="false" outlineLevel="0" collapsed="false">
      <c r="A1165" s="11" t="str">
        <f aca="false">IF(_LEITURA!$N1165="","",INDEX(_LEITURA!$K$2:$K$1201,_LEITURA!$N1165))</f>
        <v/>
      </c>
      <c r="B1165" s="11" t="str">
        <f aca="false">IF(_LEITURA!$N1165="","",INDEX(_LEITURA!$E$2:$E$1201,_LEITURA!$N1165))</f>
        <v/>
      </c>
      <c r="C1165" s="11" t="str">
        <f aca="false">IF(_LEITURA!$N1165="","",INDEX(_LEITURA!$J$2:$J$1201,_LEITURA!$N1165))</f>
        <v/>
      </c>
      <c r="D1165" s="16" t="str">
        <f aca="false">IF(_LEITURA!$N1165="","",INDEX(_LEITURA!$G$2:$G$1201,_LEITURA!$N1165))</f>
        <v/>
      </c>
      <c r="E1165" s="16" t="str">
        <f aca="false">IF(B1165="","",SUMIFS(INVENTÁRIO!$C$2:$C$801,INVENTÁRIO!$A$2:$A$801,B1165))</f>
        <v/>
      </c>
      <c r="F1165" s="16" t="str">
        <f aca="false">IF(B1165="","",MAX(0,D1165-E1165))</f>
        <v/>
      </c>
      <c r="G1165" s="16" t="str">
        <f aca="false">IF(B1165="","",IF(COUNTIFS($B$2:$B$1201,B1165,$A$2:$A$1201,"&lt;&gt;"&amp;A1165)&gt;0,"Sim",""))</f>
        <v/>
      </c>
      <c r="H1165" s="16" t="str">
        <f aca="false">IF(N(F1165)&gt;0,MAX(H$1:H1164)+1,"")</f>
        <v/>
      </c>
      <c r="I1165" s="11" t="str">
        <f aca="false">IF(B1165="","",IF(INDEX($C$2:$C$1201,MATCH(B1165,$B$2:$B$1201,0))&lt;&gt;C1165,"Nome diferente em outro deck — revisar",""))</f>
        <v/>
      </c>
      <c r="J1165" s="16" t="str">
        <f aca="false">IF(AND(B1165&lt;&gt;"",A1165=BULK!$A$1,N(F1165)&gt;0),MAX(J$1:J1164)+1,"")</f>
        <v/>
      </c>
      <c r="K1165" s="11" t="str">
        <f aca="false">IF(B1165="","",IFERROR(LEFT(B1165,FIND("-",B1165)-1),B1165))</f>
        <v/>
      </c>
      <c r="L1165" s="11" t="str">
        <f aca="false">IF(K1165="","",IF(ISNUMBER(--MID(K1165,1,1)),0,IF(ISNUMBER(--MID(K1165,2,1)),1,IF(ISNUMBER(--MID(K1165,3,1)),2,IF(ISNUMBER(--MID(K1165,4,1)),3,MIN(LEN(K1165),4))))))</f>
        <v/>
      </c>
      <c r="M1165" s="11" t="str">
        <f aca="false">IF(B1165="","",LEFT(K1165,L1165)&amp;REPT("0",4-L1165)&amp;RIGHT("000"&amp;IFERROR(VALUE(MID(K1165,L1165+1,9)),0),3)&amp;RIGHT("0000"&amp;IFERROR(VALUE(MID(B1165,FIND("-",B1165)+1,9)),0),4))</f>
        <v/>
      </c>
      <c r="N1165" s="11" t="str">
        <f aca="false">IF(OR(B1165="",N(F1165)&lt;=0),"",IF('FALTAS POR DECK'!$P$1="Código","K"&amp;M1165&amp;RIGHT("00000"&amp;ROW(),5),IF('FALTAS POR DECK'!$P$1="Nome","K"&amp;UPPER(SUBSTITUTE(SUBSTITUTE(SUBSTITUTE(C1165,"*",""),"?",""),"~",""))&amp;"0"&amp;M1165&amp;RIGHT("00000"&amp;ROW(),5),IF('FALTAS POR DECK'!$P$1="Falta (maior primeiro)","K"&amp;RIGHT("0000"&amp;(9999-F1165),4)&amp;M1165&amp;RIGHT("00000"&amp;ROW(),5),IF('FALTAS POR DECK'!$P$1="Deck e código","K"&amp;RIGHT("00"&amp;IFERROR(MATCH(A1165,_LEITURA!$P$2:$P$21,0),99),2)&amp;M1165&amp;RIGHT("00000"&amp;ROW(),5),"K"&amp;RIGHT("00000"&amp;ROW(),5))))))</f>
        <v/>
      </c>
      <c r="O1165" s="16" t="str">
        <f aca="false">IF(N1165="","",COUNTIFS($N$2:$N$1201,"&lt;"&amp;N1165,$F$2:$F$1201,"&gt;0")+1)</f>
        <v/>
      </c>
    </row>
    <row r="1166" customFormat="false" ht="15" hidden="false" customHeight="false" outlineLevel="0" collapsed="false">
      <c r="A1166" s="11" t="str">
        <f aca="false">IF(_LEITURA!$N1166="","",INDEX(_LEITURA!$K$2:$K$1201,_LEITURA!$N1166))</f>
        <v/>
      </c>
      <c r="B1166" s="11" t="str">
        <f aca="false">IF(_LEITURA!$N1166="","",INDEX(_LEITURA!$E$2:$E$1201,_LEITURA!$N1166))</f>
        <v/>
      </c>
      <c r="C1166" s="11" t="str">
        <f aca="false">IF(_LEITURA!$N1166="","",INDEX(_LEITURA!$J$2:$J$1201,_LEITURA!$N1166))</f>
        <v/>
      </c>
      <c r="D1166" s="16" t="str">
        <f aca="false">IF(_LEITURA!$N1166="","",INDEX(_LEITURA!$G$2:$G$1201,_LEITURA!$N1166))</f>
        <v/>
      </c>
      <c r="E1166" s="16" t="str">
        <f aca="false">IF(B1166="","",SUMIFS(INVENTÁRIO!$C$2:$C$801,INVENTÁRIO!$A$2:$A$801,B1166))</f>
        <v/>
      </c>
      <c r="F1166" s="16" t="str">
        <f aca="false">IF(B1166="","",MAX(0,D1166-E1166))</f>
        <v/>
      </c>
      <c r="G1166" s="16" t="str">
        <f aca="false">IF(B1166="","",IF(COUNTIFS($B$2:$B$1201,B1166,$A$2:$A$1201,"&lt;&gt;"&amp;A1166)&gt;0,"Sim",""))</f>
        <v/>
      </c>
      <c r="H1166" s="16" t="str">
        <f aca="false">IF(N(F1166)&gt;0,MAX(H$1:H1165)+1,"")</f>
        <v/>
      </c>
      <c r="I1166" s="11" t="str">
        <f aca="false">IF(B1166="","",IF(INDEX($C$2:$C$1201,MATCH(B1166,$B$2:$B$1201,0))&lt;&gt;C1166,"Nome diferente em outro deck — revisar",""))</f>
        <v/>
      </c>
      <c r="J1166" s="16" t="str">
        <f aca="false">IF(AND(B1166&lt;&gt;"",A1166=BULK!$A$1,N(F1166)&gt;0),MAX(J$1:J1165)+1,"")</f>
        <v/>
      </c>
      <c r="K1166" s="11" t="str">
        <f aca="false">IF(B1166="","",IFERROR(LEFT(B1166,FIND("-",B1166)-1),B1166))</f>
        <v/>
      </c>
      <c r="L1166" s="11" t="str">
        <f aca="false">IF(K1166="","",IF(ISNUMBER(--MID(K1166,1,1)),0,IF(ISNUMBER(--MID(K1166,2,1)),1,IF(ISNUMBER(--MID(K1166,3,1)),2,IF(ISNUMBER(--MID(K1166,4,1)),3,MIN(LEN(K1166),4))))))</f>
        <v/>
      </c>
      <c r="M1166" s="11" t="str">
        <f aca="false">IF(B1166="","",LEFT(K1166,L1166)&amp;REPT("0",4-L1166)&amp;RIGHT("000"&amp;IFERROR(VALUE(MID(K1166,L1166+1,9)),0),3)&amp;RIGHT("0000"&amp;IFERROR(VALUE(MID(B1166,FIND("-",B1166)+1,9)),0),4))</f>
        <v/>
      </c>
      <c r="N1166" s="11" t="str">
        <f aca="false">IF(OR(B1166="",N(F1166)&lt;=0),"",IF('FALTAS POR DECK'!$P$1="Código","K"&amp;M1166&amp;RIGHT("00000"&amp;ROW(),5),IF('FALTAS POR DECK'!$P$1="Nome","K"&amp;UPPER(SUBSTITUTE(SUBSTITUTE(SUBSTITUTE(C1166,"*",""),"?",""),"~",""))&amp;"0"&amp;M1166&amp;RIGHT("00000"&amp;ROW(),5),IF('FALTAS POR DECK'!$P$1="Falta (maior primeiro)","K"&amp;RIGHT("0000"&amp;(9999-F1166),4)&amp;M1166&amp;RIGHT("00000"&amp;ROW(),5),IF('FALTAS POR DECK'!$P$1="Deck e código","K"&amp;RIGHT("00"&amp;IFERROR(MATCH(A1166,_LEITURA!$P$2:$P$21,0),99),2)&amp;M1166&amp;RIGHT("00000"&amp;ROW(),5),"K"&amp;RIGHT("00000"&amp;ROW(),5))))))</f>
        <v/>
      </c>
      <c r="O1166" s="16" t="str">
        <f aca="false">IF(N1166="","",COUNTIFS($N$2:$N$1201,"&lt;"&amp;N1166,$F$2:$F$1201,"&gt;0")+1)</f>
        <v/>
      </c>
    </row>
    <row r="1167" customFormat="false" ht="15" hidden="false" customHeight="false" outlineLevel="0" collapsed="false">
      <c r="A1167" s="11" t="str">
        <f aca="false">IF(_LEITURA!$N1167="","",INDEX(_LEITURA!$K$2:$K$1201,_LEITURA!$N1167))</f>
        <v/>
      </c>
      <c r="B1167" s="11" t="str">
        <f aca="false">IF(_LEITURA!$N1167="","",INDEX(_LEITURA!$E$2:$E$1201,_LEITURA!$N1167))</f>
        <v/>
      </c>
      <c r="C1167" s="11" t="str">
        <f aca="false">IF(_LEITURA!$N1167="","",INDEX(_LEITURA!$J$2:$J$1201,_LEITURA!$N1167))</f>
        <v/>
      </c>
      <c r="D1167" s="16" t="str">
        <f aca="false">IF(_LEITURA!$N1167="","",INDEX(_LEITURA!$G$2:$G$1201,_LEITURA!$N1167))</f>
        <v/>
      </c>
      <c r="E1167" s="16" t="str">
        <f aca="false">IF(B1167="","",SUMIFS(INVENTÁRIO!$C$2:$C$801,INVENTÁRIO!$A$2:$A$801,B1167))</f>
        <v/>
      </c>
      <c r="F1167" s="16" t="str">
        <f aca="false">IF(B1167="","",MAX(0,D1167-E1167))</f>
        <v/>
      </c>
      <c r="G1167" s="16" t="str">
        <f aca="false">IF(B1167="","",IF(COUNTIFS($B$2:$B$1201,B1167,$A$2:$A$1201,"&lt;&gt;"&amp;A1167)&gt;0,"Sim",""))</f>
        <v/>
      </c>
      <c r="H1167" s="16" t="str">
        <f aca="false">IF(N(F1167)&gt;0,MAX(H$1:H1166)+1,"")</f>
        <v/>
      </c>
      <c r="I1167" s="11" t="str">
        <f aca="false">IF(B1167="","",IF(INDEX($C$2:$C$1201,MATCH(B1167,$B$2:$B$1201,0))&lt;&gt;C1167,"Nome diferente em outro deck — revisar",""))</f>
        <v/>
      </c>
      <c r="J1167" s="16" t="str">
        <f aca="false">IF(AND(B1167&lt;&gt;"",A1167=BULK!$A$1,N(F1167)&gt;0),MAX(J$1:J1166)+1,"")</f>
        <v/>
      </c>
      <c r="K1167" s="11" t="str">
        <f aca="false">IF(B1167="","",IFERROR(LEFT(B1167,FIND("-",B1167)-1),B1167))</f>
        <v/>
      </c>
      <c r="L1167" s="11" t="str">
        <f aca="false">IF(K1167="","",IF(ISNUMBER(--MID(K1167,1,1)),0,IF(ISNUMBER(--MID(K1167,2,1)),1,IF(ISNUMBER(--MID(K1167,3,1)),2,IF(ISNUMBER(--MID(K1167,4,1)),3,MIN(LEN(K1167),4))))))</f>
        <v/>
      </c>
      <c r="M1167" s="11" t="str">
        <f aca="false">IF(B1167="","",LEFT(K1167,L1167)&amp;REPT("0",4-L1167)&amp;RIGHT("000"&amp;IFERROR(VALUE(MID(K1167,L1167+1,9)),0),3)&amp;RIGHT("0000"&amp;IFERROR(VALUE(MID(B1167,FIND("-",B1167)+1,9)),0),4))</f>
        <v/>
      </c>
      <c r="N1167" s="11" t="str">
        <f aca="false">IF(OR(B1167="",N(F1167)&lt;=0),"",IF('FALTAS POR DECK'!$P$1="Código","K"&amp;M1167&amp;RIGHT("00000"&amp;ROW(),5),IF('FALTAS POR DECK'!$P$1="Nome","K"&amp;UPPER(SUBSTITUTE(SUBSTITUTE(SUBSTITUTE(C1167,"*",""),"?",""),"~",""))&amp;"0"&amp;M1167&amp;RIGHT("00000"&amp;ROW(),5),IF('FALTAS POR DECK'!$P$1="Falta (maior primeiro)","K"&amp;RIGHT("0000"&amp;(9999-F1167),4)&amp;M1167&amp;RIGHT("00000"&amp;ROW(),5),IF('FALTAS POR DECK'!$P$1="Deck e código","K"&amp;RIGHT("00"&amp;IFERROR(MATCH(A1167,_LEITURA!$P$2:$P$21,0),99),2)&amp;M1167&amp;RIGHT("00000"&amp;ROW(),5),"K"&amp;RIGHT("00000"&amp;ROW(),5))))))</f>
        <v/>
      </c>
      <c r="O1167" s="16" t="str">
        <f aca="false">IF(N1167="","",COUNTIFS($N$2:$N$1201,"&lt;"&amp;N1167,$F$2:$F$1201,"&gt;0")+1)</f>
        <v/>
      </c>
    </row>
    <row r="1168" customFormat="false" ht="15" hidden="false" customHeight="false" outlineLevel="0" collapsed="false">
      <c r="A1168" s="11" t="str">
        <f aca="false">IF(_LEITURA!$N1168="","",INDEX(_LEITURA!$K$2:$K$1201,_LEITURA!$N1168))</f>
        <v/>
      </c>
      <c r="B1168" s="11" t="str">
        <f aca="false">IF(_LEITURA!$N1168="","",INDEX(_LEITURA!$E$2:$E$1201,_LEITURA!$N1168))</f>
        <v/>
      </c>
      <c r="C1168" s="11" t="str">
        <f aca="false">IF(_LEITURA!$N1168="","",INDEX(_LEITURA!$J$2:$J$1201,_LEITURA!$N1168))</f>
        <v/>
      </c>
      <c r="D1168" s="16" t="str">
        <f aca="false">IF(_LEITURA!$N1168="","",INDEX(_LEITURA!$G$2:$G$1201,_LEITURA!$N1168))</f>
        <v/>
      </c>
      <c r="E1168" s="16" t="str">
        <f aca="false">IF(B1168="","",SUMIFS(INVENTÁRIO!$C$2:$C$801,INVENTÁRIO!$A$2:$A$801,B1168))</f>
        <v/>
      </c>
      <c r="F1168" s="16" t="str">
        <f aca="false">IF(B1168="","",MAX(0,D1168-E1168))</f>
        <v/>
      </c>
      <c r="G1168" s="16" t="str">
        <f aca="false">IF(B1168="","",IF(COUNTIFS($B$2:$B$1201,B1168,$A$2:$A$1201,"&lt;&gt;"&amp;A1168)&gt;0,"Sim",""))</f>
        <v/>
      </c>
      <c r="H1168" s="16" t="str">
        <f aca="false">IF(N(F1168)&gt;0,MAX(H$1:H1167)+1,"")</f>
        <v/>
      </c>
      <c r="I1168" s="11" t="str">
        <f aca="false">IF(B1168="","",IF(INDEX($C$2:$C$1201,MATCH(B1168,$B$2:$B$1201,0))&lt;&gt;C1168,"Nome diferente em outro deck — revisar",""))</f>
        <v/>
      </c>
      <c r="J1168" s="16" t="str">
        <f aca="false">IF(AND(B1168&lt;&gt;"",A1168=BULK!$A$1,N(F1168)&gt;0),MAX(J$1:J1167)+1,"")</f>
        <v/>
      </c>
      <c r="K1168" s="11" t="str">
        <f aca="false">IF(B1168="","",IFERROR(LEFT(B1168,FIND("-",B1168)-1),B1168))</f>
        <v/>
      </c>
      <c r="L1168" s="11" t="str">
        <f aca="false">IF(K1168="","",IF(ISNUMBER(--MID(K1168,1,1)),0,IF(ISNUMBER(--MID(K1168,2,1)),1,IF(ISNUMBER(--MID(K1168,3,1)),2,IF(ISNUMBER(--MID(K1168,4,1)),3,MIN(LEN(K1168),4))))))</f>
        <v/>
      </c>
      <c r="M1168" s="11" t="str">
        <f aca="false">IF(B1168="","",LEFT(K1168,L1168)&amp;REPT("0",4-L1168)&amp;RIGHT("000"&amp;IFERROR(VALUE(MID(K1168,L1168+1,9)),0),3)&amp;RIGHT("0000"&amp;IFERROR(VALUE(MID(B1168,FIND("-",B1168)+1,9)),0),4))</f>
        <v/>
      </c>
      <c r="N1168" s="11" t="str">
        <f aca="false">IF(OR(B1168="",N(F1168)&lt;=0),"",IF('FALTAS POR DECK'!$P$1="Código","K"&amp;M1168&amp;RIGHT("00000"&amp;ROW(),5),IF('FALTAS POR DECK'!$P$1="Nome","K"&amp;UPPER(SUBSTITUTE(SUBSTITUTE(SUBSTITUTE(C1168,"*",""),"?",""),"~",""))&amp;"0"&amp;M1168&amp;RIGHT("00000"&amp;ROW(),5),IF('FALTAS POR DECK'!$P$1="Falta (maior primeiro)","K"&amp;RIGHT("0000"&amp;(9999-F1168),4)&amp;M1168&amp;RIGHT("00000"&amp;ROW(),5),IF('FALTAS POR DECK'!$P$1="Deck e código","K"&amp;RIGHT("00"&amp;IFERROR(MATCH(A1168,_LEITURA!$P$2:$P$21,0),99),2)&amp;M1168&amp;RIGHT("00000"&amp;ROW(),5),"K"&amp;RIGHT("00000"&amp;ROW(),5))))))</f>
        <v/>
      </c>
      <c r="O1168" s="16" t="str">
        <f aca="false">IF(N1168="","",COUNTIFS($N$2:$N$1201,"&lt;"&amp;N1168,$F$2:$F$1201,"&gt;0")+1)</f>
        <v/>
      </c>
    </row>
    <row r="1169" customFormat="false" ht="15" hidden="false" customHeight="false" outlineLevel="0" collapsed="false">
      <c r="A1169" s="11" t="str">
        <f aca="false">IF(_LEITURA!$N1169="","",INDEX(_LEITURA!$K$2:$K$1201,_LEITURA!$N1169))</f>
        <v/>
      </c>
      <c r="B1169" s="11" t="str">
        <f aca="false">IF(_LEITURA!$N1169="","",INDEX(_LEITURA!$E$2:$E$1201,_LEITURA!$N1169))</f>
        <v/>
      </c>
      <c r="C1169" s="11" t="str">
        <f aca="false">IF(_LEITURA!$N1169="","",INDEX(_LEITURA!$J$2:$J$1201,_LEITURA!$N1169))</f>
        <v/>
      </c>
      <c r="D1169" s="16" t="str">
        <f aca="false">IF(_LEITURA!$N1169="","",INDEX(_LEITURA!$G$2:$G$1201,_LEITURA!$N1169))</f>
        <v/>
      </c>
      <c r="E1169" s="16" t="str">
        <f aca="false">IF(B1169="","",SUMIFS(INVENTÁRIO!$C$2:$C$801,INVENTÁRIO!$A$2:$A$801,B1169))</f>
        <v/>
      </c>
      <c r="F1169" s="16" t="str">
        <f aca="false">IF(B1169="","",MAX(0,D1169-E1169))</f>
        <v/>
      </c>
      <c r="G1169" s="16" t="str">
        <f aca="false">IF(B1169="","",IF(COUNTIFS($B$2:$B$1201,B1169,$A$2:$A$1201,"&lt;&gt;"&amp;A1169)&gt;0,"Sim",""))</f>
        <v/>
      </c>
      <c r="H1169" s="16" t="str">
        <f aca="false">IF(N(F1169)&gt;0,MAX(H$1:H1168)+1,"")</f>
        <v/>
      </c>
      <c r="I1169" s="11" t="str">
        <f aca="false">IF(B1169="","",IF(INDEX($C$2:$C$1201,MATCH(B1169,$B$2:$B$1201,0))&lt;&gt;C1169,"Nome diferente em outro deck — revisar",""))</f>
        <v/>
      </c>
      <c r="J1169" s="16" t="str">
        <f aca="false">IF(AND(B1169&lt;&gt;"",A1169=BULK!$A$1,N(F1169)&gt;0),MAX(J$1:J1168)+1,"")</f>
        <v/>
      </c>
      <c r="K1169" s="11" t="str">
        <f aca="false">IF(B1169="","",IFERROR(LEFT(B1169,FIND("-",B1169)-1),B1169))</f>
        <v/>
      </c>
      <c r="L1169" s="11" t="str">
        <f aca="false">IF(K1169="","",IF(ISNUMBER(--MID(K1169,1,1)),0,IF(ISNUMBER(--MID(K1169,2,1)),1,IF(ISNUMBER(--MID(K1169,3,1)),2,IF(ISNUMBER(--MID(K1169,4,1)),3,MIN(LEN(K1169),4))))))</f>
        <v/>
      </c>
      <c r="M1169" s="11" t="str">
        <f aca="false">IF(B1169="","",LEFT(K1169,L1169)&amp;REPT("0",4-L1169)&amp;RIGHT("000"&amp;IFERROR(VALUE(MID(K1169,L1169+1,9)),0),3)&amp;RIGHT("0000"&amp;IFERROR(VALUE(MID(B1169,FIND("-",B1169)+1,9)),0),4))</f>
        <v/>
      </c>
      <c r="N1169" s="11" t="str">
        <f aca="false">IF(OR(B1169="",N(F1169)&lt;=0),"",IF('FALTAS POR DECK'!$P$1="Código","K"&amp;M1169&amp;RIGHT("00000"&amp;ROW(),5),IF('FALTAS POR DECK'!$P$1="Nome","K"&amp;UPPER(SUBSTITUTE(SUBSTITUTE(SUBSTITUTE(C1169,"*",""),"?",""),"~",""))&amp;"0"&amp;M1169&amp;RIGHT("00000"&amp;ROW(),5),IF('FALTAS POR DECK'!$P$1="Falta (maior primeiro)","K"&amp;RIGHT("0000"&amp;(9999-F1169),4)&amp;M1169&amp;RIGHT("00000"&amp;ROW(),5),IF('FALTAS POR DECK'!$P$1="Deck e código","K"&amp;RIGHT("00"&amp;IFERROR(MATCH(A1169,_LEITURA!$P$2:$P$21,0),99),2)&amp;M1169&amp;RIGHT("00000"&amp;ROW(),5),"K"&amp;RIGHT("00000"&amp;ROW(),5))))))</f>
        <v/>
      </c>
      <c r="O1169" s="16" t="str">
        <f aca="false">IF(N1169="","",COUNTIFS($N$2:$N$1201,"&lt;"&amp;N1169,$F$2:$F$1201,"&gt;0")+1)</f>
        <v/>
      </c>
    </row>
    <row r="1170" customFormat="false" ht="15" hidden="false" customHeight="false" outlineLevel="0" collapsed="false">
      <c r="A1170" s="11" t="str">
        <f aca="false">IF(_LEITURA!$N1170="","",INDEX(_LEITURA!$K$2:$K$1201,_LEITURA!$N1170))</f>
        <v/>
      </c>
      <c r="B1170" s="11" t="str">
        <f aca="false">IF(_LEITURA!$N1170="","",INDEX(_LEITURA!$E$2:$E$1201,_LEITURA!$N1170))</f>
        <v/>
      </c>
      <c r="C1170" s="11" t="str">
        <f aca="false">IF(_LEITURA!$N1170="","",INDEX(_LEITURA!$J$2:$J$1201,_LEITURA!$N1170))</f>
        <v/>
      </c>
      <c r="D1170" s="16" t="str">
        <f aca="false">IF(_LEITURA!$N1170="","",INDEX(_LEITURA!$G$2:$G$1201,_LEITURA!$N1170))</f>
        <v/>
      </c>
      <c r="E1170" s="16" t="str">
        <f aca="false">IF(B1170="","",SUMIFS(INVENTÁRIO!$C$2:$C$801,INVENTÁRIO!$A$2:$A$801,B1170))</f>
        <v/>
      </c>
      <c r="F1170" s="16" t="str">
        <f aca="false">IF(B1170="","",MAX(0,D1170-E1170))</f>
        <v/>
      </c>
      <c r="G1170" s="16" t="str">
        <f aca="false">IF(B1170="","",IF(COUNTIFS($B$2:$B$1201,B1170,$A$2:$A$1201,"&lt;&gt;"&amp;A1170)&gt;0,"Sim",""))</f>
        <v/>
      </c>
      <c r="H1170" s="16" t="str">
        <f aca="false">IF(N(F1170)&gt;0,MAX(H$1:H1169)+1,"")</f>
        <v/>
      </c>
      <c r="I1170" s="11" t="str">
        <f aca="false">IF(B1170="","",IF(INDEX($C$2:$C$1201,MATCH(B1170,$B$2:$B$1201,0))&lt;&gt;C1170,"Nome diferente em outro deck — revisar",""))</f>
        <v/>
      </c>
      <c r="J1170" s="16" t="str">
        <f aca="false">IF(AND(B1170&lt;&gt;"",A1170=BULK!$A$1,N(F1170)&gt;0),MAX(J$1:J1169)+1,"")</f>
        <v/>
      </c>
      <c r="K1170" s="11" t="str">
        <f aca="false">IF(B1170="","",IFERROR(LEFT(B1170,FIND("-",B1170)-1),B1170))</f>
        <v/>
      </c>
      <c r="L1170" s="11" t="str">
        <f aca="false">IF(K1170="","",IF(ISNUMBER(--MID(K1170,1,1)),0,IF(ISNUMBER(--MID(K1170,2,1)),1,IF(ISNUMBER(--MID(K1170,3,1)),2,IF(ISNUMBER(--MID(K1170,4,1)),3,MIN(LEN(K1170),4))))))</f>
        <v/>
      </c>
      <c r="M1170" s="11" t="str">
        <f aca="false">IF(B1170="","",LEFT(K1170,L1170)&amp;REPT("0",4-L1170)&amp;RIGHT("000"&amp;IFERROR(VALUE(MID(K1170,L1170+1,9)),0),3)&amp;RIGHT("0000"&amp;IFERROR(VALUE(MID(B1170,FIND("-",B1170)+1,9)),0),4))</f>
        <v/>
      </c>
      <c r="N1170" s="11" t="str">
        <f aca="false">IF(OR(B1170="",N(F1170)&lt;=0),"",IF('FALTAS POR DECK'!$P$1="Código","K"&amp;M1170&amp;RIGHT("00000"&amp;ROW(),5),IF('FALTAS POR DECK'!$P$1="Nome","K"&amp;UPPER(SUBSTITUTE(SUBSTITUTE(SUBSTITUTE(C1170,"*",""),"?",""),"~",""))&amp;"0"&amp;M1170&amp;RIGHT("00000"&amp;ROW(),5),IF('FALTAS POR DECK'!$P$1="Falta (maior primeiro)","K"&amp;RIGHT("0000"&amp;(9999-F1170),4)&amp;M1170&amp;RIGHT("00000"&amp;ROW(),5),IF('FALTAS POR DECK'!$P$1="Deck e código","K"&amp;RIGHT("00"&amp;IFERROR(MATCH(A1170,_LEITURA!$P$2:$P$21,0),99),2)&amp;M1170&amp;RIGHT("00000"&amp;ROW(),5),"K"&amp;RIGHT("00000"&amp;ROW(),5))))))</f>
        <v/>
      </c>
      <c r="O1170" s="16" t="str">
        <f aca="false">IF(N1170="","",COUNTIFS($N$2:$N$1201,"&lt;"&amp;N1170,$F$2:$F$1201,"&gt;0")+1)</f>
        <v/>
      </c>
    </row>
    <row r="1171" customFormat="false" ht="15" hidden="false" customHeight="false" outlineLevel="0" collapsed="false">
      <c r="A1171" s="11" t="str">
        <f aca="false">IF(_LEITURA!$N1171="","",INDEX(_LEITURA!$K$2:$K$1201,_LEITURA!$N1171))</f>
        <v/>
      </c>
      <c r="B1171" s="11" t="str">
        <f aca="false">IF(_LEITURA!$N1171="","",INDEX(_LEITURA!$E$2:$E$1201,_LEITURA!$N1171))</f>
        <v/>
      </c>
      <c r="C1171" s="11" t="str">
        <f aca="false">IF(_LEITURA!$N1171="","",INDEX(_LEITURA!$J$2:$J$1201,_LEITURA!$N1171))</f>
        <v/>
      </c>
      <c r="D1171" s="16" t="str">
        <f aca="false">IF(_LEITURA!$N1171="","",INDEX(_LEITURA!$G$2:$G$1201,_LEITURA!$N1171))</f>
        <v/>
      </c>
      <c r="E1171" s="16" t="str">
        <f aca="false">IF(B1171="","",SUMIFS(INVENTÁRIO!$C$2:$C$801,INVENTÁRIO!$A$2:$A$801,B1171))</f>
        <v/>
      </c>
      <c r="F1171" s="16" t="str">
        <f aca="false">IF(B1171="","",MAX(0,D1171-E1171))</f>
        <v/>
      </c>
      <c r="G1171" s="16" t="str">
        <f aca="false">IF(B1171="","",IF(COUNTIFS($B$2:$B$1201,B1171,$A$2:$A$1201,"&lt;&gt;"&amp;A1171)&gt;0,"Sim",""))</f>
        <v/>
      </c>
      <c r="H1171" s="16" t="str">
        <f aca="false">IF(N(F1171)&gt;0,MAX(H$1:H1170)+1,"")</f>
        <v/>
      </c>
      <c r="I1171" s="11" t="str">
        <f aca="false">IF(B1171="","",IF(INDEX($C$2:$C$1201,MATCH(B1171,$B$2:$B$1201,0))&lt;&gt;C1171,"Nome diferente em outro deck — revisar",""))</f>
        <v/>
      </c>
      <c r="J1171" s="16" t="str">
        <f aca="false">IF(AND(B1171&lt;&gt;"",A1171=BULK!$A$1,N(F1171)&gt;0),MAX(J$1:J1170)+1,"")</f>
        <v/>
      </c>
      <c r="K1171" s="11" t="str">
        <f aca="false">IF(B1171="","",IFERROR(LEFT(B1171,FIND("-",B1171)-1),B1171))</f>
        <v/>
      </c>
      <c r="L1171" s="11" t="str">
        <f aca="false">IF(K1171="","",IF(ISNUMBER(--MID(K1171,1,1)),0,IF(ISNUMBER(--MID(K1171,2,1)),1,IF(ISNUMBER(--MID(K1171,3,1)),2,IF(ISNUMBER(--MID(K1171,4,1)),3,MIN(LEN(K1171),4))))))</f>
        <v/>
      </c>
      <c r="M1171" s="11" t="str">
        <f aca="false">IF(B1171="","",LEFT(K1171,L1171)&amp;REPT("0",4-L1171)&amp;RIGHT("000"&amp;IFERROR(VALUE(MID(K1171,L1171+1,9)),0),3)&amp;RIGHT("0000"&amp;IFERROR(VALUE(MID(B1171,FIND("-",B1171)+1,9)),0),4))</f>
        <v/>
      </c>
      <c r="N1171" s="11" t="str">
        <f aca="false">IF(OR(B1171="",N(F1171)&lt;=0),"",IF('FALTAS POR DECK'!$P$1="Código","K"&amp;M1171&amp;RIGHT("00000"&amp;ROW(),5),IF('FALTAS POR DECK'!$P$1="Nome","K"&amp;UPPER(SUBSTITUTE(SUBSTITUTE(SUBSTITUTE(C1171,"*",""),"?",""),"~",""))&amp;"0"&amp;M1171&amp;RIGHT("00000"&amp;ROW(),5),IF('FALTAS POR DECK'!$P$1="Falta (maior primeiro)","K"&amp;RIGHT("0000"&amp;(9999-F1171),4)&amp;M1171&amp;RIGHT("00000"&amp;ROW(),5),IF('FALTAS POR DECK'!$P$1="Deck e código","K"&amp;RIGHT("00"&amp;IFERROR(MATCH(A1171,_LEITURA!$P$2:$P$21,0),99),2)&amp;M1171&amp;RIGHT("00000"&amp;ROW(),5),"K"&amp;RIGHT("00000"&amp;ROW(),5))))))</f>
        <v/>
      </c>
      <c r="O1171" s="16" t="str">
        <f aca="false">IF(N1171="","",COUNTIFS($N$2:$N$1201,"&lt;"&amp;N1171,$F$2:$F$1201,"&gt;0")+1)</f>
        <v/>
      </c>
    </row>
    <row r="1172" customFormat="false" ht="15" hidden="false" customHeight="false" outlineLevel="0" collapsed="false">
      <c r="A1172" s="11" t="str">
        <f aca="false">IF(_LEITURA!$N1172="","",INDEX(_LEITURA!$K$2:$K$1201,_LEITURA!$N1172))</f>
        <v/>
      </c>
      <c r="B1172" s="11" t="str">
        <f aca="false">IF(_LEITURA!$N1172="","",INDEX(_LEITURA!$E$2:$E$1201,_LEITURA!$N1172))</f>
        <v/>
      </c>
      <c r="C1172" s="11" t="str">
        <f aca="false">IF(_LEITURA!$N1172="","",INDEX(_LEITURA!$J$2:$J$1201,_LEITURA!$N1172))</f>
        <v/>
      </c>
      <c r="D1172" s="16" t="str">
        <f aca="false">IF(_LEITURA!$N1172="","",INDEX(_LEITURA!$G$2:$G$1201,_LEITURA!$N1172))</f>
        <v/>
      </c>
      <c r="E1172" s="16" t="str">
        <f aca="false">IF(B1172="","",SUMIFS(INVENTÁRIO!$C$2:$C$801,INVENTÁRIO!$A$2:$A$801,B1172))</f>
        <v/>
      </c>
      <c r="F1172" s="16" t="str">
        <f aca="false">IF(B1172="","",MAX(0,D1172-E1172))</f>
        <v/>
      </c>
      <c r="G1172" s="16" t="str">
        <f aca="false">IF(B1172="","",IF(COUNTIFS($B$2:$B$1201,B1172,$A$2:$A$1201,"&lt;&gt;"&amp;A1172)&gt;0,"Sim",""))</f>
        <v/>
      </c>
      <c r="H1172" s="16" t="str">
        <f aca="false">IF(N(F1172)&gt;0,MAX(H$1:H1171)+1,"")</f>
        <v/>
      </c>
      <c r="I1172" s="11" t="str">
        <f aca="false">IF(B1172="","",IF(INDEX($C$2:$C$1201,MATCH(B1172,$B$2:$B$1201,0))&lt;&gt;C1172,"Nome diferente em outro deck — revisar",""))</f>
        <v/>
      </c>
      <c r="J1172" s="16" t="str">
        <f aca="false">IF(AND(B1172&lt;&gt;"",A1172=BULK!$A$1,N(F1172)&gt;0),MAX(J$1:J1171)+1,"")</f>
        <v/>
      </c>
      <c r="K1172" s="11" t="str">
        <f aca="false">IF(B1172="","",IFERROR(LEFT(B1172,FIND("-",B1172)-1),B1172))</f>
        <v/>
      </c>
      <c r="L1172" s="11" t="str">
        <f aca="false">IF(K1172="","",IF(ISNUMBER(--MID(K1172,1,1)),0,IF(ISNUMBER(--MID(K1172,2,1)),1,IF(ISNUMBER(--MID(K1172,3,1)),2,IF(ISNUMBER(--MID(K1172,4,1)),3,MIN(LEN(K1172),4))))))</f>
        <v/>
      </c>
      <c r="M1172" s="11" t="str">
        <f aca="false">IF(B1172="","",LEFT(K1172,L1172)&amp;REPT("0",4-L1172)&amp;RIGHT("000"&amp;IFERROR(VALUE(MID(K1172,L1172+1,9)),0),3)&amp;RIGHT("0000"&amp;IFERROR(VALUE(MID(B1172,FIND("-",B1172)+1,9)),0),4))</f>
        <v/>
      </c>
      <c r="N1172" s="11" t="str">
        <f aca="false">IF(OR(B1172="",N(F1172)&lt;=0),"",IF('FALTAS POR DECK'!$P$1="Código","K"&amp;M1172&amp;RIGHT("00000"&amp;ROW(),5),IF('FALTAS POR DECK'!$P$1="Nome","K"&amp;UPPER(SUBSTITUTE(SUBSTITUTE(SUBSTITUTE(C1172,"*",""),"?",""),"~",""))&amp;"0"&amp;M1172&amp;RIGHT("00000"&amp;ROW(),5),IF('FALTAS POR DECK'!$P$1="Falta (maior primeiro)","K"&amp;RIGHT("0000"&amp;(9999-F1172),4)&amp;M1172&amp;RIGHT("00000"&amp;ROW(),5),IF('FALTAS POR DECK'!$P$1="Deck e código","K"&amp;RIGHT("00"&amp;IFERROR(MATCH(A1172,_LEITURA!$P$2:$P$21,0),99),2)&amp;M1172&amp;RIGHT("00000"&amp;ROW(),5),"K"&amp;RIGHT("00000"&amp;ROW(),5))))))</f>
        <v/>
      </c>
      <c r="O1172" s="16" t="str">
        <f aca="false">IF(N1172="","",COUNTIFS($N$2:$N$1201,"&lt;"&amp;N1172,$F$2:$F$1201,"&gt;0")+1)</f>
        <v/>
      </c>
    </row>
    <row r="1173" customFormat="false" ht="15" hidden="false" customHeight="false" outlineLevel="0" collapsed="false">
      <c r="A1173" s="11" t="str">
        <f aca="false">IF(_LEITURA!$N1173="","",INDEX(_LEITURA!$K$2:$K$1201,_LEITURA!$N1173))</f>
        <v/>
      </c>
      <c r="B1173" s="11" t="str">
        <f aca="false">IF(_LEITURA!$N1173="","",INDEX(_LEITURA!$E$2:$E$1201,_LEITURA!$N1173))</f>
        <v/>
      </c>
      <c r="C1173" s="11" t="str">
        <f aca="false">IF(_LEITURA!$N1173="","",INDEX(_LEITURA!$J$2:$J$1201,_LEITURA!$N1173))</f>
        <v/>
      </c>
      <c r="D1173" s="16" t="str">
        <f aca="false">IF(_LEITURA!$N1173="","",INDEX(_LEITURA!$G$2:$G$1201,_LEITURA!$N1173))</f>
        <v/>
      </c>
      <c r="E1173" s="16" t="str">
        <f aca="false">IF(B1173="","",SUMIFS(INVENTÁRIO!$C$2:$C$801,INVENTÁRIO!$A$2:$A$801,B1173))</f>
        <v/>
      </c>
      <c r="F1173" s="16" t="str">
        <f aca="false">IF(B1173="","",MAX(0,D1173-E1173))</f>
        <v/>
      </c>
      <c r="G1173" s="16" t="str">
        <f aca="false">IF(B1173="","",IF(COUNTIFS($B$2:$B$1201,B1173,$A$2:$A$1201,"&lt;&gt;"&amp;A1173)&gt;0,"Sim",""))</f>
        <v/>
      </c>
      <c r="H1173" s="16" t="str">
        <f aca="false">IF(N(F1173)&gt;0,MAX(H$1:H1172)+1,"")</f>
        <v/>
      </c>
      <c r="I1173" s="11" t="str">
        <f aca="false">IF(B1173="","",IF(INDEX($C$2:$C$1201,MATCH(B1173,$B$2:$B$1201,0))&lt;&gt;C1173,"Nome diferente em outro deck — revisar",""))</f>
        <v/>
      </c>
      <c r="J1173" s="16" t="str">
        <f aca="false">IF(AND(B1173&lt;&gt;"",A1173=BULK!$A$1,N(F1173)&gt;0),MAX(J$1:J1172)+1,"")</f>
        <v/>
      </c>
      <c r="K1173" s="11" t="str">
        <f aca="false">IF(B1173="","",IFERROR(LEFT(B1173,FIND("-",B1173)-1),B1173))</f>
        <v/>
      </c>
      <c r="L1173" s="11" t="str">
        <f aca="false">IF(K1173="","",IF(ISNUMBER(--MID(K1173,1,1)),0,IF(ISNUMBER(--MID(K1173,2,1)),1,IF(ISNUMBER(--MID(K1173,3,1)),2,IF(ISNUMBER(--MID(K1173,4,1)),3,MIN(LEN(K1173),4))))))</f>
        <v/>
      </c>
      <c r="M1173" s="11" t="str">
        <f aca="false">IF(B1173="","",LEFT(K1173,L1173)&amp;REPT("0",4-L1173)&amp;RIGHT("000"&amp;IFERROR(VALUE(MID(K1173,L1173+1,9)),0),3)&amp;RIGHT("0000"&amp;IFERROR(VALUE(MID(B1173,FIND("-",B1173)+1,9)),0),4))</f>
        <v/>
      </c>
      <c r="N1173" s="11" t="str">
        <f aca="false">IF(OR(B1173="",N(F1173)&lt;=0),"",IF('FALTAS POR DECK'!$P$1="Código","K"&amp;M1173&amp;RIGHT("00000"&amp;ROW(),5),IF('FALTAS POR DECK'!$P$1="Nome","K"&amp;UPPER(SUBSTITUTE(SUBSTITUTE(SUBSTITUTE(C1173,"*",""),"?",""),"~",""))&amp;"0"&amp;M1173&amp;RIGHT("00000"&amp;ROW(),5),IF('FALTAS POR DECK'!$P$1="Falta (maior primeiro)","K"&amp;RIGHT("0000"&amp;(9999-F1173),4)&amp;M1173&amp;RIGHT("00000"&amp;ROW(),5),IF('FALTAS POR DECK'!$P$1="Deck e código","K"&amp;RIGHT("00"&amp;IFERROR(MATCH(A1173,_LEITURA!$P$2:$P$21,0),99),2)&amp;M1173&amp;RIGHT("00000"&amp;ROW(),5),"K"&amp;RIGHT("00000"&amp;ROW(),5))))))</f>
        <v/>
      </c>
      <c r="O1173" s="16" t="str">
        <f aca="false">IF(N1173="","",COUNTIFS($N$2:$N$1201,"&lt;"&amp;N1173,$F$2:$F$1201,"&gt;0")+1)</f>
        <v/>
      </c>
    </row>
    <row r="1174" customFormat="false" ht="15" hidden="false" customHeight="false" outlineLevel="0" collapsed="false">
      <c r="A1174" s="11" t="str">
        <f aca="false">IF(_LEITURA!$N1174="","",INDEX(_LEITURA!$K$2:$K$1201,_LEITURA!$N1174))</f>
        <v/>
      </c>
      <c r="B1174" s="11" t="str">
        <f aca="false">IF(_LEITURA!$N1174="","",INDEX(_LEITURA!$E$2:$E$1201,_LEITURA!$N1174))</f>
        <v/>
      </c>
      <c r="C1174" s="11" t="str">
        <f aca="false">IF(_LEITURA!$N1174="","",INDEX(_LEITURA!$J$2:$J$1201,_LEITURA!$N1174))</f>
        <v/>
      </c>
      <c r="D1174" s="16" t="str">
        <f aca="false">IF(_LEITURA!$N1174="","",INDEX(_LEITURA!$G$2:$G$1201,_LEITURA!$N1174))</f>
        <v/>
      </c>
      <c r="E1174" s="16" t="str">
        <f aca="false">IF(B1174="","",SUMIFS(INVENTÁRIO!$C$2:$C$801,INVENTÁRIO!$A$2:$A$801,B1174))</f>
        <v/>
      </c>
      <c r="F1174" s="16" t="str">
        <f aca="false">IF(B1174="","",MAX(0,D1174-E1174))</f>
        <v/>
      </c>
      <c r="G1174" s="16" t="str">
        <f aca="false">IF(B1174="","",IF(COUNTIFS($B$2:$B$1201,B1174,$A$2:$A$1201,"&lt;&gt;"&amp;A1174)&gt;0,"Sim",""))</f>
        <v/>
      </c>
      <c r="H1174" s="16" t="str">
        <f aca="false">IF(N(F1174)&gt;0,MAX(H$1:H1173)+1,"")</f>
        <v/>
      </c>
      <c r="I1174" s="11" t="str">
        <f aca="false">IF(B1174="","",IF(INDEX($C$2:$C$1201,MATCH(B1174,$B$2:$B$1201,0))&lt;&gt;C1174,"Nome diferente em outro deck — revisar",""))</f>
        <v/>
      </c>
      <c r="J1174" s="16" t="str">
        <f aca="false">IF(AND(B1174&lt;&gt;"",A1174=BULK!$A$1,N(F1174)&gt;0),MAX(J$1:J1173)+1,"")</f>
        <v/>
      </c>
      <c r="K1174" s="11" t="str">
        <f aca="false">IF(B1174="","",IFERROR(LEFT(B1174,FIND("-",B1174)-1),B1174))</f>
        <v/>
      </c>
      <c r="L1174" s="11" t="str">
        <f aca="false">IF(K1174="","",IF(ISNUMBER(--MID(K1174,1,1)),0,IF(ISNUMBER(--MID(K1174,2,1)),1,IF(ISNUMBER(--MID(K1174,3,1)),2,IF(ISNUMBER(--MID(K1174,4,1)),3,MIN(LEN(K1174),4))))))</f>
        <v/>
      </c>
      <c r="M1174" s="11" t="str">
        <f aca="false">IF(B1174="","",LEFT(K1174,L1174)&amp;REPT("0",4-L1174)&amp;RIGHT("000"&amp;IFERROR(VALUE(MID(K1174,L1174+1,9)),0),3)&amp;RIGHT("0000"&amp;IFERROR(VALUE(MID(B1174,FIND("-",B1174)+1,9)),0),4))</f>
        <v/>
      </c>
      <c r="N1174" s="11" t="str">
        <f aca="false">IF(OR(B1174="",N(F1174)&lt;=0),"",IF('FALTAS POR DECK'!$P$1="Código","K"&amp;M1174&amp;RIGHT("00000"&amp;ROW(),5),IF('FALTAS POR DECK'!$P$1="Nome","K"&amp;UPPER(SUBSTITUTE(SUBSTITUTE(SUBSTITUTE(C1174,"*",""),"?",""),"~",""))&amp;"0"&amp;M1174&amp;RIGHT("00000"&amp;ROW(),5),IF('FALTAS POR DECK'!$P$1="Falta (maior primeiro)","K"&amp;RIGHT("0000"&amp;(9999-F1174),4)&amp;M1174&amp;RIGHT("00000"&amp;ROW(),5),IF('FALTAS POR DECK'!$P$1="Deck e código","K"&amp;RIGHT("00"&amp;IFERROR(MATCH(A1174,_LEITURA!$P$2:$P$21,0),99),2)&amp;M1174&amp;RIGHT("00000"&amp;ROW(),5),"K"&amp;RIGHT("00000"&amp;ROW(),5))))))</f>
        <v/>
      </c>
      <c r="O1174" s="16" t="str">
        <f aca="false">IF(N1174="","",COUNTIFS($N$2:$N$1201,"&lt;"&amp;N1174,$F$2:$F$1201,"&gt;0")+1)</f>
        <v/>
      </c>
    </row>
    <row r="1175" customFormat="false" ht="15" hidden="false" customHeight="false" outlineLevel="0" collapsed="false">
      <c r="A1175" s="11" t="str">
        <f aca="false">IF(_LEITURA!$N1175="","",INDEX(_LEITURA!$K$2:$K$1201,_LEITURA!$N1175))</f>
        <v/>
      </c>
      <c r="B1175" s="11" t="str">
        <f aca="false">IF(_LEITURA!$N1175="","",INDEX(_LEITURA!$E$2:$E$1201,_LEITURA!$N1175))</f>
        <v/>
      </c>
      <c r="C1175" s="11" t="str">
        <f aca="false">IF(_LEITURA!$N1175="","",INDEX(_LEITURA!$J$2:$J$1201,_LEITURA!$N1175))</f>
        <v/>
      </c>
      <c r="D1175" s="16" t="str">
        <f aca="false">IF(_LEITURA!$N1175="","",INDEX(_LEITURA!$G$2:$G$1201,_LEITURA!$N1175))</f>
        <v/>
      </c>
      <c r="E1175" s="16" t="str">
        <f aca="false">IF(B1175="","",SUMIFS(INVENTÁRIO!$C$2:$C$801,INVENTÁRIO!$A$2:$A$801,B1175))</f>
        <v/>
      </c>
      <c r="F1175" s="16" t="str">
        <f aca="false">IF(B1175="","",MAX(0,D1175-E1175))</f>
        <v/>
      </c>
      <c r="G1175" s="16" t="str">
        <f aca="false">IF(B1175="","",IF(COUNTIFS($B$2:$B$1201,B1175,$A$2:$A$1201,"&lt;&gt;"&amp;A1175)&gt;0,"Sim",""))</f>
        <v/>
      </c>
      <c r="H1175" s="16" t="str">
        <f aca="false">IF(N(F1175)&gt;0,MAX(H$1:H1174)+1,"")</f>
        <v/>
      </c>
      <c r="I1175" s="11" t="str">
        <f aca="false">IF(B1175="","",IF(INDEX($C$2:$C$1201,MATCH(B1175,$B$2:$B$1201,0))&lt;&gt;C1175,"Nome diferente em outro deck — revisar",""))</f>
        <v/>
      </c>
      <c r="J1175" s="16" t="str">
        <f aca="false">IF(AND(B1175&lt;&gt;"",A1175=BULK!$A$1,N(F1175)&gt;0),MAX(J$1:J1174)+1,"")</f>
        <v/>
      </c>
      <c r="K1175" s="11" t="str">
        <f aca="false">IF(B1175="","",IFERROR(LEFT(B1175,FIND("-",B1175)-1),B1175))</f>
        <v/>
      </c>
      <c r="L1175" s="11" t="str">
        <f aca="false">IF(K1175="","",IF(ISNUMBER(--MID(K1175,1,1)),0,IF(ISNUMBER(--MID(K1175,2,1)),1,IF(ISNUMBER(--MID(K1175,3,1)),2,IF(ISNUMBER(--MID(K1175,4,1)),3,MIN(LEN(K1175),4))))))</f>
        <v/>
      </c>
      <c r="M1175" s="11" t="str">
        <f aca="false">IF(B1175="","",LEFT(K1175,L1175)&amp;REPT("0",4-L1175)&amp;RIGHT("000"&amp;IFERROR(VALUE(MID(K1175,L1175+1,9)),0),3)&amp;RIGHT("0000"&amp;IFERROR(VALUE(MID(B1175,FIND("-",B1175)+1,9)),0),4))</f>
        <v/>
      </c>
      <c r="N1175" s="11" t="str">
        <f aca="false">IF(OR(B1175="",N(F1175)&lt;=0),"",IF('FALTAS POR DECK'!$P$1="Código","K"&amp;M1175&amp;RIGHT("00000"&amp;ROW(),5),IF('FALTAS POR DECK'!$P$1="Nome","K"&amp;UPPER(SUBSTITUTE(SUBSTITUTE(SUBSTITUTE(C1175,"*",""),"?",""),"~",""))&amp;"0"&amp;M1175&amp;RIGHT("00000"&amp;ROW(),5),IF('FALTAS POR DECK'!$P$1="Falta (maior primeiro)","K"&amp;RIGHT("0000"&amp;(9999-F1175),4)&amp;M1175&amp;RIGHT("00000"&amp;ROW(),5),IF('FALTAS POR DECK'!$P$1="Deck e código","K"&amp;RIGHT("00"&amp;IFERROR(MATCH(A1175,_LEITURA!$P$2:$P$21,0),99),2)&amp;M1175&amp;RIGHT("00000"&amp;ROW(),5),"K"&amp;RIGHT("00000"&amp;ROW(),5))))))</f>
        <v/>
      </c>
      <c r="O1175" s="16" t="str">
        <f aca="false">IF(N1175="","",COUNTIFS($N$2:$N$1201,"&lt;"&amp;N1175,$F$2:$F$1201,"&gt;0")+1)</f>
        <v/>
      </c>
    </row>
    <row r="1176" customFormat="false" ht="15" hidden="false" customHeight="false" outlineLevel="0" collapsed="false">
      <c r="A1176" s="11" t="str">
        <f aca="false">IF(_LEITURA!$N1176="","",INDEX(_LEITURA!$K$2:$K$1201,_LEITURA!$N1176))</f>
        <v/>
      </c>
      <c r="B1176" s="11" t="str">
        <f aca="false">IF(_LEITURA!$N1176="","",INDEX(_LEITURA!$E$2:$E$1201,_LEITURA!$N1176))</f>
        <v/>
      </c>
      <c r="C1176" s="11" t="str">
        <f aca="false">IF(_LEITURA!$N1176="","",INDEX(_LEITURA!$J$2:$J$1201,_LEITURA!$N1176))</f>
        <v/>
      </c>
      <c r="D1176" s="16" t="str">
        <f aca="false">IF(_LEITURA!$N1176="","",INDEX(_LEITURA!$G$2:$G$1201,_LEITURA!$N1176))</f>
        <v/>
      </c>
      <c r="E1176" s="16" t="str">
        <f aca="false">IF(B1176="","",SUMIFS(INVENTÁRIO!$C$2:$C$801,INVENTÁRIO!$A$2:$A$801,B1176))</f>
        <v/>
      </c>
      <c r="F1176" s="16" t="str">
        <f aca="false">IF(B1176="","",MAX(0,D1176-E1176))</f>
        <v/>
      </c>
      <c r="G1176" s="16" t="str">
        <f aca="false">IF(B1176="","",IF(COUNTIFS($B$2:$B$1201,B1176,$A$2:$A$1201,"&lt;&gt;"&amp;A1176)&gt;0,"Sim",""))</f>
        <v/>
      </c>
      <c r="H1176" s="16" t="str">
        <f aca="false">IF(N(F1176)&gt;0,MAX(H$1:H1175)+1,"")</f>
        <v/>
      </c>
      <c r="I1176" s="11" t="str">
        <f aca="false">IF(B1176="","",IF(INDEX($C$2:$C$1201,MATCH(B1176,$B$2:$B$1201,0))&lt;&gt;C1176,"Nome diferente em outro deck — revisar",""))</f>
        <v/>
      </c>
      <c r="J1176" s="16" t="str">
        <f aca="false">IF(AND(B1176&lt;&gt;"",A1176=BULK!$A$1,N(F1176)&gt;0),MAX(J$1:J1175)+1,"")</f>
        <v/>
      </c>
      <c r="K1176" s="11" t="str">
        <f aca="false">IF(B1176="","",IFERROR(LEFT(B1176,FIND("-",B1176)-1),B1176))</f>
        <v/>
      </c>
      <c r="L1176" s="11" t="str">
        <f aca="false">IF(K1176="","",IF(ISNUMBER(--MID(K1176,1,1)),0,IF(ISNUMBER(--MID(K1176,2,1)),1,IF(ISNUMBER(--MID(K1176,3,1)),2,IF(ISNUMBER(--MID(K1176,4,1)),3,MIN(LEN(K1176),4))))))</f>
        <v/>
      </c>
      <c r="M1176" s="11" t="str">
        <f aca="false">IF(B1176="","",LEFT(K1176,L1176)&amp;REPT("0",4-L1176)&amp;RIGHT("000"&amp;IFERROR(VALUE(MID(K1176,L1176+1,9)),0),3)&amp;RIGHT("0000"&amp;IFERROR(VALUE(MID(B1176,FIND("-",B1176)+1,9)),0),4))</f>
        <v/>
      </c>
      <c r="N1176" s="11" t="str">
        <f aca="false">IF(OR(B1176="",N(F1176)&lt;=0),"",IF('FALTAS POR DECK'!$P$1="Código","K"&amp;M1176&amp;RIGHT("00000"&amp;ROW(),5),IF('FALTAS POR DECK'!$P$1="Nome","K"&amp;UPPER(SUBSTITUTE(SUBSTITUTE(SUBSTITUTE(C1176,"*",""),"?",""),"~",""))&amp;"0"&amp;M1176&amp;RIGHT("00000"&amp;ROW(),5),IF('FALTAS POR DECK'!$P$1="Falta (maior primeiro)","K"&amp;RIGHT("0000"&amp;(9999-F1176),4)&amp;M1176&amp;RIGHT("00000"&amp;ROW(),5),IF('FALTAS POR DECK'!$P$1="Deck e código","K"&amp;RIGHT("00"&amp;IFERROR(MATCH(A1176,_LEITURA!$P$2:$P$21,0),99),2)&amp;M1176&amp;RIGHT("00000"&amp;ROW(),5),"K"&amp;RIGHT("00000"&amp;ROW(),5))))))</f>
        <v/>
      </c>
      <c r="O1176" s="16" t="str">
        <f aca="false">IF(N1176="","",COUNTIFS($N$2:$N$1201,"&lt;"&amp;N1176,$F$2:$F$1201,"&gt;0")+1)</f>
        <v/>
      </c>
    </row>
    <row r="1177" customFormat="false" ht="15" hidden="false" customHeight="false" outlineLevel="0" collapsed="false">
      <c r="A1177" s="11" t="str">
        <f aca="false">IF(_LEITURA!$N1177="","",INDEX(_LEITURA!$K$2:$K$1201,_LEITURA!$N1177))</f>
        <v/>
      </c>
      <c r="B1177" s="11" t="str">
        <f aca="false">IF(_LEITURA!$N1177="","",INDEX(_LEITURA!$E$2:$E$1201,_LEITURA!$N1177))</f>
        <v/>
      </c>
      <c r="C1177" s="11" t="str">
        <f aca="false">IF(_LEITURA!$N1177="","",INDEX(_LEITURA!$J$2:$J$1201,_LEITURA!$N1177))</f>
        <v/>
      </c>
      <c r="D1177" s="16" t="str">
        <f aca="false">IF(_LEITURA!$N1177="","",INDEX(_LEITURA!$G$2:$G$1201,_LEITURA!$N1177))</f>
        <v/>
      </c>
      <c r="E1177" s="16" t="str">
        <f aca="false">IF(B1177="","",SUMIFS(INVENTÁRIO!$C$2:$C$801,INVENTÁRIO!$A$2:$A$801,B1177))</f>
        <v/>
      </c>
      <c r="F1177" s="16" t="str">
        <f aca="false">IF(B1177="","",MAX(0,D1177-E1177))</f>
        <v/>
      </c>
      <c r="G1177" s="16" t="str">
        <f aca="false">IF(B1177="","",IF(COUNTIFS($B$2:$B$1201,B1177,$A$2:$A$1201,"&lt;&gt;"&amp;A1177)&gt;0,"Sim",""))</f>
        <v/>
      </c>
      <c r="H1177" s="16" t="str">
        <f aca="false">IF(N(F1177)&gt;0,MAX(H$1:H1176)+1,"")</f>
        <v/>
      </c>
      <c r="I1177" s="11" t="str">
        <f aca="false">IF(B1177="","",IF(INDEX($C$2:$C$1201,MATCH(B1177,$B$2:$B$1201,0))&lt;&gt;C1177,"Nome diferente em outro deck — revisar",""))</f>
        <v/>
      </c>
      <c r="J1177" s="16" t="str">
        <f aca="false">IF(AND(B1177&lt;&gt;"",A1177=BULK!$A$1,N(F1177)&gt;0),MAX(J$1:J1176)+1,"")</f>
        <v/>
      </c>
      <c r="K1177" s="11" t="str">
        <f aca="false">IF(B1177="","",IFERROR(LEFT(B1177,FIND("-",B1177)-1),B1177))</f>
        <v/>
      </c>
      <c r="L1177" s="11" t="str">
        <f aca="false">IF(K1177="","",IF(ISNUMBER(--MID(K1177,1,1)),0,IF(ISNUMBER(--MID(K1177,2,1)),1,IF(ISNUMBER(--MID(K1177,3,1)),2,IF(ISNUMBER(--MID(K1177,4,1)),3,MIN(LEN(K1177),4))))))</f>
        <v/>
      </c>
      <c r="M1177" s="11" t="str">
        <f aca="false">IF(B1177="","",LEFT(K1177,L1177)&amp;REPT("0",4-L1177)&amp;RIGHT("000"&amp;IFERROR(VALUE(MID(K1177,L1177+1,9)),0),3)&amp;RIGHT("0000"&amp;IFERROR(VALUE(MID(B1177,FIND("-",B1177)+1,9)),0),4))</f>
        <v/>
      </c>
      <c r="N1177" s="11" t="str">
        <f aca="false">IF(OR(B1177="",N(F1177)&lt;=0),"",IF('FALTAS POR DECK'!$P$1="Código","K"&amp;M1177&amp;RIGHT("00000"&amp;ROW(),5),IF('FALTAS POR DECK'!$P$1="Nome","K"&amp;UPPER(SUBSTITUTE(SUBSTITUTE(SUBSTITUTE(C1177,"*",""),"?",""),"~",""))&amp;"0"&amp;M1177&amp;RIGHT("00000"&amp;ROW(),5),IF('FALTAS POR DECK'!$P$1="Falta (maior primeiro)","K"&amp;RIGHT("0000"&amp;(9999-F1177),4)&amp;M1177&amp;RIGHT("00000"&amp;ROW(),5),IF('FALTAS POR DECK'!$P$1="Deck e código","K"&amp;RIGHT("00"&amp;IFERROR(MATCH(A1177,_LEITURA!$P$2:$P$21,0),99),2)&amp;M1177&amp;RIGHT("00000"&amp;ROW(),5),"K"&amp;RIGHT("00000"&amp;ROW(),5))))))</f>
        <v/>
      </c>
      <c r="O1177" s="16" t="str">
        <f aca="false">IF(N1177="","",COUNTIFS($N$2:$N$1201,"&lt;"&amp;N1177,$F$2:$F$1201,"&gt;0")+1)</f>
        <v/>
      </c>
    </row>
    <row r="1178" customFormat="false" ht="15" hidden="false" customHeight="false" outlineLevel="0" collapsed="false">
      <c r="A1178" s="11" t="str">
        <f aca="false">IF(_LEITURA!$N1178="","",INDEX(_LEITURA!$K$2:$K$1201,_LEITURA!$N1178))</f>
        <v/>
      </c>
      <c r="B1178" s="11" t="str">
        <f aca="false">IF(_LEITURA!$N1178="","",INDEX(_LEITURA!$E$2:$E$1201,_LEITURA!$N1178))</f>
        <v/>
      </c>
      <c r="C1178" s="11" t="str">
        <f aca="false">IF(_LEITURA!$N1178="","",INDEX(_LEITURA!$J$2:$J$1201,_LEITURA!$N1178))</f>
        <v/>
      </c>
      <c r="D1178" s="16" t="str">
        <f aca="false">IF(_LEITURA!$N1178="","",INDEX(_LEITURA!$G$2:$G$1201,_LEITURA!$N1178))</f>
        <v/>
      </c>
      <c r="E1178" s="16" t="str">
        <f aca="false">IF(B1178="","",SUMIFS(INVENTÁRIO!$C$2:$C$801,INVENTÁRIO!$A$2:$A$801,B1178))</f>
        <v/>
      </c>
      <c r="F1178" s="16" t="str">
        <f aca="false">IF(B1178="","",MAX(0,D1178-E1178))</f>
        <v/>
      </c>
      <c r="G1178" s="16" t="str">
        <f aca="false">IF(B1178="","",IF(COUNTIFS($B$2:$B$1201,B1178,$A$2:$A$1201,"&lt;&gt;"&amp;A1178)&gt;0,"Sim",""))</f>
        <v/>
      </c>
      <c r="H1178" s="16" t="str">
        <f aca="false">IF(N(F1178)&gt;0,MAX(H$1:H1177)+1,"")</f>
        <v/>
      </c>
      <c r="I1178" s="11" t="str">
        <f aca="false">IF(B1178="","",IF(INDEX($C$2:$C$1201,MATCH(B1178,$B$2:$B$1201,0))&lt;&gt;C1178,"Nome diferente em outro deck — revisar",""))</f>
        <v/>
      </c>
      <c r="J1178" s="16" t="str">
        <f aca="false">IF(AND(B1178&lt;&gt;"",A1178=BULK!$A$1,N(F1178)&gt;0),MAX(J$1:J1177)+1,"")</f>
        <v/>
      </c>
      <c r="K1178" s="11" t="str">
        <f aca="false">IF(B1178="","",IFERROR(LEFT(B1178,FIND("-",B1178)-1),B1178))</f>
        <v/>
      </c>
      <c r="L1178" s="11" t="str">
        <f aca="false">IF(K1178="","",IF(ISNUMBER(--MID(K1178,1,1)),0,IF(ISNUMBER(--MID(K1178,2,1)),1,IF(ISNUMBER(--MID(K1178,3,1)),2,IF(ISNUMBER(--MID(K1178,4,1)),3,MIN(LEN(K1178),4))))))</f>
        <v/>
      </c>
      <c r="M1178" s="11" t="str">
        <f aca="false">IF(B1178="","",LEFT(K1178,L1178)&amp;REPT("0",4-L1178)&amp;RIGHT("000"&amp;IFERROR(VALUE(MID(K1178,L1178+1,9)),0),3)&amp;RIGHT("0000"&amp;IFERROR(VALUE(MID(B1178,FIND("-",B1178)+1,9)),0),4))</f>
        <v/>
      </c>
      <c r="N1178" s="11" t="str">
        <f aca="false">IF(OR(B1178="",N(F1178)&lt;=0),"",IF('FALTAS POR DECK'!$P$1="Código","K"&amp;M1178&amp;RIGHT("00000"&amp;ROW(),5),IF('FALTAS POR DECK'!$P$1="Nome","K"&amp;UPPER(SUBSTITUTE(SUBSTITUTE(SUBSTITUTE(C1178,"*",""),"?",""),"~",""))&amp;"0"&amp;M1178&amp;RIGHT("00000"&amp;ROW(),5),IF('FALTAS POR DECK'!$P$1="Falta (maior primeiro)","K"&amp;RIGHT("0000"&amp;(9999-F1178),4)&amp;M1178&amp;RIGHT("00000"&amp;ROW(),5),IF('FALTAS POR DECK'!$P$1="Deck e código","K"&amp;RIGHT("00"&amp;IFERROR(MATCH(A1178,_LEITURA!$P$2:$P$21,0),99),2)&amp;M1178&amp;RIGHT("00000"&amp;ROW(),5),"K"&amp;RIGHT("00000"&amp;ROW(),5))))))</f>
        <v/>
      </c>
      <c r="O1178" s="16" t="str">
        <f aca="false">IF(N1178="","",COUNTIFS($N$2:$N$1201,"&lt;"&amp;N1178,$F$2:$F$1201,"&gt;0")+1)</f>
        <v/>
      </c>
    </row>
    <row r="1179" customFormat="false" ht="15" hidden="false" customHeight="false" outlineLevel="0" collapsed="false">
      <c r="A1179" s="11" t="str">
        <f aca="false">IF(_LEITURA!$N1179="","",INDEX(_LEITURA!$K$2:$K$1201,_LEITURA!$N1179))</f>
        <v/>
      </c>
      <c r="B1179" s="11" t="str">
        <f aca="false">IF(_LEITURA!$N1179="","",INDEX(_LEITURA!$E$2:$E$1201,_LEITURA!$N1179))</f>
        <v/>
      </c>
      <c r="C1179" s="11" t="str">
        <f aca="false">IF(_LEITURA!$N1179="","",INDEX(_LEITURA!$J$2:$J$1201,_LEITURA!$N1179))</f>
        <v/>
      </c>
      <c r="D1179" s="16" t="str">
        <f aca="false">IF(_LEITURA!$N1179="","",INDEX(_LEITURA!$G$2:$G$1201,_LEITURA!$N1179))</f>
        <v/>
      </c>
      <c r="E1179" s="16" t="str">
        <f aca="false">IF(B1179="","",SUMIFS(INVENTÁRIO!$C$2:$C$801,INVENTÁRIO!$A$2:$A$801,B1179))</f>
        <v/>
      </c>
      <c r="F1179" s="16" t="str">
        <f aca="false">IF(B1179="","",MAX(0,D1179-E1179))</f>
        <v/>
      </c>
      <c r="G1179" s="16" t="str">
        <f aca="false">IF(B1179="","",IF(COUNTIFS($B$2:$B$1201,B1179,$A$2:$A$1201,"&lt;&gt;"&amp;A1179)&gt;0,"Sim",""))</f>
        <v/>
      </c>
      <c r="H1179" s="16" t="str">
        <f aca="false">IF(N(F1179)&gt;0,MAX(H$1:H1178)+1,"")</f>
        <v/>
      </c>
      <c r="I1179" s="11" t="str">
        <f aca="false">IF(B1179="","",IF(INDEX($C$2:$C$1201,MATCH(B1179,$B$2:$B$1201,0))&lt;&gt;C1179,"Nome diferente em outro deck — revisar",""))</f>
        <v/>
      </c>
      <c r="J1179" s="16" t="str">
        <f aca="false">IF(AND(B1179&lt;&gt;"",A1179=BULK!$A$1,N(F1179)&gt;0),MAX(J$1:J1178)+1,"")</f>
        <v/>
      </c>
      <c r="K1179" s="11" t="str">
        <f aca="false">IF(B1179="","",IFERROR(LEFT(B1179,FIND("-",B1179)-1),B1179))</f>
        <v/>
      </c>
      <c r="L1179" s="11" t="str">
        <f aca="false">IF(K1179="","",IF(ISNUMBER(--MID(K1179,1,1)),0,IF(ISNUMBER(--MID(K1179,2,1)),1,IF(ISNUMBER(--MID(K1179,3,1)),2,IF(ISNUMBER(--MID(K1179,4,1)),3,MIN(LEN(K1179),4))))))</f>
        <v/>
      </c>
      <c r="M1179" s="11" t="str">
        <f aca="false">IF(B1179="","",LEFT(K1179,L1179)&amp;REPT("0",4-L1179)&amp;RIGHT("000"&amp;IFERROR(VALUE(MID(K1179,L1179+1,9)),0),3)&amp;RIGHT("0000"&amp;IFERROR(VALUE(MID(B1179,FIND("-",B1179)+1,9)),0),4))</f>
        <v/>
      </c>
      <c r="N1179" s="11" t="str">
        <f aca="false">IF(OR(B1179="",N(F1179)&lt;=0),"",IF('FALTAS POR DECK'!$P$1="Código","K"&amp;M1179&amp;RIGHT("00000"&amp;ROW(),5),IF('FALTAS POR DECK'!$P$1="Nome","K"&amp;UPPER(SUBSTITUTE(SUBSTITUTE(SUBSTITUTE(C1179,"*",""),"?",""),"~",""))&amp;"0"&amp;M1179&amp;RIGHT("00000"&amp;ROW(),5),IF('FALTAS POR DECK'!$P$1="Falta (maior primeiro)","K"&amp;RIGHT("0000"&amp;(9999-F1179),4)&amp;M1179&amp;RIGHT("00000"&amp;ROW(),5),IF('FALTAS POR DECK'!$P$1="Deck e código","K"&amp;RIGHT("00"&amp;IFERROR(MATCH(A1179,_LEITURA!$P$2:$P$21,0),99),2)&amp;M1179&amp;RIGHT("00000"&amp;ROW(),5),"K"&amp;RIGHT("00000"&amp;ROW(),5))))))</f>
        <v/>
      </c>
      <c r="O1179" s="16" t="str">
        <f aca="false">IF(N1179="","",COUNTIFS($N$2:$N$1201,"&lt;"&amp;N1179,$F$2:$F$1201,"&gt;0")+1)</f>
        <v/>
      </c>
    </row>
    <row r="1180" customFormat="false" ht="15" hidden="false" customHeight="false" outlineLevel="0" collapsed="false">
      <c r="A1180" s="11" t="str">
        <f aca="false">IF(_LEITURA!$N1180="","",INDEX(_LEITURA!$K$2:$K$1201,_LEITURA!$N1180))</f>
        <v/>
      </c>
      <c r="B1180" s="11" t="str">
        <f aca="false">IF(_LEITURA!$N1180="","",INDEX(_LEITURA!$E$2:$E$1201,_LEITURA!$N1180))</f>
        <v/>
      </c>
      <c r="C1180" s="11" t="str">
        <f aca="false">IF(_LEITURA!$N1180="","",INDEX(_LEITURA!$J$2:$J$1201,_LEITURA!$N1180))</f>
        <v/>
      </c>
      <c r="D1180" s="16" t="str">
        <f aca="false">IF(_LEITURA!$N1180="","",INDEX(_LEITURA!$G$2:$G$1201,_LEITURA!$N1180))</f>
        <v/>
      </c>
      <c r="E1180" s="16" t="str">
        <f aca="false">IF(B1180="","",SUMIFS(INVENTÁRIO!$C$2:$C$801,INVENTÁRIO!$A$2:$A$801,B1180))</f>
        <v/>
      </c>
      <c r="F1180" s="16" t="str">
        <f aca="false">IF(B1180="","",MAX(0,D1180-E1180))</f>
        <v/>
      </c>
      <c r="G1180" s="16" t="str">
        <f aca="false">IF(B1180="","",IF(COUNTIFS($B$2:$B$1201,B1180,$A$2:$A$1201,"&lt;&gt;"&amp;A1180)&gt;0,"Sim",""))</f>
        <v/>
      </c>
      <c r="H1180" s="16" t="str">
        <f aca="false">IF(N(F1180)&gt;0,MAX(H$1:H1179)+1,"")</f>
        <v/>
      </c>
      <c r="I1180" s="11" t="str">
        <f aca="false">IF(B1180="","",IF(INDEX($C$2:$C$1201,MATCH(B1180,$B$2:$B$1201,0))&lt;&gt;C1180,"Nome diferente em outro deck — revisar",""))</f>
        <v/>
      </c>
      <c r="J1180" s="16" t="str">
        <f aca="false">IF(AND(B1180&lt;&gt;"",A1180=BULK!$A$1,N(F1180)&gt;0),MAX(J$1:J1179)+1,"")</f>
        <v/>
      </c>
      <c r="K1180" s="11" t="str">
        <f aca="false">IF(B1180="","",IFERROR(LEFT(B1180,FIND("-",B1180)-1),B1180))</f>
        <v/>
      </c>
      <c r="L1180" s="11" t="str">
        <f aca="false">IF(K1180="","",IF(ISNUMBER(--MID(K1180,1,1)),0,IF(ISNUMBER(--MID(K1180,2,1)),1,IF(ISNUMBER(--MID(K1180,3,1)),2,IF(ISNUMBER(--MID(K1180,4,1)),3,MIN(LEN(K1180),4))))))</f>
        <v/>
      </c>
      <c r="M1180" s="11" t="str">
        <f aca="false">IF(B1180="","",LEFT(K1180,L1180)&amp;REPT("0",4-L1180)&amp;RIGHT("000"&amp;IFERROR(VALUE(MID(K1180,L1180+1,9)),0),3)&amp;RIGHT("0000"&amp;IFERROR(VALUE(MID(B1180,FIND("-",B1180)+1,9)),0),4))</f>
        <v/>
      </c>
      <c r="N1180" s="11" t="str">
        <f aca="false">IF(OR(B1180="",N(F1180)&lt;=0),"",IF('FALTAS POR DECK'!$P$1="Código","K"&amp;M1180&amp;RIGHT("00000"&amp;ROW(),5),IF('FALTAS POR DECK'!$P$1="Nome","K"&amp;UPPER(SUBSTITUTE(SUBSTITUTE(SUBSTITUTE(C1180,"*",""),"?",""),"~",""))&amp;"0"&amp;M1180&amp;RIGHT("00000"&amp;ROW(),5),IF('FALTAS POR DECK'!$P$1="Falta (maior primeiro)","K"&amp;RIGHT("0000"&amp;(9999-F1180),4)&amp;M1180&amp;RIGHT("00000"&amp;ROW(),5),IF('FALTAS POR DECK'!$P$1="Deck e código","K"&amp;RIGHT("00"&amp;IFERROR(MATCH(A1180,_LEITURA!$P$2:$P$21,0),99),2)&amp;M1180&amp;RIGHT("00000"&amp;ROW(),5),"K"&amp;RIGHT("00000"&amp;ROW(),5))))))</f>
        <v/>
      </c>
      <c r="O1180" s="16" t="str">
        <f aca="false">IF(N1180="","",COUNTIFS($N$2:$N$1201,"&lt;"&amp;N1180,$F$2:$F$1201,"&gt;0")+1)</f>
        <v/>
      </c>
    </row>
    <row r="1181" customFormat="false" ht="15" hidden="false" customHeight="false" outlineLevel="0" collapsed="false">
      <c r="A1181" s="11" t="str">
        <f aca="false">IF(_LEITURA!$N1181="","",INDEX(_LEITURA!$K$2:$K$1201,_LEITURA!$N1181))</f>
        <v/>
      </c>
      <c r="B1181" s="11" t="str">
        <f aca="false">IF(_LEITURA!$N1181="","",INDEX(_LEITURA!$E$2:$E$1201,_LEITURA!$N1181))</f>
        <v/>
      </c>
      <c r="C1181" s="11" t="str">
        <f aca="false">IF(_LEITURA!$N1181="","",INDEX(_LEITURA!$J$2:$J$1201,_LEITURA!$N1181))</f>
        <v/>
      </c>
      <c r="D1181" s="16" t="str">
        <f aca="false">IF(_LEITURA!$N1181="","",INDEX(_LEITURA!$G$2:$G$1201,_LEITURA!$N1181))</f>
        <v/>
      </c>
      <c r="E1181" s="16" t="str">
        <f aca="false">IF(B1181="","",SUMIFS(INVENTÁRIO!$C$2:$C$801,INVENTÁRIO!$A$2:$A$801,B1181))</f>
        <v/>
      </c>
      <c r="F1181" s="16" t="str">
        <f aca="false">IF(B1181="","",MAX(0,D1181-E1181))</f>
        <v/>
      </c>
      <c r="G1181" s="16" t="str">
        <f aca="false">IF(B1181="","",IF(COUNTIFS($B$2:$B$1201,B1181,$A$2:$A$1201,"&lt;&gt;"&amp;A1181)&gt;0,"Sim",""))</f>
        <v/>
      </c>
      <c r="H1181" s="16" t="str">
        <f aca="false">IF(N(F1181)&gt;0,MAX(H$1:H1180)+1,"")</f>
        <v/>
      </c>
      <c r="I1181" s="11" t="str">
        <f aca="false">IF(B1181="","",IF(INDEX($C$2:$C$1201,MATCH(B1181,$B$2:$B$1201,0))&lt;&gt;C1181,"Nome diferente em outro deck — revisar",""))</f>
        <v/>
      </c>
      <c r="J1181" s="16" t="str">
        <f aca="false">IF(AND(B1181&lt;&gt;"",A1181=BULK!$A$1,N(F1181)&gt;0),MAX(J$1:J1180)+1,"")</f>
        <v/>
      </c>
      <c r="K1181" s="11" t="str">
        <f aca="false">IF(B1181="","",IFERROR(LEFT(B1181,FIND("-",B1181)-1),B1181))</f>
        <v/>
      </c>
      <c r="L1181" s="11" t="str">
        <f aca="false">IF(K1181="","",IF(ISNUMBER(--MID(K1181,1,1)),0,IF(ISNUMBER(--MID(K1181,2,1)),1,IF(ISNUMBER(--MID(K1181,3,1)),2,IF(ISNUMBER(--MID(K1181,4,1)),3,MIN(LEN(K1181),4))))))</f>
        <v/>
      </c>
      <c r="M1181" s="11" t="str">
        <f aca="false">IF(B1181="","",LEFT(K1181,L1181)&amp;REPT("0",4-L1181)&amp;RIGHT("000"&amp;IFERROR(VALUE(MID(K1181,L1181+1,9)),0),3)&amp;RIGHT("0000"&amp;IFERROR(VALUE(MID(B1181,FIND("-",B1181)+1,9)),0),4))</f>
        <v/>
      </c>
      <c r="N1181" s="11" t="str">
        <f aca="false">IF(OR(B1181="",N(F1181)&lt;=0),"",IF('FALTAS POR DECK'!$P$1="Código","K"&amp;M1181&amp;RIGHT("00000"&amp;ROW(),5),IF('FALTAS POR DECK'!$P$1="Nome","K"&amp;UPPER(SUBSTITUTE(SUBSTITUTE(SUBSTITUTE(C1181,"*",""),"?",""),"~",""))&amp;"0"&amp;M1181&amp;RIGHT("00000"&amp;ROW(),5),IF('FALTAS POR DECK'!$P$1="Falta (maior primeiro)","K"&amp;RIGHT("0000"&amp;(9999-F1181),4)&amp;M1181&amp;RIGHT("00000"&amp;ROW(),5),IF('FALTAS POR DECK'!$P$1="Deck e código","K"&amp;RIGHT("00"&amp;IFERROR(MATCH(A1181,_LEITURA!$P$2:$P$21,0),99),2)&amp;M1181&amp;RIGHT("00000"&amp;ROW(),5),"K"&amp;RIGHT("00000"&amp;ROW(),5))))))</f>
        <v/>
      </c>
      <c r="O1181" s="16" t="str">
        <f aca="false">IF(N1181="","",COUNTIFS($N$2:$N$1201,"&lt;"&amp;N1181,$F$2:$F$1201,"&gt;0")+1)</f>
        <v/>
      </c>
    </row>
    <row r="1182" customFormat="false" ht="15" hidden="false" customHeight="false" outlineLevel="0" collapsed="false">
      <c r="A1182" s="11" t="str">
        <f aca="false">IF(_LEITURA!$N1182="","",INDEX(_LEITURA!$K$2:$K$1201,_LEITURA!$N1182))</f>
        <v/>
      </c>
      <c r="B1182" s="11" t="str">
        <f aca="false">IF(_LEITURA!$N1182="","",INDEX(_LEITURA!$E$2:$E$1201,_LEITURA!$N1182))</f>
        <v/>
      </c>
      <c r="C1182" s="11" t="str">
        <f aca="false">IF(_LEITURA!$N1182="","",INDEX(_LEITURA!$J$2:$J$1201,_LEITURA!$N1182))</f>
        <v/>
      </c>
      <c r="D1182" s="16" t="str">
        <f aca="false">IF(_LEITURA!$N1182="","",INDEX(_LEITURA!$G$2:$G$1201,_LEITURA!$N1182))</f>
        <v/>
      </c>
      <c r="E1182" s="16" t="str">
        <f aca="false">IF(B1182="","",SUMIFS(INVENTÁRIO!$C$2:$C$801,INVENTÁRIO!$A$2:$A$801,B1182))</f>
        <v/>
      </c>
      <c r="F1182" s="16" t="str">
        <f aca="false">IF(B1182="","",MAX(0,D1182-E1182))</f>
        <v/>
      </c>
      <c r="G1182" s="16" t="str">
        <f aca="false">IF(B1182="","",IF(COUNTIFS($B$2:$B$1201,B1182,$A$2:$A$1201,"&lt;&gt;"&amp;A1182)&gt;0,"Sim",""))</f>
        <v/>
      </c>
      <c r="H1182" s="16" t="str">
        <f aca="false">IF(N(F1182)&gt;0,MAX(H$1:H1181)+1,"")</f>
        <v/>
      </c>
      <c r="I1182" s="11" t="str">
        <f aca="false">IF(B1182="","",IF(INDEX($C$2:$C$1201,MATCH(B1182,$B$2:$B$1201,0))&lt;&gt;C1182,"Nome diferente em outro deck — revisar",""))</f>
        <v/>
      </c>
      <c r="J1182" s="16" t="str">
        <f aca="false">IF(AND(B1182&lt;&gt;"",A1182=BULK!$A$1,N(F1182)&gt;0),MAX(J$1:J1181)+1,"")</f>
        <v/>
      </c>
      <c r="K1182" s="11" t="str">
        <f aca="false">IF(B1182="","",IFERROR(LEFT(B1182,FIND("-",B1182)-1),B1182))</f>
        <v/>
      </c>
      <c r="L1182" s="11" t="str">
        <f aca="false">IF(K1182="","",IF(ISNUMBER(--MID(K1182,1,1)),0,IF(ISNUMBER(--MID(K1182,2,1)),1,IF(ISNUMBER(--MID(K1182,3,1)),2,IF(ISNUMBER(--MID(K1182,4,1)),3,MIN(LEN(K1182),4))))))</f>
        <v/>
      </c>
      <c r="M1182" s="11" t="str">
        <f aca="false">IF(B1182="","",LEFT(K1182,L1182)&amp;REPT("0",4-L1182)&amp;RIGHT("000"&amp;IFERROR(VALUE(MID(K1182,L1182+1,9)),0),3)&amp;RIGHT("0000"&amp;IFERROR(VALUE(MID(B1182,FIND("-",B1182)+1,9)),0),4))</f>
        <v/>
      </c>
      <c r="N1182" s="11" t="str">
        <f aca="false">IF(OR(B1182="",N(F1182)&lt;=0),"",IF('FALTAS POR DECK'!$P$1="Código","K"&amp;M1182&amp;RIGHT("00000"&amp;ROW(),5),IF('FALTAS POR DECK'!$P$1="Nome","K"&amp;UPPER(SUBSTITUTE(SUBSTITUTE(SUBSTITUTE(C1182,"*",""),"?",""),"~",""))&amp;"0"&amp;M1182&amp;RIGHT("00000"&amp;ROW(),5),IF('FALTAS POR DECK'!$P$1="Falta (maior primeiro)","K"&amp;RIGHT("0000"&amp;(9999-F1182),4)&amp;M1182&amp;RIGHT("00000"&amp;ROW(),5),IF('FALTAS POR DECK'!$P$1="Deck e código","K"&amp;RIGHT("00"&amp;IFERROR(MATCH(A1182,_LEITURA!$P$2:$P$21,0),99),2)&amp;M1182&amp;RIGHT("00000"&amp;ROW(),5),"K"&amp;RIGHT("00000"&amp;ROW(),5))))))</f>
        <v/>
      </c>
      <c r="O1182" s="16" t="str">
        <f aca="false">IF(N1182="","",COUNTIFS($N$2:$N$1201,"&lt;"&amp;N1182,$F$2:$F$1201,"&gt;0")+1)</f>
        <v/>
      </c>
    </row>
    <row r="1183" customFormat="false" ht="15" hidden="false" customHeight="false" outlineLevel="0" collapsed="false">
      <c r="A1183" s="11" t="str">
        <f aca="false">IF(_LEITURA!$N1183="","",INDEX(_LEITURA!$K$2:$K$1201,_LEITURA!$N1183))</f>
        <v/>
      </c>
      <c r="B1183" s="11" t="str">
        <f aca="false">IF(_LEITURA!$N1183="","",INDEX(_LEITURA!$E$2:$E$1201,_LEITURA!$N1183))</f>
        <v/>
      </c>
      <c r="C1183" s="11" t="str">
        <f aca="false">IF(_LEITURA!$N1183="","",INDEX(_LEITURA!$J$2:$J$1201,_LEITURA!$N1183))</f>
        <v/>
      </c>
      <c r="D1183" s="16" t="str">
        <f aca="false">IF(_LEITURA!$N1183="","",INDEX(_LEITURA!$G$2:$G$1201,_LEITURA!$N1183))</f>
        <v/>
      </c>
      <c r="E1183" s="16" t="str">
        <f aca="false">IF(B1183="","",SUMIFS(INVENTÁRIO!$C$2:$C$801,INVENTÁRIO!$A$2:$A$801,B1183))</f>
        <v/>
      </c>
      <c r="F1183" s="16" t="str">
        <f aca="false">IF(B1183="","",MAX(0,D1183-E1183))</f>
        <v/>
      </c>
      <c r="G1183" s="16" t="str">
        <f aca="false">IF(B1183="","",IF(COUNTIFS($B$2:$B$1201,B1183,$A$2:$A$1201,"&lt;&gt;"&amp;A1183)&gt;0,"Sim",""))</f>
        <v/>
      </c>
      <c r="H1183" s="16" t="str">
        <f aca="false">IF(N(F1183)&gt;0,MAX(H$1:H1182)+1,"")</f>
        <v/>
      </c>
      <c r="I1183" s="11" t="str">
        <f aca="false">IF(B1183="","",IF(INDEX($C$2:$C$1201,MATCH(B1183,$B$2:$B$1201,0))&lt;&gt;C1183,"Nome diferente em outro deck — revisar",""))</f>
        <v/>
      </c>
      <c r="J1183" s="16" t="str">
        <f aca="false">IF(AND(B1183&lt;&gt;"",A1183=BULK!$A$1,N(F1183)&gt;0),MAX(J$1:J1182)+1,"")</f>
        <v/>
      </c>
      <c r="K1183" s="11" t="str">
        <f aca="false">IF(B1183="","",IFERROR(LEFT(B1183,FIND("-",B1183)-1),B1183))</f>
        <v/>
      </c>
      <c r="L1183" s="11" t="str">
        <f aca="false">IF(K1183="","",IF(ISNUMBER(--MID(K1183,1,1)),0,IF(ISNUMBER(--MID(K1183,2,1)),1,IF(ISNUMBER(--MID(K1183,3,1)),2,IF(ISNUMBER(--MID(K1183,4,1)),3,MIN(LEN(K1183),4))))))</f>
        <v/>
      </c>
      <c r="M1183" s="11" t="str">
        <f aca="false">IF(B1183="","",LEFT(K1183,L1183)&amp;REPT("0",4-L1183)&amp;RIGHT("000"&amp;IFERROR(VALUE(MID(K1183,L1183+1,9)),0),3)&amp;RIGHT("0000"&amp;IFERROR(VALUE(MID(B1183,FIND("-",B1183)+1,9)),0),4))</f>
        <v/>
      </c>
      <c r="N1183" s="11" t="str">
        <f aca="false">IF(OR(B1183="",N(F1183)&lt;=0),"",IF('FALTAS POR DECK'!$P$1="Código","K"&amp;M1183&amp;RIGHT("00000"&amp;ROW(),5),IF('FALTAS POR DECK'!$P$1="Nome","K"&amp;UPPER(SUBSTITUTE(SUBSTITUTE(SUBSTITUTE(C1183,"*",""),"?",""),"~",""))&amp;"0"&amp;M1183&amp;RIGHT("00000"&amp;ROW(),5),IF('FALTAS POR DECK'!$P$1="Falta (maior primeiro)","K"&amp;RIGHT("0000"&amp;(9999-F1183),4)&amp;M1183&amp;RIGHT("00000"&amp;ROW(),5),IF('FALTAS POR DECK'!$P$1="Deck e código","K"&amp;RIGHT("00"&amp;IFERROR(MATCH(A1183,_LEITURA!$P$2:$P$21,0),99),2)&amp;M1183&amp;RIGHT("00000"&amp;ROW(),5),"K"&amp;RIGHT("00000"&amp;ROW(),5))))))</f>
        <v/>
      </c>
      <c r="O1183" s="16" t="str">
        <f aca="false">IF(N1183="","",COUNTIFS($N$2:$N$1201,"&lt;"&amp;N1183,$F$2:$F$1201,"&gt;0")+1)</f>
        <v/>
      </c>
    </row>
    <row r="1184" customFormat="false" ht="15" hidden="false" customHeight="false" outlineLevel="0" collapsed="false">
      <c r="A1184" s="11" t="str">
        <f aca="false">IF(_LEITURA!$N1184="","",INDEX(_LEITURA!$K$2:$K$1201,_LEITURA!$N1184))</f>
        <v/>
      </c>
      <c r="B1184" s="11" t="str">
        <f aca="false">IF(_LEITURA!$N1184="","",INDEX(_LEITURA!$E$2:$E$1201,_LEITURA!$N1184))</f>
        <v/>
      </c>
      <c r="C1184" s="11" t="str">
        <f aca="false">IF(_LEITURA!$N1184="","",INDEX(_LEITURA!$J$2:$J$1201,_LEITURA!$N1184))</f>
        <v/>
      </c>
      <c r="D1184" s="16" t="str">
        <f aca="false">IF(_LEITURA!$N1184="","",INDEX(_LEITURA!$G$2:$G$1201,_LEITURA!$N1184))</f>
        <v/>
      </c>
      <c r="E1184" s="16" t="str">
        <f aca="false">IF(B1184="","",SUMIFS(INVENTÁRIO!$C$2:$C$801,INVENTÁRIO!$A$2:$A$801,B1184))</f>
        <v/>
      </c>
      <c r="F1184" s="16" t="str">
        <f aca="false">IF(B1184="","",MAX(0,D1184-E1184))</f>
        <v/>
      </c>
      <c r="G1184" s="16" t="str">
        <f aca="false">IF(B1184="","",IF(COUNTIFS($B$2:$B$1201,B1184,$A$2:$A$1201,"&lt;&gt;"&amp;A1184)&gt;0,"Sim",""))</f>
        <v/>
      </c>
      <c r="H1184" s="16" t="str">
        <f aca="false">IF(N(F1184)&gt;0,MAX(H$1:H1183)+1,"")</f>
        <v/>
      </c>
      <c r="I1184" s="11" t="str">
        <f aca="false">IF(B1184="","",IF(INDEX($C$2:$C$1201,MATCH(B1184,$B$2:$B$1201,0))&lt;&gt;C1184,"Nome diferente em outro deck — revisar",""))</f>
        <v/>
      </c>
      <c r="J1184" s="16" t="str">
        <f aca="false">IF(AND(B1184&lt;&gt;"",A1184=BULK!$A$1,N(F1184)&gt;0),MAX(J$1:J1183)+1,"")</f>
        <v/>
      </c>
      <c r="K1184" s="11" t="str">
        <f aca="false">IF(B1184="","",IFERROR(LEFT(B1184,FIND("-",B1184)-1),B1184))</f>
        <v/>
      </c>
      <c r="L1184" s="11" t="str">
        <f aca="false">IF(K1184="","",IF(ISNUMBER(--MID(K1184,1,1)),0,IF(ISNUMBER(--MID(K1184,2,1)),1,IF(ISNUMBER(--MID(K1184,3,1)),2,IF(ISNUMBER(--MID(K1184,4,1)),3,MIN(LEN(K1184),4))))))</f>
        <v/>
      </c>
      <c r="M1184" s="11" t="str">
        <f aca="false">IF(B1184="","",LEFT(K1184,L1184)&amp;REPT("0",4-L1184)&amp;RIGHT("000"&amp;IFERROR(VALUE(MID(K1184,L1184+1,9)),0),3)&amp;RIGHT("0000"&amp;IFERROR(VALUE(MID(B1184,FIND("-",B1184)+1,9)),0),4))</f>
        <v/>
      </c>
      <c r="N1184" s="11" t="str">
        <f aca="false">IF(OR(B1184="",N(F1184)&lt;=0),"",IF('FALTAS POR DECK'!$P$1="Código","K"&amp;M1184&amp;RIGHT("00000"&amp;ROW(),5),IF('FALTAS POR DECK'!$P$1="Nome","K"&amp;UPPER(SUBSTITUTE(SUBSTITUTE(SUBSTITUTE(C1184,"*",""),"?",""),"~",""))&amp;"0"&amp;M1184&amp;RIGHT("00000"&amp;ROW(),5),IF('FALTAS POR DECK'!$P$1="Falta (maior primeiro)","K"&amp;RIGHT("0000"&amp;(9999-F1184),4)&amp;M1184&amp;RIGHT("00000"&amp;ROW(),5),IF('FALTAS POR DECK'!$P$1="Deck e código","K"&amp;RIGHT("00"&amp;IFERROR(MATCH(A1184,_LEITURA!$P$2:$P$21,0),99),2)&amp;M1184&amp;RIGHT("00000"&amp;ROW(),5),"K"&amp;RIGHT("00000"&amp;ROW(),5))))))</f>
        <v/>
      </c>
      <c r="O1184" s="16" t="str">
        <f aca="false">IF(N1184="","",COUNTIFS($N$2:$N$1201,"&lt;"&amp;N1184,$F$2:$F$1201,"&gt;0")+1)</f>
        <v/>
      </c>
    </row>
    <row r="1185" customFormat="false" ht="15" hidden="false" customHeight="false" outlineLevel="0" collapsed="false">
      <c r="A1185" s="11" t="str">
        <f aca="false">IF(_LEITURA!$N1185="","",INDEX(_LEITURA!$K$2:$K$1201,_LEITURA!$N1185))</f>
        <v/>
      </c>
      <c r="B1185" s="11" t="str">
        <f aca="false">IF(_LEITURA!$N1185="","",INDEX(_LEITURA!$E$2:$E$1201,_LEITURA!$N1185))</f>
        <v/>
      </c>
      <c r="C1185" s="11" t="str">
        <f aca="false">IF(_LEITURA!$N1185="","",INDEX(_LEITURA!$J$2:$J$1201,_LEITURA!$N1185))</f>
        <v/>
      </c>
      <c r="D1185" s="16" t="str">
        <f aca="false">IF(_LEITURA!$N1185="","",INDEX(_LEITURA!$G$2:$G$1201,_LEITURA!$N1185))</f>
        <v/>
      </c>
      <c r="E1185" s="16" t="str">
        <f aca="false">IF(B1185="","",SUMIFS(INVENTÁRIO!$C$2:$C$801,INVENTÁRIO!$A$2:$A$801,B1185))</f>
        <v/>
      </c>
      <c r="F1185" s="16" t="str">
        <f aca="false">IF(B1185="","",MAX(0,D1185-E1185))</f>
        <v/>
      </c>
      <c r="G1185" s="16" t="str">
        <f aca="false">IF(B1185="","",IF(COUNTIFS($B$2:$B$1201,B1185,$A$2:$A$1201,"&lt;&gt;"&amp;A1185)&gt;0,"Sim",""))</f>
        <v/>
      </c>
      <c r="H1185" s="16" t="str">
        <f aca="false">IF(N(F1185)&gt;0,MAX(H$1:H1184)+1,"")</f>
        <v/>
      </c>
      <c r="I1185" s="11" t="str">
        <f aca="false">IF(B1185="","",IF(INDEX($C$2:$C$1201,MATCH(B1185,$B$2:$B$1201,0))&lt;&gt;C1185,"Nome diferente em outro deck — revisar",""))</f>
        <v/>
      </c>
      <c r="J1185" s="16" t="str">
        <f aca="false">IF(AND(B1185&lt;&gt;"",A1185=BULK!$A$1,N(F1185)&gt;0),MAX(J$1:J1184)+1,"")</f>
        <v/>
      </c>
      <c r="K1185" s="11" t="str">
        <f aca="false">IF(B1185="","",IFERROR(LEFT(B1185,FIND("-",B1185)-1),B1185))</f>
        <v/>
      </c>
      <c r="L1185" s="11" t="str">
        <f aca="false">IF(K1185="","",IF(ISNUMBER(--MID(K1185,1,1)),0,IF(ISNUMBER(--MID(K1185,2,1)),1,IF(ISNUMBER(--MID(K1185,3,1)),2,IF(ISNUMBER(--MID(K1185,4,1)),3,MIN(LEN(K1185),4))))))</f>
        <v/>
      </c>
      <c r="M1185" s="11" t="str">
        <f aca="false">IF(B1185="","",LEFT(K1185,L1185)&amp;REPT("0",4-L1185)&amp;RIGHT("000"&amp;IFERROR(VALUE(MID(K1185,L1185+1,9)),0),3)&amp;RIGHT("0000"&amp;IFERROR(VALUE(MID(B1185,FIND("-",B1185)+1,9)),0),4))</f>
        <v/>
      </c>
      <c r="N1185" s="11" t="str">
        <f aca="false">IF(OR(B1185="",N(F1185)&lt;=0),"",IF('FALTAS POR DECK'!$P$1="Código","K"&amp;M1185&amp;RIGHT("00000"&amp;ROW(),5),IF('FALTAS POR DECK'!$P$1="Nome","K"&amp;UPPER(SUBSTITUTE(SUBSTITUTE(SUBSTITUTE(C1185,"*",""),"?",""),"~",""))&amp;"0"&amp;M1185&amp;RIGHT("00000"&amp;ROW(),5),IF('FALTAS POR DECK'!$P$1="Falta (maior primeiro)","K"&amp;RIGHT("0000"&amp;(9999-F1185),4)&amp;M1185&amp;RIGHT("00000"&amp;ROW(),5),IF('FALTAS POR DECK'!$P$1="Deck e código","K"&amp;RIGHT("00"&amp;IFERROR(MATCH(A1185,_LEITURA!$P$2:$P$21,0),99),2)&amp;M1185&amp;RIGHT("00000"&amp;ROW(),5),"K"&amp;RIGHT("00000"&amp;ROW(),5))))))</f>
        <v/>
      </c>
      <c r="O1185" s="16" t="str">
        <f aca="false">IF(N1185="","",COUNTIFS($N$2:$N$1201,"&lt;"&amp;N1185,$F$2:$F$1201,"&gt;0")+1)</f>
        <v/>
      </c>
    </row>
    <row r="1186" customFormat="false" ht="15" hidden="false" customHeight="false" outlineLevel="0" collapsed="false">
      <c r="A1186" s="11" t="str">
        <f aca="false">IF(_LEITURA!$N1186="","",INDEX(_LEITURA!$K$2:$K$1201,_LEITURA!$N1186))</f>
        <v/>
      </c>
      <c r="B1186" s="11" t="str">
        <f aca="false">IF(_LEITURA!$N1186="","",INDEX(_LEITURA!$E$2:$E$1201,_LEITURA!$N1186))</f>
        <v/>
      </c>
      <c r="C1186" s="11" t="str">
        <f aca="false">IF(_LEITURA!$N1186="","",INDEX(_LEITURA!$J$2:$J$1201,_LEITURA!$N1186))</f>
        <v/>
      </c>
      <c r="D1186" s="16" t="str">
        <f aca="false">IF(_LEITURA!$N1186="","",INDEX(_LEITURA!$G$2:$G$1201,_LEITURA!$N1186))</f>
        <v/>
      </c>
      <c r="E1186" s="16" t="str">
        <f aca="false">IF(B1186="","",SUMIFS(INVENTÁRIO!$C$2:$C$801,INVENTÁRIO!$A$2:$A$801,B1186))</f>
        <v/>
      </c>
      <c r="F1186" s="16" t="str">
        <f aca="false">IF(B1186="","",MAX(0,D1186-E1186))</f>
        <v/>
      </c>
      <c r="G1186" s="16" t="str">
        <f aca="false">IF(B1186="","",IF(COUNTIFS($B$2:$B$1201,B1186,$A$2:$A$1201,"&lt;&gt;"&amp;A1186)&gt;0,"Sim",""))</f>
        <v/>
      </c>
      <c r="H1186" s="16" t="str">
        <f aca="false">IF(N(F1186)&gt;0,MAX(H$1:H1185)+1,"")</f>
        <v/>
      </c>
      <c r="I1186" s="11" t="str">
        <f aca="false">IF(B1186="","",IF(INDEX($C$2:$C$1201,MATCH(B1186,$B$2:$B$1201,0))&lt;&gt;C1186,"Nome diferente em outro deck — revisar",""))</f>
        <v/>
      </c>
      <c r="J1186" s="16" t="str">
        <f aca="false">IF(AND(B1186&lt;&gt;"",A1186=BULK!$A$1,N(F1186)&gt;0),MAX(J$1:J1185)+1,"")</f>
        <v/>
      </c>
      <c r="K1186" s="11" t="str">
        <f aca="false">IF(B1186="","",IFERROR(LEFT(B1186,FIND("-",B1186)-1),B1186))</f>
        <v/>
      </c>
      <c r="L1186" s="11" t="str">
        <f aca="false">IF(K1186="","",IF(ISNUMBER(--MID(K1186,1,1)),0,IF(ISNUMBER(--MID(K1186,2,1)),1,IF(ISNUMBER(--MID(K1186,3,1)),2,IF(ISNUMBER(--MID(K1186,4,1)),3,MIN(LEN(K1186),4))))))</f>
        <v/>
      </c>
      <c r="M1186" s="11" t="str">
        <f aca="false">IF(B1186="","",LEFT(K1186,L1186)&amp;REPT("0",4-L1186)&amp;RIGHT("000"&amp;IFERROR(VALUE(MID(K1186,L1186+1,9)),0),3)&amp;RIGHT("0000"&amp;IFERROR(VALUE(MID(B1186,FIND("-",B1186)+1,9)),0),4))</f>
        <v/>
      </c>
      <c r="N1186" s="11" t="str">
        <f aca="false">IF(OR(B1186="",N(F1186)&lt;=0),"",IF('FALTAS POR DECK'!$P$1="Código","K"&amp;M1186&amp;RIGHT("00000"&amp;ROW(),5),IF('FALTAS POR DECK'!$P$1="Nome","K"&amp;UPPER(SUBSTITUTE(SUBSTITUTE(SUBSTITUTE(C1186,"*",""),"?",""),"~",""))&amp;"0"&amp;M1186&amp;RIGHT("00000"&amp;ROW(),5),IF('FALTAS POR DECK'!$P$1="Falta (maior primeiro)","K"&amp;RIGHT("0000"&amp;(9999-F1186),4)&amp;M1186&amp;RIGHT("00000"&amp;ROW(),5),IF('FALTAS POR DECK'!$P$1="Deck e código","K"&amp;RIGHT("00"&amp;IFERROR(MATCH(A1186,_LEITURA!$P$2:$P$21,0),99),2)&amp;M1186&amp;RIGHT("00000"&amp;ROW(),5),"K"&amp;RIGHT("00000"&amp;ROW(),5))))))</f>
        <v/>
      </c>
      <c r="O1186" s="16" t="str">
        <f aca="false">IF(N1186="","",COUNTIFS($N$2:$N$1201,"&lt;"&amp;N1186,$F$2:$F$1201,"&gt;0")+1)</f>
        <v/>
      </c>
    </row>
    <row r="1187" customFormat="false" ht="15" hidden="false" customHeight="false" outlineLevel="0" collapsed="false">
      <c r="A1187" s="11" t="str">
        <f aca="false">IF(_LEITURA!$N1187="","",INDEX(_LEITURA!$K$2:$K$1201,_LEITURA!$N1187))</f>
        <v/>
      </c>
      <c r="B1187" s="11" t="str">
        <f aca="false">IF(_LEITURA!$N1187="","",INDEX(_LEITURA!$E$2:$E$1201,_LEITURA!$N1187))</f>
        <v/>
      </c>
      <c r="C1187" s="11" t="str">
        <f aca="false">IF(_LEITURA!$N1187="","",INDEX(_LEITURA!$J$2:$J$1201,_LEITURA!$N1187))</f>
        <v/>
      </c>
      <c r="D1187" s="16" t="str">
        <f aca="false">IF(_LEITURA!$N1187="","",INDEX(_LEITURA!$G$2:$G$1201,_LEITURA!$N1187))</f>
        <v/>
      </c>
      <c r="E1187" s="16" t="str">
        <f aca="false">IF(B1187="","",SUMIFS(INVENTÁRIO!$C$2:$C$801,INVENTÁRIO!$A$2:$A$801,B1187))</f>
        <v/>
      </c>
      <c r="F1187" s="16" t="str">
        <f aca="false">IF(B1187="","",MAX(0,D1187-E1187))</f>
        <v/>
      </c>
      <c r="G1187" s="16" t="str">
        <f aca="false">IF(B1187="","",IF(COUNTIFS($B$2:$B$1201,B1187,$A$2:$A$1201,"&lt;&gt;"&amp;A1187)&gt;0,"Sim",""))</f>
        <v/>
      </c>
      <c r="H1187" s="16" t="str">
        <f aca="false">IF(N(F1187)&gt;0,MAX(H$1:H1186)+1,"")</f>
        <v/>
      </c>
      <c r="I1187" s="11" t="str">
        <f aca="false">IF(B1187="","",IF(INDEX($C$2:$C$1201,MATCH(B1187,$B$2:$B$1201,0))&lt;&gt;C1187,"Nome diferente em outro deck — revisar",""))</f>
        <v/>
      </c>
      <c r="J1187" s="16" t="str">
        <f aca="false">IF(AND(B1187&lt;&gt;"",A1187=BULK!$A$1,N(F1187)&gt;0),MAX(J$1:J1186)+1,"")</f>
        <v/>
      </c>
      <c r="K1187" s="11" t="str">
        <f aca="false">IF(B1187="","",IFERROR(LEFT(B1187,FIND("-",B1187)-1),B1187))</f>
        <v/>
      </c>
      <c r="L1187" s="11" t="str">
        <f aca="false">IF(K1187="","",IF(ISNUMBER(--MID(K1187,1,1)),0,IF(ISNUMBER(--MID(K1187,2,1)),1,IF(ISNUMBER(--MID(K1187,3,1)),2,IF(ISNUMBER(--MID(K1187,4,1)),3,MIN(LEN(K1187),4))))))</f>
        <v/>
      </c>
      <c r="M1187" s="11" t="str">
        <f aca="false">IF(B1187="","",LEFT(K1187,L1187)&amp;REPT("0",4-L1187)&amp;RIGHT("000"&amp;IFERROR(VALUE(MID(K1187,L1187+1,9)),0),3)&amp;RIGHT("0000"&amp;IFERROR(VALUE(MID(B1187,FIND("-",B1187)+1,9)),0),4))</f>
        <v/>
      </c>
      <c r="N1187" s="11" t="str">
        <f aca="false">IF(OR(B1187="",N(F1187)&lt;=0),"",IF('FALTAS POR DECK'!$P$1="Código","K"&amp;M1187&amp;RIGHT("00000"&amp;ROW(),5),IF('FALTAS POR DECK'!$P$1="Nome","K"&amp;UPPER(SUBSTITUTE(SUBSTITUTE(SUBSTITUTE(C1187,"*",""),"?",""),"~",""))&amp;"0"&amp;M1187&amp;RIGHT("00000"&amp;ROW(),5),IF('FALTAS POR DECK'!$P$1="Falta (maior primeiro)","K"&amp;RIGHT("0000"&amp;(9999-F1187),4)&amp;M1187&amp;RIGHT("00000"&amp;ROW(),5),IF('FALTAS POR DECK'!$P$1="Deck e código","K"&amp;RIGHT("00"&amp;IFERROR(MATCH(A1187,_LEITURA!$P$2:$P$21,0),99),2)&amp;M1187&amp;RIGHT("00000"&amp;ROW(),5),"K"&amp;RIGHT("00000"&amp;ROW(),5))))))</f>
        <v/>
      </c>
      <c r="O1187" s="16" t="str">
        <f aca="false">IF(N1187="","",COUNTIFS($N$2:$N$1201,"&lt;"&amp;N1187,$F$2:$F$1201,"&gt;0")+1)</f>
        <v/>
      </c>
    </row>
    <row r="1188" customFormat="false" ht="15" hidden="false" customHeight="false" outlineLevel="0" collapsed="false">
      <c r="A1188" s="11" t="str">
        <f aca="false">IF(_LEITURA!$N1188="","",INDEX(_LEITURA!$K$2:$K$1201,_LEITURA!$N1188))</f>
        <v/>
      </c>
      <c r="B1188" s="11" t="str">
        <f aca="false">IF(_LEITURA!$N1188="","",INDEX(_LEITURA!$E$2:$E$1201,_LEITURA!$N1188))</f>
        <v/>
      </c>
      <c r="C1188" s="11" t="str">
        <f aca="false">IF(_LEITURA!$N1188="","",INDEX(_LEITURA!$J$2:$J$1201,_LEITURA!$N1188))</f>
        <v/>
      </c>
      <c r="D1188" s="16" t="str">
        <f aca="false">IF(_LEITURA!$N1188="","",INDEX(_LEITURA!$G$2:$G$1201,_LEITURA!$N1188))</f>
        <v/>
      </c>
      <c r="E1188" s="16" t="str">
        <f aca="false">IF(B1188="","",SUMIFS(INVENTÁRIO!$C$2:$C$801,INVENTÁRIO!$A$2:$A$801,B1188))</f>
        <v/>
      </c>
      <c r="F1188" s="16" t="str">
        <f aca="false">IF(B1188="","",MAX(0,D1188-E1188))</f>
        <v/>
      </c>
      <c r="G1188" s="16" t="str">
        <f aca="false">IF(B1188="","",IF(COUNTIFS($B$2:$B$1201,B1188,$A$2:$A$1201,"&lt;&gt;"&amp;A1188)&gt;0,"Sim",""))</f>
        <v/>
      </c>
      <c r="H1188" s="16" t="str">
        <f aca="false">IF(N(F1188)&gt;0,MAX(H$1:H1187)+1,"")</f>
        <v/>
      </c>
      <c r="I1188" s="11" t="str">
        <f aca="false">IF(B1188="","",IF(INDEX($C$2:$C$1201,MATCH(B1188,$B$2:$B$1201,0))&lt;&gt;C1188,"Nome diferente em outro deck — revisar",""))</f>
        <v/>
      </c>
      <c r="J1188" s="16" t="str">
        <f aca="false">IF(AND(B1188&lt;&gt;"",A1188=BULK!$A$1,N(F1188)&gt;0),MAX(J$1:J1187)+1,"")</f>
        <v/>
      </c>
      <c r="K1188" s="11" t="str">
        <f aca="false">IF(B1188="","",IFERROR(LEFT(B1188,FIND("-",B1188)-1),B1188))</f>
        <v/>
      </c>
      <c r="L1188" s="11" t="str">
        <f aca="false">IF(K1188="","",IF(ISNUMBER(--MID(K1188,1,1)),0,IF(ISNUMBER(--MID(K1188,2,1)),1,IF(ISNUMBER(--MID(K1188,3,1)),2,IF(ISNUMBER(--MID(K1188,4,1)),3,MIN(LEN(K1188),4))))))</f>
        <v/>
      </c>
      <c r="M1188" s="11" t="str">
        <f aca="false">IF(B1188="","",LEFT(K1188,L1188)&amp;REPT("0",4-L1188)&amp;RIGHT("000"&amp;IFERROR(VALUE(MID(K1188,L1188+1,9)),0),3)&amp;RIGHT("0000"&amp;IFERROR(VALUE(MID(B1188,FIND("-",B1188)+1,9)),0),4))</f>
        <v/>
      </c>
      <c r="N1188" s="11" t="str">
        <f aca="false">IF(OR(B1188="",N(F1188)&lt;=0),"",IF('FALTAS POR DECK'!$P$1="Código","K"&amp;M1188&amp;RIGHT("00000"&amp;ROW(),5),IF('FALTAS POR DECK'!$P$1="Nome","K"&amp;UPPER(SUBSTITUTE(SUBSTITUTE(SUBSTITUTE(C1188,"*",""),"?",""),"~",""))&amp;"0"&amp;M1188&amp;RIGHT("00000"&amp;ROW(),5),IF('FALTAS POR DECK'!$P$1="Falta (maior primeiro)","K"&amp;RIGHT("0000"&amp;(9999-F1188),4)&amp;M1188&amp;RIGHT("00000"&amp;ROW(),5),IF('FALTAS POR DECK'!$P$1="Deck e código","K"&amp;RIGHT("00"&amp;IFERROR(MATCH(A1188,_LEITURA!$P$2:$P$21,0),99),2)&amp;M1188&amp;RIGHT("00000"&amp;ROW(),5),"K"&amp;RIGHT("00000"&amp;ROW(),5))))))</f>
        <v/>
      </c>
      <c r="O1188" s="16" t="str">
        <f aca="false">IF(N1188="","",COUNTIFS($N$2:$N$1201,"&lt;"&amp;N1188,$F$2:$F$1201,"&gt;0")+1)</f>
        <v/>
      </c>
    </row>
    <row r="1189" customFormat="false" ht="15" hidden="false" customHeight="false" outlineLevel="0" collapsed="false">
      <c r="A1189" s="11" t="str">
        <f aca="false">IF(_LEITURA!$N1189="","",INDEX(_LEITURA!$K$2:$K$1201,_LEITURA!$N1189))</f>
        <v/>
      </c>
      <c r="B1189" s="11" t="str">
        <f aca="false">IF(_LEITURA!$N1189="","",INDEX(_LEITURA!$E$2:$E$1201,_LEITURA!$N1189))</f>
        <v/>
      </c>
      <c r="C1189" s="11" t="str">
        <f aca="false">IF(_LEITURA!$N1189="","",INDEX(_LEITURA!$J$2:$J$1201,_LEITURA!$N1189))</f>
        <v/>
      </c>
      <c r="D1189" s="16" t="str">
        <f aca="false">IF(_LEITURA!$N1189="","",INDEX(_LEITURA!$G$2:$G$1201,_LEITURA!$N1189))</f>
        <v/>
      </c>
      <c r="E1189" s="16" t="str">
        <f aca="false">IF(B1189="","",SUMIFS(INVENTÁRIO!$C$2:$C$801,INVENTÁRIO!$A$2:$A$801,B1189))</f>
        <v/>
      </c>
      <c r="F1189" s="16" t="str">
        <f aca="false">IF(B1189="","",MAX(0,D1189-E1189))</f>
        <v/>
      </c>
      <c r="G1189" s="16" t="str">
        <f aca="false">IF(B1189="","",IF(COUNTIFS($B$2:$B$1201,B1189,$A$2:$A$1201,"&lt;&gt;"&amp;A1189)&gt;0,"Sim",""))</f>
        <v/>
      </c>
      <c r="H1189" s="16" t="str">
        <f aca="false">IF(N(F1189)&gt;0,MAX(H$1:H1188)+1,"")</f>
        <v/>
      </c>
      <c r="I1189" s="11" t="str">
        <f aca="false">IF(B1189="","",IF(INDEX($C$2:$C$1201,MATCH(B1189,$B$2:$B$1201,0))&lt;&gt;C1189,"Nome diferente em outro deck — revisar",""))</f>
        <v/>
      </c>
      <c r="J1189" s="16" t="str">
        <f aca="false">IF(AND(B1189&lt;&gt;"",A1189=BULK!$A$1,N(F1189)&gt;0),MAX(J$1:J1188)+1,"")</f>
        <v/>
      </c>
      <c r="K1189" s="11" t="str">
        <f aca="false">IF(B1189="","",IFERROR(LEFT(B1189,FIND("-",B1189)-1),B1189))</f>
        <v/>
      </c>
      <c r="L1189" s="11" t="str">
        <f aca="false">IF(K1189="","",IF(ISNUMBER(--MID(K1189,1,1)),0,IF(ISNUMBER(--MID(K1189,2,1)),1,IF(ISNUMBER(--MID(K1189,3,1)),2,IF(ISNUMBER(--MID(K1189,4,1)),3,MIN(LEN(K1189),4))))))</f>
        <v/>
      </c>
      <c r="M1189" s="11" t="str">
        <f aca="false">IF(B1189="","",LEFT(K1189,L1189)&amp;REPT("0",4-L1189)&amp;RIGHT("000"&amp;IFERROR(VALUE(MID(K1189,L1189+1,9)),0),3)&amp;RIGHT("0000"&amp;IFERROR(VALUE(MID(B1189,FIND("-",B1189)+1,9)),0),4))</f>
        <v/>
      </c>
      <c r="N1189" s="11" t="str">
        <f aca="false">IF(OR(B1189="",N(F1189)&lt;=0),"",IF('FALTAS POR DECK'!$P$1="Código","K"&amp;M1189&amp;RIGHT("00000"&amp;ROW(),5),IF('FALTAS POR DECK'!$P$1="Nome","K"&amp;UPPER(SUBSTITUTE(SUBSTITUTE(SUBSTITUTE(C1189,"*",""),"?",""),"~",""))&amp;"0"&amp;M1189&amp;RIGHT("00000"&amp;ROW(),5),IF('FALTAS POR DECK'!$P$1="Falta (maior primeiro)","K"&amp;RIGHT("0000"&amp;(9999-F1189),4)&amp;M1189&amp;RIGHT("00000"&amp;ROW(),5),IF('FALTAS POR DECK'!$P$1="Deck e código","K"&amp;RIGHT("00"&amp;IFERROR(MATCH(A1189,_LEITURA!$P$2:$P$21,0),99),2)&amp;M1189&amp;RIGHT("00000"&amp;ROW(),5),"K"&amp;RIGHT("00000"&amp;ROW(),5))))))</f>
        <v/>
      </c>
      <c r="O1189" s="16" t="str">
        <f aca="false">IF(N1189="","",COUNTIFS($N$2:$N$1201,"&lt;"&amp;N1189,$F$2:$F$1201,"&gt;0")+1)</f>
        <v/>
      </c>
    </row>
    <row r="1190" customFormat="false" ht="15" hidden="false" customHeight="false" outlineLevel="0" collapsed="false">
      <c r="A1190" s="11" t="str">
        <f aca="false">IF(_LEITURA!$N1190="","",INDEX(_LEITURA!$K$2:$K$1201,_LEITURA!$N1190))</f>
        <v/>
      </c>
      <c r="B1190" s="11" t="str">
        <f aca="false">IF(_LEITURA!$N1190="","",INDEX(_LEITURA!$E$2:$E$1201,_LEITURA!$N1190))</f>
        <v/>
      </c>
      <c r="C1190" s="11" t="str">
        <f aca="false">IF(_LEITURA!$N1190="","",INDEX(_LEITURA!$J$2:$J$1201,_LEITURA!$N1190))</f>
        <v/>
      </c>
      <c r="D1190" s="16" t="str">
        <f aca="false">IF(_LEITURA!$N1190="","",INDEX(_LEITURA!$G$2:$G$1201,_LEITURA!$N1190))</f>
        <v/>
      </c>
      <c r="E1190" s="16" t="str">
        <f aca="false">IF(B1190="","",SUMIFS(INVENTÁRIO!$C$2:$C$801,INVENTÁRIO!$A$2:$A$801,B1190))</f>
        <v/>
      </c>
      <c r="F1190" s="16" t="str">
        <f aca="false">IF(B1190="","",MAX(0,D1190-E1190))</f>
        <v/>
      </c>
      <c r="G1190" s="16" t="str">
        <f aca="false">IF(B1190="","",IF(COUNTIFS($B$2:$B$1201,B1190,$A$2:$A$1201,"&lt;&gt;"&amp;A1190)&gt;0,"Sim",""))</f>
        <v/>
      </c>
      <c r="H1190" s="16" t="str">
        <f aca="false">IF(N(F1190)&gt;0,MAX(H$1:H1189)+1,"")</f>
        <v/>
      </c>
      <c r="I1190" s="11" t="str">
        <f aca="false">IF(B1190="","",IF(INDEX($C$2:$C$1201,MATCH(B1190,$B$2:$B$1201,0))&lt;&gt;C1190,"Nome diferente em outro deck — revisar",""))</f>
        <v/>
      </c>
      <c r="J1190" s="16" t="str">
        <f aca="false">IF(AND(B1190&lt;&gt;"",A1190=BULK!$A$1,N(F1190)&gt;0),MAX(J$1:J1189)+1,"")</f>
        <v/>
      </c>
      <c r="K1190" s="11" t="str">
        <f aca="false">IF(B1190="","",IFERROR(LEFT(B1190,FIND("-",B1190)-1),B1190))</f>
        <v/>
      </c>
      <c r="L1190" s="11" t="str">
        <f aca="false">IF(K1190="","",IF(ISNUMBER(--MID(K1190,1,1)),0,IF(ISNUMBER(--MID(K1190,2,1)),1,IF(ISNUMBER(--MID(K1190,3,1)),2,IF(ISNUMBER(--MID(K1190,4,1)),3,MIN(LEN(K1190),4))))))</f>
        <v/>
      </c>
      <c r="M1190" s="11" t="str">
        <f aca="false">IF(B1190="","",LEFT(K1190,L1190)&amp;REPT("0",4-L1190)&amp;RIGHT("000"&amp;IFERROR(VALUE(MID(K1190,L1190+1,9)),0),3)&amp;RIGHT("0000"&amp;IFERROR(VALUE(MID(B1190,FIND("-",B1190)+1,9)),0),4))</f>
        <v/>
      </c>
      <c r="N1190" s="11" t="str">
        <f aca="false">IF(OR(B1190="",N(F1190)&lt;=0),"",IF('FALTAS POR DECK'!$P$1="Código","K"&amp;M1190&amp;RIGHT("00000"&amp;ROW(),5),IF('FALTAS POR DECK'!$P$1="Nome","K"&amp;UPPER(SUBSTITUTE(SUBSTITUTE(SUBSTITUTE(C1190,"*",""),"?",""),"~",""))&amp;"0"&amp;M1190&amp;RIGHT("00000"&amp;ROW(),5),IF('FALTAS POR DECK'!$P$1="Falta (maior primeiro)","K"&amp;RIGHT("0000"&amp;(9999-F1190),4)&amp;M1190&amp;RIGHT("00000"&amp;ROW(),5),IF('FALTAS POR DECK'!$P$1="Deck e código","K"&amp;RIGHT("00"&amp;IFERROR(MATCH(A1190,_LEITURA!$P$2:$P$21,0),99),2)&amp;M1190&amp;RIGHT("00000"&amp;ROW(),5),"K"&amp;RIGHT("00000"&amp;ROW(),5))))))</f>
        <v/>
      </c>
      <c r="O1190" s="16" t="str">
        <f aca="false">IF(N1190="","",COUNTIFS($N$2:$N$1201,"&lt;"&amp;N1190,$F$2:$F$1201,"&gt;0")+1)</f>
        <v/>
      </c>
    </row>
    <row r="1191" customFormat="false" ht="15" hidden="false" customHeight="false" outlineLevel="0" collapsed="false">
      <c r="A1191" s="11" t="str">
        <f aca="false">IF(_LEITURA!$N1191="","",INDEX(_LEITURA!$K$2:$K$1201,_LEITURA!$N1191))</f>
        <v/>
      </c>
      <c r="B1191" s="11" t="str">
        <f aca="false">IF(_LEITURA!$N1191="","",INDEX(_LEITURA!$E$2:$E$1201,_LEITURA!$N1191))</f>
        <v/>
      </c>
      <c r="C1191" s="11" t="str">
        <f aca="false">IF(_LEITURA!$N1191="","",INDEX(_LEITURA!$J$2:$J$1201,_LEITURA!$N1191))</f>
        <v/>
      </c>
      <c r="D1191" s="16" t="str">
        <f aca="false">IF(_LEITURA!$N1191="","",INDEX(_LEITURA!$G$2:$G$1201,_LEITURA!$N1191))</f>
        <v/>
      </c>
      <c r="E1191" s="16" t="str">
        <f aca="false">IF(B1191="","",SUMIFS(INVENTÁRIO!$C$2:$C$801,INVENTÁRIO!$A$2:$A$801,B1191))</f>
        <v/>
      </c>
      <c r="F1191" s="16" t="str">
        <f aca="false">IF(B1191="","",MAX(0,D1191-E1191))</f>
        <v/>
      </c>
      <c r="G1191" s="16" t="str">
        <f aca="false">IF(B1191="","",IF(COUNTIFS($B$2:$B$1201,B1191,$A$2:$A$1201,"&lt;&gt;"&amp;A1191)&gt;0,"Sim",""))</f>
        <v/>
      </c>
      <c r="H1191" s="16" t="str">
        <f aca="false">IF(N(F1191)&gt;0,MAX(H$1:H1190)+1,"")</f>
        <v/>
      </c>
      <c r="I1191" s="11" t="str">
        <f aca="false">IF(B1191="","",IF(INDEX($C$2:$C$1201,MATCH(B1191,$B$2:$B$1201,0))&lt;&gt;C1191,"Nome diferente em outro deck — revisar",""))</f>
        <v/>
      </c>
      <c r="J1191" s="16" t="str">
        <f aca="false">IF(AND(B1191&lt;&gt;"",A1191=BULK!$A$1,N(F1191)&gt;0),MAX(J$1:J1190)+1,"")</f>
        <v/>
      </c>
      <c r="K1191" s="11" t="str">
        <f aca="false">IF(B1191="","",IFERROR(LEFT(B1191,FIND("-",B1191)-1),B1191))</f>
        <v/>
      </c>
      <c r="L1191" s="11" t="str">
        <f aca="false">IF(K1191="","",IF(ISNUMBER(--MID(K1191,1,1)),0,IF(ISNUMBER(--MID(K1191,2,1)),1,IF(ISNUMBER(--MID(K1191,3,1)),2,IF(ISNUMBER(--MID(K1191,4,1)),3,MIN(LEN(K1191),4))))))</f>
        <v/>
      </c>
      <c r="M1191" s="11" t="str">
        <f aca="false">IF(B1191="","",LEFT(K1191,L1191)&amp;REPT("0",4-L1191)&amp;RIGHT("000"&amp;IFERROR(VALUE(MID(K1191,L1191+1,9)),0),3)&amp;RIGHT("0000"&amp;IFERROR(VALUE(MID(B1191,FIND("-",B1191)+1,9)),0),4))</f>
        <v/>
      </c>
      <c r="N1191" s="11" t="str">
        <f aca="false">IF(OR(B1191="",N(F1191)&lt;=0),"",IF('FALTAS POR DECK'!$P$1="Código","K"&amp;M1191&amp;RIGHT("00000"&amp;ROW(),5),IF('FALTAS POR DECK'!$P$1="Nome","K"&amp;UPPER(SUBSTITUTE(SUBSTITUTE(SUBSTITUTE(C1191,"*",""),"?",""),"~",""))&amp;"0"&amp;M1191&amp;RIGHT("00000"&amp;ROW(),5),IF('FALTAS POR DECK'!$P$1="Falta (maior primeiro)","K"&amp;RIGHT("0000"&amp;(9999-F1191),4)&amp;M1191&amp;RIGHT("00000"&amp;ROW(),5),IF('FALTAS POR DECK'!$P$1="Deck e código","K"&amp;RIGHT("00"&amp;IFERROR(MATCH(A1191,_LEITURA!$P$2:$P$21,0),99),2)&amp;M1191&amp;RIGHT("00000"&amp;ROW(),5),"K"&amp;RIGHT("00000"&amp;ROW(),5))))))</f>
        <v/>
      </c>
      <c r="O1191" s="16" t="str">
        <f aca="false">IF(N1191="","",COUNTIFS($N$2:$N$1201,"&lt;"&amp;N1191,$F$2:$F$1201,"&gt;0")+1)</f>
        <v/>
      </c>
    </row>
    <row r="1192" customFormat="false" ht="15" hidden="false" customHeight="false" outlineLevel="0" collapsed="false">
      <c r="A1192" s="11" t="str">
        <f aca="false">IF(_LEITURA!$N1192="","",INDEX(_LEITURA!$K$2:$K$1201,_LEITURA!$N1192))</f>
        <v/>
      </c>
      <c r="B1192" s="11" t="str">
        <f aca="false">IF(_LEITURA!$N1192="","",INDEX(_LEITURA!$E$2:$E$1201,_LEITURA!$N1192))</f>
        <v/>
      </c>
      <c r="C1192" s="11" t="str">
        <f aca="false">IF(_LEITURA!$N1192="","",INDEX(_LEITURA!$J$2:$J$1201,_LEITURA!$N1192))</f>
        <v/>
      </c>
      <c r="D1192" s="16" t="str">
        <f aca="false">IF(_LEITURA!$N1192="","",INDEX(_LEITURA!$G$2:$G$1201,_LEITURA!$N1192))</f>
        <v/>
      </c>
      <c r="E1192" s="16" t="str">
        <f aca="false">IF(B1192="","",SUMIFS(INVENTÁRIO!$C$2:$C$801,INVENTÁRIO!$A$2:$A$801,B1192))</f>
        <v/>
      </c>
      <c r="F1192" s="16" t="str">
        <f aca="false">IF(B1192="","",MAX(0,D1192-E1192))</f>
        <v/>
      </c>
      <c r="G1192" s="16" t="str">
        <f aca="false">IF(B1192="","",IF(COUNTIFS($B$2:$B$1201,B1192,$A$2:$A$1201,"&lt;&gt;"&amp;A1192)&gt;0,"Sim",""))</f>
        <v/>
      </c>
      <c r="H1192" s="16" t="str">
        <f aca="false">IF(N(F1192)&gt;0,MAX(H$1:H1191)+1,"")</f>
        <v/>
      </c>
      <c r="I1192" s="11" t="str">
        <f aca="false">IF(B1192="","",IF(INDEX($C$2:$C$1201,MATCH(B1192,$B$2:$B$1201,0))&lt;&gt;C1192,"Nome diferente em outro deck — revisar",""))</f>
        <v/>
      </c>
      <c r="J1192" s="16" t="str">
        <f aca="false">IF(AND(B1192&lt;&gt;"",A1192=BULK!$A$1,N(F1192)&gt;0),MAX(J$1:J1191)+1,"")</f>
        <v/>
      </c>
      <c r="K1192" s="11" t="str">
        <f aca="false">IF(B1192="","",IFERROR(LEFT(B1192,FIND("-",B1192)-1),B1192))</f>
        <v/>
      </c>
      <c r="L1192" s="11" t="str">
        <f aca="false">IF(K1192="","",IF(ISNUMBER(--MID(K1192,1,1)),0,IF(ISNUMBER(--MID(K1192,2,1)),1,IF(ISNUMBER(--MID(K1192,3,1)),2,IF(ISNUMBER(--MID(K1192,4,1)),3,MIN(LEN(K1192),4))))))</f>
        <v/>
      </c>
      <c r="M1192" s="11" t="str">
        <f aca="false">IF(B1192="","",LEFT(K1192,L1192)&amp;REPT("0",4-L1192)&amp;RIGHT("000"&amp;IFERROR(VALUE(MID(K1192,L1192+1,9)),0),3)&amp;RIGHT("0000"&amp;IFERROR(VALUE(MID(B1192,FIND("-",B1192)+1,9)),0),4))</f>
        <v/>
      </c>
      <c r="N1192" s="11" t="str">
        <f aca="false">IF(OR(B1192="",N(F1192)&lt;=0),"",IF('FALTAS POR DECK'!$P$1="Código","K"&amp;M1192&amp;RIGHT("00000"&amp;ROW(),5),IF('FALTAS POR DECK'!$P$1="Nome","K"&amp;UPPER(SUBSTITUTE(SUBSTITUTE(SUBSTITUTE(C1192,"*",""),"?",""),"~",""))&amp;"0"&amp;M1192&amp;RIGHT("00000"&amp;ROW(),5),IF('FALTAS POR DECK'!$P$1="Falta (maior primeiro)","K"&amp;RIGHT("0000"&amp;(9999-F1192),4)&amp;M1192&amp;RIGHT("00000"&amp;ROW(),5),IF('FALTAS POR DECK'!$P$1="Deck e código","K"&amp;RIGHT("00"&amp;IFERROR(MATCH(A1192,_LEITURA!$P$2:$P$21,0),99),2)&amp;M1192&amp;RIGHT("00000"&amp;ROW(),5),"K"&amp;RIGHT("00000"&amp;ROW(),5))))))</f>
        <v/>
      </c>
      <c r="O1192" s="16" t="str">
        <f aca="false">IF(N1192="","",COUNTIFS($N$2:$N$1201,"&lt;"&amp;N1192,$F$2:$F$1201,"&gt;0")+1)</f>
        <v/>
      </c>
    </row>
    <row r="1193" customFormat="false" ht="15" hidden="false" customHeight="false" outlineLevel="0" collapsed="false">
      <c r="A1193" s="11" t="str">
        <f aca="false">IF(_LEITURA!$N1193="","",INDEX(_LEITURA!$K$2:$K$1201,_LEITURA!$N1193))</f>
        <v/>
      </c>
      <c r="B1193" s="11" t="str">
        <f aca="false">IF(_LEITURA!$N1193="","",INDEX(_LEITURA!$E$2:$E$1201,_LEITURA!$N1193))</f>
        <v/>
      </c>
      <c r="C1193" s="11" t="str">
        <f aca="false">IF(_LEITURA!$N1193="","",INDEX(_LEITURA!$J$2:$J$1201,_LEITURA!$N1193))</f>
        <v/>
      </c>
      <c r="D1193" s="16" t="str">
        <f aca="false">IF(_LEITURA!$N1193="","",INDEX(_LEITURA!$G$2:$G$1201,_LEITURA!$N1193))</f>
        <v/>
      </c>
      <c r="E1193" s="16" t="str">
        <f aca="false">IF(B1193="","",SUMIFS(INVENTÁRIO!$C$2:$C$801,INVENTÁRIO!$A$2:$A$801,B1193))</f>
        <v/>
      </c>
      <c r="F1193" s="16" t="str">
        <f aca="false">IF(B1193="","",MAX(0,D1193-E1193))</f>
        <v/>
      </c>
      <c r="G1193" s="16" t="str">
        <f aca="false">IF(B1193="","",IF(COUNTIFS($B$2:$B$1201,B1193,$A$2:$A$1201,"&lt;&gt;"&amp;A1193)&gt;0,"Sim",""))</f>
        <v/>
      </c>
      <c r="H1193" s="16" t="str">
        <f aca="false">IF(N(F1193)&gt;0,MAX(H$1:H1192)+1,"")</f>
        <v/>
      </c>
      <c r="I1193" s="11" t="str">
        <f aca="false">IF(B1193="","",IF(INDEX($C$2:$C$1201,MATCH(B1193,$B$2:$B$1201,0))&lt;&gt;C1193,"Nome diferente em outro deck — revisar",""))</f>
        <v/>
      </c>
      <c r="J1193" s="16" t="str">
        <f aca="false">IF(AND(B1193&lt;&gt;"",A1193=BULK!$A$1,N(F1193)&gt;0),MAX(J$1:J1192)+1,"")</f>
        <v/>
      </c>
      <c r="K1193" s="11" t="str">
        <f aca="false">IF(B1193="","",IFERROR(LEFT(B1193,FIND("-",B1193)-1),B1193))</f>
        <v/>
      </c>
      <c r="L1193" s="11" t="str">
        <f aca="false">IF(K1193="","",IF(ISNUMBER(--MID(K1193,1,1)),0,IF(ISNUMBER(--MID(K1193,2,1)),1,IF(ISNUMBER(--MID(K1193,3,1)),2,IF(ISNUMBER(--MID(K1193,4,1)),3,MIN(LEN(K1193),4))))))</f>
        <v/>
      </c>
      <c r="M1193" s="11" t="str">
        <f aca="false">IF(B1193="","",LEFT(K1193,L1193)&amp;REPT("0",4-L1193)&amp;RIGHT("000"&amp;IFERROR(VALUE(MID(K1193,L1193+1,9)),0),3)&amp;RIGHT("0000"&amp;IFERROR(VALUE(MID(B1193,FIND("-",B1193)+1,9)),0),4))</f>
        <v/>
      </c>
      <c r="N1193" s="11" t="str">
        <f aca="false">IF(OR(B1193="",N(F1193)&lt;=0),"",IF('FALTAS POR DECK'!$P$1="Código","K"&amp;M1193&amp;RIGHT("00000"&amp;ROW(),5),IF('FALTAS POR DECK'!$P$1="Nome","K"&amp;UPPER(SUBSTITUTE(SUBSTITUTE(SUBSTITUTE(C1193,"*",""),"?",""),"~",""))&amp;"0"&amp;M1193&amp;RIGHT("00000"&amp;ROW(),5),IF('FALTAS POR DECK'!$P$1="Falta (maior primeiro)","K"&amp;RIGHT("0000"&amp;(9999-F1193),4)&amp;M1193&amp;RIGHT("00000"&amp;ROW(),5),IF('FALTAS POR DECK'!$P$1="Deck e código","K"&amp;RIGHT("00"&amp;IFERROR(MATCH(A1193,_LEITURA!$P$2:$P$21,0),99),2)&amp;M1193&amp;RIGHT("00000"&amp;ROW(),5),"K"&amp;RIGHT("00000"&amp;ROW(),5))))))</f>
        <v/>
      </c>
      <c r="O1193" s="16" t="str">
        <f aca="false">IF(N1193="","",COUNTIFS($N$2:$N$1201,"&lt;"&amp;N1193,$F$2:$F$1201,"&gt;0")+1)</f>
        <v/>
      </c>
    </row>
    <row r="1194" customFormat="false" ht="15" hidden="false" customHeight="false" outlineLevel="0" collapsed="false">
      <c r="A1194" s="11" t="str">
        <f aca="false">IF(_LEITURA!$N1194="","",INDEX(_LEITURA!$K$2:$K$1201,_LEITURA!$N1194))</f>
        <v/>
      </c>
      <c r="B1194" s="11" t="str">
        <f aca="false">IF(_LEITURA!$N1194="","",INDEX(_LEITURA!$E$2:$E$1201,_LEITURA!$N1194))</f>
        <v/>
      </c>
      <c r="C1194" s="11" t="str">
        <f aca="false">IF(_LEITURA!$N1194="","",INDEX(_LEITURA!$J$2:$J$1201,_LEITURA!$N1194))</f>
        <v/>
      </c>
      <c r="D1194" s="16" t="str">
        <f aca="false">IF(_LEITURA!$N1194="","",INDEX(_LEITURA!$G$2:$G$1201,_LEITURA!$N1194))</f>
        <v/>
      </c>
      <c r="E1194" s="16" t="str">
        <f aca="false">IF(B1194="","",SUMIFS(INVENTÁRIO!$C$2:$C$801,INVENTÁRIO!$A$2:$A$801,B1194))</f>
        <v/>
      </c>
      <c r="F1194" s="16" t="str">
        <f aca="false">IF(B1194="","",MAX(0,D1194-E1194))</f>
        <v/>
      </c>
      <c r="G1194" s="16" t="str">
        <f aca="false">IF(B1194="","",IF(COUNTIFS($B$2:$B$1201,B1194,$A$2:$A$1201,"&lt;&gt;"&amp;A1194)&gt;0,"Sim",""))</f>
        <v/>
      </c>
      <c r="H1194" s="16" t="str">
        <f aca="false">IF(N(F1194)&gt;0,MAX(H$1:H1193)+1,"")</f>
        <v/>
      </c>
      <c r="I1194" s="11" t="str">
        <f aca="false">IF(B1194="","",IF(INDEX($C$2:$C$1201,MATCH(B1194,$B$2:$B$1201,0))&lt;&gt;C1194,"Nome diferente em outro deck — revisar",""))</f>
        <v/>
      </c>
      <c r="J1194" s="16" t="str">
        <f aca="false">IF(AND(B1194&lt;&gt;"",A1194=BULK!$A$1,N(F1194)&gt;0),MAX(J$1:J1193)+1,"")</f>
        <v/>
      </c>
      <c r="K1194" s="11" t="str">
        <f aca="false">IF(B1194="","",IFERROR(LEFT(B1194,FIND("-",B1194)-1),B1194))</f>
        <v/>
      </c>
      <c r="L1194" s="11" t="str">
        <f aca="false">IF(K1194="","",IF(ISNUMBER(--MID(K1194,1,1)),0,IF(ISNUMBER(--MID(K1194,2,1)),1,IF(ISNUMBER(--MID(K1194,3,1)),2,IF(ISNUMBER(--MID(K1194,4,1)),3,MIN(LEN(K1194),4))))))</f>
        <v/>
      </c>
      <c r="M1194" s="11" t="str">
        <f aca="false">IF(B1194="","",LEFT(K1194,L1194)&amp;REPT("0",4-L1194)&amp;RIGHT("000"&amp;IFERROR(VALUE(MID(K1194,L1194+1,9)),0),3)&amp;RIGHT("0000"&amp;IFERROR(VALUE(MID(B1194,FIND("-",B1194)+1,9)),0),4))</f>
        <v/>
      </c>
      <c r="N1194" s="11" t="str">
        <f aca="false">IF(OR(B1194="",N(F1194)&lt;=0),"",IF('FALTAS POR DECK'!$P$1="Código","K"&amp;M1194&amp;RIGHT("00000"&amp;ROW(),5),IF('FALTAS POR DECK'!$P$1="Nome","K"&amp;UPPER(SUBSTITUTE(SUBSTITUTE(SUBSTITUTE(C1194,"*",""),"?",""),"~",""))&amp;"0"&amp;M1194&amp;RIGHT("00000"&amp;ROW(),5),IF('FALTAS POR DECK'!$P$1="Falta (maior primeiro)","K"&amp;RIGHT("0000"&amp;(9999-F1194),4)&amp;M1194&amp;RIGHT("00000"&amp;ROW(),5),IF('FALTAS POR DECK'!$P$1="Deck e código","K"&amp;RIGHT("00"&amp;IFERROR(MATCH(A1194,_LEITURA!$P$2:$P$21,0),99),2)&amp;M1194&amp;RIGHT("00000"&amp;ROW(),5),"K"&amp;RIGHT("00000"&amp;ROW(),5))))))</f>
        <v/>
      </c>
      <c r="O1194" s="16" t="str">
        <f aca="false">IF(N1194="","",COUNTIFS($N$2:$N$1201,"&lt;"&amp;N1194,$F$2:$F$1201,"&gt;0")+1)</f>
        <v/>
      </c>
    </row>
    <row r="1195" customFormat="false" ht="15" hidden="false" customHeight="false" outlineLevel="0" collapsed="false">
      <c r="A1195" s="11" t="str">
        <f aca="false">IF(_LEITURA!$N1195="","",INDEX(_LEITURA!$K$2:$K$1201,_LEITURA!$N1195))</f>
        <v/>
      </c>
      <c r="B1195" s="11" t="str">
        <f aca="false">IF(_LEITURA!$N1195="","",INDEX(_LEITURA!$E$2:$E$1201,_LEITURA!$N1195))</f>
        <v/>
      </c>
      <c r="C1195" s="11" t="str">
        <f aca="false">IF(_LEITURA!$N1195="","",INDEX(_LEITURA!$J$2:$J$1201,_LEITURA!$N1195))</f>
        <v/>
      </c>
      <c r="D1195" s="16" t="str">
        <f aca="false">IF(_LEITURA!$N1195="","",INDEX(_LEITURA!$G$2:$G$1201,_LEITURA!$N1195))</f>
        <v/>
      </c>
      <c r="E1195" s="16" t="str">
        <f aca="false">IF(B1195="","",SUMIFS(INVENTÁRIO!$C$2:$C$801,INVENTÁRIO!$A$2:$A$801,B1195))</f>
        <v/>
      </c>
      <c r="F1195" s="16" t="str">
        <f aca="false">IF(B1195="","",MAX(0,D1195-E1195))</f>
        <v/>
      </c>
      <c r="G1195" s="16" t="str">
        <f aca="false">IF(B1195="","",IF(COUNTIFS($B$2:$B$1201,B1195,$A$2:$A$1201,"&lt;&gt;"&amp;A1195)&gt;0,"Sim",""))</f>
        <v/>
      </c>
      <c r="H1195" s="16" t="str">
        <f aca="false">IF(N(F1195)&gt;0,MAX(H$1:H1194)+1,"")</f>
        <v/>
      </c>
      <c r="I1195" s="11" t="str">
        <f aca="false">IF(B1195="","",IF(INDEX($C$2:$C$1201,MATCH(B1195,$B$2:$B$1201,0))&lt;&gt;C1195,"Nome diferente em outro deck — revisar",""))</f>
        <v/>
      </c>
      <c r="J1195" s="16" t="str">
        <f aca="false">IF(AND(B1195&lt;&gt;"",A1195=BULK!$A$1,N(F1195)&gt;0),MAX(J$1:J1194)+1,"")</f>
        <v/>
      </c>
      <c r="K1195" s="11" t="str">
        <f aca="false">IF(B1195="","",IFERROR(LEFT(B1195,FIND("-",B1195)-1),B1195))</f>
        <v/>
      </c>
      <c r="L1195" s="11" t="str">
        <f aca="false">IF(K1195="","",IF(ISNUMBER(--MID(K1195,1,1)),0,IF(ISNUMBER(--MID(K1195,2,1)),1,IF(ISNUMBER(--MID(K1195,3,1)),2,IF(ISNUMBER(--MID(K1195,4,1)),3,MIN(LEN(K1195),4))))))</f>
        <v/>
      </c>
      <c r="M1195" s="11" t="str">
        <f aca="false">IF(B1195="","",LEFT(K1195,L1195)&amp;REPT("0",4-L1195)&amp;RIGHT("000"&amp;IFERROR(VALUE(MID(K1195,L1195+1,9)),0),3)&amp;RIGHT("0000"&amp;IFERROR(VALUE(MID(B1195,FIND("-",B1195)+1,9)),0),4))</f>
        <v/>
      </c>
      <c r="N1195" s="11" t="str">
        <f aca="false">IF(OR(B1195="",N(F1195)&lt;=0),"",IF('FALTAS POR DECK'!$P$1="Código","K"&amp;M1195&amp;RIGHT("00000"&amp;ROW(),5),IF('FALTAS POR DECK'!$P$1="Nome","K"&amp;UPPER(SUBSTITUTE(SUBSTITUTE(SUBSTITUTE(C1195,"*",""),"?",""),"~",""))&amp;"0"&amp;M1195&amp;RIGHT("00000"&amp;ROW(),5),IF('FALTAS POR DECK'!$P$1="Falta (maior primeiro)","K"&amp;RIGHT("0000"&amp;(9999-F1195),4)&amp;M1195&amp;RIGHT("00000"&amp;ROW(),5),IF('FALTAS POR DECK'!$P$1="Deck e código","K"&amp;RIGHT("00"&amp;IFERROR(MATCH(A1195,_LEITURA!$P$2:$P$21,0),99),2)&amp;M1195&amp;RIGHT("00000"&amp;ROW(),5),"K"&amp;RIGHT("00000"&amp;ROW(),5))))))</f>
        <v/>
      </c>
      <c r="O1195" s="16" t="str">
        <f aca="false">IF(N1195="","",COUNTIFS($N$2:$N$1201,"&lt;"&amp;N1195,$F$2:$F$1201,"&gt;0")+1)</f>
        <v/>
      </c>
    </row>
    <row r="1196" customFormat="false" ht="15" hidden="false" customHeight="false" outlineLevel="0" collapsed="false">
      <c r="A1196" s="11" t="str">
        <f aca="false">IF(_LEITURA!$N1196="","",INDEX(_LEITURA!$K$2:$K$1201,_LEITURA!$N1196))</f>
        <v/>
      </c>
      <c r="B1196" s="11" t="str">
        <f aca="false">IF(_LEITURA!$N1196="","",INDEX(_LEITURA!$E$2:$E$1201,_LEITURA!$N1196))</f>
        <v/>
      </c>
      <c r="C1196" s="11" t="str">
        <f aca="false">IF(_LEITURA!$N1196="","",INDEX(_LEITURA!$J$2:$J$1201,_LEITURA!$N1196))</f>
        <v/>
      </c>
      <c r="D1196" s="16" t="str">
        <f aca="false">IF(_LEITURA!$N1196="","",INDEX(_LEITURA!$G$2:$G$1201,_LEITURA!$N1196))</f>
        <v/>
      </c>
      <c r="E1196" s="16" t="str">
        <f aca="false">IF(B1196="","",SUMIFS(INVENTÁRIO!$C$2:$C$801,INVENTÁRIO!$A$2:$A$801,B1196))</f>
        <v/>
      </c>
      <c r="F1196" s="16" t="str">
        <f aca="false">IF(B1196="","",MAX(0,D1196-E1196))</f>
        <v/>
      </c>
      <c r="G1196" s="16" t="str">
        <f aca="false">IF(B1196="","",IF(COUNTIFS($B$2:$B$1201,B1196,$A$2:$A$1201,"&lt;&gt;"&amp;A1196)&gt;0,"Sim",""))</f>
        <v/>
      </c>
      <c r="H1196" s="16" t="str">
        <f aca="false">IF(N(F1196)&gt;0,MAX(H$1:H1195)+1,"")</f>
        <v/>
      </c>
      <c r="I1196" s="11" t="str">
        <f aca="false">IF(B1196="","",IF(INDEX($C$2:$C$1201,MATCH(B1196,$B$2:$B$1201,0))&lt;&gt;C1196,"Nome diferente em outro deck — revisar",""))</f>
        <v/>
      </c>
      <c r="J1196" s="16" t="str">
        <f aca="false">IF(AND(B1196&lt;&gt;"",A1196=BULK!$A$1,N(F1196)&gt;0),MAX(J$1:J1195)+1,"")</f>
        <v/>
      </c>
      <c r="K1196" s="11" t="str">
        <f aca="false">IF(B1196="","",IFERROR(LEFT(B1196,FIND("-",B1196)-1),B1196))</f>
        <v/>
      </c>
      <c r="L1196" s="11" t="str">
        <f aca="false">IF(K1196="","",IF(ISNUMBER(--MID(K1196,1,1)),0,IF(ISNUMBER(--MID(K1196,2,1)),1,IF(ISNUMBER(--MID(K1196,3,1)),2,IF(ISNUMBER(--MID(K1196,4,1)),3,MIN(LEN(K1196),4))))))</f>
        <v/>
      </c>
      <c r="M1196" s="11" t="str">
        <f aca="false">IF(B1196="","",LEFT(K1196,L1196)&amp;REPT("0",4-L1196)&amp;RIGHT("000"&amp;IFERROR(VALUE(MID(K1196,L1196+1,9)),0),3)&amp;RIGHT("0000"&amp;IFERROR(VALUE(MID(B1196,FIND("-",B1196)+1,9)),0),4))</f>
        <v/>
      </c>
      <c r="N1196" s="11" t="str">
        <f aca="false">IF(OR(B1196="",N(F1196)&lt;=0),"",IF('FALTAS POR DECK'!$P$1="Código","K"&amp;M1196&amp;RIGHT("00000"&amp;ROW(),5),IF('FALTAS POR DECK'!$P$1="Nome","K"&amp;UPPER(SUBSTITUTE(SUBSTITUTE(SUBSTITUTE(C1196,"*",""),"?",""),"~",""))&amp;"0"&amp;M1196&amp;RIGHT("00000"&amp;ROW(),5),IF('FALTAS POR DECK'!$P$1="Falta (maior primeiro)","K"&amp;RIGHT("0000"&amp;(9999-F1196),4)&amp;M1196&amp;RIGHT("00000"&amp;ROW(),5),IF('FALTAS POR DECK'!$P$1="Deck e código","K"&amp;RIGHT("00"&amp;IFERROR(MATCH(A1196,_LEITURA!$P$2:$P$21,0),99),2)&amp;M1196&amp;RIGHT("00000"&amp;ROW(),5),"K"&amp;RIGHT("00000"&amp;ROW(),5))))))</f>
        <v/>
      </c>
      <c r="O1196" s="16" t="str">
        <f aca="false">IF(N1196="","",COUNTIFS($N$2:$N$1201,"&lt;"&amp;N1196,$F$2:$F$1201,"&gt;0")+1)</f>
        <v/>
      </c>
    </row>
    <row r="1197" customFormat="false" ht="15" hidden="false" customHeight="false" outlineLevel="0" collapsed="false">
      <c r="A1197" s="11" t="str">
        <f aca="false">IF(_LEITURA!$N1197="","",INDEX(_LEITURA!$K$2:$K$1201,_LEITURA!$N1197))</f>
        <v/>
      </c>
      <c r="B1197" s="11" t="str">
        <f aca="false">IF(_LEITURA!$N1197="","",INDEX(_LEITURA!$E$2:$E$1201,_LEITURA!$N1197))</f>
        <v/>
      </c>
      <c r="C1197" s="11" t="str">
        <f aca="false">IF(_LEITURA!$N1197="","",INDEX(_LEITURA!$J$2:$J$1201,_LEITURA!$N1197))</f>
        <v/>
      </c>
      <c r="D1197" s="16" t="str">
        <f aca="false">IF(_LEITURA!$N1197="","",INDEX(_LEITURA!$G$2:$G$1201,_LEITURA!$N1197))</f>
        <v/>
      </c>
      <c r="E1197" s="16" t="str">
        <f aca="false">IF(B1197="","",SUMIFS(INVENTÁRIO!$C$2:$C$801,INVENTÁRIO!$A$2:$A$801,B1197))</f>
        <v/>
      </c>
      <c r="F1197" s="16" t="str">
        <f aca="false">IF(B1197="","",MAX(0,D1197-E1197))</f>
        <v/>
      </c>
      <c r="G1197" s="16" t="str">
        <f aca="false">IF(B1197="","",IF(COUNTIFS($B$2:$B$1201,B1197,$A$2:$A$1201,"&lt;&gt;"&amp;A1197)&gt;0,"Sim",""))</f>
        <v/>
      </c>
      <c r="H1197" s="16" t="str">
        <f aca="false">IF(N(F1197)&gt;0,MAX(H$1:H1196)+1,"")</f>
        <v/>
      </c>
      <c r="I1197" s="11" t="str">
        <f aca="false">IF(B1197="","",IF(INDEX($C$2:$C$1201,MATCH(B1197,$B$2:$B$1201,0))&lt;&gt;C1197,"Nome diferente em outro deck — revisar",""))</f>
        <v/>
      </c>
      <c r="J1197" s="16" t="str">
        <f aca="false">IF(AND(B1197&lt;&gt;"",A1197=BULK!$A$1,N(F1197)&gt;0),MAX(J$1:J1196)+1,"")</f>
        <v/>
      </c>
      <c r="K1197" s="11" t="str">
        <f aca="false">IF(B1197="","",IFERROR(LEFT(B1197,FIND("-",B1197)-1),B1197))</f>
        <v/>
      </c>
      <c r="L1197" s="11" t="str">
        <f aca="false">IF(K1197="","",IF(ISNUMBER(--MID(K1197,1,1)),0,IF(ISNUMBER(--MID(K1197,2,1)),1,IF(ISNUMBER(--MID(K1197,3,1)),2,IF(ISNUMBER(--MID(K1197,4,1)),3,MIN(LEN(K1197),4))))))</f>
        <v/>
      </c>
      <c r="M1197" s="11" t="str">
        <f aca="false">IF(B1197="","",LEFT(K1197,L1197)&amp;REPT("0",4-L1197)&amp;RIGHT("000"&amp;IFERROR(VALUE(MID(K1197,L1197+1,9)),0),3)&amp;RIGHT("0000"&amp;IFERROR(VALUE(MID(B1197,FIND("-",B1197)+1,9)),0),4))</f>
        <v/>
      </c>
      <c r="N1197" s="11" t="str">
        <f aca="false">IF(OR(B1197="",N(F1197)&lt;=0),"",IF('FALTAS POR DECK'!$P$1="Código","K"&amp;M1197&amp;RIGHT("00000"&amp;ROW(),5),IF('FALTAS POR DECK'!$P$1="Nome","K"&amp;UPPER(SUBSTITUTE(SUBSTITUTE(SUBSTITUTE(C1197,"*",""),"?",""),"~",""))&amp;"0"&amp;M1197&amp;RIGHT("00000"&amp;ROW(),5),IF('FALTAS POR DECK'!$P$1="Falta (maior primeiro)","K"&amp;RIGHT("0000"&amp;(9999-F1197),4)&amp;M1197&amp;RIGHT("00000"&amp;ROW(),5),IF('FALTAS POR DECK'!$P$1="Deck e código","K"&amp;RIGHT("00"&amp;IFERROR(MATCH(A1197,_LEITURA!$P$2:$P$21,0),99),2)&amp;M1197&amp;RIGHT("00000"&amp;ROW(),5),"K"&amp;RIGHT("00000"&amp;ROW(),5))))))</f>
        <v/>
      </c>
      <c r="O1197" s="16" t="str">
        <f aca="false">IF(N1197="","",COUNTIFS($N$2:$N$1201,"&lt;"&amp;N1197,$F$2:$F$1201,"&gt;0")+1)</f>
        <v/>
      </c>
    </row>
    <row r="1198" customFormat="false" ht="15" hidden="false" customHeight="false" outlineLevel="0" collapsed="false">
      <c r="A1198" s="11" t="str">
        <f aca="false">IF(_LEITURA!$N1198="","",INDEX(_LEITURA!$K$2:$K$1201,_LEITURA!$N1198))</f>
        <v/>
      </c>
      <c r="B1198" s="11" t="str">
        <f aca="false">IF(_LEITURA!$N1198="","",INDEX(_LEITURA!$E$2:$E$1201,_LEITURA!$N1198))</f>
        <v/>
      </c>
      <c r="C1198" s="11" t="str">
        <f aca="false">IF(_LEITURA!$N1198="","",INDEX(_LEITURA!$J$2:$J$1201,_LEITURA!$N1198))</f>
        <v/>
      </c>
      <c r="D1198" s="16" t="str">
        <f aca="false">IF(_LEITURA!$N1198="","",INDEX(_LEITURA!$G$2:$G$1201,_LEITURA!$N1198))</f>
        <v/>
      </c>
      <c r="E1198" s="16" t="str">
        <f aca="false">IF(B1198="","",SUMIFS(INVENTÁRIO!$C$2:$C$801,INVENTÁRIO!$A$2:$A$801,B1198))</f>
        <v/>
      </c>
      <c r="F1198" s="16" t="str">
        <f aca="false">IF(B1198="","",MAX(0,D1198-E1198))</f>
        <v/>
      </c>
      <c r="G1198" s="16" t="str">
        <f aca="false">IF(B1198="","",IF(COUNTIFS($B$2:$B$1201,B1198,$A$2:$A$1201,"&lt;&gt;"&amp;A1198)&gt;0,"Sim",""))</f>
        <v/>
      </c>
      <c r="H1198" s="16" t="str">
        <f aca="false">IF(N(F1198)&gt;0,MAX(H$1:H1197)+1,"")</f>
        <v/>
      </c>
      <c r="I1198" s="11" t="str">
        <f aca="false">IF(B1198="","",IF(INDEX($C$2:$C$1201,MATCH(B1198,$B$2:$B$1201,0))&lt;&gt;C1198,"Nome diferente em outro deck — revisar",""))</f>
        <v/>
      </c>
      <c r="J1198" s="16" t="str">
        <f aca="false">IF(AND(B1198&lt;&gt;"",A1198=BULK!$A$1,N(F1198)&gt;0),MAX(J$1:J1197)+1,"")</f>
        <v/>
      </c>
      <c r="K1198" s="11" t="str">
        <f aca="false">IF(B1198="","",IFERROR(LEFT(B1198,FIND("-",B1198)-1),B1198))</f>
        <v/>
      </c>
      <c r="L1198" s="11" t="str">
        <f aca="false">IF(K1198="","",IF(ISNUMBER(--MID(K1198,1,1)),0,IF(ISNUMBER(--MID(K1198,2,1)),1,IF(ISNUMBER(--MID(K1198,3,1)),2,IF(ISNUMBER(--MID(K1198,4,1)),3,MIN(LEN(K1198),4))))))</f>
        <v/>
      </c>
      <c r="M1198" s="11" t="str">
        <f aca="false">IF(B1198="","",LEFT(K1198,L1198)&amp;REPT("0",4-L1198)&amp;RIGHT("000"&amp;IFERROR(VALUE(MID(K1198,L1198+1,9)),0),3)&amp;RIGHT("0000"&amp;IFERROR(VALUE(MID(B1198,FIND("-",B1198)+1,9)),0),4))</f>
        <v/>
      </c>
      <c r="N1198" s="11" t="str">
        <f aca="false">IF(OR(B1198="",N(F1198)&lt;=0),"",IF('FALTAS POR DECK'!$P$1="Código","K"&amp;M1198&amp;RIGHT("00000"&amp;ROW(),5),IF('FALTAS POR DECK'!$P$1="Nome","K"&amp;UPPER(SUBSTITUTE(SUBSTITUTE(SUBSTITUTE(C1198,"*",""),"?",""),"~",""))&amp;"0"&amp;M1198&amp;RIGHT("00000"&amp;ROW(),5),IF('FALTAS POR DECK'!$P$1="Falta (maior primeiro)","K"&amp;RIGHT("0000"&amp;(9999-F1198),4)&amp;M1198&amp;RIGHT("00000"&amp;ROW(),5),IF('FALTAS POR DECK'!$P$1="Deck e código","K"&amp;RIGHT("00"&amp;IFERROR(MATCH(A1198,_LEITURA!$P$2:$P$21,0),99),2)&amp;M1198&amp;RIGHT("00000"&amp;ROW(),5),"K"&amp;RIGHT("00000"&amp;ROW(),5))))))</f>
        <v/>
      </c>
      <c r="O1198" s="16" t="str">
        <f aca="false">IF(N1198="","",COUNTIFS($N$2:$N$1201,"&lt;"&amp;N1198,$F$2:$F$1201,"&gt;0")+1)</f>
        <v/>
      </c>
    </row>
    <row r="1199" customFormat="false" ht="15" hidden="false" customHeight="false" outlineLevel="0" collapsed="false">
      <c r="A1199" s="11" t="str">
        <f aca="false">IF(_LEITURA!$N1199="","",INDEX(_LEITURA!$K$2:$K$1201,_LEITURA!$N1199))</f>
        <v/>
      </c>
      <c r="B1199" s="11" t="str">
        <f aca="false">IF(_LEITURA!$N1199="","",INDEX(_LEITURA!$E$2:$E$1201,_LEITURA!$N1199))</f>
        <v/>
      </c>
      <c r="C1199" s="11" t="str">
        <f aca="false">IF(_LEITURA!$N1199="","",INDEX(_LEITURA!$J$2:$J$1201,_LEITURA!$N1199))</f>
        <v/>
      </c>
      <c r="D1199" s="16" t="str">
        <f aca="false">IF(_LEITURA!$N1199="","",INDEX(_LEITURA!$G$2:$G$1201,_LEITURA!$N1199))</f>
        <v/>
      </c>
      <c r="E1199" s="16" t="str">
        <f aca="false">IF(B1199="","",SUMIFS(INVENTÁRIO!$C$2:$C$801,INVENTÁRIO!$A$2:$A$801,B1199))</f>
        <v/>
      </c>
      <c r="F1199" s="16" t="str">
        <f aca="false">IF(B1199="","",MAX(0,D1199-E1199))</f>
        <v/>
      </c>
      <c r="G1199" s="16" t="str">
        <f aca="false">IF(B1199="","",IF(COUNTIFS($B$2:$B$1201,B1199,$A$2:$A$1201,"&lt;&gt;"&amp;A1199)&gt;0,"Sim",""))</f>
        <v/>
      </c>
      <c r="H1199" s="16" t="str">
        <f aca="false">IF(N(F1199)&gt;0,MAX(H$1:H1198)+1,"")</f>
        <v/>
      </c>
      <c r="I1199" s="11" t="str">
        <f aca="false">IF(B1199="","",IF(INDEX($C$2:$C$1201,MATCH(B1199,$B$2:$B$1201,0))&lt;&gt;C1199,"Nome diferente em outro deck — revisar",""))</f>
        <v/>
      </c>
      <c r="J1199" s="16" t="str">
        <f aca="false">IF(AND(B1199&lt;&gt;"",A1199=BULK!$A$1,N(F1199)&gt;0),MAX(J$1:J1198)+1,"")</f>
        <v/>
      </c>
      <c r="K1199" s="11" t="str">
        <f aca="false">IF(B1199="","",IFERROR(LEFT(B1199,FIND("-",B1199)-1),B1199))</f>
        <v/>
      </c>
      <c r="L1199" s="11" t="str">
        <f aca="false">IF(K1199="","",IF(ISNUMBER(--MID(K1199,1,1)),0,IF(ISNUMBER(--MID(K1199,2,1)),1,IF(ISNUMBER(--MID(K1199,3,1)),2,IF(ISNUMBER(--MID(K1199,4,1)),3,MIN(LEN(K1199),4))))))</f>
        <v/>
      </c>
      <c r="M1199" s="11" t="str">
        <f aca="false">IF(B1199="","",LEFT(K1199,L1199)&amp;REPT("0",4-L1199)&amp;RIGHT("000"&amp;IFERROR(VALUE(MID(K1199,L1199+1,9)),0),3)&amp;RIGHT("0000"&amp;IFERROR(VALUE(MID(B1199,FIND("-",B1199)+1,9)),0),4))</f>
        <v/>
      </c>
      <c r="N1199" s="11" t="str">
        <f aca="false">IF(OR(B1199="",N(F1199)&lt;=0),"",IF('FALTAS POR DECK'!$P$1="Código","K"&amp;M1199&amp;RIGHT("00000"&amp;ROW(),5),IF('FALTAS POR DECK'!$P$1="Nome","K"&amp;UPPER(SUBSTITUTE(SUBSTITUTE(SUBSTITUTE(C1199,"*",""),"?",""),"~",""))&amp;"0"&amp;M1199&amp;RIGHT("00000"&amp;ROW(),5),IF('FALTAS POR DECK'!$P$1="Falta (maior primeiro)","K"&amp;RIGHT("0000"&amp;(9999-F1199),4)&amp;M1199&amp;RIGHT("00000"&amp;ROW(),5),IF('FALTAS POR DECK'!$P$1="Deck e código","K"&amp;RIGHT("00"&amp;IFERROR(MATCH(A1199,_LEITURA!$P$2:$P$21,0),99),2)&amp;M1199&amp;RIGHT("00000"&amp;ROW(),5),"K"&amp;RIGHT("00000"&amp;ROW(),5))))))</f>
        <v/>
      </c>
      <c r="O1199" s="16" t="str">
        <f aca="false">IF(N1199="","",COUNTIFS($N$2:$N$1201,"&lt;"&amp;N1199,$F$2:$F$1201,"&gt;0")+1)</f>
        <v/>
      </c>
    </row>
    <row r="1200" customFormat="false" ht="15" hidden="false" customHeight="false" outlineLevel="0" collapsed="false">
      <c r="A1200" s="11" t="str">
        <f aca="false">IF(_LEITURA!$N1200="","",INDEX(_LEITURA!$K$2:$K$1201,_LEITURA!$N1200))</f>
        <v/>
      </c>
      <c r="B1200" s="11" t="str">
        <f aca="false">IF(_LEITURA!$N1200="","",INDEX(_LEITURA!$E$2:$E$1201,_LEITURA!$N1200))</f>
        <v/>
      </c>
      <c r="C1200" s="11" t="str">
        <f aca="false">IF(_LEITURA!$N1200="","",INDEX(_LEITURA!$J$2:$J$1201,_LEITURA!$N1200))</f>
        <v/>
      </c>
      <c r="D1200" s="16" t="str">
        <f aca="false">IF(_LEITURA!$N1200="","",INDEX(_LEITURA!$G$2:$G$1201,_LEITURA!$N1200))</f>
        <v/>
      </c>
      <c r="E1200" s="16" t="str">
        <f aca="false">IF(B1200="","",SUMIFS(INVENTÁRIO!$C$2:$C$801,INVENTÁRIO!$A$2:$A$801,B1200))</f>
        <v/>
      </c>
      <c r="F1200" s="16" t="str">
        <f aca="false">IF(B1200="","",MAX(0,D1200-E1200))</f>
        <v/>
      </c>
      <c r="G1200" s="16" t="str">
        <f aca="false">IF(B1200="","",IF(COUNTIFS($B$2:$B$1201,B1200,$A$2:$A$1201,"&lt;&gt;"&amp;A1200)&gt;0,"Sim",""))</f>
        <v/>
      </c>
      <c r="H1200" s="16" t="str">
        <f aca="false">IF(N(F1200)&gt;0,MAX(H$1:H1199)+1,"")</f>
        <v/>
      </c>
      <c r="I1200" s="11" t="str">
        <f aca="false">IF(B1200="","",IF(INDEX($C$2:$C$1201,MATCH(B1200,$B$2:$B$1201,0))&lt;&gt;C1200,"Nome diferente em outro deck — revisar",""))</f>
        <v/>
      </c>
      <c r="J1200" s="16" t="str">
        <f aca="false">IF(AND(B1200&lt;&gt;"",A1200=BULK!$A$1,N(F1200)&gt;0),MAX(J$1:J1199)+1,"")</f>
        <v/>
      </c>
      <c r="K1200" s="11" t="str">
        <f aca="false">IF(B1200="","",IFERROR(LEFT(B1200,FIND("-",B1200)-1),B1200))</f>
        <v/>
      </c>
      <c r="L1200" s="11" t="str">
        <f aca="false">IF(K1200="","",IF(ISNUMBER(--MID(K1200,1,1)),0,IF(ISNUMBER(--MID(K1200,2,1)),1,IF(ISNUMBER(--MID(K1200,3,1)),2,IF(ISNUMBER(--MID(K1200,4,1)),3,MIN(LEN(K1200),4))))))</f>
        <v/>
      </c>
      <c r="M1200" s="11" t="str">
        <f aca="false">IF(B1200="","",LEFT(K1200,L1200)&amp;REPT("0",4-L1200)&amp;RIGHT("000"&amp;IFERROR(VALUE(MID(K1200,L1200+1,9)),0),3)&amp;RIGHT("0000"&amp;IFERROR(VALUE(MID(B1200,FIND("-",B1200)+1,9)),0),4))</f>
        <v/>
      </c>
      <c r="N1200" s="11" t="str">
        <f aca="false">IF(OR(B1200="",N(F1200)&lt;=0),"",IF('FALTAS POR DECK'!$P$1="Código","K"&amp;M1200&amp;RIGHT("00000"&amp;ROW(),5),IF('FALTAS POR DECK'!$P$1="Nome","K"&amp;UPPER(SUBSTITUTE(SUBSTITUTE(SUBSTITUTE(C1200,"*",""),"?",""),"~",""))&amp;"0"&amp;M1200&amp;RIGHT("00000"&amp;ROW(),5),IF('FALTAS POR DECK'!$P$1="Falta (maior primeiro)","K"&amp;RIGHT("0000"&amp;(9999-F1200),4)&amp;M1200&amp;RIGHT("00000"&amp;ROW(),5),IF('FALTAS POR DECK'!$P$1="Deck e código","K"&amp;RIGHT("00"&amp;IFERROR(MATCH(A1200,_LEITURA!$P$2:$P$21,0),99),2)&amp;M1200&amp;RIGHT("00000"&amp;ROW(),5),"K"&amp;RIGHT("00000"&amp;ROW(),5))))))</f>
        <v/>
      </c>
      <c r="O1200" s="16" t="str">
        <f aca="false">IF(N1200="","",COUNTIFS($N$2:$N$1201,"&lt;"&amp;N1200,$F$2:$F$1201,"&gt;0")+1)</f>
        <v/>
      </c>
    </row>
    <row r="1201" customFormat="false" ht="15" hidden="false" customHeight="false" outlineLevel="0" collapsed="false">
      <c r="A1201" s="11" t="str">
        <f aca="false">IF(_LEITURA!$N1201="","",INDEX(_LEITURA!$K$2:$K$1201,_LEITURA!$N1201))</f>
        <v/>
      </c>
      <c r="B1201" s="11" t="str">
        <f aca="false">IF(_LEITURA!$N1201="","",INDEX(_LEITURA!$E$2:$E$1201,_LEITURA!$N1201))</f>
        <v/>
      </c>
      <c r="C1201" s="11" t="str">
        <f aca="false">IF(_LEITURA!$N1201="","",INDEX(_LEITURA!$J$2:$J$1201,_LEITURA!$N1201))</f>
        <v/>
      </c>
      <c r="D1201" s="16" t="str">
        <f aca="false">IF(_LEITURA!$N1201="","",INDEX(_LEITURA!$G$2:$G$1201,_LEITURA!$N1201))</f>
        <v/>
      </c>
      <c r="E1201" s="16" t="str">
        <f aca="false">IF(B1201="","",SUMIFS(INVENTÁRIO!$C$2:$C$801,INVENTÁRIO!$A$2:$A$801,B1201))</f>
        <v/>
      </c>
      <c r="F1201" s="16" t="str">
        <f aca="false">IF(B1201="","",MAX(0,D1201-E1201))</f>
        <v/>
      </c>
      <c r="G1201" s="16" t="str">
        <f aca="false">IF(B1201="","",IF(COUNTIFS($B$2:$B$1201,B1201,$A$2:$A$1201,"&lt;&gt;"&amp;A1201)&gt;0,"Sim",""))</f>
        <v/>
      </c>
      <c r="H1201" s="16" t="str">
        <f aca="false">IF(N(F1201)&gt;0,MAX(H$1:H1200)+1,"")</f>
        <v/>
      </c>
      <c r="I1201" s="11" t="str">
        <f aca="false">IF(B1201="","",IF(INDEX($C$2:$C$1201,MATCH(B1201,$B$2:$B$1201,0))&lt;&gt;C1201,"Nome diferente em outro deck — revisar",""))</f>
        <v/>
      </c>
      <c r="J1201" s="16" t="str">
        <f aca="false">IF(AND(B1201&lt;&gt;"",A1201=BULK!$A$1,N(F1201)&gt;0),MAX(J$1:J1200)+1,"")</f>
        <v/>
      </c>
      <c r="K1201" s="11" t="str">
        <f aca="false">IF(B1201="","",IFERROR(LEFT(B1201,FIND("-",B1201)-1),B1201))</f>
        <v/>
      </c>
      <c r="L1201" s="11" t="str">
        <f aca="false">IF(K1201="","",IF(ISNUMBER(--MID(K1201,1,1)),0,IF(ISNUMBER(--MID(K1201,2,1)),1,IF(ISNUMBER(--MID(K1201,3,1)),2,IF(ISNUMBER(--MID(K1201,4,1)),3,MIN(LEN(K1201),4))))))</f>
        <v/>
      </c>
      <c r="M1201" s="11" t="str">
        <f aca="false">IF(B1201="","",LEFT(K1201,L1201)&amp;REPT("0",4-L1201)&amp;RIGHT("000"&amp;IFERROR(VALUE(MID(K1201,L1201+1,9)),0),3)&amp;RIGHT("0000"&amp;IFERROR(VALUE(MID(B1201,FIND("-",B1201)+1,9)),0),4))</f>
        <v/>
      </c>
      <c r="N1201" s="11" t="str">
        <f aca="false">IF(OR(B1201="",N(F1201)&lt;=0),"",IF('FALTAS POR DECK'!$P$1="Código","K"&amp;M1201&amp;RIGHT("00000"&amp;ROW(),5),IF('FALTAS POR DECK'!$P$1="Nome","K"&amp;UPPER(SUBSTITUTE(SUBSTITUTE(SUBSTITUTE(C1201,"*",""),"?",""),"~",""))&amp;"0"&amp;M1201&amp;RIGHT("00000"&amp;ROW(),5),IF('FALTAS POR DECK'!$P$1="Falta (maior primeiro)","K"&amp;RIGHT("0000"&amp;(9999-F1201),4)&amp;M1201&amp;RIGHT("00000"&amp;ROW(),5),IF('FALTAS POR DECK'!$P$1="Deck e código","K"&amp;RIGHT("00"&amp;IFERROR(MATCH(A1201,_LEITURA!$P$2:$P$21,0),99),2)&amp;M1201&amp;RIGHT("00000"&amp;ROW(),5),"K"&amp;RIGHT("00000"&amp;ROW(),5))))))</f>
        <v/>
      </c>
      <c r="O1201" s="16" t="str">
        <f aca="false">IF(N1201="","",COUNTIFS($N$2:$N$1201,"&lt;"&amp;N1201,$F$2:$F$1201,"&gt;0")+1)</f>
        <v/>
      </c>
    </row>
  </sheetData>
  <autoFilter ref="A1:I1201"/>
  <conditionalFormatting sqref="A2:G1201">
    <cfRule type="expression" priority="2" aboveAverage="0" equalAverage="0" bottom="0" percent="0" rank="0" text="" dxfId="6">
      <formula>$G2="Sim"</formula>
    </cfRule>
  </conditionalFormatting>
  <conditionalFormatting sqref="F2:F1201">
    <cfRule type="expression" priority="3" aboveAverage="0" equalAverage="0" bottom="0" percent="0" rank="0" text="" dxfId="7">
      <formula>AND($B2&lt;&gt;"",N($F2)&gt;0)</formula>
    </cfRule>
  </conditionalFormatting>
  <conditionalFormatting sqref="I2:I1201">
    <cfRule type="expression" priority="4" aboveAverage="0" equalAverage="0" bottom="0" percent="0" rank="0" text="" dxfId="5">
      <formula>$I2&lt;&gt;""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9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30" min="11" style="0" width="12"/>
    <col collapsed="false" customWidth="true" hidden="true" outlineLevel="0" max="37" min="31" style="0" width="13"/>
    <col collapsed="false" customWidth="true" hidden="false" outlineLevel="0" max="39" min="39" style="0" width="40"/>
  </cols>
  <sheetData>
    <row r="1" customFormat="false" ht="48" hidden="false" customHeight="true" outlineLevel="0" collapsed="false">
      <c r="A1" s="8" t="s">
        <v>45</v>
      </c>
      <c r="B1" s="8" t="s">
        <v>60</v>
      </c>
      <c r="C1" s="8" t="s">
        <v>61</v>
      </c>
      <c r="D1" s="8" t="s">
        <v>77</v>
      </c>
      <c r="E1" s="8" t="s">
        <v>78</v>
      </c>
      <c r="F1" s="8" t="s">
        <v>79</v>
      </c>
      <c r="G1" s="8" t="s">
        <v>80</v>
      </c>
      <c r="H1" s="8" t="s">
        <v>67</v>
      </c>
      <c r="I1" s="8" t="s">
        <v>81</v>
      </c>
      <c r="J1" s="8" t="s">
        <v>82</v>
      </c>
      <c r="K1" s="8" t="str">
        <f aca="false">IF(INDEX(_LEITURA!$Q$2:$Q$21,1)=1,"Nec. "&amp;INDEX(_LEITURA!$P$2:$P$21,1),"")</f>
        <v/>
      </c>
      <c r="L1" s="8" t="str">
        <f aca="false">IF(INDEX(_LEITURA!$Q$2:$Q$21,2)=1,"Nec. "&amp;INDEX(_LEITURA!$P$2:$P$21,2),"")</f>
        <v/>
      </c>
      <c r="M1" s="8" t="str">
        <f aca="false">IF(INDEX(_LEITURA!$Q$2:$Q$21,3)=1,"Nec. "&amp;INDEX(_LEITURA!$P$2:$P$21,3),"")</f>
        <v/>
      </c>
      <c r="N1" s="8" t="str">
        <f aca="false">IF(INDEX(_LEITURA!$Q$2:$Q$21,4)=1,"Nec. "&amp;INDEX(_LEITURA!$P$2:$P$21,4),"")</f>
        <v/>
      </c>
      <c r="O1" s="8" t="str">
        <f aca="false">IF(INDEX(_LEITURA!$Q$2:$Q$21,5)=1,"Nec. "&amp;INDEX(_LEITURA!$P$2:$P$21,5),"")</f>
        <v/>
      </c>
      <c r="P1" s="8" t="str">
        <f aca="false">IF(INDEX(_LEITURA!$Q$2:$Q$21,6)=1,"Nec. "&amp;INDEX(_LEITURA!$P$2:$P$21,6),"")</f>
        <v/>
      </c>
      <c r="Q1" s="8" t="str">
        <f aca="false">IF(INDEX(_LEITURA!$Q$2:$Q$21,7)=1,"Nec. "&amp;INDEX(_LEITURA!$P$2:$P$21,7),"")</f>
        <v/>
      </c>
      <c r="R1" s="8" t="str">
        <f aca="false">IF(INDEX(_LEITURA!$Q$2:$Q$21,8)=1,"Nec. "&amp;INDEX(_LEITURA!$P$2:$P$21,8),"")</f>
        <v/>
      </c>
      <c r="S1" s="8" t="str">
        <f aca="false">IF(INDEX(_LEITURA!$Q$2:$Q$21,9)=1,"Nec. "&amp;INDEX(_LEITURA!$P$2:$P$21,9),"")</f>
        <v/>
      </c>
      <c r="T1" s="8" t="str">
        <f aca="false">IF(INDEX(_LEITURA!$Q$2:$Q$21,10)=1,"Nec. "&amp;INDEX(_LEITURA!$P$2:$P$21,10),"")</f>
        <v/>
      </c>
      <c r="U1" s="8" t="str">
        <f aca="false">IF(INDEX(_LEITURA!$Q$2:$Q$21,11)=1,"Nec. "&amp;INDEX(_LEITURA!$P$2:$P$21,11),"")</f>
        <v/>
      </c>
      <c r="V1" s="8" t="str">
        <f aca="false">IF(INDEX(_LEITURA!$Q$2:$Q$21,12)=1,"Nec. "&amp;INDEX(_LEITURA!$P$2:$P$21,12),"")</f>
        <v/>
      </c>
      <c r="W1" s="8" t="str">
        <f aca="false">IF(INDEX(_LEITURA!$Q$2:$Q$21,13)=1,"Nec. "&amp;INDEX(_LEITURA!$P$2:$P$21,13),"")</f>
        <v/>
      </c>
      <c r="X1" s="8" t="str">
        <f aca="false">IF(INDEX(_LEITURA!$Q$2:$Q$21,14)=1,"Nec. "&amp;INDEX(_LEITURA!$P$2:$P$21,14),"")</f>
        <v/>
      </c>
      <c r="Y1" s="8" t="str">
        <f aca="false">IF(INDEX(_LEITURA!$Q$2:$Q$21,15)=1,"Nec. "&amp;INDEX(_LEITURA!$P$2:$P$21,15),"")</f>
        <v/>
      </c>
      <c r="Z1" s="8" t="str">
        <f aca="false">IF(INDEX(_LEITURA!$Q$2:$Q$21,16)=1,"Nec. "&amp;INDEX(_LEITURA!$P$2:$P$21,16),"")</f>
        <v/>
      </c>
      <c r="AA1" s="8" t="str">
        <f aca="false">IF(INDEX(_LEITURA!$Q$2:$Q$21,17)=1,"Nec. "&amp;INDEX(_LEITURA!$P$2:$P$21,17),"")</f>
        <v/>
      </c>
      <c r="AB1" s="8" t="str">
        <f aca="false">IF(INDEX(_LEITURA!$Q$2:$Q$21,18)=1,"Nec. "&amp;INDEX(_LEITURA!$P$2:$P$21,18),"")</f>
        <v/>
      </c>
      <c r="AC1" s="8" t="str">
        <f aca="false">IF(INDEX(_LEITURA!$Q$2:$Q$21,19)=1,"Nec. "&amp;INDEX(_LEITURA!$P$2:$P$21,19),"")</f>
        <v/>
      </c>
      <c r="AD1" s="8" t="str">
        <f aca="false">IF(INDEX(_LEITURA!$Q$2:$Q$21,20)=1,"Nec. "&amp;INDEX(_LEITURA!$P$2:$P$21,20),"")</f>
        <v/>
      </c>
      <c r="AE1" s="17" t="s">
        <v>68</v>
      </c>
      <c r="AF1" s="17" t="s">
        <v>71</v>
      </c>
      <c r="AG1" s="17" t="s">
        <v>72</v>
      </c>
      <c r="AH1" s="17" t="s">
        <v>73</v>
      </c>
      <c r="AI1" s="17" t="s">
        <v>74</v>
      </c>
      <c r="AJ1" s="17" t="s">
        <v>75</v>
      </c>
      <c r="AK1" s="17" t="s">
        <v>83</v>
      </c>
      <c r="AM1" s="1" t="s">
        <v>84</v>
      </c>
    </row>
    <row r="2" customFormat="false" ht="15" hidden="false" customHeight="false" outlineLevel="0" collapsed="false">
      <c r="A2" s="11" t="str">
        <f aca="false">IF(INVENTÁRIO!A2="","",INVENTÁRIO!A2)</f>
        <v/>
      </c>
      <c r="B2" s="11" t="str">
        <f aca="false">IF(A2="","",INVENTÁRIO!B2)</f>
        <v/>
      </c>
      <c r="C2" s="16" t="str">
        <f aca="false">IF(A2="","",INVENTÁRIO!C2)</f>
        <v/>
      </c>
      <c r="D2" s="14" t="str">
        <f aca="false">IF(A2="","",MAX(K2:AD2))</f>
        <v/>
      </c>
      <c r="E2" s="14" t="str">
        <f aca="false">IF(A2="","",MAX(0,D2-C2))</f>
        <v/>
      </c>
      <c r="F2" s="16" t="str">
        <f aca="false">IF(A2="","",IF(D2=0,"Fora dos decks",IF(E2=0,"Completo","Falta")))</f>
        <v/>
      </c>
      <c r="G2" s="16" t="str">
        <f aca="false">IF(A2="","",COUNTIF(K2:AD2,"&gt;0"))</f>
        <v/>
      </c>
      <c r="H2" s="16" t="str">
        <f aca="false">IF(A2="","",IF(G2&gt;1,"Sim",""))</f>
        <v/>
      </c>
      <c r="I2" s="18" t="str">
        <f aca="false">IF(A2="","",SUMIFS(DECKS!$D$2:$D$1201,DECKS!$B$2:$B$1201,A2))</f>
        <v/>
      </c>
      <c r="J2" s="18" t="str">
        <f aca="false">IF(A2="","",MAX(0,I2-C2))</f>
        <v/>
      </c>
      <c r="K2" s="19" t="str">
        <f aca="false">IF(OR($A2="",INDEX(_LEITURA!$Q$2:$Q$21,1)=0),"",SUMIFS(DECKS!$D$2:$D$1201,DECKS!$A$2:$A$1201,INDEX(_LEITURA!$P$2:$P$21,1),DECKS!$B$2:$B$1201,$A2))</f>
        <v/>
      </c>
      <c r="L2" s="19" t="str">
        <f aca="false">IF(OR($A2="",INDEX(_LEITURA!$Q$2:$Q$21,2)=0),"",SUMIFS(DECKS!$D$2:$D$1201,DECKS!$A$2:$A$1201,INDEX(_LEITURA!$P$2:$P$21,2),DECKS!$B$2:$B$1201,$A2))</f>
        <v/>
      </c>
      <c r="M2" s="19" t="str">
        <f aca="false">IF(OR($A2="",INDEX(_LEITURA!$Q$2:$Q$21,3)=0),"",SUMIFS(DECKS!$D$2:$D$1201,DECKS!$A$2:$A$1201,INDEX(_LEITURA!$P$2:$P$21,3),DECKS!$B$2:$B$1201,$A2))</f>
        <v/>
      </c>
      <c r="N2" s="19" t="str">
        <f aca="false">IF(OR($A2="",INDEX(_LEITURA!$Q$2:$Q$21,4)=0),"",SUMIFS(DECKS!$D$2:$D$1201,DECKS!$A$2:$A$1201,INDEX(_LEITURA!$P$2:$P$21,4),DECKS!$B$2:$B$1201,$A2))</f>
        <v/>
      </c>
      <c r="O2" s="19" t="str">
        <f aca="false">IF(OR($A2="",INDEX(_LEITURA!$Q$2:$Q$21,5)=0),"",SUMIFS(DECKS!$D$2:$D$1201,DECKS!$A$2:$A$1201,INDEX(_LEITURA!$P$2:$P$21,5),DECKS!$B$2:$B$1201,$A2))</f>
        <v/>
      </c>
      <c r="P2" s="19" t="str">
        <f aca="false">IF(OR($A2="",INDEX(_LEITURA!$Q$2:$Q$21,6)=0),"",SUMIFS(DECKS!$D$2:$D$1201,DECKS!$A$2:$A$1201,INDEX(_LEITURA!$P$2:$P$21,6),DECKS!$B$2:$B$1201,$A2))</f>
        <v/>
      </c>
      <c r="Q2" s="19" t="str">
        <f aca="false">IF(OR($A2="",INDEX(_LEITURA!$Q$2:$Q$21,7)=0),"",SUMIFS(DECKS!$D$2:$D$1201,DECKS!$A$2:$A$1201,INDEX(_LEITURA!$P$2:$P$21,7),DECKS!$B$2:$B$1201,$A2))</f>
        <v/>
      </c>
      <c r="R2" s="19" t="str">
        <f aca="false">IF(OR($A2="",INDEX(_LEITURA!$Q$2:$Q$21,8)=0),"",SUMIFS(DECKS!$D$2:$D$1201,DECKS!$A$2:$A$1201,INDEX(_LEITURA!$P$2:$P$21,8),DECKS!$B$2:$B$1201,$A2))</f>
        <v/>
      </c>
      <c r="S2" s="19" t="str">
        <f aca="false">IF(OR($A2="",INDEX(_LEITURA!$Q$2:$Q$21,9)=0),"",SUMIFS(DECKS!$D$2:$D$1201,DECKS!$A$2:$A$1201,INDEX(_LEITURA!$P$2:$P$21,9),DECKS!$B$2:$B$1201,$A2))</f>
        <v/>
      </c>
      <c r="T2" s="19" t="str">
        <f aca="false">IF(OR($A2="",INDEX(_LEITURA!$Q$2:$Q$21,10)=0),"",SUMIFS(DECKS!$D$2:$D$1201,DECKS!$A$2:$A$1201,INDEX(_LEITURA!$P$2:$P$21,10),DECKS!$B$2:$B$1201,$A2))</f>
        <v/>
      </c>
      <c r="U2" s="19" t="str">
        <f aca="false">IF(OR($A2="",INDEX(_LEITURA!$Q$2:$Q$21,11)=0),"",SUMIFS(DECKS!$D$2:$D$1201,DECKS!$A$2:$A$1201,INDEX(_LEITURA!$P$2:$P$21,11),DECKS!$B$2:$B$1201,$A2))</f>
        <v/>
      </c>
      <c r="V2" s="19" t="str">
        <f aca="false">IF(OR($A2="",INDEX(_LEITURA!$Q$2:$Q$21,12)=0),"",SUMIFS(DECKS!$D$2:$D$1201,DECKS!$A$2:$A$1201,INDEX(_LEITURA!$P$2:$P$21,12),DECKS!$B$2:$B$1201,$A2))</f>
        <v/>
      </c>
      <c r="W2" s="19" t="str">
        <f aca="false">IF(OR($A2="",INDEX(_LEITURA!$Q$2:$Q$21,13)=0),"",SUMIFS(DECKS!$D$2:$D$1201,DECKS!$A$2:$A$1201,INDEX(_LEITURA!$P$2:$P$21,13),DECKS!$B$2:$B$1201,$A2))</f>
        <v/>
      </c>
      <c r="X2" s="19" t="str">
        <f aca="false">IF(OR($A2="",INDEX(_LEITURA!$Q$2:$Q$21,14)=0),"",SUMIFS(DECKS!$D$2:$D$1201,DECKS!$A$2:$A$1201,INDEX(_LEITURA!$P$2:$P$21,14),DECKS!$B$2:$B$1201,$A2))</f>
        <v/>
      </c>
      <c r="Y2" s="19" t="str">
        <f aca="false">IF(OR($A2="",INDEX(_LEITURA!$Q$2:$Q$21,15)=0),"",SUMIFS(DECKS!$D$2:$D$1201,DECKS!$A$2:$A$1201,INDEX(_LEITURA!$P$2:$P$21,15),DECKS!$B$2:$B$1201,$A2))</f>
        <v/>
      </c>
      <c r="Z2" s="19" t="str">
        <f aca="false">IF(OR($A2="",INDEX(_LEITURA!$Q$2:$Q$21,16)=0),"",SUMIFS(DECKS!$D$2:$D$1201,DECKS!$A$2:$A$1201,INDEX(_LEITURA!$P$2:$P$21,16),DECKS!$B$2:$B$1201,$A2))</f>
        <v/>
      </c>
      <c r="AA2" s="19" t="str">
        <f aca="false">IF(OR($A2="",INDEX(_LEITURA!$Q$2:$Q$21,17)=0),"",SUMIFS(DECKS!$D$2:$D$1201,DECKS!$A$2:$A$1201,INDEX(_LEITURA!$P$2:$P$21,17),DECKS!$B$2:$B$1201,$A2))</f>
        <v/>
      </c>
      <c r="AB2" s="19" t="str">
        <f aca="false">IF(OR($A2="",INDEX(_LEITURA!$Q$2:$Q$21,18)=0),"",SUMIFS(DECKS!$D$2:$D$1201,DECKS!$A$2:$A$1201,INDEX(_LEITURA!$P$2:$P$21,18),DECKS!$B$2:$B$1201,$A2))</f>
        <v/>
      </c>
      <c r="AC2" s="19" t="str">
        <f aca="false">IF(OR($A2="",INDEX(_LEITURA!$Q$2:$Q$21,19)=0),"",SUMIFS(DECKS!$D$2:$D$1201,DECKS!$A$2:$A$1201,INDEX(_LEITURA!$P$2:$P$21,19),DECKS!$B$2:$B$1201,$A2))</f>
        <v/>
      </c>
      <c r="AD2" s="19" t="str">
        <f aca="false">IF(OR($A2="",INDEX(_LEITURA!$Q$2:$Q$21,20)=0),"",SUMIFS(DECKS!$D$2:$D$1201,DECKS!$A$2:$A$1201,INDEX(_LEITURA!$P$2:$P$21,20),DECKS!$B$2:$B$1201,$A2))</f>
        <v/>
      </c>
      <c r="AE2" s="16" t="str">
        <f aca="false">IF(N(E2)&gt;0,MAX(AE$1:AE1)+1,"")</f>
        <v/>
      </c>
      <c r="AF2" s="11" t="str">
        <f aca="false">IF(A2="","",IFERROR(LEFT(A2,FIND("-",A2)-1),A2))</f>
        <v/>
      </c>
      <c r="AG2" s="11" t="str">
        <f aca="false">IF(AF2="","",IF(ISNUMBER(--MID(AF2,1,1)),0,IF(ISNUMBER(--MID(AF2,2,1)),1,IF(ISNUMBER(--MID(AF2,3,1)),2,IF(ISNUMBER(--MID(AF2,4,1)),3,MIN(LEN(AF2),4))))))</f>
        <v/>
      </c>
      <c r="AH2" s="11" t="str">
        <f aca="false">IF(A2="","",LEFT(AF2,AG2)&amp;REPT("0",4-AG2)&amp;RIGHT("000"&amp;IFERROR(VALUE(MID(AF2,AG2+1,9)),0),3)&amp;RIGHT("0000"&amp;IFERROR(VALUE(MID(A2,FIND("-",A2)+1,9)),0),4))</f>
        <v/>
      </c>
      <c r="AI2" s="11" t="str">
        <f aca="false">IF(OR(A2="",N(E2)&lt;=0),"",IF('FALTAS GERAL'!$M$1="Código","K"&amp;AH2&amp;RIGHT("00000"&amp;ROW(),5),IF('FALTAS GERAL'!$M$1="Nome","K"&amp;UPPER(SUBSTITUTE(SUBSTITUTE(SUBSTITUTE(B2,"*",""),"?",""),"~",""))&amp;"0"&amp;AH2&amp;RIGHT("00000"&amp;ROW(),5),IF('FALTAS GERAL'!$M$1="Falta (maior primeiro)","K"&amp;RIGHT("0000"&amp;(9999-E2),4)&amp;AH2&amp;RIGHT("00000"&amp;ROW(),5),IF('FALTAS GERAL'!$M$1="Nº de decks (maior primeiro)","K"&amp;RIGHT("00"&amp;(99-N(G2)),2)&amp;AH2&amp;RIGHT("00000"&amp;ROW(),5),"K"&amp;RIGHT("00000"&amp;ROW(),5))))))</f>
        <v/>
      </c>
      <c r="AJ2" s="11" t="str">
        <f aca="false">IF(AI2="","",COUNTIFS($AI$2:$AI$801,"&lt;"&amp;AI2,$E$2:$E$801,"&gt;0")+1)</f>
        <v/>
      </c>
      <c r="AK2" s="11" t="str">
        <f aca="false">IF(OR(A2="",N(E2)&lt;=0),"",COUNTIFS($AH$2:$AH$801,"&lt;"&amp;AH2,$E$2:$E$801,"&gt;0")+COUNTIFS($AH$2:AH2,AH2,$E$2:E2,"&gt;0"))</f>
        <v/>
      </c>
      <c r="AM2" s="11" t="s">
        <v>85</v>
      </c>
      <c r="AN2" s="14" t="n">
        <f aca="false">COUNTIF(A2:A801,"?*")</f>
        <v>0</v>
      </c>
    </row>
    <row r="3" customFormat="false" ht="15" hidden="false" customHeight="false" outlineLevel="0" collapsed="false">
      <c r="A3" s="11" t="str">
        <f aca="false">IF(INVENTÁRIO!A3="","",INVENTÁRIO!A3)</f>
        <v/>
      </c>
      <c r="B3" s="11" t="str">
        <f aca="false">IF(A3="","",INVENTÁRIO!B3)</f>
        <v/>
      </c>
      <c r="C3" s="16" t="str">
        <f aca="false">IF(A3="","",INVENTÁRIO!C3)</f>
        <v/>
      </c>
      <c r="D3" s="14" t="str">
        <f aca="false">IF(A3="","",MAX(K3:AD3))</f>
        <v/>
      </c>
      <c r="E3" s="14" t="str">
        <f aca="false">IF(A3="","",MAX(0,D3-C3))</f>
        <v/>
      </c>
      <c r="F3" s="16" t="str">
        <f aca="false">IF(A3="","",IF(D3=0,"Fora dos decks",IF(E3=0,"Completo","Falta")))</f>
        <v/>
      </c>
      <c r="G3" s="16" t="str">
        <f aca="false">IF(A3="","",COUNTIF(K3:AD3,"&gt;0"))</f>
        <v/>
      </c>
      <c r="H3" s="16" t="str">
        <f aca="false">IF(A3="","",IF(G3&gt;1,"Sim",""))</f>
        <v/>
      </c>
      <c r="I3" s="18" t="str">
        <f aca="false">IF(A3="","",SUMIFS(DECKS!$D$2:$D$1201,DECKS!$B$2:$B$1201,A3))</f>
        <v/>
      </c>
      <c r="J3" s="18" t="str">
        <f aca="false">IF(A3="","",MAX(0,I3-C3))</f>
        <v/>
      </c>
      <c r="K3" s="19" t="str">
        <f aca="false">IF(OR($A3="",INDEX(_LEITURA!$Q$2:$Q$21,1)=0),"",SUMIFS(DECKS!$D$2:$D$1201,DECKS!$A$2:$A$1201,INDEX(_LEITURA!$P$2:$P$21,1),DECKS!$B$2:$B$1201,$A3))</f>
        <v/>
      </c>
      <c r="L3" s="19" t="str">
        <f aca="false">IF(OR($A3="",INDEX(_LEITURA!$Q$2:$Q$21,2)=0),"",SUMIFS(DECKS!$D$2:$D$1201,DECKS!$A$2:$A$1201,INDEX(_LEITURA!$P$2:$P$21,2),DECKS!$B$2:$B$1201,$A3))</f>
        <v/>
      </c>
      <c r="M3" s="19" t="str">
        <f aca="false">IF(OR($A3="",INDEX(_LEITURA!$Q$2:$Q$21,3)=0),"",SUMIFS(DECKS!$D$2:$D$1201,DECKS!$A$2:$A$1201,INDEX(_LEITURA!$P$2:$P$21,3),DECKS!$B$2:$B$1201,$A3))</f>
        <v/>
      </c>
      <c r="N3" s="19" t="str">
        <f aca="false">IF(OR($A3="",INDEX(_LEITURA!$Q$2:$Q$21,4)=0),"",SUMIFS(DECKS!$D$2:$D$1201,DECKS!$A$2:$A$1201,INDEX(_LEITURA!$P$2:$P$21,4),DECKS!$B$2:$B$1201,$A3))</f>
        <v/>
      </c>
      <c r="O3" s="19" t="str">
        <f aca="false">IF(OR($A3="",INDEX(_LEITURA!$Q$2:$Q$21,5)=0),"",SUMIFS(DECKS!$D$2:$D$1201,DECKS!$A$2:$A$1201,INDEX(_LEITURA!$P$2:$P$21,5),DECKS!$B$2:$B$1201,$A3))</f>
        <v/>
      </c>
      <c r="P3" s="19" t="str">
        <f aca="false">IF(OR($A3="",INDEX(_LEITURA!$Q$2:$Q$21,6)=0),"",SUMIFS(DECKS!$D$2:$D$1201,DECKS!$A$2:$A$1201,INDEX(_LEITURA!$P$2:$P$21,6),DECKS!$B$2:$B$1201,$A3))</f>
        <v/>
      </c>
      <c r="Q3" s="19" t="str">
        <f aca="false">IF(OR($A3="",INDEX(_LEITURA!$Q$2:$Q$21,7)=0),"",SUMIFS(DECKS!$D$2:$D$1201,DECKS!$A$2:$A$1201,INDEX(_LEITURA!$P$2:$P$21,7),DECKS!$B$2:$B$1201,$A3))</f>
        <v/>
      </c>
      <c r="R3" s="19" t="str">
        <f aca="false">IF(OR($A3="",INDEX(_LEITURA!$Q$2:$Q$21,8)=0),"",SUMIFS(DECKS!$D$2:$D$1201,DECKS!$A$2:$A$1201,INDEX(_LEITURA!$P$2:$P$21,8),DECKS!$B$2:$B$1201,$A3))</f>
        <v/>
      </c>
      <c r="S3" s="19" t="str">
        <f aca="false">IF(OR($A3="",INDEX(_LEITURA!$Q$2:$Q$21,9)=0),"",SUMIFS(DECKS!$D$2:$D$1201,DECKS!$A$2:$A$1201,INDEX(_LEITURA!$P$2:$P$21,9),DECKS!$B$2:$B$1201,$A3))</f>
        <v/>
      </c>
      <c r="T3" s="19" t="str">
        <f aca="false">IF(OR($A3="",INDEX(_LEITURA!$Q$2:$Q$21,10)=0),"",SUMIFS(DECKS!$D$2:$D$1201,DECKS!$A$2:$A$1201,INDEX(_LEITURA!$P$2:$P$21,10),DECKS!$B$2:$B$1201,$A3))</f>
        <v/>
      </c>
      <c r="U3" s="19" t="str">
        <f aca="false">IF(OR($A3="",INDEX(_LEITURA!$Q$2:$Q$21,11)=0),"",SUMIFS(DECKS!$D$2:$D$1201,DECKS!$A$2:$A$1201,INDEX(_LEITURA!$P$2:$P$21,11),DECKS!$B$2:$B$1201,$A3))</f>
        <v/>
      </c>
      <c r="V3" s="19" t="str">
        <f aca="false">IF(OR($A3="",INDEX(_LEITURA!$Q$2:$Q$21,12)=0),"",SUMIFS(DECKS!$D$2:$D$1201,DECKS!$A$2:$A$1201,INDEX(_LEITURA!$P$2:$P$21,12),DECKS!$B$2:$B$1201,$A3))</f>
        <v/>
      </c>
      <c r="W3" s="19" t="str">
        <f aca="false">IF(OR($A3="",INDEX(_LEITURA!$Q$2:$Q$21,13)=0),"",SUMIFS(DECKS!$D$2:$D$1201,DECKS!$A$2:$A$1201,INDEX(_LEITURA!$P$2:$P$21,13),DECKS!$B$2:$B$1201,$A3))</f>
        <v/>
      </c>
      <c r="X3" s="19" t="str">
        <f aca="false">IF(OR($A3="",INDEX(_LEITURA!$Q$2:$Q$21,14)=0),"",SUMIFS(DECKS!$D$2:$D$1201,DECKS!$A$2:$A$1201,INDEX(_LEITURA!$P$2:$P$21,14),DECKS!$B$2:$B$1201,$A3))</f>
        <v/>
      </c>
      <c r="Y3" s="19" t="str">
        <f aca="false">IF(OR($A3="",INDEX(_LEITURA!$Q$2:$Q$21,15)=0),"",SUMIFS(DECKS!$D$2:$D$1201,DECKS!$A$2:$A$1201,INDEX(_LEITURA!$P$2:$P$21,15),DECKS!$B$2:$B$1201,$A3))</f>
        <v/>
      </c>
      <c r="Z3" s="19" t="str">
        <f aca="false">IF(OR($A3="",INDEX(_LEITURA!$Q$2:$Q$21,16)=0),"",SUMIFS(DECKS!$D$2:$D$1201,DECKS!$A$2:$A$1201,INDEX(_LEITURA!$P$2:$P$21,16),DECKS!$B$2:$B$1201,$A3))</f>
        <v/>
      </c>
      <c r="AA3" s="19" t="str">
        <f aca="false">IF(OR($A3="",INDEX(_LEITURA!$Q$2:$Q$21,17)=0),"",SUMIFS(DECKS!$D$2:$D$1201,DECKS!$A$2:$A$1201,INDEX(_LEITURA!$P$2:$P$21,17),DECKS!$B$2:$B$1201,$A3))</f>
        <v/>
      </c>
      <c r="AB3" s="19" t="str">
        <f aca="false">IF(OR($A3="",INDEX(_LEITURA!$Q$2:$Q$21,18)=0),"",SUMIFS(DECKS!$D$2:$D$1201,DECKS!$A$2:$A$1201,INDEX(_LEITURA!$P$2:$P$21,18),DECKS!$B$2:$B$1201,$A3))</f>
        <v/>
      </c>
      <c r="AC3" s="19" t="str">
        <f aca="false">IF(OR($A3="",INDEX(_LEITURA!$Q$2:$Q$21,19)=0),"",SUMIFS(DECKS!$D$2:$D$1201,DECKS!$A$2:$A$1201,INDEX(_LEITURA!$P$2:$P$21,19),DECKS!$B$2:$B$1201,$A3))</f>
        <v/>
      </c>
      <c r="AD3" s="19" t="str">
        <f aca="false">IF(OR($A3="",INDEX(_LEITURA!$Q$2:$Q$21,20)=0),"",SUMIFS(DECKS!$D$2:$D$1201,DECKS!$A$2:$A$1201,INDEX(_LEITURA!$P$2:$P$21,20),DECKS!$B$2:$B$1201,$A3))</f>
        <v/>
      </c>
      <c r="AE3" s="16" t="str">
        <f aca="false">IF(N(E3)&gt;0,MAX(AE$1:AE2)+1,"")</f>
        <v/>
      </c>
      <c r="AF3" s="11" t="str">
        <f aca="false">IF(A3="","",IFERROR(LEFT(A3,FIND("-",A3)-1),A3))</f>
        <v/>
      </c>
      <c r="AG3" s="11" t="str">
        <f aca="false">IF(AF3="","",IF(ISNUMBER(--MID(AF3,1,1)),0,IF(ISNUMBER(--MID(AF3,2,1)),1,IF(ISNUMBER(--MID(AF3,3,1)),2,IF(ISNUMBER(--MID(AF3,4,1)),3,MIN(LEN(AF3),4))))))</f>
        <v/>
      </c>
      <c r="AH3" s="11" t="str">
        <f aca="false">IF(A3="","",LEFT(AF3,AG3)&amp;REPT("0",4-AG3)&amp;RIGHT("000"&amp;IFERROR(VALUE(MID(AF3,AG3+1,9)),0),3)&amp;RIGHT("0000"&amp;IFERROR(VALUE(MID(A3,FIND("-",A3)+1,9)),0),4))</f>
        <v/>
      </c>
      <c r="AI3" s="11" t="str">
        <f aca="false">IF(OR(A3="",N(E3)&lt;=0),"",IF('FALTAS GERAL'!$M$1="Código","K"&amp;AH3&amp;RIGHT("00000"&amp;ROW(),5),IF('FALTAS GERAL'!$M$1="Nome","K"&amp;UPPER(SUBSTITUTE(SUBSTITUTE(SUBSTITUTE(B3,"*",""),"?",""),"~",""))&amp;"0"&amp;AH3&amp;RIGHT("00000"&amp;ROW(),5),IF('FALTAS GERAL'!$M$1="Falta (maior primeiro)","K"&amp;RIGHT("0000"&amp;(9999-E3),4)&amp;AH3&amp;RIGHT("00000"&amp;ROW(),5),IF('FALTAS GERAL'!$M$1="Nº de decks (maior primeiro)","K"&amp;RIGHT("00"&amp;(99-N(G3)),2)&amp;AH3&amp;RIGHT("00000"&amp;ROW(),5),"K"&amp;RIGHT("00000"&amp;ROW(),5))))))</f>
        <v/>
      </c>
      <c r="AJ3" s="11" t="str">
        <f aca="false">IF(AI3="","",COUNTIFS($AI$2:$AI$801,"&lt;"&amp;AI3,$E$2:$E$801,"&gt;0")+1)</f>
        <v/>
      </c>
      <c r="AK3" s="11" t="str">
        <f aca="false">IF(OR(A3="",N(E3)&lt;=0),"",COUNTIFS($AH$2:$AH$801,"&lt;"&amp;AH3,$E$2:$E$801,"&gt;0")+COUNTIFS($AH$2:AH3,AH3,$E$2:E3,"&gt;0"))</f>
        <v/>
      </c>
      <c r="AM3" s="11" t="s">
        <v>86</v>
      </c>
      <c r="AN3" s="14" t="n">
        <f aca="false">COUNTIF(F2:F801,"Falta")</f>
        <v>0</v>
      </c>
    </row>
    <row r="4" customFormat="false" ht="15" hidden="false" customHeight="false" outlineLevel="0" collapsed="false">
      <c r="A4" s="11" t="str">
        <f aca="false">IF(INVENTÁRIO!A4="","",INVENTÁRIO!A4)</f>
        <v/>
      </c>
      <c r="B4" s="11" t="str">
        <f aca="false">IF(A4="","",INVENTÁRIO!B4)</f>
        <v/>
      </c>
      <c r="C4" s="16" t="str">
        <f aca="false">IF(A4="","",INVENTÁRIO!C4)</f>
        <v/>
      </c>
      <c r="D4" s="14" t="str">
        <f aca="false">IF(A4="","",MAX(K4:AD4))</f>
        <v/>
      </c>
      <c r="E4" s="14" t="str">
        <f aca="false">IF(A4="","",MAX(0,D4-C4))</f>
        <v/>
      </c>
      <c r="F4" s="16" t="str">
        <f aca="false">IF(A4="","",IF(D4=0,"Fora dos decks",IF(E4=0,"Completo","Falta")))</f>
        <v/>
      </c>
      <c r="G4" s="16" t="str">
        <f aca="false">IF(A4="","",COUNTIF(K4:AD4,"&gt;0"))</f>
        <v/>
      </c>
      <c r="H4" s="16" t="str">
        <f aca="false">IF(A4="","",IF(G4&gt;1,"Sim",""))</f>
        <v/>
      </c>
      <c r="I4" s="18" t="str">
        <f aca="false">IF(A4="","",SUMIFS(DECKS!$D$2:$D$1201,DECKS!$B$2:$B$1201,A4))</f>
        <v/>
      </c>
      <c r="J4" s="18" t="str">
        <f aca="false">IF(A4="","",MAX(0,I4-C4))</f>
        <v/>
      </c>
      <c r="K4" s="19" t="str">
        <f aca="false">IF(OR($A4="",INDEX(_LEITURA!$Q$2:$Q$21,1)=0),"",SUMIFS(DECKS!$D$2:$D$1201,DECKS!$A$2:$A$1201,INDEX(_LEITURA!$P$2:$P$21,1),DECKS!$B$2:$B$1201,$A4))</f>
        <v/>
      </c>
      <c r="L4" s="19" t="str">
        <f aca="false">IF(OR($A4="",INDEX(_LEITURA!$Q$2:$Q$21,2)=0),"",SUMIFS(DECKS!$D$2:$D$1201,DECKS!$A$2:$A$1201,INDEX(_LEITURA!$P$2:$P$21,2),DECKS!$B$2:$B$1201,$A4))</f>
        <v/>
      </c>
      <c r="M4" s="19" t="str">
        <f aca="false">IF(OR($A4="",INDEX(_LEITURA!$Q$2:$Q$21,3)=0),"",SUMIFS(DECKS!$D$2:$D$1201,DECKS!$A$2:$A$1201,INDEX(_LEITURA!$P$2:$P$21,3),DECKS!$B$2:$B$1201,$A4))</f>
        <v/>
      </c>
      <c r="N4" s="19" t="str">
        <f aca="false">IF(OR($A4="",INDEX(_LEITURA!$Q$2:$Q$21,4)=0),"",SUMIFS(DECKS!$D$2:$D$1201,DECKS!$A$2:$A$1201,INDEX(_LEITURA!$P$2:$P$21,4),DECKS!$B$2:$B$1201,$A4))</f>
        <v/>
      </c>
      <c r="O4" s="19" t="str">
        <f aca="false">IF(OR($A4="",INDEX(_LEITURA!$Q$2:$Q$21,5)=0),"",SUMIFS(DECKS!$D$2:$D$1201,DECKS!$A$2:$A$1201,INDEX(_LEITURA!$P$2:$P$21,5),DECKS!$B$2:$B$1201,$A4))</f>
        <v/>
      </c>
      <c r="P4" s="19" t="str">
        <f aca="false">IF(OR($A4="",INDEX(_LEITURA!$Q$2:$Q$21,6)=0),"",SUMIFS(DECKS!$D$2:$D$1201,DECKS!$A$2:$A$1201,INDEX(_LEITURA!$P$2:$P$21,6),DECKS!$B$2:$B$1201,$A4))</f>
        <v/>
      </c>
      <c r="Q4" s="19" t="str">
        <f aca="false">IF(OR($A4="",INDEX(_LEITURA!$Q$2:$Q$21,7)=0),"",SUMIFS(DECKS!$D$2:$D$1201,DECKS!$A$2:$A$1201,INDEX(_LEITURA!$P$2:$P$21,7),DECKS!$B$2:$B$1201,$A4))</f>
        <v/>
      </c>
      <c r="R4" s="19" t="str">
        <f aca="false">IF(OR($A4="",INDEX(_LEITURA!$Q$2:$Q$21,8)=0),"",SUMIFS(DECKS!$D$2:$D$1201,DECKS!$A$2:$A$1201,INDEX(_LEITURA!$P$2:$P$21,8),DECKS!$B$2:$B$1201,$A4))</f>
        <v/>
      </c>
      <c r="S4" s="19" t="str">
        <f aca="false">IF(OR($A4="",INDEX(_LEITURA!$Q$2:$Q$21,9)=0),"",SUMIFS(DECKS!$D$2:$D$1201,DECKS!$A$2:$A$1201,INDEX(_LEITURA!$P$2:$P$21,9),DECKS!$B$2:$B$1201,$A4))</f>
        <v/>
      </c>
      <c r="T4" s="19" t="str">
        <f aca="false">IF(OR($A4="",INDEX(_LEITURA!$Q$2:$Q$21,10)=0),"",SUMIFS(DECKS!$D$2:$D$1201,DECKS!$A$2:$A$1201,INDEX(_LEITURA!$P$2:$P$21,10),DECKS!$B$2:$B$1201,$A4))</f>
        <v/>
      </c>
      <c r="U4" s="19" t="str">
        <f aca="false">IF(OR($A4="",INDEX(_LEITURA!$Q$2:$Q$21,11)=0),"",SUMIFS(DECKS!$D$2:$D$1201,DECKS!$A$2:$A$1201,INDEX(_LEITURA!$P$2:$P$21,11),DECKS!$B$2:$B$1201,$A4))</f>
        <v/>
      </c>
      <c r="V4" s="19" t="str">
        <f aca="false">IF(OR($A4="",INDEX(_LEITURA!$Q$2:$Q$21,12)=0),"",SUMIFS(DECKS!$D$2:$D$1201,DECKS!$A$2:$A$1201,INDEX(_LEITURA!$P$2:$P$21,12),DECKS!$B$2:$B$1201,$A4))</f>
        <v/>
      </c>
      <c r="W4" s="19" t="str">
        <f aca="false">IF(OR($A4="",INDEX(_LEITURA!$Q$2:$Q$21,13)=0),"",SUMIFS(DECKS!$D$2:$D$1201,DECKS!$A$2:$A$1201,INDEX(_LEITURA!$P$2:$P$21,13),DECKS!$B$2:$B$1201,$A4))</f>
        <v/>
      </c>
      <c r="X4" s="19" t="str">
        <f aca="false">IF(OR($A4="",INDEX(_LEITURA!$Q$2:$Q$21,14)=0),"",SUMIFS(DECKS!$D$2:$D$1201,DECKS!$A$2:$A$1201,INDEX(_LEITURA!$P$2:$P$21,14),DECKS!$B$2:$B$1201,$A4))</f>
        <v/>
      </c>
      <c r="Y4" s="19" t="str">
        <f aca="false">IF(OR($A4="",INDEX(_LEITURA!$Q$2:$Q$21,15)=0),"",SUMIFS(DECKS!$D$2:$D$1201,DECKS!$A$2:$A$1201,INDEX(_LEITURA!$P$2:$P$21,15),DECKS!$B$2:$B$1201,$A4))</f>
        <v/>
      </c>
      <c r="Z4" s="19" t="str">
        <f aca="false">IF(OR($A4="",INDEX(_LEITURA!$Q$2:$Q$21,16)=0),"",SUMIFS(DECKS!$D$2:$D$1201,DECKS!$A$2:$A$1201,INDEX(_LEITURA!$P$2:$P$21,16),DECKS!$B$2:$B$1201,$A4))</f>
        <v/>
      </c>
      <c r="AA4" s="19" t="str">
        <f aca="false">IF(OR($A4="",INDEX(_LEITURA!$Q$2:$Q$21,17)=0),"",SUMIFS(DECKS!$D$2:$D$1201,DECKS!$A$2:$A$1201,INDEX(_LEITURA!$P$2:$P$21,17),DECKS!$B$2:$B$1201,$A4))</f>
        <v/>
      </c>
      <c r="AB4" s="19" t="str">
        <f aca="false">IF(OR($A4="",INDEX(_LEITURA!$Q$2:$Q$21,18)=0),"",SUMIFS(DECKS!$D$2:$D$1201,DECKS!$A$2:$A$1201,INDEX(_LEITURA!$P$2:$P$21,18),DECKS!$B$2:$B$1201,$A4))</f>
        <v/>
      </c>
      <c r="AC4" s="19" t="str">
        <f aca="false">IF(OR($A4="",INDEX(_LEITURA!$Q$2:$Q$21,19)=0),"",SUMIFS(DECKS!$D$2:$D$1201,DECKS!$A$2:$A$1201,INDEX(_LEITURA!$P$2:$P$21,19),DECKS!$B$2:$B$1201,$A4))</f>
        <v/>
      </c>
      <c r="AD4" s="19" t="str">
        <f aca="false">IF(OR($A4="",INDEX(_LEITURA!$Q$2:$Q$21,20)=0),"",SUMIFS(DECKS!$D$2:$D$1201,DECKS!$A$2:$A$1201,INDEX(_LEITURA!$P$2:$P$21,20),DECKS!$B$2:$B$1201,$A4))</f>
        <v/>
      </c>
      <c r="AE4" s="16" t="str">
        <f aca="false">IF(N(E4)&gt;0,MAX(AE$1:AE3)+1,"")</f>
        <v/>
      </c>
      <c r="AF4" s="11" t="str">
        <f aca="false">IF(A4="","",IFERROR(LEFT(A4,FIND("-",A4)-1),A4))</f>
        <v/>
      </c>
      <c r="AG4" s="11" t="str">
        <f aca="false">IF(AF4="","",IF(ISNUMBER(--MID(AF4,1,1)),0,IF(ISNUMBER(--MID(AF4,2,1)),1,IF(ISNUMBER(--MID(AF4,3,1)),2,IF(ISNUMBER(--MID(AF4,4,1)),3,MIN(LEN(AF4),4))))))</f>
        <v/>
      </c>
      <c r="AH4" s="11" t="str">
        <f aca="false">IF(A4="","",LEFT(AF4,AG4)&amp;REPT("0",4-AG4)&amp;RIGHT("000"&amp;IFERROR(VALUE(MID(AF4,AG4+1,9)),0),3)&amp;RIGHT("0000"&amp;IFERROR(VALUE(MID(A4,FIND("-",A4)+1,9)),0),4))</f>
        <v/>
      </c>
      <c r="AI4" s="11" t="str">
        <f aca="false">IF(OR(A4="",N(E4)&lt;=0),"",IF('FALTAS GERAL'!$M$1="Código","K"&amp;AH4&amp;RIGHT("00000"&amp;ROW(),5),IF('FALTAS GERAL'!$M$1="Nome","K"&amp;UPPER(SUBSTITUTE(SUBSTITUTE(SUBSTITUTE(B4,"*",""),"?",""),"~",""))&amp;"0"&amp;AH4&amp;RIGHT("00000"&amp;ROW(),5),IF('FALTAS GERAL'!$M$1="Falta (maior primeiro)","K"&amp;RIGHT("0000"&amp;(9999-E4),4)&amp;AH4&amp;RIGHT("00000"&amp;ROW(),5),IF('FALTAS GERAL'!$M$1="Nº de decks (maior primeiro)","K"&amp;RIGHT("00"&amp;(99-N(G4)),2)&amp;AH4&amp;RIGHT("00000"&amp;ROW(),5),"K"&amp;RIGHT("00000"&amp;ROW(),5))))))</f>
        <v/>
      </c>
      <c r="AJ4" s="11" t="str">
        <f aca="false">IF(AI4="","",COUNTIFS($AI$2:$AI$801,"&lt;"&amp;AI4,$E$2:$E$801,"&gt;0")+1)</f>
        <v/>
      </c>
      <c r="AK4" s="11" t="str">
        <f aca="false">IF(OR(A4="",N(E4)&lt;=0),"",COUNTIFS($AH$2:$AH$801,"&lt;"&amp;AH4,$E$2:$E$801,"&gt;0")+COUNTIFS($AH$2:AH4,AH4,$E$2:E4,"&gt;0"))</f>
        <v/>
      </c>
      <c r="AM4" s="11" t="s">
        <v>87</v>
      </c>
      <c r="AN4" s="14" t="n">
        <f aca="false">SUM(E2:E801)</f>
        <v>0</v>
      </c>
    </row>
    <row r="5" customFormat="false" ht="15" hidden="false" customHeight="false" outlineLevel="0" collapsed="false">
      <c r="A5" s="11" t="str">
        <f aca="false">IF(INVENTÁRIO!A5="","",INVENTÁRIO!A5)</f>
        <v/>
      </c>
      <c r="B5" s="11" t="str">
        <f aca="false">IF(A5="","",INVENTÁRIO!B5)</f>
        <v/>
      </c>
      <c r="C5" s="16" t="str">
        <f aca="false">IF(A5="","",INVENTÁRIO!C5)</f>
        <v/>
      </c>
      <c r="D5" s="14" t="str">
        <f aca="false">IF(A5="","",MAX(K5:AD5))</f>
        <v/>
      </c>
      <c r="E5" s="14" t="str">
        <f aca="false">IF(A5="","",MAX(0,D5-C5))</f>
        <v/>
      </c>
      <c r="F5" s="16" t="str">
        <f aca="false">IF(A5="","",IF(D5=0,"Fora dos decks",IF(E5=0,"Completo","Falta")))</f>
        <v/>
      </c>
      <c r="G5" s="16" t="str">
        <f aca="false">IF(A5="","",COUNTIF(K5:AD5,"&gt;0"))</f>
        <v/>
      </c>
      <c r="H5" s="16" t="str">
        <f aca="false">IF(A5="","",IF(G5&gt;1,"Sim",""))</f>
        <v/>
      </c>
      <c r="I5" s="18" t="str">
        <f aca="false">IF(A5="","",SUMIFS(DECKS!$D$2:$D$1201,DECKS!$B$2:$B$1201,A5))</f>
        <v/>
      </c>
      <c r="J5" s="18" t="str">
        <f aca="false">IF(A5="","",MAX(0,I5-C5))</f>
        <v/>
      </c>
      <c r="K5" s="19" t="str">
        <f aca="false">IF(OR($A5="",INDEX(_LEITURA!$Q$2:$Q$21,1)=0),"",SUMIFS(DECKS!$D$2:$D$1201,DECKS!$A$2:$A$1201,INDEX(_LEITURA!$P$2:$P$21,1),DECKS!$B$2:$B$1201,$A5))</f>
        <v/>
      </c>
      <c r="L5" s="19" t="str">
        <f aca="false">IF(OR($A5="",INDEX(_LEITURA!$Q$2:$Q$21,2)=0),"",SUMIFS(DECKS!$D$2:$D$1201,DECKS!$A$2:$A$1201,INDEX(_LEITURA!$P$2:$P$21,2),DECKS!$B$2:$B$1201,$A5))</f>
        <v/>
      </c>
      <c r="M5" s="19" t="str">
        <f aca="false">IF(OR($A5="",INDEX(_LEITURA!$Q$2:$Q$21,3)=0),"",SUMIFS(DECKS!$D$2:$D$1201,DECKS!$A$2:$A$1201,INDEX(_LEITURA!$P$2:$P$21,3),DECKS!$B$2:$B$1201,$A5))</f>
        <v/>
      </c>
      <c r="N5" s="19" t="str">
        <f aca="false">IF(OR($A5="",INDEX(_LEITURA!$Q$2:$Q$21,4)=0),"",SUMIFS(DECKS!$D$2:$D$1201,DECKS!$A$2:$A$1201,INDEX(_LEITURA!$P$2:$P$21,4),DECKS!$B$2:$B$1201,$A5))</f>
        <v/>
      </c>
      <c r="O5" s="19" t="str">
        <f aca="false">IF(OR($A5="",INDEX(_LEITURA!$Q$2:$Q$21,5)=0),"",SUMIFS(DECKS!$D$2:$D$1201,DECKS!$A$2:$A$1201,INDEX(_LEITURA!$P$2:$P$21,5),DECKS!$B$2:$B$1201,$A5))</f>
        <v/>
      </c>
      <c r="P5" s="19" t="str">
        <f aca="false">IF(OR($A5="",INDEX(_LEITURA!$Q$2:$Q$21,6)=0),"",SUMIFS(DECKS!$D$2:$D$1201,DECKS!$A$2:$A$1201,INDEX(_LEITURA!$P$2:$P$21,6),DECKS!$B$2:$B$1201,$A5))</f>
        <v/>
      </c>
      <c r="Q5" s="19" t="str">
        <f aca="false">IF(OR($A5="",INDEX(_LEITURA!$Q$2:$Q$21,7)=0),"",SUMIFS(DECKS!$D$2:$D$1201,DECKS!$A$2:$A$1201,INDEX(_LEITURA!$P$2:$P$21,7),DECKS!$B$2:$B$1201,$A5))</f>
        <v/>
      </c>
      <c r="R5" s="19" t="str">
        <f aca="false">IF(OR($A5="",INDEX(_LEITURA!$Q$2:$Q$21,8)=0),"",SUMIFS(DECKS!$D$2:$D$1201,DECKS!$A$2:$A$1201,INDEX(_LEITURA!$P$2:$P$21,8),DECKS!$B$2:$B$1201,$A5))</f>
        <v/>
      </c>
      <c r="S5" s="19" t="str">
        <f aca="false">IF(OR($A5="",INDEX(_LEITURA!$Q$2:$Q$21,9)=0),"",SUMIFS(DECKS!$D$2:$D$1201,DECKS!$A$2:$A$1201,INDEX(_LEITURA!$P$2:$P$21,9),DECKS!$B$2:$B$1201,$A5))</f>
        <v/>
      </c>
      <c r="T5" s="19" t="str">
        <f aca="false">IF(OR($A5="",INDEX(_LEITURA!$Q$2:$Q$21,10)=0),"",SUMIFS(DECKS!$D$2:$D$1201,DECKS!$A$2:$A$1201,INDEX(_LEITURA!$P$2:$P$21,10),DECKS!$B$2:$B$1201,$A5))</f>
        <v/>
      </c>
      <c r="U5" s="19" t="str">
        <f aca="false">IF(OR($A5="",INDEX(_LEITURA!$Q$2:$Q$21,11)=0),"",SUMIFS(DECKS!$D$2:$D$1201,DECKS!$A$2:$A$1201,INDEX(_LEITURA!$P$2:$P$21,11),DECKS!$B$2:$B$1201,$A5))</f>
        <v/>
      </c>
      <c r="V5" s="19" t="str">
        <f aca="false">IF(OR($A5="",INDEX(_LEITURA!$Q$2:$Q$21,12)=0),"",SUMIFS(DECKS!$D$2:$D$1201,DECKS!$A$2:$A$1201,INDEX(_LEITURA!$P$2:$P$21,12),DECKS!$B$2:$B$1201,$A5))</f>
        <v/>
      </c>
      <c r="W5" s="19" t="str">
        <f aca="false">IF(OR($A5="",INDEX(_LEITURA!$Q$2:$Q$21,13)=0),"",SUMIFS(DECKS!$D$2:$D$1201,DECKS!$A$2:$A$1201,INDEX(_LEITURA!$P$2:$P$21,13),DECKS!$B$2:$B$1201,$A5))</f>
        <v/>
      </c>
      <c r="X5" s="19" t="str">
        <f aca="false">IF(OR($A5="",INDEX(_LEITURA!$Q$2:$Q$21,14)=0),"",SUMIFS(DECKS!$D$2:$D$1201,DECKS!$A$2:$A$1201,INDEX(_LEITURA!$P$2:$P$21,14),DECKS!$B$2:$B$1201,$A5))</f>
        <v/>
      </c>
      <c r="Y5" s="19" t="str">
        <f aca="false">IF(OR($A5="",INDEX(_LEITURA!$Q$2:$Q$21,15)=0),"",SUMIFS(DECKS!$D$2:$D$1201,DECKS!$A$2:$A$1201,INDEX(_LEITURA!$P$2:$P$21,15),DECKS!$B$2:$B$1201,$A5))</f>
        <v/>
      </c>
      <c r="Z5" s="19" t="str">
        <f aca="false">IF(OR($A5="",INDEX(_LEITURA!$Q$2:$Q$21,16)=0),"",SUMIFS(DECKS!$D$2:$D$1201,DECKS!$A$2:$A$1201,INDEX(_LEITURA!$P$2:$P$21,16),DECKS!$B$2:$B$1201,$A5))</f>
        <v/>
      </c>
      <c r="AA5" s="19" t="str">
        <f aca="false">IF(OR($A5="",INDEX(_LEITURA!$Q$2:$Q$21,17)=0),"",SUMIFS(DECKS!$D$2:$D$1201,DECKS!$A$2:$A$1201,INDEX(_LEITURA!$P$2:$P$21,17),DECKS!$B$2:$B$1201,$A5))</f>
        <v/>
      </c>
      <c r="AB5" s="19" t="str">
        <f aca="false">IF(OR($A5="",INDEX(_LEITURA!$Q$2:$Q$21,18)=0),"",SUMIFS(DECKS!$D$2:$D$1201,DECKS!$A$2:$A$1201,INDEX(_LEITURA!$P$2:$P$21,18),DECKS!$B$2:$B$1201,$A5))</f>
        <v/>
      </c>
      <c r="AC5" s="19" t="str">
        <f aca="false">IF(OR($A5="",INDEX(_LEITURA!$Q$2:$Q$21,19)=0),"",SUMIFS(DECKS!$D$2:$D$1201,DECKS!$A$2:$A$1201,INDEX(_LEITURA!$P$2:$P$21,19),DECKS!$B$2:$B$1201,$A5))</f>
        <v/>
      </c>
      <c r="AD5" s="19" t="str">
        <f aca="false">IF(OR($A5="",INDEX(_LEITURA!$Q$2:$Q$21,20)=0),"",SUMIFS(DECKS!$D$2:$D$1201,DECKS!$A$2:$A$1201,INDEX(_LEITURA!$P$2:$P$21,20),DECKS!$B$2:$B$1201,$A5))</f>
        <v/>
      </c>
      <c r="AE5" s="16" t="str">
        <f aca="false">IF(N(E5)&gt;0,MAX(AE$1:AE4)+1,"")</f>
        <v/>
      </c>
      <c r="AF5" s="11" t="str">
        <f aca="false">IF(A5="","",IFERROR(LEFT(A5,FIND("-",A5)-1),A5))</f>
        <v/>
      </c>
      <c r="AG5" s="11" t="str">
        <f aca="false">IF(AF5="","",IF(ISNUMBER(--MID(AF5,1,1)),0,IF(ISNUMBER(--MID(AF5,2,1)),1,IF(ISNUMBER(--MID(AF5,3,1)),2,IF(ISNUMBER(--MID(AF5,4,1)),3,MIN(LEN(AF5),4))))))</f>
        <v/>
      </c>
      <c r="AH5" s="11" t="str">
        <f aca="false">IF(A5="","",LEFT(AF5,AG5)&amp;REPT("0",4-AG5)&amp;RIGHT("000"&amp;IFERROR(VALUE(MID(AF5,AG5+1,9)),0),3)&amp;RIGHT("0000"&amp;IFERROR(VALUE(MID(A5,FIND("-",A5)+1,9)),0),4))</f>
        <v/>
      </c>
      <c r="AI5" s="11" t="str">
        <f aca="false">IF(OR(A5="",N(E5)&lt;=0),"",IF('FALTAS GERAL'!$M$1="Código","K"&amp;AH5&amp;RIGHT("00000"&amp;ROW(),5),IF('FALTAS GERAL'!$M$1="Nome","K"&amp;UPPER(SUBSTITUTE(SUBSTITUTE(SUBSTITUTE(B5,"*",""),"?",""),"~",""))&amp;"0"&amp;AH5&amp;RIGHT("00000"&amp;ROW(),5),IF('FALTAS GERAL'!$M$1="Falta (maior primeiro)","K"&amp;RIGHT("0000"&amp;(9999-E5),4)&amp;AH5&amp;RIGHT("00000"&amp;ROW(),5),IF('FALTAS GERAL'!$M$1="Nº de decks (maior primeiro)","K"&amp;RIGHT("00"&amp;(99-N(G5)),2)&amp;AH5&amp;RIGHT("00000"&amp;ROW(),5),"K"&amp;RIGHT("00000"&amp;ROW(),5))))))</f>
        <v/>
      </c>
      <c r="AJ5" s="11" t="str">
        <f aca="false">IF(AI5="","",COUNTIFS($AI$2:$AI$801,"&lt;"&amp;AI5,$E$2:$E$801,"&gt;0")+1)</f>
        <v/>
      </c>
      <c r="AK5" s="11" t="str">
        <f aca="false">IF(OR(A5="",N(E5)&lt;=0),"",COUNTIFS($AH$2:$AH$801,"&lt;"&amp;AH5,$E$2:$E$801,"&gt;0")+COUNTIFS($AH$2:AH5,AH5,$E$2:E5,"&gt;0"))</f>
        <v/>
      </c>
      <c r="AM5" s="11" t="s">
        <v>88</v>
      </c>
      <c r="AN5" s="14" t="n">
        <f aca="false">SUM(J2:J801)</f>
        <v>0</v>
      </c>
    </row>
    <row r="6" customFormat="false" ht="15" hidden="false" customHeight="false" outlineLevel="0" collapsed="false">
      <c r="A6" s="11" t="str">
        <f aca="false">IF(INVENTÁRIO!A6="","",INVENTÁRIO!A6)</f>
        <v/>
      </c>
      <c r="B6" s="11" t="str">
        <f aca="false">IF(A6="","",INVENTÁRIO!B6)</f>
        <v/>
      </c>
      <c r="C6" s="16" t="str">
        <f aca="false">IF(A6="","",INVENTÁRIO!C6)</f>
        <v/>
      </c>
      <c r="D6" s="14" t="str">
        <f aca="false">IF(A6="","",MAX(K6:AD6))</f>
        <v/>
      </c>
      <c r="E6" s="14" t="str">
        <f aca="false">IF(A6="","",MAX(0,D6-C6))</f>
        <v/>
      </c>
      <c r="F6" s="16" t="str">
        <f aca="false">IF(A6="","",IF(D6=0,"Fora dos decks",IF(E6=0,"Completo","Falta")))</f>
        <v/>
      </c>
      <c r="G6" s="16" t="str">
        <f aca="false">IF(A6="","",COUNTIF(K6:AD6,"&gt;0"))</f>
        <v/>
      </c>
      <c r="H6" s="16" t="str">
        <f aca="false">IF(A6="","",IF(G6&gt;1,"Sim",""))</f>
        <v/>
      </c>
      <c r="I6" s="18" t="str">
        <f aca="false">IF(A6="","",SUMIFS(DECKS!$D$2:$D$1201,DECKS!$B$2:$B$1201,A6))</f>
        <v/>
      </c>
      <c r="J6" s="18" t="str">
        <f aca="false">IF(A6="","",MAX(0,I6-C6))</f>
        <v/>
      </c>
      <c r="K6" s="19" t="str">
        <f aca="false">IF(OR($A6="",INDEX(_LEITURA!$Q$2:$Q$21,1)=0),"",SUMIFS(DECKS!$D$2:$D$1201,DECKS!$A$2:$A$1201,INDEX(_LEITURA!$P$2:$P$21,1),DECKS!$B$2:$B$1201,$A6))</f>
        <v/>
      </c>
      <c r="L6" s="19" t="str">
        <f aca="false">IF(OR($A6="",INDEX(_LEITURA!$Q$2:$Q$21,2)=0),"",SUMIFS(DECKS!$D$2:$D$1201,DECKS!$A$2:$A$1201,INDEX(_LEITURA!$P$2:$P$21,2),DECKS!$B$2:$B$1201,$A6))</f>
        <v/>
      </c>
      <c r="M6" s="19" t="str">
        <f aca="false">IF(OR($A6="",INDEX(_LEITURA!$Q$2:$Q$21,3)=0),"",SUMIFS(DECKS!$D$2:$D$1201,DECKS!$A$2:$A$1201,INDEX(_LEITURA!$P$2:$P$21,3),DECKS!$B$2:$B$1201,$A6))</f>
        <v/>
      </c>
      <c r="N6" s="19" t="str">
        <f aca="false">IF(OR($A6="",INDEX(_LEITURA!$Q$2:$Q$21,4)=0),"",SUMIFS(DECKS!$D$2:$D$1201,DECKS!$A$2:$A$1201,INDEX(_LEITURA!$P$2:$P$21,4),DECKS!$B$2:$B$1201,$A6))</f>
        <v/>
      </c>
      <c r="O6" s="19" t="str">
        <f aca="false">IF(OR($A6="",INDEX(_LEITURA!$Q$2:$Q$21,5)=0),"",SUMIFS(DECKS!$D$2:$D$1201,DECKS!$A$2:$A$1201,INDEX(_LEITURA!$P$2:$P$21,5),DECKS!$B$2:$B$1201,$A6))</f>
        <v/>
      </c>
      <c r="P6" s="19" t="str">
        <f aca="false">IF(OR($A6="",INDEX(_LEITURA!$Q$2:$Q$21,6)=0),"",SUMIFS(DECKS!$D$2:$D$1201,DECKS!$A$2:$A$1201,INDEX(_LEITURA!$P$2:$P$21,6),DECKS!$B$2:$B$1201,$A6))</f>
        <v/>
      </c>
      <c r="Q6" s="19" t="str">
        <f aca="false">IF(OR($A6="",INDEX(_LEITURA!$Q$2:$Q$21,7)=0),"",SUMIFS(DECKS!$D$2:$D$1201,DECKS!$A$2:$A$1201,INDEX(_LEITURA!$P$2:$P$21,7),DECKS!$B$2:$B$1201,$A6))</f>
        <v/>
      </c>
      <c r="R6" s="19" t="str">
        <f aca="false">IF(OR($A6="",INDEX(_LEITURA!$Q$2:$Q$21,8)=0),"",SUMIFS(DECKS!$D$2:$D$1201,DECKS!$A$2:$A$1201,INDEX(_LEITURA!$P$2:$P$21,8),DECKS!$B$2:$B$1201,$A6))</f>
        <v/>
      </c>
      <c r="S6" s="19" t="str">
        <f aca="false">IF(OR($A6="",INDEX(_LEITURA!$Q$2:$Q$21,9)=0),"",SUMIFS(DECKS!$D$2:$D$1201,DECKS!$A$2:$A$1201,INDEX(_LEITURA!$P$2:$P$21,9),DECKS!$B$2:$B$1201,$A6))</f>
        <v/>
      </c>
      <c r="T6" s="19" t="str">
        <f aca="false">IF(OR($A6="",INDEX(_LEITURA!$Q$2:$Q$21,10)=0),"",SUMIFS(DECKS!$D$2:$D$1201,DECKS!$A$2:$A$1201,INDEX(_LEITURA!$P$2:$P$21,10),DECKS!$B$2:$B$1201,$A6))</f>
        <v/>
      </c>
      <c r="U6" s="19" t="str">
        <f aca="false">IF(OR($A6="",INDEX(_LEITURA!$Q$2:$Q$21,11)=0),"",SUMIFS(DECKS!$D$2:$D$1201,DECKS!$A$2:$A$1201,INDEX(_LEITURA!$P$2:$P$21,11),DECKS!$B$2:$B$1201,$A6))</f>
        <v/>
      </c>
      <c r="V6" s="19" t="str">
        <f aca="false">IF(OR($A6="",INDEX(_LEITURA!$Q$2:$Q$21,12)=0),"",SUMIFS(DECKS!$D$2:$D$1201,DECKS!$A$2:$A$1201,INDEX(_LEITURA!$P$2:$P$21,12),DECKS!$B$2:$B$1201,$A6))</f>
        <v/>
      </c>
      <c r="W6" s="19" t="str">
        <f aca="false">IF(OR($A6="",INDEX(_LEITURA!$Q$2:$Q$21,13)=0),"",SUMIFS(DECKS!$D$2:$D$1201,DECKS!$A$2:$A$1201,INDEX(_LEITURA!$P$2:$P$21,13),DECKS!$B$2:$B$1201,$A6))</f>
        <v/>
      </c>
      <c r="X6" s="19" t="str">
        <f aca="false">IF(OR($A6="",INDEX(_LEITURA!$Q$2:$Q$21,14)=0),"",SUMIFS(DECKS!$D$2:$D$1201,DECKS!$A$2:$A$1201,INDEX(_LEITURA!$P$2:$P$21,14),DECKS!$B$2:$B$1201,$A6))</f>
        <v/>
      </c>
      <c r="Y6" s="19" t="str">
        <f aca="false">IF(OR($A6="",INDEX(_LEITURA!$Q$2:$Q$21,15)=0),"",SUMIFS(DECKS!$D$2:$D$1201,DECKS!$A$2:$A$1201,INDEX(_LEITURA!$P$2:$P$21,15),DECKS!$B$2:$B$1201,$A6))</f>
        <v/>
      </c>
      <c r="Z6" s="19" t="str">
        <f aca="false">IF(OR($A6="",INDEX(_LEITURA!$Q$2:$Q$21,16)=0),"",SUMIFS(DECKS!$D$2:$D$1201,DECKS!$A$2:$A$1201,INDEX(_LEITURA!$P$2:$P$21,16),DECKS!$B$2:$B$1201,$A6))</f>
        <v/>
      </c>
      <c r="AA6" s="19" t="str">
        <f aca="false">IF(OR($A6="",INDEX(_LEITURA!$Q$2:$Q$21,17)=0),"",SUMIFS(DECKS!$D$2:$D$1201,DECKS!$A$2:$A$1201,INDEX(_LEITURA!$P$2:$P$21,17),DECKS!$B$2:$B$1201,$A6))</f>
        <v/>
      </c>
      <c r="AB6" s="19" t="str">
        <f aca="false">IF(OR($A6="",INDEX(_LEITURA!$Q$2:$Q$21,18)=0),"",SUMIFS(DECKS!$D$2:$D$1201,DECKS!$A$2:$A$1201,INDEX(_LEITURA!$P$2:$P$21,18),DECKS!$B$2:$B$1201,$A6))</f>
        <v/>
      </c>
      <c r="AC6" s="19" t="str">
        <f aca="false">IF(OR($A6="",INDEX(_LEITURA!$Q$2:$Q$21,19)=0),"",SUMIFS(DECKS!$D$2:$D$1201,DECKS!$A$2:$A$1201,INDEX(_LEITURA!$P$2:$P$21,19),DECKS!$B$2:$B$1201,$A6))</f>
        <v/>
      </c>
      <c r="AD6" s="19" t="str">
        <f aca="false">IF(OR($A6="",INDEX(_LEITURA!$Q$2:$Q$21,20)=0),"",SUMIFS(DECKS!$D$2:$D$1201,DECKS!$A$2:$A$1201,INDEX(_LEITURA!$P$2:$P$21,20),DECKS!$B$2:$B$1201,$A6))</f>
        <v/>
      </c>
      <c r="AE6" s="16" t="str">
        <f aca="false">IF(N(E6)&gt;0,MAX(AE$1:AE5)+1,"")</f>
        <v/>
      </c>
      <c r="AF6" s="11" t="str">
        <f aca="false">IF(A6="","",IFERROR(LEFT(A6,FIND("-",A6)-1),A6))</f>
        <v/>
      </c>
      <c r="AG6" s="11" t="str">
        <f aca="false">IF(AF6="","",IF(ISNUMBER(--MID(AF6,1,1)),0,IF(ISNUMBER(--MID(AF6,2,1)),1,IF(ISNUMBER(--MID(AF6,3,1)),2,IF(ISNUMBER(--MID(AF6,4,1)),3,MIN(LEN(AF6),4))))))</f>
        <v/>
      </c>
      <c r="AH6" s="11" t="str">
        <f aca="false">IF(A6="","",LEFT(AF6,AG6)&amp;REPT("0",4-AG6)&amp;RIGHT("000"&amp;IFERROR(VALUE(MID(AF6,AG6+1,9)),0),3)&amp;RIGHT("0000"&amp;IFERROR(VALUE(MID(A6,FIND("-",A6)+1,9)),0),4))</f>
        <v/>
      </c>
      <c r="AI6" s="11" t="str">
        <f aca="false">IF(OR(A6="",N(E6)&lt;=0),"",IF('FALTAS GERAL'!$M$1="Código","K"&amp;AH6&amp;RIGHT("00000"&amp;ROW(),5),IF('FALTAS GERAL'!$M$1="Nome","K"&amp;UPPER(SUBSTITUTE(SUBSTITUTE(SUBSTITUTE(B6,"*",""),"?",""),"~",""))&amp;"0"&amp;AH6&amp;RIGHT("00000"&amp;ROW(),5),IF('FALTAS GERAL'!$M$1="Falta (maior primeiro)","K"&amp;RIGHT("0000"&amp;(9999-E6),4)&amp;AH6&amp;RIGHT("00000"&amp;ROW(),5),IF('FALTAS GERAL'!$M$1="Nº de decks (maior primeiro)","K"&amp;RIGHT("00"&amp;(99-N(G6)),2)&amp;AH6&amp;RIGHT("00000"&amp;ROW(),5),"K"&amp;RIGHT("00000"&amp;ROW(),5))))))</f>
        <v/>
      </c>
      <c r="AJ6" s="11" t="str">
        <f aca="false">IF(AI6="","",COUNTIFS($AI$2:$AI$801,"&lt;"&amp;AI6,$E$2:$E$801,"&gt;0")+1)</f>
        <v/>
      </c>
      <c r="AK6" s="11" t="str">
        <f aca="false">IF(OR(A6="",N(E6)&lt;=0),"",COUNTIFS($AH$2:$AH$801,"&lt;"&amp;AH6,$E$2:$E$801,"&gt;0")+COUNTIFS($AH$2:AH6,AH6,$E$2:E6,"&gt;0"))</f>
        <v/>
      </c>
      <c r="AM6" s="11" t="s">
        <v>89</v>
      </c>
      <c r="AN6" s="14" t="n">
        <f aca="false">COUNTIF(H2:H801,"Sim")</f>
        <v>0</v>
      </c>
    </row>
    <row r="7" customFormat="false" ht="15" hidden="false" customHeight="false" outlineLevel="0" collapsed="false">
      <c r="A7" s="11" t="str">
        <f aca="false">IF(INVENTÁRIO!A7="","",INVENTÁRIO!A7)</f>
        <v/>
      </c>
      <c r="B7" s="11" t="str">
        <f aca="false">IF(A7="","",INVENTÁRIO!B7)</f>
        <v/>
      </c>
      <c r="C7" s="16" t="str">
        <f aca="false">IF(A7="","",INVENTÁRIO!C7)</f>
        <v/>
      </c>
      <c r="D7" s="14" t="str">
        <f aca="false">IF(A7="","",MAX(K7:AD7))</f>
        <v/>
      </c>
      <c r="E7" s="14" t="str">
        <f aca="false">IF(A7="","",MAX(0,D7-C7))</f>
        <v/>
      </c>
      <c r="F7" s="16" t="str">
        <f aca="false">IF(A7="","",IF(D7=0,"Fora dos decks",IF(E7=0,"Completo","Falta")))</f>
        <v/>
      </c>
      <c r="G7" s="16" t="str">
        <f aca="false">IF(A7="","",COUNTIF(K7:AD7,"&gt;0"))</f>
        <v/>
      </c>
      <c r="H7" s="16" t="str">
        <f aca="false">IF(A7="","",IF(G7&gt;1,"Sim",""))</f>
        <v/>
      </c>
      <c r="I7" s="18" t="str">
        <f aca="false">IF(A7="","",SUMIFS(DECKS!$D$2:$D$1201,DECKS!$B$2:$B$1201,A7))</f>
        <v/>
      </c>
      <c r="J7" s="18" t="str">
        <f aca="false">IF(A7="","",MAX(0,I7-C7))</f>
        <v/>
      </c>
      <c r="K7" s="19" t="str">
        <f aca="false">IF(OR($A7="",INDEX(_LEITURA!$Q$2:$Q$21,1)=0),"",SUMIFS(DECKS!$D$2:$D$1201,DECKS!$A$2:$A$1201,INDEX(_LEITURA!$P$2:$P$21,1),DECKS!$B$2:$B$1201,$A7))</f>
        <v/>
      </c>
      <c r="L7" s="19" t="str">
        <f aca="false">IF(OR($A7="",INDEX(_LEITURA!$Q$2:$Q$21,2)=0),"",SUMIFS(DECKS!$D$2:$D$1201,DECKS!$A$2:$A$1201,INDEX(_LEITURA!$P$2:$P$21,2),DECKS!$B$2:$B$1201,$A7))</f>
        <v/>
      </c>
      <c r="M7" s="19" t="str">
        <f aca="false">IF(OR($A7="",INDEX(_LEITURA!$Q$2:$Q$21,3)=0),"",SUMIFS(DECKS!$D$2:$D$1201,DECKS!$A$2:$A$1201,INDEX(_LEITURA!$P$2:$P$21,3),DECKS!$B$2:$B$1201,$A7))</f>
        <v/>
      </c>
      <c r="N7" s="19" t="str">
        <f aca="false">IF(OR($A7="",INDEX(_LEITURA!$Q$2:$Q$21,4)=0),"",SUMIFS(DECKS!$D$2:$D$1201,DECKS!$A$2:$A$1201,INDEX(_LEITURA!$P$2:$P$21,4),DECKS!$B$2:$B$1201,$A7))</f>
        <v/>
      </c>
      <c r="O7" s="19" t="str">
        <f aca="false">IF(OR($A7="",INDEX(_LEITURA!$Q$2:$Q$21,5)=0),"",SUMIFS(DECKS!$D$2:$D$1201,DECKS!$A$2:$A$1201,INDEX(_LEITURA!$P$2:$P$21,5),DECKS!$B$2:$B$1201,$A7))</f>
        <v/>
      </c>
      <c r="P7" s="19" t="str">
        <f aca="false">IF(OR($A7="",INDEX(_LEITURA!$Q$2:$Q$21,6)=0),"",SUMIFS(DECKS!$D$2:$D$1201,DECKS!$A$2:$A$1201,INDEX(_LEITURA!$P$2:$P$21,6),DECKS!$B$2:$B$1201,$A7))</f>
        <v/>
      </c>
      <c r="Q7" s="19" t="str">
        <f aca="false">IF(OR($A7="",INDEX(_LEITURA!$Q$2:$Q$21,7)=0),"",SUMIFS(DECKS!$D$2:$D$1201,DECKS!$A$2:$A$1201,INDEX(_LEITURA!$P$2:$P$21,7),DECKS!$B$2:$B$1201,$A7))</f>
        <v/>
      </c>
      <c r="R7" s="19" t="str">
        <f aca="false">IF(OR($A7="",INDEX(_LEITURA!$Q$2:$Q$21,8)=0),"",SUMIFS(DECKS!$D$2:$D$1201,DECKS!$A$2:$A$1201,INDEX(_LEITURA!$P$2:$P$21,8),DECKS!$B$2:$B$1201,$A7))</f>
        <v/>
      </c>
      <c r="S7" s="19" t="str">
        <f aca="false">IF(OR($A7="",INDEX(_LEITURA!$Q$2:$Q$21,9)=0),"",SUMIFS(DECKS!$D$2:$D$1201,DECKS!$A$2:$A$1201,INDEX(_LEITURA!$P$2:$P$21,9),DECKS!$B$2:$B$1201,$A7))</f>
        <v/>
      </c>
      <c r="T7" s="19" t="str">
        <f aca="false">IF(OR($A7="",INDEX(_LEITURA!$Q$2:$Q$21,10)=0),"",SUMIFS(DECKS!$D$2:$D$1201,DECKS!$A$2:$A$1201,INDEX(_LEITURA!$P$2:$P$21,10),DECKS!$B$2:$B$1201,$A7))</f>
        <v/>
      </c>
      <c r="U7" s="19" t="str">
        <f aca="false">IF(OR($A7="",INDEX(_LEITURA!$Q$2:$Q$21,11)=0),"",SUMIFS(DECKS!$D$2:$D$1201,DECKS!$A$2:$A$1201,INDEX(_LEITURA!$P$2:$P$21,11),DECKS!$B$2:$B$1201,$A7))</f>
        <v/>
      </c>
      <c r="V7" s="19" t="str">
        <f aca="false">IF(OR($A7="",INDEX(_LEITURA!$Q$2:$Q$21,12)=0),"",SUMIFS(DECKS!$D$2:$D$1201,DECKS!$A$2:$A$1201,INDEX(_LEITURA!$P$2:$P$21,12),DECKS!$B$2:$B$1201,$A7))</f>
        <v/>
      </c>
      <c r="W7" s="19" t="str">
        <f aca="false">IF(OR($A7="",INDEX(_LEITURA!$Q$2:$Q$21,13)=0),"",SUMIFS(DECKS!$D$2:$D$1201,DECKS!$A$2:$A$1201,INDEX(_LEITURA!$P$2:$P$21,13),DECKS!$B$2:$B$1201,$A7))</f>
        <v/>
      </c>
      <c r="X7" s="19" t="str">
        <f aca="false">IF(OR($A7="",INDEX(_LEITURA!$Q$2:$Q$21,14)=0),"",SUMIFS(DECKS!$D$2:$D$1201,DECKS!$A$2:$A$1201,INDEX(_LEITURA!$P$2:$P$21,14),DECKS!$B$2:$B$1201,$A7))</f>
        <v/>
      </c>
      <c r="Y7" s="19" t="str">
        <f aca="false">IF(OR($A7="",INDEX(_LEITURA!$Q$2:$Q$21,15)=0),"",SUMIFS(DECKS!$D$2:$D$1201,DECKS!$A$2:$A$1201,INDEX(_LEITURA!$P$2:$P$21,15),DECKS!$B$2:$B$1201,$A7))</f>
        <v/>
      </c>
      <c r="Z7" s="19" t="str">
        <f aca="false">IF(OR($A7="",INDEX(_LEITURA!$Q$2:$Q$21,16)=0),"",SUMIFS(DECKS!$D$2:$D$1201,DECKS!$A$2:$A$1201,INDEX(_LEITURA!$P$2:$P$21,16),DECKS!$B$2:$B$1201,$A7))</f>
        <v/>
      </c>
      <c r="AA7" s="19" t="str">
        <f aca="false">IF(OR($A7="",INDEX(_LEITURA!$Q$2:$Q$21,17)=0),"",SUMIFS(DECKS!$D$2:$D$1201,DECKS!$A$2:$A$1201,INDEX(_LEITURA!$P$2:$P$21,17),DECKS!$B$2:$B$1201,$A7))</f>
        <v/>
      </c>
      <c r="AB7" s="19" t="str">
        <f aca="false">IF(OR($A7="",INDEX(_LEITURA!$Q$2:$Q$21,18)=0),"",SUMIFS(DECKS!$D$2:$D$1201,DECKS!$A$2:$A$1201,INDEX(_LEITURA!$P$2:$P$21,18),DECKS!$B$2:$B$1201,$A7))</f>
        <v/>
      </c>
      <c r="AC7" s="19" t="str">
        <f aca="false">IF(OR($A7="",INDEX(_LEITURA!$Q$2:$Q$21,19)=0),"",SUMIFS(DECKS!$D$2:$D$1201,DECKS!$A$2:$A$1201,INDEX(_LEITURA!$P$2:$P$21,19),DECKS!$B$2:$B$1201,$A7))</f>
        <v/>
      </c>
      <c r="AD7" s="19" t="str">
        <f aca="false">IF(OR($A7="",INDEX(_LEITURA!$Q$2:$Q$21,20)=0),"",SUMIFS(DECKS!$D$2:$D$1201,DECKS!$A$2:$A$1201,INDEX(_LEITURA!$P$2:$P$21,20),DECKS!$B$2:$B$1201,$A7))</f>
        <v/>
      </c>
      <c r="AE7" s="16" t="str">
        <f aca="false">IF(N(E7)&gt;0,MAX(AE$1:AE6)+1,"")</f>
        <v/>
      </c>
      <c r="AF7" s="11" t="str">
        <f aca="false">IF(A7="","",IFERROR(LEFT(A7,FIND("-",A7)-1),A7))</f>
        <v/>
      </c>
      <c r="AG7" s="11" t="str">
        <f aca="false">IF(AF7="","",IF(ISNUMBER(--MID(AF7,1,1)),0,IF(ISNUMBER(--MID(AF7,2,1)),1,IF(ISNUMBER(--MID(AF7,3,1)),2,IF(ISNUMBER(--MID(AF7,4,1)),3,MIN(LEN(AF7),4))))))</f>
        <v/>
      </c>
      <c r="AH7" s="11" t="str">
        <f aca="false">IF(A7="","",LEFT(AF7,AG7)&amp;REPT("0",4-AG7)&amp;RIGHT("000"&amp;IFERROR(VALUE(MID(AF7,AG7+1,9)),0),3)&amp;RIGHT("0000"&amp;IFERROR(VALUE(MID(A7,FIND("-",A7)+1,9)),0),4))</f>
        <v/>
      </c>
      <c r="AI7" s="11" t="str">
        <f aca="false">IF(OR(A7="",N(E7)&lt;=0),"",IF('FALTAS GERAL'!$M$1="Código","K"&amp;AH7&amp;RIGHT("00000"&amp;ROW(),5),IF('FALTAS GERAL'!$M$1="Nome","K"&amp;UPPER(SUBSTITUTE(SUBSTITUTE(SUBSTITUTE(B7,"*",""),"?",""),"~",""))&amp;"0"&amp;AH7&amp;RIGHT("00000"&amp;ROW(),5),IF('FALTAS GERAL'!$M$1="Falta (maior primeiro)","K"&amp;RIGHT("0000"&amp;(9999-E7),4)&amp;AH7&amp;RIGHT("00000"&amp;ROW(),5),IF('FALTAS GERAL'!$M$1="Nº de decks (maior primeiro)","K"&amp;RIGHT("00"&amp;(99-N(G7)),2)&amp;AH7&amp;RIGHT("00000"&amp;ROW(),5),"K"&amp;RIGHT("00000"&amp;ROW(),5))))))</f>
        <v/>
      </c>
      <c r="AJ7" s="11" t="str">
        <f aca="false">IF(AI7="","",COUNTIFS($AI$2:$AI$801,"&lt;"&amp;AI7,$E$2:$E$801,"&gt;0")+1)</f>
        <v/>
      </c>
      <c r="AK7" s="11" t="str">
        <f aca="false">IF(OR(A7="",N(E7)&lt;=0),"",COUNTIFS($AH$2:$AH$801,"&lt;"&amp;AH7,$E$2:$E$801,"&gt;0")+COUNTIFS($AH$2:AH7,AH7,$E$2:E7,"&gt;0"))</f>
        <v/>
      </c>
    </row>
    <row r="8" customFormat="false" ht="15" hidden="false" customHeight="false" outlineLevel="0" collapsed="false">
      <c r="A8" s="11" t="str">
        <f aca="false">IF(INVENTÁRIO!A8="","",INVENTÁRIO!A8)</f>
        <v/>
      </c>
      <c r="B8" s="11" t="str">
        <f aca="false">IF(A8="","",INVENTÁRIO!B8)</f>
        <v/>
      </c>
      <c r="C8" s="16" t="str">
        <f aca="false">IF(A8="","",INVENTÁRIO!C8)</f>
        <v/>
      </c>
      <c r="D8" s="14" t="str">
        <f aca="false">IF(A8="","",MAX(K8:AD8))</f>
        <v/>
      </c>
      <c r="E8" s="14" t="str">
        <f aca="false">IF(A8="","",MAX(0,D8-C8))</f>
        <v/>
      </c>
      <c r="F8" s="16" t="str">
        <f aca="false">IF(A8="","",IF(D8=0,"Fora dos decks",IF(E8=0,"Completo","Falta")))</f>
        <v/>
      </c>
      <c r="G8" s="16" t="str">
        <f aca="false">IF(A8="","",COUNTIF(K8:AD8,"&gt;0"))</f>
        <v/>
      </c>
      <c r="H8" s="16" t="str">
        <f aca="false">IF(A8="","",IF(G8&gt;1,"Sim",""))</f>
        <v/>
      </c>
      <c r="I8" s="18" t="str">
        <f aca="false">IF(A8="","",SUMIFS(DECKS!$D$2:$D$1201,DECKS!$B$2:$B$1201,A8))</f>
        <v/>
      </c>
      <c r="J8" s="18" t="str">
        <f aca="false">IF(A8="","",MAX(0,I8-C8))</f>
        <v/>
      </c>
      <c r="K8" s="19" t="str">
        <f aca="false">IF(OR($A8="",INDEX(_LEITURA!$Q$2:$Q$21,1)=0),"",SUMIFS(DECKS!$D$2:$D$1201,DECKS!$A$2:$A$1201,INDEX(_LEITURA!$P$2:$P$21,1),DECKS!$B$2:$B$1201,$A8))</f>
        <v/>
      </c>
      <c r="L8" s="19" t="str">
        <f aca="false">IF(OR($A8="",INDEX(_LEITURA!$Q$2:$Q$21,2)=0),"",SUMIFS(DECKS!$D$2:$D$1201,DECKS!$A$2:$A$1201,INDEX(_LEITURA!$P$2:$P$21,2),DECKS!$B$2:$B$1201,$A8))</f>
        <v/>
      </c>
      <c r="M8" s="19" t="str">
        <f aca="false">IF(OR($A8="",INDEX(_LEITURA!$Q$2:$Q$21,3)=0),"",SUMIFS(DECKS!$D$2:$D$1201,DECKS!$A$2:$A$1201,INDEX(_LEITURA!$P$2:$P$21,3),DECKS!$B$2:$B$1201,$A8))</f>
        <v/>
      </c>
      <c r="N8" s="19" t="str">
        <f aca="false">IF(OR($A8="",INDEX(_LEITURA!$Q$2:$Q$21,4)=0),"",SUMIFS(DECKS!$D$2:$D$1201,DECKS!$A$2:$A$1201,INDEX(_LEITURA!$P$2:$P$21,4),DECKS!$B$2:$B$1201,$A8))</f>
        <v/>
      </c>
      <c r="O8" s="19" t="str">
        <f aca="false">IF(OR($A8="",INDEX(_LEITURA!$Q$2:$Q$21,5)=0),"",SUMIFS(DECKS!$D$2:$D$1201,DECKS!$A$2:$A$1201,INDEX(_LEITURA!$P$2:$P$21,5),DECKS!$B$2:$B$1201,$A8))</f>
        <v/>
      </c>
      <c r="P8" s="19" t="str">
        <f aca="false">IF(OR($A8="",INDEX(_LEITURA!$Q$2:$Q$21,6)=0),"",SUMIFS(DECKS!$D$2:$D$1201,DECKS!$A$2:$A$1201,INDEX(_LEITURA!$P$2:$P$21,6),DECKS!$B$2:$B$1201,$A8))</f>
        <v/>
      </c>
      <c r="Q8" s="19" t="str">
        <f aca="false">IF(OR($A8="",INDEX(_LEITURA!$Q$2:$Q$21,7)=0),"",SUMIFS(DECKS!$D$2:$D$1201,DECKS!$A$2:$A$1201,INDEX(_LEITURA!$P$2:$P$21,7),DECKS!$B$2:$B$1201,$A8))</f>
        <v/>
      </c>
      <c r="R8" s="19" t="str">
        <f aca="false">IF(OR($A8="",INDEX(_LEITURA!$Q$2:$Q$21,8)=0),"",SUMIFS(DECKS!$D$2:$D$1201,DECKS!$A$2:$A$1201,INDEX(_LEITURA!$P$2:$P$21,8),DECKS!$B$2:$B$1201,$A8))</f>
        <v/>
      </c>
      <c r="S8" s="19" t="str">
        <f aca="false">IF(OR($A8="",INDEX(_LEITURA!$Q$2:$Q$21,9)=0),"",SUMIFS(DECKS!$D$2:$D$1201,DECKS!$A$2:$A$1201,INDEX(_LEITURA!$P$2:$P$21,9),DECKS!$B$2:$B$1201,$A8))</f>
        <v/>
      </c>
      <c r="T8" s="19" t="str">
        <f aca="false">IF(OR($A8="",INDEX(_LEITURA!$Q$2:$Q$21,10)=0),"",SUMIFS(DECKS!$D$2:$D$1201,DECKS!$A$2:$A$1201,INDEX(_LEITURA!$P$2:$P$21,10),DECKS!$B$2:$B$1201,$A8))</f>
        <v/>
      </c>
      <c r="U8" s="19" t="str">
        <f aca="false">IF(OR($A8="",INDEX(_LEITURA!$Q$2:$Q$21,11)=0),"",SUMIFS(DECKS!$D$2:$D$1201,DECKS!$A$2:$A$1201,INDEX(_LEITURA!$P$2:$P$21,11),DECKS!$B$2:$B$1201,$A8))</f>
        <v/>
      </c>
      <c r="V8" s="19" t="str">
        <f aca="false">IF(OR($A8="",INDEX(_LEITURA!$Q$2:$Q$21,12)=0),"",SUMIFS(DECKS!$D$2:$D$1201,DECKS!$A$2:$A$1201,INDEX(_LEITURA!$P$2:$P$21,12),DECKS!$B$2:$B$1201,$A8))</f>
        <v/>
      </c>
      <c r="W8" s="19" t="str">
        <f aca="false">IF(OR($A8="",INDEX(_LEITURA!$Q$2:$Q$21,13)=0),"",SUMIFS(DECKS!$D$2:$D$1201,DECKS!$A$2:$A$1201,INDEX(_LEITURA!$P$2:$P$21,13),DECKS!$B$2:$B$1201,$A8))</f>
        <v/>
      </c>
      <c r="X8" s="19" t="str">
        <f aca="false">IF(OR($A8="",INDEX(_LEITURA!$Q$2:$Q$21,14)=0),"",SUMIFS(DECKS!$D$2:$D$1201,DECKS!$A$2:$A$1201,INDEX(_LEITURA!$P$2:$P$21,14),DECKS!$B$2:$B$1201,$A8))</f>
        <v/>
      </c>
      <c r="Y8" s="19" t="str">
        <f aca="false">IF(OR($A8="",INDEX(_LEITURA!$Q$2:$Q$21,15)=0),"",SUMIFS(DECKS!$D$2:$D$1201,DECKS!$A$2:$A$1201,INDEX(_LEITURA!$P$2:$P$21,15),DECKS!$B$2:$B$1201,$A8))</f>
        <v/>
      </c>
      <c r="Z8" s="19" t="str">
        <f aca="false">IF(OR($A8="",INDEX(_LEITURA!$Q$2:$Q$21,16)=0),"",SUMIFS(DECKS!$D$2:$D$1201,DECKS!$A$2:$A$1201,INDEX(_LEITURA!$P$2:$P$21,16),DECKS!$B$2:$B$1201,$A8))</f>
        <v/>
      </c>
      <c r="AA8" s="19" t="str">
        <f aca="false">IF(OR($A8="",INDEX(_LEITURA!$Q$2:$Q$21,17)=0),"",SUMIFS(DECKS!$D$2:$D$1201,DECKS!$A$2:$A$1201,INDEX(_LEITURA!$P$2:$P$21,17),DECKS!$B$2:$B$1201,$A8))</f>
        <v/>
      </c>
      <c r="AB8" s="19" t="str">
        <f aca="false">IF(OR($A8="",INDEX(_LEITURA!$Q$2:$Q$21,18)=0),"",SUMIFS(DECKS!$D$2:$D$1201,DECKS!$A$2:$A$1201,INDEX(_LEITURA!$P$2:$P$21,18),DECKS!$B$2:$B$1201,$A8))</f>
        <v/>
      </c>
      <c r="AC8" s="19" t="str">
        <f aca="false">IF(OR($A8="",INDEX(_LEITURA!$Q$2:$Q$21,19)=0),"",SUMIFS(DECKS!$D$2:$D$1201,DECKS!$A$2:$A$1201,INDEX(_LEITURA!$P$2:$P$21,19),DECKS!$B$2:$B$1201,$A8))</f>
        <v/>
      </c>
      <c r="AD8" s="19" t="str">
        <f aca="false">IF(OR($A8="",INDEX(_LEITURA!$Q$2:$Q$21,20)=0),"",SUMIFS(DECKS!$D$2:$D$1201,DECKS!$A$2:$A$1201,INDEX(_LEITURA!$P$2:$P$21,20),DECKS!$B$2:$B$1201,$A8))</f>
        <v/>
      </c>
      <c r="AE8" s="16" t="str">
        <f aca="false">IF(N(E8)&gt;0,MAX(AE$1:AE7)+1,"")</f>
        <v/>
      </c>
      <c r="AF8" s="11" t="str">
        <f aca="false">IF(A8="","",IFERROR(LEFT(A8,FIND("-",A8)-1),A8))</f>
        <v/>
      </c>
      <c r="AG8" s="11" t="str">
        <f aca="false">IF(AF8="","",IF(ISNUMBER(--MID(AF8,1,1)),0,IF(ISNUMBER(--MID(AF8,2,1)),1,IF(ISNUMBER(--MID(AF8,3,1)),2,IF(ISNUMBER(--MID(AF8,4,1)),3,MIN(LEN(AF8),4))))))</f>
        <v/>
      </c>
      <c r="AH8" s="11" t="str">
        <f aca="false">IF(A8="","",LEFT(AF8,AG8)&amp;REPT("0",4-AG8)&amp;RIGHT("000"&amp;IFERROR(VALUE(MID(AF8,AG8+1,9)),0),3)&amp;RIGHT("0000"&amp;IFERROR(VALUE(MID(A8,FIND("-",A8)+1,9)),0),4))</f>
        <v/>
      </c>
      <c r="AI8" s="11" t="str">
        <f aca="false">IF(OR(A8="",N(E8)&lt;=0),"",IF('FALTAS GERAL'!$M$1="Código","K"&amp;AH8&amp;RIGHT("00000"&amp;ROW(),5),IF('FALTAS GERAL'!$M$1="Nome","K"&amp;UPPER(SUBSTITUTE(SUBSTITUTE(SUBSTITUTE(B8,"*",""),"?",""),"~",""))&amp;"0"&amp;AH8&amp;RIGHT("00000"&amp;ROW(),5),IF('FALTAS GERAL'!$M$1="Falta (maior primeiro)","K"&amp;RIGHT("0000"&amp;(9999-E8),4)&amp;AH8&amp;RIGHT("00000"&amp;ROW(),5),IF('FALTAS GERAL'!$M$1="Nº de decks (maior primeiro)","K"&amp;RIGHT("00"&amp;(99-N(G8)),2)&amp;AH8&amp;RIGHT("00000"&amp;ROW(),5),"K"&amp;RIGHT("00000"&amp;ROW(),5))))))</f>
        <v/>
      </c>
      <c r="AJ8" s="11" t="str">
        <f aca="false">IF(AI8="","",COUNTIFS($AI$2:$AI$801,"&lt;"&amp;AI8,$E$2:$E$801,"&gt;0")+1)</f>
        <v/>
      </c>
      <c r="AK8" s="11" t="str">
        <f aca="false">IF(OR(A8="",N(E8)&lt;=0),"",COUNTIFS($AH$2:$AH$801,"&lt;"&amp;AH8,$E$2:$E$801,"&gt;0")+COUNTIFS($AH$2:AH8,AH8,$E$2:E8,"&gt;0"))</f>
        <v/>
      </c>
      <c r="AM8" s="5" t="s">
        <v>90</v>
      </c>
    </row>
    <row r="9" customFormat="false" ht="15" hidden="false" customHeight="false" outlineLevel="0" collapsed="false">
      <c r="A9" s="11" t="str">
        <f aca="false">IF(INVENTÁRIO!A9="","",INVENTÁRIO!A9)</f>
        <v/>
      </c>
      <c r="B9" s="11" t="str">
        <f aca="false">IF(A9="","",INVENTÁRIO!B9)</f>
        <v/>
      </c>
      <c r="C9" s="16" t="str">
        <f aca="false">IF(A9="","",INVENTÁRIO!C9)</f>
        <v/>
      </c>
      <c r="D9" s="14" t="str">
        <f aca="false">IF(A9="","",MAX(K9:AD9))</f>
        <v/>
      </c>
      <c r="E9" s="14" t="str">
        <f aca="false">IF(A9="","",MAX(0,D9-C9))</f>
        <v/>
      </c>
      <c r="F9" s="16" t="str">
        <f aca="false">IF(A9="","",IF(D9=0,"Fora dos decks",IF(E9=0,"Completo","Falta")))</f>
        <v/>
      </c>
      <c r="G9" s="16" t="str">
        <f aca="false">IF(A9="","",COUNTIF(K9:AD9,"&gt;0"))</f>
        <v/>
      </c>
      <c r="H9" s="16" t="str">
        <f aca="false">IF(A9="","",IF(G9&gt;1,"Sim",""))</f>
        <v/>
      </c>
      <c r="I9" s="18" t="str">
        <f aca="false">IF(A9="","",SUMIFS(DECKS!$D$2:$D$1201,DECKS!$B$2:$B$1201,A9))</f>
        <v/>
      </c>
      <c r="J9" s="18" t="str">
        <f aca="false">IF(A9="","",MAX(0,I9-C9))</f>
        <v/>
      </c>
      <c r="K9" s="19" t="str">
        <f aca="false">IF(OR($A9="",INDEX(_LEITURA!$Q$2:$Q$21,1)=0),"",SUMIFS(DECKS!$D$2:$D$1201,DECKS!$A$2:$A$1201,INDEX(_LEITURA!$P$2:$P$21,1),DECKS!$B$2:$B$1201,$A9))</f>
        <v/>
      </c>
      <c r="L9" s="19" t="str">
        <f aca="false">IF(OR($A9="",INDEX(_LEITURA!$Q$2:$Q$21,2)=0),"",SUMIFS(DECKS!$D$2:$D$1201,DECKS!$A$2:$A$1201,INDEX(_LEITURA!$P$2:$P$21,2),DECKS!$B$2:$B$1201,$A9))</f>
        <v/>
      </c>
      <c r="M9" s="19" t="str">
        <f aca="false">IF(OR($A9="",INDEX(_LEITURA!$Q$2:$Q$21,3)=0),"",SUMIFS(DECKS!$D$2:$D$1201,DECKS!$A$2:$A$1201,INDEX(_LEITURA!$P$2:$P$21,3),DECKS!$B$2:$B$1201,$A9))</f>
        <v/>
      </c>
      <c r="N9" s="19" t="str">
        <f aca="false">IF(OR($A9="",INDEX(_LEITURA!$Q$2:$Q$21,4)=0),"",SUMIFS(DECKS!$D$2:$D$1201,DECKS!$A$2:$A$1201,INDEX(_LEITURA!$P$2:$P$21,4),DECKS!$B$2:$B$1201,$A9))</f>
        <v/>
      </c>
      <c r="O9" s="19" t="str">
        <f aca="false">IF(OR($A9="",INDEX(_LEITURA!$Q$2:$Q$21,5)=0),"",SUMIFS(DECKS!$D$2:$D$1201,DECKS!$A$2:$A$1201,INDEX(_LEITURA!$P$2:$P$21,5),DECKS!$B$2:$B$1201,$A9))</f>
        <v/>
      </c>
      <c r="P9" s="19" t="str">
        <f aca="false">IF(OR($A9="",INDEX(_LEITURA!$Q$2:$Q$21,6)=0),"",SUMIFS(DECKS!$D$2:$D$1201,DECKS!$A$2:$A$1201,INDEX(_LEITURA!$P$2:$P$21,6),DECKS!$B$2:$B$1201,$A9))</f>
        <v/>
      </c>
      <c r="Q9" s="19" t="str">
        <f aca="false">IF(OR($A9="",INDEX(_LEITURA!$Q$2:$Q$21,7)=0),"",SUMIFS(DECKS!$D$2:$D$1201,DECKS!$A$2:$A$1201,INDEX(_LEITURA!$P$2:$P$21,7),DECKS!$B$2:$B$1201,$A9))</f>
        <v/>
      </c>
      <c r="R9" s="19" t="str">
        <f aca="false">IF(OR($A9="",INDEX(_LEITURA!$Q$2:$Q$21,8)=0),"",SUMIFS(DECKS!$D$2:$D$1201,DECKS!$A$2:$A$1201,INDEX(_LEITURA!$P$2:$P$21,8),DECKS!$B$2:$B$1201,$A9))</f>
        <v/>
      </c>
      <c r="S9" s="19" t="str">
        <f aca="false">IF(OR($A9="",INDEX(_LEITURA!$Q$2:$Q$21,9)=0),"",SUMIFS(DECKS!$D$2:$D$1201,DECKS!$A$2:$A$1201,INDEX(_LEITURA!$P$2:$P$21,9),DECKS!$B$2:$B$1201,$A9))</f>
        <v/>
      </c>
      <c r="T9" s="19" t="str">
        <f aca="false">IF(OR($A9="",INDEX(_LEITURA!$Q$2:$Q$21,10)=0),"",SUMIFS(DECKS!$D$2:$D$1201,DECKS!$A$2:$A$1201,INDEX(_LEITURA!$P$2:$P$21,10),DECKS!$B$2:$B$1201,$A9))</f>
        <v/>
      </c>
      <c r="U9" s="19" t="str">
        <f aca="false">IF(OR($A9="",INDEX(_LEITURA!$Q$2:$Q$21,11)=0),"",SUMIFS(DECKS!$D$2:$D$1201,DECKS!$A$2:$A$1201,INDEX(_LEITURA!$P$2:$P$21,11),DECKS!$B$2:$B$1201,$A9))</f>
        <v/>
      </c>
      <c r="V9" s="19" t="str">
        <f aca="false">IF(OR($A9="",INDEX(_LEITURA!$Q$2:$Q$21,12)=0),"",SUMIFS(DECKS!$D$2:$D$1201,DECKS!$A$2:$A$1201,INDEX(_LEITURA!$P$2:$P$21,12),DECKS!$B$2:$B$1201,$A9))</f>
        <v/>
      </c>
      <c r="W9" s="19" t="str">
        <f aca="false">IF(OR($A9="",INDEX(_LEITURA!$Q$2:$Q$21,13)=0),"",SUMIFS(DECKS!$D$2:$D$1201,DECKS!$A$2:$A$1201,INDEX(_LEITURA!$P$2:$P$21,13),DECKS!$B$2:$B$1201,$A9))</f>
        <v/>
      </c>
      <c r="X9" s="19" t="str">
        <f aca="false">IF(OR($A9="",INDEX(_LEITURA!$Q$2:$Q$21,14)=0),"",SUMIFS(DECKS!$D$2:$D$1201,DECKS!$A$2:$A$1201,INDEX(_LEITURA!$P$2:$P$21,14),DECKS!$B$2:$B$1201,$A9))</f>
        <v/>
      </c>
      <c r="Y9" s="19" t="str">
        <f aca="false">IF(OR($A9="",INDEX(_LEITURA!$Q$2:$Q$21,15)=0),"",SUMIFS(DECKS!$D$2:$D$1201,DECKS!$A$2:$A$1201,INDEX(_LEITURA!$P$2:$P$21,15),DECKS!$B$2:$B$1201,$A9))</f>
        <v/>
      </c>
      <c r="Z9" s="19" t="str">
        <f aca="false">IF(OR($A9="",INDEX(_LEITURA!$Q$2:$Q$21,16)=0),"",SUMIFS(DECKS!$D$2:$D$1201,DECKS!$A$2:$A$1201,INDEX(_LEITURA!$P$2:$P$21,16),DECKS!$B$2:$B$1201,$A9))</f>
        <v/>
      </c>
      <c r="AA9" s="19" t="str">
        <f aca="false">IF(OR($A9="",INDEX(_LEITURA!$Q$2:$Q$21,17)=0),"",SUMIFS(DECKS!$D$2:$D$1201,DECKS!$A$2:$A$1201,INDEX(_LEITURA!$P$2:$P$21,17),DECKS!$B$2:$B$1201,$A9))</f>
        <v/>
      </c>
      <c r="AB9" s="19" t="str">
        <f aca="false">IF(OR($A9="",INDEX(_LEITURA!$Q$2:$Q$21,18)=0),"",SUMIFS(DECKS!$D$2:$D$1201,DECKS!$A$2:$A$1201,INDEX(_LEITURA!$P$2:$P$21,18),DECKS!$B$2:$B$1201,$A9))</f>
        <v/>
      </c>
      <c r="AC9" s="19" t="str">
        <f aca="false">IF(OR($A9="",INDEX(_LEITURA!$Q$2:$Q$21,19)=0),"",SUMIFS(DECKS!$D$2:$D$1201,DECKS!$A$2:$A$1201,INDEX(_LEITURA!$P$2:$P$21,19),DECKS!$B$2:$B$1201,$A9))</f>
        <v/>
      </c>
      <c r="AD9" s="19" t="str">
        <f aca="false">IF(OR($A9="",INDEX(_LEITURA!$Q$2:$Q$21,20)=0),"",SUMIFS(DECKS!$D$2:$D$1201,DECKS!$A$2:$A$1201,INDEX(_LEITURA!$P$2:$P$21,20),DECKS!$B$2:$B$1201,$A9))</f>
        <v/>
      </c>
      <c r="AE9" s="16" t="str">
        <f aca="false">IF(N(E9)&gt;0,MAX(AE$1:AE8)+1,"")</f>
        <v/>
      </c>
      <c r="AF9" s="11" t="str">
        <f aca="false">IF(A9="","",IFERROR(LEFT(A9,FIND("-",A9)-1),A9))</f>
        <v/>
      </c>
      <c r="AG9" s="11" t="str">
        <f aca="false">IF(AF9="","",IF(ISNUMBER(--MID(AF9,1,1)),0,IF(ISNUMBER(--MID(AF9,2,1)),1,IF(ISNUMBER(--MID(AF9,3,1)),2,IF(ISNUMBER(--MID(AF9,4,1)),3,MIN(LEN(AF9),4))))))</f>
        <v/>
      </c>
      <c r="AH9" s="11" t="str">
        <f aca="false">IF(A9="","",LEFT(AF9,AG9)&amp;REPT("0",4-AG9)&amp;RIGHT("000"&amp;IFERROR(VALUE(MID(AF9,AG9+1,9)),0),3)&amp;RIGHT("0000"&amp;IFERROR(VALUE(MID(A9,FIND("-",A9)+1,9)),0),4))</f>
        <v/>
      </c>
      <c r="AI9" s="11" t="str">
        <f aca="false">IF(OR(A9="",N(E9)&lt;=0),"",IF('FALTAS GERAL'!$M$1="Código","K"&amp;AH9&amp;RIGHT("00000"&amp;ROW(),5),IF('FALTAS GERAL'!$M$1="Nome","K"&amp;UPPER(SUBSTITUTE(SUBSTITUTE(SUBSTITUTE(B9,"*",""),"?",""),"~",""))&amp;"0"&amp;AH9&amp;RIGHT("00000"&amp;ROW(),5),IF('FALTAS GERAL'!$M$1="Falta (maior primeiro)","K"&amp;RIGHT("0000"&amp;(9999-E9),4)&amp;AH9&amp;RIGHT("00000"&amp;ROW(),5),IF('FALTAS GERAL'!$M$1="Nº de decks (maior primeiro)","K"&amp;RIGHT("00"&amp;(99-N(G9)),2)&amp;AH9&amp;RIGHT("00000"&amp;ROW(),5),"K"&amp;RIGHT("00000"&amp;ROW(),5))))))</f>
        <v/>
      </c>
      <c r="AJ9" s="11" t="str">
        <f aca="false">IF(AI9="","",COUNTIFS($AI$2:$AI$801,"&lt;"&amp;AI9,$E$2:$E$801,"&gt;0")+1)</f>
        <v/>
      </c>
      <c r="AK9" s="11" t="str">
        <f aca="false">IF(OR(A9="",N(E9)&lt;=0),"",COUNTIFS($AH$2:$AH$801,"&lt;"&amp;AH9,$E$2:$E$801,"&gt;0")+COUNTIFS($AH$2:AH9,AH9,$E$2:E9,"&gt;0"))</f>
        <v/>
      </c>
    </row>
    <row r="10" customFormat="false" ht="15" hidden="false" customHeight="false" outlineLevel="0" collapsed="false">
      <c r="A10" s="11" t="str">
        <f aca="false">IF(INVENTÁRIO!A10="","",INVENTÁRIO!A10)</f>
        <v/>
      </c>
      <c r="B10" s="11" t="str">
        <f aca="false">IF(A10="","",INVENTÁRIO!B10)</f>
        <v/>
      </c>
      <c r="C10" s="16" t="str">
        <f aca="false">IF(A10="","",INVENTÁRIO!C10)</f>
        <v/>
      </c>
      <c r="D10" s="14" t="str">
        <f aca="false">IF(A10="","",MAX(K10:AD10))</f>
        <v/>
      </c>
      <c r="E10" s="14" t="str">
        <f aca="false">IF(A10="","",MAX(0,D10-C10))</f>
        <v/>
      </c>
      <c r="F10" s="16" t="str">
        <f aca="false">IF(A10="","",IF(D10=0,"Fora dos decks",IF(E10=0,"Completo","Falta")))</f>
        <v/>
      </c>
      <c r="G10" s="16" t="str">
        <f aca="false">IF(A10="","",COUNTIF(K10:AD10,"&gt;0"))</f>
        <v/>
      </c>
      <c r="H10" s="16" t="str">
        <f aca="false">IF(A10="","",IF(G10&gt;1,"Sim",""))</f>
        <v/>
      </c>
      <c r="I10" s="18" t="str">
        <f aca="false">IF(A10="","",SUMIFS(DECKS!$D$2:$D$1201,DECKS!$B$2:$B$1201,A10))</f>
        <v/>
      </c>
      <c r="J10" s="18" t="str">
        <f aca="false">IF(A10="","",MAX(0,I10-C10))</f>
        <v/>
      </c>
      <c r="K10" s="19" t="str">
        <f aca="false">IF(OR($A10="",INDEX(_LEITURA!$Q$2:$Q$21,1)=0),"",SUMIFS(DECKS!$D$2:$D$1201,DECKS!$A$2:$A$1201,INDEX(_LEITURA!$P$2:$P$21,1),DECKS!$B$2:$B$1201,$A10))</f>
        <v/>
      </c>
      <c r="L10" s="19" t="str">
        <f aca="false">IF(OR($A10="",INDEX(_LEITURA!$Q$2:$Q$21,2)=0),"",SUMIFS(DECKS!$D$2:$D$1201,DECKS!$A$2:$A$1201,INDEX(_LEITURA!$P$2:$P$21,2),DECKS!$B$2:$B$1201,$A10))</f>
        <v/>
      </c>
      <c r="M10" s="19" t="str">
        <f aca="false">IF(OR($A10="",INDEX(_LEITURA!$Q$2:$Q$21,3)=0),"",SUMIFS(DECKS!$D$2:$D$1201,DECKS!$A$2:$A$1201,INDEX(_LEITURA!$P$2:$P$21,3),DECKS!$B$2:$B$1201,$A10))</f>
        <v/>
      </c>
      <c r="N10" s="19" t="str">
        <f aca="false">IF(OR($A10="",INDEX(_LEITURA!$Q$2:$Q$21,4)=0),"",SUMIFS(DECKS!$D$2:$D$1201,DECKS!$A$2:$A$1201,INDEX(_LEITURA!$P$2:$P$21,4),DECKS!$B$2:$B$1201,$A10))</f>
        <v/>
      </c>
      <c r="O10" s="19" t="str">
        <f aca="false">IF(OR($A10="",INDEX(_LEITURA!$Q$2:$Q$21,5)=0),"",SUMIFS(DECKS!$D$2:$D$1201,DECKS!$A$2:$A$1201,INDEX(_LEITURA!$P$2:$P$21,5),DECKS!$B$2:$B$1201,$A10))</f>
        <v/>
      </c>
      <c r="P10" s="19" t="str">
        <f aca="false">IF(OR($A10="",INDEX(_LEITURA!$Q$2:$Q$21,6)=0),"",SUMIFS(DECKS!$D$2:$D$1201,DECKS!$A$2:$A$1201,INDEX(_LEITURA!$P$2:$P$21,6),DECKS!$B$2:$B$1201,$A10))</f>
        <v/>
      </c>
      <c r="Q10" s="19" t="str">
        <f aca="false">IF(OR($A10="",INDEX(_LEITURA!$Q$2:$Q$21,7)=0),"",SUMIFS(DECKS!$D$2:$D$1201,DECKS!$A$2:$A$1201,INDEX(_LEITURA!$P$2:$P$21,7),DECKS!$B$2:$B$1201,$A10))</f>
        <v/>
      </c>
      <c r="R10" s="19" t="str">
        <f aca="false">IF(OR($A10="",INDEX(_LEITURA!$Q$2:$Q$21,8)=0),"",SUMIFS(DECKS!$D$2:$D$1201,DECKS!$A$2:$A$1201,INDEX(_LEITURA!$P$2:$P$21,8),DECKS!$B$2:$B$1201,$A10))</f>
        <v/>
      </c>
      <c r="S10" s="19" t="str">
        <f aca="false">IF(OR($A10="",INDEX(_LEITURA!$Q$2:$Q$21,9)=0),"",SUMIFS(DECKS!$D$2:$D$1201,DECKS!$A$2:$A$1201,INDEX(_LEITURA!$P$2:$P$21,9),DECKS!$B$2:$B$1201,$A10))</f>
        <v/>
      </c>
      <c r="T10" s="19" t="str">
        <f aca="false">IF(OR($A10="",INDEX(_LEITURA!$Q$2:$Q$21,10)=0),"",SUMIFS(DECKS!$D$2:$D$1201,DECKS!$A$2:$A$1201,INDEX(_LEITURA!$P$2:$P$21,10),DECKS!$B$2:$B$1201,$A10))</f>
        <v/>
      </c>
      <c r="U10" s="19" t="str">
        <f aca="false">IF(OR($A10="",INDEX(_LEITURA!$Q$2:$Q$21,11)=0),"",SUMIFS(DECKS!$D$2:$D$1201,DECKS!$A$2:$A$1201,INDEX(_LEITURA!$P$2:$P$21,11),DECKS!$B$2:$B$1201,$A10))</f>
        <v/>
      </c>
      <c r="V10" s="19" t="str">
        <f aca="false">IF(OR($A10="",INDEX(_LEITURA!$Q$2:$Q$21,12)=0),"",SUMIFS(DECKS!$D$2:$D$1201,DECKS!$A$2:$A$1201,INDEX(_LEITURA!$P$2:$P$21,12),DECKS!$B$2:$B$1201,$A10))</f>
        <v/>
      </c>
      <c r="W10" s="19" t="str">
        <f aca="false">IF(OR($A10="",INDEX(_LEITURA!$Q$2:$Q$21,13)=0),"",SUMIFS(DECKS!$D$2:$D$1201,DECKS!$A$2:$A$1201,INDEX(_LEITURA!$P$2:$P$21,13),DECKS!$B$2:$B$1201,$A10))</f>
        <v/>
      </c>
      <c r="X10" s="19" t="str">
        <f aca="false">IF(OR($A10="",INDEX(_LEITURA!$Q$2:$Q$21,14)=0),"",SUMIFS(DECKS!$D$2:$D$1201,DECKS!$A$2:$A$1201,INDEX(_LEITURA!$P$2:$P$21,14),DECKS!$B$2:$B$1201,$A10))</f>
        <v/>
      </c>
      <c r="Y10" s="19" t="str">
        <f aca="false">IF(OR($A10="",INDEX(_LEITURA!$Q$2:$Q$21,15)=0),"",SUMIFS(DECKS!$D$2:$D$1201,DECKS!$A$2:$A$1201,INDEX(_LEITURA!$P$2:$P$21,15),DECKS!$B$2:$B$1201,$A10))</f>
        <v/>
      </c>
      <c r="Z10" s="19" t="str">
        <f aca="false">IF(OR($A10="",INDEX(_LEITURA!$Q$2:$Q$21,16)=0),"",SUMIFS(DECKS!$D$2:$D$1201,DECKS!$A$2:$A$1201,INDEX(_LEITURA!$P$2:$P$21,16),DECKS!$B$2:$B$1201,$A10))</f>
        <v/>
      </c>
      <c r="AA10" s="19" t="str">
        <f aca="false">IF(OR($A10="",INDEX(_LEITURA!$Q$2:$Q$21,17)=0),"",SUMIFS(DECKS!$D$2:$D$1201,DECKS!$A$2:$A$1201,INDEX(_LEITURA!$P$2:$P$21,17),DECKS!$B$2:$B$1201,$A10))</f>
        <v/>
      </c>
      <c r="AB10" s="19" t="str">
        <f aca="false">IF(OR($A10="",INDEX(_LEITURA!$Q$2:$Q$21,18)=0),"",SUMIFS(DECKS!$D$2:$D$1201,DECKS!$A$2:$A$1201,INDEX(_LEITURA!$P$2:$P$21,18),DECKS!$B$2:$B$1201,$A10))</f>
        <v/>
      </c>
      <c r="AC10" s="19" t="str">
        <f aca="false">IF(OR($A10="",INDEX(_LEITURA!$Q$2:$Q$21,19)=0),"",SUMIFS(DECKS!$D$2:$D$1201,DECKS!$A$2:$A$1201,INDEX(_LEITURA!$P$2:$P$21,19),DECKS!$B$2:$B$1201,$A10))</f>
        <v/>
      </c>
      <c r="AD10" s="19" t="str">
        <f aca="false">IF(OR($A10="",INDEX(_LEITURA!$Q$2:$Q$21,20)=0),"",SUMIFS(DECKS!$D$2:$D$1201,DECKS!$A$2:$A$1201,INDEX(_LEITURA!$P$2:$P$21,20),DECKS!$B$2:$B$1201,$A10))</f>
        <v/>
      </c>
      <c r="AE10" s="16" t="str">
        <f aca="false">IF(N(E10)&gt;0,MAX(AE$1:AE9)+1,"")</f>
        <v/>
      </c>
      <c r="AF10" s="11" t="str">
        <f aca="false">IF(A10="","",IFERROR(LEFT(A10,FIND("-",A10)-1),A10))</f>
        <v/>
      </c>
      <c r="AG10" s="11" t="str">
        <f aca="false">IF(AF10="","",IF(ISNUMBER(--MID(AF10,1,1)),0,IF(ISNUMBER(--MID(AF10,2,1)),1,IF(ISNUMBER(--MID(AF10,3,1)),2,IF(ISNUMBER(--MID(AF10,4,1)),3,MIN(LEN(AF10),4))))))</f>
        <v/>
      </c>
      <c r="AH10" s="11" t="str">
        <f aca="false">IF(A10="","",LEFT(AF10,AG10)&amp;REPT("0",4-AG10)&amp;RIGHT("000"&amp;IFERROR(VALUE(MID(AF10,AG10+1,9)),0),3)&amp;RIGHT("0000"&amp;IFERROR(VALUE(MID(A10,FIND("-",A10)+1,9)),0),4))</f>
        <v/>
      </c>
      <c r="AI10" s="11" t="str">
        <f aca="false">IF(OR(A10="",N(E10)&lt;=0),"",IF('FALTAS GERAL'!$M$1="Código","K"&amp;AH10&amp;RIGHT("00000"&amp;ROW(),5),IF('FALTAS GERAL'!$M$1="Nome","K"&amp;UPPER(SUBSTITUTE(SUBSTITUTE(SUBSTITUTE(B10,"*",""),"?",""),"~",""))&amp;"0"&amp;AH10&amp;RIGHT("00000"&amp;ROW(),5),IF('FALTAS GERAL'!$M$1="Falta (maior primeiro)","K"&amp;RIGHT("0000"&amp;(9999-E10),4)&amp;AH10&amp;RIGHT("00000"&amp;ROW(),5),IF('FALTAS GERAL'!$M$1="Nº de decks (maior primeiro)","K"&amp;RIGHT("00"&amp;(99-N(G10)),2)&amp;AH10&amp;RIGHT("00000"&amp;ROW(),5),"K"&amp;RIGHT("00000"&amp;ROW(),5))))))</f>
        <v/>
      </c>
      <c r="AJ10" s="11" t="str">
        <f aca="false">IF(AI10="","",COUNTIFS($AI$2:$AI$801,"&lt;"&amp;AI10,$E$2:$E$801,"&gt;0")+1)</f>
        <v/>
      </c>
      <c r="AK10" s="11" t="str">
        <f aca="false">IF(OR(A10="",N(E10)&lt;=0),"",COUNTIFS($AH$2:$AH$801,"&lt;"&amp;AH10,$E$2:$E$801,"&gt;0")+COUNTIFS($AH$2:AH10,AH10,$E$2:E10,"&gt;0"))</f>
        <v/>
      </c>
    </row>
    <row r="11" customFormat="false" ht="15" hidden="false" customHeight="false" outlineLevel="0" collapsed="false">
      <c r="A11" s="11" t="str">
        <f aca="false">IF(INVENTÁRIO!A11="","",INVENTÁRIO!A11)</f>
        <v/>
      </c>
      <c r="B11" s="11" t="str">
        <f aca="false">IF(A11="","",INVENTÁRIO!B11)</f>
        <v/>
      </c>
      <c r="C11" s="16" t="str">
        <f aca="false">IF(A11="","",INVENTÁRIO!C11)</f>
        <v/>
      </c>
      <c r="D11" s="14" t="str">
        <f aca="false">IF(A11="","",MAX(K11:AD11))</f>
        <v/>
      </c>
      <c r="E11" s="14" t="str">
        <f aca="false">IF(A11="","",MAX(0,D11-C11))</f>
        <v/>
      </c>
      <c r="F11" s="16" t="str">
        <f aca="false">IF(A11="","",IF(D11=0,"Fora dos decks",IF(E11=0,"Completo","Falta")))</f>
        <v/>
      </c>
      <c r="G11" s="16" t="str">
        <f aca="false">IF(A11="","",COUNTIF(K11:AD11,"&gt;0"))</f>
        <v/>
      </c>
      <c r="H11" s="16" t="str">
        <f aca="false">IF(A11="","",IF(G11&gt;1,"Sim",""))</f>
        <v/>
      </c>
      <c r="I11" s="18" t="str">
        <f aca="false">IF(A11="","",SUMIFS(DECKS!$D$2:$D$1201,DECKS!$B$2:$B$1201,A11))</f>
        <v/>
      </c>
      <c r="J11" s="18" t="str">
        <f aca="false">IF(A11="","",MAX(0,I11-C11))</f>
        <v/>
      </c>
      <c r="K11" s="19" t="str">
        <f aca="false">IF(OR($A11="",INDEX(_LEITURA!$Q$2:$Q$21,1)=0),"",SUMIFS(DECKS!$D$2:$D$1201,DECKS!$A$2:$A$1201,INDEX(_LEITURA!$P$2:$P$21,1),DECKS!$B$2:$B$1201,$A11))</f>
        <v/>
      </c>
      <c r="L11" s="19" t="str">
        <f aca="false">IF(OR($A11="",INDEX(_LEITURA!$Q$2:$Q$21,2)=0),"",SUMIFS(DECKS!$D$2:$D$1201,DECKS!$A$2:$A$1201,INDEX(_LEITURA!$P$2:$P$21,2),DECKS!$B$2:$B$1201,$A11))</f>
        <v/>
      </c>
      <c r="M11" s="19" t="str">
        <f aca="false">IF(OR($A11="",INDEX(_LEITURA!$Q$2:$Q$21,3)=0),"",SUMIFS(DECKS!$D$2:$D$1201,DECKS!$A$2:$A$1201,INDEX(_LEITURA!$P$2:$P$21,3),DECKS!$B$2:$B$1201,$A11))</f>
        <v/>
      </c>
      <c r="N11" s="19" t="str">
        <f aca="false">IF(OR($A11="",INDEX(_LEITURA!$Q$2:$Q$21,4)=0),"",SUMIFS(DECKS!$D$2:$D$1201,DECKS!$A$2:$A$1201,INDEX(_LEITURA!$P$2:$P$21,4),DECKS!$B$2:$B$1201,$A11))</f>
        <v/>
      </c>
      <c r="O11" s="19" t="str">
        <f aca="false">IF(OR($A11="",INDEX(_LEITURA!$Q$2:$Q$21,5)=0),"",SUMIFS(DECKS!$D$2:$D$1201,DECKS!$A$2:$A$1201,INDEX(_LEITURA!$P$2:$P$21,5),DECKS!$B$2:$B$1201,$A11))</f>
        <v/>
      </c>
      <c r="P11" s="19" t="str">
        <f aca="false">IF(OR($A11="",INDEX(_LEITURA!$Q$2:$Q$21,6)=0),"",SUMIFS(DECKS!$D$2:$D$1201,DECKS!$A$2:$A$1201,INDEX(_LEITURA!$P$2:$P$21,6),DECKS!$B$2:$B$1201,$A11))</f>
        <v/>
      </c>
      <c r="Q11" s="19" t="str">
        <f aca="false">IF(OR($A11="",INDEX(_LEITURA!$Q$2:$Q$21,7)=0),"",SUMIFS(DECKS!$D$2:$D$1201,DECKS!$A$2:$A$1201,INDEX(_LEITURA!$P$2:$P$21,7),DECKS!$B$2:$B$1201,$A11))</f>
        <v/>
      </c>
      <c r="R11" s="19" t="str">
        <f aca="false">IF(OR($A11="",INDEX(_LEITURA!$Q$2:$Q$21,8)=0),"",SUMIFS(DECKS!$D$2:$D$1201,DECKS!$A$2:$A$1201,INDEX(_LEITURA!$P$2:$P$21,8),DECKS!$B$2:$B$1201,$A11))</f>
        <v/>
      </c>
      <c r="S11" s="19" t="str">
        <f aca="false">IF(OR($A11="",INDEX(_LEITURA!$Q$2:$Q$21,9)=0),"",SUMIFS(DECKS!$D$2:$D$1201,DECKS!$A$2:$A$1201,INDEX(_LEITURA!$P$2:$P$21,9),DECKS!$B$2:$B$1201,$A11))</f>
        <v/>
      </c>
      <c r="T11" s="19" t="str">
        <f aca="false">IF(OR($A11="",INDEX(_LEITURA!$Q$2:$Q$21,10)=0),"",SUMIFS(DECKS!$D$2:$D$1201,DECKS!$A$2:$A$1201,INDEX(_LEITURA!$P$2:$P$21,10),DECKS!$B$2:$B$1201,$A11))</f>
        <v/>
      </c>
      <c r="U11" s="19" t="str">
        <f aca="false">IF(OR($A11="",INDEX(_LEITURA!$Q$2:$Q$21,11)=0),"",SUMIFS(DECKS!$D$2:$D$1201,DECKS!$A$2:$A$1201,INDEX(_LEITURA!$P$2:$P$21,11),DECKS!$B$2:$B$1201,$A11))</f>
        <v/>
      </c>
      <c r="V11" s="19" t="str">
        <f aca="false">IF(OR($A11="",INDEX(_LEITURA!$Q$2:$Q$21,12)=0),"",SUMIFS(DECKS!$D$2:$D$1201,DECKS!$A$2:$A$1201,INDEX(_LEITURA!$P$2:$P$21,12),DECKS!$B$2:$B$1201,$A11))</f>
        <v/>
      </c>
      <c r="W11" s="19" t="str">
        <f aca="false">IF(OR($A11="",INDEX(_LEITURA!$Q$2:$Q$21,13)=0),"",SUMIFS(DECKS!$D$2:$D$1201,DECKS!$A$2:$A$1201,INDEX(_LEITURA!$P$2:$P$21,13),DECKS!$B$2:$B$1201,$A11))</f>
        <v/>
      </c>
      <c r="X11" s="19" t="str">
        <f aca="false">IF(OR($A11="",INDEX(_LEITURA!$Q$2:$Q$21,14)=0),"",SUMIFS(DECKS!$D$2:$D$1201,DECKS!$A$2:$A$1201,INDEX(_LEITURA!$P$2:$P$21,14),DECKS!$B$2:$B$1201,$A11))</f>
        <v/>
      </c>
      <c r="Y11" s="19" t="str">
        <f aca="false">IF(OR($A11="",INDEX(_LEITURA!$Q$2:$Q$21,15)=0),"",SUMIFS(DECKS!$D$2:$D$1201,DECKS!$A$2:$A$1201,INDEX(_LEITURA!$P$2:$P$21,15),DECKS!$B$2:$B$1201,$A11))</f>
        <v/>
      </c>
      <c r="Z11" s="19" t="str">
        <f aca="false">IF(OR($A11="",INDEX(_LEITURA!$Q$2:$Q$21,16)=0),"",SUMIFS(DECKS!$D$2:$D$1201,DECKS!$A$2:$A$1201,INDEX(_LEITURA!$P$2:$P$21,16),DECKS!$B$2:$B$1201,$A11))</f>
        <v/>
      </c>
      <c r="AA11" s="19" t="str">
        <f aca="false">IF(OR($A11="",INDEX(_LEITURA!$Q$2:$Q$21,17)=0),"",SUMIFS(DECKS!$D$2:$D$1201,DECKS!$A$2:$A$1201,INDEX(_LEITURA!$P$2:$P$21,17),DECKS!$B$2:$B$1201,$A11))</f>
        <v/>
      </c>
      <c r="AB11" s="19" t="str">
        <f aca="false">IF(OR($A11="",INDEX(_LEITURA!$Q$2:$Q$21,18)=0),"",SUMIFS(DECKS!$D$2:$D$1201,DECKS!$A$2:$A$1201,INDEX(_LEITURA!$P$2:$P$21,18),DECKS!$B$2:$B$1201,$A11))</f>
        <v/>
      </c>
      <c r="AC11" s="19" t="str">
        <f aca="false">IF(OR($A11="",INDEX(_LEITURA!$Q$2:$Q$21,19)=0),"",SUMIFS(DECKS!$D$2:$D$1201,DECKS!$A$2:$A$1201,INDEX(_LEITURA!$P$2:$P$21,19),DECKS!$B$2:$B$1201,$A11))</f>
        <v/>
      </c>
      <c r="AD11" s="19" t="str">
        <f aca="false">IF(OR($A11="",INDEX(_LEITURA!$Q$2:$Q$21,20)=0),"",SUMIFS(DECKS!$D$2:$D$1201,DECKS!$A$2:$A$1201,INDEX(_LEITURA!$P$2:$P$21,20),DECKS!$B$2:$B$1201,$A11))</f>
        <v/>
      </c>
      <c r="AE11" s="16" t="str">
        <f aca="false">IF(N(E11)&gt;0,MAX(AE$1:AE10)+1,"")</f>
        <v/>
      </c>
      <c r="AF11" s="11" t="str">
        <f aca="false">IF(A11="","",IFERROR(LEFT(A11,FIND("-",A11)-1),A11))</f>
        <v/>
      </c>
      <c r="AG11" s="11" t="str">
        <f aca="false">IF(AF11="","",IF(ISNUMBER(--MID(AF11,1,1)),0,IF(ISNUMBER(--MID(AF11,2,1)),1,IF(ISNUMBER(--MID(AF11,3,1)),2,IF(ISNUMBER(--MID(AF11,4,1)),3,MIN(LEN(AF11),4))))))</f>
        <v/>
      </c>
      <c r="AH11" s="11" t="str">
        <f aca="false">IF(A11="","",LEFT(AF11,AG11)&amp;REPT("0",4-AG11)&amp;RIGHT("000"&amp;IFERROR(VALUE(MID(AF11,AG11+1,9)),0),3)&amp;RIGHT("0000"&amp;IFERROR(VALUE(MID(A11,FIND("-",A11)+1,9)),0),4))</f>
        <v/>
      </c>
      <c r="AI11" s="11" t="str">
        <f aca="false">IF(OR(A11="",N(E11)&lt;=0),"",IF('FALTAS GERAL'!$M$1="Código","K"&amp;AH11&amp;RIGHT("00000"&amp;ROW(),5),IF('FALTAS GERAL'!$M$1="Nome","K"&amp;UPPER(SUBSTITUTE(SUBSTITUTE(SUBSTITUTE(B11,"*",""),"?",""),"~",""))&amp;"0"&amp;AH11&amp;RIGHT("00000"&amp;ROW(),5),IF('FALTAS GERAL'!$M$1="Falta (maior primeiro)","K"&amp;RIGHT("0000"&amp;(9999-E11),4)&amp;AH11&amp;RIGHT("00000"&amp;ROW(),5),IF('FALTAS GERAL'!$M$1="Nº de decks (maior primeiro)","K"&amp;RIGHT("00"&amp;(99-N(G11)),2)&amp;AH11&amp;RIGHT("00000"&amp;ROW(),5),"K"&amp;RIGHT("00000"&amp;ROW(),5))))))</f>
        <v/>
      </c>
      <c r="AJ11" s="11" t="str">
        <f aca="false">IF(AI11="","",COUNTIFS($AI$2:$AI$801,"&lt;"&amp;AI11,$E$2:$E$801,"&gt;0")+1)</f>
        <v/>
      </c>
      <c r="AK11" s="11" t="str">
        <f aca="false">IF(OR(A11="",N(E11)&lt;=0),"",COUNTIFS($AH$2:$AH$801,"&lt;"&amp;AH11,$E$2:$E$801,"&gt;0")+COUNTIFS($AH$2:AH11,AH11,$E$2:E11,"&gt;0"))</f>
        <v/>
      </c>
    </row>
    <row r="12" customFormat="false" ht="15" hidden="false" customHeight="false" outlineLevel="0" collapsed="false">
      <c r="A12" s="11" t="str">
        <f aca="false">IF(INVENTÁRIO!A12="","",INVENTÁRIO!A12)</f>
        <v/>
      </c>
      <c r="B12" s="11" t="str">
        <f aca="false">IF(A12="","",INVENTÁRIO!B12)</f>
        <v/>
      </c>
      <c r="C12" s="16" t="str">
        <f aca="false">IF(A12="","",INVENTÁRIO!C12)</f>
        <v/>
      </c>
      <c r="D12" s="14" t="str">
        <f aca="false">IF(A12="","",MAX(K12:AD12))</f>
        <v/>
      </c>
      <c r="E12" s="14" t="str">
        <f aca="false">IF(A12="","",MAX(0,D12-C12))</f>
        <v/>
      </c>
      <c r="F12" s="16" t="str">
        <f aca="false">IF(A12="","",IF(D12=0,"Fora dos decks",IF(E12=0,"Completo","Falta")))</f>
        <v/>
      </c>
      <c r="G12" s="16" t="str">
        <f aca="false">IF(A12="","",COUNTIF(K12:AD12,"&gt;0"))</f>
        <v/>
      </c>
      <c r="H12" s="16" t="str">
        <f aca="false">IF(A12="","",IF(G12&gt;1,"Sim",""))</f>
        <v/>
      </c>
      <c r="I12" s="18" t="str">
        <f aca="false">IF(A12="","",SUMIFS(DECKS!$D$2:$D$1201,DECKS!$B$2:$B$1201,A12))</f>
        <v/>
      </c>
      <c r="J12" s="18" t="str">
        <f aca="false">IF(A12="","",MAX(0,I12-C12))</f>
        <v/>
      </c>
      <c r="K12" s="19" t="str">
        <f aca="false">IF(OR($A12="",INDEX(_LEITURA!$Q$2:$Q$21,1)=0),"",SUMIFS(DECKS!$D$2:$D$1201,DECKS!$A$2:$A$1201,INDEX(_LEITURA!$P$2:$P$21,1),DECKS!$B$2:$B$1201,$A12))</f>
        <v/>
      </c>
      <c r="L12" s="19" t="str">
        <f aca="false">IF(OR($A12="",INDEX(_LEITURA!$Q$2:$Q$21,2)=0),"",SUMIFS(DECKS!$D$2:$D$1201,DECKS!$A$2:$A$1201,INDEX(_LEITURA!$P$2:$P$21,2),DECKS!$B$2:$B$1201,$A12))</f>
        <v/>
      </c>
      <c r="M12" s="19" t="str">
        <f aca="false">IF(OR($A12="",INDEX(_LEITURA!$Q$2:$Q$21,3)=0),"",SUMIFS(DECKS!$D$2:$D$1201,DECKS!$A$2:$A$1201,INDEX(_LEITURA!$P$2:$P$21,3),DECKS!$B$2:$B$1201,$A12))</f>
        <v/>
      </c>
      <c r="N12" s="19" t="str">
        <f aca="false">IF(OR($A12="",INDEX(_LEITURA!$Q$2:$Q$21,4)=0),"",SUMIFS(DECKS!$D$2:$D$1201,DECKS!$A$2:$A$1201,INDEX(_LEITURA!$P$2:$P$21,4),DECKS!$B$2:$B$1201,$A12))</f>
        <v/>
      </c>
      <c r="O12" s="19" t="str">
        <f aca="false">IF(OR($A12="",INDEX(_LEITURA!$Q$2:$Q$21,5)=0),"",SUMIFS(DECKS!$D$2:$D$1201,DECKS!$A$2:$A$1201,INDEX(_LEITURA!$P$2:$P$21,5),DECKS!$B$2:$B$1201,$A12))</f>
        <v/>
      </c>
      <c r="P12" s="19" t="str">
        <f aca="false">IF(OR($A12="",INDEX(_LEITURA!$Q$2:$Q$21,6)=0),"",SUMIFS(DECKS!$D$2:$D$1201,DECKS!$A$2:$A$1201,INDEX(_LEITURA!$P$2:$P$21,6),DECKS!$B$2:$B$1201,$A12))</f>
        <v/>
      </c>
      <c r="Q12" s="19" t="str">
        <f aca="false">IF(OR($A12="",INDEX(_LEITURA!$Q$2:$Q$21,7)=0),"",SUMIFS(DECKS!$D$2:$D$1201,DECKS!$A$2:$A$1201,INDEX(_LEITURA!$P$2:$P$21,7),DECKS!$B$2:$B$1201,$A12))</f>
        <v/>
      </c>
      <c r="R12" s="19" t="str">
        <f aca="false">IF(OR($A12="",INDEX(_LEITURA!$Q$2:$Q$21,8)=0),"",SUMIFS(DECKS!$D$2:$D$1201,DECKS!$A$2:$A$1201,INDEX(_LEITURA!$P$2:$P$21,8),DECKS!$B$2:$B$1201,$A12))</f>
        <v/>
      </c>
      <c r="S12" s="19" t="str">
        <f aca="false">IF(OR($A12="",INDEX(_LEITURA!$Q$2:$Q$21,9)=0),"",SUMIFS(DECKS!$D$2:$D$1201,DECKS!$A$2:$A$1201,INDEX(_LEITURA!$P$2:$P$21,9),DECKS!$B$2:$B$1201,$A12))</f>
        <v/>
      </c>
      <c r="T12" s="19" t="str">
        <f aca="false">IF(OR($A12="",INDEX(_LEITURA!$Q$2:$Q$21,10)=0),"",SUMIFS(DECKS!$D$2:$D$1201,DECKS!$A$2:$A$1201,INDEX(_LEITURA!$P$2:$P$21,10),DECKS!$B$2:$B$1201,$A12))</f>
        <v/>
      </c>
      <c r="U12" s="19" t="str">
        <f aca="false">IF(OR($A12="",INDEX(_LEITURA!$Q$2:$Q$21,11)=0),"",SUMIFS(DECKS!$D$2:$D$1201,DECKS!$A$2:$A$1201,INDEX(_LEITURA!$P$2:$P$21,11),DECKS!$B$2:$B$1201,$A12))</f>
        <v/>
      </c>
      <c r="V12" s="19" t="str">
        <f aca="false">IF(OR($A12="",INDEX(_LEITURA!$Q$2:$Q$21,12)=0),"",SUMIFS(DECKS!$D$2:$D$1201,DECKS!$A$2:$A$1201,INDEX(_LEITURA!$P$2:$P$21,12),DECKS!$B$2:$B$1201,$A12))</f>
        <v/>
      </c>
      <c r="W12" s="19" t="str">
        <f aca="false">IF(OR($A12="",INDEX(_LEITURA!$Q$2:$Q$21,13)=0),"",SUMIFS(DECKS!$D$2:$D$1201,DECKS!$A$2:$A$1201,INDEX(_LEITURA!$P$2:$P$21,13),DECKS!$B$2:$B$1201,$A12))</f>
        <v/>
      </c>
      <c r="X12" s="19" t="str">
        <f aca="false">IF(OR($A12="",INDEX(_LEITURA!$Q$2:$Q$21,14)=0),"",SUMIFS(DECKS!$D$2:$D$1201,DECKS!$A$2:$A$1201,INDEX(_LEITURA!$P$2:$P$21,14),DECKS!$B$2:$B$1201,$A12))</f>
        <v/>
      </c>
      <c r="Y12" s="19" t="str">
        <f aca="false">IF(OR($A12="",INDEX(_LEITURA!$Q$2:$Q$21,15)=0),"",SUMIFS(DECKS!$D$2:$D$1201,DECKS!$A$2:$A$1201,INDEX(_LEITURA!$P$2:$P$21,15),DECKS!$B$2:$B$1201,$A12))</f>
        <v/>
      </c>
      <c r="Z12" s="19" t="str">
        <f aca="false">IF(OR($A12="",INDEX(_LEITURA!$Q$2:$Q$21,16)=0),"",SUMIFS(DECKS!$D$2:$D$1201,DECKS!$A$2:$A$1201,INDEX(_LEITURA!$P$2:$P$21,16),DECKS!$B$2:$B$1201,$A12))</f>
        <v/>
      </c>
      <c r="AA12" s="19" t="str">
        <f aca="false">IF(OR($A12="",INDEX(_LEITURA!$Q$2:$Q$21,17)=0),"",SUMIFS(DECKS!$D$2:$D$1201,DECKS!$A$2:$A$1201,INDEX(_LEITURA!$P$2:$P$21,17),DECKS!$B$2:$B$1201,$A12))</f>
        <v/>
      </c>
      <c r="AB12" s="19" t="str">
        <f aca="false">IF(OR($A12="",INDEX(_LEITURA!$Q$2:$Q$21,18)=0),"",SUMIFS(DECKS!$D$2:$D$1201,DECKS!$A$2:$A$1201,INDEX(_LEITURA!$P$2:$P$21,18),DECKS!$B$2:$B$1201,$A12))</f>
        <v/>
      </c>
      <c r="AC12" s="19" t="str">
        <f aca="false">IF(OR($A12="",INDEX(_LEITURA!$Q$2:$Q$21,19)=0),"",SUMIFS(DECKS!$D$2:$D$1201,DECKS!$A$2:$A$1201,INDEX(_LEITURA!$P$2:$P$21,19),DECKS!$B$2:$B$1201,$A12))</f>
        <v/>
      </c>
      <c r="AD12" s="19" t="str">
        <f aca="false">IF(OR($A12="",INDEX(_LEITURA!$Q$2:$Q$21,20)=0),"",SUMIFS(DECKS!$D$2:$D$1201,DECKS!$A$2:$A$1201,INDEX(_LEITURA!$P$2:$P$21,20),DECKS!$B$2:$B$1201,$A12))</f>
        <v/>
      </c>
      <c r="AE12" s="16" t="str">
        <f aca="false">IF(N(E12)&gt;0,MAX(AE$1:AE11)+1,"")</f>
        <v/>
      </c>
      <c r="AF12" s="11" t="str">
        <f aca="false">IF(A12="","",IFERROR(LEFT(A12,FIND("-",A12)-1),A12))</f>
        <v/>
      </c>
      <c r="AG12" s="11" t="str">
        <f aca="false">IF(AF12="","",IF(ISNUMBER(--MID(AF12,1,1)),0,IF(ISNUMBER(--MID(AF12,2,1)),1,IF(ISNUMBER(--MID(AF12,3,1)),2,IF(ISNUMBER(--MID(AF12,4,1)),3,MIN(LEN(AF12),4))))))</f>
        <v/>
      </c>
      <c r="AH12" s="11" t="str">
        <f aca="false">IF(A12="","",LEFT(AF12,AG12)&amp;REPT("0",4-AG12)&amp;RIGHT("000"&amp;IFERROR(VALUE(MID(AF12,AG12+1,9)),0),3)&amp;RIGHT("0000"&amp;IFERROR(VALUE(MID(A12,FIND("-",A12)+1,9)),0),4))</f>
        <v/>
      </c>
      <c r="AI12" s="11" t="str">
        <f aca="false">IF(OR(A12="",N(E12)&lt;=0),"",IF('FALTAS GERAL'!$M$1="Código","K"&amp;AH12&amp;RIGHT("00000"&amp;ROW(),5),IF('FALTAS GERAL'!$M$1="Nome","K"&amp;UPPER(SUBSTITUTE(SUBSTITUTE(SUBSTITUTE(B12,"*",""),"?",""),"~",""))&amp;"0"&amp;AH12&amp;RIGHT("00000"&amp;ROW(),5),IF('FALTAS GERAL'!$M$1="Falta (maior primeiro)","K"&amp;RIGHT("0000"&amp;(9999-E12),4)&amp;AH12&amp;RIGHT("00000"&amp;ROW(),5),IF('FALTAS GERAL'!$M$1="Nº de decks (maior primeiro)","K"&amp;RIGHT("00"&amp;(99-N(G12)),2)&amp;AH12&amp;RIGHT("00000"&amp;ROW(),5),"K"&amp;RIGHT("00000"&amp;ROW(),5))))))</f>
        <v/>
      </c>
      <c r="AJ12" s="11" t="str">
        <f aca="false">IF(AI12="","",COUNTIFS($AI$2:$AI$801,"&lt;"&amp;AI12,$E$2:$E$801,"&gt;0")+1)</f>
        <v/>
      </c>
      <c r="AK12" s="11" t="str">
        <f aca="false">IF(OR(A12="",N(E12)&lt;=0),"",COUNTIFS($AH$2:$AH$801,"&lt;"&amp;AH12,$E$2:$E$801,"&gt;0")+COUNTIFS($AH$2:AH12,AH12,$E$2:E12,"&gt;0"))</f>
        <v/>
      </c>
    </row>
    <row r="13" customFormat="false" ht="15" hidden="false" customHeight="false" outlineLevel="0" collapsed="false">
      <c r="A13" s="11" t="str">
        <f aca="false">IF(INVENTÁRIO!A13="","",INVENTÁRIO!A13)</f>
        <v/>
      </c>
      <c r="B13" s="11" t="str">
        <f aca="false">IF(A13="","",INVENTÁRIO!B13)</f>
        <v/>
      </c>
      <c r="C13" s="16" t="str">
        <f aca="false">IF(A13="","",INVENTÁRIO!C13)</f>
        <v/>
      </c>
      <c r="D13" s="14" t="str">
        <f aca="false">IF(A13="","",MAX(K13:AD13))</f>
        <v/>
      </c>
      <c r="E13" s="14" t="str">
        <f aca="false">IF(A13="","",MAX(0,D13-C13))</f>
        <v/>
      </c>
      <c r="F13" s="16" t="str">
        <f aca="false">IF(A13="","",IF(D13=0,"Fora dos decks",IF(E13=0,"Completo","Falta")))</f>
        <v/>
      </c>
      <c r="G13" s="16" t="str">
        <f aca="false">IF(A13="","",COUNTIF(K13:AD13,"&gt;0"))</f>
        <v/>
      </c>
      <c r="H13" s="16" t="str">
        <f aca="false">IF(A13="","",IF(G13&gt;1,"Sim",""))</f>
        <v/>
      </c>
      <c r="I13" s="18" t="str">
        <f aca="false">IF(A13="","",SUMIFS(DECKS!$D$2:$D$1201,DECKS!$B$2:$B$1201,A13))</f>
        <v/>
      </c>
      <c r="J13" s="18" t="str">
        <f aca="false">IF(A13="","",MAX(0,I13-C13))</f>
        <v/>
      </c>
      <c r="K13" s="19" t="str">
        <f aca="false">IF(OR($A13="",INDEX(_LEITURA!$Q$2:$Q$21,1)=0),"",SUMIFS(DECKS!$D$2:$D$1201,DECKS!$A$2:$A$1201,INDEX(_LEITURA!$P$2:$P$21,1),DECKS!$B$2:$B$1201,$A13))</f>
        <v/>
      </c>
      <c r="L13" s="19" t="str">
        <f aca="false">IF(OR($A13="",INDEX(_LEITURA!$Q$2:$Q$21,2)=0),"",SUMIFS(DECKS!$D$2:$D$1201,DECKS!$A$2:$A$1201,INDEX(_LEITURA!$P$2:$P$21,2),DECKS!$B$2:$B$1201,$A13))</f>
        <v/>
      </c>
      <c r="M13" s="19" t="str">
        <f aca="false">IF(OR($A13="",INDEX(_LEITURA!$Q$2:$Q$21,3)=0),"",SUMIFS(DECKS!$D$2:$D$1201,DECKS!$A$2:$A$1201,INDEX(_LEITURA!$P$2:$P$21,3),DECKS!$B$2:$B$1201,$A13))</f>
        <v/>
      </c>
      <c r="N13" s="19" t="str">
        <f aca="false">IF(OR($A13="",INDEX(_LEITURA!$Q$2:$Q$21,4)=0),"",SUMIFS(DECKS!$D$2:$D$1201,DECKS!$A$2:$A$1201,INDEX(_LEITURA!$P$2:$P$21,4),DECKS!$B$2:$B$1201,$A13))</f>
        <v/>
      </c>
      <c r="O13" s="19" t="str">
        <f aca="false">IF(OR($A13="",INDEX(_LEITURA!$Q$2:$Q$21,5)=0),"",SUMIFS(DECKS!$D$2:$D$1201,DECKS!$A$2:$A$1201,INDEX(_LEITURA!$P$2:$P$21,5),DECKS!$B$2:$B$1201,$A13))</f>
        <v/>
      </c>
      <c r="P13" s="19" t="str">
        <f aca="false">IF(OR($A13="",INDEX(_LEITURA!$Q$2:$Q$21,6)=0),"",SUMIFS(DECKS!$D$2:$D$1201,DECKS!$A$2:$A$1201,INDEX(_LEITURA!$P$2:$P$21,6),DECKS!$B$2:$B$1201,$A13))</f>
        <v/>
      </c>
      <c r="Q13" s="19" t="str">
        <f aca="false">IF(OR($A13="",INDEX(_LEITURA!$Q$2:$Q$21,7)=0),"",SUMIFS(DECKS!$D$2:$D$1201,DECKS!$A$2:$A$1201,INDEX(_LEITURA!$P$2:$P$21,7),DECKS!$B$2:$B$1201,$A13))</f>
        <v/>
      </c>
      <c r="R13" s="19" t="str">
        <f aca="false">IF(OR($A13="",INDEX(_LEITURA!$Q$2:$Q$21,8)=0),"",SUMIFS(DECKS!$D$2:$D$1201,DECKS!$A$2:$A$1201,INDEX(_LEITURA!$P$2:$P$21,8),DECKS!$B$2:$B$1201,$A13))</f>
        <v/>
      </c>
      <c r="S13" s="19" t="str">
        <f aca="false">IF(OR($A13="",INDEX(_LEITURA!$Q$2:$Q$21,9)=0),"",SUMIFS(DECKS!$D$2:$D$1201,DECKS!$A$2:$A$1201,INDEX(_LEITURA!$P$2:$P$21,9),DECKS!$B$2:$B$1201,$A13))</f>
        <v/>
      </c>
      <c r="T13" s="19" t="str">
        <f aca="false">IF(OR($A13="",INDEX(_LEITURA!$Q$2:$Q$21,10)=0),"",SUMIFS(DECKS!$D$2:$D$1201,DECKS!$A$2:$A$1201,INDEX(_LEITURA!$P$2:$P$21,10),DECKS!$B$2:$B$1201,$A13))</f>
        <v/>
      </c>
      <c r="U13" s="19" t="str">
        <f aca="false">IF(OR($A13="",INDEX(_LEITURA!$Q$2:$Q$21,11)=0),"",SUMIFS(DECKS!$D$2:$D$1201,DECKS!$A$2:$A$1201,INDEX(_LEITURA!$P$2:$P$21,11),DECKS!$B$2:$B$1201,$A13))</f>
        <v/>
      </c>
      <c r="V13" s="19" t="str">
        <f aca="false">IF(OR($A13="",INDEX(_LEITURA!$Q$2:$Q$21,12)=0),"",SUMIFS(DECKS!$D$2:$D$1201,DECKS!$A$2:$A$1201,INDEX(_LEITURA!$P$2:$P$21,12),DECKS!$B$2:$B$1201,$A13))</f>
        <v/>
      </c>
      <c r="W13" s="19" t="str">
        <f aca="false">IF(OR($A13="",INDEX(_LEITURA!$Q$2:$Q$21,13)=0),"",SUMIFS(DECKS!$D$2:$D$1201,DECKS!$A$2:$A$1201,INDEX(_LEITURA!$P$2:$P$21,13),DECKS!$B$2:$B$1201,$A13))</f>
        <v/>
      </c>
      <c r="X13" s="19" t="str">
        <f aca="false">IF(OR($A13="",INDEX(_LEITURA!$Q$2:$Q$21,14)=0),"",SUMIFS(DECKS!$D$2:$D$1201,DECKS!$A$2:$A$1201,INDEX(_LEITURA!$P$2:$P$21,14),DECKS!$B$2:$B$1201,$A13))</f>
        <v/>
      </c>
      <c r="Y13" s="19" t="str">
        <f aca="false">IF(OR($A13="",INDEX(_LEITURA!$Q$2:$Q$21,15)=0),"",SUMIFS(DECKS!$D$2:$D$1201,DECKS!$A$2:$A$1201,INDEX(_LEITURA!$P$2:$P$21,15),DECKS!$B$2:$B$1201,$A13))</f>
        <v/>
      </c>
      <c r="Z13" s="19" t="str">
        <f aca="false">IF(OR($A13="",INDEX(_LEITURA!$Q$2:$Q$21,16)=0),"",SUMIFS(DECKS!$D$2:$D$1201,DECKS!$A$2:$A$1201,INDEX(_LEITURA!$P$2:$P$21,16),DECKS!$B$2:$B$1201,$A13))</f>
        <v/>
      </c>
      <c r="AA13" s="19" t="str">
        <f aca="false">IF(OR($A13="",INDEX(_LEITURA!$Q$2:$Q$21,17)=0),"",SUMIFS(DECKS!$D$2:$D$1201,DECKS!$A$2:$A$1201,INDEX(_LEITURA!$P$2:$P$21,17),DECKS!$B$2:$B$1201,$A13))</f>
        <v/>
      </c>
      <c r="AB13" s="19" t="str">
        <f aca="false">IF(OR($A13="",INDEX(_LEITURA!$Q$2:$Q$21,18)=0),"",SUMIFS(DECKS!$D$2:$D$1201,DECKS!$A$2:$A$1201,INDEX(_LEITURA!$P$2:$P$21,18),DECKS!$B$2:$B$1201,$A13))</f>
        <v/>
      </c>
      <c r="AC13" s="19" t="str">
        <f aca="false">IF(OR($A13="",INDEX(_LEITURA!$Q$2:$Q$21,19)=0),"",SUMIFS(DECKS!$D$2:$D$1201,DECKS!$A$2:$A$1201,INDEX(_LEITURA!$P$2:$P$21,19),DECKS!$B$2:$B$1201,$A13))</f>
        <v/>
      </c>
      <c r="AD13" s="19" t="str">
        <f aca="false">IF(OR($A13="",INDEX(_LEITURA!$Q$2:$Q$21,20)=0),"",SUMIFS(DECKS!$D$2:$D$1201,DECKS!$A$2:$A$1201,INDEX(_LEITURA!$P$2:$P$21,20),DECKS!$B$2:$B$1201,$A13))</f>
        <v/>
      </c>
      <c r="AE13" s="16" t="str">
        <f aca="false">IF(N(E13)&gt;0,MAX(AE$1:AE12)+1,"")</f>
        <v/>
      </c>
      <c r="AF13" s="11" t="str">
        <f aca="false">IF(A13="","",IFERROR(LEFT(A13,FIND("-",A13)-1),A13))</f>
        <v/>
      </c>
      <c r="AG13" s="11" t="str">
        <f aca="false">IF(AF13="","",IF(ISNUMBER(--MID(AF13,1,1)),0,IF(ISNUMBER(--MID(AF13,2,1)),1,IF(ISNUMBER(--MID(AF13,3,1)),2,IF(ISNUMBER(--MID(AF13,4,1)),3,MIN(LEN(AF13),4))))))</f>
        <v/>
      </c>
      <c r="AH13" s="11" t="str">
        <f aca="false">IF(A13="","",LEFT(AF13,AG13)&amp;REPT("0",4-AG13)&amp;RIGHT("000"&amp;IFERROR(VALUE(MID(AF13,AG13+1,9)),0),3)&amp;RIGHT("0000"&amp;IFERROR(VALUE(MID(A13,FIND("-",A13)+1,9)),0),4))</f>
        <v/>
      </c>
      <c r="AI13" s="11" t="str">
        <f aca="false">IF(OR(A13="",N(E13)&lt;=0),"",IF('FALTAS GERAL'!$M$1="Código","K"&amp;AH13&amp;RIGHT("00000"&amp;ROW(),5),IF('FALTAS GERAL'!$M$1="Nome","K"&amp;UPPER(SUBSTITUTE(SUBSTITUTE(SUBSTITUTE(B13,"*",""),"?",""),"~",""))&amp;"0"&amp;AH13&amp;RIGHT("00000"&amp;ROW(),5),IF('FALTAS GERAL'!$M$1="Falta (maior primeiro)","K"&amp;RIGHT("0000"&amp;(9999-E13),4)&amp;AH13&amp;RIGHT("00000"&amp;ROW(),5),IF('FALTAS GERAL'!$M$1="Nº de decks (maior primeiro)","K"&amp;RIGHT("00"&amp;(99-N(G13)),2)&amp;AH13&amp;RIGHT("00000"&amp;ROW(),5),"K"&amp;RIGHT("00000"&amp;ROW(),5))))))</f>
        <v/>
      </c>
      <c r="AJ13" s="11" t="str">
        <f aca="false">IF(AI13="","",COUNTIFS($AI$2:$AI$801,"&lt;"&amp;AI13,$E$2:$E$801,"&gt;0")+1)</f>
        <v/>
      </c>
      <c r="AK13" s="11" t="str">
        <f aca="false">IF(OR(A13="",N(E13)&lt;=0),"",COUNTIFS($AH$2:$AH$801,"&lt;"&amp;AH13,$E$2:$E$801,"&gt;0")+COUNTIFS($AH$2:AH13,AH13,$E$2:E13,"&gt;0"))</f>
        <v/>
      </c>
    </row>
    <row r="14" customFormat="false" ht="15" hidden="false" customHeight="false" outlineLevel="0" collapsed="false">
      <c r="A14" s="11" t="str">
        <f aca="false">IF(INVENTÁRIO!A14="","",INVENTÁRIO!A14)</f>
        <v/>
      </c>
      <c r="B14" s="11" t="str">
        <f aca="false">IF(A14="","",INVENTÁRIO!B14)</f>
        <v/>
      </c>
      <c r="C14" s="16" t="str">
        <f aca="false">IF(A14="","",INVENTÁRIO!C14)</f>
        <v/>
      </c>
      <c r="D14" s="14" t="str">
        <f aca="false">IF(A14="","",MAX(K14:AD14))</f>
        <v/>
      </c>
      <c r="E14" s="14" t="str">
        <f aca="false">IF(A14="","",MAX(0,D14-C14))</f>
        <v/>
      </c>
      <c r="F14" s="16" t="str">
        <f aca="false">IF(A14="","",IF(D14=0,"Fora dos decks",IF(E14=0,"Completo","Falta")))</f>
        <v/>
      </c>
      <c r="G14" s="16" t="str">
        <f aca="false">IF(A14="","",COUNTIF(K14:AD14,"&gt;0"))</f>
        <v/>
      </c>
      <c r="H14" s="16" t="str">
        <f aca="false">IF(A14="","",IF(G14&gt;1,"Sim",""))</f>
        <v/>
      </c>
      <c r="I14" s="18" t="str">
        <f aca="false">IF(A14="","",SUMIFS(DECKS!$D$2:$D$1201,DECKS!$B$2:$B$1201,A14))</f>
        <v/>
      </c>
      <c r="J14" s="18" t="str">
        <f aca="false">IF(A14="","",MAX(0,I14-C14))</f>
        <v/>
      </c>
      <c r="K14" s="19" t="str">
        <f aca="false">IF(OR($A14="",INDEX(_LEITURA!$Q$2:$Q$21,1)=0),"",SUMIFS(DECKS!$D$2:$D$1201,DECKS!$A$2:$A$1201,INDEX(_LEITURA!$P$2:$P$21,1),DECKS!$B$2:$B$1201,$A14))</f>
        <v/>
      </c>
      <c r="L14" s="19" t="str">
        <f aca="false">IF(OR($A14="",INDEX(_LEITURA!$Q$2:$Q$21,2)=0),"",SUMIFS(DECKS!$D$2:$D$1201,DECKS!$A$2:$A$1201,INDEX(_LEITURA!$P$2:$P$21,2),DECKS!$B$2:$B$1201,$A14))</f>
        <v/>
      </c>
      <c r="M14" s="19" t="str">
        <f aca="false">IF(OR($A14="",INDEX(_LEITURA!$Q$2:$Q$21,3)=0),"",SUMIFS(DECKS!$D$2:$D$1201,DECKS!$A$2:$A$1201,INDEX(_LEITURA!$P$2:$P$21,3),DECKS!$B$2:$B$1201,$A14))</f>
        <v/>
      </c>
      <c r="N14" s="19" t="str">
        <f aca="false">IF(OR($A14="",INDEX(_LEITURA!$Q$2:$Q$21,4)=0),"",SUMIFS(DECKS!$D$2:$D$1201,DECKS!$A$2:$A$1201,INDEX(_LEITURA!$P$2:$P$21,4),DECKS!$B$2:$B$1201,$A14))</f>
        <v/>
      </c>
      <c r="O14" s="19" t="str">
        <f aca="false">IF(OR($A14="",INDEX(_LEITURA!$Q$2:$Q$21,5)=0),"",SUMIFS(DECKS!$D$2:$D$1201,DECKS!$A$2:$A$1201,INDEX(_LEITURA!$P$2:$P$21,5),DECKS!$B$2:$B$1201,$A14))</f>
        <v/>
      </c>
      <c r="P14" s="19" t="str">
        <f aca="false">IF(OR($A14="",INDEX(_LEITURA!$Q$2:$Q$21,6)=0),"",SUMIFS(DECKS!$D$2:$D$1201,DECKS!$A$2:$A$1201,INDEX(_LEITURA!$P$2:$P$21,6),DECKS!$B$2:$B$1201,$A14))</f>
        <v/>
      </c>
      <c r="Q14" s="19" t="str">
        <f aca="false">IF(OR($A14="",INDEX(_LEITURA!$Q$2:$Q$21,7)=0),"",SUMIFS(DECKS!$D$2:$D$1201,DECKS!$A$2:$A$1201,INDEX(_LEITURA!$P$2:$P$21,7),DECKS!$B$2:$B$1201,$A14))</f>
        <v/>
      </c>
      <c r="R14" s="19" t="str">
        <f aca="false">IF(OR($A14="",INDEX(_LEITURA!$Q$2:$Q$21,8)=0),"",SUMIFS(DECKS!$D$2:$D$1201,DECKS!$A$2:$A$1201,INDEX(_LEITURA!$P$2:$P$21,8),DECKS!$B$2:$B$1201,$A14))</f>
        <v/>
      </c>
      <c r="S14" s="19" t="str">
        <f aca="false">IF(OR($A14="",INDEX(_LEITURA!$Q$2:$Q$21,9)=0),"",SUMIFS(DECKS!$D$2:$D$1201,DECKS!$A$2:$A$1201,INDEX(_LEITURA!$P$2:$P$21,9),DECKS!$B$2:$B$1201,$A14))</f>
        <v/>
      </c>
      <c r="T14" s="19" t="str">
        <f aca="false">IF(OR($A14="",INDEX(_LEITURA!$Q$2:$Q$21,10)=0),"",SUMIFS(DECKS!$D$2:$D$1201,DECKS!$A$2:$A$1201,INDEX(_LEITURA!$P$2:$P$21,10),DECKS!$B$2:$B$1201,$A14))</f>
        <v/>
      </c>
      <c r="U14" s="19" t="str">
        <f aca="false">IF(OR($A14="",INDEX(_LEITURA!$Q$2:$Q$21,11)=0),"",SUMIFS(DECKS!$D$2:$D$1201,DECKS!$A$2:$A$1201,INDEX(_LEITURA!$P$2:$P$21,11),DECKS!$B$2:$B$1201,$A14))</f>
        <v/>
      </c>
      <c r="V14" s="19" t="str">
        <f aca="false">IF(OR($A14="",INDEX(_LEITURA!$Q$2:$Q$21,12)=0),"",SUMIFS(DECKS!$D$2:$D$1201,DECKS!$A$2:$A$1201,INDEX(_LEITURA!$P$2:$P$21,12),DECKS!$B$2:$B$1201,$A14))</f>
        <v/>
      </c>
      <c r="W14" s="19" t="str">
        <f aca="false">IF(OR($A14="",INDEX(_LEITURA!$Q$2:$Q$21,13)=0),"",SUMIFS(DECKS!$D$2:$D$1201,DECKS!$A$2:$A$1201,INDEX(_LEITURA!$P$2:$P$21,13),DECKS!$B$2:$B$1201,$A14))</f>
        <v/>
      </c>
      <c r="X14" s="19" t="str">
        <f aca="false">IF(OR($A14="",INDEX(_LEITURA!$Q$2:$Q$21,14)=0),"",SUMIFS(DECKS!$D$2:$D$1201,DECKS!$A$2:$A$1201,INDEX(_LEITURA!$P$2:$P$21,14),DECKS!$B$2:$B$1201,$A14))</f>
        <v/>
      </c>
      <c r="Y14" s="19" t="str">
        <f aca="false">IF(OR($A14="",INDEX(_LEITURA!$Q$2:$Q$21,15)=0),"",SUMIFS(DECKS!$D$2:$D$1201,DECKS!$A$2:$A$1201,INDEX(_LEITURA!$P$2:$P$21,15),DECKS!$B$2:$B$1201,$A14))</f>
        <v/>
      </c>
      <c r="Z14" s="19" t="str">
        <f aca="false">IF(OR($A14="",INDEX(_LEITURA!$Q$2:$Q$21,16)=0),"",SUMIFS(DECKS!$D$2:$D$1201,DECKS!$A$2:$A$1201,INDEX(_LEITURA!$P$2:$P$21,16),DECKS!$B$2:$B$1201,$A14))</f>
        <v/>
      </c>
      <c r="AA14" s="19" t="str">
        <f aca="false">IF(OR($A14="",INDEX(_LEITURA!$Q$2:$Q$21,17)=0),"",SUMIFS(DECKS!$D$2:$D$1201,DECKS!$A$2:$A$1201,INDEX(_LEITURA!$P$2:$P$21,17),DECKS!$B$2:$B$1201,$A14))</f>
        <v/>
      </c>
      <c r="AB14" s="19" t="str">
        <f aca="false">IF(OR($A14="",INDEX(_LEITURA!$Q$2:$Q$21,18)=0),"",SUMIFS(DECKS!$D$2:$D$1201,DECKS!$A$2:$A$1201,INDEX(_LEITURA!$P$2:$P$21,18),DECKS!$B$2:$B$1201,$A14))</f>
        <v/>
      </c>
      <c r="AC14" s="19" t="str">
        <f aca="false">IF(OR($A14="",INDEX(_LEITURA!$Q$2:$Q$21,19)=0),"",SUMIFS(DECKS!$D$2:$D$1201,DECKS!$A$2:$A$1201,INDEX(_LEITURA!$P$2:$P$21,19),DECKS!$B$2:$B$1201,$A14))</f>
        <v/>
      </c>
      <c r="AD14" s="19" t="str">
        <f aca="false">IF(OR($A14="",INDEX(_LEITURA!$Q$2:$Q$21,20)=0),"",SUMIFS(DECKS!$D$2:$D$1201,DECKS!$A$2:$A$1201,INDEX(_LEITURA!$P$2:$P$21,20),DECKS!$B$2:$B$1201,$A14))</f>
        <v/>
      </c>
      <c r="AE14" s="16" t="str">
        <f aca="false">IF(N(E14)&gt;0,MAX(AE$1:AE13)+1,"")</f>
        <v/>
      </c>
      <c r="AF14" s="11" t="str">
        <f aca="false">IF(A14="","",IFERROR(LEFT(A14,FIND("-",A14)-1),A14))</f>
        <v/>
      </c>
      <c r="AG14" s="11" t="str">
        <f aca="false">IF(AF14="","",IF(ISNUMBER(--MID(AF14,1,1)),0,IF(ISNUMBER(--MID(AF14,2,1)),1,IF(ISNUMBER(--MID(AF14,3,1)),2,IF(ISNUMBER(--MID(AF14,4,1)),3,MIN(LEN(AF14),4))))))</f>
        <v/>
      </c>
      <c r="AH14" s="11" t="str">
        <f aca="false">IF(A14="","",LEFT(AF14,AG14)&amp;REPT("0",4-AG14)&amp;RIGHT("000"&amp;IFERROR(VALUE(MID(AF14,AG14+1,9)),0),3)&amp;RIGHT("0000"&amp;IFERROR(VALUE(MID(A14,FIND("-",A14)+1,9)),0),4))</f>
        <v/>
      </c>
      <c r="AI14" s="11" t="str">
        <f aca="false">IF(OR(A14="",N(E14)&lt;=0),"",IF('FALTAS GERAL'!$M$1="Código","K"&amp;AH14&amp;RIGHT("00000"&amp;ROW(),5),IF('FALTAS GERAL'!$M$1="Nome","K"&amp;UPPER(SUBSTITUTE(SUBSTITUTE(SUBSTITUTE(B14,"*",""),"?",""),"~",""))&amp;"0"&amp;AH14&amp;RIGHT("00000"&amp;ROW(),5),IF('FALTAS GERAL'!$M$1="Falta (maior primeiro)","K"&amp;RIGHT("0000"&amp;(9999-E14),4)&amp;AH14&amp;RIGHT("00000"&amp;ROW(),5),IF('FALTAS GERAL'!$M$1="Nº de decks (maior primeiro)","K"&amp;RIGHT("00"&amp;(99-N(G14)),2)&amp;AH14&amp;RIGHT("00000"&amp;ROW(),5),"K"&amp;RIGHT("00000"&amp;ROW(),5))))))</f>
        <v/>
      </c>
      <c r="AJ14" s="11" t="str">
        <f aca="false">IF(AI14="","",COUNTIFS($AI$2:$AI$801,"&lt;"&amp;AI14,$E$2:$E$801,"&gt;0")+1)</f>
        <v/>
      </c>
      <c r="AK14" s="11" t="str">
        <f aca="false">IF(OR(A14="",N(E14)&lt;=0),"",COUNTIFS($AH$2:$AH$801,"&lt;"&amp;AH14,$E$2:$E$801,"&gt;0")+COUNTIFS($AH$2:AH14,AH14,$E$2:E14,"&gt;0"))</f>
        <v/>
      </c>
    </row>
    <row r="15" customFormat="false" ht="15" hidden="false" customHeight="false" outlineLevel="0" collapsed="false">
      <c r="A15" s="11" t="str">
        <f aca="false">IF(INVENTÁRIO!A15="","",INVENTÁRIO!A15)</f>
        <v/>
      </c>
      <c r="B15" s="11" t="str">
        <f aca="false">IF(A15="","",INVENTÁRIO!B15)</f>
        <v/>
      </c>
      <c r="C15" s="16" t="str">
        <f aca="false">IF(A15="","",INVENTÁRIO!C15)</f>
        <v/>
      </c>
      <c r="D15" s="14" t="str">
        <f aca="false">IF(A15="","",MAX(K15:AD15))</f>
        <v/>
      </c>
      <c r="E15" s="14" t="str">
        <f aca="false">IF(A15="","",MAX(0,D15-C15))</f>
        <v/>
      </c>
      <c r="F15" s="16" t="str">
        <f aca="false">IF(A15="","",IF(D15=0,"Fora dos decks",IF(E15=0,"Completo","Falta")))</f>
        <v/>
      </c>
      <c r="G15" s="16" t="str">
        <f aca="false">IF(A15="","",COUNTIF(K15:AD15,"&gt;0"))</f>
        <v/>
      </c>
      <c r="H15" s="16" t="str">
        <f aca="false">IF(A15="","",IF(G15&gt;1,"Sim",""))</f>
        <v/>
      </c>
      <c r="I15" s="18" t="str">
        <f aca="false">IF(A15="","",SUMIFS(DECKS!$D$2:$D$1201,DECKS!$B$2:$B$1201,A15))</f>
        <v/>
      </c>
      <c r="J15" s="18" t="str">
        <f aca="false">IF(A15="","",MAX(0,I15-C15))</f>
        <v/>
      </c>
      <c r="K15" s="19" t="str">
        <f aca="false">IF(OR($A15="",INDEX(_LEITURA!$Q$2:$Q$21,1)=0),"",SUMIFS(DECKS!$D$2:$D$1201,DECKS!$A$2:$A$1201,INDEX(_LEITURA!$P$2:$P$21,1),DECKS!$B$2:$B$1201,$A15))</f>
        <v/>
      </c>
      <c r="L15" s="19" t="str">
        <f aca="false">IF(OR($A15="",INDEX(_LEITURA!$Q$2:$Q$21,2)=0),"",SUMIFS(DECKS!$D$2:$D$1201,DECKS!$A$2:$A$1201,INDEX(_LEITURA!$P$2:$P$21,2),DECKS!$B$2:$B$1201,$A15))</f>
        <v/>
      </c>
      <c r="M15" s="19" t="str">
        <f aca="false">IF(OR($A15="",INDEX(_LEITURA!$Q$2:$Q$21,3)=0),"",SUMIFS(DECKS!$D$2:$D$1201,DECKS!$A$2:$A$1201,INDEX(_LEITURA!$P$2:$P$21,3),DECKS!$B$2:$B$1201,$A15))</f>
        <v/>
      </c>
      <c r="N15" s="19" t="str">
        <f aca="false">IF(OR($A15="",INDEX(_LEITURA!$Q$2:$Q$21,4)=0),"",SUMIFS(DECKS!$D$2:$D$1201,DECKS!$A$2:$A$1201,INDEX(_LEITURA!$P$2:$P$21,4),DECKS!$B$2:$B$1201,$A15))</f>
        <v/>
      </c>
      <c r="O15" s="19" t="str">
        <f aca="false">IF(OR($A15="",INDEX(_LEITURA!$Q$2:$Q$21,5)=0),"",SUMIFS(DECKS!$D$2:$D$1201,DECKS!$A$2:$A$1201,INDEX(_LEITURA!$P$2:$P$21,5),DECKS!$B$2:$B$1201,$A15))</f>
        <v/>
      </c>
      <c r="P15" s="19" t="str">
        <f aca="false">IF(OR($A15="",INDEX(_LEITURA!$Q$2:$Q$21,6)=0),"",SUMIFS(DECKS!$D$2:$D$1201,DECKS!$A$2:$A$1201,INDEX(_LEITURA!$P$2:$P$21,6),DECKS!$B$2:$B$1201,$A15))</f>
        <v/>
      </c>
      <c r="Q15" s="19" t="str">
        <f aca="false">IF(OR($A15="",INDEX(_LEITURA!$Q$2:$Q$21,7)=0),"",SUMIFS(DECKS!$D$2:$D$1201,DECKS!$A$2:$A$1201,INDEX(_LEITURA!$P$2:$P$21,7),DECKS!$B$2:$B$1201,$A15))</f>
        <v/>
      </c>
      <c r="R15" s="19" t="str">
        <f aca="false">IF(OR($A15="",INDEX(_LEITURA!$Q$2:$Q$21,8)=0),"",SUMIFS(DECKS!$D$2:$D$1201,DECKS!$A$2:$A$1201,INDEX(_LEITURA!$P$2:$P$21,8),DECKS!$B$2:$B$1201,$A15))</f>
        <v/>
      </c>
      <c r="S15" s="19" t="str">
        <f aca="false">IF(OR($A15="",INDEX(_LEITURA!$Q$2:$Q$21,9)=0),"",SUMIFS(DECKS!$D$2:$D$1201,DECKS!$A$2:$A$1201,INDEX(_LEITURA!$P$2:$P$21,9),DECKS!$B$2:$B$1201,$A15))</f>
        <v/>
      </c>
      <c r="T15" s="19" t="str">
        <f aca="false">IF(OR($A15="",INDEX(_LEITURA!$Q$2:$Q$21,10)=0),"",SUMIFS(DECKS!$D$2:$D$1201,DECKS!$A$2:$A$1201,INDEX(_LEITURA!$P$2:$P$21,10),DECKS!$B$2:$B$1201,$A15))</f>
        <v/>
      </c>
      <c r="U15" s="19" t="str">
        <f aca="false">IF(OR($A15="",INDEX(_LEITURA!$Q$2:$Q$21,11)=0),"",SUMIFS(DECKS!$D$2:$D$1201,DECKS!$A$2:$A$1201,INDEX(_LEITURA!$P$2:$P$21,11),DECKS!$B$2:$B$1201,$A15))</f>
        <v/>
      </c>
      <c r="V15" s="19" t="str">
        <f aca="false">IF(OR($A15="",INDEX(_LEITURA!$Q$2:$Q$21,12)=0),"",SUMIFS(DECKS!$D$2:$D$1201,DECKS!$A$2:$A$1201,INDEX(_LEITURA!$P$2:$P$21,12),DECKS!$B$2:$B$1201,$A15))</f>
        <v/>
      </c>
      <c r="W15" s="19" t="str">
        <f aca="false">IF(OR($A15="",INDEX(_LEITURA!$Q$2:$Q$21,13)=0),"",SUMIFS(DECKS!$D$2:$D$1201,DECKS!$A$2:$A$1201,INDEX(_LEITURA!$P$2:$P$21,13),DECKS!$B$2:$B$1201,$A15))</f>
        <v/>
      </c>
      <c r="X15" s="19" t="str">
        <f aca="false">IF(OR($A15="",INDEX(_LEITURA!$Q$2:$Q$21,14)=0),"",SUMIFS(DECKS!$D$2:$D$1201,DECKS!$A$2:$A$1201,INDEX(_LEITURA!$P$2:$P$21,14),DECKS!$B$2:$B$1201,$A15))</f>
        <v/>
      </c>
      <c r="Y15" s="19" t="str">
        <f aca="false">IF(OR($A15="",INDEX(_LEITURA!$Q$2:$Q$21,15)=0),"",SUMIFS(DECKS!$D$2:$D$1201,DECKS!$A$2:$A$1201,INDEX(_LEITURA!$P$2:$P$21,15),DECKS!$B$2:$B$1201,$A15))</f>
        <v/>
      </c>
      <c r="Z15" s="19" t="str">
        <f aca="false">IF(OR($A15="",INDEX(_LEITURA!$Q$2:$Q$21,16)=0),"",SUMIFS(DECKS!$D$2:$D$1201,DECKS!$A$2:$A$1201,INDEX(_LEITURA!$P$2:$P$21,16),DECKS!$B$2:$B$1201,$A15))</f>
        <v/>
      </c>
      <c r="AA15" s="19" t="str">
        <f aca="false">IF(OR($A15="",INDEX(_LEITURA!$Q$2:$Q$21,17)=0),"",SUMIFS(DECKS!$D$2:$D$1201,DECKS!$A$2:$A$1201,INDEX(_LEITURA!$P$2:$P$21,17),DECKS!$B$2:$B$1201,$A15))</f>
        <v/>
      </c>
      <c r="AB15" s="19" t="str">
        <f aca="false">IF(OR($A15="",INDEX(_LEITURA!$Q$2:$Q$21,18)=0),"",SUMIFS(DECKS!$D$2:$D$1201,DECKS!$A$2:$A$1201,INDEX(_LEITURA!$P$2:$P$21,18),DECKS!$B$2:$B$1201,$A15))</f>
        <v/>
      </c>
      <c r="AC15" s="19" t="str">
        <f aca="false">IF(OR($A15="",INDEX(_LEITURA!$Q$2:$Q$21,19)=0),"",SUMIFS(DECKS!$D$2:$D$1201,DECKS!$A$2:$A$1201,INDEX(_LEITURA!$P$2:$P$21,19),DECKS!$B$2:$B$1201,$A15))</f>
        <v/>
      </c>
      <c r="AD15" s="19" t="str">
        <f aca="false">IF(OR($A15="",INDEX(_LEITURA!$Q$2:$Q$21,20)=0),"",SUMIFS(DECKS!$D$2:$D$1201,DECKS!$A$2:$A$1201,INDEX(_LEITURA!$P$2:$P$21,20),DECKS!$B$2:$B$1201,$A15))</f>
        <v/>
      </c>
      <c r="AE15" s="16" t="str">
        <f aca="false">IF(N(E15)&gt;0,MAX(AE$1:AE14)+1,"")</f>
        <v/>
      </c>
      <c r="AF15" s="11" t="str">
        <f aca="false">IF(A15="","",IFERROR(LEFT(A15,FIND("-",A15)-1),A15))</f>
        <v/>
      </c>
      <c r="AG15" s="11" t="str">
        <f aca="false">IF(AF15="","",IF(ISNUMBER(--MID(AF15,1,1)),0,IF(ISNUMBER(--MID(AF15,2,1)),1,IF(ISNUMBER(--MID(AF15,3,1)),2,IF(ISNUMBER(--MID(AF15,4,1)),3,MIN(LEN(AF15),4))))))</f>
        <v/>
      </c>
      <c r="AH15" s="11" t="str">
        <f aca="false">IF(A15="","",LEFT(AF15,AG15)&amp;REPT("0",4-AG15)&amp;RIGHT("000"&amp;IFERROR(VALUE(MID(AF15,AG15+1,9)),0),3)&amp;RIGHT("0000"&amp;IFERROR(VALUE(MID(A15,FIND("-",A15)+1,9)),0),4))</f>
        <v/>
      </c>
      <c r="AI15" s="11" t="str">
        <f aca="false">IF(OR(A15="",N(E15)&lt;=0),"",IF('FALTAS GERAL'!$M$1="Código","K"&amp;AH15&amp;RIGHT("00000"&amp;ROW(),5),IF('FALTAS GERAL'!$M$1="Nome","K"&amp;UPPER(SUBSTITUTE(SUBSTITUTE(SUBSTITUTE(B15,"*",""),"?",""),"~",""))&amp;"0"&amp;AH15&amp;RIGHT("00000"&amp;ROW(),5),IF('FALTAS GERAL'!$M$1="Falta (maior primeiro)","K"&amp;RIGHT("0000"&amp;(9999-E15),4)&amp;AH15&amp;RIGHT("00000"&amp;ROW(),5),IF('FALTAS GERAL'!$M$1="Nº de decks (maior primeiro)","K"&amp;RIGHT("00"&amp;(99-N(G15)),2)&amp;AH15&amp;RIGHT("00000"&amp;ROW(),5),"K"&amp;RIGHT("00000"&amp;ROW(),5))))))</f>
        <v/>
      </c>
      <c r="AJ15" s="11" t="str">
        <f aca="false">IF(AI15="","",COUNTIFS($AI$2:$AI$801,"&lt;"&amp;AI15,$E$2:$E$801,"&gt;0")+1)</f>
        <v/>
      </c>
      <c r="AK15" s="11" t="str">
        <f aca="false">IF(OR(A15="",N(E15)&lt;=0),"",COUNTIFS($AH$2:$AH$801,"&lt;"&amp;AH15,$E$2:$E$801,"&gt;0")+COUNTIFS($AH$2:AH15,AH15,$E$2:E15,"&gt;0"))</f>
        <v/>
      </c>
    </row>
    <row r="16" customFormat="false" ht="15" hidden="false" customHeight="false" outlineLevel="0" collapsed="false">
      <c r="A16" s="11" t="str">
        <f aca="false">IF(INVENTÁRIO!A16="","",INVENTÁRIO!A16)</f>
        <v/>
      </c>
      <c r="B16" s="11" t="str">
        <f aca="false">IF(A16="","",INVENTÁRIO!B16)</f>
        <v/>
      </c>
      <c r="C16" s="16" t="str">
        <f aca="false">IF(A16="","",INVENTÁRIO!C16)</f>
        <v/>
      </c>
      <c r="D16" s="14" t="str">
        <f aca="false">IF(A16="","",MAX(K16:AD16))</f>
        <v/>
      </c>
      <c r="E16" s="14" t="str">
        <f aca="false">IF(A16="","",MAX(0,D16-C16))</f>
        <v/>
      </c>
      <c r="F16" s="16" t="str">
        <f aca="false">IF(A16="","",IF(D16=0,"Fora dos decks",IF(E16=0,"Completo","Falta")))</f>
        <v/>
      </c>
      <c r="G16" s="16" t="str">
        <f aca="false">IF(A16="","",COUNTIF(K16:AD16,"&gt;0"))</f>
        <v/>
      </c>
      <c r="H16" s="16" t="str">
        <f aca="false">IF(A16="","",IF(G16&gt;1,"Sim",""))</f>
        <v/>
      </c>
      <c r="I16" s="18" t="str">
        <f aca="false">IF(A16="","",SUMIFS(DECKS!$D$2:$D$1201,DECKS!$B$2:$B$1201,A16))</f>
        <v/>
      </c>
      <c r="J16" s="18" t="str">
        <f aca="false">IF(A16="","",MAX(0,I16-C16))</f>
        <v/>
      </c>
      <c r="K16" s="19" t="str">
        <f aca="false">IF(OR($A16="",INDEX(_LEITURA!$Q$2:$Q$21,1)=0),"",SUMIFS(DECKS!$D$2:$D$1201,DECKS!$A$2:$A$1201,INDEX(_LEITURA!$P$2:$P$21,1),DECKS!$B$2:$B$1201,$A16))</f>
        <v/>
      </c>
      <c r="L16" s="19" t="str">
        <f aca="false">IF(OR($A16="",INDEX(_LEITURA!$Q$2:$Q$21,2)=0),"",SUMIFS(DECKS!$D$2:$D$1201,DECKS!$A$2:$A$1201,INDEX(_LEITURA!$P$2:$P$21,2),DECKS!$B$2:$B$1201,$A16))</f>
        <v/>
      </c>
      <c r="M16" s="19" t="str">
        <f aca="false">IF(OR($A16="",INDEX(_LEITURA!$Q$2:$Q$21,3)=0),"",SUMIFS(DECKS!$D$2:$D$1201,DECKS!$A$2:$A$1201,INDEX(_LEITURA!$P$2:$P$21,3),DECKS!$B$2:$B$1201,$A16))</f>
        <v/>
      </c>
      <c r="N16" s="19" t="str">
        <f aca="false">IF(OR($A16="",INDEX(_LEITURA!$Q$2:$Q$21,4)=0),"",SUMIFS(DECKS!$D$2:$D$1201,DECKS!$A$2:$A$1201,INDEX(_LEITURA!$P$2:$P$21,4),DECKS!$B$2:$B$1201,$A16))</f>
        <v/>
      </c>
      <c r="O16" s="19" t="str">
        <f aca="false">IF(OR($A16="",INDEX(_LEITURA!$Q$2:$Q$21,5)=0),"",SUMIFS(DECKS!$D$2:$D$1201,DECKS!$A$2:$A$1201,INDEX(_LEITURA!$P$2:$P$21,5),DECKS!$B$2:$B$1201,$A16))</f>
        <v/>
      </c>
      <c r="P16" s="19" t="str">
        <f aca="false">IF(OR($A16="",INDEX(_LEITURA!$Q$2:$Q$21,6)=0),"",SUMIFS(DECKS!$D$2:$D$1201,DECKS!$A$2:$A$1201,INDEX(_LEITURA!$P$2:$P$21,6),DECKS!$B$2:$B$1201,$A16))</f>
        <v/>
      </c>
      <c r="Q16" s="19" t="str">
        <f aca="false">IF(OR($A16="",INDEX(_LEITURA!$Q$2:$Q$21,7)=0),"",SUMIFS(DECKS!$D$2:$D$1201,DECKS!$A$2:$A$1201,INDEX(_LEITURA!$P$2:$P$21,7),DECKS!$B$2:$B$1201,$A16))</f>
        <v/>
      </c>
      <c r="R16" s="19" t="str">
        <f aca="false">IF(OR($A16="",INDEX(_LEITURA!$Q$2:$Q$21,8)=0),"",SUMIFS(DECKS!$D$2:$D$1201,DECKS!$A$2:$A$1201,INDEX(_LEITURA!$P$2:$P$21,8),DECKS!$B$2:$B$1201,$A16))</f>
        <v/>
      </c>
      <c r="S16" s="19" t="str">
        <f aca="false">IF(OR($A16="",INDEX(_LEITURA!$Q$2:$Q$21,9)=0),"",SUMIFS(DECKS!$D$2:$D$1201,DECKS!$A$2:$A$1201,INDEX(_LEITURA!$P$2:$P$21,9),DECKS!$B$2:$B$1201,$A16))</f>
        <v/>
      </c>
      <c r="T16" s="19" t="str">
        <f aca="false">IF(OR($A16="",INDEX(_LEITURA!$Q$2:$Q$21,10)=0),"",SUMIFS(DECKS!$D$2:$D$1201,DECKS!$A$2:$A$1201,INDEX(_LEITURA!$P$2:$P$21,10),DECKS!$B$2:$B$1201,$A16))</f>
        <v/>
      </c>
      <c r="U16" s="19" t="str">
        <f aca="false">IF(OR($A16="",INDEX(_LEITURA!$Q$2:$Q$21,11)=0),"",SUMIFS(DECKS!$D$2:$D$1201,DECKS!$A$2:$A$1201,INDEX(_LEITURA!$P$2:$P$21,11),DECKS!$B$2:$B$1201,$A16))</f>
        <v/>
      </c>
      <c r="V16" s="19" t="str">
        <f aca="false">IF(OR($A16="",INDEX(_LEITURA!$Q$2:$Q$21,12)=0),"",SUMIFS(DECKS!$D$2:$D$1201,DECKS!$A$2:$A$1201,INDEX(_LEITURA!$P$2:$P$21,12),DECKS!$B$2:$B$1201,$A16))</f>
        <v/>
      </c>
      <c r="W16" s="19" t="str">
        <f aca="false">IF(OR($A16="",INDEX(_LEITURA!$Q$2:$Q$21,13)=0),"",SUMIFS(DECKS!$D$2:$D$1201,DECKS!$A$2:$A$1201,INDEX(_LEITURA!$P$2:$P$21,13),DECKS!$B$2:$B$1201,$A16))</f>
        <v/>
      </c>
      <c r="X16" s="19" t="str">
        <f aca="false">IF(OR($A16="",INDEX(_LEITURA!$Q$2:$Q$21,14)=0),"",SUMIFS(DECKS!$D$2:$D$1201,DECKS!$A$2:$A$1201,INDEX(_LEITURA!$P$2:$P$21,14),DECKS!$B$2:$B$1201,$A16))</f>
        <v/>
      </c>
      <c r="Y16" s="19" t="str">
        <f aca="false">IF(OR($A16="",INDEX(_LEITURA!$Q$2:$Q$21,15)=0),"",SUMIFS(DECKS!$D$2:$D$1201,DECKS!$A$2:$A$1201,INDEX(_LEITURA!$P$2:$P$21,15),DECKS!$B$2:$B$1201,$A16))</f>
        <v/>
      </c>
      <c r="Z16" s="19" t="str">
        <f aca="false">IF(OR($A16="",INDEX(_LEITURA!$Q$2:$Q$21,16)=0),"",SUMIFS(DECKS!$D$2:$D$1201,DECKS!$A$2:$A$1201,INDEX(_LEITURA!$P$2:$P$21,16),DECKS!$B$2:$B$1201,$A16))</f>
        <v/>
      </c>
      <c r="AA16" s="19" t="str">
        <f aca="false">IF(OR($A16="",INDEX(_LEITURA!$Q$2:$Q$21,17)=0),"",SUMIFS(DECKS!$D$2:$D$1201,DECKS!$A$2:$A$1201,INDEX(_LEITURA!$P$2:$P$21,17),DECKS!$B$2:$B$1201,$A16))</f>
        <v/>
      </c>
      <c r="AB16" s="19" t="str">
        <f aca="false">IF(OR($A16="",INDEX(_LEITURA!$Q$2:$Q$21,18)=0),"",SUMIFS(DECKS!$D$2:$D$1201,DECKS!$A$2:$A$1201,INDEX(_LEITURA!$P$2:$P$21,18),DECKS!$B$2:$B$1201,$A16))</f>
        <v/>
      </c>
      <c r="AC16" s="19" t="str">
        <f aca="false">IF(OR($A16="",INDEX(_LEITURA!$Q$2:$Q$21,19)=0),"",SUMIFS(DECKS!$D$2:$D$1201,DECKS!$A$2:$A$1201,INDEX(_LEITURA!$P$2:$P$21,19),DECKS!$B$2:$B$1201,$A16))</f>
        <v/>
      </c>
      <c r="AD16" s="19" t="str">
        <f aca="false">IF(OR($A16="",INDEX(_LEITURA!$Q$2:$Q$21,20)=0),"",SUMIFS(DECKS!$D$2:$D$1201,DECKS!$A$2:$A$1201,INDEX(_LEITURA!$P$2:$P$21,20),DECKS!$B$2:$B$1201,$A16))</f>
        <v/>
      </c>
      <c r="AE16" s="16" t="str">
        <f aca="false">IF(N(E16)&gt;0,MAX(AE$1:AE15)+1,"")</f>
        <v/>
      </c>
      <c r="AF16" s="11" t="str">
        <f aca="false">IF(A16="","",IFERROR(LEFT(A16,FIND("-",A16)-1),A16))</f>
        <v/>
      </c>
      <c r="AG16" s="11" t="str">
        <f aca="false">IF(AF16="","",IF(ISNUMBER(--MID(AF16,1,1)),0,IF(ISNUMBER(--MID(AF16,2,1)),1,IF(ISNUMBER(--MID(AF16,3,1)),2,IF(ISNUMBER(--MID(AF16,4,1)),3,MIN(LEN(AF16),4))))))</f>
        <v/>
      </c>
      <c r="AH16" s="11" t="str">
        <f aca="false">IF(A16="","",LEFT(AF16,AG16)&amp;REPT("0",4-AG16)&amp;RIGHT("000"&amp;IFERROR(VALUE(MID(AF16,AG16+1,9)),0),3)&amp;RIGHT("0000"&amp;IFERROR(VALUE(MID(A16,FIND("-",A16)+1,9)),0),4))</f>
        <v/>
      </c>
      <c r="AI16" s="11" t="str">
        <f aca="false">IF(OR(A16="",N(E16)&lt;=0),"",IF('FALTAS GERAL'!$M$1="Código","K"&amp;AH16&amp;RIGHT("00000"&amp;ROW(),5),IF('FALTAS GERAL'!$M$1="Nome","K"&amp;UPPER(SUBSTITUTE(SUBSTITUTE(SUBSTITUTE(B16,"*",""),"?",""),"~",""))&amp;"0"&amp;AH16&amp;RIGHT("00000"&amp;ROW(),5),IF('FALTAS GERAL'!$M$1="Falta (maior primeiro)","K"&amp;RIGHT("0000"&amp;(9999-E16),4)&amp;AH16&amp;RIGHT("00000"&amp;ROW(),5),IF('FALTAS GERAL'!$M$1="Nº de decks (maior primeiro)","K"&amp;RIGHT("00"&amp;(99-N(G16)),2)&amp;AH16&amp;RIGHT("00000"&amp;ROW(),5),"K"&amp;RIGHT("00000"&amp;ROW(),5))))))</f>
        <v/>
      </c>
      <c r="AJ16" s="11" t="str">
        <f aca="false">IF(AI16="","",COUNTIFS($AI$2:$AI$801,"&lt;"&amp;AI16,$E$2:$E$801,"&gt;0")+1)</f>
        <v/>
      </c>
      <c r="AK16" s="11" t="str">
        <f aca="false">IF(OR(A16="",N(E16)&lt;=0),"",COUNTIFS($AH$2:$AH$801,"&lt;"&amp;AH16,$E$2:$E$801,"&gt;0")+COUNTIFS($AH$2:AH16,AH16,$E$2:E16,"&gt;0"))</f>
        <v/>
      </c>
    </row>
    <row r="17" customFormat="false" ht="15" hidden="false" customHeight="false" outlineLevel="0" collapsed="false">
      <c r="A17" s="11" t="str">
        <f aca="false">IF(INVENTÁRIO!A17="","",INVENTÁRIO!A17)</f>
        <v/>
      </c>
      <c r="B17" s="11" t="str">
        <f aca="false">IF(A17="","",INVENTÁRIO!B17)</f>
        <v/>
      </c>
      <c r="C17" s="16" t="str">
        <f aca="false">IF(A17="","",INVENTÁRIO!C17)</f>
        <v/>
      </c>
      <c r="D17" s="14" t="str">
        <f aca="false">IF(A17="","",MAX(K17:AD17))</f>
        <v/>
      </c>
      <c r="E17" s="14" t="str">
        <f aca="false">IF(A17="","",MAX(0,D17-C17))</f>
        <v/>
      </c>
      <c r="F17" s="16" t="str">
        <f aca="false">IF(A17="","",IF(D17=0,"Fora dos decks",IF(E17=0,"Completo","Falta")))</f>
        <v/>
      </c>
      <c r="G17" s="16" t="str">
        <f aca="false">IF(A17="","",COUNTIF(K17:AD17,"&gt;0"))</f>
        <v/>
      </c>
      <c r="H17" s="16" t="str">
        <f aca="false">IF(A17="","",IF(G17&gt;1,"Sim",""))</f>
        <v/>
      </c>
      <c r="I17" s="18" t="str">
        <f aca="false">IF(A17="","",SUMIFS(DECKS!$D$2:$D$1201,DECKS!$B$2:$B$1201,A17))</f>
        <v/>
      </c>
      <c r="J17" s="18" t="str">
        <f aca="false">IF(A17="","",MAX(0,I17-C17))</f>
        <v/>
      </c>
      <c r="K17" s="19" t="str">
        <f aca="false">IF(OR($A17="",INDEX(_LEITURA!$Q$2:$Q$21,1)=0),"",SUMIFS(DECKS!$D$2:$D$1201,DECKS!$A$2:$A$1201,INDEX(_LEITURA!$P$2:$P$21,1),DECKS!$B$2:$B$1201,$A17))</f>
        <v/>
      </c>
      <c r="L17" s="19" t="str">
        <f aca="false">IF(OR($A17="",INDEX(_LEITURA!$Q$2:$Q$21,2)=0),"",SUMIFS(DECKS!$D$2:$D$1201,DECKS!$A$2:$A$1201,INDEX(_LEITURA!$P$2:$P$21,2),DECKS!$B$2:$B$1201,$A17))</f>
        <v/>
      </c>
      <c r="M17" s="19" t="str">
        <f aca="false">IF(OR($A17="",INDEX(_LEITURA!$Q$2:$Q$21,3)=0),"",SUMIFS(DECKS!$D$2:$D$1201,DECKS!$A$2:$A$1201,INDEX(_LEITURA!$P$2:$P$21,3),DECKS!$B$2:$B$1201,$A17))</f>
        <v/>
      </c>
      <c r="N17" s="19" t="str">
        <f aca="false">IF(OR($A17="",INDEX(_LEITURA!$Q$2:$Q$21,4)=0),"",SUMIFS(DECKS!$D$2:$D$1201,DECKS!$A$2:$A$1201,INDEX(_LEITURA!$P$2:$P$21,4),DECKS!$B$2:$B$1201,$A17))</f>
        <v/>
      </c>
      <c r="O17" s="19" t="str">
        <f aca="false">IF(OR($A17="",INDEX(_LEITURA!$Q$2:$Q$21,5)=0),"",SUMIFS(DECKS!$D$2:$D$1201,DECKS!$A$2:$A$1201,INDEX(_LEITURA!$P$2:$P$21,5),DECKS!$B$2:$B$1201,$A17))</f>
        <v/>
      </c>
      <c r="P17" s="19" t="str">
        <f aca="false">IF(OR($A17="",INDEX(_LEITURA!$Q$2:$Q$21,6)=0),"",SUMIFS(DECKS!$D$2:$D$1201,DECKS!$A$2:$A$1201,INDEX(_LEITURA!$P$2:$P$21,6),DECKS!$B$2:$B$1201,$A17))</f>
        <v/>
      </c>
      <c r="Q17" s="19" t="str">
        <f aca="false">IF(OR($A17="",INDEX(_LEITURA!$Q$2:$Q$21,7)=0),"",SUMIFS(DECKS!$D$2:$D$1201,DECKS!$A$2:$A$1201,INDEX(_LEITURA!$P$2:$P$21,7),DECKS!$B$2:$B$1201,$A17))</f>
        <v/>
      </c>
      <c r="R17" s="19" t="str">
        <f aca="false">IF(OR($A17="",INDEX(_LEITURA!$Q$2:$Q$21,8)=0),"",SUMIFS(DECKS!$D$2:$D$1201,DECKS!$A$2:$A$1201,INDEX(_LEITURA!$P$2:$P$21,8),DECKS!$B$2:$B$1201,$A17))</f>
        <v/>
      </c>
      <c r="S17" s="19" t="str">
        <f aca="false">IF(OR($A17="",INDEX(_LEITURA!$Q$2:$Q$21,9)=0),"",SUMIFS(DECKS!$D$2:$D$1201,DECKS!$A$2:$A$1201,INDEX(_LEITURA!$P$2:$P$21,9),DECKS!$B$2:$B$1201,$A17))</f>
        <v/>
      </c>
      <c r="T17" s="19" t="str">
        <f aca="false">IF(OR($A17="",INDEX(_LEITURA!$Q$2:$Q$21,10)=0),"",SUMIFS(DECKS!$D$2:$D$1201,DECKS!$A$2:$A$1201,INDEX(_LEITURA!$P$2:$P$21,10),DECKS!$B$2:$B$1201,$A17))</f>
        <v/>
      </c>
      <c r="U17" s="19" t="str">
        <f aca="false">IF(OR($A17="",INDEX(_LEITURA!$Q$2:$Q$21,11)=0),"",SUMIFS(DECKS!$D$2:$D$1201,DECKS!$A$2:$A$1201,INDEX(_LEITURA!$P$2:$P$21,11),DECKS!$B$2:$B$1201,$A17))</f>
        <v/>
      </c>
      <c r="V17" s="19" t="str">
        <f aca="false">IF(OR($A17="",INDEX(_LEITURA!$Q$2:$Q$21,12)=0),"",SUMIFS(DECKS!$D$2:$D$1201,DECKS!$A$2:$A$1201,INDEX(_LEITURA!$P$2:$P$21,12),DECKS!$B$2:$B$1201,$A17))</f>
        <v/>
      </c>
      <c r="W17" s="19" t="str">
        <f aca="false">IF(OR($A17="",INDEX(_LEITURA!$Q$2:$Q$21,13)=0),"",SUMIFS(DECKS!$D$2:$D$1201,DECKS!$A$2:$A$1201,INDEX(_LEITURA!$P$2:$P$21,13),DECKS!$B$2:$B$1201,$A17))</f>
        <v/>
      </c>
      <c r="X17" s="19" t="str">
        <f aca="false">IF(OR($A17="",INDEX(_LEITURA!$Q$2:$Q$21,14)=0),"",SUMIFS(DECKS!$D$2:$D$1201,DECKS!$A$2:$A$1201,INDEX(_LEITURA!$P$2:$P$21,14),DECKS!$B$2:$B$1201,$A17))</f>
        <v/>
      </c>
      <c r="Y17" s="19" t="str">
        <f aca="false">IF(OR($A17="",INDEX(_LEITURA!$Q$2:$Q$21,15)=0),"",SUMIFS(DECKS!$D$2:$D$1201,DECKS!$A$2:$A$1201,INDEX(_LEITURA!$P$2:$P$21,15),DECKS!$B$2:$B$1201,$A17))</f>
        <v/>
      </c>
      <c r="Z17" s="19" t="str">
        <f aca="false">IF(OR($A17="",INDEX(_LEITURA!$Q$2:$Q$21,16)=0),"",SUMIFS(DECKS!$D$2:$D$1201,DECKS!$A$2:$A$1201,INDEX(_LEITURA!$P$2:$P$21,16),DECKS!$B$2:$B$1201,$A17))</f>
        <v/>
      </c>
      <c r="AA17" s="19" t="str">
        <f aca="false">IF(OR($A17="",INDEX(_LEITURA!$Q$2:$Q$21,17)=0),"",SUMIFS(DECKS!$D$2:$D$1201,DECKS!$A$2:$A$1201,INDEX(_LEITURA!$P$2:$P$21,17),DECKS!$B$2:$B$1201,$A17))</f>
        <v/>
      </c>
      <c r="AB17" s="19" t="str">
        <f aca="false">IF(OR($A17="",INDEX(_LEITURA!$Q$2:$Q$21,18)=0),"",SUMIFS(DECKS!$D$2:$D$1201,DECKS!$A$2:$A$1201,INDEX(_LEITURA!$P$2:$P$21,18),DECKS!$B$2:$B$1201,$A17))</f>
        <v/>
      </c>
      <c r="AC17" s="19" t="str">
        <f aca="false">IF(OR($A17="",INDEX(_LEITURA!$Q$2:$Q$21,19)=0),"",SUMIFS(DECKS!$D$2:$D$1201,DECKS!$A$2:$A$1201,INDEX(_LEITURA!$P$2:$P$21,19),DECKS!$B$2:$B$1201,$A17))</f>
        <v/>
      </c>
      <c r="AD17" s="19" t="str">
        <f aca="false">IF(OR($A17="",INDEX(_LEITURA!$Q$2:$Q$21,20)=0),"",SUMIFS(DECKS!$D$2:$D$1201,DECKS!$A$2:$A$1201,INDEX(_LEITURA!$P$2:$P$21,20),DECKS!$B$2:$B$1201,$A17))</f>
        <v/>
      </c>
      <c r="AE17" s="16" t="str">
        <f aca="false">IF(N(E17)&gt;0,MAX(AE$1:AE16)+1,"")</f>
        <v/>
      </c>
      <c r="AF17" s="11" t="str">
        <f aca="false">IF(A17="","",IFERROR(LEFT(A17,FIND("-",A17)-1),A17))</f>
        <v/>
      </c>
      <c r="AG17" s="11" t="str">
        <f aca="false">IF(AF17="","",IF(ISNUMBER(--MID(AF17,1,1)),0,IF(ISNUMBER(--MID(AF17,2,1)),1,IF(ISNUMBER(--MID(AF17,3,1)),2,IF(ISNUMBER(--MID(AF17,4,1)),3,MIN(LEN(AF17),4))))))</f>
        <v/>
      </c>
      <c r="AH17" s="11" t="str">
        <f aca="false">IF(A17="","",LEFT(AF17,AG17)&amp;REPT("0",4-AG17)&amp;RIGHT("000"&amp;IFERROR(VALUE(MID(AF17,AG17+1,9)),0),3)&amp;RIGHT("0000"&amp;IFERROR(VALUE(MID(A17,FIND("-",A17)+1,9)),0),4))</f>
        <v/>
      </c>
      <c r="AI17" s="11" t="str">
        <f aca="false">IF(OR(A17="",N(E17)&lt;=0),"",IF('FALTAS GERAL'!$M$1="Código","K"&amp;AH17&amp;RIGHT("00000"&amp;ROW(),5),IF('FALTAS GERAL'!$M$1="Nome","K"&amp;UPPER(SUBSTITUTE(SUBSTITUTE(SUBSTITUTE(B17,"*",""),"?",""),"~",""))&amp;"0"&amp;AH17&amp;RIGHT("00000"&amp;ROW(),5),IF('FALTAS GERAL'!$M$1="Falta (maior primeiro)","K"&amp;RIGHT("0000"&amp;(9999-E17),4)&amp;AH17&amp;RIGHT("00000"&amp;ROW(),5),IF('FALTAS GERAL'!$M$1="Nº de decks (maior primeiro)","K"&amp;RIGHT("00"&amp;(99-N(G17)),2)&amp;AH17&amp;RIGHT("00000"&amp;ROW(),5),"K"&amp;RIGHT("00000"&amp;ROW(),5))))))</f>
        <v/>
      </c>
      <c r="AJ17" s="11" t="str">
        <f aca="false">IF(AI17="","",COUNTIFS($AI$2:$AI$801,"&lt;"&amp;AI17,$E$2:$E$801,"&gt;0")+1)</f>
        <v/>
      </c>
      <c r="AK17" s="11" t="str">
        <f aca="false">IF(OR(A17="",N(E17)&lt;=0),"",COUNTIFS($AH$2:$AH$801,"&lt;"&amp;AH17,$E$2:$E$801,"&gt;0")+COUNTIFS($AH$2:AH17,AH17,$E$2:E17,"&gt;0"))</f>
        <v/>
      </c>
    </row>
    <row r="18" customFormat="false" ht="15" hidden="false" customHeight="false" outlineLevel="0" collapsed="false">
      <c r="A18" s="11" t="str">
        <f aca="false">IF(INVENTÁRIO!A18="","",INVENTÁRIO!A18)</f>
        <v/>
      </c>
      <c r="B18" s="11" t="str">
        <f aca="false">IF(A18="","",INVENTÁRIO!B18)</f>
        <v/>
      </c>
      <c r="C18" s="16" t="str">
        <f aca="false">IF(A18="","",INVENTÁRIO!C18)</f>
        <v/>
      </c>
      <c r="D18" s="14" t="str">
        <f aca="false">IF(A18="","",MAX(K18:AD18))</f>
        <v/>
      </c>
      <c r="E18" s="14" t="str">
        <f aca="false">IF(A18="","",MAX(0,D18-C18))</f>
        <v/>
      </c>
      <c r="F18" s="16" t="str">
        <f aca="false">IF(A18="","",IF(D18=0,"Fora dos decks",IF(E18=0,"Completo","Falta")))</f>
        <v/>
      </c>
      <c r="G18" s="16" t="str">
        <f aca="false">IF(A18="","",COUNTIF(K18:AD18,"&gt;0"))</f>
        <v/>
      </c>
      <c r="H18" s="16" t="str">
        <f aca="false">IF(A18="","",IF(G18&gt;1,"Sim",""))</f>
        <v/>
      </c>
      <c r="I18" s="18" t="str">
        <f aca="false">IF(A18="","",SUMIFS(DECKS!$D$2:$D$1201,DECKS!$B$2:$B$1201,A18))</f>
        <v/>
      </c>
      <c r="J18" s="18" t="str">
        <f aca="false">IF(A18="","",MAX(0,I18-C18))</f>
        <v/>
      </c>
      <c r="K18" s="19" t="str">
        <f aca="false">IF(OR($A18="",INDEX(_LEITURA!$Q$2:$Q$21,1)=0),"",SUMIFS(DECKS!$D$2:$D$1201,DECKS!$A$2:$A$1201,INDEX(_LEITURA!$P$2:$P$21,1),DECKS!$B$2:$B$1201,$A18))</f>
        <v/>
      </c>
      <c r="L18" s="19" t="str">
        <f aca="false">IF(OR($A18="",INDEX(_LEITURA!$Q$2:$Q$21,2)=0),"",SUMIFS(DECKS!$D$2:$D$1201,DECKS!$A$2:$A$1201,INDEX(_LEITURA!$P$2:$P$21,2),DECKS!$B$2:$B$1201,$A18))</f>
        <v/>
      </c>
      <c r="M18" s="19" t="str">
        <f aca="false">IF(OR($A18="",INDEX(_LEITURA!$Q$2:$Q$21,3)=0),"",SUMIFS(DECKS!$D$2:$D$1201,DECKS!$A$2:$A$1201,INDEX(_LEITURA!$P$2:$P$21,3),DECKS!$B$2:$B$1201,$A18))</f>
        <v/>
      </c>
      <c r="N18" s="19" t="str">
        <f aca="false">IF(OR($A18="",INDEX(_LEITURA!$Q$2:$Q$21,4)=0),"",SUMIFS(DECKS!$D$2:$D$1201,DECKS!$A$2:$A$1201,INDEX(_LEITURA!$P$2:$P$21,4),DECKS!$B$2:$B$1201,$A18))</f>
        <v/>
      </c>
      <c r="O18" s="19" t="str">
        <f aca="false">IF(OR($A18="",INDEX(_LEITURA!$Q$2:$Q$21,5)=0),"",SUMIFS(DECKS!$D$2:$D$1201,DECKS!$A$2:$A$1201,INDEX(_LEITURA!$P$2:$P$21,5),DECKS!$B$2:$B$1201,$A18))</f>
        <v/>
      </c>
      <c r="P18" s="19" t="str">
        <f aca="false">IF(OR($A18="",INDEX(_LEITURA!$Q$2:$Q$21,6)=0),"",SUMIFS(DECKS!$D$2:$D$1201,DECKS!$A$2:$A$1201,INDEX(_LEITURA!$P$2:$P$21,6),DECKS!$B$2:$B$1201,$A18))</f>
        <v/>
      </c>
      <c r="Q18" s="19" t="str">
        <f aca="false">IF(OR($A18="",INDEX(_LEITURA!$Q$2:$Q$21,7)=0),"",SUMIFS(DECKS!$D$2:$D$1201,DECKS!$A$2:$A$1201,INDEX(_LEITURA!$P$2:$P$21,7),DECKS!$B$2:$B$1201,$A18))</f>
        <v/>
      </c>
      <c r="R18" s="19" t="str">
        <f aca="false">IF(OR($A18="",INDEX(_LEITURA!$Q$2:$Q$21,8)=0),"",SUMIFS(DECKS!$D$2:$D$1201,DECKS!$A$2:$A$1201,INDEX(_LEITURA!$P$2:$P$21,8),DECKS!$B$2:$B$1201,$A18))</f>
        <v/>
      </c>
      <c r="S18" s="19" t="str">
        <f aca="false">IF(OR($A18="",INDEX(_LEITURA!$Q$2:$Q$21,9)=0),"",SUMIFS(DECKS!$D$2:$D$1201,DECKS!$A$2:$A$1201,INDEX(_LEITURA!$P$2:$P$21,9),DECKS!$B$2:$B$1201,$A18))</f>
        <v/>
      </c>
      <c r="T18" s="19" t="str">
        <f aca="false">IF(OR($A18="",INDEX(_LEITURA!$Q$2:$Q$21,10)=0),"",SUMIFS(DECKS!$D$2:$D$1201,DECKS!$A$2:$A$1201,INDEX(_LEITURA!$P$2:$P$21,10),DECKS!$B$2:$B$1201,$A18))</f>
        <v/>
      </c>
      <c r="U18" s="19" t="str">
        <f aca="false">IF(OR($A18="",INDEX(_LEITURA!$Q$2:$Q$21,11)=0),"",SUMIFS(DECKS!$D$2:$D$1201,DECKS!$A$2:$A$1201,INDEX(_LEITURA!$P$2:$P$21,11),DECKS!$B$2:$B$1201,$A18))</f>
        <v/>
      </c>
      <c r="V18" s="19" t="str">
        <f aca="false">IF(OR($A18="",INDEX(_LEITURA!$Q$2:$Q$21,12)=0),"",SUMIFS(DECKS!$D$2:$D$1201,DECKS!$A$2:$A$1201,INDEX(_LEITURA!$P$2:$P$21,12),DECKS!$B$2:$B$1201,$A18))</f>
        <v/>
      </c>
      <c r="W18" s="19" t="str">
        <f aca="false">IF(OR($A18="",INDEX(_LEITURA!$Q$2:$Q$21,13)=0),"",SUMIFS(DECKS!$D$2:$D$1201,DECKS!$A$2:$A$1201,INDEX(_LEITURA!$P$2:$P$21,13),DECKS!$B$2:$B$1201,$A18))</f>
        <v/>
      </c>
      <c r="X18" s="19" t="str">
        <f aca="false">IF(OR($A18="",INDEX(_LEITURA!$Q$2:$Q$21,14)=0),"",SUMIFS(DECKS!$D$2:$D$1201,DECKS!$A$2:$A$1201,INDEX(_LEITURA!$P$2:$P$21,14),DECKS!$B$2:$B$1201,$A18))</f>
        <v/>
      </c>
      <c r="Y18" s="19" t="str">
        <f aca="false">IF(OR($A18="",INDEX(_LEITURA!$Q$2:$Q$21,15)=0),"",SUMIFS(DECKS!$D$2:$D$1201,DECKS!$A$2:$A$1201,INDEX(_LEITURA!$P$2:$P$21,15),DECKS!$B$2:$B$1201,$A18))</f>
        <v/>
      </c>
      <c r="Z18" s="19" t="str">
        <f aca="false">IF(OR($A18="",INDEX(_LEITURA!$Q$2:$Q$21,16)=0),"",SUMIFS(DECKS!$D$2:$D$1201,DECKS!$A$2:$A$1201,INDEX(_LEITURA!$P$2:$P$21,16),DECKS!$B$2:$B$1201,$A18))</f>
        <v/>
      </c>
      <c r="AA18" s="19" t="str">
        <f aca="false">IF(OR($A18="",INDEX(_LEITURA!$Q$2:$Q$21,17)=0),"",SUMIFS(DECKS!$D$2:$D$1201,DECKS!$A$2:$A$1201,INDEX(_LEITURA!$P$2:$P$21,17),DECKS!$B$2:$B$1201,$A18))</f>
        <v/>
      </c>
      <c r="AB18" s="19" t="str">
        <f aca="false">IF(OR($A18="",INDEX(_LEITURA!$Q$2:$Q$21,18)=0),"",SUMIFS(DECKS!$D$2:$D$1201,DECKS!$A$2:$A$1201,INDEX(_LEITURA!$P$2:$P$21,18),DECKS!$B$2:$B$1201,$A18))</f>
        <v/>
      </c>
      <c r="AC18" s="19" t="str">
        <f aca="false">IF(OR($A18="",INDEX(_LEITURA!$Q$2:$Q$21,19)=0),"",SUMIFS(DECKS!$D$2:$D$1201,DECKS!$A$2:$A$1201,INDEX(_LEITURA!$P$2:$P$21,19),DECKS!$B$2:$B$1201,$A18))</f>
        <v/>
      </c>
      <c r="AD18" s="19" t="str">
        <f aca="false">IF(OR($A18="",INDEX(_LEITURA!$Q$2:$Q$21,20)=0),"",SUMIFS(DECKS!$D$2:$D$1201,DECKS!$A$2:$A$1201,INDEX(_LEITURA!$P$2:$P$21,20),DECKS!$B$2:$B$1201,$A18))</f>
        <v/>
      </c>
      <c r="AE18" s="16" t="str">
        <f aca="false">IF(N(E18)&gt;0,MAX(AE$1:AE17)+1,"")</f>
        <v/>
      </c>
      <c r="AF18" s="11" t="str">
        <f aca="false">IF(A18="","",IFERROR(LEFT(A18,FIND("-",A18)-1),A18))</f>
        <v/>
      </c>
      <c r="AG18" s="11" t="str">
        <f aca="false">IF(AF18="","",IF(ISNUMBER(--MID(AF18,1,1)),0,IF(ISNUMBER(--MID(AF18,2,1)),1,IF(ISNUMBER(--MID(AF18,3,1)),2,IF(ISNUMBER(--MID(AF18,4,1)),3,MIN(LEN(AF18),4))))))</f>
        <v/>
      </c>
      <c r="AH18" s="11" t="str">
        <f aca="false">IF(A18="","",LEFT(AF18,AG18)&amp;REPT("0",4-AG18)&amp;RIGHT("000"&amp;IFERROR(VALUE(MID(AF18,AG18+1,9)),0),3)&amp;RIGHT("0000"&amp;IFERROR(VALUE(MID(A18,FIND("-",A18)+1,9)),0),4))</f>
        <v/>
      </c>
      <c r="AI18" s="11" t="str">
        <f aca="false">IF(OR(A18="",N(E18)&lt;=0),"",IF('FALTAS GERAL'!$M$1="Código","K"&amp;AH18&amp;RIGHT("00000"&amp;ROW(),5),IF('FALTAS GERAL'!$M$1="Nome","K"&amp;UPPER(SUBSTITUTE(SUBSTITUTE(SUBSTITUTE(B18,"*",""),"?",""),"~",""))&amp;"0"&amp;AH18&amp;RIGHT("00000"&amp;ROW(),5),IF('FALTAS GERAL'!$M$1="Falta (maior primeiro)","K"&amp;RIGHT("0000"&amp;(9999-E18),4)&amp;AH18&amp;RIGHT("00000"&amp;ROW(),5),IF('FALTAS GERAL'!$M$1="Nº de decks (maior primeiro)","K"&amp;RIGHT("00"&amp;(99-N(G18)),2)&amp;AH18&amp;RIGHT("00000"&amp;ROW(),5),"K"&amp;RIGHT("00000"&amp;ROW(),5))))))</f>
        <v/>
      </c>
      <c r="AJ18" s="11" t="str">
        <f aca="false">IF(AI18="","",COUNTIFS($AI$2:$AI$801,"&lt;"&amp;AI18,$E$2:$E$801,"&gt;0")+1)</f>
        <v/>
      </c>
      <c r="AK18" s="11" t="str">
        <f aca="false">IF(OR(A18="",N(E18)&lt;=0),"",COUNTIFS($AH$2:$AH$801,"&lt;"&amp;AH18,$E$2:$E$801,"&gt;0")+COUNTIFS($AH$2:AH18,AH18,$E$2:E18,"&gt;0"))</f>
        <v/>
      </c>
    </row>
    <row r="19" customFormat="false" ht="15" hidden="false" customHeight="false" outlineLevel="0" collapsed="false">
      <c r="A19" s="11" t="str">
        <f aca="false">IF(INVENTÁRIO!A19="","",INVENTÁRIO!A19)</f>
        <v/>
      </c>
      <c r="B19" s="11" t="str">
        <f aca="false">IF(A19="","",INVENTÁRIO!B19)</f>
        <v/>
      </c>
      <c r="C19" s="16" t="str">
        <f aca="false">IF(A19="","",INVENTÁRIO!C19)</f>
        <v/>
      </c>
      <c r="D19" s="14" t="str">
        <f aca="false">IF(A19="","",MAX(K19:AD19))</f>
        <v/>
      </c>
      <c r="E19" s="14" t="str">
        <f aca="false">IF(A19="","",MAX(0,D19-C19))</f>
        <v/>
      </c>
      <c r="F19" s="16" t="str">
        <f aca="false">IF(A19="","",IF(D19=0,"Fora dos decks",IF(E19=0,"Completo","Falta")))</f>
        <v/>
      </c>
      <c r="G19" s="16" t="str">
        <f aca="false">IF(A19="","",COUNTIF(K19:AD19,"&gt;0"))</f>
        <v/>
      </c>
      <c r="H19" s="16" t="str">
        <f aca="false">IF(A19="","",IF(G19&gt;1,"Sim",""))</f>
        <v/>
      </c>
      <c r="I19" s="18" t="str">
        <f aca="false">IF(A19="","",SUMIFS(DECKS!$D$2:$D$1201,DECKS!$B$2:$B$1201,A19))</f>
        <v/>
      </c>
      <c r="J19" s="18" t="str">
        <f aca="false">IF(A19="","",MAX(0,I19-C19))</f>
        <v/>
      </c>
      <c r="K19" s="19" t="str">
        <f aca="false">IF(OR($A19="",INDEX(_LEITURA!$Q$2:$Q$21,1)=0),"",SUMIFS(DECKS!$D$2:$D$1201,DECKS!$A$2:$A$1201,INDEX(_LEITURA!$P$2:$P$21,1),DECKS!$B$2:$B$1201,$A19))</f>
        <v/>
      </c>
      <c r="L19" s="19" t="str">
        <f aca="false">IF(OR($A19="",INDEX(_LEITURA!$Q$2:$Q$21,2)=0),"",SUMIFS(DECKS!$D$2:$D$1201,DECKS!$A$2:$A$1201,INDEX(_LEITURA!$P$2:$P$21,2),DECKS!$B$2:$B$1201,$A19))</f>
        <v/>
      </c>
      <c r="M19" s="19" t="str">
        <f aca="false">IF(OR($A19="",INDEX(_LEITURA!$Q$2:$Q$21,3)=0),"",SUMIFS(DECKS!$D$2:$D$1201,DECKS!$A$2:$A$1201,INDEX(_LEITURA!$P$2:$P$21,3),DECKS!$B$2:$B$1201,$A19))</f>
        <v/>
      </c>
      <c r="N19" s="19" t="str">
        <f aca="false">IF(OR($A19="",INDEX(_LEITURA!$Q$2:$Q$21,4)=0),"",SUMIFS(DECKS!$D$2:$D$1201,DECKS!$A$2:$A$1201,INDEX(_LEITURA!$P$2:$P$21,4),DECKS!$B$2:$B$1201,$A19))</f>
        <v/>
      </c>
      <c r="O19" s="19" t="str">
        <f aca="false">IF(OR($A19="",INDEX(_LEITURA!$Q$2:$Q$21,5)=0),"",SUMIFS(DECKS!$D$2:$D$1201,DECKS!$A$2:$A$1201,INDEX(_LEITURA!$P$2:$P$21,5),DECKS!$B$2:$B$1201,$A19))</f>
        <v/>
      </c>
      <c r="P19" s="19" t="str">
        <f aca="false">IF(OR($A19="",INDEX(_LEITURA!$Q$2:$Q$21,6)=0),"",SUMIFS(DECKS!$D$2:$D$1201,DECKS!$A$2:$A$1201,INDEX(_LEITURA!$P$2:$P$21,6),DECKS!$B$2:$B$1201,$A19))</f>
        <v/>
      </c>
      <c r="Q19" s="19" t="str">
        <f aca="false">IF(OR($A19="",INDEX(_LEITURA!$Q$2:$Q$21,7)=0),"",SUMIFS(DECKS!$D$2:$D$1201,DECKS!$A$2:$A$1201,INDEX(_LEITURA!$P$2:$P$21,7),DECKS!$B$2:$B$1201,$A19))</f>
        <v/>
      </c>
      <c r="R19" s="19" t="str">
        <f aca="false">IF(OR($A19="",INDEX(_LEITURA!$Q$2:$Q$21,8)=0),"",SUMIFS(DECKS!$D$2:$D$1201,DECKS!$A$2:$A$1201,INDEX(_LEITURA!$P$2:$P$21,8),DECKS!$B$2:$B$1201,$A19))</f>
        <v/>
      </c>
      <c r="S19" s="19" t="str">
        <f aca="false">IF(OR($A19="",INDEX(_LEITURA!$Q$2:$Q$21,9)=0),"",SUMIFS(DECKS!$D$2:$D$1201,DECKS!$A$2:$A$1201,INDEX(_LEITURA!$P$2:$P$21,9),DECKS!$B$2:$B$1201,$A19))</f>
        <v/>
      </c>
      <c r="T19" s="19" t="str">
        <f aca="false">IF(OR($A19="",INDEX(_LEITURA!$Q$2:$Q$21,10)=0),"",SUMIFS(DECKS!$D$2:$D$1201,DECKS!$A$2:$A$1201,INDEX(_LEITURA!$P$2:$P$21,10),DECKS!$B$2:$B$1201,$A19))</f>
        <v/>
      </c>
      <c r="U19" s="19" t="str">
        <f aca="false">IF(OR($A19="",INDEX(_LEITURA!$Q$2:$Q$21,11)=0),"",SUMIFS(DECKS!$D$2:$D$1201,DECKS!$A$2:$A$1201,INDEX(_LEITURA!$P$2:$P$21,11),DECKS!$B$2:$B$1201,$A19))</f>
        <v/>
      </c>
      <c r="V19" s="19" t="str">
        <f aca="false">IF(OR($A19="",INDEX(_LEITURA!$Q$2:$Q$21,12)=0),"",SUMIFS(DECKS!$D$2:$D$1201,DECKS!$A$2:$A$1201,INDEX(_LEITURA!$P$2:$P$21,12),DECKS!$B$2:$B$1201,$A19))</f>
        <v/>
      </c>
      <c r="W19" s="19" t="str">
        <f aca="false">IF(OR($A19="",INDEX(_LEITURA!$Q$2:$Q$21,13)=0),"",SUMIFS(DECKS!$D$2:$D$1201,DECKS!$A$2:$A$1201,INDEX(_LEITURA!$P$2:$P$21,13),DECKS!$B$2:$B$1201,$A19))</f>
        <v/>
      </c>
      <c r="X19" s="19" t="str">
        <f aca="false">IF(OR($A19="",INDEX(_LEITURA!$Q$2:$Q$21,14)=0),"",SUMIFS(DECKS!$D$2:$D$1201,DECKS!$A$2:$A$1201,INDEX(_LEITURA!$P$2:$P$21,14),DECKS!$B$2:$B$1201,$A19))</f>
        <v/>
      </c>
      <c r="Y19" s="19" t="str">
        <f aca="false">IF(OR($A19="",INDEX(_LEITURA!$Q$2:$Q$21,15)=0),"",SUMIFS(DECKS!$D$2:$D$1201,DECKS!$A$2:$A$1201,INDEX(_LEITURA!$P$2:$P$21,15),DECKS!$B$2:$B$1201,$A19))</f>
        <v/>
      </c>
      <c r="Z19" s="19" t="str">
        <f aca="false">IF(OR($A19="",INDEX(_LEITURA!$Q$2:$Q$21,16)=0),"",SUMIFS(DECKS!$D$2:$D$1201,DECKS!$A$2:$A$1201,INDEX(_LEITURA!$P$2:$P$21,16),DECKS!$B$2:$B$1201,$A19))</f>
        <v/>
      </c>
      <c r="AA19" s="19" t="str">
        <f aca="false">IF(OR($A19="",INDEX(_LEITURA!$Q$2:$Q$21,17)=0),"",SUMIFS(DECKS!$D$2:$D$1201,DECKS!$A$2:$A$1201,INDEX(_LEITURA!$P$2:$P$21,17),DECKS!$B$2:$B$1201,$A19))</f>
        <v/>
      </c>
      <c r="AB19" s="19" t="str">
        <f aca="false">IF(OR($A19="",INDEX(_LEITURA!$Q$2:$Q$21,18)=0),"",SUMIFS(DECKS!$D$2:$D$1201,DECKS!$A$2:$A$1201,INDEX(_LEITURA!$P$2:$P$21,18),DECKS!$B$2:$B$1201,$A19))</f>
        <v/>
      </c>
      <c r="AC19" s="19" t="str">
        <f aca="false">IF(OR($A19="",INDEX(_LEITURA!$Q$2:$Q$21,19)=0),"",SUMIFS(DECKS!$D$2:$D$1201,DECKS!$A$2:$A$1201,INDEX(_LEITURA!$P$2:$P$21,19),DECKS!$B$2:$B$1201,$A19))</f>
        <v/>
      </c>
      <c r="AD19" s="19" t="str">
        <f aca="false">IF(OR($A19="",INDEX(_LEITURA!$Q$2:$Q$21,20)=0),"",SUMIFS(DECKS!$D$2:$D$1201,DECKS!$A$2:$A$1201,INDEX(_LEITURA!$P$2:$P$21,20),DECKS!$B$2:$B$1201,$A19))</f>
        <v/>
      </c>
      <c r="AE19" s="16" t="str">
        <f aca="false">IF(N(E19)&gt;0,MAX(AE$1:AE18)+1,"")</f>
        <v/>
      </c>
      <c r="AF19" s="11" t="str">
        <f aca="false">IF(A19="","",IFERROR(LEFT(A19,FIND("-",A19)-1),A19))</f>
        <v/>
      </c>
      <c r="AG19" s="11" t="str">
        <f aca="false">IF(AF19="","",IF(ISNUMBER(--MID(AF19,1,1)),0,IF(ISNUMBER(--MID(AF19,2,1)),1,IF(ISNUMBER(--MID(AF19,3,1)),2,IF(ISNUMBER(--MID(AF19,4,1)),3,MIN(LEN(AF19),4))))))</f>
        <v/>
      </c>
      <c r="AH19" s="11" t="str">
        <f aca="false">IF(A19="","",LEFT(AF19,AG19)&amp;REPT("0",4-AG19)&amp;RIGHT("000"&amp;IFERROR(VALUE(MID(AF19,AG19+1,9)),0),3)&amp;RIGHT("0000"&amp;IFERROR(VALUE(MID(A19,FIND("-",A19)+1,9)),0),4))</f>
        <v/>
      </c>
      <c r="AI19" s="11" t="str">
        <f aca="false">IF(OR(A19="",N(E19)&lt;=0),"",IF('FALTAS GERAL'!$M$1="Código","K"&amp;AH19&amp;RIGHT("00000"&amp;ROW(),5),IF('FALTAS GERAL'!$M$1="Nome","K"&amp;UPPER(SUBSTITUTE(SUBSTITUTE(SUBSTITUTE(B19,"*",""),"?",""),"~",""))&amp;"0"&amp;AH19&amp;RIGHT("00000"&amp;ROW(),5),IF('FALTAS GERAL'!$M$1="Falta (maior primeiro)","K"&amp;RIGHT("0000"&amp;(9999-E19),4)&amp;AH19&amp;RIGHT("00000"&amp;ROW(),5),IF('FALTAS GERAL'!$M$1="Nº de decks (maior primeiro)","K"&amp;RIGHT("00"&amp;(99-N(G19)),2)&amp;AH19&amp;RIGHT("00000"&amp;ROW(),5),"K"&amp;RIGHT("00000"&amp;ROW(),5))))))</f>
        <v/>
      </c>
      <c r="AJ19" s="11" t="str">
        <f aca="false">IF(AI19="","",COUNTIFS($AI$2:$AI$801,"&lt;"&amp;AI19,$E$2:$E$801,"&gt;0")+1)</f>
        <v/>
      </c>
      <c r="AK19" s="11" t="str">
        <f aca="false">IF(OR(A19="",N(E19)&lt;=0),"",COUNTIFS($AH$2:$AH$801,"&lt;"&amp;AH19,$E$2:$E$801,"&gt;0")+COUNTIFS($AH$2:AH19,AH19,$E$2:E19,"&gt;0"))</f>
        <v/>
      </c>
    </row>
    <row r="20" customFormat="false" ht="15" hidden="false" customHeight="false" outlineLevel="0" collapsed="false">
      <c r="A20" s="11" t="str">
        <f aca="false">IF(INVENTÁRIO!A20="","",INVENTÁRIO!A20)</f>
        <v/>
      </c>
      <c r="B20" s="11" t="str">
        <f aca="false">IF(A20="","",INVENTÁRIO!B20)</f>
        <v/>
      </c>
      <c r="C20" s="16" t="str">
        <f aca="false">IF(A20="","",INVENTÁRIO!C20)</f>
        <v/>
      </c>
      <c r="D20" s="14" t="str">
        <f aca="false">IF(A20="","",MAX(K20:AD20))</f>
        <v/>
      </c>
      <c r="E20" s="14" t="str">
        <f aca="false">IF(A20="","",MAX(0,D20-C20))</f>
        <v/>
      </c>
      <c r="F20" s="16" t="str">
        <f aca="false">IF(A20="","",IF(D20=0,"Fora dos decks",IF(E20=0,"Completo","Falta")))</f>
        <v/>
      </c>
      <c r="G20" s="16" t="str">
        <f aca="false">IF(A20="","",COUNTIF(K20:AD20,"&gt;0"))</f>
        <v/>
      </c>
      <c r="H20" s="16" t="str">
        <f aca="false">IF(A20="","",IF(G20&gt;1,"Sim",""))</f>
        <v/>
      </c>
      <c r="I20" s="18" t="str">
        <f aca="false">IF(A20="","",SUMIFS(DECKS!$D$2:$D$1201,DECKS!$B$2:$B$1201,A20))</f>
        <v/>
      </c>
      <c r="J20" s="18" t="str">
        <f aca="false">IF(A20="","",MAX(0,I20-C20))</f>
        <v/>
      </c>
      <c r="K20" s="19" t="str">
        <f aca="false">IF(OR($A20="",INDEX(_LEITURA!$Q$2:$Q$21,1)=0),"",SUMIFS(DECKS!$D$2:$D$1201,DECKS!$A$2:$A$1201,INDEX(_LEITURA!$P$2:$P$21,1),DECKS!$B$2:$B$1201,$A20))</f>
        <v/>
      </c>
      <c r="L20" s="19" t="str">
        <f aca="false">IF(OR($A20="",INDEX(_LEITURA!$Q$2:$Q$21,2)=0),"",SUMIFS(DECKS!$D$2:$D$1201,DECKS!$A$2:$A$1201,INDEX(_LEITURA!$P$2:$P$21,2),DECKS!$B$2:$B$1201,$A20))</f>
        <v/>
      </c>
      <c r="M20" s="19" t="str">
        <f aca="false">IF(OR($A20="",INDEX(_LEITURA!$Q$2:$Q$21,3)=0),"",SUMIFS(DECKS!$D$2:$D$1201,DECKS!$A$2:$A$1201,INDEX(_LEITURA!$P$2:$P$21,3),DECKS!$B$2:$B$1201,$A20))</f>
        <v/>
      </c>
      <c r="N20" s="19" t="str">
        <f aca="false">IF(OR($A20="",INDEX(_LEITURA!$Q$2:$Q$21,4)=0),"",SUMIFS(DECKS!$D$2:$D$1201,DECKS!$A$2:$A$1201,INDEX(_LEITURA!$P$2:$P$21,4),DECKS!$B$2:$B$1201,$A20))</f>
        <v/>
      </c>
      <c r="O20" s="19" t="str">
        <f aca="false">IF(OR($A20="",INDEX(_LEITURA!$Q$2:$Q$21,5)=0),"",SUMIFS(DECKS!$D$2:$D$1201,DECKS!$A$2:$A$1201,INDEX(_LEITURA!$P$2:$P$21,5),DECKS!$B$2:$B$1201,$A20))</f>
        <v/>
      </c>
      <c r="P20" s="19" t="str">
        <f aca="false">IF(OR($A20="",INDEX(_LEITURA!$Q$2:$Q$21,6)=0),"",SUMIFS(DECKS!$D$2:$D$1201,DECKS!$A$2:$A$1201,INDEX(_LEITURA!$P$2:$P$21,6),DECKS!$B$2:$B$1201,$A20))</f>
        <v/>
      </c>
      <c r="Q20" s="19" t="str">
        <f aca="false">IF(OR($A20="",INDEX(_LEITURA!$Q$2:$Q$21,7)=0),"",SUMIFS(DECKS!$D$2:$D$1201,DECKS!$A$2:$A$1201,INDEX(_LEITURA!$P$2:$P$21,7),DECKS!$B$2:$B$1201,$A20))</f>
        <v/>
      </c>
      <c r="R20" s="19" t="str">
        <f aca="false">IF(OR($A20="",INDEX(_LEITURA!$Q$2:$Q$21,8)=0),"",SUMIFS(DECKS!$D$2:$D$1201,DECKS!$A$2:$A$1201,INDEX(_LEITURA!$P$2:$P$21,8),DECKS!$B$2:$B$1201,$A20))</f>
        <v/>
      </c>
      <c r="S20" s="19" t="str">
        <f aca="false">IF(OR($A20="",INDEX(_LEITURA!$Q$2:$Q$21,9)=0),"",SUMIFS(DECKS!$D$2:$D$1201,DECKS!$A$2:$A$1201,INDEX(_LEITURA!$P$2:$P$21,9),DECKS!$B$2:$B$1201,$A20))</f>
        <v/>
      </c>
      <c r="T20" s="19" t="str">
        <f aca="false">IF(OR($A20="",INDEX(_LEITURA!$Q$2:$Q$21,10)=0),"",SUMIFS(DECKS!$D$2:$D$1201,DECKS!$A$2:$A$1201,INDEX(_LEITURA!$P$2:$P$21,10),DECKS!$B$2:$B$1201,$A20))</f>
        <v/>
      </c>
      <c r="U20" s="19" t="str">
        <f aca="false">IF(OR($A20="",INDEX(_LEITURA!$Q$2:$Q$21,11)=0),"",SUMIFS(DECKS!$D$2:$D$1201,DECKS!$A$2:$A$1201,INDEX(_LEITURA!$P$2:$P$21,11),DECKS!$B$2:$B$1201,$A20))</f>
        <v/>
      </c>
      <c r="V20" s="19" t="str">
        <f aca="false">IF(OR($A20="",INDEX(_LEITURA!$Q$2:$Q$21,12)=0),"",SUMIFS(DECKS!$D$2:$D$1201,DECKS!$A$2:$A$1201,INDEX(_LEITURA!$P$2:$P$21,12),DECKS!$B$2:$B$1201,$A20))</f>
        <v/>
      </c>
      <c r="W20" s="19" t="str">
        <f aca="false">IF(OR($A20="",INDEX(_LEITURA!$Q$2:$Q$21,13)=0),"",SUMIFS(DECKS!$D$2:$D$1201,DECKS!$A$2:$A$1201,INDEX(_LEITURA!$P$2:$P$21,13),DECKS!$B$2:$B$1201,$A20))</f>
        <v/>
      </c>
      <c r="X20" s="19" t="str">
        <f aca="false">IF(OR($A20="",INDEX(_LEITURA!$Q$2:$Q$21,14)=0),"",SUMIFS(DECKS!$D$2:$D$1201,DECKS!$A$2:$A$1201,INDEX(_LEITURA!$P$2:$P$21,14),DECKS!$B$2:$B$1201,$A20))</f>
        <v/>
      </c>
      <c r="Y20" s="19" t="str">
        <f aca="false">IF(OR($A20="",INDEX(_LEITURA!$Q$2:$Q$21,15)=0),"",SUMIFS(DECKS!$D$2:$D$1201,DECKS!$A$2:$A$1201,INDEX(_LEITURA!$P$2:$P$21,15),DECKS!$B$2:$B$1201,$A20))</f>
        <v/>
      </c>
      <c r="Z20" s="19" t="str">
        <f aca="false">IF(OR($A20="",INDEX(_LEITURA!$Q$2:$Q$21,16)=0),"",SUMIFS(DECKS!$D$2:$D$1201,DECKS!$A$2:$A$1201,INDEX(_LEITURA!$P$2:$P$21,16),DECKS!$B$2:$B$1201,$A20))</f>
        <v/>
      </c>
      <c r="AA20" s="19" t="str">
        <f aca="false">IF(OR($A20="",INDEX(_LEITURA!$Q$2:$Q$21,17)=0),"",SUMIFS(DECKS!$D$2:$D$1201,DECKS!$A$2:$A$1201,INDEX(_LEITURA!$P$2:$P$21,17),DECKS!$B$2:$B$1201,$A20))</f>
        <v/>
      </c>
      <c r="AB20" s="19" t="str">
        <f aca="false">IF(OR($A20="",INDEX(_LEITURA!$Q$2:$Q$21,18)=0),"",SUMIFS(DECKS!$D$2:$D$1201,DECKS!$A$2:$A$1201,INDEX(_LEITURA!$P$2:$P$21,18),DECKS!$B$2:$B$1201,$A20))</f>
        <v/>
      </c>
      <c r="AC20" s="19" t="str">
        <f aca="false">IF(OR($A20="",INDEX(_LEITURA!$Q$2:$Q$21,19)=0),"",SUMIFS(DECKS!$D$2:$D$1201,DECKS!$A$2:$A$1201,INDEX(_LEITURA!$P$2:$P$21,19),DECKS!$B$2:$B$1201,$A20))</f>
        <v/>
      </c>
      <c r="AD20" s="19" t="str">
        <f aca="false">IF(OR($A20="",INDEX(_LEITURA!$Q$2:$Q$21,20)=0),"",SUMIFS(DECKS!$D$2:$D$1201,DECKS!$A$2:$A$1201,INDEX(_LEITURA!$P$2:$P$21,20),DECKS!$B$2:$B$1201,$A20))</f>
        <v/>
      </c>
      <c r="AE20" s="16" t="str">
        <f aca="false">IF(N(E20)&gt;0,MAX(AE$1:AE19)+1,"")</f>
        <v/>
      </c>
      <c r="AF20" s="11" t="str">
        <f aca="false">IF(A20="","",IFERROR(LEFT(A20,FIND("-",A20)-1),A20))</f>
        <v/>
      </c>
      <c r="AG20" s="11" t="str">
        <f aca="false">IF(AF20="","",IF(ISNUMBER(--MID(AF20,1,1)),0,IF(ISNUMBER(--MID(AF20,2,1)),1,IF(ISNUMBER(--MID(AF20,3,1)),2,IF(ISNUMBER(--MID(AF20,4,1)),3,MIN(LEN(AF20),4))))))</f>
        <v/>
      </c>
      <c r="AH20" s="11" t="str">
        <f aca="false">IF(A20="","",LEFT(AF20,AG20)&amp;REPT("0",4-AG20)&amp;RIGHT("000"&amp;IFERROR(VALUE(MID(AF20,AG20+1,9)),0),3)&amp;RIGHT("0000"&amp;IFERROR(VALUE(MID(A20,FIND("-",A20)+1,9)),0),4))</f>
        <v/>
      </c>
      <c r="AI20" s="11" t="str">
        <f aca="false">IF(OR(A20="",N(E20)&lt;=0),"",IF('FALTAS GERAL'!$M$1="Código","K"&amp;AH20&amp;RIGHT("00000"&amp;ROW(),5),IF('FALTAS GERAL'!$M$1="Nome","K"&amp;UPPER(SUBSTITUTE(SUBSTITUTE(SUBSTITUTE(B20,"*",""),"?",""),"~",""))&amp;"0"&amp;AH20&amp;RIGHT("00000"&amp;ROW(),5),IF('FALTAS GERAL'!$M$1="Falta (maior primeiro)","K"&amp;RIGHT("0000"&amp;(9999-E20),4)&amp;AH20&amp;RIGHT("00000"&amp;ROW(),5),IF('FALTAS GERAL'!$M$1="Nº de decks (maior primeiro)","K"&amp;RIGHT("00"&amp;(99-N(G20)),2)&amp;AH20&amp;RIGHT("00000"&amp;ROW(),5),"K"&amp;RIGHT("00000"&amp;ROW(),5))))))</f>
        <v/>
      </c>
      <c r="AJ20" s="11" t="str">
        <f aca="false">IF(AI20="","",COUNTIFS($AI$2:$AI$801,"&lt;"&amp;AI20,$E$2:$E$801,"&gt;0")+1)</f>
        <v/>
      </c>
      <c r="AK20" s="11" t="str">
        <f aca="false">IF(OR(A20="",N(E20)&lt;=0),"",COUNTIFS($AH$2:$AH$801,"&lt;"&amp;AH20,$E$2:$E$801,"&gt;0")+COUNTIFS($AH$2:AH20,AH20,$E$2:E20,"&gt;0"))</f>
        <v/>
      </c>
    </row>
    <row r="21" customFormat="false" ht="15" hidden="false" customHeight="false" outlineLevel="0" collapsed="false">
      <c r="A21" s="11" t="str">
        <f aca="false">IF(INVENTÁRIO!A21="","",INVENTÁRIO!A21)</f>
        <v/>
      </c>
      <c r="B21" s="11" t="str">
        <f aca="false">IF(A21="","",INVENTÁRIO!B21)</f>
        <v/>
      </c>
      <c r="C21" s="16" t="str">
        <f aca="false">IF(A21="","",INVENTÁRIO!C21)</f>
        <v/>
      </c>
      <c r="D21" s="14" t="str">
        <f aca="false">IF(A21="","",MAX(K21:AD21))</f>
        <v/>
      </c>
      <c r="E21" s="14" t="str">
        <f aca="false">IF(A21="","",MAX(0,D21-C21))</f>
        <v/>
      </c>
      <c r="F21" s="16" t="str">
        <f aca="false">IF(A21="","",IF(D21=0,"Fora dos decks",IF(E21=0,"Completo","Falta")))</f>
        <v/>
      </c>
      <c r="G21" s="16" t="str">
        <f aca="false">IF(A21="","",COUNTIF(K21:AD21,"&gt;0"))</f>
        <v/>
      </c>
      <c r="H21" s="16" t="str">
        <f aca="false">IF(A21="","",IF(G21&gt;1,"Sim",""))</f>
        <v/>
      </c>
      <c r="I21" s="18" t="str">
        <f aca="false">IF(A21="","",SUMIFS(DECKS!$D$2:$D$1201,DECKS!$B$2:$B$1201,A21))</f>
        <v/>
      </c>
      <c r="J21" s="18" t="str">
        <f aca="false">IF(A21="","",MAX(0,I21-C21))</f>
        <v/>
      </c>
      <c r="K21" s="19" t="str">
        <f aca="false">IF(OR($A21="",INDEX(_LEITURA!$Q$2:$Q$21,1)=0),"",SUMIFS(DECKS!$D$2:$D$1201,DECKS!$A$2:$A$1201,INDEX(_LEITURA!$P$2:$P$21,1),DECKS!$B$2:$B$1201,$A21))</f>
        <v/>
      </c>
      <c r="L21" s="19" t="str">
        <f aca="false">IF(OR($A21="",INDEX(_LEITURA!$Q$2:$Q$21,2)=0),"",SUMIFS(DECKS!$D$2:$D$1201,DECKS!$A$2:$A$1201,INDEX(_LEITURA!$P$2:$P$21,2),DECKS!$B$2:$B$1201,$A21))</f>
        <v/>
      </c>
      <c r="M21" s="19" t="str">
        <f aca="false">IF(OR($A21="",INDEX(_LEITURA!$Q$2:$Q$21,3)=0),"",SUMIFS(DECKS!$D$2:$D$1201,DECKS!$A$2:$A$1201,INDEX(_LEITURA!$P$2:$P$21,3),DECKS!$B$2:$B$1201,$A21))</f>
        <v/>
      </c>
      <c r="N21" s="19" t="str">
        <f aca="false">IF(OR($A21="",INDEX(_LEITURA!$Q$2:$Q$21,4)=0),"",SUMIFS(DECKS!$D$2:$D$1201,DECKS!$A$2:$A$1201,INDEX(_LEITURA!$P$2:$P$21,4),DECKS!$B$2:$B$1201,$A21))</f>
        <v/>
      </c>
      <c r="O21" s="19" t="str">
        <f aca="false">IF(OR($A21="",INDEX(_LEITURA!$Q$2:$Q$21,5)=0),"",SUMIFS(DECKS!$D$2:$D$1201,DECKS!$A$2:$A$1201,INDEX(_LEITURA!$P$2:$P$21,5),DECKS!$B$2:$B$1201,$A21))</f>
        <v/>
      </c>
      <c r="P21" s="19" t="str">
        <f aca="false">IF(OR($A21="",INDEX(_LEITURA!$Q$2:$Q$21,6)=0),"",SUMIFS(DECKS!$D$2:$D$1201,DECKS!$A$2:$A$1201,INDEX(_LEITURA!$P$2:$P$21,6),DECKS!$B$2:$B$1201,$A21))</f>
        <v/>
      </c>
      <c r="Q21" s="19" t="str">
        <f aca="false">IF(OR($A21="",INDEX(_LEITURA!$Q$2:$Q$21,7)=0),"",SUMIFS(DECKS!$D$2:$D$1201,DECKS!$A$2:$A$1201,INDEX(_LEITURA!$P$2:$P$21,7),DECKS!$B$2:$B$1201,$A21))</f>
        <v/>
      </c>
      <c r="R21" s="19" t="str">
        <f aca="false">IF(OR($A21="",INDEX(_LEITURA!$Q$2:$Q$21,8)=0),"",SUMIFS(DECKS!$D$2:$D$1201,DECKS!$A$2:$A$1201,INDEX(_LEITURA!$P$2:$P$21,8),DECKS!$B$2:$B$1201,$A21))</f>
        <v/>
      </c>
      <c r="S21" s="19" t="str">
        <f aca="false">IF(OR($A21="",INDEX(_LEITURA!$Q$2:$Q$21,9)=0),"",SUMIFS(DECKS!$D$2:$D$1201,DECKS!$A$2:$A$1201,INDEX(_LEITURA!$P$2:$P$21,9),DECKS!$B$2:$B$1201,$A21))</f>
        <v/>
      </c>
      <c r="T21" s="19" t="str">
        <f aca="false">IF(OR($A21="",INDEX(_LEITURA!$Q$2:$Q$21,10)=0),"",SUMIFS(DECKS!$D$2:$D$1201,DECKS!$A$2:$A$1201,INDEX(_LEITURA!$P$2:$P$21,10),DECKS!$B$2:$B$1201,$A21))</f>
        <v/>
      </c>
      <c r="U21" s="19" t="str">
        <f aca="false">IF(OR($A21="",INDEX(_LEITURA!$Q$2:$Q$21,11)=0),"",SUMIFS(DECKS!$D$2:$D$1201,DECKS!$A$2:$A$1201,INDEX(_LEITURA!$P$2:$P$21,11),DECKS!$B$2:$B$1201,$A21))</f>
        <v/>
      </c>
      <c r="V21" s="19" t="str">
        <f aca="false">IF(OR($A21="",INDEX(_LEITURA!$Q$2:$Q$21,12)=0),"",SUMIFS(DECKS!$D$2:$D$1201,DECKS!$A$2:$A$1201,INDEX(_LEITURA!$P$2:$P$21,12),DECKS!$B$2:$B$1201,$A21))</f>
        <v/>
      </c>
      <c r="W21" s="19" t="str">
        <f aca="false">IF(OR($A21="",INDEX(_LEITURA!$Q$2:$Q$21,13)=0),"",SUMIFS(DECKS!$D$2:$D$1201,DECKS!$A$2:$A$1201,INDEX(_LEITURA!$P$2:$P$21,13),DECKS!$B$2:$B$1201,$A21))</f>
        <v/>
      </c>
      <c r="X21" s="19" t="str">
        <f aca="false">IF(OR($A21="",INDEX(_LEITURA!$Q$2:$Q$21,14)=0),"",SUMIFS(DECKS!$D$2:$D$1201,DECKS!$A$2:$A$1201,INDEX(_LEITURA!$P$2:$P$21,14),DECKS!$B$2:$B$1201,$A21))</f>
        <v/>
      </c>
      <c r="Y21" s="19" t="str">
        <f aca="false">IF(OR($A21="",INDEX(_LEITURA!$Q$2:$Q$21,15)=0),"",SUMIFS(DECKS!$D$2:$D$1201,DECKS!$A$2:$A$1201,INDEX(_LEITURA!$P$2:$P$21,15),DECKS!$B$2:$B$1201,$A21))</f>
        <v/>
      </c>
      <c r="Z21" s="19" t="str">
        <f aca="false">IF(OR($A21="",INDEX(_LEITURA!$Q$2:$Q$21,16)=0),"",SUMIFS(DECKS!$D$2:$D$1201,DECKS!$A$2:$A$1201,INDEX(_LEITURA!$P$2:$P$21,16),DECKS!$B$2:$B$1201,$A21))</f>
        <v/>
      </c>
      <c r="AA21" s="19" t="str">
        <f aca="false">IF(OR($A21="",INDEX(_LEITURA!$Q$2:$Q$21,17)=0),"",SUMIFS(DECKS!$D$2:$D$1201,DECKS!$A$2:$A$1201,INDEX(_LEITURA!$P$2:$P$21,17),DECKS!$B$2:$B$1201,$A21))</f>
        <v/>
      </c>
      <c r="AB21" s="19" t="str">
        <f aca="false">IF(OR($A21="",INDEX(_LEITURA!$Q$2:$Q$21,18)=0),"",SUMIFS(DECKS!$D$2:$D$1201,DECKS!$A$2:$A$1201,INDEX(_LEITURA!$P$2:$P$21,18),DECKS!$B$2:$B$1201,$A21))</f>
        <v/>
      </c>
      <c r="AC21" s="19" t="str">
        <f aca="false">IF(OR($A21="",INDEX(_LEITURA!$Q$2:$Q$21,19)=0),"",SUMIFS(DECKS!$D$2:$D$1201,DECKS!$A$2:$A$1201,INDEX(_LEITURA!$P$2:$P$21,19),DECKS!$B$2:$B$1201,$A21))</f>
        <v/>
      </c>
      <c r="AD21" s="19" t="str">
        <f aca="false">IF(OR($A21="",INDEX(_LEITURA!$Q$2:$Q$21,20)=0),"",SUMIFS(DECKS!$D$2:$D$1201,DECKS!$A$2:$A$1201,INDEX(_LEITURA!$P$2:$P$21,20),DECKS!$B$2:$B$1201,$A21))</f>
        <v/>
      </c>
      <c r="AE21" s="16" t="str">
        <f aca="false">IF(N(E21)&gt;0,MAX(AE$1:AE20)+1,"")</f>
        <v/>
      </c>
      <c r="AF21" s="11" t="str">
        <f aca="false">IF(A21="","",IFERROR(LEFT(A21,FIND("-",A21)-1),A21))</f>
        <v/>
      </c>
      <c r="AG21" s="11" t="str">
        <f aca="false">IF(AF21="","",IF(ISNUMBER(--MID(AF21,1,1)),0,IF(ISNUMBER(--MID(AF21,2,1)),1,IF(ISNUMBER(--MID(AF21,3,1)),2,IF(ISNUMBER(--MID(AF21,4,1)),3,MIN(LEN(AF21),4))))))</f>
        <v/>
      </c>
      <c r="AH21" s="11" t="str">
        <f aca="false">IF(A21="","",LEFT(AF21,AG21)&amp;REPT("0",4-AG21)&amp;RIGHT("000"&amp;IFERROR(VALUE(MID(AF21,AG21+1,9)),0),3)&amp;RIGHT("0000"&amp;IFERROR(VALUE(MID(A21,FIND("-",A21)+1,9)),0),4))</f>
        <v/>
      </c>
      <c r="AI21" s="11" t="str">
        <f aca="false">IF(OR(A21="",N(E21)&lt;=0),"",IF('FALTAS GERAL'!$M$1="Código","K"&amp;AH21&amp;RIGHT("00000"&amp;ROW(),5),IF('FALTAS GERAL'!$M$1="Nome","K"&amp;UPPER(SUBSTITUTE(SUBSTITUTE(SUBSTITUTE(B21,"*",""),"?",""),"~",""))&amp;"0"&amp;AH21&amp;RIGHT("00000"&amp;ROW(),5),IF('FALTAS GERAL'!$M$1="Falta (maior primeiro)","K"&amp;RIGHT("0000"&amp;(9999-E21),4)&amp;AH21&amp;RIGHT("00000"&amp;ROW(),5),IF('FALTAS GERAL'!$M$1="Nº de decks (maior primeiro)","K"&amp;RIGHT("00"&amp;(99-N(G21)),2)&amp;AH21&amp;RIGHT("00000"&amp;ROW(),5),"K"&amp;RIGHT("00000"&amp;ROW(),5))))))</f>
        <v/>
      </c>
      <c r="AJ21" s="11" t="str">
        <f aca="false">IF(AI21="","",COUNTIFS($AI$2:$AI$801,"&lt;"&amp;AI21,$E$2:$E$801,"&gt;0")+1)</f>
        <v/>
      </c>
      <c r="AK21" s="11" t="str">
        <f aca="false">IF(OR(A21="",N(E21)&lt;=0),"",COUNTIFS($AH$2:$AH$801,"&lt;"&amp;AH21,$E$2:$E$801,"&gt;0")+COUNTIFS($AH$2:AH21,AH21,$E$2:E21,"&gt;0"))</f>
        <v/>
      </c>
    </row>
    <row r="22" customFormat="false" ht="15" hidden="false" customHeight="false" outlineLevel="0" collapsed="false">
      <c r="A22" s="11" t="str">
        <f aca="false">IF(INVENTÁRIO!A22="","",INVENTÁRIO!A22)</f>
        <v/>
      </c>
      <c r="B22" s="11" t="str">
        <f aca="false">IF(A22="","",INVENTÁRIO!B22)</f>
        <v/>
      </c>
      <c r="C22" s="16" t="str">
        <f aca="false">IF(A22="","",INVENTÁRIO!C22)</f>
        <v/>
      </c>
      <c r="D22" s="14" t="str">
        <f aca="false">IF(A22="","",MAX(K22:AD22))</f>
        <v/>
      </c>
      <c r="E22" s="14" t="str">
        <f aca="false">IF(A22="","",MAX(0,D22-C22))</f>
        <v/>
      </c>
      <c r="F22" s="16" t="str">
        <f aca="false">IF(A22="","",IF(D22=0,"Fora dos decks",IF(E22=0,"Completo","Falta")))</f>
        <v/>
      </c>
      <c r="G22" s="16" t="str">
        <f aca="false">IF(A22="","",COUNTIF(K22:AD22,"&gt;0"))</f>
        <v/>
      </c>
      <c r="H22" s="16" t="str">
        <f aca="false">IF(A22="","",IF(G22&gt;1,"Sim",""))</f>
        <v/>
      </c>
      <c r="I22" s="18" t="str">
        <f aca="false">IF(A22="","",SUMIFS(DECKS!$D$2:$D$1201,DECKS!$B$2:$B$1201,A22))</f>
        <v/>
      </c>
      <c r="J22" s="18" t="str">
        <f aca="false">IF(A22="","",MAX(0,I22-C22))</f>
        <v/>
      </c>
      <c r="K22" s="19" t="str">
        <f aca="false">IF(OR($A22="",INDEX(_LEITURA!$Q$2:$Q$21,1)=0),"",SUMIFS(DECKS!$D$2:$D$1201,DECKS!$A$2:$A$1201,INDEX(_LEITURA!$P$2:$P$21,1),DECKS!$B$2:$B$1201,$A22))</f>
        <v/>
      </c>
      <c r="L22" s="19" t="str">
        <f aca="false">IF(OR($A22="",INDEX(_LEITURA!$Q$2:$Q$21,2)=0),"",SUMIFS(DECKS!$D$2:$D$1201,DECKS!$A$2:$A$1201,INDEX(_LEITURA!$P$2:$P$21,2),DECKS!$B$2:$B$1201,$A22))</f>
        <v/>
      </c>
      <c r="M22" s="19" t="str">
        <f aca="false">IF(OR($A22="",INDEX(_LEITURA!$Q$2:$Q$21,3)=0),"",SUMIFS(DECKS!$D$2:$D$1201,DECKS!$A$2:$A$1201,INDEX(_LEITURA!$P$2:$P$21,3),DECKS!$B$2:$B$1201,$A22))</f>
        <v/>
      </c>
      <c r="N22" s="19" t="str">
        <f aca="false">IF(OR($A22="",INDEX(_LEITURA!$Q$2:$Q$21,4)=0),"",SUMIFS(DECKS!$D$2:$D$1201,DECKS!$A$2:$A$1201,INDEX(_LEITURA!$P$2:$P$21,4),DECKS!$B$2:$B$1201,$A22))</f>
        <v/>
      </c>
      <c r="O22" s="19" t="str">
        <f aca="false">IF(OR($A22="",INDEX(_LEITURA!$Q$2:$Q$21,5)=0),"",SUMIFS(DECKS!$D$2:$D$1201,DECKS!$A$2:$A$1201,INDEX(_LEITURA!$P$2:$P$21,5),DECKS!$B$2:$B$1201,$A22))</f>
        <v/>
      </c>
      <c r="P22" s="19" t="str">
        <f aca="false">IF(OR($A22="",INDEX(_LEITURA!$Q$2:$Q$21,6)=0),"",SUMIFS(DECKS!$D$2:$D$1201,DECKS!$A$2:$A$1201,INDEX(_LEITURA!$P$2:$P$21,6),DECKS!$B$2:$B$1201,$A22))</f>
        <v/>
      </c>
      <c r="Q22" s="19" t="str">
        <f aca="false">IF(OR($A22="",INDEX(_LEITURA!$Q$2:$Q$21,7)=0),"",SUMIFS(DECKS!$D$2:$D$1201,DECKS!$A$2:$A$1201,INDEX(_LEITURA!$P$2:$P$21,7),DECKS!$B$2:$B$1201,$A22))</f>
        <v/>
      </c>
      <c r="R22" s="19" t="str">
        <f aca="false">IF(OR($A22="",INDEX(_LEITURA!$Q$2:$Q$21,8)=0),"",SUMIFS(DECKS!$D$2:$D$1201,DECKS!$A$2:$A$1201,INDEX(_LEITURA!$P$2:$P$21,8),DECKS!$B$2:$B$1201,$A22))</f>
        <v/>
      </c>
      <c r="S22" s="19" t="str">
        <f aca="false">IF(OR($A22="",INDEX(_LEITURA!$Q$2:$Q$21,9)=0),"",SUMIFS(DECKS!$D$2:$D$1201,DECKS!$A$2:$A$1201,INDEX(_LEITURA!$P$2:$P$21,9),DECKS!$B$2:$B$1201,$A22))</f>
        <v/>
      </c>
      <c r="T22" s="19" t="str">
        <f aca="false">IF(OR($A22="",INDEX(_LEITURA!$Q$2:$Q$21,10)=0),"",SUMIFS(DECKS!$D$2:$D$1201,DECKS!$A$2:$A$1201,INDEX(_LEITURA!$P$2:$P$21,10),DECKS!$B$2:$B$1201,$A22))</f>
        <v/>
      </c>
      <c r="U22" s="19" t="str">
        <f aca="false">IF(OR($A22="",INDEX(_LEITURA!$Q$2:$Q$21,11)=0),"",SUMIFS(DECKS!$D$2:$D$1201,DECKS!$A$2:$A$1201,INDEX(_LEITURA!$P$2:$P$21,11),DECKS!$B$2:$B$1201,$A22))</f>
        <v/>
      </c>
      <c r="V22" s="19" t="str">
        <f aca="false">IF(OR($A22="",INDEX(_LEITURA!$Q$2:$Q$21,12)=0),"",SUMIFS(DECKS!$D$2:$D$1201,DECKS!$A$2:$A$1201,INDEX(_LEITURA!$P$2:$P$21,12),DECKS!$B$2:$B$1201,$A22))</f>
        <v/>
      </c>
      <c r="W22" s="19" t="str">
        <f aca="false">IF(OR($A22="",INDEX(_LEITURA!$Q$2:$Q$21,13)=0),"",SUMIFS(DECKS!$D$2:$D$1201,DECKS!$A$2:$A$1201,INDEX(_LEITURA!$P$2:$P$21,13),DECKS!$B$2:$B$1201,$A22))</f>
        <v/>
      </c>
      <c r="X22" s="19" t="str">
        <f aca="false">IF(OR($A22="",INDEX(_LEITURA!$Q$2:$Q$21,14)=0),"",SUMIFS(DECKS!$D$2:$D$1201,DECKS!$A$2:$A$1201,INDEX(_LEITURA!$P$2:$P$21,14),DECKS!$B$2:$B$1201,$A22))</f>
        <v/>
      </c>
      <c r="Y22" s="19" t="str">
        <f aca="false">IF(OR($A22="",INDEX(_LEITURA!$Q$2:$Q$21,15)=0),"",SUMIFS(DECKS!$D$2:$D$1201,DECKS!$A$2:$A$1201,INDEX(_LEITURA!$P$2:$P$21,15),DECKS!$B$2:$B$1201,$A22))</f>
        <v/>
      </c>
      <c r="Z22" s="19" t="str">
        <f aca="false">IF(OR($A22="",INDEX(_LEITURA!$Q$2:$Q$21,16)=0),"",SUMIFS(DECKS!$D$2:$D$1201,DECKS!$A$2:$A$1201,INDEX(_LEITURA!$P$2:$P$21,16),DECKS!$B$2:$B$1201,$A22))</f>
        <v/>
      </c>
      <c r="AA22" s="19" t="str">
        <f aca="false">IF(OR($A22="",INDEX(_LEITURA!$Q$2:$Q$21,17)=0),"",SUMIFS(DECKS!$D$2:$D$1201,DECKS!$A$2:$A$1201,INDEX(_LEITURA!$P$2:$P$21,17),DECKS!$B$2:$B$1201,$A22))</f>
        <v/>
      </c>
      <c r="AB22" s="19" t="str">
        <f aca="false">IF(OR($A22="",INDEX(_LEITURA!$Q$2:$Q$21,18)=0),"",SUMIFS(DECKS!$D$2:$D$1201,DECKS!$A$2:$A$1201,INDEX(_LEITURA!$P$2:$P$21,18),DECKS!$B$2:$B$1201,$A22))</f>
        <v/>
      </c>
      <c r="AC22" s="19" t="str">
        <f aca="false">IF(OR($A22="",INDEX(_LEITURA!$Q$2:$Q$21,19)=0),"",SUMIFS(DECKS!$D$2:$D$1201,DECKS!$A$2:$A$1201,INDEX(_LEITURA!$P$2:$P$21,19),DECKS!$B$2:$B$1201,$A22))</f>
        <v/>
      </c>
      <c r="AD22" s="19" t="str">
        <f aca="false">IF(OR($A22="",INDEX(_LEITURA!$Q$2:$Q$21,20)=0),"",SUMIFS(DECKS!$D$2:$D$1201,DECKS!$A$2:$A$1201,INDEX(_LEITURA!$P$2:$P$21,20),DECKS!$B$2:$B$1201,$A22))</f>
        <v/>
      </c>
      <c r="AE22" s="16" t="str">
        <f aca="false">IF(N(E22)&gt;0,MAX(AE$1:AE21)+1,"")</f>
        <v/>
      </c>
      <c r="AF22" s="11" t="str">
        <f aca="false">IF(A22="","",IFERROR(LEFT(A22,FIND("-",A22)-1),A22))</f>
        <v/>
      </c>
      <c r="AG22" s="11" t="str">
        <f aca="false">IF(AF22="","",IF(ISNUMBER(--MID(AF22,1,1)),0,IF(ISNUMBER(--MID(AF22,2,1)),1,IF(ISNUMBER(--MID(AF22,3,1)),2,IF(ISNUMBER(--MID(AF22,4,1)),3,MIN(LEN(AF22),4))))))</f>
        <v/>
      </c>
      <c r="AH22" s="11" t="str">
        <f aca="false">IF(A22="","",LEFT(AF22,AG22)&amp;REPT("0",4-AG22)&amp;RIGHT("000"&amp;IFERROR(VALUE(MID(AF22,AG22+1,9)),0),3)&amp;RIGHT("0000"&amp;IFERROR(VALUE(MID(A22,FIND("-",A22)+1,9)),0),4))</f>
        <v/>
      </c>
      <c r="AI22" s="11" t="str">
        <f aca="false">IF(OR(A22="",N(E22)&lt;=0),"",IF('FALTAS GERAL'!$M$1="Código","K"&amp;AH22&amp;RIGHT("00000"&amp;ROW(),5),IF('FALTAS GERAL'!$M$1="Nome","K"&amp;UPPER(SUBSTITUTE(SUBSTITUTE(SUBSTITUTE(B22,"*",""),"?",""),"~",""))&amp;"0"&amp;AH22&amp;RIGHT("00000"&amp;ROW(),5),IF('FALTAS GERAL'!$M$1="Falta (maior primeiro)","K"&amp;RIGHT("0000"&amp;(9999-E22),4)&amp;AH22&amp;RIGHT("00000"&amp;ROW(),5),IF('FALTAS GERAL'!$M$1="Nº de decks (maior primeiro)","K"&amp;RIGHT("00"&amp;(99-N(G22)),2)&amp;AH22&amp;RIGHT("00000"&amp;ROW(),5),"K"&amp;RIGHT("00000"&amp;ROW(),5))))))</f>
        <v/>
      </c>
      <c r="AJ22" s="11" t="str">
        <f aca="false">IF(AI22="","",COUNTIFS($AI$2:$AI$801,"&lt;"&amp;AI22,$E$2:$E$801,"&gt;0")+1)</f>
        <v/>
      </c>
      <c r="AK22" s="11" t="str">
        <f aca="false">IF(OR(A22="",N(E22)&lt;=0),"",COUNTIFS($AH$2:$AH$801,"&lt;"&amp;AH22,$E$2:$E$801,"&gt;0")+COUNTIFS($AH$2:AH22,AH22,$E$2:E22,"&gt;0"))</f>
        <v/>
      </c>
    </row>
    <row r="23" customFormat="false" ht="15" hidden="false" customHeight="false" outlineLevel="0" collapsed="false">
      <c r="A23" s="11" t="str">
        <f aca="false">IF(INVENTÁRIO!A23="","",INVENTÁRIO!A23)</f>
        <v/>
      </c>
      <c r="B23" s="11" t="str">
        <f aca="false">IF(A23="","",INVENTÁRIO!B23)</f>
        <v/>
      </c>
      <c r="C23" s="16" t="str">
        <f aca="false">IF(A23="","",INVENTÁRIO!C23)</f>
        <v/>
      </c>
      <c r="D23" s="14" t="str">
        <f aca="false">IF(A23="","",MAX(K23:AD23))</f>
        <v/>
      </c>
      <c r="E23" s="14" t="str">
        <f aca="false">IF(A23="","",MAX(0,D23-C23))</f>
        <v/>
      </c>
      <c r="F23" s="16" t="str">
        <f aca="false">IF(A23="","",IF(D23=0,"Fora dos decks",IF(E23=0,"Completo","Falta")))</f>
        <v/>
      </c>
      <c r="G23" s="16" t="str">
        <f aca="false">IF(A23="","",COUNTIF(K23:AD23,"&gt;0"))</f>
        <v/>
      </c>
      <c r="H23" s="16" t="str">
        <f aca="false">IF(A23="","",IF(G23&gt;1,"Sim",""))</f>
        <v/>
      </c>
      <c r="I23" s="18" t="str">
        <f aca="false">IF(A23="","",SUMIFS(DECKS!$D$2:$D$1201,DECKS!$B$2:$B$1201,A23))</f>
        <v/>
      </c>
      <c r="J23" s="18" t="str">
        <f aca="false">IF(A23="","",MAX(0,I23-C23))</f>
        <v/>
      </c>
      <c r="K23" s="19" t="str">
        <f aca="false">IF(OR($A23="",INDEX(_LEITURA!$Q$2:$Q$21,1)=0),"",SUMIFS(DECKS!$D$2:$D$1201,DECKS!$A$2:$A$1201,INDEX(_LEITURA!$P$2:$P$21,1),DECKS!$B$2:$B$1201,$A23))</f>
        <v/>
      </c>
      <c r="L23" s="19" t="str">
        <f aca="false">IF(OR($A23="",INDEX(_LEITURA!$Q$2:$Q$21,2)=0),"",SUMIFS(DECKS!$D$2:$D$1201,DECKS!$A$2:$A$1201,INDEX(_LEITURA!$P$2:$P$21,2),DECKS!$B$2:$B$1201,$A23))</f>
        <v/>
      </c>
      <c r="M23" s="19" t="str">
        <f aca="false">IF(OR($A23="",INDEX(_LEITURA!$Q$2:$Q$21,3)=0),"",SUMIFS(DECKS!$D$2:$D$1201,DECKS!$A$2:$A$1201,INDEX(_LEITURA!$P$2:$P$21,3),DECKS!$B$2:$B$1201,$A23))</f>
        <v/>
      </c>
      <c r="N23" s="19" t="str">
        <f aca="false">IF(OR($A23="",INDEX(_LEITURA!$Q$2:$Q$21,4)=0),"",SUMIFS(DECKS!$D$2:$D$1201,DECKS!$A$2:$A$1201,INDEX(_LEITURA!$P$2:$P$21,4),DECKS!$B$2:$B$1201,$A23))</f>
        <v/>
      </c>
      <c r="O23" s="19" t="str">
        <f aca="false">IF(OR($A23="",INDEX(_LEITURA!$Q$2:$Q$21,5)=0),"",SUMIFS(DECKS!$D$2:$D$1201,DECKS!$A$2:$A$1201,INDEX(_LEITURA!$P$2:$P$21,5),DECKS!$B$2:$B$1201,$A23))</f>
        <v/>
      </c>
      <c r="P23" s="19" t="str">
        <f aca="false">IF(OR($A23="",INDEX(_LEITURA!$Q$2:$Q$21,6)=0),"",SUMIFS(DECKS!$D$2:$D$1201,DECKS!$A$2:$A$1201,INDEX(_LEITURA!$P$2:$P$21,6),DECKS!$B$2:$B$1201,$A23))</f>
        <v/>
      </c>
      <c r="Q23" s="19" t="str">
        <f aca="false">IF(OR($A23="",INDEX(_LEITURA!$Q$2:$Q$21,7)=0),"",SUMIFS(DECKS!$D$2:$D$1201,DECKS!$A$2:$A$1201,INDEX(_LEITURA!$P$2:$P$21,7),DECKS!$B$2:$B$1201,$A23))</f>
        <v/>
      </c>
      <c r="R23" s="19" t="str">
        <f aca="false">IF(OR($A23="",INDEX(_LEITURA!$Q$2:$Q$21,8)=0),"",SUMIFS(DECKS!$D$2:$D$1201,DECKS!$A$2:$A$1201,INDEX(_LEITURA!$P$2:$P$21,8),DECKS!$B$2:$B$1201,$A23))</f>
        <v/>
      </c>
      <c r="S23" s="19" t="str">
        <f aca="false">IF(OR($A23="",INDEX(_LEITURA!$Q$2:$Q$21,9)=0),"",SUMIFS(DECKS!$D$2:$D$1201,DECKS!$A$2:$A$1201,INDEX(_LEITURA!$P$2:$P$21,9),DECKS!$B$2:$B$1201,$A23))</f>
        <v/>
      </c>
      <c r="T23" s="19" t="str">
        <f aca="false">IF(OR($A23="",INDEX(_LEITURA!$Q$2:$Q$21,10)=0),"",SUMIFS(DECKS!$D$2:$D$1201,DECKS!$A$2:$A$1201,INDEX(_LEITURA!$P$2:$P$21,10),DECKS!$B$2:$B$1201,$A23))</f>
        <v/>
      </c>
      <c r="U23" s="19" t="str">
        <f aca="false">IF(OR($A23="",INDEX(_LEITURA!$Q$2:$Q$21,11)=0),"",SUMIFS(DECKS!$D$2:$D$1201,DECKS!$A$2:$A$1201,INDEX(_LEITURA!$P$2:$P$21,11),DECKS!$B$2:$B$1201,$A23))</f>
        <v/>
      </c>
      <c r="V23" s="19" t="str">
        <f aca="false">IF(OR($A23="",INDEX(_LEITURA!$Q$2:$Q$21,12)=0),"",SUMIFS(DECKS!$D$2:$D$1201,DECKS!$A$2:$A$1201,INDEX(_LEITURA!$P$2:$P$21,12),DECKS!$B$2:$B$1201,$A23))</f>
        <v/>
      </c>
      <c r="W23" s="19" t="str">
        <f aca="false">IF(OR($A23="",INDEX(_LEITURA!$Q$2:$Q$21,13)=0),"",SUMIFS(DECKS!$D$2:$D$1201,DECKS!$A$2:$A$1201,INDEX(_LEITURA!$P$2:$P$21,13),DECKS!$B$2:$B$1201,$A23))</f>
        <v/>
      </c>
      <c r="X23" s="19" t="str">
        <f aca="false">IF(OR($A23="",INDEX(_LEITURA!$Q$2:$Q$21,14)=0),"",SUMIFS(DECKS!$D$2:$D$1201,DECKS!$A$2:$A$1201,INDEX(_LEITURA!$P$2:$P$21,14),DECKS!$B$2:$B$1201,$A23))</f>
        <v/>
      </c>
      <c r="Y23" s="19" t="str">
        <f aca="false">IF(OR($A23="",INDEX(_LEITURA!$Q$2:$Q$21,15)=0),"",SUMIFS(DECKS!$D$2:$D$1201,DECKS!$A$2:$A$1201,INDEX(_LEITURA!$P$2:$P$21,15),DECKS!$B$2:$B$1201,$A23))</f>
        <v/>
      </c>
      <c r="Z23" s="19" t="str">
        <f aca="false">IF(OR($A23="",INDEX(_LEITURA!$Q$2:$Q$21,16)=0),"",SUMIFS(DECKS!$D$2:$D$1201,DECKS!$A$2:$A$1201,INDEX(_LEITURA!$P$2:$P$21,16),DECKS!$B$2:$B$1201,$A23))</f>
        <v/>
      </c>
      <c r="AA23" s="19" t="str">
        <f aca="false">IF(OR($A23="",INDEX(_LEITURA!$Q$2:$Q$21,17)=0),"",SUMIFS(DECKS!$D$2:$D$1201,DECKS!$A$2:$A$1201,INDEX(_LEITURA!$P$2:$P$21,17),DECKS!$B$2:$B$1201,$A23))</f>
        <v/>
      </c>
      <c r="AB23" s="19" t="str">
        <f aca="false">IF(OR($A23="",INDEX(_LEITURA!$Q$2:$Q$21,18)=0),"",SUMIFS(DECKS!$D$2:$D$1201,DECKS!$A$2:$A$1201,INDEX(_LEITURA!$P$2:$P$21,18),DECKS!$B$2:$B$1201,$A23))</f>
        <v/>
      </c>
      <c r="AC23" s="19" t="str">
        <f aca="false">IF(OR($A23="",INDEX(_LEITURA!$Q$2:$Q$21,19)=0),"",SUMIFS(DECKS!$D$2:$D$1201,DECKS!$A$2:$A$1201,INDEX(_LEITURA!$P$2:$P$21,19),DECKS!$B$2:$B$1201,$A23))</f>
        <v/>
      </c>
      <c r="AD23" s="19" t="str">
        <f aca="false">IF(OR($A23="",INDEX(_LEITURA!$Q$2:$Q$21,20)=0),"",SUMIFS(DECKS!$D$2:$D$1201,DECKS!$A$2:$A$1201,INDEX(_LEITURA!$P$2:$P$21,20),DECKS!$B$2:$B$1201,$A23))</f>
        <v/>
      </c>
      <c r="AE23" s="16" t="str">
        <f aca="false">IF(N(E23)&gt;0,MAX(AE$1:AE22)+1,"")</f>
        <v/>
      </c>
      <c r="AF23" s="11" t="str">
        <f aca="false">IF(A23="","",IFERROR(LEFT(A23,FIND("-",A23)-1),A23))</f>
        <v/>
      </c>
      <c r="AG23" s="11" t="str">
        <f aca="false">IF(AF23="","",IF(ISNUMBER(--MID(AF23,1,1)),0,IF(ISNUMBER(--MID(AF23,2,1)),1,IF(ISNUMBER(--MID(AF23,3,1)),2,IF(ISNUMBER(--MID(AF23,4,1)),3,MIN(LEN(AF23),4))))))</f>
        <v/>
      </c>
      <c r="AH23" s="11" t="str">
        <f aca="false">IF(A23="","",LEFT(AF23,AG23)&amp;REPT("0",4-AG23)&amp;RIGHT("000"&amp;IFERROR(VALUE(MID(AF23,AG23+1,9)),0),3)&amp;RIGHT("0000"&amp;IFERROR(VALUE(MID(A23,FIND("-",A23)+1,9)),0),4))</f>
        <v/>
      </c>
      <c r="AI23" s="11" t="str">
        <f aca="false">IF(OR(A23="",N(E23)&lt;=0),"",IF('FALTAS GERAL'!$M$1="Código","K"&amp;AH23&amp;RIGHT("00000"&amp;ROW(),5),IF('FALTAS GERAL'!$M$1="Nome","K"&amp;UPPER(SUBSTITUTE(SUBSTITUTE(SUBSTITUTE(B23,"*",""),"?",""),"~",""))&amp;"0"&amp;AH23&amp;RIGHT("00000"&amp;ROW(),5),IF('FALTAS GERAL'!$M$1="Falta (maior primeiro)","K"&amp;RIGHT("0000"&amp;(9999-E23),4)&amp;AH23&amp;RIGHT("00000"&amp;ROW(),5),IF('FALTAS GERAL'!$M$1="Nº de decks (maior primeiro)","K"&amp;RIGHT("00"&amp;(99-N(G23)),2)&amp;AH23&amp;RIGHT("00000"&amp;ROW(),5),"K"&amp;RIGHT("00000"&amp;ROW(),5))))))</f>
        <v/>
      </c>
      <c r="AJ23" s="11" t="str">
        <f aca="false">IF(AI23="","",COUNTIFS($AI$2:$AI$801,"&lt;"&amp;AI23,$E$2:$E$801,"&gt;0")+1)</f>
        <v/>
      </c>
      <c r="AK23" s="11" t="str">
        <f aca="false">IF(OR(A23="",N(E23)&lt;=0),"",COUNTIFS($AH$2:$AH$801,"&lt;"&amp;AH23,$E$2:$E$801,"&gt;0")+COUNTIFS($AH$2:AH23,AH23,$E$2:E23,"&gt;0"))</f>
        <v/>
      </c>
    </row>
    <row r="24" customFormat="false" ht="15" hidden="false" customHeight="false" outlineLevel="0" collapsed="false">
      <c r="A24" s="11" t="str">
        <f aca="false">IF(INVENTÁRIO!A24="","",INVENTÁRIO!A24)</f>
        <v/>
      </c>
      <c r="B24" s="11" t="str">
        <f aca="false">IF(A24="","",INVENTÁRIO!B24)</f>
        <v/>
      </c>
      <c r="C24" s="16" t="str">
        <f aca="false">IF(A24="","",INVENTÁRIO!C24)</f>
        <v/>
      </c>
      <c r="D24" s="14" t="str">
        <f aca="false">IF(A24="","",MAX(K24:AD24))</f>
        <v/>
      </c>
      <c r="E24" s="14" t="str">
        <f aca="false">IF(A24="","",MAX(0,D24-C24))</f>
        <v/>
      </c>
      <c r="F24" s="16" t="str">
        <f aca="false">IF(A24="","",IF(D24=0,"Fora dos decks",IF(E24=0,"Completo","Falta")))</f>
        <v/>
      </c>
      <c r="G24" s="16" t="str">
        <f aca="false">IF(A24="","",COUNTIF(K24:AD24,"&gt;0"))</f>
        <v/>
      </c>
      <c r="H24" s="16" t="str">
        <f aca="false">IF(A24="","",IF(G24&gt;1,"Sim",""))</f>
        <v/>
      </c>
      <c r="I24" s="18" t="str">
        <f aca="false">IF(A24="","",SUMIFS(DECKS!$D$2:$D$1201,DECKS!$B$2:$B$1201,A24))</f>
        <v/>
      </c>
      <c r="J24" s="18" t="str">
        <f aca="false">IF(A24="","",MAX(0,I24-C24))</f>
        <v/>
      </c>
      <c r="K24" s="19" t="str">
        <f aca="false">IF(OR($A24="",INDEX(_LEITURA!$Q$2:$Q$21,1)=0),"",SUMIFS(DECKS!$D$2:$D$1201,DECKS!$A$2:$A$1201,INDEX(_LEITURA!$P$2:$P$21,1),DECKS!$B$2:$B$1201,$A24))</f>
        <v/>
      </c>
      <c r="L24" s="19" t="str">
        <f aca="false">IF(OR($A24="",INDEX(_LEITURA!$Q$2:$Q$21,2)=0),"",SUMIFS(DECKS!$D$2:$D$1201,DECKS!$A$2:$A$1201,INDEX(_LEITURA!$P$2:$P$21,2),DECKS!$B$2:$B$1201,$A24))</f>
        <v/>
      </c>
      <c r="M24" s="19" t="str">
        <f aca="false">IF(OR($A24="",INDEX(_LEITURA!$Q$2:$Q$21,3)=0),"",SUMIFS(DECKS!$D$2:$D$1201,DECKS!$A$2:$A$1201,INDEX(_LEITURA!$P$2:$P$21,3),DECKS!$B$2:$B$1201,$A24))</f>
        <v/>
      </c>
      <c r="N24" s="19" t="str">
        <f aca="false">IF(OR($A24="",INDEX(_LEITURA!$Q$2:$Q$21,4)=0),"",SUMIFS(DECKS!$D$2:$D$1201,DECKS!$A$2:$A$1201,INDEX(_LEITURA!$P$2:$P$21,4),DECKS!$B$2:$B$1201,$A24))</f>
        <v/>
      </c>
      <c r="O24" s="19" t="str">
        <f aca="false">IF(OR($A24="",INDEX(_LEITURA!$Q$2:$Q$21,5)=0),"",SUMIFS(DECKS!$D$2:$D$1201,DECKS!$A$2:$A$1201,INDEX(_LEITURA!$P$2:$P$21,5),DECKS!$B$2:$B$1201,$A24))</f>
        <v/>
      </c>
      <c r="P24" s="19" t="str">
        <f aca="false">IF(OR($A24="",INDEX(_LEITURA!$Q$2:$Q$21,6)=0),"",SUMIFS(DECKS!$D$2:$D$1201,DECKS!$A$2:$A$1201,INDEX(_LEITURA!$P$2:$P$21,6),DECKS!$B$2:$B$1201,$A24))</f>
        <v/>
      </c>
      <c r="Q24" s="19" t="str">
        <f aca="false">IF(OR($A24="",INDEX(_LEITURA!$Q$2:$Q$21,7)=0),"",SUMIFS(DECKS!$D$2:$D$1201,DECKS!$A$2:$A$1201,INDEX(_LEITURA!$P$2:$P$21,7),DECKS!$B$2:$B$1201,$A24))</f>
        <v/>
      </c>
      <c r="R24" s="19" t="str">
        <f aca="false">IF(OR($A24="",INDEX(_LEITURA!$Q$2:$Q$21,8)=0),"",SUMIFS(DECKS!$D$2:$D$1201,DECKS!$A$2:$A$1201,INDEX(_LEITURA!$P$2:$P$21,8),DECKS!$B$2:$B$1201,$A24))</f>
        <v/>
      </c>
      <c r="S24" s="19" t="str">
        <f aca="false">IF(OR($A24="",INDEX(_LEITURA!$Q$2:$Q$21,9)=0),"",SUMIFS(DECKS!$D$2:$D$1201,DECKS!$A$2:$A$1201,INDEX(_LEITURA!$P$2:$P$21,9),DECKS!$B$2:$B$1201,$A24))</f>
        <v/>
      </c>
      <c r="T24" s="19" t="str">
        <f aca="false">IF(OR($A24="",INDEX(_LEITURA!$Q$2:$Q$21,10)=0),"",SUMIFS(DECKS!$D$2:$D$1201,DECKS!$A$2:$A$1201,INDEX(_LEITURA!$P$2:$P$21,10),DECKS!$B$2:$B$1201,$A24))</f>
        <v/>
      </c>
      <c r="U24" s="19" t="str">
        <f aca="false">IF(OR($A24="",INDEX(_LEITURA!$Q$2:$Q$21,11)=0),"",SUMIFS(DECKS!$D$2:$D$1201,DECKS!$A$2:$A$1201,INDEX(_LEITURA!$P$2:$P$21,11),DECKS!$B$2:$B$1201,$A24))</f>
        <v/>
      </c>
      <c r="V24" s="19" t="str">
        <f aca="false">IF(OR($A24="",INDEX(_LEITURA!$Q$2:$Q$21,12)=0),"",SUMIFS(DECKS!$D$2:$D$1201,DECKS!$A$2:$A$1201,INDEX(_LEITURA!$P$2:$P$21,12),DECKS!$B$2:$B$1201,$A24))</f>
        <v/>
      </c>
      <c r="W24" s="19" t="str">
        <f aca="false">IF(OR($A24="",INDEX(_LEITURA!$Q$2:$Q$21,13)=0),"",SUMIFS(DECKS!$D$2:$D$1201,DECKS!$A$2:$A$1201,INDEX(_LEITURA!$P$2:$P$21,13),DECKS!$B$2:$B$1201,$A24))</f>
        <v/>
      </c>
      <c r="X24" s="19" t="str">
        <f aca="false">IF(OR($A24="",INDEX(_LEITURA!$Q$2:$Q$21,14)=0),"",SUMIFS(DECKS!$D$2:$D$1201,DECKS!$A$2:$A$1201,INDEX(_LEITURA!$P$2:$P$21,14),DECKS!$B$2:$B$1201,$A24))</f>
        <v/>
      </c>
      <c r="Y24" s="19" t="str">
        <f aca="false">IF(OR($A24="",INDEX(_LEITURA!$Q$2:$Q$21,15)=0),"",SUMIFS(DECKS!$D$2:$D$1201,DECKS!$A$2:$A$1201,INDEX(_LEITURA!$P$2:$P$21,15),DECKS!$B$2:$B$1201,$A24))</f>
        <v/>
      </c>
      <c r="Z24" s="19" t="str">
        <f aca="false">IF(OR($A24="",INDEX(_LEITURA!$Q$2:$Q$21,16)=0),"",SUMIFS(DECKS!$D$2:$D$1201,DECKS!$A$2:$A$1201,INDEX(_LEITURA!$P$2:$P$21,16),DECKS!$B$2:$B$1201,$A24))</f>
        <v/>
      </c>
      <c r="AA24" s="19" t="str">
        <f aca="false">IF(OR($A24="",INDEX(_LEITURA!$Q$2:$Q$21,17)=0),"",SUMIFS(DECKS!$D$2:$D$1201,DECKS!$A$2:$A$1201,INDEX(_LEITURA!$P$2:$P$21,17),DECKS!$B$2:$B$1201,$A24))</f>
        <v/>
      </c>
      <c r="AB24" s="19" t="str">
        <f aca="false">IF(OR($A24="",INDEX(_LEITURA!$Q$2:$Q$21,18)=0),"",SUMIFS(DECKS!$D$2:$D$1201,DECKS!$A$2:$A$1201,INDEX(_LEITURA!$P$2:$P$21,18),DECKS!$B$2:$B$1201,$A24))</f>
        <v/>
      </c>
      <c r="AC24" s="19" t="str">
        <f aca="false">IF(OR($A24="",INDEX(_LEITURA!$Q$2:$Q$21,19)=0),"",SUMIFS(DECKS!$D$2:$D$1201,DECKS!$A$2:$A$1201,INDEX(_LEITURA!$P$2:$P$21,19),DECKS!$B$2:$B$1201,$A24))</f>
        <v/>
      </c>
      <c r="AD24" s="19" t="str">
        <f aca="false">IF(OR($A24="",INDEX(_LEITURA!$Q$2:$Q$21,20)=0),"",SUMIFS(DECKS!$D$2:$D$1201,DECKS!$A$2:$A$1201,INDEX(_LEITURA!$P$2:$P$21,20),DECKS!$B$2:$B$1201,$A24))</f>
        <v/>
      </c>
      <c r="AE24" s="16" t="str">
        <f aca="false">IF(N(E24)&gt;0,MAX(AE$1:AE23)+1,"")</f>
        <v/>
      </c>
      <c r="AF24" s="11" t="str">
        <f aca="false">IF(A24="","",IFERROR(LEFT(A24,FIND("-",A24)-1),A24))</f>
        <v/>
      </c>
      <c r="AG24" s="11" t="str">
        <f aca="false">IF(AF24="","",IF(ISNUMBER(--MID(AF24,1,1)),0,IF(ISNUMBER(--MID(AF24,2,1)),1,IF(ISNUMBER(--MID(AF24,3,1)),2,IF(ISNUMBER(--MID(AF24,4,1)),3,MIN(LEN(AF24),4))))))</f>
        <v/>
      </c>
      <c r="AH24" s="11" t="str">
        <f aca="false">IF(A24="","",LEFT(AF24,AG24)&amp;REPT("0",4-AG24)&amp;RIGHT("000"&amp;IFERROR(VALUE(MID(AF24,AG24+1,9)),0),3)&amp;RIGHT("0000"&amp;IFERROR(VALUE(MID(A24,FIND("-",A24)+1,9)),0),4))</f>
        <v/>
      </c>
      <c r="AI24" s="11" t="str">
        <f aca="false">IF(OR(A24="",N(E24)&lt;=0),"",IF('FALTAS GERAL'!$M$1="Código","K"&amp;AH24&amp;RIGHT("00000"&amp;ROW(),5),IF('FALTAS GERAL'!$M$1="Nome","K"&amp;UPPER(SUBSTITUTE(SUBSTITUTE(SUBSTITUTE(B24,"*",""),"?",""),"~",""))&amp;"0"&amp;AH24&amp;RIGHT("00000"&amp;ROW(),5),IF('FALTAS GERAL'!$M$1="Falta (maior primeiro)","K"&amp;RIGHT("0000"&amp;(9999-E24),4)&amp;AH24&amp;RIGHT("00000"&amp;ROW(),5),IF('FALTAS GERAL'!$M$1="Nº de decks (maior primeiro)","K"&amp;RIGHT("00"&amp;(99-N(G24)),2)&amp;AH24&amp;RIGHT("00000"&amp;ROW(),5),"K"&amp;RIGHT("00000"&amp;ROW(),5))))))</f>
        <v/>
      </c>
      <c r="AJ24" s="11" t="str">
        <f aca="false">IF(AI24="","",COUNTIFS($AI$2:$AI$801,"&lt;"&amp;AI24,$E$2:$E$801,"&gt;0")+1)</f>
        <v/>
      </c>
      <c r="AK24" s="11" t="str">
        <f aca="false">IF(OR(A24="",N(E24)&lt;=0),"",COUNTIFS($AH$2:$AH$801,"&lt;"&amp;AH24,$E$2:$E$801,"&gt;0")+COUNTIFS($AH$2:AH24,AH24,$E$2:E24,"&gt;0"))</f>
        <v/>
      </c>
    </row>
    <row r="25" customFormat="false" ht="15" hidden="false" customHeight="false" outlineLevel="0" collapsed="false">
      <c r="A25" s="11" t="str">
        <f aca="false">IF(INVENTÁRIO!A25="","",INVENTÁRIO!A25)</f>
        <v/>
      </c>
      <c r="B25" s="11" t="str">
        <f aca="false">IF(A25="","",INVENTÁRIO!B25)</f>
        <v/>
      </c>
      <c r="C25" s="16" t="str">
        <f aca="false">IF(A25="","",INVENTÁRIO!C25)</f>
        <v/>
      </c>
      <c r="D25" s="14" t="str">
        <f aca="false">IF(A25="","",MAX(K25:AD25))</f>
        <v/>
      </c>
      <c r="E25" s="14" t="str">
        <f aca="false">IF(A25="","",MAX(0,D25-C25))</f>
        <v/>
      </c>
      <c r="F25" s="16" t="str">
        <f aca="false">IF(A25="","",IF(D25=0,"Fora dos decks",IF(E25=0,"Completo","Falta")))</f>
        <v/>
      </c>
      <c r="G25" s="16" t="str">
        <f aca="false">IF(A25="","",COUNTIF(K25:AD25,"&gt;0"))</f>
        <v/>
      </c>
      <c r="H25" s="16" t="str">
        <f aca="false">IF(A25="","",IF(G25&gt;1,"Sim",""))</f>
        <v/>
      </c>
      <c r="I25" s="18" t="str">
        <f aca="false">IF(A25="","",SUMIFS(DECKS!$D$2:$D$1201,DECKS!$B$2:$B$1201,A25))</f>
        <v/>
      </c>
      <c r="J25" s="18" t="str">
        <f aca="false">IF(A25="","",MAX(0,I25-C25))</f>
        <v/>
      </c>
      <c r="K25" s="19" t="str">
        <f aca="false">IF(OR($A25="",INDEX(_LEITURA!$Q$2:$Q$21,1)=0),"",SUMIFS(DECKS!$D$2:$D$1201,DECKS!$A$2:$A$1201,INDEX(_LEITURA!$P$2:$P$21,1),DECKS!$B$2:$B$1201,$A25))</f>
        <v/>
      </c>
      <c r="L25" s="19" t="str">
        <f aca="false">IF(OR($A25="",INDEX(_LEITURA!$Q$2:$Q$21,2)=0),"",SUMIFS(DECKS!$D$2:$D$1201,DECKS!$A$2:$A$1201,INDEX(_LEITURA!$P$2:$P$21,2),DECKS!$B$2:$B$1201,$A25))</f>
        <v/>
      </c>
      <c r="M25" s="19" t="str">
        <f aca="false">IF(OR($A25="",INDEX(_LEITURA!$Q$2:$Q$21,3)=0),"",SUMIFS(DECKS!$D$2:$D$1201,DECKS!$A$2:$A$1201,INDEX(_LEITURA!$P$2:$P$21,3),DECKS!$B$2:$B$1201,$A25))</f>
        <v/>
      </c>
      <c r="N25" s="19" t="str">
        <f aca="false">IF(OR($A25="",INDEX(_LEITURA!$Q$2:$Q$21,4)=0),"",SUMIFS(DECKS!$D$2:$D$1201,DECKS!$A$2:$A$1201,INDEX(_LEITURA!$P$2:$P$21,4),DECKS!$B$2:$B$1201,$A25))</f>
        <v/>
      </c>
      <c r="O25" s="19" t="str">
        <f aca="false">IF(OR($A25="",INDEX(_LEITURA!$Q$2:$Q$21,5)=0),"",SUMIFS(DECKS!$D$2:$D$1201,DECKS!$A$2:$A$1201,INDEX(_LEITURA!$P$2:$P$21,5),DECKS!$B$2:$B$1201,$A25))</f>
        <v/>
      </c>
      <c r="P25" s="19" t="str">
        <f aca="false">IF(OR($A25="",INDEX(_LEITURA!$Q$2:$Q$21,6)=0),"",SUMIFS(DECKS!$D$2:$D$1201,DECKS!$A$2:$A$1201,INDEX(_LEITURA!$P$2:$P$21,6),DECKS!$B$2:$B$1201,$A25))</f>
        <v/>
      </c>
      <c r="Q25" s="19" t="str">
        <f aca="false">IF(OR($A25="",INDEX(_LEITURA!$Q$2:$Q$21,7)=0),"",SUMIFS(DECKS!$D$2:$D$1201,DECKS!$A$2:$A$1201,INDEX(_LEITURA!$P$2:$P$21,7),DECKS!$B$2:$B$1201,$A25))</f>
        <v/>
      </c>
      <c r="R25" s="19" t="str">
        <f aca="false">IF(OR($A25="",INDEX(_LEITURA!$Q$2:$Q$21,8)=0),"",SUMIFS(DECKS!$D$2:$D$1201,DECKS!$A$2:$A$1201,INDEX(_LEITURA!$P$2:$P$21,8),DECKS!$B$2:$B$1201,$A25))</f>
        <v/>
      </c>
      <c r="S25" s="19" t="str">
        <f aca="false">IF(OR($A25="",INDEX(_LEITURA!$Q$2:$Q$21,9)=0),"",SUMIFS(DECKS!$D$2:$D$1201,DECKS!$A$2:$A$1201,INDEX(_LEITURA!$P$2:$P$21,9),DECKS!$B$2:$B$1201,$A25))</f>
        <v/>
      </c>
      <c r="T25" s="19" t="str">
        <f aca="false">IF(OR($A25="",INDEX(_LEITURA!$Q$2:$Q$21,10)=0),"",SUMIFS(DECKS!$D$2:$D$1201,DECKS!$A$2:$A$1201,INDEX(_LEITURA!$P$2:$P$21,10),DECKS!$B$2:$B$1201,$A25))</f>
        <v/>
      </c>
      <c r="U25" s="19" t="str">
        <f aca="false">IF(OR($A25="",INDEX(_LEITURA!$Q$2:$Q$21,11)=0),"",SUMIFS(DECKS!$D$2:$D$1201,DECKS!$A$2:$A$1201,INDEX(_LEITURA!$P$2:$P$21,11),DECKS!$B$2:$B$1201,$A25))</f>
        <v/>
      </c>
      <c r="V25" s="19" t="str">
        <f aca="false">IF(OR($A25="",INDEX(_LEITURA!$Q$2:$Q$21,12)=0),"",SUMIFS(DECKS!$D$2:$D$1201,DECKS!$A$2:$A$1201,INDEX(_LEITURA!$P$2:$P$21,12),DECKS!$B$2:$B$1201,$A25))</f>
        <v/>
      </c>
      <c r="W25" s="19" t="str">
        <f aca="false">IF(OR($A25="",INDEX(_LEITURA!$Q$2:$Q$21,13)=0),"",SUMIFS(DECKS!$D$2:$D$1201,DECKS!$A$2:$A$1201,INDEX(_LEITURA!$P$2:$P$21,13),DECKS!$B$2:$B$1201,$A25))</f>
        <v/>
      </c>
      <c r="X25" s="19" t="str">
        <f aca="false">IF(OR($A25="",INDEX(_LEITURA!$Q$2:$Q$21,14)=0),"",SUMIFS(DECKS!$D$2:$D$1201,DECKS!$A$2:$A$1201,INDEX(_LEITURA!$P$2:$P$21,14),DECKS!$B$2:$B$1201,$A25))</f>
        <v/>
      </c>
      <c r="Y25" s="19" t="str">
        <f aca="false">IF(OR($A25="",INDEX(_LEITURA!$Q$2:$Q$21,15)=0),"",SUMIFS(DECKS!$D$2:$D$1201,DECKS!$A$2:$A$1201,INDEX(_LEITURA!$P$2:$P$21,15),DECKS!$B$2:$B$1201,$A25))</f>
        <v/>
      </c>
      <c r="Z25" s="19" t="str">
        <f aca="false">IF(OR($A25="",INDEX(_LEITURA!$Q$2:$Q$21,16)=0),"",SUMIFS(DECKS!$D$2:$D$1201,DECKS!$A$2:$A$1201,INDEX(_LEITURA!$P$2:$P$21,16),DECKS!$B$2:$B$1201,$A25))</f>
        <v/>
      </c>
      <c r="AA25" s="19" t="str">
        <f aca="false">IF(OR($A25="",INDEX(_LEITURA!$Q$2:$Q$21,17)=0),"",SUMIFS(DECKS!$D$2:$D$1201,DECKS!$A$2:$A$1201,INDEX(_LEITURA!$P$2:$P$21,17),DECKS!$B$2:$B$1201,$A25))</f>
        <v/>
      </c>
      <c r="AB25" s="19" t="str">
        <f aca="false">IF(OR($A25="",INDEX(_LEITURA!$Q$2:$Q$21,18)=0),"",SUMIFS(DECKS!$D$2:$D$1201,DECKS!$A$2:$A$1201,INDEX(_LEITURA!$P$2:$P$21,18),DECKS!$B$2:$B$1201,$A25))</f>
        <v/>
      </c>
      <c r="AC25" s="19" t="str">
        <f aca="false">IF(OR($A25="",INDEX(_LEITURA!$Q$2:$Q$21,19)=0),"",SUMIFS(DECKS!$D$2:$D$1201,DECKS!$A$2:$A$1201,INDEX(_LEITURA!$P$2:$P$21,19),DECKS!$B$2:$B$1201,$A25))</f>
        <v/>
      </c>
      <c r="AD25" s="19" t="str">
        <f aca="false">IF(OR($A25="",INDEX(_LEITURA!$Q$2:$Q$21,20)=0),"",SUMIFS(DECKS!$D$2:$D$1201,DECKS!$A$2:$A$1201,INDEX(_LEITURA!$P$2:$P$21,20),DECKS!$B$2:$B$1201,$A25))</f>
        <v/>
      </c>
      <c r="AE25" s="16" t="str">
        <f aca="false">IF(N(E25)&gt;0,MAX(AE$1:AE24)+1,"")</f>
        <v/>
      </c>
      <c r="AF25" s="11" t="str">
        <f aca="false">IF(A25="","",IFERROR(LEFT(A25,FIND("-",A25)-1),A25))</f>
        <v/>
      </c>
      <c r="AG25" s="11" t="str">
        <f aca="false">IF(AF25="","",IF(ISNUMBER(--MID(AF25,1,1)),0,IF(ISNUMBER(--MID(AF25,2,1)),1,IF(ISNUMBER(--MID(AF25,3,1)),2,IF(ISNUMBER(--MID(AF25,4,1)),3,MIN(LEN(AF25),4))))))</f>
        <v/>
      </c>
      <c r="AH25" s="11" t="str">
        <f aca="false">IF(A25="","",LEFT(AF25,AG25)&amp;REPT("0",4-AG25)&amp;RIGHT("000"&amp;IFERROR(VALUE(MID(AF25,AG25+1,9)),0),3)&amp;RIGHT("0000"&amp;IFERROR(VALUE(MID(A25,FIND("-",A25)+1,9)),0),4))</f>
        <v/>
      </c>
      <c r="AI25" s="11" t="str">
        <f aca="false">IF(OR(A25="",N(E25)&lt;=0),"",IF('FALTAS GERAL'!$M$1="Código","K"&amp;AH25&amp;RIGHT("00000"&amp;ROW(),5),IF('FALTAS GERAL'!$M$1="Nome","K"&amp;UPPER(SUBSTITUTE(SUBSTITUTE(SUBSTITUTE(B25,"*",""),"?",""),"~",""))&amp;"0"&amp;AH25&amp;RIGHT("00000"&amp;ROW(),5),IF('FALTAS GERAL'!$M$1="Falta (maior primeiro)","K"&amp;RIGHT("0000"&amp;(9999-E25),4)&amp;AH25&amp;RIGHT("00000"&amp;ROW(),5),IF('FALTAS GERAL'!$M$1="Nº de decks (maior primeiro)","K"&amp;RIGHT("00"&amp;(99-N(G25)),2)&amp;AH25&amp;RIGHT("00000"&amp;ROW(),5),"K"&amp;RIGHT("00000"&amp;ROW(),5))))))</f>
        <v/>
      </c>
      <c r="AJ25" s="11" t="str">
        <f aca="false">IF(AI25="","",COUNTIFS($AI$2:$AI$801,"&lt;"&amp;AI25,$E$2:$E$801,"&gt;0")+1)</f>
        <v/>
      </c>
      <c r="AK25" s="11" t="str">
        <f aca="false">IF(OR(A25="",N(E25)&lt;=0),"",COUNTIFS($AH$2:$AH$801,"&lt;"&amp;AH25,$E$2:$E$801,"&gt;0")+COUNTIFS($AH$2:AH25,AH25,$E$2:E25,"&gt;0"))</f>
        <v/>
      </c>
    </row>
    <row r="26" customFormat="false" ht="15" hidden="false" customHeight="false" outlineLevel="0" collapsed="false">
      <c r="A26" s="11" t="str">
        <f aca="false">IF(INVENTÁRIO!A26="","",INVENTÁRIO!A26)</f>
        <v/>
      </c>
      <c r="B26" s="11" t="str">
        <f aca="false">IF(A26="","",INVENTÁRIO!B26)</f>
        <v/>
      </c>
      <c r="C26" s="16" t="str">
        <f aca="false">IF(A26="","",INVENTÁRIO!C26)</f>
        <v/>
      </c>
      <c r="D26" s="14" t="str">
        <f aca="false">IF(A26="","",MAX(K26:AD26))</f>
        <v/>
      </c>
      <c r="E26" s="14" t="str">
        <f aca="false">IF(A26="","",MAX(0,D26-C26))</f>
        <v/>
      </c>
      <c r="F26" s="16" t="str">
        <f aca="false">IF(A26="","",IF(D26=0,"Fora dos decks",IF(E26=0,"Completo","Falta")))</f>
        <v/>
      </c>
      <c r="G26" s="16" t="str">
        <f aca="false">IF(A26="","",COUNTIF(K26:AD26,"&gt;0"))</f>
        <v/>
      </c>
      <c r="H26" s="16" t="str">
        <f aca="false">IF(A26="","",IF(G26&gt;1,"Sim",""))</f>
        <v/>
      </c>
      <c r="I26" s="18" t="str">
        <f aca="false">IF(A26="","",SUMIFS(DECKS!$D$2:$D$1201,DECKS!$B$2:$B$1201,A26))</f>
        <v/>
      </c>
      <c r="J26" s="18" t="str">
        <f aca="false">IF(A26="","",MAX(0,I26-C26))</f>
        <v/>
      </c>
      <c r="K26" s="19" t="str">
        <f aca="false">IF(OR($A26="",INDEX(_LEITURA!$Q$2:$Q$21,1)=0),"",SUMIFS(DECKS!$D$2:$D$1201,DECKS!$A$2:$A$1201,INDEX(_LEITURA!$P$2:$P$21,1),DECKS!$B$2:$B$1201,$A26))</f>
        <v/>
      </c>
      <c r="L26" s="19" t="str">
        <f aca="false">IF(OR($A26="",INDEX(_LEITURA!$Q$2:$Q$21,2)=0),"",SUMIFS(DECKS!$D$2:$D$1201,DECKS!$A$2:$A$1201,INDEX(_LEITURA!$P$2:$P$21,2),DECKS!$B$2:$B$1201,$A26))</f>
        <v/>
      </c>
      <c r="M26" s="19" t="str">
        <f aca="false">IF(OR($A26="",INDEX(_LEITURA!$Q$2:$Q$21,3)=0),"",SUMIFS(DECKS!$D$2:$D$1201,DECKS!$A$2:$A$1201,INDEX(_LEITURA!$P$2:$P$21,3),DECKS!$B$2:$B$1201,$A26))</f>
        <v/>
      </c>
      <c r="N26" s="19" t="str">
        <f aca="false">IF(OR($A26="",INDEX(_LEITURA!$Q$2:$Q$21,4)=0),"",SUMIFS(DECKS!$D$2:$D$1201,DECKS!$A$2:$A$1201,INDEX(_LEITURA!$P$2:$P$21,4),DECKS!$B$2:$B$1201,$A26))</f>
        <v/>
      </c>
      <c r="O26" s="19" t="str">
        <f aca="false">IF(OR($A26="",INDEX(_LEITURA!$Q$2:$Q$21,5)=0),"",SUMIFS(DECKS!$D$2:$D$1201,DECKS!$A$2:$A$1201,INDEX(_LEITURA!$P$2:$P$21,5),DECKS!$B$2:$B$1201,$A26))</f>
        <v/>
      </c>
      <c r="P26" s="19" t="str">
        <f aca="false">IF(OR($A26="",INDEX(_LEITURA!$Q$2:$Q$21,6)=0),"",SUMIFS(DECKS!$D$2:$D$1201,DECKS!$A$2:$A$1201,INDEX(_LEITURA!$P$2:$P$21,6),DECKS!$B$2:$B$1201,$A26))</f>
        <v/>
      </c>
      <c r="Q26" s="19" t="str">
        <f aca="false">IF(OR($A26="",INDEX(_LEITURA!$Q$2:$Q$21,7)=0),"",SUMIFS(DECKS!$D$2:$D$1201,DECKS!$A$2:$A$1201,INDEX(_LEITURA!$P$2:$P$21,7),DECKS!$B$2:$B$1201,$A26))</f>
        <v/>
      </c>
      <c r="R26" s="19" t="str">
        <f aca="false">IF(OR($A26="",INDEX(_LEITURA!$Q$2:$Q$21,8)=0),"",SUMIFS(DECKS!$D$2:$D$1201,DECKS!$A$2:$A$1201,INDEX(_LEITURA!$P$2:$P$21,8),DECKS!$B$2:$B$1201,$A26))</f>
        <v/>
      </c>
      <c r="S26" s="19" t="str">
        <f aca="false">IF(OR($A26="",INDEX(_LEITURA!$Q$2:$Q$21,9)=0),"",SUMIFS(DECKS!$D$2:$D$1201,DECKS!$A$2:$A$1201,INDEX(_LEITURA!$P$2:$P$21,9),DECKS!$B$2:$B$1201,$A26))</f>
        <v/>
      </c>
      <c r="T26" s="19" t="str">
        <f aca="false">IF(OR($A26="",INDEX(_LEITURA!$Q$2:$Q$21,10)=0),"",SUMIFS(DECKS!$D$2:$D$1201,DECKS!$A$2:$A$1201,INDEX(_LEITURA!$P$2:$P$21,10),DECKS!$B$2:$B$1201,$A26))</f>
        <v/>
      </c>
      <c r="U26" s="19" t="str">
        <f aca="false">IF(OR($A26="",INDEX(_LEITURA!$Q$2:$Q$21,11)=0),"",SUMIFS(DECKS!$D$2:$D$1201,DECKS!$A$2:$A$1201,INDEX(_LEITURA!$P$2:$P$21,11),DECKS!$B$2:$B$1201,$A26))</f>
        <v/>
      </c>
      <c r="V26" s="19" t="str">
        <f aca="false">IF(OR($A26="",INDEX(_LEITURA!$Q$2:$Q$21,12)=0),"",SUMIFS(DECKS!$D$2:$D$1201,DECKS!$A$2:$A$1201,INDEX(_LEITURA!$P$2:$P$21,12),DECKS!$B$2:$B$1201,$A26))</f>
        <v/>
      </c>
      <c r="W26" s="19" t="str">
        <f aca="false">IF(OR($A26="",INDEX(_LEITURA!$Q$2:$Q$21,13)=0),"",SUMIFS(DECKS!$D$2:$D$1201,DECKS!$A$2:$A$1201,INDEX(_LEITURA!$P$2:$P$21,13),DECKS!$B$2:$B$1201,$A26))</f>
        <v/>
      </c>
      <c r="X26" s="19" t="str">
        <f aca="false">IF(OR($A26="",INDEX(_LEITURA!$Q$2:$Q$21,14)=0),"",SUMIFS(DECKS!$D$2:$D$1201,DECKS!$A$2:$A$1201,INDEX(_LEITURA!$P$2:$P$21,14),DECKS!$B$2:$B$1201,$A26))</f>
        <v/>
      </c>
      <c r="Y26" s="19" t="str">
        <f aca="false">IF(OR($A26="",INDEX(_LEITURA!$Q$2:$Q$21,15)=0),"",SUMIFS(DECKS!$D$2:$D$1201,DECKS!$A$2:$A$1201,INDEX(_LEITURA!$P$2:$P$21,15),DECKS!$B$2:$B$1201,$A26))</f>
        <v/>
      </c>
      <c r="Z26" s="19" t="str">
        <f aca="false">IF(OR($A26="",INDEX(_LEITURA!$Q$2:$Q$21,16)=0),"",SUMIFS(DECKS!$D$2:$D$1201,DECKS!$A$2:$A$1201,INDEX(_LEITURA!$P$2:$P$21,16),DECKS!$B$2:$B$1201,$A26))</f>
        <v/>
      </c>
      <c r="AA26" s="19" t="str">
        <f aca="false">IF(OR($A26="",INDEX(_LEITURA!$Q$2:$Q$21,17)=0),"",SUMIFS(DECKS!$D$2:$D$1201,DECKS!$A$2:$A$1201,INDEX(_LEITURA!$P$2:$P$21,17),DECKS!$B$2:$B$1201,$A26))</f>
        <v/>
      </c>
      <c r="AB26" s="19" t="str">
        <f aca="false">IF(OR($A26="",INDEX(_LEITURA!$Q$2:$Q$21,18)=0),"",SUMIFS(DECKS!$D$2:$D$1201,DECKS!$A$2:$A$1201,INDEX(_LEITURA!$P$2:$P$21,18),DECKS!$B$2:$B$1201,$A26))</f>
        <v/>
      </c>
      <c r="AC26" s="19" t="str">
        <f aca="false">IF(OR($A26="",INDEX(_LEITURA!$Q$2:$Q$21,19)=0),"",SUMIFS(DECKS!$D$2:$D$1201,DECKS!$A$2:$A$1201,INDEX(_LEITURA!$P$2:$P$21,19),DECKS!$B$2:$B$1201,$A26))</f>
        <v/>
      </c>
      <c r="AD26" s="19" t="str">
        <f aca="false">IF(OR($A26="",INDEX(_LEITURA!$Q$2:$Q$21,20)=0),"",SUMIFS(DECKS!$D$2:$D$1201,DECKS!$A$2:$A$1201,INDEX(_LEITURA!$P$2:$P$21,20),DECKS!$B$2:$B$1201,$A26))</f>
        <v/>
      </c>
      <c r="AE26" s="16" t="str">
        <f aca="false">IF(N(E26)&gt;0,MAX(AE$1:AE25)+1,"")</f>
        <v/>
      </c>
      <c r="AF26" s="11" t="str">
        <f aca="false">IF(A26="","",IFERROR(LEFT(A26,FIND("-",A26)-1),A26))</f>
        <v/>
      </c>
      <c r="AG26" s="11" t="str">
        <f aca="false">IF(AF26="","",IF(ISNUMBER(--MID(AF26,1,1)),0,IF(ISNUMBER(--MID(AF26,2,1)),1,IF(ISNUMBER(--MID(AF26,3,1)),2,IF(ISNUMBER(--MID(AF26,4,1)),3,MIN(LEN(AF26),4))))))</f>
        <v/>
      </c>
      <c r="AH26" s="11" t="str">
        <f aca="false">IF(A26="","",LEFT(AF26,AG26)&amp;REPT("0",4-AG26)&amp;RIGHT("000"&amp;IFERROR(VALUE(MID(AF26,AG26+1,9)),0),3)&amp;RIGHT("0000"&amp;IFERROR(VALUE(MID(A26,FIND("-",A26)+1,9)),0),4))</f>
        <v/>
      </c>
      <c r="AI26" s="11" t="str">
        <f aca="false">IF(OR(A26="",N(E26)&lt;=0),"",IF('FALTAS GERAL'!$M$1="Código","K"&amp;AH26&amp;RIGHT("00000"&amp;ROW(),5),IF('FALTAS GERAL'!$M$1="Nome","K"&amp;UPPER(SUBSTITUTE(SUBSTITUTE(SUBSTITUTE(B26,"*",""),"?",""),"~",""))&amp;"0"&amp;AH26&amp;RIGHT("00000"&amp;ROW(),5),IF('FALTAS GERAL'!$M$1="Falta (maior primeiro)","K"&amp;RIGHT("0000"&amp;(9999-E26),4)&amp;AH26&amp;RIGHT("00000"&amp;ROW(),5),IF('FALTAS GERAL'!$M$1="Nº de decks (maior primeiro)","K"&amp;RIGHT("00"&amp;(99-N(G26)),2)&amp;AH26&amp;RIGHT("00000"&amp;ROW(),5),"K"&amp;RIGHT("00000"&amp;ROW(),5))))))</f>
        <v/>
      </c>
      <c r="AJ26" s="11" t="str">
        <f aca="false">IF(AI26="","",COUNTIFS($AI$2:$AI$801,"&lt;"&amp;AI26,$E$2:$E$801,"&gt;0")+1)</f>
        <v/>
      </c>
      <c r="AK26" s="11" t="str">
        <f aca="false">IF(OR(A26="",N(E26)&lt;=0),"",COUNTIFS($AH$2:$AH$801,"&lt;"&amp;AH26,$E$2:$E$801,"&gt;0")+COUNTIFS($AH$2:AH26,AH26,$E$2:E26,"&gt;0"))</f>
        <v/>
      </c>
    </row>
    <row r="27" customFormat="false" ht="15" hidden="false" customHeight="false" outlineLevel="0" collapsed="false">
      <c r="A27" s="11" t="str">
        <f aca="false">IF(INVENTÁRIO!A27="","",INVENTÁRIO!A27)</f>
        <v/>
      </c>
      <c r="B27" s="11" t="str">
        <f aca="false">IF(A27="","",INVENTÁRIO!B27)</f>
        <v/>
      </c>
      <c r="C27" s="16" t="str">
        <f aca="false">IF(A27="","",INVENTÁRIO!C27)</f>
        <v/>
      </c>
      <c r="D27" s="14" t="str">
        <f aca="false">IF(A27="","",MAX(K27:AD27))</f>
        <v/>
      </c>
      <c r="E27" s="14" t="str">
        <f aca="false">IF(A27="","",MAX(0,D27-C27))</f>
        <v/>
      </c>
      <c r="F27" s="16" t="str">
        <f aca="false">IF(A27="","",IF(D27=0,"Fora dos decks",IF(E27=0,"Completo","Falta")))</f>
        <v/>
      </c>
      <c r="G27" s="16" t="str">
        <f aca="false">IF(A27="","",COUNTIF(K27:AD27,"&gt;0"))</f>
        <v/>
      </c>
      <c r="H27" s="16" t="str">
        <f aca="false">IF(A27="","",IF(G27&gt;1,"Sim",""))</f>
        <v/>
      </c>
      <c r="I27" s="18" t="str">
        <f aca="false">IF(A27="","",SUMIFS(DECKS!$D$2:$D$1201,DECKS!$B$2:$B$1201,A27))</f>
        <v/>
      </c>
      <c r="J27" s="18" t="str">
        <f aca="false">IF(A27="","",MAX(0,I27-C27))</f>
        <v/>
      </c>
      <c r="K27" s="19" t="str">
        <f aca="false">IF(OR($A27="",INDEX(_LEITURA!$Q$2:$Q$21,1)=0),"",SUMIFS(DECKS!$D$2:$D$1201,DECKS!$A$2:$A$1201,INDEX(_LEITURA!$P$2:$P$21,1),DECKS!$B$2:$B$1201,$A27))</f>
        <v/>
      </c>
      <c r="L27" s="19" t="str">
        <f aca="false">IF(OR($A27="",INDEX(_LEITURA!$Q$2:$Q$21,2)=0),"",SUMIFS(DECKS!$D$2:$D$1201,DECKS!$A$2:$A$1201,INDEX(_LEITURA!$P$2:$P$21,2),DECKS!$B$2:$B$1201,$A27))</f>
        <v/>
      </c>
      <c r="M27" s="19" t="str">
        <f aca="false">IF(OR($A27="",INDEX(_LEITURA!$Q$2:$Q$21,3)=0),"",SUMIFS(DECKS!$D$2:$D$1201,DECKS!$A$2:$A$1201,INDEX(_LEITURA!$P$2:$P$21,3),DECKS!$B$2:$B$1201,$A27))</f>
        <v/>
      </c>
      <c r="N27" s="19" t="str">
        <f aca="false">IF(OR($A27="",INDEX(_LEITURA!$Q$2:$Q$21,4)=0),"",SUMIFS(DECKS!$D$2:$D$1201,DECKS!$A$2:$A$1201,INDEX(_LEITURA!$P$2:$P$21,4),DECKS!$B$2:$B$1201,$A27))</f>
        <v/>
      </c>
      <c r="O27" s="19" t="str">
        <f aca="false">IF(OR($A27="",INDEX(_LEITURA!$Q$2:$Q$21,5)=0),"",SUMIFS(DECKS!$D$2:$D$1201,DECKS!$A$2:$A$1201,INDEX(_LEITURA!$P$2:$P$21,5),DECKS!$B$2:$B$1201,$A27))</f>
        <v/>
      </c>
      <c r="P27" s="19" t="str">
        <f aca="false">IF(OR($A27="",INDEX(_LEITURA!$Q$2:$Q$21,6)=0),"",SUMIFS(DECKS!$D$2:$D$1201,DECKS!$A$2:$A$1201,INDEX(_LEITURA!$P$2:$P$21,6),DECKS!$B$2:$B$1201,$A27))</f>
        <v/>
      </c>
      <c r="Q27" s="19" t="str">
        <f aca="false">IF(OR($A27="",INDEX(_LEITURA!$Q$2:$Q$21,7)=0),"",SUMIFS(DECKS!$D$2:$D$1201,DECKS!$A$2:$A$1201,INDEX(_LEITURA!$P$2:$P$21,7),DECKS!$B$2:$B$1201,$A27))</f>
        <v/>
      </c>
      <c r="R27" s="19" t="str">
        <f aca="false">IF(OR($A27="",INDEX(_LEITURA!$Q$2:$Q$21,8)=0),"",SUMIFS(DECKS!$D$2:$D$1201,DECKS!$A$2:$A$1201,INDEX(_LEITURA!$P$2:$P$21,8),DECKS!$B$2:$B$1201,$A27))</f>
        <v/>
      </c>
      <c r="S27" s="19" t="str">
        <f aca="false">IF(OR($A27="",INDEX(_LEITURA!$Q$2:$Q$21,9)=0),"",SUMIFS(DECKS!$D$2:$D$1201,DECKS!$A$2:$A$1201,INDEX(_LEITURA!$P$2:$P$21,9),DECKS!$B$2:$B$1201,$A27))</f>
        <v/>
      </c>
      <c r="T27" s="19" t="str">
        <f aca="false">IF(OR($A27="",INDEX(_LEITURA!$Q$2:$Q$21,10)=0),"",SUMIFS(DECKS!$D$2:$D$1201,DECKS!$A$2:$A$1201,INDEX(_LEITURA!$P$2:$P$21,10),DECKS!$B$2:$B$1201,$A27))</f>
        <v/>
      </c>
      <c r="U27" s="19" t="str">
        <f aca="false">IF(OR($A27="",INDEX(_LEITURA!$Q$2:$Q$21,11)=0),"",SUMIFS(DECKS!$D$2:$D$1201,DECKS!$A$2:$A$1201,INDEX(_LEITURA!$P$2:$P$21,11),DECKS!$B$2:$B$1201,$A27))</f>
        <v/>
      </c>
      <c r="V27" s="19" t="str">
        <f aca="false">IF(OR($A27="",INDEX(_LEITURA!$Q$2:$Q$21,12)=0),"",SUMIFS(DECKS!$D$2:$D$1201,DECKS!$A$2:$A$1201,INDEX(_LEITURA!$P$2:$P$21,12),DECKS!$B$2:$B$1201,$A27))</f>
        <v/>
      </c>
      <c r="W27" s="19" t="str">
        <f aca="false">IF(OR($A27="",INDEX(_LEITURA!$Q$2:$Q$21,13)=0),"",SUMIFS(DECKS!$D$2:$D$1201,DECKS!$A$2:$A$1201,INDEX(_LEITURA!$P$2:$P$21,13),DECKS!$B$2:$B$1201,$A27))</f>
        <v/>
      </c>
      <c r="X27" s="19" t="str">
        <f aca="false">IF(OR($A27="",INDEX(_LEITURA!$Q$2:$Q$21,14)=0),"",SUMIFS(DECKS!$D$2:$D$1201,DECKS!$A$2:$A$1201,INDEX(_LEITURA!$P$2:$P$21,14),DECKS!$B$2:$B$1201,$A27))</f>
        <v/>
      </c>
      <c r="Y27" s="19" t="str">
        <f aca="false">IF(OR($A27="",INDEX(_LEITURA!$Q$2:$Q$21,15)=0),"",SUMIFS(DECKS!$D$2:$D$1201,DECKS!$A$2:$A$1201,INDEX(_LEITURA!$P$2:$P$21,15),DECKS!$B$2:$B$1201,$A27))</f>
        <v/>
      </c>
      <c r="Z27" s="19" t="str">
        <f aca="false">IF(OR($A27="",INDEX(_LEITURA!$Q$2:$Q$21,16)=0),"",SUMIFS(DECKS!$D$2:$D$1201,DECKS!$A$2:$A$1201,INDEX(_LEITURA!$P$2:$P$21,16),DECKS!$B$2:$B$1201,$A27))</f>
        <v/>
      </c>
      <c r="AA27" s="19" t="str">
        <f aca="false">IF(OR($A27="",INDEX(_LEITURA!$Q$2:$Q$21,17)=0),"",SUMIFS(DECKS!$D$2:$D$1201,DECKS!$A$2:$A$1201,INDEX(_LEITURA!$P$2:$P$21,17),DECKS!$B$2:$B$1201,$A27))</f>
        <v/>
      </c>
      <c r="AB27" s="19" t="str">
        <f aca="false">IF(OR($A27="",INDEX(_LEITURA!$Q$2:$Q$21,18)=0),"",SUMIFS(DECKS!$D$2:$D$1201,DECKS!$A$2:$A$1201,INDEX(_LEITURA!$P$2:$P$21,18),DECKS!$B$2:$B$1201,$A27))</f>
        <v/>
      </c>
      <c r="AC27" s="19" t="str">
        <f aca="false">IF(OR($A27="",INDEX(_LEITURA!$Q$2:$Q$21,19)=0),"",SUMIFS(DECKS!$D$2:$D$1201,DECKS!$A$2:$A$1201,INDEX(_LEITURA!$P$2:$P$21,19),DECKS!$B$2:$B$1201,$A27))</f>
        <v/>
      </c>
      <c r="AD27" s="19" t="str">
        <f aca="false">IF(OR($A27="",INDEX(_LEITURA!$Q$2:$Q$21,20)=0),"",SUMIFS(DECKS!$D$2:$D$1201,DECKS!$A$2:$A$1201,INDEX(_LEITURA!$P$2:$P$21,20),DECKS!$B$2:$B$1201,$A27))</f>
        <v/>
      </c>
      <c r="AE27" s="16" t="str">
        <f aca="false">IF(N(E27)&gt;0,MAX(AE$1:AE26)+1,"")</f>
        <v/>
      </c>
      <c r="AF27" s="11" t="str">
        <f aca="false">IF(A27="","",IFERROR(LEFT(A27,FIND("-",A27)-1),A27))</f>
        <v/>
      </c>
      <c r="AG27" s="11" t="str">
        <f aca="false">IF(AF27="","",IF(ISNUMBER(--MID(AF27,1,1)),0,IF(ISNUMBER(--MID(AF27,2,1)),1,IF(ISNUMBER(--MID(AF27,3,1)),2,IF(ISNUMBER(--MID(AF27,4,1)),3,MIN(LEN(AF27),4))))))</f>
        <v/>
      </c>
      <c r="AH27" s="11" t="str">
        <f aca="false">IF(A27="","",LEFT(AF27,AG27)&amp;REPT("0",4-AG27)&amp;RIGHT("000"&amp;IFERROR(VALUE(MID(AF27,AG27+1,9)),0),3)&amp;RIGHT("0000"&amp;IFERROR(VALUE(MID(A27,FIND("-",A27)+1,9)),0),4))</f>
        <v/>
      </c>
      <c r="AI27" s="11" t="str">
        <f aca="false">IF(OR(A27="",N(E27)&lt;=0),"",IF('FALTAS GERAL'!$M$1="Código","K"&amp;AH27&amp;RIGHT("00000"&amp;ROW(),5),IF('FALTAS GERAL'!$M$1="Nome","K"&amp;UPPER(SUBSTITUTE(SUBSTITUTE(SUBSTITUTE(B27,"*",""),"?",""),"~",""))&amp;"0"&amp;AH27&amp;RIGHT("00000"&amp;ROW(),5),IF('FALTAS GERAL'!$M$1="Falta (maior primeiro)","K"&amp;RIGHT("0000"&amp;(9999-E27),4)&amp;AH27&amp;RIGHT("00000"&amp;ROW(),5),IF('FALTAS GERAL'!$M$1="Nº de decks (maior primeiro)","K"&amp;RIGHT("00"&amp;(99-N(G27)),2)&amp;AH27&amp;RIGHT("00000"&amp;ROW(),5),"K"&amp;RIGHT("00000"&amp;ROW(),5))))))</f>
        <v/>
      </c>
      <c r="AJ27" s="11" t="str">
        <f aca="false">IF(AI27="","",COUNTIFS($AI$2:$AI$801,"&lt;"&amp;AI27,$E$2:$E$801,"&gt;0")+1)</f>
        <v/>
      </c>
      <c r="AK27" s="11" t="str">
        <f aca="false">IF(OR(A27="",N(E27)&lt;=0),"",COUNTIFS($AH$2:$AH$801,"&lt;"&amp;AH27,$E$2:$E$801,"&gt;0")+COUNTIFS($AH$2:AH27,AH27,$E$2:E27,"&gt;0"))</f>
        <v/>
      </c>
    </row>
    <row r="28" customFormat="false" ht="15" hidden="false" customHeight="false" outlineLevel="0" collapsed="false">
      <c r="A28" s="11" t="str">
        <f aca="false">IF(INVENTÁRIO!A28="","",INVENTÁRIO!A28)</f>
        <v/>
      </c>
      <c r="B28" s="11" t="str">
        <f aca="false">IF(A28="","",INVENTÁRIO!B28)</f>
        <v/>
      </c>
      <c r="C28" s="16" t="str">
        <f aca="false">IF(A28="","",INVENTÁRIO!C28)</f>
        <v/>
      </c>
      <c r="D28" s="14" t="str">
        <f aca="false">IF(A28="","",MAX(K28:AD28))</f>
        <v/>
      </c>
      <c r="E28" s="14" t="str">
        <f aca="false">IF(A28="","",MAX(0,D28-C28))</f>
        <v/>
      </c>
      <c r="F28" s="16" t="str">
        <f aca="false">IF(A28="","",IF(D28=0,"Fora dos decks",IF(E28=0,"Completo","Falta")))</f>
        <v/>
      </c>
      <c r="G28" s="16" t="str">
        <f aca="false">IF(A28="","",COUNTIF(K28:AD28,"&gt;0"))</f>
        <v/>
      </c>
      <c r="H28" s="16" t="str">
        <f aca="false">IF(A28="","",IF(G28&gt;1,"Sim",""))</f>
        <v/>
      </c>
      <c r="I28" s="18" t="str">
        <f aca="false">IF(A28="","",SUMIFS(DECKS!$D$2:$D$1201,DECKS!$B$2:$B$1201,A28))</f>
        <v/>
      </c>
      <c r="J28" s="18" t="str">
        <f aca="false">IF(A28="","",MAX(0,I28-C28))</f>
        <v/>
      </c>
      <c r="K28" s="19" t="str">
        <f aca="false">IF(OR($A28="",INDEX(_LEITURA!$Q$2:$Q$21,1)=0),"",SUMIFS(DECKS!$D$2:$D$1201,DECKS!$A$2:$A$1201,INDEX(_LEITURA!$P$2:$P$21,1),DECKS!$B$2:$B$1201,$A28))</f>
        <v/>
      </c>
      <c r="L28" s="19" t="str">
        <f aca="false">IF(OR($A28="",INDEX(_LEITURA!$Q$2:$Q$21,2)=0),"",SUMIFS(DECKS!$D$2:$D$1201,DECKS!$A$2:$A$1201,INDEX(_LEITURA!$P$2:$P$21,2),DECKS!$B$2:$B$1201,$A28))</f>
        <v/>
      </c>
      <c r="M28" s="19" t="str">
        <f aca="false">IF(OR($A28="",INDEX(_LEITURA!$Q$2:$Q$21,3)=0),"",SUMIFS(DECKS!$D$2:$D$1201,DECKS!$A$2:$A$1201,INDEX(_LEITURA!$P$2:$P$21,3),DECKS!$B$2:$B$1201,$A28))</f>
        <v/>
      </c>
      <c r="N28" s="19" t="str">
        <f aca="false">IF(OR($A28="",INDEX(_LEITURA!$Q$2:$Q$21,4)=0),"",SUMIFS(DECKS!$D$2:$D$1201,DECKS!$A$2:$A$1201,INDEX(_LEITURA!$P$2:$P$21,4),DECKS!$B$2:$B$1201,$A28))</f>
        <v/>
      </c>
      <c r="O28" s="19" t="str">
        <f aca="false">IF(OR($A28="",INDEX(_LEITURA!$Q$2:$Q$21,5)=0),"",SUMIFS(DECKS!$D$2:$D$1201,DECKS!$A$2:$A$1201,INDEX(_LEITURA!$P$2:$P$21,5),DECKS!$B$2:$B$1201,$A28))</f>
        <v/>
      </c>
      <c r="P28" s="19" t="str">
        <f aca="false">IF(OR($A28="",INDEX(_LEITURA!$Q$2:$Q$21,6)=0),"",SUMIFS(DECKS!$D$2:$D$1201,DECKS!$A$2:$A$1201,INDEX(_LEITURA!$P$2:$P$21,6),DECKS!$B$2:$B$1201,$A28))</f>
        <v/>
      </c>
      <c r="Q28" s="19" t="str">
        <f aca="false">IF(OR($A28="",INDEX(_LEITURA!$Q$2:$Q$21,7)=0),"",SUMIFS(DECKS!$D$2:$D$1201,DECKS!$A$2:$A$1201,INDEX(_LEITURA!$P$2:$P$21,7),DECKS!$B$2:$B$1201,$A28))</f>
        <v/>
      </c>
      <c r="R28" s="19" t="str">
        <f aca="false">IF(OR($A28="",INDEX(_LEITURA!$Q$2:$Q$21,8)=0),"",SUMIFS(DECKS!$D$2:$D$1201,DECKS!$A$2:$A$1201,INDEX(_LEITURA!$P$2:$P$21,8),DECKS!$B$2:$B$1201,$A28))</f>
        <v/>
      </c>
      <c r="S28" s="19" t="str">
        <f aca="false">IF(OR($A28="",INDEX(_LEITURA!$Q$2:$Q$21,9)=0),"",SUMIFS(DECKS!$D$2:$D$1201,DECKS!$A$2:$A$1201,INDEX(_LEITURA!$P$2:$P$21,9),DECKS!$B$2:$B$1201,$A28))</f>
        <v/>
      </c>
      <c r="T28" s="19" t="str">
        <f aca="false">IF(OR($A28="",INDEX(_LEITURA!$Q$2:$Q$21,10)=0),"",SUMIFS(DECKS!$D$2:$D$1201,DECKS!$A$2:$A$1201,INDEX(_LEITURA!$P$2:$P$21,10),DECKS!$B$2:$B$1201,$A28))</f>
        <v/>
      </c>
      <c r="U28" s="19" t="str">
        <f aca="false">IF(OR($A28="",INDEX(_LEITURA!$Q$2:$Q$21,11)=0),"",SUMIFS(DECKS!$D$2:$D$1201,DECKS!$A$2:$A$1201,INDEX(_LEITURA!$P$2:$P$21,11),DECKS!$B$2:$B$1201,$A28))</f>
        <v/>
      </c>
      <c r="V28" s="19" t="str">
        <f aca="false">IF(OR($A28="",INDEX(_LEITURA!$Q$2:$Q$21,12)=0),"",SUMIFS(DECKS!$D$2:$D$1201,DECKS!$A$2:$A$1201,INDEX(_LEITURA!$P$2:$P$21,12),DECKS!$B$2:$B$1201,$A28))</f>
        <v/>
      </c>
      <c r="W28" s="19" t="str">
        <f aca="false">IF(OR($A28="",INDEX(_LEITURA!$Q$2:$Q$21,13)=0),"",SUMIFS(DECKS!$D$2:$D$1201,DECKS!$A$2:$A$1201,INDEX(_LEITURA!$P$2:$P$21,13),DECKS!$B$2:$B$1201,$A28))</f>
        <v/>
      </c>
      <c r="X28" s="19" t="str">
        <f aca="false">IF(OR($A28="",INDEX(_LEITURA!$Q$2:$Q$21,14)=0),"",SUMIFS(DECKS!$D$2:$D$1201,DECKS!$A$2:$A$1201,INDEX(_LEITURA!$P$2:$P$21,14),DECKS!$B$2:$B$1201,$A28))</f>
        <v/>
      </c>
      <c r="Y28" s="19" t="str">
        <f aca="false">IF(OR($A28="",INDEX(_LEITURA!$Q$2:$Q$21,15)=0),"",SUMIFS(DECKS!$D$2:$D$1201,DECKS!$A$2:$A$1201,INDEX(_LEITURA!$P$2:$P$21,15),DECKS!$B$2:$B$1201,$A28))</f>
        <v/>
      </c>
      <c r="Z28" s="19" t="str">
        <f aca="false">IF(OR($A28="",INDEX(_LEITURA!$Q$2:$Q$21,16)=0),"",SUMIFS(DECKS!$D$2:$D$1201,DECKS!$A$2:$A$1201,INDEX(_LEITURA!$P$2:$P$21,16),DECKS!$B$2:$B$1201,$A28))</f>
        <v/>
      </c>
      <c r="AA28" s="19" t="str">
        <f aca="false">IF(OR($A28="",INDEX(_LEITURA!$Q$2:$Q$21,17)=0),"",SUMIFS(DECKS!$D$2:$D$1201,DECKS!$A$2:$A$1201,INDEX(_LEITURA!$P$2:$P$21,17),DECKS!$B$2:$B$1201,$A28))</f>
        <v/>
      </c>
      <c r="AB28" s="19" t="str">
        <f aca="false">IF(OR($A28="",INDEX(_LEITURA!$Q$2:$Q$21,18)=0),"",SUMIFS(DECKS!$D$2:$D$1201,DECKS!$A$2:$A$1201,INDEX(_LEITURA!$P$2:$P$21,18),DECKS!$B$2:$B$1201,$A28))</f>
        <v/>
      </c>
      <c r="AC28" s="19" t="str">
        <f aca="false">IF(OR($A28="",INDEX(_LEITURA!$Q$2:$Q$21,19)=0),"",SUMIFS(DECKS!$D$2:$D$1201,DECKS!$A$2:$A$1201,INDEX(_LEITURA!$P$2:$P$21,19),DECKS!$B$2:$B$1201,$A28))</f>
        <v/>
      </c>
      <c r="AD28" s="19" t="str">
        <f aca="false">IF(OR($A28="",INDEX(_LEITURA!$Q$2:$Q$21,20)=0),"",SUMIFS(DECKS!$D$2:$D$1201,DECKS!$A$2:$A$1201,INDEX(_LEITURA!$P$2:$P$21,20),DECKS!$B$2:$B$1201,$A28))</f>
        <v/>
      </c>
      <c r="AE28" s="16" t="str">
        <f aca="false">IF(N(E28)&gt;0,MAX(AE$1:AE27)+1,"")</f>
        <v/>
      </c>
      <c r="AF28" s="11" t="str">
        <f aca="false">IF(A28="","",IFERROR(LEFT(A28,FIND("-",A28)-1),A28))</f>
        <v/>
      </c>
      <c r="AG28" s="11" t="str">
        <f aca="false">IF(AF28="","",IF(ISNUMBER(--MID(AF28,1,1)),0,IF(ISNUMBER(--MID(AF28,2,1)),1,IF(ISNUMBER(--MID(AF28,3,1)),2,IF(ISNUMBER(--MID(AF28,4,1)),3,MIN(LEN(AF28),4))))))</f>
        <v/>
      </c>
      <c r="AH28" s="11" t="str">
        <f aca="false">IF(A28="","",LEFT(AF28,AG28)&amp;REPT("0",4-AG28)&amp;RIGHT("000"&amp;IFERROR(VALUE(MID(AF28,AG28+1,9)),0),3)&amp;RIGHT("0000"&amp;IFERROR(VALUE(MID(A28,FIND("-",A28)+1,9)),0),4))</f>
        <v/>
      </c>
      <c r="AI28" s="11" t="str">
        <f aca="false">IF(OR(A28="",N(E28)&lt;=0),"",IF('FALTAS GERAL'!$M$1="Código","K"&amp;AH28&amp;RIGHT("00000"&amp;ROW(),5),IF('FALTAS GERAL'!$M$1="Nome","K"&amp;UPPER(SUBSTITUTE(SUBSTITUTE(SUBSTITUTE(B28,"*",""),"?",""),"~",""))&amp;"0"&amp;AH28&amp;RIGHT("00000"&amp;ROW(),5),IF('FALTAS GERAL'!$M$1="Falta (maior primeiro)","K"&amp;RIGHT("0000"&amp;(9999-E28),4)&amp;AH28&amp;RIGHT("00000"&amp;ROW(),5),IF('FALTAS GERAL'!$M$1="Nº de decks (maior primeiro)","K"&amp;RIGHT("00"&amp;(99-N(G28)),2)&amp;AH28&amp;RIGHT("00000"&amp;ROW(),5),"K"&amp;RIGHT("00000"&amp;ROW(),5))))))</f>
        <v/>
      </c>
      <c r="AJ28" s="11" t="str">
        <f aca="false">IF(AI28="","",COUNTIFS($AI$2:$AI$801,"&lt;"&amp;AI28,$E$2:$E$801,"&gt;0")+1)</f>
        <v/>
      </c>
      <c r="AK28" s="11" t="str">
        <f aca="false">IF(OR(A28="",N(E28)&lt;=0),"",COUNTIFS($AH$2:$AH$801,"&lt;"&amp;AH28,$E$2:$E$801,"&gt;0")+COUNTIFS($AH$2:AH28,AH28,$E$2:E28,"&gt;0"))</f>
        <v/>
      </c>
    </row>
    <row r="29" customFormat="false" ht="15" hidden="false" customHeight="false" outlineLevel="0" collapsed="false">
      <c r="A29" s="11" t="str">
        <f aca="false">IF(INVENTÁRIO!A29="","",INVENTÁRIO!A29)</f>
        <v/>
      </c>
      <c r="B29" s="11" t="str">
        <f aca="false">IF(A29="","",INVENTÁRIO!B29)</f>
        <v/>
      </c>
      <c r="C29" s="16" t="str">
        <f aca="false">IF(A29="","",INVENTÁRIO!C29)</f>
        <v/>
      </c>
      <c r="D29" s="14" t="str">
        <f aca="false">IF(A29="","",MAX(K29:AD29))</f>
        <v/>
      </c>
      <c r="E29" s="14" t="str">
        <f aca="false">IF(A29="","",MAX(0,D29-C29))</f>
        <v/>
      </c>
      <c r="F29" s="16" t="str">
        <f aca="false">IF(A29="","",IF(D29=0,"Fora dos decks",IF(E29=0,"Completo","Falta")))</f>
        <v/>
      </c>
      <c r="G29" s="16" t="str">
        <f aca="false">IF(A29="","",COUNTIF(K29:AD29,"&gt;0"))</f>
        <v/>
      </c>
      <c r="H29" s="16" t="str">
        <f aca="false">IF(A29="","",IF(G29&gt;1,"Sim",""))</f>
        <v/>
      </c>
      <c r="I29" s="18" t="str">
        <f aca="false">IF(A29="","",SUMIFS(DECKS!$D$2:$D$1201,DECKS!$B$2:$B$1201,A29))</f>
        <v/>
      </c>
      <c r="J29" s="18" t="str">
        <f aca="false">IF(A29="","",MAX(0,I29-C29))</f>
        <v/>
      </c>
      <c r="K29" s="19" t="str">
        <f aca="false">IF(OR($A29="",INDEX(_LEITURA!$Q$2:$Q$21,1)=0),"",SUMIFS(DECKS!$D$2:$D$1201,DECKS!$A$2:$A$1201,INDEX(_LEITURA!$P$2:$P$21,1),DECKS!$B$2:$B$1201,$A29))</f>
        <v/>
      </c>
      <c r="L29" s="19" t="str">
        <f aca="false">IF(OR($A29="",INDEX(_LEITURA!$Q$2:$Q$21,2)=0),"",SUMIFS(DECKS!$D$2:$D$1201,DECKS!$A$2:$A$1201,INDEX(_LEITURA!$P$2:$P$21,2),DECKS!$B$2:$B$1201,$A29))</f>
        <v/>
      </c>
      <c r="M29" s="19" t="str">
        <f aca="false">IF(OR($A29="",INDEX(_LEITURA!$Q$2:$Q$21,3)=0),"",SUMIFS(DECKS!$D$2:$D$1201,DECKS!$A$2:$A$1201,INDEX(_LEITURA!$P$2:$P$21,3),DECKS!$B$2:$B$1201,$A29))</f>
        <v/>
      </c>
      <c r="N29" s="19" t="str">
        <f aca="false">IF(OR($A29="",INDEX(_LEITURA!$Q$2:$Q$21,4)=0),"",SUMIFS(DECKS!$D$2:$D$1201,DECKS!$A$2:$A$1201,INDEX(_LEITURA!$P$2:$P$21,4),DECKS!$B$2:$B$1201,$A29))</f>
        <v/>
      </c>
      <c r="O29" s="19" t="str">
        <f aca="false">IF(OR($A29="",INDEX(_LEITURA!$Q$2:$Q$21,5)=0),"",SUMIFS(DECKS!$D$2:$D$1201,DECKS!$A$2:$A$1201,INDEX(_LEITURA!$P$2:$P$21,5),DECKS!$B$2:$B$1201,$A29))</f>
        <v/>
      </c>
      <c r="P29" s="19" t="str">
        <f aca="false">IF(OR($A29="",INDEX(_LEITURA!$Q$2:$Q$21,6)=0),"",SUMIFS(DECKS!$D$2:$D$1201,DECKS!$A$2:$A$1201,INDEX(_LEITURA!$P$2:$P$21,6),DECKS!$B$2:$B$1201,$A29))</f>
        <v/>
      </c>
      <c r="Q29" s="19" t="str">
        <f aca="false">IF(OR($A29="",INDEX(_LEITURA!$Q$2:$Q$21,7)=0),"",SUMIFS(DECKS!$D$2:$D$1201,DECKS!$A$2:$A$1201,INDEX(_LEITURA!$P$2:$P$21,7),DECKS!$B$2:$B$1201,$A29))</f>
        <v/>
      </c>
      <c r="R29" s="19" t="str">
        <f aca="false">IF(OR($A29="",INDEX(_LEITURA!$Q$2:$Q$21,8)=0),"",SUMIFS(DECKS!$D$2:$D$1201,DECKS!$A$2:$A$1201,INDEX(_LEITURA!$P$2:$P$21,8),DECKS!$B$2:$B$1201,$A29))</f>
        <v/>
      </c>
      <c r="S29" s="19" t="str">
        <f aca="false">IF(OR($A29="",INDEX(_LEITURA!$Q$2:$Q$21,9)=0),"",SUMIFS(DECKS!$D$2:$D$1201,DECKS!$A$2:$A$1201,INDEX(_LEITURA!$P$2:$P$21,9),DECKS!$B$2:$B$1201,$A29))</f>
        <v/>
      </c>
      <c r="T29" s="19" t="str">
        <f aca="false">IF(OR($A29="",INDEX(_LEITURA!$Q$2:$Q$21,10)=0),"",SUMIFS(DECKS!$D$2:$D$1201,DECKS!$A$2:$A$1201,INDEX(_LEITURA!$P$2:$P$21,10),DECKS!$B$2:$B$1201,$A29))</f>
        <v/>
      </c>
      <c r="U29" s="19" t="str">
        <f aca="false">IF(OR($A29="",INDEX(_LEITURA!$Q$2:$Q$21,11)=0),"",SUMIFS(DECKS!$D$2:$D$1201,DECKS!$A$2:$A$1201,INDEX(_LEITURA!$P$2:$P$21,11),DECKS!$B$2:$B$1201,$A29))</f>
        <v/>
      </c>
      <c r="V29" s="19" t="str">
        <f aca="false">IF(OR($A29="",INDEX(_LEITURA!$Q$2:$Q$21,12)=0),"",SUMIFS(DECKS!$D$2:$D$1201,DECKS!$A$2:$A$1201,INDEX(_LEITURA!$P$2:$P$21,12),DECKS!$B$2:$B$1201,$A29))</f>
        <v/>
      </c>
      <c r="W29" s="19" t="str">
        <f aca="false">IF(OR($A29="",INDEX(_LEITURA!$Q$2:$Q$21,13)=0),"",SUMIFS(DECKS!$D$2:$D$1201,DECKS!$A$2:$A$1201,INDEX(_LEITURA!$P$2:$P$21,13),DECKS!$B$2:$B$1201,$A29))</f>
        <v/>
      </c>
      <c r="X29" s="19" t="str">
        <f aca="false">IF(OR($A29="",INDEX(_LEITURA!$Q$2:$Q$21,14)=0),"",SUMIFS(DECKS!$D$2:$D$1201,DECKS!$A$2:$A$1201,INDEX(_LEITURA!$P$2:$P$21,14),DECKS!$B$2:$B$1201,$A29))</f>
        <v/>
      </c>
      <c r="Y29" s="19" t="str">
        <f aca="false">IF(OR($A29="",INDEX(_LEITURA!$Q$2:$Q$21,15)=0),"",SUMIFS(DECKS!$D$2:$D$1201,DECKS!$A$2:$A$1201,INDEX(_LEITURA!$P$2:$P$21,15),DECKS!$B$2:$B$1201,$A29))</f>
        <v/>
      </c>
      <c r="Z29" s="19" t="str">
        <f aca="false">IF(OR($A29="",INDEX(_LEITURA!$Q$2:$Q$21,16)=0),"",SUMIFS(DECKS!$D$2:$D$1201,DECKS!$A$2:$A$1201,INDEX(_LEITURA!$P$2:$P$21,16),DECKS!$B$2:$B$1201,$A29))</f>
        <v/>
      </c>
      <c r="AA29" s="19" t="str">
        <f aca="false">IF(OR($A29="",INDEX(_LEITURA!$Q$2:$Q$21,17)=0),"",SUMIFS(DECKS!$D$2:$D$1201,DECKS!$A$2:$A$1201,INDEX(_LEITURA!$P$2:$P$21,17),DECKS!$B$2:$B$1201,$A29))</f>
        <v/>
      </c>
      <c r="AB29" s="19" t="str">
        <f aca="false">IF(OR($A29="",INDEX(_LEITURA!$Q$2:$Q$21,18)=0),"",SUMIFS(DECKS!$D$2:$D$1201,DECKS!$A$2:$A$1201,INDEX(_LEITURA!$P$2:$P$21,18),DECKS!$B$2:$B$1201,$A29))</f>
        <v/>
      </c>
      <c r="AC29" s="19" t="str">
        <f aca="false">IF(OR($A29="",INDEX(_LEITURA!$Q$2:$Q$21,19)=0),"",SUMIFS(DECKS!$D$2:$D$1201,DECKS!$A$2:$A$1201,INDEX(_LEITURA!$P$2:$P$21,19),DECKS!$B$2:$B$1201,$A29))</f>
        <v/>
      </c>
      <c r="AD29" s="19" t="str">
        <f aca="false">IF(OR($A29="",INDEX(_LEITURA!$Q$2:$Q$21,20)=0),"",SUMIFS(DECKS!$D$2:$D$1201,DECKS!$A$2:$A$1201,INDEX(_LEITURA!$P$2:$P$21,20),DECKS!$B$2:$B$1201,$A29))</f>
        <v/>
      </c>
      <c r="AE29" s="16" t="str">
        <f aca="false">IF(N(E29)&gt;0,MAX(AE$1:AE28)+1,"")</f>
        <v/>
      </c>
      <c r="AF29" s="11" t="str">
        <f aca="false">IF(A29="","",IFERROR(LEFT(A29,FIND("-",A29)-1),A29))</f>
        <v/>
      </c>
      <c r="AG29" s="11" t="str">
        <f aca="false">IF(AF29="","",IF(ISNUMBER(--MID(AF29,1,1)),0,IF(ISNUMBER(--MID(AF29,2,1)),1,IF(ISNUMBER(--MID(AF29,3,1)),2,IF(ISNUMBER(--MID(AF29,4,1)),3,MIN(LEN(AF29),4))))))</f>
        <v/>
      </c>
      <c r="AH29" s="11" t="str">
        <f aca="false">IF(A29="","",LEFT(AF29,AG29)&amp;REPT("0",4-AG29)&amp;RIGHT("000"&amp;IFERROR(VALUE(MID(AF29,AG29+1,9)),0),3)&amp;RIGHT("0000"&amp;IFERROR(VALUE(MID(A29,FIND("-",A29)+1,9)),0),4))</f>
        <v/>
      </c>
      <c r="AI29" s="11" t="str">
        <f aca="false">IF(OR(A29="",N(E29)&lt;=0),"",IF('FALTAS GERAL'!$M$1="Código","K"&amp;AH29&amp;RIGHT("00000"&amp;ROW(),5),IF('FALTAS GERAL'!$M$1="Nome","K"&amp;UPPER(SUBSTITUTE(SUBSTITUTE(SUBSTITUTE(B29,"*",""),"?",""),"~",""))&amp;"0"&amp;AH29&amp;RIGHT("00000"&amp;ROW(),5),IF('FALTAS GERAL'!$M$1="Falta (maior primeiro)","K"&amp;RIGHT("0000"&amp;(9999-E29),4)&amp;AH29&amp;RIGHT("00000"&amp;ROW(),5),IF('FALTAS GERAL'!$M$1="Nº de decks (maior primeiro)","K"&amp;RIGHT("00"&amp;(99-N(G29)),2)&amp;AH29&amp;RIGHT("00000"&amp;ROW(),5),"K"&amp;RIGHT("00000"&amp;ROW(),5))))))</f>
        <v/>
      </c>
      <c r="AJ29" s="11" t="str">
        <f aca="false">IF(AI29="","",COUNTIFS($AI$2:$AI$801,"&lt;"&amp;AI29,$E$2:$E$801,"&gt;0")+1)</f>
        <v/>
      </c>
      <c r="AK29" s="11" t="str">
        <f aca="false">IF(OR(A29="",N(E29)&lt;=0),"",COUNTIFS($AH$2:$AH$801,"&lt;"&amp;AH29,$E$2:$E$801,"&gt;0")+COUNTIFS($AH$2:AH29,AH29,$E$2:E29,"&gt;0"))</f>
        <v/>
      </c>
    </row>
    <row r="30" customFormat="false" ht="15" hidden="false" customHeight="false" outlineLevel="0" collapsed="false">
      <c r="A30" s="11" t="str">
        <f aca="false">IF(INVENTÁRIO!A30="","",INVENTÁRIO!A30)</f>
        <v/>
      </c>
      <c r="B30" s="11" t="str">
        <f aca="false">IF(A30="","",INVENTÁRIO!B30)</f>
        <v/>
      </c>
      <c r="C30" s="16" t="str">
        <f aca="false">IF(A30="","",INVENTÁRIO!C30)</f>
        <v/>
      </c>
      <c r="D30" s="14" t="str">
        <f aca="false">IF(A30="","",MAX(K30:AD30))</f>
        <v/>
      </c>
      <c r="E30" s="14" t="str">
        <f aca="false">IF(A30="","",MAX(0,D30-C30))</f>
        <v/>
      </c>
      <c r="F30" s="16" t="str">
        <f aca="false">IF(A30="","",IF(D30=0,"Fora dos decks",IF(E30=0,"Completo","Falta")))</f>
        <v/>
      </c>
      <c r="G30" s="16" t="str">
        <f aca="false">IF(A30="","",COUNTIF(K30:AD30,"&gt;0"))</f>
        <v/>
      </c>
      <c r="H30" s="16" t="str">
        <f aca="false">IF(A30="","",IF(G30&gt;1,"Sim",""))</f>
        <v/>
      </c>
      <c r="I30" s="18" t="str">
        <f aca="false">IF(A30="","",SUMIFS(DECKS!$D$2:$D$1201,DECKS!$B$2:$B$1201,A30))</f>
        <v/>
      </c>
      <c r="J30" s="18" t="str">
        <f aca="false">IF(A30="","",MAX(0,I30-C30))</f>
        <v/>
      </c>
      <c r="K30" s="19" t="str">
        <f aca="false">IF(OR($A30="",INDEX(_LEITURA!$Q$2:$Q$21,1)=0),"",SUMIFS(DECKS!$D$2:$D$1201,DECKS!$A$2:$A$1201,INDEX(_LEITURA!$P$2:$P$21,1),DECKS!$B$2:$B$1201,$A30))</f>
        <v/>
      </c>
      <c r="L30" s="19" t="str">
        <f aca="false">IF(OR($A30="",INDEX(_LEITURA!$Q$2:$Q$21,2)=0),"",SUMIFS(DECKS!$D$2:$D$1201,DECKS!$A$2:$A$1201,INDEX(_LEITURA!$P$2:$P$21,2),DECKS!$B$2:$B$1201,$A30))</f>
        <v/>
      </c>
      <c r="M30" s="19" t="str">
        <f aca="false">IF(OR($A30="",INDEX(_LEITURA!$Q$2:$Q$21,3)=0),"",SUMIFS(DECKS!$D$2:$D$1201,DECKS!$A$2:$A$1201,INDEX(_LEITURA!$P$2:$P$21,3),DECKS!$B$2:$B$1201,$A30))</f>
        <v/>
      </c>
      <c r="N30" s="19" t="str">
        <f aca="false">IF(OR($A30="",INDEX(_LEITURA!$Q$2:$Q$21,4)=0),"",SUMIFS(DECKS!$D$2:$D$1201,DECKS!$A$2:$A$1201,INDEX(_LEITURA!$P$2:$P$21,4),DECKS!$B$2:$B$1201,$A30))</f>
        <v/>
      </c>
      <c r="O30" s="19" t="str">
        <f aca="false">IF(OR($A30="",INDEX(_LEITURA!$Q$2:$Q$21,5)=0),"",SUMIFS(DECKS!$D$2:$D$1201,DECKS!$A$2:$A$1201,INDEX(_LEITURA!$P$2:$P$21,5),DECKS!$B$2:$B$1201,$A30))</f>
        <v/>
      </c>
      <c r="P30" s="19" t="str">
        <f aca="false">IF(OR($A30="",INDEX(_LEITURA!$Q$2:$Q$21,6)=0),"",SUMIFS(DECKS!$D$2:$D$1201,DECKS!$A$2:$A$1201,INDEX(_LEITURA!$P$2:$P$21,6),DECKS!$B$2:$B$1201,$A30))</f>
        <v/>
      </c>
      <c r="Q30" s="19" t="str">
        <f aca="false">IF(OR($A30="",INDEX(_LEITURA!$Q$2:$Q$21,7)=0),"",SUMIFS(DECKS!$D$2:$D$1201,DECKS!$A$2:$A$1201,INDEX(_LEITURA!$P$2:$P$21,7),DECKS!$B$2:$B$1201,$A30))</f>
        <v/>
      </c>
      <c r="R30" s="19" t="str">
        <f aca="false">IF(OR($A30="",INDEX(_LEITURA!$Q$2:$Q$21,8)=0),"",SUMIFS(DECKS!$D$2:$D$1201,DECKS!$A$2:$A$1201,INDEX(_LEITURA!$P$2:$P$21,8),DECKS!$B$2:$B$1201,$A30))</f>
        <v/>
      </c>
      <c r="S30" s="19" t="str">
        <f aca="false">IF(OR($A30="",INDEX(_LEITURA!$Q$2:$Q$21,9)=0),"",SUMIFS(DECKS!$D$2:$D$1201,DECKS!$A$2:$A$1201,INDEX(_LEITURA!$P$2:$P$21,9),DECKS!$B$2:$B$1201,$A30))</f>
        <v/>
      </c>
      <c r="T30" s="19" t="str">
        <f aca="false">IF(OR($A30="",INDEX(_LEITURA!$Q$2:$Q$21,10)=0),"",SUMIFS(DECKS!$D$2:$D$1201,DECKS!$A$2:$A$1201,INDEX(_LEITURA!$P$2:$P$21,10),DECKS!$B$2:$B$1201,$A30))</f>
        <v/>
      </c>
      <c r="U30" s="19" t="str">
        <f aca="false">IF(OR($A30="",INDEX(_LEITURA!$Q$2:$Q$21,11)=0),"",SUMIFS(DECKS!$D$2:$D$1201,DECKS!$A$2:$A$1201,INDEX(_LEITURA!$P$2:$P$21,11),DECKS!$B$2:$B$1201,$A30))</f>
        <v/>
      </c>
      <c r="V30" s="19" t="str">
        <f aca="false">IF(OR($A30="",INDEX(_LEITURA!$Q$2:$Q$21,12)=0),"",SUMIFS(DECKS!$D$2:$D$1201,DECKS!$A$2:$A$1201,INDEX(_LEITURA!$P$2:$P$21,12),DECKS!$B$2:$B$1201,$A30))</f>
        <v/>
      </c>
      <c r="W30" s="19" t="str">
        <f aca="false">IF(OR($A30="",INDEX(_LEITURA!$Q$2:$Q$21,13)=0),"",SUMIFS(DECKS!$D$2:$D$1201,DECKS!$A$2:$A$1201,INDEX(_LEITURA!$P$2:$P$21,13),DECKS!$B$2:$B$1201,$A30))</f>
        <v/>
      </c>
      <c r="X30" s="19" t="str">
        <f aca="false">IF(OR($A30="",INDEX(_LEITURA!$Q$2:$Q$21,14)=0),"",SUMIFS(DECKS!$D$2:$D$1201,DECKS!$A$2:$A$1201,INDEX(_LEITURA!$P$2:$P$21,14),DECKS!$B$2:$B$1201,$A30))</f>
        <v/>
      </c>
      <c r="Y30" s="19" t="str">
        <f aca="false">IF(OR($A30="",INDEX(_LEITURA!$Q$2:$Q$21,15)=0),"",SUMIFS(DECKS!$D$2:$D$1201,DECKS!$A$2:$A$1201,INDEX(_LEITURA!$P$2:$P$21,15),DECKS!$B$2:$B$1201,$A30))</f>
        <v/>
      </c>
      <c r="Z30" s="19" t="str">
        <f aca="false">IF(OR($A30="",INDEX(_LEITURA!$Q$2:$Q$21,16)=0),"",SUMIFS(DECKS!$D$2:$D$1201,DECKS!$A$2:$A$1201,INDEX(_LEITURA!$P$2:$P$21,16),DECKS!$B$2:$B$1201,$A30))</f>
        <v/>
      </c>
      <c r="AA30" s="19" t="str">
        <f aca="false">IF(OR($A30="",INDEX(_LEITURA!$Q$2:$Q$21,17)=0),"",SUMIFS(DECKS!$D$2:$D$1201,DECKS!$A$2:$A$1201,INDEX(_LEITURA!$P$2:$P$21,17),DECKS!$B$2:$B$1201,$A30))</f>
        <v/>
      </c>
      <c r="AB30" s="19" t="str">
        <f aca="false">IF(OR($A30="",INDEX(_LEITURA!$Q$2:$Q$21,18)=0),"",SUMIFS(DECKS!$D$2:$D$1201,DECKS!$A$2:$A$1201,INDEX(_LEITURA!$P$2:$P$21,18),DECKS!$B$2:$B$1201,$A30))</f>
        <v/>
      </c>
      <c r="AC30" s="19" t="str">
        <f aca="false">IF(OR($A30="",INDEX(_LEITURA!$Q$2:$Q$21,19)=0),"",SUMIFS(DECKS!$D$2:$D$1201,DECKS!$A$2:$A$1201,INDEX(_LEITURA!$P$2:$P$21,19),DECKS!$B$2:$B$1201,$A30))</f>
        <v/>
      </c>
      <c r="AD30" s="19" t="str">
        <f aca="false">IF(OR($A30="",INDEX(_LEITURA!$Q$2:$Q$21,20)=0),"",SUMIFS(DECKS!$D$2:$D$1201,DECKS!$A$2:$A$1201,INDEX(_LEITURA!$P$2:$P$21,20),DECKS!$B$2:$B$1201,$A30))</f>
        <v/>
      </c>
      <c r="AE30" s="16" t="str">
        <f aca="false">IF(N(E30)&gt;0,MAX(AE$1:AE29)+1,"")</f>
        <v/>
      </c>
      <c r="AF30" s="11" t="str">
        <f aca="false">IF(A30="","",IFERROR(LEFT(A30,FIND("-",A30)-1),A30))</f>
        <v/>
      </c>
      <c r="AG30" s="11" t="str">
        <f aca="false">IF(AF30="","",IF(ISNUMBER(--MID(AF30,1,1)),0,IF(ISNUMBER(--MID(AF30,2,1)),1,IF(ISNUMBER(--MID(AF30,3,1)),2,IF(ISNUMBER(--MID(AF30,4,1)),3,MIN(LEN(AF30),4))))))</f>
        <v/>
      </c>
      <c r="AH30" s="11" t="str">
        <f aca="false">IF(A30="","",LEFT(AF30,AG30)&amp;REPT("0",4-AG30)&amp;RIGHT("000"&amp;IFERROR(VALUE(MID(AF30,AG30+1,9)),0),3)&amp;RIGHT("0000"&amp;IFERROR(VALUE(MID(A30,FIND("-",A30)+1,9)),0),4))</f>
        <v/>
      </c>
      <c r="AI30" s="11" t="str">
        <f aca="false">IF(OR(A30="",N(E30)&lt;=0),"",IF('FALTAS GERAL'!$M$1="Código","K"&amp;AH30&amp;RIGHT("00000"&amp;ROW(),5),IF('FALTAS GERAL'!$M$1="Nome","K"&amp;UPPER(SUBSTITUTE(SUBSTITUTE(SUBSTITUTE(B30,"*",""),"?",""),"~",""))&amp;"0"&amp;AH30&amp;RIGHT("00000"&amp;ROW(),5),IF('FALTAS GERAL'!$M$1="Falta (maior primeiro)","K"&amp;RIGHT("0000"&amp;(9999-E30),4)&amp;AH30&amp;RIGHT("00000"&amp;ROW(),5),IF('FALTAS GERAL'!$M$1="Nº de decks (maior primeiro)","K"&amp;RIGHT("00"&amp;(99-N(G30)),2)&amp;AH30&amp;RIGHT("00000"&amp;ROW(),5),"K"&amp;RIGHT("00000"&amp;ROW(),5))))))</f>
        <v/>
      </c>
      <c r="AJ30" s="11" t="str">
        <f aca="false">IF(AI30="","",COUNTIFS($AI$2:$AI$801,"&lt;"&amp;AI30,$E$2:$E$801,"&gt;0")+1)</f>
        <v/>
      </c>
      <c r="AK30" s="11" t="str">
        <f aca="false">IF(OR(A30="",N(E30)&lt;=0),"",COUNTIFS($AH$2:$AH$801,"&lt;"&amp;AH30,$E$2:$E$801,"&gt;0")+COUNTIFS($AH$2:AH30,AH30,$E$2:E30,"&gt;0"))</f>
        <v/>
      </c>
    </row>
    <row r="31" customFormat="false" ht="15" hidden="false" customHeight="false" outlineLevel="0" collapsed="false">
      <c r="A31" s="11" t="str">
        <f aca="false">IF(INVENTÁRIO!A31="","",INVENTÁRIO!A31)</f>
        <v/>
      </c>
      <c r="B31" s="11" t="str">
        <f aca="false">IF(A31="","",INVENTÁRIO!B31)</f>
        <v/>
      </c>
      <c r="C31" s="16" t="str">
        <f aca="false">IF(A31="","",INVENTÁRIO!C31)</f>
        <v/>
      </c>
      <c r="D31" s="14" t="str">
        <f aca="false">IF(A31="","",MAX(K31:AD31))</f>
        <v/>
      </c>
      <c r="E31" s="14" t="str">
        <f aca="false">IF(A31="","",MAX(0,D31-C31))</f>
        <v/>
      </c>
      <c r="F31" s="16" t="str">
        <f aca="false">IF(A31="","",IF(D31=0,"Fora dos decks",IF(E31=0,"Completo","Falta")))</f>
        <v/>
      </c>
      <c r="G31" s="16" t="str">
        <f aca="false">IF(A31="","",COUNTIF(K31:AD31,"&gt;0"))</f>
        <v/>
      </c>
      <c r="H31" s="16" t="str">
        <f aca="false">IF(A31="","",IF(G31&gt;1,"Sim",""))</f>
        <v/>
      </c>
      <c r="I31" s="18" t="str">
        <f aca="false">IF(A31="","",SUMIFS(DECKS!$D$2:$D$1201,DECKS!$B$2:$B$1201,A31))</f>
        <v/>
      </c>
      <c r="J31" s="18" t="str">
        <f aca="false">IF(A31="","",MAX(0,I31-C31))</f>
        <v/>
      </c>
      <c r="K31" s="19" t="str">
        <f aca="false">IF(OR($A31="",INDEX(_LEITURA!$Q$2:$Q$21,1)=0),"",SUMIFS(DECKS!$D$2:$D$1201,DECKS!$A$2:$A$1201,INDEX(_LEITURA!$P$2:$P$21,1),DECKS!$B$2:$B$1201,$A31))</f>
        <v/>
      </c>
      <c r="L31" s="19" t="str">
        <f aca="false">IF(OR($A31="",INDEX(_LEITURA!$Q$2:$Q$21,2)=0),"",SUMIFS(DECKS!$D$2:$D$1201,DECKS!$A$2:$A$1201,INDEX(_LEITURA!$P$2:$P$21,2),DECKS!$B$2:$B$1201,$A31))</f>
        <v/>
      </c>
      <c r="M31" s="19" t="str">
        <f aca="false">IF(OR($A31="",INDEX(_LEITURA!$Q$2:$Q$21,3)=0),"",SUMIFS(DECKS!$D$2:$D$1201,DECKS!$A$2:$A$1201,INDEX(_LEITURA!$P$2:$P$21,3),DECKS!$B$2:$B$1201,$A31))</f>
        <v/>
      </c>
      <c r="N31" s="19" t="str">
        <f aca="false">IF(OR($A31="",INDEX(_LEITURA!$Q$2:$Q$21,4)=0),"",SUMIFS(DECKS!$D$2:$D$1201,DECKS!$A$2:$A$1201,INDEX(_LEITURA!$P$2:$P$21,4),DECKS!$B$2:$B$1201,$A31))</f>
        <v/>
      </c>
      <c r="O31" s="19" t="str">
        <f aca="false">IF(OR($A31="",INDEX(_LEITURA!$Q$2:$Q$21,5)=0),"",SUMIFS(DECKS!$D$2:$D$1201,DECKS!$A$2:$A$1201,INDEX(_LEITURA!$P$2:$P$21,5),DECKS!$B$2:$B$1201,$A31))</f>
        <v/>
      </c>
      <c r="P31" s="19" t="str">
        <f aca="false">IF(OR($A31="",INDEX(_LEITURA!$Q$2:$Q$21,6)=0),"",SUMIFS(DECKS!$D$2:$D$1201,DECKS!$A$2:$A$1201,INDEX(_LEITURA!$P$2:$P$21,6),DECKS!$B$2:$B$1201,$A31))</f>
        <v/>
      </c>
      <c r="Q31" s="19" t="str">
        <f aca="false">IF(OR($A31="",INDEX(_LEITURA!$Q$2:$Q$21,7)=0),"",SUMIFS(DECKS!$D$2:$D$1201,DECKS!$A$2:$A$1201,INDEX(_LEITURA!$P$2:$P$21,7),DECKS!$B$2:$B$1201,$A31))</f>
        <v/>
      </c>
      <c r="R31" s="19" t="str">
        <f aca="false">IF(OR($A31="",INDEX(_LEITURA!$Q$2:$Q$21,8)=0),"",SUMIFS(DECKS!$D$2:$D$1201,DECKS!$A$2:$A$1201,INDEX(_LEITURA!$P$2:$P$21,8),DECKS!$B$2:$B$1201,$A31))</f>
        <v/>
      </c>
      <c r="S31" s="19" t="str">
        <f aca="false">IF(OR($A31="",INDEX(_LEITURA!$Q$2:$Q$21,9)=0),"",SUMIFS(DECKS!$D$2:$D$1201,DECKS!$A$2:$A$1201,INDEX(_LEITURA!$P$2:$P$21,9),DECKS!$B$2:$B$1201,$A31))</f>
        <v/>
      </c>
      <c r="T31" s="19" t="str">
        <f aca="false">IF(OR($A31="",INDEX(_LEITURA!$Q$2:$Q$21,10)=0),"",SUMIFS(DECKS!$D$2:$D$1201,DECKS!$A$2:$A$1201,INDEX(_LEITURA!$P$2:$P$21,10),DECKS!$B$2:$B$1201,$A31))</f>
        <v/>
      </c>
      <c r="U31" s="19" t="str">
        <f aca="false">IF(OR($A31="",INDEX(_LEITURA!$Q$2:$Q$21,11)=0),"",SUMIFS(DECKS!$D$2:$D$1201,DECKS!$A$2:$A$1201,INDEX(_LEITURA!$P$2:$P$21,11),DECKS!$B$2:$B$1201,$A31))</f>
        <v/>
      </c>
      <c r="V31" s="19" t="str">
        <f aca="false">IF(OR($A31="",INDEX(_LEITURA!$Q$2:$Q$21,12)=0),"",SUMIFS(DECKS!$D$2:$D$1201,DECKS!$A$2:$A$1201,INDEX(_LEITURA!$P$2:$P$21,12),DECKS!$B$2:$B$1201,$A31))</f>
        <v/>
      </c>
      <c r="W31" s="19" t="str">
        <f aca="false">IF(OR($A31="",INDEX(_LEITURA!$Q$2:$Q$21,13)=0),"",SUMIFS(DECKS!$D$2:$D$1201,DECKS!$A$2:$A$1201,INDEX(_LEITURA!$P$2:$P$21,13),DECKS!$B$2:$B$1201,$A31))</f>
        <v/>
      </c>
      <c r="X31" s="19" t="str">
        <f aca="false">IF(OR($A31="",INDEX(_LEITURA!$Q$2:$Q$21,14)=0),"",SUMIFS(DECKS!$D$2:$D$1201,DECKS!$A$2:$A$1201,INDEX(_LEITURA!$P$2:$P$21,14),DECKS!$B$2:$B$1201,$A31))</f>
        <v/>
      </c>
      <c r="Y31" s="19" t="str">
        <f aca="false">IF(OR($A31="",INDEX(_LEITURA!$Q$2:$Q$21,15)=0),"",SUMIFS(DECKS!$D$2:$D$1201,DECKS!$A$2:$A$1201,INDEX(_LEITURA!$P$2:$P$21,15),DECKS!$B$2:$B$1201,$A31))</f>
        <v/>
      </c>
      <c r="Z31" s="19" t="str">
        <f aca="false">IF(OR($A31="",INDEX(_LEITURA!$Q$2:$Q$21,16)=0),"",SUMIFS(DECKS!$D$2:$D$1201,DECKS!$A$2:$A$1201,INDEX(_LEITURA!$P$2:$P$21,16),DECKS!$B$2:$B$1201,$A31))</f>
        <v/>
      </c>
      <c r="AA31" s="19" t="str">
        <f aca="false">IF(OR($A31="",INDEX(_LEITURA!$Q$2:$Q$21,17)=0),"",SUMIFS(DECKS!$D$2:$D$1201,DECKS!$A$2:$A$1201,INDEX(_LEITURA!$P$2:$P$21,17),DECKS!$B$2:$B$1201,$A31))</f>
        <v/>
      </c>
      <c r="AB31" s="19" t="str">
        <f aca="false">IF(OR($A31="",INDEX(_LEITURA!$Q$2:$Q$21,18)=0),"",SUMIFS(DECKS!$D$2:$D$1201,DECKS!$A$2:$A$1201,INDEX(_LEITURA!$P$2:$P$21,18),DECKS!$B$2:$B$1201,$A31))</f>
        <v/>
      </c>
      <c r="AC31" s="19" t="str">
        <f aca="false">IF(OR($A31="",INDEX(_LEITURA!$Q$2:$Q$21,19)=0),"",SUMIFS(DECKS!$D$2:$D$1201,DECKS!$A$2:$A$1201,INDEX(_LEITURA!$P$2:$P$21,19),DECKS!$B$2:$B$1201,$A31))</f>
        <v/>
      </c>
      <c r="AD31" s="19" t="str">
        <f aca="false">IF(OR($A31="",INDEX(_LEITURA!$Q$2:$Q$21,20)=0),"",SUMIFS(DECKS!$D$2:$D$1201,DECKS!$A$2:$A$1201,INDEX(_LEITURA!$P$2:$P$21,20),DECKS!$B$2:$B$1201,$A31))</f>
        <v/>
      </c>
      <c r="AE31" s="16" t="str">
        <f aca="false">IF(N(E31)&gt;0,MAX(AE$1:AE30)+1,"")</f>
        <v/>
      </c>
      <c r="AF31" s="11" t="str">
        <f aca="false">IF(A31="","",IFERROR(LEFT(A31,FIND("-",A31)-1),A31))</f>
        <v/>
      </c>
      <c r="AG31" s="11" t="str">
        <f aca="false">IF(AF31="","",IF(ISNUMBER(--MID(AF31,1,1)),0,IF(ISNUMBER(--MID(AF31,2,1)),1,IF(ISNUMBER(--MID(AF31,3,1)),2,IF(ISNUMBER(--MID(AF31,4,1)),3,MIN(LEN(AF31),4))))))</f>
        <v/>
      </c>
      <c r="AH31" s="11" t="str">
        <f aca="false">IF(A31="","",LEFT(AF31,AG31)&amp;REPT("0",4-AG31)&amp;RIGHT("000"&amp;IFERROR(VALUE(MID(AF31,AG31+1,9)),0),3)&amp;RIGHT("0000"&amp;IFERROR(VALUE(MID(A31,FIND("-",A31)+1,9)),0),4))</f>
        <v/>
      </c>
      <c r="AI31" s="11" t="str">
        <f aca="false">IF(OR(A31="",N(E31)&lt;=0),"",IF('FALTAS GERAL'!$M$1="Código","K"&amp;AH31&amp;RIGHT("00000"&amp;ROW(),5),IF('FALTAS GERAL'!$M$1="Nome","K"&amp;UPPER(SUBSTITUTE(SUBSTITUTE(SUBSTITUTE(B31,"*",""),"?",""),"~",""))&amp;"0"&amp;AH31&amp;RIGHT("00000"&amp;ROW(),5),IF('FALTAS GERAL'!$M$1="Falta (maior primeiro)","K"&amp;RIGHT("0000"&amp;(9999-E31),4)&amp;AH31&amp;RIGHT("00000"&amp;ROW(),5),IF('FALTAS GERAL'!$M$1="Nº de decks (maior primeiro)","K"&amp;RIGHT("00"&amp;(99-N(G31)),2)&amp;AH31&amp;RIGHT("00000"&amp;ROW(),5),"K"&amp;RIGHT("00000"&amp;ROW(),5))))))</f>
        <v/>
      </c>
      <c r="AJ31" s="11" t="str">
        <f aca="false">IF(AI31="","",COUNTIFS($AI$2:$AI$801,"&lt;"&amp;AI31,$E$2:$E$801,"&gt;0")+1)</f>
        <v/>
      </c>
      <c r="AK31" s="11" t="str">
        <f aca="false">IF(OR(A31="",N(E31)&lt;=0),"",COUNTIFS($AH$2:$AH$801,"&lt;"&amp;AH31,$E$2:$E$801,"&gt;0")+COUNTIFS($AH$2:AH31,AH31,$E$2:E31,"&gt;0"))</f>
        <v/>
      </c>
    </row>
    <row r="32" customFormat="false" ht="15" hidden="false" customHeight="false" outlineLevel="0" collapsed="false">
      <c r="A32" s="11" t="str">
        <f aca="false">IF(INVENTÁRIO!A32="","",INVENTÁRIO!A32)</f>
        <v/>
      </c>
      <c r="B32" s="11" t="str">
        <f aca="false">IF(A32="","",INVENTÁRIO!B32)</f>
        <v/>
      </c>
      <c r="C32" s="16" t="str">
        <f aca="false">IF(A32="","",INVENTÁRIO!C32)</f>
        <v/>
      </c>
      <c r="D32" s="14" t="str">
        <f aca="false">IF(A32="","",MAX(K32:AD32))</f>
        <v/>
      </c>
      <c r="E32" s="14" t="str">
        <f aca="false">IF(A32="","",MAX(0,D32-C32))</f>
        <v/>
      </c>
      <c r="F32" s="16" t="str">
        <f aca="false">IF(A32="","",IF(D32=0,"Fora dos decks",IF(E32=0,"Completo","Falta")))</f>
        <v/>
      </c>
      <c r="G32" s="16" t="str">
        <f aca="false">IF(A32="","",COUNTIF(K32:AD32,"&gt;0"))</f>
        <v/>
      </c>
      <c r="H32" s="16" t="str">
        <f aca="false">IF(A32="","",IF(G32&gt;1,"Sim",""))</f>
        <v/>
      </c>
      <c r="I32" s="18" t="str">
        <f aca="false">IF(A32="","",SUMIFS(DECKS!$D$2:$D$1201,DECKS!$B$2:$B$1201,A32))</f>
        <v/>
      </c>
      <c r="J32" s="18" t="str">
        <f aca="false">IF(A32="","",MAX(0,I32-C32))</f>
        <v/>
      </c>
      <c r="K32" s="19" t="str">
        <f aca="false">IF(OR($A32="",INDEX(_LEITURA!$Q$2:$Q$21,1)=0),"",SUMIFS(DECKS!$D$2:$D$1201,DECKS!$A$2:$A$1201,INDEX(_LEITURA!$P$2:$P$21,1),DECKS!$B$2:$B$1201,$A32))</f>
        <v/>
      </c>
      <c r="L32" s="19" t="str">
        <f aca="false">IF(OR($A32="",INDEX(_LEITURA!$Q$2:$Q$21,2)=0),"",SUMIFS(DECKS!$D$2:$D$1201,DECKS!$A$2:$A$1201,INDEX(_LEITURA!$P$2:$P$21,2),DECKS!$B$2:$B$1201,$A32))</f>
        <v/>
      </c>
      <c r="M32" s="19" t="str">
        <f aca="false">IF(OR($A32="",INDEX(_LEITURA!$Q$2:$Q$21,3)=0),"",SUMIFS(DECKS!$D$2:$D$1201,DECKS!$A$2:$A$1201,INDEX(_LEITURA!$P$2:$P$21,3),DECKS!$B$2:$B$1201,$A32))</f>
        <v/>
      </c>
      <c r="N32" s="19" t="str">
        <f aca="false">IF(OR($A32="",INDEX(_LEITURA!$Q$2:$Q$21,4)=0),"",SUMIFS(DECKS!$D$2:$D$1201,DECKS!$A$2:$A$1201,INDEX(_LEITURA!$P$2:$P$21,4),DECKS!$B$2:$B$1201,$A32))</f>
        <v/>
      </c>
      <c r="O32" s="19" t="str">
        <f aca="false">IF(OR($A32="",INDEX(_LEITURA!$Q$2:$Q$21,5)=0),"",SUMIFS(DECKS!$D$2:$D$1201,DECKS!$A$2:$A$1201,INDEX(_LEITURA!$P$2:$P$21,5),DECKS!$B$2:$B$1201,$A32))</f>
        <v/>
      </c>
      <c r="P32" s="19" t="str">
        <f aca="false">IF(OR($A32="",INDEX(_LEITURA!$Q$2:$Q$21,6)=0),"",SUMIFS(DECKS!$D$2:$D$1201,DECKS!$A$2:$A$1201,INDEX(_LEITURA!$P$2:$P$21,6),DECKS!$B$2:$B$1201,$A32))</f>
        <v/>
      </c>
      <c r="Q32" s="19" t="str">
        <f aca="false">IF(OR($A32="",INDEX(_LEITURA!$Q$2:$Q$21,7)=0),"",SUMIFS(DECKS!$D$2:$D$1201,DECKS!$A$2:$A$1201,INDEX(_LEITURA!$P$2:$P$21,7),DECKS!$B$2:$B$1201,$A32))</f>
        <v/>
      </c>
      <c r="R32" s="19" t="str">
        <f aca="false">IF(OR($A32="",INDEX(_LEITURA!$Q$2:$Q$21,8)=0),"",SUMIFS(DECKS!$D$2:$D$1201,DECKS!$A$2:$A$1201,INDEX(_LEITURA!$P$2:$P$21,8),DECKS!$B$2:$B$1201,$A32))</f>
        <v/>
      </c>
      <c r="S32" s="19" t="str">
        <f aca="false">IF(OR($A32="",INDEX(_LEITURA!$Q$2:$Q$21,9)=0),"",SUMIFS(DECKS!$D$2:$D$1201,DECKS!$A$2:$A$1201,INDEX(_LEITURA!$P$2:$P$21,9),DECKS!$B$2:$B$1201,$A32))</f>
        <v/>
      </c>
      <c r="T32" s="19" t="str">
        <f aca="false">IF(OR($A32="",INDEX(_LEITURA!$Q$2:$Q$21,10)=0),"",SUMIFS(DECKS!$D$2:$D$1201,DECKS!$A$2:$A$1201,INDEX(_LEITURA!$P$2:$P$21,10),DECKS!$B$2:$B$1201,$A32))</f>
        <v/>
      </c>
      <c r="U32" s="19" t="str">
        <f aca="false">IF(OR($A32="",INDEX(_LEITURA!$Q$2:$Q$21,11)=0),"",SUMIFS(DECKS!$D$2:$D$1201,DECKS!$A$2:$A$1201,INDEX(_LEITURA!$P$2:$P$21,11),DECKS!$B$2:$B$1201,$A32))</f>
        <v/>
      </c>
      <c r="V32" s="19" t="str">
        <f aca="false">IF(OR($A32="",INDEX(_LEITURA!$Q$2:$Q$21,12)=0),"",SUMIFS(DECKS!$D$2:$D$1201,DECKS!$A$2:$A$1201,INDEX(_LEITURA!$P$2:$P$21,12),DECKS!$B$2:$B$1201,$A32))</f>
        <v/>
      </c>
      <c r="W32" s="19" t="str">
        <f aca="false">IF(OR($A32="",INDEX(_LEITURA!$Q$2:$Q$21,13)=0),"",SUMIFS(DECKS!$D$2:$D$1201,DECKS!$A$2:$A$1201,INDEX(_LEITURA!$P$2:$P$21,13),DECKS!$B$2:$B$1201,$A32))</f>
        <v/>
      </c>
      <c r="X32" s="19" t="str">
        <f aca="false">IF(OR($A32="",INDEX(_LEITURA!$Q$2:$Q$21,14)=0),"",SUMIFS(DECKS!$D$2:$D$1201,DECKS!$A$2:$A$1201,INDEX(_LEITURA!$P$2:$P$21,14),DECKS!$B$2:$B$1201,$A32))</f>
        <v/>
      </c>
      <c r="Y32" s="19" t="str">
        <f aca="false">IF(OR($A32="",INDEX(_LEITURA!$Q$2:$Q$21,15)=0),"",SUMIFS(DECKS!$D$2:$D$1201,DECKS!$A$2:$A$1201,INDEX(_LEITURA!$P$2:$P$21,15),DECKS!$B$2:$B$1201,$A32))</f>
        <v/>
      </c>
      <c r="Z32" s="19" t="str">
        <f aca="false">IF(OR($A32="",INDEX(_LEITURA!$Q$2:$Q$21,16)=0),"",SUMIFS(DECKS!$D$2:$D$1201,DECKS!$A$2:$A$1201,INDEX(_LEITURA!$P$2:$P$21,16),DECKS!$B$2:$B$1201,$A32))</f>
        <v/>
      </c>
      <c r="AA32" s="19" t="str">
        <f aca="false">IF(OR($A32="",INDEX(_LEITURA!$Q$2:$Q$21,17)=0),"",SUMIFS(DECKS!$D$2:$D$1201,DECKS!$A$2:$A$1201,INDEX(_LEITURA!$P$2:$P$21,17),DECKS!$B$2:$B$1201,$A32))</f>
        <v/>
      </c>
      <c r="AB32" s="19" t="str">
        <f aca="false">IF(OR($A32="",INDEX(_LEITURA!$Q$2:$Q$21,18)=0),"",SUMIFS(DECKS!$D$2:$D$1201,DECKS!$A$2:$A$1201,INDEX(_LEITURA!$P$2:$P$21,18),DECKS!$B$2:$B$1201,$A32))</f>
        <v/>
      </c>
      <c r="AC32" s="19" t="str">
        <f aca="false">IF(OR($A32="",INDEX(_LEITURA!$Q$2:$Q$21,19)=0),"",SUMIFS(DECKS!$D$2:$D$1201,DECKS!$A$2:$A$1201,INDEX(_LEITURA!$P$2:$P$21,19),DECKS!$B$2:$B$1201,$A32))</f>
        <v/>
      </c>
      <c r="AD32" s="19" t="str">
        <f aca="false">IF(OR($A32="",INDEX(_LEITURA!$Q$2:$Q$21,20)=0),"",SUMIFS(DECKS!$D$2:$D$1201,DECKS!$A$2:$A$1201,INDEX(_LEITURA!$P$2:$P$21,20),DECKS!$B$2:$B$1201,$A32))</f>
        <v/>
      </c>
      <c r="AE32" s="16" t="str">
        <f aca="false">IF(N(E32)&gt;0,MAX(AE$1:AE31)+1,"")</f>
        <v/>
      </c>
      <c r="AF32" s="11" t="str">
        <f aca="false">IF(A32="","",IFERROR(LEFT(A32,FIND("-",A32)-1),A32))</f>
        <v/>
      </c>
      <c r="AG32" s="11" t="str">
        <f aca="false">IF(AF32="","",IF(ISNUMBER(--MID(AF32,1,1)),0,IF(ISNUMBER(--MID(AF32,2,1)),1,IF(ISNUMBER(--MID(AF32,3,1)),2,IF(ISNUMBER(--MID(AF32,4,1)),3,MIN(LEN(AF32),4))))))</f>
        <v/>
      </c>
      <c r="AH32" s="11" t="str">
        <f aca="false">IF(A32="","",LEFT(AF32,AG32)&amp;REPT("0",4-AG32)&amp;RIGHT("000"&amp;IFERROR(VALUE(MID(AF32,AG32+1,9)),0),3)&amp;RIGHT("0000"&amp;IFERROR(VALUE(MID(A32,FIND("-",A32)+1,9)),0),4))</f>
        <v/>
      </c>
      <c r="AI32" s="11" t="str">
        <f aca="false">IF(OR(A32="",N(E32)&lt;=0),"",IF('FALTAS GERAL'!$M$1="Código","K"&amp;AH32&amp;RIGHT("00000"&amp;ROW(),5),IF('FALTAS GERAL'!$M$1="Nome","K"&amp;UPPER(SUBSTITUTE(SUBSTITUTE(SUBSTITUTE(B32,"*",""),"?",""),"~",""))&amp;"0"&amp;AH32&amp;RIGHT("00000"&amp;ROW(),5),IF('FALTAS GERAL'!$M$1="Falta (maior primeiro)","K"&amp;RIGHT("0000"&amp;(9999-E32),4)&amp;AH32&amp;RIGHT("00000"&amp;ROW(),5),IF('FALTAS GERAL'!$M$1="Nº de decks (maior primeiro)","K"&amp;RIGHT("00"&amp;(99-N(G32)),2)&amp;AH32&amp;RIGHT("00000"&amp;ROW(),5),"K"&amp;RIGHT("00000"&amp;ROW(),5))))))</f>
        <v/>
      </c>
      <c r="AJ32" s="11" t="str">
        <f aca="false">IF(AI32="","",COUNTIFS($AI$2:$AI$801,"&lt;"&amp;AI32,$E$2:$E$801,"&gt;0")+1)</f>
        <v/>
      </c>
      <c r="AK32" s="11" t="str">
        <f aca="false">IF(OR(A32="",N(E32)&lt;=0),"",COUNTIFS($AH$2:$AH$801,"&lt;"&amp;AH32,$E$2:$E$801,"&gt;0")+COUNTIFS($AH$2:AH32,AH32,$E$2:E32,"&gt;0"))</f>
        <v/>
      </c>
    </row>
    <row r="33" customFormat="false" ht="15" hidden="false" customHeight="false" outlineLevel="0" collapsed="false">
      <c r="A33" s="11" t="str">
        <f aca="false">IF(INVENTÁRIO!A33="","",INVENTÁRIO!A33)</f>
        <v/>
      </c>
      <c r="B33" s="11" t="str">
        <f aca="false">IF(A33="","",INVENTÁRIO!B33)</f>
        <v/>
      </c>
      <c r="C33" s="16" t="str">
        <f aca="false">IF(A33="","",INVENTÁRIO!C33)</f>
        <v/>
      </c>
      <c r="D33" s="14" t="str">
        <f aca="false">IF(A33="","",MAX(K33:AD33))</f>
        <v/>
      </c>
      <c r="E33" s="14" t="str">
        <f aca="false">IF(A33="","",MAX(0,D33-C33))</f>
        <v/>
      </c>
      <c r="F33" s="16" t="str">
        <f aca="false">IF(A33="","",IF(D33=0,"Fora dos decks",IF(E33=0,"Completo","Falta")))</f>
        <v/>
      </c>
      <c r="G33" s="16" t="str">
        <f aca="false">IF(A33="","",COUNTIF(K33:AD33,"&gt;0"))</f>
        <v/>
      </c>
      <c r="H33" s="16" t="str">
        <f aca="false">IF(A33="","",IF(G33&gt;1,"Sim",""))</f>
        <v/>
      </c>
      <c r="I33" s="18" t="str">
        <f aca="false">IF(A33="","",SUMIFS(DECKS!$D$2:$D$1201,DECKS!$B$2:$B$1201,A33))</f>
        <v/>
      </c>
      <c r="J33" s="18" t="str">
        <f aca="false">IF(A33="","",MAX(0,I33-C33))</f>
        <v/>
      </c>
      <c r="K33" s="19" t="str">
        <f aca="false">IF(OR($A33="",INDEX(_LEITURA!$Q$2:$Q$21,1)=0),"",SUMIFS(DECKS!$D$2:$D$1201,DECKS!$A$2:$A$1201,INDEX(_LEITURA!$P$2:$P$21,1),DECKS!$B$2:$B$1201,$A33))</f>
        <v/>
      </c>
      <c r="L33" s="19" t="str">
        <f aca="false">IF(OR($A33="",INDEX(_LEITURA!$Q$2:$Q$21,2)=0),"",SUMIFS(DECKS!$D$2:$D$1201,DECKS!$A$2:$A$1201,INDEX(_LEITURA!$P$2:$P$21,2),DECKS!$B$2:$B$1201,$A33))</f>
        <v/>
      </c>
      <c r="M33" s="19" t="str">
        <f aca="false">IF(OR($A33="",INDEX(_LEITURA!$Q$2:$Q$21,3)=0),"",SUMIFS(DECKS!$D$2:$D$1201,DECKS!$A$2:$A$1201,INDEX(_LEITURA!$P$2:$P$21,3),DECKS!$B$2:$B$1201,$A33))</f>
        <v/>
      </c>
      <c r="N33" s="19" t="str">
        <f aca="false">IF(OR($A33="",INDEX(_LEITURA!$Q$2:$Q$21,4)=0),"",SUMIFS(DECKS!$D$2:$D$1201,DECKS!$A$2:$A$1201,INDEX(_LEITURA!$P$2:$P$21,4),DECKS!$B$2:$B$1201,$A33))</f>
        <v/>
      </c>
      <c r="O33" s="19" t="str">
        <f aca="false">IF(OR($A33="",INDEX(_LEITURA!$Q$2:$Q$21,5)=0),"",SUMIFS(DECKS!$D$2:$D$1201,DECKS!$A$2:$A$1201,INDEX(_LEITURA!$P$2:$P$21,5),DECKS!$B$2:$B$1201,$A33))</f>
        <v/>
      </c>
      <c r="P33" s="19" t="str">
        <f aca="false">IF(OR($A33="",INDEX(_LEITURA!$Q$2:$Q$21,6)=0),"",SUMIFS(DECKS!$D$2:$D$1201,DECKS!$A$2:$A$1201,INDEX(_LEITURA!$P$2:$P$21,6),DECKS!$B$2:$B$1201,$A33))</f>
        <v/>
      </c>
      <c r="Q33" s="19" t="str">
        <f aca="false">IF(OR($A33="",INDEX(_LEITURA!$Q$2:$Q$21,7)=0),"",SUMIFS(DECKS!$D$2:$D$1201,DECKS!$A$2:$A$1201,INDEX(_LEITURA!$P$2:$P$21,7),DECKS!$B$2:$B$1201,$A33))</f>
        <v/>
      </c>
      <c r="R33" s="19" t="str">
        <f aca="false">IF(OR($A33="",INDEX(_LEITURA!$Q$2:$Q$21,8)=0),"",SUMIFS(DECKS!$D$2:$D$1201,DECKS!$A$2:$A$1201,INDEX(_LEITURA!$P$2:$P$21,8),DECKS!$B$2:$B$1201,$A33))</f>
        <v/>
      </c>
      <c r="S33" s="19" t="str">
        <f aca="false">IF(OR($A33="",INDEX(_LEITURA!$Q$2:$Q$21,9)=0),"",SUMIFS(DECKS!$D$2:$D$1201,DECKS!$A$2:$A$1201,INDEX(_LEITURA!$P$2:$P$21,9),DECKS!$B$2:$B$1201,$A33))</f>
        <v/>
      </c>
      <c r="T33" s="19" t="str">
        <f aca="false">IF(OR($A33="",INDEX(_LEITURA!$Q$2:$Q$21,10)=0),"",SUMIFS(DECKS!$D$2:$D$1201,DECKS!$A$2:$A$1201,INDEX(_LEITURA!$P$2:$P$21,10),DECKS!$B$2:$B$1201,$A33))</f>
        <v/>
      </c>
      <c r="U33" s="19" t="str">
        <f aca="false">IF(OR($A33="",INDEX(_LEITURA!$Q$2:$Q$21,11)=0),"",SUMIFS(DECKS!$D$2:$D$1201,DECKS!$A$2:$A$1201,INDEX(_LEITURA!$P$2:$P$21,11),DECKS!$B$2:$B$1201,$A33))</f>
        <v/>
      </c>
      <c r="V33" s="19" t="str">
        <f aca="false">IF(OR($A33="",INDEX(_LEITURA!$Q$2:$Q$21,12)=0),"",SUMIFS(DECKS!$D$2:$D$1201,DECKS!$A$2:$A$1201,INDEX(_LEITURA!$P$2:$P$21,12),DECKS!$B$2:$B$1201,$A33))</f>
        <v/>
      </c>
      <c r="W33" s="19" t="str">
        <f aca="false">IF(OR($A33="",INDEX(_LEITURA!$Q$2:$Q$21,13)=0),"",SUMIFS(DECKS!$D$2:$D$1201,DECKS!$A$2:$A$1201,INDEX(_LEITURA!$P$2:$P$21,13),DECKS!$B$2:$B$1201,$A33))</f>
        <v/>
      </c>
      <c r="X33" s="19" t="str">
        <f aca="false">IF(OR($A33="",INDEX(_LEITURA!$Q$2:$Q$21,14)=0),"",SUMIFS(DECKS!$D$2:$D$1201,DECKS!$A$2:$A$1201,INDEX(_LEITURA!$P$2:$P$21,14),DECKS!$B$2:$B$1201,$A33))</f>
        <v/>
      </c>
      <c r="Y33" s="19" t="str">
        <f aca="false">IF(OR($A33="",INDEX(_LEITURA!$Q$2:$Q$21,15)=0),"",SUMIFS(DECKS!$D$2:$D$1201,DECKS!$A$2:$A$1201,INDEX(_LEITURA!$P$2:$P$21,15),DECKS!$B$2:$B$1201,$A33))</f>
        <v/>
      </c>
      <c r="Z33" s="19" t="str">
        <f aca="false">IF(OR($A33="",INDEX(_LEITURA!$Q$2:$Q$21,16)=0),"",SUMIFS(DECKS!$D$2:$D$1201,DECKS!$A$2:$A$1201,INDEX(_LEITURA!$P$2:$P$21,16),DECKS!$B$2:$B$1201,$A33))</f>
        <v/>
      </c>
      <c r="AA33" s="19" t="str">
        <f aca="false">IF(OR($A33="",INDEX(_LEITURA!$Q$2:$Q$21,17)=0),"",SUMIFS(DECKS!$D$2:$D$1201,DECKS!$A$2:$A$1201,INDEX(_LEITURA!$P$2:$P$21,17),DECKS!$B$2:$B$1201,$A33))</f>
        <v/>
      </c>
      <c r="AB33" s="19" t="str">
        <f aca="false">IF(OR($A33="",INDEX(_LEITURA!$Q$2:$Q$21,18)=0),"",SUMIFS(DECKS!$D$2:$D$1201,DECKS!$A$2:$A$1201,INDEX(_LEITURA!$P$2:$P$21,18),DECKS!$B$2:$B$1201,$A33))</f>
        <v/>
      </c>
      <c r="AC33" s="19" t="str">
        <f aca="false">IF(OR($A33="",INDEX(_LEITURA!$Q$2:$Q$21,19)=0),"",SUMIFS(DECKS!$D$2:$D$1201,DECKS!$A$2:$A$1201,INDEX(_LEITURA!$P$2:$P$21,19),DECKS!$B$2:$B$1201,$A33))</f>
        <v/>
      </c>
      <c r="AD33" s="19" t="str">
        <f aca="false">IF(OR($A33="",INDEX(_LEITURA!$Q$2:$Q$21,20)=0),"",SUMIFS(DECKS!$D$2:$D$1201,DECKS!$A$2:$A$1201,INDEX(_LEITURA!$P$2:$P$21,20),DECKS!$B$2:$B$1201,$A33))</f>
        <v/>
      </c>
      <c r="AE33" s="16" t="str">
        <f aca="false">IF(N(E33)&gt;0,MAX(AE$1:AE32)+1,"")</f>
        <v/>
      </c>
      <c r="AF33" s="11" t="str">
        <f aca="false">IF(A33="","",IFERROR(LEFT(A33,FIND("-",A33)-1),A33))</f>
        <v/>
      </c>
      <c r="AG33" s="11" t="str">
        <f aca="false">IF(AF33="","",IF(ISNUMBER(--MID(AF33,1,1)),0,IF(ISNUMBER(--MID(AF33,2,1)),1,IF(ISNUMBER(--MID(AF33,3,1)),2,IF(ISNUMBER(--MID(AF33,4,1)),3,MIN(LEN(AF33),4))))))</f>
        <v/>
      </c>
      <c r="AH33" s="11" t="str">
        <f aca="false">IF(A33="","",LEFT(AF33,AG33)&amp;REPT("0",4-AG33)&amp;RIGHT("000"&amp;IFERROR(VALUE(MID(AF33,AG33+1,9)),0),3)&amp;RIGHT("0000"&amp;IFERROR(VALUE(MID(A33,FIND("-",A33)+1,9)),0),4))</f>
        <v/>
      </c>
      <c r="AI33" s="11" t="str">
        <f aca="false">IF(OR(A33="",N(E33)&lt;=0),"",IF('FALTAS GERAL'!$M$1="Código","K"&amp;AH33&amp;RIGHT("00000"&amp;ROW(),5),IF('FALTAS GERAL'!$M$1="Nome","K"&amp;UPPER(SUBSTITUTE(SUBSTITUTE(SUBSTITUTE(B33,"*",""),"?",""),"~",""))&amp;"0"&amp;AH33&amp;RIGHT("00000"&amp;ROW(),5),IF('FALTAS GERAL'!$M$1="Falta (maior primeiro)","K"&amp;RIGHT("0000"&amp;(9999-E33),4)&amp;AH33&amp;RIGHT("00000"&amp;ROW(),5),IF('FALTAS GERAL'!$M$1="Nº de decks (maior primeiro)","K"&amp;RIGHT("00"&amp;(99-N(G33)),2)&amp;AH33&amp;RIGHT("00000"&amp;ROW(),5),"K"&amp;RIGHT("00000"&amp;ROW(),5))))))</f>
        <v/>
      </c>
      <c r="AJ33" s="11" t="str">
        <f aca="false">IF(AI33="","",COUNTIFS($AI$2:$AI$801,"&lt;"&amp;AI33,$E$2:$E$801,"&gt;0")+1)</f>
        <v/>
      </c>
      <c r="AK33" s="11" t="str">
        <f aca="false">IF(OR(A33="",N(E33)&lt;=0),"",COUNTIFS($AH$2:$AH$801,"&lt;"&amp;AH33,$E$2:$E$801,"&gt;0")+COUNTIFS($AH$2:AH33,AH33,$E$2:E33,"&gt;0"))</f>
        <v/>
      </c>
    </row>
    <row r="34" customFormat="false" ht="15" hidden="false" customHeight="false" outlineLevel="0" collapsed="false">
      <c r="A34" s="11" t="str">
        <f aca="false">IF(INVENTÁRIO!A34="","",INVENTÁRIO!A34)</f>
        <v/>
      </c>
      <c r="B34" s="11" t="str">
        <f aca="false">IF(A34="","",INVENTÁRIO!B34)</f>
        <v/>
      </c>
      <c r="C34" s="16" t="str">
        <f aca="false">IF(A34="","",INVENTÁRIO!C34)</f>
        <v/>
      </c>
      <c r="D34" s="14" t="str">
        <f aca="false">IF(A34="","",MAX(K34:AD34))</f>
        <v/>
      </c>
      <c r="E34" s="14" t="str">
        <f aca="false">IF(A34="","",MAX(0,D34-C34))</f>
        <v/>
      </c>
      <c r="F34" s="16" t="str">
        <f aca="false">IF(A34="","",IF(D34=0,"Fora dos decks",IF(E34=0,"Completo","Falta")))</f>
        <v/>
      </c>
      <c r="G34" s="16" t="str">
        <f aca="false">IF(A34="","",COUNTIF(K34:AD34,"&gt;0"))</f>
        <v/>
      </c>
      <c r="H34" s="16" t="str">
        <f aca="false">IF(A34="","",IF(G34&gt;1,"Sim",""))</f>
        <v/>
      </c>
      <c r="I34" s="18" t="str">
        <f aca="false">IF(A34="","",SUMIFS(DECKS!$D$2:$D$1201,DECKS!$B$2:$B$1201,A34))</f>
        <v/>
      </c>
      <c r="J34" s="18" t="str">
        <f aca="false">IF(A34="","",MAX(0,I34-C34))</f>
        <v/>
      </c>
      <c r="K34" s="19" t="str">
        <f aca="false">IF(OR($A34="",INDEX(_LEITURA!$Q$2:$Q$21,1)=0),"",SUMIFS(DECKS!$D$2:$D$1201,DECKS!$A$2:$A$1201,INDEX(_LEITURA!$P$2:$P$21,1),DECKS!$B$2:$B$1201,$A34))</f>
        <v/>
      </c>
      <c r="L34" s="19" t="str">
        <f aca="false">IF(OR($A34="",INDEX(_LEITURA!$Q$2:$Q$21,2)=0),"",SUMIFS(DECKS!$D$2:$D$1201,DECKS!$A$2:$A$1201,INDEX(_LEITURA!$P$2:$P$21,2),DECKS!$B$2:$B$1201,$A34))</f>
        <v/>
      </c>
      <c r="M34" s="19" t="str">
        <f aca="false">IF(OR($A34="",INDEX(_LEITURA!$Q$2:$Q$21,3)=0),"",SUMIFS(DECKS!$D$2:$D$1201,DECKS!$A$2:$A$1201,INDEX(_LEITURA!$P$2:$P$21,3),DECKS!$B$2:$B$1201,$A34))</f>
        <v/>
      </c>
      <c r="N34" s="19" t="str">
        <f aca="false">IF(OR($A34="",INDEX(_LEITURA!$Q$2:$Q$21,4)=0),"",SUMIFS(DECKS!$D$2:$D$1201,DECKS!$A$2:$A$1201,INDEX(_LEITURA!$P$2:$P$21,4),DECKS!$B$2:$B$1201,$A34))</f>
        <v/>
      </c>
      <c r="O34" s="19" t="str">
        <f aca="false">IF(OR($A34="",INDEX(_LEITURA!$Q$2:$Q$21,5)=0),"",SUMIFS(DECKS!$D$2:$D$1201,DECKS!$A$2:$A$1201,INDEX(_LEITURA!$P$2:$P$21,5),DECKS!$B$2:$B$1201,$A34))</f>
        <v/>
      </c>
      <c r="P34" s="19" t="str">
        <f aca="false">IF(OR($A34="",INDEX(_LEITURA!$Q$2:$Q$21,6)=0),"",SUMIFS(DECKS!$D$2:$D$1201,DECKS!$A$2:$A$1201,INDEX(_LEITURA!$P$2:$P$21,6),DECKS!$B$2:$B$1201,$A34))</f>
        <v/>
      </c>
      <c r="Q34" s="19" t="str">
        <f aca="false">IF(OR($A34="",INDEX(_LEITURA!$Q$2:$Q$21,7)=0),"",SUMIFS(DECKS!$D$2:$D$1201,DECKS!$A$2:$A$1201,INDEX(_LEITURA!$P$2:$P$21,7),DECKS!$B$2:$B$1201,$A34))</f>
        <v/>
      </c>
      <c r="R34" s="19" t="str">
        <f aca="false">IF(OR($A34="",INDEX(_LEITURA!$Q$2:$Q$21,8)=0),"",SUMIFS(DECKS!$D$2:$D$1201,DECKS!$A$2:$A$1201,INDEX(_LEITURA!$P$2:$P$21,8),DECKS!$B$2:$B$1201,$A34))</f>
        <v/>
      </c>
      <c r="S34" s="19" t="str">
        <f aca="false">IF(OR($A34="",INDEX(_LEITURA!$Q$2:$Q$21,9)=0),"",SUMIFS(DECKS!$D$2:$D$1201,DECKS!$A$2:$A$1201,INDEX(_LEITURA!$P$2:$P$21,9),DECKS!$B$2:$B$1201,$A34))</f>
        <v/>
      </c>
      <c r="T34" s="19" t="str">
        <f aca="false">IF(OR($A34="",INDEX(_LEITURA!$Q$2:$Q$21,10)=0),"",SUMIFS(DECKS!$D$2:$D$1201,DECKS!$A$2:$A$1201,INDEX(_LEITURA!$P$2:$P$21,10),DECKS!$B$2:$B$1201,$A34))</f>
        <v/>
      </c>
      <c r="U34" s="19" t="str">
        <f aca="false">IF(OR($A34="",INDEX(_LEITURA!$Q$2:$Q$21,11)=0),"",SUMIFS(DECKS!$D$2:$D$1201,DECKS!$A$2:$A$1201,INDEX(_LEITURA!$P$2:$P$21,11),DECKS!$B$2:$B$1201,$A34))</f>
        <v/>
      </c>
      <c r="V34" s="19" t="str">
        <f aca="false">IF(OR($A34="",INDEX(_LEITURA!$Q$2:$Q$21,12)=0),"",SUMIFS(DECKS!$D$2:$D$1201,DECKS!$A$2:$A$1201,INDEX(_LEITURA!$P$2:$P$21,12),DECKS!$B$2:$B$1201,$A34))</f>
        <v/>
      </c>
      <c r="W34" s="19" t="str">
        <f aca="false">IF(OR($A34="",INDEX(_LEITURA!$Q$2:$Q$21,13)=0),"",SUMIFS(DECKS!$D$2:$D$1201,DECKS!$A$2:$A$1201,INDEX(_LEITURA!$P$2:$P$21,13),DECKS!$B$2:$B$1201,$A34))</f>
        <v/>
      </c>
      <c r="X34" s="19" t="str">
        <f aca="false">IF(OR($A34="",INDEX(_LEITURA!$Q$2:$Q$21,14)=0),"",SUMIFS(DECKS!$D$2:$D$1201,DECKS!$A$2:$A$1201,INDEX(_LEITURA!$P$2:$P$21,14),DECKS!$B$2:$B$1201,$A34))</f>
        <v/>
      </c>
      <c r="Y34" s="19" t="str">
        <f aca="false">IF(OR($A34="",INDEX(_LEITURA!$Q$2:$Q$21,15)=0),"",SUMIFS(DECKS!$D$2:$D$1201,DECKS!$A$2:$A$1201,INDEX(_LEITURA!$P$2:$P$21,15),DECKS!$B$2:$B$1201,$A34))</f>
        <v/>
      </c>
      <c r="Z34" s="19" t="str">
        <f aca="false">IF(OR($A34="",INDEX(_LEITURA!$Q$2:$Q$21,16)=0),"",SUMIFS(DECKS!$D$2:$D$1201,DECKS!$A$2:$A$1201,INDEX(_LEITURA!$P$2:$P$21,16),DECKS!$B$2:$B$1201,$A34))</f>
        <v/>
      </c>
      <c r="AA34" s="19" t="str">
        <f aca="false">IF(OR($A34="",INDEX(_LEITURA!$Q$2:$Q$21,17)=0),"",SUMIFS(DECKS!$D$2:$D$1201,DECKS!$A$2:$A$1201,INDEX(_LEITURA!$P$2:$P$21,17),DECKS!$B$2:$B$1201,$A34))</f>
        <v/>
      </c>
      <c r="AB34" s="19" t="str">
        <f aca="false">IF(OR($A34="",INDEX(_LEITURA!$Q$2:$Q$21,18)=0),"",SUMIFS(DECKS!$D$2:$D$1201,DECKS!$A$2:$A$1201,INDEX(_LEITURA!$P$2:$P$21,18),DECKS!$B$2:$B$1201,$A34))</f>
        <v/>
      </c>
      <c r="AC34" s="19" t="str">
        <f aca="false">IF(OR($A34="",INDEX(_LEITURA!$Q$2:$Q$21,19)=0),"",SUMIFS(DECKS!$D$2:$D$1201,DECKS!$A$2:$A$1201,INDEX(_LEITURA!$P$2:$P$21,19),DECKS!$B$2:$B$1201,$A34))</f>
        <v/>
      </c>
      <c r="AD34" s="19" t="str">
        <f aca="false">IF(OR($A34="",INDEX(_LEITURA!$Q$2:$Q$21,20)=0),"",SUMIFS(DECKS!$D$2:$D$1201,DECKS!$A$2:$A$1201,INDEX(_LEITURA!$P$2:$P$21,20),DECKS!$B$2:$B$1201,$A34))</f>
        <v/>
      </c>
      <c r="AE34" s="16" t="str">
        <f aca="false">IF(N(E34)&gt;0,MAX(AE$1:AE33)+1,"")</f>
        <v/>
      </c>
      <c r="AF34" s="11" t="str">
        <f aca="false">IF(A34="","",IFERROR(LEFT(A34,FIND("-",A34)-1),A34))</f>
        <v/>
      </c>
      <c r="AG34" s="11" t="str">
        <f aca="false">IF(AF34="","",IF(ISNUMBER(--MID(AF34,1,1)),0,IF(ISNUMBER(--MID(AF34,2,1)),1,IF(ISNUMBER(--MID(AF34,3,1)),2,IF(ISNUMBER(--MID(AF34,4,1)),3,MIN(LEN(AF34),4))))))</f>
        <v/>
      </c>
      <c r="AH34" s="11" t="str">
        <f aca="false">IF(A34="","",LEFT(AF34,AG34)&amp;REPT("0",4-AG34)&amp;RIGHT("000"&amp;IFERROR(VALUE(MID(AF34,AG34+1,9)),0),3)&amp;RIGHT("0000"&amp;IFERROR(VALUE(MID(A34,FIND("-",A34)+1,9)),0),4))</f>
        <v/>
      </c>
      <c r="AI34" s="11" t="str">
        <f aca="false">IF(OR(A34="",N(E34)&lt;=0),"",IF('FALTAS GERAL'!$M$1="Código","K"&amp;AH34&amp;RIGHT("00000"&amp;ROW(),5),IF('FALTAS GERAL'!$M$1="Nome","K"&amp;UPPER(SUBSTITUTE(SUBSTITUTE(SUBSTITUTE(B34,"*",""),"?",""),"~",""))&amp;"0"&amp;AH34&amp;RIGHT("00000"&amp;ROW(),5),IF('FALTAS GERAL'!$M$1="Falta (maior primeiro)","K"&amp;RIGHT("0000"&amp;(9999-E34),4)&amp;AH34&amp;RIGHT("00000"&amp;ROW(),5),IF('FALTAS GERAL'!$M$1="Nº de decks (maior primeiro)","K"&amp;RIGHT("00"&amp;(99-N(G34)),2)&amp;AH34&amp;RIGHT("00000"&amp;ROW(),5),"K"&amp;RIGHT("00000"&amp;ROW(),5))))))</f>
        <v/>
      </c>
      <c r="AJ34" s="11" t="str">
        <f aca="false">IF(AI34="","",COUNTIFS($AI$2:$AI$801,"&lt;"&amp;AI34,$E$2:$E$801,"&gt;0")+1)</f>
        <v/>
      </c>
      <c r="AK34" s="11" t="str">
        <f aca="false">IF(OR(A34="",N(E34)&lt;=0),"",COUNTIFS($AH$2:$AH$801,"&lt;"&amp;AH34,$E$2:$E$801,"&gt;0")+COUNTIFS($AH$2:AH34,AH34,$E$2:E34,"&gt;0"))</f>
        <v/>
      </c>
    </row>
    <row r="35" customFormat="false" ht="15" hidden="false" customHeight="false" outlineLevel="0" collapsed="false">
      <c r="A35" s="11" t="str">
        <f aca="false">IF(INVENTÁRIO!A35="","",INVENTÁRIO!A35)</f>
        <v/>
      </c>
      <c r="B35" s="11" t="str">
        <f aca="false">IF(A35="","",INVENTÁRIO!B35)</f>
        <v/>
      </c>
      <c r="C35" s="16" t="str">
        <f aca="false">IF(A35="","",INVENTÁRIO!C35)</f>
        <v/>
      </c>
      <c r="D35" s="14" t="str">
        <f aca="false">IF(A35="","",MAX(K35:AD35))</f>
        <v/>
      </c>
      <c r="E35" s="14" t="str">
        <f aca="false">IF(A35="","",MAX(0,D35-C35))</f>
        <v/>
      </c>
      <c r="F35" s="16" t="str">
        <f aca="false">IF(A35="","",IF(D35=0,"Fora dos decks",IF(E35=0,"Completo","Falta")))</f>
        <v/>
      </c>
      <c r="G35" s="16" t="str">
        <f aca="false">IF(A35="","",COUNTIF(K35:AD35,"&gt;0"))</f>
        <v/>
      </c>
      <c r="H35" s="16" t="str">
        <f aca="false">IF(A35="","",IF(G35&gt;1,"Sim",""))</f>
        <v/>
      </c>
      <c r="I35" s="18" t="str">
        <f aca="false">IF(A35="","",SUMIFS(DECKS!$D$2:$D$1201,DECKS!$B$2:$B$1201,A35))</f>
        <v/>
      </c>
      <c r="J35" s="18" t="str">
        <f aca="false">IF(A35="","",MAX(0,I35-C35))</f>
        <v/>
      </c>
      <c r="K35" s="19" t="str">
        <f aca="false">IF(OR($A35="",INDEX(_LEITURA!$Q$2:$Q$21,1)=0),"",SUMIFS(DECKS!$D$2:$D$1201,DECKS!$A$2:$A$1201,INDEX(_LEITURA!$P$2:$P$21,1),DECKS!$B$2:$B$1201,$A35))</f>
        <v/>
      </c>
      <c r="L35" s="19" t="str">
        <f aca="false">IF(OR($A35="",INDEX(_LEITURA!$Q$2:$Q$21,2)=0),"",SUMIFS(DECKS!$D$2:$D$1201,DECKS!$A$2:$A$1201,INDEX(_LEITURA!$P$2:$P$21,2),DECKS!$B$2:$B$1201,$A35))</f>
        <v/>
      </c>
      <c r="M35" s="19" t="str">
        <f aca="false">IF(OR($A35="",INDEX(_LEITURA!$Q$2:$Q$21,3)=0),"",SUMIFS(DECKS!$D$2:$D$1201,DECKS!$A$2:$A$1201,INDEX(_LEITURA!$P$2:$P$21,3),DECKS!$B$2:$B$1201,$A35))</f>
        <v/>
      </c>
      <c r="N35" s="19" t="str">
        <f aca="false">IF(OR($A35="",INDEX(_LEITURA!$Q$2:$Q$21,4)=0),"",SUMIFS(DECKS!$D$2:$D$1201,DECKS!$A$2:$A$1201,INDEX(_LEITURA!$P$2:$P$21,4),DECKS!$B$2:$B$1201,$A35))</f>
        <v/>
      </c>
      <c r="O35" s="19" t="str">
        <f aca="false">IF(OR($A35="",INDEX(_LEITURA!$Q$2:$Q$21,5)=0),"",SUMIFS(DECKS!$D$2:$D$1201,DECKS!$A$2:$A$1201,INDEX(_LEITURA!$P$2:$P$21,5),DECKS!$B$2:$B$1201,$A35))</f>
        <v/>
      </c>
      <c r="P35" s="19" t="str">
        <f aca="false">IF(OR($A35="",INDEX(_LEITURA!$Q$2:$Q$21,6)=0),"",SUMIFS(DECKS!$D$2:$D$1201,DECKS!$A$2:$A$1201,INDEX(_LEITURA!$P$2:$P$21,6),DECKS!$B$2:$B$1201,$A35))</f>
        <v/>
      </c>
      <c r="Q35" s="19" t="str">
        <f aca="false">IF(OR($A35="",INDEX(_LEITURA!$Q$2:$Q$21,7)=0),"",SUMIFS(DECKS!$D$2:$D$1201,DECKS!$A$2:$A$1201,INDEX(_LEITURA!$P$2:$P$21,7),DECKS!$B$2:$B$1201,$A35))</f>
        <v/>
      </c>
      <c r="R35" s="19" t="str">
        <f aca="false">IF(OR($A35="",INDEX(_LEITURA!$Q$2:$Q$21,8)=0),"",SUMIFS(DECKS!$D$2:$D$1201,DECKS!$A$2:$A$1201,INDEX(_LEITURA!$P$2:$P$21,8),DECKS!$B$2:$B$1201,$A35))</f>
        <v/>
      </c>
      <c r="S35" s="19" t="str">
        <f aca="false">IF(OR($A35="",INDEX(_LEITURA!$Q$2:$Q$21,9)=0),"",SUMIFS(DECKS!$D$2:$D$1201,DECKS!$A$2:$A$1201,INDEX(_LEITURA!$P$2:$P$21,9),DECKS!$B$2:$B$1201,$A35))</f>
        <v/>
      </c>
      <c r="T35" s="19" t="str">
        <f aca="false">IF(OR($A35="",INDEX(_LEITURA!$Q$2:$Q$21,10)=0),"",SUMIFS(DECKS!$D$2:$D$1201,DECKS!$A$2:$A$1201,INDEX(_LEITURA!$P$2:$P$21,10),DECKS!$B$2:$B$1201,$A35))</f>
        <v/>
      </c>
      <c r="U35" s="19" t="str">
        <f aca="false">IF(OR($A35="",INDEX(_LEITURA!$Q$2:$Q$21,11)=0),"",SUMIFS(DECKS!$D$2:$D$1201,DECKS!$A$2:$A$1201,INDEX(_LEITURA!$P$2:$P$21,11),DECKS!$B$2:$B$1201,$A35))</f>
        <v/>
      </c>
      <c r="V35" s="19" t="str">
        <f aca="false">IF(OR($A35="",INDEX(_LEITURA!$Q$2:$Q$21,12)=0),"",SUMIFS(DECKS!$D$2:$D$1201,DECKS!$A$2:$A$1201,INDEX(_LEITURA!$P$2:$P$21,12),DECKS!$B$2:$B$1201,$A35))</f>
        <v/>
      </c>
      <c r="W35" s="19" t="str">
        <f aca="false">IF(OR($A35="",INDEX(_LEITURA!$Q$2:$Q$21,13)=0),"",SUMIFS(DECKS!$D$2:$D$1201,DECKS!$A$2:$A$1201,INDEX(_LEITURA!$P$2:$P$21,13),DECKS!$B$2:$B$1201,$A35))</f>
        <v/>
      </c>
      <c r="X35" s="19" t="str">
        <f aca="false">IF(OR($A35="",INDEX(_LEITURA!$Q$2:$Q$21,14)=0),"",SUMIFS(DECKS!$D$2:$D$1201,DECKS!$A$2:$A$1201,INDEX(_LEITURA!$P$2:$P$21,14),DECKS!$B$2:$B$1201,$A35))</f>
        <v/>
      </c>
      <c r="Y35" s="19" t="str">
        <f aca="false">IF(OR($A35="",INDEX(_LEITURA!$Q$2:$Q$21,15)=0),"",SUMIFS(DECKS!$D$2:$D$1201,DECKS!$A$2:$A$1201,INDEX(_LEITURA!$P$2:$P$21,15),DECKS!$B$2:$B$1201,$A35))</f>
        <v/>
      </c>
      <c r="Z35" s="19" t="str">
        <f aca="false">IF(OR($A35="",INDEX(_LEITURA!$Q$2:$Q$21,16)=0),"",SUMIFS(DECKS!$D$2:$D$1201,DECKS!$A$2:$A$1201,INDEX(_LEITURA!$P$2:$P$21,16),DECKS!$B$2:$B$1201,$A35))</f>
        <v/>
      </c>
      <c r="AA35" s="19" t="str">
        <f aca="false">IF(OR($A35="",INDEX(_LEITURA!$Q$2:$Q$21,17)=0),"",SUMIFS(DECKS!$D$2:$D$1201,DECKS!$A$2:$A$1201,INDEX(_LEITURA!$P$2:$P$21,17),DECKS!$B$2:$B$1201,$A35))</f>
        <v/>
      </c>
      <c r="AB35" s="19" t="str">
        <f aca="false">IF(OR($A35="",INDEX(_LEITURA!$Q$2:$Q$21,18)=0),"",SUMIFS(DECKS!$D$2:$D$1201,DECKS!$A$2:$A$1201,INDEX(_LEITURA!$P$2:$P$21,18),DECKS!$B$2:$B$1201,$A35))</f>
        <v/>
      </c>
      <c r="AC35" s="19" t="str">
        <f aca="false">IF(OR($A35="",INDEX(_LEITURA!$Q$2:$Q$21,19)=0),"",SUMIFS(DECKS!$D$2:$D$1201,DECKS!$A$2:$A$1201,INDEX(_LEITURA!$P$2:$P$21,19),DECKS!$B$2:$B$1201,$A35))</f>
        <v/>
      </c>
      <c r="AD35" s="19" t="str">
        <f aca="false">IF(OR($A35="",INDEX(_LEITURA!$Q$2:$Q$21,20)=0),"",SUMIFS(DECKS!$D$2:$D$1201,DECKS!$A$2:$A$1201,INDEX(_LEITURA!$P$2:$P$21,20),DECKS!$B$2:$B$1201,$A35))</f>
        <v/>
      </c>
      <c r="AE35" s="16" t="str">
        <f aca="false">IF(N(E35)&gt;0,MAX(AE$1:AE34)+1,"")</f>
        <v/>
      </c>
      <c r="AF35" s="11" t="str">
        <f aca="false">IF(A35="","",IFERROR(LEFT(A35,FIND("-",A35)-1),A35))</f>
        <v/>
      </c>
      <c r="AG35" s="11" t="str">
        <f aca="false">IF(AF35="","",IF(ISNUMBER(--MID(AF35,1,1)),0,IF(ISNUMBER(--MID(AF35,2,1)),1,IF(ISNUMBER(--MID(AF35,3,1)),2,IF(ISNUMBER(--MID(AF35,4,1)),3,MIN(LEN(AF35),4))))))</f>
        <v/>
      </c>
      <c r="AH35" s="11" t="str">
        <f aca="false">IF(A35="","",LEFT(AF35,AG35)&amp;REPT("0",4-AG35)&amp;RIGHT("000"&amp;IFERROR(VALUE(MID(AF35,AG35+1,9)),0),3)&amp;RIGHT("0000"&amp;IFERROR(VALUE(MID(A35,FIND("-",A35)+1,9)),0),4))</f>
        <v/>
      </c>
      <c r="AI35" s="11" t="str">
        <f aca="false">IF(OR(A35="",N(E35)&lt;=0),"",IF('FALTAS GERAL'!$M$1="Código","K"&amp;AH35&amp;RIGHT("00000"&amp;ROW(),5),IF('FALTAS GERAL'!$M$1="Nome","K"&amp;UPPER(SUBSTITUTE(SUBSTITUTE(SUBSTITUTE(B35,"*",""),"?",""),"~",""))&amp;"0"&amp;AH35&amp;RIGHT("00000"&amp;ROW(),5),IF('FALTAS GERAL'!$M$1="Falta (maior primeiro)","K"&amp;RIGHT("0000"&amp;(9999-E35),4)&amp;AH35&amp;RIGHT("00000"&amp;ROW(),5),IF('FALTAS GERAL'!$M$1="Nº de decks (maior primeiro)","K"&amp;RIGHT("00"&amp;(99-N(G35)),2)&amp;AH35&amp;RIGHT("00000"&amp;ROW(),5),"K"&amp;RIGHT("00000"&amp;ROW(),5))))))</f>
        <v/>
      </c>
      <c r="AJ35" s="11" t="str">
        <f aca="false">IF(AI35="","",COUNTIFS($AI$2:$AI$801,"&lt;"&amp;AI35,$E$2:$E$801,"&gt;0")+1)</f>
        <v/>
      </c>
      <c r="AK35" s="11" t="str">
        <f aca="false">IF(OR(A35="",N(E35)&lt;=0),"",COUNTIFS($AH$2:$AH$801,"&lt;"&amp;AH35,$E$2:$E$801,"&gt;0")+COUNTIFS($AH$2:AH35,AH35,$E$2:E35,"&gt;0"))</f>
        <v/>
      </c>
    </row>
    <row r="36" customFormat="false" ht="15" hidden="false" customHeight="false" outlineLevel="0" collapsed="false">
      <c r="A36" s="11" t="str">
        <f aca="false">IF(INVENTÁRIO!A36="","",INVENTÁRIO!A36)</f>
        <v/>
      </c>
      <c r="B36" s="11" t="str">
        <f aca="false">IF(A36="","",INVENTÁRIO!B36)</f>
        <v/>
      </c>
      <c r="C36" s="16" t="str">
        <f aca="false">IF(A36="","",INVENTÁRIO!C36)</f>
        <v/>
      </c>
      <c r="D36" s="14" t="str">
        <f aca="false">IF(A36="","",MAX(K36:AD36))</f>
        <v/>
      </c>
      <c r="E36" s="14" t="str">
        <f aca="false">IF(A36="","",MAX(0,D36-C36))</f>
        <v/>
      </c>
      <c r="F36" s="16" t="str">
        <f aca="false">IF(A36="","",IF(D36=0,"Fora dos decks",IF(E36=0,"Completo","Falta")))</f>
        <v/>
      </c>
      <c r="G36" s="16" t="str">
        <f aca="false">IF(A36="","",COUNTIF(K36:AD36,"&gt;0"))</f>
        <v/>
      </c>
      <c r="H36" s="16" t="str">
        <f aca="false">IF(A36="","",IF(G36&gt;1,"Sim",""))</f>
        <v/>
      </c>
      <c r="I36" s="18" t="str">
        <f aca="false">IF(A36="","",SUMIFS(DECKS!$D$2:$D$1201,DECKS!$B$2:$B$1201,A36))</f>
        <v/>
      </c>
      <c r="J36" s="18" t="str">
        <f aca="false">IF(A36="","",MAX(0,I36-C36))</f>
        <v/>
      </c>
      <c r="K36" s="19" t="str">
        <f aca="false">IF(OR($A36="",INDEX(_LEITURA!$Q$2:$Q$21,1)=0),"",SUMIFS(DECKS!$D$2:$D$1201,DECKS!$A$2:$A$1201,INDEX(_LEITURA!$P$2:$P$21,1),DECKS!$B$2:$B$1201,$A36))</f>
        <v/>
      </c>
      <c r="L36" s="19" t="str">
        <f aca="false">IF(OR($A36="",INDEX(_LEITURA!$Q$2:$Q$21,2)=0),"",SUMIFS(DECKS!$D$2:$D$1201,DECKS!$A$2:$A$1201,INDEX(_LEITURA!$P$2:$P$21,2),DECKS!$B$2:$B$1201,$A36))</f>
        <v/>
      </c>
      <c r="M36" s="19" t="str">
        <f aca="false">IF(OR($A36="",INDEX(_LEITURA!$Q$2:$Q$21,3)=0),"",SUMIFS(DECKS!$D$2:$D$1201,DECKS!$A$2:$A$1201,INDEX(_LEITURA!$P$2:$P$21,3),DECKS!$B$2:$B$1201,$A36))</f>
        <v/>
      </c>
      <c r="N36" s="19" t="str">
        <f aca="false">IF(OR($A36="",INDEX(_LEITURA!$Q$2:$Q$21,4)=0),"",SUMIFS(DECKS!$D$2:$D$1201,DECKS!$A$2:$A$1201,INDEX(_LEITURA!$P$2:$P$21,4),DECKS!$B$2:$B$1201,$A36))</f>
        <v/>
      </c>
      <c r="O36" s="19" t="str">
        <f aca="false">IF(OR($A36="",INDEX(_LEITURA!$Q$2:$Q$21,5)=0),"",SUMIFS(DECKS!$D$2:$D$1201,DECKS!$A$2:$A$1201,INDEX(_LEITURA!$P$2:$P$21,5),DECKS!$B$2:$B$1201,$A36))</f>
        <v/>
      </c>
      <c r="P36" s="19" t="str">
        <f aca="false">IF(OR($A36="",INDEX(_LEITURA!$Q$2:$Q$21,6)=0),"",SUMIFS(DECKS!$D$2:$D$1201,DECKS!$A$2:$A$1201,INDEX(_LEITURA!$P$2:$P$21,6),DECKS!$B$2:$B$1201,$A36))</f>
        <v/>
      </c>
      <c r="Q36" s="19" t="str">
        <f aca="false">IF(OR($A36="",INDEX(_LEITURA!$Q$2:$Q$21,7)=0),"",SUMIFS(DECKS!$D$2:$D$1201,DECKS!$A$2:$A$1201,INDEX(_LEITURA!$P$2:$P$21,7),DECKS!$B$2:$B$1201,$A36))</f>
        <v/>
      </c>
      <c r="R36" s="19" t="str">
        <f aca="false">IF(OR($A36="",INDEX(_LEITURA!$Q$2:$Q$21,8)=0),"",SUMIFS(DECKS!$D$2:$D$1201,DECKS!$A$2:$A$1201,INDEX(_LEITURA!$P$2:$P$21,8),DECKS!$B$2:$B$1201,$A36))</f>
        <v/>
      </c>
      <c r="S36" s="19" t="str">
        <f aca="false">IF(OR($A36="",INDEX(_LEITURA!$Q$2:$Q$21,9)=0),"",SUMIFS(DECKS!$D$2:$D$1201,DECKS!$A$2:$A$1201,INDEX(_LEITURA!$P$2:$P$21,9),DECKS!$B$2:$B$1201,$A36))</f>
        <v/>
      </c>
      <c r="T36" s="19" t="str">
        <f aca="false">IF(OR($A36="",INDEX(_LEITURA!$Q$2:$Q$21,10)=0),"",SUMIFS(DECKS!$D$2:$D$1201,DECKS!$A$2:$A$1201,INDEX(_LEITURA!$P$2:$P$21,10),DECKS!$B$2:$B$1201,$A36))</f>
        <v/>
      </c>
      <c r="U36" s="19" t="str">
        <f aca="false">IF(OR($A36="",INDEX(_LEITURA!$Q$2:$Q$21,11)=0),"",SUMIFS(DECKS!$D$2:$D$1201,DECKS!$A$2:$A$1201,INDEX(_LEITURA!$P$2:$P$21,11),DECKS!$B$2:$B$1201,$A36))</f>
        <v/>
      </c>
      <c r="V36" s="19" t="str">
        <f aca="false">IF(OR($A36="",INDEX(_LEITURA!$Q$2:$Q$21,12)=0),"",SUMIFS(DECKS!$D$2:$D$1201,DECKS!$A$2:$A$1201,INDEX(_LEITURA!$P$2:$P$21,12),DECKS!$B$2:$B$1201,$A36))</f>
        <v/>
      </c>
      <c r="W36" s="19" t="str">
        <f aca="false">IF(OR($A36="",INDEX(_LEITURA!$Q$2:$Q$21,13)=0),"",SUMIFS(DECKS!$D$2:$D$1201,DECKS!$A$2:$A$1201,INDEX(_LEITURA!$P$2:$P$21,13),DECKS!$B$2:$B$1201,$A36))</f>
        <v/>
      </c>
      <c r="X36" s="19" t="str">
        <f aca="false">IF(OR($A36="",INDEX(_LEITURA!$Q$2:$Q$21,14)=0),"",SUMIFS(DECKS!$D$2:$D$1201,DECKS!$A$2:$A$1201,INDEX(_LEITURA!$P$2:$P$21,14),DECKS!$B$2:$B$1201,$A36))</f>
        <v/>
      </c>
      <c r="Y36" s="19" t="str">
        <f aca="false">IF(OR($A36="",INDEX(_LEITURA!$Q$2:$Q$21,15)=0),"",SUMIFS(DECKS!$D$2:$D$1201,DECKS!$A$2:$A$1201,INDEX(_LEITURA!$P$2:$P$21,15),DECKS!$B$2:$B$1201,$A36))</f>
        <v/>
      </c>
      <c r="Z36" s="19" t="str">
        <f aca="false">IF(OR($A36="",INDEX(_LEITURA!$Q$2:$Q$21,16)=0),"",SUMIFS(DECKS!$D$2:$D$1201,DECKS!$A$2:$A$1201,INDEX(_LEITURA!$P$2:$P$21,16),DECKS!$B$2:$B$1201,$A36))</f>
        <v/>
      </c>
      <c r="AA36" s="19" t="str">
        <f aca="false">IF(OR($A36="",INDEX(_LEITURA!$Q$2:$Q$21,17)=0),"",SUMIFS(DECKS!$D$2:$D$1201,DECKS!$A$2:$A$1201,INDEX(_LEITURA!$P$2:$P$21,17),DECKS!$B$2:$B$1201,$A36))</f>
        <v/>
      </c>
      <c r="AB36" s="19" t="str">
        <f aca="false">IF(OR($A36="",INDEX(_LEITURA!$Q$2:$Q$21,18)=0),"",SUMIFS(DECKS!$D$2:$D$1201,DECKS!$A$2:$A$1201,INDEX(_LEITURA!$P$2:$P$21,18),DECKS!$B$2:$B$1201,$A36))</f>
        <v/>
      </c>
      <c r="AC36" s="19" t="str">
        <f aca="false">IF(OR($A36="",INDEX(_LEITURA!$Q$2:$Q$21,19)=0),"",SUMIFS(DECKS!$D$2:$D$1201,DECKS!$A$2:$A$1201,INDEX(_LEITURA!$P$2:$P$21,19),DECKS!$B$2:$B$1201,$A36))</f>
        <v/>
      </c>
      <c r="AD36" s="19" t="str">
        <f aca="false">IF(OR($A36="",INDEX(_LEITURA!$Q$2:$Q$21,20)=0),"",SUMIFS(DECKS!$D$2:$D$1201,DECKS!$A$2:$A$1201,INDEX(_LEITURA!$P$2:$P$21,20),DECKS!$B$2:$B$1201,$A36))</f>
        <v/>
      </c>
      <c r="AE36" s="16" t="str">
        <f aca="false">IF(N(E36)&gt;0,MAX(AE$1:AE35)+1,"")</f>
        <v/>
      </c>
      <c r="AF36" s="11" t="str">
        <f aca="false">IF(A36="","",IFERROR(LEFT(A36,FIND("-",A36)-1),A36))</f>
        <v/>
      </c>
      <c r="AG36" s="11" t="str">
        <f aca="false">IF(AF36="","",IF(ISNUMBER(--MID(AF36,1,1)),0,IF(ISNUMBER(--MID(AF36,2,1)),1,IF(ISNUMBER(--MID(AF36,3,1)),2,IF(ISNUMBER(--MID(AF36,4,1)),3,MIN(LEN(AF36),4))))))</f>
        <v/>
      </c>
      <c r="AH36" s="11" t="str">
        <f aca="false">IF(A36="","",LEFT(AF36,AG36)&amp;REPT("0",4-AG36)&amp;RIGHT("000"&amp;IFERROR(VALUE(MID(AF36,AG36+1,9)),0),3)&amp;RIGHT("0000"&amp;IFERROR(VALUE(MID(A36,FIND("-",A36)+1,9)),0),4))</f>
        <v/>
      </c>
      <c r="AI36" s="11" t="str">
        <f aca="false">IF(OR(A36="",N(E36)&lt;=0),"",IF('FALTAS GERAL'!$M$1="Código","K"&amp;AH36&amp;RIGHT("00000"&amp;ROW(),5),IF('FALTAS GERAL'!$M$1="Nome","K"&amp;UPPER(SUBSTITUTE(SUBSTITUTE(SUBSTITUTE(B36,"*",""),"?",""),"~",""))&amp;"0"&amp;AH36&amp;RIGHT("00000"&amp;ROW(),5),IF('FALTAS GERAL'!$M$1="Falta (maior primeiro)","K"&amp;RIGHT("0000"&amp;(9999-E36),4)&amp;AH36&amp;RIGHT("00000"&amp;ROW(),5),IF('FALTAS GERAL'!$M$1="Nº de decks (maior primeiro)","K"&amp;RIGHT("00"&amp;(99-N(G36)),2)&amp;AH36&amp;RIGHT("00000"&amp;ROW(),5),"K"&amp;RIGHT("00000"&amp;ROW(),5))))))</f>
        <v/>
      </c>
      <c r="AJ36" s="11" t="str">
        <f aca="false">IF(AI36="","",COUNTIFS($AI$2:$AI$801,"&lt;"&amp;AI36,$E$2:$E$801,"&gt;0")+1)</f>
        <v/>
      </c>
      <c r="AK36" s="11" t="str">
        <f aca="false">IF(OR(A36="",N(E36)&lt;=0),"",COUNTIFS($AH$2:$AH$801,"&lt;"&amp;AH36,$E$2:$E$801,"&gt;0")+COUNTIFS($AH$2:AH36,AH36,$E$2:E36,"&gt;0"))</f>
        <v/>
      </c>
    </row>
    <row r="37" customFormat="false" ht="15" hidden="false" customHeight="false" outlineLevel="0" collapsed="false">
      <c r="A37" s="11" t="str">
        <f aca="false">IF(INVENTÁRIO!A37="","",INVENTÁRIO!A37)</f>
        <v/>
      </c>
      <c r="B37" s="11" t="str">
        <f aca="false">IF(A37="","",INVENTÁRIO!B37)</f>
        <v/>
      </c>
      <c r="C37" s="16" t="str">
        <f aca="false">IF(A37="","",INVENTÁRIO!C37)</f>
        <v/>
      </c>
      <c r="D37" s="14" t="str">
        <f aca="false">IF(A37="","",MAX(K37:AD37))</f>
        <v/>
      </c>
      <c r="E37" s="14" t="str">
        <f aca="false">IF(A37="","",MAX(0,D37-C37))</f>
        <v/>
      </c>
      <c r="F37" s="16" t="str">
        <f aca="false">IF(A37="","",IF(D37=0,"Fora dos decks",IF(E37=0,"Completo","Falta")))</f>
        <v/>
      </c>
      <c r="G37" s="16" t="str">
        <f aca="false">IF(A37="","",COUNTIF(K37:AD37,"&gt;0"))</f>
        <v/>
      </c>
      <c r="H37" s="16" t="str">
        <f aca="false">IF(A37="","",IF(G37&gt;1,"Sim",""))</f>
        <v/>
      </c>
      <c r="I37" s="18" t="str">
        <f aca="false">IF(A37="","",SUMIFS(DECKS!$D$2:$D$1201,DECKS!$B$2:$B$1201,A37))</f>
        <v/>
      </c>
      <c r="J37" s="18" t="str">
        <f aca="false">IF(A37="","",MAX(0,I37-C37))</f>
        <v/>
      </c>
      <c r="K37" s="19" t="str">
        <f aca="false">IF(OR($A37="",INDEX(_LEITURA!$Q$2:$Q$21,1)=0),"",SUMIFS(DECKS!$D$2:$D$1201,DECKS!$A$2:$A$1201,INDEX(_LEITURA!$P$2:$P$21,1),DECKS!$B$2:$B$1201,$A37))</f>
        <v/>
      </c>
      <c r="L37" s="19" t="str">
        <f aca="false">IF(OR($A37="",INDEX(_LEITURA!$Q$2:$Q$21,2)=0),"",SUMIFS(DECKS!$D$2:$D$1201,DECKS!$A$2:$A$1201,INDEX(_LEITURA!$P$2:$P$21,2),DECKS!$B$2:$B$1201,$A37))</f>
        <v/>
      </c>
      <c r="M37" s="19" t="str">
        <f aca="false">IF(OR($A37="",INDEX(_LEITURA!$Q$2:$Q$21,3)=0),"",SUMIFS(DECKS!$D$2:$D$1201,DECKS!$A$2:$A$1201,INDEX(_LEITURA!$P$2:$P$21,3),DECKS!$B$2:$B$1201,$A37))</f>
        <v/>
      </c>
      <c r="N37" s="19" t="str">
        <f aca="false">IF(OR($A37="",INDEX(_LEITURA!$Q$2:$Q$21,4)=0),"",SUMIFS(DECKS!$D$2:$D$1201,DECKS!$A$2:$A$1201,INDEX(_LEITURA!$P$2:$P$21,4),DECKS!$B$2:$B$1201,$A37))</f>
        <v/>
      </c>
      <c r="O37" s="19" t="str">
        <f aca="false">IF(OR($A37="",INDEX(_LEITURA!$Q$2:$Q$21,5)=0),"",SUMIFS(DECKS!$D$2:$D$1201,DECKS!$A$2:$A$1201,INDEX(_LEITURA!$P$2:$P$21,5),DECKS!$B$2:$B$1201,$A37))</f>
        <v/>
      </c>
      <c r="P37" s="19" t="str">
        <f aca="false">IF(OR($A37="",INDEX(_LEITURA!$Q$2:$Q$21,6)=0),"",SUMIFS(DECKS!$D$2:$D$1201,DECKS!$A$2:$A$1201,INDEX(_LEITURA!$P$2:$P$21,6),DECKS!$B$2:$B$1201,$A37))</f>
        <v/>
      </c>
      <c r="Q37" s="19" t="str">
        <f aca="false">IF(OR($A37="",INDEX(_LEITURA!$Q$2:$Q$21,7)=0),"",SUMIFS(DECKS!$D$2:$D$1201,DECKS!$A$2:$A$1201,INDEX(_LEITURA!$P$2:$P$21,7),DECKS!$B$2:$B$1201,$A37))</f>
        <v/>
      </c>
      <c r="R37" s="19" t="str">
        <f aca="false">IF(OR($A37="",INDEX(_LEITURA!$Q$2:$Q$21,8)=0),"",SUMIFS(DECKS!$D$2:$D$1201,DECKS!$A$2:$A$1201,INDEX(_LEITURA!$P$2:$P$21,8),DECKS!$B$2:$B$1201,$A37))</f>
        <v/>
      </c>
      <c r="S37" s="19" t="str">
        <f aca="false">IF(OR($A37="",INDEX(_LEITURA!$Q$2:$Q$21,9)=0),"",SUMIFS(DECKS!$D$2:$D$1201,DECKS!$A$2:$A$1201,INDEX(_LEITURA!$P$2:$P$21,9),DECKS!$B$2:$B$1201,$A37))</f>
        <v/>
      </c>
      <c r="T37" s="19" t="str">
        <f aca="false">IF(OR($A37="",INDEX(_LEITURA!$Q$2:$Q$21,10)=0),"",SUMIFS(DECKS!$D$2:$D$1201,DECKS!$A$2:$A$1201,INDEX(_LEITURA!$P$2:$P$21,10),DECKS!$B$2:$B$1201,$A37))</f>
        <v/>
      </c>
      <c r="U37" s="19" t="str">
        <f aca="false">IF(OR($A37="",INDEX(_LEITURA!$Q$2:$Q$21,11)=0),"",SUMIFS(DECKS!$D$2:$D$1201,DECKS!$A$2:$A$1201,INDEX(_LEITURA!$P$2:$P$21,11),DECKS!$B$2:$B$1201,$A37))</f>
        <v/>
      </c>
      <c r="V37" s="19" t="str">
        <f aca="false">IF(OR($A37="",INDEX(_LEITURA!$Q$2:$Q$21,12)=0),"",SUMIFS(DECKS!$D$2:$D$1201,DECKS!$A$2:$A$1201,INDEX(_LEITURA!$P$2:$P$21,12),DECKS!$B$2:$B$1201,$A37))</f>
        <v/>
      </c>
      <c r="W37" s="19" t="str">
        <f aca="false">IF(OR($A37="",INDEX(_LEITURA!$Q$2:$Q$21,13)=0),"",SUMIFS(DECKS!$D$2:$D$1201,DECKS!$A$2:$A$1201,INDEX(_LEITURA!$P$2:$P$21,13),DECKS!$B$2:$B$1201,$A37))</f>
        <v/>
      </c>
      <c r="X37" s="19" t="str">
        <f aca="false">IF(OR($A37="",INDEX(_LEITURA!$Q$2:$Q$21,14)=0),"",SUMIFS(DECKS!$D$2:$D$1201,DECKS!$A$2:$A$1201,INDEX(_LEITURA!$P$2:$P$21,14),DECKS!$B$2:$B$1201,$A37))</f>
        <v/>
      </c>
      <c r="Y37" s="19" t="str">
        <f aca="false">IF(OR($A37="",INDEX(_LEITURA!$Q$2:$Q$21,15)=0),"",SUMIFS(DECKS!$D$2:$D$1201,DECKS!$A$2:$A$1201,INDEX(_LEITURA!$P$2:$P$21,15),DECKS!$B$2:$B$1201,$A37))</f>
        <v/>
      </c>
      <c r="Z37" s="19" t="str">
        <f aca="false">IF(OR($A37="",INDEX(_LEITURA!$Q$2:$Q$21,16)=0),"",SUMIFS(DECKS!$D$2:$D$1201,DECKS!$A$2:$A$1201,INDEX(_LEITURA!$P$2:$P$21,16),DECKS!$B$2:$B$1201,$A37))</f>
        <v/>
      </c>
      <c r="AA37" s="19" t="str">
        <f aca="false">IF(OR($A37="",INDEX(_LEITURA!$Q$2:$Q$21,17)=0),"",SUMIFS(DECKS!$D$2:$D$1201,DECKS!$A$2:$A$1201,INDEX(_LEITURA!$P$2:$P$21,17),DECKS!$B$2:$B$1201,$A37))</f>
        <v/>
      </c>
      <c r="AB37" s="19" t="str">
        <f aca="false">IF(OR($A37="",INDEX(_LEITURA!$Q$2:$Q$21,18)=0),"",SUMIFS(DECKS!$D$2:$D$1201,DECKS!$A$2:$A$1201,INDEX(_LEITURA!$P$2:$P$21,18),DECKS!$B$2:$B$1201,$A37))</f>
        <v/>
      </c>
      <c r="AC37" s="19" t="str">
        <f aca="false">IF(OR($A37="",INDEX(_LEITURA!$Q$2:$Q$21,19)=0),"",SUMIFS(DECKS!$D$2:$D$1201,DECKS!$A$2:$A$1201,INDEX(_LEITURA!$P$2:$P$21,19),DECKS!$B$2:$B$1201,$A37))</f>
        <v/>
      </c>
      <c r="AD37" s="19" t="str">
        <f aca="false">IF(OR($A37="",INDEX(_LEITURA!$Q$2:$Q$21,20)=0),"",SUMIFS(DECKS!$D$2:$D$1201,DECKS!$A$2:$A$1201,INDEX(_LEITURA!$P$2:$P$21,20),DECKS!$B$2:$B$1201,$A37))</f>
        <v/>
      </c>
      <c r="AE37" s="16" t="str">
        <f aca="false">IF(N(E37)&gt;0,MAX(AE$1:AE36)+1,"")</f>
        <v/>
      </c>
      <c r="AF37" s="11" t="str">
        <f aca="false">IF(A37="","",IFERROR(LEFT(A37,FIND("-",A37)-1),A37))</f>
        <v/>
      </c>
      <c r="AG37" s="11" t="str">
        <f aca="false">IF(AF37="","",IF(ISNUMBER(--MID(AF37,1,1)),0,IF(ISNUMBER(--MID(AF37,2,1)),1,IF(ISNUMBER(--MID(AF37,3,1)),2,IF(ISNUMBER(--MID(AF37,4,1)),3,MIN(LEN(AF37),4))))))</f>
        <v/>
      </c>
      <c r="AH37" s="11" t="str">
        <f aca="false">IF(A37="","",LEFT(AF37,AG37)&amp;REPT("0",4-AG37)&amp;RIGHT("000"&amp;IFERROR(VALUE(MID(AF37,AG37+1,9)),0),3)&amp;RIGHT("0000"&amp;IFERROR(VALUE(MID(A37,FIND("-",A37)+1,9)),0),4))</f>
        <v/>
      </c>
      <c r="AI37" s="11" t="str">
        <f aca="false">IF(OR(A37="",N(E37)&lt;=0),"",IF('FALTAS GERAL'!$M$1="Código","K"&amp;AH37&amp;RIGHT("00000"&amp;ROW(),5),IF('FALTAS GERAL'!$M$1="Nome","K"&amp;UPPER(SUBSTITUTE(SUBSTITUTE(SUBSTITUTE(B37,"*",""),"?",""),"~",""))&amp;"0"&amp;AH37&amp;RIGHT("00000"&amp;ROW(),5),IF('FALTAS GERAL'!$M$1="Falta (maior primeiro)","K"&amp;RIGHT("0000"&amp;(9999-E37),4)&amp;AH37&amp;RIGHT("00000"&amp;ROW(),5),IF('FALTAS GERAL'!$M$1="Nº de decks (maior primeiro)","K"&amp;RIGHT("00"&amp;(99-N(G37)),2)&amp;AH37&amp;RIGHT("00000"&amp;ROW(),5),"K"&amp;RIGHT("00000"&amp;ROW(),5))))))</f>
        <v/>
      </c>
      <c r="AJ37" s="11" t="str">
        <f aca="false">IF(AI37="","",COUNTIFS($AI$2:$AI$801,"&lt;"&amp;AI37,$E$2:$E$801,"&gt;0")+1)</f>
        <v/>
      </c>
      <c r="AK37" s="11" t="str">
        <f aca="false">IF(OR(A37="",N(E37)&lt;=0),"",COUNTIFS($AH$2:$AH$801,"&lt;"&amp;AH37,$E$2:$E$801,"&gt;0")+COUNTIFS($AH$2:AH37,AH37,$E$2:E37,"&gt;0"))</f>
        <v/>
      </c>
    </row>
    <row r="38" customFormat="false" ht="15" hidden="false" customHeight="false" outlineLevel="0" collapsed="false">
      <c r="A38" s="11" t="str">
        <f aca="false">IF(INVENTÁRIO!A38="","",INVENTÁRIO!A38)</f>
        <v/>
      </c>
      <c r="B38" s="11" t="str">
        <f aca="false">IF(A38="","",INVENTÁRIO!B38)</f>
        <v/>
      </c>
      <c r="C38" s="16" t="str">
        <f aca="false">IF(A38="","",INVENTÁRIO!C38)</f>
        <v/>
      </c>
      <c r="D38" s="14" t="str">
        <f aca="false">IF(A38="","",MAX(K38:AD38))</f>
        <v/>
      </c>
      <c r="E38" s="14" t="str">
        <f aca="false">IF(A38="","",MAX(0,D38-C38))</f>
        <v/>
      </c>
      <c r="F38" s="16" t="str">
        <f aca="false">IF(A38="","",IF(D38=0,"Fora dos decks",IF(E38=0,"Completo","Falta")))</f>
        <v/>
      </c>
      <c r="G38" s="16" t="str">
        <f aca="false">IF(A38="","",COUNTIF(K38:AD38,"&gt;0"))</f>
        <v/>
      </c>
      <c r="H38" s="16" t="str">
        <f aca="false">IF(A38="","",IF(G38&gt;1,"Sim",""))</f>
        <v/>
      </c>
      <c r="I38" s="18" t="str">
        <f aca="false">IF(A38="","",SUMIFS(DECKS!$D$2:$D$1201,DECKS!$B$2:$B$1201,A38))</f>
        <v/>
      </c>
      <c r="J38" s="18" t="str">
        <f aca="false">IF(A38="","",MAX(0,I38-C38))</f>
        <v/>
      </c>
      <c r="K38" s="19" t="str">
        <f aca="false">IF(OR($A38="",INDEX(_LEITURA!$Q$2:$Q$21,1)=0),"",SUMIFS(DECKS!$D$2:$D$1201,DECKS!$A$2:$A$1201,INDEX(_LEITURA!$P$2:$P$21,1),DECKS!$B$2:$B$1201,$A38))</f>
        <v/>
      </c>
      <c r="L38" s="19" t="str">
        <f aca="false">IF(OR($A38="",INDEX(_LEITURA!$Q$2:$Q$21,2)=0),"",SUMIFS(DECKS!$D$2:$D$1201,DECKS!$A$2:$A$1201,INDEX(_LEITURA!$P$2:$P$21,2),DECKS!$B$2:$B$1201,$A38))</f>
        <v/>
      </c>
      <c r="M38" s="19" t="str">
        <f aca="false">IF(OR($A38="",INDEX(_LEITURA!$Q$2:$Q$21,3)=0),"",SUMIFS(DECKS!$D$2:$D$1201,DECKS!$A$2:$A$1201,INDEX(_LEITURA!$P$2:$P$21,3),DECKS!$B$2:$B$1201,$A38))</f>
        <v/>
      </c>
      <c r="N38" s="19" t="str">
        <f aca="false">IF(OR($A38="",INDEX(_LEITURA!$Q$2:$Q$21,4)=0),"",SUMIFS(DECKS!$D$2:$D$1201,DECKS!$A$2:$A$1201,INDEX(_LEITURA!$P$2:$P$21,4),DECKS!$B$2:$B$1201,$A38))</f>
        <v/>
      </c>
      <c r="O38" s="19" t="str">
        <f aca="false">IF(OR($A38="",INDEX(_LEITURA!$Q$2:$Q$21,5)=0),"",SUMIFS(DECKS!$D$2:$D$1201,DECKS!$A$2:$A$1201,INDEX(_LEITURA!$P$2:$P$21,5),DECKS!$B$2:$B$1201,$A38))</f>
        <v/>
      </c>
      <c r="P38" s="19" t="str">
        <f aca="false">IF(OR($A38="",INDEX(_LEITURA!$Q$2:$Q$21,6)=0),"",SUMIFS(DECKS!$D$2:$D$1201,DECKS!$A$2:$A$1201,INDEX(_LEITURA!$P$2:$P$21,6),DECKS!$B$2:$B$1201,$A38))</f>
        <v/>
      </c>
      <c r="Q38" s="19" t="str">
        <f aca="false">IF(OR($A38="",INDEX(_LEITURA!$Q$2:$Q$21,7)=0),"",SUMIFS(DECKS!$D$2:$D$1201,DECKS!$A$2:$A$1201,INDEX(_LEITURA!$P$2:$P$21,7),DECKS!$B$2:$B$1201,$A38))</f>
        <v/>
      </c>
      <c r="R38" s="19" t="str">
        <f aca="false">IF(OR($A38="",INDEX(_LEITURA!$Q$2:$Q$21,8)=0),"",SUMIFS(DECKS!$D$2:$D$1201,DECKS!$A$2:$A$1201,INDEX(_LEITURA!$P$2:$P$21,8),DECKS!$B$2:$B$1201,$A38))</f>
        <v/>
      </c>
      <c r="S38" s="19" t="str">
        <f aca="false">IF(OR($A38="",INDEX(_LEITURA!$Q$2:$Q$21,9)=0),"",SUMIFS(DECKS!$D$2:$D$1201,DECKS!$A$2:$A$1201,INDEX(_LEITURA!$P$2:$P$21,9),DECKS!$B$2:$B$1201,$A38))</f>
        <v/>
      </c>
      <c r="T38" s="19" t="str">
        <f aca="false">IF(OR($A38="",INDEX(_LEITURA!$Q$2:$Q$21,10)=0),"",SUMIFS(DECKS!$D$2:$D$1201,DECKS!$A$2:$A$1201,INDEX(_LEITURA!$P$2:$P$21,10),DECKS!$B$2:$B$1201,$A38))</f>
        <v/>
      </c>
      <c r="U38" s="19" t="str">
        <f aca="false">IF(OR($A38="",INDEX(_LEITURA!$Q$2:$Q$21,11)=0),"",SUMIFS(DECKS!$D$2:$D$1201,DECKS!$A$2:$A$1201,INDEX(_LEITURA!$P$2:$P$21,11),DECKS!$B$2:$B$1201,$A38))</f>
        <v/>
      </c>
      <c r="V38" s="19" t="str">
        <f aca="false">IF(OR($A38="",INDEX(_LEITURA!$Q$2:$Q$21,12)=0),"",SUMIFS(DECKS!$D$2:$D$1201,DECKS!$A$2:$A$1201,INDEX(_LEITURA!$P$2:$P$21,12),DECKS!$B$2:$B$1201,$A38))</f>
        <v/>
      </c>
      <c r="W38" s="19" t="str">
        <f aca="false">IF(OR($A38="",INDEX(_LEITURA!$Q$2:$Q$21,13)=0),"",SUMIFS(DECKS!$D$2:$D$1201,DECKS!$A$2:$A$1201,INDEX(_LEITURA!$P$2:$P$21,13),DECKS!$B$2:$B$1201,$A38))</f>
        <v/>
      </c>
      <c r="X38" s="19" t="str">
        <f aca="false">IF(OR($A38="",INDEX(_LEITURA!$Q$2:$Q$21,14)=0),"",SUMIFS(DECKS!$D$2:$D$1201,DECKS!$A$2:$A$1201,INDEX(_LEITURA!$P$2:$P$21,14),DECKS!$B$2:$B$1201,$A38))</f>
        <v/>
      </c>
      <c r="Y38" s="19" t="str">
        <f aca="false">IF(OR($A38="",INDEX(_LEITURA!$Q$2:$Q$21,15)=0),"",SUMIFS(DECKS!$D$2:$D$1201,DECKS!$A$2:$A$1201,INDEX(_LEITURA!$P$2:$P$21,15),DECKS!$B$2:$B$1201,$A38))</f>
        <v/>
      </c>
      <c r="Z38" s="19" t="str">
        <f aca="false">IF(OR($A38="",INDEX(_LEITURA!$Q$2:$Q$21,16)=0),"",SUMIFS(DECKS!$D$2:$D$1201,DECKS!$A$2:$A$1201,INDEX(_LEITURA!$P$2:$P$21,16),DECKS!$B$2:$B$1201,$A38))</f>
        <v/>
      </c>
      <c r="AA38" s="19" t="str">
        <f aca="false">IF(OR($A38="",INDEX(_LEITURA!$Q$2:$Q$21,17)=0),"",SUMIFS(DECKS!$D$2:$D$1201,DECKS!$A$2:$A$1201,INDEX(_LEITURA!$P$2:$P$21,17),DECKS!$B$2:$B$1201,$A38))</f>
        <v/>
      </c>
      <c r="AB38" s="19" t="str">
        <f aca="false">IF(OR($A38="",INDEX(_LEITURA!$Q$2:$Q$21,18)=0),"",SUMIFS(DECKS!$D$2:$D$1201,DECKS!$A$2:$A$1201,INDEX(_LEITURA!$P$2:$P$21,18),DECKS!$B$2:$B$1201,$A38))</f>
        <v/>
      </c>
      <c r="AC38" s="19" t="str">
        <f aca="false">IF(OR($A38="",INDEX(_LEITURA!$Q$2:$Q$21,19)=0),"",SUMIFS(DECKS!$D$2:$D$1201,DECKS!$A$2:$A$1201,INDEX(_LEITURA!$P$2:$P$21,19),DECKS!$B$2:$B$1201,$A38))</f>
        <v/>
      </c>
      <c r="AD38" s="19" t="str">
        <f aca="false">IF(OR($A38="",INDEX(_LEITURA!$Q$2:$Q$21,20)=0),"",SUMIFS(DECKS!$D$2:$D$1201,DECKS!$A$2:$A$1201,INDEX(_LEITURA!$P$2:$P$21,20),DECKS!$B$2:$B$1201,$A38))</f>
        <v/>
      </c>
      <c r="AE38" s="16" t="str">
        <f aca="false">IF(N(E38)&gt;0,MAX(AE$1:AE37)+1,"")</f>
        <v/>
      </c>
      <c r="AF38" s="11" t="str">
        <f aca="false">IF(A38="","",IFERROR(LEFT(A38,FIND("-",A38)-1),A38))</f>
        <v/>
      </c>
      <c r="AG38" s="11" t="str">
        <f aca="false">IF(AF38="","",IF(ISNUMBER(--MID(AF38,1,1)),0,IF(ISNUMBER(--MID(AF38,2,1)),1,IF(ISNUMBER(--MID(AF38,3,1)),2,IF(ISNUMBER(--MID(AF38,4,1)),3,MIN(LEN(AF38),4))))))</f>
        <v/>
      </c>
      <c r="AH38" s="11" t="str">
        <f aca="false">IF(A38="","",LEFT(AF38,AG38)&amp;REPT("0",4-AG38)&amp;RIGHT("000"&amp;IFERROR(VALUE(MID(AF38,AG38+1,9)),0),3)&amp;RIGHT("0000"&amp;IFERROR(VALUE(MID(A38,FIND("-",A38)+1,9)),0),4))</f>
        <v/>
      </c>
      <c r="AI38" s="11" t="str">
        <f aca="false">IF(OR(A38="",N(E38)&lt;=0),"",IF('FALTAS GERAL'!$M$1="Código","K"&amp;AH38&amp;RIGHT("00000"&amp;ROW(),5),IF('FALTAS GERAL'!$M$1="Nome","K"&amp;UPPER(SUBSTITUTE(SUBSTITUTE(SUBSTITUTE(B38,"*",""),"?",""),"~",""))&amp;"0"&amp;AH38&amp;RIGHT("00000"&amp;ROW(),5),IF('FALTAS GERAL'!$M$1="Falta (maior primeiro)","K"&amp;RIGHT("0000"&amp;(9999-E38),4)&amp;AH38&amp;RIGHT("00000"&amp;ROW(),5),IF('FALTAS GERAL'!$M$1="Nº de decks (maior primeiro)","K"&amp;RIGHT("00"&amp;(99-N(G38)),2)&amp;AH38&amp;RIGHT("00000"&amp;ROW(),5),"K"&amp;RIGHT("00000"&amp;ROW(),5))))))</f>
        <v/>
      </c>
      <c r="AJ38" s="11" t="str">
        <f aca="false">IF(AI38="","",COUNTIFS($AI$2:$AI$801,"&lt;"&amp;AI38,$E$2:$E$801,"&gt;0")+1)</f>
        <v/>
      </c>
      <c r="AK38" s="11" t="str">
        <f aca="false">IF(OR(A38="",N(E38)&lt;=0),"",COUNTIFS($AH$2:$AH$801,"&lt;"&amp;AH38,$E$2:$E$801,"&gt;0")+COUNTIFS($AH$2:AH38,AH38,$E$2:E38,"&gt;0"))</f>
        <v/>
      </c>
    </row>
    <row r="39" customFormat="false" ht="15" hidden="false" customHeight="false" outlineLevel="0" collapsed="false">
      <c r="A39" s="11" t="str">
        <f aca="false">IF(INVENTÁRIO!A39="","",INVENTÁRIO!A39)</f>
        <v/>
      </c>
      <c r="B39" s="11" t="str">
        <f aca="false">IF(A39="","",INVENTÁRIO!B39)</f>
        <v/>
      </c>
      <c r="C39" s="16" t="str">
        <f aca="false">IF(A39="","",INVENTÁRIO!C39)</f>
        <v/>
      </c>
      <c r="D39" s="14" t="str">
        <f aca="false">IF(A39="","",MAX(K39:AD39))</f>
        <v/>
      </c>
      <c r="E39" s="14" t="str">
        <f aca="false">IF(A39="","",MAX(0,D39-C39))</f>
        <v/>
      </c>
      <c r="F39" s="16" t="str">
        <f aca="false">IF(A39="","",IF(D39=0,"Fora dos decks",IF(E39=0,"Completo","Falta")))</f>
        <v/>
      </c>
      <c r="G39" s="16" t="str">
        <f aca="false">IF(A39="","",COUNTIF(K39:AD39,"&gt;0"))</f>
        <v/>
      </c>
      <c r="H39" s="16" t="str">
        <f aca="false">IF(A39="","",IF(G39&gt;1,"Sim",""))</f>
        <v/>
      </c>
      <c r="I39" s="18" t="str">
        <f aca="false">IF(A39="","",SUMIFS(DECKS!$D$2:$D$1201,DECKS!$B$2:$B$1201,A39))</f>
        <v/>
      </c>
      <c r="J39" s="18" t="str">
        <f aca="false">IF(A39="","",MAX(0,I39-C39))</f>
        <v/>
      </c>
      <c r="K39" s="19" t="str">
        <f aca="false">IF(OR($A39="",INDEX(_LEITURA!$Q$2:$Q$21,1)=0),"",SUMIFS(DECKS!$D$2:$D$1201,DECKS!$A$2:$A$1201,INDEX(_LEITURA!$P$2:$P$21,1),DECKS!$B$2:$B$1201,$A39))</f>
        <v/>
      </c>
      <c r="L39" s="19" t="str">
        <f aca="false">IF(OR($A39="",INDEX(_LEITURA!$Q$2:$Q$21,2)=0),"",SUMIFS(DECKS!$D$2:$D$1201,DECKS!$A$2:$A$1201,INDEX(_LEITURA!$P$2:$P$21,2),DECKS!$B$2:$B$1201,$A39))</f>
        <v/>
      </c>
      <c r="M39" s="19" t="str">
        <f aca="false">IF(OR($A39="",INDEX(_LEITURA!$Q$2:$Q$21,3)=0),"",SUMIFS(DECKS!$D$2:$D$1201,DECKS!$A$2:$A$1201,INDEX(_LEITURA!$P$2:$P$21,3),DECKS!$B$2:$B$1201,$A39))</f>
        <v/>
      </c>
      <c r="N39" s="19" t="str">
        <f aca="false">IF(OR($A39="",INDEX(_LEITURA!$Q$2:$Q$21,4)=0),"",SUMIFS(DECKS!$D$2:$D$1201,DECKS!$A$2:$A$1201,INDEX(_LEITURA!$P$2:$P$21,4),DECKS!$B$2:$B$1201,$A39))</f>
        <v/>
      </c>
      <c r="O39" s="19" t="str">
        <f aca="false">IF(OR($A39="",INDEX(_LEITURA!$Q$2:$Q$21,5)=0),"",SUMIFS(DECKS!$D$2:$D$1201,DECKS!$A$2:$A$1201,INDEX(_LEITURA!$P$2:$P$21,5),DECKS!$B$2:$B$1201,$A39))</f>
        <v/>
      </c>
      <c r="P39" s="19" t="str">
        <f aca="false">IF(OR($A39="",INDEX(_LEITURA!$Q$2:$Q$21,6)=0),"",SUMIFS(DECKS!$D$2:$D$1201,DECKS!$A$2:$A$1201,INDEX(_LEITURA!$P$2:$P$21,6),DECKS!$B$2:$B$1201,$A39))</f>
        <v/>
      </c>
      <c r="Q39" s="19" t="str">
        <f aca="false">IF(OR($A39="",INDEX(_LEITURA!$Q$2:$Q$21,7)=0),"",SUMIFS(DECKS!$D$2:$D$1201,DECKS!$A$2:$A$1201,INDEX(_LEITURA!$P$2:$P$21,7),DECKS!$B$2:$B$1201,$A39))</f>
        <v/>
      </c>
      <c r="R39" s="19" t="str">
        <f aca="false">IF(OR($A39="",INDEX(_LEITURA!$Q$2:$Q$21,8)=0),"",SUMIFS(DECKS!$D$2:$D$1201,DECKS!$A$2:$A$1201,INDEX(_LEITURA!$P$2:$P$21,8),DECKS!$B$2:$B$1201,$A39))</f>
        <v/>
      </c>
      <c r="S39" s="19" t="str">
        <f aca="false">IF(OR($A39="",INDEX(_LEITURA!$Q$2:$Q$21,9)=0),"",SUMIFS(DECKS!$D$2:$D$1201,DECKS!$A$2:$A$1201,INDEX(_LEITURA!$P$2:$P$21,9),DECKS!$B$2:$B$1201,$A39))</f>
        <v/>
      </c>
      <c r="T39" s="19" t="str">
        <f aca="false">IF(OR($A39="",INDEX(_LEITURA!$Q$2:$Q$21,10)=0),"",SUMIFS(DECKS!$D$2:$D$1201,DECKS!$A$2:$A$1201,INDEX(_LEITURA!$P$2:$P$21,10),DECKS!$B$2:$B$1201,$A39))</f>
        <v/>
      </c>
      <c r="U39" s="19" t="str">
        <f aca="false">IF(OR($A39="",INDEX(_LEITURA!$Q$2:$Q$21,11)=0),"",SUMIFS(DECKS!$D$2:$D$1201,DECKS!$A$2:$A$1201,INDEX(_LEITURA!$P$2:$P$21,11),DECKS!$B$2:$B$1201,$A39))</f>
        <v/>
      </c>
      <c r="V39" s="19" t="str">
        <f aca="false">IF(OR($A39="",INDEX(_LEITURA!$Q$2:$Q$21,12)=0),"",SUMIFS(DECKS!$D$2:$D$1201,DECKS!$A$2:$A$1201,INDEX(_LEITURA!$P$2:$P$21,12),DECKS!$B$2:$B$1201,$A39))</f>
        <v/>
      </c>
      <c r="W39" s="19" t="str">
        <f aca="false">IF(OR($A39="",INDEX(_LEITURA!$Q$2:$Q$21,13)=0),"",SUMIFS(DECKS!$D$2:$D$1201,DECKS!$A$2:$A$1201,INDEX(_LEITURA!$P$2:$P$21,13),DECKS!$B$2:$B$1201,$A39))</f>
        <v/>
      </c>
      <c r="X39" s="19" t="str">
        <f aca="false">IF(OR($A39="",INDEX(_LEITURA!$Q$2:$Q$21,14)=0),"",SUMIFS(DECKS!$D$2:$D$1201,DECKS!$A$2:$A$1201,INDEX(_LEITURA!$P$2:$P$21,14),DECKS!$B$2:$B$1201,$A39))</f>
        <v/>
      </c>
      <c r="Y39" s="19" t="str">
        <f aca="false">IF(OR($A39="",INDEX(_LEITURA!$Q$2:$Q$21,15)=0),"",SUMIFS(DECKS!$D$2:$D$1201,DECKS!$A$2:$A$1201,INDEX(_LEITURA!$P$2:$P$21,15),DECKS!$B$2:$B$1201,$A39))</f>
        <v/>
      </c>
      <c r="Z39" s="19" t="str">
        <f aca="false">IF(OR($A39="",INDEX(_LEITURA!$Q$2:$Q$21,16)=0),"",SUMIFS(DECKS!$D$2:$D$1201,DECKS!$A$2:$A$1201,INDEX(_LEITURA!$P$2:$P$21,16),DECKS!$B$2:$B$1201,$A39))</f>
        <v/>
      </c>
      <c r="AA39" s="19" t="str">
        <f aca="false">IF(OR($A39="",INDEX(_LEITURA!$Q$2:$Q$21,17)=0),"",SUMIFS(DECKS!$D$2:$D$1201,DECKS!$A$2:$A$1201,INDEX(_LEITURA!$P$2:$P$21,17),DECKS!$B$2:$B$1201,$A39))</f>
        <v/>
      </c>
      <c r="AB39" s="19" t="str">
        <f aca="false">IF(OR($A39="",INDEX(_LEITURA!$Q$2:$Q$21,18)=0),"",SUMIFS(DECKS!$D$2:$D$1201,DECKS!$A$2:$A$1201,INDEX(_LEITURA!$P$2:$P$21,18),DECKS!$B$2:$B$1201,$A39))</f>
        <v/>
      </c>
      <c r="AC39" s="19" t="str">
        <f aca="false">IF(OR($A39="",INDEX(_LEITURA!$Q$2:$Q$21,19)=0),"",SUMIFS(DECKS!$D$2:$D$1201,DECKS!$A$2:$A$1201,INDEX(_LEITURA!$P$2:$P$21,19),DECKS!$B$2:$B$1201,$A39))</f>
        <v/>
      </c>
      <c r="AD39" s="19" t="str">
        <f aca="false">IF(OR($A39="",INDEX(_LEITURA!$Q$2:$Q$21,20)=0),"",SUMIFS(DECKS!$D$2:$D$1201,DECKS!$A$2:$A$1201,INDEX(_LEITURA!$P$2:$P$21,20),DECKS!$B$2:$B$1201,$A39))</f>
        <v/>
      </c>
      <c r="AE39" s="16" t="str">
        <f aca="false">IF(N(E39)&gt;0,MAX(AE$1:AE38)+1,"")</f>
        <v/>
      </c>
      <c r="AF39" s="11" t="str">
        <f aca="false">IF(A39="","",IFERROR(LEFT(A39,FIND("-",A39)-1),A39))</f>
        <v/>
      </c>
      <c r="AG39" s="11" t="str">
        <f aca="false">IF(AF39="","",IF(ISNUMBER(--MID(AF39,1,1)),0,IF(ISNUMBER(--MID(AF39,2,1)),1,IF(ISNUMBER(--MID(AF39,3,1)),2,IF(ISNUMBER(--MID(AF39,4,1)),3,MIN(LEN(AF39),4))))))</f>
        <v/>
      </c>
      <c r="AH39" s="11" t="str">
        <f aca="false">IF(A39="","",LEFT(AF39,AG39)&amp;REPT("0",4-AG39)&amp;RIGHT("000"&amp;IFERROR(VALUE(MID(AF39,AG39+1,9)),0),3)&amp;RIGHT("0000"&amp;IFERROR(VALUE(MID(A39,FIND("-",A39)+1,9)),0),4))</f>
        <v/>
      </c>
      <c r="AI39" s="11" t="str">
        <f aca="false">IF(OR(A39="",N(E39)&lt;=0),"",IF('FALTAS GERAL'!$M$1="Código","K"&amp;AH39&amp;RIGHT("00000"&amp;ROW(),5),IF('FALTAS GERAL'!$M$1="Nome","K"&amp;UPPER(SUBSTITUTE(SUBSTITUTE(SUBSTITUTE(B39,"*",""),"?",""),"~",""))&amp;"0"&amp;AH39&amp;RIGHT("00000"&amp;ROW(),5),IF('FALTAS GERAL'!$M$1="Falta (maior primeiro)","K"&amp;RIGHT("0000"&amp;(9999-E39),4)&amp;AH39&amp;RIGHT("00000"&amp;ROW(),5),IF('FALTAS GERAL'!$M$1="Nº de decks (maior primeiro)","K"&amp;RIGHT("00"&amp;(99-N(G39)),2)&amp;AH39&amp;RIGHT("00000"&amp;ROW(),5),"K"&amp;RIGHT("00000"&amp;ROW(),5))))))</f>
        <v/>
      </c>
      <c r="AJ39" s="11" t="str">
        <f aca="false">IF(AI39="","",COUNTIFS($AI$2:$AI$801,"&lt;"&amp;AI39,$E$2:$E$801,"&gt;0")+1)</f>
        <v/>
      </c>
      <c r="AK39" s="11" t="str">
        <f aca="false">IF(OR(A39="",N(E39)&lt;=0),"",COUNTIFS($AH$2:$AH$801,"&lt;"&amp;AH39,$E$2:$E$801,"&gt;0")+COUNTIFS($AH$2:AH39,AH39,$E$2:E39,"&gt;0"))</f>
        <v/>
      </c>
    </row>
    <row r="40" customFormat="false" ht="15" hidden="false" customHeight="false" outlineLevel="0" collapsed="false">
      <c r="A40" s="11" t="str">
        <f aca="false">IF(INVENTÁRIO!A40="","",INVENTÁRIO!A40)</f>
        <v/>
      </c>
      <c r="B40" s="11" t="str">
        <f aca="false">IF(A40="","",INVENTÁRIO!B40)</f>
        <v/>
      </c>
      <c r="C40" s="16" t="str">
        <f aca="false">IF(A40="","",INVENTÁRIO!C40)</f>
        <v/>
      </c>
      <c r="D40" s="14" t="str">
        <f aca="false">IF(A40="","",MAX(K40:AD40))</f>
        <v/>
      </c>
      <c r="E40" s="14" t="str">
        <f aca="false">IF(A40="","",MAX(0,D40-C40))</f>
        <v/>
      </c>
      <c r="F40" s="16" t="str">
        <f aca="false">IF(A40="","",IF(D40=0,"Fora dos decks",IF(E40=0,"Completo","Falta")))</f>
        <v/>
      </c>
      <c r="G40" s="16" t="str">
        <f aca="false">IF(A40="","",COUNTIF(K40:AD40,"&gt;0"))</f>
        <v/>
      </c>
      <c r="H40" s="16" t="str">
        <f aca="false">IF(A40="","",IF(G40&gt;1,"Sim",""))</f>
        <v/>
      </c>
      <c r="I40" s="18" t="str">
        <f aca="false">IF(A40="","",SUMIFS(DECKS!$D$2:$D$1201,DECKS!$B$2:$B$1201,A40))</f>
        <v/>
      </c>
      <c r="J40" s="18" t="str">
        <f aca="false">IF(A40="","",MAX(0,I40-C40))</f>
        <v/>
      </c>
      <c r="K40" s="19" t="str">
        <f aca="false">IF(OR($A40="",INDEX(_LEITURA!$Q$2:$Q$21,1)=0),"",SUMIFS(DECKS!$D$2:$D$1201,DECKS!$A$2:$A$1201,INDEX(_LEITURA!$P$2:$P$21,1),DECKS!$B$2:$B$1201,$A40))</f>
        <v/>
      </c>
      <c r="L40" s="19" t="str">
        <f aca="false">IF(OR($A40="",INDEX(_LEITURA!$Q$2:$Q$21,2)=0),"",SUMIFS(DECKS!$D$2:$D$1201,DECKS!$A$2:$A$1201,INDEX(_LEITURA!$P$2:$P$21,2),DECKS!$B$2:$B$1201,$A40))</f>
        <v/>
      </c>
      <c r="M40" s="19" t="str">
        <f aca="false">IF(OR($A40="",INDEX(_LEITURA!$Q$2:$Q$21,3)=0),"",SUMIFS(DECKS!$D$2:$D$1201,DECKS!$A$2:$A$1201,INDEX(_LEITURA!$P$2:$P$21,3),DECKS!$B$2:$B$1201,$A40))</f>
        <v/>
      </c>
      <c r="N40" s="19" t="str">
        <f aca="false">IF(OR($A40="",INDEX(_LEITURA!$Q$2:$Q$21,4)=0),"",SUMIFS(DECKS!$D$2:$D$1201,DECKS!$A$2:$A$1201,INDEX(_LEITURA!$P$2:$P$21,4),DECKS!$B$2:$B$1201,$A40))</f>
        <v/>
      </c>
      <c r="O40" s="19" t="str">
        <f aca="false">IF(OR($A40="",INDEX(_LEITURA!$Q$2:$Q$21,5)=0),"",SUMIFS(DECKS!$D$2:$D$1201,DECKS!$A$2:$A$1201,INDEX(_LEITURA!$P$2:$P$21,5),DECKS!$B$2:$B$1201,$A40))</f>
        <v/>
      </c>
      <c r="P40" s="19" t="str">
        <f aca="false">IF(OR($A40="",INDEX(_LEITURA!$Q$2:$Q$21,6)=0),"",SUMIFS(DECKS!$D$2:$D$1201,DECKS!$A$2:$A$1201,INDEX(_LEITURA!$P$2:$P$21,6),DECKS!$B$2:$B$1201,$A40))</f>
        <v/>
      </c>
      <c r="Q40" s="19" t="str">
        <f aca="false">IF(OR($A40="",INDEX(_LEITURA!$Q$2:$Q$21,7)=0),"",SUMIFS(DECKS!$D$2:$D$1201,DECKS!$A$2:$A$1201,INDEX(_LEITURA!$P$2:$P$21,7),DECKS!$B$2:$B$1201,$A40))</f>
        <v/>
      </c>
      <c r="R40" s="19" t="str">
        <f aca="false">IF(OR($A40="",INDEX(_LEITURA!$Q$2:$Q$21,8)=0),"",SUMIFS(DECKS!$D$2:$D$1201,DECKS!$A$2:$A$1201,INDEX(_LEITURA!$P$2:$P$21,8),DECKS!$B$2:$B$1201,$A40))</f>
        <v/>
      </c>
      <c r="S40" s="19" t="str">
        <f aca="false">IF(OR($A40="",INDEX(_LEITURA!$Q$2:$Q$21,9)=0),"",SUMIFS(DECKS!$D$2:$D$1201,DECKS!$A$2:$A$1201,INDEX(_LEITURA!$P$2:$P$21,9),DECKS!$B$2:$B$1201,$A40))</f>
        <v/>
      </c>
      <c r="T40" s="19" t="str">
        <f aca="false">IF(OR($A40="",INDEX(_LEITURA!$Q$2:$Q$21,10)=0),"",SUMIFS(DECKS!$D$2:$D$1201,DECKS!$A$2:$A$1201,INDEX(_LEITURA!$P$2:$P$21,10),DECKS!$B$2:$B$1201,$A40))</f>
        <v/>
      </c>
      <c r="U40" s="19" t="str">
        <f aca="false">IF(OR($A40="",INDEX(_LEITURA!$Q$2:$Q$21,11)=0),"",SUMIFS(DECKS!$D$2:$D$1201,DECKS!$A$2:$A$1201,INDEX(_LEITURA!$P$2:$P$21,11),DECKS!$B$2:$B$1201,$A40))</f>
        <v/>
      </c>
      <c r="V40" s="19" t="str">
        <f aca="false">IF(OR($A40="",INDEX(_LEITURA!$Q$2:$Q$21,12)=0),"",SUMIFS(DECKS!$D$2:$D$1201,DECKS!$A$2:$A$1201,INDEX(_LEITURA!$P$2:$P$21,12),DECKS!$B$2:$B$1201,$A40))</f>
        <v/>
      </c>
      <c r="W40" s="19" t="str">
        <f aca="false">IF(OR($A40="",INDEX(_LEITURA!$Q$2:$Q$21,13)=0),"",SUMIFS(DECKS!$D$2:$D$1201,DECKS!$A$2:$A$1201,INDEX(_LEITURA!$P$2:$P$21,13),DECKS!$B$2:$B$1201,$A40))</f>
        <v/>
      </c>
      <c r="X40" s="19" t="str">
        <f aca="false">IF(OR($A40="",INDEX(_LEITURA!$Q$2:$Q$21,14)=0),"",SUMIFS(DECKS!$D$2:$D$1201,DECKS!$A$2:$A$1201,INDEX(_LEITURA!$P$2:$P$21,14),DECKS!$B$2:$B$1201,$A40))</f>
        <v/>
      </c>
      <c r="Y40" s="19" t="str">
        <f aca="false">IF(OR($A40="",INDEX(_LEITURA!$Q$2:$Q$21,15)=0),"",SUMIFS(DECKS!$D$2:$D$1201,DECKS!$A$2:$A$1201,INDEX(_LEITURA!$P$2:$P$21,15),DECKS!$B$2:$B$1201,$A40))</f>
        <v/>
      </c>
      <c r="Z40" s="19" t="str">
        <f aca="false">IF(OR($A40="",INDEX(_LEITURA!$Q$2:$Q$21,16)=0),"",SUMIFS(DECKS!$D$2:$D$1201,DECKS!$A$2:$A$1201,INDEX(_LEITURA!$P$2:$P$21,16),DECKS!$B$2:$B$1201,$A40))</f>
        <v/>
      </c>
      <c r="AA40" s="19" t="str">
        <f aca="false">IF(OR($A40="",INDEX(_LEITURA!$Q$2:$Q$21,17)=0),"",SUMIFS(DECKS!$D$2:$D$1201,DECKS!$A$2:$A$1201,INDEX(_LEITURA!$P$2:$P$21,17),DECKS!$B$2:$B$1201,$A40))</f>
        <v/>
      </c>
      <c r="AB40" s="19" t="str">
        <f aca="false">IF(OR($A40="",INDEX(_LEITURA!$Q$2:$Q$21,18)=0),"",SUMIFS(DECKS!$D$2:$D$1201,DECKS!$A$2:$A$1201,INDEX(_LEITURA!$P$2:$P$21,18),DECKS!$B$2:$B$1201,$A40))</f>
        <v/>
      </c>
      <c r="AC40" s="19" t="str">
        <f aca="false">IF(OR($A40="",INDEX(_LEITURA!$Q$2:$Q$21,19)=0),"",SUMIFS(DECKS!$D$2:$D$1201,DECKS!$A$2:$A$1201,INDEX(_LEITURA!$P$2:$P$21,19),DECKS!$B$2:$B$1201,$A40))</f>
        <v/>
      </c>
      <c r="AD40" s="19" t="str">
        <f aca="false">IF(OR($A40="",INDEX(_LEITURA!$Q$2:$Q$21,20)=0),"",SUMIFS(DECKS!$D$2:$D$1201,DECKS!$A$2:$A$1201,INDEX(_LEITURA!$P$2:$P$21,20),DECKS!$B$2:$B$1201,$A40))</f>
        <v/>
      </c>
      <c r="AE40" s="16" t="str">
        <f aca="false">IF(N(E40)&gt;0,MAX(AE$1:AE39)+1,"")</f>
        <v/>
      </c>
      <c r="AF40" s="11" t="str">
        <f aca="false">IF(A40="","",IFERROR(LEFT(A40,FIND("-",A40)-1),A40))</f>
        <v/>
      </c>
      <c r="AG40" s="11" t="str">
        <f aca="false">IF(AF40="","",IF(ISNUMBER(--MID(AF40,1,1)),0,IF(ISNUMBER(--MID(AF40,2,1)),1,IF(ISNUMBER(--MID(AF40,3,1)),2,IF(ISNUMBER(--MID(AF40,4,1)),3,MIN(LEN(AF40),4))))))</f>
        <v/>
      </c>
      <c r="AH40" s="11" t="str">
        <f aca="false">IF(A40="","",LEFT(AF40,AG40)&amp;REPT("0",4-AG40)&amp;RIGHT("000"&amp;IFERROR(VALUE(MID(AF40,AG40+1,9)),0),3)&amp;RIGHT("0000"&amp;IFERROR(VALUE(MID(A40,FIND("-",A40)+1,9)),0),4))</f>
        <v/>
      </c>
      <c r="AI40" s="11" t="str">
        <f aca="false">IF(OR(A40="",N(E40)&lt;=0),"",IF('FALTAS GERAL'!$M$1="Código","K"&amp;AH40&amp;RIGHT("00000"&amp;ROW(),5),IF('FALTAS GERAL'!$M$1="Nome","K"&amp;UPPER(SUBSTITUTE(SUBSTITUTE(SUBSTITUTE(B40,"*",""),"?",""),"~",""))&amp;"0"&amp;AH40&amp;RIGHT("00000"&amp;ROW(),5),IF('FALTAS GERAL'!$M$1="Falta (maior primeiro)","K"&amp;RIGHT("0000"&amp;(9999-E40),4)&amp;AH40&amp;RIGHT("00000"&amp;ROW(),5),IF('FALTAS GERAL'!$M$1="Nº de decks (maior primeiro)","K"&amp;RIGHT("00"&amp;(99-N(G40)),2)&amp;AH40&amp;RIGHT("00000"&amp;ROW(),5),"K"&amp;RIGHT("00000"&amp;ROW(),5))))))</f>
        <v/>
      </c>
      <c r="AJ40" s="11" t="str">
        <f aca="false">IF(AI40="","",COUNTIFS($AI$2:$AI$801,"&lt;"&amp;AI40,$E$2:$E$801,"&gt;0")+1)</f>
        <v/>
      </c>
      <c r="AK40" s="11" t="str">
        <f aca="false">IF(OR(A40="",N(E40)&lt;=0),"",COUNTIFS($AH$2:$AH$801,"&lt;"&amp;AH40,$E$2:$E$801,"&gt;0")+COUNTIFS($AH$2:AH40,AH40,$E$2:E40,"&gt;0"))</f>
        <v/>
      </c>
    </row>
    <row r="41" customFormat="false" ht="15" hidden="false" customHeight="false" outlineLevel="0" collapsed="false">
      <c r="A41" s="11" t="str">
        <f aca="false">IF(INVENTÁRIO!A41="","",INVENTÁRIO!A41)</f>
        <v/>
      </c>
      <c r="B41" s="11" t="str">
        <f aca="false">IF(A41="","",INVENTÁRIO!B41)</f>
        <v/>
      </c>
      <c r="C41" s="16" t="str">
        <f aca="false">IF(A41="","",INVENTÁRIO!C41)</f>
        <v/>
      </c>
      <c r="D41" s="14" t="str">
        <f aca="false">IF(A41="","",MAX(K41:AD41))</f>
        <v/>
      </c>
      <c r="E41" s="14" t="str">
        <f aca="false">IF(A41="","",MAX(0,D41-C41))</f>
        <v/>
      </c>
      <c r="F41" s="16" t="str">
        <f aca="false">IF(A41="","",IF(D41=0,"Fora dos decks",IF(E41=0,"Completo","Falta")))</f>
        <v/>
      </c>
      <c r="G41" s="16" t="str">
        <f aca="false">IF(A41="","",COUNTIF(K41:AD41,"&gt;0"))</f>
        <v/>
      </c>
      <c r="H41" s="16" t="str">
        <f aca="false">IF(A41="","",IF(G41&gt;1,"Sim",""))</f>
        <v/>
      </c>
      <c r="I41" s="18" t="str">
        <f aca="false">IF(A41="","",SUMIFS(DECKS!$D$2:$D$1201,DECKS!$B$2:$B$1201,A41))</f>
        <v/>
      </c>
      <c r="J41" s="18" t="str">
        <f aca="false">IF(A41="","",MAX(0,I41-C41))</f>
        <v/>
      </c>
      <c r="K41" s="19" t="str">
        <f aca="false">IF(OR($A41="",INDEX(_LEITURA!$Q$2:$Q$21,1)=0),"",SUMIFS(DECKS!$D$2:$D$1201,DECKS!$A$2:$A$1201,INDEX(_LEITURA!$P$2:$P$21,1),DECKS!$B$2:$B$1201,$A41))</f>
        <v/>
      </c>
      <c r="L41" s="19" t="str">
        <f aca="false">IF(OR($A41="",INDEX(_LEITURA!$Q$2:$Q$21,2)=0),"",SUMIFS(DECKS!$D$2:$D$1201,DECKS!$A$2:$A$1201,INDEX(_LEITURA!$P$2:$P$21,2),DECKS!$B$2:$B$1201,$A41))</f>
        <v/>
      </c>
      <c r="M41" s="19" t="str">
        <f aca="false">IF(OR($A41="",INDEX(_LEITURA!$Q$2:$Q$21,3)=0),"",SUMIFS(DECKS!$D$2:$D$1201,DECKS!$A$2:$A$1201,INDEX(_LEITURA!$P$2:$P$21,3),DECKS!$B$2:$B$1201,$A41))</f>
        <v/>
      </c>
      <c r="N41" s="19" t="str">
        <f aca="false">IF(OR($A41="",INDEX(_LEITURA!$Q$2:$Q$21,4)=0),"",SUMIFS(DECKS!$D$2:$D$1201,DECKS!$A$2:$A$1201,INDEX(_LEITURA!$P$2:$P$21,4),DECKS!$B$2:$B$1201,$A41))</f>
        <v/>
      </c>
      <c r="O41" s="19" t="str">
        <f aca="false">IF(OR($A41="",INDEX(_LEITURA!$Q$2:$Q$21,5)=0),"",SUMIFS(DECKS!$D$2:$D$1201,DECKS!$A$2:$A$1201,INDEX(_LEITURA!$P$2:$P$21,5),DECKS!$B$2:$B$1201,$A41))</f>
        <v/>
      </c>
      <c r="P41" s="19" t="str">
        <f aca="false">IF(OR($A41="",INDEX(_LEITURA!$Q$2:$Q$21,6)=0),"",SUMIFS(DECKS!$D$2:$D$1201,DECKS!$A$2:$A$1201,INDEX(_LEITURA!$P$2:$P$21,6),DECKS!$B$2:$B$1201,$A41))</f>
        <v/>
      </c>
      <c r="Q41" s="19" t="str">
        <f aca="false">IF(OR($A41="",INDEX(_LEITURA!$Q$2:$Q$21,7)=0),"",SUMIFS(DECKS!$D$2:$D$1201,DECKS!$A$2:$A$1201,INDEX(_LEITURA!$P$2:$P$21,7),DECKS!$B$2:$B$1201,$A41))</f>
        <v/>
      </c>
      <c r="R41" s="19" t="str">
        <f aca="false">IF(OR($A41="",INDEX(_LEITURA!$Q$2:$Q$21,8)=0),"",SUMIFS(DECKS!$D$2:$D$1201,DECKS!$A$2:$A$1201,INDEX(_LEITURA!$P$2:$P$21,8),DECKS!$B$2:$B$1201,$A41))</f>
        <v/>
      </c>
      <c r="S41" s="19" t="str">
        <f aca="false">IF(OR($A41="",INDEX(_LEITURA!$Q$2:$Q$21,9)=0),"",SUMIFS(DECKS!$D$2:$D$1201,DECKS!$A$2:$A$1201,INDEX(_LEITURA!$P$2:$P$21,9),DECKS!$B$2:$B$1201,$A41))</f>
        <v/>
      </c>
      <c r="T41" s="19" t="str">
        <f aca="false">IF(OR($A41="",INDEX(_LEITURA!$Q$2:$Q$21,10)=0),"",SUMIFS(DECKS!$D$2:$D$1201,DECKS!$A$2:$A$1201,INDEX(_LEITURA!$P$2:$P$21,10),DECKS!$B$2:$B$1201,$A41))</f>
        <v/>
      </c>
      <c r="U41" s="19" t="str">
        <f aca="false">IF(OR($A41="",INDEX(_LEITURA!$Q$2:$Q$21,11)=0),"",SUMIFS(DECKS!$D$2:$D$1201,DECKS!$A$2:$A$1201,INDEX(_LEITURA!$P$2:$P$21,11),DECKS!$B$2:$B$1201,$A41))</f>
        <v/>
      </c>
      <c r="V41" s="19" t="str">
        <f aca="false">IF(OR($A41="",INDEX(_LEITURA!$Q$2:$Q$21,12)=0),"",SUMIFS(DECKS!$D$2:$D$1201,DECKS!$A$2:$A$1201,INDEX(_LEITURA!$P$2:$P$21,12),DECKS!$B$2:$B$1201,$A41))</f>
        <v/>
      </c>
      <c r="W41" s="19" t="str">
        <f aca="false">IF(OR($A41="",INDEX(_LEITURA!$Q$2:$Q$21,13)=0),"",SUMIFS(DECKS!$D$2:$D$1201,DECKS!$A$2:$A$1201,INDEX(_LEITURA!$P$2:$P$21,13),DECKS!$B$2:$B$1201,$A41))</f>
        <v/>
      </c>
      <c r="X41" s="19" t="str">
        <f aca="false">IF(OR($A41="",INDEX(_LEITURA!$Q$2:$Q$21,14)=0),"",SUMIFS(DECKS!$D$2:$D$1201,DECKS!$A$2:$A$1201,INDEX(_LEITURA!$P$2:$P$21,14),DECKS!$B$2:$B$1201,$A41))</f>
        <v/>
      </c>
      <c r="Y41" s="19" t="str">
        <f aca="false">IF(OR($A41="",INDEX(_LEITURA!$Q$2:$Q$21,15)=0),"",SUMIFS(DECKS!$D$2:$D$1201,DECKS!$A$2:$A$1201,INDEX(_LEITURA!$P$2:$P$21,15),DECKS!$B$2:$B$1201,$A41))</f>
        <v/>
      </c>
      <c r="Z41" s="19" t="str">
        <f aca="false">IF(OR($A41="",INDEX(_LEITURA!$Q$2:$Q$21,16)=0),"",SUMIFS(DECKS!$D$2:$D$1201,DECKS!$A$2:$A$1201,INDEX(_LEITURA!$P$2:$P$21,16),DECKS!$B$2:$B$1201,$A41))</f>
        <v/>
      </c>
      <c r="AA41" s="19" t="str">
        <f aca="false">IF(OR($A41="",INDEX(_LEITURA!$Q$2:$Q$21,17)=0),"",SUMIFS(DECKS!$D$2:$D$1201,DECKS!$A$2:$A$1201,INDEX(_LEITURA!$P$2:$P$21,17),DECKS!$B$2:$B$1201,$A41))</f>
        <v/>
      </c>
      <c r="AB41" s="19" t="str">
        <f aca="false">IF(OR($A41="",INDEX(_LEITURA!$Q$2:$Q$21,18)=0),"",SUMIFS(DECKS!$D$2:$D$1201,DECKS!$A$2:$A$1201,INDEX(_LEITURA!$P$2:$P$21,18),DECKS!$B$2:$B$1201,$A41))</f>
        <v/>
      </c>
      <c r="AC41" s="19" t="str">
        <f aca="false">IF(OR($A41="",INDEX(_LEITURA!$Q$2:$Q$21,19)=0),"",SUMIFS(DECKS!$D$2:$D$1201,DECKS!$A$2:$A$1201,INDEX(_LEITURA!$P$2:$P$21,19),DECKS!$B$2:$B$1201,$A41))</f>
        <v/>
      </c>
      <c r="AD41" s="19" t="str">
        <f aca="false">IF(OR($A41="",INDEX(_LEITURA!$Q$2:$Q$21,20)=0),"",SUMIFS(DECKS!$D$2:$D$1201,DECKS!$A$2:$A$1201,INDEX(_LEITURA!$P$2:$P$21,20),DECKS!$B$2:$B$1201,$A41))</f>
        <v/>
      </c>
      <c r="AE41" s="16" t="str">
        <f aca="false">IF(N(E41)&gt;0,MAX(AE$1:AE40)+1,"")</f>
        <v/>
      </c>
      <c r="AF41" s="11" t="str">
        <f aca="false">IF(A41="","",IFERROR(LEFT(A41,FIND("-",A41)-1),A41))</f>
        <v/>
      </c>
      <c r="AG41" s="11" t="str">
        <f aca="false">IF(AF41="","",IF(ISNUMBER(--MID(AF41,1,1)),0,IF(ISNUMBER(--MID(AF41,2,1)),1,IF(ISNUMBER(--MID(AF41,3,1)),2,IF(ISNUMBER(--MID(AF41,4,1)),3,MIN(LEN(AF41),4))))))</f>
        <v/>
      </c>
      <c r="AH41" s="11" t="str">
        <f aca="false">IF(A41="","",LEFT(AF41,AG41)&amp;REPT("0",4-AG41)&amp;RIGHT("000"&amp;IFERROR(VALUE(MID(AF41,AG41+1,9)),0),3)&amp;RIGHT("0000"&amp;IFERROR(VALUE(MID(A41,FIND("-",A41)+1,9)),0),4))</f>
        <v/>
      </c>
      <c r="AI41" s="11" t="str">
        <f aca="false">IF(OR(A41="",N(E41)&lt;=0),"",IF('FALTAS GERAL'!$M$1="Código","K"&amp;AH41&amp;RIGHT("00000"&amp;ROW(),5),IF('FALTAS GERAL'!$M$1="Nome","K"&amp;UPPER(SUBSTITUTE(SUBSTITUTE(SUBSTITUTE(B41,"*",""),"?",""),"~",""))&amp;"0"&amp;AH41&amp;RIGHT("00000"&amp;ROW(),5),IF('FALTAS GERAL'!$M$1="Falta (maior primeiro)","K"&amp;RIGHT("0000"&amp;(9999-E41),4)&amp;AH41&amp;RIGHT("00000"&amp;ROW(),5),IF('FALTAS GERAL'!$M$1="Nº de decks (maior primeiro)","K"&amp;RIGHT("00"&amp;(99-N(G41)),2)&amp;AH41&amp;RIGHT("00000"&amp;ROW(),5),"K"&amp;RIGHT("00000"&amp;ROW(),5))))))</f>
        <v/>
      </c>
      <c r="AJ41" s="11" t="str">
        <f aca="false">IF(AI41="","",COUNTIFS($AI$2:$AI$801,"&lt;"&amp;AI41,$E$2:$E$801,"&gt;0")+1)</f>
        <v/>
      </c>
      <c r="AK41" s="11" t="str">
        <f aca="false">IF(OR(A41="",N(E41)&lt;=0),"",COUNTIFS($AH$2:$AH$801,"&lt;"&amp;AH41,$E$2:$E$801,"&gt;0")+COUNTIFS($AH$2:AH41,AH41,$E$2:E41,"&gt;0"))</f>
        <v/>
      </c>
    </row>
    <row r="42" customFormat="false" ht="15" hidden="false" customHeight="false" outlineLevel="0" collapsed="false">
      <c r="A42" s="11" t="str">
        <f aca="false">IF(INVENTÁRIO!A42="","",INVENTÁRIO!A42)</f>
        <v/>
      </c>
      <c r="B42" s="11" t="str">
        <f aca="false">IF(A42="","",INVENTÁRIO!B42)</f>
        <v/>
      </c>
      <c r="C42" s="16" t="str">
        <f aca="false">IF(A42="","",INVENTÁRIO!C42)</f>
        <v/>
      </c>
      <c r="D42" s="14" t="str">
        <f aca="false">IF(A42="","",MAX(K42:AD42))</f>
        <v/>
      </c>
      <c r="E42" s="14" t="str">
        <f aca="false">IF(A42="","",MAX(0,D42-C42))</f>
        <v/>
      </c>
      <c r="F42" s="16" t="str">
        <f aca="false">IF(A42="","",IF(D42=0,"Fora dos decks",IF(E42=0,"Completo","Falta")))</f>
        <v/>
      </c>
      <c r="G42" s="16" t="str">
        <f aca="false">IF(A42="","",COUNTIF(K42:AD42,"&gt;0"))</f>
        <v/>
      </c>
      <c r="H42" s="16" t="str">
        <f aca="false">IF(A42="","",IF(G42&gt;1,"Sim",""))</f>
        <v/>
      </c>
      <c r="I42" s="18" t="str">
        <f aca="false">IF(A42="","",SUMIFS(DECKS!$D$2:$D$1201,DECKS!$B$2:$B$1201,A42))</f>
        <v/>
      </c>
      <c r="J42" s="18" t="str">
        <f aca="false">IF(A42="","",MAX(0,I42-C42))</f>
        <v/>
      </c>
      <c r="K42" s="19" t="str">
        <f aca="false">IF(OR($A42="",INDEX(_LEITURA!$Q$2:$Q$21,1)=0),"",SUMIFS(DECKS!$D$2:$D$1201,DECKS!$A$2:$A$1201,INDEX(_LEITURA!$P$2:$P$21,1),DECKS!$B$2:$B$1201,$A42))</f>
        <v/>
      </c>
      <c r="L42" s="19" t="str">
        <f aca="false">IF(OR($A42="",INDEX(_LEITURA!$Q$2:$Q$21,2)=0),"",SUMIFS(DECKS!$D$2:$D$1201,DECKS!$A$2:$A$1201,INDEX(_LEITURA!$P$2:$P$21,2),DECKS!$B$2:$B$1201,$A42))</f>
        <v/>
      </c>
      <c r="M42" s="19" t="str">
        <f aca="false">IF(OR($A42="",INDEX(_LEITURA!$Q$2:$Q$21,3)=0),"",SUMIFS(DECKS!$D$2:$D$1201,DECKS!$A$2:$A$1201,INDEX(_LEITURA!$P$2:$P$21,3),DECKS!$B$2:$B$1201,$A42))</f>
        <v/>
      </c>
      <c r="N42" s="19" t="str">
        <f aca="false">IF(OR($A42="",INDEX(_LEITURA!$Q$2:$Q$21,4)=0),"",SUMIFS(DECKS!$D$2:$D$1201,DECKS!$A$2:$A$1201,INDEX(_LEITURA!$P$2:$P$21,4),DECKS!$B$2:$B$1201,$A42))</f>
        <v/>
      </c>
      <c r="O42" s="19" t="str">
        <f aca="false">IF(OR($A42="",INDEX(_LEITURA!$Q$2:$Q$21,5)=0),"",SUMIFS(DECKS!$D$2:$D$1201,DECKS!$A$2:$A$1201,INDEX(_LEITURA!$P$2:$P$21,5),DECKS!$B$2:$B$1201,$A42))</f>
        <v/>
      </c>
      <c r="P42" s="19" t="str">
        <f aca="false">IF(OR($A42="",INDEX(_LEITURA!$Q$2:$Q$21,6)=0),"",SUMIFS(DECKS!$D$2:$D$1201,DECKS!$A$2:$A$1201,INDEX(_LEITURA!$P$2:$P$21,6),DECKS!$B$2:$B$1201,$A42))</f>
        <v/>
      </c>
      <c r="Q42" s="19" t="str">
        <f aca="false">IF(OR($A42="",INDEX(_LEITURA!$Q$2:$Q$21,7)=0),"",SUMIFS(DECKS!$D$2:$D$1201,DECKS!$A$2:$A$1201,INDEX(_LEITURA!$P$2:$P$21,7),DECKS!$B$2:$B$1201,$A42))</f>
        <v/>
      </c>
      <c r="R42" s="19" t="str">
        <f aca="false">IF(OR($A42="",INDEX(_LEITURA!$Q$2:$Q$21,8)=0),"",SUMIFS(DECKS!$D$2:$D$1201,DECKS!$A$2:$A$1201,INDEX(_LEITURA!$P$2:$P$21,8),DECKS!$B$2:$B$1201,$A42))</f>
        <v/>
      </c>
      <c r="S42" s="19" t="str">
        <f aca="false">IF(OR($A42="",INDEX(_LEITURA!$Q$2:$Q$21,9)=0),"",SUMIFS(DECKS!$D$2:$D$1201,DECKS!$A$2:$A$1201,INDEX(_LEITURA!$P$2:$P$21,9),DECKS!$B$2:$B$1201,$A42))</f>
        <v/>
      </c>
      <c r="T42" s="19" t="str">
        <f aca="false">IF(OR($A42="",INDEX(_LEITURA!$Q$2:$Q$21,10)=0),"",SUMIFS(DECKS!$D$2:$D$1201,DECKS!$A$2:$A$1201,INDEX(_LEITURA!$P$2:$P$21,10),DECKS!$B$2:$B$1201,$A42))</f>
        <v/>
      </c>
      <c r="U42" s="19" t="str">
        <f aca="false">IF(OR($A42="",INDEX(_LEITURA!$Q$2:$Q$21,11)=0),"",SUMIFS(DECKS!$D$2:$D$1201,DECKS!$A$2:$A$1201,INDEX(_LEITURA!$P$2:$P$21,11),DECKS!$B$2:$B$1201,$A42))</f>
        <v/>
      </c>
      <c r="V42" s="19" t="str">
        <f aca="false">IF(OR($A42="",INDEX(_LEITURA!$Q$2:$Q$21,12)=0),"",SUMIFS(DECKS!$D$2:$D$1201,DECKS!$A$2:$A$1201,INDEX(_LEITURA!$P$2:$P$21,12),DECKS!$B$2:$B$1201,$A42))</f>
        <v/>
      </c>
      <c r="W42" s="19" t="str">
        <f aca="false">IF(OR($A42="",INDEX(_LEITURA!$Q$2:$Q$21,13)=0),"",SUMIFS(DECKS!$D$2:$D$1201,DECKS!$A$2:$A$1201,INDEX(_LEITURA!$P$2:$P$21,13),DECKS!$B$2:$B$1201,$A42))</f>
        <v/>
      </c>
      <c r="X42" s="19" t="str">
        <f aca="false">IF(OR($A42="",INDEX(_LEITURA!$Q$2:$Q$21,14)=0),"",SUMIFS(DECKS!$D$2:$D$1201,DECKS!$A$2:$A$1201,INDEX(_LEITURA!$P$2:$P$21,14),DECKS!$B$2:$B$1201,$A42))</f>
        <v/>
      </c>
      <c r="Y42" s="19" t="str">
        <f aca="false">IF(OR($A42="",INDEX(_LEITURA!$Q$2:$Q$21,15)=0),"",SUMIFS(DECKS!$D$2:$D$1201,DECKS!$A$2:$A$1201,INDEX(_LEITURA!$P$2:$P$21,15),DECKS!$B$2:$B$1201,$A42))</f>
        <v/>
      </c>
      <c r="Z42" s="19" t="str">
        <f aca="false">IF(OR($A42="",INDEX(_LEITURA!$Q$2:$Q$21,16)=0),"",SUMIFS(DECKS!$D$2:$D$1201,DECKS!$A$2:$A$1201,INDEX(_LEITURA!$P$2:$P$21,16),DECKS!$B$2:$B$1201,$A42))</f>
        <v/>
      </c>
      <c r="AA42" s="19" t="str">
        <f aca="false">IF(OR($A42="",INDEX(_LEITURA!$Q$2:$Q$21,17)=0),"",SUMIFS(DECKS!$D$2:$D$1201,DECKS!$A$2:$A$1201,INDEX(_LEITURA!$P$2:$P$21,17),DECKS!$B$2:$B$1201,$A42))</f>
        <v/>
      </c>
      <c r="AB42" s="19" t="str">
        <f aca="false">IF(OR($A42="",INDEX(_LEITURA!$Q$2:$Q$21,18)=0),"",SUMIFS(DECKS!$D$2:$D$1201,DECKS!$A$2:$A$1201,INDEX(_LEITURA!$P$2:$P$21,18),DECKS!$B$2:$B$1201,$A42))</f>
        <v/>
      </c>
      <c r="AC42" s="19" t="str">
        <f aca="false">IF(OR($A42="",INDEX(_LEITURA!$Q$2:$Q$21,19)=0),"",SUMIFS(DECKS!$D$2:$D$1201,DECKS!$A$2:$A$1201,INDEX(_LEITURA!$P$2:$P$21,19),DECKS!$B$2:$B$1201,$A42))</f>
        <v/>
      </c>
      <c r="AD42" s="19" t="str">
        <f aca="false">IF(OR($A42="",INDEX(_LEITURA!$Q$2:$Q$21,20)=0),"",SUMIFS(DECKS!$D$2:$D$1201,DECKS!$A$2:$A$1201,INDEX(_LEITURA!$P$2:$P$21,20),DECKS!$B$2:$B$1201,$A42))</f>
        <v/>
      </c>
      <c r="AE42" s="16" t="str">
        <f aca="false">IF(N(E42)&gt;0,MAX(AE$1:AE41)+1,"")</f>
        <v/>
      </c>
      <c r="AF42" s="11" t="str">
        <f aca="false">IF(A42="","",IFERROR(LEFT(A42,FIND("-",A42)-1),A42))</f>
        <v/>
      </c>
      <c r="AG42" s="11" t="str">
        <f aca="false">IF(AF42="","",IF(ISNUMBER(--MID(AF42,1,1)),0,IF(ISNUMBER(--MID(AF42,2,1)),1,IF(ISNUMBER(--MID(AF42,3,1)),2,IF(ISNUMBER(--MID(AF42,4,1)),3,MIN(LEN(AF42),4))))))</f>
        <v/>
      </c>
      <c r="AH42" s="11" t="str">
        <f aca="false">IF(A42="","",LEFT(AF42,AG42)&amp;REPT("0",4-AG42)&amp;RIGHT("000"&amp;IFERROR(VALUE(MID(AF42,AG42+1,9)),0),3)&amp;RIGHT("0000"&amp;IFERROR(VALUE(MID(A42,FIND("-",A42)+1,9)),0),4))</f>
        <v/>
      </c>
      <c r="AI42" s="11" t="str">
        <f aca="false">IF(OR(A42="",N(E42)&lt;=0),"",IF('FALTAS GERAL'!$M$1="Código","K"&amp;AH42&amp;RIGHT("00000"&amp;ROW(),5),IF('FALTAS GERAL'!$M$1="Nome","K"&amp;UPPER(SUBSTITUTE(SUBSTITUTE(SUBSTITUTE(B42,"*",""),"?",""),"~",""))&amp;"0"&amp;AH42&amp;RIGHT("00000"&amp;ROW(),5),IF('FALTAS GERAL'!$M$1="Falta (maior primeiro)","K"&amp;RIGHT("0000"&amp;(9999-E42),4)&amp;AH42&amp;RIGHT("00000"&amp;ROW(),5),IF('FALTAS GERAL'!$M$1="Nº de decks (maior primeiro)","K"&amp;RIGHT("00"&amp;(99-N(G42)),2)&amp;AH42&amp;RIGHT("00000"&amp;ROW(),5),"K"&amp;RIGHT("00000"&amp;ROW(),5))))))</f>
        <v/>
      </c>
      <c r="AJ42" s="11" t="str">
        <f aca="false">IF(AI42="","",COUNTIFS($AI$2:$AI$801,"&lt;"&amp;AI42,$E$2:$E$801,"&gt;0")+1)</f>
        <v/>
      </c>
      <c r="AK42" s="11" t="str">
        <f aca="false">IF(OR(A42="",N(E42)&lt;=0),"",COUNTIFS($AH$2:$AH$801,"&lt;"&amp;AH42,$E$2:$E$801,"&gt;0")+COUNTIFS($AH$2:AH42,AH42,$E$2:E42,"&gt;0"))</f>
        <v/>
      </c>
    </row>
    <row r="43" customFormat="false" ht="15" hidden="false" customHeight="false" outlineLevel="0" collapsed="false">
      <c r="A43" s="11" t="str">
        <f aca="false">IF(INVENTÁRIO!A43="","",INVENTÁRIO!A43)</f>
        <v/>
      </c>
      <c r="B43" s="11" t="str">
        <f aca="false">IF(A43="","",INVENTÁRIO!B43)</f>
        <v/>
      </c>
      <c r="C43" s="16" t="str">
        <f aca="false">IF(A43="","",INVENTÁRIO!C43)</f>
        <v/>
      </c>
      <c r="D43" s="14" t="str">
        <f aca="false">IF(A43="","",MAX(K43:AD43))</f>
        <v/>
      </c>
      <c r="E43" s="14" t="str">
        <f aca="false">IF(A43="","",MAX(0,D43-C43))</f>
        <v/>
      </c>
      <c r="F43" s="16" t="str">
        <f aca="false">IF(A43="","",IF(D43=0,"Fora dos decks",IF(E43=0,"Completo","Falta")))</f>
        <v/>
      </c>
      <c r="G43" s="16" t="str">
        <f aca="false">IF(A43="","",COUNTIF(K43:AD43,"&gt;0"))</f>
        <v/>
      </c>
      <c r="H43" s="16" t="str">
        <f aca="false">IF(A43="","",IF(G43&gt;1,"Sim",""))</f>
        <v/>
      </c>
      <c r="I43" s="18" t="str">
        <f aca="false">IF(A43="","",SUMIFS(DECKS!$D$2:$D$1201,DECKS!$B$2:$B$1201,A43))</f>
        <v/>
      </c>
      <c r="J43" s="18" t="str">
        <f aca="false">IF(A43="","",MAX(0,I43-C43))</f>
        <v/>
      </c>
      <c r="K43" s="19" t="str">
        <f aca="false">IF(OR($A43="",INDEX(_LEITURA!$Q$2:$Q$21,1)=0),"",SUMIFS(DECKS!$D$2:$D$1201,DECKS!$A$2:$A$1201,INDEX(_LEITURA!$P$2:$P$21,1),DECKS!$B$2:$B$1201,$A43))</f>
        <v/>
      </c>
      <c r="L43" s="19" t="str">
        <f aca="false">IF(OR($A43="",INDEX(_LEITURA!$Q$2:$Q$21,2)=0),"",SUMIFS(DECKS!$D$2:$D$1201,DECKS!$A$2:$A$1201,INDEX(_LEITURA!$P$2:$P$21,2),DECKS!$B$2:$B$1201,$A43))</f>
        <v/>
      </c>
      <c r="M43" s="19" t="str">
        <f aca="false">IF(OR($A43="",INDEX(_LEITURA!$Q$2:$Q$21,3)=0),"",SUMIFS(DECKS!$D$2:$D$1201,DECKS!$A$2:$A$1201,INDEX(_LEITURA!$P$2:$P$21,3),DECKS!$B$2:$B$1201,$A43))</f>
        <v/>
      </c>
      <c r="N43" s="19" t="str">
        <f aca="false">IF(OR($A43="",INDEX(_LEITURA!$Q$2:$Q$21,4)=0),"",SUMIFS(DECKS!$D$2:$D$1201,DECKS!$A$2:$A$1201,INDEX(_LEITURA!$P$2:$P$21,4),DECKS!$B$2:$B$1201,$A43))</f>
        <v/>
      </c>
      <c r="O43" s="19" t="str">
        <f aca="false">IF(OR($A43="",INDEX(_LEITURA!$Q$2:$Q$21,5)=0),"",SUMIFS(DECKS!$D$2:$D$1201,DECKS!$A$2:$A$1201,INDEX(_LEITURA!$P$2:$P$21,5),DECKS!$B$2:$B$1201,$A43))</f>
        <v/>
      </c>
      <c r="P43" s="19" t="str">
        <f aca="false">IF(OR($A43="",INDEX(_LEITURA!$Q$2:$Q$21,6)=0),"",SUMIFS(DECKS!$D$2:$D$1201,DECKS!$A$2:$A$1201,INDEX(_LEITURA!$P$2:$P$21,6),DECKS!$B$2:$B$1201,$A43))</f>
        <v/>
      </c>
      <c r="Q43" s="19" t="str">
        <f aca="false">IF(OR($A43="",INDEX(_LEITURA!$Q$2:$Q$21,7)=0),"",SUMIFS(DECKS!$D$2:$D$1201,DECKS!$A$2:$A$1201,INDEX(_LEITURA!$P$2:$P$21,7),DECKS!$B$2:$B$1201,$A43))</f>
        <v/>
      </c>
      <c r="R43" s="19" t="str">
        <f aca="false">IF(OR($A43="",INDEX(_LEITURA!$Q$2:$Q$21,8)=0),"",SUMIFS(DECKS!$D$2:$D$1201,DECKS!$A$2:$A$1201,INDEX(_LEITURA!$P$2:$P$21,8),DECKS!$B$2:$B$1201,$A43))</f>
        <v/>
      </c>
      <c r="S43" s="19" t="str">
        <f aca="false">IF(OR($A43="",INDEX(_LEITURA!$Q$2:$Q$21,9)=0),"",SUMIFS(DECKS!$D$2:$D$1201,DECKS!$A$2:$A$1201,INDEX(_LEITURA!$P$2:$P$21,9),DECKS!$B$2:$B$1201,$A43))</f>
        <v/>
      </c>
      <c r="T43" s="19" t="str">
        <f aca="false">IF(OR($A43="",INDEX(_LEITURA!$Q$2:$Q$21,10)=0),"",SUMIFS(DECKS!$D$2:$D$1201,DECKS!$A$2:$A$1201,INDEX(_LEITURA!$P$2:$P$21,10),DECKS!$B$2:$B$1201,$A43))</f>
        <v/>
      </c>
      <c r="U43" s="19" t="str">
        <f aca="false">IF(OR($A43="",INDEX(_LEITURA!$Q$2:$Q$21,11)=0),"",SUMIFS(DECKS!$D$2:$D$1201,DECKS!$A$2:$A$1201,INDEX(_LEITURA!$P$2:$P$21,11),DECKS!$B$2:$B$1201,$A43))</f>
        <v/>
      </c>
      <c r="V43" s="19" t="str">
        <f aca="false">IF(OR($A43="",INDEX(_LEITURA!$Q$2:$Q$21,12)=0),"",SUMIFS(DECKS!$D$2:$D$1201,DECKS!$A$2:$A$1201,INDEX(_LEITURA!$P$2:$P$21,12),DECKS!$B$2:$B$1201,$A43))</f>
        <v/>
      </c>
      <c r="W43" s="19" t="str">
        <f aca="false">IF(OR($A43="",INDEX(_LEITURA!$Q$2:$Q$21,13)=0),"",SUMIFS(DECKS!$D$2:$D$1201,DECKS!$A$2:$A$1201,INDEX(_LEITURA!$P$2:$P$21,13),DECKS!$B$2:$B$1201,$A43))</f>
        <v/>
      </c>
      <c r="X43" s="19" t="str">
        <f aca="false">IF(OR($A43="",INDEX(_LEITURA!$Q$2:$Q$21,14)=0),"",SUMIFS(DECKS!$D$2:$D$1201,DECKS!$A$2:$A$1201,INDEX(_LEITURA!$P$2:$P$21,14),DECKS!$B$2:$B$1201,$A43))</f>
        <v/>
      </c>
      <c r="Y43" s="19" t="str">
        <f aca="false">IF(OR($A43="",INDEX(_LEITURA!$Q$2:$Q$21,15)=0),"",SUMIFS(DECKS!$D$2:$D$1201,DECKS!$A$2:$A$1201,INDEX(_LEITURA!$P$2:$P$21,15),DECKS!$B$2:$B$1201,$A43))</f>
        <v/>
      </c>
      <c r="Z43" s="19" t="str">
        <f aca="false">IF(OR($A43="",INDEX(_LEITURA!$Q$2:$Q$21,16)=0),"",SUMIFS(DECKS!$D$2:$D$1201,DECKS!$A$2:$A$1201,INDEX(_LEITURA!$P$2:$P$21,16),DECKS!$B$2:$B$1201,$A43))</f>
        <v/>
      </c>
      <c r="AA43" s="19" t="str">
        <f aca="false">IF(OR($A43="",INDEX(_LEITURA!$Q$2:$Q$21,17)=0),"",SUMIFS(DECKS!$D$2:$D$1201,DECKS!$A$2:$A$1201,INDEX(_LEITURA!$P$2:$P$21,17),DECKS!$B$2:$B$1201,$A43))</f>
        <v/>
      </c>
      <c r="AB43" s="19" t="str">
        <f aca="false">IF(OR($A43="",INDEX(_LEITURA!$Q$2:$Q$21,18)=0),"",SUMIFS(DECKS!$D$2:$D$1201,DECKS!$A$2:$A$1201,INDEX(_LEITURA!$P$2:$P$21,18),DECKS!$B$2:$B$1201,$A43))</f>
        <v/>
      </c>
      <c r="AC43" s="19" t="str">
        <f aca="false">IF(OR($A43="",INDEX(_LEITURA!$Q$2:$Q$21,19)=0),"",SUMIFS(DECKS!$D$2:$D$1201,DECKS!$A$2:$A$1201,INDEX(_LEITURA!$P$2:$P$21,19),DECKS!$B$2:$B$1201,$A43))</f>
        <v/>
      </c>
      <c r="AD43" s="19" t="str">
        <f aca="false">IF(OR($A43="",INDEX(_LEITURA!$Q$2:$Q$21,20)=0),"",SUMIFS(DECKS!$D$2:$D$1201,DECKS!$A$2:$A$1201,INDEX(_LEITURA!$P$2:$P$21,20),DECKS!$B$2:$B$1201,$A43))</f>
        <v/>
      </c>
      <c r="AE43" s="16" t="str">
        <f aca="false">IF(N(E43)&gt;0,MAX(AE$1:AE42)+1,"")</f>
        <v/>
      </c>
      <c r="AF43" s="11" t="str">
        <f aca="false">IF(A43="","",IFERROR(LEFT(A43,FIND("-",A43)-1),A43))</f>
        <v/>
      </c>
      <c r="AG43" s="11" t="str">
        <f aca="false">IF(AF43="","",IF(ISNUMBER(--MID(AF43,1,1)),0,IF(ISNUMBER(--MID(AF43,2,1)),1,IF(ISNUMBER(--MID(AF43,3,1)),2,IF(ISNUMBER(--MID(AF43,4,1)),3,MIN(LEN(AF43),4))))))</f>
        <v/>
      </c>
      <c r="AH43" s="11" t="str">
        <f aca="false">IF(A43="","",LEFT(AF43,AG43)&amp;REPT("0",4-AG43)&amp;RIGHT("000"&amp;IFERROR(VALUE(MID(AF43,AG43+1,9)),0),3)&amp;RIGHT("0000"&amp;IFERROR(VALUE(MID(A43,FIND("-",A43)+1,9)),0),4))</f>
        <v/>
      </c>
      <c r="AI43" s="11" t="str">
        <f aca="false">IF(OR(A43="",N(E43)&lt;=0),"",IF('FALTAS GERAL'!$M$1="Código","K"&amp;AH43&amp;RIGHT("00000"&amp;ROW(),5),IF('FALTAS GERAL'!$M$1="Nome","K"&amp;UPPER(SUBSTITUTE(SUBSTITUTE(SUBSTITUTE(B43,"*",""),"?",""),"~",""))&amp;"0"&amp;AH43&amp;RIGHT("00000"&amp;ROW(),5),IF('FALTAS GERAL'!$M$1="Falta (maior primeiro)","K"&amp;RIGHT("0000"&amp;(9999-E43),4)&amp;AH43&amp;RIGHT("00000"&amp;ROW(),5),IF('FALTAS GERAL'!$M$1="Nº de decks (maior primeiro)","K"&amp;RIGHT("00"&amp;(99-N(G43)),2)&amp;AH43&amp;RIGHT("00000"&amp;ROW(),5),"K"&amp;RIGHT("00000"&amp;ROW(),5))))))</f>
        <v/>
      </c>
      <c r="AJ43" s="11" t="str">
        <f aca="false">IF(AI43="","",COUNTIFS($AI$2:$AI$801,"&lt;"&amp;AI43,$E$2:$E$801,"&gt;0")+1)</f>
        <v/>
      </c>
      <c r="AK43" s="11" t="str">
        <f aca="false">IF(OR(A43="",N(E43)&lt;=0),"",COUNTIFS($AH$2:$AH$801,"&lt;"&amp;AH43,$E$2:$E$801,"&gt;0")+COUNTIFS($AH$2:AH43,AH43,$E$2:E43,"&gt;0"))</f>
        <v/>
      </c>
    </row>
    <row r="44" customFormat="false" ht="15" hidden="false" customHeight="false" outlineLevel="0" collapsed="false">
      <c r="A44" s="11" t="str">
        <f aca="false">IF(INVENTÁRIO!A44="","",INVENTÁRIO!A44)</f>
        <v/>
      </c>
      <c r="B44" s="11" t="str">
        <f aca="false">IF(A44="","",INVENTÁRIO!B44)</f>
        <v/>
      </c>
      <c r="C44" s="16" t="str">
        <f aca="false">IF(A44="","",INVENTÁRIO!C44)</f>
        <v/>
      </c>
      <c r="D44" s="14" t="str">
        <f aca="false">IF(A44="","",MAX(K44:AD44))</f>
        <v/>
      </c>
      <c r="E44" s="14" t="str">
        <f aca="false">IF(A44="","",MAX(0,D44-C44))</f>
        <v/>
      </c>
      <c r="F44" s="16" t="str">
        <f aca="false">IF(A44="","",IF(D44=0,"Fora dos decks",IF(E44=0,"Completo","Falta")))</f>
        <v/>
      </c>
      <c r="G44" s="16" t="str">
        <f aca="false">IF(A44="","",COUNTIF(K44:AD44,"&gt;0"))</f>
        <v/>
      </c>
      <c r="H44" s="16" t="str">
        <f aca="false">IF(A44="","",IF(G44&gt;1,"Sim",""))</f>
        <v/>
      </c>
      <c r="I44" s="18" t="str">
        <f aca="false">IF(A44="","",SUMIFS(DECKS!$D$2:$D$1201,DECKS!$B$2:$B$1201,A44))</f>
        <v/>
      </c>
      <c r="J44" s="18" t="str">
        <f aca="false">IF(A44="","",MAX(0,I44-C44))</f>
        <v/>
      </c>
      <c r="K44" s="19" t="str">
        <f aca="false">IF(OR($A44="",INDEX(_LEITURA!$Q$2:$Q$21,1)=0),"",SUMIFS(DECKS!$D$2:$D$1201,DECKS!$A$2:$A$1201,INDEX(_LEITURA!$P$2:$P$21,1),DECKS!$B$2:$B$1201,$A44))</f>
        <v/>
      </c>
      <c r="L44" s="19" t="str">
        <f aca="false">IF(OR($A44="",INDEX(_LEITURA!$Q$2:$Q$21,2)=0),"",SUMIFS(DECKS!$D$2:$D$1201,DECKS!$A$2:$A$1201,INDEX(_LEITURA!$P$2:$P$21,2),DECKS!$B$2:$B$1201,$A44))</f>
        <v/>
      </c>
      <c r="M44" s="19" t="str">
        <f aca="false">IF(OR($A44="",INDEX(_LEITURA!$Q$2:$Q$21,3)=0),"",SUMIFS(DECKS!$D$2:$D$1201,DECKS!$A$2:$A$1201,INDEX(_LEITURA!$P$2:$P$21,3),DECKS!$B$2:$B$1201,$A44))</f>
        <v/>
      </c>
      <c r="N44" s="19" t="str">
        <f aca="false">IF(OR($A44="",INDEX(_LEITURA!$Q$2:$Q$21,4)=0),"",SUMIFS(DECKS!$D$2:$D$1201,DECKS!$A$2:$A$1201,INDEX(_LEITURA!$P$2:$P$21,4),DECKS!$B$2:$B$1201,$A44))</f>
        <v/>
      </c>
      <c r="O44" s="19" t="str">
        <f aca="false">IF(OR($A44="",INDEX(_LEITURA!$Q$2:$Q$21,5)=0),"",SUMIFS(DECKS!$D$2:$D$1201,DECKS!$A$2:$A$1201,INDEX(_LEITURA!$P$2:$P$21,5),DECKS!$B$2:$B$1201,$A44))</f>
        <v/>
      </c>
      <c r="P44" s="19" t="str">
        <f aca="false">IF(OR($A44="",INDEX(_LEITURA!$Q$2:$Q$21,6)=0),"",SUMIFS(DECKS!$D$2:$D$1201,DECKS!$A$2:$A$1201,INDEX(_LEITURA!$P$2:$P$21,6),DECKS!$B$2:$B$1201,$A44))</f>
        <v/>
      </c>
      <c r="Q44" s="19" t="str">
        <f aca="false">IF(OR($A44="",INDEX(_LEITURA!$Q$2:$Q$21,7)=0),"",SUMIFS(DECKS!$D$2:$D$1201,DECKS!$A$2:$A$1201,INDEX(_LEITURA!$P$2:$P$21,7),DECKS!$B$2:$B$1201,$A44))</f>
        <v/>
      </c>
      <c r="R44" s="19" t="str">
        <f aca="false">IF(OR($A44="",INDEX(_LEITURA!$Q$2:$Q$21,8)=0),"",SUMIFS(DECKS!$D$2:$D$1201,DECKS!$A$2:$A$1201,INDEX(_LEITURA!$P$2:$P$21,8),DECKS!$B$2:$B$1201,$A44))</f>
        <v/>
      </c>
      <c r="S44" s="19" t="str">
        <f aca="false">IF(OR($A44="",INDEX(_LEITURA!$Q$2:$Q$21,9)=0),"",SUMIFS(DECKS!$D$2:$D$1201,DECKS!$A$2:$A$1201,INDEX(_LEITURA!$P$2:$P$21,9),DECKS!$B$2:$B$1201,$A44))</f>
        <v/>
      </c>
      <c r="T44" s="19" t="str">
        <f aca="false">IF(OR($A44="",INDEX(_LEITURA!$Q$2:$Q$21,10)=0),"",SUMIFS(DECKS!$D$2:$D$1201,DECKS!$A$2:$A$1201,INDEX(_LEITURA!$P$2:$P$21,10),DECKS!$B$2:$B$1201,$A44))</f>
        <v/>
      </c>
      <c r="U44" s="19" t="str">
        <f aca="false">IF(OR($A44="",INDEX(_LEITURA!$Q$2:$Q$21,11)=0),"",SUMIFS(DECKS!$D$2:$D$1201,DECKS!$A$2:$A$1201,INDEX(_LEITURA!$P$2:$P$21,11),DECKS!$B$2:$B$1201,$A44))</f>
        <v/>
      </c>
      <c r="V44" s="19" t="str">
        <f aca="false">IF(OR($A44="",INDEX(_LEITURA!$Q$2:$Q$21,12)=0),"",SUMIFS(DECKS!$D$2:$D$1201,DECKS!$A$2:$A$1201,INDEX(_LEITURA!$P$2:$P$21,12),DECKS!$B$2:$B$1201,$A44))</f>
        <v/>
      </c>
      <c r="W44" s="19" t="str">
        <f aca="false">IF(OR($A44="",INDEX(_LEITURA!$Q$2:$Q$21,13)=0),"",SUMIFS(DECKS!$D$2:$D$1201,DECKS!$A$2:$A$1201,INDEX(_LEITURA!$P$2:$P$21,13),DECKS!$B$2:$B$1201,$A44))</f>
        <v/>
      </c>
      <c r="X44" s="19" t="str">
        <f aca="false">IF(OR($A44="",INDEX(_LEITURA!$Q$2:$Q$21,14)=0),"",SUMIFS(DECKS!$D$2:$D$1201,DECKS!$A$2:$A$1201,INDEX(_LEITURA!$P$2:$P$21,14),DECKS!$B$2:$B$1201,$A44))</f>
        <v/>
      </c>
      <c r="Y44" s="19" t="str">
        <f aca="false">IF(OR($A44="",INDEX(_LEITURA!$Q$2:$Q$21,15)=0),"",SUMIFS(DECKS!$D$2:$D$1201,DECKS!$A$2:$A$1201,INDEX(_LEITURA!$P$2:$P$21,15),DECKS!$B$2:$B$1201,$A44))</f>
        <v/>
      </c>
      <c r="Z44" s="19" t="str">
        <f aca="false">IF(OR($A44="",INDEX(_LEITURA!$Q$2:$Q$21,16)=0),"",SUMIFS(DECKS!$D$2:$D$1201,DECKS!$A$2:$A$1201,INDEX(_LEITURA!$P$2:$P$21,16),DECKS!$B$2:$B$1201,$A44))</f>
        <v/>
      </c>
      <c r="AA44" s="19" t="str">
        <f aca="false">IF(OR($A44="",INDEX(_LEITURA!$Q$2:$Q$21,17)=0),"",SUMIFS(DECKS!$D$2:$D$1201,DECKS!$A$2:$A$1201,INDEX(_LEITURA!$P$2:$P$21,17),DECKS!$B$2:$B$1201,$A44))</f>
        <v/>
      </c>
      <c r="AB44" s="19" t="str">
        <f aca="false">IF(OR($A44="",INDEX(_LEITURA!$Q$2:$Q$21,18)=0),"",SUMIFS(DECKS!$D$2:$D$1201,DECKS!$A$2:$A$1201,INDEX(_LEITURA!$P$2:$P$21,18),DECKS!$B$2:$B$1201,$A44))</f>
        <v/>
      </c>
      <c r="AC44" s="19" t="str">
        <f aca="false">IF(OR($A44="",INDEX(_LEITURA!$Q$2:$Q$21,19)=0),"",SUMIFS(DECKS!$D$2:$D$1201,DECKS!$A$2:$A$1201,INDEX(_LEITURA!$P$2:$P$21,19),DECKS!$B$2:$B$1201,$A44))</f>
        <v/>
      </c>
      <c r="AD44" s="19" t="str">
        <f aca="false">IF(OR($A44="",INDEX(_LEITURA!$Q$2:$Q$21,20)=0),"",SUMIFS(DECKS!$D$2:$D$1201,DECKS!$A$2:$A$1201,INDEX(_LEITURA!$P$2:$P$21,20),DECKS!$B$2:$B$1201,$A44))</f>
        <v/>
      </c>
      <c r="AE44" s="16" t="str">
        <f aca="false">IF(N(E44)&gt;0,MAX(AE$1:AE43)+1,"")</f>
        <v/>
      </c>
      <c r="AF44" s="11" t="str">
        <f aca="false">IF(A44="","",IFERROR(LEFT(A44,FIND("-",A44)-1),A44))</f>
        <v/>
      </c>
      <c r="AG44" s="11" t="str">
        <f aca="false">IF(AF44="","",IF(ISNUMBER(--MID(AF44,1,1)),0,IF(ISNUMBER(--MID(AF44,2,1)),1,IF(ISNUMBER(--MID(AF44,3,1)),2,IF(ISNUMBER(--MID(AF44,4,1)),3,MIN(LEN(AF44),4))))))</f>
        <v/>
      </c>
      <c r="AH44" s="11" t="str">
        <f aca="false">IF(A44="","",LEFT(AF44,AG44)&amp;REPT("0",4-AG44)&amp;RIGHT("000"&amp;IFERROR(VALUE(MID(AF44,AG44+1,9)),0),3)&amp;RIGHT("0000"&amp;IFERROR(VALUE(MID(A44,FIND("-",A44)+1,9)),0),4))</f>
        <v/>
      </c>
      <c r="AI44" s="11" t="str">
        <f aca="false">IF(OR(A44="",N(E44)&lt;=0),"",IF('FALTAS GERAL'!$M$1="Código","K"&amp;AH44&amp;RIGHT("00000"&amp;ROW(),5),IF('FALTAS GERAL'!$M$1="Nome","K"&amp;UPPER(SUBSTITUTE(SUBSTITUTE(SUBSTITUTE(B44,"*",""),"?",""),"~",""))&amp;"0"&amp;AH44&amp;RIGHT("00000"&amp;ROW(),5),IF('FALTAS GERAL'!$M$1="Falta (maior primeiro)","K"&amp;RIGHT("0000"&amp;(9999-E44),4)&amp;AH44&amp;RIGHT("00000"&amp;ROW(),5),IF('FALTAS GERAL'!$M$1="Nº de decks (maior primeiro)","K"&amp;RIGHT("00"&amp;(99-N(G44)),2)&amp;AH44&amp;RIGHT("00000"&amp;ROW(),5),"K"&amp;RIGHT("00000"&amp;ROW(),5))))))</f>
        <v/>
      </c>
      <c r="AJ44" s="11" t="str">
        <f aca="false">IF(AI44="","",COUNTIFS($AI$2:$AI$801,"&lt;"&amp;AI44,$E$2:$E$801,"&gt;0")+1)</f>
        <v/>
      </c>
      <c r="AK44" s="11" t="str">
        <f aca="false">IF(OR(A44="",N(E44)&lt;=0),"",COUNTIFS($AH$2:$AH$801,"&lt;"&amp;AH44,$E$2:$E$801,"&gt;0")+COUNTIFS($AH$2:AH44,AH44,$E$2:E44,"&gt;0"))</f>
        <v/>
      </c>
    </row>
    <row r="45" customFormat="false" ht="15" hidden="false" customHeight="false" outlineLevel="0" collapsed="false">
      <c r="A45" s="11" t="str">
        <f aca="false">IF(INVENTÁRIO!A45="","",INVENTÁRIO!A45)</f>
        <v/>
      </c>
      <c r="B45" s="11" t="str">
        <f aca="false">IF(A45="","",INVENTÁRIO!B45)</f>
        <v/>
      </c>
      <c r="C45" s="16" t="str">
        <f aca="false">IF(A45="","",INVENTÁRIO!C45)</f>
        <v/>
      </c>
      <c r="D45" s="14" t="str">
        <f aca="false">IF(A45="","",MAX(K45:AD45))</f>
        <v/>
      </c>
      <c r="E45" s="14" t="str">
        <f aca="false">IF(A45="","",MAX(0,D45-C45))</f>
        <v/>
      </c>
      <c r="F45" s="16" t="str">
        <f aca="false">IF(A45="","",IF(D45=0,"Fora dos decks",IF(E45=0,"Completo","Falta")))</f>
        <v/>
      </c>
      <c r="G45" s="16" t="str">
        <f aca="false">IF(A45="","",COUNTIF(K45:AD45,"&gt;0"))</f>
        <v/>
      </c>
      <c r="H45" s="16" t="str">
        <f aca="false">IF(A45="","",IF(G45&gt;1,"Sim",""))</f>
        <v/>
      </c>
      <c r="I45" s="18" t="str">
        <f aca="false">IF(A45="","",SUMIFS(DECKS!$D$2:$D$1201,DECKS!$B$2:$B$1201,A45))</f>
        <v/>
      </c>
      <c r="J45" s="18" t="str">
        <f aca="false">IF(A45="","",MAX(0,I45-C45))</f>
        <v/>
      </c>
      <c r="K45" s="19" t="str">
        <f aca="false">IF(OR($A45="",INDEX(_LEITURA!$Q$2:$Q$21,1)=0),"",SUMIFS(DECKS!$D$2:$D$1201,DECKS!$A$2:$A$1201,INDEX(_LEITURA!$P$2:$P$21,1),DECKS!$B$2:$B$1201,$A45))</f>
        <v/>
      </c>
      <c r="L45" s="19" t="str">
        <f aca="false">IF(OR($A45="",INDEX(_LEITURA!$Q$2:$Q$21,2)=0),"",SUMIFS(DECKS!$D$2:$D$1201,DECKS!$A$2:$A$1201,INDEX(_LEITURA!$P$2:$P$21,2),DECKS!$B$2:$B$1201,$A45))</f>
        <v/>
      </c>
      <c r="M45" s="19" t="str">
        <f aca="false">IF(OR($A45="",INDEX(_LEITURA!$Q$2:$Q$21,3)=0),"",SUMIFS(DECKS!$D$2:$D$1201,DECKS!$A$2:$A$1201,INDEX(_LEITURA!$P$2:$P$21,3),DECKS!$B$2:$B$1201,$A45))</f>
        <v/>
      </c>
      <c r="N45" s="19" t="str">
        <f aca="false">IF(OR($A45="",INDEX(_LEITURA!$Q$2:$Q$21,4)=0),"",SUMIFS(DECKS!$D$2:$D$1201,DECKS!$A$2:$A$1201,INDEX(_LEITURA!$P$2:$P$21,4),DECKS!$B$2:$B$1201,$A45))</f>
        <v/>
      </c>
      <c r="O45" s="19" t="str">
        <f aca="false">IF(OR($A45="",INDEX(_LEITURA!$Q$2:$Q$21,5)=0),"",SUMIFS(DECKS!$D$2:$D$1201,DECKS!$A$2:$A$1201,INDEX(_LEITURA!$P$2:$P$21,5),DECKS!$B$2:$B$1201,$A45))</f>
        <v/>
      </c>
      <c r="P45" s="19" t="str">
        <f aca="false">IF(OR($A45="",INDEX(_LEITURA!$Q$2:$Q$21,6)=0),"",SUMIFS(DECKS!$D$2:$D$1201,DECKS!$A$2:$A$1201,INDEX(_LEITURA!$P$2:$P$21,6),DECKS!$B$2:$B$1201,$A45))</f>
        <v/>
      </c>
      <c r="Q45" s="19" t="str">
        <f aca="false">IF(OR($A45="",INDEX(_LEITURA!$Q$2:$Q$21,7)=0),"",SUMIFS(DECKS!$D$2:$D$1201,DECKS!$A$2:$A$1201,INDEX(_LEITURA!$P$2:$P$21,7),DECKS!$B$2:$B$1201,$A45))</f>
        <v/>
      </c>
      <c r="R45" s="19" t="str">
        <f aca="false">IF(OR($A45="",INDEX(_LEITURA!$Q$2:$Q$21,8)=0),"",SUMIFS(DECKS!$D$2:$D$1201,DECKS!$A$2:$A$1201,INDEX(_LEITURA!$P$2:$P$21,8),DECKS!$B$2:$B$1201,$A45))</f>
        <v/>
      </c>
      <c r="S45" s="19" t="str">
        <f aca="false">IF(OR($A45="",INDEX(_LEITURA!$Q$2:$Q$21,9)=0),"",SUMIFS(DECKS!$D$2:$D$1201,DECKS!$A$2:$A$1201,INDEX(_LEITURA!$P$2:$P$21,9),DECKS!$B$2:$B$1201,$A45))</f>
        <v/>
      </c>
      <c r="T45" s="19" t="str">
        <f aca="false">IF(OR($A45="",INDEX(_LEITURA!$Q$2:$Q$21,10)=0),"",SUMIFS(DECKS!$D$2:$D$1201,DECKS!$A$2:$A$1201,INDEX(_LEITURA!$P$2:$P$21,10),DECKS!$B$2:$B$1201,$A45))</f>
        <v/>
      </c>
      <c r="U45" s="19" t="str">
        <f aca="false">IF(OR($A45="",INDEX(_LEITURA!$Q$2:$Q$21,11)=0),"",SUMIFS(DECKS!$D$2:$D$1201,DECKS!$A$2:$A$1201,INDEX(_LEITURA!$P$2:$P$21,11),DECKS!$B$2:$B$1201,$A45))</f>
        <v/>
      </c>
      <c r="V45" s="19" t="str">
        <f aca="false">IF(OR($A45="",INDEX(_LEITURA!$Q$2:$Q$21,12)=0),"",SUMIFS(DECKS!$D$2:$D$1201,DECKS!$A$2:$A$1201,INDEX(_LEITURA!$P$2:$P$21,12),DECKS!$B$2:$B$1201,$A45))</f>
        <v/>
      </c>
      <c r="W45" s="19" t="str">
        <f aca="false">IF(OR($A45="",INDEX(_LEITURA!$Q$2:$Q$21,13)=0),"",SUMIFS(DECKS!$D$2:$D$1201,DECKS!$A$2:$A$1201,INDEX(_LEITURA!$P$2:$P$21,13),DECKS!$B$2:$B$1201,$A45))</f>
        <v/>
      </c>
      <c r="X45" s="19" t="str">
        <f aca="false">IF(OR($A45="",INDEX(_LEITURA!$Q$2:$Q$21,14)=0),"",SUMIFS(DECKS!$D$2:$D$1201,DECKS!$A$2:$A$1201,INDEX(_LEITURA!$P$2:$P$21,14),DECKS!$B$2:$B$1201,$A45))</f>
        <v/>
      </c>
      <c r="Y45" s="19" t="str">
        <f aca="false">IF(OR($A45="",INDEX(_LEITURA!$Q$2:$Q$21,15)=0),"",SUMIFS(DECKS!$D$2:$D$1201,DECKS!$A$2:$A$1201,INDEX(_LEITURA!$P$2:$P$21,15),DECKS!$B$2:$B$1201,$A45))</f>
        <v/>
      </c>
      <c r="Z45" s="19" t="str">
        <f aca="false">IF(OR($A45="",INDEX(_LEITURA!$Q$2:$Q$21,16)=0),"",SUMIFS(DECKS!$D$2:$D$1201,DECKS!$A$2:$A$1201,INDEX(_LEITURA!$P$2:$P$21,16),DECKS!$B$2:$B$1201,$A45))</f>
        <v/>
      </c>
      <c r="AA45" s="19" t="str">
        <f aca="false">IF(OR($A45="",INDEX(_LEITURA!$Q$2:$Q$21,17)=0),"",SUMIFS(DECKS!$D$2:$D$1201,DECKS!$A$2:$A$1201,INDEX(_LEITURA!$P$2:$P$21,17),DECKS!$B$2:$B$1201,$A45))</f>
        <v/>
      </c>
      <c r="AB45" s="19" t="str">
        <f aca="false">IF(OR($A45="",INDEX(_LEITURA!$Q$2:$Q$21,18)=0),"",SUMIFS(DECKS!$D$2:$D$1201,DECKS!$A$2:$A$1201,INDEX(_LEITURA!$P$2:$P$21,18),DECKS!$B$2:$B$1201,$A45))</f>
        <v/>
      </c>
      <c r="AC45" s="19" t="str">
        <f aca="false">IF(OR($A45="",INDEX(_LEITURA!$Q$2:$Q$21,19)=0),"",SUMIFS(DECKS!$D$2:$D$1201,DECKS!$A$2:$A$1201,INDEX(_LEITURA!$P$2:$P$21,19),DECKS!$B$2:$B$1201,$A45))</f>
        <v/>
      </c>
      <c r="AD45" s="19" t="str">
        <f aca="false">IF(OR($A45="",INDEX(_LEITURA!$Q$2:$Q$21,20)=0),"",SUMIFS(DECKS!$D$2:$D$1201,DECKS!$A$2:$A$1201,INDEX(_LEITURA!$P$2:$P$21,20),DECKS!$B$2:$B$1201,$A45))</f>
        <v/>
      </c>
      <c r="AE45" s="16" t="str">
        <f aca="false">IF(N(E45)&gt;0,MAX(AE$1:AE44)+1,"")</f>
        <v/>
      </c>
      <c r="AF45" s="11" t="str">
        <f aca="false">IF(A45="","",IFERROR(LEFT(A45,FIND("-",A45)-1),A45))</f>
        <v/>
      </c>
      <c r="AG45" s="11" t="str">
        <f aca="false">IF(AF45="","",IF(ISNUMBER(--MID(AF45,1,1)),0,IF(ISNUMBER(--MID(AF45,2,1)),1,IF(ISNUMBER(--MID(AF45,3,1)),2,IF(ISNUMBER(--MID(AF45,4,1)),3,MIN(LEN(AF45),4))))))</f>
        <v/>
      </c>
      <c r="AH45" s="11" t="str">
        <f aca="false">IF(A45="","",LEFT(AF45,AG45)&amp;REPT("0",4-AG45)&amp;RIGHT("000"&amp;IFERROR(VALUE(MID(AF45,AG45+1,9)),0),3)&amp;RIGHT("0000"&amp;IFERROR(VALUE(MID(A45,FIND("-",A45)+1,9)),0),4))</f>
        <v/>
      </c>
      <c r="AI45" s="11" t="str">
        <f aca="false">IF(OR(A45="",N(E45)&lt;=0),"",IF('FALTAS GERAL'!$M$1="Código","K"&amp;AH45&amp;RIGHT("00000"&amp;ROW(),5),IF('FALTAS GERAL'!$M$1="Nome","K"&amp;UPPER(SUBSTITUTE(SUBSTITUTE(SUBSTITUTE(B45,"*",""),"?",""),"~",""))&amp;"0"&amp;AH45&amp;RIGHT("00000"&amp;ROW(),5),IF('FALTAS GERAL'!$M$1="Falta (maior primeiro)","K"&amp;RIGHT("0000"&amp;(9999-E45),4)&amp;AH45&amp;RIGHT("00000"&amp;ROW(),5),IF('FALTAS GERAL'!$M$1="Nº de decks (maior primeiro)","K"&amp;RIGHT("00"&amp;(99-N(G45)),2)&amp;AH45&amp;RIGHT("00000"&amp;ROW(),5),"K"&amp;RIGHT("00000"&amp;ROW(),5))))))</f>
        <v/>
      </c>
      <c r="AJ45" s="11" t="str">
        <f aca="false">IF(AI45="","",COUNTIFS($AI$2:$AI$801,"&lt;"&amp;AI45,$E$2:$E$801,"&gt;0")+1)</f>
        <v/>
      </c>
      <c r="AK45" s="11" t="str">
        <f aca="false">IF(OR(A45="",N(E45)&lt;=0),"",COUNTIFS($AH$2:$AH$801,"&lt;"&amp;AH45,$E$2:$E$801,"&gt;0")+COUNTIFS($AH$2:AH45,AH45,$E$2:E45,"&gt;0"))</f>
        <v/>
      </c>
    </row>
    <row r="46" customFormat="false" ht="15" hidden="false" customHeight="false" outlineLevel="0" collapsed="false">
      <c r="A46" s="11" t="str">
        <f aca="false">IF(INVENTÁRIO!A46="","",INVENTÁRIO!A46)</f>
        <v/>
      </c>
      <c r="B46" s="11" t="str">
        <f aca="false">IF(A46="","",INVENTÁRIO!B46)</f>
        <v/>
      </c>
      <c r="C46" s="16" t="str">
        <f aca="false">IF(A46="","",INVENTÁRIO!C46)</f>
        <v/>
      </c>
      <c r="D46" s="14" t="str">
        <f aca="false">IF(A46="","",MAX(K46:AD46))</f>
        <v/>
      </c>
      <c r="E46" s="14" t="str">
        <f aca="false">IF(A46="","",MAX(0,D46-C46))</f>
        <v/>
      </c>
      <c r="F46" s="16" t="str">
        <f aca="false">IF(A46="","",IF(D46=0,"Fora dos decks",IF(E46=0,"Completo","Falta")))</f>
        <v/>
      </c>
      <c r="G46" s="16" t="str">
        <f aca="false">IF(A46="","",COUNTIF(K46:AD46,"&gt;0"))</f>
        <v/>
      </c>
      <c r="H46" s="16" t="str">
        <f aca="false">IF(A46="","",IF(G46&gt;1,"Sim",""))</f>
        <v/>
      </c>
      <c r="I46" s="18" t="str">
        <f aca="false">IF(A46="","",SUMIFS(DECKS!$D$2:$D$1201,DECKS!$B$2:$B$1201,A46))</f>
        <v/>
      </c>
      <c r="J46" s="18" t="str">
        <f aca="false">IF(A46="","",MAX(0,I46-C46))</f>
        <v/>
      </c>
      <c r="K46" s="19" t="str">
        <f aca="false">IF(OR($A46="",INDEX(_LEITURA!$Q$2:$Q$21,1)=0),"",SUMIFS(DECKS!$D$2:$D$1201,DECKS!$A$2:$A$1201,INDEX(_LEITURA!$P$2:$P$21,1),DECKS!$B$2:$B$1201,$A46))</f>
        <v/>
      </c>
      <c r="L46" s="19" t="str">
        <f aca="false">IF(OR($A46="",INDEX(_LEITURA!$Q$2:$Q$21,2)=0),"",SUMIFS(DECKS!$D$2:$D$1201,DECKS!$A$2:$A$1201,INDEX(_LEITURA!$P$2:$P$21,2),DECKS!$B$2:$B$1201,$A46))</f>
        <v/>
      </c>
      <c r="M46" s="19" t="str">
        <f aca="false">IF(OR($A46="",INDEX(_LEITURA!$Q$2:$Q$21,3)=0),"",SUMIFS(DECKS!$D$2:$D$1201,DECKS!$A$2:$A$1201,INDEX(_LEITURA!$P$2:$P$21,3),DECKS!$B$2:$B$1201,$A46))</f>
        <v/>
      </c>
      <c r="N46" s="19" t="str">
        <f aca="false">IF(OR($A46="",INDEX(_LEITURA!$Q$2:$Q$21,4)=0),"",SUMIFS(DECKS!$D$2:$D$1201,DECKS!$A$2:$A$1201,INDEX(_LEITURA!$P$2:$P$21,4),DECKS!$B$2:$B$1201,$A46))</f>
        <v/>
      </c>
      <c r="O46" s="19" t="str">
        <f aca="false">IF(OR($A46="",INDEX(_LEITURA!$Q$2:$Q$21,5)=0),"",SUMIFS(DECKS!$D$2:$D$1201,DECKS!$A$2:$A$1201,INDEX(_LEITURA!$P$2:$P$21,5),DECKS!$B$2:$B$1201,$A46))</f>
        <v/>
      </c>
      <c r="P46" s="19" t="str">
        <f aca="false">IF(OR($A46="",INDEX(_LEITURA!$Q$2:$Q$21,6)=0),"",SUMIFS(DECKS!$D$2:$D$1201,DECKS!$A$2:$A$1201,INDEX(_LEITURA!$P$2:$P$21,6),DECKS!$B$2:$B$1201,$A46))</f>
        <v/>
      </c>
      <c r="Q46" s="19" t="str">
        <f aca="false">IF(OR($A46="",INDEX(_LEITURA!$Q$2:$Q$21,7)=0),"",SUMIFS(DECKS!$D$2:$D$1201,DECKS!$A$2:$A$1201,INDEX(_LEITURA!$P$2:$P$21,7),DECKS!$B$2:$B$1201,$A46))</f>
        <v/>
      </c>
      <c r="R46" s="19" t="str">
        <f aca="false">IF(OR($A46="",INDEX(_LEITURA!$Q$2:$Q$21,8)=0),"",SUMIFS(DECKS!$D$2:$D$1201,DECKS!$A$2:$A$1201,INDEX(_LEITURA!$P$2:$P$21,8),DECKS!$B$2:$B$1201,$A46))</f>
        <v/>
      </c>
      <c r="S46" s="19" t="str">
        <f aca="false">IF(OR($A46="",INDEX(_LEITURA!$Q$2:$Q$21,9)=0),"",SUMIFS(DECKS!$D$2:$D$1201,DECKS!$A$2:$A$1201,INDEX(_LEITURA!$P$2:$P$21,9),DECKS!$B$2:$B$1201,$A46))</f>
        <v/>
      </c>
      <c r="T46" s="19" t="str">
        <f aca="false">IF(OR($A46="",INDEX(_LEITURA!$Q$2:$Q$21,10)=0),"",SUMIFS(DECKS!$D$2:$D$1201,DECKS!$A$2:$A$1201,INDEX(_LEITURA!$P$2:$P$21,10),DECKS!$B$2:$B$1201,$A46))</f>
        <v/>
      </c>
      <c r="U46" s="19" t="str">
        <f aca="false">IF(OR($A46="",INDEX(_LEITURA!$Q$2:$Q$21,11)=0),"",SUMIFS(DECKS!$D$2:$D$1201,DECKS!$A$2:$A$1201,INDEX(_LEITURA!$P$2:$P$21,11),DECKS!$B$2:$B$1201,$A46))</f>
        <v/>
      </c>
      <c r="V46" s="19" t="str">
        <f aca="false">IF(OR($A46="",INDEX(_LEITURA!$Q$2:$Q$21,12)=0),"",SUMIFS(DECKS!$D$2:$D$1201,DECKS!$A$2:$A$1201,INDEX(_LEITURA!$P$2:$P$21,12),DECKS!$B$2:$B$1201,$A46))</f>
        <v/>
      </c>
      <c r="W46" s="19" t="str">
        <f aca="false">IF(OR($A46="",INDEX(_LEITURA!$Q$2:$Q$21,13)=0),"",SUMIFS(DECKS!$D$2:$D$1201,DECKS!$A$2:$A$1201,INDEX(_LEITURA!$P$2:$P$21,13),DECKS!$B$2:$B$1201,$A46))</f>
        <v/>
      </c>
      <c r="X46" s="19" t="str">
        <f aca="false">IF(OR($A46="",INDEX(_LEITURA!$Q$2:$Q$21,14)=0),"",SUMIFS(DECKS!$D$2:$D$1201,DECKS!$A$2:$A$1201,INDEX(_LEITURA!$P$2:$P$21,14),DECKS!$B$2:$B$1201,$A46))</f>
        <v/>
      </c>
      <c r="Y46" s="19" t="str">
        <f aca="false">IF(OR($A46="",INDEX(_LEITURA!$Q$2:$Q$21,15)=0),"",SUMIFS(DECKS!$D$2:$D$1201,DECKS!$A$2:$A$1201,INDEX(_LEITURA!$P$2:$P$21,15),DECKS!$B$2:$B$1201,$A46))</f>
        <v/>
      </c>
      <c r="Z46" s="19" t="str">
        <f aca="false">IF(OR($A46="",INDEX(_LEITURA!$Q$2:$Q$21,16)=0),"",SUMIFS(DECKS!$D$2:$D$1201,DECKS!$A$2:$A$1201,INDEX(_LEITURA!$P$2:$P$21,16),DECKS!$B$2:$B$1201,$A46))</f>
        <v/>
      </c>
      <c r="AA46" s="19" t="str">
        <f aca="false">IF(OR($A46="",INDEX(_LEITURA!$Q$2:$Q$21,17)=0),"",SUMIFS(DECKS!$D$2:$D$1201,DECKS!$A$2:$A$1201,INDEX(_LEITURA!$P$2:$P$21,17),DECKS!$B$2:$B$1201,$A46))</f>
        <v/>
      </c>
      <c r="AB46" s="19" t="str">
        <f aca="false">IF(OR($A46="",INDEX(_LEITURA!$Q$2:$Q$21,18)=0),"",SUMIFS(DECKS!$D$2:$D$1201,DECKS!$A$2:$A$1201,INDEX(_LEITURA!$P$2:$P$21,18),DECKS!$B$2:$B$1201,$A46))</f>
        <v/>
      </c>
      <c r="AC46" s="19" t="str">
        <f aca="false">IF(OR($A46="",INDEX(_LEITURA!$Q$2:$Q$21,19)=0),"",SUMIFS(DECKS!$D$2:$D$1201,DECKS!$A$2:$A$1201,INDEX(_LEITURA!$P$2:$P$21,19),DECKS!$B$2:$B$1201,$A46))</f>
        <v/>
      </c>
      <c r="AD46" s="19" t="str">
        <f aca="false">IF(OR($A46="",INDEX(_LEITURA!$Q$2:$Q$21,20)=0),"",SUMIFS(DECKS!$D$2:$D$1201,DECKS!$A$2:$A$1201,INDEX(_LEITURA!$P$2:$P$21,20),DECKS!$B$2:$B$1201,$A46))</f>
        <v/>
      </c>
      <c r="AE46" s="16" t="str">
        <f aca="false">IF(N(E46)&gt;0,MAX(AE$1:AE45)+1,"")</f>
        <v/>
      </c>
      <c r="AF46" s="11" t="str">
        <f aca="false">IF(A46="","",IFERROR(LEFT(A46,FIND("-",A46)-1),A46))</f>
        <v/>
      </c>
      <c r="AG46" s="11" t="str">
        <f aca="false">IF(AF46="","",IF(ISNUMBER(--MID(AF46,1,1)),0,IF(ISNUMBER(--MID(AF46,2,1)),1,IF(ISNUMBER(--MID(AF46,3,1)),2,IF(ISNUMBER(--MID(AF46,4,1)),3,MIN(LEN(AF46),4))))))</f>
        <v/>
      </c>
      <c r="AH46" s="11" t="str">
        <f aca="false">IF(A46="","",LEFT(AF46,AG46)&amp;REPT("0",4-AG46)&amp;RIGHT("000"&amp;IFERROR(VALUE(MID(AF46,AG46+1,9)),0),3)&amp;RIGHT("0000"&amp;IFERROR(VALUE(MID(A46,FIND("-",A46)+1,9)),0),4))</f>
        <v/>
      </c>
      <c r="AI46" s="11" t="str">
        <f aca="false">IF(OR(A46="",N(E46)&lt;=0),"",IF('FALTAS GERAL'!$M$1="Código","K"&amp;AH46&amp;RIGHT("00000"&amp;ROW(),5),IF('FALTAS GERAL'!$M$1="Nome","K"&amp;UPPER(SUBSTITUTE(SUBSTITUTE(SUBSTITUTE(B46,"*",""),"?",""),"~",""))&amp;"0"&amp;AH46&amp;RIGHT("00000"&amp;ROW(),5),IF('FALTAS GERAL'!$M$1="Falta (maior primeiro)","K"&amp;RIGHT("0000"&amp;(9999-E46),4)&amp;AH46&amp;RIGHT("00000"&amp;ROW(),5),IF('FALTAS GERAL'!$M$1="Nº de decks (maior primeiro)","K"&amp;RIGHT("00"&amp;(99-N(G46)),2)&amp;AH46&amp;RIGHT("00000"&amp;ROW(),5),"K"&amp;RIGHT("00000"&amp;ROW(),5))))))</f>
        <v/>
      </c>
      <c r="AJ46" s="11" t="str">
        <f aca="false">IF(AI46="","",COUNTIFS($AI$2:$AI$801,"&lt;"&amp;AI46,$E$2:$E$801,"&gt;0")+1)</f>
        <v/>
      </c>
      <c r="AK46" s="11" t="str">
        <f aca="false">IF(OR(A46="",N(E46)&lt;=0),"",COUNTIFS($AH$2:$AH$801,"&lt;"&amp;AH46,$E$2:$E$801,"&gt;0")+COUNTIFS($AH$2:AH46,AH46,$E$2:E46,"&gt;0"))</f>
        <v/>
      </c>
    </row>
    <row r="47" customFormat="false" ht="15" hidden="false" customHeight="false" outlineLevel="0" collapsed="false">
      <c r="A47" s="11" t="str">
        <f aca="false">IF(INVENTÁRIO!A47="","",INVENTÁRIO!A47)</f>
        <v/>
      </c>
      <c r="B47" s="11" t="str">
        <f aca="false">IF(A47="","",INVENTÁRIO!B47)</f>
        <v/>
      </c>
      <c r="C47" s="16" t="str">
        <f aca="false">IF(A47="","",INVENTÁRIO!C47)</f>
        <v/>
      </c>
      <c r="D47" s="14" t="str">
        <f aca="false">IF(A47="","",MAX(K47:AD47))</f>
        <v/>
      </c>
      <c r="E47" s="14" t="str">
        <f aca="false">IF(A47="","",MAX(0,D47-C47))</f>
        <v/>
      </c>
      <c r="F47" s="16" t="str">
        <f aca="false">IF(A47="","",IF(D47=0,"Fora dos decks",IF(E47=0,"Completo","Falta")))</f>
        <v/>
      </c>
      <c r="G47" s="16" t="str">
        <f aca="false">IF(A47="","",COUNTIF(K47:AD47,"&gt;0"))</f>
        <v/>
      </c>
      <c r="H47" s="16" t="str">
        <f aca="false">IF(A47="","",IF(G47&gt;1,"Sim",""))</f>
        <v/>
      </c>
      <c r="I47" s="18" t="str">
        <f aca="false">IF(A47="","",SUMIFS(DECKS!$D$2:$D$1201,DECKS!$B$2:$B$1201,A47))</f>
        <v/>
      </c>
      <c r="J47" s="18" t="str">
        <f aca="false">IF(A47="","",MAX(0,I47-C47))</f>
        <v/>
      </c>
      <c r="K47" s="19" t="str">
        <f aca="false">IF(OR($A47="",INDEX(_LEITURA!$Q$2:$Q$21,1)=0),"",SUMIFS(DECKS!$D$2:$D$1201,DECKS!$A$2:$A$1201,INDEX(_LEITURA!$P$2:$P$21,1),DECKS!$B$2:$B$1201,$A47))</f>
        <v/>
      </c>
      <c r="L47" s="19" t="str">
        <f aca="false">IF(OR($A47="",INDEX(_LEITURA!$Q$2:$Q$21,2)=0),"",SUMIFS(DECKS!$D$2:$D$1201,DECKS!$A$2:$A$1201,INDEX(_LEITURA!$P$2:$P$21,2),DECKS!$B$2:$B$1201,$A47))</f>
        <v/>
      </c>
      <c r="M47" s="19" t="str">
        <f aca="false">IF(OR($A47="",INDEX(_LEITURA!$Q$2:$Q$21,3)=0),"",SUMIFS(DECKS!$D$2:$D$1201,DECKS!$A$2:$A$1201,INDEX(_LEITURA!$P$2:$P$21,3),DECKS!$B$2:$B$1201,$A47))</f>
        <v/>
      </c>
      <c r="N47" s="19" t="str">
        <f aca="false">IF(OR($A47="",INDEX(_LEITURA!$Q$2:$Q$21,4)=0),"",SUMIFS(DECKS!$D$2:$D$1201,DECKS!$A$2:$A$1201,INDEX(_LEITURA!$P$2:$P$21,4),DECKS!$B$2:$B$1201,$A47))</f>
        <v/>
      </c>
      <c r="O47" s="19" t="str">
        <f aca="false">IF(OR($A47="",INDEX(_LEITURA!$Q$2:$Q$21,5)=0),"",SUMIFS(DECKS!$D$2:$D$1201,DECKS!$A$2:$A$1201,INDEX(_LEITURA!$P$2:$P$21,5),DECKS!$B$2:$B$1201,$A47))</f>
        <v/>
      </c>
      <c r="P47" s="19" t="str">
        <f aca="false">IF(OR($A47="",INDEX(_LEITURA!$Q$2:$Q$21,6)=0),"",SUMIFS(DECKS!$D$2:$D$1201,DECKS!$A$2:$A$1201,INDEX(_LEITURA!$P$2:$P$21,6),DECKS!$B$2:$B$1201,$A47))</f>
        <v/>
      </c>
      <c r="Q47" s="19" t="str">
        <f aca="false">IF(OR($A47="",INDEX(_LEITURA!$Q$2:$Q$21,7)=0),"",SUMIFS(DECKS!$D$2:$D$1201,DECKS!$A$2:$A$1201,INDEX(_LEITURA!$P$2:$P$21,7),DECKS!$B$2:$B$1201,$A47))</f>
        <v/>
      </c>
      <c r="R47" s="19" t="str">
        <f aca="false">IF(OR($A47="",INDEX(_LEITURA!$Q$2:$Q$21,8)=0),"",SUMIFS(DECKS!$D$2:$D$1201,DECKS!$A$2:$A$1201,INDEX(_LEITURA!$P$2:$P$21,8),DECKS!$B$2:$B$1201,$A47))</f>
        <v/>
      </c>
      <c r="S47" s="19" t="str">
        <f aca="false">IF(OR($A47="",INDEX(_LEITURA!$Q$2:$Q$21,9)=0),"",SUMIFS(DECKS!$D$2:$D$1201,DECKS!$A$2:$A$1201,INDEX(_LEITURA!$P$2:$P$21,9),DECKS!$B$2:$B$1201,$A47))</f>
        <v/>
      </c>
      <c r="T47" s="19" t="str">
        <f aca="false">IF(OR($A47="",INDEX(_LEITURA!$Q$2:$Q$21,10)=0),"",SUMIFS(DECKS!$D$2:$D$1201,DECKS!$A$2:$A$1201,INDEX(_LEITURA!$P$2:$P$21,10),DECKS!$B$2:$B$1201,$A47))</f>
        <v/>
      </c>
      <c r="U47" s="19" t="str">
        <f aca="false">IF(OR($A47="",INDEX(_LEITURA!$Q$2:$Q$21,11)=0),"",SUMIFS(DECKS!$D$2:$D$1201,DECKS!$A$2:$A$1201,INDEX(_LEITURA!$P$2:$P$21,11),DECKS!$B$2:$B$1201,$A47))</f>
        <v/>
      </c>
      <c r="V47" s="19" t="str">
        <f aca="false">IF(OR($A47="",INDEX(_LEITURA!$Q$2:$Q$21,12)=0),"",SUMIFS(DECKS!$D$2:$D$1201,DECKS!$A$2:$A$1201,INDEX(_LEITURA!$P$2:$P$21,12),DECKS!$B$2:$B$1201,$A47))</f>
        <v/>
      </c>
      <c r="W47" s="19" t="str">
        <f aca="false">IF(OR($A47="",INDEX(_LEITURA!$Q$2:$Q$21,13)=0),"",SUMIFS(DECKS!$D$2:$D$1201,DECKS!$A$2:$A$1201,INDEX(_LEITURA!$P$2:$P$21,13),DECKS!$B$2:$B$1201,$A47))</f>
        <v/>
      </c>
      <c r="X47" s="19" t="str">
        <f aca="false">IF(OR($A47="",INDEX(_LEITURA!$Q$2:$Q$21,14)=0),"",SUMIFS(DECKS!$D$2:$D$1201,DECKS!$A$2:$A$1201,INDEX(_LEITURA!$P$2:$P$21,14),DECKS!$B$2:$B$1201,$A47))</f>
        <v/>
      </c>
      <c r="Y47" s="19" t="str">
        <f aca="false">IF(OR($A47="",INDEX(_LEITURA!$Q$2:$Q$21,15)=0),"",SUMIFS(DECKS!$D$2:$D$1201,DECKS!$A$2:$A$1201,INDEX(_LEITURA!$P$2:$P$21,15),DECKS!$B$2:$B$1201,$A47))</f>
        <v/>
      </c>
      <c r="Z47" s="19" t="str">
        <f aca="false">IF(OR($A47="",INDEX(_LEITURA!$Q$2:$Q$21,16)=0),"",SUMIFS(DECKS!$D$2:$D$1201,DECKS!$A$2:$A$1201,INDEX(_LEITURA!$P$2:$P$21,16),DECKS!$B$2:$B$1201,$A47))</f>
        <v/>
      </c>
      <c r="AA47" s="19" t="str">
        <f aca="false">IF(OR($A47="",INDEX(_LEITURA!$Q$2:$Q$21,17)=0),"",SUMIFS(DECKS!$D$2:$D$1201,DECKS!$A$2:$A$1201,INDEX(_LEITURA!$P$2:$P$21,17),DECKS!$B$2:$B$1201,$A47))</f>
        <v/>
      </c>
      <c r="AB47" s="19" t="str">
        <f aca="false">IF(OR($A47="",INDEX(_LEITURA!$Q$2:$Q$21,18)=0),"",SUMIFS(DECKS!$D$2:$D$1201,DECKS!$A$2:$A$1201,INDEX(_LEITURA!$P$2:$P$21,18),DECKS!$B$2:$B$1201,$A47))</f>
        <v/>
      </c>
      <c r="AC47" s="19" t="str">
        <f aca="false">IF(OR($A47="",INDEX(_LEITURA!$Q$2:$Q$21,19)=0),"",SUMIFS(DECKS!$D$2:$D$1201,DECKS!$A$2:$A$1201,INDEX(_LEITURA!$P$2:$P$21,19),DECKS!$B$2:$B$1201,$A47))</f>
        <v/>
      </c>
      <c r="AD47" s="19" t="str">
        <f aca="false">IF(OR($A47="",INDEX(_LEITURA!$Q$2:$Q$21,20)=0),"",SUMIFS(DECKS!$D$2:$D$1201,DECKS!$A$2:$A$1201,INDEX(_LEITURA!$P$2:$P$21,20),DECKS!$B$2:$B$1201,$A47))</f>
        <v/>
      </c>
      <c r="AE47" s="16" t="str">
        <f aca="false">IF(N(E47)&gt;0,MAX(AE$1:AE46)+1,"")</f>
        <v/>
      </c>
      <c r="AF47" s="11" t="str">
        <f aca="false">IF(A47="","",IFERROR(LEFT(A47,FIND("-",A47)-1),A47))</f>
        <v/>
      </c>
      <c r="AG47" s="11" t="str">
        <f aca="false">IF(AF47="","",IF(ISNUMBER(--MID(AF47,1,1)),0,IF(ISNUMBER(--MID(AF47,2,1)),1,IF(ISNUMBER(--MID(AF47,3,1)),2,IF(ISNUMBER(--MID(AF47,4,1)),3,MIN(LEN(AF47),4))))))</f>
        <v/>
      </c>
      <c r="AH47" s="11" t="str">
        <f aca="false">IF(A47="","",LEFT(AF47,AG47)&amp;REPT("0",4-AG47)&amp;RIGHT("000"&amp;IFERROR(VALUE(MID(AF47,AG47+1,9)),0),3)&amp;RIGHT("0000"&amp;IFERROR(VALUE(MID(A47,FIND("-",A47)+1,9)),0),4))</f>
        <v/>
      </c>
      <c r="AI47" s="11" t="str">
        <f aca="false">IF(OR(A47="",N(E47)&lt;=0),"",IF('FALTAS GERAL'!$M$1="Código","K"&amp;AH47&amp;RIGHT("00000"&amp;ROW(),5),IF('FALTAS GERAL'!$M$1="Nome","K"&amp;UPPER(SUBSTITUTE(SUBSTITUTE(SUBSTITUTE(B47,"*",""),"?",""),"~",""))&amp;"0"&amp;AH47&amp;RIGHT("00000"&amp;ROW(),5),IF('FALTAS GERAL'!$M$1="Falta (maior primeiro)","K"&amp;RIGHT("0000"&amp;(9999-E47),4)&amp;AH47&amp;RIGHT("00000"&amp;ROW(),5),IF('FALTAS GERAL'!$M$1="Nº de decks (maior primeiro)","K"&amp;RIGHT("00"&amp;(99-N(G47)),2)&amp;AH47&amp;RIGHT("00000"&amp;ROW(),5),"K"&amp;RIGHT("00000"&amp;ROW(),5))))))</f>
        <v/>
      </c>
      <c r="AJ47" s="11" t="str">
        <f aca="false">IF(AI47="","",COUNTIFS($AI$2:$AI$801,"&lt;"&amp;AI47,$E$2:$E$801,"&gt;0")+1)</f>
        <v/>
      </c>
      <c r="AK47" s="11" t="str">
        <f aca="false">IF(OR(A47="",N(E47)&lt;=0),"",COUNTIFS($AH$2:$AH$801,"&lt;"&amp;AH47,$E$2:$E$801,"&gt;0")+COUNTIFS($AH$2:AH47,AH47,$E$2:E47,"&gt;0"))</f>
        <v/>
      </c>
    </row>
    <row r="48" customFormat="false" ht="15" hidden="false" customHeight="false" outlineLevel="0" collapsed="false">
      <c r="A48" s="11" t="str">
        <f aca="false">IF(INVENTÁRIO!A48="","",INVENTÁRIO!A48)</f>
        <v/>
      </c>
      <c r="B48" s="11" t="str">
        <f aca="false">IF(A48="","",INVENTÁRIO!B48)</f>
        <v/>
      </c>
      <c r="C48" s="16" t="str">
        <f aca="false">IF(A48="","",INVENTÁRIO!C48)</f>
        <v/>
      </c>
      <c r="D48" s="14" t="str">
        <f aca="false">IF(A48="","",MAX(K48:AD48))</f>
        <v/>
      </c>
      <c r="E48" s="14" t="str">
        <f aca="false">IF(A48="","",MAX(0,D48-C48))</f>
        <v/>
      </c>
      <c r="F48" s="16" t="str">
        <f aca="false">IF(A48="","",IF(D48=0,"Fora dos decks",IF(E48=0,"Completo","Falta")))</f>
        <v/>
      </c>
      <c r="G48" s="16" t="str">
        <f aca="false">IF(A48="","",COUNTIF(K48:AD48,"&gt;0"))</f>
        <v/>
      </c>
      <c r="H48" s="16" t="str">
        <f aca="false">IF(A48="","",IF(G48&gt;1,"Sim",""))</f>
        <v/>
      </c>
      <c r="I48" s="18" t="str">
        <f aca="false">IF(A48="","",SUMIFS(DECKS!$D$2:$D$1201,DECKS!$B$2:$B$1201,A48))</f>
        <v/>
      </c>
      <c r="J48" s="18" t="str">
        <f aca="false">IF(A48="","",MAX(0,I48-C48))</f>
        <v/>
      </c>
      <c r="K48" s="19" t="str">
        <f aca="false">IF(OR($A48="",INDEX(_LEITURA!$Q$2:$Q$21,1)=0),"",SUMIFS(DECKS!$D$2:$D$1201,DECKS!$A$2:$A$1201,INDEX(_LEITURA!$P$2:$P$21,1),DECKS!$B$2:$B$1201,$A48))</f>
        <v/>
      </c>
      <c r="L48" s="19" t="str">
        <f aca="false">IF(OR($A48="",INDEX(_LEITURA!$Q$2:$Q$21,2)=0),"",SUMIFS(DECKS!$D$2:$D$1201,DECKS!$A$2:$A$1201,INDEX(_LEITURA!$P$2:$P$21,2),DECKS!$B$2:$B$1201,$A48))</f>
        <v/>
      </c>
      <c r="M48" s="19" t="str">
        <f aca="false">IF(OR($A48="",INDEX(_LEITURA!$Q$2:$Q$21,3)=0),"",SUMIFS(DECKS!$D$2:$D$1201,DECKS!$A$2:$A$1201,INDEX(_LEITURA!$P$2:$P$21,3),DECKS!$B$2:$B$1201,$A48))</f>
        <v/>
      </c>
      <c r="N48" s="19" t="str">
        <f aca="false">IF(OR($A48="",INDEX(_LEITURA!$Q$2:$Q$21,4)=0),"",SUMIFS(DECKS!$D$2:$D$1201,DECKS!$A$2:$A$1201,INDEX(_LEITURA!$P$2:$P$21,4),DECKS!$B$2:$B$1201,$A48))</f>
        <v/>
      </c>
      <c r="O48" s="19" t="str">
        <f aca="false">IF(OR($A48="",INDEX(_LEITURA!$Q$2:$Q$21,5)=0),"",SUMIFS(DECKS!$D$2:$D$1201,DECKS!$A$2:$A$1201,INDEX(_LEITURA!$P$2:$P$21,5),DECKS!$B$2:$B$1201,$A48))</f>
        <v/>
      </c>
      <c r="P48" s="19" t="str">
        <f aca="false">IF(OR($A48="",INDEX(_LEITURA!$Q$2:$Q$21,6)=0),"",SUMIFS(DECKS!$D$2:$D$1201,DECKS!$A$2:$A$1201,INDEX(_LEITURA!$P$2:$P$21,6),DECKS!$B$2:$B$1201,$A48))</f>
        <v/>
      </c>
      <c r="Q48" s="19" t="str">
        <f aca="false">IF(OR($A48="",INDEX(_LEITURA!$Q$2:$Q$21,7)=0),"",SUMIFS(DECKS!$D$2:$D$1201,DECKS!$A$2:$A$1201,INDEX(_LEITURA!$P$2:$P$21,7),DECKS!$B$2:$B$1201,$A48))</f>
        <v/>
      </c>
      <c r="R48" s="19" t="str">
        <f aca="false">IF(OR($A48="",INDEX(_LEITURA!$Q$2:$Q$21,8)=0),"",SUMIFS(DECKS!$D$2:$D$1201,DECKS!$A$2:$A$1201,INDEX(_LEITURA!$P$2:$P$21,8),DECKS!$B$2:$B$1201,$A48))</f>
        <v/>
      </c>
      <c r="S48" s="19" t="str">
        <f aca="false">IF(OR($A48="",INDEX(_LEITURA!$Q$2:$Q$21,9)=0),"",SUMIFS(DECKS!$D$2:$D$1201,DECKS!$A$2:$A$1201,INDEX(_LEITURA!$P$2:$P$21,9),DECKS!$B$2:$B$1201,$A48))</f>
        <v/>
      </c>
      <c r="T48" s="19" t="str">
        <f aca="false">IF(OR($A48="",INDEX(_LEITURA!$Q$2:$Q$21,10)=0),"",SUMIFS(DECKS!$D$2:$D$1201,DECKS!$A$2:$A$1201,INDEX(_LEITURA!$P$2:$P$21,10),DECKS!$B$2:$B$1201,$A48))</f>
        <v/>
      </c>
      <c r="U48" s="19" t="str">
        <f aca="false">IF(OR($A48="",INDEX(_LEITURA!$Q$2:$Q$21,11)=0),"",SUMIFS(DECKS!$D$2:$D$1201,DECKS!$A$2:$A$1201,INDEX(_LEITURA!$P$2:$P$21,11),DECKS!$B$2:$B$1201,$A48))</f>
        <v/>
      </c>
      <c r="V48" s="19" t="str">
        <f aca="false">IF(OR($A48="",INDEX(_LEITURA!$Q$2:$Q$21,12)=0),"",SUMIFS(DECKS!$D$2:$D$1201,DECKS!$A$2:$A$1201,INDEX(_LEITURA!$P$2:$P$21,12),DECKS!$B$2:$B$1201,$A48))</f>
        <v/>
      </c>
      <c r="W48" s="19" t="str">
        <f aca="false">IF(OR($A48="",INDEX(_LEITURA!$Q$2:$Q$21,13)=0),"",SUMIFS(DECKS!$D$2:$D$1201,DECKS!$A$2:$A$1201,INDEX(_LEITURA!$P$2:$P$21,13),DECKS!$B$2:$B$1201,$A48))</f>
        <v/>
      </c>
      <c r="X48" s="19" t="str">
        <f aca="false">IF(OR($A48="",INDEX(_LEITURA!$Q$2:$Q$21,14)=0),"",SUMIFS(DECKS!$D$2:$D$1201,DECKS!$A$2:$A$1201,INDEX(_LEITURA!$P$2:$P$21,14),DECKS!$B$2:$B$1201,$A48))</f>
        <v/>
      </c>
      <c r="Y48" s="19" t="str">
        <f aca="false">IF(OR($A48="",INDEX(_LEITURA!$Q$2:$Q$21,15)=0),"",SUMIFS(DECKS!$D$2:$D$1201,DECKS!$A$2:$A$1201,INDEX(_LEITURA!$P$2:$P$21,15),DECKS!$B$2:$B$1201,$A48))</f>
        <v/>
      </c>
      <c r="Z48" s="19" t="str">
        <f aca="false">IF(OR($A48="",INDEX(_LEITURA!$Q$2:$Q$21,16)=0),"",SUMIFS(DECKS!$D$2:$D$1201,DECKS!$A$2:$A$1201,INDEX(_LEITURA!$P$2:$P$21,16),DECKS!$B$2:$B$1201,$A48))</f>
        <v/>
      </c>
      <c r="AA48" s="19" t="str">
        <f aca="false">IF(OR($A48="",INDEX(_LEITURA!$Q$2:$Q$21,17)=0),"",SUMIFS(DECKS!$D$2:$D$1201,DECKS!$A$2:$A$1201,INDEX(_LEITURA!$P$2:$P$21,17),DECKS!$B$2:$B$1201,$A48))</f>
        <v/>
      </c>
      <c r="AB48" s="19" t="str">
        <f aca="false">IF(OR($A48="",INDEX(_LEITURA!$Q$2:$Q$21,18)=0),"",SUMIFS(DECKS!$D$2:$D$1201,DECKS!$A$2:$A$1201,INDEX(_LEITURA!$P$2:$P$21,18),DECKS!$B$2:$B$1201,$A48))</f>
        <v/>
      </c>
      <c r="AC48" s="19" t="str">
        <f aca="false">IF(OR($A48="",INDEX(_LEITURA!$Q$2:$Q$21,19)=0),"",SUMIFS(DECKS!$D$2:$D$1201,DECKS!$A$2:$A$1201,INDEX(_LEITURA!$P$2:$P$21,19),DECKS!$B$2:$B$1201,$A48))</f>
        <v/>
      </c>
      <c r="AD48" s="19" t="str">
        <f aca="false">IF(OR($A48="",INDEX(_LEITURA!$Q$2:$Q$21,20)=0),"",SUMIFS(DECKS!$D$2:$D$1201,DECKS!$A$2:$A$1201,INDEX(_LEITURA!$P$2:$P$21,20),DECKS!$B$2:$B$1201,$A48))</f>
        <v/>
      </c>
      <c r="AE48" s="16" t="str">
        <f aca="false">IF(N(E48)&gt;0,MAX(AE$1:AE47)+1,"")</f>
        <v/>
      </c>
      <c r="AF48" s="11" t="str">
        <f aca="false">IF(A48="","",IFERROR(LEFT(A48,FIND("-",A48)-1),A48))</f>
        <v/>
      </c>
      <c r="AG48" s="11" t="str">
        <f aca="false">IF(AF48="","",IF(ISNUMBER(--MID(AF48,1,1)),0,IF(ISNUMBER(--MID(AF48,2,1)),1,IF(ISNUMBER(--MID(AF48,3,1)),2,IF(ISNUMBER(--MID(AF48,4,1)),3,MIN(LEN(AF48),4))))))</f>
        <v/>
      </c>
      <c r="AH48" s="11" t="str">
        <f aca="false">IF(A48="","",LEFT(AF48,AG48)&amp;REPT("0",4-AG48)&amp;RIGHT("000"&amp;IFERROR(VALUE(MID(AF48,AG48+1,9)),0),3)&amp;RIGHT("0000"&amp;IFERROR(VALUE(MID(A48,FIND("-",A48)+1,9)),0),4))</f>
        <v/>
      </c>
      <c r="AI48" s="11" t="str">
        <f aca="false">IF(OR(A48="",N(E48)&lt;=0),"",IF('FALTAS GERAL'!$M$1="Código","K"&amp;AH48&amp;RIGHT("00000"&amp;ROW(),5),IF('FALTAS GERAL'!$M$1="Nome","K"&amp;UPPER(SUBSTITUTE(SUBSTITUTE(SUBSTITUTE(B48,"*",""),"?",""),"~",""))&amp;"0"&amp;AH48&amp;RIGHT("00000"&amp;ROW(),5),IF('FALTAS GERAL'!$M$1="Falta (maior primeiro)","K"&amp;RIGHT("0000"&amp;(9999-E48),4)&amp;AH48&amp;RIGHT("00000"&amp;ROW(),5),IF('FALTAS GERAL'!$M$1="Nº de decks (maior primeiro)","K"&amp;RIGHT("00"&amp;(99-N(G48)),2)&amp;AH48&amp;RIGHT("00000"&amp;ROW(),5),"K"&amp;RIGHT("00000"&amp;ROW(),5))))))</f>
        <v/>
      </c>
      <c r="AJ48" s="11" t="str">
        <f aca="false">IF(AI48="","",COUNTIFS($AI$2:$AI$801,"&lt;"&amp;AI48,$E$2:$E$801,"&gt;0")+1)</f>
        <v/>
      </c>
      <c r="AK48" s="11" t="str">
        <f aca="false">IF(OR(A48="",N(E48)&lt;=0),"",COUNTIFS($AH$2:$AH$801,"&lt;"&amp;AH48,$E$2:$E$801,"&gt;0")+COUNTIFS($AH$2:AH48,AH48,$E$2:E48,"&gt;0"))</f>
        <v/>
      </c>
    </row>
    <row r="49" customFormat="false" ht="15" hidden="false" customHeight="false" outlineLevel="0" collapsed="false">
      <c r="A49" s="11" t="str">
        <f aca="false">IF(INVENTÁRIO!A49="","",INVENTÁRIO!A49)</f>
        <v/>
      </c>
      <c r="B49" s="11" t="str">
        <f aca="false">IF(A49="","",INVENTÁRIO!B49)</f>
        <v/>
      </c>
      <c r="C49" s="16" t="str">
        <f aca="false">IF(A49="","",INVENTÁRIO!C49)</f>
        <v/>
      </c>
      <c r="D49" s="14" t="str">
        <f aca="false">IF(A49="","",MAX(K49:AD49))</f>
        <v/>
      </c>
      <c r="E49" s="14" t="str">
        <f aca="false">IF(A49="","",MAX(0,D49-C49))</f>
        <v/>
      </c>
      <c r="F49" s="16" t="str">
        <f aca="false">IF(A49="","",IF(D49=0,"Fora dos decks",IF(E49=0,"Completo","Falta")))</f>
        <v/>
      </c>
      <c r="G49" s="16" t="str">
        <f aca="false">IF(A49="","",COUNTIF(K49:AD49,"&gt;0"))</f>
        <v/>
      </c>
      <c r="H49" s="16" t="str">
        <f aca="false">IF(A49="","",IF(G49&gt;1,"Sim",""))</f>
        <v/>
      </c>
      <c r="I49" s="18" t="str">
        <f aca="false">IF(A49="","",SUMIFS(DECKS!$D$2:$D$1201,DECKS!$B$2:$B$1201,A49))</f>
        <v/>
      </c>
      <c r="J49" s="18" t="str">
        <f aca="false">IF(A49="","",MAX(0,I49-C49))</f>
        <v/>
      </c>
      <c r="K49" s="19" t="str">
        <f aca="false">IF(OR($A49="",INDEX(_LEITURA!$Q$2:$Q$21,1)=0),"",SUMIFS(DECKS!$D$2:$D$1201,DECKS!$A$2:$A$1201,INDEX(_LEITURA!$P$2:$P$21,1),DECKS!$B$2:$B$1201,$A49))</f>
        <v/>
      </c>
      <c r="L49" s="19" t="str">
        <f aca="false">IF(OR($A49="",INDEX(_LEITURA!$Q$2:$Q$21,2)=0),"",SUMIFS(DECKS!$D$2:$D$1201,DECKS!$A$2:$A$1201,INDEX(_LEITURA!$P$2:$P$21,2),DECKS!$B$2:$B$1201,$A49))</f>
        <v/>
      </c>
      <c r="M49" s="19" t="str">
        <f aca="false">IF(OR($A49="",INDEX(_LEITURA!$Q$2:$Q$21,3)=0),"",SUMIFS(DECKS!$D$2:$D$1201,DECKS!$A$2:$A$1201,INDEX(_LEITURA!$P$2:$P$21,3),DECKS!$B$2:$B$1201,$A49))</f>
        <v/>
      </c>
      <c r="N49" s="19" t="str">
        <f aca="false">IF(OR($A49="",INDEX(_LEITURA!$Q$2:$Q$21,4)=0),"",SUMIFS(DECKS!$D$2:$D$1201,DECKS!$A$2:$A$1201,INDEX(_LEITURA!$P$2:$P$21,4),DECKS!$B$2:$B$1201,$A49))</f>
        <v/>
      </c>
      <c r="O49" s="19" t="str">
        <f aca="false">IF(OR($A49="",INDEX(_LEITURA!$Q$2:$Q$21,5)=0),"",SUMIFS(DECKS!$D$2:$D$1201,DECKS!$A$2:$A$1201,INDEX(_LEITURA!$P$2:$P$21,5),DECKS!$B$2:$B$1201,$A49))</f>
        <v/>
      </c>
      <c r="P49" s="19" t="str">
        <f aca="false">IF(OR($A49="",INDEX(_LEITURA!$Q$2:$Q$21,6)=0),"",SUMIFS(DECKS!$D$2:$D$1201,DECKS!$A$2:$A$1201,INDEX(_LEITURA!$P$2:$P$21,6),DECKS!$B$2:$B$1201,$A49))</f>
        <v/>
      </c>
      <c r="Q49" s="19" t="str">
        <f aca="false">IF(OR($A49="",INDEX(_LEITURA!$Q$2:$Q$21,7)=0),"",SUMIFS(DECKS!$D$2:$D$1201,DECKS!$A$2:$A$1201,INDEX(_LEITURA!$P$2:$P$21,7),DECKS!$B$2:$B$1201,$A49))</f>
        <v/>
      </c>
      <c r="R49" s="19" t="str">
        <f aca="false">IF(OR($A49="",INDEX(_LEITURA!$Q$2:$Q$21,8)=0),"",SUMIFS(DECKS!$D$2:$D$1201,DECKS!$A$2:$A$1201,INDEX(_LEITURA!$P$2:$P$21,8),DECKS!$B$2:$B$1201,$A49))</f>
        <v/>
      </c>
      <c r="S49" s="19" t="str">
        <f aca="false">IF(OR($A49="",INDEX(_LEITURA!$Q$2:$Q$21,9)=0),"",SUMIFS(DECKS!$D$2:$D$1201,DECKS!$A$2:$A$1201,INDEX(_LEITURA!$P$2:$P$21,9),DECKS!$B$2:$B$1201,$A49))</f>
        <v/>
      </c>
      <c r="T49" s="19" t="str">
        <f aca="false">IF(OR($A49="",INDEX(_LEITURA!$Q$2:$Q$21,10)=0),"",SUMIFS(DECKS!$D$2:$D$1201,DECKS!$A$2:$A$1201,INDEX(_LEITURA!$P$2:$P$21,10),DECKS!$B$2:$B$1201,$A49))</f>
        <v/>
      </c>
      <c r="U49" s="19" t="str">
        <f aca="false">IF(OR($A49="",INDEX(_LEITURA!$Q$2:$Q$21,11)=0),"",SUMIFS(DECKS!$D$2:$D$1201,DECKS!$A$2:$A$1201,INDEX(_LEITURA!$P$2:$P$21,11),DECKS!$B$2:$B$1201,$A49))</f>
        <v/>
      </c>
      <c r="V49" s="19" t="str">
        <f aca="false">IF(OR($A49="",INDEX(_LEITURA!$Q$2:$Q$21,12)=0),"",SUMIFS(DECKS!$D$2:$D$1201,DECKS!$A$2:$A$1201,INDEX(_LEITURA!$P$2:$P$21,12),DECKS!$B$2:$B$1201,$A49))</f>
        <v/>
      </c>
      <c r="W49" s="19" t="str">
        <f aca="false">IF(OR($A49="",INDEX(_LEITURA!$Q$2:$Q$21,13)=0),"",SUMIFS(DECKS!$D$2:$D$1201,DECKS!$A$2:$A$1201,INDEX(_LEITURA!$P$2:$P$21,13),DECKS!$B$2:$B$1201,$A49))</f>
        <v/>
      </c>
      <c r="X49" s="19" t="str">
        <f aca="false">IF(OR($A49="",INDEX(_LEITURA!$Q$2:$Q$21,14)=0),"",SUMIFS(DECKS!$D$2:$D$1201,DECKS!$A$2:$A$1201,INDEX(_LEITURA!$P$2:$P$21,14),DECKS!$B$2:$B$1201,$A49))</f>
        <v/>
      </c>
      <c r="Y49" s="19" t="str">
        <f aca="false">IF(OR($A49="",INDEX(_LEITURA!$Q$2:$Q$21,15)=0),"",SUMIFS(DECKS!$D$2:$D$1201,DECKS!$A$2:$A$1201,INDEX(_LEITURA!$P$2:$P$21,15),DECKS!$B$2:$B$1201,$A49))</f>
        <v/>
      </c>
      <c r="Z49" s="19" t="str">
        <f aca="false">IF(OR($A49="",INDEX(_LEITURA!$Q$2:$Q$21,16)=0),"",SUMIFS(DECKS!$D$2:$D$1201,DECKS!$A$2:$A$1201,INDEX(_LEITURA!$P$2:$P$21,16),DECKS!$B$2:$B$1201,$A49))</f>
        <v/>
      </c>
      <c r="AA49" s="19" t="str">
        <f aca="false">IF(OR($A49="",INDEX(_LEITURA!$Q$2:$Q$21,17)=0),"",SUMIFS(DECKS!$D$2:$D$1201,DECKS!$A$2:$A$1201,INDEX(_LEITURA!$P$2:$P$21,17),DECKS!$B$2:$B$1201,$A49))</f>
        <v/>
      </c>
      <c r="AB49" s="19" t="str">
        <f aca="false">IF(OR($A49="",INDEX(_LEITURA!$Q$2:$Q$21,18)=0),"",SUMIFS(DECKS!$D$2:$D$1201,DECKS!$A$2:$A$1201,INDEX(_LEITURA!$P$2:$P$21,18),DECKS!$B$2:$B$1201,$A49))</f>
        <v/>
      </c>
      <c r="AC49" s="19" t="str">
        <f aca="false">IF(OR($A49="",INDEX(_LEITURA!$Q$2:$Q$21,19)=0),"",SUMIFS(DECKS!$D$2:$D$1201,DECKS!$A$2:$A$1201,INDEX(_LEITURA!$P$2:$P$21,19),DECKS!$B$2:$B$1201,$A49))</f>
        <v/>
      </c>
      <c r="AD49" s="19" t="str">
        <f aca="false">IF(OR($A49="",INDEX(_LEITURA!$Q$2:$Q$21,20)=0),"",SUMIFS(DECKS!$D$2:$D$1201,DECKS!$A$2:$A$1201,INDEX(_LEITURA!$P$2:$P$21,20),DECKS!$B$2:$B$1201,$A49))</f>
        <v/>
      </c>
      <c r="AE49" s="16" t="str">
        <f aca="false">IF(N(E49)&gt;0,MAX(AE$1:AE48)+1,"")</f>
        <v/>
      </c>
      <c r="AF49" s="11" t="str">
        <f aca="false">IF(A49="","",IFERROR(LEFT(A49,FIND("-",A49)-1),A49))</f>
        <v/>
      </c>
      <c r="AG49" s="11" t="str">
        <f aca="false">IF(AF49="","",IF(ISNUMBER(--MID(AF49,1,1)),0,IF(ISNUMBER(--MID(AF49,2,1)),1,IF(ISNUMBER(--MID(AF49,3,1)),2,IF(ISNUMBER(--MID(AF49,4,1)),3,MIN(LEN(AF49),4))))))</f>
        <v/>
      </c>
      <c r="AH49" s="11" t="str">
        <f aca="false">IF(A49="","",LEFT(AF49,AG49)&amp;REPT("0",4-AG49)&amp;RIGHT("000"&amp;IFERROR(VALUE(MID(AF49,AG49+1,9)),0),3)&amp;RIGHT("0000"&amp;IFERROR(VALUE(MID(A49,FIND("-",A49)+1,9)),0),4))</f>
        <v/>
      </c>
      <c r="AI49" s="11" t="str">
        <f aca="false">IF(OR(A49="",N(E49)&lt;=0),"",IF('FALTAS GERAL'!$M$1="Código","K"&amp;AH49&amp;RIGHT("00000"&amp;ROW(),5),IF('FALTAS GERAL'!$M$1="Nome","K"&amp;UPPER(SUBSTITUTE(SUBSTITUTE(SUBSTITUTE(B49,"*",""),"?",""),"~",""))&amp;"0"&amp;AH49&amp;RIGHT("00000"&amp;ROW(),5),IF('FALTAS GERAL'!$M$1="Falta (maior primeiro)","K"&amp;RIGHT("0000"&amp;(9999-E49),4)&amp;AH49&amp;RIGHT("00000"&amp;ROW(),5),IF('FALTAS GERAL'!$M$1="Nº de decks (maior primeiro)","K"&amp;RIGHT("00"&amp;(99-N(G49)),2)&amp;AH49&amp;RIGHT("00000"&amp;ROW(),5),"K"&amp;RIGHT("00000"&amp;ROW(),5))))))</f>
        <v/>
      </c>
      <c r="AJ49" s="11" t="str">
        <f aca="false">IF(AI49="","",COUNTIFS($AI$2:$AI$801,"&lt;"&amp;AI49,$E$2:$E$801,"&gt;0")+1)</f>
        <v/>
      </c>
      <c r="AK49" s="11" t="str">
        <f aca="false">IF(OR(A49="",N(E49)&lt;=0),"",COUNTIFS($AH$2:$AH$801,"&lt;"&amp;AH49,$E$2:$E$801,"&gt;0")+COUNTIFS($AH$2:AH49,AH49,$E$2:E49,"&gt;0"))</f>
        <v/>
      </c>
    </row>
    <row r="50" customFormat="false" ht="15" hidden="false" customHeight="false" outlineLevel="0" collapsed="false">
      <c r="A50" s="11" t="str">
        <f aca="false">IF(INVENTÁRIO!A50="","",INVENTÁRIO!A50)</f>
        <v/>
      </c>
      <c r="B50" s="11" t="str">
        <f aca="false">IF(A50="","",INVENTÁRIO!B50)</f>
        <v/>
      </c>
      <c r="C50" s="16" t="str">
        <f aca="false">IF(A50="","",INVENTÁRIO!C50)</f>
        <v/>
      </c>
      <c r="D50" s="14" t="str">
        <f aca="false">IF(A50="","",MAX(K50:AD50))</f>
        <v/>
      </c>
      <c r="E50" s="14" t="str">
        <f aca="false">IF(A50="","",MAX(0,D50-C50))</f>
        <v/>
      </c>
      <c r="F50" s="16" t="str">
        <f aca="false">IF(A50="","",IF(D50=0,"Fora dos decks",IF(E50=0,"Completo","Falta")))</f>
        <v/>
      </c>
      <c r="G50" s="16" t="str">
        <f aca="false">IF(A50="","",COUNTIF(K50:AD50,"&gt;0"))</f>
        <v/>
      </c>
      <c r="H50" s="16" t="str">
        <f aca="false">IF(A50="","",IF(G50&gt;1,"Sim",""))</f>
        <v/>
      </c>
      <c r="I50" s="18" t="str">
        <f aca="false">IF(A50="","",SUMIFS(DECKS!$D$2:$D$1201,DECKS!$B$2:$B$1201,A50))</f>
        <v/>
      </c>
      <c r="J50" s="18" t="str">
        <f aca="false">IF(A50="","",MAX(0,I50-C50))</f>
        <v/>
      </c>
      <c r="K50" s="19" t="str">
        <f aca="false">IF(OR($A50="",INDEX(_LEITURA!$Q$2:$Q$21,1)=0),"",SUMIFS(DECKS!$D$2:$D$1201,DECKS!$A$2:$A$1201,INDEX(_LEITURA!$P$2:$P$21,1),DECKS!$B$2:$B$1201,$A50))</f>
        <v/>
      </c>
      <c r="L50" s="19" t="str">
        <f aca="false">IF(OR($A50="",INDEX(_LEITURA!$Q$2:$Q$21,2)=0),"",SUMIFS(DECKS!$D$2:$D$1201,DECKS!$A$2:$A$1201,INDEX(_LEITURA!$P$2:$P$21,2),DECKS!$B$2:$B$1201,$A50))</f>
        <v/>
      </c>
      <c r="M50" s="19" t="str">
        <f aca="false">IF(OR($A50="",INDEX(_LEITURA!$Q$2:$Q$21,3)=0),"",SUMIFS(DECKS!$D$2:$D$1201,DECKS!$A$2:$A$1201,INDEX(_LEITURA!$P$2:$P$21,3),DECKS!$B$2:$B$1201,$A50))</f>
        <v/>
      </c>
      <c r="N50" s="19" t="str">
        <f aca="false">IF(OR($A50="",INDEX(_LEITURA!$Q$2:$Q$21,4)=0),"",SUMIFS(DECKS!$D$2:$D$1201,DECKS!$A$2:$A$1201,INDEX(_LEITURA!$P$2:$P$21,4),DECKS!$B$2:$B$1201,$A50))</f>
        <v/>
      </c>
      <c r="O50" s="19" t="str">
        <f aca="false">IF(OR($A50="",INDEX(_LEITURA!$Q$2:$Q$21,5)=0),"",SUMIFS(DECKS!$D$2:$D$1201,DECKS!$A$2:$A$1201,INDEX(_LEITURA!$P$2:$P$21,5),DECKS!$B$2:$B$1201,$A50))</f>
        <v/>
      </c>
      <c r="P50" s="19" t="str">
        <f aca="false">IF(OR($A50="",INDEX(_LEITURA!$Q$2:$Q$21,6)=0),"",SUMIFS(DECKS!$D$2:$D$1201,DECKS!$A$2:$A$1201,INDEX(_LEITURA!$P$2:$P$21,6),DECKS!$B$2:$B$1201,$A50))</f>
        <v/>
      </c>
      <c r="Q50" s="19" t="str">
        <f aca="false">IF(OR($A50="",INDEX(_LEITURA!$Q$2:$Q$21,7)=0),"",SUMIFS(DECKS!$D$2:$D$1201,DECKS!$A$2:$A$1201,INDEX(_LEITURA!$P$2:$P$21,7),DECKS!$B$2:$B$1201,$A50))</f>
        <v/>
      </c>
      <c r="R50" s="19" t="str">
        <f aca="false">IF(OR($A50="",INDEX(_LEITURA!$Q$2:$Q$21,8)=0),"",SUMIFS(DECKS!$D$2:$D$1201,DECKS!$A$2:$A$1201,INDEX(_LEITURA!$P$2:$P$21,8),DECKS!$B$2:$B$1201,$A50))</f>
        <v/>
      </c>
      <c r="S50" s="19" t="str">
        <f aca="false">IF(OR($A50="",INDEX(_LEITURA!$Q$2:$Q$21,9)=0),"",SUMIFS(DECKS!$D$2:$D$1201,DECKS!$A$2:$A$1201,INDEX(_LEITURA!$P$2:$P$21,9),DECKS!$B$2:$B$1201,$A50))</f>
        <v/>
      </c>
      <c r="T50" s="19" t="str">
        <f aca="false">IF(OR($A50="",INDEX(_LEITURA!$Q$2:$Q$21,10)=0),"",SUMIFS(DECKS!$D$2:$D$1201,DECKS!$A$2:$A$1201,INDEX(_LEITURA!$P$2:$P$21,10),DECKS!$B$2:$B$1201,$A50))</f>
        <v/>
      </c>
      <c r="U50" s="19" t="str">
        <f aca="false">IF(OR($A50="",INDEX(_LEITURA!$Q$2:$Q$21,11)=0),"",SUMIFS(DECKS!$D$2:$D$1201,DECKS!$A$2:$A$1201,INDEX(_LEITURA!$P$2:$P$21,11),DECKS!$B$2:$B$1201,$A50))</f>
        <v/>
      </c>
      <c r="V50" s="19" t="str">
        <f aca="false">IF(OR($A50="",INDEX(_LEITURA!$Q$2:$Q$21,12)=0),"",SUMIFS(DECKS!$D$2:$D$1201,DECKS!$A$2:$A$1201,INDEX(_LEITURA!$P$2:$P$21,12),DECKS!$B$2:$B$1201,$A50))</f>
        <v/>
      </c>
      <c r="W50" s="19" t="str">
        <f aca="false">IF(OR($A50="",INDEX(_LEITURA!$Q$2:$Q$21,13)=0),"",SUMIFS(DECKS!$D$2:$D$1201,DECKS!$A$2:$A$1201,INDEX(_LEITURA!$P$2:$P$21,13),DECKS!$B$2:$B$1201,$A50))</f>
        <v/>
      </c>
      <c r="X50" s="19" t="str">
        <f aca="false">IF(OR($A50="",INDEX(_LEITURA!$Q$2:$Q$21,14)=0),"",SUMIFS(DECKS!$D$2:$D$1201,DECKS!$A$2:$A$1201,INDEX(_LEITURA!$P$2:$P$21,14),DECKS!$B$2:$B$1201,$A50))</f>
        <v/>
      </c>
      <c r="Y50" s="19" t="str">
        <f aca="false">IF(OR($A50="",INDEX(_LEITURA!$Q$2:$Q$21,15)=0),"",SUMIFS(DECKS!$D$2:$D$1201,DECKS!$A$2:$A$1201,INDEX(_LEITURA!$P$2:$P$21,15),DECKS!$B$2:$B$1201,$A50))</f>
        <v/>
      </c>
      <c r="Z50" s="19" t="str">
        <f aca="false">IF(OR($A50="",INDEX(_LEITURA!$Q$2:$Q$21,16)=0),"",SUMIFS(DECKS!$D$2:$D$1201,DECKS!$A$2:$A$1201,INDEX(_LEITURA!$P$2:$P$21,16),DECKS!$B$2:$B$1201,$A50))</f>
        <v/>
      </c>
      <c r="AA50" s="19" t="str">
        <f aca="false">IF(OR($A50="",INDEX(_LEITURA!$Q$2:$Q$21,17)=0),"",SUMIFS(DECKS!$D$2:$D$1201,DECKS!$A$2:$A$1201,INDEX(_LEITURA!$P$2:$P$21,17),DECKS!$B$2:$B$1201,$A50))</f>
        <v/>
      </c>
      <c r="AB50" s="19" t="str">
        <f aca="false">IF(OR($A50="",INDEX(_LEITURA!$Q$2:$Q$21,18)=0),"",SUMIFS(DECKS!$D$2:$D$1201,DECKS!$A$2:$A$1201,INDEX(_LEITURA!$P$2:$P$21,18),DECKS!$B$2:$B$1201,$A50))</f>
        <v/>
      </c>
      <c r="AC50" s="19" t="str">
        <f aca="false">IF(OR($A50="",INDEX(_LEITURA!$Q$2:$Q$21,19)=0),"",SUMIFS(DECKS!$D$2:$D$1201,DECKS!$A$2:$A$1201,INDEX(_LEITURA!$P$2:$P$21,19),DECKS!$B$2:$B$1201,$A50))</f>
        <v/>
      </c>
      <c r="AD50" s="19" t="str">
        <f aca="false">IF(OR($A50="",INDEX(_LEITURA!$Q$2:$Q$21,20)=0),"",SUMIFS(DECKS!$D$2:$D$1201,DECKS!$A$2:$A$1201,INDEX(_LEITURA!$P$2:$P$21,20),DECKS!$B$2:$B$1201,$A50))</f>
        <v/>
      </c>
      <c r="AE50" s="16" t="str">
        <f aca="false">IF(N(E50)&gt;0,MAX(AE$1:AE49)+1,"")</f>
        <v/>
      </c>
      <c r="AF50" s="11" t="str">
        <f aca="false">IF(A50="","",IFERROR(LEFT(A50,FIND("-",A50)-1),A50))</f>
        <v/>
      </c>
      <c r="AG50" s="11" t="str">
        <f aca="false">IF(AF50="","",IF(ISNUMBER(--MID(AF50,1,1)),0,IF(ISNUMBER(--MID(AF50,2,1)),1,IF(ISNUMBER(--MID(AF50,3,1)),2,IF(ISNUMBER(--MID(AF50,4,1)),3,MIN(LEN(AF50),4))))))</f>
        <v/>
      </c>
      <c r="AH50" s="11" t="str">
        <f aca="false">IF(A50="","",LEFT(AF50,AG50)&amp;REPT("0",4-AG50)&amp;RIGHT("000"&amp;IFERROR(VALUE(MID(AF50,AG50+1,9)),0),3)&amp;RIGHT("0000"&amp;IFERROR(VALUE(MID(A50,FIND("-",A50)+1,9)),0),4))</f>
        <v/>
      </c>
      <c r="AI50" s="11" t="str">
        <f aca="false">IF(OR(A50="",N(E50)&lt;=0),"",IF('FALTAS GERAL'!$M$1="Código","K"&amp;AH50&amp;RIGHT("00000"&amp;ROW(),5),IF('FALTAS GERAL'!$M$1="Nome","K"&amp;UPPER(SUBSTITUTE(SUBSTITUTE(SUBSTITUTE(B50,"*",""),"?",""),"~",""))&amp;"0"&amp;AH50&amp;RIGHT("00000"&amp;ROW(),5),IF('FALTAS GERAL'!$M$1="Falta (maior primeiro)","K"&amp;RIGHT("0000"&amp;(9999-E50),4)&amp;AH50&amp;RIGHT("00000"&amp;ROW(),5),IF('FALTAS GERAL'!$M$1="Nº de decks (maior primeiro)","K"&amp;RIGHT("00"&amp;(99-N(G50)),2)&amp;AH50&amp;RIGHT("00000"&amp;ROW(),5),"K"&amp;RIGHT("00000"&amp;ROW(),5))))))</f>
        <v/>
      </c>
      <c r="AJ50" s="11" t="str">
        <f aca="false">IF(AI50="","",COUNTIFS($AI$2:$AI$801,"&lt;"&amp;AI50,$E$2:$E$801,"&gt;0")+1)</f>
        <v/>
      </c>
      <c r="AK50" s="11" t="str">
        <f aca="false">IF(OR(A50="",N(E50)&lt;=0),"",COUNTIFS($AH$2:$AH$801,"&lt;"&amp;AH50,$E$2:$E$801,"&gt;0")+COUNTIFS($AH$2:AH50,AH50,$E$2:E50,"&gt;0"))</f>
        <v/>
      </c>
    </row>
    <row r="51" customFormat="false" ht="15" hidden="false" customHeight="false" outlineLevel="0" collapsed="false">
      <c r="A51" s="11" t="str">
        <f aca="false">IF(INVENTÁRIO!A51="","",INVENTÁRIO!A51)</f>
        <v/>
      </c>
      <c r="B51" s="11" t="str">
        <f aca="false">IF(A51="","",INVENTÁRIO!B51)</f>
        <v/>
      </c>
      <c r="C51" s="16" t="str">
        <f aca="false">IF(A51="","",INVENTÁRIO!C51)</f>
        <v/>
      </c>
      <c r="D51" s="14" t="str">
        <f aca="false">IF(A51="","",MAX(K51:AD51))</f>
        <v/>
      </c>
      <c r="E51" s="14" t="str">
        <f aca="false">IF(A51="","",MAX(0,D51-C51))</f>
        <v/>
      </c>
      <c r="F51" s="16" t="str">
        <f aca="false">IF(A51="","",IF(D51=0,"Fora dos decks",IF(E51=0,"Completo","Falta")))</f>
        <v/>
      </c>
      <c r="G51" s="16" t="str">
        <f aca="false">IF(A51="","",COUNTIF(K51:AD51,"&gt;0"))</f>
        <v/>
      </c>
      <c r="H51" s="16" t="str">
        <f aca="false">IF(A51="","",IF(G51&gt;1,"Sim",""))</f>
        <v/>
      </c>
      <c r="I51" s="18" t="str">
        <f aca="false">IF(A51="","",SUMIFS(DECKS!$D$2:$D$1201,DECKS!$B$2:$B$1201,A51))</f>
        <v/>
      </c>
      <c r="J51" s="18" t="str">
        <f aca="false">IF(A51="","",MAX(0,I51-C51))</f>
        <v/>
      </c>
      <c r="K51" s="19" t="str">
        <f aca="false">IF(OR($A51="",INDEX(_LEITURA!$Q$2:$Q$21,1)=0),"",SUMIFS(DECKS!$D$2:$D$1201,DECKS!$A$2:$A$1201,INDEX(_LEITURA!$P$2:$P$21,1),DECKS!$B$2:$B$1201,$A51))</f>
        <v/>
      </c>
      <c r="L51" s="19" t="str">
        <f aca="false">IF(OR($A51="",INDEX(_LEITURA!$Q$2:$Q$21,2)=0),"",SUMIFS(DECKS!$D$2:$D$1201,DECKS!$A$2:$A$1201,INDEX(_LEITURA!$P$2:$P$21,2),DECKS!$B$2:$B$1201,$A51))</f>
        <v/>
      </c>
      <c r="M51" s="19" t="str">
        <f aca="false">IF(OR($A51="",INDEX(_LEITURA!$Q$2:$Q$21,3)=0),"",SUMIFS(DECKS!$D$2:$D$1201,DECKS!$A$2:$A$1201,INDEX(_LEITURA!$P$2:$P$21,3),DECKS!$B$2:$B$1201,$A51))</f>
        <v/>
      </c>
      <c r="N51" s="19" t="str">
        <f aca="false">IF(OR($A51="",INDEX(_LEITURA!$Q$2:$Q$21,4)=0),"",SUMIFS(DECKS!$D$2:$D$1201,DECKS!$A$2:$A$1201,INDEX(_LEITURA!$P$2:$P$21,4),DECKS!$B$2:$B$1201,$A51))</f>
        <v/>
      </c>
      <c r="O51" s="19" t="str">
        <f aca="false">IF(OR($A51="",INDEX(_LEITURA!$Q$2:$Q$21,5)=0),"",SUMIFS(DECKS!$D$2:$D$1201,DECKS!$A$2:$A$1201,INDEX(_LEITURA!$P$2:$P$21,5),DECKS!$B$2:$B$1201,$A51))</f>
        <v/>
      </c>
      <c r="P51" s="19" t="str">
        <f aca="false">IF(OR($A51="",INDEX(_LEITURA!$Q$2:$Q$21,6)=0),"",SUMIFS(DECKS!$D$2:$D$1201,DECKS!$A$2:$A$1201,INDEX(_LEITURA!$P$2:$P$21,6),DECKS!$B$2:$B$1201,$A51))</f>
        <v/>
      </c>
      <c r="Q51" s="19" t="str">
        <f aca="false">IF(OR($A51="",INDEX(_LEITURA!$Q$2:$Q$21,7)=0),"",SUMIFS(DECKS!$D$2:$D$1201,DECKS!$A$2:$A$1201,INDEX(_LEITURA!$P$2:$P$21,7),DECKS!$B$2:$B$1201,$A51))</f>
        <v/>
      </c>
      <c r="R51" s="19" t="str">
        <f aca="false">IF(OR($A51="",INDEX(_LEITURA!$Q$2:$Q$21,8)=0),"",SUMIFS(DECKS!$D$2:$D$1201,DECKS!$A$2:$A$1201,INDEX(_LEITURA!$P$2:$P$21,8),DECKS!$B$2:$B$1201,$A51))</f>
        <v/>
      </c>
      <c r="S51" s="19" t="str">
        <f aca="false">IF(OR($A51="",INDEX(_LEITURA!$Q$2:$Q$21,9)=0),"",SUMIFS(DECKS!$D$2:$D$1201,DECKS!$A$2:$A$1201,INDEX(_LEITURA!$P$2:$P$21,9),DECKS!$B$2:$B$1201,$A51))</f>
        <v/>
      </c>
      <c r="T51" s="19" t="str">
        <f aca="false">IF(OR($A51="",INDEX(_LEITURA!$Q$2:$Q$21,10)=0),"",SUMIFS(DECKS!$D$2:$D$1201,DECKS!$A$2:$A$1201,INDEX(_LEITURA!$P$2:$P$21,10),DECKS!$B$2:$B$1201,$A51))</f>
        <v/>
      </c>
      <c r="U51" s="19" t="str">
        <f aca="false">IF(OR($A51="",INDEX(_LEITURA!$Q$2:$Q$21,11)=0),"",SUMIFS(DECKS!$D$2:$D$1201,DECKS!$A$2:$A$1201,INDEX(_LEITURA!$P$2:$P$21,11),DECKS!$B$2:$B$1201,$A51))</f>
        <v/>
      </c>
      <c r="V51" s="19" t="str">
        <f aca="false">IF(OR($A51="",INDEX(_LEITURA!$Q$2:$Q$21,12)=0),"",SUMIFS(DECKS!$D$2:$D$1201,DECKS!$A$2:$A$1201,INDEX(_LEITURA!$P$2:$P$21,12),DECKS!$B$2:$B$1201,$A51))</f>
        <v/>
      </c>
      <c r="W51" s="19" t="str">
        <f aca="false">IF(OR($A51="",INDEX(_LEITURA!$Q$2:$Q$21,13)=0),"",SUMIFS(DECKS!$D$2:$D$1201,DECKS!$A$2:$A$1201,INDEX(_LEITURA!$P$2:$P$21,13),DECKS!$B$2:$B$1201,$A51))</f>
        <v/>
      </c>
      <c r="X51" s="19" t="str">
        <f aca="false">IF(OR($A51="",INDEX(_LEITURA!$Q$2:$Q$21,14)=0),"",SUMIFS(DECKS!$D$2:$D$1201,DECKS!$A$2:$A$1201,INDEX(_LEITURA!$P$2:$P$21,14),DECKS!$B$2:$B$1201,$A51))</f>
        <v/>
      </c>
      <c r="Y51" s="19" t="str">
        <f aca="false">IF(OR($A51="",INDEX(_LEITURA!$Q$2:$Q$21,15)=0),"",SUMIFS(DECKS!$D$2:$D$1201,DECKS!$A$2:$A$1201,INDEX(_LEITURA!$P$2:$P$21,15),DECKS!$B$2:$B$1201,$A51))</f>
        <v/>
      </c>
      <c r="Z51" s="19" t="str">
        <f aca="false">IF(OR($A51="",INDEX(_LEITURA!$Q$2:$Q$21,16)=0),"",SUMIFS(DECKS!$D$2:$D$1201,DECKS!$A$2:$A$1201,INDEX(_LEITURA!$P$2:$P$21,16),DECKS!$B$2:$B$1201,$A51))</f>
        <v/>
      </c>
      <c r="AA51" s="19" t="str">
        <f aca="false">IF(OR($A51="",INDEX(_LEITURA!$Q$2:$Q$21,17)=0),"",SUMIFS(DECKS!$D$2:$D$1201,DECKS!$A$2:$A$1201,INDEX(_LEITURA!$P$2:$P$21,17),DECKS!$B$2:$B$1201,$A51))</f>
        <v/>
      </c>
      <c r="AB51" s="19" t="str">
        <f aca="false">IF(OR($A51="",INDEX(_LEITURA!$Q$2:$Q$21,18)=0),"",SUMIFS(DECKS!$D$2:$D$1201,DECKS!$A$2:$A$1201,INDEX(_LEITURA!$P$2:$P$21,18),DECKS!$B$2:$B$1201,$A51))</f>
        <v/>
      </c>
      <c r="AC51" s="19" t="str">
        <f aca="false">IF(OR($A51="",INDEX(_LEITURA!$Q$2:$Q$21,19)=0),"",SUMIFS(DECKS!$D$2:$D$1201,DECKS!$A$2:$A$1201,INDEX(_LEITURA!$P$2:$P$21,19),DECKS!$B$2:$B$1201,$A51))</f>
        <v/>
      </c>
      <c r="AD51" s="19" t="str">
        <f aca="false">IF(OR($A51="",INDEX(_LEITURA!$Q$2:$Q$21,20)=0),"",SUMIFS(DECKS!$D$2:$D$1201,DECKS!$A$2:$A$1201,INDEX(_LEITURA!$P$2:$P$21,20),DECKS!$B$2:$B$1201,$A51))</f>
        <v/>
      </c>
      <c r="AE51" s="16" t="str">
        <f aca="false">IF(N(E51)&gt;0,MAX(AE$1:AE50)+1,"")</f>
        <v/>
      </c>
      <c r="AF51" s="11" t="str">
        <f aca="false">IF(A51="","",IFERROR(LEFT(A51,FIND("-",A51)-1),A51))</f>
        <v/>
      </c>
      <c r="AG51" s="11" t="str">
        <f aca="false">IF(AF51="","",IF(ISNUMBER(--MID(AF51,1,1)),0,IF(ISNUMBER(--MID(AF51,2,1)),1,IF(ISNUMBER(--MID(AF51,3,1)),2,IF(ISNUMBER(--MID(AF51,4,1)),3,MIN(LEN(AF51),4))))))</f>
        <v/>
      </c>
      <c r="AH51" s="11" t="str">
        <f aca="false">IF(A51="","",LEFT(AF51,AG51)&amp;REPT("0",4-AG51)&amp;RIGHT("000"&amp;IFERROR(VALUE(MID(AF51,AG51+1,9)),0),3)&amp;RIGHT("0000"&amp;IFERROR(VALUE(MID(A51,FIND("-",A51)+1,9)),0),4))</f>
        <v/>
      </c>
      <c r="AI51" s="11" t="str">
        <f aca="false">IF(OR(A51="",N(E51)&lt;=0),"",IF('FALTAS GERAL'!$M$1="Código","K"&amp;AH51&amp;RIGHT("00000"&amp;ROW(),5),IF('FALTAS GERAL'!$M$1="Nome","K"&amp;UPPER(SUBSTITUTE(SUBSTITUTE(SUBSTITUTE(B51,"*",""),"?",""),"~",""))&amp;"0"&amp;AH51&amp;RIGHT("00000"&amp;ROW(),5),IF('FALTAS GERAL'!$M$1="Falta (maior primeiro)","K"&amp;RIGHT("0000"&amp;(9999-E51),4)&amp;AH51&amp;RIGHT("00000"&amp;ROW(),5),IF('FALTAS GERAL'!$M$1="Nº de decks (maior primeiro)","K"&amp;RIGHT("00"&amp;(99-N(G51)),2)&amp;AH51&amp;RIGHT("00000"&amp;ROW(),5),"K"&amp;RIGHT("00000"&amp;ROW(),5))))))</f>
        <v/>
      </c>
      <c r="AJ51" s="11" t="str">
        <f aca="false">IF(AI51="","",COUNTIFS($AI$2:$AI$801,"&lt;"&amp;AI51,$E$2:$E$801,"&gt;0")+1)</f>
        <v/>
      </c>
      <c r="AK51" s="11" t="str">
        <f aca="false">IF(OR(A51="",N(E51)&lt;=0),"",COUNTIFS($AH$2:$AH$801,"&lt;"&amp;AH51,$E$2:$E$801,"&gt;0")+COUNTIFS($AH$2:AH51,AH51,$E$2:E51,"&gt;0"))</f>
        <v/>
      </c>
    </row>
    <row r="52" customFormat="false" ht="15" hidden="false" customHeight="false" outlineLevel="0" collapsed="false">
      <c r="A52" s="11" t="str">
        <f aca="false">IF(INVENTÁRIO!A52="","",INVENTÁRIO!A52)</f>
        <v/>
      </c>
      <c r="B52" s="11" t="str">
        <f aca="false">IF(A52="","",INVENTÁRIO!B52)</f>
        <v/>
      </c>
      <c r="C52" s="16" t="str">
        <f aca="false">IF(A52="","",INVENTÁRIO!C52)</f>
        <v/>
      </c>
      <c r="D52" s="14" t="str">
        <f aca="false">IF(A52="","",MAX(K52:AD52))</f>
        <v/>
      </c>
      <c r="E52" s="14" t="str">
        <f aca="false">IF(A52="","",MAX(0,D52-C52))</f>
        <v/>
      </c>
      <c r="F52" s="16" t="str">
        <f aca="false">IF(A52="","",IF(D52=0,"Fora dos decks",IF(E52=0,"Completo","Falta")))</f>
        <v/>
      </c>
      <c r="G52" s="16" t="str">
        <f aca="false">IF(A52="","",COUNTIF(K52:AD52,"&gt;0"))</f>
        <v/>
      </c>
      <c r="H52" s="16" t="str">
        <f aca="false">IF(A52="","",IF(G52&gt;1,"Sim",""))</f>
        <v/>
      </c>
      <c r="I52" s="18" t="str">
        <f aca="false">IF(A52="","",SUMIFS(DECKS!$D$2:$D$1201,DECKS!$B$2:$B$1201,A52))</f>
        <v/>
      </c>
      <c r="J52" s="18" t="str">
        <f aca="false">IF(A52="","",MAX(0,I52-C52))</f>
        <v/>
      </c>
      <c r="K52" s="19" t="str">
        <f aca="false">IF(OR($A52="",INDEX(_LEITURA!$Q$2:$Q$21,1)=0),"",SUMIFS(DECKS!$D$2:$D$1201,DECKS!$A$2:$A$1201,INDEX(_LEITURA!$P$2:$P$21,1),DECKS!$B$2:$B$1201,$A52))</f>
        <v/>
      </c>
      <c r="L52" s="19" t="str">
        <f aca="false">IF(OR($A52="",INDEX(_LEITURA!$Q$2:$Q$21,2)=0),"",SUMIFS(DECKS!$D$2:$D$1201,DECKS!$A$2:$A$1201,INDEX(_LEITURA!$P$2:$P$21,2),DECKS!$B$2:$B$1201,$A52))</f>
        <v/>
      </c>
      <c r="M52" s="19" t="str">
        <f aca="false">IF(OR($A52="",INDEX(_LEITURA!$Q$2:$Q$21,3)=0),"",SUMIFS(DECKS!$D$2:$D$1201,DECKS!$A$2:$A$1201,INDEX(_LEITURA!$P$2:$P$21,3),DECKS!$B$2:$B$1201,$A52))</f>
        <v/>
      </c>
      <c r="N52" s="19" t="str">
        <f aca="false">IF(OR($A52="",INDEX(_LEITURA!$Q$2:$Q$21,4)=0),"",SUMIFS(DECKS!$D$2:$D$1201,DECKS!$A$2:$A$1201,INDEX(_LEITURA!$P$2:$P$21,4),DECKS!$B$2:$B$1201,$A52))</f>
        <v/>
      </c>
      <c r="O52" s="19" t="str">
        <f aca="false">IF(OR($A52="",INDEX(_LEITURA!$Q$2:$Q$21,5)=0),"",SUMIFS(DECKS!$D$2:$D$1201,DECKS!$A$2:$A$1201,INDEX(_LEITURA!$P$2:$P$21,5),DECKS!$B$2:$B$1201,$A52))</f>
        <v/>
      </c>
      <c r="P52" s="19" t="str">
        <f aca="false">IF(OR($A52="",INDEX(_LEITURA!$Q$2:$Q$21,6)=0),"",SUMIFS(DECKS!$D$2:$D$1201,DECKS!$A$2:$A$1201,INDEX(_LEITURA!$P$2:$P$21,6),DECKS!$B$2:$B$1201,$A52))</f>
        <v/>
      </c>
      <c r="Q52" s="19" t="str">
        <f aca="false">IF(OR($A52="",INDEX(_LEITURA!$Q$2:$Q$21,7)=0),"",SUMIFS(DECKS!$D$2:$D$1201,DECKS!$A$2:$A$1201,INDEX(_LEITURA!$P$2:$P$21,7),DECKS!$B$2:$B$1201,$A52))</f>
        <v/>
      </c>
      <c r="R52" s="19" t="str">
        <f aca="false">IF(OR($A52="",INDEX(_LEITURA!$Q$2:$Q$21,8)=0),"",SUMIFS(DECKS!$D$2:$D$1201,DECKS!$A$2:$A$1201,INDEX(_LEITURA!$P$2:$P$21,8),DECKS!$B$2:$B$1201,$A52))</f>
        <v/>
      </c>
      <c r="S52" s="19" t="str">
        <f aca="false">IF(OR($A52="",INDEX(_LEITURA!$Q$2:$Q$21,9)=0),"",SUMIFS(DECKS!$D$2:$D$1201,DECKS!$A$2:$A$1201,INDEX(_LEITURA!$P$2:$P$21,9),DECKS!$B$2:$B$1201,$A52))</f>
        <v/>
      </c>
      <c r="T52" s="19" t="str">
        <f aca="false">IF(OR($A52="",INDEX(_LEITURA!$Q$2:$Q$21,10)=0),"",SUMIFS(DECKS!$D$2:$D$1201,DECKS!$A$2:$A$1201,INDEX(_LEITURA!$P$2:$P$21,10),DECKS!$B$2:$B$1201,$A52))</f>
        <v/>
      </c>
      <c r="U52" s="19" t="str">
        <f aca="false">IF(OR($A52="",INDEX(_LEITURA!$Q$2:$Q$21,11)=0),"",SUMIFS(DECKS!$D$2:$D$1201,DECKS!$A$2:$A$1201,INDEX(_LEITURA!$P$2:$P$21,11),DECKS!$B$2:$B$1201,$A52))</f>
        <v/>
      </c>
      <c r="V52" s="19" t="str">
        <f aca="false">IF(OR($A52="",INDEX(_LEITURA!$Q$2:$Q$21,12)=0),"",SUMIFS(DECKS!$D$2:$D$1201,DECKS!$A$2:$A$1201,INDEX(_LEITURA!$P$2:$P$21,12),DECKS!$B$2:$B$1201,$A52))</f>
        <v/>
      </c>
      <c r="W52" s="19" t="str">
        <f aca="false">IF(OR($A52="",INDEX(_LEITURA!$Q$2:$Q$21,13)=0),"",SUMIFS(DECKS!$D$2:$D$1201,DECKS!$A$2:$A$1201,INDEX(_LEITURA!$P$2:$P$21,13),DECKS!$B$2:$B$1201,$A52))</f>
        <v/>
      </c>
      <c r="X52" s="19" t="str">
        <f aca="false">IF(OR($A52="",INDEX(_LEITURA!$Q$2:$Q$21,14)=0),"",SUMIFS(DECKS!$D$2:$D$1201,DECKS!$A$2:$A$1201,INDEX(_LEITURA!$P$2:$P$21,14),DECKS!$B$2:$B$1201,$A52))</f>
        <v/>
      </c>
      <c r="Y52" s="19" t="str">
        <f aca="false">IF(OR($A52="",INDEX(_LEITURA!$Q$2:$Q$21,15)=0),"",SUMIFS(DECKS!$D$2:$D$1201,DECKS!$A$2:$A$1201,INDEX(_LEITURA!$P$2:$P$21,15),DECKS!$B$2:$B$1201,$A52))</f>
        <v/>
      </c>
      <c r="Z52" s="19" t="str">
        <f aca="false">IF(OR($A52="",INDEX(_LEITURA!$Q$2:$Q$21,16)=0),"",SUMIFS(DECKS!$D$2:$D$1201,DECKS!$A$2:$A$1201,INDEX(_LEITURA!$P$2:$P$21,16),DECKS!$B$2:$B$1201,$A52))</f>
        <v/>
      </c>
      <c r="AA52" s="19" t="str">
        <f aca="false">IF(OR($A52="",INDEX(_LEITURA!$Q$2:$Q$21,17)=0),"",SUMIFS(DECKS!$D$2:$D$1201,DECKS!$A$2:$A$1201,INDEX(_LEITURA!$P$2:$P$21,17),DECKS!$B$2:$B$1201,$A52))</f>
        <v/>
      </c>
      <c r="AB52" s="19" t="str">
        <f aca="false">IF(OR($A52="",INDEX(_LEITURA!$Q$2:$Q$21,18)=0),"",SUMIFS(DECKS!$D$2:$D$1201,DECKS!$A$2:$A$1201,INDEX(_LEITURA!$P$2:$P$21,18),DECKS!$B$2:$B$1201,$A52))</f>
        <v/>
      </c>
      <c r="AC52" s="19" t="str">
        <f aca="false">IF(OR($A52="",INDEX(_LEITURA!$Q$2:$Q$21,19)=0),"",SUMIFS(DECKS!$D$2:$D$1201,DECKS!$A$2:$A$1201,INDEX(_LEITURA!$P$2:$P$21,19),DECKS!$B$2:$B$1201,$A52))</f>
        <v/>
      </c>
      <c r="AD52" s="19" t="str">
        <f aca="false">IF(OR($A52="",INDEX(_LEITURA!$Q$2:$Q$21,20)=0),"",SUMIFS(DECKS!$D$2:$D$1201,DECKS!$A$2:$A$1201,INDEX(_LEITURA!$P$2:$P$21,20),DECKS!$B$2:$B$1201,$A52))</f>
        <v/>
      </c>
      <c r="AE52" s="16" t="str">
        <f aca="false">IF(N(E52)&gt;0,MAX(AE$1:AE51)+1,"")</f>
        <v/>
      </c>
      <c r="AF52" s="11" t="str">
        <f aca="false">IF(A52="","",IFERROR(LEFT(A52,FIND("-",A52)-1),A52))</f>
        <v/>
      </c>
      <c r="AG52" s="11" t="str">
        <f aca="false">IF(AF52="","",IF(ISNUMBER(--MID(AF52,1,1)),0,IF(ISNUMBER(--MID(AF52,2,1)),1,IF(ISNUMBER(--MID(AF52,3,1)),2,IF(ISNUMBER(--MID(AF52,4,1)),3,MIN(LEN(AF52),4))))))</f>
        <v/>
      </c>
      <c r="AH52" s="11" t="str">
        <f aca="false">IF(A52="","",LEFT(AF52,AG52)&amp;REPT("0",4-AG52)&amp;RIGHT("000"&amp;IFERROR(VALUE(MID(AF52,AG52+1,9)),0),3)&amp;RIGHT("0000"&amp;IFERROR(VALUE(MID(A52,FIND("-",A52)+1,9)),0),4))</f>
        <v/>
      </c>
      <c r="AI52" s="11" t="str">
        <f aca="false">IF(OR(A52="",N(E52)&lt;=0),"",IF('FALTAS GERAL'!$M$1="Código","K"&amp;AH52&amp;RIGHT("00000"&amp;ROW(),5),IF('FALTAS GERAL'!$M$1="Nome","K"&amp;UPPER(SUBSTITUTE(SUBSTITUTE(SUBSTITUTE(B52,"*",""),"?",""),"~",""))&amp;"0"&amp;AH52&amp;RIGHT("00000"&amp;ROW(),5),IF('FALTAS GERAL'!$M$1="Falta (maior primeiro)","K"&amp;RIGHT("0000"&amp;(9999-E52),4)&amp;AH52&amp;RIGHT("00000"&amp;ROW(),5),IF('FALTAS GERAL'!$M$1="Nº de decks (maior primeiro)","K"&amp;RIGHT("00"&amp;(99-N(G52)),2)&amp;AH52&amp;RIGHT("00000"&amp;ROW(),5),"K"&amp;RIGHT("00000"&amp;ROW(),5))))))</f>
        <v/>
      </c>
      <c r="AJ52" s="11" t="str">
        <f aca="false">IF(AI52="","",COUNTIFS($AI$2:$AI$801,"&lt;"&amp;AI52,$E$2:$E$801,"&gt;0")+1)</f>
        <v/>
      </c>
      <c r="AK52" s="11" t="str">
        <f aca="false">IF(OR(A52="",N(E52)&lt;=0),"",COUNTIFS($AH$2:$AH$801,"&lt;"&amp;AH52,$E$2:$E$801,"&gt;0")+COUNTIFS($AH$2:AH52,AH52,$E$2:E52,"&gt;0"))</f>
        <v/>
      </c>
    </row>
    <row r="53" customFormat="false" ht="15" hidden="false" customHeight="false" outlineLevel="0" collapsed="false">
      <c r="A53" s="11" t="str">
        <f aca="false">IF(INVENTÁRIO!A53="","",INVENTÁRIO!A53)</f>
        <v/>
      </c>
      <c r="B53" s="11" t="str">
        <f aca="false">IF(A53="","",INVENTÁRIO!B53)</f>
        <v/>
      </c>
      <c r="C53" s="16" t="str">
        <f aca="false">IF(A53="","",INVENTÁRIO!C53)</f>
        <v/>
      </c>
      <c r="D53" s="14" t="str">
        <f aca="false">IF(A53="","",MAX(K53:AD53))</f>
        <v/>
      </c>
      <c r="E53" s="14" t="str">
        <f aca="false">IF(A53="","",MAX(0,D53-C53))</f>
        <v/>
      </c>
      <c r="F53" s="16" t="str">
        <f aca="false">IF(A53="","",IF(D53=0,"Fora dos decks",IF(E53=0,"Completo","Falta")))</f>
        <v/>
      </c>
      <c r="G53" s="16" t="str">
        <f aca="false">IF(A53="","",COUNTIF(K53:AD53,"&gt;0"))</f>
        <v/>
      </c>
      <c r="H53" s="16" t="str">
        <f aca="false">IF(A53="","",IF(G53&gt;1,"Sim",""))</f>
        <v/>
      </c>
      <c r="I53" s="18" t="str">
        <f aca="false">IF(A53="","",SUMIFS(DECKS!$D$2:$D$1201,DECKS!$B$2:$B$1201,A53))</f>
        <v/>
      </c>
      <c r="J53" s="18" t="str">
        <f aca="false">IF(A53="","",MAX(0,I53-C53))</f>
        <v/>
      </c>
      <c r="K53" s="19" t="str">
        <f aca="false">IF(OR($A53="",INDEX(_LEITURA!$Q$2:$Q$21,1)=0),"",SUMIFS(DECKS!$D$2:$D$1201,DECKS!$A$2:$A$1201,INDEX(_LEITURA!$P$2:$P$21,1),DECKS!$B$2:$B$1201,$A53))</f>
        <v/>
      </c>
      <c r="L53" s="19" t="str">
        <f aca="false">IF(OR($A53="",INDEX(_LEITURA!$Q$2:$Q$21,2)=0),"",SUMIFS(DECKS!$D$2:$D$1201,DECKS!$A$2:$A$1201,INDEX(_LEITURA!$P$2:$P$21,2),DECKS!$B$2:$B$1201,$A53))</f>
        <v/>
      </c>
      <c r="M53" s="19" t="str">
        <f aca="false">IF(OR($A53="",INDEX(_LEITURA!$Q$2:$Q$21,3)=0),"",SUMIFS(DECKS!$D$2:$D$1201,DECKS!$A$2:$A$1201,INDEX(_LEITURA!$P$2:$P$21,3),DECKS!$B$2:$B$1201,$A53))</f>
        <v/>
      </c>
      <c r="N53" s="19" t="str">
        <f aca="false">IF(OR($A53="",INDEX(_LEITURA!$Q$2:$Q$21,4)=0),"",SUMIFS(DECKS!$D$2:$D$1201,DECKS!$A$2:$A$1201,INDEX(_LEITURA!$P$2:$P$21,4),DECKS!$B$2:$B$1201,$A53))</f>
        <v/>
      </c>
      <c r="O53" s="19" t="str">
        <f aca="false">IF(OR($A53="",INDEX(_LEITURA!$Q$2:$Q$21,5)=0),"",SUMIFS(DECKS!$D$2:$D$1201,DECKS!$A$2:$A$1201,INDEX(_LEITURA!$P$2:$P$21,5),DECKS!$B$2:$B$1201,$A53))</f>
        <v/>
      </c>
      <c r="P53" s="19" t="str">
        <f aca="false">IF(OR($A53="",INDEX(_LEITURA!$Q$2:$Q$21,6)=0),"",SUMIFS(DECKS!$D$2:$D$1201,DECKS!$A$2:$A$1201,INDEX(_LEITURA!$P$2:$P$21,6),DECKS!$B$2:$B$1201,$A53))</f>
        <v/>
      </c>
      <c r="Q53" s="19" t="str">
        <f aca="false">IF(OR($A53="",INDEX(_LEITURA!$Q$2:$Q$21,7)=0),"",SUMIFS(DECKS!$D$2:$D$1201,DECKS!$A$2:$A$1201,INDEX(_LEITURA!$P$2:$P$21,7),DECKS!$B$2:$B$1201,$A53))</f>
        <v/>
      </c>
      <c r="R53" s="19" t="str">
        <f aca="false">IF(OR($A53="",INDEX(_LEITURA!$Q$2:$Q$21,8)=0),"",SUMIFS(DECKS!$D$2:$D$1201,DECKS!$A$2:$A$1201,INDEX(_LEITURA!$P$2:$P$21,8),DECKS!$B$2:$B$1201,$A53))</f>
        <v/>
      </c>
      <c r="S53" s="19" t="str">
        <f aca="false">IF(OR($A53="",INDEX(_LEITURA!$Q$2:$Q$21,9)=0),"",SUMIFS(DECKS!$D$2:$D$1201,DECKS!$A$2:$A$1201,INDEX(_LEITURA!$P$2:$P$21,9),DECKS!$B$2:$B$1201,$A53))</f>
        <v/>
      </c>
      <c r="T53" s="19" t="str">
        <f aca="false">IF(OR($A53="",INDEX(_LEITURA!$Q$2:$Q$21,10)=0),"",SUMIFS(DECKS!$D$2:$D$1201,DECKS!$A$2:$A$1201,INDEX(_LEITURA!$P$2:$P$21,10),DECKS!$B$2:$B$1201,$A53))</f>
        <v/>
      </c>
      <c r="U53" s="19" t="str">
        <f aca="false">IF(OR($A53="",INDEX(_LEITURA!$Q$2:$Q$21,11)=0),"",SUMIFS(DECKS!$D$2:$D$1201,DECKS!$A$2:$A$1201,INDEX(_LEITURA!$P$2:$P$21,11),DECKS!$B$2:$B$1201,$A53))</f>
        <v/>
      </c>
      <c r="V53" s="19" t="str">
        <f aca="false">IF(OR($A53="",INDEX(_LEITURA!$Q$2:$Q$21,12)=0),"",SUMIFS(DECKS!$D$2:$D$1201,DECKS!$A$2:$A$1201,INDEX(_LEITURA!$P$2:$P$21,12),DECKS!$B$2:$B$1201,$A53))</f>
        <v/>
      </c>
      <c r="W53" s="19" t="str">
        <f aca="false">IF(OR($A53="",INDEX(_LEITURA!$Q$2:$Q$21,13)=0),"",SUMIFS(DECKS!$D$2:$D$1201,DECKS!$A$2:$A$1201,INDEX(_LEITURA!$P$2:$P$21,13),DECKS!$B$2:$B$1201,$A53))</f>
        <v/>
      </c>
      <c r="X53" s="19" t="str">
        <f aca="false">IF(OR($A53="",INDEX(_LEITURA!$Q$2:$Q$21,14)=0),"",SUMIFS(DECKS!$D$2:$D$1201,DECKS!$A$2:$A$1201,INDEX(_LEITURA!$P$2:$P$21,14),DECKS!$B$2:$B$1201,$A53))</f>
        <v/>
      </c>
      <c r="Y53" s="19" t="str">
        <f aca="false">IF(OR($A53="",INDEX(_LEITURA!$Q$2:$Q$21,15)=0),"",SUMIFS(DECKS!$D$2:$D$1201,DECKS!$A$2:$A$1201,INDEX(_LEITURA!$P$2:$P$21,15),DECKS!$B$2:$B$1201,$A53))</f>
        <v/>
      </c>
      <c r="Z53" s="19" t="str">
        <f aca="false">IF(OR($A53="",INDEX(_LEITURA!$Q$2:$Q$21,16)=0),"",SUMIFS(DECKS!$D$2:$D$1201,DECKS!$A$2:$A$1201,INDEX(_LEITURA!$P$2:$P$21,16),DECKS!$B$2:$B$1201,$A53))</f>
        <v/>
      </c>
      <c r="AA53" s="19" t="str">
        <f aca="false">IF(OR($A53="",INDEX(_LEITURA!$Q$2:$Q$21,17)=0),"",SUMIFS(DECKS!$D$2:$D$1201,DECKS!$A$2:$A$1201,INDEX(_LEITURA!$P$2:$P$21,17),DECKS!$B$2:$B$1201,$A53))</f>
        <v/>
      </c>
      <c r="AB53" s="19" t="str">
        <f aca="false">IF(OR($A53="",INDEX(_LEITURA!$Q$2:$Q$21,18)=0),"",SUMIFS(DECKS!$D$2:$D$1201,DECKS!$A$2:$A$1201,INDEX(_LEITURA!$P$2:$P$21,18),DECKS!$B$2:$B$1201,$A53))</f>
        <v/>
      </c>
      <c r="AC53" s="19" t="str">
        <f aca="false">IF(OR($A53="",INDEX(_LEITURA!$Q$2:$Q$21,19)=0),"",SUMIFS(DECKS!$D$2:$D$1201,DECKS!$A$2:$A$1201,INDEX(_LEITURA!$P$2:$P$21,19),DECKS!$B$2:$B$1201,$A53))</f>
        <v/>
      </c>
      <c r="AD53" s="19" t="str">
        <f aca="false">IF(OR($A53="",INDEX(_LEITURA!$Q$2:$Q$21,20)=0),"",SUMIFS(DECKS!$D$2:$D$1201,DECKS!$A$2:$A$1201,INDEX(_LEITURA!$P$2:$P$21,20),DECKS!$B$2:$B$1201,$A53))</f>
        <v/>
      </c>
      <c r="AE53" s="16" t="str">
        <f aca="false">IF(N(E53)&gt;0,MAX(AE$1:AE52)+1,"")</f>
        <v/>
      </c>
      <c r="AF53" s="11" t="str">
        <f aca="false">IF(A53="","",IFERROR(LEFT(A53,FIND("-",A53)-1),A53))</f>
        <v/>
      </c>
      <c r="AG53" s="11" t="str">
        <f aca="false">IF(AF53="","",IF(ISNUMBER(--MID(AF53,1,1)),0,IF(ISNUMBER(--MID(AF53,2,1)),1,IF(ISNUMBER(--MID(AF53,3,1)),2,IF(ISNUMBER(--MID(AF53,4,1)),3,MIN(LEN(AF53),4))))))</f>
        <v/>
      </c>
      <c r="AH53" s="11" t="str">
        <f aca="false">IF(A53="","",LEFT(AF53,AG53)&amp;REPT("0",4-AG53)&amp;RIGHT("000"&amp;IFERROR(VALUE(MID(AF53,AG53+1,9)),0),3)&amp;RIGHT("0000"&amp;IFERROR(VALUE(MID(A53,FIND("-",A53)+1,9)),0),4))</f>
        <v/>
      </c>
      <c r="AI53" s="11" t="str">
        <f aca="false">IF(OR(A53="",N(E53)&lt;=0),"",IF('FALTAS GERAL'!$M$1="Código","K"&amp;AH53&amp;RIGHT("00000"&amp;ROW(),5),IF('FALTAS GERAL'!$M$1="Nome","K"&amp;UPPER(SUBSTITUTE(SUBSTITUTE(SUBSTITUTE(B53,"*",""),"?",""),"~",""))&amp;"0"&amp;AH53&amp;RIGHT("00000"&amp;ROW(),5),IF('FALTAS GERAL'!$M$1="Falta (maior primeiro)","K"&amp;RIGHT("0000"&amp;(9999-E53),4)&amp;AH53&amp;RIGHT("00000"&amp;ROW(),5),IF('FALTAS GERAL'!$M$1="Nº de decks (maior primeiro)","K"&amp;RIGHT("00"&amp;(99-N(G53)),2)&amp;AH53&amp;RIGHT("00000"&amp;ROW(),5),"K"&amp;RIGHT("00000"&amp;ROW(),5))))))</f>
        <v/>
      </c>
      <c r="AJ53" s="11" t="str">
        <f aca="false">IF(AI53="","",COUNTIFS($AI$2:$AI$801,"&lt;"&amp;AI53,$E$2:$E$801,"&gt;0")+1)</f>
        <v/>
      </c>
      <c r="AK53" s="11" t="str">
        <f aca="false">IF(OR(A53="",N(E53)&lt;=0),"",COUNTIFS($AH$2:$AH$801,"&lt;"&amp;AH53,$E$2:$E$801,"&gt;0")+COUNTIFS($AH$2:AH53,AH53,$E$2:E53,"&gt;0"))</f>
        <v/>
      </c>
    </row>
    <row r="54" customFormat="false" ht="15" hidden="false" customHeight="false" outlineLevel="0" collapsed="false">
      <c r="A54" s="11" t="str">
        <f aca="false">IF(INVENTÁRIO!A54="","",INVENTÁRIO!A54)</f>
        <v/>
      </c>
      <c r="B54" s="11" t="str">
        <f aca="false">IF(A54="","",INVENTÁRIO!B54)</f>
        <v/>
      </c>
      <c r="C54" s="16" t="str">
        <f aca="false">IF(A54="","",INVENTÁRIO!C54)</f>
        <v/>
      </c>
      <c r="D54" s="14" t="str">
        <f aca="false">IF(A54="","",MAX(K54:AD54))</f>
        <v/>
      </c>
      <c r="E54" s="14" t="str">
        <f aca="false">IF(A54="","",MAX(0,D54-C54))</f>
        <v/>
      </c>
      <c r="F54" s="16" t="str">
        <f aca="false">IF(A54="","",IF(D54=0,"Fora dos decks",IF(E54=0,"Completo","Falta")))</f>
        <v/>
      </c>
      <c r="G54" s="16" t="str">
        <f aca="false">IF(A54="","",COUNTIF(K54:AD54,"&gt;0"))</f>
        <v/>
      </c>
      <c r="H54" s="16" t="str">
        <f aca="false">IF(A54="","",IF(G54&gt;1,"Sim",""))</f>
        <v/>
      </c>
      <c r="I54" s="18" t="str">
        <f aca="false">IF(A54="","",SUMIFS(DECKS!$D$2:$D$1201,DECKS!$B$2:$B$1201,A54))</f>
        <v/>
      </c>
      <c r="J54" s="18" t="str">
        <f aca="false">IF(A54="","",MAX(0,I54-C54))</f>
        <v/>
      </c>
      <c r="K54" s="19" t="str">
        <f aca="false">IF(OR($A54="",INDEX(_LEITURA!$Q$2:$Q$21,1)=0),"",SUMIFS(DECKS!$D$2:$D$1201,DECKS!$A$2:$A$1201,INDEX(_LEITURA!$P$2:$P$21,1),DECKS!$B$2:$B$1201,$A54))</f>
        <v/>
      </c>
      <c r="L54" s="19" t="str">
        <f aca="false">IF(OR($A54="",INDEX(_LEITURA!$Q$2:$Q$21,2)=0),"",SUMIFS(DECKS!$D$2:$D$1201,DECKS!$A$2:$A$1201,INDEX(_LEITURA!$P$2:$P$21,2),DECKS!$B$2:$B$1201,$A54))</f>
        <v/>
      </c>
      <c r="M54" s="19" t="str">
        <f aca="false">IF(OR($A54="",INDEX(_LEITURA!$Q$2:$Q$21,3)=0),"",SUMIFS(DECKS!$D$2:$D$1201,DECKS!$A$2:$A$1201,INDEX(_LEITURA!$P$2:$P$21,3),DECKS!$B$2:$B$1201,$A54))</f>
        <v/>
      </c>
      <c r="N54" s="19" t="str">
        <f aca="false">IF(OR($A54="",INDEX(_LEITURA!$Q$2:$Q$21,4)=0),"",SUMIFS(DECKS!$D$2:$D$1201,DECKS!$A$2:$A$1201,INDEX(_LEITURA!$P$2:$P$21,4),DECKS!$B$2:$B$1201,$A54))</f>
        <v/>
      </c>
      <c r="O54" s="19" t="str">
        <f aca="false">IF(OR($A54="",INDEX(_LEITURA!$Q$2:$Q$21,5)=0),"",SUMIFS(DECKS!$D$2:$D$1201,DECKS!$A$2:$A$1201,INDEX(_LEITURA!$P$2:$P$21,5),DECKS!$B$2:$B$1201,$A54))</f>
        <v/>
      </c>
      <c r="P54" s="19" t="str">
        <f aca="false">IF(OR($A54="",INDEX(_LEITURA!$Q$2:$Q$21,6)=0),"",SUMIFS(DECKS!$D$2:$D$1201,DECKS!$A$2:$A$1201,INDEX(_LEITURA!$P$2:$P$21,6),DECKS!$B$2:$B$1201,$A54))</f>
        <v/>
      </c>
      <c r="Q54" s="19" t="str">
        <f aca="false">IF(OR($A54="",INDEX(_LEITURA!$Q$2:$Q$21,7)=0),"",SUMIFS(DECKS!$D$2:$D$1201,DECKS!$A$2:$A$1201,INDEX(_LEITURA!$P$2:$P$21,7),DECKS!$B$2:$B$1201,$A54))</f>
        <v/>
      </c>
      <c r="R54" s="19" t="str">
        <f aca="false">IF(OR($A54="",INDEX(_LEITURA!$Q$2:$Q$21,8)=0),"",SUMIFS(DECKS!$D$2:$D$1201,DECKS!$A$2:$A$1201,INDEX(_LEITURA!$P$2:$P$21,8),DECKS!$B$2:$B$1201,$A54))</f>
        <v/>
      </c>
      <c r="S54" s="19" t="str">
        <f aca="false">IF(OR($A54="",INDEX(_LEITURA!$Q$2:$Q$21,9)=0),"",SUMIFS(DECKS!$D$2:$D$1201,DECKS!$A$2:$A$1201,INDEX(_LEITURA!$P$2:$P$21,9),DECKS!$B$2:$B$1201,$A54))</f>
        <v/>
      </c>
      <c r="T54" s="19" t="str">
        <f aca="false">IF(OR($A54="",INDEX(_LEITURA!$Q$2:$Q$21,10)=0),"",SUMIFS(DECKS!$D$2:$D$1201,DECKS!$A$2:$A$1201,INDEX(_LEITURA!$P$2:$P$21,10),DECKS!$B$2:$B$1201,$A54))</f>
        <v/>
      </c>
      <c r="U54" s="19" t="str">
        <f aca="false">IF(OR($A54="",INDEX(_LEITURA!$Q$2:$Q$21,11)=0),"",SUMIFS(DECKS!$D$2:$D$1201,DECKS!$A$2:$A$1201,INDEX(_LEITURA!$P$2:$P$21,11),DECKS!$B$2:$B$1201,$A54))</f>
        <v/>
      </c>
      <c r="V54" s="19" t="str">
        <f aca="false">IF(OR($A54="",INDEX(_LEITURA!$Q$2:$Q$21,12)=0),"",SUMIFS(DECKS!$D$2:$D$1201,DECKS!$A$2:$A$1201,INDEX(_LEITURA!$P$2:$P$21,12),DECKS!$B$2:$B$1201,$A54))</f>
        <v/>
      </c>
      <c r="W54" s="19" t="str">
        <f aca="false">IF(OR($A54="",INDEX(_LEITURA!$Q$2:$Q$21,13)=0),"",SUMIFS(DECKS!$D$2:$D$1201,DECKS!$A$2:$A$1201,INDEX(_LEITURA!$P$2:$P$21,13),DECKS!$B$2:$B$1201,$A54))</f>
        <v/>
      </c>
      <c r="X54" s="19" t="str">
        <f aca="false">IF(OR($A54="",INDEX(_LEITURA!$Q$2:$Q$21,14)=0),"",SUMIFS(DECKS!$D$2:$D$1201,DECKS!$A$2:$A$1201,INDEX(_LEITURA!$P$2:$P$21,14),DECKS!$B$2:$B$1201,$A54))</f>
        <v/>
      </c>
      <c r="Y54" s="19" t="str">
        <f aca="false">IF(OR($A54="",INDEX(_LEITURA!$Q$2:$Q$21,15)=0),"",SUMIFS(DECKS!$D$2:$D$1201,DECKS!$A$2:$A$1201,INDEX(_LEITURA!$P$2:$P$21,15),DECKS!$B$2:$B$1201,$A54))</f>
        <v/>
      </c>
      <c r="Z54" s="19" t="str">
        <f aca="false">IF(OR($A54="",INDEX(_LEITURA!$Q$2:$Q$21,16)=0),"",SUMIFS(DECKS!$D$2:$D$1201,DECKS!$A$2:$A$1201,INDEX(_LEITURA!$P$2:$P$21,16),DECKS!$B$2:$B$1201,$A54))</f>
        <v/>
      </c>
      <c r="AA54" s="19" t="str">
        <f aca="false">IF(OR($A54="",INDEX(_LEITURA!$Q$2:$Q$21,17)=0),"",SUMIFS(DECKS!$D$2:$D$1201,DECKS!$A$2:$A$1201,INDEX(_LEITURA!$P$2:$P$21,17),DECKS!$B$2:$B$1201,$A54))</f>
        <v/>
      </c>
      <c r="AB54" s="19" t="str">
        <f aca="false">IF(OR($A54="",INDEX(_LEITURA!$Q$2:$Q$21,18)=0),"",SUMIFS(DECKS!$D$2:$D$1201,DECKS!$A$2:$A$1201,INDEX(_LEITURA!$P$2:$P$21,18),DECKS!$B$2:$B$1201,$A54))</f>
        <v/>
      </c>
      <c r="AC54" s="19" t="str">
        <f aca="false">IF(OR($A54="",INDEX(_LEITURA!$Q$2:$Q$21,19)=0),"",SUMIFS(DECKS!$D$2:$D$1201,DECKS!$A$2:$A$1201,INDEX(_LEITURA!$P$2:$P$21,19),DECKS!$B$2:$B$1201,$A54))</f>
        <v/>
      </c>
      <c r="AD54" s="19" t="str">
        <f aca="false">IF(OR($A54="",INDEX(_LEITURA!$Q$2:$Q$21,20)=0),"",SUMIFS(DECKS!$D$2:$D$1201,DECKS!$A$2:$A$1201,INDEX(_LEITURA!$P$2:$P$21,20),DECKS!$B$2:$B$1201,$A54))</f>
        <v/>
      </c>
      <c r="AE54" s="16" t="str">
        <f aca="false">IF(N(E54)&gt;0,MAX(AE$1:AE53)+1,"")</f>
        <v/>
      </c>
      <c r="AF54" s="11" t="str">
        <f aca="false">IF(A54="","",IFERROR(LEFT(A54,FIND("-",A54)-1),A54))</f>
        <v/>
      </c>
      <c r="AG54" s="11" t="str">
        <f aca="false">IF(AF54="","",IF(ISNUMBER(--MID(AF54,1,1)),0,IF(ISNUMBER(--MID(AF54,2,1)),1,IF(ISNUMBER(--MID(AF54,3,1)),2,IF(ISNUMBER(--MID(AF54,4,1)),3,MIN(LEN(AF54),4))))))</f>
        <v/>
      </c>
      <c r="AH54" s="11" t="str">
        <f aca="false">IF(A54="","",LEFT(AF54,AG54)&amp;REPT("0",4-AG54)&amp;RIGHT("000"&amp;IFERROR(VALUE(MID(AF54,AG54+1,9)),0),3)&amp;RIGHT("0000"&amp;IFERROR(VALUE(MID(A54,FIND("-",A54)+1,9)),0),4))</f>
        <v/>
      </c>
      <c r="AI54" s="11" t="str">
        <f aca="false">IF(OR(A54="",N(E54)&lt;=0),"",IF('FALTAS GERAL'!$M$1="Código","K"&amp;AH54&amp;RIGHT("00000"&amp;ROW(),5),IF('FALTAS GERAL'!$M$1="Nome","K"&amp;UPPER(SUBSTITUTE(SUBSTITUTE(SUBSTITUTE(B54,"*",""),"?",""),"~",""))&amp;"0"&amp;AH54&amp;RIGHT("00000"&amp;ROW(),5),IF('FALTAS GERAL'!$M$1="Falta (maior primeiro)","K"&amp;RIGHT("0000"&amp;(9999-E54),4)&amp;AH54&amp;RIGHT("00000"&amp;ROW(),5),IF('FALTAS GERAL'!$M$1="Nº de decks (maior primeiro)","K"&amp;RIGHT("00"&amp;(99-N(G54)),2)&amp;AH54&amp;RIGHT("00000"&amp;ROW(),5),"K"&amp;RIGHT("00000"&amp;ROW(),5))))))</f>
        <v/>
      </c>
      <c r="AJ54" s="11" t="str">
        <f aca="false">IF(AI54="","",COUNTIFS($AI$2:$AI$801,"&lt;"&amp;AI54,$E$2:$E$801,"&gt;0")+1)</f>
        <v/>
      </c>
      <c r="AK54" s="11" t="str">
        <f aca="false">IF(OR(A54="",N(E54)&lt;=0),"",COUNTIFS($AH$2:$AH$801,"&lt;"&amp;AH54,$E$2:$E$801,"&gt;0")+COUNTIFS($AH$2:AH54,AH54,$E$2:E54,"&gt;0"))</f>
        <v/>
      </c>
    </row>
    <row r="55" customFormat="false" ht="15" hidden="false" customHeight="false" outlineLevel="0" collapsed="false">
      <c r="A55" s="11" t="str">
        <f aca="false">IF(INVENTÁRIO!A55="","",INVENTÁRIO!A55)</f>
        <v/>
      </c>
      <c r="B55" s="11" t="str">
        <f aca="false">IF(A55="","",INVENTÁRIO!B55)</f>
        <v/>
      </c>
      <c r="C55" s="16" t="str">
        <f aca="false">IF(A55="","",INVENTÁRIO!C55)</f>
        <v/>
      </c>
      <c r="D55" s="14" t="str">
        <f aca="false">IF(A55="","",MAX(K55:AD55))</f>
        <v/>
      </c>
      <c r="E55" s="14" t="str">
        <f aca="false">IF(A55="","",MAX(0,D55-C55))</f>
        <v/>
      </c>
      <c r="F55" s="16" t="str">
        <f aca="false">IF(A55="","",IF(D55=0,"Fora dos decks",IF(E55=0,"Completo","Falta")))</f>
        <v/>
      </c>
      <c r="G55" s="16" t="str">
        <f aca="false">IF(A55="","",COUNTIF(K55:AD55,"&gt;0"))</f>
        <v/>
      </c>
      <c r="H55" s="16" t="str">
        <f aca="false">IF(A55="","",IF(G55&gt;1,"Sim",""))</f>
        <v/>
      </c>
      <c r="I55" s="18" t="str">
        <f aca="false">IF(A55="","",SUMIFS(DECKS!$D$2:$D$1201,DECKS!$B$2:$B$1201,A55))</f>
        <v/>
      </c>
      <c r="J55" s="18" t="str">
        <f aca="false">IF(A55="","",MAX(0,I55-C55))</f>
        <v/>
      </c>
      <c r="K55" s="19" t="str">
        <f aca="false">IF(OR($A55="",INDEX(_LEITURA!$Q$2:$Q$21,1)=0),"",SUMIFS(DECKS!$D$2:$D$1201,DECKS!$A$2:$A$1201,INDEX(_LEITURA!$P$2:$P$21,1),DECKS!$B$2:$B$1201,$A55))</f>
        <v/>
      </c>
      <c r="L55" s="19" t="str">
        <f aca="false">IF(OR($A55="",INDEX(_LEITURA!$Q$2:$Q$21,2)=0),"",SUMIFS(DECKS!$D$2:$D$1201,DECKS!$A$2:$A$1201,INDEX(_LEITURA!$P$2:$P$21,2),DECKS!$B$2:$B$1201,$A55))</f>
        <v/>
      </c>
      <c r="M55" s="19" t="str">
        <f aca="false">IF(OR($A55="",INDEX(_LEITURA!$Q$2:$Q$21,3)=0),"",SUMIFS(DECKS!$D$2:$D$1201,DECKS!$A$2:$A$1201,INDEX(_LEITURA!$P$2:$P$21,3),DECKS!$B$2:$B$1201,$A55))</f>
        <v/>
      </c>
      <c r="N55" s="19" t="str">
        <f aca="false">IF(OR($A55="",INDEX(_LEITURA!$Q$2:$Q$21,4)=0),"",SUMIFS(DECKS!$D$2:$D$1201,DECKS!$A$2:$A$1201,INDEX(_LEITURA!$P$2:$P$21,4),DECKS!$B$2:$B$1201,$A55))</f>
        <v/>
      </c>
      <c r="O55" s="19" t="str">
        <f aca="false">IF(OR($A55="",INDEX(_LEITURA!$Q$2:$Q$21,5)=0),"",SUMIFS(DECKS!$D$2:$D$1201,DECKS!$A$2:$A$1201,INDEX(_LEITURA!$P$2:$P$21,5),DECKS!$B$2:$B$1201,$A55))</f>
        <v/>
      </c>
      <c r="P55" s="19" t="str">
        <f aca="false">IF(OR($A55="",INDEX(_LEITURA!$Q$2:$Q$21,6)=0),"",SUMIFS(DECKS!$D$2:$D$1201,DECKS!$A$2:$A$1201,INDEX(_LEITURA!$P$2:$P$21,6),DECKS!$B$2:$B$1201,$A55))</f>
        <v/>
      </c>
      <c r="Q55" s="19" t="str">
        <f aca="false">IF(OR($A55="",INDEX(_LEITURA!$Q$2:$Q$21,7)=0),"",SUMIFS(DECKS!$D$2:$D$1201,DECKS!$A$2:$A$1201,INDEX(_LEITURA!$P$2:$P$21,7),DECKS!$B$2:$B$1201,$A55))</f>
        <v/>
      </c>
      <c r="R55" s="19" t="str">
        <f aca="false">IF(OR($A55="",INDEX(_LEITURA!$Q$2:$Q$21,8)=0),"",SUMIFS(DECKS!$D$2:$D$1201,DECKS!$A$2:$A$1201,INDEX(_LEITURA!$P$2:$P$21,8),DECKS!$B$2:$B$1201,$A55))</f>
        <v/>
      </c>
      <c r="S55" s="19" t="str">
        <f aca="false">IF(OR($A55="",INDEX(_LEITURA!$Q$2:$Q$21,9)=0),"",SUMIFS(DECKS!$D$2:$D$1201,DECKS!$A$2:$A$1201,INDEX(_LEITURA!$P$2:$P$21,9),DECKS!$B$2:$B$1201,$A55))</f>
        <v/>
      </c>
      <c r="T55" s="19" t="str">
        <f aca="false">IF(OR($A55="",INDEX(_LEITURA!$Q$2:$Q$21,10)=0),"",SUMIFS(DECKS!$D$2:$D$1201,DECKS!$A$2:$A$1201,INDEX(_LEITURA!$P$2:$P$21,10),DECKS!$B$2:$B$1201,$A55))</f>
        <v/>
      </c>
      <c r="U55" s="19" t="str">
        <f aca="false">IF(OR($A55="",INDEX(_LEITURA!$Q$2:$Q$21,11)=0),"",SUMIFS(DECKS!$D$2:$D$1201,DECKS!$A$2:$A$1201,INDEX(_LEITURA!$P$2:$P$21,11),DECKS!$B$2:$B$1201,$A55))</f>
        <v/>
      </c>
      <c r="V55" s="19" t="str">
        <f aca="false">IF(OR($A55="",INDEX(_LEITURA!$Q$2:$Q$21,12)=0),"",SUMIFS(DECKS!$D$2:$D$1201,DECKS!$A$2:$A$1201,INDEX(_LEITURA!$P$2:$P$21,12),DECKS!$B$2:$B$1201,$A55))</f>
        <v/>
      </c>
      <c r="W55" s="19" t="str">
        <f aca="false">IF(OR($A55="",INDEX(_LEITURA!$Q$2:$Q$21,13)=0),"",SUMIFS(DECKS!$D$2:$D$1201,DECKS!$A$2:$A$1201,INDEX(_LEITURA!$P$2:$P$21,13),DECKS!$B$2:$B$1201,$A55))</f>
        <v/>
      </c>
      <c r="X55" s="19" t="str">
        <f aca="false">IF(OR($A55="",INDEX(_LEITURA!$Q$2:$Q$21,14)=0),"",SUMIFS(DECKS!$D$2:$D$1201,DECKS!$A$2:$A$1201,INDEX(_LEITURA!$P$2:$P$21,14),DECKS!$B$2:$B$1201,$A55))</f>
        <v/>
      </c>
      <c r="Y55" s="19" t="str">
        <f aca="false">IF(OR($A55="",INDEX(_LEITURA!$Q$2:$Q$21,15)=0),"",SUMIFS(DECKS!$D$2:$D$1201,DECKS!$A$2:$A$1201,INDEX(_LEITURA!$P$2:$P$21,15),DECKS!$B$2:$B$1201,$A55))</f>
        <v/>
      </c>
      <c r="Z55" s="19" t="str">
        <f aca="false">IF(OR($A55="",INDEX(_LEITURA!$Q$2:$Q$21,16)=0),"",SUMIFS(DECKS!$D$2:$D$1201,DECKS!$A$2:$A$1201,INDEX(_LEITURA!$P$2:$P$21,16),DECKS!$B$2:$B$1201,$A55))</f>
        <v/>
      </c>
      <c r="AA55" s="19" t="str">
        <f aca="false">IF(OR($A55="",INDEX(_LEITURA!$Q$2:$Q$21,17)=0),"",SUMIFS(DECKS!$D$2:$D$1201,DECKS!$A$2:$A$1201,INDEX(_LEITURA!$P$2:$P$21,17),DECKS!$B$2:$B$1201,$A55))</f>
        <v/>
      </c>
      <c r="AB55" s="19" t="str">
        <f aca="false">IF(OR($A55="",INDEX(_LEITURA!$Q$2:$Q$21,18)=0),"",SUMIFS(DECKS!$D$2:$D$1201,DECKS!$A$2:$A$1201,INDEX(_LEITURA!$P$2:$P$21,18),DECKS!$B$2:$B$1201,$A55))</f>
        <v/>
      </c>
      <c r="AC55" s="19" t="str">
        <f aca="false">IF(OR($A55="",INDEX(_LEITURA!$Q$2:$Q$21,19)=0),"",SUMIFS(DECKS!$D$2:$D$1201,DECKS!$A$2:$A$1201,INDEX(_LEITURA!$P$2:$P$21,19),DECKS!$B$2:$B$1201,$A55))</f>
        <v/>
      </c>
      <c r="AD55" s="19" t="str">
        <f aca="false">IF(OR($A55="",INDEX(_LEITURA!$Q$2:$Q$21,20)=0),"",SUMIFS(DECKS!$D$2:$D$1201,DECKS!$A$2:$A$1201,INDEX(_LEITURA!$P$2:$P$21,20),DECKS!$B$2:$B$1201,$A55))</f>
        <v/>
      </c>
      <c r="AE55" s="16" t="str">
        <f aca="false">IF(N(E55)&gt;0,MAX(AE$1:AE54)+1,"")</f>
        <v/>
      </c>
      <c r="AF55" s="11" t="str">
        <f aca="false">IF(A55="","",IFERROR(LEFT(A55,FIND("-",A55)-1),A55))</f>
        <v/>
      </c>
      <c r="AG55" s="11" t="str">
        <f aca="false">IF(AF55="","",IF(ISNUMBER(--MID(AF55,1,1)),0,IF(ISNUMBER(--MID(AF55,2,1)),1,IF(ISNUMBER(--MID(AF55,3,1)),2,IF(ISNUMBER(--MID(AF55,4,1)),3,MIN(LEN(AF55),4))))))</f>
        <v/>
      </c>
      <c r="AH55" s="11" t="str">
        <f aca="false">IF(A55="","",LEFT(AF55,AG55)&amp;REPT("0",4-AG55)&amp;RIGHT("000"&amp;IFERROR(VALUE(MID(AF55,AG55+1,9)),0),3)&amp;RIGHT("0000"&amp;IFERROR(VALUE(MID(A55,FIND("-",A55)+1,9)),0),4))</f>
        <v/>
      </c>
      <c r="AI55" s="11" t="str">
        <f aca="false">IF(OR(A55="",N(E55)&lt;=0),"",IF('FALTAS GERAL'!$M$1="Código","K"&amp;AH55&amp;RIGHT("00000"&amp;ROW(),5),IF('FALTAS GERAL'!$M$1="Nome","K"&amp;UPPER(SUBSTITUTE(SUBSTITUTE(SUBSTITUTE(B55,"*",""),"?",""),"~",""))&amp;"0"&amp;AH55&amp;RIGHT("00000"&amp;ROW(),5),IF('FALTAS GERAL'!$M$1="Falta (maior primeiro)","K"&amp;RIGHT("0000"&amp;(9999-E55),4)&amp;AH55&amp;RIGHT("00000"&amp;ROW(),5),IF('FALTAS GERAL'!$M$1="Nº de decks (maior primeiro)","K"&amp;RIGHT("00"&amp;(99-N(G55)),2)&amp;AH55&amp;RIGHT("00000"&amp;ROW(),5),"K"&amp;RIGHT("00000"&amp;ROW(),5))))))</f>
        <v/>
      </c>
      <c r="AJ55" s="11" t="str">
        <f aca="false">IF(AI55="","",COUNTIFS($AI$2:$AI$801,"&lt;"&amp;AI55,$E$2:$E$801,"&gt;0")+1)</f>
        <v/>
      </c>
      <c r="AK55" s="11" t="str">
        <f aca="false">IF(OR(A55="",N(E55)&lt;=0),"",COUNTIFS($AH$2:$AH$801,"&lt;"&amp;AH55,$E$2:$E$801,"&gt;0")+COUNTIFS($AH$2:AH55,AH55,$E$2:E55,"&gt;0"))</f>
        <v/>
      </c>
    </row>
    <row r="56" customFormat="false" ht="15" hidden="false" customHeight="false" outlineLevel="0" collapsed="false">
      <c r="A56" s="11" t="str">
        <f aca="false">IF(INVENTÁRIO!A56="","",INVENTÁRIO!A56)</f>
        <v/>
      </c>
      <c r="B56" s="11" t="str">
        <f aca="false">IF(A56="","",INVENTÁRIO!B56)</f>
        <v/>
      </c>
      <c r="C56" s="16" t="str">
        <f aca="false">IF(A56="","",INVENTÁRIO!C56)</f>
        <v/>
      </c>
      <c r="D56" s="14" t="str">
        <f aca="false">IF(A56="","",MAX(K56:AD56))</f>
        <v/>
      </c>
      <c r="E56" s="14" t="str">
        <f aca="false">IF(A56="","",MAX(0,D56-C56))</f>
        <v/>
      </c>
      <c r="F56" s="16" t="str">
        <f aca="false">IF(A56="","",IF(D56=0,"Fora dos decks",IF(E56=0,"Completo","Falta")))</f>
        <v/>
      </c>
      <c r="G56" s="16" t="str">
        <f aca="false">IF(A56="","",COUNTIF(K56:AD56,"&gt;0"))</f>
        <v/>
      </c>
      <c r="H56" s="16" t="str">
        <f aca="false">IF(A56="","",IF(G56&gt;1,"Sim",""))</f>
        <v/>
      </c>
      <c r="I56" s="18" t="str">
        <f aca="false">IF(A56="","",SUMIFS(DECKS!$D$2:$D$1201,DECKS!$B$2:$B$1201,A56))</f>
        <v/>
      </c>
      <c r="J56" s="18" t="str">
        <f aca="false">IF(A56="","",MAX(0,I56-C56))</f>
        <v/>
      </c>
      <c r="K56" s="19" t="str">
        <f aca="false">IF(OR($A56="",INDEX(_LEITURA!$Q$2:$Q$21,1)=0),"",SUMIFS(DECKS!$D$2:$D$1201,DECKS!$A$2:$A$1201,INDEX(_LEITURA!$P$2:$P$21,1),DECKS!$B$2:$B$1201,$A56))</f>
        <v/>
      </c>
      <c r="L56" s="19" t="str">
        <f aca="false">IF(OR($A56="",INDEX(_LEITURA!$Q$2:$Q$21,2)=0),"",SUMIFS(DECKS!$D$2:$D$1201,DECKS!$A$2:$A$1201,INDEX(_LEITURA!$P$2:$P$21,2),DECKS!$B$2:$B$1201,$A56))</f>
        <v/>
      </c>
      <c r="M56" s="19" t="str">
        <f aca="false">IF(OR($A56="",INDEX(_LEITURA!$Q$2:$Q$21,3)=0),"",SUMIFS(DECKS!$D$2:$D$1201,DECKS!$A$2:$A$1201,INDEX(_LEITURA!$P$2:$P$21,3),DECKS!$B$2:$B$1201,$A56))</f>
        <v/>
      </c>
      <c r="N56" s="19" t="str">
        <f aca="false">IF(OR($A56="",INDEX(_LEITURA!$Q$2:$Q$21,4)=0),"",SUMIFS(DECKS!$D$2:$D$1201,DECKS!$A$2:$A$1201,INDEX(_LEITURA!$P$2:$P$21,4),DECKS!$B$2:$B$1201,$A56))</f>
        <v/>
      </c>
      <c r="O56" s="19" t="str">
        <f aca="false">IF(OR($A56="",INDEX(_LEITURA!$Q$2:$Q$21,5)=0),"",SUMIFS(DECKS!$D$2:$D$1201,DECKS!$A$2:$A$1201,INDEX(_LEITURA!$P$2:$P$21,5),DECKS!$B$2:$B$1201,$A56))</f>
        <v/>
      </c>
      <c r="P56" s="19" t="str">
        <f aca="false">IF(OR($A56="",INDEX(_LEITURA!$Q$2:$Q$21,6)=0),"",SUMIFS(DECKS!$D$2:$D$1201,DECKS!$A$2:$A$1201,INDEX(_LEITURA!$P$2:$P$21,6),DECKS!$B$2:$B$1201,$A56))</f>
        <v/>
      </c>
      <c r="Q56" s="19" t="str">
        <f aca="false">IF(OR($A56="",INDEX(_LEITURA!$Q$2:$Q$21,7)=0),"",SUMIFS(DECKS!$D$2:$D$1201,DECKS!$A$2:$A$1201,INDEX(_LEITURA!$P$2:$P$21,7),DECKS!$B$2:$B$1201,$A56))</f>
        <v/>
      </c>
      <c r="R56" s="19" t="str">
        <f aca="false">IF(OR($A56="",INDEX(_LEITURA!$Q$2:$Q$21,8)=0),"",SUMIFS(DECKS!$D$2:$D$1201,DECKS!$A$2:$A$1201,INDEX(_LEITURA!$P$2:$P$21,8),DECKS!$B$2:$B$1201,$A56))</f>
        <v/>
      </c>
      <c r="S56" s="19" t="str">
        <f aca="false">IF(OR($A56="",INDEX(_LEITURA!$Q$2:$Q$21,9)=0),"",SUMIFS(DECKS!$D$2:$D$1201,DECKS!$A$2:$A$1201,INDEX(_LEITURA!$P$2:$P$21,9),DECKS!$B$2:$B$1201,$A56))</f>
        <v/>
      </c>
      <c r="T56" s="19" t="str">
        <f aca="false">IF(OR($A56="",INDEX(_LEITURA!$Q$2:$Q$21,10)=0),"",SUMIFS(DECKS!$D$2:$D$1201,DECKS!$A$2:$A$1201,INDEX(_LEITURA!$P$2:$P$21,10),DECKS!$B$2:$B$1201,$A56))</f>
        <v/>
      </c>
      <c r="U56" s="19" t="str">
        <f aca="false">IF(OR($A56="",INDEX(_LEITURA!$Q$2:$Q$21,11)=0),"",SUMIFS(DECKS!$D$2:$D$1201,DECKS!$A$2:$A$1201,INDEX(_LEITURA!$P$2:$P$21,11),DECKS!$B$2:$B$1201,$A56))</f>
        <v/>
      </c>
      <c r="V56" s="19" t="str">
        <f aca="false">IF(OR($A56="",INDEX(_LEITURA!$Q$2:$Q$21,12)=0),"",SUMIFS(DECKS!$D$2:$D$1201,DECKS!$A$2:$A$1201,INDEX(_LEITURA!$P$2:$P$21,12),DECKS!$B$2:$B$1201,$A56))</f>
        <v/>
      </c>
      <c r="W56" s="19" t="str">
        <f aca="false">IF(OR($A56="",INDEX(_LEITURA!$Q$2:$Q$21,13)=0),"",SUMIFS(DECKS!$D$2:$D$1201,DECKS!$A$2:$A$1201,INDEX(_LEITURA!$P$2:$P$21,13),DECKS!$B$2:$B$1201,$A56))</f>
        <v/>
      </c>
      <c r="X56" s="19" t="str">
        <f aca="false">IF(OR($A56="",INDEX(_LEITURA!$Q$2:$Q$21,14)=0),"",SUMIFS(DECKS!$D$2:$D$1201,DECKS!$A$2:$A$1201,INDEX(_LEITURA!$P$2:$P$21,14),DECKS!$B$2:$B$1201,$A56))</f>
        <v/>
      </c>
      <c r="Y56" s="19" t="str">
        <f aca="false">IF(OR($A56="",INDEX(_LEITURA!$Q$2:$Q$21,15)=0),"",SUMIFS(DECKS!$D$2:$D$1201,DECKS!$A$2:$A$1201,INDEX(_LEITURA!$P$2:$P$21,15),DECKS!$B$2:$B$1201,$A56))</f>
        <v/>
      </c>
      <c r="Z56" s="19" t="str">
        <f aca="false">IF(OR($A56="",INDEX(_LEITURA!$Q$2:$Q$21,16)=0),"",SUMIFS(DECKS!$D$2:$D$1201,DECKS!$A$2:$A$1201,INDEX(_LEITURA!$P$2:$P$21,16),DECKS!$B$2:$B$1201,$A56))</f>
        <v/>
      </c>
      <c r="AA56" s="19" t="str">
        <f aca="false">IF(OR($A56="",INDEX(_LEITURA!$Q$2:$Q$21,17)=0),"",SUMIFS(DECKS!$D$2:$D$1201,DECKS!$A$2:$A$1201,INDEX(_LEITURA!$P$2:$P$21,17),DECKS!$B$2:$B$1201,$A56))</f>
        <v/>
      </c>
      <c r="AB56" s="19" t="str">
        <f aca="false">IF(OR($A56="",INDEX(_LEITURA!$Q$2:$Q$21,18)=0),"",SUMIFS(DECKS!$D$2:$D$1201,DECKS!$A$2:$A$1201,INDEX(_LEITURA!$P$2:$P$21,18),DECKS!$B$2:$B$1201,$A56))</f>
        <v/>
      </c>
      <c r="AC56" s="19" t="str">
        <f aca="false">IF(OR($A56="",INDEX(_LEITURA!$Q$2:$Q$21,19)=0),"",SUMIFS(DECKS!$D$2:$D$1201,DECKS!$A$2:$A$1201,INDEX(_LEITURA!$P$2:$P$21,19),DECKS!$B$2:$B$1201,$A56))</f>
        <v/>
      </c>
      <c r="AD56" s="19" t="str">
        <f aca="false">IF(OR($A56="",INDEX(_LEITURA!$Q$2:$Q$21,20)=0),"",SUMIFS(DECKS!$D$2:$D$1201,DECKS!$A$2:$A$1201,INDEX(_LEITURA!$P$2:$P$21,20),DECKS!$B$2:$B$1201,$A56))</f>
        <v/>
      </c>
      <c r="AE56" s="16" t="str">
        <f aca="false">IF(N(E56)&gt;0,MAX(AE$1:AE55)+1,"")</f>
        <v/>
      </c>
      <c r="AF56" s="11" t="str">
        <f aca="false">IF(A56="","",IFERROR(LEFT(A56,FIND("-",A56)-1),A56))</f>
        <v/>
      </c>
      <c r="AG56" s="11" t="str">
        <f aca="false">IF(AF56="","",IF(ISNUMBER(--MID(AF56,1,1)),0,IF(ISNUMBER(--MID(AF56,2,1)),1,IF(ISNUMBER(--MID(AF56,3,1)),2,IF(ISNUMBER(--MID(AF56,4,1)),3,MIN(LEN(AF56),4))))))</f>
        <v/>
      </c>
      <c r="AH56" s="11" t="str">
        <f aca="false">IF(A56="","",LEFT(AF56,AG56)&amp;REPT("0",4-AG56)&amp;RIGHT("000"&amp;IFERROR(VALUE(MID(AF56,AG56+1,9)),0),3)&amp;RIGHT("0000"&amp;IFERROR(VALUE(MID(A56,FIND("-",A56)+1,9)),0),4))</f>
        <v/>
      </c>
      <c r="AI56" s="11" t="str">
        <f aca="false">IF(OR(A56="",N(E56)&lt;=0),"",IF('FALTAS GERAL'!$M$1="Código","K"&amp;AH56&amp;RIGHT("00000"&amp;ROW(),5),IF('FALTAS GERAL'!$M$1="Nome","K"&amp;UPPER(SUBSTITUTE(SUBSTITUTE(SUBSTITUTE(B56,"*",""),"?",""),"~",""))&amp;"0"&amp;AH56&amp;RIGHT("00000"&amp;ROW(),5),IF('FALTAS GERAL'!$M$1="Falta (maior primeiro)","K"&amp;RIGHT("0000"&amp;(9999-E56),4)&amp;AH56&amp;RIGHT("00000"&amp;ROW(),5),IF('FALTAS GERAL'!$M$1="Nº de decks (maior primeiro)","K"&amp;RIGHT("00"&amp;(99-N(G56)),2)&amp;AH56&amp;RIGHT("00000"&amp;ROW(),5),"K"&amp;RIGHT("00000"&amp;ROW(),5))))))</f>
        <v/>
      </c>
      <c r="AJ56" s="11" t="str">
        <f aca="false">IF(AI56="","",COUNTIFS($AI$2:$AI$801,"&lt;"&amp;AI56,$E$2:$E$801,"&gt;0")+1)</f>
        <v/>
      </c>
      <c r="AK56" s="11" t="str">
        <f aca="false">IF(OR(A56="",N(E56)&lt;=0),"",COUNTIFS($AH$2:$AH$801,"&lt;"&amp;AH56,$E$2:$E$801,"&gt;0")+COUNTIFS($AH$2:AH56,AH56,$E$2:E56,"&gt;0"))</f>
        <v/>
      </c>
    </row>
    <row r="57" customFormat="false" ht="15" hidden="false" customHeight="false" outlineLevel="0" collapsed="false">
      <c r="A57" s="11" t="str">
        <f aca="false">IF(INVENTÁRIO!A57="","",INVENTÁRIO!A57)</f>
        <v/>
      </c>
      <c r="B57" s="11" t="str">
        <f aca="false">IF(A57="","",INVENTÁRIO!B57)</f>
        <v/>
      </c>
      <c r="C57" s="16" t="str">
        <f aca="false">IF(A57="","",INVENTÁRIO!C57)</f>
        <v/>
      </c>
      <c r="D57" s="14" t="str">
        <f aca="false">IF(A57="","",MAX(K57:AD57))</f>
        <v/>
      </c>
      <c r="E57" s="14" t="str">
        <f aca="false">IF(A57="","",MAX(0,D57-C57))</f>
        <v/>
      </c>
      <c r="F57" s="16" t="str">
        <f aca="false">IF(A57="","",IF(D57=0,"Fora dos decks",IF(E57=0,"Completo","Falta")))</f>
        <v/>
      </c>
      <c r="G57" s="16" t="str">
        <f aca="false">IF(A57="","",COUNTIF(K57:AD57,"&gt;0"))</f>
        <v/>
      </c>
      <c r="H57" s="16" t="str">
        <f aca="false">IF(A57="","",IF(G57&gt;1,"Sim",""))</f>
        <v/>
      </c>
      <c r="I57" s="18" t="str">
        <f aca="false">IF(A57="","",SUMIFS(DECKS!$D$2:$D$1201,DECKS!$B$2:$B$1201,A57))</f>
        <v/>
      </c>
      <c r="J57" s="18" t="str">
        <f aca="false">IF(A57="","",MAX(0,I57-C57))</f>
        <v/>
      </c>
      <c r="K57" s="19" t="str">
        <f aca="false">IF(OR($A57="",INDEX(_LEITURA!$Q$2:$Q$21,1)=0),"",SUMIFS(DECKS!$D$2:$D$1201,DECKS!$A$2:$A$1201,INDEX(_LEITURA!$P$2:$P$21,1),DECKS!$B$2:$B$1201,$A57))</f>
        <v/>
      </c>
      <c r="L57" s="19" t="str">
        <f aca="false">IF(OR($A57="",INDEX(_LEITURA!$Q$2:$Q$21,2)=0),"",SUMIFS(DECKS!$D$2:$D$1201,DECKS!$A$2:$A$1201,INDEX(_LEITURA!$P$2:$P$21,2),DECKS!$B$2:$B$1201,$A57))</f>
        <v/>
      </c>
      <c r="M57" s="19" t="str">
        <f aca="false">IF(OR($A57="",INDEX(_LEITURA!$Q$2:$Q$21,3)=0),"",SUMIFS(DECKS!$D$2:$D$1201,DECKS!$A$2:$A$1201,INDEX(_LEITURA!$P$2:$P$21,3),DECKS!$B$2:$B$1201,$A57))</f>
        <v/>
      </c>
      <c r="N57" s="19" t="str">
        <f aca="false">IF(OR($A57="",INDEX(_LEITURA!$Q$2:$Q$21,4)=0),"",SUMIFS(DECKS!$D$2:$D$1201,DECKS!$A$2:$A$1201,INDEX(_LEITURA!$P$2:$P$21,4),DECKS!$B$2:$B$1201,$A57))</f>
        <v/>
      </c>
      <c r="O57" s="19" t="str">
        <f aca="false">IF(OR($A57="",INDEX(_LEITURA!$Q$2:$Q$21,5)=0),"",SUMIFS(DECKS!$D$2:$D$1201,DECKS!$A$2:$A$1201,INDEX(_LEITURA!$P$2:$P$21,5),DECKS!$B$2:$B$1201,$A57))</f>
        <v/>
      </c>
      <c r="P57" s="19" t="str">
        <f aca="false">IF(OR($A57="",INDEX(_LEITURA!$Q$2:$Q$21,6)=0),"",SUMIFS(DECKS!$D$2:$D$1201,DECKS!$A$2:$A$1201,INDEX(_LEITURA!$P$2:$P$21,6),DECKS!$B$2:$B$1201,$A57))</f>
        <v/>
      </c>
      <c r="Q57" s="19" t="str">
        <f aca="false">IF(OR($A57="",INDEX(_LEITURA!$Q$2:$Q$21,7)=0),"",SUMIFS(DECKS!$D$2:$D$1201,DECKS!$A$2:$A$1201,INDEX(_LEITURA!$P$2:$P$21,7),DECKS!$B$2:$B$1201,$A57))</f>
        <v/>
      </c>
      <c r="R57" s="19" t="str">
        <f aca="false">IF(OR($A57="",INDEX(_LEITURA!$Q$2:$Q$21,8)=0),"",SUMIFS(DECKS!$D$2:$D$1201,DECKS!$A$2:$A$1201,INDEX(_LEITURA!$P$2:$P$21,8),DECKS!$B$2:$B$1201,$A57))</f>
        <v/>
      </c>
      <c r="S57" s="19" t="str">
        <f aca="false">IF(OR($A57="",INDEX(_LEITURA!$Q$2:$Q$21,9)=0),"",SUMIFS(DECKS!$D$2:$D$1201,DECKS!$A$2:$A$1201,INDEX(_LEITURA!$P$2:$P$21,9),DECKS!$B$2:$B$1201,$A57))</f>
        <v/>
      </c>
      <c r="T57" s="19" t="str">
        <f aca="false">IF(OR($A57="",INDEX(_LEITURA!$Q$2:$Q$21,10)=0),"",SUMIFS(DECKS!$D$2:$D$1201,DECKS!$A$2:$A$1201,INDEX(_LEITURA!$P$2:$P$21,10),DECKS!$B$2:$B$1201,$A57))</f>
        <v/>
      </c>
      <c r="U57" s="19" t="str">
        <f aca="false">IF(OR($A57="",INDEX(_LEITURA!$Q$2:$Q$21,11)=0),"",SUMIFS(DECKS!$D$2:$D$1201,DECKS!$A$2:$A$1201,INDEX(_LEITURA!$P$2:$P$21,11),DECKS!$B$2:$B$1201,$A57))</f>
        <v/>
      </c>
      <c r="V57" s="19" t="str">
        <f aca="false">IF(OR($A57="",INDEX(_LEITURA!$Q$2:$Q$21,12)=0),"",SUMIFS(DECKS!$D$2:$D$1201,DECKS!$A$2:$A$1201,INDEX(_LEITURA!$P$2:$P$21,12),DECKS!$B$2:$B$1201,$A57))</f>
        <v/>
      </c>
      <c r="W57" s="19" t="str">
        <f aca="false">IF(OR($A57="",INDEX(_LEITURA!$Q$2:$Q$21,13)=0),"",SUMIFS(DECKS!$D$2:$D$1201,DECKS!$A$2:$A$1201,INDEX(_LEITURA!$P$2:$P$21,13),DECKS!$B$2:$B$1201,$A57))</f>
        <v/>
      </c>
      <c r="X57" s="19" t="str">
        <f aca="false">IF(OR($A57="",INDEX(_LEITURA!$Q$2:$Q$21,14)=0),"",SUMIFS(DECKS!$D$2:$D$1201,DECKS!$A$2:$A$1201,INDEX(_LEITURA!$P$2:$P$21,14),DECKS!$B$2:$B$1201,$A57))</f>
        <v/>
      </c>
      <c r="Y57" s="19" t="str">
        <f aca="false">IF(OR($A57="",INDEX(_LEITURA!$Q$2:$Q$21,15)=0),"",SUMIFS(DECKS!$D$2:$D$1201,DECKS!$A$2:$A$1201,INDEX(_LEITURA!$P$2:$P$21,15),DECKS!$B$2:$B$1201,$A57))</f>
        <v/>
      </c>
      <c r="Z57" s="19" t="str">
        <f aca="false">IF(OR($A57="",INDEX(_LEITURA!$Q$2:$Q$21,16)=0),"",SUMIFS(DECKS!$D$2:$D$1201,DECKS!$A$2:$A$1201,INDEX(_LEITURA!$P$2:$P$21,16),DECKS!$B$2:$B$1201,$A57))</f>
        <v/>
      </c>
      <c r="AA57" s="19" t="str">
        <f aca="false">IF(OR($A57="",INDEX(_LEITURA!$Q$2:$Q$21,17)=0),"",SUMIFS(DECKS!$D$2:$D$1201,DECKS!$A$2:$A$1201,INDEX(_LEITURA!$P$2:$P$21,17),DECKS!$B$2:$B$1201,$A57))</f>
        <v/>
      </c>
      <c r="AB57" s="19" t="str">
        <f aca="false">IF(OR($A57="",INDEX(_LEITURA!$Q$2:$Q$21,18)=0),"",SUMIFS(DECKS!$D$2:$D$1201,DECKS!$A$2:$A$1201,INDEX(_LEITURA!$P$2:$P$21,18),DECKS!$B$2:$B$1201,$A57))</f>
        <v/>
      </c>
      <c r="AC57" s="19" t="str">
        <f aca="false">IF(OR($A57="",INDEX(_LEITURA!$Q$2:$Q$21,19)=0),"",SUMIFS(DECKS!$D$2:$D$1201,DECKS!$A$2:$A$1201,INDEX(_LEITURA!$P$2:$P$21,19),DECKS!$B$2:$B$1201,$A57))</f>
        <v/>
      </c>
      <c r="AD57" s="19" t="str">
        <f aca="false">IF(OR($A57="",INDEX(_LEITURA!$Q$2:$Q$21,20)=0),"",SUMIFS(DECKS!$D$2:$D$1201,DECKS!$A$2:$A$1201,INDEX(_LEITURA!$P$2:$P$21,20),DECKS!$B$2:$B$1201,$A57))</f>
        <v/>
      </c>
      <c r="AE57" s="16" t="str">
        <f aca="false">IF(N(E57)&gt;0,MAX(AE$1:AE56)+1,"")</f>
        <v/>
      </c>
      <c r="AF57" s="11" t="str">
        <f aca="false">IF(A57="","",IFERROR(LEFT(A57,FIND("-",A57)-1),A57))</f>
        <v/>
      </c>
      <c r="AG57" s="11" t="str">
        <f aca="false">IF(AF57="","",IF(ISNUMBER(--MID(AF57,1,1)),0,IF(ISNUMBER(--MID(AF57,2,1)),1,IF(ISNUMBER(--MID(AF57,3,1)),2,IF(ISNUMBER(--MID(AF57,4,1)),3,MIN(LEN(AF57),4))))))</f>
        <v/>
      </c>
      <c r="AH57" s="11" t="str">
        <f aca="false">IF(A57="","",LEFT(AF57,AG57)&amp;REPT("0",4-AG57)&amp;RIGHT("000"&amp;IFERROR(VALUE(MID(AF57,AG57+1,9)),0),3)&amp;RIGHT("0000"&amp;IFERROR(VALUE(MID(A57,FIND("-",A57)+1,9)),0),4))</f>
        <v/>
      </c>
      <c r="AI57" s="11" t="str">
        <f aca="false">IF(OR(A57="",N(E57)&lt;=0),"",IF('FALTAS GERAL'!$M$1="Código","K"&amp;AH57&amp;RIGHT("00000"&amp;ROW(),5),IF('FALTAS GERAL'!$M$1="Nome","K"&amp;UPPER(SUBSTITUTE(SUBSTITUTE(SUBSTITUTE(B57,"*",""),"?",""),"~",""))&amp;"0"&amp;AH57&amp;RIGHT("00000"&amp;ROW(),5),IF('FALTAS GERAL'!$M$1="Falta (maior primeiro)","K"&amp;RIGHT("0000"&amp;(9999-E57),4)&amp;AH57&amp;RIGHT("00000"&amp;ROW(),5),IF('FALTAS GERAL'!$M$1="Nº de decks (maior primeiro)","K"&amp;RIGHT("00"&amp;(99-N(G57)),2)&amp;AH57&amp;RIGHT("00000"&amp;ROW(),5),"K"&amp;RIGHT("00000"&amp;ROW(),5))))))</f>
        <v/>
      </c>
      <c r="AJ57" s="11" t="str">
        <f aca="false">IF(AI57="","",COUNTIFS($AI$2:$AI$801,"&lt;"&amp;AI57,$E$2:$E$801,"&gt;0")+1)</f>
        <v/>
      </c>
      <c r="AK57" s="11" t="str">
        <f aca="false">IF(OR(A57="",N(E57)&lt;=0),"",COUNTIFS($AH$2:$AH$801,"&lt;"&amp;AH57,$E$2:$E$801,"&gt;0")+COUNTIFS($AH$2:AH57,AH57,$E$2:E57,"&gt;0"))</f>
        <v/>
      </c>
    </row>
    <row r="58" customFormat="false" ht="15" hidden="false" customHeight="false" outlineLevel="0" collapsed="false">
      <c r="A58" s="11" t="str">
        <f aca="false">IF(INVENTÁRIO!A58="","",INVENTÁRIO!A58)</f>
        <v/>
      </c>
      <c r="B58" s="11" t="str">
        <f aca="false">IF(A58="","",INVENTÁRIO!B58)</f>
        <v/>
      </c>
      <c r="C58" s="16" t="str">
        <f aca="false">IF(A58="","",INVENTÁRIO!C58)</f>
        <v/>
      </c>
      <c r="D58" s="14" t="str">
        <f aca="false">IF(A58="","",MAX(K58:AD58))</f>
        <v/>
      </c>
      <c r="E58" s="14" t="str">
        <f aca="false">IF(A58="","",MAX(0,D58-C58))</f>
        <v/>
      </c>
      <c r="F58" s="16" t="str">
        <f aca="false">IF(A58="","",IF(D58=0,"Fora dos decks",IF(E58=0,"Completo","Falta")))</f>
        <v/>
      </c>
      <c r="G58" s="16" t="str">
        <f aca="false">IF(A58="","",COUNTIF(K58:AD58,"&gt;0"))</f>
        <v/>
      </c>
      <c r="H58" s="16" t="str">
        <f aca="false">IF(A58="","",IF(G58&gt;1,"Sim",""))</f>
        <v/>
      </c>
      <c r="I58" s="18" t="str">
        <f aca="false">IF(A58="","",SUMIFS(DECKS!$D$2:$D$1201,DECKS!$B$2:$B$1201,A58))</f>
        <v/>
      </c>
      <c r="J58" s="18" t="str">
        <f aca="false">IF(A58="","",MAX(0,I58-C58))</f>
        <v/>
      </c>
      <c r="K58" s="19" t="str">
        <f aca="false">IF(OR($A58="",INDEX(_LEITURA!$Q$2:$Q$21,1)=0),"",SUMIFS(DECKS!$D$2:$D$1201,DECKS!$A$2:$A$1201,INDEX(_LEITURA!$P$2:$P$21,1),DECKS!$B$2:$B$1201,$A58))</f>
        <v/>
      </c>
      <c r="L58" s="19" t="str">
        <f aca="false">IF(OR($A58="",INDEX(_LEITURA!$Q$2:$Q$21,2)=0),"",SUMIFS(DECKS!$D$2:$D$1201,DECKS!$A$2:$A$1201,INDEX(_LEITURA!$P$2:$P$21,2),DECKS!$B$2:$B$1201,$A58))</f>
        <v/>
      </c>
      <c r="M58" s="19" t="str">
        <f aca="false">IF(OR($A58="",INDEX(_LEITURA!$Q$2:$Q$21,3)=0),"",SUMIFS(DECKS!$D$2:$D$1201,DECKS!$A$2:$A$1201,INDEX(_LEITURA!$P$2:$P$21,3),DECKS!$B$2:$B$1201,$A58))</f>
        <v/>
      </c>
      <c r="N58" s="19" t="str">
        <f aca="false">IF(OR($A58="",INDEX(_LEITURA!$Q$2:$Q$21,4)=0),"",SUMIFS(DECKS!$D$2:$D$1201,DECKS!$A$2:$A$1201,INDEX(_LEITURA!$P$2:$P$21,4),DECKS!$B$2:$B$1201,$A58))</f>
        <v/>
      </c>
      <c r="O58" s="19" t="str">
        <f aca="false">IF(OR($A58="",INDEX(_LEITURA!$Q$2:$Q$21,5)=0),"",SUMIFS(DECKS!$D$2:$D$1201,DECKS!$A$2:$A$1201,INDEX(_LEITURA!$P$2:$P$21,5),DECKS!$B$2:$B$1201,$A58))</f>
        <v/>
      </c>
      <c r="P58" s="19" t="str">
        <f aca="false">IF(OR($A58="",INDEX(_LEITURA!$Q$2:$Q$21,6)=0),"",SUMIFS(DECKS!$D$2:$D$1201,DECKS!$A$2:$A$1201,INDEX(_LEITURA!$P$2:$P$21,6),DECKS!$B$2:$B$1201,$A58))</f>
        <v/>
      </c>
      <c r="Q58" s="19" t="str">
        <f aca="false">IF(OR($A58="",INDEX(_LEITURA!$Q$2:$Q$21,7)=0),"",SUMIFS(DECKS!$D$2:$D$1201,DECKS!$A$2:$A$1201,INDEX(_LEITURA!$P$2:$P$21,7),DECKS!$B$2:$B$1201,$A58))</f>
        <v/>
      </c>
      <c r="R58" s="19" t="str">
        <f aca="false">IF(OR($A58="",INDEX(_LEITURA!$Q$2:$Q$21,8)=0),"",SUMIFS(DECKS!$D$2:$D$1201,DECKS!$A$2:$A$1201,INDEX(_LEITURA!$P$2:$P$21,8),DECKS!$B$2:$B$1201,$A58))</f>
        <v/>
      </c>
      <c r="S58" s="19" t="str">
        <f aca="false">IF(OR($A58="",INDEX(_LEITURA!$Q$2:$Q$21,9)=0),"",SUMIFS(DECKS!$D$2:$D$1201,DECKS!$A$2:$A$1201,INDEX(_LEITURA!$P$2:$P$21,9),DECKS!$B$2:$B$1201,$A58))</f>
        <v/>
      </c>
      <c r="T58" s="19" t="str">
        <f aca="false">IF(OR($A58="",INDEX(_LEITURA!$Q$2:$Q$21,10)=0),"",SUMIFS(DECKS!$D$2:$D$1201,DECKS!$A$2:$A$1201,INDEX(_LEITURA!$P$2:$P$21,10),DECKS!$B$2:$B$1201,$A58))</f>
        <v/>
      </c>
      <c r="U58" s="19" t="str">
        <f aca="false">IF(OR($A58="",INDEX(_LEITURA!$Q$2:$Q$21,11)=0),"",SUMIFS(DECKS!$D$2:$D$1201,DECKS!$A$2:$A$1201,INDEX(_LEITURA!$P$2:$P$21,11),DECKS!$B$2:$B$1201,$A58))</f>
        <v/>
      </c>
      <c r="V58" s="19" t="str">
        <f aca="false">IF(OR($A58="",INDEX(_LEITURA!$Q$2:$Q$21,12)=0),"",SUMIFS(DECKS!$D$2:$D$1201,DECKS!$A$2:$A$1201,INDEX(_LEITURA!$P$2:$P$21,12),DECKS!$B$2:$B$1201,$A58))</f>
        <v/>
      </c>
      <c r="W58" s="19" t="str">
        <f aca="false">IF(OR($A58="",INDEX(_LEITURA!$Q$2:$Q$21,13)=0),"",SUMIFS(DECKS!$D$2:$D$1201,DECKS!$A$2:$A$1201,INDEX(_LEITURA!$P$2:$P$21,13),DECKS!$B$2:$B$1201,$A58))</f>
        <v/>
      </c>
      <c r="X58" s="19" t="str">
        <f aca="false">IF(OR($A58="",INDEX(_LEITURA!$Q$2:$Q$21,14)=0),"",SUMIFS(DECKS!$D$2:$D$1201,DECKS!$A$2:$A$1201,INDEX(_LEITURA!$P$2:$P$21,14),DECKS!$B$2:$B$1201,$A58))</f>
        <v/>
      </c>
      <c r="Y58" s="19" t="str">
        <f aca="false">IF(OR($A58="",INDEX(_LEITURA!$Q$2:$Q$21,15)=0),"",SUMIFS(DECKS!$D$2:$D$1201,DECKS!$A$2:$A$1201,INDEX(_LEITURA!$P$2:$P$21,15),DECKS!$B$2:$B$1201,$A58))</f>
        <v/>
      </c>
      <c r="Z58" s="19" t="str">
        <f aca="false">IF(OR($A58="",INDEX(_LEITURA!$Q$2:$Q$21,16)=0),"",SUMIFS(DECKS!$D$2:$D$1201,DECKS!$A$2:$A$1201,INDEX(_LEITURA!$P$2:$P$21,16),DECKS!$B$2:$B$1201,$A58))</f>
        <v/>
      </c>
      <c r="AA58" s="19" t="str">
        <f aca="false">IF(OR($A58="",INDEX(_LEITURA!$Q$2:$Q$21,17)=0),"",SUMIFS(DECKS!$D$2:$D$1201,DECKS!$A$2:$A$1201,INDEX(_LEITURA!$P$2:$P$21,17),DECKS!$B$2:$B$1201,$A58))</f>
        <v/>
      </c>
      <c r="AB58" s="19" t="str">
        <f aca="false">IF(OR($A58="",INDEX(_LEITURA!$Q$2:$Q$21,18)=0),"",SUMIFS(DECKS!$D$2:$D$1201,DECKS!$A$2:$A$1201,INDEX(_LEITURA!$P$2:$P$21,18),DECKS!$B$2:$B$1201,$A58))</f>
        <v/>
      </c>
      <c r="AC58" s="19" t="str">
        <f aca="false">IF(OR($A58="",INDEX(_LEITURA!$Q$2:$Q$21,19)=0),"",SUMIFS(DECKS!$D$2:$D$1201,DECKS!$A$2:$A$1201,INDEX(_LEITURA!$P$2:$P$21,19),DECKS!$B$2:$B$1201,$A58))</f>
        <v/>
      </c>
      <c r="AD58" s="19" t="str">
        <f aca="false">IF(OR($A58="",INDEX(_LEITURA!$Q$2:$Q$21,20)=0),"",SUMIFS(DECKS!$D$2:$D$1201,DECKS!$A$2:$A$1201,INDEX(_LEITURA!$P$2:$P$21,20),DECKS!$B$2:$B$1201,$A58))</f>
        <v/>
      </c>
      <c r="AE58" s="16" t="str">
        <f aca="false">IF(N(E58)&gt;0,MAX(AE$1:AE57)+1,"")</f>
        <v/>
      </c>
      <c r="AF58" s="11" t="str">
        <f aca="false">IF(A58="","",IFERROR(LEFT(A58,FIND("-",A58)-1),A58))</f>
        <v/>
      </c>
      <c r="AG58" s="11" t="str">
        <f aca="false">IF(AF58="","",IF(ISNUMBER(--MID(AF58,1,1)),0,IF(ISNUMBER(--MID(AF58,2,1)),1,IF(ISNUMBER(--MID(AF58,3,1)),2,IF(ISNUMBER(--MID(AF58,4,1)),3,MIN(LEN(AF58),4))))))</f>
        <v/>
      </c>
      <c r="AH58" s="11" t="str">
        <f aca="false">IF(A58="","",LEFT(AF58,AG58)&amp;REPT("0",4-AG58)&amp;RIGHT("000"&amp;IFERROR(VALUE(MID(AF58,AG58+1,9)),0),3)&amp;RIGHT("0000"&amp;IFERROR(VALUE(MID(A58,FIND("-",A58)+1,9)),0),4))</f>
        <v/>
      </c>
      <c r="AI58" s="11" t="str">
        <f aca="false">IF(OR(A58="",N(E58)&lt;=0),"",IF('FALTAS GERAL'!$M$1="Código","K"&amp;AH58&amp;RIGHT("00000"&amp;ROW(),5),IF('FALTAS GERAL'!$M$1="Nome","K"&amp;UPPER(SUBSTITUTE(SUBSTITUTE(SUBSTITUTE(B58,"*",""),"?",""),"~",""))&amp;"0"&amp;AH58&amp;RIGHT("00000"&amp;ROW(),5),IF('FALTAS GERAL'!$M$1="Falta (maior primeiro)","K"&amp;RIGHT("0000"&amp;(9999-E58),4)&amp;AH58&amp;RIGHT("00000"&amp;ROW(),5),IF('FALTAS GERAL'!$M$1="Nº de decks (maior primeiro)","K"&amp;RIGHT("00"&amp;(99-N(G58)),2)&amp;AH58&amp;RIGHT("00000"&amp;ROW(),5),"K"&amp;RIGHT("00000"&amp;ROW(),5))))))</f>
        <v/>
      </c>
      <c r="AJ58" s="11" t="str">
        <f aca="false">IF(AI58="","",COUNTIFS($AI$2:$AI$801,"&lt;"&amp;AI58,$E$2:$E$801,"&gt;0")+1)</f>
        <v/>
      </c>
      <c r="AK58" s="11" t="str">
        <f aca="false">IF(OR(A58="",N(E58)&lt;=0),"",COUNTIFS($AH$2:$AH$801,"&lt;"&amp;AH58,$E$2:$E$801,"&gt;0")+COUNTIFS($AH$2:AH58,AH58,$E$2:E58,"&gt;0"))</f>
        <v/>
      </c>
    </row>
    <row r="59" customFormat="false" ht="15" hidden="false" customHeight="false" outlineLevel="0" collapsed="false">
      <c r="A59" s="11" t="str">
        <f aca="false">IF(INVENTÁRIO!A59="","",INVENTÁRIO!A59)</f>
        <v/>
      </c>
      <c r="B59" s="11" t="str">
        <f aca="false">IF(A59="","",INVENTÁRIO!B59)</f>
        <v/>
      </c>
      <c r="C59" s="16" t="str">
        <f aca="false">IF(A59="","",INVENTÁRIO!C59)</f>
        <v/>
      </c>
      <c r="D59" s="14" t="str">
        <f aca="false">IF(A59="","",MAX(K59:AD59))</f>
        <v/>
      </c>
      <c r="E59" s="14" t="str">
        <f aca="false">IF(A59="","",MAX(0,D59-C59))</f>
        <v/>
      </c>
      <c r="F59" s="16" t="str">
        <f aca="false">IF(A59="","",IF(D59=0,"Fora dos decks",IF(E59=0,"Completo","Falta")))</f>
        <v/>
      </c>
      <c r="G59" s="16" t="str">
        <f aca="false">IF(A59="","",COUNTIF(K59:AD59,"&gt;0"))</f>
        <v/>
      </c>
      <c r="H59" s="16" t="str">
        <f aca="false">IF(A59="","",IF(G59&gt;1,"Sim",""))</f>
        <v/>
      </c>
      <c r="I59" s="18" t="str">
        <f aca="false">IF(A59="","",SUMIFS(DECKS!$D$2:$D$1201,DECKS!$B$2:$B$1201,A59))</f>
        <v/>
      </c>
      <c r="J59" s="18" t="str">
        <f aca="false">IF(A59="","",MAX(0,I59-C59))</f>
        <v/>
      </c>
      <c r="K59" s="19" t="str">
        <f aca="false">IF(OR($A59="",INDEX(_LEITURA!$Q$2:$Q$21,1)=0),"",SUMIFS(DECKS!$D$2:$D$1201,DECKS!$A$2:$A$1201,INDEX(_LEITURA!$P$2:$P$21,1),DECKS!$B$2:$B$1201,$A59))</f>
        <v/>
      </c>
      <c r="L59" s="19" t="str">
        <f aca="false">IF(OR($A59="",INDEX(_LEITURA!$Q$2:$Q$21,2)=0),"",SUMIFS(DECKS!$D$2:$D$1201,DECKS!$A$2:$A$1201,INDEX(_LEITURA!$P$2:$P$21,2),DECKS!$B$2:$B$1201,$A59))</f>
        <v/>
      </c>
      <c r="M59" s="19" t="str">
        <f aca="false">IF(OR($A59="",INDEX(_LEITURA!$Q$2:$Q$21,3)=0),"",SUMIFS(DECKS!$D$2:$D$1201,DECKS!$A$2:$A$1201,INDEX(_LEITURA!$P$2:$P$21,3),DECKS!$B$2:$B$1201,$A59))</f>
        <v/>
      </c>
      <c r="N59" s="19" t="str">
        <f aca="false">IF(OR($A59="",INDEX(_LEITURA!$Q$2:$Q$21,4)=0),"",SUMIFS(DECKS!$D$2:$D$1201,DECKS!$A$2:$A$1201,INDEX(_LEITURA!$P$2:$P$21,4),DECKS!$B$2:$B$1201,$A59))</f>
        <v/>
      </c>
      <c r="O59" s="19" t="str">
        <f aca="false">IF(OR($A59="",INDEX(_LEITURA!$Q$2:$Q$21,5)=0),"",SUMIFS(DECKS!$D$2:$D$1201,DECKS!$A$2:$A$1201,INDEX(_LEITURA!$P$2:$P$21,5),DECKS!$B$2:$B$1201,$A59))</f>
        <v/>
      </c>
      <c r="P59" s="19" t="str">
        <f aca="false">IF(OR($A59="",INDEX(_LEITURA!$Q$2:$Q$21,6)=0),"",SUMIFS(DECKS!$D$2:$D$1201,DECKS!$A$2:$A$1201,INDEX(_LEITURA!$P$2:$P$21,6),DECKS!$B$2:$B$1201,$A59))</f>
        <v/>
      </c>
      <c r="Q59" s="19" t="str">
        <f aca="false">IF(OR($A59="",INDEX(_LEITURA!$Q$2:$Q$21,7)=0),"",SUMIFS(DECKS!$D$2:$D$1201,DECKS!$A$2:$A$1201,INDEX(_LEITURA!$P$2:$P$21,7),DECKS!$B$2:$B$1201,$A59))</f>
        <v/>
      </c>
      <c r="R59" s="19" t="str">
        <f aca="false">IF(OR($A59="",INDEX(_LEITURA!$Q$2:$Q$21,8)=0),"",SUMIFS(DECKS!$D$2:$D$1201,DECKS!$A$2:$A$1201,INDEX(_LEITURA!$P$2:$P$21,8),DECKS!$B$2:$B$1201,$A59))</f>
        <v/>
      </c>
      <c r="S59" s="19" t="str">
        <f aca="false">IF(OR($A59="",INDEX(_LEITURA!$Q$2:$Q$21,9)=0),"",SUMIFS(DECKS!$D$2:$D$1201,DECKS!$A$2:$A$1201,INDEX(_LEITURA!$P$2:$P$21,9),DECKS!$B$2:$B$1201,$A59))</f>
        <v/>
      </c>
      <c r="T59" s="19" t="str">
        <f aca="false">IF(OR($A59="",INDEX(_LEITURA!$Q$2:$Q$21,10)=0),"",SUMIFS(DECKS!$D$2:$D$1201,DECKS!$A$2:$A$1201,INDEX(_LEITURA!$P$2:$P$21,10),DECKS!$B$2:$B$1201,$A59))</f>
        <v/>
      </c>
      <c r="U59" s="19" t="str">
        <f aca="false">IF(OR($A59="",INDEX(_LEITURA!$Q$2:$Q$21,11)=0),"",SUMIFS(DECKS!$D$2:$D$1201,DECKS!$A$2:$A$1201,INDEX(_LEITURA!$P$2:$P$21,11),DECKS!$B$2:$B$1201,$A59))</f>
        <v/>
      </c>
      <c r="V59" s="19" t="str">
        <f aca="false">IF(OR($A59="",INDEX(_LEITURA!$Q$2:$Q$21,12)=0),"",SUMIFS(DECKS!$D$2:$D$1201,DECKS!$A$2:$A$1201,INDEX(_LEITURA!$P$2:$P$21,12),DECKS!$B$2:$B$1201,$A59))</f>
        <v/>
      </c>
      <c r="W59" s="19" t="str">
        <f aca="false">IF(OR($A59="",INDEX(_LEITURA!$Q$2:$Q$21,13)=0),"",SUMIFS(DECKS!$D$2:$D$1201,DECKS!$A$2:$A$1201,INDEX(_LEITURA!$P$2:$P$21,13),DECKS!$B$2:$B$1201,$A59))</f>
        <v/>
      </c>
      <c r="X59" s="19" t="str">
        <f aca="false">IF(OR($A59="",INDEX(_LEITURA!$Q$2:$Q$21,14)=0),"",SUMIFS(DECKS!$D$2:$D$1201,DECKS!$A$2:$A$1201,INDEX(_LEITURA!$P$2:$P$21,14),DECKS!$B$2:$B$1201,$A59))</f>
        <v/>
      </c>
      <c r="Y59" s="19" t="str">
        <f aca="false">IF(OR($A59="",INDEX(_LEITURA!$Q$2:$Q$21,15)=0),"",SUMIFS(DECKS!$D$2:$D$1201,DECKS!$A$2:$A$1201,INDEX(_LEITURA!$P$2:$P$21,15),DECKS!$B$2:$B$1201,$A59))</f>
        <v/>
      </c>
      <c r="Z59" s="19" t="str">
        <f aca="false">IF(OR($A59="",INDEX(_LEITURA!$Q$2:$Q$21,16)=0),"",SUMIFS(DECKS!$D$2:$D$1201,DECKS!$A$2:$A$1201,INDEX(_LEITURA!$P$2:$P$21,16),DECKS!$B$2:$B$1201,$A59))</f>
        <v/>
      </c>
      <c r="AA59" s="19" t="str">
        <f aca="false">IF(OR($A59="",INDEX(_LEITURA!$Q$2:$Q$21,17)=0),"",SUMIFS(DECKS!$D$2:$D$1201,DECKS!$A$2:$A$1201,INDEX(_LEITURA!$P$2:$P$21,17),DECKS!$B$2:$B$1201,$A59))</f>
        <v/>
      </c>
      <c r="AB59" s="19" t="str">
        <f aca="false">IF(OR($A59="",INDEX(_LEITURA!$Q$2:$Q$21,18)=0),"",SUMIFS(DECKS!$D$2:$D$1201,DECKS!$A$2:$A$1201,INDEX(_LEITURA!$P$2:$P$21,18),DECKS!$B$2:$B$1201,$A59))</f>
        <v/>
      </c>
      <c r="AC59" s="19" t="str">
        <f aca="false">IF(OR($A59="",INDEX(_LEITURA!$Q$2:$Q$21,19)=0),"",SUMIFS(DECKS!$D$2:$D$1201,DECKS!$A$2:$A$1201,INDEX(_LEITURA!$P$2:$P$21,19),DECKS!$B$2:$B$1201,$A59))</f>
        <v/>
      </c>
      <c r="AD59" s="19" t="str">
        <f aca="false">IF(OR($A59="",INDEX(_LEITURA!$Q$2:$Q$21,20)=0),"",SUMIFS(DECKS!$D$2:$D$1201,DECKS!$A$2:$A$1201,INDEX(_LEITURA!$P$2:$P$21,20),DECKS!$B$2:$B$1201,$A59))</f>
        <v/>
      </c>
      <c r="AE59" s="16" t="str">
        <f aca="false">IF(N(E59)&gt;0,MAX(AE$1:AE58)+1,"")</f>
        <v/>
      </c>
      <c r="AF59" s="11" t="str">
        <f aca="false">IF(A59="","",IFERROR(LEFT(A59,FIND("-",A59)-1),A59))</f>
        <v/>
      </c>
      <c r="AG59" s="11" t="str">
        <f aca="false">IF(AF59="","",IF(ISNUMBER(--MID(AF59,1,1)),0,IF(ISNUMBER(--MID(AF59,2,1)),1,IF(ISNUMBER(--MID(AF59,3,1)),2,IF(ISNUMBER(--MID(AF59,4,1)),3,MIN(LEN(AF59),4))))))</f>
        <v/>
      </c>
      <c r="AH59" s="11" t="str">
        <f aca="false">IF(A59="","",LEFT(AF59,AG59)&amp;REPT("0",4-AG59)&amp;RIGHT("000"&amp;IFERROR(VALUE(MID(AF59,AG59+1,9)),0),3)&amp;RIGHT("0000"&amp;IFERROR(VALUE(MID(A59,FIND("-",A59)+1,9)),0),4))</f>
        <v/>
      </c>
      <c r="AI59" s="11" t="str">
        <f aca="false">IF(OR(A59="",N(E59)&lt;=0),"",IF('FALTAS GERAL'!$M$1="Código","K"&amp;AH59&amp;RIGHT("00000"&amp;ROW(),5),IF('FALTAS GERAL'!$M$1="Nome","K"&amp;UPPER(SUBSTITUTE(SUBSTITUTE(SUBSTITUTE(B59,"*",""),"?",""),"~",""))&amp;"0"&amp;AH59&amp;RIGHT("00000"&amp;ROW(),5),IF('FALTAS GERAL'!$M$1="Falta (maior primeiro)","K"&amp;RIGHT("0000"&amp;(9999-E59),4)&amp;AH59&amp;RIGHT("00000"&amp;ROW(),5),IF('FALTAS GERAL'!$M$1="Nº de decks (maior primeiro)","K"&amp;RIGHT("00"&amp;(99-N(G59)),2)&amp;AH59&amp;RIGHT("00000"&amp;ROW(),5),"K"&amp;RIGHT("00000"&amp;ROW(),5))))))</f>
        <v/>
      </c>
      <c r="AJ59" s="11" t="str">
        <f aca="false">IF(AI59="","",COUNTIFS($AI$2:$AI$801,"&lt;"&amp;AI59,$E$2:$E$801,"&gt;0")+1)</f>
        <v/>
      </c>
      <c r="AK59" s="11" t="str">
        <f aca="false">IF(OR(A59="",N(E59)&lt;=0),"",COUNTIFS($AH$2:$AH$801,"&lt;"&amp;AH59,$E$2:$E$801,"&gt;0")+COUNTIFS($AH$2:AH59,AH59,$E$2:E59,"&gt;0"))</f>
        <v/>
      </c>
    </row>
    <row r="60" customFormat="false" ht="15" hidden="false" customHeight="false" outlineLevel="0" collapsed="false">
      <c r="A60" s="11" t="str">
        <f aca="false">IF(INVENTÁRIO!A60="","",INVENTÁRIO!A60)</f>
        <v/>
      </c>
      <c r="B60" s="11" t="str">
        <f aca="false">IF(A60="","",INVENTÁRIO!B60)</f>
        <v/>
      </c>
      <c r="C60" s="16" t="str">
        <f aca="false">IF(A60="","",INVENTÁRIO!C60)</f>
        <v/>
      </c>
      <c r="D60" s="14" t="str">
        <f aca="false">IF(A60="","",MAX(K60:AD60))</f>
        <v/>
      </c>
      <c r="E60" s="14" t="str">
        <f aca="false">IF(A60="","",MAX(0,D60-C60))</f>
        <v/>
      </c>
      <c r="F60" s="16" t="str">
        <f aca="false">IF(A60="","",IF(D60=0,"Fora dos decks",IF(E60=0,"Completo","Falta")))</f>
        <v/>
      </c>
      <c r="G60" s="16" t="str">
        <f aca="false">IF(A60="","",COUNTIF(K60:AD60,"&gt;0"))</f>
        <v/>
      </c>
      <c r="H60" s="16" t="str">
        <f aca="false">IF(A60="","",IF(G60&gt;1,"Sim",""))</f>
        <v/>
      </c>
      <c r="I60" s="18" t="str">
        <f aca="false">IF(A60="","",SUMIFS(DECKS!$D$2:$D$1201,DECKS!$B$2:$B$1201,A60))</f>
        <v/>
      </c>
      <c r="J60" s="18" t="str">
        <f aca="false">IF(A60="","",MAX(0,I60-C60))</f>
        <v/>
      </c>
      <c r="K60" s="19" t="str">
        <f aca="false">IF(OR($A60="",INDEX(_LEITURA!$Q$2:$Q$21,1)=0),"",SUMIFS(DECKS!$D$2:$D$1201,DECKS!$A$2:$A$1201,INDEX(_LEITURA!$P$2:$P$21,1),DECKS!$B$2:$B$1201,$A60))</f>
        <v/>
      </c>
      <c r="L60" s="19" t="str">
        <f aca="false">IF(OR($A60="",INDEX(_LEITURA!$Q$2:$Q$21,2)=0),"",SUMIFS(DECKS!$D$2:$D$1201,DECKS!$A$2:$A$1201,INDEX(_LEITURA!$P$2:$P$21,2),DECKS!$B$2:$B$1201,$A60))</f>
        <v/>
      </c>
      <c r="M60" s="19" t="str">
        <f aca="false">IF(OR($A60="",INDEX(_LEITURA!$Q$2:$Q$21,3)=0),"",SUMIFS(DECKS!$D$2:$D$1201,DECKS!$A$2:$A$1201,INDEX(_LEITURA!$P$2:$P$21,3),DECKS!$B$2:$B$1201,$A60))</f>
        <v/>
      </c>
      <c r="N60" s="19" t="str">
        <f aca="false">IF(OR($A60="",INDEX(_LEITURA!$Q$2:$Q$21,4)=0),"",SUMIFS(DECKS!$D$2:$D$1201,DECKS!$A$2:$A$1201,INDEX(_LEITURA!$P$2:$P$21,4),DECKS!$B$2:$B$1201,$A60))</f>
        <v/>
      </c>
      <c r="O60" s="19" t="str">
        <f aca="false">IF(OR($A60="",INDEX(_LEITURA!$Q$2:$Q$21,5)=0),"",SUMIFS(DECKS!$D$2:$D$1201,DECKS!$A$2:$A$1201,INDEX(_LEITURA!$P$2:$P$21,5),DECKS!$B$2:$B$1201,$A60))</f>
        <v/>
      </c>
      <c r="P60" s="19" t="str">
        <f aca="false">IF(OR($A60="",INDEX(_LEITURA!$Q$2:$Q$21,6)=0),"",SUMIFS(DECKS!$D$2:$D$1201,DECKS!$A$2:$A$1201,INDEX(_LEITURA!$P$2:$P$21,6),DECKS!$B$2:$B$1201,$A60))</f>
        <v/>
      </c>
      <c r="Q60" s="19" t="str">
        <f aca="false">IF(OR($A60="",INDEX(_LEITURA!$Q$2:$Q$21,7)=0),"",SUMIFS(DECKS!$D$2:$D$1201,DECKS!$A$2:$A$1201,INDEX(_LEITURA!$P$2:$P$21,7),DECKS!$B$2:$B$1201,$A60))</f>
        <v/>
      </c>
      <c r="R60" s="19" t="str">
        <f aca="false">IF(OR($A60="",INDEX(_LEITURA!$Q$2:$Q$21,8)=0),"",SUMIFS(DECKS!$D$2:$D$1201,DECKS!$A$2:$A$1201,INDEX(_LEITURA!$P$2:$P$21,8),DECKS!$B$2:$B$1201,$A60))</f>
        <v/>
      </c>
      <c r="S60" s="19" t="str">
        <f aca="false">IF(OR($A60="",INDEX(_LEITURA!$Q$2:$Q$21,9)=0),"",SUMIFS(DECKS!$D$2:$D$1201,DECKS!$A$2:$A$1201,INDEX(_LEITURA!$P$2:$P$21,9),DECKS!$B$2:$B$1201,$A60))</f>
        <v/>
      </c>
      <c r="T60" s="19" t="str">
        <f aca="false">IF(OR($A60="",INDEX(_LEITURA!$Q$2:$Q$21,10)=0),"",SUMIFS(DECKS!$D$2:$D$1201,DECKS!$A$2:$A$1201,INDEX(_LEITURA!$P$2:$P$21,10),DECKS!$B$2:$B$1201,$A60))</f>
        <v/>
      </c>
      <c r="U60" s="19" t="str">
        <f aca="false">IF(OR($A60="",INDEX(_LEITURA!$Q$2:$Q$21,11)=0),"",SUMIFS(DECKS!$D$2:$D$1201,DECKS!$A$2:$A$1201,INDEX(_LEITURA!$P$2:$P$21,11),DECKS!$B$2:$B$1201,$A60))</f>
        <v/>
      </c>
      <c r="V60" s="19" t="str">
        <f aca="false">IF(OR($A60="",INDEX(_LEITURA!$Q$2:$Q$21,12)=0),"",SUMIFS(DECKS!$D$2:$D$1201,DECKS!$A$2:$A$1201,INDEX(_LEITURA!$P$2:$P$21,12),DECKS!$B$2:$B$1201,$A60))</f>
        <v/>
      </c>
      <c r="W60" s="19" t="str">
        <f aca="false">IF(OR($A60="",INDEX(_LEITURA!$Q$2:$Q$21,13)=0),"",SUMIFS(DECKS!$D$2:$D$1201,DECKS!$A$2:$A$1201,INDEX(_LEITURA!$P$2:$P$21,13),DECKS!$B$2:$B$1201,$A60))</f>
        <v/>
      </c>
      <c r="X60" s="19" t="str">
        <f aca="false">IF(OR($A60="",INDEX(_LEITURA!$Q$2:$Q$21,14)=0),"",SUMIFS(DECKS!$D$2:$D$1201,DECKS!$A$2:$A$1201,INDEX(_LEITURA!$P$2:$P$21,14),DECKS!$B$2:$B$1201,$A60))</f>
        <v/>
      </c>
      <c r="Y60" s="19" t="str">
        <f aca="false">IF(OR($A60="",INDEX(_LEITURA!$Q$2:$Q$21,15)=0),"",SUMIFS(DECKS!$D$2:$D$1201,DECKS!$A$2:$A$1201,INDEX(_LEITURA!$P$2:$P$21,15),DECKS!$B$2:$B$1201,$A60))</f>
        <v/>
      </c>
      <c r="Z60" s="19" t="str">
        <f aca="false">IF(OR($A60="",INDEX(_LEITURA!$Q$2:$Q$21,16)=0),"",SUMIFS(DECKS!$D$2:$D$1201,DECKS!$A$2:$A$1201,INDEX(_LEITURA!$P$2:$P$21,16),DECKS!$B$2:$B$1201,$A60))</f>
        <v/>
      </c>
      <c r="AA60" s="19" t="str">
        <f aca="false">IF(OR($A60="",INDEX(_LEITURA!$Q$2:$Q$21,17)=0),"",SUMIFS(DECKS!$D$2:$D$1201,DECKS!$A$2:$A$1201,INDEX(_LEITURA!$P$2:$P$21,17),DECKS!$B$2:$B$1201,$A60))</f>
        <v/>
      </c>
      <c r="AB60" s="19" t="str">
        <f aca="false">IF(OR($A60="",INDEX(_LEITURA!$Q$2:$Q$21,18)=0),"",SUMIFS(DECKS!$D$2:$D$1201,DECKS!$A$2:$A$1201,INDEX(_LEITURA!$P$2:$P$21,18),DECKS!$B$2:$B$1201,$A60))</f>
        <v/>
      </c>
      <c r="AC60" s="19" t="str">
        <f aca="false">IF(OR($A60="",INDEX(_LEITURA!$Q$2:$Q$21,19)=0),"",SUMIFS(DECKS!$D$2:$D$1201,DECKS!$A$2:$A$1201,INDEX(_LEITURA!$P$2:$P$21,19),DECKS!$B$2:$B$1201,$A60))</f>
        <v/>
      </c>
      <c r="AD60" s="19" t="str">
        <f aca="false">IF(OR($A60="",INDEX(_LEITURA!$Q$2:$Q$21,20)=0),"",SUMIFS(DECKS!$D$2:$D$1201,DECKS!$A$2:$A$1201,INDEX(_LEITURA!$P$2:$P$21,20),DECKS!$B$2:$B$1201,$A60))</f>
        <v/>
      </c>
      <c r="AE60" s="16" t="str">
        <f aca="false">IF(N(E60)&gt;0,MAX(AE$1:AE59)+1,"")</f>
        <v/>
      </c>
      <c r="AF60" s="11" t="str">
        <f aca="false">IF(A60="","",IFERROR(LEFT(A60,FIND("-",A60)-1),A60))</f>
        <v/>
      </c>
      <c r="AG60" s="11" t="str">
        <f aca="false">IF(AF60="","",IF(ISNUMBER(--MID(AF60,1,1)),0,IF(ISNUMBER(--MID(AF60,2,1)),1,IF(ISNUMBER(--MID(AF60,3,1)),2,IF(ISNUMBER(--MID(AF60,4,1)),3,MIN(LEN(AF60),4))))))</f>
        <v/>
      </c>
      <c r="AH60" s="11" t="str">
        <f aca="false">IF(A60="","",LEFT(AF60,AG60)&amp;REPT("0",4-AG60)&amp;RIGHT("000"&amp;IFERROR(VALUE(MID(AF60,AG60+1,9)),0),3)&amp;RIGHT("0000"&amp;IFERROR(VALUE(MID(A60,FIND("-",A60)+1,9)),0),4))</f>
        <v/>
      </c>
      <c r="AI60" s="11" t="str">
        <f aca="false">IF(OR(A60="",N(E60)&lt;=0),"",IF('FALTAS GERAL'!$M$1="Código","K"&amp;AH60&amp;RIGHT("00000"&amp;ROW(),5),IF('FALTAS GERAL'!$M$1="Nome","K"&amp;UPPER(SUBSTITUTE(SUBSTITUTE(SUBSTITUTE(B60,"*",""),"?",""),"~",""))&amp;"0"&amp;AH60&amp;RIGHT("00000"&amp;ROW(),5),IF('FALTAS GERAL'!$M$1="Falta (maior primeiro)","K"&amp;RIGHT("0000"&amp;(9999-E60),4)&amp;AH60&amp;RIGHT("00000"&amp;ROW(),5),IF('FALTAS GERAL'!$M$1="Nº de decks (maior primeiro)","K"&amp;RIGHT("00"&amp;(99-N(G60)),2)&amp;AH60&amp;RIGHT("00000"&amp;ROW(),5),"K"&amp;RIGHT("00000"&amp;ROW(),5))))))</f>
        <v/>
      </c>
      <c r="AJ60" s="11" t="str">
        <f aca="false">IF(AI60="","",COUNTIFS($AI$2:$AI$801,"&lt;"&amp;AI60,$E$2:$E$801,"&gt;0")+1)</f>
        <v/>
      </c>
      <c r="AK60" s="11" t="str">
        <f aca="false">IF(OR(A60="",N(E60)&lt;=0),"",COUNTIFS($AH$2:$AH$801,"&lt;"&amp;AH60,$E$2:$E$801,"&gt;0")+COUNTIFS($AH$2:AH60,AH60,$E$2:E60,"&gt;0"))</f>
        <v/>
      </c>
    </row>
    <row r="61" customFormat="false" ht="15" hidden="false" customHeight="false" outlineLevel="0" collapsed="false">
      <c r="A61" s="11" t="str">
        <f aca="false">IF(INVENTÁRIO!A61="","",INVENTÁRIO!A61)</f>
        <v/>
      </c>
      <c r="B61" s="11" t="str">
        <f aca="false">IF(A61="","",INVENTÁRIO!B61)</f>
        <v/>
      </c>
      <c r="C61" s="16" t="str">
        <f aca="false">IF(A61="","",INVENTÁRIO!C61)</f>
        <v/>
      </c>
      <c r="D61" s="14" t="str">
        <f aca="false">IF(A61="","",MAX(K61:AD61))</f>
        <v/>
      </c>
      <c r="E61" s="14" t="str">
        <f aca="false">IF(A61="","",MAX(0,D61-C61))</f>
        <v/>
      </c>
      <c r="F61" s="16" t="str">
        <f aca="false">IF(A61="","",IF(D61=0,"Fora dos decks",IF(E61=0,"Completo","Falta")))</f>
        <v/>
      </c>
      <c r="G61" s="16" t="str">
        <f aca="false">IF(A61="","",COUNTIF(K61:AD61,"&gt;0"))</f>
        <v/>
      </c>
      <c r="H61" s="16" t="str">
        <f aca="false">IF(A61="","",IF(G61&gt;1,"Sim",""))</f>
        <v/>
      </c>
      <c r="I61" s="18" t="str">
        <f aca="false">IF(A61="","",SUMIFS(DECKS!$D$2:$D$1201,DECKS!$B$2:$B$1201,A61))</f>
        <v/>
      </c>
      <c r="J61" s="18" t="str">
        <f aca="false">IF(A61="","",MAX(0,I61-C61))</f>
        <v/>
      </c>
      <c r="K61" s="19" t="str">
        <f aca="false">IF(OR($A61="",INDEX(_LEITURA!$Q$2:$Q$21,1)=0),"",SUMIFS(DECKS!$D$2:$D$1201,DECKS!$A$2:$A$1201,INDEX(_LEITURA!$P$2:$P$21,1),DECKS!$B$2:$B$1201,$A61))</f>
        <v/>
      </c>
      <c r="L61" s="19" t="str">
        <f aca="false">IF(OR($A61="",INDEX(_LEITURA!$Q$2:$Q$21,2)=0),"",SUMIFS(DECKS!$D$2:$D$1201,DECKS!$A$2:$A$1201,INDEX(_LEITURA!$P$2:$P$21,2),DECKS!$B$2:$B$1201,$A61))</f>
        <v/>
      </c>
      <c r="M61" s="19" t="str">
        <f aca="false">IF(OR($A61="",INDEX(_LEITURA!$Q$2:$Q$21,3)=0),"",SUMIFS(DECKS!$D$2:$D$1201,DECKS!$A$2:$A$1201,INDEX(_LEITURA!$P$2:$P$21,3),DECKS!$B$2:$B$1201,$A61))</f>
        <v/>
      </c>
      <c r="N61" s="19" t="str">
        <f aca="false">IF(OR($A61="",INDEX(_LEITURA!$Q$2:$Q$21,4)=0),"",SUMIFS(DECKS!$D$2:$D$1201,DECKS!$A$2:$A$1201,INDEX(_LEITURA!$P$2:$P$21,4),DECKS!$B$2:$B$1201,$A61))</f>
        <v/>
      </c>
      <c r="O61" s="19" t="str">
        <f aca="false">IF(OR($A61="",INDEX(_LEITURA!$Q$2:$Q$21,5)=0),"",SUMIFS(DECKS!$D$2:$D$1201,DECKS!$A$2:$A$1201,INDEX(_LEITURA!$P$2:$P$21,5),DECKS!$B$2:$B$1201,$A61))</f>
        <v/>
      </c>
      <c r="P61" s="19" t="str">
        <f aca="false">IF(OR($A61="",INDEX(_LEITURA!$Q$2:$Q$21,6)=0),"",SUMIFS(DECKS!$D$2:$D$1201,DECKS!$A$2:$A$1201,INDEX(_LEITURA!$P$2:$P$21,6),DECKS!$B$2:$B$1201,$A61))</f>
        <v/>
      </c>
      <c r="Q61" s="19" t="str">
        <f aca="false">IF(OR($A61="",INDEX(_LEITURA!$Q$2:$Q$21,7)=0),"",SUMIFS(DECKS!$D$2:$D$1201,DECKS!$A$2:$A$1201,INDEX(_LEITURA!$P$2:$P$21,7),DECKS!$B$2:$B$1201,$A61))</f>
        <v/>
      </c>
      <c r="R61" s="19" t="str">
        <f aca="false">IF(OR($A61="",INDEX(_LEITURA!$Q$2:$Q$21,8)=0),"",SUMIFS(DECKS!$D$2:$D$1201,DECKS!$A$2:$A$1201,INDEX(_LEITURA!$P$2:$P$21,8),DECKS!$B$2:$B$1201,$A61))</f>
        <v/>
      </c>
      <c r="S61" s="19" t="str">
        <f aca="false">IF(OR($A61="",INDEX(_LEITURA!$Q$2:$Q$21,9)=0),"",SUMIFS(DECKS!$D$2:$D$1201,DECKS!$A$2:$A$1201,INDEX(_LEITURA!$P$2:$P$21,9),DECKS!$B$2:$B$1201,$A61))</f>
        <v/>
      </c>
      <c r="T61" s="19" t="str">
        <f aca="false">IF(OR($A61="",INDEX(_LEITURA!$Q$2:$Q$21,10)=0),"",SUMIFS(DECKS!$D$2:$D$1201,DECKS!$A$2:$A$1201,INDEX(_LEITURA!$P$2:$P$21,10),DECKS!$B$2:$B$1201,$A61))</f>
        <v/>
      </c>
      <c r="U61" s="19" t="str">
        <f aca="false">IF(OR($A61="",INDEX(_LEITURA!$Q$2:$Q$21,11)=0),"",SUMIFS(DECKS!$D$2:$D$1201,DECKS!$A$2:$A$1201,INDEX(_LEITURA!$P$2:$P$21,11),DECKS!$B$2:$B$1201,$A61))</f>
        <v/>
      </c>
      <c r="V61" s="19" t="str">
        <f aca="false">IF(OR($A61="",INDEX(_LEITURA!$Q$2:$Q$21,12)=0),"",SUMIFS(DECKS!$D$2:$D$1201,DECKS!$A$2:$A$1201,INDEX(_LEITURA!$P$2:$P$21,12),DECKS!$B$2:$B$1201,$A61))</f>
        <v/>
      </c>
      <c r="W61" s="19" t="str">
        <f aca="false">IF(OR($A61="",INDEX(_LEITURA!$Q$2:$Q$21,13)=0),"",SUMIFS(DECKS!$D$2:$D$1201,DECKS!$A$2:$A$1201,INDEX(_LEITURA!$P$2:$P$21,13),DECKS!$B$2:$B$1201,$A61))</f>
        <v/>
      </c>
      <c r="X61" s="19" t="str">
        <f aca="false">IF(OR($A61="",INDEX(_LEITURA!$Q$2:$Q$21,14)=0),"",SUMIFS(DECKS!$D$2:$D$1201,DECKS!$A$2:$A$1201,INDEX(_LEITURA!$P$2:$P$21,14),DECKS!$B$2:$B$1201,$A61))</f>
        <v/>
      </c>
      <c r="Y61" s="19" t="str">
        <f aca="false">IF(OR($A61="",INDEX(_LEITURA!$Q$2:$Q$21,15)=0),"",SUMIFS(DECKS!$D$2:$D$1201,DECKS!$A$2:$A$1201,INDEX(_LEITURA!$P$2:$P$21,15),DECKS!$B$2:$B$1201,$A61))</f>
        <v/>
      </c>
      <c r="Z61" s="19" t="str">
        <f aca="false">IF(OR($A61="",INDEX(_LEITURA!$Q$2:$Q$21,16)=0),"",SUMIFS(DECKS!$D$2:$D$1201,DECKS!$A$2:$A$1201,INDEX(_LEITURA!$P$2:$P$21,16),DECKS!$B$2:$B$1201,$A61))</f>
        <v/>
      </c>
      <c r="AA61" s="19" t="str">
        <f aca="false">IF(OR($A61="",INDEX(_LEITURA!$Q$2:$Q$21,17)=0),"",SUMIFS(DECKS!$D$2:$D$1201,DECKS!$A$2:$A$1201,INDEX(_LEITURA!$P$2:$P$21,17),DECKS!$B$2:$B$1201,$A61))</f>
        <v/>
      </c>
      <c r="AB61" s="19" t="str">
        <f aca="false">IF(OR($A61="",INDEX(_LEITURA!$Q$2:$Q$21,18)=0),"",SUMIFS(DECKS!$D$2:$D$1201,DECKS!$A$2:$A$1201,INDEX(_LEITURA!$P$2:$P$21,18),DECKS!$B$2:$B$1201,$A61))</f>
        <v/>
      </c>
      <c r="AC61" s="19" t="str">
        <f aca="false">IF(OR($A61="",INDEX(_LEITURA!$Q$2:$Q$21,19)=0),"",SUMIFS(DECKS!$D$2:$D$1201,DECKS!$A$2:$A$1201,INDEX(_LEITURA!$P$2:$P$21,19),DECKS!$B$2:$B$1201,$A61))</f>
        <v/>
      </c>
      <c r="AD61" s="19" t="str">
        <f aca="false">IF(OR($A61="",INDEX(_LEITURA!$Q$2:$Q$21,20)=0),"",SUMIFS(DECKS!$D$2:$D$1201,DECKS!$A$2:$A$1201,INDEX(_LEITURA!$P$2:$P$21,20),DECKS!$B$2:$B$1201,$A61))</f>
        <v/>
      </c>
      <c r="AE61" s="16" t="str">
        <f aca="false">IF(N(E61)&gt;0,MAX(AE$1:AE60)+1,"")</f>
        <v/>
      </c>
      <c r="AF61" s="11" t="str">
        <f aca="false">IF(A61="","",IFERROR(LEFT(A61,FIND("-",A61)-1),A61))</f>
        <v/>
      </c>
      <c r="AG61" s="11" t="str">
        <f aca="false">IF(AF61="","",IF(ISNUMBER(--MID(AF61,1,1)),0,IF(ISNUMBER(--MID(AF61,2,1)),1,IF(ISNUMBER(--MID(AF61,3,1)),2,IF(ISNUMBER(--MID(AF61,4,1)),3,MIN(LEN(AF61),4))))))</f>
        <v/>
      </c>
      <c r="AH61" s="11" t="str">
        <f aca="false">IF(A61="","",LEFT(AF61,AG61)&amp;REPT("0",4-AG61)&amp;RIGHT("000"&amp;IFERROR(VALUE(MID(AF61,AG61+1,9)),0),3)&amp;RIGHT("0000"&amp;IFERROR(VALUE(MID(A61,FIND("-",A61)+1,9)),0),4))</f>
        <v/>
      </c>
      <c r="AI61" s="11" t="str">
        <f aca="false">IF(OR(A61="",N(E61)&lt;=0),"",IF('FALTAS GERAL'!$M$1="Código","K"&amp;AH61&amp;RIGHT("00000"&amp;ROW(),5),IF('FALTAS GERAL'!$M$1="Nome","K"&amp;UPPER(SUBSTITUTE(SUBSTITUTE(SUBSTITUTE(B61,"*",""),"?",""),"~",""))&amp;"0"&amp;AH61&amp;RIGHT("00000"&amp;ROW(),5),IF('FALTAS GERAL'!$M$1="Falta (maior primeiro)","K"&amp;RIGHT("0000"&amp;(9999-E61),4)&amp;AH61&amp;RIGHT("00000"&amp;ROW(),5),IF('FALTAS GERAL'!$M$1="Nº de decks (maior primeiro)","K"&amp;RIGHT("00"&amp;(99-N(G61)),2)&amp;AH61&amp;RIGHT("00000"&amp;ROW(),5),"K"&amp;RIGHT("00000"&amp;ROW(),5))))))</f>
        <v/>
      </c>
      <c r="AJ61" s="11" t="str">
        <f aca="false">IF(AI61="","",COUNTIFS($AI$2:$AI$801,"&lt;"&amp;AI61,$E$2:$E$801,"&gt;0")+1)</f>
        <v/>
      </c>
      <c r="AK61" s="11" t="str">
        <f aca="false">IF(OR(A61="",N(E61)&lt;=0),"",COUNTIFS($AH$2:$AH$801,"&lt;"&amp;AH61,$E$2:$E$801,"&gt;0")+COUNTIFS($AH$2:AH61,AH61,$E$2:E61,"&gt;0"))</f>
        <v/>
      </c>
    </row>
    <row r="62" customFormat="false" ht="15" hidden="false" customHeight="false" outlineLevel="0" collapsed="false">
      <c r="A62" s="11" t="str">
        <f aca="false">IF(INVENTÁRIO!A62="","",INVENTÁRIO!A62)</f>
        <v/>
      </c>
      <c r="B62" s="11" t="str">
        <f aca="false">IF(A62="","",INVENTÁRIO!B62)</f>
        <v/>
      </c>
      <c r="C62" s="16" t="str">
        <f aca="false">IF(A62="","",INVENTÁRIO!C62)</f>
        <v/>
      </c>
      <c r="D62" s="14" t="str">
        <f aca="false">IF(A62="","",MAX(K62:AD62))</f>
        <v/>
      </c>
      <c r="E62" s="14" t="str">
        <f aca="false">IF(A62="","",MAX(0,D62-C62))</f>
        <v/>
      </c>
      <c r="F62" s="16" t="str">
        <f aca="false">IF(A62="","",IF(D62=0,"Fora dos decks",IF(E62=0,"Completo","Falta")))</f>
        <v/>
      </c>
      <c r="G62" s="16" t="str">
        <f aca="false">IF(A62="","",COUNTIF(K62:AD62,"&gt;0"))</f>
        <v/>
      </c>
      <c r="H62" s="16" t="str">
        <f aca="false">IF(A62="","",IF(G62&gt;1,"Sim",""))</f>
        <v/>
      </c>
      <c r="I62" s="18" t="str">
        <f aca="false">IF(A62="","",SUMIFS(DECKS!$D$2:$D$1201,DECKS!$B$2:$B$1201,A62))</f>
        <v/>
      </c>
      <c r="J62" s="18" t="str">
        <f aca="false">IF(A62="","",MAX(0,I62-C62))</f>
        <v/>
      </c>
      <c r="K62" s="19" t="str">
        <f aca="false">IF(OR($A62="",INDEX(_LEITURA!$Q$2:$Q$21,1)=0),"",SUMIFS(DECKS!$D$2:$D$1201,DECKS!$A$2:$A$1201,INDEX(_LEITURA!$P$2:$P$21,1),DECKS!$B$2:$B$1201,$A62))</f>
        <v/>
      </c>
      <c r="L62" s="19" t="str">
        <f aca="false">IF(OR($A62="",INDEX(_LEITURA!$Q$2:$Q$21,2)=0),"",SUMIFS(DECKS!$D$2:$D$1201,DECKS!$A$2:$A$1201,INDEX(_LEITURA!$P$2:$P$21,2),DECKS!$B$2:$B$1201,$A62))</f>
        <v/>
      </c>
      <c r="M62" s="19" t="str">
        <f aca="false">IF(OR($A62="",INDEX(_LEITURA!$Q$2:$Q$21,3)=0),"",SUMIFS(DECKS!$D$2:$D$1201,DECKS!$A$2:$A$1201,INDEX(_LEITURA!$P$2:$P$21,3),DECKS!$B$2:$B$1201,$A62))</f>
        <v/>
      </c>
      <c r="N62" s="19" t="str">
        <f aca="false">IF(OR($A62="",INDEX(_LEITURA!$Q$2:$Q$21,4)=0),"",SUMIFS(DECKS!$D$2:$D$1201,DECKS!$A$2:$A$1201,INDEX(_LEITURA!$P$2:$P$21,4),DECKS!$B$2:$B$1201,$A62))</f>
        <v/>
      </c>
      <c r="O62" s="19" t="str">
        <f aca="false">IF(OR($A62="",INDEX(_LEITURA!$Q$2:$Q$21,5)=0),"",SUMIFS(DECKS!$D$2:$D$1201,DECKS!$A$2:$A$1201,INDEX(_LEITURA!$P$2:$P$21,5),DECKS!$B$2:$B$1201,$A62))</f>
        <v/>
      </c>
      <c r="P62" s="19" t="str">
        <f aca="false">IF(OR($A62="",INDEX(_LEITURA!$Q$2:$Q$21,6)=0),"",SUMIFS(DECKS!$D$2:$D$1201,DECKS!$A$2:$A$1201,INDEX(_LEITURA!$P$2:$P$21,6),DECKS!$B$2:$B$1201,$A62))</f>
        <v/>
      </c>
      <c r="Q62" s="19" t="str">
        <f aca="false">IF(OR($A62="",INDEX(_LEITURA!$Q$2:$Q$21,7)=0),"",SUMIFS(DECKS!$D$2:$D$1201,DECKS!$A$2:$A$1201,INDEX(_LEITURA!$P$2:$P$21,7),DECKS!$B$2:$B$1201,$A62))</f>
        <v/>
      </c>
      <c r="R62" s="19" t="str">
        <f aca="false">IF(OR($A62="",INDEX(_LEITURA!$Q$2:$Q$21,8)=0),"",SUMIFS(DECKS!$D$2:$D$1201,DECKS!$A$2:$A$1201,INDEX(_LEITURA!$P$2:$P$21,8),DECKS!$B$2:$B$1201,$A62))</f>
        <v/>
      </c>
      <c r="S62" s="19" t="str">
        <f aca="false">IF(OR($A62="",INDEX(_LEITURA!$Q$2:$Q$21,9)=0),"",SUMIFS(DECKS!$D$2:$D$1201,DECKS!$A$2:$A$1201,INDEX(_LEITURA!$P$2:$P$21,9),DECKS!$B$2:$B$1201,$A62))</f>
        <v/>
      </c>
      <c r="T62" s="19" t="str">
        <f aca="false">IF(OR($A62="",INDEX(_LEITURA!$Q$2:$Q$21,10)=0),"",SUMIFS(DECKS!$D$2:$D$1201,DECKS!$A$2:$A$1201,INDEX(_LEITURA!$P$2:$P$21,10),DECKS!$B$2:$B$1201,$A62))</f>
        <v/>
      </c>
      <c r="U62" s="19" t="str">
        <f aca="false">IF(OR($A62="",INDEX(_LEITURA!$Q$2:$Q$21,11)=0),"",SUMIFS(DECKS!$D$2:$D$1201,DECKS!$A$2:$A$1201,INDEX(_LEITURA!$P$2:$P$21,11),DECKS!$B$2:$B$1201,$A62))</f>
        <v/>
      </c>
      <c r="V62" s="19" t="str">
        <f aca="false">IF(OR($A62="",INDEX(_LEITURA!$Q$2:$Q$21,12)=0),"",SUMIFS(DECKS!$D$2:$D$1201,DECKS!$A$2:$A$1201,INDEX(_LEITURA!$P$2:$P$21,12),DECKS!$B$2:$B$1201,$A62))</f>
        <v/>
      </c>
      <c r="W62" s="19" t="str">
        <f aca="false">IF(OR($A62="",INDEX(_LEITURA!$Q$2:$Q$21,13)=0),"",SUMIFS(DECKS!$D$2:$D$1201,DECKS!$A$2:$A$1201,INDEX(_LEITURA!$P$2:$P$21,13),DECKS!$B$2:$B$1201,$A62))</f>
        <v/>
      </c>
      <c r="X62" s="19" t="str">
        <f aca="false">IF(OR($A62="",INDEX(_LEITURA!$Q$2:$Q$21,14)=0),"",SUMIFS(DECKS!$D$2:$D$1201,DECKS!$A$2:$A$1201,INDEX(_LEITURA!$P$2:$P$21,14),DECKS!$B$2:$B$1201,$A62))</f>
        <v/>
      </c>
      <c r="Y62" s="19" t="str">
        <f aca="false">IF(OR($A62="",INDEX(_LEITURA!$Q$2:$Q$21,15)=0),"",SUMIFS(DECKS!$D$2:$D$1201,DECKS!$A$2:$A$1201,INDEX(_LEITURA!$P$2:$P$21,15),DECKS!$B$2:$B$1201,$A62))</f>
        <v/>
      </c>
      <c r="Z62" s="19" t="str">
        <f aca="false">IF(OR($A62="",INDEX(_LEITURA!$Q$2:$Q$21,16)=0),"",SUMIFS(DECKS!$D$2:$D$1201,DECKS!$A$2:$A$1201,INDEX(_LEITURA!$P$2:$P$21,16),DECKS!$B$2:$B$1201,$A62))</f>
        <v/>
      </c>
      <c r="AA62" s="19" t="str">
        <f aca="false">IF(OR($A62="",INDEX(_LEITURA!$Q$2:$Q$21,17)=0),"",SUMIFS(DECKS!$D$2:$D$1201,DECKS!$A$2:$A$1201,INDEX(_LEITURA!$P$2:$P$21,17),DECKS!$B$2:$B$1201,$A62))</f>
        <v/>
      </c>
      <c r="AB62" s="19" t="str">
        <f aca="false">IF(OR($A62="",INDEX(_LEITURA!$Q$2:$Q$21,18)=0),"",SUMIFS(DECKS!$D$2:$D$1201,DECKS!$A$2:$A$1201,INDEX(_LEITURA!$P$2:$P$21,18),DECKS!$B$2:$B$1201,$A62))</f>
        <v/>
      </c>
      <c r="AC62" s="19" t="str">
        <f aca="false">IF(OR($A62="",INDEX(_LEITURA!$Q$2:$Q$21,19)=0),"",SUMIFS(DECKS!$D$2:$D$1201,DECKS!$A$2:$A$1201,INDEX(_LEITURA!$P$2:$P$21,19),DECKS!$B$2:$B$1201,$A62))</f>
        <v/>
      </c>
      <c r="AD62" s="19" t="str">
        <f aca="false">IF(OR($A62="",INDEX(_LEITURA!$Q$2:$Q$21,20)=0),"",SUMIFS(DECKS!$D$2:$D$1201,DECKS!$A$2:$A$1201,INDEX(_LEITURA!$P$2:$P$21,20),DECKS!$B$2:$B$1201,$A62))</f>
        <v/>
      </c>
      <c r="AE62" s="16" t="str">
        <f aca="false">IF(N(E62)&gt;0,MAX(AE$1:AE61)+1,"")</f>
        <v/>
      </c>
      <c r="AF62" s="11" t="str">
        <f aca="false">IF(A62="","",IFERROR(LEFT(A62,FIND("-",A62)-1),A62))</f>
        <v/>
      </c>
      <c r="AG62" s="11" t="str">
        <f aca="false">IF(AF62="","",IF(ISNUMBER(--MID(AF62,1,1)),0,IF(ISNUMBER(--MID(AF62,2,1)),1,IF(ISNUMBER(--MID(AF62,3,1)),2,IF(ISNUMBER(--MID(AF62,4,1)),3,MIN(LEN(AF62),4))))))</f>
        <v/>
      </c>
      <c r="AH62" s="11" t="str">
        <f aca="false">IF(A62="","",LEFT(AF62,AG62)&amp;REPT("0",4-AG62)&amp;RIGHT("000"&amp;IFERROR(VALUE(MID(AF62,AG62+1,9)),0),3)&amp;RIGHT("0000"&amp;IFERROR(VALUE(MID(A62,FIND("-",A62)+1,9)),0),4))</f>
        <v/>
      </c>
      <c r="AI62" s="11" t="str">
        <f aca="false">IF(OR(A62="",N(E62)&lt;=0),"",IF('FALTAS GERAL'!$M$1="Código","K"&amp;AH62&amp;RIGHT("00000"&amp;ROW(),5),IF('FALTAS GERAL'!$M$1="Nome","K"&amp;UPPER(SUBSTITUTE(SUBSTITUTE(SUBSTITUTE(B62,"*",""),"?",""),"~",""))&amp;"0"&amp;AH62&amp;RIGHT("00000"&amp;ROW(),5),IF('FALTAS GERAL'!$M$1="Falta (maior primeiro)","K"&amp;RIGHT("0000"&amp;(9999-E62),4)&amp;AH62&amp;RIGHT("00000"&amp;ROW(),5),IF('FALTAS GERAL'!$M$1="Nº de decks (maior primeiro)","K"&amp;RIGHT("00"&amp;(99-N(G62)),2)&amp;AH62&amp;RIGHT("00000"&amp;ROW(),5),"K"&amp;RIGHT("00000"&amp;ROW(),5))))))</f>
        <v/>
      </c>
      <c r="AJ62" s="11" t="str">
        <f aca="false">IF(AI62="","",COUNTIFS($AI$2:$AI$801,"&lt;"&amp;AI62,$E$2:$E$801,"&gt;0")+1)</f>
        <v/>
      </c>
      <c r="AK62" s="11" t="str">
        <f aca="false">IF(OR(A62="",N(E62)&lt;=0),"",COUNTIFS($AH$2:$AH$801,"&lt;"&amp;AH62,$E$2:$E$801,"&gt;0")+COUNTIFS($AH$2:AH62,AH62,$E$2:E62,"&gt;0"))</f>
        <v/>
      </c>
    </row>
    <row r="63" customFormat="false" ht="15" hidden="false" customHeight="false" outlineLevel="0" collapsed="false">
      <c r="A63" s="11" t="str">
        <f aca="false">IF(INVENTÁRIO!A63="","",INVENTÁRIO!A63)</f>
        <v/>
      </c>
      <c r="B63" s="11" t="str">
        <f aca="false">IF(A63="","",INVENTÁRIO!B63)</f>
        <v/>
      </c>
      <c r="C63" s="16" t="str">
        <f aca="false">IF(A63="","",INVENTÁRIO!C63)</f>
        <v/>
      </c>
      <c r="D63" s="14" t="str">
        <f aca="false">IF(A63="","",MAX(K63:AD63))</f>
        <v/>
      </c>
      <c r="E63" s="14" t="str">
        <f aca="false">IF(A63="","",MAX(0,D63-C63))</f>
        <v/>
      </c>
      <c r="F63" s="16" t="str">
        <f aca="false">IF(A63="","",IF(D63=0,"Fora dos decks",IF(E63=0,"Completo","Falta")))</f>
        <v/>
      </c>
      <c r="G63" s="16" t="str">
        <f aca="false">IF(A63="","",COUNTIF(K63:AD63,"&gt;0"))</f>
        <v/>
      </c>
      <c r="H63" s="16" t="str">
        <f aca="false">IF(A63="","",IF(G63&gt;1,"Sim",""))</f>
        <v/>
      </c>
      <c r="I63" s="18" t="str">
        <f aca="false">IF(A63="","",SUMIFS(DECKS!$D$2:$D$1201,DECKS!$B$2:$B$1201,A63))</f>
        <v/>
      </c>
      <c r="J63" s="18" t="str">
        <f aca="false">IF(A63="","",MAX(0,I63-C63))</f>
        <v/>
      </c>
      <c r="K63" s="19" t="str">
        <f aca="false">IF(OR($A63="",INDEX(_LEITURA!$Q$2:$Q$21,1)=0),"",SUMIFS(DECKS!$D$2:$D$1201,DECKS!$A$2:$A$1201,INDEX(_LEITURA!$P$2:$P$21,1),DECKS!$B$2:$B$1201,$A63))</f>
        <v/>
      </c>
      <c r="L63" s="19" t="str">
        <f aca="false">IF(OR($A63="",INDEX(_LEITURA!$Q$2:$Q$21,2)=0),"",SUMIFS(DECKS!$D$2:$D$1201,DECKS!$A$2:$A$1201,INDEX(_LEITURA!$P$2:$P$21,2),DECKS!$B$2:$B$1201,$A63))</f>
        <v/>
      </c>
      <c r="M63" s="19" t="str">
        <f aca="false">IF(OR($A63="",INDEX(_LEITURA!$Q$2:$Q$21,3)=0),"",SUMIFS(DECKS!$D$2:$D$1201,DECKS!$A$2:$A$1201,INDEX(_LEITURA!$P$2:$P$21,3),DECKS!$B$2:$B$1201,$A63))</f>
        <v/>
      </c>
      <c r="N63" s="19" t="str">
        <f aca="false">IF(OR($A63="",INDEX(_LEITURA!$Q$2:$Q$21,4)=0),"",SUMIFS(DECKS!$D$2:$D$1201,DECKS!$A$2:$A$1201,INDEX(_LEITURA!$P$2:$P$21,4),DECKS!$B$2:$B$1201,$A63))</f>
        <v/>
      </c>
      <c r="O63" s="19" t="str">
        <f aca="false">IF(OR($A63="",INDEX(_LEITURA!$Q$2:$Q$21,5)=0),"",SUMIFS(DECKS!$D$2:$D$1201,DECKS!$A$2:$A$1201,INDEX(_LEITURA!$P$2:$P$21,5),DECKS!$B$2:$B$1201,$A63))</f>
        <v/>
      </c>
      <c r="P63" s="19" t="str">
        <f aca="false">IF(OR($A63="",INDEX(_LEITURA!$Q$2:$Q$21,6)=0),"",SUMIFS(DECKS!$D$2:$D$1201,DECKS!$A$2:$A$1201,INDEX(_LEITURA!$P$2:$P$21,6),DECKS!$B$2:$B$1201,$A63))</f>
        <v/>
      </c>
      <c r="Q63" s="19" t="str">
        <f aca="false">IF(OR($A63="",INDEX(_LEITURA!$Q$2:$Q$21,7)=0),"",SUMIFS(DECKS!$D$2:$D$1201,DECKS!$A$2:$A$1201,INDEX(_LEITURA!$P$2:$P$21,7),DECKS!$B$2:$B$1201,$A63))</f>
        <v/>
      </c>
      <c r="R63" s="19" t="str">
        <f aca="false">IF(OR($A63="",INDEX(_LEITURA!$Q$2:$Q$21,8)=0),"",SUMIFS(DECKS!$D$2:$D$1201,DECKS!$A$2:$A$1201,INDEX(_LEITURA!$P$2:$P$21,8),DECKS!$B$2:$B$1201,$A63))</f>
        <v/>
      </c>
      <c r="S63" s="19" t="str">
        <f aca="false">IF(OR($A63="",INDEX(_LEITURA!$Q$2:$Q$21,9)=0),"",SUMIFS(DECKS!$D$2:$D$1201,DECKS!$A$2:$A$1201,INDEX(_LEITURA!$P$2:$P$21,9),DECKS!$B$2:$B$1201,$A63))</f>
        <v/>
      </c>
      <c r="T63" s="19" t="str">
        <f aca="false">IF(OR($A63="",INDEX(_LEITURA!$Q$2:$Q$21,10)=0),"",SUMIFS(DECKS!$D$2:$D$1201,DECKS!$A$2:$A$1201,INDEX(_LEITURA!$P$2:$P$21,10),DECKS!$B$2:$B$1201,$A63))</f>
        <v/>
      </c>
      <c r="U63" s="19" t="str">
        <f aca="false">IF(OR($A63="",INDEX(_LEITURA!$Q$2:$Q$21,11)=0),"",SUMIFS(DECKS!$D$2:$D$1201,DECKS!$A$2:$A$1201,INDEX(_LEITURA!$P$2:$P$21,11),DECKS!$B$2:$B$1201,$A63))</f>
        <v/>
      </c>
      <c r="V63" s="19" t="str">
        <f aca="false">IF(OR($A63="",INDEX(_LEITURA!$Q$2:$Q$21,12)=0),"",SUMIFS(DECKS!$D$2:$D$1201,DECKS!$A$2:$A$1201,INDEX(_LEITURA!$P$2:$P$21,12),DECKS!$B$2:$B$1201,$A63))</f>
        <v/>
      </c>
      <c r="W63" s="19" t="str">
        <f aca="false">IF(OR($A63="",INDEX(_LEITURA!$Q$2:$Q$21,13)=0),"",SUMIFS(DECKS!$D$2:$D$1201,DECKS!$A$2:$A$1201,INDEX(_LEITURA!$P$2:$P$21,13),DECKS!$B$2:$B$1201,$A63))</f>
        <v/>
      </c>
      <c r="X63" s="19" t="str">
        <f aca="false">IF(OR($A63="",INDEX(_LEITURA!$Q$2:$Q$21,14)=0),"",SUMIFS(DECKS!$D$2:$D$1201,DECKS!$A$2:$A$1201,INDEX(_LEITURA!$P$2:$P$21,14),DECKS!$B$2:$B$1201,$A63))</f>
        <v/>
      </c>
      <c r="Y63" s="19" t="str">
        <f aca="false">IF(OR($A63="",INDEX(_LEITURA!$Q$2:$Q$21,15)=0),"",SUMIFS(DECKS!$D$2:$D$1201,DECKS!$A$2:$A$1201,INDEX(_LEITURA!$P$2:$P$21,15),DECKS!$B$2:$B$1201,$A63))</f>
        <v/>
      </c>
      <c r="Z63" s="19" t="str">
        <f aca="false">IF(OR($A63="",INDEX(_LEITURA!$Q$2:$Q$21,16)=0),"",SUMIFS(DECKS!$D$2:$D$1201,DECKS!$A$2:$A$1201,INDEX(_LEITURA!$P$2:$P$21,16),DECKS!$B$2:$B$1201,$A63))</f>
        <v/>
      </c>
      <c r="AA63" s="19" t="str">
        <f aca="false">IF(OR($A63="",INDEX(_LEITURA!$Q$2:$Q$21,17)=0),"",SUMIFS(DECKS!$D$2:$D$1201,DECKS!$A$2:$A$1201,INDEX(_LEITURA!$P$2:$P$21,17),DECKS!$B$2:$B$1201,$A63))</f>
        <v/>
      </c>
      <c r="AB63" s="19" t="str">
        <f aca="false">IF(OR($A63="",INDEX(_LEITURA!$Q$2:$Q$21,18)=0),"",SUMIFS(DECKS!$D$2:$D$1201,DECKS!$A$2:$A$1201,INDEX(_LEITURA!$P$2:$P$21,18),DECKS!$B$2:$B$1201,$A63))</f>
        <v/>
      </c>
      <c r="AC63" s="19" t="str">
        <f aca="false">IF(OR($A63="",INDEX(_LEITURA!$Q$2:$Q$21,19)=0),"",SUMIFS(DECKS!$D$2:$D$1201,DECKS!$A$2:$A$1201,INDEX(_LEITURA!$P$2:$P$21,19),DECKS!$B$2:$B$1201,$A63))</f>
        <v/>
      </c>
      <c r="AD63" s="19" t="str">
        <f aca="false">IF(OR($A63="",INDEX(_LEITURA!$Q$2:$Q$21,20)=0),"",SUMIFS(DECKS!$D$2:$D$1201,DECKS!$A$2:$A$1201,INDEX(_LEITURA!$P$2:$P$21,20),DECKS!$B$2:$B$1201,$A63))</f>
        <v/>
      </c>
      <c r="AE63" s="16" t="str">
        <f aca="false">IF(N(E63)&gt;0,MAX(AE$1:AE62)+1,"")</f>
        <v/>
      </c>
      <c r="AF63" s="11" t="str">
        <f aca="false">IF(A63="","",IFERROR(LEFT(A63,FIND("-",A63)-1),A63))</f>
        <v/>
      </c>
      <c r="AG63" s="11" t="str">
        <f aca="false">IF(AF63="","",IF(ISNUMBER(--MID(AF63,1,1)),0,IF(ISNUMBER(--MID(AF63,2,1)),1,IF(ISNUMBER(--MID(AF63,3,1)),2,IF(ISNUMBER(--MID(AF63,4,1)),3,MIN(LEN(AF63),4))))))</f>
        <v/>
      </c>
      <c r="AH63" s="11" t="str">
        <f aca="false">IF(A63="","",LEFT(AF63,AG63)&amp;REPT("0",4-AG63)&amp;RIGHT("000"&amp;IFERROR(VALUE(MID(AF63,AG63+1,9)),0),3)&amp;RIGHT("0000"&amp;IFERROR(VALUE(MID(A63,FIND("-",A63)+1,9)),0),4))</f>
        <v/>
      </c>
      <c r="AI63" s="11" t="str">
        <f aca="false">IF(OR(A63="",N(E63)&lt;=0),"",IF('FALTAS GERAL'!$M$1="Código","K"&amp;AH63&amp;RIGHT("00000"&amp;ROW(),5),IF('FALTAS GERAL'!$M$1="Nome","K"&amp;UPPER(SUBSTITUTE(SUBSTITUTE(SUBSTITUTE(B63,"*",""),"?",""),"~",""))&amp;"0"&amp;AH63&amp;RIGHT("00000"&amp;ROW(),5),IF('FALTAS GERAL'!$M$1="Falta (maior primeiro)","K"&amp;RIGHT("0000"&amp;(9999-E63),4)&amp;AH63&amp;RIGHT("00000"&amp;ROW(),5),IF('FALTAS GERAL'!$M$1="Nº de decks (maior primeiro)","K"&amp;RIGHT("00"&amp;(99-N(G63)),2)&amp;AH63&amp;RIGHT("00000"&amp;ROW(),5),"K"&amp;RIGHT("00000"&amp;ROW(),5))))))</f>
        <v/>
      </c>
      <c r="AJ63" s="11" t="str">
        <f aca="false">IF(AI63="","",COUNTIFS($AI$2:$AI$801,"&lt;"&amp;AI63,$E$2:$E$801,"&gt;0")+1)</f>
        <v/>
      </c>
      <c r="AK63" s="11" t="str">
        <f aca="false">IF(OR(A63="",N(E63)&lt;=0),"",COUNTIFS($AH$2:$AH$801,"&lt;"&amp;AH63,$E$2:$E$801,"&gt;0")+COUNTIFS($AH$2:AH63,AH63,$E$2:E63,"&gt;0"))</f>
        <v/>
      </c>
    </row>
    <row r="64" customFormat="false" ht="15" hidden="false" customHeight="false" outlineLevel="0" collapsed="false">
      <c r="A64" s="11" t="str">
        <f aca="false">IF(INVENTÁRIO!A64="","",INVENTÁRIO!A64)</f>
        <v/>
      </c>
      <c r="B64" s="11" t="str">
        <f aca="false">IF(A64="","",INVENTÁRIO!B64)</f>
        <v/>
      </c>
      <c r="C64" s="16" t="str">
        <f aca="false">IF(A64="","",INVENTÁRIO!C64)</f>
        <v/>
      </c>
      <c r="D64" s="14" t="str">
        <f aca="false">IF(A64="","",MAX(K64:AD64))</f>
        <v/>
      </c>
      <c r="E64" s="14" t="str">
        <f aca="false">IF(A64="","",MAX(0,D64-C64))</f>
        <v/>
      </c>
      <c r="F64" s="16" t="str">
        <f aca="false">IF(A64="","",IF(D64=0,"Fora dos decks",IF(E64=0,"Completo","Falta")))</f>
        <v/>
      </c>
      <c r="G64" s="16" t="str">
        <f aca="false">IF(A64="","",COUNTIF(K64:AD64,"&gt;0"))</f>
        <v/>
      </c>
      <c r="H64" s="16" t="str">
        <f aca="false">IF(A64="","",IF(G64&gt;1,"Sim",""))</f>
        <v/>
      </c>
      <c r="I64" s="18" t="str">
        <f aca="false">IF(A64="","",SUMIFS(DECKS!$D$2:$D$1201,DECKS!$B$2:$B$1201,A64))</f>
        <v/>
      </c>
      <c r="J64" s="18" t="str">
        <f aca="false">IF(A64="","",MAX(0,I64-C64))</f>
        <v/>
      </c>
      <c r="K64" s="19" t="str">
        <f aca="false">IF(OR($A64="",INDEX(_LEITURA!$Q$2:$Q$21,1)=0),"",SUMIFS(DECKS!$D$2:$D$1201,DECKS!$A$2:$A$1201,INDEX(_LEITURA!$P$2:$P$21,1),DECKS!$B$2:$B$1201,$A64))</f>
        <v/>
      </c>
      <c r="L64" s="19" t="str">
        <f aca="false">IF(OR($A64="",INDEX(_LEITURA!$Q$2:$Q$21,2)=0),"",SUMIFS(DECKS!$D$2:$D$1201,DECKS!$A$2:$A$1201,INDEX(_LEITURA!$P$2:$P$21,2),DECKS!$B$2:$B$1201,$A64))</f>
        <v/>
      </c>
      <c r="M64" s="19" t="str">
        <f aca="false">IF(OR($A64="",INDEX(_LEITURA!$Q$2:$Q$21,3)=0),"",SUMIFS(DECKS!$D$2:$D$1201,DECKS!$A$2:$A$1201,INDEX(_LEITURA!$P$2:$P$21,3),DECKS!$B$2:$B$1201,$A64))</f>
        <v/>
      </c>
      <c r="N64" s="19" t="str">
        <f aca="false">IF(OR($A64="",INDEX(_LEITURA!$Q$2:$Q$21,4)=0),"",SUMIFS(DECKS!$D$2:$D$1201,DECKS!$A$2:$A$1201,INDEX(_LEITURA!$P$2:$P$21,4),DECKS!$B$2:$B$1201,$A64))</f>
        <v/>
      </c>
      <c r="O64" s="19" t="str">
        <f aca="false">IF(OR($A64="",INDEX(_LEITURA!$Q$2:$Q$21,5)=0),"",SUMIFS(DECKS!$D$2:$D$1201,DECKS!$A$2:$A$1201,INDEX(_LEITURA!$P$2:$P$21,5),DECKS!$B$2:$B$1201,$A64))</f>
        <v/>
      </c>
      <c r="P64" s="19" t="str">
        <f aca="false">IF(OR($A64="",INDEX(_LEITURA!$Q$2:$Q$21,6)=0),"",SUMIFS(DECKS!$D$2:$D$1201,DECKS!$A$2:$A$1201,INDEX(_LEITURA!$P$2:$P$21,6),DECKS!$B$2:$B$1201,$A64))</f>
        <v/>
      </c>
      <c r="Q64" s="19" t="str">
        <f aca="false">IF(OR($A64="",INDEX(_LEITURA!$Q$2:$Q$21,7)=0),"",SUMIFS(DECKS!$D$2:$D$1201,DECKS!$A$2:$A$1201,INDEX(_LEITURA!$P$2:$P$21,7),DECKS!$B$2:$B$1201,$A64))</f>
        <v/>
      </c>
      <c r="R64" s="19" t="str">
        <f aca="false">IF(OR($A64="",INDEX(_LEITURA!$Q$2:$Q$21,8)=0),"",SUMIFS(DECKS!$D$2:$D$1201,DECKS!$A$2:$A$1201,INDEX(_LEITURA!$P$2:$P$21,8),DECKS!$B$2:$B$1201,$A64))</f>
        <v/>
      </c>
      <c r="S64" s="19" t="str">
        <f aca="false">IF(OR($A64="",INDEX(_LEITURA!$Q$2:$Q$21,9)=0),"",SUMIFS(DECKS!$D$2:$D$1201,DECKS!$A$2:$A$1201,INDEX(_LEITURA!$P$2:$P$21,9),DECKS!$B$2:$B$1201,$A64))</f>
        <v/>
      </c>
      <c r="T64" s="19" t="str">
        <f aca="false">IF(OR($A64="",INDEX(_LEITURA!$Q$2:$Q$21,10)=0),"",SUMIFS(DECKS!$D$2:$D$1201,DECKS!$A$2:$A$1201,INDEX(_LEITURA!$P$2:$P$21,10),DECKS!$B$2:$B$1201,$A64))</f>
        <v/>
      </c>
      <c r="U64" s="19" t="str">
        <f aca="false">IF(OR($A64="",INDEX(_LEITURA!$Q$2:$Q$21,11)=0),"",SUMIFS(DECKS!$D$2:$D$1201,DECKS!$A$2:$A$1201,INDEX(_LEITURA!$P$2:$P$21,11),DECKS!$B$2:$B$1201,$A64))</f>
        <v/>
      </c>
      <c r="V64" s="19" t="str">
        <f aca="false">IF(OR($A64="",INDEX(_LEITURA!$Q$2:$Q$21,12)=0),"",SUMIFS(DECKS!$D$2:$D$1201,DECKS!$A$2:$A$1201,INDEX(_LEITURA!$P$2:$P$21,12),DECKS!$B$2:$B$1201,$A64))</f>
        <v/>
      </c>
      <c r="W64" s="19" t="str">
        <f aca="false">IF(OR($A64="",INDEX(_LEITURA!$Q$2:$Q$21,13)=0),"",SUMIFS(DECKS!$D$2:$D$1201,DECKS!$A$2:$A$1201,INDEX(_LEITURA!$P$2:$P$21,13),DECKS!$B$2:$B$1201,$A64))</f>
        <v/>
      </c>
      <c r="X64" s="19" t="str">
        <f aca="false">IF(OR($A64="",INDEX(_LEITURA!$Q$2:$Q$21,14)=0),"",SUMIFS(DECKS!$D$2:$D$1201,DECKS!$A$2:$A$1201,INDEX(_LEITURA!$P$2:$P$21,14),DECKS!$B$2:$B$1201,$A64))</f>
        <v/>
      </c>
      <c r="Y64" s="19" t="str">
        <f aca="false">IF(OR($A64="",INDEX(_LEITURA!$Q$2:$Q$21,15)=0),"",SUMIFS(DECKS!$D$2:$D$1201,DECKS!$A$2:$A$1201,INDEX(_LEITURA!$P$2:$P$21,15),DECKS!$B$2:$B$1201,$A64))</f>
        <v/>
      </c>
      <c r="Z64" s="19" t="str">
        <f aca="false">IF(OR($A64="",INDEX(_LEITURA!$Q$2:$Q$21,16)=0),"",SUMIFS(DECKS!$D$2:$D$1201,DECKS!$A$2:$A$1201,INDEX(_LEITURA!$P$2:$P$21,16),DECKS!$B$2:$B$1201,$A64))</f>
        <v/>
      </c>
      <c r="AA64" s="19" t="str">
        <f aca="false">IF(OR($A64="",INDEX(_LEITURA!$Q$2:$Q$21,17)=0),"",SUMIFS(DECKS!$D$2:$D$1201,DECKS!$A$2:$A$1201,INDEX(_LEITURA!$P$2:$P$21,17),DECKS!$B$2:$B$1201,$A64))</f>
        <v/>
      </c>
      <c r="AB64" s="19" t="str">
        <f aca="false">IF(OR($A64="",INDEX(_LEITURA!$Q$2:$Q$21,18)=0),"",SUMIFS(DECKS!$D$2:$D$1201,DECKS!$A$2:$A$1201,INDEX(_LEITURA!$P$2:$P$21,18),DECKS!$B$2:$B$1201,$A64))</f>
        <v/>
      </c>
      <c r="AC64" s="19" t="str">
        <f aca="false">IF(OR($A64="",INDEX(_LEITURA!$Q$2:$Q$21,19)=0),"",SUMIFS(DECKS!$D$2:$D$1201,DECKS!$A$2:$A$1201,INDEX(_LEITURA!$P$2:$P$21,19),DECKS!$B$2:$B$1201,$A64))</f>
        <v/>
      </c>
      <c r="AD64" s="19" t="str">
        <f aca="false">IF(OR($A64="",INDEX(_LEITURA!$Q$2:$Q$21,20)=0),"",SUMIFS(DECKS!$D$2:$D$1201,DECKS!$A$2:$A$1201,INDEX(_LEITURA!$P$2:$P$21,20),DECKS!$B$2:$B$1201,$A64))</f>
        <v/>
      </c>
      <c r="AE64" s="16" t="str">
        <f aca="false">IF(N(E64)&gt;0,MAX(AE$1:AE63)+1,"")</f>
        <v/>
      </c>
      <c r="AF64" s="11" t="str">
        <f aca="false">IF(A64="","",IFERROR(LEFT(A64,FIND("-",A64)-1),A64))</f>
        <v/>
      </c>
      <c r="AG64" s="11" t="str">
        <f aca="false">IF(AF64="","",IF(ISNUMBER(--MID(AF64,1,1)),0,IF(ISNUMBER(--MID(AF64,2,1)),1,IF(ISNUMBER(--MID(AF64,3,1)),2,IF(ISNUMBER(--MID(AF64,4,1)),3,MIN(LEN(AF64),4))))))</f>
        <v/>
      </c>
      <c r="AH64" s="11" t="str">
        <f aca="false">IF(A64="","",LEFT(AF64,AG64)&amp;REPT("0",4-AG64)&amp;RIGHT("000"&amp;IFERROR(VALUE(MID(AF64,AG64+1,9)),0),3)&amp;RIGHT("0000"&amp;IFERROR(VALUE(MID(A64,FIND("-",A64)+1,9)),0),4))</f>
        <v/>
      </c>
      <c r="AI64" s="11" t="str">
        <f aca="false">IF(OR(A64="",N(E64)&lt;=0),"",IF('FALTAS GERAL'!$M$1="Código","K"&amp;AH64&amp;RIGHT("00000"&amp;ROW(),5),IF('FALTAS GERAL'!$M$1="Nome","K"&amp;UPPER(SUBSTITUTE(SUBSTITUTE(SUBSTITUTE(B64,"*",""),"?",""),"~",""))&amp;"0"&amp;AH64&amp;RIGHT("00000"&amp;ROW(),5),IF('FALTAS GERAL'!$M$1="Falta (maior primeiro)","K"&amp;RIGHT("0000"&amp;(9999-E64),4)&amp;AH64&amp;RIGHT("00000"&amp;ROW(),5),IF('FALTAS GERAL'!$M$1="Nº de decks (maior primeiro)","K"&amp;RIGHT("00"&amp;(99-N(G64)),2)&amp;AH64&amp;RIGHT("00000"&amp;ROW(),5),"K"&amp;RIGHT("00000"&amp;ROW(),5))))))</f>
        <v/>
      </c>
      <c r="AJ64" s="11" t="str">
        <f aca="false">IF(AI64="","",COUNTIFS($AI$2:$AI$801,"&lt;"&amp;AI64,$E$2:$E$801,"&gt;0")+1)</f>
        <v/>
      </c>
      <c r="AK64" s="11" t="str">
        <f aca="false">IF(OR(A64="",N(E64)&lt;=0),"",COUNTIFS($AH$2:$AH$801,"&lt;"&amp;AH64,$E$2:$E$801,"&gt;0")+COUNTIFS($AH$2:AH64,AH64,$E$2:E64,"&gt;0"))</f>
        <v/>
      </c>
    </row>
    <row r="65" customFormat="false" ht="15" hidden="false" customHeight="false" outlineLevel="0" collapsed="false">
      <c r="A65" s="11" t="str">
        <f aca="false">IF(INVENTÁRIO!A65="","",INVENTÁRIO!A65)</f>
        <v/>
      </c>
      <c r="B65" s="11" t="str">
        <f aca="false">IF(A65="","",INVENTÁRIO!B65)</f>
        <v/>
      </c>
      <c r="C65" s="16" t="str">
        <f aca="false">IF(A65="","",INVENTÁRIO!C65)</f>
        <v/>
      </c>
      <c r="D65" s="14" t="str">
        <f aca="false">IF(A65="","",MAX(K65:AD65))</f>
        <v/>
      </c>
      <c r="E65" s="14" t="str">
        <f aca="false">IF(A65="","",MAX(0,D65-C65))</f>
        <v/>
      </c>
      <c r="F65" s="16" t="str">
        <f aca="false">IF(A65="","",IF(D65=0,"Fora dos decks",IF(E65=0,"Completo","Falta")))</f>
        <v/>
      </c>
      <c r="G65" s="16" t="str">
        <f aca="false">IF(A65="","",COUNTIF(K65:AD65,"&gt;0"))</f>
        <v/>
      </c>
      <c r="H65" s="16" t="str">
        <f aca="false">IF(A65="","",IF(G65&gt;1,"Sim",""))</f>
        <v/>
      </c>
      <c r="I65" s="18" t="str">
        <f aca="false">IF(A65="","",SUMIFS(DECKS!$D$2:$D$1201,DECKS!$B$2:$B$1201,A65))</f>
        <v/>
      </c>
      <c r="J65" s="18" t="str">
        <f aca="false">IF(A65="","",MAX(0,I65-C65))</f>
        <v/>
      </c>
      <c r="K65" s="19" t="str">
        <f aca="false">IF(OR($A65="",INDEX(_LEITURA!$Q$2:$Q$21,1)=0),"",SUMIFS(DECKS!$D$2:$D$1201,DECKS!$A$2:$A$1201,INDEX(_LEITURA!$P$2:$P$21,1),DECKS!$B$2:$B$1201,$A65))</f>
        <v/>
      </c>
      <c r="L65" s="19" t="str">
        <f aca="false">IF(OR($A65="",INDEX(_LEITURA!$Q$2:$Q$21,2)=0),"",SUMIFS(DECKS!$D$2:$D$1201,DECKS!$A$2:$A$1201,INDEX(_LEITURA!$P$2:$P$21,2),DECKS!$B$2:$B$1201,$A65))</f>
        <v/>
      </c>
      <c r="M65" s="19" t="str">
        <f aca="false">IF(OR($A65="",INDEX(_LEITURA!$Q$2:$Q$21,3)=0),"",SUMIFS(DECKS!$D$2:$D$1201,DECKS!$A$2:$A$1201,INDEX(_LEITURA!$P$2:$P$21,3),DECKS!$B$2:$B$1201,$A65))</f>
        <v/>
      </c>
      <c r="N65" s="19" t="str">
        <f aca="false">IF(OR($A65="",INDEX(_LEITURA!$Q$2:$Q$21,4)=0),"",SUMIFS(DECKS!$D$2:$D$1201,DECKS!$A$2:$A$1201,INDEX(_LEITURA!$P$2:$P$21,4),DECKS!$B$2:$B$1201,$A65))</f>
        <v/>
      </c>
      <c r="O65" s="19" t="str">
        <f aca="false">IF(OR($A65="",INDEX(_LEITURA!$Q$2:$Q$21,5)=0),"",SUMIFS(DECKS!$D$2:$D$1201,DECKS!$A$2:$A$1201,INDEX(_LEITURA!$P$2:$P$21,5),DECKS!$B$2:$B$1201,$A65))</f>
        <v/>
      </c>
      <c r="P65" s="19" t="str">
        <f aca="false">IF(OR($A65="",INDEX(_LEITURA!$Q$2:$Q$21,6)=0),"",SUMIFS(DECKS!$D$2:$D$1201,DECKS!$A$2:$A$1201,INDEX(_LEITURA!$P$2:$P$21,6),DECKS!$B$2:$B$1201,$A65))</f>
        <v/>
      </c>
      <c r="Q65" s="19" t="str">
        <f aca="false">IF(OR($A65="",INDEX(_LEITURA!$Q$2:$Q$21,7)=0),"",SUMIFS(DECKS!$D$2:$D$1201,DECKS!$A$2:$A$1201,INDEX(_LEITURA!$P$2:$P$21,7),DECKS!$B$2:$B$1201,$A65))</f>
        <v/>
      </c>
      <c r="R65" s="19" t="str">
        <f aca="false">IF(OR($A65="",INDEX(_LEITURA!$Q$2:$Q$21,8)=0),"",SUMIFS(DECKS!$D$2:$D$1201,DECKS!$A$2:$A$1201,INDEX(_LEITURA!$P$2:$P$21,8),DECKS!$B$2:$B$1201,$A65))</f>
        <v/>
      </c>
      <c r="S65" s="19" t="str">
        <f aca="false">IF(OR($A65="",INDEX(_LEITURA!$Q$2:$Q$21,9)=0),"",SUMIFS(DECKS!$D$2:$D$1201,DECKS!$A$2:$A$1201,INDEX(_LEITURA!$P$2:$P$21,9),DECKS!$B$2:$B$1201,$A65))</f>
        <v/>
      </c>
      <c r="T65" s="19" t="str">
        <f aca="false">IF(OR($A65="",INDEX(_LEITURA!$Q$2:$Q$21,10)=0),"",SUMIFS(DECKS!$D$2:$D$1201,DECKS!$A$2:$A$1201,INDEX(_LEITURA!$P$2:$P$21,10),DECKS!$B$2:$B$1201,$A65))</f>
        <v/>
      </c>
      <c r="U65" s="19" t="str">
        <f aca="false">IF(OR($A65="",INDEX(_LEITURA!$Q$2:$Q$21,11)=0),"",SUMIFS(DECKS!$D$2:$D$1201,DECKS!$A$2:$A$1201,INDEX(_LEITURA!$P$2:$P$21,11),DECKS!$B$2:$B$1201,$A65))</f>
        <v/>
      </c>
      <c r="V65" s="19" t="str">
        <f aca="false">IF(OR($A65="",INDEX(_LEITURA!$Q$2:$Q$21,12)=0),"",SUMIFS(DECKS!$D$2:$D$1201,DECKS!$A$2:$A$1201,INDEX(_LEITURA!$P$2:$P$21,12),DECKS!$B$2:$B$1201,$A65))</f>
        <v/>
      </c>
      <c r="W65" s="19" t="str">
        <f aca="false">IF(OR($A65="",INDEX(_LEITURA!$Q$2:$Q$21,13)=0),"",SUMIFS(DECKS!$D$2:$D$1201,DECKS!$A$2:$A$1201,INDEX(_LEITURA!$P$2:$P$21,13),DECKS!$B$2:$B$1201,$A65))</f>
        <v/>
      </c>
      <c r="X65" s="19" t="str">
        <f aca="false">IF(OR($A65="",INDEX(_LEITURA!$Q$2:$Q$21,14)=0),"",SUMIFS(DECKS!$D$2:$D$1201,DECKS!$A$2:$A$1201,INDEX(_LEITURA!$P$2:$P$21,14),DECKS!$B$2:$B$1201,$A65))</f>
        <v/>
      </c>
      <c r="Y65" s="19" t="str">
        <f aca="false">IF(OR($A65="",INDEX(_LEITURA!$Q$2:$Q$21,15)=0),"",SUMIFS(DECKS!$D$2:$D$1201,DECKS!$A$2:$A$1201,INDEX(_LEITURA!$P$2:$P$21,15),DECKS!$B$2:$B$1201,$A65))</f>
        <v/>
      </c>
      <c r="Z65" s="19" t="str">
        <f aca="false">IF(OR($A65="",INDEX(_LEITURA!$Q$2:$Q$21,16)=0),"",SUMIFS(DECKS!$D$2:$D$1201,DECKS!$A$2:$A$1201,INDEX(_LEITURA!$P$2:$P$21,16),DECKS!$B$2:$B$1201,$A65))</f>
        <v/>
      </c>
      <c r="AA65" s="19" t="str">
        <f aca="false">IF(OR($A65="",INDEX(_LEITURA!$Q$2:$Q$21,17)=0),"",SUMIFS(DECKS!$D$2:$D$1201,DECKS!$A$2:$A$1201,INDEX(_LEITURA!$P$2:$P$21,17),DECKS!$B$2:$B$1201,$A65))</f>
        <v/>
      </c>
      <c r="AB65" s="19" t="str">
        <f aca="false">IF(OR($A65="",INDEX(_LEITURA!$Q$2:$Q$21,18)=0),"",SUMIFS(DECKS!$D$2:$D$1201,DECKS!$A$2:$A$1201,INDEX(_LEITURA!$P$2:$P$21,18),DECKS!$B$2:$B$1201,$A65))</f>
        <v/>
      </c>
      <c r="AC65" s="19" t="str">
        <f aca="false">IF(OR($A65="",INDEX(_LEITURA!$Q$2:$Q$21,19)=0),"",SUMIFS(DECKS!$D$2:$D$1201,DECKS!$A$2:$A$1201,INDEX(_LEITURA!$P$2:$P$21,19),DECKS!$B$2:$B$1201,$A65))</f>
        <v/>
      </c>
      <c r="AD65" s="19" t="str">
        <f aca="false">IF(OR($A65="",INDEX(_LEITURA!$Q$2:$Q$21,20)=0),"",SUMIFS(DECKS!$D$2:$D$1201,DECKS!$A$2:$A$1201,INDEX(_LEITURA!$P$2:$P$21,20),DECKS!$B$2:$B$1201,$A65))</f>
        <v/>
      </c>
      <c r="AE65" s="16" t="str">
        <f aca="false">IF(N(E65)&gt;0,MAX(AE$1:AE64)+1,"")</f>
        <v/>
      </c>
      <c r="AF65" s="11" t="str">
        <f aca="false">IF(A65="","",IFERROR(LEFT(A65,FIND("-",A65)-1),A65))</f>
        <v/>
      </c>
      <c r="AG65" s="11" t="str">
        <f aca="false">IF(AF65="","",IF(ISNUMBER(--MID(AF65,1,1)),0,IF(ISNUMBER(--MID(AF65,2,1)),1,IF(ISNUMBER(--MID(AF65,3,1)),2,IF(ISNUMBER(--MID(AF65,4,1)),3,MIN(LEN(AF65),4))))))</f>
        <v/>
      </c>
      <c r="AH65" s="11" t="str">
        <f aca="false">IF(A65="","",LEFT(AF65,AG65)&amp;REPT("0",4-AG65)&amp;RIGHT("000"&amp;IFERROR(VALUE(MID(AF65,AG65+1,9)),0),3)&amp;RIGHT("0000"&amp;IFERROR(VALUE(MID(A65,FIND("-",A65)+1,9)),0),4))</f>
        <v/>
      </c>
      <c r="AI65" s="11" t="str">
        <f aca="false">IF(OR(A65="",N(E65)&lt;=0),"",IF('FALTAS GERAL'!$M$1="Código","K"&amp;AH65&amp;RIGHT("00000"&amp;ROW(),5),IF('FALTAS GERAL'!$M$1="Nome","K"&amp;UPPER(SUBSTITUTE(SUBSTITUTE(SUBSTITUTE(B65,"*",""),"?",""),"~",""))&amp;"0"&amp;AH65&amp;RIGHT("00000"&amp;ROW(),5),IF('FALTAS GERAL'!$M$1="Falta (maior primeiro)","K"&amp;RIGHT("0000"&amp;(9999-E65),4)&amp;AH65&amp;RIGHT("00000"&amp;ROW(),5),IF('FALTAS GERAL'!$M$1="Nº de decks (maior primeiro)","K"&amp;RIGHT("00"&amp;(99-N(G65)),2)&amp;AH65&amp;RIGHT("00000"&amp;ROW(),5),"K"&amp;RIGHT("00000"&amp;ROW(),5))))))</f>
        <v/>
      </c>
      <c r="AJ65" s="11" t="str">
        <f aca="false">IF(AI65="","",COUNTIFS($AI$2:$AI$801,"&lt;"&amp;AI65,$E$2:$E$801,"&gt;0")+1)</f>
        <v/>
      </c>
      <c r="AK65" s="11" t="str">
        <f aca="false">IF(OR(A65="",N(E65)&lt;=0),"",COUNTIFS($AH$2:$AH$801,"&lt;"&amp;AH65,$E$2:$E$801,"&gt;0")+COUNTIFS($AH$2:AH65,AH65,$E$2:E65,"&gt;0"))</f>
        <v/>
      </c>
    </row>
    <row r="66" customFormat="false" ht="15" hidden="false" customHeight="false" outlineLevel="0" collapsed="false">
      <c r="A66" s="11" t="str">
        <f aca="false">IF(INVENTÁRIO!A66="","",INVENTÁRIO!A66)</f>
        <v/>
      </c>
      <c r="B66" s="11" t="str">
        <f aca="false">IF(A66="","",INVENTÁRIO!B66)</f>
        <v/>
      </c>
      <c r="C66" s="16" t="str">
        <f aca="false">IF(A66="","",INVENTÁRIO!C66)</f>
        <v/>
      </c>
      <c r="D66" s="14" t="str">
        <f aca="false">IF(A66="","",MAX(K66:AD66))</f>
        <v/>
      </c>
      <c r="E66" s="14" t="str">
        <f aca="false">IF(A66="","",MAX(0,D66-C66))</f>
        <v/>
      </c>
      <c r="F66" s="16" t="str">
        <f aca="false">IF(A66="","",IF(D66=0,"Fora dos decks",IF(E66=0,"Completo","Falta")))</f>
        <v/>
      </c>
      <c r="G66" s="16" t="str">
        <f aca="false">IF(A66="","",COUNTIF(K66:AD66,"&gt;0"))</f>
        <v/>
      </c>
      <c r="H66" s="16" t="str">
        <f aca="false">IF(A66="","",IF(G66&gt;1,"Sim",""))</f>
        <v/>
      </c>
      <c r="I66" s="18" t="str">
        <f aca="false">IF(A66="","",SUMIFS(DECKS!$D$2:$D$1201,DECKS!$B$2:$B$1201,A66))</f>
        <v/>
      </c>
      <c r="J66" s="18" t="str">
        <f aca="false">IF(A66="","",MAX(0,I66-C66))</f>
        <v/>
      </c>
      <c r="K66" s="19" t="str">
        <f aca="false">IF(OR($A66="",INDEX(_LEITURA!$Q$2:$Q$21,1)=0),"",SUMIFS(DECKS!$D$2:$D$1201,DECKS!$A$2:$A$1201,INDEX(_LEITURA!$P$2:$P$21,1),DECKS!$B$2:$B$1201,$A66))</f>
        <v/>
      </c>
      <c r="L66" s="19" t="str">
        <f aca="false">IF(OR($A66="",INDEX(_LEITURA!$Q$2:$Q$21,2)=0),"",SUMIFS(DECKS!$D$2:$D$1201,DECKS!$A$2:$A$1201,INDEX(_LEITURA!$P$2:$P$21,2),DECKS!$B$2:$B$1201,$A66))</f>
        <v/>
      </c>
      <c r="M66" s="19" t="str">
        <f aca="false">IF(OR($A66="",INDEX(_LEITURA!$Q$2:$Q$21,3)=0),"",SUMIFS(DECKS!$D$2:$D$1201,DECKS!$A$2:$A$1201,INDEX(_LEITURA!$P$2:$P$21,3),DECKS!$B$2:$B$1201,$A66))</f>
        <v/>
      </c>
      <c r="N66" s="19" t="str">
        <f aca="false">IF(OR($A66="",INDEX(_LEITURA!$Q$2:$Q$21,4)=0),"",SUMIFS(DECKS!$D$2:$D$1201,DECKS!$A$2:$A$1201,INDEX(_LEITURA!$P$2:$P$21,4),DECKS!$B$2:$B$1201,$A66))</f>
        <v/>
      </c>
      <c r="O66" s="19" t="str">
        <f aca="false">IF(OR($A66="",INDEX(_LEITURA!$Q$2:$Q$21,5)=0),"",SUMIFS(DECKS!$D$2:$D$1201,DECKS!$A$2:$A$1201,INDEX(_LEITURA!$P$2:$P$21,5),DECKS!$B$2:$B$1201,$A66))</f>
        <v/>
      </c>
      <c r="P66" s="19" t="str">
        <f aca="false">IF(OR($A66="",INDEX(_LEITURA!$Q$2:$Q$21,6)=0),"",SUMIFS(DECKS!$D$2:$D$1201,DECKS!$A$2:$A$1201,INDEX(_LEITURA!$P$2:$P$21,6),DECKS!$B$2:$B$1201,$A66))</f>
        <v/>
      </c>
      <c r="Q66" s="19" t="str">
        <f aca="false">IF(OR($A66="",INDEX(_LEITURA!$Q$2:$Q$21,7)=0),"",SUMIFS(DECKS!$D$2:$D$1201,DECKS!$A$2:$A$1201,INDEX(_LEITURA!$P$2:$P$21,7),DECKS!$B$2:$B$1201,$A66))</f>
        <v/>
      </c>
      <c r="R66" s="19" t="str">
        <f aca="false">IF(OR($A66="",INDEX(_LEITURA!$Q$2:$Q$21,8)=0),"",SUMIFS(DECKS!$D$2:$D$1201,DECKS!$A$2:$A$1201,INDEX(_LEITURA!$P$2:$P$21,8),DECKS!$B$2:$B$1201,$A66))</f>
        <v/>
      </c>
      <c r="S66" s="19" t="str">
        <f aca="false">IF(OR($A66="",INDEX(_LEITURA!$Q$2:$Q$21,9)=0),"",SUMIFS(DECKS!$D$2:$D$1201,DECKS!$A$2:$A$1201,INDEX(_LEITURA!$P$2:$P$21,9),DECKS!$B$2:$B$1201,$A66))</f>
        <v/>
      </c>
      <c r="T66" s="19" t="str">
        <f aca="false">IF(OR($A66="",INDEX(_LEITURA!$Q$2:$Q$21,10)=0),"",SUMIFS(DECKS!$D$2:$D$1201,DECKS!$A$2:$A$1201,INDEX(_LEITURA!$P$2:$P$21,10),DECKS!$B$2:$B$1201,$A66))</f>
        <v/>
      </c>
      <c r="U66" s="19" t="str">
        <f aca="false">IF(OR($A66="",INDEX(_LEITURA!$Q$2:$Q$21,11)=0),"",SUMIFS(DECKS!$D$2:$D$1201,DECKS!$A$2:$A$1201,INDEX(_LEITURA!$P$2:$P$21,11),DECKS!$B$2:$B$1201,$A66))</f>
        <v/>
      </c>
      <c r="V66" s="19" t="str">
        <f aca="false">IF(OR($A66="",INDEX(_LEITURA!$Q$2:$Q$21,12)=0),"",SUMIFS(DECKS!$D$2:$D$1201,DECKS!$A$2:$A$1201,INDEX(_LEITURA!$P$2:$P$21,12),DECKS!$B$2:$B$1201,$A66))</f>
        <v/>
      </c>
      <c r="W66" s="19" t="str">
        <f aca="false">IF(OR($A66="",INDEX(_LEITURA!$Q$2:$Q$21,13)=0),"",SUMIFS(DECKS!$D$2:$D$1201,DECKS!$A$2:$A$1201,INDEX(_LEITURA!$P$2:$P$21,13),DECKS!$B$2:$B$1201,$A66))</f>
        <v/>
      </c>
      <c r="X66" s="19" t="str">
        <f aca="false">IF(OR($A66="",INDEX(_LEITURA!$Q$2:$Q$21,14)=0),"",SUMIFS(DECKS!$D$2:$D$1201,DECKS!$A$2:$A$1201,INDEX(_LEITURA!$P$2:$P$21,14),DECKS!$B$2:$B$1201,$A66))</f>
        <v/>
      </c>
      <c r="Y66" s="19" t="str">
        <f aca="false">IF(OR($A66="",INDEX(_LEITURA!$Q$2:$Q$21,15)=0),"",SUMIFS(DECKS!$D$2:$D$1201,DECKS!$A$2:$A$1201,INDEX(_LEITURA!$P$2:$P$21,15),DECKS!$B$2:$B$1201,$A66))</f>
        <v/>
      </c>
      <c r="Z66" s="19" t="str">
        <f aca="false">IF(OR($A66="",INDEX(_LEITURA!$Q$2:$Q$21,16)=0),"",SUMIFS(DECKS!$D$2:$D$1201,DECKS!$A$2:$A$1201,INDEX(_LEITURA!$P$2:$P$21,16),DECKS!$B$2:$B$1201,$A66))</f>
        <v/>
      </c>
      <c r="AA66" s="19" t="str">
        <f aca="false">IF(OR($A66="",INDEX(_LEITURA!$Q$2:$Q$21,17)=0),"",SUMIFS(DECKS!$D$2:$D$1201,DECKS!$A$2:$A$1201,INDEX(_LEITURA!$P$2:$P$21,17),DECKS!$B$2:$B$1201,$A66))</f>
        <v/>
      </c>
      <c r="AB66" s="19" t="str">
        <f aca="false">IF(OR($A66="",INDEX(_LEITURA!$Q$2:$Q$21,18)=0),"",SUMIFS(DECKS!$D$2:$D$1201,DECKS!$A$2:$A$1201,INDEX(_LEITURA!$P$2:$P$21,18),DECKS!$B$2:$B$1201,$A66))</f>
        <v/>
      </c>
      <c r="AC66" s="19" t="str">
        <f aca="false">IF(OR($A66="",INDEX(_LEITURA!$Q$2:$Q$21,19)=0),"",SUMIFS(DECKS!$D$2:$D$1201,DECKS!$A$2:$A$1201,INDEX(_LEITURA!$P$2:$P$21,19),DECKS!$B$2:$B$1201,$A66))</f>
        <v/>
      </c>
      <c r="AD66" s="19" t="str">
        <f aca="false">IF(OR($A66="",INDEX(_LEITURA!$Q$2:$Q$21,20)=0),"",SUMIFS(DECKS!$D$2:$D$1201,DECKS!$A$2:$A$1201,INDEX(_LEITURA!$P$2:$P$21,20),DECKS!$B$2:$B$1201,$A66))</f>
        <v/>
      </c>
      <c r="AE66" s="16" t="str">
        <f aca="false">IF(N(E66)&gt;0,MAX(AE$1:AE65)+1,"")</f>
        <v/>
      </c>
      <c r="AF66" s="11" t="str">
        <f aca="false">IF(A66="","",IFERROR(LEFT(A66,FIND("-",A66)-1),A66))</f>
        <v/>
      </c>
      <c r="AG66" s="11" t="str">
        <f aca="false">IF(AF66="","",IF(ISNUMBER(--MID(AF66,1,1)),0,IF(ISNUMBER(--MID(AF66,2,1)),1,IF(ISNUMBER(--MID(AF66,3,1)),2,IF(ISNUMBER(--MID(AF66,4,1)),3,MIN(LEN(AF66),4))))))</f>
        <v/>
      </c>
      <c r="AH66" s="11" t="str">
        <f aca="false">IF(A66="","",LEFT(AF66,AG66)&amp;REPT("0",4-AG66)&amp;RIGHT("000"&amp;IFERROR(VALUE(MID(AF66,AG66+1,9)),0),3)&amp;RIGHT("0000"&amp;IFERROR(VALUE(MID(A66,FIND("-",A66)+1,9)),0),4))</f>
        <v/>
      </c>
      <c r="AI66" s="11" t="str">
        <f aca="false">IF(OR(A66="",N(E66)&lt;=0),"",IF('FALTAS GERAL'!$M$1="Código","K"&amp;AH66&amp;RIGHT("00000"&amp;ROW(),5),IF('FALTAS GERAL'!$M$1="Nome","K"&amp;UPPER(SUBSTITUTE(SUBSTITUTE(SUBSTITUTE(B66,"*",""),"?",""),"~",""))&amp;"0"&amp;AH66&amp;RIGHT("00000"&amp;ROW(),5),IF('FALTAS GERAL'!$M$1="Falta (maior primeiro)","K"&amp;RIGHT("0000"&amp;(9999-E66),4)&amp;AH66&amp;RIGHT("00000"&amp;ROW(),5),IF('FALTAS GERAL'!$M$1="Nº de decks (maior primeiro)","K"&amp;RIGHT("00"&amp;(99-N(G66)),2)&amp;AH66&amp;RIGHT("00000"&amp;ROW(),5),"K"&amp;RIGHT("00000"&amp;ROW(),5))))))</f>
        <v/>
      </c>
      <c r="AJ66" s="11" t="str">
        <f aca="false">IF(AI66="","",COUNTIFS($AI$2:$AI$801,"&lt;"&amp;AI66,$E$2:$E$801,"&gt;0")+1)</f>
        <v/>
      </c>
      <c r="AK66" s="11" t="str">
        <f aca="false">IF(OR(A66="",N(E66)&lt;=0),"",COUNTIFS($AH$2:$AH$801,"&lt;"&amp;AH66,$E$2:$E$801,"&gt;0")+COUNTIFS($AH$2:AH66,AH66,$E$2:E66,"&gt;0"))</f>
        <v/>
      </c>
    </row>
    <row r="67" customFormat="false" ht="15" hidden="false" customHeight="false" outlineLevel="0" collapsed="false">
      <c r="A67" s="11" t="str">
        <f aca="false">IF(INVENTÁRIO!A67="","",INVENTÁRIO!A67)</f>
        <v/>
      </c>
      <c r="B67" s="11" t="str">
        <f aca="false">IF(A67="","",INVENTÁRIO!B67)</f>
        <v/>
      </c>
      <c r="C67" s="16" t="str">
        <f aca="false">IF(A67="","",INVENTÁRIO!C67)</f>
        <v/>
      </c>
      <c r="D67" s="14" t="str">
        <f aca="false">IF(A67="","",MAX(K67:AD67))</f>
        <v/>
      </c>
      <c r="E67" s="14" t="str">
        <f aca="false">IF(A67="","",MAX(0,D67-C67))</f>
        <v/>
      </c>
      <c r="F67" s="16" t="str">
        <f aca="false">IF(A67="","",IF(D67=0,"Fora dos decks",IF(E67=0,"Completo","Falta")))</f>
        <v/>
      </c>
      <c r="G67" s="16" t="str">
        <f aca="false">IF(A67="","",COUNTIF(K67:AD67,"&gt;0"))</f>
        <v/>
      </c>
      <c r="H67" s="16" t="str">
        <f aca="false">IF(A67="","",IF(G67&gt;1,"Sim",""))</f>
        <v/>
      </c>
      <c r="I67" s="18" t="str">
        <f aca="false">IF(A67="","",SUMIFS(DECKS!$D$2:$D$1201,DECKS!$B$2:$B$1201,A67))</f>
        <v/>
      </c>
      <c r="J67" s="18" t="str">
        <f aca="false">IF(A67="","",MAX(0,I67-C67))</f>
        <v/>
      </c>
      <c r="K67" s="19" t="str">
        <f aca="false">IF(OR($A67="",INDEX(_LEITURA!$Q$2:$Q$21,1)=0),"",SUMIFS(DECKS!$D$2:$D$1201,DECKS!$A$2:$A$1201,INDEX(_LEITURA!$P$2:$P$21,1),DECKS!$B$2:$B$1201,$A67))</f>
        <v/>
      </c>
      <c r="L67" s="19" t="str">
        <f aca="false">IF(OR($A67="",INDEX(_LEITURA!$Q$2:$Q$21,2)=0),"",SUMIFS(DECKS!$D$2:$D$1201,DECKS!$A$2:$A$1201,INDEX(_LEITURA!$P$2:$P$21,2),DECKS!$B$2:$B$1201,$A67))</f>
        <v/>
      </c>
      <c r="M67" s="19" t="str">
        <f aca="false">IF(OR($A67="",INDEX(_LEITURA!$Q$2:$Q$21,3)=0),"",SUMIFS(DECKS!$D$2:$D$1201,DECKS!$A$2:$A$1201,INDEX(_LEITURA!$P$2:$P$21,3),DECKS!$B$2:$B$1201,$A67))</f>
        <v/>
      </c>
      <c r="N67" s="19" t="str">
        <f aca="false">IF(OR($A67="",INDEX(_LEITURA!$Q$2:$Q$21,4)=0),"",SUMIFS(DECKS!$D$2:$D$1201,DECKS!$A$2:$A$1201,INDEX(_LEITURA!$P$2:$P$21,4),DECKS!$B$2:$B$1201,$A67))</f>
        <v/>
      </c>
      <c r="O67" s="19" t="str">
        <f aca="false">IF(OR($A67="",INDEX(_LEITURA!$Q$2:$Q$21,5)=0),"",SUMIFS(DECKS!$D$2:$D$1201,DECKS!$A$2:$A$1201,INDEX(_LEITURA!$P$2:$P$21,5),DECKS!$B$2:$B$1201,$A67))</f>
        <v/>
      </c>
      <c r="P67" s="19" t="str">
        <f aca="false">IF(OR($A67="",INDEX(_LEITURA!$Q$2:$Q$21,6)=0),"",SUMIFS(DECKS!$D$2:$D$1201,DECKS!$A$2:$A$1201,INDEX(_LEITURA!$P$2:$P$21,6),DECKS!$B$2:$B$1201,$A67))</f>
        <v/>
      </c>
      <c r="Q67" s="19" t="str">
        <f aca="false">IF(OR($A67="",INDEX(_LEITURA!$Q$2:$Q$21,7)=0),"",SUMIFS(DECKS!$D$2:$D$1201,DECKS!$A$2:$A$1201,INDEX(_LEITURA!$P$2:$P$21,7),DECKS!$B$2:$B$1201,$A67))</f>
        <v/>
      </c>
      <c r="R67" s="19" t="str">
        <f aca="false">IF(OR($A67="",INDEX(_LEITURA!$Q$2:$Q$21,8)=0),"",SUMIFS(DECKS!$D$2:$D$1201,DECKS!$A$2:$A$1201,INDEX(_LEITURA!$P$2:$P$21,8),DECKS!$B$2:$B$1201,$A67))</f>
        <v/>
      </c>
      <c r="S67" s="19" t="str">
        <f aca="false">IF(OR($A67="",INDEX(_LEITURA!$Q$2:$Q$21,9)=0),"",SUMIFS(DECKS!$D$2:$D$1201,DECKS!$A$2:$A$1201,INDEX(_LEITURA!$P$2:$P$21,9),DECKS!$B$2:$B$1201,$A67))</f>
        <v/>
      </c>
      <c r="T67" s="19" t="str">
        <f aca="false">IF(OR($A67="",INDEX(_LEITURA!$Q$2:$Q$21,10)=0),"",SUMIFS(DECKS!$D$2:$D$1201,DECKS!$A$2:$A$1201,INDEX(_LEITURA!$P$2:$P$21,10),DECKS!$B$2:$B$1201,$A67))</f>
        <v/>
      </c>
      <c r="U67" s="19" t="str">
        <f aca="false">IF(OR($A67="",INDEX(_LEITURA!$Q$2:$Q$21,11)=0),"",SUMIFS(DECKS!$D$2:$D$1201,DECKS!$A$2:$A$1201,INDEX(_LEITURA!$P$2:$P$21,11),DECKS!$B$2:$B$1201,$A67))</f>
        <v/>
      </c>
      <c r="V67" s="19" t="str">
        <f aca="false">IF(OR($A67="",INDEX(_LEITURA!$Q$2:$Q$21,12)=0),"",SUMIFS(DECKS!$D$2:$D$1201,DECKS!$A$2:$A$1201,INDEX(_LEITURA!$P$2:$P$21,12),DECKS!$B$2:$B$1201,$A67))</f>
        <v/>
      </c>
      <c r="W67" s="19" t="str">
        <f aca="false">IF(OR($A67="",INDEX(_LEITURA!$Q$2:$Q$21,13)=0),"",SUMIFS(DECKS!$D$2:$D$1201,DECKS!$A$2:$A$1201,INDEX(_LEITURA!$P$2:$P$21,13),DECKS!$B$2:$B$1201,$A67))</f>
        <v/>
      </c>
      <c r="X67" s="19" t="str">
        <f aca="false">IF(OR($A67="",INDEX(_LEITURA!$Q$2:$Q$21,14)=0),"",SUMIFS(DECKS!$D$2:$D$1201,DECKS!$A$2:$A$1201,INDEX(_LEITURA!$P$2:$P$21,14),DECKS!$B$2:$B$1201,$A67))</f>
        <v/>
      </c>
      <c r="Y67" s="19" t="str">
        <f aca="false">IF(OR($A67="",INDEX(_LEITURA!$Q$2:$Q$21,15)=0),"",SUMIFS(DECKS!$D$2:$D$1201,DECKS!$A$2:$A$1201,INDEX(_LEITURA!$P$2:$P$21,15),DECKS!$B$2:$B$1201,$A67))</f>
        <v/>
      </c>
      <c r="Z67" s="19" t="str">
        <f aca="false">IF(OR($A67="",INDEX(_LEITURA!$Q$2:$Q$21,16)=0),"",SUMIFS(DECKS!$D$2:$D$1201,DECKS!$A$2:$A$1201,INDEX(_LEITURA!$P$2:$P$21,16),DECKS!$B$2:$B$1201,$A67))</f>
        <v/>
      </c>
      <c r="AA67" s="19" t="str">
        <f aca="false">IF(OR($A67="",INDEX(_LEITURA!$Q$2:$Q$21,17)=0),"",SUMIFS(DECKS!$D$2:$D$1201,DECKS!$A$2:$A$1201,INDEX(_LEITURA!$P$2:$P$21,17),DECKS!$B$2:$B$1201,$A67))</f>
        <v/>
      </c>
      <c r="AB67" s="19" t="str">
        <f aca="false">IF(OR($A67="",INDEX(_LEITURA!$Q$2:$Q$21,18)=0),"",SUMIFS(DECKS!$D$2:$D$1201,DECKS!$A$2:$A$1201,INDEX(_LEITURA!$P$2:$P$21,18),DECKS!$B$2:$B$1201,$A67))</f>
        <v/>
      </c>
      <c r="AC67" s="19" t="str">
        <f aca="false">IF(OR($A67="",INDEX(_LEITURA!$Q$2:$Q$21,19)=0),"",SUMIFS(DECKS!$D$2:$D$1201,DECKS!$A$2:$A$1201,INDEX(_LEITURA!$P$2:$P$21,19),DECKS!$B$2:$B$1201,$A67))</f>
        <v/>
      </c>
      <c r="AD67" s="19" t="str">
        <f aca="false">IF(OR($A67="",INDEX(_LEITURA!$Q$2:$Q$21,20)=0),"",SUMIFS(DECKS!$D$2:$D$1201,DECKS!$A$2:$A$1201,INDEX(_LEITURA!$P$2:$P$21,20),DECKS!$B$2:$B$1201,$A67))</f>
        <v/>
      </c>
      <c r="AE67" s="16" t="str">
        <f aca="false">IF(N(E67)&gt;0,MAX(AE$1:AE66)+1,"")</f>
        <v/>
      </c>
      <c r="AF67" s="11" t="str">
        <f aca="false">IF(A67="","",IFERROR(LEFT(A67,FIND("-",A67)-1),A67))</f>
        <v/>
      </c>
      <c r="AG67" s="11" t="str">
        <f aca="false">IF(AF67="","",IF(ISNUMBER(--MID(AF67,1,1)),0,IF(ISNUMBER(--MID(AF67,2,1)),1,IF(ISNUMBER(--MID(AF67,3,1)),2,IF(ISNUMBER(--MID(AF67,4,1)),3,MIN(LEN(AF67),4))))))</f>
        <v/>
      </c>
      <c r="AH67" s="11" t="str">
        <f aca="false">IF(A67="","",LEFT(AF67,AG67)&amp;REPT("0",4-AG67)&amp;RIGHT("000"&amp;IFERROR(VALUE(MID(AF67,AG67+1,9)),0),3)&amp;RIGHT("0000"&amp;IFERROR(VALUE(MID(A67,FIND("-",A67)+1,9)),0),4))</f>
        <v/>
      </c>
      <c r="AI67" s="11" t="str">
        <f aca="false">IF(OR(A67="",N(E67)&lt;=0),"",IF('FALTAS GERAL'!$M$1="Código","K"&amp;AH67&amp;RIGHT("00000"&amp;ROW(),5),IF('FALTAS GERAL'!$M$1="Nome","K"&amp;UPPER(SUBSTITUTE(SUBSTITUTE(SUBSTITUTE(B67,"*",""),"?",""),"~",""))&amp;"0"&amp;AH67&amp;RIGHT("00000"&amp;ROW(),5),IF('FALTAS GERAL'!$M$1="Falta (maior primeiro)","K"&amp;RIGHT("0000"&amp;(9999-E67),4)&amp;AH67&amp;RIGHT("00000"&amp;ROW(),5),IF('FALTAS GERAL'!$M$1="Nº de decks (maior primeiro)","K"&amp;RIGHT("00"&amp;(99-N(G67)),2)&amp;AH67&amp;RIGHT("00000"&amp;ROW(),5),"K"&amp;RIGHT("00000"&amp;ROW(),5))))))</f>
        <v/>
      </c>
      <c r="AJ67" s="11" t="str">
        <f aca="false">IF(AI67="","",COUNTIFS($AI$2:$AI$801,"&lt;"&amp;AI67,$E$2:$E$801,"&gt;0")+1)</f>
        <v/>
      </c>
      <c r="AK67" s="11" t="str">
        <f aca="false">IF(OR(A67="",N(E67)&lt;=0),"",COUNTIFS($AH$2:$AH$801,"&lt;"&amp;AH67,$E$2:$E$801,"&gt;0")+COUNTIFS($AH$2:AH67,AH67,$E$2:E67,"&gt;0"))</f>
        <v/>
      </c>
    </row>
    <row r="68" customFormat="false" ht="15" hidden="false" customHeight="false" outlineLevel="0" collapsed="false">
      <c r="A68" s="11" t="str">
        <f aca="false">IF(INVENTÁRIO!A68="","",INVENTÁRIO!A68)</f>
        <v/>
      </c>
      <c r="B68" s="11" t="str">
        <f aca="false">IF(A68="","",INVENTÁRIO!B68)</f>
        <v/>
      </c>
      <c r="C68" s="16" t="str">
        <f aca="false">IF(A68="","",INVENTÁRIO!C68)</f>
        <v/>
      </c>
      <c r="D68" s="14" t="str">
        <f aca="false">IF(A68="","",MAX(K68:AD68))</f>
        <v/>
      </c>
      <c r="E68" s="14" t="str">
        <f aca="false">IF(A68="","",MAX(0,D68-C68))</f>
        <v/>
      </c>
      <c r="F68" s="16" t="str">
        <f aca="false">IF(A68="","",IF(D68=0,"Fora dos decks",IF(E68=0,"Completo","Falta")))</f>
        <v/>
      </c>
      <c r="G68" s="16" t="str">
        <f aca="false">IF(A68="","",COUNTIF(K68:AD68,"&gt;0"))</f>
        <v/>
      </c>
      <c r="H68" s="16" t="str">
        <f aca="false">IF(A68="","",IF(G68&gt;1,"Sim",""))</f>
        <v/>
      </c>
      <c r="I68" s="18" t="str">
        <f aca="false">IF(A68="","",SUMIFS(DECKS!$D$2:$D$1201,DECKS!$B$2:$B$1201,A68))</f>
        <v/>
      </c>
      <c r="J68" s="18" t="str">
        <f aca="false">IF(A68="","",MAX(0,I68-C68))</f>
        <v/>
      </c>
      <c r="K68" s="19" t="str">
        <f aca="false">IF(OR($A68="",INDEX(_LEITURA!$Q$2:$Q$21,1)=0),"",SUMIFS(DECKS!$D$2:$D$1201,DECKS!$A$2:$A$1201,INDEX(_LEITURA!$P$2:$P$21,1),DECKS!$B$2:$B$1201,$A68))</f>
        <v/>
      </c>
      <c r="L68" s="19" t="str">
        <f aca="false">IF(OR($A68="",INDEX(_LEITURA!$Q$2:$Q$21,2)=0),"",SUMIFS(DECKS!$D$2:$D$1201,DECKS!$A$2:$A$1201,INDEX(_LEITURA!$P$2:$P$21,2),DECKS!$B$2:$B$1201,$A68))</f>
        <v/>
      </c>
      <c r="M68" s="19" t="str">
        <f aca="false">IF(OR($A68="",INDEX(_LEITURA!$Q$2:$Q$21,3)=0),"",SUMIFS(DECKS!$D$2:$D$1201,DECKS!$A$2:$A$1201,INDEX(_LEITURA!$P$2:$P$21,3),DECKS!$B$2:$B$1201,$A68))</f>
        <v/>
      </c>
      <c r="N68" s="19" t="str">
        <f aca="false">IF(OR($A68="",INDEX(_LEITURA!$Q$2:$Q$21,4)=0),"",SUMIFS(DECKS!$D$2:$D$1201,DECKS!$A$2:$A$1201,INDEX(_LEITURA!$P$2:$P$21,4),DECKS!$B$2:$B$1201,$A68))</f>
        <v/>
      </c>
      <c r="O68" s="19" t="str">
        <f aca="false">IF(OR($A68="",INDEX(_LEITURA!$Q$2:$Q$21,5)=0),"",SUMIFS(DECKS!$D$2:$D$1201,DECKS!$A$2:$A$1201,INDEX(_LEITURA!$P$2:$P$21,5),DECKS!$B$2:$B$1201,$A68))</f>
        <v/>
      </c>
      <c r="P68" s="19" t="str">
        <f aca="false">IF(OR($A68="",INDEX(_LEITURA!$Q$2:$Q$21,6)=0),"",SUMIFS(DECKS!$D$2:$D$1201,DECKS!$A$2:$A$1201,INDEX(_LEITURA!$P$2:$P$21,6),DECKS!$B$2:$B$1201,$A68))</f>
        <v/>
      </c>
      <c r="Q68" s="19" t="str">
        <f aca="false">IF(OR($A68="",INDEX(_LEITURA!$Q$2:$Q$21,7)=0),"",SUMIFS(DECKS!$D$2:$D$1201,DECKS!$A$2:$A$1201,INDEX(_LEITURA!$P$2:$P$21,7),DECKS!$B$2:$B$1201,$A68))</f>
        <v/>
      </c>
      <c r="R68" s="19" t="str">
        <f aca="false">IF(OR($A68="",INDEX(_LEITURA!$Q$2:$Q$21,8)=0),"",SUMIFS(DECKS!$D$2:$D$1201,DECKS!$A$2:$A$1201,INDEX(_LEITURA!$P$2:$P$21,8),DECKS!$B$2:$B$1201,$A68))</f>
        <v/>
      </c>
      <c r="S68" s="19" t="str">
        <f aca="false">IF(OR($A68="",INDEX(_LEITURA!$Q$2:$Q$21,9)=0),"",SUMIFS(DECKS!$D$2:$D$1201,DECKS!$A$2:$A$1201,INDEX(_LEITURA!$P$2:$P$21,9),DECKS!$B$2:$B$1201,$A68))</f>
        <v/>
      </c>
      <c r="T68" s="19" t="str">
        <f aca="false">IF(OR($A68="",INDEX(_LEITURA!$Q$2:$Q$21,10)=0),"",SUMIFS(DECKS!$D$2:$D$1201,DECKS!$A$2:$A$1201,INDEX(_LEITURA!$P$2:$P$21,10),DECKS!$B$2:$B$1201,$A68))</f>
        <v/>
      </c>
      <c r="U68" s="19" t="str">
        <f aca="false">IF(OR($A68="",INDEX(_LEITURA!$Q$2:$Q$21,11)=0),"",SUMIFS(DECKS!$D$2:$D$1201,DECKS!$A$2:$A$1201,INDEX(_LEITURA!$P$2:$P$21,11),DECKS!$B$2:$B$1201,$A68))</f>
        <v/>
      </c>
      <c r="V68" s="19" t="str">
        <f aca="false">IF(OR($A68="",INDEX(_LEITURA!$Q$2:$Q$21,12)=0),"",SUMIFS(DECKS!$D$2:$D$1201,DECKS!$A$2:$A$1201,INDEX(_LEITURA!$P$2:$P$21,12),DECKS!$B$2:$B$1201,$A68))</f>
        <v/>
      </c>
      <c r="W68" s="19" t="str">
        <f aca="false">IF(OR($A68="",INDEX(_LEITURA!$Q$2:$Q$21,13)=0),"",SUMIFS(DECKS!$D$2:$D$1201,DECKS!$A$2:$A$1201,INDEX(_LEITURA!$P$2:$P$21,13),DECKS!$B$2:$B$1201,$A68))</f>
        <v/>
      </c>
      <c r="X68" s="19" t="str">
        <f aca="false">IF(OR($A68="",INDEX(_LEITURA!$Q$2:$Q$21,14)=0),"",SUMIFS(DECKS!$D$2:$D$1201,DECKS!$A$2:$A$1201,INDEX(_LEITURA!$P$2:$P$21,14),DECKS!$B$2:$B$1201,$A68))</f>
        <v/>
      </c>
      <c r="Y68" s="19" t="str">
        <f aca="false">IF(OR($A68="",INDEX(_LEITURA!$Q$2:$Q$21,15)=0),"",SUMIFS(DECKS!$D$2:$D$1201,DECKS!$A$2:$A$1201,INDEX(_LEITURA!$P$2:$P$21,15),DECKS!$B$2:$B$1201,$A68))</f>
        <v/>
      </c>
      <c r="Z68" s="19" t="str">
        <f aca="false">IF(OR($A68="",INDEX(_LEITURA!$Q$2:$Q$21,16)=0),"",SUMIFS(DECKS!$D$2:$D$1201,DECKS!$A$2:$A$1201,INDEX(_LEITURA!$P$2:$P$21,16),DECKS!$B$2:$B$1201,$A68))</f>
        <v/>
      </c>
      <c r="AA68" s="19" t="str">
        <f aca="false">IF(OR($A68="",INDEX(_LEITURA!$Q$2:$Q$21,17)=0),"",SUMIFS(DECKS!$D$2:$D$1201,DECKS!$A$2:$A$1201,INDEX(_LEITURA!$P$2:$P$21,17),DECKS!$B$2:$B$1201,$A68))</f>
        <v/>
      </c>
      <c r="AB68" s="19" t="str">
        <f aca="false">IF(OR($A68="",INDEX(_LEITURA!$Q$2:$Q$21,18)=0),"",SUMIFS(DECKS!$D$2:$D$1201,DECKS!$A$2:$A$1201,INDEX(_LEITURA!$P$2:$P$21,18),DECKS!$B$2:$B$1201,$A68))</f>
        <v/>
      </c>
      <c r="AC68" s="19" t="str">
        <f aca="false">IF(OR($A68="",INDEX(_LEITURA!$Q$2:$Q$21,19)=0),"",SUMIFS(DECKS!$D$2:$D$1201,DECKS!$A$2:$A$1201,INDEX(_LEITURA!$P$2:$P$21,19),DECKS!$B$2:$B$1201,$A68))</f>
        <v/>
      </c>
      <c r="AD68" s="19" t="str">
        <f aca="false">IF(OR($A68="",INDEX(_LEITURA!$Q$2:$Q$21,20)=0),"",SUMIFS(DECKS!$D$2:$D$1201,DECKS!$A$2:$A$1201,INDEX(_LEITURA!$P$2:$P$21,20),DECKS!$B$2:$B$1201,$A68))</f>
        <v/>
      </c>
      <c r="AE68" s="16" t="str">
        <f aca="false">IF(N(E68)&gt;0,MAX(AE$1:AE67)+1,"")</f>
        <v/>
      </c>
      <c r="AF68" s="11" t="str">
        <f aca="false">IF(A68="","",IFERROR(LEFT(A68,FIND("-",A68)-1),A68))</f>
        <v/>
      </c>
      <c r="AG68" s="11" t="str">
        <f aca="false">IF(AF68="","",IF(ISNUMBER(--MID(AF68,1,1)),0,IF(ISNUMBER(--MID(AF68,2,1)),1,IF(ISNUMBER(--MID(AF68,3,1)),2,IF(ISNUMBER(--MID(AF68,4,1)),3,MIN(LEN(AF68),4))))))</f>
        <v/>
      </c>
      <c r="AH68" s="11" t="str">
        <f aca="false">IF(A68="","",LEFT(AF68,AG68)&amp;REPT("0",4-AG68)&amp;RIGHT("000"&amp;IFERROR(VALUE(MID(AF68,AG68+1,9)),0),3)&amp;RIGHT("0000"&amp;IFERROR(VALUE(MID(A68,FIND("-",A68)+1,9)),0),4))</f>
        <v/>
      </c>
      <c r="AI68" s="11" t="str">
        <f aca="false">IF(OR(A68="",N(E68)&lt;=0),"",IF('FALTAS GERAL'!$M$1="Código","K"&amp;AH68&amp;RIGHT("00000"&amp;ROW(),5),IF('FALTAS GERAL'!$M$1="Nome","K"&amp;UPPER(SUBSTITUTE(SUBSTITUTE(SUBSTITUTE(B68,"*",""),"?",""),"~",""))&amp;"0"&amp;AH68&amp;RIGHT("00000"&amp;ROW(),5),IF('FALTAS GERAL'!$M$1="Falta (maior primeiro)","K"&amp;RIGHT("0000"&amp;(9999-E68),4)&amp;AH68&amp;RIGHT("00000"&amp;ROW(),5),IF('FALTAS GERAL'!$M$1="Nº de decks (maior primeiro)","K"&amp;RIGHT("00"&amp;(99-N(G68)),2)&amp;AH68&amp;RIGHT("00000"&amp;ROW(),5),"K"&amp;RIGHT("00000"&amp;ROW(),5))))))</f>
        <v/>
      </c>
      <c r="AJ68" s="11" t="str">
        <f aca="false">IF(AI68="","",COUNTIFS($AI$2:$AI$801,"&lt;"&amp;AI68,$E$2:$E$801,"&gt;0")+1)</f>
        <v/>
      </c>
      <c r="AK68" s="11" t="str">
        <f aca="false">IF(OR(A68="",N(E68)&lt;=0),"",COUNTIFS($AH$2:$AH$801,"&lt;"&amp;AH68,$E$2:$E$801,"&gt;0")+COUNTIFS($AH$2:AH68,AH68,$E$2:E68,"&gt;0"))</f>
        <v/>
      </c>
    </row>
    <row r="69" customFormat="false" ht="15" hidden="false" customHeight="false" outlineLevel="0" collapsed="false">
      <c r="A69" s="11" t="str">
        <f aca="false">IF(INVENTÁRIO!A69="","",INVENTÁRIO!A69)</f>
        <v/>
      </c>
      <c r="B69" s="11" t="str">
        <f aca="false">IF(A69="","",INVENTÁRIO!B69)</f>
        <v/>
      </c>
      <c r="C69" s="16" t="str">
        <f aca="false">IF(A69="","",INVENTÁRIO!C69)</f>
        <v/>
      </c>
      <c r="D69" s="14" t="str">
        <f aca="false">IF(A69="","",MAX(K69:AD69))</f>
        <v/>
      </c>
      <c r="E69" s="14" t="str">
        <f aca="false">IF(A69="","",MAX(0,D69-C69))</f>
        <v/>
      </c>
      <c r="F69" s="16" t="str">
        <f aca="false">IF(A69="","",IF(D69=0,"Fora dos decks",IF(E69=0,"Completo","Falta")))</f>
        <v/>
      </c>
      <c r="G69" s="16" t="str">
        <f aca="false">IF(A69="","",COUNTIF(K69:AD69,"&gt;0"))</f>
        <v/>
      </c>
      <c r="H69" s="16" t="str">
        <f aca="false">IF(A69="","",IF(G69&gt;1,"Sim",""))</f>
        <v/>
      </c>
      <c r="I69" s="18" t="str">
        <f aca="false">IF(A69="","",SUMIFS(DECKS!$D$2:$D$1201,DECKS!$B$2:$B$1201,A69))</f>
        <v/>
      </c>
      <c r="J69" s="18" t="str">
        <f aca="false">IF(A69="","",MAX(0,I69-C69))</f>
        <v/>
      </c>
      <c r="K69" s="19" t="str">
        <f aca="false">IF(OR($A69="",INDEX(_LEITURA!$Q$2:$Q$21,1)=0),"",SUMIFS(DECKS!$D$2:$D$1201,DECKS!$A$2:$A$1201,INDEX(_LEITURA!$P$2:$P$21,1),DECKS!$B$2:$B$1201,$A69))</f>
        <v/>
      </c>
      <c r="L69" s="19" t="str">
        <f aca="false">IF(OR($A69="",INDEX(_LEITURA!$Q$2:$Q$21,2)=0),"",SUMIFS(DECKS!$D$2:$D$1201,DECKS!$A$2:$A$1201,INDEX(_LEITURA!$P$2:$P$21,2),DECKS!$B$2:$B$1201,$A69))</f>
        <v/>
      </c>
      <c r="M69" s="19" t="str">
        <f aca="false">IF(OR($A69="",INDEX(_LEITURA!$Q$2:$Q$21,3)=0),"",SUMIFS(DECKS!$D$2:$D$1201,DECKS!$A$2:$A$1201,INDEX(_LEITURA!$P$2:$P$21,3),DECKS!$B$2:$B$1201,$A69))</f>
        <v/>
      </c>
      <c r="N69" s="19" t="str">
        <f aca="false">IF(OR($A69="",INDEX(_LEITURA!$Q$2:$Q$21,4)=0),"",SUMIFS(DECKS!$D$2:$D$1201,DECKS!$A$2:$A$1201,INDEX(_LEITURA!$P$2:$P$21,4),DECKS!$B$2:$B$1201,$A69))</f>
        <v/>
      </c>
      <c r="O69" s="19" t="str">
        <f aca="false">IF(OR($A69="",INDEX(_LEITURA!$Q$2:$Q$21,5)=0),"",SUMIFS(DECKS!$D$2:$D$1201,DECKS!$A$2:$A$1201,INDEX(_LEITURA!$P$2:$P$21,5),DECKS!$B$2:$B$1201,$A69))</f>
        <v/>
      </c>
      <c r="P69" s="19" t="str">
        <f aca="false">IF(OR($A69="",INDEX(_LEITURA!$Q$2:$Q$21,6)=0),"",SUMIFS(DECKS!$D$2:$D$1201,DECKS!$A$2:$A$1201,INDEX(_LEITURA!$P$2:$P$21,6),DECKS!$B$2:$B$1201,$A69))</f>
        <v/>
      </c>
      <c r="Q69" s="19" t="str">
        <f aca="false">IF(OR($A69="",INDEX(_LEITURA!$Q$2:$Q$21,7)=0),"",SUMIFS(DECKS!$D$2:$D$1201,DECKS!$A$2:$A$1201,INDEX(_LEITURA!$P$2:$P$21,7),DECKS!$B$2:$B$1201,$A69))</f>
        <v/>
      </c>
      <c r="R69" s="19" t="str">
        <f aca="false">IF(OR($A69="",INDEX(_LEITURA!$Q$2:$Q$21,8)=0),"",SUMIFS(DECKS!$D$2:$D$1201,DECKS!$A$2:$A$1201,INDEX(_LEITURA!$P$2:$P$21,8),DECKS!$B$2:$B$1201,$A69))</f>
        <v/>
      </c>
      <c r="S69" s="19" t="str">
        <f aca="false">IF(OR($A69="",INDEX(_LEITURA!$Q$2:$Q$21,9)=0),"",SUMIFS(DECKS!$D$2:$D$1201,DECKS!$A$2:$A$1201,INDEX(_LEITURA!$P$2:$P$21,9),DECKS!$B$2:$B$1201,$A69))</f>
        <v/>
      </c>
      <c r="T69" s="19" t="str">
        <f aca="false">IF(OR($A69="",INDEX(_LEITURA!$Q$2:$Q$21,10)=0),"",SUMIFS(DECKS!$D$2:$D$1201,DECKS!$A$2:$A$1201,INDEX(_LEITURA!$P$2:$P$21,10),DECKS!$B$2:$B$1201,$A69))</f>
        <v/>
      </c>
      <c r="U69" s="19" t="str">
        <f aca="false">IF(OR($A69="",INDEX(_LEITURA!$Q$2:$Q$21,11)=0),"",SUMIFS(DECKS!$D$2:$D$1201,DECKS!$A$2:$A$1201,INDEX(_LEITURA!$P$2:$P$21,11),DECKS!$B$2:$B$1201,$A69))</f>
        <v/>
      </c>
      <c r="V69" s="19" t="str">
        <f aca="false">IF(OR($A69="",INDEX(_LEITURA!$Q$2:$Q$21,12)=0),"",SUMIFS(DECKS!$D$2:$D$1201,DECKS!$A$2:$A$1201,INDEX(_LEITURA!$P$2:$P$21,12),DECKS!$B$2:$B$1201,$A69))</f>
        <v/>
      </c>
      <c r="W69" s="19" t="str">
        <f aca="false">IF(OR($A69="",INDEX(_LEITURA!$Q$2:$Q$21,13)=0),"",SUMIFS(DECKS!$D$2:$D$1201,DECKS!$A$2:$A$1201,INDEX(_LEITURA!$P$2:$P$21,13),DECKS!$B$2:$B$1201,$A69))</f>
        <v/>
      </c>
      <c r="X69" s="19" t="str">
        <f aca="false">IF(OR($A69="",INDEX(_LEITURA!$Q$2:$Q$21,14)=0),"",SUMIFS(DECKS!$D$2:$D$1201,DECKS!$A$2:$A$1201,INDEX(_LEITURA!$P$2:$P$21,14),DECKS!$B$2:$B$1201,$A69))</f>
        <v/>
      </c>
      <c r="Y69" s="19" t="str">
        <f aca="false">IF(OR($A69="",INDEX(_LEITURA!$Q$2:$Q$21,15)=0),"",SUMIFS(DECKS!$D$2:$D$1201,DECKS!$A$2:$A$1201,INDEX(_LEITURA!$P$2:$P$21,15),DECKS!$B$2:$B$1201,$A69))</f>
        <v/>
      </c>
      <c r="Z69" s="19" t="str">
        <f aca="false">IF(OR($A69="",INDEX(_LEITURA!$Q$2:$Q$21,16)=0),"",SUMIFS(DECKS!$D$2:$D$1201,DECKS!$A$2:$A$1201,INDEX(_LEITURA!$P$2:$P$21,16),DECKS!$B$2:$B$1201,$A69))</f>
        <v/>
      </c>
      <c r="AA69" s="19" t="str">
        <f aca="false">IF(OR($A69="",INDEX(_LEITURA!$Q$2:$Q$21,17)=0),"",SUMIFS(DECKS!$D$2:$D$1201,DECKS!$A$2:$A$1201,INDEX(_LEITURA!$P$2:$P$21,17),DECKS!$B$2:$B$1201,$A69))</f>
        <v/>
      </c>
      <c r="AB69" s="19" t="str">
        <f aca="false">IF(OR($A69="",INDEX(_LEITURA!$Q$2:$Q$21,18)=0),"",SUMIFS(DECKS!$D$2:$D$1201,DECKS!$A$2:$A$1201,INDEX(_LEITURA!$P$2:$P$21,18),DECKS!$B$2:$B$1201,$A69))</f>
        <v/>
      </c>
      <c r="AC69" s="19" t="str">
        <f aca="false">IF(OR($A69="",INDEX(_LEITURA!$Q$2:$Q$21,19)=0),"",SUMIFS(DECKS!$D$2:$D$1201,DECKS!$A$2:$A$1201,INDEX(_LEITURA!$P$2:$P$21,19),DECKS!$B$2:$B$1201,$A69))</f>
        <v/>
      </c>
      <c r="AD69" s="19" t="str">
        <f aca="false">IF(OR($A69="",INDEX(_LEITURA!$Q$2:$Q$21,20)=0),"",SUMIFS(DECKS!$D$2:$D$1201,DECKS!$A$2:$A$1201,INDEX(_LEITURA!$P$2:$P$21,20),DECKS!$B$2:$B$1201,$A69))</f>
        <v/>
      </c>
      <c r="AE69" s="16" t="str">
        <f aca="false">IF(N(E69)&gt;0,MAX(AE$1:AE68)+1,"")</f>
        <v/>
      </c>
      <c r="AF69" s="11" t="str">
        <f aca="false">IF(A69="","",IFERROR(LEFT(A69,FIND("-",A69)-1),A69))</f>
        <v/>
      </c>
      <c r="AG69" s="11" t="str">
        <f aca="false">IF(AF69="","",IF(ISNUMBER(--MID(AF69,1,1)),0,IF(ISNUMBER(--MID(AF69,2,1)),1,IF(ISNUMBER(--MID(AF69,3,1)),2,IF(ISNUMBER(--MID(AF69,4,1)),3,MIN(LEN(AF69),4))))))</f>
        <v/>
      </c>
      <c r="AH69" s="11" t="str">
        <f aca="false">IF(A69="","",LEFT(AF69,AG69)&amp;REPT("0",4-AG69)&amp;RIGHT("000"&amp;IFERROR(VALUE(MID(AF69,AG69+1,9)),0),3)&amp;RIGHT("0000"&amp;IFERROR(VALUE(MID(A69,FIND("-",A69)+1,9)),0),4))</f>
        <v/>
      </c>
      <c r="AI69" s="11" t="str">
        <f aca="false">IF(OR(A69="",N(E69)&lt;=0),"",IF('FALTAS GERAL'!$M$1="Código","K"&amp;AH69&amp;RIGHT("00000"&amp;ROW(),5),IF('FALTAS GERAL'!$M$1="Nome","K"&amp;UPPER(SUBSTITUTE(SUBSTITUTE(SUBSTITUTE(B69,"*",""),"?",""),"~",""))&amp;"0"&amp;AH69&amp;RIGHT("00000"&amp;ROW(),5),IF('FALTAS GERAL'!$M$1="Falta (maior primeiro)","K"&amp;RIGHT("0000"&amp;(9999-E69),4)&amp;AH69&amp;RIGHT("00000"&amp;ROW(),5),IF('FALTAS GERAL'!$M$1="Nº de decks (maior primeiro)","K"&amp;RIGHT("00"&amp;(99-N(G69)),2)&amp;AH69&amp;RIGHT("00000"&amp;ROW(),5),"K"&amp;RIGHT("00000"&amp;ROW(),5))))))</f>
        <v/>
      </c>
      <c r="AJ69" s="11" t="str">
        <f aca="false">IF(AI69="","",COUNTIFS($AI$2:$AI$801,"&lt;"&amp;AI69,$E$2:$E$801,"&gt;0")+1)</f>
        <v/>
      </c>
      <c r="AK69" s="11" t="str">
        <f aca="false">IF(OR(A69="",N(E69)&lt;=0),"",COUNTIFS($AH$2:$AH$801,"&lt;"&amp;AH69,$E$2:$E$801,"&gt;0")+COUNTIFS($AH$2:AH69,AH69,$E$2:E69,"&gt;0"))</f>
        <v/>
      </c>
    </row>
    <row r="70" customFormat="false" ht="15" hidden="false" customHeight="false" outlineLevel="0" collapsed="false">
      <c r="A70" s="11" t="str">
        <f aca="false">IF(INVENTÁRIO!A70="","",INVENTÁRIO!A70)</f>
        <v/>
      </c>
      <c r="B70" s="11" t="str">
        <f aca="false">IF(A70="","",INVENTÁRIO!B70)</f>
        <v/>
      </c>
      <c r="C70" s="16" t="str">
        <f aca="false">IF(A70="","",INVENTÁRIO!C70)</f>
        <v/>
      </c>
      <c r="D70" s="14" t="str">
        <f aca="false">IF(A70="","",MAX(K70:AD70))</f>
        <v/>
      </c>
      <c r="E70" s="14" t="str">
        <f aca="false">IF(A70="","",MAX(0,D70-C70))</f>
        <v/>
      </c>
      <c r="F70" s="16" t="str">
        <f aca="false">IF(A70="","",IF(D70=0,"Fora dos decks",IF(E70=0,"Completo","Falta")))</f>
        <v/>
      </c>
      <c r="G70" s="16" t="str">
        <f aca="false">IF(A70="","",COUNTIF(K70:AD70,"&gt;0"))</f>
        <v/>
      </c>
      <c r="H70" s="16" t="str">
        <f aca="false">IF(A70="","",IF(G70&gt;1,"Sim",""))</f>
        <v/>
      </c>
      <c r="I70" s="18" t="str">
        <f aca="false">IF(A70="","",SUMIFS(DECKS!$D$2:$D$1201,DECKS!$B$2:$B$1201,A70))</f>
        <v/>
      </c>
      <c r="J70" s="18" t="str">
        <f aca="false">IF(A70="","",MAX(0,I70-C70))</f>
        <v/>
      </c>
      <c r="K70" s="19" t="str">
        <f aca="false">IF(OR($A70="",INDEX(_LEITURA!$Q$2:$Q$21,1)=0),"",SUMIFS(DECKS!$D$2:$D$1201,DECKS!$A$2:$A$1201,INDEX(_LEITURA!$P$2:$P$21,1),DECKS!$B$2:$B$1201,$A70))</f>
        <v/>
      </c>
      <c r="L70" s="19" t="str">
        <f aca="false">IF(OR($A70="",INDEX(_LEITURA!$Q$2:$Q$21,2)=0),"",SUMIFS(DECKS!$D$2:$D$1201,DECKS!$A$2:$A$1201,INDEX(_LEITURA!$P$2:$P$21,2),DECKS!$B$2:$B$1201,$A70))</f>
        <v/>
      </c>
      <c r="M70" s="19" t="str">
        <f aca="false">IF(OR($A70="",INDEX(_LEITURA!$Q$2:$Q$21,3)=0),"",SUMIFS(DECKS!$D$2:$D$1201,DECKS!$A$2:$A$1201,INDEX(_LEITURA!$P$2:$P$21,3),DECKS!$B$2:$B$1201,$A70))</f>
        <v/>
      </c>
      <c r="N70" s="19" t="str">
        <f aca="false">IF(OR($A70="",INDEX(_LEITURA!$Q$2:$Q$21,4)=0),"",SUMIFS(DECKS!$D$2:$D$1201,DECKS!$A$2:$A$1201,INDEX(_LEITURA!$P$2:$P$21,4),DECKS!$B$2:$B$1201,$A70))</f>
        <v/>
      </c>
      <c r="O70" s="19" t="str">
        <f aca="false">IF(OR($A70="",INDEX(_LEITURA!$Q$2:$Q$21,5)=0),"",SUMIFS(DECKS!$D$2:$D$1201,DECKS!$A$2:$A$1201,INDEX(_LEITURA!$P$2:$P$21,5),DECKS!$B$2:$B$1201,$A70))</f>
        <v/>
      </c>
      <c r="P70" s="19" t="str">
        <f aca="false">IF(OR($A70="",INDEX(_LEITURA!$Q$2:$Q$21,6)=0),"",SUMIFS(DECKS!$D$2:$D$1201,DECKS!$A$2:$A$1201,INDEX(_LEITURA!$P$2:$P$21,6),DECKS!$B$2:$B$1201,$A70))</f>
        <v/>
      </c>
      <c r="Q70" s="19" t="str">
        <f aca="false">IF(OR($A70="",INDEX(_LEITURA!$Q$2:$Q$21,7)=0),"",SUMIFS(DECKS!$D$2:$D$1201,DECKS!$A$2:$A$1201,INDEX(_LEITURA!$P$2:$P$21,7),DECKS!$B$2:$B$1201,$A70))</f>
        <v/>
      </c>
      <c r="R70" s="19" t="str">
        <f aca="false">IF(OR($A70="",INDEX(_LEITURA!$Q$2:$Q$21,8)=0),"",SUMIFS(DECKS!$D$2:$D$1201,DECKS!$A$2:$A$1201,INDEX(_LEITURA!$P$2:$P$21,8),DECKS!$B$2:$B$1201,$A70))</f>
        <v/>
      </c>
      <c r="S70" s="19" t="str">
        <f aca="false">IF(OR($A70="",INDEX(_LEITURA!$Q$2:$Q$21,9)=0),"",SUMIFS(DECKS!$D$2:$D$1201,DECKS!$A$2:$A$1201,INDEX(_LEITURA!$P$2:$P$21,9),DECKS!$B$2:$B$1201,$A70))</f>
        <v/>
      </c>
      <c r="T70" s="19" t="str">
        <f aca="false">IF(OR($A70="",INDEX(_LEITURA!$Q$2:$Q$21,10)=0),"",SUMIFS(DECKS!$D$2:$D$1201,DECKS!$A$2:$A$1201,INDEX(_LEITURA!$P$2:$P$21,10),DECKS!$B$2:$B$1201,$A70))</f>
        <v/>
      </c>
      <c r="U70" s="19" t="str">
        <f aca="false">IF(OR($A70="",INDEX(_LEITURA!$Q$2:$Q$21,11)=0),"",SUMIFS(DECKS!$D$2:$D$1201,DECKS!$A$2:$A$1201,INDEX(_LEITURA!$P$2:$P$21,11),DECKS!$B$2:$B$1201,$A70))</f>
        <v/>
      </c>
      <c r="V70" s="19" t="str">
        <f aca="false">IF(OR($A70="",INDEX(_LEITURA!$Q$2:$Q$21,12)=0),"",SUMIFS(DECKS!$D$2:$D$1201,DECKS!$A$2:$A$1201,INDEX(_LEITURA!$P$2:$P$21,12),DECKS!$B$2:$B$1201,$A70))</f>
        <v/>
      </c>
      <c r="W70" s="19" t="str">
        <f aca="false">IF(OR($A70="",INDEX(_LEITURA!$Q$2:$Q$21,13)=0),"",SUMIFS(DECKS!$D$2:$D$1201,DECKS!$A$2:$A$1201,INDEX(_LEITURA!$P$2:$P$21,13),DECKS!$B$2:$B$1201,$A70))</f>
        <v/>
      </c>
      <c r="X70" s="19" t="str">
        <f aca="false">IF(OR($A70="",INDEX(_LEITURA!$Q$2:$Q$21,14)=0),"",SUMIFS(DECKS!$D$2:$D$1201,DECKS!$A$2:$A$1201,INDEX(_LEITURA!$P$2:$P$21,14),DECKS!$B$2:$B$1201,$A70))</f>
        <v/>
      </c>
      <c r="Y70" s="19" t="str">
        <f aca="false">IF(OR($A70="",INDEX(_LEITURA!$Q$2:$Q$21,15)=0),"",SUMIFS(DECKS!$D$2:$D$1201,DECKS!$A$2:$A$1201,INDEX(_LEITURA!$P$2:$P$21,15),DECKS!$B$2:$B$1201,$A70))</f>
        <v/>
      </c>
      <c r="Z70" s="19" t="str">
        <f aca="false">IF(OR($A70="",INDEX(_LEITURA!$Q$2:$Q$21,16)=0),"",SUMIFS(DECKS!$D$2:$D$1201,DECKS!$A$2:$A$1201,INDEX(_LEITURA!$P$2:$P$21,16),DECKS!$B$2:$B$1201,$A70))</f>
        <v/>
      </c>
      <c r="AA70" s="19" t="str">
        <f aca="false">IF(OR($A70="",INDEX(_LEITURA!$Q$2:$Q$21,17)=0),"",SUMIFS(DECKS!$D$2:$D$1201,DECKS!$A$2:$A$1201,INDEX(_LEITURA!$P$2:$P$21,17),DECKS!$B$2:$B$1201,$A70))</f>
        <v/>
      </c>
      <c r="AB70" s="19" t="str">
        <f aca="false">IF(OR($A70="",INDEX(_LEITURA!$Q$2:$Q$21,18)=0),"",SUMIFS(DECKS!$D$2:$D$1201,DECKS!$A$2:$A$1201,INDEX(_LEITURA!$P$2:$P$21,18),DECKS!$B$2:$B$1201,$A70))</f>
        <v/>
      </c>
      <c r="AC70" s="19" t="str">
        <f aca="false">IF(OR($A70="",INDEX(_LEITURA!$Q$2:$Q$21,19)=0),"",SUMIFS(DECKS!$D$2:$D$1201,DECKS!$A$2:$A$1201,INDEX(_LEITURA!$P$2:$P$21,19),DECKS!$B$2:$B$1201,$A70))</f>
        <v/>
      </c>
      <c r="AD70" s="19" t="str">
        <f aca="false">IF(OR($A70="",INDEX(_LEITURA!$Q$2:$Q$21,20)=0),"",SUMIFS(DECKS!$D$2:$D$1201,DECKS!$A$2:$A$1201,INDEX(_LEITURA!$P$2:$P$21,20),DECKS!$B$2:$B$1201,$A70))</f>
        <v/>
      </c>
      <c r="AE70" s="16" t="str">
        <f aca="false">IF(N(E70)&gt;0,MAX(AE$1:AE69)+1,"")</f>
        <v/>
      </c>
      <c r="AF70" s="11" t="str">
        <f aca="false">IF(A70="","",IFERROR(LEFT(A70,FIND("-",A70)-1),A70))</f>
        <v/>
      </c>
      <c r="AG70" s="11" t="str">
        <f aca="false">IF(AF70="","",IF(ISNUMBER(--MID(AF70,1,1)),0,IF(ISNUMBER(--MID(AF70,2,1)),1,IF(ISNUMBER(--MID(AF70,3,1)),2,IF(ISNUMBER(--MID(AF70,4,1)),3,MIN(LEN(AF70),4))))))</f>
        <v/>
      </c>
      <c r="AH70" s="11" t="str">
        <f aca="false">IF(A70="","",LEFT(AF70,AG70)&amp;REPT("0",4-AG70)&amp;RIGHT("000"&amp;IFERROR(VALUE(MID(AF70,AG70+1,9)),0),3)&amp;RIGHT("0000"&amp;IFERROR(VALUE(MID(A70,FIND("-",A70)+1,9)),0),4))</f>
        <v/>
      </c>
      <c r="AI70" s="11" t="str">
        <f aca="false">IF(OR(A70="",N(E70)&lt;=0),"",IF('FALTAS GERAL'!$M$1="Código","K"&amp;AH70&amp;RIGHT("00000"&amp;ROW(),5),IF('FALTAS GERAL'!$M$1="Nome","K"&amp;UPPER(SUBSTITUTE(SUBSTITUTE(SUBSTITUTE(B70,"*",""),"?",""),"~",""))&amp;"0"&amp;AH70&amp;RIGHT("00000"&amp;ROW(),5),IF('FALTAS GERAL'!$M$1="Falta (maior primeiro)","K"&amp;RIGHT("0000"&amp;(9999-E70),4)&amp;AH70&amp;RIGHT("00000"&amp;ROW(),5),IF('FALTAS GERAL'!$M$1="Nº de decks (maior primeiro)","K"&amp;RIGHT("00"&amp;(99-N(G70)),2)&amp;AH70&amp;RIGHT("00000"&amp;ROW(),5),"K"&amp;RIGHT("00000"&amp;ROW(),5))))))</f>
        <v/>
      </c>
      <c r="AJ70" s="11" t="str">
        <f aca="false">IF(AI70="","",COUNTIFS($AI$2:$AI$801,"&lt;"&amp;AI70,$E$2:$E$801,"&gt;0")+1)</f>
        <v/>
      </c>
      <c r="AK70" s="11" t="str">
        <f aca="false">IF(OR(A70="",N(E70)&lt;=0),"",COUNTIFS($AH$2:$AH$801,"&lt;"&amp;AH70,$E$2:$E$801,"&gt;0")+COUNTIFS($AH$2:AH70,AH70,$E$2:E70,"&gt;0"))</f>
        <v/>
      </c>
    </row>
    <row r="71" customFormat="false" ht="15" hidden="false" customHeight="false" outlineLevel="0" collapsed="false">
      <c r="A71" s="11" t="str">
        <f aca="false">IF(INVENTÁRIO!A71="","",INVENTÁRIO!A71)</f>
        <v/>
      </c>
      <c r="B71" s="11" t="str">
        <f aca="false">IF(A71="","",INVENTÁRIO!B71)</f>
        <v/>
      </c>
      <c r="C71" s="16" t="str">
        <f aca="false">IF(A71="","",INVENTÁRIO!C71)</f>
        <v/>
      </c>
      <c r="D71" s="14" t="str">
        <f aca="false">IF(A71="","",MAX(K71:AD71))</f>
        <v/>
      </c>
      <c r="E71" s="14" t="str">
        <f aca="false">IF(A71="","",MAX(0,D71-C71))</f>
        <v/>
      </c>
      <c r="F71" s="16" t="str">
        <f aca="false">IF(A71="","",IF(D71=0,"Fora dos decks",IF(E71=0,"Completo","Falta")))</f>
        <v/>
      </c>
      <c r="G71" s="16" t="str">
        <f aca="false">IF(A71="","",COUNTIF(K71:AD71,"&gt;0"))</f>
        <v/>
      </c>
      <c r="H71" s="16" t="str">
        <f aca="false">IF(A71="","",IF(G71&gt;1,"Sim",""))</f>
        <v/>
      </c>
      <c r="I71" s="18" t="str">
        <f aca="false">IF(A71="","",SUMIFS(DECKS!$D$2:$D$1201,DECKS!$B$2:$B$1201,A71))</f>
        <v/>
      </c>
      <c r="J71" s="18" t="str">
        <f aca="false">IF(A71="","",MAX(0,I71-C71))</f>
        <v/>
      </c>
      <c r="K71" s="19" t="str">
        <f aca="false">IF(OR($A71="",INDEX(_LEITURA!$Q$2:$Q$21,1)=0),"",SUMIFS(DECKS!$D$2:$D$1201,DECKS!$A$2:$A$1201,INDEX(_LEITURA!$P$2:$P$21,1),DECKS!$B$2:$B$1201,$A71))</f>
        <v/>
      </c>
      <c r="L71" s="19" t="str">
        <f aca="false">IF(OR($A71="",INDEX(_LEITURA!$Q$2:$Q$21,2)=0),"",SUMIFS(DECKS!$D$2:$D$1201,DECKS!$A$2:$A$1201,INDEX(_LEITURA!$P$2:$P$21,2),DECKS!$B$2:$B$1201,$A71))</f>
        <v/>
      </c>
      <c r="M71" s="19" t="str">
        <f aca="false">IF(OR($A71="",INDEX(_LEITURA!$Q$2:$Q$21,3)=0),"",SUMIFS(DECKS!$D$2:$D$1201,DECKS!$A$2:$A$1201,INDEX(_LEITURA!$P$2:$P$21,3),DECKS!$B$2:$B$1201,$A71))</f>
        <v/>
      </c>
      <c r="N71" s="19" t="str">
        <f aca="false">IF(OR($A71="",INDEX(_LEITURA!$Q$2:$Q$21,4)=0),"",SUMIFS(DECKS!$D$2:$D$1201,DECKS!$A$2:$A$1201,INDEX(_LEITURA!$P$2:$P$21,4),DECKS!$B$2:$B$1201,$A71))</f>
        <v/>
      </c>
      <c r="O71" s="19" t="str">
        <f aca="false">IF(OR($A71="",INDEX(_LEITURA!$Q$2:$Q$21,5)=0),"",SUMIFS(DECKS!$D$2:$D$1201,DECKS!$A$2:$A$1201,INDEX(_LEITURA!$P$2:$P$21,5),DECKS!$B$2:$B$1201,$A71))</f>
        <v/>
      </c>
      <c r="P71" s="19" t="str">
        <f aca="false">IF(OR($A71="",INDEX(_LEITURA!$Q$2:$Q$21,6)=0),"",SUMIFS(DECKS!$D$2:$D$1201,DECKS!$A$2:$A$1201,INDEX(_LEITURA!$P$2:$P$21,6),DECKS!$B$2:$B$1201,$A71))</f>
        <v/>
      </c>
      <c r="Q71" s="19" t="str">
        <f aca="false">IF(OR($A71="",INDEX(_LEITURA!$Q$2:$Q$21,7)=0),"",SUMIFS(DECKS!$D$2:$D$1201,DECKS!$A$2:$A$1201,INDEX(_LEITURA!$P$2:$P$21,7),DECKS!$B$2:$B$1201,$A71))</f>
        <v/>
      </c>
      <c r="R71" s="19" t="str">
        <f aca="false">IF(OR($A71="",INDEX(_LEITURA!$Q$2:$Q$21,8)=0),"",SUMIFS(DECKS!$D$2:$D$1201,DECKS!$A$2:$A$1201,INDEX(_LEITURA!$P$2:$P$21,8),DECKS!$B$2:$B$1201,$A71))</f>
        <v/>
      </c>
      <c r="S71" s="19" t="str">
        <f aca="false">IF(OR($A71="",INDEX(_LEITURA!$Q$2:$Q$21,9)=0),"",SUMIFS(DECKS!$D$2:$D$1201,DECKS!$A$2:$A$1201,INDEX(_LEITURA!$P$2:$P$21,9),DECKS!$B$2:$B$1201,$A71))</f>
        <v/>
      </c>
      <c r="T71" s="19" t="str">
        <f aca="false">IF(OR($A71="",INDEX(_LEITURA!$Q$2:$Q$21,10)=0),"",SUMIFS(DECKS!$D$2:$D$1201,DECKS!$A$2:$A$1201,INDEX(_LEITURA!$P$2:$P$21,10),DECKS!$B$2:$B$1201,$A71))</f>
        <v/>
      </c>
      <c r="U71" s="19" t="str">
        <f aca="false">IF(OR($A71="",INDEX(_LEITURA!$Q$2:$Q$21,11)=0),"",SUMIFS(DECKS!$D$2:$D$1201,DECKS!$A$2:$A$1201,INDEX(_LEITURA!$P$2:$P$21,11),DECKS!$B$2:$B$1201,$A71))</f>
        <v/>
      </c>
      <c r="V71" s="19" t="str">
        <f aca="false">IF(OR($A71="",INDEX(_LEITURA!$Q$2:$Q$21,12)=0),"",SUMIFS(DECKS!$D$2:$D$1201,DECKS!$A$2:$A$1201,INDEX(_LEITURA!$P$2:$P$21,12),DECKS!$B$2:$B$1201,$A71))</f>
        <v/>
      </c>
      <c r="W71" s="19" t="str">
        <f aca="false">IF(OR($A71="",INDEX(_LEITURA!$Q$2:$Q$21,13)=0),"",SUMIFS(DECKS!$D$2:$D$1201,DECKS!$A$2:$A$1201,INDEX(_LEITURA!$P$2:$P$21,13),DECKS!$B$2:$B$1201,$A71))</f>
        <v/>
      </c>
      <c r="X71" s="19" t="str">
        <f aca="false">IF(OR($A71="",INDEX(_LEITURA!$Q$2:$Q$21,14)=0),"",SUMIFS(DECKS!$D$2:$D$1201,DECKS!$A$2:$A$1201,INDEX(_LEITURA!$P$2:$P$21,14),DECKS!$B$2:$B$1201,$A71))</f>
        <v/>
      </c>
      <c r="Y71" s="19" t="str">
        <f aca="false">IF(OR($A71="",INDEX(_LEITURA!$Q$2:$Q$21,15)=0),"",SUMIFS(DECKS!$D$2:$D$1201,DECKS!$A$2:$A$1201,INDEX(_LEITURA!$P$2:$P$21,15),DECKS!$B$2:$B$1201,$A71))</f>
        <v/>
      </c>
      <c r="Z71" s="19" t="str">
        <f aca="false">IF(OR($A71="",INDEX(_LEITURA!$Q$2:$Q$21,16)=0),"",SUMIFS(DECKS!$D$2:$D$1201,DECKS!$A$2:$A$1201,INDEX(_LEITURA!$P$2:$P$21,16),DECKS!$B$2:$B$1201,$A71))</f>
        <v/>
      </c>
      <c r="AA71" s="19" t="str">
        <f aca="false">IF(OR($A71="",INDEX(_LEITURA!$Q$2:$Q$21,17)=0),"",SUMIFS(DECKS!$D$2:$D$1201,DECKS!$A$2:$A$1201,INDEX(_LEITURA!$P$2:$P$21,17),DECKS!$B$2:$B$1201,$A71))</f>
        <v/>
      </c>
      <c r="AB71" s="19" t="str">
        <f aca="false">IF(OR($A71="",INDEX(_LEITURA!$Q$2:$Q$21,18)=0),"",SUMIFS(DECKS!$D$2:$D$1201,DECKS!$A$2:$A$1201,INDEX(_LEITURA!$P$2:$P$21,18),DECKS!$B$2:$B$1201,$A71))</f>
        <v/>
      </c>
      <c r="AC71" s="19" t="str">
        <f aca="false">IF(OR($A71="",INDEX(_LEITURA!$Q$2:$Q$21,19)=0),"",SUMIFS(DECKS!$D$2:$D$1201,DECKS!$A$2:$A$1201,INDEX(_LEITURA!$P$2:$P$21,19),DECKS!$B$2:$B$1201,$A71))</f>
        <v/>
      </c>
      <c r="AD71" s="19" t="str">
        <f aca="false">IF(OR($A71="",INDEX(_LEITURA!$Q$2:$Q$21,20)=0),"",SUMIFS(DECKS!$D$2:$D$1201,DECKS!$A$2:$A$1201,INDEX(_LEITURA!$P$2:$P$21,20),DECKS!$B$2:$B$1201,$A71))</f>
        <v/>
      </c>
      <c r="AE71" s="16" t="str">
        <f aca="false">IF(N(E71)&gt;0,MAX(AE$1:AE70)+1,"")</f>
        <v/>
      </c>
      <c r="AF71" s="11" t="str">
        <f aca="false">IF(A71="","",IFERROR(LEFT(A71,FIND("-",A71)-1),A71))</f>
        <v/>
      </c>
      <c r="AG71" s="11" t="str">
        <f aca="false">IF(AF71="","",IF(ISNUMBER(--MID(AF71,1,1)),0,IF(ISNUMBER(--MID(AF71,2,1)),1,IF(ISNUMBER(--MID(AF71,3,1)),2,IF(ISNUMBER(--MID(AF71,4,1)),3,MIN(LEN(AF71),4))))))</f>
        <v/>
      </c>
      <c r="AH71" s="11" t="str">
        <f aca="false">IF(A71="","",LEFT(AF71,AG71)&amp;REPT("0",4-AG71)&amp;RIGHT("000"&amp;IFERROR(VALUE(MID(AF71,AG71+1,9)),0),3)&amp;RIGHT("0000"&amp;IFERROR(VALUE(MID(A71,FIND("-",A71)+1,9)),0),4))</f>
        <v/>
      </c>
      <c r="AI71" s="11" t="str">
        <f aca="false">IF(OR(A71="",N(E71)&lt;=0),"",IF('FALTAS GERAL'!$M$1="Código","K"&amp;AH71&amp;RIGHT("00000"&amp;ROW(),5),IF('FALTAS GERAL'!$M$1="Nome","K"&amp;UPPER(SUBSTITUTE(SUBSTITUTE(SUBSTITUTE(B71,"*",""),"?",""),"~",""))&amp;"0"&amp;AH71&amp;RIGHT("00000"&amp;ROW(),5),IF('FALTAS GERAL'!$M$1="Falta (maior primeiro)","K"&amp;RIGHT("0000"&amp;(9999-E71),4)&amp;AH71&amp;RIGHT("00000"&amp;ROW(),5),IF('FALTAS GERAL'!$M$1="Nº de decks (maior primeiro)","K"&amp;RIGHT("00"&amp;(99-N(G71)),2)&amp;AH71&amp;RIGHT("00000"&amp;ROW(),5),"K"&amp;RIGHT("00000"&amp;ROW(),5))))))</f>
        <v/>
      </c>
      <c r="AJ71" s="11" t="str">
        <f aca="false">IF(AI71="","",COUNTIFS($AI$2:$AI$801,"&lt;"&amp;AI71,$E$2:$E$801,"&gt;0")+1)</f>
        <v/>
      </c>
      <c r="AK71" s="11" t="str">
        <f aca="false">IF(OR(A71="",N(E71)&lt;=0),"",COUNTIFS($AH$2:$AH$801,"&lt;"&amp;AH71,$E$2:$E$801,"&gt;0")+COUNTIFS($AH$2:AH71,AH71,$E$2:E71,"&gt;0"))</f>
        <v/>
      </c>
    </row>
    <row r="72" customFormat="false" ht="15" hidden="false" customHeight="false" outlineLevel="0" collapsed="false">
      <c r="A72" s="11" t="str">
        <f aca="false">IF(INVENTÁRIO!A72="","",INVENTÁRIO!A72)</f>
        <v/>
      </c>
      <c r="B72" s="11" t="str">
        <f aca="false">IF(A72="","",INVENTÁRIO!B72)</f>
        <v/>
      </c>
      <c r="C72" s="16" t="str">
        <f aca="false">IF(A72="","",INVENTÁRIO!C72)</f>
        <v/>
      </c>
      <c r="D72" s="14" t="str">
        <f aca="false">IF(A72="","",MAX(K72:AD72))</f>
        <v/>
      </c>
      <c r="E72" s="14" t="str">
        <f aca="false">IF(A72="","",MAX(0,D72-C72))</f>
        <v/>
      </c>
      <c r="F72" s="16" t="str">
        <f aca="false">IF(A72="","",IF(D72=0,"Fora dos decks",IF(E72=0,"Completo","Falta")))</f>
        <v/>
      </c>
      <c r="G72" s="16" t="str">
        <f aca="false">IF(A72="","",COUNTIF(K72:AD72,"&gt;0"))</f>
        <v/>
      </c>
      <c r="H72" s="16" t="str">
        <f aca="false">IF(A72="","",IF(G72&gt;1,"Sim",""))</f>
        <v/>
      </c>
      <c r="I72" s="18" t="str">
        <f aca="false">IF(A72="","",SUMIFS(DECKS!$D$2:$D$1201,DECKS!$B$2:$B$1201,A72))</f>
        <v/>
      </c>
      <c r="J72" s="18" t="str">
        <f aca="false">IF(A72="","",MAX(0,I72-C72))</f>
        <v/>
      </c>
      <c r="K72" s="19" t="str">
        <f aca="false">IF(OR($A72="",INDEX(_LEITURA!$Q$2:$Q$21,1)=0),"",SUMIFS(DECKS!$D$2:$D$1201,DECKS!$A$2:$A$1201,INDEX(_LEITURA!$P$2:$P$21,1),DECKS!$B$2:$B$1201,$A72))</f>
        <v/>
      </c>
      <c r="L72" s="19" t="str">
        <f aca="false">IF(OR($A72="",INDEX(_LEITURA!$Q$2:$Q$21,2)=0),"",SUMIFS(DECKS!$D$2:$D$1201,DECKS!$A$2:$A$1201,INDEX(_LEITURA!$P$2:$P$21,2),DECKS!$B$2:$B$1201,$A72))</f>
        <v/>
      </c>
      <c r="M72" s="19" t="str">
        <f aca="false">IF(OR($A72="",INDEX(_LEITURA!$Q$2:$Q$21,3)=0),"",SUMIFS(DECKS!$D$2:$D$1201,DECKS!$A$2:$A$1201,INDEX(_LEITURA!$P$2:$P$21,3),DECKS!$B$2:$B$1201,$A72))</f>
        <v/>
      </c>
      <c r="N72" s="19" t="str">
        <f aca="false">IF(OR($A72="",INDEX(_LEITURA!$Q$2:$Q$21,4)=0),"",SUMIFS(DECKS!$D$2:$D$1201,DECKS!$A$2:$A$1201,INDEX(_LEITURA!$P$2:$P$21,4),DECKS!$B$2:$B$1201,$A72))</f>
        <v/>
      </c>
      <c r="O72" s="19" t="str">
        <f aca="false">IF(OR($A72="",INDEX(_LEITURA!$Q$2:$Q$21,5)=0),"",SUMIFS(DECKS!$D$2:$D$1201,DECKS!$A$2:$A$1201,INDEX(_LEITURA!$P$2:$P$21,5),DECKS!$B$2:$B$1201,$A72))</f>
        <v/>
      </c>
      <c r="P72" s="19" t="str">
        <f aca="false">IF(OR($A72="",INDEX(_LEITURA!$Q$2:$Q$21,6)=0),"",SUMIFS(DECKS!$D$2:$D$1201,DECKS!$A$2:$A$1201,INDEX(_LEITURA!$P$2:$P$21,6),DECKS!$B$2:$B$1201,$A72))</f>
        <v/>
      </c>
      <c r="Q72" s="19" t="str">
        <f aca="false">IF(OR($A72="",INDEX(_LEITURA!$Q$2:$Q$21,7)=0),"",SUMIFS(DECKS!$D$2:$D$1201,DECKS!$A$2:$A$1201,INDEX(_LEITURA!$P$2:$P$21,7),DECKS!$B$2:$B$1201,$A72))</f>
        <v/>
      </c>
      <c r="R72" s="19" t="str">
        <f aca="false">IF(OR($A72="",INDEX(_LEITURA!$Q$2:$Q$21,8)=0),"",SUMIFS(DECKS!$D$2:$D$1201,DECKS!$A$2:$A$1201,INDEX(_LEITURA!$P$2:$P$21,8),DECKS!$B$2:$B$1201,$A72))</f>
        <v/>
      </c>
      <c r="S72" s="19" t="str">
        <f aca="false">IF(OR($A72="",INDEX(_LEITURA!$Q$2:$Q$21,9)=0),"",SUMIFS(DECKS!$D$2:$D$1201,DECKS!$A$2:$A$1201,INDEX(_LEITURA!$P$2:$P$21,9),DECKS!$B$2:$B$1201,$A72))</f>
        <v/>
      </c>
      <c r="T72" s="19" t="str">
        <f aca="false">IF(OR($A72="",INDEX(_LEITURA!$Q$2:$Q$21,10)=0),"",SUMIFS(DECKS!$D$2:$D$1201,DECKS!$A$2:$A$1201,INDEX(_LEITURA!$P$2:$P$21,10),DECKS!$B$2:$B$1201,$A72))</f>
        <v/>
      </c>
      <c r="U72" s="19" t="str">
        <f aca="false">IF(OR($A72="",INDEX(_LEITURA!$Q$2:$Q$21,11)=0),"",SUMIFS(DECKS!$D$2:$D$1201,DECKS!$A$2:$A$1201,INDEX(_LEITURA!$P$2:$P$21,11),DECKS!$B$2:$B$1201,$A72))</f>
        <v/>
      </c>
      <c r="V72" s="19" t="str">
        <f aca="false">IF(OR($A72="",INDEX(_LEITURA!$Q$2:$Q$21,12)=0),"",SUMIFS(DECKS!$D$2:$D$1201,DECKS!$A$2:$A$1201,INDEX(_LEITURA!$P$2:$P$21,12),DECKS!$B$2:$B$1201,$A72))</f>
        <v/>
      </c>
      <c r="W72" s="19" t="str">
        <f aca="false">IF(OR($A72="",INDEX(_LEITURA!$Q$2:$Q$21,13)=0),"",SUMIFS(DECKS!$D$2:$D$1201,DECKS!$A$2:$A$1201,INDEX(_LEITURA!$P$2:$P$21,13),DECKS!$B$2:$B$1201,$A72))</f>
        <v/>
      </c>
      <c r="X72" s="19" t="str">
        <f aca="false">IF(OR($A72="",INDEX(_LEITURA!$Q$2:$Q$21,14)=0),"",SUMIFS(DECKS!$D$2:$D$1201,DECKS!$A$2:$A$1201,INDEX(_LEITURA!$P$2:$P$21,14),DECKS!$B$2:$B$1201,$A72))</f>
        <v/>
      </c>
      <c r="Y72" s="19" t="str">
        <f aca="false">IF(OR($A72="",INDEX(_LEITURA!$Q$2:$Q$21,15)=0),"",SUMIFS(DECKS!$D$2:$D$1201,DECKS!$A$2:$A$1201,INDEX(_LEITURA!$P$2:$P$21,15),DECKS!$B$2:$B$1201,$A72))</f>
        <v/>
      </c>
      <c r="Z72" s="19" t="str">
        <f aca="false">IF(OR($A72="",INDEX(_LEITURA!$Q$2:$Q$21,16)=0),"",SUMIFS(DECKS!$D$2:$D$1201,DECKS!$A$2:$A$1201,INDEX(_LEITURA!$P$2:$P$21,16),DECKS!$B$2:$B$1201,$A72))</f>
        <v/>
      </c>
      <c r="AA72" s="19" t="str">
        <f aca="false">IF(OR($A72="",INDEX(_LEITURA!$Q$2:$Q$21,17)=0),"",SUMIFS(DECKS!$D$2:$D$1201,DECKS!$A$2:$A$1201,INDEX(_LEITURA!$P$2:$P$21,17),DECKS!$B$2:$B$1201,$A72))</f>
        <v/>
      </c>
      <c r="AB72" s="19" t="str">
        <f aca="false">IF(OR($A72="",INDEX(_LEITURA!$Q$2:$Q$21,18)=0),"",SUMIFS(DECKS!$D$2:$D$1201,DECKS!$A$2:$A$1201,INDEX(_LEITURA!$P$2:$P$21,18),DECKS!$B$2:$B$1201,$A72))</f>
        <v/>
      </c>
      <c r="AC72" s="19" t="str">
        <f aca="false">IF(OR($A72="",INDEX(_LEITURA!$Q$2:$Q$21,19)=0),"",SUMIFS(DECKS!$D$2:$D$1201,DECKS!$A$2:$A$1201,INDEX(_LEITURA!$P$2:$P$21,19),DECKS!$B$2:$B$1201,$A72))</f>
        <v/>
      </c>
      <c r="AD72" s="19" t="str">
        <f aca="false">IF(OR($A72="",INDEX(_LEITURA!$Q$2:$Q$21,20)=0),"",SUMIFS(DECKS!$D$2:$D$1201,DECKS!$A$2:$A$1201,INDEX(_LEITURA!$P$2:$P$21,20),DECKS!$B$2:$B$1201,$A72))</f>
        <v/>
      </c>
      <c r="AE72" s="16" t="str">
        <f aca="false">IF(N(E72)&gt;0,MAX(AE$1:AE71)+1,"")</f>
        <v/>
      </c>
      <c r="AF72" s="11" t="str">
        <f aca="false">IF(A72="","",IFERROR(LEFT(A72,FIND("-",A72)-1),A72))</f>
        <v/>
      </c>
      <c r="AG72" s="11" t="str">
        <f aca="false">IF(AF72="","",IF(ISNUMBER(--MID(AF72,1,1)),0,IF(ISNUMBER(--MID(AF72,2,1)),1,IF(ISNUMBER(--MID(AF72,3,1)),2,IF(ISNUMBER(--MID(AF72,4,1)),3,MIN(LEN(AF72),4))))))</f>
        <v/>
      </c>
      <c r="AH72" s="11" t="str">
        <f aca="false">IF(A72="","",LEFT(AF72,AG72)&amp;REPT("0",4-AG72)&amp;RIGHT("000"&amp;IFERROR(VALUE(MID(AF72,AG72+1,9)),0),3)&amp;RIGHT("0000"&amp;IFERROR(VALUE(MID(A72,FIND("-",A72)+1,9)),0),4))</f>
        <v/>
      </c>
      <c r="AI72" s="11" t="str">
        <f aca="false">IF(OR(A72="",N(E72)&lt;=0),"",IF('FALTAS GERAL'!$M$1="Código","K"&amp;AH72&amp;RIGHT("00000"&amp;ROW(),5),IF('FALTAS GERAL'!$M$1="Nome","K"&amp;UPPER(SUBSTITUTE(SUBSTITUTE(SUBSTITUTE(B72,"*",""),"?",""),"~",""))&amp;"0"&amp;AH72&amp;RIGHT("00000"&amp;ROW(),5),IF('FALTAS GERAL'!$M$1="Falta (maior primeiro)","K"&amp;RIGHT("0000"&amp;(9999-E72),4)&amp;AH72&amp;RIGHT("00000"&amp;ROW(),5),IF('FALTAS GERAL'!$M$1="Nº de decks (maior primeiro)","K"&amp;RIGHT("00"&amp;(99-N(G72)),2)&amp;AH72&amp;RIGHT("00000"&amp;ROW(),5),"K"&amp;RIGHT("00000"&amp;ROW(),5))))))</f>
        <v/>
      </c>
      <c r="AJ72" s="11" t="str">
        <f aca="false">IF(AI72="","",COUNTIFS($AI$2:$AI$801,"&lt;"&amp;AI72,$E$2:$E$801,"&gt;0")+1)</f>
        <v/>
      </c>
      <c r="AK72" s="11" t="str">
        <f aca="false">IF(OR(A72="",N(E72)&lt;=0),"",COUNTIFS($AH$2:$AH$801,"&lt;"&amp;AH72,$E$2:$E$801,"&gt;0")+COUNTIFS($AH$2:AH72,AH72,$E$2:E72,"&gt;0"))</f>
        <v/>
      </c>
    </row>
    <row r="73" customFormat="false" ht="15" hidden="false" customHeight="false" outlineLevel="0" collapsed="false">
      <c r="A73" s="11" t="str">
        <f aca="false">IF(INVENTÁRIO!A73="","",INVENTÁRIO!A73)</f>
        <v/>
      </c>
      <c r="B73" s="11" t="str">
        <f aca="false">IF(A73="","",INVENTÁRIO!B73)</f>
        <v/>
      </c>
      <c r="C73" s="16" t="str">
        <f aca="false">IF(A73="","",INVENTÁRIO!C73)</f>
        <v/>
      </c>
      <c r="D73" s="14" t="str">
        <f aca="false">IF(A73="","",MAX(K73:AD73))</f>
        <v/>
      </c>
      <c r="E73" s="14" t="str">
        <f aca="false">IF(A73="","",MAX(0,D73-C73))</f>
        <v/>
      </c>
      <c r="F73" s="16" t="str">
        <f aca="false">IF(A73="","",IF(D73=0,"Fora dos decks",IF(E73=0,"Completo","Falta")))</f>
        <v/>
      </c>
      <c r="G73" s="16" t="str">
        <f aca="false">IF(A73="","",COUNTIF(K73:AD73,"&gt;0"))</f>
        <v/>
      </c>
      <c r="H73" s="16" t="str">
        <f aca="false">IF(A73="","",IF(G73&gt;1,"Sim",""))</f>
        <v/>
      </c>
      <c r="I73" s="18" t="str">
        <f aca="false">IF(A73="","",SUMIFS(DECKS!$D$2:$D$1201,DECKS!$B$2:$B$1201,A73))</f>
        <v/>
      </c>
      <c r="J73" s="18" t="str">
        <f aca="false">IF(A73="","",MAX(0,I73-C73))</f>
        <v/>
      </c>
      <c r="K73" s="19" t="str">
        <f aca="false">IF(OR($A73="",INDEX(_LEITURA!$Q$2:$Q$21,1)=0),"",SUMIFS(DECKS!$D$2:$D$1201,DECKS!$A$2:$A$1201,INDEX(_LEITURA!$P$2:$P$21,1),DECKS!$B$2:$B$1201,$A73))</f>
        <v/>
      </c>
      <c r="L73" s="19" t="str">
        <f aca="false">IF(OR($A73="",INDEX(_LEITURA!$Q$2:$Q$21,2)=0),"",SUMIFS(DECKS!$D$2:$D$1201,DECKS!$A$2:$A$1201,INDEX(_LEITURA!$P$2:$P$21,2),DECKS!$B$2:$B$1201,$A73))</f>
        <v/>
      </c>
      <c r="M73" s="19" t="str">
        <f aca="false">IF(OR($A73="",INDEX(_LEITURA!$Q$2:$Q$21,3)=0),"",SUMIFS(DECKS!$D$2:$D$1201,DECKS!$A$2:$A$1201,INDEX(_LEITURA!$P$2:$P$21,3),DECKS!$B$2:$B$1201,$A73))</f>
        <v/>
      </c>
      <c r="N73" s="19" t="str">
        <f aca="false">IF(OR($A73="",INDEX(_LEITURA!$Q$2:$Q$21,4)=0),"",SUMIFS(DECKS!$D$2:$D$1201,DECKS!$A$2:$A$1201,INDEX(_LEITURA!$P$2:$P$21,4),DECKS!$B$2:$B$1201,$A73))</f>
        <v/>
      </c>
      <c r="O73" s="19" t="str">
        <f aca="false">IF(OR($A73="",INDEX(_LEITURA!$Q$2:$Q$21,5)=0),"",SUMIFS(DECKS!$D$2:$D$1201,DECKS!$A$2:$A$1201,INDEX(_LEITURA!$P$2:$P$21,5),DECKS!$B$2:$B$1201,$A73))</f>
        <v/>
      </c>
      <c r="P73" s="19" t="str">
        <f aca="false">IF(OR($A73="",INDEX(_LEITURA!$Q$2:$Q$21,6)=0),"",SUMIFS(DECKS!$D$2:$D$1201,DECKS!$A$2:$A$1201,INDEX(_LEITURA!$P$2:$P$21,6),DECKS!$B$2:$B$1201,$A73))</f>
        <v/>
      </c>
      <c r="Q73" s="19" t="str">
        <f aca="false">IF(OR($A73="",INDEX(_LEITURA!$Q$2:$Q$21,7)=0),"",SUMIFS(DECKS!$D$2:$D$1201,DECKS!$A$2:$A$1201,INDEX(_LEITURA!$P$2:$P$21,7),DECKS!$B$2:$B$1201,$A73))</f>
        <v/>
      </c>
      <c r="R73" s="19" t="str">
        <f aca="false">IF(OR($A73="",INDEX(_LEITURA!$Q$2:$Q$21,8)=0),"",SUMIFS(DECKS!$D$2:$D$1201,DECKS!$A$2:$A$1201,INDEX(_LEITURA!$P$2:$P$21,8),DECKS!$B$2:$B$1201,$A73))</f>
        <v/>
      </c>
      <c r="S73" s="19" t="str">
        <f aca="false">IF(OR($A73="",INDEX(_LEITURA!$Q$2:$Q$21,9)=0),"",SUMIFS(DECKS!$D$2:$D$1201,DECKS!$A$2:$A$1201,INDEX(_LEITURA!$P$2:$P$21,9),DECKS!$B$2:$B$1201,$A73))</f>
        <v/>
      </c>
      <c r="T73" s="19" t="str">
        <f aca="false">IF(OR($A73="",INDEX(_LEITURA!$Q$2:$Q$21,10)=0),"",SUMIFS(DECKS!$D$2:$D$1201,DECKS!$A$2:$A$1201,INDEX(_LEITURA!$P$2:$P$21,10),DECKS!$B$2:$B$1201,$A73))</f>
        <v/>
      </c>
      <c r="U73" s="19" t="str">
        <f aca="false">IF(OR($A73="",INDEX(_LEITURA!$Q$2:$Q$21,11)=0),"",SUMIFS(DECKS!$D$2:$D$1201,DECKS!$A$2:$A$1201,INDEX(_LEITURA!$P$2:$P$21,11),DECKS!$B$2:$B$1201,$A73))</f>
        <v/>
      </c>
      <c r="V73" s="19" t="str">
        <f aca="false">IF(OR($A73="",INDEX(_LEITURA!$Q$2:$Q$21,12)=0),"",SUMIFS(DECKS!$D$2:$D$1201,DECKS!$A$2:$A$1201,INDEX(_LEITURA!$P$2:$P$21,12),DECKS!$B$2:$B$1201,$A73))</f>
        <v/>
      </c>
      <c r="W73" s="19" t="str">
        <f aca="false">IF(OR($A73="",INDEX(_LEITURA!$Q$2:$Q$21,13)=0),"",SUMIFS(DECKS!$D$2:$D$1201,DECKS!$A$2:$A$1201,INDEX(_LEITURA!$P$2:$P$21,13),DECKS!$B$2:$B$1201,$A73))</f>
        <v/>
      </c>
      <c r="X73" s="19" t="str">
        <f aca="false">IF(OR($A73="",INDEX(_LEITURA!$Q$2:$Q$21,14)=0),"",SUMIFS(DECKS!$D$2:$D$1201,DECKS!$A$2:$A$1201,INDEX(_LEITURA!$P$2:$P$21,14),DECKS!$B$2:$B$1201,$A73))</f>
        <v/>
      </c>
      <c r="Y73" s="19" t="str">
        <f aca="false">IF(OR($A73="",INDEX(_LEITURA!$Q$2:$Q$21,15)=0),"",SUMIFS(DECKS!$D$2:$D$1201,DECKS!$A$2:$A$1201,INDEX(_LEITURA!$P$2:$P$21,15),DECKS!$B$2:$B$1201,$A73))</f>
        <v/>
      </c>
      <c r="Z73" s="19" t="str">
        <f aca="false">IF(OR($A73="",INDEX(_LEITURA!$Q$2:$Q$21,16)=0),"",SUMIFS(DECKS!$D$2:$D$1201,DECKS!$A$2:$A$1201,INDEX(_LEITURA!$P$2:$P$21,16),DECKS!$B$2:$B$1201,$A73))</f>
        <v/>
      </c>
      <c r="AA73" s="19" t="str">
        <f aca="false">IF(OR($A73="",INDEX(_LEITURA!$Q$2:$Q$21,17)=0),"",SUMIFS(DECKS!$D$2:$D$1201,DECKS!$A$2:$A$1201,INDEX(_LEITURA!$P$2:$P$21,17),DECKS!$B$2:$B$1201,$A73))</f>
        <v/>
      </c>
      <c r="AB73" s="19" t="str">
        <f aca="false">IF(OR($A73="",INDEX(_LEITURA!$Q$2:$Q$21,18)=0),"",SUMIFS(DECKS!$D$2:$D$1201,DECKS!$A$2:$A$1201,INDEX(_LEITURA!$P$2:$P$21,18),DECKS!$B$2:$B$1201,$A73))</f>
        <v/>
      </c>
      <c r="AC73" s="19" t="str">
        <f aca="false">IF(OR($A73="",INDEX(_LEITURA!$Q$2:$Q$21,19)=0),"",SUMIFS(DECKS!$D$2:$D$1201,DECKS!$A$2:$A$1201,INDEX(_LEITURA!$P$2:$P$21,19),DECKS!$B$2:$B$1201,$A73))</f>
        <v/>
      </c>
      <c r="AD73" s="19" t="str">
        <f aca="false">IF(OR($A73="",INDEX(_LEITURA!$Q$2:$Q$21,20)=0),"",SUMIFS(DECKS!$D$2:$D$1201,DECKS!$A$2:$A$1201,INDEX(_LEITURA!$P$2:$P$21,20),DECKS!$B$2:$B$1201,$A73))</f>
        <v/>
      </c>
      <c r="AE73" s="16" t="str">
        <f aca="false">IF(N(E73)&gt;0,MAX(AE$1:AE72)+1,"")</f>
        <v/>
      </c>
      <c r="AF73" s="11" t="str">
        <f aca="false">IF(A73="","",IFERROR(LEFT(A73,FIND("-",A73)-1),A73))</f>
        <v/>
      </c>
      <c r="AG73" s="11" t="str">
        <f aca="false">IF(AF73="","",IF(ISNUMBER(--MID(AF73,1,1)),0,IF(ISNUMBER(--MID(AF73,2,1)),1,IF(ISNUMBER(--MID(AF73,3,1)),2,IF(ISNUMBER(--MID(AF73,4,1)),3,MIN(LEN(AF73),4))))))</f>
        <v/>
      </c>
      <c r="AH73" s="11" t="str">
        <f aca="false">IF(A73="","",LEFT(AF73,AG73)&amp;REPT("0",4-AG73)&amp;RIGHT("000"&amp;IFERROR(VALUE(MID(AF73,AG73+1,9)),0),3)&amp;RIGHT("0000"&amp;IFERROR(VALUE(MID(A73,FIND("-",A73)+1,9)),0),4))</f>
        <v/>
      </c>
      <c r="AI73" s="11" t="str">
        <f aca="false">IF(OR(A73="",N(E73)&lt;=0),"",IF('FALTAS GERAL'!$M$1="Código","K"&amp;AH73&amp;RIGHT("00000"&amp;ROW(),5),IF('FALTAS GERAL'!$M$1="Nome","K"&amp;UPPER(SUBSTITUTE(SUBSTITUTE(SUBSTITUTE(B73,"*",""),"?",""),"~",""))&amp;"0"&amp;AH73&amp;RIGHT("00000"&amp;ROW(),5),IF('FALTAS GERAL'!$M$1="Falta (maior primeiro)","K"&amp;RIGHT("0000"&amp;(9999-E73),4)&amp;AH73&amp;RIGHT("00000"&amp;ROW(),5),IF('FALTAS GERAL'!$M$1="Nº de decks (maior primeiro)","K"&amp;RIGHT("00"&amp;(99-N(G73)),2)&amp;AH73&amp;RIGHT("00000"&amp;ROW(),5),"K"&amp;RIGHT("00000"&amp;ROW(),5))))))</f>
        <v/>
      </c>
      <c r="AJ73" s="11" t="str">
        <f aca="false">IF(AI73="","",COUNTIFS($AI$2:$AI$801,"&lt;"&amp;AI73,$E$2:$E$801,"&gt;0")+1)</f>
        <v/>
      </c>
      <c r="AK73" s="11" t="str">
        <f aca="false">IF(OR(A73="",N(E73)&lt;=0),"",COUNTIFS($AH$2:$AH$801,"&lt;"&amp;AH73,$E$2:$E$801,"&gt;0")+COUNTIFS($AH$2:AH73,AH73,$E$2:E73,"&gt;0"))</f>
        <v/>
      </c>
    </row>
    <row r="74" customFormat="false" ht="15" hidden="false" customHeight="false" outlineLevel="0" collapsed="false">
      <c r="A74" s="11" t="str">
        <f aca="false">IF(INVENTÁRIO!A74="","",INVENTÁRIO!A74)</f>
        <v/>
      </c>
      <c r="B74" s="11" t="str">
        <f aca="false">IF(A74="","",INVENTÁRIO!B74)</f>
        <v/>
      </c>
      <c r="C74" s="16" t="str">
        <f aca="false">IF(A74="","",INVENTÁRIO!C74)</f>
        <v/>
      </c>
      <c r="D74" s="14" t="str">
        <f aca="false">IF(A74="","",MAX(K74:AD74))</f>
        <v/>
      </c>
      <c r="E74" s="14" t="str">
        <f aca="false">IF(A74="","",MAX(0,D74-C74))</f>
        <v/>
      </c>
      <c r="F74" s="16" t="str">
        <f aca="false">IF(A74="","",IF(D74=0,"Fora dos decks",IF(E74=0,"Completo","Falta")))</f>
        <v/>
      </c>
      <c r="G74" s="16" t="str">
        <f aca="false">IF(A74="","",COUNTIF(K74:AD74,"&gt;0"))</f>
        <v/>
      </c>
      <c r="H74" s="16" t="str">
        <f aca="false">IF(A74="","",IF(G74&gt;1,"Sim",""))</f>
        <v/>
      </c>
      <c r="I74" s="18" t="str">
        <f aca="false">IF(A74="","",SUMIFS(DECKS!$D$2:$D$1201,DECKS!$B$2:$B$1201,A74))</f>
        <v/>
      </c>
      <c r="J74" s="18" t="str">
        <f aca="false">IF(A74="","",MAX(0,I74-C74))</f>
        <v/>
      </c>
      <c r="K74" s="19" t="str">
        <f aca="false">IF(OR($A74="",INDEX(_LEITURA!$Q$2:$Q$21,1)=0),"",SUMIFS(DECKS!$D$2:$D$1201,DECKS!$A$2:$A$1201,INDEX(_LEITURA!$P$2:$P$21,1),DECKS!$B$2:$B$1201,$A74))</f>
        <v/>
      </c>
      <c r="L74" s="19" t="str">
        <f aca="false">IF(OR($A74="",INDEX(_LEITURA!$Q$2:$Q$21,2)=0),"",SUMIFS(DECKS!$D$2:$D$1201,DECKS!$A$2:$A$1201,INDEX(_LEITURA!$P$2:$P$21,2),DECKS!$B$2:$B$1201,$A74))</f>
        <v/>
      </c>
      <c r="M74" s="19" t="str">
        <f aca="false">IF(OR($A74="",INDEX(_LEITURA!$Q$2:$Q$21,3)=0),"",SUMIFS(DECKS!$D$2:$D$1201,DECKS!$A$2:$A$1201,INDEX(_LEITURA!$P$2:$P$21,3),DECKS!$B$2:$B$1201,$A74))</f>
        <v/>
      </c>
      <c r="N74" s="19" t="str">
        <f aca="false">IF(OR($A74="",INDEX(_LEITURA!$Q$2:$Q$21,4)=0),"",SUMIFS(DECKS!$D$2:$D$1201,DECKS!$A$2:$A$1201,INDEX(_LEITURA!$P$2:$P$21,4),DECKS!$B$2:$B$1201,$A74))</f>
        <v/>
      </c>
      <c r="O74" s="19" t="str">
        <f aca="false">IF(OR($A74="",INDEX(_LEITURA!$Q$2:$Q$21,5)=0),"",SUMIFS(DECKS!$D$2:$D$1201,DECKS!$A$2:$A$1201,INDEX(_LEITURA!$P$2:$P$21,5),DECKS!$B$2:$B$1201,$A74))</f>
        <v/>
      </c>
      <c r="P74" s="19" t="str">
        <f aca="false">IF(OR($A74="",INDEX(_LEITURA!$Q$2:$Q$21,6)=0),"",SUMIFS(DECKS!$D$2:$D$1201,DECKS!$A$2:$A$1201,INDEX(_LEITURA!$P$2:$P$21,6),DECKS!$B$2:$B$1201,$A74))</f>
        <v/>
      </c>
      <c r="Q74" s="19" t="str">
        <f aca="false">IF(OR($A74="",INDEX(_LEITURA!$Q$2:$Q$21,7)=0),"",SUMIFS(DECKS!$D$2:$D$1201,DECKS!$A$2:$A$1201,INDEX(_LEITURA!$P$2:$P$21,7),DECKS!$B$2:$B$1201,$A74))</f>
        <v/>
      </c>
      <c r="R74" s="19" t="str">
        <f aca="false">IF(OR($A74="",INDEX(_LEITURA!$Q$2:$Q$21,8)=0),"",SUMIFS(DECKS!$D$2:$D$1201,DECKS!$A$2:$A$1201,INDEX(_LEITURA!$P$2:$P$21,8),DECKS!$B$2:$B$1201,$A74))</f>
        <v/>
      </c>
      <c r="S74" s="19" t="str">
        <f aca="false">IF(OR($A74="",INDEX(_LEITURA!$Q$2:$Q$21,9)=0),"",SUMIFS(DECKS!$D$2:$D$1201,DECKS!$A$2:$A$1201,INDEX(_LEITURA!$P$2:$P$21,9),DECKS!$B$2:$B$1201,$A74))</f>
        <v/>
      </c>
      <c r="T74" s="19" t="str">
        <f aca="false">IF(OR($A74="",INDEX(_LEITURA!$Q$2:$Q$21,10)=0),"",SUMIFS(DECKS!$D$2:$D$1201,DECKS!$A$2:$A$1201,INDEX(_LEITURA!$P$2:$P$21,10),DECKS!$B$2:$B$1201,$A74))</f>
        <v/>
      </c>
      <c r="U74" s="19" t="str">
        <f aca="false">IF(OR($A74="",INDEX(_LEITURA!$Q$2:$Q$21,11)=0),"",SUMIFS(DECKS!$D$2:$D$1201,DECKS!$A$2:$A$1201,INDEX(_LEITURA!$P$2:$P$21,11),DECKS!$B$2:$B$1201,$A74))</f>
        <v/>
      </c>
      <c r="V74" s="19" t="str">
        <f aca="false">IF(OR($A74="",INDEX(_LEITURA!$Q$2:$Q$21,12)=0),"",SUMIFS(DECKS!$D$2:$D$1201,DECKS!$A$2:$A$1201,INDEX(_LEITURA!$P$2:$P$21,12),DECKS!$B$2:$B$1201,$A74))</f>
        <v/>
      </c>
      <c r="W74" s="19" t="str">
        <f aca="false">IF(OR($A74="",INDEX(_LEITURA!$Q$2:$Q$21,13)=0),"",SUMIFS(DECKS!$D$2:$D$1201,DECKS!$A$2:$A$1201,INDEX(_LEITURA!$P$2:$P$21,13),DECKS!$B$2:$B$1201,$A74))</f>
        <v/>
      </c>
      <c r="X74" s="19" t="str">
        <f aca="false">IF(OR($A74="",INDEX(_LEITURA!$Q$2:$Q$21,14)=0),"",SUMIFS(DECKS!$D$2:$D$1201,DECKS!$A$2:$A$1201,INDEX(_LEITURA!$P$2:$P$21,14),DECKS!$B$2:$B$1201,$A74))</f>
        <v/>
      </c>
      <c r="Y74" s="19" t="str">
        <f aca="false">IF(OR($A74="",INDEX(_LEITURA!$Q$2:$Q$21,15)=0),"",SUMIFS(DECKS!$D$2:$D$1201,DECKS!$A$2:$A$1201,INDEX(_LEITURA!$P$2:$P$21,15),DECKS!$B$2:$B$1201,$A74))</f>
        <v/>
      </c>
      <c r="Z74" s="19" t="str">
        <f aca="false">IF(OR($A74="",INDEX(_LEITURA!$Q$2:$Q$21,16)=0),"",SUMIFS(DECKS!$D$2:$D$1201,DECKS!$A$2:$A$1201,INDEX(_LEITURA!$P$2:$P$21,16),DECKS!$B$2:$B$1201,$A74))</f>
        <v/>
      </c>
      <c r="AA74" s="19" t="str">
        <f aca="false">IF(OR($A74="",INDEX(_LEITURA!$Q$2:$Q$21,17)=0),"",SUMIFS(DECKS!$D$2:$D$1201,DECKS!$A$2:$A$1201,INDEX(_LEITURA!$P$2:$P$21,17),DECKS!$B$2:$B$1201,$A74))</f>
        <v/>
      </c>
      <c r="AB74" s="19" t="str">
        <f aca="false">IF(OR($A74="",INDEX(_LEITURA!$Q$2:$Q$21,18)=0),"",SUMIFS(DECKS!$D$2:$D$1201,DECKS!$A$2:$A$1201,INDEX(_LEITURA!$P$2:$P$21,18),DECKS!$B$2:$B$1201,$A74))</f>
        <v/>
      </c>
      <c r="AC74" s="19" t="str">
        <f aca="false">IF(OR($A74="",INDEX(_LEITURA!$Q$2:$Q$21,19)=0),"",SUMIFS(DECKS!$D$2:$D$1201,DECKS!$A$2:$A$1201,INDEX(_LEITURA!$P$2:$P$21,19),DECKS!$B$2:$B$1201,$A74))</f>
        <v/>
      </c>
      <c r="AD74" s="19" t="str">
        <f aca="false">IF(OR($A74="",INDEX(_LEITURA!$Q$2:$Q$21,20)=0),"",SUMIFS(DECKS!$D$2:$D$1201,DECKS!$A$2:$A$1201,INDEX(_LEITURA!$P$2:$P$21,20),DECKS!$B$2:$B$1201,$A74))</f>
        <v/>
      </c>
      <c r="AE74" s="16" t="str">
        <f aca="false">IF(N(E74)&gt;0,MAX(AE$1:AE73)+1,"")</f>
        <v/>
      </c>
      <c r="AF74" s="11" t="str">
        <f aca="false">IF(A74="","",IFERROR(LEFT(A74,FIND("-",A74)-1),A74))</f>
        <v/>
      </c>
      <c r="AG74" s="11" t="str">
        <f aca="false">IF(AF74="","",IF(ISNUMBER(--MID(AF74,1,1)),0,IF(ISNUMBER(--MID(AF74,2,1)),1,IF(ISNUMBER(--MID(AF74,3,1)),2,IF(ISNUMBER(--MID(AF74,4,1)),3,MIN(LEN(AF74),4))))))</f>
        <v/>
      </c>
      <c r="AH74" s="11" t="str">
        <f aca="false">IF(A74="","",LEFT(AF74,AG74)&amp;REPT("0",4-AG74)&amp;RIGHT("000"&amp;IFERROR(VALUE(MID(AF74,AG74+1,9)),0),3)&amp;RIGHT("0000"&amp;IFERROR(VALUE(MID(A74,FIND("-",A74)+1,9)),0),4))</f>
        <v/>
      </c>
      <c r="AI74" s="11" t="str">
        <f aca="false">IF(OR(A74="",N(E74)&lt;=0),"",IF('FALTAS GERAL'!$M$1="Código","K"&amp;AH74&amp;RIGHT("00000"&amp;ROW(),5),IF('FALTAS GERAL'!$M$1="Nome","K"&amp;UPPER(SUBSTITUTE(SUBSTITUTE(SUBSTITUTE(B74,"*",""),"?",""),"~",""))&amp;"0"&amp;AH74&amp;RIGHT("00000"&amp;ROW(),5),IF('FALTAS GERAL'!$M$1="Falta (maior primeiro)","K"&amp;RIGHT("0000"&amp;(9999-E74),4)&amp;AH74&amp;RIGHT("00000"&amp;ROW(),5),IF('FALTAS GERAL'!$M$1="Nº de decks (maior primeiro)","K"&amp;RIGHT("00"&amp;(99-N(G74)),2)&amp;AH74&amp;RIGHT("00000"&amp;ROW(),5),"K"&amp;RIGHT("00000"&amp;ROW(),5))))))</f>
        <v/>
      </c>
      <c r="AJ74" s="11" t="str">
        <f aca="false">IF(AI74="","",COUNTIFS($AI$2:$AI$801,"&lt;"&amp;AI74,$E$2:$E$801,"&gt;0")+1)</f>
        <v/>
      </c>
      <c r="AK74" s="11" t="str">
        <f aca="false">IF(OR(A74="",N(E74)&lt;=0),"",COUNTIFS($AH$2:$AH$801,"&lt;"&amp;AH74,$E$2:$E$801,"&gt;0")+COUNTIFS($AH$2:AH74,AH74,$E$2:E74,"&gt;0"))</f>
        <v/>
      </c>
    </row>
    <row r="75" customFormat="false" ht="15" hidden="false" customHeight="false" outlineLevel="0" collapsed="false">
      <c r="A75" s="11" t="str">
        <f aca="false">IF(INVENTÁRIO!A75="","",INVENTÁRIO!A75)</f>
        <v/>
      </c>
      <c r="B75" s="11" t="str">
        <f aca="false">IF(A75="","",INVENTÁRIO!B75)</f>
        <v/>
      </c>
      <c r="C75" s="16" t="str">
        <f aca="false">IF(A75="","",INVENTÁRIO!C75)</f>
        <v/>
      </c>
      <c r="D75" s="14" t="str">
        <f aca="false">IF(A75="","",MAX(K75:AD75))</f>
        <v/>
      </c>
      <c r="E75" s="14" t="str">
        <f aca="false">IF(A75="","",MAX(0,D75-C75))</f>
        <v/>
      </c>
      <c r="F75" s="16" t="str">
        <f aca="false">IF(A75="","",IF(D75=0,"Fora dos decks",IF(E75=0,"Completo","Falta")))</f>
        <v/>
      </c>
      <c r="G75" s="16" t="str">
        <f aca="false">IF(A75="","",COUNTIF(K75:AD75,"&gt;0"))</f>
        <v/>
      </c>
      <c r="H75" s="16" t="str">
        <f aca="false">IF(A75="","",IF(G75&gt;1,"Sim",""))</f>
        <v/>
      </c>
      <c r="I75" s="18" t="str">
        <f aca="false">IF(A75="","",SUMIFS(DECKS!$D$2:$D$1201,DECKS!$B$2:$B$1201,A75))</f>
        <v/>
      </c>
      <c r="J75" s="18" t="str">
        <f aca="false">IF(A75="","",MAX(0,I75-C75))</f>
        <v/>
      </c>
      <c r="K75" s="19" t="str">
        <f aca="false">IF(OR($A75="",INDEX(_LEITURA!$Q$2:$Q$21,1)=0),"",SUMIFS(DECKS!$D$2:$D$1201,DECKS!$A$2:$A$1201,INDEX(_LEITURA!$P$2:$P$21,1),DECKS!$B$2:$B$1201,$A75))</f>
        <v/>
      </c>
      <c r="L75" s="19" t="str">
        <f aca="false">IF(OR($A75="",INDEX(_LEITURA!$Q$2:$Q$21,2)=0),"",SUMIFS(DECKS!$D$2:$D$1201,DECKS!$A$2:$A$1201,INDEX(_LEITURA!$P$2:$P$21,2),DECKS!$B$2:$B$1201,$A75))</f>
        <v/>
      </c>
      <c r="M75" s="19" t="str">
        <f aca="false">IF(OR($A75="",INDEX(_LEITURA!$Q$2:$Q$21,3)=0),"",SUMIFS(DECKS!$D$2:$D$1201,DECKS!$A$2:$A$1201,INDEX(_LEITURA!$P$2:$P$21,3),DECKS!$B$2:$B$1201,$A75))</f>
        <v/>
      </c>
      <c r="N75" s="19" t="str">
        <f aca="false">IF(OR($A75="",INDEX(_LEITURA!$Q$2:$Q$21,4)=0),"",SUMIFS(DECKS!$D$2:$D$1201,DECKS!$A$2:$A$1201,INDEX(_LEITURA!$P$2:$P$21,4),DECKS!$B$2:$B$1201,$A75))</f>
        <v/>
      </c>
      <c r="O75" s="19" t="str">
        <f aca="false">IF(OR($A75="",INDEX(_LEITURA!$Q$2:$Q$21,5)=0),"",SUMIFS(DECKS!$D$2:$D$1201,DECKS!$A$2:$A$1201,INDEX(_LEITURA!$P$2:$P$21,5),DECKS!$B$2:$B$1201,$A75))</f>
        <v/>
      </c>
      <c r="P75" s="19" t="str">
        <f aca="false">IF(OR($A75="",INDEX(_LEITURA!$Q$2:$Q$21,6)=0),"",SUMIFS(DECKS!$D$2:$D$1201,DECKS!$A$2:$A$1201,INDEX(_LEITURA!$P$2:$P$21,6),DECKS!$B$2:$B$1201,$A75))</f>
        <v/>
      </c>
      <c r="Q75" s="19" t="str">
        <f aca="false">IF(OR($A75="",INDEX(_LEITURA!$Q$2:$Q$21,7)=0),"",SUMIFS(DECKS!$D$2:$D$1201,DECKS!$A$2:$A$1201,INDEX(_LEITURA!$P$2:$P$21,7),DECKS!$B$2:$B$1201,$A75))</f>
        <v/>
      </c>
      <c r="R75" s="19" t="str">
        <f aca="false">IF(OR($A75="",INDEX(_LEITURA!$Q$2:$Q$21,8)=0),"",SUMIFS(DECKS!$D$2:$D$1201,DECKS!$A$2:$A$1201,INDEX(_LEITURA!$P$2:$P$21,8),DECKS!$B$2:$B$1201,$A75))</f>
        <v/>
      </c>
      <c r="S75" s="19" t="str">
        <f aca="false">IF(OR($A75="",INDEX(_LEITURA!$Q$2:$Q$21,9)=0),"",SUMIFS(DECKS!$D$2:$D$1201,DECKS!$A$2:$A$1201,INDEX(_LEITURA!$P$2:$P$21,9),DECKS!$B$2:$B$1201,$A75))</f>
        <v/>
      </c>
      <c r="T75" s="19" t="str">
        <f aca="false">IF(OR($A75="",INDEX(_LEITURA!$Q$2:$Q$21,10)=0),"",SUMIFS(DECKS!$D$2:$D$1201,DECKS!$A$2:$A$1201,INDEX(_LEITURA!$P$2:$P$21,10),DECKS!$B$2:$B$1201,$A75))</f>
        <v/>
      </c>
      <c r="U75" s="19" t="str">
        <f aca="false">IF(OR($A75="",INDEX(_LEITURA!$Q$2:$Q$21,11)=0),"",SUMIFS(DECKS!$D$2:$D$1201,DECKS!$A$2:$A$1201,INDEX(_LEITURA!$P$2:$P$21,11),DECKS!$B$2:$B$1201,$A75))</f>
        <v/>
      </c>
      <c r="V75" s="19" t="str">
        <f aca="false">IF(OR($A75="",INDEX(_LEITURA!$Q$2:$Q$21,12)=0),"",SUMIFS(DECKS!$D$2:$D$1201,DECKS!$A$2:$A$1201,INDEX(_LEITURA!$P$2:$P$21,12),DECKS!$B$2:$B$1201,$A75))</f>
        <v/>
      </c>
      <c r="W75" s="19" t="str">
        <f aca="false">IF(OR($A75="",INDEX(_LEITURA!$Q$2:$Q$21,13)=0),"",SUMIFS(DECKS!$D$2:$D$1201,DECKS!$A$2:$A$1201,INDEX(_LEITURA!$P$2:$P$21,13),DECKS!$B$2:$B$1201,$A75))</f>
        <v/>
      </c>
      <c r="X75" s="19" t="str">
        <f aca="false">IF(OR($A75="",INDEX(_LEITURA!$Q$2:$Q$21,14)=0),"",SUMIFS(DECKS!$D$2:$D$1201,DECKS!$A$2:$A$1201,INDEX(_LEITURA!$P$2:$P$21,14),DECKS!$B$2:$B$1201,$A75))</f>
        <v/>
      </c>
      <c r="Y75" s="19" t="str">
        <f aca="false">IF(OR($A75="",INDEX(_LEITURA!$Q$2:$Q$21,15)=0),"",SUMIFS(DECKS!$D$2:$D$1201,DECKS!$A$2:$A$1201,INDEX(_LEITURA!$P$2:$P$21,15),DECKS!$B$2:$B$1201,$A75))</f>
        <v/>
      </c>
      <c r="Z75" s="19" t="str">
        <f aca="false">IF(OR($A75="",INDEX(_LEITURA!$Q$2:$Q$21,16)=0),"",SUMIFS(DECKS!$D$2:$D$1201,DECKS!$A$2:$A$1201,INDEX(_LEITURA!$P$2:$P$21,16),DECKS!$B$2:$B$1201,$A75))</f>
        <v/>
      </c>
      <c r="AA75" s="19" t="str">
        <f aca="false">IF(OR($A75="",INDEX(_LEITURA!$Q$2:$Q$21,17)=0),"",SUMIFS(DECKS!$D$2:$D$1201,DECKS!$A$2:$A$1201,INDEX(_LEITURA!$P$2:$P$21,17),DECKS!$B$2:$B$1201,$A75))</f>
        <v/>
      </c>
      <c r="AB75" s="19" t="str">
        <f aca="false">IF(OR($A75="",INDEX(_LEITURA!$Q$2:$Q$21,18)=0),"",SUMIFS(DECKS!$D$2:$D$1201,DECKS!$A$2:$A$1201,INDEX(_LEITURA!$P$2:$P$21,18),DECKS!$B$2:$B$1201,$A75))</f>
        <v/>
      </c>
      <c r="AC75" s="19" t="str">
        <f aca="false">IF(OR($A75="",INDEX(_LEITURA!$Q$2:$Q$21,19)=0),"",SUMIFS(DECKS!$D$2:$D$1201,DECKS!$A$2:$A$1201,INDEX(_LEITURA!$P$2:$P$21,19),DECKS!$B$2:$B$1201,$A75))</f>
        <v/>
      </c>
      <c r="AD75" s="19" t="str">
        <f aca="false">IF(OR($A75="",INDEX(_LEITURA!$Q$2:$Q$21,20)=0),"",SUMIFS(DECKS!$D$2:$D$1201,DECKS!$A$2:$A$1201,INDEX(_LEITURA!$P$2:$P$21,20),DECKS!$B$2:$B$1201,$A75))</f>
        <v/>
      </c>
      <c r="AE75" s="16" t="str">
        <f aca="false">IF(N(E75)&gt;0,MAX(AE$1:AE74)+1,"")</f>
        <v/>
      </c>
      <c r="AF75" s="11" t="str">
        <f aca="false">IF(A75="","",IFERROR(LEFT(A75,FIND("-",A75)-1),A75))</f>
        <v/>
      </c>
      <c r="AG75" s="11" t="str">
        <f aca="false">IF(AF75="","",IF(ISNUMBER(--MID(AF75,1,1)),0,IF(ISNUMBER(--MID(AF75,2,1)),1,IF(ISNUMBER(--MID(AF75,3,1)),2,IF(ISNUMBER(--MID(AF75,4,1)),3,MIN(LEN(AF75),4))))))</f>
        <v/>
      </c>
      <c r="AH75" s="11" t="str">
        <f aca="false">IF(A75="","",LEFT(AF75,AG75)&amp;REPT("0",4-AG75)&amp;RIGHT("000"&amp;IFERROR(VALUE(MID(AF75,AG75+1,9)),0),3)&amp;RIGHT("0000"&amp;IFERROR(VALUE(MID(A75,FIND("-",A75)+1,9)),0),4))</f>
        <v/>
      </c>
      <c r="AI75" s="11" t="str">
        <f aca="false">IF(OR(A75="",N(E75)&lt;=0),"",IF('FALTAS GERAL'!$M$1="Código","K"&amp;AH75&amp;RIGHT("00000"&amp;ROW(),5),IF('FALTAS GERAL'!$M$1="Nome","K"&amp;UPPER(SUBSTITUTE(SUBSTITUTE(SUBSTITUTE(B75,"*",""),"?",""),"~",""))&amp;"0"&amp;AH75&amp;RIGHT("00000"&amp;ROW(),5),IF('FALTAS GERAL'!$M$1="Falta (maior primeiro)","K"&amp;RIGHT("0000"&amp;(9999-E75),4)&amp;AH75&amp;RIGHT("00000"&amp;ROW(),5),IF('FALTAS GERAL'!$M$1="Nº de decks (maior primeiro)","K"&amp;RIGHT("00"&amp;(99-N(G75)),2)&amp;AH75&amp;RIGHT("00000"&amp;ROW(),5),"K"&amp;RIGHT("00000"&amp;ROW(),5))))))</f>
        <v/>
      </c>
      <c r="AJ75" s="11" t="str">
        <f aca="false">IF(AI75="","",COUNTIFS($AI$2:$AI$801,"&lt;"&amp;AI75,$E$2:$E$801,"&gt;0")+1)</f>
        <v/>
      </c>
      <c r="AK75" s="11" t="str">
        <f aca="false">IF(OR(A75="",N(E75)&lt;=0),"",COUNTIFS($AH$2:$AH$801,"&lt;"&amp;AH75,$E$2:$E$801,"&gt;0")+COUNTIFS($AH$2:AH75,AH75,$E$2:E75,"&gt;0"))</f>
        <v/>
      </c>
    </row>
    <row r="76" customFormat="false" ht="15" hidden="false" customHeight="false" outlineLevel="0" collapsed="false">
      <c r="A76" s="11" t="str">
        <f aca="false">IF(INVENTÁRIO!A76="","",INVENTÁRIO!A76)</f>
        <v/>
      </c>
      <c r="B76" s="11" t="str">
        <f aca="false">IF(A76="","",INVENTÁRIO!B76)</f>
        <v/>
      </c>
      <c r="C76" s="16" t="str">
        <f aca="false">IF(A76="","",INVENTÁRIO!C76)</f>
        <v/>
      </c>
      <c r="D76" s="14" t="str">
        <f aca="false">IF(A76="","",MAX(K76:AD76))</f>
        <v/>
      </c>
      <c r="E76" s="14" t="str">
        <f aca="false">IF(A76="","",MAX(0,D76-C76))</f>
        <v/>
      </c>
      <c r="F76" s="16" t="str">
        <f aca="false">IF(A76="","",IF(D76=0,"Fora dos decks",IF(E76=0,"Completo","Falta")))</f>
        <v/>
      </c>
      <c r="G76" s="16" t="str">
        <f aca="false">IF(A76="","",COUNTIF(K76:AD76,"&gt;0"))</f>
        <v/>
      </c>
      <c r="H76" s="16" t="str">
        <f aca="false">IF(A76="","",IF(G76&gt;1,"Sim",""))</f>
        <v/>
      </c>
      <c r="I76" s="18" t="str">
        <f aca="false">IF(A76="","",SUMIFS(DECKS!$D$2:$D$1201,DECKS!$B$2:$B$1201,A76))</f>
        <v/>
      </c>
      <c r="J76" s="18" t="str">
        <f aca="false">IF(A76="","",MAX(0,I76-C76))</f>
        <v/>
      </c>
      <c r="K76" s="19" t="str">
        <f aca="false">IF(OR($A76="",INDEX(_LEITURA!$Q$2:$Q$21,1)=0),"",SUMIFS(DECKS!$D$2:$D$1201,DECKS!$A$2:$A$1201,INDEX(_LEITURA!$P$2:$P$21,1),DECKS!$B$2:$B$1201,$A76))</f>
        <v/>
      </c>
      <c r="L76" s="19" t="str">
        <f aca="false">IF(OR($A76="",INDEX(_LEITURA!$Q$2:$Q$21,2)=0),"",SUMIFS(DECKS!$D$2:$D$1201,DECKS!$A$2:$A$1201,INDEX(_LEITURA!$P$2:$P$21,2),DECKS!$B$2:$B$1201,$A76))</f>
        <v/>
      </c>
      <c r="M76" s="19" t="str">
        <f aca="false">IF(OR($A76="",INDEX(_LEITURA!$Q$2:$Q$21,3)=0),"",SUMIFS(DECKS!$D$2:$D$1201,DECKS!$A$2:$A$1201,INDEX(_LEITURA!$P$2:$P$21,3),DECKS!$B$2:$B$1201,$A76))</f>
        <v/>
      </c>
      <c r="N76" s="19" t="str">
        <f aca="false">IF(OR($A76="",INDEX(_LEITURA!$Q$2:$Q$21,4)=0),"",SUMIFS(DECKS!$D$2:$D$1201,DECKS!$A$2:$A$1201,INDEX(_LEITURA!$P$2:$P$21,4),DECKS!$B$2:$B$1201,$A76))</f>
        <v/>
      </c>
      <c r="O76" s="19" t="str">
        <f aca="false">IF(OR($A76="",INDEX(_LEITURA!$Q$2:$Q$21,5)=0),"",SUMIFS(DECKS!$D$2:$D$1201,DECKS!$A$2:$A$1201,INDEX(_LEITURA!$P$2:$P$21,5),DECKS!$B$2:$B$1201,$A76))</f>
        <v/>
      </c>
      <c r="P76" s="19" t="str">
        <f aca="false">IF(OR($A76="",INDEX(_LEITURA!$Q$2:$Q$21,6)=0),"",SUMIFS(DECKS!$D$2:$D$1201,DECKS!$A$2:$A$1201,INDEX(_LEITURA!$P$2:$P$21,6),DECKS!$B$2:$B$1201,$A76))</f>
        <v/>
      </c>
      <c r="Q76" s="19" t="str">
        <f aca="false">IF(OR($A76="",INDEX(_LEITURA!$Q$2:$Q$21,7)=0),"",SUMIFS(DECKS!$D$2:$D$1201,DECKS!$A$2:$A$1201,INDEX(_LEITURA!$P$2:$P$21,7),DECKS!$B$2:$B$1201,$A76))</f>
        <v/>
      </c>
      <c r="R76" s="19" t="str">
        <f aca="false">IF(OR($A76="",INDEX(_LEITURA!$Q$2:$Q$21,8)=0),"",SUMIFS(DECKS!$D$2:$D$1201,DECKS!$A$2:$A$1201,INDEX(_LEITURA!$P$2:$P$21,8),DECKS!$B$2:$B$1201,$A76))</f>
        <v/>
      </c>
      <c r="S76" s="19" t="str">
        <f aca="false">IF(OR($A76="",INDEX(_LEITURA!$Q$2:$Q$21,9)=0),"",SUMIFS(DECKS!$D$2:$D$1201,DECKS!$A$2:$A$1201,INDEX(_LEITURA!$P$2:$P$21,9),DECKS!$B$2:$B$1201,$A76))</f>
        <v/>
      </c>
      <c r="T76" s="19" t="str">
        <f aca="false">IF(OR($A76="",INDEX(_LEITURA!$Q$2:$Q$21,10)=0),"",SUMIFS(DECKS!$D$2:$D$1201,DECKS!$A$2:$A$1201,INDEX(_LEITURA!$P$2:$P$21,10),DECKS!$B$2:$B$1201,$A76))</f>
        <v/>
      </c>
      <c r="U76" s="19" t="str">
        <f aca="false">IF(OR($A76="",INDEX(_LEITURA!$Q$2:$Q$21,11)=0),"",SUMIFS(DECKS!$D$2:$D$1201,DECKS!$A$2:$A$1201,INDEX(_LEITURA!$P$2:$P$21,11),DECKS!$B$2:$B$1201,$A76))</f>
        <v/>
      </c>
      <c r="V76" s="19" t="str">
        <f aca="false">IF(OR($A76="",INDEX(_LEITURA!$Q$2:$Q$21,12)=0),"",SUMIFS(DECKS!$D$2:$D$1201,DECKS!$A$2:$A$1201,INDEX(_LEITURA!$P$2:$P$21,12),DECKS!$B$2:$B$1201,$A76))</f>
        <v/>
      </c>
      <c r="W76" s="19" t="str">
        <f aca="false">IF(OR($A76="",INDEX(_LEITURA!$Q$2:$Q$21,13)=0),"",SUMIFS(DECKS!$D$2:$D$1201,DECKS!$A$2:$A$1201,INDEX(_LEITURA!$P$2:$P$21,13),DECKS!$B$2:$B$1201,$A76))</f>
        <v/>
      </c>
      <c r="X76" s="19" t="str">
        <f aca="false">IF(OR($A76="",INDEX(_LEITURA!$Q$2:$Q$21,14)=0),"",SUMIFS(DECKS!$D$2:$D$1201,DECKS!$A$2:$A$1201,INDEX(_LEITURA!$P$2:$P$21,14),DECKS!$B$2:$B$1201,$A76))</f>
        <v/>
      </c>
      <c r="Y76" s="19" t="str">
        <f aca="false">IF(OR($A76="",INDEX(_LEITURA!$Q$2:$Q$21,15)=0),"",SUMIFS(DECKS!$D$2:$D$1201,DECKS!$A$2:$A$1201,INDEX(_LEITURA!$P$2:$P$21,15),DECKS!$B$2:$B$1201,$A76))</f>
        <v/>
      </c>
      <c r="Z76" s="19" t="str">
        <f aca="false">IF(OR($A76="",INDEX(_LEITURA!$Q$2:$Q$21,16)=0),"",SUMIFS(DECKS!$D$2:$D$1201,DECKS!$A$2:$A$1201,INDEX(_LEITURA!$P$2:$P$21,16),DECKS!$B$2:$B$1201,$A76))</f>
        <v/>
      </c>
      <c r="AA76" s="19" t="str">
        <f aca="false">IF(OR($A76="",INDEX(_LEITURA!$Q$2:$Q$21,17)=0),"",SUMIFS(DECKS!$D$2:$D$1201,DECKS!$A$2:$A$1201,INDEX(_LEITURA!$P$2:$P$21,17),DECKS!$B$2:$B$1201,$A76))</f>
        <v/>
      </c>
      <c r="AB76" s="19" t="str">
        <f aca="false">IF(OR($A76="",INDEX(_LEITURA!$Q$2:$Q$21,18)=0),"",SUMIFS(DECKS!$D$2:$D$1201,DECKS!$A$2:$A$1201,INDEX(_LEITURA!$P$2:$P$21,18),DECKS!$B$2:$B$1201,$A76))</f>
        <v/>
      </c>
      <c r="AC76" s="19" t="str">
        <f aca="false">IF(OR($A76="",INDEX(_LEITURA!$Q$2:$Q$21,19)=0),"",SUMIFS(DECKS!$D$2:$D$1201,DECKS!$A$2:$A$1201,INDEX(_LEITURA!$P$2:$P$21,19),DECKS!$B$2:$B$1201,$A76))</f>
        <v/>
      </c>
      <c r="AD76" s="19" t="str">
        <f aca="false">IF(OR($A76="",INDEX(_LEITURA!$Q$2:$Q$21,20)=0),"",SUMIFS(DECKS!$D$2:$D$1201,DECKS!$A$2:$A$1201,INDEX(_LEITURA!$P$2:$P$21,20),DECKS!$B$2:$B$1201,$A76))</f>
        <v/>
      </c>
      <c r="AE76" s="16" t="str">
        <f aca="false">IF(N(E76)&gt;0,MAX(AE$1:AE75)+1,"")</f>
        <v/>
      </c>
      <c r="AF76" s="11" t="str">
        <f aca="false">IF(A76="","",IFERROR(LEFT(A76,FIND("-",A76)-1),A76))</f>
        <v/>
      </c>
      <c r="AG76" s="11" t="str">
        <f aca="false">IF(AF76="","",IF(ISNUMBER(--MID(AF76,1,1)),0,IF(ISNUMBER(--MID(AF76,2,1)),1,IF(ISNUMBER(--MID(AF76,3,1)),2,IF(ISNUMBER(--MID(AF76,4,1)),3,MIN(LEN(AF76),4))))))</f>
        <v/>
      </c>
      <c r="AH76" s="11" t="str">
        <f aca="false">IF(A76="","",LEFT(AF76,AG76)&amp;REPT("0",4-AG76)&amp;RIGHT("000"&amp;IFERROR(VALUE(MID(AF76,AG76+1,9)),0),3)&amp;RIGHT("0000"&amp;IFERROR(VALUE(MID(A76,FIND("-",A76)+1,9)),0),4))</f>
        <v/>
      </c>
      <c r="AI76" s="11" t="str">
        <f aca="false">IF(OR(A76="",N(E76)&lt;=0),"",IF('FALTAS GERAL'!$M$1="Código","K"&amp;AH76&amp;RIGHT("00000"&amp;ROW(),5),IF('FALTAS GERAL'!$M$1="Nome","K"&amp;UPPER(SUBSTITUTE(SUBSTITUTE(SUBSTITUTE(B76,"*",""),"?",""),"~",""))&amp;"0"&amp;AH76&amp;RIGHT("00000"&amp;ROW(),5),IF('FALTAS GERAL'!$M$1="Falta (maior primeiro)","K"&amp;RIGHT("0000"&amp;(9999-E76),4)&amp;AH76&amp;RIGHT("00000"&amp;ROW(),5),IF('FALTAS GERAL'!$M$1="Nº de decks (maior primeiro)","K"&amp;RIGHT("00"&amp;(99-N(G76)),2)&amp;AH76&amp;RIGHT("00000"&amp;ROW(),5),"K"&amp;RIGHT("00000"&amp;ROW(),5))))))</f>
        <v/>
      </c>
      <c r="AJ76" s="11" t="str">
        <f aca="false">IF(AI76="","",COUNTIFS($AI$2:$AI$801,"&lt;"&amp;AI76,$E$2:$E$801,"&gt;0")+1)</f>
        <v/>
      </c>
      <c r="AK76" s="11" t="str">
        <f aca="false">IF(OR(A76="",N(E76)&lt;=0),"",COUNTIFS($AH$2:$AH$801,"&lt;"&amp;AH76,$E$2:$E$801,"&gt;0")+COUNTIFS($AH$2:AH76,AH76,$E$2:E76,"&gt;0"))</f>
        <v/>
      </c>
    </row>
    <row r="77" customFormat="false" ht="15" hidden="false" customHeight="false" outlineLevel="0" collapsed="false">
      <c r="A77" s="11" t="str">
        <f aca="false">IF(INVENTÁRIO!A77="","",INVENTÁRIO!A77)</f>
        <v/>
      </c>
      <c r="B77" s="11" t="str">
        <f aca="false">IF(A77="","",INVENTÁRIO!B77)</f>
        <v/>
      </c>
      <c r="C77" s="16" t="str">
        <f aca="false">IF(A77="","",INVENTÁRIO!C77)</f>
        <v/>
      </c>
      <c r="D77" s="14" t="str">
        <f aca="false">IF(A77="","",MAX(K77:AD77))</f>
        <v/>
      </c>
      <c r="E77" s="14" t="str">
        <f aca="false">IF(A77="","",MAX(0,D77-C77))</f>
        <v/>
      </c>
      <c r="F77" s="16" t="str">
        <f aca="false">IF(A77="","",IF(D77=0,"Fora dos decks",IF(E77=0,"Completo","Falta")))</f>
        <v/>
      </c>
      <c r="G77" s="16" t="str">
        <f aca="false">IF(A77="","",COUNTIF(K77:AD77,"&gt;0"))</f>
        <v/>
      </c>
      <c r="H77" s="16" t="str">
        <f aca="false">IF(A77="","",IF(G77&gt;1,"Sim",""))</f>
        <v/>
      </c>
      <c r="I77" s="18" t="str">
        <f aca="false">IF(A77="","",SUMIFS(DECKS!$D$2:$D$1201,DECKS!$B$2:$B$1201,A77))</f>
        <v/>
      </c>
      <c r="J77" s="18" t="str">
        <f aca="false">IF(A77="","",MAX(0,I77-C77))</f>
        <v/>
      </c>
      <c r="K77" s="19" t="str">
        <f aca="false">IF(OR($A77="",INDEX(_LEITURA!$Q$2:$Q$21,1)=0),"",SUMIFS(DECKS!$D$2:$D$1201,DECKS!$A$2:$A$1201,INDEX(_LEITURA!$P$2:$P$21,1),DECKS!$B$2:$B$1201,$A77))</f>
        <v/>
      </c>
      <c r="L77" s="19" t="str">
        <f aca="false">IF(OR($A77="",INDEX(_LEITURA!$Q$2:$Q$21,2)=0),"",SUMIFS(DECKS!$D$2:$D$1201,DECKS!$A$2:$A$1201,INDEX(_LEITURA!$P$2:$P$21,2),DECKS!$B$2:$B$1201,$A77))</f>
        <v/>
      </c>
      <c r="M77" s="19" t="str">
        <f aca="false">IF(OR($A77="",INDEX(_LEITURA!$Q$2:$Q$21,3)=0),"",SUMIFS(DECKS!$D$2:$D$1201,DECKS!$A$2:$A$1201,INDEX(_LEITURA!$P$2:$P$21,3),DECKS!$B$2:$B$1201,$A77))</f>
        <v/>
      </c>
      <c r="N77" s="19" t="str">
        <f aca="false">IF(OR($A77="",INDEX(_LEITURA!$Q$2:$Q$21,4)=0),"",SUMIFS(DECKS!$D$2:$D$1201,DECKS!$A$2:$A$1201,INDEX(_LEITURA!$P$2:$P$21,4),DECKS!$B$2:$B$1201,$A77))</f>
        <v/>
      </c>
      <c r="O77" s="19" t="str">
        <f aca="false">IF(OR($A77="",INDEX(_LEITURA!$Q$2:$Q$21,5)=0),"",SUMIFS(DECKS!$D$2:$D$1201,DECKS!$A$2:$A$1201,INDEX(_LEITURA!$P$2:$P$21,5),DECKS!$B$2:$B$1201,$A77))</f>
        <v/>
      </c>
      <c r="P77" s="19" t="str">
        <f aca="false">IF(OR($A77="",INDEX(_LEITURA!$Q$2:$Q$21,6)=0),"",SUMIFS(DECKS!$D$2:$D$1201,DECKS!$A$2:$A$1201,INDEX(_LEITURA!$P$2:$P$21,6),DECKS!$B$2:$B$1201,$A77))</f>
        <v/>
      </c>
      <c r="Q77" s="19" t="str">
        <f aca="false">IF(OR($A77="",INDEX(_LEITURA!$Q$2:$Q$21,7)=0),"",SUMIFS(DECKS!$D$2:$D$1201,DECKS!$A$2:$A$1201,INDEX(_LEITURA!$P$2:$P$21,7),DECKS!$B$2:$B$1201,$A77))</f>
        <v/>
      </c>
      <c r="R77" s="19" t="str">
        <f aca="false">IF(OR($A77="",INDEX(_LEITURA!$Q$2:$Q$21,8)=0),"",SUMIFS(DECKS!$D$2:$D$1201,DECKS!$A$2:$A$1201,INDEX(_LEITURA!$P$2:$P$21,8),DECKS!$B$2:$B$1201,$A77))</f>
        <v/>
      </c>
      <c r="S77" s="19" t="str">
        <f aca="false">IF(OR($A77="",INDEX(_LEITURA!$Q$2:$Q$21,9)=0),"",SUMIFS(DECKS!$D$2:$D$1201,DECKS!$A$2:$A$1201,INDEX(_LEITURA!$P$2:$P$21,9),DECKS!$B$2:$B$1201,$A77))</f>
        <v/>
      </c>
      <c r="T77" s="19" t="str">
        <f aca="false">IF(OR($A77="",INDEX(_LEITURA!$Q$2:$Q$21,10)=0),"",SUMIFS(DECKS!$D$2:$D$1201,DECKS!$A$2:$A$1201,INDEX(_LEITURA!$P$2:$P$21,10),DECKS!$B$2:$B$1201,$A77))</f>
        <v/>
      </c>
      <c r="U77" s="19" t="str">
        <f aca="false">IF(OR($A77="",INDEX(_LEITURA!$Q$2:$Q$21,11)=0),"",SUMIFS(DECKS!$D$2:$D$1201,DECKS!$A$2:$A$1201,INDEX(_LEITURA!$P$2:$P$21,11),DECKS!$B$2:$B$1201,$A77))</f>
        <v/>
      </c>
      <c r="V77" s="19" t="str">
        <f aca="false">IF(OR($A77="",INDEX(_LEITURA!$Q$2:$Q$21,12)=0),"",SUMIFS(DECKS!$D$2:$D$1201,DECKS!$A$2:$A$1201,INDEX(_LEITURA!$P$2:$P$21,12),DECKS!$B$2:$B$1201,$A77))</f>
        <v/>
      </c>
      <c r="W77" s="19" t="str">
        <f aca="false">IF(OR($A77="",INDEX(_LEITURA!$Q$2:$Q$21,13)=0),"",SUMIFS(DECKS!$D$2:$D$1201,DECKS!$A$2:$A$1201,INDEX(_LEITURA!$P$2:$P$21,13),DECKS!$B$2:$B$1201,$A77))</f>
        <v/>
      </c>
      <c r="X77" s="19" t="str">
        <f aca="false">IF(OR($A77="",INDEX(_LEITURA!$Q$2:$Q$21,14)=0),"",SUMIFS(DECKS!$D$2:$D$1201,DECKS!$A$2:$A$1201,INDEX(_LEITURA!$P$2:$P$21,14),DECKS!$B$2:$B$1201,$A77))</f>
        <v/>
      </c>
      <c r="Y77" s="19" t="str">
        <f aca="false">IF(OR($A77="",INDEX(_LEITURA!$Q$2:$Q$21,15)=0),"",SUMIFS(DECKS!$D$2:$D$1201,DECKS!$A$2:$A$1201,INDEX(_LEITURA!$P$2:$P$21,15),DECKS!$B$2:$B$1201,$A77))</f>
        <v/>
      </c>
      <c r="Z77" s="19" t="str">
        <f aca="false">IF(OR($A77="",INDEX(_LEITURA!$Q$2:$Q$21,16)=0),"",SUMIFS(DECKS!$D$2:$D$1201,DECKS!$A$2:$A$1201,INDEX(_LEITURA!$P$2:$P$21,16),DECKS!$B$2:$B$1201,$A77))</f>
        <v/>
      </c>
      <c r="AA77" s="19" t="str">
        <f aca="false">IF(OR($A77="",INDEX(_LEITURA!$Q$2:$Q$21,17)=0),"",SUMIFS(DECKS!$D$2:$D$1201,DECKS!$A$2:$A$1201,INDEX(_LEITURA!$P$2:$P$21,17),DECKS!$B$2:$B$1201,$A77))</f>
        <v/>
      </c>
      <c r="AB77" s="19" t="str">
        <f aca="false">IF(OR($A77="",INDEX(_LEITURA!$Q$2:$Q$21,18)=0),"",SUMIFS(DECKS!$D$2:$D$1201,DECKS!$A$2:$A$1201,INDEX(_LEITURA!$P$2:$P$21,18),DECKS!$B$2:$B$1201,$A77))</f>
        <v/>
      </c>
      <c r="AC77" s="19" t="str">
        <f aca="false">IF(OR($A77="",INDEX(_LEITURA!$Q$2:$Q$21,19)=0),"",SUMIFS(DECKS!$D$2:$D$1201,DECKS!$A$2:$A$1201,INDEX(_LEITURA!$P$2:$P$21,19),DECKS!$B$2:$B$1201,$A77))</f>
        <v/>
      </c>
      <c r="AD77" s="19" t="str">
        <f aca="false">IF(OR($A77="",INDEX(_LEITURA!$Q$2:$Q$21,20)=0),"",SUMIFS(DECKS!$D$2:$D$1201,DECKS!$A$2:$A$1201,INDEX(_LEITURA!$P$2:$P$21,20),DECKS!$B$2:$B$1201,$A77))</f>
        <v/>
      </c>
      <c r="AE77" s="16" t="str">
        <f aca="false">IF(N(E77)&gt;0,MAX(AE$1:AE76)+1,"")</f>
        <v/>
      </c>
      <c r="AF77" s="11" t="str">
        <f aca="false">IF(A77="","",IFERROR(LEFT(A77,FIND("-",A77)-1),A77))</f>
        <v/>
      </c>
      <c r="AG77" s="11" t="str">
        <f aca="false">IF(AF77="","",IF(ISNUMBER(--MID(AF77,1,1)),0,IF(ISNUMBER(--MID(AF77,2,1)),1,IF(ISNUMBER(--MID(AF77,3,1)),2,IF(ISNUMBER(--MID(AF77,4,1)),3,MIN(LEN(AF77),4))))))</f>
        <v/>
      </c>
      <c r="AH77" s="11" t="str">
        <f aca="false">IF(A77="","",LEFT(AF77,AG77)&amp;REPT("0",4-AG77)&amp;RIGHT("000"&amp;IFERROR(VALUE(MID(AF77,AG77+1,9)),0),3)&amp;RIGHT("0000"&amp;IFERROR(VALUE(MID(A77,FIND("-",A77)+1,9)),0),4))</f>
        <v/>
      </c>
      <c r="AI77" s="11" t="str">
        <f aca="false">IF(OR(A77="",N(E77)&lt;=0),"",IF('FALTAS GERAL'!$M$1="Código","K"&amp;AH77&amp;RIGHT("00000"&amp;ROW(),5),IF('FALTAS GERAL'!$M$1="Nome","K"&amp;UPPER(SUBSTITUTE(SUBSTITUTE(SUBSTITUTE(B77,"*",""),"?",""),"~",""))&amp;"0"&amp;AH77&amp;RIGHT("00000"&amp;ROW(),5),IF('FALTAS GERAL'!$M$1="Falta (maior primeiro)","K"&amp;RIGHT("0000"&amp;(9999-E77),4)&amp;AH77&amp;RIGHT("00000"&amp;ROW(),5),IF('FALTAS GERAL'!$M$1="Nº de decks (maior primeiro)","K"&amp;RIGHT("00"&amp;(99-N(G77)),2)&amp;AH77&amp;RIGHT("00000"&amp;ROW(),5),"K"&amp;RIGHT("00000"&amp;ROW(),5))))))</f>
        <v/>
      </c>
      <c r="AJ77" s="11" t="str">
        <f aca="false">IF(AI77="","",COUNTIFS($AI$2:$AI$801,"&lt;"&amp;AI77,$E$2:$E$801,"&gt;0")+1)</f>
        <v/>
      </c>
      <c r="AK77" s="11" t="str">
        <f aca="false">IF(OR(A77="",N(E77)&lt;=0),"",COUNTIFS($AH$2:$AH$801,"&lt;"&amp;AH77,$E$2:$E$801,"&gt;0")+COUNTIFS($AH$2:AH77,AH77,$E$2:E77,"&gt;0"))</f>
        <v/>
      </c>
    </row>
    <row r="78" customFormat="false" ht="15" hidden="false" customHeight="false" outlineLevel="0" collapsed="false">
      <c r="A78" s="11" t="str">
        <f aca="false">IF(INVENTÁRIO!A78="","",INVENTÁRIO!A78)</f>
        <v/>
      </c>
      <c r="B78" s="11" t="str">
        <f aca="false">IF(A78="","",INVENTÁRIO!B78)</f>
        <v/>
      </c>
      <c r="C78" s="16" t="str">
        <f aca="false">IF(A78="","",INVENTÁRIO!C78)</f>
        <v/>
      </c>
      <c r="D78" s="14" t="str">
        <f aca="false">IF(A78="","",MAX(K78:AD78))</f>
        <v/>
      </c>
      <c r="E78" s="14" t="str">
        <f aca="false">IF(A78="","",MAX(0,D78-C78))</f>
        <v/>
      </c>
      <c r="F78" s="16" t="str">
        <f aca="false">IF(A78="","",IF(D78=0,"Fora dos decks",IF(E78=0,"Completo","Falta")))</f>
        <v/>
      </c>
      <c r="G78" s="16" t="str">
        <f aca="false">IF(A78="","",COUNTIF(K78:AD78,"&gt;0"))</f>
        <v/>
      </c>
      <c r="H78" s="16" t="str">
        <f aca="false">IF(A78="","",IF(G78&gt;1,"Sim",""))</f>
        <v/>
      </c>
      <c r="I78" s="18" t="str">
        <f aca="false">IF(A78="","",SUMIFS(DECKS!$D$2:$D$1201,DECKS!$B$2:$B$1201,A78))</f>
        <v/>
      </c>
      <c r="J78" s="18" t="str">
        <f aca="false">IF(A78="","",MAX(0,I78-C78))</f>
        <v/>
      </c>
      <c r="K78" s="19" t="str">
        <f aca="false">IF(OR($A78="",INDEX(_LEITURA!$Q$2:$Q$21,1)=0),"",SUMIFS(DECKS!$D$2:$D$1201,DECKS!$A$2:$A$1201,INDEX(_LEITURA!$P$2:$P$21,1),DECKS!$B$2:$B$1201,$A78))</f>
        <v/>
      </c>
      <c r="L78" s="19" t="str">
        <f aca="false">IF(OR($A78="",INDEX(_LEITURA!$Q$2:$Q$21,2)=0),"",SUMIFS(DECKS!$D$2:$D$1201,DECKS!$A$2:$A$1201,INDEX(_LEITURA!$P$2:$P$21,2),DECKS!$B$2:$B$1201,$A78))</f>
        <v/>
      </c>
      <c r="M78" s="19" t="str">
        <f aca="false">IF(OR($A78="",INDEX(_LEITURA!$Q$2:$Q$21,3)=0),"",SUMIFS(DECKS!$D$2:$D$1201,DECKS!$A$2:$A$1201,INDEX(_LEITURA!$P$2:$P$21,3),DECKS!$B$2:$B$1201,$A78))</f>
        <v/>
      </c>
      <c r="N78" s="19" t="str">
        <f aca="false">IF(OR($A78="",INDEX(_LEITURA!$Q$2:$Q$21,4)=0),"",SUMIFS(DECKS!$D$2:$D$1201,DECKS!$A$2:$A$1201,INDEX(_LEITURA!$P$2:$P$21,4),DECKS!$B$2:$B$1201,$A78))</f>
        <v/>
      </c>
      <c r="O78" s="19" t="str">
        <f aca="false">IF(OR($A78="",INDEX(_LEITURA!$Q$2:$Q$21,5)=0),"",SUMIFS(DECKS!$D$2:$D$1201,DECKS!$A$2:$A$1201,INDEX(_LEITURA!$P$2:$P$21,5),DECKS!$B$2:$B$1201,$A78))</f>
        <v/>
      </c>
      <c r="P78" s="19" t="str">
        <f aca="false">IF(OR($A78="",INDEX(_LEITURA!$Q$2:$Q$21,6)=0),"",SUMIFS(DECKS!$D$2:$D$1201,DECKS!$A$2:$A$1201,INDEX(_LEITURA!$P$2:$P$21,6),DECKS!$B$2:$B$1201,$A78))</f>
        <v/>
      </c>
      <c r="Q78" s="19" t="str">
        <f aca="false">IF(OR($A78="",INDEX(_LEITURA!$Q$2:$Q$21,7)=0),"",SUMIFS(DECKS!$D$2:$D$1201,DECKS!$A$2:$A$1201,INDEX(_LEITURA!$P$2:$P$21,7),DECKS!$B$2:$B$1201,$A78))</f>
        <v/>
      </c>
      <c r="R78" s="19" t="str">
        <f aca="false">IF(OR($A78="",INDEX(_LEITURA!$Q$2:$Q$21,8)=0),"",SUMIFS(DECKS!$D$2:$D$1201,DECKS!$A$2:$A$1201,INDEX(_LEITURA!$P$2:$P$21,8),DECKS!$B$2:$B$1201,$A78))</f>
        <v/>
      </c>
      <c r="S78" s="19" t="str">
        <f aca="false">IF(OR($A78="",INDEX(_LEITURA!$Q$2:$Q$21,9)=0),"",SUMIFS(DECKS!$D$2:$D$1201,DECKS!$A$2:$A$1201,INDEX(_LEITURA!$P$2:$P$21,9),DECKS!$B$2:$B$1201,$A78))</f>
        <v/>
      </c>
      <c r="T78" s="19" t="str">
        <f aca="false">IF(OR($A78="",INDEX(_LEITURA!$Q$2:$Q$21,10)=0),"",SUMIFS(DECKS!$D$2:$D$1201,DECKS!$A$2:$A$1201,INDEX(_LEITURA!$P$2:$P$21,10),DECKS!$B$2:$B$1201,$A78))</f>
        <v/>
      </c>
      <c r="U78" s="19" t="str">
        <f aca="false">IF(OR($A78="",INDEX(_LEITURA!$Q$2:$Q$21,11)=0),"",SUMIFS(DECKS!$D$2:$D$1201,DECKS!$A$2:$A$1201,INDEX(_LEITURA!$P$2:$P$21,11),DECKS!$B$2:$B$1201,$A78))</f>
        <v/>
      </c>
      <c r="V78" s="19" t="str">
        <f aca="false">IF(OR($A78="",INDEX(_LEITURA!$Q$2:$Q$21,12)=0),"",SUMIFS(DECKS!$D$2:$D$1201,DECKS!$A$2:$A$1201,INDEX(_LEITURA!$P$2:$P$21,12),DECKS!$B$2:$B$1201,$A78))</f>
        <v/>
      </c>
      <c r="W78" s="19" t="str">
        <f aca="false">IF(OR($A78="",INDEX(_LEITURA!$Q$2:$Q$21,13)=0),"",SUMIFS(DECKS!$D$2:$D$1201,DECKS!$A$2:$A$1201,INDEX(_LEITURA!$P$2:$P$21,13),DECKS!$B$2:$B$1201,$A78))</f>
        <v/>
      </c>
      <c r="X78" s="19" t="str">
        <f aca="false">IF(OR($A78="",INDEX(_LEITURA!$Q$2:$Q$21,14)=0),"",SUMIFS(DECKS!$D$2:$D$1201,DECKS!$A$2:$A$1201,INDEX(_LEITURA!$P$2:$P$21,14),DECKS!$B$2:$B$1201,$A78))</f>
        <v/>
      </c>
      <c r="Y78" s="19" t="str">
        <f aca="false">IF(OR($A78="",INDEX(_LEITURA!$Q$2:$Q$21,15)=0),"",SUMIFS(DECKS!$D$2:$D$1201,DECKS!$A$2:$A$1201,INDEX(_LEITURA!$P$2:$P$21,15),DECKS!$B$2:$B$1201,$A78))</f>
        <v/>
      </c>
      <c r="Z78" s="19" t="str">
        <f aca="false">IF(OR($A78="",INDEX(_LEITURA!$Q$2:$Q$21,16)=0),"",SUMIFS(DECKS!$D$2:$D$1201,DECKS!$A$2:$A$1201,INDEX(_LEITURA!$P$2:$P$21,16),DECKS!$B$2:$B$1201,$A78))</f>
        <v/>
      </c>
      <c r="AA78" s="19" t="str">
        <f aca="false">IF(OR($A78="",INDEX(_LEITURA!$Q$2:$Q$21,17)=0),"",SUMIFS(DECKS!$D$2:$D$1201,DECKS!$A$2:$A$1201,INDEX(_LEITURA!$P$2:$P$21,17),DECKS!$B$2:$B$1201,$A78))</f>
        <v/>
      </c>
      <c r="AB78" s="19" t="str">
        <f aca="false">IF(OR($A78="",INDEX(_LEITURA!$Q$2:$Q$21,18)=0),"",SUMIFS(DECKS!$D$2:$D$1201,DECKS!$A$2:$A$1201,INDEX(_LEITURA!$P$2:$P$21,18),DECKS!$B$2:$B$1201,$A78))</f>
        <v/>
      </c>
      <c r="AC78" s="19" t="str">
        <f aca="false">IF(OR($A78="",INDEX(_LEITURA!$Q$2:$Q$21,19)=0),"",SUMIFS(DECKS!$D$2:$D$1201,DECKS!$A$2:$A$1201,INDEX(_LEITURA!$P$2:$P$21,19),DECKS!$B$2:$B$1201,$A78))</f>
        <v/>
      </c>
      <c r="AD78" s="19" t="str">
        <f aca="false">IF(OR($A78="",INDEX(_LEITURA!$Q$2:$Q$21,20)=0),"",SUMIFS(DECKS!$D$2:$D$1201,DECKS!$A$2:$A$1201,INDEX(_LEITURA!$P$2:$P$21,20),DECKS!$B$2:$B$1201,$A78))</f>
        <v/>
      </c>
      <c r="AE78" s="16" t="str">
        <f aca="false">IF(N(E78)&gt;0,MAX(AE$1:AE77)+1,"")</f>
        <v/>
      </c>
      <c r="AF78" s="11" t="str">
        <f aca="false">IF(A78="","",IFERROR(LEFT(A78,FIND("-",A78)-1),A78))</f>
        <v/>
      </c>
      <c r="AG78" s="11" t="str">
        <f aca="false">IF(AF78="","",IF(ISNUMBER(--MID(AF78,1,1)),0,IF(ISNUMBER(--MID(AF78,2,1)),1,IF(ISNUMBER(--MID(AF78,3,1)),2,IF(ISNUMBER(--MID(AF78,4,1)),3,MIN(LEN(AF78),4))))))</f>
        <v/>
      </c>
      <c r="AH78" s="11" t="str">
        <f aca="false">IF(A78="","",LEFT(AF78,AG78)&amp;REPT("0",4-AG78)&amp;RIGHT("000"&amp;IFERROR(VALUE(MID(AF78,AG78+1,9)),0),3)&amp;RIGHT("0000"&amp;IFERROR(VALUE(MID(A78,FIND("-",A78)+1,9)),0),4))</f>
        <v/>
      </c>
      <c r="AI78" s="11" t="str">
        <f aca="false">IF(OR(A78="",N(E78)&lt;=0),"",IF('FALTAS GERAL'!$M$1="Código","K"&amp;AH78&amp;RIGHT("00000"&amp;ROW(),5),IF('FALTAS GERAL'!$M$1="Nome","K"&amp;UPPER(SUBSTITUTE(SUBSTITUTE(SUBSTITUTE(B78,"*",""),"?",""),"~",""))&amp;"0"&amp;AH78&amp;RIGHT("00000"&amp;ROW(),5),IF('FALTAS GERAL'!$M$1="Falta (maior primeiro)","K"&amp;RIGHT("0000"&amp;(9999-E78),4)&amp;AH78&amp;RIGHT("00000"&amp;ROW(),5),IF('FALTAS GERAL'!$M$1="Nº de decks (maior primeiro)","K"&amp;RIGHT("00"&amp;(99-N(G78)),2)&amp;AH78&amp;RIGHT("00000"&amp;ROW(),5),"K"&amp;RIGHT("00000"&amp;ROW(),5))))))</f>
        <v/>
      </c>
      <c r="AJ78" s="11" t="str">
        <f aca="false">IF(AI78="","",COUNTIFS($AI$2:$AI$801,"&lt;"&amp;AI78,$E$2:$E$801,"&gt;0")+1)</f>
        <v/>
      </c>
      <c r="AK78" s="11" t="str">
        <f aca="false">IF(OR(A78="",N(E78)&lt;=0),"",COUNTIFS($AH$2:$AH$801,"&lt;"&amp;AH78,$E$2:$E$801,"&gt;0")+COUNTIFS($AH$2:AH78,AH78,$E$2:E78,"&gt;0"))</f>
        <v/>
      </c>
    </row>
    <row r="79" customFormat="false" ht="15" hidden="false" customHeight="false" outlineLevel="0" collapsed="false">
      <c r="A79" s="11" t="str">
        <f aca="false">IF(INVENTÁRIO!A79="","",INVENTÁRIO!A79)</f>
        <v/>
      </c>
      <c r="B79" s="11" t="str">
        <f aca="false">IF(A79="","",INVENTÁRIO!B79)</f>
        <v/>
      </c>
      <c r="C79" s="16" t="str">
        <f aca="false">IF(A79="","",INVENTÁRIO!C79)</f>
        <v/>
      </c>
      <c r="D79" s="14" t="str">
        <f aca="false">IF(A79="","",MAX(K79:AD79))</f>
        <v/>
      </c>
      <c r="E79" s="14" t="str">
        <f aca="false">IF(A79="","",MAX(0,D79-C79))</f>
        <v/>
      </c>
      <c r="F79" s="16" t="str">
        <f aca="false">IF(A79="","",IF(D79=0,"Fora dos decks",IF(E79=0,"Completo","Falta")))</f>
        <v/>
      </c>
      <c r="G79" s="16" t="str">
        <f aca="false">IF(A79="","",COUNTIF(K79:AD79,"&gt;0"))</f>
        <v/>
      </c>
      <c r="H79" s="16" t="str">
        <f aca="false">IF(A79="","",IF(G79&gt;1,"Sim",""))</f>
        <v/>
      </c>
      <c r="I79" s="18" t="str">
        <f aca="false">IF(A79="","",SUMIFS(DECKS!$D$2:$D$1201,DECKS!$B$2:$B$1201,A79))</f>
        <v/>
      </c>
      <c r="J79" s="18" t="str">
        <f aca="false">IF(A79="","",MAX(0,I79-C79))</f>
        <v/>
      </c>
      <c r="K79" s="19" t="str">
        <f aca="false">IF(OR($A79="",INDEX(_LEITURA!$Q$2:$Q$21,1)=0),"",SUMIFS(DECKS!$D$2:$D$1201,DECKS!$A$2:$A$1201,INDEX(_LEITURA!$P$2:$P$21,1),DECKS!$B$2:$B$1201,$A79))</f>
        <v/>
      </c>
      <c r="L79" s="19" t="str">
        <f aca="false">IF(OR($A79="",INDEX(_LEITURA!$Q$2:$Q$21,2)=0),"",SUMIFS(DECKS!$D$2:$D$1201,DECKS!$A$2:$A$1201,INDEX(_LEITURA!$P$2:$P$21,2),DECKS!$B$2:$B$1201,$A79))</f>
        <v/>
      </c>
      <c r="M79" s="19" t="str">
        <f aca="false">IF(OR($A79="",INDEX(_LEITURA!$Q$2:$Q$21,3)=0),"",SUMIFS(DECKS!$D$2:$D$1201,DECKS!$A$2:$A$1201,INDEX(_LEITURA!$P$2:$P$21,3),DECKS!$B$2:$B$1201,$A79))</f>
        <v/>
      </c>
      <c r="N79" s="19" t="str">
        <f aca="false">IF(OR($A79="",INDEX(_LEITURA!$Q$2:$Q$21,4)=0),"",SUMIFS(DECKS!$D$2:$D$1201,DECKS!$A$2:$A$1201,INDEX(_LEITURA!$P$2:$P$21,4),DECKS!$B$2:$B$1201,$A79))</f>
        <v/>
      </c>
      <c r="O79" s="19" t="str">
        <f aca="false">IF(OR($A79="",INDEX(_LEITURA!$Q$2:$Q$21,5)=0),"",SUMIFS(DECKS!$D$2:$D$1201,DECKS!$A$2:$A$1201,INDEX(_LEITURA!$P$2:$P$21,5),DECKS!$B$2:$B$1201,$A79))</f>
        <v/>
      </c>
      <c r="P79" s="19" t="str">
        <f aca="false">IF(OR($A79="",INDEX(_LEITURA!$Q$2:$Q$21,6)=0),"",SUMIFS(DECKS!$D$2:$D$1201,DECKS!$A$2:$A$1201,INDEX(_LEITURA!$P$2:$P$21,6),DECKS!$B$2:$B$1201,$A79))</f>
        <v/>
      </c>
      <c r="Q79" s="19" t="str">
        <f aca="false">IF(OR($A79="",INDEX(_LEITURA!$Q$2:$Q$21,7)=0),"",SUMIFS(DECKS!$D$2:$D$1201,DECKS!$A$2:$A$1201,INDEX(_LEITURA!$P$2:$P$21,7),DECKS!$B$2:$B$1201,$A79))</f>
        <v/>
      </c>
      <c r="R79" s="19" t="str">
        <f aca="false">IF(OR($A79="",INDEX(_LEITURA!$Q$2:$Q$21,8)=0),"",SUMIFS(DECKS!$D$2:$D$1201,DECKS!$A$2:$A$1201,INDEX(_LEITURA!$P$2:$P$21,8),DECKS!$B$2:$B$1201,$A79))</f>
        <v/>
      </c>
      <c r="S79" s="19" t="str">
        <f aca="false">IF(OR($A79="",INDEX(_LEITURA!$Q$2:$Q$21,9)=0),"",SUMIFS(DECKS!$D$2:$D$1201,DECKS!$A$2:$A$1201,INDEX(_LEITURA!$P$2:$P$21,9),DECKS!$B$2:$B$1201,$A79))</f>
        <v/>
      </c>
      <c r="T79" s="19" t="str">
        <f aca="false">IF(OR($A79="",INDEX(_LEITURA!$Q$2:$Q$21,10)=0),"",SUMIFS(DECKS!$D$2:$D$1201,DECKS!$A$2:$A$1201,INDEX(_LEITURA!$P$2:$P$21,10),DECKS!$B$2:$B$1201,$A79))</f>
        <v/>
      </c>
      <c r="U79" s="19" t="str">
        <f aca="false">IF(OR($A79="",INDEX(_LEITURA!$Q$2:$Q$21,11)=0),"",SUMIFS(DECKS!$D$2:$D$1201,DECKS!$A$2:$A$1201,INDEX(_LEITURA!$P$2:$P$21,11),DECKS!$B$2:$B$1201,$A79))</f>
        <v/>
      </c>
      <c r="V79" s="19" t="str">
        <f aca="false">IF(OR($A79="",INDEX(_LEITURA!$Q$2:$Q$21,12)=0),"",SUMIFS(DECKS!$D$2:$D$1201,DECKS!$A$2:$A$1201,INDEX(_LEITURA!$P$2:$P$21,12),DECKS!$B$2:$B$1201,$A79))</f>
        <v/>
      </c>
      <c r="W79" s="19" t="str">
        <f aca="false">IF(OR($A79="",INDEX(_LEITURA!$Q$2:$Q$21,13)=0),"",SUMIFS(DECKS!$D$2:$D$1201,DECKS!$A$2:$A$1201,INDEX(_LEITURA!$P$2:$P$21,13),DECKS!$B$2:$B$1201,$A79))</f>
        <v/>
      </c>
      <c r="X79" s="19" t="str">
        <f aca="false">IF(OR($A79="",INDEX(_LEITURA!$Q$2:$Q$21,14)=0),"",SUMIFS(DECKS!$D$2:$D$1201,DECKS!$A$2:$A$1201,INDEX(_LEITURA!$P$2:$P$21,14),DECKS!$B$2:$B$1201,$A79))</f>
        <v/>
      </c>
      <c r="Y79" s="19" t="str">
        <f aca="false">IF(OR($A79="",INDEX(_LEITURA!$Q$2:$Q$21,15)=0),"",SUMIFS(DECKS!$D$2:$D$1201,DECKS!$A$2:$A$1201,INDEX(_LEITURA!$P$2:$P$21,15),DECKS!$B$2:$B$1201,$A79))</f>
        <v/>
      </c>
      <c r="Z79" s="19" t="str">
        <f aca="false">IF(OR($A79="",INDEX(_LEITURA!$Q$2:$Q$21,16)=0),"",SUMIFS(DECKS!$D$2:$D$1201,DECKS!$A$2:$A$1201,INDEX(_LEITURA!$P$2:$P$21,16),DECKS!$B$2:$B$1201,$A79))</f>
        <v/>
      </c>
      <c r="AA79" s="19" t="str">
        <f aca="false">IF(OR($A79="",INDEX(_LEITURA!$Q$2:$Q$21,17)=0),"",SUMIFS(DECKS!$D$2:$D$1201,DECKS!$A$2:$A$1201,INDEX(_LEITURA!$P$2:$P$21,17),DECKS!$B$2:$B$1201,$A79))</f>
        <v/>
      </c>
      <c r="AB79" s="19" t="str">
        <f aca="false">IF(OR($A79="",INDEX(_LEITURA!$Q$2:$Q$21,18)=0),"",SUMIFS(DECKS!$D$2:$D$1201,DECKS!$A$2:$A$1201,INDEX(_LEITURA!$P$2:$P$21,18),DECKS!$B$2:$B$1201,$A79))</f>
        <v/>
      </c>
      <c r="AC79" s="19" t="str">
        <f aca="false">IF(OR($A79="",INDEX(_LEITURA!$Q$2:$Q$21,19)=0),"",SUMIFS(DECKS!$D$2:$D$1201,DECKS!$A$2:$A$1201,INDEX(_LEITURA!$P$2:$P$21,19),DECKS!$B$2:$B$1201,$A79))</f>
        <v/>
      </c>
      <c r="AD79" s="19" t="str">
        <f aca="false">IF(OR($A79="",INDEX(_LEITURA!$Q$2:$Q$21,20)=0),"",SUMIFS(DECKS!$D$2:$D$1201,DECKS!$A$2:$A$1201,INDEX(_LEITURA!$P$2:$P$21,20),DECKS!$B$2:$B$1201,$A79))</f>
        <v/>
      </c>
      <c r="AE79" s="16" t="str">
        <f aca="false">IF(N(E79)&gt;0,MAX(AE$1:AE78)+1,"")</f>
        <v/>
      </c>
      <c r="AF79" s="11" t="str">
        <f aca="false">IF(A79="","",IFERROR(LEFT(A79,FIND("-",A79)-1),A79))</f>
        <v/>
      </c>
      <c r="AG79" s="11" t="str">
        <f aca="false">IF(AF79="","",IF(ISNUMBER(--MID(AF79,1,1)),0,IF(ISNUMBER(--MID(AF79,2,1)),1,IF(ISNUMBER(--MID(AF79,3,1)),2,IF(ISNUMBER(--MID(AF79,4,1)),3,MIN(LEN(AF79),4))))))</f>
        <v/>
      </c>
      <c r="AH79" s="11" t="str">
        <f aca="false">IF(A79="","",LEFT(AF79,AG79)&amp;REPT("0",4-AG79)&amp;RIGHT("000"&amp;IFERROR(VALUE(MID(AF79,AG79+1,9)),0),3)&amp;RIGHT("0000"&amp;IFERROR(VALUE(MID(A79,FIND("-",A79)+1,9)),0),4))</f>
        <v/>
      </c>
      <c r="AI79" s="11" t="str">
        <f aca="false">IF(OR(A79="",N(E79)&lt;=0),"",IF('FALTAS GERAL'!$M$1="Código","K"&amp;AH79&amp;RIGHT("00000"&amp;ROW(),5),IF('FALTAS GERAL'!$M$1="Nome","K"&amp;UPPER(SUBSTITUTE(SUBSTITUTE(SUBSTITUTE(B79,"*",""),"?",""),"~",""))&amp;"0"&amp;AH79&amp;RIGHT("00000"&amp;ROW(),5),IF('FALTAS GERAL'!$M$1="Falta (maior primeiro)","K"&amp;RIGHT("0000"&amp;(9999-E79),4)&amp;AH79&amp;RIGHT("00000"&amp;ROW(),5),IF('FALTAS GERAL'!$M$1="Nº de decks (maior primeiro)","K"&amp;RIGHT("00"&amp;(99-N(G79)),2)&amp;AH79&amp;RIGHT("00000"&amp;ROW(),5),"K"&amp;RIGHT("00000"&amp;ROW(),5))))))</f>
        <v/>
      </c>
      <c r="AJ79" s="11" t="str">
        <f aca="false">IF(AI79="","",COUNTIFS($AI$2:$AI$801,"&lt;"&amp;AI79,$E$2:$E$801,"&gt;0")+1)</f>
        <v/>
      </c>
      <c r="AK79" s="11" t="str">
        <f aca="false">IF(OR(A79="",N(E79)&lt;=0),"",COUNTIFS($AH$2:$AH$801,"&lt;"&amp;AH79,$E$2:$E$801,"&gt;0")+COUNTIFS($AH$2:AH79,AH79,$E$2:E79,"&gt;0"))</f>
        <v/>
      </c>
    </row>
    <row r="80" customFormat="false" ht="15" hidden="false" customHeight="false" outlineLevel="0" collapsed="false">
      <c r="A80" s="11" t="str">
        <f aca="false">IF(INVENTÁRIO!A80="","",INVENTÁRIO!A80)</f>
        <v/>
      </c>
      <c r="B80" s="11" t="str">
        <f aca="false">IF(A80="","",INVENTÁRIO!B80)</f>
        <v/>
      </c>
      <c r="C80" s="16" t="str">
        <f aca="false">IF(A80="","",INVENTÁRIO!C80)</f>
        <v/>
      </c>
      <c r="D80" s="14" t="str">
        <f aca="false">IF(A80="","",MAX(K80:AD80))</f>
        <v/>
      </c>
      <c r="E80" s="14" t="str">
        <f aca="false">IF(A80="","",MAX(0,D80-C80))</f>
        <v/>
      </c>
      <c r="F80" s="16" t="str">
        <f aca="false">IF(A80="","",IF(D80=0,"Fora dos decks",IF(E80=0,"Completo","Falta")))</f>
        <v/>
      </c>
      <c r="G80" s="16" t="str">
        <f aca="false">IF(A80="","",COUNTIF(K80:AD80,"&gt;0"))</f>
        <v/>
      </c>
      <c r="H80" s="16" t="str">
        <f aca="false">IF(A80="","",IF(G80&gt;1,"Sim",""))</f>
        <v/>
      </c>
      <c r="I80" s="18" t="str">
        <f aca="false">IF(A80="","",SUMIFS(DECKS!$D$2:$D$1201,DECKS!$B$2:$B$1201,A80))</f>
        <v/>
      </c>
      <c r="J80" s="18" t="str">
        <f aca="false">IF(A80="","",MAX(0,I80-C80))</f>
        <v/>
      </c>
      <c r="K80" s="19" t="str">
        <f aca="false">IF(OR($A80="",INDEX(_LEITURA!$Q$2:$Q$21,1)=0),"",SUMIFS(DECKS!$D$2:$D$1201,DECKS!$A$2:$A$1201,INDEX(_LEITURA!$P$2:$P$21,1),DECKS!$B$2:$B$1201,$A80))</f>
        <v/>
      </c>
      <c r="L80" s="19" t="str">
        <f aca="false">IF(OR($A80="",INDEX(_LEITURA!$Q$2:$Q$21,2)=0),"",SUMIFS(DECKS!$D$2:$D$1201,DECKS!$A$2:$A$1201,INDEX(_LEITURA!$P$2:$P$21,2),DECKS!$B$2:$B$1201,$A80))</f>
        <v/>
      </c>
      <c r="M80" s="19" t="str">
        <f aca="false">IF(OR($A80="",INDEX(_LEITURA!$Q$2:$Q$21,3)=0),"",SUMIFS(DECKS!$D$2:$D$1201,DECKS!$A$2:$A$1201,INDEX(_LEITURA!$P$2:$P$21,3),DECKS!$B$2:$B$1201,$A80))</f>
        <v/>
      </c>
      <c r="N80" s="19" t="str">
        <f aca="false">IF(OR($A80="",INDEX(_LEITURA!$Q$2:$Q$21,4)=0),"",SUMIFS(DECKS!$D$2:$D$1201,DECKS!$A$2:$A$1201,INDEX(_LEITURA!$P$2:$P$21,4),DECKS!$B$2:$B$1201,$A80))</f>
        <v/>
      </c>
      <c r="O80" s="19" t="str">
        <f aca="false">IF(OR($A80="",INDEX(_LEITURA!$Q$2:$Q$21,5)=0),"",SUMIFS(DECKS!$D$2:$D$1201,DECKS!$A$2:$A$1201,INDEX(_LEITURA!$P$2:$P$21,5),DECKS!$B$2:$B$1201,$A80))</f>
        <v/>
      </c>
      <c r="P80" s="19" t="str">
        <f aca="false">IF(OR($A80="",INDEX(_LEITURA!$Q$2:$Q$21,6)=0),"",SUMIFS(DECKS!$D$2:$D$1201,DECKS!$A$2:$A$1201,INDEX(_LEITURA!$P$2:$P$21,6),DECKS!$B$2:$B$1201,$A80))</f>
        <v/>
      </c>
      <c r="Q80" s="19" t="str">
        <f aca="false">IF(OR($A80="",INDEX(_LEITURA!$Q$2:$Q$21,7)=0),"",SUMIFS(DECKS!$D$2:$D$1201,DECKS!$A$2:$A$1201,INDEX(_LEITURA!$P$2:$P$21,7),DECKS!$B$2:$B$1201,$A80))</f>
        <v/>
      </c>
      <c r="R80" s="19" t="str">
        <f aca="false">IF(OR($A80="",INDEX(_LEITURA!$Q$2:$Q$21,8)=0),"",SUMIFS(DECKS!$D$2:$D$1201,DECKS!$A$2:$A$1201,INDEX(_LEITURA!$P$2:$P$21,8),DECKS!$B$2:$B$1201,$A80))</f>
        <v/>
      </c>
      <c r="S80" s="19" t="str">
        <f aca="false">IF(OR($A80="",INDEX(_LEITURA!$Q$2:$Q$21,9)=0),"",SUMIFS(DECKS!$D$2:$D$1201,DECKS!$A$2:$A$1201,INDEX(_LEITURA!$P$2:$P$21,9),DECKS!$B$2:$B$1201,$A80))</f>
        <v/>
      </c>
      <c r="T80" s="19" t="str">
        <f aca="false">IF(OR($A80="",INDEX(_LEITURA!$Q$2:$Q$21,10)=0),"",SUMIFS(DECKS!$D$2:$D$1201,DECKS!$A$2:$A$1201,INDEX(_LEITURA!$P$2:$P$21,10),DECKS!$B$2:$B$1201,$A80))</f>
        <v/>
      </c>
      <c r="U80" s="19" t="str">
        <f aca="false">IF(OR($A80="",INDEX(_LEITURA!$Q$2:$Q$21,11)=0),"",SUMIFS(DECKS!$D$2:$D$1201,DECKS!$A$2:$A$1201,INDEX(_LEITURA!$P$2:$P$21,11),DECKS!$B$2:$B$1201,$A80))</f>
        <v/>
      </c>
      <c r="V80" s="19" t="str">
        <f aca="false">IF(OR($A80="",INDEX(_LEITURA!$Q$2:$Q$21,12)=0),"",SUMIFS(DECKS!$D$2:$D$1201,DECKS!$A$2:$A$1201,INDEX(_LEITURA!$P$2:$P$21,12),DECKS!$B$2:$B$1201,$A80))</f>
        <v/>
      </c>
      <c r="W80" s="19" t="str">
        <f aca="false">IF(OR($A80="",INDEX(_LEITURA!$Q$2:$Q$21,13)=0),"",SUMIFS(DECKS!$D$2:$D$1201,DECKS!$A$2:$A$1201,INDEX(_LEITURA!$P$2:$P$21,13),DECKS!$B$2:$B$1201,$A80))</f>
        <v/>
      </c>
      <c r="X80" s="19" t="str">
        <f aca="false">IF(OR($A80="",INDEX(_LEITURA!$Q$2:$Q$21,14)=0),"",SUMIFS(DECKS!$D$2:$D$1201,DECKS!$A$2:$A$1201,INDEX(_LEITURA!$P$2:$P$21,14),DECKS!$B$2:$B$1201,$A80))</f>
        <v/>
      </c>
      <c r="Y80" s="19" t="str">
        <f aca="false">IF(OR($A80="",INDEX(_LEITURA!$Q$2:$Q$21,15)=0),"",SUMIFS(DECKS!$D$2:$D$1201,DECKS!$A$2:$A$1201,INDEX(_LEITURA!$P$2:$P$21,15),DECKS!$B$2:$B$1201,$A80))</f>
        <v/>
      </c>
      <c r="Z80" s="19" t="str">
        <f aca="false">IF(OR($A80="",INDEX(_LEITURA!$Q$2:$Q$21,16)=0),"",SUMIFS(DECKS!$D$2:$D$1201,DECKS!$A$2:$A$1201,INDEX(_LEITURA!$P$2:$P$21,16),DECKS!$B$2:$B$1201,$A80))</f>
        <v/>
      </c>
      <c r="AA80" s="19" t="str">
        <f aca="false">IF(OR($A80="",INDEX(_LEITURA!$Q$2:$Q$21,17)=0),"",SUMIFS(DECKS!$D$2:$D$1201,DECKS!$A$2:$A$1201,INDEX(_LEITURA!$P$2:$P$21,17),DECKS!$B$2:$B$1201,$A80))</f>
        <v/>
      </c>
      <c r="AB80" s="19" t="str">
        <f aca="false">IF(OR($A80="",INDEX(_LEITURA!$Q$2:$Q$21,18)=0),"",SUMIFS(DECKS!$D$2:$D$1201,DECKS!$A$2:$A$1201,INDEX(_LEITURA!$P$2:$P$21,18),DECKS!$B$2:$B$1201,$A80))</f>
        <v/>
      </c>
      <c r="AC80" s="19" t="str">
        <f aca="false">IF(OR($A80="",INDEX(_LEITURA!$Q$2:$Q$21,19)=0),"",SUMIFS(DECKS!$D$2:$D$1201,DECKS!$A$2:$A$1201,INDEX(_LEITURA!$P$2:$P$21,19),DECKS!$B$2:$B$1201,$A80))</f>
        <v/>
      </c>
      <c r="AD80" s="19" t="str">
        <f aca="false">IF(OR($A80="",INDEX(_LEITURA!$Q$2:$Q$21,20)=0),"",SUMIFS(DECKS!$D$2:$D$1201,DECKS!$A$2:$A$1201,INDEX(_LEITURA!$P$2:$P$21,20),DECKS!$B$2:$B$1201,$A80))</f>
        <v/>
      </c>
      <c r="AE80" s="16" t="str">
        <f aca="false">IF(N(E80)&gt;0,MAX(AE$1:AE79)+1,"")</f>
        <v/>
      </c>
      <c r="AF80" s="11" t="str">
        <f aca="false">IF(A80="","",IFERROR(LEFT(A80,FIND("-",A80)-1),A80))</f>
        <v/>
      </c>
      <c r="AG80" s="11" t="str">
        <f aca="false">IF(AF80="","",IF(ISNUMBER(--MID(AF80,1,1)),0,IF(ISNUMBER(--MID(AF80,2,1)),1,IF(ISNUMBER(--MID(AF80,3,1)),2,IF(ISNUMBER(--MID(AF80,4,1)),3,MIN(LEN(AF80),4))))))</f>
        <v/>
      </c>
      <c r="AH80" s="11" t="str">
        <f aca="false">IF(A80="","",LEFT(AF80,AG80)&amp;REPT("0",4-AG80)&amp;RIGHT("000"&amp;IFERROR(VALUE(MID(AF80,AG80+1,9)),0),3)&amp;RIGHT("0000"&amp;IFERROR(VALUE(MID(A80,FIND("-",A80)+1,9)),0),4))</f>
        <v/>
      </c>
      <c r="AI80" s="11" t="str">
        <f aca="false">IF(OR(A80="",N(E80)&lt;=0),"",IF('FALTAS GERAL'!$M$1="Código","K"&amp;AH80&amp;RIGHT("00000"&amp;ROW(),5),IF('FALTAS GERAL'!$M$1="Nome","K"&amp;UPPER(SUBSTITUTE(SUBSTITUTE(SUBSTITUTE(B80,"*",""),"?",""),"~",""))&amp;"0"&amp;AH80&amp;RIGHT("00000"&amp;ROW(),5),IF('FALTAS GERAL'!$M$1="Falta (maior primeiro)","K"&amp;RIGHT("0000"&amp;(9999-E80),4)&amp;AH80&amp;RIGHT("00000"&amp;ROW(),5),IF('FALTAS GERAL'!$M$1="Nº de decks (maior primeiro)","K"&amp;RIGHT("00"&amp;(99-N(G80)),2)&amp;AH80&amp;RIGHT("00000"&amp;ROW(),5),"K"&amp;RIGHT("00000"&amp;ROW(),5))))))</f>
        <v/>
      </c>
      <c r="AJ80" s="11" t="str">
        <f aca="false">IF(AI80="","",COUNTIFS($AI$2:$AI$801,"&lt;"&amp;AI80,$E$2:$E$801,"&gt;0")+1)</f>
        <v/>
      </c>
      <c r="AK80" s="11" t="str">
        <f aca="false">IF(OR(A80="",N(E80)&lt;=0),"",COUNTIFS($AH$2:$AH$801,"&lt;"&amp;AH80,$E$2:$E$801,"&gt;0")+COUNTIFS($AH$2:AH80,AH80,$E$2:E80,"&gt;0"))</f>
        <v/>
      </c>
    </row>
    <row r="81" customFormat="false" ht="15" hidden="false" customHeight="false" outlineLevel="0" collapsed="false">
      <c r="A81" s="11" t="str">
        <f aca="false">IF(INVENTÁRIO!A81="","",INVENTÁRIO!A81)</f>
        <v/>
      </c>
      <c r="B81" s="11" t="str">
        <f aca="false">IF(A81="","",INVENTÁRIO!B81)</f>
        <v/>
      </c>
      <c r="C81" s="16" t="str">
        <f aca="false">IF(A81="","",INVENTÁRIO!C81)</f>
        <v/>
      </c>
      <c r="D81" s="14" t="str">
        <f aca="false">IF(A81="","",MAX(K81:AD81))</f>
        <v/>
      </c>
      <c r="E81" s="14" t="str">
        <f aca="false">IF(A81="","",MAX(0,D81-C81))</f>
        <v/>
      </c>
      <c r="F81" s="16" t="str">
        <f aca="false">IF(A81="","",IF(D81=0,"Fora dos decks",IF(E81=0,"Completo","Falta")))</f>
        <v/>
      </c>
      <c r="G81" s="16" t="str">
        <f aca="false">IF(A81="","",COUNTIF(K81:AD81,"&gt;0"))</f>
        <v/>
      </c>
      <c r="H81" s="16" t="str">
        <f aca="false">IF(A81="","",IF(G81&gt;1,"Sim",""))</f>
        <v/>
      </c>
      <c r="I81" s="18" t="str">
        <f aca="false">IF(A81="","",SUMIFS(DECKS!$D$2:$D$1201,DECKS!$B$2:$B$1201,A81))</f>
        <v/>
      </c>
      <c r="J81" s="18" t="str">
        <f aca="false">IF(A81="","",MAX(0,I81-C81))</f>
        <v/>
      </c>
      <c r="K81" s="19" t="str">
        <f aca="false">IF(OR($A81="",INDEX(_LEITURA!$Q$2:$Q$21,1)=0),"",SUMIFS(DECKS!$D$2:$D$1201,DECKS!$A$2:$A$1201,INDEX(_LEITURA!$P$2:$P$21,1),DECKS!$B$2:$B$1201,$A81))</f>
        <v/>
      </c>
      <c r="L81" s="19" t="str">
        <f aca="false">IF(OR($A81="",INDEX(_LEITURA!$Q$2:$Q$21,2)=0),"",SUMIFS(DECKS!$D$2:$D$1201,DECKS!$A$2:$A$1201,INDEX(_LEITURA!$P$2:$P$21,2),DECKS!$B$2:$B$1201,$A81))</f>
        <v/>
      </c>
      <c r="M81" s="19" t="str">
        <f aca="false">IF(OR($A81="",INDEX(_LEITURA!$Q$2:$Q$21,3)=0),"",SUMIFS(DECKS!$D$2:$D$1201,DECKS!$A$2:$A$1201,INDEX(_LEITURA!$P$2:$P$21,3),DECKS!$B$2:$B$1201,$A81))</f>
        <v/>
      </c>
      <c r="N81" s="19" t="str">
        <f aca="false">IF(OR($A81="",INDEX(_LEITURA!$Q$2:$Q$21,4)=0),"",SUMIFS(DECKS!$D$2:$D$1201,DECKS!$A$2:$A$1201,INDEX(_LEITURA!$P$2:$P$21,4),DECKS!$B$2:$B$1201,$A81))</f>
        <v/>
      </c>
      <c r="O81" s="19" t="str">
        <f aca="false">IF(OR($A81="",INDEX(_LEITURA!$Q$2:$Q$21,5)=0),"",SUMIFS(DECKS!$D$2:$D$1201,DECKS!$A$2:$A$1201,INDEX(_LEITURA!$P$2:$P$21,5),DECKS!$B$2:$B$1201,$A81))</f>
        <v/>
      </c>
      <c r="P81" s="19" t="str">
        <f aca="false">IF(OR($A81="",INDEX(_LEITURA!$Q$2:$Q$21,6)=0),"",SUMIFS(DECKS!$D$2:$D$1201,DECKS!$A$2:$A$1201,INDEX(_LEITURA!$P$2:$P$21,6),DECKS!$B$2:$B$1201,$A81))</f>
        <v/>
      </c>
      <c r="Q81" s="19" t="str">
        <f aca="false">IF(OR($A81="",INDEX(_LEITURA!$Q$2:$Q$21,7)=0),"",SUMIFS(DECKS!$D$2:$D$1201,DECKS!$A$2:$A$1201,INDEX(_LEITURA!$P$2:$P$21,7),DECKS!$B$2:$B$1201,$A81))</f>
        <v/>
      </c>
      <c r="R81" s="19" t="str">
        <f aca="false">IF(OR($A81="",INDEX(_LEITURA!$Q$2:$Q$21,8)=0),"",SUMIFS(DECKS!$D$2:$D$1201,DECKS!$A$2:$A$1201,INDEX(_LEITURA!$P$2:$P$21,8),DECKS!$B$2:$B$1201,$A81))</f>
        <v/>
      </c>
      <c r="S81" s="19" t="str">
        <f aca="false">IF(OR($A81="",INDEX(_LEITURA!$Q$2:$Q$21,9)=0),"",SUMIFS(DECKS!$D$2:$D$1201,DECKS!$A$2:$A$1201,INDEX(_LEITURA!$P$2:$P$21,9),DECKS!$B$2:$B$1201,$A81))</f>
        <v/>
      </c>
      <c r="T81" s="19" t="str">
        <f aca="false">IF(OR($A81="",INDEX(_LEITURA!$Q$2:$Q$21,10)=0),"",SUMIFS(DECKS!$D$2:$D$1201,DECKS!$A$2:$A$1201,INDEX(_LEITURA!$P$2:$P$21,10),DECKS!$B$2:$B$1201,$A81))</f>
        <v/>
      </c>
      <c r="U81" s="19" t="str">
        <f aca="false">IF(OR($A81="",INDEX(_LEITURA!$Q$2:$Q$21,11)=0),"",SUMIFS(DECKS!$D$2:$D$1201,DECKS!$A$2:$A$1201,INDEX(_LEITURA!$P$2:$P$21,11),DECKS!$B$2:$B$1201,$A81))</f>
        <v/>
      </c>
      <c r="V81" s="19" t="str">
        <f aca="false">IF(OR($A81="",INDEX(_LEITURA!$Q$2:$Q$21,12)=0),"",SUMIFS(DECKS!$D$2:$D$1201,DECKS!$A$2:$A$1201,INDEX(_LEITURA!$P$2:$P$21,12),DECKS!$B$2:$B$1201,$A81))</f>
        <v/>
      </c>
      <c r="W81" s="19" t="str">
        <f aca="false">IF(OR($A81="",INDEX(_LEITURA!$Q$2:$Q$21,13)=0),"",SUMIFS(DECKS!$D$2:$D$1201,DECKS!$A$2:$A$1201,INDEX(_LEITURA!$P$2:$P$21,13),DECKS!$B$2:$B$1201,$A81))</f>
        <v/>
      </c>
      <c r="X81" s="19" t="str">
        <f aca="false">IF(OR($A81="",INDEX(_LEITURA!$Q$2:$Q$21,14)=0),"",SUMIFS(DECKS!$D$2:$D$1201,DECKS!$A$2:$A$1201,INDEX(_LEITURA!$P$2:$P$21,14),DECKS!$B$2:$B$1201,$A81))</f>
        <v/>
      </c>
      <c r="Y81" s="19" t="str">
        <f aca="false">IF(OR($A81="",INDEX(_LEITURA!$Q$2:$Q$21,15)=0),"",SUMIFS(DECKS!$D$2:$D$1201,DECKS!$A$2:$A$1201,INDEX(_LEITURA!$P$2:$P$21,15),DECKS!$B$2:$B$1201,$A81))</f>
        <v/>
      </c>
      <c r="Z81" s="19" t="str">
        <f aca="false">IF(OR($A81="",INDEX(_LEITURA!$Q$2:$Q$21,16)=0),"",SUMIFS(DECKS!$D$2:$D$1201,DECKS!$A$2:$A$1201,INDEX(_LEITURA!$P$2:$P$21,16),DECKS!$B$2:$B$1201,$A81))</f>
        <v/>
      </c>
      <c r="AA81" s="19" t="str">
        <f aca="false">IF(OR($A81="",INDEX(_LEITURA!$Q$2:$Q$21,17)=0),"",SUMIFS(DECKS!$D$2:$D$1201,DECKS!$A$2:$A$1201,INDEX(_LEITURA!$P$2:$P$21,17),DECKS!$B$2:$B$1201,$A81))</f>
        <v/>
      </c>
      <c r="AB81" s="19" t="str">
        <f aca="false">IF(OR($A81="",INDEX(_LEITURA!$Q$2:$Q$21,18)=0),"",SUMIFS(DECKS!$D$2:$D$1201,DECKS!$A$2:$A$1201,INDEX(_LEITURA!$P$2:$P$21,18),DECKS!$B$2:$B$1201,$A81))</f>
        <v/>
      </c>
      <c r="AC81" s="19" t="str">
        <f aca="false">IF(OR($A81="",INDEX(_LEITURA!$Q$2:$Q$21,19)=0),"",SUMIFS(DECKS!$D$2:$D$1201,DECKS!$A$2:$A$1201,INDEX(_LEITURA!$P$2:$P$21,19),DECKS!$B$2:$B$1201,$A81))</f>
        <v/>
      </c>
      <c r="AD81" s="19" t="str">
        <f aca="false">IF(OR($A81="",INDEX(_LEITURA!$Q$2:$Q$21,20)=0),"",SUMIFS(DECKS!$D$2:$D$1201,DECKS!$A$2:$A$1201,INDEX(_LEITURA!$P$2:$P$21,20),DECKS!$B$2:$B$1201,$A81))</f>
        <v/>
      </c>
      <c r="AE81" s="16" t="str">
        <f aca="false">IF(N(E81)&gt;0,MAX(AE$1:AE80)+1,"")</f>
        <v/>
      </c>
      <c r="AF81" s="11" t="str">
        <f aca="false">IF(A81="","",IFERROR(LEFT(A81,FIND("-",A81)-1),A81))</f>
        <v/>
      </c>
      <c r="AG81" s="11" t="str">
        <f aca="false">IF(AF81="","",IF(ISNUMBER(--MID(AF81,1,1)),0,IF(ISNUMBER(--MID(AF81,2,1)),1,IF(ISNUMBER(--MID(AF81,3,1)),2,IF(ISNUMBER(--MID(AF81,4,1)),3,MIN(LEN(AF81),4))))))</f>
        <v/>
      </c>
      <c r="AH81" s="11" t="str">
        <f aca="false">IF(A81="","",LEFT(AF81,AG81)&amp;REPT("0",4-AG81)&amp;RIGHT("000"&amp;IFERROR(VALUE(MID(AF81,AG81+1,9)),0),3)&amp;RIGHT("0000"&amp;IFERROR(VALUE(MID(A81,FIND("-",A81)+1,9)),0),4))</f>
        <v/>
      </c>
      <c r="AI81" s="11" t="str">
        <f aca="false">IF(OR(A81="",N(E81)&lt;=0),"",IF('FALTAS GERAL'!$M$1="Código","K"&amp;AH81&amp;RIGHT("00000"&amp;ROW(),5),IF('FALTAS GERAL'!$M$1="Nome","K"&amp;UPPER(SUBSTITUTE(SUBSTITUTE(SUBSTITUTE(B81,"*",""),"?",""),"~",""))&amp;"0"&amp;AH81&amp;RIGHT("00000"&amp;ROW(),5),IF('FALTAS GERAL'!$M$1="Falta (maior primeiro)","K"&amp;RIGHT("0000"&amp;(9999-E81),4)&amp;AH81&amp;RIGHT("00000"&amp;ROW(),5),IF('FALTAS GERAL'!$M$1="Nº de decks (maior primeiro)","K"&amp;RIGHT("00"&amp;(99-N(G81)),2)&amp;AH81&amp;RIGHT("00000"&amp;ROW(),5),"K"&amp;RIGHT("00000"&amp;ROW(),5))))))</f>
        <v/>
      </c>
      <c r="AJ81" s="11" t="str">
        <f aca="false">IF(AI81="","",COUNTIFS($AI$2:$AI$801,"&lt;"&amp;AI81,$E$2:$E$801,"&gt;0")+1)</f>
        <v/>
      </c>
      <c r="AK81" s="11" t="str">
        <f aca="false">IF(OR(A81="",N(E81)&lt;=0),"",COUNTIFS($AH$2:$AH$801,"&lt;"&amp;AH81,$E$2:$E$801,"&gt;0")+COUNTIFS($AH$2:AH81,AH81,$E$2:E81,"&gt;0"))</f>
        <v/>
      </c>
    </row>
    <row r="82" customFormat="false" ht="15" hidden="false" customHeight="false" outlineLevel="0" collapsed="false">
      <c r="A82" s="11" t="str">
        <f aca="false">IF(INVENTÁRIO!A82="","",INVENTÁRIO!A82)</f>
        <v/>
      </c>
      <c r="B82" s="11" t="str">
        <f aca="false">IF(A82="","",INVENTÁRIO!B82)</f>
        <v/>
      </c>
      <c r="C82" s="16" t="str">
        <f aca="false">IF(A82="","",INVENTÁRIO!C82)</f>
        <v/>
      </c>
      <c r="D82" s="14" t="str">
        <f aca="false">IF(A82="","",MAX(K82:AD82))</f>
        <v/>
      </c>
      <c r="E82" s="14" t="str">
        <f aca="false">IF(A82="","",MAX(0,D82-C82))</f>
        <v/>
      </c>
      <c r="F82" s="16" t="str">
        <f aca="false">IF(A82="","",IF(D82=0,"Fora dos decks",IF(E82=0,"Completo","Falta")))</f>
        <v/>
      </c>
      <c r="G82" s="16" t="str">
        <f aca="false">IF(A82="","",COUNTIF(K82:AD82,"&gt;0"))</f>
        <v/>
      </c>
      <c r="H82" s="16" t="str">
        <f aca="false">IF(A82="","",IF(G82&gt;1,"Sim",""))</f>
        <v/>
      </c>
      <c r="I82" s="18" t="str">
        <f aca="false">IF(A82="","",SUMIFS(DECKS!$D$2:$D$1201,DECKS!$B$2:$B$1201,A82))</f>
        <v/>
      </c>
      <c r="J82" s="18" t="str">
        <f aca="false">IF(A82="","",MAX(0,I82-C82))</f>
        <v/>
      </c>
      <c r="K82" s="19" t="str">
        <f aca="false">IF(OR($A82="",INDEX(_LEITURA!$Q$2:$Q$21,1)=0),"",SUMIFS(DECKS!$D$2:$D$1201,DECKS!$A$2:$A$1201,INDEX(_LEITURA!$P$2:$P$21,1),DECKS!$B$2:$B$1201,$A82))</f>
        <v/>
      </c>
      <c r="L82" s="19" t="str">
        <f aca="false">IF(OR($A82="",INDEX(_LEITURA!$Q$2:$Q$21,2)=0),"",SUMIFS(DECKS!$D$2:$D$1201,DECKS!$A$2:$A$1201,INDEX(_LEITURA!$P$2:$P$21,2),DECKS!$B$2:$B$1201,$A82))</f>
        <v/>
      </c>
      <c r="M82" s="19" t="str">
        <f aca="false">IF(OR($A82="",INDEX(_LEITURA!$Q$2:$Q$21,3)=0),"",SUMIFS(DECKS!$D$2:$D$1201,DECKS!$A$2:$A$1201,INDEX(_LEITURA!$P$2:$P$21,3),DECKS!$B$2:$B$1201,$A82))</f>
        <v/>
      </c>
      <c r="N82" s="19" t="str">
        <f aca="false">IF(OR($A82="",INDEX(_LEITURA!$Q$2:$Q$21,4)=0),"",SUMIFS(DECKS!$D$2:$D$1201,DECKS!$A$2:$A$1201,INDEX(_LEITURA!$P$2:$P$21,4),DECKS!$B$2:$B$1201,$A82))</f>
        <v/>
      </c>
      <c r="O82" s="19" t="str">
        <f aca="false">IF(OR($A82="",INDEX(_LEITURA!$Q$2:$Q$21,5)=0),"",SUMIFS(DECKS!$D$2:$D$1201,DECKS!$A$2:$A$1201,INDEX(_LEITURA!$P$2:$P$21,5),DECKS!$B$2:$B$1201,$A82))</f>
        <v/>
      </c>
      <c r="P82" s="19" t="str">
        <f aca="false">IF(OR($A82="",INDEX(_LEITURA!$Q$2:$Q$21,6)=0),"",SUMIFS(DECKS!$D$2:$D$1201,DECKS!$A$2:$A$1201,INDEX(_LEITURA!$P$2:$P$21,6),DECKS!$B$2:$B$1201,$A82))</f>
        <v/>
      </c>
      <c r="Q82" s="19" t="str">
        <f aca="false">IF(OR($A82="",INDEX(_LEITURA!$Q$2:$Q$21,7)=0),"",SUMIFS(DECKS!$D$2:$D$1201,DECKS!$A$2:$A$1201,INDEX(_LEITURA!$P$2:$P$21,7),DECKS!$B$2:$B$1201,$A82))</f>
        <v/>
      </c>
      <c r="R82" s="19" t="str">
        <f aca="false">IF(OR($A82="",INDEX(_LEITURA!$Q$2:$Q$21,8)=0),"",SUMIFS(DECKS!$D$2:$D$1201,DECKS!$A$2:$A$1201,INDEX(_LEITURA!$P$2:$P$21,8),DECKS!$B$2:$B$1201,$A82))</f>
        <v/>
      </c>
      <c r="S82" s="19" t="str">
        <f aca="false">IF(OR($A82="",INDEX(_LEITURA!$Q$2:$Q$21,9)=0),"",SUMIFS(DECKS!$D$2:$D$1201,DECKS!$A$2:$A$1201,INDEX(_LEITURA!$P$2:$P$21,9),DECKS!$B$2:$B$1201,$A82))</f>
        <v/>
      </c>
      <c r="T82" s="19" t="str">
        <f aca="false">IF(OR($A82="",INDEX(_LEITURA!$Q$2:$Q$21,10)=0),"",SUMIFS(DECKS!$D$2:$D$1201,DECKS!$A$2:$A$1201,INDEX(_LEITURA!$P$2:$P$21,10),DECKS!$B$2:$B$1201,$A82))</f>
        <v/>
      </c>
      <c r="U82" s="19" t="str">
        <f aca="false">IF(OR($A82="",INDEX(_LEITURA!$Q$2:$Q$21,11)=0),"",SUMIFS(DECKS!$D$2:$D$1201,DECKS!$A$2:$A$1201,INDEX(_LEITURA!$P$2:$P$21,11),DECKS!$B$2:$B$1201,$A82))</f>
        <v/>
      </c>
      <c r="V82" s="19" t="str">
        <f aca="false">IF(OR($A82="",INDEX(_LEITURA!$Q$2:$Q$21,12)=0),"",SUMIFS(DECKS!$D$2:$D$1201,DECKS!$A$2:$A$1201,INDEX(_LEITURA!$P$2:$P$21,12),DECKS!$B$2:$B$1201,$A82))</f>
        <v/>
      </c>
      <c r="W82" s="19" t="str">
        <f aca="false">IF(OR($A82="",INDEX(_LEITURA!$Q$2:$Q$21,13)=0),"",SUMIFS(DECKS!$D$2:$D$1201,DECKS!$A$2:$A$1201,INDEX(_LEITURA!$P$2:$P$21,13),DECKS!$B$2:$B$1201,$A82))</f>
        <v/>
      </c>
      <c r="X82" s="19" t="str">
        <f aca="false">IF(OR($A82="",INDEX(_LEITURA!$Q$2:$Q$21,14)=0),"",SUMIFS(DECKS!$D$2:$D$1201,DECKS!$A$2:$A$1201,INDEX(_LEITURA!$P$2:$P$21,14),DECKS!$B$2:$B$1201,$A82))</f>
        <v/>
      </c>
      <c r="Y82" s="19" t="str">
        <f aca="false">IF(OR($A82="",INDEX(_LEITURA!$Q$2:$Q$21,15)=0),"",SUMIFS(DECKS!$D$2:$D$1201,DECKS!$A$2:$A$1201,INDEX(_LEITURA!$P$2:$P$21,15),DECKS!$B$2:$B$1201,$A82))</f>
        <v/>
      </c>
      <c r="Z82" s="19" t="str">
        <f aca="false">IF(OR($A82="",INDEX(_LEITURA!$Q$2:$Q$21,16)=0),"",SUMIFS(DECKS!$D$2:$D$1201,DECKS!$A$2:$A$1201,INDEX(_LEITURA!$P$2:$P$21,16),DECKS!$B$2:$B$1201,$A82))</f>
        <v/>
      </c>
      <c r="AA82" s="19" t="str">
        <f aca="false">IF(OR($A82="",INDEX(_LEITURA!$Q$2:$Q$21,17)=0),"",SUMIFS(DECKS!$D$2:$D$1201,DECKS!$A$2:$A$1201,INDEX(_LEITURA!$P$2:$P$21,17),DECKS!$B$2:$B$1201,$A82))</f>
        <v/>
      </c>
      <c r="AB82" s="19" t="str">
        <f aca="false">IF(OR($A82="",INDEX(_LEITURA!$Q$2:$Q$21,18)=0),"",SUMIFS(DECKS!$D$2:$D$1201,DECKS!$A$2:$A$1201,INDEX(_LEITURA!$P$2:$P$21,18),DECKS!$B$2:$B$1201,$A82))</f>
        <v/>
      </c>
      <c r="AC82" s="19" t="str">
        <f aca="false">IF(OR($A82="",INDEX(_LEITURA!$Q$2:$Q$21,19)=0),"",SUMIFS(DECKS!$D$2:$D$1201,DECKS!$A$2:$A$1201,INDEX(_LEITURA!$P$2:$P$21,19),DECKS!$B$2:$B$1201,$A82))</f>
        <v/>
      </c>
      <c r="AD82" s="19" t="str">
        <f aca="false">IF(OR($A82="",INDEX(_LEITURA!$Q$2:$Q$21,20)=0),"",SUMIFS(DECKS!$D$2:$D$1201,DECKS!$A$2:$A$1201,INDEX(_LEITURA!$P$2:$P$21,20),DECKS!$B$2:$B$1201,$A82))</f>
        <v/>
      </c>
      <c r="AE82" s="16" t="str">
        <f aca="false">IF(N(E82)&gt;0,MAX(AE$1:AE81)+1,"")</f>
        <v/>
      </c>
      <c r="AF82" s="11" t="str">
        <f aca="false">IF(A82="","",IFERROR(LEFT(A82,FIND("-",A82)-1),A82))</f>
        <v/>
      </c>
      <c r="AG82" s="11" t="str">
        <f aca="false">IF(AF82="","",IF(ISNUMBER(--MID(AF82,1,1)),0,IF(ISNUMBER(--MID(AF82,2,1)),1,IF(ISNUMBER(--MID(AF82,3,1)),2,IF(ISNUMBER(--MID(AF82,4,1)),3,MIN(LEN(AF82),4))))))</f>
        <v/>
      </c>
      <c r="AH82" s="11" t="str">
        <f aca="false">IF(A82="","",LEFT(AF82,AG82)&amp;REPT("0",4-AG82)&amp;RIGHT("000"&amp;IFERROR(VALUE(MID(AF82,AG82+1,9)),0),3)&amp;RIGHT("0000"&amp;IFERROR(VALUE(MID(A82,FIND("-",A82)+1,9)),0),4))</f>
        <v/>
      </c>
      <c r="AI82" s="11" t="str">
        <f aca="false">IF(OR(A82="",N(E82)&lt;=0),"",IF('FALTAS GERAL'!$M$1="Código","K"&amp;AH82&amp;RIGHT("00000"&amp;ROW(),5),IF('FALTAS GERAL'!$M$1="Nome","K"&amp;UPPER(SUBSTITUTE(SUBSTITUTE(SUBSTITUTE(B82,"*",""),"?",""),"~",""))&amp;"0"&amp;AH82&amp;RIGHT("00000"&amp;ROW(),5),IF('FALTAS GERAL'!$M$1="Falta (maior primeiro)","K"&amp;RIGHT("0000"&amp;(9999-E82),4)&amp;AH82&amp;RIGHT("00000"&amp;ROW(),5),IF('FALTAS GERAL'!$M$1="Nº de decks (maior primeiro)","K"&amp;RIGHT("00"&amp;(99-N(G82)),2)&amp;AH82&amp;RIGHT("00000"&amp;ROW(),5),"K"&amp;RIGHT("00000"&amp;ROW(),5))))))</f>
        <v/>
      </c>
      <c r="AJ82" s="11" t="str">
        <f aca="false">IF(AI82="","",COUNTIFS($AI$2:$AI$801,"&lt;"&amp;AI82,$E$2:$E$801,"&gt;0")+1)</f>
        <v/>
      </c>
      <c r="AK82" s="11" t="str">
        <f aca="false">IF(OR(A82="",N(E82)&lt;=0),"",COUNTIFS($AH$2:$AH$801,"&lt;"&amp;AH82,$E$2:$E$801,"&gt;0")+COUNTIFS($AH$2:AH82,AH82,$E$2:E82,"&gt;0"))</f>
        <v/>
      </c>
    </row>
    <row r="83" customFormat="false" ht="15" hidden="false" customHeight="false" outlineLevel="0" collapsed="false">
      <c r="A83" s="11" t="str">
        <f aca="false">IF(INVENTÁRIO!A83="","",INVENTÁRIO!A83)</f>
        <v/>
      </c>
      <c r="B83" s="11" t="str">
        <f aca="false">IF(A83="","",INVENTÁRIO!B83)</f>
        <v/>
      </c>
      <c r="C83" s="16" t="str">
        <f aca="false">IF(A83="","",INVENTÁRIO!C83)</f>
        <v/>
      </c>
      <c r="D83" s="14" t="str">
        <f aca="false">IF(A83="","",MAX(K83:AD83))</f>
        <v/>
      </c>
      <c r="E83" s="14" t="str">
        <f aca="false">IF(A83="","",MAX(0,D83-C83))</f>
        <v/>
      </c>
      <c r="F83" s="16" t="str">
        <f aca="false">IF(A83="","",IF(D83=0,"Fora dos decks",IF(E83=0,"Completo","Falta")))</f>
        <v/>
      </c>
      <c r="G83" s="16" t="str">
        <f aca="false">IF(A83="","",COUNTIF(K83:AD83,"&gt;0"))</f>
        <v/>
      </c>
      <c r="H83" s="16" t="str">
        <f aca="false">IF(A83="","",IF(G83&gt;1,"Sim",""))</f>
        <v/>
      </c>
      <c r="I83" s="18" t="str">
        <f aca="false">IF(A83="","",SUMIFS(DECKS!$D$2:$D$1201,DECKS!$B$2:$B$1201,A83))</f>
        <v/>
      </c>
      <c r="J83" s="18" t="str">
        <f aca="false">IF(A83="","",MAX(0,I83-C83))</f>
        <v/>
      </c>
      <c r="K83" s="19" t="str">
        <f aca="false">IF(OR($A83="",INDEX(_LEITURA!$Q$2:$Q$21,1)=0),"",SUMIFS(DECKS!$D$2:$D$1201,DECKS!$A$2:$A$1201,INDEX(_LEITURA!$P$2:$P$21,1),DECKS!$B$2:$B$1201,$A83))</f>
        <v/>
      </c>
      <c r="L83" s="19" t="str">
        <f aca="false">IF(OR($A83="",INDEX(_LEITURA!$Q$2:$Q$21,2)=0),"",SUMIFS(DECKS!$D$2:$D$1201,DECKS!$A$2:$A$1201,INDEX(_LEITURA!$P$2:$P$21,2),DECKS!$B$2:$B$1201,$A83))</f>
        <v/>
      </c>
      <c r="M83" s="19" t="str">
        <f aca="false">IF(OR($A83="",INDEX(_LEITURA!$Q$2:$Q$21,3)=0),"",SUMIFS(DECKS!$D$2:$D$1201,DECKS!$A$2:$A$1201,INDEX(_LEITURA!$P$2:$P$21,3),DECKS!$B$2:$B$1201,$A83))</f>
        <v/>
      </c>
      <c r="N83" s="19" t="str">
        <f aca="false">IF(OR($A83="",INDEX(_LEITURA!$Q$2:$Q$21,4)=0),"",SUMIFS(DECKS!$D$2:$D$1201,DECKS!$A$2:$A$1201,INDEX(_LEITURA!$P$2:$P$21,4),DECKS!$B$2:$B$1201,$A83))</f>
        <v/>
      </c>
      <c r="O83" s="19" t="str">
        <f aca="false">IF(OR($A83="",INDEX(_LEITURA!$Q$2:$Q$21,5)=0),"",SUMIFS(DECKS!$D$2:$D$1201,DECKS!$A$2:$A$1201,INDEX(_LEITURA!$P$2:$P$21,5),DECKS!$B$2:$B$1201,$A83))</f>
        <v/>
      </c>
      <c r="P83" s="19" t="str">
        <f aca="false">IF(OR($A83="",INDEX(_LEITURA!$Q$2:$Q$21,6)=0),"",SUMIFS(DECKS!$D$2:$D$1201,DECKS!$A$2:$A$1201,INDEX(_LEITURA!$P$2:$P$21,6),DECKS!$B$2:$B$1201,$A83))</f>
        <v/>
      </c>
      <c r="Q83" s="19" t="str">
        <f aca="false">IF(OR($A83="",INDEX(_LEITURA!$Q$2:$Q$21,7)=0),"",SUMIFS(DECKS!$D$2:$D$1201,DECKS!$A$2:$A$1201,INDEX(_LEITURA!$P$2:$P$21,7),DECKS!$B$2:$B$1201,$A83))</f>
        <v/>
      </c>
      <c r="R83" s="19" t="str">
        <f aca="false">IF(OR($A83="",INDEX(_LEITURA!$Q$2:$Q$21,8)=0),"",SUMIFS(DECKS!$D$2:$D$1201,DECKS!$A$2:$A$1201,INDEX(_LEITURA!$P$2:$P$21,8),DECKS!$B$2:$B$1201,$A83))</f>
        <v/>
      </c>
      <c r="S83" s="19" t="str">
        <f aca="false">IF(OR($A83="",INDEX(_LEITURA!$Q$2:$Q$21,9)=0),"",SUMIFS(DECKS!$D$2:$D$1201,DECKS!$A$2:$A$1201,INDEX(_LEITURA!$P$2:$P$21,9),DECKS!$B$2:$B$1201,$A83))</f>
        <v/>
      </c>
      <c r="T83" s="19" t="str">
        <f aca="false">IF(OR($A83="",INDEX(_LEITURA!$Q$2:$Q$21,10)=0),"",SUMIFS(DECKS!$D$2:$D$1201,DECKS!$A$2:$A$1201,INDEX(_LEITURA!$P$2:$P$21,10),DECKS!$B$2:$B$1201,$A83))</f>
        <v/>
      </c>
      <c r="U83" s="19" t="str">
        <f aca="false">IF(OR($A83="",INDEX(_LEITURA!$Q$2:$Q$21,11)=0),"",SUMIFS(DECKS!$D$2:$D$1201,DECKS!$A$2:$A$1201,INDEX(_LEITURA!$P$2:$P$21,11),DECKS!$B$2:$B$1201,$A83))</f>
        <v/>
      </c>
      <c r="V83" s="19" t="str">
        <f aca="false">IF(OR($A83="",INDEX(_LEITURA!$Q$2:$Q$21,12)=0),"",SUMIFS(DECKS!$D$2:$D$1201,DECKS!$A$2:$A$1201,INDEX(_LEITURA!$P$2:$P$21,12),DECKS!$B$2:$B$1201,$A83))</f>
        <v/>
      </c>
      <c r="W83" s="19" t="str">
        <f aca="false">IF(OR($A83="",INDEX(_LEITURA!$Q$2:$Q$21,13)=0),"",SUMIFS(DECKS!$D$2:$D$1201,DECKS!$A$2:$A$1201,INDEX(_LEITURA!$P$2:$P$21,13),DECKS!$B$2:$B$1201,$A83))</f>
        <v/>
      </c>
      <c r="X83" s="19" t="str">
        <f aca="false">IF(OR($A83="",INDEX(_LEITURA!$Q$2:$Q$21,14)=0),"",SUMIFS(DECKS!$D$2:$D$1201,DECKS!$A$2:$A$1201,INDEX(_LEITURA!$P$2:$P$21,14),DECKS!$B$2:$B$1201,$A83))</f>
        <v/>
      </c>
      <c r="Y83" s="19" t="str">
        <f aca="false">IF(OR($A83="",INDEX(_LEITURA!$Q$2:$Q$21,15)=0),"",SUMIFS(DECKS!$D$2:$D$1201,DECKS!$A$2:$A$1201,INDEX(_LEITURA!$P$2:$P$21,15),DECKS!$B$2:$B$1201,$A83))</f>
        <v/>
      </c>
      <c r="Z83" s="19" t="str">
        <f aca="false">IF(OR($A83="",INDEX(_LEITURA!$Q$2:$Q$21,16)=0),"",SUMIFS(DECKS!$D$2:$D$1201,DECKS!$A$2:$A$1201,INDEX(_LEITURA!$P$2:$P$21,16),DECKS!$B$2:$B$1201,$A83))</f>
        <v/>
      </c>
      <c r="AA83" s="19" t="str">
        <f aca="false">IF(OR($A83="",INDEX(_LEITURA!$Q$2:$Q$21,17)=0),"",SUMIFS(DECKS!$D$2:$D$1201,DECKS!$A$2:$A$1201,INDEX(_LEITURA!$P$2:$P$21,17),DECKS!$B$2:$B$1201,$A83))</f>
        <v/>
      </c>
      <c r="AB83" s="19" t="str">
        <f aca="false">IF(OR($A83="",INDEX(_LEITURA!$Q$2:$Q$21,18)=0),"",SUMIFS(DECKS!$D$2:$D$1201,DECKS!$A$2:$A$1201,INDEX(_LEITURA!$P$2:$P$21,18),DECKS!$B$2:$B$1201,$A83))</f>
        <v/>
      </c>
      <c r="AC83" s="19" t="str">
        <f aca="false">IF(OR($A83="",INDEX(_LEITURA!$Q$2:$Q$21,19)=0),"",SUMIFS(DECKS!$D$2:$D$1201,DECKS!$A$2:$A$1201,INDEX(_LEITURA!$P$2:$P$21,19),DECKS!$B$2:$B$1201,$A83))</f>
        <v/>
      </c>
      <c r="AD83" s="19" t="str">
        <f aca="false">IF(OR($A83="",INDEX(_LEITURA!$Q$2:$Q$21,20)=0),"",SUMIFS(DECKS!$D$2:$D$1201,DECKS!$A$2:$A$1201,INDEX(_LEITURA!$P$2:$P$21,20),DECKS!$B$2:$B$1201,$A83))</f>
        <v/>
      </c>
      <c r="AE83" s="16" t="str">
        <f aca="false">IF(N(E83)&gt;0,MAX(AE$1:AE82)+1,"")</f>
        <v/>
      </c>
      <c r="AF83" s="11" t="str">
        <f aca="false">IF(A83="","",IFERROR(LEFT(A83,FIND("-",A83)-1),A83))</f>
        <v/>
      </c>
      <c r="AG83" s="11" t="str">
        <f aca="false">IF(AF83="","",IF(ISNUMBER(--MID(AF83,1,1)),0,IF(ISNUMBER(--MID(AF83,2,1)),1,IF(ISNUMBER(--MID(AF83,3,1)),2,IF(ISNUMBER(--MID(AF83,4,1)),3,MIN(LEN(AF83),4))))))</f>
        <v/>
      </c>
      <c r="AH83" s="11" t="str">
        <f aca="false">IF(A83="","",LEFT(AF83,AG83)&amp;REPT("0",4-AG83)&amp;RIGHT("000"&amp;IFERROR(VALUE(MID(AF83,AG83+1,9)),0),3)&amp;RIGHT("0000"&amp;IFERROR(VALUE(MID(A83,FIND("-",A83)+1,9)),0),4))</f>
        <v/>
      </c>
      <c r="AI83" s="11" t="str">
        <f aca="false">IF(OR(A83="",N(E83)&lt;=0),"",IF('FALTAS GERAL'!$M$1="Código","K"&amp;AH83&amp;RIGHT("00000"&amp;ROW(),5),IF('FALTAS GERAL'!$M$1="Nome","K"&amp;UPPER(SUBSTITUTE(SUBSTITUTE(SUBSTITUTE(B83,"*",""),"?",""),"~",""))&amp;"0"&amp;AH83&amp;RIGHT("00000"&amp;ROW(),5),IF('FALTAS GERAL'!$M$1="Falta (maior primeiro)","K"&amp;RIGHT("0000"&amp;(9999-E83),4)&amp;AH83&amp;RIGHT("00000"&amp;ROW(),5),IF('FALTAS GERAL'!$M$1="Nº de decks (maior primeiro)","K"&amp;RIGHT("00"&amp;(99-N(G83)),2)&amp;AH83&amp;RIGHT("00000"&amp;ROW(),5),"K"&amp;RIGHT("00000"&amp;ROW(),5))))))</f>
        <v/>
      </c>
      <c r="AJ83" s="11" t="str">
        <f aca="false">IF(AI83="","",COUNTIFS($AI$2:$AI$801,"&lt;"&amp;AI83,$E$2:$E$801,"&gt;0")+1)</f>
        <v/>
      </c>
      <c r="AK83" s="11" t="str">
        <f aca="false">IF(OR(A83="",N(E83)&lt;=0),"",COUNTIFS($AH$2:$AH$801,"&lt;"&amp;AH83,$E$2:$E$801,"&gt;0")+COUNTIFS($AH$2:AH83,AH83,$E$2:E83,"&gt;0"))</f>
        <v/>
      </c>
    </row>
    <row r="84" customFormat="false" ht="15" hidden="false" customHeight="false" outlineLevel="0" collapsed="false">
      <c r="A84" s="11" t="str">
        <f aca="false">IF(INVENTÁRIO!A84="","",INVENTÁRIO!A84)</f>
        <v/>
      </c>
      <c r="B84" s="11" t="str">
        <f aca="false">IF(A84="","",INVENTÁRIO!B84)</f>
        <v/>
      </c>
      <c r="C84" s="16" t="str">
        <f aca="false">IF(A84="","",INVENTÁRIO!C84)</f>
        <v/>
      </c>
      <c r="D84" s="14" t="str">
        <f aca="false">IF(A84="","",MAX(K84:AD84))</f>
        <v/>
      </c>
      <c r="E84" s="14" t="str">
        <f aca="false">IF(A84="","",MAX(0,D84-C84))</f>
        <v/>
      </c>
      <c r="F84" s="16" t="str">
        <f aca="false">IF(A84="","",IF(D84=0,"Fora dos decks",IF(E84=0,"Completo","Falta")))</f>
        <v/>
      </c>
      <c r="G84" s="16" t="str">
        <f aca="false">IF(A84="","",COUNTIF(K84:AD84,"&gt;0"))</f>
        <v/>
      </c>
      <c r="H84" s="16" t="str">
        <f aca="false">IF(A84="","",IF(G84&gt;1,"Sim",""))</f>
        <v/>
      </c>
      <c r="I84" s="18" t="str">
        <f aca="false">IF(A84="","",SUMIFS(DECKS!$D$2:$D$1201,DECKS!$B$2:$B$1201,A84))</f>
        <v/>
      </c>
      <c r="J84" s="18" t="str">
        <f aca="false">IF(A84="","",MAX(0,I84-C84))</f>
        <v/>
      </c>
      <c r="K84" s="19" t="str">
        <f aca="false">IF(OR($A84="",INDEX(_LEITURA!$Q$2:$Q$21,1)=0),"",SUMIFS(DECKS!$D$2:$D$1201,DECKS!$A$2:$A$1201,INDEX(_LEITURA!$P$2:$P$21,1),DECKS!$B$2:$B$1201,$A84))</f>
        <v/>
      </c>
      <c r="L84" s="19" t="str">
        <f aca="false">IF(OR($A84="",INDEX(_LEITURA!$Q$2:$Q$21,2)=0),"",SUMIFS(DECKS!$D$2:$D$1201,DECKS!$A$2:$A$1201,INDEX(_LEITURA!$P$2:$P$21,2),DECKS!$B$2:$B$1201,$A84))</f>
        <v/>
      </c>
      <c r="M84" s="19" t="str">
        <f aca="false">IF(OR($A84="",INDEX(_LEITURA!$Q$2:$Q$21,3)=0),"",SUMIFS(DECKS!$D$2:$D$1201,DECKS!$A$2:$A$1201,INDEX(_LEITURA!$P$2:$P$21,3),DECKS!$B$2:$B$1201,$A84))</f>
        <v/>
      </c>
      <c r="N84" s="19" t="str">
        <f aca="false">IF(OR($A84="",INDEX(_LEITURA!$Q$2:$Q$21,4)=0),"",SUMIFS(DECKS!$D$2:$D$1201,DECKS!$A$2:$A$1201,INDEX(_LEITURA!$P$2:$P$21,4),DECKS!$B$2:$B$1201,$A84))</f>
        <v/>
      </c>
      <c r="O84" s="19" t="str">
        <f aca="false">IF(OR($A84="",INDEX(_LEITURA!$Q$2:$Q$21,5)=0),"",SUMIFS(DECKS!$D$2:$D$1201,DECKS!$A$2:$A$1201,INDEX(_LEITURA!$P$2:$P$21,5),DECKS!$B$2:$B$1201,$A84))</f>
        <v/>
      </c>
      <c r="P84" s="19" t="str">
        <f aca="false">IF(OR($A84="",INDEX(_LEITURA!$Q$2:$Q$21,6)=0),"",SUMIFS(DECKS!$D$2:$D$1201,DECKS!$A$2:$A$1201,INDEX(_LEITURA!$P$2:$P$21,6),DECKS!$B$2:$B$1201,$A84))</f>
        <v/>
      </c>
      <c r="Q84" s="19" t="str">
        <f aca="false">IF(OR($A84="",INDEX(_LEITURA!$Q$2:$Q$21,7)=0),"",SUMIFS(DECKS!$D$2:$D$1201,DECKS!$A$2:$A$1201,INDEX(_LEITURA!$P$2:$P$21,7),DECKS!$B$2:$B$1201,$A84))</f>
        <v/>
      </c>
      <c r="R84" s="19" t="str">
        <f aca="false">IF(OR($A84="",INDEX(_LEITURA!$Q$2:$Q$21,8)=0),"",SUMIFS(DECKS!$D$2:$D$1201,DECKS!$A$2:$A$1201,INDEX(_LEITURA!$P$2:$P$21,8),DECKS!$B$2:$B$1201,$A84))</f>
        <v/>
      </c>
      <c r="S84" s="19" t="str">
        <f aca="false">IF(OR($A84="",INDEX(_LEITURA!$Q$2:$Q$21,9)=0),"",SUMIFS(DECKS!$D$2:$D$1201,DECKS!$A$2:$A$1201,INDEX(_LEITURA!$P$2:$P$21,9),DECKS!$B$2:$B$1201,$A84))</f>
        <v/>
      </c>
      <c r="T84" s="19" t="str">
        <f aca="false">IF(OR($A84="",INDEX(_LEITURA!$Q$2:$Q$21,10)=0),"",SUMIFS(DECKS!$D$2:$D$1201,DECKS!$A$2:$A$1201,INDEX(_LEITURA!$P$2:$P$21,10),DECKS!$B$2:$B$1201,$A84))</f>
        <v/>
      </c>
      <c r="U84" s="19" t="str">
        <f aca="false">IF(OR($A84="",INDEX(_LEITURA!$Q$2:$Q$21,11)=0),"",SUMIFS(DECKS!$D$2:$D$1201,DECKS!$A$2:$A$1201,INDEX(_LEITURA!$P$2:$P$21,11),DECKS!$B$2:$B$1201,$A84))</f>
        <v/>
      </c>
      <c r="V84" s="19" t="str">
        <f aca="false">IF(OR($A84="",INDEX(_LEITURA!$Q$2:$Q$21,12)=0),"",SUMIFS(DECKS!$D$2:$D$1201,DECKS!$A$2:$A$1201,INDEX(_LEITURA!$P$2:$P$21,12),DECKS!$B$2:$B$1201,$A84))</f>
        <v/>
      </c>
      <c r="W84" s="19" t="str">
        <f aca="false">IF(OR($A84="",INDEX(_LEITURA!$Q$2:$Q$21,13)=0),"",SUMIFS(DECKS!$D$2:$D$1201,DECKS!$A$2:$A$1201,INDEX(_LEITURA!$P$2:$P$21,13),DECKS!$B$2:$B$1201,$A84))</f>
        <v/>
      </c>
      <c r="X84" s="19" t="str">
        <f aca="false">IF(OR($A84="",INDEX(_LEITURA!$Q$2:$Q$21,14)=0),"",SUMIFS(DECKS!$D$2:$D$1201,DECKS!$A$2:$A$1201,INDEX(_LEITURA!$P$2:$P$21,14),DECKS!$B$2:$B$1201,$A84))</f>
        <v/>
      </c>
      <c r="Y84" s="19" t="str">
        <f aca="false">IF(OR($A84="",INDEX(_LEITURA!$Q$2:$Q$21,15)=0),"",SUMIFS(DECKS!$D$2:$D$1201,DECKS!$A$2:$A$1201,INDEX(_LEITURA!$P$2:$P$21,15),DECKS!$B$2:$B$1201,$A84))</f>
        <v/>
      </c>
      <c r="Z84" s="19" t="str">
        <f aca="false">IF(OR($A84="",INDEX(_LEITURA!$Q$2:$Q$21,16)=0),"",SUMIFS(DECKS!$D$2:$D$1201,DECKS!$A$2:$A$1201,INDEX(_LEITURA!$P$2:$P$21,16),DECKS!$B$2:$B$1201,$A84))</f>
        <v/>
      </c>
      <c r="AA84" s="19" t="str">
        <f aca="false">IF(OR($A84="",INDEX(_LEITURA!$Q$2:$Q$21,17)=0),"",SUMIFS(DECKS!$D$2:$D$1201,DECKS!$A$2:$A$1201,INDEX(_LEITURA!$P$2:$P$21,17),DECKS!$B$2:$B$1201,$A84))</f>
        <v/>
      </c>
      <c r="AB84" s="19" t="str">
        <f aca="false">IF(OR($A84="",INDEX(_LEITURA!$Q$2:$Q$21,18)=0),"",SUMIFS(DECKS!$D$2:$D$1201,DECKS!$A$2:$A$1201,INDEX(_LEITURA!$P$2:$P$21,18),DECKS!$B$2:$B$1201,$A84))</f>
        <v/>
      </c>
      <c r="AC84" s="19" t="str">
        <f aca="false">IF(OR($A84="",INDEX(_LEITURA!$Q$2:$Q$21,19)=0),"",SUMIFS(DECKS!$D$2:$D$1201,DECKS!$A$2:$A$1201,INDEX(_LEITURA!$P$2:$P$21,19),DECKS!$B$2:$B$1201,$A84))</f>
        <v/>
      </c>
      <c r="AD84" s="19" t="str">
        <f aca="false">IF(OR($A84="",INDEX(_LEITURA!$Q$2:$Q$21,20)=0),"",SUMIFS(DECKS!$D$2:$D$1201,DECKS!$A$2:$A$1201,INDEX(_LEITURA!$P$2:$P$21,20),DECKS!$B$2:$B$1201,$A84))</f>
        <v/>
      </c>
      <c r="AE84" s="16" t="str">
        <f aca="false">IF(N(E84)&gt;0,MAX(AE$1:AE83)+1,"")</f>
        <v/>
      </c>
      <c r="AF84" s="11" t="str">
        <f aca="false">IF(A84="","",IFERROR(LEFT(A84,FIND("-",A84)-1),A84))</f>
        <v/>
      </c>
      <c r="AG84" s="11" t="str">
        <f aca="false">IF(AF84="","",IF(ISNUMBER(--MID(AF84,1,1)),0,IF(ISNUMBER(--MID(AF84,2,1)),1,IF(ISNUMBER(--MID(AF84,3,1)),2,IF(ISNUMBER(--MID(AF84,4,1)),3,MIN(LEN(AF84),4))))))</f>
        <v/>
      </c>
      <c r="AH84" s="11" t="str">
        <f aca="false">IF(A84="","",LEFT(AF84,AG84)&amp;REPT("0",4-AG84)&amp;RIGHT("000"&amp;IFERROR(VALUE(MID(AF84,AG84+1,9)),0),3)&amp;RIGHT("0000"&amp;IFERROR(VALUE(MID(A84,FIND("-",A84)+1,9)),0),4))</f>
        <v/>
      </c>
      <c r="AI84" s="11" t="str">
        <f aca="false">IF(OR(A84="",N(E84)&lt;=0),"",IF('FALTAS GERAL'!$M$1="Código","K"&amp;AH84&amp;RIGHT("00000"&amp;ROW(),5),IF('FALTAS GERAL'!$M$1="Nome","K"&amp;UPPER(SUBSTITUTE(SUBSTITUTE(SUBSTITUTE(B84,"*",""),"?",""),"~",""))&amp;"0"&amp;AH84&amp;RIGHT("00000"&amp;ROW(),5),IF('FALTAS GERAL'!$M$1="Falta (maior primeiro)","K"&amp;RIGHT("0000"&amp;(9999-E84),4)&amp;AH84&amp;RIGHT("00000"&amp;ROW(),5),IF('FALTAS GERAL'!$M$1="Nº de decks (maior primeiro)","K"&amp;RIGHT("00"&amp;(99-N(G84)),2)&amp;AH84&amp;RIGHT("00000"&amp;ROW(),5),"K"&amp;RIGHT("00000"&amp;ROW(),5))))))</f>
        <v/>
      </c>
      <c r="AJ84" s="11" t="str">
        <f aca="false">IF(AI84="","",COUNTIFS($AI$2:$AI$801,"&lt;"&amp;AI84,$E$2:$E$801,"&gt;0")+1)</f>
        <v/>
      </c>
      <c r="AK84" s="11" t="str">
        <f aca="false">IF(OR(A84="",N(E84)&lt;=0),"",COUNTIFS($AH$2:$AH$801,"&lt;"&amp;AH84,$E$2:$E$801,"&gt;0")+COUNTIFS($AH$2:AH84,AH84,$E$2:E84,"&gt;0"))</f>
        <v/>
      </c>
    </row>
    <row r="85" customFormat="false" ht="15" hidden="false" customHeight="false" outlineLevel="0" collapsed="false">
      <c r="A85" s="11" t="str">
        <f aca="false">IF(INVENTÁRIO!A85="","",INVENTÁRIO!A85)</f>
        <v/>
      </c>
      <c r="B85" s="11" t="str">
        <f aca="false">IF(A85="","",INVENTÁRIO!B85)</f>
        <v/>
      </c>
      <c r="C85" s="16" t="str">
        <f aca="false">IF(A85="","",INVENTÁRIO!C85)</f>
        <v/>
      </c>
      <c r="D85" s="14" t="str">
        <f aca="false">IF(A85="","",MAX(K85:AD85))</f>
        <v/>
      </c>
      <c r="E85" s="14" t="str">
        <f aca="false">IF(A85="","",MAX(0,D85-C85))</f>
        <v/>
      </c>
      <c r="F85" s="16" t="str">
        <f aca="false">IF(A85="","",IF(D85=0,"Fora dos decks",IF(E85=0,"Completo","Falta")))</f>
        <v/>
      </c>
      <c r="G85" s="16" t="str">
        <f aca="false">IF(A85="","",COUNTIF(K85:AD85,"&gt;0"))</f>
        <v/>
      </c>
      <c r="H85" s="16" t="str">
        <f aca="false">IF(A85="","",IF(G85&gt;1,"Sim",""))</f>
        <v/>
      </c>
      <c r="I85" s="18" t="str">
        <f aca="false">IF(A85="","",SUMIFS(DECKS!$D$2:$D$1201,DECKS!$B$2:$B$1201,A85))</f>
        <v/>
      </c>
      <c r="J85" s="18" t="str">
        <f aca="false">IF(A85="","",MAX(0,I85-C85))</f>
        <v/>
      </c>
      <c r="K85" s="19" t="str">
        <f aca="false">IF(OR($A85="",INDEX(_LEITURA!$Q$2:$Q$21,1)=0),"",SUMIFS(DECKS!$D$2:$D$1201,DECKS!$A$2:$A$1201,INDEX(_LEITURA!$P$2:$P$21,1),DECKS!$B$2:$B$1201,$A85))</f>
        <v/>
      </c>
      <c r="L85" s="19" t="str">
        <f aca="false">IF(OR($A85="",INDEX(_LEITURA!$Q$2:$Q$21,2)=0),"",SUMIFS(DECKS!$D$2:$D$1201,DECKS!$A$2:$A$1201,INDEX(_LEITURA!$P$2:$P$21,2),DECKS!$B$2:$B$1201,$A85))</f>
        <v/>
      </c>
      <c r="M85" s="19" t="str">
        <f aca="false">IF(OR($A85="",INDEX(_LEITURA!$Q$2:$Q$21,3)=0),"",SUMIFS(DECKS!$D$2:$D$1201,DECKS!$A$2:$A$1201,INDEX(_LEITURA!$P$2:$P$21,3),DECKS!$B$2:$B$1201,$A85))</f>
        <v/>
      </c>
      <c r="N85" s="19" t="str">
        <f aca="false">IF(OR($A85="",INDEX(_LEITURA!$Q$2:$Q$21,4)=0),"",SUMIFS(DECKS!$D$2:$D$1201,DECKS!$A$2:$A$1201,INDEX(_LEITURA!$P$2:$P$21,4),DECKS!$B$2:$B$1201,$A85))</f>
        <v/>
      </c>
      <c r="O85" s="19" t="str">
        <f aca="false">IF(OR($A85="",INDEX(_LEITURA!$Q$2:$Q$21,5)=0),"",SUMIFS(DECKS!$D$2:$D$1201,DECKS!$A$2:$A$1201,INDEX(_LEITURA!$P$2:$P$21,5),DECKS!$B$2:$B$1201,$A85))</f>
        <v/>
      </c>
      <c r="P85" s="19" t="str">
        <f aca="false">IF(OR($A85="",INDEX(_LEITURA!$Q$2:$Q$21,6)=0),"",SUMIFS(DECKS!$D$2:$D$1201,DECKS!$A$2:$A$1201,INDEX(_LEITURA!$P$2:$P$21,6),DECKS!$B$2:$B$1201,$A85))</f>
        <v/>
      </c>
      <c r="Q85" s="19" t="str">
        <f aca="false">IF(OR($A85="",INDEX(_LEITURA!$Q$2:$Q$21,7)=0),"",SUMIFS(DECKS!$D$2:$D$1201,DECKS!$A$2:$A$1201,INDEX(_LEITURA!$P$2:$P$21,7),DECKS!$B$2:$B$1201,$A85))</f>
        <v/>
      </c>
      <c r="R85" s="19" t="str">
        <f aca="false">IF(OR($A85="",INDEX(_LEITURA!$Q$2:$Q$21,8)=0),"",SUMIFS(DECKS!$D$2:$D$1201,DECKS!$A$2:$A$1201,INDEX(_LEITURA!$P$2:$P$21,8),DECKS!$B$2:$B$1201,$A85))</f>
        <v/>
      </c>
      <c r="S85" s="19" t="str">
        <f aca="false">IF(OR($A85="",INDEX(_LEITURA!$Q$2:$Q$21,9)=0),"",SUMIFS(DECKS!$D$2:$D$1201,DECKS!$A$2:$A$1201,INDEX(_LEITURA!$P$2:$P$21,9),DECKS!$B$2:$B$1201,$A85))</f>
        <v/>
      </c>
      <c r="T85" s="19" t="str">
        <f aca="false">IF(OR($A85="",INDEX(_LEITURA!$Q$2:$Q$21,10)=0),"",SUMIFS(DECKS!$D$2:$D$1201,DECKS!$A$2:$A$1201,INDEX(_LEITURA!$P$2:$P$21,10),DECKS!$B$2:$B$1201,$A85))</f>
        <v/>
      </c>
      <c r="U85" s="19" t="str">
        <f aca="false">IF(OR($A85="",INDEX(_LEITURA!$Q$2:$Q$21,11)=0),"",SUMIFS(DECKS!$D$2:$D$1201,DECKS!$A$2:$A$1201,INDEX(_LEITURA!$P$2:$P$21,11),DECKS!$B$2:$B$1201,$A85))</f>
        <v/>
      </c>
      <c r="V85" s="19" t="str">
        <f aca="false">IF(OR($A85="",INDEX(_LEITURA!$Q$2:$Q$21,12)=0),"",SUMIFS(DECKS!$D$2:$D$1201,DECKS!$A$2:$A$1201,INDEX(_LEITURA!$P$2:$P$21,12),DECKS!$B$2:$B$1201,$A85))</f>
        <v/>
      </c>
      <c r="W85" s="19" t="str">
        <f aca="false">IF(OR($A85="",INDEX(_LEITURA!$Q$2:$Q$21,13)=0),"",SUMIFS(DECKS!$D$2:$D$1201,DECKS!$A$2:$A$1201,INDEX(_LEITURA!$P$2:$P$21,13),DECKS!$B$2:$B$1201,$A85))</f>
        <v/>
      </c>
      <c r="X85" s="19" t="str">
        <f aca="false">IF(OR($A85="",INDEX(_LEITURA!$Q$2:$Q$21,14)=0),"",SUMIFS(DECKS!$D$2:$D$1201,DECKS!$A$2:$A$1201,INDEX(_LEITURA!$P$2:$P$21,14),DECKS!$B$2:$B$1201,$A85))</f>
        <v/>
      </c>
      <c r="Y85" s="19" t="str">
        <f aca="false">IF(OR($A85="",INDEX(_LEITURA!$Q$2:$Q$21,15)=0),"",SUMIFS(DECKS!$D$2:$D$1201,DECKS!$A$2:$A$1201,INDEX(_LEITURA!$P$2:$P$21,15),DECKS!$B$2:$B$1201,$A85))</f>
        <v/>
      </c>
      <c r="Z85" s="19" t="str">
        <f aca="false">IF(OR($A85="",INDEX(_LEITURA!$Q$2:$Q$21,16)=0),"",SUMIFS(DECKS!$D$2:$D$1201,DECKS!$A$2:$A$1201,INDEX(_LEITURA!$P$2:$P$21,16),DECKS!$B$2:$B$1201,$A85))</f>
        <v/>
      </c>
      <c r="AA85" s="19" t="str">
        <f aca="false">IF(OR($A85="",INDEX(_LEITURA!$Q$2:$Q$21,17)=0),"",SUMIFS(DECKS!$D$2:$D$1201,DECKS!$A$2:$A$1201,INDEX(_LEITURA!$P$2:$P$21,17),DECKS!$B$2:$B$1201,$A85))</f>
        <v/>
      </c>
      <c r="AB85" s="19" t="str">
        <f aca="false">IF(OR($A85="",INDEX(_LEITURA!$Q$2:$Q$21,18)=0),"",SUMIFS(DECKS!$D$2:$D$1201,DECKS!$A$2:$A$1201,INDEX(_LEITURA!$P$2:$P$21,18),DECKS!$B$2:$B$1201,$A85))</f>
        <v/>
      </c>
      <c r="AC85" s="19" t="str">
        <f aca="false">IF(OR($A85="",INDEX(_LEITURA!$Q$2:$Q$21,19)=0),"",SUMIFS(DECKS!$D$2:$D$1201,DECKS!$A$2:$A$1201,INDEX(_LEITURA!$P$2:$P$21,19),DECKS!$B$2:$B$1201,$A85))</f>
        <v/>
      </c>
      <c r="AD85" s="19" t="str">
        <f aca="false">IF(OR($A85="",INDEX(_LEITURA!$Q$2:$Q$21,20)=0),"",SUMIFS(DECKS!$D$2:$D$1201,DECKS!$A$2:$A$1201,INDEX(_LEITURA!$P$2:$P$21,20),DECKS!$B$2:$B$1201,$A85))</f>
        <v/>
      </c>
      <c r="AE85" s="16" t="str">
        <f aca="false">IF(N(E85)&gt;0,MAX(AE$1:AE84)+1,"")</f>
        <v/>
      </c>
      <c r="AF85" s="11" t="str">
        <f aca="false">IF(A85="","",IFERROR(LEFT(A85,FIND("-",A85)-1),A85))</f>
        <v/>
      </c>
      <c r="AG85" s="11" t="str">
        <f aca="false">IF(AF85="","",IF(ISNUMBER(--MID(AF85,1,1)),0,IF(ISNUMBER(--MID(AF85,2,1)),1,IF(ISNUMBER(--MID(AF85,3,1)),2,IF(ISNUMBER(--MID(AF85,4,1)),3,MIN(LEN(AF85),4))))))</f>
        <v/>
      </c>
      <c r="AH85" s="11" t="str">
        <f aca="false">IF(A85="","",LEFT(AF85,AG85)&amp;REPT("0",4-AG85)&amp;RIGHT("000"&amp;IFERROR(VALUE(MID(AF85,AG85+1,9)),0),3)&amp;RIGHT("0000"&amp;IFERROR(VALUE(MID(A85,FIND("-",A85)+1,9)),0),4))</f>
        <v/>
      </c>
      <c r="AI85" s="11" t="str">
        <f aca="false">IF(OR(A85="",N(E85)&lt;=0),"",IF('FALTAS GERAL'!$M$1="Código","K"&amp;AH85&amp;RIGHT("00000"&amp;ROW(),5),IF('FALTAS GERAL'!$M$1="Nome","K"&amp;UPPER(SUBSTITUTE(SUBSTITUTE(SUBSTITUTE(B85,"*",""),"?",""),"~",""))&amp;"0"&amp;AH85&amp;RIGHT("00000"&amp;ROW(),5),IF('FALTAS GERAL'!$M$1="Falta (maior primeiro)","K"&amp;RIGHT("0000"&amp;(9999-E85),4)&amp;AH85&amp;RIGHT("00000"&amp;ROW(),5),IF('FALTAS GERAL'!$M$1="Nº de decks (maior primeiro)","K"&amp;RIGHT("00"&amp;(99-N(G85)),2)&amp;AH85&amp;RIGHT("00000"&amp;ROW(),5),"K"&amp;RIGHT("00000"&amp;ROW(),5))))))</f>
        <v/>
      </c>
      <c r="AJ85" s="11" t="str">
        <f aca="false">IF(AI85="","",COUNTIFS($AI$2:$AI$801,"&lt;"&amp;AI85,$E$2:$E$801,"&gt;0")+1)</f>
        <v/>
      </c>
      <c r="AK85" s="11" t="str">
        <f aca="false">IF(OR(A85="",N(E85)&lt;=0),"",COUNTIFS($AH$2:$AH$801,"&lt;"&amp;AH85,$E$2:$E$801,"&gt;0")+COUNTIFS($AH$2:AH85,AH85,$E$2:E85,"&gt;0"))</f>
        <v/>
      </c>
    </row>
    <row r="86" customFormat="false" ht="15" hidden="false" customHeight="false" outlineLevel="0" collapsed="false">
      <c r="A86" s="11" t="str">
        <f aca="false">IF(INVENTÁRIO!A86="","",INVENTÁRIO!A86)</f>
        <v/>
      </c>
      <c r="B86" s="11" t="str">
        <f aca="false">IF(A86="","",INVENTÁRIO!B86)</f>
        <v/>
      </c>
      <c r="C86" s="16" t="str">
        <f aca="false">IF(A86="","",INVENTÁRIO!C86)</f>
        <v/>
      </c>
      <c r="D86" s="14" t="str">
        <f aca="false">IF(A86="","",MAX(K86:AD86))</f>
        <v/>
      </c>
      <c r="E86" s="14" t="str">
        <f aca="false">IF(A86="","",MAX(0,D86-C86))</f>
        <v/>
      </c>
      <c r="F86" s="16" t="str">
        <f aca="false">IF(A86="","",IF(D86=0,"Fora dos decks",IF(E86=0,"Completo","Falta")))</f>
        <v/>
      </c>
      <c r="G86" s="16" t="str">
        <f aca="false">IF(A86="","",COUNTIF(K86:AD86,"&gt;0"))</f>
        <v/>
      </c>
      <c r="H86" s="16" t="str">
        <f aca="false">IF(A86="","",IF(G86&gt;1,"Sim",""))</f>
        <v/>
      </c>
      <c r="I86" s="18" t="str">
        <f aca="false">IF(A86="","",SUMIFS(DECKS!$D$2:$D$1201,DECKS!$B$2:$B$1201,A86))</f>
        <v/>
      </c>
      <c r="J86" s="18" t="str">
        <f aca="false">IF(A86="","",MAX(0,I86-C86))</f>
        <v/>
      </c>
      <c r="K86" s="19" t="str">
        <f aca="false">IF(OR($A86="",INDEX(_LEITURA!$Q$2:$Q$21,1)=0),"",SUMIFS(DECKS!$D$2:$D$1201,DECKS!$A$2:$A$1201,INDEX(_LEITURA!$P$2:$P$21,1),DECKS!$B$2:$B$1201,$A86))</f>
        <v/>
      </c>
      <c r="L86" s="19" t="str">
        <f aca="false">IF(OR($A86="",INDEX(_LEITURA!$Q$2:$Q$21,2)=0),"",SUMIFS(DECKS!$D$2:$D$1201,DECKS!$A$2:$A$1201,INDEX(_LEITURA!$P$2:$P$21,2),DECKS!$B$2:$B$1201,$A86))</f>
        <v/>
      </c>
      <c r="M86" s="19" t="str">
        <f aca="false">IF(OR($A86="",INDEX(_LEITURA!$Q$2:$Q$21,3)=0),"",SUMIFS(DECKS!$D$2:$D$1201,DECKS!$A$2:$A$1201,INDEX(_LEITURA!$P$2:$P$21,3),DECKS!$B$2:$B$1201,$A86))</f>
        <v/>
      </c>
      <c r="N86" s="19" t="str">
        <f aca="false">IF(OR($A86="",INDEX(_LEITURA!$Q$2:$Q$21,4)=0),"",SUMIFS(DECKS!$D$2:$D$1201,DECKS!$A$2:$A$1201,INDEX(_LEITURA!$P$2:$P$21,4),DECKS!$B$2:$B$1201,$A86))</f>
        <v/>
      </c>
      <c r="O86" s="19" t="str">
        <f aca="false">IF(OR($A86="",INDEX(_LEITURA!$Q$2:$Q$21,5)=0),"",SUMIFS(DECKS!$D$2:$D$1201,DECKS!$A$2:$A$1201,INDEX(_LEITURA!$P$2:$P$21,5),DECKS!$B$2:$B$1201,$A86))</f>
        <v/>
      </c>
      <c r="P86" s="19" t="str">
        <f aca="false">IF(OR($A86="",INDEX(_LEITURA!$Q$2:$Q$21,6)=0),"",SUMIFS(DECKS!$D$2:$D$1201,DECKS!$A$2:$A$1201,INDEX(_LEITURA!$P$2:$P$21,6),DECKS!$B$2:$B$1201,$A86))</f>
        <v/>
      </c>
      <c r="Q86" s="19" t="str">
        <f aca="false">IF(OR($A86="",INDEX(_LEITURA!$Q$2:$Q$21,7)=0),"",SUMIFS(DECKS!$D$2:$D$1201,DECKS!$A$2:$A$1201,INDEX(_LEITURA!$P$2:$P$21,7),DECKS!$B$2:$B$1201,$A86))</f>
        <v/>
      </c>
      <c r="R86" s="19" t="str">
        <f aca="false">IF(OR($A86="",INDEX(_LEITURA!$Q$2:$Q$21,8)=0),"",SUMIFS(DECKS!$D$2:$D$1201,DECKS!$A$2:$A$1201,INDEX(_LEITURA!$P$2:$P$21,8),DECKS!$B$2:$B$1201,$A86))</f>
        <v/>
      </c>
      <c r="S86" s="19" t="str">
        <f aca="false">IF(OR($A86="",INDEX(_LEITURA!$Q$2:$Q$21,9)=0),"",SUMIFS(DECKS!$D$2:$D$1201,DECKS!$A$2:$A$1201,INDEX(_LEITURA!$P$2:$P$21,9),DECKS!$B$2:$B$1201,$A86))</f>
        <v/>
      </c>
      <c r="T86" s="19" t="str">
        <f aca="false">IF(OR($A86="",INDEX(_LEITURA!$Q$2:$Q$21,10)=0),"",SUMIFS(DECKS!$D$2:$D$1201,DECKS!$A$2:$A$1201,INDEX(_LEITURA!$P$2:$P$21,10),DECKS!$B$2:$B$1201,$A86))</f>
        <v/>
      </c>
      <c r="U86" s="19" t="str">
        <f aca="false">IF(OR($A86="",INDEX(_LEITURA!$Q$2:$Q$21,11)=0),"",SUMIFS(DECKS!$D$2:$D$1201,DECKS!$A$2:$A$1201,INDEX(_LEITURA!$P$2:$P$21,11),DECKS!$B$2:$B$1201,$A86))</f>
        <v/>
      </c>
      <c r="V86" s="19" t="str">
        <f aca="false">IF(OR($A86="",INDEX(_LEITURA!$Q$2:$Q$21,12)=0),"",SUMIFS(DECKS!$D$2:$D$1201,DECKS!$A$2:$A$1201,INDEX(_LEITURA!$P$2:$P$21,12),DECKS!$B$2:$B$1201,$A86))</f>
        <v/>
      </c>
      <c r="W86" s="19" t="str">
        <f aca="false">IF(OR($A86="",INDEX(_LEITURA!$Q$2:$Q$21,13)=0),"",SUMIFS(DECKS!$D$2:$D$1201,DECKS!$A$2:$A$1201,INDEX(_LEITURA!$P$2:$P$21,13),DECKS!$B$2:$B$1201,$A86))</f>
        <v/>
      </c>
      <c r="X86" s="19" t="str">
        <f aca="false">IF(OR($A86="",INDEX(_LEITURA!$Q$2:$Q$21,14)=0),"",SUMIFS(DECKS!$D$2:$D$1201,DECKS!$A$2:$A$1201,INDEX(_LEITURA!$P$2:$P$21,14),DECKS!$B$2:$B$1201,$A86))</f>
        <v/>
      </c>
      <c r="Y86" s="19" t="str">
        <f aca="false">IF(OR($A86="",INDEX(_LEITURA!$Q$2:$Q$21,15)=0),"",SUMIFS(DECKS!$D$2:$D$1201,DECKS!$A$2:$A$1201,INDEX(_LEITURA!$P$2:$P$21,15),DECKS!$B$2:$B$1201,$A86))</f>
        <v/>
      </c>
      <c r="Z86" s="19" t="str">
        <f aca="false">IF(OR($A86="",INDEX(_LEITURA!$Q$2:$Q$21,16)=0),"",SUMIFS(DECKS!$D$2:$D$1201,DECKS!$A$2:$A$1201,INDEX(_LEITURA!$P$2:$P$21,16),DECKS!$B$2:$B$1201,$A86))</f>
        <v/>
      </c>
      <c r="AA86" s="19" t="str">
        <f aca="false">IF(OR($A86="",INDEX(_LEITURA!$Q$2:$Q$21,17)=0),"",SUMIFS(DECKS!$D$2:$D$1201,DECKS!$A$2:$A$1201,INDEX(_LEITURA!$P$2:$P$21,17),DECKS!$B$2:$B$1201,$A86))</f>
        <v/>
      </c>
      <c r="AB86" s="19" t="str">
        <f aca="false">IF(OR($A86="",INDEX(_LEITURA!$Q$2:$Q$21,18)=0),"",SUMIFS(DECKS!$D$2:$D$1201,DECKS!$A$2:$A$1201,INDEX(_LEITURA!$P$2:$P$21,18),DECKS!$B$2:$B$1201,$A86))</f>
        <v/>
      </c>
      <c r="AC86" s="19" t="str">
        <f aca="false">IF(OR($A86="",INDEX(_LEITURA!$Q$2:$Q$21,19)=0),"",SUMIFS(DECKS!$D$2:$D$1201,DECKS!$A$2:$A$1201,INDEX(_LEITURA!$P$2:$P$21,19),DECKS!$B$2:$B$1201,$A86))</f>
        <v/>
      </c>
      <c r="AD86" s="19" t="str">
        <f aca="false">IF(OR($A86="",INDEX(_LEITURA!$Q$2:$Q$21,20)=0),"",SUMIFS(DECKS!$D$2:$D$1201,DECKS!$A$2:$A$1201,INDEX(_LEITURA!$P$2:$P$21,20),DECKS!$B$2:$B$1201,$A86))</f>
        <v/>
      </c>
      <c r="AE86" s="16" t="str">
        <f aca="false">IF(N(E86)&gt;0,MAX(AE$1:AE85)+1,"")</f>
        <v/>
      </c>
      <c r="AF86" s="11" t="str">
        <f aca="false">IF(A86="","",IFERROR(LEFT(A86,FIND("-",A86)-1),A86))</f>
        <v/>
      </c>
      <c r="AG86" s="11" t="str">
        <f aca="false">IF(AF86="","",IF(ISNUMBER(--MID(AF86,1,1)),0,IF(ISNUMBER(--MID(AF86,2,1)),1,IF(ISNUMBER(--MID(AF86,3,1)),2,IF(ISNUMBER(--MID(AF86,4,1)),3,MIN(LEN(AF86),4))))))</f>
        <v/>
      </c>
      <c r="AH86" s="11" t="str">
        <f aca="false">IF(A86="","",LEFT(AF86,AG86)&amp;REPT("0",4-AG86)&amp;RIGHT("000"&amp;IFERROR(VALUE(MID(AF86,AG86+1,9)),0),3)&amp;RIGHT("0000"&amp;IFERROR(VALUE(MID(A86,FIND("-",A86)+1,9)),0),4))</f>
        <v/>
      </c>
      <c r="AI86" s="11" t="str">
        <f aca="false">IF(OR(A86="",N(E86)&lt;=0),"",IF('FALTAS GERAL'!$M$1="Código","K"&amp;AH86&amp;RIGHT("00000"&amp;ROW(),5),IF('FALTAS GERAL'!$M$1="Nome","K"&amp;UPPER(SUBSTITUTE(SUBSTITUTE(SUBSTITUTE(B86,"*",""),"?",""),"~",""))&amp;"0"&amp;AH86&amp;RIGHT("00000"&amp;ROW(),5),IF('FALTAS GERAL'!$M$1="Falta (maior primeiro)","K"&amp;RIGHT("0000"&amp;(9999-E86),4)&amp;AH86&amp;RIGHT("00000"&amp;ROW(),5),IF('FALTAS GERAL'!$M$1="Nº de decks (maior primeiro)","K"&amp;RIGHT("00"&amp;(99-N(G86)),2)&amp;AH86&amp;RIGHT("00000"&amp;ROW(),5),"K"&amp;RIGHT("00000"&amp;ROW(),5))))))</f>
        <v/>
      </c>
      <c r="AJ86" s="11" t="str">
        <f aca="false">IF(AI86="","",COUNTIFS($AI$2:$AI$801,"&lt;"&amp;AI86,$E$2:$E$801,"&gt;0")+1)</f>
        <v/>
      </c>
      <c r="AK86" s="11" t="str">
        <f aca="false">IF(OR(A86="",N(E86)&lt;=0),"",COUNTIFS($AH$2:$AH$801,"&lt;"&amp;AH86,$E$2:$E$801,"&gt;0")+COUNTIFS($AH$2:AH86,AH86,$E$2:E86,"&gt;0"))</f>
        <v/>
      </c>
    </row>
    <row r="87" customFormat="false" ht="15" hidden="false" customHeight="false" outlineLevel="0" collapsed="false">
      <c r="A87" s="11" t="str">
        <f aca="false">IF(INVENTÁRIO!A87="","",INVENTÁRIO!A87)</f>
        <v/>
      </c>
      <c r="B87" s="11" t="str">
        <f aca="false">IF(A87="","",INVENTÁRIO!B87)</f>
        <v/>
      </c>
      <c r="C87" s="16" t="str">
        <f aca="false">IF(A87="","",INVENTÁRIO!C87)</f>
        <v/>
      </c>
      <c r="D87" s="14" t="str">
        <f aca="false">IF(A87="","",MAX(K87:AD87))</f>
        <v/>
      </c>
      <c r="E87" s="14" t="str">
        <f aca="false">IF(A87="","",MAX(0,D87-C87))</f>
        <v/>
      </c>
      <c r="F87" s="16" t="str">
        <f aca="false">IF(A87="","",IF(D87=0,"Fora dos decks",IF(E87=0,"Completo","Falta")))</f>
        <v/>
      </c>
      <c r="G87" s="16" t="str">
        <f aca="false">IF(A87="","",COUNTIF(K87:AD87,"&gt;0"))</f>
        <v/>
      </c>
      <c r="H87" s="16" t="str">
        <f aca="false">IF(A87="","",IF(G87&gt;1,"Sim",""))</f>
        <v/>
      </c>
      <c r="I87" s="18" t="str">
        <f aca="false">IF(A87="","",SUMIFS(DECKS!$D$2:$D$1201,DECKS!$B$2:$B$1201,A87))</f>
        <v/>
      </c>
      <c r="J87" s="18" t="str">
        <f aca="false">IF(A87="","",MAX(0,I87-C87))</f>
        <v/>
      </c>
      <c r="K87" s="19" t="str">
        <f aca="false">IF(OR($A87="",INDEX(_LEITURA!$Q$2:$Q$21,1)=0),"",SUMIFS(DECKS!$D$2:$D$1201,DECKS!$A$2:$A$1201,INDEX(_LEITURA!$P$2:$P$21,1),DECKS!$B$2:$B$1201,$A87))</f>
        <v/>
      </c>
      <c r="L87" s="19" t="str">
        <f aca="false">IF(OR($A87="",INDEX(_LEITURA!$Q$2:$Q$21,2)=0),"",SUMIFS(DECKS!$D$2:$D$1201,DECKS!$A$2:$A$1201,INDEX(_LEITURA!$P$2:$P$21,2),DECKS!$B$2:$B$1201,$A87))</f>
        <v/>
      </c>
      <c r="M87" s="19" t="str">
        <f aca="false">IF(OR($A87="",INDEX(_LEITURA!$Q$2:$Q$21,3)=0),"",SUMIFS(DECKS!$D$2:$D$1201,DECKS!$A$2:$A$1201,INDEX(_LEITURA!$P$2:$P$21,3),DECKS!$B$2:$B$1201,$A87))</f>
        <v/>
      </c>
      <c r="N87" s="19" t="str">
        <f aca="false">IF(OR($A87="",INDEX(_LEITURA!$Q$2:$Q$21,4)=0),"",SUMIFS(DECKS!$D$2:$D$1201,DECKS!$A$2:$A$1201,INDEX(_LEITURA!$P$2:$P$21,4),DECKS!$B$2:$B$1201,$A87))</f>
        <v/>
      </c>
      <c r="O87" s="19" t="str">
        <f aca="false">IF(OR($A87="",INDEX(_LEITURA!$Q$2:$Q$21,5)=0),"",SUMIFS(DECKS!$D$2:$D$1201,DECKS!$A$2:$A$1201,INDEX(_LEITURA!$P$2:$P$21,5),DECKS!$B$2:$B$1201,$A87))</f>
        <v/>
      </c>
      <c r="P87" s="19" t="str">
        <f aca="false">IF(OR($A87="",INDEX(_LEITURA!$Q$2:$Q$21,6)=0),"",SUMIFS(DECKS!$D$2:$D$1201,DECKS!$A$2:$A$1201,INDEX(_LEITURA!$P$2:$P$21,6),DECKS!$B$2:$B$1201,$A87))</f>
        <v/>
      </c>
      <c r="Q87" s="19" t="str">
        <f aca="false">IF(OR($A87="",INDEX(_LEITURA!$Q$2:$Q$21,7)=0),"",SUMIFS(DECKS!$D$2:$D$1201,DECKS!$A$2:$A$1201,INDEX(_LEITURA!$P$2:$P$21,7),DECKS!$B$2:$B$1201,$A87))</f>
        <v/>
      </c>
      <c r="R87" s="19" t="str">
        <f aca="false">IF(OR($A87="",INDEX(_LEITURA!$Q$2:$Q$21,8)=0),"",SUMIFS(DECKS!$D$2:$D$1201,DECKS!$A$2:$A$1201,INDEX(_LEITURA!$P$2:$P$21,8),DECKS!$B$2:$B$1201,$A87))</f>
        <v/>
      </c>
      <c r="S87" s="19" t="str">
        <f aca="false">IF(OR($A87="",INDEX(_LEITURA!$Q$2:$Q$21,9)=0),"",SUMIFS(DECKS!$D$2:$D$1201,DECKS!$A$2:$A$1201,INDEX(_LEITURA!$P$2:$P$21,9),DECKS!$B$2:$B$1201,$A87))</f>
        <v/>
      </c>
      <c r="T87" s="19" t="str">
        <f aca="false">IF(OR($A87="",INDEX(_LEITURA!$Q$2:$Q$21,10)=0),"",SUMIFS(DECKS!$D$2:$D$1201,DECKS!$A$2:$A$1201,INDEX(_LEITURA!$P$2:$P$21,10),DECKS!$B$2:$B$1201,$A87))</f>
        <v/>
      </c>
      <c r="U87" s="19" t="str">
        <f aca="false">IF(OR($A87="",INDEX(_LEITURA!$Q$2:$Q$21,11)=0),"",SUMIFS(DECKS!$D$2:$D$1201,DECKS!$A$2:$A$1201,INDEX(_LEITURA!$P$2:$P$21,11),DECKS!$B$2:$B$1201,$A87))</f>
        <v/>
      </c>
      <c r="V87" s="19" t="str">
        <f aca="false">IF(OR($A87="",INDEX(_LEITURA!$Q$2:$Q$21,12)=0),"",SUMIFS(DECKS!$D$2:$D$1201,DECKS!$A$2:$A$1201,INDEX(_LEITURA!$P$2:$P$21,12),DECKS!$B$2:$B$1201,$A87))</f>
        <v/>
      </c>
      <c r="W87" s="19" t="str">
        <f aca="false">IF(OR($A87="",INDEX(_LEITURA!$Q$2:$Q$21,13)=0),"",SUMIFS(DECKS!$D$2:$D$1201,DECKS!$A$2:$A$1201,INDEX(_LEITURA!$P$2:$P$21,13),DECKS!$B$2:$B$1201,$A87))</f>
        <v/>
      </c>
      <c r="X87" s="19" t="str">
        <f aca="false">IF(OR($A87="",INDEX(_LEITURA!$Q$2:$Q$21,14)=0),"",SUMIFS(DECKS!$D$2:$D$1201,DECKS!$A$2:$A$1201,INDEX(_LEITURA!$P$2:$P$21,14),DECKS!$B$2:$B$1201,$A87))</f>
        <v/>
      </c>
      <c r="Y87" s="19" t="str">
        <f aca="false">IF(OR($A87="",INDEX(_LEITURA!$Q$2:$Q$21,15)=0),"",SUMIFS(DECKS!$D$2:$D$1201,DECKS!$A$2:$A$1201,INDEX(_LEITURA!$P$2:$P$21,15),DECKS!$B$2:$B$1201,$A87))</f>
        <v/>
      </c>
      <c r="Z87" s="19" t="str">
        <f aca="false">IF(OR($A87="",INDEX(_LEITURA!$Q$2:$Q$21,16)=0),"",SUMIFS(DECKS!$D$2:$D$1201,DECKS!$A$2:$A$1201,INDEX(_LEITURA!$P$2:$P$21,16),DECKS!$B$2:$B$1201,$A87))</f>
        <v/>
      </c>
      <c r="AA87" s="19" t="str">
        <f aca="false">IF(OR($A87="",INDEX(_LEITURA!$Q$2:$Q$21,17)=0),"",SUMIFS(DECKS!$D$2:$D$1201,DECKS!$A$2:$A$1201,INDEX(_LEITURA!$P$2:$P$21,17),DECKS!$B$2:$B$1201,$A87))</f>
        <v/>
      </c>
      <c r="AB87" s="19" t="str">
        <f aca="false">IF(OR($A87="",INDEX(_LEITURA!$Q$2:$Q$21,18)=0),"",SUMIFS(DECKS!$D$2:$D$1201,DECKS!$A$2:$A$1201,INDEX(_LEITURA!$P$2:$P$21,18),DECKS!$B$2:$B$1201,$A87))</f>
        <v/>
      </c>
      <c r="AC87" s="19" t="str">
        <f aca="false">IF(OR($A87="",INDEX(_LEITURA!$Q$2:$Q$21,19)=0),"",SUMIFS(DECKS!$D$2:$D$1201,DECKS!$A$2:$A$1201,INDEX(_LEITURA!$P$2:$P$21,19),DECKS!$B$2:$B$1201,$A87))</f>
        <v/>
      </c>
      <c r="AD87" s="19" t="str">
        <f aca="false">IF(OR($A87="",INDEX(_LEITURA!$Q$2:$Q$21,20)=0),"",SUMIFS(DECKS!$D$2:$D$1201,DECKS!$A$2:$A$1201,INDEX(_LEITURA!$P$2:$P$21,20),DECKS!$B$2:$B$1201,$A87))</f>
        <v/>
      </c>
      <c r="AE87" s="16" t="str">
        <f aca="false">IF(N(E87)&gt;0,MAX(AE$1:AE86)+1,"")</f>
        <v/>
      </c>
      <c r="AF87" s="11" t="str">
        <f aca="false">IF(A87="","",IFERROR(LEFT(A87,FIND("-",A87)-1),A87))</f>
        <v/>
      </c>
      <c r="AG87" s="11" t="str">
        <f aca="false">IF(AF87="","",IF(ISNUMBER(--MID(AF87,1,1)),0,IF(ISNUMBER(--MID(AF87,2,1)),1,IF(ISNUMBER(--MID(AF87,3,1)),2,IF(ISNUMBER(--MID(AF87,4,1)),3,MIN(LEN(AF87),4))))))</f>
        <v/>
      </c>
      <c r="AH87" s="11" t="str">
        <f aca="false">IF(A87="","",LEFT(AF87,AG87)&amp;REPT("0",4-AG87)&amp;RIGHT("000"&amp;IFERROR(VALUE(MID(AF87,AG87+1,9)),0),3)&amp;RIGHT("0000"&amp;IFERROR(VALUE(MID(A87,FIND("-",A87)+1,9)),0),4))</f>
        <v/>
      </c>
      <c r="AI87" s="11" t="str">
        <f aca="false">IF(OR(A87="",N(E87)&lt;=0),"",IF('FALTAS GERAL'!$M$1="Código","K"&amp;AH87&amp;RIGHT("00000"&amp;ROW(),5),IF('FALTAS GERAL'!$M$1="Nome","K"&amp;UPPER(SUBSTITUTE(SUBSTITUTE(SUBSTITUTE(B87,"*",""),"?",""),"~",""))&amp;"0"&amp;AH87&amp;RIGHT("00000"&amp;ROW(),5),IF('FALTAS GERAL'!$M$1="Falta (maior primeiro)","K"&amp;RIGHT("0000"&amp;(9999-E87),4)&amp;AH87&amp;RIGHT("00000"&amp;ROW(),5),IF('FALTAS GERAL'!$M$1="Nº de decks (maior primeiro)","K"&amp;RIGHT("00"&amp;(99-N(G87)),2)&amp;AH87&amp;RIGHT("00000"&amp;ROW(),5),"K"&amp;RIGHT("00000"&amp;ROW(),5))))))</f>
        <v/>
      </c>
      <c r="AJ87" s="11" t="str">
        <f aca="false">IF(AI87="","",COUNTIFS($AI$2:$AI$801,"&lt;"&amp;AI87,$E$2:$E$801,"&gt;0")+1)</f>
        <v/>
      </c>
      <c r="AK87" s="11" t="str">
        <f aca="false">IF(OR(A87="",N(E87)&lt;=0),"",COUNTIFS($AH$2:$AH$801,"&lt;"&amp;AH87,$E$2:$E$801,"&gt;0")+COUNTIFS($AH$2:AH87,AH87,$E$2:E87,"&gt;0"))</f>
        <v/>
      </c>
    </row>
    <row r="88" customFormat="false" ht="15" hidden="false" customHeight="false" outlineLevel="0" collapsed="false">
      <c r="A88" s="11" t="str">
        <f aca="false">IF(INVENTÁRIO!A88="","",INVENTÁRIO!A88)</f>
        <v/>
      </c>
      <c r="B88" s="11" t="str">
        <f aca="false">IF(A88="","",INVENTÁRIO!B88)</f>
        <v/>
      </c>
      <c r="C88" s="16" t="str">
        <f aca="false">IF(A88="","",INVENTÁRIO!C88)</f>
        <v/>
      </c>
      <c r="D88" s="14" t="str">
        <f aca="false">IF(A88="","",MAX(K88:AD88))</f>
        <v/>
      </c>
      <c r="E88" s="14" t="str">
        <f aca="false">IF(A88="","",MAX(0,D88-C88))</f>
        <v/>
      </c>
      <c r="F88" s="16" t="str">
        <f aca="false">IF(A88="","",IF(D88=0,"Fora dos decks",IF(E88=0,"Completo","Falta")))</f>
        <v/>
      </c>
      <c r="G88" s="16" t="str">
        <f aca="false">IF(A88="","",COUNTIF(K88:AD88,"&gt;0"))</f>
        <v/>
      </c>
      <c r="H88" s="16" t="str">
        <f aca="false">IF(A88="","",IF(G88&gt;1,"Sim",""))</f>
        <v/>
      </c>
      <c r="I88" s="18" t="str">
        <f aca="false">IF(A88="","",SUMIFS(DECKS!$D$2:$D$1201,DECKS!$B$2:$B$1201,A88))</f>
        <v/>
      </c>
      <c r="J88" s="18" t="str">
        <f aca="false">IF(A88="","",MAX(0,I88-C88))</f>
        <v/>
      </c>
      <c r="K88" s="19" t="str">
        <f aca="false">IF(OR($A88="",INDEX(_LEITURA!$Q$2:$Q$21,1)=0),"",SUMIFS(DECKS!$D$2:$D$1201,DECKS!$A$2:$A$1201,INDEX(_LEITURA!$P$2:$P$21,1),DECKS!$B$2:$B$1201,$A88))</f>
        <v/>
      </c>
      <c r="L88" s="19" t="str">
        <f aca="false">IF(OR($A88="",INDEX(_LEITURA!$Q$2:$Q$21,2)=0),"",SUMIFS(DECKS!$D$2:$D$1201,DECKS!$A$2:$A$1201,INDEX(_LEITURA!$P$2:$P$21,2),DECKS!$B$2:$B$1201,$A88))</f>
        <v/>
      </c>
      <c r="M88" s="19" t="str">
        <f aca="false">IF(OR($A88="",INDEX(_LEITURA!$Q$2:$Q$21,3)=0),"",SUMIFS(DECKS!$D$2:$D$1201,DECKS!$A$2:$A$1201,INDEX(_LEITURA!$P$2:$P$21,3),DECKS!$B$2:$B$1201,$A88))</f>
        <v/>
      </c>
      <c r="N88" s="19" t="str">
        <f aca="false">IF(OR($A88="",INDEX(_LEITURA!$Q$2:$Q$21,4)=0),"",SUMIFS(DECKS!$D$2:$D$1201,DECKS!$A$2:$A$1201,INDEX(_LEITURA!$P$2:$P$21,4),DECKS!$B$2:$B$1201,$A88))</f>
        <v/>
      </c>
      <c r="O88" s="19" t="str">
        <f aca="false">IF(OR($A88="",INDEX(_LEITURA!$Q$2:$Q$21,5)=0),"",SUMIFS(DECKS!$D$2:$D$1201,DECKS!$A$2:$A$1201,INDEX(_LEITURA!$P$2:$P$21,5),DECKS!$B$2:$B$1201,$A88))</f>
        <v/>
      </c>
      <c r="P88" s="19" t="str">
        <f aca="false">IF(OR($A88="",INDEX(_LEITURA!$Q$2:$Q$21,6)=0),"",SUMIFS(DECKS!$D$2:$D$1201,DECKS!$A$2:$A$1201,INDEX(_LEITURA!$P$2:$P$21,6),DECKS!$B$2:$B$1201,$A88))</f>
        <v/>
      </c>
      <c r="Q88" s="19" t="str">
        <f aca="false">IF(OR($A88="",INDEX(_LEITURA!$Q$2:$Q$21,7)=0),"",SUMIFS(DECKS!$D$2:$D$1201,DECKS!$A$2:$A$1201,INDEX(_LEITURA!$P$2:$P$21,7),DECKS!$B$2:$B$1201,$A88))</f>
        <v/>
      </c>
      <c r="R88" s="19" t="str">
        <f aca="false">IF(OR($A88="",INDEX(_LEITURA!$Q$2:$Q$21,8)=0),"",SUMIFS(DECKS!$D$2:$D$1201,DECKS!$A$2:$A$1201,INDEX(_LEITURA!$P$2:$P$21,8),DECKS!$B$2:$B$1201,$A88))</f>
        <v/>
      </c>
      <c r="S88" s="19" t="str">
        <f aca="false">IF(OR($A88="",INDEX(_LEITURA!$Q$2:$Q$21,9)=0),"",SUMIFS(DECKS!$D$2:$D$1201,DECKS!$A$2:$A$1201,INDEX(_LEITURA!$P$2:$P$21,9),DECKS!$B$2:$B$1201,$A88))</f>
        <v/>
      </c>
      <c r="T88" s="19" t="str">
        <f aca="false">IF(OR($A88="",INDEX(_LEITURA!$Q$2:$Q$21,10)=0),"",SUMIFS(DECKS!$D$2:$D$1201,DECKS!$A$2:$A$1201,INDEX(_LEITURA!$P$2:$P$21,10),DECKS!$B$2:$B$1201,$A88))</f>
        <v/>
      </c>
      <c r="U88" s="19" t="str">
        <f aca="false">IF(OR($A88="",INDEX(_LEITURA!$Q$2:$Q$21,11)=0),"",SUMIFS(DECKS!$D$2:$D$1201,DECKS!$A$2:$A$1201,INDEX(_LEITURA!$P$2:$P$21,11),DECKS!$B$2:$B$1201,$A88))</f>
        <v/>
      </c>
      <c r="V88" s="19" t="str">
        <f aca="false">IF(OR($A88="",INDEX(_LEITURA!$Q$2:$Q$21,12)=0),"",SUMIFS(DECKS!$D$2:$D$1201,DECKS!$A$2:$A$1201,INDEX(_LEITURA!$P$2:$P$21,12),DECKS!$B$2:$B$1201,$A88))</f>
        <v/>
      </c>
      <c r="W88" s="19" t="str">
        <f aca="false">IF(OR($A88="",INDEX(_LEITURA!$Q$2:$Q$21,13)=0),"",SUMIFS(DECKS!$D$2:$D$1201,DECKS!$A$2:$A$1201,INDEX(_LEITURA!$P$2:$P$21,13),DECKS!$B$2:$B$1201,$A88))</f>
        <v/>
      </c>
      <c r="X88" s="19" t="str">
        <f aca="false">IF(OR($A88="",INDEX(_LEITURA!$Q$2:$Q$21,14)=0),"",SUMIFS(DECKS!$D$2:$D$1201,DECKS!$A$2:$A$1201,INDEX(_LEITURA!$P$2:$P$21,14),DECKS!$B$2:$B$1201,$A88))</f>
        <v/>
      </c>
      <c r="Y88" s="19" t="str">
        <f aca="false">IF(OR($A88="",INDEX(_LEITURA!$Q$2:$Q$21,15)=0),"",SUMIFS(DECKS!$D$2:$D$1201,DECKS!$A$2:$A$1201,INDEX(_LEITURA!$P$2:$P$21,15),DECKS!$B$2:$B$1201,$A88))</f>
        <v/>
      </c>
      <c r="Z88" s="19" t="str">
        <f aca="false">IF(OR($A88="",INDEX(_LEITURA!$Q$2:$Q$21,16)=0),"",SUMIFS(DECKS!$D$2:$D$1201,DECKS!$A$2:$A$1201,INDEX(_LEITURA!$P$2:$P$21,16),DECKS!$B$2:$B$1201,$A88))</f>
        <v/>
      </c>
      <c r="AA88" s="19" t="str">
        <f aca="false">IF(OR($A88="",INDEX(_LEITURA!$Q$2:$Q$21,17)=0),"",SUMIFS(DECKS!$D$2:$D$1201,DECKS!$A$2:$A$1201,INDEX(_LEITURA!$P$2:$P$21,17),DECKS!$B$2:$B$1201,$A88))</f>
        <v/>
      </c>
      <c r="AB88" s="19" t="str">
        <f aca="false">IF(OR($A88="",INDEX(_LEITURA!$Q$2:$Q$21,18)=0),"",SUMIFS(DECKS!$D$2:$D$1201,DECKS!$A$2:$A$1201,INDEX(_LEITURA!$P$2:$P$21,18),DECKS!$B$2:$B$1201,$A88))</f>
        <v/>
      </c>
      <c r="AC88" s="19" t="str">
        <f aca="false">IF(OR($A88="",INDEX(_LEITURA!$Q$2:$Q$21,19)=0),"",SUMIFS(DECKS!$D$2:$D$1201,DECKS!$A$2:$A$1201,INDEX(_LEITURA!$P$2:$P$21,19),DECKS!$B$2:$B$1201,$A88))</f>
        <v/>
      </c>
      <c r="AD88" s="19" t="str">
        <f aca="false">IF(OR($A88="",INDEX(_LEITURA!$Q$2:$Q$21,20)=0),"",SUMIFS(DECKS!$D$2:$D$1201,DECKS!$A$2:$A$1201,INDEX(_LEITURA!$P$2:$P$21,20),DECKS!$B$2:$B$1201,$A88))</f>
        <v/>
      </c>
      <c r="AE88" s="16" t="str">
        <f aca="false">IF(N(E88)&gt;0,MAX(AE$1:AE87)+1,"")</f>
        <v/>
      </c>
      <c r="AF88" s="11" t="str">
        <f aca="false">IF(A88="","",IFERROR(LEFT(A88,FIND("-",A88)-1),A88))</f>
        <v/>
      </c>
      <c r="AG88" s="11" t="str">
        <f aca="false">IF(AF88="","",IF(ISNUMBER(--MID(AF88,1,1)),0,IF(ISNUMBER(--MID(AF88,2,1)),1,IF(ISNUMBER(--MID(AF88,3,1)),2,IF(ISNUMBER(--MID(AF88,4,1)),3,MIN(LEN(AF88),4))))))</f>
        <v/>
      </c>
      <c r="AH88" s="11" t="str">
        <f aca="false">IF(A88="","",LEFT(AF88,AG88)&amp;REPT("0",4-AG88)&amp;RIGHT("000"&amp;IFERROR(VALUE(MID(AF88,AG88+1,9)),0),3)&amp;RIGHT("0000"&amp;IFERROR(VALUE(MID(A88,FIND("-",A88)+1,9)),0),4))</f>
        <v/>
      </c>
      <c r="AI88" s="11" t="str">
        <f aca="false">IF(OR(A88="",N(E88)&lt;=0),"",IF('FALTAS GERAL'!$M$1="Código","K"&amp;AH88&amp;RIGHT("00000"&amp;ROW(),5),IF('FALTAS GERAL'!$M$1="Nome","K"&amp;UPPER(SUBSTITUTE(SUBSTITUTE(SUBSTITUTE(B88,"*",""),"?",""),"~",""))&amp;"0"&amp;AH88&amp;RIGHT("00000"&amp;ROW(),5),IF('FALTAS GERAL'!$M$1="Falta (maior primeiro)","K"&amp;RIGHT("0000"&amp;(9999-E88),4)&amp;AH88&amp;RIGHT("00000"&amp;ROW(),5),IF('FALTAS GERAL'!$M$1="Nº de decks (maior primeiro)","K"&amp;RIGHT("00"&amp;(99-N(G88)),2)&amp;AH88&amp;RIGHT("00000"&amp;ROW(),5),"K"&amp;RIGHT("00000"&amp;ROW(),5))))))</f>
        <v/>
      </c>
      <c r="AJ88" s="11" t="str">
        <f aca="false">IF(AI88="","",COUNTIFS($AI$2:$AI$801,"&lt;"&amp;AI88,$E$2:$E$801,"&gt;0")+1)</f>
        <v/>
      </c>
      <c r="AK88" s="11" t="str">
        <f aca="false">IF(OR(A88="",N(E88)&lt;=0),"",COUNTIFS($AH$2:$AH$801,"&lt;"&amp;AH88,$E$2:$E$801,"&gt;0")+COUNTIFS($AH$2:AH88,AH88,$E$2:E88,"&gt;0"))</f>
        <v/>
      </c>
    </row>
    <row r="89" customFormat="false" ht="15" hidden="false" customHeight="false" outlineLevel="0" collapsed="false">
      <c r="A89" s="11" t="str">
        <f aca="false">IF(INVENTÁRIO!A89="","",INVENTÁRIO!A89)</f>
        <v/>
      </c>
      <c r="B89" s="11" t="str">
        <f aca="false">IF(A89="","",INVENTÁRIO!B89)</f>
        <v/>
      </c>
      <c r="C89" s="16" t="str">
        <f aca="false">IF(A89="","",INVENTÁRIO!C89)</f>
        <v/>
      </c>
      <c r="D89" s="14" t="str">
        <f aca="false">IF(A89="","",MAX(K89:AD89))</f>
        <v/>
      </c>
      <c r="E89" s="14" t="str">
        <f aca="false">IF(A89="","",MAX(0,D89-C89))</f>
        <v/>
      </c>
      <c r="F89" s="16" t="str">
        <f aca="false">IF(A89="","",IF(D89=0,"Fora dos decks",IF(E89=0,"Completo","Falta")))</f>
        <v/>
      </c>
      <c r="G89" s="16" t="str">
        <f aca="false">IF(A89="","",COUNTIF(K89:AD89,"&gt;0"))</f>
        <v/>
      </c>
      <c r="H89" s="16" t="str">
        <f aca="false">IF(A89="","",IF(G89&gt;1,"Sim",""))</f>
        <v/>
      </c>
      <c r="I89" s="18" t="str">
        <f aca="false">IF(A89="","",SUMIFS(DECKS!$D$2:$D$1201,DECKS!$B$2:$B$1201,A89))</f>
        <v/>
      </c>
      <c r="J89" s="18" t="str">
        <f aca="false">IF(A89="","",MAX(0,I89-C89))</f>
        <v/>
      </c>
      <c r="K89" s="19" t="str">
        <f aca="false">IF(OR($A89="",INDEX(_LEITURA!$Q$2:$Q$21,1)=0),"",SUMIFS(DECKS!$D$2:$D$1201,DECKS!$A$2:$A$1201,INDEX(_LEITURA!$P$2:$P$21,1),DECKS!$B$2:$B$1201,$A89))</f>
        <v/>
      </c>
      <c r="L89" s="19" t="str">
        <f aca="false">IF(OR($A89="",INDEX(_LEITURA!$Q$2:$Q$21,2)=0),"",SUMIFS(DECKS!$D$2:$D$1201,DECKS!$A$2:$A$1201,INDEX(_LEITURA!$P$2:$P$21,2),DECKS!$B$2:$B$1201,$A89))</f>
        <v/>
      </c>
      <c r="M89" s="19" t="str">
        <f aca="false">IF(OR($A89="",INDEX(_LEITURA!$Q$2:$Q$21,3)=0),"",SUMIFS(DECKS!$D$2:$D$1201,DECKS!$A$2:$A$1201,INDEX(_LEITURA!$P$2:$P$21,3),DECKS!$B$2:$B$1201,$A89))</f>
        <v/>
      </c>
      <c r="N89" s="19" t="str">
        <f aca="false">IF(OR($A89="",INDEX(_LEITURA!$Q$2:$Q$21,4)=0),"",SUMIFS(DECKS!$D$2:$D$1201,DECKS!$A$2:$A$1201,INDEX(_LEITURA!$P$2:$P$21,4),DECKS!$B$2:$B$1201,$A89))</f>
        <v/>
      </c>
      <c r="O89" s="19" t="str">
        <f aca="false">IF(OR($A89="",INDEX(_LEITURA!$Q$2:$Q$21,5)=0),"",SUMIFS(DECKS!$D$2:$D$1201,DECKS!$A$2:$A$1201,INDEX(_LEITURA!$P$2:$P$21,5),DECKS!$B$2:$B$1201,$A89))</f>
        <v/>
      </c>
      <c r="P89" s="19" t="str">
        <f aca="false">IF(OR($A89="",INDEX(_LEITURA!$Q$2:$Q$21,6)=0),"",SUMIFS(DECKS!$D$2:$D$1201,DECKS!$A$2:$A$1201,INDEX(_LEITURA!$P$2:$P$21,6),DECKS!$B$2:$B$1201,$A89))</f>
        <v/>
      </c>
      <c r="Q89" s="19" t="str">
        <f aca="false">IF(OR($A89="",INDEX(_LEITURA!$Q$2:$Q$21,7)=0),"",SUMIFS(DECKS!$D$2:$D$1201,DECKS!$A$2:$A$1201,INDEX(_LEITURA!$P$2:$P$21,7),DECKS!$B$2:$B$1201,$A89))</f>
        <v/>
      </c>
      <c r="R89" s="19" t="str">
        <f aca="false">IF(OR($A89="",INDEX(_LEITURA!$Q$2:$Q$21,8)=0),"",SUMIFS(DECKS!$D$2:$D$1201,DECKS!$A$2:$A$1201,INDEX(_LEITURA!$P$2:$P$21,8),DECKS!$B$2:$B$1201,$A89))</f>
        <v/>
      </c>
      <c r="S89" s="19" t="str">
        <f aca="false">IF(OR($A89="",INDEX(_LEITURA!$Q$2:$Q$21,9)=0),"",SUMIFS(DECKS!$D$2:$D$1201,DECKS!$A$2:$A$1201,INDEX(_LEITURA!$P$2:$P$21,9),DECKS!$B$2:$B$1201,$A89))</f>
        <v/>
      </c>
      <c r="T89" s="19" t="str">
        <f aca="false">IF(OR($A89="",INDEX(_LEITURA!$Q$2:$Q$21,10)=0),"",SUMIFS(DECKS!$D$2:$D$1201,DECKS!$A$2:$A$1201,INDEX(_LEITURA!$P$2:$P$21,10),DECKS!$B$2:$B$1201,$A89))</f>
        <v/>
      </c>
      <c r="U89" s="19" t="str">
        <f aca="false">IF(OR($A89="",INDEX(_LEITURA!$Q$2:$Q$21,11)=0),"",SUMIFS(DECKS!$D$2:$D$1201,DECKS!$A$2:$A$1201,INDEX(_LEITURA!$P$2:$P$21,11),DECKS!$B$2:$B$1201,$A89))</f>
        <v/>
      </c>
      <c r="V89" s="19" t="str">
        <f aca="false">IF(OR($A89="",INDEX(_LEITURA!$Q$2:$Q$21,12)=0),"",SUMIFS(DECKS!$D$2:$D$1201,DECKS!$A$2:$A$1201,INDEX(_LEITURA!$P$2:$P$21,12),DECKS!$B$2:$B$1201,$A89))</f>
        <v/>
      </c>
      <c r="W89" s="19" t="str">
        <f aca="false">IF(OR($A89="",INDEX(_LEITURA!$Q$2:$Q$21,13)=0),"",SUMIFS(DECKS!$D$2:$D$1201,DECKS!$A$2:$A$1201,INDEX(_LEITURA!$P$2:$P$21,13),DECKS!$B$2:$B$1201,$A89))</f>
        <v/>
      </c>
      <c r="X89" s="19" t="str">
        <f aca="false">IF(OR($A89="",INDEX(_LEITURA!$Q$2:$Q$21,14)=0),"",SUMIFS(DECKS!$D$2:$D$1201,DECKS!$A$2:$A$1201,INDEX(_LEITURA!$P$2:$P$21,14),DECKS!$B$2:$B$1201,$A89))</f>
        <v/>
      </c>
      <c r="Y89" s="19" t="str">
        <f aca="false">IF(OR($A89="",INDEX(_LEITURA!$Q$2:$Q$21,15)=0),"",SUMIFS(DECKS!$D$2:$D$1201,DECKS!$A$2:$A$1201,INDEX(_LEITURA!$P$2:$P$21,15),DECKS!$B$2:$B$1201,$A89))</f>
        <v/>
      </c>
      <c r="Z89" s="19" t="str">
        <f aca="false">IF(OR($A89="",INDEX(_LEITURA!$Q$2:$Q$21,16)=0),"",SUMIFS(DECKS!$D$2:$D$1201,DECKS!$A$2:$A$1201,INDEX(_LEITURA!$P$2:$P$21,16),DECKS!$B$2:$B$1201,$A89))</f>
        <v/>
      </c>
      <c r="AA89" s="19" t="str">
        <f aca="false">IF(OR($A89="",INDEX(_LEITURA!$Q$2:$Q$21,17)=0),"",SUMIFS(DECKS!$D$2:$D$1201,DECKS!$A$2:$A$1201,INDEX(_LEITURA!$P$2:$P$21,17),DECKS!$B$2:$B$1201,$A89))</f>
        <v/>
      </c>
      <c r="AB89" s="19" t="str">
        <f aca="false">IF(OR($A89="",INDEX(_LEITURA!$Q$2:$Q$21,18)=0),"",SUMIFS(DECKS!$D$2:$D$1201,DECKS!$A$2:$A$1201,INDEX(_LEITURA!$P$2:$P$21,18),DECKS!$B$2:$B$1201,$A89))</f>
        <v/>
      </c>
      <c r="AC89" s="19" t="str">
        <f aca="false">IF(OR($A89="",INDEX(_LEITURA!$Q$2:$Q$21,19)=0),"",SUMIFS(DECKS!$D$2:$D$1201,DECKS!$A$2:$A$1201,INDEX(_LEITURA!$P$2:$P$21,19),DECKS!$B$2:$B$1201,$A89))</f>
        <v/>
      </c>
      <c r="AD89" s="19" t="str">
        <f aca="false">IF(OR($A89="",INDEX(_LEITURA!$Q$2:$Q$21,20)=0),"",SUMIFS(DECKS!$D$2:$D$1201,DECKS!$A$2:$A$1201,INDEX(_LEITURA!$P$2:$P$21,20),DECKS!$B$2:$B$1201,$A89))</f>
        <v/>
      </c>
      <c r="AE89" s="16" t="str">
        <f aca="false">IF(N(E89)&gt;0,MAX(AE$1:AE88)+1,"")</f>
        <v/>
      </c>
      <c r="AF89" s="11" t="str">
        <f aca="false">IF(A89="","",IFERROR(LEFT(A89,FIND("-",A89)-1),A89))</f>
        <v/>
      </c>
      <c r="AG89" s="11" t="str">
        <f aca="false">IF(AF89="","",IF(ISNUMBER(--MID(AF89,1,1)),0,IF(ISNUMBER(--MID(AF89,2,1)),1,IF(ISNUMBER(--MID(AF89,3,1)),2,IF(ISNUMBER(--MID(AF89,4,1)),3,MIN(LEN(AF89),4))))))</f>
        <v/>
      </c>
      <c r="AH89" s="11" t="str">
        <f aca="false">IF(A89="","",LEFT(AF89,AG89)&amp;REPT("0",4-AG89)&amp;RIGHT("000"&amp;IFERROR(VALUE(MID(AF89,AG89+1,9)),0),3)&amp;RIGHT("0000"&amp;IFERROR(VALUE(MID(A89,FIND("-",A89)+1,9)),0),4))</f>
        <v/>
      </c>
      <c r="AI89" s="11" t="str">
        <f aca="false">IF(OR(A89="",N(E89)&lt;=0),"",IF('FALTAS GERAL'!$M$1="Código","K"&amp;AH89&amp;RIGHT("00000"&amp;ROW(),5),IF('FALTAS GERAL'!$M$1="Nome","K"&amp;UPPER(SUBSTITUTE(SUBSTITUTE(SUBSTITUTE(B89,"*",""),"?",""),"~",""))&amp;"0"&amp;AH89&amp;RIGHT("00000"&amp;ROW(),5),IF('FALTAS GERAL'!$M$1="Falta (maior primeiro)","K"&amp;RIGHT("0000"&amp;(9999-E89),4)&amp;AH89&amp;RIGHT("00000"&amp;ROW(),5),IF('FALTAS GERAL'!$M$1="Nº de decks (maior primeiro)","K"&amp;RIGHT("00"&amp;(99-N(G89)),2)&amp;AH89&amp;RIGHT("00000"&amp;ROW(),5),"K"&amp;RIGHT("00000"&amp;ROW(),5))))))</f>
        <v/>
      </c>
      <c r="AJ89" s="11" t="str">
        <f aca="false">IF(AI89="","",COUNTIFS($AI$2:$AI$801,"&lt;"&amp;AI89,$E$2:$E$801,"&gt;0")+1)</f>
        <v/>
      </c>
      <c r="AK89" s="11" t="str">
        <f aca="false">IF(OR(A89="",N(E89)&lt;=0),"",COUNTIFS($AH$2:$AH$801,"&lt;"&amp;AH89,$E$2:$E$801,"&gt;0")+COUNTIFS($AH$2:AH89,AH89,$E$2:E89,"&gt;0"))</f>
        <v/>
      </c>
    </row>
    <row r="90" customFormat="false" ht="15" hidden="false" customHeight="false" outlineLevel="0" collapsed="false">
      <c r="A90" s="11" t="str">
        <f aca="false">IF(INVENTÁRIO!A90="","",INVENTÁRIO!A90)</f>
        <v/>
      </c>
      <c r="B90" s="11" t="str">
        <f aca="false">IF(A90="","",INVENTÁRIO!B90)</f>
        <v/>
      </c>
      <c r="C90" s="16" t="str">
        <f aca="false">IF(A90="","",INVENTÁRIO!C90)</f>
        <v/>
      </c>
      <c r="D90" s="14" t="str">
        <f aca="false">IF(A90="","",MAX(K90:AD90))</f>
        <v/>
      </c>
      <c r="E90" s="14" t="str">
        <f aca="false">IF(A90="","",MAX(0,D90-C90))</f>
        <v/>
      </c>
      <c r="F90" s="16" t="str">
        <f aca="false">IF(A90="","",IF(D90=0,"Fora dos decks",IF(E90=0,"Completo","Falta")))</f>
        <v/>
      </c>
      <c r="G90" s="16" t="str">
        <f aca="false">IF(A90="","",COUNTIF(K90:AD90,"&gt;0"))</f>
        <v/>
      </c>
      <c r="H90" s="16" t="str">
        <f aca="false">IF(A90="","",IF(G90&gt;1,"Sim",""))</f>
        <v/>
      </c>
      <c r="I90" s="18" t="str">
        <f aca="false">IF(A90="","",SUMIFS(DECKS!$D$2:$D$1201,DECKS!$B$2:$B$1201,A90))</f>
        <v/>
      </c>
      <c r="J90" s="18" t="str">
        <f aca="false">IF(A90="","",MAX(0,I90-C90))</f>
        <v/>
      </c>
      <c r="K90" s="19" t="str">
        <f aca="false">IF(OR($A90="",INDEX(_LEITURA!$Q$2:$Q$21,1)=0),"",SUMIFS(DECKS!$D$2:$D$1201,DECKS!$A$2:$A$1201,INDEX(_LEITURA!$P$2:$P$21,1),DECKS!$B$2:$B$1201,$A90))</f>
        <v/>
      </c>
      <c r="L90" s="19" t="str">
        <f aca="false">IF(OR($A90="",INDEX(_LEITURA!$Q$2:$Q$21,2)=0),"",SUMIFS(DECKS!$D$2:$D$1201,DECKS!$A$2:$A$1201,INDEX(_LEITURA!$P$2:$P$21,2),DECKS!$B$2:$B$1201,$A90))</f>
        <v/>
      </c>
      <c r="M90" s="19" t="str">
        <f aca="false">IF(OR($A90="",INDEX(_LEITURA!$Q$2:$Q$21,3)=0),"",SUMIFS(DECKS!$D$2:$D$1201,DECKS!$A$2:$A$1201,INDEX(_LEITURA!$P$2:$P$21,3),DECKS!$B$2:$B$1201,$A90))</f>
        <v/>
      </c>
      <c r="N90" s="19" t="str">
        <f aca="false">IF(OR($A90="",INDEX(_LEITURA!$Q$2:$Q$21,4)=0),"",SUMIFS(DECKS!$D$2:$D$1201,DECKS!$A$2:$A$1201,INDEX(_LEITURA!$P$2:$P$21,4),DECKS!$B$2:$B$1201,$A90))</f>
        <v/>
      </c>
      <c r="O90" s="19" t="str">
        <f aca="false">IF(OR($A90="",INDEX(_LEITURA!$Q$2:$Q$21,5)=0),"",SUMIFS(DECKS!$D$2:$D$1201,DECKS!$A$2:$A$1201,INDEX(_LEITURA!$P$2:$P$21,5),DECKS!$B$2:$B$1201,$A90))</f>
        <v/>
      </c>
      <c r="P90" s="19" t="str">
        <f aca="false">IF(OR($A90="",INDEX(_LEITURA!$Q$2:$Q$21,6)=0),"",SUMIFS(DECKS!$D$2:$D$1201,DECKS!$A$2:$A$1201,INDEX(_LEITURA!$P$2:$P$21,6),DECKS!$B$2:$B$1201,$A90))</f>
        <v/>
      </c>
      <c r="Q90" s="19" t="str">
        <f aca="false">IF(OR($A90="",INDEX(_LEITURA!$Q$2:$Q$21,7)=0),"",SUMIFS(DECKS!$D$2:$D$1201,DECKS!$A$2:$A$1201,INDEX(_LEITURA!$P$2:$P$21,7),DECKS!$B$2:$B$1201,$A90))</f>
        <v/>
      </c>
      <c r="R90" s="19" t="str">
        <f aca="false">IF(OR($A90="",INDEX(_LEITURA!$Q$2:$Q$21,8)=0),"",SUMIFS(DECKS!$D$2:$D$1201,DECKS!$A$2:$A$1201,INDEX(_LEITURA!$P$2:$P$21,8),DECKS!$B$2:$B$1201,$A90))</f>
        <v/>
      </c>
      <c r="S90" s="19" t="str">
        <f aca="false">IF(OR($A90="",INDEX(_LEITURA!$Q$2:$Q$21,9)=0),"",SUMIFS(DECKS!$D$2:$D$1201,DECKS!$A$2:$A$1201,INDEX(_LEITURA!$P$2:$P$21,9),DECKS!$B$2:$B$1201,$A90))</f>
        <v/>
      </c>
      <c r="T90" s="19" t="str">
        <f aca="false">IF(OR($A90="",INDEX(_LEITURA!$Q$2:$Q$21,10)=0),"",SUMIFS(DECKS!$D$2:$D$1201,DECKS!$A$2:$A$1201,INDEX(_LEITURA!$P$2:$P$21,10),DECKS!$B$2:$B$1201,$A90))</f>
        <v/>
      </c>
      <c r="U90" s="19" t="str">
        <f aca="false">IF(OR($A90="",INDEX(_LEITURA!$Q$2:$Q$21,11)=0),"",SUMIFS(DECKS!$D$2:$D$1201,DECKS!$A$2:$A$1201,INDEX(_LEITURA!$P$2:$P$21,11),DECKS!$B$2:$B$1201,$A90))</f>
        <v/>
      </c>
      <c r="V90" s="19" t="str">
        <f aca="false">IF(OR($A90="",INDEX(_LEITURA!$Q$2:$Q$21,12)=0),"",SUMIFS(DECKS!$D$2:$D$1201,DECKS!$A$2:$A$1201,INDEX(_LEITURA!$P$2:$P$21,12),DECKS!$B$2:$B$1201,$A90))</f>
        <v/>
      </c>
      <c r="W90" s="19" t="str">
        <f aca="false">IF(OR($A90="",INDEX(_LEITURA!$Q$2:$Q$21,13)=0),"",SUMIFS(DECKS!$D$2:$D$1201,DECKS!$A$2:$A$1201,INDEX(_LEITURA!$P$2:$P$21,13),DECKS!$B$2:$B$1201,$A90))</f>
        <v/>
      </c>
      <c r="X90" s="19" t="str">
        <f aca="false">IF(OR($A90="",INDEX(_LEITURA!$Q$2:$Q$21,14)=0),"",SUMIFS(DECKS!$D$2:$D$1201,DECKS!$A$2:$A$1201,INDEX(_LEITURA!$P$2:$P$21,14),DECKS!$B$2:$B$1201,$A90))</f>
        <v/>
      </c>
      <c r="Y90" s="19" t="str">
        <f aca="false">IF(OR($A90="",INDEX(_LEITURA!$Q$2:$Q$21,15)=0),"",SUMIFS(DECKS!$D$2:$D$1201,DECKS!$A$2:$A$1201,INDEX(_LEITURA!$P$2:$P$21,15),DECKS!$B$2:$B$1201,$A90))</f>
        <v/>
      </c>
      <c r="Z90" s="19" t="str">
        <f aca="false">IF(OR($A90="",INDEX(_LEITURA!$Q$2:$Q$21,16)=0),"",SUMIFS(DECKS!$D$2:$D$1201,DECKS!$A$2:$A$1201,INDEX(_LEITURA!$P$2:$P$21,16),DECKS!$B$2:$B$1201,$A90))</f>
        <v/>
      </c>
      <c r="AA90" s="19" t="str">
        <f aca="false">IF(OR($A90="",INDEX(_LEITURA!$Q$2:$Q$21,17)=0),"",SUMIFS(DECKS!$D$2:$D$1201,DECKS!$A$2:$A$1201,INDEX(_LEITURA!$P$2:$P$21,17),DECKS!$B$2:$B$1201,$A90))</f>
        <v/>
      </c>
      <c r="AB90" s="19" t="str">
        <f aca="false">IF(OR($A90="",INDEX(_LEITURA!$Q$2:$Q$21,18)=0),"",SUMIFS(DECKS!$D$2:$D$1201,DECKS!$A$2:$A$1201,INDEX(_LEITURA!$P$2:$P$21,18),DECKS!$B$2:$B$1201,$A90))</f>
        <v/>
      </c>
      <c r="AC90" s="19" t="str">
        <f aca="false">IF(OR($A90="",INDEX(_LEITURA!$Q$2:$Q$21,19)=0),"",SUMIFS(DECKS!$D$2:$D$1201,DECKS!$A$2:$A$1201,INDEX(_LEITURA!$P$2:$P$21,19),DECKS!$B$2:$B$1201,$A90))</f>
        <v/>
      </c>
      <c r="AD90" s="19" t="str">
        <f aca="false">IF(OR($A90="",INDEX(_LEITURA!$Q$2:$Q$21,20)=0),"",SUMIFS(DECKS!$D$2:$D$1201,DECKS!$A$2:$A$1201,INDEX(_LEITURA!$P$2:$P$21,20),DECKS!$B$2:$B$1201,$A90))</f>
        <v/>
      </c>
      <c r="AE90" s="16" t="str">
        <f aca="false">IF(N(E90)&gt;0,MAX(AE$1:AE89)+1,"")</f>
        <v/>
      </c>
      <c r="AF90" s="11" t="str">
        <f aca="false">IF(A90="","",IFERROR(LEFT(A90,FIND("-",A90)-1),A90))</f>
        <v/>
      </c>
      <c r="AG90" s="11" t="str">
        <f aca="false">IF(AF90="","",IF(ISNUMBER(--MID(AF90,1,1)),0,IF(ISNUMBER(--MID(AF90,2,1)),1,IF(ISNUMBER(--MID(AF90,3,1)),2,IF(ISNUMBER(--MID(AF90,4,1)),3,MIN(LEN(AF90),4))))))</f>
        <v/>
      </c>
      <c r="AH90" s="11" t="str">
        <f aca="false">IF(A90="","",LEFT(AF90,AG90)&amp;REPT("0",4-AG90)&amp;RIGHT("000"&amp;IFERROR(VALUE(MID(AF90,AG90+1,9)),0),3)&amp;RIGHT("0000"&amp;IFERROR(VALUE(MID(A90,FIND("-",A90)+1,9)),0),4))</f>
        <v/>
      </c>
      <c r="AI90" s="11" t="str">
        <f aca="false">IF(OR(A90="",N(E90)&lt;=0),"",IF('FALTAS GERAL'!$M$1="Código","K"&amp;AH90&amp;RIGHT("00000"&amp;ROW(),5),IF('FALTAS GERAL'!$M$1="Nome","K"&amp;UPPER(SUBSTITUTE(SUBSTITUTE(SUBSTITUTE(B90,"*",""),"?",""),"~",""))&amp;"0"&amp;AH90&amp;RIGHT("00000"&amp;ROW(),5),IF('FALTAS GERAL'!$M$1="Falta (maior primeiro)","K"&amp;RIGHT("0000"&amp;(9999-E90),4)&amp;AH90&amp;RIGHT("00000"&amp;ROW(),5),IF('FALTAS GERAL'!$M$1="Nº de decks (maior primeiro)","K"&amp;RIGHT("00"&amp;(99-N(G90)),2)&amp;AH90&amp;RIGHT("00000"&amp;ROW(),5),"K"&amp;RIGHT("00000"&amp;ROW(),5))))))</f>
        <v/>
      </c>
      <c r="AJ90" s="11" t="str">
        <f aca="false">IF(AI90="","",COUNTIFS($AI$2:$AI$801,"&lt;"&amp;AI90,$E$2:$E$801,"&gt;0")+1)</f>
        <v/>
      </c>
      <c r="AK90" s="11" t="str">
        <f aca="false">IF(OR(A90="",N(E90)&lt;=0),"",COUNTIFS($AH$2:$AH$801,"&lt;"&amp;AH90,$E$2:$E$801,"&gt;0")+COUNTIFS($AH$2:AH90,AH90,$E$2:E90,"&gt;0"))</f>
        <v/>
      </c>
    </row>
    <row r="91" customFormat="false" ht="15" hidden="false" customHeight="false" outlineLevel="0" collapsed="false">
      <c r="A91" s="11" t="str">
        <f aca="false">IF(INVENTÁRIO!A91="","",INVENTÁRIO!A91)</f>
        <v/>
      </c>
      <c r="B91" s="11" t="str">
        <f aca="false">IF(A91="","",INVENTÁRIO!B91)</f>
        <v/>
      </c>
      <c r="C91" s="16" t="str">
        <f aca="false">IF(A91="","",INVENTÁRIO!C91)</f>
        <v/>
      </c>
      <c r="D91" s="14" t="str">
        <f aca="false">IF(A91="","",MAX(K91:AD91))</f>
        <v/>
      </c>
      <c r="E91" s="14" t="str">
        <f aca="false">IF(A91="","",MAX(0,D91-C91))</f>
        <v/>
      </c>
      <c r="F91" s="16" t="str">
        <f aca="false">IF(A91="","",IF(D91=0,"Fora dos decks",IF(E91=0,"Completo","Falta")))</f>
        <v/>
      </c>
      <c r="G91" s="16" t="str">
        <f aca="false">IF(A91="","",COUNTIF(K91:AD91,"&gt;0"))</f>
        <v/>
      </c>
      <c r="H91" s="16" t="str">
        <f aca="false">IF(A91="","",IF(G91&gt;1,"Sim",""))</f>
        <v/>
      </c>
      <c r="I91" s="18" t="str">
        <f aca="false">IF(A91="","",SUMIFS(DECKS!$D$2:$D$1201,DECKS!$B$2:$B$1201,A91))</f>
        <v/>
      </c>
      <c r="J91" s="18" t="str">
        <f aca="false">IF(A91="","",MAX(0,I91-C91))</f>
        <v/>
      </c>
      <c r="K91" s="19" t="str">
        <f aca="false">IF(OR($A91="",INDEX(_LEITURA!$Q$2:$Q$21,1)=0),"",SUMIFS(DECKS!$D$2:$D$1201,DECKS!$A$2:$A$1201,INDEX(_LEITURA!$P$2:$P$21,1),DECKS!$B$2:$B$1201,$A91))</f>
        <v/>
      </c>
      <c r="L91" s="19" t="str">
        <f aca="false">IF(OR($A91="",INDEX(_LEITURA!$Q$2:$Q$21,2)=0),"",SUMIFS(DECKS!$D$2:$D$1201,DECKS!$A$2:$A$1201,INDEX(_LEITURA!$P$2:$P$21,2),DECKS!$B$2:$B$1201,$A91))</f>
        <v/>
      </c>
      <c r="M91" s="19" t="str">
        <f aca="false">IF(OR($A91="",INDEX(_LEITURA!$Q$2:$Q$21,3)=0),"",SUMIFS(DECKS!$D$2:$D$1201,DECKS!$A$2:$A$1201,INDEX(_LEITURA!$P$2:$P$21,3),DECKS!$B$2:$B$1201,$A91))</f>
        <v/>
      </c>
      <c r="N91" s="19" t="str">
        <f aca="false">IF(OR($A91="",INDEX(_LEITURA!$Q$2:$Q$21,4)=0),"",SUMIFS(DECKS!$D$2:$D$1201,DECKS!$A$2:$A$1201,INDEX(_LEITURA!$P$2:$P$21,4),DECKS!$B$2:$B$1201,$A91))</f>
        <v/>
      </c>
      <c r="O91" s="19" t="str">
        <f aca="false">IF(OR($A91="",INDEX(_LEITURA!$Q$2:$Q$21,5)=0),"",SUMIFS(DECKS!$D$2:$D$1201,DECKS!$A$2:$A$1201,INDEX(_LEITURA!$P$2:$P$21,5),DECKS!$B$2:$B$1201,$A91))</f>
        <v/>
      </c>
      <c r="P91" s="19" t="str">
        <f aca="false">IF(OR($A91="",INDEX(_LEITURA!$Q$2:$Q$21,6)=0),"",SUMIFS(DECKS!$D$2:$D$1201,DECKS!$A$2:$A$1201,INDEX(_LEITURA!$P$2:$P$21,6),DECKS!$B$2:$B$1201,$A91))</f>
        <v/>
      </c>
      <c r="Q91" s="19" t="str">
        <f aca="false">IF(OR($A91="",INDEX(_LEITURA!$Q$2:$Q$21,7)=0),"",SUMIFS(DECKS!$D$2:$D$1201,DECKS!$A$2:$A$1201,INDEX(_LEITURA!$P$2:$P$21,7),DECKS!$B$2:$B$1201,$A91))</f>
        <v/>
      </c>
      <c r="R91" s="19" t="str">
        <f aca="false">IF(OR($A91="",INDEX(_LEITURA!$Q$2:$Q$21,8)=0),"",SUMIFS(DECKS!$D$2:$D$1201,DECKS!$A$2:$A$1201,INDEX(_LEITURA!$P$2:$P$21,8),DECKS!$B$2:$B$1201,$A91))</f>
        <v/>
      </c>
      <c r="S91" s="19" t="str">
        <f aca="false">IF(OR($A91="",INDEX(_LEITURA!$Q$2:$Q$21,9)=0),"",SUMIFS(DECKS!$D$2:$D$1201,DECKS!$A$2:$A$1201,INDEX(_LEITURA!$P$2:$P$21,9),DECKS!$B$2:$B$1201,$A91))</f>
        <v/>
      </c>
      <c r="T91" s="19" t="str">
        <f aca="false">IF(OR($A91="",INDEX(_LEITURA!$Q$2:$Q$21,10)=0),"",SUMIFS(DECKS!$D$2:$D$1201,DECKS!$A$2:$A$1201,INDEX(_LEITURA!$P$2:$P$21,10),DECKS!$B$2:$B$1201,$A91))</f>
        <v/>
      </c>
      <c r="U91" s="19" t="str">
        <f aca="false">IF(OR($A91="",INDEX(_LEITURA!$Q$2:$Q$21,11)=0),"",SUMIFS(DECKS!$D$2:$D$1201,DECKS!$A$2:$A$1201,INDEX(_LEITURA!$P$2:$P$21,11),DECKS!$B$2:$B$1201,$A91))</f>
        <v/>
      </c>
      <c r="V91" s="19" t="str">
        <f aca="false">IF(OR($A91="",INDEX(_LEITURA!$Q$2:$Q$21,12)=0),"",SUMIFS(DECKS!$D$2:$D$1201,DECKS!$A$2:$A$1201,INDEX(_LEITURA!$P$2:$P$21,12),DECKS!$B$2:$B$1201,$A91))</f>
        <v/>
      </c>
      <c r="W91" s="19" t="str">
        <f aca="false">IF(OR($A91="",INDEX(_LEITURA!$Q$2:$Q$21,13)=0),"",SUMIFS(DECKS!$D$2:$D$1201,DECKS!$A$2:$A$1201,INDEX(_LEITURA!$P$2:$P$21,13),DECKS!$B$2:$B$1201,$A91))</f>
        <v/>
      </c>
      <c r="X91" s="19" t="str">
        <f aca="false">IF(OR($A91="",INDEX(_LEITURA!$Q$2:$Q$21,14)=0),"",SUMIFS(DECKS!$D$2:$D$1201,DECKS!$A$2:$A$1201,INDEX(_LEITURA!$P$2:$P$21,14),DECKS!$B$2:$B$1201,$A91))</f>
        <v/>
      </c>
      <c r="Y91" s="19" t="str">
        <f aca="false">IF(OR($A91="",INDEX(_LEITURA!$Q$2:$Q$21,15)=0),"",SUMIFS(DECKS!$D$2:$D$1201,DECKS!$A$2:$A$1201,INDEX(_LEITURA!$P$2:$P$21,15),DECKS!$B$2:$B$1201,$A91))</f>
        <v/>
      </c>
      <c r="Z91" s="19" t="str">
        <f aca="false">IF(OR($A91="",INDEX(_LEITURA!$Q$2:$Q$21,16)=0),"",SUMIFS(DECKS!$D$2:$D$1201,DECKS!$A$2:$A$1201,INDEX(_LEITURA!$P$2:$P$21,16),DECKS!$B$2:$B$1201,$A91))</f>
        <v/>
      </c>
      <c r="AA91" s="19" t="str">
        <f aca="false">IF(OR($A91="",INDEX(_LEITURA!$Q$2:$Q$21,17)=0),"",SUMIFS(DECKS!$D$2:$D$1201,DECKS!$A$2:$A$1201,INDEX(_LEITURA!$P$2:$P$21,17),DECKS!$B$2:$B$1201,$A91))</f>
        <v/>
      </c>
      <c r="AB91" s="19" t="str">
        <f aca="false">IF(OR($A91="",INDEX(_LEITURA!$Q$2:$Q$21,18)=0),"",SUMIFS(DECKS!$D$2:$D$1201,DECKS!$A$2:$A$1201,INDEX(_LEITURA!$P$2:$P$21,18),DECKS!$B$2:$B$1201,$A91))</f>
        <v/>
      </c>
      <c r="AC91" s="19" t="str">
        <f aca="false">IF(OR($A91="",INDEX(_LEITURA!$Q$2:$Q$21,19)=0),"",SUMIFS(DECKS!$D$2:$D$1201,DECKS!$A$2:$A$1201,INDEX(_LEITURA!$P$2:$P$21,19),DECKS!$B$2:$B$1201,$A91))</f>
        <v/>
      </c>
      <c r="AD91" s="19" t="str">
        <f aca="false">IF(OR($A91="",INDEX(_LEITURA!$Q$2:$Q$21,20)=0),"",SUMIFS(DECKS!$D$2:$D$1201,DECKS!$A$2:$A$1201,INDEX(_LEITURA!$P$2:$P$21,20),DECKS!$B$2:$B$1201,$A91))</f>
        <v/>
      </c>
      <c r="AE91" s="16" t="str">
        <f aca="false">IF(N(E91)&gt;0,MAX(AE$1:AE90)+1,"")</f>
        <v/>
      </c>
      <c r="AF91" s="11" t="str">
        <f aca="false">IF(A91="","",IFERROR(LEFT(A91,FIND("-",A91)-1),A91))</f>
        <v/>
      </c>
      <c r="AG91" s="11" t="str">
        <f aca="false">IF(AF91="","",IF(ISNUMBER(--MID(AF91,1,1)),0,IF(ISNUMBER(--MID(AF91,2,1)),1,IF(ISNUMBER(--MID(AF91,3,1)),2,IF(ISNUMBER(--MID(AF91,4,1)),3,MIN(LEN(AF91),4))))))</f>
        <v/>
      </c>
      <c r="AH91" s="11" t="str">
        <f aca="false">IF(A91="","",LEFT(AF91,AG91)&amp;REPT("0",4-AG91)&amp;RIGHT("000"&amp;IFERROR(VALUE(MID(AF91,AG91+1,9)),0),3)&amp;RIGHT("0000"&amp;IFERROR(VALUE(MID(A91,FIND("-",A91)+1,9)),0),4))</f>
        <v/>
      </c>
      <c r="AI91" s="11" t="str">
        <f aca="false">IF(OR(A91="",N(E91)&lt;=0),"",IF('FALTAS GERAL'!$M$1="Código","K"&amp;AH91&amp;RIGHT("00000"&amp;ROW(),5),IF('FALTAS GERAL'!$M$1="Nome","K"&amp;UPPER(SUBSTITUTE(SUBSTITUTE(SUBSTITUTE(B91,"*",""),"?",""),"~",""))&amp;"0"&amp;AH91&amp;RIGHT("00000"&amp;ROW(),5),IF('FALTAS GERAL'!$M$1="Falta (maior primeiro)","K"&amp;RIGHT("0000"&amp;(9999-E91),4)&amp;AH91&amp;RIGHT("00000"&amp;ROW(),5),IF('FALTAS GERAL'!$M$1="Nº de decks (maior primeiro)","K"&amp;RIGHT("00"&amp;(99-N(G91)),2)&amp;AH91&amp;RIGHT("00000"&amp;ROW(),5),"K"&amp;RIGHT("00000"&amp;ROW(),5))))))</f>
        <v/>
      </c>
      <c r="AJ91" s="11" t="str">
        <f aca="false">IF(AI91="","",COUNTIFS($AI$2:$AI$801,"&lt;"&amp;AI91,$E$2:$E$801,"&gt;0")+1)</f>
        <v/>
      </c>
      <c r="AK91" s="11" t="str">
        <f aca="false">IF(OR(A91="",N(E91)&lt;=0),"",COUNTIFS($AH$2:$AH$801,"&lt;"&amp;AH91,$E$2:$E$801,"&gt;0")+COUNTIFS($AH$2:AH91,AH91,$E$2:E91,"&gt;0"))</f>
        <v/>
      </c>
    </row>
    <row r="92" customFormat="false" ht="15" hidden="false" customHeight="false" outlineLevel="0" collapsed="false">
      <c r="A92" s="11" t="str">
        <f aca="false">IF(INVENTÁRIO!A92="","",INVENTÁRIO!A92)</f>
        <v/>
      </c>
      <c r="B92" s="11" t="str">
        <f aca="false">IF(A92="","",INVENTÁRIO!B92)</f>
        <v/>
      </c>
      <c r="C92" s="16" t="str">
        <f aca="false">IF(A92="","",INVENTÁRIO!C92)</f>
        <v/>
      </c>
      <c r="D92" s="14" t="str">
        <f aca="false">IF(A92="","",MAX(K92:AD92))</f>
        <v/>
      </c>
      <c r="E92" s="14" t="str">
        <f aca="false">IF(A92="","",MAX(0,D92-C92))</f>
        <v/>
      </c>
      <c r="F92" s="16" t="str">
        <f aca="false">IF(A92="","",IF(D92=0,"Fora dos decks",IF(E92=0,"Completo","Falta")))</f>
        <v/>
      </c>
      <c r="G92" s="16" t="str">
        <f aca="false">IF(A92="","",COUNTIF(K92:AD92,"&gt;0"))</f>
        <v/>
      </c>
      <c r="H92" s="16" t="str">
        <f aca="false">IF(A92="","",IF(G92&gt;1,"Sim",""))</f>
        <v/>
      </c>
      <c r="I92" s="18" t="str">
        <f aca="false">IF(A92="","",SUMIFS(DECKS!$D$2:$D$1201,DECKS!$B$2:$B$1201,A92))</f>
        <v/>
      </c>
      <c r="J92" s="18" t="str">
        <f aca="false">IF(A92="","",MAX(0,I92-C92))</f>
        <v/>
      </c>
      <c r="K92" s="19" t="str">
        <f aca="false">IF(OR($A92="",INDEX(_LEITURA!$Q$2:$Q$21,1)=0),"",SUMIFS(DECKS!$D$2:$D$1201,DECKS!$A$2:$A$1201,INDEX(_LEITURA!$P$2:$P$21,1),DECKS!$B$2:$B$1201,$A92))</f>
        <v/>
      </c>
      <c r="L92" s="19" t="str">
        <f aca="false">IF(OR($A92="",INDEX(_LEITURA!$Q$2:$Q$21,2)=0),"",SUMIFS(DECKS!$D$2:$D$1201,DECKS!$A$2:$A$1201,INDEX(_LEITURA!$P$2:$P$21,2),DECKS!$B$2:$B$1201,$A92))</f>
        <v/>
      </c>
      <c r="M92" s="19" t="str">
        <f aca="false">IF(OR($A92="",INDEX(_LEITURA!$Q$2:$Q$21,3)=0),"",SUMIFS(DECKS!$D$2:$D$1201,DECKS!$A$2:$A$1201,INDEX(_LEITURA!$P$2:$P$21,3),DECKS!$B$2:$B$1201,$A92))</f>
        <v/>
      </c>
      <c r="N92" s="19" t="str">
        <f aca="false">IF(OR($A92="",INDEX(_LEITURA!$Q$2:$Q$21,4)=0),"",SUMIFS(DECKS!$D$2:$D$1201,DECKS!$A$2:$A$1201,INDEX(_LEITURA!$P$2:$P$21,4),DECKS!$B$2:$B$1201,$A92))</f>
        <v/>
      </c>
      <c r="O92" s="19" t="str">
        <f aca="false">IF(OR($A92="",INDEX(_LEITURA!$Q$2:$Q$21,5)=0),"",SUMIFS(DECKS!$D$2:$D$1201,DECKS!$A$2:$A$1201,INDEX(_LEITURA!$P$2:$P$21,5),DECKS!$B$2:$B$1201,$A92))</f>
        <v/>
      </c>
      <c r="P92" s="19" t="str">
        <f aca="false">IF(OR($A92="",INDEX(_LEITURA!$Q$2:$Q$21,6)=0),"",SUMIFS(DECKS!$D$2:$D$1201,DECKS!$A$2:$A$1201,INDEX(_LEITURA!$P$2:$P$21,6),DECKS!$B$2:$B$1201,$A92))</f>
        <v/>
      </c>
      <c r="Q92" s="19" t="str">
        <f aca="false">IF(OR($A92="",INDEX(_LEITURA!$Q$2:$Q$21,7)=0),"",SUMIFS(DECKS!$D$2:$D$1201,DECKS!$A$2:$A$1201,INDEX(_LEITURA!$P$2:$P$21,7),DECKS!$B$2:$B$1201,$A92))</f>
        <v/>
      </c>
      <c r="R92" s="19" t="str">
        <f aca="false">IF(OR($A92="",INDEX(_LEITURA!$Q$2:$Q$21,8)=0),"",SUMIFS(DECKS!$D$2:$D$1201,DECKS!$A$2:$A$1201,INDEX(_LEITURA!$P$2:$P$21,8),DECKS!$B$2:$B$1201,$A92))</f>
        <v/>
      </c>
      <c r="S92" s="19" t="str">
        <f aca="false">IF(OR($A92="",INDEX(_LEITURA!$Q$2:$Q$21,9)=0),"",SUMIFS(DECKS!$D$2:$D$1201,DECKS!$A$2:$A$1201,INDEX(_LEITURA!$P$2:$P$21,9),DECKS!$B$2:$B$1201,$A92))</f>
        <v/>
      </c>
      <c r="T92" s="19" t="str">
        <f aca="false">IF(OR($A92="",INDEX(_LEITURA!$Q$2:$Q$21,10)=0),"",SUMIFS(DECKS!$D$2:$D$1201,DECKS!$A$2:$A$1201,INDEX(_LEITURA!$P$2:$P$21,10),DECKS!$B$2:$B$1201,$A92))</f>
        <v/>
      </c>
      <c r="U92" s="19" t="str">
        <f aca="false">IF(OR($A92="",INDEX(_LEITURA!$Q$2:$Q$21,11)=0),"",SUMIFS(DECKS!$D$2:$D$1201,DECKS!$A$2:$A$1201,INDEX(_LEITURA!$P$2:$P$21,11),DECKS!$B$2:$B$1201,$A92))</f>
        <v/>
      </c>
      <c r="V92" s="19" t="str">
        <f aca="false">IF(OR($A92="",INDEX(_LEITURA!$Q$2:$Q$21,12)=0),"",SUMIFS(DECKS!$D$2:$D$1201,DECKS!$A$2:$A$1201,INDEX(_LEITURA!$P$2:$P$21,12),DECKS!$B$2:$B$1201,$A92))</f>
        <v/>
      </c>
      <c r="W92" s="19" t="str">
        <f aca="false">IF(OR($A92="",INDEX(_LEITURA!$Q$2:$Q$21,13)=0),"",SUMIFS(DECKS!$D$2:$D$1201,DECKS!$A$2:$A$1201,INDEX(_LEITURA!$P$2:$P$21,13),DECKS!$B$2:$B$1201,$A92))</f>
        <v/>
      </c>
      <c r="X92" s="19" t="str">
        <f aca="false">IF(OR($A92="",INDEX(_LEITURA!$Q$2:$Q$21,14)=0),"",SUMIFS(DECKS!$D$2:$D$1201,DECKS!$A$2:$A$1201,INDEX(_LEITURA!$P$2:$P$21,14),DECKS!$B$2:$B$1201,$A92))</f>
        <v/>
      </c>
      <c r="Y92" s="19" t="str">
        <f aca="false">IF(OR($A92="",INDEX(_LEITURA!$Q$2:$Q$21,15)=0),"",SUMIFS(DECKS!$D$2:$D$1201,DECKS!$A$2:$A$1201,INDEX(_LEITURA!$P$2:$P$21,15),DECKS!$B$2:$B$1201,$A92))</f>
        <v/>
      </c>
      <c r="Z92" s="19" t="str">
        <f aca="false">IF(OR($A92="",INDEX(_LEITURA!$Q$2:$Q$21,16)=0),"",SUMIFS(DECKS!$D$2:$D$1201,DECKS!$A$2:$A$1201,INDEX(_LEITURA!$P$2:$P$21,16),DECKS!$B$2:$B$1201,$A92))</f>
        <v/>
      </c>
      <c r="AA92" s="19" t="str">
        <f aca="false">IF(OR($A92="",INDEX(_LEITURA!$Q$2:$Q$21,17)=0),"",SUMIFS(DECKS!$D$2:$D$1201,DECKS!$A$2:$A$1201,INDEX(_LEITURA!$P$2:$P$21,17),DECKS!$B$2:$B$1201,$A92))</f>
        <v/>
      </c>
      <c r="AB92" s="19" t="str">
        <f aca="false">IF(OR($A92="",INDEX(_LEITURA!$Q$2:$Q$21,18)=0),"",SUMIFS(DECKS!$D$2:$D$1201,DECKS!$A$2:$A$1201,INDEX(_LEITURA!$P$2:$P$21,18),DECKS!$B$2:$B$1201,$A92))</f>
        <v/>
      </c>
      <c r="AC92" s="19" t="str">
        <f aca="false">IF(OR($A92="",INDEX(_LEITURA!$Q$2:$Q$21,19)=0),"",SUMIFS(DECKS!$D$2:$D$1201,DECKS!$A$2:$A$1201,INDEX(_LEITURA!$P$2:$P$21,19),DECKS!$B$2:$B$1201,$A92))</f>
        <v/>
      </c>
      <c r="AD92" s="19" t="str">
        <f aca="false">IF(OR($A92="",INDEX(_LEITURA!$Q$2:$Q$21,20)=0),"",SUMIFS(DECKS!$D$2:$D$1201,DECKS!$A$2:$A$1201,INDEX(_LEITURA!$P$2:$P$21,20),DECKS!$B$2:$B$1201,$A92))</f>
        <v/>
      </c>
      <c r="AE92" s="16" t="str">
        <f aca="false">IF(N(E92)&gt;0,MAX(AE$1:AE91)+1,"")</f>
        <v/>
      </c>
      <c r="AF92" s="11" t="str">
        <f aca="false">IF(A92="","",IFERROR(LEFT(A92,FIND("-",A92)-1),A92))</f>
        <v/>
      </c>
      <c r="AG92" s="11" t="str">
        <f aca="false">IF(AF92="","",IF(ISNUMBER(--MID(AF92,1,1)),0,IF(ISNUMBER(--MID(AF92,2,1)),1,IF(ISNUMBER(--MID(AF92,3,1)),2,IF(ISNUMBER(--MID(AF92,4,1)),3,MIN(LEN(AF92),4))))))</f>
        <v/>
      </c>
      <c r="AH92" s="11" t="str">
        <f aca="false">IF(A92="","",LEFT(AF92,AG92)&amp;REPT("0",4-AG92)&amp;RIGHT("000"&amp;IFERROR(VALUE(MID(AF92,AG92+1,9)),0),3)&amp;RIGHT("0000"&amp;IFERROR(VALUE(MID(A92,FIND("-",A92)+1,9)),0),4))</f>
        <v/>
      </c>
      <c r="AI92" s="11" t="str">
        <f aca="false">IF(OR(A92="",N(E92)&lt;=0),"",IF('FALTAS GERAL'!$M$1="Código","K"&amp;AH92&amp;RIGHT("00000"&amp;ROW(),5),IF('FALTAS GERAL'!$M$1="Nome","K"&amp;UPPER(SUBSTITUTE(SUBSTITUTE(SUBSTITUTE(B92,"*",""),"?",""),"~",""))&amp;"0"&amp;AH92&amp;RIGHT("00000"&amp;ROW(),5),IF('FALTAS GERAL'!$M$1="Falta (maior primeiro)","K"&amp;RIGHT("0000"&amp;(9999-E92),4)&amp;AH92&amp;RIGHT("00000"&amp;ROW(),5),IF('FALTAS GERAL'!$M$1="Nº de decks (maior primeiro)","K"&amp;RIGHT("00"&amp;(99-N(G92)),2)&amp;AH92&amp;RIGHT("00000"&amp;ROW(),5),"K"&amp;RIGHT("00000"&amp;ROW(),5))))))</f>
        <v/>
      </c>
      <c r="AJ92" s="11" t="str">
        <f aca="false">IF(AI92="","",COUNTIFS($AI$2:$AI$801,"&lt;"&amp;AI92,$E$2:$E$801,"&gt;0")+1)</f>
        <v/>
      </c>
      <c r="AK92" s="11" t="str">
        <f aca="false">IF(OR(A92="",N(E92)&lt;=0),"",COUNTIFS($AH$2:$AH$801,"&lt;"&amp;AH92,$E$2:$E$801,"&gt;0")+COUNTIFS($AH$2:AH92,AH92,$E$2:E92,"&gt;0"))</f>
        <v/>
      </c>
    </row>
    <row r="93" customFormat="false" ht="15" hidden="false" customHeight="false" outlineLevel="0" collapsed="false">
      <c r="A93" s="11" t="str">
        <f aca="false">IF(INVENTÁRIO!A93="","",INVENTÁRIO!A93)</f>
        <v/>
      </c>
      <c r="B93" s="11" t="str">
        <f aca="false">IF(A93="","",INVENTÁRIO!B93)</f>
        <v/>
      </c>
      <c r="C93" s="16" t="str">
        <f aca="false">IF(A93="","",INVENTÁRIO!C93)</f>
        <v/>
      </c>
      <c r="D93" s="14" t="str">
        <f aca="false">IF(A93="","",MAX(K93:AD93))</f>
        <v/>
      </c>
      <c r="E93" s="14" t="str">
        <f aca="false">IF(A93="","",MAX(0,D93-C93))</f>
        <v/>
      </c>
      <c r="F93" s="16" t="str">
        <f aca="false">IF(A93="","",IF(D93=0,"Fora dos decks",IF(E93=0,"Completo","Falta")))</f>
        <v/>
      </c>
      <c r="G93" s="16" t="str">
        <f aca="false">IF(A93="","",COUNTIF(K93:AD93,"&gt;0"))</f>
        <v/>
      </c>
      <c r="H93" s="16" t="str">
        <f aca="false">IF(A93="","",IF(G93&gt;1,"Sim",""))</f>
        <v/>
      </c>
      <c r="I93" s="18" t="str">
        <f aca="false">IF(A93="","",SUMIFS(DECKS!$D$2:$D$1201,DECKS!$B$2:$B$1201,A93))</f>
        <v/>
      </c>
      <c r="J93" s="18" t="str">
        <f aca="false">IF(A93="","",MAX(0,I93-C93))</f>
        <v/>
      </c>
      <c r="K93" s="19" t="str">
        <f aca="false">IF(OR($A93="",INDEX(_LEITURA!$Q$2:$Q$21,1)=0),"",SUMIFS(DECKS!$D$2:$D$1201,DECKS!$A$2:$A$1201,INDEX(_LEITURA!$P$2:$P$21,1),DECKS!$B$2:$B$1201,$A93))</f>
        <v/>
      </c>
      <c r="L93" s="19" t="str">
        <f aca="false">IF(OR($A93="",INDEX(_LEITURA!$Q$2:$Q$21,2)=0),"",SUMIFS(DECKS!$D$2:$D$1201,DECKS!$A$2:$A$1201,INDEX(_LEITURA!$P$2:$P$21,2),DECKS!$B$2:$B$1201,$A93))</f>
        <v/>
      </c>
      <c r="M93" s="19" t="str">
        <f aca="false">IF(OR($A93="",INDEX(_LEITURA!$Q$2:$Q$21,3)=0),"",SUMIFS(DECKS!$D$2:$D$1201,DECKS!$A$2:$A$1201,INDEX(_LEITURA!$P$2:$P$21,3),DECKS!$B$2:$B$1201,$A93))</f>
        <v/>
      </c>
      <c r="N93" s="19" t="str">
        <f aca="false">IF(OR($A93="",INDEX(_LEITURA!$Q$2:$Q$21,4)=0),"",SUMIFS(DECKS!$D$2:$D$1201,DECKS!$A$2:$A$1201,INDEX(_LEITURA!$P$2:$P$21,4),DECKS!$B$2:$B$1201,$A93))</f>
        <v/>
      </c>
      <c r="O93" s="19" t="str">
        <f aca="false">IF(OR($A93="",INDEX(_LEITURA!$Q$2:$Q$21,5)=0),"",SUMIFS(DECKS!$D$2:$D$1201,DECKS!$A$2:$A$1201,INDEX(_LEITURA!$P$2:$P$21,5),DECKS!$B$2:$B$1201,$A93))</f>
        <v/>
      </c>
      <c r="P93" s="19" t="str">
        <f aca="false">IF(OR($A93="",INDEX(_LEITURA!$Q$2:$Q$21,6)=0),"",SUMIFS(DECKS!$D$2:$D$1201,DECKS!$A$2:$A$1201,INDEX(_LEITURA!$P$2:$P$21,6),DECKS!$B$2:$B$1201,$A93))</f>
        <v/>
      </c>
      <c r="Q93" s="19" t="str">
        <f aca="false">IF(OR($A93="",INDEX(_LEITURA!$Q$2:$Q$21,7)=0),"",SUMIFS(DECKS!$D$2:$D$1201,DECKS!$A$2:$A$1201,INDEX(_LEITURA!$P$2:$P$21,7),DECKS!$B$2:$B$1201,$A93))</f>
        <v/>
      </c>
      <c r="R93" s="19" t="str">
        <f aca="false">IF(OR($A93="",INDEX(_LEITURA!$Q$2:$Q$21,8)=0),"",SUMIFS(DECKS!$D$2:$D$1201,DECKS!$A$2:$A$1201,INDEX(_LEITURA!$P$2:$P$21,8),DECKS!$B$2:$B$1201,$A93))</f>
        <v/>
      </c>
      <c r="S93" s="19" t="str">
        <f aca="false">IF(OR($A93="",INDEX(_LEITURA!$Q$2:$Q$21,9)=0),"",SUMIFS(DECKS!$D$2:$D$1201,DECKS!$A$2:$A$1201,INDEX(_LEITURA!$P$2:$P$21,9),DECKS!$B$2:$B$1201,$A93))</f>
        <v/>
      </c>
      <c r="T93" s="19" t="str">
        <f aca="false">IF(OR($A93="",INDEX(_LEITURA!$Q$2:$Q$21,10)=0),"",SUMIFS(DECKS!$D$2:$D$1201,DECKS!$A$2:$A$1201,INDEX(_LEITURA!$P$2:$P$21,10),DECKS!$B$2:$B$1201,$A93))</f>
        <v/>
      </c>
      <c r="U93" s="19" t="str">
        <f aca="false">IF(OR($A93="",INDEX(_LEITURA!$Q$2:$Q$21,11)=0),"",SUMIFS(DECKS!$D$2:$D$1201,DECKS!$A$2:$A$1201,INDEX(_LEITURA!$P$2:$P$21,11),DECKS!$B$2:$B$1201,$A93))</f>
        <v/>
      </c>
      <c r="V93" s="19" t="str">
        <f aca="false">IF(OR($A93="",INDEX(_LEITURA!$Q$2:$Q$21,12)=0),"",SUMIFS(DECKS!$D$2:$D$1201,DECKS!$A$2:$A$1201,INDEX(_LEITURA!$P$2:$P$21,12),DECKS!$B$2:$B$1201,$A93))</f>
        <v/>
      </c>
      <c r="W93" s="19" t="str">
        <f aca="false">IF(OR($A93="",INDEX(_LEITURA!$Q$2:$Q$21,13)=0),"",SUMIFS(DECKS!$D$2:$D$1201,DECKS!$A$2:$A$1201,INDEX(_LEITURA!$P$2:$P$21,13),DECKS!$B$2:$B$1201,$A93))</f>
        <v/>
      </c>
      <c r="X93" s="19" t="str">
        <f aca="false">IF(OR($A93="",INDEX(_LEITURA!$Q$2:$Q$21,14)=0),"",SUMIFS(DECKS!$D$2:$D$1201,DECKS!$A$2:$A$1201,INDEX(_LEITURA!$P$2:$P$21,14),DECKS!$B$2:$B$1201,$A93))</f>
        <v/>
      </c>
      <c r="Y93" s="19" t="str">
        <f aca="false">IF(OR($A93="",INDEX(_LEITURA!$Q$2:$Q$21,15)=0),"",SUMIFS(DECKS!$D$2:$D$1201,DECKS!$A$2:$A$1201,INDEX(_LEITURA!$P$2:$P$21,15),DECKS!$B$2:$B$1201,$A93))</f>
        <v/>
      </c>
      <c r="Z93" s="19" t="str">
        <f aca="false">IF(OR($A93="",INDEX(_LEITURA!$Q$2:$Q$21,16)=0),"",SUMIFS(DECKS!$D$2:$D$1201,DECKS!$A$2:$A$1201,INDEX(_LEITURA!$P$2:$P$21,16),DECKS!$B$2:$B$1201,$A93))</f>
        <v/>
      </c>
      <c r="AA93" s="19" t="str">
        <f aca="false">IF(OR($A93="",INDEX(_LEITURA!$Q$2:$Q$21,17)=0),"",SUMIFS(DECKS!$D$2:$D$1201,DECKS!$A$2:$A$1201,INDEX(_LEITURA!$P$2:$P$21,17),DECKS!$B$2:$B$1201,$A93))</f>
        <v/>
      </c>
      <c r="AB93" s="19" t="str">
        <f aca="false">IF(OR($A93="",INDEX(_LEITURA!$Q$2:$Q$21,18)=0),"",SUMIFS(DECKS!$D$2:$D$1201,DECKS!$A$2:$A$1201,INDEX(_LEITURA!$P$2:$P$21,18),DECKS!$B$2:$B$1201,$A93))</f>
        <v/>
      </c>
      <c r="AC93" s="19" t="str">
        <f aca="false">IF(OR($A93="",INDEX(_LEITURA!$Q$2:$Q$21,19)=0),"",SUMIFS(DECKS!$D$2:$D$1201,DECKS!$A$2:$A$1201,INDEX(_LEITURA!$P$2:$P$21,19),DECKS!$B$2:$B$1201,$A93))</f>
        <v/>
      </c>
      <c r="AD93" s="19" t="str">
        <f aca="false">IF(OR($A93="",INDEX(_LEITURA!$Q$2:$Q$21,20)=0),"",SUMIFS(DECKS!$D$2:$D$1201,DECKS!$A$2:$A$1201,INDEX(_LEITURA!$P$2:$P$21,20),DECKS!$B$2:$B$1201,$A93))</f>
        <v/>
      </c>
      <c r="AE93" s="16" t="str">
        <f aca="false">IF(N(E93)&gt;0,MAX(AE$1:AE92)+1,"")</f>
        <v/>
      </c>
      <c r="AF93" s="11" t="str">
        <f aca="false">IF(A93="","",IFERROR(LEFT(A93,FIND("-",A93)-1),A93))</f>
        <v/>
      </c>
      <c r="AG93" s="11" t="str">
        <f aca="false">IF(AF93="","",IF(ISNUMBER(--MID(AF93,1,1)),0,IF(ISNUMBER(--MID(AF93,2,1)),1,IF(ISNUMBER(--MID(AF93,3,1)),2,IF(ISNUMBER(--MID(AF93,4,1)),3,MIN(LEN(AF93),4))))))</f>
        <v/>
      </c>
      <c r="AH93" s="11" t="str">
        <f aca="false">IF(A93="","",LEFT(AF93,AG93)&amp;REPT("0",4-AG93)&amp;RIGHT("000"&amp;IFERROR(VALUE(MID(AF93,AG93+1,9)),0),3)&amp;RIGHT("0000"&amp;IFERROR(VALUE(MID(A93,FIND("-",A93)+1,9)),0),4))</f>
        <v/>
      </c>
      <c r="AI93" s="11" t="str">
        <f aca="false">IF(OR(A93="",N(E93)&lt;=0),"",IF('FALTAS GERAL'!$M$1="Código","K"&amp;AH93&amp;RIGHT("00000"&amp;ROW(),5),IF('FALTAS GERAL'!$M$1="Nome","K"&amp;UPPER(SUBSTITUTE(SUBSTITUTE(SUBSTITUTE(B93,"*",""),"?",""),"~",""))&amp;"0"&amp;AH93&amp;RIGHT("00000"&amp;ROW(),5),IF('FALTAS GERAL'!$M$1="Falta (maior primeiro)","K"&amp;RIGHT("0000"&amp;(9999-E93),4)&amp;AH93&amp;RIGHT("00000"&amp;ROW(),5),IF('FALTAS GERAL'!$M$1="Nº de decks (maior primeiro)","K"&amp;RIGHT("00"&amp;(99-N(G93)),2)&amp;AH93&amp;RIGHT("00000"&amp;ROW(),5),"K"&amp;RIGHT("00000"&amp;ROW(),5))))))</f>
        <v/>
      </c>
      <c r="AJ93" s="11" t="str">
        <f aca="false">IF(AI93="","",COUNTIFS($AI$2:$AI$801,"&lt;"&amp;AI93,$E$2:$E$801,"&gt;0")+1)</f>
        <v/>
      </c>
      <c r="AK93" s="11" t="str">
        <f aca="false">IF(OR(A93="",N(E93)&lt;=0),"",COUNTIFS($AH$2:$AH$801,"&lt;"&amp;AH93,$E$2:$E$801,"&gt;0")+COUNTIFS($AH$2:AH93,AH93,$E$2:E93,"&gt;0"))</f>
        <v/>
      </c>
    </row>
    <row r="94" customFormat="false" ht="15" hidden="false" customHeight="false" outlineLevel="0" collapsed="false">
      <c r="A94" s="11" t="str">
        <f aca="false">IF(INVENTÁRIO!A94="","",INVENTÁRIO!A94)</f>
        <v/>
      </c>
      <c r="B94" s="11" t="str">
        <f aca="false">IF(A94="","",INVENTÁRIO!B94)</f>
        <v/>
      </c>
      <c r="C94" s="16" t="str">
        <f aca="false">IF(A94="","",INVENTÁRIO!C94)</f>
        <v/>
      </c>
      <c r="D94" s="14" t="str">
        <f aca="false">IF(A94="","",MAX(K94:AD94))</f>
        <v/>
      </c>
      <c r="E94" s="14" t="str">
        <f aca="false">IF(A94="","",MAX(0,D94-C94))</f>
        <v/>
      </c>
      <c r="F94" s="16" t="str">
        <f aca="false">IF(A94="","",IF(D94=0,"Fora dos decks",IF(E94=0,"Completo","Falta")))</f>
        <v/>
      </c>
      <c r="G94" s="16" t="str">
        <f aca="false">IF(A94="","",COUNTIF(K94:AD94,"&gt;0"))</f>
        <v/>
      </c>
      <c r="H94" s="16" t="str">
        <f aca="false">IF(A94="","",IF(G94&gt;1,"Sim",""))</f>
        <v/>
      </c>
      <c r="I94" s="18" t="str">
        <f aca="false">IF(A94="","",SUMIFS(DECKS!$D$2:$D$1201,DECKS!$B$2:$B$1201,A94))</f>
        <v/>
      </c>
      <c r="J94" s="18" t="str">
        <f aca="false">IF(A94="","",MAX(0,I94-C94))</f>
        <v/>
      </c>
      <c r="K94" s="19" t="str">
        <f aca="false">IF(OR($A94="",INDEX(_LEITURA!$Q$2:$Q$21,1)=0),"",SUMIFS(DECKS!$D$2:$D$1201,DECKS!$A$2:$A$1201,INDEX(_LEITURA!$P$2:$P$21,1),DECKS!$B$2:$B$1201,$A94))</f>
        <v/>
      </c>
      <c r="L94" s="19" t="str">
        <f aca="false">IF(OR($A94="",INDEX(_LEITURA!$Q$2:$Q$21,2)=0),"",SUMIFS(DECKS!$D$2:$D$1201,DECKS!$A$2:$A$1201,INDEX(_LEITURA!$P$2:$P$21,2),DECKS!$B$2:$B$1201,$A94))</f>
        <v/>
      </c>
      <c r="M94" s="19" t="str">
        <f aca="false">IF(OR($A94="",INDEX(_LEITURA!$Q$2:$Q$21,3)=0),"",SUMIFS(DECKS!$D$2:$D$1201,DECKS!$A$2:$A$1201,INDEX(_LEITURA!$P$2:$P$21,3),DECKS!$B$2:$B$1201,$A94))</f>
        <v/>
      </c>
      <c r="N94" s="19" t="str">
        <f aca="false">IF(OR($A94="",INDEX(_LEITURA!$Q$2:$Q$21,4)=0),"",SUMIFS(DECKS!$D$2:$D$1201,DECKS!$A$2:$A$1201,INDEX(_LEITURA!$P$2:$P$21,4),DECKS!$B$2:$B$1201,$A94))</f>
        <v/>
      </c>
      <c r="O94" s="19" t="str">
        <f aca="false">IF(OR($A94="",INDEX(_LEITURA!$Q$2:$Q$21,5)=0),"",SUMIFS(DECKS!$D$2:$D$1201,DECKS!$A$2:$A$1201,INDEX(_LEITURA!$P$2:$P$21,5),DECKS!$B$2:$B$1201,$A94))</f>
        <v/>
      </c>
      <c r="P94" s="19" t="str">
        <f aca="false">IF(OR($A94="",INDEX(_LEITURA!$Q$2:$Q$21,6)=0),"",SUMIFS(DECKS!$D$2:$D$1201,DECKS!$A$2:$A$1201,INDEX(_LEITURA!$P$2:$P$21,6),DECKS!$B$2:$B$1201,$A94))</f>
        <v/>
      </c>
      <c r="Q94" s="19" t="str">
        <f aca="false">IF(OR($A94="",INDEX(_LEITURA!$Q$2:$Q$21,7)=0),"",SUMIFS(DECKS!$D$2:$D$1201,DECKS!$A$2:$A$1201,INDEX(_LEITURA!$P$2:$P$21,7),DECKS!$B$2:$B$1201,$A94))</f>
        <v/>
      </c>
      <c r="R94" s="19" t="str">
        <f aca="false">IF(OR($A94="",INDEX(_LEITURA!$Q$2:$Q$21,8)=0),"",SUMIFS(DECKS!$D$2:$D$1201,DECKS!$A$2:$A$1201,INDEX(_LEITURA!$P$2:$P$21,8),DECKS!$B$2:$B$1201,$A94))</f>
        <v/>
      </c>
      <c r="S94" s="19" t="str">
        <f aca="false">IF(OR($A94="",INDEX(_LEITURA!$Q$2:$Q$21,9)=0),"",SUMIFS(DECKS!$D$2:$D$1201,DECKS!$A$2:$A$1201,INDEX(_LEITURA!$P$2:$P$21,9),DECKS!$B$2:$B$1201,$A94))</f>
        <v/>
      </c>
      <c r="T94" s="19" t="str">
        <f aca="false">IF(OR($A94="",INDEX(_LEITURA!$Q$2:$Q$21,10)=0),"",SUMIFS(DECKS!$D$2:$D$1201,DECKS!$A$2:$A$1201,INDEX(_LEITURA!$P$2:$P$21,10),DECKS!$B$2:$B$1201,$A94))</f>
        <v/>
      </c>
      <c r="U94" s="19" t="str">
        <f aca="false">IF(OR($A94="",INDEX(_LEITURA!$Q$2:$Q$21,11)=0),"",SUMIFS(DECKS!$D$2:$D$1201,DECKS!$A$2:$A$1201,INDEX(_LEITURA!$P$2:$P$21,11),DECKS!$B$2:$B$1201,$A94))</f>
        <v/>
      </c>
      <c r="V94" s="19" t="str">
        <f aca="false">IF(OR($A94="",INDEX(_LEITURA!$Q$2:$Q$21,12)=0),"",SUMIFS(DECKS!$D$2:$D$1201,DECKS!$A$2:$A$1201,INDEX(_LEITURA!$P$2:$P$21,12),DECKS!$B$2:$B$1201,$A94))</f>
        <v/>
      </c>
      <c r="W94" s="19" t="str">
        <f aca="false">IF(OR($A94="",INDEX(_LEITURA!$Q$2:$Q$21,13)=0),"",SUMIFS(DECKS!$D$2:$D$1201,DECKS!$A$2:$A$1201,INDEX(_LEITURA!$P$2:$P$21,13),DECKS!$B$2:$B$1201,$A94))</f>
        <v/>
      </c>
      <c r="X94" s="19" t="str">
        <f aca="false">IF(OR($A94="",INDEX(_LEITURA!$Q$2:$Q$21,14)=0),"",SUMIFS(DECKS!$D$2:$D$1201,DECKS!$A$2:$A$1201,INDEX(_LEITURA!$P$2:$P$21,14),DECKS!$B$2:$B$1201,$A94))</f>
        <v/>
      </c>
      <c r="Y94" s="19" t="str">
        <f aca="false">IF(OR($A94="",INDEX(_LEITURA!$Q$2:$Q$21,15)=0),"",SUMIFS(DECKS!$D$2:$D$1201,DECKS!$A$2:$A$1201,INDEX(_LEITURA!$P$2:$P$21,15),DECKS!$B$2:$B$1201,$A94))</f>
        <v/>
      </c>
      <c r="Z94" s="19" t="str">
        <f aca="false">IF(OR($A94="",INDEX(_LEITURA!$Q$2:$Q$21,16)=0),"",SUMIFS(DECKS!$D$2:$D$1201,DECKS!$A$2:$A$1201,INDEX(_LEITURA!$P$2:$P$21,16),DECKS!$B$2:$B$1201,$A94))</f>
        <v/>
      </c>
      <c r="AA94" s="19" t="str">
        <f aca="false">IF(OR($A94="",INDEX(_LEITURA!$Q$2:$Q$21,17)=0),"",SUMIFS(DECKS!$D$2:$D$1201,DECKS!$A$2:$A$1201,INDEX(_LEITURA!$P$2:$P$21,17),DECKS!$B$2:$B$1201,$A94))</f>
        <v/>
      </c>
      <c r="AB94" s="19" t="str">
        <f aca="false">IF(OR($A94="",INDEX(_LEITURA!$Q$2:$Q$21,18)=0),"",SUMIFS(DECKS!$D$2:$D$1201,DECKS!$A$2:$A$1201,INDEX(_LEITURA!$P$2:$P$21,18),DECKS!$B$2:$B$1201,$A94))</f>
        <v/>
      </c>
      <c r="AC94" s="19" t="str">
        <f aca="false">IF(OR($A94="",INDEX(_LEITURA!$Q$2:$Q$21,19)=0),"",SUMIFS(DECKS!$D$2:$D$1201,DECKS!$A$2:$A$1201,INDEX(_LEITURA!$P$2:$P$21,19),DECKS!$B$2:$B$1201,$A94))</f>
        <v/>
      </c>
      <c r="AD94" s="19" t="str">
        <f aca="false">IF(OR($A94="",INDEX(_LEITURA!$Q$2:$Q$21,20)=0),"",SUMIFS(DECKS!$D$2:$D$1201,DECKS!$A$2:$A$1201,INDEX(_LEITURA!$P$2:$P$21,20),DECKS!$B$2:$B$1201,$A94))</f>
        <v/>
      </c>
      <c r="AE94" s="16" t="str">
        <f aca="false">IF(N(E94)&gt;0,MAX(AE$1:AE93)+1,"")</f>
        <v/>
      </c>
      <c r="AF94" s="11" t="str">
        <f aca="false">IF(A94="","",IFERROR(LEFT(A94,FIND("-",A94)-1),A94))</f>
        <v/>
      </c>
      <c r="AG94" s="11" t="str">
        <f aca="false">IF(AF94="","",IF(ISNUMBER(--MID(AF94,1,1)),0,IF(ISNUMBER(--MID(AF94,2,1)),1,IF(ISNUMBER(--MID(AF94,3,1)),2,IF(ISNUMBER(--MID(AF94,4,1)),3,MIN(LEN(AF94),4))))))</f>
        <v/>
      </c>
      <c r="AH94" s="11" t="str">
        <f aca="false">IF(A94="","",LEFT(AF94,AG94)&amp;REPT("0",4-AG94)&amp;RIGHT("000"&amp;IFERROR(VALUE(MID(AF94,AG94+1,9)),0),3)&amp;RIGHT("0000"&amp;IFERROR(VALUE(MID(A94,FIND("-",A94)+1,9)),0),4))</f>
        <v/>
      </c>
      <c r="AI94" s="11" t="str">
        <f aca="false">IF(OR(A94="",N(E94)&lt;=0),"",IF('FALTAS GERAL'!$M$1="Código","K"&amp;AH94&amp;RIGHT("00000"&amp;ROW(),5),IF('FALTAS GERAL'!$M$1="Nome","K"&amp;UPPER(SUBSTITUTE(SUBSTITUTE(SUBSTITUTE(B94,"*",""),"?",""),"~",""))&amp;"0"&amp;AH94&amp;RIGHT("00000"&amp;ROW(),5),IF('FALTAS GERAL'!$M$1="Falta (maior primeiro)","K"&amp;RIGHT("0000"&amp;(9999-E94),4)&amp;AH94&amp;RIGHT("00000"&amp;ROW(),5),IF('FALTAS GERAL'!$M$1="Nº de decks (maior primeiro)","K"&amp;RIGHT("00"&amp;(99-N(G94)),2)&amp;AH94&amp;RIGHT("00000"&amp;ROW(),5),"K"&amp;RIGHT("00000"&amp;ROW(),5))))))</f>
        <v/>
      </c>
      <c r="AJ94" s="11" t="str">
        <f aca="false">IF(AI94="","",COUNTIFS($AI$2:$AI$801,"&lt;"&amp;AI94,$E$2:$E$801,"&gt;0")+1)</f>
        <v/>
      </c>
      <c r="AK94" s="11" t="str">
        <f aca="false">IF(OR(A94="",N(E94)&lt;=0),"",COUNTIFS($AH$2:$AH$801,"&lt;"&amp;AH94,$E$2:$E$801,"&gt;0")+COUNTIFS($AH$2:AH94,AH94,$E$2:E94,"&gt;0"))</f>
        <v/>
      </c>
    </row>
    <row r="95" customFormat="false" ht="15" hidden="false" customHeight="false" outlineLevel="0" collapsed="false">
      <c r="A95" s="11" t="str">
        <f aca="false">IF(INVENTÁRIO!A95="","",INVENTÁRIO!A95)</f>
        <v/>
      </c>
      <c r="B95" s="11" t="str">
        <f aca="false">IF(A95="","",INVENTÁRIO!B95)</f>
        <v/>
      </c>
      <c r="C95" s="16" t="str">
        <f aca="false">IF(A95="","",INVENTÁRIO!C95)</f>
        <v/>
      </c>
      <c r="D95" s="14" t="str">
        <f aca="false">IF(A95="","",MAX(K95:AD95))</f>
        <v/>
      </c>
      <c r="E95" s="14" t="str">
        <f aca="false">IF(A95="","",MAX(0,D95-C95))</f>
        <v/>
      </c>
      <c r="F95" s="16" t="str">
        <f aca="false">IF(A95="","",IF(D95=0,"Fora dos decks",IF(E95=0,"Completo","Falta")))</f>
        <v/>
      </c>
      <c r="G95" s="16" t="str">
        <f aca="false">IF(A95="","",COUNTIF(K95:AD95,"&gt;0"))</f>
        <v/>
      </c>
      <c r="H95" s="16" t="str">
        <f aca="false">IF(A95="","",IF(G95&gt;1,"Sim",""))</f>
        <v/>
      </c>
      <c r="I95" s="18" t="str">
        <f aca="false">IF(A95="","",SUMIFS(DECKS!$D$2:$D$1201,DECKS!$B$2:$B$1201,A95))</f>
        <v/>
      </c>
      <c r="J95" s="18" t="str">
        <f aca="false">IF(A95="","",MAX(0,I95-C95))</f>
        <v/>
      </c>
      <c r="K95" s="19" t="str">
        <f aca="false">IF(OR($A95="",INDEX(_LEITURA!$Q$2:$Q$21,1)=0),"",SUMIFS(DECKS!$D$2:$D$1201,DECKS!$A$2:$A$1201,INDEX(_LEITURA!$P$2:$P$21,1),DECKS!$B$2:$B$1201,$A95))</f>
        <v/>
      </c>
      <c r="L95" s="19" t="str">
        <f aca="false">IF(OR($A95="",INDEX(_LEITURA!$Q$2:$Q$21,2)=0),"",SUMIFS(DECKS!$D$2:$D$1201,DECKS!$A$2:$A$1201,INDEX(_LEITURA!$P$2:$P$21,2),DECKS!$B$2:$B$1201,$A95))</f>
        <v/>
      </c>
      <c r="M95" s="19" t="str">
        <f aca="false">IF(OR($A95="",INDEX(_LEITURA!$Q$2:$Q$21,3)=0),"",SUMIFS(DECKS!$D$2:$D$1201,DECKS!$A$2:$A$1201,INDEX(_LEITURA!$P$2:$P$21,3),DECKS!$B$2:$B$1201,$A95))</f>
        <v/>
      </c>
      <c r="N95" s="19" t="str">
        <f aca="false">IF(OR($A95="",INDEX(_LEITURA!$Q$2:$Q$21,4)=0),"",SUMIFS(DECKS!$D$2:$D$1201,DECKS!$A$2:$A$1201,INDEX(_LEITURA!$P$2:$P$21,4),DECKS!$B$2:$B$1201,$A95))</f>
        <v/>
      </c>
      <c r="O95" s="19" t="str">
        <f aca="false">IF(OR($A95="",INDEX(_LEITURA!$Q$2:$Q$21,5)=0),"",SUMIFS(DECKS!$D$2:$D$1201,DECKS!$A$2:$A$1201,INDEX(_LEITURA!$P$2:$P$21,5),DECKS!$B$2:$B$1201,$A95))</f>
        <v/>
      </c>
      <c r="P95" s="19" t="str">
        <f aca="false">IF(OR($A95="",INDEX(_LEITURA!$Q$2:$Q$21,6)=0),"",SUMIFS(DECKS!$D$2:$D$1201,DECKS!$A$2:$A$1201,INDEX(_LEITURA!$P$2:$P$21,6),DECKS!$B$2:$B$1201,$A95))</f>
        <v/>
      </c>
      <c r="Q95" s="19" t="str">
        <f aca="false">IF(OR($A95="",INDEX(_LEITURA!$Q$2:$Q$21,7)=0),"",SUMIFS(DECKS!$D$2:$D$1201,DECKS!$A$2:$A$1201,INDEX(_LEITURA!$P$2:$P$21,7),DECKS!$B$2:$B$1201,$A95))</f>
        <v/>
      </c>
      <c r="R95" s="19" t="str">
        <f aca="false">IF(OR($A95="",INDEX(_LEITURA!$Q$2:$Q$21,8)=0),"",SUMIFS(DECKS!$D$2:$D$1201,DECKS!$A$2:$A$1201,INDEX(_LEITURA!$P$2:$P$21,8),DECKS!$B$2:$B$1201,$A95))</f>
        <v/>
      </c>
      <c r="S95" s="19" t="str">
        <f aca="false">IF(OR($A95="",INDEX(_LEITURA!$Q$2:$Q$21,9)=0),"",SUMIFS(DECKS!$D$2:$D$1201,DECKS!$A$2:$A$1201,INDEX(_LEITURA!$P$2:$P$21,9),DECKS!$B$2:$B$1201,$A95))</f>
        <v/>
      </c>
      <c r="T95" s="19" t="str">
        <f aca="false">IF(OR($A95="",INDEX(_LEITURA!$Q$2:$Q$21,10)=0),"",SUMIFS(DECKS!$D$2:$D$1201,DECKS!$A$2:$A$1201,INDEX(_LEITURA!$P$2:$P$21,10),DECKS!$B$2:$B$1201,$A95))</f>
        <v/>
      </c>
      <c r="U95" s="19" t="str">
        <f aca="false">IF(OR($A95="",INDEX(_LEITURA!$Q$2:$Q$21,11)=0),"",SUMIFS(DECKS!$D$2:$D$1201,DECKS!$A$2:$A$1201,INDEX(_LEITURA!$P$2:$P$21,11),DECKS!$B$2:$B$1201,$A95))</f>
        <v/>
      </c>
      <c r="V95" s="19" t="str">
        <f aca="false">IF(OR($A95="",INDEX(_LEITURA!$Q$2:$Q$21,12)=0),"",SUMIFS(DECKS!$D$2:$D$1201,DECKS!$A$2:$A$1201,INDEX(_LEITURA!$P$2:$P$21,12),DECKS!$B$2:$B$1201,$A95))</f>
        <v/>
      </c>
      <c r="W95" s="19" t="str">
        <f aca="false">IF(OR($A95="",INDEX(_LEITURA!$Q$2:$Q$21,13)=0),"",SUMIFS(DECKS!$D$2:$D$1201,DECKS!$A$2:$A$1201,INDEX(_LEITURA!$P$2:$P$21,13),DECKS!$B$2:$B$1201,$A95))</f>
        <v/>
      </c>
      <c r="X95" s="19" t="str">
        <f aca="false">IF(OR($A95="",INDEX(_LEITURA!$Q$2:$Q$21,14)=0),"",SUMIFS(DECKS!$D$2:$D$1201,DECKS!$A$2:$A$1201,INDEX(_LEITURA!$P$2:$P$21,14),DECKS!$B$2:$B$1201,$A95))</f>
        <v/>
      </c>
      <c r="Y95" s="19" t="str">
        <f aca="false">IF(OR($A95="",INDEX(_LEITURA!$Q$2:$Q$21,15)=0),"",SUMIFS(DECKS!$D$2:$D$1201,DECKS!$A$2:$A$1201,INDEX(_LEITURA!$P$2:$P$21,15),DECKS!$B$2:$B$1201,$A95))</f>
        <v/>
      </c>
      <c r="Z95" s="19" t="str">
        <f aca="false">IF(OR($A95="",INDEX(_LEITURA!$Q$2:$Q$21,16)=0),"",SUMIFS(DECKS!$D$2:$D$1201,DECKS!$A$2:$A$1201,INDEX(_LEITURA!$P$2:$P$21,16),DECKS!$B$2:$B$1201,$A95))</f>
        <v/>
      </c>
      <c r="AA95" s="19" t="str">
        <f aca="false">IF(OR($A95="",INDEX(_LEITURA!$Q$2:$Q$21,17)=0),"",SUMIFS(DECKS!$D$2:$D$1201,DECKS!$A$2:$A$1201,INDEX(_LEITURA!$P$2:$P$21,17),DECKS!$B$2:$B$1201,$A95))</f>
        <v/>
      </c>
      <c r="AB95" s="19" t="str">
        <f aca="false">IF(OR($A95="",INDEX(_LEITURA!$Q$2:$Q$21,18)=0),"",SUMIFS(DECKS!$D$2:$D$1201,DECKS!$A$2:$A$1201,INDEX(_LEITURA!$P$2:$P$21,18),DECKS!$B$2:$B$1201,$A95))</f>
        <v/>
      </c>
      <c r="AC95" s="19" t="str">
        <f aca="false">IF(OR($A95="",INDEX(_LEITURA!$Q$2:$Q$21,19)=0),"",SUMIFS(DECKS!$D$2:$D$1201,DECKS!$A$2:$A$1201,INDEX(_LEITURA!$P$2:$P$21,19),DECKS!$B$2:$B$1201,$A95))</f>
        <v/>
      </c>
      <c r="AD95" s="19" t="str">
        <f aca="false">IF(OR($A95="",INDEX(_LEITURA!$Q$2:$Q$21,20)=0),"",SUMIFS(DECKS!$D$2:$D$1201,DECKS!$A$2:$A$1201,INDEX(_LEITURA!$P$2:$P$21,20),DECKS!$B$2:$B$1201,$A95))</f>
        <v/>
      </c>
      <c r="AE95" s="16" t="str">
        <f aca="false">IF(N(E95)&gt;0,MAX(AE$1:AE94)+1,"")</f>
        <v/>
      </c>
      <c r="AF95" s="11" t="str">
        <f aca="false">IF(A95="","",IFERROR(LEFT(A95,FIND("-",A95)-1),A95))</f>
        <v/>
      </c>
      <c r="AG95" s="11" t="str">
        <f aca="false">IF(AF95="","",IF(ISNUMBER(--MID(AF95,1,1)),0,IF(ISNUMBER(--MID(AF95,2,1)),1,IF(ISNUMBER(--MID(AF95,3,1)),2,IF(ISNUMBER(--MID(AF95,4,1)),3,MIN(LEN(AF95),4))))))</f>
        <v/>
      </c>
      <c r="AH95" s="11" t="str">
        <f aca="false">IF(A95="","",LEFT(AF95,AG95)&amp;REPT("0",4-AG95)&amp;RIGHT("000"&amp;IFERROR(VALUE(MID(AF95,AG95+1,9)),0),3)&amp;RIGHT("0000"&amp;IFERROR(VALUE(MID(A95,FIND("-",A95)+1,9)),0),4))</f>
        <v/>
      </c>
      <c r="AI95" s="11" t="str">
        <f aca="false">IF(OR(A95="",N(E95)&lt;=0),"",IF('FALTAS GERAL'!$M$1="Código","K"&amp;AH95&amp;RIGHT("00000"&amp;ROW(),5),IF('FALTAS GERAL'!$M$1="Nome","K"&amp;UPPER(SUBSTITUTE(SUBSTITUTE(SUBSTITUTE(B95,"*",""),"?",""),"~",""))&amp;"0"&amp;AH95&amp;RIGHT("00000"&amp;ROW(),5),IF('FALTAS GERAL'!$M$1="Falta (maior primeiro)","K"&amp;RIGHT("0000"&amp;(9999-E95),4)&amp;AH95&amp;RIGHT("00000"&amp;ROW(),5),IF('FALTAS GERAL'!$M$1="Nº de decks (maior primeiro)","K"&amp;RIGHT("00"&amp;(99-N(G95)),2)&amp;AH95&amp;RIGHT("00000"&amp;ROW(),5),"K"&amp;RIGHT("00000"&amp;ROW(),5))))))</f>
        <v/>
      </c>
      <c r="AJ95" s="11" t="str">
        <f aca="false">IF(AI95="","",COUNTIFS($AI$2:$AI$801,"&lt;"&amp;AI95,$E$2:$E$801,"&gt;0")+1)</f>
        <v/>
      </c>
      <c r="AK95" s="11" t="str">
        <f aca="false">IF(OR(A95="",N(E95)&lt;=0),"",COUNTIFS($AH$2:$AH$801,"&lt;"&amp;AH95,$E$2:$E$801,"&gt;0")+COUNTIFS($AH$2:AH95,AH95,$E$2:E95,"&gt;0"))</f>
        <v/>
      </c>
    </row>
    <row r="96" customFormat="false" ht="15" hidden="false" customHeight="false" outlineLevel="0" collapsed="false">
      <c r="A96" s="11" t="str">
        <f aca="false">IF(INVENTÁRIO!A96="","",INVENTÁRIO!A96)</f>
        <v/>
      </c>
      <c r="B96" s="11" t="str">
        <f aca="false">IF(A96="","",INVENTÁRIO!B96)</f>
        <v/>
      </c>
      <c r="C96" s="16" t="str">
        <f aca="false">IF(A96="","",INVENTÁRIO!C96)</f>
        <v/>
      </c>
      <c r="D96" s="14" t="str">
        <f aca="false">IF(A96="","",MAX(K96:AD96))</f>
        <v/>
      </c>
      <c r="E96" s="14" t="str">
        <f aca="false">IF(A96="","",MAX(0,D96-C96))</f>
        <v/>
      </c>
      <c r="F96" s="16" t="str">
        <f aca="false">IF(A96="","",IF(D96=0,"Fora dos decks",IF(E96=0,"Completo","Falta")))</f>
        <v/>
      </c>
      <c r="G96" s="16" t="str">
        <f aca="false">IF(A96="","",COUNTIF(K96:AD96,"&gt;0"))</f>
        <v/>
      </c>
      <c r="H96" s="16" t="str">
        <f aca="false">IF(A96="","",IF(G96&gt;1,"Sim",""))</f>
        <v/>
      </c>
      <c r="I96" s="18" t="str">
        <f aca="false">IF(A96="","",SUMIFS(DECKS!$D$2:$D$1201,DECKS!$B$2:$B$1201,A96))</f>
        <v/>
      </c>
      <c r="J96" s="18" t="str">
        <f aca="false">IF(A96="","",MAX(0,I96-C96))</f>
        <v/>
      </c>
      <c r="K96" s="19" t="str">
        <f aca="false">IF(OR($A96="",INDEX(_LEITURA!$Q$2:$Q$21,1)=0),"",SUMIFS(DECKS!$D$2:$D$1201,DECKS!$A$2:$A$1201,INDEX(_LEITURA!$P$2:$P$21,1),DECKS!$B$2:$B$1201,$A96))</f>
        <v/>
      </c>
      <c r="L96" s="19" t="str">
        <f aca="false">IF(OR($A96="",INDEX(_LEITURA!$Q$2:$Q$21,2)=0),"",SUMIFS(DECKS!$D$2:$D$1201,DECKS!$A$2:$A$1201,INDEX(_LEITURA!$P$2:$P$21,2),DECKS!$B$2:$B$1201,$A96))</f>
        <v/>
      </c>
      <c r="M96" s="19" t="str">
        <f aca="false">IF(OR($A96="",INDEX(_LEITURA!$Q$2:$Q$21,3)=0),"",SUMIFS(DECKS!$D$2:$D$1201,DECKS!$A$2:$A$1201,INDEX(_LEITURA!$P$2:$P$21,3),DECKS!$B$2:$B$1201,$A96))</f>
        <v/>
      </c>
      <c r="N96" s="19" t="str">
        <f aca="false">IF(OR($A96="",INDEX(_LEITURA!$Q$2:$Q$21,4)=0),"",SUMIFS(DECKS!$D$2:$D$1201,DECKS!$A$2:$A$1201,INDEX(_LEITURA!$P$2:$P$21,4),DECKS!$B$2:$B$1201,$A96))</f>
        <v/>
      </c>
      <c r="O96" s="19" t="str">
        <f aca="false">IF(OR($A96="",INDEX(_LEITURA!$Q$2:$Q$21,5)=0),"",SUMIFS(DECKS!$D$2:$D$1201,DECKS!$A$2:$A$1201,INDEX(_LEITURA!$P$2:$P$21,5),DECKS!$B$2:$B$1201,$A96))</f>
        <v/>
      </c>
      <c r="P96" s="19" t="str">
        <f aca="false">IF(OR($A96="",INDEX(_LEITURA!$Q$2:$Q$21,6)=0),"",SUMIFS(DECKS!$D$2:$D$1201,DECKS!$A$2:$A$1201,INDEX(_LEITURA!$P$2:$P$21,6),DECKS!$B$2:$B$1201,$A96))</f>
        <v/>
      </c>
      <c r="Q96" s="19" t="str">
        <f aca="false">IF(OR($A96="",INDEX(_LEITURA!$Q$2:$Q$21,7)=0),"",SUMIFS(DECKS!$D$2:$D$1201,DECKS!$A$2:$A$1201,INDEX(_LEITURA!$P$2:$P$21,7),DECKS!$B$2:$B$1201,$A96))</f>
        <v/>
      </c>
      <c r="R96" s="19" t="str">
        <f aca="false">IF(OR($A96="",INDEX(_LEITURA!$Q$2:$Q$21,8)=0),"",SUMIFS(DECKS!$D$2:$D$1201,DECKS!$A$2:$A$1201,INDEX(_LEITURA!$P$2:$P$21,8),DECKS!$B$2:$B$1201,$A96))</f>
        <v/>
      </c>
      <c r="S96" s="19" t="str">
        <f aca="false">IF(OR($A96="",INDEX(_LEITURA!$Q$2:$Q$21,9)=0),"",SUMIFS(DECKS!$D$2:$D$1201,DECKS!$A$2:$A$1201,INDEX(_LEITURA!$P$2:$P$21,9),DECKS!$B$2:$B$1201,$A96))</f>
        <v/>
      </c>
      <c r="T96" s="19" t="str">
        <f aca="false">IF(OR($A96="",INDEX(_LEITURA!$Q$2:$Q$21,10)=0),"",SUMIFS(DECKS!$D$2:$D$1201,DECKS!$A$2:$A$1201,INDEX(_LEITURA!$P$2:$P$21,10),DECKS!$B$2:$B$1201,$A96))</f>
        <v/>
      </c>
      <c r="U96" s="19" t="str">
        <f aca="false">IF(OR($A96="",INDEX(_LEITURA!$Q$2:$Q$21,11)=0),"",SUMIFS(DECKS!$D$2:$D$1201,DECKS!$A$2:$A$1201,INDEX(_LEITURA!$P$2:$P$21,11),DECKS!$B$2:$B$1201,$A96))</f>
        <v/>
      </c>
      <c r="V96" s="19" t="str">
        <f aca="false">IF(OR($A96="",INDEX(_LEITURA!$Q$2:$Q$21,12)=0),"",SUMIFS(DECKS!$D$2:$D$1201,DECKS!$A$2:$A$1201,INDEX(_LEITURA!$P$2:$P$21,12),DECKS!$B$2:$B$1201,$A96))</f>
        <v/>
      </c>
      <c r="W96" s="19" t="str">
        <f aca="false">IF(OR($A96="",INDEX(_LEITURA!$Q$2:$Q$21,13)=0),"",SUMIFS(DECKS!$D$2:$D$1201,DECKS!$A$2:$A$1201,INDEX(_LEITURA!$P$2:$P$21,13),DECKS!$B$2:$B$1201,$A96))</f>
        <v/>
      </c>
      <c r="X96" s="19" t="str">
        <f aca="false">IF(OR($A96="",INDEX(_LEITURA!$Q$2:$Q$21,14)=0),"",SUMIFS(DECKS!$D$2:$D$1201,DECKS!$A$2:$A$1201,INDEX(_LEITURA!$P$2:$P$21,14),DECKS!$B$2:$B$1201,$A96))</f>
        <v/>
      </c>
      <c r="Y96" s="19" t="str">
        <f aca="false">IF(OR($A96="",INDEX(_LEITURA!$Q$2:$Q$21,15)=0),"",SUMIFS(DECKS!$D$2:$D$1201,DECKS!$A$2:$A$1201,INDEX(_LEITURA!$P$2:$P$21,15),DECKS!$B$2:$B$1201,$A96))</f>
        <v/>
      </c>
      <c r="Z96" s="19" t="str">
        <f aca="false">IF(OR($A96="",INDEX(_LEITURA!$Q$2:$Q$21,16)=0),"",SUMIFS(DECKS!$D$2:$D$1201,DECKS!$A$2:$A$1201,INDEX(_LEITURA!$P$2:$P$21,16),DECKS!$B$2:$B$1201,$A96))</f>
        <v/>
      </c>
      <c r="AA96" s="19" t="str">
        <f aca="false">IF(OR($A96="",INDEX(_LEITURA!$Q$2:$Q$21,17)=0),"",SUMIFS(DECKS!$D$2:$D$1201,DECKS!$A$2:$A$1201,INDEX(_LEITURA!$P$2:$P$21,17),DECKS!$B$2:$B$1201,$A96))</f>
        <v/>
      </c>
      <c r="AB96" s="19" t="str">
        <f aca="false">IF(OR($A96="",INDEX(_LEITURA!$Q$2:$Q$21,18)=0),"",SUMIFS(DECKS!$D$2:$D$1201,DECKS!$A$2:$A$1201,INDEX(_LEITURA!$P$2:$P$21,18),DECKS!$B$2:$B$1201,$A96))</f>
        <v/>
      </c>
      <c r="AC96" s="19" t="str">
        <f aca="false">IF(OR($A96="",INDEX(_LEITURA!$Q$2:$Q$21,19)=0),"",SUMIFS(DECKS!$D$2:$D$1201,DECKS!$A$2:$A$1201,INDEX(_LEITURA!$P$2:$P$21,19),DECKS!$B$2:$B$1201,$A96))</f>
        <v/>
      </c>
      <c r="AD96" s="19" t="str">
        <f aca="false">IF(OR($A96="",INDEX(_LEITURA!$Q$2:$Q$21,20)=0),"",SUMIFS(DECKS!$D$2:$D$1201,DECKS!$A$2:$A$1201,INDEX(_LEITURA!$P$2:$P$21,20),DECKS!$B$2:$B$1201,$A96))</f>
        <v/>
      </c>
      <c r="AE96" s="16" t="str">
        <f aca="false">IF(N(E96)&gt;0,MAX(AE$1:AE95)+1,"")</f>
        <v/>
      </c>
      <c r="AF96" s="11" t="str">
        <f aca="false">IF(A96="","",IFERROR(LEFT(A96,FIND("-",A96)-1),A96))</f>
        <v/>
      </c>
      <c r="AG96" s="11" t="str">
        <f aca="false">IF(AF96="","",IF(ISNUMBER(--MID(AF96,1,1)),0,IF(ISNUMBER(--MID(AF96,2,1)),1,IF(ISNUMBER(--MID(AF96,3,1)),2,IF(ISNUMBER(--MID(AF96,4,1)),3,MIN(LEN(AF96),4))))))</f>
        <v/>
      </c>
      <c r="AH96" s="11" t="str">
        <f aca="false">IF(A96="","",LEFT(AF96,AG96)&amp;REPT("0",4-AG96)&amp;RIGHT("000"&amp;IFERROR(VALUE(MID(AF96,AG96+1,9)),0),3)&amp;RIGHT("0000"&amp;IFERROR(VALUE(MID(A96,FIND("-",A96)+1,9)),0),4))</f>
        <v/>
      </c>
      <c r="AI96" s="11" t="str">
        <f aca="false">IF(OR(A96="",N(E96)&lt;=0),"",IF('FALTAS GERAL'!$M$1="Código","K"&amp;AH96&amp;RIGHT("00000"&amp;ROW(),5),IF('FALTAS GERAL'!$M$1="Nome","K"&amp;UPPER(SUBSTITUTE(SUBSTITUTE(SUBSTITUTE(B96,"*",""),"?",""),"~",""))&amp;"0"&amp;AH96&amp;RIGHT("00000"&amp;ROW(),5),IF('FALTAS GERAL'!$M$1="Falta (maior primeiro)","K"&amp;RIGHT("0000"&amp;(9999-E96),4)&amp;AH96&amp;RIGHT("00000"&amp;ROW(),5),IF('FALTAS GERAL'!$M$1="Nº de decks (maior primeiro)","K"&amp;RIGHT("00"&amp;(99-N(G96)),2)&amp;AH96&amp;RIGHT("00000"&amp;ROW(),5),"K"&amp;RIGHT("00000"&amp;ROW(),5))))))</f>
        <v/>
      </c>
      <c r="AJ96" s="11" t="str">
        <f aca="false">IF(AI96="","",COUNTIFS($AI$2:$AI$801,"&lt;"&amp;AI96,$E$2:$E$801,"&gt;0")+1)</f>
        <v/>
      </c>
      <c r="AK96" s="11" t="str">
        <f aca="false">IF(OR(A96="",N(E96)&lt;=0),"",COUNTIFS($AH$2:$AH$801,"&lt;"&amp;AH96,$E$2:$E$801,"&gt;0")+COUNTIFS($AH$2:AH96,AH96,$E$2:E96,"&gt;0"))</f>
        <v/>
      </c>
    </row>
    <row r="97" customFormat="false" ht="15" hidden="false" customHeight="false" outlineLevel="0" collapsed="false">
      <c r="A97" s="11" t="str">
        <f aca="false">IF(INVENTÁRIO!A97="","",INVENTÁRIO!A97)</f>
        <v/>
      </c>
      <c r="B97" s="11" t="str">
        <f aca="false">IF(A97="","",INVENTÁRIO!B97)</f>
        <v/>
      </c>
      <c r="C97" s="16" t="str">
        <f aca="false">IF(A97="","",INVENTÁRIO!C97)</f>
        <v/>
      </c>
      <c r="D97" s="14" t="str">
        <f aca="false">IF(A97="","",MAX(K97:AD97))</f>
        <v/>
      </c>
      <c r="E97" s="14" t="str">
        <f aca="false">IF(A97="","",MAX(0,D97-C97))</f>
        <v/>
      </c>
      <c r="F97" s="16" t="str">
        <f aca="false">IF(A97="","",IF(D97=0,"Fora dos decks",IF(E97=0,"Completo","Falta")))</f>
        <v/>
      </c>
      <c r="G97" s="16" t="str">
        <f aca="false">IF(A97="","",COUNTIF(K97:AD97,"&gt;0"))</f>
        <v/>
      </c>
      <c r="H97" s="16" t="str">
        <f aca="false">IF(A97="","",IF(G97&gt;1,"Sim",""))</f>
        <v/>
      </c>
      <c r="I97" s="18" t="str">
        <f aca="false">IF(A97="","",SUMIFS(DECKS!$D$2:$D$1201,DECKS!$B$2:$B$1201,A97))</f>
        <v/>
      </c>
      <c r="J97" s="18" t="str">
        <f aca="false">IF(A97="","",MAX(0,I97-C97))</f>
        <v/>
      </c>
      <c r="K97" s="19" t="str">
        <f aca="false">IF(OR($A97="",INDEX(_LEITURA!$Q$2:$Q$21,1)=0),"",SUMIFS(DECKS!$D$2:$D$1201,DECKS!$A$2:$A$1201,INDEX(_LEITURA!$P$2:$P$21,1),DECKS!$B$2:$B$1201,$A97))</f>
        <v/>
      </c>
      <c r="L97" s="19" t="str">
        <f aca="false">IF(OR($A97="",INDEX(_LEITURA!$Q$2:$Q$21,2)=0),"",SUMIFS(DECKS!$D$2:$D$1201,DECKS!$A$2:$A$1201,INDEX(_LEITURA!$P$2:$P$21,2),DECKS!$B$2:$B$1201,$A97))</f>
        <v/>
      </c>
      <c r="M97" s="19" t="str">
        <f aca="false">IF(OR($A97="",INDEX(_LEITURA!$Q$2:$Q$21,3)=0),"",SUMIFS(DECKS!$D$2:$D$1201,DECKS!$A$2:$A$1201,INDEX(_LEITURA!$P$2:$P$21,3),DECKS!$B$2:$B$1201,$A97))</f>
        <v/>
      </c>
      <c r="N97" s="19" t="str">
        <f aca="false">IF(OR($A97="",INDEX(_LEITURA!$Q$2:$Q$21,4)=0),"",SUMIFS(DECKS!$D$2:$D$1201,DECKS!$A$2:$A$1201,INDEX(_LEITURA!$P$2:$P$21,4),DECKS!$B$2:$B$1201,$A97))</f>
        <v/>
      </c>
      <c r="O97" s="19" t="str">
        <f aca="false">IF(OR($A97="",INDEX(_LEITURA!$Q$2:$Q$21,5)=0),"",SUMIFS(DECKS!$D$2:$D$1201,DECKS!$A$2:$A$1201,INDEX(_LEITURA!$P$2:$P$21,5),DECKS!$B$2:$B$1201,$A97))</f>
        <v/>
      </c>
      <c r="P97" s="19" t="str">
        <f aca="false">IF(OR($A97="",INDEX(_LEITURA!$Q$2:$Q$21,6)=0),"",SUMIFS(DECKS!$D$2:$D$1201,DECKS!$A$2:$A$1201,INDEX(_LEITURA!$P$2:$P$21,6),DECKS!$B$2:$B$1201,$A97))</f>
        <v/>
      </c>
      <c r="Q97" s="19" t="str">
        <f aca="false">IF(OR($A97="",INDEX(_LEITURA!$Q$2:$Q$21,7)=0),"",SUMIFS(DECKS!$D$2:$D$1201,DECKS!$A$2:$A$1201,INDEX(_LEITURA!$P$2:$P$21,7),DECKS!$B$2:$B$1201,$A97))</f>
        <v/>
      </c>
      <c r="R97" s="19" t="str">
        <f aca="false">IF(OR($A97="",INDEX(_LEITURA!$Q$2:$Q$21,8)=0),"",SUMIFS(DECKS!$D$2:$D$1201,DECKS!$A$2:$A$1201,INDEX(_LEITURA!$P$2:$P$21,8),DECKS!$B$2:$B$1201,$A97))</f>
        <v/>
      </c>
      <c r="S97" s="19" t="str">
        <f aca="false">IF(OR($A97="",INDEX(_LEITURA!$Q$2:$Q$21,9)=0),"",SUMIFS(DECKS!$D$2:$D$1201,DECKS!$A$2:$A$1201,INDEX(_LEITURA!$P$2:$P$21,9),DECKS!$B$2:$B$1201,$A97))</f>
        <v/>
      </c>
      <c r="T97" s="19" t="str">
        <f aca="false">IF(OR($A97="",INDEX(_LEITURA!$Q$2:$Q$21,10)=0),"",SUMIFS(DECKS!$D$2:$D$1201,DECKS!$A$2:$A$1201,INDEX(_LEITURA!$P$2:$P$21,10),DECKS!$B$2:$B$1201,$A97))</f>
        <v/>
      </c>
      <c r="U97" s="19" t="str">
        <f aca="false">IF(OR($A97="",INDEX(_LEITURA!$Q$2:$Q$21,11)=0),"",SUMIFS(DECKS!$D$2:$D$1201,DECKS!$A$2:$A$1201,INDEX(_LEITURA!$P$2:$P$21,11),DECKS!$B$2:$B$1201,$A97))</f>
        <v/>
      </c>
      <c r="V97" s="19" t="str">
        <f aca="false">IF(OR($A97="",INDEX(_LEITURA!$Q$2:$Q$21,12)=0),"",SUMIFS(DECKS!$D$2:$D$1201,DECKS!$A$2:$A$1201,INDEX(_LEITURA!$P$2:$P$21,12),DECKS!$B$2:$B$1201,$A97))</f>
        <v/>
      </c>
      <c r="W97" s="19" t="str">
        <f aca="false">IF(OR($A97="",INDEX(_LEITURA!$Q$2:$Q$21,13)=0),"",SUMIFS(DECKS!$D$2:$D$1201,DECKS!$A$2:$A$1201,INDEX(_LEITURA!$P$2:$P$21,13),DECKS!$B$2:$B$1201,$A97))</f>
        <v/>
      </c>
      <c r="X97" s="19" t="str">
        <f aca="false">IF(OR($A97="",INDEX(_LEITURA!$Q$2:$Q$21,14)=0),"",SUMIFS(DECKS!$D$2:$D$1201,DECKS!$A$2:$A$1201,INDEX(_LEITURA!$P$2:$P$21,14),DECKS!$B$2:$B$1201,$A97))</f>
        <v/>
      </c>
      <c r="Y97" s="19" t="str">
        <f aca="false">IF(OR($A97="",INDEX(_LEITURA!$Q$2:$Q$21,15)=0),"",SUMIFS(DECKS!$D$2:$D$1201,DECKS!$A$2:$A$1201,INDEX(_LEITURA!$P$2:$P$21,15),DECKS!$B$2:$B$1201,$A97))</f>
        <v/>
      </c>
      <c r="Z97" s="19" t="str">
        <f aca="false">IF(OR($A97="",INDEX(_LEITURA!$Q$2:$Q$21,16)=0),"",SUMIFS(DECKS!$D$2:$D$1201,DECKS!$A$2:$A$1201,INDEX(_LEITURA!$P$2:$P$21,16),DECKS!$B$2:$B$1201,$A97))</f>
        <v/>
      </c>
      <c r="AA97" s="19" t="str">
        <f aca="false">IF(OR($A97="",INDEX(_LEITURA!$Q$2:$Q$21,17)=0),"",SUMIFS(DECKS!$D$2:$D$1201,DECKS!$A$2:$A$1201,INDEX(_LEITURA!$P$2:$P$21,17),DECKS!$B$2:$B$1201,$A97))</f>
        <v/>
      </c>
      <c r="AB97" s="19" t="str">
        <f aca="false">IF(OR($A97="",INDEX(_LEITURA!$Q$2:$Q$21,18)=0),"",SUMIFS(DECKS!$D$2:$D$1201,DECKS!$A$2:$A$1201,INDEX(_LEITURA!$P$2:$P$21,18),DECKS!$B$2:$B$1201,$A97))</f>
        <v/>
      </c>
      <c r="AC97" s="19" t="str">
        <f aca="false">IF(OR($A97="",INDEX(_LEITURA!$Q$2:$Q$21,19)=0),"",SUMIFS(DECKS!$D$2:$D$1201,DECKS!$A$2:$A$1201,INDEX(_LEITURA!$P$2:$P$21,19),DECKS!$B$2:$B$1201,$A97))</f>
        <v/>
      </c>
      <c r="AD97" s="19" t="str">
        <f aca="false">IF(OR($A97="",INDEX(_LEITURA!$Q$2:$Q$21,20)=0),"",SUMIFS(DECKS!$D$2:$D$1201,DECKS!$A$2:$A$1201,INDEX(_LEITURA!$P$2:$P$21,20),DECKS!$B$2:$B$1201,$A97))</f>
        <v/>
      </c>
      <c r="AE97" s="16" t="str">
        <f aca="false">IF(N(E97)&gt;0,MAX(AE$1:AE96)+1,"")</f>
        <v/>
      </c>
      <c r="AF97" s="11" t="str">
        <f aca="false">IF(A97="","",IFERROR(LEFT(A97,FIND("-",A97)-1),A97))</f>
        <v/>
      </c>
      <c r="AG97" s="11" t="str">
        <f aca="false">IF(AF97="","",IF(ISNUMBER(--MID(AF97,1,1)),0,IF(ISNUMBER(--MID(AF97,2,1)),1,IF(ISNUMBER(--MID(AF97,3,1)),2,IF(ISNUMBER(--MID(AF97,4,1)),3,MIN(LEN(AF97),4))))))</f>
        <v/>
      </c>
      <c r="AH97" s="11" t="str">
        <f aca="false">IF(A97="","",LEFT(AF97,AG97)&amp;REPT("0",4-AG97)&amp;RIGHT("000"&amp;IFERROR(VALUE(MID(AF97,AG97+1,9)),0),3)&amp;RIGHT("0000"&amp;IFERROR(VALUE(MID(A97,FIND("-",A97)+1,9)),0),4))</f>
        <v/>
      </c>
      <c r="AI97" s="11" t="str">
        <f aca="false">IF(OR(A97="",N(E97)&lt;=0),"",IF('FALTAS GERAL'!$M$1="Código","K"&amp;AH97&amp;RIGHT("00000"&amp;ROW(),5),IF('FALTAS GERAL'!$M$1="Nome","K"&amp;UPPER(SUBSTITUTE(SUBSTITUTE(SUBSTITUTE(B97,"*",""),"?",""),"~",""))&amp;"0"&amp;AH97&amp;RIGHT("00000"&amp;ROW(),5),IF('FALTAS GERAL'!$M$1="Falta (maior primeiro)","K"&amp;RIGHT("0000"&amp;(9999-E97),4)&amp;AH97&amp;RIGHT("00000"&amp;ROW(),5),IF('FALTAS GERAL'!$M$1="Nº de decks (maior primeiro)","K"&amp;RIGHT("00"&amp;(99-N(G97)),2)&amp;AH97&amp;RIGHT("00000"&amp;ROW(),5),"K"&amp;RIGHT("00000"&amp;ROW(),5))))))</f>
        <v/>
      </c>
      <c r="AJ97" s="11" t="str">
        <f aca="false">IF(AI97="","",COUNTIFS($AI$2:$AI$801,"&lt;"&amp;AI97,$E$2:$E$801,"&gt;0")+1)</f>
        <v/>
      </c>
      <c r="AK97" s="11" t="str">
        <f aca="false">IF(OR(A97="",N(E97)&lt;=0),"",COUNTIFS($AH$2:$AH$801,"&lt;"&amp;AH97,$E$2:$E$801,"&gt;0")+COUNTIFS($AH$2:AH97,AH97,$E$2:E97,"&gt;0"))</f>
        <v/>
      </c>
    </row>
    <row r="98" customFormat="false" ht="15" hidden="false" customHeight="false" outlineLevel="0" collapsed="false">
      <c r="A98" s="11" t="str">
        <f aca="false">IF(INVENTÁRIO!A98="","",INVENTÁRIO!A98)</f>
        <v/>
      </c>
      <c r="B98" s="11" t="str">
        <f aca="false">IF(A98="","",INVENTÁRIO!B98)</f>
        <v/>
      </c>
      <c r="C98" s="16" t="str">
        <f aca="false">IF(A98="","",INVENTÁRIO!C98)</f>
        <v/>
      </c>
      <c r="D98" s="14" t="str">
        <f aca="false">IF(A98="","",MAX(K98:AD98))</f>
        <v/>
      </c>
      <c r="E98" s="14" t="str">
        <f aca="false">IF(A98="","",MAX(0,D98-C98))</f>
        <v/>
      </c>
      <c r="F98" s="16" t="str">
        <f aca="false">IF(A98="","",IF(D98=0,"Fora dos decks",IF(E98=0,"Completo","Falta")))</f>
        <v/>
      </c>
      <c r="G98" s="16" t="str">
        <f aca="false">IF(A98="","",COUNTIF(K98:AD98,"&gt;0"))</f>
        <v/>
      </c>
      <c r="H98" s="16" t="str">
        <f aca="false">IF(A98="","",IF(G98&gt;1,"Sim",""))</f>
        <v/>
      </c>
      <c r="I98" s="18" t="str">
        <f aca="false">IF(A98="","",SUMIFS(DECKS!$D$2:$D$1201,DECKS!$B$2:$B$1201,A98))</f>
        <v/>
      </c>
      <c r="J98" s="18" t="str">
        <f aca="false">IF(A98="","",MAX(0,I98-C98))</f>
        <v/>
      </c>
      <c r="K98" s="19" t="str">
        <f aca="false">IF(OR($A98="",INDEX(_LEITURA!$Q$2:$Q$21,1)=0),"",SUMIFS(DECKS!$D$2:$D$1201,DECKS!$A$2:$A$1201,INDEX(_LEITURA!$P$2:$P$21,1),DECKS!$B$2:$B$1201,$A98))</f>
        <v/>
      </c>
      <c r="L98" s="19" t="str">
        <f aca="false">IF(OR($A98="",INDEX(_LEITURA!$Q$2:$Q$21,2)=0),"",SUMIFS(DECKS!$D$2:$D$1201,DECKS!$A$2:$A$1201,INDEX(_LEITURA!$P$2:$P$21,2),DECKS!$B$2:$B$1201,$A98))</f>
        <v/>
      </c>
      <c r="M98" s="19" t="str">
        <f aca="false">IF(OR($A98="",INDEX(_LEITURA!$Q$2:$Q$21,3)=0),"",SUMIFS(DECKS!$D$2:$D$1201,DECKS!$A$2:$A$1201,INDEX(_LEITURA!$P$2:$P$21,3),DECKS!$B$2:$B$1201,$A98))</f>
        <v/>
      </c>
      <c r="N98" s="19" t="str">
        <f aca="false">IF(OR($A98="",INDEX(_LEITURA!$Q$2:$Q$21,4)=0),"",SUMIFS(DECKS!$D$2:$D$1201,DECKS!$A$2:$A$1201,INDEX(_LEITURA!$P$2:$P$21,4),DECKS!$B$2:$B$1201,$A98))</f>
        <v/>
      </c>
      <c r="O98" s="19" t="str">
        <f aca="false">IF(OR($A98="",INDEX(_LEITURA!$Q$2:$Q$21,5)=0),"",SUMIFS(DECKS!$D$2:$D$1201,DECKS!$A$2:$A$1201,INDEX(_LEITURA!$P$2:$P$21,5),DECKS!$B$2:$B$1201,$A98))</f>
        <v/>
      </c>
      <c r="P98" s="19" t="str">
        <f aca="false">IF(OR($A98="",INDEX(_LEITURA!$Q$2:$Q$21,6)=0),"",SUMIFS(DECKS!$D$2:$D$1201,DECKS!$A$2:$A$1201,INDEX(_LEITURA!$P$2:$P$21,6),DECKS!$B$2:$B$1201,$A98))</f>
        <v/>
      </c>
      <c r="Q98" s="19" t="str">
        <f aca="false">IF(OR($A98="",INDEX(_LEITURA!$Q$2:$Q$21,7)=0),"",SUMIFS(DECKS!$D$2:$D$1201,DECKS!$A$2:$A$1201,INDEX(_LEITURA!$P$2:$P$21,7),DECKS!$B$2:$B$1201,$A98))</f>
        <v/>
      </c>
      <c r="R98" s="19" t="str">
        <f aca="false">IF(OR($A98="",INDEX(_LEITURA!$Q$2:$Q$21,8)=0),"",SUMIFS(DECKS!$D$2:$D$1201,DECKS!$A$2:$A$1201,INDEX(_LEITURA!$P$2:$P$21,8),DECKS!$B$2:$B$1201,$A98))</f>
        <v/>
      </c>
      <c r="S98" s="19" t="str">
        <f aca="false">IF(OR($A98="",INDEX(_LEITURA!$Q$2:$Q$21,9)=0),"",SUMIFS(DECKS!$D$2:$D$1201,DECKS!$A$2:$A$1201,INDEX(_LEITURA!$P$2:$P$21,9),DECKS!$B$2:$B$1201,$A98))</f>
        <v/>
      </c>
      <c r="T98" s="19" t="str">
        <f aca="false">IF(OR($A98="",INDEX(_LEITURA!$Q$2:$Q$21,10)=0),"",SUMIFS(DECKS!$D$2:$D$1201,DECKS!$A$2:$A$1201,INDEX(_LEITURA!$P$2:$P$21,10),DECKS!$B$2:$B$1201,$A98))</f>
        <v/>
      </c>
      <c r="U98" s="19" t="str">
        <f aca="false">IF(OR($A98="",INDEX(_LEITURA!$Q$2:$Q$21,11)=0),"",SUMIFS(DECKS!$D$2:$D$1201,DECKS!$A$2:$A$1201,INDEX(_LEITURA!$P$2:$P$21,11),DECKS!$B$2:$B$1201,$A98))</f>
        <v/>
      </c>
      <c r="V98" s="19" t="str">
        <f aca="false">IF(OR($A98="",INDEX(_LEITURA!$Q$2:$Q$21,12)=0),"",SUMIFS(DECKS!$D$2:$D$1201,DECKS!$A$2:$A$1201,INDEX(_LEITURA!$P$2:$P$21,12),DECKS!$B$2:$B$1201,$A98))</f>
        <v/>
      </c>
      <c r="W98" s="19" t="str">
        <f aca="false">IF(OR($A98="",INDEX(_LEITURA!$Q$2:$Q$21,13)=0),"",SUMIFS(DECKS!$D$2:$D$1201,DECKS!$A$2:$A$1201,INDEX(_LEITURA!$P$2:$P$21,13),DECKS!$B$2:$B$1201,$A98))</f>
        <v/>
      </c>
      <c r="X98" s="19" t="str">
        <f aca="false">IF(OR($A98="",INDEX(_LEITURA!$Q$2:$Q$21,14)=0),"",SUMIFS(DECKS!$D$2:$D$1201,DECKS!$A$2:$A$1201,INDEX(_LEITURA!$P$2:$P$21,14),DECKS!$B$2:$B$1201,$A98))</f>
        <v/>
      </c>
      <c r="Y98" s="19" t="str">
        <f aca="false">IF(OR($A98="",INDEX(_LEITURA!$Q$2:$Q$21,15)=0),"",SUMIFS(DECKS!$D$2:$D$1201,DECKS!$A$2:$A$1201,INDEX(_LEITURA!$P$2:$P$21,15),DECKS!$B$2:$B$1201,$A98))</f>
        <v/>
      </c>
      <c r="Z98" s="19" t="str">
        <f aca="false">IF(OR($A98="",INDEX(_LEITURA!$Q$2:$Q$21,16)=0),"",SUMIFS(DECKS!$D$2:$D$1201,DECKS!$A$2:$A$1201,INDEX(_LEITURA!$P$2:$P$21,16),DECKS!$B$2:$B$1201,$A98))</f>
        <v/>
      </c>
      <c r="AA98" s="19" t="str">
        <f aca="false">IF(OR($A98="",INDEX(_LEITURA!$Q$2:$Q$21,17)=0),"",SUMIFS(DECKS!$D$2:$D$1201,DECKS!$A$2:$A$1201,INDEX(_LEITURA!$P$2:$P$21,17),DECKS!$B$2:$B$1201,$A98))</f>
        <v/>
      </c>
      <c r="AB98" s="19" t="str">
        <f aca="false">IF(OR($A98="",INDEX(_LEITURA!$Q$2:$Q$21,18)=0),"",SUMIFS(DECKS!$D$2:$D$1201,DECKS!$A$2:$A$1201,INDEX(_LEITURA!$P$2:$P$21,18),DECKS!$B$2:$B$1201,$A98))</f>
        <v/>
      </c>
      <c r="AC98" s="19" t="str">
        <f aca="false">IF(OR($A98="",INDEX(_LEITURA!$Q$2:$Q$21,19)=0),"",SUMIFS(DECKS!$D$2:$D$1201,DECKS!$A$2:$A$1201,INDEX(_LEITURA!$P$2:$P$21,19),DECKS!$B$2:$B$1201,$A98))</f>
        <v/>
      </c>
      <c r="AD98" s="19" t="str">
        <f aca="false">IF(OR($A98="",INDEX(_LEITURA!$Q$2:$Q$21,20)=0),"",SUMIFS(DECKS!$D$2:$D$1201,DECKS!$A$2:$A$1201,INDEX(_LEITURA!$P$2:$P$21,20),DECKS!$B$2:$B$1201,$A98))</f>
        <v/>
      </c>
      <c r="AE98" s="16" t="str">
        <f aca="false">IF(N(E98)&gt;0,MAX(AE$1:AE97)+1,"")</f>
        <v/>
      </c>
      <c r="AF98" s="11" t="str">
        <f aca="false">IF(A98="","",IFERROR(LEFT(A98,FIND("-",A98)-1),A98))</f>
        <v/>
      </c>
      <c r="AG98" s="11" t="str">
        <f aca="false">IF(AF98="","",IF(ISNUMBER(--MID(AF98,1,1)),0,IF(ISNUMBER(--MID(AF98,2,1)),1,IF(ISNUMBER(--MID(AF98,3,1)),2,IF(ISNUMBER(--MID(AF98,4,1)),3,MIN(LEN(AF98),4))))))</f>
        <v/>
      </c>
      <c r="AH98" s="11" t="str">
        <f aca="false">IF(A98="","",LEFT(AF98,AG98)&amp;REPT("0",4-AG98)&amp;RIGHT("000"&amp;IFERROR(VALUE(MID(AF98,AG98+1,9)),0),3)&amp;RIGHT("0000"&amp;IFERROR(VALUE(MID(A98,FIND("-",A98)+1,9)),0),4))</f>
        <v/>
      </c>
      <c r="AI98" s="11" t="str">
        <f aca="false">IF(OR(A98="",N(E98)&lt;=0),"",IF('FALTAS GERAL'!$M$1="Código","K"&amp;AH98&amp;RIGHT("00000"&amp;ROW(),5),IF('FALTAS GERAL'!$M$1="Nome","K"&amp;UPPER(SUBSTITUTE(SUBSTITUTE(SUBSTITUTE(B98,"*",""),"?",""),"~",""))&amp;"0"&amp;AH98&amp;RIGHT("00000"&amp;ROW(),5),IF('FALTAS GERAL'!$M$1="Falta (maior primeiro)","K"&amp;RIGHT("0000"&amp;(9999-E98),4)&amp;AH98&amp;RIGHT("00000"&amp;ROW(),5),IF('FALTAS GERAL'!$M$1="Nº de decks (maior primeiro)","K"&amp;RIGHT("00"&amp;(99-N(G98)),2)&amp;AH98&amp;RIGHT("00000"&amp;ROW(),5),"K"&amp;RIGHT("00000"&amp;ROW(),5))))))</f>
        <v/>
      </c>
      <c r="AJ98" s="11" t="str">
        <f aca="false">IF(AI98="","",COUNTIFS($AI$2:$AI$801,"&lt;"&amp;AI98,$E$2:$E$801,"&gt;0")+1)</f>
        <v/>
      </c>
      <c r="AK98" s="11" t="str">
        <f aca="false">IF(OR(A98="",N(E98)&lt;=0),"",COUNTIFS($AH$2:$AH$801,"&lt;"&amp;AH98,$E$2:$E$801,"&gt;0")+COUNTIFS($AH$2:AH98,AH98,$E$2:E98,"&gt;0"))</f>
        <v/>
      </c>
    </row>
    <row r="99" customFormat="false" ht="15" hidden="false" customHeight="false" outlineLevel="0" collapsed="false">
      <c r="A99" s="11" t="str">
        <f aca="false">IF(INVENTÁRIO!A99="","",INVENTÁRIO!A99)</f>
        <v/>
      </c>
      <c r="B99" s="11" t="str">
        <f aca="false">IF(A99="","",INVENTÁRIO!B99)</f>
        <v/>
      </c>
      <c r="C99" s="16" t="str">
        <f aca="false">IF(A99="","",INVENTÁRIO!C99)</f>
        <v/>
      </c>
      <c r="D99" s="14" t="str">
        <f aca="false">IF(A99="","",MAX(K99:AD99))</f>
        <v/>
      </c>
      <c r="E99" s="14" t="str">
        <f aca="false">IF(A99="","",MAX(0,D99-C99))</f>
        <v/>
      </c>
      <c r="F99" s="16" t="str">
        <f aca="false">IF(A99="","",IF(D99=0,"Fora dos decks",IF(E99=0,"Completo","Falta")))</f>
        <v/>
      </c>
      <c r="G99" s="16" t="str">
        <f aca="false">IF(A99="","",COUNTIF(K99:AD99,"&gt;0"))</f>
        <v/>
      </c>
      <c r="H99" s="16" t="str">
        <f aca="false">IF(A99="","",IF(G99&gt;1,"Sim",""))</f>
        <v/>
      </c>
      <c r="I99" s="18" t="str">
        <f aca="false">IF(A99="","",SUMIFS(DECKS!$D$2:$D$1201,DECKS!$B$2:$B$1201,A99))</f>
        <v/>
      </c>
      <c r="J99" s="18" t="str">
        <f aca="false">IF(A99="","",MAX(0,I99-C99))</f>
        <v/>
      </c>
      <c r="K99" s="19" t="str">
        <f aca="false">IF(OR($A99="",INDEX(_LEITURA!$Q$2:$Q$21,1)=0),"",SUMIFS(DECKS!$D$2:$D$1201,DECKS!$A$2:$A$1201,INDEX(_LEITURA!$P$2:$P$21,1),DECKS!$B$2:$B$1201,$A99))</f>
        <v/>
      </c>
      <c r="L99" s="19" t="str">
        <f aca="false">IF(OR($A99="",INDEX(_LEITURA!$Q$2:$Q$21,2)=0),"",SUMIFS(DECKS!$D$2:$D$1201,DECKS!$A$2:$A$1201,INDEX(_LEITURA!$P$2:$P$21,2),DECKS!$B$2:$B$1201,$A99))</f>
        <v/>
      </c>
      <c r="M99" s="19" t="str">
        <f aca="false">IF(OR($A99="",INDEX(_LEITURA!$Q$2:$Q$21,3)=0),"",SUMIFS(DECKS!$D$2:$D$1201,DECKS!$A$2:$A$1201,INDEX(_LEITURA!$P$2:$P$21,3),DECKS!$B$2:$B$1201,$A99))</f>
        <v/>
      </c>
      <c r="N99" s="19" t="str">
        <f aca="false">IF(OR($A99="",INDEX(_LEITURA!$Q$2:$Q$21,4)=0),"",SUMIFS(DECKS!$D$2:$D$1201,DECKS!$A$2:$A$1201,INDEX(_LEITURA!$P$2:$P$21,4),DECKS!$B$2:$B$1201,$A99))</f>
        <v/>
      </c>
      <c r="O99" s="19" t="str">
        <f aca="false">IF(OR($A99="",INDEX(_LEITURA!$Q$2:$Q$21,5)=0),"",SUMIFS(DECKS!$D$2:$D$1201,DECKS!$A$2:$A$1201,INDEX(_LEITURA!$P$2:$P$21,5),DECKS!$B$2:$B$1201,$A99))</f>
        <v/>
      </c>
      <c r="P99" s="19" t="str">
        <f aca="false">IF(OR($A99="",INDEX(_LEITURA!$Q$2:$Q$21,6)=0),"",SUMIFS(DECKS!$D$2:$D$1201,DECKS!$A$2:$A$1201,INDEX(_LEITURA!$P$2:$P$21,6),DECKS!$B$2:$B$1201,$A99))</f>
        <v/>
      </c>
      <c r="Q99" s="19" t="str">
        <f aca="false">IF(OR($A99="",INDEX(_LEITURA!$Q$2:$Q$21,7)=0),"",SUMIFS(DECKS!$D$2:$D$1201,DECKS!$A$2:$A$1201,INDEX(_LEITURA!$P$2:$P$21,7),DECKS!$B$2:$B$1201,$A99))</f>
        <v/>
      </c>
      <c r="R99" s="19" t="str">
        <f aca="false">IF(OR($A99="",INDEX(_LEITURA!$Q$2:$Q$21,8)=0),"",SUMIFS(DECKS!$D$2:$D$1201,DECKS!$A$2:$A$1201,INDEX(_LEITURA!$P$2:$P$21,8),DECKS!$B$2:$B$1201,$A99))</f>
        <v/>
      </c>
      <c r="S99" s="19" t="str">
        <f aca="false">IF(OR($A99="",INDEX(_LEITURA!$Q$2:$Q$21,9)=0),"",SUMIFS(DECKS!$D$2:$D$1201,DECKS!$A$2:$A$1201,INDEX(_LEITURA!$P$2:$P$21,9),DECKS!$B$2:$B$1201,$A99))</f>
        <v/>
      </c>
      <c r="T99" s="19" t="str">
        <f aca="false">IF(OR($A99="",INDEX(_LEITURA!$Q$2:$Q$21,10)=0),"",SUMIFS(DECKS!$D$2:$D$1201,DECKS!$A$2:$A$1201,INDEX(_LEITURA!$P$2:$P$21,10),DECKS!$B$2:$B$1201,$A99))</f>
        <v/>
      </c>
      <c r="U99" s="19" t="str">
        <f aca="false">IF(OR($A99="",INDEX(_LEITURA!$Q$2:$Q$21,11)=0),"",SUMIFS(DECKS!$D$2:$D$1201,DECKS!$A$2:$A$1201,INDEX(_LEITURA!$P$2:$P$21,11),DECKS!$B$2:$B$1201,$A99))</f>
        <v/>
      </c>
      <c r="V99" s="19" t="str">
        <f aca="false">IF(OR($A99="",INDEX(_LEITURA!$Q$2:$Q$21,12)=0),"",SUMIFS(DECKS!$D$2:$D$1201,DECKS!$A$2:$A$1201,INDEX(_LEITURA!$P$2:$P$21,12),DECKS!$B$2:$B$1201,$A99))</f>
        <v/>
      </c>
      <c r="W99" s="19" t="str">
        <f aca="false">IF(OR($A99="",INDEX(_LEITURA!$Q$2:$Q$21,13)=0),"",SUMIFS(DECKS!$D$2:$D$1201,DECKS!$A$2:$A$1201,INDEX(_LEITURA!$P$2:$P$21,13),DECKS!$B$2:$B$1201,$A99))</f>
        <v/>
      </c>
      <c r="X99" s="19" t="str">
        <f aca="false">IF(OR($A99="",INDEX(_LEITURA!$Q$2:$Q$21,14)=0),"",SUMIFS(DECKS!$D$2:$D$1201,DECKS!$A$2:$A$1201,INDEX(_LEITURA!$P$2:$P$21,14),DECKS!$B$2:$B$1201,$A99))</f>
        <v/>
      </c>
      <c r="Y99" s="19" t="str">
        <f aca="false">IF(OR($A99="",INDEX(_LEITURA!$Q$2:$Q$21,15)=0),"",SUMIFS(DECKS!$D$2:$D$1201,DECKS!$A$2:$A$1201,INDEX(_LEITURA!$P$2:$P$21,15),DECKS!$B$2:$B$1201,$A99))</f>
        <v/>
      </c>
      <c r="Z99" s="19" t="str">
        <f aca="false">IF(OR($A99="",INDEX(_LEITURA!$Q$2:$Q$21,16)=0),"",SUMIFS(DECKS!$D$2:$D$1201,DECKS!$A$2:$A$1201,INDEX(_LEITURA!$P$2:$P$21,16),DECKS!$B$2:$B$1201,$A99))</f>
        <v/>
      </c>
      <c r="AA99" s="19" t="str">
        <f aca="false">IF(OR($A99="",INDEX(_LEITURA!$Q$2:$Q$21,17)=0),"",SUMIFS(DECKS!$D$2:$D$1201,DECKS!$A$2:$A$1201,INDEX(_LEITURA!$P$2:$P$21,17),DECKS!$B$2:$B$1201,$A99))</f>
        <v/>
      </c>
      <c r="AB99" s="19" t="str">
        <f aca="false">IF(OR($A99="",INDEX(_LEITURA!$Q$2:$Q$21,18)=0),"",SUMIFS(DECKS!$D$2:$D$1201,DECKS!$A$2:$A$1201,INDEX(_LEITURA!$P$2:$P$21,18),DECKS!$B$2:$B$1201,$A99))</f>
        <v/>
      </c>
      <c r="AC99" s="19" t="str">
        <f aca="false">IF(OR($A99="",INDEX(_LEITURA!$Q$2:$Q$21,19)=0),"",SUMIFS(DECKS!$D$2:$D$1201,DECKS!$A$2:$A$1201,INDEX(_LEITURA!$P$2:$P$21,19),DECKS!$B$2:$B$1201,$A99))</f>
        <v/>
      </c>
      <c r="AD99" s="19" t="str">
        <f aca="false">IF(OR($A99="",INDEX(_LEITURA!$Q$2:$Q$21,20)=0),"",SUMIFS(DECKS!$D$2:$D$1201,DECKS!$A$2:$A$1201,INDEX(_LEITURA!$P$2:$P$21,20),DECKS!$B$2:$B$1201,$A99))</f>
        <v/>
      </c>
      <c r="AE99" s="16" t="str">
        <f aca="false">IF(N(E99)&gt;0,MAX(AE$1:AE98)+1,"")</f>
        <v/>
      </c>
      <c r="AF99" s="11" t="str">
        <f aca="false">IF(A99="","",IFERROR(LEFT(A99,FIND("-",A99)-1),A99))</f>
        <v/>
      </c>
      <c r="AG99" s="11" t="str">
        <f aca="false">IF(AF99="","",IF(ISNUMBER(--MID(AF99,1,1)),0,IF(ISNUMBER(--MID(AF99,2,1)),1,IF(ISNUMBER(--MID(AF99,3,1)),2,IF(ISNUMBER(--MID(AF99,4,1)),3,MIN(LEN(AF99),4))))))</f>
        <v/>
      </c>
      <c r="AH99" s="11" t="str">
        <f aca="false">IF(A99="","",LEFT(AF99,AG99)&amp;REPT("0",4-AG99)&amp;RIGHT("000"&amp;IFERROR(VALUE(MID(AF99,AG99+1,9)),0),3)&amp;RIGHT("0000"&amp;IFERROR(VALUE(MID(A99,FIND("-",A99)+1,9)),0),4))</f>
        <v/>
      </c>
      <c r="AI99" s="11" t="str">
        <f aca="false">IF(OR(A99="",N(E99)&lt;=0),"",IF('FALTAS GERAL'!$M$1="Código","K"&amp;AH99&amp;RIGHT("00000"&amp;ROW(),5),IF('FALTAS GERAL'!$M$1="Nome","K"&amp;UPPER(SUBSTITUTE(SUBSTITUTE(SUBSTITUTE(B99,"*",""),"?",""),"~",""))&amp;"0"&amp;AH99&amp;RIGHT("00000"&amp;ROW(),5),IF('FALTAS GERAL'!$M$1="Falta (maior primeiro)","K"&amp;RIGHT("0000"&amp;(9999-E99),4)&amp;AH99&amp;RIGHT("00000"&amp;ROW(),5),IF('FALTAS GERAL'!$M$1="Nº de decks (maior primeiro)","K"&amp;RIGHT("00"&amp;(99-N(G99)),2)&amp;AH99&amp;RIGHT("00000"&amp;ROW(),5),"K"&amp;RIGHT("00000"&amp;ROW(),5))))))</f>
        <v/>
      </c>
      <c r="AJ99" s="11" t="str">
        <f aca="false">IF(AI99="","",COUNTIFS($AI$2:$AI$801,"&lt;"&amp;AI99,$E$2:$E$801,"&gt;0")+1)</f>
        <v/>
      </c>
      <c r="AK99" s="11" t="str">
        <f aca="false">IF(OR(A99="",N(E99)&lt;=0),"",COUNTIFS($AH$2:$AH$801,"&lt;"&amp;AH99,$E$2:$E$801,"&gt;0")+COUNTIFS($AH$2:AH99,AH99,$E$2:E99,"&gt;0"))</f>
        <v/>
      </c>
    </row>
    <row r="100" customFormat="false" ht="15" hidden="false" customHeight="false" outlineLevel="0" collapsed="false">
      <c r="A100" s="11" t="str">
        <f aca="false">IF(INVENTÁRIO!A100="","",INVENTÁRIO!A100)</f>
        <v/>
      </c>
      <c r="B100" s="11" t="str">
        <f aca="false">IF(A100="","",INVENTÁRIO!B100)</f>
        <v/>
      </c>
      <c r="C100" s="16" t="str">
        <f aca="false">IF(A100="","",INVENTÁRIO!C100)</f>
        <v/>
      </c>
      <c r="D100" s="14" t="str">
        <f aca="false">IF(A100="","",MAX(K100:AD100))</f>
        <v/>
      </c>
      <c r="E100" s="14" t="str">
        <f aca="false">IF(A100="","",MAX(0,D100-C100))</f>
        <v/>
      </c>
      <c r="F100" s="16" t="str">
        <f aca="false">IF(A100="","",IF(D100=0,"Fora dos decks",IF(E100=0,"Completo","Falta")))</f>
        <v/>
      </c>
      <c r="G100" s="16" t="str">
        <f aca="false">IF(A100="","",COUNTIF(K100:AD100,"&gt;0"))</f>
        <v/>
      </c>
      <c r="H100" s="16" t="str">
        <f aca="false">IF(A100="","",IF(G100&gt;1,"Sim",""))</f>
        <v/>
      </c>
      <c r="I100" s="18" t="str">
        <f aca="false">IF(A100="","",SUMIFS(DECKS!$D$2:$D$1201,DECKS!$B$2:$B$1201,A100))</f>
        <v/>
      </c>
      <c r="J100" s="18" t="str">
        <f aca="false">IF(A100="","",MAX(0,I100-C100))</f>
        <v/>
      </c>
      <c r="K100" s="19" t="str">
        <f aca="false">IF(OR($A100="",INDEX(_LEITURA!$Q$2:$Q$21,1)=0),"",SUMIFS(DECKS!$D$2:$D$1201,DECKS!$A$2:$A$1201,INDEX(_LEITURA!$P$2:$P$21,1),DECKS!$B$2:$B$1201,$A100))</f>
        <v/>
      </c>
      <c r="L100" s="19" t="str">
        <f aca="false">IF(OR($A100="",INDEX(_LEITURA!$Q$2:$Q$21,2)=0),"",SUMIFS(DECKS!$D$2:$D$1201,DECKS!$A$2:$A$1201,INDEX(_LEITURA!$P$2:$P$21,2),DECKS!$B$2:$B$1201,$A100))</f>
        <v/>
      </c>
      <c r="M100" s="19" t="str">
        <f aca="false">IF(OR($A100="",INDEX(_LEITURA!$Q$2:$Q$21,3)=0),"",SUMIFS(DECKS!$D$2:$D$1201,DECKS!$A$2:$A$1201,INDEX(_LEITURA!$P$2:$P$21,3),DECKS!$B$2:$B$1201,$A100))</f>
        <v/>
      </c>
      <c r="N100" s="19" t="str">
        <f aca="false">IF(OR($A100="",INDEX(_LEITURA!$Q$2:$Q$21,4)=0),"",SUMIFS(DECKS!$D$2:$D$1201,DECKS!$A$2:$A$1201,INDEX(_LEITURA!$P$2:$P$21,4),DECKS!$B$2:$B$1201,$A100))</f>
        <v/>
      </c>
      <c r="O100" s="19" t="str">
        <f aca="false">IF(OR($A100="",INDEX(_LEITURA!$Q$2:$Q$21,5)=0),"",SUMIFS(DECKS!$D$2:$D$1201,DECKS!$A$2:$A$1201,INDEX(_LEITURA!$P$2:$P$21,5),DECKS!$B$2:$B$1201,$A100))</f>
        <v/>
      </c>
      <c r="P100" s="19" t="str">
        <f aca="false">IF(OR($A100="",INDEX(_LEITURA!$Q$2:$Q$21,6)=0),"",SUMIFS(DECKS!$D$2:$D$1201,DECKS!$A$2:$A$1201,INDEX(_LEITURA!$P$2:$P$21,6),DECKS!$B$2:$B$1201,$A100))</f>
        <v/>
      </c>
      <c r="Q100" s="19" t="str">
        <f aca="false">IF(OR($A100="",INDEX(_LEITURA!$Q$2:$Q$21,7)=0),"",SUMIFS(DECKS!$D$2:$D$1201,DECKS!$A$2:$A$1201,INDEX(_LEITURA!$P$2:$P$21,7),DECKS!$B$2:$B$1201,$A100))</f>
        <v/>
      </c>
      <c r="R100" s="19" t="str">
        <f aca="false">IF(OR($A100="",INDEX(_LEITURA!$Q$2:$Q$21,8)=0),"",SUMIFS(DECKS!$D$2:$D$1201,DECKS!$A$2:$A$1201,INDEX(_LEITURA!$P$2:$P$21,8),DECKS!$B$2:$B$1201,$A100))</f>
        <v/>
      </c>
      <c r="S100" s="19" t="str">
        <f aca="false">IF(OR($A100="",INDEX(_LEITURA!$Q$2:$Q$21,9)=0),"",SUMIFS(DECKS!$D$2:$D$1201,DECKS!$A$2:$A$1201,INDEX(_LEITURA!$P$2:$P$21,9),DECKS!$B$2:$B$1201,$A100))</f>
        <v/>
      </c>
      <c r="T100" s="19" t="str">
        <f aca="false">IF(OR($A100="",INDEX(_LEITURA!$Q$2:$Q$21,10)=0),"",SUMIFS(DECKS!$D$2:$D$1201,DECKS!$A$2:$A$1201,INDEX(_LEITURA!$P$2:$P$21,10),DECKS!$B$2:$B$1201,$A100))</f>
        <v/>
      </c>
      <c r="U100" s="19" t="str">
        <f aca="false">IF(OR($A100="",INDEX(_LEITURA!$Q$2:$Q$21,11)=0),"",SUMIFS(DECKS!$D$2:$D$1201,DECKS!$A$2:$A$1201,INDEX(_LEITURA!$P$2:$P$21,11),DECKS!$B$2:$B$1201,$A100))</f>
        <v/>
      </c>
      <c r="V100" s="19" t="str">
        <f aca="false">IF(OR($A100="",INDEX(_LEITURA!$Q$2:$Q$21,12)=0),"",SUMIFS(DECKS!$D$2:$D$1201,DECKS!$A$2:$A$1201,INDEX(_LEITURA!$P$2:$P$21,12),DECKS!$B$2:$B$1201,$A100))</f>
        <v/>
      </c>
      <c r="W100" s="19" t="str">
        <f aca="false">IF(OR($A100="",INDEX(_LEITURA!$Q$2:$Q$21,13)=0),"",SUMIFS(DECKS!$D$2:$D$1201,DECKS!$A$2:$A$1201,INDEX(_LEITURA!$P$2:$P$21,13),DECKS!$B$2:$B$1201,$A100))</f>
        <v/>
      </c>
      <c r="X100" s="19" t="str">
        <f aca="false">IF(OR($A100="",INDEX(_LEITURA!$Q$2:$Q$21,14)=0),"",SUMIFS(DECKS!$D$2:$D$1201,DECKS!$A$2:$A$1201,INDEX(_LEITURA!$P$2:$P$21,14),DECKS!$B$2:$B$1201,$A100))</f>
        <v/>
      </c>
      <c r="Y100" s="19" t="str">
        <f aca="false">IF(OR($A100="",INDEX(_LEITURA!$Q$2:$Q$21,15)=0),"",SUMIFS(DECKS!$D$2:$D$1201,DECKS!$A$2:$A$1201,INDEX(_LEITURA!$P$2:$P$21,15),DECKS!$B$2:$B$1201,$A100))</f>
        <v/>
      </c>
      <c r="Z100" s="19" t="str">
        <f aca="false">IF(OR($A100="",INDEX(_LEITURA!$Q$2:$Q$21,16)=0),"",SUMIFS(DECKS!$D$2:$D$1201,DECKS!$A$2:$A$1201,INDEX(_LEITURA!$P$2:$P$21,16),DECKS!$B$2:$B$1201,$A100))</f>
        <v/>
      </c>
      <c r="AA100" s="19" t="str">
        <f aca="false">IF(OR($A100="",INDEX(_LEITURA!$Q$2:$Q$21,17)=0),"",SUMIFS(DECKS!$D$2:$D$1201,DECKS!$A$2:$A$1201,INDEX(_LEITURA!$P$2:$P$21,17),DECKS!$B$2:$B$1201,$A100))</f>
        <v/>
      </c>
      <c r="AB100" s="19" t="str">
        <f aca="false">IF(OR($A100="",INDEX(_LEITURA!$Q$2:$Q$21,18)=0),"",SUMIFS(DECKS!$D$2:$D$1201,DECKS!$A$2:$A$1201,INDEX(_LEITURA!$P$2:$P$21,18),DECKS!$B$2:$B$1201,$A100))</f>
        <v/>
      </c>
      <c r="AC100" s="19" t="str">
        <f aca="false">IF(OR($A100="",INDEX(_LEITURA!$Q$2:$Q$21,19)=0),"",SUMIFS(DECKS!$D$2:$D$1201,DECKS!$A$2:$A$1201,INDEX(_LEITURA!$P$2:$P$21,19),DECKS!$B$2:$B$1201,$A100))</f>
        <v/>
      </c>
      <c r="AD100" s="19" t="str">
        <f aca="false">IF(OR($A100="",INDEX(_LEITURA!$Q$2:$Q$21,20)=0),"",SUMIFS(DECKS!$D$2:$D$1201,DECKS!$A$2:$A$1201,INDEX(_LEITURA!$P$2:$P$21,20),DECKS!$B$2:$B$1201,$A100))</f>
        <v/>
      </c>
      <c r="AE100" s="16" t="str">
        <f aca="false">IF(N(E100)&gt;0,MAX(AE$1:AE99)+1,"")</f>
        <v/>
      </c>
      <c r="AF100" s="11" t="str">
        <f aca="false">IF(A100="","",IFERROR(LEFT(A100,FIND("-",A100)-1),A100))</f>
        <v/>
      </c>
      <c r="AG100" s="11" t="str">
        <f aca="false">IF(AF100="","",IF(ISNUMBER(--MID(AF100,1,1)),0,IF(ISNUMBER(--MID(AF100,2,1)),1,IF(ISNUMBER(--MID(AF100,3,1)),2,IF(ISNUMBER(--MID(AF100,4,1)),3,MIN(LEN(AF100),4))))))</f>
        <v/>
      </c>
      <c r="AH100" s="11" t="str">
        <f aca="false">IF(A100="","",LEFT(AF100,AG100)&amp;REPT("0",4-AG100)&amp;RIGHT("000"&amp;IFERROR(VALUE(MID(AF100,AG100+1,9)),0),3)&amp;RIGHT("0000"&amp;IFERROR(VALUE(MID(A100,FIND("-",A100)+1,9)),0),4))</f>
        <v/>
      </c>
      <c r="AI100" s="11" t="str">
        <f aca="false">IF(OR(A100="",N(E100)&lt;=0),"",IF('FALTAS GERAL'!$M$1="Código","K"&amp;AH100&amp;RIGHT("00000"&amp;ROW(),5),IF('FALTAS GERAL'!$M$1="Nome","K"&amp;UPPER(SUBSTITUTE(SUBSTITUTE(SUBSTITUTE(B100,"*",""),"?",""),"~",""))&amp;"0"&amp;AH100&amp;RIGHT("00000"&amp;ROW(),5),IF('FALTAS GERAL'!$M$1="Falta (maior primeiro)","K"&amp;RIGHT("0000"&amp;(9999-E100),4)&amp;AH100&amp;RIGHT("00000"&amp;ROW(),5),IF('FALTAS GERAL'!$M$1="Nº de decks (maior primeiro)","K"&amp;RIGHT("00"&amp;(99-N(G100)),2)&amp;AH100&amp;RIGHT("00000"&amp;ROW(),5),"K"&amp;RIGHT("00000"&amp;ROW(),5))))))</f>
        <v/>
      </c>
      <c r="AJ100" s="11" t="str">
        <f aca="false">IF(AI100="","",COUNTIFS($AI$2:$AI$801,"&lt;"&amp;AI100,$E$2:$E$801,"&gt;0")+1)</f>
        <v/>
      </c>
      <c r="AK100" s="11" t="str">
        <f aca="false">IF(OR(A100="",N(E100)&lt;=0),"",COUNTIFS($AH$2:$AH$801,"&lt;"&amp;AH100,$E$2:$E$801,"&gt;0")+COUNTIFS($AH$2:AH100,AH100,$E$2:E100,"&gt;0"))</f>
        <v/>
      </c>
    </row>
    <row r="101" customFormat="false" ht="15" hidden="false" customHeight="false" outlineLevel="0" collapsed="false">
      <c r="A101" s="11" t="str">
        <f aca="false">IF(INVENTÁRIO!A101="","",INVENTÁRIO!A101)</f>
        <v/>
      </c>
      <c r="B101" s="11" t="str">
        <f aca="false">IF(A101="","",INVENTÁRIO!B101)</f>
        <v/>
      </c>
      <c r="C101" s="16" t="str">
        <f aca="false">IF(A101="","",INVENTÁRIO!C101)</f>
        <v/>
      </c>
      <c r="D101" s="14" t="str">
        <f aca="false">IF(A101="","",MAX(K101:AD101))</f>
        <v/>
      </c>
      <c r="E101" s="14" t="str">
        <f aca="false">IF(A101="","",MAX(0,D101-C101))</f>
        <v/>
      </c>
      <c r="F101" s="16" t="str">
        <f aca="false">IF(A101="","",IF(D101=0,"Fora dos decks",IF(E101=0,"Completo","Falta")))</f>
        <v/>
      </c>
      <c r="G101" s="16" t="str">
        <f aca="false">IF(A101="","",COUNTIF(K101:AD101,"&gt;0"))</f>
        <v/>
      </c>
      <c r="H101" s="16" t="str">
        <f aca="false">IF(A101="","",IF(G101&gt;1,"Sim",""))</f>
        <v/>
      </c>
      <c r="I101" s="18" t="str">
        <f aca="false">IF(A101="","",SUMIFS(DECKS!$D$2:$D$1201,DECKS!$B$2:$B$1201,A101))</f>
        <v/>
      </c>
      <c r="J101" s="18" t="str">
        <f aca="false">IF(A101="","",MAX(0,I101-C101))</f>
        <v/>
      </c>
      <c r="K101" s="19" t="str">
        <f aca="false">IF(OR($A101="",INDEX(_LEITURA!$Q$2:$Q$21,1)=0),"",SUMIFS(DECKS!$D$2:$D$1201,DECKS!$A$2:$A$1201,INDEX(_LEITURA!$P$2:$P$21,1),DECKS!$B$2:$B$1201,$A101))</f>
        <v/>
      </c>
      <c r="L101" s="19" t="str">
        <f aca="false">IF(OR($A101="",INDEX(_LEITURA!$Q$2:$Q$21,2)=0),"",SUMIFS(DECKS!$D$2:$D$1201,DECKS!$A$2:$A$1201,INDEX(_LEITURA!$P$2:$P$21,2),DECKS!$B$2:$B$1201,$A101))</f>
        <v/>
      </c>
      <c r="M101" s="19" t="str">
        <f aca="false">IF(OR($A101="",INDEX(_LEITURA!$Q$2:$Q$21,3)=0),"",SUMIFS(DECKS!$D$2:$D$1201,DECKS!$A$2:$A$1201,INDEX(_LEITURA!$P$2:$P$21,3),DECKS!$B$2:$B$1201,$A101))</f>
        <v/>
      </c>
      <c r="N101" s="19" t="str">
        <f aca="false">IF(OR($A101="",INDEX(_LEITURA!$Q$2:$Q$21,4)=0),"",SUMIFS(DECKS!$D$2:$D$1201,DECKS!$A$2:$A$1201,INDEX(_LEITURA!$P$2:$P$21,4),DECKS!$B$2:$B$1201,$A101))</f>
        <v/>
      </c>
      <c r="O101" s="19" t="str">
        <f aca="false">IF(OR($A101="",INDEX(_LEITURA!$Q$2:$Q$21,5)=0),"",SUMIFS(DECKS!$D$2:$D$1201,DECKS!$A$2:$A$1201,INDEX(_LEITURA!$P$2:$P$21,5),DECKS!$B$2:$B$1201,$A101))</f>
        <v/>
      </c>
      <c r="P101" s="19" t="str">
        <f aca="false">IF(OR($A101="",INDEX(_LEITURA!$Q$2:$Q$21,6)=0),"",SUMIFS(DECKS!$D$2:$D$1201,DECKS!$A$2:$A$1201,INDEX(_LEITURA!$P$2:$P$21,6),DECKS!$B$2:$B$1201,$A101))</f>
        <v/>
      </c>
      <c r="Q101" s="19" t="str">
        <f aca="false">IF(OR($A101="",INDEX(_LEITURA!$Q$2:$Q$21,7)=0),"",SUMIFS(DECKS!$D$2:$D$1201,DECKS!$A$2:$A$1201,INDEX(_LEITURA!$P$2:$P$21,7),DECKS!$B$2:$B$1201,$A101))</f>
        <v/>
      </c>
      <c r="R101" s="19" t="str">
        <f aca="false">IF(OR($A101="",INDEX(_LEITURA!$Q$2:$Q$21,8)=0),"",SUMIFS(DECKS!$D$2:$D$1201,DECKS!$A$2:$A$1201,INDEX(_LEITURA!$P$2:$P$21,8),DECKS!$B$2:$B$1201,$A101))</f>
        <v/>
      </c>
      <c r="S101" s="19" t="str">
        <f aca="false">IF(OR($A101="",INDEX(_LEITURA!$Q$2:$Q$21,9)=0),"",SUMIFS(DECKS!$D$2:$D$1201,DECKS!$A$2:$A$1201,INDEX(_LEITURA!$P$2:$P$21,9),DECKS!$B$2:$B$1201,$A101))</f>
        <v/>
      </c>
      <c r="T101" s="19" t="str">
        <f aca="false">IF(OR($A101="",INDEX(_LEITURA!$Q$2:$Q$21,10)=0),"",SUMIFS(DECKS!$D$2:$D$1201,DECKS!$A$2:$A$1201,INDEX(_LEITURA!$P$2:$P$21,10),DECKS!$B$2:$B$1201,$A101))</f>
        <v/>
      </c>
      <c r="U101" s="19" t="str">
        <f aca="false">IF(OR($A101="",INDEX(_LEITURA!$Q$2:$Q$21,11)=0),"",SUMIFS(DECKS!$D$2:$D$1201,DECKS!$A$2:$A$1201,INDEX(_LEITURA!$P$2:$P$21,11),DECKS!$B$2:$B$1201,$A101))</f>
        <v/>
      </c>
      <c r="V101" s="19" t="str">
        <f aca="false">IF(OR($A101="",INDEX(_LEITURA!$Q$2:$Q$21,12)=0),"",SUMIFS(DECKS!$D$2:$D$1201,DECKS!$A$2:$A$1201,INDEX(_LEITURA!$P$2:$P$21,12),DECKS!$B$2:$B$1201,$A101))</f>
        <v/>
      </c>
      <c r="W101" s="19" t="str">
        <f aca="false">IF(OR($A101="",INDEX(_LEITURA!$Q$2:$Q$21,13)=0),"",SUMIFS(DECKS!$D$2:$D$1201,DECKS!$A$2:$A$1201,INDEX(_LEITURA!$P$2:$P$21,13),DECKS!$B$2:$B$1201,$A101))</f>
        <v/>
      </c>
      <c r="X101" s="19" t="str">
        <f aca="false">IF(OR($A101="",INDEX(_LEITURA!$Q$2:$Q$21,14)=0),"",SUMIFS(DECKS!$D$2:$D$1201,DECKS!$A$2:$A$1201,INDEX(_LEITURA!$P$2:$P$21,14),DECKS!$B$2:$B$1201,$A101))</f>
        <v/>
      </c>
      <c r="Y101" s="19" t="str">
        <f aca="false">IF(OR($A101="",INDEX(_LEITURA!$Q$2:$Q$21,15)=0),"",SUMIFS(DECKS!$D$2:$D$1201,DECKS!$A$2:$A$1201,INDEX(_LEITURA!$P$2:$P$21,15),DECKS!$B$2:$B$1201,$A101))</f>
        <v/>
      </c>
      <c r="Z101" s="19" t="str">
        <f aca="false">IF(OR($A101="",INDEX(_LEITURA!$Q$2:$Q$21,16)=0),"",SUMIFS(DECKS!$D$2:$D$1201,DECKS!$A$2:$A$1201,INDEX(_LEITURA!$P$2:$P$21,16),DECKS!$B$2:$B$1201,$A101))</f>
        <v/>
      </c>
      <c r="AA101" s="19" t="str">
        <f aca="false">IF(OR($A101="",INDEX(_LEITURA!$Q$2:$Q$21,17)=0),"",SUMIFS(DECKS!$D$2:$D$1201,DECKS!$A$2:$A$1201,INDEX(_LEITURA!$P$2:$P$21,17),DECKS!$B$2:$B$1201,$A101))</f>
        <v/>
      </c>
      <c r="AB101" s="19" t="str">
        <f aca="false">IF(OR($A101="",INDEX(_LEITURA!$Q$2:$Q$21,18)=0),"",SUMIFS(DECKS!$D$2:$D$1201,DECKS!$A$2:$A$1201,INDEX(_LEITURA!$P$2:$P$21,18),DECKS!$B$2:$B$1201,$A101))</f>
        <v/>
      </c>
      <c r="AC101" s="19" t="str">
        <f aca="false">IF(OR($A101="",INDEX(_LEITURA!$Q$2:$Q$21,19)=0),"",SUMIFS(DECKS!$D$2:$D$1201,DECKS!$A$2:$A$1201,INDEX(_LEITURA!$P$2:$P$21,19),DECKS!$B$2:$B$1201,$A101))</f>
        <v/>
      </c>
      <c r="AD101" s="19" t="str">
        <f aca="false">IF(OR($A101="",INDEX(_LEITURA!$Q$2:$Q$21,20)=0),"",SUMIFS(DECKS!$D$2:$D$1201,DECKS!$A$2:$A$1201,INDEX(_LEITURA!$P$2:$P$21,20),DECKS!$B$2:$B$1201,$A101))</f>
        <v/>
      </c>
      <c r="AE101" s="16" t="str">
        <f aca="false">IF(N(E101)&gt;0,MAX(AE$1:AE100)+1,"")</f>
        <v/>
      </c>
      <c r="AF101" s="11" t="str">
        <f aca="false">IF(A101="","",IFERROR(LEFT(A101,FIND("-",A101)-1),A101))</f>
        <v/>
      </c>
      <c r="AG101" s="11" t="str">
        <f aca="false">IF(AF101="","",IF(ISNUMBER(--MID(AF101,1,1)),0,IF(ISNUMBER(--MID(AF101,2,1)),1,IF(ISNUMBER(--MID(AF101,3,1)),2,IF(ISNUMBER(--MID(AF101,4,1)),3,MIN(LEN(AF101),4))))))</f>
        <v/>
      </c>
      <c r="AH101" s="11" t="str">
        <f aca="false">IF(A101="","",LEFT(AF101,AG101)&amp;REPT("0",4-AG101)&amp;RIGHT("000"&amp;IFERROR(VALUE(MID(AF101,AG101+1,9)),0),3)&amp;RIGHT("0000"&amp;IFERROR(VALUE(MID(A101,FIND("-",A101)+1,9)),0),4))</f>
        <v/>
      </c>
      <c r="AI101" s="11" t="str">
        <f aca="false">IF(OR(A101="",N(E101)&lt;=0),"",IF('FALTAS GERAL'!$M$1="Código","K"&amp;AH101&amp;RIGHT("00000"&amp;ROW(),5),IF('FALTAS GERAL'!$M$1="Nome","K"&amp;UPPER(SUBSTITUTE(SUBSTITUTE(SUBSTITUTE(B101,"*",""),"?",""),"~",""))&amp;"0"&amp;AH101&amp;RIGHT("00000"&amp;ROW(),5),IF('FALTAS GERAL'!$M$1="Falta (maior primeiro)","K"&amp;RIGHT("0000"&amp;(9999-E101),4)&amp;AH101&amp;RIGHT("00000"&amp;ROW(),5),IF('FALTAS GERAL'!$M$1="Nº de decks (maior primeiro)","K"&amp;RIGHT("00"&amp;(99-N(G101)),2)&amp;AH101&amp;RIGHT("00000"&amp;ROW(),5),"K"&amp;RIGHT("00000"&amp;ROW(),5))))))</f>
        <v/>
      </c>
      <c r="AJ101" s="11" t="str">
        <f aca="false">IF(AI101="","",COUNTIFS($AI$2:$AI$801,"&lt;"&amp;AI101,$E$2:$E$801,"&gt;0")+1)</f>
        <v/>
      </c>
      <c r="AK101" s="11" t="str">
        <f aca="false">IF(OR(A101="",N(E101)&lt;=0),"",COUNTIFS($AH$2:$AH$801,"&lt;"&amp;AH101,$E$2:$E$801,"&gt;0")+COUNTIFS($AH$2:AH101,AH101,$E$2:E101,"&gt;0"))</f>
        <v/>
      </c>
    </row>
    <row r="102" customFormat="false" ht="15" hidden="false" customHeight="false" outlineLevel="0" collapsed="false">
      <c r="A102" s="11" t="str">
        <f aca="false">IF(INVENTÁRIO!A102="","",INVENTÁRIO!A102)</f>
        <v/>
      </c>
      <c r="B102" s="11" t="str">
        <f aca="false">IF(A102="","",INVENTÁRIO!B102)</f>
        <v/>
      </c>
      <c r="C102" s="16" t="str">
        <f aca="false">IF(A102="","",INVENTÁRIO!C102)</f>
        <v/>
      </c>
      <c r="D102" s="14" t="str">
        <f aca="false">IF(A102="","",MAX(K102:AD102))</f>
        <v/>
      </c>
      <c r="E102" s="14" t="str">
        <f aca="false">IF(A102="","",MAX(0,D102-C102))</f>
        <v/>
      </c>
      <c r="F102" s="16" t="str">
        <f aca="false">IF(A102="","",IF(D102=0,"Fora dos decks",IF(E102=0,"Completo","Falta")))</f>
        <v/>
      </c>
      <c r="G102" s="16" t="str">
        <f aca="false">IF(A102="","",COUNTIF(K102:AD102,"&gt;0"))</f>
        <v/>
      </c>
      <c r="H102" s="16" t="str">
        <f aca="false">IF(A102="","",IF(G102&gt;1,"Sim",""))</f>
        <v/>
      </c>
      <c r="I102" s="18" t="str">
        <f aca="false">IF(A102="","",SUMIFS(DECKS!$D$2:$D$1201,DECKS!$B$2:$B$1201,A102))</f>
        <v/>
      </c>
      <c r="J102" s="18" t="str">
        <f aca="false">IF(A102="","",MAX(0,I102-C102))</f>
        <v/>
      </c>
      <c r="K102" s="19" t="str">
        <f aca="false">IF(OR($A102="",INDEX(_LEITURA!$Q$2:$Q$21,1)=0),"",SUMIFS(DECKS!$D$2:$D$1201,DECKS!$A$2:$A$1201,INDEX(_LEITURA!$P$2:$P$21,1),DECKS!$B$2:$B$1201,$A102))</f>
        <v/>
      </c>
      <c r="L102" s="19" t="str">
        <f aca="false">IF(OR($A102="",INDEX(_LEITURA!$Q$2:$Q$21,2)=0),"",SUMIFS(DECKS!$D$2:$D$1201,DECKS!$A$2:$A$1201,INDEX(_LEITURA!$P$2:$P$21,2),DECKS!$B$2:$B$1201,$A102))</f>
        <v/>
      </c>
      <c r="M102" s="19" t="str">
        <f aca="false">IF(OR($A102="",INDEX(_LEITURA!$Q$2:$Q$21,3)=0),"",SUMIFS(DECKS!$D$2:$D$1201,DECKS!$A$2:$A$1201,INDEX(_LEITURA!$P$2:$P$21,3),DECKS!$B$2:$B$1201,$A102))</f>
        <v/>
      </c>
      <c r="N102" s="19" t="str">
        <f aca="false">IF(OR($A102="",INDEX(_LEITURA!$Q$2:$Q$21,4)=0),"",SUMIFS(DECKS!$D$2:$D$1201,DECKS!$A$2:$A$1201,INDEX(_LEITURA!$P$2:$P$21,4),DECKS!$B$2:$B$1201,$A102))</f>
        <v/>
      </c>
      <c r="O102" s="19" t="str">
        <f aca="false">IF(OR($A102="",INDEX(_LEITURA!$Q$2:$Q$21,5)=0),"",SUMIFS(DECKS!$D$2:$D$1201,DECKS!$A$2:$A$1201,INDEX(_LEITURA!$P$2:$P$21,5),DECKS!$B$2:$B$1201,$A102))</f>
        <v/>
      </c>
      <c r="P102" s="19" t="str">
        <f aca="false">IF(OR($A102="",INDEX(_LEITURA!$Q$2:$Q$21,6)=0),"",SUMIFS(DECKS!$D$2:$D$1201,DECKS!$A$2:$A$1201,INDEX(_LEITURA!$P$2:$P$21,6),DECKS!$B$2:$B$1201,$A102))</f>
        <v/>
      </c>
      <c r="Q102" s="19" t="str">
        <f aca="false">IF(OR($A102="",INDEX(_LEITURA!$Q$2:$Q$21,7)=0),"",SUMIFS(DECKS!$D$2:$D$1201,DECKS!$A$2:$A$1201,INDEX(_LEITURA!$P$2:$P$21,7),DECKS!$B$2:$B$1201,$A102))</f>
        <v/>
      </c>
      <c r="R102" s="19" t="str">
        <f aca="false">IF(OR($A102="",INDEX(_LEITURA!$Q$2:$Q$21,8)=0),"",SUMIFS(DECKS!$D$2:$D$1201,DECKS!$A$2:$A$1201,INDEX(_LEITURA!$P$2:$P$21,8),DECKS!$B$2:$B$1201,$A102))</f>
        <v/>
      </c>
      <c r="S102" s="19" t="str">
        <f aca="false">IF(OR($A102="",INDEX(_LEITURA!$Q$2:$Q$21,9)=0),"",SUMIFS(DECKS!$D$2:$D$1201,DECKS!$A$2:$A$1201,INDEX(_LEITURA!$P$2:$P$21,9),DECKS!$B$2:$B$1201,$A102))</f>
        <v/>
      </c>
      <c r="T102" s="19" t="str">
        <f aca="false">IF(OR($A102="",INDEX(_LEITURA!$Q$2:$Q$21,10)=0),"",SUMIFS(DECKS!$D$2:$D$1201,DECKS!$A$2:$A$1201,INDEX(_LEITURA!$P$2:$P$21,10),DECKS!$B$2:$B$1201,$A102))</f>
        <v/>
      </c>
      <c r="U102" s="19" t="str">
        <f aca="false">IF(OR($A102="",INDEX(_LEITURA!$Q$2:$Q$21,11)=0),"",SUMIFS(DECKS!$D$2:$D$1201,DECKS!$A$2:$A$1201,INDEX(_LEITURA!$P$2:$P$21,11),DECKS!$B$2:$B$1201,$A102))</f>
        <v/>
      </c>
      <c r="V102" s="19" t="str">
        <f aca="false">IF(OR($A102="",INDEX(_LEITURA!$Q$2:$Q$21,12)=0),"",SUMIFS(DECKS!$D$2:$D$1201,DECKS!$A$2:$A$1201,INDEX(_LEITURA!$P$2:$P$21,12),DECKS!$B$2:$B$1201,$A102))</f>
        <v/>
      </c>
      <c r="W102" s="19" t="str">
        <f aca="false">IF(OR($A102="",INDEX(_LEITURA!$Q$2:$Q$21,13)=0),"",SUMIFS(DECKS!$D$2:$D$1201,DECKS!$A$2:$A$1201,INDEX(_LEITURA!$P$2:$P$21,13),DECKS!$B$2:$B$1201,$A102))</f>
        <v/>
      </c>
      <c r="X102" s="19" t="str">
        <f aca="false">IF(OR($A102="",INDEX(_LEITURA!$Q$2:$Q$21,14)=0),"",SUMIFS(DECKS!$D$2:$D$1201,DECKS!$A$2:$A$1201,INDEX(_LEITURA!$P$2:$P$21,14),DECKS!$B$2:$B$1201,$A102))</f>
        <v/>
      </c>
      <c r="Y102" s="19" t="str">
        <f aca="false">IF(OR($A102="",INDEX(_LEITURA!$Q$2:$Q$21,15)=0),"",SUMIFS(DECKS!$D$2:$D$1201,DECKS!$A$2:$A$1201,INDEX(_LEITURA!$P$2:$P$21,15),DECKS!$B$2:$B$1201,$A102))</f>
        <v/>
      </c>
      <c r="Z102" s="19" t="str">
        <f aca="false">IF(OR($A102="",INDEX(_LEITURA!$Q$2:$Q$21,16)=0),"",SUMIFS(DECKS!$D$2:$D$1201,DECKS!$A$2:$A$1201,INDEX(_LEITURA!$P$2:$P$21,16),DECKS!$B$2:$B$1201,$A102))</f>
        <v/>
      </c>
      <c r="AA102" s="19" t="str">
        <f aca="false">IF(OR($A102="",INDEX(_LEITURA!$Q$2:$Q$21,17)=0),"",SUMIFS(DECKS!$D$2:$D$1201,DECKS!$A$2:$A$1201,INDEX(_LEITURA!$P$2:$P$21,17),DECKS!$B$2:$B$1201,$A102))</f>
        <v/>
      </c>
      <c r="AB102" s="19" t="str">
        <f aca="false">IF(OR($A102="",INDEX(_LEITURA!$Q$2:$Q$21,18)=0),"",SUMIFS(DECKS!$D$2:$D$1201,DECKS!$A$2:$A$1201,INDEX(_LEITURA!$P$2:$P$21,18),DECKS!$B$2:$B$1201,$A102))</f>
        <v/>
      </c>
      <c r="AC102" s="19" t="str">
        <f aca="false">IF(OR($A102="",INDEX(_LEITURA!$Q$2:$Q$21,19)=0),"",SUMIFS(DECKS!$D$2:$D$1201,DECKS!$A$2:$A$1201,INDEX(_LEITURA!$P$2:$P$21,19),DECKS!$B$2:$B$1201,$A102))</f>
        <v/>
      </c>
      <c r="AD102" s="19" t="str">
        <f aca="false">IF(OR($A102="",INDEX(_LEITURA!$Q$2:$Q$21,20)=0),"",SUMIFS(DECKS!$D$2:$D$1201,DECKS!$A$2:$A$1201,INDEX(_LEITURA!$P$2:$P$21,20),DECKS!$B$2:$B$1201,$A102))</f>
        <v/>
      </c>
      <c r="AE102" s="16" t="str">
        <f aca="false">IF(N(E102)&gt;0,MAX(AE$1:AE101)+1,"")</f>
        <v/>
      </c>
      <c r="AF102" s="11" t="str">
        <f aca="false">IF(A102="","",IFERROR(LEFT(A102,FIND("-",A102)-1),A102))</f>
        <v/>
      </c>
      <c r="AG102" s="11" t="str">
        <f aca="false">IF(AF102="","",IF(ISNUMBER(--MID(AF102,1,1)),0,IF(ISNUMBER(--MID(AF102,2,1)),1,IF(ISNUMBER(--MID(AF102,3,1)),2,IF(ISNUMBER(--MID(AF102,4,1)),3,MIN(LEN(AF102),4))))))</f>
        <v/>
      </c>
      <c r="AH102" s="11" t="str">
        <f aca="false">IF(A102="","",LEFT(AF102,AG102)&amp;REPT("0",4-AG102)&amp;RIGHT("000"&amp;IFERROR(VALUE(MID(AF102,AG102+1,9)),0),3)&amp;RIGHT("0000"&amp;IFERROR(VALUE(MID(A102,FIND("-",A102)+1,9)),0),4))</f>
        <v/>
      </c>
      <c r="AI102" s="11" t="str">
        <f aca="false">IF(OR(A102="",N(E102)&lt;=0),"",IF('FALTAS GERAL'!$M$1="Código","K"&amp;AH102&amp;RIGHT("00000"&amp;ROW(),5),IF('FALTAS GERAL'!$M$1="Nome","K"&amp;UPPER(SUBSTITUTE(SUBSTITUTE(SUBSTITUTE(B102,"*",""),"?",""),"~",""))&amp;"0"&amp;AH102&amp;RIGHT("00000"&amp;ROW(),5),IF('FALTAS GERAL'!$M$1="Falta (maior primeiro)","K"&amp;RIGHT("0000"&amp;(9999-E102),4)&amp;AH102&amp;RIGHT("00000"&amp;ROW(),5),IF('FALTAS GERAL'!$M$1="Nº de decks (maior primeiro)","K"&amp;RIGHT("00"&amp;(99-N(G102)),2)&amp;AH102&amp;RIGHT("00000"&amp;ROW(),5),"K"&amp;RIGHT("00000"&amp;ROW(),5))))))</f>
        <v/>
      </c>
      <c r="AJ102" s="11" t="str">
        <f aca="false">IF(AI102="","",COUNTIFS($AI$2:$AI$801,"&lt;"&amp;AI102,$E$2:$E$801,"&gt;0")+1)</f>
        <v/>
      </c>
      <c r="AK102" s="11" t="str">
        <f aca="false">IF(OR(A102="",N(E102)&lt;=0),"",COUNTIFS($AH$2:$AH$801,"&lt;"&amp;AH102,$E$2:$E$801,"&gt;0")+COUNTIFS($AH$2:AH102,AH102,$E$2:E102,"&gt;0"))</f>
        <v/>
      </c>
    </row>
    <row r="103" customFormat="false" ht="15" hidden="false" customHeight="false" outlineLevel="0" collapsed="false">
      <c r="A103" s="11" t="str">
        <f aca="false">IF(INVENTÁRIO!A103="","",INVENTÁRIO!A103)</f>
        <v/>
      </c>
      <c r="B103" s="11" t="str">
        <f aca="false">IF(A103="","",INVENTÁRIO!B103)</f>
        <v/>
      </c>
      <c r="C103" s="16" t="str">
        <f aca="false">IF(A103="","",INVENTÁRIO!C103)</f>
        <v/>
      </c>
      <c r="D103" s="14" t="str">
        <f aca="false">IF(A103="","",MAX(K103:AD103))</f>
        <v/>
      </c>
      <c r="E103" s="14" t="str">
        <f aca="false">IF(A103="","",MAX(0,D103-C103))</f>
        <v/>
      </c>
      <c r="F103" s="16" t="str">
        <f aca="false">IF(A103="","",IF(D103=0,"Fora dos decks",IF(E103=0,"Completo","Falta")))</f>
        <v/>
      </c>
      <c r="G103" s="16" t="str">
        <f aca="false">IF(A103="","",COUNTIF(K103:AD103,"&gt;0"))</f>
        <v/>
      </c>
      <c r="H103" s="16" t="str">
        <f aca="false">IF(A103="","",IF(G103&gt;1,"Sim",""))</f>
        <v/>
      </c>
      <c r="I103" s="18" t="str">
        <f aca="false">IF(A103="","",SUMIFS(DECKS!$D$2:$D$1201,DECKS!$B$2:$B$1201,A103))</f>
        <v/>
      </c>
      <c r="J103" s="18" t="str">
        <f aca="false">IF(A103="","",MAX(0,I103-C103))</f>
        <v/>
      </c>
      <c r="K103" s="19" t="str">
        <f aca="false">IF(OR($A103="",INDEX(_LEITURA!$Q$2:$Q$21,1)=0),"",SUMIFS(DECKS!$D$2:$D$1201,DECKS!$A$2:$A$1201,INDEX(_LEITURA!$P$2:$P$21,1),DECKS!$B$2:$B$1201,$A103))</f>
        <v/>
      </c>
      <c r="L103" s="19" t="str">
        <f aca="false">IF(OR($A103="",INDEX(_LEITURA!$Q$2:$Q$21,2)=0),"",SUMIFS(DECKS!$D$2:$D$1201,DECKS!$A$2:$A$1201,INDEX(_LEITURA!$P$2:$P$21,2),DECKS!$B$2:$B$1201,$A103))</f>
        <v/>
      </c>
      <c r="M103" s="19" t="str">
        <f aca="false">IF(OR($A103="",INDEX(_LEITURA!$Q$2:$Q$21,3)=0),"",SUMIFS(DECKS!$D$2:$D$1201,DECKS!$A$2:$A$1201,INDEX(_LEITURA!$P$2:$P$21,3),DECKS!$B$2:$B$1201,$A103))</f>
        <v/>
      </c>
      <c r="N103" s="19" t="str">
        <f aca="false">IF(OR($A103="",INDEX(_LEITURA!$Q$2:$Q$21,4)=0),"",SUMIFS(DECKS!$D$2:$D$1201,DECKS!$A$2:$A$1201,INDEX(_LEITURA!$P$2:$P$21,4),DECKS!$B$2:$B$1201,$A103))</f>
        <v/>
      </c>
      <c r="O103" s="19" t="str">
        <f aca="false">IF(OR($A103="",INDEX(_LEITURA!$Q$2:$Q$21,5)=0),"",SUMIFS(DECKS!$D$2:$D$1201,DECKS!$A$2:$A$1201,INDEX(_LEITURA!$P$2:$P$21,5),DECKS!$B$2:$B$1201,$A103))</f>
        <v/>
      </c>
      <c r="P103" s="19" t="str">
        <f aca="false">IF(OR($A103="",INDEX(_LEITURA!$Q$2:$Q$21,6)=0),"",SUMIFS(DECKS!$D$2:$D$1201,DECKS!$A$2:$A$1201,INDEX(_LEITURA!$P$2:$P$21,6),DECKS!$B$2:$B$1201,$A103))</f>
        <v/>
      </c>
      <c r="Q103" s="19" t="str">
        <f aca="false">IF(OR($A103="",INDEX(_LEITURA!$Q$2:$Q$21,7)=0),"",SUMIFS(DECKS!$D$2:$D$1201,DECKS!$A$2:$A$1201,INDEX(_LEITURA!$P$2:$P$21,7),DECKS!$B$2:$B$1201,$A103))</f>
        <v/>
      </c>
      <c r="R103" s="19" t="str">
        <f aca="false">IF(OR($A103="",INDEX(_LEITURA!$Q$2:$Q$21,8)=0),"",SUMIFS(DECKS!$D$2:$D$1201,DECKS!$A$2:$A$1201,INDEX(_LEITURA!$P$2:$P$21,8),DECKS!$B$2:$B$1201,$A103))</f>
        <v/>
      </c>
      <c r="S103" s="19" t="str">
        <f aca="false">IF(OR($A103="",INDEX(_LEITURA!$Q$2:$Q$21,9)=0),"",SUMIFS(DECKS!$D$2:$D$1201,DECKS!$A$2:$A$1201,INDEX(_LEITURA!$P$2:$P$21,9),DECKS!$B$2:$B$1201,$A103))</f>
        <v/>
      </c>
      <c r="T103" s="19" t="str">
        <f aca="false">IF(OR($A103="",INDEX(_LEITURA!$Q$2:$Q$21,10)=0),"",SUMIFS(DECKS!$D$2:$D$1201,DECKS!$A$2:$A$1201,INDEX(_LEITURA!$P$2:$P$21,10),DECKS!$B$2:$B$1201,$A103))</f>
        <v/>
      </c>
      <c r="U103" s="19" t="str">
        <f aca="false">IF(OR($A103="",INDEX(_LEITURA!$Q$2:$Q$21,11)=0),"",SUMIFS(DECKS!$D$2:$D$1201,DECKS!$A$2:$A$1201,INDEX(_LEITURA!$P$2:$P$21,11),DECKS!$B$2:$B$1201,$A103))</f>
        <v/>
      </c>
      <c r="V103" s="19" t="str">
        <f aca="false">IF(OR($A103="",INDEX(_LEITURA!$Q$2:$Q$21,12)=0),"",SUMIFS(DECKS!$D$2:$D$1201,DECKS!$A$2:$A$1201,INDEX(_LEITURA!$P$2:$P$21,12),DECKS!$B$2:$B$1201,$A103))</f>
        <v/>
      </c>
      <c r="W103" s="19" t="str">
        <f aca="false">IF(OR($A103="",INDEX(_LEITURA!$Q$2:$Q$21,13)=0),"",SUMIFS(DECKS!$D$2:$D$1201,DECKS!$A$2:$A$1201,INDEX(_LEITURA!$P$2:$P$21,13),DECKS!$B$2:$B$1201,$A103))</f>
        <v/>
      </c>
      <c r="X103" s="19" t="str">
        <f aca="false">IF(OR($A103="",INDEX(_LEITURA!$Q$2:$Q$21,14)=0),"",SUMIFS(DECKS!$D$2:$D$1201,DECKS!$A$2:$A$1201,INDEX(_LEITURA!$P$2:$P$21,14),DECKS!$B$2:$B$1201,$A103))</f>
        <v/>
      </c>
      <c r="Y103" s="19" t="str">
        <f aca="false">IF(OR($A103="",INDEX(_LEITURA!$Q$2:$Q$21,15)=0),"",SUMIFS(DECKS!$D$2:$D$1201,DECKS!$A$2:$A$1201,INDEX(_LEITURA!$P$2:$P$21,15),DECKS!$B$2:$B$1201,$A103))</f>
        <v/>
      </c>
      <c r="Z103" s="19" t="str">
        <f aca="false">IF(OR($A103="",INDEX(_LEITURA!$Q$2:$Q$21,16)=0),"",SUMIFS(DECKS!$D$2:$D$1201,DECKS!$A$2:$A$1201,INDEX(_LEITURA!$P$2:$P$21,16),DECKS!$B$2:$B$1201,$A103))</f>
        <v/>
      </c>
      <c r="AA103" s="19" t="str">
        <f aca="false">IF(OR($A103="",INDEX(_LEITURA!$Q$2:$Q$21,17)=0),"",SUMIFS(DECKS!$D$2:$D$1201,DECKS!$A$2:$A$1201,INDEX(_LEITURA!$P$2:$P$21,17),DECKS!$B$2:$B$1201,$A103))</f>
        <v/>
      </c>
      <c r="AB103" s="19" t="str">
        <f aca="false">IF(OR($A103="",INDEX(_LEITURA!$Q$2:$Q$21,18)=0),"",SUMIFS(DECKS!$D$2:$D$1201,DECKS!$A$2:$A$1201,INDEX(_LEITURA!$P$2:$P$21,18),DECKS!$B$2:$B$1201,$A103))</f>
        <v/>
      </c>
      <c r="AC103" s="19" t="str">
        <f aca="false">IF(OR($A103="",INDEX(_LEITURA!$Q$2:$Q$21,19)=0),"",SUMIFS(DECKS!$D$2:$D$1201,DECKS!$A$2:$A$1201,INDEX(_LEITURA!$P$2:$P$21,19),DECKS!$B$2:$B$1201,$A103))</f>
        <v/>
      </c>
      <c r="AD103" s="19" t="str">
        <f aca="false">IF(OR($A103="",INDEX(_LEITURA!$Q$2:$Q$21,20)=0),"",SUMIFS(DECKS!$D$2:$D$1201,DECKS!$A$2:$A$1201,INDEX(_LEITURA!$P$2:$P$21,20),DECKS!$B$2:$B$1201,$A103))</f>
        <v/>
      </c>
      <c r="AE103" s="16" t="str">
        <f aca="false">IF(N(E103)&gt;0,MAX(AE$1:AE102)+1,"")</f>
        <v/>
      </c>
      <c r="AF103" s="11" t="str">
        <f aca="false">IF(A103="","",IFERROR(LEFT(A103,FIND("-",A103)-1),A103))</f>
        <v/>
      </c>
      <c r="AG103" s="11" t="str">
        <f aca="false">IF(AF103="","",IF(ISNUMBER(--MID(AF103,1,1)),0,IF(ISNUMBER(--MID(AF103,2,1)),1,IF(ISNUMBER(--MID(AF103,3,1)),2,IF(ISNUMBER(--MID(AF103,4,1)),3,MIN(LEN(AF103),4))))))</f>
        <v/>
      </c>
      <c r="AH103" s="11" t="str">
        <f aca="false">IF(A103="","",LEFT(AF103,AG103)&amp;REPT("0",4-AG103)&amp;RIGHT("000"&amp;IFERROR(VALUE(MID(AF103,AG103+1,9)),0),3)&amp;RIGHT("0000"&amp;IFERROR(VALUE(MID(A103,FIND("-",A103)+1,9)),0),4))</f>
        <v/>
      </c>
      <c r="AI103" s="11" t="str">
        <f aca="false">IF(OR(A103="",N(E103)&lt;=0),"",IF('FALTAS GERAL'!$M$1="Código","K"&amp;AH103&amp;RIGHT("00000"&amp;ROW(),5),IF('FALTAS GERAL'!$M$1="Nome","K"&amp;UPPER(SUBSTITUTE(SUBSTITUTE(SUBSTITUTE(B103,"*",""),"?",""),"~",""))&amp;"0"&amp;AH103&amp;RIGHT("00000"&amp;ROW(),5),IF('FALTAS GERAL'!$M$1="Falta (maior primeiro)","K"&amp;RIGHT("0000"&amp;(9999-E103),4)&amp;AH103&amp;RIGHT("00000"&amp;ROW(),5),IF('FALTAS GERAL'!$M$1="Nº de decks (maior primeiro)","K"&amp;RIGHT("00"&amp;(99-N(G103)),2)&amp;AH103&amp;RIGHT("00000"&amp;ROW(),5),"K"&amp;RIGHT("00000"&amp;ROW(),5))))))</f>
        <v/>
      </c>
      <c r="AJ103" s="11" t="str">
        <f aca="false">IF(AI103="","",COUNTIFS($AI$2:$AI$801,"&lt;"&amp;AI103,$E$2:$E$801,"&gt;0")+1)</f>
        <v/>
      </c>
      <c r="AK103" s="11" t="str">
        <f aca="false">IF(OR(A103="",N(E103)&lt;=0),"",COUNTIFS($AH$2:$AH$801,"&lt;"&amp;AH103,$E$2:$E$801,"&gt;0")+COUNTIFS($AH$2:AH103,AH103,$E$2:E103,"&gt;0"))</f>
        <v/>
      </c>
    </row>
    <row r="104" customFormat="false" ht="15" hidden="false" customHeight="false" outlineLevel="0" collapsed="false">
      <c r="A104" s="11" t="str">
        <f aca="false">IF(INVENTÁRIO!A104="","",INVENTÁRIO!A104)</f>
        <v/>
      </c>
      <c r="B104" s="11" t="str">
        <f aca="false">IF(A104="","",INVENTÁRIO!B104)</f>
        <v/>
      </c>
      <c r="C104" s="16" t="str">
        <f aca="false">IF(A104="","",INVENTÁRIO!C104)</f>
        <v/>
      </c>
      <c r="D104" s="14" t="str">
        <f aca="false">IF(A104="","",MAX(K104:AD104))</f>
        <v/>
      </c>
      <c r="E104" s="14" t="str">
        <f aca="false">IF(A104="","",MAX(0,D104-C104))</f>
        <v/>
      </c>
      <c r="F104" s="16" t="str">
        <f aca="false">IF(A104="","",IF(D104=0,"Fora dos decks",IF(E104=0,"Completo","Falta")))</f>
        <v/>
      </c>
      <c r="G104" s="16" t="str">
        <f aca="false">IF(A104="","",COUNTIF(K104:AD104,"&gt;0"))</f>
        <v/>
      </c>
      <c r="H104" s="16" t="str">
        <f aca="false">IF(A104="","",IF(G104&gt;1,"Sim",""))</f>
        <v/>
      </c>
      <c r="I104" s="18" t="str">
        <f aca="false">IF(A104="","",SUMIFS(DECKS!$D$2:$D$1201,DECKS!$B$2:$B$1201,A104))</f>
        <v/>
      </c>
      <c r="J104" s="18" t="str">
        <f aca="false">IF(A104="","",MAX(0,I104-C104))</f>
        <v/>
      </c>
      <c r="K104" s="19" t="str">
        <f aca="false">IF(OR($A104="",INDEX(_LEITURA!$Q$2:$Q$21,1)=0),"",SUMIFS(DECKS!$D$2:$D$1201,DECKS!$A$2:$A$1201,INDEX(_LEITURA!$P$2:$P$21,1),DECKS!$B$2:$B$1201,$A104))</f>
        <v/>
      </c>
      <c r="L104" s="19" t="str">
        <f aca="false">IF(OR($A104="",INDEX(_LEITURA!$Q$2:$Q$21,2)=0),"",SUMIFS(DECKS!$D$2:$D$1201,DECKS!$A$2:$A$1201,INDEX(_LEITURA!$P$2:$P$21,2),DECKS!$B$2:$B$1201,$A104))</f>
        <v/>
      </c>
      <c r="M104" s="19" t="str">
        <f aca="false">IF(OR($A104="",INDEX(_LEITURA!$Q$2:$Q$21,3)=0),"",SUMIFS(DECKS!$D$2:$D$1201,DECKS!$A$2:$A$1201,INDEX(_LEITURA!$P$2:$P$21,3),DECKS!$B$2:$B$1201,$A104))</f>
        <v/>
      </c>
      <c r="N104" s="19" t="str">
        <f aca="false">IF(OR($A104="",INDEX(_LEITURA!$Q$2:$Q$21,4)=0),"",SUMIFS(DECKS!$D$2:$D$1201,DECKS!$A$2:$A$1201,INDEX(_LEITURA!$P$2:$P$21,4),DECKS!$B$2:$B$1201,$A104))</f>
        <v/>
      </c>
      <c r="O104" s="19" t="str">
        <f aca="false">IF(OR($A104="",INDEX(_LEITURA!$Q$2:$Q$21,5)=0),"",SUMIFS(DECKS!$D$2:$D$1201,DECKS!$A$2:$A$1201,INDEX(_LEITURA!$P$2:$P$21,5),DECKS!$B$2:$B$1201,$A104))</f>
        <v/>
      </c>
      <c r="P104" s="19" t="str">
        <f aca="false">IF(OR($A104="",INDEX(_LEITURA!$Q$2:$Q$21,6)=0),"",SUMIFS(DECKS!$D$2:$D$1201,DECKS!$A$2:$A$1201,INDEX(_LEITURA!$P$2:$P$21,6),DECKS!$B$2:$B$1201,$A104))</f>
        <v/>
      </c>
      <c r="Q104" s="19" t="str">
        <f aca="false">IF(OR($A104="",INDEX(_LEITURA!$Q$2:$Q$21,7)=0),"",SUMIFS(DECKS!$D$2:$D$1201,DECKS!$A$2:$A$1201,INDEX(_LEITURA!$P$2:$P$21,7),DECKS!$B$2:$B$1201,$A104))</f>
        <v/>
      </c>
      <c r="R104" s="19" t="str">
        <f aca="false">IF(OR($A104="",INDEX(_LEITURA!$Q$2:$Q$21,8)=0),"",SUMIFS(DECKS!$D$2:$D$1201,DECKS!$A$2:$A$1201,INDEX(_LEITURA!$P$2:$P$21,8),DECKS!$B$2:$B$1201,$A104))</f>
        <v/>
      </c>
      <c r="S104" s="19" t="str">
        <f aca="false">IF(OR($A104="",INDEX(_LEITURA!$Q$2:$Q$21,9)=0),"",SUMIFS(DECKS!$D$2:$D$1201,DECKS!$A$2:$A$1201,INDEX(_LEITURA!$P$2:$P$21,9),DECKS!$B$2:$B$1201,$A104))</f>
        <v/>
      </c>
      <c r="T104" s="19" t="str">
        <f aca="false">IF(OR($A104="",INDEX(_LEITURA!$Q$2:$Q$21,10)=0),"",SUMIFS(DECKS!$D$2:$D$1201,DECKS!$A$2:$A$1201,INDEX(_LEITURA!$P$2:$P$21,10),DECKS!$B$2:$B$1201,$A104))</f>
        <v/>
      </c>
      <c r="U104" s="19" t="str">
        <f aca="false">IF(OR($A104="",INDEX(_LEITURA!$Q$2:$Q$21,11)=0),"",SUMIFS(DECKS!$D$2:$D$1201,DECKS!$A$2:$A$1201,INDEX(_LEITURA!$P$2:$P$21,11),DECKS!$B$2:$B$1201,$A104))</f>
        <v/>
      </c>
      <c r="V104" s="19" t="str">
        <f aca="false">IF(OR($A104="",INDEX(_LEITURA!$Q$2:$Q$21,12)=0),"",SUMIFS(DECKS!$D$2:$D$1201,DECKS!$A$2:$A$1201,INDEX(_LEITURA!$P$2:$P$21,12),DECKS!$B$2:$B$1201,$A104))</f>
        <v/>
      </c>
      <c r="W104" s="19" t="str">
        <f aca="false">IF(OR($A104="",INDEX(_LEITURA!$Q$2:$Q$21,13)=0),"",SUMIFS(DECKS!$D$2:$D$1201,DECKS!$A$2:$A$1201,INDEX(_LEITURA!$P$2:$P$21,13),DECKS!$B$2:$B$1201,$A104))</f>
        <v/>
      </c>
      <c r="X104" s="19" t="str">
        <f aca="false">IF(OR($A104="",INDEX(_LEITURA!$Q$2:$Q$21,14)=0),"",SUMIFS(DECKS!$D$2:$D$1201,DECKS!$A$2:$A$1201,INDEX(_LEITURA!$P$2:$P$21,14),DECKS!$B$2:$B$1201,$A104))</f>
        <v/>
      </c>
      <c r="Y104" s="19" t="str">
        <f aca="false">IF(OR($A104="",INDEX(_LEITURA!$Q$2:$Q$21,15)=0),"",SUMIFS(DECKS!$D$2:$D$1201,DECKS!$A$2:$A$1201,INDEX(_LEITURA!$P$2:$P$21,15),DECKS!$B$2:$B$1201,$A104))</f>
        <v/>
      </c>
      <c r="Z104" s="19" t="str">
        <f aca="false">IF(OR($A104="",INDEX(_LEITURA!$Q$2:$Q$21,16)=0),"",SUMIFS(DECKS!$D$2:$D$1201,DECKS!$A$2:$A$1201,INDEX(_LEITURA!$P$2:$P$21,16),DECKS!$B$2:$B$1201,$A104))</f>
        <v/>
      </c>
      <c r="AA104" s="19" t="str">
        <f aca="false">IF(OR($A104="",INDEX(_LEITURA!$Q$2:$Q$21,17)=0),"",SUMIFS(DECKS!$D$2:$D$1201,DECKS!$A$2:$A$1201,INDEX(_LEITURA!$P$2:$P$21,17),DECKS!$B$2:$B$1201,$A104))</f>
        <v/>
      </c>
      <c r="AB104" s="19" t="str">
        <f aca="false">IF(OR($A104="",INDEX(_LEITURA!$Q$2:$Q$21,18)=0),"",SUMIFS(DECKS!$D$2:$D$1201,DECKS!$A$2:$A$1201,INDEX(_LEITURA!$P$2:$P$21,18),DECKS!$B$2:$B$1201,$A104))</f>
        <v/>
      </c>
      <c r="AC104" s="19" t="str">
        <f aca="false">IF(OR($A104="",INDEX(_LEITURA!$Q$2:$Q$21,19)=0),"",SUMIFS(DECKS!$D$2:$D$1201,DECKS!$A$2:$A$1201,INDEX(_LEITURA!$P$2:$P$21,19),DECKS!$B$2:$B$1201,$A104))</f>
        <v/>
      </c>
      <c r="AD104" s="19" t="str">
        <f aca="false">IF(OR($A104="",INDEX(_LEITURA!$Q$2:$Q$21,20)=0),"",SUMIFS(DECKS!$D$2:$D$1201,DECKS!$A$2:$A$1201,INDEX(_LEITURA!$P$2:$P$21,20),DECKS!$B$2:$B$1201,$A104))</f>
        <v/>
      </c>
      <c r="AE104" s="16" t="str">
        <f aca="false">IF(N(E104)&gt;0,MAX(AE$1:AE103)+1,"")</f>
        <v/>
      </c>
      <c r="AF104" s="11" t="str">
        <f aca="false">IF(A104="","",IFERROR(LEFT(A104,FIND("-",A104)-1),A104))</f>
        <v/>
      </c>
      <c r="AG104" s="11" t="str">
        <f aca="false">IF(AF104="","",IF(ISNUMBER(--MID(AF104,1,1)),0,IF(ISNUMBER(--MID(AF104,2,1)),1,IF(ISNUMBER(--MID(AF104,3,1)),2,IF(ISNUMBER(--MID(AF104,4,1)),3,MIN(LEN(AF104),4))))))</f>
        <v/>
      </c>
      <c r="AH104" s="11" t="str">
        <f aca="false">IF(A104="","",LEFT(AF104,AG104)&amp;REPT("0",4-AG104)&amp;RIGHT("000"&amp;IFERROR(VALUE(MID(AF104,AG104+1,9)),0),3)&amp;RIGHT("0000"&amp;IFERROR(VALUE(MID(A104,FIND("-",A104)+1,9)),0),4))</f>
        <v/>
      </c>
      <c r="AI104" s="11" t="str">
        <f aca="false">IF(OR(A104="",N(E104)&lt;=0),"",IF('FALTAS GERAL'!$M$1="Código","K"&amp;AH104&amp;RIGHT("00000"&amp;ROW(),5),IF('FALTAS GERAL'!$M$1="Nome","K"&amp;UPPER(SUBSTITUTE(SUBSTITUTE(SUBSTITUTE(B104,"*",""),"?",""),"~",""))&amp;"0"&amp;AH104&amp;RIGHT("00000"&amp;ROW(),5),IF('FALTAS GERAL'!$M$1="Falta (maior primeiro)","K"&amp;RIGHT("0000"&amp;(9999-E104),4)&amp;AH104&amp;RIGHT("00000"&amp;ROW(),5),IF('FALTAS GERAL'!$M$1="Nº de decks (maior primeiro)","K"&amp;RIGHT("00"&amp;(99-N(G104)),2)&amp;AH104&amp;RIGHT("00000"&amp;ROW(),5),"K"&amp;RIGHT("00000"&amp;ROW(),5))))))</f>
        <v/>
      </c>
      <c r="AJ104" s="11" t="str">
        <f aca="false">IF(AI104="","",COUNTIFS($AI$2:$AI$801,"&lt;"&amp;AI104,$E$2:$E$801,"&gt;0")+1)</f>
        <v/>
      </c>
      <c r="AK104" s="11" t="str">
        <f aca="false">IF(OR(A104="",N(E104)&lt;=0),"",COUNTIFS($AH$2:$AH$801,"&lt;"&amp;AH104,$E$2:$E$801,"&gt;0")+COUNTIFS($AH$2:AH104,AH104,$E$2:E104,"&gt;0"))</f>
        <v/>
      </c>
    </row>
    <row r="105" customFormat="false" ht="15" hidden="false" customHeight="false" outlineLevel="0" collapsed="false">
      <c r="A105" s="11" t="str">
        <f aca="false">IF(INVENTÁRIO!A105="","",INVENTÁRIO!A105)</f>
        <v/>
      </c>
      <c r="B105" s="11" t="str">
        <f aca="false">IF(A105="","",INVENTÁRIO!B105)</f>
        <v/>
      </c>
      <c r="C105" s="16" t="str">
        <f aca="false">IF(A105="","",INVENTÁRIO!C105)</f>
        <v/>
      </c>
      <c r="D105" s="14" t="str">
        <f aca="false">IF(A105="","",MAX(K105:AD105))</f>
        <v/>
      </c>
      <c r="E105" s="14" t="str">
        <f aca="false">IF(A105="","",MAX(0,D105-C105))</f>
        <v/>
      </c>
      <c r="F105" s="16" t="str">
        <f aca="false">IF(A105="","",IF(D105=0,"Fora dos decks",IF(E105=0,"Completo","Falta")))</f>
        <v/>
      </c>
      <c r="G105" s="16" t="str">
        <f aca="false">IF(A105="","",COUNTIF(K105:AD105,"&gt;0"))</f>
        <v/>
      </c>
      <c r="H105" s="16" t="str">
        <f aca="false">IF(A105="","",IF(G105&gt;1,"Sim",""))</f>
        <v/>
      </c>
      <c r="I105" s="18" t="str">
        <f aca="false">IF(A105="","",SUMIFS(DECKS!$D$2:$D$1201,DECKS!$B$2:$B$1201,A105))</f>
        <v/>
      </c>
      <c r="J105" s="18" t="str">
        <f aca="false">IF(A105="","",MAX(0,I105-C105))</f>
        <v/>
      </c>
      <c r="K105" s="19" t="str">
        <f aca="false">IF(OR($A105="",INDEX(_LEITURA!$Q$2:$Q$21,1)=0),"",SUMIFS(DECKS!$D$2:$D$1201,DECKS!$A$2:$A$1201,INDEX(_LEITURA!$P$2:$P$21,1),DECKS!$B$2:$B$1201,$A105))</f>
        <v/>
      </c>
      <c r="L105" s="19" t="str">
        <f aca="false">IF(OR($A105="",INDEX(_LEITURA!$Q$2:$Q$21,2)=0),"",SUMIFS(DECKS!$D$2:$D$1201,DECKS!$A$2:$A$1201,INDEX(_LEITURA!$P$2:$P$21,2),DECKS!$B$2:$B$1201,$A105))</f>
        <v/>
      </c>
      <c r="M105" s="19" t="str">
        <f aca="false">IF(OR($A105="",INDEX(_LEITURA!$Q$2:$Q$21,3)=0),"",SUMIFS(DECKS!$D$2:$D$1201,DECKS!$A$2:$A$1201,INDEX(_LEITURA!$P$2:$P$21,3),DECKS!$B$2:$B$1201,$A105))</f>
        <v/>
      </c>
      <c r="N105" s="19" t="str">
        <f aca="false">IF(OR($A105="",INDEX(_LEITURA!$Q$2:$Q$21,4)=0),"",SUMIFS(DECKS!$D$2:$D$1201,DECKS!$A$2:$A$1201,INDEX(_LEITURA!$P$2:$P$21,4),DECKS!$B$2:$B$1201,$A105))</f>
        <v/>
      </c>
      <c r="O105" s="19" t="str">
        <f aca="false">IF(OR($A105="",INDEX(_LEITURA!$Q$2:$Q$21,5)=0),"",SUMIFS(DECKS!$D$2:$D$1201,DECKS!$A$2:$A$1201,INDEX(_LEITURA!$P$2:$P$21,5),DECKS!$B$2:$B$1201,$A105))</f>
        <v/>
      </c>
      <c r="P105" s="19" t="str">
        <f aca="false">IF(OR($A105="",INDEX(_LEITURA!$Q$2:$Q$21,6)=0),"",SUMIFS(DECKS!$D$2:$D$1201,DECKS!$A$2:$A$1201,INDEX(_LEITURA!$P$2:$P$21,6),DECKS!$B$2:$B$1201,$A105))</f>
        <v/>
      </c>
      <c r="Q105" s="19" t="str">
        <f aca="false">IF(OR($A105="",INDEX(_LEITURA!$Q$2:$Q$21,7)=0),"",SUMIFS(DECKS!$D$2:$D$1201,DECKS!$A$2:$A$1201,INDEX(_LEITURA!$P$2:$P$21,7),DECKS!$B$2:$B$1201,$A105))</f>
        <v/>
      </c>
      <c r="R105" s="19" t="str">
        <f aca="false">IF(OR($A105="",INDEX(_LEITURA!$Q$2:$Q$21,8)=0),"",SUMIFS(DECKS!$D$2:$D$1201,DECKS!$A$2:$A$1201,INDEX(_LEITURA!$P$2:$P$21,8),DECKS!$B$2:$B$1201,$A105))</f>
        <v/>
      </c>
      <c r="S105" s="19" t="str">
        <f aca="false">IF(OR($A105="",INDEX(_LEITURA!$Q$2:$Q$21,9)=0),"",SUMIFS(DECKS!$D$2:$D$1201,DECKS!$A$2:$A$1201,INDEX(_LEITURA!$P$2:$P$21,9),DECKS!$B$2:$B$1201,$A105))</f>
        <v/>
      </c>
      <c r="T105" s="19" t="str">
        <f aca="false">IF(OR($A105="",INDEX(_LEITURA!$Q$2:$Q$21,10)=0),"",SUMIFS(DECKS!$D$2:$D$1201,DECKS!$A$2:$A$1201,INDEX(_LEITURA!$P$2:$P$21,10),DECKS!$B$2:$B$1201,$A105))</f>
        <v/>
      </c>
      <c r="U105" s="19" t="str">
        <f aca="false">IF(OR($A105="",INDEX(_LEITURA!$Q$2:$Q$21,11)=0),"",SUMIFS(DECKS!$D$2:$D$1201,DECKS!$A$2:$A$1201,INDEX(_LEITURA!$P$2:$P$21,11),DECKS!$B$2:$B$1201,$A105))</f>
        <v/>
      </c>
      <c r="V105" s="19" t="str">
        <f aca="false">IF(OR($A105="",INDEX(_LEITURA!$Q$2:$Q$21,12)=0),"",SUMIFS(DECKS!$D$2:$D$1201,DECKS!$A$2:$A$1201,INDEX(_LEITURA!$P$2:$P$21,12),DECKS!$B$2:$B$1201,$A105))</f>
        <v/>
      </c>
      <c r="W105" s="19" t="str">
        <f aca="false">IF(OR($A105="",INDEX(_LEITURA!$Q$2:$Q$21,13)=0),"",SUMIFS(DECKS!$D$2:$D$1201,DECKS!$A$2:$A$1201,INDEX(_LEITURA!$P$2:$P$21,13),DECKS!$B$2:$B$1201,$A105))</f>
        <v/>
      </c>
      <c r="X105" s="19" t="str">
        <f aca="false">IF(OR($A105="",INDEX(_LEITURA!$Q$2:$Q$21,14)=0),"",SUMIFS(DECKS!$D$2:$D$1201,DECKS!$A$2:$A$1201,INDEX(_LEITURA!$P$2:$P$21,14),DECKS!$B$2:$B$1201,$A105))</f>
        <v/>
      </c>
      <c r="Y105" s="19" t="str">
        <f aca="false">IF(OR($A105="",INDEX(_LEITURA!$Q$2:$Q$21,15)=0),"",SUMIFS(DECKS!$D$2:$D$1201,DECKS!$A$2:$A$1201,INDEX(_LEITURA!$P$2:$P$21,15),DECKS!$B$2:$B$1201,$A105))</f>
        <v/>
      </c>
      <c r="Z105" s="19" t="str">
        <f aca="false">IF(OR($A105="",INDEX(_LEITURA!$Q$2:$Q$21,16)=0),"",SUMIFS(DECKS!$D$2:$D$1201,DECKS!$A$2:$A$1201,INDEX(_LEITURA!$P$2:$P$21,16),DECKS!$B$2:$B$1201,$A105))</f>
        <v/>
      </c>
      <c r="AA105" s="19" t="str">
        <f aca="false">IF(OR($A105="",INDEX(_LEITURA!$Q$2:$Q$21,17)=0),"",SUMIFS(DECKS!$D$2:$D$1201,DECKS!$A$2:$A$1201,INDEX(_LEITURA!$P$2:$P$21,17),DECKS!$B$2:$B$1201,$A105))</f>
        <v/>
      </c>
      <c r="AB105" s="19" t="str">
        <f aca="false">IF(OR($A105="",INDEX(_LEITURA!$Q$2:$Q$21,18)=0),"",SUMIFS(DECKS!$D$2:$D$1201,DECKS!$A$2:$A$1201,INDEX(_LEITURA!$P$2:$P$21,18),DECKS!$B$2:$B$1201,$A105))</f>
        <v/>
      </c>
      <c r="AC105" s="19" t="str">
        <f aca="false">IF(OR($A105="",INDEX(_LEITURA!$Q$2:$Q$21,19)=0),"",SUMIFS(DECKS!$D$2:$D$1201,DECKS!$A$2:$A$1201,INDEX(_LEITURA!$P$2:$P$21,19),DECKS!$B$2:$B$1201,$A105))</f>
        <v/>
      </c>
      <c r="AD105" s="19" t="str">
        <f aca="false">IF(OR($A105="",INDEX(_LEITURA!$Q$2:$Q$21,20)=0),"",SUMIFS(DECKS!$D$2:$D$1201,DECKS!$A$2:$A$1201,INDEX(_LEITURA!$P$2:$P$21,20),DECKS!$B$2:$B$1201,$A105))</f>
        <v/>
      </c>
      <c r="AE105" s="16" t="str">
        <f aca="false">IF(N(E105)&gt;0,MAX(AE$1:AE104)+1,"")</f>
        <v/>
      </c>
      <c r="AF105" s="11" t="str">
        <f aca="false">IF(A105="","",IFERROR(LEFT(A105,FIND("-",A105)-1),A105))</f>
        <v/>
      </c>
      <c r="AG105" s="11" t="str">
        <f aca="false">IF(AF105="","",IF(ISNUMBER(--MID(AF105,1,1)),0,IF(ISNUMBER(--MID(AF105,2,1)),1,IF(ISNUMBER(--MID(AF105,3,1)),2,IF(ISNUMBER(--MID(AF105,4,1)),3,MIN(LEN(AF105),4))))))</f>
        <v/>
      </c>
      <c r="AH105" s="11" t="str">
        <f aca="false">IF(A105="","",LEFT(AF105,AG105)&amp;REPT("0",4-AG105)&amp;RIGHT("000"&amp;IFERROR(VALUE(MID(AF105,AG105+1,9)),0),3)&amp;RIGHT("0000"&amp;IFERROR(VALUE(MID(A105,FIND("-",A105)+1,9)),0),4))</f>
        <v/>
      </c>
      <c r="AI105" s="11" t="str">
        <f aca="false">IF(OR(A105="",N(E105)&lt;=0),"",IF('FALTAS GERAL'!$M$1="Código","K"&amp;AH105&amp;RIGHT("00000"&amp;ROW(),5),IF('FALTAS GERAL'!$M$1="Nome","K"&amp;UPPER(SUBSTITUTE(SUBSTITUTE(SUBSTITUTE(B105,"*",""),"?",""),"~",""))&amp;"0"&amp;AH105&amp;RIGHT("00000"&amp;ROW(),5),IF('FALTAS GERAL'!$M$1="Falta (maior primeiro)","K"&amp;RIGHT("0000"&amp;(9999-E105),4)&amp;AH105&amp;RIGHT("00000"&amp;ROW(),5),IF('FALTAS GERAL'!$M$1="Nº de decks (maior primeiro)","K"&amp;RIGHT("00"&amp;(99-N(G105)),2)&amp;AH105&amp;RIGHT("00000"&amp;ROW(),5),"K"&amp;RIGHT("00000"&amp;ROW(),5))))))</f>
        <v/>
      </c>
      <c r="AJ105" s="11" t="str">
        <f aca="false">IF(AI105="","",COUNTIFS($AI$2:$AI$801,"&lt;"&amp;AI105,$E$2:$E$801,"&gt;0")+1)</f>
        <v/>
      </c>
      <c r="AK105" s="11" t="str">
        <f aca="false">IF(OR(A105="",N(E105)&lt;=0),"",COUNTIFS($AH$2:$AH$801,"&lt;"&amp;AH105,$E$2:$E$801,"&gt;0")+COUNTIFS($AH$2:AH105,AH105,$E$2:E105,"&gt;0"))</f>
        <v/>
      </c>
    </row>
    <row r="106" customFormat="false" ht="15" hidden="false" customHeight="false" outlineLevel="0" collapsed="false">
      <c r="A106" s="11" t="str">
        <f aca="false">IF(INVENTÁRIO!A106="","",INVENTÁRIO!A106)</f>
        <v/>
      </c>
      <c r="B106" s="11" t="str">
        <f aca="false">IF(A106="","",INVENTÁRIO!B106)</f>
        <v/>
      </c>
      <c r="C106" s="16" t="str">
        <f aca="false">IF(A106="","",INVENTÁRIO!C106)</f>
        <v/>
      </c>
      <c r="D106" s="14" t="str">
        <f aca="false">IF(A106="","",MAX(K106:AD106))</f>
        <v/>
      </c>
      <c r="E106" s="14" t="str">
        <f aca="false">IF(A106="","",MAX(0,D106-C106))</f>
        <v/>
      </c>
      <c r="F106" s="16" t="str">
        <f aca="false">IF(A106="","",IF(D106=0,"Fora dos decks",IF(E106=0,"Completo","Falta")))</f>
        <v/>
      </c>
      <c r="G106" s="16" t="str">
        <f aca="false">IF(A106="","",COUNTIF(K106:AD106,"&gt;0"))</f>
        <v/>
      </c>
      <c r="H106" s="16" t="str">
        <f aca="false">IF(A106="","",IF(G106&gt;1,"Sim",""))</f>
        <v/>
      </c>
      <c r="I106" s="18" t="str">
        <f aca="false">IF(A106="","",SUMIFS(DECKS!$D$2:$D$1201,DECKS!$B$2:$B$1201,A106))</f>
        <v/>
      </c>
      <c r="J106" s="18" t="str">
        <f aca="false">IF(A106="","",MAX(0,I106-C106))</f>
        <v/>
      </c>
      <c r="K106" s="19" t="str">
        <f aca="false">IF(OR($A106="",INDEX(_LEITURA!$Q$2:$Q$21,1)=0),"",SUMIFS(DECKS!$D$2:$D$1201,DECKS!$A$2:$A$1201,INDEX(_LEITURA!$P$2:$P$21,1),DECKS!$B$2:$B$1201,$A106))</f>
        <v/>
      </c>
      <c r="L106" s="19" t="str">
        <f aca="false">IF(OR($A106="",INDEX(_LEITURA!$Q$2:$Q$21,2)=0),"",SUMIFS(DECKS!$D$2:$D$1201,DECKS!$A$2:$A$1201,INDEX(_LEITURA!$P$2:$P$21,2),DECKS!$B$2:$B$1201,$A106))</f>
        <v/>
      </c>
      <c r="M106" s="19" t="str">
        <f aca="false">IF(OR($A106="",INDEX(_LEITURA!$Q$2:$Q$21,3)=0),"",SUMIFS(DECKS!$D$2:$D$1201,DECKS!$A$2:$A$1201,INDEX(_LEITURA!$P$2:$P$21,3),DECKS!$B$2:$B$1201,$A106))</f>
        <v/>
      </c>
      <c r="N106" s="19" t="str">
        <f aca="false">IF(OR($A106="",INDEX(_LEITURA!$Q$2:$Q$21,4)=0),"",SUMIFS(DECKS!$D$2:$D$1201,DECKS!$A$2:$A$1201,INDEX(_LEITURA!$P$2:$P$21,4),DECKS!$B$2:$B$1201,$A106))</f>
        <v/>
      </c>
      <c r="O106" s="19" t="str">
        <f aca="false">IF(OR($A106="",INDEX(_LEITURA!$Q$2:$Q$21,5)=0),"",SUMIFS(DECKS!$D$2:$D$1201,DECKS!$A$2:$A$1201,INDEX(_LEITURA!$P$2:$P$21,5),DECKS!$B$2:$B$1201,$A106))</f>
        <v/>
      </c>
      <c r="P106" s="19" t="str">
        <f aca="false">IF(OR($A106="",INDEX(_LEITURA!$Q$2:$Q$21,6)=0),"",SUMIFS(DECKS!$D$2:$D$1201,DECKS!$A$2:$A$1201,INDEX(_LEITURA!$P$2:$P$21,6),DECKS!$B$2:$B$1201,$A106))</f>
        <v/>
      </c>
      <c r="Q106" s="19" t="str">
        <f aca="false">IF(OR($A106="",INDEX(_LEITURA!$Q$2:$Q$21,7)=0),"",SUMIFS(DECKS!$D$2:$D$1201,DECKS!$A$2:$A$1201,INDEX(_LEITURA!$P$2:$P$21,7),DECKS!$B$2:$B$1201,$A106))</f>
        <v/>
      </c>
      <c r="R106" s="19" t="str">
        <f aca="false">IF(OR($A106="",INDEX(_LEITURA!$Q$2:$Q$21,8)=0),"",SUMIFS(DECKS!$D$2:$D$1201,DECKS!$A$2:$A$1201,INDEX(_LEITURA!$P$2:$P$21,8),DECKS!$B$2:$B$1201,$A106))</f>
        <v/>
      </c>
      <c r="S106" s="19" t="str">
        <f aca="false">IF(OR($A106="",INDEX(_LEITURA!$Q$2:$Q$21,9)=0),"",SUMIFS(DECKS!$D$2:$D$1201,DECKS!$A$2:$A$1201,INDEX(_LEITURA!$P$2:$P$21,9),DECKS!$B$2:$B$1201,$A106))</f>
        <v/>
      </c>
      <c r="T106" s="19" t="str">
        <f aca="false">IF(OR($A106="",INDEX(_LEITURA!$Q$2:$Q$21,10)=0),"",SUMIFS(DECKS!$D$2:$D$1201,DECKS!$A$2:$A$1201,INDEX(_LEITURA!$P$2:$P$21,10),DECKS!$B$2:$B$1201,$A106))</f>
        <v/>
      </c>
      <c r="U106" s="19" t="str">
        <f aca="false">IF(OR($A106="",INDEX(_LEITURA!$Q$2:$Q$21,11)=0),"",SUMIFS(DECKS!$D$2:$D$1201,DECKS!$A$2:$A$1201,INDEX(_LEITURA!$P$2:$P$21,11),DECKS!$B$2:$B$1201,$A106))</f>
        <v/>
      </c>
      <c r="V106" s="19" t="str">
        <f aca="false">IF(OR($A106="",INDEX(_LEITURA!$Q$2:$Q$21,12)=0),"",SUMIFS(DECKS!$D$2:$D$1201,DECKS!$A$2:$A$1201,INDEX(_LEITURA!$P$2:$P$21,12),DECKS!$B$2:$B$1201,$A106))</f>
        <v/>
      </c>
      <c r="W106" s="19" t="str">
        <f aca="false">IF(OR($A106="",INDEX(_LEITURA!$Q$2:$Q$21,13)=0),"",SUMIFS(DECKS!$D$2:$D$1201,DECKS!$A$2:$A$1201,INDEX(_LEITURA!$P$2:$P$21,13),DECKS!$B$2:$B$1201,$A106))</f>
        <v/>
      </c>
      <c r="X106" s="19" t="str">
        <f aca="false">IF(OR($A106="",INDEX(_LEITURA!$Q$2:$Q$21,14)=0),"",SUMIFS(DECKS!$D$2:$D$1201,DECKS!$A$2:$A$1201,INDEX(_LEITURA!$P$2:$P$21,14),DECKS!$B$2:$B$1201,$A106))</f>
        <v/>
      </c>
      <c r="Y106" s="19" t="str">
        <f aca="false">IF(OR($A106="",INDEX(_LEITURA!$Q$2:$Q$21,15)=0),"",SUMIFS(DECKS!$D$2:$D$1201,DECKS!$A$2:$A$1201,INDEX(_LEITURA!$P$2:$P$21,15),DECKS!$B$2:$B$1201,$A106))</f>
        <v/>
      </c>
      <c r="Z106" s="19" t="str">
        <f aca="false">IF(OR($A106="",INDEX(_LEITURA!$Q$2:$Q$21,16)=0),"",SUMIFS(DECKS!$D$2:$D$1201,DECKS!$A$2:$A$1201,INDEX(_LEITURA!$P$2:$P$21,16),DECKS!$B$2:$B$1201,$A106))</f>
        <v/>
      </c>
      <c r="AA106" s="19" t="str">
        <f aca="false">IF(OR($A106="",INDEX(_LEITURA!$Q$2:$Q$21,17)=0),"",SUMIFS(DECKS!$D$2:$D$1201,DECKS!$A$2:$A$1201,INDEX(_LEITURA!$P$2:$P$21,17),DECKS!$B$2:$B$1201,$A106))</f>
        <v/>
      </c>
      <c r="AB106" s="19" t="str">
        <f aca="false">IF(OR($A106="",INDEX(_LEITURA!$Q$2:$Q$21,18)=0),"",SUMIFS(DECKS!$D$2:$D$1201,DECKS!$A$2:$A$1201,INDEX(_LEITURA!$P$2:$P$21,18),DECKS!$B$2:$B$1201,$A106))</f>
        <v/>
      </c>
      <c r="AC106" s="19" t="str">
        <f aca="false">IF(OR($A106="",INDEX(_LEITURA!$Q$2:$Q$21,19)=0),"",SUMIFS(DECKS!$D$2:$D$1201,DECKS!$A$2:$A$1201,INDEX(_LEITURA!$P$2:$P$21,19),DECKS!$B$2:$B$1201,$A106))</f>
        <v/>
      </c>
      <c r="AD106" s="19" t="str">
        <f aca="false">IF(OR($A106="",INDEX(_LEITURA!$Q$2:$Q$21,20)=0),"",SUMIFS(DECKS!$D$2:$D$1201,DECKS!$A$2:$A$1201,INDEX(_LEITURA!$P$2:$P$21,20),DECKS!$B$2:$B$1201,$A106))</f>
        <v/>
      </c>
      <c r="AE106" s="16" t="str">
        <f aca="false">IF(N(E106)&gt;0,MAX(AE$1:AE105)+1,"")</f>
        <v/>
      </c>
      <c r="AF106" s="11" t="str">
        <f aca="false">IF(A106="","",IFERROR(LEFT(A106,FIND("-",A106)-1),A106))</f>
        <v/>
      </c>
      <c r="AG106" s="11" t="str">
        <f aca="false">IF(AF106="","",IF(ISNUMBER(--MID(AF106,1,1)),0,IF(ISNUMBER(--MID(AF106,2,1)),1,IF(ISNUMBER(--MID(AF106,3,1)),2,IF(ISNUMBER(--MID(AF106,4,1)),3,MIN(LEN(AF106),4))))))</f>
        <v/>
      </c>
      <c r="AH106" s="11" t="str">
        <f aca="false">IF(A106="","",LEFT(AF106,AG106)&amp;REPT("0",4-AG106)&amp;RIGHT("000"&amp;IFERROR(VALUE(MID(AF106,AG106+1,9)),0),3)&amp;RIGHT("0000"&amp;IFERROR(VALUE(MID(A106,FIND("-",A106)+1,9)),0),4))</f>
        <v/>
      </c>
      <c r="AI106" s="11" t="str">
        <f aca="false">IF(OR(A106="",N(E106)&lt;=0),"",IF('FALTAS GERAL'!$M$1="Código","K"&amp;AH106&amp;RIGHT("00000"&amp;ROW(),5),IF('FALTAS GERAL'!$M$1="Nome","K"&amp;UPPER(SUBSTITUTE(SUBSTITUTE(SUBSTITUTE(B106,"*",""),"?",""),"~",""))&amp;"0"&amp;AH106&amp;RIGHT("00000"&amp;ROW(),5),IF('FALTAS GERAL'!$M$1="Falta (maior primeiro)","K"&amp;RIGHT("0000"&amp;(9999-E106),4)&amp;AH106&amp;RIGHT("00000"&amp;ROW(),5),IF('FALTAS GERAL'!$M$1="Nº de decks (maior primeiro)","K"&amp;RIGHT("00"&amp;(99-N(G106)),2)&amp;AH106&amp;RIGHT("00000"&amp;ROW(),5),"K"&amp;RIGHT("00000"&amp;ROW(),5))))))</f>
        <v/>
      </c>
      <c r="AJ106" s="11" t="str">
        <f aca="false">IF(AI106="","",COUNTIFS($AI$2:$AI$801,"&lt;"&amp;AI106,$E$2:$E$801,"&gt;0")+1)</f>
        <v/>
      </c>
      <c r="AK106" s="11" t="str">
        <f aca="false">IF(OR(A106="",N(E106)&lt;=0),"",COUNTIFS($AH$2:$AH$801,"&lt;"&amp;AH106,$E$2:$E$801,"&gt;0")+COUNTIFS($AH$2:AH106,AH106,$E$2:E106,"&gt;0"))</f>
        <v/>
      </c>
    </row>
    <row r="107" customFormat="false" ht="15" hidden="false" customHeight="false" outlineLevel="0" collapsed="false">
      <c r="A107" s="11" t="str">
        <f aca="false">IF(INVENTÁRIO!A107="","",INVENTÁRIO!A107)</f>
        <v/>
      </c>
      <c r="B107" s="11" t="str">
        <f aca="false">IF(A107="","",INVENTÁRIO!B107)</f>
        <v/>
      </c>
      <c r="C107" s="16" t="str">
        <f aca="false">IF(A107="","",INVENTÁRIO!C107)</f>
        <v/>
      </c>
      <c r="D107" s="14" t="str">
        <f aca="false">IF(A107="","",MAX(K107:AD107))</f>
        <v/>
      </c>
      <c r="E107" s="14" t="str">
        <f aca="false">IF(A107="","",MAX(0,D107-C107))</f>
        <v/>
      </c>
      <c r="F107" s="16" t="str">
        <f aca="false">IF(A107="","",IF(D107=0,"Fora dos decks",IF(E107=0,"Completo","Falta")))</f>
        <v/>
      </c>
      <c r="G107" s="16" t="str">
        <f aca="false">IF(A107="","",COUNTIF(K107:AD107,"&gt;0"))</f>
        <v/>
      </c>
      <c r="H107" s="16" t="str">
        <f aca="false">IF(A107="","",IF(G107&gt;1,"Sim",""))</f>
        <v/>
      </c>
      <c r="I107" s="18" t="str">
        <f aca="false">IF(A107="","",SUMIFS(DECKS!$D$2:$D$1201,DECKS!$B$2:$B$1201,A107))</f>
        <v/>
      </c>
      <c r="J107" s="18" t="str">
        <f aca="false">IF(A107="","",MAX(0,I107-C107))</f>
        <v/>
      </c>
      <c r="K107" s="19" t="str">
        <f aca="false">IF(OR($A107="",INDEX(_LEITURA!$Q$2:$Q$21,1)=0),"",SUMIFS(DECKS!$D$2:$D$1201,DECKS!$A$2:$A$1201,INDEX(_LEITURA!$P$2:$P$21,1),DECKS!$B$2:$B$1201,$A107))</f>
        <v/>
      </c>
      <c r="L107" s="19" t="str">
        <f aca="false">IF(OR($A107="",INDEX(_LEITURA!$Q$2:$Q$21,2)=0),"",SUMIFS(DECKS!$D$2:$D$1201,DECKS!$A$2:$A$1201,INDEX(_LEITURA!$P$2:$P$21,2),DECKS!$B$2:$B$1201,$A107))</f>
        <v/>
      </c>
      <c r="M107" s="19" t="str">
        <f aca="false">IF(OR($A107="",INDEX(_LEITURA!$Q$2:$Q$21,3)=0),"",SUMIFS(DECKS!$D$2:$D$1201,DECKS!$A$2:$A$1201,INDEX(_LEITURA!$P$2:$P$21,3),DECKS!$B$2:$B$1201,$A107))</f>
        <v/>
      </c>
      <c r="N107" s="19" t="str">
        <f aca="false">IF(OR($A107="",INDEX(_LEITURA!$Q$2:$Q$21,4)=0),"",SUMIFS(DECKS!$D$2:$D$1201,DECKS!$A$2:$A$1201,INDEX(_LEITURA!$P$2:$P$21,4),DECKS!$B$2:$B$1201,$A107))</f>
        <v/>
      </c>
      <c r="O107" s="19" t="str">
        <f aca="false">IF(OR($A107="",INDEX(_LEITURA!$Q$2:$Q$21,5)=0),"",SUMIFS(DECKS!$D$2:$D$1201,DECKS!$A$2:$A$1201,INDEX(_LEITURA!$P$2:$P$21,5),DECKS!$B$2:$B$1201,$A107))</f>
        <v/>
      </c>
      <c r="P107" s="19" t="str">
        <f aca="false">IF(OR($A107="",INDEX(_LEITURA!$Q$2:$Q$21,6)=0),"",SUMIFS(DECKS!$D$2:$D$1201,DECKS!$A$2:$A$1201,INDEX(_LEITURA!$P$2:$P$21,6),DECKS!$B$2:$B$1201,$A107))</f>
        <v/>
      </c>
      <c r="Q107" s="19" t="str">
        <f aca="false">IF(OR($A107="",INDEX(_LEITURA!$Q$2:$Q$21,7)=0),"",SUMIFS(DECKS!$D$2:$D$1201,DECKS!$A$2:$A$1201,INDEX(_LEITURA!$P$2:$P$21,7),DECKS!$B$2:$B$1201,$A107))</f>
        <v/>
      </c>
      <c r="R107" s="19" t="str">
        <f aca="false">IF(OR($A107="",INDEX(_LEITURA!$Q$2:$Q$21,8)=0),"",SUMIFS(DECKS!$D$2:$D$1201,DECKS!$A$2:$A$1201,INDEX(_LEITURA!$P$2:$P$21,8),DECKS!$B$2:$B$1201,$A107))</f>
        <v/>
      </c>
      <c r="S107" s="19" t="str">
        <f aca="false">IF(OR($A107="",INDEX(_LEITURA!$Q$2:$Q$21,9)=0),"",SUMIFS(DECKS!$D$2:$D$1201,DECKS!$A$2:$A$1201,INDEX(_LEITURA!$P$2:$P$21,9),DECKS!$B$2:$B$1201,$A107))</f>
        <v/>
      </c>
      <c r="T107" s="19" t="str">
        <f aca="false">IF(OR($A107="",INDEX(_LEITURA!$Q$2:$Q$21,10)=0),"",SUMIFS(DECKS!$D$2:$D$1201,DECKS!$A$2:$A$1201,INDEX(_LEITURA!$P$2:$P$21,10),DECKS!$B$2:$B$1201,$A107))</f>
        <v/>
      </c>
      <c r="U107" s="19" t="str">
        <f aca="false">IF(OR($A107="",INDEX(_LEITURA!$Q$2:$Q$21,11)=0),"",SUMIFS(DECKS!$D$2:$D$1201,DECKS!$A$2:$A$1201,INDEX(_LEITURA!$P$2:$P$21,11),DECKS!$B$2:$B$1201,$A107))</f>
        <v/>
      </c>
      <c r="V107" s="19" t="str">
        <f aca="false">IF(OR($A107="",INDEX(_LEITURA!$Q$2:$Q$21,12)=0),"",SUMIFS(DECKS!$D$2:$D$1201,DECKS!$A$2:$A$1201,INDEX(_LEITURA!$P$2:$P$21,12),DECKS!$B$2:$B$1201,$A107))</f>
        <v/>
      </c>
      <c r="W107" s="19" t="str">
        <f aca="false">IF(OR($A107="",INDEX(_LEITURA!$Q$2:$Q$21,13)=0),"",SUMIFS(DECKS!$D$2:$D$1201,DECKS!$A$2:$A$1201,INDEX(_LEITURA!$P$2:$P$21,13),DECKS!$B$2:$B$1201,$A107))</f>
        <v/>
      </c>
      <c r="X107" s="19" t="str">
        <f aca="false">IF(OR($A107="",INDEX(_LEITURA!$Q$2:$Q$21,14)=0),"",SUMIFS(DECKS!$D$2:$D$1201,DECKS!$A$2:$A$1201,INDEX(_LEITURA!$P$2:$P$21,14),DECKS!$B$2:$B$1201,$A107))</f>
        <v/>
      </c>
      <c r="Y107" s="19" t="str">
        <f aca="false">IF(OR($A107="",INDEX(_LEITURA!$Q$2:$Q$21,15)=0),"",SUMIFS(DECKS!$D$2:$D$1201,DECKS!$A$2:$A$1201,INDEX(_LEITURA!$P$2:$P$21,15),DECKS!$B$2:$B$1201,$A107))</f>
        <v/>
      </c>
      <c r="Z107" s="19" t="str">
        <f aca="false">IF(OR($A107="",INDEX(_LEITURA!$Q$2:$Q$21,16)=0),"",SUMIFS(DECKS!$D$2:$D$1201,DECKS!$A$2:$A$1201,INDEX(_LEITURA!$P$2:$P$21,16),DECKS!$B$2:$B$1201,$A107))</f>
        <v/>
      </c>
      <c r="AA107" s="19" t="str">
        <f aca="false">IF(OR($A107="",INDEX(_LEITURA!$Q$2:$Q$21,17)=0),"",SUMIFS(DECKS!$D$2:$D$1201,DECKS!$A$2:$A$1201,INDEX(_LEITURA!$P$2:$P$21,17),DECKS!$B$2:$B$1201,$A107))</f>
        <v/>
      </c>
      <c r="AB107" s="19" t="str">
        <f aca="false">IF(OR($A107="",INDEX(_LEITURA!$Q$2:$Q$21,18)=0),"",SUMIFS(DECKS!$D$2:$D$1201,DECKS!$A$2:$A$1201,INDEX(_LEITURA!$P$2:$P$21,18),DECKS!$B$2:$B$1201,$A107))</f>
        <v/>
      </c>
      <c r="AC107" s="19" t="str">
        <f aca="false">IF(OR($A107="",INDEX(_LEITURA!$Q$2:$Q$21,19)=0),"",SUMIFS(DECKS!$D$2:$D$1201,DECKS!$A$2:$A$1201,INDEX(_LEITURA!$P$2:$P$21,19),DECKS!$B$2:$B$1201,$A107))</f>
        <v/>
      </c>
      <c r="AD107" s="19" t="str">
        <f aca="false">IF(OR($A107="",INDEX(_LEITURA!$Q$2:$Q$21,20)=0),"",SUMIFS(DECKS!$D$2:$D$1201,DECKS!$A$2:$A$1201,INDEX(_LEITURA!$P$2:$P$21,20),DECKS!$B$2:$B$1201,$A107))</f>
        <v/>
      </c>
      <c r="AE107" s="16" t="str">
        <f aca="false">IF(N(E107)&gt;0,MAX(AE$1:AE106)+1,"")</f>
        <v/>
      </c>
      <c r="AF107" s="11" t="str">
        <f aca="false">IF(A107="","",IFERROR(LEFT(A107,FIND("-",A107)-1),A107))</f>
        <v/>
      </c>
      <c r="AG107" s="11" t="str">
        <f aca="false">IF(AF107="","",IF(ISNUMBER(--MID(AF107,1,1)),0,IF(ISNUMBER(--MID(AF107,2,1)),1,IF(ISNUMBER(--MID(AF107,3,1)),2,IF(ISNUMBER(--MID(AF107,4,1)),3,MIN(LEN(AF107),4))))))</f>
        <v/>
      </c>
      <c r="AH107" s="11" t="str">
        <f aca="false">IF(A107="","",LEFT(AF107,AG107)&amp;REPT("0",4-AG107)&amp;RIGHT("000"&amp;IFERROR(VALUE(MID(AF107,AG107+1,9)),0),3)&amp;RIGHT("0000"&amp;IFERROR(VALUE(MID(A107,FIND("-",A107)+1,9)),0),4))</f>
        <v/>
      </c>
      <c r="AI107" s="11" t="str">
        <f aca="false">IF(OR(A107="",N(E107)&lt;=0),"",IF('FALTAS GERAL'!$M$1="Código","K"&amp;AH107&amp;RIGHT("00000"&amp;ROW(),5),IF('FALTAS GERAL'!$M$1="Nome","K"&amp;UPPER(SUBSTITUTE(SUBSTITUTE(SUBSTITUTE(B107,"*",""),"?",""),"~",""))&amp;"0"&amp;AH107&amp;RIGHT("00000"&amp;ROW(),5),IF('FALTAS GERAL'!$M$1="Falta (maior primeiro)","K"&amp;RIGHT("0000"&amp;(9999-E107),4)&amp;AH107&amp;RIGHT("00000"&amp;ROW(),5),IF('FALTAS GERAL'!$M$1="Nº de decks (maior primeiro)","K"&amp;RIGHT("00"&amp;(99-N(G107)),2)&amp;AH107&amp;RIGHT("00000"&amp;ROW(),5),"K"&amp;RIGHT("00000"&amp;ROW(),5))))))</f>
        <v/>
      </c>
      <c r="AJ107" s="11" t="str">
        <f aca="false">IF(AI107="","",COUNTIFS($AI$2:$AI$801,"&lt;"&amp;AI107,$E$2:$E$801,"&gt;0")+1)</f>
        <v/>
      </c>
      <c r="AK107" s="11" t="str">
        <f aca="false">IF(OR(A107="",N(E107)&lt;=0),"",COUNTIFS($AH$2:$AH$801,"&lt;"&amp;AH107,$E$2:$E$801,"&gt;0")+COUNTIFS($AH$2:AH107,AH107,$E$2:E107,"&gt;0"))</f>
        <v/>
      </c>
    </row>
    <row r="108" customFormat="false" ht="15" hidden="false" customHeight="false" outlineLevel="0" collapsed="false">
      <c r="A108" s="11" t="str">
        <f aca="false">IF(INVENTÁRIO!A108="","",INVENTÁRIO!A108)</f>
        <v/>
      </c>
      <c r="B108" s="11" t="str">
        <f aca="false">IF(A108="","",INVENTÁRIO!B108)</f>
        <v/>
      </c>
      <c r="C108" s="16" t="str">
        <f aca="false">IF(A108="","",INVENTÁRIO!C108)</f>
        <v/>
      </c>
      <c r="D108" s="14" t="str">
        <f aca="false">IF(A108="","",MAX(K108:AD108))</f>
        <v/>
      </c>
      <c r="E108" s="14" t="str">
        <f aca="false">IF(A108="","",MAX(0,D108-C108))</f>
        <v/>
      </c>
      <c r="F108" s="16" t="str">
        <f aca="false">IF(A108="","",IF(D108=0,"Fora dos decks",IF(E108=0,"Completo","Falta")))</f>
        <v/>
      </c>
      <c r="G108" s="16" t="str">
        <f aca="false">IF(A108="","",COUNTIF(K108:AD108,"&gt;0"))</f>
        <v/>
      </c>
      <c r="H108" s="16" t="str">
        <f aca="false">IF(A108="","",IF(G108&gt;1,"Sim",""))</f>
        <v/>
      </c>
      <c r="I108" s="18" t="str">
        <f aca="false">IF(A108="","",SUMIFS(DECKS!$D$2:$D$1201,DECKS!$B$2:$B$1201,A108))</f>
        <v/>
      </c>
      <c r="J108" s="18" t="str">
        <f aca="false">IF(A108="","",MAX(0,I108-C108))</f>
        <v/>
      </c>
      <c r="K108" s="19" t="str">
        <f aca="false">IF(OR($A108="",INDEX(_LEITURA!$Q$2:$Q$21,1)=0),"",SUMIFS(DECKS!$D$2:$D$1201,DECKS!$A$2:$A$1201,INDEX(_LEITURA!$P$2:$P$21,1),DECKS!$B$2:$B$1201,$A108))</f>
        <v/>
      </c>
      <c r="L108" s="19" t="str">
        <f aca="false">IF(OR($A108="",INDEX(_LEITURA!$Q$2:$Q$21,2)=0),"",SUMIFS(DECKS!$D$2:$D$1201,DECKS!$A$2:$A$1201,INDEX(_LEITURA!$P$2:$P$21,2),DECKS!$B$2:$B$1201,$A108))</f>
        <v/>
      </c>
      <c r="M108" s="19" t="str">
        <f aca="false">IF(OR($A108="",INDEX(_LEITURA!$Q$2:$Q$21,3)=0),"",SUMIFS(DECKS!$D$2:$D$1201,DECKS!$A$2:$A$1201,INDEX(_LEITURA!$P$2:$P$21,3),DECKS!$B$2:$B$1201,$A108))</f>
        <v/>
      </c>
      <c r="N108" s="19" t="str">
        <f aca="false">IF(OR($A108="",INDEX(_LEITURA!$Q$2:$Q$21,4)=0),"",SUMIFS(DECKS!$D$2:$D$1201,DECKS!$A$2:$A$1201,INDEX(_LEITURA!$P$2:$P$21,4),DECKS!$B$2:$B$1201,$A108))</f>
        <v/>
      </c>
      <c r="O108" s="19" t="str">
        <f aca="false">IF(OR($A108="",INDEX(_LEITURA!$Q$2:$Q$21,5)=0),"",SUMIFS(DECKS!$D$2:$D$1201,DECKS!$A$2:$A$1201,INDEX(_LEITURA!$P$2:$P$21,5),DECKS!$B$2:$B$1201,$A108))</f>
        <v/>
      </c>
      <c r="P108" s="19" t="str">
        <f aca="false">IF(OR($A108="",INDEX(_LEITURA!$Q$2:$Q$21,6)=0),"",SUMIFS(DECKS!$D$2:$D$1201,DECKS!$A$2:$A$1201,INDEX(_LEITURA!$P$2:$P$21,6),DECKS!$B$2:$B$1201,$A108))</f>
        <v/>
      </c>
      <c r="Q108" s="19" t="str">
        <f aca="false">IF(OR($A108="",INDEX(_LEITURA!$Q$2:$Q$21,7)=0),"",SUMIFS(DECKS!$D$2:$D$1201,DECKS!$A$2:$A$1201,INDEX(_LEITURA!$P$2:$P$21,7),DECKS!$B$2:$B$1201,$A108))</f>
        <v/>
      </c>
      <c r="R108" s="19" t="str">
        <f aca="false">IF(OR($A108="",INDEX(_LEITURA!$Q$2:$Q$21,8)=0),"",SUMIFS(DECKS!$D$2:$D$1201,DECKS!$A$2:$A$1201,INDEX(_LEITURA!$P$2:$P$21,8),DECKS!$B$2:$B$1201,$A108))</f>
        <v/>
      </c>
      <c r="S108" s="19" t="str">
        <f aca="false">IF(OR($A108="",INDEX(_LEITURA!$Q$2:$Q$21,9)=0),"",SUMIFS(DECKS!$D$2:$D$1201,DECKS!$A$2:$A$1201,INDEX(_LEITURA!$P$2:$P$21,9),DECKS!$B$2:$B$1201,$A108))</f>
        <v/>
      </c>
      <c r="T108" s="19" t="str">
        <f aca="false">IF(OR($A108="",INDEX(_LEITURA!$Q$2:$Q$21,10)=0),"",SUMIFS(DECKS!$D$2:$D$1201,DECKS!$A$2:$A$1201,INDEX(_LEITURA!$P$2:$P$21,10),DECKS!$B$2:$B$1201,$A108))</f>
        <v/>
      </c>
      <c r="U108" s="19" t="str">
        <f aca="false">IF(OR($A108="",INDEX(_LEITURA!$Q$2:$Q$21,11)=0),"",SUMIFS(DECKS!$D$2:$D$1201,DECKS!$A$2:$A$1201,INDEX(_LEITURA!$P$2:$P$21,11),DECKS!$B$2:$B$1201,$A108))</f>
        <v/>
      </c>
      <c r="V108" s="19" t="str">
        <f aca="false">IF(OR($A108="",INDEX(_LEITURA!$Q$2:$Q$21,12)=0),"",SUMIFS(DECKS!$D$2:$D$1201,DECKS!$A$2:$A$1201,INDEX(_LEITURA!$P$2:$P$21,12),DECKS!$B$2:$B$1201,$A108))</f>
        <v/>
      </c>
      <c r="W108" s="19" t="str">
        <f aca="false">IF(OR($A108="",INDEX(_LEITURA!$Q$2:$Q$21,13)=0),"",SUMIFS(DECKS!$D$2:$D$1201,DECKS!$A$2:$A$1201,INDEX(_LEITURA!$P$2:$P$21,13),DECKS!$B$2:$B$1201,$A108))</f>
        <v/>
      </c>
      <c r="X108" s="19" t="str">
        <f aca="false">IF(OR($A108="",INDEX(_LEITURA!$Q$2:$Q$21,14)=0),"",SUMIFS(DECKS!$D$2:$D$1201,DECKS!$A$2:$A$1201,INDEX(_LEITURA!$P$2:$P$21,14),DECKS!$B$2:$B$1201,$A108))</f>
        <v/>
      </c>
      <c r="Y108" s="19" t="str">
        <f aca="false">IF(OR($A108="",INDEX(_LEITURA!$Q$2:$Q$21,15)=0),"",SUMIFS(DECKS!$D$2:$D$1201,DECKS!$A$2:$A$1201,INDEX(_LEITURA!$P$2:$P$21,15),DECKS!$B$2:$B$1201,$A108))</f>
        <v/>
      </c>
      <c r="Z108" s="19" t="str">
        <f aca="false">IF(OR($A108="",INDEX(_LEITURA!$Q$2:$Q$21,16)=0),"",SUMIFS(DECKS!$D$2:$D$1201,DECKS!$A$2:$A$1201,INDEX(_LEITURA!$P$2:$P$21,16),DECKS!$B$2:$B$1201,$A108))</f>
        <v/>
      </c>
      <c r="AA108" s="19" t="str">
        <f aca="false">IF(OR($A108="",INDEX(_LEITURA!$Q$2:$Q$21,17)=0),"",SUMIFS(DECKS!$D$2:$D$1201,DECKS!$A$2:$A$1201,INDEX(_LEITURA!$P$2:$P$21,17),DECKS!$B$2:$B$1201,$A108))</f>
        <v/>
      </c>
      <c r="AB108" s="19" t="str">
        <f aca="false">IF(OR($A108="",INDEX(_LEITURA!$Q$2:$Q$21,18)=0),"",SUMIFS(DECKS!$D$2:$D$1201,DECKS!$A$2:$A$1201,INDEX(_LEITURA!$P$2:$P$21,18),DECKS!$B$2:$B$1201,$A108))</f>
        <v/>
      </c>
      <c r="AC108" s="19" t="str">
        <f aca="false">IF(OR($A108="",INDEX(_LEITURA!$Q$2:$Q$21,19)=0),"",SUMIFS(DECKS!$D$2:$D$1201,DECKS!$A$2:$A$1201,INDEX(_LEITURA!$P$2:$P$21,19),DECKS!$B$2:$B$1201,$A108))</f>
        <v/>
      </c>
      <c r="AD108" s="19" t="str">
        <f aca="false">IF(OR($A108="",INDEX(_LEITURA!$Q$2:$Q$21,20)=0),"",SUMIFS(DECKS!$D$2:$D$1201,DECKS!$A$2:$A$1201,INDEX(_LEITURA!$P$2:$P$21,20),DECKS!$B$2:$B$1201,$A108))</f>
        <v/>
      </c>
      <c r="AE108" s="16" t="str">
        <f aca="false">IF(N(E108)&gt;0,MAX(AE$1:AE107)+1,"")</f>
        <v/>
      </c>
      <c r="AF108" s="11" t="str">
        <f aca="false">IF(A108="","",IFERROR(LEFT(A108,FIND("-",A108)-1),A108))</f>
        <v/>
      </c>
      <c r="AG108" s="11" t="str">
        <f aca="false">IF(AF108="","",IF(ISNUMBER(--MID(AF108,1,1)),0,IF(ISNUMBER(--MID(AF108,2,1)),1,IF(ISNUMBER(--MID(AF108,3,1)),2,IF(ISNUMBER(--MID(AF108,4,1)),3,MIN(LEN(AF108),4))))))</f>
        <v/>
      </c>
      <c r="AH108" s="11" t="str">
        <f aca="false">IF(A108="","",LEFT(AF108,AG108)&amp;REPT("0",4-AG108)&amp;RIGHT("000"&amp;IFERROR(VALUE(MID(AF108,AG108+1,9)),0),3)&amp;RIGHT("0000"&amp;IFERROR(VALUE(MID(A108,FIND("-",A108)+1,9)),0),4))</f>
        <v/>
      </c>
      <c r="AI108" s="11" t="str">
        <f aca="false">IF(OR(A108="",N(E108)&lt;=0),"",IF('FALTAS GERAL'!$M$1="Código","K"&amp;AH108&amp;RIGHT("00000"&amp;ROW(),5),IF('FALTAS GERAL'!$M$1="Nome","K"&amp;UPPER(SUBSTITUTE(SUBSTITUTE(SUBSTITUTE(B108,"*",""),"?",""),"~",""))&amp;"0"&amp;AH108&amp;RIGHT("00000"&amp;ROW(),5),IF('FALTAS GERAL'!$M$1="Falta (maior primeiro)","K"&amp;RIGHT("0000"&amp;(9999-E108),4)&amp;AH108&amp;RIGHT("00000"&amp;ROW(),5),IF('FALTAS GERAL'!$M$1="Nº de decks (maior primeiro)","K"&amp;RIGHT("00"&amp;(99-N(G108)),2)&amp;AH108&amp;RIGHT("00000"&amp;ROW(),5),"K"&amp;RIGHT("00000"&amp;ROW(),5))))))</f>
        <v/>
      </c>
      <c r="AJ108" s="11" t="str">
        <f aca="false">IF(AI108="","",COUNTIFS($AI$2:$AI$801,"&lt;"&amp;AI108,$E$2:$E$801,"&gt;0")+1)</f>
        <v/>
      </c>
      <c r="AK108" s="11" t="str">
        <f aca="false">IF(OR(A108="",N(E108)&lt;=0),"",COUNTIFS($AH$2:$AH$801,"&lt;"&amp;AH108,$E$2:$E$801,"&gt;0")+COUNTIFS($AH$2:AH108,AH108,$E$2:E108,"&gt;0"))</f>
        <v/>
      </c>
    </row>
    <row r="109" customFormat="false" ht="15" hidden="false" customHeight="false" outlineLevel="0" collapsed="false">
      <c r="A109" s="11" t="str">
        <f aca="false">IF(INVENTÁRIO!A109="","",INVENTÁRIO!A109)</f>
        <v/>
      </c>
      <c r="B109" s="11" t="str">
        <f aca="false">IF(A109="","",INVENTÁRIO!B109)</f>
        <v/>
      </c>
      <c r="C109" s="16" t="str">
        <f aca="false">IF(A109="","",INVENTÁRIO!C109)</f>
        <v/>
      </c>
      <c r="D109" s="14" t="str">
        <f aca="false">IF(A109="","",MAX(K109:AD109))</f>
        <v/>
      </c>
      <c r="E109" s="14" t="str">
        <f aca="false">IF(A109="","",MAX(0,D109-C109))</f>
        <v/>
      </c>
      <c r="F109" s="16" t="str">
        <f aca="false">IF(A109="","",IF(D109=0,"Fora dos decks",IF(E109=0,"Completo","Falta")))</f>
        <v/>
      </c>
      <c r="G109" s="16" t="str">
        <f aca="false">IF(A109="","",COUNTIF(K109:AD109,"&gt;0"))</f>
        <v/>
      </c>
      <c r="H109" s="16" t="str">
        <f aca="false">IF(A109="","",IF(G109&gt;1,"Sim",""))</f>
        <v/>
      </c>
      <c r="I109" s="18" t="str">
        <f aca="false">IF(A109="","",SUMIFS(DECKS!$D$2:$D$1201,DECKS!$B$2:$B$1201,A109))</f>
        <v/>
      </c>
      <c r="J109" s="18" t="str">
        <f aca="false">IF(A109="","",MAX(0,I109-C109))</f>
        <v/>
      </c>
      <c r="K109" s="19" t="str">
        <f aca="false">IF(OR($A109="",INDEX(_LEITURA!$Q$2:$Q$21,1)=0),"",SUMIFS(DECKS!$D$2:$D$1201,DECKS!$A$2:$A$1201,INDEX(_LEITURA!$P$2:$P$21,1),DECKS!$B$2:$B$1201,$A109))</f>
        <v/>
      </c>
      <c r="L109" s="19" t="str">
        <f aca="false">IF(OR($A109="",INDEX(_LEITURA!$Q$2:$Q$21,2)=0),"",SUMIFS(DECKS!$D$2:$D$1201,DECKS!$A$2:$A$1201,INDEX(_LEITURA!$P$2:$P$21,2),DECKS!$B$2:$B$1201,$A109))</f>
        <v/>
      </c>
      <c r="M109" s="19" t="str">
        <f aca="false">IF(OR($A109="",INDEX(_LEITURA!$Q$2:$Q$21,3)=0),"",SUMIFS(DECKS!$D$2:$D$1201,DECKS!$A$2:$A$1201,INDEX(_LEITURA!$P$2:$P$21,3),DECKS!$B$2:$B$1201,$A109))</f>
        <v/>
      </c>
      <c r="N109" s="19" t="str">
        <f aca="false">IF(OR($A109="",INDEX(_LEITURA!$Q$2:$Q$21,4)=0),"",SUMIFS(DECKS!$D$2:$D$1201,DECKS!$A$2:$A$1201,INDEX(_LEITURA!$P$2:$P$21,4),DECKS!$B$2:$B$1201,$A109))</f>
        <v/>
      </c>
      <c r="O109" s="19" t="str">
        <f aca="false">IF(OR($A109="",INDEX(_LEITURA!$Q$2:$Q$21,5)=0),"",SUMIFS(DECKS!$D$2:$D$1201,DECKS!$A$2:$A$1201,INDEX(_LEITURA!$P$2:$P$21,5),DECKS!$B$2:$B$1201,$A109))</f>
        <v/>
      </c>
      <c r="P109" s="19" t="str">
        <f aca="false">IF(OR($A109="",INDEX(_LEITURA!$Q$2:$Q$21,6)=0),"",SUMIFS(DECKS!$D$2:$D$1201,DECKS!$A$2:$A$1201,INDEX(_LEITURA!$P$2:$P$21,6),DECKS!$B$2:$B$1201,$A109))</f>
        <v/>
      </c>
      <c r="Q109" s="19" t="str">
        <f aca="false">IF(OR($A109="",INDEX(_LEITURA!$Q$2:$Q$21,7)=0),"",SUMIFS(DECKS!$D$2:$D$1201,DECKS!$A$2:$A$1201,INDEX(_LEITURA!$P$2:$P$21,7),DECKS!$B$2:$B$1201,$A109))</f>
        <v/>
      </c>
      <c r="R109" s="19" t="str">
        <f aca="false">IF(OR($A109="",INDEX(_LEITURA!$Q$2:$Q$21,8)=0),"",SUMIFS(DECKS!$D$2:$D$1201,DECKS!$A$2:$A$1201,INDEX(_LEITURA!$P$2:$P$21,8),DECKS!$B$2:$B$1201,$A109))</f>
        <v/>
      </c>
      <c r="S109" s="19" t="str">
        <f aca="false">IF(OR($A109="",INDEX(_LEITURA!$Q$2:$Q$21,9)=0),"",SUMIFS(DECKS!$D$2:$D$1201,DECKS!$A$2:$A$1201,INDEX(_LEITURA!$P$2:$P$21,9),DECKS!$B$2:$B$1201,$A109))</f>
        <v/>
      </c>
      <c r="T109" s="19" t="str">
        <f aca="false">IF(OR($A109="",INDEX(_LEITURA!$Q$2:$Q$21,10)=0),"",SUMIFS(DECKS!$D$2:$D$1201,DECKS!$A$2:$A$1201,INDEX(_LEITURA!$P$2:$P$21,10),DECKS!$B$2:$B$1201,$A109))</f>
        <v/>
      </c>
      <c r="U109" s="19" t="str">
        <f aca="false">IF(OR($A109="",INDEX(_LEITURA!$Q$2:$Q$21,11)=0),"",SUMIFS(DECKS!$D$2:$D$1201,DECKS!$A$2:$A$1201,INDEX(_LEITURA!$P$2:$P$21,11),DECKS!$B$2:$B$1201,$A109))</f>
        <v/>
      </c>
      <c r="V109" s="19" t="str">
        <f aca="false">IF(OR($A109="",INDEX(_LEITURA!$Q$2:$Q$21,12)=0),"",SUMIFS(DECKS!$D$2:$D$1201,DECKS!$A$2:$A$1201,INDEX(_LEITURA!$P$2:$P$21,12),DECKS!$B$2:$B$1201,$A109))</f>
        <v/>
      </c>
      <c r="W109" s="19" t="str">
        <f aca="false">IF(OR($A109="",INDEX(_LEITURA!$Q$2:$Q$21,13)=0),"",SUMIFS(DECKS!$D$2:$D$1201,DECKS!$A$2:$A$1201,INDEX(_LEITURA!$P$2:$P$21,13),DECKS!$B$2:$B$1201,$A109))</f>
        <v/>
      </c>
      <c r="X109" s="19" t="str">
        <f aca="false">IF(OR($A109="",INDEX(_LEITURA!$Q$2:$Q$21,14)=0),"",SUMIFS(DECKS!$D$2:$D$1201,DECKS!$A$2:$A$1201,INDEX(_LEITURA!$P$2:$P$21,14),DECKS!$B$2:$B$1201,$A109))</f>
        <v/>
      </c>
      <c r="Y109" s="19" t="str">
        <f aca="false">IF(OR($A109="",INDEX(_LEITURA!$Q$2:$Q$21,15)=0),"",SUMIFS(DECKS!$D$2:$D$1201,DECKS!$A$2:$A$1201,INDEX(_LEITURA!$P$2:$P$21,15),DECKS!$B$2:$B$1201,$A109))</f>
        <v/>
      </c>
      <c r="Z109" s="19" t="str">
        <f aca="false">IF(OR($A109="",INDEX(_LEITURA!$Q$2:$Q$21,16)=0),"",SUMIFS(DECKS!$D$2:$D$1201,DECKS!$A$2:$A$1201,INDEX(_LEITURA!$P$2:$P$21,16),DECKS!$B$2:$B$1201,$A109))</f>
        <v/>
      </c>
      <c r="AA109" s="19" t="str">
        <f aca="false">IF(OR($A109="",INDEX(_LEITURA!$Q$2:$Q$21,17)=0),"",SUMIFS(DECKS!$D$2:$D$1201,DECKS!$A$2:$A$1201,INDEX(_LEITURA!$P$2:$P$21,17),DECKS!$B$2:$B$1201,$A109))</f>
        <v/>
      </c>
      <c r="AB109" s="19" t="str">
        <f aca="false">IF(OR($A109="",INDEX(_LEITURA!$Q$2:$Q$21,18)=0),"",SUMIFS(DECKS!$D$2:$D$1201,DECKS!$A$2:$A$1201,INDEX(_LEITURA!$P$2:$P$21,18),DECKS!$B$2:$B$1201,$A109))</f>
        <v/>
      </c>
      <c r="AC109" s="19" t="str">
        <f aca="false">IF(OR($A109="",INDEX(_LEITURA!$Q$2:$Q$21,19)=0),"",SUMIFS(DECKS!$D$2:$D$1201,DECKS!$A$2:$A$1201,INDEX(_LEITURA!$P$2:$P$21,19),DECKS!$B$2:$B$1201,$A109))</f>
        <v/>
      </c>
      <c r="AD109" s="19" t="str">
        <f aca="false">IF(OR($A109="",INDEX(_LEITURA!$Q$2:$Q$21,20)=0),"",SUMIFS(DECKS!$D$2:$D$1201,DECKS!$A$2:$A$1201,INDEX(_LEITURA!$P$2:$P$21,20),DECKS!$B$2:$B$1201,$A109))</f>
        <v/>
      </c>
      <c r="AE109" s="16" t="str">
        <f aca="false">IF(N(E109)&gt;0,MAX(AE$1:AE108)+1,"")</f>
        <v/>
      </c>
      <c r="AF109" s="11" t="str">
        <f aca="false">IF(A109="","",IFERROR(LEFT(A109,FIND("-",A109)-1),A109))</f>
        <v/>
      </c>
      <c r="AG109" s="11" t="str">
        <f aca="false">IF(AF109="","",IF(ISNUMBER(--MID(AF109,1,1)),0,IF(ISNUMBER(--MID(AF109,2,1)),1,IF(ISNUMBER(--MID(AF109,3,1)),2,IF(ISNUMBER(--MID(AF109,4,1)),3,MIN(LEN(AF109),4))))))</f>
        <v/>
      </c>
      <c r="AH109" s="11" t="str">
        <f aca="false">IF(A109="","",LEFT(AF109,AG109)&amp;REPT("0",4-AG109)&amp;RIGHT("000"&amp;IFERROR(VALUE(MID(AF109,AG109+1,9)),0),3)&amp;RIGHT("0000"&amp;IFERROR(VALUE(MID(A109,FIND("-",A109)+1,9)),0),4))</f>
        <v/>
      </c>
      <c r="AI109" s="11" t="str">
        <f aca="false">IF(OR(A109="",N(E109)&lt;=0),"",IF('FALTAS GERAL'!$M$1="Código","K"&amp;AH109&amp;RIGHT("00000"&amp;ROW(),5),IF('FALTAS GERAL'!$M$1="Nome","K"&amp;UPPER(SUBSTITUTE(SUBSTITUTE(SUBSTITUTE(B109,"*",""),"?",""),"~",""))&amp;"0"&amp;AH109&amp;RIGHT("00000"&amp;ROW(),5),IF('FALTAS GERAL'!$M$1="Falta (maior primeiro)","K"&amp;RIGHT("0000"&amp;(9999-E109),4)&amp;AH109&amp;RIGHT("00000"&amp;ROW(),5),IF('FALTAS GERAL'!$M$1="Nº de decks (maior primeiro)","K"&amp;RIGHT("00"&amp;(99-N(G109)),2)&amp;AH109&amp;RIGHT("00000"&amp;ROW(),5),"K"&amp;RIGHT("00000"&amp;ROW(),5))))))</f>
        <v/>
      </c>
      <c r="AJ109" s="11" t="str">
        <f aca="false">IF(AI109="","",COUNTIFS($AI$2:$AI$801,"&lt;"&amp;AI109,$E$2:$E$801,"&gt;0")+1)</f>
        <v/>
      </c>
      <c r="AK109" s="11" t="str">
        <f aca="false">IF(OR(A109="",N(E109)&lt;=0),"",COUNTIFS($AH$2:$AH$801,"&lt;"&amp;AH109,$E$2:$E$801,"&gt;0")+COUNTIFS($AH$2:AH109,AH109,$E$2:E109,"&gt;0"))</f>
        <v/>
      </c>
    </row>
    <row r="110" customFormat="false" ht="15" hidden="false" customHeight="false" outlineLevel="0" collapsed="false">
      <c r="A110" s="11" t="str">
        <f aca="false">IF(INVENTÁRIO!A110="","",INVENTÁRIO!A110)</f>
        <v/>
      </c>
      <c r="B110" s="11" t="str">
        <f aca="false">IF(A110="","",INVENTÁRIO!B110)</f>
        <v/>
      </c>
      <c r="C110" s="16" t="str">
        <f aca="false">IF(A110="","",INVENTÁRIO!C110)</f>
        <v/>
      </c>
      <c r="D110" s="14" t="str">
        <f aca="false">IF(A110="","",MAX(K110:AD110))</f>
        <v/>
      </c>
      <c r="E110" s="14" t="str">
        <f aca="false">IF(A110="","",MAX(0,D110-C110))</f>
        <v/>
      </c>
      <c r="F110" s="16" t="str">
        <f aca="false">IF(A110="","",IF(D110=0,"Fora dos decks",IF(E110=0,"Completo","Falta")))</f>
        <v/>
      </c>
      <c r="G110" s="16" t="str">
        <f aca="false">IF(A110="","",COUNTIF(K110:AD110,"&gt;0"))</f>
        <v/>
      </c>
      <c r="H110" s="16" t="str">
        <f aca="false">IF(A110="","",IF(G110&gt;1,"Sim",""))</f>
        <v/>
      </c>
      <c r="I110" s="18" t="str">
        <f aca="false">IF(A110="","",SUMIFS(DECKS!$D$2:$D$1201,DECKS!$B$2:$B$1201,A110))</f>
        <v/>
      </c>
      <c r="J110" s="18" t="str">
        <f aca="false">IF(A110="","",MAX(0,I110-C110))</f>
        <v/>
      </c>
      <c r="K110" s="19" t="str">
        <f aca="false">IF(OR($A110="",INDEX(_LEITURA!$Q$2:$Q$21,1)=0),"",SUMIFS(DECKS!$D$2:$D$1201,DECKS!$A$2:$A$1201,INDEX(_LEITURA!$P$2:$P$21,1),DECKS!$B$2:$B$1201,$A110))</f>
        <v/>
      </c>
      <c r="L110" s="19" t="str">
        <f aca="false">IF(OR($A110="",INDEX(_LEITURA!$Q$2:$Q$21,2)=0),"",SUMIFS(DECKS!$D$2:$D$1201,DECKS!$A$2:$A$1201,INDEX(_LEITURA!$P$2:$P$21,2),DECKS!$B$2:$B$1201,$A110))</f>
        <v/>
      </c>
      <c r="M110" s="19" t="str">
        <f aca="false">IF(OR($A110="",INDEX(_LEITURA!$Q$2:$Q$21,3)=0),"",SUMIFS(DECKS!$D$2:$D$1201,DECKS!$A$2:$A$1201,INDEX(_LEITURA!$P$2:$P$21,3),DECKS!$B$2:$B$1201,$A110))</f>
        <v/>
      </c>
      <c r="N110" s="19" t="str">
        <f aca="false">IF(OR($A110="",INDEX(_LEITURA!$Q$2:$Q$21,4)=0),"",SUMIFS(DECKS!$D$2:$D$1201,DECKS!$A$2:$A$1201,INDEX(_LEITURA!$P$2:$P$21,4),DECKS!$B$2:$B$1201,$A110))</f>
        <v/>
      </c>
      <c r="O110" s="19" t="str">
        <f aca="false">IF(OR($A110="",INDEX(_LEITURA!$Q$2:$Q$21,5)=0),"",SUMIFS(DECKS!$D$2:$D$1201,DECKS!$A$2:$A$1201,INDEX(_LEITURA!$P$2:$P$21,5),DECKS!$B$2:$B$1201,$A110))</f>
        <v/>
      </c>
      <c r="P110" s="19" t="str">
        <f aca="false">IF(OR($A110="",INDEX(_LEITURA!$Q$2:$Q$21,6)=0),"",SUMIFS(DECKS!$D$2:$D$1201,DECKS!$A$2:$A$1201,INDEX(_LEITURA!$P$2:$P$21,6),DECKS!$B$2:$B$1201,$A110))</f>
        <v/>
      </c>
      <c r="Q110" s="19" t="str">
        <f aca="false">IF(OR($A110="",INDEX(_LEITURA!$Q$2:$Q$21,7)=0),"",SUMIFS(DECKS!$D$2:$D$1201,DECKS!$A$2:$A$1201,INDEX(_LEITURA!$P$2:$P$21,7),DECKS!$B$2:$B$1201,$A110))</f>
        <v/>
      </c>
      <c r="R110" s="19" t="str">
        <f aca="false">IF(OR($A110="",INDEX(_LEITURA!$Q$2:$Q$21,8)=0),"",SUMIFS(DECKS!$D$2:$D$1201,DECKS!$A$2:$A$1201,INDEX(_LEITURA!$P$2:$P$21,8),DECKS!$B$2:$B$1201,$A110))</f>
        <v/>
      </c>
      <c r="S110" s="19" t="str">
        <f aca="false">IF(OR($A110="",INDEX(_LEITURA!$Q$2:$Q$21,9)=0),"",SUMIFS(DECKS!$D$2:$D$1201,DECKS!$A$2:$A$1201,INDEX(_LEITURA!$P$2:$P$21,9),DECKS!$B$2:$B$1201,$A110))</f>
        <v/>
      </c>
      <c r="T110" s="19" t="str">
        <f aca="false">IF(OR($A110="",INDEX(_LEITURA!$Q$2:$Q$21,10)=0),"",SUMIFS(DECKS!$D$2:$D$1201,DECKS!$A$2:$A$1201,INDEX(_LEITURA!$P$2:$P$21,10),DECKS!$B$2:$B$1201,$A110))</f>
        <v/>
      </c>
      <c r="U110" s="19" t="str">
        <f aca="false">IF(OR($A110="",INDEX(_LEITURA!$Q$2:$Q$21,11)=0),"",SUMIFS(DECKS!$D$2:$D$1201,DECKS!$A$2:$A$1201,INDEX(_LEITURA!$P$2:$P$21,11),DECKS!$B$2:$B$1201,$A110))</f>
        <v/>
      </c>
      <c r="V110" s="19" t="str">
        <f aca="false">IF(OR($A110="",INDEX(_LEITURA!$Q$2:$Q$21,12)=0),"",SUMIFS(DECKS!$D$2:$D$1201,DECKS!$A$2:$A$1201,INDEX(_LEITURA!$P$2:$P$21,12),DECKS!$B$2:$B$1201,$A110))</f>
        <v/>
      </c>
      <c r="W110" s="19" t="str">
        <f aca="false">IF(OR($A110="",INDEX(_LEITURA!$Q$2:$Q$21,13)=0),"",SUMIFS(DECKS!$D$2:$D$1201,DECKS!$A$2:$A$1201,INDEX(_LEITURA!$P$2:$P$21,13),DECKS!$B$2:$B$1201,$A110))</f>
        <v/>
      </c>
      <c r="X110" s="19" t="str">
        <f aca="false">IF(OR($A110="",INDEX(_LEITURA!$Q$2:$Q$21,14)=0),"",SUMIFS(DECKS!$D$2:$D$1201,DECKS!$A$2:$A$1201,INDEX(_LEITURA!$P$2:$P$21,14),DECKS!$B$2:$B$1201,$A110))</f>
        <v/>
      </c>
      <c r="Y110" s="19" t="str">
        <f aca="false">IF(OR($A110="",INDEX(_LEITURA!$Q$2:$Q$21,15)=0),"",SUMIFS(DECKS!$D$2:$D$1201,DECKS!$A$2:$A$1201,INDEX(_LEITURA!$P$2:$P$21,15),DECKS!$B$2:$B$1201,$A110))</f>
        <v/>
      </c>
      <c r="Z110" s="19" t="str">
        <f aca="false">IF(OR($A110="",INDEX(_LEITURA!$Q$2:$Q$21,16)=0),"",SUMIFS(DECKS!$D$2:$D$1201,DECKS!$A$2:$A$1201,INDEX(_LEITURA!$P$2:$P$21,16),DECKS!$B$2:$B$1201,$A110))</f>
        <v/>
      </c>
      <c r="AA110" s="19" t="str">
        <f aca="false">IF(OR($A110="",INDEX(_LEITURA!$Q$2:$Q$21,17)=0),"",SUMIFS(DECKS!$D$2:$D$1201,DECKS!$A$2:$A$1201,INDEX(_LEITURA!$P$2:$P$21,17),DECKS!$B$2:$B$1201,$A110))</f>
        <v/>
      </c>
      <c r="AB110" s="19" t="str">
        <f aca="false">IF(OR($A110="",INDEX(_LEITURA!$Q$2:$Q$21,18)=0),"",SUMIFS(DECKS!$D$2:$D$1201,DECKS!$A$2:$A$1201,INDEX(_LEITURA!$P$2:$P$21,18),DECKS!$B$2:$B$1201,$A110))</f>
        <v/>
      </c>
      <c r="AC110" s="19" t="str">
        <f aca="false">IF(OR($A110="",INDEX(_LEITURA!$Q$2:$Q$21,19)=0),"",SUMIFS(DECKS!$D$2:$D$1201,DECKS!$A$2:$A$1201,INDEX(_LEITURA!$P$2:$P$21,19),DECKS!$B$2:$B$1201,$A110))</f>
        <v/>
      </c>
      <c r="AD110" s="19" t="str">
        <f aca="false">IF(OR($A110="",INDEX(_LEITURA!$Q$2:$Q$21,20)=0),"",SUMIFS(DECKS!$D$2:$D$1201,DECKS!$A$2:$A$1201,INDEX(_LEITURA!$P$2:$P$21,20),DECKS!$B$2:$B$1201,$A110))</f>
        <v/>
      </c>
      <c r="AE110" s="16" t="str">
        <f aca="false">IF(N(E110)&gt;0,MAX(AE$1:AE109)+1,"")</f>
        <v/>
      </c>
      <c r="AF110" s="11" t="str">
        <f aca="false">IF(A110="","",IFERROR(LEFT(A110,FIND("-",A110)-1),A110))</f>
        <v/>
      </c>
      <c r="AG110" s="11" t="str">
        <f aca="false">IF(AF110="","",IF(ISNUMBER(--MID(AF110,1,1)),0,IF(ISNUMBER(--MID(AF110,2,1)),1,IF(ISNUMBER(--MID(AF110,3,1)),2,IF(ISNUMBER(--MID(AF110,4,1)),3,MIN(LEN(AF110),4))))))</f>
        <v/>
      </c>
      <c r="AH110" s="11" t="str">
        <f aca="false">IF(A110="","",LEFT(AF110,AG110)&amp;REPT("0",4-AG110)&amp;RIGHT("000"&amp;IFERROR(VALUE(MID(AF110,AG110+1,9)),0),3)&amp;RIGHT("0000"&amp;IFERROR(VALUE(MID(A110,FIND("-",A110)+1,9)),0),4))</f>
        <v/>
      </c>
      <c r="AI110" s="11" t="str">
        <f aca="false">IF(OR(A110="",N(E110)&lt;=0),"",IF('FALTAS GERAL'!$M$1="Código","K"&amp;AH110&amp;RIGHT("00000"&amp;ROW(),5),IF('FALTAS GERAL'!$M$1="Nome","K"&amp;UPPER(SUBSTITUTE(SUBSTITUTE(SUBSTITUTE(B110,"*",""),"?",""),"~",""))&amp;"0"&amp;AH110&amp;RIGHT("00000"&amp;ROW(),5),IF('FALTAS GERAL'!$M$1="Falta (maior primeiro)","K"&amp;RIGHT("0000"&amp;(9999-E110),4)&amp;AH110&amp;RIGHT("00000"&amp;ROW(),5),IF('FALTAS GERAL'!$M$1="Nº de decks (maior primeiro)","K"&amp;RIGHT("00"&amp;(99-N(G110)),2)&amp;AH110&amp;RIGHT("00000"&amp;ROW(),5),"K"&amp;RIGHT("00000"&amp;ROW(),5))))))</f>
        <v/>
      </c>
      <c r="AJ110" s="11" t="str">
        <f aca="false">IF(AI110="","",COUNTIFS($AI$2:$AI$801,"&lt;"&amp;AI110,$E$2:$E$801,"&gt;0")+1)</f>
        <v/>
      </c>
      <c r="AK110" s="11" t="str">
        <f aca="false">IF(OR(A110="",N(E110)&lt;=0),"",COUNTIFS($AH$2:$AH$801,"&lt;"&amp;AH110,$E$2:$E$801,"&gt;0")+COUNTIFS($AH$2:AH110,AH110,$E$2:E110,"&gt;0"))</f>
        <v/>
      </c>
    </row>
    <row r="111" customFormat="false" ht="15" hidden="false" customHeight="false" outlineLevel="0" collapsed="false">
      <c r="A111" s="11" t="str">
        <f aca="false">IF(INVENTÁRIO!A111="","",INVENTÁRIO!A111)</f>
        <v/>
      </c>
      <c r="B111" s="11" t="str">
        <f aca="false">IF(A111="","",INVENTÁRIO!B111)</f>
        <v/>
      </c>
      <c r="C111" s="16" t="str">
        <f aca="false">IF(A111="","",INVENTÁRIO!C111)</f>
        <v/>
      </c>
      <c r="D111" s="14" t="str">
        <f aca="false">IF(A111="","",MAX(K111:AD111))</f>
        <v/>
      </c>
      <c r="E111" s="14" t="str">
        <f aca="false">IF(A111="","",MAX(0,D111-C111))</f>
        <v/>
      </c>
      <c r="F111" s="16" t="str">
        <f aca="false">IF(A111="","",IF(D111=0,"Fora dos decks",IF(E111=0,"Completo","Falta")))</f>
        <v/>
      </c>
      <c r="G111" s="16" t="str">
        <f aca="false">IF(A111="","",COUNTIF(K111:AD111,"&gt;0"))</f>
        <v/>
      </c>
      <c r="H111" s="16" t="str">
        <f aca="false">IF(A111="","",IF(G111&gt;1,"Sim",""))</f>
        <v/>
      </c>
      <c r="I111" s="18" t="str">
        <f aca="false">IF(A111="","",SUMIFS(DECKS!$D$2:$D$1201,DECKS!$B$2:$B$1201,A111))</f>
        <v/>
      </c>
      <c r="J111" s="18" t="str">
        <f aca="false">IF(A111="","",MAX(0,I111-C111))</f>
        <v/>
      </c>
      <c r="K111" s="19" t="str">
        <f aca="false">IF(OR($A111="",INDEX(_LEITURA!$Q$2:$Q$21,1)=0),"",SUMIFS(DECKS!$D$2:$D$1201,DECKS!$A$2:$A$1201,INDEX(_LEITURA!$P$2:$P$21,1),DECKS!$B$2:$B$1201,$A111))</f>
        <v/>
      </c>
      <c r="L111" s="19" t="str">
        <f aca="false">IF(OR($A111="",INDEX(_LEITURA!$Q$2:$Q$21,2)=0),"",SUMIFS(DECKS!$D$2:$D$1201,DECKS!$A$2:$A$1201,INDEX(_LEITURA!$P$2:$P$21,2),DECKS!$B$2:$B$1201,$A111))</f>
        <v/>
      </c>
      <c r="M111" s="19" t="str">
        <f aca="false">IF(OR($A111="",INDEX(_LEITURA!$Q$2:$Q$21,3)=0),"",SUMIFS(DECKS!$D$2:$D$1201,DECKS!$A$2:$A$1201,INDEX(_LEITURA!$P$2:$P$21,3),DECKS!$B$2:$B$1201,$A111))</f>
        <v/>
      </c>
      <c r="N111" s="19" t="str">
        <f aca="false">IF(OR($A111="",INDEX(_LEITURA!$Q$2:$Q$21,4)=0),"",SUMIFS(DECKS!$D$2:$D$1201,DECKS!$A$2:$A$1201,INDEX(_LEITURA!$P$2:$P$21,4),DECKS!$B$2:$B$1201,$A111))</f>
        <v/>
      </c>
      <c r="O111" s="19" t="str">
        <f aca="false">IF(OR($A111="",INDEX(_LEITURA!$Q$2:$Q$21,5)=0),"",SUMIFS(DECKS!$D$2:$D$1201,DECKS!$A$2:$A$1201,INDEX(_LEITURA!$P$2:$P$21,5),DECKS!$B$2:$B$1201,$A111))</f>
        <v/>
      </c>
      <c r="P111" s="19" t="str">
        <f aca="false">IF(OR($A111="",INDEX(_LEITURA!$Q$2:$Q$21,6)=0),"",SUMIFS(DECKS!$D$2:$D$1201,DECKS!$A$2:$A$1201,INDEX(_LEITURA!$P$2:$P$21,6),DECKS!$B$2:$B$1201,$A111))</f>
        <v/>
      </c>
      <c r="Q111" s="19" t="str">
        <f aca="false">IF(OR($A111="",INDEX(_LEITURA!$Q$2:$Q$21,7)=0),"",SUMIFS(DECKS!$D$2:$D$1201,DECKS!$A$2:$A$1201,INDEX(_LEITURA!$P$2:$P$21,7),DECKS!$B$2:$B$1201,$A111))</f>
        <v/>
      </c>
      <c r="R111" s="19" t="str">
        <f aca="false">IF(OR($A111="",INDEX(_LEITURA!$Q$2:$Q$21,8)=0),"",SUMIFS(DECKS!$D$2:$D$1201,DECKS!$A$2:$A$1201,INDEX(_LEITURA!$P$2:$P$21,8),DECKS!$B$2:$B$1201,$A111))</f>
        <v/>
      </c>
      <c r="S111" s="19" t="str">
        <f aca="false">IF(OR($A111="",INDEX(_LEITURA!$Q$2:$Q$21,9)=0),"",SUMIFS(DECKS!$D$2:$D$1201,DECKS!$A$2:$A$1201,INDEX(_LEITURA!$P$2:$P$21,9),DECKS!$B$2:$B$1201,$A111))</f>
        <v/>
      </c>
      <c r="T111" s="19" t="str">
        <f aca="false">IF(OR($A111="",INDEX(_LEITURA!$Q$2:$Q$21,10)=0),"",SUMIFS(DECKS!$D$2:$D$1201,DECKS!$A$2:$A$1201,INDEX(_LEITURA!$P$2:$P$21,10),DECKS!$B$2:$B$1201,$A111))</f>
        <v/>
      </c>
      <c r="U111" s="19" t="str">
        <f aca="false">IF(OR($A111="",INDEX(_LEITURA!$Q$2:$Q$21,11)=0),"",SUMIFS(DECKS!$D$2:$D$1201,DECKS!$A$2:$A$1201,INDEX(_LEITURA!$P$2:$P$21,11),DECKS!$B$2:$B$1201,$A111))</f>
        <v/>
      </c>
      <c r="V111" s="19" t="str">
        <f aca="false">IF(OR($A111="",INDEX(_LEITURA!$Q$2:$Q$21,12)=0),"",SUMIFS(DECKS!$D$2:$D$1201,DECKS!$A$2:$A$1201,INDEX(_LEITURA!$P$2:$P$21,12),DECKS!$B$2:$B$1201,$A111))</f>
        <v/>
      </c>
      <c r="W111" s="19" t="str">
        <f aca="false">IF(OR($A111="",INDEX(_LEITURA!$Q$2:$Q$21,13)=0),"",SUMIFS(DECKS!$D$2:$D$1201,DECKS!$A$2:$A$1201,INDEX(_LEITURA!$P$2:$P$21,13),DECKS!$B$2:$B$1201,$A111))</f>
        <v/>
      </c>
      <c r="X111" s="19" t="str">
        <f aca="false">IF(OR($A111="",INDEX(_LEITURA!$Q$2:$Q$21,14)=0),"",SUMIFS(DECKS!$D$2:$D$1201,DECKS!$A$2:$A$1201,INDEX(_LEITURA!$P$2:$P$21,14),DECKS!$B$2:$B$1201,$A111))</f>
        <v/>
      </c>
      <c r="Y111" s="19" t="str">
        <f aca="false">IF(OR($A111="",INDEX(_LEITURA!$Q$2:$Q$21,15)=0),"",SUMIFS(DECKS!$D$2:$D$1201,DECKS!$A$2:$A$1201,INDEX(_LEITURA!$P$2:$P$21,15),DECKS!$B$2:$B$1201,$A111))</f>
        <v/>
      </c>
      <c r="Z111" s="19" t="str">
        <f aca="false">IF(OR($A111="",INDEX(_LEITURA!$Q$2:$Q$21,16)=0),"",SUMIFS(DECKS!$D$2:$D$1201,DECKS!$A$2:$A$1201,INDEX(_LEITURA!$P$2:$P$21,16),DECKS!$B$2:$B$1201,$A111))</f>
        <v/>
      </c>
      <c r="AA111" s="19" t="str">
        <f aca="false">IF(OR($A111="",INDEX(_LEITURA!$Q$2:$Q$21,17)=0),"",SUMIFS(DECKS!$D$2:$D$1201,DECKS!$A$2:$A$1201,INDEX(_LEITURA!$P$2:$P$21,17),DECKS!$B$2:$B$1201,$A111))</f>
        <v/>
      </c>
      <c r="AB111" s="19" t="str">
        <f aca="false">IF(OR($A111="",INDEX(_LEITURA!$Q$2:$Q$21,18)=0),"",SUMIFS(DECKS!$D$2:$D$1201,DECKS!$A$2:$A$1201,INDEX(_LEITURA!$P$2:$P$21,18),DECKS!$B$2:$B$1201,$A111))</f>
        <v/>
      </c>
      <c r="AC111" s="19" t="str">
        <f aca="false">IF(OR($A111="",INDEX(_LEITURA!$Q$2:$Q$21,19)=0),"",SUMIFS(DECKS!$D$2:$D$1201,DECKS!$A$2:$A$1201,INDEX(_LEITURA!$P$2:$P$21,19),DECKS!$B$2:$B$1201,$A111))</f>
        <v/>
      </c>
      <c r="AD111" s="19" t="str">
        <f aca="false">IF(OR($A111="",INDEX(_LEITURA!$Q$2:$Q$21,20)=0),"",SUMIFS(DECKS!$D$2:$D$1201,DECKS!$A$2:$A$1201,INDEX(_LEITURA!$P$2:$P$21,20),DECKS!$B$2:$B$1201,$A111))</f>
        <v/>
      </c>
      <c r="AE111" s="16" t="str">
        <f aca="false">IF(N(E111)&gt;0,MAX(AE$1:AE110)+1,"")</f>
        <v/>
      </c>
      <c r="AF111" s="11" t="str">
        <f aca="false">IF(A111="","",IFERROR(LEFT(A111,FIND("-",A111)-1),A111))</f>
        <v/>
      </c>
      <c r="AG111" s="11" t="str">
        <f aca="false">IF(AF111="","",IF(ISNUMBER(--MID(AF111,1,1)),0,IF(ISNUMBER(--MID(AF111,2,1)),1,IF(ISNUMBER(--MID(AF111,3,1)),2,IF(ISNUMBER(--MID(AF111,4,1)),3,MIN(LEN(AF111),4))))))</f>
        <v/>
      </c>
      <c r="AH111" s="11" t="str">
        <f aca="false">IF(A111="","",LEFT(AF111,AG111)&amp;REPT("0",4-AG111)&amp;RIGHT("000"&amp;IFERROR(VALUE(MID(AF111,AG111+1,9)),0),3)&amp;RIGHT("0000"&amp;IFERROR(VALUE(MID(A111,FIND("-",A111)+1,9)),0),4))</f>
        <v/>
      </c>
      <c r="AI111" s="11" t="str">
        <f aca="false">IF(OR(A111="",N(E111)&lt;=0),"",IF('FALTAS GERAL'!$M$1="Código","K"&amp;AH111&amp;RIGHT("00000"&amp;ROW(),5),IF('FALTAS GERAL'!$M$1="Nome","K"&amp;UPPER(SUBSTITUTE(SUBSTITUTE(SUBSTITUTE(B111,"*",""),"?",""),"~",""))&amp;"0"&amp;AH111&amp;RIGHT("00000"&amp;ROW(),5),IF('FALTAS GERAL'!$M$1="Falta (maior primeiro)","K"&amp;RIGHT("0000"&amp;(9999-E111),4)&amp;AH111&amp;RIGHT("00000"&amp;ROW(),5),IF('FALTAS GERAL'!$M$1="Nº de decks (maior primeiro)","K"&amp;RIGHT("00"&amp;(99-N(G111)),2)&amp;AH111&amp;RIGHT("00000"&amp;ROW(),5),"K"&amp;RIGHT("00000"&amp;ROW(),5))))))</f>
        <v/>
      </c>
      <c r="AJ111" s="11" t="str">
        <f aca="false">IF(AI111="","",COUNTIFS($AI$2:$AI$801,"&lt;"&amp;AI111,$E$2:$E$801,"&gt;0")+1)</f>
        <v/>
      </c>
      <c r="AK111" s="11" t="str">
        <f aca="false">IF(OR(A111="",N(E111)&lt;=0),"",COUNTIFS($AH$2:$AH$801,"&lt;"&amp;AH111,$E$2:$E$801,"&gt;0")+COUNTIFS($AH$2:AH111,AH111,$E$2:E111,"&gt;0"))</f>
        <v/>
      </c>
    </row>
    <row r="112" customFormat="false" ht="15" hidden="false" customHeight="false" outlineLevel="0" collapsed="false">
      <c r="A112" s="11" t="str">
        <f aca="false">IF(INVENTÁRIO!A112="","",INVENTÁRIO!A112)</f>
        <v/>
      </c>
      <c r="B112" s="11" t="str">
        <f aca="false">IF(A112="","",INVENTÁRIO!B112)</f>
        <v/>
      </c>
      <c r="C112" s="16" t="str">
        <f aca="false">IF(A112="","",INVENTÁRIO!C112)</f>
        <v/>
      </c>
      <c r="D112" s="14" t="str">
        <f aca="false">IF(A112="","",MAX(K112:AD112))</f>
        <v/>
      </c>
      <c r="E112" s="14" t="str">
        <f aca="false">IF(A112="","",MAX(0,D112-C112))</f>
        <v/>
      </c>
      <c r="F112" s="16" t="str">
        <f aca="false">IF(A112="","",IF(D112=0,"Fora dos decks",IF(E112=0,"Completo","Falta")))</f>
        <v/>
      </c>
      <c r="G112" s="16" t="str">
        <f aca="false">IF(A112="","",COUNTIF(K112:AD112,"&gt;0"))</f>
        <v/>
      </c>
      <c r="H112" s="16" t="str">
        <f aca="false">IF(A112="","",IF(G112&gt;1,"Sim",""))</f>
        <v/>
      </c>
      <c r="I112" s="18" t="str">
        <f aca="false">IF(A112="","",SUMIFS(DECKS!$D$2:$D$1201,DECKS!$B$2:$B$1201,A112))</f>
        <v/>
      </c>
      <c r="J112" s="18" t="str">
        <f aca="false">IF(A112="","",MAX(0,I112-C112))</f>
        <v/>
      </c>
      <c r="K112" s="19" t="str">
        <f aca="false">IF(OR($A112="",INDEX(_LEITURA!$Q$2:$Q$21,1)=0),"",SUMIFS(DECKS!$D$2:$D$1201,DECKS!$A$2:$A$1201,INDEX(_LEITURA!$P$2:$P$21,1),DECKS!$B$2:$B$1201,$A112))</f>
        <v/>
      </c>
      <c r="L112" s="19" t="str">
        <f aca="false">IF(OR($A112="",INDEX(_LEITURA!$Q$2:$Q$21,2)=0),"",SUMIFS(DECKS!$D$2:$D$1201,DECKS!$A$2:$A$1201,INDEX(_LEITURA!$P$2:$P$21,2),DECKS!$B$2:$B$1201,$A112))</f>
        <v/>
      </c>
      <c r="M112" s="19" t="str">
        <f aca="false">IF(OR($A112="",INDEX(_LEITURA!$Q$2:$Q$21,3)=0),"",SUMIFS(DECKS!$D$2:$D$1201,DECKS!$A$2:$A$1201,INDEX(_LEITURA!$P$2:$P$21,3),DECKS!$B$2:$B$1201,$A112))</f>
        <v/>
      </c>
      <c r="N112" s="19" t="str">
        <f aca="false">IF(OR($A112="",INDEX(_LEITURA!$Q$2:$Q$21,4)=0),"",SUMIFS(DECKS!$D$2:$D$1201,DECKS!$A$2:$A$1201,INDEX(_LEITURA!$P$2:$P$21,4),DECKS!$B$2:$B$1201,$A112))</f>
        <v/>
      </c>
      <c r="O112" s="19" t="str">
        <f aca="false">IF(OR($A112="",INDEX(_LEITURA!$Q$2:$Q$21,5)=0),"",SUMIFS(DECKS!$D$2:$D$1201,DECKS!$A$2:$A$1201,INDEX(_LEITURA!$P$2:$P$21,5),DECKS!$B$2:$B$1201,$A112))</f>
        <v/>
      </c>
      <c r="P112" s="19" t="str">
        <f aca="false">IF(OR($A112="",INDEX(_LEITURA!$Q$2:$Q$21,6)=0),"",SUMIFS(DECKS!$D$2:$D$1201,DECKS!$A$2:$A$1201,INDEX(_LEITURA!$P$2:$P$21,6),DECKS!$B$2:$B$1201,$A112))</f>
        <v/>
      </c>
      <c r="Q112" s="19" t="str">
        <f aca="false">IF(OR($A112="",INDEX(_LEITURA!$Q$2:$Q$21,7)=0),"",SUMIFS(DECKS!$D$2:$D$1201,DECKS!$A$2:$A$1201,INDEX(_LEITURA!$P$2:$P$21,7),DECKS!$B$2:$B$1201,$A112))</f>
        <v/>
      </c>
      <c r="R112" s="19" t="str">
        <f aca="false">IF(OR($A112="",INDEX(_LEITURA!$Q$2:$Q$21,8)=0),"",SUMIFS(DECKS!$D$2:$D$1201,DECKS!$A$2:$A$1201,INDEX(_LEITURA!$P$2:$P$21,8),DECKS!$B$2:$B$1201,$A112))</f>
        <v/>
      </c>
      <c r="S112" s="19" t="str">
        <f aca="false">IF(OR($A112="",INDEX(_LEITURA!$Q$2:$Q$21,9)=0),"",SUMIFS(DECKS!$D$2:$D$1201,DECKS!$A$2:$A$1201,INDEX(_LEITURA!$P$2:$P$21,9),DECKS!$B$2:$B$1201,$A112))</f>
        <v/>
      </c>
      <c r="T112" s="19" t="str">
        <f aca="false">IF(OR($A112="",INDEX(_LEITURA!$Q$2:$Q$21,10)=0),"",SUMIFS(DECKS!$D$2:$D$1201,DECKS!$A$2:$A$1201,INDEX(_LEITURA!$P$2:$P$21,10),DECKS!$B$2:$B$1201,$A112))</f>
        <v/>
      </c>
      <c r="U112" s="19" t="str">
        <f aca="false">IF(OR($A112="",INDEX(_LEITURA!$Q$2:$Q$21,11)=0),"",SUMIFS(DECKS!$D$2:$D$1201,DECKS!$A$2:$A$1201,INDEX(_LEITURA!$P$2:$P$21,11),DECKS!$B$2:$B$1201,$A112))</f>
        <v/>
      </c>
      <c r="V112" s="19" t="str">
        <f aca="false">IF(OR($A112="",INDEX(_LEITURA!$Q$2:$Q$21,12)=0),"",SUMIFS(DECKS!$D$2:$D$1201,DECKS!$A$2:$A$1201,INDEX(_LEITURA!$P$2:$P$21,12),DECKS!$B$2:$B$1201,$A112))</f>
        <v/>
      </c>
      <c r="W112" s="19" t="str">
        <f aca="false">IF(OR($A112="",INDEX(_LEITURA!$Q$2:$Q$21,13)=0),"",SUMIFS(DECKS!$D$2:$D$1201,DECKS!$A$2:$A$1201,INDEX(_LEITURA!$P$2:$P$21,13),DECKS!$B$2:$B$1201,$A112))</f>
        <v/>
      </c>
      <c r="X112" s="19" t="str">
        <f aca="false">IF(OR($A112="",INDEX(_LEITURA!$Q$2:$Q$21,14)=0),"",SUMIFS(DECKS!$D$2:$D$1201,DECKS!$A$2:$A$1201,INDEX(_LEITURA!$P$2:$P$21,14),DECKS!$B$2:$B$1201,$A112))</f>
        <v/>
      </c>
      <c r="Y112" s="19" t="str">
        <f aca="false">IF(OR($A112="",INDEX(_LEITURA!$Q$2:$Q$21,15)=0),"",SUMIFS(DECKS!$D$2:$D$1201,DECKS!$A$2:$A$1201,INDEX(_LEITURA!$P$2:$P$21,15),DECKS!$B$2:$B$1201,$A112))</f>
        <v/>
      </c>
      <c r="Z112" s="19" t="str">
        <f aca="false">IF(OR($A112="",INDEX(_LEITURA!$Q$2:$Q$21,16)=0),"",SUMIFS(DECKS!$D$2:$D$1201,DECKS!$A$2:$A$1201,INDEX(_LEITURA!$P$2:$P$21,16),DECKS!$B$2:$B$1201,$A112))</f>
        <v/>
      </c>
      <c r="AA112" s="19" t="str">
        <f aca="false">IF(OR($A112="",INDEX(_LEITURA!$Q$2:$Q$21,17)=0),"",SUMIFS(DECKS!$D$2:$D$1201,DECKS!$A$2:$A$1201,INDEX(_LEITURA!$P$2:$P$21,17),DECKS!$B$2:$B$1201,$A112))</f>
        <v/>
      </c>
      <c r="AB112" s="19" t="str">
        <f aca="false">IF(OR($A112="",INDEX(_LEITURA!$Q$2:$Q$21,18)=0),"",SUMIFS(DECKS!$D$2:$D$1201,DECKS!$A$2:$A$1201,INDEX(_LEITURA!$P$2:$P$21,18),DECKS!$B$2:$B$1201,$A112))</f>
        <v/>
      </c>
      <c r="AC112" s="19" t="str">
        <f aca="false">IF(OR($A112="",INDEX(_LEITURA!$Q$2:$Q$21,19)=0),"",SUMIFS(DECKS!$D$2:$D$1201,DECKS!$A$2:$A$1201,INDEX(_LEITURA!$P$2:$P$21,19),DECKS!$B$2:$B$1201,$A112))</f>
        <v/>
      </c>
      <c r="AD112" s="19" t="str">
        <f aca="false">IF(OR($A112="",INDEX(_LEITURA!$Q$2:$Q$21,20)=0),"",SUMIFS(DECKS!$D$2:$D$1201,DECKS!$A$2:$A$1201,INDEX(_LEITURA!$P$2:$P$21,20),DECKS!$B$2:$B$1201,$A112))</f>
        <v/>
      </c>
      <c r="AE112" s="16" t="str">
        <f aca="false">IF(N(E112)&gt;0,MAX(AE$1:AE111)+1,"")</f>
        <v/>
      </c>
      <c r="AF112" s="11" t="str">
        <f aca="false">IF(A112="","",IFERROR(LEFT(A112,FIND("-",A112)-1),A112))</f>
        <v/>
      </c>
      <c r="AG112" s="11" t="str">
        <f aca="false">IF(AF112="","",IF(ISNUMBER(--MID(AF112,1,1)),0,IF(ISNUMBER(--MID(AF112,2,1)),1,IF(ISNUMBER(--MID(AF112,3,1)),2,IF(ISNUMBER(--MID(AF112,4,1)),3,MIN(LEN(AF112),4))))))</f>
        <v/>
      </c>
      <c r="AH112" s="11" t="str">
        <f aca="false">IF(A112="","",LEFT(AF112,AG112)&amp;REPT("0",4-AG112)&amp;RIGHT("000"&amp;IFERROR(VALUE(MID(AF112,AG112+1,9)),0),3)&amp;RIGHT("0000"&amp;IFERROR(VALUE(MID(A112,FIND("-",A112)+1,9)),0),4))</f>
        <v/>
      </c>
      <c r="AI112" s="11" t="str">
        <f aca="false">IF(OR(A112="",N(E112)&lt;=0),"",IF('FALTAS GERAL'!$M$1="Código","K"&amp;AH112&amp;RIGHT("00000"&amp;ROW(),5),IF('FALTAS GERAL'!$M$1="Nome","K"&amp;UPPER(SUBSTITUTE(SUBSTITUTE(SUBSTITUTE(B112,"*",""),"?",""),"~",""))&amp;"0"&amp;AH112&amp;RIGHT("00000"&amp;ROW(),5),IF('FALTAS GERAL'!$M$1="Falta (maior primeiro)","K"&amp;RIGHT("0000"&amp;(9999-E112),4)&amp;AH112&amp;RIGHT("00000"&amp;ROW(),5),IF('FALTAS GERAL'!$M$1="Nº de decks (maior primeiro)","K"&amp;RIGHT("00"&amp;(99-N(G112)),2)&amp;AH112&amp;RIGHT("00000"&amp;ROW(),5),"K"&amp;RIGHT("00000"&amp;ROW(),5))))))</f>
        <v/>
      </c>
      <c r="AJ112" s="11" t="str">
        <f aca="false">IF(AI112="","",COUNTIFS($AI$2:$AI$801,"&lt;"&amp;AI112,$E$2:$E$801,"&gt;0")+1)</f>
        <v/>
      </c>
      <c r="AK112" s="11" t="str">
        <f aca="false">IF(OR(A112="",N(E112)&lt;=0),"",COUNTIFS($AH$2:$AH$801,"&lt;"&amp;AH112,$E$2:$E$801,"&gt;0")+COUNTIFS($AH$2:AH112,AH112,$E$2:E112,"&gt;0"))</f>
        <v/>
      </c>
    </row>
    <row r="113" customFormat="false" ht="15" hidden="false" customHeight="false" outlineLevel="0" collapsed="false">
      <c r="A113" s="11" t="str">
        <f aca="false">IF(INVENTÁRIO!A113="","",INVENTÁRIO!A113)</f>
        <v/>
      </c>
      <c r="B113" s="11" t="str">
        <f aca="false">IF(A113="","",INVENTÁRIO!B113)</f>
        <v/>
      </c>
      <c r="C113" s="16" t="str">
        <f aca="false">IF(A113="","",INVENTÁRIO!C113)</f>
        <v/>
      </c>
      <c r="D113" s="14" t="str">
        <f aca="false">IF(A113="","",MAX(K113:AD113))</f>
        <v/>
      </c>
      <c r="E113" s="14" t="str">
        <f aca="false">IF(A113="","",MAX(0,D113-C113))</f>
        <v/>
      </c>
      <c r="F113" s="16" t="str">
        <f aca="false">IF(A113="","",IF(D113=0,"Fora dos decks",IF(E113=0,"Completo","Falta")))</f>
        <v/>
      </c>
      <c r="G113" s="16" t="str">
        <f aca="false">IF(A113="","",COUNTIF(K113:AD113,"&gt;0"))</f>
        <v/>
      </c>
      <c r="H113" s="16" t="str">
        <f aca="false">IF(A113="","",IF(G113&gt;1,"Sim",""))</f>
        <v/>
      </c>
      <c r="I113" s="18" t="str">
        <f aca="false">IF(A113="","",SUMIFS(DECKS!$D$2:$D$1201,DECKS!$B$2:$B$1201,A113))</f>
        <v/>
      </c>
      <c r="J113" s="18" t="str">
        <f aca="false">IF(A113="","",MAX(0,I113-C113))</f>
        <v/>
      </c>
      <c r="K113" s="19" t="str">
        <f aca="false">IF(OR($A113="",INDEX(_LEITURA!$Q$2:$Q$21,1)=0),"",SUMIFS(DECKS!$D$2:$D$1201,DECKS!$A$2:$A$1201,INDEX(_LEITURA!$P$2:$P$21,1),DECKS!$B$2:$B$1201,$A113))</f>
        <v/>
      </c>
      <c r="L113" s="19" t="str">
        <f aca="false">IF(OR($A113="",INDEX(_LEITURA!$Q$2:$Q$21,2)=0),"",SUMIFS(DECKS!$D$2:$D$1201,DECKS!$A$2:$A$1201,INDEX(_LEITURA!$P$2:$P$21,2),DECKS!$B$2:$B$1201,$A113))</f>
        <v/>
      </c>
      <c r="M113" s="19" t="str">
        <f aca="false">IF(OR($A113="",INDEX(_LEITURA!$Q$2:$Q$21,3)=0),"",SUMIFS(DECKS!$D$2:$D$1201,DECKS!$A$2:$A$1201,INDEX(_LEITURA!$P$2:$P$21,3),DECKS!$B$2:$B$1201,$A113))</f>
        <v/>
      </c>
      <c r="N113" s="19" t="str">
        <f aca="false">IF(OR($A113="",INDEX(_LEITURA!$Q$2:$Q$21,4)=0),"",SUMIFS(DECKS!$D$2:$D$1201,DECKS!$A$2:$A$1201,INDEX(_LEITURA!$P$2:$P$21,4),DECKS!$B$2:$B$1201,$A113))</f>
        <v/>
      </c>
      <c r="O113" s="19" t="str">
        <f aca="false">IF(OR($A113="",INDEX(_LEITURA!$Q$2:$Q$21,5)=0),"",SUMIFS(DECKS!$D$2:$D$1201,DECKS!$A$2:$A$1201,INDEX(_LEITURA!$P$2:$P$21,5),DECKS!$B$2:$B$1201,$A113))</f>
        <v/>
      </c>
      <c r="P113" s="19" t="str">
        <f aca="false">IF(OR($A113="",INDEX(_LEITURA!$Q$2:$Q$21,6)=0),"",SUMIFS(DECKS!$D$2:$D$1201,DECKS!$A$2:$A$1201,INDEX(_LEITURA!$P$2:$P$21,6),DECKS!$B$2:$B$1201,$A113))</f>
        <v/>
      </c>
      <c r="Q113" s="19" t="str">
        <f aca="false">IF(OR($A113="",INDEX(_LEITURA!$Q$2:$Q$21,7)=0),"",SUMIFS(DECKS!$D$2:$D$1201,DECKS!$A$2:$A$1201,INDEX(_LEITURA!$P$2:$P$21,7),DECKS!$B$2:$B$1201,$A113))</f>
        <v/>
      </c>
      <c r="R113" s="19" t="str">
        <f aca="false">IF(OR($A113="",INDEX(_LEITURA!$Q$2:$Q$21,8)=0),"",SUMIFS(DECKS!$D$2:$D$1201,DECKS!$A$2:$A$1201,INDEX(_LEITURA!$P$2:$P$21,8),DECKS!$B$2:$B$1201,$A113))</f>
        <v/>
      </c>
      <c r="S113" s="19" t="str">
        <f aca="false">IF(OR($A113="",INDEX(_LEITURA!$Q$2:$Q$21,9)=0),"",SUMIFS(DECKS!$D$2:$D$1201,DECKS!$A$2:$A$1201,INDEX(_LEITURA!$P$2:$P$21,9),DECKS!$B$2:$B$1201,$A113))</f>
        <v/>
      </c>
      <c r="T113" s="19" t="str">
        <f aca="false">IF(OR($A113="",INDEX(_LEITURA!$Q$2:$Q$21,10)=0),"",SUMIFS(DECKS!$D$2:$D$1201,DECKS!$A$2:$A$1201,INDEX(_LEITURA!$P$2:$P$21,10),DECKS!$B$2:$B$1201,$A113))</f>
        <v/>
      </c>
      <c r="U113" s="19" t="str">
        <f aca="false">IF(OR($A113="",INDEX(_LEITURA!$Q$2:$Q$21,11)=0),"",SUMIFS(DECKS!$D$2:$D$1201,DECKS!$A$2:$A$1201,INDEX(_LEITURA!$P$2:$P$21,11),DECKS!$B$2:$B$1201,$A113))</f>
        <v/>
      </c>
      <c r="V113" s="19" t="str">
        <f aca="false">IF(OR($A113="",INDEX(_LEITURA!$Q$2:$Q$21,12)=0),"",SUMIFS(DECKS!$D$2:$D$1201,DECKS!$A$2:$A$1201,INDEX(_LEITURA!$P$2:$P$21,12),DECKS!$B$2:$B$1201,$A113))</f>
        <v/>
      </c>
      <c r="W113" s="19" t="str">
        <f aca="false">IF(OR($A113="",INDEX(_LEITURA!$Q$2:$Q$21,13)=0),"",SUMIFS(DECKS!$D$2:$D$1201,DECKS!$A$2:$A$1201,INDEX(_LEITURA!$P$2:$P$21,13),DECKS!$B$2:$B$1201,$A113))</f>
        <v/>
      </c>
      <c r="X113" s="19" t="str">
        <f aca="false">IF(OR($A113="",INDEX(_LEITURA!$Q$2:$Q$21,14)=0),"",SUMIFS(DECKS!$D$2:$D$1201,DECKS!$A$2:$A$1201,INDEX(_LEITURA!$P$2:$P$21,14),DECKS!$B$2:$B$1201,$A113))</f>
        <v/>
      </c>
      <c r="Y113" s="19" t="str">
        <f aca="false">IF(OR($A113="",INDEX(_LEITURA!$Q$2:$Q$21,15)=0),"",SUMIFS(DECKS!$D$2:$D$1201,DECKS!$A$2:$A$1201,INDEX(_LEITURA!$P$2:$P$21,15),DECKS!$B$2:$B$1201,$A113))</f>
        <v/>
      </c>
      <c r="Z113" s="19" t="str">
        <f aca="false">IF(OR($A113="",INDEX(_LEITURA!$Q$2:$Q$21,16)=0),"",SUMIFS(DECKS!$D$2:$D$1201,DECKS!$A$2:$A$1201,INDEX(_LEITURA!$P$2:$P$21,16),DECKS!$B$2:$B$1201,$A113))</f>
        <v/>
      </c>
      <c r="AA113" s="19" t="str">
        <f aca="false">IF(OR($A113="",INDEX(_LEITURA!$Q$2:$Q$21,17)=0),"",SUMIFS(DECKS!$D$2:$D$1201,DECKS!$A$2:$A$1201,INDEX(_LEITURA!$P$2:$P$21,17),DECKS!$B$2:$B$1201,$A113))</f>
        <v/>
      </c>
      <c r="AB113" s="19" t="str">
        <f aca="false">IF(OR($A113="",INDEX(_LEITURA!$Q$2:$Q$21,18)=0),"",SUMIFS(DECKS!$D$2:$D$1201,DECKS!$A$2:$A$1201,INDEX(_LEITURA!$P$2:$P$21,18),DECKS!$B$2:$B$1201,$A113))</f>
        <v/>
      </c>
      <c r="AC113" s="19" t="str">
        <f aca="false">IF(OR($A113="",INDEX(_LEITURA!$Q$2:$Q$21,19)=0),"",SUMIFS(DECKS!$D$2:$D$1201,DECKS!$A$2:$A$1201,INDEX(_LEITURA!$P$2:$P$21,19),DECKS!$B$2:$B$1201,$A113))</f>
        <v/>
      </c>
      <c r="AD113" s="19" t="str">
        <f aca="false">IF(OR($A113="",INDEX(_LEITURA!$Q$2:$Q$21,20)=0),"",SUMIFS(DECKS!$D$2:$D$1201,DECKS!$A$2:$A$1201,INDEX(_LEITURA!$P$2:$P$21,20),DECKS!$B$2:$B$1201,$A113))</f>
        <v/>
      </c>
      <c r="AE113" s="16" t="str">
        <f aca="false">IF(N(E113)&gt;0,MAX(AE$1:AE112)+1,"")</f>
        <v/>
      </c>
      <c r="AF113" s="11" t="str">
        <f aca="false">IF(A113="","",IFERROR(LEFT(A113,FIND("-",A113)-1),A113))</f>
        <v/>
      </c>
      <c r="AG113" s="11" t="str">
        <f aca="false">IF(AF113="","",IF(ISNUMBER(--MID(AF113,1,1)),0,IF(ISNUMBER(--MID(AF113,2,1)),1,IF(ISNUMBER(--MID(AF113,3,1)),2,IF(ISNUMBER(--MID(AF113,4,1)),3,MIN(LEN(AF113),4))))))</f>
        <v/>
      </c>
      <c r="AH113" s="11" t="str">
        <f aca="false">IF(A113="","",LEFT(AF113,AG113)&amp;REPT("0",4-AG113)&amp;RIGHT("000"&amp;IFERROR(VALUE(MID(AF113,AG113+1,9)),0),3)&amp;RIGHT("0000"&amp;IFERROR(VALUE(MID(A113,FIND("-",A113)+1,9)),0),4))</f>
        <v/>
      </c>
      <c r="AI113" s="11" t="str">
        <f aca="false">IF(OR(A113="",N(E113)&lt;=0),"",IF('FALTAS GERAL'!$M$1="Código","K"&amp;AH113&amp;RIGHT("00000"&amp;ROW(),5),IF('FALTAS GERAL'!$M$1="Nome","K"&amp;UPPER(SUBSTITUTE(SUBSTITUTE(SUBSTITUTE(B113,"*",""),"?",""),"~",""))&amp;"0"&amp;AH113&amp;RIGHT("00000"&amp;ROW(),5),IF('FALTAS GERAL'!$M$1="Falta (maior primeiro)","K"&amp;RIGHT("0000"&amp;(9999-E113),4)&amp;AH113&amp;RIGHT("00000"&amp;ROW(),5),IF('FALTAS GERAL'!$M$1="Nº de decks (maior primeiro)","K"&amp;RIGHT("00"&amp;(99-N(G113)),2)&amp;AH113&amp;RIGHT("00000"&amp;ROW(),5),"K"&amp;RIGHT("00000"&amp;ROW(),5))))))</f>
        <v/>
      </c>
      <c r="AJ113" s="11" t="str">
        <f aca="false">IF(AI113="","",COUNTIFS($AI$2:$AI$801,"&lt;"&amp;AI113,$E$2:$E$801,"&gt;0")+1)</f>
        <v/>
      </c>
      <c r="AK113" s="11" t="str">
        <f aca="false">IF(OR(A113="",N(E113)&lt;=0),"",COUNTIFS($AH$2:$AH$801,"&lt;"&amp;AH113,$E$2:$E$801,"&gt;0")+COUNTIFS($AH$2:AH113,AH113,$E$2:E113,"&gt;0"))</f>
        <v/>
      </c>
    </row>
    <row r="114" customFormat="false" ht="15" hidden="false" customHeight="false" outlineLevel="0" collapsed="false">
      <c r="A114" s="11" t="str">
        <f aca="false">IF(INVENTÁRIO!A114="","",INVENTÁRIO!A114)</f>
        <v/>
      </c>
      <c r="B114" s="11" t="str">
        <f aca="false">IF(A114="","",INVENTÁRIO!B114)</f>
        <v/>
      </c>
      <c r="C114" s="16" t="str">
        <f aca="false">IF(A114="","",INVENTÁRIO!C114)</f>
        <v/>
      </c>
      <c r="D114" s="14" t="str">
        <f aca="false">IF(A114="","",MAX(K114:AD114))</f>
        <v/>
      </c>
      <c r="E114" s="14" t="str">
        <f aca="false">IF(A114="","",MAX(0,D114-C114))</f>
        <v/>
      </c>
      <c r="F114" s="16" t="str">
        <f aca="false">IF(A114="","",IF(D114=0,"Fora dos decks",IF(E114=0,"Completo","Falta")))</f>
        <v/>
      </c>
      <c r="G114" s="16" t="str">
        <f aca="false">IF(A114="","",COUNTIF(K114:AD114,"&gt;0"))</f>
        <v/>
      </c>
      <c r="H114" s="16" t="str">
        <f aca="false">IF(A114="","",IF(G114&gt;1,"Sim",""))</f>
        <v/>
      </c>
      <c r="I114" s="18" t="str">
        <f aca="false">IF(A114="","",SUMIFS(DECKS!$D$2:$D$1201,DECKS!$B$2:$B$1201,A114))</f>
        <v/>
      </c>
      <c r="J114" s="18" t="str">
        <f aca="false">IF(A114="","",MAX(0,I114-C114))</f>
        <v/>
      </c>
      <c r="K114" s="19" t="str">
        <f aca="false">IF(OR($A114="",INDEX(_LEITURA!$Q$2:$Q$21,1)=0),"",SUMIFS(DECKS!$D$2:$D$1201,DECKS!$A$2:$A$1201,INDEX(_LEITURA!$P$2:$P$21,1),DECKS!$B$2:$B$1201,$A114))</f>
        <v/>
      </c>
      <c r="L114" s="19" t="str">
        <f aca="false">IF(OR($A114="",INDEX(_LEITURA!$Q$2:$Q$21,2)=0),"",SUMIFS(DECKS!$D$2:$D$1201,DECKS!$A$2:$A$1201,INDEX(_LEITURA!$P$2:$P$21,2),DECKS!$B$2:$B$1201,$A114))</f>
        <v/>
      </c>
      <c r="M114" s="19" t="str">
        <f aca="false">IF(OR($A114="",INDEX(_LEITURA!$Q$2:$Q$21,3)=0),"",SUMIFS(DECKS!$D$2:$D$1201,DECKS!$A$2:$A$1201,INDEX(_LEITURA!$P$2:$P$21,3),DECKS!$B$2:$B$1201,$A114))</f>
        <v/>
      </c>
      <c r="N114" s="19" t="str">
        <f aca="false">IF(OR($A114="",INDEX(_LEITURA!$Q$2:$Q$21,4)=0),"",SUMIFS(DECKS!$D$2:$D$1201,DECKS!$A$2:$A$1201,INDEX(_LEITURA!$P$2:$P$21,4),DECKS!$B$2:$B$1201,$A114))</f>
        <v/>
      </c>
      <c r="O114" s="19" t="str">
        <f aca="false">IF(OR($A114="",INDEX(_LEITURA!$Q$2:$Q$21,5)=0),"",SUMIFS(DECKS!$D$2:$D$1201,DECKS!$A$2:$A$1201,INDEX(_LEITURA!$P$2:$P$21,5),DECKS!$B$2:$B$1201,$A114))</f>
        <v/>
      </c>
      <c r="P114" s="19" t="str">
        <f aca="false">IF(OR($A114="",INDEX(_LEITURA!$Q$2:$Q$21,6)=0),"",SUMIFS(DECKS!$D$2:$D$1201,DECKS!$A$2:$A$1201,INDEX(_LEITURA!$P$2:$P$21,6),DECKS!$B$2:$B$1201,$A114))</f>
        <v/>
      </c>
      <c r="Q114" s="19" t="str">
        <f aca="false">IF(OR($A114="",INDEX(_LEITURA!$Q$2:$Q$21,7)=0),"",SUMIFS(DECKS!$D$2:$D$1201,DECKS!$A$2:$A$1201,INDEX(_LEITURA!$P$2:$P$21,7),DECKS!$B$2:$B$1201,$A114))</f>
        <v/>
      </c>
      <c r="R114" s="19" t="str">
        <f aca="false">IF(OR($A114="",INDEX(_LEITURA!$Q$2:$Q$21,8)=0),"",SUMIFS(DECKS!$D$2:$D$1201,DECKS!$A$2:$A$1201,INDEX(_LEITURA!$P$2:$P$21,8),DECKS!$B$2:$B$1201,$A114))</f>
        <v/>
      </c>
      <c r="S114" s="19" t="str">
        <f aca="false">IF(OR($A114="",INDEX(_LEITURA!$Q$2:$Q$21,9)=0),"",SUMIFS(DECKS!$D$2:$D$1201,DECKS!$A$2:$A$1201,INDEX(_LEITURA!$P$2:$P$21,9),DECKS!$B$2:$B$1201,$A114))</f>
        <v/>
      </c>
      <c r="T114" s="19" t="str">
        <f aca="false">IF(OR($A114="",INDEX(_LEITURA!$Q$2:$Q$21,10)=0),"",SUMIFS(DECKS!$D$2:$D$1201,DECKS!$A$2:$A$1201,INDEX(_LEITURA!$P$2:$P$21,10),DECKS!$B$2:$B$1201,$A114))</f>
        <v/>
      </c>
      <c r="U114" s="19" t="str">
        <f aca="false">IF(OR($A114="",INDEX(_LEITURA!$Q$2:$Q$21,11)=0),"",SUMIFS(DECKS!$D$2:$D$1201,DECKS!$A$2:$A$1201,INDEX(_LEITURA!$P$2:$P$21,11),DECKS!$B$2:$B$1201,$A114))</f>
        <v/>
      </c>
      <c r="V114" s="19" t="str">
        <f aca="false">IF(OR($A114="",INDEX(_LEITURA!$Q$2:$Q$21,12)=0),"",SUMIFS(DECKS!$D$2:$D$1201,DECKS!$A$2:$A$1201,INDEX(_LEITURA!$P$2:$P$21,12),DECKS!$B$2:$B$1201,$A114))</f>
        <v/>
      </c>
      <c r="W114" s="19" t="str">
        <f aca="false">IF(OR($A114="",INDEX(_LEITURA!$Q$2:$Q$21,13)=0),"",SUMIFS(DECKS!$D$2:$D$1201,DECKS!$A$2:$A$1201,INDEX(_LEITURA!$P$2:$P$21,13),DECKS!$B$2:$B$1201,$A114))</f>
        <v/>
      </c>
      <c r="X114" s="19" t="str">
        <f aca="false">IF(OR($A114="",INDEX(_LEITURA!$Q$2:$Q$21,14)=0),"",SUMIFS(DECKS!$D$2:$D$1201,DECKS!$A$2:$A$1201,INDEX(_LEITURA!$P$2:$P$21,14),DECKS!$B$2:$B$1201,$A114))</f>
        <v/>
      </c>
      <c r="Y114" s="19" t="str">
        <f aca="false">IF(OR($A114="",INDEX(_LEITURA!$Q$2:$Q$21,15)=0),"",SUMIFS(DECKS!$D$2:$D$1201,DECKS!$A$2:$A$1201,INDEX(_LEITURA!$P$2:$P$21,15),DECKS!$B$2:$B$1201,$A114))</f>
        <v/>
      </c>
      <c r="Z114" s="19" t="str">
        <f aca="false">IF(OR($A114="",INDEX(_LEITURA!$Q$2:$Q$21,16)=0),"",SUMIFS(DECKS!$D$2:$D$1201,DECKS!$A$2:$A$1201,INDEX(_LEITURA!$P$2:$P$21,16),DECKS!$B$2:$B$1201,$A114))</f>
        <v/>
      </c>
      <c r="AA114" s="19" t="str">
        <f aca="false">IF(OR($A114="",INDEX(_LEITURA!$Q$2:$Q$21,17)=0),"",SUMIFS(DECKS!$D$2:$D$1201,DECKS!$A$2:$A$1201,INDEX(_LEITURA!$P$2:$P$21,17),DECKS!$B$2:$B$1201,$A114))</f>
        <v/>
      </c>
      <c r="AB114" s="19" t="str">
        <f aca="false">IF(OR($A114="",INDEX(_LEITURA!$Q$2:$Q$21,18)=0),"",SUMIFS(DECKS!$D$2:$D$1201,DECKS!$A$2:$A$1201,INDEX(_LEITURA!$P$2:$P$21,18),DECKS!$B$2:$B$1201,$A114))</f>
        <v/>
      </c>
      <c r="AC114" s="19" t="str">
        <f aca="false">IF(OR($A114="",INDEX(_LEITURA!$Q$2:$Q$21,19)=0),"",SUMIFS(DECKS!$D$2:$D$1201,DECKS!$A$2:$A$1201,INDEX(_LEITURA!$P$2:$P$21,19),DECKS!$B$2:$B$1201,$A114))</f>
        <v/>
      </c>
      <c r="AD114" s="19" t="str">
        <f aca="false">IF(OR($A114="",INDEX(_LEITURA!$Q$2:$Q$21,20)=0),"",SUMIFS(DECKS!$D$2:$D$1201,DECKS!$A$2:$A$1201,INDEX(_LEITURA!$P$2:$P$21,20),DECKS!$B$2:$B$1201,$A114))</f>
        <v/>
      </c>
      <c r="AE114" s="16" t="str">
        <f aca="false">IF(N(E114)&gt;0,MAX(AE$1:AE113)+1,"")</f>
        <v/>
      </c>
      <c r="AF114" s="11" t="str">
        <f aca="false">IF(A114="","",IFERROR(LEFT(A114,FIND("-",A114)-1),A114))</f>
        <v/>
      </c>
      <c r="AG114" s="11" t="str">
        <f aca="false">IF(AF114="","",IF(ISNUMBER(--MID(AF114,1,1)),0,IF(ISNUMBER(--MID(AF114,2,1)),1,IF(ISNUMBER(--MID(AF114,3,1)),2,IF(ISNUMBER(--MID(AF114,4,1)),3,MIN(LEN(AF114),4))))))</f>
        <v/>
      </c>
      <c r="AH114" s="11" t="str">
        <f aca="false">IF(A114="","",LEFT(AF114,AG114)&amp;REPT("0",4-AG114)&amp;RIGHT("000"&amp;IFERROR(VALUE(MID(AF114,AG114+1,9)),0),3)&amp;RIGHT("0000"&amp;IFERROR(VALUE(MID(A114,FIND("-",A114)+1,9)),0),4))</f>
        <v/>
      </c>
      <c r="AI114" s="11" t="str">
        <f aca="false">IF(OR(A114="",N(E114)&lt;=0),"",IF('FALTAS GERAL'!$M$1="Código","K"&amp;AH114&amp;RIGHT("00000"&amp;ROW(),5),IF('FALTAS GERAL'!$M$1="Nome","K"&amp;UPPER(SUBSTITUTE(SUBSTITUTE(SUBSTITUTE(B114,"*",""),"?",""),"~",""))&amp;"0"&amp;AH114&amp;RIGHT("00000"&amp;ROW(),5),IF('FALTAS GERAL'!$M$1="Falta (maior primeiro)","K"&amp;RIGHT("0000"&amp;(9999-E114),4)&amp;AH114&amp;RIGHT("00000"&amp;ROW(),5),IF('FALTAS GERAL'!$M$1="Nº de decks (maior primeiro)","K"&amp;RIGHT("00"&amp;(99-N(G114)),2)&amp;AH114&amp;RIGHT("00000"&amp;ROW(),5),"K"&amp;RIGHT("00000"&amp;ROW(),5))))))</f>
        <v/>
      </c>
      <c r="AJ114" s="11" t="str">
        <f aca="false">IF(AI114="","",COUNTIFS($AI$2:$AI$801,"&lt;"&amp;AI114,$E$2:$E$801,"&gt;0")+1)</f>
        <v/>
      </c>
      <c r="AK114" s="11" t="str">
        <f aca="false">IF(OR(A114="",N(E114)&lt;=0),"",COUNTIFS($AH$2:$AH$801,"&lt;"&amp;AH114,$E$2:$E$801,"&gt;0")+COUNTIFS($AH$2:AH114,AH114,$E$2:E114,"&gt;0"))</f>
        <v/>
      </c>
    </row>
    <row r="115" customFormat="false" ht="15" hidden="false" customHeight="false" outlineLevel="0" collapsed="false">
      <c r="A115" s="11" t="str">
        <f aca="false">IF(INVENTÁRIO!A115="","",INVENTÁRIO!A115)</f>
        <v/>
      </c>
      <c r="B115" s="11" t="str">
        <f aca="false">IF(A115="","",INVENTÁRIO!B115)</f>
        <v/>
      </c>
      <c r="C115" s="16" t="str">
        <f aca="false">IF(A115="","",INVENTÁRIO!C115)</f>
        <v/>
      </c>
      <c r="D115" s="14" t="str">
        <f aca="false">IF(A115="","",MAX(K115:AD115))</f>
        <v/>
      </c>
      <c r="E115" s="14" t="str">
        <f aca="false">IF(A115="","",MAX(0,D115-C115))</f>
        <v/>
      </c>
      <c r="F115" s="16" t="str">
        <f aca="false">IF(A115="","",IF(D115=0,"Fora dos decks",IF(E115=0,"Completo","Falta")))</f>
        <v/>
      </c>
      <c r="G115" s="16" t="str">
        <f aca="false">IF(A115="","",COUNTIF(K115:AD115,"&gt;0"))</f>
        <v/>
      </c>
      <c r="H115" s="16" t="str">
        <f aca="false">IF(A115="","",IF(G115&gt;1,"Sim",""))</f>
        <v/>
      </c>
      <c r="I115" s="18" t="str">
        <f aca="false">IF(A115="","",SUMIFS(DECKS!$D$2:$D$1201,DECKS!$B$2:$B$1201,A115))</f>
        <v/>
      </c>
      <c r="J115" s="18" t="str">
        <f aca="false">IF(A115="","",MAX(0,I115-C115))</f>
        <v/>
      </c>
      <c r="K115" s="19" t="str">
        <f aca="false">IF(OR($A115="",INDEX(_LEITURA!$Q$2:$Q$21,1)=0),"",SUMIFS(DECKS!$D$2:$D$1201,DECKS!$A$2:$A$1201,INDEX(_LEITURA!$P$2:$P$21,1),DECKS!$B$2:$B$1201,$A115))</f>
        <v/>
      </c>
      <c r="L115" s="19" t="str">
        <f aca="false">IF(OR($A115="",INDEX(_LEITURA!$Q$2:$Q$21,2)=0),"",SUMIFS(DECKS!$D$2:$D$1201,DECKS!$A$2:$A$1201,INDEX(_LEITURA!$P$2:$P$21,2),DECKS!$B$2:$B$1201,$A115))</f>
        <v/>
      </c>
      <c r="M115" s="19" t="str">
        <f aca="false">IF(OR($A115="",INDEX(_LEITURA!$Q$2:$Q$21,3)=0),"",SUMIFS(DECKS!$D$2:$D$1201,DECKS!$A$2:$A$1201,INDEX(_LEITURA!$P$2:$P$21,3),DECKS!$B$2:$B$1201,$A115))</f>
        <v/>
      </c>
      <c r="N115" s="19" t="str">
        <f aca="false">IF(OR($A115="",INDEX(_LEITURA!$Q$2:$Q$21,4)=0),"",SUMIFS(DECKS!$D$2:$D$1201,DECKS!$A$2:$A$1201,INDEX(_LEITURA!$P$2:$P$21,4),DECKS!$B$2:$B$1201,$A115))</f>
        <v/>
      </c>
      <c r="O115" s="19" t="str">
        <f aca="false">IF(OR($A115="",INDEX(_LEITURA!$Q$2:$Q$21,5)=0),"",SUMIFS(DECKS!$D$2:$D$1201,DECKS!$A$2:$A$1201,INDEX(_LEITURA!$P$2:$P$21,5),DECKS!$B$2:$B$1201,$A115))</f>
        <v/>
      </c>
      <c r="P115" s="19" t="str">
        <f aca="false">IF(OR($A115="",INDEX(_LEITURA!$Q$2:$Q$21,6)=0),"",SUMIFS(DECKS!$D$2:$D$1201,DECKS!$A$2:$A$1201,INDEX(_LEITURA!$P$2:$P$21,6),DECKS!$B$2:$B$1201,$A115))</f>
        <v/>
      </c>
      <c r="Q115" s="19" t="str">
        <f aca="false">IF(OR($A115="",INDEX(_LEITURA!$Q$2:$Q$21,7)=0),"",SUMIFS(DECKS!$D$2:$D$1201,DECKS!$A$2:$A$1201,INDEX(_LEITURA!$P$2:$P$21,7),DECKS!$B$2:$B$1201,$A115))</f>
        <v/>
      </c>
      <c r="R115" s="19" t="str">
        <f aca="false">IF(OR($A115="",INDEX(_LEITURA!$Q$2:$Q$21,8)=0),"",SUMIFS(DECKS!$D$2:$D$1201,DECKS!$A$2:$A$1201,INDEX(_LEITURA!$P$2:$P$21,8),DECKS!$B$2:$B$1201,$A115))</f>
        <v/>
      </c>
      <c r="S115" s="19" t="str">
        <f aca="false">IF(OR($A115="",INDEX(_LEITURA!$Q$2:$Q$21,9)=0),"",SUMIFS(DECKS!$D$2:$D$1201,DECKS!$A$2:$A$1201,INDEX(_LEITURA!$P$2:$P$21,9),DECKS!$B$2:$B$1201,$A115))</f>
        <v/>
      </c>
      <c r="T115" s="19" t="str">
        <f aca="false">IF(OR($A115="",INDEX(_LEITURA!$Q$2:$Q$21,10)=0),"",SUMIFS(DECKS!$D$2:$D$1201,DECKS!$A$2:$A$1201,INDEX(_LEITURA!$P$2:$P$21,10),DECKS!$B$2:$B$1201,$A115))</f>
        <v/>
      </c>
      <c r="U115" s="19" t="str">
        <f aca="false">IF(OR($A115="",INDEX(_LEITURA!$Q$2:$Q$21,11)=0),"",SUMIFS(DECKS!$D$2:$D$1201,DECKS!$A$2:$A$1201,INDEX(_LEITURA!$P$2:$P$21,11),DECKS!$B$2:$B$1201,$A115))</f>
        <v/>
      </c>
      <c r="V115" s="19" t="str">
        <f aca="false">IF(OR($A115="",INDEX(_LEITURA!$Q$2:$Q$21,12)=0),"",SUMIFS(DECKS!$D$2:$D$1201,DECKS!$A$2:$A$1201,INDEX(_LEITURA!$P$2:$P$21,12),DECKS!$B$2:$B$1201,$A115))</f>
        <v/>
      </c>
      <c r="W115" s="19" t="str">
        <f aca="false">IF(OR($A115="",INDEX(_LEITURA!$Q$2:$Q$21,13)=0),"",SUMIFS(DECKS!$D$2:$D$1201,DECKS!$A$2:$A$1201,INDEX(_LEITURA!$P$2:$P$21,13),DECKS!$B$2:$B$1201,$A115))</f>
        <v/>
      </c>
      <c r="X115" s="19" t="str">
        <f aca="false">IF(OR($A115="",INDEX(_LEITURA!$Q$2:$Q$21,14)=0),"",SUMIFS(DECKS!$D$2:$D$1201,DECKS!$A$2:$A$1201,INDEX(_LEITURA!$P$2:$P$21,14),DECKS!$B$2:$B$1201,$A115))</f>
        <v/>
      </c>
      <c r="Y115" s="19" t="str">
        <f aca="false">IF(OR($A115="",INDEX(_LEITURA!$Q$2:$Q$21,15)=0),"",SUMIFS(DECKS!$D$2:$D$1201,DECKS!$A$2:$A$1201,INDEX(_LEITURA!$P$2:$P$21,15),DECKS!$B$2:$B$1201,$A115))</f>
        <v/>
      </c>
      <c r="Z115" s="19" t="str">
        <f aca="false">IF(OR($A115="",INDEX(_LEITURA!$Q$2:$Q$21,16)=0),"",SUMIFS(DECKS!$D$2:$D$1201,DECKS!$A$2:$A$1201,INDEX(_LEITURA!$P$2:$P$21,16),DECKS!$B$2:$B$1201,$A115))</f>
        <v/>
      </c>
      <c r="AA115" s="19" t="str">
        <f aca="false">IF(OR($A115="",INDEX(_LEITURA!$Q$2:$Q$21,17)=0),"",SUMIFS(DECKS!$D$2:$D$1201,DECKS!$A$2:$A$1201,INDEX(_LEITURA!$P$2:$P$21,17),DECKS!$B$2:$B$1201,$A115))</f>
        <v/>
      </c>
      <c r="AB115" s="19" t="str">
        <f aca="false">IF(OR($A115="",INDEX(_LEITURA!$Q$2:$Q$21,18)=0),"",SUMIFS(DECKS!$D$2:$D$1201,DECKS!$A$2:$A$1201,INDEX(_LEITURA!$P$2:$P$21,18),DECKS!$B$2:$B$1201,$A115))</f>
        <v/>
      </c>
      <c r="AC115" s="19" t="str">
        <f aca="false">IF(OR($A115="",INDEX(_LEITURA!$Q$2:$Q$21,19)=0),"",SUMIFS(DECKS!$D$2:$D$1201,DECKS!$A$2:$A$1201,INDEX(_LEITURA!$P$2:$P$21,19),DECKS!$B$2:$B$1201,$A115))</f>
        <v/>
      </c>
      <c r="AD115" s="19" t="str">
        <f aca="false">IF(OR($A115="",INDEX(_LEITURA!$Q$2:$Q$21,20)=0),"",SUMIFS(DECKS!$D$2:$D$1201,DECKS!$A$2:$A$1201,INDEX(_LEITURA!$P$2:$P$21,20),DECKS!$B$2:$B$1201,$A115))</f>
        <v/>
      </c>
      <c r="AE115" s="16" t="str">
        <f aca="false">IF(N(E115)&gt;0,MAX(AE$1:AE114)+1,"")</f>
        <v/>
      </c>
      <c r="AF115" s="11" t="str">
        <f aca="false">IF(A115="","",IFERROR(LEFT(A115,FIND("-",A115)-1),A115))</f>
        <v/>
      </c>
      <c r="AG115" s="11" t="str">
        <f aca="false">IF(AF115="","",IF(ISNUMBER(--MID(AF115,1,1)),0,IF(ISNUMBER(--MID(AF115,2,1)),1,IF(ISNUMBER(--MID(AF115,3,1)),2,IF(ISNUMBER(--MID(AF115,4,1)),3,MIN(LEN(AF115),4))))))</f>
        <v/>
      </c>
      <c r="AH115" s="11" t="str">
        <f aca="false">IF(A115="","",LEFT(AF115,AG115)&amp;REPT("0",4-AG115)&amp;RIGHT("000"&amp;IFERROR(VALUE(MID(AF115,AG115+1,9)),0),3)&amp;RIGHT("0000"&amp;IFERROR(VALUE(MID(A115,FIND("-",A115)+1,9)),0),4))</f>
        <v/>
      </c>
      <c r="AI115" s="11" t="str">
        <f aca="false">IF(OR(A115="",N(E115)&lt;=0),"",IF('FALTAS GERAL'!$M$1="Código","K"&amp;AH115&amp;RIGHT("00000"&amp;ROW(),5),IF('FALTAS GERAL'!$M$1="Nome","K"&amp;UPPER(SUBSTITUTE(SUBSTITUTE(SUBSTITUTE(B115,"*",""),"?",""),"~",""))&amp;"0"&amp;AH115&amp;RIGHT("00000"&amp;ROW(),5),IF('FALTAS GERAL'!$M$1="Falta (maior primeiro)","K"&amp;RIGHT("0000"&amp;(9999-E115),4)&amp;AH115&amp;RIGHT("00000"&amp;ROW(),5),IF('FALTAS GERAL'!$M$1="Nº de decks (maior primeiro)","K"&amp;RIGHT("00"&amp;(99-N(G115)),2)&amp;AH115&amp;RIGHT("00000"&amp;ROW(),5),"K"&amp;RIGHT("00000"&amp;ROW(),5))))))</f>
        <v/>
      </c>
      <c r="AJ115" s="11" t="str">
        <f aca="false">IF(AI115="","",COUNTIFS($AI$2:$AI$801,"&lt;"&amp;AI115,$E$2:$E$801,"&gt;0")+1)</f>
        <v/>
      </c>
      <c r="AK115" s="11" t="str">
        <f aca="false">IF(OR(A115="",N(E115)&lt;=0),"",COUNTIFS($AH$2:$AH$801,"&lt;"&amp;AH115,$E$2:$E$801,"&gt;0")+COUNTIFS($AH$2:AH115,AH115,$E$2:E115,"&gt;0"))</f>
        <v/>
      </c>
    </row>
    <row r="116" customFormat="false" ht="15" hidden="false" customHeight="false" outlineLevel="0" collapsed="false">
      <c r="A116" s="11" t="str">
        <f aca="false">IF(INVENTÁRIO!A116="","",INVENTÁRIO!A116)</f>
        <v/>
      </c>
      <c r="B116" s="11" t="str">
        <f aca="false">IF(A116="","",INVENTÁRIO!B116)</f>
        <v/>
      </c>
      <c r="C116" s="16" t="str">
        <f aca="false">IF(A116="","",INVENTÁRIO!C116)</f>
        <v/>
      </c>
      <c r="D116" s="14" t="str">
        <f aca="false">IF(A116="","",MAX(K116:AD116))</f>
        <v/>
      </c>
      <c r="E116" s="14" t="str">
        <f aca="false">IF(A116="","",MAX(0,D116-C116))</f>
        <v/>
      </c>
      <c r="F116" s="16" t="str">
        <f aca="false">IF(A116="","",IF(D116=0,"Fora dos decks",IF(E116=0,"Completo","Falta")))</f>
        <v/>
      </c>
      <c r="G116" s="16" t="str">
        <f aca="false">IF(A116="","",COUNTIF(K116:AD116,"&gt;0"))</f>
        <v/>
      </c>
      <c r="H116" s="16" t="str">
        <f aca="false">IF(A116="","",IF(G116&gt;1,"Sim",""))</f>
        <v/>
      </c>
      <c r="I116" s="18" t="str">
        <f aca="false">IF(A116="","",SUMIFS(DECKS!$D$2:$D$1201,DECKS!$B$2:$B$1201,A116))</f>
        <v/>
      </c>
      <c r="J116" s="18" t="str">
        <f aca="false">IF(A116="","",MAX(0,I116-C116))</f>
        <v/>
      </c>
      <c r="K116" s="19" t="str">
        <f aca="false">IF(OR($A116="",INDEX(_LEITURA!$Q$2:$Q$21,1)=0),"",SUMIFS(DECKS!$D$2:$D$1201,DECKS!$A$2:$A$1201,INDEX(_LEITURA!$P$2:$P$21,1),DECKS!$B$2:$B$1201,$A116))</f>
        <v/>
      </c>
      <c r="L116" s="19" t="str">
        <f aca="false">IF(OR($A116="",INDEX(_LEITURA!$Q$2:$Q$21,2)=0),"",SUMIFS(DECKS!$D$2:$D$1201,DECKS!$A$2:$A$1201,INDEX(_LEITURA!$P$2:$P$21,2),DECKS!$B$2:$B$1201,$A116))</f>
        <v/>
      </c>
      <c r="M116" s="19" t="str">
        <f aca="false">IF(OR($A116="",INDEX(_LEITURA!$Q$2:$Q$21,3)=0),"",SUMIFS(DECKS!$D$2:$D$1201,DECKS!$A$2:$A$1201,INDEX(_LEITURA!$P$2:$P$21,3),DECKS!$B$2:$B$1201,$A116))</f>
        <v/>
      </c>
      <c r="N116" s="19" t="str">
        <f aca="false">IF(OR($A116="",INDEX(_LEITURA!$Q$2:$Q$21,4)=0),"",SUMIFS(DECKS!$D$2:$D$1201,DECKS!$A$2:$A$1201,INDEX(_LEITURA!$P$2:$P$21,4),DECKS!$B$2:$B$1201,$A116))</f>
        <v/>
      </c>
      <c r="O116" s="19" t="str">
        <f aca="false">IF(OR($A116="",INDEX(_LEITURA!$Q$2:$Q$21,5)=0),"",SUMIFS(DECKS!$D$2:$D$1201,DECKS!$A$2:$A$1201,INDEX(_LEITURA!$P$2:$P$21,5),DECKS!$B$2:$B$1201,$A116))</f>
        <v/>
      </c>
      <c r="P116" s="19" t="str">
        <f aca="false">IF(OR($A116="",INDEX(_LEITURA!$Q$2:$Q$21,6)=0),"",SUMIFS(DECKS!$D$2:$D$1201,DECKS!$A$2:$A$1201,INDEX(_LEITURA!$P$2:$P$21,6),DECKS!$B$2:$B$1201,$A116))</f>
        <v/>
      </c>
      <c r="Q116" s="19" t="str">
        <f aca="false">IF(OR($A116="",INDEX(_LEITURA!$Q$2:$Q$21,7)=0),"",SUMIFS(DECKS!$D$2:$D$1201,DECKS!$A$2:$A$1201,INDEX(_LEITURA!$P$2:$P$21,7),DECKS!$B$2:$B$1201,$A116))</f>
        <v/>
      </c>
      <c r="R116" s="19" t="str">
        <f aca="false">IF(OR($A116="",INDEX(_LEITURA!$Q$2:$Q$21,8)=0),"",SUMIFS(DECKS!$D$2:$D$1201,DECKS!$A$2:$A$1201,INDEX(_LEITURA!$P$2:$P$21,8),DECKS!$B$2:$B$1201,$A116))</f>
        <v/>
      </c>
      <c r="S116" s="19" t="str">
        <f aca="false">IF(OR($A116="",INDEX(_LEITURA!$Q$2:$Q$21,9)=0),"",SUMIFS(DECKS!$D$2:$D$1201,DECKS!$A$2:$A$1201,INDEX(_LEITURA!$P$2:$P$21,9),DECKS!$B$2:$B$1201,$A116))</f>
        <v/>
      </c>
      <c r="T116" s="19" t="str">
        <f aca="false">IF(OR($A116="",INDEX(_LEITURA!$Q$2:$Q$21,10)=0),"",SUMIFS(DECKS!$D$2:$D$1201,DECKS!$A$2:$A$1201,INDEX(_LEITURA!$P$2:$P$21,10),DECKS!$B$2:$B$1201,$A116))</f>
        <v/>
      </c>
      <c r="U116" s="19" t="str">
        <f aca="false">IF(OR($A116="",INDEX(_LEITURA!$Q$2:$Q$21,11)=0),"",SUMIFS(DECKS!$D$2:$D$1201,DECKS!$A$2:$A$1201,INDEX(_LEITURA!$P$2:$P$21,11),DECKS!$B$2:$B$1201,$A116))</f>
        <v/>
      </c>
      <c r="V116" s="19" t="str">
        <f aca="false">IF(OR($A116="",INDEX(_LEITURA!$Q$2:$Q$21,12)=0),"",SUMIFS(DECKS!$D$2:$D$1201,DECKS!$A$2:$A$1201,INDEX(_LEITURA!$P$2:$P$21,12),DECKS!$B$2:$B$1201,$A116))</f>
        <v/>
      </c>
      <c r="W116" s="19" t="str">
        <f aca="false">IF(OR($A116="",INDEX(_LEITURA!$Q$2:$Q$21,13)=0),"",SUMIFS(DECKS!$D$2:$D$1201,DECKS!$A$2:$A$1201,INDEX(_LEITURA!$P$2:$P$21,13),DECKS!$B$2:$B$1201,$A116))</f>
        <v/>
      </c>
      <c r="X116" s="19" t="str">
        <f aca="false">IF(OR($A116="",INDEX(_LEITURA!$Q$2:$Q$21,14)=0),"",SUMIFS(DECKS!$D$2:$D$1201,DECKS!$A$2:$A$1201,INDEX(_LEITURA!$P$2:$P$21,14),DECKS!$B$2:$B$1201,$A116))</f>
        <v/>
      </c>
      <c r="Y116" s="19" t="str">
        <f aca="false">IF(OR($A116="",INDEX(_LEITURA!$Q$2:$Q$21,15)=0),"",SUMIFS(DECKS!$D$2:$D$1201,DECKS!$A$2:$A$1201,INDEX(_LEITURA!$P$2:$P$21,15),DECKS!$B$2:$B$1201,$A116))</f>
        <v/>
      </c>
      <c r="Z116" s="19" t="str">
        <f aca="false">IF(OR($A116="",INDEX(_LEITURA!$Q$2:$Q$21,16)=0),"",SUMIFS(DECKS!$D$2:$D$1201,DECKS!$A$2:$A$1201,INDEX(_LEITURA!$P$2:$P$21,16),DECKS!$B$2:$B$1201,$A116))</f>
        <v/>
      </c>
      <c r="AA116" s="19" t="str">
        <f aca="false">IF(OR($A116="",INDEX(_LEITURA!$Q$2:$Q$21,17)=0),"",SUMIFS(DECKS!$D$2:$D$1201,DECKS!$A$2:$A$1201,INDEX(_LEITURA!$P$2:$P$21,17),DECKS!$B$2:$B$1201,$A116))</f>
        <v/>
      </c>
      <c r="AB116" s="19" t="str">
        <f aca="false">IF(OR($A116="",INDEX(_LEITURA!$Q$2:$Q$21,18)=0),"",SUMIFS(DECKS!$D$2:$D$1201,DECKS!$A$2:$A$1201,INDEX(_LEITURA!$P$2:$P$21,18),DECKS!$B$2:$B$1201,$A116))</f>
        <v/>
      </c>
      <c r="AC116" s="19" t="str">
        <f aca="false">IF(OR($A116="",INDEX(_LEITURA!$Q$2:$Q$21,19)=0),"",SUMIFS(DECKS!$D$2:$D$1201,DECKS!$A$2:$A$1201,INDEX(_LEITURA!$P$2:$P$21,19),DECKS!$B$2:$B$1201,$A116))</f>
        <v/>
      </c>
      <c r="AD116" s="19" t="str">
        <f aca="false">IF(OR($A116="",INDEX(_LEITURA!$Q$2:$Q$21,20)=0),"",SUMIFS(DECKS!$D$2:$D$1201,DECKS!$A$2:$A$1201,INDEX(_LEITURA!$P$2:$P$21,20),DECKS!$B$2:$B$1201,$A116))</f>
        <v/>
      </c>
      <c r="AE116" s="16" t="str">
        <f aca="false">IF(N(E116)&gt;0,MAX(AE$1:AE115)+1,"")</f>
        <v/>
      </c>
      <c r="AF116" s="11" t="str">
        <f aca="false">IF(A116="","",IFERROR(LEFT(A116,FIND("-",A116)-1),A116))</f>
        <v/>
      </c>
      <c r="AG116" s="11" t="str">
        <f aca="false">IF(AF116="","",IF(ISNUMBER(--MID(AF116,1,1)),0,IF(ISNUMBER(--MID(AF116,2,1)),1,IF(ISNUMBER(--MID(AF116,3,1)),2,IF(ISNUMBER(--MID(AF116,4,1)),3,MIN(LEN(AF116),4))))))</f>
        <v/>
      </c>
      <c r="AH116" s="11" t="str">
        <f aca="false">IF(A116="","",LEFT(AF116,AG116)&amp;REPT("0",4-AG116)&amp;RIGHT("000"&amp;IFERROR(VALUE(MID(AF116,AG116+1,9)),0),3)&amp;RIGHT("0000"&amp;IFERROR(VALUE(MID(A116,FIND("-",A116)+1,9)),0),4))</f>
        <v/>
      </c>
      <c r="AI116" s="11" t="str">
        <f aca="false">IF(OR(A116="",N(E116)&lt;=0),"",IF('FALTAS GERAL'!$M$1="Código","K"&amp;AH116&amp;RIGHT("00000"&amp;ROW(),5),IF('FALTAS GERAL'!$M$1="Nome","K"&amp;UPPER(SUBSTITUTE(SUBSTITUTE(SUBSTITUTE(B116,"*",""),"?",""),"~",""))&amp;"0"&amp;AH116&amp;RIGHT("00000"&amp;ROW(),5),IF('FALTAS GERAL'!$M$1="Falta (maior primeiro)","K"&amp;RIGHT("0000"&amp;(9999-E116),4)&amp;AH116&amp;RIGHT("00000"&amp;ROW(),5),IF('FALTAS GERAL'!$M$1="Nº de decks (maior primeiro)","K"&amp;RIGHT("00"&amp;(99-N(G116)),2)&amp;AH116&amp;RIGHT("00000"&amp;ROW(),5),"K"&amp;RIGHT("00000"&amp;ROW(),5))))))</f>
        <v/>
      </c>
      <c r="AJ116" s="11" t="str">
        <f aca="false">IF(AI116="","",COUNTIFS($AI$2:$AI$801,"&lt;"&amp;AI116,$E$2:$E$801,"&gt;0")+1)</f>
        <v/>
      </c>
      <c r="AK116" s="11" t="str">
        <f aca="false">IF(OR(A116="",N(E116)&lt;=0),"",COUNTIFS($AH$2:$AH$801,"&lt;"&amp;AH116,$E$2:$E$801,"&gt;0")+COUNTIFS($AH$2:AH116,AH116,$E$2:E116,"&gt;0"))</f>
        <v/>
      </c>
    </row>
    <row r="117" customFormat="false" ht="15" hidden="false" customHeight="false" outlineLevel="0" collapsed="false">
      <c r="A117" s="11" t="str">
        <f aca="false">IF(INVENTÁRIO!A117="","",INVENTÁRIO!A117)</f>
        <v/>
      </c>
      <c r="B117" s="11" t="str">
        <f aca="false">IF(A117="","",INVENTÁRIO!B117)</f>
        <v/>
      </c>
      <c r="C117" s="16" t="str">
        <f aca="false">IF(A117="","",INVENTÁRIO!C117)</f>
        <v/>
      </c>
      <c r="D117" s="14" t="str">
        <f aca="false">IF(A117="","",MAX(K117:AD117))</f>
        <v/>
      </c>
      <c r="E117" s="14" t="str">
        <f aca="false">IF(A117="","",MAX(0,D117-C117))</f>
        <v/>
      </c>
      <c r="F117" s="16" t="str">
        <f aca="false">IF(A117="","",IF(D117=0,"Fora dos decks",IF(E117=0,"Completo","Falta")))</f>
        <v/>
      </c>
      <c r="G117" s="16" t="str">
        <f aca="false">IF(A117="","",COUNTIF(K117:AD117,"&gt;0"))</f>
        <v/>
      </c>
      <c r="H117" s="16" t="str">
        <f aca="false">IF(A117="","",IF(G117&gt;1,"Sim",""))</f>
        <v/>
      </c>
      <c r="I117" s="18" t="str">
        <f aca="false">IF(A117="","",SUMIFS(DECKS!$D$2:$D$1201,DECKS!$B$2:$B$1201,A117))</f>
        <v/>
      </c>
      <c r="J117" s="18" t="str">
        <f aca="false">IF(A117="","",MAX(0,I117-C117))</f>
        <v/>
      </c>
      <c r="K117" s="19" t="str">
        <f aca="false">IF(OR($A117="",INDEX(_LEITURA!$Q$2:$Q$21,1)=0),"",SUMIFS(DECKS!$D$2:$D$1201,DECKS!$A$2:$A$1201,INDEX(_LEITURA!$P$2:$P$21,1),DECKS!$B$2:$B$1201,$A117))</f>
        <v/>
      </c>
      <c r="L117" s="19" t="str">
        <f aca="false">IF(OR($A117="",INDEX(_LEITURA!$Q$2:$Q$21,2)=0),"",SUMIFS(DECKS!$D$2:$D$1201,DECKS!$A$2:$A$1201,INDEX(_LEITURA!$P$2:$P$21,2),DECKS!$B$2:$B$1201,$A117))</f>
        <v/>
      </c>
      <c r="M117" s="19" t="str">
        <f aca="false">IF(OR($A117="",INDEX(_LEITURA!$Q$2:$Q$21,3)=0),"",SUMIFS(DECKS!$D$2:$D$1201,DECKS!$A$2:$A$1201,INDEX(_LEITURA!$P$2:$P$21,3),DECKS!$B$2:$B$1201,$A117))</f>
        <v/>
      </c>
      <c r="N117" s="19" t="str">
        <f aca="false">IF(OR($A117="",INDEX(_LEITURA!$Q$2:$Q$21,4)=0),"",SUMIFS(DECKS!$D$2:$D$1201,DECKS!$A$2:$A$1201,INDEX(_LEITURA!$P$2:$P$21,4),DECKS!$B$2:$B$1201,$A117))</f>
        <v/>
      </c>
      <c r="O117" s="19" t="str">
        <f aca="false">IF(OR($A117="",INDEX(_LEITURA!$Q$2:$Q$21,5)=0),"",SUMIFS(DECKS!$D$2:$D$1201,DECKS!$A$2:$A$1201,INDEX(_LEITURA!$P$2:$P$21,5),DECKS!$B$2:$B$1201,$A117))</f>
        <v/>
      </c>
      <c r="P117" s="19" t="str">
        <f aca="false">IF(OR($A117="",INDEX(_LEITURA!$Q$2:$Q$21,6)=0),"",SUMIFS(DECKS!$D$2:$D$1201,DECKS!$A$2:$A$1201,INDEX(_LEITURA!$P$2:$P$21,6),DECKS!$B$2:$B$1201,$A117))</f>
        <v/>
      </c>
      <c r="Q117" s="19" t="str">
        <f aca="false">IF(OR($A117="",INDEX(_LEITURA!$Q$2:$Q$21,7)=0),"",SUMIFS(DECKS!$D$2:$D$1201,DECKS!$A$2:$A$1201,INDEX(_LEITURA!$P$2:$P$21,7),DECKS!$B$2:$B$1201,$A117))</f>
        <v/>
      </c>
      <c r="R117" s="19" t="str">
        <f aca="false">IF(OR($A117="",INDEX(_LEITURA!$Q$2:$Q$21,8)=0),"",SUMIFS(DECKS!$D$2:$D$1201,DECKS!$A$2:$A$1201,INDEX(_LEITURA!$P$2:$P$21,8),DECKS!$B$2:$B$1201,$A117))</f>
        <v/>
      </c>
      <c r="S117" s="19" t="str">
        <f aca="false">IF(OR($A117="",INDEX(_LEITURA!$Q$2:$Q$21,9)=0),"",SUMIFS(DECKS!$D$2:$D$1201,DECKS!$A$2:$A$1201,INDEX(_LEITURA!$P$2:$P$21,9),DECKS!$B$2:$B$1201,$A117))</f>
        <v/>
      </c>
      <c r="T117" s="19" t="str">
        <f aca="false">IF(OR($A117="",INDEX(_LEITURA!$Q$2:$Q$21,10)=0),"",SUMIFS(DECKS!$D$2:$D$1201,DECKS!$A$2:$A$1201,INDEX(_LEITURA!$P$2:$P$21,10),DECKS!$B$2:$B$1201,$A117))</f>
        <v/>
      </c>
      <c r="U117" s="19" t="str">
        <f aca="false">IF(OR($A117="",INDEX(_LEITURA!$Q$2:$Q$21,11)=0),"",SUMIFS(DECKS!$D$2:$D$1201,DECKS!$A$2:$A$1201,INDEX(_LEITURA!$P$2:$P$21,11),DECKS!$B$2:$B$1201,$A117))</f>
        <v/>
      </c>
      <c r="V117" s="19" t="str">
        <f aca="false">IF(OR($A117="",INDEX(_LEITURA!$Q$2:$Q$21,12)=0),"",SUMIFS(DECKS!$D$2:$D$1201,DECKS!$A$2:$A$1201,INDEX(_LEITURA!$P$2:$P$21,12),DECKS!$B$2:$B$1201,$A117))</f>
        <v/>
      </c>
      <c r="W117" s="19" t="str">
        <f aca="false">IF(OR($A117="",INDEX(_LEITURA!$Q$2:$Q$21,13)=0),"",SUMIFS(DECKS!$D$2:$D$1201,DECKS!$A$2:$A$1201,INDEX(_LEITURA!$P$2:$P$21,13),DECKS!$B$2:$B$1201,$A117))</f>
        <v/>
      </c>
      <c r="X117" s="19" t="str">
        <f aca="false">IF(OR($A117="",INDEX(_LEITURA!$Q$2:$Q$21,14)=0),"",SUMIFS(DECKS!$D$2:$D$1201,DECKS!$A$2:$A$1201,INDEX(_LEITURA!$P$2:$P$21,14),DECKS!$B$2:$B$1201,$A117))</f>
        <v/>
      </c>
      <c r="Y117" s="19" t="str">
        <f aca="false">IF(OR($A117="",INDEX(_LEITURA!$Q$2:$Q$21,15)=0),"",SUMIFS(DECKS!$D$2:$D$1201,DECKS!$A$2:$A$1201,INDEX(_LEITURA!$P$2:$P$21,15),DECKS!$B$2:$B$1201,$A117))</f>
        <v/>
      </c>
      <c r="Z117" s="19" t="str">
        <f aca="false">IF(OR($A117="",INDEX(_LEITURA!$Q$2:$Q$21,16)=0),"",SUMIFS(DECKS!$D$2:$D$1201,DECKS!$A$2:$A$1201,INDEX(_LEITURA!$P$2:$P$21,16),DECKS!$B$2:$B$1201,$A117))</f>
        <v/>
      </c>
      <c r="AA117" s="19" t="str">
        <f aca="false">IF(OR($A117="",INDEX(_LEITURA!$Q$2:$Q$21,17)=0),"",SUMIFS(DECKS!$D$2:$D$1201,DECKS!$A$2:$A$1201,INDEX(_LEITURA!$P$2:$P$21,17),DECKS!$B$2:$B$1201,$A117))</f>
        <v/>
      </c>
      <c r="AB117" s="19" t="str">
        <f aca="false">IF(OR($A117="",INDEX(_LEITURA!$Q$2:$Q$21,18)=0),"",SUMIFS(DECKS!$D$2:$D$1201,DECKS!$A$2:$A$1201,INDEX(_LEITURA!$P$2:$P$21,18),DECKS!$B$2:$B$1201,$A117))</f>
        <v/>
      </c>
      <c r="AC117" s="19" t="str">
        <f aca="false">IF(OR($A117="",INDEX(_LEITURA!$Q$2:$Q$21,19)=0),"",SUMIFS(DECKS!$D$2:$D$1201,DECKS!$A$2:$A$1201,INDEX(_LEITURA!$P$2:$P$21,19),DECKS!$B$2:$B$1201,$A117))</f>
        <v/>
      </c>
      <c r="AD117" s="19" t="str">
        <f aca="false">IF(OR($A117="",INDEX(_LEITURA!$Q$2:$Q$21,20)=0),"",SUMIFS(DECKS!$D$2:$D$1201,DECKS!$A$2:$A$1201,INDEX(_LEITURA!$P$2:$P$21,20),DECKS!$B$2:$B$1201,$A117))</f>
        <v/>
      </c>
      <c r="AE117" s="16" t="str">
        <f aca="false">IF(N(E117)&gt;0,MAX(AE$1:AE116)+1,"")</f>
        <v/>
      </c>
      <c r="AF117" s="11" t="str">
        <f aca="false">IF(A117="","",IFERROR(LEFT(A117,FIND("-",A117)-1),A117))</f>
        <v/>
      </c>
      <c r="AG117" s="11" t="str">
        <f aca="false">IF(AF117="","",IF(ISNUMBER(--MID(AF117,1,1)),0,IF(ISNUMBER(--MID(AF117,2,1)),1,IF(ISNUMBER(--MID(AF117,3,1)),2,IF(ISNUMBER(--MID(AF117,4,1)),3,MIN(LEN(AF117),4))))))</f>
        <v/>
      </c>
      <c r="AH117" s="11" t="str">
        <f aca="false">IF(A117="","",LEFT(AF117,AG117)&amp;REPT("0",4-AG117)&amp;RIGHT("000"&amp;IFERROR(VALUE(MID(AF117,AG117+1,9)),0),3)&amp;RIGHT("0000"&amp;IFERROR(VALUE(MID(A117,FIND("-",A117)+1,9)),0),4))</f>
        <v/>
      </c>
      <c r="AI117" s="11" t="str">
        <f aca="false">IF(OR(A117="",N(E117)&lt;=0),"",IF('FALTAS GERAL'!$M$1="Código","K"&amp;AH117&amp;RIGHT("00000"&amp;ROW(),5),IF('FALTAS GERAL'!$M$1="Nome","K"&amp;UPPER(SUBSTITUTE(SUBSTITUTE(SUBSTITUTE(B117,"*",""),"?",""),"~",""))&amp;"0"&amp;AH117&amp;RIGHT("00000"&amp;ROW(),5),IF('FALTAS GERAL'!$M$1="Falta (maior primeiro)","K"&amp;RIGHT("0000"&amp;(9999-E117),4)&amp;AH117&amp;RIGHT("00000"&amp;ROW(),5),IF('FALTAS GERAL'!$M$1="Nº de decks (maior primeiro)","K"&amp;RIGHT("00"&amp;(99-N(G117)),2)&amp;AH117&amp;RIGHT("00000"&amp;ROW(),5),"K"&amp;RIGHT("00000"&amp;ROW(),5))))))</f>
        <v/>
      </c>
      <c r="AJ117" s="11" t="str">
        <f aca="false">IF(AI117="","",COUNTIFS($AI$2:$AI$801,"&lt;"&amp;AI117,$E$2:$E$801,"&gt;0")+1)</f>
        <v/>
      </c>
      <c r="AK117" s="11" t="str">
        <f aca="false">IF(OR(A117="",N(E117)&lt;=0),"",COUNTIFS($AH$2:$AH$801,"&lt;"&amp;AH117,$E$2:$E$801,"&gt;0")+COUNTIFS($AH$2:AH117,AH117,$E$2:E117,"&gt;0"))</f>
        <v/>
      </c>
    </row>
    <row r="118" customFormat="false" ht="15" hidden="false" customHeight="false" outlineLevel="0" collapsed="false">
      <c r="A118" s="11" t="str">
        <f aca="false">IF(INVENTÁRIO!A118="","",INVENTÁRIO!A118)</f>
        <v/>
      </c>
      <c r="B118" s="11" t="str">
        <f aca="false">IF(A118="","",INVENTÁRIO!B118)</f>
        <v/>
      </c>
      <c r="C118" s="16" t="str">
        <f aca="false">IF(A118="","",INVENTÁRIO!C118)</f>
        <v/>
      </c>
      <c r="D118" s="14" t="str">
        <f aca="false">IF(A118="","",MAX(K118:AD118))</f>
        <v/>
      </c>
      <c r="E118" s="14" t="str">
        <f aca="false">IF(A118="","",MAX(0,D118-C118))</f>
        <v/>
      </c>
      <c r="F118" s="16" t="str">
        <f aca="false">IF(A118="","",IF(D118=0,"Fora dos decks",IF(E118=0,"Completo","Falta")))</f>
        <v/>
      </c>
      <c r="G118" s="16" t="str">
        <f aca="false">IF(A118="","",COUNTIF(K118:AD118,"&gt;0"))</f>
        <v/>
      </c>
      <c r="H118" s="16" t="str">
        <f aca="false">IF(A118="","",IF(G118&gt;1,"Sim",""))</f>
        <v/>
      </c>
      <c r="I118" s="18" t="str">
        <f aca="false">IF(A118="","",SUMIFS(DECKS!$D$2:$D$1201,DECKS!$B$2:$B$1201,A118))</f>
        <v/>
      </c>
      <c r="J118" s="18" t="str">
        <f aca="false">IF(A118="","",MAX(0,I118-C118))</f>
        <v/>
      </c>
      <c r="K118" s="19" t="str">
        <f aca="false">IF(OR($A118="",INDEX(_LEITURA!$Q$2:$Q$21,1)=0),"",SUMIFS(DECKS!$D$2:$D$1201,DECKS!$A$2:$A$1201,INDEX(_LEITURA!$P$2:$P$21,1),DECKS!$B$2:$B$1201,$A118))</f>
        <v/>
      </c>
      <c r="L118" s="19" t="str">
        <f aca="false">IF(OR($A118="",INDEX(_LEITURA!$Q$2:$Q$21,2)=0),"",SUMIFS(DECKS!$D$2:$D$1201,DECKS!$A$2:$A$1201,INDEX(_LEITURA!$P$2:$P$21,2),DECKS!$B$2:$B$1201,$A118))</f>
        <v/>
      </c>
      <c r="M118" s="19" t="str">
        <f aca="false">IF(OR($A118="",INDEX(_LEITURA!$Q$2:$Q$21,3)=0),"",SUMIFS(DECKS!$D$2:$D$1201,DECKS!$A$2:$A$1201,INDEX(_LEITURA!$P$2:$P$21,3),DECKS!$B$2:$B$1201,$A118))</f>
        <v/>
      </c>
      <c r="N118" s="19" t="str">
        <f aca="false">IF(OR($A118="",INDEX(_LEITURA!$Q$2:$Q$21,4)=0),"",SUMIFS(DECKS!$D$2:$D$1201,DECKS!$A$2:$A$1201,INDEX(_LEITURA!$P$2:$P$21,4),DECKS!$B$2:$B$1201,$A118))</f>
        <v/>
      </c>
      <c r="O118" s="19" t="str">
        <f aca="false">IF(OR($A118="",INDEX(_LEITURA!$Q$2:$Q$21,5)=0),"",SUMIFS(DECKS!$D$2:$D$1201,DECKS!$A$2:$A$1201,INDEX(_LEITURA!$P$2:$P$21,5),DECKS!$B$2:$B$1201,$A118))</f>
        <v/>
      </c>
      <c r="P118" s="19" t="str">
        <f aca="false">IF(OR($A118="",INDEX(_LEITURA!$Q$2:$Q$21,6)=0),"",SUMIFS(DECKS!$D$2:$D$1201,DECKS!$A$2:$A$1201,INDEX(_LEITURA!$P$2:$P$21,6),DECKS!$B$2:$B$1201,$A118))</f>
        <v/>
      </c>
      <c r="Q118" s="19" t="str">
        <f aca="false">IF(OR($A118="",INDEX(_LEITURA!$Q$2:$Q$21,7)=0),"",SUMIFS(DECKS!$D$2:$D$1201,DECKS!$A$2:$A$1201,INDEX(_LEITURA!$P$2:$P$21,7),DECKS!$B$2:$B$1201,$A118))</f>
        <v/>
      </c>
      <c r="R118" s="19" t="str">
        <f aca="false">IF(OR($A118="",INDEX(_LEITURA!$Q$2:$Q$21,8)=0),"",SUMIFS(DECKS!$D$2:$D$1201,DECKS!$A$2:$A$1201,INDEX(_LEITURA!$P$2:$P$21,8),DECKS!$B$2:$B$1201,$A118))</f>
        <v/>
      </c>
      <c r="S118" s="19" t="str">
        <f aca="false">IF(OR($A118="",INDEX(_LEITURA!$Q$2:$Q$21,9)=0),"",SUMIFS(DECKS!$D$2:$D$1201,DECKS!$A$2:$A$1201,INDEX(_LEITURA!$P$2:$P$21,9),DECKS!$B$2:$B$1201,$A118))</f>
        <v/>
      </c>
      <c r="T118" s="19" t="str">
        <f aca="false">IF(OR($A118="",INDEX(_LEITURA!$Q$2:$Q$21,10)=0),"",SUMIFS(DECKS!$D$2:$D$1201,DECKS!$A$2:$A$1201,INDEX(_LEITURA!$P$2:$P$21,10),DECKS!$B$2:$B$1201,$A118))</f>
        <v/>
      </c>
      <c r="U118" s="19" t="str">
        <f aca="false">IF(OR($A118="",INDEX(_LEITURA!$Q$2:$Q$21,11)=0),"",SUMIFS(DECKS!$D$2:$D$1201,DECKS!$A$2:$A$1201,INDEX(_LEITURA!$P$2:$P$21,11),DECKS!$B$2:$B$1201,$A118))</f>
        <v/>
      </c>
      <c r="V118" s="19" t="str">
        <f aca="false">IF(OR($A118="",INDEX(_LEITURA!$Q$2:$Q$21,12)=0),"",SUMIFS(DECKS!$D$2:$D$1201,DECKS!$A$2:$A$1201,INDEX(_LEITURA!$P$2:$P$21,12),DECKS!$B$2:$B$1201,$A118))</f>
        <v/>
      </c>
      <c r="W118" s="19" t="str">
        <f aca="false">IF(OR($A118="",INDEX(_LEITURA!$Q$2:$Q$21,13)=0),"",SUMIFS(DECKS!$D$2:$D$1201,DECKS!$A$2:$A$1201,INDEX(_LEITURA!$P$2:$P$21,13),DECKS!$B$2:$B$1201,$A118))</f>
        <v/>
      </c>
      <c r="X118" s="19" t="str">
        <f aca="false">IF(OR($A118="",INDEX(_LEITURA!$Q$2:$Q$21,14)=0),"",SUMIFS(DECKS!$D$2:$D$1201,DECKS!$A$2:$A$1201,INDEX(_LEITURA!$P$2:$P$21,14),DECKS!$B$2:$B$1201,$A118))</f>
        <v/>
      </c>
      <c r="Y118" s="19" t="str">
        <f aca="false">IF(OR($A118="",INDEX(_LEITURA!$Q$2:$Q$21,15)=0),"",SUMIFS(DECKS!$D$2:$D$1201,DECKS!$A$2:$A$1201,INDEX(_LEITURA!$P$2:$P$21,15),DECKS!$B$2:$B$1201,$A118))</f>
        <v/>
      </c>
      <c r="Z118" s="19" t="str">
        <f aca="false">IF(OR($A118="",INDEX(_LEITURA!$Q$2:$Q$21,16)=0),"",SUMIFS(DECKS!$D$2:$D$1201,DECKS!$A$2:$A$1201,INDEX(_LEITURA!$P$2:$P$21,16),DECKS!$B$2:$B$1201,$A118))</f>
        <v/>
      </c>
      <c r="AA118" s="19" t="str">
        <f aca="false">IF(OR($A118="",INDEX(_LEITURA!$Q$2:$Q$21,17)=0),"",SUMIFS(DECKS!$D$2:$D$1201,DECKS!$A$2:$A$1201,INDEX(_LEITURA!$P$2:$P$21,17),DECKS!$B$2:$B$1201,$A118))</f>
        <v/>
      </c>
      <c r="AB118" s="19" t="str">
        <f aca="false">IF(OR($A118="",INDEX(_LEITURA!$Q$2:$Q$21,18)=0),"",SUMIFS(DECKS!$D$2:$D$1201,DECKS!$A$2:$A$1201,INDEX(_LEITURA!$P$2:$P$21,18),DECKS!$B$2:$B$1201,$A118))</f>
        <v/>
      </c>
      <c r="AC118" s="19" t="str">
        <f aca="false">IF(OR($A118="",INDEX(_LEITURA!$Q$2:$Q$21,19)=0),"",SUMIFS(DECKS!$D$2:$D$1201,DECKS!$A$2:$A$1201,INDEX(_LEITURA!$P$2:$P$21,19),DECKS!$B$2:$B$1201,$A118))</f>
        <v/>
      </c>
      <c r="AD118" s="19" t="str">
        <f aca="false">IF(OR($A118="",INDEX(_LEITURA!$Q$2:$Q$21,20)=0),"",SUMIFS(DECKS!$D$2:$D$1201,DECKS!$A$2:$A$1201,INDEX(_LEITURA!$P$2:$P$21,20),DECKS!$B$2:$B$1201,$A118))</f>
        <v/>
      </c>
      <c r="AE118" s="16" t="str">
        <f aca="false">IF(N(E118)&gt;0,MAX(AE$1:AE117)+1,"")</f>
        <v/>
      </c>
      <c r="AF118" s="11" t="str">
        <f aca="false">IF(A118="","",IFERROR(LEFT(A118,FIND("-",A118)-1),A118))</f>
        <v/>
      </c>
      <c r="AG118" s="11" t="str">
        <f aca="false">IF(AF118="","",IF(ISNUMBER(--MID(AF118,1,1)),0,IF(ISNUMBER(--MID(AF118,2,1)),1,IF(ISNUMBER(--MID(AF118,3,1)),2,IF(ISNUMBER(--MID(AF118,4,1)),3,MIN(LEN(AF118),4))))))</f>
        <v/>
      </c>
      <c r="AH118" s="11" t="str">
        <f aca="false">IF(A118="","",LEFT(AF118,AG118)&amp;REPT("0",4-AG118)&amp;RIGHT("000"&amp;IFERROR(VALUE(MID(AF118,AG118+1,9)),0),3)&amp;RIGHT("0000"&amp;IFERROR(VALUE(MID(A118,FIND("-",A118)+1,9)),0),4))</f>
        <v/>
      </c>
      <c r="AI118" s="11" t="str">
        <f aca="false">IF(OR(A118="",N(E118)&lt;=0),"",IF('FALTAS GERAL'!$M$1="Código","K"&amp;AH118&amp;RIGHT("00000"&amp;ROW(),5),IF('FALTAS GERAL'!$M$1="Nome","K"&amp;UPPER(SUBSTITUTE(SUBSTITUTE(SUBSTITUTE(B118,"*",""),"?",""),"~",""))&amp;"0"&amp;AH118&amp;RIGHT("00000"&amp;ROW(),5),IF('FALTAS GERAL'!$M$1="Falta (maior primeiro)","K"&amp;RIGHT("0000"&amp;(9999-E118),4)&amp;AH118&amp;RIGHT("00000"&amp;ROW(),5),IF('FALTAS GERAL'!$M$1="Nº de decks (maior primeiro)","K"&amp;RIGHT("00"&amp;(99-N(G118)),2)&amp;AH118&amp;RIGHT("00000"&amp;ROW(),5),"K"&amp;RIGHT("00000"&amp;ROW(),5))))))</f>
        <v/>
      </c>
      <c r="AJ118" s="11" t="str">
        <f aca="false">IF(AI118="","",COUNTIFS($AI$2:$AI$801,"&lt;"&amp;AI118,$E$2:$E$801,"&gt;0")+1)</f>
        <v/>
      </c>
      <c r="AK118" s="11" t="str">
        <f aca="false">IF(OR(A118="",N(E118)&lt;=0),"",COUNTIFS($AH$2:$AH$801,"&lt;"&amp;AH118,$E$2:$E$801,"&gt;0")+COUNTIFS($AH$2:AH118,AH118,$E$2:E118,"&gt;0"))</f>
        <v/>
      </c>
    </row>
    <row r="119" customFormat="false" ht="15" hidden="false" customHeight="false" outlineLevel="0" collapsed="false">
      <c r="A119" s="11" t="str">
        <f aca="false">IF(INVENTÁRIO!A119="","",INVENTÁRIO!A119)</f>
        <v/>
      </c>
      <c r="B119" s="11" t="str">
        <f aca="false">IF(A119="","",INVENTÁRIO!B119)</f>
        <v/>
      </c>
      <c r="C119" s="16" t="str">
        <f aca="false">IF(A119="","",INVENTÁRIO!C119)</f>
        <v/>
      </c>
      <c r="D119" s="14" t="str">
        <f aca="false">IF(A119="","",MAX(K119:AD119))</f>
        <v/>
      </c>
      <c r="E119" s="14" t="str">
        <f aca="false">IF(A119="","",MAX(0,D119-C119))</f>
        <v/>
      </c>
      <c r="F119" s="16" t="str">
        <f aca="false">IF(A119="","",IF(D119=0,"Fora dos decks",IF(E119=0,"Completo","Falta")))</f>
        <v/>
      </c>
      <c r="G119" s="16" t="str">
        <f aca="false">IF(A119="","",COUNTIF(K119:AD119,"&gt;0"))</f>
        <v/>
      </c>
      <c r="H119" s="16" t="str">
        <f aca="false">IF(A119="","",IF(G119&gt;1,"Sim",""))</f>
        <v/>
      </c>
      <c r="I119" s="18" t="str">
        <f aca="false">IF(A119="","",SUMIFS(DECKS!$D$2:$D$1201,DECKS!$B$2:$B$1201,A119))</f>
        <v/>
      </c>
      <c r="J119" s="18" t="str">
        <f aca="false">IF(A119="","",MAX(0,I119-C119))</f>
        <v/>
      </c>
      <c r="K119" s="19" t="str">
        <f aca="false">IF(OR($A119="",INDEX(_LEITURA!$Q$2:$Q$21,1)=0),"",SUMIFS(DECKS!$D$2:$D$1201,DECKS!$A$2:$A$1201,INDEX(_LEITURA!$P$2:$P$21,1),DECKS!$B$2:$B$1201,$A119))</f>
        <v/>
      </c>
      <c r="L119" s="19" t="str">
        <f aca="false">IF(OR($A119="",INDEX(_LEITURA!$Q$2:$Q$21,2)=0),"",SUMIFS(DECKS!$D$2:$D$1201,DECKS!$A$2:$A$1201,INDEX(_LEITURA!$P$2:$P$21,2),DECKS!$B$2:$B$1201,$A119))</f>
        <v/>
      </c>
      <c r="M119" s="19" t="str">
        <f aca="false">IF(OR($A119="",INDEX(_LEITURA!$Q$2:$Q$21,3)=0),"",SUMIFS(DECKS!$D$2:$D$1201,DECKS!$A$2:$A$1201,INDEX(_LEITURA!$P$2:$P$21,3),DECKS!$B$2:$B$1201,$A119))</f>
        <v/>
      </c>
      <c r="N119" s="19" t="str">
        <f aca="false">IF(OR($A119="",INDEX(_LEITURA!$Q$2:$Q$21,4)=0),"",SUMIFS(DECKS!$D$2:$D$1201,DECKS!$A$2:$A$1201,INDEX(_LEITURA!$P$2:$P$21,4),DECKS!$B$2:$B$1201,$A119))</f>
        <v/>
      </c>
      <c r="O119" s="19" t="str">
        <f aca="false">IF(OR($A119="",INDEX(_LEITURA!$Q$2:$Q$21,5)=0),"",SUMIFS(DECKS!$D$2:$D$1201,DECKS!$A$2:$A$1201,INDEX(_LEITURA!$P$2:$P$21,5),DECKS!$B$2:$B$1201,$A119))</f>
        <v/>
      </c>
      <c r="P119" s="19" t="str">
        <f aca="false">IF(OR($A119="",INDEX(_LEITURA!$Q$2:$Q$21,6)=0),"",SUMIFS(DECKS!$D$2:$D$1201,DECKS!$A$2:$A$1201,INDEX(_LEITURA!$P$2:$P$21,6),DECKS!$B$2:$B$1201,$A119))</f>
        <v/>
      </c>
      <c r="Q119" s="19" t="str">
        <f aca="false">IF(OR($A119="",INDEX(_LEITURA!$Q$2:$Q$21,7)=0),"",SUMIFS(DECKS!$D$2:$D$1201,DECKS!$A$2:$A$1201,INDEX(_LEITURA!$P$2:$P$21,7),DECKS!$B$2:$B$1201,$A119))</f>
        <v/>
      </c>
      <c r="R119" s="19" t="str">
        <f aca="false">IF(OR($A119="",INDEX(_LEITURA!$Q$2:$Q$21,8)=0),"",SUMIFS(DECKS!$D$2:$D$1201,DECKS!$A$2:$A$1201,INDEX(_LEITURA!$P$2:$P$21,8),DECKS!$B$2:$B$1201,$A119))</f>
        <v/>
      </c>
      <c r="S119" s="19" t="str">
        <f aca="false">IF(OR($A119="",INDEX(_LEITURA!$Q$2:$Q$21,9)=0),"",SUMIFS(DECKS!$D$2:$D$1201,DECKS!$A$2:$A$1201,INDEX(_LEITURA!$P$2:$P$21,9),DECKS!$B$2:$B$1201,$A119))</f>
        <v/>
      </c>
      <c r="T119" s="19" t="str">
        <f aca="false">IF(OR($A119="",INDEX(_LEITURA!$Q$2:$Q$21,10)=0),"",SUMIFS(DECKS!$D$2:$D$1201,DECKS!$A$2:$A$1201,INDEX(_LEITURA!$P$2:$P$21,10),DECKS!$B$2:$B$1201,$A119))</f>
        <v/>
      </c>
      <c r="U119" s="19" t="str">
        <f aca="false">IF(OR($A119="",INDEX(_LEITURA!$Q$2:$Q$21,11)=0),"",SUMIFS(DECKS!$D$2:$D$1201,DECKS!$A$2:$A$1201,INDEX(_LEITURA!$P$2:$P$21,11),DECKS!$B$2:$B$1201,$A119))</f>
        <v/>
      </c>
      <c r="V119" s="19" t="str">
        <f aca="false">IF(OR($A119="",INDEX(_LEITURA!$Q$2:$Q$21,12)=0),"",SUMIFS(DECKS!$D$2:$D$1201,DECKS!$A$2:$A$1201,INDEX(_LEITURA!$P$2:$P$21,12),DECKS!$B$2:$B$1201,$A119))</f>
        <v/>
      </c>
      <c r="W119" s="19" t="str">
        <f aca="false">IF(OR($A119="",INDEX(_LEITURA!$Q$2:$Q$21,13)=0),"",SUMIFS(DECKS!$D$2:$D$1201,DECKS!$A$2:$A$1201,INDEX(_LEITURA!$P$2:$P$21,13),DECKS!$B$2:$B$1201,$A119))</f>
        <v/>
      </c>
      <c r="X119" s="19" t="str">
        <f aca="false">IF(OR($A119="",INDEX(_LEITURA!$Q$2:$Q$21,14)=0),"",SUMIFS(DECKS!$D$2:$D$1201,DECKS!$A$2:$A$1201,INDEX(_LEITURA!$P$2:$P$21,14),DECKS!$B$2:$B$1201,$A119))</f>
        <v/>
      </c>
      <c r="Y119" s="19" t="str">
        <f aca="false">IF(OR($A119="",INDEX(_LEITURA!$Q$2:$Q$21,15)=0),"",SUMIFS(DECKS!$D$2:$D$1201,DECKS!$A$2:$A$1201,INDEX(_LEITURA!$P$2:$P$21,15),DECKS!$B$2:$B$1201,$A119))</f>
        <v/>
      </c>
      <c r="Z119" s="19" t="str">
        <f aca="false">IF(OR($A119="",INDEX(_LEITURA!$Q$2:$Q$21,16)=0),"",SUMIFS(DECKS!$D$2:$D$1201,DECKS!$A$2:$A$1201,INDEX(_LEITURA!$P$2:$P$21,16),DECKS!$B$2:$B$1201,$A119))</f>
        <v/>
      </c>
      <c r="AA119" s="19" t="str">
        <f aca="false">IF(OR($A119="",INDEX(_LEITURA!$Q$2:$Q$21,17)=0),"",SUMIFS(DECKS!$D$2:$D$1201,DECKS!$A$2:$A$1201,INDEX(_LEITURA!$P$2:$P$21,17),DECKS!$B$2:$B$1201,$A119))</f>
        <v/>
      </c>
      <c r="AB119" s="19" t="str">
        <f aca="false">IF(OR($A119="",INDEX(_LEITURA!$Q$2:$Q$21,18)=0),"",SUMIFS(DECKS!$D$2:$D$1201,DECKS!$A$2:$A$1201,INDEX(_LEITURA!$P$2:$P$21,18),DECKS!$B$2:$B$1201,$A119))</f>
        <v/>
      </c>
      <c r="AC119" s="19" t="str">
        <f aca="false">IF(OR($A119="",INDEX(_LEITURA!$Q$2:$Q$21,19)=0),"",SUMIFS(DECKS!$D$2:$D$1201,DECKS!$A$2:$A$1201,INDEX(_LEITURA!$P$2:$P$21,19),DECKS!$B$2:$B$1201,$A119))</f>
        <v/>
      </c>
      <c r="AD119" s="19" t="str">
        <f aca="false">IF(OR($A119="",INDEX(_LEITURA!$Q$2:$Q$21,20)=0),"",SUMIFS(DECKS!$D$2:$D$1201,DECKS!$A$2:$A$1201,INDEX(_LEITURA!$P$2:$P$21,20),DECKS!$B$2:$B$1201,$A119))</f>
        <v/>
      </c>
      <c r="AE119" s="16" t="str">
        <f aca="false">IF(N(E119)&gt;0,MAX(AE$1:AE118)+1,"")</f>
        <v/>
      </c>
      <c r="AF119" s="11" t="str">
        <f aca="false">IF(A119="","",IFERROR(LEFT(A119,FIND("-",A119)-1),A119))</f>
        <v/>
      </c>
      <c r="AG119" s="11" t="str">
        <f aca="false">IF(AF119="","",IF(ISNUMBER(--MID(AF119,1,1)),0,IF(ISNUMBER(--MID(AF119,2,1)),1,IF(ISNUMBER(--MID(AF119,3,1)),2,IF(ISNUMBER(--MID(AF119,4,1)),3,MIN(LEN(AF119),4))))))</f>
        <v/>
      </c>
      <c r="AH119" s="11" t="str">
        <f aca="false">IF(A119="","",LEFT(AF119,AG119)&amp;REPT("0",4-AG119)&amp;RIGHT("000"&amp;IFERROR(VALUE(MID(AF119,AG119+1,9)),0),3)&amp;RIGHT("0000"&amp;IFERROR(VALUE(MID(A119,FIND("-",A119)+1,9)),0),4))</f>
        <v/>
      </c>
      <c r="AI119" s="11" t="str">
        <f aca="false">IF(OR(A119="",N(E119)&lt;=0),"",IF('FALTAS GERAL'!$M$1="Código","K"&amp;AH119&amp;RIGHT("00000"&amp;ROW(),5),IF('FALTAS GERAL'!$M$1="Nome","K"&amp;UPPER(SUBSTITUTE(SUBSTITUTE(SUBSTITUTE(B119,"*",""),"?",""),"~",""))&amp;"0"&amp;AH119&amp;RIGHT("00000"&amp;ROW(),5),IF('FALTAS GERAL'!$M$1="Falta (maior primeiro)","K"&amp;RIGHT("0000"&amp;(9999-E119),4)&amp;AH119&amp;RIGHT("00000"&amp;ROW(),5),IF('FALTAS GERAL'!$M$1="Nº de decks (maior primeiro)","K"&amp;RIGHT("00"&amp;(99-N(G119)),2)&amp;AH119&amp;RIGHT("00000"&amp;ROW(),5),"K"&amp;RIGHT("00000"&amp;ROW(),5))))))</f>
        <v/>
      </c>
      <c r="AJ119" s="11" t="str">
        <f aca="false">IF(AI119="","",COUNTIFS($AI$2:$AI$801,"&lt;"&amp;AI119,$E$2:$E$801,"&gt;0")+1)</f>
        <v/>
      </c>
      <c r="AK119" s="11" t="str">
        <f aca="false">IF(OR(A119="",N(E119)&lt;=0),"",COUNTIFS($AH$2:$AH$801,"&lt;"&amp;AH119,$E$2:$E$801,"&gt;0")+COUNTIFS($AH$2:AH119,AH119,$E$2:E119,"&gt;0"))</f>
        <v/>
      </c>
    </row>
    <row r="120" customFormat="false" ht="15" hidden="false" customHeight="false" outlineLevel="0" collapsed="false">
      <c r="A120" s="11" t="str">
        <f aca="false">IF(INVENTÁRIO!A120="","",INVENTÁRIO!A120)</f>
        <v/>
      </c>
      <c r="B120" s="11" t="str">
        <f aca="false">IF(A120="","",INVENTÁRIO!B120)</f>
        <v/>
      </c>
      <c r="C120" s="16" t="str">
        <f aca="false">IF(A120="","",INVENTÁRIO!C120)</f>
        <v/>
      </c>
      <c r="D120" s="14" t="str">
        <f aca="false">IF(A120="","",MAX(K120:AD120))</f>
        <v/>
      </c>
      <c r="E120" s="14" t="str">
        <f aca="false">IF(A120="","",MAX(0,D120-C120))</f>
        <v/>
      </c>
      <c r="F120" s="16" t="str">
        <f aca="false">IF(A120="","",IF(D120=0,"Fora dos decks",IF(E120=0,"Completo","Falta")))</f>
        <v/>
      </c>
      <c r="G120" s="16" t="str">
        <f aca="false">IF(A120="","",COUNTIF(K120:AD120,"&gt;0"))</f>
        <v/>
      </c>
      <c r="H120" s="16" t="str">
        <f aca="false">IF(A120="","",IF(G120&gt;1,"Sim",""))</f>
        <v/>
      </c>
      <c r="I120" s="18" t="str">
        <f aca="false">IF(A120="","",SUMIFS(DECKS!$D$2:$D$1201,DECKS!$B$2:$B$1201,A120))</f>
        <v/>
      </c>
      <c r="J120" s="18" t="str">
        <f aca="false">IF(A120="","",MAX(0,I120-C120))</f>
        <v/>
      </c>
      <c r="K120" s="19" t="str">
        <f aca="false">IF(OR($A120="",INDEX(_LEITURA!$Q$2:$Q$21,1)=0),"",SUMIFS(DECKS!$D$2:$D$1201,DECKS!$A$2:$A$1201,INDEX(_LEITURA!$P$2:$P$21,1),DECKS!$B$2:$B$1201,$A120))</f>
        <v/>
      </c>
      <c r="L120" s="19" t="str">
        <f aca="false">IF(OR($A120="",INDEX(_LEITURA!$Q$2:$Q$21,2)=0),"",SUMIFS(DECKS!$D$2:$D$1201,DECKS!$A$2:$A$1201,INDEX(_LEITURA!$P$2:$P$21,2),DECKS!$B$2:$B$1201,$A120))</f>
        <v/>
      </c>
      <c r="M120" s="19" t="str">
        <f aca="false">IF(OR($A120="",INDEX(_LEITURA!$Q$2:$Q$21,3)=0),"",SUMIFS(DECKS!$D$2:$D$1201,DECKS!$A$2:$A$1201,INDEX(_LEITURA!$P$2:$P$21,3),DECKS!$B$2:$B$1201,$A120))</f>
        <v/>
      </c>
      <c r="N120" s="19" t="str">
        <f aca="false">IF(OR($A120="",INDEX(_LEITURA!$Q$2:$Q$21,4)=0),"",SUMIFS(DECKS!$D$2:$D$1201,DECKS!$A$2:$A$1201,INDEX(_LEITURA!$P$2:$P$21,4),DECKS!$B$2:$B$1201,$A120))</f>
        <v/>
      </c>
      <c r="O120" s="19" t="str">
        <f aca="false">IF(OR($A120="",INDEX(_LEITURA!$Q$2:$Q$21,5)=0),"",SUMIFS(DECKS!$D$2:$D$1201,DECKS!$A$2:$A$1201,INDEX(_LEITURA!$P$2:$P$21,5),DECKS!$B$2:$B$1201,$A120))</f>
        <v/>
      </c>
      <c r="P120" s="19" t="str">
        <f aca="false">IF(OR($A120="",INDEX(_LEITURA!$Q$2:$Q$21,6)=0),"",SUMIFS(DECKS!$D$2:$D$1201,DECKS!$A$2:$A$1201,INDEX(_LEITURA!$P$2:$P$21,6),DECKS!$B$2:$B$1201,$A120))</f>
        <v/>
      </c>
      <c r="Q120" s="19" t="str">
        <f aca="false">IF(OR($A120="",INDEX(_LEITURA!$Q$2:$Q$21,7)=0),"",SUMIFS(DECKS!$D$2:$D$1201,DECKS!$A$2:$A$1201,INDEX(_LEITURA!$P$2:$P$21,7),DECKS!$B$2:$B$1201,$A120))</f>
        <v/>
      </c>
      <c r="R120" s="19" t="str">
        <f aca="false">IF(OR($A120="",INDEX(_LEITURA!$Q$2:$Q$21,8)=0),"",SUMIFS(DECKS!$D$2:$D$1201,DECKS!$A$2:$A$1201,INDEX(_LEITURA!$P$2:$P$21,8),DECKS!$B$2:$B$1201,$A120))</f>
        <v/>
      </c>
      <c r="S120" s="19" t="str">
        <f aca="false">IF(OR($A120="",INDEX(_LEITURA!$Q$2:$Q$21,9)=0),"",SUMIFS(DECKS!$D$2:$D$1201,DECKS!$A$2:$A$1201,INDEX(_LEITURA!$P$2:$P$21,9),DECKS!$B$2:$B$1201,$A120))</f>
        <v/>
      </c>
      <c r="T120" s="19" t="str">
        <f aca="false">IF(OR($A120="",INDEX(_LEITURA!$Q$2:$Q$21,10)=0),"",SUMIFS(DECKS!$D$2:$D$1201,DECKS!$A$2:$A$1201,INDEX(_LEITURA!$P$2:$P$21,10),DECKS!$B$2:$B$1201,$A120))</f>
        <v/>
      </c>
      <c r="U120" s="19" t="str">
        <f aca="false">IF(OR($A120="",INDEX(_LEITURA!$Q$2:$Q$21,11)=0),"",SUMIFS(DECKS!$D$2:$D$1201,DECKS!$A$2:$A$1201,INDEX(_LEITURA!$P$2:$P$21,11),DECKS!$B$2:$B$1201,$A120))</f>
        <v/>
      </c>
      <c r="V120" s="19" t="str">
        <f aca="false">IF(OR($A120="",INDEX(_LEITURA!$Q$2:$Q$21,12)=0),"",SUMIFS(DECKS!$D$2:$D$1201,DECKS!$A$2:$A$1201,INDEX(_LEITURA!$P$2:$P$21,12),DECKS!$B$2:$B$1201,$A120))</f>
        <v/>
      </c>
      <c r="W120" s="19" t="str">
        <f aca="false">IF(OR($A120="",INDEX(_LEITURA!$Q$2:$Q$21,13)=0),"",SUMIFS(DECKS!$D$2:$D$1201,DECKS!$A$2:$A$1201,INDEX(_LEITURA!$P$2:$P$21,13),DECKS!$B$2:$B$1201,$A120))</f>
        <v/>
      </c>
      <c r="X120" s="19" t="str">
        <f aca="false">IF(OR($A120="",INDEX(_LEITURA!$Q$2:$Q$21,14)=0),"",SUMIFS(DECKS!$D$2:$D$1201,DECKS!$A$2:$A$1201,INDEX(_LEITURA!$P$2:$P$21,14),DECKS!$B$2:$B$1201,$A120))</f>
        <v/>
      </c>
      <c r="Y120" s="19" t="str">
        <f aca="false">IF(OR($A120="",INDEX(_LEITURA!$Q$2:$Q$21,15)=0),"",SUMIFS(DECKS!$D$2:$D$1201,DECKS!$A$2:$A$1201,INDEX(_LEITURA!$P$2:$P$21,15),DECKS!$B$2:$B$1201,$A120))</f>
        <v/>
      </c>
      <c r="Z120" s="19" t="str">
        <f aca="false">IF(OR($A120="",INDEX(_LEITURA!$Q$2:$Q$21,16)=0),"",SUMIFS(DECKS!$D$2:$D$1201,DECKS!$A$2:$A$1201,INDEX(_LEITURA!$P$2:$P$21,16),DECKS!$B$2:$B$1201,$A120))</f>
        <v/>
      </c>
      <c r="AA120" s="19" t="str">
        <f aca="false">IF(OR($A120="",INDEX(_LEITURA!$Q$2:$Q$21,17)=0),"",SUMIFS(DECKS!$D$2:$D$1201,DECKS!$A$2:$A$1201,INDEX(_LEITURA!$P$2:$P$21,17),DECKS!$B$2:$B$1201,$A120))</f>
        <v/>
      </c>
      <c r="AB120" s="19" t="str">
        <f aca="false">IF(OR($A120="",INDEX(_LEITURA!$Q$2:$Q$21,18)=0),"",SUMIFS(DECKS!$D$2:$D$1201,DECKS!$A$2:$A$1201,INDEX(_LEITURA!$P$2:$P$21,18),DECKS!$B$2:$B$1201,$A120))</f>
        <v/>
      </c>
      <c r="AC120" s="19" t="str">
        <f aca="false">IF(OR($A120="",INDEX(_LEITURA!$Q$2:$Q$21,19)=0),"",SUMIFS(DECKS!$D$2:$D$1201,DECKS!$A$2:$A$1201,INDEX(_LEITURA!$P$2:$P$21,19),DECKS!$B$2:$B$1201,$A120))</f>
        <v/>
      </c>
      <c r="AD120" s="19" t="str">
        <f aca="false">IF(OR($A120="",INDEX(_LEITURA!$Q$2:$Q$21,20)=0),"",SUMIFS(DECKS!$D$2:$D$1201,DECKS!$A$2:$A$1201,INDEX(_LEITURA!$P$2:$P$21,20),DECKS!$B$2:$B$1201,$A120))</f>
        <v/>
      </c>
      <c r="AE120" s="16" t="str">
        <f aca="false">IF(N(E120)&gt;0,MAX(AE$1:AE119)+1,"")</f>
        <v/>
      </c>
      <c r="AF120" s="11" t="str">
        <f aca="false">IF(A120="","",IFERROR(LEFT(A120,FIND("-",A120)-1),A120))</f>
        <v/>
      </c>
      <c r="AG120" s="11" t="str">
        <f aca="false">IF(AF120="","",IF(ISNUMBER(--MID(AF120,1,1)),0,IF(ISNUMBER(--MID(AF120,2,1)),1,IF(ISNUMBER(--MID(AF120,3,1)),2,IF(ISNUMBER(--MID(AF120,4,1)),3,MIN(LEN(AF120),4))))))</f>
        <v/>
      </c>
      <c r="AH120" s="11" t="str">
        <f aca="false">IF(A120="","",LEFT(AF120,AG120)&amp;REPT("0",4-AG120)&amp;RIGHT("000"&amp;IFERROR(VALUE(MID(AF120,AG120+1,9)),0),3)&amp;RIGHT("0000"&amp;IFERROR(VALUE(MID(A120,FIND("-",A120)+1,9)),0),4))</f>
        <v/>
      </c>
      <c r="AI120" s="11" t="str">
        <f aca="false">IF(OR(A120="",N(E120)&lt;=0),"",IF('FALTAS GERAL'!$M$1="Código","K"&amp;AH120&amp;RIGHT("00000"&amp;ROW(),5),IF('FALTAS GERAL'!$M$1="Nome","K"&amp;UPPER(SUBSTITUTE(SUBSTITUTE(SUBSTITUTE(B120,"*",""),"?",""),"~",""))&amp;"0"&amp;AH120&amp;RIGHT("00000"&amp;ROW(),5),IF('FALTAS GERAL'!$M$1="Falta (maior primeiro)","K"&amp;RIGHT("0000"&amp;(9999-E120),4)&amp;AH120&amp;RIGHT("00000"&amp;ROW(),5),IF('FALTAS GERAL'!$M$1="Nº de decks (maior primeiro)","K"&amp;RIGHT("00"&amp;(99-N(G120)),2)&amp;AH120&amp;RIGHT("00000"&amp;ROW(),5),"K"&amp;RIGHT("00000"&amp;ROW(),5))))))</f>
        <v/>
      </c>
      <c r="AJ120" s="11" t="str">
        <f aca="false">IF(AI120="","",COUNTIFS($AI$2:$AI$801,"&lt;"&amp;AI120,$E$2:$E$801,"&gt;0")+1)</f>
        <v/>
      </c>
      <c r="AK120" s="11" t="str">
        <f aca="false">IF(OR(A120="",N(E120)&lt;=0),"",COUNTIFS($AH$2:$AH$801,"&lt;"&amp;AH120,$E$2:$E$801,"&gt;0")+COUNTIFS($AH$2:AH120,AH120,$E$2:E120,"&gt;0"))</f>
        <v/>
      </c>
    </row>
    <row r="121" customFormat="false" ht="15" hidden="false" customHeight="false" outlineLevel="0" collapsed="false">
      <c r="A121" s="11" t="str">
        <f aca="false">IF(INVENTÁRIO!A121="","",INVENTÁRIO!A121)</f>
        <v/>
      </c>
      <c r="B121" s="11" t="str">
        <f aca="false">IF(A121="","",INVENTÁRIO!B121)</f>
        <v/>
      </c>
      <c r="C121" s="16" t="str">
        <f aca="false">IF(A121="","",INVENTÁRIO!C121)</f>
        <v/>
      </c>
      <c r="D121" s="14" t="str">
        <f aca="false">IF(A121="","",MAX(K121:AD121))</f>
        <v/>
      </c>
      <c r="E121" s="14" t="str">
        <f aca="false">IF(A121="","",MAX(0,D121-C121))</f>
        <v/>
      </c>
      <c r="F121" s="16" t="str">
        <f aca="false">IF(A121="","",IF(D121=0,"Fora dos decks",IF(E121=0,"Completo","Falta")))</f>
        <v/>
      </c>
      <c r="G121" s="16" t="str">
        <f aca="false">IF(A121="","",COUNTIF(K121:AD121,"&gt;0"))</f>
        <v/>
      </c>
      <c r="H121" s="16" t="str">
        <f aca="false">IF(A121="","",IF(G121&gt;1,"Sim",""))</f>
        <v/>
      </c>
      <c r="I121" s="18" t="str">
        <f aca="false">IF(A121="","",SUMIFS(DECKS!$D$2:$D$1201,DECKS!$B$2:$B$1201,A121))</f>
        <v/>
      </c>
      <c r="J121" s="18" t="str">
        <f aca="false">IF(A121="","",MAX(0,I121-C121))</f>
        <v/>
      </c>
      <c r="K121" s="19" t="str">
        <f aca="false">IF(OR($A121="",INDEX(_LEITURA!$Q$2:$Q$21,1)=0),"",SUMIFS(DECKS!$D$2:$D$1201,DECKS!$A$2:$A$1201,INDEX(_LEITURA!$P$2:$P$21,1),DECKS!$B$2:$B$1201,$A121))</f>
        <v/>
      </c>
      <c r="L121" s="19" t="str">
        <f aca="false">IF(OR($A121="",INDEX(_LEITURA!$Q$2:$Q$21,2)=0),"",SUMIFS(DECKS!$D$2:$D$1201,DECKS!$A$2:$A$1201,INDEX(_LEITURA!$P$2:$P$21,2),DECKS!$B$2:$B$1201,$A121))</f>
        <v/>
      </c>
      <c r="M121" s="19" t="str">
        <f aca="false">IF(OR($A121="",INDEX(_LEITURA!$Q$2:$Q$21,3)=0),"",SUMIFS(DECKS!$D$2:$D$1201,DECKS!$A$2:$A$1201,INDEX(_LEITURA!$P$2:$P$21,3),DECKS!$B$2:$B$1201,$A121))</f>
        <v/>
      </c>
      <c r="N121" s="19" t="str">
        <f aca="false">IF(OR($A121="",INDEX(_LEITURA!$Q$2:$Q$21,4)=0),"",SUMIFS(DECKS!$D$2:$D$1201,DECKS!$A$2:$A$1201,INDEX(_LEITURA!$P$2:$P$21,4),DECKS!$B$2:$B$1201,$A121))</f>
        <v/>
      </c>
      <c r="O121" s="19" t="str">
        <f aca="false">IF(OR($A121="",INDEX(_LEITURA!$Q$2:$Q$21,5)=0),"",SUMIFS(DECKS!$D$2:$D$1201,DECKS!$A$2:$A$1201,INDEX(_LEITURA!$P$2:$P$21,5),DECKS!$B$2:$B$1201,$A121))</f>
        <v/>
      </c>
      <c r="P121" s="19" t="str">
        <f aca="false">IF(OR($A121="",INDEX(_LEITURA!$Q$2:$Q$21,6)=0),"",SUMIFS(DECKS!$D$2:$D$1201,DECKS!$A$2:$A$1201,INDEX(_LEITURA!$P$2:$P$21,6),DECKS!$B$2:$B$1201,$A121))</f>
        <v/>
      </c>
      <c r="Q121" s="19" t="str">
        <f aca="false">IF(OR($A121="",INDEX(_LEITURA!$Q$2:$Q$21,7)=0),"",SUMIFS(DECKS!$D$2:$D$1201,DECKS!$A$2:$A$1201,INDEX(_LEITURA!$P$2:$P$21,7),DECKS!$B$2:$B$1201,$A121))</f>
        <v/>
      </c>
      <c r="R121" s="19" t="str">
        <f aca="false">IF(OR($A121="",INDEX(_LEITURA!$Q$2:$Q$21,8)=0),"",SUMIFS(DECKS!$D$2:$D$1201,DECKS!$A$2:$A$1201,INDEX(_LEITURA!$P$2:$P$21,8),DECKS!$B$2:$B$1201,$A121))</f>
        <v/>
      </c>
      <c r="S121" s="19" t="str">
        <f aca="false">IF(OR($A121="",INDEX(_LEITURA!$Q$2:$Q$21,9)=0),"",SUMIFS(DECKS!$D$2:$D$1201,DECKS!$A$2:$A$1201,INDEX(_LEITURA!$P$2:$P$21,9),DECKS!$B$2:$B$1201,$A121))</f>
        <v/>
      </c>
      <c r="T121" s="19" t="str">
        <f aca="false">IF(OR($A121="",INDEX(_LEITURA!$Q$2:$Q$21,10)=0),"",SUMIFS(DECKS!$D$2:$D$1201,DECKS!$A$2:$A$1201,INDEX(_LEITURA!$P$2:$P$21,10),DECKS!$B$2:$B$1201,$A121))</f>
        <v/>
      </c>
      <c r="U121" s="19" t="str">
        <f aca="false">IF(OR($A121="",INDEX(_LEITURA!$Q$2:$Q$21,11)=0),"",SUMIFS(DECKS!$D$2:$D$1201,DECKS!$A$2:$A$1201,INDEX(_LEITURA!$P$2:$P$21,11),DECKS!$B$2:$B$1201,$A121))</f>
        <v/>
      </c>
      <c r="V121" s="19" t="str">
        <f aca="false">IF(OR($A121="",INDEX(_LEITURA!$Q$2:$Q$21,12)=0),"",SUMIFS(DECKS!$D$2:$D$1201,DECKS!$A$2:$A$1201,INDEX(_LEITURA!$P$2:$P$21,12),DECKS!$B$2:$B$1201,$A121))</f>
        <v/>
      </c>
      <c r="W121" s="19" t="str">
        <f aca="false">IF(OR($A121="",INDEX(_LEITURA!$Q$2:$Q$21,13)=0),"",SUMIFS(DECKS!$D$2:$D$1201,DECKS!$A$2:$A$1201,INDEX(_LEITURA!$P$2:$P$21,13),DECKS!$B$2:$B$1201,$A121))</f>
        <v/>
      </c>
      <c r="X121" s="19" t="str">
        <f aca="false">IF(OR($A121="",INDEX(_LEITURA!$Q$2:$Q$21,14)=0),"",SUMIFS(DECKS!$D$2:$D$1201,DECKS!$A$2:$A$1201,INDEX(_LEITURA!$P$2:$P$21,14),DECKS!$B$2:$B$1201,$A121))</f>
        <v/>
      </c>
      <c r="Y121" s="19" t="str">
        <f aca="false">IF(OR($A121="",INDEX(_LEITURA!$Q$2:$Q$21,15)=0),"",SUMIFS(DECKS!$D$2:$D$1201,DECKS!$A$2:$A$1201,INDEX(_LEITURA!$P$2:$P$21,15),DECKS!$B$2:$B$1201,$A121))</f>
        <v/>
      </c>
      <c r="Z121" s="19" t="str">
        <f aca="false">IF(OR($A121="",INDEX(_LEITURA!$Q$2:$Q$21,16)=0),"",SUMIFS(DECKS!$D$2:$D$1201,DECKS!$A$2:$A$1201,INDEX(_LEITURA!$P$2:$P$21,16),DECKS!$B$2:$B$1201,$A121))</f>
        <v/>
      </c>
      <c r="AA121" s="19" t="str">
        <f aca="false">IF(OR($A121="",INDEX(_LEITURA!$Q$2:$Q$21,17)=0),"",SUMIFS(DECKS!$D$2:$D$1201,DECKS!$A$2:$A$1201,INDEX(_LEITURA!$P$2:$P$21,17),DECKS!$B$2:$B$1201,$A121))</f>
        <v/>
      </c>
      <c r="AB121" s="19" t="str">
        <f aca="false">IF(OR($A121="",INDEX(_LEITURA!$Q$2:$Q$21,18)=0),"",SUMIFS(DECKS!$D$2:$D$1201,DECKS!$A$2:$A$1201,INDEX(_LEITURA!$P$2:$P$21,18),DECKS!$B$2:$B$1201,$A121))</f>
        <v/>
      </c>
      <c r="AC121" s="19" t="str">
        <f aca="false">IF(OR($A121="",INDEX(_LEITURA!$Q$2:$Q$21,19)=0),"",SUMIFS(DECKS!$D$2:$D$1201,DECKS!$A$2:$A$1201,INDEX(_LEITURA!$P$2:$P$21,19),DECKS!$B$2:$B$1201,$A121))</f>
        <v/>
      </c>
      <c r="AD121" s="19" t="str">
        <f aca="false">IF(OR($A121="",INDEX(_LEITURA!$Q$2:$Q$21,20)=0),"",SUMIFS(DECKS!$D$2:$D$1201,DECKS!$A$2:$A$1201,INDEX(_LEITURA!$P$2:$P$21,20),DECKS!$B$2:$B$1201,$A121))</f>
        <v/>
      </c>
      <c r="AE121" s="16" t="str">
        <f aca="false">IF(N(E121)&gt;0,MAX(AE$1:AE120)+1,"")</f>
        <v/>
      </c>
      <c r="AF121" s="11" t="str">
        <f aca="false">IF(A121="","",IFERROR(LEFT(A121,FIND("-",A121)-1),A121))</f>
        <v/>
      </c>
      <c r="AG121" s="11" t="str">
        <f aca="false">IF(AF121="","",IF(ISNUMBER(--MID(AF121,1,1)),0,IF(ISNUMBER(--MID(AF121,2,1)),1,IF(ISNUMBER(--MID(AF121,3,1)),2,IF(ISNUMBER(--MID(AF121,4,1)),3,MIN(LEN(AF121),4))))))</f>
        <v/>
      </c>
      <c r="AH121" s="11" t="str">
        <f aca="false">IF(A121="","",LEFT(AF121,AG121)&amp;REPT("0",4-AG121)&amp;RIGHT("000"&amp;IFERROR(VALUE(MID(AF121,AG121+1,9)),0),3)&amp;RIGHT("0000"&amp;IFERROR(VALUE(MID(A121,FIND("-",A121)+1,9)),0),4))</f>
        <v/>
      </c>
      <c r="AI121" s="11" t="str">
        <f aca="false">IF(OR(A121="",N(E121)&lt;=0),"",IF('FALTAS GERAL'!$M$1="Código","K"&amp;AH121&amp;RIGHT("00000"&amp;ROW(),5),IF('FALTAS GERAL'!$M$1="Nome","K"&amp;UPPER(SUBSTITUTE(SUBSTITUTE(SUBSTITUTE(B121,"*",""),"?",""),"~",""))&amp;"0"&amp;AH121&amp;RIGHT("00000"&amp;ROW(),5),IF('FALTAS GERAL'!$M$1="Falta (maior primeiro)","K"&amp;RIGHT("0000"&amp;(9999-E121),4)&amp;AH121&amp;RIGHT("00000"&amp;ROW(),5),IF('FALTAS GERAL'!$M$1="Nº de decks (maior primeiro)","K"&amp;RIGHT("00"&amp;(99-N(G121)),2)&amp;AH121&amp;RIGHT("00000"&amp;ROW(),5),"K"&amp;RIGHT("00000"&amp;ROW(),5))))))</f>
        <v/>
      </c>
      <c r="AJ121" s="11" t="str">
        <f aca="false">IF(AI121="","",COUNTIFS($AI$2:$AI$801,"&lt;"&amp;AI121,$E$2:$E$801,"&gt;0")+1)</f>
        <v/>
      </c>
      <c r="AK121" s="11" t="str">
        <f aca="false">IF(OR(A121="",N(E121)&lt;=0),"",COUNTIFS($AH$2:$AH$801,"&lt;"&amp;AH121,$E$2:$E$801,"&gt;0")+COUNTIFS($AH$2:AH121,AH121,$E$2:E121,"&gt;0"))</f>
        <v/>
      </c>
    </row>
    <row r="122" customFormat="false" ht="15" hidden="false" customHeight="false" outlineLevel="0" collapsed="false">
      <c r="A122" s="11" t="str">
        <f aca="false">IF(INVENTÁRIO!A122="","",INVENTÁRIO!A122)</f>
        <v/>
      </c>
      <c r="B122" s="11" t="str">
        <f aca="false">IF(A122="","",INVENTÁRIO!B122)</f>
        <v/>
      </c>
      <c r="C122" s="16" t="str">
        <f aca="false">IF(A122="","",INVENTÁRIO!C122)</f>
        <v/>
      </c>
      <c r="D122" s="14" t="str">
        <f aca="false">IF(A122="","",MAX(K122:AD122))</f>
        <v/>
      </c>
      <c r="E122" s="14" t="str">
        <f aca="false">IF(A122="","",MAX(0,D122-C122))</f>
        <v/>
      </c>
      <c r="F122" s="16" t="str">
        <f aca="false">IF(A122="","",IF(D122=0,"Fora dos decks",IF(E122=0,"Completo","Falta")))</f>
        <v/>
      </c>
      <c r="G122" s="16" t="str">
        <f aca="false">IF(A122="","",COUNTIF(K122:AD122,"&gt;0"))</f>
        <v/>
      </c>
      <c r="H122" s="16" t="str">
        <f aca="false">IF(A122="","",IF(G122&gt;1,"Sim",""))</f>
        <v/>
      </c>
      <c r="I122" s="18" t="str">
        <f aca="false">IF(A122="","",SUMIFS(DECKS!$D$2:$D$1201,DECKS!$B$2:$B$1201,A122))</f>
        <v/>
      </c>
      <c r="J122" s="18" t="str">
        <f aca="false">IF(A122="","",MAX(0,I122-C122))</f>
        <v/>
      </c>
      <c r="K122" s="19" t="str">
        <f aca="false">IF(OR($A122="",INDEX(_LEITURA!$Q$2:$Q$21,1)=0),"",SUMIFS(DECKS!$D$2:$D$1201,DECKS!$A$2:$A$1201,INDEX(_LEITURA!$P$2:$P$21,1),DECKS!$B$2:$B$1201,$A122))</f>
        <v/>
      </c>
      <c r="L122" s="19" t="str">
        <f aca="false">IF(OR($A122="",INDEX(_LEITURA!$Q$2:$Q$21,2)=0),"",SUMIFS(DECKS!$D$2:$D$1201,DECKS!$A$2:$A$1201,INDEX(_LEITURA!$P$2:$P$21,2),DECKS!$B$2:$B$1201,$A122))</f>
        <v/>
      </c>
      <c r="M122" s="19" t="str">
        <f aca="false">IF(OR($A122="",INDEX(_LEITURA!$Q$2:$Q$21,3)=0),"",SUMIFS(DECKS!$D$2:$D$1201,DECKS!$A$2:$A$1201,INDEX(_LEITURA!$P$2:$P$21,3),DECKS!$B$2:$B$1201,$A122))</f>
        <v/>
      </c>
      <c r="N122" s="19" t="str">
        <f aca="false">IF(OR($A122="",INDEX(_LEITURA!$Q$2:$Q$21,4)=0),"",SUMIFS(DECKS!$D$2:$D$1201,DECKS!$A$2:$A$1201,INDEX(_LEITURA!$P$2:$P$21,4),DECKS!$B$2:$B$1201,$A122))</f>
        <v/>
      </c>
      <c r="O122" s="19" t="str">
        <f aca="false">IF(OR($A122="",INDEX(_LEITURA!$Q$2:$Q$21,5)=0),"",SUMIFS(DECKS!$D$2:$D$1201,DECKS!$A$2:$A$1201,INDEX(_LEITURA!$P$2:$P$21,5),DECKS!$B$2:$B$1201,$A122))</f>
        <v/>
      </c>
      <c r="P122" s="19" t="str">
        <f aca="false">IF(OR($A122="",INDEX(_LEITURA!$Q$2:$Q$21,6)=0),"",SUMIFS(DECKS!$D$2:$D$1201,DECKS!$A$2:$A$1201,INDEX(_LEITURA!$P$2:$P$21,6),DECKS!$B$2:$B$1201,$A122))</f>
        <v/>
      </c>
      <c r="Q122" s="19" t="str">
        <f aca="false">IF(OR($A122="",INDEX(_LEITURA!$Q$2:$Q$21,7)=0),"",SUMIFS(DECKS!$D$2:$D$1201,DECKS!$A$2:$A$1201,INDEX(_LEITURA!$P$2:$P$21,7),DECKS!$B$2:$B$1201,$A122))</f>
        <v/>
      </c>
      <c r="R122" s="19" t="str">
        <f aca="false">IF(OR($A122="",INDEX(_LEITURA!$Q$2:$Q$21,8)=0),"",SUMIFS(DECKS!$D$2:$D$1201,DECKS!$A$2:$A$1201,INDEX(_LEITURA!$P$2:$P$21,8),DECKS!$B$2:$B$1201,$A122))</f>
        <v/>
      </c>
      <c r="S122" s="19" t="str">
        <f aca="false">IF(OR($A122="",INDEX(_LEITURA!$Q$2:$Q$21,9)=0),"",SUMIFS(DECKS!$D$2:$D$1201,DECKS!$A$2:$A$1201,INDEX(_LEITURA!$P$2:$P$21,9),DECKS!$B$2:$B$1201,$A122))</f>
        <v/>
      </c>
      <c r="T122" s="19" t="str">
        <f aca="false">IF(OR($A122="",INDEX(_LEITURA!$Q$2:$Q$21,10)=0),"",SUMIFS(DECKS!$D$2:$D$1201,DECKS!$A$2:$A$1201,INDEX(_LEITURA!$P$2:$P$21,10),DECKS!$B$2:$B$1201,$A122))</f>
        <v/>
      </c>
      <c r="U122" s="19" t="str">
        <f aca="false">IF(OR($A122="",INDEX(_LEITURA!$Q$2:$Q$21,11)=0),"",SUMIFS(DECKS!$D$2:$D$1201,DECKS!$A$2:$A$1201,INDEX(_LEITURA!$P$2:$P$21,11),DECKS!$B$2:$B$1201,$A122))</f>
        <v/>
      </c>
      <c r="V122" s="19" t="str">
        <f aca="false">IF(OR($A122="",INDEX(_LEITURA!$Q$2:$Q$21,12)=0),"",SUMIFS(DECKS!$D$2:$D$1201,DECKS!$A$2:$A$1201,INDEX(_LEITURA!$P$2:$P$21,12),DECKS!$B$2:$B$1201,$A122))</f>
        <v/>
      </c>
      <c r="W122" s="19" t="str">
        <f aca="false">IF(OR($A122="",INDEX(_LEITURA!$Q$2:$Q$21,13)=0),"",SUMIFS(DECKS!$D$2:$D$1201,DECKS!$A$2:$A$1201,INDEX(_LEITURA!$P$2:$P$21,13),DECKS!$B$2:$B$1201,$A122))</f>
        <v/>
      </c>
      <c r="X122" s="19" t="str">
        <f aca="false">IF(OR($A122="",INDEX(_LEITURA!$Q$2:$Q$21,14)=0),"",SUMIFS(DECKS!$D$2:$D$1201,DECKS!$A$2:$A$1201,INDEX(_LEITURA!$P$2:$P$21,14),DECKS!$B$2:$B$1201,$A122))</f>
        <v/>
      </c>
      <c r="Y122" s="19" t="str">
        <f aca="false">IF(OR($A122="",INDEX(_LEITURA!$Q$2:$Q$21,15)=0),"",SUMIFS(DECKS!$D$2:$D$1201,DECKS!$A$2:$A$1201,INDEX(_LEITURA!$P$2:$P$21,15),DECKS!$B$2:$B$1201,$A122))</f>
        <v/>
      </c>
      <c r="Z122" s="19" t="str">
        <f aca="false">IF(OR($A122="",INDEX(_LEITURA!$Q$2:$Q$21,16)=0),"",SUMIFS(DECKS!$D$2:$D$1201,DECKS!$A$2:$A$1201,INDEX(_LEITURA!$P$2:$P$21,16),DECKS!$B$2:$B$1201,$A122))</f>
        <v/>
      </c>
      <c r="AA122" s="19" t="str">
        <f aca="false">IF(OR($A122="",INDEX(_LEITURA!$Q$2:$Q$21,17)=0),"",SUMIFS(DECKS!$D$2:$D$1201,DECKS!$A$2:$A$1201,INDEX(_LEITURA!$P$2:$P$21,17),DECKS!$B$2:$B$1201,$A122))</f>
        <v/>
      </c>
      <c r="AB122" s="19" t="str">
        <f aca="false">IF(OR($A122="",INDEX(_LEITURA!$Q$2:$Q$21,18)=0),"",SUMIFS(DECKS!$D$2:$D$1201,DECKS!$A$2:$A$1201,INDEX(_LEITURA!$P$2:$P$21,18),DECKS!$B$2:$B$1201,$A122))</f>
        <v/>
      </c>
      <c r="AC122" s="19" t="str">
        <f aca="false">IF(OR($A122="",INDEX(_LEITURA!$Q$2:$Q$21,19)=0),"",SUMIFS(DECKS!$D$2:$D$1201,DECKS!$A$2:$A$1201,INDEX(_LEITURA!$P$2:$P$21,19),DECKS!$B$2:$B$1201,$A122))</f>
        <v/>
      </c>
      <c r="AD122" s="19" t="str">
        <f aca="false">IF(OR($A122="",INDEX(_LEITURA!$Q$2:$Q$21,20)=0),"",SUMIFS(DECKS!$D$2:$D$1201,DECKS!$A$2:$A$1201,INDEX(_LEITURA!$P$2:$P$21,20),DECKS!$B$2:$B$1201,$A122))</f>
        <v/>
      </c>
      <c r="AE122" s="16" t="str">
        <f aca="false">IF(N(E122)&gt;0,MAX(AE$1:AE121)+1,"")</f>
        <v/>
      </c>
      <c r="AF122" s="11" t="str">
        <f aca="false">IF(A122="","",IFERROR(LEFT(A122,FIND("-",A122)-1),A122))</f>
        <v/>
      </c>
      <c r="AG122" s="11" t="str">
        <f aca="false">IF(AF122="","",IF(ISNUMBER(--MID(AF122,1,1)),0,IF(ISNUMBER(--MID(AF122,2,1)),1,IF(ISNUMBER(--MID(AF122,3,1)),2,IF(ISNUMBER(--MID(AF122,4,1)),3,MIN(LEN(AF122),4))))))</f>
        <v/>
      </c>
      <c r="AH122" s="11" t="str">
        <f aca="false">IF(A122="","",LEFT(AF122,AG122)&amp;REPT("0",4-AG122)&amp;RIGHT("000"&amp;IFERROR(VALUE(MID(AF122,AG122+1,9)),0),3)&amp;RIGHT("0000"&amp;IFERROR(VALUE(MID(A122,FIND("-",A122)+1,9)),0),4))</f>
        <v/>
      </c>
      <c r="AI122" s="11" t="str">
        <f aca="false">IF(OR(A122="",N(E122)&lt;=0),"",IF('FALTAS GERAL'!$M$1="Código","K"&amp;AH122&amp;RIGHT("00000"&amp;ROW(),5),IF('FALTAS GERAL'!$M$1="Nome","K"&amp;UPPER(SUBSTITUTE(SUBSTITUTE(SUBSTITUTE(B122,"*",""),"?",""),"~",""))&amp;"0"&amp;AH122&amp;RIGHT("00000"&amp;ROW(),5),IF('FALTAS GERAL'!$M$1="Falta (maior primeiro)","K"&amp;RIGHT("0000"&amp;(9999-E122),4)&amp;AH122&amp;RIGHT("00000"&amp;ROW(),5),IF('FALTAS GERAL'!$M$1="Nº de decks (maior primeiro)","K"&amp;RIGHT("00"&amp;(99-N(G122)),2)&amp;AH122&amp;RIGHT("00000"&amp;ROW(),5),"K"&amp;RIGHT("00000"&amp;ROW(),5))))))</f>
        <v/>
      </c>
      <c r="AJ122" s="11" t="str">
        <f aca="false">IF(AI122="","",COUNTIFS($AI$2:$AI$801,"&lt;"&amp;AI122,$E$2:$E$801,"&gt;0")+1)</f>
        <v/>
      </c>
      <c r="AK122" s="11" t="str">
        <f aca="false">IF(OR(A122="",N(E122)&lt;=0),"",COUNTIFS($AH$2:$AH$801,"&lt;"&amp;AH122,$E$2:$E$801,"&gt;0")+COUNTIFS($AH$2:AH122,AH122,$E$2:E122,"&gt;0"))</f>
        <v/>
      </c>
    </row>
    <row r="123" customFormat="false" ht="15" hidden="false" customHeight="false" outlineLevel="0" collapsed="false">
      <c r="A123" s="11" t="str">
        <f aca="false">IF(INVENTÁRIO!A123="","",INVENTÁRIO!A123)</f>
        <v/>
      </c>
      <c r="B123" s="11" t="str">
        <f aca="false">IF(A123="","",INVENTÁRIO!B123)</f>
        <v/>
      </c>
      <c r="C123" s="16" t="str">
        <f aca="false">IF(A123="","",INVENTÁRIO!C123)</f>
        <v/>
      </c>
      <c r="D123" s="14" t="str">
        <f aca="false">IF(A123="","",MAX(K123:AD123))</f>
        <v/>
      </c>
      <c r="E123" s="14" t="str">
        <f aca="false">IF(A123="","",MAX(0,D123-C123))</f>
        <v/>
      </c>
      <c r="F123" s="16" t="str">
        <f aca="false">IF(A123="","",IF(D123=0,"Fora dos decks",IF(E123=0,"Completo","Falta")))</f>
        <v/>
      </c>
      <c r="G123" s="16" t="str">
        <f aca="false">IF(A123="","",COUNTIF(K123:AD123,"&gt;0"))</f>
        <v/>
      </c>
      <c r="H123" s="16" t="str">
        <f aca="false">IF(A123="","",IF(G123&gt;1,"Sim",""))</f>
        <v/>
      </c>
      <c r="I123" s="18" t="str">
        <f aca="false">IF(A123="","",SUMIFS(DECKS!$D$2:$D$1201,DECKS!$B$2:$B$1201,A123))</f>
        <v/>
      </c>
      <c r="J123" s="18" t="str">
        <f aca="false">IF(A123="","",MAX(0,I123-C123))</f>
        <v/>
      </c>
      <c r="K123" s="19" t="str">
        <f aca="false">IF(OR($A123="",INDEX(_LEITURA!$Q$2:$Q$21,1)=0),"",SUMIFS(DECKS!$D$2:$D$1201,DECKS!$A$2:$A$1201,INDEX(_LEITURA!$P$2:$P$21,1),DECKS!$B$2:$B$1201,$A123))</f>
        <v/>
      </c>
      <c r="L123" s="19" t="str">
        <f aca="false">IF(OR($A123="",INDEX(_LEITURA!$Q$2:$Q$21,2)=0),"",SUMIFS(DECKS!$D$2:$D$1201,DECKS!$A$2:$A$1201,INDEX(_LEITURA!$P$2:$P$21,2),DECKS!$B$2:$B$1201,$A123))</f>
        <v/>
      </c>
      <c r="M123" s="19" t="str">
        <f aca="false">IF(OR($A123="",INDEX(_LEITURA!$Q$2:$Q$21,3)=0),"",SUMIFS(DECKS!$D$2:$D$1201,DECKS!$A$2:$A$1201,INDEX(_LEITURA!$P$2:$P$21,3),DECKS!$B$2:$B$1201,$A123))</f>
        <v/>
      </c>
      <c r="N123" s="19" t="str">
        <f aca="false">IF(OR($A123="",INDEX(_LEITURA!$Q$2:$Q$21,4)=0),"",SUMIFS(DECKS!$D$2:$D$1201,DECKS!$A$2:$A$1201,INDEX(_LEITURA!$P$2:$P$21,4),DECKS!$B$2:$B$1201,$A123))</f>
        <v/>
      </c>
      <c r="O123" s="19" t="str">
        <f aca="false">IF(OR($A123="",INDEX(_LEITURA!$Q$2:$Q$21,5)=0),"",SUMIFS(DECKS!$D$2:$D$1201,DECKS!$A$2:$A$1201,INDEX(_LEITURA!$P$2:$P$21,5),DECKS!$B$2:$B$1201,$A123))</f>
        <v/>
      </c>
      <c r="P123" s="19" t="str">
        <f aca="false">IF(OR($A123="",INDEX(_LEITURA!$Q$2:$Q$21,6)=0),"",SUMIFS(DECKS!$D$2:$D$1201,DECKS!$A$2:$A$1201,INDEX(_LEITURA!$P$2:$P$21,6),DECKS!$B$2:$B$1201,$A123))</f>
        <v/>
      </c>
      <c r="Q123" s="19" t="str">
        <f aca="false">IF(OR($A123="",INDEX(_LEITURA!$Q$2:$Q$21,7)=0),"",SUMIFS(DECKS!$D$2:$D$1201,DECKS!$A$2:$A$1201,INDEX(_LEITURA!$P$2:$P$21,7),DECKS!$B$2:$B$1201,$A123))</f>
        <v/>
      </c>
      <c r="R123" s="19" t="str">
        <f aca="false">IF(OR($A123="",INDEX(_LEITURA!$Q$2:$Q$21,8)=0),"",SUMIFS(DECKS!$D$2:$D$1201,DECKS!$A$2:$A$1201,INDEX(_LEITURA!$P$2:$P$21,8),DECKS!$B$2:$B$1201,$A123))</f>
        <v/>
      </c>
      <c r="S123" s="19" t="str">
        <f aca="false">IF(OR($A123="",INDEX(_LEITURA!$Q$2:$Q$21,9)=0),"",SUMIFS(DECKS!$D$2:$D$1201,DECKS!$A$2:$A$1201,INDEX(_LEITURA!$P$2:$P$21,9),DECKS!$B$2:$B$1201,$A123))</f>
        <v/>
      </c>
      <c r="T123" s="19" t="str">
        <f aca="false">IF(OR($A123="",INDEX(_LEITURA!$Q$2:$Q$21,10)=0),"",SUMIFS(DECKS!$D$2:$D$1201,DECKS!$A$2:$A$1201,INDEX(_LEITURA!$P$2:$P$21,10),DECKS!$B$2:$B$1201,$A123))</f>
        <v/>
      </c>
      <c r="U123" s="19" t="str">
        <f aca="false">IF(OR($A123="",INDEX(_LEITURA!$Q$2:$Q$21,11)=0),"",SUMIFS(DECKS!$D$2:$D$1201,DECKS!$A$2:$A$1201,INDEX(_LEITURA!$P$2:$P$21,11),DECKS!$B$2:$B$1201,$A123))</f>
        <v/>
      </c>
      <c r="V123" s="19" t="str">
        <f aca="false">IF(OR($A123="",INDEX(_LEITURA!$Q$2:$Q$21,12)=0),"",SUMIFS(DECKS!$D$2:$D$1201,DECKS!$A$2:$A$1201,INDEX(_LEITURA!$P$2:$P$21,12),DECKS!$B$2:$B$1201,$A123))</f>
        <v/>
      </c>
      <c r="W123" s="19" t="str">
        <f aca="false">IF(OR($A123="",INDEX(_LEITURA!$Q$2:$Q$21,13)=0),"",SUMIFS(DECKS!$D$2:$D$1201,DECKS!$A$2:$A$1201,INDEX(_LEITURA!$P$2:$P$21,13),DECKS!$B$2:$B$1201,$A123))</f>
        <v/>
      </c>
      <c r="X123" s="19" t="str">
        <f aca="false">IF(OR($A123="",INDEX(_LEITURA!$Q$2:$Q$21,14)=0),"",SUMIFS(DECKS!$D$2:$D$1201,DECKS!$A$2:$A$1201,INDEX(_LEITURA!$P$2:$P$21,14),DECKS!$B$2:$B$1201,$A123))</f>
        <v/>
      </c>
      <c r="Y123" s="19" t="str">
        <f aca="false">IF(OR($A123="",INDEX(_LEITURA!$Q$2:$Q$21,15)=0),"",SUMIFS(DECKS!$D$2:$D$1201,DECKS!$A$2:$A$1201,INDEX(_LEITURA!$P$2:$P$21,15),DECKS!$B$2:$B$1201,$A123))</f>
        <v/>
      </c>
      <c r="Z123" s="19" t="str">
        <f aca="false">IF(OR($A123="",INDEX(_LEITURA!$Q$2:$Q$21,16)=0),"",SUMIFS(DECKS!$D$2:$D$1201,DECKS!$A$2:$A$1201,INDEX(_LEITURA!$P$2:$P$21,16),DECKS!$B$2:$B$1201,$A123))</f>
        <v/>
      </c>
      <c r="AA123" s="19" t="str">
        <f aca="false">IF(OR($A123="",INDEX(_LEITURA!$Q$2:$Q$21,17)=0),"",SUMIFS(DECKS!$D$2:$D$1201,DECKS!$A$2:$A$1201,INDEX(_LEITURA!$P$2:$P$21,17),DECKS!$B$2:$B$1201,$A123))</f>
        <v/>
      </c>
      <c r="AB123" s="19" t="str">
        <f aca="false">IF(OR($A123="",INDEX(_LEITURA!$Q$2:$Q$21,18)=0),"",SUMIFS(DECKS!$D$2:$D$1201,DECKS!$A$2:$A$1201,INDEX(_LEITURA!$P$2:$P$21,18),DECKS!$B$2:$B$1201,$A123))</f>
        <v/>
      </c>
      <c r="AC123" s="19" t="str">
        <f aca="false">IF(OR($A123="",INDEX(_LEITURA!$Q$2:$Q$21,19)=0),"",SUMIFS(DECKS!$D$2:$D$1201,DECKS!$A$2:$A$1201,INDEX(_LEITURA!$P$2:$P$21,19),DECKS!$B$2:$B$1201,$A123))</f>
        <v/>
      </c>
      <c r="AD123" s="19" t="str">
        <f aca="false">IF(OR($A123="",INDEX(_LEITURA!$Q$2:$Q$21,20)=0),"",SUMIFS(DECKS!$D$2:$D$1201,DECKS!$A$2:$A$1201,INDEX(_LEITURA!$P$2:$P$21,20),DECKS!$B$2:$B$1201,$A123))</f>
        <v/>
      </c>
      <c r="AE123" s="16" t="str">
        <f aca="false">IF(N(E123)&gt;0,MAX(AE$1:AE122)+1,"")</f>
        <v/>
      </c>
      <c r="AF123" s="11" t="str">
        <f aca="false">IF(A123="","",IFERROR(LEFT(A123,FIND("-",A123)-1),A123))</f>
        <v/>
      </c>
      <c r="AG123" s="11" t="str">
        <f aca="false">IF(AF123="","",IF(ISNUMBER(--MID(AF123,1,1)),0,IF(ISNUMBER(--MID(AF123,2,1)),1,IF(ISNUMBER(--MID(AF123,3,1)),2,IF(ISNUMBER(--MID(AF123,4,1)),3,MIN(LEN(AF123),4))))))</f>
        <v/>
      </c>
      <c r="AH123" s="11" t="str">
        <f aca="false">IF(A123="","",LEFT(AF123,AG123)&amp;REPT("0",4-AG123)&amp;RIGHT("000"&amp;IFERROR(VALUE(MID(AF123,AG123+1,9)),0),3)&amp;RIGHT("0000"&amp;IFERROR(VALUE(MID(A123,FIND("-",A123)+1,9)),0),4))</f>
        <v/>
      </c>
      <c r="AI123" s="11" t="str">
        <f aca="false">IF(OR(A123="",N(E123)&lt;=0),"",IF('FALTAS GERAL'!$M$1="Código","K"&amp;AH123&amp;RIGHT("00000"&amp;ROW(),5),IF('FALTAS GERAL'!$M$1="Nome","K"&amp;UPPER(SUBSTITUTE(SUBSTITUTE(SUBSTITUTE(B123,"*",""),"?",""),"~",""))&amp;"0"&amp;AH123&amp;RIGHT("00000"&amp;ROW(),5),IF('FALTAS GERAL'!$M$1="Falta (maior primeiro)","K"&amp;RIGHT("0000"&amp;(9999-E123),4)&amp;AH123&amp;RIGHT("00000"&amp;ROW(),5),IF('FALTAS GERAL'!$M$1="Nº de decks (maior primeiro)","K"&amp;RIGHT("00"&amp;(99-N(G123)),2)&amp;AH123&amp;RIGHT("00000"&amp;ROW(),5),"K"&amp;RIGHT("00000"&amp;ROW(),5))))))</f>
        <v/>
      </c>
      <c r="AJ123" s="11" t="str">
        <f aca="false">IF(AI123="","",COUNTIFS($AI$2:$AI$801,"&lt;"&amp;AI123,$E$2:$E$801,"&gt;0")+1)</f>
        <v/>
      </c>
      <c r="AK123" s="11" t="str">
        <f aca="false">IF(OR(A123="",N(E123)&lt;=0),"",COUNTIFS($AH$2:$AH$801,"&lt;"&amp;AH123,$E$2:$E$801,"&gt;0")+COUNTIFS($AH$2:AH123,AH123,$E$2:E123,"&gt;0"))</f>
        <v/>
      </c>
    </row>
    <row r="124" customFormat="false" ht="15" hidden="false" customHeight="false" outlineLevel="0" collapsed="false">
      <c r="A124" s="11" t="str">
        <f aca="false">IF(INVENTÁRIO!A124="","",INVENTÁRIO!A124)</f>
        <v/>
      </c>
      <c r="B124" s="11" t="str">
        <f aca="false">IF(A124="","",INVENTÁRIO!B124)</f>
        <v/>
      </c>
      <c r="C124" s="16" t="str">
        <f aca="false">IF(A124="","",INVENTÁRIO!C124)</f>
        <v/>
      </c>
      <c r="D124" s="14" t="str">
        <f aca="false">IF(A124="","",MAX(K124:AD124))</f>
        <v/>
      </c>
      <c r="E124" s="14" t="str">
        <f aca="false">IF(A124="","",MAX(0,D124-C124))</f>
        <v/>
      </c>
      <c r="F124" s="16" t="str">
        <f aca="false">IF(A124="","",IF(D124=0,"Fora dos decks",IF(E124=0,"Completo","Falta")))</f>
        <v/>
      </c>
      <c r="G124" s="16" t="str">
        <f aca="false">IF(A124="","",COUNTIF(K124:AD124,"&gt;0"))</f>
        <v/>
      </c>
      <c r="H124" s="16" t="str">
        <f aca="false">IF(A124="","",IF(G124&gt;1,"Sim",""))</f>
        <v/>
      </c>
      <c r="I124" s="18" t="str">
        <f aca="false">IF(A124="","",SUMIFS(DECKS!$D$2:$D$1201,DECKS!$B$2:$B$1201,A124))</f>
        <v/>
      </c>
      <c r="J124" s="18" t="str">
        <f aca="false">IF(A124="","",MAX(0,I124-C124))</f>
        <v/>
      </c>
      <c r="K124" s="19" t="str">
        <f aca="false">IF(OR($A124="",INDEX(_LEITURA!$Q$2:$Q$21,1)=0),"",SUMIFS(DECKS!$D$2:$D$1201,DECKS!$A$2:$A$1201,INDEX(_LEITURA!$P$2:$P$21,1),DECKS!$B$2:$B$1201,$A124))</f>
        <v/>
      </c>
      <c r="L124" s="19" t="str">
        <f aca="false">IF(OR($A124="",INDEX(_LEITURA!$Q$2:$Q$21,2)=0),"",SUMIFS(DECKS!$D$2:$D$1201,DECKS!$A$2:$A$1201,INDEX(_LEITURA!$P$2:$P$21,2),DECKS!$B$2:$B$1201,$A124))</f>
        <v/>
      </c>
      <c r="M124" s="19" t="str">
        <f aca="false">IF(OR($A124="",INDEX(_LEITURA!$Q$2:$Q$21,3)=0),"",SUMIFS(DECKS!$D$2:$D$1201,DECKS!$A$2:$A$1201,INDEX(_LEITURA!$P$2:$P$21,3),DECKS!$B$2:$B$1201,$A124))</f>
        <v/>
      </c>
      <c r="N124" s="19" t="str">
        <f aca="false">IF(OR($A124="",INDEX(_LEITURA!$Q$2:$Q$21,4)=0),"",SUMIFS(DECKS!$D$2:$D$1201,DECKS!$A$2:$A$1201,INDEX(_LEITURA!$P$2:$P$21,4),DECKS!$B$2:$B$1201,$A124))</f>
        <v/>
      </c>
      <c r="O124" s="19" t="str">
        <f aca="false">IF(OR($A124="",INDEX(_LEITURA!$Q$2:$Q$21,5)=0),"",SUMIFS(DECKS!$D$2:$D$1201,DECKS!$A$2:$A$1201,INDEX(_LEITURA!$P$2:$P$21,5),DECKS!$B$2:$B$1201,$A124))</f>
        <v/>
      </c>
      <c r="P124" s="19" t="str">
        <f aca="false">IF(OR($A124="",INDEX(_LEITURA!$Q$2:$Q$21,6)=0),"",SUMIFS(DECKS!$D$2:$D$1201,DECKS!$A$2:$A$1201,INDEX(_LEITURA!$P$2:$P$21,6),DECKS!$B$2:$B$1201,$A124))</f>
        <v/>
      </c>
      <c r="Q124" s="19" t="str">
        <f aca="false">IF(OR($A124="",INDEX(_LEITURA!$Q$2:$Q$21,7)=0),"",SUMIFS(DECKS!$D$2:$D$1201,DECKS!$A$2:$A$1201,INDEX(_LEITURA!$P$2:$P$21,7),DECKS!$B$2:$B$1201,$A124))</f>
        <v/>
      </c>
      <c r="R124" s="19" t="str">
        <f aca="false">IF(OR($A124="",INDEX(_LEITURA!$Q$2:$Q$21,8)=0),"",SUMIFS(DECKS!$D$2:$D$1201,DECKS!$A$2:$A$1201,INDEX(_LEITURA!$P$2:$P$21,8),DECKS!$B$2:$B$1201,$A124))</f>
        <v/>
      </c>
      <c r="S124" s="19" t="str">
        <f aca="false">IF(OR($A124="",INDEX(_LEITURA!$Q$2:$Q$21,9)=0),"",SUMIFS(DECKS!$D$2:$D$1201,DECKS!$A$2:$A$1201,INDEX(_LEITURA!$P$2:$P$21,9),DECKS!$B$2:$B$1201,$A124))</f>
        <v/>
      </c>
      <c r="T124" s="19" t="str">
        <f aca="false">IF(OR($A124="",INDEX(_LEITURA!$Q$2:$Q$21,10)=0),"",SUMIFS(DECKS!$D$2:$D$1201,DECKS!$A$2:$A$1201,INDEX(_LEITURA!$P$2:$P$21,10),DECKS!$B$2:$B$1201,$A124))</f>
        <v/>
      </c>
      <c r="U124" s="19" t="str">
        <f aca="false">IF(OR($A124="",INDEX(_LEITURA!$Q$2:$Q$21,11)=0),"",SUMIFS(DECKS!$D$2:$D$1201,DECKS!$A$2:$A$1201,INDEX(_LEITURA!$P$2:$P$21,11),DECKS!$B$2:$B$1201,$A124))</f>
        <v/>
      </c>
      <c r="V124" s="19" t="str">
        <f aca="false">IF(OR($A124="",INDEX(_LEITURA!$Q$2:$Q$21,12)=0),"",SUMIFS(DECKS!$D$2:$D$1201,DECKS!$A$2:$A$1201,INDEX(_LEITURA!$P$2:$P$21,12),DECKS!$B$2:$B$1201,$A124))</f>
        <v/>
      </c>
      <c r="W124" s="19" t="str">
        <f aca="false">IF(OR($A124="",INDEX(_LEITURA!$Q$2:$Q$21,13)=0),"",SUMIFS(DECKS!$D$2:$D$1201,DECKS!$A$2:$A$1201,INDEX(_LEITURA!$P$2:$P$21,13),DECKS!$B$2:$B$1201,$A124))</f>
        <v/>
      </c>
      <c r="X124" s="19" t="str">
        <f aca="false">IF(OR($A124="",INDEX(_LEITURA!$Q$2:$Q$21,14)=0),"",SUMIFS(DECKS!$D$2:$D$1201,DECKS!$A$2:$A$1201,INDEX(_LEITURA!$P$2:$P$21,14),DECKS!$B$2:$B$1201,$A124))</f>
        <v/>
      </c>
      <c r="Y124" s="19" t="str">
        <f aca="false">IF(OR($A124="",INDEX(_LEITURA!$Q$2:$Q$21,15)=0),"",SUMIFS(DECKS!$D$2:$D$1201,DECKS!$A$2:$A$1201,INDEX(_LEITURA!$P$2:$P$21,15),DECKS!$B$2:$B$1201,$A124))</f>
        <v/>
      </c>
      <c r="Z124" s="19" t="str">
        <f aca="false">IF(OR($A124="",INDEX(_LEITURA!$Q$2:$Q$21,16)=0),"",SUMIFS(DECKS!$D$2:$D$1201,DECKS!$A$2:$A$1201,INDEX(_LEITURA!$P$2:$P$21,16),DECKS!$B$2:$B$1201,$A124))</f>
        <v/>
      </c>
      <c r="AA124" s="19" t="str">
        <f aca="false">IF(OR($A124="",INDEX(_LEITURA!$Q$2:$Q$21,17)=0),"",SUMIFS(DECKS!$D$2:$D$1201,DECKS!$A$2:$A$1201,INDEX(_LEITURA!$P$2:$P$21,17),DECKS!$B$2:$B$1201,$A124))</f>
        <v/>
      </c>
      <c r="AB124" s="19" t="str">
        <f aca="false">IF(OR($A124="",INDEX(_LEITURA!$Q$2:$Q$21,18)=0),"",SUMIFS(DECKS!$D$2:$D$1201,DECKS!$A$2:$A$1201,INDEX(_LEITURA!$P$2:$P$21,18),DECKS!$B$2:$B$1201,$A124))</f>
        <v/>
      </c>
      <c r="AC124" s="19" t="str">
        <f aca="false">IF(OR($A124="",INDEX(_LEITURA!$Q$2:$Q$21,19)=0),"",SUMIFS(DECKS!$D$2:$D$1201,DECKS!$A$2:$A$1201,INDEX(_LEITURA!$P$2:$P$21,19),DECKS!$B$2:$B$1201,$A124))</f>
        <v/>
      </c>
      <c r="AD124" s="19" t="str">
        <f aca="false">IF(OR($A124="",INDEX(_LEITURA!$Q$2:$Q$21,20)=0),"",SUMIFS(DECKS!$D$2:$D$1201,DECKS!$A$2:$A$1201,INDEX(_LEITURA!$P$2:$P$21,20),DECKS!$B$2:$B$1201,$A124))</f>
        <v/>
      </c>
      <c r="AE124" s="16" t="str">
        <f aca="false">IF(N(E124)&gt;0,MAX(AE$1:AE123)+1,"")</f>
        <v/>
      </c>
      <c r="AF124" s="11" t="str">
        <f aca="false">IF(A124="","",IFERROR(LEFT(A124,FIND("-",A124)-1),A124))</f>
        <v/>
      </c>
      <c r="AG124" s="11" t="str">
        <f aca="false">IF(AF124="","",IF(ISNUMBER(--MID(AF124,1,1)),0,IF(ISNUMBER(--MID(AF124,2,1)),1,IF(ISNUMBER(--MID(AF124,3,1)),2,IF(ISNUMBER(--MID(AF124,4,1)),3,MIN(LEN(AF124),4))))))</f>
        <v/>
      </c>
      <c r="AH124" s="11" t="str">
        <f aca="false">IF(A124="","",LEFT(AF124,AG124)&amp;REPT("0",4-AG124)&amp;RIGHT("000"&amp;IFERROR(VALUE(MID(AF124,AG124+1,9)),0),3)&amp;RIGHT("0000"&amp;IFERROR(VALUE(MID(A124,FIND("-",A124)+1,9)),0),4))</f>
        <v/>
      </c>
      <c r="AI124" s="11" t="str">
        <f aca="false">IF(OR(A124="",N(E124)&lt;=0),"",IF('FALTAS GERAL'!$M$1="Código","K"&amp;AH124&amp;RIGHT("00000"&amp;ROW(),5),IF('FALTAS GERAL'!$M$1="Nome","K"&amp;UPPER(SUBSTITUTE(SUBSTITUTE(SUBSTITUTE(B124,"*",""),"?",""),"~",""))&amp;"0"&amp;AH124&amp;RIGHT("00000"&amp;ROW(),5),IF('FALTAS GERAL'!$M$1="Falta (maior primeiro)","K"&amp;RIGHT("0000"&amp;(9999-E124),4)&amp;AH124&amp;RIGHT("00000"&amp;ROW(),5),IF('FALTAS GERAL'!$M$1="Nº de decks (maior primeiro)","K"&amp;RIGHT("00"&amp;(99-N(G124)),2)&amp;AH124&amp;RIGHT("00000"&amp;ROW(),5),"K"&amp;RIGHT("00000"&amp;ROW(),5))))))</f>
        <v/>
      </c>
      <c r="AJ124" s="11" t="str">
        <f aca="false">IF(AI124="","",COUNTIFS($AI$2:$AI$801,"&lt;"&amp;AI124,$E$2:$E$801,"&gt;0")+1)</f>
        <v/>
      </c>
      <c r="AK124" s="11" t="str">
        <f aca="false">IF(OR(A124="",N(E124)&lt;=0),"",COUNTIFS($AH$2:$AH$801,"&lt;"&amp;AH124,$E$2:$E$801,"&gt;0")+COUNTIFS($AH$2:AH124,AH124,$E$2:E124,"&gt;0"))</f>
        <v/>
      </c>
    </row>
    <row r="125" customFormat="false" ht="15" hidden="false" customHeight="false" outlineLevel="0" collapsed="false">
      <c r="A125" s="11" t="str">
        <f aca="false">IF(INVENTÁRIO!A125="","",INVENTÁRIO!A125)</f>
        <v/>
      </c>
      <c r="B125" s="11" t="str">
        <f aca="false">IF(A125="","",INVENTÁRIO!B125)</f>
        <v/>
      </c>
      <c r="C125" s="16" t="str">
        <f aca="false">IF(A125="","",INVENTÁRIO!C125)</f>
        <v/>
      </c>
      <c r="D125" s="14" t="str">
        <f aca="false">IF(A125="","",MAX(K125:AD125))</f>
        <v/>
      </c>
      <c r="E125" s="14" t="str">
        <f aca="false">IF(A125="","",MAX(0,D125-C125))</f>
        <v/>
      </c>
      <c r="F125" s="16" t="str">
        <f aca="false">IF(A125="","",IF(D125=0,"Fora dos decks",IF(E125=0,"Completo","Falta")))</f>
        <v/>
      </c>
      <c r="G125" s="16" t="str">
        <f aca="false">IF(A125="","",COUNTIF(K125:AD125,"&gt;0"))</f>
        <v/>
      </c>
      <c r="H125" s="16" t="str">
        <f aca="false">IF(A125="","",IF(G125&gt;1,"Sim",""))</f>
        <v/>
      </c>
      <c r="I125" s="18" t="str">
        <f aca="false">IF(A125="","",SUMIFS(DECKS!$D$2:$D$1201,DECKS!$B$2:$B$1201,A125))</f>
        <v/>
      </c>
      <c r="J125" s="18" t="str">
        <f aca="false">IF(A125="","",MAX(0,I125-C125))</f>
        <v/>
      </c>
      <c r="K125" s="19" t="str">
        <f aca="false">IF(OR($A125="",INDEX(_LEITURA!$Q$2:$Q$21,1)=0),"",SUMIFS(DECKS!$D$2:$D$1201,DECKS!$A$2:$A$1201,INDEX(_LEITURA!$P$2:$P$21,1),DECKS!$B$2:$B$1201,$A125))</f>
        <v/>
      </c>
      <c r="L125" s="19" t="str">
        <f aca="false">IF(OR($A125="",INDEX(_LEITURA!$Q$2:$Q$21,2)=0),"",SUMIFS(DECKS!$D$2:$D$1201,DECKS!$A$2:$A$1201,INDEX(_LEITURA!$P$2:$P$21,2),DECKS!$B$2:$B$1201,$A125))</f>
        <v/>
      </c>
      <c r="M125" s="19" t="str">
        <f aca="false">IF(OR($A125="",INDEX(_LEITURA!$Q$2:$Q$21,3)=0),"",SUMIFS(DECKS!$D$2:$D$1201,DECKS!$A$2:$A$1201,INDEX(_LEITURA!$P$2:$P$21,3),DECKS!$B$2:$B$1201,$A125))</f>
        <v/>
      </c>
      <c r="N125" s="19" t="str">
        <f aca="false">IF(OR($A125="",INDEX(_LEITURA!$Q$2:$Q$21,4)=0),"",SUMIFS(DECKS!$D$2:$D$1201,DECKS!$A$2:$A$1201,INDEX(_LEITURA!$P$2:$P$21,4),DECKS!$B$2:$B$1201,$A125))</f>
        <v/>
      </c>
      <c r="O125" s="19" t="str">
        <f aca="false">IF(OR($A125="",INDEX(_LEITURA!$Q$2:$Q$21,5)=0),"",SUMIFS(DECKS!$D$2:$D$1201,DECKS!$A$2:$A$1201,INDEX(_LEITURA!$P$2:$P$21,5),DECKS!$B$2:$B$1201,$A125))</f>
        <v/>
      </c>
      <c r="P125" s="19" t="str">
        <f aca="false">IF(OR($A125="",INDEX(_LEITURA!$Q$2:$Q$21,6)=0),"",SUMIFS(DECKS!$D$2:$D$1201,DECKS!$A$2:$A$1201,INDEX(_LEITURA!$P$2:$P$21,6),DECKS!$B$2:$B$1201,$A125))</f>
        <v/>
      </c>
      <c r="Q125" s="19" t="str">
        <f aca="false">IF(OR($A125="",INDEX(_LEITURA!$Q$2:$Q$21,7)=0),"",SUMIFS(DECKS!$D$2:$D$1201,DECKS!$A$2:$A$1201,INDEX(_LEITURA!$P$2:$P$21,7),DECKS!$B$2:$B$1201,$A125))</f>
        <v/>
      </c>
      <c r="R125" s="19" t="str">
        <f aca="false">IF(OR($A125="",INDEX(_LEITURA!$Q$2:$Q$21,8)=0),"",SUMIFS(DECKS!$D$2:$D$1201,DECKS!$A$2:$A$1201,INDEX(_LEITURA!$P$2:$P$21,8),DECKS!$B$2:$B$1201,$A125))</f>
        <v/>
      </c>
      <c r="S125" s="19" t="str">
        <f aca="false">IF(OR($A125="",INDEX(_LEITURA!$Q$2:$Q$21,9)=0),"",SUMIFS(DECKS!$D$2:$D$1201,DECKS!$A$2:$A$1201,INDEX(_LEITURA!$P$2:$P$21,9),DECKS!$B$2:$B$1201,$A125))</f>
        <v/>
      </c>
      <c r="T125" s="19" t="str">
        <f aca="false">IF(OR($A125="",INDEX(_LEITURA!$Q$2:$Q$21,10)=0),"",SUMIFS(DECKS!$D$2:$D$1201,DECKS!$A$2:$A$1201,INDEX(_LEITURA!$P$2:$P$21,10),DECKS!$B$2:$B$1201,$A125))</f>
        <v/>
      </c>
      <c r="U125" s="19" t="str">
        <f aca="false">IF(OR($A125="",INDEX(_LEITURA!$Q$2:$Q$21,11)=0),"",SUMIFS(DECKS!$D$2:$D$1201,DECKS!$A$2:$A$1201,INDEX(_LEITURA!$P$2:$P$21,11),DECKS!$B$2:$B$1201,$A125))</f>
        <v/>
      </c>
      <c r="V125" s="19" t="str">
        <f aca="false">IF(OR($A125="",INDEX(_LEITURA!$Q$2:$Q$21,12)=0),"",SUMIFS(DECKS!$D$2:$D$1201,DECKS!$A$2:$A$1201,INDEX(_LEITURA!$P$2:$P$21,12),DECKS!$B$2:$B$1201,$A125))</f>
        <v/>
      </c>
      <c r="W125" s="19" t="str">
        <f aca="false">IF(OR($A125="",INDEX(_LEITURA!$Q$2:$Q$21,13)=0),"",SUMIFS(DECKS!$D$2:$D$1201,DECKS!$A$2:$A$1201,INDEX(_LEITURA!$P$2:$P$21,13),DECKS!$B$2:$B$1201,$A125))</f>
        <v/>
      </c>
      <c r="X125" s="19" t="str">
        <f aca="false">IF(OR($A125="",INDEX(_LEITURA!$Q$2:$Q$21,14)=0),"",SUMIFS(DECKS!$D$2:$D$1201,DECKS!$A$2:$A$1201,INDEX(_LEITURA!$P$2:$P$21,14),DECKS!$B$2:$B$1201,$A125))</f>
        <v/>
      </c>
      <c r="Y125" s="19" t="str">
        <f aca="false">IF(OR($A125="",INDEX(_LEITURA!$Q$2:$Q$21,15)=0),"",SUMIFS(DECKS!$D$2:$D$1201,DECKS!$A$2:$A$1201,INDEX(_LEITURA!$P$2:$P$21,15),DECKS!$B$2:$B$1201,$A125))</f>
        <v/>
      </c>
      <c r="Z125" s="19" t="str">
        <f aca="false">IF(OR($A125="",INDEX(_LEITURA!$Q$2:$Q$21,16)=0),"",SUMIFS(DECKS!$D$2:$D$1201,DECKS!$A$2:$A$1201,INDEX(_LEITURA!$P$2:$P$21,16),DECKS!$B$2:$B$1201,$A125))</f>
        <v/>
      </c>
      <c r="AA125" s="19" t="str">
        <f aca="false">IF(OR($A125="",INDEX(_LEITURA!$Q$2:$Q$21,17)=0),"",SUMIFS(DECKS!$D$2:$D$1201,DECKS!$A$2:$A$1201,INDEX(_LEITURA!$P$2:$P$21,17),DECKS!$B$2:$B$1201,$A125))</f>
        <v/>
      </c>
      <c r="AB125" s="19" t="str">
        <f aca="false">IF(OR($A125="",INDEX(_LEITURA!$Q$2:$Q$21,18)=0),"",SUMIFS(DECKS!$D$2:$D$1201,DECKS!$A$2:$A$1201,INDEX(_LEITURA!$P$2:$P$21,18),DECKS!$B$2:$B$1201,$A125))</f>
        <v/>
      </c>
      <c r="AC125" s="19" t="str">
        <f aca="false">IF(OR($A125="",INDEX(_LEITURA!$Q$2:$Q$21,19)=0),"",SUMIFS(DECKS!$D$2:$D$1201,DECKS!$A$2:$A$1201,INDEX(_LEITURA!$P$2:$P$21,19),DECKS!$B$2:$B$1201,$A125))</f>
        <v/>
      </c>
      <c r="AD125" s="19" t="str">
        <f aca="false">IF(OR($A125="",INDEX(_LEITURA!$Q$2:$Q$21,20)=0),"",SUMIFS(DECKS!$D$2:$D$1201,DECKS!$A$2:$A$1201,INDEX(_LEITURA!$P$2:$P$21,20),DECKS!$B$2:$B$1201,$A125))</f>
        <v/>
      </c>
      <c r="AE125" s="16" t="str">
        <f aca="false">IF(N(E125)&gt;0,MAX(AE$1:AE124)+1,"")</f>
        <v/>
      </c>
      <c r="AF125" s="11" t="str">
        <f aca="false">IF(A125="","",IFERROR(LEFT(A125,FIND("-",A125)-1),A125))</f>
        <v/>
      </c>
      <c r="AG125" s="11" t="str">
        <f aca="false">IF(AF125="","",IF(ISNUMBER(--MID(AF125,1,1)),0,IF(ISNUMBER(--MID(AF125,2,1)),1,IF(ISNUMBER(--MID(AF125,3,1)),2,IF(ISNUMBER(--MID(AF125,4,1)),3,MIN(LEN(AF125),4))))))</f>
        <v/>
      </c>
      <c r="AH125" s="11" t="str">
        <f aca="false">IF(A125="","",LEFT(AF125,AG125)&amp;REPT("0",4-AG125)&amp;RIGHT("000"&amp;IFERROR(VALUE(MID(AF125,AG125+1,9)),0),3)&amp;RIGHT("0000"&amp;IFERROR(VALUE(MID(A125,FIND("-",A125)+1,9)),0),4))</f>
        <v/>
      </c>
      <c r="AI125" s="11" t="str">
        <f aca="false">IF(OR(A125="",N(E125)&lt;=0),"",IF('FALTAS GERAL'!$M$1="Código","K"&amp;AH125&amp;RIGHT("00000"&amp;ROW(),5),IF('FALTAS GERAL'!$M$1="Nome","K"&amp;UPPER(SUBSTITUTE(SUBSTITUTE(SUBSTITUTE(B125,"*",""),"?",""),"~",""))&amp;"0"&amp;AH125&amp;RIGHT("00000"&amp;ROW(),5),IF('FALTAS GERAL'!$M$1="Falta (maior primeiro)","K"&amp;RIGHT("0000"&amp;(9999-E125),4)&amp;AH125&amp;RIGHT("00000"&amp;ROW(),5),IF('FALTAS GERAL'!$M$1="Nº de decks (maior primeiro)","K"&amp;RIGHT("00"&amp;(99-N(G125)),2)&amp;AH125&amp;RIGHT("00000"&amp;ROW(),5),"K"&amp;RIGHT("00000"&amp;ROW(),5))))))</f>
        <v/>
      </c>
      <c r="AJ125" s="11" t="str">
        <f aca="false">IF(AI125="","",COUNTIFS($AI$2:$AI$801,"&lt;"&amp;AI125,$E$2:$E$801,"&gt;0")+1)</f>
        <v/>
      </c>
      <c r="AK125" s="11" t="str">
        <f aca="false">IF(OR(A125="",N(E125)&lt;=0),"",COUNTIFS($AH$2:$AH$801,"&lt;"&amp;AH125,$E$2:$E$801,"&gt;0")+COUNTIFS($AH$2:AH125,AH125,$E$2:E125,"&gt;0"))</f>
        <v/>
      </c>
    </row>
    <row r="126" customFormat="false" ht="15" hidden="false" customHeight="false" outlineLevel="0" collapsed="false">
      <c r="A126" s="11" t="str">
        <f aca="false">IF(INVENTÁRIO!A126="","",INVENTÁRIO!A126)</f>
        <v/>
      </c>
      <c r="B126" s="11" t="str">
        <f aca="false">IF(A126="","",INVENTÁRIO!B126)</f>
        <v/>
      </c>
      <c r="C126" s="16" t="str">
        <f aca="false">IF(A126="","",INVENTÁRIO!C126)</f>
        <v/>
      </c>
      <c r="D126" s="14" t="str">
        <f aca="false">IF(A126="","",MAX(K126:AD126))</f>
        <v/>
      </c>
      <c r="E126" s="14" t="str">
        <f aca="false">IF(A126="","",MAX(0,D126-C126))</f>
        <v/>
      </c>
      <c r="F126" s="16" t="str">
        <f aca="false">IF(A126="","",IF(D126=0,"Fora dos decks",IF(E126=0,"Completo","Falta")))</f>
        <v/>
      </c>
      <c r="G126" s="16" t="str">
        <f aca="false">IF(A126="","",COUNTIF(K126:AD126,"&gt;0"))</f>
        <v/>
      </c>
      <c r="H126" s="16" t="str">
        <f aca="false">IF(A126="","",IF(G126&gt;1,"Sim",""))</f>
        <v/>
      </c>
      <c r="I126" s="18" t="str">
        <f aca="false">IF(A126="","",SUMIFS(DECKS!$D$2:$D$1201,DECKS!$B$2:$B$1201,A126))</f>
        <v/>
      </c>
      <c r="J126" s="18" t="str">
        <f aca="false">IF(A126="","",MAX(0,I126-C126))</f>
        <v/>
      </c>
      <c r="K126" s="19" t="str">
        <f aca="false">IF(OR($A126="",INDEX(_LEITURA!$Q$2:$Q$21,1)=0),"",SUMIFS(DECKS!$D$2:$D$1201,DECKS!$A$2:$A$1201,INDEX(_LEITURA!$P$2:$P$21,1),DECKS!$B$2:$B$1201,$A126))</f>
        <v/>
      </c>
      <c r="L126" s="19" t="str">
        <f aca="false">IF(OR($A126="",INDEX(_LEITURA!$Q$2:$Q$21,2)=0),"",SUMIFS(DECKS!$D$2:$D$1201,DECKS!$A$2:$A$1201,INDEX(_LEITURA!$P$2:$P$21,2),DECKS!$B$2:$B$1201,$A126))</f>
        <v/>
      </c>
      <c r="M126" s="19" t="str">
        <f aca="false">IF(OR($A126="",INDEX(_LEITURA!$Q$2:$Q$21,3)=0),"",SUMIFS(DECKS!$D$2:$D$1201,DECKS!$A$2:$A$1201,INDEX(_LEITURA!$P$2:$P$21,3),DECKS!$B$2:$B$1201,$A126))</f>
        <v/>
      </c>
      <c r="N126" s="19" t="str">
        <f aca="false">IF(OR($A126="",INDEX(_LEITURA!$Q$2:$Q$21,4)=0),"",SUMIFS(DECKS!$D$2:$D$1201,DECKS!$A$2:$A$1201,INDEX(_LEITURA!$P$2:$P$21,4),DECKS!$B$2:$B$1201,$A126))</f>
        <v/>
      </c>
      <c r="O126" s="19" t="str">
        <f aca="false">IF(OR($A126="",INDEX(_LEITURA!$Q$2:$Q$21,5)=0),"",SUMIFS(DECKS!$D$2:$D$1201,DECKS!$A$2:$A$1201,INDEX(_LEITURA!$P$2:$P$21,5),DECKS!$B$2:$B$1201,$A126))</f>
        <v/>
      </c>
      <c r="P126" s="19" t="str">
        <f aca="false">IF(OR($A126="",INDEX(_LEITURA!$Q$2:$Q$21,6)=0),"",SUMIFS(DECKS!$D$2:$D$1201,DECKS!$A$2:$A$1201,INDEX(_LEITURA!$P$2:$P$21,6),DECKS!$B$2:$B$1201,$A126))</f>
        <v/>
      </c>
      <c r="Q126" s="19" t="str">
        <f aca="false">IF(OR($A126="",INDEX(_LEITURA!$Q$2:$Q$21,7)=0),"",SUMIFS(DECKS!$D$2:$D$1201,DECKS!$A$2:$A$1201,INDEX(_LEITURA!$P$2:$P$21,7),DECKS!$B$2:$B$1201,$A126))</f>
        <v/>
      </c>
      <c r="R126" s="19" t="str">
        <f aca="false">IF(OR($A126="",INDEX(_LEITURA!$Q$2:$Q$21,8)=0),"",SUMIFS(DECKS!$D$2:$D$1201,DECKS!$A$2:$A$1201,INDEX(_LEITURA!$P$2:$P$21,8),DECKS!$B$2:$B$1201,$A126))</f>
        <v/>
      </c>
      <c r="S126" s="19" t="str">
        <f aca="false">IF(OR($A126="",INDEX(_LEITURA!$Q$2:$Q$21,9)=0),"",SUMIFS(DECKS!$D$2:$D$1201,DECKS!$A$2:$A$1201,INDEX(_LEITURA!$P$2:$P$21,9),DECKS!$B$2:$B$1201,$A126))</f>
        <v/>
      </c>
      <c r="T126" s="19" t="str">
        <f aca="false">IF(OR($A126="",INDEX(_LEITURA!$Q$2:$Q$21,10)=0),"",SUMIFS(DECKS!$D$2:$D$1201,DECKS!$A$2:$A$1201,INDEX(_LEITURA!$P$2:$P$21,10),DECKS!$B$2:$B$1201,$A126))</f>
        <v/>
      </c>
      <c r="U126" s="19" t="str">
        <f aca="false">IF(OR($A126="",INDEX(_LEITURA!$Q$2:$Q$21,11)=0),"",SUMIFS(DECKS!$D$2:$D$1201,DECKS!$A$2:$A$1201,INDEX(_LEITURA!$P$2:$P$21,11),DECKS!$B$2:$B$1201,$A126))</f>
        <v/>
      </c>
      <c r="V126" s="19" t="str">
        <f aca="false">IF(OR($A126="",INDEX(_LEITURA!$Q$2:$Q$21,12)=0),"",SUMIFS(DECKS!$D$2:$D$1201,DECKS!$A$2:$A$1201,INDEX(_LEITURA!$P$2:$P$21,12),DECKS!$B$2:$B$1201,$A126))</f>
        <v/>
      </c>
      <c r="W126" s="19" t="str">
        <f aca="false">IF(OR($A126="",INDEX(_LEITURA!$Q$2:$Q$21,13)=0),"",SUMIFS(DECKS!$D$2:$D$1201,DECKS!$A$2:$A$1201,INDEX(_LEITURA!$P$2:$P$21,13),DECKS!$B$2:$B$1201,$A126))</f>
        <v/>
      </c>
      <c r="X126" s="19" t="str">
        <f aca="false">IF(OR($A126="",INDEX(_LEITURA!$Q$2:$Q$21,14)=0),"",SUMIFS(DECKS!$D$2:$D$1201,DECKS!$A$2:$A$1201,INDEX(_LEITURA!$P$2:$P$21,14),DECKS!$B$2:$B$1201,$A126))</f>
        <v/>
      </c>
      <c r="Y126" s="19" t="str">
        <f aca="false">IF(OR($A126="",INDEX(_LEITURA!$Q$2:$Q$21,15)=0),"",SUMIFS(DECKS!$D$2:$D$1201,DECKS!$A$2:$A$1201,INDEX(_LEITURA!$P$2:$P$21,15),DECKS!$B$2:$B$1201,$A126))</f>
        <v/>
      </c>
      <c r="Z126" s="19" t="str">
        <f aca="false">IF(OR($A126="",INDEX(_LEITURA!$Q$2:$Q$21,16)=0),"",SUMIFS(DECKS!$D$2:$D$1201,DECKS!$A$2:$A$1201,INDEX(_LEITURA!$P$2:$P$21,16),DECKS!$B$2:$B$1201,$A126))</f>
        <v/>
      </c>
      <c r="AA126" s="19" t="str">
        <f aca="false">IF(OR($A126="",INDEX(_LEITURA!$Q$2:$Q$21,17)=0),"",SUMIFS(DECKS!$D$2:$D$1201,DECKS!$A$2:$A$1201,INDEX(_LEITURA!$P$2:$P$21,17),DECKS!$B$2:$B$1201,$A126))</f>
        <v/>
      </c>
      <c r="AB126" s="19" t="str">
        <f aca="false">IF(OR($A126="",INDEX(_LEITURA!$Q$2:$Q$21,18)=0),"",SUMIFS(DECKS!$D$2:$D$1201,DECKS!$A$2:$A$1201,INDEX(_LEITURA!$P$2:$P$21,18),DECKS!$B$2:$B$1201,$A126))</f>
        <v/>
      </c>
      <c r="AC126" s="19" t="str">
        <f aca="false">IF(OR($A126="",INDEX(_LEITURA!$Q$2:$Q$21,19)=0),"",SUMIFS(DECKS!$D$2:$D$1201,DECKS!$A$2:$A$1201,INDEX(_LEITURA!$P$2:$P$21,19),DECKS!$B$2:$B$1201,$A126))</f>
        <v/>
      </c>
      <c r="AD126" s="19" t="str">
        <f aca="false">IF(OR($A126="",INDEX(_LEITURA!$Q$2:$Q$21,20)=0),"",SUMIFS(DECKS!$D$2:$D$1201,DECKS!$A$2:$A$1201,INDEX(_LEITURA!$P$2:$P$21,20),DECKS!$B$2:$B$1201,$A126))</f>
        <v/>
      </c>
      <c r="AE126" s="16" t="str">
        <f aca="false">IF(N(E126)&gt;0,MAX(AE$1:AE125)+1,"")</f>
        <v/>
      </c>
      <c r="AF126" s="11" t="str">
        <f aca="false">IF(A126="","",IFERROR(LEFT(A126,FIND("-",A126)-1),A126))</f>
        <v/>
      </c>
      <c r="AG126" s="11" t="str">
        <f aca="false">IF(AF126="","",IF(ISNUMBER(--MID(AF126,1,1)),0,IF(ISNUMBER(--MID(AF126,2,1)),1,IF(ISNUMBER(--MID(AF126,3,1)),2,IF(ISNUMBER(--MID(AF126,4,1)),3,MIN(LEN(AF126),4))))))</f>
        <v/>
      </c>
      <c r="AH126" s="11" t="str">
        <f aca="false">IF(A126="","",LEFT(AF126,AG126)&amp;REPT("0",4-AG126)&amp;RIGHT("000"&amp;IFERROR(VALUE(MID(AF126,AG126+1,9)),0),3)&amp;RIGHT("0000"&amp;IFERROR(VALUE(MID(A126,FIND("-",A126)+1,9)),0),4))</f>
        <v/>
      </c>
      <c r="AI126" s="11" t="str">
        <f aca="false">IF(OR(A126="",N(E126)&lt;=0),"",IF('FALTAS GERAL'!$M$1="Código","K"&amp;AH126&amp;RIGHT("00000"&amp;ROW(),5),IF('FALTAS GERAL'!$M$1="Nome","K"&amp;UPPER(SUBSTITUTE(SUBSTITUTE(SUBSTITUTE(B126,"*",""),"?",""),"~",""))&amp;"0"&amp;AH126&amp;RIGHT("00000"&amp;ROW(),5),IF('FALTAS GERAL'!$M$1="Falta (maior primeiro)","K"&amp;RIGHT("0000"&amp;(9999-E126),4)&amp;AH126&amp;RIGHT("00000"&amp;ROW(),5),IF('FALTAS GERAL'!$M$1="Nº de decks (maior primeiro)","K"&amp;RIGHT("00"&amp;(99-N(G126)),2)&amp;AH126&amp;RIGHT("00000"&amp;ROW(),5),"K"&amp;RIGHT("00000"&amp;ROW(),5))))))</f>
        <v/>
      </c>
      <c r="AJ126" s="11" t="str">
        <f aca="false">IF(AI126="","",COUNTIFS($AI$2:$AI$801,"&lt;"&amp;AI126,$E$2:$E$801,"&gt;0")+1)</f>
        <v/>
      </c>
      <c r="AK126" s="11" t="str">
        <f aca="false">IF(OR(A126="",N(E126)&lt;=0),"",COUNTIFS($AH$2:$AH$801,"&lt;"&amp;AH126,$E$2:$E$801,"&gt;0")+COUNTIFS($AH$2:AH126,AH126,$E$2:E126,"&gt;0"))</f>
        <v/>
      </c>
    </row>
    <row r="127" customFormat="false" ht="15" hidden="false" customHeight="false" outlineLevel="0" collapsed="false">
      <c r="A127" s="11" t="str">
        <f aca="false">IF(INVENTÁRIO!A127="","",INVENTÁRIO!A127)</f>
        <v/>
      </c>
      <c r="B127" s="11" t="str">
        <f aca="false">IF(A127="","",INVENTÁRIO!B127)</f>
        <v/>
      </c>
      <c r="C127" s="16" t="str">
        <f aca="false">IF(A127="","",INVENTÁRIO!C127)</f>
        <v/>
      </c>
      <c r="D127" s="14" t="str">
        <f aca="false">IF(A127="","",MAX(K127:AD127))</f>
        <v/>
      </c>
      <c r="E127" s="14" t="str">
        <f aca="false">IF(A127="","",MAX(0,D127-C127))</f>
        <v/>
      </c>
      <c r="F127" s="16" t="str">
        <f aca="false">IF(A127="","",IF(D127=0,"Fora dos decks",IF(E127=0,"Completo","Falta")))</f>
        <v/>
      </c>
      <c r="G127" s="16" t="str">
        <f aca="false">IF(A127="","",COUNTIF(K127:AD127,"&gt;0"))</f>
        <v/>
      </c>
      <c r="H127" s="16" t="str">
        <f aca="false">IF(A127="","",IF(G127&gt;1,"Sim",""))</f>
        <v/>
      </c>
      <c r="I127" s="18" t="str">
        <f aca="false">IF(A127="","",SUMIFS(DECKS!$D$2:$D$1201,DECKS!$B$2:$B$1201,A127))</f>
        <v/>
      </c>
      <c r="J127" s="18" t="str">
        <f aca="false">IF(A127="","",MAX(0,I127-C127))</f>
        <v/>
      </c>
      <c r="K127" s="19" t="str">
        <f aca="false">IF(OR($A127="",INDEX(_LEITURA!$Q$2:$Q$21,1)=0),"",SUMIFS(DECKS!$D$2:$D$1201,DECKS!$A$2:$A$1201,INDEX(_LEITURA!$P$2:$P$21,1),DECKS!$B$2:$B$1201,$A127))</f>
        <v/>
      </c>
      <c r="L127" s="19" t="str">
        <f aca="false">IF(OR($A127="",INDEX(_LEITURA!$Q$2:$Q$21,2)=0),"",SUMIFS(DECKS!$D$2:$D$1201,DECKS!$A$2:$A$1201,INDEX(_LEITURA!$P$2:$P$21,2),DECKS!$B$2:$B$1201,$A127))</f>
        <v/>
      </c>
      <c r="M127" s="19" t="str">
        <f aca="false">IF(OR($A127="",INDEX(_LEITURA!$Q$2:$Q$21,3)=0),"",SUMIFS(DECKS!$D$2:$D$1201,DECKS!$A$2:$A$1201,INDEX(_LEITURA!$P$2:$P$21,3),DECKS!$B$2:$B$1201,$A127))</f>
        <v/>
      </c>
      <c r="N127" s="19" t="str">
        <f aca="false">IF(OR($A127="",INDEX(_LEITURA!$Q$2:$Q$21,4)=0),"",SUMIFS(DECKS!$D$2:$D$1201,DECKS!$A$2:$A$1201,INDEX(_LEITURA!$P$2:$P$21,4),DECKS!$B$2:$B$1201,$A127))</f>
        <v/>
      </c>
      <c r="O127" s="19" t="str">
        <f aca="false">IF(OR($A127="",INDEX(_LEITURA!$Q$2:$Q$21,5)=0),"",SUMIFS(DECKS!$D$2:$D$1201,DECKS!$A$2:$A$1201,INDEX(_LEITURA!$P$2:$P$21,5),DECKS!$B$2:$B$1201,$A127))</f>
        <v/>
      </c>
      <c r="P127" s="19" t="str">
        <f aca="false">IF(OR($A127="",INDEX(_LEITURA!$Q$2:$Q$21,6)=0),"",SUMIFS(DECKS!$D$2:$D$1201,DECKS!$A$2:$A$1201,INDEX(_LEITURA!$P$2:$P$21,6),DECKS!$B$2:$B$1201,$A127))</f>
        <v/>
      </c>
      <c r="Q127" s="19" t="str">
        <f aca="false">IF(OR($A127="",INDEX(_LEITURA!$Q$2:$Q$21,7)=0),"",SUMIFS(DECKS!$D$2:$D$1201,DECKS!$A$2:$A$1201,INDEX(_LEITURA!$P$2:$P$21,7),DECKS!$B$2:$B$1201,$A127))</f>
        <v/>
      </c>
      <c r="R127" s="19" t="str">
        <f aca="false">IF(OR($A127="",INDEX(_LEITURA!$Q$2:$Q$21,8)=0),"",SUMIFS(DECKS!$D$2:$D$1201,DECKS!$A$2:$A$1201,INDEX(_LEITURA!$P$2:$P$21,8),DECKS!$B$2:$B$1201,$A127))</f>
        <v/>
      </c>
      <c r="S127" s="19" t="str">
        <f aca="false">IF(OR($A127="",INDEX(_LEITURA!$Q$2:$Q$21,9)=0),"",SUMIFS(DECKS!$D$2:$D$1201,DECKS!$A$2:$A$1201,INDEX(_LEITURA!$P$2:$P$21,9),DECKS!$B$2:$B$1201,$A127))</f>
        <v/>
      </c>
      <c r="T127" s="19" t="str">
        <f aca="false">IF(OR($A127="",INDEX(_LEITURA!$Q$2:$Q$21,10)=0),"",SUMIFS(DECKS!$D$2:$D$1201,DECKS!$A$2:$A$1201,INDEX(_LEITURA!$P$2:$P$21,10),DECKS!$B$2:$B$1201,$A127))</f>
        <v/>
      </c>
      <c r="U127" s="19" t="str">
        <f aca="false">IF(OR($A127="",INDEX(_LEITURA!$Q$2:$Q$21,11)=0),"",SUMIFS(DECKS!$D$2:$D$1201,DECKS!$A$2:$A$1201,INDEX(_LEITURA!$P$2:$P$21,11),DECKS!$B$2:$B$1201,$A127))</f>
        <v/>
      </c>
      <c r="V127" s="19" t="str">
        <f aca="false">IF(OR($A127="",INDEX(_LEITURA!$Q$2:$Q$21,12)=0),"",SUMIFS(DECKS!$D$2:$D$1201,DECKS!$A$2:$A$1201,INDEX(_LEITURA!$P$2:$P$21,12),DECKS!$B$2:$B$1201,$A127))</f>
        <v/>
      </c>
      <c r="W127" s="19" t="str">
        <f aca="false">IF(OR($A127="",INDEX(_LEITURA!$Q$2:$Q$21,13)=0),"",SUMIFS(DECKS!$D$2:$D$1201,DECKS!$A$2:$A$1201,INDEX(_LEITURA!$P$2:$P$21,13),DECKS!$B$2:$B$1201,$A127))</f>
        <v/>
      </c>
      <c r="X127" s="19" t="str">
        <f aca="false">IF(OR($A127="",INDEX(_LEITURA!$Q$2:$Q$21,14)=0),"",SUMIFS(DECKS!$D$2:$D$1201,DECKS!$A$2:$A$1201,INDEX(_LEITURA!$P$2:$P$21,14),DECKS!$B$2:$B$1201,$A127))</f>
        <v/>
      </c>
      <c r="Y127" s="19" t="str">
        <f aca="false">IF(OR($A127="",INDEX(_LEITURA!$Q$2:$Q$21,15)=0),"",SUMIFS(DECKS!$D$2:$D$1201,DECKS!$A$2:$A$1201,INDEX(_LEITURA!$P$2:$P$21,15),DECKS!$B$2:$B$1201,$A127))</f>
        <v/>
      </c>
      <c r="Z127" s="19" t="str">
        <f aca="false">IF(OR($A127="",INDEX(_LEITURA!$Q$2:$Q$21,16)=0),"",SUMIFS(DECKS!$D$2:$D$1201,DECKS!$A$2:$A$1201,INDEX(_LEITURA!$P$2:$P$21,16),DECKS!$B$2:$B$1201,$A127))</f>
        <v/>
      </c>
      <c r="AA127" s="19" t="str">
        <f aca="false">IF(OR($A127="",INDEX(_LEITURA!$Q$2:$Q$21,17)=0),"",SUMIFS(DECKS!$D$2:$D$1201,DECKS!$A$2:$A$1201,INDEX(_LEITURA!$P$2:$P$21,17),DECKS!$B$2:$B$1201,$A127))</f>
        <v/>
      </c>
      <c r="AB127" s="19" t="str">
        <f aca="false">IF(OR($A127="",INDEX(_LEITURA!$Q$2:$Q$21,18)=0),"",SUMIFS(DECKS!$D$2:$D$1201,DECKS!$A$2:$A$1201,INDEX(_LEITURA!$P$2:$P$21,18),DECKS!$B$2:$B$1201,$A127))</f>
        <v/>
      </c>
      <c r="AC127" s="19" t="str">
        <f aca="false">IF(OR($A127="",INDEX(_LEITURA!$Q$2:$Q$21,19)=0),"",SUMIFS(DECKS!$D$2:$D$1201,DECKS!$A$2:$A$1201,INDEX(_LEITURA!$P$2:$P$21,19),DECKS!$B$2:$B$1201,$A127))</f>
        <v/>
      </c>
      <c r="AD127" s="19" t="str">
        <f aca="false">IF(OR($A127="",INDEX(_LEITURA!$Q$2:$Q$21,20)=0),"",SUMIFS(DECKS!$D$2:$D$1201,DECKS!$A$2:$A$1201,INDEX(_LEITURA!$P$2:$P$21,20),DECKS!$B$2:$B$1201,$A127))</f>
        <v/>
      </c>
      <c r="AE127" s="16" t="str">
        <f aca="false">IF(N(E127)&gt;0,MAX(AE$1:AE126)+1,"")</f>
        <v/>
      </c>
      <c r="AF127" s="11" t="str">
        <f aca="false">IF(A127="","",IFERROR(LEFT(A127,FIND("-",A127)-1),A127))</f>
        <v/>
      </c>
      <c r="AG127" s="11" t="str">
        <f aca="false">IF(AF127="","",IF(ISNUMBER(--MID(AF127,1,1)),0,IF(ISNUMBER(--MID(AF127,2,1)),1,IF(ISNUMBER(--MID(AF127,3,1)),2,IF(ISNUMBER(--MID(AF127,4,1)),3,MIN(LEN(AF127),4))))))</f>
        <v/>
      </c>
      <c r="AH127" s="11" t="str">
        <f aca="false">IF(A127="","",LEFT(AF127,AG127)&amp;REPT("0",4-AG127)&amp;RIGHT("000"&amp;IFERROR(VALUE(MID(AF127,AG127+1,9)),0),3)&amp;RIGHT("0000"&amp;IFERROR(VALUE(MID(A127,FIND("-",A127)+1,9)),0),4))</f>
        <v/>
      </c>
      <c r="AI127" s="11" t="str">
        <f aca="false">IF(OR(A127="",N(E127)&lt;=0),"",IF('FALTAS GERAL'!$M$1="Código","K"&amp;AH127&amp;RIGHT("00000"&amp;ROW(),5),IF('FALTAS GERAL'!$M$1="Nome","K"&amp;UPPER(SUBSTITUTE(SUBSTITUTE(SUBSTITUTE(B127,"*",""),"?",""),"~",""))&amp;"0"&amp;AH127&amp;RIGHT("00000"&amp;ROW(),5),IF('FALTAS GERAL'!$M$1="Falta (maior primeiro)","K"&amp;RIGHT("0000"&amp;(9999-E127),4)&amp;AH127&amp;RIGHT("00000"&amp;ROW(),5),IF('FALTAS GERAL'!$M$1="Nº de decks (maior primeiro)","K"&amp;RIGHT("00"&amp;(99-N(G127)),2)&amp;AH127&amp;RIGHT("00000"&amp;ROW(),5),"K"&amp;RIGHT("00000"&amp;ROW(),5))))))</f>
        <v/>
      </c>
      <c r="AJ127" s="11" t="str">
        <f aca="false">IF(AI127="","",COUNTIFS($AI$2:$AI$801,"&lt;"&amp;AI127,$E$2:$E$801,"&gt;0")+1)</f>
        <v/>
      </c>
      <c r="AK127" s="11" t="str">
        <f aca="false">IF(OR(A127="",N(E127)&lt;=0),"",COUNTIFS($AH$2:$AH$801,"&lt;"&amp;AH127,$E$2:$E$801,"&gt;0")+COUNTIFS($AH$2:AH127,AH127,$E$2:E127,"&gt;0"))</f>
        <v/>
      </c>
    </row>
    <row r="128" customFormat="false" ht="15" hidden="false" customHeight="false" outlineLevel="0" collapsed="false">
      <c r="A128" s="11" t="str">
        <f aca="false">IF(INVENTÁRIO!A128="","",INVENTÁRIO!A128)</f>
        <v/>
      </c>
      <c r="B128" s="11" t="str">
        <f aca="false">IF(A128="","",INVENTÁRIO!B128)</f>
        <v/>
      </c>
      <c r="C128" s="16" t="str">
        <f aca="false">IF(A128="","",INVENTÁRIO!C128)</f>
        <v/>
      </c>
      <c r="D128" s="14" t="str">
        <f aca="false">IF(A128="","",MAX(K128:AD128))</f>
        <v/>
      </c>
      <c r="E128" s="14" t="str">
        <f aca="false">IF(A128="","",MAX(0,D128-C128))</f>
        <v/>
      </c>
      <c r="F128" s="16" t="str">
        <f aca="false">IF(A128="","",IF(D128=0,"Fora dos decks",IF(E128=0,"Completo","Falta")))</f>
        <v/>
      </c>
      <c r="G128" s="16" t="str">
        <f aca="false">IF(A128="","",COUNTIF(K128:AD128,"&gt;0"))</f>
        <v/>
      </c>
      <c r="H128" s="16" t="str">
        <f aca="false">IF(A128="","",IF(G128&gt;1,"Sim",""))</f>
        <v/>
      </c>
      <c r="I128" s="18" t="str">
        <f aca="false">IF(A128="","",SUMIFS(DECKS!$D$2:$D$1201,DECKS!$B$2:$B$1201,A128))</f>
        <v/>
      </c>
      <c r="J128" s="18" t="str">
        <f aca="false">IF(A128="","",MAX(0,I128-C128))</f>
        <v/>
      </c>
      <c r="K128" s="19" t="str">
        <f aca="false">IF(OR($A128="",INDEX(_LEITURA!$Q$2:$Q$21,1)=0),"",SUMIFS(DECKS!$D$2:$D$1201,DECKS!$A$2:$A$1201,INDEX(_LEITURA!$P$2:$P$21,1),DECKS!$B$2:$B$1201,$A128))</f>
        <v/>
      </c>
      <c r="L128" s="19" t="str">
        <f aca="false">IF(OR($A128="",INDEX(_LEITURA!$Q$2:$Q$21,2)=0),"",SUMIFS(DECKS!$D$2:$D$1201,DECKS!$A$2:$A$1201,INDEX(_LEITURA!$P$2:$P$21,2),DECKS!$B$2:$B$1201,$A128))</f>
        <v/>
      </c>
      <c r="M128" s="19" t="str">
        <f aca="false">IF(OR($A128="",INDEX(_LEITURA!$Q$2:$Q$21,3)=0),"",SUMIFS(DECKS!$D$2:$D$1201,DECKS!$A$2:$A$1201,INDEX(_LEITURA!$P$2:$P$21,3),DECKS!$B$2:$B$1201,$A128))</f>
        <v/>
      </c>
      <c r="N128" s="19" t="str">
        <f aca="false">IF(OR($A128="",INDEX(_LEITURA!$Q$2:$Q$21,4)=0),"",SUMIFS(DECKS!$D$2:$D$1201,DECKS!$A$2:$A$1201,INDEX(_LEITURA!$P$2:$P$21,4),DECKS!$B$2:$B$1201,$A128))</f>
        <v/>
      </c>
      <c r="O128" s="19" t="str">
        <f aca="false">IF(OR($A128="",INDEX(_LEITURA!$Q$2:$Q$21,5)=0),"",SUMIFS(DECKS!$D$2:$D$1201,DECKS!$A$2:$A$1201,INDEX(_LEITURA!$P$2:$P$21,5),DECKS!$B$2:$B$1201,$A128))</f>
        <v/>
      </c>
      <c r="P128" s="19" t="str">
        <f aca="false">IF(OR($A128="",INDEX(_LEITURA!$Q$2:$Q$21,6)=0),"",SUMIFS(DECKS!$D$2:$D$1201,DECKS!$A$2:$A$1201,INDEX(_LEITURA!$P$2:$P$21,6),DECKS!$B$2:$B$1201,$A128))</f>
        <v/>
      </c>
      <c r="Q128" s="19" t="str">
        <f aca="false">IF(OR($A128="",INDEX(_LEITURA!$Q$2:$Q$21,7)=0),"",SUMIFS(DECKS!$D$2:$D$1201,DECKS!$A$2:$A$1201,INDEX(_LEITURA!$P$2:$P$21,7),DECKS!$B$2:$B$1201,$A128))</f>
        <v/>
      </c>
      <c r="R128" s="19" t="str">
        <f aca="false">IF(OR($A128="",INDEX(_LEITURA!$Q$2:$Q$21,8)=0),"",SUMIFS(DECKS!$D$2:$D$1201,DECKS!$A$2:$A$1201,INDEX(_LEITURA!$P$2:$P$21,8),DECKS!$B$2:$B$1201,$A128))</f>
        <v/>
      </c>
      <c r="S128" s="19" t="str">
        <f aca="false">IF(OR($A128="",INDEX(_LEITURA!$Q$2:$Q$21,9)=0),"",SUMIFS(DECKS!$D$2:$D$1201,DECKS!$A$2:$A$1201,INDEX(_LEITURA!$P$2:$P$21,9),DECKS!$B$2:$B$1201,$A128))</f>
        <v/>
      </c>
      <c r="T128" s="19" t="str">
        <f aca="false">IF(OR($A128="",INDEX(_LEITURA!$Q$2:$Q$21,10)=0),"",SUMIFS(DECKS!$D$2:$D$1201,DECKS!$A$2:$A$1201,INDEX(_LEITURA!$P$2:$P$21,10),DECKS!$B$2:$B$1201,$A128))</f>
        <v/>
      </c>
      <c r="U128" s="19" t="str">
        <f aca="false">IF(OR($A128="",INDEX(_LEITURA!$Q$2:$Q$21,11)=0),"",SUMIFS(DECKS!$D$2:$D$1201,DECKS!$A$2:$A$1201,INDEX(_LEITURA!$P$2:$P$21,11),DECKS!$B$2:$B$1201,$A128))</f>
        <v/>
      </c>
      <c r="V128" s="19" t="str">
        <f aca="false">IF(OR($A128="",INDEX(_LEITURA!$Q$2:$Q$21,12)=0),"",SUMIFS(DECKS!$D$2:$D$1201,DECKS!$A$2:$A$1201,INDEX(_LEITURA!$P$2:$P$21,12),DECKS!$B$2:$B$1201,$A128))</f>
        <v/>
      </c>
      <c r="W128" s="19" t="str">
        <f aca="false">IF(OR($A128="",INDEX(_LEITURA!$Q$2:$Q$21,13)=0),"",SUMIFS(DECKS!$D$2:$D$1201,DECKS!$A$2:$A$1201,INDEX(_LEITURA!$P$2:$P$21,13),DECKS!$B$2:$B$1201,$A128))</f>
        <v/>
      </c>
      <c r="X128" s="19" t="str">
        <f aca="false">IF(OR($A128="",INDEX(_LEITURA!$Q$2:$Q$21,14)=0),"",SUMIFS(DECKS!$D$2:$D$1201,DECKS!$A$2:$A$1201,INDEX(_LEITURA!$P$2:$P$21,14),DECKS!$B$2:$B$1201,$A128))</f>
        <v/>
      </c>
      <c r="Y128" s="19" t="str">
        <f aca="false">IF(OR($A128="",INDEX(_LEITURA!$Q$2:$Q$21,15)=0),"",SUMIFS(DECKS!$D$2:$D$1201,DECKS!$A$2:$A$1201,INDEX(_LEITURA!$P$2:$P$21,15),DECKS!$B$2:$B$1201,$A128))</f>
        <v/>
      </c>
      <c r="Z128" s="19" t="str">
        <f aca="false">IF(OR($A128="",INDEX(_LEITURA!$Q$2:$Q$21,16)=0),"",SUMIFS(DECKS!$D$2:$D$1201,DECKS!$A$2:$A$1201,INDEX(_LEITURA!$P$2:$P$21,16),DECKS!$B$2:$B$1201,$A128))</f>
        <v/>
      </c>
      <c r="AA128" s="19" t="str">
        <f aca="false">IF(OR($A128="",INDEX(_LEITURA!$Q$2:$Q$21,17)=0),"",SUMIFS(DECKS!$D$2:$D$1201,DECKS!$A$2:$A$1201,INDEX(_LEITURA!$P$2:$P$21,17),DECKS!$B$2:$B$1201,$A128))</f>
        <v/>
      </c>
      <c r="AB128" s="19" t="str">
        <f aca="false">IF(OR($A128="",INDEX(_LEITURA!$Q$2:$Q$21,18)=0),"",SUMIFS(DECKS!$D$2:$D$1201,DECKS!$A$2:$A$1201,INDEX(_LEITURA!$P$2:$P$21,18),DECKS!$B$2:$B$1201,$A128))</f>
        <v/>
      </c>
      <c r="AC128" s="19" t="str">
        <f aca="false">IF(OR($A128="",INDEX(_LEITURA!$Q$2:$Q$21,19)=0),"",SUMIFS(DECKS!$D$2:$D$1201,DECKS!$A$2:$A$1201,INDEX(_LEITURA!$P$2:$P$21,19),DECKS!$B$2:$B$1201,$A128))</f>
        <v/>
      </c>
      <c r="AD128" s="19" t="str">
        <f aca="false">IF(OR($A128="",INDEX(_LEITURA!$Q$2:$Q$21,20)=0),"",SUMIFS(DECKS!$D$2:$D$1201,DECKS!$A$2:$A$1201,INDEX(_LEITURA!$P$2:$P$21,20),DECKS!$B$2:$B$1201,$A128))</f>
        <v/>
      </c>
      <c r="AE128" s="16" t="str">
        <f aca="false">IF(N(E128)&gt;0,MAX(AE$1:AE127)+1,"")</f>
        <v/>
      </c>
      <c r="AF128" s="11" t="str">
        <f aca="false">IF(A128="","",IFERROR(LEFT(A128,FIND("-",A128)-1),A128))</f>
        <v/>
      </c>
      <c r="AG128" s="11" t="str">
        <f aca="false">IF(AF128="","",IF(ISNUMBER(--MID(AF128,1,1)),0,IF(ISNUMBER(--MID(AF128,2,1)),1,IF(ISNUMBER(--MID(AF128,3,1)),2,IF(ISNUMBER(--MID(AF128,4,1)),3,MIN(LEN(AF128),4))))))</f>
        <v/>
      </c>
      <c r="AH128" s="11" t="str">
        <f aca="false">IF(A128="","",LEFT(AF128,AG128)&amp;REPT("0",4-AG128)&amp;RIGHT("000"&amp;IFERROR(VALUE(MID(AF128,AG128+1,9)),0),3)&amp;RIGHT("0000"&amp;IFERROR(VALUE(MID(A128,FIND("-",A128)+1,9)),0),4))</f>
        <v/>
      </c>
      <c r="AI128" s="11" t="str">
        <f aca="false">IF(OR(A128="",N(E128)&lt;=0),"",IF('FALTAS GERAL'!$M$1="Código","K"&amp;AH128&amp;RIGHT("00000"&amp;ROW(),5),IF('FALTAS GERAL'!$M$1="Nome","K"&amp;UPPER(SUBSTITUTE(SUBSTITUTE(SUBSTITUTE(B128,"*",""),"?",""),"~",""))&amp;"0"&amp;AH128&amp;RIGHT("00000"&amp;ROW(),5),IF('FALTAS GERAL'!$M$1="Falta (maior primeiro)","K"&amp;RIGHT("0000"&amp;(9999-E128),4)&amp;AH128&amp;RIGHT("00000"&amp;ROW(),5),IF('FALTAS GERAL'!$M$1="Nº de decks (maior primeiro)","K"&amp;RIGHT("00"&amp;(99-N(G128)),2)&amp;AH128&amp;RIGHT("00000"&amp;ROW(),5),"K"&amp;RIGHT("00000"&amp;ROW(),5))))))</f>
        <v/>
      </c>
      <c r="AJ128" s="11" t="str">
        <f aca="false">IF(AI128="","",COUNTIFS($AI$2:$AI$801,"&lt;"&amp;AI128,$E$2:$E$801,"&gt;0")+1)</f>
        <v/>
      </c>
      <c r="AK128" s="11" t="str">
        <f aca="false">IF(OR(A128="",N(E128)&lt;=0),"",COUNTIFS($AH$2:$AH$801,"&lt;"&amp;AH128,$E$2:$E$801,"&gt;0")+COUNTIFS($AH$2:AH128,AH128,$E$2:E128,"&gt;0"))</f>
        <v/>
      </c>
    </row>
    <row r="129" customFormat="false" ht="15" hidden="false" customHeight="false" outlineLevel="0" collapsed="false">
      <c r="A129" s="11" t="str">
        <f aca="false">IF(INVENTÁRIO!A129="","",INVENTÁRIO!A129)</f>
        <v/>
      </c>
      <c r="B129" s="11" t="str">
        <f aca="false">IF(A129="","",INVENTÁRIO!B129)</f>
        <v/>
      </c>
      <c r="C129" s="16" t="str">
        <f aca="false">IF(A129="","",INVENTÁRIO!C129)</f>
        <v/>
      </c>
      <c r="D129" s="14" t="str">
        <f aca="false">IF(A129="","",MAX(K129:AD129))</f>
        <v/>
      </c>
      <c r="E129" s="14" t="str">
        <f aca="false">IF(A129="","",MAX(0,D129-C129))</f>
        <v/>
      </c>
      <c r="F129" s="16" t="str">
        <f aca="false">IF(A129="","",IF(D129=0,"Fora dos decks",IF(E129=0,"Completo","Falta")))</f>
        <v/>
      </c>
      <c r="G129" s="16" t="str">
        <f aca="false">IF(A129="","",COUNTIF(K129:AD129,"&gt;0"))</f>
        <v/>
      </c>
      <c r="H129" s="16" t="str">
        <f aca="false">IF(A129="","",IF(G129&gt;1,"Sim",""))</f>
        <v/>
      </c>
      <c r="I129" s="18" t="str">
        <f aca="false">IF(A129="","",SUMIFS(DECKS!$D$2:$D$1201,DECKS!$B$2:$B$1201,A129))</f>
        <v/>
      </c>
      <c r="J129" s="18" t="str">
        <f aca="false">IF(A129="","",MAX(0,I129-C129))</f>
        <v/>
      </c>
      <c r="K129" s="19" t="str">
        <f aca="false">IF(OR($A129="",INDEX(_LEITURA!$Q$2:$Q$21,1)=0),"",SUMIFS(DECKS!$D$2:$D$1201,DECKS!$A$2:$A$1201,INDEX(_LEITURA!$P$2:$P$21,1),DECKS!$B$2:$B$1201,$A129))</f>
        <v/>
      </c>
      <c r="L129" s="19" t="str">
        <f aca="false">IF(OR($A129="",INDEX(_LEITURA!$Q$2:$Q$21,2)=0),"",SUMIFS(DECKS!$D$2:$D$1201,DECKS!$A$2:$A$1201,INDEX(_LEITURA!$P$2:$P$21,2),DECKS!$B$2:$B$1201,$A129))</f>
        <v/>
      </c>
      <c r="M129" s="19" t="str">
        <f aca="false">IF(OR($A129="",INDEX(_LEITURA!$Q$2:$Q$21,3)=0),"",SUMIFS(DECKS!$D$2:$D$1201,DECKS!$A$2:$A$1201,INDEX(_LEITURA!$P$2:$P$21,3),DECKS!$B$2:$B$1201,$A129))</f>
        <v/>
      </c>
      <c r="N129" s="19" t="str">
        <f aca="false">IF(OR($A129="",INDEX(_LEITURA!$Q$2:$Q$21,4)=0),"",SUMIFS(DECKS!$D$2:$D$1201,DECKS!$A$2:$A$1201,INDEX(_LEITURA!$P$2:$P$21,4),DECKS!$B$2:$B$1201,$A129))</f>
        <v/>
      </c>
      <c r="O129" s="19" t="str">
        <f aca="false">IF(OR($A129="",INDEX(_LEITURA!$Q$2:$Q$21,5)=0),"",SUMIFS(DECKS!$D$2:$D$1201,DECKS!$A$2:$A$1201,INDEX(_LEITURA!$P$2:$P$21,5),DECKS!$B$2:$B$1201,$A129))</f>
        <v/>
      </c>
      <c r="P129" s="19" t="str">
        <f aca="false">IF(OR($A129="",INDEX(_LEITURA!$Q$2:$Q$21,6)=0),"",SUMIFS(DECKS!$D$2:$D$1201,DECKS!$A$2:$A$1201,INDEX(_LEITURA!$P$2:$P$21,6),DECKS!$B$2:$B$1201,$A129))</f>
        <v/>
      </c>
      <c r="Q129" s="19" t="str">
        <f aca="false">IF(OR($A129="",INDEX(_LEITURA!$Q$2:$Q$21,7)=0),"",SUMIFS(DECKS!$D$2:$D$1201,DECKS!$A$2:$A$1201,INDEX(_LEITURA!$P$2:$P$21,7),DECKS!$B$2:$B$1201,$A129))</f>
        <v/>
      </c>
      <c r="R129" s="19" t="str">
        <f aca="false">IF(OR($A129="",INDEX(_LEITURA!$Q$2:$Q$21,8)=0),"",SUMIFS(DECKS!$D$2:$D$1201,DECKS!$A$2:$A$1201,INDEX(_LEITURA!$P$2:$P$21,8),DECKS!$B$2:$B$1201,$A129))</f>
        <v/>
      </c>
      <c r="S129" s="19" t="str">
        <f aca="false">IF(OR($A129="",INDEX(_LEITURA!$Q$2:$Q$21,9)=0),"",SUMIFS(DECKS!$D$2:$D$1201,DECKS!$A$2:$A$1201,INDEX(_LEITURA!$P$2:$P$21,9),DECKS!$B$2:$B$1201,$A129))</f>
        <v/>
      </c>
      <c r="T129" s="19" t="str">
        <f aca="false">IF(OR($A129="",INDEX(_LEITURA!$Q$2:$Q$21,10)=0),"",SUMIFS(DECKS!$D$2:$D$1201,DECKS!$A$2:$A$1201,INDEX(_LEITURA!$P$2:$P$21,10),DECKS!$B$2:$B$1201,$A129))</f>
        <v/>
      </c>
      <c r="U129" s="19" t="str">
        <f aca="false">IF(OR($A129="",INDEX(_LEITURA!$Q$2:$Q$21,11)=0),"",SUMIFS(DECKS!$D$2:$D$1201,DECKS!$A$2:$A$1201,INDEX(_LEITURA!$P$2:$P$21,11),DECKS!$B$2:$B$1201,$A129))</f>
        <v/>
      </c>
      <c r="V129" s="19" t="str">
        <f aca="false">IF(OR($A129="",INDEX(_LEITURA!$Q$2:$Q$21,12)=0),"",SUMIFS(DECKS!$D$2:$D$1201,DECKS!$A$2:$A$1201,INDEX(_LEITURA!$P$2:$P$21,12),DECKS!$B$2:$B$1201,$A129))</f>
        <v/>
      </c>
      <c r="W129" s="19" t="str">
        <f aca="false">IF(OR($A129="",INDEX(_LEITURA!$Q$2:$Q$21,13)=0),"",SUMIFS(DECKS!$D$2:$D$1201,DECKS!$A$2:$A$1201,INDEX(_LEITURA!$P$2:$P$21,13),DECKS!$B$2:$B$1201,$A129))</f>
        <v/>
      </c>
      <c r="X129" s="19" t="str">
        <f aca="false">IF(OR($A129="",INDEX(_LEITURA!$Q$2:$Q$21,14)=0),"",SUMIFS(DECKS!$D$2:$D$1201,DECKS!$A$2:$A$1201,INDEX(_LEITURA!$P$2:$P$21,14),DECKS!$B$2:$B$1201,$A129))</f>
        <v/>
      </c>
      <c r="Y129" s="19" t="str">
        <f aca="false">IF(OR($A129="",INDEX(_LEITURA!$Q$2:$Q$21,15)=0),"",SUMIFS(DECKS!$D$2:$D$1201,DECKS!$A$2:$A$1201,INDEX(_LEITURA!$P$2:$P$21,15),DECKS!$B$2:$B$1201,$A129))</f>
        <v/>
      </c>
      <c r="Z129" s="19" t="str">
        <f aca="false">IF(OR($A129="",INDEX(_LEITURA!$Q$2:$Q$21,16)=0),"",SUMIFS(DECKS!$D$2:$D$1201,DECKS!$A$2:$A$1201,INDEX(_LEITURA!$P$2:$P$21,16),DECKS!$B$2:$B$1201,$A129))</f>
        <v/>
      </c>
      <c r="AA129" s="19" t="str">
        <f aca="false">IF(OR($A129="",INDEX(_LEITURA!$Q$2:$Q$21,17)=0),"",SUMIFS(DECKS!$D$2:$D$1201,DECKS!$A$2:$A$1201,INDEX(_LEITURA!$P$2:$P$21,17),DECKS!$B$2:$B$1201,$A129))</f>
        <v/>
      </c>
      <c r="AB129" s="19" t="str">
        <f aca="false">IF(OR($A129="",INDEX(_LEITURA!$Q$2:$Q$21,18)=0),"",SUMIFS(DECKS!$D$2:$D$1201,DECKS!$A$2:$A$1201,INDEX(_LEITURA!$P$2:$P$21,18),DECKS!$B$2:$B$1201,$A129))</f>
        <v/>
      </c>
      <c r="AC129" s="19" t="str">
        <f aca="false">IF(OR($A129="",INDEX(_LEITURA!$Q$2:$Q$21,19)=0),"",SUMIFS(DECKS!$D$2:$D$1201,DECKS!$A$2:$A$1201,INDEX(_LEITURA!$P$2:$P$21,19),DECKS!$B$2:$B$1201,$A129))</f>
        <v/>
      </c>
      <c r="AD129" s="19" t="str">
        <f aca="false">IF(OR($A129="",INDEX(_LEITURA!$Q$2:$Q$21,20)=0),"",SUMIFS(DECKS!$D$2:$D$1201,DECKS!$A$2:$A$1201,INDEX(_LEITURA!$P$2:$P$21,20),DECKS!$B$2:$B$1201,$A129))</f>
        <v/>
      </c>
      <c r="AE129" s="16" t="str">
        <f aca="false">IF(N(E129)&gt;0,MAX(AE$1:AE128)+1,"")</f>
        <v/>
      </c>
      <c r="AF129" s="11" t="str">
        <f aca="false">IF(A129="","",IFERROR(LEFT(A129,FIND("-",A129)-1),A129))</f>
        <v/>
      </c>
      <c r="AG129" s="11" t="str">
        <f aca="false">IF(AF129="","",IF(ISNUMBER(--MID(AF129,1,1)),0,IF(ISNUMBER(--MID(AF129,2,1)),1,IF(ISNUMBER(--MID(AF129,3,1)),2,IF(ISNUMBER(--MID(AF129,4,1)),3,MIN(LEN(AF129),4))))))</f>
        <v/>
      </c>
      <c r="AH129" s="11" t="str">
        <f aca="false">IF(A129="","",LEFT(AF129,AG129)&amp;REPT("0",4-AG129)&amp;RIGHT("000"&amp;IFERROR(VALUE(MID(AF129,AG129+1,9)),0),3)&amp;RIGHT("0000"&amp;IFERROR(VALUE(MID(A129,FIND("-",A129)+1,9)),0),4))</f>
        <v/>
      </c>
      <c r="AI129" s="11" t="str">
        <f aca="false">IF(OR(A129="",N(E129)&lt;=0),"",IF('FALTAS GERAL'!$M$1="Código","K"&amp;AH129&amp;RIGHT("00000"&amp;ROW(),5),IF('FALTAS GERAL'!$M$1="Nome","K"&amp;UPPER(SUBSTITUTE(SUBSTITUTE(SUBSTITUTE(B129,"*",""),"?",""),"~",""))&amp;"0"&amp;AH129&amp;RIGHT("00000"&amp;ROW(),5),IF('FALTAS GERAL'!$M$1="Falta (maior primeiro)","K"&amp;RIGHT("0000"&amp;(9999-E129),4)&amp;AH129&amp;RIGHT("00000"&amp;ROW(),5),IF('FALTAS GERAL'!$M$1="Nº de decks (maior primeiro)","K"&amp;RIGHT("00"&amp;(99-N(G129)),2)&amp;AH129&amp;RIGHT("00000"&amp;ROW(),5),"K"&amp;RIGHT("00000"&amp;ROW(),5))))))</f>
        <v/>
      </c>
      <c r="AJ129" s="11" t="str">
        <f aca="false">IF(AI129="","",COUNTIFS($AI$2:$AI$801,"&lt;"&amp;AI129,$E$2:$E$801,"&gt;0")+1)</f>
        <v/>
      </c>
      <c r="AK129" s="11" t="str">
        <f aca="false">IF(OR(A129="",N(E129)&lt;=0),"",COUNTIFS($AH$2:$AH$801,"&lt;"&amp;AH129,$E$2:$E$801,"&gt;0")+COUNTIFS($AH$2:AH129,AH129,$E$2:E129,"&gt;0"))</f>
        <v/>
      </c>
    </row>
    <row r="130" customFormat="false" ht="15" hidden="false" customHeight="false" outlineLevel="0" collapsed="false">
      <c r="A130" s="11" t="str">
        <f aca="false">IF(INVENTÁRIO!A130="","",INVENTÁRIO!A130)</f>
        <v/>
      </c>
      <c r="B130" s="11" t="str">
        <f aca="false">IF(A130="","",INVENTÁRIO!B130)</f>
        <v/>
      </c>
      <c r="C130" s="16" t="str">
        <f aca="false">IF(A130="","",INVENTÁRIO!C130)</f>
        <v/>
      </c>
      <c r="D130" s="14" t="str">
        <f aca="false">IF(A130="","",MAX(K130:AD130))</f>
        <v/>
      </c>
      <c r="E130" s="14" t="str">
        <f aca="false">IF(A130="","",MAX(0,D130-C130))</f>
        <v/>
      </c>
      <c r="F130" s="16" t="str">
        <f aca="false">IF(A130="","",IF(D130=0,"Fora dos decks",IF(E130=0,"Completo","Falta")))</f>
        <v/>
      </c>
      <c r="G130" s="16" t="str">
        <f aca="false">IF(A130="","",COUNTIF(K130:AD130,"&gt;0"))</f>
        <v/>
      </c>
      <c r="H130" s="16" t="str">
        <f aca="false">IF(A130="","",IF(G130&gt;1,"Sim",""))</f>
        <v/>
      </c>
      <c r="I130" s="18" t="str">
        <f aca="false">IF(A130="","",SUMIFS(DECKS!$D$2:$D$1201,DECKS!$B$2:$B$1201,A130))</f>
        <v/>
      </c>
      <c r="J130" s="18" t="str">
        <f aca="false">IF(A130="","",MAX(0,I130-C130))</f>
        <v/>
      </c>
      <c r="K130" s="19" t="str">
        <f aca="false">IF(OR($A130="",INDEX(_LEITURA!$Q$2:$Q$21,1)=0),"",SUMIFS(DECKS!$D$2:$D$1201,DECKS!$A$2:$A$1201,INDEX(_LEITURA!$P$2:$P$21,1),DECKS!$B$2:$B$1201,$A130))</f>
        <v/>
      </c>
      <c r="L130" s="19" t="str">
        <f aca="false">IF(OR($A130="",INDEX(_LEITURA!$Q$2:$Q$21,2)=0),"",SUMIFS(DECKS!$D$2:$D$1201,DECKS!$A$2:$A$1201,INDEX(_LEITURA!$P$2:$P$21,2),DECKS!$B$2:$B$1201,$A130))</f>
        <v/>
      </c>
      <c r="M130" s="19" t="str">
        <f aca="false">IF(OR($A130="",INDEX(_LEITURA!$Q$2:$Q$21,3)=0),"",SUMIFS(DECKS!$D$2:$D$1201,DECKS!$A$2:$A$1201,INDEX(_LEITURA!$P$2:$P$21,3),DECKS!$B$2:$B$1201,$A130))</f>
        <v/>
      </c>
      <c r="N130" s="19" t="str">
        <f aca="false">IF(OR($A130="",INDEX(_LEITURA!$Q$2:$Q$21,4)=0),"",SUMIFS(DECKS!$D$2:$D$1201,DECKS!$A$2:$A$1201,INDEX(_LEITURA!$P$2:$P$21,4),DECKS!$B$2:$B$1201,$A130))</f>
        <v/>
      </c>
      <c r="O130" s="19" t="str">
        <f aca="false">IF(OR($A130="",INDEX(_LEITURA!$Q$2:$Q$21,5)=0),"",SUMIFS(DECKS!$D$2:$D$1201,DECKS!$A$2:$A$1201,INDEX(_LEITURA!$P$2:$P$21,5),DECKS!$B$2:$B$1201,$A130))</f>
        <v/>
      </c>
      <c r="P130" s="19" t="str">
        <f aca="false">IF(OR($A130="",INDEX(_LEITURA!$Q$2:$Q$21,6)=0),"",SUMIFS(DECKS!$D$2:$D$1201,DECKS!$A$2:$A$1201,INDEX(_LEITURA!$P$2:$P$21,6),DECKS!$B$2:$B$1201,$A130))</f>
        <v/>
      </c>
      <c r="Q130" s="19" t="str">
        <f aca="false">IF(OR($A130="",INDEX(_LEITURA!$Q$2:$Q$21,7)=0),"",SUMIFS(DECKS!$D$2:$D$1201,DECKS!$A$2:$A$1201,INDEX(_LEITURA!$P$2:$P$21,7),DECKS!$B$2:$B$1201,$A130))</f>
        <v/>
      </c>
      <c r="R130" s="19" t="str">
        <f aca="false">IF(OR($A130="",INDEX(_LEITURA!$Q$2:$Q$21,8)=0),"",SUMIFS(DECKS!$D$2:$D$1201,DECKS!$A$2:$A$1201,INDEX(_LEITURA!$P$2:$P$21,8),DECKS!$B$2:$B$1201,$A130))</f>
        <v/>
      </c>
      <c r="S130" s="19" t="str">
        <f aca="false">IF(OR($A130="",INDEX(_LEITURA!$Q$2:$Q$21,9)=0),"",SUMIFS(DECKS!$D$2:$D$1201,DECKS!$A$2:$A$1201,INDEX(_LEITURA!$P$2:$P$21,9),DECKS!$B$2:$B$1201,$A130))</f>
        <v/>
      </c>
      <c r="T130" s="19" t="str">
        <f aca="false">IF(OR($A130="",INDEX(_LEITURA!$Q$2:$Q$21,10)=0),"",SUMIFS(DECKS!$D$2:$D$1201,DECKS!$A$2:$A$1201,INDEX(_LEITURA!$P$2:$P$21,10),DECKS!$B$2:$B$1201,$A130))</f>
        <v/>
      </c>
      <c r="U130" s="19" t="str">
        <f aca="false">IF(OR($A130="",INDEX(_LEITURA!$Q$2:$Q$21,11)=0),"",SUMIFS(DECKS!$D$2:$D$1201,DECKS!$A$2:$A$1201,INDEX(_LEITURA!$P$2:$P$21,11),DECKS!$B$2:$B$1201,$A130))</f>
        <v/>
      </c>
      <c r="V130" s="19" t="str">
        <f aca="false">IF(OR($A130="",INDEX(_LEITURA!$Q$2:$Q$21,12)=0),"",SUMIFS(DECKS!$D$2:$D$1201,DECKS!$A$2:$A$1201,INDEX(_LEITURA!$P$2:$P$21,12),DECKS!$B$2:$B$1201,$A130))</f>
        <v/>
      </c>
      <c r="W130" s="19" t="str">
        <f aca="false">IF(OR($A130="",INDEX(_LEITURA!$Q$2:$Q$21,13)=0),"",SUMIFS(DECKS!$D$2:$D$1201,DECKS!$A$2:$A$1201,INDEX(_LEITURA!$P$2:$P$21,13),DECKS!$B$2:$B$1201,$A130))</f>
        <v/>
      </c>
      <c r="X130" s="19" t="str">
        <f aca="false">IF(OR($A130="",INDEX(_LEITURA!$Q$2:$Q$21,14)=0),"",SUMIFS(DECKS!$D$2:$D$1201,DECKS!$A$2:$A$1201,INDEX(_LEITURA!$P$2:$P$21,14),DECKS!$B$2:$B$1201,$A130))</f>
        <v/>
      </c>
      <c r="Y130" s="19" t="str">
        <f aca="false">IF(OR($A130="",INDEX(_LEITURA!$Q$2:$Q$21,15)=0),"",SUMIFS(DECKS!$D$2:$D$1201,DECKS!$A$2:$A$1201,INDEX(_LEITURA!$P$2:$P$21,15),DECKS!$B$2:$B$1201,$A130))</f>
        <v/>
      </c>
      <c r="Z130" s="19" t="str">
        <f aca="false">IF(OR($A130="",INDEX(_LEITURA!$Q$2:$Q$21,16)=0),"",SUMIFS(DECKS!$D$2:$D$1201,DECKS!$A$2:$A$1201,INDEX(_LEITURA!$P$2:$P$21,16),DECKS!$B$2:$B$1201,$A130))</f>
        <v/>
      </c>
      <c r="AA130" s="19" t="str">
        <f aca="false">IF(OR($A130="",INDEX(_LEITURA!$Q$2:$Q$21,17)=0),"",SUMIFS(DECKS!$D$2:$D$1201,DECKS!$A$2:$A$1201,INDEX(_LEITURA!$P$2:$P$21,17),DECKS!$B$2:$B$1201,$A130))</f>
        <v/>
      </c>
      <c r="AB130" s="19" t="str">
        <f aca="false">IF(OR($A130="",INDEX(_LEITURA!$Q$2:$Q$21,18)=0),"",SUMIFS(DECKS!$D$2:$D$1201,DECKS!$A$2:$A$1201,INDEX(_LEITURA!$P$2:$P$21,18),DECKS!$B$2:$B$1201,$A130))</f>
        <v/>
      </c>
      <c r="AC130" s="19" t="str">
        <f aca="false">IF(OR($A130="",INDEX(_LEITURA!$Q$2:$Q$21,19)=0),"",SUMIFS(DECKS!$D$2:$D$1201,DECKS!$A$2:$A$1201,INDEX(_LEITURA!$P$2:$P$21,19),DECKS!$B$2:$B$1201,$A130))</f>
        <v/>
      </c>
      <c r="AD130" s="19" t="str">
        <f aca="false">IF(OR($A130="",INDEX(_LEITURA!$Q$2:$Q$21,20)=0),"",SUMIFS(DECKS!$D$2:$D$1201,DECKS!$A$2:$A$1201,INDEX(_LEITURA!$P$2:$P$21,20),DECKS!$B$2:$B$1201,$A130))</f>
        <v/>
      </c>
      <c r="AE130" s="16" t="str">
        <f aca="false">IF(N(E130)&gt;0,MAX(AE$1:AE129)+1,"")</f>
        <v/>
      </c>
      <c r="AF130" s="11" t="str">
        <f aca="false">IF(A130="","",IFERROR(LEFT(A130,FIND("-",A130)-1),A130))</f>
        <v/>
      </c>
      <c r="AG130" s="11" t="str">
        <f aca="false">IF(AF130="","",IF(ISNUMBER(--MID(AF130,1,1)),0,IF(ISNUMBER(--MID(AF130,2,1)),1,IF(ISNUMBER(--MID(AF130,3,1)),2,IF(ISNUMBER(--MID(AF130,4,1)),3,MIN(LEN(AF130),4))))))</f>
        <v/>
      </c>
      <c r="AH130" s="11" t="str">
        <f aca="false">IF(A130="","",LEFT(AF130,AG130)&amp;REPT("0",4-AG130)&amp;RIGHT("000"&amp;IFERROR(VALUE(MID(AF130,AG130+1,9)),0),3)&amp;RIGHT("0000"&amp;IFERROR(VALUE(MID(A130,FIND("-",A130)+1,9)),0),4))</f>
        <v/>
      </c>
      <c r="AI130" s="11" t="str">
        <f aca="false">IF(OR(A130="",N(E130)&lt;=0),"",IF('FALTAS GERAL'!$M$1="Código","K"&amp;AH130&amp;RIGHT("00000"&amp;ROW(),5),IF('FALTAS GERAL'!$M$1="Nome","K"&amp;UPPER(SUBSTITUTE(SUBSTITUTE(SUBSTITUTE(B130,"*",""),"?",""),"~",""))&amp;"0"&amp;AH130&amp;RIGHT("00000"&amp;ROW(),5),IF('FALTAS GERAL'!$M$1="Falta (maior primeiro)","K"&amp;RIGHT("0000"&amp;(9999-E130),4)&amp;AH130&amp;RIGHT("00000"&amp;ROW(),5),IF('FALTAS GERAL'!$M$1="Nº de decks (maior primeiro)","K"&amp;RIGHT("00"&amp;(99-N(G130)),2)&amp;AH130&amp;RIGHT("00000"&amp;ROW(),5),"K"&amp;RIGHT("00000"&amp;ROW(),5))))))</f>
        <v/>
      </c>
      <c r="AJ130" s="11" t="str">
        <f aca="false">IF(AI130="","",COUNTIFS($AI$2:$AI$801,"&lt;"&amp;AI130,$E$2:$E$801,"&gt;0")+1)</f>
        <v/>
      </c>
      <c r="AK130" s="11" t="str">
        <f aca="false">IF(OR(A130="",N(E130)&lt;=0),"",COUNTIFS($AH$2:$AH$801,"&lt;"&amp;AH130,$E$2:$E$801,"&gt;0")+COUNTIFS($AH$2:AH130,AH130,$E$2:E130,"&gt;0"))</f>
        <v/>
      </c>
    </row>
    <row r="131" customFormat="false" ht="15" hidden="false" customHeight="false" outlineLevel="0" collapsed="false">
      <c r="A131" s="11" t="str">
        <f aca="false">IF(INVENTÁRIO!A131="","",INVENTÁRIO!A131)</f>
        <v/>
      </c>
      <c r="B131" s="11" t="str">
        <f aca="false">IF(A131="","",INVENTÁRIO!B131)</f>
        <v/>
      </c>
      <c r="C131" s="16" t="str">
        <f aca="false">IF(A131="","",INVENTÁRIO!C131)</f>
        <v/>
      </c>
      <c r="D131" s="14" t="str">
        <f aca="false">IF(A131="","",MAX(K131:AD131))</f>
        <v/>
      </c>
      <c r="E131" s="14" t="str">
        <f aca="false">IF(A131="","",MAX(0,D131-C131))</f>
        <v/>
      </c>
      <c r="F131" s="16" t="str">
        <f aca="false">IF(A131="","",IF(D131=0,"Fora dos decks",IF(E131=0,"Completo","Falta")))</f>
        <v/>
      </c>
      <c r="G131" s="16" t="str">
        <f aca="false">IF(A131="","",COUNTIF(K131:AD131,"&gt;0"))</f>
        <v/>
      </c>
      <c r="H131" s="16" t="str">
        <f aca="false">IF(A131="","",IF(G131&gt;1,"Sim",""))</f>
        <v/>
      </c>
      <c r="I131" s="18" t="str">
        <f aca="false">IF(A131="","",SUMIFS(DECKS!$D$2:$D$1201,DECKS!$B$2:$B$1201,A131))</f>
        <v/>
      </c>
      <c r="J131" s="18" t="str">
        <f aca="false">IF(A131="","",MAX(0,I131-C131))</f>
        <v/>
      </c>
      <c r="K131" s="19" t="str">
        <f aca="false">IF(OR($A131="",INDEX(_LEITURA!$Q$2:$Q$21,1)=0),"",SUMIFS(DECKS!$D$2:$D$1201,DECKS!$A$2:$A$1201,INDEX(_LEITURA!$P$2:$P$21,1),DECKS!$B$2:$B$1201,$A131))</f>
        <v/>
      </c>
      <c r="L131" s="19" t="str">
        <f aca="false">IF(OR($A131="",INDEX(_LEITURA!$Q$2:$Q$21,2)=0),"",SUMIFS(DECKS!$D$2:$D$1201,DECKS!$A$2:$A$1201,INDEX(_LEITURA!$P$2:$P$21,2),DECKS!$B$2:$B$1201,$A131))</f>
        <v/>
      </c>
      <c r="M131" s="19" t="str">
        <f aca="false">IF(OR($A131="",INDEX(_LEITURA!$Q$2:$Q$21,3)=0),"",SUMIFS(DECKS!$D$2:$D$1201,DECKS!$A$2:$A$1201,INDEX(_LEITURA!$P$2:$P$21,3),DECKS!$B$2:$B$1201,$A131))</f>
        <v/>
      </c>
      <c r="N131" s="19" t="str">
        <f aca="false">IF(OR($A131="",INDEX(_LEITURA!$Q$2:$Q$21,4)=0),"",SUMIFS(DECKS!$D$2:$D$1201,DECKS!$A$2:$A$1201,INDEX(_LEITURA!$P$2:$P$21,4),DECKS!$B$2:$B$1201,$A131))</f>
        <v/>
      </c>
      <c r="O131" s="19" t="str">
        <f aca="false">IF(OR($A131="",INDEX(_LEITURA!$Q$2:$Q$21,5)=0),"",SUMIFS(DECKS!$D$2:$D$1201,DECKS!$A$2:$A$1201,INDEX(_LEITURA!$P$2:$P$21,5),DECKS!$B$2:$B$1201,$A131))</f>
        <v/>
      </c>
      <c r="P131" s="19" t="str">
        <f aca="false">IF(OR($A131="",INDEX(_LEITURA!$Q$2:$Q$21,6)=0),"",SUMIFS(DECKS!$D$2:$D$1201,DECKS!$A$2:$A$1201,INDEX(_LEITURA!$P$2:$P$21,6),DECKS!$B$2:$B$1201,$A131))</f>
        <v/>
      </c>
      <c r="Q131" s="19" t="str">
        <f aca="false">IF(OR($A131="",INDEX(_LEITURA!$Q$2:$Q$21,7)=0),"",SUMIFS(DECKS!$D$2:$D$1201,DECKS!$A$2:$A$1201,INDEX(_LEITURA!$P$2:$P$21,7),DECKS!$B$2:$B$1201,$A131))</f>
        <v/>
      </c>
      <c r="R131" s="19" t="str">
        <f aca="false">IF(OR($A131="",INDEX(_LEITURA!$Q$2:$Q$21,8)=0),"",SUMIFS(DECKS!$D$2:$D$1201,DECKS!$A$2:$A$1201,INDEX(_LEITURA!$P$2:$P$21,8),DECKS!$B$2:$B$1201,$A131))</f>
        <v/>
      </c>
      <c r="S131" s="19" t="str">
        <f aca="false">IF(OR($A131="",INDEX(_LEITURA!$Q$2:$Q$21,9)=0),"",SUMIFS(DECKS!$D$2:$D$1201,DECKS!$A$2:$A$1201,INDEX(_LEITURA!$P$2:$P$21,9),DECKS!$B$2:$B$1201,$A131))</f>
        <v/>
      </c>
      <c r="T131" s="19" t="str">
        <f aca="false">IF(OR($A131="",INDEX(_LEITURA!$Q$2:$Q$21,10)=0),"",SUMIFS(DECKS!$D$2:$D$1201,DECKS!$A$2:$A$1201,INDEX(_LEITURA!$P$2:$P$21,10),DECKS!$B$2:$B$1201,$A131))</f>
        <v/>
      </c>
      <c r="U131" s="19" t="str">
        <f aca="false">IF(OR($A131="",INDEX(_LEITURA!$Q$2:$Q$21,11)=0),"",SUMIFS(DECKS!$D$2:$D$1201,DECKS!$A$2:$A$1201,INDEX(_LEITURA!$P$2:$P$21,11),DECKS!$B$2:$B$1201,$A131))</f>
        <v/>
      </c>
      <c r="V131" s="19" t="str">
        <f aca="false">IF(OR($A131="",INDEX(_LEITURA!$Q$2:$Q$21,12)=0),"",SUMIFS(DECKS!$D$2:$D$1201,DECKS!$A$2:$A$1201,INDEX(_LEITURA!$P$2:$P$21,12),DECKS!$B$2:$B$1201,$A131))</f>
        <v/>
      </c>
      <c r="W131" s="19" t="str">
        <f aca="false">IF(OR($A131="",INDEX(_LEITURA!$Q$2:$Q$21,13)=0),"",SUMIFS(DECKS!$D$2:$D$1201,DECKS!$A$2:$A$1201,INDEX(_LEITURA!$P$2:$P$21,13),DECKS!$B$2:$B$1201,$A131))</f>
        <v/>
      </c>
      <c r="X131" s="19" t="str">
        <f aca="false">IF(OR($A131="",INDEX(_LEITURA!$Q$2:$Q$21,14)=0),"",SUMIFS(DECKS!$D$2:$D$1201,DECKS!$A$2:$A$1201,INDEX(_LEITURA!$P$2:$P$21,14),DECKS!$B$2:$B$1201,$A131))</f>
        <v/>
      </c>
      <c r="Y131" s="19" t="str">
        <f aca="false">IF(OR($A131="",INDEX(_LEITURA!$Q$2:$Q$21,15)=0),"",SUMIFS(DECKS!$D$2:$D$1201,DECKS!$A$2:$A$1201,INDEX(_LEITURA!$P$2:$P$21,15),DECKS!$B$2:$B$1201,$A131))</f>
        <v/>
      </c>
      <c r="Z131" s="19" t="str">
        <f aca="false">IF(OR($A131="",INDEX(_LEITURA!$Q$2:$Q$21,16)=0),"",SUMIFS(DECKS!$D$2:$D$1201,DECKS!$A$2:$A$1201,INDEX(_LEITURA!$P$2:$P$21,16),DECKS!$B$2:$B$1201,$A131))</f>
        <v/>
      </c>
      <c r="AA131" s="19" t="str">
        <f aca="false">IF(OR($A131="",INDEX(_LEITURA!$Q$2:$Q$21,17)=0),"",SUMIFS(DECKS!$D$2:$D$1201,DECKS!$A$2:$A$1201,INDEX(_LEITURA!$P$2:$P$21,17),DECKS!$B$2:$B$1201,$A131))</f>
        <v/>
      </c>
      <c r="AB131" s="19" t="str">
        <f aca="false">IF(OR($A131="",INDEX(_LEITURA!$Q$2:$Q$21,18)=0),"",SUMIFS(DECKS!$D$2:$D$1201,DECKS!$A$2:$A$1201,INDEX(_LEITURA!$P$2:$P$21,18),DECKS!$B$2:$B$1201,$A131))</f>
        <v/>
      </c>
      <c r="AC131" s="19" t="str">
        <f aca="false">IF(OR($A131="",INDEX(_LEITURA!$Q$2:$Q$21,19)=0),"",SUMIFS(DECKS!$D$2:$D$1201,DECKS!$A$2:$A$1201,INDEX(_LEITURA!$P$2:$P$21,19),DECKS!$B$2:$B$1201,$A131))</f>
        <v/>
      </c>
      <c r="AD131" s="19" t="str">
        <f aca="false">IF(OR($A131="",INDEX(_LEITURA!$Q$2:$Q$21,20)=0),"",SUMIFS(DECKS!$D$2:$D$1201,DECKS!$A$2:$A$1201,INDEX(_LEITURA!$P$2:$P$21,20),DECKS!$B$2:$B$1201,$A131))</f>
        <v/>
      </c>
      <c r="AE131" s="16" t="str">
        <f aca="false">IF(N(E131)&gt;0,MAX(AE$1:AE130)+1,"")</f>
        <v/>
      </c>
      <c r="AF131" s="11" t="str">
        <f aca="false">IF(A131="","",IFERROR(LEFT(A131,FIND("-",A131)-1),A131))</f>
        <v/>
      </c>
      <c r="AG131" s="11" t="str">
        <f aca="false">IF(AF131="","",IF(ISNUMBER(--MID(AF131,1,1)),0,IF(ISNUMBER(--MID(AF131,2,1)),1,IF(ISNUMBER(--MID(AF131,3,1)),2,IF(ISNUMBER(--MID(AF131,4,1)),3,MIN(LEN(AF131),4))))))</f>
        <v/>
      </c>
      <c r="AH131" s="11" t="str">
        <f aca="false">IF(A131="","",LEFT(AF131,AG131)&amp;REPT("0",4-AG131)&amp;RIGHT("000"&amp;IFERROR(VALUE(MID(AF131,AG131+1,9)),0),3)&amp;RIGHT("0000"&amp;IFERROR(VALUE(MID(A131,FIND("-",A131)+1,9)),0),4))</f>
        <v/>
      </c>
      <c r="AI131" s="11" t="str">
        <f aca="false">IF(OR(A131="",N(E131)&lt;=0),"",IF('FALTAS GERAL'!$M$1="Código","K"&amp;AH131&amp;RIGHT("00000"&amp;ROW(),5),IF('FALTAS GERAL'!$M$1="Nome","K"&amp;UPPER(SUBSTITUTE(SUBSTITUTE(SUBSTITUTE(B131,"*",""),"?",""),"~",""))&amp;"0"&amp;AH131&amp;RIGHT("00000"&amp;ROW(),5),IF('FALTAS GERAL'!$M$1="Falta (maior primeiro)","K"&amp;RIGHT("0000"&amp;(9999-E131),4)&amp;AH131&amp;RIGHT("00000"&amp;ROW(),5),IF('FALTAS GERAL'!$M$1="Nº de decks (maior primeiro)","K"&amp;RIGHT("00"&amp;(99-N(G131)),2)&amp;AH131&amp;RIGHT("00000"&amp;ROW(),5),"K"&amp;RIGHT("00000"&amp;ROW(),5))))))</f>
        <v/>
      </c>
      <c r="AJ131" s="11" t="str">
        <f aca="false">IF(AI131="","",COUNTIFS($AI$2:$AI$801,"&lt;"&amp;AI131,$E$2:$E$801,"&gt;0")+1)</f>
        <v/>
      </c>
      <c r="AK131" s="11" t="str">
        <f aca="false">IF(OR(A131="",N(E131)&lt;=0),"",COUNTIFS($AH$2:$AH$801,"&lt;"&amp;AH131,$E$2:$E$801,"&gt;0")+COUNTIFS($AH$2:AH131,AH131,$E$2:E131,"&gt;0"))</f>
        <v/>
      </c>
    </row>
    <row r="132" customFormat="false" ht="15" hidden="false" customHeight="false" outlineLevel="0" collapsed="false">
      <c r="A132" s="11" t="str">
        <f aca="false">IF(INVENTÁRIO!A132="","",INVENTÁRIO!A132)</f>
        <v/>
      </c>
      <c r="B132" s="11" t="str">
        <f aca="false">IF(A132="","",INVENTÁRIO!B132)</f>
        <v/>
      </c>
      <c r="C132" s="16" t="str">
        <f aca="false">IF(A132="","",INVENTÁRIO!C132)</f>
        <v/>
      </c>
      <c r="D132" s="14" t="str">
        <f aca="false">IF(A132="","",MAX(K132:AD132))</f>
        <v/>
      </c>
      <c r="E132" s="14" t="str">
        <f aca="false">IF(A132="","",MAX(0,D132-C132))</f>
        <v/>
      </c>
      <c r="F132" s="16" t="str">
        <f aca="false">IF(A132="","",IF(D132=0,"Fora dos decks",IF(E132=0,"Completo","Falta")))</f>
        <v/>
      </c>
      <c r="G132" s="16" t="str">
        <f aca="false">IF(A132="","",COUNTIF(K132:AD132,"&gt;0"))</f>
        <v/>
      </c>
      <c r="H132" s="16" t="str">
        <f aca="false">IF(A132="","",IF(G132&gt;1,"Sim",""))</f>
        <v/>
      </c>
      <c r="I132" s="18" t="str">
        <f aca="false">IF(A132="","",SUMIFS(DECKS!$D$2:$D$1201,DECKS!$B$2:$B$1201,A132))</f>
        <v/>
      </c>
      <c r="J132" s="18" t="str">
        <f aca="false">IF(A132="","",MAX(0,I132-C132))</f>
        <v/>
      </c>
      <c r="K132" s="19" t="str">
        <f aca="false">IF(OR($A132="",INDEX(_LEITURA!$Q$2:$Q$21,1)=0),"",SUMIFS(DECKS!$D$2:$D$1201,DECKS!$A$2:$A$1201,INDEX(_LEITURA!$P$2:$P$21,1),DECKS!$B$2:$B$1201,$A132))</f>
        <v/>
      </c>
      <c r="L132" s="19" t="str">
        <f aca="false">IF(OR($A132="",INDEX(_LEITURA!$Q$2:$Q$21,2)=0),"",SUMIFS(DECKS!$D$2:$D$1201,DECKS!$A$2:$A$1201,INDEX(_LEITURA!$P$2:$P$21,2),DECKS!$B$2:$B$1201,$A132))</f>
        <v/>
      </c>
      <c r="M132" s="19" t="str">
        <f aca="false">IF(OR($A132="",INDEX(_LEITURA!$Q$2:$Q$21,3)=0),"",SUMIFS(DECKS!$D$2:$D$1201,DECKS!$A$2:$A$1201,INDEX(_LEITURA!$P$2:$P$21,3),DECKS!$B$2:$B$1201,$A132))</f>
        <v/>
      </c>
      <c r="N132" s="19" t="str">
        <f aca="false">IF(OR($A132="",INDEX(_LEITURA!$Q$2:$Q$21,4)=0),"",SUMIFS(DECKS!$D$2:$D$1201,DECKS!$A$2:$A$1201,INDEX(_LEITURA!$P$2:$P$21,4),DECKS!$B$2:$B$1201,$A132))</f>
        <v/>
      </c>
      <c r="O132" s="19" t="str">
        <f aca="false">IF(OR($A132="",INDEX(_LEITURA!$Q$2:$Q$21,5)=0),"",SUMIFS(DECKS!$D$2:$D$1201,DECKS!$A$2:$A$1201,INDEX(_LEITURA!$P$2:$P$21,5),DECKS!$B$2:$B$1201,$A132))</f>
        <v/>
      </c>
      <c r="P132" s="19" t="str">
        <f aca="false">IF(OR($A132="",INDEX(_LEITURA!$Q$2:$Q$21,6)=0),"",SUMIFS(DECKS!$D$2:$D$1201,DECKS!$A$2:$A$1201,INDEX(_LEITURA!$P$2:$P$21,6),DECKS!$B$2:$B$1201,$A132))</f>
        <v/>
      </c>
      <c r="Q132" s="19" t="str">
        <f aca="false">IF(OR($A132="",INDEX(_LEITURA!$Q$2:$Q$21,7)=0),"",SUMIFS(DECKS!$D$2:$D$1201,DECKS!$A$2:$A$1201,INDEX(_LEITURA!$P$2:$P$21,7),DECKS!$B$2:$B$1201,$A132))</f>
        <v/>
      </c>
      <c r="R132" s="19" t="str">
        <f aca="false">IF(OR($A132="",INDEX(_LEITURA!$Q$2:$Q$21,8)=0),"",SUMIFS(DECKS!$D$2:$D$1201,DECKS!$A$2:$A$1201,INDEX(_LEITURA!$P$2:$P$21,8),DECKS!$B$2:$B$1201,$A132))</f>
        <v/>
      </c>
      <c r="S132" s="19" t="str">
        <f aca="false">IF(OR($A132="",INDEX(_LEITURA!$Q$2:$Q$21,9)=0),"",SUMIFS(DECKS!$D$2:$D$1201,DECKS!$A$2:$A$1201,INDEX(_LEITURA!$P$2:$P$21,9),DECKS!$B$2:$B$1201,$A132))</f>
        <v/>
      </c>
      <c r="T132" s="19" t="str">
        <f aca="false">IF(OR($A132="",INDEX(_LEITURA!$Q$2:$Q$21,10)=0),"",SUMIFS(DECKS!$D$2:$D$1201,DECKS!$A$2:$A$1201,INDEX(_LEITURA!$P$2:$P$21,10),DECKS!$B$2:$B$1201,$A132))</f>
        <v/>
      </c>
      <c r="U132" s="19" t="str">
        <f aca="false">IF(OR($A132="",INDEX(_LEITURA!$Q$2:$Q$21,11)=0),"",SUMIFS(DECKS!$D$2:$D$1201,DECKS!$A$2:$A$1201,INDEX(_LEITURA!$P$2:$P$21,11),DECKS!$B$2:$B$1201,$A132))</f>
        <v/>
      </c>
      <c r="V132" s="19" t="str">
        <f aca="false">IF(OR($A132="",INDEX(_LEITURA!$Q$2:$Q$21,12)=0),"",SUMIFS(DECKS!$D$2:$D$1201,DECKS!$A$2:$A$1201,INDEX(_LEITURA!$P$2:$P$21,12),DECKS!$B$2:$B$1201,$A132))</f>
        <v/>
      </c>
      <c r="W132" s="19" t="str">
        <f aca="false">IF(OR($A132="",INDEX(_LEITURA!$Q$2:$Q$21,13)=0),"",SUMIFS(DECKS!$D$2:$D$1201,DECKS!$A$2:$A$1201,INDEX(_LEITURA!$P$2:$P$21,13),DECKS!$B$2:$B$1201,$A132))</f>
        <v/>
      </c>
      <c r="X132" s="19" t="str">
        <f aca="false">IF(OR($A132="",INDEX(_LEITURA!$Q$2:$Q$21,14)=0),"",SUMIFS(DECKS!$D$2:$D$1201,DECKS!$A$2:$A$1201,INDEX(_LEITURA!$P$2:$P$21,14),DECKS!$B$2:$B$1201,$A132))</f>
        <v/>
      </c>
      <c r="Y132" s="19" t="str">
        <f aca="false">IF(OR($A132="",INDEX(_LEITURA!$Q$2:$Q$21,15)=0),"",SUMIFS(DECKS!$D$2:$D$1201,DECKS!$A$2:$A$1201,INDEX(_LEITURA!$P$2:$P$21,15),DECKS!$B$2:$B$1201,$A132))</f>
        <v/>
      </c>
      <c r="Z132" s="19" t="str">
        <f aca="false">IF(OR($A132="",INDEX(_LEITURA!$Q$2:$Q$21,16)=0),"",SUMIFS(DECKS!$D$2:$D$1201,DECKS!$A$2:$A$1201,INDEX(_LEITURA!$P$2:$P$21,16),DECKS!$B$2:$B$1201,$A132))</f>
        <v/>
      </c>
      <c r="AA132" s="19" t="str">
        <f aca="false">IF(OR($A132="",INDEX(_LEITURA!$Q$2:$Q$21,17)=0),"",SUMIFS(DECKS!$D$2:$D$1201,DECKS!$A$2:$A$1201,INDEX(_LEITURA!$P$2:$P$21,17),DECKS!$B$2:$B$1201,$A132))</f>
        <v/>
      </c>
      <c r="AB132" s="19" t="str">
        <f aca="false">IF(OR($A132="",INDEX(_LEITURA!$Q$2:$Q$21,18)=0),"",SUMIFS(DECKS!$D$2:$D$1201,DECKS!$A$2:$A$1201,INDEX(_LEITURA!$P$2:$P$21,18),DECKS!$B$2:$B$1201,$A132))</f>
        <v/>
      </c>
      <c r="AC132" s="19" t="str">
        <f aca="false">IF(OR($A132="",INDEX(_LEITURA!$Q$2:$Q$21,19)=0),"",SUMIFS(DECKS!$D$2:$D$1201,DECKS!$A$2:$A$1201,INDEX(_LEITURA!$P$2:$P$21,19),DECKS!$B$2:$B$1201,$A132))</f>
        <v/>
      </c>
      <c r="AD132" s="19" t="str">
        <f aca="false">IF(OR($A132="",INDEX(_LEITURA!$Q$2:$Q$21,20)=0),"",SUMIFS(DECKS!$D$2:$D$1201,DECKS!$A$2:$A$1201,INDEX(_LEITURA!$P$2:$P$21,20),DECKS!$B$2:$B$1201,$A132))</f>
        <v/>
      </c>
      <c r="AE132" s="16" t="str">
        <f aca="false">IF(N(E132)&gt;0,MAX(AE$1:AE131)+1,"")</f>
        <v/>
      </c>
      <c r="AF132" s="11" t="str">
        <f aca="false">IF(A132="","",IFERROR(LEFT(A132,FIND("-",A132)-1),A132))</f>
        <v/>
      </c>
      <c r="AG132" s="11" t="str">
        <f aca="false">IF(AF132="","",IF(ISNUMBER(--MID(AF132,1,1)),0,IF(ISNUMBER(--MID(AF132,2,1)),1,IF(ISNUMBER(--MID(AF132,3,1)),2,IF(ISNUMBER(--MID(AF132,4,1)),3,MIN(LEN(AF132),4))))))</f>
        <v/>
      </c>
      <c r="AH132" s="11" t="str">
        <f aca="false">IF(A132="","",LEFT(AF132,AG132)&amp;REPT("0",4-AG132)&amp;RIGHT("000"&amp;IFERROR(VALUE(MID(AF132,AG132+1,9)),0),3)&amp;RIGHT("0000"&amp;IFERROR(VALUE(MID(A132,FIND("-",A132)+1,9)),0),4))</f>
        <v/>
      </c>
      <c r="AI132" s="11" t="str">
        <f aca="false">IF(OR(A132="",N(E132)&lt;=0),"",IF('FALTAS GERAL'!$M$1="Código","K"&amp;AH132&amp;RIGHT("00000"&amp;ROW(),5),IF('FALTAS GERAL'!$M$1="Nome","K"&amp;UPPER(SUBSTITUTE(SUBSTITUTE(SUBSTITUTE(B132,"*",""),"?",""),"~",""))&amp;"0"&amp;AH132&amp;RIGHT("00000"&amp;ROW(),5),IF('FALTAS GERAL'!$M$1="Falta (maior primeiro)","K"&amp;RIGHT("0000"&amp;(9999-E132),4)&amp;AH132&amp;RIGHT("00000"&amp;ROW(),5),IF('FALTAS GERAL'!$M$1="Nº de decks (maior primeiro)","K"&amp;RIGHT("00"&amp;(99-N(G132)),2)&amp;AH132&amp;RIGHT("00000"&amp;ROW(),5),"K"&amp;RIGHT("00000"&amp;ROW(),5))))))</f>
        <v/>
      </c>
      <c r="AJ132" s="11" t="str">
        <f aca="false">IF(AI132="","",COUNTIFS($AI$2:$AI$801,"&lt;"&amp;AI132,$E$2:$E$801,"&gt;0")+1)</f>
        <v/>
      </c>
      <c r="AK132" s="11" t="str">
        <f aca="false">IF(OR(A132="",N(E132)&lt;=0),"",COUNTIFS($AH$2:$AH$801,"&lt;"&amp;AH132,$E$2:$E$801,"&gt;0")+COUNTIFS($AH$2:AH132,AH132,$E$2:E132,"&gt;0"))</f>
        <v/>
      </c>
    </row>
    <row r="133" customFormat="false" ht="15" hidden="false" customHeight="false" outlineLevel="0" collapsed="false">
      <c r="A133" s="11" t="str">
        <f aca="false">IF(INVENTÁRIO!A133="","",INVENTÁRIO!A133)</f>
        <v/>
      </c>
      <c r="B133" s="11" t="str">
        <f aca="false">IF(A133="","",INVENTÁRIO!B133)</f>
        <v/>
      </c>
      <c r="C133" s="16" t="str">
        <f aca="false">IF(A133="","",INVENTÁRIO!C133)</f>
        <v/>
      </c>
      <c r="D133" s="14" t="str">
        <f aca="false">IF(A133="","",MAX(K133:AD133))</f>
        <v/>
      </c>
      <c r="E133" s="14" t="str">
        <f aca="false">IF(A133="","",MAX(0,D133-C133))</f>
        <v/>
      </c>
      <c r="F133" s="16" t="str">
        <f aca="false">IF(A133="","",IF(D133=0,"Fora dos decks",IF(E133=0,"Completo","Falta")))</f>
        <v/>
      </c>
      <c r="G133" s="16" t="str">
        <f aca="false">IF(A133="","",COUNTIF(K133:AD133,"&gt;0"))</f>
        <v/>
      </c>
      <c r="H133" s="16" t="str">
        <f aca="false">IF(A133="","",IF(G133&gt;1,"Sim",""))</f>
        <v/>
      </c>
      <c r="I133" s="18" t="str">
        <f aca="false">IF(A133="","",SUMIFS(DECKS!$D$2:$D$1201,DECKS!$B$2:$B$1201,A133))</f>
        <v/>
      </c>
      <c r="J133" s="18" t="str">
        <f aca="false">IF(A133="","",MAX(0,I133-C133))</f>
        <v/>
      </c>
      <c r="K133" s="19" t="str">
        <f aca="false">IF(OR($A133="",INDEX(_LEITURA!$Q$2:$Q$21,1)=0),"",SUMIFS(DECKS!$D$2:$D$1201,DECKS!$A$2:$A$1201,INDEX(_LEITURA!$P$2:$P$21,1),DECKS!$B$2:$B$1201,$A133))</f>
        <v/>
      </c>
      <c r="L133" s="19" t="str">
        <f aca="false">IF(OR($A133="",INDEX(_LEITURA!$Q$2:$Q$21,2)=0),"",SUMIFS(DECKS!$D$2:$D$1201,DECKS!$A$2:$A$1201,INDEX(_LEITURA!$P$2:$P$21,2),DECKS!$B$2:$B$1201,$A133))</f>
        <v/>
      </c>
      <c r="M133" s="19" t="str">
        <f aca="false">IF(OR($A133="",INDEX(_LEITURA!$Q$2:$Q$21,3)=0),"",SUMIFS(DECKS!$D$2:$D$1201,DECKS!$A$2:$A$1201,INDEX(_LEITURA!$P$2:$P$21,3),DECKS!$B$2:$B$1201,$A133))</f>
        <v/>
      </c>
      <c r="N133" s="19" t="str">
        <f aca="false">IF(OR($A133="",INDEX(_LEITURA!$Q$2:$Q$21,4)=0),"",SUMIFS(DECKS!$D$2:$D$1201,DECKS!$A$2:$A$1201,INDEX(_LEITURA!$P$2:$P$21,4),DECKS!$B$2:$B$1201,$A133))</f>
        <v/>
      </c>
      <c r="O133" s="19" t="str">
        <f aca="false">IF(OR($A133="",INDEX(_LEITURA!$Q$2:$Q$21,5)=0),"",SUMIFS(DECKS!$D$2:$D$1201,DECKS!$A$2:$A$1201,INDEX(_LEITURA!$P$2:$P$21,5),DECKS!$B$2:$B$1201,$A133))</f>
        <v/>
      </c>
      <c r="P133" s="19" t="str">
        <f aca="false">IF(OR($A133="",INDEX(_LEITURA!$Q$2:$Q$21,6)=0),"",SUMIFS(DECKS!$D$2:$D$1201,DECKS!$A$2:$A$1201,INDEX(_LEITURA!$P$2:$P$21,6),DECKS!$B$2:$B$1201,$A133))</f>
        <v/>
      </c>
      <c r="Q133" s="19" t="str">
        <f aca="false">IF(OR($A133="",INDEX(_LEITURA!$Q$2:$Q$21,7)=0),"",SUMIFS(DECKS!$D$2:$D$1201,DECKS!$A$2:$A$1201,INDEX(_LEITURA!$P$2:$P$21,7),DECKS!$B$2:$B$1201,$A133))</f>
        <v/>
      </c>
      <c r="R133" s="19" t="str">
        <f aca="false">IF(OR($A133="",INDEX(_LEITURA!$Q$2:$Q$21,8)=0),"",SUMIFS(DECKS!$D$2:$D$1201,DECKS!$A$2:$A$1201,INDEX(_LEITURA!$P$2:$P$21,8),DECKS!$B$2:$B$1201,$A133))</f>
        <v/>
      </c>
      <c r="S133" s="19" t="str">
        <f aca="false">IF(OR($A133="",INDEX(_LEITURA!$Q$2:$Q$21,9)=0),"",SUMIFS(DECKS!$D$2:$D$1201,DECKS!$A$2:$A$1201,INDEX(_LEITURA!$P$2:$P$21,9),DECKS!$B$2:$B$1201,$A133))</f>
        <v/>
      </c>
      <c r="T133" s="19" t="str">
        <f aca="false">IF(OR($A133="",INDEX(_LEITURA!$Q$2:$Q$21,10)=0),"",SUMIFS(DECKS!$D$2:$D$1201,DECKS!$A$2:$A$1201,INDEX(_LEITURA!$P$2:$P$21,10),DECKS!$B$2:$B$1201,$A133))</f>
        <v/>
      </c>
      <c r="U133" s="19" t="str">
        <f aca="false">IF(OR($A133="",INDEX(_LEITURA!$Q$2:$Q$21,11)=0),"",SUMIFS(DECKS!$D$2:$D$1201,DECKS!$A$2:$A$1201,INDEX(_LEITURA!$P$2:$P$21,11),DECKS!$B$2:$B$1201,$A133))</f>
        <v/>
      </c>
      <c r="V133" s="19" t="str">
        <f aca="false">IF(OR($A133="",INDEX(_LEITURA!$Q$2:$Q$21,12)=0),"",SUMIFS(DECKS!$D$2:$D$1201,DECKS!$A$2:$A$1201,INDEX(_LEITURA!$P$2:$P$21,12),DECKS!$B$2:$B$1201,$A133))</f>
        <v/>
      </c>
      <c r="W133" s="19" t="str">
        <f aca="false">IF(OR($A133="",INDEX(_LEITURA!$Q$2:$Q$21,13)=0),"",SUMIFS(DECKS!$D$2:$D$1201,DECKS!$A$2:$A$1201,INDEX(_LEITURA!$P$2:$P$21,13),DECKS!$B$2:$B$1201,$A133))</f>
        <v/>
      </c>
      <c r="X133" s="19" t="str">
        <f aca="false">IF(OR($A133="",INDEX(_LEITURA!$Q$2:$Q$21,14)=0),"",SUMIFS(DECKS!$D$2:$D$1201,DECKS!$A$2:$A$1201,INDEX(_LEITURA!$P$2:$P$21,14),DECKS!$B$2:$B$1201,$A133))</f>
        <v/>
      </c>
      <c r="Y133" s="19" t="str">
        <f aca="false">IF(OR($A133="",INDEX(_LEITURA!$Q$2:$Q$21,15)=0),"",SUMIFS(DECKS!$D$2:$D$1201,DECKS!$A$2:$A$1201,INDEX(_LEITURA!$P$2:$P$21,15),DECKS!$B$2:$B$1201,$A133))</f>
        <v/>
      </c>
      <c r="Z133" s="19" t="str">
        <f aca="false">IF(OR($A133="",INDEX(_LEITURA!$Q$2:$Q$21,16)=0),"",SUMIFS(DECKS!$D$2:$D$1201,DECKS!$A$2:$A$1201,INDEX(_LEITURA!$P$2:$P$21,16),DECKS!$B$2:$B$1201,$A133))</f>
        <v/>
      </c>
      <c r="AA133" s="19" t="str">
        <f aca="false">IF(OR($A133="",INDEX(_LEITURA!$Q$2:$Q$21,17)=0),"",SUMIFS(DECKS!$D$2:$D$1201,DECKS!$A$2:$A$1201,INDEX(_LEITURA!$P$2:$P$21,17),DECKS!$B$2:$B$1201,$A133))</f>
        <v/>
      </c>
      <c r="AB133" s="19" t="str">
        <f aca="false">IF(OR($A133="",INDEX(_LEITURA!$Q$2:$Q$21,18)=0),"",SUMIFS(DECKS!$D$2:$D$1201,DECKS!$A$2:$A$1201,INDEX(_LEITURA!$P$2:$P$21,18),DECKS!$B$2:$B$1201,$A133))</f>
        <v/>
      </c>
      <c r="AC133" s="19" t="str">
        <f aca="false">IF(OR($A133="",INDEX(_LEITURA!$Q$2:$Q$21,19)=0),"",SUMIFS(DECKS!$D$2:$D$1201,DECKS!$A$2:$A$1201,INDEX(_LEITURA!$P$2:$P$21,19),DECKS!$B$2:$B$1201,$A133))</f>
        <v/>
      </c>
      <c r="AD133" s="19" t="str">
        <f aca="false">IF(OR($A133="",INDEX(_LEITURA!$Q$2:$Q$21,20)=0),"",SUMIFS(DECKS!$D$2:$D$1201,DECKS!$A$2:$A$1201,INDEX(_LEITURA!$P$2:$P$21,20),DECKS!$B$2:$B$1201,$A133))</f>
        <v/>
      </c>
      <c r="AE133" s="16" t="str">
        <f aca="false">IF(N(E133)&gt;0,MAX(AE$1:AE132)+1,"")</f>
        <v/>
      </c>
      <c r="AF133" s="11" t="str">
        <f aca="false">IF(A133="","",IFERROR(LEFT(A133,FIND("-",A133)-1),A133))</f>
        <v/>
      </c>
      <c r="AG133" s="11" t="str">
        <f aca="false">IF(AF133="","",IF(ISNUMBER(--MID(AF133,1,1)),0,IF(ISNUMBER(--MID(AF133,2,1)),1,IF(ISNUMBER(--MID(AF133,3,1)),2,IF(ISNUMBER(--MID(AF133,4,1)),3,MIN(LEN(AF133),4))))))</f>
        <v/>
      </c>
      <c r="AH133" s="11" t="str">
        <f aca="false">IF(A133="","",LEFT(AF133,AG133)&amp;REPT("0",4-AG133)&amp;RIGHT("000"&amp;IFERROR(VALUE(MID(AF133,AG133+1,9)),0),3)&amp;RIGHT("0000"&amp;IFERROR(VALUE(MID(A133,FIND("-",A133)+1,9)),0),4))</f>
        <v/>
      </c>
      <c r="AI133" s="11" t="str">
        <f aca="false">IF(OR(A133="",N(E133)&lt;=0),"",IF('FALTAS GERAL'!$M$1="Código","K"&amp;AH133&amp;RIGHT("00000"&amp;ROW(),5),IF('FALTAS GERAL'!$M$1="Nome","K"&amp;UPPER(SUBSTITUTE(SUBSTITUTE(SUBSTITUTE(B133,"*",""),"?",""),"~",""))&amp;"0"&amp;AH133&amp;RIGHT("00000"&amp;ROW(),5),IF('FALTAS GERAL'!$M$1="Falta (maior primeiro)","K"&amp;RIGHT("0000"&amp;(9999-E133),4)&amp;AH133&amp;RIGHT("00000"&amp;ROW(),5),IF('FALTAS GERAL'!$M$1="Nº de decks (maior primeiro)","K"&amp;RIGHT("00"&amp;(99-N(G133)),2)&amp;AH133&amp;RIGHT("00000"&amp;ROW(),5),"K"&amp;RIGHT("00000"&amp;ROW(),5))))))</f>
        <v/>
      </c>
      <c r="AJ133" s="11" t="str">
        <f aca="false">IF(AI133="","",COUNTIFS($AI$2:$AI$801,"&lt;"&amp;AI133,$E$2:$E$801,"&gt;0")+1)</f>
        <v/>
      </c>
      <c r="AK133" s="11" t="str">
        <f aca="false">IF(OR(A133="",N(E133)&lt;=0),"",COUNTIFS($AH$2:$AH$801,"&lt;"&amp;AH133,$E$2:$E$801,"&gt;0")+COUNTIFS($AH$2:AH133,AH133,$E$2:E133,"&gt;0"))</f>
        <v/>
      </c>
    </row>
    <row r="134" customFormat="false" ht="15" hidden="false" customHeight="false" outlineLevel="0" collapsed="false">
      <c r="A134" s="11" t="str">
        <f aca="false">IF(INVENTÁRIO!A134="","",INVENTÁRIO!A134)</f>
        <v/>
      </c>
      <c r="B134" s="11" t="str">
        <f aca="false">IF(A134="","",INVENTÁRIO!B134)</f>
        <v/>
      </c>
      <c r="C134" s="16" t="str">
        <f aca="false">IF(A134="","",INVENTÁRIO!C134)</f>
        <v/>
      </c>
      <c r="D134" s="14" t="str">
        <f aca="false">IF(A134="","",MAX(K134:AD134))</f>
        <v/>
      </c>
      <c r="E134" s="14" t="str">
        <f aca="false">IF(A134="","",MAX(0,D134-C134))</f>
        <v/>
      </c>
      <c r="F134" s="16" t="str">
        <f aca="false">IF(A134="","",IF(D134=0,"Fora dos decks",IF(E134=0,"Completo","Falta")))</f>
        <v/>
      </c>
      <c r="G134" s="16" t="str">
        <f aca="false">IF(A134="","",COUNTIF(K134:AD134,"&gt;0"))</f>
        <v/>
      </c>
      <c r="H134" s="16" t="str">
        <f aca="false">IF(A134="","",IF(G134&gt;1,"Sim",""))</f>
        <v/>
      </c>
      <c r="I134" s="18" t="str">
        <f aca="false">IF(A134="","",SUMIFS(DECKS!$D$2:$D$1201,DECKS!$B$2:$B$1201,A134))</f>
        <v/>
      </c>
      <c r="J134" s="18" t="str">
        <f aca="false">IF(A134="","",MAX(0,I134-C134))</f>
        <v/>
      </c>
      <c r="K134" s="19" t="str">
        <f aca="false">IF(OR($A134="",INDEX(_LEITURA!$Q$2:$Q$21,1)=0),"",SUMIFS(DECKS!$D$2:$D$1201,DECKS!$A$2:$A$1201,INDEX(_LEITURA!$P$2:$P$21,1),DECKS!$B$2:$B$1201,$A134))</f>
        <v/>
      </c>
      <c r="L134" s="19" t="str">
        <f aca="false">IF(OR($A134="",INDEX(_LEITURA!$Q$2:$Q$21,2)=0),"",SUMIFS(DECKS!$D$2:$D$1201,DECKS!$A$2:$A$1201,INDEX(_LEITURA!$P$2:$P$21,2),DECKS!$B$2:$B$1201,$A134))</f>
        <v/>
      </c>
      <c r="M134" s="19" t="str">
        <f aca="false">IF(OR($A134="",INDEX(_LEITURA!$Q$2:$Q$21,3)=0),"",SUMIFS(DECKS!$D$2:$D$1201,DECKS!$A$2:$A$1201,INDEX(_LEITURA!$P$2:$P$21,3),DECKS!$B$2:$B$1201,$A134))</f>
        <v/>
      </c>
      <c r="N134" s="19" t="str">
        <f aca="false">IF(OR($A134="",INDEX(_LEITURA!$Q$2:$Q$21,4)=0),"",SUMIFS(DECKS!$D$2:$D$1201,DECKS!$A$2:$A$1201,INDEX(_LEITURA!$P$2:$P$21,4),DECKS!$B$2:$B$1201,$A134))</f>
        <v/>
      </c>
      <c r="O134" s="19" t="str">
        <f aca="false">IF(OR($A134="",INDEX(_LEITURA!$Q$2:$Q$21,5)=0),"",SUMIFS(DECKS!$D$2:$D$1201,DECKS!$A$2:$A$1201,INDEX(_LEITURA!$P$2:$P$21,5),DECKS!$B$2:$B$1201,$A134))</f>
        <v/>
      </c>
      <c r="P134" s="19" t="str">
        <f aca="false">IF(OR($A134="",INDEX(_LEITURA!$Q$2:$Q$21,6)=0),"",SUMIFS(DECKS!$D$2:$D$1201,DECKS!$A$2:$A$1201,INDEX(_LEITURA!$P$2:$P$21,6),DECKS!$B$2:$B$1201,$A134))</f>
        <v/>
      </c>
      <c r="Q134" s="19" t="str">
        <f aca="false">IF(OR($A134="",INDEX(_LEITURA!$Q$2:$Q$21,7)=0),"",SUMIFS(DECKS!$D$2:$D$1201,DECKS!$A$2:$A$1201,INDEX(_LEITURA!$P$2:$P$21,7),DECKS!$B$2:$B$1201,$A134))</f>
        <v/>
      </c>
      <c r="R134" s="19" t="str">
        <f aca="false">IF(OR($A134="",INDEX(_LEITURA!$Q$2:$Q$21,8)=0),"",SUMIFS(DECKS!$D$2:$D$1201,DECKS!$A$2:$A$1201,INDEX(_LEITURA!$P$2:$P$21,8),DECKS!$B$2:$B$1201,$A134))</f>
        <v/>
      </c>
      <c r="S134" s="19" t="str">
        <f aca="false">IF(OR($A134="",INDEX(_LEITURA!$Q$2:$Q$21,9)=0),"",SUMIFS(DECKS!$D$2:$D$1201,DECKS!$A$2:$A$1201,INDEX(_LEITURA!$P$2:$P$21,9),DECKS!$B$2:$B$1201,$A134))</f>
        <v/>
      </c>
      <c r="T134" s="19" t="str">
        <f aca="false">IF(OR($A134="",INDEX(_LEITURA!$Q$2:$Q$21,10)=0),"",SUMIFS(DECKS!$D$2:$D$1201,DECKS!$A$2:$A$1201,INDEX(_LEITURA!$P$2:$P$21,10),DECKS!$B$2:$B$1201,$A134))</f>
        <v/>
      </c>
      <c r="U134" s="19" t="str">
        <f aca="false">IF(OR($A134="",INDEX(_LEITURA!$Q$2:$Q$21,11)=0),"",SUMIFS(DECKS!$D$2:$D$1201,DECKS!$A$2:$A$1201,INDEX(_LEITURA!$P$2:$P$21,11),DECKS!$B$2:$B$1201,$A134))</f>
        <v/>
      </c>
      <c r="V134" s="19" t="str">
        <f aca="false">IF(OR($A134="",INDEX(_LEITURA!$Q$2:$Q$21,12)=0),"",SUMIFS(DECKS!$D$2:$D$1201,DECKS!$A$2:$A$1201,INDEX(_LEITURA!$P$2:$P$21,12),DECKS!$B$2:$B$1201,$A134))</f>
        <v/>
      </c>
      <c r="W134" s="19" t="str">
        <f aca="false">IF(OR($A134="",INDEX(_LEITURA!$Q$2:$Q$21,13)=0),"",SUMIFS(DECKS!$D$2:$D$1201,DECKS!$A$2:$A$1201,INDEX(_LEITURA!$P$2:$P$21,13),DECKS!$B$2:$B$1201,$A134))</f>
        <v/>
      </c>
      <c r="X134" s="19" t="str">
        <f aca="false">IF(OR($A134="",INDEX(_LEITURA!$Q$2:$Q$21,14)=0),"",SUMIFS(DECKS!$D$2:$D$1201,DECKS!$A$2:$A$1201,INDEX(_LEITURA!$P$2:$P$21,14),DECKS!$B$2:$B$1201,$A134))</f>
        <v/>
      </c>
      <c r="Y134" s="19" t="str">
        <f aca="false">IF(OR($A134="",INDEX(_LEITURA!$Q$2:$Q$21,15)=0),"",SUMIFS(DECKS!$D$2:$D$1201,DECKS!$A$2:$A$1201,INDEX(_LEITURA!$P$2:$P$21,15),DECKS!$B$2:$B$1201,$A134))</f>
        <v/>
      </c>
      <c r="Z134" s="19" t="str">
        <f aca="false">IF(OR($A134="",INDEX(_LEITURA!$Q$2:$Q$21,16)=0),"",SUMIFS(DECKS!$D$2:$D$1201,DECKS!$A$2:$A$1201,INDEX(_LEITURA!$P$2:$P$21,16),DECKS!$B$2:$B$1201,$A134))</f>
        <v/>
      </c>
      <c r="AA134" s="19" t="str">
        <f aca="false">IF(OR($A134="",INDEX(_LEITURA!$Q$2:$Q$21,17)=0),"",SUMIFS(DECKS!$D$2:$D$1201,DECKS!$A$2:$A$1201,INDEX(_LEITURA!$P$2:$P$21,17),DECKS!$B$2:$B$1201,$A134))</f>
        <v/>
      </c>
      <c r="AB134" s="19" t="str">
        <f aca="false">IF(OR($A134="",INDEX(_LEITURA!$Q$2:$Q$21,18)=0),"",SUMIFS(DECKS!$D$2:$D$1201,DECKS!$A$2:$A$1201,INDEX(_LEITURA!$P$2:$P$21,18),DECKS!$B$2:$B$1201,$A134))</f>
        <v/>
      </c>
      <c r="AC134" s="19" t="str">
        <f aca="false">IF(OR($A134="",INDEX(_LEITURA!$Q$2:$Q$21,19)=0),"",SUMIFS(DECKS!$D$2:$D$1201,DECKS!$A$2:$A$1201,INDEX(_LEITURA!$P$2:$P$21,19),DECKS!$B$2:$B$1201,$A134))</f>
        <v/>
      </c>
      <c r="AD134" s="19" t="str">
        <f aca="false">IF(OR($A134="",INDEX(_LEITURA!$Q$2:$Q$21,20)=0),"",SUMIFS(DECKS!$D$2:$D$1201,DECKS!$A$2:$A$1201,INDEX(_LEITURA!$P$2:$P$21,20),DECKS!$B$2:$B$1201,$A134))</f>
        <v/>
      </c>
      <c r="AE134" s="16" t="str">
        <f aca="false">IF(N(E134)&gt;0,MAX(AE$1:AE133)+1,"")</f>
        <v/>
      </c>
      <c r="AF134" s="11" t="str">
        <f aca="false">IF(A134="","",IFERROR(LEFT(A134,FIND("-",A134)-1),A134))</f>
        <v/>
      </c>
      <c r="AG134" s="11" t="str">
        <f aca="false">IF(AF134="","",IF(ISNUMBER(--MID(AF134,1,1)),0,IF(ISNUMBER(--MID(AF134,2,1)),1,IF(ISNUMBER(--MID(AF134,3,1)),2,IF(ISNUMBER(--MID(AF134,4,1)),3,MIN(LEN(AF134),4))))))</f>
        <v/>
      </c>
      <c r="AH134" s="11" t="str">
        <f aca="false">IF(A134="","",LEFT(AF134,AG134)&amp;REPT("0",4-AG134)&amp;RIGHT("000"&amp;IFERROR(VALUE(MID(AF134,AG134+1,9)),0),3)&amp;RIGHT("0000"&amp;IFERROR(VALUE(MID(A134,FIND("-",A134)+1,9)),0),4))</f>
        <v/>
      </c>
      <c r="AI134" s="11" t="str">
        <f aca="false">IF(OR(A134="",N(E134)&lt;=0),"",IF('FALTAS GERAL'!$M$1="Código","K"&amp;AH134&amp;RIGHT("00000"&amp;ROW(),5),IF('FALTAS GERAL'!$M$1="Nome","K"&amp;UPPER(SUBSTITUTE(SUBSTITUTE(SUBSTITUTE(B134,"*",""),"?",""),"~",""))&amp;"0"&amp;AH134&amp;RIGHT("00000"&amp;ROW(),5),IF('FALTAS GERAL'!$M$1="Falta (maior primeiro)","K"&amp;RIGHT("0000"&amp;(9999-E134),4)&amp;AH134&amp;RIGHT("00000"&amp;ROW(),5),IF('FALTAS GERAL'!$M$1="Nº de decks (maior primeiro)","K"&amp;RIGHT("00"&amp;(99-N(G134)),2)&amp;AH134&amp;RIGHT("00000"&amp;ROW(),5),"K"&amp;RIGHT("00000"&amp;ROW(),5))))))</f>
        <v/>
      </c>
      <c r="AJ134" s="11" t="str">
        <f aca="false">IF(AI134="","",COUNTIFS($AI$2:$AI$801,"&lt;"&amp;AI134,$E$2:$E$801,"&gt;0")+1)</f>
        <v/>
      </c>
      <c r="AK134" s="11" t="str">
        <f aca="false">IF(OR(A134="",N(E134)&lt;=0),"",COUNTIFS($AH$2:$AH$801,"&lt;"&amp;AH134,$E$2:$E$801,"&gt;0")+COUNTIFS($AH$2:AH134,AH134,$E$2:E134,"&gt;0"))</f>
        <v/>
      </c>
    </row>
    <row r="135" customFormat="false" ht="15" hidden="false" customHeight="false" outlineLevel="0" collapsed="false">
      <c r="A135" s="11" t="str">
        <f aca="false">IF(INVENTÁRIO!A135="","",INVENTÁRIO!A135)</f>
        <v/>
      </c>
      <c r="B135" s="11" t="str">
        <f aca="false">IF(A135="","",INVENTÁRIO!B135)</f>
        <v/>
      </c>
      <c r="C135" s="16" t="str">
        <f aca="false">IF(A135="","",INVENTÁRIO!C135)</f>
        <v/>
      </c>
      <c r="D135" s="14" t="str">
        <f aca="false">IF(A135="","",MAX(K135:AD135))</f>
        <v/>
      </c>
      <c r="E135" s="14" t="str">
        <f aca="false">IF(A135="","",MAX(0,D135-C135))</f>
        <v/>
      </c>
      <c r="F135" s="16" t="str">
        <f aca="false">IF(A135="","",IF(D135=0,"Fora dos decks",IF(E135=0,"Completo","Falta")))</f>
        <v/>
      </c>
      <c r="G135" s="16" t="str">
        <f aca="false">IF(A135="","",COUNTIF(K135:AD135,"&gt;0"))</f>
        <v/>
      </c>
      <c r="H135" s="16" t="str">
        <f aca="false">IF(A135="","",IF(G135&gt;1,"Sim",""))</f>
        <v/>
      </c>
      <c r="I135" s="18" t="str">
        <f aca="false">IF(A135="","",SUMIFS(DECKS!$D$2:$D$1201,DECKS!$B$2:$B$1201,A135))</f>
        <v/>
      </c>
      <c r="J135" s="18" t="str">
        <f aca="false">IF(A135="","",MAX(0,I135-C135))</f>
        <v/>
      </c>
      <c r="K135" s="19" t="str">
        <f aca="false">IF(OR($A135="",INDEX(_LEITURA!$Q$2:$Q$21,1)=0),"",SUMIFS(DECKS!$D$2:$D$1201,DECKS!$A$2:$A$1201,INDEX(_LEITURA!$P$2:$P$21,1),DECKS!$B$2:$B$1201,$A135))</f>
        <v/>
      </c>
      <c r="L135" s="19" t="str">
        <f aca="false">IF(OR($A135="",INDEX(_LEITURA!$Q$2:$Q$21,2)=0),"",SUMIFS(DECKS!$D$2:$D$1201,DECKS!$A$2:$A$1201,INDEX(_LEITURA!$P$2:$P$21,2),DECKS!$B$2:$B$1201,$A135))</f>
        <v/>
      </c>
      <c r="M135" s="19" t="str">
        <f aca="false">IF(OR($A135="",INDEX(_LEITURA!$Q$2:$Q$21,3)=0),"",SUMIFS(DECKS!$D$2:$D$1201,DECKS!$A$2:$A$1201,INDEX(_LEITURA!$P$2:$P$21,3),DECKS!$B$2:$B$1201,$A135))</f>
        <v/>
      </c>
      <c r="N135" s="19" t="str">
        <f aca="false">IF(OR($A135="",INDEX(_LEITURA!$Q$2:$Q$21,4)=0),"",SUMIFS(DECKS!$D$2:$D$1201,DECKS!$A$2:$A$1201,INDEX(_LEITURA!$P$2:$P$21,4),DECKS!$B$2:$B$1201,$A135))</f>
        <v/>
      </c>
      <c r="O135" s="19" t="str">
        <f aca="false">IF(OR($A135="",INDEX(_LEITURA!$Q$2:$Q$21,5)=0),"",SUMIFS(DECKS!$D$2:$D$1201,DECKS!$A$2:$A$1201,INDEX(_LEITURA!$P$2:$P$21,5),DECKS!$B$2:$B$1201,$A135))</f>
        <v/>
      </c>
      <c r="P135" s="19" t="str">
        <f aca="false">IF(OR($A135="",INDEX(_LEITURA!$Q$2:$Q$21,6)=0),"",SUMIFS(DECKS!$D$2:$D$1201,DECKS!$A$2:$A$1201,INDEX(_LEITURA!$P$2:$P$21,6),DECKS!$B$2:$B$1201,$A135))</f>
        <v/>
      </c>
      <c r="Q135" s="19" t="str">
        <f aca="false">IF(OR($A135="",INDEX(_LEITURA!$Q$2:$Q$21,7)=0),"",SUMIFS(DECKS!$D$2:$D$1201,DECKS!$A$2:$A$1201,INDEX(_LEITURA!$P$2:$P$21,7),DECKS!$B$2:$B$1201,$A135))</f>
        <v/>
      </c>
      <c r="R135" s="19" t="str">
        <f aca="false">IF(OR($A135="",INDEX(_LEITURA!$Q$2:$Q$21,8)=0),"",SUMIFS(DECKS!$D$2:$D$1201,DECKS!$A$2:$A$1201,INDEX(_LEITURA!$P$2:$P$21,8),DECKS!$B$2:$B$1201,$A135))</f>
        <v/>
      </c>
      <c r="S135" s="19" t="str">
        <f aca="false">IF(OR($A135="",INDEX(_LEITURA!$Q$2:$Q$21,9)=0),"",SUMIFS(DECKS!$D$2:$D$1201,DECKS!$A$2:$A$1201,INDEX(_LEITURA!$P$2:$P$21,9),DECKS!$B$2:$B$1201,$A135))</f>
        <v/>
      </c>
      <c r="T135" s="19" t="str">
        <f aca="false">IF(OR($A135="",INDEX(_LEITURA!$Q$2:$Q$21,10)=0),"",SUMIFS(DECKS!$D$2:$D$1201,DECKS!$A$2:$A$1201,INDEX(_LEITURA!$P$2:$P$21,10),DECKS!$B$2:$B$1201,$A135))</f>
        <v/>
      </c>
      <c r="U135" s="19" t="str">
        <f aca="false">IF(OR($A135="",INDEX(_LEITURA!$Q$2:$Q$21,11)=0),"",SUMIFS(DECKS!$D$2:$D$1201,DECKS!$A$2:$A$1201,INDEX(_LEITURA!$P$2:$P$21,11),DECKS!$B$2:$B$1201,$A135))</f>
        <v/>
      </c>
      <c r="V135" s="19" t="str">
        <f aca="false">IF(OR($A135="",INDEX(_LEITURA!$Q$2:$Q$21,12)=0),"",SUMIFS(DECKS!$D$2:$D$1201,DECKS!$A$2:$A$1201,INDEX(_LEITURA!$P$2:$P$21,12),DECKS!$B$2:$B$1201,$A135))</f>
        <v/>
      </c>
      <c r="W135" s="19" t="str">
        <f aca="false">IF(OR($A135="",INDEX(_LEITURA!$Q$2:$Q$21,13)=0),"",SUMIFS(DECKS!$D$2:$D$1201,DECKS!$A$2:$A$1201,INDEX(_LEITURA!$P$2:$P$21,13),DECKS!$B$2:$B$1201,$A135))</f>
        <v/>
      </c>
      <c r="X135" s="19" t="str">
        <f aca="false">IF(OR($A135="",INDEX(_LEITURA!$Q$2:$Q$21,14)=0),"",SUMIFS(DECKS!$D$2:$D$1201,DECKS!$A$2:$A$1201,INDEX(_LEITURA!$P$2:$P$21,14),DECKS!$B$2:$B$1201,$A135))</f>
        <v/>
      </c>
      <c r="Y135" s="19" t="str">
        <f aca="false">IF(OR($A135="",INDEX(_LEITURA!$Q$2:$Q$21,15)=0),"",SUMIFS(DECKS!$D$2:$D$1201,DECKS!$A$2:$A$1201,INDEX(_LEITURA!$P$2:$P$21,15),DECKS!$B$2:$B$1201,$A135))</f>
        <v/>
      </c>
      <c r="Z135" s="19" t="str">
        <f aca="false">IF(OR($A135="",INDEX(_LEITURA!$Q$2:$Q$21,16)=0),"",SUMIFS(DECKS!$D$2:$D$1201,DECKS!$A$2:$A$1201,INDEX(_LEITURA!$P$2:$P$21,16),DECKS!$B$2:$B$1201,$A135))</f>
        <v/>
      </c>
      <c r="AA135" s="19" t="str">
        <f aca="false">IF(OR($A135="",INDEX(_LEITURA!$Q$2:$Q$21,17)=0),"",SUMIFS(DECKS!$D$2:$D$1201,DECKS!$A$2:$A$1201,INDEX(_LEITURA!$P$2:$P$21,17),DECKS!$B$2:$B$1201,$A135))</f>
        <v/>
      </c>
      <c r="AB135" s="19" t="str">
        <f aca="false">IF(OR($A135="",INDEX(_LEITURA!$Q$2:$Q$21,18)=0),"",SUMIFS(DECKS!$D$2:$D$1201,DECKS!$A$2:$A$1201,INDEX(_LEITURA!$P$2:$P$21,18),DECKS!$B$2:$B$1201,$A135))</f>
        <v/>
      </c>
      <c r="AC135" s="19" t="str">
        <f aca="false">IF(OR($A135="",INDEX(_LEITURA!$Q$2:$Q$21,19)=0),"",SUMIFS(DECKS!$D$2:$D$1201,DECKS!$A$2:$A$1201,INDEX(_LEITURA!$P$2:$P$21,19),DECKS!$B$2:$B$1201,$A135))</f>
        <v/>
      </c>
      <c r="AD135" s="19" t="str">
        <f aca="false">IF(OR($A135="",INDEX(_LEITURA!$Q$2:$Q$21,20)=0),"",SUMIFS(DECKS!$D$2:$D$1201,DECKS!$A$2:$A$1201,INDEX(_LEITURA!$P$2:$P$21,20),DECKS!$B$2:$B$1201,$A135))</f>
        <v/>
      </c>
      <c r="AE135" s="16" t="str">
        <f aca="false">IF(N(E135)&gt;0,MAX(AE$1:AE134)+1,"")</f>
        <v/>
      </c>
      <c r="AF135" s="11" t="str">
        <f aca="false">IF(A135="","",IFERROR(LEFT(A135,FIND("-",A135)-1),A135))</f>
        <v/>
      </c>
      <c r="AG135" s="11" t="str">
        <f aca="false">IF(AF135="","",IF(ISNUMBER(--MID(AF135,1,1)),0,IF(ISNUMBER(--MID(AF135,2,1)),1,IF(ISNUMBER(--MID(AF135,3,1)),2,IF(ISNUMBER(--MID(AF135,4,1)),3,MIN(LEN(AF135),4))))))</f>
        <v/>
      </c>
      <c r="AH135" s="11" t="str">
        <f aca="false">IF(A135="","",LEFT(AF135,AG135)&amp;REPT("0",4-AG135)&amp;RIGHT("000"&amp;IFERROR(VALUE(MID(AF135,AG135+1,9)),0),3)&amp;RIGHT("0000"&amp;IFERROR(VALUE(MID(A135,FIND("-",A135)+1,9)),0),4))</f>
        <v/>
      </c>
      <c r="AI135" s="11" t="str">
        <f aca="false">IF(OR(A135="",N(E135)&lt;=0),"",IF('FALTAS GERAL'!$M$1="Código","K"&amp;AH135&amp;RIGHT("00000"&amp;ROW(),5),IF('FALTAS GERAL'!$M$1="Nome","K"&amp;UPPER(SUBSTITUTE(SUBSTITUTE(SUBSTITUTE(B135,"*",""),"?",""),"~",""))&amp;"0"&amp;AH135&amp;RIGHT("00000"&amp;ROW(),5),IF('FALTAS GERAL'!$M$1="Falta (maior primeiro)","K"&amp;RIGHT("0000"&amp;(9999-E135),4)&amp;AH135&amp;RIGHT("00000"&amp;ROW(),5),IF('FALTAS GERAL'!$M$1="Nº de decks (maior primeiro)","K"&amp;RIGHT("00"&amp;(99-N(G135)),2)&amp;AH135&amp;RIGHT("00000"&amp;ROW(),5),"K"&amp;RIGHT("00000"&amp;ROW(),5))))))</f>
        <v/>
      </c>
      <c r="AJ135" s="11" t="str">
        <f aca="false">IF(AI135="","",COUNTIFS($AI$2:$AI$801,"&lt;"&amp;AI135,$E$2:$E$801,"&gt;0")+1)</f>
        <v/>
      </c>
      <c r="AK135" s="11" t="str">
        <f aca="false">IF(OR(A135="",N(E135)&lt;=0),"",COUNTIFS($AH$2:$AH$801,"&lt;"&amp;AH135,$E$2:$E$801,"&gt;0")+COUNTIFS($AH$2:AH135,AH135,$E$2:E135,"&gt;0"))</f>
        <v/>
      </c>
    </row>
    <row r="136" customFormat="false" ht="15" hidden="false" customHeight="false" outlineLevel="0" collapsed="false">
      <c r="A136" s="11" t="str">
        <f aca="false">IF(INVENTÁRIO!A136="","",INVENTÁRIO!A136)</f>
        <v/>
      </c>
      <c r="B136" s="11" t="str">
        <f aca="false">IF(A136="","",INVENTÁRIO!B136)</f>
        <v/>
      </c>
      <c r="C136" s="16" t="str">
        <f aca="false">IF(A136="","",INVENTÁRIO!C136)</f>
        <v/>
      </c>
      <c r="D136" s="14" t="str">
        <f aca="false">IF(A136="","",MAX(K136:AD136))</f>
        <v/>
      </c>
      <c r="E136" s="14" t="str">
        <f aca="false">IF(A136="","",MAX(0,D136-C136))</f>
        <v/>
      </c>
      <c r="F136" s="16" t="str">
        <f aca="false">IF(A136="","",IF(D136=0,"Fora dos decks",IF(E136=0,"Completo","Falta")))</f>
        <v/>
      </c>
      <c r="G136" s="16" t="str">
        <f aca="false">IF(A136="","",COUNTIF(K136:AD136,"&gt;0"))</f>
        <v/>
      </c>
      <c r="H136" s="16" t="str">
        <f aca="false">IF(A136="","",IF(G136&gt;1,"Sim",""))</f>
        <v/>
      </c>
      <c r="I136" s="18" t="str">
        <f aca="false">IF(A136="","",SUMIFS(DECKS!$D$2:$D$1201,DECKS!$B$2:$B$1201,A136))</f>
        <v/>
      </c>
      <c r="J136" s="18" t="str">
        <f aca="false">IF(A136="","",MAX(0,I136-C136))</f>
        <v/>
      </c>
      <c r="K136" s="19" t="str">
        <f aca="false">IF(OR($A136="",INDEX(_LEITURA!$Q$2:$Q$21,1)=0),"",SUMIFS(DECKS!$D$2:$D$1201,DECKS!$A$2:$A$1201,INDEX(_LEITURA!$P$2:$P$21,1),DECKS!$B$2:$B$1201,$A136))</f>
        <v/>
      </c>
      <c r="L136" s="19" t="str">
        <f aca="false">IF(OR($A136="",INDEX(_LEITURA!$Q$2:$Q$21,2)=0),"",SUMIFS(DECKS!$D$2:$D$1201,DECKS!$A$2:$A$1201,INDEX(_LEITURA!$P$2:$P$21,2),DECKS!$B$2:$B$1201,$A136))</f>
        <v/>
      </c>
      <c r="M136" s="19" t="str">
        <f aca="false">IF(OR($A136="",INDEX(_LEITURA!$Q$2:$Q$21,3)=0),"",SUMIFS(DECKS!$D$2:$D$1201,DECKS!$A$2:$A$1201,INDEX(_LEITURA!$P$2:$P$21,3),DECKS!$B$2:$B$1201,$A136))</f>
        <v/>
      </c>
      <c r="N136" s="19" t="str">
        <f aca="false">IF(OR($A136="",INDEX(_LEITURA!$Q$2:$Q$21,4)=0),"",SUMIFS(DECKS!$D$2:$D$1201,DECKS!$A$2:$A$1201,INDEX(_LEITURA!$P$2:$P$21,4),DECKS!$B$2:$B$1201,$A136))</f>
        <v/>
      </c>
      <c r="O136" s="19" t="str">
        <f aca="false">IF(OR($A136="",INDEX(_LEITURA!$Q$2:$Q$21,5)=0),"",SUMIFS(DECKS!$D$2:$D$1201,DECKS!$A$2:$A$1201,INDEX(_LEITURA!$P$2:$P$21,5),DECKS!$B$2:$B$1201,$A136))</f>
        <v/>
      </c>
      <c r="P136" s="19" t="str">
        <f aca="false">IF(OR($A136="",INDEX(_LEITURA!$Q$2:$Q$21,6)=0),"",SUMIFS(DECKS!$D$2:$D$1201,DECKS!$A$2:$A$1201,INDEX(_LEITURA!$P$2:$P$21,6),DECKS!$B$2:$B$1201,$A136))</f>
        <v/>
      </c>
      <c r="Q136" s="19" t="str">
        <f aca="false">IF(OR($A136="",INDEX(_LEITURA!$Q$2:$Q$21,7)=0),"",SUMIFS(DECKS!$D$2:$D$1201,DECKS!$A$2:$A$1201,INDEX(_LEITURA!$P$2:$P$21,7),DECKS!$B$2:$B$1201,$A136))</f>
        <v/>
      </c>
      <c r="R136" s="19" t="str">
        <f aca="false">IF(OR($A136="",INDEX(_LEITURA!$Q$2:$Q$21,8)=0),"",SUMIFS(DECKS!$D$2:$D$1201,DECKS!$A$2:$A$1201,INDEX(_LEITURA!$P$2:$P$21,8),DECKS!$B$2:$B$1201,$A136))</f>
        <v/>
      </c>
      <c r="S136" s="19" t="str">
        <f aca="false">IF(OR($A136="",INDEX(_LEITURA!$Q$2:$Q$21,9)=0),"",SUMIFS(DECKS!$D$2:$D$1201,DECKS!$A$2:$A$1201,INDEX(_LEITURA!$P$2:$P$21,9),DECKS!$B$2:$B$1201,$A136))</f>
        <v/>
      </c>
      <c r="T136" s="19" t="str">
        <f aca="false">IF(OR($A136="",INDEX(_LEITURA!$Q$2:$Q$21,10)=0),"",SUMIFS(DECKS!$D$2:$D$1201,DECKS!$A$2:$A$1201,INDEX(_LEITURA!$P$2:$P$21,10),DECKS!$B$2:$B$1201,$A136))</f>
        <v/>
      </c>
      <c r="U136" s="19" t="str">
        <f aca="false">IF(OR($A136="",INDEX(_LEITURA!$Q$2:$Q$21,11)=0),"",SUMIFS(DECKS!$D$2:$D$1201,DECKS!$A$2:$A$1201,INDEX(_LEITURA!$P$2:$P$21,11),DECKS!$B$2:$B$1201,$A136))</f>
        <v/>
      </c>
      <c r="V136" s="19" t="str">
        <f aca="false">IF(OR($A136="",INDEX(_LEITURA!$Q$2:$Q$21,12)=0),"",SUMIFS(DECKS!$D$2:$D$1201,DECKS!$A$2:$A$1201,INDEX(_LEITURA!$P$2:$P$21,12),DECKS!$B$2:$B$1201,$A136))</f>
        <v/>
      </c>
      <c r="W136" s="19" t="str">
        <f aca="false">IF(OR($A136="",INDEX(_LEITURA!$Q$2:$Q$21,13)=0),"",SUMIFS(DECKS!$D$2:$D$1201,DECKS!$A$2:$A$1201,INDEX(_LEITURA!$P$2:$P$21,13),DECKS!$B$2:$B$1201,$A136))</f>
        <v/>
      </c>
      <c r="X136" s="19" t="str">
        <f aca="false">IF(OR($A136="",INDEX(_LEITURA!$Q$2:$Q$21,14)=0),"",SUMIFS(DECKS!$D$2:$D$1201,DECKS!$A$2:$A$1201,INDEX(_LEITURA!$P$2:$P$21,14),DECKS!$B$2:$B$1201,$A136))</f>
        <v/>
      </c>
      <c r="Y136" s="19" t="str">
        <f aca="false">IF(OR($A136="",INDEX(_LEITURA!$Q$2:$Q$21,15)=0),"",SUMIFS(DECKS!$D$2:$D$1201,DECKS!$A$2:$A$1201,INDEX(_LEITURA!$P$2:$P$21,15),DECKS!$B$2:$B$1201,$A136))</f>
        <v/>
      </c>
      <c r="Z136" s="19" t="str">
        <f aca="false">IF(OR($A136="",INDEX(_LEITURA!$Q$2:$Q$21,16)=0),"",SUMIFS(DECKS!$D$2:$D$1201,DECKS!$A$2:$A$1201,INDEX(_LEITURA!$P$2:$P$21,16),DECKS!$B$2:$B$1201,$A136))</f>
        <v/>
      </c>
      <c r="AA136" s="19" t="str">
        <f aca="false">IF(OR($A136="",INDEX(_LEITURA!$Q$2:$Q$21,17)=0),"",SUMIFS(DECKS!$D$2:$D$1201,DECKS!$A$2:$A$1201,INDEX(_LEITURA!$P$2:$P$21,17),DECKS!$B$2:$B$1201,$A136))</f>
        <v/>
      </c>
      <c r="AB136" s="19" t="str">
        <f aca="false">IF(OR($A136="",INDEX(_LEITURA!$Q$2:$Q$21,18)=0),"",SUMIFS(DECKS!$D$2:$D$1201,DECKS!$A$2:$A$1201,INDEX(_LEITURA!$P$2:$P$21,18),DECKS!$B$2:$B$1201,$A136))</f>
        <v/>
      </c>
      <c r="AC136" s="19" t="str">
        <f aca="false">IF(OR($A136="",INDEX(_LEITURA!$Q$2:$Q$21,19)=0),"",SUMIFS(DECKS!$D$2:$D$1201,DECKS!$A$2:$A$1201,INDEX(_LEITURA!$P$2:$P$21,19),DECKS!$B$2:$B$1201,$A136))</f>
        <v/>
      </c>
      <c r="AD136" s="19" t="str">
        <f aca="false">IF(OR($A136="",INDEX(_LEITURA!$Q$2:$Q$21,20)=0),"",SUMIFS(DECKS!$D$2:$D$1201,DECKS!$A$2:$A$1201,INDEX(_LEITURA!$P$2:$P$21,20),DECKS!$B$2:$B$1201,$A136))</f>
        <v/>
      </c>
      <c r="AE136" s="16" t="str">
        <f aca="false">IF(N(E136)&gt;0,MAX(AE$1:AE135)+1,"")</f>
        <v/>
      </c>
      <c r="AF136" s="11" t="str">
        <f aca="false">IF(A136="","",IFERROR(LEFT(A136,FIND("-",A136)-1),A136))</f>
        <v/>
      </c>
      <c r="AG136" s="11" t="str">
        <f aca="false">IF(AF136="","",IF(ISNUMBER(--MID(AF136,1,1)),0,IF(ISNUMBER(--MID(AF136,2,1)),1,IF(ISNUMBER(--MID(AF136,3,1)),2,IF(ISNUMBER(--MID(AF136,4,1)),3,MIN(LEN(AF136),4))))))</f>
        <v/>
      </c>
      <c r="AH136" s="11" t="str">
        <f aca="false">IF(A136="","",LEFT(AF136,AG136)&amp;REPT("0",4-AG136)&amp;RIGHT("000"&amp;IFERROR(VALUE(MID(AF136,AG136+1,9)),0),3)&amp;RIGHT("0000"&amp;IFERROR(VALUE(MID(A136,FIND("-",A136)+1,9)),0),4))</f>
        <v/>
      </c>
      <c r="AI136" s="11" t="str">
        <f aca="false">IF(OR(A136="",N(E136)&lt;=0),"",IF('FALTAS GERAL'!$M$1="Código","K"&amp;AH136&amp;RIGHT("00000"&amp;ROW(),5),IF('FALTAS GERAL'!$M$1="Nome","K"&amp;UPPER(SUBSTITUTE(SUBSTITUTE(SUBSTITUTE(B136,"*",""),"?",""),"~",""))&amp;"0"&amp;AH136&amp;RIGHT("00000"&amp;ROW(),5),IF('FALTAS GERAL'!$M$1="Falta (maior primeiro)","K"&amp;RIGHT("0000"&amp;(9999-E136),4)&amp;AH136&amp;RIGHT("00000"&amp;ROW(),5),IF('FALTAS GERAL'!$M$1="Nº de decks (maior primeiro)","K"&amp;RIGHT("00"&amp;(99-N(G136)),2)&amp;AH136&amp;RIGHT("00000"&amp;ROW(),5),"K"&amp;RIGHT("00000"&amp;ROW(),5))))))</f>
        <v/>
      </c>
      <c r="AJ136" s="11" t="str">
        <f aca="false">IF(AI136="","",COUNTIFS($AI$2:$AI$801,"&lt;"&amp;AI136,$E$2:$E$801,"&gt;0")+1)</f>
        <v/>
      </c>
      <c r="AK136" s="11" t="str">
        <f aca="false">IF(OR(A136="",N(E136)&lt;=0),"",COUNTIFS($AH$2:$AH$801,"&lt;"&amp;AH136,$E$2:$E$801,"&gt;0")+COUNTIFS($AH$2:AH136,AH136,$E$2:E136,"&gt;0"))</f>
        <v/>
      </c>
    </row>
    <row r="137" customFormat="false" ht="15" hidden="false" customHeight="false" outlineLevel="0" collapsed="false">
      <c r="A137" s="11" t="str">
        <f aca="false">IF(INVENTÁRIO!A137="","",INVENTÁRIO!A137)</f>
        <v/>
      </c>
      <c r="B137" s="11" t="str">
        <f aca="false">IF(A137="","",INVENTÁRIO!B137)</f>
        <v/>
      </c>
      <c r="C137" s="16" t="str">
        <f aca="false">IF(A137="","",INVENTÁRIO!C137)</f>
        <v/>
      </c>
      <c r="D137" s="14" t="str">
        <f aca="false">IF(A137="","",MAX(K137:AD137))</f>
        <v/>
      </c>
      <c r="E137" s="14" t="str">
        <f aca="false">IF(A137="","",MAX(0,D137-C137))</f>
        <v/>
      </c>
      <c r="F137" s="16" t="str">
        <f aca="false">IF(A137="","",IF(D137=0,"Fora dos decks",IF(E137=0,"Completo","Falta")))</f>
        <v/>
      </c>
      <c r="G137" s="16" t="str">
        <f aca="false">IF(A137="","",COUNTIF(K137:AD137,"&gt;0"))</f>
        <v/>
      </c>
      <c r="H137" s="16" t="str">
        <f aca="false">IF(A137="","",IF(G137&gt;1,"Sim",""))</f>
        <v/>
      </c>
      <c r="I137" s="18" t="str">
        <f aca="false">IF(A137="","",SUMIFS(DECKS!$D$2:$D$1201,DECKS!$B$2:$B$1201,A137))</f>
        <v/>
      </c>
      <c r="J137" s="18" t="str">
        <f aca="false">IF(A137="","",MAX(0,I137-C137))</f>
        <v/>
      </c>
      <c r="K137" s="19" t="str">
        <f aca="false">IF(OR($A137="",INDEX(_LEITURA!$Q$2:$Q$21,1)=0),"",SUMIFS(DECKS!$D$2:$D$1201,DECKS!$A$2:$A$1201,INDEX(_LEITURA!$P$2:$P$21,1),DECKS!$B$2:$B$1201,$A137))</f>
        <v/>
      </c>
      <c r="L137" s="19" t="str">
        <f aca="false">IF(OR($A137="",INDEX(_LEITURA!$Q$2:$Q$21,2)=0),"",SUMIFS(DECKS!$D$2:$D$1201,DECKS!$A$2:$A$1201,INDEX(_LEITURA!$P$2:$P$21,2),DECKS!$B$2:$B$1201,$A137))</f>
        <v/>
      </c>
      <c r="M137" s="19" t="str">
        <f aca="false">IF(OR($A137="",INDEX(_LEITURA!$Q$2:$Q$21,3)=0),"",SUMIFS(DECKS!$D$2:$D$1201,DECKS!$A$2:$A$1201,INDEX(_LEITURA!$P$2:$P$21,3),DECKS!$B$2:$B$1201,$A137))</f>
        <v/>
      </c>
      <c r="N137" s="19" t="str">
        <f aca="false">IF(OR($A137="",INDEX(_LEITURA!$Q$2:$Q$21,4)=0),"",SUMIFS(DECKS!$D$2:$D$1201,DECKS!$A$2:$A$1201,INDEX(_LEITURA!$P$2:$P$21,4),DECKS!$B$2:$B$1201,$A137))</f>
        <v/>
      </c>
      <c r="O137" s="19" t="str">
        <f aca="false">IF(OR($A137="",INDEX(_LEITURA!$Q$2:$Q$21,5)=0),"",SUMIFS(DECKS!$D$2:$D$1201,DECKS!$A$2:$A$1201,INDEX(_LEITURA!$P$2:$P$21,5),DECKS!$B$2:$B$1201,$A137))</f>
        <v/>
      </c>
      <c r="P137" s="19" t="str">
        <f aca="false">IF(OR($A137="",INDEX(_LEITURA!$Q$2:$Q$21,6)=0),"",SUMIFS(DECKS!$D$2:$D$1201,DECKS!$A$2:$A$1201,INDEX(_LEITURA!$P$2:$P$21,6),DECKS!$B$2:$B$1201,$A137))</f>
        <v/>
      </c>
      <c r="Q137" s="19" t="str">
        <f aca="false">IF(OR($A137="",INDEX(_LEITURA!$Q$2:$Q$21,7)=0),"",SUMIFS(DECKS!$D$2:$D$1201,DECKS!$A$2:$A$1201,INDEX(_LEITURA!$P$2:$P$21,7),DECKS!$B$2:$B$1201,$A137))</f>
        <v/>
      </c>
      <c r="R137" s="19" t="str">
        <f aca="false">IF(OR($A137="",INDEX(_LEITURA!$Q$2:$Q$21,8)=0),"",SUMIFS(DECKS!$D$2:$D$1201,DECKS!$A$2:$A$1201,INDEX(_LEITURA!$P$2:$P$21,8),DECKS!$B$2:$B$1201,$A137))</f>
        <v/>
      </c>
      <c r="S137" s="19" t="str">
        <f aca="false">IF(OR($A137="",INDEX(_LEITURA!$Q$2:$Q$21,9)=0),"",SUMIFS(DECKS!$D$2:$D$1201,DECKS!$A$2:$A$1201,INDEX(_LEITURA!$P$2:$P$21,9),DECKS!$B$2:$B$1201,$A137))</f>
        <v/>
      </c>
      <c r="T137" s="19" t="str">
        <f aca="false">IF(OR($A137="",INDEX(_LEITURA!$Q$2:$Q$21,10)=0),"",SUMIFS(DECKS!$D$2:$D$1201,DECKS!$A$2:$A$1201,INDEX(_LEITURA!$P$2:$P$21,10),DECKS!$B$2:$B$1201,$A137))</f>
        <v/>
      </c>
      <c r="U137" s="19" t="str">
        <f aca="false">IF(OR($A137="",INDEX(_LEITURA!$Q$2:$Q$21,11)=0),"",SUMIFS(DECKS!$D$2:$D$1201,DECKS!$A$2:$A$1201,INDEX(_LEITURA!$P$2:$P$21,11),DECKS!$B$2:$B$1201,$A137))</f>
        <v/>
      </c>
      <c r="V137" s="19" t="str">
        <f aca="false">IF(OR($A137="",INDEX(_LEITURA!$Q$2:$Q$21,12)=0),"",SUMIFS(DECKS!$D$2:$D$1201,DECKS!$A$2:$A$1201,INDEX(_LEITURA!$P$2:$P$21,12),DECKS!$B$2:$B$1201,$A137))</f>
        <v/>
      </c>
      <c r="W137" s="19" t="str">
        <f aca="false">IF(OR($A137="",INDEX(_LEITURA!$Q$2:$Q$21,13)=0),"",SUMIFS(DECKS!$D$2:$D$1201,DECKS!$A$2:$A$1201,INDEX(_LEITURA!$P$2:$P$21,13),DECKS!$B$2:$B$1201,$A137))</f>
        <v/>
      </c>
      <c r="X137" s="19" t="str">
        <f aca="false">IF(OR($A137="",INDEX(_LEITURA!$Q$2:$Q$21,14)=0),"",SUMIFS(DECKS!$D$2:$D$1201,DECKS!$A$2:$A$1201,INDEX(_LEITURA!$P$2:$P$21,14),DECKS!$B$2:$B$1201,$A137))</f>
        <v/>
      </c>
      <c r="Y137" s="19" t="str">
        <f aca="false">IF(OR($A137="",INDEX(_LEITURA!$Q$2:$Q$21,15)=0),"",SUMIFS(DECKS!$D$2:$D$1201,DECKS!$A$2:$A$1201,INDEX(_LEITURA!$P$2:$P$21,15),DECKS!$B$2:$B$1201,$A137))</f>
        <v/>
      </c>
      <c r="Z137" s="19" t="str">
        <f aca="false">IF(OR($A137="",INDEX(_LEITURA!$Q$2:$Q$21,16)=0),"",SUMIFS(DECKS!$D$2:$D$1201,DECKS!$A$2:$A$1201,INDEX(_LEITURA!$P$2:$P$21,16),DECKS!$B$2:$B$1201,$A137))</f>
        <v/>
      </c>
      <c r="AA137" s="19" t="str">
        <f aca="false">IF(OR($A137="",INDEX(_LEITURA!$Q$2:$Q$21,17)=0),"",SUMIFS(DECKS!$D$2:$D$1201,DECKS!$A$2:$A$1201,INDEX(_LEITURA!$P$2:$P$21,17),DECKS!$B$2:$B$1201,$A137))</f>
        <v/>
      </c>
      <c r="AB137" s="19" t="str">
        <f aca="false">IF(OR($A137="",INDEX(_LEITURA!$Q$2:$Q$21,18)=0),"",SUMIFS(DECKS!$D$2:$D$1201,DECKS!$A$2:$A$1201,INDEX(_LEITURA!$P$2:$P$21,18),DECKS!$B$2:$B$1201,$A137))</f>
        <v/>
      </c>
      <c r="AC137" s="19" t="str">
        <f aca="false">IF(OR($A137="",INDEX(_LEITURA!$Q$2:$Q$21,19)=0),"",SUMIFS(DECKS!$D$2:$D$1201,DECKS!$A$2:$A$1201,INDEX(_LEITURA!$P$2:$P$21,19),DECKS!$B$2:$B$1201,$A137))</f>
        <v/>
      </c>
      <c r="AD137" s="19" t="str">
        <f aca="false">IF(OR($A137="",INDEX(_LEITURA!$Q$2:$Q$21,20)=0),"",SUMIFS(DECKS!$D$2:$D$1201,DECKS!$A$2:$A$1201,INDEX(_LEITURA!$P$2:$P$21,20),DECKS!$B$2:$B$1201,$A137))</f>
        <v/>
      </c>
      <c r="AE137" s="16" t="str">
        <f aca="false">IF(N(E137)&gt;0,MAX(AE$1:AE136)+1,"")</f>
        <v/>
      </c>
      <c r="AF137" s="11" t="str">
        <f aca="false">IF(A137="","",IFERROR(LEFT(A137,FIND("-",A137)-1),A137))</f>
        <v/>
      </c>
      <c r="AG137" s="11" t="str">
        <f aca="false">IF(AF137="","",IF(ISNUMBER(--MID(AF137,1,1)),0,IF(ISNUMBER(--MID(AF137,2,1)),1,IF(ISNUMBER(--MID(AF137,3,1)),2,IF(ISNUMBER(--MID(AF137,4,1)),3,MIN(LEN(AF137),4))))))</f>
        <v/>
      </c>
      <c r="AH137" s="11" t="str">
        <f aca="false">IF(A137="","",LEFT(AF137,AG137)&amp;REPT("0",4-AG137)&amp;RIGHT("000"&amp;IFERROR(VALUE(MID(AF137,AG137+1,9)),0),3)&amp;RIGHT("0000"&amp;IFERROR(VALUE(MID(A137,FIND("-",A137)+1,9)),0),4))</f>
        <v/>
      </c>
      <c r="AI137" s="11" t="str">
        <f aca="false">IF(OR(A137="",N(E137)&lt;=0),"",IF('FALTAS GERAL'!$M$1="Código","K"&amp;AH137&amp;RIGHT("00000"&amp;ROW(),5),IF('FALTAS GERAL'!$M$1="Nome","K"&amp;UPPER(SUBSTITUTE(SUBSTITUTE(SUBSTITUTE(B137,"*",""),"?",""),"~",""))&amp;"0"&amp;AH137&amp;RIGHT("00000"&amp;ROW(),5),IF('FALTAS GERAL'!$M$1="Falta (maior primeiro)","K"&amp;RIGHT("0000"&amp;(9999-E137),4)&amp;AH137&amp;RIGHT("00000"&amp;ROW(),5),IF('FALTAS GERAL'!$M$1="Nº de decks (maior primeiro)","K"&amp;RIGHT("00"&amp;(99-N(G137)),2)&amp;AH137&amp;RIGHT("00000"&amp;ROW(),5),"K"&amp;RIGHT("00000"&amp;ROW(),5))))))</f>
        <v/>
      </c>
      <c r="AJ137" s="11" t="str">
        <f aca="false">IF(AI137="","",COUNTIFS($AI$2:$AI$801,"&lt;"&amp;AI137,$E$2:$E$801,"&gt;0")+1)</f>
        <v/>
      </c>
      <c r="AK137" s="11" t="str">
        <f aca="false">IF(OR(A137="",N(E137)&lt;=0),"",COUNTIFS($AH$2:$AH$801,"&lt;"&amp;AH137,$E$2:$E$801,"&gt;0")+COUNTIFS($AH$2:AH137,AH137,$E$2:E137,"&gt;0"))</f>
        <v/>
      </c>
    </row>
    <row r="138" customFormat="false" ht="15" hidden="false" customHeight="false" outlineLevel="0" collapsed="false">
      <c r="A138" s="11" t="str">
        <f aca="false">IF(INVENTÁRIO!A138="","",INVENTÁRIO!A138)</f>
        <v/>
      </c>
      <c r="B138" s="11" t="str">
        <f aca="false">IF(A138="","",INVENTÁRIO!B138)</f>
        <v/>
      </c>
      <c r="C138" s="16" t="str">
        <f aca="false">IF(A138="","",INVENTÁRIO!C138)</f>
        <v/>
      </c>
      <c r="D138" s="14" t="str">
        <f aca="false">IF(A138="","",MAX(K138:AD138))</f>
        <v/>
      </c>
      <c r="E138" s="14" t="str">
        <f aca="false">IF(A138="","",MAX(0,D138-C138))</f>
        <v/>
      </c>
      <c r="F138" s="16" t="str">
        <f aca="false">IF(A138="","",IF(D138=0,"Fora dos decks",IF(E138=0,"Completo","Falta")))</f>
        <v/>
      </c>
      <c r="G138" s="16" t="str">
        <f aca="false">IF(A138="","",COUNTIF(K138:AD138,"&gt;0"))</f>
        <v/>
      </c>
      <c r="H138" s="16" t="str">
        <f aca="false">IF(A138="","",IF(G138&gt;1,"Sim",""))</f>
        <v/>
      </c>
      <c r="I138" s="18" t="str">
        <f aca="false">IF(A138="","",SUMIFS(DECKS!$D$2:$D$1201,DECKS!$B$2:$B$1201,A138))</f>
        <v/>
      </c>
      <c r="J138" s="18" t="str">
        <f aca="false">IF(A138="","",MAX(0,I138-C138))</f>
        <v/>
      </c>
      <c r="K138" s="19" t="str">
        <f aca="false">IF(OR($A138="",INDEX(_LEITURA!$Q$2:$Q$21,1)=0),"",SUMIFS(DECKS!$D$2:$D$1201,DECKS!$A$2:$A$1201,INDEX(_LEITURA!$P$2:$P$21,1),DECKS!$B$2:$B$1201,$A138))</f>
        <v/>
      </c>
      <c r="L138" s="19" t="str">
        <f aca="false">IF(OR($A138="",INDEX(_LEITURA!$Q$2:$Q$21,2)=0),"",SUMIFS(DECKS!$D$2:$D$1201,DECKS!$A$2:$A$1201,INDEX(_LEITURA!$P$2:$P$21,2),DECKS!$B$2:$B$1201,$A138))</f>
        <v/>
      </c>
      <c r="M138" s="19" t="str">
        <f aca="false">IF(OR($A138="",INDEX(_LEITURA!$Q$2:$Q$21,3)=0),"",SUMIFS(DECKS!$D$2:$D$1201,DECKS!$A$2:$A$1201,INDEX(_LEITURA!$P$2:$P$21,3),DECKS!$B$2:$B$1201,$A138))</f>
        <v/>
      </c>
      <c r="N138" s="19" t="str">
        <f aca="false">IF(OR($A138="",INDEX(_LEITURA!$Q$2:$Q$21,4)=0),"",SUMIFS(DECKS!$D$2:$D$1201,DECKS!$A$2:$A$1201,INDEX(_LEITURA!$P$2:$P$21,4),DECKS!$B$2:$B$1201,$A138))</f>
        <v/>
      </c>
      <c r="O138" s="19" t="str">
        <f aca="false">IF(OR($A138="",INDEX(_LEITURA!$Q$2:$Q$21,5)=0),"",SUMIFS(DECKS!$D$2:$D$1201,DECKS!$A$2:$A$1201,INDEX(_LEITURA!$P$2:$P$21,5),DECKS!$B$2:$B$1201,$A138))</f>
        <v/>
      </c>
      <c r="P138" s="19" t="str">
        <f aca="false">IF(OR($A138="",INDEX(_LEITURA!$Q$2:$Q$21,6)=0),"",SUMIFS(DECKS!$D$2:$D$1201,DECKS!$A$2:$A$1201,INDEX(_LEITURA!$P$2:$P$21,6),DECKS!$B$2:$B$1201,$A138))</f>
        <v/>
      </c>
      <c r="Q138" s="19" t="str">
        <f aca="false">IF(OR($A138="",INDEX(_LEITURA!$Q$2:$Q$21,7)=0),"",SUMIFS(DECKS!$D$2:$D$1201,DECKS!$A$2:$A$1201,INDEX(_LEITURA!$P$2:$P$21,7),DECKS!$B$2:$B$1201,$A138))</f>
        <v/>
      </c>
      <c r="R138" s="19" t="str">
        <f aca="false">IF(OR($A138="",INDEX(_LEITURA!$Q$2:$Q$21,8)=0),"",SUMIFS(DECKS!$D$2:$D$1201,DECKS!$A$2:$A$1201,INDEX(_LEITURA!$P$2:$P$21,8),DECKS!$B$2:$B$1201,$A138))</f>
        <v/>
      </c>
      <c r="S138" s="19" t="str">
        <f aca="false">IF(OR($A138="",INDEX(_LEITURA!$Q$2:$Q$21,9)=0),"",SUMIFS(DECKS!$D$2:$D$1201,DECKS!$A$2:$A$1201,INDEX(_LEITURA!$P$2:$P$21,9),DECKS!$B$2:$B$1201,$A138))</f>
        <v/>
      </c>
      <c r="T138" s="19" t="str">
        <f aca="false">IF(OR($A138="",INDEX(_LEITURA!$Q$2:$Q$21,10)=0),"",SUMIFS(DECKS!$D$2:$D$1201,DECKS!$A$2:$A$1201,INDEX(_LEITURA!$P$2:$P$21,10),DECKS!$B$2:$B$1201,$A138))</f>
        <v/>
      </c>
      <c r="U138" s="19" t="str">
        <f aca="false">IF(OR($A138="",INDEX(_LEITURA!$Q$2:$Q$21,11)=0),"",SUMIFS(DECKS!$D$2:$D$1201,DECKS!$A$2:$A$1201,INDEX(_LEITURA!$P$2:$P$21,11),DECKS!$B$2:$B$1201,$A138))</f>
        <v/>
      </c>
      <c r="V138" s="19" t="str">
        <f aca="false">IF(OR($A138="",INDEX(_LEITURA!$Q$2:$Q$21,12)=0),"",SUMIFS(DECKS!$D$2:$D$1201,DECKS!$A$2:$A$1201,INDEX(_LEITURA!$P$2:$P$21,12),DECKS!$B$2:$B$1201,$A138))</f>
        <v/>
      </c>
      <c r="W138" s="19" t="str">
        <f aca="false">IF(OR($A138="",INDEX(_LEITURA!$Q$2:$Q$21,13)=0),"",SUMIFS(DECKS!$D$2:$D$1201,DECKS!$A$2:$A$1201,INDEX(_LEITURA!$P$2:$P$21,13),DECKS!$B$2:$B$1201,$A138))</f>
        <v/>
      </c>
      <c r="X138" s="19" t="str">
        <f aca="false">IF(OR($A138="",INDEX(_LEITURA!$Q$2:$Q$21,14)=0),"",SUMIFS(DECKS!$D$2:$D$1201,DECKS!$A$2:$A$1201,INDEX(_LEITURA!$P$2:$P$21,14),DECKS!$B$2:$B$1201,$A138))</f>
        <v/>
      </c>
      <c r="Y138" s="19" t="str">
        <f aca="false">IF(OR($A138="",INDEX(_LEITURA!$Q$2:$Q$21,15)=0),"",SUMIFS(DECKS!$D$2:$D$1201,DECKS!$A$2:$A$1201,INDEX(_LEITURA!$P$2:$P$21,15),DECKS!$B$2:$B$1201,$A138))</f>
        <v/>
      </c>
      <c r="Z138" s="19" t="str">
        <f aca="false">IF(OR($A138="",INDEX(_LEITURA!$Q$2:$Q$21,16)=0),"",SUMIFS(DECKS!$D$2:$D$1201,DECKS!$A$2:$A$1201,INDEX(_LEITURA!$P$2:$P$21,16),DECKS!$B$2:$B$1201,$A138))</f>
        <v/>
      </c>
      <c r="AA138" s="19" t="str">
        <f aca="false">IF(OR($A138="",INDEX(_LEITURA!$Q$2:$Q$21,17)=0),"",SUMIFS(DECKS!$D$2:$D$1201,DECKS!$A$2:$A$1201,INDEX(_LEITURA!$P$2:$P$21,17),DECKS!$B$2:$B$1201,$A138))</f>
        <v/>
      </c>
      <c r="AB138" s="19" t="str">
        <f aca="false">IF(OR($A138="",INDEX(_LEITURA!$Q$2:$Q$21,18)=0),"",SUMIFS(DECKS!$D$2:$D$1201,DECKS!$A$2:$A$1201,INDEX(_LEITURA!$P$2:$P$21,18),DECKS!$B$2:$B$1201,$A138))</f>
        <v/>
      </c>
      <c r="AC138" s="19" t="str">
        <f aca="false">IF(OR($A138="",INDEX(_LEITURA!$Q$2:$Q$21,19)=0),"",SUMIFS(DECKS!$D$2:$D$1201,DECKS!$A$2:$A$1201,INDEX(_LEITURA!$P$2:$P$21,19),DECKS!$B$2:$B$1201,$A138))</f>
        <v/>
      </c>
      <c r="AD138" s="19" t="str">
        <f aca="false">IF(OR($A138="",INDEX(_LEITURA!$Q$2:$Q$21,20)=0),"",SUMIFS(DECKS!$D$2:$D$1201,DECKS!$A$2:$A$1201,INDEX(_LEITURA!$P$2:$P$21,20),DECKS!$B$2:$B$1201,$A138))</f>
        <v/>
      </c>
      <c r="AE138" s="16" t="str">
        <f aca="false">IF(N(E138)&gt;0,MAX(AE$1:AE137)+1,"")</f>
        <v/>
      </c>
      <c r="AF138" s="11" t="str">
        <f aca="false">IF(A138="","",IFERROR(LEFT(A138,FIND("-",A138)-1),A138))</f>
        <v/>
      </c>
      <c r="AG138" s="11" t="str">
        <f aca="false">IF(AF138="","",IF(ISNUMBER(--MID(AF138,1,1)),0,IF(ISNUMBER(--MID(AF138,2,1)),1,IF(ISNUMBER(--MID(AF138,3,1)),2,IF(ISNUMBER(--MID(AF138,4,1)),3,MIN(LEN(AF138),4))))))</f>
        <v/>
      </c>
      <c r="AH138" s="11" t="str">
        <f aca="false">IF(A138="","",LEFT(AF138,AG138)&amp;REPT("0",4-AG138)&amp;RIGHT("000"&amp;IFERROR(VALUE(MID(AF138,AG138+1,9)),0),3)&amp;RIGHT("0000"&amp;IFERROR(VALUE(MID(A138,FIND("-",A138)+1,9)),0),4))</f>
        <v/>
      </c>
      <c r="AI138" s="11" t="str">
        <f aca="false">IF(OR(A138="",N(E138)&lt;=0),"",IF('FALTAS GERAL'!$M$1="Código","K"&amp;AH138&amp;RIGHT("00000"&amp;ROW(),5),IF('FALTAS GERAL'!$M$1="Nome","K"&amp;UPPER(SUBSTITUTE(SUBSTITUTE(SUBSTITUTE(B138,"*",""),"?",""),"~",""))&amp;"0"&amp;AH138&amp;RIGHT("00000"&amp;ROW(),5),IF('FALTAS GERAL'!$M$1="Falta (maior primeiro)","K"&amp;RIGHT("0000"&amp;(9999-E138),4)&amp;AH138&amp;RIGHT("00000"&amp;ROW(),5),IF('FALTAS GERAL'!$M$1="Nº de decks (maior primeiro)","K"&amp;RIGHT("00"&amp;(99-N(G138)),2)&amp;AH138&amp;RIGHT("00000"&amp;ROW(),5),"K"&amp;RIGHT("00000"&amp;ROW(),5))))))</f>
        <v/>
      </c>
      <c r="AJ138" s="11" t="str">
        <f aca="false">IF(AI138="","",COUNTIFS($AI$2:$AI$801,"&lt;"&amp;AI138,$E$2:$E$801,"&gt;0")+1)</f>
        <v/>
      </c>
      <c r="AK138" s="11" t="str">
        <f aca="false">IF(OR(A138="",N(E138)&lt;=0),"",COUNTIFS($AH$2:$AH$801,"&lt;"&amp;AH138,$E$2:$E$801,"&gt;0")+COUNTIFS($AH$2:AH138,AH138,$E$2:E138,"&gt;0"))</f>
        <v/>
      </c>
    </row>
    <row r="139" customFormat="false" ht="15" hidden="false" customHeight="false" outlineLevel="0" collapsed="false">
      <c r="A139" s="11" t="str">
        <f aca="false">IF(INVENTÁRIO!A139="","",INVENTÁRIO!A139)</f>
        <v/>
      </c>
      <c r="B139" s="11" t="str">
        <f aca="false">IF(A139="","",INVENTÁRIO!B139)</f>
        <v/>
      </c>
      <c r="C139" s="16" t="str">
        <f aca="false">IF(A139="","",INVENTÁRIO!C139)</f>
        <v/>
      </c>
      <c r="D139" s="14" t="str">
        <f aca="false">IF(A139="","",MAX(K139:AD139))</f>
        <v/>
      </c>
      <c r="E139" s="14" t="str">
        <f aca="false">IF(A139="","",MAX(0,D139-C139))</f>
        <v/>
      </c>
      <c r="F139" s="16" t="str">
        <f aca="false">IF(A139="","",IF(D139=0,"Fora dos decks",IF(E139=0,"Completo","Falta")))</f>
        <v/>
      </c>
      <c r="G139" s="16" t="str">
        <f aca="false">IF(A139="","",COUNTIF(K139:AD139,"&gt;0"))</f>
        <v/>
      </c>
      <c r="H139" s="16" t="str">
        <f aca="false">IF(A139="","",IF(G139&gt;1,"Sim",""))</f>
        <v/>
      </c>
      <c r="I139" s="18" t="str">
        <f aca="false">IF(A139="","",SUMIFS(DECKS!$D$2:$D$1201,DECKS!$B$2:$B$1201,A139))</f>
        <v/>
      </c>
      <c r="J139" s="18" t="str">
        <f aca="false">IF(A139="","",MAX(0,I139-C139))</f>
        <v/>
      </c>
      <c r="K139" s="19" t="str">
        <f aca="false">IF(OR($A139="",INDEX(_LEITURA!$Q$2:$Q$21,1)=0),"",SUMIFS(DECKS!$D$2:$D$1201,DECKS!$A$2:$A$1201,INDEX(_LEITURA!$P$2:$P$21,1),DECKS!$B$2:$B$1201,$A139))</f>
        <v/>
      </c>
      <c r="L139" s="19" t="str">
        <f aca="false">IF(OR($A139="",INDEX(_LEITURA!$Q$2:$Q$21,2)=0),"",SUMIFS(DECKS!$D$2:$D$1201,DECKS!$A$2:$A$1201,INDEX(_LEITURA!$P$2:$P$21,2),DECKS!$B$2:$B$1201,$A139))</f>
        <v/>
      </c>
      <c r="M139" s="19" t="str">
        <f aca="false">IF(OR($A139="",INDEX(_LEITURA!$Q$2:$Q$21,3)=0),"",SUMIFS(DECKS!$D$2:$D$1201,DECKS!$A$2:$A$1201,INDEX(_LEITURA!$P$2:$P$21,3),DECKS!$B$2:$B$1201,$A139))</f>
        <v/>
      </c>
      <c r="N139" s="19" t="str">
        <f aca="false">IF(OR($A139="",INDEX(_LEITURA!$Q$2:$Q$21,4)=0),"",SUMIFS(DECKS!$D$2:$D$1201,DECKS!$A$2:$A$1201,INDEX(_LEITURA!$P$2:$P$21,4),DECKS!$B$2:$B$1201,$A139))</f>
        <v/>
      </c>
      <c r="O139" s="19" t="str">
        <f aca="false">IF(OR($A139="",INDEX(_LEITURA!$Q$2:$Q$21,5)=0),"",SUMIFS(DECKS!$D$2:$D$1201,DECKS!$A$2:$A$1201,INDEX(_LEITURA!$P$2:$P$21,5),DECKS!$B$2:$B$1201,$A139))</f>
        <v/>
      </c>
      <c r="P139" s="19" t="str">
        <f aca="false">IF(OR($A139="",INDEX(_LEITURA!$Q$2:$Q$21,6)=0),"",SUMIFS(DECKS!$D$2:$D$1201,DECKS!$A$2:$A$1201,INDEX(_LEITURA!$P$2:$P$21,6),DECKS!$B$2:$B$1201,$A139))</f>
        <v/>
      </c>
      <c r="Q139" s="19" t="str">
        <f aca="false">IF(OR($A139="",INDEX(_LEITURA!$Q$2:$Q$21,7)=0),"",SUMIFS(DECKS!$D$2:$D$1201,DECKS!$A$2:$A$1201,INDEX(_LEITURA!$P$2:$P$21,7),DECKS!$B$2:$B$1201,$A139))</f>
        <v/>
      </c>
      <c r="R139" s="19" t="str">
        <f aca="false">IF(OR($A139="",INDEX(_LEITURA!$Q$2:$Q$21,8)=0),"",SUMIFS(DECKS!$D$2:$D$1201,DECKS!$A$2:$A$1201,INDEX(_LEITURA!$P$2:$P$21,8),DECKS!$B$2:$B$1201,$A139))</f>
        <v/>
      </c>
      <c r="S139" s="19" t="str">
        <f aca="false">IF(OR($A139="",INDEX(_LEITURA!$Q$2:$Q$21,9)=0),"",SUMIFS(DECKS!$D$2:$D$1201,DECKS!$A$2:$A$1201,INDEX(_LEITURA!$P$2:$P$21,9),DECKS!$B$2:$B$1201,$A139))</f>
        <v/>
      </c>
      <c r="T139" s="19" t="str">
        <f aca="false">IF(OR($A139="",INDEX(_LEITURA!$Q$2:$Q$21,10)=0),"",SUMIFS(DECKS!$D$2:$D$1201,DECKS!$A$2:$A$1201,INDEX(_LEITURA!$P$2:$P$21,10),DECKS!$B$2:$B$1201,$A139))</f>
        <v/>
      </c>
      <c r="U139" s="19" t="str">
        <f aca="false">IF(OR($A139="",INDEX(_LEITURA!$Q$2:$Q$21,11)=0),"",SUMIFS(DECKS!$D$2:$D$1201,DECKS!$A$2:$A$1201,INDEX(_LEITURA!$P$2:$P$21,11),DECKS!$B$2:$B$1201,$A139))</f>
        <v/>
      </c>
      <c r="V139" s="19" t="str">
        <f aca="false">IF(OR($A139="",INDEX(_LEITURA!$Q$2:$Q$21,12)=0),"",SUMIFS(DECKS!$D$2:$D$1201,DECKS!$A$2:$A$1201,INDEX(_LEITURA!$P$2:$P$21,12),DECKS!$B$2:$B$1201,$A139))</f>
        <v/>
      </c>
      <c r="W139" s="19" t="str">
        <f aca="false">IF(OR($A139="",INDEX(_LEITURA!$Q$2:$Q$21,13)=0),"",SUMIFS(DECKS!$D$2:$D$1201,DECKS!$A$2:$A$1201,INDEX(_LEITURA!$P$2:$P$21,13),DECKS!$B$2:$B$1201,$A139))</f>
        <v/>
      </c>
      <c r="X139" s="19" t="str">
        <f aca="false">IF(OR($A139="",INDEX(_LEITURA!$Q$2:$Q$21,14)=0),"",SUMIFS(DECKS!$D$2:$D$1201,DECKS!$A$2:$A$1201,INDEX(_LEITURA!$P$2:$P$21,14),DECKS!$B$2:$B$1201,$A139))</f>
        <v/>
      </c>
      <c r="Y139" s="19" t="str">
        <f aca="false">IF(OR($A139="",INDEX(_LEITURA!$Q$2:$Q$21,15)=0),"",SUMIFS(DECKS!$D$2:$D$1201,DECKS!$A$2:$A$1201,INDEX(_LEITURA!$P$2:$P$21,15),DECKS!$B$2:$B$1201,$A139))</f>
        <v/>
      </c>
      <c r="Z139" s="19" t="str">
        <f aca="false">IF(OR($A139="",INDEX(_LEITURA!$Q$2:$Q$21,16)=0),"",SUMIFS(DECKS!$D$2:$D$1201,DECKS!$A$2:$A$1201,INDEX(_LEITURA!$P$2:$P$21,16),DECKS!$B$2:$B$1201,$A139))</f>
        <v/>
      </c>
      <c r="AA139" s="19" t="str">
        <f aca="false">IF(OR($A139="",INDEX(_LEITURA!$Q$2:$Q$21,17)=0),"",SUMIFS(DECKS!$D$2:$D$1201,DECKS!$A$2:$A$1201,INDEX(_LEITURA!$P$2:$P$21,17),DECKS!$B$2:$B$1201,$A139))</f>
        <v/>
      </c>
      <c r="AB139" s="19" t="str">
        <f aca="false">IF(OR($A139="",INDEX(_LEITURA!$Q$2:$Q$21,18)=0),"",SUMIFS(DECKS!$D$2:$D$1201,DECKS!$A$2:$A$1201,INDEX(_LEITURA!$P$2:$P$21,18),DECKS!$B$2:$B$1201,$A139))</f>
        <v/>
      </c>
      <c r="AC139" s="19" t="str">
        <f aca="false">IF(OR($A139="",INDEX(_LEITURA!$Q$2:$Q$21,19)=0),"",SUMIFS(DECKS!$D$2:$D$1201,DECKS!$A$2:$A$1201,INDEX(_LEITURA!$P$2:$P$21,19),DECKS!$B$2:$B$1201,$A139))</f>
        <v/>
      </c>
      <c r="AD139" s="19" t="str">
        <f aca="false">IF(OR($A139="",INDEX(_LEITURA!$Q$2:$Q$21,20)=0),"",SUMIFS(DECKS!$D$2:$D$1201,DECKS!$A$2:$A$1201,INDEX(_LEITURA!$P$2:$P$21,20),DECKS!$B$2:$B$1201,$A139))</f>
        <v/>
      </c>
      <c r="AE139" s="16" t="str">
        <f aca="false">IF(N(E139)&gt;0,MAX(AE$1:AE138)+1,"")</f>
        <v/>
      </c>
      <c r="AF139" s="11" t="str">
        <f aca="false">IF(A139="","",IFERROR(LEFT(A139,FIND("-",A139)-1),A139))</f>
        <v/>
      </c>
      <c r="AG139" s="11" t="str">
        <f aca="false">IF(AF139="","",IF(ISNUMBER(--MID(AF139,1,1)),0,IF(ISNUMBER(--MID(AF139,2,1)),1,IF(ISNUMBER(--MID(AF139,3,1)),2,IF(ISNUMBER(--MID(AF139,4,1)),3,MIN(LEN(AF139),4))))))</f>
        <v/>
      </c>
      <c r="AH139" s="11" t="str">
        <f aca="false">IF(A139="","",LEFT(AF139,AG139)&amp;REPT("0",4-AG139)&amp;RIGHT("000"&amp;IFERROR(VALUE(MID(AF139,AG139+1,9)),0),3)&amp;RIGHT("0000"&amp;IFERROR(VALUE(MID(A139,FIND("-",A139)+1,9)),0),4))</f>
        <v/>
      </c>
      <c r="AI139" s="11" t="str">
        <f aca="false">IF(OR(A139="",N(E139)&lt;=0),"",IF('FALTAS GERAL'!$M$1="Código","K"&amp;AH139&amp;RIGHT("00000"&amp;ROW(),5),IF('FALTAS GERAL'!$M$1="Nome","K"&amp;UPPER(SUBSTITUTE(SUBSTITUTE(SUBSTITUTE(B139,"*",""),"?",""),"~",""))&amp;"0"&amp;AH139&amp;RIGHT("00000"&amp;ROW(),5),IF('FALTAS GERAL'!$M$1="Falta (maior primeiro)","K"&amp;RIGHT("0000"&amp;(9999-E139),4)&amp;AH139&amp;RIGHT("00000"&amp;ROW(),5),IF('FALTAS GERAL'!$M$1="Nº de decks (maior primeiro)","K"&amp;RIGHT("00"&amp;(99-N(G139)),2)&amp;AH139&amp;RIGHT("00000"&amp;ROW(),5),"K"&amp;RIGHT("00000"&amp;ROW(),5))))))</f>
        <v/>
      </c>
      <c r="AJ139" s="11" t="str">
        <f aca="false">IF(AI139="","",COUNTIFS($AI$2:$AI$801,"&lt;"&amp;AI139,$E$2:$E$801,"&gt;0")+1)</f>
        <v/>
      </c>
      <c r="AK139" s="11" t="str">
        <f aca="false">IF(OR(A139="",N(E139)&lt;=0),"",COUNTIFS($AH$2:$AH$801,"&lt;"&amp;AH139,$E$2:$E$801,"&gt;0")+COUNTIFS($AH$2:AH139,AH139,$E$2:E139,"&gt;0"))</f>
        <v/>
      </c>
    </row>
    <row r="140" customFormat="false" ht="15" hidden="false" customHeight="false" outlineLevel="0" collapsed="false">
      <c r="A140" s="11" t="str">
        <f aca="false">IF(INVENTÁRIO!A140="","",INVENTÁRIO!A140)</f>
        <v/>
      </c>
      <c r="B140" s="11" t="str">
        <f aca="false">IF(A140="","",INVENTÁRIO!B140)</f>
        <v/>
      </c>
      <c r="C140" s="16" t="str">
        <f aca="false">IF(A140="","",INVENTÁRIO!C140)</f>
        <v/>
      </c>
      <c r="D140" s="14" t="str">
        <f aca="false">IF(A140="","",MAX(K140:AD140))</f>
        <v/>
      </c>
      <c r="E140" s="14" t="str">
        <f aca="false">IF(A140="","",MAX(0,D140-C140))</f>
        <v/>
      </c>
      <c r="F140" s="16" t="str">
        <f aca="false">IF(A140="","",IF(D140=0,"Fora dos decks",IF(E140=0,"Completo","Falta")))</f>
        <v/>
      </c>
      <c r="G140" s="16" t="str">
        <f aca="false">IF(A140="","",COUNTIF(K140:AD140,"&gt;0"))</f>
        <v/>
      </c>
      <c r="H140" s="16" t="str">
        <f aca="false">IF(A140="","",IF(G140&gt;1,"Sim",""))</f>
        <v/>
      </c>
      <c r="I140" s="18" t="str">
        <f aca="false">IF(A140="","",SUMIFS(DECKS!$D$2:$D$1201,DECKS!$B$2:$B$1201,A140))</f>
        <v/>
      </c>
      <c r="J140" s="18" t="str">
        <f aca="false">IF(A140="","",MAX(0,I140-C140))</f>
        <v/>
      </c>
      <c r="K140" s="19" t="str">
        <f aca="false">IF(OR($A140="",INDEX(_LEITURA!$Q$2:$Q$21,1)=0),"",SUMIFS(DECKS!$D$2:$D$1201,DECKS!$A$2:$A$1201,INDEX(_LEITURA!$P$2:$P$21,1),DECKS!$B$2:$B$1201,$A140))</f>
        <v/>
      </c>
      <c r="L140" s="19" t="str">
        <f aca="false">IF(OR($A140="",INDEX(_LEITURA!$Q$2:$Q$21,2)=0),"",SUMIFS(DECKS!$D$2:$D$1201,DECKS!$A$2:$A$1201,INDEX(_LEITURA!$P$2:$P$21,2),DECKS!$B$2:$B$1201,$A140))</f>
        <v/>
      </c>
      <c r="M140" s="19" t="str">
        <f aca="false">IF(OR($A140="",INDEX(_LEITURA!$Q$2:$Q$21,3)=0),"",SUMIFS(DECKS!$D$2:$D$1201,DECKS!$A$2:$A$1201,INDEX(_LEITURA!$P$2:$P$21,3),DECKS!$B$2:$B$1201,$A140))</f>
        <v/>
      </c>
      <c r="N140" s="19" t="str">
        <f aca="false">IF(OR($A140="",INDEX(_LEITURA!$Q$2:$Q$21,4)=0),"",SUMIFS(DECKS!$D$2:$D$1201,DECKS!$A$2:$A$1201,INDEX(_LEITURA!$P$2:$P$21,4),DECKS!$B$2:$B$1201,$A140))</f>
        <v/>
      </c>
      <c r="O140" s="19" t="str">
        <f aca="false">IF(OR($A140="",INDEX(_LEITURA!$Q$2:$Q$21,5)=0),"",SUMIFS(DECKS!$D$2:$D$1201,DECKS!$A$2:$A$1201,INDEX(_LEITURA!$P$2:$P$21,5),DECKS!$B$2:$B$1201,$A140))</f>
        <v/>
      </c>
      <c r="P140" s="19" t="str">
        <f aca="false">IF(OR($A140="",INDEX(_LEITURA!$Q$2:$Q$21,6)=0),"",SUMIFS(DECKS!$D$2:$D$1201,DECKS!$A$2:$A$1201,INDEX(_LEITURA!$P$2:$P$21,6),DECKS!$B$2:$B$1201,$A140))</f>
        <v/>
      </c>
      <c r="Q140" s="19" t="str">
        <f aca="false">IF(OR($A140="",INDEX(_LEITURA!$Q$2:$Q$21,7)=0),"",SUMIFS(DECKS!$D$2:$D$1201,DECKS!$A$2:$A$1201,INDEX(_LEITURA!$P$2:$P$21,7),DECKS!$B$2:$B$1201,$A140))</f>
        <v/>
      </c>
      <c r="R140" s="19" t="str">
        <f aca="false">IF(OR($A140="",INDEX(_LEITURA!$Q$2:$Q$21,8)=0),"",SUMIFS(DECKS!$D$2:$D$1201,DECKS!$A$2:$A$1201,INDEX(_LEITURA!$P$2:$P$21,8),DECKS!$B$2:$B$1201,$A140))</f>
        <v/>
      </c>
      <c r="S140" s="19" t="str">
        <f aca="false">IF(OR($A140="",INDEX(_LEITURA!$Q$2:$Q$21,9)=0),"",SUMIFS(DECKS!$D$2:$D$1201,DECKS!$A$2:$A$1201,INDEX(_LEITURA!$P$2:$P$21,9),DECKS!$B$2:$B$1201,$A140))</f>
        <v/>
      </c>
      <c r="T140" s="19" t="str">
        <f aca="false">IF(OR($A140="",INDEX(_LEITURA!$Q$2:$Q$21,10)=0),"",SUMIFS(DECKS!$D$2:$D$1201,DECKS!$A$2:$A$1201,INDEX(_LEITURA!$P$2:$P$21,10),DECKS!$B$2:$B$1201,$A140))</f>
        <v/>
      </c>
      <c r="U140" s="19" t="str">
        <f aca="false">IF(OR($A140="",INDEX(_LEITURA!$Q$2:$Q$21,11)=0),"",SUMIFS(DECKS!$D$2:$D$1201,DECKS!$A$2:$A$1201,INDEX(_LEITURA!$P$2:$P$21,11),DECKS!$B$2:$B$1201,$A140))</f>
        <v/>
      </c>
      <c r="V140" s="19" t="str">
        <f aca="false">IF(OR($A140="",INDEX(_LEITURA!$Q$2:$Q$21,12)=0),"",SUMIFS(DECKS!$D$2:$D$1201,DECKS!$A$2:$A$1201,INDEX(_LEITURA!$P$2:$P$21,12),DECKS!$B$2:$B$1201,$A140))</f>
        <v/>
      </c>
      <c r="W140" s="19" t="str">
        <f aca="false">IF(OR($A140="",INDEX(_LEITURA!$Q$2:$Q$21,13)=0),"",SUMIFS(DECKS!$D$2:$D$1201,DECKS!$A$2:$A$1201,INDEX(_LEITURA!$P$2:$P$21,13),DECKS!$B$2:$B$1201,$A140))</f>
        <v/>
      </c>
      <c r="X140" s="19" t="str">
        <f aca="false">IF(OR($A140="",INDEX(_LEITURA!$Q$2:$Q$21,14)=0),"",SUMIFS(DECKS!$D$2:$D$1201,DECKS!$A$2:$A$1201,INDEX(_LEITURA!$P$2:$P$21,14),DECKS!$B$2:$B$1201,$A140))</f>
        <v/>
      </c>
      <c r="Y140" s="19" t="str">
        <f aca="false">IF(OR($A140="",INDEX(_LEITURA!$Q$2:$Q$21,15)=0),"",SUMIFS(DECKS!$D$2:$D$1201,DECKS!$A$2:$A$1201,INDEX(_LEITURA!$P$2:$P$21,15),DECKS!$B$2:$B$1201,$A140))</f>
        <v/>
      </c>
      <c r="Z140" s="19" t="str">
        <f aca="false">IF(OR($A140="",INDEX(_LEITURA!$Q$2:$Q$21,16)=0),"",SUMIFS(DECKS!$D$2:$D$1201,DECKS!$A$2:$A$1201,INDEX(_LEITURA!$P$2:$P$21,16),DECKS!$B$2:$B$1201,$A140))</f>
        <v/>
      </c>
      <c r="AA140" s="19" t="str">
        <f aca="false">IF(OR($A140="",INDEX(_LEITURA!$Q$2:$Q$21,17)=0),"",SUMIFS(DECKS!$D$2:$D$1201,DECKS!$A$2:$A$1201,INDEX(_LEITURA!$P$2:$P$21,17),DECKS!$B$2:$B$1201,$A140))</f>
        <v/>
      </c>
      <c r="AB140" s="19" t="str">
        <f aca="false">IF(OR($A140="",INDEX(_LEITURA!$Q$2:$Q$21,18)=0),"",SUMIFS(DECKS!$D$2:$D$1201,DECKS!$A$2:$A$1201,INDEX(_LEITURA!$P$2:$P$21,18),DECKS!$B$2:$B$1201,$A140))</f>
        <v/>
      </c>
      <c r="AC140" s="19" t="str">
        <f aca="false">IF(OR($A140="",INDEX(_LEITURA!$Q$2:$Q$21,19)=0),"",SUMIFS(DECKS!$D$2:$D$1201,DECKS!$A$2:$A$1201,INDEX(_LEITURA!$P$2:$P$21,19),DECKS!$B$2:$B$1201,$A140))</f>
        <v/>
      </c>
      <c r="AD140" s="19" t="str">
        <f aca="false">IF(OR($A140="",INDEX(_LEITURA!$Q$2:$Q$21,20)=0),"",SUMIFS(DECKS!$D$2:$D$1201,DECKS!$A$2:$A$1201,INDEX(_LEITURA!$P$2:$P$21,20),DECKS!$B$2:$B$1201,$A140))</f>
        <v/>
      </c>
      <c r="AE140" s="16" t="str">
        <f aca="false">IF(N(E140)&gt;0,MAX(AE$1:AE139)+1,"")</f>
        <v/>
      </c>
      <c r="AF140" s="11" t="str">
        <f aca="false">IF(A140="","",IFERROR(LEFT(A140,FIND("-",A140)-1),A140))</f>
        <v/>
      </c>
      <c r="AG140" s="11" t="str">
        <f aca="false">IF(AF140="","",IF(ISNUMBER(--MID(AF140,1,1)),0,IF(ISNUMBER(--MID(AF140,2,1)),1,IF(ISNUMBER(--MID(AF140,3,1)),2,IF(ISNUMBER(--MID(AF140,4,1)),3,MIN(LEN(AF140),4))))))</f>
        <v/>
      </c>
      <c r="AH140" s="11" t="str">
        <f aca="false">IF(A140="","",LEFT(AF140,AG140)&amp;REPT("0",4-AG140)&amp;RIGHT("000"&amp;IFERROR(VALUE(MID(AF140,AG140+1,9)),0),3)&amp;RIGHT("0000"&amp;IFERROR(VALUE(MID(A140,FIND("-",A140)+1,9)),0),4))</f>
        <v/>
      </c>
      <c r="AI140" s="11" t="str">
        <f aca="false">IF(OR(A140="",N(E140)&lt;=0),"",IF('FALTAS GERAL'!$M$1="Código","K"&amp;AH140&amp;RIGHT("00000"&amp;ROW(),5),IF('FALTAS GERAL'!$M$1="Nome","K"&amp;UPPER(SUBSTITUTE(SUBSTITUTE(SUBSTITUTE(B140,"*",""),"?",""),"~",""))&amp;"0"&amp;AH140&amp;RIGHT("00000"&amp;ROW(),5),IF('FALTAS GERAL'!$M$1="Falta (maior primeiro)","K"&amp;RIGHT("0000"&amp;(9999-E140),4)&amp;AH140&amp;RIGHT("00000"&amp;ROW(),5),IF('FALTAS GERAL'!$M$1="Nº de decks (maior primeiro)","K"&amp;RIGHT("00"&amp;(99-N(G140)),2)&amp;AH140&amp;RIGHT("00000"&amp;ROW(),5),"K"&amp;RIGHT("00000"&amp;ROW(),5))))))</f>
        <v/>
      </c>
      <c r="AJ140" s="11" t="str">
        <f aca="false">IF(AI140="","",COUNTIFS($AI$2:$AI$801,"&lt;"&amp;AI140,$E$2:$E$801,"&gt;0")+1)</f>
        <v/>
      </c>
      <c r="AK140" s="11" t="str">
        <f aca="false">IF(OR(A140="",N(E140)&lt;=0),"",COUNTIFS($AH$2:$AH$801,"&lt;"&amp;AH140,$E$2:$E$801,"&gt;0")+COUNTIFS($AH$2:AH140,AH140,$E$2:E140,"&gt;0"))</f>
        <v/>
      </c>
    </row>
    <row r="141" customFormat="false" ht="15" hidden="false" customHeight="false" outlineLevel="0" collapsed="false">
      <c r="A141" s="11" t="str">
        <f aca="false">IF(INVENTÁRIO!A141="","",INVENTÁRIO!A141)</f>
        <v/>
      </c>
      <c r="B141" s="11" t="str">
        <f aca="false">IF(A141="","",INVENTÁRIO!B141)</f>
        <v/>
      </c>
      <c r="C141" s="16" t="str">
        <f aca="false">IF(A141="","",INVENTÁRIO!C141)</f>
        <v/>
      </c>
      <c r="D141" s="14" t="str">
        <f aca="false">IF(A141="","",MAX(K141:AD141))</f>
        <v/>
      </c>
      <c r="E141" s="14" t="str">
        <f aca="false">IF(A141="","",MAX(0,D141-C141))</f>
        <v/>
      </c>
      <c r="F141" s="16" t="str">
        <f aca="false">IF(A141="","",IF(D141=0,"Fora dos decks",IF(E141=0,"Completo","Falta")))</f>
        <v/>
      </c>
      <c r="G141" s="16" t="str">
        <f aca="false">IF(A141="","",COUNTIF(K141:AD141,"&gt;0"))</f>
        <v/>
      </c>
      <c r="H141" s="16" t="str">
        <f aca="false">IF(A141="","",IF(G141&gt;1,"Sim",""))</f>
        <v/>
      </c>
      <c r="I141" s="18" t="str">
        <f aca="false">IF(A141="","",SUMIFS(DECKS!$D$2:$D$1201,DECKS!$B$2:$B$1201,A141))</f>
        <v/>
      </c>
      <c r="J141" s="18" t="str">
        <f aca="false">IF(A141="","",MAX(0,I141-C141))</f>
        <v/>
      </c>
      <c r="K141" s="19" t="str">
        <f aca="false">IF(OR($A141="",INDEX(_LEITURA!$Q$2:$Q$21,1)=0),"",SUMIFS(DECKS!$D$2:$D$1201,DECKS!$A$2:$A$1201,INDEX(_LEITURA!$P$2:$P$21,1),DECKS!$B$2:$B$1201,$A141))</f>
        <v/>
      </c>
      <c r="L141" s="19" t="str">
        <f aca="false">IF(OR($A141="",INDEX(_LEITURA!$Q$2:$Q$21,2)=0),"",SUMIFS(DECKS!$D$2:$D$1201,DECKS!$A$2:$A$1201,INDEX(_LEITURA!$P$2:$P$21,2),DECKS!$B$2:$B$1201,$A141))</f>
        <v/>
      </c>
      <c r="M141" s="19" t="str">
        <f aca="false">IF(OR($A141="",INDEX(_LEITURA!$Q$2:$Q$21,3)=0),"",SUMIFS(DECKS!$D$2:$D$1201,DECKS!$A$2:$A$1201,INDEX(_LEITURA!$P$2:$P$21,3),DECKS!$B$2:$B$1201,$A141))</f>
        <v/>
      </c>
      <c r="N141" s="19" t="str">
        <f aca="false">IF(OR($A141="",INDEX(_LEITURA!$Q$2:$Q$21,4)=0),"",SUMIFS(DECKS!$D$2:$D$1201,DECKS!$A$2:$A$1201,INDEX(_LEITURA!$P$2:$P$21,4),DECKS!$B$2:$B$1201,$A141))</f>
        <v/>
      </c>
      <c r="O141" s="19" t="str">
        <f aca="false">IF(OR($A141="",INDEX(_LEITURA!$Q$2:$Q$21,5)=0),"",SUMIFS(DECKS!$D$2:$D$1201,DECKS!$A$2:$A$1201,INDEX(_LEITURA!$P$2:$P$21,5),DECKS!$B$2:$B$1201,$A141))</f>
        <v/>
      </c>
      <c r="P141" s="19" t="str">
        <f aca="false">IF(OR($A141="",INDEX(_LEITURA!$Q$2:$Q$21,6)=0),"",SUMIFS(DECKS!$D$2:$D$1201,DECKS!$A$2:$A$1201,INDEX(_LEITURA!$P$2:$P$21,6),DECKS!$B$2:$B$1201,$A141))</f>
        <v/>
      </c>
      <c r="Q141" s="19" t="str">
        <f aca="false">IF(OR($A141="",INDEX(_LEITURA!$Q$2:$Q$21,7)=0),"",SUMIFS(DECKS!$D$2:$D$1201,DECKS!$A$2:$A$1201,INDEX(_LEITURA!$P$2:$P$21,7),DECKS!$B$2:$B$1201,$A141))</f>
        <v/>
      </c>
      <c r="R141" s="19" t="str">
        <f aca="false">IF(OR($A141="",INDEX(_LEITURA!$Q$2:$Q$21,8)=0),"",SUMIFS(DECKS!$D$2:$D$1201,DECKS!$A$2:$A$1201,INDEX(_LEITURA!$P$2:$P$21,8),DECKS!$B$2:$B$1201,$A141))</f>
        <v/>
      </c>
      <c r="S141" s="19" t="str">
        <f aca="false">IF(OR($A141="",INDEX(_LEITURA!$Q$2:$Q$21,9)=0),"",SUMIFS(DECKS!$D$2:$D$1201,DECKS!$A$2:$A$1201,INDEX(_LEITURA!$P$2:$P$21,9),DECKS!$B$2:$B$1201,$A141))</f>
        <v/>
      </c>
      <c r="T141" s="19" t="str">
        <f aca="false">IF(OR($A141="",INDEX(_LEITURA!$Q$2:$Q$21,10)=0),"",SUMIFS(DECKS!$D$2:$D$1201,DECKS!$A$2:$A$1201,INDEX(_LEITURA!$P$2:$P$21,10),DECKS!$B$2:$B$1201,$A141))</f>
        <v/>
      </c>
      <c r="U141" s="19" t="str">
        <f aca="false">IF(OR($A141="",INDEX(_LEITURA!$Q$2:$Q$21,11)=0),"",SUMIFS(DECKS!$D$2:$D$1201,DECKS!$A$2:$A$1201,INDEX(_LEITURA!$P$2:$P$21,11),DECKS!$B$2:$B$1201,$A141))</f>
        <v/>
      </c>
      <c r="V141" s="19" t="str">
        <f aca="false">IF(OR($A141="",INDEX(_LEITURA!$Q$2:$Q$21,12)=0),"",SUMIFS(DECKS!$D$2:$D$1201,DECKS!$A$2:$A$1201,INDEX(_LEITURA!$P$2:$P$21,12),DECKS!$B$2:$B$1201,$A141))</f>
        <v/>
      </c>
      <c r="W141" s="19" t="str">
        <f aca="false">IF(OR($A141="",INDEX(_LEITURA!$Q$2:$Q$21,13)=0),"",SUMIFS(DECKS!$D$2:$D$1201,DECKS!$A$2:$A$1201,INDEX(_LEITURA!$P$2:$P$21,13),DECKS!$B$2:$B$1201,$A141))</f>
        <v/>
      </c>
      <c r="X141" s="19" t="str">
        <f aca="false">IF(OR($A141="",INDEX(_LEITURA!$Q$2:$Q$21,14)=0),"",SUMIFS(DECKS!$D$2:$D$1201,DECKS!$A$2:$A$1201,INDEX(_LEITURA!$P$2:$P$21,14),DECKS!$B$2:$B$1201,$A141))</f>
        <v/>
      </c>
      <c r="Y141" s="19" t="str">
        <f aca="false">IF(OR($A141="",INDEX(_LEITURA!$Q$2:$Q$21,15)=0),"",SUMIFS(DECKS!$D$2:$D$1201,DECKS!$A$2:$A$1201,INDEX(_LEITURA!$P$2:$P$21,15),DECKS!$B$2:$B$1201,$A141))</f>
        <v/>
      </c>
      <c r="Z141" s="19" t="str">
        <f aca="false">IF(OR($A141="",INDEX(_LEITURA!$Q$2:$Q$21,16)=0),"",SUMIFS(DECKS!$D$2:$D$1201,DECKS!$A$2:$A$1201,INDEX(_LEITURA!$P$2:$P$21,16),DECKS!$B$2:$B$1201,$A141))</f>
        <v/>
      </c>
      <c r="AA141" s="19" t="str">
        <f aca="false">IF(OR($A141="",INDEX(_LEITURA!$Q$2:$Q$21,17)=0),"",SUMIFS(DECKS!$D$2:$D$1201,DECKS!$A$2:$A$1201,INDEX(_LEITURA!$P$2:$P$21,17),DECKS!$B$2:$B$1201,$A141))</f>
        <v/>
      </c>
      <c r="AB141" s="19" t="str">
        <f aca="false">IF(OR($A141="",INDEX(_LEITURA!$Q$2:$Q$21,18)=0),"",SUMIFS(DECKS!$D$2:$D$1201,DECKS!$A$2:$A$1201,INDEX(_LEITURA!$P$2:$P$21,18),DECKS!$B$2:$B$1201,$A141))</f>
        <v/>
      </c>
      <c r="AC141" s="19" t="str">
        <f aca="false">IF(OR($A141="",INDEX(_LEITURA!$Q$2:$Q$21,19)=0),"",SUMIFS(DECKS!$D$2:$D$1201,DECKS!$A$2:$A$1201,INDEX(_LEITURA!$P$2:$P$21,19),DECKS!$B$2:$B$1201,$A141))</f>
        <v/>
      </c>
      <c r="AD141" s="19" t="str">
        <f aca="false">IF(OR($A141="",INDEX(_LEITURA!$Q$2:$Q$21,20)=0),"",SUMIFS(DECKS!$D$2:$D$1201,DECKS!$A$2:$A$1201,INDEX(_LEITURA!$P$2:$P$21,20),DECKS!$B$2:$B$1201,$A141))</f>
        <v/>
      </c>
      <c r="AE141" s="16" t="str">
        <f aca="false">IF(N(E141)&gt;0,MAX(AE$1:AE140)+1,"")</f>
        <v/>
      </c>
      <c r="AF141" s="11" t="str">
        <f aca="false">IF(A141="","",IFERROR(LEFT(A141,FIND("-",A141)-1),A141))</f>
        <v/>
      </c>
      <c r="AG141" s="11" t="str">
        <f aca="false">IF(AF141="","",IF(ISNUMBER(--MID(AF141,1,1)),0,IF(ISNUMBER(--MID(AF141,2,1)),1,IF(ISNUMBER(--MID(AF141,3,1)),2,IF(ISNUMBER(--MID(AF141,4,1)),3,MIN(LEN(AF141),4))))))</f>
        <v/>
      </c>
      <c r="AH141" s="11" t="str">
        <f aca="false">IF(A141="","",LEFT(AF141,AG141)&amp;REPT("0",4-AG141)&amp;RIGHT("000"&amp;IFERROR(VALUE(MID(AF141,AG141+1,9)),0),3)&amp;RIGHT("0000"&amp;IFERROR(VALUE(MID(A141,FIND("-",A141)+1,9)),0),4))</f>
        <v/>
      </c>
      <c r="AI141" s="11" t="str">
        <f aca="false">IF(OR(A141="",N(E141)&lt;=0),"",IF('FALTAS GERAL'!$M$1="Código","K"&amp;AH141&amp;RIGHT("00000"&amp;ROW(),5),IF('FALTAS GERAL'!$M$1="Nome","K"&amp;UPPER(SUBSTITUTE(SUBSTITUTE(SUBSTITUTE(B141,"*",""),"?",""),"~",""))&amp;"0"&amp;AH141&amp;RIGHT("00000"&amp;ROW(),5),IF('FALTAS GERAL'!$M$1="Falta (maior primeiro)","K"&amp;RIGHT("0000"&amp;(9999-E141),4)&amp;AH141&amp;RIGHT("00000"&amp;ROW(),5),IF('FALTAS GERAL'!$M$1="Nº de decks (maior primeiro)","K"&amp;RIGHT("00"&amp;(99-N(G141)),2)&amp;AH141&amp;RIGHT("00000"&amp;ROW(),5),"K"&amp;RIGHT("00000"&amp;ROW(),5))))))</f>
        <v/>
      </c>
      <c r="AJ141" s="11" t="str">
        <f aca="false">IF(AI141="","",COUNTIFS($AI$2:$AI$801,"&lt;"&amp;AI141,$E$2:$E$801,"&gt;0")+1)</f>
        <v/>
      </c>
      <c r="AK141" s="11" t="str">
        <f aca="false">IF(OR(A141="",N(E141)&lt;=0),"",COUNTIFS($AH$2:$AH$801,"&lt;"&amp;AH141,$E$2:$E$801,"&gt;0")+COUNTIFS($AH$2:AH141,AH141,$E$2:E141,"&gt;0"))</f>
        <v/>
      </c>
    </row>
    <row r="142" customFormat="false" ht="15" hidden="false" customHeight="false" outlineLevel="0" collapsed="false">
      <c r="A142" s="11" t="str">
        <f aca="false">IF(INVENTÁRIO!A142="","",INVENTÁRIO!A142)</f>
        <v/>
      </c>
      <c r="B142" s="11" t="str">
        <f aca="false">IF(A142="","",INVENTÁRIO!B142)</f>
        <v/>
      </c>
      <c r="C142" s="16" t="str">
        <f aca="false">IF(A142="","",INVENTÁRIO!C142)</f>
        <v/>
      </c>
      <c r="D142" s="14" t="str">
        <f aca="false">IF(A142="","",MAX(K142:AD142))</f>
        <v/>
      </c>
      <c r="E142" s="14" t="str">
        <f aca="false">IF(A142="","",MAX(0,D142-C142))</f>
        <v/>
      </c>
      <c r="F142" s="16" t="str">
        <f aca="false">IF(A142="","",IF(D142=0,"Fora dos decks",IF(E142=0,"Completo","Falta")))</f>
        <v/>
      </c>
      <c r="G142" s="16" t="str">
        <f aca="false">IF(A142="","",COUNTIF(K142:AD142,"&gt;0"))</f>
        <v/>
      </c>
      <c r="H142" s="16" t="str">
        <f aca="false">IF(A142="","",IF(G142&gt;1,"Sim",""))</f>
        <v/>
      </c>
      <c r="I142" s="18" t="str">
        <f aca="false">IF(A142="","",SUMIFS(DECKS!$D$2:$D$1201,DECKS!$B$2:$B$1201,A142))</f>
        <v/>
      </c>
      <c r="J142" s="18" t="str">
        <f aca="false">IF(A142="","",MAX(0,I142-C142))</f>
        <v/>
      </c>
      <c r="K142" s="19" t="str">
        <f aca="false">IF(OR($A142="",INDEX(_LEITURA!$Q$2:$Q$21,1)=0),"",SUMIFS(DECKS!$D$2:$D$1201,DECKS!$A$2:$A$1201,INDEX(_LEITURA!$P$2:$P$21,1),DECKS!$B$2:$B$1201,$A142))</f>
        <v/>
      </c>
      <c r="L142" s="19" t="str">
        <f aca="false">IF(OR($A142="",INDEX(_LEITURA!$Q$2:$Q$21,2)=0),"",SUMIFS(DECKS!$D$2:$D$1201,DECKS!$A$2:$A$1201,INDEX(_LEITURA!$P$2:$P$21,2),DECKS!$B$2:$B$1201,$A142))</f>
        <v/>
      </c>
      <c r="M142" s="19" t="str">
        <f aca="false">IF(OR($A142="",INDEX(_LEITURA!$Q$2:$Q$21,3)=0),"",SUMIFS(DECKS!$D$2:$D$1201,DECKS!$A$2:$A$1201,INDEX(_LEITURA!$P$2:$P$21,3),DECKS!$B$2:$B$1201,$A142))</f>
        <v/>
      </c>
      <c r="N142" s="19" t="str">
        <f aca="false">IF(OR($A142="",INDEX(_LEITURA!$Q$2:$Q$21,4)=0),"",SUMIFS(DECKS!$D$2:$D$1201,DECKS!$A$2:$A$1201,INDEX(_LEITURA!$P$2:$P$21,4),DECKS!$B$2:$B$1201,$A142))</f>
        <v/>
      </c>
      <c r="O142" s="19" t="str">
        <f aca="false">IF(OR($A142="",INDEX(_LEITURA!$Q$2:$Q$21,5)=0),"",SUMIFS(DECKS!$D$2:$D$1201,DECKS!$A$2:$A$1201,INDEX(_LEITURA!$P$2:$P$21,5),DECKS!$B$2:$B$1201,$A142))</f>
        <v/>
      </c>
      <c r="P142" s="19" t="str">
        <f aca="false">IF(OR($A142="",INDEX(_LEITURA!$Q$2:$Q$21,6)=0),"",SUMIFS(DECKS!$D$2:$D$1201,DECKS!$A$2:$A$1201,INDEX(_LEITURA!$P$2:$P$21,6),DECKS!$B$2:$B$1201,$A142))</f>
        <v/>
      </c>
      <c r="Q142" s="19" t="str">
        <f aca="false">IF(OR($A142="",INDEX(_LEITURA!$Q$2:$Q$21,7)=0),"",SUMIFS(DECKS!$D$2:$D$1201,DECKS!$A$2:$A$1201,INDEX(_LEITURA!$P$2:$P$21,7),DECKS!$B$2:$B$1201,$A142))</f>
        <v/>
      </c>
      <c r="R142" s="19" t="str">
        <f aca="false">IF(OR($A142="",INDEX(_LEITURA!$Q$2:$Q$21,8)=0),"",SUMIFS(DECKS!$D$2:$D$1201,DECKS!$A$2:$A$1201,INDEX(_LEITURA!$P$2:$P$21,8),DECKS!$B$2:$B$1201,$A142))</f>
        <v/>
      </c>
      <c r="S142" s="19" t="str">
        <f aca="false">IF(OR($A142="",INDEX(_LEITURA!$Q$2:$Q$21,9)=0),"",SUMIFS(DECKS!$D$2:$D$1201,DECKS!$A$2:$A$1201,INDEX(_LEITURA!$P$2:$P$21,9),DECKS!$B$2:$B$1201,$A142))</f>
        <v/>
      </c>
      <c r="T142" s="19" t="str">
        <f aca="false">IF(OR($A142="",INDEX(_LEITURA!$Q$2:$Q$21,10)=0),"",SUMIFS(DECKS!$D$2:$D$1201,DECKS!$A$2:$A$1201,INDEX(_LEITURA!$P$2:$P$21,10),DECKS!$B$2:$B$1201,$A142))</f>
        <v/>
      </c>
      <c r="U142" s="19" t="str">
        <f aca="false">IF(OR($A142="",INDEX(_LEITURA!$Q$2:$Q$21,11)=0),"",SUMIFS(DECKS!$D$2:$D$1201,DECKS!$A$2:$A$1201,INDEX(_LEITURA!$P$2:$P$21,11),DECKS!$B$2:$B$1201,$A142))</f>
        <v/>
      </c>
      <c r="V142" s="19" t="str">
        <f aca="false">IF(OR($A142="",INDEX(_LEITURA!$Q$2:$Q$21,12)=0),"",SUMIFS(DECKS!$D$2:$D$1201,DECKS!$A$2:$A$1201,INDEX(_LEITURA!$P$2:$P$21,12),DECKS!$B$2:$B$1201,$A142))</f>
        <v/>
      </c>
      <c r="W142" s="19" t="str">
        <f aca="false">IF(OR($A142="",INDEX(_LEITURA!$Q$2:$Q$21,13)=0),"",SUMIFS(DECKS!$D$2:$D$1201,DECKS!$A$2:$A$1201,INDEX(_LEITURA!$P$2:$P$21,13),DECKS!$B$2:$B$1201,$A142))</f>
        <v/>
      </c>
      <c r="X142" s="19" t="str">
        <f aca="false">IF(OR($A142="",INDEX(_LEITURA!$Q$2:$Q$21,14)=0),"",SUMIFS(DECKS!$D$2:$D$1201,DECKS!$A$2:$A$1201,INDEX(_LEITURA!$P$2:$P$21,14),DECKS!$B$2:$B$1201,$A142))</f>
        <v/>
      </c>
      <c r="Y142" s="19" t="str">
        <f aca="false">IF(OR($A142="",INDEX(_LEITURA!$Q$2:$Q$21,15)=0),"",SUMIFS(DECKS!$D$2:$D$1201,DECKS!$A$2:$A$1201,INDEX(_LEITURA!$P$2:$P$21,15),DECKS!$B$2:$B$1201,$A142))</f>
        <v/>
      </c>
      <c r="Z142" s="19" t="str">
        <f aca="false">IF(OR($A142="",INDEX(_LEITURA!$Q$2:$Q$21,16)=0),"",SUMIFS(DECKS!$D$2:$D$1201,DECKS!$A$2:$A$1201,INDEX(_LEITURA!$P$2:$P$21,16),DECKS!$B$2:$B$1201,$A142))</f>
        <v/>
      </c>
      <c r="AA142" s="19" t="str">
        <f aca="false">IF(OR($A142="",INDEX(_LEITURA!$Q$2:$Q$21,17)=0),"",SUMIFS(DECKS!$D$2:$D$1201,DECKS!$A$2:$A$1201,INDEX(_LEITURA!$P$2:$P$21,17),DECKS!$B$2:$B$1201,$A142))</f>
        <v/>
      </c>
      <c r="AB142" s="19" t="str">
        <f aca="false">IF(OR($A142="",INDEX(_LEITURA!$Q$2:$Q$21,18)=0),"",SUMIFS(DECKS!$D$2:$D$1201,DECKS!$A$2:$A$1201,INDEX(_LEITURA!$P$2:$P$21,18),DECKS!$B$2:$B$1201,$A142))</f>
        <v/>
      </c>
      <c r="AC142" s="19" t="str">
        <f aca="false">IF(OR($A142="",INDEX(_LEITURA!$Q$2:$Q$21,19)=0),"",SUMIFS(DECKS!$D$2:$D$1201,DECKS!$A$2:$A$1201,INDEX(_LEITURA!$P$2:$P$21,19),DECKS!$B$2:$B$1201,$A142))</f>
        <v/>
      </c>
      <c r="AD142" s="19" t="str">
        <f aca="false">IF(OR($A142="",INDEX(_LEITURA!$Q$2:$Q$21,20)=0),"",SUMIFS(DECKS!$D$2:$D$1201,DECKS!$A$2:$A$1201,INDEX(_LEITURA!$P$2:$P$21,20),DECKS!$B$2:$B$1201,$A142))</f>
        <v/>
      </c>
      <c r="AE142" s="16" t="str">
        <f aca="false">IF(N(E142)&gt;0,MAX(AE$1:AE141)+1,"")</f>
        <v/>
      </c>
      <c r="AF142" s="11" t="str">
        <f aca="false">IF(A142="","",IFERROR(LEFT(A142,FIND("-",A142)-1),A142))</f>
        <v/>
      </c>
      <c r="AG142" s="11" t="str">
        <f aca="false">IF(AF142="","",IF(ISNUMBER(--MID(AF142,1,1)),0,IF(ISNUMBER(--MID(AF142,2,1)),1,IF(ISNUMBER(--MID(AF142,3,1)),2,IF(ISNUMBER(--MID(AF142,4,1)),3,MIN(LEN(AF142),4))))))</f>
        <v/>
      </c>
      <c r="AH142" s="11" t="str">
        <f aca="false">IF(A142="","",LEFT(AF142,AG142)&amp;REPT("0",4-AG142)&amp;RIGHT("000"&amp;IFERROR(VALUE(MID(AF142,AG142+1,9)),0),3)&amp;RIGHT("0000"&amp;IFERROR(VALUE(MID(A142,FIND("-",A142)+1,9)),0),4))</f>
        <v/>
      </c>
      <c r="AI142" s="11" t="str">
        <f aca="false">IF(OR(A142="",N(E142)&lt;=0),"",IF('FALTAS GERAL'!$M$1="Código","K"&amp;AH142&amp;RIGHT("00000"&amp;ROW(),5),IF('FALTAS GERAL'!$M$1="Nome","K"&amp;UPPER(SUBSTITUTE(SUBSTITUTE(SUBSTITUTE(B142,"*",""),"?",""),"~",""))&amp;"0"&amp;AH142&amp;RIGHT("00000"&amp;ROW(),5),IF('FALTAS GERAL'!$M$1="Falta (maior primeiro)","K"&amp;RIGHT("0000"&amp;(9999-E142),4)&amp;AH142&amp;RIGHT("00000"&amp;ROW(),5),IF('FALTAS GERAL'!$M$1="Nº de decks (maior primeiro)","K"&amp;RIGHT("00"&amp;(99-N(G142)),2)&amp;AH142&amp;RIGHT("00000"&amp;ROW(),5),"K"&amp;RIGHT("00000"&amp;ROW(),5))))))</f>
        <v/>
      </c>
      <c r="AJ142" s="11" t="str">
        <f aca="false">IF(AI142="","",COUNTIFS($AI$2:$AI$801,"&lt;"&amp;AI142,$E$2:$E$801,"&gt;0")+1)</f>
        <v/>
      </c>
      <c r="AK142" s="11" t="str">
        <f aca="false">IF(OR(A142="",N(E142)&lt;=0),"",COUNTIFS($AH$2:$AH$801,"&lt;"&amp;AH142,$E$2:$E$801,"&gt;0")+COUNTIFS($AH$2:AH142,AH142,$E$2:E142,"&gt;0"))</f>
        <v/>
      </c>
    </row>
    <row r="143" customFormat="false" ht="15" hidden="false" customHeight="false" outlineLevel="0" collapsed="false">
      <c r="A143" s="11" t="str">
        <f aca="false">IF(INVENTÁRIO!A143="","",INVENTÁRIO!A143)</f>
        <v/>
      </c>
      <c r="B143" s="11" t="str">
        <f aca="false">IF(A143="","",INVENTÁRIO!B143)</f>
        <v/>
      </c>
      <c r="C143" s="16" t="str">
        <f aca="false">IF(A143="","",INVENTÁRIO!C143)</f>
        <v/>
      </c>
      <c r="D143" s="14" t="str">
        <f aca="false">IF(A143="","",MAX(K143:AD143))</f>
        <v/>
      </c>
      <c r="E143" s="14" t="str">
        <f aca="false">IF(A143="","",MAX(0,D143-C143))</f>
        <v/>
      </c>
      <c r="F143" s="16" t="str">
        <f aca="false">IF(A143="","",IF(D143=0,"Fora dos decks",IF(E143=0,"Completo","Falta")))</f>
        <v/>
      </c>
      <c r="G143" s="16" t="str">
        <f aca="false">IF(A143="","",COUNTIF(K143:AD143,"&gt;0"))</f>
        <v/>
      </c>
      <c r="H143" s="16" t="str">
        <f aca="false">IF(A143="","",IF(G143&gt;1,"Sim",""))</f>
        <v/>
      </c>
      <c r="I143" s="18" t="str">
        <f aca="false">IF(A143="","",SUMIFS(DECKS!$D$2:$D$1201,DECKS!$B$2:$B$1201,A143))</f>
        <v/>
      </c>
      <c r="J143" s="18" t="str">
        <f aca="false">IF(A143="","",MAX(0,I143-C143))</f>
        <v/>
      </c>
      <c r="K143" s="19" t="str">
        <f aca="false">IF(OR($A143="",INDEX(_LEITURA!$Q$2:$Q$21,1)=0),"",SUMIFS(DECKS!$D$2:$D$1201,DECKS!$A$2:$A$1201,INDEX(_LEITURA!$P$2:$P$21,1),DECKS!$B$2:$B$1201,$A143))</f>
        <v/>
      </c>
      <c r="L143" s="19" t="str">
        <f aca="false">IF(OR($A143="",INDEX(_LEITURA!$Q$2:$Q$21,2)=0),"",SUMIFS(DECKS!$D$2:$D$1201,DECKS!$A$2:$A$1201,INDEX(_LEITURA!$P$2:$P$21,2),DECKS!$B$2:$B$1201,$A143))</f>
        <v/>
      </c>
      <c r="M143" s="19" t="str">
        <f aca="false">IF(OR($A143="",INDEX(_LEITURA!$Q$2:$Q$21,3)=0),"",SUMIFS(DECKS!$D$2:$D$1201,DECKS!$A$2:$A$1201,INDEX(_LEITURA!$P$2:$P$21,3),DECKS!$B$2:$B$1201,$A143))</f>
        <v/>
      </c>
      <c r="N143" s="19" t="str">
        <f aca="false">IF(OR($A143="",INDEX(_LEITURA!$Q$2:$Q$21,4)=0),"",SUMIFS(DECKS!$D$2:$D$1201,DECKS!$A$2:$A$1201,INDEX(_LEITURA!$P$2:$P$21,4),DECKS!$B$2:$B$1201,$A143))</f>
        <v/>
      </c>
      <c r="O143" s="19" t="str">
        <f aca="false">IF(OR($A143="",INDEX(_LEITURA!$Q$2:$Q$21,5)=0),"",SUMIFS(DECKS!$D$2:$D$1201,DECKS!$A$2:$A$1201,INDEX(_LEITURA!$P$2:$P$21,5),DECKS!$B$2:$B$1201,$A143))</f>
        <v/>
      </c>
      <c r="P143" s="19" t="str">
        <f aca="false">IF(OR($A143="",INDEX(_LEITURA!$Q$2:$Q$21,6)=0),"",SUMIFS(DECKS!$D$2:$D$1201,DECKS!$A$2:$A$1201,INDEX(_LEITURA!$P$2:$P$21,6),DECKS!$B$2:$B$1201,$A143))</f>
        <v/>
      </c>
      <c r="Q143" s="19" t="str">
        <f aca="false">IF(OR($A143="",INDEX(_LEITURA!$Q$2:$Q$21,7)=0),"",SUMIFS(DECKS!$D$2:$D$1201,DECKS!$A$2:$A$1201,INDEX(_LEITURA!$P$2:$P$21,7),DECKS!$B$2:$B$1201,$A143))</f>
        <v/>
      </c>
      <c r="R143" s="19" t="str">
        <f aca="false">IF(OR($A143="",INDEX(_LEITURA!$Q$2:$Q$21,8)=0),"",SUMIFS(DECKS!$D$2:$D$1201,DECKS!$A$2:$A$1201,INDEX(_LEITURA!$P$2:$P$21,8),DECKS!$B$2:$B$1201,$A143))</f>
        <v/>
      </c>
      <c r="S143" s="19" t="str">
        <f aca="false">IF(OR($A143="",INDEX(_LEITURA!$Q$2:$Q$21,9)=0),"",SUMIFS(DECKS!$D$2:$D$1201,DECKS!$A$2:$A$1201,INDEX(_LEITURA!$P$2:$P$21,9),DECKS!$B$2:$B$1201,$A143))</f>
        <v/>
      </c>
      <c r="T143" s="19" t="str">
        <f aca="false">IF(OR($A143="",INDEX(_LEITURA!$Q$2:$Q$21,10)=0),"",SUMIFS(DECKS!$D$2:$D$1201,DECKS!$A$2:$A$1201,INDEX(_LEITURA!$P$2:$P$21,10),DECKS!$B$2:$B$1201,$A143))</f>
        <v/>
      </c>
      <c r="U143" s="19" t="str">
        <f aca="false">IF(OR($A143="",INDEX(_LEITURA!$Q$2:$Q$21,11)=0),"",SUMIFS(DECKS!$D$2:$D$1201,DECKS!$A$2:$A$1201,INDEX(_LEITURA!$P$2:$P$21,11),DECKS!$B$2:$B$1201,$A143))</f>
        <v/>
      </c>
      <c r="V143" s="19" t="str">
        <f aca="false">IF(OR($A143="",INDEX(_LEITURA!$Q$2:$Q$21,12)=0),"",SUMIFS(DECKS!$D$2:$D$1201,DECKS!$A$2:$A$1201,INDEX(_LEITURA!$P$2:$P$21,12),DECKS!$B$2:$B$1201,$A143))</f>
        <v/>
      </c>
      <c r="W143" s="19" t="str">
        <f aca="false">IF(OR($A143="",INDEX(_LEITURA!$Q$2:$Q$21,13)=0),"",SUMIFS(DECKS!$D$2:$D$1201,DECKS!$A$2:$A$1201,INDEX(_LEITURA!$P$2:$P$21,13),DECKS!$B$2:$B$1201,$A143))</f>
        <v/>
      </c>
      <c r="X143" s="19" t="str">
        <f aca="false">IF(OR($A143="",INDEX(_LEITURA!$Q$2:$Q$21,14)=0),"",SUMIFS(DECKS!$D$2:$D$1201,DECKS!$A$2:$A$1201,INDEX(_LEITURA!$P$2:$P$21,14),DECKS!$B$2:$B$1201,$A143))</f>
        <v/>
      </c>
      <c r="Y143" s="19" t="str">
        <f aca="false">IF(OR($A143="",INDEX(_LEITURA!$Q$2:$Q$21,15)=0),"",SUMIFS(DECKS!$D$2:$D$1201,DECKS!$A$2:$A$1201,INDEX(_LEITURA!$P$2:$P$21,15),DECKS!$B$2:$B$1201,$A143))</f>
        <v/>
      </c>
      <c r="Z143" s="19" t="str">
        <f aca="false">IF(OR($A143="",INDEX(_LEITURA!$Q$2:$Q$21,16)=0),"",SUMIFS(DECKS!$D$2:$D$1201,DECKS!$A$2:$A$1201,INDEX(_LEITURA!$P$2:$P$21,16),DECKS!$B$2:$B$1201,$A143))</f>
        <v/>
      </c>
      <c r="AA143" s="19" t="str">
        <f aca="false">IF(OR($A143="",INDEX(_LEITURA!$Q$2:$Q$21,17)=0),"",SUMIFS(DECKS!$D$2:$D$1201,DECKS!$A$2:$A$1201,INDEX(_LEITURA!$P$2:$P$21,17),DECKS!$B$2:$B$1201,$A143))</f>
        <v/>
      </c>
      <c r="AB143" s="19" t="str">
        <f aca="false">IF(OR($A143="",INDEX(_LEITURA!$Q$2:$Q$21,18)=0),"",SUMIFS(DECKS!$D$2:$D$1201,DECKS!$A$2:$A$1201,INDEX(_LEITURA!$P$2:$P$21,18),DECKS!$B$2:$B$1201,$A143))</f>
        <v/>
      </c>
      <c r="AC143" s="19" t="str">
        <f aca="false">IF(OR($A143="",INDEX(_LEITURA!$Q$2:$Q$21,19)=0),"",SUMIFS(DECKS!$D$2:$D$1201,DECKS!$A$2:$A$1201,INDEX(_LEITURA!$P$2:$P$21,19),DECKS!$B$2:$B$1201,$A143))</f>
        <v/>
      </c>
      <c r="AD143" s="19" t="str">
        <f aca="false">IF(OR($A143="",INDEX(_LEITURA!$Q$2:$Q$21,20)=0),"",SUMIFS(DECKS!$D$2:$D$1201,DECKS!$A$2:$A$1201,INDEX(_LEITURA!$P$2:$P$21,20),DECKS!$B$2:$B$1201,$A143))</f>
        <v/>
      </c>
      <c r="AE143" s="16" t="str">
        <f aca="false">IF(N(E143)&gt;0,MAX(AE$1:AE142)+1,"")</f>
        <v/>
      </c>
      <c r="AF143" s="11" t="str">
        <f aca="false">IF(A143="","",IFERROR(LEFT(A143,FIND("-",A143)-1),A143))</f>
        <v/>
      </c>
      <c r="AG143" s="11" t="str">
        <f aca="false">IF(AF143="","",IF(ISNUMBER(--MID(AF143,1,1)),0,IF(ISNUMBER(--MID(AF143,2,1)),1,IF(ISNUMBER(--MID(AF143,3,1)),2,IF(ISNUMBER(--MID(AF143,4,1)),3,MIN(LEN(AF143),4))))))</f>
        <v/>
      </c>
      <c r="AH143" s="11" t="str">
        <f aca="false">IF(A143="","",LEFT(AF143,AG143)&amp;REPT("0",4-AG143)&amp;RIGHT("000"&amp;IFERROR(VALUE(MID(AF143,AG143+1,9)),0),3)&amp;RIGHT("0000"&amp;IFERROR(VALUE(MID(A143,FIND("-",A143)+1,9)),0),4))</f>
        <v/>
      </c>
      <c r="AI143" s="11" t="str">
        <f aca="false">IF(OR(A143="",N(E143)&lt;=0),"",IF('FALTAS GERAL'!$M$1="Código","K"&amp;AH143&amp;RIGHT("00000"&amp;ROW(),5),IF('FALTAS GERAL'!$M$1="Nome","K"&amp;UPPER(SUBSTITUTE(SUBSTITUTE(SUBSTITUTE(B143,"*",""),"?",""),"~",""))&amp;"0"&amp;AH143&amp;RIGHT("00000"&amp;ROW(),5),IF('FALTAS GERAL'!$M$1="Falta (maior primeiro)","K"&amp;RIGHT("0000"&amp;(9999-E143),4)&amp;AH143&amp;RIGHT("00000"&amp;ROW(),5),IF('FALTAS GERAL'!$M$1="Nº de decks (maior primeiro)","K"&amp;RIGHT("00"&amp;(99-N(G143)),2)&amp;AH143&amp;RIGHT("00000"&amp;ROW(),5),"K"&amp;RIGHT("00000"&amp;ROW(),5))))))</f>
        <v/>
      </c>
      <c r="AJ143" s="11" t="str">
        <f aca="false">IF(AI143="","",COUNTIFS($AI$2:$AI$801,"&lt;"&amp;AI143,$E$2:$E$801,"&gt;0")+1)</f>
        <v/>
      </c>
      <c r="AK143" s="11" t="str">
        <f aca="false">IF(OR(A143="",N(E143)&lt;=0),"",COUNTIFS($AH$2:$AH$801,"&lt;"&amp;AH143,$E$2:$E$801,"&gt;0")+COUNTIFS($AH$2:AH143,AH143,$E$2:E143,"&gt;0"))</f>
        <v/>
      </c>
    </row>
    <row r="144" customFormat="false" ht="15" hidden="false" customHeight="false" outlineLevel="0" collapsed="false">
      <c r="A144" s="11" t="str">
        <f aca="false">IF(INVENTÁRIO!A144="","",INVENTÁRIO!A144)</f>
        <v/>
      </c>
      <c r="B144" s="11" t="str">
        <f aca="false">IF(A144="","",INVENTÁRIO!B144)</f>
        <v/>
      </c>
      <c r="C144" s="16" t="str">
        <f aca="false">IF(A144="","",INVENTÁRIO!C144)</f>
        <v/>
      </c>
      <c r="D144" s="14" t="str">
        <f aca="false">IF(A144="","",MAX(K144:AD144))</f>
        <v/>
      </c>
      <c r="E144" s="14" t="str">
        <f aca="false">IF(A144="","",MAX(0,D144-C144))</f>
        <v/>
      </c>
      <c r="F144" s="16" t="str">
        <f aca="false">IF(A144="","",IF(D144=0,"Fora dos decks",IF(E144=0,"Completo","Falta")))</f>
        <v/>
      </c>
      <c r="G144" s="16" t="str">
        <f aca="false">IF(A144="","",COUNTIF(K144:AD144,"&gt;0"))</f>
        <v/>
      </c>
      <c r="H144" s="16" t="str">
        <f aca="false">IF(A144="","",IF(G144&gt;1,"Sim",""))</f>
        <v/>
      </c>
      <c r="I144" s="18" t="str">
        <f aca="false">IF(A144="","",SUMIFS(DECKS!$D$2:$D$1201,DECKS!$B$2:$B$1201,A144))</f>
        <v/>
      </c>
      <c r="J144" s="18" t="str">
        <f aca="false">IF(A144="","",MAX(0,I144-C144))</f>
        <v/>
      </c>
      <c r="K144" s="19" t="str">
        <f aca="false">IF(OR($A144="",INDEX(_LEITURA!$Q$2:$Q$21,1)=0),"",SUMIFS(DECKS!$D$2:$D$1201,DECKS!$A$2:$A$1201,INDEX(_LEITURA!$P$2:$P$21,1),DECKS!$B$2:$B$1201,$A144))</f>
        <v/>
      </c>
      <c r="L144" s="19" t="str">
        <f aca="false">IF(OR($A144="",INDEX(_LEITURA!$Q$2:$Q$21,2)=0),"",SUMIFS(DECKS!$D$2:$D$1201,DECKS!$A$2:$A$1201,INDEX(_LEITURA!$P$2:$P$21,2),DECKS!$B$2:$B$1201,$A144))</f>
        <v/>
      </c>
      <c r="M144" s="19" t="str">
        <f aca="false">IF(OR($A144="",INDEX(_LEITURA!$Q$2:$Q$21,3)=0),"",SUMIFS(DECKS!$D$2:$D$1201,DECKS!$A$2:$A$1201,INDEX(_LEITURA!$P$2:$P$21,3),DECKS!$B$2:$B$1201,$A144))</f>
        <v/>
      </c>
      <c r="N144" s="19" t="str">
        <f aca="false">IF(OR($A144="",INDEX(_LEITURA!$Q$2:$Q$21,4)=0),"",SUMIFS(DECKS!$D$2:$D$1201,DECKS!$A$2:$A$1201,INDEX(_LEITURA!$P$2:$P$21,4),DECKS!$B$2:$B$1201,$A144))</f>
        <v/>
      </c>
      <c r="O144" s="19" t="str">
        <f aca="false">IF(OR($A144="",INDEX(_LEITURA!$Q$2:$Q$21,5)=0),"",SUMIFS(DECKS!$D$2:$D$1201,DECKS!$A$2:$A$1201,INDEX(_LEITURA!$P$2:$P$21,5),DECKS!$B$2:$B$1201,$A144))</f>
        <v/>
      </c>
      <c r="P144" s="19" t="str">
        <f aca="false">IF(OR($A144="",INDEX(_LEITURA!$Q$2:$Q$21,6)=0),"",SUMIFS(DECKS!$D$2:$D$1201,DECKS!$A$2:$A$1201,INDEX(_LEITURA!$P$2:$P$21,6),DECKS!$B$2:$B$1201,$A144))</f>
        <v/>
      </c>
      <c r="Q144" s="19" t="str">
        <f aca="false">IF(OR($A144="",INDEX(_LEITURA!$Q$2:$Q$21,7)=0),"",SUMIFS(DECKS!$D$2:$D$1201,DECKS!$A$2:$A$1201,INDEX(_LEITURA!$P$2:$P$21,7),DECKS!$B$2:$B$1201,$A144))</f>
        <v/>
      </c>
      <c r="R144" s="19" t="str">
        <f aca="false">IF(OR($A144="",INDEX(_LEITURA!$Q$2:$Q$21,8)=0),"",SUMIFS(DECKS!$D$2:$D$1201,DECKS!$A$2:$A$1201,INDEX(_LEITURA!$P$2:$P$21,8),DECKS!$B$2:$B$1201,$A144))</f>
        <v/>
      </c>
      <c r="S144" s="19" t="str">
        <f aca="false">IF(OR($A144="",INDEX(_LEITURA!$Q$2:$Q$21,9)=0),"",SUMIFS(DECKS!$D$2:$D$1201,DECKS!$A$2:$A$1201,INDEX(_LEITURA!$P$2:$P$21,9),DECKS!$B$2:$B$1201,$A144))</f>
        <v/>
      </c>
      <c r="T144" s="19" t="str">
        <f aca="false">IF(OR($A144="",INDEX(_LEITURA!$Q$2:$Q$21,10)=0),"",SUMIFS(DECKS!$D$2:$D$1201,DECKS!$A$2:$A$1201,INDEX(_LEITURA!$P$2:$P$21,10),DECKS!$B$2:$B$1201,$A144))</f>
        <v/>
      </c>
      <c r="U144" s="19" t="str">
        <f aca="false">IF(OR($A144="",INDEX(_LEITURA!$Q$2:$Q$21,11)=0),"",SUMIFS(DECKS!$D$2:$D$1201,DECKS!$A$2:$A$1201,INDEX(_LEITURA!$P$2:$P$21,11),DECKS!$B$2:$B$1201,$A144))</f>
        <v/>
      </c>
      <c r="V144" s="19" t="str">
        <f aca="false">IF(OR($A144="",INDEX(_LEITURA!$Q$2:$Q$21,12)=0),"",SUMIFS(DECKS!$D$2:$D$1201,DECKS!$A$2:$A$1201,INDEX(_LEITURA!$P$2:$P$21,12),DECKS!$B$2:$B$1201,$A144))</f>
        <v/>
      </c>
      <c r="W144" s="19" t="str">
        <f aca="false">IF(OR($A144="",INDEX(_LEITURA!$Q$2:$Q$21,13)=0),"",SUMIFS(DECKS!$D$2:$D$1201,DECKS!$A$2:$A$1201,INDEX(_LEITURA!$P$2:$P$21,13),DECKS!$B$2:$B$1201,$A144))</f>
        <v/>
      </c>
      <c r="X144" s="19" t="str">
        <f aca="false">IF(OR($A144="",INDEX(_LEITURA!$Q$2:$Q$21,14)=0),"",SUMIFS(DECKS!$D$2:$D$1201,DECKS!$A$2:$A$1201,INDEX(_LEITURA!$P$2:$P$21,14),DECKS!$B$2:$B$1201,$A144))</f>
        <v/>
      </c>
      <c r="Y144" s="19" t="str">
        <f aca="false">IF(OR($A144="",INDEX(_LEITURA!$Q$2:$Q$21,15)=0),"",SUMIFS(DECKS!$D$2:$D$1201,DECKS!$A$2:$A$1201,INDEX(_LEITURA!$P$2:$P$21,15),DECKS!$B$2:$B$1201,$A144))</f>
        <v/>
      </c>
      <c r="Z144" s="19" t="str">
        <f aca="false">IF(OR($A144="",INDEX(_LEITURA!$Q$2:$Q$21,16)=0),"",SUMIFS(DECKS!$D$2:$D$1201,DECKS!$A$2:$A$1201,INDEX(_LEITURA!$P$2:$P$21,16),DECKS!$B$2:$B$1201,$A144))</f>
        <v/>
      </c>
      <c r="AA144" s="19" t="str">
        <f aca="false">IF(OR($A144="",INDEX(_LEITURA!$Q$2:$Q$21,17)=0),"",SUMIFS(DECKS!$D$2:$D$1201,DECKS!$A$2:$A$1201,INDEX(_LEITURA!$P$2:$P$21,17),DECKS!$B$2:$B$1201,$A144))</f>
        <v/>
      </c>
      <c r="AB144" s="19" t="str">
        <f aca="false">IF(OR($A144="",INDEX(_LEITURA!$Q$2:$Q$21,18)=0),"",SUMIFS(DECKS!$D$2:$D$1201,DECKS!$A$2:$A$1201,INDEX(_LEITURA!$P$2:$P$21,18),DECKS!$B$2:$B$1201,$A144))</f>
        <v/>
      </c>
      <c r="AC144" s="19" t="str">
        <f aca="false">IF(OR($A144="",INDEX(_LEITURA!$Q$2:$Q$21,19)=0),"",SUMIFS(DECKS!$D$2:$D$1201,DECKS!$A$2:$A$1201,INDEX(_LEITURA!$P$2:$P$21,19),DECKS!$B$2:$B$1201,$A144))</f>
        <v/>
      </c>
      <c r="AD144" s="19" t="str">
        <f aca="false">IF(OR($A144="",INDEX(_LEITURA!$Q$2:$Q$21,20)=0),"",SUMIFS(DECKS!$D$2:$D$1201,DECKS!$A$2:$A$1201,INDEX(_LEITURA!$P$2:$P$21,20),DECKS!$B$2:$B$1201,$A144))</f>
        <v/>
      </c>
      <c r="AE144" s="16" t="str">
        <f aca="false">IF(N(E144)&gt;0,MAX(AE$1:AE143)+1,"")</f>
        <v/>
      </c>
      <c r="AF144" s="11" t="str">
        <f aca="false">IF(A144="","",IFERROR(LEFT(A144,FIND("-",A144)-1),A144))</f>
        <v/>
      </c>
      <c r="AG144" s="11" t="str">
        <f aca="false">IF(AF144="","",IF(ISNUMBER(--MID(AF144,1,1)),0,IF(ISNUMBER(--MID(AF144,2,1)),1,IF(ISNUMBER(--MID(AF144,3,1)),2,IF(ISNUMBER(--MID(AF144,4,1)),3,MIN(LEN(AF144),4))))))</f>
        <v/>
      </c>
      <c r="AH144" s="11" t="str">
        <f aca="false">IF(A144="","",LEFT(AF144,AG144)&amp;REPT("0",4-AG144)&amp;RIGHT("000"&amp;IFERROR(VALUE(MID(AF144,AG144+1,9)),0),3)&amp;RIGHT("0000"&amp;IFERROR(VALUE(MID(A144,FIND("-",A144)+1,9)),0),4))</f>
        <v/>
      </c>
      <c r="AI144" s="11" t="str">
        <f aca="false">IF(OR(A144="",N(E144)&lt;=0),"",IF('FALTAS GERAL'!$M$1="Código","K"&amp;AH144&amp;RIGHT("00000"&amp;ROW(),5),IF('FALTAS GERAL'!$M$1="Nome","K"&amp;UPPER(SUBSTITUTE(SUBSTITUTE(SUBSTITUTE(B144,"*",""),"?",""),"~",""))&amp;"0"&amp;AH144&amp;RIGHT("00000"&amp;ROW(),5),IF('FALTAS GERAL'!$M$1="Falta (maior primeiro)","K"&amp;RIGHT("0000"&amp;(9999-E144),4)&amp;AH144&amp;RIGHT("00000"&amp;ROW(),5),IF('FALTAS GERAL'!$M$1="Nº de decks (maior primeiro)","K"&amp;RIGHT("00"&amp;(99-N(G144)),2)&amp;AH144&amp;RIGHT("00000"&amp;ROW(),5),"K"&amp;RIGHT("00000"&amp;ROW(),5))))))</f>
        <v/>
      </c>
      <c r="AJ144" s="11" t="str">
        <f aca="false">IF(AI144="","",COUNTIFS($AI$2:$AI$801,"&lt;"&amp;AI144,$E$2:$E$801,"&gt;0")+1)</f>
        <v/>
      </c>
      <c r="AK144" s="11" t="str">
        <f aca="false">IF(OR(A144="",N(E144)&lt;=0),"",COUNTIFS($AH$2:$AH$801,"&lt;"&amp;AH144,$E$2:$E$801,"&gt;0")+COUNTIFS($AH$2:AH144,AH144,$E$2:E144,"&gt;0"))</f>
        <v/>
      </c>
    </row>
    <row r="145" customFormat="false" ht="15" hidden="false" customHeight="false" outlineLevel="0" collapsed="false">
      <c r="A145" s="11" t="str">
        <f aca="false">IF(INVENTÁRIO!A145="","",INVENTÁRIO!A145)</f>
        <v/>
      </c>
      <c r="B145" s="11" t="str">
        <f aca="false">IF(A145="","",INVENTÁRIO!B145)</f>
        <v/>
      </c>
      <c r="C145" s="16" t="str">
        <f aca="false">IF(A145="","",INVENTÁRIO!C145)</f>
        <v/>
      </c>
      <c r="D145" s="14" t="str">
        <f aca="false">IF(A145="","",MAX(K145:AD145))</f>
        <v/>
      </c>
      <c r="E145" s="14" t="str">
        <f aca="false">IF(A145="","",MAX(0,D145-C145))</f>
        <v/>
      </c>
      <c r="F145" s="16" t="str">
        <f aca="false">IF(A145="","",IF(D145=0,"Fora dos decks",IF(E145=0,"Completo","Falta")))</f>
        <v/>
      </c>
      <c r="G145" s="16" t="str">
        <f aca="false">IF(A145="","",COUNTIF(K145:AD145,"&gt;0"))</f>
        <v/>
      </c>
      <c r="H145" s="16" t="str">
        <f aca="false">IF(A145="","",IF(G145&gt;1,"Sim",""))</f>
        <v/>
      </c>
      <c r="I145" s="18" t="str">
        <f aca="false">IF(A145="","",SUMIFS(DECKS!$D$2:$D$1201,DECKS!$B$2:$B$1201,A145))</f>
        <v/>
      </c>
      <c r="J145" s="18" t="str">
        <f aca="false">IF(A145="","",MAX(0,I145-C145))</f>
        <v/>
      </c>
      <c r="K145" s="19" t="str">
        <f aca="false">IF(OR($A145="",INDEX(_LEITURA!$Q$2:$Q$21,1)=0),"",SUMIFS(DECKS!$D$2:$D$1201,DECKS!$A$2:$A$1201,INDEX(_LEITURA!$P$2:$P$21,1),DECKS!$B$2:$B$1201,$A145))</f>
        <v/>
      </c>
      <c r="L145" s="19" t="str">
        <f aca="false">IF(OR($A145="",INDEX(_LEITURA!$Q$2:$Q$21,2)=0),"",SUMIFS(DECKS!$D$2:$D$1201,DECKS!$A$2:$A$1201,INDEX(_LEITURA!$P$2:$P$21,2),DECKS!$B$2:$B$1201,$A145))</f>
        <v/>
      </c>
      <c r="M145" s="19" t="str">
        <f aca="false">IF(OR($A145="",INDEX(_LEITURA!$Q$2:$Q$21,3)=0),"",SUMIFS(DECKS!$D$2:$D$1201,DECKS!$A$2:$A$1201,INDEX(_LEITURA!$P$2:$P$21,3),DECKS!$B$2:$B$1201,$A145))</f>
        <v/>
      </c>
      <c r="N145" s="19" t="str">
        <f aca="false">IF(OR($A145="",INDEX(_LEITURA!$Q$2:$Q$21,4)=0),"",SUMIFS(DECKS!$D$2:$D$1201,DECKS!$A$2:$A$1201,INDEX(_LEITURA!$P$2:$P$21,4),DECKS!$B$2:$B$1201,$A145))</f>
        <v/>
      </c>
      <c r="O145" s="19" t="str">
        <f aca="false">IF(OR($A145="",INDEX(_LEITURA!$Q$2:$Q$21,5)=0),"",SUMIFS(DECKS!$D$2:$D$1201,DECKS!$A$2:$A$1201,INDEX(_LEITURA!$P$2:$P$21,5),DECKS!$B$2:$B$1201,$A145))</f>
        <v/>
      </c>
      <c r="P145" s="19" t="str">
        <f aca="false">IF(OR($A145="",INDEX(_LEITURA!$Q$2:$Q$21,6)=0),"",SUMIFS(DECKS!$D$2:$D$1201,DECKS!$A$2:$A$1201,INDEX(_LEITURA!$P$2:$P$21,6),DECKS!$B$2:$B$1201,$A145))</f>
        <v/>
      </c>
      <c r="Q145" s="19" t="str">
        <f aca="false">IF(OR($A145="",INDEX(_LEITURA!$Q$2:$Q$21,7)=0),"",SUMIFS(DECKS!$D$2:$D$1201,DECKS!$A$2:$A$1201,INDEX(_LEITURA!$P$2:$P$21,7),DECKS!$B$2:$B$1201,$A145))</f>
        <v/>
      </c>
      <c r="R145" s="19" t="str">
        <f aca="false">IF(OR($A145="",INDEX(_LEITURA!$Q$2:$Q$21,8)=0),"",SUMIFS(DECKS!$D$2:$D$1201,DECKS!$A$2:$A$1201,INDEX(_LEITURA!$P$2:$P$21,8),DECKS!$B$2:$B$1201,$A145))</f>
        <v/>
      </c>
      <c r="S145" s="19" t="str">
        <f aca="false">IF(OR($A145="",INDEX(_LEITURA!$Q$2:$Q$21,9)=0),"",SUMIFS(DECKS!$D$2:$D$1201,DECKS!$A$2:$A$1201,INDEX(_LEITURA!$P$2:$P$21,9),DECKS!$B$2:$B$1201,$A145))</f>
        <v/>
      </c>
      <c r="T145" s="19" t="str">
        <f aca="false">IF(OR($A145="",INDEX(_LEITURA!$Q$2:$Q$21,10)=0),"",SUMIFS(DECKS!$D$2:$D$1201,DECKS!$A$2:$A$1201,INDEX(_LEITURA!$P$2:$P$21,10),DECKS!$B$2:$B$1201,$A145))</f>
        <v/>
      </c>
      <c r="U145" s="19" t="str">
        <f aca="false">IF(OR($A145="",INDEX(_LEITURA!$Q$2:$Q$21,11)=0),"",SUMIFS(DECKS!$D$2:$D$1201,DECKS!$A$2:$A$1201,INDEX(_LEITURA!$P$2:$P$21,11),DECKS!$B$2:$B$1201,$A145))</f>
        <v/>
      </c>
      <c r="V145" s="19" t="str">
        <f aca="false">IF(OR($A145="",INDEX(_LEITURA!$Q$2:$Q$21,12)=0),"",SUMIFS(DECKS!$D$2:$D$1201,DECKS!$A$2:$A$1201,INDEX(_LEITURA!$P$2:$P$21,12),DECKS!$B$2:$B$1201,$A145))</f>
        <v/>
      </c>
      <c r="W145" s="19" t="str">
        <f aca="false">IF(OR($A145="",INDEX(_LEITURA!$Q$2:$Q$21,13)=0),"",SUMIFS(DECKS!$D$2:$D$1201,DECKS!$A$2:$A$1201,INDEX(_LEITURA!$P$2:$P$21,13),DECKS!$B$2:$B$1201,$A145))</f>
        <v/>
      </c>
      <c r="X145" s="19" t="str">
        <f aca="false">IF(OR($A145="",INDEX(_LEITURA!$Q$2:$Q$21,14)=0),"",SUMIFS(DECKS!$D$2:$D$1201,DECKS!$A$2:$A$1201,INDEX(_LEITURA!$P$2:$P$21,14),DECKS!$B$2:$B$1201,$A145))</f>
        <v/>
      </c>
      <c r="Y145" s="19" t="str">
        <f aca="false">IF(OR($A145="",INDEX(_LEITURA!$Q$2:$Q$21,15)=0),"",SUMIFS(DECKS!$D$2:$D$1201,DECKS!$A$2:$A$1201,INDEX(_LEITURA!$P$2:$P$21,15),DECKS!$B$2:$B$1201,$A145))</f>
        <v/>
      </c>
      <c r="Z145" s="19" t="str">
        <f aca="false">IF(OR($A145="",INDEX(_LEITURA!$Q$2:$Q$21,16)=0),"",SUMIFS(DECKS!$D$2:$D$1201,DECKS!$A$2:$A$1201,INDEX(_LEITURA!$P$2:$P$21,16),DECKS!$B$2:$B$1201,$A145))</f>
        <v/>
      </c>
      <c r="AA145" s="19" t="str">
        <f aca="false">IF(OR($A145="",INDEX(_LEITURA!$Q$2:$Q$21,17)=0),"",SUMIFS(DECKS!$D$2:$D$1201,DECKS!$A$2:$A$1201,INDEX(_LEITURA!$P$2:$P$21,17),DECKS!$B$2:$B$1201,$A145))</f>
        <v/>
      </c>
      <c r="AB145" s="19" t="str">
        <f aca="false">IF(OR($A145="",INDEX(_LEITURA!$Q$2:$Q$21,18)=0),"",SUMIFS(DECKS!$D$2:$D$1201,DECKS!$A$2:$A$1201,INDEX(_LEITURA!$P$2:$P$21,18),DECKS!$B$2:$B$1201,$A145))</f>
        <v/>
      </c>
      <c r="AC145" s="19" t="str">
        <f aca="false">IF(OR($A145="",INDEX(_LEITURA!$Q$2:$Q$21,19)=0),"",SUMIFS(DECKS!$D$2:$D$1201,DECKS!$A$2:$A$1201,INDEX(_LEITURA!$P$2:$P$21,19),DECKS!$B$2:$B$1201,$A145))</f>
        <v/>
      </c>
      <c r="AD145" s="19" t="str">
        <f aca="false">IF(OR($A145="",INDEX(_LEITURA!$Q$2:$Q$21,20)=0),"",SUMIFS(DECKS!$D$2:$D$1201,DECKS!$A$2:$A$1201,INDEX(_LEITURA!$P$2:$P$21,20),DECKS!$B$2:$B$1201,$A145))</f>
        <v/>
      </c>
      <c r="AE145" s="16" t="str">
        <f aca="false">IF(N(E145)&gt;0,MAX(AE$1:AE144)+1,"")</f>
        <v/>
      </c>
      <c r="AF145" s="11" t="str">
        <f aca="false">IF(A145="","",IFERROR(LEFT(A145,FIND("-",A145)-1),A145))</f>
        <v/>
      </c>
      <c r="AG145" s="11" t="str">
        <f aca="false">IF(AF145="","",IF(ISNUMBER(--MID(AF145,1,1)),0,IF(ISNUMBER(--MID(AF145,2,1)),1,IF(ISNUMBER(--MID(AF145,3,1)),2,IF(ISNUMBER(--MID(AF145,4,1)),3,MIN(LEN(AF145),4))))))</f>
        <v/>
      </c>
      <c r="AH145" s="11" t="str">
        <f aca="false">IF(A145="","",LEFT(AF145,AG145)&amp;REPT("0",4-AG145)&amp;RIGHT("000"&amp;IFERROR(VALUE(MID(AF145,AG145+1,9)),0),3)&amp;RIGHT("0000"&amp;IFERROR(VALUE(MID(A145,FIND("-",A145)+1,9)),0),4))</f>
        <v/>
      </c>
      <c r="AI145" s="11" t="str">
        <f aca="false">IF(OR(A145="",N(E145)&lt;=0),"",IF('FALTAS GERAL'!$M$1="Código","K"&amp;AH145&amp;RIGHT("00000"&amp;ROW(),5),IF('FALTAS GERAL'!$M$1="Nome","K"&amp;UPPER(SUBSTITUTE(SUBSTITUTE(SUBSTITUTE(B145,"*",""),"?",""),"~",""))&amp;"0"&amp;AH145&amp;RIGHT("00000"&amp;ROW(),5),IF('FALTAS GERAL'!$M$1="Falta (maior primeiro)","K"&amp;RIGHT("0000"&amp;(9999-E145),4)&amp;AH145&amp;RIGHT("00000"&amp;ROW(),5),IF('FALTAS GERAL'!$M$1="Nº de decks (maior primeiro)","K"&amp;RIGHT("00"&amp;(99-N(G145)),2)&amp;AH145&amp;RIGHT("00000"&amp;ROW(),5),"K"&amp;RIGHT("00000"&amp;ROW(),5))))))</f>
        <v/>
      </c>
      <c r="AJ145" s="11" t="str">
        <f aca="false">IF(AI145="","",COUNTIFS($AI$2:$AI$801,"&lt;"&amp;AI145,$E$2:$E$801,"&gt;0")+1)</f>
        <v/>
      </c>
      <c r="AK145" s="11" t="str">
        <f aca="false">IF(OR(A145="",N(E145)&lt;=0),"",COUNTIFS($AH$2:$AH$801,"&lt;"&amp;AH145,$E$2:$E$801,"&gt;0")+COUNTIFS($AH$2:AH145,AH145,$E$2:E145,"&gt;0"))</f>
        <v/>
      </c>
    </row>
    <row r="146" customFormat="false" ht="15" hidden="false" customHeight="false" outlineLevel="0" collapsed="false">
      <c r="A146" s="11" t="str">
        <f aca="false">IF(INVENTÁRIO!A146="","",INVENTÁRIO!A146)</f>
        <v/>
      </c>
      <c r="B146" s="11" t="str">
        <f aca="false">IF(A146="","",INVENTÁRIO!B146)</f>
        <v/>
      </c>
      <c r="C146" s="16" t="str">
        <f aca="false">IF(A146="","",INVENTÁRIO!C146)</f>
        <v/>
      </c>
      <c r="D146" s="14" t="str">
        <f aca="false">IF(A146="","",MAX(K146:AD146))</f>
        <v/>
      </c>
      <c r="E146" s="14" t="str">
        <f aca="false">IF(A146="","",MAX(0,D146-C146))</f>
        <v/>
      </c>
      <c r="F146" s="16" t="str">
        <f aca="false">IF(A146="","",IF(D146=0,"Fora dos decks",IF(E146=0,"Completo","Falta")))</f>
        <v/>
      </c>
      <c r="G146" s="16" t="str">
        <f aca="false">IF(A146="","",COUNTIF(K146:AD146,"&gt;0"))</f>
        <v/>
      </c>
      <c r="H146" s="16" t="str">
        <f aca="false">IF(A146="","",IF(G146&gt;1,"Sim",""))</f>
        <v/>
      </c>
      <c r="I146" s="18" t="str">
        <f aca="false">IF(A146="","",SUMIFS(DECKS!$D$2:$D$1201,DECKS!$B$2:$B$1201,A146))</f>
        <v/>
      </c>
      <c r="J146" s="18" t="str">
        <f aca="false">IF(A146="","",MAX(0,I146-C146))</f>
        <v/>
      </c>
      <c r="K146" s="19" t="str">
        <f aca="false">IF(OR($A146="",INDEX(_LEITURA!$Q$2:$Q$21,1)=0),"",SUMIFS(DECKS!$D$2:$D$1201,DECKS!$A$2:$A$1201,INDEX(_LEITURA!$P$2:$P$21,1),DECKS!$B$2:$B$1201,$A146))</f>
        <v/>
      </c>
      <c r="L146" s="19" t="str">
        <f aca="false">IF(OR($A146="",INDEX(_LEITURA!$Q$2:$Q$21,2)=0),"",SUMIFS(DECKS!$D$2:$D$1201,DECKS!$A$2:$A$1201,INDEX(_LEITURA!$P$2:$P$21,2),DECKS!$B$2:$B$1201,$A146))</f>
        <v/>
      </c>
      <c r="M146" s="19" t="str">
        <f aca="false">IF(OR($A146="",INDEX(_LEITURA!$Q$2:$Q$21,3)=0),"",SUMIFS(DECKS!$D$2:$D$1201,DECKS!$A$2:$A$1201,INDEX(_LEITURA!$P$2:$P$21,3),DECKS!$B$2:$B$1201,$A146))</f>
        <v/>
      </c>
      <c r="N146" s="19" t="str">
        <f aca="false">IF(OR($A146="",INDEX(_LEITURA!$Q$2:$Q$21,4)=0),"",SUMIFS(DECKS!$D$2:$D$1201,DECKS!$A$2:$A$1201,INDEX(_LEITURA!$P$2:$P$21,4),DECKS!$B$2:$B$1201,$A146))</f>
        <v/>
      </c>
      <c r="O146" s="19" t="str">
        <f aca="false">IF(OR($A146="",INDEX(_LEITURA!$Q$2:$Q$21,5)=0),"",SUMIFS(DECKS!$D$2:$D$1201,DECKS!$A$2:$A$1201,INDEX(_LEITURA!$P$2:$P$21,5),DECKS!$B$2:$B$1201,$A146))</f>
        <v/>
      </c>
      <c r="P146" s="19" t="str">
        <f aca="false">IF(OR($A146="",INDEX(_LEITURA!$Q$2:$Q$21,6)=0),"",SUMIFS(DECKS!$D$2:$D$1201,DECKS!$A$2:$A$1201,INDEX(_LEITURA!$P$2:$P$21,6),DECKS!$B$2:$B$1201,$A146))</f>
        <v/>
      </c>
      <c r="Q146" s="19" t="str">
        <f aca="false">IF(OR($A146="",INDEX(_LEITURA!$Q$2:$Q$21,7)=0),"",SUMIFS(DECKS!$D$2:$D$1201,DECKS!$A$2:$A$1201,INDEX(_LEITURA!$P$2:$P$21,7),DECKS!$B$2:$B$1201,$A146))</f>
        <v/>
      </c>
      <c r="R146" s="19" t="str">
        <f aca="false">IF(OR($A146="",INDEX(_LEITURA!$Q$2:$Q$21,8)=0),"",SUMIFS(DECKS!$D$2:$D$1201,DECKS!$A$2:$A$1201,INDEX(_LEITURA!$P$2:$P$21,8),DECKS!$B$2:$B$1201,$A146))</f>
        <v/>
      </c>
      <c r="S146" s="19" t="str">
        <f aca="false">IF(OR($A146="",INDEX(_LEITURA!$Q$2:$Q$21,9)=0),"",SUMIFS(DECKS!$D$2:$D$1201,DECKS!$A$2:$A$1201,INDEX(_LEITURA!$P$2:$P$21,9),DECKS!$B$2:$B$1201,$A146))</f>
        <v/>
      </c>
      <c r="T146" s="19" t="str">
        <f aca="false">IF(OR($A146="",INDEX(_LEITURA!$Q$2:$Q$21,10)=0),"",SUMIFS(DECKS!$D$2:$D$1201,DECKS!$A$2:$A$1201,INDEX(_LEITURA!$P$2:$P$21,10),DECKS!$B$2:$B$1201,$A146))</f>
        <v/>
      </c>
      <c r="U146" s="19" t="str">
        <f aca="false">IF(OR($A146="",INDEX(_LEITURA!$Q$2:$Q$21,11)=0),"",SUMIFS(DECKS!$D$2:$D$1201,DECKS!$A$2:$A$1201,INDEX(_LEITURA!$P$2:$P$21,11),DECKS!$B$2:$B$1201,$A146))</f>
        <v/>
      </c>
      <c r="V146" s="19" t="str">
        <f aca="false">IF(OR($A146="",INDEX(_LEITURA!$Q$2:$Q$21,12)=0),"",SUMIFS(DECKS!$D$2:$D$1201,DECKS!$A$2:$A$1201,INDEX(_LEITURA!$P$2:$P$21,12),DECKS!$B$2:$B$1201,$A146))</f>
        <v/>
      </c>
      <c r="W146" s="19" t="str">
        <f aca="false">IF(OR($A146="",INDEX(_LEITURA!$Q$2:$Q$21,13)=0),"",SUMIFS(DECKS!$D$2:$D$1201,DECKS!$A$2:$A$1201,INDEX(_LEITURA!$P$2:$P$21,13),DECKS!$B$2:$B$1201,$A146))</f>
        <v/>
      </c>
      <c r="X146" s="19" t="str">
        <f aca="false">IF(OR($A146="",INDEX(_LEITURA!$Q$2:$Q$21,14)=0),"",SUMIFS(DECKS!$D$2:$D$1201,DECKS!$A$2:$A$1201,INDEX(_LEITURA!$P$2:$P$21,14),DECKS!$B$2:$B$1201,$A146))</f>
        <v/>
      </c>
      <c r="Y146" s="19" t="str">
        <f aca="false">IF(OR($A146="",INDEX(_LEITURA!$Q$2:$Q$21,15)=0),"",SUMIFS(DECKS!$D$2:$D$1201,DECKS!$A$2:$A$1201,INDEX(_LEITURA!$P$2:$P$21,15),DECKS!$B$2:$B$1201,$A146))</f>
        <v/>
      </c>
      <c r="Z146" s="19" t="str">
        <f aca="false">IF(OR($A146="",INDEX(_LEITURA!$Q$2:$Q$21,16)=0),"",SUMIFS(DECKS!$D$2:$D$1201,DECKS!$A$2:$A$1201,INDEX(_LEITURA!$P$2:$P$21,16),DECKS!$B$2:$B$1201,$A146))</f>
        <v/>
      </c>
      <c r="AA146" s="19" t="str">
        <f aca="false">IF(OR($A146="",INDEX(_LEITURA!$Q$2:$Q$21,17)=0),"",SUMIFS(DECKS!$D$2:$D$1201,DECKS!$A$2:$A$1201,INDEX(_LEITURA!$P$2:$P$21,17),DECKS!$B$2:$B$1201,$A146))</f>
        <v/>
      </c>
      <c r="AB146" s="19" t="str">
        <f aca="false">IF(OR($A146="",INDEX(_LEITURA!$Q$2:$Q$21,18)=0),"",SUMIFS(DECKS!$D$2:$D$1201,DECKS!$A$2:$A$1201,INDEX(_LEITURA!$P$2:$P$21,18),DECKS!$B$2:$B$1201,$A146))</f>
        <v/>
      </c>
      <c r="AC146" s="19" t="str">
        <f aca="false">IF(OR($A146="",INDEX(_LEITURA!$Q$2:$Q$21,19)=0),"",SUMIFS(DECKS!$D$2:$D$1201,DECKS!$A$2:$A$1201,INDEX(_LEITURA!$P$2:$P$21,19),DECKS!$B$2:$B$1201,$A146))</f>
        <v/>
      </c>
      <c r="AD146" s="19" t="str">
        <f aca="false">IF(OR($A146="",INDEX(_LEITURA!$Q$2:$Q$21,20)=0),"",SUMIFS(DECKS!$D$2:$D$1201,DECKS!$A$2:$A$1201,INDEX(_LEITURA!$P$2:$P$21,20),DECKS!$B$2:$B$1201,$A146))</f>
        <v/>
      </c>
      <c r="AE146" s="16" t="str">
        <f aca="false">IF(N(E146)&gt;0,MAX(AE$1:AE145)+1,"")</f>
        <v/>
      </c>
      <c r="AF146" s="11" t="str">
        <f aca="false">IF(A146="","",IFERROR(LEFT(A146,FIND("-",A146)-1),A146))</f>
        <v/>
      </c>
      <c r="AG146" s="11" t="str">
        <f aca="false">IF(AF146="","",IF(ISNUMBER(--MID(AF146,1,1)),0,IF(ISNUMBER(--MID(AF146,2,1)),1,IF(ISNUMBER(--MID(AF146,3,1)),2,IF(ISNUMBER(--MID(AF146,4,1)),3,MIN(LEN(AF146),4))))))</f>
        <v/>
      </c>
      <c r="AH146" s="11" t="str">
        <f aca="false">IF(A146="","",LEFT(AF146,AG146)&amp;REPT("0",4-AG146)&amp;RIGHT("000"&amp;IFERROR(VALUE(MID(AF146,AG146+1,9)),0),3)&amp;RIGHT("0000"&amp;IFERROR(VALUE(MID(A146,FIND("-",A146)+1,9)),0),4))</f>
        <v/>
      </c>
      <c r="AI146" s="11" t="str">
        <f aca="false">IF(OR(A146="",N(E146)&lt;=0),"",IF('FALTAS GERAL'!$M$1="Código","K"&amp;AH146&amp;RIGHT("00000"&amp;ROW(),5),IF('FALTAS GERAL'!$M$1="Nome","K"&amp;UPPER(SUBSTITUTE(SUBSTITUTE(SUBSTITUTE(B146,"*",""),"?",""),"~",""))&amp;"0"&amp;AH146&amp;RIGHT("00000"&amp;ROW(),5),IF('FALTAS GERAL'!$M$1="Falta (maior primeiro)","K"&amp;RIGHT("0000"&amp;(9999-E146),4)&amp;AH146&amp;RIGHT("00000"&amp;ROW(),5),IF('FALTAS GERAL'!$M$1="Nº de decks (maior primeiro)","K"&amp;RIGHT("00"&amp;(99-N(G146)),2)&amp;AH146&amp;RIGHT("00000"&amp;ROW(),5),"K"&amp;RIGHT("00000"&amp;ROW(),5))))))</f>
        <v/>
      </c>
      <c r="AJ146" s="11" t="str">
        <f aca="false">IF(AI146="","",COUNTIFS($AI$2:$AI$801,"&lt;"&amp;AI146,$E$2:$E$801,"&gt;0")+1)</f>
        <v/>
      </c>
      <c r="AK146" s="11" t="str">
        <f aca="false">IF(OR(A146="",N(E146)&lt;=0),"",COUNTIFS($AH$2:$AH$801,"&lt;"&amp;AH146,$E$2:$E$801,"&gt;0")+COUNTIFS($AH$2:AH146,AH146,$E$2:E146,"&gt;0"))</f>
        <v/>
      </c>
    </row>
    <row r="147" customFormat="false" ht="15" hidden="false" customHeight="false" outlineLevel="0" collapsed="false">
      <c r="A147" s="11" t="str">
        <f aca="false">IF(INVENTÁRIO!A147="","",INVENTÁRIO!A147)</f>
        <v/>
      </c>
      <c r="B147" s="11" t="str">
        <f aca="false">IF(A147="","",INVENTÁRIO!B147)</f>
        <v/>
      </c>
      <c r="C147" s="16" t="str">
        <f aca="false">IF(A147="","",INVENTÁRIO!C147)</f>
        <v/>
      </c>
      <c r="D147" s="14" t="str">
        <f aca="false">IF(A147="","",MAX(K147:AD147))</f>
        <v/>
      </c>
      <c r="E147" s="14" t="str">
        <f aca="false">IF(A147="","",MAX(0,D147-C147))</f>
        <v/>
      </c>
      <c r="F147" s="16" t="str">
        <f aca="false">IF(A147="","",IF(D147=0,"Fora dos decks",IF(E147=0,"Completo","Falta")))</f>
        <v/>
      </c>
      <c r="G147" s="16" t="str">
        <f aca="false">IF(A147="","",COUNTIF(K147:AD147,"&gt;0"))</f>
        <v/>
      </c>
      <c r="H147" s="16" t="str">
        <f aca="false">IF(A147="","",IF(G147&gt;1,"Sim",""))</f>
        <v/>
      </c>
      <c r="I147" s="18" t="str">
        <f aca="false">IF(A147="","",SUMIFS(DECKS!$D$2:$D$1201,DECKS!$B$2:$B$1201,A147))</f>
        <v/>
      </c>
      <c r="J147" s="18" t="str">
        <f aca="false">IF(A147="","",MAX(0,I147-C147))</f>
        <v/>
      </c>
      <c r="K147" s="19" t="str">
        <f aca="false">IF(OR($A147="",INDEX(_LEITURA!$Q$2:$Q$21,1)=0),"",SUMIFS(DECKS!$D$2:$D$1201,DECKS!$A$2:$A$1201,INDEX(_LEITURA!$P$2:$P$21,1),DECKS!$B$2:$B$1201,$A147))</f>
        <v/>
      </c>
      <c r="L147" s="19" t="str">
        <f aca="false">IF(OR($A147="",INDEX(_LEITURA!$Q$2:$Q$21,2)=0),"",SUMIFS(DECKS!$D$2:$D$1201,DECKS!$A$2:$A$1201,INDEX(_LEITURA!$P$2:$P$21,2),DECKS!$B$2:$B$1201,$A147))</f>
        <v/>
      </c>
      <c r="M147" s="19" t="str">
        <f aca="false">IF(OR($A147="",INDEX(_LEITURA!$Q$2:$Q$21,3)=0),"",SUMIFS(DECKS!$D$2:$D$1201,DECKS!$A$2:$A$1201,INDEX(_LEITURA!$P$2:$P$21,3),DECKS!$B$2:$B$1201,$A147))</f>
        <v/>
      </c>
      <c r="N147" s="19" t="str">
        <f aca="false">IF(OR($A147="",INDEX(_LEITURA!$Q$2:$Q$21,4)=0),"",SUMIFS(DECKS!$D$2:$D$1201,DECKS!$A$2:$A$1201,INDEX(_LEITURA!$P$2:$P$21,4),DECKS!$B$2:$B$1201,$A147))</f>
        <v/>
      </c>
      <c r="O147" s="19" t="str">
        <f aca="false">IF(OR($A147="",INDEX(_LEITURA!$Q$2:$Q$21,5)=0),"",SUMIFS(DECKS!$D$2:$D$1201,DECKS!$A$2:$A$1201,INDEX(_LEITURA!$P$2:$P$21,5),DECKS!$B$2:$B$1201,$A147))</f>
        <v/>
      </c>
      <c r="P147" s="19" t="str">
        <f aca="false">IF(OR($A147="",INDEX(_LEITURA!$Q$2:$Q$21,6)=0),"",SUMIFS(DECKS!$D$2:$D$1201,DECKS!$A$2:$A$1201,INDEX(_LEITURA!$P$2:$P$21,6),DECKS!$B$2:$B$1201,$A147))</f>
        <v/>
      </c>
      <c r="Q147" s="19" t="str">
        <f aca="false">IF(OR($A147="",INDEX(_LEITURA!$Q$2:$Q$21,7)=0),"",SUMIFS(DECKS!$D$2:$D$1201,DECKS!$A$2:$A$1201,INDEX(_LEITURA!$P$2:$P$21,7),DECKS!$B$2:$B$1201,$A147))</f>
        <v/>
      </c>
      <c r="R147" s="19" t="str">
        <f aca="false">IF(OR($A147="",INDEX(_LEITURA!$Q$2:$Q$21,8)=0),"",SUMIFS(DECKS!$D$2:$D$1201,DECKS!$A$2:$A$1201,INDEX(_LEITURA!$P$2:$P$21,8),DECKS!$B$2:$B$1201,$A147))</f>
        <v/>
      </c>
      <c r="S147" s="19" t="str">
        <f aca="false">IF(OR($A147="",INDEX(_LEITURA!$Q$2:$Q$21,9)=0),"",SUMIFS(DECKS!$D$2:$D$1201,DECKS!$A$2:$A$1201,INDEX(_LEITURA!$P$2:$P$21,9),DECKS!$B$2:$B$1201,$A147))</f>
        <v/>
      </c>
      <c r="T147" s="19" t="str">
        <f aca="false">IF(OR($A147="",INDEX(_LEITURA!$Q$2:$Q$21,10)=0),"",SUMIFS(DECKS!$D$2:$D$1201,DECKS!$A$2:$A$1201,INDEX(_LEITURA!$P$2:$P$21,10),DECKS!$B$2:$B$1201,$A147))</f>
        <v/>
      </c>
      <c r="U147" s="19" t="str">
        <f aca="false">IF(OR($A147="",INDEX(_LEITURA!$Q$2:$Q$21,11)=0),"",SUMIFS(DECKS!$D$2:$D$1201,DECKS!$A$2:$A$1201,INDEX(_LEITURA!$P$2:$P$21,11),DECKS!$B$2:$B$1201,$A147))</f>
        <v/>
      </c>
      <c r="V147" s="19" t="str">
        <f aca="false">IF(OR($A147="",INDEX(_LEITURA!$Q$2:$Q$21,12)=0),"",SUMIFS(DECKS!$D$2:$D$1201,DECKS!$A$2:$A$1201,INDEX(_LEITURA!$P$2:$P$21,12),DECKS!$B$2:$B$1201,$A147))</f>
        <v/>
      </c>
      <c r="W147" s="19" t="str">
        <f aca="false">IF(OR($A147="",INDEX(_LEITURA!$Q$2:$Q$21,13)=0),"",SUMIFS(DECKS!$D$2:$D$1201,DECKS!$A$2:$A$1201,INDEX(_LEITURA!$P$2:$P$21,13),DECKS!$B$2:$B$1201,$A147))</f>
        <v/>
      </c>
      <c r="X147" s="19" t="str">
        <f aca="false">IF(OR($A147="",INDEX(_LEITURA!$Q$2:$Q$21,14)=0),"",SUMIFS(DECKS!$D$2:$D$1201,DECKS!$A$2:$A$1201,INDEX(_LEITURA!$P$2:$P$21,14),DECKS!$B$2:$B$1201,$A147))</f>
        <v/>
      </c>
      <c r="Y147" s="19" t="str">
        <f aca="false">IF(OR($A147="",INDEX(_LEITURA!$Q$2:$Q$21,15)=0),"",SUMIFS(DECKS!$D$2:$D$1201,DECKS!$A$2:$A$1201,INDEX(_LEITURA!$P$2:$P$21,15),DECKS!$B$2:$B$1201,$A147))</f>
        <v/>
      </c>
      <c r="Z147" s="19" t="str">
        <f aca="false">IF(OR($A147="",INDEX(_LEITURA!$Q$2:$Q$21,16)=0),"",SUMIFS(DECKS!$D$2:$D$1201,DECKS!$A$2:$A$1201,INDEX(_LEITURA!$P$2:$P$21,16),DECKS!$B$2:$B$1201,$A147))</f>
        <v/>
      </c>
      <c r="AA147" s="19" t="str">
        <f aca="false">IF(OR($A147="",INDEX(_LEITURA!$Q$2:$Q$21,17)=0),"",SUMIFS(DECKS!$D$2:$D$1201,DECKS!$A$2:$A$1201,INDEX(_LEITURA!$P$2:$P$21,17),DECKS!$B$2:$B$1201,$A147))</f>
        <v/>
      </c>
      <c r="AB147" s="19" t="str">
        <f aca="false">IF(OR($A147="",INDEX(_LEITURA!$Q$2:$Q$21,18)=0),"",SUMIFS(DECKS!$D$2:$D$1201,DECKS!$A$2:$A$1201,INDEX(_LEITURA!$P$2:$P$21,18),DECKS!$B$2:$B$1201,$A147))</f>
        <v/>
      </c>
      <c r="AC147" s="19" t="str">
        <f aca="false">IF(OR($A147="",INDEX(_LEITURA!$Q$2:$Q$21,19)=0),"",SUMIFS(DECKS!$D$2:$D$1201,DECKS!$A$2:$A$1201,INDEX(_LEITURA!$P$2:$P$21,19),DECKS!$B$2:$B$1201,$A147))</f>
        <v/>
      </c>
      <c r="AD147" s="19" t="str">
        <f aca="false">IF(OR($A147="",INDEX(_LEITURA!$Q$2:$Q$21,20)=0),"",SUMIFS(DECKS!$D$2:$D$1201,DECKS!$A$2:$A$1201,INDEX(_LEITURA!$P$2:$P$21,20),DECKS!$B$2:$B$1201,$A147))</f>
        <v/>
      </c>
      <c r="AE147" s="16" t="str">
        <f aca="false">IF(N(E147)&gt;0,MAX(AE$1:AE146)+1,"")</f>
        <v/>
      </c>
      <c r="AF147" s="11" t="str">
        <f aca="false">IF(A147="","",IFERROR(LEFT(A147,FIND("-",A147)-1),A147))</f>
        <v/>
      </c>
      <c r="AG147" s="11" t="str">
        <f aca="false">IF(AF147="","",IF(ISNUMBER(--MID(AF147,1,1)),0,IF(ISNUMBER(--MID(AF147,2,1)),1,IF(ISNUMBER(--MID(AF147,3,1)),2,IF(ISNUMBER(--MID(AF147,4,1)),3,MIN(LEN(AF147),4))))))</f>
        <v/>
      </c>
      <c r="AH147" s="11" t="str">
        <f aca="false">IF(A147="","",LEFT(AF147,AG147)&amp;REPT("0",4-AG147)&amp;RIGHT("000"&amp;IFERROR(VALUE(MID(AF147,AG147+1,9)),0),3)&amp;RIGHT("0000"&amp;IFERROR(VALUE(MID(A147,FIND("-",A147)+1,9)),0),4))</f>
        <v/>
      </c>
      <c r="AI147" s="11" t="str">
        <f aca="false">IF(OR(A147="",N(E147)&lt;=0),"",IF('FALTAS GERAL'!$M$1="Código","K"&amp;AH147&amp;RIGHT("00000"&amp;ROW(),5),IF('FALTAS GERAL'!$M$1="Nome","K"&amp;UPPER(SUBSTITUTE(SUBSTITUTE(SUBSTITUTE(B147,"*",""),"?",""),"~",""))&amp;"0"&amp;AH147&amp;RIGHT("00000"&amp;ROW(),5),IF('FALTAS GERAL'!$M$1="Falta (maior primeiro)","K"&amp;RIGHT("0000"&amp;(9999-E147),4)&amp;AH147&amp;RIGHT("00000"&amp;ROW(),5),IF('FALTAS GERAL'!$M$1="Nº de decks (maior primeiro)","K"&amp;RIGHT("00"&amp;(99-N(G147)),2)&amp;AH147&amp;RIGHT("00000"&amp;ROW(),5),"K"&amp;RIGHT("00000"&amp;ROW(),5))))))</f>
        <v/>
      </c>
      <c r="AJ147" s="11" t="str">
        <f aca="false">IF(AI147="","",COUNTIFS($AI$2:$AI$801,"&lt;"&amp;AI147,$E$2:$E$801,"&gt;0")+1)</f>
        <v/>
      </c>
      <c r="AK147" s="11" t="str">
        <f aca="false">IF(OR(A147="",N(E147)&lt;=0),"",COUNTIFS($AH$2:$AH$801,"&lt;"&amp;AH147,$E$2:$E$801,"&gt;0")+COUNTIFS($AH$2:AH147,AH147,$E$2:E147,"&gt;0"))</f>
        <v/>
      </c>
    </row>
    <row r="148" customFormat="false" ht="15" hidden="false" customHeight="false" outlineLevel="0" collapsed="false">
      <c r="A148" s="11" t="str">
        <f aca="false">IF(INVENTÁRIO!A148="","",INVENTÁRIO!A148)</f>
        <v/>
      </c>
      <c r="B148" s="11" t="str">
        <f aca="false">IF(A148="","",INVENTÁRIO!B148)</f>
        <v/>
      </c>
      <c r="C148" s="16" t="str">
        <f aca="false">IF(A148="","",INVENTÁRIO!C148)</f>
        <v/>
      </c>
      <c r="D148" s="14" t="str">
        <f aca="false">IF(A148="","",MAX(K148:AD148))</f>
        <v/>
      </c>
      <c r="E148" s="14" t="str">
        <f aca="false">IF(A148="","",MAX(0,D148-C148))</f>
        <v/>
      </c>
      <c r="F148" s="16" t="str">
        <f aca="false">IF(A148="","",IF(D148=0,"Fora dos decks",IF(E148=0,"Completo","Falta")))</f>
        <v/>
      </c>
      <c r="G148" s="16" t="str">
        <f aca="false">IF(A148="","",COUNTIF(K148:AD148,"&gt;0"))</f>
        <v/>
      </c>
      <c r="H148" s="16" t="str">
        <f aca="false">IF(A148="","",IF(G148&gt;1,"Sim",""))</f>
        <v/>
      </c>
      <c r="I148" s="18" t="str">
        <f aca="false">IF(A148="","",SUMIFS(DECKS!$D$2:$D$1201,DECKS!$B$2:$B$1201,A148))</f>
        <v/>
      </c>
      <c r="J148" s="18" t="str">
        <f aca="false">IF(A148="","",MAX(0,I148-C148))</f>
        <v/>
      </c>
      <c r="K148" s="19" t="str">
        <f aca="false">IF(OR($A148="",INDEX(_LEITURA!$Q$2:$Q$21,1)=0),"",SUMIFS(DECKS!$D$2:$D$1201,DECKS!$A$2:$A$1201,INDEX(_LEITURA!$P$2:$P$21,1),DECKS!$B$2:$B$1201,$A148))</f>
        <v/>
      </c>
      <c r="L148" s="19" t="str">
        <f aca="false">IF(OR($A148="",INDEX(_LEITURA!$Q$2:$Q$21,2)=0),"",SUMIFS(DECKS!$D$2:$D$1201,DECKS!$A$2:$A$1201,INDEX(_LEITURA!$P$2:$P$21,2),DECKS!$B$2:$B$1201,$A148))</f>
        <v/>
      </c>
      <c r="M148" s="19" t="str">
        <f aca="false">IF(OR($A148="",INDEX(_LEITURA!$Q$2:$Q$21,3)=0),"",SUMIFS(DECKS!$D$2:$D$1201,DECKS!$A$2:$A$1201,INDEX(_LEITURA!$P$2:$P$21,3),DECKS!$B$2:$B$1201,$A148))</f>
        <v/>
      </c>
      <c r="N148" s="19" t="str">
        <f aca="false">IF(OR($A148="",INDEX(_LEITURA!$Q$2:$Q$21,4)=0),"",SUMIFS(DECKS!$D$2:$D$1201,DECKS!$A$2:$A$1201,INDEX(_LEITURA!$P$2:$P$21,4),DECKS!$B$2:$B$1201,$A148))</f>
        <v/>
      </c>
      <c r="O148" s="19" t="str">
        <f aca="false">IF(OR($A148="",INDEX(_LEITURA!$Q$2:$Q$21,5)=0),"",SUMIFS(DECKS!$D$2:$D$1201,DECKS!$A$2:$A$1201,INDEX(_LEITURA!$P$2:$P$21,5),DECKS!$B$2:$B$1201,$A148))</f>
        <v/>
      </c>
      <c r="P148" s="19" t="str">
        <f aca="false">IF(OR($A148="",INDEX(_LEITURA!$Q$2:$Q$21,6)=0),"",SUMIFS(DECKS!$D$2:$D$1201,DECKS!$A$2:$A$1201,INDEX(_LEITURA!$P$2:$P$21,6),DECKS!$B$2:$B$1201,$A148))</f>
        <v/>
      </c>
      <c r="Q148" s="19" t="str">
        <f aca="false">IF(OR($A148="",INDEX(_LEITURA!$Q$2:$Q$21,7)=0),"",SUMIFS(DECKS!$D$2:$D$1201,DECKS!$A$2:$A$1201,INDEX(_LEITURA!$P$2:$P$21,7),DECKS!$B$2:$B$1201,$A148))</f>
        <v/>
      </c>
      <c r="R148" s="19" t="str">
        <f aca="false">IF(OR($A148="",INDEX(_LEITURA!$Q$2:$Q$21,8)=0),"",SUMIFS(DECKS!$D$2:$D$1201,DECKS!$A$2:$A$1201,INDEX(_LEITURA!$P$2:$P$21,8),DECKS!$B$2:$B$1201,$A148))</f>
        <v/>
      </c>
      <c r="S148" s="19" t="str">
        <f aca="false">IF(OR($A148="",INDEX(_LEITURA!$Q$2:$Q$21,9)=0),"",SUMIFS(DECKS!$D$2:$D$1201,DECKS!$A$2:$A$1201,INDEX(_LEITURA!$P$2:$P$21,9),DECKS!$B$2:$B$1201,$A148))</f>
        <v/>
      </c>
      <c r="T148" s="19" t="str">
        <f aca="false">IF(OR($A148="",INDEX(_LEITURA!$Q$2:$Q$21,10)=0),"",SUMIFS(DECKS!$D$2:$D$1201,DECKS!$A$2:$A$1201,INDEX(_LEITURA!$P$2:$P$21,10),DECKS!$B$2:$B$1201,$A148))</f>
        <v/>
      </c>
      <c r="U148" s="19" t="str">
        <f aca="false">IF(OR($A148="",INDEX(_LEITURA!$Q$2:$Q$21,11)=0),"",SUMIFS(DECKS!$D$2:$D$1201,DECKS!$A$2:$A$1201,INDEX(_LEITURA!$P$2:$P$21,11),DECKS!$B$2:$B$1201,$A148))</f>
        <v/>
      </c>
      <c r="V148" s="19" t="str">
        <f aca="false">IF(OR($A148="",INDEX(_LEITURA!$Q$2:$Q$21,12)=0),"",SUMIFS(DECKS!$D$2:$D$1201,DECKS!$A$2:$A$1201,INDEX(_LEITURA!$P$2:$P$21,12),DECKS!$B$2:$B$1201,$A148))</f>
        <v/>
      </c>
      <c r="W148" s="19" t="str">
        <f aca="false">IF(OR($A148="",INDEX(_LEITURA!$Q$2:$Q$21,13)=0),"",SUMIFS(DECKS!$D$2:$D$1201,DECKS!$A$2:$A$1201,INDEX(_LEITURA!$P$2:$P$21,13),DECKS!$B$2:$B$1201,$A148))</f>
        <v/>
      </c>
      <c r="X148" s="19" t="str">
        <f aca="false">IF(OR($A148="",INDEX(_LEITURA!$Q$2:$Q$21,14)=0),"",SUMIFS(DECKS!$D$2:$D$1201,DECKS!$A$2:$A$1201,INDEX(_LEITURA!$P$2:$P$21,14),DECKS!$B$2:$B$1201,$A148))</f>
        <v/>
      </c>
      <c r="Y148" s="19" t="str">
        <f aca="false">IF(OR($A148="",INDEX(_LEITURA!$Q$2:$Q$21,15)=0),"",SUMIFS(DECKS!$D$2:$D$1201,DECKS!$A$2:$A$1201,INDEX(_LEITURA!$P$2:$P$21,15),DECKS!$B$2:$B$1201,$A148))</f>
        <v/>
      </c>
      <c r="Z148" s="19" t="str">
        <f aca="false">IF(OR($A148="",INDEX(_LEITURA!$Q$2:$Q$21,16)=0),"",SUMIFS(DECKS!$D$2:$D$1201,DECKS!$A$2:$A$1201,INDEX(_LEITURA!$P$2:$P$21,16),DECKS!$B$2:$B$1201,$A148))</f>
        <v/>
      </c>
      <c r="AA148" s="19" t="str">
        <f aca="false">IF(OR($A148="",INDEX(_LEITURA!$Q$2:$Q$21,17)=0),"",SUMIFS(DECKS!$D$2:$D$1201,DECKS!$A$2:$A$1201,INDEX(_LEITURA!$P$2:$P$21,17),DECKS!$B$2:$B$1201,$A148))</f>
        <v/>
      </c>
      <c r="AB148" s="19" t="str">
        <f aca="false">IF(OR($A148="",INDEX(_LEITURA!$Q$2:$Q$21,18)=0),"",SUMIFS(DECKS!$D$2:$D$1201,DECKS!$A$2:$A$1201,INDEX(_LEITURA!$P$2:$P$21,18),DECKS!$B$2:$B$1201,$A148))</f>
        <v/>
      </c>
      <c r="AC148" s="19" t="str">
        <f aca="false">IF(OR($A148="",INDEX(_LEITURA!$Q$2:$Q$21,19)=0),"",SUMIFS(DECKS!$D$2:$D$1201,DECKS!$A$2:$A$1201,INDEX(_LEITURA!$P$2:$P$21,19),DECKS!$B$2:$B$1201,$A148))</f>
        <v/>
      </c>
      <c r="AD148" s="19" t="str">
        <f aca="false">IF(OR($A148="",INDEX(_LEITURA!$Q$2:$Q$21,20)=0),"",SUMIFS(DECKS!$D$2:$D$1201,DECKS!$A$2:$A$1201,INDEX(_LEITURA!$P$2:$P$21,20),DECKS!$B$2:$B$1201,$A148))</f>
        <v/>
      </c>
      <c r="AE148" s="16" t="str">
        <f aca="false">IF(N(E148)&gt;0,MAX(AE$1:AE147)+1,"")</f>
        <v/>
      </c>
      <c r="AF148" s="11" t="str">
        <f aca="false">IF(A148="","",IFERROR(LEFT(A148,FIND("-",A148)-1),A148))</f>
        <v/>
      </c>
      <c r="AG148" s="11" t="str">
        <f aca="false">IF(AF148="","",IF(ISNUMBER(--MID(AF148,1,1)),0,IF(ISNUMBER(--MID(AF148,2,1)),1,IF(ISNUMBER(--MID(AF148,3,1)),2,IF(ISNUMBER(--MID(AF148,4,1)),3,MIN(LEN(AF148),4))))))</f>
        <v/>
      </c>
      <c r="AH148" s="11" t="str">
        <f aca="false">IF(A148="","",LEFT(AF148,AG148)&amp;REPT("0",4-AG148)&amp;RIGHT("000"&amp;IFERROR(VALUE(MID(AF148,AG148+1,9)),0),3)&amp;RIGHT("0000"&amp;IFERROR(VALUE(MID(A148,FIND("-",A148)+1,9)),0),4))</f>
        <v/>
      </c>
      <c r="AI148" s="11" t="str">
        <f aca="false">IF(OR(A148="",N(E148)&lt;=0),"",IF('FALTAS GERAL'!$M$1="Código","K"&amp;AH148&amp;RIGHT("00000"&amp;ROW(),5),IF('FALTAS GERAL'!$M$1="Nome","K"&amp;UPPER(SUBSTITUTE(SUBSTITUTE(SUBSTITUTE(B148,"*",""),"?",""),"~",""))&amp;"0"&amp;AH148&amp;RIGHT("00000"&amp;ROW(),5),IF('FALTAS GERAL'!$M$1="Falta (maior primeiro)","K"&amp;RIGHT("0000"&amp;(9999-E148),4)&amp;AH148&amp;RIGHT("00000"&amp;ROW(),5),IF('FALTAS GERAL'!$M$1="Nº de decks (maior primeiro)","K"&amp;RIGHT("00"&amp;(99-N(G148)),2)&amp;AH148&amp;RIGHT("00000"&amp;ROW(),5),"K"&amp;RIGHT("00000"&amp;ROW(),5))))))</f>
        <v/>
      </c>
      <c r="AJ148" s="11" t="str">
        <f aca="false">IF(AI148="","",COUNTIFS($AI$2:$AI$801,"&lt;"&amp;AI148,$E$2:$E$801,"&gt;0")+1)</f>
        <v/>
      </c>
      <c r="AK148" s="11" t="str">
        <f aca="false">IF(OR(A148="",N(E148)&lt;=0),"",COUNTIFS($AH$2:$AH$801,"&lt;"&amp;AH148,$E$2:$E$801,"&gt;0")+COUNTIFS($AH$2:AH148,AH148,$E$2:E148,"&gt;0"))</f>
        <v/>
      </c>
    </row>
    <row r="149" customFormat="false" ht="15" hidden="false" customHeight="false" outlineLevel="0" collapsed="false">
      <c r="A149" s="11" t="str">
        <f aca="false">IF(INVENTÁRIO!A149="","",INVENTÁRIO!A149)</f>
        <v/>
      </c>
      <c r="B149" s="11" t="str">
        <f aca="false">IF(A149="","",INVENTÁRIO!B149)</f>
        <v/>
      </c>
      <c r="C149" s="16" t="str">
        <f aca="false">IF(A149="","",INVENTÁRIO!C149)</f>
        <v/>
      </c>
      <c r="D149" s="14" t="str">
        <f aca="false">IF(A149="","",MAX(K149:AD149))</f>
        <v/>
      </c>
      <c r="E149" s="14" t="str">
        <f aca="false">IF(A149="","",MAX(0,D149-C149))</f>
        <v/>
      </c>
      <c r="F149" s="16" t="str">
        <f aca="false">IF(A149="","",IF(D149=0,"Fora dos decks",IF(E149=0,"Completo","Falta")))</f>
        <v/>
      </c>
      <c r="G149" s="16" t="str">
        <f aca="false">IF(A149="","",COUNTIF(K149:AD149,"&gt;0"))</f>
        <v/>
      </c>
      <c r="H149" s="16" t="str">
        <f aca="false">IF(A149="","",IF(G149&gt;1,"Sim",""))</f>
        <v/>
      </c>
      <c r="I149" s="18" t="str">
        <f aca="false">IF(A149="","",SUMIFS(DECKS!$D$2:$D$1201,DECKS!$B$2:$B$1201,A149))</f>
        <v/>
      </c>
      <c r="J149" s="18" t="str">
        <f aca="false">IF(A149="","",MAX(0,I149-C149))</f>
        <v/>
      </c>
      <c r="K149" s="19" t="str">
        <f aca="false">IF(OR($A149="",INDEX(_LEITURA!$Q$2:$Q$21,1)=0),"",SUMIFS(DECKS!$D$2:$D$1201,DECKS!$A$2:$A$1201,INDEX(_LEITURA!$P$2:$P$21,1),DECKS!$B$2:$B$1201,$A149))</f>
        <v/>
      </c>
      <c r="L149" s="19" t="str">
        <f aca="false">IF(OR($A149="",INDEX(_LEITURA!$Q$2:$Q$21,2)=0),"",SUMIFS(DECKS!$D$2:$D$1201,DECKS!$A$2:$A$1201,INDEX(_LEITURA!$P$2:$P$21,2),DECKS!$B$2:$B$1201,$A149))</f>
        <v/>
      </c>
      <c r="M149" s="19" t="str">
        <f aca="false">IF(OR($A149="",INDEX(_LEITURA!$Q$2:$Q$21,3)=0),"",SUMIFS(DECKS!$D$2:$D$1201,DECKS!$A$2:$A$1201,INDEX(_LEITURA!$P$2:$P$21,3),DECKS!$B$2:$B$1201,$A149))</f>
        <v/>
      </c>
      <c r="N149" s="19" t="str">
        <f aca="false">IF(OR($A149="",INDEX(_LEITURA!$Q$2:$Q$21,4)=0),"",SUMIFS(DECKS!$D$2:$D$1201,DECKS!$A$2:$A$1201,INDEX(_LEITURA!$P$2:$P$21,4),DECKS!$B$2:$B$1201,$A149))</f>
        <v/>
      </c>
      <c r="O149" s="19" t="str">
        <f aca="false">IF(OR($A149="",INDEX(_LEITURA!$Q$2:$Q$21,5)=0),"",SUMIFS(DECKS!$D$2:$D$1201,DECKS!$A$2:$A$1201,INDEX(_LEITURA!$P$2:$P$21,5),DECKS!$B$2:$B$1201,$A149))</f>
        <v/>
      </c>
      <c r="P149" s="19" t="str">
        <f aca="false">IF(OR($A149="",INDEX(_LEITURA!$Q$2:$Q$21,6)=0),"",SUMIFS(DECKS!$D$2:$D$1201,DECKS!$A$2:$A$1201,INDEX(_LEITURA!$P$2:$P$21,6),DECKS!$B$2:$B$1201,$A149))</f>
        <v/>
      </c>
      <c r="Q149" s="19" t="str">
        <f aca="false">IF(OR($A149="",INDEX(_LEITURA!$Q$2:$Q$21,7)=0),"",SUMIFS(DECKS!$D$2:$D$1201,DECKS!$A$2:$A$1201,INDEX(_LEITURA!$P$2:$P$21,7),DECKS!$B$2:$B$1201,$A149))</f>
        <v/>
      </c>
      <c r="R149" s="19" t="str">
        <f aca="false">IF(OR($A149="",INDEX(_LEITURA!$Q$2:$Q$21,8)=0),"",SUMIFS(DECKS!$D$2:$D$1201,DECKS!$A$2:$A$1201,INDEX(_LEITURA!$P$2:$P$21,8),DECKS!$B$2:$B$1201,$A149))</f>
        <v/>
      </c>
      <c r="S149" s="19" t="str">
        <f aca="false">IF(OR($A149="",INDEX(_LEITURA!$Q$2:$Q$21,9)=0),"",SUMIFS(DECKS!$D$2:$D$1201,DECKS!$A$2:$A$1201,INDEX(_LEITURA!$P$2:$P$21,9),DECKS!$B$2:$B$1201,$A149))</f>
        <v/>
      </c>
      <c r="T149" s="19" t="str">
        <f aca="false">IF(OR($A149="",INDEX(_LEITURA!$Q$2:$Q$21,10)=0),"",SUMIFS(DECKS!$D$2:$D$1201,DECKS!$A$2:$A$1201,INDEX(_LEITURA!$P$2:$P$21,10),DECKS!$B$2:$B$1201,$A149))</f>
        <v/>
      </c>
      <c r="U149" s="19" t="str">
        <f aca="false">IF(OR($A149="",INDEX(_LEITURA!$Q$2:$Q$21,11)=0),"",SUMIFS(DECKS!$D$2:$D$1201,DECKS!$A$2:$A$1201,INDEX(_LEITURA!$P$2:$P$21,11),DECKS!$B$2:$B$1201,$A149))</f>
        <v/>
      </c>
      <c r="V149" s="19" t="str">
        <f aca="false">IF(OR($A149="",INDEX(_LEITURA!$Q$2:$Q$21,12)=0),"",SUMIFS(DECKS!$D$2:$D$1201,DECKS!$A$2:$A$1201,INDEX(_LEITURA!$P$2:$P$21,12),DECKS!$B$2:$B$1201,$A149))</f>
        <v/>
      </c>
      <c r="W149" s="19" t="str">
        <f aca="false">IF(OR($A149="",INDEX(_LEITURA!$Q$2:$Q$21,13)=0),"",SUMIFS(DECKS!$D$2:$D$1201,DECKS!$A$2:$A$1201,INDEX(_LEITURA!$P$2:$P$21,13),DECKS!$B$2:$B$1201,$A149))</f>
        <v/>
      </c>
      <c r="X149" s="19" t="str">
        <f aca="false">IF(OR($A149="",INDEX(_LEITURA!$Q$2:$Q$21,14)=0),"",SUMIFS(DECKS!$D$2:$D$1201,DECKS!$A$2:$A$1201,INDEX(_LEITURA!$P$2:$P$21,14),DECKS!$B$2:$B$1201,$A149))</f>
        <v/>
      </c>
      <c r="Y149" s="19" t="str">
        <f aca="false">IF(OR($A149="",INDEX(_LEITURA!$Q$2:$Q$21,15)=0),"",SUMIFS(DECKS!$D$2:$D$1201,DECKS!$A$2:$A$1201,INDEX(_LEITURA!$P$2:$P$21,15),DECKS!$B$2:$B$1201,$A149))</f>
        <v/>
      </c>
      <c r="Z149" s="19" t="str">
        <f aca="false">IF(OR($A149="",INDEX(_LEITURA!$Q$2:$Q$21,16)=0),"",SUMIFS(DECKS!$D$2:$D$1201,DECKS!$A$2:$A$1201,INDEX(_LEITURA!$P$2:$P$21,16),DECKS!$B$2:$B$1201,$A149))</f>
        <v/>
      </c>
      <c r="AA149" s="19" t="str">
        <f aca="false">IF(OR($A149="",INDEX(_LEITURA!$Q$2:$Q$21,17)=0),"",SUMIFS(DECKS!$D$2:$D$1201,DECKS!$A$2:$A$1201,INDEX(_LEITURA!$P$2:$P$21,17),DECKS!$B$2:$B$1201,$A149))</f>
        <v/>
      </c>
      <c r="AB149" s="19" t="str">
        <f aca="false">IF(OR($A149="",INDEX(_LEITURA!$Q$2:$Q$21,18)=0),"",SUMIFS(DECKS!$D$2:$D$1201,DECKS!$A$2:$A$1201,INDEX(_LEITURA!$P$2:$P$21,18),DECKS!$B$2:$B$1201,$A149))</f>
        <v/>
      </c>
      <c r="AC149" s="19" t="str">
        <f aca="false">IF(OR($A149="",INDEX(_LEITURA!$Q$2:$Q$21,19)=0),"",SUMIFS(DECKS!$D$2:$D$1201,DECKS!$A$2:$A$1201,INDEX(_LEITURA!$P$2:$P$21,19),DECKS!$B$2:$B$1201,$A149))</f>
        <v/>
      </c>
      <c r="AD149" s="19" t="str">
        <f aca="false">IF(OR($A149="",INDEX(_LEITURA!$Q$2:$Q$21,20)=0),"",SUMIFS(DECKS!$D$2:$D$1201,DECKS!$A$2:$A$1201,INDEX(_LEITURA!$P$2:$P$21,20),DECKS!$B$2:$B$1201,$A149))</f>
        <v/>
      </c>
      <c r="AE149" s="16" t="str">
        <f aca="false">IF(N(E149)&gt;0,MAX(AE$1:AE148)+1,"")</f>
        <v/>
      </c>
      <c r="AF149" s="11" t="str">
        <f aca="false">IF(A149="","",IFERROR(LEFT(A149,FIND("-",A149)-1),A149))</f>
        <v/>
      </c>
      <c r="AG149" s="11" t="str">
        <f aca="false">IF(AF149="","",IF(ISNUMBER(--MID(AF149,1,1)),0,IF(ISNUMBER(--MID(AF149,2,1)),1,IF(ISNUMBER(--MID(AF149,3,1)),2,IF(ISNUMBER(--MID(AF149,4,1)),3,MIN(LEN(AF149),4))))))</f>
        <v/>
      </c>
      <c r="AH149" s="11" t="str">
        <f aca="false">IF(A149="","",LEFT(AF149,AG149)&amp;REPT("0",4-AG149)&amp;RIGHT("000"&amp;IFERROR(VALUE(MID(AF149,AG149+1,9)),0),3)&amp;RIGHT("0000"&amp;IFERROR(VALUE(MID(A149,FIND("-",A149)+1,9)),0),4))</f>
        <v/>
      </c>
      <c r="AI149" s="11" t="str">
        <f aca="false">IF(OR(A149="",N(E149)&lt;=0),"",IF('FALTAS GERAL'!$M$1="Código","K"&amp;AH149&amp;RIGHT("00000"&amp;ROW(),5),IF('FALTAS GERAL'!$M$1="Nome","K"&amp;UPPER(SUBSTITUTE(SUBSTITUTE(SUBSTITUTE(B149,"*",""),"?",""),"~",""))&amp;"0"&amp;AH149&amp;RIGHT("00000"&amp;ROW(),5),IF('FALTAS GERAL'!$M$1="Falta (maior primeiro)","K"&amp;RIGHT("0000"&amp;(9999-E149),4)&amp;AH149&amp;RIGHT("00000"&amp;ROW(),5),IF('FALTAS GERAL'!$M$1="Nº de decks (maior primeiro)","K"&amp;RIGHT("00"&amp;(99-N(G149)),2)&amp;AH149&amp;RIGHT("00000"&amp;ROW(),5),"K"&amp;RIGHT("00000"&amp;ROW(),5))))))</f>
        <v/>
      </c>
      <c r="AJ149" s="11" t="str">
        <f aca="false">IF(AI149="","",COUNTIFS($AI$2:$AI$801,"&lt;"&amp;AI149,$E$2:$E$801,"&gt;0")+1)</f>
        <v/>
      </c>
      <c r="AK149" s="11" t="str">
        <f aca="false">IF(OR(A149="",N(E149)&lt;=0),"",COUNTIFS($AH$2:$AH$801,"&lt;"&amp;AH149,$E$2:$E$801,"&gt;0")+COUNTIFS($AH$2:AH149,AH149,$E$2:E149,"&gt;0"))</f>
        <v/>
      </c>
    </row>
    <row r="150" customFormat="false" ht="15" hidden="false" customHeight="false" outlineLevel="0" collapsed="false">
      <c r="A150" s="11" t="str">
        <f aca="false">IF(INVENTÁRIO!A150="","",INVENTÁRIO!A150)</f>
        <v/>
      </c>
      <c r="B150" s="11" t="str">
        <f aca="false">IF(A150="","",INVENTÁRIO!B150)</f>
        <v/>
      </c>
      <c r="C150" s="16" t="str">
        <f aca="false">IF(A150="","",INVENTÁRIO!C150)</f>
        <v/>
      </c>
      <c r="D150" s="14" t="str">
        <f aca="false">IF(A150="","",MAX(K150:AD150))</f>
        <v/>
      </c>
      <c r="E150" s="14" t="str">
        <f aca="false">IF(A150="","",MAX(0,D150-C150))</f>
        <v/>
      </c>
      <c r="F150" s="16" t="str">
        <f aca="false">IF(A150="","",IF(D150=0,"Fora dos decks",IF(E150=0,"Completo","Falta")))</f>
        <v/>
      </c>
      <c r="G150" s="16" t="str">
        <f aca="false">IF(A150="","",COUNTIF(K150:AD150,"&gt;0"))</f>
        <v/>
      </c>
      <c r="H150" s="16" t="str">
        <f aca="false">IF(A150="","",IF(G150&gt;1,"Sim",""))</f>
        <v/>
      </c>
      <c r="I150" s="18" t="str">
        <f aca="false">IF(A150="","",SUMIFS(DECKS!$D$2:$D$1201,DECKS!$B$2:$B$1201,A150))</f>
        <v/>
      </c>
      <c r="J150" s="18" t="str">
        <f aca="false">IF(A150="","",MAX(0,I150-C150))</f>
        <v/>
      </c>
      <c r="K150" s="19" t="str">
        <f aca="false">IF(OR($A150="",INDEX(_LEITURA!$Q$2:$Q$21,1)=0),"",SUMIFS(DECKS!$D$2:$D$1201,DECKS!$A$2:$A$1201,INDEX(_LEITURA!$P$2:$P$21,1),DECKS!$B$2:$B$1201,$A150))</f>
        <v/>
      </c>
      <c r="L150" s="19" t="str">
        <f aca="false">IF(OR($A150="",INDEX(_LEITURA!$Q$2:$Q$21,2)=0),"",SUMIFS(DECKS!$D$2:$D$1201,DECKS!$A$2:$A$1201,INDEX(_LEITURA!$P$2:$P$21,2),DECKS!$B$2:$B$1201,$A150))</f>
        <v/>
      </c>
      <c r="M150" s="19" t="str">
        <f aca="false">IF(OR($A150="",INDEX(_LEITURA!$Q$2:$Q$21,3)=0),"",SUMIFS(DECKS!$D$2:$D$1201,DECKS!$A$2:$A$1201,INDEX(_LEITURA!$P$2:$P$21,3),DECKS!$B$2:$B$1201,$A150))</f>
        <v/>
      </c>
      <c r="N150" s="19" t="str">
        <f aca="false">IF(OR($A150="",INDEX(_LEITURA!$Q$2:$Q$21,4)=0),"",SUMIFS(DECKS!$D$2:$D$1201,DECKS!$A$2:$A$1201,INDEX(_LEITURA!$P$2:$P$21,4),DECKS!$B$2:$B$1201,$A150))</f>
        <v/>
      </c>
      <c r="O150" s="19" t="str">
        <f aca="false">IF(OR($A150="",INDEX(_LEITURA!$Q$2:$Q$21,5)=0),"",SUMIFS(DECKS!$D$2:$D$1201,DECKS!$A$2:$A$1201,INDEX(_LEITURA!$P$2:$P$21,5),DECKS!$B$2:$B$1201,$A150))</f>
        <v/>
      </c>
      <c r="P150" s="19" t="str">
        <f aca="false">IF(OR($A150="",INDEX(_LEITURA!$Q$2:$Q$21,6)=0),"",SUMIFS(DECKS!$D$2:$D$1201,DECKS!$A$2:$A$1201,INDEX(_LEITURA!$P$2:$P$21,6),DECKS!$B$2:$B$1201,$A150))</f>
        <v/>
      </c>
      <c r="Q150" s="19" t="str">
        <f aca="false">IF(OR($A150="",INDEX(_LEITURA!$Q$2:$Q$21,7)=0),"",SUMIFS(DECKS!$D$2:$D$1201,DECKS!$A$2:$A$1201,INDEX(_LEITURA!$P$2:$P$21,7),DECKS!$B$2:$B$1201,$A150))</f>
        <v/>
      </c>
      <c r="R150" s="19" t="str">
        <f aca="false">IF(OR($A150="",INDEX(_LEITURA!$Q$2:$Q$21,8)=0),"",SUMIFS(DECKS!$D$2:$D$1201,DECKS!$A$2:$A$1201,INDEX(_LEITURA!$P$2:$P$21,8),DECKS!$B$2:$B$1201,$A150))</f>
        <v/>
      </c>
      <c r="S150" s="19" t="str">
        <f aca="false">IF(OR($A150="",INDEX(_LEITURA!$Q$2:$Q$21,9)=0),"",SUMIFS(DECKS!$D$2:$D$1201,DECKS!$A$2:$A$1201,INDEX(_LEITURA!$P$2:$P$21,9),DECKS!$B$2:$B$1201,$A150))</f>
        <v/>
      </c>
      <c r="T150" s="19" t="str">
        <f aca="false">IF(OR($A150="",INDEX(_LEITURA!$Q$2:$Q$21,10)=0),"",SUMIFS(DECKS!$D$2:$D$1201,DECKS!$A$2:$A$1201,INDEX(_LEITURA!$P$2:$P$21,10),DECKS!$B$2:$B$1201,$A150))</f>
        <v/>
      </c>
      <c r="U150" s="19" t="str">
        <f aca="false">IF(OR($A150="",INDEX(_LEITURA!$Q$2:$Q$21,11)=0),"",SUMIFS(DECKS!$D$2:$D$1201,DECKS!$A$2:$A$1201,INDEX(_LEITURA!$P$2:$P$21,11),DECKS!$B$2:$B$1201,$A150))</f>
        <v/>
      </c>
      <c r="V150" s="19" t="str">
        <f aca="false">IF(OR($A150="",INDEX(_LEITURA!$Q$2:$Q$21,12)=0),"",SUMIFS(DECKS!$D$2:$D$1201,DECKS!$A$2:$A$1201,INDEX(_LEITURA!$P$2:$P$21,12),DECKS!$B$2:$B$1201,$A150))</f>
        <v/>
      </c>
      <c r="W150" s="19" t="str">
        <f aca="false">IF(OR($A150="",INDEX(_LEITURA!$Q$2:$Q$21,13)=0),"",SUMIFS(DECKS!$D$2:$D$1201,DECKS!$A$2:$A$1201,INDEX(_LEITURA!$P$2:$P$21,13),DECKS!$B$2:$B$1201,$A150))</f>
        <v/>
      </c>
      <c r="X150" s="19" t="str">
        <f aca="false">IF(OR($A150="",INDEX(_LEITURA!$Q$2:$Q$21,14)=0),"",SUMIFS(DECKS!$D$2:$D$1201,DECKS!$A$2:$A$1201,INDEX(_LEITURA!$P$2:$P$21,14),DECKS!$B$2:$B$1201,$A150))</f>
        <v/>
      </c>
      <c r="Y150" s="19" t="str">
        <f aca="false">IF(OR($A150="",INDEX(_LEITURA!$Q$2:$Q$21,15)=0),"",SUMIFS(DECKS!$D$2:$D$1201,DECKS!$A$2:$A$1201,INDEX(_LEITURA!$P$2:$P$21,15),DECKS!$B$2:$B$1201,$A150))</f>
        <v/>
      </c>
      <c r="Z150" s="19" t="str">
        <f aca="false">IF(OR($A150="",INDEX(_LEITURA!$Q$2:$Q$21,16)=0),"",SUMIFS(DECKS!$D$2:$D$1201,DECKS!$A$2:$A$1201,INDEX(_LEITURA!$P$2:$P$21,16),DECKS!$B$2:$B$1201,$A150))</f>
        <v/>
      </c>
      <c r="AA150" s="19" t="str">
        <f aca="false">IF(OR($A150="",INDEX(_LEITURA!$Q$2:$Q$21,17)=0),"",SUMIFS(DECKS!$D$2:$D$1201,DECKS!$A$2:$A$1201,INDEX(_LEITURA!$P$2:$P$21,17),DECKS!$B$2:$B$1201,$A150))</f>
        <v/>
      </c>
      <c r="AB150" s="19" t="str">
        <f aca="false">IF(OR($A150="",INDEX(_LEITURA!$Q$2:$Q$21,18)=0),"",SUMIFS(DECKS!$D$2:$D$1201,DECKS!$A$2:$A$1201,INDEX(_LEITURA!$P$2:$P$21,18),DECKS!$B$2:$B$1201,$A150))</f>
        <v/>
      </c>
      <c r="AC150" s="19" t="str">
        <f aca="false">IF(OR($A150="",INDEX(_LEITURA!$Q$2:$Q$21,19)=0),"",SUMIFS(DECKS!$D$2:$D$1201,DECKS!$A$2:$A$1201,INDEX(_LEITURA!$P$2:$P$21,19),DECKS!$B$2:$B$1201,$A150))</f>
        <v/>
      </c>
      <c r="AD150" s="19" t="str">
        <f aca="false">IF(OR($A150="",INDEX(_LEITURA!$Q$2:$Q$21,20)=0),"",SUMIFS(DECKS!$D$2:$D$1201,DECKS!$A$2:$A$1201,INDEX(_LEITURA!$P$2:$P$21,20),DECKS!$B$2:$B$1201,$A150))</f>
        <v/>
      </c>
      <c r="AE150" s="16" t="str">
        <f aca="false">IF(N(E150)&gt;0,MAX(AE$1:AE149)+1,"")</f>
        <v/>
      </c>
      <c r="AF150" s="11" t="str">
        <f aca="false">IF(A150="","",IFERROR(LEFT(A150,FIND("-",A150)-1),A150))</f>
        <v/>
      </c>
      <c r="AG150" s="11" t="str">
        <f aca="false">IF(AF150="","",IF(ISNUMBER(--MID(AF150,1,1)),0,IF(ISNUMBER(--MID(AF150,2,1)),1,IF(ISNUMBER(--MID(AF150,3,1)),2,IF(ISNUMBER(--MID(AF150,4,1)),3,MIN(LEN(AF150),4))))))</f>
        <v/>
      </c>
      <c r="AH150" s="11" t="str">
        <f aca="false">IF(A150="","",LEFT(AF150,AG150)&amp;REPT("0",4-AG150)&amp;RIGHT("000"&amp;IFERROR(VALUE(MID(AF150,AG150+1,9)),0),3)&amp;RIGHT("0000"&amp;IFERROR(VALUE(MID(A150,FIND("-",A150)+1,9)),0),4))</f>
        <v/>
      </c>
      <c r="AI150" s="11" t="str">
        <f aca="false">IF(OR(A150="",N(E150)&lt;=0),"",IF('FALTAS GERAL'!$M$1="Código","K"&amp;AH150&amp;RIGHT("00000"&amp;ROW(),5),IF('FALTAS GERAL'!$M$1="Nome","K"&amp;UPPER(SUBSTITUTE(SUBSTITUTE(SUBSTITUTE(B150,"*",""),"?",""),"~",""))&amp;"0"&amp;AH150&amp;RIGHT("00000"&amp;ROW(),5),IF('FALTAS GERAL'!$M$1="Falta (maior primeiro)","K"&amp;RIGHT("0000"&amp;(9999-E150),4)&amp;AH150&amp;RIGHT("00000"&amp;ROW(),5),IF('FALTAS GERAL'!$M$1="Nº de decks (maior primeiro)","K"&amp;RIGHT("00"&amp;(99-N(G150)),2)&amp;AH150&amp;RIGHT("00000"&amp;ROW(),5),"K"&amp;RIGHT("00000"&amp;ROW(),5))))))</f>
        <v/>
      </c>
      <c r="AJ150" s="11" t="str">
        <f aca="false">IF(AI150="","",COUNTIFS($AI$2:$AI$801,"&lt;"&amp;AI150,$E$2:$E$801,"&gt;0")+1)</f>
        <v/>
      </c>
      <c r="AK150" s="11" t="str">
        <f aca="false">IF(OR(A150="",N(E150)&lt;=0),"",COUNTIFS($AH$2:$AH$801,"&lt;"&amp;AH150,$E$2:$E$801,"&gt;0")+COUNTIFS($AH$2:AH150,AH150,$E$2:E150,"&gt;0"))</f>
        <v/>
      </c>
    </row>
    <row r="151" customFormat="false" ht="15" hidden="false" customHeight="false" outlineLevel="0" collapsed="false">
      <c r="A151" s="11" t="str">
        <f aca="false">IF(INVENTÁRIO!A151="","",INVENTÁRIO!A151)</f>
        <v/>
      </c>
      <c r="B151" s="11" t="str">
        <f aca="false">IF(A151="","",INVENTÁRIO!B151)</f>
        <v/>
      </c>
      <c r="C151" s="16" t="str">
        <f aca="false">IF(A151="","",INVENTÁRIO!C151)</f>
        <v/>
      </c>
      <c r="D151" s="14" t="str">
        <f aca="false">IF(A151="","",MAX(K151:AD151))</f>
        <v/>
      </c>
      <c r="E151" s="14" t="str">
        <f aca="false">IF(A151="","",MAX(0,D151-C151))</f>
        <v/>
      </c>
      <c r="F151" s="16" t="str">
        <f aca="false">IF(A151="","",IF(D151=0,"Fora dos decks",IF(E151=0,"Completo","Falta")))</f>
        <v/>
      </c>
      <c r="G151" s="16" t="str">
        <f aca="false">IF(A151="","",COUNTIF(K151:AD151,"&gt;0"))</f>
        <v/>
      </c>
      <c r="H151" s="16" t="str">
        <f aca="false">IF(A151="","",IF(G151&gt;1,"Sim",""))</f>
        <v/>
      </c>
      <c r="I151" s="18" t="str">
        <f aca="false">IF(A151="","",SUMIFS(DECKS!$D$2:$D$1201,DECKS!$B$2:$B$1201,A151))</f>
        <v/>
      </c>
      <c r="J151" s="18" t="str">
        <f aca="false">IF(A151="","",MAX(0,I151-C151))</f>
        <v/>
      </c>
      <c r="K151" s="19" t="str">
        <f aca="false">IF(OR($A151="",INDEX(_LEITURA!$Q$2:$Q$21,1)=0),"",SUMIFS(DECKS!$D$2:$D$1201,DECKS!$A$2:$A$1201,INDEX(_LEITURA!$P$2:$P$21,1),DECKS!$B$2:$B$1201,$A151))</f>
        <v/>
      </c>
      <c r="L151" s="19" t="str">
        <f aca="false">IF(OR($A151="",INDEX(_LEITURA!$Q$2:$Q$21,2)=0),"",SUMIFS(DECKS!$D$2:$D$1201,DECKS!$A$2:$A$1201,INDEX(_LEITURA!$P$2:$P$21,2),DECKS!$B$2:$B$1201,$A151))</f>
        <v/>
      </c>
      <c r="M151" s="19" t="str">
        <f aca="false">IF(OR($A151="",INDEX(_LEITURA!$Q$2:$Q$21,3)=0),"",SUMIFS(DECKS!$D$2:$D$1201,DECKS!$A$2:$A$1201,INDEX(_LEITURA!$P$2:$P$21,3),DECKS!$B$2:$B$1201,$A151))</f>
        <v/>
      </c>
      <c r="N151" s="19" t="str">
        <f aca="false">IF(OR($A151="",INDEX(_LEITURA!$Q$2:$Q$21,4)=0),"",SUMIFS(DECKS!$D$2:$D$1201,DECKS!$A$2:$A$1201,INDEX(_LEITURA!$P$2:$P$21,4),DECKS!$B$2:$B$1201,$A151))</f>
        <v/>
      </c>
      <c r="O151" s="19" t="str">
        <f aca="false">IF(OR($A151="",INDEX(_LEITURA!$Q$2:$Q$21,5)=0),"",SUMIFS(DECKS!$D$2:$D$1201,DECKS!$A$2:$A$1201,INDEX(_LEITURA!$P$2:$P$21,5),DECKS!$B$2:$B$1201,$A151))</f>
        <v/>
      </c>
      <c r="P151" s="19" t="str">
        <f aca="false">IF(OR($A151="",INDEX(_LEITURA!$Q$2:$Q$21,6)=0),"",SUMIFS(DECKS!$D$2:$D$1201,DECKS!$A$2:$A$1201,INDEX(_LEITURA!$P$2:$P$21,6),DECKS!$B$2:$B$1201,$A151))</f>
        <v/>
      </c>
      <c r="Q151" s="19" t="str">
        <f aca="false">IF(OR($A151="",INDEX(_LEITURA!$Q$2:$Q$21,7)=0),"",SUMIFS(DECKS!$D$2:$D$1201,DECKS!$A$2:$A$1201,INDEX(_LEITURA!$P$2:$P$21,7),DECKS!$B$2:$B$1201,$A151))</f>
        <v/>
      </c>
      <c r="R151" s="19" t="str">
        <f aca="false">IF(OR($A151="",INDEX(_LEITURA!$Q$2:$Q$21,8)=0),"",SUMIFS(DECKS!$D$2:$D$1201,DECKS!$A$2:$A$1201,INDEX(_LEITURA!$P$2:$P$21,8),DECKS!$B$2:$B$1201,$A151))</f>
        <v/>
      </c>
      <c r="S151" s="19" t="str">
        <f aca="false">IF(OR($A151="",INDEX(_LEITURA!$Q$2:$Q$21,9)=0),"",SUMIFS(DECKS!$D$2:$D$1201,DECKS!$A$2:$A$1201,INDEX(_LEITURA!$P$2:$P$21,9),DECKS!$B$2:$B$1201,$A151))</f>
        <v/>
      </c>
      <c r="T151" s="19" t="str">
        <f aca="false">IF(OR($A151="",INDEX(_LEITURA!$Q$2:$Q$21,10)=0),"",SUMIFS(DECKS!$D$2:$D$1201,DECKS!$A$2:$A$1201,INDEX(_LEITURA!$P$2:$P$21,10),DECKS!$B$2:$B$1201,$A151))</f>
        <v/>
      </c>
      <c r="U151" s="19" t="str">
        <f aca="false">IF(OR($A151="",INDEX(_LEITURA!$Q$2:$Q$21,11)=0),"",SUMIFS(DECKS!$D$2:$D$1201,DECKS!$A$2:$A$1201,INDEX(_LEITURA!$P$2:$P$21,11),DECKS!$B$2:$B$1201,$A151))</f>
        <v/>
      </c>
      <c r="V151" s="19" t="str">
        <f aca="false">IF(OR($A151="",INDEX(_LEITURA!$Q$2:$Q$21,12)=0),"",SUMIFS(DECKS!$D$2:$D$1201,DECKS!$A$2:$A$1201,INDEX(_LEITURA!$P$2:$P$21,12),DECKS!$B$2:$B$1201,$A151))</f>
        <v/>
      </c>
      <c r="W151" s="19" t="str">
        <f aca="false">IF(OR($A151="",INDEX(_LEITURA!$Q$2:$Q$21,13)=0),"",SUMIFS(DECKS!$D$2:$D$1201,DECKS!$A$2:$A$1201,INDEX(_LEITURA!$P$2:$P$21,13),DECKS!$B$2:$B$1201,$A151))</f>
        <v/>
      </c>
      <c r="X151" s="19" t="str">
        <f aca="false">IF(OR($A151="",INDEX(_LEITURA!$Q$2:$Q$21,14)=0),"",SUMIFS(DECKS!$D$2:$D$1201,DECKS!$A$2:$A$1201,INDEX(_LEITURA!$P$2:$P$21,14),DECKS!$B$2:$B$1201,$A151))</f>
        <v/>
      </c>
      <c r="Y151" s="19" t="str">
        <f aca="false">IF(OR($A151="",INDEX(_LEITURA!$Q$2:$Q$21,15)=0),"",SUMIFS(DECKS!$D$2:$D$1201,DECKS!$A$2:$A$1201,INDEX(_LEITURA!$P$2:$P$21,15),DECKS!$B$2:$B$1201,$A151))</f>
        <v/>
      </c>
      <c r="Z151" s="19" t="str">
        <f aca="false">IF(OR($A151="",INDEX(_LEITURA!$Q$2:$Q$21,16)=0),"",SUMIFS(DECKS!$D$2:$D$1201,DECKS!$A$2:$A$1201,INDEX(_LEITURA!$P$2:$P$21,16),DECKS!$B$2:$B$1201,$A151))</f>
        <v/>
      </c>
      <c r="AA151" s="19" t="str">
        <f aca="false">IF(OR($A151="",INDEX(_LEITURA!$Q$2:$Q$21,17)=0),"",SUMIFS(DECKS!$D$2:$D$1201,DECKS!$A$2:$A$1201,INDEX(_LEITURA!$P$2:$P$21,17),DECKS!$B$2:$B$1201,$A151))</f>
        <v/>
      </c>
      <c r="AB151" s="19" t="str">
        <f aca="false">IF(OR($A151="",INDEX(_LEITURA!$Q$2:$Q$21,18)=0),"",SUMIFS(DECKS!$D$2:$D$1201,DECKS!$A$2:$A$1201,INDEX(_LEITURA!$P$2:$P$21,18),DECKS!$B$2:$B$1201,$A151))</f>
        <v/>
      </c>
      <c r="AC151" s="19" t="str">
        <f aca="false">IF(OR($A151="",INDEX(_LEITURA!$Q$2:$Q$21,19)=0),"",SUMIFS(DECKS!$D$2:$D$1201,DECKS!$A$2:$A$1201,INDEX(_LEITURA!$P$2:$P$21,19),DECKS!$B$2:$B$1201,$A151))</f>
        <v/>
      </c>
      <c r="AD151" s="19" t="str">
        <f aca="false">IF(OR($A151="",INDEX(_LEITURA!$Q$2:$Q$21,20)=0),"",SUMIFS(DECKS!$D$2:$D$1201,DECKS!$A$2:$A$1201,INDEX(_LEITURA!$P$2:$P$21,20),DECKS!$B$2:$B$1201,$A151))</f>
        <v/>
      </c>
      <c r="AE151" s="16" t="str">
        <f aca="false">IF(N(E151)&gt;0,MAX(AE$1:AE150)+1,"")</f>
        <v/>
      </c>
      <c r="AF151" s="11" t="str">
        <f aca="false">IF(A151="","",IFERROR(LEFT(A151,FIND("-",A151)-1),A151))</f>
        <v/>
      </c>
      <c r="AG151" s="11" t="str">
        <f aca="false">IF(AF151="","",IF(ISNUMBER(--MID(AF151,1,1)),0,IF(ISNUMBER(--MID(AF151,2,1)),1,IF(ISNUMBER(--MID(AF151,3,1)),2,IF(ISNUMBER(--MID(AF151,4,1)),3,MIN(LEN(AF151),4))))))</f>
        <v/>
      </c>
      <c r="AH151" s="11" t="str">
        <f aca="false">IF(A151="","",LEFT(AF151,AG151)&amp;REPT("0",4-AG151)&amp;RIGHT("000"&amp;IFERROR(VALUE(MID(AF151,AG151+1,9)),0),3)&amp;RIGHT("0000"&amp;IFERROR(VALUE(MID(A151,FIND("-",A151)+1,9)),0),4))</f>
        <v/>
      </c>
      <c r="AI151" s="11" t="str">
        <f aca="false">IF(OR(A151="",N(E151)&lt;=0),"",IF('FALTAS GERAL'!$M$1="Código","K"&amp;AH151&amp;RIGHT("00000"&amp;ROW(),5),IF('FALTAS GERAL'!$M$1="Nome","K"&amp;UPPER(SUBSTITUTE(SUBSTITUTE(SUBSTITUTE(B151,"*",""),"?",""),"~",""))&amp;"0"&amp;AH151&amp;RIGHT("00000"&amp;ROW(),5),IF('FALTAS GERAL'!$M$1="Falta (maior primeiro)","K"&amp;RIGHT("0000"&amp;(9999-E151),4)&amp;AH151&amp;RIGHT("00000"&amp;ROW(),5),IF('FALTAS GERAL'!$M$1="Nº de decks (maior primeiro)","K"&amp;RIGHT("00"&amp;(99-N(G151)),2)&amp;AH151&amp;RIGHT("00000"&amp;ROW(),5),"K"&amp;RIGHT("00000"&amp;ROW(),5))))))</f>
        <v/>
      </c>
      <c r="AJ151" s="11" t="str">
        <f aca="false">IF(AI151="","",COUNTIFS($AI$2:$AI$801,"&lt;"&amp;AI151,$E$2:$E$801,"&gt;0")+1)</f>
        <v/>
      </c>
      <c r="AK151" s="11" t="str">
        <f aca="false">IF(OR(A151="",N(E151)&lt;=0),"",COUNTIFS($AH$2:$AH$801,"&lt;"&amp;AH151,$E$2:$E$801,"&gt;0")+COUNTIFS($AH$2:AH151,AH151,$E$2:E151,"&gt;0"))</f>
        <v/>
      </c>
    </row>
    <row r="152" customFormat="false" ht="15" hidden="false" customHeight="false" outlineLevel="0" collapsed="false">
      <c r="A152" s="11" t="str">
        <f aca="false">IF(INVENTÁRIO!A152="","",INVENTÁRIO!A152)</f>
        <v/>
      </c>
      <c r="B152" s="11" t="str">
        <f aca="false">IF(A152="","",INVENTÁRIO!B152)</f>
        <v/>
      </c>
      <c r="C152" s="16" t="str">
        <f aca="false">IF(A152="","",INVENTÁRIO!C152)</f>
        <v/>
      </c>
      <c r="D152" s="14" t="str">
        <f aca="false">IF(A152="","",MAX(K152:AD152))</f>
        <v/>
      </c>
      <c r="E152" s="14" t="str">
        <f aca="false">IF(A152="","",MAX(0,D152-C152))</f>
        <v/>
      </c>
      <c r="F152" s="16" t="str">
        <f aca="false">IF(A152="","",IF(D152=0,"Fora dos decks",IF(E152=0,"Completo","Falta")))</f>
        <v/>
      </c>
      <c r="G152" s="16" t="str">
        <f aca="false">IF(A152="","",COUNTIF(K152:AD152,"&gt;0"))</f>
        <v/>
      </c>
      <c r="H152" s="16" t="str">
        <f aca="false">IF(A152="","",IF(G152&gt;1,"Sim",""))</f>
        <v/>
      </c>
      <c r="I152" s="18" t="str">
        <f aca="false">IF(A152="","",SUMIFS(DECKS!$D$2:$D$1201,DECKS!$B$2:$B$1201,A152))</f>
        <v/>
      </c>
      <c r="J152" s="18" t="str">
        <f aca="false">IF(A152="","",MAX(0,I152-C152))</f>
        <v/>
      </c>
      <c r="K152" s="19" t="str">
        <f aca="false">IF(OR($A152="",INDEX(_LEITURA!$Q$2:$Q$21,1)=0),"",SUMIFS(DECKS!$D$2:$D$1201,DECKS!$A$2:$A$1201,INDEX(_LEITURA!$P$2:$P$21,1),DECKS!$B$2:$B$1201,$A152))</f>
        <v/>
      </c>
      <c r="L152" s="19" t="str">
        <f aca="false">IF(OR($A152="",INDEX(_LEITURA!$Q$2:$Q$21,2)=0),"",SUMIFS(DECKS!$D$2:$D$1201,DECKS!$A$2:$A$1201,INDEX(_LEITURA!$P$2:$P$21,2),DECKS!$B$2:$B$1201,$A152))</f>
        <v/>
      </c>
      <c r="M152" s="19" t="str">
        <f aca="false">IF(OR($A152="",INDEX(_LEITURA!$Q$2:$Q$21,3)=0),"",SUMIFS(DECKS!$D$2:$D$1201,DECKS!$A$2:$A$1201,INDEX(_LEITURA!$P$2:$P$21,3),DECKS!$B$2:$B$1201,$A152))</f>
        <v/>
      </c>
      <c r="N152" s="19" t="str">
        <f aca="false">IF(OR($A152="",INDEX(_LEITURA!$Q$2:$Q$21,4)=0),"",SUMIFS(DECKS!$D$2:$D$1201,DECKS!$A$2:$A$1201,INDEX(_LEITURA!$P$2:$P$21,4),DECKS!$B$2:$B$1201,$A152))</f>
        <v/>
      </c>
      <c r="O152" s="19" t="str">
        <f aca="false">IF(OR($A152="",INDEX(_LEITURA!$Q$2:$Q$21,5)=0),"",SUMIFS(DECKS!$D$2:$D$1201,DECKS!$A$2:$A$1201,INDEX(_LEITURA!$P$2:$P$21,5),DECKS!$B$2:$B$1201,$A152))</f>
        <v/>
      </c>
      <c r="P152" s="19" t="str">
        <f aca="false">IF(OR($A152="",INDEX(_LEITURA!$Q$2:$Q$21,6)=0),"",SUMIFS(DECKS!$D$2:$D$1201,DECKS!$A$2:$A$1201,INDEX(_LEITURA!$P$2:$P$21,6),DECKS!$B$2:$B$1201,$A152))</f>
        <v/>
      </c>
      <c r="Q152" s="19" t="str">
        <f aca="false">IF(OR($A152="",INDEX(_LEITURA!$Q$2:$Q$21,7)=0),"",SUMIFS(DECKS!$D$2:$D$1201,DECKS!$A$2:$A$1201,INDEX(_LEITURA!$P$2:$P$21,7),DECKS!$B$2:$B$1201,$A152))</f>
        <v/>
      </c>
      <c r="R152" s="19" t="str">
        <f aca="false">IF(OR($A152="",INDEX(_LEITURA!$Q$2:$Q$21,8)=0),"",SUMIFS(DECKS!$D$2:$D$1201,DECKS!$A$2:$A$1201,INDEX(_LEITURA!$P$2:$P$21,8),DECKS!$B$2:$B$1201,$A152))</f>
        <v/>
      </c>
      <c r="S152" s="19" t="str">
        <f aca="false">IF(OR($A152="",INDEX(_LEITURA!$Q$2:$Q$21,9)=0),"",SUMIFS(DECKS!$D$2:$D$1201,DECKS!$A$2:$A$1201,INDEX(_LEITURA!$P$2:$P$21,9),DECKS!$B$2:$B$1201,$A152))</f>
        <v/>
      </c>
      <c r="T152" s="19" t="str">
        <f aca="false">IF(OR($A152="",INDEX(_LEITURA!$Q$2:$Q$21,10)=0),"",SUMIFS(DECKS!$D$2:$D$1201,DECKS!$A$2:$A$1201,INDEX(_LEITURA!$P$2:$P$21,10),DECKS!$B$2:$B$1201,$A152))</f>
        <v/>
      </c>
      <c r="U152" s="19" t="str">
        <f aca="false">IF(OR($A152="",INDEX(_LEITURA!$Q$2:$Q$21,11)=0),"",SUMIFS(DECKS!$D$2:$D$1201,DECKS!$A$2:$A$1201,INDEX(_LEITURA!$P$2:$P$21,11),DECKS!$B$2:$B$1201,$A152))</f>
        <v/>
      </c>
      <c r="V152" s="19" t="str">
        <f aca="false">IF(OR($A152="",INDEX(_LEITURA!$Q$2:$Q$21,12)=0),"",SUMIFS(DECKS!$D$2:$D$1201,DECKS!$A$2:$A$1201,INDEX(_LEITURA!$P$2:$P$21,12),DECKS!$B$2:$B$1201,$A152))</f>
        <v/>
      </c>
      <c r="W152" s="19" t="str">
        <f aca="false">IF(OR($A152="",INDEX(_LEITURA!$Q$2:$Q$21,13)=0),"",SUMIFS(DECKS!$D$2:$D$1201,DECKS!$A$2:$A$1201,INDEX(_LEITURA!$P$2:$P$21,13),DECKS!$B$2:$B$1201,$A152))</f>
        <v/>
      </c>
      <c r="X152" s="19" t="str">
        <f aca="false">IF(OR($A152="",INDEX(_LEITURA!$Q$2:$Q$21,14)=0),"",SUMIFS(DECKS!$D$2:$D$1201,DECKS!$A$2:$A$1201,INDEX(_LEITURA!$P$2:$P$21,14),DECKS!$B$2:$B$1201,$A152))</f>
        <v/>
      </c>
      <c r="Y152" s="19" t="str">
        <f aca="false">IF(OR($A152="",INDEX(_LEITURA!$Q$2:$Q$21,15)=0),"",SUMIFS(DECKS!$D$2:$D$1201,DECKS!$A$2:$A$1201,INDEX(_LEITURA!$P$2:$P$21,15),DECKS!$B$2:$B$1201,$A152))</f>
        <v/>
      </c>
      <c r="Z152" s="19" t="str">
        <f aca="false">IF(OR($A152="",INDEX(_LEITURA!$Q$2:$Q$21,16)=0),"",SUMIFS(DECKS!$D$2:$D$1201,DECKS!$A$2:$A$1201,INDEX(_LEITURA!$P$2:$P$21,16),DECKS!$B$2:$B$1201,$A152))</f>
        <v/>
      </c>
      <c r="AA152" s="19" t="str">
        <f aca="false">IF(OR($A152="",INDEX(_LEITURA!$Q$2:$Q$21,17)=0),"",SUMIFS(DECKS!$D$2:$D$1201,DECKS!$A$2:$A$1201,INDEX(_LEITURA!$P$2:$P$21,17),DECKS!$B$2:$B$1201,$A152))</f>
        <v/>
      </c>
      <c r="AB152" s="19" t="str">
        <f aca="false">IF(OR($A152="",INDEX(_LEITURA!$Q$2:$Q$21,18)=0),"",SUMIFS(DECKS!$D$2:$D$1201,DECKS!$A$2:$A$1201,INDEX(_LEITURA!$P$2:$P$21,18),DECKS!$B$2:$B$1201,$A152))</f>
        <v/>
      </c>
      <c r="AC152" s="19" t="str">
        <f aca="false">IF(OR($A152="",INDEX(_LEITURA!$Q$2:$Q$21,19)=0),"",SUMIFS(DECKS!$D$2:$D$1201,DECKS!$A$2:$A$1201,INDEX(_LEITURA!$P$2:$P$21,19),DECKS!$B$2:$B$1201,$A152))</f>
        <v/>
      </c>
      <c r="AD152" s="19" t="str">
        <f aca="false">IF(OR($A152="",INDEX(_LEITURA!$Q$2:$Q$21,20)=0),"",SUMIFS(DECKS!$D$2:$D$1201,DECKS!$A$2:$A$1201,INDEX(_LEITURA!$P$2:$P$21,20),DECKS!$B$2:$B$1201,$A152))</f>
        <v/>
      </c>
      <c r="AE152" s="16" t="str">
        <f aca="false">IF(N(E152)&gt;0,MAX(AE$1:AE151)+1,"")</f>
        <v/>
      </c>
      <c r="AF152" s="11" t="str">
        <f aca="false">IF(A152="","",IFERROR(LEFT(A152,FIND("-",A152)-1),A152))</f>
        <v/>
      </c>
      <c r="AG152" s="11" t="str">
        <f aca="false">IF(AF152="","",IF(ISNUMBER(--MID(AF152,1,1)),0,IF(ISNUMBER(--MID(AF152,2,1)),1,IF(ISNUMBER(--MID(AF152,3,1)),2,IF(ISNUMBER(--MID(AF152,4,1)),3,MIN(LEN(AF152),4))))))</f>
        <v/>
      </c>
      <c r="AH152" s="11" t="str">
        <f aca="false">IF(A152="","",LEFT(AF152,AG152)&amp;REPT("0",4-AG152)&amp;RIGHT("000"&amp;IFERROR(VALUE(MID(AF152,AG152+1,9)),0),3)&amp;RIGHT("0000"&amp;IFERROR(VALUE(MID(A152,FIND("-",A152)+1,9)),0),4))</f>
        <v/>
      </c>
      <c r="AI152" s="11" t="str">
        <f aca="false">IF(OR(A152="",N(E152)&lt;=0),"",IF('FALTAS GERAL'!$M$1="Código","K"&amp;AH152&amp;RIGHT("00000"&amp;ROW(),5),IF('FALTAS GERAL'!$M$1="Nome","K"&amp;UPPER(SUBSTITUTE(SUBSTITUTE(SUBSTITUTE(B152,"*",""),"?",""),"~",""))&amp;"0"&amp;AH152&amp;RIGHT("00000"&amp;ROW(),5),IF('FALTAS GERAL'!$M$1="Falta (maior primeiro)","K"&amp;RIGHT("0000"&amp;(9999-E152),4)&amp;AH152&amp;RIGHT("00000"&amp;ROW(),5),IF('FALTAS GERAL'!$M$1="Nº de decks (maior primeiro)","K"&amp;RIGHT("00"&amp;(99-N(G152)),2)&amp;AH152&amp;RIGHT("00000"&amp;ROW(),5),"K"&amp;RIGHT("00000"&amp;ROW(),5))))))</f>
        <v/>
      </c>
      <c r="AJ152" s="11" t="str">
        <f aca="false">IF(AI152="","",COUNTIFS($AI$2:$AI$801,"&lt;"&amp;AI152,$E$2:$E$801,"&gt;0")+1)</f>
        <v/>
      </c>
      <c r="AK152" s="11" t="str">
        <f aca="false">IF(OR(A152="",N(E152)&lt;=0),"",COUNTIFS($AH$2:$AH$801,"&lt;"&amp;AH152,$E$2:$E$801,"&gt;0")+COUNTIFS($AH$2:AH152,AH152,$E$2:E152,"&gt;0"))</f>
        <v/>
      </c>
    </row>
    <row r="153" customFormat="false" ht="15" hidden="false" customHeight="false" outlineLevel="0" collapsed="false">
      <c r="A153" s="11" t="str">
        <f aca="false">IF(INVENTÁRIO!A153="","",INVENTÁRIO!A153)</f>
        <v/>
      </c>
      <c r="B153" s="11" t="str">
        <f aca="false">IF(A153="","",INVENTÁRIO!B153)</f>
        <v/>
      </c>
      <c r="C153" s="16" t="str">
        <f aca="false">IF(A153="","",INVENTÁRIO!C153)</f>
        <v/>
      </c>
      <c r="D153" s="14" t="str">
        <f aca="false">IF(A153="","",MAX(K153:AD153))</f>
        <v/>
      </c>
      <c r="E153" s="14" t="str">
        <f aca="false">IF(A153="","",MAX(0,D153-C153))</f>
        <v/>
      </c>
      <c r="F153" s="16" t="str">
        <f aca="false">IF(A153="","",IF(D153=0,"Fora dos decks",IF(E153=0,"Completo","Falta")))</f>
        <v/>
      </c>
      <c r="G153" s="16" t="str">
        <f aca="false">IF(A153="","",COUNTIF(K153:AD153,"&gt;0"))</f>
        <v/>
      </c>
      <c r="H153" s="16" t="str">
        <f aca="false">IF(A153="","",IF(G153&gt;1,"Sim",""))</f>
        <v/>
      </c>
      <c r="I153" s="18" t="str">
        <f aca="false">IF(A153="","",SUMIFS(DECKS!$D$2:$D$1201,DECKS!$B$2:$B$1201,A153))</f>
        <v/>
      </c>
      <c r="J153" s="18" t="str">
        <f aca="false">IF(A153="","",MAX(0,I153-C153))</f>
        <v/>
      </c>
      <c r="K153" s="19" t="str">
        <f aca="false">IF(OR($A153="",INDEX(_LEITURA!$Q$2:$Q$21,1)=0),"",SUMIFS(DECKS!$D$2:$D$1201,DECKS!$A$2:$A$1201,INDEX(_LEITURA!$P$2:$P$21,1),DECKS!$B$2:$B$1201,$A153))</f>
        <v/>
      </c>
      <c r="L153" s="19" t="str">
        <f aca="false">IF(OR($A153="",INDEX(_LEITURA!$Q$2:$Q$21,2)=0),"",SUMIFS(DECKS!$D$2:$D$1201,DECKS!$A$2:$A$1201,INDEX(_LEITURA!$P$2:$P$21,2),DECKS!$B$2:$B$1201,$A153))</f>
        <v/>
      </c>
      <c r="M153" s="19" t="str">
        <f aca="false">IF(OR($A153="",INDEX(_LEITURA!$Q$2:$Q$21,3)=0),"",SUMIFS(DECKS!$D$2:$D$1201,DECKS!$A$2:$A$1201,INDEX(_LEITURA!$P$2:$P$21,3),DECKS!$B$2:$B$1201,$A153))</f>
        <v/>
      </c>
      <c r="N153" s="19" t="str">
        <f aca="false">IF(OR($A153="",INDEX(_LEITURA!$Q$2:$Q$21,4)=0),"",SUMIFS(DECKS!$D$2:$D$1201,DECKS!$A$2:$A$1201,INDEX(_LEITURA!$P$2:$P$21,4),DECKS!$B$2:$B$1201,$A153))</f>
        <v/>
      </c>
      <c r="O153" s="19" t="str">
        <f aca="false">IF(OR($A153="",INDEX(_LEITURA!$Q$2:$Q$21,5)=0),"",SUMIFS(DECKS!$D$2:$D$1201,DECKS!$A$2:$A$1201,INDEX(_LEITURA!$P$2:$P$21,5),DECKS!$B$2:$B$1201,$A153))</f>
        <v/>
      </c>
      <c r="P153" s="19" t="str">
        <f aca="false">IF(OR($A153="",INDEX(_LEITURA!$Q$2:$Q$21,6)=0),"",SUMIFS(DECKS!$D$2:$D$1201,DECKS!$A$2:$A$1201,INDEX(_LEITURA!$P$2:$P$21,6),DECKS!$B$2:$B$1201,$A153))</f>
        <v/>
      </c>
      <c r="Q153" s="19" t="str">
        <f aca="false">IF(OR($A153="",INDEX(_LEITURA!$Q$2:$Q$21,7)=0),"",SUMIFS(DECKS!$D$2:$D$1201,DECKS!$A$2:$A$1201,INDEX(_LEITURA!$P$2:$P$21,7),DECKS!$B$2:$B$1201,$A153))</f>
        <v/>
      </c>
      <c r="R153" s="19" t="str">
        <f aca="false">IF(OR($A153="",INDEX(_LEITURA!$Q$2:$Q$21,8)=0),"",SUMIFS(DECKS!$D$2:$D$1201,DECKS!$A$2:$A$1201,INDEX(_LEITURA!$P$2:$P$21,8),DECKS!$B$2:$B$1201,$A153))</f>
        <v/>
      </c>
      <c r="S153" s="19" t="str">
        <f aca="false">IF(OR($A153="",INDEX(_LEITURA!$Q$2:$Q$21,9)=0),"",SUMIFS(DECKS!$D$2:$D$1201,DECKS!$A$2:$A$1201,INDEX(_LEITURA!$P$2:$P$21,9),DECKS!$B$2:$B$1201,$A153))</f>
        <v/>
      </c>
      <c r="T153" s="19" t="str">
        <f aca="false">IF(OR($A153="",INDEX(_LEITURA!$Q$2:$Q$21,10)=0),"",SUMIFS(DECKS!$D$2:$D$1201,DECKS!$A$2:$A$1201,INDEX(_LEITURA!$P$2:$P$21,10),DECKS!$B$2:$B$1201,$A153))</f>
        <v/>
      </c>
      <c r="U153" s="19" t="str">
        <f aca="false">IF(OR($A153="",INDEX(_LEITURA!$Q$2:$Q$21,11)=0),"",SUMIFS(DECKS!$D$2:$D$1201,DECKS!$A$2:$A$1201,INDEX(_LEITURA!$P$2:$P$21,11),DECKS!$B$2:$B$1201,$A153))</f>
        <v/>
      </c>
      <c r="V153" s="19" t="str">
        <f aca="false">IF(OR($A153="",INDEX(_LEITURA!$Q$2:$Q$21,12)=0),"",SUMIFS(DECKS!$D$2:$D$1201,DECKS!$A$2:$A$1201,INDEX(_LEITURA!$P$2:$P$21,12),DECKS!$B$2:$B$1201,$A153))</f>
        <v/>
      </c>
      <c r="W153" s="19" t="str">
        <f aca="false">IF(OR($A153="",INDEX(_LEITURA!$Q$2:$Q$21,13)=0),"",SUMIFS(DECKS!$D$2:$D$1201,DECKS!$A$2:$A$1201,INDEX(_LEITURA!$P$2:$P$21,13),DECKS!$B$2:$B$1201,$A153))</f>
        <v/>
      </c>
      <c r="X153" s="19" t="str">
        <f aca="false">IF(OR($A153="",INDEX(_LEITURA!$Q$2:$Q$21,14)=0),"",SUMIFS(DECKS!$D$2:$D$1201,DECKS!$A$2:$A$1201,INDEX(_LEITURA!$P$2:$P$21,14),DECKS!$B$2:$B$1201,$A153))</f>
        <v/>
      </c>
      <c r="Y153" s="19" t="str">
        <f aca="false">IF(OR($A153="",INDEX(_LEITURA!$Q$2:$Q$21,15)=0),"",SUMIFS(DECKS!$D$2:$D$1201,DECKS!$A$2:$A$1201,INDEX(_LEITURA!$P$2:$P$21,15),DECKS!$B$2:$B$1201,$A153))</f>
        <v/>
      </c>
      <c r="Z153" s="19" t="str">
        <f aca="false">IF(OR($A153="",INDEX(_LEITURA!$Q$2:$Q$21,16)=0),"",SUMIFS(DECKS!$D$2:$D$1201,DECKS!$A$2:$A$1201,INDEX(_LEITURA!$P$2:$P$21,16),DECKS!$B$2:$B$1201,$A153))</f>
        <v/>
      </c>
      <c r="AA153" s="19" t="str">
        <f aca="false">IF(OR($A153="",INDEX(_LEITURA!$Q$2:$Q$21,17)=0),"",SUMIFS(DECKS!$D$2:$D$1201,DECKS!$A$2:$A$1201,INDEX(_LEITURA!$P$2:$P$21,17),DECKS!$B$2:$B$1201,$A153))</f>
        <v/>
      </c>
      <c r="AB153" s="19" t="str">
        <f aca="false">IF(OR($A153="",INDEX(_LEITURA!$Q$2:$Q$21,18)=0),"",SUMIFS(DECKS!$D$2:$D$1201,DECKS!$A$2:$A$1201,INDEX(_LEITURA!$P$2:$P$21,18),DECKS!$B$2:$B$1201,$A153))</f>
        <v/>
      </c>
      <c r="AC153" s="19" t="str">
        <f aca="false">IF(OR($A153="",INDEX(_LEITURA!$Q$2:$Q$21,19)=0),"",SUMIFS(DECKS!$D$2:$D$1201,DECKS!$A$2:$A$1201,INDEX(_LEITURA!$P$2:$P$21,19),DECKS!$B$2:$B$1201,$A153))</f>
        <v/>
      </c>
      <c r="AD153" s="19" t="str">
        <f aca="false">IF(OR($A153="",INDEX(_LEITURA!$Q$2:$Q$21,20)=0),"",SUMIFS(DECKS!$D$2:$D$1201,DECKS!$A$2:$A$1201,INDEX(_LEITURA!$P$2:$P$21,20),DECKS!$B$2:$B$1201,$A153))</f>
        <v/>
      </c>
      <c r="AE153" s="16" t="str">
        <f aca="false">IF(N(E153)&gt;0,MAX(AE$1:AE152)+1,"")</f>
        <v/>
      </c>
      <c r="AF153" s="11" t="str">
        <f aca="false">IF(A153="","",IFERROR(LEFT(A153,FIND("-",A153)-1),A153))</f>
        <v/>
      </c>
      <c r="AG153" s="11" t="str">
        <f aca="false">IF(AF153="","",IF(ISNUMBER(--MID(AF153,1,1)),0,IF(ISNUMBER(--MID(AF153,2,1)),1,IF(ISNUMBER(--MID(AF153,3,1)),2,IF(ISNUMBER(--MID(AF153,4,1)),3,MIN(LEN(AF153),4))))))</f>
        <v/>
      </c>
      <c r="AH153" s="11" t="str">
        <f aca="false">IF(A153="","",LEFT(AF153,AG153)&amp;REPT("0",4-AG153)&amp;RIGHT("000"&amp;IFERROR(VALUE(MID(AF153,AG153+1,9)),0),3)&amp;RIGHT("0000"&amp;IFERROR(VALUE(MID(A153,FIND("-",A153)+1,9)),0),4))</f>
        <v/>
      </c>
      <c r="AI153" s="11" t="str">
        <f aca="false">IF(OR(A153="",N(E153)&lt;=0),"",IF('FALTAS GERAL'!$M$1="Código","K"&amp;AH153&amp;RIGHT("00000"&amp;ROW(),5),IF('FALTAS GERAL'!$M$1="Nome","K"&amp;UPPER(SUBSTITUTE(SUBSTITUTE(SUBSTITUTE(B153,"*",""),"?",""),"~",""))&amp;"0"&amp;AH153&amp;RIGHT("00000"&amp;ROW(),5),IF('FALTAS GERAL'!$M$1="Falta (maior primeiro)","K"&amp;RIGHT("0000"&amp;(9999-E153),4)&amp;AH153&amp;RIGHT("00000"&amp;ROW(),5),IF('FALTAS GERAL'!$M$1="Nº de decks (maior primeiro)","K"&amp;RIGHT("00"&amp;(99-N(G153)),2)&amp;AH153&amp;RIGHT("00000"&amp;ROW(),5),"K"&amp;RIGHT("00000"&amp;ROW(),5))))))</f>
        <v/>
      </c>
      <c r="AJ153" s="11" t="str">
        <f aca="false">IF(AI153="","",COUNTIFS($AI$2:$AI$801,"&lt;"&amp;AI153,$E$2:$E$801,"&gt;0")+1)</f>
        <v/>
      </c>
      <c r="AK153" s="11" t="str">
        <f aca="false">IF(OR(A153="",N(E153)&lt;=0),"",COUNTIFS($AH$2:$AH$801,"&lt;"&amp;AH153,$E$2:$E$801,"&gt;0")+COUNTIFS($AH$2:AH153,AH153,$E$2:E153,"&gt;0"))</f>
        <v/>
      </c>
    </row>
    <row r="154" customFormat="false" ht="15" hidden="false" customHeight="false" outlineLevel="0" collapsed="false">
      <c r="A154" s="11" t="str">
        <f aca="false">IF(INVENTÁRIO!A154="","",INVENTÁRIO!A154)</f>
        <v/>
      </c>
      <c r="B154" s="11" t="str">
        <f aca="false">IF(A154="","",INVENTÁRIO!B154)</f>
        <v/>
      </c>
      <c r="C154" s="16" t="str">
        <f aca="false">IF(A154="","",INVENTÁRIO!C154)</f>
        <v/>
      </c>
      <c r="D154" s="14" t="str">
        <f aca="false">IF(A154="","",MAX(K154:AD154))</f>
        <v/>
      </c>
      <c r="E154" s="14" t="str">
        <f aca="false">IF(A154="","",MAX(0,D154-C154))</f>
        <v/>
      </c>
      <c r="F154" s="16" t="str">
        <f aca="false">IF(A154="","",IF(D154=0,"Fora dos decks",IF(E154=0,"Completo","Falta")))</f>
        <v/>
      </c>
      <c r="G154" s="16" t="str">
        <f aca="false">IF(A154="","",COUNTIF(K154:AD154,"&gt;0"))</f>
        <v/>
      </c>
      <c r="H154" s="16" t="str">
        <f aca="false">IF(A154="","",IF(G154&gt;1,"Sim",""))</f>
        <v/>
      </c>
      <c r="I154" s="18" t="str">
        <f aca="false">IF(A154="","",SUMIFS(DECKS!$D$2:$D$1201,DECKS!$B$2:$B$1201,A154))</f>
        <v/>
      </c>
      <c r="J154" s="18" t="str">
        <f aca="false">IF(A154="","",MAX(0,I154-C154))</f>
        <v/>
      </c>
      <c r="K154" s="19" t="str">
        <f aca="false">IF(OR($A154="",INDEX(_LEITURA!$Q$2:$Q$21,1)=0),"",SUMIFS(DECKS!$D$2:$D$1201,DECKS!$A$2:$A$1201,INDEX(_LEITURA!$P$2:$P$21,1),DECKS!$B$2:$B$1201,$A154))</f>
        <v/>
      </c>
      <c r="L154" s="19" t="str">
        <f aca="false">IF(OR($A154="",INDEX(_LEITURA!$Q$2:$Q$21,2)=0),"",SUMIFS(DECKS!$D$2:$D$1201,DECKS!$A$2:$A$1201,INDEX(_LEITURA!$P$2:$P$21,2),DECKS!$B$2:$B$1201,$A154))</f>
        <v/>
      </c>
      <c r="M154" s="19" t="str">
        <f aca="false">IF(OR($A154="",INDEX(_LEITURA!$Q$2:$Q$21,3)=0),"",SUMIFS(DECKS!$D$2:$D$1201,DECKS!$A$2:$A$1201,INDEX(_LEITURA!$P$2:$P$21,3),DECKS!$B$2:$B$1201,$A154))</f>
        <v/>
      </c>
      <c r="N154" s="19" t="str">
        <f aca="false">IF(OR($A154="",INDEX(_LEITURA!$Q$2:$Q$21,4)=0),"",SUMIFS(DECKS!$D$2:$D$1201,DECKS!$A$2:$A$1201,INDEX(_LEITURA!$P$2:$P$21,4),DECKS!$B$2:$B$1201,$A154))</f>
        <v/>
      </c>
      <c r="O154" s="19" t="str">
        <f aca="false">IF(OR($A154="",INDEX(_LEITURA!$Q$2:$Q$21,5)=0),"",SUMIFS(DECKS!$D$2:$D$1201,DECKS!$A$2:$A$1201,INDEX(_LEITURA!$P$2:$P$21,5),DECKS!$B$2:$B$1201,$A154))</f>
        <v/>
      </c>
      <c r="P154" s="19" t="str">
        <f aca="false">IF(OR($A154="",INDEX(_LEITURA!$Q$2:$Q$21,6)=0),"",SUMIFS(DECKS!$D$2:$D$1201,DECKS!$A$2:$A$1201,INDEX(_LEITURA!$P$2:$P$21,6),DECKS!$B$2:$B$1201,$A154))</f>
        <v/>
      </c>
      <c r="Q154" s="19" t="str">
        <f aca="false">IF(OR($A154="",INDEX(_LEITURA!$Q$2:$Q$21,7)=0),"",SUMIFS(DECKS!$D$2:$D$1201,DECKS!$A$2:$A$1201,INDEX(_LEITURA!$P$2:$P$21,7),DECKS!$B$2:$B$1201,$A154))</f>
        <v/>
      </c>
      <c r="R154" s="19" t="str">
        <f aca="false">IF(OR($A154="",INDEX(_LEITURA!$Q$2:$Q$21,8)=0),"",SUMIFS(DECKS!$D$2:$D$1201,DECKS!$A$2:$A$1201,INDEX(_LEITURA!$P$2:$P$21,8),DECKS!$B$2:$B$1201,$A154))</f>
        <v/>
      </c>
      <c r="S154" s="19" t="str">
        <f aca="false">IF(OR($A154="",INDEX(_LEITURA!$Q$2:$Q$21,9)=0),"",SUMIFS(DECKS!$D$2:$D$1201,DECKS!$A$2:$A$1201,INDEX(_LEITURA!$P$2:$P$21,9),DECKS!$B$2:$B$1201,$A154))</f>
        <v/>
      </c>
      <c r="T154" s="19" t="str">
        <f aca="false">IF(OR($A154="",INDEX(_LEITURA!$Q$2:$Q$21,10)=0),"",SUMIFS(DECKS!$D$2:$D$1201,DECKS!$A$2:$A$1201,INDEX(_LEITURA!$P$2:$P$21,10),DECKS!$B$2:$B$1201,$A154))</f>
        <v/>
      </c>
      <c r="U154" s="19" t="str">
        <f aca="false">IF(OR($A154="",INDEX(_LEITURA!$Q$2:$Q$21,11)=0),"",SUMIFS(DECKS!$D$2:$D$1201,DECKS!$A$2:$A$1201,INDEX(_LEITURA!$P$2:$P$21,11),DECKS!$B$2:$B$1201,$A154))</f>
        <v/>
      </c>
      <c r="V154" s="19" t="str">
        <f aca="false">IF(OR($A154="",INDEX(_LEITURA!$Q$2:$Q$21,12)=0),"",SUMIFS(DECKS!$D$2:$D$1201,DECKS!$A$2:$A$1201,INDEX(_LEITURA!$P$2:$P$21,12),DECKS!$B$2:$B$1201,$A154))</f>
        <v/>
      </c>
      <c r="W154" s="19" t="str">
        <f aca="false">IF(OR($A154="",INDEX(_LEITURA!$Q$2:$Q$21,13)=0),"",SUMIFS(DECKS!$D$2:$D$1201,DECKS!$A$2:$A$1201,INDEX(_LEITURA!$P$2:$P$21,13),DECKS!$B$2:$B$1201,$A154))</f>
        <v/>
      </c>
      <c r="X154" s="19" t="str">
        <f aca="false">IF(OR($A154="",INDEX(_LEITURA!$Q$2:$Q$21,14)=0),"",SUMIFS(DECKS!$D$2:$D$1201,DECKS!$A$2:$A$1201,INDEX(_LEITURA!$P$2:$P$21,14),DECKS!$B$2:$B$1201,$A154))</f>
        <v/>
      </c>
      <c r="Y154" s="19" t="str">
        <f aca="false">IF(OR($A154="",INDEX(_LEITURA!$Q$2:$Q$21,15)=0),"",SUMIFS(DECKS!$D$2:$D$1201,DECKS!$A$2:$A$1201,INDEX(_LEITURA!$P$2:$P$21,15),DECKS!$B$2:$B$1201,$A154))</f>
        <v/>
      </c>
      <c r="Z154" s="19" t="str">
        <f aca="false">IF(OR($A154="",INDEX(_LEITURA!$Q$2:$Q$21,16)=0),"",SUMIFS(DECKS!$D$2:$D$1201,DECKS!$A$2:$A$1201,INDEX(_LEITURA!$P$2:$P$21,16),DECKS!$B$2:$B$1201,$A154))</f>
        <v/>
      </c>
      <c r="AA154" s="19" t="str">
        <f aca="false">IF(OR($A154="",INDEX(_LEITURA!$Q$2:$Q$21,17)=0),"",SUMIFS(DECKS!$D$2:$D$1201,DECKS!$A$2:$A$1201,INDEX(_LEITURA!$P$2:$P$21,17),DECKS!$B$2:$B$1201,$A154))</f>
        <v/>
      </c>
      <c r="AB154" s="19" t="str">
        <f aca="false">IF(OR($A154="",INDEX(_LEITURA!$Q$2:$Q$21,18)=0),"",SUMIFS(DECKS!$D$2:$D$1201,DECKS!$A$2:$A$1201,INDEX(_LEITURA!$P$2:$P$21,18),DECKS!$B$2:$B$1201,$A154))</f>
        <v/>
      </c>
      <c r="AC154" s="19" t="str">
        <f aca="false">IF(OR($A154="",INDEX(_LEITURA!$Q$2:$Q$21,19)=0),"",SUMIFS(DECKS!$D$2:$D$1201,DECKS!$A$2:$A$1201,INDEX(_LEITURA!$P$2:$P$21,19),DECKS!$B$2:$B$1201,$A154))</f>
        <v/>
      </c>
      <c r="AD154" s="19" t="str">
        <f aca="false">IF(OR($A154="",INDEX(_LEITURA!$Q$2:$Q$21,20)=0),"",SUMIFS(DECKS!$D$2:$D$1201,DECKS!$A$2:$A$1201,INDEX(_LEITURA!$P$2:$P$21,20),DECKS!$B$2:$B$1201,$A154))</f>
        <v/>
      </c>
      <c r="AE154" s="16" t="str">
        <f aca="false">IF(N(E154)&gt;0,MAX(AE$1:AE153)+1,"")</f>
        <v/>
      </c>
      <c r="AF154" s="11" t="str">
        <f aca="false">IF(A154="","",IFERROR(LEFT(A154,FIND("-",A154)-1),A154))</f>
        <v/>
      </c>
      <c r="AG154" s="11" t="str">
        <f aca="false">IF(AF154="","",IF(ISNUMBER(--MID(AF154,1,1)),0,IF(ISNUMBER(--MID(AF154,2,1)),1,IF(ISNUMBER(--MID(AF154,3,1)),2,IF(ISNUMBER(--MID(AF154,4,1)),3,MIN(LEN(AF154),4))))))</f>
        <v/>
      </c>
      <c r="AH154" s="11" t="str">
        <f aca="false">IF(A154="","",LEFT(AF154,AG154)&amp;REPT("0",4-AG154)&amp;RIGHT("000"&amp;IFERROR(VALUE(MID(AF154,AG154+1,9)),0),3)&amp;RIGHT("0000"&amp;IFERROR(VALUE(MID(A154,FIND("-",A154)+1,9)),0),4))</f>
        <v/>
      </c>
      <c r="AI154" s="11" t="str">
        <f aca="false">IF(OR(A154="",N(E154)&lt;=0),"",IF('FALTAS GERAL'!$M$1="Código","K"&amp;AH154&amp;RIGHT("00000"&amp;ROW(),5),IF('FALTAS GERAL'!$M$1="Nome","K"&amp;UPPER(SUBSTITUTE(SUBSTITUTE(SUBSTITUTE(B154,"*",""),"?",""),"~",""))&amp;"0"&amp;AH154&amp;RIGHT("00000"&amp;ROW(),5),IF('FALTAS GERAL'!$M$1="Falta (maior primeiro)","K"&amp;RIGHT("0000"&amp;(9999-E154),4)&amp;AH154&amp;RIGHT("00000"&amp;ROW(),5),IF('FALTAS GERAL'!$M$1="Nº de decks (maior primeiro)","K"&amp;RIGHT("00"&amp;(99-N(G154)),2)&amp;AH154&amp;RIGHT("00000"&amp;ROW(),5),"K"&amp;RIGHT("00000"&amp;ROW(),5))))))</f>
        <v/>
      </c>
      <c r="AJ154" s="11" t="str">
        <f aca="false">IF(AI154="","",COUNTIFS($AI$2:$AI$801,"&lt;"&amp;AI154,$E$2:$E$801,"&gt;0")+1)</f>
        <v/>
      </c>
      <c r="AK154" s="11" t="str">
        <f aca="false">IF(OR(A154="",N(E154)&lt;=0),"",COUNTIFS($AH$2:$AH$801,"&lt;"&amp;AH154,$E$2:$E$801,"&gt;0")+COUNTIFS($AH$2:AH154,AH154,$E$2:E154,"&gt;0"))</f>
        <v/>
      </c>
    </row>
    <row r="155" customFormat="false" ht="15" hidden="false" customHeight="false" outlineLevel="0" collapsed="false">
      <c r="A155" s="11" t="str">
        <f aca="false">IF(INVENTÁRIO!A155="","",INVENTÁRIO!A155)</f>
        <v/>
      </c>
      <c r="B155" s="11" t="str">
        <f aca="false">IF(A155="","",INVENTÁRIO!B155)</f>
        <v/>
      </c>
      <c r="C155" s="16" t="str">
        <f aca="false">IF(A155="","",INVENTÁRIO!C155)</f>
        <v/>
      </c>
      <c r="D155" s="14" t="str">
        <f aca="false">IF(A155="","",MAX(K155:AD155))</f>
        <v/>
      </c>
      <c r="E155" s="14" t="str">
        <f aca="false">IF(A155="","",MAX(0,D155-C155))</f>
        <v/>
      </c>
      <c r="F155" s="16" t="str">
        <f aca="false">IF(A155="","",IF(D155=0,"Fora dos decks",IF(E155=0,"Completo","Falta")))</f>
        <v/>
      </c>
      <c r="G155" s="16" t="str">
        <f aca="false">IF(A155="","",COUNTIF(K155:AD155,"&gt;0"))</f>
        <v/>
      </c>
      <c r="H155" s="16" t="str">
        <f aca="false">IF(A155="","",IF(G155&gt;1,"Sim",""))</f>
        <v/>
      </c>
      <c r="I155" s="18" t="str">
        <f aca="false">IF(A155="","",SUMIFS(DECKS!$D$2:$D$1201,DECKS!$B$2:$B$1201,A155))</f>
        <v/>
      </c>
      <c r="J155" s="18" t="str">
        <f aca="false">IF(A155="","",MAX(0,I155-C155))</f>
        <v/>
      </c>
      <c r="K155" s="19" t="str">
        <f aca="false">IF(OR($A155="",INDEX(_LEITURA!$Q$2:$Q$21,1)=0),"",SUMIFS(DECKS!$D$2:$D$1201,DECKS!$A$2:$A$1201,INDEX(_LEITURA!$P$2:$P$21,1),DECKS!$B$2:$B$1201,$A155))</f>
        <v/>
      </c>
      <c r="L155" s="19" t="str">
        <f aca="false">IF(OR($A155="",INDEX(_LEITURA!$Q$2:$Q$21,2)=0),"",SUMIFS(DECKS!$D$2:$D$1201,DECKS!$A$2:$A$1201,INDEX(_LEITURA!$P$2:$P$21,2),DECKS!$B$2:$B$1201,$A155))</f>
        <v/>
      </c>
      <c r="M155" s="19" t="str">
        <f aca="false">IF(OR($A155="",INDEX(_LEITURA!$Q$2:$Q$21,3)=0),"",SUMIFS(DECKS!$D$2:$D$1201,DECKS!$A$2:$A$1201,INDEX(_LEITURA!$P$2:$P$21,3),DECKS!$B$2:$B$1201,$A155))</f>
        <v/>
      </c>
      <c r="N155" s="19" t="str">
        <f aca="false">IF(OR($A155="",INDEX(_LEITURA!$Q$2:$Q$21,4)=0),"",SUMIFS(DECKS!$D$2:$D$1201,DECKS!$A$2:$A$1201,INDEX(_LEITURA!$P$2:$P$21,4),DECKS!$B$2:$B$1201,$A155))</f>
        <v/>
      </c>
      <c r="O155" s="19" t="str">
        <f aca="false">IF(OR($A155="",INDEX(_LEITURA!$Q$2:$Q$21,5)=0),"",SUMIFS(DECKS!$D$2:$D$1201,DECKS!$A$2:$A$1201,INDEX(_LEITURA!$P$2:$P$21,5),DECKS!$B$2:$B$1201,$A155))</f>
        <v/>
      </c>
      <c r="P155" s="19" t="str">
        <f aca="false">IF(OR($A155="",INDEX(_LEITURA!$Q$2:$Q$21,6)=0),"",SUMIFS(DECKS!$D$2:$D$1201,DECKS!$A$2:$A$1201,INDEX(_LEITURA!$P$2:$P$21,6),DECKS!$B$2:$B$1201,$A155))</f>
        <v/>
      </c>
      <c r="Q155" s="19" t="str">
        <f aca="false">IF(OR($A155="",INDEX(_LEITURA!$Q$2:$Q$21,7)=0),"",SUMIFS(DECKS!$D$2:$D$1201,DECKS!$A$2:$A$1201,INDEX(_LEITURA!$P$2:$P$21,7),DECKS!$B$2:$B$1201,$A155))</f>
        <v/>
      </c>
      <c r="R155" s="19" t="str">
        <f aca="false">IF(OR($A155="",INDEX(_LEITURA!$Q$2:$Q$21,8)=0),"",SUMIFS(DECKS!$D$2:$D$1201,DECKS!$A$2:$A$1201,INDEX(_LEITURA!$P$2:$P$21,8),DECKS!$B$2:$B$1201,$A155))</f>
        <v/>
      </c>
      <c r="S155" s="19" t="str">
        <f aca="false">IF(OR($A155="",INDEX(_LEITURA!$Q$2:$Q$21,9)=0),"",SUMIFS(DECKS!$D$2:$D$1201,DECKS!$A$2:$A$1201,INDEX(_LEITURA!$P$2:$P$21,9),DECKS!$B$2:$B$1201,$A155))</f>
        <v/>
      </c>
      <c r="T155" s="19" t="str">
        <f aca="false">IF(OR($A155="",INDEX(_LEITURA!$Q$2:$Q$21,10)=0),"",SUMIFS(DECKS!$D$2:$D$1201,DECKS!$A$2:$A$1201,INDEX(_LEITURA!$P$2:$P$21,10),DECKS!$B$2:$B$1201,$A155))</f>
        <v/>
      </c>
      <c r="U155" s="19" t="str">
        <f aca="false">IF(OR($A155="",INDEX(_LEITURA!$Q$2:$Q$21,11)=0),"",SUMIFS(DECKS!$D$2:$D$1201,DECKS!$A$2:$A$1201,INDEX(_LEITURA!$P$2:$P$21,11),DECKS!$B$2:$B$1201,$A155))</f>
        <v/>
      </c>
      <c r="V155" s="19" t="str">
        <f aca="false">IF(OR($A155="",INDEX(_LEITURA!$Q$2:$Q$21,12)=0),"",SUMIFS(DECKS!$D$2:$D$1201,DECKS!$A$2:$A$1201,INDEX(_LEITURA!$P$2:$P$21,12),DECKS!$B$2:$B$1201,$A155))</f>
        <v/>
      </c>
      <c r="W155" s="19" t="str">
        <f aca="false">IF(OR($A155="",INDEX(_LEITURA!$Q$2:$Q$21,13)=0),"",SUMIFS(DECKS!$D$2:$D$1201,DECKS!$A$2:$A$1201,INDEX(_LEITURA!$P$2:$P$21,13),DECKS!$B$2:$B$1201,$A155))</f>
        <v/>
      </c>
      <c r="X155" s="19" t="str">
        <f aca="false">IF(OR($A155="",INDEX(_LEITURA!$Q$2:$Q$21,14)=0),"",SUMIFS(DECKS!$D$2:$D$1201,DECKS!$A$2:$A$1201,INDEX(_LEITURA!$P$2:$P$21,14),DECKS!$B$2:$B$1201,$A155))</f>
        <v/>
      </c>
      <c r="Y155" s="19" t="str">
        <f aca="false">IF(OR($A155="",INDEX(_LEITURA!$Q$2:$Q$21,15)=0),"",SUMIFS(DECKS!$D$2:$D$1201,DECKS!$A$2:$A$1201,INDEX(_LEITURA!$P$2:$P$21,15),DECKS!$B$2:$B$1201,$A155))</f>
        <v/>
      </c>
      <c r="Z155" s="19" t="str">
        <f aca="false">IF(OR($A155="",INDEX(_LEITURA!$Q$2:$Q$21,16)=0),"",SUMIFS(DECKS!$D$2:$D$1201,DECKS!$A$2:$A$1201,INDEX(_LEITURA!$P$2:$P$21,16),DECKS!$B$2:$B$1201,$A155))</f>
        <v/>
      </c>
      <c r="AA155" s="19" t="str">
        <f aca="false">IF(OR($A155="",INDEX(_LEITURA!$Q$2:$Q$21,17)=0),"",SUMIFS(DECKS!$D$2:$D$1201,DECKS!$A$2:$A$1201,INDEX(_LEITURA!$P$2:$P$21,17),DECKS!$B$2:$B$1201,$A155))</f>
        <v/>
      </c>
      <c r="AB155" s="19" t="str">
        <f aca="false">IF(OR($A155="",INDEX(_LEITURA!$Q$2:$Q$21,18)=0),"",SUMIFS(DECKS!$D$2:$D$1201,DECKS!$A$2:$A$1201,INDEX(_LEITURA!$P$2:$P$21,18),DECKS!$B$2:$B$1201,$A155))</f>
        <v/>
      </c>
      <c r="AC155" s="19" t="str">
        <f aca="false">IF(OR($A155="",INDEX(_LEITURA!$Q$2:$Q$21,19)=0),"",SUMIFS(DECKS!$D$2:$D$1201,DECKS!$A$2:$A$1201,INDEX(_LEITURA!$P$2:$P$21,19),DECKS!$B$2:$B$1201,$A155))</f>
        <v/>
      </c>
      <c r="AD155" s="19" t="str">
        <f aca="false">IF(OR($A155="",INDEX(_LEITURA!$Q$2:$Q$21,20)=0),"",SUMIFS(DECKS!$D$2:$D$1201,DECKS!$A$2:$A$1201,INDEX(_LEITURA!$P$2:$P$21,20),DECKS!$B$2:$B$1201,$A155))</f>
        <v/>
      </c>
      <c r="AE155" s="16" t="str">
        <f aca="false">IF(N(E155)&gt;0,MAX(AE$1:AE154)+1,"")</f>
        <v/>
      </c>
      <c r="AF155" s="11" t="str">
        <f aca="false">IF(A155="","",IFERROR(LEFT(A155,FIND("-",A155)-1),A155))</f>
        <v/>
      </c>
      <c r="AG155" s="11" t="str">
        <f aca="false">IF(AF155="","",IF(ISNUMBER(--MID(AF155,1,1)),0,IF(ISNUMBER(--MID(AF155,2,1)),1,IF(ISNUMBER(--MID(AF155,3,1)),2,IF(ISNUMBER(--MID(AF155,4,1)),3,MIN(LEN(AF155),4))))))</f>
        <v/>
      </c>
      <c r="AH155" s="11" t="str">
        <f aca="false">IF(A155="","",LEFT(AF155,AG155)&amp;REPT("0",4-AG155)&amp;RIGHT("000"&amp;IFERROR(VALUE(MID(AF155,AG155+1,9)),0),3)&amp;RIGHT("0000"&amp;IFERROR(VALUE(MID(A155,FIND("-",A155)+1,9)),0),4))</f>
        <v/>
      </c>
      <c r="AI155" s="11" t="str">
        <f aca="false">IF(OR(A155="",N(E155)&lt;=0),"",IF('FALTAS GERAL'!$M$1="Código","K"&amp;AH155&amp;RIGHT("00000"&amp;ROW(),5),IF('FALTAS GERAL'!$M$1="Nome","K"&amp;UPPER(SUBSTITUTE(SUBSTITUTE(SUBSTITUTE(B155,"*",""),"?",""),"~",""))&amp;"0"&amp;AH155&amp;RIGHT("00000"&amp;ROW(),5),IF('FALTAS GERAL'!$M$1="Falta (maior primeiro)","K"&amp;RIGHT("0000"&amp;(9999-E155),4)&amp;AH155&amp;RIGHT("00000"&amp;ROW(),5),IF('FALTAS GERAL'!$M$1="Nº de decks (maior primeiro)","K"&amp;RIGHT("00"&amp;(99-N(G155)),2)&amp;AH155&amp;RIGHT("00000"&amp;ROW(),5),"K"&amp;RIGHT("00000"&amp;ROW(),5))))))</f>
        <v/>
      </c>
      <c r="AJ155" s="11" t="str">
        <f aca="false">IF(AI155="","",COUNTIFS($AI$2:$AI$801,"&lt;"&amp;AI155,$E$2:$E$801,"&gt;0")+1)</f>
        <v/>
      </c>
      <c r="AK155" s="11" t="str">
        <f aca="false">IF(OR(A155="",N(E155)&lt;=0),"",COUNTIFS($AH$2:$AH$801,"&lt;"&amp;AH155,$E$2:$E$801,"&gt;0")+COUNTIFS($AH$2:AH155,AH155,$E$2:E155,"&gt;0"))</f>
        <v/>
      </c>
    </row>
    <row r="156" customFormat="false" ht="15" hidden="false" customHeight="false" outlineLevel="0" collapsed="false">
      <c r="A156" s="11" t="str">
        <f aca="false">IF(INVENTÁRIO!A156="","",INVENTÁRIO!A156)</f>
        <v/>
      </c>
      <c r="B156" s="11" t="str">
        <f aca="false">IF(A156="","",INVENTÁRIO!B156)</f>
        <v/>
      </c>
      <c r="C156" s="16" t="str">
        <f aca="false">IF(A156="","",INVENTÁRIO!C156)</f>
        <v/>
      </c>
      <c r="D156" s="14" t="str">
        <f aca="false">IF(A156="","",MAX(K156:AD156))</f>
        <v/>
      </c>
      <c r="E156" s="14" t="str">
        <f aca="false">IF(A156="","",MAX(0,D156-C156))</f>
        <v/>
      </c>
      <c r="F156" s="16" t="str">
        <f aca="false">IF(A156="","",IF(D156=0,"Fora dos decks",IF(E156=0,"Completo","Falta")))</f>
        <v/>
      </c>
      <c r="G156" s="16" t="str">
        <f aca="false">IF(A156="","",COUNTIF(K156:AD156,"&gt;0"))</f>
        <v/>
      </c>
      <c r="H156" s="16" t="str">
        <f aca="false">IF(A156="","",IF(G156&gt;1,"Sim",""))</f>
        <v/>
      </c>
      <c r="I156" s="18" t="str">
        <f aca="false">IF(A156="","",SUMIFS(DECKS!$D$2:$D$1201,DECKS!$B$2:$B$1201,A156))</f>
        <v/>
      </c>
      <c r="J156" s="18" t="str">
        <f aca="false">IF(A156="","",MAX(0,I156-C156))</f>
        <v/>
      </c>
      <c r="K156" s="19" t="str">
        <f aca="false">IF(OR($A156="",INDEX(_LEITURA!$Q$2:$Q$21,1)=0),"",SUMIFS(DECKS!$D$2:$D$1201,DECKS!$A$2:$A$1201,INDEX(_LEITURA!$P$2:$P$21,1),DECKS!$B$2:$B$1201,$A156))</f>
        <v/>
      </c>
      <c r="L156" s="19" t="str">
        <f aca="false">IF(OR($A156="",INDEX(_LEITURA!$Q$2:$Q$21,2)=0),"",SUMIFS(DECKS!$D$2:$D$1201,DECKS!$A$2:$A$1201,INDEX(_LEITURA!$P$2:$P$21,2),DECKS!$B$2:$B$1201,$A156))</f>
        <v/>
      </c>
      <c r="M156" s="19" t="str">
        <f aca="false">IF(OR($A156="",INDEX(_LEITURA!$Q$2:$Q$21,3)=0),"",SUMIFS(DECKS!$D$2:$D$1201,DECKS!$A$2:$A$1201,INDEX(_LEITURA!$P$2:$P$21,3),DECKS!$B$2:$B$1201,$A156))</f>
        <v/>
      </c>
      <c r="N156" s="19" t="str">
        <f aca="false">IF(OR($A156="",INDEX(_LEITURA!$Q$2:$Q$21,4)=0),"",SUMIFS(DECKS!$D$2:$D$1201,DECKS!$A$2:$A$1201,INDEX(_LEITURA!$P$2:$P$21,4),DECKS!$B$2:$B$1201,$A156))</f>
        <v/>
      </c>
      <c r="O156" s="19" t="str">
        <f aca="false">IF(OR($A156="",INDEX(_LEITURA!$Q$2:$Q$21,5)=0),"",SUMIFS(DECKS!$D$2:$D$1201,DECKS!$A$2:$A$1201,INDEX(_LEITURA!$P$2:$P$21,5),DECKS!$B$2:$B$1201,$A156))</f>
        <v/>
      </c>
      <c r="P156" s="19" t="str">
        <f aca="false">IF(OR($A156="",INDEX(_LEITURA!$Q$2:$Q$21,6)=0),"",SUMIFS(DECKS!$D$2:$D$1201,DECKS!$A$2:$A$1201,INDEX(_LEITURA!$P$2:$P$21,6),DECKS!$B$2:$B$1201,$A156))</f>
        <v/>
      </c>
      <c r="Q156" s="19" t="str">
        <f aca="false">IF(OR($A156="",INDEX(_LEITURA!$Q$2:$Q$21,7)=0),"",SUMIFS(DECKS!$D$2:$D$1201,DECKS!$A$2:$A$1201,INDEX(_LEITURA!$P$2:$P$21,7),DECKS!$B$2:$B$1201,$A156))</f>
        <v/>
      </c>
      <c r="R156" s="19" t="str">
        <f aca="false">IF(OR($A156="",INDEX(_LEITURA!$Q$2:$Q$21,8)=0),"",SUMIFS(DECKS!$D$2:$D$1201,DECKS!$A$2:$A$1201,INDEX(_LEITURA!$P$2:$P$21,8),DECKS!$B$2:$B$1201,$A156))</f>
        <v/>
      </c>
      <c r="S156" s="19" t="str">
        <f aca="false">IF(OR($A156="",INDEX(_LEITURA!$Q$2:$Q$21,9)=0),"",SUMIFS(DECKS!$D$2:$D$1201,DECKS!$A$2:$A$1201,INDEX(_LEITURA!$P$2:$P$21,9),DECKS!$B$2:$B$1201,$A156))</f>
        <v/>
      </c>
      <c r="T156" s="19" t="str">
        <f aca="false">IF(OR($A156="",INDEX(_LEITURA!$Q$2:$Q$21,10)=0),"",SUMIFS(DECKS!$D$2:$D$1201,DECKS!$A$2:$A$1201,INDEX(_LEITURA!$P$2:$P$21,10),DECKS!$B$2:$B$1201,$A156))</f>
        <v/>
      </c>
      <c r="U156" s="19" t="str">
        <f aca="false">IF(OR($A156="",INDEX(_LEITURA!$Q$2:$Q$21,11)=0),"",SUMIFS(DECKS!$D$2:$D$1201,DECKS!$A$2:$A$1201,INDEX(_LEITURA!$P$2:$P$21,11),DECKS!$B$2:$B$1201,$A156))</f>
        <v/>
      </c>
      <c r="V156" s="19" t="str">
        <f aca="false">IF(OR($A156="",INDEX(_LEITURA!$Q$2:$Q$21,12)=0),"",SUMIFS(DECKS!$D$2:$D$1201,DECKS!$A$2:$A$1201,INDEX(_LEITURA!$P$2:$P$21,12),DECKS!$B$2:$B$1201,$A156))</f>
        <v/>
      </c>
      <c r="W156" s="19" t="str">
        <f aca="false">IF(OR($A156="",INDEX(_LEITURA!$Q$2:$Q$21,13)=0),"",SUMIFS(DECKS!$D$2:$D$1201,DECKS!$A$2:$A$1201,INDEX(_LEITURA!$P$2:$P$21,13),DECKS!$B$2:$B$1201,$A156))</f>
        <v/>
      </c>
      <c r="X156" s="19" t="str">
        <f aca="false">IF(OR($A156="",INDEX(_LEITURA!$Q$2:$Q$21,14)=0),"",SUMIFS(DECKS!$D$2:$D$1201,DECKS!$A$2:$A$1201,INDEX(_LEITURA!$P$2:$P$21,14),DECKS!$B$2:$B$1201,$A156))</f>
        <v/>
      </c>
      <c r="Y156" s="19" t="str">
        <f aca="false">IF(OR($A156="",INDEX(_LEITURA!$Q$2:$Q$21,15)=0),"",SUMIFS(DECKS!$D$2:$D$1201,DECKS!$A$2:$A$1201,INDEX(_LEITURA!$P$2:$P$21,15),DECKS!$B$2:$B$1201,$A156))</f>
        <v/>
      </c>
      <c r="Z156" s="19" t="str">
        <f aca="false">IF(OR($A156="",INDEX(_LEITURA!$Q$2:$Q$21,16)=0),"",SUMIFS(DECKS!$D$2:$D$1201,DECKS!$A$2:$A$1201,INDEX(_LEITURA!$P$2:$P$21,16),DECKS!$B$2:$B$1201,$A156))</f>
        <v/>
      </c>
      <c r="AA156" s="19" t="str">
        <f aca="false">IF(OR($A156="",INDEX(_LEITURA!$Q$2:$Q$21,17)=0),"",SUMIFS(DECKS!$D$2:$D$1201,DECKS!$A$2:$A$1201,INDEX(_LEITURA!$P$2:$P$21,17),DECKS!$B$2:$B$1201,$A156))</f>
        <v/>
      </c>
      <c r="AB156" s="19" t="str">
        <f aca="false">IF(OR($A156="",INDEX(_LEITURA!$Q$2:$Q$21,18)=0),"",SUMIFS(DECKS!$D$2:$D$1201,DECKS!$A$2:$A$1201,INDEX(_LEITURA!$P$2:$P$21,18),DECKS!$B$2:$B$1201,$A156))</f>
        <v/>
      </c>
      <c r="AC156" s="19" t="str">
        <f aca="false">IF(OR($A156="",INDEX(_LEITURA!$Q$2:$Q$21,19)=0),"",SUMIFS(DECKS!$D$2:$D$1201,DECKS!$A$2:$A$1201,INDEX(_LEITURA!$P$2:$P$21,19),DECKS!$B$2:$B$1201,$A156))</f>
        <v/>
      </c>
      <c r="AD156" s="19" t="str">
        <f aca="false">IF(OR($A156="",INDEX(_LEITURA!$Q$2:$Q$21,20)=0),"",SUMIFS(DECKS!$D$2:$D$1201,DECKS!$A$2:$A$1201,INDEX(_LEITURA!$P$2:$P$21,20),DECKS!$B$2:$B$1201,$A156))</f>
        <v/>
      </c>
      <c r="AE156" s="16" t="str">
        <f aca="false">IF(N(E156)&gt;0,MAX(AE$1:AE155)+1,"")</f>
        <v/>
      </c>
      <c r="AF156" s="11" t="str">
        <f aca="false">IF(A156="","",IFERROR(LEFT(A156,FIND("-",A156)-1),A156))</f>
        <v/>
      </c>
      <c r="AG156" s="11" t="str">
        <f aca="false">IF(AF156="","",IF(ISNUMBER(--MID(AF156,1,1)),0,IF(ISNUMBER(--MID(AF156,2,1)),1,IF(ISNUMBER(--MID(AF156,3,1)),2,IF(ISNUMBER(--MID(AF156,4,1)),3,MIN(LEN(AF156),4))))))</f>
        <v/>
      </c>
      <c r="AH156" s="11" t="str">
        <f aca="false">IF(A156="","",LEFT(AF156,AG156)&amp;REPT("0",4-AG156)&amp;RIGHT("000"&amp;IFERROR(VALUE(MID(AF156,AG156+1,9)),0),3)&amp;RIGHT("0000"&amp;IFERROR(VALUE(MID(A156,FIND("-",A156)+1,9)),0),4))</f>
        <v/>
      </c>
      <c r="AI156" s="11" t="str">
        <f aca="false">IF(OR(A156="",N(E156)&lt;=0),"",IF('FALTAS GERAL'!$M$1="Código","K"&amp;AH156&amp;RIGHT("00000"&amp;ROW(),5),IF('FALTAS GERAL'!$M$1="Nome","K"&amp;UPPER(SUBSTITUTE(SUBSTITUTE(SUBSTITUTE(B156,"*",""),"?",""),"~",""))&amp;"0"&amp;AH156&amp;RIGHT("00000"&amp;ROW(),5),IF('FALTAS GERAL'!$M$1="Falta (maior primeiro)","K"&amp;RIGHT("0000"&amp;(9999-E156),4)&amp;AH156&amp;RIGHT("00000"&amp;ROW(),5),IF('FALTAS GERAL'!$M$1="Nº de decks (maior primeiro)","K"&amp;RIGHT("00"&amp;(99-N(G156)),2)&amp;AH156&amp;RIGHT("00000"&amp;ROW(),5),"K"&amp;RIGHT("00000"&amp;ROW(),5))))))</f>
        <v/>
      </c>
      <c r="AJ156" s="11" t="str">
        <f aca="false">IF(AI156="","",COUNTIFS($AI$2:$AI$801,"&lt;"&amp;AI156,$E$2:$E$801,"&gt;0")+1)</f>
        <v/>
      </c>
      <c r="AK156" s="11" t="str">
        <f aca="false">IF(OR(A156="",N(E156)&lt;=0),"",COUNTIFS($AH$2:$AH$801,"&lt;"&amp;AH156,$E$2:$E$801,"&gt;0")+COUNTIFS($AH$2:AH156,AH156,$E$2:E156,"&gt;0"))</f>
        <v/>
      </c>
    </row>
    <row r="157" customFormat="false" ht="15" hidden="false" customHeight="false" outlineLevel="0" collapsed="false">
      <c r="A157" s="11" t="str">
        <f aca="false">IF(INVENTÁRIO!A157="","",INVENTÁRIO!A157)</f>
        <v/>
      </c>
      <c r="B157" s="11" t="str">
        <f aca="false">IF(A157="","",INVENTÁRIO!B157)</f>
        <v/>
      </c>
      <c r="C157" s="16" t="str">
        <f aca="false">IF(A157="","",INVENTÁRIO!C157)</f>
        <v/>
      </c>
      <c r="D157" s="14" t="str">
        <f aca="false">IF(A157="","",MAX(K157:AD157))</f>
        <v/>
      </c>
      <c r="E157" s="14" t="str">
        <f aca="false">IF(A157="","",MAX(0,D157-C157))</f>
        <v/>
      </c>
      <c r="F157" s="16" t="str">
        <f aca="false">IF(A157="","",IF(D157=0,"Fora dos decks",IF(E157=0,"Completo","Falta")))</f>
        <v/>
      </c>
      <c r="G157" s="16" t="str">
        <f aca="false">IF(A157="","",COUNTIF(K157:AD157,"&gt;0"))</f>
        <v/>
      </c>
      <c r="H157" s="16" t="str">
        <f aca="false">IF(A157="","",IF(G157&gt;1,"Sim",""))</f>
        <v/>
      </c>
      <c r="I157" s="18" t="str">
        <f aca="false">IF(A157="","",SUMIFS(DECKS!$D$2:$D$1201,DECKS!$B$2:$B$1201,A157))</f>
        <v/>
      </c>
      <c r="J157" s="18" t="str">
        <f aca="false">IF(A157="","",MAX(0,I157-C157))</f>
        <v/>
      </c>
      <c r="K157" s="19" t="str">
        <f aca="false">IF(OR($A157="",INDEX(_LEITURA!$Q$2:$Q$21,1)=0),"",SUMIFS(DECKS!$D$2:$D$1201,DECKS!$A$2:$A$1201,INDEX(_LEITURA!$P$2:$P$21,1),DECKS!$B$2:$B$1201,$A157))</f>
        <v/>
      </c>
      <c r="L157" s="19" t="str">
        <f aca="false">IF(OR($A157="",INDEX(_LEITURA!$Q$2:$Q$21,2)=0),"",SUMIFS(DECKS!$D$2:$D$1201,DECKS!$A$2:$A$1201,INDEX(_LEITURA!$P$2:$P$21,2),DECKS!$B$2:$B$1201,$A157))</f>
        <v/>
      </c>
      <c r="M157" s="19" t="str">
        <f aca="false">IF(OR($A157="",INDEX(_LEITURA!$Q$2:$Q$21,3)=0),"",SUMIFS(DECKS!$D$2:$D$1201,DECKS!$A$2:$A$1201,INDEX(_LEITURA!$P$2:$P$21,3),DECKS!$B$2:$B$1201,$A157))</f>
        <v/>
      </c>
      <c r="N157" s="19" t="str">
        <f aca="false">IF(OR($A157="",INDEX(_LEITURA!$Q$2:$Q$21,4)=0),"",SUMIFS(DECKS!$D$2:$D$1201,DECKS!$A$2:$A$1201,INDEX(_LEITURA!$P$2:$P$21,4),DECKS!$B$2:$B$1201,$A157))</f>
        <v/>
      </c>
      <c r="O157" s="19" t="str">
        <f aca="false">IF(OR($A157="",INDEX(_LEITURA!$Q$2:$Q$21,5)=0),"",SUMIFS(DECKS!$D$2:$D$1201,DECKS!$A$2:$A$1201,INDEX(_LEITURA!$P$2:$P$21,5),DECKS!$B$2:$B$1201,$A157))</f>
        <v/>
      </c>
      <c r="P157" s="19" t="str">
        <f aca="false">IF(OR($A157="",INDEX(_LEITURA!$Q$2:$Q$21,6)=0),"",SUMIFS(DECKS!$D$2:$D$1201,DECKS!$A$2:$A$1201,INDEX(_LEITURA!$P$2:$P$21,6),DECKS!$B$2:$B$1201,$A157))</f>
        <v/>
      </c>
      <c r="Q157" s="19" t="str">
        <f aca="false">IF(OR($A157="",INDEX(_LEITURA!$Q$2:$Q$21,7)=0),"",SUMIFS(DECKS!$D$2:$D$1201,DECKS!$A$2:$A$1201,INDEX(_LEITURA!$P$2:$P$21,7),DECKS!$B$2:$B$1201,$A157))</f>
        <v/>
      </c>
      <c r="R157" s="19" t="str">
        <f aca="false">IF(OR($A157="",INDEX(_LEITURA!$Q$2:$Q$21,8)=0),"",SUMIFS(DECKS!$D$2:$D$1201,DECKS!$A$2:$A$1201,INDEX(_LEITURA!$P$2:$P$21,8),DECKS!$B$2:$B$1201,$A157))</f>
        <v/>
      </c>
      <c r="S157" s="19" t="str">
        <f aca="false">IF(OR($A157="",INDEX(_LEITURA!$Q$2:$Q$21,9)=0),"",SUMIFS(DECKS!$D$2:$D$1201,DECKS!$A$2:$A$1201,INDEX(_LEITURA!$P$2:$P$21,9),DECKS!$B$2:$B$1201,$A157))</f>
        <v/>
      </c>
      <c r="T157" s="19" t="str">
        <f aca="false">IF(OR($A157="",INDEX(_LEITURA!$Q$2:$Q$21,10)=0),"",SUMIFS(DECKS!$D$2:$D$1201,DECKS!$A$2:$A$1201,INDEX(_LEITURA!$P$2:$P$21,10),DECKS!$B$2:$B$1201,$A157))</f>
        <v/>
      </c>
      <c r="U157" s="19" t="str">
        <f aca="false">IF(OR($A157="",INDEX(_LEITURA!$Q$2:$Q$21,11)=0),"",SUMIFS(DECKS!$D$2:$D$1201,DECKS!$A$2:$A$1201,INDEX(_LEITURA!$P$2:$P$21,11),DECKS!$B$2:$B$1201,$A157))</f>
        <v/>
      </c>
      <c r="V157" s="19" t="str">
        <f aca="false">IF(OR($A157="",INDEX(_LEITURA!$Q$2:$Q$21,12)=0),"",SUMIFS(DECKS!$D$2:$D$1201,DECKS!$A$2:$A$1201,INDEX(_LEITURA!$P$2:$P$21,12),DECKS!$B$2:$B$1201,$A157))</f>
        <v/>
      </c>
      <c r="W157" s="19" t="str">
        <f aca="false">IF(OR($A157="",INDEX(_LEITURA!$Q$2:$Q$21,13)=0),"",SUMIFS(DECKS!$D$2:$D$1201,DECKS!$A$2:$A$1201,INDEX(_LEITURA!$P$2:$P$21,13),DECKS!$B$2:$B$1201,$A157))</f>
        <v/>
      </c>
      <c r="X157" s="19" t="str">
        <f aca="false">IF(OR($A157="",INDEX(_LEITURA!$Q$2:$Q$21,14)=0),"",SUMIFS(DECKS!$D$2:$D$1201,DECKS!$A$2:$A$1201,INDEX(_LEITURA!$P$2:$P$21,14),DECKS!$B$2:$B$1201,$A157))</f>
        <v/>
      </c>
      <c r="Y157" s="19" t="str">
        <f aca="false">IF(OR($A157="",INDEX(_LEITURA!$Q$2:$Q$21,15)=0),"",SUMIFS(DECKS!$D$2:$D$1201,DECKS!$A$2:$A$1201,INDEX(_LEITURA!$P$2:$P$21,15),DECKS!$B$2:$B$1201,$A157))</f>
        <v/>
      </c>
      <c r="Z157" s="19" t="str">
        <f aca="false">IF(OR($A157="",INDEX(_LEITURA!$Q$2:$Q$21,16)=0),"",SUMIFS(DECKS!$D$2:$D$1201,DECKS!$A$2:$A$1201,INDEX(_LEITURA!$P$2:$P$21,16),DECKS!$B$2:$B$1201,$A157))</f>
        <v/>
      </c>
      <c r="AA157" s="19" t="str">
        <f aca="false">IF(OR($A157="",INDEX(_LEITURA!$Q$2:$Q$21,17)=0),"",SUMIFS(DECKS!$D$2:$D$1201,DECKS!$A$2:$A$1201,INDEX(_LEITURA!$P$2:$P$21,17),DECKS!$B$2:$B$1201,$A157))</f>
        <v/>
      </c>
      <c r="AB157" s="19" t="str">
        <f aca="false">IF(OR($A157="",INDEX(_LEITURA!$Q$2:$Q$21,18)=0),"",SUMIFS(DECKS!$D$2:$D$1201,DECKS!$A$2:$A$1201,INDEX(_LEITURA!$P$2:$P$21,18),DECKS!$B$2:$B$1201,$A157))</f>
        <v/>
      </c>
      <c r="AC157" s="19" t="str">
        <f aca="false">IF(OR($A157="",INDEX(_LEITURA!$Q$2:$Q$21,19)=0),"",SUMIFS(DECKS!$D$2:$D$1201,DECKS!$A$2:$A$1201,INDEX(_LEITURA!$P$2:$P$21,19),DECKS!$B$2:$B$1201,$A157))</f>
        <v/>
      </c>
      <c r="AD157" s="19" t="str">
        <f aca="false">IF(OR($A157="",INDEX(_LEITURA!$Q$2:$Q$21,20)=0),"",SUMIFS(DECKS!$D$2:$D$1201,DECKS!$A$2:$A$1201,INDEX(_LEITURA!$P$2:$P$21,20),DECKS!$B$2:$B$1201,$A157))</f>
        <v/>
      </c>
      <c r="AE157" s="16" t="str">
        <f aca="false">IF(N(E157)&gt;0,MAX(AE$1:AE156)+1,"")</f>
        <v/>
      </c>
      <c r="AF157" s="11" t="str">
        <f aca="false">IF(A157="","",IFERROR(LEFT(A157,FIND("-",A157)-1),A157))</f>
        <v/>
      </c>
      <c r="AG157" s="11" t="str">
        <f aca="false">IF(AF157="","",IF(ISNUMBER(--MID(AF157,1,1)),0,IF(ISNUMBER(--MID(AF157,2,1)),1,IF(ISNUMBER(--MID(AF157,3,1)),2,IF(ISNUMBER(--MID(AF157,4,1)),3,MIN(LEN(AF157),4))))))</f>
        <v/>
      </c>
      <c r="AH157" s="11" t="str">
        <f aca="false">IF(A157="","",LEFT(AF157,AG157)&amp;REPT("0",4-AG157)&amp;RIGHT("000"&amp;IFERROR(VALUE(MID(AF157,AG157+1,9)),0),3)&amp;RIGHT("0000"&amp;IFERROR(VALUE(MID(A157,FIND("-",A157)+1,9)),0),4))</f>
        <v/>
      </c>
      <c r="AI157" s="11" t="str">
        <f aca="false">IF(OR(A157="",N(E157)&lt;=0),"",IF('FALTAS GERAL'!$M$1="Código","K"&amp;AH157&amp;RIGHT("00000"&amp;ROW(),5),IF('FALTAS GERAL'!$M$1="Nome","K"&amp;UPPER(SUBSTITUTE(SUBSTITUTE(SUBSTITUTE(B157,"*",""),"?",""),"~",""))&amp;"0"&amp;AH157&amp;RIGHT("00000"&amp;ROW(),5),IF('FALTAS GERAL'!$M$1="Falta (maior primeiro)","K"&amp;RIGHT("0000"&amp;(9999-E157),4)&amp;AH157&amp;RIGHT("00000"&amp;ROW(),5),IF('FALTAS GERAL'!$M$1="Nº de decks (maior primeiro)","K"&amp;RIGHT("00"&amp;(99-N(G157)),2)&amp;AH157&amp;RIGHT("00000"&amp;ROW(),5),"K"&amp;RIGHT("00000"&amp;ROW(),5))))))</f>
        <v/>
      </c>
      <c r="AJ157" s="11" t="str">
        <f aca="false">IF(AI157="","",COUNTIFS($AI$2:$AI$801,"&lt;"&amp;AI157,$E$2:$E$801,"&gt;0")+1)</f>
        <v/>
      </c>
      <c r="AK157" s="11" t="str">
        <f aca="false">IF(OR(A157="",N(E157)&lt;=0),"",COUNTIFS($AH$2:$AH$801,"&lt;"&amp;AH157,$E$2:$E$801,"&gt;0")+COUNTIFS($AH$2:AH157,AH157,$E$2:E157,"&gt;0"))</f>
        <v/>
      </c>
    </row>
    <row r="158" customFormat="false" ht="15" hidden="false" customHeight="false" outlineLevel="0" collapsed="false">
      <c r="A158" s="11" t="str">
        <f aca="false">IF(INVENTÁRIO!A158="","",INVENTÁRIO!A158)</f>
        <v/>
      </c>
      <c r="B158" s="11" t="str">
        <f aca="false">IF(A158="","",INVENTÁRIO!B158)</f>
        <v/>
      </c>
      <c r="C158" s="16" t="str">
        <f aca="false">IF(A158="","",INVENTÁRIO!C158)</f>
        <v/>
      </c>
      <c r="D158" s="14" t="str">
        <f aca="false">IF(A158="","",MAX(K158:AD158))</f>
        <v/>
      </c>
      <c r="E158" s="14" t="str">
        <f aca="false">IF(A158="","",MAX(0,D158-C158))</f>
        <v/>
      </c>
      <c r="F158" s="16" t="str">
        <f aca="false">IF(A158="","",IF(D158=0,"Fora dos decks",IF(E158=0,"Completo","Falta")))</f>
        <v/>
      </c>
      <c r="G158" s="16" t="str">
        <f aca="false">IF(A158="","",COUNTIF(K158:AD158,"&gt;0"))</f>
        <v/>
      </c>
      <c r="H158" s="16" t="str">
        <f aca="false">IF(A158="","",IF(G158&gt;1,"Sim",""))</f>
        <v/>
      </c>
      <c r="I158" s="18" t="str">
        <f aca="false">IF(A158="","",SUMIFS(DECKS!$D$2:$D$1201,DECKS!$B$2:$B$1201,A158))</f>
        <v/>
      </c>
      <c r="J158" s="18" t="str">
        <f aca="false">IF(A158="","",MAX(0,I158-C158))</f>
        <v/>
      </c>
      <c r="K158" s="19" t="str">
        <f aca="false">IF(OR($A158="",INDEX(_LEITURA!$Q$2:$Q$21,1)=0),"",SUMIFS(DECKS!$D$2:$D$1201,DECKS!$A$2:$A$1201,INDEX(_LEITURA!$P$2:$P$21,1),DECKS!$B$2:$B$1201,$A158))</f>
        <v/>
      </c>
      <c r="L158" s="19" t="str">
        <f aca="false">IF(OR($A158="",INDEX(_LEITURA!$Q$2:$Q$21,2)=0),"",SUMIFS(DECKS!$D$2:$D$1201,DECKS!$A$2:$A$1201,INDEX(_LEITURA!$P$2:$P$21,2),DECKS!$B$2:$B$1201,$A158))</f>
        <v/>
      </c>
      <c r="M158" s="19" t="str">
        <f aca="false">IF(OR($A158="",INDEX(_LEITURA!$Q$2:$Q$21,3)=0),"",SUMIFS(DECKS!$D$2:$D$1201,DECKS!$A$2:$A$1201,INDEX(_LEITURA!$P$2:$P$21,3),DECKS!$B$2:$B$1201,$A158))</f>
        <v/>
      </c>
      <c r="N158" s="19" t="str">
        <f aca="false">IF(OR($A158="",INDEX(_LEITURA!$Q$2:$Q$21,4)=0),"",SUMIFS(DECKS!$D$2:$D$1201,DECKS!$A$2:$A$1201,INDEX(_LEITURA!$P$2:$P$21,4),DECKS!$B$2:$B$1201,$A158))</f>
        <v/>
      </c>
      <c r="O158" s="19" t="str">
        <f aca="false">IF(OR($A158="",INDEX(_LEITURA!$Q$2:$Q$21,5)=0),"",SUMIFS(DECKS!$D$2:$D$1201,DECKS!$A$2:$A$1201,INDEX(_LEITURA!$P$2:$P$21,5),DECKS!$B$2:$B$1201,$A158))</f>
        <v/>
      </c>
      <c r="P158" s="19" t="str">
        <f aca="false">IF(OR($A158="",INDEX(_LEITURA!$Q$2:$Q$21,6)=0),"",SUMIFS(DECKS!$D$2:$D$1201,DECKS!$A$2:$A$1201,INDEX(_LEITURA!$P$2:$P$21,6),DECKS!$B$2:$B$1201,$A158))</f>
        <v/>
      </c>
      <c r="Q158" s="19" t="str">
        <f aca="false">IF(OR($A158="",INDEX(_LEITURA!$Q$2:$Q$21,7)=0),"",SUMIFS(DECKS!$D$2:$D$1201,DECKS!$A$2:$A$1201,INDEX(_LEITURA!$P$2:$P$21,7),DECKS!$B$2:$B$1201,$A158))</f>
        <v/>
      </c>
      <c r="R158" s="19" t="str">
        <f aca="false">IF(OR($A158="",INDEX(_LEITURA!$Q$2:$Q$21,8)=0),"",SUMIFS(DECKS!$D$2:$D$1201,DECKS!$A$2:$A$1201,INDEX(_LEITURA!$P$2:$P$21,8),DECKS!$B$2:$B$1201,$A158))</f>
        <v/>
      </c>
      <c r="S158" s="19" t="str">
        <f aca="false">IF(OR($A158="",INDEX(_LEITURA!$Q$2:$Q$21,9)=0),"",SUMIFS(DECKS!$D$2:$D$1201,DECKS!$A$2:$A$1201,INDEX(_LEITURA!$P$2:$P$21,9),DECKS!$B$2:$B$1201,$A158))</f>
        <v/>
      </c>
      <c r="T158" s="19" t="str">
        <f aca="false">IF(OR($A158="",INDEX(_LEITURA!$Q$2:$Q$21,10)=0),"",SUMIFS(DECKS!$D$2:$D$1201,DECKS!$A$2:$A$1201,INDEX(_LEITURA!$P$2:$P$21,10),DECKS!$B$2:$B$1201,$A158))</f>
        <v/>
      </c>
      <c r="U158" s="19" t="str">
        <f aca="false">IF(OR($A158="",INDEX(_LEITURA!$Q$2:$Q$21,11)=0),"",SUMIFS(DECKS!$D$2:$D$1201,DECKS!$A$2:$A$1201,INDEX(_LEITURA!$P$2:$P$21,11),DECKS!$B$2:$B$1201,$A158))</f>
        <v/>
      </c>
      <c r="V158" s="19" t="str">
        <f aca="false">IF(OR($A158="",INDEX(_LEITURA!$Q$2:$Q$21,12)=0),"",SUMIFS(DECKS!$D$2:$D$1201,DECKS!$A$2:$A$1201,INDEX(_LEITURA!$P$2:$P$21,12),DECKS!$B$2:$B$1201,$A158))</f>
        <v/>
      </c>
      <c r="W158" s="19" t="str">
        <f aca="false">IF(OR($A158="",INDEX(_LEITURA!$Q$2:$Q$21,13)=0),"",SUMIFS(DECKS!$D$2:$D$1201,DECKS!$A$2:$A$1201,INDEX(_LEITURA!$P$2:$P$21,13),DECKS!$B$2:$B$1201,$A158))</f>
        <v/>
      </c>
      <c r="X158" s="19" t="str">
        <f aca="false">IF(OR($A158="",INDEX(_LEITURA!$Q$2:$Q$21,14)=0),"",SUMIFS(DECKS!$D$2:$D$1201,DECKS!$A$2:$A$1201,INDEX(_LEITURA!$P$2:$P$21,14),DECKS!$B$2:$B$1201,$A158))</f>
        <v/>
      </c>
      <c r="Y158" s="19" t="str">
        <f aca="false">IF(OR($A158="",INDEX(_LEITURA!$Q$2:$Q$21,15)=0),"",SUMIFS(DECKS!$D$2:$D$1201,DECKS!$A$2:$A$1201,INDEX(_LEITURA!$P$2:$P$21,15),DECKS!$B$2:$B$1201,$A158))</f>
        <v/>
      </c>
      <c r="Z158" s="19" t="str">
        <f aca="false">IF(OR($A158="",INDEX(_LEITURA!$Q$2:$Q$21,16)=0),"",SUMIFS(DECKS!$D$2:$D$1201,DECKS!$A$2:$A$1201,INDEX(_LEITURA!$P$2:$P$21,16),DECKS!$B$2:$B$1201,$A158))</f>
        <v/>
      </c>
      <c r="AA158" s="19" t="str">
        <f aca="false">IF(OR($A158="",INDEX(_LEITURA!$Q$2:$Q$21,17)=0),"",SUMIFS(DECKS!$D$2:$D$1201,DECKS!$A$2:$A$1201,INDEX(_LEITURA!$P$2:$P$21,17),DECKS!$B$2:$B$1201,$A158))</f>
        <v/>
      </c>
      <c r="AB158" s="19" t="str">
        <f aca="false">IF(OR($A158="",INDEX(_LEITURA!$Q$2:$Q$21,18)=0),"",SUMIFS(DECKS!$D$2:$D$1201,DECKS!$A$2:$A$1201,INDEX(_LEITURA!$P$2:$P$21,18),DECKS!$B$2:$B$1201,$A158))</f>
        <v/>
      </c>
      <c r="AC158" s="19" t="str">
        <f aca="false">IF(OR($A158="",INDEX(_LEITURA!$Q$2:$Q$21,19)=0),"",SUMIFS(DECKS!$D$2:$D$1201,DECKS!$A$2:$A$1201,INDEX(_LEITURA!$P$2:$P$21,19),DECKS!$B$2:$B$1201,$A158))</f>
        <v/>
      </c>
      <c r="AD158" s="19" t="str">
        <f aca="false">IF(OR($A158="",INDEX(_LEITURA!$Q$2:$Q$21,20)=0),"",SUMIFS(DECKS!$D$2:$D$1201,DECKS!$A$2:$A$1201,INDEX(_LEITURA!$P$2:$P$21,20),DECKS!$B$2:$B$1201,$A158))</f>
        <v/>
      </c>
      <c r="AE158" s="16" t="str">
        <f aca="false">IF(N(E158)&gt;0,MAX(AE$1:AE157)+1,"")</f>
        <v/>
      </c>
      <c r="AF158" s="11" t="str">
        <f aca="false">IF(A158="","",IFERROR(LEFT(A158,FIND("-",A158)-1),A158))</f>
        <v/>
      </c>
      <c r="AG158" s="11" t="str">
        <f aca="false">IF(AF158="","",IF(ISNUMBER(--MID(AF158,1,1)),0,IF(ISNUMBER(--MID(AF158,2,1)),1,IF(ISNUMBER(--MID(AF158,3,1)),2,IF(ISNUMBER(--MID(AF158,4,1)),3,MIN(LEN(AF158),4))))))</f>
        <v/>
      </c>
      <c r="AH158" s="11" t="str">
        <f aca="false">IF(A158="","",LEFT(AF158,AG158)&amp;REPT("0",4-AG158)&amp;RIGHT("000"&amp;IFERROR(VALUE(MID(AF158,AG158+1,9)),0),3)&amp;RIGHT("0000"&amp;IFERROR(VALUE(MID(A158,FIND("-",A158)+1,9)),0),4))</f>
        <v/>
      </c>
      <c r="AI158" s="11" t="str">
        <f aca="false">IF(OR(A158="",N(E158)&lt;=0),"",IF('FALTAS GERAL'!$M$1="Código","K"&amp;AH158&amp;RIGHT("00000"&amp;ROW(),5),IF('FALTAS GERAL'!$M$1="Nome","K"&amp;UPPER(SUBSTITUTE(SUBSTITUTE(SUBSTITUTE(B158,"*",""),"?",""),"~",""))&amp;"0"&amp;AH158&amp;RIGHT("00000"&amp;ROW(),5),IF('FALTAS GERAL'!$M$1="Falta (maior primeiro)","K"&amp;RIGHT("0000"&amp;(9999-E158),4)&amp;AH158&amp;RIGHT("00000"&amp;ROW(),5),IF('FALTAS GERAL'!$M$1="Nº de decks (maior primeiro)","K"&amp;RIGHT("00"&amp;(99-N(G158)),2)&amp;AH158&amp;RIGHT("00000"&amp;ROW(),5),"K"&amp;RIGHT("00000"&amp;ROW(),5))))))</f>
        <v/>
      </c>
      <c r="AJ158" s="11" t="str">
        <f aca="false">IF(AI158="","",COUNTIFS($AI$2:$AI$801,"&lt;"&amp;AI158,$E$2:$E$801,"&gt;0")+1)</f>
        <v/>
      </c>
      <c r="AK158" s="11" t="str">
        <f aca="false">IF(OR(A158="",N(E158)&lt;=0),"",COUNTIFS($AH$2:$AH$801,"&lt;"&amp;AH158,$E$2:$E$801,"&gt;0")+COUNTIFS($AH$2:AH158,AH158,$E$2:E158,"&gt;0"))</f>
        <v/>
      </c>
    </row>
    <row r="159" customFormat="false" ht="15" hidden="false" customHeight="false" outlineLevel="0" collapsed="false">
      <c r="A159" s="11" t="str">
        <f aca="false">IF(INVENTÁRIO!A159="","",INVENTÁRIO!A159)</f>
        <v/>
      </c>
      <c r="B159" s="11" t="str">
        <f aca="false">IF(A159="","",INVENTÁRIO!B159)</f>
        <v/>
      </c>
      <c r="C159" s="16" t="str">
        <f aca="false">IF(A159="","",INVENTÁRIO!C159)</f>
        <v/>
      </c>
      <c r="D159" s="14" t="str">
        <f aca="false">IF(A159="","",MAX(K159:AD159))</f>
        <v/>
      </c>
      <c r="E159" s="14" t="str">
        <f aca="false">IF(A159="","",MAX(0,D159-C159))</f>
        <v/>
      </c>
      <c r="F159" s="16" t="str">
        <f aca="false">IF(A159="","",IF(D159=0,"Fora dos decks",IF(E159=0,"Completo","Falta")))</f>
        <v/>
      </c>
      <c r="G159" s="16" t="str">
        <f aca="false">IF(A159="","",COUNTIF(K159:AD159,"&gt;0"))</f>
        <v/>
      </c>
      <c r="H159" s="16" t="str">
        <f aca="false">IF(A159="","",IF(G159&gt;1,"Sim",""))</f>
        <v/>
      </c>
      <c r="I159" s="18" t="str">
        <f aca="false">IF(A159="","",SUMIFS(DECKS!$D$2:$D$1201,DECKS!$B$2:$B$1201,A159))</f>
        <v/>
      </c>
      <c r="J159" s="18" t="str">
        <f aca="false">IF(A159="","",MAX(0,I159-C159))</f>
        <v/>
      </c>
      <c r="K159" s="19" t="str">
        <f aca="false">IF(OR($A159="",INDEX(_LEITURA!$Q$2:$Q$21,1)=0),"",SUMIFS(DECKS!$D$2:$D$1201,DECKS!$A$2:$A$1201,INDEX(_LEITURA!$P$2:$P$21,1),DECKS!$B$2:$B$1201,$A159))</f>
        <v/>
      </c>
      <c r="L159" s="19" t="str">
        <f aca="false">IF(OR($A159="",INDEX(_LEITURA!$Q$2:$Q$21,2)=0),"",SUMIFS(DECKS!$D$2:$D$1201,DECKS!$A$2:$A$1201,INDEX(_LEITURA!$P$2:$P$21,2),DECKS!$B$2:$B$1201,$A159))</f>
        <v/>
      </c>
      <c r="M159" s="19" t="str">
        <f aca="false">IF(OR($A159="",INDEX(_LEITURA!$Q$2:$Q$21,3)=0),"",SUMIFS(DECKS!$D$2:$D$1201,DECKS!$A$2:$A$1201,INDEX(_LEITURA!$P$2:$P$21,3),DECKS!$B$2:$B$1201,$A159))</f>
        <v/>
      </c>
      <c r="N159" s="19" t="str">
        <f aca="false">IF(OR($A159="",INDEX(_LEITURA!$Q$2:$Q$21,4)=0),"",SUMIFS(DECKS!$D$2:$D$1201,DECKS!$A$2:$A$1201,INDEX(_LEITURA!$P$2:$P$21,4),DECKS!$B$2:$B$1201,$A159))</f>
        <v/>
      </c>
      <c r="O159" s="19" t="str">
        <f aca="false">IF(OR($A159="",INDEX(_LEITURA!$Q$2:$Q$21,5)=0),"",SUMIFS(DECKS!$D$2:$D$1201,DECKS!$A$2:$A$1201,INDEX(_LEITURA!$P$2:$P$21,5),DECKS!$B$2:$B$1201,$A159))</f>
        <v/>
      </c>
      <c r="P159" s="19" t="str">
        <f aca="false">IF(OR($A159="",INDEX(_LEITURA!$Q$2:$Q$21,6)=0),"",SUMIFS(DECKS!$D$2:$D$1201,DECKS!$A$2:$A$1201,INDEX(_LEITURA!$P$2:$P$21,6),DECKS!$B$2:$B$1201,$A159))</f>
        <v/>
      </c>
      <c r="Q159" s="19" t="str">
        <f aca="false">IF(OR($A159="",INDEX(_LEITURA!$Q$2:$Q$21,7)=0),"",SUMIFS(DECKS!$D$2:$D$1201,DECKS!$A$2:$A$1201,INDEX(_LEITURA!$P$2:$P$21,7),DECKS!$B$2:$B$1201,$A159))</f>
        <v/>
      </c>
      <c r="R159" s="19" t="str">
        <f aca="false">IF(OR($A159="",INDEX(_LEITURA!$Q$2:$Q$21,8)=0),"",SUMIFS(DECKS!$D$2:$D$1201,DECKS!$A$2:$A$1201,INDEX(_LEITURA!$P$2:$P$21,8),DECKS!$B$2:$B$1201,$A159))</f>
        <v/>
      </c>
      <c r="S159" s="19" t="str">
        <f aca="false">IF(OR($A159="",INDEX(_LEITURA!$Q$2:$Q$21,9)=0),"",SUMIFS(DECKS!$D$2:$D$1201,DECKS!$A$2:$A$1201,INDEX(_LEITURA!$P$2:$P$21,9),DECKS!$B$2:$B$1201,$A159))</f>
        <v/>
      </c>
      <c r="T159" s="19" t="str">
        <f aca="false">IF(OR($A159="",INDEX(_LEITURA!$Q$2:$Q$21,10)=0),"",SUMIFS(DECKS!$D$2:$D$1201,DECKS!$A$2:$A$1201,INDEX(_LEITURA!$P$2:$P$21,10),DECKS!$B$2:$B$1201,$A159))</f>
        <v/>
      </c>
      <c r="U159" s="19" t="str">
        <f aca="false">IF(OR($A159="",INDEX(_LEITURA!$Q$2:$Q$21,11)=0),"",SUMIFS(DECKS!$D$2:$D$1201,DECKS!$A$2:$A$1201,INDEX(_LEITURA!$P$2:$P$21,11),DECKS!$B$2:$B$1201,$A159))</f>
        <v/>
      </c>
      <c r="V159" s="19" t="str">
        <f aca="false">IF(OR($A159="",INDEX(_LEITURA!$Q$2:$Q$21,12)=0),"",SUMIFS(DECKS!$D$2:$D$1201,DECKS!$A$2:$A$1201,INDEX(_LEITURA!$P$2:$P$21,12),DECKS!$B$2:$B$1201,$A159))</f>
        <v/>
      </c>
      <c r="W159" s="19" t="str">
        <f aca="false">IF(OR($A159="",INDEX(_LEITURA!$Q$2:$Q$21,13)=0),"",SUMIFS(DECKS!$D$2:$D$1201,DECKS!$A$2:$A$1201,INDEX(_LEITURA!$P$2:$P$21,13),DECKS!$B$2:$B$1201,$A159))</f>
        <v/>
      </c>
      <c r="X159" s="19" t="str">
        <f aca="false">IF(OR($A159="",INDEX(_LEITURA!$Q$2:$Q$21,14)=0),"",SUMIFS(DECKS!$D$2:$D$1201,DECKS!$A$2:$A$1201,INDEX(_LEITURA!$P$2:$P$21,14),DECKS!$B$2:$B$1201,$A159))</f>
        <v/>
      </c>
      <c r="Y159" s="19" t="str">
        <f aca="false">IF(OR($A159="",INDEX(_LEITURA!$Q$2:$Q$21,15)=0),"",SUMIFS(DECKS!$D$2:$D$1201,DECKS!$A$2:$A$1201,INDEX(_LEITURA!$P$2:$P$21,15),DECKS!$B$2:$B$1201,$A159))</f>
        <v/>
      </c>
      <c r="Z159" s="19" t="str">
        <f aca="false">IF(OR($A159="",INDEX(_LEITURA!$Q$2:$Q$21,16)=0),"",SUMIFS(DECKS!$D$2:$D$1201,DECKS!$A$2:$A$1201,INDEX(_LEITURA!$P$2:$P$21,16),DECKS!$B$2:$B$1201,$A159))</f>
        <v/>
      </c>
      <c r="AA159" s="19" t="str">
        <f aca="false">IF(OR($A159="",INDEX(_LEITURA!$Q$2:$Q$21,17)=0),"",SUMIFS(DECKS!$D$2:$D$1201,DECKS!$A$2:$A$1201,INDEX(_LEITURA!$P$2:$P$21,17),DECKS!$B$2:$B$1201,$A159))</f>
        <v/>
      </c>
      <c r="AB159" s="19" t="str">
        <f aca="false">IF(OR($A159="",INDEX(_LEITURA!$Q$2:$Q$21,18)=0),"",SUMIFS(DECKS!$D$2:$D$1201,DECKS!$A$2:$A$1201,INDEX(_LEITURA!$P$2:$P$21,18),DECKS!$B$2:$B$1201,$A159))</f>
        <v/>
      </c>
      <c r="AC159" s="19" t="str">
        <f aca="false">IF(OR($A159="",INDEX(_LEITURA!$Q$2:$Q$21,19)=0),"",SUMIFS(DECKS!$D$2:$D$1201,DECKS!$A$2:$A$1201,INDEX(_LEITURA!$P$2:$P$21,19),DECKS!$B$2:$B$1201,$A159))</f>
        <v/>
      </c>
      <c r="AD159" s="19" t="str">
        <f aca="false">IF(OR($A159="",INDEX(_LEITURA!$Q$2:$Q$21,20)=0),"",SUMIFS(DECKS!$D$2:$D$1201,DECKS!$A$2:$A$1201,INDEX(_LEITURA!$P$2:$P$21,20),DECKS!$B$2:$B$1201,$A159))</f>
        <v/>
      </c>
      <c r="AE159" s="16" t="str">
        <f aca="false">IF(N(E159)&gt;0,MAX(AE$1:AE158)+1,"")</f>
        <v/>
      </c>
      <c r="AF159" s="11" t="str">
        <f aca="false">IF(A159="","",IFERROR(LEFT(A159,FIND("-",A159)-1),A159))</f>
        <v/>
      </c>
      <c r="AG159" s="11" t="str">
        <f aca="false">IF(AF159="","",IF(ISNUMBER(--MID(AF159,1,1)),0,IF(ISNUMBER(--MID(AF159,2,1)),1,IF(ISNUMBER(--MID(AF159,3,1)),2,IF(ISNUMBER(--MID(AF159,4,1)),3,MIN(LEN(AF159),4))))))</f>
        <v/>
      </c>
      <c r="AH159" s="11" t="str">
        <f aca="false">IF(A159="","",LEFT(AF159,AG159)&amp;REPT("0",4-AG159)&amp;RIGHT("000"&amp;IFERROR(VALUE(MID(AF159,AG159+1,9)),0),3)&amp;RIGHT("0000"&amp;IFERROR(VALUE(MID(A159,FIND("-",A159)+1,9)),0),4))</f>
        <v/>
      </c>
      <c r="AI159" s="11" t="str">
        <f aca="false">IF(OR(A159="",N(E159)&lt;=0),"",IF('FALTAS GERAL'!$M$1="Código","K"&amp;AH159&amp;RIGHT("00000"&amp;ROW(),5),IF('FALTAS GERAL'!$M$1="Nome","K"&amp;UPPER(SUBSTITUTE(SUBSTITUTE(SUBSTITUTE(B159,"*",""),"?",""),"~",""))&amp;"0"&amp;AH159&amp;RIGHT("00000"&amp;ROW(),5),IF('FALTAS GERAL'!$M$1="Falta (maior primeiro)","K"&amp;RIGHT("0000"&amp;(9999-E159),4)&amp;AH159&amp;RIGHT("00000"&amp;ROW(),5),IF('FALTAS GERAL'!$M$1="Nº de decks (maior primeiro)","K"&amp;RIGHT("00"&amp;(99-N(G159)),2)&amp;AH159&amp;RIGHT("00000"&amp;ROW(),5),"K"&amp;RIGHT("00000"&amp;ROW(),5))))))</f>
        <v/>
      </c>
      <c r="AJ159" s="11" t="str">
        <f aca="false">IF(AI159="","",COUNTIFS($AI$2:$AI$801,"&lt;"&amp;AI159,$E$2:$E$801,"&gt;0")+1)</f>
        <v/>
      </c>
      <c r="AK159" s="11" t="str">
        <f aca="false">IF(OR(A159="",N(E159)&lt;=0),"",COUNTIFS($AH$2:$AH$801,"&lt;"&amp;AH159,$E$2:$E$801,"&gt;0")+COUNTIFS($AH$2:AH159,AH159,$E$2:E159,"&gt;0"))</f>
        <v/>
      </c>
    </row>
    <row r="160" customFormat="false" ht="15" hidden="false" customHeight="false" outlineLevel="0" collapsed="false">
      <c r="A160" s="11" t="str">
        <f aca="false">IF(INVENTÁRIO!A160="","",INVENTÁRIO!A160)</f>
        <v/>
      </c>
      <c r="B160" s="11" t="str">
        <f aca="false">IF(A160="","",INVENTÁRIO!B160)</f>
        <v/>
      </c>
      <c r="C160" s="16" t="str">
        <f aca="false">IF(A160="","",INVENTÁRIO!C160)</f>
        <v/>
      </c>
      <c r="D160" s="14" t="str">
        <f aca="false">IF(A160="","",MAX(K160:AD160))</f>
        <v/>
      </c>
      <c r="E160" s="14" t="str">
        <f aca="false">IF(A160="","",MAX(0,D160-C160))</f>
        <v/>
      </c>
      <c r="F160" s="16" t="str">
        <f aca="false">IF(A160="","",IF(D160=0,"Fora dos decks",IF(E160=0,"Completo","Falta")))</f>
        <v/>
      </c>
      <c r="G160" s="16" t="str">
        <f aca="false">IF(A160="","",COUNTIF(K160:AD160,"&gt;0"))</f>
        <v/>
      </c>
      <c r="H160" s="16" t="str">
        <f aca="false">IF(A160="","",IF(G160&gt;1,"Sim",""))</f>
        <v/>
      </c>
      <c r="I160" s="18" t="str">
        <f aca="false">IF(A160="","",SUMIFS(DECKS!$D$2:$D$1201,DECKS!$B$2:$B$1201,A160))</f>
        <v/>
      </c>
      <c r="J160" s="18" t="str">
        <f aca="false">IF(A160="","",MAX(0,I160-C160))</f>
        <v/>
      </c>
      <c r="K160" s="19" t="str">
        <f aca="false">IF(OR($A160="",INDEX(_LEITURA!$Q$2:$Q$21,1)=0),"",SUMIFS(DECKS!$D$2:$D$1201,DECKS!$A$2:$A$1201,INDEX(_LEITURA!$P$2:$P$21,1),DECKS!$B$2:$B$1201,$A160))</f>
        <v/>
      </c>
      <c r="L160" s="19" t="str">
        <f aca="false">IF(OR($A160="",INDEX(_LEITURA!$Q$2:$Q$21,2)=0),"",SUMIFS(DECKS!$D$2:$D$1201,DECKS!$A$2:$A$1201,INDEX(_LEITURA!$P$2:$P$21,2),DECKS!$B$2:$B$1201,$A160))</f>
        <v/>
      </c>
      <c r="M160" s="19" t="str">
        <f aca="false">IF(OR($A160="",INDEX(_LEITURA!$Q$2:$Q$21,3)=0),"",SUMIFS(DECKS!$D$2:$D$1201,DECKS!$A$2:$A$1201,INDEX(_LEITURA!$P$2:$P$21,3),DECKS!$B$2:$B$1201,$A160))</f>
        <v/>
      </c>
      <c r="N160" s="19" t="str">
        <f aca="false">IF(OR($A160="",INDEX(_LEITURA!$Q$2:$Q$21,4)=0),"",SUMIFS(DECKS!$D$2:$D$1201,DECKS!$A$2:$A$1201,INDEX(_LEITURA!$P$2:$P$21,4),DECKS!$B$2:$B$1201,$A160))</f>
        <v/>
      </c>
      <c r="O160" s="19" t="str">
        <f aca="false">IF(OR($A160="",INDEX(_LEITURA!$Q$2:$Q$21,5)=0),"",SUMIFS(DECKS!$D$2:$D$1201,DECKS!$A$2:$A$1201,INDEX(_LEITURA!$P$2:$P$21,5),DECKS!$B$2:$B$1201,$A160))</f>
        <v/>
      </c>
      <c r="P160" s="19" t="str">
        <f aca="false">IF(OR($A160="",INDEX(_LEITURA!$Q$2:$Q$21,6)=0),"",SUMIFS(DECKS!$D$2:$D$1201,DECKS!$A$2:$A$1201,INDEX(_LEITURA!$P$2:$P$21,6),DECKS!$B$2:$B$1201,$A160))</f>
        <v/>
      </c>
      <c r="Q160" s="19" t="str">
        <f aca="false">IF(OR($A160="",INDEX(_LEITURA!$Q$2:$Q$21,7)=0),"",SUMIFS(DECKS!$D$2:$D$1201,DECKS!$A$2:$A$1201,INDEX(_LEITURA!$P$2:$P$21,7),DECKS!$B$2:$B$1201,$A160))</f>
        <v/>
      </c>
      <c r="R160" s="19" t="str">
        <f aca="false">IF(OR($A160="",INDEX(_LEITURA!$Q$2:$Q$21,8)=0),"",SUMIFS(DECKS!$D$2:$D$1201,DECKS!$A$2:$A$1201,INDEX(_LEITURA!$P$2:$P$21,8),DECKS!$B$2:$B$1201,$A160))</f>
        <v/>
      </c>
      <c r="S160" s="19" t="str">
        <f aca="false">IF(OR($A160="",INDEX(_LEITURA!$Q$2:$Q$21,9)=0),"",SUMIFS(DECKS!$D$2:$D$1201,DECKS!$A$2:$A$1201,INDEX(_LEITURA!$P$2:$P$21,9),DECKS!$B$2:$B$1201,$A160))</f>
        <v/>
      </c>
      <c r="T160" s="19" t="str">
        <f aca="false">IF(OR($A160="",INDEX(_LEITURA!$Q$2:$Q$21,10)=0),"",SUMIFS(DECKS!$D$2:$D$1201,DECKS!$A$2:$A$1201,INDEX(_LEITURA!$P$2:$P$21,10),DECKS!$B$2:$B$1201,$A160))</f>
        <v/>
      </c>
      <c r="U160" s="19" t="str">
        <f aca="false">IF(OR($A160="",INDEX(_LEITURA!$Q$2:$Q$21,11)=0),"",SUMIFS(DECKS!$D$2:$D$1201,DECKS!$A$2:$A$1201,INDEX(_LEITURA!$P$2:$P$21,11),DECKS!$B$2:$B$1201,$A160))</f>
        <v/>
      </c>
      <c r="V160" s="19" t="str">
        <f aca="false">IF(OR($A160="",INDEX(_LEITURA!$Q$2:$Q$21,12)=0),"",SUMIFS(DECKS!$D$2:$D$1201,DECKS!$A$2:$A$1201,INDEX(_LEITURA!$P$2:$P$21,12),DECKS!$B$2:$B$1201,$A160))</f>
        <v/>
      </c>
      <c r="W160" s="19" t="str">
        <f aca="false">IF(OR($A160="",INDEX(_LEITURA!$Q$2:$Q$21,13)=0),"",SUMIFS(DECKS!$D$2:$D$1201,DECKS!$A$2:$A$1201,INDEX(_LEITURA!$P$2:$P$21,13),DECKS!$B$2:$B$1201,$A160))</f>
        <v/>
      </c>
      <c r="X160" s="19" t="str">
        <f aca="false">IF(OR($A160="",INDEX(_LEITURA!$Q$2:$Q$21,14)=0),"",SUMIFS(DECKS!$D$2:$D$1201,DECKS!$A$2:$A$1201,INDEX(_LEITURA!$P$2:$P$21,14),DECKS!$B$2:$B$1201,$A160))</f>
        <v/>
      </c>
      <c r="Y160" s="19" t="str">
        <f aca="false">IF(OR($A160="",INDEX(_LEITURA!$Q$2:$Q$21,15)=0),"",SUMIFS(DECKS!$D$2:$D$1201,DECKS!$A$2:$A$1201,INDEX(_LEITURA!$P$2:$P$21,15),DECKS!$B$2:$B$1201,$A160))</f>
        <v/>
      </c>
      <c r="Z160" s="19" t="str">
        <f aca="false">IF(OR($A160="",INDEX(_LEITURA!$Q$2:$Q$21,16)=0),"",SUMIFS(DECKS!$D$2:$D$1201,DECKS!$A$2:$A$1201,INDEX(_LEITURA!$P$2:$P$21,16),DECKS!$B$2:$B$1201,$A160))</f>
        <v/>
      </c>
      <c r="AA160" s="19" t="str">
        <f aca="false">IF(OR($A160="",INDEX(_LEITURA!$Q$2:$Q$21,17)=0),"",SUMIFS(DECKS!$D$2:$D$1201,DECKS!$A$2:$A$1201,INDEX(_LEITURA!$P$2:$P$21,17),DECKS!$B$2:$B$1201,$A160))</f>
        <v/>
      </c>
      <c r="AB160" s="19" t="str">
        <f aca="false">IF(OR($A160="",INDEX(_LEITURA!$Q$2:$Q$21,18)=0),"",SUMIFS(DECKS!$D$2:$D$1201,DECKS!$A$2:$A$1201,INDEX(_LEITURA!$P$2:$P$21,18),DECKS!$B$2:$B$1201,$A160))</f>
        <v/>
      </c>
      <c r="AC160" s="19" t="str">
        <f aca="false">IF(OR($A160="",INDEX(_LEITURA!$Q$2:$Q$21,19)=0),"",SUMIFS(DECKS!$D$2:$D$1201,DECKS!$A$2:$A$1201,INDEX(_LEITURA!$P$2:$P$21,19),DECKS!$B$2:$B$1201,$A160))</f>
        <v/>
      </c>
      <c r="AD160" s="19" t="str">
        <f aca="false">IF(OR($A160="",INDEX(_LEITURA!$Q$2:$Q$21,20)=0),"",SUMIFS(DECKS!$D$2:$D$1201,DECKS!$A$2:$A$1201,INDEX(_LEITURA!$P$2:$P$21,20),DECKS!$B$2:$B$1201,$A160))</f>
        <v/>
      </c>
      <c r="AE160" s="16" t="str">
        <f aca="false">IF(N(E160)&gt;0,MAX(AE$1:AE159)+1,"")</f>
        <v/>
      </c>
      <c r="AF160" s="11" t="str">
        <f aca="false">IF(A160="","",IFERROR(LEFT(A160,FIND("-",A160)-1),A160))</f>
        <v/>
      </c>
      <c r="AG160" s="11" t="str">
        <f aca="false">IF(AF160="","",IF(ISNUMBER(--MID(AF160,1,1)),0,IF(ISNUMBER(--MID(AF160,2,1)),1,IF(ISNUMBER(--MID(AF160,3,1)),2,IF(ISNUMBER(--MID(AF160,4,1)),3,MIN(LEN(AF160),4))))))</f>
        <v/>
      </c>
      <c r="AH160" s="11" t="str">
        <f aca="false">IF(A160="","",LEFT(AF160,AG160)&amp;REPT("0",4-AG160)&amp;RIGHT("000"&amp;IFERROR(VALUE(MID(AF160,AG160+1,9)),0),3)&amp;RIGHT("0000"&amp;IFERROR(VALUE(MID(A160,FIND("-",A160)+1,9)),0),4))</f>
        <v/>
      </c>
      <c r="AI160" s="11" t="str">
        <f aca="false">IF(OR(A160="",N(E160)&lt;=0),"",IF('FALTAS GERAL'!$M$1="Código","K"&amp;AH160&amp;RIGHT("00000"&amp;ROW(),5),IF('FALTAS GERAL'!$M$1="Nome","K"&amp;UPPER(SUBSTITUTE(SUBSTITUTE(SUBSTITUTE(B160,"*",""),"?",""),"~",""))&amp;"0"&amp;AH160&amp;RIGHT("00000"&amp;ROW(),5),IF('FALTAS GERAL'!$M$1="Falta (maior primeiro)","K"&amp;RIGHT("0000"&amp;(9999-E160),4)&amp;AH160&amp;RIGHT("00000"&amp;ROW(),5),IF('FALTAS GERAL'!$M$1="Nº de decks (maior primeiro)","K"&amp;RIGHT("00"&amp;(99-N(G160)),2)&amp;AH160&amp;RIGHT("00000"&amp;ROW(),5),"K"&amp;RIGHT("00000"&amp;ROW(),5))))))</f>
        <v/>
      </c>
      <c r="AJ160" s="11" t="str">
        <f aca="false">IF(AI160="","",COUNTIFS($AI$2:$AI$801,"&lt;"&amp;AI160,$E$2:$E$801,"&gt;0")+1)</f>
        <v/>
      </c>
      <c r="AK160" s="11" t="str">
        <f aca="false">IF(OR(A160="",N(E160)&lt;=0),"",COUNTIFS($AH$2:$AH$801,"&lt;"&amp;AH160,$E$2:$E$801,"&gt;0")+COUNTIFS($AH$2:AH160,AH160,$E$2:E160,"&gt;0"))</f>
        <v/>
      </c>
    </row>
    <row r="161" customFormat="false" ht="15" hidden="false" customHeight="false" outlineLevel="0" collapsed="false">
      <c r="A161" s="11" t="str">
        <f aca="false">IF(INVENTÁRIO!A161="","",INVENTÁRIO!A161)</f>
        <v/>
      </c>
      <c r="B161" s="11" t="str">
        <f aca="false">IF(A161="","",INVENTÁRIO!B161)</f>
        <v/>
      </c>
      <c r="C161" s="16" t="str">
        <f aca="false">IF(A161="","",INVENTÁRIO!C161)</f>
        <v/>
      </c>
      <c r="D161" s="14" t="str">
        <f aca="false">IF(A161="","",MAX(K161:AD161))</f>
        <v/>
      </c>
      <c r="E161" s="14" t="str">
        <f aca="false">IF(A161="","",MAX(0,D161-C161))</f>
        <v/>
      </c>
      <c r="F161" s="16" t="str">
        <f aca="false">IF(A161="","",IF(D161=0,"Fora dos decks",IF(E161=0,"Completo","Falta")))</f>
        <v/>
      </c>
      <c r="G161" s="16" t="str">
        <f aca="false">IF(A161="","",COUNTIF(K161:AD161,"&gt;0"))</f>
        <v/>
      </c>
      <c r="H161" s="16" t="str">
        <f aca="false">IF(A161="","",IF(G161&gt;1,"Sim",""))</f>
        <v/>
      </c>
      <c r="I161" s="18" t="str">
        <f aca="false">IF(A161="","",SUMIFS(DECKS!$D$2:$D$1201,DECKS!$B$2:$B$1201,A161))</f>
        <v/>
      </c>
      <c r="J161" s="18" t="str">
        <f aca="false">IF(A161="","",MAX(0,I161-C161))</f>
        <v/>
      </c>
      <c r="K161" s="19" t="str">
        <f aca="false">IF(OR($A161="",INDEX(_LEITURA!$Q$2:$Q$21,1)=0),"",SUMIFS(DECKS!$D$2:$D$1201,DECKS!$A$2:$A$1201,INDEX(_LEITURA!$P$2:$P$21,1),DECKS!$B$2:$B$1201,$A161))</f>
        <v/>
      </c>
      <c r="L161" s="19" t="str">
        <f aca="false">IF(OR($A161="",INDEX(_LEITURA!$Q$2:$Q$21,2)=0),"",SUMIFS(DECKS!$D$2:$D$1201,DECKS!$A$2:$A$1201,INDEX(_LEITURA!$P$2:$P$21,2),DECKS!$B$2:$B$1201,$A161))</f>
        <v/>
      </c>
      <c r="M161" s="19" t="str">
        <f aca="false">IF(OR($A161="",INDEX(_LEITURA!$Q$2:$Q$21,3)=0),"",SUMIFS(DECKS!$D$2:$D$1201,DECKS!$A$2:$A$1201,INDEX(_LEITURA!$P$2:$P$21,3),DECKS!$B$2:$B$1201,$A161))</f>
        <v/>
      </c>
      <c r="N161" s="19" t="str">
        <f aca="false">IF(OR($A161="",INDEX(_LEITURA!$Q$2:$Q$21,4)=0),"",SUMIFS(DECKS!$D$2:$D$1201,DECKS!$A$2:$A$1201,INDEX(_LEITURA!$P$2:$P$21,4),DECKS!$B$2:$B$1201,$A161))</f>
        <v/>
      </c>
      <c r="O161" s="19" t="str">
        <f aca="false">IF(OR($A161="",INDEX(_LEITURA!$Q$2:$Q$21,5)=0),"",SUMIFS(DECKS!$D$2:$D$1201,DECKS!$A$2:$A$1201,INDEX(_LEITURA!$P$2:$P$21,5),DECKS!$B$2:$B$1201,$A161))</f>
        <v/>
      </c>
      <c r="P161" s="19" t="str">
        <f aca="false">IF(OR($A161="",INDEX(_LEITURA!$Q$2:$Q$21,6)=0),"",SUMIFS(DECKS!$D$2:$D$1201,DECKS!$A$2:$A$1201,INDEX(_LEITURA!$P$2:$P$21,6),DECKS!$B$2:$B$1201,$A161))</f>
        <v/>
      </c>
      <c r="Q161" s="19" t="str">
        <f aca="false">IF(OR($A161="",INDEX(_LEITURA!$Q$2:$Q$21,7)=0),"",SUMIFS(DECKS!$D$2:$D$1201,DECKS!$A$2:$A$1201,INDEX(_LEITURA!$P$2:$P$21,7),DECKS!$B$2:$B$1201,$A161))</f>
        <v/>
      </c>
      <c r="R161" s="19" t="str">
        <f aca="false">IF(OR($A161="",INDEX(_LEITURA!$Q$2:$Q$21,8)=0),"",SUMIFS(DECKS!$D$2:$D$1201,DECKS!$A$2:$A$1201,INDEX(_LEITURA!$P$2:$P$21,8),DECKS!$B$2:$B$1201,$A161))</f>
        <v/>
      </c>
      <c r="S161" s="19" t="str">
        <f aca="false">IF(OR($A161="",INDEX(_LEITURA!$Q$2:$Q$21,9)=0),"",SUMIFS(DECKS!$D$2:$D$1201,DECKS!$A$2:$A$1201,INDEX(_LEITURA!$P$2:$P$21,9),DECKS!$B$2:$B$1201,$A161))</f>
        <v/>
      </c>
      <c r="T161" s="19" t="str">
        <f aca="false">IF(OR($A161="",INDEX(_LEITURA!$Q$2:$Q$21,10)=0),"",SUMIFS(DECKS!$D$2:$D$1201,DECKS!$A$2:$A$1201,INDEX(_LEITURA!$P$2:$P$21,10),DECKS!$B$2:$B$1201,$A161))</f>
        <v/>
      </c>
      <c r="U161" s="19" t="str">
        <f aca="false">IF(OR($A161="",INDEX(_LEITURA!$Q$2:$Q$21,11)=0),"",SUMIFS(DECKS!$D$2:$D$1201,DECKS!$A$2:$A$1201,INDEX(_LEITURA!$P$2:$P$21,11),DECKS!$B$2:$B$1201,$A161))</f>
        <v/>
      </c>
      <c r="V161" s="19" t="str">
        <f aca="false">IF(OR($A161="",INDEX(_LEITURA!$Q$2:$Q$21,12)=0),"",SUMIFS(DECKS!$D$2:$D$1201,DECKS!$A$2:$A$1201,INDEX(_LEITURA!$P$2:$P$21,12),DECKS!$B$2:$B$1201,$A161))</f>
        <v/>
      </c>
      <c r="W161" s="19" t="str">
        <f aca="false">IF(OR($A161="",INDEX(_LEITURA!$Q$2:$Q$21,13)=0),"",SUMIFS(DECKS!$D$2:$D$1201,DECKS!$A$2:$A$1201,INDEX(_LEITURA!$P$2:$P$21,13),DECKS!$B$2:$B$1201,$A161))</f>
        <v/>
      </c>
      <c r="X161" s="19" t="str">
        <f aca="false">IF(OR($A161="",INDEX(_LEITURA!$Q$2:$Q$21,14)=0),"",SUMIFS(DECKS!$D$2:$D$1201,DECKS!$A$2:$A$1201,INDEX(_LEITURA!$P$2:$P$21,14),DECKS!$B$2:$B$1201,$A161))</f>
        <v/>
      </c>
      <c r="Y161" s="19" t="str">
        <f aca="false">IF(OR($A161="",INDEX(_LEITURA!$Q$2:$Q$21,15)=0),"",SUMIFS(DECKS!$D$2:$D$1201,DECKS!$A$2:$A$1201,INDEX(_LEITURA!$P$2:$P$21,15),DECKS!$B$2:$B$1201,$A161))</f>
        <v/>
      </c>
      <c r="Z161" s="19" t="str">
        <f aca="false">IF(OR($A161="",INDEX(_LEITURA!$Q$2:$Q$21,16)=0),"",SUMIFS(DECKS!$D$2:$D$1201,DECKS!$A$2:$A$1201,INDEX(_LEITURA!$P$2:$P$21,16),DECKS!$B$2:$B$1201,$A161))</f>
        <v/>
      </c>
      <c r="AA161" s="19" t="str">
        <f aca="false">IF(OR($A161="",INDEX(_LEITURA!$Q$2:$Q$21,17)=0),"",SUMIFS(DECKS!$D$2:$D$1201,DECKS!$A$2:$A$1201,INDEX(_LEITURA!$P$2:$P$21,17),DECKS!$B$2:$B$1201,$A161))</f>
        <v/>
      </c>
      <c r="AB161" s="19" t="str">
        <f aca="false">IF(OR($A161="",INDEX(_LEITURA!$Q$2:$Q$21,18)=0),"",SUMIFS(DECKS!$D$2:$D$1201,DECKS!$A$2:$A$1201,INDEX(_LEITURA!$P$2:$P$21,18),DECKS!$B$2:$B$1201,$A161))</f>
        <v/>
      </c>
      <c r="AC161" s="19" t="str">
        <f aca="false">IF(OR($A161="",INDEX(_LEITURA!$Q$2:$Q$21,19)=0),"",SUMIFS(DECKS!$D$2:$D$1201,DECKS!$A$2:$A$1201,INDEX(_LEITURA!$P$2:$P$21,19),DECKS!$B$2:$B$1201,$A161))</f>
        <v/>
      </c>
      <c r="AD161" s="19" t="str">
        <f aca="false">IF(OR($A161="",INDEX(_LEITURA!$Q$2:$Q$21,20)=0),"",SUMIFS(DECKS!$D$2:$D$1201,DECKS!$A$2:$A$1201,INDEX(_LEITURA!$P$2:$P$21,20),DECKS!$B$2:$B$1201,$A161))</f>
        <v/>
      </c>
      <c r="AE161" s="16" t="str">
        <f aca="false">IF(N(E161)&gt;0,MAX(AE$1:AE160)+1,"")</f>
        <v/>
      </c>
      <c r="AF161" s="11" t="str">
        <f aca="false">IF(A161="","",IFERROR(LEFT(A161,FIND("-",A161)-1),A161))</f>
        <v/>
      </c>
      <c r="AG161" s="11" t="str">
        <f aca="false">IF(AF161="","",IF(ISNUMBER(--MID(AF161,1,1)),0,IF(ISNUMBER(--MID(AF161,2,1)),1,IF(ISNUMBER(--MID(AF161,3,1)),2,IF(ISNUMBER(--MID(AF161,4,1)),3,MIN(LEN(AF161),4))))))</f>
        <v/>
      </c>
      <c r="AH161" s="11" t="str">
        <f aca="false">IF(A161="","",LEFT(AF161,AG161)&amp;REPT("0",4-AG161)&amp;RIGHT("000"&amp;IFERROR(VALUE(MID(AF161,AG161+1,9)),0),3)&amp;RIGHT("0000"&amp;IFERROR(VALUE(MID(A161,FIND("-",A161)+1,9)),0),4))</f>
        <v/>
      </c>
      <c r="AI161" s="11" t="str">
        <f aca="false">IF(OR(A161="",N(E161)&lt;=0),"",IF('FALTAS GERAL'!$M$1="Código","K"&amp;AH161&amp;RIGHT("00000"&amp;ROW(),5),IF('FALTAS GERAL'!$M$1="Nome","K"&amp;UPPER(SUBSTITUTE(SUBSTITUTE(SUBSTITUTE(B161,"*",""),"?",""),"~",""))&amp;"0"&amp;AH161&amp;RIGHT("00000"&amp;ROW(),5),IF('FALTAS GERAL'!$M$1="Falta (maior primeiro)","K"&amp;RIGHT("0000"&amp;(9999-E161),4)&amp;AH161&amp;RIGHT("00000"&amp;ROW(),5),IF('FALTAS GERAL'!$M$1="Nº de decks (maior primeiro)","K"&amp;RIGHT("00"&amp;(99-N(G161)),2)&amp;AH161&amp;RIGHT("00000"&amp;ROW(),5),"K"&amp;RIGHT("00000"&amp;ROW(),5))))))</f>
        <v/>
      </c>
      <c r="AJ161" s="11" t="str">
        <f aca="false">IF(AI161="","",COUNTIFS($AI$2:$AI$801,"&lt;"&amp;AI161,$E$2:$E$801,"&gt;0")+1)</f>
        <v/>
      </c>
      <c r="AK161" s="11" t="str">
        <f aca="false">IF(OR(A161="",N(E161)&lt;=0),"",COUNTIFS($AH$2:$AH$801,"&lt;"&amp;AH161,$E$2:$E$801,"&gt;0")+COUNTIFS($AH$2:AH161,AH161,$E$2:E161,"&gt;0"))</f>
        <v/>
      </c>
    </row>
    <row r="162" customFormat="false" ht="15" hidden="false" customHeight="false" outlineLevel="0" collapsed="false">
      <c r="A162" s="11" t="str">
        <f aca="false">IF(INVENTÁRIO!A162="","",INVENTÁRIO!A162)</f>
        <v/>
      </c>
      <c r="B162" s="11" t="str">
        <f aca="false">IF(A162="","",INVENTÁRIO!B162)</f>
        <v/>
      </c>
      <c r="C162" s="16" t="str">
        <f aca="false">IF(A162="","",INVENTÁRIO!C162)</f>
        <v/>
      </c>
      <c r="D162" s="14" t="str">
        <f aca="false">IF(A162="","",MAX(K162:AD162))</f>
        <v/>
      </c>
      <c r="E162" s="14" t="str">
        <f aca="false">IF(A162="","",MAX(0,D162-C162))</f>
        <v/>
      </c>
      <c r="F162" s="16" t="str">
        <f aca="false">IF(A162="","",IF(D162=0,"Fora dos decks",IF(E162=0,"Completo","Falta")))</f>
        <v/>
      </c>
      <c r="G162" s="16" t="str">
        <f aca="false">IF(A162="","",COUNTIF(K162:AD162,"&gt;0"))</f>
        <v/>
      </c>
      <c r="H162" s="16" t="str">
        <f aca="false">IF(A162="","",IF(G162&gt;1,"Sim",""))</f>
        <v/>
      </c>
      <c r="I162" s="18" t="str">
        <f aca="false">IF(A162="","",SUMIFS(DECKS!$D$2:$D$1201,DECKS!$B$2:$B$1201,A162))</f>
        <v/>
      </c>
      <c r="J162" s="18" t="str">
        <f aca="false">IF(A162="","",MAX(0,I162-C162))</f>
        <v/>
      </c>
      <c r="K162" s="19" t="str">
        <f aca="false">IF(OR($A162="",INDEX(_LEITURA!$Q$2:$Q$21,1)=0),"",SUMIFS(DECKS!$D$2:$D$1201,DECKS!$A$2:$A$1201,INDEX(_LEITURA!$P$2:$P$21,1),DECKS!$B$2:$B$1201,$A162))</f>
        <v/>
      </c>
      <c r="L162" s="19" t="str">
        <f aca="false">IF(OR($A162="",INDEX(_LEITURA!$Q$2:$Q$21,2)=0),"",SUMIFS(DECKS!$D$2:$D$1201,DECKS!$A$2:$A$1201,INDEX(_LEITURA!$P$2:$P$21,2),DECKS!$B$2:$B$1201,$A162))</f>
        <v/>
      </c>
      <c r="M162" s="19" t="str">
        <f aca="false">IF(OR($A162="",INDEX(_LEITURA!$Q$2:$Q$21,3)=0),"",SUMIFS(DECKS!$D$2:$D$1201,DECKS!$A$2:$A$1201,INDEX(_LEITURA!$P$2:$P$21,3),DECKS!$B$2:$B$1201,$A162))</f>
        <v/>
      </c>
      <c r="N162" s="19" t="str">
        <f aca="false">IF(OR($A162="",INDEX(_LEITURA!$Q$2:$Q$21,4)=0),"",SUMIFS(DECKS!$D$2:$D$1201,DECKS!$A$2:$A$1201,INDEX(_LEITURA!$P$2:$P$21,4),DECKS!$B$2:$B$1201,$A162))</f>
        <v/>
      </c>
      <c r="O162" s="19" t="str">
        <f aca="false">IF(OR($A162="",INDEX(_LEITURA!$Q$2:$Q$21,5)=0),"",SUMIFS(DECKS!$D$2:$D$1201,DECKS!$A$2:$A$1201,INDEX(_LEITURA!$P$2:$P$21,5),DECKS!$B$2:$B$1201,$A162))</f>
        <v/>
      </c>
      <c r="P162" s="19" t="str">
        <f aca="false">IF(OR($A162="",INDEX(_LEITURA!$Q$2:$Q$21,6)=0),"",SUMIFS(DECKS!$D$2:$D$1201,DECKS!$A$2:$A$1201,INDEX(_LEITURA!$P$2:$P$21,6),DECKS!$B$2:$B$1201,$A162))</f>
        <v/>
      </c>
      <c r="Q162" s="19" t="str">
        <f aca="false">IF(OR($A162="",INDEX(_LEITURA!$Q$2:$Q$21,7)=0),"",SUMIFS(DECKS!$D$2:$D$1201,DECKS!$A$2:$A$1201,INDEX(_LEITURA!$P$2:$P$21,7),DECKS!$B$2:$B$1201,$A162))</f>
        <v/>
      </c>
      <c r="R162" s="19" t="str">
        <f aca="false">IF(OR($A162="",INDEX(_LEITURA!$Q$2:$Q$21,8)=0),"",SUMIFS(DECKS!$D$2:$D$1201,DECKS!$A$2:$A$1201,INDEX(_LEITURA!$P$2:$P$21,8),DECKS!$B$2:$B$1201,$A162))</f>
        <v/>
      </c>
      <c r="S162" s="19" t="str">
        <f aca="false">IF(OR($A162="",INDEX(_LEITURA!$Q$2:$Q$21,9)=0),"",SUMIFS(DECKS!$D$2:$D$1201,DECKS!$A$2:$A$1201,INDEX(_LEITURA!$P$2:$P$21,9),DECKS!$B$2:$B$1201,$A162))</f>
        <v/>
      </c>
      <c r="T162" s="19" t="str">
        <f aca="false">IF(OR($A162="",INDEX(_LEITURA!$Q$2:$Q$21,10)=0),"",SUMIFS(DECKS!$D$2:$D$1201,DECKS!$A$2:$A$1201,INDEX(_LEITURA!$P$2:$P$21,10),DECKS!$B$2:$B$1201,$A162))</f>
        <v/>
      </c>
      <c r="U162" s="19" t="str">
        <f aca="false">IF(OR($A162="",INDEX(_LEITURA!$Q$2:$Q$21,11)=0),"",SUMIFS(DECKS!$D$2:$D$1201,DECKS!$A$2:$A$1201,INDEX(_LEITURA!$P$2:$P$21,11),DECKS!$B$2:$B$1201,$A162))</f>
        <v/>
      </c>
      <c r="V162" s="19" t="str">
        <f aca="false">IF(OR($A162="",INDEX(_LEITURA!$Q$2:$Q$21,12)=0),"",SUMIFS(DECKS!$D$2:$D$1201,DECKS!$A$2:$A$1201,INDEX(_LEITURA!$P$2:$P$21,12),DECKS!$B$2:$B$1201,$A162))</f>
        <v/>
      </c>
      <c r="W162" s="19" t="str">
        <f aca="false">IF(OR($A162="",INDEX(_LEITURA!$Q$2:$Q$21,13)=0),"",SUMIFS(DECKS!$D$2:$D$1201,DECKS!$A$2:$A$1201,INDEX(_LEITURA!$P$2:$P$21,13),DECKS!$B$2:$B$1201,$A162))</f>
        <v/>
      </c>
      <c r="X162" s="19" t="str">
        <f aca="false">IF(OR($A162="",INDEX(_LEITURA!$Q$2:$Q$21,14)=0),"",SUMIFS(DECKS!$D$2:$D$1201,DECKS!$A$2:$A$1201,INDEX(_LEITURA!$P$2:$P$21,14),DECKS!$B$2:$B$1201,$A162))</f>
        <v/>
      </c>
      <c r="Y162" s="19" t="str">
        <f aca="false">IF(OR($A162="",INDEX(_LEITURA!$Q$2:$Q$21,15)=0),"",SUMIFS(DECKS!$D$2:$D$1201,DECKS!$A$2:$A$1201,INDEX(_LEITURA!$P$2:$P$21,15),DECKS!$B$2:$B$1201,$A162))</f>
        <v/>
      </c>
      <c r="Z162" s="19" t="str">
        <f aca="false">IF(OR($A162="",INDEX(_LEITURA!$Q$2:$Q$21,16)=0),"",SUMIFS(DECKS!$D$2:$D$1201,DECKS!$A$2:$A$1201,INDEX(_LEITURA!$P$2:$P$21,16),DECKS!$B$2:$B$1201,$A162))</f>
        <v/>
      </c>
      <c r="AA162" s="19" t="str">
        <f aca="false">IF(OR($A162="",INDEX(_LEITURA!$Q$2:$Q$21,17)=0),"",SUMIFS(DECKS!$D$2:$D$1201,DECKS!$A$2:$A$1201,INDEX(_LEITURA!$P$2:$P$21,17),DECKS!$B$2:$B$1201,$A162))</f>
        <v/>
      </c>
      <c r="AB162" s="19" t="str">
        <f aca="false">IF(OR($A162="",INDEX(_LEITURA!$Q$2:$Q$21,18)=0),"",SUMIFS(DECKS!$D$2:$D$1201,DECKS!$A$2:$A$1201,INDEX(_LEITURA!$P$2:$P$21,18),DECKS!$B$2:$B$1201,$A162))</f>
        <v/>
      </c>
      <c r="AC162" s="19" t="str">
        <f aca="false">IF(OR($A162="",INDEX(_LEITURA!$Q$2:$Q$21,19)=0),"",SUMIFS(DECKS!$D$2:$D$1201,DECKS!$A$2:$A$1201,INDEX(_LEITURA!$P$2:$P$21,19),DECKS!$B$2:$B$1201,$A162))</f>
        <v/>
      </c>
      <c r="AD162" s="19" t="str">
        <f aca="false">IF(OR($A162="",INDEX(_LEITURA!$Q$2:$Q$21,20)=0),"",SUMIFS(DECKS!$D$2:$D$1201,DECKS!$A$2:$A$1201,INDEX(_LEITURA!$P$2:$P$21,20),DECKS!$B$2:$B$1201,$A162))</f>
        <v/>
      </c>
      <c r="AE162" s="16" t="str">
        <f aca="false">IF(N(E162)&gt;0,MAX(AE$1:AE161)+1,"")</f>
        <v/>
      </c>
      <c r="AF162" s="11" t="str">
        <f aca="false">IF(A162="","",IFERROR(LEFT(A162,FIND("-",A162)-1),A162))</f>
        <v/>
      </c>
      <c r="AG162" s="11" t="str">
        <f aca="false">IF(AF162="","",IF(ISNUMBER(--MID(AF162,1,1)),0,IF(ISNUMBER(--MID(AF162,2,1)),1,IF(ISNUMBER(--MID(AF162,3,1)),2,IF(ISNUMBER(--MID(AF162,4,1)),3,MIN(LEN(AF162),4))))))</f>
        <v/>
      </c>
      <c r="AH162" s="11" t="str">
        <f aca="false">IF(A162="","",LEFT(AF162,AG162)&amp;REPT("0",4-AG162)&amp;RIGHT("000"&amp;IFERROR(VALUE(MID(AF162,AG162+1,9)),0),3)&amp;RIGHT("0000"&amp;IFERROR(VALUE(MID(A162,FIND("-",A162)+1,9)),0),4))</f>
        <v/>
      </c>
      <c r="AI162" s="11" t="str">
        <f aca="false">IF(OR(A162="",N(E162)&lt;=0),"",IF('FALTAS GERAL'!$M$1="Código","K"&amp;AH162&amp;RIGHT("00000"&amp;ROW(),5),IF('FALTAS GERAL'!$M$1="Nome","K"&amp;UPPER(SUBSTITUTE(SUBSTITUTE(SUBSTITUTE(B162,"*",""),"?",""),"~",""))&amp;"0"&amp;AH162&amp;RIGHT("00000"&amp;ROW(),5),IF('FALTAS GERAL'!$M$1="Falta (maior primeiro)","K"&amp;RIGHT("0000"&amp;(9999-E162),4)&amp;AH162&amp;RIGHT("00000"&amp;ROW(),5),IF('FALTAS GERAL'!$M$1="Nº de decks (maior primeiro)","K"&amp;RIGHT("00"&amp;(99-N(G162)),2)&amp;AH162&amp;RIGHT("00000"&amp;ROW(),5),"K"&amp;RIGHT("00000"&amp;ROW(),5))))))</f>
        <v/>
      </c>
      <c r="AJ162" s="11" t="str">
        <f aca="false">IF(AI162="","",COUNTIFS($AI$2:$AI$801,"&lt;"&amp;AI162,$E$2:$E$801,"&gt;0")+1)</f>
        <v/>
      </c>
      <c r="AK162" s="11" t="str">
        <f aca="false">IF(OR(A162="",N(E162)&lt;=0),"",COUNTIFS($AH$2:$AH$801,"&lt;"&amp;AH162,$E$2:$E$801,"&gt;0")+COUNTIFS($AH$2:AH162,AH162,$E$2:E162,"&gt;0"))</f>
        <v/>
      </c>
    </row>
    <row r="163" customFormat="false" ht="15" hidden="false" customHeight="false" outlineLevel="0" collapsed="false">
      <c r="A163" s="11" t="str">
        <f aca="false">IF(INVENTÁRIO!A163="","",INVENTÁRIO!A163)</f>
        <v/>
      </c>
      <c r="B163" s="11" t="str">
        <f aca="false">IF(A163="","",INVENTÁRIO!B163)</f>
        <v/>
      </c>
      <c r="C163" s="16" t="str">
        <f aca="false">IF(A163="","",INVENTÁRIO!C163)</f>
        <v/>
      </c>
      <c r="D163" s="14" t="str">
        <f aca="false">IF(A163="","",MAX(K163:AD163))</f>
        <v/>
      </c>
      <c r="E163" s="14" t="str">
        <f aca="false">IF(A163="","",MAX(0,D163-C163))</f>
        <v/>
      </c>
      <c r="F163" s="16" t="str">
        <f aca="false">IF(A163="","",IF(D163=0,"Fora dos decks",IF(E163=0,"Completo","Falta")))</f>
        <v/>
      </c>
      <c r="G163" s="16" t="str">
        <f aca="false">IF(A163="","",COUNTIF(K163:AD163,"&gt;0"))</f>
        <v/>
      </c>
      <c r="H163" s="16" t="str">
        <f aca="false">IF(A163="","",IF(G163&gt;1,"Sim",""))</f>
        <v/>
      </c>
      <c r="I163" s="18" t="str">
        <f aca="false">IF(A163="","",SUMIFS(DECKS!$D$2:$D$1201,DECKS!$B$2:$B$1201,A163))</f>
        <v/>
      </c>
      <c r="J163" s="18" t="str">
        <f aca="false">IF(A163="","",MAX(0,I163-C163))</f>
        <v/>
      </c>
      <c r="K163" s="19" t="str">
        <f aca="false">IF(OR($A163="",INDEX(_LEITURA!$Q$2:$Q$21,1)=0),"",SUMIFS(DECKS!$D$2:$D$1201,DECKS!$A$2:$A$1201,INDEX(_LEITURA!$P$2:$P$21,1),DECKS!$B$2:$B$1201,$A163))</f>
        <v/>
      </c>
      <c r="L163" s="19" t="str">
        <f aca="false">IF(OR($A163="",INDEX(_LEITURA!$Q$2:$Q$21,2)=0),"",SUMIFS(DECKS!$D$2:$D$1201,DECKS!$A$2:$A$1201,INDEX(_LEITURA!$P$2:$P$21,2),DECKS!$B$2:$B$1201,$A163))</f>
        <v/>
      </c>
      <c r="M163" s="19" t="str">
        <f aca="false">IF(OR($A163="",INDEX(_LEITURA!$Q$2:$Q$21,3)=0),"",SUMIFS(DECKS!$D$2:$D$1201,DECKS!$A$2:$A$1201,INDEX(_LEITURA!$P$2:$P$21,3),DECKS!$B$2:$B$1201,$A163))</f>
        <v/>
      </c>
      <c r="N163" s="19" t="str">
        <f aca="false">IF(OR($A163="",INDEX(_LEITURA!$Q$2:$Q$21,4)=0),"",SUMIFS(DECKS!$D$2:$D$1201,DECKS!$A$2:$A$1201,INDEX(_LEITURA!$P$2:$P$21,4),DECKS!$B$2:$B$1201,$A163))</f>
        <v/>
      </c>
      <c r="O163" s="19" t="str">
        <f aca="false">IF(OR($A163="",INDEX(_LEITURA!$Q$2:$Q$21,5)=0),"",SUMIFS(DECKS!$D$2:$D$1201,DECKS!$A$2:$A$1201,INDEX(_LEITURA!$P$2:$P$21,5),DECKS!$B$2:$B$1201,$A163))</f>
        <v/>
      </c>
      <c r="P163" s="19" t="str">
        <f aca="false">IF(OR($A163="",INDEX(_LEITURA!$Q$2:$Q$21,6)=0),"",SUMIFS(DECKS!$D$2:$D$1201,DECKS!$A$2:$A$1201,INDEX(_LEITURA!$P$2:$P$21,6),DECKS!$B$2:$B$1201,$A163))</f>
        <v/>
      </c>
      <c r="Q163" s="19" t="str">
        <f aca="false">IF(OR($A163="",INDEX(_LEITURA!$Q$2:$Q$21,7)=0),"",SUMIFS(DECKS!$D$2:$D$1201,DECKS!$A$2:$A$1201,INDEX(_LEITURA!$P$2:$P$21,7),DECKS!$B$2:$B$1201,$A163))</f>
        <v/>
      </c>
      <c r="R163" s="19" t="str">
        <f aca="false">IF(OR($A163="",INDEX(_LEITURA!$Q$2:$Q$21,8)=0),"",SUMIFS(DECKS!$D$2:$D$1201,DECKS!$A$2:$A$1201,INDEX(_LEITURA!$P$2:$P$21,8),DECKS!$B$2:$B$1201,$A163))</f>
        <v/>
      </c>
      <c r="S163" s="19" t="str">
        <f aca="false">IF(OR($A163="",INDEX(_LEITURA!$Q$2:$Q$21,9)=0),"",SUMIFS(DECKS!$D$2:$D$1201,DECKS!$A$2:$A$1201,INDEX(_LEITURA!$P$2:$P$21,9),DECKS!$B$2:$B$1201,$A163))</f>
        <v/>
      </c>
      <c r="T163" s="19" t="str">
        <f aca="false">IF(OR($A163="",INDEX(_LEITURA!$Q$2:$Q$21,10)=0),"",SUMIFS(DECKS!$D$2:$D$1201,DECKS!$A$2:$A$1201,INDEX(_LEITURA!$P$2:$P$21,10),DECKS!$B$2:$B$1201,$A163))</f>
        <v/>
      </c>
      <c r="U163" s="19" t="str">
        <f aca="false">IF(OR($A163="",INDEX(_LEITURA!$Q$2:$Q$21,11)=0),"",SUMIFS(DECKS!$D$2:$D$1201,DECKS!$A$2:$A$1201,INDEX(_LEITURA!$P$2:$P$21,11),DECKS!$B$2:$B$1201,$A163))</f>
        <v/>
      </c>
      <c r="V163" s="19" t="str">
        <f aca="false">IF(OR($A163="",INDEX(_LEITURA!$Q$2:$Q$21,12)=0),"",SUMIFS(DECKS!$D$2:$D$1201,DECKS!$A$2:$A$1201,INDEX(_LEITURA!$P$2:$P$21,12),DECKS!$B$2:$B$1201,$A163))</f>
        <v/>
      </c>
      <c r="W163" s="19" t="str">
        <f aca="false">IF(OR($A163="",INDEX(_LEITURA!$Q$2:$Q$21,13)=0),"",SUMIFS(DECKS!$D$2:$D$1201,DECKS!$A$2:$A$1201,INDEX(_LEITURA!$P$2:$P$21,13),DECKS!$B$2:$B$1201,$A163))</f>
        <v/>
      </c>
      <c r="X163" s="19" t="str">
        <f aca="false">IF(OR($A163="",INDEX(_LEITURA!$Q$2:$Q$21,14)=0),"",SUMIFS(DECKS!$D$2:$D$1201,DECKS!$A$2:$A$1201,INDEX(_LEITURA!$P$2:$P$21,14),DECKS!$B$2:$B$1201,$A163))</f>
        <v/>
      </c>
      <c r="Y163" s="19" t="str">
        <f aca="false">IF(OR($A163="",INDEX(_LEITURA!$Q$2:$Q$21,15)=0),"",SUMIFS(DECKS!$D$2:$D$1201,DECKS!$A$2:$A$1201,INDEX(_LEITURA!$P$2:$P$21,15),DECKS!$B$2:$B$1201,$A163))</f>
        <v/>
      </c>
      <c r="Z163" s="19" t="str">
        <f aca="false">IF(OR($A163="",INDEX(_LEITURA!$Q$2:$Q$21,16)=0),"",SUMIFS(DECKS!$D$2:$D$1201,DECKS!$A$2:$A$1201,INDEX(_LEITURA!$P$2:$P$21,16),DECKS!$B$2:$B$1201,$A163))</f>
        <v/>
      </c>
      <c r="AA163" s="19" t="str">
        <f aca="false">IF(OR($A163="",INDEX(_LEITURA!$Q$2:$Q$21,17)=0),"",SUMIFS(DECKS!$D$2:$D$1201,DECKS!$A$2:$A$1201,INDEX(_LEITURA!$P$2:$P$21,17),DECKS!$B$2:$B$1201,$A163))</f>
        <v/>
      </c>
      <c r="AB163" s="19" t="str">
        <f aca="false">IF(OR($A163="",INDEX(_LEITURA!$Q$2:$Q$21,18)=0),"",SUMIFS(DECKS!$D$2:$D$1201,DECKS!$A$2:$A$1201,INDEX(_LEITURA!$P$2:$P$21,18),DECKS!$B$2:$B$1201,$A163))</f>
        <v/>
      </c>
      <c r="AC163" s="19" t="str">
        <f aca="false">IF(OR($A163="",INDEX(_LEITURA!$Q$2:$Q$21,19)=0),"",SUMIFS(DECKS!$D$2:$D$1201,DECKS!$A$2:$A$1201,INDEX(_LEITURA!$P$2:$P$21,19),DECKS!$B$2:$B$1201,$A163))</f>
        <v/>
      </c>
      <c r="AD163" s="19" t="str">
        <f aca="false">IF(OR($A163="",INDEX(_LEITURA!$Q$2:$Q$21,20)=0),"",SUMIFS(DECKS!$D$2:$D$1201,DECKS!$A$2:$A$1201,INDEX(_LEITURA!$P$2:$P$21,20),DECKS!$B$2:$B$1201,$A163))</f>
        <v/>
      </c>
      <c r="AE163" s="16" t="str">
        <f aca="false">IF(N(E163)&gt;0,MAX(AE$1:AE162)+1,"")</f>
        <v/>
      </c>
      <c r="AF163" s="11" t="str">
        <f aca="false">IF(A163="","",IFERROR(LEFT(A163,FIND("-",A163)-1),A163))</f>
        <v/>
      </c>
      <c r="AG163" s="11" t="str">
        <f aca="false">IF(AF163="","",IF(ISNUMBER(--MID(AF163,1,1)),0,IF(ISNUMBER(--MID(AF163,2,1)),1,IF(ISNUMBER(--MID(AF163,3,1)),2,IF(ISNUMBER(--MID(AF163,4,1)),3,MIN(LEN(AF163),4))))))</f>
        <v/>
      </c>
      <c r="AH163" s="11" t="str">
        <f aca="false">IF(A163="","",LEFT(AF163,AG163)&amp;REPT("0",4-AG163)&amp;RIGHT("000"&amp;IFERROR(VALUE(MID(AF163,AG163+1,9)),0),3)&amp;RIGHT("0000"&amp;IFERROR(VALUE(MID(A163,FIND("-",A163)+1,9)),0),4))</f>
        <v/>
      </c>
      <c r="AI163" s="11" t="str">
        <f aca="false">IF(OR(A163="",N(E163)&lt;=0),"",IF('FALTAS GERAL'!$M$1="Código","K"&amp;AH163&amp;RIGHT("00000"&amp;ROW(),5),IF('FALTAS GERAL'!$M$1="Nome","K"&amp;UPPER(SUBSTITUTE(SUBSTITUTE(SUBSTITUTE(B163,"*",""),"?",""),"~",""))&amp;"0"&amp;AH163&amp;RIGHT("00000"&amp;ROW(),5),IF('FALTAS GERAL'!$M$1="Falta (maior primeiro)","K"&amp;RIGHT("0000"&amp;(9999-E163),4)&amp;AH163&amp;RIGHT("00000"&amp;ROW(),5),IF('FALTAS GERAL'!$M$1="Nº de decks (maior primeiro)","K"&amp;RIGHT("00"&amp;(99-N(G163)),2)&amp;AH163&amp;RIGHT("00000"&amp;ROW(),5),"K"&amp;RIGHT("00000"&amp;ROW(),5))))))</f>
        <v/>
      </c>
      <c r="AJ163" s="11" t="str">
        <f aca="false">IF(AI163="","",COUNTIFS($AI$2:$AI$801,"&lt;"&amp;AI163,$E$2:$E$801,"&gt;0")+1)</f>
        <v/>
      </c>
      <c r="AK163" s="11" t="str">
        <f aca="false">IF(OR(A163="",N(E163)&lt;=0),"",COUNTIFS($AH$2:$AH$801,"&lt;"&amp;AH163,$E$2:$E$801,"&gt;0")+COUNTIFS($AH$2:AH163,AH163,$E$2:E163,"&gt;0"))</f>
        <v/>
      </c>
    </row>
    <row r="164" customFormat="false" ht="15" hidden="false" customHeight="false" outlineLevel="0" collapsed="false">
      <c r="A164" s="11" t="str">
        <f aca="false">IF(INVENTÁRIO!A164="","",INVENTÁRIO!A164)</f>
        <v/>
      </c>
      <c r="B164" s="11" t="str">
        <f aca="false">IF(A164="","",INVENTÁRIO!B164)</f>
        <v/>
      </c>
      <c r="C164" s="16" t="str">
        <f aca="false">IF(A164="","",INVENTÁRIO!C164)</f>
        <v/>
      </c>
      <c r="D164" s="14" t="str">
        <f aca="false">IF(A164="","",MAX(K164:AD164))</f>
        <v/>
      </c>
      <c r="E164" s="14" t="str">
        <f aca="false">IF(A164="","",MAX(0,D164-C164))</f>
        <v/>
      </c>
      <c r="F164" s="16" t="str">
        <f aca="false">IF(A164="","",IF(D164=0,"Fora dos decks",IF(E164=0,"Completo","Falta")))</f>
        <v/>
      </c>
      <c r="G164" s="16" t="str">
        <f aca="false">IF(A164="","",COUNTIF(K164:AD164,"&gt;0"))</f>
        <v/>
      </c>
      <c r="H164" s="16" t="str">
        <f aca="false">IF(A164="","",IF(G164&gt;1,"Sim",""))</f>
        <v/>
      </c>
      <c r="I164" s="18" t="str">
        <f aca="false">IF(A164="","",SUMIFS(DECKS!$D$2:$D$1201,DECKS!$B$2:$B$1201,A164))</f>
        <v/>
      </c>
      <c r="J164" s="18" t="str">
        <f aca="false">IF(A164="","",MAX(0,I164-C164))</f>
        <v/>
      </c>
      <c r="K164" s="19" t="str">
        <f aca="false">IF(OR($A164="",INDEX(_LEITURA!$Q$2:$Q$21,1)=0),"",SUMIFS(DECKS!$D$2:$D$1201,DECKS!$A$2:$A$1201,INDEX(_LEITURA!$P$2:$P$21,1),DECKS!$B$2:$B$1201,$A164))</f>
        <v/>
      </c>
      <c r="L164" s="19" t="str">
        <f aca="false">IF(OR($A164="",INDEX(_LEITURA!$Q$2:$Q$21,2)=0),"",SUMIFS(DECKS!$D$2:$D$1201,DECKS!$A$2:$A$1201,INDEX(_LEITURA!$P$2:$P$21,2),DECKS!$B$2:$B$1201,$A164))</f>
        <v/>
      </c>
      <c r="M164" s="19" t="str">
        <f aca="false">IF(OR($A164="",INDEX(_LEITURA!$Q$2:$Q$21,3)=0),"",SUMIFS(DECKS!$D$2:$D$1201,DECKS!$A$2:$A$1201,INDEX(_LEITURA!$P$2:$P$21,3),DECKS!$B$2:$B$1201,$A164))</f>
        <v/>
      </c>
      <c r="N164" s="19" t="str">
        <f aca="false">IF(OR($A164="",INDEX(_LEITURA!$Q$2:$Q$21,4)=0),"",SUMIFS(DECKS!$D$2:$D$1201,DECKS!$A$2:$A$1201,INDEX(_LEITURA!$P$2:$P$21,4),DECKS!$B$2:$B$1201,$A164))</f>
        <v/>
      </c>
      <c r="O164" s="19" t="str">
        <f aca="false">IF(OR($A164="",INDEX(_LEITURA!$Q$2:$Q$21,5)=0),"",SUMIFS(DECKS!$D$2:$D$1201,DECKS!$A$2:$A$1201,INDEX(_LEITURA!$P$2:$P$21,5),DECKS!$B$2:$B$1201,$A164))</f>
        <v/>
      </c>
      <c r="P164" s="19" t="str">
        <f aca="false">IF(OR($A164="",INDEX(_LEITURA!$Q$2:$Q$21,6)=0),"",SUMIFS(DECKS!$D$2:$D$1201,DECKS!$A$2:$A$1201,INDEX(_LEITURA!$P$2:$P$21,6),DECKS!$B$2:$B$1201,$A164))</f>
        <v/>
      </c>
      <c r="Q164" s="19" t="str">
        <f aca="false">IF(OR($A164="",INDEX(_LEITURA!$Q$2:$Q$21,7)=0),"",SUMIFS(DECKS!$D$2:$D$1201,DECKS!$A$2:$A$1201,INDEX(_LEITURA!$P$2:$P$21,7),DECKS!$B$2:$B$1201,$A164))</f>
        <v/>
      </c>
      <c r="R164" s="19" t="str">
        <f aca="false">IF(OR($A164="",INDEX(_LEITURA!$Q$2:$Q$21,8)=0),"",SUMIFS(DECKS!$D$2:$D$1201,DECKS!$A$2:$A$1201,INDEX(_LEITURA!$P$2:$P$21,8),DECKS!$B$2:$B$1201,$A164))</f>
        <v/>
      </c>
      <c r="S164" s="19" t="str">
        <f aca="false">IF(OR($A164="",INDEX(_LEITURA!$Q$2:$Q$21,9)=0),"",SUMIFS(DECKS!$D$2:$D$1201,DECKS!$A$2:$A$1201,INDEX(_LEITURA!$P$2:$P$21,9),DECKS!$B$2:$B$1201,$A164))</f>
        <v/>
      </c>
      <c r="T164" s="19" t="str">
        <f aca="false">IF(OR($A164="",INDEX(_LEITURA!$Q$2:$Q$21,10)=0),"",SUMIFS(DECKS!$D$2:$D$1201,DECKS!$A$2:$A$1201,INDEX(_LEITURA!$P$2:$P$21,10),DECKS!$B$2:$B$1201,$A164))</f>
        <v/>
      </c>
      <c r="U164" s="19" t="str">
        <f aca="false">IF(OR($A164="",INDEX(_LEITURA!$Q$2:$Q$21,11)=0),"",SUMIFS(DECKS!$D$2:$D$1201,DECKS!$A$2:$A$1201,INDEX(_LEITURA!$P$2:$P$21,11),DECKS!$B$2:$B$1201,$A164))</f>
        <v/>
      </c>
      <c r="V164" s="19" t="str">
        <f aca="false">IF(OR($A164="",INDEX(_LEITURA!$Q$2:$Q$21,12)=0),"",SUMIFS(DECKS!$D$2:$D$1201,DECKS!$A$2:$A$1201,INDEX(_LEITURA!$P$2:$P$21,12),DECKS!$B$2:$B$1201,$A164))</f>
        <v/>
      </c>
      <c r="W164" s="19" t="str">
        <f aca="false">IF(OR($A164="",INDEX(_LEITURA!$Q$2:$Q$21,13)=0),"",SUMIFS(DECKS!$D$2:$D$1201,DECKS!$A$2:$A$1201,INDEX(_LEITURA!$P$2:$P$21,13),DECKS!$B$2:$B$1201,$A164))</f>
        <v/>
      </c>
      <c r="X164" s="19" t="str">
        <f aca="false">IF(OR($A164="",INDEX(_LEITURA!$Q$2:$Q$21,14)=0),"",SUMIFS(DECKS!$D$2:$D$1201,DECKS!$A$2:$A$1201,INDEX(_LEITURA!$P$2:$P$21,14),DECKS!$B$2:$B$1201,$A164))</f>
        <v/>
      </c>
      <c r="Y164" s="19" t="str">
        <f aca="false">IF(OR($A164="",INDEX(_LEITURA!$Q$2:$Q$21,15)=0),"",SUMIFS(DECKS!$D$2:$D$1201,DECKS!$A$2:$A$1201,INDEX(_LEITURA!$P$2:$P$21,15),DECKS!$B$2:$B$1201,$A164))</f>
        <v/>
      </c>
      <c r="Z164" s="19" t="str">
        <f aca="false">IF(OR($A164="",INDEX(_LEITURA!$Q$2:$Q$21,16)=0),"",SUMIFS(DECKS!$D$2:$D$1201,DECKS!$A$2:$A$1201,INDEX(_LEITURA!$P$2:$P$21,16),DECKS!$B$2:$B$1201,$A164))</f>
        <v/>
      </c>
      <c r="AA164" s="19" t="str">
        <f aca="false">IF(OR($A164="",INDEX(_LEITURA!$Q$2:$Q$21,17)=0),"",SUMIFS(DECKS!$D$2:$D$1201,DECKS!$A$2:$A$1201,INDEX(_LEITURA!$P$2:$P$21,17),DECKS!$B$2:$B$1201,$A164))</f>
        <v/>
      </c>
      <c r="AB164" s="19" t="str">
        <f aca="false">IF(OR($A164="",INDEX(_LEITURA!$Q$2:$Q$21,18)=0),"",SUMIFS(DECKS!$D$2:$D$1201,DECKS!$A$2:$A$1201,INDEX(_LEITURA!$P$2:$P$21,18),DECKS!$B$2:$B$1201,$A164))</f>
        <v/>
      </c>
      <c r="AC164" s="19" t="str">
        <f aca="false">IF(OR($A164="",INDEX(_LEITURA!$Q$2:$Q$21,19)=0),"",SUMIFS(DECKS!$D$2:$D$1201,DECKS!$A$2:$A$1201,INDEX(_LEITURA!$P$2:$P$21,19),DECKS!$B$2:$B$1201,$A164))</f>
        <v/>
      </c>
      <c r="AD164" s="19" t="str">
        <f aca="false">IF(OR($A164="",INDEX(_LEITURA!$Q$2:$Q$21,20)=0),"",SUMIFS(DECKS!$D$2:$D$1201,DECKS!$A$2:$A$1201,INDEX(_LEITURA!$P$2:$P$21,20),DECKS!$B$2:$B$1201,$A164))</f>
        <v/>
      </c>
      <c r="AE164" s="16" t="str">
        <f aca="false">IF(N(E164)&gt;0,MAX(AE$1:AE163)+1,"")</f>
        <v/>
      </c>
      <c r="AF164" s="11" t="str">
        <f aca="false">IF(A164="","",IFERROR(LEFT(A164,FIND("-",A164)-1),A164))</f>
        <v/>
      </c>
      <c r="AG164" s="11" t="str">
        <f aca="false">IF(AF164="","",IF(ISNUMBER(--MID(AF164,1,1)),0,IF(ISNUMBER(--MID(AF164,2,1)),1,IF(ISNUMBER(--MID(AF164,3,1)),2,IF(ISNUMBER(--MID(AF164,4,1)),3,MIN(LEN(AF164),4))))))</f>
        <v/>
      </c>
      <c r="AH164" s="11" t="str">
        <f aca="false">IF(A164="","",LEFT(AF164,AG164)&amp;REPT("0",4-AG164)&amp;RIGHT("000"&amp;IFERROR(VALUE(MID(AF164,AG164+1,9)),0),3)&amp;RIGHT("0000"&amp;IFERROR(VALUE(MID(A164,FIND("-",A164)+1,9)),0),4))</f>
        <v/>
      </c>
      <c r="AI164" s="11" t="str">
        <f aca="false">IF(OR(A164="",N(E164)&lt;=0),"",IF('FALTAS GERAL'!$M$1="Código","K"&amp;AH164&amp;RIGHT("00000"&amp;ROW(),5),IF('FALTAS GERAL'!$M$1="Nome","K"&amp;UPPER(SUBSTITUTE(SUBSTITUTE(SUBSTITUTE(B164,"*",""),"?",""),"~",""))&amp;"0"&amp;AH164&amp;RIGHT("00000"&amp;ROW(),5),IF('FALTAS GERAL'!$M$1="Falta (maior primeiro)","K"&amp;RIGHT("0000"&amp;(9999-E164),4)&amp;AH164&amp;RIGHT("00000"&amp;ROW(),5),IF('FALTAS GERAL'!$M$1="Nº de decks (maior primeiro)","K"&amp;RIGHT("00"&amp;(99-N(G164)),2)&amp;AH164&amp;RIGHT("00000"&amp;ROW(),5),"K"&amp;RIGHT("00000"&amp;ROW(),5))))))</f>
        <v/>
      </c>
      <c r="AJ164" s="11" t="str">
        <f aca="false">IF(AI164="","",COUNTIFS($AI$2:$AI$801,"&lt;"&amp;AI164,$E$2:$E$801,"&gt;0")+1)</f>
        <v/>
      </c>
      <c r="AK164" s="11" t="str">
        <f aca="false">IF(OR(A164="",N(E164)&lt;=0),"",COUNTIFS($AH$2:$AH$801,"&lt;"&amp;AH164,$E$2:$E$801,"&gt;0")+COUNTIFS($AH$2:AH164,AH164,$E$2:E164,"&gt;0"))</f>
        <v/>
      </c>
    </row>
    <row r="165" customFormat="false" ht="15" hidden="false" customHeight="false" outlineLevel="0" collapsed="false">
      <c r="A165" s="11" t="str">
        <f aca="false">IF(INVENTÁRIO!A165="","",INVENTÁRIO!A165)</f>
        <v/>
      </c>
      <c r="B165" s="11" t="str">
        <f aca="false">IF(A165="","",INVENTÁRIO!B165)</f>
        <v/>
      </c>
      <c r="C165" s="16" t="str">
        <f aca="false">IF(A165="","",INVENTÁRIO!C165)</f>
        <v/>
      </c>
      <c r="D165" s="14" t="str">
        <f aca="false">IF(A165="","",MAX(K165:AD165))</f>
        <v/>
      </c>
      <c r="E165" s="14" t="str">
        <f aca="false">IF(A165="","",MAX(0,D165-C165))</f>
        <v/>
      </c>
      <c r="F165" s="16" t="str">
        <f aca="false">IF(A165="","",IF(D165=0,"Fora dos decks",IF(E165=0,"Completo","Falta")))</f>
        <v/>
      </c>
      <c r="G165" s="16" t="str">
        <f aca="false">IF(A165="","",COUNTIF(K165:AD165,"&gt;0"))</f>
        <v/>
      </c>
      <c r="H165" s="16" t="str">
        <f aca="false">IF(A165="","",IF(G165&gt;1,"Sim",""))</f>
        <v/>
      </c>
      <c r="I165" s="18" t="str">
        <f aca="false">IF(A165="","",SUMIFS(DECKS!$D$2:$D$1201,DECKS!$B$2:$B$1201,A165))</f>
        <v/>
      </c>
      <c r="J165" s="18" t="str">
        <f aca="false">IF(A165="","",MAX(0,I165-C165))</f>
        <v/>
      </c>
      <c r="K165" s="19" t="str">
        <f aca="false">IF(OR($A165="",INDEX(_LEITURA!$Q$2:$Q$21,1)=0),"",SUMIFS(DECKS!$D$2:$D$1201,DECKS!$A$2:$A$1201,INDEX(_LEITURA!$P$2:$P$21,1),DECKS!$B$2:$B$1201,$A165))</f>
        <v/>
      </c>
      <c r="L165" s="19" t="str">
        <f aca="false">IF(OR($A165="",INDEX(_LEITURA!$Q$2:$Q$21,2)=0),"",SUMIFS(DECKS!$D$2:$D$1201,DECKS!$A$2:$A$1201,INDEX(_LEITURA!$P$2:$P$21,2),DECKS!$B$2:$B$1201,$A165))</f>
        <v/>
      </c>
      <c r="M165" s="19" t="str">
        <f aca="false">IF(OR($A165="",INDEX(_LEITURA!$Q$2:$Q$21,3)=0),"",SUMIFS(DECKS!$D$2:$D$1201,DECKS!$A$2:$A$1201,INDEX(_LEITURA!$P$2:$P$21,3),DECKS!$B$2:$B$1201,$A165))</f>
        <v/>
      </c>
      <c r="N165" s="19" t="str">
        <f aca="false">IF(OR($A165="",INDEX(_LEITURA!$Q$2:$Q$21,4)=0),"",SUMIFS(DECKS!$D$2:$D$1201,DECKS!$A$2:$A$1201,INDEX(_LEITURA!$P$2:$P$21,4),DECKS!$B$2:$B$1201,$A165))</f>
        <v/>
      </c>
      <c r="O165" s="19" t="str">
        <f aca="false">IF(OR($A165="",INDEX(_LEITURA!$Q$2:$Q$21,5)=0),"",SUMIFS(DECKS!$D$2:$D$1201,DECKS!$A$2:$A$1201,INDEX(_LEITURA!$P$2:$P$21,5),DECKS!$B$2:$B$1201,$A165))</f>
        <v/>
      </c>
      <c r="P165" s="19" t="str">
        <f aca="false">IF(OR($A165="",INDEX(_LEITURA!$Q$2:$Q$21,6)=0),"",SUMIFS(DECKS!$D$2:$D$1201,DECKS!$A$2:$A$1201,INDEX(_LEITURA!$P$2:$P$21,6),DECKS!$B$2:$B$1201,$A165))</f>
        <v/>
      </c>
      <c r="Q165" s="19" t="str">
        <f aca="false">IF(OR($A165="",INDEX(_LEITURA!$Q$2:$Q$21,7)=0),"",SUMIFS(DECKS!$D$2:$D$1201,DECKS!$A$2:$A$1201,INDEX(_LEITURA!$P$2:$P$21,7),DECKS!$B$2:$B$1201,$A165))</f>
        <v/>
      </c>
      <c r="R165" s="19" t="str">
        <f aca="false">IF(OR($A165="",INDEX(_LEITURA!$Q$2:$Q$21,8)=0),"",SUMIFS(DECKS!$D$2:$D$1201,DECKS!$A$2:$A$1201,INDEX(_LEITURA!$P$2:$P$21,8),DECKS!$B$2:$B$1201,$A165))</f>
        <v/>
      </c>
      <c r="S165" s="19" t="str">
        <f aca="false">IF(OR($A165="",INDEX(_LEITURA!$Q$2:$Q$21,9)=0),"",SUMIFS(DECKS!$D$2:$D$1201,DECKS!$A$2:$A$1201,INDEX(_LEITURA!$P$2:$P$21,9),DECKS!$B$2:$B$1201,$A165))</f>
        <v/>
      </c>
      <c r="T165" s="19" t="str">
        <f aca="false">IF(OR($A165="",INDEX(_LEITURA!$Q$2:$Q$21,10)=0),"",SUMIFS(DECKS!$D$2:$D$1201,DECKS!$A$2:$A$1201,INDEX(_LEITURA!$P$2:$P$21,10),DECKS!$B$2:$B$1201,$A165))</f>
        <v/>
      </c>
      <c r="U165" s="19" t="str">
        <f aca="false">IF(OR($A165="",INDEX(_LEITURA!$Q$2:$Q$21,11)=0),"",SUMIFS(DECKS!$D$2:$D$1201,DECKS!$A$2:$A$1201,INDEX(_LEITURA!$P$2:$P$21,11),DECKS!$B$2:$B$1201,$A165))</f>
        <v/>
      </c>
      <c r="V165" s="19" t="str">
        <f aca="false">IF(OR($A165="",INDEX(_LEITURA!$Q$2:$Q$21,12)=0),"",SUMIFS(DECKS!$D$2:$D$1201,DECKS!$A$2:$A$1201,INDEX(_LEITURA!$P$2:$P$21,12),DECKS!$B$2:$B$1201,$A165))</f>
        <v/>
      </c>
      <c r="W165" s="19" t="str">
        <f aca="false">IF(OR($A165="",INDEX(_LEITURA!$Q$2:$Q$21,13)=0),"",SUMIFS(DECKS!$D$2:$D$1201,DECKS!$A$2:$A$1201,INDEX(_LEITURA!$P$2:$P$21,13),DECKS!$B$2:$B$1201,$A165))</f>
        <v/>
      </c>
      <c r="X165" s="19" t="str">
        <f aca="false">IF(OR($A165="",INDEX(_LEITURA!$Q$2:$Q$21,14)=0),"",SUMIFS(DECKS!$D$2:$D$1201,DECKS!$A$2:$A$1201,INDEX(_LEITURA!$P$2:$P$21,14),DECKS!$B$2:$B$1201,$A165))</f>
        <v/>
      </c>
      <c r="Y165" s="19" t="str">
        <f aca="false">IF(OR($A165="",INDEX(_LEITURA!$Q$2:$Q$21,15)=0),"",SUMIFS(DECKS!$D$2:$D$1201,DECKS!$A$2:$A$1201,INDEX(_LEITURA!$P$2:$P$21,15),DECKS!$B$2:$B$1201,$A165))</f>
        <v/>
      </c>
      <c r="Z165" s="19" t="str">
        <f aca="false">IF(OR($A165="",INDEX(_LEITURA!$Q$2:$Q$21,16)=0),"",SUMIFS(DECKS!$D$2:$D$1201,DECKS!$A$2:$A$1201,INDEX(_LEITURA!$P$2:$P$21,16),DECKS!$B$2:$B$1201,$A165))</f>
        <v/>
      </c>
      <c r="AA165" s="19" t="str">
        <f aca="false">IF(OR($A165="",INDEX(_LEITURA!$Q$2:$Q$21,17)=0),"",SUMIFS(DECKS!$D$2:$D$1201,DECKS!$A$2:$A$1201,INDEX(_LEITURA!$P$2:$P$21,17),DECKS!$B$2:$B$1201,$A165))</f>
        <v/>
      </c>
      <c r="AB165" s="19" t="str">
        <f aca="false">IF(OR($A165="",INDEX(_LEITURA!$Q$2:$Q$21,18)=0),"",SUMIFS(DECKS!$D$2:$D$1201,DECKS!$A$2:$A$1201,INDEX(_LEITURA!$P$2:$P$21,18),DECKS!$B$2:$B$1201,$A165))</f>
        <v/>
      </c>
      <c r="AC165" s="19" t="str">
        <f aca="false">IF(OR($A165="",INDEX(_LEITURA!$Q$2:$Q$21,19)=0),"",SUMIFS(DECKS!$D$2:$D$1201,DECKS!$A$2:$A$1201,INDEX(_LEITURA!$P$2:$P$21,19),DECKS!$B$2:$B$1201,$A165))</f>
        <v/>
      </c>
      <c r="AD165" s="19" t="str">
        <f aca="false">IF(OR($A165="",INDEX(_LEITURA!$Q$2:$Q$21,20)=0),"",SUMIFS(DECKS!$D$2:$D$1201,DECKS!$A$2:$A$1201,INDEX(_LEITURA!$P$2:$P$21,20),DECKS!$B$2:$B$1201,$A165))</f>
        <v/>
      </c>
      <c r="AE165" s="16" t="str">
        <f aca="false">IF(N(E165)&gt;0,MAX(AE$1:AE164)+1,"")</f>
        <v/>
      </c>
      <c r="AF165" s="11" t="str">
        <f aca="false">IF(A165="","",IFERROR(LEFT(A165,FIND("-",A165)-1),A165))</f>
        <v/>
      </c>
      <c r="AG165" s="11" t="str">
        <f aca="false">IF(AF165="","",IF(ISNUMBER(--MID(AF165,1,1)),0,IF(ISNUMBER(--MID(AF165,2,1)),1,IF(ISNUMBER(--MID(AF165,3,1)),2,IF(ISNUMBER(--MID(AF165,4,1)),3,MIN(LEN(AF165),4))))))</f>
        <v/>
      </c>
      <c r="AH165" s="11" t="str">
        <f aca="false">IF(A165="","",LEFT(AF165,AG165)&amp;REPT("0",4-AG165)&amp;RIGHT("000"&amp;IFERROR(VALUE(MID(AF165,AG165+1,9)),0),3)&amp;RIGHT("0000"&amp;IFERROR(VALUE(MID(A165,FIND("-",A165)+1,9)),0),4))</f>
        <v/>
      </c>
      <c r="AI165" s="11" t="str">
        <f aca="false">IF(OR(A165="",N(E165)&lt;=0),"",IF('FALTAS GERAL'!$M$1="Código","K"&amp;AH165&amp;RIGHT("00000"&amp;ROW(),5),IF('FALTAS GERAL'!$M$1="Nome","K"&amp;UPPER(SUBSTITUTE(SUBSTITUTE(SUBSTITUTE(B165,"*",""),"?",""),"~",""))&amp;"0"&amp;AH165&amp;RIGHT("00000"&amp;ROW(),5),IF('FALTAS GERAL'!$M$1="Falta (maior primeiro)","K"&amp;RIGHT("0000"&amp;(9999-E165),4)&amp;AH165&amp;RIGHT("00000"&amp;ROW(),5),IF('FALTAS GERAL'!$M$1="Nº de decks (maior primeiro)","K"&amp;RIGHT("00"&amp;(99-N(G165)),2)&amp;AH165&amp;RIGHT("00000"&amp;ROW(),5),"K"&amp;RIGHT("00000"&amp;ROW(),5))))))</f>
        <v/>
      </c>
      <c r="AJ165" s="11" t="str">
        <f aca="false">IF(AI165="","",COUNTIFS($AI$2:$AI$801,"&lt;"&amp;AI165,$E$2:$E$801,"&gt;0")+1)</f>
        <v/>
      </c>
      <c r="AK165" s="11" t="str">
        <f aca="false">IF(OR(A165="",N(E165)&lt;=0),"",COUNTIFS($AH$2:$AH$801,"&lt;"&amp;AH165,$E$2:$E$801,"&gt;0")+COUNTIFS($AH$2:AH165,AH165,$E$2:E165,"&gt;0"))</f>
        <v/>
      </c>
    </row>
    <row r="166" customFormat="false" ht="15" hidden="false" customHeight="false" outlineLevel="0" collapsed="false">
      <c r="A166" s="11" t="str">
        <f aca="false">IF(INVENTÁRIO!A166="","",INVENTÁRIO!A166)</f>
        <v/>
      </c>
      <c r="B166" s="11" t="str">
        <f aca="false">IF(A166="","",INVENTÁRIO!B166)</f>
        <v/>
      </c>
      <c r="C166" s="16" t="str">
        <f aca="false">IF(A166="","",INVENTÁRIO!C166)</f>
        <v/>
      </c>
      <c r="D166" s="14" t="str">
        <f aca="false">IF(A166="","",MAX(K166:AD166))</f>
        <v/>
      </c>
      <c r="E166" s="14" t="str">
        <f aca="false">IF(A166="","",MAX(0,D166-C166))</f>
        <v/>
      </c>
      <c r="F166" s="16" t="str">
        <f aca="false">IF(A166="","",IF(D166=0,"Fora dos decks",IF(E166=0,"Completo","Falta")))</f>
        <v/>
      </c>
      <c r="G166" s="16" t="str">
        <f aca="false">IF(A166="","",COUNTIF(K166:AD166,"&gt;0"))</f>
        <v/>
      </c>
      <c r="H166" s="16" t="str">
        <f aca="false">IF(A166="","",IF(G166&gt;1,"Sim",""))</f>
        <v/>
      </c>
      <c r="I166" s="18" t="str">
        <f aca="false">IF(A166="","",SUMIFS(DECKS!$D$2:$D$1201,DECKS!$B$2:$B$1201,A166))</f>
        <v/>
      </c>
      <c r="J166" s="18" t="str">
        <f aca="false">IF(A166="","",MAX(0,I166-C166))</f>
        <v/>
      </c>
      <c r="K166" s="19" t="str">
        <f aca="false">IF(OR($A166="",INDEX(_LEITURA!$Q$2:$Q$21,1)=0),"",SUMIFS(DECKS!$D$2:$D$1201,DECKS!$A$2:$A$1201,INDEX(_LEITURA!$P$2:$P$21,1),DECKS!$B$2:$B$1201,$A166))</f>
        <v/>
      </c>
      <c r="L166" s="19" t="str">
        <f aca="false">IF(OR($A166="",INDEX(_LEITURA!$Q$2:$Q$21,2)=0),"",SUMIFS(DECKS!$D$2:$D$1201,DECKS!$A$2:$A$1201,INDEX(_LEITURA!$P$2:$P$21,2),DECKS!$B$2:$B$1201,$A166))</f>
        <v/>
      </c>
      <c r="M166" s="19" t="str">
        <f aca="false">IF(OR($A166="",INDEX(_LEITURA!$Q$2:$Q$21,3)=0),"",SUMIFS(DECKS!$D$2:$D$1201,DECKS!$A$2:$A$1201,INDEX(_LEITURA!$P$2:$P$21,3),DECKS!$B$2:$B$1201,$A166))</f>
        <v/>
      </c>
      <c r="N166" s="19" t="str">
        <f aca="false">IF(OR($A166="",INDEX(_LEITURA!$Q$2:$Q$21,4)=0),"",SUMIFS(DECKS!$D$2:$D$1201,DECKS!$A$2:$A$1201,INDEX(_LEITURA!$P$2:$P$21,4),DECKS!$B$2:$B$1201,$A166))</f>
        <v/>
      </c>
      <c r="O166" s="19" t="str">
        <f aca="false">IF(OR($A166="",INDEX(_LEITURA!$Q$2:$Q$21,5)=0),"",SUMIFS(DECKS!$D$2:$D$1201,DECKS!$A$2:$A$1201,INDEX(_LEITURA!$P$2:$P$21,5),DECKS!$B$2:$B$1201,$A166))</f>
        <v/>
      </c>
      <c r="P166" s="19" t="str">
        <f aca="false">IF(OR($A166="",INDEX(_LEITURA!$Q$2:$Q$21,6)=0),"",SUMIFS(DECKS!$D$2:$D$1201,DECKS!$A$2:$A$1201,INDEX(_LEITURA!$P$2:$P$21,6),DECKS!$B$2:$B$1201,$A166))</f>
        <v/>
      </c>
      <c r="Q166" s="19" t="str">
        <f aca="false">IF(OR($A166="",INDEX(_LEITURA!$Q$2:$Q$21,7)=0),"",SUMIFS(DECKS!$D$2:$D$1201,DECKS!$A$2:$A$1201,INDEX(_LEITURA!$P$2:$P$21,7),DECKS!$B$2:$B$1201,$A166))</f>
        <v/>
      </c>
      <c r="R166" s="19" t="str">
        <f aca="false">IF(OR($A166="",INDEX(_LEITURA!$Q$2:$Q$21,8)=0),"",SUMIFS(DECKS!$D$2:$D$1201,DECKS!$A$2:$A$1201,INDEX(_LEITURA!$P$2:$P$21,8),DECKS!$B$2:$B$1201,$A166))</f>
        <v/>
      </c>
      <c r="S166" s="19" t="str">
        <f aca="false">IF(OR($A166="",INDEX(_LEITURA!$Q$2:$Q$21,9)=0),"",SUMIFS(DECKS!$D$2:$D$1201,DECKS!$A$2:$A$1201,INDEX(_LEITURA!$P$2:$P$21,9),DECKS!$B$2:$B$1201,$A166))</f>
        <v/>
      </c>
      <c r="T166" s="19" t="str">
        <f aca="false">IF(OR($A166="",INDEX(_LEITURA!$Q$2:$Q$21,10)=0),"",SUMIFS(DECKS!$D$2:$D$1201,DECKS!$A$2:$A$1201,INDEX(_LEITURA!$P$2:$P$21,10),DECKS!$B$2:$B$1201,$A166))</f>
        <v/>
      </c>
      <c r="U166" s="19" t="str">
        <f aca="false">IF(OR($A166="",INDEX(_LEITURA!$Q$2:$Q$21,11)=0),"",SUMIFS(DECKS!$D$2:$D$1201,DECKS!$A$2:$A$1201,INDEX(_LEITURA!$P$2:$P$21,11),DECKS!$B$2:$B$1201,$A166))</f>
        <v/>
      </c>
      <c r="V166" s="19" t="str">
        <f aca="false">IF(OR($A166="",INDEX(_LEITURA!$Q$2:$Q$21,12)=0),"",SUMIFS(DECKS!$D$2:$D$1201,DECKS!$A$2:$A$1201,INDEX(_LEITURA!$P$2:$P$21,12),DECKS!$B$2:$B$1201,$A166))</f>
        <v/>
      </c>
      <c r="W166" s="19" t="str">
        <f aca="false">IF(OR($A166="",INDEX(_LEITURA!$Q$2:$Q$21,13)=0),"",SUMIFS(DECKS!$D$2:$D$1201,DECKS!$A$2:$A$1201,INDEX(_LEITURA!$P$2:$P$21,13),DECKS!$B$2:$B$1201,$A166))</f>
        <v/>
      </c>
      <c r="X166" s="19" t="str">
        <f aca="false">IF(OR($A166="",INDEX(_LEITURA!$Q$2:$Q$21,14)=0),"",SUMIFS(DECKS!$D$2:$D$1201,DECKS!$A$2:$A$1201,INDEX(_LEITURA!$P$2:$P$21,14),DECKS!$B$2:$B$1201,$A166))</f>
        <v/>
      </c>
      <c r="Y166" s="19" t="str">
        <f aca="false">IF(OR($A166="",INDEX(_LEITURA!$Q$2:$Q$21,15)=0),"",SUMIFS(DECKS!$D$2:$D$1201,DECKS!$A$2:$A$1201,INDEX(_LEITURA!$P$2:$P$21,15),DECKS!$B$2:$B$1201,$A166))</f>
        <v/>
      </c>
      <c r="Z166" s="19" t="str">
        <f aca="false">IF(OR($A166="",INDEX(_LEITURA!$Q$2:$Q$21,16)=0),"",SUMIFS(DECKS!$D$2:$D$1201,DECKS!$A$2:$A$1201,INDEX(_LEITURA!$P$2:$P$21,16),DECKS!$B$2:$B$1201,$A166))</f>
        <v/>
      </c>
      <c r="AA166" s="19" t="str">
        <f aca="false">IF(OR($A166="",INDEX(_LEITURA!$Q$2:$Q$21,17)=0),"",SUMIFS(DECKS!$D$2:$D$1201,DECKS!$A$2:$A$1201,INDEX(_LEITURA!$P$2:$P$21,17),DECKS!$B$2:$B$1201,$A166))</f>
        <v/>
      </c>
      <c r="AB166" s="19" t="str">
        <f aca="false">IF(OR($A166="",INDEX(_LEITURA!$Q$2:$Q$21,18)=0),"",SUMIFS(DECKS!$D$2:$D$1201,DECKS!$A$2:$A$1201,INDEX(_LEITURA!$P$2:$P$21,18),DECKS!$B$2:$B$1201,$A166))</f>
        <v/>
      </c>
      <c r="AC166" s="19" t="str">
        <f aca="false">IF(OR($A166="",INDEX(_LEITURA!$Q$2:$Q$21,19)=0),"",SUMIFS(DECKS!$D$2:$D$1201,DECKS!$A$2:$A$1201,INDEX(_LEITURA!$P$2:$P$21,19),DECKS!$B$2:$B$1201,$A166))</f>
        <v/>
      </c>
      <c r="AD166" s="19" t="str">
        <f aca="false">IF(OR($A166="",INDEX(_LEITURA!$Q$2:$Q$21,20)=0),"",SUMIFS(DECKS!$D$2:$D$1201,DECKS!$A$2:$A$1201,INDEX(_LEITURA!$P$2:$P$21,20),DECKS!$B$2:$B$1201,$A166))</f>
        <v/>
      </c>
      <c r="AE166" s="16" t="str">
        <f aca="false">IF(N(E166)&gt;0,MAX(AE$1:AE165)+1,"")</f>
        <v/>
      </c>
      <c r="AF166" s="11" t="str">
        <f aca="false">IF(A166="","",IFERROR(LEFT(A166,FIND("-",A166)-1),A166))</f>
        <v/>
      </c>
      <c r="AG166" s="11" t="str">
        <f aca="false">IF(AF166="","",IF(ISNUMBER(--MID(AF166,1,1)),0,IF(ISNUMBER(--MID(AF166,2,1)),1,IF(ISNUMBER(--MID(AF166,3,1)),2,IF(ISNUMBER(--MID(AF166,4,1)),3,MIN(LEN(AF166),4))))))</f>
        <v/>
      </c>
      <c r="AH166" s="11" t="str">
        <f aca="false">IF(A166="","",LEFT(AF166,AG166)&amp;REPT("0",4-AG166)&amp;RIGHT("000"&amp;IFERROR(VALUE(MID(AF166,AG166+1,9)),0),3)&amp;RIGHT("0000"&amp;IFERROR(VALUE(MID(A166,FIND("-",A166)+1,9)),0),4))</f>
        <v/>
      </c>
      <c r="AI166" s="11" t="str">
        <f aca="false">IF(OR(A166="",N(E166)&lt;=0),"",IF('FALTAS GERAL'!$M$1="Código","K"&amp;AH166&amp;RIGHT("00000"&amp;ROW(),5),IF('FALTAS GERAL'!$M$1="Nome","K"&amp;UPPER(SUBSTITUTE(SUBSTITUTE(SUBSTITUTE(B166,"*",""),"?",""),"~",""))&amp;"0"&amp;AH166&amp;RIGHT("00000"&amp;ROW(),5),IF('FALTAS GERAL'!$M$1="Falta (maior primeiro)","K"&amp;RIGHT("0000"&amp;(9999-E166),4)&amp;AH166&amp;RIGHT("00000"&amp;ROW(),5),IF('FALTAS GERAL'!$M$1="Nº de decks (maior primeiro)","K"&amp;RIGHT("00"&amp;(99-N(G166)),2)&amp;AH166&amp;RIGHT("00000"&amp;ROW(),5),"K"&amp;RIGHT("00000"&amp;ROW(),5))))))</f>
        <v/>
      </c>
      <c r="AJ166" s="11" t="str">
        <f aca="false">IF(AI166="","",COUNTIFS($AI$2:$AI$801,"&lt;"&amp;AI166,$E$2:$E$801,"&gt;0")+1)</f>
        <v/>
      </c>
      <c r="AK166" s="11" t="str">
        <f aca="false">IF(OR(A166="",N(E166)&lt;=0),"",COUNTIFS($AH$2:$AH$801,"&lt;"&amp;AH166,$E$2:$E$801,"&gt;0")+COUNTIFS($AH$2:AH166,AH166,$E$2:E166,"&gt;0"))</f>
        <v/>
      </c>
    </row>
    <row r="167" customFormat="false" ht="15" hidden="false" customHeight="false" outlineLevel="0" collapsed="false">
      <c r="A167" s="11" t="str">
        <f aca="false">IF(INVENTÁRIO!A167="","",INVENTÁRIO!A167)</f>
        <v/>
      </c>
      <c r="B167" s="11" t="str">
        <f aca="false">IF(A167="","",INVENTÁRIO!B167)</f>
        <v/>
      </c>
      <c r="C167" s="16" t="str">
        <f aca="false">IF(A167="","",INVENTÁRIO!C167)</f>
        <v/>
      </c>
      <c r="D167" s="14" t="str">
        <f aca="false">IF(A167="","",MAX(K167:AD167))</f>
        <v/>
      </c>
      <c r="E167" s="14" t="str">
        <f aca="false">IF(A167="","",MAX(0,D167-C167))</f>
        <v/>
      </c>
      <c r="F167" s="16" t="str">
        <f aca="false">IF(A167="","",IF(D167=0,"Fora dos decks",IF(E167=0,"Completo","Falta")))</f>
        <v/>
      </c>
      <c r="G167" s="16" t="str">
        <f aca="false">IF(A167="","",COUNTIF(K167:AD167,"&gt;0"))</f>
        <v/>
      </c>
      <c r="H167" s="16" t="str">
        <f aca="false">IF(A167="","",IF(G167&gt;1,"Sim",""))</f>
        <v/>
      </c>
      <c r="I167" s="18" t="str">
        <f aca="false">IF(A167="","",SUMIFS(DECKS!$D$2:$D$1201,DECKS!$B$2:$B$1201,A167))</f>
        <v/>
      </c>
      <c r="J167" s="18" t="str">
        <f aca="false">IF(A167="","",MAX(0,I167-C167))</f>
        <v/>
      </c>
      <c r="K167" s="19" t="str">
        <f aca="false">IF(OR($A167="",INDEX(_LEITURA!$Q$2:$Q$21,1)=0),"",SUMIFS(DECKS!$D$2:$D$1201,DECKS!$A$2:$A$1201,INDEX(_LEITURA!$P$2:$P$21,1),DECKS!$B$2:$B$1201,$A167))</f>
        <v/>
      </c>
      <c r="L167" s="19" t="str">
        <f aca="false">IF(OR($A167="",INDEX(_LEITURA!$Q$2:$Q$21,2)=0),"",SUMIFS(DECKS!$D$2:$D$1201,DECKS!$A$2:$A$1201,INDEX(_LEITURA!$P$2:$P$21,2),DECKS!$B$2:$B$1201,$A167))</f>
        <v/>
      </c>
      <c r="M167" s="19" t="str">
        <f aca="false">IF(OR($A167="",INDEX(_LEITURA!$Q$2:$Q$21,3)=0),"",SUMIFS(DECKS!$D$2:$D$1201,DECKS!$A$2:$A$1201,INDEX(_LEITURA!$P$2:$P$21,3),DECKS!$B$2:$B$1201,$A167))</f>
        <v/>
      </c>
      <c r="N167" s="19" t="str">
        <f aca="false">IF(OR($A167="",INDEX(_LEITURA!$Q$2:$Q$21,4)=0),"",SUMIFS(DECKS!$D$2:$D$1201,DECKS!$A$2:$A$1201,INDEX(_LEITURA!$P$2:$P$21,4),DECKS!$B$2:$B$1201,$A167))</f>
        <v/>
      </c>
      <c r="O167" s="19" t="str">
        <f aca="false">IF(OR($A167="",INDEX(_LEITURA!$Q$2:$Q$21,5)=0),"",SUMIFS(DECKS!$D$2:$D$1201,DECKS!$A$2:$A$1201,INDEX(_LEITURA!$P$2:$P$21,5),DECKS!$B$2:$B$1201,$A167))</f>
        <v/>
      </c>
      <c r="P167" s="19" t="str">
        <f aca="false">IF(OR($A167="",INDEX(_LEITURA!$Q$2:$Q$21,6)=0),"",SUMIFS(DECKS!$D$2:$D$1201,DECKS!$A$2:$A$1201,INDEX(_LEITURA!$P$2:$P$21,6),DECKS!$B$2:$B$1201,$A167))</f>
        <v/>
      </c>
      <c r="Q167" s="19" t="str">
        <f aca="false">IF(OR($A167="",INDEX(_LEITURA!$Q$2:$Q$21,7)=0),"",SUMIFS(DECKS!$D$2:$D$1201,DECKS!$A$2:$A$1201,INDEX(_LEITURA!$P$2:$P$21,7),DECKS!$B$2:$B$1201,$A167))</f>
        <v/>
      </c>
      <c r="R167" s="19" t="str">
        <f aca="false">IF(OR($A167="",INDEX(_LEITURA!$Q$2:$Q$21,8)=0),"",SUMIFS(DECKS!$D$2:$D$1201,DECKS!$A$2:$A$1201,INDEX(_LEITURA!$P$2:$P$21,8),DECKS!$B$2:$B$1201,$A167))</f>
        <v/>
      </c>
      <c r="S167" s="19" t="str">
        <f aca="false">IF(OR($A167="",INDEX(_LEITURA!$Q$2:$Q$21,9)=0),"",SUMIFS(DECKS!$D$2:$D$1201,DECKS!$A$2:$A$1201,INDEX(_LEITURA!$P$2:$P$21,9),DECKS!$B$2:$B$1201,$A167))</f>
        <v/>
      </c>
      <c r="T167" s="19" t="str">
        <f aca="false">IF(OR($A167="",INDEX(_LEITURA!$Q$2:$Q$21,10)=0),"",SUMIFS(DECKS!$D$2:$D$1201,DECKS!$A$2:$A$1201,INDEX(_LEITURA!$P$2:$P$21,10),DECKS!$B$2:$B$1201,$A167))</f>
        <v/>
      </c>
      <c r="U167" s="19" t="str">
        <f aca="false">IF(OR($A167="",INDEX(_LEITURA!$Q$2:$Q$21,11)=0),"",SUMIFS(DECKS!$D$2:$D$1201,DECKS!$A$2:$A$1201,INDEX(_LEITURA!$P$2:$P$21,11),DECKS!$B$2:$B$1201,$A167))</f>
        <v/>
      </c>
      <c r="V167" s="19" t="str">
        <f aca="false">IF(OR($A167="",INDEX(_LEITURA!$Q$2:$Q$21,12)=0),"",SUMIFS(DECKS!$D$2:$D$1201,DECKS!$A$2:$A$1201,INDEX(_LEITURA!$P$2:$P$21,12),DECKS!$B$2:$B$1201,$A167))</f>
        <v/>
      </c>
      <c r="W167" s="19" t="str">
        <f aca="false">IF(OR($A167="",INDEX(_LEITURA!$Q$2:$Q$21,13)=0),"",SUMIFS(DECKS!$D$2:$D$1201,DECKS!$A$2:$A$1201,INDEX(_LEITURA!$P$2:$P$21,13),DECKS!$B$2:$B$1201,$A167))</f>
        <v/>
      </c>
      <c r="X167" s="19" t="str">
        <f aca="false">IF(OR($A167="",INDEX(_LEITURA!$Q$2:$Q$21,14)=0),"",SUMIFS(DECKS!$D$2:$D$1201,DECKS!$A$2:$A$1201,INDEX(_LEITURA!$P$2:$P$21,14),DECKS!$B$2:$B$1201,$A167))</f>
        <v/>
      </c>
      <c r="Y167" s="19" t="str">
        <f aca="false">IF(OR($A167="",INDEX(_LEITURA!$Q$2:$Q$21,15)=0),"",SUMIFS(DECKS!$D$2:$D$1201,DECKS!$A$2:$A$1201,INDEX(_LEITURA!$P$2:$P$21,15),DECKS!$B$2:$B$1201,$A167))</f>
        <v/>
      </c>
      <c r="Z167" s="19" t="str">
        <f aca="false">IF(OR($A167="",INDEX(_LEITURA!$Q$2:$Q$21,16)=0),"",SUMIFS(DECKS!$D$2:$D$1201,DECKS!$A$2:$A$1201,INDEX(_LEITURA!$P$2:$P$21,16),DECKS!$B$2:$B$1201,$A167))</f>
        <v/>
      </c>
      <c r="AA167" s="19" t="str">
        <f aca="false">IF(OR($A167="",INDEX(_LEITURA!$Q$2:$Q$21,17)=0),"",SUMIFS(DECKS!$D$2:$D$1201,DECKS!$A$2:$A$1201,INDEX(_LEITURA!$P$2:$P$21,17),DECKS!$B$2:$B$1201,$A167))</f>
        <v/>
      </c>
      <c r="AB167" s="19" t="str">
        <f aca="false">IF(OR($A167="",INDEX(_LEITURA!$Q$2:$Q$21,18)=0),"",SUMIFS(DECKS!$D$2:$D$1201,DECKS!$A$2:$A$1201,INDEX(_LEITURA!$P$2:$P$21,18),DECKS!$B$2:$B$1201,$A167))</f>
        <v/>
      </c>
      <c r="AC167" s="19" t="str">
        <f aca="false">IF(OR($A167="",INDEX(_LEITURA!$Q$2:$Q$21,19)=0),"",SUMIFS(DECKS!$D$2:$D$1201,DECKS!$A$2:$A$1201,INDEX(_LEITURA!$P$2:$P$21,19),DECKS!$B$2:$B$1201,$A167))</f>
        <v/>
      </c>
      <c r="AD167" s="19" t="str">
        <f aca="false">IF(OR($A167="",INDEX(_LEITURA!$Q$2:$Q$21,20)=0),"",SUMIFS(DECKS!$D$2:$D$1201,DECKS!$A$2:$A$1201,INDEX(_LEITURA!$P$2:$P$21,20),DECKS!$B$2:$B$1201,$A167))</f>
        <v/>
      </c>
      <c r="AE167" s="16" t="str">
        <f aca="false">IF(N(E167)&gt;0,MAX(AE$1:AE166)+1,"")</f>
        <v/>
      </c>
      <c r="AF167" s="11" t="str">
        <f aca="false">IF(A167="","",IFERROR(LEFT(A167,FIND("-",A167)-1),A167))</f>
        <v/>
      </c>
      <c r="AG167" s="11" t="str">
        <f aca="false">IF(AF167="","",IF(ISNUMBER(--MID(AF167,1,1)),0,IF(ISNUMBER(--MID(AF167,2,1)),1,IF(ISNUMBER(--MID(AF167,3,1)),2,IF(ISNUMBER(--MID(AF167,4,1)),3,MIN(LEN(AF167),4))))))</f>
        <v/>
      </c>
      <c r="AH167" s="11" t="str">
        <f aca="false">IF(A167="","",LEFT(AF167,AG167)&amp;REPT("0",4-AG167)&amp;RIGHT("000"&amp;IFERROR(VALUE(MID(AF167,AG167+1,9)),0),3)&amp;RIGHT("0000"&amp;IFERROR(VALUE(MID(A167,FIND("-",A167)+1,9)),0),4))</f>
        <v/>
      </c>
      <c r="AI167" s="11" t="str">
        <f aca="false">IF(OR(A167="",N(E167)&lt;=0),"",IF('FALTAS GERAL'!$M$1="Código","K"&amp;AH167&amp;RIGHT("00000"&amp;ROW(),5),IF('FALTAS GERAL'!$M$1="Nome","K"&amp;UPPER(SUBSTITUTE(SUBSTITUTE(SUBSTITUTE(B167,"*",""),"?",""),"~",""))&amp;"0"&amp;AH167&amp;RIGHT("00000"&amp;ROW(),5),IF('FALTAS GERAL'!$M$1="Falta (maior primeiro)","K"&amp;RIGHT("0000"&amp;(9999-E167),4)&amp;AH167&amp;RIGHT("00000"&amp;ROW(),5),IF('FALTAS GERAL'!$M$1="Nº de decks (maior primeiro)","K"&amp;RIGHT("00"&amp;(99-N(G167)),2)&amp;AH167&amp;RIGHT("00000"&amp;ROW(),5),"K"&amp;RIGHT("00000"&amp;ROW(),5))))))</f>
        <v/>
      </c>
      <c r="AJ167" s="11" t="str">
        <f aca="false">IF(AI167="","",COUNTIFS($AI$2:$AI$801,"&lt;"&amp;AI167,$E$2:$E$801,"&gt;0")+1)</f>
        <v/>
      </c>
      <c r="AK167" s="11" t="str">
        <f aca="false">IF(OR(A167="",N(E167)&lt;=0),"",COUNTIFS($AH$2:$AH$801,"&lt;"&amp;AH167,$E$2:$E$801,"&gt;0")+COUNTIFS($AH$2:AH167,AH167,$E$2:E167,"&gt;0"))</f>
        <v/>
      </c>
    </row>
    <row r="168" customFormat="false" ht="15" hidden="false" customHeight="false" outlineLevel="0" collapsed="false">
      <c r="A168" s="11" t="str">
        <f aca="false">IF(INVENTÁRIO!A168="","",INVENTÁRIO!A168)</f>
        <v/>
      </c>
      <c r="B168" s="11" t="str">
        <f aca="false">IF(A168="","",INVENTÁRIO!B168)</f>
        <v/>
      </c>
      <c r="C168" s="16" t="str">
        <f aca="false">IF(A168="","",INVENTÁRIO!C168)</f>
        <v/>
      </c>
      <c r="D168" s="14" t="str">
        <f aca="false">IF(A168="","",MAX(K168:AD168))</f>
        <v/>
      </c>
      <c r="E168" s="14" t="str">
        <f aca="false">IF(A168="","",MAX(0,D168-C168))</f>
        <v/>
      </c>
      <c r="F168" s="16" t="str">
        <f aca="false">IF(A168="","",IF(D168=0,"Fora dos decks",IF(E168=0,"Completo","Falta")))</f>
        <v/>
      </c>
      <c r="G168" s="16" t="str">
        <f aca="false">IF(A168="","",COUNTIF(K168:AD168,"&gt;0"))</f>
        <v/>
      </c>
      <c r="H168" s="16" t="str">
        <f aca="false">IF(A168="","",IF(G168&gt;1,"Sim",""))</f>
        <v/>
      </c>
      <c r="I168" s="18" t="str">
        <f aca="false">IF(A168="","",SUMIFS(DECKS!$D$2:$D$1201,DECKS!$B$2:$B$1201,A168))</f>
        <v/>
      </c>
      <c r="J168" s="18" t="str">
        <f aca="false">IF(A168="","",MAX(0,I168-C168))</f>
        <v/>
      </c>
      <c r="K168" s="19" t="str">
        <f aca="false">IF(OR($A168="",INDEX(_LEITURA!$Q$2:$Q$21,1)=0),"",SUMIFS(DECKS!$D$2:$D$1201,DECKS!$A$2:$A$1201,INDEX(_LEITURA!$P$2:$P$21,1),DECKS!$B$2:$B$1201,$A168))</f>
        <v/>
      </c>
      <c r="L168" s="19" t="str">
        <f aca="false">IF(OR($A168="",INDEX(_LEITURA!$Q$2:$Q$21,2)=0),"",SUMIFS(DECKS!$D$2:$D$1201,DECKS!$A$2:$A$1201,INDEX(_LEITURA!$P$2:$P$21,2),DECKS!$B$2:$B$1201,$A168))</f>
        <v/>
      </c>
      <c r="M168" s="19" t="str">
        <f aca="false">IF(OR($A168="",INDEX(_LEITURA!$Q$2:$Q$21,3)=0),"",SUMIFS(DECKS!$D$2:$D$1201,DECKS!$A$2:$A$1201,INDEX(_LEITURA!$P$2:$P$21,3),DECKS!$B$2:$B$1201,$A168))</f>
        <v/>
      </c>
      <c r="N168" s="19" t="str">
        <f aca="false">IF(OR($A168="",INDEX(_LEITURA!$Q$2:$Q$21,4)=0),"",SUMIFS(DECKS!$D$2:$D$1201,DECKS!$A$2:$A$1201,INDEX(_LEITURA!$P$2:$P$21,4),DECKS!$B$2:$B$1201,$A168))</f>
        <v/>
      </c>
      <c r="O168" s="19" t="str">
        <f aca="false">IF(OR($A168="",INDEX(_LEITURA!$Q$2:$Q$21,5)=0),"",SUMIFS(DECKS!$D$2:$D$1201,DECKS!$A$2:$A$1201,INDEX(_LEITURA!$P$2:$P$21,5),DECKS!$B$2:$B$1201,$A168))</f>
        <v/>
      </c>
      <c r="P168" s="19" t="str">
        <f aca="false">IF(OR($A168="",INDEX(_LEITURA!$Q$2:$Q$21,6)=0),"",SUMIFS(DECKS!$D$2:$D$1201,DECKS!$A$2:$A$1201,INDEX(_LEITURA!$P$2:$P$21,6),DECKS!$B$2:$B$1201,$A168))</f>
        <v/>
      </c>
      <c r="Q168" s="19" t="str">
        <f aca="false">IF(OR($A168="",INDEX(_LEITURA!$Q$2:$Q$21,7)=0),"",SUMIFS(DECKS!$D$2:$D$1201,DECKS!$A$2:$A$1201,INDEX(_LEITURA!$P$2:$P$21,7),DECKS!$B$2:$B$1201,$A168))</f>
        <v/>
      </c>
      <c r="R168" s="19" t="str">
        <f aca="false">IF(OR($A168="",INDEX(_LEITURA!$Q$2:$Q$21,8)=0),"",SUMIFS(DECKS!$D$2:$D$1201,DECKS!$A$2:$A$1201,INDEX(_LEITURA!$P$2:$P$21,8),DECKS!$B$2:$B$1201,$A168))</f>
        <v/>
      </c>
      <c r="S168" s="19" t="str">
        <f aca="false">IF(OR($A168="",INDEX(_LEITURA!$Q$2:$Q$21,9)=0),"",SUMIFS(DECKS!$D$2:$D$1201,DECKS!$A$2:$A$1201,INDEX(_LEITURA!$P$2:$P$21,9),DECKS!$B$2:$B$1201,$A168))</f>
        <v/>
      </c>
      <c r="T168" s="19" t="str">
        <f aca="false">IF(OR($A168="",INDEX(_LEITURA!$Q$2:$Q$21,10)=0),"",SUMIFS(DECKS!$D$2:$D$1201,DECKS!$A$2:$A$1201,INDEX(_LEITURA!$P$2:$P$21,10),DECKS!$B$2:$B$1201,$A168))</f>
        <v/>
      </c>
      <c r="U168" s="19" t="str">
        <f aca="false">IF(OR($A168="",INDEX(_LEITURA!$Q$2:$Q$21,11)=0),"",SUMIFS(DECKS!$D$2:$D$1201,DECKS!$A$2:$A$1201,INDEX(_LEITURA!$P$2:$P$21,11),DECKS!$B$2:$B$1201,$A168))</f>
        <v/>
      </c>
      <c r="V168" s="19" t="str">
        <f aca="false">IF(OR($A168="",INDEX(_LEITURA!$Q$2:$Q$21,12)=0),"",SUMIFS(DECKS!$D$2:$D$1201,DECKS!$A$2:$A$1201,INDEX(_LEITURA!$P$2:$P$21,12),DECKS!$B$2:$B$1201,$A168))</f>
        <v/>
      </c>
      <c r="W168" s="19" t="str">
        <f aca="false">IF(OR($A168="",INDEX(_LEITURA!$Q$2:$Q$21,13)=0),"",SUMIFS(DECKS!$D$2:$D$1201,DECKS!$A$2:$A$1201,INDEX(_LEITURA!$P$2:$P$21,13),DECKS!$B$2:$B$1201,$A168))</f>
        <v/>
      </c>
      <c r="X168" s="19" t="str">
        <f aca="false">IF(OR($A168="",INDEX(_LEITURA!$Q$2:$Q$21,14)=0),"",SUMIFS(DECKS!$D$2:$D$1201,DECKS!$A$2:$A$1201,INDEX(_LEITURA!$P$2:$P$21,14),DECKS!$B$2:$B$1201,$A168))</f>
        <v/>
      </c>
      <c r="Y168" s="19" t="str">
        <f aca="false">IF(OR($A168="",INDEX(_LEITURA!$Q$2:$Q$21,15)=0),"",SUMIFS(DECKS!$D$2:$D$1201,DECKS!$A$2:$A$1201,INDEX(_LEITURA!$P$2:$P$21,15),DECKS!$B$2:$B$1201,$A168))</f>
        <v/>
      </c>
      <c r="Z168" s="19" t="str">
        <f aca="false">IF(OR($A168="",INDEX(_LEITURA!$Q$2:$Q$21,16)=0),"",SUMIFS(DECKS!$D$2:$D$1201,DECKS!$A$2:$A$1201,INDEX(_LEITURA!$P$2:$P$21,16),DECKS!$B$2:$B$1201,$A168))</f>
        <v/>
      </c>
      <c r="AA168" s="19" t="str">
        <f aca="false">IF(OR($A168="",INDEX(_LEITURA!$Q$2:$Q$21,17)=0),"",SUMIFS(DECKS!$D$2:$D$1201,DECKS!$A$2:$A$1201,INDEX(_LEITURA!$P$2:$P$21,17),DECKS!$B$2:$B$1201,$A168))</f>
        <v/>
      </c>
      <c r="AB168" s="19" t="str">
        <f aca="false">IF(OR($A168="",INDEX(_LEITURA!$Q$2:$Q$21,18)=0),"",SUMIFS(DECKS!$D$2:$D$1201,DECKS!$A$2:$A$1201,INDEX(_LEITURA!$P$2:$P$21,18),DECKS!$B$2:$B$1201,$A168))</f>
        <v/>
      </c>
      <c r="AC168" s="19" t="str">
        <f aca="false">IF(OR($A168="",INDEX(_LEITURA!$Q$2:$Q$21,19)=0),"",SUMIFS(DECKS!$D$2:$D$1201,DECKS!$A$2:$A$1201,INDEX(_LEITURA!$P$2:$P$21,19),DECKS!$B$2:$B$1201,$A168))</f>
        <v/>
      </c>
      <c r="AD168" s="19" t="str">
        <f aca="false">IF(OR($A168="",INDEX(_LEITURA!$Q$2:$Q$21,20)=0),"",SUMIFS(DECKS!$D$2:$D$1201,DECKS!$A$2:$A$1201,INDEX(_LEITURA!$P$2:$P$21,20),DECKS!$B$2:$B$1201,$A168))</f>
        <v/>
      </c>
      <c r="AE168" s="16" t="str">
        <f aca="false">IF(N(E168)&gt;0,MAX(AE$1:AE167)+1,"")</f>
        <v/>
      </c>
      <c r="AF168" s="11" t="str">
        <f aca="false">IF(A168="","",IFERROR(LEFT(A168,FIND("-",A168)-1),A168))</f>
        <v/>
      </c>
      <c r="AG168" s="11" t="str">
        <f aca="false">IF(AF168="","",IF(ISNUMBER(--MID(AF168,1,1)),0,IF(ISNUMBER(--MID(AF168,2,1)),1,IF(ISNUMBER(--MID(AF168,3,1)),2,IF(ISNUMBER(--MID(AF168,4,1)),3,MIN(LEN(AF168),4))))))</f>
        <v/>
      </c>
      <c r="AH168" s="11" t="str">
        <f aca="false">IF(A168="","",LEFT(AF168,AG168)&amp;REPT("0",4-AG168)&amp;RIGHT("000"&amp;IFERROR(VALUE(MID(AF168,AG168+1,9)),0),3)&amp;RIGHT("0000"&amp;IFERROR(VALUE(MID(A168,FIND("-",A168)+1,9)),0),4))</f>
        <v/>
      </c>
      <c r="AI168" s="11" t="str">
        <f aca="false">IF(OR(A168="",N(E168)&lt;=0),"",IF('FALTAS GERAL'!$M$1="Código","K"&amp;AH168&amp;RIGHT("00000"&amp;ROW(),5),IF('FALTAS GERAL'!$M$1="Nome","K"&amp;UPPER(SUBSTITUTE(SUBSTITUTE(SUBSTITUTE(B168,"*",""),"?",""),"~",""))&amp;"0"&amp;AH168&amp;RIGHT("00000"&amp;ROW(),5),IF('FALTAS GERAL'!$M$1="Falta (maior primeiro)","K"&amp;RIGHT("0000"&amp;(9999-E168),4)&amp;AH168&amp;RIGHT("00000"&amp;ROW(),5),IF('FALTAS GERAL'!$M$1="Nº de decks (maior primeiro)","K"&amp;RIGHT("00"&amp;(99-N(G168)),2)&amp;AH168&amp;RIGHT("00000"&amp;ROW(),5),"K"&amp;RIGHT("00000"&amp;ROW(),5))))))</f>
        <v/>
      </c>
      <c r="AJ168" s="11" t="str">
        <f aca="false">IF(AI168="","",COUNTIFS($AI$2:$AI$801,"&lt;"&amp;AI168,$E$2:$E$801,"&gt;0")+1)</f>
        <v/>
      </c>
      <c r="AK168" s="11" t="str">
        <f aca="false">IF(OR(A168="",N(E168)&lt;=0),"",COUNTIFS($AH$2:$AH$801,"&lt;"&amp;AH168,$E$2:$E$801,"&gt;0")+COUNTIFS($AH$2:AH168,AH168,$E$2:E168,"&gt;0"))</f>
        <v/>
      </c>
    </row>
    <row r="169" customFormat="false" ht="15" hidden="false" customHeight="false" outlineLevel="0" collapsed="false">
      <c r="A169" s="11" t="str">
        <f aca="false">IF(INVENTÁRIO!A169="","",INVENTÁRIO!A169)</f>
        <v/>
      </c>
      <c r="B169" s="11" t="str">
        <f aca="false">IF(A169="","",INVENTÁRIO!B169)</f>
        <v/>
      </c>
      <c r="C169" s="16" t="str">
        <f aca="false">IF(A169="","",INVENTÁRIO!C169)</f>
        <v/>
      </c>
      <c r="D169" s="14" t="str">
        <f aca="false">IF(A169="","",MAX(K169:AD169))</f>
        <v/>
      </c>
      <c r="E169" s="14" t="str">
        <f aca="false">IF(A169="","",MAX(0,D169-C169))</f>
        <v/>
      </c>
      <c r="F169" s="16" t="str">
        <f aca="false">IF(A169="","",IF(D169=0,"Fora dos decks",IF(E169=0,"Completo","Falta")))</f>
        <v/>
      </c>
      <c r="G169" s="16" t="str">
        <f aca="false">IF(A169="","",COUNTIF(K169:AD169,"&gt;0"))</f>
        <v/>
      </c>
      <c r="H169" s="16" t="str">
        <f aca="false">IF(A169="","",IF(G169&gt;1,"Sim",""))</f>
        <v/>
      </c>
      <c r="I169" s="18" t="str">
        <f aca="false">IF(A169="","",SUMIFS(DECKS!$D$2:$D$1201,DECKS!$B$2:$B$1201,A169))</f>
        <v/>
      </c>
      <c r="J169" s="18" t="str">
        <f aca="false">IF(A169="","",MAX(0,I169-C169))</f>
        <v/>
      </c>
      <c r="K169" s="19" t="str">
        <f aca="false">IF(OR($A169="",INDEX(_LEITURA!$Q$2:$Q$21,1)=0),"",SUMIFS(DECKS!$D$2:$D$1201,DECKS!$A$2:$A$1201,INDEX(_LEITURA!$P$2:$P$21,1),DECKS!$B$2:$B$1201,$A169))</f>
        <v/>
      </c>
      <c r="L169" s="19" t="str">
        <f aca="false">IF(OR($A169="",INDEX(_LEITURA!$Q$2:$Q$21,2)=0),"",SUMIFS(DECKS!$D$2:$D$1201,DECKS!$A$2:$A$1201,INDEX(_LEITURA!$P$2:$P$21,2),DECKS!$B$2:$B$1201,$A169))</f>
        <v/>
      </c>
      <c r="M169" s="19" t="str">
        <f aca="false">IF(OR($A169="",INDEX(_LEITURA!$Q$2:$Q$21,3)=0),"",SUMIFS(DECKS!$D$2:$D$1201,DECKS!$A$2:$A$1201,INDEX(_LEITURA!$P$2:$P$21,3),DECKS!$B$2:$B$1201,$A169))</f>
        <v/>
      </c>
      <c r="N169" s="19" t="str">
        <f aca="false">IF(OR($A169="",INDEX(_LEITURA!$Q$2:$Q$21,4)=0),"",SUMIFS(DECKS!$D$2:$D$1201,DECKS!$A$2:$A$1201,INDEX(_LEITURA!$P$2:$P$21,4),DECKS!$B$2:$B$1201,$A169))</f>
        <v/>
      </c>
      <c r="O169" s="19" t="str">
        <f aca="false">IF(OR($A169="",INDEX(_LEITURA!$Q$2:$Q$21,5)=0),"",SUMIFS(DECKS!$D$2:$D$1201,DECKS!$A$2:$A$1201,INDEX(_LEITURA!$P$2:$P$21,5),DECKS!$B$2:$B$1201,$A169))</f>
        <v/>
      </c>
      <c r="P169" s="19" t="str">
        <f aca="false">IF(OR($A169="",INDEX(_LEITURA!$Q$2:$Q$21,6)=0),"",SUMIFS(DECKS!$D$2:$D$1201,DECKS!$A$2:$A$1201,INDEX(_LEITURA!$P$2:$P$21,6),DECKS!$B$2:$B$1201,$A169))</f>
        <v/>
      </c>
      <c r="Q169" s="19" t="str">
        <f aca="false">IF(OR($A169="",INDEX(_LEITURA!$Q$2:$Q$21,7)=0),"",SUMIFS(DECKS!$D$2:$D$1201,DECKS!$A$2:$A$1201,INDEX(_LEITURA!$P$2:$P$21,7),DECKS!$B$2:$B$1201,$A169))</f>
        <v/>
      </c>
      <c r="R169" s="19" t="str">
        <f aca="false">IF(OR($A169="",INDEX(_LEITURA!$Q$2:$Q$21,8)=0),"",SUMIFS(DECKS!$D$2:$D$1201,DECKS!$A$2:$A$1201,INDEX(_LEITURA!$P$2:$P$21,8),DECKS!$B$2:$B$1201,$A169))</f>
        <v/>
      </c>
      <c r="S169" s="19" t="str">
        <f aca="false">IF(OR($A169="",INDEX(_LEITURA!$Q$2:$Q$21,9)=0),"",SUMIFS(DECKS!$D$2:$D$1201,DECKS!$A$2:$A$1201,INDEX(_LEITURA!$P$2:$P$21,9),DECKS!$B$2:$B$1201,$A169))</f>
        <v/>
      </c>
      <c r="T169" s="19" t="str">
        <f aca="false">IF(OR($A169="",INDEX(_LEITURA!$Q$2:$Q$21,10)=0),"",SUMIFS(DECKS!$D$2:$D$1201,DECKS!$A$2:$A$1201,INDEX(_LEITURA!$P$2:$P$21,10),DECKS!$B$2:$B$1201,$A169))</f>
        <v/>
      </c>
      <c r="U169" s="19" t="str">
        <f aca="false">IF(OR($A169="",INDEX(_LEITURA!$Q$2:$Q$21,11)=0),"",SUMIFS(DECKS!$D$2:$D$1201,DECKS!$A$2:$A$1201,INDEX(_LEITURA!$P$2:$P$21,11),DECKS!$B$2:$B$1201,$A169))</f>
        <v/>
      </c>
      <c r="V169" s="19" t="str">
        <f aca="false">IF(OR($A169="",INDEX(_LEITURA!$Q$2:$Q$21,12)=0),"",SUMIFS(DECKS!$D$2:$D$1201,DECKS!$A$2:$A$1201,INDEX(_LEITURA!$P$2:$P$21,12),DECKS!$B$2:$B$1201,$A169))</f>
        <v/>
      </c>
      <c r="W169" s="19" t="str">
        <f aca="false">IF(OR($A169="",INDEX(_LEITURA!$Q$2:$Q$21,13)=0),"",SUMIFS(DECKS!$D$2:$D$1201,DECKS!$A$2:$A$1201,INDEX(_LEITURA!$P$2:$P$21,13),DECKS!$B$2:$B$1201,$A169))</f>
        <v/>
      </c>
      <c r="X169" s="19" t="str">
        <f aca="false">IF(OR($A169="",INDEX(_LEITURA!$Q$2:$Q$21,14)=0),"",SUMIFS(DECKS!$D$2:$D$1201,DECKS!$A$2:$A$1201,INDEX(_LEITURA!$P$2:$P$21,14),DECKS!$B$2:$B$1201,$A169))</f>
        <v/>
      </c>
      <c r="Y169" s="19" t="str">
        <f aca="false">IF(OR($A169="",INDEX(_LEITURA!$Q$2:$Q$21,15)=0),"",SUMIFS(DECKS!$D$2:$D$1201,DECKS!$A$2:$A$1201,INDEX(_LEITURA!$P$2:$P$21,15),DECKS!$B$2:$B$1201,$A169))</f>
        <v/>
      </c>
      <c r="Z169" s="19" t="str">
        <f aca="false">IF(OR($A169="",INDEX(_LEITURA!$Q$2:$Q$21,16)=0),"",SUMIFS(DECKS!$D$2:$D$1201,DECKS!$A$2:$A$1201,INDEX(_LEITURA!$P$2:$P$21,16),DECKS!$B$2:$B$1201,$A169))</f>
        <v/>
      </c>
      <c r="AA169" s="19" t="str">
        <f aca="false">IF(OR($A169="",INDEX(_LEITURA!$Q$2:$Q$21,17)=0),"",SUMIFS(DECKS!$D$2:$D$1201,DECKS!$A$2:$A$1201,INDEX(_LEITURA!$P$2:$P$21,17),DECKS!$B$2:$B$1201,$A169))</f>
        <v/>
      </c>
      <c r="AB169" s="19" t="str">
        <f aca="false">IF(OR($A169="",INDEX(_LEITURA!$Q$2:$Q$21,18)=0),"",SUMIFS(DECKS!$D$2:$D$1201,DECKS!$A$2:$A$1201,INDEX(_LEITURA!$P$2:$P$21,18),DECKS!$B$2:$B$1201,$A169))</f>
        <v/>
      </c>
      <c r="AC169" s="19" t="str">
        <f aca="false">IF(OR($A169="",INDEX(_LEITURA!$Q$2:$Q$21,19)=0),"",SUMIFS(DECKS!$D$2:$D$1201,DECKS!$A$2:$A$1201,INDEX(_LEITURA!$P$2:$P$21,19),DECKS!$B$2:$B$1201,$A169))</f>
        <v/>
      </c>
      <c r="AD169" s="19" t="str">
        <f aca="false">IF(OR($A169="",INDEX(_LEITURA!$Q$2:$Q$21,20)=0),"",SUMIFS(DECKS!$D$2:$D$1201,DECKS!$A$2:$A$1201,INDEX(_LEITURA!$P$2:$P$21,20),DECKS!$B$2:$B$1201,$A169))</f>
        <v/>
      </c>
      <c r="AE169" s="16" t="str">
        <f aca="false">IF(N(E169)&gt;0,MAX(AE$1:AE168)+1,"")</f>
        <v/>
      </c>
      <c r="AF169" s="11" t="str">
        <f aca="false">IF(A169="","",IFERROR(LEFT(A169,FIND("-",A169)-1),A169))</f>
        <v/>
      </c>
      <c r="AG169" s="11" t="str">
        <f aca="false">IF(AF169="","",IF(ISNUMBER(--MID(AF169,1,1)),0,IF(ISNUMBER(--MID(AF169,2,1)),1,IF(ISNUMBER(--MID(AF169,3,1)),2,IF(ISNUMBER(--MID(AF169,4,1)),3,MIN(LEN(AF169),4))))))</f>
        <v/>
      </c>
      <c r="AH169" s="11" t="str">
        <f aca="false">IF(A169="","",LEFT(AF169,AG169)&amp;REPT("0",4-AG169)&amp;RIGHT("000"&amp;IFERROR(VALUE(MID(AF169,AG169+1,9)),0),3)&amp;RIGHT("0000"&amp;IFERROR(VALUE(MID(A169,FIND("-",A169)+1,9)),0),4))</f>
        <v/>
      </c>
      <c r="AI169" s="11" t="str">
        <f aca="false">IF(OR(A169="",N(E169)&lt;=0),"",IF('FALTAS GERAL'!$M$1="Código","K"&amp;AH169&amp;RIGHT("00000"&amp;ROW(),5),IF('FALTAS GERAL'!$M$1="Nome","K"&amp;UPPER(SUBSTITUTE(SUBSTITUTE(SUBSTITUTE(B169,"*",""),"?",""),"~",""))&amp;"0"&amp;AH169&amp;RIGHT("00000"&amp;ROW(),5),IF('FALTAS GERAL'!$M$1="Falta (maior primeiro)","K"&amp;RIGHT("0000"&amp;(9999-E169),4)&amp;AH169&amp;RIGHT("00000"&amp;ROW(),5),IF('FALTAS GERAL'!$M$1="Nº de decks (maior primeiro)","K"&amp;RIGHT("00"&amp;(99-N(G169)),2)&amp;AH169&amp;RIGHT("00000"&amp;ROW(),5),"K"&amp;RIGHT("00000"&amp;ROW(),5))))))</f>
        <v/>
      </c>
      <c r="AJ169" s="11" t="str">
        <f aca="false">IF(AI169="","",COUNTIFS($AI$2:$AI$801,"&lt;"&amp;AI169,$E$2:$E$801,"&gt;0")+1)</f>
        <v/>
      </c>
      <c r="AK169" s="11" t="str">
        <f aca="false">IF(OR(A169="",N(E169)&lt;=0),"",COUNTIFS($AH$2:$AH$801,"&lt;"&amp;AH169,$E$2:$E$801,"&gt;0")+COUNTIFS($AH$2:AH169,AH169,$E$2:E169,"&gt;0"))</f>
        <v/>
      </c>
    </row>
    <row r="170" customFormat="false" ht="15" hidden="false" customHeight="false" outlineLevel="0" collapsed="false">
      <c r="A170" s="11" t="str">
        <f aca="false">IF(INVENTÁRIO!A170="","",INVENTÁRIO!A170)</f>
        <v/>
      </c>
      <c r="B170" s="11" t="str">
        <f aca="false">IF(A170="","",INVENTÁRIO!B170)</f>
        <v/>
      </c>
      <c r="C170" s="16" t="str">
        <f aca="false">IF(A170="","",INVENTÁRIO!C170)</f>
        <v/>
      </c>
      <c r="D170" s="14" t="str">
        <f aca="false">IF(A170="","",MAX(K170:AD170))</f>
        <v/>
      </c>
      <c r="E170" s="14" t="str">
        <f aca="false">IF(A170="","",MAX(0,D170-C170))</f>
        <v/>
      </c>
      <c r="F170" s="16" t="str">
        <f aca="false">IF(A170="","",IF(D170=0,"Fora dos decks",IF(E170=0,"Completo","Falta")))</f>
        <v/>
      </c>
      <c r="G170" s="16" t="str">
        <f aca="false">IF(A170="","",COUNTIF(K170:AD170,"&gt;0"))</f>
        <v/>
      </c>
      <c r="H170" s="16" t="str">
        <f aca="false">IF(A170="","",IF(G170&gt;1,"Sim",""))</f>
        <v/>
      </c>
      <c r="I170" s="18" t="str">
        <f aca="false">IF(A170="","",SUMIFS(DECKS!$D$2:$D$1201,DECKS!$B$2:$B$1201,A170))</f>
        <v/>
      </c>
      <c r="J170" s="18" t="str">
        <f aca="false">IF(A170="","",MAX(0,I170-C170))</f>
        <v/>
      </c>
      <c r="K170" s="19" t="str">
        <f aca="false">IF(OR($A170="",INDEX(_LEITURA!$Q$2:$Q$21,1)=0),"",SUMIFS(DECKS!$D$2:$D$1201,DECKS!$A$2:$A$1201,INDEX(_LEITURA!$P$2:$P$21,1),DECKS!$B$2:$B$1201,$A170))</f>
        <v/>
      </c>
      <c r="L170" s="19" t="str">
        <f aca="false">IF(OR($A170="",INDEX(_LEITURA!$Q$2:$Q$21,2)=0),"",SUMIFS(DECKS!$D$2:$D$1201,DECKS!$A$2:$A$1201,INDEX(_LEITURA!$P$2:$P$21,2),DECKS!$B$2:$B$1201,$A170))</f>
        <v/>
      </c>
      <c r="M170" s="19" t="str">
        <f aca="false">IF(OR($A170="",INDEX(_LEITURA!$Q$2:$Q$21,3)=0),"",SUMIFS(DECKS!$D$2:$D$1201,DECKS!$A$2:$A$1201,INDEX(_LEITURA!$P$2:$P$21,3),DECKS!$B$2:$B$1201,$A170))</f>
        <v/>
      </c>
      <c r="N170" s="19" t="str">
        <f aca="false">IF(OR($A170="",INDEX(_LEITURA!$Q$2:$Q$21,4)=0),"",SUMIFS(DECKS!$D$2:$D$1201,DECKS!$A$2:$A$1201,INDEX(_LEITURA!$P$2:$P$21,4),DECKS!$B$2:$B$1201,$A170))</f>
        <v/>
      </c>
      <c r="O170" s="19" t="str">
        <f aca="false">IF(OR($A170="",INDEX(_LEITURA!$Q$2:$Q$21,5)=0),"",SUMIFS(DECKS!$D$2:$D$1201,DECKS!$A$2:$A$1201,INDEX(_LEITURA!$P$2:$P$21,5),DECKS!$B$2:$B$1201,$A170))</f>
        <v/>
      </c>
      <c r="P170" s="19" t="str">
        <f aca="false">IF(OR($A170="",INDEX(_LEITURA!$Q$2:$Q$21,6)=0),"",SUMIFS(DECKS!$D$2:$D$1201,DECKS!$A$2:$A$1201,INDEX(_LEITURA!$P$2:$P$21,6),DECKS!$B$2:$B$1201,$A170))</f>
        <v/>
      </c>
      <c r="Q170" s="19" t="str">
        <f aca="false">IF(OR($A170="",INDEX(_LEITURA!$Q$2:$Q$21,7)=0),"",SUMIFS(DECKS!$D$2:$D$1201,DECKS!$A$2:$A$1201,INDEX(_LEITURA!$P$2:$P$21,7),DECKS!$B$2:$B$1201,$A170))</f>
        <v/>
      </c>
      <c r="R170" s="19" t="str">
        <f aca="false">IF(OR($A170="",INDEX(_LEITURA!$Q$2:$Q$21,8)=0),"",SUMIFS(DECKS!$D$2:$D$1201,DECKS!$A$2:$A$1201,INDEX(_LEITURA!$P$2:$P$21,8),DECKS!$B$2:$B$1201,$A170))</f>
        <v/>
      </c>
      <c r="S170" s="19" t="str">
        <f aca="false">IF(OR($A170="",INDEX(_LEITURA!$Q$2:$Q$21,9)=0),"",SUMIFS(DECKS!$D$2:$D$1201,DECKS!$A$2:$A$1201,INDEX(_LEITURA!$P$2:$P$21,9),DECKS!$B$2:$B$1201,$A170))</f>
        <v/>
      </c>
      <c r="T170" s="19" t="str">
        <f aca="false">IF(OR($A170="",INDEX(_LEITURA!$Q$2:$Q$21,10)=0),"",SUMIFS(DECKS!$D$2:$D$1201,DECKS!$A$2:$A$1201,INDEX(_LEITURA!$P$2:$P$21,10),DECKS!$B$2:$B$1201,$A170))</f>
        <v/>
      </c>
      <c r="U170" s="19" t="str">
        <f aca="false">IF(OR($A170="",INDEX(_LEITURA!$Q$2:$Q$21,11)=0),"",SUMIFS(DECKS!$D$2:$D$1201,DECKS!$A$2:$A$1201,INDEX(_LEITURA!$P$2:$P$21,11),DECKS!$B$2:$B$1201,$A170))</f>
        <v/>
      </c>
      <c r="V170" s="19" t="str">
        <f aca="false">IF(OR($A170="",INDEX(_LEITURA!$Q$2:$Q$21,12)=0),"",SUMIFS(DECKS!$D$2:$D$1201,DECKS!$A$2:$A$1201,INDEX(_LEITURA!$P$2:$P$21,12),DECKS!$B$2:$B$1201,$A170))</f>
        <v/>
      </c>
      <c r="W170" s="19" t="str">
        <f aca="false">IF(OR($A170="",INDEX(_LEITURA!$Q$2:$Q$21,13)=0),"",SUMIFS(DECKS!$D$2:$D$1201,DECKS!$A$2:$A$1201,INDEX(_LEITURA!$P$2:$P$21,13),DECKS!$B$2:$B$1201,$A170))</f>
        <v/>
      </c>
      <c r="X170" s="19" t="str">
        <f aca="false">IF(OR($A170="",INDEX(_LEITURA!$Q$2:$Q$21,14)=0),"",SUMIFS(DECKS!$D$2:$D$1201,DECKS!$A$2:$A$1201,INDEX(_LEITURA!$P$2:$P$21,14),DECKS!$B$2:$B$1201,$A170))</f>
        <v/>
      </c>
      <c r="Y170" s="19" t="str">
        <f aca="false">IF(OR($A170="",INDEX(_LEITURA!$Q$2:$Q$21,15)=0),"",SUMIFS(DECKS!$D$2:$D$1201,DECKS!$A$2:$A$1201,INDEX(_LEITURA!$P$2:$P$21,15),DECKS!$B$2:$B$1201,$A170))</f>
        <v/>
      </c>
      <c r="Z170" s="19" t="str">
        <f aca="false">IF(OR($A170="",INDEX(_LEITURA!$Q$2:$Q$21,16)=0),"",SUMIFS(DECKS!$D$2:$D$1201,DECKS!$A$2:$A$1201,INDEX(_LEITURA!$P$2:$P$21,16),DECKS!$B$2:$B$1201,$A170))</f>
        <v/>
      </c>
      <c r="AA170" s="19" t="str">
        <f aca="false">IF(OR($A170="",INDEX(_LEITURA!$Q$2:$Q$21,17)=0),"",SUMIFS(DECKS!$D$2:$D$1201,DECKS!$A$2:$A$1201,INDEX(_LEITURA!$P$2:$P$21,17),DECKS!$B$2:$B$1201,$A170))</f>
        <v/>
      </c>
      <c r="AB170" s="19" t="str">
        <f aca="false">IF(OR($A170="",INDEX(_LEITURA!$Q$2:$Q$21,18)=0),"",SUMIFS(DECKS!$D$2:$D$1201,DECKS!$A$2:$A$1201,INDEX(_LEITURA!$P$2:$P$21,18),DECKS!$B$2:$B$1201,$A170))</f>
        <v/>
      </c>
      <c r="AC170" s="19" t="str">
        <f aca="false">IF(OR($A170="",INDEX(_LEITURA!$Q$2:$Q$21,19)=0),"",SUMIFS(DECKS!$D$2:$D$1201,DECKS!$A$2:$A$1201,INDEX(_LEITURA!$P$2:$P$21,19),DECKS!$B$2:$B$1201,$A170))</f>
        <v/>
      </c>
      <c r="AD170" s="19" t="str">
        <f aca="false">IF(OR($A170="",INDEX(_LEITURA!$Q$2:$Q$21,20)=0),"",SUMIFS(DECKS!$D$2:$D$1201,DECKS!$A$2:$A$1201,INDEX(_LEITURA!$P$2:$P$21,20),DECKS!$B$2:$B$1201,$A170))</f>
        <v/>
      </c>
      <c r="AE170" s="16" t="str">
        <f aca="false">IF(N(E170)&gt;0,MAX(AE$1:AE169)+1,"")</f>
        <v/>
      </c>
      <c r="AF170" s="11" t="str">
        <f aca="false">IF(A170="","",IFERROR(LEFT(A170,FIND("-",A170)-1),A170))</f>
        <v/>
      </c>
      <c r="AG170" s="11" t="str">
        <f aca="false">IF(AF170="","",IF(ISNUMBER(--MID(AF170,1,1)),0,IF(ISNUMBER(--MID(AF170,2,1)),1,IF(ISNUMBER(--MID(AF170,3,1)),2,IF(ISNUMBER(--MID(AF170,4,1)),3,MIN(LEN(AF170),4))))))</f>
        <v/>
      </c>
      <c r="AH170" s="11" t="str">
        <f aca="false">IF(A170="","",LEFT(AF170,AG170)&amp;REPT("0",4-AG170)&amp;RIGHT("000"&amp;IFERROR(VALUE(MID(AF170,AG170+1,9)),0),3)&amp;RIGHT("0000"&amp;IFERROR(VALUE(MID(A170,FIND("-",A170)+1,9)),0),4))</f>
        <v/>
      </c>
      <c r="AI170" s="11" t="str">
        <f aca="false">IF(OR(A170="",N(E170)&lt;=0),"",IF('FALTAS GERAL'!$M$1="Código","K"&amp;AH170&amp;RIGHT("00000"&amp;ROW(),5),IF('FALTAS GERAL'!$M$1="Nome","K"&amp;UPPER(SUBSTITUTE(SUBSTITUTE(SUBSTITUTE(B170,"*",""),"?",""),"~",""))&amp;"0"&amp;AH170&amp;RIGHT("00000"&amp;ROW(),5),IF('FALTAS GERAL'!$M$1="Falta (maior primeiro)","K"&amp;RIGHT("0000"&amp;(9999-E170),4)&amp;AH170&amp;RIGHT("00000"&amp;ROW(),5),IF('FALTAS GERAL'!$M$1="Nº de decks (maior primeiro)","K"&amp;RIGHT("00"&amp;(99-N(G170)),2)&amp;AH170&amp;RIGHT("00000"&amp;ROW(),5),"K"&amp;RIGHT("00000"&amp;ROW(),5))))))</f>
        <v/>
      </c>
      <c r="AJ170" s="11" t="str">
        <f aca="false">IF(AI170="","",COUNTIFS($AI$2:$AI$801,"&lt;"&amp;AI170,$E$2:$E$801,"&gt;0")+1)</f>
        <v/>
      </c>
      <c r="AK170" s="11" t="str">
        <f aca="false">IF(OR(A170="",N(E170)&lt;=0),"",COUNTIFS($AH$2:$AH$801,"&lt;"&amp;AH170,$E$2:$E$801,"&gt;0")+COUNTIFS($AH$2:AH170,AH170,$E$2:E170,"&gt;0"))</f>
        <v/>
      </c>
    </row>
    <row r="171" customFormat="false" ht="15" hidden="false" customHeight="false" outlineLevel="0" collapsed="false">
      <c r="A171" s="11" t="str">
        <f aca="false">IF(INVENTÁRIO!A171="","",INVENTÁRIO!A171)</f>
        <v/>
      </c>
      <c r="B171" s="11" t="str">
        <f aca="false">IF(A171="","",INVENTÁRIO!B171)</f>
        <v/>
      </c>
      <c r="C171" s="16" t="str">
        <f aca="false">IF(A171="","",INVENTÁRIO!C171)</f>
        <v/>
      </c>
      <c r="D171" s="14" t="str">
        <f aca="false">IF(A171="","",MAX(K171:AD171))</f>
        <v/>
      </c>
      <c r="E171" s="14" t="str">
        <f aca="false">IF(A171="","",MAX(0,D171-C171))</f>
        <v/>
      </c>
      <c r="F171" s="16" t="str">
        <f aca="false">IF(A171="","",IF(D171=0,"Fora dos decks",IF(E171=0,"Completo","Falta")))</f>
        <v/>
      </c>
      <c r="G171" s="16" t="str">
        <f aca="false">IF(A171="","",COUNTIF(K171:AD171,"&gt;0"))</f>
        <v/>
      </c>
      <c r="H171" s="16" t="str">
        <f aca="false">IF(A171="","",IF(G171&gt;1,"Sim",""))</f>
        <v/>
      </c>
      <c r="I171" s="18" t="str">
        <f aca="false">IF(A171="","",SUMIFS(DECKS!$D$2:$D$1201,DECKS!$B$2:$B$1201,A171))</f>
        <v/>
      </c>
      <c r="J171" s="18" t="str">
        <f aca="false">IF(A171="","",MAX(0,I171-C171))</f>
        <v/>
      </c>
      <c r="K171" s="19" t="str">
        <f aca="false">IF(OR($A171="",INDEX(_LEITURA!$Q$2:$Q$21,1)=0),"",SUMIFS(DECKS!$D$2:$D$1201,DECKS!$A$2:$A$1201,INDEX(_LEITURA!$P$2:$P$21,1),DECKS!$B$2:$B$1201,$A171))</f>
        <v/>
      </c>
      <c r="L171" s="19" t="str">
        <f aca="false">IF(OR($A171="",INDEX(_LEITURA!$Q$2:$Q$21,2)=0),"",SUMIFS(DECKS!$D$2:$D$1201,DECKS!$A$2:$A$1201,INDEX(_LEITURA!$P$2:$P$21,2),DECKS!$B$2:$B$1201,$A171))</f>
        <v/>
      </c>
      <c r="M171" s="19" t="str">
        <f aca="false">IF(OR($A171="",INDEX(_LEITURA!$Q$2:$Q$21,3)=0),"",SUMIFS(DECKS!$D$2:$D$1201,DECKS!$A$2:$A$1201,INDEX(_LEITURA!$P$2:$P$21,3),DECKS!$B$2:$B$1201,$A171))</f>
        <v/>
      </c>
      <c r="N171" s="19" t="str">
        <f aca="false">IF(OR($A171="",INDEX(_LEITURA!$Q$2:$Q$21,4)=0),"",SUMIFS(DECKS!$D$2:$D$1201,DECKS!$A$2:$A$1201,INDEX(_LEITURA!$P$2:$P$21,4),DECKS!$B$2:$B$1201,$A171))</f>
        <v/>
      </c>
      <c r="O171" s="19" t="str">
        <f aca="false">IF(OR($A171="",INDEX(_LEITURA!$Q$2:$Q$21,5)=0),"",SUMIFS(DECKS!$D$2:$D$1201,DECKS!$A$2:$A$1201,INDEX(_LEITURA!$P$2:$P$21,5),DECKS!$B$2:$B$1201,$A171))</f>
        <v/>
      </c>
      <c r="P171" s="19" t="str">
        <f aca="false">IF(OR($A171="",INDEX(_LEITURA!$Q$2:$Q$21,6)=0),"",SUMIFS(DECKS!$D$2:$D$1201,DECKS!$A$2:$A$1201,INDEX(_LEITURA!$P$2:$P$21,6),DECKS!$B$2:$B$1201,$A171))</f>
        <v/>
      </c>
      <c r="Q171" s="19" t="str">
        <f aca="false">IF(OR($A171="",INDEX(_LEITURA!$Q$2:$Q$21,7)=0),"",SUMIFS(DECKS!$D$2:$D$1201,DECKS!$A$2:$A$1201,INDEX(_LEITURA!$P$2:$P$21,7),DECKS!$B$2:$B$1201,$A171))</f>
        <v/>
      </c>
      <c r="R171" s="19" t="str">
        <f aca="false">IF(OR($A171="",INDEX(_LEITURA!$Q$2:$Q$21,8)=0),"",SUMIFS(DECKS!$D$2:$D$1201,DECKS!$A$2:$A$1201,INDEX(_LEITURA!$P$2:$P$21,8),DECKS!$B$2:$B$1201,$A171))</f>
        <v/>
      </c>
      <c r="S171" s="19" t="str">
        <f aca="false">IF(OR($A171="",INDEX(_LEITURA!$Q$2:$Q$21,9)=0),"",SUMIFS(DECKS!$D$2:$D$1201,DECKS!$A$2:$A$1201,INDEX(_LEITURA!$P$2:$P$21,9),DECKS!$B$2:$B$1201,$A171))</f>
        <v/>
      </c>
      <c r="T171" s="19" t="str">
        <f aca="false">IF(OR($A171="",INDEX(_LEITURA!$Q$2:$Q$21,10)=0),"",SUMIFS(DECKS!$D$2:$D$1201,DECKS!$A$2:$A$1201,INDEX(_LEITURA!$P$2:$P$21,10),DECKS!$B$2:$B$1201,$A171))</f>
        <v/>
      </c>
      <c r="U171" s="19" t="str">
        <f aca="false">IF(OR($A171="",INDEX(_LEITURA!$Q$2:$Q$21,11)=0),"",SUMIFS(DECKS!$D$2:$D$1201,DECKS!$A$2:$A$1201,INDEX(_LEITURA!$P$2:$P$21,11),DECKS!$B$2:$B$1201,$A171))</f>
        <v/>
      </c>
      <c r="V171" s="19" t="str">
        <f aca="false">IF(OR($A171="",INDEX(_LEITURA!$Q$2:$Q$21,12)=0),"",SUMIFS(DECKS!$D$2:$D$1201,DECKS!$A$2:$A$1201,INDEX(_LEITURA!$P$2:$P$21,12),DECKS!$B$2:$B$1201,$A171))</f>
        <v/>
      </c>
      <c r="W171" s="19" t="str">
        <f aca="false">IF(OR($A171="",INDEX(_LEITURA!$Q$2:$Q$21,13)=0),"",SUMIFS(DECKS!$D$2:$D$1201,DECKS!$A$2:$A$1201,INDEX(_LEITURA!$P$2:$P$21,13),DECKS!$B$2:$B$1201,$A171))</f>
        <v/>
      </c>
      <c r="X171" s="19" t="str">
        <f aca="false">IF(OR($A171="",INDEX(_LEITURA!$Q$2:$Q$21,14)=0),"",SUMIFS(DECKS!$D$2:$D$1201,DECKS!$A$2:$A$1201,INDEX(_LEITURA!$P$2:$P$21,14),DECKS!$B$2:$B$1201,$A171))</f>
        <v/>
      </c>
      <c r="Y171" s="19" t="str">
        <f aca="false">IF(OR($A171="",INDEX(_LEITURA!$Q$2:$Q$21,15)=0),"",SUMIFS(DECKS!$D$2:$D$1201,DECKS!$A$2:$A$1201,INDEX(_LEITURA!$P$2:$P$21,15),DECKS!$B$2:$B$1201,$A171))</f>
        <v/>
      </c>
      <c r="Z171" s="19" t="str">
        <f aca="false">IF(OR($A171="",INDEX(_LEITURA!$Q$2:$Q$21,16)=0),"",SUMIFS(DECKS!$D$2:$D$1201,DECKS!$A$2:$A$1201,INDEX(_LEITURA!$P$2:$P$21,16),DECKS!$B$2:$B$1201,$A171))</f>
        <v/>
      </c>
      <c r="AA171" s="19" t="str">
        <f aca="false">IF(OR($A171="",INDEX(_LEITURA!$Q$2:$Q$21,17)=0),"",SUMIFS(DECKS!$D$2:$D$1201,DECKS!$A$2:$A$1201,INDEX(_LEITURA!$P$2:$P$21,17),DECKS!$B$2:$B$1201,$A171))</f>
        <v/>
      </c>
      <c r="AB171" s="19" t="str">
        <f aca="false">IF(OR($A171="",INDEX(_LEITURA!$Q$2:$Q$21,18)=0),"",SUMIFS(DECKS!$D$2:$D$1201,DECKS!$A$2:$A$1201,INDEX(_LEITURA!$P$2:$P$21,18),DECKS!$B$2:$B$1201,$A171))</f>
        <v/>
      </c>
      <c r="AC171" s="19" t="str">
        <f aca="false">IF(OR($A171="",INDEX(_LEITURA!$Q$2:$Q$21,19)=0),"",SUMIFS(DECKS!$D$2:$D$1201,DECKS!$A$2:$A$1201,INDEX(_LEITURA!$P$2:$P$21,19),DECKS!$B$2:$B$1201,$A171))</f>
        <v/>
      </c>
      <c r="AD171" s="19" t="str">
        <f aca="false">IF(OR($A171="",INDEX(_LEITURA!$Q$2:$Q$21,20)=0),"",SUMIFS(DECKS!$D$2:$D$1201,DECKS!$A$2:$A$1201,INDEX(_LEITURA!$P$2:$P$21,20),DECKS!$B$2:$B$1201,$A171))</f>
        <v/>
      </c>
      <c r="AE171" s="16" t="str">
        <f aca="false">IF(N(E171)&gt;0,MAX(AE$1:AE170)+1,"")</f>
        <v/>
      </c>
      <c r="AF171" s="11" t="str">
        <f aca="false">IF(A171="","",IFERROR(LEFT(A171,FIND("-",A171)-1),A171))</f>
        <v/>
      </c>
      <c r="AG171" s="11" t="str">
        <f aca="false">IF(AF171="","",IF(ISNUMBER(--MID(AF171,1,1)),0,IF(ISNUMBER(--MID(AF171,2,1)),1,IF(ISNUMBER(--MID(AF171,3,1)),2,IF(ISNUMBER(--MID(AF171,4,1)),3,MIN(LEN(AF171),4))))))</f>
        <v/>
      </c>
      <c r="AH171" s="11" t="str">
        <f aca="false">IF(A171="","",LEFT(AF171,AG171)&amp;REPT("0",4-AG171)&amp;RIGHT("000"&amp;IFERROR(VALUE(MID(AF171,AG171+1,9)),0),3)&amp;RIGHT("0000"&amp;IFERROR(VALUE(MID(A171,FIND("-",A171)+1,9)),0),4))</f>
        <v/>
      </c>
      <c r="AI171" s="11" t="str">
        <f aca="false">IF(OR(A171="",N(E171)&lt;=0),"",IF('FALTAS GERAL'!$M$1="Código","K"&amp;AH171&amp;RIGHT("00000"&amp;ROW(),5),IF('FALTAS GERAL'!$M$1="Nome","K"&amp;UPPER(SUBSTITUTE(SUBSTITUTE(SUBSTITUTE(B171,"*",""),"?",""),"~",""))&amp;"0"&amp;AH171&amp;RIGHT("00000"&amp;ROW(),5),IF('FALTAS GERAL'!$M$1="Falta (maior primeiro)","K"&amp;RIGHT("0000"&amp;(9999-E171),4)&amp;AH171&amp;RIGHT("00000"&amp;ROW(),5),IF('FALTAS GERAL'!$M$1="Nº de decks (maior primeiro)","K"&amp;RIGHT("00"&amp;(99-N(G171)),2)&amp;AH171&amp;RIGHT("00000"&amp;ROW(),5),"K"&amp;RIGHT("00000"&amp;ROW(),5))))))</f>
        <v/>
      </c>
      <c r="AJ171" s="11" t="str">
        <f aca="false">IF(AI171="","",COUNTIFS($AI$2:$AI$801,"&lt;"&amp;AI171,$E$2:$E$801,"&gt;0")+1)</f>
        <v/>
      </c>
      <c r="AK171" s="11" t="str">
        <f aca="false">IF(OR(A171="",N(E171)&lt;=0),"",COUNTIFS($AH$2:$AH$801,"&lt;"&amp;AH171,$E$2:$E$801,"&gt;0")+COUNTIFS($AH$2:AH171,AH171,$E$2:E171,"&gt;0"))</f>
        <v/>
      </c>
    </row>
    <row r="172" customFormat="false" ht="15" hidden="false" customHeight="false" outlineLevel="0" collapsed="false">
      <c r="A172" s="11" t="str">
        <f aca="false">IF(INVENTÁRIO!A172="","",INVENTÁRIO!A172)</f>
        <v/>
      </c>
      <c r="B172" s="11" t="str">
        <f aca="false">IF(A172="","",INVENTÁRIO!B172)</f>
        <v/>
      </c>
      <c r="C172" s="16" t="str">
        <f aca="false">IF(A172="","",INVENTÁRIO!C172)</f>
        <v/>
      </c>
      <c r="D172" s="14" t="str">
        <f aca="false">IF(A172="","",MAX(K172:AD172))</f>
        <v/>
      </c>
      <c r="E172" s="14" t="str">
        <f aca="false">IF(A172="","",MAX(0,D172-C172))</f>
        <v/>
      </c>
      <c r="F172" s="16" t="str">
        <f aca="false">IF(A172="","",IF(D172=0,"Fora dos decks",IF(E172=0,"Completo","Falta")))</f>
        <v/>
      </c>
      <c r="G172" s="16" t="str">
        <f aca="false">IF(A172="","",COUNTIF(K172:AD172,"&gt;0"))</f>
        <v/>
      </c>
      <c r="H172" s="16" t="str">
        <f aca="false">IF(A172="","",IF(G172&gt;1,"Sim",""))</f>
        <v/>
      </c>
      <c r="I172" s="18" t="str">
        <f aca="false">IF(A172="","",SUMIFS(DECKS!$D$2:$D$1201,DECKS!$B$2:$B$1201,A172))</f>
        <v/>
      </c>
      <c r="J172" s="18" t="str">
        <f aca="false">IF(A172="","",MAX(0,I172-C172))</f>
        <v/>
      </c>
      <c r="K172" s="19" t="str">
        <f aca="false">IF(OR($A172="",INDEX(_LEITURA!$Q$2:$Q$21,1)=0),"",SUMIFS(DECKS!$D$2:$D$1201,DECKS!$A$2:$A$1201,INDEX(_LEITURA!$P$2:$P$21,1),DECKS!$B$2:$B$1201,$A172))</f>
        <v/>
      </c>
      <c r="L172" s="19" t="str">
        <f aca="false">IF(OR($A172="",INDEX(_LEITURA!$Q$2:$Q$21,2)=0),"",SUMIFS(DECKS!$D$2:$D$1201,DECKS!$A$2:$A$1201,INDEX(_LEITURA!$P$2:$P$21,2),DECKS!$B$2:$B$1201,$A172))</f>
        <v/>
      </c>
      <c r="M172" s="19" t="str">
        <f aca="false">IF(OR($A172="",INDEX(_LEITURA!$Q$2:$Q$21,3)=0),"",SUMIFS(DECKS!$D$2:$D$1201,DECKS!$A$2:$A$1201,INDEX(_LEITURA!$P$2:$P$21,3),DECKS!$B$2:$B$1201,$A172))</f>
        <v/>
      </c>
      <c r="N172" s="19" t="str">
        <f aca="false">IF(OR($A172="",INDEX(_LEITURA!$Q$2:$Q$21,4)=0),"",SUMIFS(DECKS!$D$2:$D$1201,DECKS!$A$2:$A$1201,INDEX(_LEITURA!$P$2:$P$21,4),DECKS!$B$2:$B$1201,$A172))</f>
        <v/>
      </c>
      <c r="O172" s="19" t="str">
        <f aca="false">IF(OR($A172="",INDEX(_LEITURA!$Q$2:$Q$21,5)=0),"",SUMIFS(DECKS!$D$2:$D$1201,DECKS!$A$2:$A$1201,INDEX(_LEITURA!$P$2:$P$21,5),DECKS!$B$2:$B$1201,$A172))</f>
        <v/>
      </c>
      <c r="P172" s="19" t="str">
        <f aca="false">IF(OR($A172="",INDEX(_LEITURA!$Q$2:$Q$21,6)=0),"",SUMIFS(DECKS!$D$2:$D$1201,DECKS!$A$2:$A$1201,INDEX(_LEITURA!$P$2:$P$21,6),DECKS!$B$2:$B$1201,$A172))</f>
        <v/>
      </c>
      <c r="Q172" s="19" t="str">
        <f aca="false">IF(OR($A172="",INDEX(_LEITURA!$Q$2:$Q$21,7)=0),"",SUMIFS(DECKS!$D$2:$D$1201,DECKS!$A$2:$A$1201,INDEX(_LEITURA!$P$2:$P$21,7),DECKS!$B$2:$B$1201,$A172))</f>
        <v/>
      </c>
      <c r="R172" s="19" t="str">
        <f aca="false">IF(OR($A172="",INDEX(_LEITURA!$Q$2:$Q$21,8)=0),"",SUMIFS(DECKS!$D$2:$D$1201,DECKS!$A$2:$A$1201,INDEX(_LEITURA!$P$2:$P$21,8),DECKS!$B$2:$B$1201,$A172))</f>
        <v/>
      </c>
      <c r="S172" s="19" t="str">
        <f aca="false">IF(OR($A172="",INDEX(_LEITURA!$Q$2:$Q$21,9)=0),"",SUMIFS(DECKS!$D$2:$D$1201,DECKS!$A$2:$A$1201,INDEX(_LEITURA!$P$2:$P$21,9),DECKS!$B$2:$B$1201,$A172))</f>
        <v/>
      </c>
      <c r="T172" s="19" t="str">
        <f aca="false">IF(OR($A172="",INDEX(_LEITURA!$Q$2:$Q$21,10)=0),"",SUMIFS(DECKS!$D$2:$D$1201,DECKS!$A$2:$A$1201,INDEX(_LEITURA!$P$2:$P$21,10),DECKS!$B$2:$B$1201,$A172))</f>
        <v/>
      </c>
      <c r="U172" s="19" t="str">
        <f aca="false">IF(OR($A172="",INDEX(_LEITURA!$Q$2:$Q$21,11)=0),"",SUMIFS(DECKS!$D$2:$D$1201,DECKS!$A$2:$A$1201,INDEX(_LEITURA!$P$2:$P$21,11),DECKS!$B$2:$B$1201,$A172))</f>
        <v/>
      </c>
      <c r="V172" s="19" t="str">
        <f aca="false">IF(OR($A172="",INDEX(_LEITURA!$Q$2:$Q$21,12)=0),"",SUMIFS(DECKS!$D$2:$D$1201,DECKS!$A$2:$A$1201,INDEX(_LEITURA!$P$2:$P$21,12),DECKS!$B$2:$B$1201,$A172))</f>
        <v/>
      </c>
      <c r="W172" s="19" t="str">
        <f aca="false">IF(OR($A172="",INDEX(_LEITURA!$Q$2:$Q$21,13)=0),"",SUMIFS(DECKS!$D$2:$D$1201,DECKS!$A$2:$A$1201,INDEX(_LEITURA!$P$2:$P$21,13),DECKS!$B$2:$B$1201,$A172))</f>
        <v/>
      </c>
      <c r="X172" s="19" t="str">
        <f aca="false">IF(OR($A172="",INDEX(_LEITURA!$Q$2:$Q$21,14)=0),"",SUMIFS(DECKS!$D$2:$D$1201,DECKS!$A$2:$A$1201,INDEX(_LEITURA!$P$2:$P$21,14),DECKS!$B$2:$B$1201,$A172))</f>
        <v/>
      </c>
      <c r="Y172" s="19" t="str">
        <f aca="false">IF(OR($A172="",INDEX(_LEITURA!$Q$2:$Q$21,15)=0),"",SUMIFS(DECKS!$D$2:$D$1201,DECKS!$A$2:$A$1201,INDEX(_LEITURA!$P$2:$P$21,15),DECKS!$B$2:$B$1201,$A172))</f>
        <v/>
      </c>
      <c r="Z172" s="19" t="str">
        <f aca="false">IF(OR($A172="",INDEX(_LEITURA!$Q$2:$Q$21,16)=0),"",SUMIFS(DECKS!$D$2:$D$1201,DECKS!$A$2:$A$1201,INDEX(_LEITURA!$P$2:$P$21,16),DECKS!$B$2:$B$1201,$A172))</f>
        <v/>
      </c>
      <c r="AA172" s="19" t="str">
        <f aca="false">IF(OR($A172="",INDEX(_LEITURA!$Q$2:$Q$21,17)=0),"",SUMIFS(DECKS!$D$2:$D$1201,DECKS!$A$2:$A$1201,INDEX(_LEITURA!$P$2:$P$21,17),DECKS!$B$2:$B$1201,$A172))</f>
        <v/>
      </c>
      <c r="AB172" s="19" t="str">
        <f aca="false">IF(OR($A172="",INDEX(_LEITURA!$Q$2:$Q$21,18)=0),"",SUMIFS(DECKS!$D$2:$D$1201,DECKS!$A$2:$A$1201,INDEX(_LEITURA!$P$2:$P$21,18),DECKS!$B$2:$B$1201,$A172))</f>
        <v/>
      </c>
      <c r="AC172" s="19" t="str">
        <f aca="false">IF(OR($A172="",INDEX(_LEITURA!$Q$2:$Q$21,19)=0),"",SUMIFS(DECKS!$D$2:$D$1201,DECKS!$A$2:$A$1201,INDEX(_LEITURA!$P$2:$P$21,19),DECKS!$B$2:$B$1201,$A172))</f>
        <v/>
      </c>
      <c r="AD172" s="19" t="str">
        <f aca="false">IF(OR($A172="",INDEX(_LEITURA!$Q$2:$Q$21,20)=0),"",SUMIFS(DECKS!$D$2:$D$1201,DECKS!$A$2:$A$1201,INDEX(_LEITURA!$P$2:$P$21,20),DECKS!$B$2:$B$1201,$A172))</f>
        <v/>
      </c>
      <c r="AE172" s="16" t="str">
        <f aca="false">IF(N(E172)&gt;0,MAX(AE$1:AE171)+1,"")</f>
        <v/>
      </c>
      <c r="AF172" s="11" t="str">
        <f aca="false">IF(A172="","",IFERROR(LEFT(A172,FIND("-",A172)-1),A172))</f>
        <v/>
      </c>
      <c r="AG172" s="11" t="str">
        <f aca="false">IF(AF172="","",IF(ISNUMBER(--MID(AF172,1,1)),0,IF(ISNUMBER(--MID(AF172,2,1)),1,IF(ISNUMBER(--MID(AF172,3,1)),2,IF(ISNUMBER(--MID(AF172,4,1)),3,MIN(LEN(AF172),4))))))</f>
        <v/>
      </c>
      <c r="AH172" s="11" t="str">
        <f aca="false">IF(A172="","",LEFT(AF172,AG172)&amp;REPT("0",4-AG172)&amp;RIGHT("000"&amp;IFERROR(VALUE(MID(AF172,AG172+1,9)),0),3)&amp;RIGHT("0000"&amp;IFERROR(VALUE(MID(A172,FIND("-",A172)+1,9)),0),4))</f>
        <v/>
      </c>
      <c r="AI172" s="11" t="str">
        <f aca="false">IF(OR(A172="",N(E172)&lt;=0),"",IF('FALTAS GERAL'!$M$1="Código","K"&amp;AH172&amp;RIGHT("00000"&amp;ROW(),5),IF('FALTAS GERAL'!$M$1="Nome","K"&amp;UPPER(SUBSTITUTE(SUBSTITUTE(SUBSTITUTE(B172,"*",""),"?",""),"~",""))&amp;"0"&amp;AH172&amp;RIGHT("00000"&amp;ROW(),5),IF('FALTAS GERAL'!$M$1="Falta (maior primeiro)","K"&amp;RIGHT("0000"&amp;(9999-E172),4)&amp;AH172&amp;RIGHT("00000"&amp;ROW(),5),IF('FALTAS GERAL'!$M$1="Nº de decks (maior primeiro)","K"&amp;RIGHT("00"&amp;(99-N(G172)),2)&amp;AH172&amp;RIGHT("00000"&amp;ROW(),5),"K"&amp;RIGHT("00000"&amp;ROW(),5))))))</f>
        <v/>
      </c>
      <c r="AJ172" s="11" t="str">
        <f aca="false">IF(AI172="","",COUNTIFS($AI$2:$AI$801,"&lt;"&amp;AI172,$E$2:$E$801,"&gt;0")+1)</f>
        <v/>
      </c>
      <c r="AK172" s="11" t="str">
        <f aca="false">IF(OR(A172="",N(E172)&lt;=0),"",COUNTIFS($AH$2:$AH$801,"&lt;"&amp;AH172,$E$2:$E$801,"&gt;0")+COUNTIFS($AH$2:AH172,AH172,$E$2:E172,"&gt;0"))</f>
        <v/>
      </c>
    </row>
    <row r="173" customFormat="false" ht="15" hidden="false" customHeight="false" outlineLevel="0" collapsed="false">
      <c r="A173" s="11" t="str">
        <f aca="false">IF(INVENTÁRIO!A173="","",INVENTÁRIO!A173)</f>
        <v/>
      </c>
      <c r="B173" s="11" t="str">
        <f aca="false">IF(A173="","",INVENTÁRIO!B173)</f>
        <v/>
      </c>
      <c r="C173" s="16" t="str">
        <f aca="false">IF(A173="","",INVENTÁRIO!C173)</f>
        <v/>
      </c>
      <c r="D173" s="14" t="str">
        <f aca="false">IF(A173="","",MAX(K173:AD173))</f>
        <v/>
      </c>
      <c r="E173" s="14" t="str">
        <f aca="false">IF(A173="","",MAX(0,D173-C173))</f>
        <v/>
      </c>
      <c r="F173" s="16" t="str">
        <f aca="false">IF(A173="","",IF(D173=0,"Fora dos decks",IF(E173=0,"Completo","Falta")))</f>
        <v/>
      </c>
      <c r="G173" s="16" t="str">
        <f aca="false">IF(A173="","",COUNTIF(K173:AD173,"&gt;0"))</f>
        <v/>
      </c>
      <c r="H173" s="16" t="str">
        <f aca="false">IF(A173="","",IF(G173&gt;1,"Sim",""))</f>
        <v/>
      </c>
      <c r="I173" s="18" t="str">
        <f aca="false">IF(A173="","",SUMIFS(DECKS!$D$2:$D$1201,DECKS!$B$2:$B$1201,A173))</f>
        <v/>
      </c>
      <c r="J173" s="18" t="str">
        <f aca="false">IF(A173="","",MAX(0,I173-C173))</f>
        <v/>
      </c>
      <c r="K173" s="19" t="str">
        <f aca="false">IF(OR($A173="",INDEX(_LEITURA!$Q$2:$Q$21,1)=0),"",SUMIFS(DECKS!$D$2:$D$1201,DECKS!$A$2:$A$1201,INDEX(_LEITURA!$P$2:$P$21,1),DECKS!$B$2:$B$1201,$A173))</f>
        <v/>
      </c>
      <c r="L173" s="19" t="str">
        <f aca="false">IF(OR($A173="",INDEX(_LEITURA!$Q$2:$Q$21,2)=0),"",SUMIFS(DECKS!$D$2:$D$1201,DECKS!$A$2:$A$1201,INDEX(_LEITURA!$P$2:$P$21,2),DECKS!$B$2:$B$1201,$A173))</f>
        <v/>
      </c>
      <c r="M173" s="19" t="str">
        <f aca="false">IF(OR($A173="",INDEX(_LEITURA!$Q$2:$Q$21,3)=0),"",SUMIFS(DECKS!$D$2:$D$1201,DECKS!$A$2:$A$1201,INDEX(_LEITURA!$P$2:$P$21,3),DECKS!$B$2:$B$1201,$A173))</f>
        <v/>
      </c>
      <c r="N173" s="19" t="str">
        <f aca="false">IF(OR($A173="",INDEX(_LEITURA!$Q$2:$Q$21,4)=0),"",SUMIFS(DECKS!$D$2:$D$1201,DECKS!$A$2:$A$1201,INDEX(_LEITURA!$P$2:$P$21,4),DECKS!$B$2:$B$1201,$A173))</f>
        <v/>
      </c>
      <c r="O173" s="19" t="str">
        <f aca="false">IF(OR($A173="",INDEX(_LEITURA!$Q$2:$Q$21,5)=0),"",SUMIFS(DECKS!$D$2:$D$1201,DECKS!$A$2:$A$1201,INDEX(_LEITURA!$P$2:$P$21,5),DECKS!$B$2:$B$1201,$A173))</f>
        <v/>
      </c>
      <c r="P173" s="19" t="str">
        <f aca="false">IF(OR($A173="",INDEX(_LEITURA!$Q$2:$Q$21,6)=0),"",SUMIFS(DECKS!$D$2:$D$1201,DECKS!$A$2:$A$1201,INDEX(_LEITURA!$P$2:$P$21,6),DECKS!$B$2:$B$1201,$A173))</f>
        <v/>
      </c>
      <c r="Q173" s="19" t="str">
        <f aca="false">IF(OR($A173="",INDEX(_LEITURA!$Q$2:$Q$21,7)=0),"",SUMIFS(DECKS!$D$2:$D$1201,DECKS!$A$2:$A$1201,INDEX(_LEITURA!$P$2:$P$21,7),DECKS!$B$2:$B$1201,$A173))</f>
        <v/>
      </c>
      <c r="R173" s="19" t="str">
        <f aca="false">IF(OR($A173="",INDEX(_LEITURA!$Q$2:$Q$21,8)=0),"",SUMIFS(DECKS!$D$2:$D$1201,DECKS!$A$2:$A$1201,INDEX(_LEITURA!$P$2:$P$21,8),DECKS!$B$2:$B$1201,$A173))</f>
        <v/>
      </c>
      <c r="S173" s="19" t="str">
        <f aca="false">IF(OR($A173="",INDEX(_LEITURA!$Q$2:$Q$21,9)=0),"",SUMIFS(DECKS!$D$2:$D$1201,DECKS!$A$2:$A$1201,INDEX(_LEITURA!$P$2:$P$21,9),DECKS!$B$2:$B$1201,$A173))</f>
        <v/>
      </c>
      <c r="T173" s="19" t="str">
        <f aca="false">IF(OR($A173="",INDEX(_LEITURA!$Q$2:$Q$21,10)=0),"",SUMIFS(DECKS!$D$2:$D$1201,DECKS!$A$2:$A$1201,INDEX(_LEITURA!$P$2:$P$21,10),DECKS!$B$2:$B$1201,$A173))</f>
        <v/>
      </c>
      <c r="U173" s="19" t="str">
        <f aca="false">IF(OR($A173="",INDEX(_LEITURA!$Q$2:$Q$21,11)=0),"",SUMIFS(DECKS!$D$2:$D$1201,DECKS!$A$2:$A$1201,INDEX(_LEITURA!$P$2:$P$21,11),DECKS!$B$2:$B$1201,$A173))</f>
        <v/>
      </c>
      <c r="V173" s="19" t="str">
        <f aca="false">IF(OR($A173="",INDEX(_LEITURA!$Q$2:$Q$21,12)=0),"",SUMIFS(DECKS!$D$2:$D$1201,DECKS!$A$2:$A$1201,INDEX(_LEITURA!$P$2:$P$21,12),DECKS!$B$2:$B$1201,$A173))</f>
        <v/>
      </c>
      <c r="W173" s="19" t="str">
        <f aca="false">IF(OR($A173="",INDEX(_LEITURA!$Q$2:$Q$21,13)=0),"",SUMIFS(DECKS!$D$2:$D$1201,DECKS!$A$2:$A$1201,INDEX(_LEITURA!$P$2:$P$21,13),DECKS!$B$2:$B$1201,$A173))</f>
        <v/>
      </c>
      <c r="X173" s="19" t="str">
        <f aca="false">IF(OR($A173="",INDEX(_LEITURA!$Q$2:$Q$21,14)=0),"",SUMIFS(DECKS!$D$2:$D$1201,DECKS!$A$2:$A$1201,INDEX(_LEITURA!$P$2:$P$21,14),DECKS!$B$2:$B$1201,$A173))</f>
        <v/>
      </c>
      <c r="Y173" s="19" t="str">
        <f aca="false">IF(OR($A173="",INDEX(_LEITURA!$Q$2:$Q$21,15)=0),"",SUMIFS(DECKS!$D$2:$D$1201,DECKS!$A$2:$A$1201,INDEX(_LEITURA!$P$2:$P$21,15),DECKS!$B$2:$B$1201,$A173))</f>
        <v/>
      </c>
      <c r="Z173" s="19" t="str">
        <f aca="false">IF(OR($A173="",INDEX(_LEITURA!$Q$2:$Q$21,16)=0),"",SUMIFS(DECKS!$D$2:$D$1201,DECKS!$A$2:$A$1201,INDEX(_LEITURA!$P$2:$P$21,16),DECKS!$B$2:$B$1201,$A173))</f>
        <v/>
      </c>
      <c r="AA173" s="19" t="str">
        <f aca="false">IF(OR($A173="",INDEX(_LEITURA!$Q$2:$Q$21,17)=0),"",SUMIFS(DECKS!$D$2:$D$1201,DECKS!$A$2:$A$1201,INDEX(_LEITURA!$P$2:$P$21,17),DECKS!$B$2:$B$1201,$A173))</f>
        <v/>
      </c>
      <c r="AB173" s="19" t="str">
        <f aca="false">IF(OR($A173="",INDEX(_LEITURA!$Q$2:$Q$21,18)=0),"",SUMIFS(DECKS!$D$2:$D$1201,DECKS!$A$2:$A$1201,INDEX(_LEITURA!$P$2:$P$21,18),DECKS!$B$2:$B$1201,$A173))</f>
        <v/>
      </c>
      <c r="AC173" s="19" t="str">
        <f aca="false">IF(OR($A173="",INDEX(_LEITURA!$Q$2:$Q$21,19)=0),"",SUMIFS(DECKS!$D$2:$D$1201,DECKS!$A$2:$A$1201,INDEX(_LEITURA!$P$2:$P$21,19),DECKS!$B$2:$B$1201,$A173))</f>
        <v/>
      </c>
      <c r="AD173" s="19" t="str">
        <f aca="false">IF(OR($A173="",INDEX(_LEITURA!$Q$2:$Q$21,20)=0),"",SUMIFS(DECKS!$D$2:$D$1201,DECKS!$A$2:$A$1201,INDEX(_LEITURA!$P$2:$P$21,20),DECKS!$B$2:$B$1201,$A173))</f>
        <v/>
      </c>
      <c r="AE173" s="16" t="str">
        <f aca="false">IF(N(E173)&gt;0,MAX(AE$1:AE172)+1,"")</f>
        <v/>
      </c>
      <c r="AF173" s="11" t="str">
        <f aca="false">IF(A173="","",IFERROR(LEFT(A173,FIND("-",A173)-1),A173))</f>
        <v/>
      </c>
      <c r="AG173" s="11" t="str">
        <f aca="false">IF(AF173="","",IF(ISNUMBER(--MID(AF173,1,1)),0,IF(ISNUMBER(--MID(AF173,2,1)),1,IF(ISNUMBER(--MID(AF173,3,1)),2,IF(ISNUMBER(--MID(AF173,4,1)),3,MIN(LEN(AF173),4))))))</f>
        <v/>
      </c>
      <c r="AH173" s="11" t="str">
        <f aca="false">IF(A173="","",LEFT(AF173,AG173)&amp;REPT("0",4-AG173)&amp;RIGHT("000"&amp;IFERROR(VALUE(MID(AF173,AG173+1,9)),0),3)&amp;RIGHT("0000"&amp;IFERROR(VALUE(MID(A173,FIND("-",A173)+1,9)),0),4))</f>
        <v/>
      </c>
      <c r="AI173" s="11" t="str">
        <f aca="false">IF(OR(A173="",N(E173)&lt;=0),"",IF('FALTAS GERAL'!$M$1="Código","K"&amp;AH173&amp;RIGHT("00000"&amp;ROW(),5),IF('FALTAS GERAL'!$M$1="Nome","K"&amp;UPPER(SUBSTITUTE(SUBSTITUTE(SUBSTITUTE(B173,"*",""),"?",""),"~",""))&amp;"0"&amp;AH173&amp;RIGHT("00000"&amp;ROW(),5),IF('FALTAS GERAL'!$M$1="Falta (maior primeiro)","K"&amp;RIGHT("0000"&amp;(9999-E173),4)&amp;AH173&amp;RIGHT("00000"&amp;ROW(),5),IF('FALTAS GERAL'!$M$1="Nº de decks (maior primeiro)","K"&amp;RIGHT("00"&amp;(99-N(G173)),2)&amp;AH173&amp;RIGHT("00000"&amp;ROW(),5),"K"&amp;RIGHT("00000"&amp;ROW(),5))))))</f>
        <v/>
      </c>
      <c r="AJ173" s="11" t="str">
        <f aca="false">IF(AI173="","",COUNTIFS($AI$2:$AI$801,"&lt;"&amp;AI173,$E$2:$E$801,"&gt;0")+1)</f>
        <v/>
      </c>
      <c r="AK173" s="11" t="str">
        <f aca="false">IF(OR(A173="",N(E173)&lt;=0),"",COUNTIFS($AH$2:$AH$801,"&lt;"&amp;AH173,$E$2:$E$801,"&gt;0")+COUNTIFS($AH$2:AH173,AH173,$E$2:E173,"&gt;0"))</f>
        <v/>
      </c>
    </row>
    <row r="174" customFormat="false" ht="15" hidden="false" customHeight="false" outlineLevel="0" collapsed="false">
      <c r="A174" s="11" t="str">
        <f aca="false">IF(INVENTÁRIO!A174="","",INVENTÁRIO!A174)</f>
        <v/>
      </c>
      <c r="B174" s="11" t="str">
        <f aca="false">IF(A174="","",INVENTÁRIO!B174)</f>
        <v/>
      </c>
      <c r="C174" s="16" t="str">
        <f aca="false">IF(A174="","",INVENTÁRIO!C174)</f>
        <v/>
      </c>
      <c r="D174" s="14" t="str">
        <f aca="false">IF(A174="","",MAX(K174:AD174))</f>
        <v/>
      </c>
      <c r="E174" s="14" t="str">
        <f aca="false">IF(A174="","",MAX(0,D174-C174))</f>
        <v/>
      </c>
      <c r="F174" s="16" t="str">
        <f aca="false">IF(A174="","",IF(D174=0,"Fora dos decks",IF(E174=0,"Completo","Falta")))</f>
        <v/>
      </c>
      <c r="G174" s="16" t="str">
        <f aca="false">IF(A174="","",COUNTIF(K174:AD174,"&gt;0"))</f>
        <v/>
      </c>
      <c r="H174" s="16" t="str">
        <f aca="false">IF(A174="","",IF(G174&gt;1,"Sim",""))</f>
        <v/>
      </c>
      <c r="I174" s="18" t="str">
        <f aca="false">IF(A174="","",SUMIFS(DECKS!$D$2:$D$1201,DECKS!$B$2:$B$1201,A174))</f>
        <v/>
      </c>
      <c r="J174" s="18" t="str">
        <f aca="false">IF(A174="","",MAX(0,I174-C174))</f>
        <v/>
      </c>
      <c r="K174" s="19" t="str">
        <f aca="false">IF(OR($A174="",INDEX(_LEITURA!$Q$2:$Q$21,1)=0),"",SUMIFS(DECKS!$D$2:$D$1201,DECKS!$A$2:$A$1201,INDEX(_LEITURA!$P$2:$P$21,1),DECKS!$B$2:$B$1201,$A174))</f>
        <v/>
      </c>
      <c r="L174" s="19" t="str">
        <f aca="false">IF(OR($A174="",INDEX(_LEITURA!$Q$2:$Q$21,2)=0),"",SUMIFS(DECKS!$D$2:$D$1201,DECKS!$A$2:$A$1201,INDEX(_LEITURA!$P$2:$P$21,2),DECKS!$B$2:$B$1201,$A174))</f>
        <v/>
      </c>
      <c r="M174" s="19" t="str">
        <f aca="false">IF(OR($A174="",INDEX(_LEITURA!$Q$2:$Q$21,3)=0),"",SUMIFS(DECKS!$D$2:$D$1201,DECKS!$A$2:$A$1201,INDEX(_LEITURA!$P$2:$P$21,3),DECKS!$B$2:$B$1201,$A174))</f>
        <v/>
      </c>
      <c r="N174" s="19" t="str">
        <f aca="false">IF(OR($A174="",INDEX(_LEITURA!$Q$2:$Q$21,4)=0),"",SUMIFS(DECKS!$D$2:$D$1201,DECKS!$A$2:$A$1201,INDEX(_LEITURA!$P$2:$P$21,4),DECKS!$B$2:$B$1201,$A174))</f>
        <v/>
      </c>
      <c r="O174" s="19" t="str">
        <f aca="false">IF(OR($A174="",INDEX(_LEITURA!$Q$2:$Q$21,5)=0),"",SUMIFS(DECKS!$D$2:$D$1201,DECKS!$A$2:$A$1201,INDEX(_LEITURA!$P$2:$P$21,5),DECKS!$B$2:$B$1201,$A174))</f>
        <v/>
      </c>
      <c r="P174" s="19" t="str">
        <f aca="false">IF(OR($A174="",INDEX(_LEITURA!$Q$2:$Q$21,6)=0),"",SUMIFS(DECKS!$D$2:$D$1201,DECKS!$A$2:$A$1201,INDEX(_LEITURA!$P$2:$P$21,6),DECKS!$B$2:$B$1201,$A174))</f>
        <v/>
      </c>
      <c r="Q174" s="19" t="str">
        <f aca="false">IF(OR($A174="",INDEX(_LEITURA!$Q$2:$Q$21,7)=0),"",SUMIFS(DECKS!$D$2:$D$1201,DECKS!$A$2:$A$1201,INDEX(_LEITURA!$P$2:$P$21,7),DECKS!$B$2:$B$1201,$A174))</f>
        <v/>
      </c>
      <c r="R174" s="19" t="str">
        <f aca="false">IF(OR($A174="",INDEX(_LEITURA!$Q$2:$Q$21,8)=0),"",SUMIFS(DECKS!$D$2:$D$1201,DECKS!$A$2:$A$1201,INDEX(_LEITURA!$P$2:$P$21,8),DECKS!$B$2:$B$1201,$A174))</f>
        <v/>
      </c>
      <c r="S174" s="19" t="str">
        <f aca="false">IF(OR($A174="",INDEX(_LEITURA!$Q$2:$Q$21,9)=0),"",SUMIFS(DECKS!$D$2:$D$1201,DECKS!$A$2:$A$1201,INDEX(_LEITURA!$P$2:$P$21,9),DECKS!$B$2:$B$1201,$A174))</f>
        <v/>
      </c>
      <c r="T174" s="19" t="str">
        <f aca="false">IF(OR($A174="",INDEX(_LEITURA!$Q$2:$Q$21,10)=0),"",SUMIFS(DECKS!$D$2:$D$1201,DECKS!$A$2:$A$1201,INDEX(_LEITURA!$P$2:$P$21,10),DECKS!$B$2:$B$1201,$A174))</f>
        <v/>
      </c>
      <c r="U174" s="19" t="str">
        <f aca="false">IF(OR($A174="",INDEX(_LEITURA!$Q$2:$Q$21,11)=0),"",SUMIFS(DECKS!$D$2:$D$1201,DECKS!$A$2:$A$1201,INDEX(_LEITURA!$P$2:$P$21,11),DECKS!$B$2:$B$1201,$A174))</f>
        <v/>
      </c>
      <c r="V174" s="19" t="str">
        <f aca="false">IF(OR($A174="",INDEX(_LEITURA!$Q$2:$Q$21,12)=0),"",SUMIFS(DECKS!$D$2:$D$1201,DECKS!$A$2:$A$1201,INDEX(_LEITURA!$P$2:$P$21,12),DECKS!$B$2:$B$1201,$A174))</f>
        <v/>
      </c>
      <c r="W174" s="19" t="str">
        <f aca="false">IF(OR($A174="",INDEX(_LEITURA!$Q$2:$Q$21,13)=0),"",SUMIFS(DECKS!$D$2:$D$1201,DECKS!$A$2:$A$1201,INDEX(_LEITURA!$P$2:$P$21,13),DECKS!$B$2:$B$1201,$A174))</f>
        <v/>
      </c>
      <c r="X174" s="19" t="str">
        <f aca="false">IF(OR($A174="",INDEX(_LEITURA!$Q$2:$Q$21,14)=0),"",SUMIFS(DECKS!$D$2:$D$1201,DECKS!$A$2:$A$1201,INDEX(_LEITURA!$P$2:$P$21,14),DECKS!$B$2:$B$1201,$A174))</f>
        <v/>
      </c>
      <c r="Y174" s="19" t="str">
        <f aca="false">IF(OR($A174="",INDEX(_LEITURA!$Q$2:$Q$21,15)=0),"",SUMIFS(DECKS!$D$2:$D$1201,DECKS!$A$2:$A$1201,INDEX(_LEITURA!$P$2:$P$21,15),DECKS!$B$2:$B$1201,$A174))</f>
        <v/>
      </c>
      <c r="Z174" s="19" t="str">
        <f aca="false">IF(OR($A174="",INDEX(_LEITURA!$Q$2:$Q$21,16)=0),"",SUMIFS(DECKS!$D$2:$D$1201,DECKS!$A$2:$A$1201,INDEX(_LEITURA!$P$2:$P$21,16),DECKS!$B$2:$B$1201,$A174))</f>
        <v/>
      </c>
      <c r="AA174" s="19" t="str">
        <f aca="false">IF(OR($A174="",INDEX(_LEITURA!$Q$2:$Q$21,17)=0),"",SUMIFS(DECKS!$D$2:$D$1201,DECKS!$A$2:$A$1201,INDEX(_LEITURA!$P$2:$P$21,17),DECKS!$B$2:$B$1201,$A174))</f>
        <v/>
      </c>
      <c r="AB174" s="19" t="str">
        <f aca="false">IF(OR($A174="",INDEX(_LEITURA!$Q$2:$Q$21,18)=0),"",SUMIFS(DECKS!$D$2:$D$1201,DECKS!$A$2:$A$1201,INDEX(_LEITURA!$P$2:$P$21,18),DECKS!$B$2:$B$1201,$A174))</f>
        <v/>
      </c>
      <c r="AC174" s="19" t="str">
        <f aca="false">IF(OR($A174="",INDEX(_LEITURA!$Q$2:$Q$21,19)=0),"",SUMIFS(DECKS!$D$2:$D$1201,DECKS!$A$2:$A$1201,INDEX(_LEITURA!$P$2:$P$21,19),DECKS!$B$2:$B$1201,$A174))</f>
        <v/>
      </c>
      <c r="AD174" s="19" t="str">
        <f aca="false">IF(OR($A174="",INDEX(_LEITURA!$Q$2:$Q$21,20)=0),"",SUMIFS(DECKS!$D$2:$D$1201,DECKS!$A$2:$A$1201,INDEX(_LEITURA!$P$2:$P$21,20),DECKS!$B$2:$B$1201,$A174))</f>
        <v/>
      </c>
      <c r="AE174" s="16" t="str">
        <f aca="false">IF(N(E174)&gt;0,MAX(AE$1:AE173)+1,"")</f>
        <v/>
      </c>
      <c r="AF174" s="11" t="str">
        <f aca="false">IF(A174="","",IFERROR(LEFT(A174,FIND("-",A174)-1),A174))</f>
        <v/>
      </c>
      <c r="AG174" s="11" t="str">
        <f aca="false">IF(AF174="","",IF(ISNUMBER(--MID(AF174,1,1)),0,IF(ISNUMBER(--MID(AF174,2,1)),1,IF(ISNUMBER(--MID(AF174,3,1)),2,IF(ISNUMBER(--MID(AF174,4,1)),3,MIN(LEN(AF174),4))))))</f>
        <v/>
      </c>
      <c r="AH174" s="11" t="str">
        <f aca="false">IF(A174="","",LEFT(AF174,AG174)&amp;REPT("0",4-AG174)&amp;RIGHT("000"&amp;IFERROR(VALUE(MID(AF174,AG174+1,9)),0),3)&amp;RIGHT("0000"&amp;IFERROR(VALUE(MID(A174,FIND("-",A174)+1,9)),0),4))</f>
        <v/>
      </c>
      <c r="AI174" s="11" t="str">
        <f aca="false">IF(OR(A174="",N(E174)&lt;=0),"",IF('FALTAS GERAL'!$M$1="Código","K"&amp;AH174&amp;RIGHT("00000"&amp;ROW(),5),IF('FALTAS GERAL'!$M$1="Nome","K"&amp;UPPER(SUBSTITUTE(SUBSTITUTE(SUBSTITUTE(B174,"*",""),"?",""),"~",""))&amp;"0"&amp;AH174&amp;RIGHT("00000"&amp;ROW(),5),IF('FALTAS GERAL'!$M$1="Falta (maior primeiro)","K"&amp;RIGHT("0000"&amp;(9999-E174),4)&amp;AH174&amp;RIGHT("00000"&amp;ROW(),5),IF('FALTAS GERAL'!$M$1="Nº de decks (maior primeiro)","K"&amp;RIGHT("00"&amp;(99-N(G174)),2)&amp;AH174&amp;RIGHT("00000"&amp;ROW(),5),"K"&amp;RIGHT("00000"&amp;ROW(),5))))))</f>
        <v/>
      </c>
      <c r="AJ174" s="11" t="str">
        <f aca="false">IF(AI174="","",COUNTIFS($AI$2:$AI$801,"&lt;"&amp;AI174,$E$2:$E$801,"&gt;0")+1)</f>
        <v/>
      </c>
      <c r="AK174" s="11" t="str">
        <f aca="false">IF(OR(A174="",N(E174)&lt;=0),"",COUNTIFS($AH$2:$AH$801,"&lt;"&amp;AH174,$E$2:$E$801,"&gt;0")+COUNTIFS($AH$2:AH174,AH174,$E$2:E174,"&gt;0"))</f>
        <v/>
      </c>
    </row>
    <row r="175" customFormat="false" ht="15" hidden="false" customHeight="false" outlineLevel="0" collapsed="false">
      <c r="A175" s="11" t="str">
        <f aca="false">IF(INVENTÁRIO!A175="","",INVENTÁRIO!A175)</f>
        <v/>
      </c>
      <c r="B175" s="11" t="str">
        <f aca="false">IF(A175="","",INVENTÁRIO!B175)</f>
        <v/>
      </c>
      <c r="C175" s="16" t="str">
        <f aca="false">IF(A175="","",INVENTÁRIO!C175)</f>
        <v/>
      </c>
      <c r="D175" s="14" t="str">
        <f aca="false">IF(A175="","",MAX(K175:AD175))</f>
        <v/>
      </c>
      <c r="E175" s="14" t="str">
        <f aca="false">IF(A175="","",MAX(0,D175-C175))</f>
        <v/>
      </c>
      <c r="F175" s="16" t="str">
        <f aca="false">IF(A175="","",IF(D175=0,"Fora dos decks",IF(E175=0,"Completo","Falta")))</f>
        <v/>
      </c>
      <c r="G175" s="16" t="str">
        <f aca="false">IF(A175="","",COUNTIF(K175:AD175,"&gt;0"))</f>
        <v/>
      </c>
      <c r="H175" s="16" t="str">
        <f aca="false">IF(A175="","",IF(G175&gt;1,"Sim",""))</f>
        <v/>
      </c>
      <c r="I175" s="18" t="str">
        <f aca="false">IF(A175="","",SUMIFS(DECKS!$D$2:$D$1201,DECKS!$B$2:$B$1201,A175))</f>
        <v/>
      </c>
      <c r="J175" s="18" t="str">
        <f aca="false">IF(A175="","",MAX(0,I175-C175))</f>
        <v/>
      </c>
      <c r="K175" s="19" t="str">
        <f aca="false">IF(OR($A175="",INDEX(_LEITURA!$Q$2:$Q$21,1)=0),"",SUMIFS(DECKS!$D$2:$D$1201,DECKS!$A$2:$A$1201,INDEX(_LEITURA!$P$2:$P$21,1),DECKS!$B$2:$B$1201,$A175))</f>
        <v/>
      </c>
      <c r="L175" s="19" t="str">
        <f aca="false">IF(OR($A175="",INDEX(_LEITURA!$Q$2:$Q$21,2)=0),"",SUMIFS(DECKS!$D$2:$D$1201,DECKS!$A$2:$A$1201,INDEX(_LEITURA!$P$2:$P$21,2),DECKS!$B$2:$B$1201,$A175))</f>
        <v/>
      </c>
      <c r="M175" s="19" t="str">
        <f aca="false">IF(OR($A175="",INDEX(_LEITURA!$Q$2:$Q$21,3)=0),"",SUMIFS(DECKS!$D$2:$D$1201,DECKS!$A$2:$A$1201,INDEX(_LEITURA!$P$2:$P$21,3),DECKS!$B$2:$B$1201,$A175))</f>
        <v/>
      </c>
      <c r="N175" s="19" t="str">
        <f aca="false">IF(OR($A175="",INDEX(_LEITURA!$Q$2:$Q$21,4)=0),"",SUMIFS(DECKS!$D$2:$D$1201,DECKS!$A$2:$A$1201,INDEX(_LEITURA!$P$2:$P$21,4),DECKS!$B$2:$B$1201,$A175))</f>
        <v/>
      </c>
      <c r="O175" s="19" t="str">
        <f aca="false">IF(OR($A175="",INDEX(_LEITURA!$Q$2:$Q$21,5)=0),"",SUMIFS(DECKS!$D$2:$D$1201,DECKS!$A$2:$A$1201,INDEX(_LEITURA!$P$2:$P$21,5),DECKS!$B$2:$B$1201,$A175))</f>
        <v/>
      </c>
      <c r="P175" s="19" t="str">
        <f aca="false">IF(OR($A175="",INDEX(_LEITURA!$Q$2:$Q$21,6)=0),"",SUMIFS(DECKS!$D$2:$D$1201,DECKS!$A$2:$A$1201,INDEX(_LEITURA!$P$2:$P$21,6),DECKS!$B$2:$B$1201,$A175))</f>
        <v/>
      </c>
      <c r="Q175" s="19" t="str">
        <f aca="false">IF(OR($A175="",INDEX(_LEITURA!$Q$2:$Q$21,7)=0),"",SUMIFS(DECKS!$D$2:$D$1201,DECKS!$A$2:$A$1201,INDEX(_LEITURA!$P$2:$P$21,7),DECKS!$B$2:$B$1201,$A175))</f>
        <v/>
      </c>
      <c r="R175" s="19" t="str">
        <f aca="false">IF(OR($A175="",INDEX(_LEITURA!$Q$2:$Q$21,8)=0),"",SUMIFS(DECKS!$D$2:$D$1201,DECKS!$A$2:$A$1201,INDEX(_LEITURA!$P$2:$P$21,8),DECKS!$B$2:$B$1201,$A175))</f>
        <v/>
      </c>
      <c r="S175" s="19" t="str">
        <f aca="false">IF(OR($A175="",INDEX(_LEITURA!$Q$2:$Q$21,9)=0),"",SUMIFS(DECKS!$D$2:$D$1201,DECKS!$A$2:$A$1201,INDEX(_LEITURA!$P$2:$P$21,9),DECKS!$B$2:$B$1201,$A175))</f>
        <v/>
      </c>
      <c r="T175" s="19" t="str">
        <f aca="false">IF(OR($A175="",INDEX(_LEITURA!$Q$2:$Q$21,10)=0),"",SUMIFS(DECKS!$D$2:$D$1201,DECKS!$A$2:$A$1201,INDEX(_LEITURA!$P$2:$P$21,10),DECKS!$B$2:$B$1201,$A175))</f>
        <v/>
      </c>
      <c r="U175" s="19" t="str">
        <f aca="false">IF(OR($A175="",INDEX(_LEITURA!$Q$2:$Q$21,11)=0),"",SUMIFS(DECKS!$D$2:$D$1201,DECKS!$A$2:$A$1201,INDEX(_LEITURA!$P$2:$P$21,11),DECKS!$B$2:$B$1201,$A175))</f>
        <v/>
      </c>
      <c r="V175" s="19" t="str">
        <f aca="false">IF(OR($A175="",INDEX(_LEITURA!$Q$2:$Q$21,12)=0),"",SUMIFS(DECKS!$D$2:$D$1201,DECKS!$A$2:$A$1201,INDEX(_LEITURA!$P$2:$P$21,12),DECKS!$B$2:$B$1201,$A175))</f>
        <v/>
      </c>
      <c r="W175" s="19" t="str">
        <f aca="false">IF(OR($A175="",INDEX(_LEITURA!$Q$2:$Q$21,13)=0),"",SUMIFS(DECKS!$D$2:$D$1201,DECKS!$A$2:$A$1201,INDEX(_LEITURA!$P$2:$P$21,13),DECKS!$B$2:$B$1201,$A175))</f>
        <v/>
      </c>
      <c r="X175" s="19" t="str">
        <f aca="false">IF(OR($A175="",INDEX(_LEITURA!$Q$2:$Q$21,14)=0),"",SUMIFS(DECKS!$D$2:$D$1201,DECKS!$A$2:$A$1201,INDEX(_LEITURA!$P$2:$P$21,14),DECKS!$B$2:$B$1201,$A175))</f>
        <v/>
      </c>
      <c r="Y175" s="19" t="str">
        <f aca="false">IF(OR($A175="",INDEX(_LEITURA!$Q$2:$Q$21,15)=0),"",SUMIFS(DECKS!$D$2:$D$1201,DECKS!$A$2:$A$1201,INDEX(_LEITURA!$P$2:$P$21,15),DECKS!$B$2:$B$1201,$A175))</f>
        <v/>
      </c>
      <c r="Z175" s="19" t="str">
        <f aca="false">IF(OR($A175="",INDEX(_LEITURA!$Q$2:$Q$21,16)=0),"",SUMIFS(DECKS!$D$2:$D$1201,DECKS!$A$2:$A$1201,INDEX(_LEITURA!$P$2:$P$21,16),DECKS!$B$2:$B$1201,$A175))</f>
        <v/>
      </c>
      <c r="AA175" s="19" t="str">
        <f aca="false">IF(OR($A175="",INDEX(_LEITURA!$Q$2:$Q$21,17)=0),"",SUMIFS(DECKS!$D$2:$D$1201,DECKS!$A$2:$A$1201,INDEX(_LEITURA!$P$2:$P$21,17),DECKS!$B$2:$B$1201,$A175))</f>
        <v/>
      </c>
      <c r="AB175" s="19" t="str">
        <f aca="false">IF(OR($A175="",INDEX(_LEITURA!$Q$2:$Q$21,18)=0),"",SUMIFS(DECKS!$D$2:$D$1201,DECKS!$A$2:$A$1201,INDEX(_LEITURA!$P$2:$P$21,18),DECKS!$B$2:$B$1201,$A175))</f>
        <v/>
      </c>
      <c r="AC175" s="19" t="str">
        <f aca="false">IF(OR($A175="",INDEX(_LEITURA!$Q$2:$Q$21,19)=0),"",SUMIFS(DECKS!$D$2:$D$1201,DECKS!$A$2:$A$1201,INDEX(_LEITURA!$P$2:$P$21,19),DECKS!$B$2:$B$1201,$A175))</f>
        <v/>
      </c>
      <c r="AD175" s="19" t="str">
        <f aca="false">IF(OR($A175="",INDEX(_LEITURA!$Q$2:$Q$21,20)=0),"",SUMIFS(DECKS!$D$2:$D$1201,DECKS!$A$2:$A$1201,INDEX(_LEITURA!$P$2:$P$21,20),DECKS!$B$2:$B$1201,$A175))</f>
        <v/>
      </c>
      <c r="AE175" s="16" t="str">
        <f aca="false">IF(N(E175)&gt;0,MAX(AE$1:AE174)+1,"")</f>
        <v/>
      </c>
      <c r="AF175" s="11" t="str">
        <f aca="false">IF(A175="","",IFERROR(LEFT(A175,FIND("-",A175)-1),A175))</f>
        <v/>
      </c>
      <c r="AG175" s="11" t="str">
        <f aca="false">IF(AF175="","",IF(ISNUMBER(--MID(AF175,1,1)),0,IF(ISNUMBER(--MID(AF175,2,1)),1,IF(ISNUMBER(--MID(AF175,3,1)),2,IF(ISNUMBER(--MID(AF175,4,1)),3,MIN(LEN(AF175),4))))))</f>
        <v/>
      </c>
      <c r="AH175" s="11" t="str">
        <f aca="false">IF(A175="","",LEFT(AF175,AG175)&amp;REPT("0",4-AG175)&amp;RIGHT("000"&amp;IFERROR(VALUE(MID(AF175,AG175+1,9)),0),3)&amp;RIGHT("0000"&amp;IFERROR(VALUE(MID(A175,FIND("-",A175)+1,9)),0),4))</f>
        <v/>
      </c>
      <c r="AI175" s="11" t="str">
        <f aca="false">IF(OR(A175="",N(E175)&lt;=0),"",IF('FALTAS GERAL'!$M$1="Código","K"&amp;AH175&amp;RIGHT("00000"&amp;ROW(),5),IF('FALTAS GERAL'!$M$1="Nome","K"&amp;UPPER(SUBSTITUTE(SUBSTITUTE(SUBSTITUTE(B175,"*",""),"?",""),"~",""))&amp;"0"&amp;AH175&amp;RIGHT("00000"&amp;ROW(),5),IF('FALTAS GERAL'!$M$1="Falta (maior primeiro)","K"&amp;RIGHT("0000"&amp;(9999-E175),4)&amp;AH175&amp;RIGHT("00000"&amp;ROW(),5),IF('FALTAS GERAL'!$M$1="Nº de decks (maior primeiro)","K"&amp;RIGHT("00"&amp;(99-N(G175)),2)&amp;AH175&amp;RIGHT("00000"&amp;ROW(),5),"K"&amp;RIGHT("00000"&amp;ROW(),5))))))</f>
        <v/>
      </c>
      <c r="AJ175" s="11" t="str">
        <f aca="false">IF(AI175="","",COUNTIFS($AI$2:$AI$801,"&lt;"&amp;AI175,$E$2:$E$801,"&gt;0")+1)</f>
        <v/>
      </c>
      <c r="AK175" s="11" t="str">
        <f aca="false">IF(OR(A175="",N(E175)&lt;=0),"",COUNTIFS($AH$2:$AH$801,"&lt;"&amp;AH175,$E$2:$E$801,"&gt;0")+COUNTIFS($AH$2:AH175,AH175,$E$2:E175,"&gt;0"))</f>
        <v/>
      </c>
    </row>
    <row r="176" customFormat="false" ht="15" hidden="false" customHeight="false" outlineLevel="0" collapsed="false">
      <c r="A176" s="11" t="str">
        <f aca="false">IF(INVENTÁRIO!A176="","",INVENTÁRIO!A176)</f>
        <v/>
      </c>
      <c r="B176" s="11" t="str">
        <f aca="false">IF(A176="","",INVENTÁRIO!B176)</f>
        <v/>
      </c>
      <c r="C176" s="16" t="str">
        <f aca="false">IF(A176="","",INVENTÁRIO!C176)</f>
        <v/>
      </c>
      <c r="D176" s="14" t="str">
        <f aca="false">IF(A176="","",MAX(K176:AD176))</f>
        <v/>
      </c>
      <c r="E176" s="14" t="str">
        <f aca="false">IF(A176="","",MAX(0,D176-C176))</f>
        <v/>
      </c>
      <c r="F176" s="16" t="str">
        <f aca="false">IF(A176="","",IF(D176=0,"Fora dos decks",IF(E176=0,"Completo","Falta")))</f>
        <v/>
      </c>
      <c r="G176" s="16" t="str">
        <f aca="false">IF(A176="","",COUNTIF(K176:AD176,"&gt;0"))</f>
        <v/>
      </c>
      <c r="H176" s="16" t="str">
        <f aca="false">IF(A176="","",IF(G176&gt;1,"Sim",""))</f>
        <v/>
      </c>
      <c r="I176" s="18" t="str">
        <f aca="false">IF(A176="","",SUMIFS(DECKS!$D$2:$D$1201,DECKS!$B$2:$B$1201,A176))</f>
        <v/>
      </c>
      <c r="J176" s="18" t="str">
        <f aca="false">IF(A176="","",MAX(0,I176-C176))</f>
        <v/>
      </c>
      <c r="K176" s="19" t="str">
        <f aca="false">IF(OR($A176="",INDEX(_LEITURA!$Q$2:$Q$21,1)=0),"",SUMIFS(DECKS!$D$2:$D$1201,DECKS!$A$2:$A$1201,INDEX(_LEITURA!$P$2:$P$21,1),DECKS!$B$2:$B$1201,$A176))</f>
        <v/>
      </c>
      <c r="L176" s="19" t="str">
        <f aca="false">IF(OR($A176="",INDEX(_LEITURA!$Q$2:$Q$21,2)=0),"",SUMIFS(DECKS!$D$2:$D$1201,DECKS!$A$2:$A$1201,INDEX(_LEITURA!$P$2:$P$21,2),DECKS!$B$2:$B$1201,$A176))</f>
        <v/>
      </c>
      <c r="M176" s="19" t="str">
        <f aca="false">IF(OR($A176="",INDEX(_LEITURA!$Q$2:$Q$21,3)=0),"",SUMIFS(DECKS!$D$2:$D$1201,DECKS!$A$2:$A$1201,INDEX(_LEITURA!$P$2:$P$21,3),DECKS!$B$2:$B$1201,$A176))</f>
        <v/>
      </c>
      <c r="N176" s="19" t="str">
        <f aca="false">IF(OR($A176="",INDEX(_LEITURA!$Q$2:$Q$21,4)=0),"",SUMIFS(DECKS!$D$2:$D$1201,DECKS!$A$2:$A$1201,INDEX(_LEITURA!$P$2:$P$21,4),DECKS!$B$2:$B$1201,$A176))</f>
        <v/>
      </c>
      <c r="O176" s="19" t="str">
        <f aca="false">IF(OR($A176="",INDEX(_LEITURA!$Q$2:$Q$21,5)=0),"",SUMIFS(DECKS!$D$2:$D$1201,DECKS!$A$2:$A$1201,INDEX(_LEITURA!$P$2:$P$21,5),DECKS!$B$2:$B$1201,$A176))</f>
        <v/>
      </c>
      <c r="P176" s="19" t="str">
        <f aca="false">IF(OR($A176="",INDEX(_LEITURA!$Q$2:$Q$21,6)=0),"",SUMIFS(DECKS!$D$2:$D$1201,DECKS!$A$2:$A$1201,INDEX(_LEITURA!$P$2:$P$21,6),DECKS!$B$2:$B$1201,$A176))</f>
        <v/>
      </c>
      <c r="Q176" s="19" t="str">
        <f aca="false">IF(OR($A176="",INDEX(_LEITURA!$Q$2:$Q$21,7)=0),"",SUMIFS(DECKS!$D$2:$D$1201,DECKS!$A$2:$A$1201,INDEX(_LEITURA!$P$2:$P$21,7),DECKS!$B$2:$B$1201,$A176))</f>
        <v/>
      </c>
      <c r="R176" s="19" t="str">
        <f aca="false">IF(OR($A176="",INDEX(_LEITURA!$Q$2:$Q$21,8)=0),"",SUMIFS(DECKS!$D$2:$D$1201,DECKS!$A$2:$A$1201,INDEX(_LEITURA!$P$2:$P$21,8),DECKS!$B$2:$B$1201,$A176))</f>
        <v/>
      </c>
      <c r="S176" s="19" t="str">
        <f aca="false">IF(OR($A176="",INDEX(_LEITURA!$Q$2:$Q$21,9)=0),"",SUMIFS(DECKS!$D$2:$D$1201,DECKS!$A$2:$A$1201,INDEX(_LEITURA!$P$2:$P$21,9),DECKS!$B$2:$B$1201,$A176))</f>
        <v/>
      </c>
      <c r="T176" s="19" t="str">
        <f aca="false">IF(OR($A176="",INDEX(_LEITURA!$Q$2:$Q$21,10)=0),"",SUMIFS(DECKS!$D$2:$D$1201,DECKS!$A$2:$A$1201,INDEX(_LEITURA!$P$2:$P$21,10),DECKS!$B$2:$B$1201,$A176))</f>
        <v/>
      </c>
      <c r="U176" s="19" t="str">
        <f aca="false">IF(OR($A176="",INDEX(_LEITURA!$Q$2:$Q$21,11)=0),"",SUMIFS(DECKS!$D$2:$D$1201,DECKS!$A$2:$A$1201,INDEX(_LEITURA!$P$2:$P$21,11),DECKS!$B$2:$B$1201,$A176))</f>
        <v/>
      </c>
      <c r="V176" s="19" t="str">
        <f aca="false">IF(OR($A176="",INDEX(_LEITURA!$Q$2:$Q$21,12)=0),"",SUMIFS(DECKS!$D$2:$D$1201,DECKS!$A$2:$A$1201,INDEX(_LEITURA!$P$2:$P$21,12),DECKS!$B$2:$B$1201,$A176))</f>
        <v/>
      </c>
      <c r="W176" s="19" t="str">
        <f aca="false">IF(OR($A176="",INDEX(_LEITURA!$Q$2:$Q$21,13)=0),"",SUMIFS(DECKS!$D$2:$D$1201,DECKS!$A$2:$A$1201,INDEX(_LEITURA!$P$2:$P$21,13),DECKS!$B$2:$B$1201,$A176))</f>
        <v/>
      </c>
      <c r="X176" s="19" t="str">
        <f aca="false">IF(OR($A176="",INDEX(_LEITURA!$Q$2:$Q$21,14)=0),"",SUMIFS(DECKS!$D$2:$D$1201,DECKS!$A$2:$A$1201,INDEX(_LEITURA!$P$2:$P$21,14),DECKS!$B$2:$B$1201,$A176))</f>
        <v/>
      </c>
      <c r="Y176" s="19" t="str">
        <f aca="false">IF(OR($A176="",INDEX(_LEITURA!$Q$2:$Q$21,15)=0),"",SUMIFS(DECKS!$D$2:$D$1201,DECKS!$A$2:$A$1201,INDEX(_LEITURA!$P$2:$P$21,15),DECKS!$B$2:$B$1201,$A176))</f>
        <v/>
      </c>
      <c r="Z176" s="19" t="str">
        <f aca="false">IF(OR($A176="",INDEX(_LEITURA!$Q$2:$Q$21,16)=0),"",SUMIFS(DECKS!$D$2:$D$1201,DECKS!$A$2:$A$1201,INDEX(_LEITURA!$P$2:$P$21,16),DECKS!$B$2:$B$1201,$A176))</f>
        <v/>
      </c>
      <c r="AA176" s="19" t="str">
        <f aca="false">IF(OR($A176="",INDEX(_LEITURA!$Q$2:$Q$21,17)=0),"",SUMIFS(DECKS!$D$2:$D$1201,DECKS!$A$2:$A$1201,INDEX(_LEITURA!$P$2:$P$21,17),DECKS!$B$2:$B$1201,$A176))</f>
        <v/>
      </c>
      <c r="AB176" s="19" t="str">
        <f aca="false">IF(OR($A176="",INDEX(_LEITURA!$Q$2:$Q$21,18)=0),"",SUMIFS(DECKS!$D$2:$D$1201,DECKS!$A$2:$A$1201,INDEX(_LEITURA!$P$2:$P$21,18),DECKS!$B$2:$B$1201,$A176))</f>
        <v/>
      </c>
      <c r="AC176" s="19" t="str">
        <f aca="false">IF(OR($A176="",INDEX(_LEITURA!$Q$2:$Q$21,19)=0),"",SUMIFS(DECKS!$D$2:$D$1201,DECKS!$A$2:$A$1201,INDEX(_LEITURA!$P$2:$P$21,19),DECKS!$B$2:$B$1201,$A176))</f>
        <v/>
      </c>
      <c r="AD176" s="19" t="str">
        <f aca="false">IF(OR($A176="",INDEX(_LEITURA!$Q$2:$Q$21,20)=0),"",SUMIFS(DECKS!$D$2:$D$1201,DECKS!$A$2:$A$1201,INDEX(_LEITURA!$P$2:$P$21,20),DECKS!$B$2:$B$1201,$A176))</f>
        <v/>
      </c>
      <c r="AE176" s="16" t="str">
        <f aca="false">IF(N(E176)&gt;0,MAX(AE$1:AE175)+1,"")</f>
        <v/>
      </c>
      <c r="AF176" s="11" t="str">
        <f aca="false">IF(A176="","",IFERROR(LEFT(A176,FIND("-",A176)-1),A176))</f>
        <v/>
      </c>
      <c r="AG176" s="11" t="str">
        <f aca="false">IF(AF176="","",IF(ISNUMBER(--MID(AF176,1,1)),0,IF(ISNUMBER(--MID(AF176,2,1)),1,IF(ISNUMBER(--MID(AF176,3,1)),2,IF(ISNUMBER(--MID(AF176,4,1)),3,MIN(LEN(AF176),4))))))</f>
        <v/>
      </c>
      <c r="AH176" s="11" t="str">
        <f aca="false">IF(A176="","",LEFT(AF176,AG176)&amp;REPT("0",4-AG176)&amp;RIGHT("000"&amp;IFERROR(VALUE(MID(AF176,AG176+1,9)),0),3)&amp;RIGHT("0000"&amp;IFERROR(VALUE(MID(A176,FIND("-",A176)+1,9)),0),4))</f>
        <v/>
      </c>
      <c r="AI176" s="11" t="str">
        <f aca="false">IF(OR(A176="",N(E176)&lt;=0),"",IF('FALTAS GERAL'!$M$1="Código","K"&amp;AH176&amp;RIGHT("00000"&amp;ROW(),5),IF('FALTAS GERAL'!$M$1="Nome","K"&amp;UPPER(SUBSTITUTE(SUBSTITUTE(SUBSTITUTE(B176,"*",""),"?",""),"~",""))&amp;"0"&amp;AH176&amp;RIGHT("00000"&amp;ROW(),5),IF('FALTAS GERAL'!$M$1="Falta (maior primeiro)","K"&amp;RIGHT("0000"&amp;(9999-E176),4)&amp;AH176&amp;RIGHT("00000"&amp;ROW(),5),IF('FALTAS GERAL'!$M$1="Nº de decks (maior primeiro)","K"&amp;RIGHT("00"&amp;(99-N(G176)),2)&amp;AH176&amp;RIGHT("00000"&amp;ROW(),5),"K"&amp;RIGHT("00000"&amp;ROW(),5))))))</f>
        <v/>
      </c>
      <c r="AJ176" s="11" t="str">
        <f aca="false">IF(AI176="","",COUNTIFS($AI$2:$AI$801,"&lt;"&amp;AI176,$E$2:$E$801,"&gt;0")+1)</f>
        <v/>
      </c>
      <c r="AK176" s="11" t="str">
        <f aca="false">IF(OR(A176="",N(E176)&lt;=0),"",COUNTIFS($AH$2:$AH$801,"&lt;"&amp;AH176,$E$2:$E$801,"&gt;0")+COUNTIFS($AH$2:AH176,AH176,$E$2:E176,"&gt;0"))</f>
        <v/>
      </c>
    </row>
    <row r="177" customFormat="false" ht="15" hidden="false" customHeight="false" outlineLevel="0" collapsed="false">
      <c r="A177" s="11" t="str">
        <f aca="false">IF(INVENTÁRIO!A177="","",INVENTÁRIO!A177)</f>
        <v/>
      </c>
      <c r="B177" s="11" t="str">
        <f aca="false">IF(A177="","",INVENTÁRIO!B177)</f>
        <v/>
      </c>
      <c r="C177" s="16" t="str">
        <f aca="false">IF(A177="","",INVENTÁRIO!C177)</f>
        <v/>
      </c>
      <c r="D177" s="14" t="str">
        <f aca="false">IF(A177="","",MAX(K177:AD177))</f>
        <v/>
      </c>
      <c r="E177" s="14" t="str">
        <f aca="false">IF(A177="","",MAX(0,D177-C177))</f>
        <v/>
      </c>
      <c r="F177" s="16" t="str">
        <f aca="false">IF(A177="","",IF(D177=0,"Fora dos decks",IF(E177=0,"Completo","Falta")))</f>
        <v/>
      </c>
      <c r="G177" s="16" t="str">
        <f aca="false">IF(A177="","",COUNTIF(K177:AD177,"&gt;0"))</f>
        <v/>
      </c>
      <c r="H177" s="16" t="str">
        <f aca="false">IF(A177="","",IF(G177&gt;1,"Sim",""))</f>
        <v/>
      </c>
      <c r="I177" s="18" t="str">
        <f aca="false">IF(A177="","",SUMIFS(DECKS!$D$2:$D$1201,DECKS!$B$2:$B$1201,A177))</f>
        <v/>
      </c>
      <c r="J177" s="18" t="str">
        <f aca="false">IF(A177="","",MAX(0,I177-C177))</f>
        <v/>
      </c>
      <c r="K177" s="19" t="str">
        <f aca="false">IF(OR($A177="",INDEX(_LEITURA!$Q$2:$Q$21,1)=0),"",SUMIFS(DECKS!$D$2:$D$1201,DECKS!$A$2:$A$1201,INDEX(_LEITURA!$P$2:$P$21,1),DECKS!$B$2:$B$1201,$A177))</f>
        <v/>
      </c>
      <c r="L177" s="19" t="str">
        <f aca="false">IF(OR($A177="",INDEX(_LEITURA!$Q$2:$Q$21,2)=0),"",SUMIFS(DECKS!$D$2:$D$1201,DECKS!$A$2:$A$1201,INDEX(_LEITURA!$P$2:$P$21,2),DECKS!$B$2:$B$1201,$A177))</f>
        <v/>
      </c>
      <c r="M177" s="19" t="str">
        <f aca="false">IF(OR($A177="",INDEX(_LEITURA!$Q$2:$Q$21,3)=0),"",SUMIFS(DECKS!$D$2:$D$1201,DECKS!$A$2:$A$1201,INDEX(_LEITURA!$P$2:$P$21,3),DECKS!$B$2:$B$1201,$A177))</f>
        <v/>
      </c>
      <c r="N177" s="19" t="str">
        <f aca="false">IF(OR($A177="",INDEX(_LEITURA!$Q$2:$Q$21,4)=0),"",SUMIFS(DECKS!$D$2:$D$1201,DECKS!$A$2:$A$1201,INDEX(_LEITURA!$P$2:$P$21,4),DECKS!$B$2:$B$1201,$A177))</f>
        <v/>
      </c>
      <c r="O177" s="19" t="str">
        <f aca="false">IF(OR($A177="",INDEX(_LEITURA!$Q$2:$Q$21,5)=0),"",SUMIFS(DECKS!$D$2:$D$1201,DECKS!$A$2:$A$1201,INDEX(_LEITURA!$P$2:$P$21,5),DECKS!$B$2:$B$1201,$A177))</f>
        <v/>
      </c>
      <c r="P177" s="19" t="str">
        <f aca="false">IF(OR($A177="",INDEX(_LEITURA!$Q$2:$Q$21,6)=0),"",SUMIFS(DECKS!$D$2:$D$1201,DECKS!$A$2:$A$1201,INDEX(_LEITURA!$P$2:$P$21,6),DECKS!$B$2:$B$1201,$A177))</f>
        <v/>
      </c>
      <c r="Q177" s="19" t="str">
        <f aca="false">IF(OR($A177="",INDEX(_LEITURA!$Q$2:$Q$21,7)=0),"",SUMIFS(DECKS!$D$2:$D$1201,DECKS!$A$2:$A$1201,INDEX(_LEITURA!$P$2:$P$21,7),DECKS!$B$2:$B$1201,$A177))</f>
        <v/>
      </c>
      <c r="R177" s="19" t="str">
        <f aca="false">IF(OR($A177="",INDEX(_LEITURA!$Q$2:$Q$21,8)=0),"",SUMIFS(DECKS!$D$2:$D$1201,DECKS!$A$2:$A$1201,INDEX(_LEITURA!$P$2:$P$21,8),DECKS!$B$2:$B$1201,$A177))</f>
        <v/>
      </c>
      <c r="S177" s="19" t="str">
        <f aca="false">IF(OR($A177="",INDEX(_LEITURA!$Q$2:$Q$21,9)=0),"",SUMIFS(DECKS!$D$2:$D$1201,DECKS!$A$2:$A$1201,INDEX(_LEITURA!$P$2:$P$21,9),DECKS!$B$2:$B$1201,$A177))</f>
        <v/>
      </c>
      <c r="T177" s="19" t="str">
        <f aca="false">IF(OR($A177="",INDEX(_LEITURA!$Q$2:$Q$21,10)=0),"",SUMIFS(DECKS!$D$2:$D$1201,DECKS!$A$2:$A$1201,INDEX(_LEITURA!$P$2:$P$21,10),DECKS!$B$2:$B$1201,$A177))</f>
        <v/>
      </c>
      <c r="U177" s="19" t="str">
        <f aca="false">IF(OR($A177="",INDEX(_LEITURA!$Q$2:$Q$21,11)=0),"",SUMIFS(DECKS!$D$2:$D$1201,DECKS!$A$2:$A$1201,INDEX(_LEITURA!$P$2:$P$21,11),DECKS!$B$2:$B$1201,$A177))</f>
        <v/>
      </c>
      <c r="V177" s="19" t="str">
        <f aca="false">IF(OR($A177="",INDEX(_LEITURA!$Q$2:$Q$21,12)=0),"",SUMIFS(DECKS!$D$2:$D$1201,DECKS!$A$2:$A$1201,INDEX(_LEITURA!$P$2:$P$21,12),DECKS!$B$2:$B$1201,$A177))</f>
        <v/>
      </c>
      <c r="W177" s="19" t="str">
        <f aca="false">IF(OR($A177="",INDEX(_LEITURA!$Q$2:$Q$21,13)=0),"",SUMIFS(DECKS!$D$2:$D$1201,DECKS!$A$2:$A$1201,INDEX(_LEITURA!$P$2:$P$21,13),DECKS!$B$2:$B$1201,$A177))</f>
        <v/>
      </c>
      <c r="X177" s="19" t="str">
        <f aca="false">IF(OR($A177="",INDEX(_LEITURA!$Q$2:$Q$21,14)=0),"",SUMIFS(DECKS!$D$2:$D$1201,DECKS!$A$2:$A$1201,INDEX(_LEITURA!$P$2:$P$21,14),DECKS!$B$2:$B$1201,$A177))</f>
        <v/>
      </c>
      <c r="Y177" s="19" t="str">
        <f aca="false">IF(OR($A177="",INDEX(_LEITURA!$Q$2:$Q$21,15)=0),"",SUMIFS(DECKS!$D$2:$D$1201,DECKS!$A$2:$A$1201,INDEX(_LEITURA!$P$2:$P$21,15),DECKS!$B$2:$B$1201,$A177))</f>
        <v/>
      </c>
      <c r="Z177" s="19" t="str">
        <f aca="false">IF(OR($A177="",INDEX(_LEITURA!$Q$2:$Q$21,16)=0),"",SUMIFS(DECKS!$D$2:$D$1201,DECKS!$A$2:$A$1201,INDEX(_LEITURA!$P$2:$P$21,16),DECKS!$B$2:$B$1201,$A177))</f>
        <v/>
      </c>
      <c r="AA177" s="19" t="str">
        <f aca="false">IF(OR($A177="",INDEX(_LEITURA!$Q$2:$Q$21,17)=0),"",SUMIFS(DECKS!$D$2:$D$1201,DECKS!$A$2:$A$1201,INDEX(_LEITURA!$P$2:$P$21,17),DECKS!$B$2:$B$1201,$A177))</f>
        <v/>
      </c>
      <c r="AB177" s="19" t="str">
        <f aca="false">IF(OR($A177="",INDEX(_LEITURA!$Q$2:$Q$21,18)=0),"",SUMIFS(DECKS!$D$2:$D$1201,DECKS!$A$2:$A$1201,INDEX(_LEITURA!$P$2:$P$21,18),DECKS!$B$2:$B$1201,$A177))</f>
        <v/>
      </c>
      <c r="AC177" s="19" t="str">
        <f aca="false">IF(OR($A177="",INDEX(_LEITURA!$Q$2:$Q$21,19)=0),"",SUMIFS(DECKS!$D$2:$D$1201,DECKS!$A$2:$A$1201,INDEX(_LEITURA!$P$2:$P$21,19),DECKS!$B$2:$B$1201,$A177))</f>
        <v/>
      </c>
      <c r="AD177" s="19" t="str">
        <f aca="false">IF(OR($A177="",INDEX(_LEITURA!$Q$2:$Q$21,20)=0),"",SUMIFS(DECKS!$D$2:$D$1201,DECKS!$A$2:$A$1201,INDEX(_LEITURA!$P$2:$P$21,20),DECKS!$B$2:$B$1201,$A177))</f>
        <v/>
      </c>
      <c r="AE177" s="16" t="str">
        <f aca="false">IF(N(E177)&gt;0,MAX(AE$1:AE176)+1,"")</f>
        <v/>
      </c>
      <c r="AF177" s="11" t="str">
        <f aca="false">IF(A177="","",IFERROR(LEFT(A177,FIND("-",A177)-1),A177))</f>
        <v/>
      </c>
      <c r="AG177" s="11" t="str">
        <f aca="false">IF(AF177="","",IF(ISNUMBER(--MID(AF177,1,1)),0,IF(ISNUMBER(--MID(AF177,2,1)),1,IF(ISNUMBER(--MID(AF177,3,1)),2,IF(ISNUMBER(--MID(AF177,4,1)),3,MIN(LEN(AF177),4))))))</f>
        <v/>
      </c>
      <c r="AH177" s="11" t="str">
        <f aca="false">IF(A177="","",LEFT(AF177,AG177)&amp;REPT("0",4-AG177)&amp;RIGHT("000"&amp;IFERROR(VALUE(MID(AF177,AG177+1,9)),0),3)&amp;RIGHT("0000"&amp;IFERROR(VALUE(MID(A177,FIND("-",A177)+1,9)),0),4))</f>
        <v/>
      </c>
      <c r="AI177" s="11" t="str">
        <f aca="false">IF(OR(A177="",N(E177)&lt;=0),"",IF('FALTAS GERAL'!$M$1="Código","K"&amp;AH177&amp;RIGHT("00000"&amp;ROW(),5),IF('FALTAS GERAL'!$M$1="Nome","K"&amp;UPPER(SUBSTITUTE(SUBSTITUTE(SUBSTITUTE(B177,"*",""),"?",""),"~",""))&amp;"0"&amp;AH177&amp;RIGHT("00000"&amp;ROW(),5),IF('FALTAS GERAL'!$M$1="Falta (maior primeiro)","K"&amp;RIGHT("0000"&amp;(9999-E177),4)&amp;AH177&amp;RIGHT("00000"&amp;ROW(),5),IF('FALTAS GERAL'!$M$1="Nº de decks (maior primeiro)","K"&amp;RIGHT("00"&amp;(99-N(G177)),2)&amp;AH177&amp;RIGHT("00000"&amp;ROW(),5),"K"&amp;RIGHT("00000"&amp;ROW(),5))))))</f>
        <v/>
      </c>
      <c r="AJ177" s="11" t="str">
        <f aca="false">IF(AI177="","",COUNTIFS($AI$2:$AI$801,"&lt;"&amp;AI177,$E$2:$E$801,"&gt;0")+1)</f>
        <v/>
      </c>
      <c r="AK177" s="11" t="str">
        <f aca="false">IF(OR(A177="",N(E177)&lt;=0),"",COUNTIFS($AH$2:$AH$801,"&lt;"&amp;AH177,$E$2:$E$801,"&gt;0")+COUNTIFS($AH$2:AH177,AH177,$E$2:E177,"&gt;0"))</f>
        <v/>
      </c>
    </row>
    <row r="178" customFormat="false" ht="15" hidden="false" customHeight="false" outlineLevel="0" collapsed="false">
      <c r="A178" s="11" t="str">
        <f aca="false">IF(INVENTÁRIO!A178="","",INVENTÁRIO!A178)</f>
        <v/>
      </c>
      <c r="B178" s="11" t="str">
        <f aca="false">IF(A178="","",INVENTÁRIO!B178)</f>
        <v/>
      </c>
      <c r="C178" s="16" t="str">
        <f aca="false">IF(A178="","",INVENTÁRIO!C178)</f>
        <v/>
      </c>
      <c r="D178" s="14" t="str">
        <f aca="false">IF(A178="","",MAX(K178:AD178))</f>
        <v/>
      </c>
      <c r="E178" s="14" t="str">
        <f aca="false">IF(A178="","",MAX(0,D178-C178))</f>
        <v/>
      </c>
      <c r="F178" s="16" t="str">
        <f aca="false">IF(A178="","",IF(D178=0,"Fora dos decks",IF(E178=0,"Completo","Falta")))</f>
        <v/>
      </c>
      <c r="G178" s="16" t="str">
        <f aca="false">IF(A178="","",COUNTIF(K178:AD178,"&gt;0"))</f>
        <v/>
      </c>
      <c r="H178" s="16" t="str">
        <f aca="false">IF(A178="","",IF(G178&gt;1,"Sim",""))</f>
        <v/>
      </c>
      <c r="I178" s="18" t="str">
        <f aca="false">IF(A178="","",SUMIFS(DECKS!$D$2:$D$1201,DECKS!$B$2:$B$1201,A178))</f>
        <v/>
      </c>
      <c r="J178" s="18" t="str">
        <f aca="false">IF(A178="","",MAX(0,I178-C178))</f>
        <v/>
      </c>
      <c r="K178" s="19" t="str">
        <f aca="false">IF(OR($A178="",INDEX(_LEITURA!$Q$2:$Q$21,1)=0),"",SUMIFS(DECKS!$D$2:$D$1201,DECKS!$A$2:$A$1201,INDEX(_LEITURA!$P$2:$P$21,1),DECKS!$B$2:$B$1201,$A178))</f>
        <v/>
      </c>
      <c r="L178" s="19" t="str">
        <f aca="false">IF(OR($A178="",INDEX(_LEITURA!$Q$2:$Q$21,2)=0),"",SUMIFS(DECKS!$D$2:$D$1201,DECKS!$A$2:$A$1201,INDEX(_LEITURA!$P$2:$P$21,2),DECKS!$B$2:$B$1201,$A178))</f>
        <v/>
      </c>
      <c r="M178" s="19" t="str">
        <f aca="false">IF(OR($A178="",INDEX(_LEITURA!$Q$2:$Q$21,3)=0),"",SUMIFS(DECKS!$D$2:$D$1201,DECKS!$A$2:$A$1201,INDEX(_LEITURA!$P$2:$P$21,3),DECKS!$B$2:$B$1201,$A178))</f>
        <v/>
      </c>
      <c r="N178" s="19" t="str">
        <f aca="false">IF(OR($A178="",INDEX(_LEITURA!$Q$2:$Q$21,4)=0),"",SUMIFS(DECKS!$D$2:$D$1201,DECKS!$A$2:$A$1201,INDEX(_LEITURA!$P$2:$P$21,4),DECKS!$B$2:$B$1201,$A178))</f>
        <v/>
      </c>
      <c r="O178" s="19" t="str">
        <f aca="false">IF(OR($A178="",INDEX(_LEITURA!$Q$2:$Q$21,5)=0),"",SUMIFS(DECKS!$D$2:$D$1201,DECKS!$A$2:$A$1201,INDEX(_LEITURA!$P$2:$P$21,5),DECKS!$B$2:$B$1201,$A178))</f>
        <v/>
      </c>
      <c r="P178" s="19" t="str">
        <f aca="false">IF(OR($A178="",INDEX(_LEITURA!$Q$2:$Q$21,6)=0),"",SUMIFS(DECKS!$D$2:$D$1201,DECKS!$A$2:$A$1201,INDEX(_LEITURA!$P$2:$P$21,6),DECKS!$B$2:$B$1201,$A178))</f>
        <v/>
      </c>
      <c r="Q178" s="19" t="str">
        <f aca="false">IF(OR($A178="",INDEX(_LEITURA!$Q$2:$Q$21,7)=0),"",SUMIFS(DECKS!$D$2:$D$1201,DECKS!$A$2:$A$1201,INDEX(_LEITURA!$P$2:$P$21,7),DECKS!$B$2:$B$1201,$A178))</f>
        <v/>
      </c>
      <c r="R178" s="19" t="str">
        <f aca="false">IF(OR($A178="",INDEX(_LEITURA!$Q$2:$Q$21,8)=0),"",SUMIFS(DECKS!$D$2:$D$1201,DECKS!$A$2:$A$1201,INDEX(_LEITURA!$P$2:$P$21,8),DECKS!$B$2:$B$1201,$A178))</f>
        <v/>
      </c>
      <c r="S178" s="19" t="str">
        <f aca="false">IF(OR($A178="",INDEX(_LEITURA!$Q$2:$Q$21,9)=0),"",SUMIFS(DECKS!$D$2:$D$1201,DECKS!$A$2:$A$1201,INDEX(_LEITURA!$P$2:$P$21,9),DECKS!$B$2:$B$1201,$A178))</f>
        <v/>
      </c>
      <c r="T178" s="19" t="str">
        <f aca="false">IF(OR($A178="",INDEX(_LEITURA!$Q$2:$Q$21,10)=0),"",SUMIFS(DECKS!$D$2:$D$1201,DECKS!$A$2:$A$1201,INDEX(_LEITURA!$P$2:$P$21,10),DECKS!$B$2:$B$1201,$A178))</f>
        <v/>
      </c>
      <c r="U178" s="19" t="str">
        <f aca="false">IF(OR($A178="",INDEX(_LEITURA!$Q$2:$Q$21,11)=0),"",SUMIFS(DECKS!$D$2:$D$1201,DECKS!$A$2:$A$1201,INDEX(_LEITURA!$P$2:$P$21,11),DECKS!$B$2:$B$1201,$A178))</f>
        <v/>
      </c>
      <c r="V178" s="19" t="str">
        <f aca="false">IF(OR($A178="",INDEX(_LEITURA!$Q$2:$Q$21,12)=0),"",SUMIFS(DECKS!$D$2:$D$1201,DECKS!$A$2:$A$1201,INDEX(_LEITURA!$P$2:$P$21,12),DECKS!$B$2:$B$1201,$A178))</f>
        <v/>
      </c>
      <c r="W178" s="19" t="str">
        <f aca="false">IF(OR($A178="",INDEX(_LEITURA!$Q$2:$Q$21,13)=0),"",SUMIFS(DECKS!$D$2:$D$1201,DECKS!$A$2:$A$1201,INDEX(_LEITURA!$P$2:$P$21,13),DECKS!$B$2:$B$1201,$A178))</f>
        <v/>
      </c>
      <c r="X178" s="19" t="str">
        <f aca="false">IF(OR($A178="",INDEX(_LEITURA!$Q$2:$Q$21,14)=0),"",SUMIFS(DECKS!$D$2:$D$1201,DECKS!$A$2:$A$1201,INDEX(_LEITURA!$P$2:$P$21,14),DECKS!$B$2:$B$1201,$A178))</f>
        <v/>
      </c>
      <c r="Y178" s="19" t="str">
        <f aca="false">IF(OR($A178="",INDEX(_LEITURA!$Q$2:$Q$21,15)=0),"",SUMIFS(DECKS!$D$2:$D$1201,DECKS!$A$2:$A$1201,INDEX(_LEITURA!$P$2:$P$21,15),DECKS!$B$2:$B$1201,$A178))</f>
        <v/>
      </c>
      <c r="Z178" s="19" t="str">
        <f aca="false">IF(OR($A178="",INDEX(_LEITURA!$Q$2:$Q$21,16)=0),"",SUMIFS(DECKS!$D$2:$D$1201,DECKS!$A$2:$A$1201,INDEX(_LEITURA!$P$2:$P$21,16),DECKS!$B$2:$B$1201,$A178))</f>
        <v/>
      </c>
      <c r="AA178" s="19" t="str">
        <f aca="false">IF(OR($A178="",INDEX(_LEITURA!$Q$2:$Q$21,17)=0),"",SUMIFS(DECKS!$D$2:$D$1201,DECKS!$A$2:$A$1201,INDEX(_LEITURA!$P$2:$P$21,17),DECKS!$B$2:$B$1201,$A178))</f>
        <v/>
      </c>
      <c r="AB178" s="19" t="str">
        <f aca="false">IF(OR($A178="",INDEX(_LEITURA!$Q$2:$Q$21,18)=0),"",SUMIFS(DECKS!$D$2:$D$1201,DECKS!$A$2:$A$1201,INDEX(_LEITURA!$P$2:$P$21,18),DECKS!$B$2:$B$1201,$A178))</f>
        <v/>
      </c>
      <c r="AC178" s="19" t="str">
        <f aca="false">IF(OR($A178="",INDEX(_LEITURA!$Q$2:$Q$21,19)=0),"",SUMIFS(DECKS!$D$2:$D$1201,DECKS!$A$2:$A$1201,INDEX(_LEITURA!$P$2:$P$21,19),DECKS!$B$2:$B$1201,$A178))</f>
        <v/>
      </c>
      <c r="AD178" s="19" t="str">
        <f aca="false">IF(OR($A178="",INDEX(_LEITURA!$Q$2:$Q$21,20)=0),"",SUMIFS(DECKS!$D$2:$D$1201,DECKS!$A$2:$A$1201,INDEX(_LEITURA!$P$2:$P$21,20),DECKS!$B$2:$B$1201,$A178))</f>
        <v/>
      </c>
      <c r="AE178" s="16" t="str">
        <f aca="false">IF(N(E178)&gt;0,MAX(AE$1:AE177)+1,"")</f>
        <v/>
      </c>
      <c r="AF178" s="11" t="str">
        <f aca="false">IF(A178="","",IFERROR(LEFT(A178,FIND("-",A178)-1),A178))</f>
        <v/>
      </c>
      <c r="AG178" s="11" t="str">
        <f aca="false">IF(AF178="","",IF(ISNUMBER(--MID(AF178,1,1)),0,IF(ISNUMBER(--MID(AF178,2,1)),1,IF(ISNUMBER(--MID(AF178,3,1)),2,IF(ISNUMBER(--MID(AF178,4,1)),3,MIN(LEN(AF178),4))))))</f>
        <v/>
      </c>
      <c r="AH178" s="11" t="str">
        <f aca="false">IF(A178="","",LEFT(AF178,AG178)&amp;REPT("0",4-AG178)&amp;RIGHT("000"&amp;IFERROR(VALUE(MID(AF178,AG178+1,9)),0),3)&amp;RIGHT("0000"&amp;IFERROR(VALUE(MID(A178,FIND("-",A178)+1,9)),0),4))</f>
        <v/>
      </c>
      <c r="AI178" s="11" t="str">
        <f aca="false">IF(OR(A178="",N(E178)&lt;=0),"",IF('FALTAS GERAL'!$M$1="Código","K"&amp;AH178&amp;RIGHT("00000"&amp;ROW(),5),IF('FALTAS GERAL'!$M$1="Nome","K"&amp;UPPER(SUBSTITUTE(SUBSTITUTE(SUBSTITUTE(B178,"*",""),"?",""),"~",""))&amp;"0"&amp;AH178&amp;RIGHT("00000"&amp;ROW(),5),IF('FALTAS GERAL'!$M$1="Falta (maior primeiro)","K"&amp;RIGHT("0000"&amp;(9999-E178),4)&amp;AH178&amp;RIGHT("00000"&amp;ROW(),5),IF('FALTAS GERAL'!$M$1="Nº de decks (maior primeiro)","K"&amp;RIGHT("00"&amp;(99-N(G178)),2)&amp;AH178&amp;RIGHT("00000"&amp;ROW(),5),"K"&amp;RIGHT("00000"&amp;ROW(),5))))))</f>
        <v/>
      </c>
      <c r="AJ178" s="11" t="str">
        <f aca="false">IF(AI178="","",COUNTIFS($AI$2:$AI$801,"&lt;"&amp;AI178,$E$2:$E$801,"&gt;0")+1)</f>
        <v/>
      </c>
      <c r="AK178" s="11" t="str">
        <f aca="false">IF(OR(A178="",N(E178)&lt;=0),"",COUNTIFS($AH$2:$AH$801,"&lt;"&amp;AH178,$E$2:$E$801,"&gt;0")+COUNTIFS($AH$2:AH178,AH178,$E$2:E178,"&gt;0"))</f>
        <v/>
      </c>
    </row>
    <row r="179" customFormat="false" ht="15" hidden="false" customHeight="false" outlineLevel="0" collapsed="false">
      <c r="A179" s="11" t="str">
        <f aca="false">IF(INVENTÁRIO!A179="","",INVENTÁRIO!A179)</f>
        <v/>
      </c>
      <c r="B179" s="11" t="str">
        <f aca="false">IF(A179="","",INVENTÁRIO!B179)</f>
        <v/>
      </c>
      <c r="C179" s="16" t="str">
        <f aca="false">IF(A179="","",INVENTÁRIO!C179)</f>
        <v/>
      </c>
      <c r="D179" s="14" t="str">
        <f aca="false">IF(A179="","",MAX(K179:AD179))</f>
        <v/>
      </c>
      <c r="E179" s="14" t="str">
        <f aca="false">IF(A179="","",MAX(0,D179-C179))</f>
        <v/>
      </c>
      <c r="F179" s="16" t="str">
        <f aca="false">IF(A179="","",IF(D179=0,"Fora dos decks",IF(E179=0,"Completo","Falta")))</f>
        <v/>
      </c>
      <c r="G179" s="16" t="str">
        <f aca="false">IF(A179="","",COUNTIF(K179:AD179,"&gt;0"))</f>
        <v/>
      </c>
      <c r="H179" s="16" t="str">
        <f aca="false">IF(A179="","",IF(G179&gt;1,"Sim",""))</f>
        <v/>
      </c>
      <c r="I179" s="18" t="str">
        <f aca="false">IF(A179="","",SUMIFS(DECKS!$D$2:$D$1201,DECKS!$B$2:$B$1201,A179))</f>
        <v/>
      </c>
      <c r="J179" s="18" t="str">
        <f aca="false">IF(A179="","",MAX(0,I179-C179))</f>
        <v/>
      </c>
      <c r="K179" s="19" t="str">
        <f aca="false">IF(OR($A179="",INDEX(_LEITURA!$Q$2:$Q$21,1)=0),"",SUMIFS(DECKS!$D$2:$D$1201,DECKS!$A$2:$A$1201,INDEX(_LEITURA!$P$2:$P$21,1),DECKS!$B$2:$B$1201,$A179))</f>
        <v/>
      </c>
      <c r="L179" s="19" t="str">
        <f aca="false">IF(OR($A179="",INDEX(_LEITURA!$Q$2:$Q$21,2)=0),"",SUMIFS(DECKS!$D$2:$D$1201,DECKS!$A$2:$A$1201,INDEX(_LEITURA!$P$2:$P$21,2),DECKS!$B$2:$B$1201,$A179))</f>
        <v/>
      </c>
      <c r="M179" s="19" t="str">
        <f aca="false">IF(OR($A179="",INDEX(_LEITURA!$Q$2:$Q$21,3)=0),"",SUMIFS(DECKS!$D$2:$D$1201,DECKS!$A$2:$A$1201,INDEX(_LEITURA!$P$2:$P$21,3),DECKS!$B$2:$B$1201,$A179))</f>
        <v/>
      </c>
      <c r="N179" s="19" t="str">
        <f aca="false">IF(OR($A179="",INDEX(_LEITURA!$Q$2:$Q$21,4)=0),"",SUMIFS(DECKS!$D$2:$D$1201,DECKS!$A$2:$A$1201,INDEX(_LEITURA!$P$2:$P$21,4),DECKS!$B$2:$B$1201,$A179))</f>
        <v/>
      </c>
      <c r="O179" s="19" t="str">
        <f aca="false">IF(OR($A179="",INDEX(_LEITURA!$Q$2:$Q$21,5)=0),"",SUMIFS(DECKS!$D$2:$D$1201,DECKS!$A$2:$A$1201,INDEX(_LEITURA!$P$2:$P$21,5),DECKS!$B$2:$B$1201,$A179))</f>
        <v/>
      </c>
      <c r="P179" s="19" t="str">
        <f aca="false">IF(OR($A179="",INDEX(_LEITURA!$Q$2:$Q$21,6)=0),"",SUMIFS(DECKS!$D$2:$D$1201,DECKS!$A$2:$A$1201,INDEX(_LEITURA!$P$2:$P$21,6),DECKS!$B$2:$B$1201,$A179))</f>
        <v/>
      </c>
      <c r="Q179" s="19" t="str">
        <f aca="false">IF(OR($A179="",INDEX(_LEITURA!$Q$2:$Q$21,7)=0),"",SUMIFS(DECKS!$D$2:$D$1201,DECKS!$A$2:$A$1201,INDEX(_LEITURA!$P$2:$P$21,7),DECKS!$B$2:$B$1201,$A179))</f>
        <v/>
      </c>
      <c r="R179" s="19" t="str">
        <f aca="false">IF(OR($A179="",INDEX(_LEITURA!$Q$2:$Q$21,8)=0),"",SUMIFS(DECKS!$D$2:$D$1201,DECKS!$A$2:$A$1201,INDEX(_LEITURA!$P$2:$P$21,8),DECKS!$B$2:$B$1201,$A179))</f>
        <v/>
      </c>
      <c r="S179" s="19" t="str">
        <f aca="false">IF(OR($A179="",INDEX(_LEITURA!$Q$2:$Q$21,9)=0),"",SUMIFS(DECKS!$D$2:$D$1201,DECKS!$A$2:$A$1201,INDEX(_LEITURA!$P$2:$P$21,9),DECKS!$B$2:$B$1201,$A179))</f>
        <v/>
      </c>
      <c r="T179" s="19" t="str">
        <f aca="false">IF(OR($A179="",INDEX(_LEITURA!$Q$2:$Q$21,10)=0),"",SUMIFS(DECKS!$D$2:$D$1201,DECKS!$A$2:$A$1201,INDEX(_LEITURA!$P$2:$P$21,10),DECKS!$B$2:$B$1201,$A179))</f>
        <v/>
      </c>
      <c r="U179" s="19" t="str">
        <f aca="false">IF(OR($A179="",INDEX(_LEITURA!$Q$2:$Q$21,11)=0),"",SUMIFS(DECKS!$D$2:$D$1201,DECKS!$A$2:$A$1201,INDEX(_LEITURA!$P$2:$P$21,11),DECKS!$B$2:$B$1201,$A179))</f>
        <v/>
      </c>
      <c r="V179" s="19" t="str">
        <f aca="false">IF(OR($A179="",INDEX(_LEITURA!$Q$2:$Q$21,12)=0),"",SUMIFS(DECKS!$D$2:$D$1201,DECKS!$A$2:$A$1201,INDEX(_LEITURA!$P$2:$P$21,12),DECKS!$B$2:$B$1201,$A179))</f>
        <v/>
      </c>
      <c r="W179" s="19" t="str">
        <f aca="false">IF(OR($A179="",INDEX(_LEITURA!$Q$2:$Q$21,13)=0),"",SUMIFS(DECKS!$D$2:$D$1201,DECKS!$A$2:$A$1201,INDEX(_LEITURA!$P$2:$P$21,13),DECKS!$B$2:$B$1201,$A179))</f>
        <v/>
      </c>
      <c r="X179" s="19" t="str">
        <f aca="false">IF(OR($A179="",INDEX(_LEITURA!$Q$2:$Q$21,14)=0),"",SUMIFS(DECKS!$D$2:$D$1201,DECKS!$A$2:$A$1201,INDEX(_LEITURA!$P$2:$P$21,14),DECKS!$B$2:$B$1201,$A179))</f>
        <v/>
      </c>
      <c r="Y179" s="19" t="str">
        <f aca="false">IF(OR($A179="",INDEX(_LEITURA!$Q$2:$Q$21,15)=0),"",SUMIFS(DECKS!$D$2:$D$1201,DECKS!$A$2:$A$1201,INDEX(_LEITURA!$P$2:$P$21,15),DECKS!$B$2:$B$1201,$A179))</f>
        <v/>
      </c>
      <c r="Z179" s="19" t="str">
        <f aca="false">IF(OR($A179="",INDEX(_LEITURA!$Q$2:$Q$21,16)=0),"",SUMIFS(DECKS!$D$2:$D$1201,DECKS!$A$2:$A$1201,INDEX(_LEITURA!$P$2:$P$21,16),DECKS!$B$2:$B$1201,$A179))</f>
        <v/>
      </c>
      <c r="AA179" s="19" t="str">
        <f aca="false">IF(OR($A179="",INDEX(_LEITURA!$Q$2:$Q$21,17)=0),"",SUMIFS(DECKS!$D$2:$D$1201,DECKS!$A$2:$A$1201,INDEX(_LEITURA!$P$2:$P$21,17),DECKS!$B$2:$B$1201,$A179))</f>
        <v/>
      </c>
      <c r="AB179" s="19" t="str">
        <f aca="false">IF(OR($A179="",INDEX(_LEITURA!$Q$2:$Q$21,18)=0),"",SUMIFS(DECKS!$D$2:$D$1201,DECKS!$A$2:$A$1201,INDEX(_LEITURA!$P$2:$P$21,18),DECKS!$B$2:$B$1201,$A179))</f>
        <v/>
      </c>
      <c r="AC179" s="19" t="str">
        <f aca="false">IF(OR($A179="",INDEX(_LEITURA!$Q$2:$Q$21,19)=0),"",SUMIFS(DECKS!$D$2:$D$1201,DECKS!$A$2:$A$1201,INDEX(_LEITURA!$P$2:$P$21,19),DECKS!$B$2:$B$1201,$A179))</f>
        <v/>
      </c>
      <c r="AD179" s="19" t="str">
        <f aca="false">IF(OR($A179="",INDEX(_LEITURA!$Q$2:$Q$21,20)=0),"",SUMIFS(DECKS!$D$2:$D$1201,DECKS!$A$2:$A$1201,INDEX(_LEITURA!$P$2:$P$21,20),DECKS!$B$2:$B$1201,$A179))</f>
        <v/>
      </c>
      <c r="AE179" s="16" t="str">
        <f aca="false">IF(N(E179)&gt;0,MAX(AE$1:AE178)+1,"")</f>
        <v/>
      </c>
      <c r="AF179" s="11" t="str">
        <f aca="false">IF(A179="","",IFERROR(LEFT(A179,FIND("-",A179)-1),A179))</f>
        <v/>
      </c>
      <c r="AG179" s="11" t="str">
        <f aca="false">IF(AF179="","",IF(ISNUMBER(--MID(AF179,1,1)),0,IF(ISNUMBER(--MID(AF179,2,1)),1,IF(ISNUMBER(--MID(AF179,3,1)),2,IF(ISNUMBER(--MID(AF179,4,1)),3,MIN(LEN(AF179),4))))))</f>
        <v/>
      </c>
      <c r="AH179" s="11" t="str">
        <f aca="false">IF(A179="","",LEFT(AF179,AG179)&amp;REPT("0",4-AG179)&amp;RIGHT("000"&amp;IFERROR(VALUE(MID(AF179,AG179+1,9)),0),3)&amp;RIGHT("0000"&amp;IFERROR(VALUE(MID(A179,FIND("-",A179)+1,9)),0),4))</f>
        <v/>
      </c>
      <c r="AI179" s="11" t="str">
        <f aca="false">IF(OR(A179="",N(E179)&lt;=0),"",IF('FALTAS GERAL'!$M$1="Código","K"&amp;AH179&amp;RIGHT("00000"&amp;ROW(),5),IF('FALTAS GERAL'!$M$1="Nome","K"&amp;UPPER(SUBSTITUTE(SUBSTITUTE(SUBSTITUTE(B179,"*",""),"?",""),"~",""))&amp;"0"&amp;AH179&amp;RIGHT("00000"&amp;ROW(),5),IF('FALTAS GERAL'!$M$1="Falta (maior primeiro)","K"&amp;RIGHT("0000"&amp;(9999-E179),4)&amp;AH179&amp;RIGHT("00000"&amp;ROW(),5),IF('FALTAS GERAL'!$M$1="Nº de decks (maior primeiro)","K"&amp;RIGHT("00"&amp;(99-N(G179)),2)&amp;AH179&amp;RIGHT("00000"&amp;ROW(),5),"K"&amp;RIGHT("00000"&amp;ROW(),5))))))</f>
        <v/>
      </c>
      <c r="AJ179" s="11" t="str">
        <f aca="false">IF(AI179="","",COUNTIFS($AI$2:$AI$801,"&lt;"&amp;AI179,$E$2:$E$801,"&gt;0")+1)</f>
        <v/>
      </c>
      <c r="AK179" s="11" t="str">
        <f aca="false">IF(OR(A179="",N(E179)&lt;=0),"",COUNTIFS($AH$2:$AH$801,"&lt;"&amp;AH179,$E$2:$E$801,"&gt;0")+COUNTIFS($AH$2:AH179,AH179,$E$2:E179,"&gt;0"))</f>
        <v/>
      </c>
    </row>
    <row r="180" customFormat="false" ht="15" hidden="false" customHeight="false" outlineLevel="0" collapsed="false">
      <c r="A180" s="11" t="str">
        <f aca="false">IF(INVENTÁRIO!A180="","",INVENTÁRIO!A180)</f>
        <v/>
      </c>
      <c r="B180" s="11" t="str">
        <f aca="false">IF(A180="","",INVENTÁRIO!B180)</f>
        <v/>
      </c>
      <c r="C180" s="16" t="str">
        <f aca="false">IF(A180="","",INVENTÁRIO!C180)</f>
        <v/>
      </c>
      <c r="D180" s="14" t="str">
        <f aca="false">IF(A180="","",MAX(K180:AD180))</f>
        <v/>
      </c>
      <c r="E180" s="14" t="str">
        <f aca="false">IF(A180="","",MAX(0,D180-C180))</f>
        <v/>
      </c>
      <c r="F180" s="16" t="str">
        <f aca="false">IF(A180="","",IF(D180=0,"Fora dos decks",IF(E180=0,"Completo","Falta")))</f>
        <v/>
      </c>
      <c r="G180" s="16" t="str">
        <f aca="false">IF(A180="","",COUNTIF(K180:AD180,"&gt;0"))</f>
        <v/>
      </c>
      <c r="H180" s="16" t="str">
        <f aca="false">IF(A180="","",IF(G180&gt;1,"Sim",""))</f>
        <v/>
      </c>
      <c r="I180" s="18" t="str">
        <f aca="false">IF(A180="","",SUMIFS(DECKS!$D$2:$D$1201,DECKS!$B$2:$B$1201,A180))</f>
        <v/>
      </c>
      <c r="J180" s="18" t="str">
        <f aca="false">IF(A180="","",MAX(0,I180-C180))</f>
        <v/>
      </c>
      <c r="K180" s="19" t="str">
        <f aca="false">IF(OR($A180="",INDEX(_LEITURA!$Q$2:$Q$21,1)=0),"",SUMIFS(DECKS!$D$2:$D$1201,DECKS!$A$2:$A$1201,INDEX(_LEITURA!$P$2:$P$21,1),DECKS!$B$2:$B$1201,$A180))</f>
        <v/>
      </c>
      <c r="L180" s="19" t="str">
        <f aca="false">IF(OR($A180="",INDEX(_LEITURA!$Q$2:$Q$21,2)=0),"",SUMIFS(DECKS!$D$2:$D$1201,DECKS!$A$2:$A$1201,INDEX(_LEITURA!$P$2:$P$21,2),DECKS!$B$2:$B$1201,$A180))</f>
        <v/>
      </c>
      <c r="M180" s="19" t="str">
        <f aca="false">IF(OR($A180="",INDEX(_LEITURA!$Q$2:$Q$21,3)=0),"",SUMIFS(DECKS!$D$2:$D$1201,DECKS!$A$2:$A$1201,INDEX(_LEITURA!$P$2:$P$21,3),DECKS!$B$2:$B$1201,$A180))</f>
        <v/>
      </c>
      <c r="N180" s="19" t="str">
        <f aca="false">IF(OR($A180="",INDEX(_LEITURA!$Q$2:$Q$21,4)=0),"",SUMIFS(DECKS!$D$2:$D$1201,DECKS!$A$2:$A$1201,INDEX(_LEITURA!$P$2:$P$21,4),DECKS!$B$2:$B$1201,$A180))</f>
        <v/>
      </c>
      <c r="O180" s="19" t="str">
        <f aca="false">IF(OR($A180="",INDEX(_LEITURA!$Q$2:$Q$21,5)=0),"",SUMIFS(DECKS!$D$2:$D$1201,DECKS!$A$2:$A$1201,INDEX(_LEITURA!$P$2:$P$21,5),DECKS!$B$2:$B$1201,$A180))</f>
        <v/>
      </c>
      <c r="P180" s="19" t="str">
        <f aca="false">IF(OR($A180="",INDEX(_LEITURA!$Q$2:$Q$21,6)=0),"",SUMIFS(DECKS!$D$2:$D$1201,DECKS!$A$2:$A$1201,INDEX(_LEITURA!$P$2:$P$21,6),DECKS!$B$2:$B$1201,$A180))</f>
        <v/>
      </c>
      <c r="Q180" s="19" t="str">
        <f aca="false">IF(OR($A180="",INDEX(_LEITURA!$Q$2:$Q$21,7)=0),"",SUMIFS(DECKS!$D$2:$D$1201,DECKS!$A$2:$A$1201,INDEX(_LEITURA!$P$2:$P$21,7),DECKS!$B$2:$B$1201,$A180))</f>
        <v/>
      </c>
      <c r="R180" s="19" t="str">
        <f aca="false">IF(OR($A180="",INDEX(_LEITURA!$Q$2:$Q$21,8)=0),"",SUMIFS(DECKS!$D$2:$D$1201,DECKS!$A$2:$A$1201,INDEX(_LEITURA!$P$2:$P$21,8),DECKS!$B$2:$B$1201,$A180))</f>
        <v/>
      </c>
      <c r="S180" s="19" t="str">
        <f aca="false">IF(OR($A180="",INDEX(_LEITURA!$Q$2:$Q$21,9)=0),"",SUMIFS(DECKS!$D$2:$D$1201,DECKS!$A$2:$A$1201,INDEX(_LEITURA!$P$2:$P$21,9),DECKS!$B$2:$B$1201,$A180))</f>
        <v/>
      </c>
      <c r="T180" s="19" t="str">
        <f aca="false">IF(OR($A180="",INDEX(_LEITURA!$Q$2:$Q$21,10)=0),"",SUMIFS(DECKS!$D$2:$D$1201,DECKS!$A$2:$A$1201,INDEX(_LEITURA!$P$2:$P$21,10),DECKS!$B$2:$B$1201,$A180))</f>
        <v/>
      </c>
      <c r="U180" s="19" t="str">
        <f aca="false">IF(OR($A180="",INDEX(_LEITURA!$Q$2:$Q$21,11)=0),"",SUMIFS(DECKS!$D$2:$D$1201,DECKS!$A$2:$A$1201,INDEX(_LEITURA!$P$2:$P$21,11),DECKS!$B$2:$B$1201,$A180))</f>
        <v/>
      </c>
      <c r="V180" s="19" t="str">
        <f aca="false">IF(OR($A180="",INDEX(_LEITURA!$Q$2:$Q$21,12)=0),"",SUMIFS(DECKS!$D$2:$D$1201,DECKS!$A$2:$A$1201,INDEX(_LEITURA!$P$2:$P$21,12),DECKS!$B$2:$B$1201,$A180))</f>
        <v/>
      </c>
      <c r="W180" s="19" t="str">
        <f aca="false">IF(OR($A180="",INDEX(_LEITURA!$Q$2:$Q$21,13)=0),"",SUMIFS(DECKS!$D$2:$D$1201,DECKS!$A$2:$A$1201,INDEX(_LEITURA!$P$2:$P$21,13),DECKS!$B$2:$B$1201,$A180))</f>
        <v/>
      </c>
      <c r="X180" s="19" t="str">
        <f aca="false">IF(OR($A180="",INDEX(_LEITURA!$Q$2:$Q$21,14)=0),"",SUMIFS(DECKS!$D$2:$D$1201,DECKS!$A$2:$A$1201,INDEX(_LEITURA!$P$2:$P$21,14),DECKS!$B$2:$B$1201,$A180))</f>
        <v/>
      </c>
      <c r="Y180" s="19" t="str">
        <f aca="false">IF(OR($A180="",INDEX(_LEITURA!$Q$2:$Q$21,15)=0),"",SUMIFS(DECKS!$D$2:$D$1201,DECKS!$A$2:$A$1201,INDEX(_LEITURA!$P$2:$P$21,15),DECKS!$B$2:$B$1201,$A180))</f>
        <v/>
      </c>
      <c r="Z180" s="19" t="str">
        <f aca="false">IF(OR($A180="",INDEX(_LEITURA!$Q$2:$Q$21,16)=0),"",SUMIFS(DECKS!$D$2:$D$1201,DECKS!$A$2:$A$1201,INDEX(_LEITURA!$P$2:$P$21,16),DECKS!$B$2:$B$1201,$A180))</f>
        <v/>
      </c>
      <c r="AA180" s="19" t="str">
        <f aca="false">IF(OR($A180="",INDEX(_LEITURA!$Q$2:$Q$21,17)=0),"",SUMIFS(DECKS!$D$2:$D$1201,DECKS!$A$2:$A$1201,INDEX(_LEITURA!$P$2:$P$21,17),DECKS!$B$2:$B$1201,$A180))</f>
        <v/>
      </c>
      <c r="AB180" s="19" t="str">
        <f aca="false">IF(OR($A180="",INDEX(_LEITURA!$Q$2:$Q$21,18)=0),"",SUMIFS(DECKS!$D$2:$D$1201,DECKS!$A$2:$A$1201,INDEX(_LEITURA!$P$2:$P$21,18),DECKS!$B$2:$B$1201,$A180))</f>
        <v/>
      </c>
      <c r="AC180" s="19" t="str">
        <f aca="false">IF(OR($A180="",INDEX(_LEITURA!$Q$2:$Q$21,19)=0),"",SUMIFS(DECKS!$D$2:$D$1201,DECKS!$A$2:$A$1201,INDEX(_LEITURA!$P$2:$P$21,19),DECKS!$B$2:$B$1201,$A180))</f>
        <v/>
      </c>
      <c r="AD180" s="19" t="str">
        <f aca="false">IF(OR($A180="",INDEX(_LEITURA!$Q$2:$Q$21,20)=0),"",SUMIFS(DECKS!$D$2:$D$1201,DECKS!$A$2:$A$1201,INDEX(_LEITURA!$P$2:$P$21,20),DECKS!$B$2:$B$1201,$A180))</f>
        <v/>
      </c>
      <c r="AE180" s="16" t="str">
        <f aca="false">IF(N(E180)&gt;0,MAX(AE$1:AE179)+1,"")</f>
        <v/>
      </c>
      <c r="AF180" s="11" t="str">
        <f aca="false">IF(A180="","",IFERROR(LEFT(A180,FIND("-",A180)-1),A180))</f>
        <v/>
      </c>
      <c r="AG180" s="11" t="str">
        <f aca="false">IF(AF180="","",IF(ISNUMBER(--MID(AF180,1,1)),0,IF(ISNUMBER(--MID(AF180,2,1)),1,IF(ISNUMBER(--MID(AF180,3,1)),2,IF(ISNUMBER(--MID(AF180,4,1)),3,MIN(LEN(AF180),4))))))</f>
        <v/>
      </c>
      <c r="AH180" s="11" t="str">
        <f aca="false">IF(A180="","",LEFT(AF180,AG180)&amp;REPT("0",4-AG180)&amp;RIGHT("000"&amp;IFERROR(VALUE(MID(AF180,AG180+1,9)),0),3)&amp;RIGHT("0000"&amp;IFERROR(VALUE(MID(A180,FIND("-",A180)+1,9)),0),4))</f>
        <v/>
      </c>
      <c r="AI180" s="11" t="str">
        <f aca="false">IF(OR(A180="",N(E180)&lt;=0),"",IF('FALTAS GERAL'!$M$1="Código","K"&amp;AH180&amp;RIGHT("00000"&amp;ROW(),5),IF('FALTAS GERAL'!$M$1="Nome","K"&amp;UPPER(SUBSTITUTE(SUBSTITUTE(SUBSTITUTE(B180,"*",""),"?",""),"~",""))&amp;"0"&amp;AH180&amp;RIGHT("00000"&amp;ROW(),5),IF('FALTAS GERAL'!$M$1="Falta (maior primeiro)","K"&amp;RIGHT("0000"&amp;(9999-E180),4)&amp;AH180&amp;RIGHT("00000"&amp;ROW(),5),IF('FALTAS GERAL'!$M$1="Nº de decks (maior primeiro)","K"&amp;RIGHT("00"&amp;(99-N(G180)),2)&amp;AH180&amp;RIGHT("00000"&amp;ROW(),5),"K"&amp;RIGHT("00000"&amp;ROW(),5))))))</f>
        <v/>
      </c>
      <c r="AJ180" s="11" t="str">
        <f aca="false">IF(AI180="","",COUNTIFS($AI$2:$AI$801,"&lt;"&amp;AI180,$E$2:$E$801,"&gt;0")+1)</f>
        <v/>
      </c>
      <c r="AK180" s="11" t="str">
        <f aca="false">IF(OR(A180="",N(E180)&lt;=0),"",COUNTIFS($AH$2:$AH$801,"&lt;"&amp;AH180,$E$2:$E$801,"&gt;0")+COUNTIFS($AH$2:AH180,AH180,$E$2:E180,"&gt;0"))</f>
        <v/>
      </c>
    </row>
    <row r="181" customFormat="false" ht="15" hidden="false" customHeight="false" outlineLevel="0" collapsed="false">
      <c r="A181" s="11" t="str">
        <f aca="false">IF(INVENTÁRIO!A181="","",INVENTÁRIO!A181)</f>
        <v/>
      </c>
      <c r="B181" s="11" t="str">
        <f aca="false">IF(A181="","",INVENTÁRIO!B181)</f>
        <v/>
      </c>
      <c r="C181" s="16" t="str">
        <f aca="false">IF(A181="","",INVENTÁRIO!C181)</f>
        <v/>
      </c>
      <c r="D181" s="14" t="str">
        <f aca="false">IF(A181="","",MAX(K181:AD181))</f>
        <v/>
      </c>
      <c r="E181" s="14" t="str">
        <f aca="false">IF(A181="","",MAX(0,D181-C181))</f>
        <v/>
      </c>
      <c r="F181" s="16" t="str">
        <f aca="false">IF(A181="","",IF(D181=0,"Fora dos decks",IF(E181=0,"Completo","Falta")))</f>
        <v/>
      </c>
      <c r="G181" s="16" t="str">
        <f aca="false">IF(A181="","",COUNTIF(K181:AD181,"&gt;0"))</f>
        <v/>
      </c>
      <c r="H181" s="16" t="str">
        <f aca="false">IF(A181="","",IF(G181&gt;1,"Sim",""))</f>
        <v/>
      </c>
      <c r="I181" s="18" t="str">
        <f aca="false">IF(A181="","",SUMIFS(DECKS!$D$2:$D$1201,DECKS!$B$2:$B$1201,A181))</f>
        <v/>
      </c>
      <c r="J181" s="18" t="str">
        <f aca="false">IF(A181="","",MAX(0,I181-C181))</f>
        <v/>
      </c>
      <c r="K181" s="19" t="str">
        <f aca="false">IF(OR($A181="",INDEX(_LEITURA!$Q$2:$Q$21,1)=0),"",SUMIFS(DECKS!$D$2:$D$1201,DECKS!$A$2:$A$1201,INDEX(_LEITURA!$P$2:$P$21,1),DECKS!$B$2:$B$1201,$A181))</f>
        <v/>
      </c>
      <c r="L181" s="19" t="str">
        <f aca="false">IF(OR($A181="",INDEX(_LEITURA!$Q$2:$Q$21,2)=0),"",SUMIFS(DECKS!$D$2:$D$1201,DECKS!$A$2:$A$1201,INDEX(_LEITURA!$P$2:$P$21,2),DECKS!$B$2:$B$1201,$A181))</f>
        <v/>
      </c>
      <c r="M181" s="19" t="str">
        <f aca="false">IF(OR($A181="",INDEX(_LEITURA!$Q$2:$Q$21,3)=0),"",SUMIFS(DECKS!$D$2:$D$1201,DECKS!$A$2:$A$1201,INDEX(_LEITURA!$P$2:$P$21,3),DECKS!$B$2:$B$1201,$A181))</f>
        <v/>
      </c>
      <c r="N181" s="19" t="str">
        <f aca="false">IF(OR($A181="",INDEX(_LEITURA!$Q$2:$Q$21,4)=0),"",SUMIFS(DECKS!$D$2:$D$1201,DECKS!$A$2:$A$1201,INDEX(_LEITURA!$P$2:$P$21,4),DECKS!$B$2:$B$1201,$A181))</f>
        <v/>
      </c>
      <c r="O181" s="19" t="str">
        <f aca="false">IF(OR($A181="",INDEX(_LEITURA!$Q$2:$Q$21,5)=0),"",SUMIFS(DECKS!$D$2:$D$1201,DECKS!$A$2:$A$1201,INDEX(_LEITURA!$P$2:$P$21,5),DECKS!$B$2:$B$1201,$A181))</f>
        <v/>
      </c>
      <c r="P181" s="19" t="str">
        <f aca="false">IF(OR($A181="",INDEX(_LEITURA!$Q$2:$Q$21,6)=0),"",SUMIFS(DECKS!$D$2:$D$1201,DECKS!$A$2:$A$1201,INDEX(_LEITURA!$P$2:$P$21,6),DECKS!$B$2:$B$1201,$A181))</f>
        <v/>
      </c>
      <c r="Q181" s="19" t="str">
        <f aca="false">IF(OR($A181="",INDEX(_LEITURA!$Q$2:$Q$21,7)=0),"",SUMIFS(DECKS!$D$2:$D$1201,DECKS!$A$2:$A$1201,INDEX(_LEITURA!$P$2:$P$21,7),DECKS!$B$2:$B$1201,$A181))</f>
        <v/>
      </c>
      <c r="R181" s="19" t="str">
        <f aca="false">IF(OR($A181="",INDEX(_LEITURA!$Q$2:$Q$21,8)=0),"",SUMIFS(DECKS!$D$2:$D$1201,DECKS!$A$2:$A$1201,INDEX(_LEITURA!$P$2:$P$21,8),DECKS!$B$2:$B$1201,$A181))</f>
        <v/>
      </c>
      <c r="S181" s="19" t="str">
        <f aca="false">IF(OR($A181="",INDEX(_LEITURA!$Q$2:$Q$21,9)=0),"",SUMIFS(DECKS!$D$2:$D$1201,DECKS!$A$2:$A$1201,INDEX(_LEITURA!$P$2:$P$21,9),DECKS!$B$2:$B$1201,$A181))</f>
        <v/>
      </c>
      <c r="T181" s="19" t="str">
        <f aca="false">IF(OR($A181="",INDEX(_LEITURA!$Q$2:$Q$21,10)=0),"",SUMIFS(DECKS!$D$2:$D$1201,DECKS!$A$2:$A$1201,INDEX(_LEITURA!$P$2:$P$21,10),DECKS!$B$2:$B$1201,$A181))</f>
        <v/>
      </c>
      <c r="U181" s="19" t="str">
        <f aca="false">IF(OR($A181="",INDEX(_LEITURA!$Q$2:$Q$21,11)=0),"",SUMIFS(DECKS!$D$2:$D$1201,DECKS!$A$2:$A$1201,INDEX(_LEITURA!$P$2:$P$21,11),DECKS!$B$2:$B$1201,$A181))</f>
        <v/>
      </c>
      <c r="V181" s="19" t="str">
        <f aca="false">IF(OR($A181="",INDEX(_LEITURA!$Q$2:$Q$21,12)=0),"",SUMIFS(DECKS!$D$2:$D$1201,DECKS!$A$2:$A$1201,INDEX(_LEITURA!$P$2:$P$21,12),DECKS!$B$2:$B$1201,$A181))</f>
        <v/>
      </c>
      <c r="W181" s="19" t="str">
        <f aca="false">IF(OR($A181="",INDEX(_LEITURA!$Q$2:$Q$21,13)=0),"",SUMIFS(DECKS!$D$2:$D$1201,DECKS!$A$2:$A$1201,INDEX(_LEITURA!$P$2:$P$21,13),DECKS!$B$2:$B$1201,$A181))</f>
        <v/>
      </c>
      <c r="X181" s="19" t="str">
        <f aca="false">IF(OR($A181="",INDEX(_LEITURA!$Q$2:$Q$21,14)=0),"",SUMIFS(DECKS!$D$2:$D$1201,DECKS!$A$2:$A$1201,INDEX(_LEITURA!$P$2:$P$21,14),DECKS!$B$2:$B$1201,$A181))</f>
        <v/>
      </c>
      <c r="Y181" s="19" t="str">
        <f aca="false">IF(OR($A181="",INDEX(_LEITURA!$Q$2:$Q$21,15)=0),"",SUMIFS(DECKS!$D$2:$D$1201,DECKS!$A$2:$A$1201,INDEX(_LEITURA!$P$2:$P$21,15),DECKS!$B$2:$B$1201,$A181))</f>
        <v/>
      </c>
      <c r="Z181" s="19" t="str">
        <f aca="false">IF(OR($A181="",INDEX(_LEITURA!$Q$2:$Q$21,16)=0),"",SUMIFS(DECKS!$D$2:$D$1201,DECKS!$A$2:$A$1201,INDEX(_LEITURA!$P$2:$P$21,16),DECKS!$B$2:$B$1201,$A181))</f>
        <v/>
      </c>
      <c r="AA181" s="19" t="str">
        <f aca="false">IF(OR($A181="",INDEX(_LEITURA!$Q$2:$Q$21,17)=0),"",SUMIFS(DECKS!$D$2:$D$1201,DECKS!$A$2:$A$1201,INDEX(_LEITURA!$P$2:$P$21,17),DECKS!$B$2:$B$1201,$A181))</f>
        <v/>
      </c>
      <c r="AB181" s="19" t="str">
        <f aca="false">IF(OR($A181="",INDEX(_LEITURA!$Q$2:$Q$21,18)=0),"",SUMIFS(DECKS!$D$2:$D$1201,DECKS!$A$2:$A$1201,INDEX(_LEITURA!$P$2:$P$21,18),DECKS!$B$2:$B$1201,$A181))</f>
        <v/>
      </c>
      <c r="AC181" s="19" t="str">
        <f aca="false">IF(OR($A181="",INDEX(_LEITURA!$Q$2:$Q$21,19)=0),"",SUMIFS(DECKS!$D$2:$D$1201,DECKS!$A$2:$A$1201,INDEX(_LEITURA!$P$2:$P$21,19),DECKS!$B$2:$B$1201,$A181))</f>
        <v/>
      </c>
      <c r="AD181" s="19" t="str">
        <f aca="false">IF(OR($A181="",INDEX(_LEITURA!$Q$2:$Q$21,20)=0),"",SUMIFS(DECKS!$D$2:$D$1201,DECKS!$A$2:$A$1201,INDEX(_LEITURA!$P$2:$P$21,20),DECKS!$B$2:$B$1201,$A181))</f>
        <v/>
      </c>
      <c r="AE181" s="16" t="str">
        <f aca="false">IF(N(E181)&gt;0,MAX(AE$1:AE180)+1,"")</f>
        <v/>
      </c>
      <c r="AF181" s="11" t="str">
        <f aca="false">IF(A181="","",IFERROR(LEFT(A181,FIND("-",A181)-1),A181))</f>
        <v/>
      </c>
      <c r="AG181" s="11" t="str">
        <f aca="false">IF(AF181="","",IF(ISNUMBER(--MID(AF181,1,1)),0,IF(ISNUMBER(--MID(AF181,2,1)),1,IF(ISNUMBER(--MID(AF181,3,1)),2,IF(ISNUMBER(--MID(AF181,4,1)),3,MIN(LEN(AF181),4))))))</f>
        <v/>
      </c>
      <c r="AH181" s="11" t="str">
        <f aca="false">IF(A181="","",LEFT(AF181,AG181)&amp;REPT("0",4-AG181)&amp;RIGHT("000"&amp;IFERROR(VALUE(MID(AF181,AG181+1,9)),0),3)&amp;RIGHT("0000"&amp;IFERROR(VALUE(MID(A181,FIND("-",A181)+1,9)),0),4))</f>
        <v/>
      </c>
      <c r="AI181" s="11" t="str">
        <f aca="false">IF(OR(A181="",N(E181)&lt;=0),"",IF('FALTAS GERAL'!$M$1="Código","K"&amp;AH181&amp;RIGHT("00000"&amp;ROW(),5),IF('FALTAS GERAL'!$M$1="Nome","K"&amp;UPPER(SUBSTITUTE(SUBSTITUTE(SUBSTITUTE(B181,"*",""),"?",""),"~",""))&amp;"0"&amp;AH181&amp;RIGHT("00000"&amp;ROW(),5),IF('FALTAS GERAL'!$M$1="Falta (maior primeiro)","K"&amp;RIGHT("0000"&amp;(9999-E181),4)&amp;AH181&amp;RIGHT("00000"&amp;ROW(),5),IF('FALTAS GERAL'!$M$1="Nº de decks (maior primeiro)","K"&amp;RIGHT("00"&amp;(99-N(G181)),2)&amp;AH181&amp;RIGHT("00000"&amp;ROW(),5),"K"&amp;RIGHT("00000"&amp;ROW(),5))))))</f>
        <v/>
      </c>
      <c r="AJ181" s="11" t="str">
        <f aca="false">IF(AI181="","",COUNTIFS($AI$2:$AI$801,"&lt;"&amp;AI181,$E$2:$E$801,"&gt;0")+1)</f>
        <v/>
      </c>
      <c r="AK181" s="11" t="str">
        <f aca="false">IF(OR(A181="",N(E181)&lt;=0),"",COUNTIFS($AH$2:$AH$801,"&lt;"&amp;AH181,$E$2:$E$801,"&gt;0")+COUNTIFS($AH$2:AH181,AH181,$E$2:E181,"&gt;0"))</f>
        <v/>
      </c>
    </row>
    <row r="182" customFormat="false" ht="15" hidden="false" customHeight="false" outlineLevel="0" collapsed="false">
      <c r="A182" s="11" t="str">
        <f aca="false">IF(INVENTÁRIO!A182="","",INVENTÁRIO!A182)</f>
        <v/>
      </c>
      <c r="B182" s="11" t="str">
        <f aca="false">IF(A182="","",INVENTÁRIO!B182)</f>
        <v/>
      </c>
      <c r="C182" s="16" t="str">
        <f aca="false">IF(A182="","",INVENTÁRIO!C182)</f>
        <v/>
      </c>
      <c r="D182" s="14" t="str">
        <f aca="false">IF(A182="","",MAX(K182:AD182))</f>
        <v/>
      </c>
      <c r="E182" s="14" t="str">
        <f aca="false">IF(A182="","",MAX(0,D182-C182))</f>
        <v/>
      </c>
      <c r="F182" s="16" t="str">
        <f aca="false">IF(A182="","",IF(D182=0,"Fora dos decks",IF(E182=0,"Completo","Falta")))</f>
        <v/>
      </c>
      <c r="G182" s="16" t="str">
        <f aca="false">IF(A182="","",COUNTIF(K182:AD182,"&gt;0"))</f>
        <v/>
      </c>
      <c r="H182" s="16" t="str">
        <f aca="false">IF(A182="","",IF(G182&gt;1,"Sim",""))</f>
        <v/>
      </c>
      <c r="I182" s="18" t="str">
        <f aca="false">IF(A182="","",SUMIFS(DECKS!$D$2:$D$1201,DECKS!$B$2:$B$1201,A182))</f>
        <v/>
      </c>
      <c r="J182" s="18" t="str">
        <f aca="false">IF(A182="","",MAX(0,I182-C182))</f>
        <v/>
      </c>
      <c r="K182" s="19" t="str">
        <f aca="false">IF(OR($A182="",INDEX(_LEITURA!$Q$2:$Q$21,1)=0),"",SUMIFS(DECKS!$D$2:$D$1201,DECKS!$A$2:$A$1201,INDEX(_LEITURA!$P$2:$P$21,1),DECKS!$B$2:$B$1201,$A182))</f>
        <v/>
      </c>
      <c r="L182" s="19" t="str">
        <f aca="false">IF(OR($A182="",INDEX(_LEITURA!$Q$2:$Q$21,2)=0),"",SUMIFS(DECKS!$D$2:$D$1201,DECKS!$A$2:$A$1201,INDEX(_LEITURA!$P$2:$P$21,2),DECKS!$B$2:$B$1201,$A182))</f>
        <v/>
      </c>
      <c r="M182" s="19" t="str">
        <f aca="false">IF(OR($A182="",INDEX(_LEITURA!$Q$2:$Q$21,3)=0),"",SUMIFS(DECKS!$D$2:$D$1201,DECKS!$A$2:$A$1201,INDEX(_LEITURA!$P$2:$P$21,3),DECKS!$B$2:$B$1201,$A182))</f>
        <v/>
      </c>
      <c r="N182" s="19" t="str">
        <f aca="false">IF(OR($A182="",INDEX(_LEITURA!$Q$2:$Q$21,4)=0),"",SUMIFS(DECKS!$D$2:$D$1201,DECKS!$A$2:$A$1201,INDEX(_LEITURA!$P$2:$P$21,4),DECKS!$B$2:$B$1201,$A182))</f>
        <v/>
      </c>
      <c r="O182" s="19" t="str">
        <f aca="false">IF(OR($A182="",INDEX(_LEITURA!$Q$2:$Q$21,5)=0),"",SUMIFS(DECKS!$D$2:$D$1201,DECKS!$A$2:$A$1201,INDEX(_LEITURA!$P$2:$P$21,5),DECKS!$B$2:$B$1201,$A182))</f>
        <v/>
      </c>
      <c r="P182" s="19" t="str">
        <f aca="false">IF(OR($A182="",INDEX(_LEITURA!$Q$2:$Q$21,6)=0),"",SUMIFS(DECKS!$D$2:$D$1201,DECKS!$A$2:$A$1201,INDEX(_LEITURA!$P$2:$P$21,6),DECKS!$B$2:$B$1201,$A182))</f>
        <v/>
      </c>
      <c r="Q182" s="19" t="str">
        <f aca="false">IF(OR($A182="",INDEX(_LEITURA!$Q$2:$Q$21,7)=0),"",SUMIFS(DECKS!$D$2:$D$1201,DECKS!$A$2:$A$1201,INDEX(_LEITURA!$P$2:$P$21,7),DECKS!$B$2:$B$1201,$A182))</f>
        <v/>
      </c>
      <c r="R182" s="19" t="str">
        <f aca="false">IF(OR($A182="",INDEX(_LEITURA!$Q$2:$Q$21,8)=0),"",SUMIFS(DECKS!$D$2:$D$1201,DECKS!$A$2:$A$1201,INDEX(_LEITURA!$P$2:$P$21,8),DECKS!$B$2:$B$1201,$A182))</f>
        <v/>
      </c>
      <c r="S182" s="19" t="str">
        <f aca="false">IF(OR($A182="",INDEX(_LEITURA!$Q$2:$Q$21,9)=0),"",SUMIFS(DECKS!$D$2:$D$1201,DECKS!$A$2:$A$1201,INDEX(_LEITURA!$P$2:$P$21,9),DECKS!$B$2:$B$1201,$A182))</f>
        <v/>
      </c>
      <c r="T182" s="19" t="str">
        <f aca="false">IF(OR($A182="",INDEX(_LEITURA!$Q$2:$Q$21,10)=0),"",SUMIFS(DECKS!$D$2:$D$1201,DECKS!$A$2:$A$1201,INDEX(_LEITURA!$P$2:$P$21,10),DECKS!$B$2:$B$1201,$A182))</f>
        <v/>
      </c>
      <c r="U182" s="19" t="str">
        <f aca="false">IF(OR($A182="",INDEX(_LEITURA!$Q$2:$Q$21,11)=0),"",SUMIFS(DECKS!$D$2:$D$1201,DECKS!$A$2:$A$1201,INDEX(_LEITURA!$P$2:$P$21,11),DECKS!$B$2:$B$1201,$A182))</f>
        <v/>
      </c>
      <c r="V182" s="19" t="str">
        <f aca="false">IF(OR($A182="",INDEX(_LEITURA!$Q$2:$Q$21,12)=0),"",SUMIFS(DECKS!$D$2:$D$1201,DECKS!$A$2:$A$1201,INDEX(_LEITURA!$P$2:$P$21,12),DECKS!$B$2:$B$1201,$A182))</f>
        <v/>
      </c>
      <c r="W182" s="19" t="str">
        <f aca="false">IF(OR($A182="",INDEX(_LEITURA!$Q$2:$Q$21,13)=0),"",SUMIFS(DECKS!$D$2:$D$1201,DECKS!$A$2:$A$1201,INDEX(_LEITURA!$P$2:$P$21,13),DECKS!$B$2:$B$1201,$A182))</f>
        <v/>
      </c>
      <c r="X182" s="19" t="str">
        <f aca="false">IF(OR($A182="",INDEX(_LEITURA!$Q$2:$Q$21,14)=0),"",SUMIFS(DECKS!$D$2:$D$1201,DECKS!$A$2:$A$1201,INDEX(_LEITURA!$P$2:$P$21,14),DECKS!$B$2:$B$1201,$A182))</f>
        <v/>
      </c>
      <c r="Y182" s="19" t="str">
        <f aca="false">IF(OR($A182="",INDEX(_LEITURA!$Q$2:$Q$21,15)=0),"",SUMIFS(DECKS!$D$2:$D$1201,DECKS!$A$2:$A$1201,INDEX(_LEITURA!$P$2:$P$21,15),DECKS!$B$2:$B$1201,$A182))</f>
        <v/>
      </c>
      <c r="Z182" s="19" t="str">
        <f aca="false">IF(OR($A182="",INDEX(_LEITURA!$Q$2:$Q$21,16)=0),"",SUMIFS(DECKS!$D$2:$D$1201,DECKS!$A$2:$A$1201,INDEX(_LEITURA!$P$2:$P$21,16),DECKS!$B$2:$B$1201,$A182))</f>
        <v/>
      </c>
      <c r="AA182" s="19" t="str">
        <f aca="false">IF(OR($A182="",INDEX(_LEITURA!$Q$2:$Q$21,17)=0),"",SUMIFS(DECKS!$D$2:$D$1201,DECKS!$A$2:$A$1201,INDEX(_LEITURA!$P$2:$P$21,17),DECKS!$B$2:$B$1201,$A182))</f>
        <v/>
      </c>
      <c r="AB182" s="19" t="str">
        <f aca="false">IF(OR($A182="",INDEX(_LEITURA!$Q$2:$Q$21,18)=0),"",SUMIFS(DECKS!$D$2:$D$1201,DECKS!$A$2:$A$1201,INDEX(_LEITURA!$P$2:$P$21,18),DECKS!$B$2:$B$1201,$A182))</f>
        <v/>
      </c>
      <c r="AC182" s="19" t="str">
        <f aca="false">IF(OR($A182="",INDEX(_LEITURA!$Q$2:$Q$21,19)=0),"",SUMIFS(DECKS!$D$2:$D$1201,DECKS!$A$2:$A$1201,INDEX(_LEITURA!$P$2:$P$21,19),DECKS!$B$2:$B$1201,$A182))</f>
        <v/>
      </c>
      <c r="AD182" s="19" t="str">
        <f aca="false">IF(OR($A182="",INDEX(_LEITURA!$Q$2:$Q$21,20)=0),"",SUMIFS(DECKS!$D$2:$D$1201,DECKS!$A$2:$A$1201,INDEX(_LEITURA!$P$2:$P$21,20),DECKS!$B$2:$B$1201,$A182))</f>
        <v/>
      </c>
      <c r="AE182" s="16" t="str">
        <f aca="false">IF(N(E182)&gt;0,MAX(AE$1:AE181)+1,"")</f>
        <v/>
      </c>
      <c r="AF182" s="11" t="str">
        <f aca="false">IF(A182="","",IFERROR(LEFT(A182,FIND("-",A182)-1),A182))</f>
        <v/>
      </c>
      <c r="AG182" s="11" t="str">
        <f aca="false">IF(AF182="","",IF(ISNUMBER(--MID(AF182,1,1)),0,IF(ISNUMBER(--MID(AF182,2,1)),1,IF(ISNUMBER(--MID(AF182,3,1)),2,IF(ISNUMBER(--MID(AF182,4,1)),3,MIN(LEN(AF182),4))))))</f>
        <v/>
      </c>
      <c r="AH182" s="11" t="str">
        <f aca="false">IF(A182="","",LEFT(AF182,AG182)&amp;REPT("0",4-AG182)&amp;RIGHT("000"&amp;IFERROR(VALUE(MID(AF182,AG182+1,9)),0),3)&amp;RIGHT("0000"&amp;IFERROR(VALUE(MID(A182,FIND("-",A182)+1,9)),0),4))</f>
        <v/>
      </c>
      <c r="AI182" s="11" t="str">
        <f aca="false">IF(OR(A182="",N(E182)&lt;=0),"",IF('FALTAS GERAL'!$M$1="Código","K"&amp;AH182&amp;RIGHT("00000"&amp;ROW(),5),IF('FALTAS GERAL'!$M$1="Nome","K"&amp;UPPER(SUBSTITUTE(SUBSTITUTE(SUBSTITUTE(B182,"*",""),"?",""),"~",""))&amp;"0"&amp;AH182&amp;RIGHT("00000"&amp;ROW(),5),IF('FALTAS GERAL'!$M$1="Falta (maior primeiro)","K"&amp;RIGHT("0000"&amp;(9999-E182),4)&amp;AH182&amp;RIGHT("00000"&amp;ROW(),5),IF('FALTAS GERAL'!$M$1="Nº de decks (maior primeiro)","K"&amp;RIGHT("00"&amp;(99-N(G182)),2)&amp;AH182&amp;RIGHT("00000"&amp;ROW(),5),"K"&amp;RIGHT("00000"&amp;ROW(),5))))))</f>
        <v/>
      </c>
      <c r="AJ182" s="11" t="str">
        <f aca="false">IF(AI182="","",COUNTIFS($AI$2:$AI$801,"&lt;"&amp;AI182,$E$2:$E$801,"&gt;0")+1)</f>
        <v/>
      </c>
      <c r="AK182" s="11" t="str">
        <f aca="false">IF(OR(A182="",N(E182)&lt;=0),"",COUNTIFS($AH$2:$AH$801,"&lt;"&amp;AH182,$E$2:$E$801,"&gt;0")+COUNTIFS($AH$2:AH182,AH182,$E$2:E182,"&gt;0"))</f>
        <v/>
      </c>
    </row>
    <row r="183" customFormat="false" ht="15" hidden="false" customHeight="false" outlineLevel="0" collapsed="false">
      <c r="A183" s="11" t="str">
        <f aca="false">IF(INVENTÁRIO!A183="","",INVENTÁRIO!A183)</f>
        <v/>
      </c>
      <c r="B183" s="11" t="str">
        <f aca="false">IF(A183="","",INVENTÁRIO!B183)</f>
        <v/>
      </c>
      <c r="C183" s="16" t="str">
        <f aca="false">IF(A183="","",INVENTÁRIO!C183)</f>
        <v/>
      </c>
      <c r="D183" s="14" t="str">
        <f aca="false">IF(A183="","",MAX(K183:AD183))</f>
        <v/>
      </c>
      <c r="E183" s="14" t="str">
        <f aca="false">IF(A183="","",MAX(0,D183-C183))</f>
        <v/>
      </c>
      <c r="F183" s="16" t="str">
        <f aca="false">IF(A183="","",IF(D183=0,"Fora dos decks",IF(E183=0,"Completo","Falta")))</f>
        <v/>
      </c>
      <c r="G183" s="16" t="str">
        <f aca="false">IF(A183="","",COUNTIF(K183:AD183,"&gt;0"))</f>
        <v/>
      </c>
      <c r="H183" s="16" t="str">
        <f aca="false">IF(A183="","",IF(G183&gt;1,"Sim",""))</f>
        <v/>
      </c>
      <c r="I183" s="18" t="str">
        <f aca="false">IF(A183="","",SUMIFS(DECKS!$D$2:$D$1201,DECKS!$B$2:$B$1201,A183))</f>
        <v/>
      </c>
      <c r="J183" s="18" t="str">
        <f aca="false">IF(A183="","",MAX(0,I183-C183))</f>
        <v/>
      </c>
      <c r="K183" s="19" t="str">
        <f aca="false">IF(OR($A183="",INDEX(_LEITURA!$Q$2:$Q$21,1)=0),"",SUMIFS(DECKS!$D$2:$D$1201,DECKS!$A$2:$A$1201,INDEX(_LEITURA!$P$2:$P$21,1),DECKS!$B$2:$B$1201,$A183))</f>
        <v/>
      </c>
      <c r="L183" s="19" t="str">
        <f aca="false">IF(OR($A183="",INDEX(_LEITURA!$Q$2:$Q$21,2)=0),"",SUMIFS(DECKS!$D$2:$D$1201,DECKS!$A$2:$A$1201,INDEX(_LEITURA!$P$2:$P$21,2),DECKS!$B$2:$B$1201,$A183))</f>
        <v/>
      </c>
      <c r="M183" s="19" t="str">
        <f aca="false">IF(OR($A183="",INDEX(_LEITURA!$Q$2:$Q$21,3)=0),"",SUMIFS(DECKS!$D$2:$D$1201,DECKS!$A$2:$A$1201,INDEX(_LEITURA!$P$2:$P$21,3),DECKS!$B$2:$B$1201,$A183))</f>
        <v/>
      </c>
      <c r="N183" s="19" t="str">
        <f aca="false">IF(OR($A183="",INDEX(_LEITURA!$Q$2:$Q$21,4)=0),"",SUMIFS(DECKS!$D$2:$D$1201,DECKS!$A$2:$A$1201,INDEX(_LEITURA!$P$2:$P$21,4),DECKS!$B$2:$B$1201,$A183))</f>
        <v/>
      </c>
      <c r="O183" s="19" t="str">
        <f aca="false">IF(OR($A183="",INDEX(_LEITURA!$Q$2:$Q$21,5)=0),"",SUMIFS(DECKS!$D$2:$D$1201,DECKS!$A$2:$A$1201,INDEX(_LEITURA!$P$2:$P$21,5),DECKS!$B$2:$B$1201,$A183))</f>
        <v/>
      </c>
      <c r="P183" s="19" t="str">
        <f aca="false">IF(OR($A183="",INDEX(_LEITURA!$Q$2:$Q$21,6)=0),"",SUMIFS(DECKS!$D$2:$D$1201,DECKS!$A$2:$A$1201,INDEX(_LEITURA!$P$2:$P$21,6),DECKS!$B$2:$B$1201,$A183))</f>
        <v/>
      </c>
      <c r="Q183" s="19" t="str">
        <f aca="false">IF(OR($A183="",INDEX(_LEITURA!$Q$2:$Q$21,7)=0),"",SUMIFS(DECKS!$D$2:$D$1201,DECKS!$A$2:$A$1201,INDEX(_LEITURA!$P$2:$P$21,7),DECKS!$B$2:$B$1201,$A183))</f>
        <v/>
      </c>
      <c r="R183" s="19" t="str">
        <f aca="false">IF(OR($A183="",INDEX(_LEITURA!$Q$2:$Q$21,8)=0),"",SUMIFS(DECKS!$D$2:$D$1201,DECKS!$A$2:$A$1201,INDEX(_LEITURA!$P$2:$P$21,8),DECKS!$B$2:$B$1201,$A183))</f>
        <v/>
      </c>
      <c r="S183" s="19" t="str">
        <f aca="false">IF(OR($A183="",INDEX(_LEITURA!$Q$2:$Q$21,9)=0),"",SUMIFS(DECKS!$D$2:$D$1201,DECKS!$A$2:$A$1201,INDEX(_LEITURA!$P$2:$P$21,9),DECKS!$B$2:$B$1201,$A183))</f>
        <v/>
      </c>
      <c r="T183" s="19" t="str">
        <f aca="false">IF(OR($A183="",INDEX(_LEITURA!$Q$2:$Q$21,10)=0),"",SUMIFS(DECKS!$D$2:$D$1201,DECKS!$A$2:$A$1201,INDEX(_LEITURA!$P$2:$P$21,10),DECKS!$B$2:$B$1201,$A183))</f>
        <v/>
      </c>
      <c r="U183" s="19" t="str">
        <f aca="false">IF(OR($A183="",INDEX(_LEITURA!$Q$2:$Q$21,11)=0),"",SUMIFS(DECKS!$D$2:$D$1201,DECKS!$A$2:$A$1201,INDEX(_LEITURA!$P$2:$P$21,11),DECKS!$B$2:$B$1201,$A183))</f>
        <v/>
      </c>
      <c r="V183" s="19" t="str">
        <f aca="false">IF(OR($A183="",INDEX(_LEITURA!$Q$2:$Q$21,12)=0),"",SUMIFS(DECKS!$D$2:$D$1201,DECKS!$A$2:$A$1201,INDEX(_LEITURA!$P$2:$P$21,12),DECKS!$B$2:$B$1201,$A183))</f>
        <v/>
      </c>
      <c r="W183" s="19" t="str">
        <f aca="false">IF(OR($A183="",INDEX(_LEITURA!$Q$2:$Q$21,13)=0),"",SUMIFS(DECKS!$D$2:$D$1201,DECKS!$A$2:$A$1201,INDEX(_LEITURA!$P$2:$P$21,13),DECKS!$B$2:$B$1201,$A183))</f>
        <v/>
      </c>
      <c r="X183" s="19" t="str">
        <f aca="false">IF(OR($A183="",INDEX(_LEITURA!$Q$2:$Q$21,14)=0),"",SUMIFS(DECKS!$D$2:$D$1201,DECKS!$A$2:$A$1201,INDEX(_LEITURA!$P$2:$P$21,14),DECKS!$B$2:$B$1201,$A183))</f>
        <v/>
      </c>
      <c r="Y183" s="19" t="str">
        <f aca="false">IF(OR($A183="",INDEX(_LEITURA!$Q$2:$Q$21,15)=0),"",SUMIFS(DECKS!$D$2:$D$1201,DECKS!$A$2:$A$1201,INDEX(_LEITURA!$P$2:$P$21,15),DECKS!$B$2:$B$1201,$A183))</f>
        <v/>
      </c>
      <c r="Z183" s="19" t="str">
        <f aca="false">IF(OR($A183="",INDEX(_LEITURA!$Q$2:$Q$21,16)=0),"",SUMIFS(DECKS!$D$2:$D$1201,DECKS!$A$2:$A$1201,INDEX(_LEITURA!$P$2:$P$21,16),DECKS!$B$2:$B$1201,$A183))</f>
        <v/>
      </c>
      <c r="AA183" s="19" t="str">
        <f aca="false">IF(OR($A183="",INDEX(_LEITURA!$Q$2:$Q$21,17)=0),"",SUMIFS(DECKS!$D$2:$D$1201,DECKS!$A$2:$A$1201,INDEX(_LEITURA!$P$2:$P$21,17),DECKS!$B$2:$B$1201,$A183))</f>
        <v/>
      </c>
      <c r="AB183" s="19" t="str">
        <f aca="false">IF(OR($A183="",INDEX(_LEITURA!$Q$2:$Q$21,18)=0),"",SUMIFS(DECKS!$D$2:$D$1201,DECKS!$A$2:$A$1201,INDEX(_LEITURA!$P$2:$P$21,18),DECKS!$B$2:$B$1201,$A183))</f>
        <v/>
      </c>
      <c r="AC183" s="19" t="str">
        <f aca="false">IF(OR($A183="",INDEX(_LEITURA!$Q$2:$Q$21,19)=0),"",SUMIFS(DECKS!$D$2:$D$1201,DECKS!$A$2:$A$1201,INDEX(_LEITURA!$P$2:$P$21,19),DECKS!$B$2:$B$1201,$A183))</f>
        <v/>
      </c>
      <c r="AD183" s="19" t="str">
        <f aca="false">IF(OR($A183="",INDEX(_LEITURA!$Q$2:$Q$21,20)=0),"",SUMIFS(DECKS!$D$2:$D$1201,DECKS!$A$2:$A$1201,INDEX(_LEITURA!$P$2:$P$21,20),DECKS!$B$2:$B$1201,$A183))</f>
        <v/>
      </c>
      <c r="AE183" s="16" t="str">
        <f aca="false">IF(N(E183)&gt;0,MAX(AE$1:AE182)+1,"")</f>
        <v/>
      </c>
      <c r="AF183" s="11" t="str">
        <f aca="false">IF(A183="","",IFERROR(LEFT(A183,FIND("-",A183)-1),A183))</f>
        <v/>
      </c>
      <c r="AG183" s="11" t="str">
        <f aca="false">IF(AF183="","",IF(ISNUMBER(--MID(AF183,1,1)),0,IF(ISNUMBER(--MID(AF183,2,1)),1,IF(ISNUMBER(--MID(AF183,3,1)),2,IF(ISNUMBER(--MID(AF183,4,1)),3,MIN(LEN(AF183),4))))))</f>
        <v/>
      </c>
      <c r="AH183" s="11" t="str">
        <f aca="false">IF(A183="","",LEFT(AF183,AG183)&amp;REPT("0",4-AG183)&amp;RIGHT("000"&amp;IFERROR(VALUE(MID(AF183,AG183+1,9)),0),3)&amp;RIGHT("0000"&amp;IFERROR(VALUE(MID(A183,FIND("-",A183)+1,9)),0),4))</f>
        <v/>
      </c>
      <c r="AI183" s="11" t="str">
        <f aca="false">IF(OR(A183="",N(E183)&lt;=0),"",IF('FALTAS GERAL'!$M$1="Código","K"&amp;AH183&amp;RIGHT("00000"&amp;ROW(),5),IF('FALTAS GERAL'!$M$1="Nome","K"&amp;UPPER(SUBSTITUTE(SUBSTITUTE(SUBSTITUTE(B183,"*",""),"?",""),"~",""))&amp;"0"&amp;AH183&amp;RIGHT("00000"&amp;ROW(),5),IF('FALTAS GERAL'!$M$1="Falta (maior primeiro)","K"&amp;RIGHT("0000"&amp;(9999-E183),4)&amp;AH183&amp;RIGHT("00000"&amp;ROW(),5),IF('FALTAS GERAL'!$M$1="Nº de decks (maior primeiro)","K"&amp;RIGHT("00"&amp;(99-N(G183)),2)&amp;AH183&amp;RIGHT("00000"&amp;ROW(),5),"K"&amp;RIGHT("00000"&amp;ROW(),5))))))</f>
        <v/>
      </c>
      <c r="AJ183" s="11" t="str">
        <f aca="false">IF(AI183="","",COUNTIFS($AI$2:$AI$801,"&lt;"&amp;AI183,$E$2:$E$801,"&gt;0")+1)</f>
        <v/>
      </c>
      <c r="AK183" s="11" t="str">
        <f aca="false">IF(OR(A183="",N(E183)&lt;=0),"",COUNTIFS($AH$2:$AH$801,"&lt;"&amp;AH183,$E$2:$E$801,"&gt;0")+COUNTIFS($AH$2:AH183,AH183,$E$2:E183,"&gt;0"))</f>
        <v/>
      </c>
    </row>
    <row r="184" customFormat="false" ht="15" hidden="false" customHeight="false" outlineLevel="0" collapsed="false">
      <c r="A184" s="11" t="str">
        <f aca="false">IF(INVENTÁRIO!A184="","",INVENTÁRIO!A184)</f>
        <v/>
      </c>
      <c r="B184" s="11" t="str">
        <f aca="false">IF(A184="","",INVENTÁRIO!B184)</f>
        <v/>
      </c>
      <c r="C184" s="16" t="str">
        <f aca="false">IF(A184="","",INVENTÁRIO!C184)</f>
        <v/>
      </c>
      <c r="D184" s="14" t="str">
        <f aca="false">IF(A184="","",MAX(K184:AD184))</f>
        <v/>
      </c>
      <c r="E184" s="14" t="str">
        <f aca="false">IF(A184="","",MAX(0,D184-C184))</f>
        <v/>
      </c>
      <c r="F184" s="16" t="str">
        <f aca="false">IF(A184="","",IF(D184=0,"Fora dos decks",IF(E184=0,"Completo","Falta")))</f>
        <v/>
      </c>
      <c r="G184" s="16" t="str">
        <f aca="false">IF(A184="","",COUNTIF(K184:AD184,"&gt;0"))</f>
        <v/>
      </c>
      <c r="H184" s="16" t="str">
        <f aca="false">IF(A184="","",IF(G184&gt;1,"Sim",""))</f>
        <v/>
      </c>
      <c r="I184" s="18" t="str">
        <f aca="false">IF(A184="","",SUMIFS(DECKS!$D$2:$D$1201,DECKS!$B$2:$B$1201,A184))</f>
        <v/>
      </c>
      <c r="J184" s="18" t="str">
        <f aca="false">IF(A184="","",MAX(0,I184-C184))</f>
        <v/>
      </c>
      <c r="K184" s="19" t="str">
        <f aca="false">IF(OR($A184="",INDEX(_LEITURA!$Q$2:$Q$21,1)=0),"",SUMIFS(DECKS!$D$2:$D$1201,DECKS!$A$2:$A$1201,INDEX(_LEITURA!$P$2:$P$21,1),DECKS!$B$2:$B$1201,$A184))</f>
        <v/>
      </c>
      <c r="L184" s="19" t="str">
        <f aca="false">IF(OR($A184="",INDEX(_LEITURA!$Q$2:$Q$21,2)=0),"",SUMIFS(DECKS!$D$2:$D$1201,DECKS!$A$2:$A$1201,INDEX(_LEITURA!$P$2:$P$21,2),DECKS!$B$2:$B$1201,$A184))</f>
        <v/>
      </c>
      <c r="M184" s="19" t="str">
        <f aca="false">IF(OR($A184="",INDEX(_LEITURA!$Q$2:$Q$21,3)=0),"",SUMIFS(DECKS!$D$2:$D$1201,DECKS!$A$2:$A$1201,INDEX(_LEITURA!$P$2:$P$21,3),DECKS!$B$2:$B$1201,$A184))</f>
        <v/>
      </c>
      <c r="N184" s="19" t="str">
        <f aca="false">IF(OR($A184="",INDEX(_LEITURA!$Q$2:$Q$21,4)=0),"",SUMIFS(DECKS!$D$2:$D$1201,DECKS!$A$2:$A$1201,INDEX(_LEITURA!$P$2:$P$21,4),DECKS!$B$2:$B$1201,$A184))</f>
        <v/>
      </c>
      <c r="O184" s="19" t="str">
        <f aca="false">IF(OR($A184="",INDEX(_LEITURA!$Q$2:$Q$21,5)=0),"",SUMIFS(DECKS!$D$2:$D$1201,DECKS!$A$2:$A$1201,INDEX(_LEITURA!$P$2:$P$21,5),DECKS!$B$2:$B$1201,$A184))</f>
        <v/>
      </c>
      <c r="P184" s="19" t="str">
        <f aca="false">IF(OR($A184="",INDEX(_LEITURA!$Q$2:$Q$21,6)=0),"",SUMIFS(DECKS!$D$2:$D$1201,DECKS!$A$2:$A$1201,INDEX(_LEITURA!$P$2:$P$21,6),DECKS!$B$2:$B$1201,$A184))</f>
        <v/>
      </c>
      <c r="Q184" s="19" t="str">
        <f aca="false">IF(OR($A184="",INDEX(_LEITURA!$Q$2:$Q$21,7)=0),"",SUMIFS(DECKS!$D$2:$D$1201,DECKS!$A$2:$A$1201,INDEX(_LEITURA!$P$2:$P$21,7),DECKS!$B$2:$B$1201,$A184))</f>
        <v/>
      </c>
      <c r="R184" s="19" t="str">
        <f aca="false">IF(OR($A184="",INDEX(_LEITURA!$Q$2:$Q$21,8)=0),"",SUMIFS(DECKS!$D$2:$D$1201,DECKS!$A$2:$A$1201,INDEX(_LEITURA!$P$2:$P$21,8),DECKS!$B$2:$B$1201,$A184))</f>
        <v/>
      </c>
      <c r="S184" s="19" t="str">
        <f aca="false">IF(OR($A184="",INDEX(_LEITURA!$Q$2:$Q$21,9)=0),"",SUMIFS(DECKS!$D$2:$D$1201,DECKS!$A$2:$A$1201,INDEX(_LEITURA!$P$2:$P$21,9),DECKS!$B$2:$B$1201,$A184))</f>
        <v/>
      </c>
      <c r="T184" s="19" t="str">
        <f aca="false">IF(OR($A184="",INDEX(_LEITURA!$Q$2:$Q$21,10)=0),"",SUMIFS(DECKS!$D$2:$D$1201,DECKS!$A$2:$A$1201,INDEX(_LEITURA!$P$2:$P$21,10),DECKS!$B$2:$B$1201,$A184))</f>
        <v/>
      </c>
      <c r="U184" s="19" t="str">
        <f aca="false">IF(OR($A184="",INDEX(_LEITURA!$Q$2:$Q$21,11)=0),"",SUMIFS(DECKS!$D$2:$D$1201,DECKS!$A$2:$A$1201,INDEX(_LEITURA!$P$2:$P$21,11),DECKS!$B$2:$B$1201,$A184))</f>
        <v/>
      </c>
      <c r="V184" s="19" t="str">
        <f aca="false">IF(OR($A184="",INDEX(_LEITURA!$Q$2:$Q$21,12)=0),"",SUMIFS(DECKS!$D$2:$D$1201,DECKS!$A$2:$A$1201,INDEX(_LEITURA!$P$2:$P$21,12),DECKS!$B$2:$B$1201,$A184))</f>
        <v/>
      </c>
      <c r="W184" s="19" t="str">
        <f aca="false">IF(OR($A184="",INDEX(_LEITURA!$Q$2:$Q$21,13)=0),"",SUMIFS(DECKS!$D$2:$D$1201,DECKS!$A$2:$A$1201,INDEX(_LEITURA!$P$2:$P$21,13),DECKS!$B$2:$B$1201,$A184))</f>
        <v/>
      </c>
      <c r="X184" s="19" t="str">
        <f aca="false">IF(OR($A184="",INDEX(_LEITURA!$Q$2:$Q$21,14)=0),"",SUMIFS(DECKS!$D$2:$D$1201,DECKS!$A$2:$A$1201,INDEX(_LEITURA!$P$2:$P$21,14),DECKS!$B$2:$B$1201,$A184))</f>
        <v/>
      </c>
      <c r="Y184" s="19" t="str">
        <f aca="false">IF(OR($A184="",INDEX(_LEITURA!$Q$2:$Q$21,15)=0),"",SUMIFS(DECKS!$D$2:$D$1201,DECKS!$A$2:$A$1201,INDEX(_LEITURA!$P$2:$P$21,15),DECKS!$B$2:$B$1201,$A184))</f>
        <v/>
      </c>
      <c r="Z184" s="19" t="str">
        <f aca="false">IF(OR($A184="",INDEX(_LEITURA!$Q$2:$Q$21,16)=0),"",SUMIFS(DECKS!$D$2:$D$1201,DECKS!$A$2:$A$1201,INDEX(_LEITURA!$P$2:$P$21,16),DECKS!$B$2:$B$1201,$A184))</f>
        <v/>
      </c>
      <c r="AA184" s="19" t="str">
        <f aca="false">IF(OR($A184="",INDEX(_LEITURA!$Q$2:$Q$21,17)=0),"",SUMIFS(DECKS!$D$2:$D$1201,DECKS!$A$2:$A$1201,INDEX(_LEITURA!$P$2:$P$21,17),DECKS!$B$2:$B$1201,$A184))</f>
        <v/>
      </c>
      <c r="AB184" s="19" t="str">
        <f aca="false">IF(OR($A184="",INDEX(_LEITURA!$Q$2:$Q$21,18)=0),"",SUMIFS(DECKS!$D$2:$D$1201,DECKS!$A$2:$A$1201,INDEX(_LEITURA!$P$2:$P$21,18),DECKS!$B$2:$B$1201,$A184))</f>
        <v/>
      </c>
      <c r="AC184" s="19" t="str">
        <f aca="false">IF(OR($A184="",INDEX(_LEITURA!$Q$2:$Q$21,19)=0),"",SUMIFS(DECKS!$D$2:$D$1201,DECKS!$A$2:$A$1201,INDEX(_LEITURA!$P$2:$P$21,19),DECKS!$B$2:$B$1201,$A184))</f>
        <v/>
      </c>
      <c r="AD184" s="19" t="str">
        <f aca="false">IF(OR($A184="",INDEX(_LEITURA!$Q$2:$Q$21,20)=0),"",SUMIFS(DECKS!$D$2:$D$1201,DECKS!$A$2:$A$1201,INDEX(_LEITURA!$P$2:$P$21,20),DECKS!$B$2:$B$1201,$A184))</f>
        <v/>
      </c>
      <c r="AE184" s="16" t="str">
        <f aca="false">IF(N(E184)&gt;0,MAX(AE$1:AE183)+1,"")</f>
        <v/>
      </c>
      <c r="AF184" s="11" t="str">
        <f aca="false">IF(A184="","",IFERROR(LEFT(A184,FIND("-",A184)-1),A184))</f>
        <v/>
      </c>
      <c r="AG184" s="11" t="str">
        <f aca="false">IF(AF184="","",IF(ISNUMBER(--MID(AF184,1,1)),0,IF(ISNUMBER(--MID(AF184,2,1)),1,IF(ISNUMBER(--MID(AF184,3,1)),2,IF(ISNUMBER(--MID(AF184,4,1)),3,MIN(LEN(AF184),4))))))</f>
        <v/>
      </c>
      <c r="AH184" s="11" t="str">
        <f aca="false">IF(A184="","",LEFT(AF184,AG184)&amp;REPT("0",4-AG184)&amp;RIGHT("000"&amp;IFERROR(VALUE(MID(AF184,AG184+1,9)),0),3)&amp;RIGHT("0000"&amp;IFERROR(VALUE(MID(A184,FIND("-",A184)+1,9)),0),4))</f>
        <v/>
      </c>
      <c r="AI184" s="11" t="str">
        <f aca="false">IF(OR(A184="",N(E184)&lt;=0),"",IF('FALTAS GERAL'!$M$1="Código","K"&amp;AH184&amp;RIGHT("00000"&amp;ROW(),5),IF('FALTAS GERAL'!$M$1="Nome","K"&amp;UPPER(SUBSTITUTE(SUBSTITUTE(SUBSTITUTE(B184,"*",""),"?",""),"~",""))&amp;"0"&amp;AH184&amp;RIGHT("00000"&amp;ROW(),5),IF('FALTAS GERAL'!$M$1="Falta (maior primeiro)","K"&amp;RIGHT("0000"&amp;(9999-E184),4)&amp;AH184&amp;RIGHT("00000"&amp;ROW(),5),IF('FALTAS GERAL'!$M$1="Nº de decks (maior primeiro)","K"&amp;RIGHT("00"&amp;(99-N(G184)),2)&amp;AH184&amp;RIGHT("00000"&amp;ROW(),5),"K"&amp;RIGHT("00000"&amp;ROW(),5))))))</f>
        <v/>
      </c>
      <c r="AJ184" s="11" t="str">
        <f aca="false">IF(AI184="","",COUNTIFS($AI$2:$AI$801,"&lt;"&amp;AI184,$E$2:$E$801,"&gt;0")+1)</f>
        <v/>
      </c>
      <c r="AK184" s="11" t="str">
        <f aca="false">IF(OR(A184="",N(E184)&lt;=0),"",COUNTIFS($AH$2:$AH$801,"&lt;"&amp;AH184,$E$2:$E$801,"&gt;0")+COUNTIFS($AH$2:AH184,AH184,$E$2:E184,"&gt;0"))</f>
        <v/>
      </c>
    </row>
    <row r="185" customFormat="false" ht="15" hidden="false" customHeight="false" outlineLevel="0" collapsed="false">
      <c r="A185" s="11" t="str">
        <f aca="false">IF(INVENTÁRIO!A185="","",INVENTÁRIO!A185)</f>
        <v/>
      </c>
      <c r="B185" s="11" t="str">
        <f aca="false">IF(A185="","",INVENTÁRIO!B185)</f>
        <v/>
      </c>
      <c r="C185" s="16" t="str">
        <f aca="false">IF(A185="","",INVENTÁRIO!C185)</f>
        <v/>
      </c>
      <c r="D185" s="14" t="str">
        <f aca="false">IF(A185="","",MAX(K185:AD185))</f>
        <v/>
      </c>
      <c r="E185" s="14" t="str">
        <f aca="false">IF(A185="","",MAX(0,D185-C185))</f>
        <v/>
      </c>
      <c r="F185" s="16" t="str">
        <f aca="false">IF(A185="","",IF(D185=0,"Fora dos decks",IF(E185=0,"Completo","Falta")))</f>
        <v/>
      </c>
      <c r="G185" s="16" t="str">
        <f aca="false">IF(A185="","",COUNTIF(K185:AD185,"&gt;0"))</f>
        <v/>
      </c>
      <c r="H185" s="16" t="str">
        <f aca="false">IF(A185="","",IF(G185&gt;1,"Sim",""))</f>
        <v/>
      </c>
      <c r="I185" s="18" t="str">
        <f aca="false">IF(A185="","",SUMIFS(DECKS!$D$2:$D$1201,DECKS!$B$2:$B$1201,A185))</f>
        <v/>
      </c>
      <c r="J185" s="18" t="str">
        <f aca="false">IF(A185="","",MAX(0,I185-C185))</f>
        <v/>
      </c>
      <c r="K185" s="19" t="str">
        <f aca="false">IF(OR($A185="",INDEX(_LEITURA!$Q$2:$Q$21,1)=0),"",SUMIFS(DECKS!$D$2:$D$1201,DECKS!$A$2:$A$1201,INDEX(_LEITURA!$P$2:$P$21,1),DECKS!$B$2:$B$1201,$A185))</f>
        <v/>
      </c>
      <c r="L185" s="19" t="str">
        <f aca="false">IF(OR($A185="",INDEX(_LEITURA!$Q$2:$Q$21,2)=0),"",SUMIFS(DECKS!$D$2:$D$1201,DECKS!$A$2:$A$1201,INDEX(_LEITURA!$P$2:$P$21,2),DECKS!$B$2:$B$1201,$A185))</f>
        <v/>
      </c>
      <c r="M185" s="19" t="str">
        <f aca="false">IF(OR($A185="",INDEX(_LEITURA!$Q$2:$Q$21,3)=0),"",SUMIFS(DECKS!$D$2:$D$1201,DECKS!$A$2:$A$1201,INDEX(_LEITURA!$P$2:$P$21,3),DECKS!$B$2:$B$1201,$A185))</f>
        <v/>
      </c>
      <c r="N185" s="19" t="str">
        <f aca="false">IF(OR($A185="",INDEX(_LEITURA!$Q$2:$Q$21,4)=0),"",SUMIFS(DECKS!$D$2:$D$1201,DECKS!$A$2:$A$1201,INDEX(_LEITURA!$P$2:$P$21,4),DECKS!$B$2:$B$1201,$A185))</f>
        <v/>
      </c>
      <c r="O185" s="19" t="str">
        <f aca="false">IF(OR($A185="",INDEX(_LEITURA!$Q$2:$Q$21,5)=0),"",SUMIFS(DECKS!$D$2:$D$1201,DECKS!$A$2:$A$1201,INDEX(_LEITURA!$P$2:$P$21,5),DECKS!$B$2:$B$1201,$A185))</f>
        <v/>
      </c>
      <c r="P185" s="19" t="str">
        <f aca="false">IF(OR($A185="",INDEX(_LEITURA!$Q$2:$Q$21,6)=0),"",SUMIFS(DECKS!$D$2:$D$1201,DECKS!$A$2:$A$1201,INDEX(_LEITURA!$P$2:$P$21,6),DECKS!$B$2:$B$1201,$A185))</f>
        <v/>
      </c>
      <c r="Q185" s="19" t="str">
        <f aca="false">IF(OR($A185="",INDEX(_LEITURA!$Q$2:$Q$21,7)=0),"",SUMIFS(DECKS!$D$2:$D$1201,DECKS!$A$2:$A$1201,INDEX(_LEITURA!$P$2:$P$21,7),DECKS!$B$2:$B$1201,$A185))</f>
        <v/>
      </c>
      <c r="R185" s="19" t="str">
        <f aca="false">IF(OR($A185="",INDEX(_LEITURA!$Q$2:$Q$21,8)=0),"",SUMIFS(DECKS!$D$2:$D$1201,DECKS!$A$2:$A$1201,INDEX(_LEITURA!$P$2:$P$21,8),DECKS!$B$2:$B$1201,$A185))</f>
        <v/>
      </c>
      <c r="S185" s="19" t="str">
        <f aca="false">IF(OR($A185="",INDEX(_LEITURA!$Q$2:$Q$21,9)=0),"",SUMIFS(DECKS!$D$2:$D$1201,DECKS!$A$2:$A$1201,INDEX(_LEITURA!$P$2:$P$21,9),DECKS!$B$2:$B$1201,$A185))</f>
        <v/>
      </c>
      <c r="T185" s="19" t="str">
        <f aca="false">IF(OR($A185="",INDEX(_LEITURA!$Q$2:$Q$21,10)=0),"",SUMIFS(DECKS!$D$2:$D$1201,DECKS!$A$2:$A$1201,INDEX(_LEITURA!$P$2:$P$21,10),DECKS!$B$2:$B$1201,$A185))</f>
        <v/>
      </c>
      <c r="U185" s="19" t="str">
        <f aca="false">IF(OR($A185="",INDEX(_LEITURA!$Q$2:$Q$21,11)=0),"",SUMIFS(DECKS!$D$2:$D$1201,DECKS!$A$2:$A$1201,INDEX(_LEITURA!$P$2:$P$21,11),DECKS!$B$2:$B$1201,$A185))</f>
        <v/>
      </c>
      <c r="V185" s="19" t="str">
        <f aca="false">IF(OR($A185="",INDEX(_LEITURA!$Q$2:$Q$21,12)=0),"",SUMIFS(DECKS!$D$2:$D$1201,DECKS!$A$2:$A$1201,INDEX(_LEITURA!$P$2:$P$21,12),DECKS!$B$2:$B$1201,$A185))</f>
        <v/>
      </c>
      <c r="W185" s="19" t="str">
        <f aca="false">IF(OR($A185="",INDEX(_LEITURA!$Q$2:$Q$21,13)=0),"",SUMIFS(DECKS!$D$2:$D$1201,DECKS!$A$2:$A$1201,INDEX(_LEITURA!$P$2:$P$21,13),DECKS!$B$2:$B$1201,$A185))</f>
        <v/>
      </c>
      <c r="X185" s="19" t="str">
        <f aca="false">IF(OR($A185="",INDEX(_LEITURA!$Q$2:$Q$21,14)=0),"",SUMIFS(DECKS!$D$2:$D$1201,DECKS!$A$2:$A$1201,INDEX(_LEITURA!$P$2:$P$21,14),DECKS!$B$2:$B$1201,$A185))</f>
        <v/>
      </c>
      <c r="Y185" s="19" t="str">
        <f aca="false">IF(OR($A185="",INDEX(_LEITURA!$Q$2:$Q$21,15)=0),"",SUMIFS(DECKS!$D$2:$D$1201,DECKS!$A$2:$A$1201,INDEX(_LEITURA!$P$2:$P$21,15),DECKS!$B$2:$B$1201,$A185))</f>
        <v/>
      </c>
      <c r="Z185" s="19" t="str">
        <f aca="false">IF(OR($A185="",INDEX(_LEITURA!$Q$2:$Q$21,16)=0),"",SUMIFS(DECKS!$D$2:$D$1201,DECKS!$A$2:$A$1201,INDEX(_LEITURA!$P$2:$P$21,16),DECKS!$B$2:$B$1201,$A185))</f>
        <v/>
      </c>
      <c r="AA185" s="19" t="str">
        <f aca="false">IF(OR($A185="",INDEX(_LEITURA!$Q$2:$Q$21,17)=0),"",SUMIFS(DECKS!$D$2:$D$1201,DECKS!$A$2:$A$1201,INDEX(_LEITURA!$P$2:$P$21,17),DECKS!$B$2:$B$1201,$A185))</f>
        <v/>
      </c>
      <c r="AB185" s="19" t="str">
        <f aca="false">IF(OR($A185="",INDEX(_LEITURA!$Q$2:$Q$21,18)=0),"",SUMIFS(DECKS!$D$2:$D$1201,DECKS!$A$2:$A$1201,INDEX(_LEITURA!$P$2:$P$21,18),DECKS!$B$2:$B$1201,$A185))</f>
        <v/>
      </c>
      <c r="AC185" s="19" t="str">
        <f aca="false">IF(OR($A185="",INDEX(_LEITURA!$Q$2:$Q$21,19)=0),"",SUMIFS(DECKS!$D$2:$D$1201,DECKS!$A$2:$A$1201,INDEX(_LEITURA!$P$2:$P$21,19),DECKS!$B$2:$B$1201,$A185))</f>
        <v/>
      </c>
      <c r="AD185" s="19" t="str">
        <f aca="false">IF(OR($A185="",INDEX(_LEITURA!$Q$2:$Q$21,20)=0),"",SUMIFS(DECKS!$D$2:$D$1201,DECKS!$A$2:$A$1201,INDEX(_LEITURA!$P$2:$P$21,20),DECKS!$B$2:$B$1201,$A185))</f>
        <v/>
      </c>
      <c r="AE185" s="16" t="str">
        <f aca="false">IF(N(E185)&gt;0,MAX(AE$1:AE184)+1,"")</f>
        <v/>
      </c>
      <c r="AF185" s="11" t="str">
        <f aca="false">IF(A185="","",IFERROR(LEFT(A185,FIND("-",A185)-1),A185))</f>
        <v/>
      </c>
      <c r="AG185" s="11" t="str">
        <f aca="false">IF(AF185="","",IF(ISNUMBER(--MID(AF185,1,1)),0,IF(ISNUMBER(--MID(AF185,2,1)),1,IF(ISNUMBER(--MID(AF185,3,1)),2,IF(ISNUMBER(--MID(AF185,4,1)),3,MIN(LEN(AF185),4))))))</f>
        <v/>
      </c>
      <c r="AH185" s="11" t="str">
        <f aca="false">IF(A185="","",LEFT(AF185,AG185)&amp;REPT("0",4-AG185)&amp;RIGHT("000"&amp;IFERROR(VALUE(MID(AF185,AG185+1,9)),0),3)&amp;RIGHT("0000"&amp;IFERROR(VALUE(MID(A185,FIND("-",A185)+1,9)),0),4))</f>
        <v/>
      </c>
      <c r="AI185" s="11" t="str">
        <f aca="false">IF(OR(A185="",N(E185)&lt;=0),"",IF('FALTAS GERAL'!$M$1="Código","K"&amp;AH185&amp;RIGHT("00000"&amp;ROW(),5),IF('FALTAS GERAL'!$M$1="Nome","K"&amp;UPPER(SUBSTITUTE(SUBSTITUTE(SUBSTITUTE(B185,"*",""),"?",""),"~",""))&amp;"0"&amp;AH185&amp;RIGHT("00000"&amp;ROW(),5),IF('FALTAS GERAL'!$M$1="Falta (maior primeiro)","K"&amp;RIGHT("0000"&amp;(9999-E185),4)&amp;AH185&amp;RIGHT("00000"&amp;ROW(),5),IF('FALTAS GERAL'!$M$1="Nº de decks (maior primeiro)","K"&amp;RIGHT("00"&amp;(99-N(G185)),2)&amp;AH185&amp;RIGHT("00000"&amp;ROW(),5),"K"&amp;RIGHT("00000"&amp;ROW(),5))))))</f>
        <v/>
      </c>
      <c r="AJ185" s="11" t="str">
        <f aca="false">IF(AI185="","",COUNTIFS($AI$2:$AI$801,"&lt;"&amp;AI185,$E$2:$E$801,"&gt;0")+1)</f>
        <v/>
      </c>
      <c r="AK185" s="11" t="str">
        <f aca="false">IF(OR(A185="",N(E185)&lt;=0),"",COUNTIFS($AH$2:$AH$801,"&lt;"&amp;AH185,$E$2:$E$801,"&gt;0")+COUNTIFS($AH$2:AH185,AH185,$E$2:E185,"&gt;0"))</f>
        <v/>
      </c>
    </row>
    <row r="186" customFormat="false" ht="15" hidden="false" customHeight="false" outlineLevel="0" collapsed="false">
      <c r="A186" s="11" t="str">
        <f aca="false">IF(INVENTÁRIO!A186="","",INVENTÁRIO!A186)</f>
        <v/>
      </c>
      <c r="B186" s="11" t="str">
        <f aca="false">IF(A186="","",INVENTÁRIO!B186)</f>
        <v/>
      </c>
      <c r="C186" s="16" t="str">
        <f aca="false">IF(A186="","",INVENTÁRIO!C186)</f>
        <v/>
      </c>
      <c r="D186" s="14" t="str">
        <f aca="false">IF(A186="","",MAX(K186:AD186))</f>
        <v/>
      </c>
      <c r="E186" s="14" t="str">
        <f aca="false">IF(A186="","",MAX(0,D186-C186))</f>
        <v/>
      </c>
      <c r="F186" s="16" t="str">
        <f aca="false">IF(A186="","",IF(D186=0,"Fora dos decks",IF(E186=0,"Completo","Falta")))</f>
        <v/>
      </c>
      <c r="G186" s="16" t="str">
        <f aca="false">IF(A186="","",COUNTIF(K186:AD186,"&gt;0"))</f>
        <v/>
      </c>
      <c r="H186" s="16" t="str">
        <f aca="false">IF(A186="","",IF(G186&gt;1,"Sim",""))</f>
        <v/>
      </c>
      <c r="I186" s="18" t="str">
        <f aca="false">IF(A186="","",SUMIFS(DECKS!$D$2:$D$1201,DECKS!$B$2:$B$1201,A186))</f>
        <v/>
      </c>
      <c r="J186" s="18" t="str">
        <f aca="false">IF(A186="","",MAX(0,I186-C186))</f>
        <v/>
      </c>
      <c r="K186" s="19" t="str">
        <f aca="false">IF(OR($A186="",INDEX(_LEITURA!$Q$2:$Q$21,1)=0),"",SUMIFS(DECKS!$D$2:$D$1201,DECKS!$A$2:$A$1201,INDEX(_LEITURA!$P$2:$P$21,1),DECKS!$B$2:$B$1201,$A186))</f>
        <v/>
      </c>
      <c r="L186" s="19" t="str">
        <f aca="false">IF(OR($A186="",INDEX(_LEITURA!$Q$2:$Q$21,2)=0),"",SUMIFS(DECKS!$D$2:$D$1201,DECKS!$A$2:$A$1201,INDEX(_LEITURA!$P$2:$P$21,2),DECKS!$B$2:$B$1201,$A186))</f>
        <v/>
      </c>
      <c r="M186" s="19" t="str">
        <f aca="false">IF(OR($A186="",INDEX(_LEITURA!$Q$2:$Q$21,3)=0),"",SUMIFS(DECKS!$D$2:$D$1201,DECKS!$A$2:$A$1201,INDEX(_LEITURA!$P$2:$P$21,3),DECKS!$B$2:$B$1201,$A186))</f>
        <v/>
      </c>
      <c r="N186" s="19" t="str">
        <f aca="false">IF(OR($A186="",INDEX(_LEITURA!$Q$2:$Q$21,4)=0),"",SUMIFS(DECKS!$D$2:$D$1201,DECKS!$A$2:$A$1201,INDEX(_LEITURA!$P$2:$P$21,4),DECKS!$B$2:$B$1201,$A186))</f>
        <v/>
      </c>
      <c r="O186" s="19" t="str">
        <f aca="false">IF(OR($A186="",INDEX(_LEITURA!$Q$2:$Q$21,5)=0),"",SUMIFS(DECKS!$D$2:$D$1201,DECKS!$A$2:$A$1201,INDEX(_LEITURA!$P$2:$P$21,5),DECKS!$B$2:$B$1201,$A186))</f>
        <v/>
      </c>
      <c r="P186" s="19" t="str">
        <f aca="false">IF(OR($A186="",INDEX(_LEITURA!$Q$2:$Q$21,6)=0),"",SUMIFS(DECKS!$D$2:$D$1201,DECKS!$A$2:$A$1201,INDEX(_LEITURA!$P$2:$P$21,6),DECKS!$B$2:$B$1201,$A186))</f>
        <v/>
      </c>
      <c r="Q186" s="19" t="str">
        <f aca="false">IF(OR($A186="",INDEX(_LEITURA!$Q$2:$Q$21,7)=0),"",SUMIFS(DECKS!$D$2:$D$1201,DECKS!$A$2:$A$1201,INDEX(_LEITURA!$P$2:$P$21,7),DECKS!$B$2:$B$1201,$A186))</f>
        <v/>
      </c>
      <c r="R186" s="19" t="str">
        <f aca="false">IF(OR($A186="",INDEX(_LEITURA!$Q$2:$Q$21,8)=0),"",SUMIFS(DECKS!$D$2:$D$1201,DECKS!$A$2:$A$1201,INDEX(_LEITURA!$P$2:$P$21,8),DECKS!$B$2:$B$1201,$A186))</f>
        <v/>
      </c>
      <c r="S186" s="19" t="str">
        <f aca="false">IF(OR($A186="",INDEX(_LEITURA!$Q$2:$Q$21,9)=0),"",SUMIFS(DECKS!$D$2:$D$1201,DECKS!$A$2:$A$1201,INDEX(_LEITURA!$P$2:$P$21,9),DECKS!$B$2:$B$1201,$A186))</f>
        <v/>
      </c>
      <c r="T186" s="19" t="str">
        <f aca="false">IF(OR($A186="",INDEX(_LEITURA!$Q$2:$Q$21,10)=0),"",SUMIFS(DECKS!$D$2:$D$1201,DECKS!$A$2:$A$1201,INDEX(_LEITURA!$P$2:$P$21,10),DECKS!$B$2:$B$1201,$A186))</f>
        <v/>
      </c>
      <c r="U186" s="19" t="str">
        <f aca="false">IF(OR($A186="",INDEX(_LEITURA!$Q$2:$Q$21,11)=0),"",SUMIFS(DECKS!$D$2:$D$1201,DECKS!$A$2:$A$1201,INDEX(_LEITURA!$P$2:$P$21,11),DECKS!$B$2:$B$1201,$A186))</f>
        <v/>
      </c>
      <c r="V186" s="19" t="str">
        <f aca="false">IF(OR($A186="",INDEX(_LEITURA!$Q$2:$Q$21,12)=0),"",SUMIFS(DECKS!$D$2:$D$1201,DECKS!$A$2:$A$1201,INDEX(_LEITURA!$P$2:$P$21,12),DECKS!$B$2:$B$1201,$A186))</f>
        <v/>
      </c>
      <c r="W186" s="19" t="str">
        <f aca="false">IF(OR($A186="",INDEX(_LEITURA!$Q$2:$Q$21,13)=0),"",SUMIFS(DECKS!$D$2:$D$1201,DECKS!$A$2:$A$1201,INDEX(_LEITURA!$P$2:$P$21,13),DECKS!$B$2:$B$1201,$A186))</f>
        <v/>
      </c>
      <c r="X186" s="19" t="str">
        <f aca="false">IF(OR($A186="",INDEX(_LEITURA!$Q$2:$Q$21,14)=0),"",SUMIFS(DECKS!$D$2:$D$1201,DECKS!$A$2:$A$1201,INDEX(_LEITURA!$P$2:$P$21,14),DECKS!$B$2:$B$1201,$A186))</f>
        <v/>
      </c>
      <c r="Y186" s="19" t="str">
        <f aca="false">IF(OR($A186="",INDEX(_LEITURA!$Q$2:$Q$21,15)=0),"",SUMIFS(DECKS!$D$2:$D$1201,DECKS!$A$2:$A$1201,INDEX(_LEITURA!$P$2:$P$21,15),DECKS!$B$2:$B$1201,$A186))</f>
        <v/>
      </c>
      <c r="Z186" s="19" t="str">
        <f aca="false">IF(OR($A186="",INDEX(_LEITURA!$Q$2:$Q$21,16)=0),"",SUMIFS(DECKS!$D$2:$D$1201,DECKS!$A$2:$A$1201,INDEX(_LEITURA!$P$2:$P$21,16),DECKS!$B$2:$B$1201,$A186))</f>
        <v/>
      </c>
      <c r="AA186" s="19" t="str">
        <f aca="false">IF(OR($A186="",INDEX(_LEITURA!$Q$2:$Q$21,17)=0),"",SUMIFS(DECKS!$D$2:$D$1201,DECKS!$A$2:$A$1201,INDEX(_LEITURA!$P$2:$P$21,17),DECKS!$B$2:$B$1201,$A186))</f>
        <v/>
      </c>
      <c r="AB186" s="19" t="str">
        <f aca="false">IF(OR($A186="",INDEX(_LEITURA!$Q$2:$Q$21,18)=0),"",SUMIFS(DECKS!$D$2:$D$1201,DECKS!$A$2:$A$1201,INDEX(_LEITURA!$P$2:$P$21,18),DECKS!$B$2:$B$1201,$A186))</f>
        <v/>
      </c>
      <c r="AC186" s="19" t="str">
        <f aca="false">IF(OR($A186="",INDEX(_LEITURA!$Q$2:$Q$21,19)=0),"",SUMIFS(DECKS!$D$2:$D$1201,DECKS!$A$2:$A$1201,INDEX(_LEITURA!$P$2:$P$21,19),DECKS!$B$2:$B$1201,$A186))</f>
        <v/>
      </c>
      <c r="AD186" s="19" t="str">
        <f aca="false">IF(OR($A186="",INDEX(_LEITURA!$Q$2:$Q$21,20)=0),"",SUMIFS(DECKS!$D$2:$D$1201,DECKS!$A$2:$A$1201,INDEX(_LEITURA!$P$2:$P$21,20),DECKS!$B$2:$B$1201,$A186))</f>
        <v/>
      </c>
      <c r="AE186" s="16" t="str">
        <f aca="false">IF(N(E186)&gt;0,MAX(AE$1:AE185)+1,"")</f>
        <v/>
      </c>
      <c r="AF186" s="11" t="str">
        <f aca="false">IF(A186="","",IFERROR(LEFT(A186,FIND("-",A186)-1),A186))</f>
        <v/>
      </c>
      <c r="AG186" s="11" t="str">
        <f aca="false">IF(AF186="","",IF(ISNUMBER(--MID(AF186,1,1)),0,IF(ISNUMBER(--MID(AF186,2,1)),1,IF(ISNUMBER(--MID(AF186,3,1)),2,IF(ISNUMBER(--MID(AF186,4,1)),3,MIN(LEN(AF186),4))))))</f>
        <v/>
      </c>
      <c r="AH186" s="11" t="str">
        <f aca="false">IF(A186="","",LEFT(AF186,AG186)&amp;REPT("0",4-AG186)&amp;RIGHT("000"&amp;IFERROR(VALUE(MID(AF186,AG186+1,9)),0),3)&amp;RIGHT("0000"&amp;IFERROR(VALUE(MID(A186,FIND("-",A186)+1,9)),0),4))</f>
        <v/>
      </c>
      <c r="AI186" s="11" t="str">
        <f aca="false">IF(OR(A186="",N(E186)&lt;=0),"",IF('FALTAS GERAL'!$M$1="Código","K"&amp;AH186&amp;RIGHT("00000"&amp;ROW(),5),IF('FALTAS GERAL'!$M$1="Nome","K"&amp;UPPER(SUBSTITUTE(SUBSTITUTE(SUBSTITUTE(B186,"*",""),"?",""),"~",""))&amp;"0"&amp;AH186&amp;RIGHT("00000"&amp;ROW(),5),IF('FALTAS GERAL'!$M$1="Falta (maior primeiro)","K"&amp;RIGHT("0000"&amp;(9999-E186),4)&amp;AH186&amp;RIGHT("00000"&amp;ROW(),5),IF('FALTAS GERAL'!$M$1="Nº de decks (maior primeiro)","K"&amp;RIGHT("00"&amp;(99-N(G186)),2)&amp;AH186&amp;RIGHT("00000"&amp;ROW(),5),"K"&amp;RIGHT("00000"&amp;ROW(),5))))))</f>
        <v/>
      </c>
      <c r="AJ186" s="11" t="str">
        <f aca="false">IF(AI186="","",COUNTIFS($AI$2:$AI$801,"&lt;"&amp;AI186,$E$2:$E$801,"&gt;0")+1)</f>
        <v/>
      </c>
      <c r="AK186" s="11" t="str">
        <f aca="false">IF(OR(A186="",N(E186)&lt;=0),"",COUNTIFS($AH$2:$AH$801,"&lt;"&amp;AH186,$E$2:$E$801,"&gt;0")+COUNTIFS($AH$2:AH186,AH186,$E$2:E186,"&gt;0"))</f>
        <v/>
      </c>
    </row>
    <row r="187" customFormat="false" ht="15" hidden="false" customHeight="false" outlineLevel="0" collapsed="false">
      <c r="A187" s="11" t="str">
        <f aca="false">IF(INVENTÁRIO!A187="","",INVENTÁRIO!A187)</f>
        <v/>
      </c>
      <c r="B187" s="11" t="str">
        <f aca="false">IF(A187="","",INVENTÁRIO!B187)</f>
        <v/>
      </c>
      <c r="C187" s="16" t="str">
        <f aca="false">IF(A187="","",INVENTÁRIO!C187)</f>
        <v/>
      </c>
      <c r="D187" s="14" t="str">
        <f aca="false">IF(A187="","",MAX(K187:AD187))</f>
        <v/>
      </c>
      <c r="E187" s="14" t="str">
        <f aca="false">IF(A187="","",MAX(0,D187-C187))</f>
        <v/>
      </c>
      <c r="F187" s="16" t="str">
        <f aca="false">IF(A187="","",IF(D187=0,"Fora dos decks",IF(E187=0,"Completo","Falta")))</f>
        <v/>
      </c>
      <c r="G187" s="16" t="str">
        <f aca="false">IF(A187="","",COUNTIF(K187:AD187,"&gt;0"))</f>
        <v/>
      </c>
      <c r="H187" s="16" t="str">
        <f aca="false">IF(A187="","",IF(G187&gt;1,"Sim",""))</f>
        <v/>
      </c>
      <c r="I187" s="18" t="str">
        <f aca="false">IF(A187="","",SUMIFS(DECKS!$D$2:$D$1201,DECKS!$B$2:$B$1201,A187))</f>
        <v/>
      </c>
      <c r="J187" s="18" t="str">
        <f aca="false">IF(A187="","",MAX(0,I187-C187))</f>
        <v/>
      </c>
      <c r="K187" s="19" t="str">
        <f aca="false">IF(OR($A187="",INDEX(_LEITURA!$Q$2:$Q$21,1)=0),"",SUMIFS(DECKS!$D$2:$D$1201,DECKS!$A$2:$A$1201,INDEX(_LEITURA!$P$2:$P$21,1),DECKS!$B$2:$B$1201,$A187))</f>
        <v/>
      </c>
      <c r="L187" s="19" t="str">
        <f aca="false">IF(OR($A187="",INDEX(_LEITURA!$Q$2:$Q$21,2)=0),"",SUMIFS(DECKS!$D$2:$D$1201,DECKS!$A$2:$A$1201,INDEX(_LEITURA!$P$2:$P$21,2),DECKS!$B$2:$B$1201,$A187))</f>
        <v/>
      </c>
      <c r="M187" s="19" t="str">
        <f aca="false">IF(OR($A187="",INDEX(_LEITURA!$Q$2:$Q$21,3)=0),"",SUMIFS(DECKS!$D$2:$D$1201,DECKS!$A$2:$A$1201,INDEX(_LEITURA!$P$2:$P$21,3),DECKS!$B$2:$B$1201,$A187))</f>
        <v/>
      </c>
      <c r="N187" s="19" t="str">
        <f aca="false">IF(OR($A187="",INDEX(_LEITURA!$Q$2:$Q$21,4)=0),"",SUMIFS(DECKS!$D$2:$D$1201,DECKS!$A$2:$A$1201,INDEX(_LEITURA!$P$2:$P$21,4),DECKS!$B$2:$B$1201,$A187))</f>
        <v/>
      </c>
      <c r="O187" s="19" t="str">
        <f aca="false">IF(OR($A187="",INDEX(_LEITURA!$Q$2:$Q$21,5)=0),"",SUMIFS(DECKS!$D$2:$D$1201,DECKS!$A$2:$A$1201,INDEX(_LEITURA!$P$2:$P$21,5),DECKS!$B$2:$B$1201,$A187))</f>
        <v/>
      </c>
      <c r="P187" s="19" t="str">
        <f aca="false">IF(OR($A187="",INDEX(_LEITURA!$Q$2:$Q$21,6)=0),"",SUMIFS(DECKS!$D$2:$D$1201,DECKS!$A$2:$A$1201,INDEX(_LEITURA!$P$2:$P$21,6),DECKS!$B$2:$B$1201,$A187))</f>
        <v/>
      </c>
      <c r="Q187" s="19" t="str">
        <f aca="false">IF(OR($A187="",INDEX(_LEITURA!$Q$2:$Q$21,7)=0),"",SUMIFS(DECKS!$D$2:$D$1201,DECKS!$A$2:$A$1201,INDEX(_LEITURA!$P$2:$P$21,7),DECKS!$B$2:$B$1201,$A187))</f>
        <v/>
      </c>
      <c r="R187" s="19" t="str">
        <f aca="false">IF(OR($A187="",INDEX(_LEITURA!$Q$2:$Q$21,8)=0),"",SUMIFS(DECKS!$D$2:$D$1201,DECKS!$A$2:$A$1201,INDEX(_LEITURA!$P$2:$P$21,8),DECKS!$B$2:$B$1201,$A187))</f>
        <v/>
      </c>
      <c r="S187" s="19" t="str">
        <f aca="false">IF(OR($A187="",INDEX(_LEITURA!$Q$2:$Q$21,9)=0),"",SUMIFS(DECKS!$D$2:$D$1201,DECKS!$A$2:$A$1201,INDEX(_LEITURA!$P$2:$P$21,9),DECKS!$B$2:$B$1201,$A187))</f>
        <v/>
      </c>
      <c r="T187" s="19" t="str">
        <f aca="false">IF(OR($A187="",INDEX(_LEITURA!$Q$2:$Q$21,10)=0),"",SUMIFS(DECKS!$D$2:$D$1201,DECKS!$A$2:$A$1201,INDEX(_LEITURA!$P$2:$P$21,10),DECKS!$B$2:$B$1201,$A187))</f>
        <v/>
      </c>
      <c r="U187" s="19" t="str">
        <f aca="false">IF(OR($A187="",INDEX(_LEITURA!$Q$2:$Q$21,11)=0),"",SUMIFS(DECKS!$D$2:$D$1201,DECKS!$A$2:$A$1201,INDEX(_LEITURA!$P$2:$P$21,11),DECKS!$B$2:$B$1201,$A187))</f>
        <v/>
      </c>
      <c r="V187" s="19" t="str">
        <f aca="false">IF(OR($A187="",INDEX(_LEITURA!$Q$2:$Q$21,12)=0),"",SUMIFS(DECKS!$D$2:$D$1201,DECKS!$A$2:$A$1201,INDEX(_LEITURA!$P$2:$P$21,12),DECKS!$B$2:$B$1201,$A187))</f>
        <v/>
      </c>
      <c r="W187" s="19" t="str">
        <f aca="false">IF(OR($A187="",INDEX(_LEITURA!$Q$2:$Q$21,13)=0),"",SUMIFS(DECKS!$D$2:$D$1201,DECKS!$A$2:$A$1201,INDEX(_LEITURA!$P$2:$P$21,13),DECKS!$B$2:$B$1201,$A187))</f>
        <v/>
      </c>
      <c r="X187" s="19" t="str">
        <f aca="false">IF(OR($A187="",INDEX(_LEITURA!$Q$2:$Q$21,14)=0),"",SUMIFS(DECKS!$D$2:$D$1201,DECKS!$A$2:$A$1201,INDEX(_LEITURA!$P$2:$P$21,14),DECKS!$B$2:$B$1201,$A187))</f>
        <v/>
      </c>
      <c r="Y187" s="19" t="str">
        <f aca="false">IF(OR($A187="",INDEX(_LEITURA!$Q$2:$Q$21,15)=0),"",SUMIFS(DECKS!$D$2:$D$1201,DECKS!$A$2:$A$1201,INDEX(_LEITURA!$P$2:$P$21,15),DECKS!$B$2:$B$1201,$A187))</f>
        <v/>
      </c>
      <c r="Z187" s="19" t="str">
        <f aca="false">IF(OR($A187="",INDEX(_LEITURA!$Q$2:$Q$21,16)=0),"",SUMIFS(DECKS!$D$2:$D$1201,DECKS!$A$2:$A$1201,INDEX(_LEITURA!$P$2:$P$21,16),DECKS!$B$2:$B$1201,$A187))</f>
        <v/>
      </c>
      <c r="AA187" s="19" t="str">
        <f aca="false">IF(OR($A187="",INDEX(_LEITURA!$Q$2:$Q$21,17)=0),"",SUMIFS(DECKS!$D$2:$D$1201,DECKS!$A$2:$A$1201,INDEX(_LEITURA!$P$2:$P$21,17),DECKS!$B$2:$B$1201,$A187))</f>
        <v/>
      </c>
      <c r="AB187" s="19" t="str">
        <f aca="false">IF(OR($A187="",INDEX(_LEITURA!$Q$2:$Q$21,18)=0),"",SUMIFS(DECKS!$D$2:$D$1201,DECKS!$A$2:$A$1201,INDEX(_LEITURA!$P$2:$P$21,18),DECKS!$B$2:$B$1201,$A187))</f>
        <v/>
      </c>
      <c r="AC187" s="19" t="str">
        <f aca="false">IF(OR($A187="",INDEX(_LEITURA!$Q$2:$Q$21,19)=0),"",SUMIFS(DECKS!$D$2:$D$1201,DECKS!$A$2:$A$1201,INDEX(_LEITURA!$P$2:$P$21,19),DECKS!$B$2:$B$1201,$A187))</f>
        <v/>
      </c>
      <c r="AD187" s="19" t="str">
        <f aca="false">IF(OR($A187="",INDEX(_LEITURA!$Q$2:$Q$21,20)=0),"",SUMIFS(DECKS!$D$2:$D$1201,DECKS!$A$2:$A$1201,INDEX(_LEITURA!$P$2:$P$21,20),DECKS!$B$2:$B$1201,$A187))</f>
        <v/>
      </c>
      <c r="AE187" s="16" t="str">
        <f aca="false">IF(N(E187)&gt;0,MAX(AE$1:AE186)+1,"")</f>
        <v/>
      </c>
      <c r="AF187" s="11" t="str">
        <f aca="false">IF(A187="","",IFERROR(LEFT(A187,FIND("-",A187)-1),A187))</f>
        <v/>
      </c>
      <c r="AG187" s="11" t="str">
        <f aca="false">IF(AF187="","",IF(ISNUMBER(--MID(AF187,1,1)),0,IF(ISNUMBER(--MID(AF187,2,1)),1,IF(ISNUMBER(--MID(AF187,3,1)),2,IF(ISNUMBER(--MID(AF187,4,1)),3,MIN(LEN(AF187),4))))))</f>
        <v/>
      </c>
      <c r="AH187" s="11" t="str">
        <f aca="false">IF(A187="","",LEFT(AF187,AG187)&amp;REPT("0",4-AG187)&amp;RIGHT("000"&amp;IFERROR(VALUE(MID(AF187,AG187+1,9)),0),3)&amp;RIGHT("0000"&amp;IFERROR(VALUE(MID(A187,FIND("-",A187)+1,9)),0),4))</f>
        <v/>
      </c>
      <c r="AI187" s="11" t="str">
        <f aca="false">IF(OR(A187="",N(E187)&lt;=0),"",IF('FALTAS GERAL'!$M$1="Código","K"&amp;AH187&amp;RIGHT("00000"&amp;ROW(),5),IF('FALTAS GERAL'!$M$1="Nome","K"&amp;UPPER(SUBSTITUTE(SUBSTITUTE(SUBSTITUTE(B187,"*",""),"?",""),"~",""))&amp;"0"&amp;AH187&amp;RIGHT("00000"&amp;ROW(),5),IF('FALTAS GERAL'!$M$1="Falta (maior primeiro)","K"&amp;RIGHT("0000"&amp;(9999-E187),4)&amp;AH187&amp;RIGHT("00000"&amp;ROW(),5),IF('FALTAS GERAL'!$M$1="Nº de decks (maior primeiro)","K"&amp;RIGHT("00"&amp;(99-N(G187)),2)&amp;AH187&amp;RIGHT("00000"&amp;ROW(),5),"K"&amp;RIGHT("00000"&amp;ROW(),5))))))</f>
        <v/>
      </c>
      <c r="AJ187" s="11" t="str">
        <f aca="false">IF(AI187="","",COUNTIFS($AI$2:$AI$801,"&lt;"&amp;AI187,$E$2:$E$801,"&gt;0")+1)</f>
        <v/>
      </c>
      <c r="AK187" s="11" t="str">
        <f aca="false">IF(OR(A187="",N(E187)&lt;=0),"",COUNTIFS($AH$2:$AH$801,"&lt;"&amp;AH187,$E$2:$E$801,"&gt;0")+COUNTIFS($AH$2:AH187,AH187,$E$2:E187,"&gt;0"))</f>
        <v/>
      </c>
    </row>
    <row r="188" customFormat="false" ht="15" hidden="false" customHeight="false" outlineLevel="0" collapsed="false">
      <c r="A188" s="11" t="str">
        <f aca="false">IF(INVENTÁRIO!A188="","",INVENTÁRIO!A188)</f>
        <v/>
      </c>
      <c r="B188" s="11" t="str">
        <f aca="false">IF(A188="","",INVENTÁRIO!B188)</f>
        <v/>
      </c>
      <c r="C188" s="16" t="str">
        <f aca="false">IF(A188="","",INVENTÁRIO!C188)</f>
        <v/>
      </c>
      <c r="D188" s="14" t="str">
        <f aca="false">IF(A188="","",MAX(K188:AD188))</f>
        <v/>
      </c>
      <c r="E188" s="14" t="str">
        <f aca="false">IF(A188="","",MAX(0,D188-C188))</f>
        <v/>
      </c>
      <c r="F188" s="16" t="str">
        <f aca="false">IF(A188="","",IF(D188=0,"Fora dos decks",IF(E188=0,"Completo","Falta")))</f>
        <v/>
      </c>
      <c r="G188" s="16" t="str">
        <f aca="false">IF(A188="","",COUNTIF(K188:AD188,"&gt;0"))</f>
        <v/>
      </c>
      <c r="H188" s="16" t="str">
        <f aca="false">IF(A188="","",IF(G188&gt;1,"Sim",""))</f>
        <v/>
      </c>
      <c r="I188" s="18" t="str">
        <f aca="false">IF(A188="","",SUMIFS(DECKS!$D$2:$D$1201,DECKS!$B$2:$B$1201,A188))</f>
        <v/>
      </c>
      <c r="J188" s="18" t="str">
        <f aca="false">IF(A188="","",MAX(0,I188-C188))</f>
        <v/>
      </c>
      <c r="K188" s="19" t="str">
        <f aca="false">IF(OR($A188="",INDEX(_LEITURA!$Q$2:$Q$21,1)=0),"",SUMIFS(DECKS!$D$2:$D$1201,DECKS!$A$2:$A$1201,INDEX(_LEITURA!$P$2:$P$21,1),DECKS!$B$2:$B$1201,$A188))</f>
        <v/>
      </c>
      <c r="L188" s="19" t="str">
        <f aca="false">IF(OR($A188="",INDEX(_LEITURA!$Q$2:$Q$21,2)=0),"",SUMIFS(DECKS!$D$2:$D$1201,DECKS!$A$2:$A$1201,INDEX(_LEITURA!$P$2:$P$21,2),DECKS!$B$2:$B$1201,$A188))</f>
        <v/>
      </c>
      <c r="M188" s="19" t="str">
        <f aca="false">IF(OR($A188="",INDEX(_LEITURA!$Q$2:$Q$21,3)=0),"",SUMIFS(DECKS!$D$2:$D$1201,DECKS!$A$2:$A$1201,INDEX(_LEITURA!$P$2:$P$21,3),DECKS!$B$2:$B$1201,$A188))</f>
        <v/>
      </c>
      <c r="N188" s="19" t="str">
        <f aca="false">IF(OR($A188="",INDEX(_LEITURA!$Q$2:$Q$21,4)=0),"",SUMIFS(DECKS!$D$2:$D$1201,DECKS!$A$2:$A$1201,INDEX(_LEITURA!$P$2:$P$21,4),DECKS!$B$2:$B$1201,$A188))</f>
        <v/>
      </c>
      <c r="O188" s="19" t="str">
        <f aca="false">IF(OR($A188="",INDEX(_LEITURA!$Q$2:$Q$21,5)=0),"",SUMIFS(DECKS!$D$2:$D$1201,DECKS!$A$2:$A$1201,INDEX(_LEITURA!$P$2:$P$21,5),DECKS!$B$2:$B$1201,$A188))</f>
        <v/>
      </c>
      <c r="P188" s="19" t="str">
        <f aca="false">IF(OR($A188="",INDEX(_LEITURA!$Q$2:$Q$21,6)=0),"",SUMIFS(DECKS!$D$2:$D$1201,DECKS!$A$2:$A$1201,INDEX(_LEITURA!$P$2:$P$21,6),DECKS!$B$2:$B$1201,$A188))</f>
        <v/>
      </c>
      <c r="Q188" s="19" t="str">
        <f aca="false">IF(OR($A188="",INDEX(_LEITURA!$Q$2:$Q$21,7)=0),"",SUMIFS(DECKS!$D$2:$D$1201,DECKS!$A$2:$A$1201,INDEX(_LEITURA!$P$2:$P$21,7),DECKS!$B$2:$B$1201,$A188))</f>
        <v/>
      </c>
      <c r="R188" s="19" t="str">
        <f aca="false">IF(OR($A188="",INDEX(_LEITURA!$Q$2:$Q$21,8)=0),"",SUMIFS(DECKS!$D$2:$D$1201,DECKS!$A$2:$A$1201,INDEX(_LEITURA!$P$2:$P$21,8),DECKS!$B$2:$B$1201,$A188))</f>
        <v/>
      </c>
      <c r="S188" s="19" t="str">
        <f aca="false">IF(OR($A188="",INDEX(_LEITURA!$Q$2:$Q$21,9)=0),"",SUMIFS(DECKS!$D$2:$D$1201,DECKS!$A$2:$A$1201,INDEX(_LEITURA!$P$2:$P$21,9),DECKS!$B$2:$B$1201,$A188))</f>
        <v/>
      </c>
      <c r="T188" s="19" t="str">
        <f aca="false">IF(OR($A188="",INDEX(_LEITURA!$Q$2:$Q$21,10)=0),"",SUMIFS(DECKS!$D$2:$D$1201,DECKS!$A$2:$A$1201,INDEX(_LEITURA!$P$2:$P$21,10),DECKS!$B$2:$B$1201,$A188))</f>
        <v/>
      </c>
      <c r="U188" s="19" t="str">
        <f aca="false">IF(OR($A188="",INDEX(_LEITURA!$Q$2:$Q$21,11)=0),"",SUMIFS(DECKS!$D$2:$D$1201,DECKS!$A$2:$A$1201,INDEX(_LEITURA!$P$2:$P$21,11),DECKS!$B$2:$B$1201,$A188))</f>
        <v/>
      </c>
      <c r="V188" s="19" t="str">
        <f aca="false">IF(OR($A188="",INDEX(_LEITURA!$Q$2:$Q$21,12)=0),"",SUMIFS(DECKS!$D$2:$D$1201,DECKS!$A$2:$A$1201,INDEX(_LEITURA!$P$2:$P$21,12),DECKS!$B$2:$B$1201,$A188))</f>
        <v/>
      </c>
      <c r="W188" s="19" t="str">
        <f aca="false">IF(OR($A188="",INDEX(_LEITURA!$Q$2:$Q$21,13)=0),"",SUMIFS(DECKS!$D$2:$D$1201,DECKS!$A$2:$A$1201,INDEX(_LEITURA!$P$2:$P$21,13),DECKS!$B$2:$B$1201,$A188))</f>
        <v/>
      </c>
      <c r="X188" s="19" t="str">
        <f aca="false">IF(OR($A188="",INDEX(_LEITURA!$Q$2:$Q$21,14)=0),"",SUMIFS(DECKS!$D$2:$D$1201,DECKS!$A$2:$A$1201,INDEX(_LEITURA!$P$2:$P$21,14),DECKS!$B$2:$B$1201,$A188))</f>
        <v/>
      </c>
      <c r="Y188" s="19" t="str">
        <f aca="false">IF(OR($A188="",INDEX(_LEITURA!$Q$2:$Q$21,15)=0),"",SUMIFS(DECKS!$D$2:$D$1201,DECKS!$A$2:$A$1201,INDEX(_LEITURA!$P$2:$P$21,15),DECKS!$B$2:$B$1201,$A188))</f>
        <v/>
      </c>
      <c r="Z188" s="19" t="str">
        <f aca="false">IF(OR($A188="",INDEX(_LEITURA!$Q$2:$Q$21,16)=0),"",SUMIFS(DECKS!$D$2:$D$1201,DECKS!$A$2:$A$1201,INDEX(_LEITURA!$P$2:$P$21,16),DECKS!$B$2:$B$1201,$A188))</f>
        <v/>
      </c>
      <c r="AA188" s="19" t="str">
        <f aca="false">IF(OR($A188="",INDEX(_LEITURA!$Q$2:$Q$21,17)=0),"",SUMIFS(DECKS!$D$2:$D$1201,DECKS!$A$2:$A$1201,INDEX(_LEITURA!$P$2:$P$21,17),DECKS!$B$2:$B$1201,$A188))</f>
        <v/>
      </c>
      <c r="AB188" s="19" t="str">
        <f aca="false">IF(OR($A188="",INDEX(_LEITURA!$Q$2:$Q$21,18)=0),"",SUMIFS(DECKS!$D$2:$D$1201,DECKS!$A$2:$A$1201,INDEX(_LEITURA!$P$2:$P$21,18),DECKS!$B$2:$B$1201,$A188))</f>
        <v/>
      </c>
      <c r="AC188" s="19" t="str">
        <f aca="false">IF(OR($A188="",INDEX(_LEITURA!$Q$2:$Q$21,19)=0),"",SUMIFS(DECKS!$D$2:$D$1201,DECKS!$A$2:$A$1201,INDEX(_LEITURA!$P$2:$P$21,19),DECKS!$B$2:$B$1201,$A188))</f>
        <v/>
      </c>
      <c r="AD188" s="19" t="str">
        <f aca="false">IF(OR($A188="",INDEX(_LEITURA!$Q$2:$Q$21,20)=0),"",SUMIFS(DECKS!$D$2:$D$1201,DECKS!$A$2:$A$1201,INDEX(_LEITURA!$P$2:$P$21,20),DECKS!$B$2:$B$1201,$A188))</f>
        <v/>
      </c>
      <c r="AE188" s="16" t="str">
        <f aca="false">IF(N(E188)&gt;0,MAX(AE$1:AE187)+1,"")</f>
        <v/>
      </c>
      <c r="AF188" s="11" t="str">
        <f aca="false">IF(A188="","",IFERROR(LEFT(A188,FIND("-",A188)-1),A188))</f>
        <v/>
      </c>
      <c r="AG188" s="11" t="str">
        <f aca="false">IF(AF188="","",IF(ISNUMBER(--MID(AF188,1,1)),0,IF(ISNUMBER(--MID(AF188,2,1)),1,IF(ISNUMBER(--MID(AF188,3,1)),2,IF(ISNUMBER(--MID(AF188,4,1)),3,MIN(LEN(AF188),4))))))</f>
        <v/>
      </c>
      <c r="AH188" s="11" t="str">
        <f aca="false">IF(A188="","",LEFT(AF188,AG188)&amp;REPT("0",4-AG188)&amp;RIGHT("000"&amp;IFERROR(VALUE(MID(AF188,AG188+1,9)),0),3)&amp;RIGHT("0000"&amp;IFERROR(VALUE(MID(A188,FIND("-",A188)+1,9)),0),4))</f>
        <v/>
      </c>
      <c r="AI188" s="11" t="str">
        <f aca="false">IF(OR(A188="",N(E188)&lt;=0),"",IF('FALTAS GERAL'!$M$1="Código","K"&amp;AH188&amp;RIGHT("00000"&amp;ROW(),5),IF('FALTAS GERAL'!$M$1="Nome","K"&amp;UPPER(SUBSTITUTE(SUBSTITUTE(SUBSTITUTE(B188,"*",""),"?",""),"~",""))&amp;"0"&amp;AH188&amp;RIGHT("00000"&amp;ROW(),5),IF('FALTAS GERAL'!$M$1="Falta (maior primeiro)","K"&amp;RIGHT("0000"&amp;(9999-E188),4)&amp;AH188&amp;RIGHT("00000"&amp;ROW(),5),IF('FALTAS GERAL'!$M$1="Nº de decks (maior primeiro)","K"&amp;RIGHT("00"&amp;(99-N(G188)),2)&amp;AH188&amp;RIGHT("00000"&amp;ROW(),5),"K"&amp;RIGHT("00000"&amp;ROW(),5))))))</f>
        <v/>
      </c>
      <c r="AJ188" s="11" t="str">
        <f aca="false">IF(AI188="","",COUNTIFS($AI$2:$AI$801,"&lt;"&amp;AI188,$E$2:$E$801,"&gt;0")+1)</f>
        <v/>
      </c>
      <c r="AK188" s="11" t="str">
        <f aca="false">IF(OR(A188="",N(E188)&lt;=0),"",COUNTIFS($AH$2:$AH$801,"&lt;"&amp;AH188,$E$2:$E$801,"&gt;0")+COUNTIFS($AH$2:AH188,AH188,$E$2:E188,"&gt;0"))</f>
        <v/>
      </c>
    </row>
    <row r="189" customFormat="false" ht="15" hidden="false" customHeight="false" outlineLevel="0" collapsed="false">
      <c r="A189" s="11" t="str">
        <f aca="false">IF(INVENTÁRIO!A189="","",INVENTÁRIO!A189)</f>
        <v/>
      </c>
      <c r="B189" s="11" t="str">
        <f aca="false">IF(A189="","",INVENTÁRIO!B189)</f>
        <v/>
      </c>
      <c r="C189" s="16" t="str">
        <f aca="false">IF(A189="","",INVENTÁRIO!C189)</f>
        <v/>
      </c>
      <c r="D189" s="14" t="str">
        <f aca="false">IF(A189="","",MAX(K189:AD189))</f>
        <v/>
      </c>
      <c r="E189" s="14" t="str">
        <f aca="false">IF(A189="","",MAX(0,D189-C189))</f>
        <v/>
      </c>
      <c r="F189" s="16" t="str">
        <f aca="false">IF(A189="","",IF(D189=0,"Fora dos decks",IF(E189=0,"Completo","Falta")))</f>
        <v/>
      </c>
      <c r="G189" s="16" t="str">
        <f aca="false">IF(A189="","",COUNTIF(K189:AD189,"&gt;0"))</f>
        <v/>
      </c>
      <c r="H189" s="16" t="str">
        <f aca="false">IF(A189="","",IF(G189&gt;1,"Sim",""))</f>
        <v/>
      </c>
      <c r="I189" s="18" t="str">
        <f aca="false">IF(A189="","",SUMIFS(DECKS!$D$2:$D$1201,DECKS!$B$2:$B$1201,A189))</f>
        <v/>
      </c>
      <c r="J189" s="18" t="str">
        <f aca="false">IF(A189="","",MAX(0,I189-C189))</f>
        <v/>
      </c>
      <c r="K189" s="19" t="str">
        <f aca="false">IF(OR($A189="",INDEX(_LEITURA!$Q$2:$Q$21,1)=0),"",SUMIFS(DECKS!$D$2:$D$1201,DECKS!$A$2:$A$1201,INDEX(_LEITURA!$P$2:$P$21,1),DECKS!$B$2:$B$1201,$A189))</f>
        <v/>
      </c>
      <c r="L189" s="19" t="str">
        <f aca="false">IF(OR($A189="",INDEX(_LEITURA!$Q$2:$Q$21,2)=0),"",SUMIFS(DECKS!$D$2:$D$1201,DECKS!$A$2:$A$1201,INDEX(_LEITURA!$P$2:$P$21,2),DECKS!$B$2:$B$1201,$A189))</f>
        <v/>
      </c>
      <c r="M189" s="19" t="str">
        <f aca="false">IF(OR($A189="",INDEX(_LEITURA!$Q$2:$Q$21,3)=0),"",SUMIFS(DECKS!$D$2:$D$1201,DECKS!$A$2:$A$1201,INDEX(_LEITURA!$P$2:$P$21,3),DECKS!$B$2:$B$1201,$A189))</f>
        <v/>
      </c>
      <c r="N189" s="19" t="str">
        <f aca="false">IF(OR($A189="",INDEX(_LEITURA!$Q$2:$Q$21,4)=0),"",SUMIFS(DECKS!$D$2:$D$1201,DECKS!$A$2:$A$1201,INDEX(_LEITURA!$P$2:$P$21,4),DECKS!$B$2:$B$1201,$A189))</f>
        <v/>
      </c>
      <c r="O189" s="19" t="str">
        <f aca="false">IF(OR($A189="",INDEX(_LEITURA!$Q$2:$Q$21,5)=0),"",SUMIFS(DECKS!$D$2:$D$1201,DECKS!$A$2:$A$1201,INDEX(_LEITURA!$P$2:$P$21,5),DECKS!$B$2:$B$1201,$A189))</f>
        <v/>
      </c>
      <c r="P189" s="19" t="str">
        <f aca="false">IF(OR($A189="",INDEX(_LEITURA!$Q$2:$Q$21,6)=0),"",SUMIFS(DECKS!$D$2:$D$1201,DECKS!$A$2:$A$1201,INDEX(_LEITURA!$P$2:$P$21,6),DECKS!$B$2:$B$1201,$A189))</f>
        <v/>
      </c>
      <c r="Q189" s="19" t="str">
        <f aca="false">IF(OR($A189="",INDEX(_LEITURA!$Q$2:$Q$21,7)=0),"",SUMIFS(DECKS!$D$2:$D$1201,DECKS!$A$2:$A$1201,INDEX(_LEITURA!$P$2:$P$21,7),DECKS!$B$2:$B$1201,$A189))</f>
        <v/>
      </c>
      <c r="R189" s="19" t="str">
        <f aca="false">IF(OR($A189="",INDEX(_LEITURA!$Q$2:$Q$21,8)=0),"",SUMIFS(DECKS!$D$2:$D$1201,DECKS!$A$2:$A$1201,INDEX(_LEITURA!$P$2:$P$21,8),DECKS!$B$2:$B$1201,$A189))</f>
        <v/>
      </c>
      <c r="S189" s="19" t="str">
        <f aca="false">IF(OR($A189="",INDEX(_LEITURA!$Q$2:$Q$21,9)=0),"",SUMIFS(DECKS!$D$2:$D$1201,DECKS!$A$2:$A$1201,INDEX(_LEITURA!$P$2:$P$21,9),DECKS!$B$2:$B$1201,$A189))</f>
        <v/>
      </c>
      <c r="T189" s="19" t="str">
        <f aca="false">IF(OR($A189="",INDEX(_LEITURA!$Q$2:$Q$21,10)=0),"",SUMIFS(DECKS!$D$2:$D$1201,DECKS!$A$2:$A$1201,INDEX(_LEITURA!$P$2:$P$21,10),DECKS!$B$2:$B$1201,$A189))</f>
        <v/>
      </c>
      <c r="U189" s="19" t="str">
        <f aca="false">IF(OR($A189="",INDEX(_LEITURA!$Q$2:$Q$21,11)=0),"",SUMIFS(DECKS!$D$2:$D$1201,DECKS!$A$2:$A$1201,INDEX(_LEITURA!$P$2:$P$21,11),DECKS!$B$2:$B$1201,$A189))</f>
        <v/>
      </c>
      <c r="V189" s="19" t="str">
        <f aca="false">IF(OR($A189="",INDEX(_LEITURA!$Q$2:$Q$21,12)=0),"",SUMIFS(DECKS!$D$2:$D$1201,DECKS!$A$2:$A$1201,INDEX(_LEITURA!$P$2:$P$21,12),DECKS!$B$2:$B$1201,$A189))</f>
        <v/>
      </c>
      <c r="W189" s="19" t="str">
        <f aca="false">IF(OR($A189="",INDEX(_LEITURA!$Q$2:$Q$21,13)=0),"",SUMIFS(DECKS!$D$2:$D$1201,DECKS!$A$2:$A$1201,INDEX(_LEITURA!$P$2:$P$21,13),DECKS!$B$2:$B$1201,$A189))</f>
        <v/>
      </c>
      <c r="X189" s="19" t="str">
        <f aca="false">IF(OR($A189="",INDEX(_LEITURA!$Q$2:$Q$21,14)=0),"",SUMIFS(DECKS!$D$2:$D$1201,DECKS!$A$2:$A$1201,INDEX(_LEITURA!$P$2:$P$21,14),DECKS!$B$2:$B$1201,$A189))</f>
        <v/>
      </c>
      <c r="Y189" s="19" t="str">
        <f aca="false">IF(OR($A189="",INDEX(_LEITURA!$Q$2:$Q$21,15)=0),"",SUMIFS(DECKS!$D$2:$D$1201,DECKS!$A$2:$A$1201,INDEX(_LEITURA!$P$2:$P$21,15),DECKS!$B$2:$B$1201,$A189))</f>
        <v/>
      </c>
      <c r="Z189" s="19" t="str">
        <f aca="false">IF(OR($A189="",INDEX(_LEITURA!$Q$2:$Q$21,16)=0),"",SUMIFS(DECKS!$D$2:$D$1201,DECKS!$A$2:$A$1201,INDEX(_LEITURA!$P$2:$P$21,16),DECKS!$B$2:$B$1201,$A189))</f>
        <v/>
      </c>
      <c r="AA189" s="19" t="str">
        <f aca="false">IF(OR($A189="",INDEX(_LEITURA!$Q$2:$Q$21,17)=0),"",SUMIFS(DECKS!$D$2:$D$1201,DECKS!$A$2:$A$1201,INDEX(_LEITURA!$P$2:$P$21,17),DECKS!$B$2:$B$1201,$A189))</f>
        <v/>
      </c>
      <c r="AB189" s="19" t="str">
        <f aca="false">IF(OR($A189="",INDEX(_LEITURA!$Q$2:$Q$21,18)=0),"",SUMIFS(DECKS!$D$2:$D$1201,DECKS!$A$2:$A$1201,INDEX(_LEITURA!$P$2:$P$21,18),DECKS!$B$2:$B$1201,$A189))</f>
        <v/>
      </c>
      <c r="AC189" s="19" t="str">
        <f aca="false">IF(OR($A189="",INDEX(_LEITURA!$Q$2:$Q$21,19)=0),"",SUMIFS(DECKS!$D$2:$D$1201,DECKS!$A$2:$A$1201,INDEX(_LEITURA!$P$2:$P$21,19),DECKS!$B$2:$B$1201,$A189))</f>
        <v/>
      </c>
      <c r="AD189" s="19" t="str">
        <f aca="false">IF(OR($A189="",INDEX(_LEITURA!$Q$2:$Q$21,20)=0),"",SUMIFS(DECKS!$D$2:$D$1201,DECKS!$A$2:$A$1201,INDEX(_LEITURA!$P$2:$P$21,20),DECKS!$B$2:$B$1201,$A189))</f>
        <v/>
      </c>
      <c r="AE189" s="16" t="str">
        <f aca="false">IF(N(E189)&gt;0,MAX(AE$1:AE188)+1,"")</f>
        <v/>
      </c>
      <c r="AF189" s="11" t="str">
        <f aca="false">IF(A189="","",IFERROR(LEFT(A189,FIND("-",A189)-1),A189))</f>
        <v/>
      </c>
      <c r="AG189" s="11" t="str">
        <f aca="false">IF(AF189="","",IF(ISNUMBER(--MID(AF189,1,1)),0,IF(ISNUMBER(--MID(AF189,2,1)),1,IF(ISNUMBER(--MID(AF189,3,1)),2,IF(ISNUMBER(--MID(AF189,4,1)),3,MIN(LEN(AF189),4))))))</f>
        <v/>
      </c>
      <c r="AH189" s="11" t="str">
        <f aca="false">IF(A189="","",LEFT(AF189,AG189)&amp;REPT("0",4-AG189)&amp;RIGHT("000"&amp;IFERROR(VALUE(MID(AF189,AG189+1,9)),0),3)&amp;RIGHT("0000"&amp;IFERROR(VALUE(MID(A189,FIND("-",A189)+1,9)),0),4))</f>
        <v/>
      </c>
      <c r="AI189" s="11" t="str">
        <f aca="false">IF(OR(A189="",N(E189)&lt;=0),"",IF('FALTAS GERAL'!$M$1="Código","K"&amp;AH189&amp;RIGHT("00000"&amp;ROW(),5),IF('FALTAS GERAL'!$M$1="Nome","K"&amp;UPPER(SUBSTITUTE(SUBSTITUTE(SUBSTITUTE(B189,"*",""),"?",""),"~",""))&amp;"0"&amp;AH189&amp;RIGHT("00000"&amp;ROW(),5),IF('FALTAS GERAL'!$M$1="Falta (maior primeiro)","K"&amp;RIGHT("0000"&amp;(9999-E189),4)&amp;AH189&amp;RIGHT("00000"&amp;ROW(),5),IF('FALTAS GERAL'!$M$1="Nº de decks (maior primeiro)","K"&amp;RIGHT("00"&amp;(99-N(G189)),2)&amp;AH189&amp;RIGHT("00000"&amp;ROW(),5),"K"&amp;RIGHT("00000"&amp;ROW(),5))))))</f>
        <v/>
      </c>
      <c r="AJ189" s="11" t="str">
        <f aca="false">IF(AI189="","",COUNTIFS($AI$2:$AI$801,"&lt;"&amp;AI189,$E$2:$E$801,"&gt;0")+1)</f>
        <v/>
      </c>
      <c r="AK189" s="11" t="str">
        <f aca="false">IF(OR(A189="",N(E189)&lt;=0),"",COUNTIFS($AH$2:$AH$801,"&lt;"&amp;AH189,$E$2:$E$801,"&gt;0")+COUNTIFS($AH$2:AH189,AH189,$E$2:E189,"&gt;0"))</f>
        <v/>
      </c>
    </row>
    <row r="190" customFormat="false" ht="15" hidden="false" customHeight="false" outlineLevel="0" collapsed="false">
      <c r="A190" s="11" t="str">
        <f aca="false">IF(INVENTÁRIO!A190="","",INVENTÁRIO!A190)</f>
        <v/>
      </c>
      <c r="B190" s="11" t="str">
        <f aca="false">IF(A190="","",INVENTÁRIO!B190)</f>
        <v/>
      </c>
      <c r="C190" s="16" t="str">
        <f aca="false">IF(A190="","",INVENTÁRIO!C190)</f>
        <v/>
      </c>
      <c r="D190" s="14" t="str">
        <f aca="false">IF(A190="","",MAX(K190:AD190))</f>
        <v/>
      </c>
      <c r="E190" s="14" t="str">
        <f aca="false">IF(A190="","",MAX(0,D190-C190))</f>
        <v/>
      </c>
      <c r="F190" s="16" t="str">
        <f aca="false">IF(A190="","",IF(D190=0,"Fora dos decks",IF(E190=0,"Completo","Falta")))</f>
        <v/>
      </c>
      <c r="G190" s="16" t="str">
        <f aca="false">IF(A190="","",COUNTIF(K190:AD190,"&gt;0"))</f>
        <v/>
      </c>
      <c r="H190" s="16" t="str">
        <f aca="false">IF(A190="","",IF(G190&gt;1,"Sim",""))</f>
        <v/>
      </c>
      <c r="I190" s="18" t="str">
        <f aca="false">IF(A190="","",SUMIFS(DECKS!$D$2:$D$1201,DECKS!$B$2:$B$1201,A190))</f>
        <v/>
      </c>
      <c r="J190" s="18" t="str">
        <f aca="false">IF(A190="","",MAX(0,I190-C190))</f>
        <v/>
      </c>
      <c r="K190" s="19" t="str">
        <f aca="false">IF(OR($A190="",INDEX(_LEITURA!$Q$2:$Q$21,1)=0),"",SUMIFS(DECKS!$D$2:$D$1201,DECKS!$A$2:$A$1201,INDEX(_LEITURA!$P$2:$P$21,1),DECKS!$B$2:$B$1201,$A190))</f>
        <v/>
      </c>
      <c r="L190" s="19" t="str">
        <f aca="false">IF(OR($A190="",INDEX(_LEITURA!$Q$2:$Q$21,2)=0),"",SUMIFS(DECKS!$D$2:$D$1201,DECKS!$A$2:$A$1201,INDEX(_LEITURA!$P$2:$P$21,2),DECKS!$B$2:$B$1201,$A190))</f>
        <v/>
      </c>
      <c r="M190" s="19" t="str">
        <f aca="false">IF(OR($A190="",INDEX(_LEITURA!$Q$2:$Q$21,3)=0),"",SUMIFS(DECKS!$D$2:$D$1201,DECKS!$A$2:$A$1201,INDEX(_LEITURA!$P$2:$P$21,3),DECKS!$B$2:$B$1201,$A190))</f>
        <v/>
      </c>
      <c r="N190" s="19" t="str">
        <f aca="false">IF(OR($A190="",INDEX(_LEITURA!$Q$2:$Q$21,4)=0),"",SUMIFS(DECKS!$D$2:$D$1201,DECKS!$A$2:$A$1201,INDEX(_LEITURA!$P$2:$P$21,4),DECKS!$B$2:$B$1201,$A190))</f>
        <v/>
      </c>
      <c r="O190" s="19" t="str">
        <f aca="false">IF(OR($A190="",INDEX(_LEITURA!$Q$2:$Q$21,5)=0),"",SUMIFS(DECKS!$D$2:$D$1201,DECKS!$A$2:$A$1201,INDEX(_LEITURA!$P$2:$P$21,5),DECKS!$B$2:$B$1201,$A190))</f>
        <v/>
      </c>
      <c r="P190" s="19" t="str">
        <f aca="false">IF(OR($A190="",INDEX(_LEITURA!$Q$2:$Q$21,6)=0),"",SUMIFS(DECKS!$D$2:$D$1201,DECKS!$A$2:$A$1201,INDEX(_LEITURA!$P$2:$P$21,6),DECKS!$B$2:$B$1201,$A190))</f>
        <v/>
      </c>
      <c r="Q190" s="19" t="str">
        <f aca="false">IF(OR($A190="",INDEX(_LEITURA!$Q$2:$Q$21,7)=0),"",SUMIFS(DECKS!$D$2:$D$1201,DECKS!$A$2:$A$1201,INDEX(_LEITURA!$P$2:$P$21,7),DECKS!$B$2:$B$1201,$A190))</f>
        <v/>
      </c>
      <c r="R190" s="19" t="str">
        <f aca="false">IF(OR($A190="",INDEX(_LEITURA!$Q$2:$Q$21,8)=0),"",SUMIFS(DECKS!$D$2:$D$1201,DECKS!$A$2:$A$1201,INDEX(_LEITURA!$P$2:$P$21,8),DECKS!$B$2:$B$1201,$A190))</f>
        <v/>
      </c>
      <c r="S190" s="19" t="str">
        <f aca="false">IF(OR($A190="",INDEX(_LEITURA!$Q$2:$Q$21,9)=0),"",SUMIFS(DECKS!$D$2:$D$1201,DECKS!$A$2:$A$1201,INDEX(_LEITURA!$P$2:$P$21,9),DECKS!$B$2:$B$1201,$A190))</f>
        <v/>
      </c>
      <c r="T190" s="19" t="str">
        <f aca="false">IF(OR($A190="",INDEX(_LEITURA!$Q$2:$Q$21,10)=0),"",SUMIFS(DECKS!$D$2:$D$1201,DECKS!$A$2:$A$1201,INDEX(_LEITURA!$P$2:$P$21,10),DECKS!$B$2:$B$1201,$A190))</f>
        <v/>
      </c>
      <c r="U190" s="19" t="str">
        <f aca="false">IF(OR($A190="",INDEX(_LEITURA!$Q$2:$Q$21,11)=0),"",SUMIFS(DECKS!$D$2:$D$1201,DECKS!$A$2:$A$1201,INDEX(_LEITURA!$P$2:$P$21,11),DECKS!$B$2:$B$1201,$A190))</f>
        <v/>
      </c>
      <c r="V190" s="19" t="str">
        <f aca="false">IF(OR($A190="",INDEX(_LEITURA!$Q$2:$Q$21,12)=0),"",SUMIFS(DECKS!$D$2:$D$1201,DECKS!$A$2:$A$1201,INDEX(_LEITURA!$P$2:$P$21,12),DECKS!$B$2:$B$1201,$A190))</f>
        <v/>
      </c>
      <c r="W190" s="19" t="str">
        <f aca="false">IF(OR($A190="",INDEX(_LEITURA!$Q$2:$Q$21,13)=0),"",SUMIFS(DECKS!$D$2:$D$1201,DECKS!$A$2:$A$1201,INDEX(_LEITURA!$P$2:$P$21,13),DECKS!$B$2:$B$1201,$A190))</f>
        <v/>
      </c>
      <c r="X190" s="19" t="str">
        <f aca="false">IF(OR($A190="",INDEX(_LEITURA!$Q$2:$Q$21,14)=0),"",SUMIFS(DECKS!$D$2:$D$1201,DECKS!$A$2:$A$1201,INDEX(_LEITURA!$P$2:$P$21,14),DECKS!$B$2:$B$1201,$A190))</f>
        <v/>
      </c>
      <c r="Y190" s="19" t="str">
        <f aca="false">IF(OR($A190="",INDEX(_LEITURA!$Q$2:$Q$21,15)=0),"",SUMIFS(DECKS!$D$2:$D$1201,DECKS!$A$2:$A$1201,INDEX(_LEITURA!$P$2:$P$21,15),DECKS!$B$2:$B$1201,$A190))</f>
        <v/>
      </c>
      <c r="Z190" s="19" t="str">
        <f aca="false">IF(OR($A190="",INDEX(_LEITURA!$Q$2:$Q$21,16)=0),"",SUMIFS(DECKS!$D$2:$D$1201,DECKS!$A$2:$A$1201,INDEX(_LEITURA!$P$2:$P$21,16),DECKS!$B$2:$B$1201,$A190))</f>
        <v/>
      </c>
      <c r="AA190" s="19" t="str">
        <f aca="false">IF(OR($A190="",INDEX(_LEITURA!$Q$2:$Q$21,17)=0),"",SUMIFS(DECKS!$D$2:$D$1201,DECKS!$A$2:$A$1201,INDEX(_LEITURA!$P$2:$P$21,17),DECKS!$B$2:$B$1201,$A190))</f>
        <v/>
      </c>
      <c r="AB190" s="19" t="str">
        <f aca="false">IF(OR($A190="",INDEX(_LEITURA!$Q$2:$Q$21,18)=0),"",SUMIFS(DECKS!$D$2:$D$1201,DECKS!$A$2:$A$1201,INDEX(_LEITURA!$P$2:$P$21,18),DECKS!$B$2:$B$1201,$A190))</f>
        <v/>
      </c>
      <c r="AC190" s="19" t="str">
        <f aca="false">IF(OR($A190="",INDEX(_LEITURA!$Q$2:$Q$21,19)=0),"",SUMIFS(DECKS!$D$2:$D$1201,DECKS!$A$2:$A$1201,INDEX(_LEITURA!$P$2:$P$21,19),DECKS!$B$2:$B$1201,$A190))</f>
        <v/>
      </c>
      <c r="AD190" s="19" t="str">
        <f aca="false">IF(OR($A190="",INDEX(_LEITURA!$Q$2:$Q$21,20)=0),"",SUMIFS(DECKS!$D$2:$D$1201,DECKS!$A$2:$A$1201,INDEX(_LEITURA!$P$2:$P$21,20),DECKS!$B$2:$B$1201,$A190))</f>
        <v/>
      </c>
      <c r="AE190" s="16" t="str">
        <f aca="false">IF(N(E190)&gt;0,MAX(AE$1:AE189)+1,"")</f>
        <v/>
      </c>
      <c r="AF190" s="11" t="str">
        <f aca="false">IF(A190="","",IFERROR(LEFT(A190,FIND("-",A190)-1),A190))</f>
        <v/>
      </c>
      <c r="AG190" s="11" t="str">
        <f aca="false">IF(AF190="","",IF(ISNUMBER(--MID(AF190,1,1)),0,IF(ISNUMBER(--MID(AF190,2,1)),1,IF(ISNUMBER(--MID(AF190,3,1)),2,IF(ISNUMBER(--MID(AF190,4,1)),3,MIN(LEN(AF190),4))))))</f>
        <v/>
      </c>
      <c r="AH190" s="11" t="str">
        <f aca="false">IF(A190="","",LEFT(AF190,AG190)&amp;REPT("0",4-AG190)&amp;RIGHT("000"&amp;IFERROR(VALUE(MID(AF190,AG190+1,9)),0),3)&amp;RIGHT("0000"&amp;IFERROR(VALUE(MID(A190,FIND("-",A190)+1,9)),0),4))</f>
        <v/>
      </c>
      <c r="AI190" s="11" t="str">
        <f aca="false">IF(OR(A190="",N(E190)&lt;=0),"",IF('FALTAS GERAL'!$M$1="Código","K"&amp;AH190&amp;RIGHT("00000"&amp;ROW(),5),IF('FALTAS GERAL'!$M$1="Nome","K"&amp;UPPER(SUBSTITUTE(SUBSTITUTE(SUBSTITUTE(B190,"*",""),"?",""),"~",""))&amp;"0"&amp;AH190&amp;RIGHT("00000"&amp;ROW(),5),IF('FALTAS GERAL'!$M$1="Falta (maior primeiro)","K"&amp;RIGHT("0000"&amp;(9999-E190),4)&amp;AH190&amp;RIGHT("00000"&amp;ROW(),5),IF('FALTAS GERAL'!$M$1="Nº de decks (maior primeiro)","K"&amp;RIGHT("00"&amp;(99-N(G190)),2)&amp;AH190&amp;RIGHT("00000"&amp;ROW(),5),"K"&amp;RIGHT("00000"&amp;ROW(),5))))))</f>
        <v/>
      </c>
      <c r="AJ190" s="11" t="str">
        <f aca="false">IF(AI190="","",COUNTIFS($AI$2:$AI$801,"&lt;"&amp;AI190,$E$2:$E$801,"&gt;0")+1)</f>
        <v/>
      </c>
      <c r="AK190" s="11" t="str">
        <f aca="false">IF(OR(A190="",N(E190)&lt;=0),"",COUNTIFS($AH$2:$AH$801,"&lt;"&amp;AH190,$E$2:$E$801,"&gt;0")+COUNTIFS($AH$2:AH190,AH190,$E$2:E190,"&gt;0"))</f>
        <v/>
      </c>
    </row>
    <row r="191" customFormat="false" ht="15" hidden="false" customHeight="false" outlineLevel="0" collapsed="false">
      <c r="A191" s="11" t="str">
        <f aca="false">IF(INVENTÁRIO!A191="","",INVENTÁRIO!A191)</f>
        <v/>
      </c>
      <c r="B191" s="11" t="str">
        <f aca="false">IF(A191="","",INVENTÁRIO!B191)</f>
        <v/>
      </c>
      <c r="C191" s="16" t="str">
        <f aca="false">IF(A191="","",INVENTÁRIO!C191)</f>
        <v/>
      </c>
      <c r="D191" s="14" t="str">
        <f aca="false">IF(A191="","",MAX(K191:AD191))</f>
        <v/>
      </c>
      <c r="E191" s="14" t="str">
        <f aca="false">IF(A191="","",MAX(0,D191-C191))</f>
        <v/>
      </c>
      <c r="F191" s="16" t="str">
        <f aca="false">IF(A191="","",IF(D191=0,"Fora dos decks",IF(E191=0,"Completo","Falta")))</f>
        <v/>
      </c>
      <c r="G191" s="16" t="str">
        <f aca="false">IF(A191="","",COUNTIF(K191:AD191,"&gt;0"))</f>
        <v/>
      </c>
      <c r="H191" s="16" t="str">
        <f aca="false">IF(A191="","",IF(G191&gt;1,"Sim",""))</f>
        <v/>
      </c>
      <c r="I191" s="18" t="str">
        <f aca="false">IF(A191="","",SUMIFS(DECKS!$D$2:$D$1201,DECKS!$B$2:$B$1201,A191))</f>
        <v/>
      </c>
      <c r="J191" s="18" t="str">
        <f aca="false">IF(A191="","",MAX(0,I191-C191))</f>
        <v/>
      </c>
      <c r="K191" s="19" t="str">
        <f aca="false">IF(OR($A191="",INDEX(_LEITURA!$Q$2:$Q$21,1)=0),"",SUMIFS(DECKS!$D$2:$D$1201,DECKS!$A$2:$A$1201,INDEX(_LEITURA!$P$2:$P$21,1),DECKS!$B$2:$B$1201,$A191))</f>
        <v/>
      </c>
      <c r="L191" s="19" t="str">
        <f aca="false">IF(OR($A191="",INDEX(_LEITURA!$Q$2:$Q$21,2)=0),"",SUMIFS(DECKS!$D$2:$D$1201,DECKS!$A$2:$A$1201,INDEX(_LEITURA!$P$2:$P$21,2),DECKS!$B$2:$B$1201,$A191))</f>
        <v/>
      </c>
      <c r="M191" s="19" t="str">
        <f aca="false">IF(OR($A191="",INDEX(_LEITURA!$Q$2:$Q$21,3)=0),"",SUMIFS(DECKS!$D$2:$D$1201,DECKS!$A$2:$A$1201,INDEX(_LEITURA!$P$2:$P$21,3),DECKS!$B$2:$B$1201,$A191))</f>
        <v/>
      </c>
      <c r="N191" s="19" t="str">
        <f aca="false">IF(OR($A191="",INDEX(_LEITURA!$Q$2:$Q$21,4)=0),"",SUMIFS(DECKS!$D$2:$D$1201,DECKS!$A$2:$A$1201,INDEX(_LEITURA!$P$2:$P$21,4),DECKS!$B$2:$B$1201,$A191))</f>
        <v/>
      </c>
      <c r="O191" s="19" t="str">
        <f aca="false">IF(OR($A191="",INDEX(_LEITURA!$Q$2:$Q$21,5)=0),"",SUMIFS(DECKS!$D$2:$D$1201,DECKS!$A$2:$A$1201,INDEX(_LEITURA!$P$2:$P$21,5),DECKS!$B$2:$B$1201,$A191))</f>
        <v/>
      </c>
      <c r="P191" s="19" t="str">
        <f aca="false">IF(OR($A191="",INDEX(_LEITURA!$Q$2:$Q$21,6)=0),"",SUMIFS(DECKS!$D$2:$D$1201,DECKS!$A$2:$A$1201,INDEX(_LEITURA!$P$2:$P$21,6),DECKS!$B$2:$B$1201,$A191))</f>
        <v/>
      </c>
      <c r="Q191" s="19" t="str">
        <f aca="false">IF(OR($A191="",INDEX(_LEITURA!$Q$2:$Q$21,7)=0),"",SUMIFS(DECKS!$D$2:$D$1201,DECKS!$A$2:$A$1201,INDEX(_LEITURA!$P$2:$P$21,7),DECKS!$B$2:$B$1201,$A191))</f>
        <v/>
      </c>
      <c r="R191" s="19" t="str">
        <f aca="false">IF(OR($A191="",INDEX(_LEITURA!$Q$2:$Q$21,8)=0),"",SUMIFS(DECKS!$D$2:$D$1201,DECKS!$A$2:$A$1201,INDEX(_LEITURA!$P$2:$P$21,8),DECKS!$B$2:$B$1201,$A191))</f>
        <v/>
      </c>
      <c r="S191" s="19" t="str">
        <f aca="false">IF(OR($A191="",INDEX(_LEITURA!$Q$2:$Q$21,9)=0),"",SUMIFS(DECKS!$D$2:$D$1201,DECKS!$A$2:$A$1201,INDEX(_LEITURA!$P$2:$P$21,9),DECKS!$B$2:$B$1201,$A191))</f>
        <v/>
      </c>
      <c r="T191" s="19" t="str">
        <f aca="false">IF(OR($A191="",INDEX(_LEITURA!$Q$2:$Q$21,10)=0),"",SUMIFS(DECKS!$D$2:$D$1201,DECKS!$A$2:$A$1201,INDEX(_LEITURA!$P$2:$P$21,10),DECKS!$B$2:$B$1201,$A191))</f>
        <v/>
      </c>
      <c r="U191" s="19" t="str">
        <f aca="false">IF(OR($A191="",INDEX(_LEITURA!$Q$2:$Q$21,11)=0),"",SUMIFS(DECKS!$D$2:$D$1201,DECKS!$A$2:$A$1201,INDEX(_LEITURA!$P$2:$P$21,11),DECKS!$B$2:$B$1201,$A191))</f>
        <v/>
      </c>
      <c r="V191" s="19" t="str">
        <f aca="false">IF(OR($A191="",INDEX(_LEITURA!$Q$2:$Q$21,12)=0),"",SUMIFS(DECKS!$D$2:$D$1201,DECKS!$A$2:$A$1201,INDEX(_LEITURA!$P$2:$P$21,12),DECKS!$B$2:$B$1201,$A191))</f>
        <v/>
      </c>
      <c r="W191" s="19" t="str">
        <f aca="false">IF(OR($A191="",INDEX(_LEITURA!$Q$2:$Q$21,13)=0),"",SUMIFS(DECKS!$D$2:$D$1201,DECKS!$A$2:$A$1201,INDEX(_LEITURA!$P$2:$P$21,13),DECKS!$B$2:$B$1201,$A191))</f>
        <v/>
      </c>
      <c r="X191" s="19" t="str">
        <f aca="false">IF(OR($A191="",INDEX(_LEITURA!$Q$2:$Q$21,14)=0),"",SUMIFS(DECKS!$D$2:$D$1201,DECKS!$A$2:$A$1201,INDEX(_LEITURA!$P$2:$P$21,14),DECKS!$B$2:$B$1201,$A191))</f>
        <v/>
      </c>
      <c r="Y191" s="19" t="str">
        <f aca="false">IF(OR($A191="",INDEX(_LEITURA!$Q$2:$Q$21,15)=0),"",SUMIFS(DECKS!$D$2:$D$1201,DECKS!$A$2:$A$1201,INDEX(_LEITURA!$P$2:$P$21,15),DECKS!$B$2:$B$1201,$A191))</f>
        <v/>
      </c>
      <c r="Z191" s="19" t="str">
        <f aca="false">IF(OR($A191="",INDEX(_LEITURA!$Q$2:$Q$21,16)=0),"",SUMIFS(DECKS!$D$2:$D$1201,DECKS!$A$2:$A$1201,INDEX(_LEITURA!$P$2:$P$21,16),DECKS!$B$2:$B$1201,$A191))</f>
        <v/>
      </c>
      <c r="AA191" s="19" t="str">
        <f aca="false">IF(OR($A191="",INDEX(_LEITURA!$Q$2:$Q$21,17)=0),"",SUMIFS(DECKS!$D$2:$D$1201,DECKS!$A$2:$A$1201,INDEX(_LEITURA!$P$2:$P$21,17),DECKS!$B$2:$B$1201,$A191))</f>
        <v/>
      </c>
      <c r="AB191" s="19" t="str">
        <f aca="false">IF(OR($A191="",INDEX(_LEITURA!$Q$2:$Q$21,18)=0),"",SUMIFS(DECKS!$D$2:$D$1201,DECKS!$A$2:$A$1201,INDEX(_LEITURA!$P$2:$P$21,18),DECKS!$B$2:$B$1201,$A191))</f>
        <v/>
      </c>
      <c r="AC191" s="19" t="str">
        <f aca="false">IF(OR($A191="",INDEX(_LEITURA!$Q$2:$Q$21,19)=0),"",SUMIFS(DECKS!$D$2:$D$1201,DECKS!$A$2:$A$1201,INDEX(_LEITURA!$P$2:$P$21,19),DECKS!$B$2:$B$1201,$A191))</f>
        <v/>
      </c>
      <c r="AD191" s="19" t="str">
        <f aca="false">IF(OR($A191="",INDEX(_LEITURA!$Q$2:$Q$21,20)=0),"",SUMIFS(DECKS!$D$2:$D$1201,DECKS!$A$2:$A$1201,INDEX(_LEITURA!$P$2:$P$21,20),DECKS!$B$2:$B$1201,$A191))</f>
        <v/>
      </c>
      <c r="AE191" s="16" t="str">
        <f aca="false">IF(N(E191)&gt;0,MAX(AE$1:AE190)+1,"")</f>
        <v/>
      </c>
      <c r="AF191" s="11" t="str">
        <f aca="false">IF(A191="","",IFERROR(LEFT(A191,FIND("-",A191)-1),A191))</f>
        <v/>
      </c>
      <c r="AG191" s="11" t="str">
        <f aca="false">IF(AF191="","",IF(ISNUMBER(--MID(AF191,1,1)),0,IF(ISNUMBER(--MID(AF191,2,1)),1,IF(ISNUMBER(--MID(AF191,3,1)),2,IF(ISNUMBER(--MID(AF191,4,1)),3,MIN(LEN(AF191),4))))))</f>
        <v/>
      </c>
      <c r="AH191" s="11" t="str">
        <f aca="false">IF(A191="","",LEFT(AF191,AG191)&amp;REPT("0",4-AG191)&amp;RIGHT("000"&amp;IFERROR(VALUE(MID(AF191,AG191+1,9)),0),3)&amp;RIGHT("0000"&amp;IFERROR(VALUE(MID(A191,FIND("-",A191)+1,9)),0),4))</f>
        <v/>
      </c>
      <c r="AI191" s="11" t="str">
        <f aca="false">IF(OR(A191="",N(E191)&lt;=0),"",IF('FALTAS GERAL'!$M$1="Código","K"&amp;AH191&amp;RIGHT("00000"&amp;ROW(),5),IF('FALTAS GERAL'!$M$1="Nome","K"&amp;UPPER(SUBSTITUTE(SUBSTITUTE(SUBSTITUTE(B191,"*",""),"?",""),"~",""))&amp;"0"&amp;AH191&amp;RIGHT("00000"&amp;ROW(),5),IF('FALTAS GERAL'!$M$1="Falta (maior primeiro)","K"&amp;RIGHT("0000"&amp;(9999-E191),4)&amp;AH191&amp;RIGHT("00000"&amp;ROW(),5),IF('FALTAS GERAL'!$M$1="Nº de decks (maior primeiro)","K"&amp;RIGHT("00"&amp;(99-N(G191)),2)&amp;AH191&amp;RIGHT("00000"&amp;ROW(),5),"K"&amp;RIGHT("00000"&amp;ROW(),5))))))</f>
        <v/>
      </c>
      <c r="AJ191" s="11" t="str">
        <f aca="false">IF(AI191="","",COUNTIFS($AI$2:$AI$801,"&lt;"&amp;AI191,$E$2:$E$801,"&gt;0")+1)</f>
        <v/>
      </c>
      <c r="AK191" s="11" t="str">
        <f aca="false">IF(OR(A191="",N(E191)&lt;=0),"",COUNTIFS($AH$2:$AH$801,"&lt;"&amp;AH191,$E$2:$E$801,"&gt;0")+COUNTIFS($AH$2:AH191,AH191,$E$2:E191,"&gt;0"))</f>
        <v/>
      </c>
    </row>
    <row r="192" customFormat="false" ht="15" hidden="false" customHeight="false" outlineLevel="0" collapsed="false">
      <c r="A192" s="11" t="str">
        <f aca="false">IF(INVENTÁRIO!A192="","",INVENTÁRIO!A192)</f>
        <v/>
      </c>
      <c r="B192" s="11" t="str">
        <f aca="false">IF(A192="","",INVENTÁRIO!B192)</f>
        <v/>
      </c>
      <c r="C192" s="16" t="str">
        <f aca="false">IF(A192="","",INVENTÁRIO!C192)</f>
        <v/>
      </c>
      <c r="D192" s="14" t="str">
        <f aca="false">IF(A192="","",MAX(K192:AD192))</f>
        <v/>
      </c>
      <c r="E192" s="14" t="str">
        <f aca="false">IF(A192="","",MAX(0,D192-C192))</f>
        <v/>
      </c>
      <c r="F192" s="16" t="str">
        <f aca="false">IF(A192="","",IF(D192=0,"Fora dos decks",IF(E192=0,"Completo","Falta")))</f>
        <v/>
      </c>
      <c r="G192" s="16" t="str">
        <f aca="false">IF(A192="","",COUNTIF(K192:AD192,"&gt;0"))</f>
        <v/>
      </c>
      <c r="H192" s="16" t="str">
        <f aca="false">IF(A192="","",IF(G192&gt;1,"Sim",""))</f>
        <v/>
      </c>
      <c r="I192" s="18" t="str">
        <f aca="false">IF(A192="","",SUMIFS(DECKS!$D$2:$D$1201,DECKS!$B$2:$B$1201,A192))</f>
        <v/>
      </c>
      <c r="J192" s="18" t="str">
        <f aca="false">IF(A192="","",MAX(0,I192-C192))</f>
        <v/>
      </c>
      <c r="K192" s="19" t="str">
        <f aca="false">IF(OR($A192="",INDEX(_LEITURA!$Q$2:$Q$21,1)=0),"",SUMIFS(DECKS!$D$2:$D$1201,DECKS!$A$2:$A$1201,INDEX(_LEITURA!$P$2:$P$21,1),DECKS!$B$2:$B$1201,$A192))</f>
        <v/>
      </c>
      <c r="L192" s="19" t="str">
        <f aca="false">IF(OR($A192="",INDEX(_LEITURA!$Q$2:$Q$21,2)=0),"",SUMIFS(DECKS!$D$2:$D$1201,DECKS!$A$2:$A$1201,INDEX(_LEITURA!$P$2:$P$21,2),DECKS!$B$2:$B$1201,$A192))</f>
        <v/>
      </c>
      <c r="M192" s="19" t="str">
        <f aca="false">IF(OR($A192="",INDEX(_LEITURA!$Q$2:$Q$21,3)=0),"",SUMIFS(DECKS!$D$2:$D$1201,DECKS!$A$2:$A$1201,INDEX(_LEITURA!$P$2:$P$21,3),DECKS!$B$2:$B$1201,$A192))</f>
        <v/>
      </c>
      <c r="N192" s="19" t="str">
        <f aca="false">IF(OR($A192="",INDEX(_LEITURA!$Q$2:$Q$21,4)=0),"",SUMIFS(DECKS!$D$2:$D$1201,DECKS!$A$2:$A$1201,INDEX(_LEITURA!$P$2:$P$21,4),DECKS!$B$2:$B$1201,$A192))</f>
        <v/>
      </c>
      <c r="O192" s="19" t="str">
        <f aca="false">IF(OR($A192="",INDEX(_LEITURA!$Q$2:$Q$21,5)=0),"",SUMIFS(DECKS!$D$2:$D$1201,DECKS!$A$2:$A$1201,INDEX(_LEITURA!$P$2:$P$21,5),DECKS!$B$2:$B$1201,$A192))</f>
        <v/>
      </c>
      <c r="P192" s="19" t="str">
        <f aca="false">IF(OR($A192="",INDEX(_LEITURA!$Q$2:$Q$21,6)=0),"",SUMIFS(DECKS!$D$2:$D$1201,DECKS!$A$2:$A$1201,INDEX(_LEITURA!$P$2:$P$21,6),DECKS!$B$2:$B$1201,$A192))</f>
        <v/>
      </c>
      <c r="Q192" s="19" t="str">
        <f aca="false">IF(OR($A192="",INDEX(_LEITURA!$Q$2:$Q$21,7)=0),"",SUMIFS(DECKS!$D$2:$D$1201,DECKS!$A$2:$A$1201,INDEX(_LEITURA!$P$2:$P$21,7),DECKS!$B$2:$B$1201,$A192))</f>
        <v/>
      </c>
      <c r="R192" s="19" t="str">
        <f aca="false">IF(OR($A192="",INDEX(_LEITURA!$Q$2:$Q$21,8)=0),"",SUMIFS(DECKS!$D$2:$D$1201,DECKS!$A$2:$A$1201,INDEX(_LEITURA!$P$2:$P$21,8),DECKS!$B$2:$B$1201,$A192))</f>
        <v/>
      </c>
      <c r="S192" s="19" t="str">
        <f aca="false">IF(OR($A192="",INDEX(_LEITURA!$Q$2:$Q$21,9)=0),"",SUMIFS(DECKS!$D$2:$D$1201,DECKS!$A$2:$A$1201,INDEX(_LEITURA!$P$2:$P$21,9),DECKS!$B$2:$B$1201,$A192))</f>
        <v/>
      </c>
      <c r="T192" s="19" t="str">
        <f aca="false">IF(OR($A192="",INDEX(_LEITURA!$Q$2:$Q$21,10)=0),"",SUMIFS(DECKS!$D$2:$D$1201,DECKS!$A$2:$A$1201,INDEX(_LEITURA!$P$2:$P$21,10),DECKS!$B$2:$B$1201,$A192))</f>
        <v/>
      </c>
      <c r="U192" s="19" t="str">
        <f aca="false">IF(OR($A192="",INDEX(_LEITURA!$Q$2:$Q$21,11)=0),"",SUMIFS(DECKS!$D$2:$D$1201,DECKS!$A$2:$A$1201,INDEX(_LEITURA!$P$2:$P$21,11),DECKS!$B$2:$B$1201,$A192))</f>
        <v/>
      </c>
      <c r="V192" s="19" t="str">
        <f aca="false">IF(OR($A192="",INDEX(_LEITURA!$Q$2:$Q$21,12)=0),"",SUMIFS(DECKS!$D$2:$D$1201,DECKS!$A$2:$A$1201,INDEX(_LEITURA!$P$2:$P$21,12),DECKS!$B$2:$B$1201,$A192))</f>
        <v/>
      </c>
      <c r="W192" s="19" t="str">
        <f aca="false">IF(OR($A192="",INDEX(_LEITURA!$Q$2:$Q$21,13)=0),"",SUMIFS(DECKS!$D$2:$D$1201,DECKS!$A$2:$A$1201,INDEX(_LEITURA!$P$2:$P$21,13),DECKS!$B$2:$B$1201,$A192))</f>
        <v/>
      </c>
      <c r="X192" s="19" t="str">
        <f aca="false">IF(OR($A192="",INDEX(_LEITURA!$Q$2:$Q$21,14)=0),"",SUMIFS(DECKS!$D$2:$D$1201,DECKS!$A$2:$A$1201,INDEX(_LEITURA!$P$2:$P$21,14),DECKS!$B$2:$B$1201,$A192))</f>
        <v/>
      </c>
      <c r="Y192" s="19" t="str">
        <f aca="false">IF(OR($A192="",INDEX(_LEITURA!$Q$2:$Q$21,15)=0),"",SUMIFS(DECKS!$D$2:$D$1201,DECKS!$A$2:$A$1201,INDEX(_LEITURA!$P$2:$P$21,15),DECKS!$B$2:$B$1201,$A192))</f>
        <v/>
      </c>
      <c r="Z192" s="19" t="str">
        <f aca="false">IF(OR($A192="",INDEX(_LEITURA!$Q$2:$Q$21,16)=0),"",SUMIFS(DECKS!$D$2:$D$1201,DECKS!$A$2:$A$1201,INDEX(_LEITURA!$P$2:$P$21,16),DECKS!$B$2:$B$1201,$A192))</f>
        <v/>
      </c>
      <c r="AA192" s="19" t="str">
        <f aca="false">IF(OR($A192="",INDEX(_LEITURA!$Q$2:$Q$21,17)=0),"",SUMIFS(DECKS!$D$2:$D$1201,DECKS!$A$2:$A$1201,INDEX(_LEITURA!$P$2:$P$21,17),DECKS!$B$2:$B$1201,$A192))</f>
        <v/>
      </c>
      <c r="AB192" s="19" t="str">
        <f aca="false">IF(OR($A192="",INDEX(_LEITURA!$Q$2:$Q$21,18)=0),"",SUMIFS(DECKS!$D$2:$D$1201,DECKS!$A$2:$A$1201,INDEX(_LEITURA!$P$2:$P$21,18),DECKS!$B$2:$B$1201,$A192))</f>
        <v/>
      </c>
      <c r="AC192" s="19" t="str">
        <f aca="false">IF(OR($A192="",INDEX(_LEITURA!$Q$2:$Q$21,19)=0),"",SUMIFS(DECKS!$D$2:$D$1201,DECKS!$A$2:$A$1201,INDEX(_LEITURA!$P$2:$P$21,19),DECKS!$B$2:$B$1201,$A192))</f>
        <v/>
      </c>
      <c r="AD192" s="19" t="str">
        <f aca="false">IF(OR($A192="",INDEX(_LEITURA!$Q$2:$Q$21,20)=0),"",SUMIFS(DECKS!$D$2:$D$1201,DECKS!$A$2:$A$1201,INDEX(_LEITURA!$P$2:$P$21,20),DECKS!$B$2:$B$1201,$A192))</f>
        <v/>
      </c>
      <c r="AE192" s="16" t="str">
        <f aca="false">IF(N(E192)&gt;0,MAX(AE$1:AE191)+1,"")</f>
        <v/>
      </c>
      <c r="AF192" s="11" t="str">
        <f aca="false">IF(A192="","",IFERROR(LEFT(A192,FIND("-",A192)-1),A192))</f>
        <v/>
      </c>
      <c r="AG192" s="11" t="str">
        <f aca="false">IF(AF192="","",IF(ISNUMBER(--MID(AF192,1,1)),0,IF(ISNUMBER(--MID(AF192,2,1)),1,IF(ISNUMBER(--MID(AF192,3,1)),2,IF(ISNUMBER(--MID(AF192,4,1)),3,MIN(LEN(AF192),4))))))</f>
        <v/>
      </c>
      <c r="AH192" s="11" t="str">
        <f aca="false">IF(A192="","",LEFT(AF192,AG192)&amp;REPT("0",4-AG192)&amp;RIGHT("000"&amp;IFERROR(VALUE(MID(AF192,AG192+1,9)),0),3)&amp;RIGHT("0000"&amp;IFERROR(VALUE(MID(A192,FIND("-",A192)+1,9)),0),4))</f>
        <v/>
      </c>
      <c r="AI192" s="11" t="str">
        <f aca="false">IF(OR(A192="",N(E192)&lt;=0),"",IF('FALTAS GERAL'!$M$1="Código","K"&amp;AH192&amp;RIGHT("00000"&amp;ROW(),5),IF('FALTAS GERAL'!$M$1="Nome","K"&amp;UPPER(SUBSTITUTE(SUBSTITUTE(SUBSTITUTE(B192,"*",""),"?",""),"~",""))&amp;"0"&amp;AH192&amp;RIGHT("00000"&amp;ROW(),5),IF('FALTAS GERAL'!$M$1="Falta (maior primeiro)","K"&amp;RIGHT("0000"&amp;(9999-E192),4)&amp;AH192&amp;RIGHT("00000"&amp;ROW(),5),IF('FALTAS GERAL'!$M$1="Nº de decks (maior primeiro)","K"&amp;RIGHT("00"&amp;(99-N(G192)),2)&amp;AH192&amp;RIGHT("00000"&amp;ROW(),5),"K"&amp;RIGHT("00000"&amp;ROW(),5))))))</f>
        <v/>
      </c>
      <c r="AJ192" s="11" t="str">
        <f aca="false">IF(AI192="","",COUNTIFS($AI$2:$AI$801,"&lt;"&amp;AI192,$E$2:$E$801,"&gt;0")+1)</f>
        <v/>
      </c>
      <c r="AK192" s="11" t="str">
        <f aca="false">IF(OR(A192="",N(E192)&lt;=0),"",COUNTIFS($AH$2:$AH$801,"&lt;"&amp;AH192,$E$2:$E$801,"&gt;0")+COUNTIFS($AH$2:AH192,AH192,$E$2:E192,"&gt;0"))</f>
        <v/>
      </c>
    </row>
    <row r="193" customFormat="false" ht="15" hidden="false" customHeight="false" outlineLevel="0" collapsed="false">
      <c r="A193" s="11" t="str">
        <f aca="false">IF(INVENTÁRIO!A193="","",INVENTÁRIO!A193)</f>
        <v/>
      </c>
      <c r="B193" s="11" t="str">
        <f aca="false">IF(A193="","",INVENTÁRIO!B193)</f>
        <v/>
      </c>
      <c r="C193" s="16" t="str">
        <f aca="false">IF(A193="","",INVENTÁRIO!C193)</f>
        <v/>
      </c>
      <c r="D193" s="14" t="str">
        <f aca="false">IF(A193="","",MAX(K193:AD193))</f>
        <v/>
      </c>
      <c r="E193" s="14" t="str">
        <f aca="false">IF(A193="","",MAX(0,D193-C193))</f>
        <v/>
      </c>
      <c r="F193" s="16" t="str">
        <f aca="false">IF(A193="","",IF(D193=0,"Fora dos decks",IF(E193=0,"Completo","Falta")))</f>
        <v/>
      </c>
      <c r="G193" s="16" t="str">
        <f aca="false">IF(A193="","",COUNTIF(K193:AD193,"&gt;0"))</f>
        <v/>
      </c>
      <c r="H193" s="16" t="str">
        <f aca="false">IF(A193="","",IF(G193&gt;1,"Sim",""))</f>
        <v/>
      </c>
      <c r="I193" s="18" t="str">
        <f aca="false">IF(A193="","",SUMIFS(DECKS!$D$2:$D$1201,DECKS!$B$2:$B$1201,A193))</f>
        <v/>
      </c>
      <c r="J193" s="18" t="str">
        <f aca="false">IF(A193="","",MAX(0,I193-C193))</f>
        <v/>
      </c>
      <c r="K193" s="19" t="str">
        <f aca="false">IF(OR($A193="",INDEX(_LEITURA!$Q$2:$Q$21,1)=0),"",SUMIFS(DECKS!$D$2:$D$1201,DECKS!$A$2:$A$1201,INDEX(_LEITURA!$P$2:$P$21,1),DECKS!$B$2:$B$1201,$A193))</f>
        <v/>
      </c>
      <c r="L193" s="19" t="str">
        <f aca="false">IF(OR($A193="",INDEX(_LEITURA!$Q$2:$Q$21,2)=0),"",SUMIFS(DECKS!$D$2:$D$1201,DECKS!$A$2:$A$1201,INDEX(_LEITURA!$P$2:$P$21,2),DECKS!$B$2:$B$1201,$A193))</f>
        <v/>
      </c>
      <c r="M193" s="19" t="str">
        <f aca="false">IF(OR($A193="",INDEX(_LEITURA!$Q$2:$Q$21,3)=0),"",SUMIFS(DECKS!$D$2:$D$1201,DECKS!$A$2:$A$1201,INDEX(_LEITURA!$P$2:$P$21,3),DECKS!$B$2:$B$1201,$A193))</f>
        <v/>
      </c>
      <c r="N193" s="19" t="str">
        <f aca="false">IF(OR($A193="",INDEX(_LEITURA!$Q$2:$Q$21,4)=0),"",SUMIFS(DECKS!$D$2:$D$1201,DECKS!$A$2:$A$1201,INDEX(_LEITURA!$P$2:$P$21,4),DECKS!$B$2:$B$1201,$A193))</f>
        <v/>
      </c>
      <c r="O193" s="19" t="str">
        <f aca="false">IF(OR($A193="",INDEX(_LEITURA!$Q$2:$Q$21,5)=0),"",SUMIFS(DECKS!$D$2:$D$1201,DECKS!$A$2:$A$1201,INDEX(_LEITURA!$P$2:$P$21,5),DECKS!$B$2:$B$1201,$A193))</f>
        <v/>
      </c>
      <c r="P193" s="19" t="str">
        <f aca="false">IF(OR($A193="",INDEX(_LEITURA!$Q$2:$Q$21,6)=0),"",SUMIFS(DECKS!$D$2:$D$1201,DECKS!$A$2:$A$1201,INDEX(_LEITURA!$P$2:$P$21,6),DECKS!$B$2:$B$1201,$A193))</f>
        <v/>
      </c>
      <c r="Q193" s="19" t="str">
        <f aca="false">IF(OR($A193="",INDEX(_LEITURA!$Q$2:$Q$21,7)=0),"",SUMIFS(DECKS!$D$2:$D$1201,DECKS!$A$2:$A$1201,INDEX(_LEITURA!$P$2:$P$21,7),DECKS!$B$2:$B$1201,$A193))</f>
        <v/>
      </c>
      <c r="R193" s="19" t="str">
        <f aca="false">IF(OR($A193="",INDEX(_LEITURA!$Q$2:$Q$21,8)=0),"",SUMIFS(DECKS!$D$2:$D$1201,DECKS!$A$2:$A$1201,INDEX(_LEITURA!$P$2:$P$21,8),DECKS!$B$2:$B$1201,$A193))</f>
        <v/>
      </c>
      <c r="S193" s="19" t="str">
        <f aca="false">IF(OR($A193="",INDEX(_LEITURA!$Q$2:$Q$21,9)=0),"",SUMIFS(DECKS!$D$2:$D$1201,DECKS!$A$2:$A$1201,INDEX(_LEITURA!$P$2:$P$21,9),DECKS!$B$2:$B$1201,$A193))</f>
        <v/>
      </c>
      <c r="T193" s="19" t="str">
        <f aca="false">IF(OR($A193="",INDEX(_LEITURA!$Q$2:$Q$21,10)=0),"",SUMIFS(DECKS!$D$2:$D$1201,DECKS!$A$2:$A$1201,INDEX(_LEITURA!$P$2:$P$21,10),DECKS!$B$2:$B$1201,$A193))</f>
        <v/>
      </c>
      <c r="U193" s="19" t="str">
        <f aca="false">IF(OR($A193="",INDEX(_LEITURA!$Q$2:$Q$21,11)=0),"",SUMIFS(DECKS!$D$2:$D$1201,DECKS!$A$2:$A$1201,INDEX(_LEITURA!$P$2:$P$21,11),DECKS!$B$2:$B$1201,$A193))</f>
        <v/>
      </c>
      <c r="V193" s="19" t="str">
        <f aca="false">IF(OR($A193="",INDEX(_LEITURA!$Q$2:$Q$21,12)=0),"",SUMIFS(DECKS!$D$2:$D$1201,DECKS!$A$2:$A$1201,INDEX(_LEITURA!$P$2:$P$21,12),DECKS!$B$2:$B$1201,$A193))</f>
        <v/>
      </c>
      <c r="W193" s="19" t="str">
        <f aca="false">IF(OR($A193="",INDEX(_LEITURA!$Q$2:$Q$21,13)=0),"",SUMIFS(DECKS!$D$2:$D$1201,DECKS!$A$2:$A$1201,INDEX(_LEITURA!$P$2:$P$21,13),DECKS!$B$2:$B$1201,$A193))</f>
        <v/>
      </c>
      <c r="X193" s="19" t="str">
        <f aca="false">IF(OR($A193="",INDEX(_LEITURA!$Q$2:$Q$21,14)=0),"",SUMIFS(DECKS!$D$2:$D$1201,DECKS!$A$2:$A$1201,INDEX(_LEITURA!$P$2:$P$21,14),DECKS!$B$2:$B$1201,$A193))</f>
        <v/>
      </c>
      <c r="Y193" s="19" t="str">
        <f aca="false">IF(OR($A193="",INDEX(_LEITURA!$Q$2:$Q$21,15)=0),"",SUMIFS(DECKS!$D$2:$D$1201,DECKS!$A$2:$A$1201,INDEX(_LEITURA!$P$2:$P$21,15),DECKS!$B$2:$B$1201,$A193))</f>
        <v/>
      </c>
      <c r="Z193" s="19" t="str">
        <f aca="false">IF(OR($A193="",INDEX(_LEITURA!$Q$2:$Q$21,16)=0),"",SUMIFS(DECKS!$D$2:$D$1201,DECKS!$A$2:$A$1201,INDEX(_LEITURA!$P$2:$P$21,16),DECKS!$B$2:$B$1201,$A193))</f>
        <v/>
      </c>
      <c r="AA193" s="19" t="str">
        <f aca="false">IF(OR($A193="",INDEX(_LEITURA!$Q$2:$Q$21,17)=0),"",SUMIFS(DECKS!$D$2:$D$1201,DECKS!$A$2:$A$1201,INDEX(_LEITURA!$P$2:$P$21,17),DECKS!$B$2:$B$1201,$A193))</f>
        <v/>
      </c>
      <c r="AB193" s="19" t="str">
        <f aca="false">IF(OR($A193="",INDEX(_LEITURA!$Q$2:$Q$21,18)=0),"",SUMIFS(DECKS!$D$2:$D$1201,DECKS!$A$2:$A$1201,INDEX(_LEITURA!$P$2:$P$21,18),DECKS!$B$2:$B$1201,$A193))</f>
        <v/>
      </c>
      <c r="AC193" s="19" t="str">
        <f aca="false">IF(OR($A193="",INDEX(_LEITURA!$Q$2:$Q$21,19)=0),"",SUMIFS(DECKS!$D$2:$D$1201,DECKS!$A$2:$A$1201,INDEX(_LEITURA!$P$2:$P$21,19),DECKS!$B$2:$B$1201,$A193))</f>
        <v/>
      </c>
      <c r="AD193" s="19" t="str">
        <f aca="false">IF(OR($A193="",INDEX(_LEITURA!$Q$2:$Q$21,20)=0),"",SUMIFS(DECKS!$D$2:$D$1201,DECKS!$A$2:$A$1201,INDEX(_LEITURA!$P$2:$P$21,20),DECKS!$B$2:$B$1201,$A193))</f>
        <v/>
      </c>
      <c r="AE193" s="16" t="str">
        <f aca="false">IF(N(E193)&gt;0,MAX(AE$1:AE192)+1,"")</f>
        <v/>
      </c>
      <c r="AF193" s="11" t="str">
        <f aca="false">IF(A193="","",IFERROR(LEFT(A193,FIND("-",A193)-1),A193))</f>
        <v/>
      </c>
      <c r="AG193" s="11" t="str">
        <f aca="false">IF(AF193="","",IF(ISNUMBER(--MID(AF193,1,1)),0,IF(ISNUMBER(--MID(AF193,2,1)),1,IF(ISNUMBER(--MID(AF193,3,1)),2,IF(ISNUMBER(--MID(AF193,4,1)),3,MIN(LEN(AF193),4))))))</f>
        <v/>
      </c>
      <c r="AH193" s="11" t="str">
        <f aca="false">IF(A193="","",LEFT(AF193,AG193)&amp;REPT("0",4-AG193)&amp;RIGHT("000"&amp;IFERROR(VALUE(MID(AF193,AG193+1,9)),0),3)&amp;RIGHT("0000"&amp;IFERROR(VALUE(MID(A193,FIND("-",A193)+1,9)),0),4))</f>
        <v/>
      </c>
      <c r="AI193" s="11" t="str">
        <f aca="false">IF(OR(A193="",N(E193)&lt;=0),"",IF('FALTAS GERAL'!$M$1="Código","K"&amp;AH193&amp;RIGHT("00000"&amp;ROW(),5),IF('FALTAS GERAL'!$M$1="Nome","K"&amp;UPPER(SUBSTITUTE(SUBSTITUTE(SUBSTITUTE(B193,"*",""),"?",""),"~",""))&amp;"0"&amp;AH193&amp;RIGHT("00000"&amp;ROW(),5),IF('FALTAS GERAL'!$M$1="Falta (maior primeiro)","K"&amp;RIGHT("0000"&amp;(9999-E193),4)&amp;AH193&amp;RIGHT("00000"&amp;ROW(),5),IF('FALTAS GERAL'!$M$1="Nº de decks (maior primeiro)","K"&amp;RIGHT("00"&amp;(99-N(G193)),2)&amp;AH193&amp;RIGHT("00000"&amp;ROW(),5),"K"&amp;RIGHT("00000"&amp;ROW(),5))))))</f>
        <v/>
      </c>
      <c r="AJ193" s="11" t="str">
        <f aca="false">IF(AI193="","",COUNTIFS($AI$2:$AI$801,"&lt;"&amp;AI193,$E$2:$E$801,"&gt;0")+1)</f>
        <v/>
      </c>
      <c r="AK193" s="11" t="str">
        <f aca="false">IF(OR(A193="",N(E193)&lt;=0),"",COUNTIFS($AH$2:$AH$801,"&lt;"&amp;AH193,$E$2:$E$801,"&gt;0")+COUNTIFS($AH$2:AH193,AH193,$E$2:E193,"&gt;0"))</f>
        <v/>
      </c>
    </row>
    <row r="194" customFormat="false" ht="15" hidden="false" customHeight="false" outlineLevel="0" collapsed="false">
      <c r="A194" s="11" t="str">
        <f aca="false">IF(INVENTÁRIO!A194="","",INVENTÁRIO!A194)</f>
        <v/>
      </c>
      <c r="B194" s="11" t="str">
        <f aca="false">IF(A194="","",INVENTÁRIO!B194)</f>
        <v/>
      </c>
      <c r="C194" s="16" t="str">
        <f aca="false">IF(A194="","",INVENTÁRIO!C194)</f>
        <v/>
      </c>
      <c r="D194" s="14" t="str">
        <f aca="false">IF(A194="","",MAX(K194:AD194))</f>
        <v/>
      </c>
      <c r="E194" s="14" t="str">
        <f aca="false">IF(A194="","",MAX(0,D194-C194))</f>
        <v/>
      </c>
      <c r="F194" s="16" t="str">
        <f aca="false">IF(A194="","",IF(D194=0,"Fora dos decks",IF(E194=0,"Completo","Falta")))</f>
        <v/>
      </c>
      <c r="G194" s="16" t="str">
        <f aca="false">IF(A194="","",COUNTIF(K194:AD194,"&gt;0"))</f>
        <v/>
      </c>
      <c r="H194" s="16" t="str">
        <f aca="false">IF(A194="","",IF(G194&gt;1,"Sim",""))</f>
        <v/>
      </c>
      <c r="I194" s="18" t="str">
        <f aca="false">IF(A194="","",SUMIFS(DECKS!$D$2:$D$1201,DECKS!$B$2:$B$1201,A194))</f>
        <v/>
      </c>
      <c r="J194" s="18" t="str">
        <f aca="false">IF(A194="","",MAX(0,I194-C194))</f>
        <v/>
      </c>
      <c r="K194" s="19" t="str">
        <f aca="false">IF(OR($A194="",INDEX(_LEITURA!$Q$2:$Q$21,1)=0),"",SUMIFS(DECKS!$D$2:$D$1201,DECKS!$A$2:$A$1201,INDEX(_LEITURA!$P$2:$P$21,1),DECKS!$B$2:$B$1201,$A194))</f>
        <v/>
      </c>
      <c r="L194" s="19" t="str">
        <f aca="false">IF(OR($A194="",INDEX(_LEITURA!$Q$2:$Q$21,2)=0),"",SUMIFS(DECKS!$D$2:$D$1201,DECKS!$A$2:$A$1201,INDEX(_LEITURA!$P$2:$P$21,2),DECKS!$B$2:$B$1201,$A194))</f>
        <v/>
      </c>
      <c r="M194" s="19" t="str">
        <f aca="false">IF(OR($A194="",INDEX(_LEITURA!$Q$2:$Q$21,3)=0),"",SUMIFS(DECKS!$D$2:$D$1201,DECKS!$A$2:$A$1201,INDEX(_LEITURA!$P$2:$P$21,3),DECKS!$B$2:$B$1201,$A194))</f>
        <v/>
      </c>
      <c r="N194" s="19" t="str">
        <f aca="false">IF(OR($A194="",INDEX(_LEITURA!$Q$2:$Q$21,4)=0),"",SUMIFS(DECKS!$D$2:$D$1201,DECKS!$A$2:$A$1201,INDEX(_LEITURA!$P$2:$P$21,4),DECKS!$B$2:$B$1201,$A194))</f>
        <v/>
      </c>
      <c r="O194" s="19" t="str">
        <f aca="false">IF(OR($A194="",INDEX(_LEITURA!$Q$2:$Q$21,5)=0),"",SUMIFS(DECKS!$D$2:$D$1201,DECKS!$A$2:$A$1201,INDEX(_LEITURA!$P$2:$P$21,5),DECKS!$B$2:$B$1201,$A194))</f>
        <v/>
      </c>
      <c r="P194" s="19" t="str">
        <f aca="false">IF(OR($A194="",INDEX(_LEITURA!$Q$2:$Q$21,6)=0),"",SUMIFS(DECKS!$D$2:$D$1201,DECKS!$A$2:$A$1201,INDEX(_LEITURA!$P$2:$P$21,6),DECKS!$B$2:$B$1201,$A194))</f>
        <v/>
      </c>
      <c r="Q194" s="19" t="str">
        <f aca="false">IF(OR($A194="",INDEX(_LEITURA!$Q$2:$Q$21,7)=0),"",SUMIFS(DECKS!$D$2:$D$1201,DECKS!$A$2:$A$1201,INDEX(_LEITURA!$P$2:$P$21,7),DECKS!$B$2:$B$1201,$A194))</f>
        <v/>
      </c>
      <c r="R194" s="19" t="str">
        <f aca="false">IF(OR($A194="",INDEX(_LEITURA!$Q$2:$Q$21,8)=0),"",SUMIFS(DECKS!$D$2:$D$1201,DECKS!$A$2:$A$1201,INDEX(_LEITURA!$P$2:$P$21,8),DECKS!$B$2:$B$1201,$A194))</f>
        <v/>
      </c>
      <c r="S194" s="19" t="str">
        <f aca="false">IF(OR($A194="",INDEX(_LEITURA!$Q$2:$Q$21,9)=0),"",SUMIFS(DECKS!$D$2:$D$1201,DECKS!$A$2:$A$1201,INDEX(_LEITURA!$P$2:$P$21,9),DECKS!$B$2:$B$1201,$A194))</f>
        <v/>
      </c>
      <c r="T194" s="19" t="str">
        <f aca="false">IF(OR($A194="",INDEX(_LEITURA!$Q$2:$Q$21,10)=0),"",SUMIFS(DECKS!$D$2:$D$1201,DECKS!$A$2:$A$1201,INDEX(_LEITURA!$P$2:$P$21,10),DECKS!$B$2:$B$1201,$A194))</f>
        <v/>
      </c>
      <c r="U194" s="19" t="str">
        <f aca="false">IF(OR($A194="",INDEX(_LEITURA!$Q$2:$Q$21,11)=0),"",SUMIFS(DECKS!$D$2:$D$1201,DECKS!$A$2:$A$1201,INDEX(_LEITURA!$P$2:$P$21,11),DECKS!$B$2:$B$1201,$A194))</f>
        <v/>
      </c>
      <c r="V194" s="19" t="str">
        <f aca="false">IF(OR($A194="",INDEX(_LEITURA!$Q$2:$Q$21,12)=0),"",SUMIFS(DECKS!$D$2:$D$1201,DECKS!$A$2:$A$1201,INDEX(_LEITURA!$P$2:$P$21,12),DECKS!$B$2:$B$1201,$A194))</f>
        <v/>
      </c>
      <c r="W194" s="19" t="str">
        <f aca="false">IF(OR($A194="",INDEX(_LEITURA!$Q$2:$Q$21,13)=0),"",SUMIFS(DECKS!$D$2:$D$1201,DECKS!$A$2:$A$1201,INDEX(_LEITURA!$P$2:$P$21,13),DECKS!$B$2:$B$1201,$A194))</f>
        <v/>
      </c>
      <c r="X194" s="19" t="str">
        <f aca="false">IF(OR($A194="",INDEX(_LEITURA!$Q$2:$Q$21,14)=0),"",SUMIFS(DECKS!$D$2:$D$1201,DECKS!$A$2:$A$1201,INDEX(_LEITURA!$P$2:$P$21,14),DECKS!$B$2:$B$1201,$A194))</f>
        <v/>
      </c>
      <c r="Y194" s="19" t="str">
        <f aca="false">IF(OR($A194="",INDEX(_LEITURA!$Q$2:$Q$21,15)=0),"",SUMIFS(DECKS!$D$2:$D$1201,DECKS!$A$2:$A$1201,INDEX(_LEITURA!$P$2:$P$21,15),DECKS!$B$2:$B$1201,$A194))</f>
        <v/>
      </c>
      <c r="Z194" s="19" t="str">
        <f aca="false">IF(OR($A194="",INDEX(_LEITURA!$Q$2:$Q$21,16)=0),"",SUMIFS(DECKS!$D$2:$D$1201,DECKS!$A$2:$A$1201,INDEX(_LEITURA!$P$2:$P$21,16),DECKS!$B$2:$B$1201,$A194))</f>
        <v/>
      </c>
      <c r="AA194" s="19" t="str">
        <f aca="false">IF(OR($A194="",INDEX(_LEITURA!$Q$2:$Q$21,17)=0),"",SUMIFS(DECKS!$D$2:$D$1201,DECKS!$A$2:$A$1201,INDEX(_LEITURA!$P$2:$P$21,17),DECKS!$B$2:$B$1201,$A194))</f>
        <v/>
      </c>
      <c r="AB194" s="19" t="str">
        <f aca="false">IF(OR($A194="",INDEX(_LEITURA!$Q$2:$Q$21,18)=0),"",SUMIFS(DECKS!$D$2:$D$1201,DECKS!$A$2:$A$1201,INDEX(_LEITURA!$P$2:$P$21,18),DECKS!$B$2:$B$1201,$A194))</f>
        <v/>
      </c>
      <c r="AC194" s="19" t="str">
        <f aca="false">IF(OR($A194="",INDEX(_LEITURA!$Q$2:$Q$21,19)=0),"",SUMIFS(DECKS!$D$2:$D$1201,DECKS!$A$2:$A$1201,INDEX(_LEITURA!$P$2:$P$21,19),DECKS!$B$2:$B$1201,$A194))</f>
        <v/>
      </c>
      <c r="AD194" s="19" t="str">
        <f aca="false">IF(OR($A194="",INDEX(_LEITURA!$Q$2:$Q$21,20)=0),"",SUMIFS(DECKS!$D$2:$D$1201,DECKS!$A$2:$A$1201,INDEX(_LEITURA!$P$2:$P$21,20),DECKS!$B$2:$B$1201,$A194))</f>
        <v/>
      </c>
      <c r="AE194" s="16" t="str">
        <f aca="false">IF(N(E194)&gt;0,MAX(AE$1:AE193)+1,"")</f>
        <v/>
      </c>
      <c r="AF194" s="11" t="str">
        <f aca="false">IF(A194="","",IFERROR(LEFT(A194,FIND("-",A194)-1),A194))</f>
        <v/>
      </c>
      <c r="AG194" s="11" t="str">
        <f aca="false">IF(AF194="","",IF(ISNUMBER(--MID(AF194,1,1)),0,IF(ISNUMBER(--MID(AF194,2,1)),1,IF(ISNUMBER(--MID(AF194,3,1)),2,IF(ISNUMBER(--MID(AF194,4,1)),3,MIN(LEN(AF194),4))))))</f>
        <v/>
      </c>
      <c r="AH194" s="11" t="str">
        <f aca="false">IF(A194="","",LEFT(AF194,AG194)&amp;REPT("0",4-AG194)&amp;RIGHT("000"&amp;IFERROR(VALUE(MID(AF194,AG194+1,9)),0),3)&amp;RIGHT("0000"&amp;IFERROR(VALUE(MID(A194,FIND("-",A194)+1,9)),0),4))</f>
        <v/>
      </c>
      <c r="AI194" s="11" t="str">
        <f aca="false">IF(OR(A194="",N(E194)&lt;=0),"",IF('FALTAS GERAL'!$M$1="Código","K"&amp;AH194&amp;RIGHT("00000"&amp;ROW(),5),IF('FALTAS GERAL'!$M$1="Nome","K"&amp;UPPER(SUBSTITUTE(SUBSTITUTE(SUBSTITUTE(B194,"*",""),"?",""),"~",""))&amp;"0"&amp;AH194&amp;RIGHT("00000"&amp;ROW(),5),IF('FALTAS GERAL'!$M$1="Falta (maior primeiro)","K"&amp;RIGHT("0000"&amp;(9999-E194),4)&amp;AH194&amp;RIGHT("00000"&amp;ROW(),5),IF('FALTAS GERAL'!$M$1="Nº de decks (maior primeiro)","K"&amp;RIGHT("00"&amp;(99-N(G194)),2)&amp;AH194&amp;RIGHT("00000"&amp;ROW(),5),"K"&amp;RIGHT("00000"&amp;ROW(),5))))))</f>
        <v/>
      </c>
      <c r="AJ194" s="11" t="str">
        <f aca="false">IF(AI194="","",COUNTIFS($AI$2:$AI$801,"&lt;"&amp;AI194,$E$2:$E$801,"&gt;0")+1)</f>
        <v/>
      </c>
      <c r="AK194" s="11" t="str">
        <f aca="false">IF(OR(A194="",N(E194)&lt;=0),"",COUNTIFS($AH$2:$AH$801,"&lt;"&amp;AH194,$E$2:$E$801,"&gt;0")+COUNTIFS($AH$2:AH194,AH194,$E$2:E194,"&gt;0"))</f>
        <v/>
      </c>
    </row>
    <row r="195" customFormat="false" ht="15" hidden="false" customHeight="false" outlineLevel="0" collapsed="false">
      <c r="A195" s="11" t="str">
        <f aca="false">IF(INVENTÁRIO!A195="","",INVENTÁRIO!A195)</f>
        <v/>
      </c>
      <c r="B195" s="11" t="str">
        <f aca="false">IF(A195="","",INVENTÁRIO!B195)</f>
        <v/>
      </c>
      <c r="C195" s="16" t="str">
        <f aca="false">IF(A195="","",INVENTÁRIO!C195)</f>
        <v/>
      </c>
      <c r="D195" s="14" t="str">
        <f aca="false">IF(A195="","",MAX(K195:AD195))</f>
        <v/>
      </c>
      <c r="E195" s="14" t="str">
        <f aca="false">IF(A195="","",MAX(0,D195-C195))</f>
        <v/>
      </c>
      <c r="F195" s="16" t="str">
        <f aca="false">IF(A195="","",IF(D195=0,"Fora dos decks",IF(E195=0,"Completo","Falta")))</f>
        <v/>
      </c>
      <c r="G195" s="16" t="str">
        <f aca="false">IF(A195="","",COUNTIF(K195:AD195,"&gt;0"))</f>
        <v/>
      </c>
      <c r="H195" s="16" t="str">
        <f aca="false">IF(A195="","",IF(G195&gt;1,"Sim",""))</f>
        <v/>
      </c>
      <c r="I195" s="18" t="str">
        <f aca="false">IF(A195="","",SUMIFS(DECKS!$D$2:$D$1201,DECKS!$B$2:$B$1201,A195))</f>
        <v/>
      </c>
      <c r="J195" s="18" t="str">
        <f aca="false">IF(A195="","",MAX(0,I195-C195))</f>
        <v/>
      </c>
      <c r="K195" s="19" t="str">
        <f aca="false">IF(OR($A195="",INDEX(_LEITURA!$Q$2:$Q$21,1)=0),"",SUMIFS(DECKS!$D$2:$D$1201,DECKS!$A$2:$A$1201,INDEX(_LEITURA!$P$2:$P$21,1),DECKS!$B$2:$B$1201,$A195))</f>
        <v/>
      </c>
      <c r="L195" s="19" t="str">
        <f aca="false">IF(OR($A195="",INDEX(_LEITURA!$Q$2:$Q$21,2)=0),"",SUMIFS(DECKS!$D$2:$D$1201,DECKS!$A$2:$A$1201,INDEX(_LEITURA!$P$2:$P$21,2),DECKS!$B$2:$B$1201,$A195))</f>
        <v/>
      </c>
      <c r="M195" s="19" t="str">
        <f aca="false">IF(OR($A195="",INDEX(_LEITURA!$Q$2:$Q$21,3)=0),"",SUMIFS(DECKS!$D$2:$D$1201,DECKS!$A$2:$A$1201,INDEX(_LEITURA!$P$2:$P$21,3),DECKS!$B$2:$B$1201,$A195))</f>
        <v/>
      </c>
      <c r="N195" s="19" t="str">
        <f aca="false">IF(OR($A195="",INDEX(_LEITURA!$Q$2:$Q$21,4)=0),"",SUMIFS(DECKS!$D$2:$D$1201,DECKS!$A$2:$A$1201,INDEX(_LEITURA!$P$2:$P$21,4),DECKS!$B$2:$B$1201,$A195))</f>
        <v/>
      </c>
      <c r="O195" s="19" t="str">
        <f aca="false">IF(OR($A195="",INDEX(_LEITURA!$Q$2:$Q$21,5)=0),"",SUMIFS(DECKS!$D$2:$D$1201,DECKS!$A$2:$A$1201,INDEX(_LEITURA!$P$2:$P$21,5),DECKS!$B$2:$B$1201,$A195))</f>
        <v/>
      </c>
      <c r="P195" s="19" t="str">
        <f aca="false">IF(OR($A195="",INDEX(_LEITURA!$Q$2:$Q$21,6)=0),"",SUMIFS(DECKS!$D$2:$D$1201,DECKS!$A$2:$A$1201,INDEX(_LEITURA!$P$2:$P$21,6),DECKS!$B$2:$B$1201,$A195))</f>
        <v/>
      </c>
      <c r="Q195" s="19" t="str">
        <f aca="false">IF(OR($A195="",INDEX(_LEITURA!$Q$2:$Q$21,7)=0),"",SUMIFS(DECKS!$D$2:$D$1201,DECKS!$A$2:$A$1201,INDEX(_LEITURA!$P$2:$P$21,7),DECKS!$B$2:$B$1201,$A195))</f>
        <v/>
      </c>
      <c r="R195" s="19" t="str">
        <f aca="false">IF(OR($A195="",INDEX(_LEITURA!$Q$2:$Q$21,8)=0),"",SUMIFS(DECKS!$D$2:$D$1201,DECKS!$A$2:$A$1201,INDEX(_LEITURA!$P$2:$P$21,8),DECKS!$B$2:$B$1201,$A195))</f>
        <v/>
      </c>
      <c r="S195" s="19" t="str">
        <f aca="false">IF(OR($A195="",INDEX(_LEITURA!$Q$2:$Q$21,9)=0),"",SUMIFS(DECKS!$D$2:$D$1201,DECKS!$A$2:$A$1201,INDEX(_LEITURA!$P$2:$P$21,9),DECKS!$B$2:$B$1201,$A195))</f>
        <v/>
      </c>
      <c r="T195" s="19" t="str">
        <f aca="false">IF(OR($A195="",INDEX(_LEITURA!$Q$2:$Q$21,10)=0),"",SUMIFS(DECKS!$D$2:$D$1201,DECKS!$A$2:$A$1201,INDEX(_LEITURA!$P$2:$P$21,10),DECKS!$B$2:$B$1201,$A195))</f>
        <v/>
      </c>
      <c r="U195" s="19" t="str">
        <f aca="false">IF(OR($A195="",INDEX(_LEITURA!$Q$2:$Q$21,11)=0),"",SUMIFS(DECKS!$D$2:$D$1201,DECKS!$A$2:$A$1201,INDEX(_LEITURA!$P$2:$P$21,11),DECKS!$B$2:$B$1201,$A195))</f>
        <v/>
      </c>
      <c r="V195" s="19" t="str">
        <f aca="false">IF(OR($A195="",INDEX(_LEITURA!$Q$2:$Q$21,12)=0),"",SUMIFS(DECKS!$D$2:$D$1201,DECKS!$A$2:$A$1201,INDEX(_LEITURA!$P$2:$P$21,12),DECKS!$B$2:$B$1201,$A195))</f>
        <v/>
      </c>
      <c r="W195" s="19" t="str">
        <f aca="false">IF(OR($A195="",INDEX(_LEITURA!$Q$2:$Q$21,13)=0),"",SUMIFS(DECKS!$D$2:$D$1201,DECKS!$A$2:$A$1201,INDEX(_LEITURA!$P$2:$P$21,13),DECKS!$B$2:$B$1201,$A195))</f>
        <v/>
      </c>
      <c r="X195" s="19" t="str">
        <f aca="false">IF(OR($A195="",INDEX(_LEITURA!$Q$2:$Q$21,14)=0),"",SUMIFS(DECKS!$D$2:$D$1201,DECKS!$A$2:$A$1201,INDEX(_LEITURA!$P$2:$P$21,14),DECKS!$B$2:$B$1201,$A195))</f>
        <v/>
      </c>
      <c r="Y195" s="19" t="str">
        <f aca="false">IF(OR($A195="",INDEX(_LEITURA!$Q$2:$Q$21,15)=0),"",SUMIFS(DECKS!$D$2:$D$1201,DECKS!$A$2:$A$1201,INDEX(_LEITURA!$P$2:$P$21,15),DECKS!$B$2:$B$1201,$A195))</f>
        <v/>
      </c>
      <c r="Z195" s="19" t="str">
        <f aca="false">IF(OR($A195="",INDEX(_LEITURA!$Q$2:$Q$21,16)=0),"",SUMIFS(DECKS!$D$2:$D$1201,DECKS!$A$2:$A$1201,INDEX(_LEITURA!$P$2:$P$21,16),DECKS!$B$2:$B$1201,$A195))</f>
        <v/>
      </c>
      <c r="AA195" s="19" t="str">
        <f aca="false">IF(OR($A195="",INDEX(_LEITURA!$Q$2:$Q$21,17)=0),"",SUMIFS(DECKS!$D$2:$D$1201,DECKS!$A$2:$A$1201,INDEX(_LEITURA!$P$2:$P$21,17),DECKS!$B$2:$B$1201,$A195))</f>
        <v/>
      </c>
      <c r="AB195" s="19" t="str">
        <f aca="false">IF(OR($A195="",INDEX(_LEITURA!$Q$2:$Q$21,18)=0),"",SUMIFS(DECKS!$D$2:$D$1201,DECKS!$A$2:$A$1201,INDEX(_LEITURA!$P$2:$P$21,18),DECKS!$B$2:$B$1201,$A195))</f>
        <v/>
      </c>
      <c r="AC195" s="19" t="str">
        <f aca="false">IF(OR($A195="",INDEX(_LEITURA!$Q$2:$Q$21,19)=0),"",SUMIFS(DECKS!$D$2:$D$1201,DECKS!$A$2:$A$1201,INDEX(_LEITURA!$P$2:$P$21,19),DECKS!$B$2:$B$1201,$A195))</f>
        <v/>
      </c>
      <c r="AD195" s="19" t="str">
        <f aca="false">IF(OR($A195="",INDEX(_LEITURA!$Q$2:$Q$21,20)=0),"",SUMIFS(DECKS!$D$2:$D$1201,DECKS!$A$2:$A$1201,INDEX(_LEITURA!$P$2:$P$21,20),DECKS!$B$2:$B$1201,$A195))</f>
        <v/>
      </c>
      <c r="AE195" s="16" t="str">
        <f aca="false">IF(N(E195)&gt;0,MAX(AE$1:AE194)+1,"")</f>
        <v/>
      </c>
      <c r="AF195" s="11" t="str">
        <f aca="false">IF(A195="","",IFERROR(LEFT(A195,FIND("-",A195)-1),A195))</f>
        <v/>
      </c>
      <c r="AG195" s="11" t="str">
        <f aca="false">IF(AF195="","",IF(ISNUMBER(--MID(AF195,1,1)),0,IF(ISNUMBER(--MID(AF195,2,1)),1,IF(ISNUMBER(--MID(AF195,3,1)),2,IF(ISNUMBER(--MID(AF195,4,1)),3,MIN(LEN(AF195),4))))))</f>
        <v/>
      </c>
      <c r="AH195" s="11" t="str">
        <f aca="false">IF(A195="","",LEFT(AF195,AG195)&amp;REPT("0",4-AG195)&amp;RIGHT("000"&amp;IFERROR(VALUE(MID(AF195,AG195+1,9)),0),3)&amp;RIGHT("0000"&amp;IFERROR(VALUE(MID(A195,FIND("-",A195)+1,9)),0),4))</f>
        <v/>
      </c>
      <c r="AI195" s="11" t="str">
        <f aca="false">IF(OR(A195="",N(E195)&lt;=0),"",IF('FALTAS GERAL'!$M$1="Código","K"&amp;AH195&amp;RIGHT("00000"&amp;ROW(),5),IF('FALTAS GERAL'!$M$1="Nome","K"&amp;UPPER(SUBSTITUTE(SUBSTITUTE(SUBSTITUTE(B195,"*",""),"?",""),"~",""))&amp;"0"&amp;AH195&amp;RIGHT("00000"&amp;ROW(),5),IF('FALTAS GERAL'!$M$1="Falta (maior primeiro)","K"&amp;RIGHT("0000"&amp;(9999-E195),4)&amp;AH195&amp;RIGHT("00000"&amp;ROW(),5),IF('FALTAS GERAL'!$M$1="Nº de decks (maior primeiro)","K"&amp;RIGHT("00"&amp;(99-N(G195)),2)&amp;AH195&amp;RIGHT("00000"&amp;ROW(),5),"K"&amp;RIGHT("00000"&amp;ROW(),5))))))</f>
        <v/>
      </c>
      <c r="AJ195" s="11" t="str">
        <f aca="false">IF(AI195="","",COUNTIFS($AI$2:$AI$801,"&lt;"&amp;AI195,$E$2:$E$801,"&gt;0")+1)</f>
        <v/>
      </c>
      <c r="AK195" s="11" t="str">
        <f aca="false">IF(OR(A195="",N(E195)&lt;=0),"",COUNTIFS($AH$2:$AH$801,"&lt;"&amp;AH195,$E$2:$E$801,"&gt;0")+COUNTIFS($AH$2:AH195,AH195,$E$2:E195,"&gt;0"))</f>
        <v/>
      </c>
    </row>
    <row r="196" customFormat="false" ht="15" hidden="false" customHeight="false" outlineLevel="0" collapsed="false">
      <c r="A196" s="11" t="str">
        <f aca="false">IF(INVENTÁRIO!A196="","",INVENTÁRIO!A196)</f>
        <v/>
      </c>
      <c r="B196" s="11" t="str">
        <f aca="false">IF(A196="","",INVENTÁRIO!B196)</f>
        <v/>
      </c>
      <c r="C196" s="16" t="str">
        <f aca="false">IF(A196="","",INVENTÁRIO!C196)</f>
        <v/>
      </c>
      <c r="D196" s="14" t="str">
        <f aca="false">IF(A196="","",MAX(K196:AD196))</f>
        <v/>
      </c>
      <c r="E196" s="14" t="str">
        <f aca="false">IF(A196="","",MAX(0,D196-C196))</f>
        <v/>
      </c>
      <c r="F196" s="16" t="str">
        <f aca="false">IF(A196="","",IF(D196=0,"Fora dos decks",IF(E196=0,"Completo","Falta")))</f>
        <v/>
      </c>
      <c r="G196" s="16" t="str">
        <f aca="false">IF(A196="","",COUNTIF(K196:AD196,"&gt;0"))</f>
        <v/>
      </c>
      <c r="H196" s="16" t="str">
        <f aca="false">IF(A196="","",IF(G196&gt;1,"Sim",""))</f>
        <v/>
      </c>
      <c r="I196" s="18" t="str">
        <f aca="false">IF(A196="","",SUMIFS(DECKS!$D$2:$D$1201,DECKS!$B$2:$B$1201,A196))</f>
        <v/>
      </c>
      <c r="J196" s="18" t="str">
        <f aca="false">IF(A196="","",MAX(0,I196-C196))</f>
        <v/>
      </c>
      <c r="K196" s="19" t="str">
        <f aca="false">IF(OR($A196="",INDEX(_LEITURA!$Q$2:$Q$21,1)=0),"",SUMIFS(DECKS!$D$2:$D$1201,DECKS!$A$2:$A$1201,INDEX(_LEITURA!$P$2:$P$21,1),DECKS!$B$2:$B$1201,$A196))</f>
        <v/>
      </c>
      <c r="L196" s="19" t="str">
        <f aca="false">IF(OR($A196="",INDEX(_LEITURA!$Q$2:$Q$21,2)=0),"",SUMIFS(DECKS!$D$2:$D$1201,DECKS!$A$2:$A$1201,INDEX(_LEITURA!$P$2:$P$21,2),DECKS!$B$2:$B$1201,$A196))</f>
        <v/>
      </c>
      <c r="M196" s="19" t="str">
        <f aca="false">IF(OR($A196="",INDEX(_LEITURA!$Q$2:$Q$21,3)=0),"",SUMIFS(DECKS!$D$2:$D$1201,DECKS!$A$2:$A$1201,INDEX(_LEITURA!$P$2:$P$21,3),DECKS!$B$2:$B$1201,$A196))</f>
        <v/>
      </c>
      <c r="N196" s="19" t="str">
        <f aca="false">IF(OR($A196="",INDEX(_LEITURA!$Q$2:$Q$21,4)=0),"",SUMIFS(DECKS!$D$2:$D$1201,DECKS!$A$2:$A$1201,INDEX(_LEITURA!$P$2:$P$21,4),DECKS!$B$2:$B$1201,$A196))</f>
        <v/>
      </c>
      <c r="O196" s="19" t="str">
        <f aca="false">IF(OR($A196="",INDEX(_LEITURA!$Q$2:$Q$21,5)=0),"",SUMIFS(DECKS!$D$2:$D$1201,DECKS!$A$2:$A$1201,INDEX(_LEITURA!$P$2:$P$21,5),DECKS!$B$2:$B$1201,$A196))</f>
        <v/>
      </c>
      <c r="P196" s="19" t="str">
        <f aca="false">IF(OR($A196="",INDEX(_LEITURA!$Q$2:$Q$21,6)=0),"",SUMIFS(DECKS!$D$2:$D$1201,DECKS!$A$2:$A$1201,INDEX(_LEITURA!$P$2:$P$21,6),DECKS!$B$2:$B$1201,$A196))</f>
        <v/>
      </c>
      <c r="Q196" s="19" t="str">
        <f aca="false">IF(OR($A196="",INDEX(_LEITURA!$Q$2:$Q$21,7)=0),"",SUMIFS(DECKS!$D$2:$D$1201,DECKS!$A$2:$A$1201,INDEX(_LEITURA!$P$2:$P$21,7),DECKS!$B$2:$B$1201,$A196))</f>
        <v/>
      </c>
      <c r="R196" s="19" t="str">
        <f aca="false">IF(OR($A196="",INDEX(_LEITURA!$Q$2:$Q$21,8)=0),"",SUMIFS(DECKS!$D$2:$D$1201,DECKS!$A$2:$A$1201,INDEX(_LEITURA!$P$2:$P$21,8),DECKS!$B$2:$B$1201,$A196))</f>
        <v/>
      </c>
      <c r="S196" s="19" t="str">
        <f aca="false">IF(OR($A196="",INDEX(_LEITURA!$Q$2:$Q$21,9)=0),"",SUMIFS(DECKS!$D$2:$D$1201,DECKS!$A$2:$A$1201,INDEX(_LEITURA!$P$2:$P$21,9),DECKS!$B$2:$B$1201,$A196))</f>
        <v/>
      </c>
      <c r="T196" s="19" t="str">
        <f aca="false">IF(OR($A196="",INDEX(_LEITURA!$Q$2:$Q$21,10)=0),"",SUMIFS(DECKS!$D$2:$D$1201,DECKS!$A$2:$A$1201,INDEX(_LEITURA!$P$2:$P$21,10),DECKS!$B$2:$B$1201,$A196))</f>
        <v/>
      </c>
      <c r="U196" s="19" t="str">
        <f aca="false">IF(OR($A196="",INDEX(_LEITURA!$Q$2:$Q$21,11)=0),"",SUMIFS(DECKS!$D$2:$D$1201,DECKS!$A$2:$A$1201,INDEX(_LEITURA!$P$2:$P$21,11),DECKS!$B$2:$B$1201,$A196))</f>
        <v/>
      </c>
      <c r="V196" s="19" t="str">
        <f aca="false">IF(OR($A196="",INDEX(_LEITURA!$Q$2:$Q$21,12)=0),"",SUMIFS(DECKS!$D$2:$D$1201,DECKS!$A$2:$A$1201,INDEX(_LEITURA!$P$2:$P$21,12),DECKS!$B$2:$B$1201,$A196))</f>
        <v/>
      </c>
      <c r="W196" s="19" t="str">
        <f aca="false">IF(OR($A196="",INDEX(_LEITURA!$Q$2:$Q$21,13)=0),"",SUMIFS(DECKS!$D$2:$D$1201,DECKS!$A$2:$A$1201,INDEX(_LEITURA!$P$2:$P$21,13),DECKS!$B$2:$B$1201,$A196))</f>
        <v/>
      </c>
      <c r="X196" s="19" t="str">
        <f aca="false">IF(OR($A196="",INDEX(_LEITURA!$Q$2:$Q$21,14)=0),"",SUMIFS(DECKS!$D$2:$D$1201,DECKS!$A$2:$A$1201,INDEX(_LEITURA!$P$2:$P$21,14),DECKS!$B$2:$B$1201,$A196))</f>
        <v/>
      </c>
      <c r="Y196" s="19" t="str">
        <f aca="false">IF(OR($A196="",INDEX(_LEITURA!$Q$2:$Q$21,15)=0),"",SUMIFS(DECKS!$D$2:$D$1201,DECKS!$A$2:$A$1201,INDEX(_LEITURA!$P$2:$P$21,15),DECKS!$B$2:$B$1201,$A196))</f>
        <v/>
      </c>
      <c r="Z196" s="19" t="str">
        <f aca="false">IF(OR($A196="",INDEX(_LEITURA!$Q$2:$Q$21,16)=0),"",SUMIFS(DECKS!$D$2:$D$1201,DECKS!$A$2:$A$1201,INDEX(_LEITURA!$P$2:$P$21,16),DECKS!$B$2:$B$1201,$A196))</f>
        <v/>
      </c>
      <c r="AA196" s="19" t="str">
        <f aca="false">IF(OR($A196="",INDEX(_LEITURA!$Q$2:$Q$21,17)=0),"",SUMIFS(DECKS!$D$2:$D$1201,DECKS!$A$2:$A$1201,INDEX(_LEITURA!$P$2:$P$21,17),DECKS!$B$2:$B$1201,$A196))</f>
        <v/>
      </c>
      <c r="AB196" s="19" t="str">
        <f aca="false">IF(OR($A196="",INDEX(_LEITURA!$Q$2:$Q$21,18)=0),"",SUMIFS(DECKS!$D$2:$D$1201,DECKS!$A$2:$A$1201,INDEX(_LEITURA!$P$2:$P$21,18),DECKS!$B$2:$B$1201,$A196))</f>
        <v/>
      </c>
      <c r="AC196" s="19" t="str">
        <f aca="false">IF(OR($A196="",INDEX(_LEITURA!$Q$2:$Q$21,19)=0),"",SUMIFS(DECKS!$D$2:$D$1201,DECKS!$A$2:$A$1201,INDEX(_LEITURA!$P$2:$P$21,19),DECKS!$B$2:$B$1201,$A196))</f>
        <v/>
      </c>
      <c r="AD196" s="19" t="str">
        <f aca="false">IF(OR($A196="",INDEX(_LEITURA!$Q$2:$Q$21,20)=0),"",SUMIFS(DECKS!$D$2:$D$1201,DECKS!$A$2:$A$1201,INDEX(_LEITURA!$P$2:$P$21,20),DECKS!$B$2:$B$1201,$A196))</f>
        <v/>
      </c>
      <c r="AE196" s="16" t="str">
        <f aca="false">IF(N(E196)&gt;0,MAX(AE$1:AE195)+1,"")</f>
        <v/>
      </c>
      <c r="AF196" s="11" t="str">
        <f aca="false">IF(A196="","",IFERROR(LEFT(A196,FIND("-",A196)-1),A196))</f>
        <v/>
      </c>
      <c r="AG196" s="11" t="str">
        <f aca="false">IF(AF196="","",IF(ISNUMBER(--MID(AF196,1,1)),0,IF(ISNUMBER(--MID(AF196,2,1)),1,IF(ISNUMBER(--MID(AF196,3,1)),2,IF(ISNUMBER(--MID(AF196,4,1)),3,MIN(LEN(AF196),4))))))</f>
        <v/>
      </c>
      <c r="AH196" s="11" t="str">
        <f aca="false">IF(A196="","",LEFT(AF196,AG196)&amp;REPT("0",4-AG196)&amp;RIGHT("000"&amp;IFERROR(VALUE(MID(AF196,AG196+1,9)),0),3)&amp;RIGHT("0000"&amp;IFERROR(VALUE(MID(A196,FIND("-",A196)+1,9)),0),4))</f>
        <v/>
      </c>
      <c r="AI196" s="11" t="str">
        <f aca="false">IF(OR(A196="",N(E196)&lt;=0),"",IF('FALTAS GERAL'!$M$1="Código","K"&amp;AH196&amp;RIGHT("00000"&amp;ROW(),5),IF('FALTAS GERAL'!$M$1="Nome","K"&amp;UPPER(SUBSTITUTE(SUBSTITUTE(SUBSTITUTE(B196,"*",""),"?",""),"~",""))&amp;"0"&amp;AH196&amp;RIGHT("00000"&amp;ROW(),5),IF('FALTAS GERAL'!$M$1="Falta (maior primeiro)","K"&amp;RIGHT("0000"&amp;(9999-E196),4)&amp;AH196&amp;RIGHT("00000"&amp;ROW(),5),IF('FALTAS GERAL'!$M$1="Nº de decks (maior primeiro)","K"&amp;RIGHT("00"&amp;(99-N(G196)),2)&amp;AH196&amp;RIGHT("00000"&amp;ROW(),5),"K"&amp;RIGHT("00000"&amp;ROW(),5))))))</f>
        <v/>
      </c>
      <c r="AJ196" s="11" t="str">
        <f aca="false">IF(AI196="","",COUNTIFS($AI$2:$AI$801,"&lt;"&amp;AI196,$E$2:$E$801,"&gt;0")+1)</f>
        <v/>
      </c>
      <c r="AK196" s="11" t="str">
        <f aca="false">IF(OR(A196="",N(E196)&lt;=0),"",COUNTIFS($AH$2:$AH$801,"&lt;"&amp;AH196,$E$2:$E$801,"&gt;0")+COUNTIFS($AH$2:AH196,AH196,$E$2:E196,"&gt;0"))</f>
        <v/>
      </c>
    </row>
    <row r="197" customFormat="false" ht="15" hidden="false" customHeight="false" outlineLevel="0" collapsed="false">
      <c r="A197" s="11" t="str">
        <f aca="false">IF(INVENTÁRIO!A197="","",INVENTÁRIO!A197)</f>
        <v/>
      </c>
      <c r="B197" s="11" t="str">
        <f aca="false">IF(A197="","",INVENTÁRIO!B197)</f>
        <v/>
      </c>
      <c r="C197" s="16" t="str">
        <f aca="false">IF(A197="","",INVENTÁRIO!C197)</f>
        <v/>
      </c>
      <c r="D197" s="14" t="str">
        <f aca="false">IF(A197="","",MAX(K197:AD197))</f>
        <v/>
      </c>
      <c r="E197" s="14" t="str">
        <f aca="false">IF(A197="","",MAX(0,D197-C197))</f>
        <v/>
      </c>
      <c r="F197" s="16" t="str">
        <f aca="false">IF(A197="","",IF(D197=0,"Fora dos decks",IF(E197=0,"Completo","Falta")))</f>
        <v/>
      </c>
      <c r="G197" s="16" t="str">
        <f aca="false">IF(A197="","",COUNTIF(K197:AD197,"&gt;0"))</f>
        <v/>
      </c>
      <c r="H197" s="16" t="str">
        <f aca="false">IF(A197="","",IF(G197&gt;1,"Sim",""))</f>
        <v/>
      </c>
      <c r="I197" s="18" t="str">
        <f aca="false">IF(A197="","",SUMIFS(DECKS!$D$2:$D$1201,DECKS!$B$2:$B$1201,A197))</f>
        <v/>
      </c>
      <c r="J197" s="18" t="str">
        <f aca="false">IF(A197="","",MAX(0,I197-C197))</f>
        <v/>
      </c>
      <c r="K197" s="19" t="str">
        <f aca="false">IF(OR($A197="",INDEX(_LEITURA!$Q$2:$Q$21,1)=0),"",SUMIFS(DECKS!$D$2:$D$1201,DECKS!$A$2:$A$1201,INDEX(_LEITURA!$P$2:$P$21,1),DECKS!$B$2:$B$1201,$A197))</f>
        <v/>
      </c>
      <c r="L197" s="19" t="str">
        <f aca="false">IF(OR($A197="",INDEX(_LEITURA!$Q$2:$Q$21,2)=0),"",SUMIFS(DECKS!$D$2:$D$1201,DECKS!$A$2:$A$1201,INDEX(_LEITURA!$P$2:$P$21,2),DECKS!$B$2:$B$1201,$A197))</f>
        <v/>
      </c>
      <c r="M197" s="19" t="str">
        <f aca="false">IF(OR($A197="",INDEX(_LEITURA!$Q$2:$Q$21,3)=0),"",SUMIFS(DECKS!$D$2:$D$1201,DECKS!$A$2:$A$1201,INDEX(_LEITURA!$P$2:$P$21,3),DECKS!$B$2:$B$1201,$A197))</f>
        <v/>
      </c>
      <c r="N197" s="19" t="str">
        <f aca="false">IF(OR($A197="",INDEX(_LEITURA!$Q$2:$Q$21,4)=0),"",SUMIFS(DECKS!$D$2:$D$1201,DECKS!$A$2:$A$1201,INDEX(_LEITURA!$P$2:$P$21,4),DECKS!$B$2:$B$1201,$A197))</f>
        <v/>
      </c>
      <c r="O197" s="19" t="str">
        <f aca="false">IF(OR($A197="",INDEX(_LEITURA!$Q$2:$Q$21,5)=0),"",SUMIFS(DECKS!$D$2:$D$1201,DECKS!$A$2:$A$1201,INDEX(_LEITURA!$P$2:$P$21,5),DECKS!$B$2:$B$1201,$A197))</f>
        <v/>
      </c>
      <c r="P197" s="19" t="str">
        <f aca="false">IF(OR($A197="",INDEX(_LEITURA!$Q$2:$Q$21,6)=0),"",SUMIFS(DECKS!$D$2:$D$1201,DECKS!$A$2:$A$1201,INDEX(_LEITURA!$P$2:$P$21,6),DECKS!$B$2:$B$1201,$A197))</f>
        <v/>
      </c>
      <c r="Q197" s="19" t="str">
        <f aca="false">IF(OR($A197="",INDEX(_LEITURA!$Q$2:$Q$21,7)=0),"",SUMIFS(DECKS!$D$2:$D$1201,DECKS!$A$2:$A$1201,INDEX(_LEITURA!$P$2:$P$21,7),DECKS!$B$2:$B$1201,$A197))</f>
        <v/>
      </c>
      <c r="R197" s="19" t="str">
        <f aca="false">IF(OR($A197="",INDEX(_LEITURA!$Q$2:$Q$21,8)=0),"",SUMIFS(DECKS!$D$2:$D$1201,DECKS!$A$2:$A$1201,INDEX(_LEITURA!$P$2:$P$21,8),DECKS!$B$2:$B$1201,$A197))</f>
        <v/>
      </c>
      <c r="S197" s="19" t="str">
        <f aca="false">IF(OR($A197="",INDEX(_LEITURA!$Q$2:$Q$21,9)=0),"",SUMIFS(DECKS!$D$2:$D$1201,DECKS!$A$2:$A$1201,INDEX(_LEITURA!$P$2:$P$21,9),DECKS!$B$2:$B$1201,$A197))</f>
        <v/>
      </c>
      <c r="T197" s="19" t="str">
        <f aca="false">IF(OR($A197="",INDEX(_LEITURA!$Q$2:$Q$21,10)=0),"",SUMIFS(DECKS!$D$2:$D$1201,DECKS!$A$2:$A$1201,INDEX(_LEITURA!$P$2:$P$21,10),DECKS!$B$2:$B$1201,$A197))</f>
        <v/>
      </c>
      <c r="U197" s="19" t="str">
        <f aca="false">IF(OR($A197="",INDEX(_LEITURA!$Q$2:$Q$21,11)=0),"",SUMIFS(DECKS!$D$2:$D$1201,DECKS!$A$2:$A$1201,INDEX(_LEITURA!$P$2:$P$21,11),DECKS!$B$2:$B$1201,$A197))</f>
        <v/>
      </c>
      <c r="V197" s="19" t="str">
        <f aca="false">IF(OR($A197="",INDEX(_LEITURA!$Q$2:$Q$21,12)=0),"",SUMIFS(DECKS!$D$2:$D$1201,DECKS!$A$2:$A$1201,INDEX(_LEITURA!$P$2:$P$21,12),DECKS!$B$2:$B$1201,$A197))</f>
        <v/>
      </c>
      <c r="W197" s="19" t="str">
        <f aca="false">IF(OR($A197="",INDEX(_LEITURA!$Q$2:$Q$21,13)=0),"",SUMIFS(DECKS!$D$2:$D$1201,DECKS!$A$2:$A$1201,INDEX(_LEITURA!$P$2:$P$21,13),DECKS!$B$2:$B$1201,$A197))</f>
        <v/>
      </c>
      <c r="X197" s="19" t="str">
        <f aca="false">IF(OR($A197="",INDEX(_LEITURA!$Q$2:$Q$21,14)=0),"",SUMIFS(DECKS!$D$2:$D$1201,DECKS!$A$2:$A$1201,INDEX(_LEITURA!$P$2:$P$21,14),DECKS!$B$2:$B$1201,$A197))</f>
        <v/>
      </c>
      <c r="Y197" s="19" t="str">
        <f aca="false">IF(OR($A197="",INDEX(_LEITURA!$Q$2:$Q$21,15)=0),"",SUMIFS(DECKS!$D$2:$D$1201,DECKS!$A$2:$A$1201,INDEX(_LEITURA!$P$2:$P$21,15),DECKS!$B$2:$B$1201,$A197))</f>
        <v/>
      </c>
      <c r="Z197" s="19" t="str">
        <f aca="false">IF(OR($A197="",INDEX(_LEITURA!$Q$2:$Q$21,16)=0),"",SUMIFS(DECKS!$D$2:$D$1201,DECKS!$A$2:$A$1201,INDEX(_LEITURA!$P$2:$P$21,16),DECKS!$B$2:$B$1201,$A197))</f>
        <v/>
      </c>
      <c r="AA197" s="19" t="str">
        <f aca="false">IF(OR($A197="",INDEX(_LEITURA!$Q$2:$Q$21,17)=0),"",SUMIFS(DECKS!$D$2:$D$1201,DECKS!$A$2:$A$1201,INDEX(_LEITURA!$P$2:$P$21,17),DECKS!$B$2:$B$1201,$A197))</f>
        <v/>
      </c>
      <c r="AB197" s="19" t="str">
        <f aca="false">IF(OR($A197="",INDEX(_LEITURA!$Q$2:$Q$21,18)=0),"",SUMIFS(DECKS!$D$2:$D$1201,DECKS!$A$2:$A$1201,INDEX(_LEITURA!$P$2:$P$21,18),DECKS!$B$2:$B$1201,$A197))</f>
        <v/>
      </c>
      <c r="AC197" s="19" t="str">
        <f aca="false">IF(OR($A197="",INDEX(_LEITURA!$Q$2:$Q$21,19)=0),"",SUMIFS(DECKS!$D$2:$D$1201,DECKS!$A$2:$A$1201,INDEX(_LEITURA!$P$2:$P$21,19),DECKS!$B$2:$B$1201,$A197))</f>
        <v/>
      </c>
      <c r="AD197" s="19" t="str">
        <f aca="false">IF(OR($A197="",INDEX(_LEITURA!$Q$2:$Q$21,20)=0),"",SUMIFS(DECKS!$D$2:$D$1201,DECKS!$A$2:$A$1201,INDEX(_LEITURA!$P$2:$P$21,20),DECKS!$B$2:$B$1201,$A197))</f>
        <v/>
      </c>
      <c r="AE197" s="16" t="str">
        <f aca="false">IF(N(E197)&gt;0,MAX(AE$1:AE196)+1,"")</f>
        <v/>
      </c>
      <c r="AF197" s="11" t="str">
        <f aca="false">IF(A197="","",IFERROR(LEFT(A197,FIND("-",A197)-1),A197))</f>
        <v/>
      </c>
      <c r="AG197" s="11" t="str">
        <f aca="false">IF(AF197="","",IF(ISNUMBER(--MID(AF197,1,1)),0,IF(ISNUMBER(--MID(AF197,2,1)),1,IF(ISNUMBER(--MID(AF197,3,1)),2,IF(ISNUMBER(--MID(AF197,4,1)),3,MIN(LEN(AF197),4))))))</f>
        <v/>
      </c>
      <c r="AH197" s="11" t="str">
        <f aca="false">IF(A197="","",LEFT(AF197,AG197)&amp;REPT("0",4-AG197)&amp;RIGHT("000"&amp;IFERROR(VALUE(MID(AF197,AG197+1,9)),0),3)&amp;RIGHT("0000"&amp;IFERROR(VALUE(MID(A197,FIND("-",A197)+1,9)),0),4))</f>
        <v/>
      </c>
      <c r="AI197" s="11" t="str">
        <f aca="false">IF(OR(A197="",N(E197)&lt;=0),"",IF('FALTAS GERAL'!$M$1="Código","K"&amp;AH197&amp;RIGHT("00000"&amp;ROW(),5),IF('FALTAS GERAL'!$M$1="Nome","K"&amp;UPPER(SUBSTITUTE(SUBSTITUTE(SUBSTITUTE(B197,"*",""),"?",""),"~",""))&amp;"0"&amp;AH197&amp;RIGHT("00000"&amp;ROW(),5),IF('FALTAS GERAL'!$M$1="Falta (maior primeiro)","K"&amp;RIGHT("0000"&amp;(9999-E197),4)&amp;AH197&amp;RIGHT("00000"&amp;ROW(),5),IF('FALTAS GERAL'!$M$1="Nº de decks (maior primeiro)","K"&amp;RIGHT("00"&amp;(99-N(G197)),2)&amp;AH197&amp;RIGHT("00000"&amp;ROW(),5),"K"&amp;RIGHT("00000"&amp;ROW(),5))))))</f>
        <v/>
      </c>
      <c r="AJ197" s="11" t="str">
        <f aca="false">IF(AI197="","",COUNTIFS($AI$2:$AI$801,"&lt;"&amp;AI197,$E$2:$E$801,"&gt;0")+1)</f>
        <v/>
      </c>
      <c r="AK197" s="11" t="str">
        <f aca="false">IF(OR(A197="",N(E197)&lt;=0),"",COUNTIFS($AH$2:$AH$801,"&lt;"&amp;AH197,$E$2:$E$801,"&gt;0")+COUNTIFS($AH$2:AH197,AH197,$E$2:E197,"&gt;0"))</f>
        <v/>
      </c>
    </row>
    <row r="198" customFormat="false" ht="15" hidden="false" customHeight="false" outlineLevel="0" collapsed="false">
      <c r="A198" s="11" t="str">
        <f aca="false">IF(INVENTÁRIO!A198="","",INVENTÁRIO!A198)</f>
        <v/>
      </c>
      <c r="B198" s="11" t="str">
        <f aca="false">IF(A198="","",INVENTÁRIO!B198)</f>
        <v/>
      </c>
      <c r="C198" s="16" t="str">
        <f aca="false">IF(A198="","",INVENTÁRIO!C198)</f>
        <v/>
      </c>
      <c r="D198" s="14" t="str">
        <f aca="false">IF(A198="","",MAX(K198:AD198))</f>
        <v/>
      </c>
      <c r="E198" s="14" t="str">
        <f aca="false">IF(A198="","",MAX(0,D198-C198))</f>
        <v/>
      </c>
      <c r="F198" s="16" t="str">
        <f aca="false">IF(A198="","",IF(D198=0,"Fora dos decks",IF(E198=0,"Completo","Falta")))</f>
        <v/>
      </c>
      <c r="G198" s="16" t="str">
        <f aca="false">IF(A198="","",COUNTIF(K198:AD198,"&gt;0"))</f>
        <v/>
      </c>
      <c r="H198" s="16" t="str">
        <f aca="false">IF(A198="","",IF(G198&gt;1,"Sim",""))</f>
        <v/>
      </c>
      <c r="I198" s="18" t="str">
        <f aca="false">IF(A198="","",SUMIFS(DECKS!$D$2:$D$1201,DECKS!$B$2:$B$1201,A198))</f>
        <v/>
      </c>
      <c r="J198" s="18" t="str">
        <f aca="false">IF(A198="","",MAX(0,I198-C198))</f>
        <v/>
      </c>
      <c r="K198" s="19" t="str">
        <f aca="false">IF(OR($A198="",INDEX(_LEITURA!$Q$2:$Q$21,1)=0),"",SUMIFS(DECKS!$D$2:$D$1201,DECKS!$A$2:$A$1201,INDEX(_LEITURA!$P$2:$P$21,1),DECKS!$B$2:$B$1201,$A198))</f>
        <v/>
      </c>
      <c r="L198" s="19" t="str">
        <f aca="false">IF(OR($A198="",INDEX(_LEITURA!$Q$2:$Q$21,2)=0),"",SUMIFS(DECKS!$D$2:$D$1201,DECKS!$A$2:$A$1201,INDEX(_LEITURA!$P$2:$P$21,2),DECKS!$B$2:$B$1201,$A198))</f>
        <v/>
      </c>
      <c r="M198" s="19" t="str">
        <f aca="false">IF(OR($A198="",INDEX(_LEITURA!$Q$2:$Q$21,3)=0),"",SUMIFS(DECKS!$D$2:$D$1201,DECKS!$A$2:$A$1201,INDEX(_LEITURA!$P$2:$P$21,3),DECKS!$B$2:$B$1201,$A198))</f>
        <v/>
      </c>
      <c r="N198" s="19" t="str">
        <f aca="false">IF(OR($A198="",INDEX(_LEITURA!$Q$2:$Q$21,4)=0),"",SUMIFS(DECKS!$D$2:$D$1201,DECKS!$A$2:$A$1201,INDEX(_LEITURA!$P$2:$P$21,4),DECKS!$B$2:$B$1201,$A198))</f>
        <v/>
      </c>
      <c r="O198" s="19" t="str">
        <f aca="false">IF(OR($A198="",INDEX(_LEITURA!$Q$2:$Q$21,5)=0),"",SUMIFS(DECKS!$D$2:$D$1201,DECKS!$A$2:$A$1201,INDEX(_LEITURA!$P$2:$P$21,5),DECKS!$B$2:$B$1201,$A198))</f>
        <v/>
      </c>
      <c r="P198" s="19" t="str">
        <f aca="false">IF(OR($A198="",INDEX(_LEITURA!$Q$2:$Q$21,6)=0),"",SUMIFS(DECKS!$D$2:$D$1201,DECKS!$A$2:$A$1201,INDEX(_LEITURA!$P$2:$P$21,6),DECKS!$B$2:$B$1201,$A198))</f>
        <v/>
      </c>
      <c r="Q198" s="19" t="str">
        <f aca="false">IF(OR($A198="",INDEX(_LEITURA!$Q$2:$Q$21,7)=0),"",SUMIFS(DECKS!$D$2:$D$1201,DECKS!$A$2:$A$1201,INDEX(_LEITURA!$P$2:$P$21,7),DECKS!$B$2:$B$1201,$A198))</f>
        <v/>
      </c>
      <c r="R198" s="19" t="str">
        <f aca="false">IF(OR($A198="",INDEX(_LEITURA!$Q$2:$Q$21,8)=0),"",SUMIFS(DECKS!$D$2:$D$1201,DECKS!$A$2:$A$1201,INDEX(_LEITURA!$P$2:$P$21,8),DECKS!$B$2:$B$1201,$A198))</f>
        <v/>
      </c>
      <c r="S198" s="19" t="str">
        <f aca="false">IF(OR($A198="",INDEX(_LEITURA!$Q$2:$Q$21,9)=0),"",SUMIFS(DECKS!$D$2:$D$1201,DECKS!$A$2:$A$1201,INDEX(_LEITURA!$P$2:$P$21,9),DECKS!$B$2:$B$1201,$A198))</f>
        <v/>
      </c>
      <c r="T198" s="19" t="str">
        <f aca="false">IF(OR($A198="",INDEX(_LEITURA!$Q$2:$Q$21,10)=0),"",SUMIFS(DECKS!$D$2:$D$1201,DECKS!$A$2:$A$1201,INDEX(_LEITURA!$P$2:$P$21,10),DECKS!$B$2:$B$1201,$A198))</f>
        <v/>
      </c>
      <c r="U198" s="19" t="str">
        <f aca="false">IF(OR($A198="",INDEX(_LEITURA!$Q$2:$Q$21,11)=0),"",SUMIFS(DECKS!$D$2:$D$1201,DECKS!$A$2:$A$1201,INDEX(_LEITURA!$P$2:$P$21,11),DECKS!$B$2:$B$1201,$A198))</f>
        <v/>
      </c>
      <c r="V198" s="19" t="str">
        <f aca="false">IF(OR($A198="",INDEX(_LEITURA!$Q$2:$Q$21,12)=0),"",SUMIFS(DECKS!$D$2:$D$1201,DECKS!$A$2:$A$1201,INDEX(_LEITURA!$P$2:$P$21,12),DECKS!$B$2:$B$1201,$A198))</f>
        <v/>
      </c>
      <c r="W198" s="19" t="str">
        <f aca="false">IF(OR($A198="",INDEX(_LEITURA!$Q$2:$Q$21,13)=0),"",SUMIFS(DECKS!$D$2:$D$1201,DECKS!$A$2:$A$1201,INDEX(_LEITURA!$P$2:$P$21,13),DECKS!$B$2:$B$1201,$A198))</f>
        <v/>
      </c>
      <c r="X198" s="19" t="str">
        <f aca="false">IF(OR($A198="",INDEX(_LEITURA!$Q$2:$Q$21,14)=0),"",SUMIFS(DECKS!$D$2:$D$1201,DECKS!$A$2:$A$1201,INDEX(_LEITURA!$P$2:$P$21,14),DECKS!$B$2:$B$1201,$A198))</f>
        <v/>
      </c>
      <c r="Y198" s="19" t="str">
        <f aca="false">IF(OR($A198="",INDEX(_LEITURA!$Q$2:$Q$21,15)=0),"",SUMIFS(DECKS!$D$2:$D$1201,DECKS!$A$2:$A$1201,INDEX(_LEITURA!$P$2:$P$21,15),DECKS!$B$2:$B$1201,$A198))</f>
        <v/>
      </c>
      <c r="Z198" s="19" t="str">
        <f aca="false">IF(OR($A198="",INDEX(_LEITURA!$Q$2:$Q$21,16)=0),"",SUMIFS(DECKS!$D$2:$D$1201,DECKS!$A$2:$A$1201,INDEX(_LEITURA!$P$2:$P$21,16),DECKS!$B$2:$B$1201,$A198))</f>
        <v/>
      </c>
      <c r="AA198" s="19" t="str">
        <f aca="false">IF(OR($A198="",INDEX(_LEITURA!$Q$2:$Q$21,17)=0),"",SUMIFS(DECKS!$D$2:$D$1201,DECKS!$A$2:$A$1201,INDEX(_LEITURA!$P$2:$P$21,17),DECKS!$B$2:$B$1201,$A198))</f>
        <v/>
      </c>
      <c r="AB198" s="19" t="str">
        <f aca="false">IF(OR($A198="",INDEX(_LEITURA!$Q$2:$Q$21,18)=0),"",SUMIFS(DECKS!$D$2:$D$1201,DECKS!$A$2:$A$1201,INDEX(_LEITURA!$P$2:$P$21,18),DECKS!$B$2:$B$1201,$A198))</f>
        <v/>
      </c>
      <c r="AC198" s="19" t="str">
        <f aca="false">IF(OR($A198="",INDEX(_LEITURA!$Q$2:$Q$21,19)=0),"",SUMIFS(DECKS!$D$2:$D$1201,DECKS!$A$2:$A$1201,INDEX(_LEITURA!$P$2:$P$21,19),DECKS!$B$2:$B$1201,$A198))</f>
        <v/>
      </c>
      <c r="AD198" s="19" t="str">
        <f aca="false">IF(OR($A198="",INDEX(_LEITURA!$Q$2:$Q$21,20)=0),"",SUMIFS(DECKS!$D$2:$D$1201,DECKS!$A$2:$A$1201,INDEX(_LEITURA!$P$2:$P$21,20),DECKS!$B$2:$B$1201,$A198))</f>
        <v/>
      </c>
      <c r="AE198" s="16" t="str">
        <f aca="false">IF(N(E198)&gt;0,MAX(AE$1:AE197)+1,"")</f>
        <v/>
      </c>
      <c r="AF198" s="11" t="str">
        <f aca="false">IF(A198="","",IFERROR(LEFT(A198,FIND("-",A198)-1),A198))</f>
        <v/>
      </c>
      <c r="AG198" s="11" t="str">
        <f aca="false">IF(AF198="","",IF(ISNUMBER(--MID(AF198,1,1)),0,IF(ISNUMBER(--MID(AF198,2,1)),1,IF(ISNUMBER(--MID(AF198,3,1)),2,IF(ISNUMBER(--MID(AF198,4,1)),3,MIN(LEN(AF198),4))))))</f>
        <v/>
      </c>
      <c r="AH198" s="11" t="str">
        <f aca="false">IF(A198="","",LEFT(AF198,AG198)&amp;REPT("0",4-AG198)&amp;RIGHT("000"&amp;IFERROR(VALUE(MID(AF198,AG198+1,9)),0),3)&amp;RIGHT("0000"&amp;IFERROR(VALUE(MID(A198,FIND("-",A198)+1,9)),0),4))</f>
        <v/>
      </c>
      <c r="AI198" s="11" t="str">
        <f aca="false">IF(OR(A198="",N(E198)&lt;=0),"",IF('FALTAS GERAL'!$M$1="Código","K"&amp;AH198&amp;RIGHT("00000"&amp;ROW(),5),IF('FALTAS GERAL'!$M$1="Nome","K"&amp;UPPER(SUBSTITUTE(SUBSTITUTE(SUBSTITUTE(B198,"*",""),"?",""),"~",""))&amp;"0"&amp;AH198&amp;RIGHT("00000"&amp;ROW(),5),IF('FALTAS GERAL'!$M$1="Falta (maior primeiro)","K"&amp;RIGHT("0000"&amp;(9999-E198),4)&amp;AH198&amp;RIGHT("00000"&amp;ROW(),5),IF('FALTAS GERAL'!$M$1="Nº de decks (maior primeiro)","K"&amp;RIGHT("00"&amp;(99-N(G198)),2)&amp;AH198&amp;RIGHT("00000"&amp;ROW(),5),"K"&amp;RIGHT("00000"&amp;ROW(),5))))))</f>
        <v/>
      </c>
      <c r="AJ198" s="11" t="str">
        <f aca="false">IF(AI198="","",COUNTIFS($AI$2:$AI$801,"&lt;"&amp;AI198,$E$2:$E$801,"&gt;0")+1)</f>
        <v/>
      </c>
      <c r="AK198" s="11" t="str">
        <f aca="false">IF(OR(A198="",N(E198)&lt;=0),"",COUNTIFS($AH$2:$AH$801,"&lt;"&amp;AH198,$E$2:$E$801,"&gt;0")+COUNTIFS($AH$2:AH198,AH198,$E$2:E198,"&gt;0"))</f>
        <v/>
      </c>
    </row>
    <row r="199" customFormat="false" ht="15" hidden="false" customHeight="false" outlineLevel="0" collapsed="false">
      <c r="A199" s="11" t="str">
        <f aca="false">IF(INVENTÁRIO!A199="","",INVENTÁRIO!A199)</f>
        <v/>
      </c>
      <c r="B199" s="11" t="str">
        <f aca="false">IF(A199="","",INVENTÁRIO!B199)</f>
        <v/>
      </c>
      <c r="C199" s="16" t="str">
        <f aca="false">IF(A199="","",INVENTÁRIO!C199)</f>
        <v/>
      </c>
      <c r="D199" s="14" t="str">
        <f aca="false">IF(A199="","",MAX(K199:AD199))</f>
        <v/>
      </c>
      <c r="E199" s="14" t="str">
        <f aca="false">IF(A199="","",MAX(0,D199-C199))</f>
        <v/>
      </c>
      <c r="F199" s="16" t="str">
        <f aca="false">IF(A199="","",IF(D199=0,"Fora dos decks",IF(E199=0,"Completo","Falta")))</f>
        <v/>
      </c>
      <c r="G199" s="16" t="str">
        <f aca="false">IF(A199="","",COUNTIF(K199:AD199,"&gt;0"))</f>
        <v/>
      </c>
      <c r="H199" s="16" t="str">
        <f aca="false">IF(A199="","",IF(G199&gt;1,"Sim",""))</f>
        <v/>
      </c>
      <c r="I199" s="18" t="str">
        <f aca="false">IF(A199="","",SUMIFS(DECKS!$D$2:$D$1201,DECKS!$B$2:$B$1201,A199))</f>
        <v/>
      </c>
      <c r="J199" s="18" t="str">
        <f aca="false">IF(A199="","",MAX(0,I199-C199))</f>
        <v/>
      </c>
      <c r="K199" s="19" t="str">
        <f aca="false">IF(OR($A199="",INDEX(_LEITURA!$Q$2:$Q$21,1)=0),"",SUMIFS(DECKS!$D$2:$D$1201,DECKS!$A$2:$A$1201,INDEX(_LEITURA!$P$2:$P$21,1),DECKS!$B$2:$B$1201,$A199))</f>
        <v/>
      </c>
      <c r="L199" s="19" t="str">
        <f aca="false">IF(OR($A199="",INDEX(_LEITURA!$Q$2:$Q$21,2)=0),"",SUMIFS(DECKS!$D$2:$D$1201,DECKS!$A$2:$A$1201,INDEX(_LEITURA!$P$2:$P$21,2),DECKS!$B$2:$B$1201,$A199))</f>
        <v/>
      </c>
      <c r="M199" s="19" t="str">
        <f aca="false">IF(OR($A199="",INDEX(_LEITURA!$Q$2:$Q$21,3)=0),"",SUMIFS(DECKS!$D$2:$D$1201,DECKS!$A$2:$A$1201,INDEX(_LEITURA!$P$2:$P$21,3),DECKS!$B$2:$B$1201,$A199))</f>
        <v/>
      </c>
      <c r="N199" s="19" t="str">
        <f aca="false">IF(OR($A199="",INDEX(_LEITURA!$Q$2:$Q$21,4)=0),"",SUMIFS(DECKS!$D$2:$D$1201,DECKS!$A$2:$A$1201,INDEX(_LEITURA!$P$2:$P$21,4),DECKS!$B$2:$B$1201,$A199))</f>
        <v/>
      </c>
      <c r="O199" s="19" t="str">
        <f aca="false">IF(OR($A199="",INDEX(_LEITURA!$Q$2:$Q$21,5)=0),"",SUMIFS(DECKS!$D$2:$D$1201,DECKS!$A$2:$A$1201,INDEX(_LEITURA!$P$2:$P$21,5),DECKS!$B$2:$B$1201,$A199))</f>
        <v/>
      </c>
      <c r="P199" s="19" t="str">
        <f aca="false">IF(OR($A199="",INDEX(_LEITURA!$Q$2:$Q$21,6)=0),"",SUMIFS(DECKS!$D$2:$D$1201,DECKS!$A$2:$A$1201,INDEX(_LEITURA!$P$2:$P$21,6),DECKS!$B$2:$B$1201,$A199))</f>
        <v/>
      </c>
      <c r="Q199" s="19" t="str">
        <f aca="false">IF(OR($A199="",INDEX(_LEITURA!$Q$2:$Q$21,7)=0),"",SUMIFS(DECKS!$D$2:$D$1201,DECKS!$A$2:$A$1201,INDEX(_LEITURA!$P$2:$P$21,7),DECKS!$B$2:$B$1201,$A199))</f>
        <v/>
      </c>
      <c r="R199" s="19" t="str">
        <f aca="false">IF(OR($A199="",INDEX(_LEITURA!$Q$2:$Q$21,8)=0),"",SUMIFS(DECKS!$D$2:$D$1201,DECKS!$A$2:$A$1201,INDEX(_LEITURA!$P$2:$P$21,8),DECKS!$B$2:$B$1201,$A199))</f>
        <v/>
      </c>
      <c r="S199" s="19" t="str">
        <f aca="false">IF(OR($A199="",INDEX(_LEITURA!$Q$2:$Q$21,9)=0),"",SUMIFS(DECKS!$D$2:$D$1201,DECKS!$A$2:$A$1201,INDEX(_LEITURA!$P$2:$P$21,9),DECKS!$B$2:$B$1201,$A199))</f>
        <v/>
      </c>
      <c r="T199" s="19" t="str">
        <f aca="false">IF(OR($A199="",INDEX(_LEITURA!$Q$2:$Q$21,10)=0),"",SUMIFS(DECKS!$D$2:$D$1201,DECKS!$A$2:$A$1201,INDEX(_LEITURA!$P$2:$P$21,10),DECKS!$B$2:$B$1201,$A199))</f>
        <v/>
      </c>
      <c r="U199" s="19" t="str">
        <f aca="false">IF(OR($A199="",INDEX(_LEITURA!$Q$2:$Q$21,11)=0),"",SUMIFS(DECKS!$D$2:$D$1201,DECKS!$A$2:$A$1201,INDEX(_LEITURA!$P$2:$P$21,11),DECKS!$B$2:$B$1201,$A199))</f>
        <v/>
      </c>
      <c r="V199" s="19" t="str">
        <f aca="false">IF(OR($A199="",INDEX(_LEITURA!$Q$2:$Q$21,12)=0),"",SUMIFS(DECKS!$D$2:$D$1201,DECKS!$A$2:$A$1201,INDEX(_LEITURA!$P$2:$P$21,12),DECKS!$B$2:$B$1201,$A199))</f>
        <v/>
      </c>
      <c r="W199" s="19" t="str">
        <f aca="false">IF(OR($A199="",INDEX(_LEITURA!$Q$2:$Q$21,13)=0),"",SUMIFS(DECKS!$D$2:$D$1201,DECKS!$A$2:$A$1201,INDEX(_LEITURA!$P$2:$P$21,13),DECKS!$B$2:$B$1201,$A199))</f>
        <v/>
      </c>
      <c r="X199" s="19" t="str">
        <f aca="false">IF(OR($A199="",INDEX(_LEITURA!$Q$2:$Q$21,14)=0),"",SUMIFS(DECKS!$D$2:$D$1201,DECKS!$A$2:$A$1201,INDEX(_LEITURA!$P$2:$P$21,14),DECKS!$B$2:$B$1201,$A199))</f>
        <v/>
      </c>
      <c r="Y199" s="19" t="str">
        <f aca="false">IF(OR($A199="",INDEX(_LEITURA!$Q$2:$Q$21,15)=0),"",SUMIFS(DECKS!$D$2:$D$1201,DECKS!$A$2:$A$1201,INDEX(_LEITURA!$P$2:$P$21,15),DECKS!$B$2:$B$1201,$A199))</f>
        <v/>
      </c>
      <c r="Z199" s="19" t="str">
        <f aca="false">IF(OR($A199="",INDEX(_LEITURA!$Q$2:$Q$21,16)=0),"",SUMIFS(DECKS!$D$2:$D$1201,DECKS!$A$2:$A$1201,INDEX(_LEITURA!$P$2:$P$21,16),DECKS!$B$2:$B$1201,$A199))</f>
        <v/>
      </c>
      <c r="AA199" s="19" t="str">
        <f aca="false">IF(OR($A199="",INDEX(_LEITURA!$Q$2:$Q$21,17)=0),"",SUMIFS(DECKS!$D$2:$D$1201,DECKS!$A$2:$A$1201,INDEX(_LEITURA!$P$2:$P$21,17),DECKS!$B$2:$B$1201,$A199))</f>
        <v/>
      </c>
      <c r="AB199" s="19" t="str">
        <f aca="false">IF(OR($A199="",INDEX(_LEITURA!$Q$2:$Q$21,18)=0),"",SUMIFS(DECKS!$D$2:$D$1201,DECKS!$A$2:$A$1201,INDEX(_LEITURA!$P$2:$P$21,18),DECKS!$B$2:$B$1201,$A199))</f>
        <v/>
      </c>
      <c r="AC199" s="19" t="str">
        <f aca="false">IF(OR($A199="",INDEX(_LEITURA!$Q$2:$Q$21,19)=0),"",SUMIFS(DECKS!$D$2:$D$1201,DECKS!$A$2:$A$1201,INDEX(_LEITURA!$P$2:$P$21,19),DECKS!$B$2:$B$1201,$A199))</f>
        <v/>
      </c>
      <c r="AD199" s="19" t="str">
        <f aca="false">IF(OR($A199="",INDEX(_LEITURA!$Q$2:$Q$21,20)=0),"",SUMIFS(DECKS!$D$2:$D$1201,DECKS!$A$2:$A$1201,INDEX(_LEITURA!$P$2:$P$21,20),DECKS!$B$2:$B$1201,$A199))</f>
        <v/>
      </c>
      <c r="AE199" s="16" t="str">
        <f aca="false">IF(N(E199)&gt;0,MAX(AE$1:AE198)+1,"")</f>
        <v/>
      </c>
      <c r="AF199" s="11" t="str">
        <f aca="false">IF(A199="","",IFERROR(LEFT(A199,FIND("-",A199)-1),A199))</f>
        <v/>
      </c>
      <c r="AG199" s="11" t="str">
        <f aca="false">IF(AF199="","",IF(ISNUMBER(--MID(AF199,1,1)),0,IF(ISNUMBER(--MID(AF199,2,1)),1,IF(ISNUMBER(--MID(AF199,3,1)),2,IF(ISNUMBER(--MID(AF199,4,1)),3,MIN(LEN(AF199),4))))))</f>
        <v/>
      </c>
      <c r="AH199" s="11" t="str">
        <f aca="false">IF(A199="","",LEFT(AF199,AG199)&amp;REPT("0",4-AG199)&amp;RIGHT("000"&amp;IFERROR(VALUE(MID(AF199,AG199+1,9)),0),3)&amp;RIGHT("0000"&amp;IFERROR(VALUE(MID(A199,FIND("-",A199)+1,9)),0),4))</f>
        <v/>
      </c>
      <c r="AI199" s="11" t="str">
        <f aca="false">IF(OR(A199="",N(E199)&lt;=0),"",IF('FALTAS GERAL'!$M$1="Código","K"&amp;AH199&amp;RIGHT("00000"&amp;ROW(),5),IF('FALTAS GERAL'!$M$1="Nome","K"&amp;UPPER(SUBSTITUTE(SUBSTITUTE(SUBSTITUTE(B199,"*",""),"?",""),"~",""))&amp;"0"&amp;AH199&amp;RIGHT("00000"&amp;ROW(),5),IF('FALTAS GERAL'!$M$1="Falta (maior primeiro)","K"&amp;RIGHT("0000"&amp;(9999-E199),4)&amp;AH199&amp;RIGHT("00000"&amp;ROW(),5),IF('FALTAS GERAL'!$M$1="Nº de decks (maior primeiro)","K"&amp;RIGHT("00"&amp;(99-N(G199)),2)&amp;AH199&amp;RIGHT("00000"&amp;ROW(),5),"K"&amp;RIGHT("00000"&amp;ROW(),5))))))</f>
        <v/>
      </c>
      <c r="AJ199" s="11" t="str">
        <f aca="false">IF(AI199="","",COUNTIFS($AI$2:$AI$801,"&lt;"&amp;AI199,$E$2:$E$801,"&gt;0")+1)</f>
        <v/>
      </c>
      <c r="AK199" s="11" t="str">
        <f aca="false">IF(OR(A199="",N(E199)&lt;=0),"",COUNTIFS($AH$2:$AH$801,"&lt;"&amp;AH199,$E$2:$E$801,"&gt;0")+COUNTIFS($AH$2:AH199,AH199,$E$2:E199,"&gt;0"))</f>
        <v/>
      </c>
    </row>
    <row r="200" customFormat="false" ht="15" hidden="false" customHeight="false" outlineLevel="0" collapsed="false">
      <c r="A200" s="11" t="str">
        <f aca="false">IF(INVENTÁRIO!A200="","",INVENTÁRIO!A200)</f>
        <v/>
      </c>
      <c r="B200" s="11" t="str">
        <f aca="false">IF(A200="","",INVENTÁRIO!B200)</f>
        <v/>
      </c>
      <c r="C200" s="16" t="str">
        <f aca="false">IF(A200="","",INVENTÁRIO!C200)</f>
        <v/>
      </c>
      <c r="D200" s="14" t="str">
        <f aca="false">IF(A200="","",MAX(K200:AD200))</f>
        <v/>
      </c>
      <c r="E200" s="14" t="str">
        <f aca="false">IF(A200="","",MAX(0,D200-C200))</f>
        <v/>
      </c>
      <c r="F200" s="16" t="str">
        <f aca="false">IF(A200="","",IF(D200=0,"Fora dos decks",IF(E200=0,"Completo","Falta")))</f>
        <v/>
      </c>
      <c r="G200" s="16" t="str">
        <f aca="false">IF(A200="","",COUNTIF(K200:AD200,"&gt;0"))</f>
        <v/>
      </c>
      <c r="H200" s="16" t="str">
        <f aca="false">IF(A200="","",IF(G200&gt;1,"Sim",""))</f>
        <v/>
      </c>
      <c r="I200" s="18" t="str">
        <f aca="false">IF(A200="","",SUMIFS(DECKS!$D$2:$D$1201,DECKS!$B$2:$B$1201,A200))</f>
        <v/>
      </c>
      <c r="J200" s="18" t="str">
        <f aca="false">IF(A200="","",MAX(0,I200-C200))</f>
        <v/>
      </c>
      <c r="K200" s="19" t="str">
        <f aca="false">IF(OR($A200="",INDEX(_LEITURA!$Q$2:$Q$21,1)=0),"",SUMIFS(DECKS!$D$2:$D$1201,DECKS!$A$2:$A$1201,INDEX(_LEITURA!$P$2:$P$21,1),DECKS!$B$2:$B$1201,$A200))</f>
        <v/>
      </c>
      <c r="L200" s="19" t="str">
        <f aca="false">IF(OR($A200="",INDEX(_LEITURA!$Q$2:$Q$21,2)=0),"",SUMIFS(DECKS!$D$2:$D$1201,DECKS!$A$2:$A$1201,INDEX(_LEITURA!$P$2:$P$21,2),DECKS!$B$2:$B$1201,$A200))</f>
        <v/>
      </c>
      <c r="M200" s="19" t="str">
        <f aca="false">IF(OR($A200="",INDEX(_LEITURA!$Q$2:$Q$21,3)=0),"",SUMIFS(DECKS!$D$2:$D$1201,DECKS!$A$2:$A$1201,INDEX(_LEITURA!$P$2:$P$21,3),DECKS!$B$2:$B$1201,$A200))</f>
        <v/>
      </c>
      <c r="N200" s="19" t="str">
        <f aca="false">IF(OR($A200="",INDEX(_LEITURA!$Q$2:$Q$21,4)=0),"",SUMIFS(DECKS!$D$2:$D$1201,DECKS!$A$2:$A$1201,INDEX(_LEITURA!$P$2:$P$21,4),DECKS!$B$2:$B$1201,$A200))</f>
        <v/>
      </c>
      <c r="O200" s="19" t="str">
        <f aca="false">IF(OR($A200="",INDEX(_LEITURA!$Q$2:$Q$21,5)=0),"",SUMIFS(DECKS!$D$2:$D$1201,DECKS!$A$2:$A$1201,INDEX(_LEITURA!$P$2:$P$21,5),DECKS!$B$2:$B$1201,$A200))</f>
        <v/>
      </c>
      <c r="P200" s="19" t="str">
        <f aca="false">IF(OR($A200="",INDEX(_LEITURA!$Q$2:$Q$21,6)=0),"",SUMIFS(DECKS!$D$2:$D$1201,DECKS!$A$2:$A$1201,INDEX(_LEITURA!$P$2:$P$21,6),DECKS!$B$2:$B$1201,$A200))</f>
        <v/>
      </c>
      <c r="Q200" s="19" t="str">
        <f aca="false">IF(OR($A200="",INDEX(_LEITURA!$Q$2:$Q$21,7)=0),"",SUMIFS(DECKS!$D$2:$D$1201,DECKS!$A$2:$A$1201,INDEX(_LEITURA!$P$2:$P$21,7),DECKS!$B$2:$B$1201,$A200))</f>
        <v/>
      </c>
      <c r="R200" s="19" t="str">
        <f aca="false">IF(OR($A200="",INDEX(_LEITURA!$Q$2:$Q$21,8)=0),"",SUMIFS(DECKS!$D$2:$D$1201,DECKS!$A$2:$A$1201,INDEX(_LEITURA!$P$2:$P$21,8),DECKS!$B$2:$B$1201,$A200))</f>
        <v/>
      </c>
      <c r="S200" s="19" t="str">
        <f aca="false">IF(OR($A200="",INDEX(_LEITURA!$Q$2:$Q$21,9)=0),"",SUMIFS(DECKS!$D$2:$D$1201,DECKS!$A$2:$A$1201,INDEX(_LEITURA!$P$2:$P$21,9),DECKS!$B$2:$B$1201,$A200))</f>
        <v/>
      </c>
      <c r="T200" s="19" t="str">
        <f aca="false">IF(OR($A200="",INDEX(_LEITURA!$Q$2:$Q$21,10)=0),"",SUMIFS(DECKS!$D$2:$D$1201,DECKS!$A$2:$A$1201,INDEX(_LEITURA!$P$2:$P$21,10),DECKS!$B$2:$B$1201,$A200))</f>
        <v/>
      </c>
      <c r="U200" s="19" t="str">
        <f aca="false">IF(OR($A200="",INDEX(_LEITURA!$Q$2:$Q$21,11)=0),"",SUMIFS(DECKS!$D$2:$D$1201,DECKS!$A$2:$A$1201,INDEX(_LEITURA!$P$2:$P$21,11),DECKS!$B$2:$B$1201,$A200))</f>
        <v/>
      </c>
      <c r="V200" s="19" t="str">
        <f aca="false">IF(OR($A200="",INDEX(_LEITURA!$Q$2:$Q$21,12)=0),"",SUMIFS(DECKS!$D$2:$D$1201,DECKS!$A$2:$A$1201,INDEX(_LEITURA!$P$2:$P$21,12),DECKS!$B$2:$B$1201,$A200))</f>
        <v/>
      </c>
      <c r="W200" s="19" t="str">
        <f aca="false">IF(OR($A200="",INDEX(_LEITURA!$Q$2:$Q$21,13)=0),"",SUMIFS(DECKS!$D$2:$D$1201,DECKS!$A$2:$A$1201,INDEX(_LEITURA!$P$2:$P$21,13),DECKS!$B$2:$B$1201,$A200))</f>
        <v/>
      </c>
      <c r="X200" s="19" t="str">
        <f aca="false">IF(OR($A200="",INDEX(_LEITURA!$Q$2:$Q$21,14)=0),"",SUMIFS(DECKS!$D$2:$D$1201,DECKS!$A$2:$A$1201,INDEX(_LEITURA!$P$2:$P$21,14),DECKS!$B$2:$B$1201,$A200))</f>
        <v/>
      </c>
      <c r="Y200" s="19" t="str">
        <f aca="false">IF(OR($A200="",INDEX(_LEITURA!$Q$2:$Q$21,15)=0),"",SUMIFS(DECKS!$D$2:$D$1201,DECKS!$A$2:$A$1201,INDEX(_LEITURA!$P$2:$P$21,15),DECKS!$B$2:$B$1201,$A200))</f>
        <v/>
      </c>
      <c r="Z200" s="19" t="str">
        <f aca="false">IF(OR($A200="",INDEX(_LEITURA!$Q$2:$Q$21,16)=0),"",SUMIFS(DECKS!$D$2:$D$1201,DECKS!$A$2:$A$1201,INDEX(_LEITURA!$P$2:$P$21,16),DECKS!$B$2:$B$1201,$A200))</f>
        <v/>
      </c>
      <c r="AA200" s="19" t="str">
        <f aca="false">IF(OR($A200="",INDEX(_LEITURA!$Q$2:$Q$21,17)=0),"",SUMIFS(DECKS!$D$2:$D$1201,DECKS!$A$2:$A$1201,INDEX(_LEITURA!$P$2:$P$21,17),DECKS!$B$2:$B$1201,$A200))</f>
        <v/>
      </c>
      <c r="AB200" s="19" t="str">
        <f aca="false">IF(OR($A200="",INDEX(_LEITURA!$Q$2:$Q$21,18)=0),"",SUMIFS(DECKS!$D$2:$D$1201,DECKS!$A$2:$A$1201,INDEX(_LEITURA!$P$2:$P$21,18),DECKS!$B$2:$B$1201,$A200))</f>
        <v/>
      </c>
      <c r="AC200" s="19" t="str">
        <f aca="false">IF(OR($A200="",INDEX(_LEITURA!$Q$2:$Q$21,19)=0),"",SUMIFS(DECKS!$D$2:$D$1201,DECKS!$A$2:$A$1201,INDEX(_LEITURA!$P$2:$P$21,19),DECKS!$B$2:$B$1201,$A200))</f>
        <v/>
      </c>
      <c r="AD200" s="19" t="str">
        <f aca="false">IF(OR($A200="",INDEX(_LEITURA!$Q$2:$Q$21,20)=0),"",SUMIFS(DECKS!$D$2:$D$1201,DECKS!$A$2:$A$1201,INDEX(_LEITURA!$P$2:$P$21,20),DECKS!$B$2:$B$1201,$A200))</f>
        <v/>
      </c>
      <c r="AE200" s="16" t="str">
        <f aca="false">IF(N(E200)&gt;0,MAX(AE$1:AE199)+1,"")</f>
        <v/>
      </c>
      <c r="AF200" s="11" t="str">
        <f aca="false">IF(A200="","",IFERROR(LEFT(A200,FIND("-",A200)-1),A200))</f>
        <v/>
      </c>
      <c r="AG200" s="11" t="str">
        <f aca="false">IF(AF200="","",IF(ISNUMBER(--MID(AF200,1,1)),0,IF(ISNUMBER(--MID(AF200,2,1)),1,IF(ISNUMBER(--MID(AF200,3,1)),2,IF(ISNUMBER(--MID(AF200,4,1)),3,MIN(LEN(AF200),4))))))</f>
        <v/>
      </c>
      <c r="AH200" s="11" t="str">
        <f aca="false">IF(A200="","",LEFT(AF200,AG200)&amp;REPT("0",4-AG200)&amp;RIGHT("000"&amp;IFERROR(VALUE(MID(AF200,AG200+1,9)),0),3)&amp;RIGHT("0000"&amp;IFERROR(VALUE(MID(A200,FIND("-",A200)+1,9)),0),4))</f>
        <v/>
      </c>
      <c r="AI200" s="11" t="str">
        <f aca="false">IF(OR(A200="",N(E200)&lt;=0),"",IF('FALTAS GERAL'!$M$1="Código","K"&amp;AH200&amp;RIGHT("00000"&amp;ROW(),5),IF('FALTAS GERAL'!$M$1="Nome","K"&amp;UPPER(SUBSTITUTE(SUBSTITUTE(SUBSTITUTE(B200,"*",""),"?",""),"~",""))&amp;"0"&amp;AH200&amp;RIGHT("00000"&amp;ROW(),5),IF('FALTAS GERAL'!$M$1="Falta (maior primeiro)","K"&amp;RIGHT("0000"&amp;(9999-E200),4)&amp;AH200&amp;RIGHT("00000"&amp;ROW(),5),IF('FALTAS GERAL'!$M$1="Nº de decks (maior primeiro)","K"&amp;RIGHT("00"&amp;(99-N(G200)),2)&amp;AH200&amp;RIGHT("00000"&amp;ROW(),5),"K"&amp;RIGHT("00000"&amp;ROW(),5))))))</f>
        <v/>
      </c>
      <c r="AJ200" s="11" t="str">
        <f aca="false">IF(AI200="","",COUNTIFS($AI$2:$AI$801,"&lt;"&amp;AI200,$E$2:$E$801,"&gt;0")+1)</f>
        <v/>
      </c>
      <c r="AK200" s="11" t="str">
        <f aca="false">IF(OR(A200="",N(E200)&lt;=0),"",COUNTIFS($AH$2:$AH$801,"&lt;"&amp;AH200,$E$2:$E$801,"&gt;0")+COUNTIFS($AH$2:AH200,AH200,$E$2:E200,"&gt;0"))</f>
        <v/>
      </c>
    </row>
    <row r="201" customFormat="false" ht="15" hidden="false" customHeight="false" outlineLevel="0" collapsed="false">
      <c r="A201" s="11" t="str">
        <f aca="false">IF(INVENTÁRIO!A201="","",INVENTÁRIO!A201)</f>
        <v/>
      </c>
      <c r="B201" s="11" t="str">
        <f aca="false">IF(A201="","",INVENTÁRIO!B201)</f>
        <v/>
      </c>
      <c r="C201" s="16" t="str">
        <f aca="false">IF(A201="","",INVENTÁRIO!C201)</f>
        <v/>
      </c>
      <c r="D201" s="14" t="str">
        <f aca="false">IF(A201="","",MAX(K201:AD201))</f>
        <v/>
      </c>
      <c r="E201" s="14" t="str">
        <f aca="false">IF(A201="","",MAX(0,D201-C201))</f>
        <v/>
      </c>
      <c r="F201" s="16" t="str">
        <f aca="false">IF(A201="","",IF(D201=0,"Fora dos decks",IF(E201=0,"Completo","Falta")))</f>
        <v/>
      </c>
      <c r="G201" s="16" t="str">
        <f aca="false">IF(A201="","",COUNTIF(K201:AD201,"&gt;0"))</f>
        <v/>
      </c>
      <c r="H201" s="16" t="str">
        <f aca="false">IF(A201="","",IF(G201&gt;1,"Sim",""))</f>
        <v/>
      </c>
      <c r="I201" s="18" t="str">
        <f aca="false">IF(A201="","",SUMIFS(DECKS!$D$2:$D$1201,DECKS!$B$2:$B$1201,A201))</f>
        <v/>
      </c>
      <c r="J201" s="18" t="str">
        <f aca="false">IF(A201="","",MAX(0,I201-C201))</f>
        <v/>
      </c>
      <c r="K201" s="19" t="str">
        <f aca="false">IF(OR($A201="",INDEX(_LEITURA!$Q$2:$Q$21,1)=0),"",SUMIFS(DECKS!$D$2:$D$1201,DECKS!$A$2:$A$1201,INDEX(_LEITURA!$P$2:$P$21,1),DECKS!$B$2:$B$1201,$A201))</f>
        <v/>
      </c>
      <c r="L201" s="19" t="str">
        <f aca="false">IF(OR($A201="",INDEX(_LEITURA!$Q$2:$Q$21,2)=0),"",SUMIFS(DECKS!$D$2:$D$1201,DECKS!$A$2:$A$1201,INDEX(_LEITURA!$P$2:$P$21,2),DECKS!$B$2:$B$1201,$A201))</f>
        <v/>
      </c>
      <c r="M201" s="19" t="str">
        <f aca="false">IF(OR($A201="",INDEX(_LEITURA!$Q$2:$Q$21,3)=0),"",SUMIFS(DECKS!$D$2:$D$1201,DECKS!$A$2:$A$1201,INDEX(_LEITURA!$P$2:$P$21,3),DECKS!$B$2:$B$1201,$A201))</f>
        <v/>
      </c>
      <c r="N201" s="19" t="str">
        <f aca="false">IF(OR($A201="",INDEX(_LEITURA!$Q$2:$Q$21,4)=0),"",SUMIFS(DECKS!$D$2:$D$1201,DECKS!$A$2:$A$1201,INDEX(_LEITURA!$P$2:$P$21,4),DECKS!$B$2:$B$1201,$A201))</f>
        <v/>
      </c>
      <c r="O201" s="19" t="str">
        <f aca="false">IF(OR($A201="",INDEX(_LEITURA!$Q$2:$Q$21,5)=0),"",SUMIFS(DECKS!$D$2:$D$1201,DECKS!$A$2:$A$1201,INDEX(_LEITURA!$P$2:$P$21,5),DECKS!$B$2:$B$1201,$A201))</f>
        <v/>
      </c>
      <c r="P201" s="19" t="str">
        <f aca="false">IF(OR($A201="",INDEX(_LEITURA!$Q$2:$Q$21,6)=0),"",SUMIFS(DECKS!$D$2:$D$1201,DECKS!$A$2:$A$1201,INDEX(_LEITURA!$P$2:$P$21,6),DECKS!$B$2:$B$1201,$A201))</f>
        <v/>
      </c>
      <c r="Q201" s="19" t="str">
        <f aca="false">IF(OR($A201="",INDEX(_LEITURA!$Q$2:$Q$21,7)=0),"",SUMIFS(DECKS!$D$2:$D$1201,DECKS!$A$2:$A$1201,INDEX(_LEITURA!$P$2:$P$21,7),DECKS!$B$2:$B$1201,$A201))</f>
        <v/>
      </c>
      <c r="R201" s="19" t="str">
        <f aca="false">IF(OR($A201="",INDEX(_LEITURA!$Q$2:$Q$21,8)=0),"",SUMIFS(DECKS!$D$2:$D$1201,DECKS!$A$2:$A$1201,INDEX(_LEITURA!$P$2:$P$21,8),DECKS!$B$2:$B$1201,$A201))</f>
        <v/>
      </c>
      <c r="S201" s="19" t="str">
        <f aca="false">IF(OR($A201="",INDEX(_LEITURA!$Q$2:$Q$21,9)=0),"",SUMIFS(DECKS!$D$2:$D$1201,DECKS!$A$2:$A$1201,INDEX(_LEITURA!$P$2:$P$21,9),DECKS!$B$2:$B$1201,$A201))</f>
        <v/>
      </c>
      <c r="T201" s="19" t="str">
        <f aca="false">IF(OR($A201="",INDEX(_LEITURA!$Q$2:$Q$21,10)=0),"",SUMIFS(DECKS!$D$2:$D$1201,DECKS!$A$2:$A$1201,INDEX(_LEITURA!$P$2:$P$21,10),DECKS!$B$2:$B$1201,$A201))</f>
        <v/>
      </c>
      <c r="U201" s="19" t="str">
        <f aca="false">IF(OR($A201="",INDEX(_LEITURA!$Q$2:$Q$21,11)=0),"",SUMIFS(DECKS!$D$2:$D$1201,DECKS!$A$2:$A$1201,INDEX(_LEITURA!$P$2:$P$21,11),DECKS!$B$2:$B$1201,$A201))</f>
        <v/>
      </c>
      <c r="V201" s="19" t="str">
        <f aca="false">IF(OR($A201="",INDEX(_LEITURA!$Q$2:$Q$21,12)=0),"",SUMIFS(DECKS!$D$2:$D$1201,DECKS!$A$2:$A$1201,INDEX(_LEITURA!$P$2:$P$21,12),DECKS!$B$2:$B$1201,$A201))</f>
        <v/>
      </c>
      <c r="W201" s="19" t="str">
        <f aca="false">IF(OR($A201="",INDEX(_LEITURA!$Q$2:$Q$21,13)=0),"",SUMIFS(DECKS!$D$2:$D$1201,DECKS!$A$2:$A$1201,INDEX(_LEITURA!$P$2:$P$21,13),DECKS!$B$2:$B$1201,$A201))</f>
        <v/>
      </c>
      <c r="X201" s="19" t="str">
        <f aca="false">IF(OR($A201="",INDEX(_LEITURA!$Q$2:$Q$21,14)=0),"",SUMIFS(DECKS!$D$2:$D$1201,DECKS!$A$2:$A$1201,INDEX(_LEITURA!$P$2:$P$21,14),DECKS!$B$2:$B$1201,$A201))</f>
        <v/>
      </c>
      <c r="Y201" s="19" t="str">
        <f aca="false">IF(OR($A201="",INDEX(_LEITURA!$Q$2:$Q$21,15)=0),"",SUMIFS(DECKS!$D$2:$D$1201,DECKS!$A$2:$A$1201,INDEX(_LEITURA!$P$2:$P$21,15),DECKS!$B$2:$B$1201,$A201))</f>
        <v/>
      </c>
      <c r="Z201" s="19" t="str">
        <f aca="false">IF(OR($A201="",INDEX(_LEITURA!$Q$2:$Q$21,16)=0),"",SUMIFS(DECKS!$D$2:$D$1201,DECKS!$A$2:$A$1201,INDEX(_LEITURA!$P$2:$P$21,16),DECKS!$B$2:$B$1201,$A201))</f>
        <v/>
      </c>
      <c r="AA201" s="19" t="str">
        <f aca="false">IF(OR($A201="",INDEX(_LEITURA!$Q$2:$Q$21,17)=0),"",SUMIFS(DECKS!$D$2:$D$1201,DECKS!$A$2:$A$1201,INDEX(_LEITURA!$P$2:$P$21,17),DECKS!$B$2:$B$1201,$A201))</f>
        <v/>
      </c>
      <c r="AB201" s="19" t="str">
        <f aca="false">IF(OR($A201="",INDEX(_LEITURA!$Q$2:$Q$21,18)=0),"",SUMIFS(DECKS!$D$2:$D$1201,DECKS!$A$2:$A$1201,INDEX(_LEITURA!$P$2:$P$21,18),DECKS!$B$2:$B$1201,$A201))</f>
        <v/>
      </c>
      <c r="AC201" s="19" t="str">
        <f aca="false">IF(OR($A201="",INDEX(_LEITURA!$Q$2:$Q$21,19)=0),"",SUMIFS(DECKS!$D$2:$D$1201,DECKS!$A$2:$A$1201,INDEX(_LEITURA!$P$2:$P$21,19),DECKS!$B$2:$B$1201,$A201))</f>
        <v/>
      </c>
      <c r="AD201" s="19" t="str">
        <f aca="false">IF(OR($A201="",INDEX(_LEITURA!$Q$2:$Q$21,20)=0),"",SUMIFS(DECKS!$D$2:$D$1201,DECKS!$A$2:$A$1201,INDEX(_LEITURA!$P$2:$P$21,20),DECKS!$B$2:$B$1201,$A201))</f>
        <v/>
      </c>
      <c r="AE201" s="16" t="str">
        <f aca="false">IF(N(E201)&gt;0,MAX(AE$1:AE200)+1,"")</f>
        <v/>
      </c>
      <c r="AF201" s="11" t="str">
        <f aca="false">IF(A201="","",IFERROR(LEFT(A201,FIND("-",A201)-1),A201))</f>
        <v/>
      </c>
      <c r="AG201" s="11" t="str">
        <f aca="false">IF(AF201="","",IF(ISNUMBER(--MID(AF201,1,1)),0,IF(ISNUMBER(--MID(AF201,2,1)),1,IF(ISNUMBER(--MID(AF201,3,1)),2,IF(ISNUMBER(--MID(AF201,4,1)),3,MIN(LEN(AF201),4))))))</f>
        <v/>
      </c>
      <c r="AH201" s="11" t="str">
        <f aca="false">IF(A201="","",LEFT(AF201,AG201)&amp;REPT("0",4-AG201)&amp;RIGHT("000"&amp;IFERROR(VALUE(MID(AF201,AG201+1,9)),0),3)&amp;RIGHT("0000"&amp;IFERROR(VALUE(MID(A201,FIND("-",A201)+1,9)),0),4))</f>
        <v/>
      </c>
      <c r="AI201" s="11" t="str">
        <f aca="false">IF(OR(A201="",N(E201)&lt;=0),"",IF('FALTAS GERAL'!$M$1="Código","K"&amp;AH201&amp;RIGHT("00000"&amp;ROW(),5),IF('FALTAS GERAL'!$M$1="Nome","K"&amp;UPPER(SUBSTITUTE(SUBSTITUTE(SUBSTITUTE(B201,"*",""),"?",""),"~",""))&amp;"0"&amp;AH201&amp;RIGHT("00000"&amp;ROW(),5),IF('FALTAS GERAL'!$M$1="Falta (maior primeiro)","K"&amp;RIGHT("0000"&amp;(9999-E201),4)&amp;AH201&amp;RIGHT("00000"&amp;ROW(),5),IF('FALTAS GERAL'!$M$1="Nº de decks (maior primeiro)","K"&amp;RIGHT("00"&amp;(99-N(G201)),2)&amp;AH201&amp;RIGHT("00000"&amp;ROW(),5),"K"&amp;RIGHT("00000"&amp;ROW(),5))))))</f>
        <v/>
      </c>
      <c r="AJ201" s="11" t="str">
        <f aca="false">IF(AI201="","",COUNTIFS($AI$2:$AI$801,"&lt;"&amp;AI201,$E$2:$E$801,"&gt;0")+1)</f>
        <v/>
      </c>
      <c r="AK201" s="11" t="str">
        <f aca="false">IF(OR(A201="",N(E201)&lt;=0),"",COUNTIFS($AH$2:$AH$801,"&lt;"&amp;AH201,$E$2:$E$801,"&gt;0")+COUNTIFS($AH$2:AH201,AH201,$E$2:E201,"&gt;0"))</f>
        <v/>
      </c>
    </row>
    <row r="202" customFormat="false" ht="15" hidden="false" customHeight="false" outlineLevel="0" collapsed="false">
      <c r="A202" s="11" t="str">
        <f aca="false">IF(INVENTÁRIO!A202="","",INVENTÁRIO!A202)</f>
        <v/>
      </c>
      <c r="B202" s="11" t="str">
        <f aca="false">IF(A202="","",INVENTÁRIO!B202)</f>
        <v/>
      </c>
      <c r="C202" s="16" t="str">
        <f aca="false">IF(A202="","",INVENTÁRIO!C202)</f>
        <v/>
      </c>
      <c r="D202" s="14" t="str">
        <f aca="false">IF(A202="","",MAX(K202:AD202))</f>
        <v/>
      </c>
      <c r="E202" s="14" t="str">
        <f aca="false">IF(A202="","",MAX(0,D202-C202))</f>
        <v/>
      </c>
      <c r="F202" s="16" t="str">
        <f aca="false">IF(A202="","",IF(D202=0,"Fora dos decks",IF(E202=0,"Completo","Falta")))</f>
        <v/>
      </c>
      <c r="G202" s="16" t="str">
        <f aca="false">IF(A202="","",COUNTIF(K202:AD202,"&gt;0"))</f>
        <v/>
      </c>
      <c r="H202" s="16" t="str">
        <f aca="false">IF(A202="","",IF(G202&gt;1,"Sim",""))</f>
        <v/>
      </c>
      <c r="I202" s="18" t="str">
        <f aca="false">IF(A202="","",SUMIFS(DECKS!$D$2:$D$1201,DECKS!$B$2:$B$1201,A202))</f>
        <v/>
      </c>
      <c r="J202" s="18" t="str">
        <f aca="false">IF(A202="","",MAX(0,I202-C202))</f>
        <v/>
      </c>
      <c r="K202" s="19" t="str">
        <f aca="false">IF(OR($A202="",INDEX(_LEITURA!$Q$2:$Q$21,1)=0),"",SUMIFS(DECKS!$D$2:$D$1201,DECKS!$A$2:$A$1201,INDEX(_LEITURA!$P$2:$P$21,1),DECKS!$B$2:$B$1201,$A202))</f>
        <v/>
      </c>
      <c r="L202" s="19" t="str">
        <f aca="false">IF(OR($A202="",INDEX(_LEITURA!$Q$2:$Q$21,2)=0),"",SUMIFS(DECKS!$D$2:$D$1201,DECKS!$A$2:$A$1201,INDEX(_LEITURA!$P$2:$P$21,2),DECKS!$B$2:$B$1201,$A202))</f>
        <v/>
      </c>
      <c r="M202" s="19" t="str">
        <f aca="false">IF(OR($A202="",INDEX(_LEITURA!$Q$2:$Q$21,3)=0),"",SUMIFS(DECKS!$D$2:$D$1201,DECKS!$A$2:$A$1201,INDEX(_LEITURA!$P$2:$P$21,3),DECKS!$B$2:$B$1201,$A202))</f>
        <v/>
      </c>
      <c r="N202" s="19" t="str">
        <f aca="false">IF(OR($A202="",INDEX(_LEITURA!$Q$2:$Q$21,4)=0),"",SUMIFS(DECKS!$D$2:$D$1201,DECKS!$A$2:$A$1201,INDEX(_LEITURA!$P$2:$P$21,4),DECKS!$B$2:$B$1201,$A202))</f>
        <v/>
      </c>
      <c r="O202" s="19" t="str">
        <f aca="false">IF(OR($A202="",INDEX(_LEITURA!$Q$2:$Q$21,5)=0),"",SUMIFS(DECKS!$D$2:$D$1201,DECKS!$A$2:$A$1201,INDEX(_LEITURA!$P$2:$P$21,5),DECKS!$B$2:$B$1201,$A202))</f>
        <v/>
      </c>
      <c r="P202" s="19" t="str">
        <f aca="false">IF(OR($A202="",INDEX(_LEITURA!$Q$2:$Q$21,6)=0),"",SUMIFS(DECKS!$D$2:$D$1201,DECKS!$A$2:$A$1201,INDEX(_LEITURA!$P$2:$P$21,6),DECKS!$B$2:$B$1201,$A202))</f>
        <v/>
      </c>
      <c r="Q202" s="19" t="str">
        <f aca="false">IF(OR($A202="",INDEX(_LEITURA!$Q$2:$Q$21,7)=0),"",SUMIFS(DECKS!$D$2:$D$1201,DECKS!$A$2:$A$1201,INDEX(_LEITURA!$P$2:$P$21,7),DECKS!$B$2:$B$1201,$A202))</f>
        <v/>
      </c>
      <c r="R202" s="19" t="str">
        <f aca="false">IF(OR($A202="",INDEX(_LEITURA!$Q$2:$Q$21,8)=0),"",SUMIFS(DECKS!$D$2:$D$1201,DECKS!$A$2:$A$1201,INDEX(_LEITURA!$P$2:$P$21,8),DECKS!$B$2:$B$1201,$A202))</f>
        <v/>
      </c>
      <c r="S202" s="19" t="str">
        <f aca="false">IF(OR($A202="",INDEX(_LEITURA!$Q$2:$Q$21,9)=0),"",SUMIFS(DECKS!$D$2:$D$1201,DECKS!$A$2:$A$1201,INDEX(_LEITURA!$P$2:$P$21,9),DECKS!$B$2:$B$1201,$A202))</f>
        <v/>
      </c>
      <c r="T202" s="19" t="str">
        <f aca="false">IF(OR($A202="",INDEX(_LEITURA!$Q$2:$Q$21,10)=0),"",SUMIFS(DECKS!$D$2:$D$1201,DECKS!$A$2:$A$1201,INDEX(_LEITURA!$P$2:$P$21,10),DECKS!$B$2:$B$1201,$A202))</f>
        <v/>
      </c>
      <c r="U202" s="19" t="str">
        <f aca="false">IF(OR($A202="",INDEX(_LEITURA!$Q$2:$Q$21,11)=0),"",SUMIFS(DECKS!$D$2:$D$1201,DECKS!$A$2:$A$1201,INDEX(_LEITURA!$P$2:$P$21,11),DECKS!$B$2:$B$1201,$A202))</f>
        <v/>
      </c>
      <c r="V202" s="19" t="str">
        <f aca="false">IF(OR($A202="",INDEX(_LEITURA!$Q$2:$Q$21,12)=0),"",SUMIFS(DECKS!$D$2:$D$1201,DECKS!$A$2:$A$1201,INDEX(_LEITURA!$P$2:$P$21,12),DECKS!$B$2:$B$1201,$A202))</f>
        <v/>
      </c>
      <c r="W202" s="19" t="str">
        <f aca="false">IF(OR($A202="",INDEX(_LEITURA!$Q$2:$Q$21,13)=0),"",SUMIFS(DECKS!$D$2:$D$1201,DECKS!$A$2:$A$1201,INDEX(_LEITURA!$P$2:$P$21,13),DECKS!$B$2:$B$1201,$A202))</f>
        <v/>
      </c>
      <c r="X202" s="19" t="str">
        <f aca="false">IF(OR($A202="",INDEX(_LEITURA!$Q$2:$Q$21,14)=0),"",SUMIFS(DECKS!$D$2:$D$1201,DECKS!$A$2:$A$1201,INDEX(_LEITURA!$P$2:$P$21,14),DECKS!$B$2:$B$1201,$A202))</f>
        <v/>
      </c>
      <c r="Y202" s="19" t="str">
        <f aca="false">IF(OR($A202="",INDEX(_LEITURA!$Q$2:$Q$21,15)=0),"",SUMIFS(DECKS!$D$2:$D$1201,DECKS!$A$2:$A$1201,INDEX(_LEITURA!$P$2:$P$21,15),DECKS!$B$2:$B$1201,$A202))</f>
        <v/>
      </c>
      <c r="Z202" s="19" t="str">
        <f aca="false">IF(OR($A202="",INDEX(_LEITURA!$Q$2:$Q$21,16)=0),"",SUMIFS(DECKS!$D$2:$D$1201,DECKS!$A$2:$A$1201,INDEX(_LEITURA!$P$2:$P$21,16),DECKS!$B$2:$B$1201,$A202))</f>
        <v/>
      </c>
      <c r="AA202" s="19" t="str">
        <f aca="false">IF(OR($A202="",INDEX(_LEITURA!$Q$2:$Q$21,17)=0),"",SUMIFS(DECKS!$D$2:$D$1201,DECKS!$A$2:$A$1201,INDEX(_LEITURA!$P$2:$P$21,17),DECKS!$B$2:$B$1201,$A202))</f>
        <v/>
      </c>
      <c r="AB202" s="19" t="str">
        <f aca="false">IF(OR($A202="",INDEX(_LEITURA!$Q$2:$Q$21,18)=0),"",SUMIFS(DECKS!$D$2:$D$1201,DECKS!$A$2:$A$1201,INDEX(_LEITURA!$P$2:$P$21,18),DECKS!$B$2:$B$1201,$A202))</f>
        <v/>
      </c>
      <c r="AC202" s="19" t="str">
        <f aca="false">IF(OR($A202="",INDEX(_LEITURA!$Q$2:$Q$21,19)=0),"",SUMIFS(DECKS!$D$2:$D$1201,DECKS!$A$2:$A$1201,INDEX(_LEITURA!$P$2:$P$21,19),DECKS!$B$2:$B$1201,$A202))</f>
        <v/>
      </c>
      <c r="AD202" s="19" t="str">
        <f aca="false">IF(OR($A202="",INDEX(_LEITURA!$Q$2:$Q$21,20)=0),"",SUMIFS(DECKS!$D$2:$D$1201,DECKS!$A$2:$A$1201,INDEX(_LEITURA!$P$2:$P$21,20),DECKS!$B$2:$B$1201,$A202))</f>
        <v/>
      </c>
      <c r="AE202" s="16" t="str">
        <f aca="false">IF(N(E202)&gt;0,MAX(AE$1:AE201)+1,"")</f>
        <v/>
      </c>
      <c r="AF202" s="11" t="str">
        <f aca="false">IF(A202="","",IFERROR(LEFT(A202,FIND("-",A202)-1),A202))</f>
        <v/>
      </c>
      <c r="AG202" s="11" t="str">
        <f aca="false">IF(AF202="","",IF(ISNUMBER(--MID(AF202,1,1)),0,IF(ISNUMBER(--MID(AF202,2,1)),1,IF(ISNUMBER(--MID(AF202,3,1)),2,IF(ISNUMBER(--MID(AF202,4,1)),3,MIN(LEN(AF202),4))))))</f>
        <v/>
      </c>
      <c r="AH202" s="11" t="str">
        <f aca="false">IF(A202="","",LEFT(AF202,AG202)&amp;REPT("0",4-AG202)&amp;RIGHT("000"&amp;IFERROR(VALUE(MID(AF202,AG202+1,9)),0),3)&amp;RIGHT("0000"&amp;IFERROR(VALUE(MID(A202,FIND("-",A202)+1,9)),0),4))</f>
        <v/>
      </c>
      <c r="AI202" s="11" t="str">
        <f aca="false">IF(OR(A202="",N(E202)&lt;=0),"",IF('FALTAS GERAL'!$M$1="Código","K"&amp;AH202&amp;RIGHT("00000"&amp;ROW(),5),IF('FALTAS GERAL'!$M$1="Nome","K"&amp;UPPER(SUBSTITUTE(SUBSTITUTE(SUBSTITUTE(B202,"*",""),"?",""),"~",""))&amp;"0"&amp;AH202&amp;RIGHT("00000"&amp;ROW(),5),IF('FALTAS GERAL'!$M$1="Falta (maior primeiro)","K"&amp;RIGHT("0000"&amp;(9999-E202),4)&amp;AH202&amp;RIGHT("00000"&amp;ROW(),5),IF('FALTAS GERAL'!$M$1="Nº de decks (maior primeiro)","K"&amp;RIGHT("00"&amp;(99-N(G202)),2)&amp;AH202&amp;RIGHT("00000"&amp;ROW(),5),"K"&amp;RIGHT("00000"&amp;ROW(),5))))))</f>
        <v/>
      </c>
      <c r="AJ202" s="11" t="str">
        <f aca="false">IF(AI202="","",COUNTIFS($AI$2:$AI$801,"&lt;"&amp;AI202,$E$2:$E$801,"&gt;0")+1)</f>
        <v/>
      </c>
      <c r="AK202" s="11" t="str">
        <f aca="false">IF(OR(A202="",N(E202)&lt;=0),"",COUNTIFS($AH$2:$AH$801,"&lt;"&amp;AH202,$E$2:$E$801,"&gt;0")+COUNTIFS($AH$2:AH202,AH202,$E$2:E202,"&gt;0"))</f>
        <v/>
      </c>
    </row>
    <row r="203" customFormat="false" ht="15" hidden="false" customHeight="false" outlineLevel="0" collapsed="false">
      <c r="A203" s="11" t="str">
        <f aca="false">IF(INVENTÁRIO!A203="","",INVENTÁRIO!A203)</f>
        <v/>
      </c>
      <c r="B203" s="11" t="str">
        <f aca="false">IF(A203="","",INVENTÁRIO!B203)</f>
        <v/>
      </c>
      <c r="C203" s="16" t="str">
        <f aca="false">IF(A203="","",INVENTÁRIO!C203)</f>
        <v/>
      </c>
      <c r="D203" s="14" t="str">
        <f aca="false">IF(A203="","",MAX(K203:AD203))</f>
        <v/>
      </c>
      <c r="E203" s="14" t="str">
        <f aca="false">IF(A203="","",MAX(0,D203-C203))</f>
        <v/>
      </c>
      <c r="F203" s="16" t="str">
        <f aca="false">IF(A203="","",IF(D203=0,"Fora dos decks",IF(E203=0,"Completo","Falta")))</f>
        <v/>
      </c>
      <c r="G203" s="16" t="str">
        <f aca="false">IF(A203="","",COUNTIF(K203:AD203,"&gt;0"))</f>
        <v/>
      </c>
      <c r="H203" s="16" t="str">
        <f aca="false">IF(A203="","",IF(G203&gt;1,"Sim",""))</f>
        <v/>
      </c>
      <c r="I203" s="18" t="str">
        <f aca="false">IF(A203="","",SUMIFS(DECKS!$D$2:$D$1201,DECKS!$B$2:$B$1201,A203))</f>
        <v/>
      </c>
      <c r="J203" s="18" t="str">
        <f aca="false">IF(A203="","",MAX(0,I203-C203))</f>
        <v/>
      </c>
      <c r="K203" s="19" t="str">
        <f aca="false">IF(OR($A203="",INDEX(_LEITURA!$Q$2:$Q$21,1)=0),"",SUMIFS(DECKS!$D$2:$D$1201,DECKS!$A$2:$A$1201,INDEX(_LEITURA!$P$2:$P$21,1),DECKS!$B$2:$B$1201,$A203))</f>
        <v/>
      </c>
      <c r="L203" s="19" t="str">
        <f aca="false">IF(OR($A203="",INDEX(_LEITURA!$Q$2:$Q$21,2)=0),"",SUMIFS(DECKS!$D$2:$D$1201,DECKS!$A$2:$A$1201,INDEX(_LEITURA!$P$2:$P$21,2),DECKS!$B$2:$B$1201,$A203))</f>
        <v/>
      </c>
      <c r="M203" s="19" t="str">
        <f aca="false">IF(OR($A203="",INDEX(_LEITURA!$Q$2:$Q$21,3)=0),"",SUMIFS(DECKS!$D$2:$D$1201,DECKS!$A$2:$A$1201,INDEX(_LEITURA!$P$2:$P$21,3),DECKS!$B$2:$B$1201,$A203))</f>
        <v/>
      </c>
      <c r="N203" s="19" t="str">
        <f aca="false">IF(OR($A203="",INDEX(_LEITURA!$Q$2:$Q$21,4)=0),"",SUMIFS(DECKS!$D$2:$D$1201,DECKS!$A$2:$A$1201,INDEX(_LEITURA!$P$2:$P$21,4),DECKS!$B$2:$B$1201,$A203))</f>
        <v/>
      </c>
      <c r="O203" s="19" t="str">
        <f aca="false">IF(OR($A203="",INDEX(_LEITURA!$Q$2:$Q$21,5)=0),"",SUMIFS(DECKS!$D$2:$D$1201,DECKS!$A$2:$A$1201,INDEX(_LEITURA!$P$2:$P$21,5),DECKS!$B$2:$B$1201,$A203))</f>
        <v/>
      </c>
      <c r="P203" s="19" t="str">
        <f aca="false">IF(OR($A203="",INDEX(_LEITURA!$Q$2:$Q$21,6)=0),"",SUMIFS(DECKS!$D$2:$D$1201,DECKS!$A$2:$A$1201,INDEX(_LEITURA!$P$2:$P$21,6),DECKS!$B$2:$B$1201,$A203))</f>
        <v/>
      </c>
      <c r="Q203" s="19" t="str">
        <f aca="false">IF(OR($A203="",INDEX(_LEITURA!$Q$2:$Q$21,7)=0),"",SUMIFS(DECKS!$D$2:$D$1201,DECKS!$A$2:$A$1201,INDEX(_LEITURA!$P$2:$P$21,7),DECKS!$B$2:$B$1201,$A203))</f>
        <v/>
      </c>
      <c r="R203" s="19" t="str">
        <f aca="false">IF(OR($A203="",INDEX(_LEITURA!$Q$2:$Q$21,8)=0),"",SUMIFS(DECKS!$D$2:$D$1201,DECKS!$A$2:$A$1201,INDEX(_LEITURA!$P$2:$P$21,8),DECKS!$B$2:$B$1201,$A203))</f>
        <v/>
      </c>
      <c r="S203" s="19" t="str">
        <f aca="false">IF(OR($A203="",INDEX(_LEITURA!$Q$2:$Q$21,9)=0),"",SUMIFS(DECKS!$D$2:$D$1201,DECKS!$A$2:$A$1201,INDEX(_LEITURA!$P$2:$P$21,9),DECKS!$B$2:$B$1201,$A203))</f>
        <v/>
      </c>
      <c r="T203" s="19" t="str">
        <f aca="false">IF(OR($A203="",INDEX(_LEITURA!$Q$2:$Q$21,10)=0),"",SUMIFS(DECKS!$D$2:$D$1201,DECKS!$A$2:$A$1201,INDEX(_LEITURA!$P$2:$P$21,10),DECKS!$B$2:$B$1201,$A203))</f>
        <v/>
      </c>
      <c r="U203" s="19" t="str">
        <f aca="false">IF(OR($A203="",INDEX(_LEITURA!$Q$2:$Q$21,11)=0),"",SUMIFS(DECKS!$D$2:$D$1201,DECKS!$A$2:$A$1201,INDEX(_LEITURA!$P$2:$P$21,11),DECKS!$B$2:$B$1201,$A203))</f>
        <v/>
      </c>
      <c r="V203" s="19" t="str">
        <f aca="false">IF(OR($A203="",INDEX(_LEITURA!$Q$2:$Q$21,12)=0),"",SUMIFS(DECKS!$D$2:$D$1201,DECKS!$A$2:$A$1201,INDEX(_LEITURA!$P$2:$P$21,12),DECKS!$B$2:$B$1201,$A203))</f>
        <v/>
      </c>
      <c r="W203" s="19" t="str">
        <f aca="false">IF(OR($A203="",INDEX(_LEITURA!$Q$2:$Q$21,13)=0),"",SUMIFS(DECKS!$D$2:$D$1201,DECKS!$A$2:$A$1201,INDEX(_LEITURA!$P$2:$P$21,13),DECKS!$B$2:$B$1201,$A203))</f>
        <v/>
      </c>
      <c r="X203" s="19" t="str">
        <f aca="false">IF(OR($A203="",INDEX(_LEITURA!$Q$2:$Q$21,14)=0),"",SUMIFS(DECKS!$D$2:$D$1201,DECKS!$A$2:$A$1201,INDEX(_LEITURA!$P$2:$P$21,14),DECKS!$B$2:$B$1201,$A203))</f>
        <v/>
      </c>
      <c r="Y203" s="19" t="str">
        <f aca="false">IF(OR($A203="",INDEX(_LEITURA!$Q$2:$Q$21,15)=0),"",SUMIFS(DECKS!$D$2:$D$1201,DECKS!$A$2:$A$1201,INDEX(_LEITURA!$P$2:$P$21,15),DECKS!$B$2:$B$1201,$A203))</f>
        <v/>
      </c>
      <c r="Z203" s="19" t="str">
        <f aca="false">IF(OR($A203="",INDEX(_LEITURA!$Q$2:$Q$21,16)=0),"",SUMIFS(DECKS!$D$2:$D$1201,DECKS!$A$2:$A$1201,INDEX(_LEITURA!$P$2:$P$21,16),DECKS!$B$2:$B$1201,$A203))</f>
        <v/>
      </c>
      <c r="AA203" s="19" t="str">
        <f aca="false">IF(OR($A203="",INDEX(_LEITURA!$Q$2:$Q$21,17)=0),"",SUMIFS(DECKS!$D$2:$D$1201,DECKS!$A$2:$A$1201,INDEX(_LEITURA!$P$2:$P$21,17),DECKS!$B$2:$B$1201,$A203))</f>
        <v/>
      </c>
      <c r="AB203" s="19" t="str">
        <f aca="false">IF(OR($A203="",INDEX(_LEITURA!$Q$2:$Q$21,18)=0),"",SUMIFS(DECKS!$D$2:$D$1201,DECKS!$A$2:$A$1201,INDEX(_LEITURA!$P$2:$P$21,18),DECKS!$B$2:$B$1201,$A203))</f>
        <v/>
      </c>
      <c r="AC203" s="19" t="str">
        <f aca="false">IF(OR($A203="",INDEX(_LEITURA!$Q$2:$Q$21,19)=0),"",SUMIFS(DECKS!$D$2:$D$1201,DECKS!$A$2:$A$1201,INDEX(_LEITURA!$P$2:$P$21,19),DECKS!$B$2:$B$1201,$A203))</f>
        <v/>
      </c>
      <c r="AD203" s="19" t="str">
        <f aca="false">IF(OR($A203="",INDEX(_LEITURA!$Q$2:$Q$21,20)=0),"",SUMIFS(DECKS!$D$2:$D$1201,DECKS!$A$2:$A$1201,INDEX(_LEITURA!$P$2:$P$21,20),DECKS!$B$2:$B$1201,$A203))</f>
        <v/>
      </c>
      <c r="AE203" s="16" t="str">
        <f aca="false">IF(N(E203)&gt;0,MAX(AE$1:AE202)+1,"")</f>
        <v/>
      </c>
      <c r="AF203" s="11" t="str">
        <f aca="false">IF(A203="","",IFERROR(LEFT(A203,FIND("-",A203)-1),A203))</f>
        <v/>
      </c>
      <c r="AG203" s="11" t="str">
        <f aca="false">IF(AF203="","",IF(ISNUMBER(--MID(AF203,1,1)),0,IF(ISNUMBER(--MID(AF203,2,1)),1,IF(ISNUMBER(--MID(AF203,3,1)),2,IF(ISNUMBER(--MID(AF203,4,1)),3,MIN(LEN(AF203),4))))))</f>
        <v/>
      </c>
      <c r="AH203" s="11" t="str">
        <f aca="false">IF(A203="","",LEFT(AF203,AG203)&amp;REPT("0",4-AG203)&amp;RIGHT("000"&amp;IFERROR(VALUE(MID(AF203,AG203+1,9)),0),3)&amp;RIGHT("0000"&amp;IFERROR(VALUE(MID(A203,FIND("-",A203)+1,9)),0),4))</f>
        <v/>
      </c>
      <c r="AI203" s="11" t="str">
        <f aca="false">IF(OR(A203="",N(E203)&lt;=0),"",IF('FALTAS GERAL'!$M$1="Código","K"&amp;AH203&amp;RIGHT("00000"&amp;ROW(),5),IF('FALTAS GERAL'!$M$1="Nome","K"&amp;UPPER(SUBSTITUTE(SUBSTITUTE(SUBSTITUTE(B203,"*",""),"?",""),"~",""))&amp;"0"&amp;AH203&amp;RIGHT("00000"&amp;ROW(),5),IF('FALTAS GERAL'!$M$1="Falta (maior primeiro)","K"&amp;RIGHT("0000"&amp;(9999-E203),4)&amp;AH203&amp;RIGHT("00000"&amp;ROW(),5),IF('FALTAS GERAL'!$M$1="Nº de decks (maior primeiro)","K"&amp;RIGHT("00"&amp;(99-N(G203)),2)&amp;AH203&amp;RIGHT("00000"&amp;ROW(),5),"K"&amp;RIGHT("00000"&amp;ROW(),5))))))</f>
        <v/>
      </c>
      <c r="AJ203" s="11" t="str">
        <f aca="false">IF(AI203="","",COUNTIFS($AI$2:$AI$801,"&lt;"&amp;AI203,$E$2:$E$801,"&gt;0")+1)</f>
        <v/>
      </c>
      <c r="AK203" s="11" t="str">
        <f aca="false">IF(OR(A203="",N(E203)&lt;=0),"",COUNTIFS($AH$2:$AH$801,"&lt;"&amp;AH203,$E$2:$E$801,"&gt;0")+COUNTIFS($AH$2:AH203,AH203,$E$2:E203,"&gt;0"))</f>
        <v/>
      </c>
    </row>
    <row r="204" customFormat="false" ht="15" hidden="false" customHeight="false" outlineLevel="0" collapsed="false">
      <c r="A204" s="11" t="str">
        <f aca="false">IF(INVENTÁRIO!A204="","",INVENTÁRIO!A204)</f>
        <v/>
      </c>
      <c r="B204" s="11" t="str">
        <f aca="false">IF(A204="","",INVENTÁRIO!B204)</f>
        <v/>
      </c>
      <c r="C204" s="16" t="str">
        <f aca="false">IF(A204="","",INVENTÁRIO!C204)</f>
        <v/>
      </c>
      <c r="D204" s="14" t="str">
        <f aca="false">IF(A204="","",MAX(K204:AD204))</f>
        <v/>
      </c>
      <c r="E204" s="14" t="str">
        <f aca="false">IF(A204="","",MAX(0,D204-C204))</f>
        <v/>
      </c>
      <c r="F204" s="16" t="str">
        <f aca="false">IF(A204="","",IF(D204=0,"Fora dos decks",IF(E204=0,"Completo","Falta")))</f>
        <v/>
      </c>
      <c r="G204" s="16" t="str">
        <f aca="false">IF(A204="","",COUNTIF(K204:AD204,"&gt;0"))</f>
        <v/>
      </c>
      <c r="H204" s="16" t="str">
        <f aca="false">IF(A204="","",IF(G204&gt;1,"Sim",""))</f>
        <v/>
      </c>
      <c r="I204" s="18" t="str">
        <f aca="false">IF(A204="","",SUMIFS(DECKS!$D$2:$D$1201,DECKS!$B$2:$B$1201,A204))</f>
        <v/>
      </c>
      <c r="J204" s="18" t="str">
        <f aca="false">IF(A204="","",MAX(0,I204-C204))</f>
        <v/>
      </c>
      <c r="K204" s="19" t="str">
        <f aca="false">IF(OR($A204="",INDEX(_LEITURA!$Q$2:$Q$21,1)=0),"",SUMIFS(DECKS!$D$2:$D$1201,DECKS!$A$2:$A$1201,INDEX(_LEITURA!$P$2:$P$21,1),DECKS!$B$2:$B$1201,$A204))</f>
        <v/>
      </c>
      <c r="L204" s="19" t="str">
        <f aca="false">IF(OR($A204="",INDEX(_LEITURA!$Q$2:$Q$21,2)=0),"",SUMIFS(DECKS!$D$2:$D$1201,DECKS!$A$2:$A$1201,INDEX(_LEITURA!$P$2:$P$21,2),DECKS!$B$2:$B$1201,$A204))</f>
        <v/>
      </c>
      <c r="M204" s="19" t="str">
        <f aca="false">IF(OR($A204="",INDEX(_LEITURA!$Q$2:$Q$21,3)=0),"",SUMIFS(DECKS!$D$2:$D$1201,DECKS!$A$2:$A$1201,INDEX(_LEITURA!$P$2:$P$21,3),DECKS!$B$2:$B$1201,$A204))</f>
        <v/>
      </c>
      <c r="N204" s="19" t="str">
        <f aca="false">IF(OR($A204="",INDEX(_LEITURA!$Q$2:$Q$21,4)=0),"",SUMIFS(DECKS!$D$2:$D$1201,DECKS!$A$2:$A$1201,INDEX(_LEITURA!$P$2:$P$21,4),DECKS!$B$2:$B$1201,$A204))</f>
        <v/>
      </c>
      <c r="O204" s="19" t="str">
        <f aca="false">IF(OR($A204="",INDEX(_LEITURA!$Q$2:$Q$21,5)=0),"",SUMIFS(DECKS!$D$2:$D$1201,DECKS!$A$2:$A$1201,INDEX(_LEITURA!$P$2:$P$21,5),DECKS!$B$2:$B$1201,$A204))</f>
        <v/>
      </c>
      <c r="P204" s="19" t="str">
        <f aca="false">IF(OR($A204="",INDEX(_LEITURA!$Q$2:$Q$21,6)=0),"",SUMIFS(DECKS!$D$2:$D$1201,DECKS!$A$2:$A$1201,INDEX(_LEITURA!$P$2:$P$21,6),DECKS!$B$2:$B$1201,$A204))</f>
        <v/>
      </c>
      <c r="Q204" s="19" t="str">
        <f aca="false">IF(OR($A204="",INDEX(_LEITURA!$Q$2:$Q$21,7)=0),"",SUMIFS(DECKS!$D$2:$D$1201,DECKS!$A$2:$A$1201,INDEX(_LEITURA!$P$2:$P$21,7),DECKS!$B$2:$B$1201,$A204))</f>
        <v/>
      </c>
      <c r="R204" s="19" t="str">
        <f aca="false">IF(OR($A204="",INDEX(_LEITURA!$Q$2:$Q$21,8)=0),"",SUMIFS(DECKS!$D$2:$D$1201,DECKS!$A$2:$A$1201,INDEX(_LEITURA!$P$2:$P$21,8),DECKS!$B$2:$B$1201,$A204))</f>
        <v/>
      </c>
      <c r="S204" s="19" t="str">
        <f aca="false">IF(OR($A204="",INDEX(_LEITURA!$Q$2:$Q$21,9)=0),"",SUMIFS(DECKS!$D$2:$D$1201,DECKS!$A$2:$A$1201,INDEX(_LEITURA!$P$2:$P$21,9),DECKS!$B$2:$B$1201,$A204))</f>
        <v/>
      </c>
      <c r="T204" s="19" t="str">
        <f aca="false">IF(OR($A204="",INDEX(_LEITURA!$Q$2:$Q$21,10)=0),"",SUMIFS(DECKS!$D$2:$D$1201,DECKS!$A$2:$A$1201,INDEX(_LEITURA!$P$2:$P$21,10),DECKS!$B$2:$B$1201,$A204))</f>
        <v/>
      </c>
      <c r="U204" s="19" t="str">
        <f aca="false">IF(OR($A204="",INDEX(_LEITURA!$Q$2:$Q$21,11)=0),"",SUMIFS(DECKS!$D$2:$D$1201,DECKS!$A$2:$A$1201,INDEX(_LEITURA!$P$2:$P$21,11),DECKS!$B$2:$B$1201,$A204))</f>
        <v/>
      </c>
      <c r="V204" s="19" t="str">
        <f aca="false">IF(OR($A204="",INDEX(_LEITURA!$Q$2:$Q$21,12)=0),"",SUMIFS(DECKS!$D$2:$D$1201,DECKS!$A$2:$A$1201,INDEX(_LEITURA!$P$2:$P$21,12),DECKS!$B$2:$B$1201,$A204))</f>
        <v/>
      </c>
      <c r="W204" s="19" t="str">
        <f aca="false">IF(OR($A204="",INDEX(_LEITURA!$Q$2:$Q$21,13)=0),"",SUMIFS(DECKS!$D$2:$D$1201,DECKS!$A$2:$A$1201,INDEX(_LEITURA!$P$2:$P$21,13),DECKS!$B$2:$B$1201,$A204))</f>
        <v/>
      </c>
      <c r="X204" s="19" t="str">
        <f aca="false">IF(OR($A204="",INDEX(_LEITURA!$Q$2:$Q$21,14)=0),"",SUMIFS(DECKS!$D$2:$D$1201,DECKS!$A$2:$A$1201,INDEX(_LEITURA!$P$2:$P$21,14),DECKS!$B$2:$B$1201,$A204))</f>
        <v/>
      </c>
      <c r="Y204" s="19" t="str">
        <f aca="false">IF(OR($A204="",INDEX(_LEITURA!$Q$2:$Q$21,15)=0),"",SUMIFS(DECKS!$D$2:$D$1201,DECKS!$A$2:$A$1201,INDEX(_LEITURA!$P$2:$P$21,15),DECKS!$B$2:$B$1201,$A204))</f>
        <v/>
      </c>
      <c r="Z204" s="19" t="str">
        <f aca="false">IF(OR($A204="",INDEX(_LEITURA!$Q$2:$Q$21,16)=0),"",SUMIFS(DECKS!$D$2:$D$1201,DECKS!$A$2:$A$1201,INDEX(_LEITURA!$P$2:$P$21,16),DECKS!$B$2:$B$1201,$A204))</f>
        <v/>
      </c>
      <c r="AA204" s="19" t="str">
        <f aca="false">IF(OR($A204="",INDEX(_LEITURA!$Q$2:$Q$21,17)=0),"",SUMIFS(DECKS!$D$2:$D$1201,DECKS!$A$2:$A$1201,INDEX(_LEITURA!$P$2:$P$21,17),DECKS!$B$2:$B$1201,$A204))</f>
        <v/>
      </c>
      <c r="AB204" s="19" t="str">
        <f aca="false">IF(OR($A204="",INDEX(_LEITURA!$Q$2:$Q$21,18)=0),"",SUMIFS(DECKS!$D$2:$D$1201,DECKS!$A$2:$A$1201,INDEX(_LEITURA!$P$2:$P$21,18),DECKS!$B$2:$B$1201,$A204))</f>
        <v/>
      </c>
      <c r="AC204" s="19" t="str">
        <f aca="false">IF(OR($A204="",INDEX(_LEITURA!$Q$2:$Q$21,19)=0),"",SUMIFS(DECKS!$D$2:$D$1201,DECKS!$A$2:$A$1201,INDEX(_LEITURA!$P$2:$P$21,19),DECKS!$B$2:$B$1201,$A204))</f>
        <v/>
      </c>
      <c r="AD204" s="19" t="str">
        <f aca="false">IF(OR($A204="",INDEX(_LEITURA!$Q$2:$Q$21,20)=0),"",SUMIFS(DECKS!$D$2:$D$1201,DECKS!$A$2:$A$1201,INDEX(_LEITURA!$P$2:$P$21,20),DECKS!$B$2:$B$1201,$A204))</f>
        <v/>
      </c>
      <c r="AE204" s="16" t="str">
        <f aca="false">IF(N(E204)&gt;0,MAX(AE$1:AE203)+1,"")</f>
        <v/>
      </c>
      <c r="AF204" s="11" t="str">
        <f aca="false">IF(A204="","",IFERROR(LEFT(A204,FIND("-",A204)-1),A204))</f>
        <v/>
      </c>
      <c r="AG204" s="11" t="str">
        <f aca="false">IF(AF204="","",IF(ISNUMBER(--MID(AF204,1,1)),0,IF(ISNUMBER(--MID(AF204,2,1)),1,IF(ISNUMBER(--MID(AF204,3,1)),2,IF(ISNUMBER(--MID(AF204,4,1)),3,MIN(LEN(AF204),4))))))</f>
        <v/>
      </c>
      <c r="AH204" s="11" t="str">
        <f aca="false">IF(A204="","",LEFT(AF204,AG204)&amp;REPT("0",4-AG204)&amp;RIGHT("000"&amp;IFERROR(VALUE(MID(AF204,AG204+1,9)),0),3)&amp;RIGHT("0000"&amp;IFERROR(VALUE(MID(A204,FIND("-",A204)+1,9)),0),4))</f>
        <v/>
      </c>
      <c r="AI204" s="11" t="str">
        <f aca="false">IF(OR(A204="",N(E204)&lt;=0),"",IF('FALTAS GERAL'!$M$1="Código","K"&amp;AH204&amp;RIGHT("00000"&amp;ROW(),5),IF('FALTAS GERAL'!$M$1="Nome","K"&amp;UPPER(SUBSTITUTE(SUBSTITUTE(SUBSTITUTE(B204,"*",""),"?",""),"~",""))&amp;"0"&amp;AH204&amp;RIGHT("00000"&amp;ROW(),5),IF('FALTAS GERAL'!$M$1="Falta (maior primeiro)","K"&amp;RIGHT("0000"&amp;(9999-E204),4)&amp;AH204&amp;RIGHT("00000"&amp;ROW(),5),IF('FALTAS GERAL'!$M$1="Nº de decks (maior primeiro)","K"&amp;RIGHT("00"&amp;(99-N(G204)),2)&amp;AH204&amp;RIGHT("00000"&amp;ROW(),5),"K"&amp;RIGHT("00000"&amp;ROW(),5))))))</f>
        <v/>
      </c>
      <c r="AJ204" s="11" t="str">
        <f aca="false">IF(AI204="","",COUNTIFS($AI$2:$AI$801,"&lt;"&amp;AI204,$E$2:$E$801,"&gt;0")+1)</f>
        <v/>
      </c>
      <c r="AK204" s="11" t="str">
        <f aca="false">IF(OR(A204="",N(E204)&lt;=0),"",COUNTIFS($AH$2:$AH$801,"&lt;"&amp;AH204,$E$2:$E$801,"&gt;0")+COUNTIFS($AH$2:AH204,AH204,$E$2:E204,"&gt;0"))</f>
        <v/>
      </c>
    </row>
    <row r="205" customFormat="false" ht="15" hidden="false" customHeight="false" outlineLevel="0" collapsed="false">
      <c r="A205" s="11" t="str">
        <f aca="false">IF(INVENTÁRIO!A205="","",INVENTÁRIO!A205)</f>
        <v/>
      </c>
      <c r="B205" s="11" t="str">
        <f aca="false">IF(A205="","",INVENTÁRIO!B205)</f>
        <v/>
      </c>
      <c r="C205" s="16" t="str">
        <f aca="false">IF(A205="","",INVENTÁRIO!C205)</f>
        <v/>
      </c>
      <c r="D205" s="14" t="str">
        <f aca="false">IF(A205="","",MAX(K205:AD205))</f>
        <v/>
      </c>
      <c r="E205" s="14" t="str">
        <f aca="false">IF(A205="","",MAX(0,D205-C205))</f>
        <v/>
      </c>
      <c r="F205" s="16" t="str">
        <f aca="false">IF(A205="","",IF(D205=0,"Fora dos decks",IF(E205=0,"Completo","Falta")))</f>
        <v/>
      </c>
      <c r="G205" s="16" t="str">
        <f aca="false">IF(A205="","",COUNTIF(K205:AD205,"&gt;0"))</f>
        <v/>
      </c>
      <c r="H205" s="16" t="str">
        <f aca="false">IF(A205="","",IF(G205&gt;1,"Sim",""))</f>
        <v/>
      </c>
      <c r="I205" s="18" t="str">
        <f aca="false">IF(A205="","",SUMIFS(DECKS!$D$2:$D$1201,DECKS!$B$2:$B$1201,A205))</f>
        <v/>
      </c>
      <c r="J205" s="18" t="str">
        <f aca="false">IF(A205="","",MAX(0,I205-C205))</f>
        <v/>
      </c>
      <c r="K205" s="19" t="str">
        <f aca="false">IF(OR($A205="",INDEX(_LEITURA!$Q$2:$Q$21,1)=0),"",SUMIFS(DECKS!$D$2:$D$1201,DECKS!$A$2:$A$1201,INDEX(_LEITURA!$P$2:$P$21,1),DECKS!$B$2:$B$1201,$A205))</f>
        <v/>
      </c>
      <c r="L205" s="19" t="str">
        <f aca="false">IF(OR($A205="",INDEX(_LEITURA!$Q$2:$Q$21,2)=0),"",SUMIFS(DECKS!$D$2:$D$1201,DECKS!$A$2:$A$1201,INDEX(_LEITURA!$P$2:$P$21,2),DECKS!$B$2:$B$1201,$A205))</f>
        <v/>
      </c>
      <c r="M205" s="19" t="str">
        <f aca="false">IF(OR($A205="",INDEX(_LEITURA!$Q$2:$Q$21,3)=0),"",SUMIFS(DECKS!$D$2:$D$1201,DECKS!$A$2:$A$1201,INDEX(_LEITURA!$P$2:$P$21,3),DECKS!$B$2:$B$1201,$A205))</f>
        <v/>
      </c>
      <c r="N205" s="19" t="str">
        <f aca="false">IF(OR($A205="",INDEX(_LEITURA!$Q$2:$Q$21,4)=0),"",SUMIFS(DECKS!$D$2:$D$1201,DECKS!$A$2:$A$1201,INDEX(_LEITURA!$P$2:$P$21,4),DECKS!$B$2:$B$1201,$A205))</f>
        <v/>
      </c>
      <c r="O205" s="19" t="str">
        <f aca="false">IF(OR($A205="",INDEX(_LEITURA!$Q$2:$Q$21,5)=0),"",SUMIFS(DECKS!$D$2:$D$1201,DECKS!$A$2:$A$1201,INDEX(_LEITURA!$P$2:$P$21,5),DECKS!$B$2:$B$1201,$A205))</f>
        <v/>
      </c>
      <c r="P205" s="19" t="str">
        <f aca="false">IF(OR($A205="",INDEX(_LEITURA!$Q$2:$Q$21,6)=0),"",SUMIFS(DECKS!$D$2:$D$1201,DECKS!$A$2:$A$1201,INDEX(_LEITURA!$P$2:$P$21,6),DECKS!$B$2:$B$1201,$A205))</f>
        <v/>
      </c>
      <c r="Q205" s="19" t="str">
        <f aca="false">IF(OR($A205="",INDEX(_LEITURA!$Q$2:$Q$21,7)=0),"",SUMIFS(DECKS!$D$2:$D$1201,DECKS!$A$2:$A$1201,INDEX(_LEITURA!$P$2:$P$21,7),DECKS!$B$2:$B$1201,$A205))</f>
        <v/>
      </c>
      <c r="R205" s="19" t="str">
        <f aca="false">IF(OR($A205="",INDEX(_LEITURA!$Q$2:$Q$21,8)=0),"",SUMIFS(DECKS!$D$2:$D$1201,DECKS!$A$2:$A$1201,INDEX(_LEITURA!$P$2:$P$21,8),DECKS!$B$2:$B$1201,$A205))</f>
        <v/>
      </c>
      <c r="S205" s="19" t="str">
        <f aca="false">IF(OR($A205="",INDEX(_LEITURA!$Q$2:$Q$21,9)=0),"",SUMIFS(DECKS!$D$2:$D$1201,DECKS!$A$2:$A$1201,INDEX(_LEITURA!$P$2:$P$21,9),DECKS!$B$2:$B$1201,$A205))</f>
        <v/>
      </c>
      <c r="T205" s="19" t="str">
        <f aca="false">IF(OR($A205="",INDEX(_LEITURA!$Q$2:$Q$21,10)=0),"",SUMIFS(DECKS!$D$2:$D$1201,DECKS!$A$2:$A$1201,INDEX(_LEITURA!$P$2:$P$21,10),DECKS!$B$2:$B$1201,$A205))</f>
        <v/>
      </c>
      <c r="U205" s="19" t="str">
        <f aca="false">IF(OR($A205="",INDEX(_LEITURA!$Q$2:$Q$21,11)=0),"",SUMIFS(DECKS!$D$2:$D$1201,DECKS!$A$2:$A$1201,INDEX(_LEITURA!$P$2:$P$21,11),DECKS!$B$2:$B$1201,$A205))</f>
        <v/>
      </c>
      <c r="V205" s="19" t="str">
        <f aca="false">IF(OR($A205="",INDEX(_LEITURA!$Q$2:$Q$21,12)=0),"",SUMIFS(DECKS!$D$2:$D$1201,DECKS!$A$2:$A$1201,INDEX(_LEITURA!$P$2:$P$21,12),DECKS!$B$2:$B$1201,$A205))</f>
        <v/>
      </c>
      <c r="W205" s="19" t="str">
        <f aca="false">IF(OR($A205="",INDEX(_LEITURA!$Q$2:$Q$21,13)=0),"",SUMIFS(DECKS!$D$2:$D$1201,DECKS!$A$2:$A$1201,INDEX(_LEITURA!$P$2:$P$21,13),DECKS!$B$2:$B$1201,$A205))</f>
        <v/>
      </c>
      <c r="X205" s="19" t="str">
        <f aca="false">IF(OR($A205="",INDEX(_LEITURA!$Q$2:$Q$21,14)=0),"",SUMIFS(DECKS!$D$2:$D$1201,DECKS!$A$2:$A$1201,INDEX(_LEITURA!$P$2:$P$21,14),DECKS!$B$2:$B$1201,$A205))</f>
        <v/>
      </c>
      <c r="Y205" s="19" t="str">
        <f aca="false">IF(OR($A205="",INDEX(_LEITURA!$Q$2:$Q$21,15)=0),"",SUMIFS(DECKS!$D$2:$D$1201,DECKS!$A$2:$A$1201,INDEX(_LEITURA!$P$2:$P$21,15),DECKS!$B$2:$B$1201,$A205))</f>
        <v/>
      </c>
      <c r="Z205" s="19" t="str">
        <f aca="false">IF(OR($A205="",INDEX(_LEITURA!$Q$2:$Q$21,16)=0),"",SUMIFS(DECKS!$D$2:$D$1201,DECKS!$A$2:$A$1201,INDEX(_LEITURA!$P$2:$P$21,16),DECKS!$B$2:$B$1201,$A205))</f>
        <v/>
      </c>
      <c r="AA205" s="19" t="str">
        <f aca="false">IF(OR($A205="",INDEX(_LEITURA!$Q$2:$Q$21,17)=0),"",SUMIFS(DECKS!$D$2:$D$1201,DECKS!$A$2:$A$1201,INDEX(_LEITURA!$P$2:$P$21,17),DECKS!$B$2:$B$1201,$A205))</f>
        <v/>
      </c>
      <c r="AB205" s="19" t="str">
        <f aca="false">IF(OR($A205="",INDEX(_LEITURA!$Q$2:$Q$21,18)=0),"",SUMIFS(DECKS!$D$2:$D$1201,DECKS!$A$2:$A$1201,INDEX(_LEITURA!$P$2:$P$21,18),DECKS!$B$2:$B$1201,$A205))</f>
        <v/>
      </c>
      <c r="AC205" s="19" t="str">
        <f aca="false">IF(OR($A205="",INDEX(_LEITURA!$Q$2:$Q$21,19)=0),"",SUMIFS(DECKS!$D$2:$D$1201,DECKS!$A$2:$A$1201,INDEX(_LEITURA!$P$2:$P$21,19),DECKS!$B$2:$B$1201,$A205))</f>
        <v/>
      </c>
      <c r="AD205" s="19" t="str">
        <f aca="false">IF(OR($A205="",INDEX(_LEITURA!$Q$2:$Q$21,20)=0),"",SUMIFS(DECKS!$D$2:$D$1201,DECKS!$A$2:$A$1201,INDEX(_LEITURA!$P$2:$P$21,20),DECKS!$B$2:$B$1201,$A205))</f>
        <v/>
      </c>
      <c r="AE205" s="16" t="str">
        <f aca="false">IF(N(E205)&gt;0,MAX(AE$1:AE204)+1,"")</f>
        <v/>
      </c>
      <c r="AF205" s="11" t="str">
        <f aca="false">IF(A205="","",IFERROR(LEFT(A205,FIND("-",A205)-1),A205))</f>
        <v/>
      </c>
      <c r="AG205" s="11" t="str">
        <f aca="false">IF(AF205="","",IF(ISNUMBER(--MID(AF205,1,1)),0,IF(ISNUMBER(--MID(AF205,2,1)),1,IF(ISNUMBER(--MID(AF205,3,1)),2,IF(ISNUMBER(--MID(AF205,4,1)),3,MIN(LEN(AF205),4))))))</f>
        <v/>
      </c>
      <c r="AH205" s="11" t="str">
        <f aca="false">IF(A205="","",LEFT(AF205,AG205)&amp;REPT("0",4-AG205)&amp;RIGHT("000"&amp;IFERROR(VALUE(MID(AF205,AG205+1,9)),0),3)&amp;RIGHT("0000"&amp;IFERROR(VALUE(MID(A205,FIND("-",A205)+1,9)),0),4))</f>
        <v/>
      </c>
      <c r="AI205" s="11" t="str">
        <f aca="false">IF(OR(A205="",N(E205)&lt;=0),"",IF('FALTAS GERAL'!$M$1="Código","K"&amp;AH205&amp;RIGHT("00000"&amp;ROW(),5),IF('FALTAS GERAL'!$M$1="Nome","K"&amp;UPPER(SUBSTITUTE(SUBSTITUTE(SUBSTITUTE(B205,"*",""),"?",""),"~",""))&amp;"0"&amp;AH205&amp;RIGHT("00000"&amp;ROW(),5),IF('FALTAS GERAL'!$M$1="Falta (maior primeiro)","K"&amp;RIGHT("0000"&amp;(9999-E205),4)&amp;AH205&amp;RIGHT("00000"&amp;ROW(),5),IF('FALTAS GERAL'!$M$1="Nº de decks (maior primeiro)","K"&amp;RIGHT("00"&amp;(99-N(G205)),2)&amp;AH205&amp;RIGHT("00000"&amp;ROW(),5),"K"&amp;RIGHT("00000"&amp;ROW(),5))))))</f>
        <v/>
      </c>
      <c r="AJ205" s="11" t="str">
        <f aca="false">IF(AI205="","",COUNTIFS($AI$2:$AI$801,"&lt;"&amp;AI205,$E$2:$E$801,"&gt;0")+1)</f>
        <v/>
      </c>
      <c r="AK205" s="11" t="str">
        <f aca="false">IF(OR(A205="",N(E205)&lt;=0),"",COUNTIFS($AH$2:$AH$801,"&lt;"&amp;AH205,$E$2:$E$801,"&gt;0")+COUNTIFS($AH$2:AH205,AH205,$E$2:E205,"&gt;0"))</f>
        <v/>
      </c>
    </row>
    <row r="206" customFormat="false" ht="15" hidden="false" customHeight="false" outlineLevel="0" collapsed="false">
      <c r="A206" s="11" t="str">
        <f aca="false">IF(INVENTÁRIO!A206="","",INVENTÁRIO!A206)</f>
        <v/>
      </c>
      <c r="B206" s="11" t="str">
        <f aca="false">IF(A206="","",INVENTÁRIO!B206)</f>
        <v/>
      </c>
      <c r="C206" s="16" t="str">
        <f aca="false">IF(A206="","",INVENTÁRIO!C206)</f>
        <v/>
      </c>
      <c r="D206" s="14" t="str">
        <f aca="false">IF(A206="","",MAX(K206:AD206))</f>
        <v/>
      </c>
      <c r="E206" s="14" t="str">
        <f aca="false">IF(A206="","",MAX(0,D206-C206))</f>
        <v/>
      </c>
      <c r="F206" s="16" t="str">
        <f aca="false">IF(A206="","",IF(D206=0,"Fora dos decks",IF(E206=0,"Completo","Falta")))</f>
        <v/>
      </c>
      <c r="G206" s="16" t="str">
        <f aca="false">IF(A206="","",COUNTIF(K206:AD206,"&gt;0"))</f>
        <v/>
      </c>
      <c r="H206" s="16" t="str">
        <f aca="false">IF(A206="","",IF(G206&gt;1,"Sim",""))</f>
        <v/>
      </c>
      <c r="I206" s="18" t="str">
        <f aca="false">IF(A206="","",SUMIFS(DECKS!$D$2:$D$1201,DECKS!$B$2:$B$1201,A206))</f>
        <v/>
      </c>
      <c r="J206" s="18" t="str">
        <f aca="false">IF(A206="","",MAX(0,I206-C206))</f>
        <v/>
      </c>
      <c r="K206" s="19" t="str">
        <f aca="false">IF(OR($A206="",INDEX(_LEITURA!$Q$2:$Q$21,1)=0),"",SUMIFS(DECKS!$D$2:$D$1201,DECKS!$A$2:$A$1201,INDEX(_LEITURA!$P$2:$P$21,1),DECKS!$B$2:$B$1201,$A206))</f>
        <v/>
      </c>
      <c r="L206" s="19" t="str">
        <f aca="false">IF(OR($A206="",INDEX(_LEITURA!$Q$2:$Q$21,2)=0),"",SUMIFS(DECKS!$D$2:$D$1201,DECKS!$A$2:$A$1201,INDEX(_LEITURA!$P$2:$P$21,2),DECKS!$B$2:$B$1201,$A206))</f>
        <v/>
      </c>
      <c r="M206" s="19" t="str">
        <f aca="false">IF(OR($A206="",INDEX(_LEITURA!$Q$2:$Q$21,3)=0),"",SUMIFS(DECKS!$D$2:$D$1201,DECKS!$A$2:$A$1201,INDEX(_LEITURA!$P$2:$P$21,3),DECKS!$B$2:$B$1201,$A206))</f>
        <v/>
      </c>
      <c r="N206" s="19" t="str">
        <f aca="false">IF(OR($A206="",INDEX(_LEITURA!$Q$2:$Q$21,4)=0),"",SUMIFS(DECKS!$D$2:$D$1201,DECKS!$A$2:$A$1201,INDEX(_LEITURA!$P$2:$P$21,4),DECKS!$B$2:$B$1201,$A206))</f>
        <v/>
      </c>
      <c r="O206" s="19" t="str">
        <f aca="false">IF(OR($A206="",INDEX(_LEITURA!$Q$2:$Q$21,5)=0),"",SUMIFS(DECKS!$D$2:$D$1201,DECKS!$A$2:$A$1201,INDEX(_LEITURA!$P$2:$P$21,5),DECKS!$B$2:$B$1201,$A206))</f>
        <v/>
      </c>
      <c r="P206" s="19" t="str">
        <f aca="false">IF(OR($A206="",INDEX(_LEITURA!$Q$2:$Q$21,6)=0),"",SUMIFS(DECKS!$D$2:$D$1201,DECKS!$A$2:$A$1201,INDEX(_LEITURA!$P$2:$P$21,6),DECKS!$B$2:$B$1201,$A206))</f>
        <v/>
      </c>
      <c r="Q206" s="19" t="str">
        <f aca="false">IF(OR($A206="",INDEX(_LEITURA!$Q$2:$Q$21,7)=0),"",SUMIFS(DECKS!$D$2:$D$1201,DECKS!$A$2:$A$1201,INDEX(_LEITURA!$P$2:$P$21,7),DECKS!$B$2:$B$1201,$A206))</f>
        <v/>
      </c>
      <c r="R206" s="19" t="str">
        <f aca="false">IF(OR($A206="",INDEX(_LEITURA!$Q$2:$Q$21,8)=0),"",SUMIFS(DECKS!$D$2:$D$1201,DECKS!$A$2:$A$1201,INDEX(_LEITURA!$P$2:$P$21,8),DECKS!$B$2:$B$1201,$A206))</f>
        <v/>
      </c>
      <c r="S206" s="19" t="str">
        <f aca="false">IF(OR($A206="",INDEX(_LEITURA!$Q$2:$Q$21,9)=0),"",SUMIFS(DECKS!$D$2:$D$1201,DECKS!$A$2:$A$1201,INDEX(_LEITURA!$P$2:$P$21,9),DECKS!$B$2:$B$1201,$A206))</f>
        <v/>
      </c>
      <c r="T206" s="19" t="str">
        <f aca="false">IF(OR($A206="",INDEX(_LEITURA!$Q$2:$Q$21,10)=0),"",SUMIFS(DECKS!$D$2:$D$1201,DECKS!$A$2:$A$1201,INDEX(_LEITURA!$P$2:$P$21,10),DECKS!$B$2:$B$1201,$A206))</f>
        <v/>
      </c>
      <c r="U206" s="19" t="str">
        <f aca="false">IF(OR($A206="",INDEX(_LEITURA!$Q$2:$Q$21,11)=0),"",SUMIFS(DECKS!$D$2:$D$1201,DECKS!$A$2:$A$1201,INDEX(_LEITURA!$P$2:$P$21,11),DECKS!$B$2:$B$1201,$A206))</f>
        <v/>
      </c>
      <c r="V206" s="19" t="str">
        <f aca="false">IF(OR($A206="",INDEX(_LEITURA!$Q$2:$Q$21,12)=0),"",SUMIFS(DECKS!$D$2:$D$1201,DECKS!$A$2:$A$1201,INDEX(_LEITURA!$P$2:$P$21,12),DECKS!$B$2:$B$1201,$A206))</f>
        <v/>
      </c>
      <c r="W206" s="19" t="str">
        <f aca="false">IF(OR($A206="",INDEX(_LEITURA!$Q$2:$Q$21,13)=0),"",SUMIFS(DECKS!$D$2:$D$1201,DECKS!$A$2:$A$1201,INDEX(_LEITURA!$P$2:$P$21,13),DECKS!$B$2:$B$1201,$A206))</f>
        <v/>
      </c>
      <c r="X206" s="19" t="str">
        <f aca="false">IF(OR($A206="",INDEX(_LEITURA!$Q$2:$Q$21,14)=0),"",SUMIFS(DECKS!$D$2:$D$1201,DECKS!$A$2:$A$1201,INDEX(_LEITURA!$P$2:$P$21,14),DECKS!$B$2:$B$1201,$A206))</f>
        <v/>
      </c>
      <c r="Y206" s="19" t="str">
        <f aca="false">IF(OR($A206="",INDEX(_LEITURA!$Q$2:$Q$21,15)=0),"",SUMIFS(DECKS!$D$2:$D$1201,DECKS!$A$2:$A$1201,INDEX(_LEITURA!$P$2:$P$21,15),DECKS!$B$2:$B$1201,$A206))</f>
        <v/>
      </c>
      <c r="Z206" s="19" t="str">
        <f aca="false">IF(OR($A206="",INDEX(_LEITURA!$Q$2:$Q$21,16)=0),"",SUMIFS(DECKS!$D$2:$D$1201,DECKS!$A$2:$A$1201,INDEX(_LEITURA!$P$2:$P$21,16),DECKS!$B$2:$B$1201,$A206))</f>
        <v/>
      </c>
      <c r="AA206" s="19" t="str">
        <f aca="false">IF(OR($A206="",INDEX(_LEITURA!$Q$2:$Q$21,17)=0),"",SUMIFS(DECKS!$D$2:$D$1201,DECKS!$A$2:$A$1201,INDEX(_LEITURA!$P$2:$P$21,17),DECKS!$B$2:$B$1201,$A206))</f>
        <v/>
      </c>
      <c r="AB206" s="19" t="str">
        <f aca="false">IF(OR($A206="",INDEX(_LEITURA!$Q$2:$Q$21,18)=0),"",SUMIFS(DECKS!$D$2:$D$1201,DECKS!$A$2:$A$1201,INDEX(_LEITURA!$P$2:$P$21,18),DECKS!$B$2:$B$1201,$A206))</f>
        <v/>
      </c>
      <c r="AC206" s="19" t="str">
        <f aca="false">IF(OR($A206="",INDEX(_LEITURA!$Q$2:$Q$21,19)=0),"",SUMIFS(DECKS!$D$2:$D$1201,DECKS!$A$2:$A$1201,INDEX(_LEITURA!$P$2:$P$21,19),DECKS!$B$2:$B$1201,$A206))</f>
        <v/>
      </c>
      <c r="AD206" s="19" t="str">
        <f aca="false">IF(OR($A206="",INDEX(_LEITURA!$Q$2:$Q$21,20)=0),"",SUMIFS(DECKS!$D$2:$D$1201,DECKS!$A$2:$A$1201,INDEX(_LEITURA!$P$2:$P$21,20),DECKS!$B$2:$B$1201,$A206))</f>
        <v/>
      </c>
      <c r="AE206" s="16" t="str">
        <f aca="false">IF(N(E206)&gt;0,MAX(AE$1:AE205)+1,"")</f>
        <v/>
      </c>
      <c r="AF206" s="11" t="str">
        <f aca="false">IF(A206="","",IFERROR(LEFT(A206,FIND("-",A206)-1),A206))</f>
        <v/>
      </c>
      <c r="AG206" s="11" t="str">
        <f aca="false">IF(AF206="","",IF(ISNUMBER(--MID(AF206,1,1)),0,IF(ISNUMBER(--MID(AF206,2,1)),1,IF(ISNUMBER(--MID(AF206,3,1)),2,IF(ISNUMBER(--MID(AF206,4,1)),3,MIN(LEN(AF206),4))))))</f>
        <v/>
      </c>
      <c r="AH206" s="11" t="str">
        <f aca="false">IF(A206="","",LEFT(AF206,AG206)&amp;REPT("0",4-AG206)&amp;RIGHT("000"&amp;IFERROR(VALUE(MID(AF206,AG206+1,9)),0),3)&amp;RIGHT("0000"&amp;IFERROR(VALUE(MID(A206,FIND("-",A206)+1,9)),0),4))</f>
        <v/>
      </c>
      <c r="AI206" s="11" t="str">
        <f aca="false">IF(OR(A206="",N(E206)&lt;=0),"",IF('FALTAS GERAL'!$M$1="Código","K"&amp;AH206&amp;RIGHT("00000"&amp;ROW(),5),IF('FALTAS GERAL'!$M$1="Nome","K"&amp;UPPER(SUBSTITUTE(SUBSTITUTE(SUBSTITUTE(B206,"*",""),"?",""),"~",""))&amp;"0"&amp;AH206&amp;RIGHT("00000"&amp;ROW(),5),IF('FALTAS GERAL'!$M$1="Falta (maior primeiro)","K"&amp;RIGHT("0000"&amp;(9999-E206),4)&amp;AH206&amp;RIGHT("00000"&amp;ROW(),5),IF('FALTAS GERAL'!$M$1="Nº de decks (maior primeiro)","K"&amp;RIGHT("00"&amp;(99-N(G206)),2)&amp;AH206&amp;RIGHT("00000"&amp;ROW(),5),"K"&amp;RIGHT("00000"&amp;ROW(),5))))))</f>
        <v/>
      </c>
      <c r="AJ206" s="11" t="str">
        <f aca="false">IF(AI206="","",COUNTIFS($AI$2:$AI$801,"&lt;"&amp;AI206,$E$2:$E$801,"&gt;0")+1)</f>
        <v/>
      </c>
      <c r="AK206" s="11" t="str">
        <f aca="false">IF(OR(A206="",N(E206)&lt;=0),"",COUNTIFS($AH$2:$AH$801,"&lt;"&amp;AH206,$E$2:$E$801,"&gt;0")+COUNTIFS($AH$2:AH206,AH206,$E$2:E206,"&gt;0"))</f>
        <v/>
      </c>
    </row>
    <row r="207" customFormat="false" ht="15" hidden="false" customHeight="false" outlineLevel="0" collapsed="false">
      <c r="A207" s="11" t="str">
        <f aca="false">IF(INVENTÁRIO!A207="","",INVENTÁRIO!A207)</f>
        <v/>
      </c>
      <c r="B207" s="11" t="str">
        <f aca="false">IF(A207="","",INVENTÁRIO!B207)</f>
        <v/>
      </c>
      <c r="C207" s="16" t="str">
        <f aca="false">IF(A207="","",INVENTÁRIO!C207)</f>
        <v/>
      </c>
      <c r="D207" s="14" t="str">
        <f aca="false">IF(A207="","",MAX(K207:AD207))</f>
        <v/>
      </c>
      <c r="E207" s="14" t="str">
        <f aca="false">IF(A207="","",MAX(0,D207-C207))</f>
        <v/>
      </c>
      <c r="F207" s="16" t="str">
        <f aca="false">IF(A207="","",IF(D207=0,"Fora dos decks",IF(E207=0,"Completo","Falta")))</f>
        <v/>
      </c>
      <c r="G207" s="16" t="str">
        <f aca="false">IF(A207="","",COUNTIF(K207:AD207,"&gt;0"))</f>
        <v/>
      </c>
      <c r="H207" s="16" t="str">
        <f aca="false">IF(A207="","",IF(G207&gt;1,"Sim",""))</f>
        <v/>
      </c>
      <c r="I207" s="18" t="str">
        <f aca="false">IF(A207="","",SUMIFS(DECKS!$D$2:$D$1201,DECKS!$B$2:$B$1201,A207))</f>
        <v/>
      </c>
      <c r="J207" s="18" t="str">
        <f aca="false">IF(A207="","",MAX(0,I207-C207))</f>
        <v/>
      </c>
      <c r="K207" s="19" t="str">
        <f aca="false">IF(OR($A207="",INDEX(_LEITURA!$Q$2:$Q$21,1)=0),"",SUMIFS(DECKS!$D$2:$D$1201,DECKS!$A$2:$A$1201,INDEX(_LEITURA!$P$2:$P$21,1),DECKS!$B$2:$B$1201,$A207))</f>
        <v/>
      </c>
      <c r="L207" s="19" t="str">
        <f aca="false">IF(OR($A207="",INDEX(_LEITURA!$Q$2:$Q$21,2)=0),"",SUMIFS(DECKS!$D$2:$D$1201,DECKS!$A$2:$A$1201,INDEX(_LEITURA!$P$2:$P$21,2),DECKS!$B$2:$B$1201,$A207))</f>
        <v/>
      </c>
      <c r="M207" s="19" t="str">
        <f aca="false">IF(OR($A207="",INDEX(_LEITURA!$Q$2:$Q$21,3)=0),"",SUMIFS(DECKS!$D$2:$D$1201,DECKS!$A$2:$A$1201,INDEX(_LEITURA!$P$2:$P$21,3),DECKS!$B$2:$B$1201,$A207))</f>
        <v/>
      </c>
      <c r="N207" s="19" t="str">
        <f aca="false">IF(OR($A207="",INDEX(_LEITURA!$Q$2:$Q$21,4)=0),"",SUMIFS(DECKS!$D$2:$D$1201,DECKS!$A$2:$A$1201,INDEX(_LEITURA!$P$2:$P$21,4),DECKS!$B$2:$B$1201,$A207))</f>
        <v/>
      </c>
      <c r="O207" s="19" t="str">
        <f aca="false">IF(OR($A207="",INDEX(_LEITURA!$Q$2:$Q$21,5)=0),"",SUMIFS(DECKS!$D$2:$D$1201,DECKS!$A$2:$A$1201,INDEX(_LEITURA!$P$2:$P$21,5),DECKS!$B$2:$B$1201,$A207))</f>
        <v/>
      </c>
      <c r="P207" s="19" t="str">
        <f aca="false">IF(OR($A207="",INDEX(_LEITURA!$Q$2:$Q$21,6)=0),"",SUMIFS(DECKS!$D$2:$D$1201,DECKS!$A$2:$A$1201,INDEX(_LEITURA!$P$2:$P$21,6),DECKS!$B$2:$B$1201,$A207))</f>
        <v/>
      </c>
      <c r="Q207" s="19" t="str">
        <f aca="false">IF(OR($A207="",INDEX(_LEITURA!$Q$2:$Q$21,7)=0),"",SUMIFS(DECKS!$D$2:$D$1201,DECKS!$A$2:$A$1201,INDEX(_LEITURA!$P$2:$P$21,7),DECKS!$B$2:$B$1201,$A207))</f>
        <v/>
      </c>
      <c r="R207" s="19" t="str">
        <f aca="false">IF(OR($A207="",INDEX(_LEITURA!$Q$2:$Q$21,8)=0),"",SUMIFS(DECKS!$D$2:$D$1201,DECKS!$A$2:$A$1201,INDEX(_LEITURA!$P$2:$P$21,8),DECKS!$B$2:$B$1201,$A207))</f>
        <v/>
      </c>
      <c r="S207" s="19" t="str">
        <f aca="false">IF(OR($A207="",INDEX(_LEITURA!$Q$2:$Q$21,9)=0),"",SUMIFS(DECKS!$D$2:$D$1201,DECKS!$A$2:$A$1201,INDEX(_LEITURA!$P$2:$P$21,9),DECKS!$B$2:$B$1201,$A207))</f>
        <v/>
      </c>
      <c r="T207" s="19" t="str">
        <f aca="false">IF(OR($A207="",INDEX(_LEITURA!$Q$2:$Q$21,10)=0),"",SUMIFS(DECKS!$D$2:$D$1201,DECKS!$A$2:$A$1201,INDEX(_LEITURA!$P$2:$P$21,10),DECKS!$B$2:$B$1201,$A207))</f>
        <v/>
      </c>
      <c r="U207" s="19" t="str">
        <f aca="false">IF(OR($A207="",INDEX(_LEITURA!$Q$2:$Q$21,11)=0),"",SUMIFS(DECKS!$D$2:$D$1201,DECKS!$A$2:$A$1201,INDEX(_LEITURA!$P$2:$P$21,11),DECKS!$B$2:$B$1201,$A207))</f>
        <v/>
      </c>
      <c r="V207" s="19" t="str">
        <f aca="false">IF(OR($A207="",INDEX(_LEITURA!$Q$2:$Q$21,12)=0),"",SUMIFS(DECKS!$D$2:$D$1201,DECKS!$A$2:$A$1201,INDEX(_LEITURA!$P$2:$P$21,12),DECKS!$B$2:$B$1201,$A207))</f>
        <v/>
      </c>
      <c r="W207" s="19" t="str">
        <f aca="false">IF(OR($A207="",INDEX(_LEITURA!$Q$2:$Q$21,13)=0),"",SUMIFS(DECKS!$D$2:$D$1201,DECKS!$A$2:$A$1201,INDEX(_LEITURA!$P$2:$P$21,13),DECKS!$B$2:$B$1201,$A207))</f>
        <v/>
      </c>
      <c r="X207" s="19" t="str">
        <f aca="false">IF(OR($A207="",INDEX(_LEITURA!$Q$2:$Q$21,14)=0),"",SUMIFS(DECKS!$D$2:$D$1201,DECKS!$A$2:$A$1201,INDEX(_LEITURA!$P$2:$P$21,14),DECKS!$B$2:$B$1201,$A207))</f>
        <v/>
      </c>
      <c r="Y207" s="19" t="str">
        <f aca="false">IF(OR($A207="",INDEX(_LEITURA!$Q$2:$Q$21,15)=0),"",SUMIFS(DECKS!$D$2:$D$1201,DECKS!$A$2:$A$1201,INDEX(_LEITURA!$P$2:$P$21,15),DECKS!$B$2:$B$1201,$A207))</f>
        <v/>
      </c>
      <c r="Z207" s="19" t="str">
        <f aca="false">IF(OR($A207="",INDEX(_LEITURA!$Q$2:$Q$21,16)=0),"",SUMIFS(DECKS!$D$2:$D$1201,DECKS!$A$2:$A$1201,INDEX(_LEITURA!$P$2:$P$21,16),DECKS!$B$2:$B$1201,$A207))</f>
        <v/>
      </c>
      <c r="AA207" s="19" t="str">
        <f aca="false">IF(OR($A207="",INDEX(_LEITURA!$Q$2:$Q$21,17)=0),"",SUMIFS(DECKS!$D$2:$D$1201,DECKS!$A$2:$A$1201,INDEX(_LEITURA!$P$2:$P$21,17),DECKS!$B$2:$B$1201,$A207))</f>
        <v/>
      </c>
      <c r="AB207" s="19" t="str">
        <f aca="false">IF(OR($A207="",INDEX(_LEITURA!$Q$2:$Q$21,18)=0),"",SUMIFS(DECKS!$D$2:$D$1201,DECKS!$A$2:$A$1201,INDEX(_LEITURA!$P$2:$P$21,18),DECKS!$B$2:$B$1201,$A207))</f>
        <v/>
      </c>
      <c r="AC207" s="19" t="str">
        <f aca="false">IF(OR($A207="",INDEX(_LEITURA!$Q$2:$Q$21,19)=0),"",SUMIFS(DECKS!$D$2:$D$1201,DECKS!$A$2:$A$1201,INDEX(_LEITURA!$P$2:$P$21,19),DECKS!$B$2:$B$1201,$A207))</f>
        <v/>
      </c>
      <c r="AD207" s="19" t="str">
        <f aca="false">IF(OR($A207="",INDEX(_LEITURA!$Q$2:$Q$21,20)=0),"",SUMIFS(DECKS!$D$2:$D$1201,DECKS!$A$2:$A$1201,INDEX(_LEITURA!$P$2:$P$21,20),DECKS!$B$2:$B$1201,$A207))</f>
        <v/>
      </c>
      <c r="AE207" s="16" t="str">
        <f aca="false">IF(N(E207)&gt;0,MAX(AE$1:AE206)+1,"")</f>
        <v/>
      </c>
      <c r="AF207" s="11" t="str">
        <f aca="false">IF(A207="","",IFERROR(LEFT(A207,FIND("-",A207)-1),A207))</f>
        <v/>
      </c>
      <c r="AG207" s="11" t="str">
        <f aca="false">IF(AF207="","",IF(ISNUMBER(--MID(AF207,1,1)),0,IF(ISNUMBER(--MID(AF207,2,1)),1,IF(ISNUMBER(--MID(AF207,3,1)),2,IF(ISNUMBER(--MID(AF207,4,1)),3,MIN(LEN(AF207),4))))))</f>
        <v/>
      </c>
      <c r="AH207" s="11" t="str">
        <f aca="false">IF(A207="","",LEFT(AF207,AG207)&amp;REPT("0",4-AG207)&amp;RIGHT("000"&amp;IFERROR(VALUE(MID(AF207,AG207+1,9)),0),3)&amp;RIGHT("0000"&amp;IFERROR(VALUE(MID(A207,FIND("-",A207)+1,9)),0),4))</f>
        <v/>
      </c>
      <c r="AI207" s="11" t="str">
        <f aca="false">IF(OR(A207="",N(E207)&lt;=0),"",IF('FALTAS GERAL'!$M$1="Código","K"&amp;AH207&amp;RIGHT("00000"&amp;ROW(),5),IF('FALTAS GERAL'!$M$1="Nome","K"&amp;UPPER(SUBSTITUTE(SUBSTITUTE(SUBSTITUTE(B207,"*",""),"?",""),"~",""))&amp;"0"&amp;AH207&amp;RIGHT("00000"&amp;ROW(),5),IF('FALTAS GERAL'!$M$1="Falta (maior primeiro)","K"&amp;RIGHT("0000"&amp;(9999-E207),4)&amp;AH207&amp;RIGHT("00000"&amp;ROW(),5),IF('FALTAS GERAL'!$M$1="Nº de decks (maior primeiro)","K"&amp;RIGHT("00"&amp;(99-N(G207)),2)&amp;AH207&amp;RIGHT("00000"&amp;ROW(),5),"K"&amp;RIGHT("00000"&amp;ROW(),5))))))</f>
        <v/>
      </c>
      <c r="AJ207" s="11" t="str">
        <f aca="false">IF(AI207="","",COUNTIFS($AI$2:$AI$801,"&lt;"&amp;AI207,$E$2:$E$801,"&gt;0")+1)</f>
        <v/>
      </c>
      <c r="AK207" s="11" t="str">
        <f aca="false">IF(OR(A207="",N(E207)&lt;=0),"",COUNTIFS($AH$2:$AH$801,"&lt;"&amp;AH207,$E$2:$E$801,"&gt;0")+COUNTIFS($AH$2:AH207,AH207,$E$2:E207,"&gt;0"))</f>
        <v/>
      </c>
    </row>
    <row r="208" customFormat="false" ht="15" hidden="false" customHeight="false" outlineLevel="0" collapsed="false">
      <c r="A208" s="11" t="str">
        <f aca="false">IF(INVENTÁRIO!A208="","",INVENTÁRIO!A208)</f>
        <v/>
      </c>
      <c r="B208" s="11" t="str">
        <f aca="false">IF(A208="","",INVENTÁRIO!B208)</f>
        <v/>
      </c>
      <c r="C208" s="16" t="str">
        <f aca="false">IF(A208="","",INVENTÁRIO!C208)</f>
        <v/>
      </c>
      <c r="D208" s="14" t="str">
        <f aca="false">IF(A208="","",MAX(K208:AD208))</f>
        <v/>
      </c>
      <c r="E208" s="14" t="str">
        <f aca="false">IF(A208="","",MAX(0,D208-C208))</f>
        <v/>
      </c>
      <c r="F208" s="16" t="str">
        <f aca="false">IF(A208="","",IF(D208=0,"Fora dos decks",IF(E208=0,"Completo","Falta")))</f>
        <v/>
      </c>
      <c r="G208" s="16" t="str">
        <f aca="false">IF(A208="","",COUNTIF(K208:AD208,"&gt;0"))</f>
        <v/>
      </c>
      <c r="H208" s="16" t="str">
        <f aca="false">IF(A208="","",IF(G208&gt;1,"Sim",""))</f>
        <v/>
      </c>
      <c r="I208" s="18" t="str">
        <f aca="false">IF(A208="","",SUMIFS(DECKS!$D$2:$D$1201,DECKS!$B$2:$B$1201,A208))</f>
        <v/>
      </c>
      <c r="J208" s="18" t="str">
        <f aca="false">IF(A208="","",MAX(0,I208-C208))</f>
        <v/>
      </c>
      <c r="K208" s="19" t="str">
        <f aca="false">IF(OR($A208="",INDEX(_LEITURA!$Q$2:$Q$21,1)=0),"",SUMIFS(DECKS!$D$2:$D$1201,DECKS!$A$2:$A$1201,INDEX(_LEITURA!$P$2:$P$21,1),DECKS!$B$2:$B$1201,$A208))</f>
        <v/>
      </c>
      <c r="L208" s="19" t="str">
        <f aca="false">IF(OR($A208="",INDEX(_LEITURA!$Q$2:$Q$21,2)=0),"",SUMIFS(DECKS!$D$2:$D$1201,DECKS!$A$2:$A$1201,INDEX(_LEITURA!$P$2:$P$21,2),DECKS!$B$2:$B$1201,$A208))</f>
        <v/>
      </c>
      <c r="M208" s="19" t="str">
        <f aca="false">IF(OR($A208="",INDEX(_LEITURA!$Q$2:$Q$21,3)=0),"",SUMIFS(DECKS!$D$2:$D$1201,DECKS!$A$2:$A$1201,INDEX(_LEITURA!$P$2:$P$21,3),DECKS!$B$2:$B$1201,$A208))</f>
        <v/>
      </c>
      <c r="N208" s="19" t="str">
        <f aca="false">IF(OR($A208="",INDEX(_LEITURA!$Q$2:$Q$21,4)=0),"",SUMIFS(DECKS!$D$2:$D$1201,DECKS!$A$2:$A$1201,INDEX(_LEITURA!$P$2:$P$21,4),DECKS!$B$2:$B$1201,$A208))</f>
        <v/>
      </c>
      <c r="O208" s="19" t="str">
        <f aca="false">IF(OR($A208="",INDEX(_LEITURA!$Q$2:$Q$21,5)=0),"",SUMIFS(DECKS!$D$2:$D$1201,DECKS!$A$2:$A$1201,INDEX(_LEITURA!$P$2:$P$21,5),DECKS!$B$2:$B$1201,$A208))</f>
        <v/>
      </c>
      <c r="P208" s="19" t="str">
        <f aca="false">IF(OR($A208="",INDEX(_LEITURA!$Q$2:$Q$21,6)=0),"",SUMIFS(DECKS!$D$2:$D$1201,DECKS!$A$2:$A$1201,INDEX(_LEITURA!$P$2:$P$21,6),DECKS!$B$2:$B$1201,$A208))</f>
        <v/>
      </c>
      <c r="Q208" s="19" t="str">
        <f aca="false">IF(OR($A208="",INDEX(_LEITURA!$Q$2:$Q$21,7)=0),"",SUMIFS(DECKS!$D$2:$D$1201,DECKS!$A$2:$A$1201,INDEX(_LEITURA!$P$2:$P$21,7),DECKS!$B$2:$B$1201,$A208))</f>
        <v/>
      </c>
      <c r="R208" s="19" t="str">
        <f aca="false">IF(OR($A208="",INDEX(_LEITURA!$Q$2:$Q$21,8)=0),"",SUMIFS(DECKS!$D$2:$D$1201,DECKS!$A$2:$A$1201,INDEX(_LEITURA!$P$2:$P$21,8),DECKS!$B$2:$B$1201,$A208))</f>
        <v/>
      </c>
      <c r="S208" s="19" t="str">
        <f aca="false">IF(OR($A208="",INDEX(_LEITURA!$Q$2:$Q$21,9)=0),"",SUMIFS(DECKS!$D$2:$D$1201,DECKS!$A$2:$A$1201,INDEX(_LEITURA!$P$2:$P$21,9),DECKS!$B$2:$B$1201,$A208))</f>
        <v/>
      </c>
      <c r="T208" s="19" t="str">
        <f aca="false">IF(OR($A208="",INDEX(_LEITURA!$Q$2:$Q$21,10)=0),"",SUMIFS(DECKS!$D$2:$D$1201,DECKS!$A$2:$A$1201,INDEX(_LEITURA!$P$2:$P$21,10),DECKS!$B$2:$B$1201,$A208))</f>
        <v/>
      </c>
      <c r="U208" s="19" t="str">
        <f aca="false">IF(OR($A208="",INDEX(_LEITURA!$Q$2:$Q$21,11)=0),"",SUMIFS(DECKS!$D$2:$D$1201,DECKS!$A$2:$A$1201,INDEX(_LEITURA!$P$2:$P$21,11),DECKS!$B$2:$B$1201,$A208))</f>
        <v/>
      </c>
      <c r="V208" s="19" t="str">
        <f aca="false">IF(OR($A208="",INDEX(_LEITURA!$Q$2:$Q$21,12)=0),"",SUMIFS(DECKS!$D$2:$D$1201,DECKS!$A$2:$A$1201,INDEX(_LEITURA!$P$2:$P$21,12),DECKS!$B$2:$B$1201,$A208))</f>
        <v/>
      </c>
      <c r="W208" s="19" t="str">
        <f aca="false">IF(OR($A208="",INDEX(_LEITURA!$Q$2:$Q$21,13)=0),"",SUMIFS(DECKS!$D$2:$D$1201,DECKS!$A$2:$A$1201,INDEX(_LEITURA!$P$2:$P$21,13),DECKS!$B$2:$B$1201,$A208))</f>
        <v/>
      </c>
      <c r="X208" s="19" t="str">
        <f aca="false">IF(OR($A208="",INDEX(_LEITURA!$Q$2:$Q$21,14)=0),"",SUMIFS(DECKS!$D$2:$D$1201,DECKS!$A$2:$A$1201,INDEX(_LEITURA!$P$2:$P$21,14),DECKS!$B$2:$B$1201,$A208))</f>
        <v/>
      </c>
      <c r="Y208" s="19" t="str">
        <f aca="false">IF(OR($A208="",INDEX(_LEITURA!$Q$2:$Q$21,15)=0),"",SUMIFS(DECKS!$D$2:$D$1201,DECKS!$A$2:$A$1201,INDEX(_LEITURA!$P$2:$P$21,15),DECKS!$B$2:$B$1201,$A208))</f>
        <v/>
      </c>
      <c r="Z208" s="19" t="str">
        <f aca="false">IF(OR($A208="",INDEX(_LEITURA!$Q$2:$Q$21,16)=0),"",SUMIFS(DECKS!$D$2:$D$1201,DECKS!$A$2:$A$1201,INDEX(_LEITURA!$P$2:$P$21,16),DECKS!$B$2:$B$1201,$A208))</f>
        <v/>
      </c>
      <c r="AA208" s="19" t="str">
        <f aca="false">IF(OR($A208="",INDEX(_LEITURA!$Q$2:$Q$21,17)=0),"",SUMIFS(DECKS!$D$2:$D$1201,DECKS!$A$2:$A$1201,INDEX(_LEITURA!$P$2:$P$21,17),DECKS!$B$2:$B$1201,$A208))</f>
        <v/>
      </c>
      <c r="AB208" s="19" t="str">
        <f aca="false">IF(OR($A208="",INDEX(_LEITURA!$Q$2:$Q$21,18)=0),"",SUMIFS(DECKS!$D$2:$D$1201,DECKS!$A$2:$A$1201,INDEX(_LEITURA!$P$2:$P$21,18),DECKS!$B$2:$B$1201,$A208))</f>
        <v/>
      </c>
      <c r="AC208" s="19" t="str">
        <f aca="false">IF(OR($A208="",INDEX(_LEITURA!$Q$2:$Q$21,19)=0),"",SUMIFS(DECKS!$D$2:$D$1201,DECKS!$A$2:$A$1201,INDEX(_LEITURA!$P$2:$P$21,19),DECKS!$B$2:$B$1201,$A208))</f>
        <v/>
      </c>
      <c r="AD208" s="19" t="str">
        <f aca="false">IF(OR($A208="",INDEX(_LEITURA!$Q$2:$Q$21,20)=0),"",SUMIFS(DECKS!$D$2:$D$1201,DECKS!$A$2:$A$1201,INDEX(_LEITURA!$P$2:$P$21,20),DECKS!$B$2:$B$1201,$A208))</f>
        <v/>
      </c>
      <c r="AE208" s="16" t="str">
        <f aca="false">IF(N(E208)&gt;0,MAX(AE$1:AE207)+1,"")</f>
        <v/>
      </c>
      <c r="AF208" s="11" t="str">
        <f aca="false">IF(A208="","",IFERROR(LEFT(A208,FIND("-",A208)-1),A208))</f>
        <v/>
      </c>
      <c r="AG208" s="11" t="str">
        <f aca="false">IF(AF208="","",IF(ISNUMBER(--MID(AF208,1,1)),0,IF(ISNUMBER(--MID(AF208,2,1)),1,IF(ISNUMBER(--MID(AF208,3,1)),2,IF(ISNUMBER(--MID(AF208,4,1)),3,MIN(LEN(AF208),4))))))</f>
        <v/>
      </c>
      <c r="AH208" s="11" t="str">
        <f aca="false">IF(A208="","",LEFT(AF208,AG208)&amp;REPT("0",4-AG208)&amp;RIGHT("000"&amp;IFERROR(VALUE(MID(AF208,AG208+1,9)),0),3)&amp;RIGHT("0000"&amp;IFERROR(VALUE(MID(A208,FIND("-",A208)+1,9)),0),4))</f>
        <v/>
      </c>
      <c r="AI208" s="11" t="str">
        <f aca="false">IF(OR(A208="",N(E208)&lt;=0),"",IF('FALTAS GERAL'!$M$1="Código","K"&amp;AH208&amp;RIGHT("00000"&amp;ROW(),5),IF('FALTAS GERAL'!$M$1="Nome","K"&amp;UPPER(SUBSTITUTE(SUBSTITUTE(SUBSTITUTE(B208,"*",""),"?",""),"~",""))&amp;"0"&amp;AH208&amp;RIGHT("00000"&amp;ROW(),5),IF('FALTAS GERAL'!$M$1="Falta (maior primeiro)","K"&amp;RIGHT("0000"&amp;(9999-E208),4)&amp;AH208&amp;RIGHT("00000"&amp;ROW(),5),IF('FALTAS GERAL'!$M$1="Nº de decks (maior primeiro)","K"&amp;RIGHT("00"&amp;(99-N(G208)),2)&amp;AH208&amp;RIGHT("00000"&amp;ROW(),5),"K"&amp;RIGHT("00000"&amp;ROW(),5))))))</f>
        <v/>
      </c>
      <c r="AJ208" s="11" t="str">
        <f aca="false">IF(AI208="","",COUNTIFS($AI$2:$AI$801,"&lt;"&amp;AI208,$E$2:$E$801,"&gt;0")+1)</f>
        <v/>
      </c>
      <c r="AK208" s="11" t="str">
        <f aca="false">IF(OR(A208="",N(E208)&lt;=0),"",COUNTIFS($AH$2:$AH$801,"&lt;"&amp;AH208,$E$2:$E$801,"&gt;0")+COUNTIFS($AH$2:AH208,AH208,$E$2:E208,"&gt;0"))</f>
        <v/>
      </c>
    </row>
    <row r="209" customFormat="false" ht="15" hidden="false" customHeight="false" outlineLevel="0" collapsed="false">
      <c r="A209" s="11" t="str">
        <f aca="false">IF(INVENTÁRIO!A209="","",INVENTÁRIO!A209)</f>
        <v/>
      </c>
      <c r="B209" s="11" t="str">
        <f aca="false">IF(A209="","",INVENTÁRIO!B209)</f>
        <v/>
      </c>
      <c r="C209" s="16" t="str">
        <f aca="false">IF(A209="","",INVENTÁRIO!C209)</f>
        <v/>
      </c>
      <c r="D209" s="14" t="str">
        <f aca="false">IF(A209="","",MAX(K209:AD209))</f>
        <v/>
      </c>
      <c r="E209" s="14" t="str">
        <f aca="false">IF(A209="","",MAX(0,D209-C209))</f>
        <v/>
      </c>
      <c r="F209" s="16" t="str">
        <f aca="false">IF(A209="","",IF(D209=0,"Fora dos decks",IF(E209=0,"Completo","Falta")))</f>
        <v/>
      </c>
      <c r="G209" s="16" t="str">
        <f aca="false">IF(A209="","",COUNTIF(K209:AD209,"&gt;0"))</f>
        <v/>
      </c>
      <c r="H209" s="16" t="str">
        <f aca="false">IF(A209="","",IF(G209&gt;1,"Sim",""))</f>
        <v/>
      </c>
      <c r="I209" s="18" t="str">
        <f aca="false">IF(A209="","",SUMIFS(DECKS!$D$2:$D$1201,DECKS!$B$2:$B$1201,A209))</f>
        <v/>
      </c>
      <c r="J209" s="18" t="str">
        <f aca="false">IF(A209="","",MAX(0,I209-C209))</f>
        <v/>
      </c>
      <c r="K209" s="19" t="str">
        <f aca="false">IF(OR($A209="",INDEX(_LEITURA!$Q$2:$Q$21,1)=0),"",SUMIFS(DECKS!$D$2:$D$1201,DECKS!$A$2:$A$1201,INDEX(_LEITURA!$P$2:$P$21,1),DECKS!$B$2:$B$1201,$A209))</f>
        <v/>
      </c>
      <c r="L209" s="19" t="str">
        <f aca="false">IF(OR($A209="",INDEX(_LEITURA!$Q$2:$Q$21,2)=0),"",SUMIFS(DECKS!$D$2:$D$1201,DECKS!$A$2:$A$1201,INDEX(_LEITURA!$P$2:$P$21,2),DECKS!$B$2:$B$1201,$A209))</f>
        <v/>
      </c>
      <c r="M209" s="19" t="str">
        <f aca="false">IF(OR($A209="",INDEX(_LEITURA!$Q$2:$Q$21,3)=0),"",SUMIFS(DECKS!$D$2:$D$1201,DECKS!$A$2:$A$1201,INDEX(_LEITURA!$P$2:$P$21,3),DECKS!$B$2:$B$1201,$A209))</f>
        <v/>
      </c>
      <c r="N209" s="19" t="str">
        <f aca="false">IF(OR($A209="",INDEX(_LEITURA!$Q$2:$Q$21,4)=0),"",SUMIFS(DECKS!$D$2:$D$1201,DECKS!$A$2:$A$1201,INDEX(_LEITURA!$P$2:$P$21,4),DECKS!$B$2:$B$1201,$A209))</f>
        <v/>
      </c>
      <c r="O209" s="19" t="str">
        <f aca="false">IF(OR($A209="",INDEX(_LEITURA!$Q$2:$Q$21,5)=0),"",SUMIFS(DECKS!$D$2:$D$1201,DECKS!$A$2:$A$1201,INDEX(_LEITURA!$P$2:$P$21,5),DECKS!$B$2:$B$1201,$A209))</f>
        <v/>
      </c>
      <c r="P209" s="19" t="str">
        <f aca="false">IF(OR($A209="",INDEX(_LEITURA!$Q$2:$Q$21,6)=0),"",SUMIFS(DECKS!$D$2:$D$1201,DECKS!$A$2:$A$1201,INDEX(_LEITURA!$P$2:$P$21,6),DECKS!$B$2:$B$1201,$A209))</f>
        <v/>
      </c>
      <c r="Q209" s="19" t="str">
        <f aca="false">IF(OR($A209="",INDEX(_LEITURA!$Q$2:$Q$21,7)=0),"",SUMIFS(DECKS!$D$2:$D$1201,DECKS!$A$2:$A$1201,INDEX(_LEITURA!$P$2:$P$21,7),DECKS!$B$2:$B$1201,$A209))</f>
        <v/>
      </c>
      <c r="R209" s="19" t="str">
        <f aca="false">IF(OR($A209="",INDEX(_LEITURA!$Q$2:$Q$21,8)=0),"",SUMIFS(DECKS!$D$2:$D$1201,DECKS!$A$2:$A$1201,INDEX(_LEITURA!$P$2:$P$21,8),DECKS!$B$2:$B$1201,$A209))</f>
        <v/>
      </c>
      <c r="S209" s="19" t="str">
        <f aca="false">IF(OR($A209="",INDEX(_LEITURA!$Q$2:$Q$21,9)=0),"",SUMIFS(DECKS!$D$2:$D$1201,DECKS!$A$2:$A$1201,INDEX(_LEITURA!$P$2:$P$21,9),DECKS!$B$2:$B$1201,$A209))</f>
        <v/>
      </c>
      <c r="T209" s="19" t="str">
        <f aca="false">IF(OR($A209="",INDEX(_LEITURA!$Q$2:$Q$21,10)=0),"",SUMIFS(DECKS!$D$2:$D$1201,DECKS!$A$2:$A$1201,INDEX(_LEITURA!$P$2:$P$21,10),DECKS!$B$2:$B$1201,$A209))</f>
        <v/>
      </c>
      <c r="U209" s="19" t="str">
        <f aca="false">IF(OR($A209="",INDEX(_LEITURA!$Q$2:$Q$21,11)=0),"",SUMIFS(DECKS!$D$2:$D$1201,DECKS!$A$2:$A$1201,INDEX(_LEITURA!$P$2:$P$21,11),DECKS!$B$2:$B$1201,$A209))</f>
        <v/>
      </c>
      <c r="V209" s="19" t="str">
        <f aca="false">IF(OR($A209="",INDEX(_LEITURA!$Q$2:$Q$21,12)=0),"",SUMIFS(DECKS!$D$2:$D$1201,DECKS!$A$2:$A$1201,INDEX(_LEITURA!$P$2:$P$21,12),DECKS!$B$2:$B$1201,$A209))</f>
        <v/>
      </c>
      <c r="W209" s="19" t="str">
        <f aca="false">IF(OR($A209="",INDEX(_LEITURA!$Q$2:$Q$21,13)=0),"",SUMIFS(DECKS!$D$2:$D$1201,DECKS!$A$2:$A$1201,INDEX(_LEITURA!$P$2:$P$21,13),DECKS!$B$2:$B$1201,$A209))</f>
        <v/>
      </c>
      <c r="X209" s="19" t="str">
        <f aca="false">IF(OR($A209="",INDEX(_LEITURA!$Q$2:$Q$21,14)=0),"",SUMIFS(DECKS!$D$2:$D$1201,DECKS!$A$2:$A$1201,INDEX(_LEITURA!$P$2:$P$21,14),DECKS!$B$2:$B$1201,$A209))</f>
        <v/>
      </c>
      <c r="Y209" s="19" t="str">
        <f aca="false">IF(OR($A209="",INDEX(_LEITURA!$Q$2:$Q$21,15)=0),"",SUMIFS(DECKS!$D$2:$D$1201,DECKS!$A$2:$A$1201,INDEX(_LEITURA!$P$2:$P$21,15),DECKS!$B$2:$B$1201,$A209))</f>
        <v/>
      </c>
      <c r="Z209" s="19" t="str">
        <f aca="false">IF(OR($A209="",INDEX(_LEITURA!$Q$2:$Q$21,16)=0),"",SUMIFS(DECKS!$D$2:$D$1201,DECKS!$A$2:$A$1201,INDEX(_LEITURA!$P$2:$P$21,16),DECKS!$B$2:$B$1201,$A209))</f>
        <v/>
      </c>
      <c r="AA209" s="19" t="str">
        <f aca="false">IF(OR($A209="",INDEX(_LEITURA!$Q$2:$Q$21,17)=0),"",SUMIFS(DECKS!$D$2:$D$1201,DECKS!$A$2:$A$1201,INDEX(_LEITURA!$P$2:$P$21,17),DECKS!$B$2:$B$1201,$A209))</f>
        <v/>
      </c>
      <c r="AB209" s="19" t="str">
        <f aca="false">IF(OR($A209="",INDEX(_LEITURA!$Q$2:$Q$21,18)=0),"",SUMIFS(DECKS!$D$2:$D$1201,DECKS!$A$2:$A$1201,INDEX(_LEITURA!$P$2:$P$21,18),DECKS!$B$2:$B$1201,$A209))</f>
        <v/>
      </c>
      <c r="AC209" s="19" t="str">
        <f aca="false">IF(OR($A209="",INDEX(_LEITURA!$Q$2:$Q$21,19)=0),"",SUMIFS(DECKS!$D$2:$D$1201,DECKS!$A$2:$A$1201,INDEX(_LEITURA!$P$2:$P$21,19),DECKS!$B$2:$B$1201,$A209))</f>
        <v/>
      </c>
      <c r="AD209" s="19" t="str">
        <f aca="false">IF(OR($A209="",INDEX(_LEITURA!$Q$2:$Q$21,20)=0),"",SUMIFS(DECKS!$D$2:$D$1201,DECKS!$A$2:$A$1201,INDEX(_LEITURA!$P$2:$P$21,20),DECKS!$B$2:$B$1201,$A209))</f>
        <v/>
      </c>
      <c r="AE209" s="16" t="str">
        <f aca="false">IF(N(E209)&gt;0,MAX(AE$1:AE208)+1,"")</f>
        <v/>
      </c>
      <c r="AF209" s="11" t="str">
        <f aca="false">IF(A209="","",IFERROR(LEFT(A209,FIND("-",A209)-1),A209))</f>
        <v/>
      </c>
      <c r="AG209" s="11" t="str">
        <f aca="false">IF(AF209="","",IF(ISNUMBER(--MID(AF209,1,1)),0,IF(ISNUMBER(--MID(AF209,2,1)),1,IF(ISNUMBER(--MID(AF209,3,1)),2,IF(ISNUMBER(--MID(AF209,4,1)),3,MIN(LEN(AF209),4))))))</f>
        <v/>
      </c>
      <c r="AH209" s="11" t="str">
        <f aca="false">IF(A209="","",LEFT(AF209,AG209)&amp;REPT("0",4-AG209)&amp;RIGHT("000"&amp;IFERROR(VALUE(MID(AF209,AG209+1,9)),0),3)&amp;RIGHT("0000"&amp;IFERROR(VALUE(MID(A209,FIND("-",A209)+1,9)),0),4))</f>
        <v/>
      </c>
      <c r="AI209" s="11" t="str">
        <f aca="false">IF(OR(A209="",N(E209)&lt;=0),"",IF('FALTAS GERAL'!$M$1="Código","K"&amp;AH209&amp;RIGHT("00000"&amp;ROW(),5),IF('FALTAS GERAL'!$M$1="Nome","K"&amp;UPPER(SUBSTITUTE(SUBSTITUTE(SUBSTITUTE(B209,"*",""),"?",""),"~",""))&amp;"0"&amp;AH209&amp;RIGHT("00000"&amp;ROW(),5),IF('FALTAS GERAL'!$M$1="Falta (maior primeiro)","K"&amp;RIGHT("0000"&amp;(9999-E209),4)&amp;AH209&amp;RIGHT("00000"&amp;ROW(),5),IF('FALTAS GERAL'!$M$1="Nº de decks (maior primeiro)","K"&amp;RIGHT("00"&amp;(99-N(G209)),2)&amp;AH209&amp;RIGHT("00000"&amp;ROW(),5),"K"&amp;RIGHT("00000"&amp;ROW(),5))))))</f>
        <v/>
      </c>
      <c r="AJ209" s="11" t="str">
        <f aca="false">IF(AI209="","",COUNTIFS($AI$2:$AI$801,"&lt;"&amp;AI209,$E$2:$E$801,"&gt;0")+1)</f>
        <v/>
      </c>
      <c r="AK209" s="11" t="str">
        <f aca="false">IF(OR(A209="",N(E209)&lt;=0),"",COUNTIFS($AH$2:$AH$801,"&lt;"&amp;AH209,$E$2:$E$801,"&gt;0")+COUNTIFS($AH$2:AH209,AH209,$E$2:E209,"&gt;0"))</f>
        <v/>
      </c>
    </row>
    <row r="210" customFormat="false" ht="15" hidden="false" customHeight="false" outlineLevel="0" collapsed="false">
      <c r="A210" s="11" t="str">
        <f aca="false">IF(INVENTÁRIO!A210="","",INVENTÁRIO!A210)</f>
        <v/>
      </c>
      <c r="B210" s="11" t="str">
        <f aca="false">IF(A210="","",INVENTÁRIO!B210)</f>
        <v/>
      </c>
      <c r="C210" s="16" t="str">
        <f aca="false">IF(A210="","",INVENTÁRIO!C210)</f>
        <v/>
      </c>
      <c r="D210" s="14" t="str">
        <f aca="false">IF(A210="","",MAX(K210:AD210))</f>
        <v/>
      </c>
      <c r="E210" s="14" t="str">
        <f aca="false">IF(A210="","",MAX(0,D210-C210))</f>
        <v/>
      </c>
      <c r="F210" s="16" t="str">
        <f aca="false">IF(A210="","",IF(D210=0,"Fora dos decks",IF(E210=0,"Completo","Falta")))</f>
        <v/>
      </c>
      <c r="G210" s="16" t="str">
        <f aca="false">IF(A210="","",COUNTIF(K210:AD210,"&gt;0"))</f>
        <v/>
      </c>
      <c r="H210" s="16" t="str">
        <f aca="false">IF(A210="","",IF(G210&gt;1,"Sim",""))</f>
        <v/>
      </c>
      <c r="I210" s="18" t="str">
        <f aca="false">IF(A210="","",SUMIFS(DECKS!$D$2:$D$1201,DECKS!$B$2:$B$1201,A210))</f>
        <v/>
      </c>
      <c r="J210" s="18" t="str">
        <f aca="false">IF(A210="","",MAX(0,I210-C210))</f>
        <v/>
      </c>
      <c r="K210" s="19" t="str">
        <f aca="false">IF(OR($A210="",INDEX(_LEITURA!$Q$2:$Q$21,1)=0),"",SUMIFS(DECKS!$D$2:$D$1201,DECKS!$A$2:$A$1201,INDEX(_LEITURA!$P$2:$P$21,1),DECKS!$B$2:$B$1201,$A210))</f>
        <v/>
      </c>
      <c r="L210" s="19" t="str">
        <f aca="false">IF(OR($A210="",INDEX(_LEITURA!$Q$2:$Q$21,2)=0),"",SUMIFS(DECKS!$D$2:$D$1201,DECKS!$A$2:$A$1201,INDEX(_LEITURA!$P$2:$P$21,2),DECKS!$B$2:$B$1201,$A210))</f>
        <v/>
      </c>
      <c r="M210" s="19" t="str">
        <f aca="false">IF(OR($A210="",INDEX(_LEITURA!$Q$2:$Q$21,3)=0),"",SUMIFS(DECKS!$D$2:$D$1201,DECKS!$A$2:$A$1201,INDEX(_LEITURA!$P$2:$P$21,3),DECKS!$B$2:$B$1201,$A210))</f>
        <v/>
      </c>
      <c r="N210" s="19" t="str">
        <f aca="false">IF(OR($A210="",INDEX(_LEITURA!$Q$2:$Q$21,4)=0),"",SUMIFS(DECKS!$D$2:$D$1201,DECKS!$A$2:$A$1201,INDEX(_LEITURA!$P$2:$P$21,4),DECKS!$B$2:$B$1201,$A210))</f>
        <v/>
      </c>
      <c r="O210" s="19" t="str">
        <f aca="false">IF(OR($A210="",INDEX(_LEITURA!$Q$2:$Q$21,5)=0),"",SUMIFS(DECKS!$D$2:$D$1201,DECKS!$A$2:$A$1201,INDEX(_LEITURA!$P$2:$P$21,5),DECKS!$B$2:$B$1201,$A210))</f>
        <v/>
      </c>
      <c r="P210" s="19" t="str">
        <f aca="false">IF(OR($A210="",INDEX(_LEITURA!$Q$2:$Q$21,6)=0),"",SUMIFS(DECKS!$D$2:$D$1201,DECKS!$A$2:$A$1201,INDEX(_LEITURA!$P$2:$P$21,6),DECKS!$B$2:$B$1201,$A210))</f>
        <v/>
      </c>
      <c r="Q210" s="19" t="str">
        <f aca="false">IF(OR($A210="",INDEX(_LEITURA!$Q$2:$Q$21,7)=0),"",SUMIFS(DECKS!$D$2:$D$1201,DECKS!$A$2:$A$1201,INDEX(_LEITURA!$P$2:$P$21,7),DECKS!$B$2:$B$1201,$A210))</f>
        <v/>
      </c>
      <c r="R210" s="19" t="str">
        <f aca="false">IF(OR($A210="",INDEX(_LEITURA!$Q$2:$Q$21,8)=0),"",SUMIFS(DECKS!$D$2:$D$1201,DECKS!$A$2:$A$1201,INDEX(_LEITURA!$P$2:$P$21,8),DECKS!$B$2:$B$1201,$A210))</f>
        <v/>
      </c>
      <c r="S210" s="19" t="str">
        <f aca="false">IF(OR($A210="",INDEX(_LEITURA!$Q$2:$Q$21,9)=0),"",SUMIFS(DECKS!$D$2:$D$1201,DECKS!$A$2:$A$1201,INDEX(_LEITURA!$P$2:$P$21,9),DECKS!$B$2:$B$1201,$A210))</f>
        <v/>
      </c>
      <c r="T210" s="19" t="str">
        <f aca="false">IF(OR($A210="",INDEX(_LEITURA!$Q$2:$Q$21,10)=0),"",SUMIFS(DECKS!$D$2:$D$1201,DECKS!$A$2:$A$1201,INDEX(_LEITURA!$P$2:$P$21,10),DECKS!$B$2:$B$1201,$A210))</f>
        <v/>
      </c>
      <c r="U210" s="19" t="str">
        <f aca="false">IF(OR($A210="",INDEX(_LEITURA!$Q$2:$Q$21,11)=0),"",SUMIFS(DECKS!$D$2:$D$1201,DECKS!$A$2:$A$1201,INDEX(_LEITURA!$P$2:$P$21,11),DECKS!$B$2:$B$1201,$A210))</f>
        <v/>
      </c>
      <c r="V210" s="19" t="str">
        <f aca="false">IF(OR($A210="",INDEX(_LEITURA!$Q$2:$Q$21,12)=0),"",SUMIFS(DECKS!$D$2:$D$1201,DECKS!$A$2:$A$1201,INDEX(_LEITURA!$P$2:$P$21,12),DECKS!$B$2:$B$1201,$A210))</f>
        <v/>
      </c>
      <c r="W210" s="19" t="str">
        <f aca="false">IF(OR($A210="",INDEX(_LEITURA!$Q$2:$Q$21,13)=0),"",SUMIFS(DECKS!$D$2:$D$1201,DECKS!$A$2:$A$1201,INDEX(_LEITURA!$P$2:$P$21,13),DECKS!$B$2:$B$1201,$A210))</f>
        <v/>
      </c>
      <c r="X210" s="19" t="str">
        <f aca="false">IF(OR($A210="",INDEX(_LEITURA!$Q$2:$Q$21,14)=0),"",SUMIFS(DECKS!$D$2:$D$1201,DECKS!$A$2:$A$1201,INDEX(_LEITURA!$P$2:$P$21,14),DECKS!$B$2:$B$1201,$A210))</f>
        <v/>
      </c>
      <c r="Y210" s="19" t="str">
        <f aca="false">IF(OR($A210="",INDEX(_LEITURA!$Q$2:$Q$21,15)=0),"",SUMIFS(DECKS!$D$2:$D$1201,DECKS!$A$2:$A$1201,INDEX(_LEITURA!$P$2:$P$21,15),DECKS!$B$2:$B$1201,$A210))</f>
        <v/>
      </c>
      <c r="Z210" s="19" t="str">
        <f aca="false">IF(OR($A210="",INDEX(_LEITURA!$Q$2:$Q$21,16)=0),"",SUMIFS(DECKS!$D$2:$D$1201,DECKS!$A$2:$A$1201,INDEX(_LEITURA!$P$2:$P$21,16),DECKS!$B$2:$B$1201,$A210))</f>
        <v/>
      </c>
      <c r="AA210" s="19" t="str">
        <f aca="false">IF(OR($A210="",INDEX(_LEITURA!$Q$2:$Q$21,17)=0),"",SUMIFS(DECKS!$D$2:$D$1201,DECKS!$A$2:$A$1201,INDEX(_LEITURA!$P$2:$P$21,17),DECKS!$B$2:$B$1201,$A210))</f>
        <v/>
      </c>
      <c r="AB210" s="19" t="str">
        <f aca="false">IF(OR($A210="",INDEX(_LEITURA!$Q$2:$Q$21,18)=0),"",SUMIFS(DECKS!$D$2:$D$1201,DECKS!$A$2:$A$1201,INDEX(_LEITURA!$P$2:$P$21,18),DECKS!$B$2:$B$1201,$A210))</f>
        <v/>
      </c>
      <c r="AC210" s="19" t="str">
        <f aca="false">IF(OR($A210="",INDEX(_LEITURA!$Q$2:$Q$21,19)=0),"",SUMIFS(DECKS!$D$2:$D$1201,DECKS!$A$2:$A$1201,INDEX(_LEITURA!$P$2:$P$21,19),DECKS!$B$2:$B$1201,$A210))</f>
        <v/>
      </c>
      <c r="AD210" s="19" t="str">
        <f aca="false">IF(OR($A210="",INDEX(_LEITURA!$Q$2:$Q$21,20)=0),"",SUMIFS(DECKS!$D$2:$D$1201,DECKS!$A$2:$A$1201,INDEX(_LEITURA!$P$2:$P$21,20),DECKS!$B$2:$B$1201,$A210))</f>
        <v/>
      </c>
      <c r="AE210" s="16" t="str">
        <f aca="false">IF(N(E210)&gt;0,MAX(AE$1:AE209)+1,"")</f>
        <v/>
      </c>
      <c r="AF210" s="11" t="str">
        <f aca="false">IF(A210="","",IFERROR(LEFT(A210,FIND("-",A210)-1),A210))</f>
        <v/>
      </c>
      <c r="AG210" s="11" t="str">
        <f aca="false">IF(AF210="","",IF(ISNUMBER(--MID(AF210,1,1)),0,IF(ISNUMBER(--MID(AF210,2,1)),1,IF(ISNUMBER(--MID(AF210,3,1)),2,IF(ISNUMBER(--MID(AF210,4,1)),3,MIN(LEN(AF210),4))))))</f>
        <v/>
      </c>
      <c r="AH210" s="11" t="str">
        <f aca="false">IF(A210="","",LEFT(AF210,AG210)&amp;REPT("0",4-AG210)&amp;RIGHT("000"&amp;IFERROR(VALUE(MID(AF210,AG210+1,9)),0),3)&amp;RIGHT("0000"&amp;IFERROR(VALUE(MID(A210,FIND("-",A210)+1,9)),0),4))</f>
        <v/>
      </c>
      <c r="AI210" s="11" t="str">
        <f aca="false">IF(OR(A210="",N(E210)&lt;=0),"",IF('FALTAS GERAL'!$M$1="Código","K"&amp;AH210&amp;RIGHT("00000"&amp;ROW(),5),IF('FALTAS GERAL'!$M$1="Nome","K"&amp;UPPER(SUBSTITUTE(SUBSTITUTE(SUBSTITUTE(B210,"*",""),"?",""),"~",""))&amp;"0"&amp;AH210&amp;RIGHT("00000"&amp;ROW(),5),IF('FALTAS GERAL'!$M$1="Falta (maior primeiro)","K"&amp;RIGHT("0000"&amp;(9999-E210),4)&amp;AH210&amp;RIGHT("00000"&amp;ROW(),5),IF('FALTAS GERAL'!$M$1="Nº de decks (maior primeiro)","K"&amp;RIGHT("00"&amp;(99-N(G210)),2)&amp;AH210&amp;RIGHT("00000"&amp;ROW(),5),"K"&amp;RIGHT("00000"&amp;ROW(),5))))))</f>
        <v/>
      </c>
      <c r="AJ210" s="11" t="str">
        <f aca="false">IF(AI210="","",COUNTIFS($AI$2:$AI$801,"&lt;"&amp;AI210,$E$2:$E$801,"&gt;0")+1)</f>
        <v/>
      </c>
      <c r="AK210" s="11" t="str">
        <f aca="false">IF(OR(A210="",N(E210)&lt;=0),"",COUNTIFS($AH$2:$AH$801,"&lt;"&amp;AH210,$E$2:$E$801,"&gt;0")+COUNTIFS($AH$2:AH210,AH210,$E$2:E210,"&gt;0"))</f>
        <v/>
      </c>
    </row>
    <row r="211" customFormat="false" ht="15" hidden="false" customHeight="false" outlineLevel="0" collapsed="false">
      <c r="A211" s="11" t="str">
        <f aca="false">IF(INVENTÁRIO!A211="","",INVENTÁRIO!A211)</f>
        <v/>
      </c>
      <c r="B211" s="11" t="str">
        <f aca="false">IF(A211="","",INVENTÁRIO!B211)</f>
        <v/>
      </c>
      <c r="C211" s="16" t="str">
        <f aca="false">IF(A211="","",INVENTÁRIO!C211)</f>
        <v/>
      </c>
      <c r="D211" s="14" t="str">
        <f aca="false">IF(A211="","",MAX(K211:AD211))</f>
        <v/>
      </c>
      <c r="E211" s="14" t="str">
        <f aca="false">IF(A211="","",MAX(0,D211-C211))</f>
        <v/>
      </c>
      <c r="F211" s="16" t="str">
        <f aca="false">IF(A211="","",IF(D211=0,"Fora dos decks",IF(E211=0,"Completo","Falta")))</f>
        <v/>
      </c>
      <c r="G211" s="16" t="str">
        <f aca="false">IF(A211="","",COUNTIF(K211:AD211,"&gt;0"))</f>
        <v/>
      </c>
      <c r="H211" s="16" t="str">
        <f aca="false">IF(A211="","",IF(G211&gt;1,"Sim",""))</f>
        <v/>
      </c>
      <c r="I211" s="18" t="str">
        <f aca="false">IF(A211="","",SUMIFS(DECKS!$D$2:$D$1201,DECKS!$B$2:$B$1201,A211))</f>
        <v/>
      </c>
      <c r="J211" s="18" t="str">
        <f aca="false">IF(A211="","",MAX(0,I211-C211))</f>
        <v/>
      </c>
      <c r="K211" s="19" t="str">
        <f aca="false">IF(OR($A211="",INDEX(_LEITURA!$Q$2:$Q$21,1)=0),"",SUMIFS(DECKS!$D$2:$D$1201,DECKS!$A$2:$A$1201,INDEX(_LEITURA!$P$2:$P$21,1),DECKS!$B$2:$B$1201,$A211))</f>
        <v/>
      </c>
      <c r="L211" s="19" t="str">
        <f aca="false">IF(OR($A211="",INDEX(_LEITURA!$Q$2:$Q$21,2)=0),"",SUMIFS(DECKS!$D$2:$D$1201,DECKS!$A$2:$A$1201,INDEX(_LEITURA!$P$2:$P$21,2),DECKS!$B$2:$B$1201,$A211))</f>
        <v/>
      </c>
      <c r="M211" s="19" t="str">
        <f aca="false">IF(OR($A211="",INDEX(_LEITURA!$Q$2:$Q$21,3)=0),"",SUMIFS(DECKS!$D$2:$D$1201,DECKS!$A$2:$A$1201,INDEX(_LEITURA!$P$2:$P$21,3),DECKS!$B$2:$B$1201,$A211))</f>
        <v/>
      </c>
      <c r="N211" s="19" t="str">
        <f aca="false">IF(OR($A211="",INDEX(_LEITURA!$Q$2:$Q$21,4)=0),"",SUMIFS(DECKS!$D$2:$D$1201,DECKS!$A$2:$A$1201,INDEX(_LEITURA!$P$2:$P$21,4),DECKS!$B$2:$B$1201,$A211))</f>
        <v/>
      </c>
      <c r="O211" s="19" t="str">
        <f aca="false">IF(OR($A211="",INDEX(_LEITURA!$Q$2:$Q$21,5)=0),"",SUMIFS(DECKS!$D$2:$D$1201,DECKS!$A$2:$A$1201,INDEX(_LEITURA!$P$2:$P$21,5),DECKS!$B$2:$B$1201,$A211))</f>
        <v/>
      </c>
      <c r="P211" s="19" t="str">
        <f aca="false">IF(OR($A211="",INDEX(_LEITURA!$Q$2:$Q$21,6)=0),"",SUMIFS(DECKS!$D$2:$D$1201,DECKS!$A$2:$A$1201,INDEX(_LEITURA!$P$2:$P$21,6),DECKS!$B$2:$B$1201,$A211))</f>
        <v/>
      </c>
      <c r="Q211" s="19" t="str">
        <f aca="false">IF(OR($A211="",INDEX(_LEITURA!$Q$2:$Q$21,7)=0),"",SUMIFS(DECKS!$D$2:$D$1201,DECKS!$A$2:$A$1201,INDEX(_LEITURA!$P$2:$P$21,7),DECKS!$B$2:$B$1201,$A211))</f>
        <v/>
      </c>
      <c r="R211" s="19" t="str">
        <f aca="false">IF(OR($A211="",INDEX(_LEITURA!$Q$2:$Q$21,8)=0),"",SUMIFS(DECKS!$D$2:$D$1201,DECKS!$A$2:$A$1201,INDEX(_LEITURA!$P$2:$P$21,8),DECKS!$B$2:$B$1201,$A211))</f>
        <v/>
      </c>
      <c r="S211" s="19" t="str">
        <f aca="false">IF(OR($A211="",INDEX(_LEITURA!$Q$2:$Q$21,9)=0),"",SUMIFS(DECKS!$D$2:$D$1201,DECKS!$A$2:$A$1201,INDEX(_LEITURA!$P$2:$P$21,9),DECKS!$B$2:$B$1201,$A211))</f>
        <v/>
      </c>
      <c r="T211" s="19" t="str">
        <f aca="false">IF(OR($A211="",INDEX(_LEITURA!$Q$2:$Q$21,10)=0),"",SUMIFS(DECKS!$D$2:$D$1201,DECKS!$A$2:$A$1201,INDEX(_LEITURA!$P$2:$P$21,10),DECKS!$B$2:$B$1201,$A211))</f>
        <v/>
      </c>
      <c r="U211" s="19" t="str">
        <f aca="false">IF(OR($A211="",INDEX(_LEITURA!$Q$2:$Q$21,11)=0),"",SUMIFS(DECKS!$D$2:$D$1201,DECKS!$A$2:$A$1201,INDEX(_LEITURA!$P$2:$P$21,11),DECKS!$B$2:$B$1201,$A211))</f>
        <v/>
      </c>
      <c r="V211" s="19" t="str">
        <f aca="false">IF(OR($A211="",INDEX(_LEITURA!$Q$2:$Q$21,12)=0),"",SUMIFS(DECKS!$D$2:$D$1201,DECKS!$A$2:$A$1201,INDEX(_LEITURA!$P$2:$P$21,12),DECKS!$B$2:$B$1201,$A211))</f>
        <v/>
      </c>
      <c r="W211" s="19" t="str">
        <f aca="false">IF(OR($A211="",INDEX(_LEITURA!$Q$2:$Q$21,13)=0),"",SUMIFS(DECKS!$D$2:$D$1201,DECKS!$A$2:$A$1201,INDEX(_LEITURA!$P$2:$P$21,13),DECKS!$B$2:$B$1201,$A211))</f>
        <v/>
      </c>
      <c r="X211" s="19" t="str">
        <f aca="false">IF(OR($A211="",INDEX(_LEITURA!$Q$2:$Q$21,14)=0),"",SUMIFS(DECKS!$D$2:$D$1201,DECKS!$A$2:$A$1201,INDEX(_LEITURA!$P$2:$P$21,14),DECKS!$B$2:$B$1201,$A211))</f>
        <v/>
      </c>
      <c r="Y211" s="19" t="str">
        <f aca="false">IF(OR($A211="",INDEX(_LEITURA!$Q$2:$Q$21,15)=0),"",SUMIFS(DECKS!$D$2:$D$1201,DECKS!$A$2:$A$1201,INDEX(_LEITURA!$P$2:$P$21,15),DECKS!$B$2:$B$1201,$A211))</f>
        <v/>
      </c>
      <c r="Z211" s="19" t="str">
        <f aca="false">IF(OR($A211="",INDEX(_LEITURA!$Q$2:$Q$21,16)=0),"",SUMIFS(DECKS!$D$2:$D$1201,DECKS!$A$2:$A$1201,INDEX(_LEITURA!$P$2:$P$21,16),DECKS!$B$2:$B$1201,$A211))</f>
        <v/>
      </c>
      <c r="AA211" s="19" t="str">
        <f aca="false">IF(OR($A211="",INDEX(_LEITURA!$Q$2:$Q$21,17)=0),"",SUMIFS(DECKS!$D$2:$D$1201,DECKS!$A$2:$A$1201,INDEX(_LEITURA!$P$2:$P$21,17),DECKS!$B$2:$B$1201,$A211))</f>
        <v/>
      </c>
      <c r="AB211" s="19" t="str">
        <f aca="false">IF(OR($A211="",INDEX(_LEITURA!$Q$2:$Q$21,18)=0),"",SUMIFS(DECKS!$D$2:$D$1201,DECKS!$A$2:$A$1201,INDEX(_LEITURA!$P$2:$P$21,18),DECKS!$B$2:$B$1201,$A211))</f>
        <v/>
      </c>
      <c r="AC211" s="19" t="str">
        <f aca="false">IF(OR($A211="",INDEX(_LEITURA!$Q$2:$Q$21,19)=0),"",SUMIFS(DECKS!$D$2:$D$1201,DECKS!$A$2:$A$1201,INDEX(_LEITURA!$P$2:$P$21,19),DECKS!$B$2:$B$1201,$A211))</f>
        <v/>
      </c>
      <c r="AD211" s="19" t="str">
        <f aca="false">IF(OR($A211="",INDEX(_LEITURA!$Q$2:$Q$21,20)=0),"",SUMIFS(DECKS!$D$2:$D$1201,DECKS!$A$2:$A$1201,INDEX(_LEITURA!$P$2:$P$21,20),DECKS!$B$2:$B$1201,$A211))</f>
        <v/>
      </c>
      <c r="AE211" s="16" t="str">
        <f aca="false">IF(N(E211)&gt;0,MAX(AE$1:AE210)+1,"")</f>
        <v/>
      </c>
      <c r="AF211" s="11" t="str">
        <f aca="false">IF(A211="","",IFERROR(LEFT(A211,FIND("-",A211)-1),A211))</f>
        <v/>
      </c>
      <c r="AG211" s="11" t="str">
        <f aca="false">IF(AF211="","",IF(ISNUMBER(--MID(AF211,1,1)),0,IF(ISNUMBER(--MID(AF211,2,1)),1,IF(ISNUMBER(--MID(AF211,3,1)),2,IF(ISNUMBER(--MID(AF211,4,1)),3,MIN(LEN(AF211),4))))))</f>
        <v/>
      </c>
      <c r="AH211" s="11" t="str">
        <f aca="false">IF(A211="","",LEFT(AF211,AG211)&amp;REPT("0",4-AG211)&amp;RIGHT("000"&amp;IFERROR(VALUE(MID(AF211,AG211+1,9)),0),3)&amp;RIGHT("0000"&amp;IFERROR(VALUE(MID(A211,FIND("-",A211)+1,9)),0),4))</f>
        <v/>
      </c>
      <c r="AI211" s="11" t="str">
        <f aca="false">IF(OR(A211="",N(E211)&lt;=0),"",IF('FALTAS GERAL'!$M$1="Código","K"&amp;AH211&amp;RIGHT("00000"&amp;ROW(),5),IF('FALTAS GERAL'!$M$1="Nome","K"&amp;UPPER(SUBSTITUTE(SUBSTITUTE(SUBSTITUTE(B211,"*",""),"?",""),"~",""))&amp;"0"&amp;AH211&amp;RIGHT("00000"&amp;ROW(),5),IF('FALTAS GERAL'!$M$1="Falta (maior primeiro)","K"&amp;RIGHT("0000"&amp;(9999-E211),4)&amp;AH211&amp;RIGHT("00000"&amp;ROW(),5),IF('FALTAS GERAL'!$M$1="Nº de decks (maior primeiro)","K"&amp;RIGHT("00"&amp;(99-N(G211)),2)&amp;AH211&amp;RIGHT("00000"&amp;ROW(),5),"K"&amp;RIGHT("00000"&amp;ROW(),5))))))</f>
        <v/>
      </c>
      <c r="AJ211" s="11" t="str">
        <f aca="false">IF(AI211="","",COUNTIFS($AI$2:$AI$801,"&lt;"&amp;AI211,$E$2:$E$801,"&gt;0")+1)</f>
        <v/>
      </c>
      <c r="AK211" s="11" t="str">
        <f aca="false">IF(OR(A211="",N(E211)&lt;=0),"",COUNTIFS($AH$2:$AH$801,"&lt;"&amp;AH211,$E$2:$E$801,"&gt;0")+COUNTIFS($AH$2:AH211,AH211,$E$2:E211,"&gt;0"))</f>
        <v/>
      </c>
    </row>
    <row r="212" customFormat="false" ht="15" hidden="false" customHeight="false" outlineLevel="0" collapsed="false">
      <c r="A212" s="11" t="str">
        <f aca="false">IF(INVENTÁRIO!A212="","",INVENTÁRIO!A212)</f>
        <v/>
      </c>
      <c r="B212" s="11" t="str">
        <f aca="false">IF(A212="","",INVENTÁRIO!B212)</f>
        <v/>
      </c>
      <c r="C212" s="16" t="str">
        <f aca="false">IF(A212="","",INVENTÁRIO!C212)</f>
        <v/>
      </c>
      <c r="D212" s="14" t="str">
        <f aca="false">IF(A212="","",MAX(K212:AD212))</f>
        <v/>
      </c>
      <c r="E212" s="14" t="str">
        <f aca="false">IF(A212="","",MAX(0,D212-C212))</f>
        <v/>
      </c>
      <c r="F212" s="16" t="str">
        <f aca="false">IF(A212="","",IF(D212=0,"Fora dos decks",IF(E212=0,"Completo","Falta")))</f>
        <v/>
      </c>
      <c r="G212" s="16" t="str">
        <f aca="false">IF(A212="","",COUNTIF(K212:AD212,"&gt;0"))</f>
        <v/>
      </c>
      <c r="H212" s="16" t="str">
        <f aca="false">IF(A212="","",IF(G212&gt;1,"Sim",""))</f>
        <v/>
      </c>
      <c r="I212" s="18" t="str">
        <f aca="false">IF(A212="","",SUMIFS(DECKS!$D$2:$D$1201,DECKS!$B$2:$B$1201,A212))</f>
        <v/>
      </c>
      <c r="J212" s="18" t="str">
        <f aca="false">IF(A212="","",MAX(0,I212-C212))</f>
        <v/>
      </c>
      <c r="K212" s="19" t="str">
        <f aca="false">IF(OR($A212="",INDEX(_LEITURA!$Q$2:$Q$21,1)=0),"",SUMIFS(DECKS!$D$2:$D$1201,DECKS!$A$2:$A$1201,INDEX(_LEITURA!$P$2:$P$21,1),DECKS!$B$2:$B$1201,$A212))</f>
        <v/>
      </c>
      <c r="L212" s="19" t="str">
        <f aca="false">IF(OR($A212="",INDEX(_LEITURA!$Q$2:$Q$21,2)=0),"",SUMIFS(DECKS!$D$2:$D$1201,DECKS!$A$2:$A$1201,INDEX(_LEITURA!$P$2:$P$21,2),DECKS!$B$2:$B$1201,$A212))</f>
        <v/>
      </c>
      <c r="M212" s="19" t="str">
        <f aca="false">IF(OR($A212="",INDEX(_LEITURA!$Q$2:$Q$21,3)=0),"",SUMIFS(DECKS!$D$2:$D$1201,DECKS!$A$2:$A$1201,INDEX(_LEITURA!$P$2:$P$21,3),DECKS!$B$2:$B$1201,$A212))</f>
        <v/>
      </c>
      <c r="N212" s="19" t="str">
        <f aca="false">IF(OR($A212="",INDEX(_LEITURA!$Q$2:$Q$21,4)=0),"",SUMIFS(DECKS!$D$2:$D$1201,DECKS!$A$2:$A$1201,INDEX(_LEITURA!$P$2:$P$21,4),DECKS!$B$2:$B$1201,$A212))</f>
        <v/>
      </c>
      <c r="O212" s="19" t="str">
        <f aca="false">IF(OR($A212="",INDEX(_LEITURA!$Q$2:$Q$21,5)=0),"",SUMIFS(DECKS!$D$2:$D$1201,DECKS!$A$2:$A$1201,INDEX(_LEITURA!$P$2:$P$21,5),DECKS!$B$2:$B$1201,$A212))</f>
        <v/>
      </c>
      <c r="P212" s="19" t="str">
        <f aca="false">IF(OR($A212="",INDEX(_LEITURA!$Q$2:$Q$21,6)=0),"",SUMIFS(DECKS!$D$2:$D$1201,DECKS!$A$2:$A$1201,INDEX(_LEITURA!$P$2:$P$21,6),DECKS!$B$2:$B$1201,$A212))</f>
        <v/>
      </c>
      <c r="Q212" s="19" t="str">
        <f aca="false">IF(OR($A212="",INDEX(_LEITURA!$Q$2:$Q$21,7)=0),"",SUMIFS(DECKS!$D$2:$D$1201,DECKS!$A$2:$A$1201,INDEX(_LEITURA!$P$2:$P$21,7),DECKS!$B$2:$B$1201,$A212))</f>
        <v/>
      </c>
      <c r="R212" s="19" t="str">
        <f aca="false">IF(OR($A212="",INDEX(_LEITURA!$Q$2:$Q$21,8)=0),"",SUMIFS(DECKS!$D$2:$D$1201,DECKS!$A$2:$A$1201,INDEX(_LEITURA!$P$2:$P$21,8),DECKS!$B$2:$B$1201,$A212))</f>
        <v/>
      </c>
      <c r="S212" s="19" t="str">
        <f aca="false">IF(OR($A212="",INDEX(_LEITURA!$Q$2:$Q$21,9)=0),"",SUMIFS(DECKS!$D$2:$D$1201,DECKS!$A$2:$A$1201,INDEX(_LEITURA!$P$2:$P$21,9),DECKS!$B$2:$B$1201,$A212))</f>
        <v/>
      </c>
      <c r="T212" s="19" t="str">
        <f aca="false">IF(OR($A212="",INDEX(_LEITURA!$Q$2:$Q$21,10)=0),"",SUMIFS(DECKS!$D$2:$D$1201,DECKS!$A$2:$A$1201,INDEX(_LEITURA!$P$2:$P$21,10),DECKS!$B$2:$B$1201,$A212))</f>
        <v/>
      </c>
      <c r="U212" s="19" t="str">
        <f aca="false">IF(OR($A212="",INDEX(_LEITURA!$Q$2:$Q$21,11)=0),"",SUMIFS(DECKS!$D$2:$D$1201,DECKS!$A$2:$A$1201,INDEX(_LEITURA!$P$2:$P$21,11),DECKS!$B$2:$B$1201,$A212))</f>
        <v/>
      </c>
      <c r="V212" s="19" t="str">
        <f aca="false">IF(OR($A212="",INDEX(_LEITURA!$Q$2:$Q$21,12)=0),"",SUMIFS(DECKS!$D$2:$D$1201,DECKS!$A$2:$A$1201,INDEX(_LEITURA!$P$2:$P$21,12),DECKS!$B$2:$B$1201,$A212))</f>
        <v/>
      </c>
      <c r="W212" s="19" t="str">
        <f aca="false">IF(OR($A212="",INDEX(_LEITURA!$Q$2:$Q$21,13)=0),"",SUMIFS(DECKS!$D$2:$D$1201,DECKS!$A$2:$A$1201,INDEX(_LEITURA!$P$2:$P$21,13),DECKS!$B$2:$B$1201,$A212))</f>
        <v/>
      </c>
      <c r="X212" s="19" t="str">
        <f aca="false">IF(OR($A212="",INDEX(_LEITURA!$Q$2:$Q$21,14)=0),"",SUMIFS(DECKS!$D$2:$D$1201,DECKS!$A$2:$A$1201,INDEX(_LEITURA!$P$2:$P$21,14),DECKS!$B$2:$B$1201,$A212))</f>
        <v/>
      </c>
      <c r="Y212" s="19" t="str">
        <f aca="false">IF(OR($A212="",INDEX(_LEITURA!$Q$2:$Q$21,15)=0),"",SUMIFS(DECKS!$D$2:$D$1201,DECKS!$A$2:$A$1201,INDEX(_LEITURA!$P$2:$P$21,15),DECKS!$B$2:$B$1201,$A212))</f>
        <v/>
      </c>
      <c r="Z212" s="19" t="str">
        <f aca="false">IF(OR($A212="",INDEX(_LEITURA!$Q$2:$Q$21,16)=0),"",SUMIFS(DECKS!$D$2:$D$1201,DECKS!$A$2:$A$1201,INDEX(_LEITURA!$P$2:$P$21,16),DECKS!$B$2:$B$1201,$A212))</f>
        <v/>
      </c>
      <c r="AA212" s="19" t="str">
        <f aca="false">IF(OR($A212="",INDEX(_LEITURA!$Q$2:$Q$21,17)=0),"",SUMIFS(DECKS!$D$2:$D$1201,DECKS!$A$2:$A$1201,INDEX(_LEITURA!$P$2:$P$21,17),DECKS!$B$2:$B$1201,$A212))</f>
        <v/>
      </c>
      <c r="AB212" s="19" t="str">
        <f aca="false">IF(OR($A212="",INDEX(_LEITURA!$Q$2:$Q$21,18)=0),"",SUMIFS(DECKS!$D$2:$D$1201,DECKS!$A$2:$A$1201,INDEX(_LEITURA!$P$2:$P$21,18),DECKS!$B$2:$B$1201,$A212))</f>
        <v/>
      </c>
      <c r="AC212" s="19" t="str">
        <f aca="false">IF(OR($A212="",INDEX(_LEITURA!$Q$2:$Q$21,19)=0),"",SUMIFS(DECKS!$D$2:$D$1201,DECKS!$A$2:$A$1201,INDEX(_LEITURA!$P$2:$P$21,19),DECKS!$B$2:$B$1201,$A212))</f>
        <v/>
      </c>
      <c r="AD212" s="19" t="str">
        <f aca="false">IF(OR($A212="",INDEX(_LEITURA!$Q$2:$Q$21,20)=0),"",SUMIFS(DECKS!$D$2:$D$1201,DECKS!$A$2:$A$1201,INDEX(_LEITURA!$P$2:$P$21,20),DECKS!$B$2:$B$1201,$A212))</f>
        <v/>
      </c>
      <c r="AE212" s="16" t="str">
        <f aca="false">IF(N(E212)&gt;0,MAX(AE$1:AE211)+1,"")</f>
        <v/>
      </c>
      <c r="AF212" s="11" t="str">
        <f aca="false">IF(A212="","",IFERROR(LEFT(A212,FIND("-",A212)-1),A212))</f>
        <v/>
      </c>
      <c r="AG212" s="11" t="str">
        <f aca="false">IF(AF212="","",IF(ISNUMBER(--MID(AF212,1,1)),0,IF(ISNUMBER(--MID(AF212,2,1)),1,IF(ISNUMBER(--MID(AF212,3,1)),2,IF(ISNUMBER(--MID(AF212,4,1)),3,MIN(LEN(AF212),4))))))</f>
        <v/>
      </c>
      <c r="AH212" s="11" t="str">
        <f aca="false">IF(A212="","",LEFT(AF212,AG212)&amp;REPT("0",4-AG212)&amp;RIGHT("000"&amp;IFERROR(VALUE(MID(AF212,AG212+1,9)),0),3)&amp;RIGHT("0000"&amp;IFERROR(VALUE(MID(A212,FIND("-",A212)+1,9)),0),4))</f>
        <v/>
      </c>
      <c r="AI212" s="11" t="str">
        <f aca="false">IF(OR(A212="",N(E212)&lt;=0),"",IF('FALTAS GERAL'!$M$1="Código","K"&amp;AH212&amp;RIGHT("00000"&amp;ROW(),5),IF('FALTAS GERAL'!$M$1="Nome","K"&amp;UPPER(SUBSTITUTE(SUBSTITUTE(SUBSTITUTE(B212,"*",""),"?",""),"~",""))&amp;"0"&amp;AH212&amp;RIGHT("00000"&amp;ROW(),5),IF('FALTAS GERAL'!$M$1="Falta (maior primeiro)","K"&amp;RIGHT("0000"&amp;(9999-E212),4)&amp;AH212&amp;RIGHT("00000"&amp;ROW(),5),IF('FALTAS GERAL'!$M$1="Nº de decks (maior primeiro)","K"&amp;RIGHT("00"&amp;(99-N(G212)),2)&amp;AH212&amp;RIGHT("00000"&amp;ROW(),5),"K"&amp;RIGHT("00000"&amp;ROW(),5))))))</f>
        <v/>
      </c>
      <c r="AJ212" s="11" t="str">
        <f aca="false">IF(AI212="","",COUNTIFS($AI$2:$AI$801,"&lt;"&amp;AI212,$E$2:$E$801,"&gt;0")+1)</f>
        <v/>
      </c>
      <c r="AK212" s="11" t="str">
        <f aca="false">IF(OR(A212="",N(E212)&lt;=0),"",COUNTIFS($AH$2:$AH$801,"&lt;"&amp;AH212,$E$2:$E$801,"&gt;0")+COUNTIFS($AH$2:AH212,AH212,$E$2:E212,"&gt;0"))</f>
        <v/>
      </c>
    </row>
    <row r="213" customFormat="false" ht="15" hidden="false" customHeight="false" outlineLevel="0" collapsed="false">
      <c r="A213" s="11" t="str">
        <f aca="false">IF(INVENTÁRIO!A213="","",INVENTÁRIO!A213)</f>
        <v/>
      </c>
      <c r="B213" s="11" t="str">
        <f aca="false">IF(A213="","",INVENTÁRIO!B213)</f>
        <v/>
      </c>
      <c r="C213" s="16" t="str">
        <f aca="false">IF(A213="","",INVENTÁRIO!C213)</f>
        <v/>
      </c>
      <c r="D213" s="14" t="str">
        <f aca="false">IF(A213="","",MAX(K213:AD213))</f>
        <v/>
      </c>
      <c r="E213" s="14" t="str">
        <f aca="false">IF(A213="","",MAX(0,D213-C213))</f>
        <v/>
      </c>
      <c r="F213" s="16" t="str">
        <f aca="false">IF(A213="","",IF(D213=0,"Fora dos decks",IF(E213=0,"Completo","Falta")))</f>
        <v/>
      </c>
      <c r="G213" s="16" t="str">
        <f aca="false">IF(A213="","",COUNTIF(K213:AD213,"&gt;0"))</f>
        <v/>
      </c>
      <c r="H213" s="16" t="str">
        <f aca="false">IF(A213="","",IF(G213&gt;1,"Sim",""))</f>
        <v/>
      </c>
      <c r="I213" s="18" t="str">
        <f aca="false">IF(A213="","",SUMIFS(DECKS!$D$2:$D$1201,DECKS!$B$2:$B$1201,A213))</f>
        <v/>
      </c>
      <c r="J213" s="18" t="str">
        <f aca="false">IF(A213="","",MAX(0,I213-C213))</f>
        <v/>
      </c>
      <c r="K213" s="19" t="str">
        <f aca="false">IF(OR($A213="",INDEX(_LEITURA!$Q$2:$Q$21,1)=0),"",SUMIFS(DECKS!$D$2:$D$1201,DECKS!$A$2:$A$1201,INDEX(_LEITURA!$P$2:$P$21,1),DECKS!$B$2:$B$1201,$A213))</f>
        <v/>
      </c>
      <c r="L213" s="19" t="str">
        <f aca="false">IF(OR($A213="",INDEX(_LEITURA!$Q$2:$Q$21,2)=0),"",SUMIFS(DECKS!$D$2:$D$1201,DECKS!$A$2:$A$1201,INDEX(_LEITURA!$P$2:$P$21,2),DECKS!$B$2:$B$1201,$A213))</f>
        <v/>
      </c>
      <c r="M213" s="19" t="str">
        <f aca="false">IF(OR($A213="",INDEX(_LEITURA!$Q$2:$Q$21,3)=0),"",SUMIFS(DECKS!$D$2:$D$1201,DECKS!$A$2:$A$1201,INDEX(_LEITURA!$P$2:$P$21,3),DECKS!$B$2:$B$1201,$A213))</f>
        <v/>
      </c>
      <c r="N213" s="19" t="str">
        <f aca="false">IF(OR($A213="",INDEX(_LEITURA!$Q$2:$Q$21,4)=0),"",SUMIFS(DECKS!$D$2:$D$1201,DECKS!$A$2:$A$1201,INDEX(_LEITURA!$P$2:$P$21,4),DECKS!$B$2:$B$1201,$A213))</f>
        <v/>
      </c>
      <c r="O213" s="19" t="str">
        <f aca="false">IF(OR($A213="",INDEX(_LEITURA!$Q$2:$Q$21,5)=0),"",SUMIFS(DECKS!$D$2:$D$1201,DECKS!$A$2:$A$1201,INDEX(_LEITURA!$P$2:$P$21,5),DECKS!$B$2:$B$1201,$A213))</f>
        <v/>
      </c>
      <c r="P213" s="19" t="str">
        <f aca="false">IF(OR($A213="",INDEX(_LEITURA!$Q$2:$Q$21,6)=0),"",SUMIFS(DECKS!$D$2:$D$1201,DECKS!$A$2:$A$1201,INDEX(_LEITURA!$P$2:$P$21,6),DECKS!$B$2:$B$1201,$A213))</f>
        <v/>
      </c>
      <c r="Q213" s="19" t="str">
        <f aca="false">IF(OR($A213="",INDEX(_LEITURA!$Q$2:$Q$21,7)=0),"",SUMIFS(DECKS!$D$2:$D$1201,DECKS!$A$2:$A$1201,INDEX(_LEITURA!$P$2:$P$21,7),DECKS!$B$2:$B$1201,$A213))</f>
        <v/>
      </c>
      <c r="R213" s="19" t="str">
        <f aca="false">IF(OR($A213="",INDEX(_LEITURA!$Q$2:$Q$21,8)=0),"",SUMIFS(DECKS!$D$2:$D$1201,DECKS!$A$2:$A$1201,INDEX(_LEITURA!$P$2:$P$21,8),DECKS!$B$2:$B$1201,$A213))</f>
        <v/>
      </c>
      <c r="S213" s="19" t="str">
        <f aca="false">IF(OR($A213="",INDEX(_LEITURA!$Q$2:$Q$21,9)=0),"",SUMIFS(DECKS!$D$2:$D$1201,DECKS!$A$2:$A$1201,INDEX(_LEITURA!$P$2:$P$21,9),DECKS!$B$2:$B$1201,$A213))</f>
        <v/>
      </c>
      <c r="T213" s="19" t="str">
        <f aca="false">IF(OR($A213="",INDEX(_LEITURA!$Q$2:$Q$21,10)=0),"",SUMIFS(DECKS!$D$2:$D$1201,DECKS!$A$2:$A$1201,INDEX(_LEITURA!$P$2:$P$21,10),DECKS!$B$2:$B$1201,$A213))</f>
        <v/>
      </c>
      <c r="U213" s="19" t="str">
        <f aca="false">IF(OR($A213="",INDEX(_LEITURA!$Q$2:$Q$21,11)=0),"",SUMIFS(DECKS!$D$2:$D$1201,DECKS!$A$2:$A$1201,INDEX(_LEITURA!$P$2:$P$21,11),DECKS!$B$2:$B$1201,$A213))</f>
        <v/>
      </c>
      <c r="V213" s="19" t="str">
        <f aca="false">IF(OR($A213="",INDEX(_LEITURA!$Q$2:$Q$21,12)=0),"",SUMIFS(DECKS!$D$2:$D$1201,DECKS!$A$2:$A$1201,INDEX(_LEITURA!$P$2:$P$21,12),DECKS!$B$2:$B$1201,$A213))</f>
        <v/>
      </c>
      <c r="W213" s="19" t="str">
        <f aca="false">IF(OR($A213="",INDEX(_LEITURA!$Q$2:$Q$21,13)=0),"",SUMIFS(DECKS!$D$2:$D$1201,DECKS!$A$2:$A$1201,INDEX(_LEITURA!$P$2:$P$21,13),DECKS!$B$2:$B$1201,$A213))</f>
        <v/>
      </c>
      <c r="X213" s="19" t="str">
        <f aca="false">IF(OR($A213="",INDEX(_LEITURA!$Q$2:$Q$21,14)=0),"",SUMIFS(DECKS!$D$2:$D$1201,DECKS!$A$2:$A$1201,INDEX(_LEITURA!$P$2:$P$21,14),DECKS!$B$2:$B$1201,$A213))</f>
        <v/>
      </c>
      <c r="Y213" s="19" t="str">
        <f aca="false">IF(OR($A213="",INDEX(_LEITURA!$Q$2:$Q$21,15)=0),"",SUMIFS(DECKS!$D$2:$D$1201,DECKS!$A$2:$A$1201,INDEX(_LEITURA!$P$2:$P$21,15),DECKS!$B$2:$B$1201,$A213))</f>
        <v/>
      </c>
      <c r="Z213" s="19" t="str">
        <f aca="false">IF(OR($A213="",INDEX(_LEITURA!$Q$2:$Q$21,16)=0),"",SUMIFS(DECKS!$D$2:$D$1201,DECKS!$A$2:$A$1201,INDEX(_LEITURA!$P$2:$P$21,16),DECKS!$B$2:$B$1201,$A213))</f>
        <v/>
      </c>
      <c r="AA213" s="19" t="str">
        <f aca="false">IF(OR($A213="",INDEX(_LEITURA!$Q$2:$Q$21,17)=0),"",SUMIFS(DECKS!$D$2:$D$1201,DECKS!$A$2:$A$1201,INDEX(_LEITURA!$P$2:$P$21,17),DECKS!$B$2:$B$1201,$A213))</f>
        <v/>
      </c>
      <c r="AB213" s="19" t="str">
        <f aca="false">IF(OR($A213="",INDEX(_LEITURA!$Q$2:$Q$21,18)=0),"",SUMIFS(DECKS!$D$2:$D$1201,DECKS!$A$2:$A$1201,INDEX(_LEITURA!$P$2:$P$21,18),DECKS!$B$2:$B$1201,$A213))</f>
        <v/>
      </c>
      <c r="AC213" s="19" t="str">
        <f aca="false">IF(OR($A213="",INDEX(_LEITURA!$Q$2:$Q$21,19)=0),"",SUMIFS(DECKS!$D$2:$D$1201,DECKS!$A$2:$A$1201,INDEX(_LEITURA!$P$2:$P$21,19),DECKS!$B$2:$B$1201,$A213))</f>
        <v/>
      </c>
      <c r="AD213" s="19" t="str">
        <f aca="false">IF(OR($A213="",INDEX(_LEITURA!$Q$2:$Q$21,20)=0),"",SUMIFS(DECKS!$D$2:$D$1201,DECKS!$A$2:$A$1201,INDEX(_LEITURA!$P$2:$P$21,20),DECKS!$B$2:$B$1201,$A213))</f>
        <v/>
      </c>
      <c r="AE213" s="16" t="str">
        <f aca="false">IF(N(E213)&gt;0,MAX(AE$1:AE212)+1,"")</f>
        <v/>
      </c>
      <c r="AF213" s="11" t="str">
        <f aca="false">IF(A213="","",IFERROR(LEFT(A213,FIND("-",A213)-1),A213))</f>
        <v/>
      </c>
      <c r="AG213" s="11" t="str">
        <f aca="false">IF(AF213="","",IF(ISNUMBER(--MID(AF213,1,1)),0,IF(ISNUMBER(--MID(AF213,2,1)),1,IF(ISNUMBER(--MID(AF213,3,1)),2,IF(ISNUMBER(--MID(AF213,4,1)),3,MIN(LEN(AF213),4))))))</f>
        <v/>
      </c>
      <c r="AH213" s="11" t="str">
        <f aca="false">IF(A213="","",LEFT(AF213,AG213)&amp;REPT("0",4-AG213)&amp;RIGHT("000"&amp;IFERROR(VALUE(MID(AF213,AG213+1,9)),0),3)&amp;RIGHT("0000"&amp;IFERROR(VALUE(MID(A213,FIND("-",A213)+1,9)),0),4))</f>
        <v/>
      </c>
      <c r="AI213" s="11" t="str">
        <f aca="false">IF(OR(A213="",N(E213)&lt;=0),"",IF('FALTAS GERAL'!$M$1="Código","K"&amp;AH213&amp;RIGHT("00000"&amp;ROW(),5),IF('FALTAS GERAL'!$M$1="Nome","K"&amp;UPPER(SUBSTITUTE(SUBSTITUTE(SUBSTITUTE(B213,"*",""),"?",""),"~",""))&amp;"0"&amp;AH213&amp;RIGHT("00000"&amp;ROW(),5),IF('FALTAS GERAL'!$M$1="Falta (maior primeiro)","K"&amp;RIGHT("0000"&amp;(9999-E213),4)&amp;AH213&amp;RIGHT("00000"&amp;ROW(),5),IF('FALTAS GERAL'!$M$1="Nº de decks (maior primeiro)","K"&amp;RIGHT("00"&amp;(99-N(G213)),2)&amp;AH213&amp;RIGHT("00000"&amp;ROW(),5),"K"&amp;RIGHT("00000"&amp;ROW(),5))))))</f>
        <v/>
      </c>
      <c r="AJ213" s="11" t="str">
        <f aca="false">IF(AI213="","",COUNTIFS($AI$2:$AI$801,"&lt;"&amp;AI213,$E$2:$E$801,"&gt;0")+1)</f>
        <v/>
      </c>
      <c r="AK213" s="11" t="str">
        <f aca="false">IF(OR(A213="",N(E213)&lt;=0),"",COUNTIFS($AH$2:$AH$801,"&lt;"&amp;AH213,$E$2:$E$801,"&gt;0")+COUNTIFS($AH$2:AH213,AH213,$E$2:E213,"&gt;0"))</f>
        <v/>
      </c>
    </row>
    <row r="214" customFormat="false" ht="15" hidden="false" customHeight="false" outlineLevel="0" collapsed="false">
      <c r="A214" s="11" t="str">
        <f aca="false">IF(INVENTÁRIO!A214="","",INVENTÁRIO!A214)</f>
        <v/>
      </c>
      <c r="B214" s="11" t="str">
        <f aca="false">IF(A214="","",INVENTÁRIO!B214)</f>
        <v/>
      </c>
      <c r="C214" s="16" t="str">
        <f aca="false">IF(A214="","",INVENTÁRIO!C214)</f>
        <v/>
      </c>
      <c r="D214" s="14" t="str">
        <f aca="false">IF(A214="","",MAX(K214:AD214))</f>
        <v/>
      </c>
      <c r="E214" s="14" t="str">
        <f aca="false">IF(A214="","",MAX(0,D214-C214))</f>
        <v/>
      </c>
      <c r="F214" s="16" t="str">
        <f aca="false">IF(A214="","",IF(D214=0,"Fora dos decks",IF(E214=0,"Completo","Falta")))</f>
        <v/>
      </c>
      <c r="G214" s="16" t="str">
        <f aca="false">IF(A214="","",COUNTIF(K214:AD214,"&gt;0"))</f>
        <v/>
      </c>
      <c r="H214" s="16" t="str">
        <f aca="false">IF(A214="","",IF(G214&gt;1,"Sim",""))</f>
        <v/>
      </c>
      <c r="I214" s="18" t="str">
        <f aca="false">IF(A214="","",SUMIFS(DECKS!$D$2:$D$1201,DECKS!$B$2:$B$1201,A214))</f>
        <v/>
      </c>
      <c r="J214" s="18" t="str">
        <f aca="false">IF(A214="","",MAX(0,I214-C214))</f>
        <v/>
      </c>
      <c r="K214" s="19" t="str">
        <f aca="false">IF(OR($A214="",INDEX(_LEITURA!$Q$2:$Q$21,1)=0),"",SUMIFS(DECKS!$D$2:$D$1201,DECKS!$A$2:$A$1201,INDEX(_LEITURA!$P$2:$P$21,1),DECKS!$B$2:$B$1201,$A214))</f>
        <v/>
      </c>
      <c r="L214" s="19" t="str">
        <f aca="false">IF(OR($A214="",INDEX(_LEITURA!$Q$2:$Q$21,2)=0),"",SUMIFS(DECKS!$D$2:$D$1201,DECKS!$A$2:$A$1201,INDEX(_LEITURA!$P$2:$P$21,2),DECKS!$B$2:$B$1201,$A214))</f>
        <v/>
      </c>
      <c r="M214" s="19" t="str">
        <f aca="false">IF(OR($A214="",INDEX(_LEITURA!$Q$2:$Q$21,3)=0),"",SUMIFS(DECKS!$D$2:$D$1201,DECKS!$A$2:$A$1201,INDEX(_LEITURA!$P$2:$P$21,3),DECKS!$B$2:$B$1201,$A214))</f>
        <v/>
      </c>
      <c r="N214" s="19" t="str">
        <f aca="false">IF(OR($A214="",INDEX(_LEITURA!$Q$2:$Q$21,4)=0),"",SUMIFS(DECKS!$D$2:$D$1201,DECKS!$A$2:$A$1201,INDEX(_LEITURA!$P$2:$P$21,4),DECKS!$B$2:$B$1201,$A214))</f>
        <v/>
      </c>
      <c r="O214" s="19" t="str">
        <f aca="false">IF(OR($A214="",INDEX(_LEITURA!$Q$2:$Q$21,5)=0),"",SUMIFS(DECKS!$D$2:$D$1201,DECKS!$A$2:$A$1201,INDEX(_LEITURA!$P$2:$P$21,5),DECKS!$B$2:$B$1201,$A214))</f>
        <v/>
      </c>
      <c r="P214" s="19" t="str">
        <f aca="false">IF(OR($A214="",INDEX(_LEITURA!$Q$2:$Q$21,6)=0),"",SUMIFS(DECKS!$D$2:$D$1201,DECKS!$A$2:$A$1201,INDEX(_LEITURA!$P$2:$P$21,6),DECKS!$B$2:$B$1201,$A214))</f>
        <v/>
      </c>
      <c r="Q214" s="19" t="str">
        <f aca="false">IF(OR($A214="",INDEX(_LEITURA!$Q$2:$Q$21,7)=0),"",SUMIFS(DECKS!$D$2:$D$1201,DECKS!$A$2:$A$1201,INDEX(_LEITURA!$P$2:$P$21,7),DECKS!$B$2:$B$1201,$A214))</f>
        <v/>
      </c>
      <c r="R214" s="19" t="str">
        <f aca="false">IF(OR($A214="",INDEX(_LEITURA!$Q$2:$Q$21,8)=0),"",SUMIFS(DECKS!$D$2:$D$1201,DECKS!$A$2:$A$1201,INDEX(_LEITURA!$P$2:$P$21,8),DECKS!$B$2:$B$1201,$A214))</f>
        <v/>
      </c>
      <c r="S214" s="19" t="str">
        <f aca="false">IF(OR($A214="",INDEX(_LEITURA!$Q$2:$Q$21,9)=0),"",SUMIFS(DECKS!$D$2:$D$1201,DECKS!$A$2:$A$1201,INDEX(_LEITURA!$P$2:$P$21,9),DECKS!$B$2:$B$1201,$A214))</f>
        <v/>
      </c>
      <c r="T214" s="19" t="str">
        <f aca="false">IF(OR($A214="",INDEX(_LEITURA!$Q$2:$Q$21,10)=0),"",SUMIFS(DECKS!$D$2:$D$1201,DECKS!$A$2:$A$1201,INDEX(_LEITURA!$P$2:$P$21,10),DECKS!$B$2:$B$1201,$A214))</f>
        <v/>
      </c>
      <c r="U214" s="19" t="str">
        <f aca="false">IF(OR($A214="",INDEX(_LEITURA!$Q$2:$Q$21,11)=0),"",SUMIFS(DECKS!$D$2:$D$1201,DECKS!$A$2:$A$1201,INDEX(_LEITURA!$P$2:$P$21,11),DECKS!$B$2:$B$1201,$A214))</f>
        <v/>
      </c>
      <c r="V214" s="19" t="str">
        <f aca="false">IF(OR($A214="",INDEX(_LEITURA!$Q$2:$Q$21,12)=0),"",SUMIFS(DECKS!$D$2:$D$1201,DECKS!$A$2:$A$1201,INDEX(_LEITURA!$P$2:$P$21,12),DECKS!$B$2:$B$1201,$A214))</f>
        <v/>
      </c>
      <c r="W214" s="19" t="str">
        <f aca="false">IF(OR($A214="",INDEX(_LEITURA!$Q$2:$Q$21,13)=0),"",SUMIFS(DECKS!$D$2:$D$1201,DECKS!$A$2:$A$1201,INDEX(_LEITURA!$P$2:$P$21,13),DECKS!$B$2:$B$1201,$A214))</f>
        <v/>
      </c>
      <c r="X214" s="19" t="str">
        <f aca="false">IF(OR($A214="",INDEX(_LEITURA!$Q$2:$Q$21,14)=0),"",SUMIFS(DECKS!$D$2:$D$1201,DECKS!$A$2:$A$1201,INDEX(_LEITURA!$P$2:$P$21,14),DECKS!$B$2:$B$1201,$A214))</f>
        <v/>
      </c>
      <c r="Y214" s="19" t="str">
        <f aca="false">IF(OR($A214="",INDEX(_LEITURA!$Q$2:$Q$21,15)=0),"",SUMIFS(DECKS!$D$2:$D$1201,DECKS!$A$2:$A$1201,INDEX(_LEITURA!$P$2:$P$21,15),DECKS!$B$2:$B$1201,$A214))</f>
        <v/>
      </c>
      <c r="Z214" s="19" t="str">
        <f aca="false">IF(OR($A214="",INDEX(_LEITURA!$Q$2:$Q$21,16)=0),"",SUMIFS(DECKS!$D$2:$D$1201,DECKS!$A$2:$A$1201,INDEX(_LEITURA!$P$2:$P$21,16),DECKS!$B$2:$B$1201,$A214))</f>
        <v/>
      </c>
      <c r="AA214" s="19" t="str">
        <f aca="false">IF(OR($A214="",INDEX(_LEITURA!$Q$2:$Q$21,17)=0),"",SUMIFS(DECKS!$D$2:$D$1201,DECKS!$A$2:$A$1201,INDEX(_LEITURA!$P$2:$P$21,17),DECKS!$B$2:$B$1201,$A214))</f>
        <v/>
      </c>
      <c r="AB214" s="19" t="str">
        <f aca="false">IF(OR($A214="",INDEX(_LEITURA!$Q$2:$Q$21,18)=0),"",SUMIFS(DECKS!$D$2:$D$1201,DECKS!$A$2:$A$1201,INDEX(_LEITURA!$P$2:$P$21,18),DECKS!$B$2:$B$1201,$A214))</f>
        <v/>
      </c>
      <c r="AC214" s="19" t="str">
        <f aca="false">IF(OR($A214="",INDEX(_LEITURA!$Q$2:$Q$21,19)=0),"",SUMIFS(DECKS!$D$2:$D$1201,DECKS!$A$2:$A$1201,INDEX(_LEITURA!$P$2:$P$21,19),DECKS!$B$2:$B$1201,$A214))</f>
        <v/>
      </c>
      <c r="AD214" s="19" t="str">
        <f aca="false">IF(OR($A214="",INDEX(_LEITURA!$Q$2:$Q$21,20)=0),"",SUMIFS(DECKS!$D$2:$D$1201,DECKS!$A$2:$A$1201,INDEX(_LEITURA!$P$2:$P$21,20),DECKS!$B$2:$B$1201,$A214))</f>
        <v/>
      </c>
      <c r="AE214" s="16" t="str">
        <f aca="false">IF(N(E214)&gt;0,MAX(AE$1:AE213)+1,"")</f>
        <v/>
      </c>
      <c r="AF214" s="11" t="str">
        <f aca="false">IF(A214="","",IFERROR(LEFT(A214,FIND("-",A214)-1),A214))</f>
        <v/>
      </c>
      <c r="AG214" s="11" t="str">
        <f aca="false">IF(AF214="","",IF(ISNUMBER(--MID(AF214,1,1)),0,IF(ISNUMBER(--MID(AF214,2,1)),1,IF(ISNUMBER(--MID(AF214,3,1)),2,IF(ISNUMBER(--MID(AF214,4,1)),3,MIN(LEN(AF214),4))))))</f>
        <v/>
      </c>
      <c r="AH214" s="11" t="str">
        <f aca="false">IF(A214="","",LEFT(AF214,AG214)&amp;REPT("0",4-AG214)&amp;RIGHT("000"&amp;IFERROR(VALUE(MID(AF214,AG214+1,9)),0),3)&amp;RIGHT("0000"&amp;IFERROR(VALUE(MID(A214,FIND("-",A214)+1,9)),0),4))</f>
        <v/>
      </c>
      <c r="AI214" s="11" t="str">
        <f aca="false">IF(OR(A214="",N(E214)&lt;=0),"",IF('FALTAS GERAL'!$M$1="Código","K"&amp;AH214&amp;RIGHT("00000"&amp;ROW(),5),IF('FALTAS GERAL'!$M$1="Nome","K"&amp;UPPER(SUBSTITUTE(SUBSTITUTE(SUBSTITUTE(B214,"*",""),"?",""),"~",""))&amp;"0"&amp;AH214&amp;RIGHT("00000"&amp;ROW(),5),IF('FALTAS GERAL'!$M$1="Falta (maior primeiro)","K"&amp;RIGHT("0000"&amp;(9999-E214),4)&amp;AH214&amp;RIGHT("00000"&amp;ROW(),5),IF('FALTAS GERAL'!$M$1="Nº de decks (maior primeiro)","K"&amp;RIGHT("00"&amp;(99-N(G214)),2)&amp;AH214&amp;RIGHT("00000"&amp;ROW(),5),"K"&amp;RIGHT("00000"&amp;ROW(),5))))))</f>
        <v/>
      </c>
      <c r="AJ214" s="11" t="str">
        <f aca="false">IF(AI214="","",COUNTIFS($AI$2:$AI$801,"&lt;"&amp;AI214,$E$2:$E$801,"&gt;0")+1)</f>
        <v/>
      </c>
      <c r="AK214" s="11" t="str">
        <f aca="false">IF(OR(A214="",N(E214)&lt;=0),"",COUNTIFS($AH$2:$AH$801,"&lt;"&amp;AH214,$E$2:$E$801,"&gt;0")+COUNTIFS($AH$2:AH214,AH214,$E$2:E214,"&gt;0"))</f>
        <v/>
      </c>
    </row>
    <row r="215" customFormat="false" ht="15" hidden="false" customHeight="false" outlineLevel="0" collapsed="false">
      <c r="A215" s="11" t="str">
        <f aca="false">IF(INVENTÁRIO!A215="","",INVENTÁRIO!A215)</f>
        <v/>
      </c>
      <c r="B215" s="11" t="str">
        <f aca="false">IF(A215="","",INVENTÁRIO!B215)</f>
        <v/>
      </c>
      <c r="C215" s="16" t="str">
        <f aca="false">IF(A215="","",INVENTÁRIO!C215)</f>
        <v/>
      </c>
      <c r="D215" s="14" t="str">
        <f aca="false">IF(A215="","",MAX(K215:AD215))</f>
        <v/>
      </c>
      <c r="E215" s="14" t="str">
        <f aca="false">IF(A215="","",MAX(0,D215-C215))</f>
        <v/>
      </c>
      <c r="F215" s="16" t="str">
        <f aca="false">IF(A215="","",IF(D215=0,"Fora dos decks",IF(E215=0,"Completo","Falta")))</f>
        <v/>
      </c>
      <c r="G215" s="16" t="str">
        <f aca="false">IF(A215="","",COUNTIF(K215:AD215,"&gt;0"))</f>
        <v/>
      </c>
      <c r="H215" s="16" t="str">
        <f aca="false">IF(A215="","",IF(G215&gt;1,"Sim",""))</f>
        <v/>
      </c>
      <c r="I215" s="18" t="str">
        <f aca="false">IF(A215="","",SUMIFS(DECKS!$D$2:$D$1201,DECKS!$B$2:$B$1201,A215))</f>
        <v/>
      </c>
      <c r="J215" s="18" t="str">
        <f aca="false">IF(A215="","",MAX(0,I215-C215))</f>
        <v/>
      </c>
      <c r="K215" s="19" t="str">
        <f aca="false">IF(OR($A215="",INDEX(_LEITURA!$Q$2:$Q$21,1)=0),"",SUMIFS(DECKS!$D$2:$D$1201,DECKS!$A$2:$A$1201,INDEX(_LEITURA!$P$2:$P$21,1),DECKS!$B$2:$B$1201,$A215))</f>
        <v/>
      </c>
      <c r="L215" s="19" t="str">
        <f aca="false">IF(OR($A215="",INDEX(_LEITURA!$Q$2:$Q$21,2)=0),"",SUMIFS(DECKS!$D$2:$D$1201,DECKS!$A$2:$A$1201,INDEX(_LEITURA!$P$2:$P$21,2),DECKS!$B$2:$B$1201,$A215))</f>
        <v/>
      </c>
      <c r="M215" s="19" t="str">
        <f aca="false">IF(OR($A215="",INDEX(_LEITURA!$Q$2:$Q$21,3)=0),"",SUMIFS(DECKS!$D$2:$D$1201,DECKS!$A$2:$A$1201,INDEX(_LEITURA!$P$2:$P$21,3),DECKS!$B$2:$B$1201,$A215))</f>
        <v/>
      </c>
      <c r="N215" s="19" t="str">
        <f aca="false">IF(OR($A215="",INDEX(_LEITURA!$Q$2:$Q$21,4)=0),"",SUMIFS(DECKS!$D$2:$D$1201,DECKS!$A$2:$A$1201,INDEX(_LEITURA!$P$2:$P$21,4),DECKS!$B$2:$B$1201,$A215))</f>
        <v/>
      </c>
      <c r="O215" s="19" t="str">
        <f aca="false">IF(OR($A215="",INDEX(_LEITURA!$Q$2:$Q$21,5)=0),"",SUMIFS(DECKS!$D$2:$D$1201,DECKS!$A$2:$A$1201,INDEX(_LEITURA!$P$2:$P$21,5),DECKS!$B$2:$B$1201,$A215))</f>
        <v/>
      </c>
      <c r="P215" s="19" t="str">
        <f aca="false">IF(OR($A215="",INDEX(_LEITURA!$Q$2:$Q$21,6)=0),"",SUMIFS(DECKS!$D$2:$D$1201,DECKS!$A$2:$A$1201,INDEX(_LEITURA!$P$2:$P$21,6),DECKS!$B$2:$B$1201,$A215))</f>
        <v/>
      </c>
      <c r="Q215" s="19" t="str">
        <f aca="false">IF(OR($A215="",INDEX(_LEITURA!$Q$2:$Q$21,7)=0),"",SUMIFS(DECKS!$D$2:$D$1201,DECKS!$A$2:$A$1201,INDEX(_LEITURA!$P$2:$P$21,7),DECKS!$B$2:$B$1201,$A215))</f>
        <v/>
      </c>
      <c r="R215" s="19" t="str">
        <f aca="false">IF(OR($A215="",INDEX(_LEITURA!$Q$2:$Q$21,8)=0),"",SUMIFS(DECKS!$D$2:$D$1201,DECKS!$A$2:$A$1201,INDEX(_LEITURA!$P$2:$P$21,8),DECKS!$B$2:$B$1201,$A215))</f>
        <v/>
      </c>
      <c r="S215" s="19" t="str">
        <f aca="false">IF(OR($A215="",INDEX(_LEITURA!$Q$2:$Q$21,9)=0),"",SUMIFS(DECKS!$D$2:$D$1201,DECKS!$A$2:$A$1201,INDEX(_LEITURA!$P$2:$P$21,9),DECKS!$B$2:$B$1201,$A215))</f>
        <v/>
      </c>
      <c r="T215" s="19" t="str">
        <f aca="false">IF(OR($A215="",INDEX(_LEITURA!$Q$2:$Q$21,10)=0),"",SUMIFS(DECKS!$D$2:$D$1201,DECKS!$A$2:$A$1201,INDEX(_LEITURA!$P$2:$P$21,10),DECKS!$B$2:$B$1201,$A215))</f>
        <v/>
      </c>
      <c r="U215" s="19" t="str">
        <f aca="false">IF(OR($A215="",INDEX(_LEITURA!$Q$2:$Q$21,11)=0),"",SUMIFS(DECKS!$D$2:$D$1201,DECKS!$A$2:$A$1201,INDEX(_LEITURA!$P$2:$P$21,11),DECKS!$B$2:$B$1201,$A215))</f>
        <v/>
      </c>
      <c r="V215" s="19" t="str">
        <f aca="false">IF(OR($A215="",INDEX(_LEITURA!$Q$2:$Q$21,12)=0),"",SUMIFS(DECKS!$D$2:$D$1201,DECKS!$A$2:$A$1201,INDEX(_LEITURA!$P$2:$P$21,12),DECKS!$B$2:$B$1201,$A215))</f>
        <v/>
      </c>
      <c r="W215" s="19" t="str">
        <f aca="false">IF(OR($A215="",INDEX(_LEITURA!$Q$2:$Q$21,13)=0),"",SUMIFS(DECKS!$D$2:$D$1201,DECKS!$A$2:$A$1201,INDEX(_LEITURA!$P$2:$P$21,13),DECKS!$B$2:$B$1201,$A215))</f>
        <v/>
      </c>
      <c r="X215" s="19" t="str">
        <f aca="false">IF(OR($A215="",INDEX(_LEITURA!$Q$2:$Q$21,14)=0),"",SUMIFS(DECKS!$D$2:$D$1201,DECKS!$A$2:$A$1201,INDEX(_LEITURA!$P$2:$P$21,14),DECKS!$B$2:$B$1201,$A215))</f>
        <v/>
      </c>
      <c r="Y215" s="19" t="str">
        <f aca="false">IF(OR($A215="",INDEX(_LEITURA!$Q$2:$Q$21,15)=0),"",SUMIFS(DECKS!$D$2:$D$1201,DECKS!$A$2:$A$1201,INDEX(_LEITURA!$P$2:$P$21,15),DECKS!$B$2:$B$1201,$A215))</f>
        <v/>
      </c>
      <c r="Z215" s="19" t="str">
        <f aca="false">IF(OR($A215="",INDEX(_LEITURA!$Q$2:$Q$21,16)=0),"",SUMIFS(DECKS!$D$2:$D$1201,DECKS!$A$2:$A$1201,INDEX(_LEITURA!$P$2:$P$21,16),DECKS!$B$2:$B$1201,$A215))</f>
        <v/>
      </c>
      <c r="AA215" s="19" t="str">
        <f aca="false">IF(OR($A215="",INDEX(_LEITURA!$Q$2:$Q$21,17)=0),"",SUMIFS(DECKS!$D$2:$D$1201,DECKS!$A$2:$A$1201,INDEX(_LEITURA!$P$2:$P$21,17),DECKS!$B$2:$B$1201,$A215))</f>
        <v/>
      </c>
      <c r="AB215" s="19" t="str">
        <f aca="false">IF(OR($A215="",INDEX(_LEITURA!$Q$2:$Q$21,18)=0),"",SUMIFS(DECKS!$D$2:$D$1201,DECKS!$A$2:$A$1201,INDEX(_LEITURA!$P$2:$P$21,18),DECKS!$B$2:$B$1201,$A215))</f>
        <v/>
      </c>
      <c r="AC215" s="19" t="str">
        <f aca="false">IF(OR($A215="",INDEX(_LEITURA!$Q$2:$Q$21,19)=0),"",SUMIFS(DECKS!$D$2:$D$1201,DECKS!$A$2:$A$1201,INDEX(_LEITURA!$P$2:$P$21,19),DECKS!$B$2:$B$1201,$A215))</f>
        <v/>
      </c>
      <c r="AD215" s="19" t="str">
        <f aca="false">IF(OR($A215="",INDEX(_LEITURA!$Q$2:$Q$21,20)=0),"",SUMIFS(DECKS!$D$2:$D$1201,DECKS!$A$2:$A$1201,INDEX(_LEITURA!$P$2:$P$21,20),DECKS!$B$2:$B$1201,$A215))</f>
        <v/>
      </c>
      <c r="AE215" s="16" t="str">
        <f aca="false">IF(N(E215)&gt;0,MAX(AE$1:AE214)+1,"")</f>
        <v/>
      </c>
      <c r="AF215" s="11" t="str">
        <f aca="false">IF(A215="","",IFERROR(LEFT(A215,FIND("-",A215)-1),A215))</f>
        <v/>
      </c>
      <c r="AG215" s="11" t="str">
        <f aca="false">IF(AF215="","",IF(ISNUMBER(--MID(AF215,1,1)),0,IF(ISNUMBER(--MID(AF215,2,1)),1,IF(ISNUMBER(--MID(AF215,3,1)),2,IF(ISNUMBER(--MID(AF215,4,1)),3,MIN(LEN(AF215),4))))))</f>
        <v/>
      </c>
      <c r="AH215" s="11" t="str">
        <f aca="false">IF(A215="","",LEFT(AF215,AG215)&amp;REPT("0",4-AG215)&amp;RIGHT("000"&amp;IFERROR(VALUE(MID(AF215,AG215+1,9)),0),3)&amp;RIGHT("0000"&amp;IFERROR(VALUE(MID(A215,FIND("-",A215)+1,9)),0),4))</f>
        <v/>
      </c>
      <c r="AI215" s="11" t="str">
        <f aca="false">IF(OR(A215="",N(E215)&lt;=0),"",IF('FALTAS GERAL'!$M$1="Código","K"&amp;AH215&amp;RIGHT("00000"&amp;ROW(),5),IF('FALTAS GERAL'!$M$1="Nome","K"&amp;UPPER(SUBSTITUTE(SUBSTITUTE(SUBSTITUTE(B215,"*",""),"?",""),"~",""))&amp;"0"&amp;AH215&amp;RIGHT("00000"&amp;ROW(),5),IF('FALTAS GERAL'!$M$1="Falta (maior primeiro)","K"&amp;RIGHT("0000"&amp;(9999-E215),4)&amp;AH215&amp;RIGHT("00000"&amp;ROW(),5),IF('FALTAS GERAL'!$M$1="Nº de decks (maior primeiro)","K"&amp;RIGHT("00"&amp;(99-N(G215)),2)&amp;AH215&amp;RIGHT("00000"&amp;ROW(),5),"K"&amp;RIGHT("00000"&amp;ROW(),5))))))</f>
        <v/>
      </c>
      <c r="AJ215" s="11" t="str">
        <f aca="false">IF(AI215="","",COUNTIFS($AI$2:$AI$801,"&lt;"&amp;AI215,$E$2:$E$801,"&gt;0")+1)</f>
        <v/>
      </c>
      <c r="AK215" s="11" t="str">
        <f aca="false">IF(OR(A215="",N(E215)&lt;=0),"",COUNTIFS($AH$2:$AH$801,"&lt;"&amp;AH215,$E$2:$E$801,"&gt;0")+COUNTIFS($AH$2:AH215,AH215,$E$2:E215,"&gt;0"))</f>
        <v/>
      </c>
    </row>
    <row r="216" customFormat="false" ht="15" hidden="false" customHeight="false" outlineLevel="0" collapsed="false">
      <c r="A216" s="11" t="str">
        <f aca="false">IF(INVENTÁRIO!A216="","",INVENTÁRIO!A216)</f>
        <v/>
      </c>
      <c r="B216" s="11" t="str">
        <f aca="false">IF(A216="","",INVENTÁRIO!B216)</f>
        <v/>
      </c>
      <c r="C216" s="16" t="str">
        <f aca="false">IF(A216="","",INVENTÁRIO!C216)</f>
        <v/>
      </c>
      <c r="D216" s="14" t="str">
        <f aca="false">IF(A216="","",MAX(K216:AD216))</f>
        <v/>
      </c>
      <c r="E216" s="14" t="str">
        <f aca="false">IF(A216="","",MAX(0,D216-C216))</f>
        <v/>
      </c>
      <c r="F216" s="16" t="str">
        <f aca="false">IF(A216="","",IF(D216=0,"Fora dos decks",IF(E216=0,"Completo","Falta")))</f>
        <v/>
      </c>
      <c r="G216" s="16" t="str">
        <f aca="false">IF(A216="","",COUNTIF(K216:AD216,"&gt;0"))</f>
        <v/>
      </c>
      <c r="H216" s="16" t="str">
        <f aca="false">IF(A216="","",IF(G216&gt;1,"Sim",""))</f>
        <v/>
      </c>
      <c r="I216" s="18" t="str">
        <f aca="false">IF(A216="","",SUMIFS(DECKS!$D$2:$D$1201,DECKS!$B$2:$B$1201,A216))</f>
        <v/>
      </c>
      <c r="J216" s="18" t="str">
        <f aca="false">IF(A216="","",MAX(0,I216-C216))</f>
        <v/>
      </c>
      <c r="K216" s="19" t="str">
        <f aca="false">IF(OR($A216="",INDEX(_LEITURA!$Q$2:$Q$21,1)=0),"",SUMIFS(DECKS!$D$2:$D$1201,DECKS!$A$2:$A$1201,INDEX(_LEITURA!$P$2:$P$21,1),DECKS!$B$2:$B$1201,$A216))</f>
        <v/>
      </c>
      <c r="L216" s="19" t="str">
        <f aca="false">IF(OR($A216="",INDEX(_LEITURA!$Q$2:$Q$21,2)=0),"",SUMIFS(DECKS!$D$2:$D$1201,DECKS!$A$2:$A$1201,INDEX(_LEITURA!$P$2:$P$21,2),DECKS!$B$2:$B$1201,$A216))</f>
        <v/>
      </c>
      <c r="M216" s="19" t="str">
        <f aca="false">IF(OR($A216="",INDEX(_LEITURA!$Q$2:$Q$21,3)=0),"",SUMIFS(DECKS!$D$2:$D$1201,DECKS!$A$2:$A$1201,INDEX(_LEITURA!$P$2:$P$21,3),DECKS!$B$2:$B$1201,$A216))</f>
        <v/>
      </c>
      <c r="N216" s="19" t="str">
        <f aca="false">IF(OR($A216="",INDEX(_LEITURA!$Q$2:$Q$21,4)=0),"",SUMIFS(DECKS!$D$2:$D$1201,DECKS!$A$2:$A$1201,INDEX(_LEITURA!$P$2:$P$21,4),DECKS!$B$2:$B$1201,$A216))</f>
        <v/>
      </c>
      <c r="O216" s="19" t="str">
        <f aca="false">IF(OR($A216="",INDEX(_LEITURA!$Q$2:$Q$21,5)=0),"",SUMIFS(DECKS!$D$2:$D$1201,DECKS!$A$2:$A$1201,INDEX(_LEITURA!$P$2:$P$21,5),DECKS!$B$2:$B$1201,$A216))</f>
        <v/>
      </c>
      <c r="P216" s="19" t="str">
        <f aca="false">IF(OR($A216="",INDEX(_LEITURA!$Q$2:$Q$21,6)=0),"",SUMIFS(DECKS!$D$2:$D$1201,DECKS!$A$2:$A$1201,INDEX(_LEITURA!$P$2:$P$21,6),DECKS!$B$2:$B$1201,$A216))</f>
        <v/>
      </c>
      <c r="Q216" s="19" t="str">
        <f aca="false">IF(OR($A216="",INDEX(_LEITURA!$Q$2:$Q$21,7)=0),"",SUMIFS(DECKS!$D$2:$D$1201,DECKS!$A$2:$A$1201,INDEX(_LEITURA!$P$2:$P$21,7),DECKS!$B$2:$B$1201,$A216))</f>
        <v/>
      </c>
      <c r="R216" s="19" t="str">
        <f aca="false">IF(OR($A216="",INDEX(_LEITURA!$Q$2:$Q$21,8)=0),"",SUMIFS(DECKS!$D$2:$D$1201,DECKS!$A$2:$A$1201,INDEX(_LEITURA!$P$2:$P$21,8),DECKS!$B$2:$B$1201,$A216))</f>
        <v/>
      </c>
      <c r="S216" s="19" t="str">
        <f aca="false">IF(OR($A216="",INDEX(_LEITURA!$Q$2:$Q$21,9)=0),"",SUMIFS(DECKS!$D$2:$D$1201,DECKS!$A$2:$A$1201,INDEX(_LEITURA!$P$2:$P$21,9),DECKS!$B$2:$B$1201,$A216))</f>
        <v/>
      </c>
      <c r="T216" s="19" t="str">
        <f aca="false">IF(OR($A216="",INDEX(_LEITURA!$Q$2:$Q$21,10)=0),"",SUMIFS(DECKS!$D$2:$D$1201,DECKS!$A$2:$A$1201,INDEX(_LEITURA!$P$2:$P$21,10),DECKS!$B$2:$B$1201,$A216))</f>
        <v/>
      </c>
      <c r="U216" s="19" t="str">
        <f aca="false">IF(OR($A216="",INDEX(_LEITURA!$Q$2:$Q$21,11)=0),"",SUMIFS(DECKS!$D$2:$D$1201,DECKS!$A$2:$A$1201,INDEX(_LEITURA!$P$2:$P$21,11),DECKS!$B$2:$B$1201,$A216))</f>
        <v/>
      </c>
      <c r="V216" s="19" t="str">
        <f aca="false">IF(OR($A216="",INDEX(_LEITURA!$Q$2:$Q$21,12)=0),"",SUMIFS(DECKS!$D$2:$D$1201,DECKS!$A$2:$A$1201,INDEX(_LEITURA!$P$2:$P$21,12),DECKS!$B$2:$B$1201,$A216))</f>
        <v/>
      </c>
      <c r="W216" s="19" t="str">
        <f aca="false">IF(OR($A216="",INDEX(_LEITURA!$Q$2:$Q$21,13)=0),"",SUMIFS(DECKS!$D$2:$D$1201,DECKS!$A$2:$A$1201,INDEX(_LEITURA!$P$2:$P$21,13),DECKS!$B$2:$B$1201,$A216))</f>
        <v/>
      </c>
      <c r="X216" s="19" t="str">
        <f aca="false">IF(OR($A216="",INDEX(_LEITURA!$Q$2:$Q$21,14)=0),"",SUMIFS(DECKS!$D$2:$D$1201,DECKS!$A$2:$A$1201,INDEX(_LEITURA!$P$2:$P$21,14),DECKS!$B$2:$B$1201,$A216))</f>
        <v/>
      </c>
      <c r="Y216" s="19" t="str">
        <f aca="false">IF(OR($A216="",INDEX(_LEITURA!$Q$2:$Q$21,15)=0),"",SUMIFS(DECKS!$D$2:$D$1201,DECKS!$A$2:$A$1201,INDEX(_LEITURA!$P$2:$P$21,15),DECKS!$B$2:$B$1201,$A216))</f>
        <v/>
      </c>
      <c r="Z216" s="19" t="str">
        <f aca="false">IF(OR($A216="",INDEX(_LEITURA!$Q$2:$Q$21,16)=0),"",SUMIFS(DECKS!$D$2:$D$1201,DECKS!$A$2:$A$1201,INDEX(_LEITURA!$P$2:$P$21,16),DECKS!$B$2:$B$1201,$A216))</f>
        <v/>
      </c>
      <c r="AA216" s="19" t="str">
        <f aca="false">IF(OR($A216="",INDEX(_LEITURA!$Q$2:$Q$21,17)=0),"",SUMIFS(DECKS!$D$2:$D$1201,DECKS!$A$2:$A$1201,INDEX(_LEITURA!$P$2:$P$21,17),DECKS!$B$2:$B$1201,$A216))</f>
        <v/>
      </c>
      <c r="AB216" s="19" t="str">
        <f aca="false">IF(OR($A216="",INDEX(_LEITURA!$Q$2:$Q$21,18)=0),"",SUMIFS(DECKS!$D$2:$D$1201,DECKS!$A$2:$A$1201,INDEX(_LEITURA!$P$2:$P$21,18),DECKS!$B$2:$B$1201,$A216))</f>
        <v/>
      </c>
      <c r="AC216" s="19" t="str">
        <f aca="false">IF(OR($A216="",INDEX(_LEITURA!$Q$2:$Q$21,19)=0),"",SUMIFS(DECKS!$D$2:$D$1201,DECKS!$A$2:$A$1201,INDEX(_LEITURA!$P$2:$P$21,19),DECKS!$B$2:$B$1201,$A216))</f>
        <v/>
      </c>
      <c r="AD216" s="19" t="str">
        <f aca="false">IF(OR($A216="",INDEX(_LEITURA!$Q$2:$Q$21,20)=0),"",SUMIFS(DECKS!$D$2:$D$1201,DECKS!$A$2:$A$1201,INDEX(_LEITURA!$P$2:$P$21,20),DECKS!$B$2:$B$1201,$A216))</f>
        <v/>
      </c>
      <c r="AE216" s="16" t="str">
        <f aca="false">IF(N(E216)&gt;0,MAX(AE$1:AE215)+1,"")</f>
        <v/>
      </c>
      <c r="AF216" s="11" t="str">
        <f aca="false">IF(A216="","",IFERROR(LEFT(A216,FIND("-",A216)-1),A216))</f>
        <v/>
      </c>
      <c r="AG216" s="11" t="str">
        <f aca="false">IF(AF216="","",IF(ISNUMBER(--MID(AF216,1,1)),0,IF(ISNUMBER(--MID(AF216,2,1)),1,IF(ISNUMBER(--MID(AF216,3,1)),2,IF(ISNUMBER(--MID(AF216,4,1)),3,MIN(LEN(AF216),4))))))</f>
        <v/>
      </c>
      <c r="AH216" s="11" t="str">
        <f aca="false">IF(A216="","",LEFT(AF216,AG216)&amp;REPT("0",4-AG216)&amp;RIGHT("000"&amp;IFERROR(VALUE(MID(AF216,AG216+1,9)),0),3)&amp;RIGHT("0000"&amp;IFERROR(VALUE(MID(A216,FIND("-",A216)+1,9)),0),4))</f>
        <v/>
      </c>
      <c r="AI216" s="11" t="str">
        <f aca="false">IF(OR(A216="",N(E216)&lt;=0),"",IF('FALTAS GERAL'!$M$1="Código","K"&amp;AH216&amp;RIGHT("00000"&amp;ROW(),5),IF('FALTAS GERAL'!$M$1="Nome","K"&amp;UPPER(SUBSTITUTE(SUBSTITUTE(SUBSTITUTE(B216,"*",""),"?",""),"~",""))&amp;"0"&amp;AH216&amp;RIGHT("00000"&amp;ROW(),5),IF('FALTAS GERAL'!$M$1="Falta (maior primeiro)","K"&amp;RIGHT("0000"&amp;(9999-E216),4)&amp;AH216&amp;RIGHT("00000"&amp;ROW(),5),IF('FALTAS GERAL'!$M$1="Nº de decks (maior primeiro)","K"&amp;RIGHT("00"&amp;(99-N(G216)),2)&amp;AH216&amp;RIGHT("00000"&amp;ROW(),5),"K"&amp;RIGHT("00000"&amp;ROW(),5))))))</f>
        <v/>
      </c>
      <c r="AJ216" s="11" t="str">
        <f aca="false">IF(AI216="","",COUNTIFS($AI$2:$AI$801,"&lt;"&amp;AI216,$E$2:$E$801,"&gt;0")+1)</f>
        <v/>
      </c>
      <c r="AK216" s="11" t="str">
        <f aca="false">IF(OR(A216="",N(E216)&lt;=0),"",COUNTIFS($AH$2:$AH$801,"&lt;"&amp;AH216,$E$2:$E$801,"&gt;0")+COUNTIFS($AH$2:AH216,AH216,$E$2:E216,"&gt;0"))</f>
        <v/>
      </c>
    </row>
    <row r="217" customFormat="false" ht="15" hidden="false" customHeight="false" outlineLevel="0" collapsed="false">
      <c r="A217" s="11" t="str">
        <f aca="false">IF(INVENTÁRIO!A217="","",INVENTÁRIO!A217)</f>
        <v/>
      </c>
      <c r="B217" s="11" t="str">
        <f aca="false">IF(A217="","",INVENTÁRIO!B217)</f>
        <v/>
      </c>
      <c r="C217" s="16" t="str">
        <f aca="false">IF(A217="","",INVENTÁRIO!C217)</f>
        <v/>
      </c>
      <c r="D217" s="14" t="str">
        <f aca="false">IF(A217="","",MAX(K217:AD217))</f>
        <v/>
      </c>
      <c r="E217" s="14" t="str">
        <f aca="false">IF(A217="","",MAX(0,D217-C217))</f>
        <v/>
      </c>
      <c r="F217" s="16" t="str">
        <f aca="false">IF(A217="","",IF(D217=0,"Fora dos decks",IF(E217=0,"Completo","Falta")))</f>
        <v/>
      </c>
      <c r="G217" s="16" t="str">
        <f aca="false">IF(A217="","",COUNTIF(K217:AD217,"&gt;0"))</f>
        <v/>
      </c>
      <c r="H217" s="16" t="str">
        <f aca="false">IF(A217="","",IF(G217&gt;1,"Sim",""))</f>
        <v/>
      </c>
      <c r="I217" s="18" t="str">
        <f aca="false">IF(A217="","",SUMIFS(DECKS!$D$2:$D$1201,DECKS!$B$2:$B$1201,A217))</f>
        <v/>
      </c>
      <c r="J217" s="18" t="str">
        <f aca="false">IF(A217="","",MAX(0,I217-C217))</f>
        <v/>
      </c>
      <c r="K217" s="19" t="str">
        <f aca="false">IF(OR($A217="",INDEX(_LEITURA!$Q$2:$Q$21,1)=0),"",SUMIFS(DECKS!$D$2:$D$1201,DECKS!$A$2:$A$1201,INDEX(_LEITURA!$P$2:$P$21,1),DECKS!$B$2:$B$1201,$A217))</f>
        <v/>
      </c>
      <c r="L217" s="19" t="str">
        <f aca="false">IF(OR($A217="",INDEX(_LEITURA!$Q$2:$Q$21,2)=0),"",SUMIFS(DECKS!$D$2:$D$1201,DECKS!$A$2:$A$1201,INDEX(_LEITURA!$P$2:$P$21,2),DECKS!$B$2:$B$1201,$A217))</f>
        <v/>
      </c>
      <c r="M217" s="19" t="str">
        <f aca="false">IF(OR($A217="",INDEX(_LEITURA!$Q$2:$Q$21,3)=0),"",SUMIFS(DECKS!$D$2:$D$1201,DECKS!$A$2:$A$1201,INDEX(_LEITURA!$P$2:$P$21,3),DECKS!$B$2:$B$1201,$A217))</f>
        <v/>
      </c>
      <c r="N217" s="19" t="str">
        <f aca="false">IF(OR($A217="",INDEX(_LEITURA!$Q$2:$Q$21,4)=0),"",SUMIFS(DECKS!$D$2:$D$1201,DECKS!$A$2:$A$1201,INDEX(_LEITURA!$P$2:$P$21,4),DECKS!$B$2:$B$1201,$A217))</f>
        <v/>
      </c>
      <c r="O217" s="19" t="str">
        <f aca="false">IF(OR($A217="",INDEX(_LEITURA!$Q$2:$Q$21,5)=0),"",SUMIFS(DECKS!$D$2:$D$1201,DECKS!$A$2:$A$1201,INDEX(_LEITURA!$P$2:$P$21,5),DECKS!$B$2:$B$1201,$A217))</f>
        <v/>
      </c>
      <c r="P217" s="19" t="str">
        <f aca="false">IF(OR($A217="",INDEX(_LEITURA!$Q$2:$Q$21,6)=0),"",SUMIFS(DECKS!$D$2:$D$1201,DECKS!$A$2:$A$1201,INDEX(_LEITURA!$P$2:$P$21,6),DECKS!$B$2:$B$1201,$A217))</f>
        <v/>
      </c>
      <c r="Q217" s="19" t="str">
        <f aca="false">IF(OR($A217="",INDEX(_LEITURA!$Q$2:$Q$21,7)=0),"",SUMIFS(DECKS!$D$2:$D$1201,DECKS!$A$2:$A$1201,INDEX(_LEITURA!$P$2:$P$21,7),DECKS!$B$2:$B$1201,$A217))</f>
        <v/>
      </c>
      <c r="R217" s="19" t="str">
        <f aca="false">IF(OR($A217="",INDEX(_LEITURA!$Q$2:$Q$21,8)=0),"",SUMIFS(DECKS!$D$2:$D$1201,DECKS!$A$2:$A$1201,INDEX(_LEITURA!$P$2:$P$21,8),DECKS!$B$2:$B$1201,$A217))</f>
        <v/>
      </c>
      <c r="S217" s="19" t="str">
        <f aca="false">IF(OR($A217="",INDEX(_LEITURA!$Q$2:$Q$21,9)=0),"",SUMIFS(DECKS!$D$2:$D$1201,DECKS!$A$2:$A$1201,INDEX(_LEITURA!$P$2:$P$21,9),DECKS!$B$2:$B$1201,$A217))</f>
        <v/>
      </c>
      <c r="T217" s="19" t="str">
        <f aca="false">IF(OR($A217="",INDEX(_LEITURA!$Q$2:$Q$21,10)=0),"",SUMIFS(DECKS!$D$2:$D$1201,DECKS!$A$2:$A$1201,INDEX(_LEITURA!$P$2:$P$21,10),DECKS!$B$2:$B$1201,$A217))</f>
        <v/>
      </c>
      <c r="U217" s="19" t="str">
        <f aca="false">IF(OR($A217="",INDEX(_LEITURA!$Q$2:$Q$21,11)=0),"",SUMIFS(DECKS!$D$2:$D$1201,DECKS!$A$2:$A$1201,INDEX(_LEITURA!$P$2:$P$21,11),DECKS!$B$2:$B$1201,$A217))</f>
        <v/>
      </c>
      <c r="V217" s="19" t="str">
        <f aca="false">IF(OR($A217="",INDEX(_LEITURA!$Q$2:$Q$21,12)=0),"",SUMIFS(DECKS!$D$2:$D$1201,DECKS!$A$2:$A$1201,INDEX(_LEITURA!$P$2:$P$21,12),DECKS!$B$2:$B$1201,$A217))</f>
        <v/>
      </c>
      <c r="W217" s="19" t="str">
        <f aca="false">IF(OR($A217="",INDEX(_LEITURA!$Q$2:$Q$21,13)=0),"",SUMIFS(DECKS!$D$2:$D$1201,DECKS!$A$2:$A$1201,INDEX(_LEITURA!$P$2:$P$21,13),DECKS!$B$2:$B$1201,$A217))</f>
        <v/>
      </c>
      <c r="X217" s="19" t="str">
        <f aca="false">IF(OR($A217="",INDEX(_LEITURA!$Q$2:$Q$21,14)=0),"",SUMIFS(DECKS!$D$2:$D$1201,DECKS!$A$2:$A$1201,INDEX(_LEITURA!$P$2:$P$21,14),DECKS!$B$2:$B$1201,$A217))</f>
        <v/>
      </c>
      <c r="Y217" s="19" t="str">
        <f aca="false">IF(OR($A217="",INDEX(_LEITURA!$Q$2:$Q$21,15)=0),"",SUMIFS(DECKS!$D$2:$D$1201,DECKS!$A$2:$A$1201,INDEX(_LEITURA!$P$2:$P$21,15),DECKS!$B$2:$B$1201,$A217))</f>
        <v/>
      </c>
      <c r="Z217" s="19" t="str">
        <f aca="false">IF(OR($A217="",INDEX(_LEITURA!$Q$2:$Q$21,16)=0),"",SUMIFS(DECKS!$D$2:$D$1201,DECKS!$A$2:$A$1201,INDEX(_LEITURA!$P$2:$P$21,16),DECKS!$B$2:$B$1201,$A217))</f>
        <v/>
      </c>
      <c r="AA217" s="19" t="str">
        <f aca="false">IF(OR($A217="",INDEX(_LEITURA!$Q$2:$Q$21,17)=0),"",SUMIFS(DECKS!$D$2:$D$1201,DECKS!$A$2:$A$1201,INDEX(_LEITURA!$P$2:$P$21,17),DECKS!$B$2:$B$1201,$A217))</f>
        <v/>
      </c>
      <c r="AB217" s="19" t="str">
        <f aca="false">IF(OR($A217="",INDEX(_LEITURA!$Q$2:$Q$21,18)=0),"",SUMIFS(DECKS!$D$2:$D$1201,DECKS!$A$2:$A$1201,INDEX(_LEITURA!$P$2:$P$21,18),DECKS!$B$2:$B$1201,$A217))</f>
        <v/>
      </c>
      <c r="AC217" s="19" t="str">
        <f aca="false">IF(OR($A217="",INDEX(_LEITURA!$Q$2:$Q$21,19)=0),"",SUMIFS(DECKS!$D$2:$D$1201,DECKS!$A$2:$A$1201,INDEX(_LEITURA!$P$2:$P$21,19),DECKS!$B$2:$B$1201,$A217))</f>
        <v/>
      </c>
      <c r="AD217" s="19" t="str">
        <f aca="false">IF(OR($A217="",INDEX(_LEITURA!$Q$2:$Q$21,20)=0),"",SUMIFS(DECKS!$D$2:$D$1201,DECKS!$A$2:$A$1201,INDEX(_LEITURA!$P$2:$P$21,20),DECKS!$B$2:$B$1201,$A217))</f>
        <v/>
      </c>
      <c r="AE217" s="16" t="str">
        <f aca="false">IF(N(E217)&gt;0,MAX(AE$1:AE216)+1,"")</f>
        <v/>
      </c>
      <c r="AF217" s="11" t="str">
        <f aca="false">IF(A217="","",IFERROR(LEFT(A217,FIND("-",A217)-1),A217))</f>
        <v/>
      </c>
      <c r="AG217" s="11" t="str">
        <f aca="false">IF(AF217="","",IF(ISNUMBER(--MID(AF217,1,1)),0,IF(ISNUMBER(--MID(AF217,2,1)),1,IF(ISNUMBER(--MID(AF217,3,1)),2,IF(ISNUMBER(--MID(AF217,4,1)),3,MIN(LEN(AF217),4))))))</f>
        <v/>
      </c>
      <c r="AH217" s="11" t="str">
        <f aca="false">IF(A217="","",LEFT(AF217,AG217)&amp;REPT("0",4-AG217)&amp;RIGHT("000"&amp;IFERROR(VALUE(MID(AF217,AG217+1,9)),0),3)&amp;RIGHT("0000"&amp;IFERROR(VALUE(MID(A217,FIND("-",A217)+1,9)),0),4))</f>
        <v/>
      </c>
      <c r="AI217" s="11" t="str">
        <f aca="false">IF(OR(A217="",N(E217)&lt;=0),"",IF('FALTAS GERAL'!$M$1="Código","K"&amp;AH217&amp;RIGHT("00000"&amp;ROW(),5),IF('FALTAS GERAL'!$M$1="Nome","K"&amp;UPPER(SUBSTITUTE(SUBSTITUTE(SUBSTITUTE(B217,"*",""),"?",""),"~",""))&amp;"0"&amp;AH217&amp;RIGHT("00000"&amp;ROW(),5),IF('FALTAS GERAL'!$M$1="Falta (maior primeiro)","K"&amp;RIGHT("0000"&amp;(9999-E217),4)&amp;AH217&amp;RIGHT("00000"&amp;ROW(),5),IF('FALTAS GERAL'!$M$1="Nº de decks (maior primeiro)","K"&amp;RIGHT("00"&amp;(99-N(G217)),2)&amp;AH217&amp;RIGHT("00000"&amp;ROW(),5),"K"&amp;RIGHT("00000"&amp;ROW(),5))))))</f>
        <v/>
      </c>
      <c r="AJ217" s="11" t="str">
        <f aca="false">IF(AI217="","",COUNTIFS($AI$2:$AI$801,"&lt;"&amp;AI217,$E$2:$E$801,"&gt;0")+1)</f>
        <v/>
      </c>
      <c r="AK217" s="11" t="str">
        <f aca="false">IF(OR(A217="",N(E217)&lt;=0),"",COUNTIFS($AH$2:$AH$801,"&lt;"&amp;AH217,$E$2:$E$801,"&gt;0")+COUNTIFS($AH$2:AH217,AH217,$E$2:E217,"&gt;0"))</f>
        <v/>
      </c>
    </row>
    <row r="218" customFormat="false" ht="15" hidden="false" customHeight="false" outlineLevel="0" collapsed="false">
      <c r="A218" s="11" t="str">
        <f aca="false">IF(INVENTÁRIO!A218="","",INVENTÁRIO!A218)</f>
        <v/>
      </c>
      <c r="B218" s="11" t="str">
        <f aca="false">IF(A218="","",INVENTÁRIO!B218)</f>
        <v/>
      </c>
      <c r="C218" s="16" t="str">
        <f aca="false">IF(A218="","",INVENTÁRIO!C218)</f>
        <v/>
      </c>
      <c r="D218" s="14" t="str">
        <f aca="false">IF(A218="","",MAX(K218:AD218))</f>
        <v/>
      </c>
      <c r="E218" s="14" t="str">
        <f aca="false">IF(A218="","",MAX(0,D218-C218))</f>
        <v/>
      </c>
      <c r="F218" s="16" t="str">
        <f aca="false">IF(A218="","",IF(D218=0,"Fora dos decks",IF(E218=0,"Completo","Falta")))</f>
        <v/>
      </c>
      <c r="G218" s="16" t="str">
        <f aca="false">IF(A218="","",COUNTIF(K218:AD218,"&gt;0"))</f>
        <v/>
      </c>
      <c r="H218" s="16" t="str">
        <f aca="false">IF(A218="","",IF(G218&gt;1,"Sim",""))</f>
        <v/>
      </c>
      <c r="I218" s="18" t="str">
        <f aca="false">IF(A218="","",SUMIFS(DECKS!$D$2:$D$1201,DECKS!$B$2:$B$1201,A218))</f>
        <v/>
      </c>
      <c r="J218" s="18" t="str">
        <f aca="false">IF(A218="","",MAX(0,I218-C218))</f>
        <v/>
      </c>
      <c r="K218" s="19" t="str">
        <f aca="false">IF(OR($A218="",INDEX(_LEITURA!$Q$2:$Q$21,1)=0),"",SUMIFS(DECKS!$D$2:$D$1201,DECKS!$A$2:$A$1201,INDEX(_LEITURA!$P$2:$P$21,1),DECKS!$B$2:$B$1201,$A218))</f>
        <v/>
      </c>
      <c r="L218" s="19" t="str">
        <f aca="false">IF(OR($A218="",INDEX(_LEITURA!$Q$2:$Q$21,2)=0),"",SUMIFS(DECKS!$D$2:$D$1201,DECKS!$A$2:$A$1201,INDEX(_LEITURA!$P$2:$P$21,2),DECKS!$B$2:$B$1201,$A218))</f>
        <v/>
      </c>
      <c r="M218" s="19" t="str">
        <f aca="false">IF(OR($A218="",INDEX(_LEITURA!$Q$2:$Q$21,3)=0),"",SUMIFS(DECKS!$D$2:$D$1201,DECKS!$A$2:$A$1201,INDEX(_LEITURA!$P$2:$P$21,3),DECKS!$B$2:$B$1201,$A218))</f>
        <v/>
      </c>
      <c r="N218" s="19" t="str">
        <f aca="false">IF(OR($A218="",INDEX(_LEITURA!$Q$2:$Q$21,4)=0),"",SUMIFS(DECKS!$D$2:$D$1201,DECKS!$A$2:$A$1201,INDEX(_LEITURA!$P$2:$P$21,4),DECKS!$B$2:$B$1201,$A218))</f>
        <v/>
      </c>
      <c r="O218" s="19" t="str">
        <f aca="false">IF(OR($A218="",INDEX(_LEITURA!$Q$2:$Q$21,5)=0),"",SUMIFS(DECKS!$D$2:$D$1201,DECKS!$A$2:$A$1201,INDEX(_LEITURA!$P$2:$P$21,5),DECKS!$B$2:$B$1201,$A218))</f>
        <v/>
      </c>
      <c r="P218" s="19" t="str">
        <f aca="false">IF(OR($A218="",INDEX(_LEITURA!$Q$2:$Q$21,6)=0),"",SUMIFS(DECKS!$D$2:$D$1201,DECKS!$A$2:$A$1201,INDEX(_LEITURA!$P$2:$P$21,6),DECKS!$B$2:$B$1201,$A218))</f>
        <v/>
      </c>
      <c r="Q218" s="19" t="str">
        <f aca="false">IF(OR($A218="",INDEX(_LEITURA!$Q$2:$Q$21,7)=0),"",SUMIFS(DECKS!$D$2:$D$1201,DECKS!$A$2:$A$1201,INDEX(_LEITURA!$P$2:$P$21,7),DECKS!$B$2:$B$1201,$A218))</f>
        <v/>
      </c>
      <c r="R218" s="19" t="str">
        <f aca="false">IF(OR($A218="",INDEX(_LEITURA!$Q$2:$Q$21,8)=0),"",SUMIFS(DECKS!$D$2:$D$1201,DECKS!$A$2:$A$1201,INDEX(_LEITURA!$P$2:$P$21,8),DECKS!$B$2:$B$1201,$A218))</f>
        <v/>
      </c>
      <c r="S218" s="19" t="str">
        <f aca="false">IF(OR($A218="",INDEX(_LEITURA!$Q$2:$Q$21,9)=0),"",SUMIFS(DECKS!$D$2:$D$1201,DECKS!$A$2:$A$1201,INDEX(_LEITURA!$P$2:$P$21,9),DECKS!$B$2:$B$1201,$A218))</f>
        <v/>
      </c>
      <c r="T218" s="19" t="str">
        <f aca="false">IF(OR($A218="",INDEX(_LEITURA!$Q$2:$Q$21,10)=0),"",SUMIFS(DECKS!$D$2:$D$1201,DECKS!$A$2:$A$1201,INDEX(_LEITURA!$P$2:$P$21,10),DECKS!$B$2:$B$1201,$A218))</f>
        <v/>
      </c>
      <c r="U218" s="19" t="str">
        <f aca="false">IF(OR($A218="",INDEX(_LEITURA!$Q$2:$Q$21,11)=0),"",SUMIFS(DECKS!$D$2:$D$1201,DECKS!$A$2:$A$1201,INDEX(_LEITURA!$P$2:$P$21,11),DECKS!$B$2:$B$1201,$A218))</f>
        <v/>
      </c>
      <c r="V218" s="19" t="str">
        <f aca="false">IF(OR($A218="",INDEX(_LEITURA!$Q$2:$Q$21,12)=0),"",SUMIFS(DECKS!$D$2:$D$1201,DECKS!$A$2:$A$1201,INDEX(_LEITURA!$P$2:$P$21,12),DECKS!$B$2:$B$1201,$A218))</f>
        <v/>
      </c>
      <c r="W218" s="19" t="str">
        <f aca="false">IF(OR($A218="",INDEX(_LEITURA!$Q$2:$Q$21,13)=0),"",SUMIFS(DECKS!$D$2:$D$1201,DECKS!$A$2:$A$1201,INDEX(_LEITURA!$P$2:$P$21,13),DECKS!$B$2:$B$1201,$A218))</f>
        <v/>
      </c>
      <c r="X218" s="19" t="str">
        <f aca="false">IF(OR($A218="",INDEX(_LEITURA!$Q$2:$Q$21,14)=0),"",SUMIFS(DECKS!$D$2:$D$1201,DECKS!$A$2:$A$1201,INDEX(_LEITURA!$P$2:$P$21,14),DECKS!$B$2:$B$1201,$A218))</f>
        <v/>
      </c>
      <c r="Y218" s="19" t="str">
        <f aca="false">IF(OR($A218="",INDEX(_LEITURA!$Q$2:$Q$21,15)=0),"",SUMIFS(DECKS!$D$2:$D$1201,DECKS!$A$2:$A$1201,INDEX(_LEITURA!$P$2:$P$21,15),DECKS!$B$2:$B$1201,$A218))</f>
        <v/>
      </c>
      <c r="Z218" s="19" t="str">
        <f aca="false">IF(OR($A218="",INDEX(_LEITURA!$Q$2:$Q$21,16)=0),"",SUMIFS(DECKS!$D$2:$D$1201,DECKS!$A$2:$A$1201,INDEX(_LEITURA!$P$2:$P$21,16),DECKS!$B$2:$B$1201,$A218))</f>
        <v/>
      </c>
      <c r="AA218" s="19" t="str">
        <f aca="false">IF(OR($A218="",INDEX(_LEITURA!$Q$2:$Q$21,17)=0),"",SUMIFS(DECKS!$D$2:$D$1201,DECKS!$A$2:$A$1201,INDEX(_LEITURA!$P$2:$P$21,17),DECKS!$B$2:$B$1201,$A218))</f>
        <v/>
      </c>
      <c r="AB218" s="19" t="str">
        <f aca="false">IF(OR($A218="",INDEX(_LEITURA!$Q$2:$Q$21,18)=0),"",SUMIFS(DECKS!$D$2:$D$1201,DECKS!$A$2:$A$1201,INDEX(_LEITURA!$P$2:$P$21,18),DECKS!$B$2:$B$1201,$A218))</f>
        <v/>
      </c>
      <c r="AC218" s="19" t="str">
        <f aca="false">IF(OR($A218="",INDEX(_LEITURA!$Q$2:$Q$21,19)=0),"",SUMIFS(DECKS!$D$2:$D$1201,DECKS!$A$2:$A$1201,INDEX(_LEITURA!$P$2:$P$21,19),DECKS!$B$2:$B$1201,$A218))</f>
        <v/>
      </c>
      <c r="AD218" s="19" t="str">
        <f aca="false">IF(OR($A218="",INDEX(_LEITURA!$Q$2:$Q$21,20)=0),"",SUMIFS(DECKS!$D$2:$D$1201,DECKS!$A$2:$A$1201,INDEX(_LEITURA!$P$2:$P$21,20),DECKS!$B$2:$B$1201,$A218))</f>
        <v/>
      </c>
      <c r="AE218" s="16" t="str">
        <f aca="false">IF(N(E218)&gt;0,MAX(AE$1:AE217)+1,"")</f>
        <v/>
      </c>
      <c r="AF218" s="11" t="str">
        <f aca="false">IF(A218="","",IFERROR(LEFT(A218,FIND("-",A218)-1),A218))</f>
        <v/>
      </c>
      <c r="AG218" s="11" t="str">
        <f aca="false">IF(AF218="","",IF(ISNUMBER(--MID(AF218,1,1)),0,IF(ISNUMBER(--MID(AF218,2,1)),1,IF(ISNUMBER(--MID(AF218,3,1)),2,IF(ISNUMBER(--MID(AF218,4,1)),3,MIN(LEN(AF218),4))))))</f>
        <v/>
      </c>
      <c r="AH218" s="11" t="str">
        <f aca="false">IF(A218="","",LEFT(AF218,AG218)&amp;REPT("0",4-AG218)&amp;RIGHT("000"&amp;IFERROR(VALUE(MID(AF218,AG218+1,9)),0),3)&amp;RIGHT("0000"&amp;IFERROR(VALUE(MID(A218,FIND("-",A218)+1,9)),0),4))</f>
        <v/>
      </c>
      <c r="AI218" s="11" t="str">
        <f aca="false">IF(OR(A218="",N(E218)&lt;=0),"",IF('FALTAS GERAL'!$M$1="Código","K"&amp;AH218&amp;RIGHT("00000"&amp;ROW(),5),IF('FALTAS GERAL'!$M$1="Nome","K"&amp;UPPER(SUBSTITUTE(SUBSTITUTE(SUBSTITUTE(B218,"*",""),"?",""),"~",""))&amp;"0"&amp;AH218&amp;RIGHT("00000"&amp;ROW(),5),IF('FALTAS GERAL'!$M$1="Falta (maior primeiro)","K"&amp;RIGHT("0000"&amp;(9999-E218),4)&amp;AH218&amp;RIGHT("00000"&amp;ROW(),5),IF('FALTAS GERAL'!$M$1="Nº de decks (maior primeiro)","K"&amp;RIGHT("00"&amp;(99-N(G218)),2)&amp;AH218&amp;RIGHT("00000"&amp;ROW(),5),"K"&amp;RIGHT("00000"&amp;ROW(),5))))))</f>
        <v/>
      </c>
      <c r="AJ218" s="11" t="str">
        <f aca="false">IF(AI218="","",COUNTIFS($AI$2:$AI$801,"&lt;"&amp;AI218,$E$2:$E$801,"&gt;0")+1)</f>
        <v/>
      </c>
      <c r="AK218" s="11" t="str">
        <f aca="false">IF(OR(A218="",N(E218)&lt;=0),"",COUNTIFS($AH$2:$AH$801,"&lt;"&amp;AH218,$E$2:$E$801,"&gt;0")+COUNTIFS($AH$2:AH218,AH218,$E$2:E218,"&gt;0"))</f>
        <v/>
      </c>
    </row>
    <row r="219" customFormat="false" ht="15" hidden="false" customHeight="false" outlineLevel="0" collapsed="false">
      <c r="A219" s="11" t="str">
        <f aca="false">IF(INVENTÁRIO!A219="","",INVENTÁRIO!A219)</f>
        <v/>
      </c>
      <c r="B219" s="11" t="str">
        <f aca="false">IF(A219="","",INVENTÁRIO!B219)</f>
        <v/>
      </c>
      <c r="C219" s="16" t="str">
        <f aca="false">IF(A219="","",INVENTÁRIO!C219)</f>
        <v/>
      </c>
      <c r="D219" s="14" t="str">
        <f aca="false">IF(A219="","",MAX(K219:AD219))</f>
        <v/>
      </c>
      <c r="E219" s="14" t="str">
        <f aca="false">IF(A219="","",MAX(0,D219-C219))</f>
        <v/>
      </c>
      <c r="F219" s="16" t="str">
        <f aca="false">IF(A219="","",IF(D219=0,"Fora dos decks",IF(E219=0,"Completo","Falta")))</f>
        <v/>
      </c>
      <c r="G219" s="16" t="str">
        <f aca="false">IF(A219="","",COUNTIF(K219:AD219,"&gt;0"))</f>
        <v/>
      </c>
      <c r="H219" s="16" t="str">
        <f aca="false">IF(A219="","",IF(G219&gt;1,"Sim",""))</f>
        <v/>
      </c>
      <c r="I219" s="18" t="str">
        <f aca="false">IF(A219="","",SUMIFS(DECKS!$D$2:$D$1201,DECKS!$B$2:$B$1201,A219))</f>
        <v/>
      </c>
      <c r="J219" s="18" t="str">
        <f aca="false">IF(A219="","",MAX(0,I219-C219))</f>
        <v/>
      </c>
      <c r="K219" s="19" t="str">
        <f aca="false">IF(OR($A219="",INDEX(_LEITURA!$Q$2:$Q$21,1)=0),"",SUMIFS(DECKS!$D$2:$D$1201,DECKS!$A$2:$A$1201,INDEX(_LEITURA!$P$2:$P$21,1),DECKS!$B$2:$B$1201,$A219))</f>
        <v/>
      </c>
      <c r="L219" s="19" t="str">
        <f aca="false">IF(OR($A219="",INDEX(_LEITURA!$Q$2:$Q$21,2)=0),"",SUMIFS(DECKS!$D$2:$D$1201,DECKS!$A$2:$A$1201,INDEX(_LEITURA!$P$2:$P$21,2),DECKS!$B$2:$B$1201,$A219))</f>
        <v/>
      </c>
      <c r="M219" s="19" t="str">
        <f aca="false">IF(OR($A219="",INDEX(_LEITURA!$Q$2:$Q$21,3)=0),"",SUMIFS(DECKS!$D$2:$D$1201,DECKS!$A$2:$A$1201,INDEX(_LEITURA!$P$2:$P$21,3),DECKS!$B$2:$B$1201,$A219))</f>
        <v/>
      </c>
      <c r="N219" s="19" t="str">
        <f aca="false">IF(OR($A219="",INDEX(_LEITURA!$Q$2:$Q$21,4)=0),"",SUMIFS(DECKS!$D$2:$D$1201,DECKS!$A$2:$A$1201,INDEX(_LEITURA!$P$2:$P$21,4),DECKS!$B$2:$B$1201,$A219))</f>
        <v/>
      </c>
      <c r="O219" s="19" t="str">
        <f aca="false">IF(OR($A219="",INDEX(_LEITURA!$Q$2:$Q$21,5)=0),"",SUMIFS(DECKS!$D$2:$D$1201,DECKS!$A$2:$A$1201,INDEX(_LEITURA!$P$2:$P$21,5),DECKS!$B$2:$B$1201,$A219))</f>
        <v/>
      </c>
      <c r="P219" s="19" t="str">
        <f aca="false">IF(OR($A219="",INDEX(_LEITURA!$Q$2:$Q$21,6)=0),"",SUMIFS(DECKS!$D$2:$D$1201,DECKS!$A$2:$A$1201,INDEX(_LEITURA!$P$2:$P$21,6),DECKS!$B$2:$B$1201,$A219))</f>
        <v/>
      </c>
      <c r="Q219" s="19" t="str">
        <f aca="false">IF(OR($A219="",INDEX(_LEITURA!$Q$2:$Q$21,7)=0),"",SUMIFS(DECKS!$D$2:$D$1201,DECKS!$A$2:$A$1201,INDEX(_LEITURA!$P$2:$P$21,7),DECKS!$B$2:$B$1201,$A219))</f>
        <v/>
      </c>
      <c r="R219" s="19" t="str">
        <f aca="false">IF(OR($A219="",INDEX(_LEITURA!$Q$2:$Q$21,8)=0),"",SUMIFS(DECKS!$D$2:$D$1201,DECKS!$A$2:$A$1201,INDEX(_LEITURA!$P$2:$P$21,8),DECKS!$B$2:$B$1201,$A219))</f>
        <v/>
      </c>
      <c r="S219" s="19" t="str">
        <f aca="false">IF(OR($A219="",INDEX(_LEITURA!$Q$2:$Q$21,9)=0),"",SUMIFS(DECKS!$D$2:$D$1201,DECKS!$A$2:$A$1201,INDEX(_LEITURA!$P$2:$P$21,9),DECKS!$B$2:$B$1201,$A219))</f>
        <v/>
      </c>
      <c r="T219" s="19" t="str">
        <f aca="false">IF(OR($A219="",INDEX(_LEITURA!$Q$2:$Q$21,10)=0),"",SUMIFS(DECKS!$D$2:$D$1201,DECKS!$A$2:$A$1201,INDEX(_LEITURA!$P$2:$P$21,10),DECKS!$B$2:$B$1201,$A219))</f>
        <v/>
      </c>
      <c r="U219" s="19" t="str">
        <f aca="false">IF(OR($A219="",INDEX(_LEITURA!$Q$2:$Q$21,11)=0),"",SUMIFS(DECKS!$D$2:$D$1201,DECKS!$A$2:$A$1201,INDEX(_LEITURA!$P$2:$P$21,11),DECKS!$B$2:$B$1201,$A219))</f>
        <v/>
      </c>
      <c r="V219" s="19" t="str">
        <f aca="false">IF(OR($A219="",INDEX(_LEITURA!$Q$2:$Q$21,12)=0),"",SUMIFS(DECKS!$D$2:$D$1201,DECKS!$A$2:$A$1201,INDEX(_LEITURA!$P$2:$P$21,12),DECKS!$B$2:$B$1201,$A219))</f>
        <v/>
      </c>
      <c r="W219" s="19" t="str">
        <f aca="false">IF(OR($A219="",INDEX(_LEITURA!$Q$2:$Q$21,13)=0),"",SUMIFS(DECKS!$D$2:$D$1201,DECKS!$A$2:$A$1201,INDEX(_LEITURA!$P$2:$P$21,13),DECKS!$B$2:$B$1201,$A219))</f>
        <v/>
      </c>
      <c r="X219" s="19" t="str">
        <f aca="false">IF(OR($A219="",INDEX(_LEITURA!$Q$2:$Q$21,14)=0),"",SUMIFS(DECKS!$D$2:$D$1201,DECKS!$A$2:$A$1201,INDEX(_LEITURA!$P$2:$P$21,14),DECKS!$B$2:$B$1201,$A219))</f>
        <v/>
      </c>
      <c r="Y219" s="19" t="str">
        <f aca="false">IF(OR($A219="",INDEX(_LEITURA!$Q$2:$Q$21,15)=0),"",SUMIFS(DECKS!$D$2:$D$1201,DECKS!$A$2:$A$1201,INDEX(_LEITURA!$P$2:$P$21,15),DECKS!$B$2:$B$1201,$A219))</f>
        <v/>
      </c>
      <c r="Z219" s="19" t="str">
        <f aca="false">IF(OR($A219="",INDEX(_LEITURA!$Q$2:$Q$21,16)=0),"",SUMIFS(DECKS!$D$2:$D$1201,DECKS!$A$2:$A$1201,INDEX(_LEITURA!$P$2:$P$21,16),DECKS!$B$2:$B$1201,$A219))</f>
        <v/>
      </c>
      <c r="AA219" s="19" t="str">
        <f aca="false">IF(OR($A219="",INDEX(_LEITURA!$Q$2:$Q$21,17)=0),"",SUMIFS(DECKS!$D$2:$D$1201,DECKS!$A$2:$A$1201,INDEX(_LEITURA!$P$2:$P$21,17),DECKS!$B$2:$B$1201,$A219))</f>
        <v/>
      </c>
      <c r="AB219" s="19" t="str">
        <f aca="false">IF(OR($A219="",INDEX(_LEITURA!$Q$2:$Q$21,18)=0),"",SUMIFS(DECKS!$D$2:$D$1201,DECKS!$A$2:$A$1201,INDEX(_LEITURA!$P$2:$P$21,18),DECKS!$B$2:$B$1201,$A219))</f>
        <v/>
      </c>
      <c r="AC219" s="19" t="str">
        <f aca="false">IF(OR($A219="",INDEX(_LEITURA!$Q$2:$Q$21,19)=0),"",SUMIFS(DECKS!$D$2:$D$1201,DECKS!$A$2:$A$1201,INDEX(_LEITURA!$P$2:$P$21,19),DECKS!$B$2:$B$1201,$A219))</f>
        <v/>
      </c>
      <c r="AD219" s="19" t="str">
        <f aca="false">IF(OR($A219="",INDEX(_LEITURA!$Q$2:$Q$21,20)=0),"",SUMIFS(DECKS!$D$2:$D$1201,DECKS!$A$2:$A$1201,INDEX(_LEITURA!$P$2:$P$21,20),DECKS!$B$2:$B$1201,$A219))</f>
        <v/>
      </c>
      <c r="AE219" s="16" t="str">
        <f aca="false">IF(N(E219)&gt;0,MAX(AE$1:AE218)+1,"")</f>
        <v/>
      </c>
      <c r="AF219" s="11" t="str">
        <f aca="false">IF(A219="","",IFERROR(LEFT(A219,FIND("-",A219)-1),A219))</f>
        <v/>
      </c>
      <c r="AG219" s="11" t="str">
        <f aca="false">IF(AF219="","",IF(ISNUMBER(--MID(AF219,1,1)),0,IF(ISNUMBER(--MID(AF219,2,1)),1,IF(ISNUMBER(--MID(AF219,3,1)),2,IF(ISNUMBER(--MID(AF219,4,1)),3,MIN(LEN(AF219),4))))))</f>
        <v/>
      </c>
      <c r="AH219" s="11" t="str">
        <f aca="false">IF(A219="","",LEFT(AF219,AG219)&amp;REPT("0",4-AG219)&amp;RIGHT("000"&amp;IFERROR(VALUE(MID(AF219,AG219+1,9)),0),3)&amp;RIGHT("0000"&amp;IFERROR(VALUE(MID(A219,FIND("-",A219)+1,9)),0),4))</f>
        <v/>
      </c>
      <c r="AI219" s="11" t="str">
        <f aca="false">IF(OR(A219="",N(E219)&lt;=0),"",IF('FALTAS GERAL'!$M$1="Código","K"&amp;AH219&amp;RIGHT("00000"&amp;ROW(),5),IF('FALTAS GERAL'!$M$1="Nome","K"&amp;UPPER(SUBSTITUTE(SUBSTITUTE(SUBSTITUTE(B219,"*",""),"?",""),"~",""))&amp;"0"&amp;AH219&amp;RIGHT("00000"&amp;ROW(),5),IF('FALTAS GERAL'!$M$1="Falta (maior primeiro)","K"&amp;RIGHT("0000"&amp;(9999-E219),4)&amp;AH219&amp;RIGHT("00000"&amp;ROW(),5),IF('FALTAS GERAL'!$M$1="Nº de decks (maior primeiro)","K"&amp;RIGHT("00"&amp;(99-N(G219)),2)&amp;AH219&amp;RIGHT("00000"&amp;ROW(),5),"K"&amp;RIGHT("00000"&amp;ROW(),5))))))</f>
        <v/>
      </c>
      <c r="AJ219" s="11" t="str">
        <f aca="false">IF(AI219="","",COUNTIFS($AI$2:$AI$801,"&lt;"&amp;AI219,$E$2:$E$801,"&gt;0")+1)</f>
        <v/>
      </c>
      <c r="AK219" s="11" t="str">
        <f aca="false">IF(OR(A219="",N(E219)&lt;=0),"",COUNTIFS($AH$2:$AH$801,"&lt;"&amp;AH219,$E$2:$E$801,"&gt;0")+COUNTIFS($AH$2:AH219,AH219,$E$2:E219,"&gt;0"))</f>
        <v/>
      </c>
    </row>
    <row r="220" customFormat="false" ht="15" hidden="false" customHeight="false" outlineLevel="0" collapsed="false">
      <c r="A220" s="11" t="str">
        <f aca="false">IF(INVENTÁRIO!A220="","",INVENTÁRIO!A220)</f>
        <v/>
      </c>
      <c r="B220" s="11" t="str">
        <f aca="false">IF(A220="","",INVENTÁRIO!B220)</f>
        <v/>
      </c>
      <c r="C220" s="16" t="str">
        <f aca="false">IF(A220="","",INVENTÁRIO!C220)</f>
        <v/>
      </c>
      <c r="D220" s="14" t="str">
        <f aca="false">IF(A220="","",MAX(K220:AD220))</f>
        <v/>
      </c>
      <c r="E220" s="14" t="str">
        <f aca="false">IF(A220="","",MAX(0,D220-C220))</f>
        <v/>
      </c>
      <c r="F220" s="16" t="str">
        <f aca="false">IF(A220="","",IF(D220=0,"Fora dos decks",IF(E220=0,"Completo","Falta")))</f>
        <v/>
      </c>
      <c r="G220" s="16" t="str">
        <f aca="false">IF(A220="","",COUNTIF(K220:AD220,"&gt;0"))</f>
        <v/>
      </c>
      <c r="H220" s="16" t="str">
        <f aca="false">IF(A220="","",IF(G220&gt;1,"Sim",""))</f>
        <v/>
      </c>
      <c r="I220" s="18" t="str">
        <f aca="false">IF(A220="","",SUMIFS(DECKS!$D$2:$D$1201,DECKS!$B$2:$B$1201,A220))</f>
        <v/>
      </c>
      <c r="J220" s="18" t="str">
        <f aca="false">IF(A220="","",MAX(0,I220-C220))</f>
        <v/>
      </c>
      <c r="K220" s="19" t="str">
        <f aca="false">IF(OR($A220="",INDEX(_LEITURA!$Q$2:$Q$21,1)=0),"",SUMIFS(DECKS!$D$2:$D$1201,DECKS!$A$2:$A$1201,INDEX(_LEITURA!$P$2:$P$21,1),DECKS!$B$2:$B$1201,$A220))</f>
        <v/>
      </c>
      <c r="L220" s="19" t="str">
        <f aca="false">IF(OR($A220="",INDEX(_LEITURA!$Q$2:$Q$21,2)=0),"",SUMIFS(DECKS!$D$2:$D$1201,DECKS!$A$2:$A$1201,INDEX(_LEITURA!$P$2:$P$21,2),DECKS!$B$2:$B$1201,$A220))</f>
        <v/>
      </c>
      <c r="M220" s="19" t="str">
        <f aca="false">IF(OR($A220="",INDEX(_LEITURA!$Q$2:$Q$21,3)=0),"",SUMIFS(DECKS!$D$2:$D$1201,DECKS!$A$2:$A$1201,INDEX(_LEITURA!$P$2:$P$21,3),DECKS!$B$2:$B$1201,$A220))</f>
        <v/>
      </c>
      <c r="N220" s="19" t="str">
        <f aca="false">IF(OR($A220="",INDEX(_LEITURA!$Q$2:$Q$21,4)=0),"",SUMIFS(DECKS!$D$2:$D$1201,DECKS!$A$2:$A$1201,INDEX(_LEITURA!$P$2:$P$21,4),DECKS!$B$2:$B$1201,$A220))</f>
        <v/>
      </c>
      <c r="O220" s="19" t="str">
        <f aca="false">IF(OR($A220="",INDEX(_LEITURA!$Q$2:$Q$21,5)=0),"",SUMIFS(DECKS!$D$2:$D$1201,DECKS!$A$2:$A$1201,INDEX(_LEITURA!$P$2:$P$21,5),DECKS!$B$2:$B$1201,$A220))</f>
        <v/>
      </c>
      <c r="P220" s="19" t="str">
        <f aca="false">IF(OR($A220="",INDEX(_LEITURA!$Q$2:$Q$21,6)=0),"",SUMIFS(DECKS!$D$2:$D$1201,DECKS!$A$2:$A$1201,INDEX(_LEITURA!$P$2:$P$21,6),DECKS!$B$2:$B$1201,$A220))</f>
        <v/>
      </c>
      <c r="Q220" s="19" t="str">
        <f aca="false">IF(OR($A220="",INDEX(_LEITURA!$Q$2:$Q$21,7)=0),"",SUMIFS(DECKS!$D$2:$D$1201,DECKS!$A$2:$A$1201,INDEX(_LEITURA!$P$2:$P$21,7),DECKS!$B$2:$B$1201,$A220))</f>
        <v/>
      </c>
      <c r="R220" s="19" t="str">
        <f aca="false">IF(OR($A220="",INDEX(_LEITURA!$Q$2:$Q$21,8)=0),"",SUMIFS(DECKS!$D$2:$D$1201,DECKS!$A$2:$A$1201,INDEX(_LEITURA!$P$2:$P$21,8),DECKS!$B$2:$B$1201,$A220))</f>
        <v/>
      </c>
      <c r="S220" s="19" t="str">
        <f aca="false">IF(OR($A220="",INDEX(_LEITURA!$Q$2:$Q$21,9)=0),"",SUMIFS(DECKS!$D$2:$D$1201,DECKS!$A$2:$A$1201,INDEX(_LEITURA!$P$2:$P$21,9),DECKS!$B$2:$B$1201,$A220))</f>
        <v/>
      </c>
      <c r="T220" s="19" t="str">
        <f aca="false">IF(OR($A220="",INDEX(_LEITURA!$Q$2:$Q$21,10)=0),"",SUMIFS(DECKS!$D$2:$D$1201,DECKS!$A$2:$A$1201,INDEX(_LEITURA!$P$2:$P$21,10),DECKS!$B$2:$B$1201,$A220))</f>
        <v/>
      </c>
      <c r="U220" s="19" t="str">
        <f aca="false">IF(OR($A220="",INDEX(_LEITURA!$Q$2:$Q$21,11)=0),"",SUMIFS(DECKS!$D$2:$D$1201,DECKS!$A$2:$A$1201,INDEX(_LEITURA!$P$2:$P$21,11),DECKS!$B$2:$B$1201,$A220))</f>
        <v/>
      </c>
      <c r="V220" s="19" t="str">
        <f aca="false">IF(OR($A220="",INDEX(_LEITURA!$Q$2:$Q$21,12)=0),"",SUMIFS(DECKS!$D$2:$D$1201,DECKS!$A$2:$A$1201,INDEX(_LEITURA!$P$2:$P$21,12),DECKS!$B$2:$B$1201,$A220))</f>
        <v/>
      </c>
      <c r="W220" s="19" t="str">
        <f aca="false">IF(OR($A220="",INDEX(_LEITURA!$Q$2:$Q$21,13)=0),"",SUMIFS(DECKS!$D$2:$D$1201,DECKS!$A$2:$A$1201,INDEX(_LEITURA!$P$2:$P$21,13),DECKS!$B$2:$B$1201,$A220))</f>
        <v/>
      </c>
      <c r="X220" s="19" t="str">
        <f aca="false">IF(OR($A220="",INDEX(_LEITURA!$Q$2:$Q$21,14)=0),"",SUMIFS(DECKS!$D$2:$D$1201,DECKS!$A$2:$A$1201,INDEX(_LEITURA!$P$2:$P$21,14),DECKS!$B$2:$B$1201,$A220))</f>
        <v/>
      </c>
      <c r="Y220" s="19" t="str">
        <f aca="false">IF(OR($A220="",INDEX(_LEITURA!$Q$2:$Q$21,15)=0),"",SUMIFS(DECKS!$D$2:$D$1201,DECKS!$A$2:$A$1201,INDEX(_LEITURA!$P$2:$P$21,15),DECKS!$B$2:$B$1201,$A220))</f>
        <v/>
      </c>
      <c r="Z220" s="19" t="str">
        <f aca="false">IF(OR($A220="",INDEX(_LEITURA!$Q$2:$Q$21,16)=0),"",SUMIFS(DECKS!$D$2:$D$1201,DECKS!$A$2:$A$1201,INDEX(_LEITURA!$P$2:$P$21,16),DECKS!$B$2:$B$1201,$A220))</f>
        <v/>
      </c>
      <c r="AA220" s="19" t="str">
        <f aca="false">IF(OR($A220="",INDEX(_LEITURA!$Q$2:$Q$21,17)=0),"",SUMIFS(DECKS!$D$2:$D$1201,DECKS!$A$2:$A$1201,INDEX(_LEITURA!$P$2:$P$21,17),DECKS!$B$2:$B$1201,$A220))</f>
        <v/>
      </c>
      <c r="AB220" s="19" t="str">
        <f aca="false">IF(OR($A220="",INDEX(_LEITURA!$Q$2:$Q$21,18)=0),"",SUMIFS(DECKS!$D$2:$D$1201,DECKS!$A$2:$A$1201,INDEX(_LEITURA!$P$2:$P$21,18),DECKS!$B$2:$B$1201,$A220))</f>
        <v/>
      </c>
      <c r="AC220" s="19" t="str">
        <f aca="false">IF(OR($A220="",INDEX(_LEITURA!$Q$2:$Q$21,19)=0),"",SUMIFS(DECKS!$D$2:$D$1201,DECKS!$A$2:$A$1201,INDEX(_LEITURA!$P$2:$P$21,19),DECKS!$B$2:$B$1201,$A220))</f>
        <v/>
      </c>
      <c r="AD220" s="19" t="str">
        <f aca="false">IF(OR($A220="",INDEX(_LEITURA!$Q$2:$Q$21,20)=0),"",SUMIFS(DECKS!$D$2:$D$1201,DECKS!$A$2:$A$1201,INDEX(_LEITURA!$P$2:$P$21,20),DECKS!$B$2:$B$1201,$A220))</f>
        <v/>
      </c>
      <c r="AE220" s="16" t="str">
        <f aca="false">IF(N(E220)&gt;0,MAX(AE$1:AE219)+1,"")</f>
        <v/>
      </c>
      <c r="AF220" s="11" t="str">
        <f aca="false">IF(A220="","",IFERROR(LEFT(A220,FIND("-",A220)-1),A220))</f>
        <v/>
      </c>
      <c r="AG220" s="11" t="str">
        <f aca="false">IF(AF220="","",IF(ISNUMBER(--MID(AF220,1,1)),0,IF(ISNUMBER(--MID(AF220,2,1)),1,IF(ISNUMBER(--MID(AF220,3,1)),2,IF(ISNUMBER(--MID(AF220,4,1)),3,MIN(LEN(AF220),4))))))</f>
        <v/>
      </c>
      <c r="AH220" s="11" t="str">
        <f aca="false">IF(A220="","",LEFT(AF220,AG220)&amp;REPT("0",4-AG220)&amp;RIGHT("000"&amp;IFERROR(VALUE(MID(AF220,AG220+1,9)),0),3)&amp;RIGHT("0000"&amp;IFERROR(VALUE(MID(A220,FIND("-",A220)+1,9)),0),4))</f>
        <v/>
      </c>
      <c r="AI220" s="11" t="str">
        <f aca="false">IF(OR(A220="",N(E220)&lt;=0),"",IF('FALTAS GERAL'!$M$1="Código","K"&amp;AH220&amp;RIGHT("00000"&amp;ROW(),5),IF('FALTAS GERAL'!$M$1="Nome","K"&amp;UPPER(SUBSTITUTE(SUBSTITUTE(SUBSTITUTE(B220,"*",""),"?",""),"~",""))&amp;"0"&amp;AH220&amp;RIGHT("00000"&amp;ROW(),5),IF('FALTAS GERAL'!$M$1="Falta (maior primeiro)","K"&amp;RIGHT("0000"&amp;(9999-E220),4)&amp;AH220&amp;RIGHT("00000"&amp;ROW(),5),IF('FALTAS GERAL'!$M$1="Nº de decks (maior primeiro)","K"&amp;RIGHT("00"&amp;(99-N(G220)),2)&amp;AH220&amp;RIGHT("00000"&amp;ROW(),5),"K"&amp;RIGHT("00000"&amp;ROW(),5))))))</f>
        <v/>
      </c>
      <c r="AJ220" s="11" t="str">
        <f aca="false">IF(AI220="","",COUNTIFS($AI$2:$AI$801,"&lt;"&amp;AI220,$E$2:$E$801,"&gt;0")+1)</f>
        <v/>
      </c>
      <c r="AK220" s="11" t="str">
        <f aca="false">IF(OR(A220="",N(E220)&lt;=0),"",COUNTIFS($AH$2:$AH$801,"&lt;"&amp;AH220,$E$2:$E$801,"&gt;0")+COUNTIFS($AH$2:AH220,AH220,$E$2:E220,"&gt;0"))</f>
        <v/>
      </c>
    </row>
    <row r="221" customFormat="false" ht="15" hidden="false" customHeight="false" outlineLevel="0" collapsed="false">
      <c r="A221" s="11" t="str">
        <f aca="false">IF(INVENTÁRIO!A221="","",INVENTÁRIO!A221)</f>
        <v/>
      </c>
      <c r="B221" s="11" t="str">
        <f aca="false">IF(A221="","",INVENTÁRIO!B221)</f>
        <v/>
      </c>
      <c r="C221" s="16" t="str">
        <f aca="false">IF(A221="","",INVENTÁRIO!C221)</f>
        <v/>
      </c>
      <c r="D221" s="14" t="str">
        <f aca="false">IF(A221="","",MAX(K221:AD221))</f>
        <v/>
      </c>
      <c r="E221" s="14" t="str">
        <f aca="false">IF(A221="","",MAX(0,D221-C221))</f>
        <v/>
      </c>
      <c r="F221" s="16" t="str">
        <f aca="false">IF(A221="","",IF(D221=0,"Fora dos decks",IF(E221=0,"Completo","Falta")))</f>
        <v/>
      </c>
      <c r="G221" s="16" t="str">
        <f aca="false">IF(A221="","",COUNTIF(K221:AD221,"&gt;0"))</f>
        <v/>
      </c>
      <c r="H221" s="16" t="str">
        <f aca="false">IF(A221="","",IF(G221&gt;1,"Sim",""))</f>
        <v/>
      </c>
      <c r="I221" s="18" t="str">
        <f aca="false">IF(A221="","",SUMIFS(DECKS!$D$2:$D$1201,DECKS!$B$2:$B$1201,A221))</f>
        <v/>
      </c>
      <c r="J221" s="18" t="str">
        <f aca="false">IF(A221="","",MAX(0,I221-C221))</f>
        <v/>
      </c>
      <c r="K221" s="19" t="str">
        <f aca="false">IF(OR($A221="",INDEX(_LEITURA!$Q$2:$Q$21,1)=0),"",SUMIFS(DECKS!$D$2:$D$1201,DECKS!$A$2:$A$1201,INDEX(_LEITURA!$P$2:$P$21,1),DECKS!$B$2:$B$1201,$A221))</f>
        <v/>
      </c>
      <c r="L221" s="19" t="str">
        <f aca="false">IF(OR($A221="",INDEX(_LEITURA!$Q$2:$Q$21,2)=0),"",SUMIFS(DECKS!$D$2:$D$1201,DECKS!$A$2:$A$1201,INDEX(_LEITURA!$P$2:$P$21,2),DECKS!$B$2:$B$1201,$A221))</f>
        <v/>
      </c>
      <c r="M221" s="19" t="str">
        <f aca="false">IF(OR($A221="",INDEX(_LEITURA!$Q$2:$Q$21,3)=0),"",SUMIFS(DECKS!$D$2:$D$1201,DECKS!$A$2:$A$1201,INDEX(_LEITURA!$P$2:$P$21,3),DECKS!$B$2:$B$1201,$A221))</f>
        <v/>
      </c>
      <c r="N221" s="19" t="str">
        <f aca="false">IF(OR($A221="",INDEX(_LEITURA!$Q$2:$Q$21,4)=0),"",SUMIFS(DECKS!$D$2:$D$1201,DECKS!$A$2:$A$1201,INDEX(_LEITURA!$P$2:$P$21,4),DECKS!$B$2:$B$1201,$A221))</f>
        <v/>
      </c>
      <c r="O221" s="19" t="str">
        <f aca="false">IF(OR($A221="",INDEX(_LEITURA!$Q$2:$Q$21,5)=0),"",SUMIFS(DECKS!$D$2:$D$1201,DECKS!$A$2:$A$1201,INDEX(_LEITURA!$P$2:$P$21,5),DECKS!$B$2:$B$1201,$A221))</f>
        <v/>
      </c>
      <c r="P221" s="19" t="str">
        <f aca="false">IF(OR($A221="",INDEX(_LEITURA!$Q$2:$Q$21,6)=0),"",SUMIFS(DECKS!$D$2:$D$1201,DECKS!$A$2:$A$1201,INDEX(_LEITURA!$P$2:$P$21,6),DECKS!$B$2:$B$1201,$A221))</f>
        <v/>
      </c>
      <c r="Q221" s="19" t="str">
        <f aca="false">IF(OR($A221="",INDEX(_LEITURA!$Q$2:$Q$21,7)=0),"",SUMIFS(DECKS!$D$2:$D$1201,DECKS!$A$2:$A$1201,INDEX(_LEITURA!$P$2:$P$21,7),DECKS!$B$2:$B$1201,$A221))</f>
        <v/>
      </c>
      <c r="R221" s="19" t="str">
        <f aca="false">IF(OR($A221="",INDEX(_LEITURA!$Q$2:$Q$21,8)=0),"",SUMIFS(DECKS!$D$2:$D$1201,DECKS!$A$2:$A$1201,INDEX(_LEITURA!$P$2:$P$21,8),DECKS!$B$2:$B$1201,$A221))</f>
        <v/>
      </c>
      <c r="S221" s="19" t="str">
        <f aca="false">IF(OR($A221="",INDEX(_LEITURA!$Q$2:$Q$21,9)=0),"",SUMIFS(DECKS!$D$2:$D$1201,DECKS!$A$2:$A$1201,INDEX(_LEITURA!$P$2:$P$21,9),DECKS!$B$2:$B$1201,$A221))</f>
        <v/>
      </c>
      <c r="T221" s="19" t="str">
        <f aca="false">IF(OR($A221="",INDEX(_LEITURA!$Q$2:$Q$21,10)=0),"",SUMIFS(DECKS!$D$2:$D$1201,DECKS!$A$2:$A$1201,INDEX(_LEITURA!$P$2:$P$21,10),DECKS!$B$2:$B$1201,$A221))</f>
        <v/>
      </c>
      <c r="U221" s="19" t="str">
        <f aca="false">IF(OR($A221="",INDEX(_LEITURA!$Q$2:$Q$21,11)=0),"",SUMIFS(DECKS!$D$2:$D$1201,DECKS!$A$2:$A$1201,INDEX(_LEITURA!$P$2:$P$21,11),DECKS!$B$2:$B$1201,$A221))</f>
        <v/>
      </c>
      <c r="V221" s="19" t="str">
        <f aca="false">IF(OR($A221="",INDEX(_LEITURA!$Q$2:$Q$21,12)=0),"",SUMIFS(DECKS!$D$2:$D$1201,DECKS!$A$2:$A$1201,INDEX(_LEITURA!$P$2:$P$21,12),DECKS!$B$2:$B$1201,$A221))</f>
        <v/>
      </c>
      <c r="W221" s="19" t="str">
        <f aca="false">IF(OR($A221="",INDEX(_LEITURA!$Q$2:$Q$21,13)=0),"",SUMIFS(DECKS!$D$2:$D$1201,DECKS!$A$2:$A$1201,INDEX(_LEITURA!$P$2:$P$21,13),DECKS!$B$2:$B$1201,$A221))</f>
        <v/>
      </c>
      <c r="X221" s="19" t="str">
        <f aca="false">IF(OR($A221="",INDEX(_LEITURA!$Q$2:$Q$21,14)=0),"",SUMIFS(DECKS!$D$2:$D$1201,DECKS!$A$2:$A$1201,INDEX(_LEITURA!$P$2:$P$21,14),DECKS!$B$2:$B$1201,$A221))</f>
        <v/>
      </c>
      <c r="Y221" s="19" t="str">
        <f aca="false">IF(OR($A221="",INDEX(_LEITURA!$Q$2:$Q$21,15)=0),"",SUMIFS(DECKS!$D$2:$D$1201,DECKS!$A$2:$A$1201,INDEX(_LEITURA!$P$2:$P$21,15),DECKS!$B$2:$B$1201,$A221))</f>
        <v/>
      </c>
      <c r="Z221" s="19" t="str">
        <f aca="false">IF(OR($A221="",INDEX(_LEITURA!$Q$2:$Q$21,16)=0),"",SUMIFS(DECKS!$D$2:$D$1201,DECKS!$A$2:$A$1201,INDEX(_LEITURA!$P$2:$P$21,16),DECKS!$B$2:$B$1201,$A221))</f>
        <v/>
      </c>
      <c r="AA221" s="19" t="str">
        <f aca="false">IF(OR($A221="",INDEX(_LEITURA!$Q$2:$Q$21,17)=0),"",SUMIFS(DECKS!$D$2:$D$1201,DECKS!$A$2:$A$1201,INDEX(_LEITURA!$P$2:$P$21,17),DECKS!$B$2:$B$1201,$A221))</f>
        <v/>
      </c>
      <c r="AB221" s="19" t="str">
        <f aca="false">IF(OR($A221="",INDEX(_LEITURA!$Q$2:$Q$21,18)=0),"",SUMIFS(DECKS!$D$2:$D$1201,DECKS!$A$2:$A$1201,INDEX(_LEITURA!$P$2:$P$21,18),DECKS!$B$2:$B$1201,$A221))</f>
        <v/>
      </c>
      <c r="AC221" s="19" t="str">
        <f aca="false">IF(OR($A221="",INDEX(_LEITURA!$Q$2:$Q$21,19)=0),"",SUMIFS(DECKS!$D$2:$D$1201,DECKS!$A$2:$A$1201,INDEX(_LEITURA!$P$2:$P$21,19),DECKS!$B$2:$B$1201,$A221))</f>
        <v/>
      </c>
      <c r="AD221" s="19" t="str">
        <f aca="false">IF(OR($A221="",INDEX(_LEITURA!$Q$2:$Q$21,20)=0),"",SUMIFS(DECKS!$D$2:$D$1201,DECKS!$A$2:$A$1201,INDEX(_LEITURA!$P$2:$P$21,20),DECKS!$B$2:$B$1201,$A221))</f>
        <v/>
      </c>
      <c r="AE221" s="16" t="str">
        <f aca="false">IF(N(E221)&gt;0,MAX(AE$1:AE220)+1,"")</f>
        <v/>
      </c>
      <c r="AF221" s="11" t="str">
        <f aca="false">IF(A221="","",IFERROR(LEFT(A221,FIND("-",A221)-1),A221))</f>
        <v/>
      </c>
      <c r="AG221" s="11" t="str">
        <f aca="false">IF(AF221="","",IF(ISNUMBER(--MID(AF221,1,1)),0,IF(ISNUMBER(--MID(AF221,2,1)),1,IF(ISNUMBER(--MID(AF221,3,1)),2,IF(ISNUMBER(--MID(AF221,4,1)),3,MIN(LEN(AF221),4))))))</f>
        <v/>
      </c>
      <c r="AH221" s="11" t="str">
        <f aca="false">IF(A221="","",LEFT(AF221,AG221)&amp;REPT("0",4-AG221)&amp;RIGHT("000"&amp;IFERROR(VALUE(MID(AF221,AG221+1,9)),0),3)&amp;RIGHT("0000"&amp;IFERROR(VALUE(MID(A221,FIND("-",A221)+1,9)),0),4))</f>
        <v/>
      </c>
      <c r="AI221" s="11" t="str">
        <f aca="false">IF(OR(A221="",N(E221)&lt;=0),"",IF('FALTAS GERAL'!$M$1="Código","K"&amp;AH221&amp;RIGHT("00000"&amp;ROW(),5),IF('FALTAS GERAL'!$M$1="Nome","K"&amp;UPPER(SUBSTITUTE(SUBSTITUTE(SUBSTITUTE(B221,"*",""),"?",""),"~",""))&amp;"0"&amp;AH221&amp;RIGHT("00000"&amp;ROW(),5),IF('FALTAS GERAL'!$M$1="Falta (maior primeiro)","K"&amp;RIGHT("0000"&amp;(9999-E221),4)&amp;AH221&amp;RIGHT("00000"&amp;ROW(),5),IF('FALTAS GERAL'!$M$1="Nº de decks (maior primeiro)","K"&amp;RIGHT("00"&amp;(99-N(G221)),2)&amp;AH221&amp;RIGHT("00000"&amp;ROW(),5),"K"&amp;RIGHT("00000"&amp;ROW(),5))))))</f>
        <v/>
      </c>
      <c r="AJ221" s="11" t="str">
        <f aca="false">IF(AI221="","",COUNTIFS($AI$2:$AI$801,"&lt;"&amp;AI221,$E$2:$E$801,"&gt;0")+1)</f>
        <v/>
      </c>
      <c r="AK221" s="11" t="str">
        <f aca="false">IF(OR(A221="",N(E221)&lt;=0),"",COUNTIFS($AH$2:$AH$801,"&lt;"&amp;AH221,$E$2:$E$801,"&gt;0")+COUNTIFS($AH$2:AH221,AH221,$E$2:E221,"&gt;0"))</f>
        <v/>
      </c>
    </row>
    <row r="222" customFormat="false" ht="15" hidden="false" customHeight="false" outlineLevel="0" collapsed="false">
      <c r="A222" s="11" t="str">
        <f aca="false">IF(INVENTÁRIO!A222="","",INVENTÁRIO!A222)</f>
        <v/>
      </c>
      <c r="B222" s="11" t="str">
        <f aca="false">IF(A222="","",INVENTÁRIO!B222)</f>
        <v/>
      </c>
      <c r="C222" s="16" t="str">
        <f aca="false">IF(A222="","",INVENTÁRIO!C222)</f>
        <v/>
      </c>
      <c r="D222" s="14" t="str">
        <f aca="false">IF(A222="","",MAX(K222:AD222))</f>
        <v/>
      </c>
      <c r="E222" s="14" t="str">
        <f aca="false">IF(A222="","",MAX(0,D222-C222))</f>
        <v/>
      </c>
      <c r="F222" s="16" t="str">
        <f aca="false">IF(A222="","",IF(D222=0,"Fora dos decks",IF(E222=0,"Completo","Falta")))</f>
        <v/>
      </c>
      <c r="G222" s="16" t="str">
        <f aca="false">IF(A222="","",COUNTIF(K222:AD222,"&gt;0"))</f>
        <v/>
      </c>
      <c r="H222" s="16" t="str">
        <f aca="false">IF(A222="","",IF(G222&gt;1,"Sim",""))</f>
        <v/>
      </c>
      <c r="I222" s="18" t="str">
        <f aca="false">IF(A222="","",SUMIFS(DECKS!$D$2:$D$1201,DECKS!$B$2:$B$1201,A222))</f>
        <v/>
      </c>
      <c r="J222" s="18" t="str">
        <f aca="false">IF(A222="","",MAX(0,I222-C222))</f>
        <v/>
      </c>
      <c r="K222" s="19" t="str">
        <f aca="false">IF(OR($A222="",INDEX(_LEITURA!$Q$2:$Q$21,1)=0),"",SUMIFS(DECKS!$D$2:$D$1201,DECKS!$A$2:$A$1201,INDEX(_LEITURA!$P$2:$P$21,1),DECKS!$B$2:$B$1201,$A222))</f>
        <v/>
      </c>
      <c r="L222" s="19" t="str">
        <f aca="false">IF(OR($A222="",INDEX(_LEITURA!$Q$2:$Q$21,2)=0),"",SUMIFS(DECKS!$D$2:$D$1201,DECKS!$A$2:$A$1201,INDEX(_LEITURA!$P$2:$P$21,2),DECKS!$B$2:$B$1201,$A222))</f>
        <v/>
      </c>
      <c r="M222" s="19" t="str">
        <f aca="false">IF(OR($A222="",INDEX(_LEITURA!$Q$2:$Q$21,3)=0),"",SUMIFS(DECKS!$D$2:$D$1201,DECKS!$A$2:$A$1201,INDEX(_LEITURA!$P$2:$P$21,3),DECKS!$B$2:$B$1201,$A222))</f>
        <v/>
      </c>
      <c r="N222" s="19" t="str">
        <f aca="false">IF(OR($A222="",INDEX(_LEITURA!$Q$2:$Q$21,4)=0),"",SUMIFS(DECKS!$D$2:$D$1201,DECKS!$A$2:$A$1201,INDEX(_LEITURA!$P$2:$P$21,4),DECKS!$B$2:$B$1201,$A222))</f>
        <v/>
      </c>
      <c r="O222" s="19" t="str">
        <f aca="false">IF(OR($A222="",INDEX(_LEITURA!$Q$2:$Q$21,5)=0),"",SUMIFS(DECKS!$D$2:$D$1201,DECKS!$A$2:$A$1201,INDEX(_LEITURA!$P$2:$P$21,5),DECKS!$B$2:$B$1201,$A222))</f>
        <v/>
      </c>
      <c r="P222" s="19" t="str">
        <f aca="false">IF(OR($A222="",INDEX(_LEITURA!$Q$2:$Q$21,6)=0),"",SUMIFS(DECKS!$D$2:$D$1201,DECKS!$A$2:$A$1201,INDEX(_LEITURA!$P$2:$P$21,6),DECKS!$B$2:$B$1201,$A222))</f>
        <v/>
      </c>
      <c r="Q222" s="19" t="str">
        <f aca="false">IF(OR($A222="",INDEX(_LEITURA!$Q$2:$Q$21,7)=0),"",SUMIFS(DECKS!$D$2:$D$1201,DECKS!$A$2:$A$1201,INDEX(_LEITURA!$P$2:$P$21,7),DECKS!$B$2:$B$1201,$A222))</f>
        <v/>
      </c>
      <c r="R222" s="19" t="str">
        <f aca="false">IF(OR($A222="",INDEX(_LEITURA!$Q$2:$Q$21,8)=0),"",SUMIFS(DECKS!$D$2:$D$1201,DECKS!$A$2:$A$1201,INDEX(_LEITURA!$P$2:$P$21,8),DECKS!$B$2:$B$1201,$A222))</f>
        <v/>
      </c>
      <c r="S222" s="19" t="str">
        <f aca="false">IF(OR($A222="",INDEX(_LEITURA!$Q$2:$Q$21,9)=0),"",SUMIFS(DECKS!$D$2:$D$1201,DECKS!$A$2:$A$1201,INDEX(_LEITURA!$P$2:$P$21,9),DECKS!$B$2:$B$1201,$A222))</f>
        <v/>
      </c>
      <c r="T222" s="19" t="str">
        <f aca="false">IF(OR($A222="",INDEX(_LEITURA!$Q$2:$Q$21,10)=0),"",SUMIFS(DECKS!$D$2:$D$1201,DECKS!$A$2:$A$1201,INDEX(_LEITURA!$P$2:$P$21,10),DECKS!$B$2:$B$1201,$A222))</f>
        <v/>
      </c>
      <c r="U222" s="19" t="str">
        <f aca="false">IF(OR($A222="",INDEX(_LEITURA!$Q$2:$Q$21,11)=0),"",SUMIFS(DECKS!$D$2:$D$1201,DECKS!$A$2:$A$1201,INDEX(_LEITURA!$P$2:$P$21,11),DECKS!$B$2:$B$1201,$A222))</f>
        <v/>
      </c>
      <c r="V222" s="19" t="str">
        <f aca="false">IF(OR($A222="",INDEX(_LEITURA!$Q$2:$Q$21,12)=0),"",SUMIFS(DECKS!$D$2:$D$1201,DECKS!$A$2:$A$1201,INDEX(_LEITURA!$P$2:$P$21,12),DECKS!$B$2:$B$1201,$A222))</f>
        <v/>
      </c>
      <c r="W222" s="19" t="str">
        <f aca="false">IF(OR($A222="",INDEX(_LEITURA!$Q$2:$Q$21,13)=0),"",SUMIFS(DECKS!$D$2:$D$1201,DECKS!$A$2:$A$1201,INDEX(_LEITURA!$P$2:$P$21,13),DECKS!$B$2:$B$1201,$A222))</f>
        <v/>
      </c>
      <c r="X222" s="19" t="str">
        <f aca="false">IF(OR($A222="",INDEX(_LEITURA!$Q$2:$Q$21,14)=0),"",SUMIFS(DECKS!$D$2:$D$1201,DECKS!$A$2:$A$1201,INDEX(_LEITURA!$P$2:$P$21,14),DECKS!$B$2:$B$1201,$A222))</f>
        <v/>
      </c>
      <c r="Y222" s="19" t="str">
        <f aca="false">IF(OR($A222="",INDEX(_LEITURA!$Q$2:$Q$21,15)=0),"",SUMIFS(DECKS!$D$2:$D$1201,DECKS!$A$2:$A$1201,INDEX(_LEITURA!$P$2:$P$21,15),DECKS!$B$2:$B$1201,$A222))</f>
        <v/>
      </c>
      <c r="Z222" s="19" t="str">
        <f aca="false">IF(OR($A222="",INDEX(_LEITURA!$Q$2:$Q$21,16)=0),"",SUMIFS(DECKS!$D$2:$D$1201,DECKS!$A$2:$A$1201,INDEX(_LEITURA!$P$2:$P$21,16),DECKS!$B$2:$B$1201,$A222))</f>
        <v/>
      </c>
      <c r="AA222" s="19" t="str">
        <f aca="false">IF(OR($A222="",INDEX(_LEITURA!$Q$2:$Q$21,17)=0),"",SUMIFS(DECKS!$D$2:$D$1201,DECKS!$A$2:$A$1201,INDEX(_LEITURA!$P$2:$P$21,17),DECKS!$B$2:$B$1201,$A222))</f>
        <v/>
      </c>
      <c r="AB222" s="19" t="str">
        <f aca="false">IF(OR($A222="",INDEX(_LEITURA!$Q$2:$Q$21,18)=0),"",SUMIFS(DECKS!$D$2:$D$1201,DECKS!$A$2:$A$1201,INDEX(_LEITURA!$P$2:$P$21,18),DECKS!$B$2:$B$1201,$A222))</f>
        <v/>
      </c>
      <c r="AC222" s="19" t="str">
        <f aca="false">IF(OR($A222="",INDEX(_LEITURA!$Q$2:$Q$21,19)=0),"",SUMIFS(DECKS!$D$2:$D$1201,DECKS!$A$2:$A$1201,INDEX(_LEITURA!$P$2:$P$21,19),DECKS!$B$2:$B$1201,$A222))</f>
        <v/>
      </c>
      <c r="AD222" s="19" t="str">
        <f aca="false">IF(OR($A222="",INDEX(_LEITURA!$Q$2:$Q$21,20)=0),"",SUMIFS(DECKS!$D$2:$D$1201,DECKS!$A$2:$A$1201,INDEX(_LEITURA!$P$2:$P$21,20),DECKS!$B$2:$B$1201,$A222))</f>
        <v/>
      </c>
      <c r="AE222" s="16" t="str">
        <f aca="false">IF(N(E222)&gt;0,MAX(AE$1:AE221)+1,"")</f>
        <v/>
      </c>
      <c r="AF222" s="11" t="str">
        <f aca="false">IF(A222="","",IFERROR(LEFT(A222,FIND("-",A222)-1),A222))</f>
        <v/>
      </c>
      <c r="AG222" s="11" t="str">
        <f aca="false">IF(AF222="","",IF(ISNUMBER(--MID(AF222,1,1)),0,IF(ISNUMBER(--MID(AF222,2,1)),1,IF(ISNUMBER(--MID(AF222,3,1)),2,IF(ISNUMBER(--MID(AF222,4,1)),3,MIN(LEN(AF222),4))))))</f>
        <v/>
      </c>
      <c r="AH222" s="11" t="str">
        <f aca="false">IF(A222="","",LEFT(AF222,AG222)&amp;REPT("0",4-AG222)&amp;RIGHT("000"&amp;IFERROR(VALUE(MID(AF222,AG222+1,9)),0),3)&amp;RIGHT("0000"&amp;IFERROR(VALUE(MID(A222,FIND("-",A222)+1,9)),0),4))</f>
        <v/>
      </c>
      <c r="AI222" s="11" t="str">
        <f aca="false">IF(OR(A222="",N(E222)&lt;=0),"",IF('FALTAS GERAL'!$M$1="Código","K"&amp;AH222&amp;RIGHT("00000"&amp;ROW(),5),IF('FALTAS GERAL'!$M$1="Nome","K"&amp;UPPER(SUBSTITUTE(SUBSTITUTE(SUBSTITUTE(B222,"*",""),"?",""),"~",""))&amp;"0"&amp;AH222&amp;RIGHT("00000"&amp;ROW(),5),IF('FALTAS GERAL'!$M$1="Falta (maior primeiro)","K"&amp;RIGHT("0000"&amp;(9999-E222),4)&amp;AH222&amp;RIGHT("00000"&amp;ROW(),5),IF('FALTAS GERAL'!$M$1="Nº de decks (maior primeiro)","K"&amp;RIGHT("00"&amp;(99-N(G222)),2)&amp;AH222&amp;RIGHT("00000"&amp;ROW(),5),"K"&amp;RIGHT("00000"&amp;ROW(),5))))))</f>
        <v/>
      </c>
      <c r="AJ222" s="11" t="str">
        <f aca="false">IF(AI222="","",COUNTIFS($AI$2:$AI$801,"&lt;"&amp;AI222,$E$2:$E$801,"&gt;0")+1)</f>
        <v/>
      </c>
      <c r="AK222" s="11" t="str">
        <f aca="false">IF(OR(A222="",N(E222)&lt;=0),"",COUNTIFS($AH$2:$AH$801,"&lt;"&amp;AH222,$E$2:$E$801,"&gt;0")+COUNTIFS($AH$2:AH222,AH222,$E$2:E222,"&gt;0"))</f>
        <v/>
      </c>
    </row>
    <row r="223" customFormat="false" ht="15" hidden="false" customHeight="false" outlineLevel="0" collapsed="false">
      <c r="A223" s="11" t="str">
        <f aca="false">IF(INVENTÁRIO!A223="","",INVENTÁRIO!A223)</f>
        <v/>
      </c>
      <c r="B223" s="11" t="str">
        <f aca="false">IF(A223="","",INVENTÁRIO!B223)</f>
        <v/>
      </c>
      <c r="C223" s="16" t="str">
        <f aca="false">IF(A223="","",INVENTÁRIO!C223)</f>
        <v/>
      </c>
      <c r="D223" s="14" t="str">
        <f aca="false">IF(A223="","",MAX(K223:AD223))</f>
        <v/>
      </c>
      <c r="E223" s="14" t="str">
        <f aca="false">IF(A223="","",MAX(0,D223-C223))</f>
        <v/>
      </c>
      <c r="F223" s="16" t="str">
        <f aca="false">IF(A223="","",IF(D223=0,"Fora dos decks",IF(E223=0,"Completo","Falta")))</f>
        <v/>
      </c>
      <c r="G223" s="16" t="str">
        <f aca="false">IF(A223="","",COUNTIF(K223:AD223,"&gt;0"))</f>
        <v/>
      </c>
      <c r="H223" s="16" t="str">
        <f aca="false">IF(A223="","",IF(G223&gt;1,"Sim",""))</f>
        <v/>
      </c>
      <c r="I223" s="18" t="str">
        <f aca="false">IF(A223="","",SUMIFS(DECKS!$D$2:$D$1201,DECKS!$B$2:$B$1201,A223))</f>
        <v/>
      </c>
      <c r="J223" s="18" t="str">
        <f aca="false">IF(A223="","",MAX(0,I223-C223))</f>
        <v/>
      </c>
      <c r="K223" s="19" t="str">
        <f aca="false">IF(OR($A223="",INDEX(_LEITURA!$Q$2:$Q$21,1)=0),"",SUMIFS(DECKS!$D$2:$D$1201,DECKS!$A$2:$A$1201,INDEX(_LEITURA!$P$2:$P$21,1),DECKS!$B$2:$B$1201,$A223))</f>
        <v/>
      </c>
      <c r="L223" s="19" t="str">
        <f aca="false">IF(OR($A223="",INDEX(_LEITURA!$Q$2:$Q$21,2)=0),"",SUMIFS(DECKS!$D$2:$D$1201,DECKS!$A$2:$A$1201,INDEX(_LEITURA!$P$2:$P$21,2),DECKS!$B$2:$B$1201,$A223))</f>
        <v/>
      </c>
      <c r="M223" s="19" t="str">
        <f aca="false">IF(OR($A223="",INDEX(_LEITURA!$Q$2:$Q$21,3)=0),"",SUMIFS(DECKS!$D$2:$D$1201,DECKS!$A$2:$A$1201,INDEX(_LEITURA!$P$2:$P$21,3),DECKS!$B$2:$B$1201,$A223))</f>
        <v/>
      </c>
      <c r="N223" s="19" t="str">
        <f aca="false">IF(OR($A223="",INDEX(_LEITURA!$Q$2:$Q$21,4)=0),"",SUMIFS(DECKS!$D$2:$D$1201,DECKS!$A$2:$A$1201,INDEX(_LEITURA!$P$2:$P$21,4),DECKS!$B$2:$B$1201,$A223))</f>
        <v/>
      </c>
      <c r="O223" s="19" t="str">
        <f aca="false">IF(OR($A223="",INDEX(_LEITURA!$Q$2:$Q$21,5)=0),"",SUMIFS(DECKS!$D$2:$D$1201,DECKS!$A$2:$A$1201,INDEX(_LEITURA!$P$2:$P$21,5),DECKS!$B$2:$B$1201,$A223))</f>
        <v/>
      </c>
      <c r="P223" s="19" t="str">
        <f aca="false">IF(OR($A223="",INDEX(_LEITURA!$Q$2:$Q$21,6)=0),"",SUMIFS(DECKS!$D$2:$D$1201,DECKS!$A$2:$A$1201,INDEX(_LEITURA!$P$2:$P$21,6),DECKS!$B$2:$B$1201,$A223))</f>
        <v/>
      </c>
      <c r="Q223" s="19" t="str">
        <f aca="false">IF(OR($A223="",INDEX(_LEITURA!$Q$2:$Q$21,7)=0),"",SUMIFS(DECKS!$D$2:$D$1201,DECKS!$A$2:$A$1201,INDEX(_LEITURA!$P$2:$P$21,7),DECKS!$B$2:$B$1201,$A223))</f>
        <v/>
      </c>
      <c r="R223" s="19" t="str">
        <f aca="false">IF(OR($A223="",INDEX(_LEITURA!$Q$2:$Q$21,8)=0),"",SUMIFS(DECKS!$D$2:$D$1201,DECKS!$A$2:$A$1201,INDEX(_LEITURA!$P$2:$P$21,8),DECKS!$B$2:$B$1201,$A223))</f>
        <v/>
      </c>
      <c r="S223" s="19" t="str">
        <f aca="false">IF(OR($A223="",INDEX(_LEITURA!$Q$2:$Q$21,9)=0),"",SUMIFS(DECKS!$D$2:$D$1201,DECKS!$A$2:$A$1201,INDEX(_LEITURA!$P$2:$P$21,9),DECKS!$B$2:$B$1201,$A223))</f>
        <v/>
      </c>
      <c r="T223" s="19" t="str">
        <f aca="false">IF(OR($A223="",INDEX(_LEITURA!$Q$2:$Q$21,10)=0),"",SUMIFS(DECKS!$D$2:$D$1201,DECKS!$A$2:$A$1201,INDEX(_LEITURA!$P$2:$P$21,10),DECKS!$B$2:$B$1201,$A223))</f>
        <v/>
      </c>
      <c r="U223" s="19" t="str">
        <f aca="false">IF(OR($A223="",INDEX(_LEITURA!$Q$2:$Q$21,11)=0),"",SUMIFS(DECKS!$D$2:$D$1201,DECKS!$A$2:$A$1201,INDEX(_LEITURA!$P$2:$P$21,11),DECKS!$B$2:$B$1201,$A223))</f>
        <v/>
      </c>
      <c r="V223" s="19" t="str">
        <f aca="false">IF(OR($A223="",INDEX(_LEITURA!$Q$2:$Q$21,12)=0),"",SUMIFS(DECKS!$D$2:$D$1201,DECKS!$A$2:$A$1201,INDEX(_LEITURA!$P$2:$P$21,12),DECKS!$B$2:$B$1201,$A223))</f>
        <v/>
      </c>
      <c r="W223" s="19" t="str">
        <f aca="false">IF(OR($A223="",INDEX(_LEITURA!$Q$2:$Q$21,13)=0),"",SUMIFS(DECKS!$D$2:$D$1201,DECKS!$A$2:$A$1201,INDEX(_LEITURA!$P$2:$P$21,13),DECKS!$B$2:$B$1201,$A223))</f>
        <v/>
      </c>
      <c r="X223" s="19" t="str">
        <f aca="false">IF(OR($A223="",INDEX(_LEITURA!$Q$2:$Q$21,14)=0),"",SUMIFS(DECKS!$D$2:$D$1201,DECKS!$A$2:$A$1201,INDEX(_LEITURA!$P$2:$P$21,14),DECKS!$B$2:$B$1201,$A223))</f>
        <v/>
      </c>
      <c r="Y223" s="19" t="str">
        <f aca="false">IF(OR($A223="",INDEX(_LEITURA!$Q$2:$Q$21,15)=0),"",SUMIFS(DECKS!$D$2:$D$1201,DECKS!$A$2:$A$1201,INDEX(_LEITURA!$P$2:$P$21,15),DECKS!$B$2:$B$1201,$A223))</f>
        <v/>
      </c>
      <c r="Z223" s="19" t="str">
        <f aca="false">IF(OR($A223="",INDEX(_LEITURA!$Q$2:$Q$21,16)=0),"",SUMIFS(DECKS!$D$2:$D$1201,DECKS!$A$2:$A$1201,INDEX(_LEITURA!$P$2:$P$21,16),DECKS!$B$2:$B$1201,$A223))</f>
        <v/>
      </c>
      <c r="AA223" s="19" t="str">
        <f aca="false">IF(OR($A223="",INDEX(_LEITURA!$Q$2:$Q$21,17)=0),"",SUMIFS(DECKS!$D$2:$D$1201,DECKS!$A$2:$A$1201,INDEX(_LEITURA!$P$2:$P$21,17),DECKS!$B$2:$B$1201,$A223))</f>
        <v/>
      </c>
      <c r="AB223" s="19" t="str">
        <f aca="false">IF(OR($A223="",INDEX(_LEITURA!$Q$2:$Q$21,18)=0),"",SUMIFS(DECKS!$D$2:$D$1201,DECKS!$A$2:$A$1201,INDEX(_LEITURA!$P$2:$P$21,18),DECKS!$B$2:$B$1201,$A223))</f>
        <v/>
      </c>
      <c r="AC223" s="19" t="str">
        <f aca="false">IF(OR($A223="",INDEX(_LEITURA!$Q$2:$Q$21,19)=0),"",SUMIFS(DECKS!$D$2:$D$1201,DECKS!$A$2:$A$1201,INDEX(_LEITURA!$P$2:$P$21,19),DECKS!$B$2:$B$1201,$A223))</f>
        <v/>
      </c>
      <c r="AD223" s="19" t="str">
        <f aca="false">IF(OR($A223="",INDEX(_LEITURA!$Q$2:$Q$21,20)=0),"",SUMIFS(DECKS!$D$2:$D$1201,DECKS!$A$2:$A$1201,INDEX(_LEITURA!$P$2:$P$21,20),DECKS!$B$2:$B$1201,$A223))</f>
        <v/>
      </c>
      <c r="AE223" s="16" t="str">
        <f aca="false">IF(N(E223)&gt;0,MAX(AE$1:AE222)+1,"")</f>
        <v/>
      </c>
      <c r="AF223" s="11" t="str">
        <f aca="false">IF(A223="","",IFERROR(LEFT(A223,FIND("-",A223)-1),A223))</f>
        <v/>
      </c>
      <c r="AG223" s="11" t="str">
        <f aca="false">IF(AF223="","",IF(ISNUMBER(--MID(AF223,1,1)),0,IF(ISNUMBER(--MID(AF223,2,1)),1,IF(ISNUMBER(--MID(AF223,3,1)),2,IF(ISNUMBER(--MID(AF223,4,1)),3,MIN(LEN(AF223),4))))))</f>
        <v/>
      </c>
      <c r="AH223" s="11" t="str">
        <f aca="false">IF(A223="","",LEFT(AF223,AG223)&amp;REPT("0",4-AG223)&amp;RIGHT("000"&amp;IFERROR(VALUE(MID(AF223,AG223+1,9)),0),3)&amp;RIGHT("0000"&amp;IFERROR(VALUE(MID(A223,FIND("-",A223)+1,9)),0),4))</f>
        <v/>
      </c>
      <c r="AI223" s="11" t="str">
        <f aca="false">IF(OR(A223="",N(E223)&lt;=0),"",IF('FALTAS GERAL'!$M$1="Código","K"&amp;AH223&amp;RIGHT("00000"&amp;ROW(),5),IF('FALTAS GERAL'!$M$1="Nome","K"&amp;UPPER(SUBSTITUTE(SUBSTITUTE(SUBSTITUTE(B223,"*",""),"?",""),"~",""))&amp;"0"&amp;AH223&amp;RIGHT("00000"&amp;ROW(),5),IF('FALTAS GERAL'!$M$1="Falta (maior primeiro)","K"&amp;RIGHT("0000"&amp;(9999-E223),4)&amp;AH223&amp;RIGHT("00000"&amp;ROW(),5),IF('FALTAS GERAL'!$M$1="Nº de decks (maior primeiro)","K"&amp;RIGHT("00"&amp;(99-N(G223)),2)&amp;AH223&amp;RIGHT("00000"&amp;ROW(),5),"K"&amp;RIGHT("00000"&amp;ROW(),5))))))</f>
        <v/>
      </c>
      <c r="AJ223" s="11" t="str">
        <f aca="false">IF(AI223="","",COUNTIFS($AI$2:$AI$801,"&lt;"&amp;AI223,$E$2:$E$801,"&gt;0")+1)</f>
        <v/>
      </c>
      <c r="AK223" s="11" t="str">
        <f aca="false">IF(OR(A223="",N(E223)&lt;=0),"",COUNTIFS($AH$2:$AH$801,"&lt;"&amp;AH223,$E$2:$E$801,"&gt;0")+COUNTIFS($AH$2:AH223,AH223,$E$2:E223,"&gt;0"))</f>
        <v/>
      </c>
    </row>
    <row r="224" customFormat="false" ht="15" hidden="false" customHeight="false" outlineLevel="0" collapsed="false">
      <c r="A224" s="11" t="str">
        <f aca="false">IF(INVENTÁRIO!A224="","",INVENTÁRIO!A224)</f>
        <v/>
      </c>
      <c r="B224" s="11" t="str">
        <f aca="false">IF(A224="","",INVENTÁRIO!B224)</f>
        <v/>
      </c>
      <c r="C224" s="16" t="str">
        <f aca="false">IF(A224="","",INVENTÁRIO!C224)</f>
        <v/>
      </c>
      <c r="D224" s="14" t="str">
        <f aca="false">IF(A224="","",MAX(K224:AD224))</f>
        <v/>
      </c>
      <c r="E224" s="14" t="str">
        <f aca="false">IF(A224="","",MAX(0,D224-C224))</f>
        <v/>
      </c>
      <c r="F224" s="16" t="str">
        <f aca="false">IF(A224="","",IF(D224=0,"Fora dos decks",IF(E224=0,"Completo","Falta")))</f>
        <v/>
      </c>
      <c r="G224" s="16" t="str">
        <f aca="false">IF(A224="","",COUNTIF(K224:AD224,"&gt;0"))</f>
        <v/>
      </c>
      <c r="H224" s="16" t="str">
        <f aca="false">IF(A224="","",IF(G224&gt;1,"Sim",""))</f>
        <v/>
      </c>
      <c r="I224" s="18" t="str">
        <f aca="false">IF(A224="","",SUMIFS(DECKS!$D$2:$D$1201,DECKS!$B$2:$B$1201,A224))</f>
        <v/>
      </c>
      <c r="J224" s="18" t="str">
        <f aca="false">IF(A224="","",MAX(0,I224-C224))</f>
        <v/>
      </c>
      <c r="K224" s="19" t="str">
        <f aca="false">IF(OR($A224="",INDEX(_LEITURA!$Q$2:$Q$21,1)=0),"",SUMIFS(DECKS!$D$2:$D$1201,DECKS!$A$2:$A$1201,INDEX(_LEITURA!$P$2:$P$21,1),DECKS!$B$2:$B$1201,$A224))</f>
        <v/>
      </c>
      <c r="L224" s="19" t="str">
        <f aca="false">IF(OR($A224="",INDEX(_LEITURA!$Q$2:$Q$21,2)=0),"",SUMIFS(DECKS!$D$2:$D$1201,DECKS!$A$2:$A$1201,INDEX(_LEITURA!$P$2:$P$21,2),DECKS!$B$2:$B$1201,$A224))</f>
        <v/>
      </c>
      <c r="M224" s="19" t="str">
        <f aca="false">IF(OR($A224="",INDEX(_LEITURA!$Q$2:$Q$21,3)=0),"",SUMIFS(DECKS!$D$2:$D$1201,DECKS!$A$2:$A$1201,INDEX(_LEITURA!$P$2:$P$21,3),DECKS!$B$2:$B$1201,$A224))</f>
        <v/>
      </c>
      <c r="N224" s="19" t="str">
        <f aca="false">IF(OR($A224="",INDEX(_LEITURA!$Q$2:$Q$21,4)=0),"",SUMIFS(DECKS!$D$2:$D$1201,DECKS!$A$2:$A$1201,INDEX(_LEITURA!$P$2:$P$21,4),DECKS!$B$2:$B$1201,$A224))</f>
        <v/>
      </c>
      <c r="O224" s="19" t="str">
        <f aca="false">IF(OR($A224="",INDEX(_LEITURA!$Q$2:$Q$21,5)=0),"",SUMIFS(DECKS!$D$2:$D$1201,DECKS!$A$2:$A$1201,INDEX(_LEITURA!$P$2:$P$21,5),DECKS!$B$2:$B$1201,$A224))</f>
        <v/>
      </c>
      <c r="P224" s="19" t="str">
        <f aca="false">IF(OR($A224="",INDEX(_LEITURA!$Q$2:$Q$21,6)=0),"",SUMIFS(DECKS!$D$2:$D$1201,DECKS!$A$2:$A$1201,INDEX(_LEITURA!$P$2:$P$21,6),DECKS!$B$2:$B$1201,$A224))</f>
        <v/>
      </c>
      <c r="Q224" s="19" t="str">
        <f aca="false">IF(OR($A224="",INDEX(_LEITURA!$Q$2:$Q$21,7)=0),"",SUMIFS(DECKS!$D$2:$D$1201,DECKS!$A$2:$A$1201,INDEX(_LEITURA!$P$2:$P$21,7),DECKS!$B$2:$B$1201,$A224))</f>
        <v/>
      </c>
      <c r="R224" s="19" t="str">
        <f aca="false">IF(OR($A224="",INDEX(_LEITURA!$Q$2:$Q$21,8)=0),"",SUMIFS(DECKS!$D$2:$D$1201,DECKS!$A$2:$A$1201,INDEX(_LEITURA!$P$2:$P$21,8),DECKS!$B$2:$B$1201,$A224))</f>
        <v/>
      </c>
      <c r="S224" s="19" t="str">
        <f aca="false">IF(OR($A224="",INDEX(_LEITURA!$Q$2:$Q$21,9)=0),"",SUMIFS(DECKS!$D$2:$D$1201,DECKS!$A$2:$A$1201,INDEX(_LEITURA!$P$2:$P$21,9),DECKS!$B$2:$B$1201,$A224))</f>
        <v/>
      </c>
      <c r="T224" s="19" t="str">
        <f aca="false">IF(OR($A224="",INDEX(_LEITURA!$Q$2:$Q$21,10)=0),"",SUMIFS(DECKS!$D$2:$D$1201,DECKS!$A$2:$A$1201,INDEX(_LEITURA!$P$2:$P$21,10),DECKS!$B$2:$B$1201,$A224))</f>
        <v/>
      </c>
      <c r="U224" s="19" t="str">
        <f aca="false">IF(OR($A224="",INDEX(_LEITURA!$Q$2:$Q$21,11)=0),"",SUMIFS(DECKS!$D$2:$D$1201,DECKS!$A$2:$A$1201,INDEX(_LEITURA!$P$2:$P$21,11),DECKS!$B$2:$B$1201,$A224))</f>
        <v/>
      </c>
      <c r="V224" s="19" t="str">
        <f aca="false">IF(OR($A224="",INDEX(_LEITURA!$Q$2:$Q$21,12)=0),"",SUMIFS(DECKS!$D$2:$D$1201,DECKS!$A$2:$A$1201,INDEX(_LEITURA!$P$2:$P$21,12),DECKS!$B$2:$B$1201,$A224))</f>
        <v/>
      </c>
      <c r="W224" s="19" t="str">
        <f aca="false">IF(OR($A224="",INDEX(_LEITURA!$Q$2:$Q$21,13)=0),"",SUMIFS(DECKS!$D$2:$D$1201,DECKS!$A$2:$A$1201,INDEX(_LEITURA!$P$2:$P$21,13),DECKS!$B$2:$B$1201,$A224))</f>
        <v/>
      </c>
      <c r="X224" s="19" t="str">
        <f aca="false">IF(OR($A224="",INDEX(_LEITURA!$Q$2:$Q$21,14)=0),"",SUMIFS(DECKS!$D$2:$D$1201,DECKS!$A$2:$A$1201,INDEX(_LEITURA!$P$2:$P$21,14),DECKS!$B$2:$B$1201,$A224))</f>
        <v/>
      </c>
      <c r="Y224" s="19" t="str">
        <f aca="false">IF(OR($A224="",INDEX(_LEITURA!$Q$2:$Q$21,15)=0),"",SUMIFS(DECKS!$D$2:$D$1201,DECKS!$A$2:$A$1201,INDEX(_LEITURA!$P$2:$P$21,15),DECKS!$B$2:$B$1201,$A224))</f>
        <v/>
      </c>
      <c r="Z224" s="19" t="str">
        <f aca="false">IF(OR($A224="",INDEX(_LEITURA!$Q$2:$Q$21,16)=0),"",SUMIFS(DECKS!$D$2:$D$1201,DECKS!$A$2:$A$1201,INDEX(_LEITURA!$P$2:$P$21,16),DECKS!$B$2:$B$1201,$A224))</f>
        <v/>
      </c>
      <c r="AA224" s="19" t="str">
        <f aca="false">IF(OR($A224="",INDEX(_LEITURA!$Q$2:$Q$21,17)=0),"",SUMIFS(DECKS!$D$2:$D$1201,DECKS!$A$2:$A$1201,INDEX(_LEITURA!$P$2:$P$21,17),DECKS!$B$2:$B$1201,$A224))</f>
        <v/>
      </c>
      <c r="AB224" s="19" t="str">
        <f aca="false">IF(OR($A224="",INDEX(_LEITURA!$Q$2:$Q$21,18)=0),"",SUMIFS(DECKS!$D$2:$D$1201,DECKS!$A$2:$A$1201,INDEX(_LEITURA!$P$2:$P$21,18),DECKS!$B$2:$B$1201,$A224))</f>
        <v/>
      </c>
      <c r="AC224" s="19" t="str">
        <f aca="false">IF(OR($A224="",INDEX(_LEITURA!$Q$2:$Q$21,19)=0),"",SUMIFS(DECKS!$D$2:$D$1201,DECKS!$A$2:$A$1201,INDEX(_LEITURA!$P$2:$P$21,19),DECKS!$B$2:$B$1201,$A224))</f>
        <v/>
      </c>
      <c r="AD224" s="19" t="str">
        <f aca="false">IF(OR($A224="",INDEX(_LEITURA!$Q$2:$Q$21,20)=0),"",SUMIFS(DECKS!$D$2:$D$1201,DECKS!$A$2:$A$1201,INDEX(_LEITURA!$P$2:$P$21,20),DECKS!$B$2:$B$1201,$A224))</f>
        <v/>
      </c>
      <c r="AE224" s="16" t="str">
        <f aca="false">IF(N(E224)&gt;0,MAX(AE$1:AE223)+1,"")</f>
        <v/>
      </c>
      <c r="AF224" s="11" t="str">
        <f aca="false">IF(A224="","",IFERROR(LEFT(A224,FIND("-",A224)-1),A224))</f>
        <v/>
      </c>
      <c r="AG224" s="11" t="str">
        <f aca="false">IF(AF224="","",IF(ISNUMBER(--MID(AF224,1,1)),0,IF(ISNUMBER(--MID(AF224,2,1)),1,IF(ISNUMBER(--MID(AF224,3,1)),2,IF(ISNUMBER(--MID(AF224,4,1)),3,MIN(LEN(AF224),4))))))</f>
        <v/>
      </c>
      <c r="AH224" s="11" t="str">
        <f aca="false">IF(A224="","",LEFT(AF224,AG224)&amp;REPT("0",4-AG224)&amp;RIGHT("000"&amp;IFERROR(VALUE(MID(AF224,AG224+1,9)),0),3)&amp;RIGHT("0000"&amp;IFERROR(VALUE(MID(A224,FIND("-",A224)+1,9)),0),4))</f>
        <v/>
      </c>
      <c r="AI224" s="11" t="str">
        <f aca="false">IF(OR(A224="",N(E224)&lt;=0),"",IF('FALTAS GERAL'!$M$1="Código","K"&amp;AH224&amp;RIGHT("00000"&amp;ROW(),5),IF('FALTAS GERAL'!$M$1="Nome","K"&amp;UPPER(SUBSTITUTE(SUBSTITUTE(SUBSTITUTE(B224,"*",""),"?",""),"~",""))&amp;"0"&amp;AH224&amp;RIGHT("00000"&amp;ROW(),5),IF('FALTAS GERAL'!$M$1="Falta (maior primeiro)","K"&amp;RIGHT("0000"&amp;(9999-E224),4)&amp;AH224&amp;RIGHT("00000"&amp;ROW(),5),IF('FALTAS GERAL'!$M$1="Nº de decks (maior primeiro)","K"&amp;RIGHT("00"&amp;(99-N(G224)),2)&amp;AH224&amp;RIGHT("00000"&amp;ROW(),5),"K"&amp;RIGHT("00000"&amp;ROW(),5))))))</f>
        <v/>
      </c>
      <c r="AJ224" s="11" t="str">
        <f aca="false">IF(AI224="","",COUNTIFS($AI$2:$AI$801,"&lt;"&amp;AI224,$E$2:$E$801,"&gt;0")+1)</f>
        <v/>
      </c>
      <c r="AK224" s="11" t="str">
        <f aca="false">IF(OR(A224="",N(E224)&lt;=0),"",COUNTIFS($AH$2:$AH$801,"&lt;"&amp;AH224,$E$2:$E$801,"&gt;0")+COUNTIFS($AH$2:AH224,AH224,$E$2:E224,"&gt;0"))</f>
        <v/>
      </c>
    </row>
    <row r="225" customFormat="false" ht="15" hidden="false" customHeight="false" outlineLevel="0" collapsed="false">
      <c r="A225" s="11" t="str">
        <f aca="false">IF(INVENTÁRIO!A225="","",INVENTÁRIO!A225)</f>
        <v/>
      </c>
      <c r="B225" s="11" t="str">
        <f aca="false">IF(A225="","",INVENTÁRIO!B225)</f>
        <v/>
      </c>
      <c r="C225" s="16" t="str">
        <f aca="false">IF(A225="","",INVENTÁRIO!C225)</f>
        <v/>
      </c>
      <c r="D225" s="14" t="str">
        <f aca="false">IF(A225="","",MAX(K225:AD225))</f>
        <v/>
      </c>
      <c r="E225" s="14" t="str">
        <f aca="false">IF(A225="","",MAX(0,D225-C225))</f>
        <v/>
      </c>
      <c r="F225" s="16" t="str">
        <f aca="false">IF(A225="","",IF(D225=0,"Fora dos decks",IF(E225=0,"Completo","Falta")))</f>
        <v/>
      </c>
      <c r="G225" s="16" t="str">
        <f aca="false">IF(A225="","",COUNTIF(K225:AD225,"&gt;0"))</f>
        <v/>
      </c>
      <c r="H225" s="16" t="str">
        <f aca="false">IF(A225="","",IF(G225&gt;1,"Sim",""))</f>
        <v/>
      </c>
      <c r="I225" s="18" t="str">
        <f aca="false">IF(A225="","",SUMIFS(DECKS!$D$2:$D$1201,DECKS!$B$2:$B$1201,A225))</f>
        <v/>
      </c>
      <c r="J225" s="18" t="str">
        <f aca="false">IF(A225="","",MAX(0,I225-C225))</f>
        <v/>
      </c>
      <c r="K225" s="19" t="str">
        <f aca="false">IF(OR($A225="",INDEX(_LEITURA!$Q$2:$Q$21,1)=0),"",SUMIFS(DECKS!$D$2:$D$1201,DECKS!$A$2:$A$1201,INDEX(_LEITURA!$P$2:$P$21,1),DECKS!$B$2:$B$1201,$A225))</f>
        <v/>
      </c>
      <c r="L225" s="19" t="str">
        <f aca="false">IF(OR($A225="",INDEX(_LEITURA!$Q$2:$Q$21,2)=0),"",SUMIFS(DECKS!$D$2:$D$1201,DECKS!$A$2:$A$1201,INDEX(_LEITURA!$P$2:$P$21,2),DECKS!$B$2:$B$1201,$A225))</f>
        <v/>
      </c>
      <c r="M225" s="19" t="str">
        <f aca="false">IF(OR($A225="",INDEX(_LEITURA!$Q$2:$Q$21,3)=0),"",SUMIFS(DECKS!$D$2:$D$1201,DECKS!$A$2:$A$1201,INDEX(_LEITURA!$P$2:$P$21,3),DECKS!$B$2:$B$1201,$A225))</f>
        <v/>
      </c>
      <c r="N225" s="19" t="str">
        <f aca="false">IF(OR($A225="",INDEX(_LEITURA!$Q$2:$Q$21,4)=0),"",SUMIFS(DECKS!$D$2:$D$1201,DECKS!$A$2:$A$1201,INDEX(_LEITURA!$P$2:$P$21,4),DECKS!$B$2:$B$1201,$A225))</f>
        <v/>
      </c>
      <c r="O225" s="19" t="str">
        <f aca="false">IF(OR($A225="",INDEX(_LEITURA!$Q$2:$Q$21,5)=0),"",SUMIFS(DECKS!$D$2:$D$1201,DECKS!$A$2:$A$1201,INDEX(_LEITURA!$P$2:$P$21,5),DECKS!$B$2:$B$1201,$A225))</f>
        <v/>
      </c>
      <c r="P225" s="19" t="str">
        <f aca="false">IF(OR($A225="",INDEX(_LEITURA!$Q$2:$Q$21,6)=0),"",SUMIFS(DECKS!$D$2:$D$1201,DECKS!$A$2:$A$1201,INDEX(_LEITURA!$P$2:$P$21,6),DECKS!$B$2:$B$1201,$A225))</f>
        <v/>
      </c>
      <c r="Q225" s="19" t="str">
        <f aca="false">IF(OR($A225="",INDEX(_LEITURA!$Q$2:$Q$21,7)=0),"",SUMIFS(DECKS!$D$2:$D$1201,DECKS!$A$2:$A$1201,INDEX(_LEITURA!$P$2:$P$21,7),DECKS!$B$2:$B$1201,$A225))</f>
        <v/>
      </c>
      <c r="R225" s="19" t="str">
        <f aca="false">IF(OR($A225="",INDEX(_LEITURA!$Q$2:$Q$21,8)=0),"",SUMIFS(DECKS!$D$2:$D$1201,DECKS!$A$2:$A$1201,INDEX(_LEITURA!$P$2:$P$21,8),DECKS!$B$2:$B$1201,$A225))</f>
        <v/>
      </c>
      <c r="S225" s="19" t="str">
        <f aca="false">IF(OR($A225="",INDEX(_LEITURA!$Q$2:$Q$21,9)=0),"",SUMIFS(DECKS!$D$2:$D$1201,DECKS!$A$2:$A$1201,INDEX(_LEITURA!$P$2:$P$21,9),DECKS!$B$2:$B$1201,$A225))</f>
        <v/>
      </c>
      <c r="T225" s="19" t="str">
        <f aca="false">IF(OR($A225="",INDEX(_LEITURA!$Q$2:$Q$21,10)=0),"",SUMIFS(DECKS!$D$2:$D$1201,DECKS!$A$2:$A$1201,INDEX(_LEITURA!$P$2:$P$21,10),DECKS!$B$2:$B$1201,$A225))</f>
        <v/>
      </c>
      <c r="U225" s="19" t="str">
        <f aca="false">IF(OR($A225="",INDEX(_LEITURA!$Q$2:$Q$21,11)=0),"",SUMIFS(DECKS!$D$2:$D$1201,DECKS!$A$2:$A$1201,INDEX(_LEITURA!$P$2:$P$21,11),DECKS!$B$2:$B$1201,$A225))</f>
        <v/>
      </c>
      <c r="V225" s="19" t="str">
        <f aca="false">IF(OR($A225="",INDEX(_LEITURA!$Q$2:$Q$21,12)=0),"",SUMIFS(DECKS!$D$2:$D$1201,DECKS!$A$2:$A$1201,INDEX(_LEITURA!$P$2:$P$21,12),DECKS!$B$2:$B$1201,$A225))</f>
        <v/>
      </c>
      <c r="W225" s="19" t="str">
        <f aca="false">IF(OR($A225="",INDEX(_LEITURA!$Q$2:$Q$21,13)=0),"",SUMIFS(DECKS!$D$2:$D$1201,DECKS!$A$2:$A$1201,INDEX(_LEITURA!$P$2:$P$21,13),DECKS!$B$2:$B$1201,$A225))</f>
        <v/>
      </c>
      <c r="X225" s="19" t="str">
        <f aca="false">IF(OR($A225="",INDEX(_LEITURA!$Q$2:$Q$21,14)=0),"",SUMIFS(DECKS!$D$2:$D$1201,DECKS!$A$2:$A$1201,INDEX(_LEITURA!$P$2:$P$21,14),DECKS!$B$2:$B$1201,$A225))</f>
        <v/>
      </c>
      <c r="Y225" s="19" t="str">
        <f aca="false">IF(OR($A225="",INDEX(_LEITURA!$Q$2:$Q$21,15)=0),"",SUMIFS(DECKS!$D$2:$D$1201,DECKS!$A$2:$A$1201,INDEX(_LEITURA!$P$2:$P$21,15),DECKS!$B$2:$B$1201,$A225))</f>
        <v/>
      </c>
      <c r="Z225" s="19" t="str">
        <f aca="false">IF(OR($A225="",INDEX(_LEITURA!$Q$2:$Q$21,16)=0),"",SUMIFS(DECKS!$D$2:$D$1201,DECKS!$A$2:$A$1201,INDEX(_LEITURA!$P$2:$P$21,16),DECKS!$B$2:$B$1201,$A225))</f>
        <v/>
      </c>
      <c r="AA225" s="19" t="str">
        <f aca="false">IF(OR($A225="",INDEX(_LEITURA!$Q$2:$Q$21,17)=0),"",SUMIFS(DECKS!$D$2:$D$1201,DECKS!$A$2:$A$1201,INDEX(_LEITURA!$P$2:$P$21,17),DECKS!$B$2:$B$1201,$A225))</f>
        <v/>
      </c>
      <c r="AB225" s="19" t="str">
        <f aca="false">IF(OR($A225="",INDEX(_LEITURA!$Q$2:$Q$21,18)=0),"",SUMIFS(DECKS!$D$2:$D$1201,DECKS!$A$2:$A$1201,INDEX(_LEITURA!$P$2:$P$21,18),DECKS!$B$2:$B$1201,$A225))</f>
        <v/>
      </c>
      <c r="AC225" s="19" t="str">
        <f aca="false">IF(OR($A225="",INDEX(_LEITURA!$Q$2:$Q$21,19)=0),"",SUMIFS(DECKS!$D$2:$D$1201,DECKS!$A$2:$A$1201,INDEX(_LEITURA!$P$2:$P$21,19),DECKS!$B$2:$B$1201,$A225))</f>
        <v/>
      </c>
      <c r="AD225" s="19" t="str">
        <f aca="false">IF(OR($A225="",INDEX(_LEITURA!$Q$2:$Q$21,20)=0),"",SUMIFS(DECKS!$D$2:$D$1201,DECKS!$A$2:$A$1201,INDEX(_LEITURA!$P$2:$P$21,20),DECKS!$B$2:$B$1201,$A225))</f>
        <v/>
      </c>
      <c r="AE225" s="16" t="str">
        <f aca="false">IF(N(E225)&gt;0,MAX(AE$1:AE224)+1,"")</f>
        <v/>
      </c>
      <c r="AF225" s="11" t="str">
        <f aca="false">IF(A225="","",IFERROR(LEFT(A225,FIND("-",A225)-1),A225))</f>
        <v/>
      </c>
      <c r="AG225" s="11" t="str">
        <f aca="false">IF(AF225="","",IF(ISNUMBER(--MID(AF225,1,1)),0,IF(ISNUMBER(--MID(AF225,2,1)),1,IF(ISNUMBER(--MID(AF225,3,1)),2,IF(ISNUMBER(--MID(AF225,4,1)),3,MIN(LEN(AF225),4))))))</f>
        <v/>
      </c>
      <c r="AH225" s="11" t="str">
        <f aca="false">IF(A225="","",LEFT(AF225,AG225)&amp;REPT("0",4-AG225)&amp;RIGHT("000"&amp;IFERROR(VALUE(MID(AF225,AG225+1,9)),0),3)&amp;RIGHT("0000"&amp;IFERROR(VALUE(MID(A225,FIND("-",A225)+1,9)),0),4))</f>
        <v/>
      </c>
      <c r="AI225" s="11" t="str">
        <f aca="false">IF(OR(A225="",N(E225)&lt;=0),"",IF('FALTAS GERAL'!$M$1="Código","K"&amp;AH225&amp;RIGHT("00000"&amp;ROW(),5),IF('FALTAS GERAL'!$M$1="Nome","K"&amp;UPPER(SUBSTITUTE(SUBSTITUTE(SUBSTITUTE(B225,"*",""),"?",""),"~",""))&amp;"0"&amp;AH225&amp;RIGHT("00000"&amp;ROW(),5),IF('FALTAS GERAL'!$M$1="Falta (maior primeiro)","K"&amp;RIGHT("0000"&amp;(9999-E225),4)&amp;AH225&amp;RIGHT("00000"&amp;ROW(),5),IF('FALTAS GERAL'!$M$1="Nº de decks (maior primeiro)","K"&amp;RIGHT("00"&amp;(99-N(G225)),2)&amp;AH225&amp;RIGHT("00000"&amp;ROW(),5),"K"&amp;RIGHT("00000"&amp;ROW(),5))))))</f>
        <v/>
      </c>
      <c r="AJ225" s="11" t="str">
        <f aca="false">IF(AI225="","",COUNTIFS($AI$2:$AI$801,"&lt;"&amp;AI225,$E$2:$E$801,"&gt;0")+1)</f>
        <v/>
      </c>
      <c r="AK225" s="11" t="str">
        <f aca="false">IF(OR(A225="",N(E225)&lt;=0),"",COUNTIFS($AH$2:$AH$801,"&lt;"&amp;AH225,$E$2:$E$801,"&gt;0")+COUNTIFS($AH$2:AH225,AH225,$E$2:E225,"&gt;0"))</f>
        <v/>
      </c>
    </row>
    <row r="226" customFormat="false" ht="15" hidden="false" customHeight="false" outlineLevel="0" collapsed="false">
      <c r="A226" s="11" t="str">
        <f aca="false">IF(INVENTÁRIO!A226="","",INVENTÁRIO!A226)</f>
        <v/>
      </c>
      <c r="B226" s="11" t="str">
        <f aca="false">IF(A226="","",INVENTÁRIO!B226)</f>
        <v/>
      </c>
      <c r="C226" s="16" t="str">
        <f aca="false">IF(A226="","",INVENTÁRIO!C226)</f>
        <v/>
      </c>
      <c r="D226" s="14" t="str">
        <f aca="false">IF(A226="","",MAX(K226:AD226))</f>
        <v/>
      </c>
      <c r="E226" s="14" t="str">
        <f aca="false">IF(A226="","",MAX(0,D226-C226))</f>
        <v/>
      </c>
      <c r="F226" s="16" t="str">
        <f aca="false">IF(A226="","",IF(D226=0,"Fora dos decks",IF(E226=0,"Completo","Falta")))</f>
        <v/>
      </c>
      <c r="G226" s="16" t="str">
        <f aca="false">IF(A226="","",COUNTIF(K226:AD226,"&gt;0"))</f>
        <v/>
      </c>
      <c r="H226" s="16" t="str">
        <f aca="false">IF(A226="","",IF(G226&gt;1,"Sim",""))</f>
        <v/>
      </c>
      <c r="I226" s="18" t="str">
        <f aca="false">IF(A226="","",SUMIFS(DECKS!$D$2:$D$1201,DECKS!$B$2:$B$1201,A226))</f>
        <v/>
      </c>
      <c r="J226" s="18" t="str">
        <f aca="false">IF(A226="","",MAX(0,I226-C226))</f>
        <v/>
      </c>
      <c r="K226" s="19" t="str">
        <f aca="false">IF(OR($A226="",INDEX(_LEITURA!$Q$2:$Q$21,1)=0),"",SUMIFS(DECKS!$D$2:$D$1201,DECKS!$A$2:$A$1201,INDEX(_LEITURA!$P$2:$P$21,1),DECKS!$B$2:$B$1201,$A226))</f>
        <v/>
      </c>
      <c r="L226" s="19" t="str">
        <f aca="false">IF(OR($A226="",INDEX(_LEITURA!$Q$2:$Q$21,2)=0),"",SUMIFS(DECKS!$D$2:$D$1201,DECKS!$A$2:$A$1201,INDEX(_LEITURA!$P$2:$P$21,2),DECKS!$B$2:$B$1201,$A226))</f>
        <v/>
      </c>
      <c r="M226" s="19" t="str">
        <f aca="false">IF(OR($A226="",INDEX(_LEITURA!$Q$2:$Q$21,3)=0),"",SUMIFS(DECKS!$D$2:$D$1201,DECKS!$A$2:$A$1201,INDEX(_LEITURA!$P$2:$P$21,3),DECKS!$B$2:$B$1201,$A226))</f>
        <v/>
      </c>
      <c r="N226" s="19" t="str">
        <f aca="false">IF(OR($A226="",INDEX(_LEITURA!$Q$2:$Q$21,4)=0),"",SUMIFS(DECKS!$D$2:$D$1201,DECKS!$A$2:$A$1201,INDEX(_LEITURA!$P$2:$P$21,4),DECKS!$B$2:$B$1201,$A226))</f>
        <v/>
      </c>
      <c r="O226" s="19" t="str">
        <f aca="false">IF(OR($A226="",INDEX(_LEITURA!$Q$2:$Q$21,5)=0),"",SUMIFS(DECKS!$D$2:$D$1201,DECKS!$A$2:$A$1201,INDEX(_LEITURA!$P$2:$P$21,5),DECKS!$B$2:$B$1201,$A226))</f>
        <v/>
      </c>
      <c r="P226" s="19" t="str">
        <f aca="false">IF(OR($A226="",INDEX(_LEITURA!$Q$2:$Q$21,6)=0),"",SUMIFS(DECKS!$D$2:$D$1201,DECKS!$A$2:$A$1201,INDEX(_LEITURA!$P$2:$P$21,6),DECKS!$B$2:$B$1201,$A226))</f>
        <v/>
      </c>
      <c r="Q226" s="19" t="str">
        <f aca="false">IF(OR($A226="",INDEX(_LEITURA!$Q$2:$Q$21,7)=0),"",SUMIFS(DECKS!$D$2:$D$1201,DECKS!$A$2:$A$1201,INDEX(_LEITURA!$P$2:$P$21,7),DECKS!$B$2:$B$1201,$A226))</f>
        <v/>
      </c>
      <c r="R226" s="19" t="str">
        <f aca="false">IF(OR($A226="",INDEX(_LEITURA!$Q$2:$Q$21,8)=0),"",SUMIFS(DECKS!$D$2:$D$1201,DECKS!$A$2:$A$1201,INDEX(_LEITURA!$P$2:$P$21,8),DECKS!$B$2:$B$1201,$A226))</f>
        <v/>
      </c>
      <c r="S226" s="19" t="str">
        <f aca="false">IF(OR($A226="",INDEX(_LEITURA!$Q$2:$Q$21,9)=0),"",SUMIFS(DECKS!$D$2:$D$1201,DECKS!$A$2:$A$1201,INDEX(_LEITURA!$P$2:$P$21,9),DECKS!$B$2:$B$1201,$A226))</f>
        <v/>
      </c>
      <c r="T226" s="19" t="str">
        <f aca="false">IF(OR($A226="",INDEX(_LEITURA!$Q$2:$Q$21,10)=0),"",SUMIFS(DECKS!$D$2:$D$1201,DECKS!$A$2:$A$1201,INDEX(_LEITURA!$P$2:$P$21,10),DECKS!$B$2:$B$1201,$A226))</f>
        <v/>
      </c>
      <c r="U226" s="19" t="str">
        <f aca="false">IF(OR($A226="",INDEX(_LEITURA!$Q$2:$Q$21,11)=0),"",SUMIFS(DECKS!$D$2:$D$1201,DECKS!$A$2:$A$1201,INDEX(_LEITURA!$P$2:$P$21,11),DECKS!$B$2:$B$1201,$A226))</f>
        <v/>
      </c>
      <c r="V226" s="19" t="str">
        <f aca="false">IF(OR($A226="",INDEX(_LEITURA!$Q$2:$Q$21,12)=0),"",SUMIFS(DECKS!$D$2:$D$1201,DECKS!$A$2:$A$1201,INDEX(_LEITURA!$P$2:$P$21,12),DECKS!$B$2:$B$1201,$A226))</f>
        <v/>
      </c>
      <c r="W226" s="19" t="str">
        <f aca="false">IF(OR($A226="",INDEX(_LEITURA!$Q$2:$Q$21,13)=0),"",SUMIFS(DECKS!$D$2:$D$1201,DECKS!$A$2:$A$1201,INDEX(_LEITURA!$P$2:$P$21,13),DECKS!$B$2:$B$1201,$A226))</f>
        <v/>
      </c>
      <c r="X226" s="19" t="str">
        <f aca="false">IF(OR($A226="",INDEX(_LEITURA!$Q$2:$Q$21,14)=0),"",SUMIFS(DECKS!$D$2:$D$1201,DECKS!$A$2:$A$1201,INDEX(_LEITURA!$P$2:$P$21,14),DECKS!$B$2:$B$1201,$A226))</f>
        <v/>
      </c>
      <c r="Y226" s="19" t="str">
        <f aca="false">IF(OR($A226="",INDEX(_LEITURA!$Q$2:$Q$21,15)=0),"",SUMIFS(DECKS!$D$2:$D$1201,DECKS!$A$2:$A$1201,INDEX(_LEITURA!$P$2:$P$21,15),DECKS!$B$2:$B$1201,$A226))</f>
        <v/>
      </c>
      <c r="Z226" s="19" t="str">
        <f aca="false">IF(OR($A226="",INDEX(_LEITURA!$Q$2:$Q$21,16)=0),"",SUMIFS(DECKS!$D$2:$D$1201,DECKS!$A$2:$A$1201,INDEX(_LEITURA!$P$2:$P$21,16),DECKS!$B$2:$B$1201,$A226))</f>
        <v/>
      </c>
      <c r="AA226" s="19" t="str">
        <f aca="false">IF(OR($A226="",INDEX(_LEITURA!$Q$2:$Q$21,17)=0),"",SUMIFS(DECKS!$D$2:$D$1201,DECKS!$A$2:$A$1201,INDEX(_LEITURA!$P$2:$P$21,17),DECKS!$B$2:$B$1201,$A226))</f>
        <v/>
      </c>
      <c r="AB226" s="19" t="str">
        <f aca="false">IF(OR($A226="",INDEX(_LEITURA!$Q$2:$Q$21,18)=0),"",SUMIFS(DECKS!$D$2:$D$1201,DECKS!$A$2:$A$1201,INDEX(_LEITURA!$P$2:$P$21,18),DECKS!$B$2:$B$1201,$A226))</f>
        <v/>
      </c>
      <c r="AC226" s="19" t="str">
        <f aca="false">IF(OR($A226="",INDEX(_LEITURA!$Q$2:$Q$21,19)=0),"",SUMIFS(DECKS!$D$2:$D$1201,DECKS!$A$2:$A$1201,INDEX(_LEITURA!$P$2:$P$21,19),DECKS!$B$2:$B$1201,$A226))</f>
        <v/>
      </c>
      <c r="AD226" s="19" t="str">
        <f aca="false">IF(OR($A226="",INDEX(_LEITURA!$Q$2:$Q$21,20)=0),"",SUMIFS(DECKS!$D$2:$D$1201,DECKS!$A$2:$A$1201,INDEX(_LEITURA!$P$2:$P$21,20),DECKS!$B$2:$B$1201,$A226))</f>
        <v/>
      </c>
      <c r="AE226" s="16" t="str">
        <f aca="false">IF(N(E226)&gt;0,MAX(AE$1:AE225)+1,"")</f>
        <v/>
      </c>
      <c r="AF226" s="11" t="str">
        <f aca="false">IF(A226="","",IFERROR(LEFT(A226,FIND("-",A226)-1),A226))</f>
        <v/>
      </c>
      <c r="AG226" s="11" t="str">
        <f aca="false">IF(AF226="","",IF(ISNUMBER(--MID(AF226,1,1)),0,IF(ISNUMBER(--MID(AF226,2,1)),1,IF(ISNUMBER(--MID(AF226,3,1)),2,IF(ISNUMBER(--MID(AF226,4,1)),3,MIN(LEN(AF226),4))))))</f>
        <v/>
      </c>
      <c r="AH226" s="11" t="str">
        <f aca="false">IF(A226="","",LEFT(AF226,AG226)&amp;REPT("0",4-AG226)&amp;RIGHT("000"&amp;IFERROR(VALUE(MID(AF226,AG226+1,9)),0),3)&amp;RIGHT("0000"&amp;IFERROR(VALUE(MID(A226,FIND("-",A226)+1,9)),0),4))</f>
        <v/>
      </c>
      <c r="AI226" s="11" t="str">
        <f aca="false">IF(OR(A226="",N(E226)&lt;=0),"",IF('FALTAS GERAL'!$M$1="Código","K"&amp;AH226&amp;RIGHT("00000"&amp;ROW(),5),IF('FALTAS GERAL'!$M$1="Nome","K"&amp;UPPER(SUBSTITUTE(SUBSTITUTE(SUBSTITUTE(B226,"*",""),"?",""),"~",""))&amp;"0"&amp;AH226&amp;RIGHT("00000"&amp;ROW(),5),IF('FALTAS GERAL'!$M$1="Falta (maior primeiro)","K"&amp;RIGHT("0000"&amp;(9999-E226),4)&amp;AH226&amp;RIGHT("00000"&amp;ROW(),5),IF('FALTAS GERAL'!$M$1="Nº de decks (maior primeiro)","K"&amp;RIGHT("00"&amp;(99-N(G226)),2)&amp;AH226&amp;RIGHT("00000"&amp;ROW(),5),"K"&amp;RIGHT("00000"&amp;ROW(),5))))))</f>
        <v/>
      </c>
      <c r="AJ226" s="11" t="str">
        <f aca="false">IF(AI226="","",COUNTIFS($AI$2:$AI$801,"&lt;"&amp;AI226,$E$2:$E$801,"&gt;0")+1)</f>
        <v/>
      </c>
      <c r="AK226" s="11" t="str">
        <f aca="false">IF(OR(A226="",N(E226)&lt;=0),"",COUNTIFS($AH$2:$AH$801,"&lt;"&amp;AH226,$E$2:$E$801,"&gt;0")+COUNTIFS($AH$2:AH226,AH226,$E$2:E226,"&gt;0"))</f>
        <v/>
      </c>
    </row>
    <row r="227" customFormat="false" ht="15" hidden="false" customHeight="false" outlineLevel="0" collapsed="false">
      <c r="A227" s="11" t="str">
        <f aca="false">IF(INVENTÁRIO!A227="","",INVENTÁRIO!A227)</f>
        <v/>
      </c>
      <c r="B227" s="11" t="str">
        <f aca="false">IF(A227="","",INVENTÁRIO!B227)</f>
        <v/>
      </c>
      <c r="C227" s="16" t="str">
        <f aca="false">IF(A227="","",INVENTÁRIO!C227)</f>
        <v/>
      </c>
      <c r="D227" s="14" t="str">
        <f aca="false">IF(A227="","",MAX(K227:AD227))</f>
        <v/>
      </c>
      <c r="E227" s="14" t="str">
        <f aca="false">IF(A227="","",MAX(0,D227-C227))</f>
        <v/>
      </c>
      <c r="F227" s="16" t="str">
        <f aca="false">IF(A227="","",IF(D227=0,"Fora dos decks",IF(E227=0,"Completo","Falta")))</f>
        <v/>
      </c>
      <c r="G227" s="16" t="str">
        <f aca="false">IF(A227="","",COUNTIF(K227:AD227,"&gt;0"))</f>
        <v/>
      </c>
      <c r="H227" s="16" t="str">
        <f aca="false">IF(A227="","",IF(G227&gt;1,"Sim",""))</f>
        <v/>
      </c>
      <c r="I227" s="18" t="str">
        <f aca="false">IF(A227="","",SUMIFS(DECKS!$D$2:$D$1201,DECKS!$B$2:$B$1201,A227))</f>
        <v/>
      </c>
      <c r="J227" s="18" t="str">
        <f aca="false">IF(A227="","",MAX(0,I227-C227))</f>
        <v/>
      </c>
      <c r="K227" s="19" t="str">
        <f aca="false">IF(OR($A227="",INDEX(_LEITURA!$Q$2:$Q$21,1)=0),"",SUMIFS(DECKS!$D$2:$D$1201,DECKS!$A$2:$A$1201,INDEX(_LEITURA!$P$2:$P$21,1),DECKS!$B$2:$B$1201,$A227))</f>
        <v/>
      </c>
      <c r="L227" s="19" t="str">
        <f aca="false">IF(OR($A227="",INDEX(_LEITURA!$Q$2:$Q$21,2)=0),"",SUMIFS(DECKS!$D$2:$D$1201,DECKS!$A$2:$A$1201,INDEX(_LEITURA!$P$2:$P$21,2),DECKS!$B$2:$B$1201,$A227))</f>
        <v/>
      </c>
      <c r="M227" s="19" t="str">
        <f aca="false">IF(OR($A227="",INDEX(_LEITURA!$Q$2:$Q$21,3)=0),"",SUMIFS(DECKS!$D$2:$D$1201,DECKS!$A$2:$A$1201,INDEX(_LEITURA!$P$2:$P$21,3),DECKS!$B$2:$B$1201,$A227))</f>
        <v/>
      </c>
      <c r="N227" s="19" t="str">
        <f aca="false">IF(OR($A227="",INDEX(_LEITURA!$Q$2:$Q$21,4)=0),"",SUMIFS(DECKS!$D$2:$D$1201,DECKS!$A$2:$A$1201,INDEX(_LEITURA!$P$2:$P$21,4),DECKS!$B$2:$B$1201,$A227))</f>
        <v/>
      </c>
      <c r="O227" s="19" t="str">
        <f aca="false">IF(OR($A227="",INDEX(_LEITURA!$Q$2:$Q$21,5)=0),"",SUMIFS(DECKS!$D$2:$D$1201,DECKS!$A$2:$A$1201,INDEX(_LEITURA!$P$2:$P$21,5),DECKS!$B$2:$B$1201,$A227))</f>
        <v/>
      </c>
      <c r="P227" s="19" t="str">
        <f aca="false">IF(OR($A227="",INDEX(_LEITURA!$Q$2:$Q$21,6)=0),"",SUMIFS(DECKS!$D$2:$D$1201,DECKS!$A$2:$A$1201,INDEX(_LEITURA!$P$2:$P$21,6),DECKS!$B$2:$B$1201,$A227))</f>
        <v/>
      </c>
      <c r="Q227" s="19" t="str">
        <f aca="false">IF(OR($A227="",INDEX(_LEITURA!$Q$2:$Q$21,7)=0),"",SUMIFS(DECKS!$D$2:$D$1201,DECKS!$A$2:$A$1201,INDEX(_LEITURA!$P$2:$P$21,7),DECKS!$B$2:$B$1201,$A227))</f>
        <v/>
      </c>
      <c r="R227" s="19" t="str">
        <f aca="false">IF(OR($A227="",INDEX(_LEITURA!$Q$2:$Q$21,8)=0),"",SUMIFS(DECKS!$D$2:$D$1201,DECKS!$A$2:$A$1201,INDEX(_LEITURA!$P$2:$P$21,8),DECKS!$B$2:$B$1201,$A227))</f>
        <v/>
      </c>
      <c r="S227" s="19" t="str">
        <f aca="false">IF(OR($A227="",INDEX(_LEITURA!$Q$2:$Q$21,9)=0),"",SUMIFS(DECKS!$D$2:$D$1201,DECKS!$A$2:$A$1201,INDEX(_LEITURA!$P$2:$P$21,9),DECKS!$B$2:$B$1201,$A227))</f>
        <v/>
      </c>
      <c r="T227" s="19" t="str">
        <f aca="false">IF(OR($A227="",INDEX(_LEITURA!$Q$2:$Q$21,10)=0),"",SUMIFS(DECKS!$D$2:$D$1201,DECKS!$A$2:$A$1201,INDEX(_LEITURA!$P$2:$P$21,10),DECKS!$B$2:$B$1201,$A227))</f>
        <v/>
      </c>
      <c r="U227" s="19" t="str">
        <f aca="false">IF(OR($A227="",INDEX(_LEITURA!$Q$2:$Q$21,11)=0),"",SUMIFS(DECKS!$D$2:$D$1201,DECKS!$A$2:$A$1201,INDEX(_LEITURA!$P$2:$P$21,11),DECKS!$B$2:$B$1201,$A227))</f>
        <v/>
      </c>
      <c r="V227" s="19" t="str">
        <f aca="false">IF(OR($A227="",INDEX(_LEITURA!$Q$2:$Q$21,12)=0),"",SUMIFS(DECKS!$D$2:$D$1201,DECKS!$A$2:$A$1201,INDEX(_LEITURA!$P$2:$P$21,12),DECKS!$B$2:$B$1201,$A227))</f>
        <v/>
      </c>
      <c r="W227" s="19" t="str">
        <f aca="false">IF(OR($A227="",INDEX(_LEITURA!$Q$2:$Q$21,13)=0),"",SUMIFS(DECKS!$D$2:$D$1201,DECKS!$A$2:$A$1201,INDEX(_LEITURA!$P$2:$P$21,13),DECKS!$B$2:$B$1201,$A227))</f>
        <v/>
      </c>
      <c r="X227" s="19" t="str">
        <f aca="false">IF(OR($A227="",INDEX(_LEITURA!$Q$2:$Q$21,14)=0),"",SUMIFS(DECKS!$D$2:$D$1201,DECKS!$A$2:$A$1201,INDEX(_LEITURA!$P$2:$P$21,14),DECKS!$B$2:$B$1201,$A227))</f>
        <v/>
      </c>
      <c r="Y227" s="19" t="str">
        <f aca="false">IF(OR($A227="",INDEX(_LEITURA!$Q$2:$Q$21,15)=0),"",SUMIFS(DECKS!$D$2:$D$1201,DECKS!$A$2:$A$1201,INDEX(_LEITURA!$P$2:$P$21,15),DECKS!$B$2:$B$1201,$A227))</f>
        <v/>
      </c>
      <c r="Z227" s="19" t="str">
        <f aca="false">IF(OR($A227="",INDEX(_LEITURA!$Q$2:$Q$21,16)=0),"",SUMIFS(DECKS!$D$2:$D$1201,DECKS!$A$2:$A$1201,INDEX(_LEITURA!$P$2:$P$21,16),DECKS!$B$2:$B$1201,$A227))</f>
        <v/>
      </c>
      <c r="AA227" s="19" t="str">
        <f aca="false">IF(OR($A227="",INDEX(_LEITURA!$Q$2:$Q$21,17)=0),"",SUMIFS(DECKS!$D$2:$D$1201,DECKS!$A$2:$A$1201,INDEX(_LEITURA!$P$2:$P$21,17),DECKS!$B$2:$B$1201,$A227))</f>
        <v/>
      </c>
      <c r="AB227" s="19" t="str">
        <f aca="false">IF(OR($A227="",INDEX(_LEITURA!$Q$2:$Q$21,18)=0),"",SUMIFS(DECKS!$D$2:$D$1201,DECKS!$A$2:$A$1201,INDEX(_LEITURA!$P$2:$P$21,18),DECKS!$B$2:$B$1201,$A227))</f>
        <v/>
      </c>
      <c r="AC227" s="19" t="str">
        <f aca="false">IF(OR($A227="",INDEX(_LEITURA!$Q$2:$Q$21,19)=0),"",SUMIFS(DECKS!$D$2:$D$1201,DECKS!$A$2:$A$1201,INDEX(_LEITURA!$P$2:$P$21,19),DECKS!$B$2:$B$1201,$A227))</f>
        <v/>
      </c>
      <c r="AD227" s="19" t="str">
        <f aca="false">IF(OR($A227="",INDEX(_LEITURA!$Q$2:$Q$21,20)=0),"",SUMIFS(DECKS!$D$2:$D$1201,DECKS!$A$2:$A$1201,INDEX(_LEITURA!$P$2:$P$21,20),DECKS!$B$2:$B$1201,$A227))</f>
        <v/>
      </c>
      <c r="AE227" s="16" t="str">
        <f aca="false">IF(N(E227)&gt;0,MAX(AE$1:AE226)+1,"")</f>
        <v/>
      </c>
      <c r="AF227" s="11" t="str">
        <f aca="false">IF(A227="","",IFERROR(LEFT(A227,FIND("-",A227)-1),A227))</f>
        <v/>
      </c>
      <c r="AG227" s="11" t="str">
        <f aca="false">IF(AF227="","",IF(ISNUMBER(--MID(AF227,1,1)),0,IF(ISNUMBER(--MID(AF227,2,1)),1,IF(ISNUMBER(--MID(AF227,3,1)),2,IF(ISNUMBER(--MID(AF227,4,1)),3,MIN(LEN(AF227),4))))))</f>
        <v/>
      </c>
      <c r="AH227" s="11" t="str">
        <f aca="false">IF(A227="","",LEFT(AF227,AG227)&amp;REPT("0",4-AG227)&amp;RIGHT("000"&amp;IFERROR(VALUE(MID(AF227,AG227+1,9)),0),3)&amp;RIGHT("0000"&amp;IFERROR(VALUE(MID(A227,FIND("-",A227)+1,9)),0),4))</f>
        <v/>
      </c>
      <c r="AI227" s="11" t="str">
        <f aca="false">IF(OR(A227="",N(E227)&lt;=0),"",IF('FALTAS GERAL'!$M$1="Código","K"&amp;AH227&amp;RIGHT("00000"&amp;ROW(),5),IF('FALTAS GERAL'!$M$1="Nome","K"&amp;UPPER(SUBSTITUTE(SUBSTITUTE(SUBSTITUTE(B227,"*",""),"?",""),"~",""))&amp;"0"&amp;AH227&amp;RIGHT("00000"&amp;ROW(),5),IF('FALTAS GERAL'!$M$1="Falta (maior primeiro)","K"&amp;RIGHT("0000"&amp;(9999-E227),4)&amp;AH227&amp;RIGHT("00000"&amp;ROW(),5),IF('FALTAS GERAL'!$M$1="Nº de decks (maior primeiro)","K"&amp;RIGHT("00"&amp;(99-N(G227)),2)&amp;AH227&amp;RIGHT("00000"&amp;ROW(),5),"K"&amp;RIGHT("00000"&amp;ROW(),5))))))</f>
        <v/>
      </c>
      <c r="AJ227" s="11" t="str">
        <f aca="false">IF(AI227="","",COUNTIFS($AI$2:$AI$801,"&lt;"&amp;AI227,$E$2:$E$801,"&gt;0")+1)</f>
        <v/>
      </c>
      <c r="AK227" s="11" t="str">
        <f aca="false">IF(OR(A227="",N(E227)&lt;=0),"",COUNTIFS($AH$2:$AH$801,"&lt;"&amp;AH227,$E$2:$E$801,"&gt;0")+COUNTIFS($AH$2:AH227,AH227,$E$2:E227,"&gt;0"))</f>
        <v/>
      </c>
    </row>
    <row r="228" customFormat="false" ht="15" hidden="false" customHeight="false" outlineLevel="0" collapsed="false">
      <c r="A228" s="11" t="str">
        <f aca="false">IF(INVENTÁRIO!A228="","",INVENTÁRIO!A228)</f>
        <v/>
      </c>
      <c r="B228" s="11" t="str">
        <f aca="false">IF(A228="","",INVENTÁRIO!B228)</f>
        <v/>
      </c>
      <c r="C228" s="16" t="str">
        <f aca="false">IF(A228="","",INVENTÁRIO!C228)</f>
        <v/>
      </c>
      <c r="D228" s="14" t="str">
        <f aca="false">IF(A228="","",MAX(K228:AD228))</f>
        <v/>
      </c>
      <c r="E228" s="14" t="str">
        <f aca="false">IF(A228="","",MAX(0,D228-C228))</f>
        <v/>
      </c>
      <c r="F228" s="16" t="str">
        <f aca="false">IF(A228="","",IF(D228=0,"Fora dos decks",IF(E228=0,"Completo","Falta")))</f>
        <v/>
      </c>
      <c r="G228" s="16" t="str">
        <f aca="false">IF(A228="","",COUNTIF(K228:AD228,"&gt;0"))</f>
        <v/>
      </c>
      <c r="H228" s="16" t="str">
        <f aca="false">IF(A228="","",IF(G228&gt;1,"Sim",""))</f>
        <v/>
      </c>
      <c r="I228" s="18" t="str">
        <f aca="false">IF(A228="","",SUMIFS(DECKS!$D$2:$D$1201,DECKS!$B$2:$B$1201,A228))</f>
        <v/>
      </c>
      <c r="J228" s="18" t="str">
        <f aca="false">IF(A228="","",MAX(0,I228-C228))</f>
        <v/>
      </c>
      <c r="K228" s="19" t="str">
        <f aca="false">IF(OR($A228="",INDEX(_LEITURA!$Q$2:$Q$21,1)=0),"",SUMIFS(DECKS!$D$2:$D$1201,DECKS!$A$2:$A$1201,INDEX(_LEITURA!$P$2:$P$21,1),DECKS!$B$2:$B$1201,$A228))</f>
        <v/>
      </c>
      <c r="L228" s="19" t="str">
        <f aca="false">IF(OR($A228="",INDEX(_LEITURA!$Q$2:$Q$21,2)=0),"",SUMIFS(DECKS!$D$2:$D$1201,DECKS!$A$2:$A$1201,INDEX(_LEITURA!$P$2:$P$21,2),DECKS!$B$2:$B$1201,$A228))</f>
        <v/>
      </c>
      <c r="M228" s="19" t="str">
        <f aca="false">IF(OR($A228="",INDEX(_LEITURA!$Q$2:$Q$21,3)=0),"",SUMIFS(DECKS!$D$2:$D$1201,DECKS!$A$2:$A$1201,INDEX(_LEITURA!$P$2:$P$21,3),DECKS!$B$2:$B$1201,$A228))</f>
        <v/>
      </c>
      <c r="N228" s="19" t="str">
        <f aca="false">IF(OR($A228="",INDEX(_LEITURA!$Q$2:$Q$21,4)=0),"",SUMIFS(DECKS!$D$2:$D$1201,DECKS!$A$2:$A$1201,INDEX(_LEITURA!$P$2:$P$21,4),DECKS!$B$2:$B$1201,$A228))</f>
        <v/>
      </c>
      <c r="O228" s="19" t="str">
        <f aca="false">IF(OR($A228="",INDEX(_LEITURA!$Q$2:$Q$21,5)=0),"",SUMIFS(DECKS!$D$2:$D$1201,DECKS!$A$2:$A$1201,INDEX(_LEITURA!$P$2:$P$21,5),DECKS!$B$2:$B$1201,$A228))</f>
        <v/>
      </c>
      <c r="P228" s="19" t="str">
        <f aca="false">IF(OR($A228="",INDEX(_LEITURA!$Q$2:$Q$21,6)=0),"",SUMIFS(DECKS!$D$2:$D$1201,DECKS!$A$2:$A$1201,INDEX(_LEITURA!$P$2:$P$21,6),DECKS!$B$2:$B$1201,$A228))</f>
        <v/>
      </c>
      <c r="Q228" s="19" t="str">
        <f aca="false">IF(OR($A228="",INDEX(_LEITURA!$Q$2:$Q$21,7)=0),"",SUMIFS(DECKS!$D$2:$D$1201,DECKS!$A$2:$A$1201,INDEX(_LEITURA!$P$2:$P$21,7),DECKS!$B$2:$B$1201,$A228))</f>
        <v/>
      </c>
      <c r="R228" s="19" t="str">
        <f aca="false">IF(OR($A228="",INDEX(_LEITURA!$Q$2:$Q$21,8)=0),"",SUMIFS(DECKS!$D$2:$D$1201,DECKS!$A$2:$A$1201,INDEX(_LEITURA!$P$2:$P$21,8),DECKS!$B$2:$B$1201,$A228))</f>
        <v/>
      </c>
      <c r="S228" s="19" t="str">
        <f aca="false">IF(OR($A228="",INDEX(_LEITURA!$Q$2:$Q$21,9)=0),"",SUMIFS(DECKS!$D$2:$D$1201,DECKS!$A$2:$A$1201,INDEX(_LEITURA!$P$2:$P$21,9),DECKS!$B$2:$B$1201,$A228))</f>
        <v/>
      </c>
      <c r="T228" s="19" t="str">
        <f aca="false">IF(OR($A228="",INDEX(_LEITURA!$Q$2:$Q$21,10)=0),"",SUMIFS(DECKS!$D$2:$D$1201,DECKS!$A$2:$A$1201,INDEX(_LEITURA!$P$2:$P$21,10),DECKS!$B$2:$B$1201,$A228))</f>
        <v/>
      </c>
      <c r="U228" s="19" t="str">
        <f aca="false">IF(OR($A228="",INDEX(_LEITURA!$Q$2:$Q$21,11)=0),"",SUMIFS(DECKS!$D$2:$D$1201,DECKS!$A$2:$A$1201,INDEX(_LEITURA!$P$2:$P$21,11),DECKS!$B$2:$B$1201,$A228))</f>
        <v/>
      </c>
      <c r="V228" s="19" t="str">
        <f aca="false">IF(OR($A228="",INDEX(_LEITURA!$Q$2:$Q$21,12)=0),"",SUMIFS(DECKS!$D$2:$D$1201,DECKS!$A$2:$A$1201,INDEX(_LEITURA!$P$2:$P$21,12),DECKS!$B$2:$B$1201,$A228))</f>
        <v/>
      </c>
      <c r="W228" s="19" t="str">
        <f aca="false">IF(OR($A228="",INDEX(_LEITURA!$Q$2:$Q$21,13)=0),"",SUMIFS(DECKS!$D$2:$D$1201,DECKS!$A$2:$A$1201,INDEX(_LEITURA!$P$2:$P$21,13),DECKS!$B$2:$B$1201,$A228))</f>
        <v/>
      </c>
      <c r="X228" s="19" t="str">
        <f aca="false">IF(OR($A228="",INDEX(_LEITURA!$Q$2:$Q$21,14)=0),"",SUMIFS(DECKS!$D$2:$D$1201,DECKS!$A$2:$A$1201,INDEX(_LEITURA!$P$2:$P$21,14),DECKS!$B$2:$B$1201,$A228))</f>
        <v/>
      </c>
      <c r="Y228" s="19" t="str">
        <f aca="false">IF(OR($A228="",INDEX(_LEITURA!$Q$2:$Q$21,15)=0),"",SUMIFS(DECKS!$D$2:$D$1201,DECKS!$A$2:$A$1201,INDEX(_LEITURA!$P$2:$P$21,15),DECKS!$B$2:$B$1201,$A228))</f>
        <v/>
      </c>
      <c r="Z228" s="19" t="str">
        <f aca="false">IF(OR($A228="",INDEX(_LEITURA!$Q$2:$Q$21,16)=0),"",SUMIFS(DECKS!$D$2:$D$1201,DECKS!$A$2:$A$1201,INDEX(_LEITURA!$P$2:$P$21,16),DECKS!$B$2:$B$1201,$A228))</f>
        <v/>
      </c>
      <c r="AA228" s="19" t="str">
        <f aca="false">IF(OR($A228="",INDEX(_LEITURA!$Q$2:$Q$21,17)=0),"",SUMIFS(DECKS!$D$2:$D$1201,DECKS!$A$2:$A$1201,INDEX(_LEITURA!$P$2:$P$21,17),DECKS!$B$2:$B$1201,$A228))</f>
        <v/>
      </c>
      <c r="AB228" s="19" t="str">
        <f aca="false">IF(OR($A228="",INDEX(_LEITURA!$Q$2:$Q$21,18)=0),"",SUMIFS(DECKS!$D$2:$D$1201,DECKS!$A$2:$A$1201,INDEX(_LEITURA!$P$2:$P$21,18),DECKS!$B$2:$B$1201,$A228))</f>
        <v/>
      </c>
      <c r="AC228" s="19" t="str">
        <f aca="false">IF(OR($A228="",INDEX(_LEITURA!$Q$2:$Q$21,19)=0),"",SUMIFS(DECKS!$D$2:$D$1201,DECKS!$A$2:$A$1201,INDEX(_LEITURA!$P$2:$P$21,19),DECKS!$B$2:$B$1201,$A228))</f>
        <v/>
      </c>
      <c r="AD228" s="19" t="str">
        <f aca="false">IF(OR($A228="",INDEX(_LEITURA!$Q$2:$Q$21,20)=0),"",SUMIFS(DECKS!$D$2:$D$1201,DECKS!$A$2:$A$1201,INDEX(_LEITURA!$P$2:$P$21,20),DECKS!$B$2:$B$1201,$A228))</f>
        <v/>
      </c>
      <c r="AE228" s="16" t="str">
        <f aca="false">IF(N(E228)&gt;0,MAX(AE$1:AE227)+1,"")</f>
        <v/>
      </c>
      <c r="AF228" s="11" t="str">
        <f aca="false">IF(A228="","",IFERROR(LEFT(A228,FIND("-",A228)-1),A228))</f>
        <v/>
      </c>
      <c r="AG228" s="11" t="str">
        <f aca="false">IF(AF228="","",IF(ISNUMBER(--MID(AF228,1,1)),0,IF(ISNUMBER(--MID(AF228,2,1)),1,IF(ISNUMBER(--MID(AF228,3,1)),2,IF(ISNUMBER(--MID(AF228,4,1)),3,MIN(LEN(AF228),4))))))</f>
        <v/>
      </c>
      <c r="AH228" s="11" t="str">
        <f aca="false">IF(A228="","",LEFT(AF228,AG228)&amp;REPT("0",4-AG228)&amp;RIGHT("000"&amp;IFERROR(VALUE(MID(AF228,AG228+1,9)),0),3)&amp;RIGHT("0000"&amp;IFERROR(VALUE(MID(A228,FIND("-",A228)+1,9)),0),4))</f>
        <v/>
      </c>
      <c r="AI228" s="11" t="str">
        <f aca="false">IF(OR(A228="",N(E228)&lt;=0),"",IF('FALTAS GERAL'!$M$1="Código","K"&amp;AH228&amp;RIGHT("00000"&amp;ROW(),5),IF('FALTAS GERAL'!$M$1="Nome","K"&amp;UPPER(SUBSTITUTE(SUBSTITUTE(SUBSTITUTE(B228,"*",""),"?",""),"~",""))&amp;"0"&amp;AH228&amp;RIGHT("00000"&amp;ROW(),5),IF('FALTAS GERAL'!$M$1="Falta (maior primeiro)","K"&amp;RIGHT("0000"&amp;(9999-E228),4)&amp;AH228&amp;RIGHT("00000"&amp;ROW(),5),IF('FALTAS GERAL'!$M$1="Nº de decks (maior primeiro)","K"&amp;RIGHT("00"&amp;(99-N(G228)),2)&amp;AH228&amp;RIGHT("00000"&amp;ROW(),5),"K"&amp;RIGHT("00000"&amp;ROW(),5))))))</f>
        <v/>
      </c>
      <c r="AJ228" s="11" t="str">
        <f aca="false">IF(AI228="","",COUNTIFS($AI$2:$AI$801,"&lt;"&amp;AI228,$E$2:$E$801,"&gt;0")+1)</f>
        <v/>
      </c>
      <c r="AK228" s="11" t="str">
        <f aca="false">IF(OR(A228="",N(E228)&lt;=0),"",COUNTIFS($AH$2:$AH$801,"&lt;"&amp;AH228,$E$2:$E$801,"&gt;0")+COUNTIFS($AH$2:AH228,AH228,$E$2:E228,"&gt;0"))</f>
        <v/>
      </c>
    </row>
    <row r="229" customFormat="false" ht="15" hidden="false" customHeight="false" outlineLevel="0" collapsed="false">
      <c r="A229" s="11" t="str">
        <f aca="false">IF(INVENTÁRIO!A229="","",INVENTÁRIO!A229)</f>
        <v/>
      </c>
      <c r="B229" s="11" t="str">
        <f aca="false">IF(A229="","",INVENTÁRIO!B229)</f>
        <v/>
      </c>
      <c r="C229" s="16" t="str">
        <f aca="false">IF(A229="","",INVENTÁRIO!C229)</f>
        <v/>
      </c>
      <c r="D229" s="14" t="str">
        <f aca="false">IF(A229="","",MAX(K229:AD229))</f>
        <v/>
      </c>
      <c r="E229" s="14" t="str">
        <f aca="false">IF(A229="","",MAX(0,D229-C229))</f>
        <v/>
      </c>
      <c r="F229" s="16" t="str">
        <f aca="false">IF(A229="","",IF(D229=0,"Fora dos decks",IF(E229=0,"Completo","Falta")))</f>
        <v/>
      </c>
      <c r="G229" s="16" t="str">
        <f aca="false">IF(A229="","",COUNTIF(K229:AD229,"&gt;0"))</f>
        <v/>
      </c>
      <c r="H229" s="16" t="str">
        <f aca="false">IF(A229="","",IF(G229&gt;1,"Sim",""))</f>
        <v/>
      </c>
      <c r="I229" s="18" t="str">
        <f aca="false">IF(A229="","",SUMIFS(DECKS!$D$2:$D$1201,DECKS!$B$2:$B$1201,A229))</f>
        <v/>
      </c>
      <c r="J229" s="18" t="str">
        <f aca="false">IF(A229="","",MAX(0,I229-C229))</f>
        <v/>
      </c>
      <c r="K229" s="19" t="str">
        <f aca="false">IF(OR($A229="",INDEX(_LEITURA!$Q$2:$Q$21,1)=0),"",SUMIFS(DECKS!$D$2:$D$1201,DECKS!$A$2:$A$1201,INDEX(_LEITURA!$P$2:$P$21,1),DECKS!$B$2:$B$1201,$A229))</f>
        <v/>
      </c>
      <c r="L229" s="19" t="str">
        <f aca="false">IF(OR($A229="",INDEX(_LEITURA!$Q$2:$Q$21,2)=0),"",SUMIFS(DECKS!$D$2:$D$1201,DECKS!$A$2:$A$1201,INDEX(_LEITURA!$P$2:$P$21,2),DECKS!$B$2:$B$1201,$A229))</f>
        <v/>
      </c>
      <c r="M229" s="19" t="str">
        <f aca="false">IF(OR($A229="",INDEX(_LEITURA!$Q$2:$Q$21,3)=0),"",SUMIFS(DECKS!$D$2:$D$1201,DECKS!$A$2:$A$1201,INDEX(_LEITURA!$P$2:$P$21,3),DECKS!$B$2:$B$1201,$A229))</f>
        <v/>
      </c>
      <c r="N229" s="19" t="str">
        <f aca="false">IF(OR($A229="",INDEX(_LEITURA!$Q$2:$Q$21,4)=0),"",SUMIFS(DECKS!$D$2:$D$1201,DECKS!$A$2:$A$1201,INDEX(_LEITURA!$P$2:$P$21,4),DECKS!$B$2:$B$1201,$A229))</f>
        <v/>
      </c>
      <c r="O229" s="19" t="str">
        <f aca="false">IF(OR($A229="",INDEX(_LEITURA!$Q$2:$Q$21,5)=0),"",SUMIFS(DECKS!$D$2:$D$1201,DECKS!$A$2:$A$1201,INDEX(_LEITURA!$P$2:$P$21,5),DECKS!$B$2:$B$1201,$A229))</f>
        <v/>
      </c>
      <c r="P229" s="19" t="str">
        <f aca="false">IF(OR($A229="",INDEX(_LEITURA!$Q$2:$Q$21,6)=0),"",SUMIFS(DECKS!$D$2:$D$1201,DECKS!$A$2:$A$1201,INDEX(_LEITURA!$P$2:$P$21,6),DECKS!$B$2:$B$1201,$A229))</f>
        <v/>
      </c>
      <c r="Q229" s="19" t="str">
        <f aca="false">IF(OR($A229="",INDEX(_LEITURA!$Q$2:$Q$21,7)=0),"",SUMIFS(DECKS!$D$2:$D$1201,DECKS!$A$2:$A$1201,INDEX(_LEITURA!$P$2:$P$21,7),DECKS!$B$2:$B$1201,$A229))</f>
        <v/>
      </c>
      <c r="R229" s="19" t="str">
        <f aca="false">IF(OR($A229="",INDEX(_LEITURA!$Q$2:$Q$21,8)=0),"",SUMIFS(DECKS!$D$2:$D$1201,DECKS!$A$2:$A$1201,INDEX(_LEITURA!$P$2:$P$21,8),DECKS!$B$2:$B$1201,$A229))</f>
        <v/>
      </c>
      <c r="S229" s="19" t="str">
        <f aca="false">IF(OR($A229="",INDEX(_LEITURA!$Q$2:$Q$21,9)=0),"",SUMIFS(DECKS!$D$2:$D$1201,DECKS!$A$2:$A$1201,INDEX(_LEITURA!$P$2:$P$21,9),DECKS!$B$2:$B$1201,$A229))</f>
        <v/>
      </c>
      <c r="T229" s="19" t="str">
        <f aca="false">IF(OR($A229="",INDEX(_LEITURA!$Q$2:$Q$21,10)=0),"",SUMIFS(DECKS!$D$2:$D$1201,DECKS!$A$2:$A$1201,INDEX(_LEITURA!$P$2:$P$21,10),DECKS!$B$2:$B$1201,$A229))</f>
        <v/>
      </c>
      <c r="U229" s="19" t="str">
        <f aca="false">IF(OR($A229="",INDEX(_LEITURA!$Q$2:$Q$21,11)=0),"",SUMIFS(DECKS!$D$2:$D$1201,DECKS!$A$2:$A$1201,INDEX(_LEITURA!$P$2:$P$21,11),DECKS!$B$2:$B$1201,$A229))</f>
        <v/>
      </c>
      <c r="V229" s="19" t="str">
        <f aca="false">IF(OR($A229="",INDEX(_LEITURA!$Q$2:$Q$21,12)=0),"",SUMIFS(DECKS!$D$2:$D$1201,DECKS!$A$2:$A$1201,INDEX(_LEITURA!$P$2:$P$21,12),DECKS!$B$2:$B$1201,$A229))</f>
        <v/>
      </c>
      <c r="W229" s="19" t="str">
        <f aca="false">IF(OR($A229="",INDEX(_LEITURA!$Q$2:$Q$21,13)=0),"",SUMIFS(DECKS!$D$2:$D$1201,DECKS!$A$2:$A$1201,INDEX(_LEITURA!$P$2:$P$21,13),DECKS!$B$2:$B$1201,$A229))</f>
        <v/>
      </c>
      <c r="X229" s="19" t="str">
        <f aca="false">IF(OR($A229="",INDEX(_LEITURA!$Q$2:$Q$21,14)=0),"",SUMIFS(DECKS!$D$2:$D$1201,DECKS!$A$2:$A$1201,INDEX(_LEITURA!$P$2:$P$21,14),DECKS!$B$2:$B$1201,$A229))</f>
        <v/>
      </c>
      <c r="Y229" s="19" t="str">
        <f aca="false">IF(OR($A229="",INDEX(_LEITURA!$Q$2:$Q$21,15)=0),"",SUMIFS(DECKS!$D$2:$D$1201,DECKS!$A$2:$A$1201,INDEX(_LEITURA!$P$2:$P$21,15),DECKS!$B$2:$B$1201,$A229))</f>
        <v/>
      </c>
      <c r="Z229" s="19" t="str">
        <f aca="false">IF(OR($A229="",INDEX(_LEITURA!$Q$2:$Q$21,16)=0),"",SUMIFS(DECKS!$D$2:$D$1201,DECKS!$A$2:$A$1201,INDEX(_LEITURA!$P$2:$P$21,16),DECKS!$B$2:$B$1201,$A229))</f>
        <v/>
      </c>
      <c r="AA229" s="19" t="str">
        <f aca="false">IF(OR($A229="",INDEX(_LEITURA!$Q$2:$Q$21,17)=0),"",SUMIFS(DECKS!$D$2:$D$1201,DECKS!$A$2:$A$1201,INDEX(_LEITURA!$P$2:$P$21,17),DECKS!$B$2:$B$1201,$A229))</f>
        <v/>
      </c>
      <c r="AB229" s="19" t="str">
        <f aca="false">IF(OR($A229="",INDEX(_LEITURA!$Q$2:$Q$21,18)=0),"",SUMIFS(DECKS!$D$2:$D$1201,DECKS!$A$2:$A$1201,INDEX(_LEITURA!$P$2:$P$21,18),DECKS!$B$2:$B$1201,$A229))</f>
        <v/>
      </c>
      <c r="AC229" s="19" t="str">
        <f aca="false">IF(OR($A229="",INDEX(_LEITURA!$Q$2:$Q$21,19)=0),"",SUMIFS(DECKS!$D$2:$D$1201,DECKS!$A$2:$A$1201,INDEX(_LEITURA!$P$2:$P$21,19),DECKS!$B$2:$B$1201,$A229))</f>
        <v/>
      </c>
      <c r="AD229" s="19" t="str">
        <f aca="false">IF(OR($A229="",INDEX(_LEITURA!$Q$2:$Q$21,20)=0),"",SUMIFS(DECKS!$D$2:$D$1201,DECKS!$A$2:$A$1201,INDEX(_LEITURA!$P$2:$P$21,20),DECKS!$B$2:$B$1201,$A229))</f>
        <v/>
      </c>
      <c r="AE229" s="16" t="str">
        <f aca="false">IF(N(E229)&gt;0,MAX(AE$1:AE228)+1,"")</f>
        <v/>
      </c>
      <c r="AF229" s="11" t="str">
        <f aca="false">IF(A229="","",IFERROR(LEFT(A229,FIND("-",A229)-1),A229))</f>
        <v/>
      </c>
      <c r="AG229" s="11" t="str">
        <f aca="false">IF(AF229="","",IF(ISNUMBER(--MID(AF229,1,1)),0,IF(ISNUMBER(--MID(AF229,2,1)),1,IF(ISNUMBER(--MID(AF229,3,1)),2,IF(ISNUMBER(--MID(AF229,4,1)),3,MIN(LEN(AF229),4))))))</f>
        <v/>
      </c>
      <c r="AH229" s="11" t="str">
        <f aca="false">IF(A229="","",LEFT(AF229,AG229)&amp;REPT("0",4-AG229)&amp;RIGHT("000"&amp;IFERROR(VALUE(MID(AF229,AG229+1,9)),0),3)&amp;RIGHT("0000"&amp;IFERROR(VALUE(MID(A229,FIND("-",A229)+1,9)),0),4))</f>
        <v/>
      </c>
      <c r="AI229" s="11" t="str">
        <f aca="false">IF(OR(A229="",N(E229)&lt;=0),"",IF('FALTAS GERAL'!$M$1="Código","K"&amp;AH229&amp;RIGHT("00000"&amp;ROW(),5),IF('FALTAS GERAL'!$M$1="Nome","K"&amp;UPPER(SUBSTITUTE(SUBSTITUTE(SUBSTITUTE(B229,"*",""),"?",""),"~",""))&amp;"0"&amp;AH229&amp;RIGHT("00000"&amp;ROW(),5),IF('FALTAS GERAL'!$M$1="Falta (maior primeiro)","K"&amp;RIGHT("0000"&amp;(9999-E229),4)&amp;AH229&amp;RIGHT("00000"&amp;ROW(),5),IF('FALTAS GERAL'!$M$1="Nº de decks (maior primeiro)","K"&amp;RIGHT("00"&amp;(99-N(G229)),2)&amp;AH229&amp;RIGHT("00000"&amp;ROW(),5),"K"&amp;RIGHT("00000"&amp;ROW(),5))))))</f>
        <v/>
      </c>
      <c r="AJ229" s="11" t="str">
        <f aca="false">IF(AI229="","",COUNTIFS($AI$2:$AI$801,"&lt;"&amp;AI229,$E$2:$E$801,"&gt;0")+1)</f>
        <v/>
      </c>
      <c r="AK229" s="11" t="str">
        <f aca="false">IF(OR(A229="",N(E229)&lt;=0),"",COUNTIFS($AH$2:$AH$801,"&lt;"&amp;AH229,$E$2:$E$801,"&gt;0")+COUNTIFS($AH$2:AH229,AH229,$E$2:E229,"&gt;0"))</f>
        <v/>
      </c>
    </row>
    <row r="230" customFormat="false" ht="15" hidden="false" customHeight="false" outlineLevel="0" collapsed="false">
      <c r="A230" s="11" t="str">
        <f aca="false">IF(INVENTÁRIO!A230="","",INVENTÁRIO!A230)</f>
        <v/>
      </c>
      <c r="B230" s="11" t="str">
        <f aca="false">IF(A230="","",INVENTÁRIO!B230)</f>
        <v/>
      </c>
      <c r="C230" s="16" t="str">
        <f aca="false">IF(A230="","",INVENTÁRIO!C230)</f>
        <v/>
      </c>
      <c r="D230" s="14" t="str">
        <f aca="false">IF(A230="","",MAX(K230:AD230))</f>
        <v/>
      </c>
      <c r="E230" s="14" t="str">
        <f aca="false">IF(A230="","",MAX(0,D230-C230))</f>
        <v/>
      </c>
      <c r="F230" s="16" t="str">
        <f aca="false">IF(A230="","",IF(D230=0,"Fora dos decks",IF(E230=0,"Completo","Falta")))</f>
        <v/>
      </c>
      <c r="G230" s="16" t="str">
        <f aca="false">IF(A230="","",COUNTIF(K230:AD230,"&gt;0"))</f>
        <v/>
      </c>
      <c r="H230" s="16" t="str">
        <f aca="false">IF(A230="","",IF(G230&gt;1,"Sim",""))</f>
        <v/>
      </c>
      <c r="I230" s="18" t="str">
        <f aca="false">IF(A230="","",SUMIFS(DECKS!$D$2:$D$1201,DECKS!$B$2:$B$1201,A230))</f>
        <v/>
      </c>
      <c r="J230" s="18" t="str">
        <f aca="false">IF(A230="","",MAX(0,I230-C230))</f>
        <v/>
      </c>
      <c r="K230" s="19" t="str">
        <f aca="false">IF(OR($A230="",INDEX(_LEITURA!$Q$2:$Q$21,1)=0),"",SUMIFS(DECKS!$D$2:$D$1201,DECKS!$A$2:$A$1201,INDEX(_LEITURA!$P$2:$P$21,1),DECKS!$B$2:$B$1201,$A230))</f>
        <v/>
      </c>
      <c r="L230" s="19" t="str">
        <f aca="false">IF(OR($A230="",INDEX(_LEITURA!$Q$2:$Q$21,2)=0),"",SUMIFS(DECKS!$D$2:$D$1201,DECKS!$A$2:$A$1201,INDEX(_LEITURA!$P$2:$P$21,2),DECKS!$B$2:$B$1201,$A230))</f>
        <v/>
      </c>
      <c r="M230" s="19" t="str">
        <f aca="false">IF(OR($A230="",INDEX(_LEITURA!$Q$2:$Q$21,3)=0),"",SUMIFS(DECKS!$D$2:$D$1201,DECKS!$A$2:$A$1201,INDEX(_LEITURA!$P$2:$P$21,3),DECKS!$B$2:$B$1201,$A230))</f>
        <v/>
      </c>
      <c r="N230" s="19" t="str">
        <f aca="false">IF(OR($A230="",INDEX(_LEITURA!$Q$2:$Q$21,4)=0),"",SUMIFS(DECKS!$D$2:$D$1201,DECKS!$A$2:$A$1201,INDEX(_LEITURA!$P$2:$P$21,4),DECKS!$B$2:$B$1201,$A230))</f>
        <v/>
      </c>
      <c r="O230" s="19" t="str">
        <f aca="false">IF(OR($A230="",INDEX(_LEITURA!$Q$2:$Q$21,5)=0),"",SUMIFS(DECKS!$D$2:$D$1201,DECKS!$A$2:$A$1201,INDEX(_LEITURA!$P$2:$P$21,5),DECKS!$B$2:$B$1201,$A230))</f>
        <v/>
      </c>
      <c r="P230" s="19" t="str">
        <f aca="false">IF(OR($A230="",INDEX(_LEITURA!$Q$2:$Q$21,6)=0),"",SUMIFS(DECKS!$D$2:$D$1201,DECKS!$A$2:$A$1201,INDEX(_LEITURA!$P$2:$P$21,6),DECKS!$B$2:$B$1201,$A230))</f>
        <v/>
      </c>
      <c r="Q230" s="19" t="str">
        <f aca="false">IF(OR($A230="",INDEX(_LEITURA!$Q$2:$Q$21,7)=0),"",SUMIFS(DECKS!$D$2:$D$1201,DECKS!$A$2:$A$1201,INDEX(_LEITURA!$P$2:$P$21,7),DECKS!$B$2:$B$1201,$A230))</f>
        <v/>
      </c>
      <c r="R230" s="19" t="str">
        <f aca="false">IF(OR($A230="",INDEX(_LEITURA!$Q$2:$Q$21,8)=0),"",SUMIFS(DECKS!$D$2:$D$1201,DECKS!$A$2:$A$1201,INDEX(_LEITURA!$P$2:$P$21,8),DECKS!$B$2:$B$1201,$A230))</f>
        <v/>
      </c>
      <c r="S230" s="19" t="str">
        <f aca="false">IF(OR($A230="",INDEX(_LEITURA!$Q$2:$Q$21,9)=0),"",SUMIFS(DECKS!$D$2:$D$1201,DECKS!$A$2:$A$1201,INDEX(_LEITURA!$P$2:$P$21,9),DECKS!$B$2:$B$1201,$A230))</f>
        <v/>
      </c>
      <c r="T230" s="19" t="str">
        <f aca="false">IF(OR($A230="",INDEX(_LEITURA!$Q$2:$Q$21,10)=0),"",SUMIFS(DECKS!$D$2:$D$1201,DECKS!$A$2:$A$1201,INDEX(_LEITURA!$P$2:$P$21,10),DECKS!$B$2:$B$1201,$A230))</f>
        <v/>
      </c>
      <c r="U230" s="19" t="str">
        <f aca="false">IF(OR($A230="",INDEX(_LEITURA!$Q$2:$Q$21,11)=0),"",SUMIFS(DECKS!$D$2:$D$1201,DECKS!$A$2:$A$1201,INDEX(_LEITURA!$P$2:$P$21,11),DECKS!$B$2:$B$1201,$A230))</f>
        <v/>
      </c>
      <c r="V230" s="19" t="str">
        <f aca="false">IF(OR($A230="",INDEX(_LEITURA!$Q$2:$Q$21,12)=0),"",SUMIFS(DECKS!$D$2:$D$1201,DECKS!$A$2:$A$1201,INDEX(_LEITURA!$P$2:$P$21,12),DECKS!$B$2:$B$1201,$A230))</f>
        <v/>
      </c>
      <c r="W230" s="19" t="str">
        <f aca="false">IF(OR($A230="",INDEX(_LEITURA!$Q$2:$Q$21,13)=0),"",SUMIFS(DECKS!$D$2:$D$1201,DECKS!$A$2:$A$1201,INDEX(_LEITURA!$P$2:$P$21,13),DECKS!$B$2:$B$1201,$A230))</f>
        <v/>
      </c>
      <c r="X230" s="19" t="str">
        <f aca="false">IF(OR($A230="",INDEX(_LEITURA!$Q$2:$Q$21,14)=0),"",SUMIFS(DECKS!$D$2:$D$1201,DECKS!$A$2:$A$1201,INDEX(_LEITURA!$P$2:$P$21,14),DECKS!$B$2:$B$1201,$A230))</f>
        <v/>
      </c>
      <c r="Y230" s="19" t="str">
        <f aca="false">IF(OR($A230="",INDEX(_LEITURA!$Q$2:$Q$21,15)=0),"",SUMIFS(DECKS!$D$2:$D$1201,DECKS!$A$2:$A$1201,INDEX(_LEITURA!$P$2:$P$21,15),DECKS!$B$2:$B$1201,$A230))</f>
        <v/>
      </c>
      <c r="Z230" s="19" t="str">
        <f aca="false">IF(OR($A230="",INDEX(_LEITURA!$Q$2:$Q$21,16)=0),"",SUMIFS(DECKS!$D$2:$D$1201,DECKS!$A$2:$A$1201,INDEX(_LEITURA!$P$2:$P$21,16),DECKS!$B$2:$B$1201,$A230))</f>
        <v/>
      </c>
      <c r="AA230" s="19" t="str">
        <f aca="false">IF(OR($A230="",INDEX(_LEITURA!$Q$2:$Q$21,17)=0),"",SUMIFS(DECKS!$D$2:$D$1201,DECKS!$A$2:$A$1201,INDEX(_LEITURA!$P$2:$P$21,17),DECKS!$B$2:$B$1201,$A230))</f>
        <v/>
      </c>
      <c r="AB230" s="19" t="str">
        <f aca="false">IF(OR($A230="",INDEX(_LEITURA!$Q$2:$Q$21,18)=0),"",SUMIFS(DECKS!$D$2:$D$1201,DECKS!$A$2:$A$1201,INDEX(_LEITURA!$P$2:$P$21,18),DECKS!$B$2:$B$1201,$A230))</f>
        <v/>
      </c>
      <c r="AC230" s="19" t="str">
        <f aca="false">IF(OR($A230="",INDEX(_LEITURA!$Q$2:$Q$21,19)=0),"",SUMIFS(DECKS!$D$2:$D$1201,DECKS!$A$2:$A$1201,INDEX(_LEITURA!$P$2:$P$21,19),DECKS!$B$2:$B$1201,$A230))</f>
        <v/>
      </c>
      <c r="AD230" s="19" t="str">
        <f aca="false">IF(OR($A230="",INDEX(_LEITURA!$Q$2:$Q$21,20)=0),"",SUMIFS(DECKS!$D$2:$D$1201,DECKS!$A$2:$A$1201,INDEX(_LEITURA!$P$2:$P$21,20),DECKS!$B$2:$B$1201,$A230))</f>
        <v/>
      </c>
      <c r="AE230" s="16" t="str">
        <f aca="false">IF(N(E230)&gt;0,MAX(AE$1:AE229)+1,"")</f>
        <v/>
      </c>
      <c r="AF230" s="11" t="str">
        <f aca="false">IF(A230="","",IFERROR(LEFT(A230,FIND("-",A230)-1),A230))</f>
        <v/>
      </c>
      <c r="AG230" s="11" t="str">
        <f aca="false">IF(AF230="","",IF(ISNUMBER(--MID(AF230,1,1)),0,IF(ISNUMBER(--MID(AF230,2,1)),1,IF(ISNUMBER(--MID(AF230,3,1)),2,IF(ISNUMBER(--MID(AF230,4,1)),3,MIN(LEN(AF230),4))))))</f>
        <v/>
      </c>
      <c r="AH230" s="11" t="str">
        <f aca="false">IF(A230="","",LEFT(AF230,AG230)&amp;REPT("0",4-AG230)&amp;RIGHT("000"&amp;IFERROR(VALUE(MID(AF230,AG230+1,9)),0),3)&amp;RIGHT("0000"&amp;IFERROR(VALUE(MID(A230,FIND("-",A230)+1,9)),0),4))</f>
        <v/>
      </c>
      <c r="AI230" s="11" t="str">
        <f aca="false">IF(OR(A230="",N(E230)&lt;=0),"",IF('FALTAS GERAL'!$M$1="Código","K"&amp;AH230&amp;RIGHT("00000"&amp;ROW(),5),IF('FALTAS GERAL'!$M$1="Nome","K"&amp;UPPER(SUBSTITUTE(SUBSTITUTE(SUBSTITUTE(B230,"*",""),"?",""),"~",""))&amp;"0"&amp;AH230&amp;RIGHT("00000"&amp;ROW(),5),IF('FALTAS GERAL'!$M$1="Falta (maior primeiro)","K"&amp;RIGHT("0000"&amp;(9999-E230),4)&amp;AH230&amp;RIGHT("00000"&amp;ROW(),5),IF('FALTAS GERAL'!$M$1="Nº de decks (maior primeiro)","K"&amp;RIGHT("00"&amp;(99-N(G230)),2)&amp;AH230&amp;RIGHT("00000"&amp;ROW(),5),"K"&amp;RIGHT("00000"&amp;ROW(),5))))))</f>
        <v/>
      </c>
      <c r="AJ230" s="11" t="str">
        <f aca="false">IF(AI230="","",COUNTIFS($AI$2:$AI$801,"&lt;"&amp;AI230,$E$2:$E$801,"&gt;0")+1)</f>
        <v/>
      </c>
      <c r="AK230" s="11" t="str">
        <f aca="false">IF(OR(A230="",N(E230)&lt;=0),"",COUNTIFS($AH$2:$AH$801,"&lt;"&amp;AH230,$E$2:$E$801,"&gt;0")+COUNTIFS($AH$2:AH230,AH230,$E$2:E230,"&gt;0"))</f>
        <v/>
      </c>
    </row>
    <row r="231" customFormat="false" ht="15" hidden="false" customHeight="false" outlineLevel="0" collapsed="false">
      <c r="A231" s="11" t="str">
        <f aca="false">IF(INVENTÁRIO!A231="","",INVENTÁRIO!A231)</f>
        <v/>
      </c>
      <c r="B231" s="11" t="str">
        <f aca="false">IF(A231="","",INVENTÁRIO!B231)</f>
        <v/>
      </c>
      <c r="C231" s="16" t="str">
        <f aca="false">IF(A231="","",INVENTÁRIO!C231)</f>
        <v/>
      </c>
      <c r="D231" s="14" t="str">
        <f aca="false">IF(A231="","",MAX(K231:AD231))</f>
        <v/>
      </c>
      <c r="E231" s="14" t="str">
        <f aca="false">IF(A231="","",MAX(0,D231-C231))</f>
        <v/>
      </c>
      <c r="F231" s="16" t="str">
        <f aca="false">IF(A231="","",IF(D231=0,"Fora dos decks",IF(E231=0,"Completo","Falta")))</f>
        <v/>
      </c>
      <c r="G231" s="16" t="str">
        <f aca="false">IF(A231="","",COUNTIF(K231:AD231,"&gt;0"))</f>
        <v/>
      </c>
      <c r="H231" s="16" t="str">
        <f aca="false">IF(A231="","",IF(G231&gt;1,"Sim",""))</f>
        <v/>
      </c>
      <c r="I231" s="18" t="str">
        <f aca="false">IF(A231="","",SUMIFS(DECKS!$D$2:$D$1201,DECKS!$B$2:$B$1201,A231))</f>
        <v/>
      </c>
      <c r="J231" s="18" t="str">
        <f aca="false">IF(A231="","",MAX(0,I231-C231))</f>
        <v/>
      </c>
      <c r="K231" s="19" t="str">
        <f aca="false">IF(OR($A231="",INDEX(_LEITURA!$Q$2:$Q$21,1)=0),"",SUMIFS(DECKS!$D$2:$D$1201,DECKS!$A$2:$A$1201,INDEX(_LEITURA!$P$2:$P$21,1),DECKS!$B$2:$B$1201,$A231))</f>
        <v/>
      </c>
      <c r="L231" s="19" t="str">
        <f aca="false">IF(OR($A231="",INDEX(_LEITURA!$Q$2:$Q$21,2)=0),"",SUMIFS(DECKS!$D$2:$D$1201,DECKS!$A$2:$A$1201,INDEX(_LEITURA!$P$2:$P$21,2),DECKS!$B$2:$B$1201,$A231))</f>
        <v/>
      </c>
      <c r="M231" s="19" t="str">
        <f aca="false">IF(OR($A231="",INDEX(_LEITURA!$Q$2:$Q$21,3)=0),"",SUMIFS(DECKS!$D$2:$D$1201,DECKS!$A$2:$A$1201,INDEX(_LEITURA!$P$2:$P$21,3),DECKS!$B$2:$B$1201,$A231))</f>
        <v/>
      </c>
      <c r="N231" s="19" t="str">
        <f aca="false">IF(OR($A231="",INDEX(_LEITURA!$Q$2:$Q$21,4)=0),"",SUMIFS(DECKS!$D$2:$D$1201,DECKS!$A$2:$A$1201,INDEX(_LEITURA!$P$2:$P$21,4),DECKS!$B$2:$B$1201,$A231))</f>
        <v/>
      </c>
      <c r="O231" s="19" t="str">
        <f aca="false">IF(OR($A231="",INDEX(_LEITURA!$Q$2:$Q$21,5)=0),"",SUMIFS(DECKS!$D$2:$D$1201,DECKS!$A$2:$A$1201,INDEX(_LEITURA!$P$2:$P$21,5),DECKS!$B$2:$B$1201,$A231))</f>
        <v/>
      </c>
      <c r="P231" s="19" t="str">
        <f aca="false">IF(OR($A231="",INDEX(_LEITURA!$Q$2:$Q$21,6)=0),"",SUMIFS(DECKS!$D$2:$D$1201,DECKS!$A$2:$A$1201,INDEX(_LEITURA!$P$2:$P$21,6),DECKS!$B$2:$B$1201,$A231))</f>
        <v/>
      </c>
      <c r="Q231" s="19" t="str">
        <f aca="false">IF(OR($A231="",INDEX(_LEITURA!$Q$2:$Q$21,7)=0),"",SUMIFS(DECKS!$D$2:$D$1201,DECKS!$A$2:$A$1201,INDEX(_LEITURA!$P$2:$P$21,7),DECKS!$B$2:$B$1201,$A231))</f>
        <v/>
      </c>
      <c r="R231" s="19" t="str">
        <f aca="false">IF(OR($A231="",INDEX(_LEITURA!$Q$2:$Q$21,8)=0),"",SUMIFS(DECKS!$D$2:$D$1201,DECKS!$A$2:$A$1201,INDEX(_LEITURA!$P$2:$P$21,8),DECKS!$B$2:$B$1201,$A231))</f>
        <v/>
      </c>
      <c r="S231" s="19" t="str">
        <f aca="false">IF(OR($A231="",INDEX(_LEITURA!$Q$2:$Q$21,9)=0),"",SUMIFS(DECKS!$D$2:$D$1201,DECKS!$A$2:$A$1201,INDEX(_LEITURA!$P$2:$P$21,9),DECKS!$B$2:$B$1201,$A231))</f>
        <v/>
      </c>
      <c r="T231" s="19" t="str">
        <f aca="false">IF(OR($A231="",INDEX(_LEITURA!$Q$2:$Q$21,10)=0),"",SUMIFS(DECKS!$D$2:$D$1201,DECKS!$A$2:$A$1201,INDEX(_LEITURA!$P$2:$P$21,10),DECKS!$B$2:$B$1201,$A231))</f>
        <v/>
      </c>
      <c r="U231" s="19" t="str">
        <f aca="false">IF(OR($A231="",INDEX(_LEITURA!$Q$2:$Q$21,11)=0),"",SUMIFS(DECKS!$D$2:$D$1201,DECKS!$A$2:$A$1201,INDEX(_LEITURA!$P$2:$P$21,11),DECKS!$B$2:$B$1201,$A231))</f>
        <v/>
      </c>
      <c r="V231" s="19" t="str">
        <f aca="false">IF(OR($A231="",INDEX(_LEITURA!$Q$2:$Q$21,12)=0),"",SUMIFS(DECKS!$D$2:$D$1201,DECKS!$A$2:$A$1201,INDEX(_LEITURA!$P$2:$P$21,12),DECKS!$B$2:$B$1201,$A231))</f>
        <v/>
      </c>
      <c r="W231" s="19" t="str">
        <f aca="false">IF(OR($A231="",INDEX(_LEITURA!$Q$2:$Q$21,13)=0),"",SUMIFS(DECKS!$D$2:$D$1201,DECKS!$A$2:$A$1201,INDEX(_LEITURA!$P$2:$P$21,13),DECKS!$B$2:$B$1201,$A231))</f>
        <v/>
      </c>
      <c r="X231" s="19" t="str">
        <f aca="false">IF(OR($A231="",INDEX(_LEITURA!$Q$2:$Q$21,14)=0),"",SUMIFS(DECKS!$D$2:$D$1201,DECKS!$A$2:$A$1201,INDEX(_LEITURA!$P$2:$P$21,14),DECKS!$B$2:$B$1201,$A231))</f>
        <v/>
      </c>
      <c r="Y231" s="19" t="str">
        <f aca="false">IF(OR($A231="",INDEX(_LEITURA!$Q$2:$Q$21,15)=0),"",SUMIFS(DECKS!$D$2:$D$1201,DECKS!$A$2:$A$1201,INDEX(_LEITURA!$P$2:$P$21,15),DECKS!$B$2:$B$1201,$A231))</f>
        <v/>
      </c>
      <c r="Z231" s="19" t="str">
        <f aca="false">IF(OR($A231="",INDEX(_LEITURA!$Q$2:$Q$21,16)=0),"",SUMIFS(DECKS!$D$2:$D$1201,DECKS!$A$2:$A$1201,INDEX(_LEITURA!$P$2:$P$21,16),DECKS!$B$2:$B$1201,$A231))</f>
        <v/>
      </c>
      <c r="AA231" s="19" t="str">
        <f aca="false">IF(OR($A231="",INDEX(_LEITURA!$Q$2:$Q$21,17)=0),"",SUMIFS(DECKS!$D$2:$D$1201,DECKS!$A$2:$A$1201,INDEX(_LEITURA!$P$2:$P$21,17),DECKS!$B$2:$B$1201,$A231))</f>
        <v/>
      </c>
      <c r="AB231" s="19" t="str">
        <f aca="false">IF(OR($A231="",INDEX(_LEITURA!$Q$2:$Q$21,18)=0),"",SUMIFS(DECKS!$D$2:$D$1201,DECKS!$A$2:$A$1201,INDEX(_LEITURA!$P$2:$P$21,18),DECKS!$B$2:$B$1201,$A231))</f>
        <v/>
      </c>
      <c r="AC231" s="19" t="str">
        <f aca="false">IF(OR($A231="",INDEX(_LEITURA!$Q$2:$Q$21,19)=0),"",SUMIFS(DECKS!$D$2:$D$1201,DECKS!$A$2:$A$1201,INDEX(_LEITURA!$P$2:$P$21,19),DECKS!$B$2:$B$1201,$A231))</f>
        <v/>
      </c>
      <c r="AD231" s="19" t="str">
        <f aca="false">IF(OR($A231="",INDEX(_LEITURA!$Q$2:$Q$21,20)=0),"",SUMIFS(DECKS!$D$2:$D$1201,DECKS!$A$2:$A$1201,INDEX(_LEITURA!$P$2:$P$21,20),DECKS!$B$2:$B$1201,$A231))</f>
        <v/>
      </c>
      <c r="AE231" s="16" t="str">
        <f aca="false">IF(N(E231)&gt;0,MAX(AE$1:AE230)+1,"")</f>
        <v/>
      </c>
      <c r="AF231" s="11" t="str">
        <f aca="false">IF(A231="","",IFERROR(LEFT(A231,FIND("-",A231)-1),A231))</f>
        <v/>
      </c>
      <c r="AG231" s="11" t="str">
        <f aca="false">IF(AF231="","",IF(ISNUMBER(--MID(AF231,1,1)),0,IF(ISNUMBER(--MID(AF231,2,1)),1,IF(ISNUMBER(--MID(AF231,3,1)),2,IF(ISNUMBER(--MID(AF231,4,1)),3,MIN(LEN(AF231),4))))))</f>
        <v/>
      </c>
      <c r="AH231" s="11" t="str">
        <f aca="false">IF(A231="","",LEFT(AF231,AG231)&amp;REPT("0",4-AG231)&amp;RIGHT("000"&amp;IFERROR(VALUE(MID(AF231,AG231+1,9)),0),3)&amp;RIGHT("0000"&amp;IFERROR(VALUE(MID(A231,FIND("-",A231)+1,9)),0),4))</f>
        <v/>
      </c>
      <c r="AI231" s="11" t="str">
        <f aca="false">IF(OR(A231="",N(E231)&lt;=0),"",IF('FALTAS GERAL'!$M$1="Código","K"&amp;AH231&amp;RIGHT("00000"&amp;ROW(),5),IF('FALTAS GERAL'!$M$1="Nome","K"&amp;UPPER(SUBSTITUTE(SUBSTITUTE(SUBSTITUTE(B231,"*",""),"?",""),"~",""))&amp;"0"&amp;AH231&amp;RIGHT("00000"&amp;ROW(),5),IF('FALTAS GERAL'!$M$1="Falta (maior primeiro)","K"&amp;RIGHT("0000"&amp;(9999-E231),4)&amp;AH231&amp;RIGHT("00000"&amp;ROW(),5),IF('FALTAS GERAL'!$M$1="Nº de decks (maior primeiro)","K"&amp;RIGHT("00"&amp;(99-N(G231)),2)&amp;AH231&amp;RIGHT("00000"&amp;ROW(),5),"K"&amp;RIGHT("00000"&amp;ROW(),5))))))</f>
        <v/>
      </c>
      <c r="AJ231" s="11" t="str">
        <f aca="false">IF(AI231="","",COUNTIFS($AI$2:$AI$801,"&lt;"&amp;AI231,$E$2:$E$801,"&gt;0")+1)</f>
        <v/>
      </c>
      <c r="AK231" s="11" t="str">
        <f aca="false">IF(OR(A231="",N(E231)&lt;=0),"",COUNTIFS($AH$2:$AH$801,"&lt;"&amp;AH231,$E$2:$E$801,"&gt;0")+COUNTIFS($AH$2:AH231,AH231,$E$2:E231,"&gt;0"))</f>
        <v/>
      </c>
    </row>
    <row r="232" customFormat="false" ht="15" hidden="false" customHeight="false" outlineLevel="0" collapsed="false">
      <c r="A232" s="11" t="str">
        <f aca="false">IF(INVENTÁRIO!A232="","",INVENTÁRIO!A232)</f>
        <v/>
      </c>
      <c r="B232" s="11" t="str">
        <f aca="false">IF(A232="","",INVENTÁRIO!B232)</f>
        <v/>
      </c>
      <c r="C232" s="16" t="str">
        <f aca="false">IF(A232="","",INVENTÁRIO!C232)</f>
        <v/>
      </c>
      <c r="D232" s="14" t="str">
        <f aca="false">IF(A232="","",MAX(K232:AD232))</f>
        <v/>
      </c>
      <c r="E232" s="14" t="str">
        <f aca="false">IF(A232="","",MAX(0,D232-C232))</f>
        <v/>
      </c>
      <c r="F232" s="16" t="str">
        <f aca="false">IF(A232="","",IF(D232=0,"Fora dos decks",IF(E232=0,"Completo","Falta")))</f>
        <v/>
      </c>
      <c r="G232" s="16" t="str">
        <f aca="false">IF(A232="","",COUNTIF(K232:AD232,"&gt;0"))</f>
        <v/>
      </c>
      <c r="H232" s="16" t="str">
        <f aca="false">IF(A232="","",IF(G232&gt;1,"Sim",""))</f>
        <v/>
      </c>
      <c r="I232" s="18" t="str">
        <f aca="false">IF(A232="","",SUMIFS(DECKS!$D$2:$D$1201,DECKS!$B$2:$B$1201,A232))</f>
        <v/>
      </c>
      <c r="J232" s="18" t="str">
        <f aca="false">IF(A232="","",MAX(0,I232-C232))</f>
        <v/>
      </c>
      <c r="K232" s="19" t="str">
        <f aca="false">IF(OR($A232="",INDEX(_LEITURA!$Q$2:$Q$21,1)=0),"",SUMIFS(DECKS!$D$2:$D$1201,DECKS!$A$2:$A$1201,INDEX(_LEITURA!$P$2:$P$21,1),DECKS!$B$2:$B$1201,$A232))</f>
        <v/>
      </c>
      <c r="L232" s="19" t="str">
        <f aca="false">IF(OR($A232="",INDEX(_LEITURA!$Q$2:$Q$21,2)=0),"",SUMIFS(DECKS!$D$2:$D$1201,DECKS!$A$2:$A$1201,INDEX(_LEITURA!$P$2:$P$21,2),DECKS!$B$2:$B$1201,$A232))</f>
        <v/>
      </c>
      <c r="M232" s="19" t="str">
        <f aca="false">IF(OR($A232="",INDEX(_LEITURA!$Q$2:$Q$21,3)=0),"",SUMIFS(DECKS!$D$2:$D$1201,DECKS!$A$2:$A$1201,INDEX(_LEITURA!$P$2:$P$21,3),DECKS!$B$2:$B$1201,$A232))</f>
        <v/>
      </c>
      <c r="N232" s="19" t="str">
        <f aca="false">IF(OR($A232="",INDEX(_LEITURA!$Q$2:$Q$21,4)=0),"",SUMIFS(DECKS!$D$2:$D$1201,DECKS!$A$2:$A$1201,INDEX(_LEITURA!$P$2:$P$21,4),DECKS!$B$2:$B$1201,$A232))</f>
        <v/>
      </c>
      <c r="O232" s="19" t="str">
        <f aca="false">IF(OR($A232="",INDEX(_LEITURA!$Q$2:$Q$21,5)=0),"",SUMIFS(DECKS!$D$2:$D$1201,DECKS!$A$2:$A$1201,INDEX(_LEITURA!$P$2:$P$21,5),DECKS!$B$2:$B$1201,$A232))</f>
        <v/>
      </c>
      <c r="P232" s="19" t="str">
        <f aca="false">IF(OR($A232="",INDEX(_LEITURA!$Q$2:$Q$21,6)=0),"",SUMIFS(DECKS!$D$2:$D$1201,DECKS!$A$2:$A$1201,INDEX(_LEITURA!$P$2:$P$21,6),DECKS!$B$2:$B$1201,$A232))</f>
        <v/>
      </c>
      <c r="Q232" s="19" t="str">
        <f aca="false">IF(OR($A232="",INDEX(_LEITURA!$Q$2:$Q$21,7)=0),"",SUMIFS(DECKS!$D$2:$D$1201,DECKS!$A$2:$A$1201,INDEX(_LEITURA!$P$2:$P$21,7),DECKS!$B$2:$B$1201,$A232))</f>
        <v/>
      </c>
      <c r="R232" s="19" t="str">
        <f aca="false">IF(OR($A232="",INDEX(_LEITURA!$Q$2:$Q$21,8)=0),"",SUMIFS(DECKS!$D$2:$D$1201,DECKS!$A$2:$A$1201,INDEX(_LEITURA!$P$2:$P$21,8),DECKS!$B$2:$B$1201,$A232))</f>
        <v/>
      </c>
      <c r="S232" s="19" t="str">
        <f aca="false">IF(OR($A232="",INDEX(_LEITURA!$Q$2:$Q$21,9)=0),"",SUMIFS(DECKS!$D$2:$D$1201,DECKS!$A$2:$A$1201,INDEX(_LEITURA!$P$2:$P$21,9),DECKS!$B$2:$B$1201,$A232))</f>
        <v/>
      </c>
      <c r="T232" s="19" t="str">
        <f aca="false">IF(OR($A232="",INDEX(_LEITURA!$Q$2:$Q$21,10)=0),"",SUMIFS(DECKS!$D$2:$D$1201,DECKS!$A$2:$A$1201,INDEX(_LEITURA!$P$2:$P$21,10),DECKS!$B$2:$B$1201,$A232))</f>
        <v/>
      </c>
      <c r="U232" s="19" t="str">
        <f aca="false">IF(OR($A232="",INDEX(_LEITURA!$Q$2:$Q$21,11)=0),"",SUMIFS(DECKS!$D$2:$D$1201,DECKS!$A$2:$A$1201,INDEX(_LEITURA!$P$2:$P$21,11),DECKS!$B$2:$B$1201,$A232))</f>
        <v/>
      </c>
      <c r="V232" s="19" t="str">
        <f aca="false">IF(OR($A232="",INDEX(_LEITURA!$Q$2:$Q$21,12)=0),"",SUMIFS(DECKS!$D$2:$D$1201,DECKS!$A$2:$A$1201,INDEX(_LEITURA!$P$2:$P$21,12),DECKS!$B$2:$B$1201,$A232))</f>
        <v/>
      </c>
      <c r="W232" s="19" t="str">
        <f aca="false">IF(OR($A232="",INDEX(_LEITURA!$Q$2:$Q$21,13)=0),"",SUMIFS(DECKS!$D$2:$D$1201,DECKS!$A$2:$A$1201,INDEX(_LEITURA!$P$2:$P$21,13),DECKS!$B$2:$B$1201,$A232))</f>
        <v/>
      </c>
      <c r="X232" s="19" t="str">
        <f aca="false">IF(OR($A232="",INDEX(_LEITURA!$Q$2:$Q$21,14)=0),"",SUMIFS(DECKS!$D$2:$D$1201,DECKS!$A$2:$A$1201,INDEX(_LEITURA!$P$2:$P$21,14),DECKS!$B$2:$B$1201,$A232))</f>
        <v/>
      </c>
      <c r="Y232" s="19" t="str">
        <f aca="false">IF(OR($A232="",INDEX(_LEITURA!$Q$2:$Q$21,15)=0),"",SUMIFS(DECKS!$D$2:$D$1201,DECKS!$A$2:$A$1201,INDEX(_LEITURA!$P$2:$P$21,15),DECKS!$B$2:$B$1201,$A232))</f>
        <v/>
      </c>
      <c r="Z232" s="19" t="str">
        <f aca="false">IF(OR($A232="",INDEX(_LEITURA!$Q$2:$Q$21,16)=0),"",SUMIFS(DECKS!$D$2:$D$1201,DECKS!$A$2:$A$1201,INDEX(_LEITURA!$P$2:$P$21,16),DECKS!$B$2:$B$1201,$A232))</f>
        <v/>
      </c>
      <c r="AA232" s="19" t="str">
        <f aca="false">IF(OR($A232="",INDEX(_LEITURA!$Q$2:$Q$21,17)=0),"",SUMIFS(DECKS!$D$2:$D$1201,DECKS!$A$2:$A$1201,INDEX(_LEITURA!$P$2:$P$21,17),DECKS!$B$2:$B$1201,$A232))</f>
        <v/>
      </c>
      <c r="AB232" s="19" t="str">
        <f aca="false">IF(OR($A232="",INDEX(_LEITURA!$Q$2:$Q$21,18)=0),"",SUMIFS(DECKS!$D$2:$D$1201,DECKS!$A$2:$A$1201,INDEX(_LEITURA!$P$2:$P$21,18),DECKS!$B$2:$B$1201,$A232))</f>
        <v/>
      </c>
      <c r="AC232" s="19" t="str">
        <f aca="false">IF(OR($A232="",INDEX(_LEITURA!$Q$2:$Q$21,19)=0),"",SUMIFS(DECKS!$D$2:$D$1201,DECKS!$A$2:$A$1201,INDEX(_LEITURA!$P$2:$P$21,19),DECKS!$B$2:$B$1201,$A232))</f>
        <v/>
      </c>
      <c r="AD232" s="19" t="str">
        <f aca="false">IF(OR($A232="",INDEX(_LEITURA!$Q$2:$Q$21,20)=0),"",SUMIFS(DECKS!$D$2:$D$1201,DECKS!$A$2:$A$1201,INDEX(_LEITURA!$P$2:$P$21,20),DECKS!$B$2:$B$1201,$A232))</f>
        <v/>
      </c>
      <c r="AE232" s="16" t="str">
        <f aca="false">IF(N(E232)&gt;0,MAX(AE$1:AE231)+1,"")</f>
        <v/>
      </c>
      <c r="AF232" s="11" t="str">
        <f aca="false">IF(A232="","",IFERROR(LEFT(A232,FIND("-",A232)-1),A232))</f>
        <v/>
      </c>
      <c r="AG232" s="11" t="str">
        <f aca="false">IF(AF232="","",IF(ISNUMBER(--MID(AF232,1,1)),0,IF(ISNUMBER(--MID(AF232,2,1)),1,IF(ISNUMBER(--MID(AF232,3,1)),2,IF(ISNUMBER(--MID(AF232,4,1)),3,MIN(LEN(AF232),4))))))</f>
        <v/>
      </c>
      <c r="AH232" s="11" t="str">
        <f aca="false">IF(A232="","",LEFT(AF232,AG232)&amp;REPT("0",4-AG232)&amp;RIGHT("000"&amp;IFERROR(VALUE(MID(AF232,AG232+1,9)),0),3)&amp;RIGHT("0000"&amp;IFERROR(VALUE(MID(A232,FIND("-",A232)+1,9)),0),4))</f>
        <v/>
      </c>
      <c r="AI232" s="11" t="str">
        <f aca="false">IF(OR(A232="",N(E232)&lt;=0),"",IF('FALTAS GERAL'!$M$1="Código","K"&amp;AH232&amp;RIGHT("00000"&amp;ROW(),5),IF('FALTAS GERAL'!$M$1="Nome","K"&amp;UPPER(SUBSTITUTE(SUBSTITUTE(SUBSTITUTE(B232,"*",""),"?",""),"~",""))&amp;"0"&amp;AH232&amp;RIGHT("00000"&amp;ROW(),5),IF('FALTAS GERAL'!$M$1="Falta (maior primeiro)","K"&amp;RIGHT("0000"&amp;(9999-E232),4)&amp;AH232&amp;RIGHT("00000"&amp;ROW(),5),IF('FALTAS GERAL'!$M$1="Nº de decks (maior primeiro)","K"&amp;RIGHT("00"&amp;(99-N(G232)),2)&amp;AH232&amp;RIGHT("00000"&amp;ROW(),5),"K"&amp;RIGHT("00000"&amp;ROW(),5))))))</f>
        <v/>
      </c>
      <c r="AJ232" s="11" t="str">
        <f aca="false">IF(AI232="","",COUNTIFS($AI$2:$AI$801,"&lt;"&amp;AI232,$E$2:$E$801,"&gt;0")+1)</f>
        <v/>
      </c>
      <c r="AK232" s="11" t="str">
        <f aca="false">IF(OR(A232="",N(E232)&lt;=0),"",COUNTIFS($AH$2:$AH$801,"&lt;"&amp;AH232,$E$2:$E$801,"&gt;0")+COUNTIFS($AH$2:AH232,AH232,$E$2:E232,"&gt;0"))</f>
        <v/>
      </c>
    </row>
    <row r="233" customFormat="false" ht="15" hidden="false" customHeight="false" outlineLevel="0" collapsed="false">
      <c r="A233" s="11" t="str">
        <f aca="false">IF(INVENTÁRIO!A233="","",INVENTÁRIO!A233)</f>
        <v/>
      </c>
      <c r="B233" s="11" t="str">
        <f aca="false">IF(A233="","",INVENTÁRIO!B233)</f>
        <v/>
      </c>
      <c r="C233" s="16" t="str">
        <f aca="false">IF(A233="","",INVENTÁRIO!C233)</f>
        <v/>
      </c>
      <c r="D233" s="14" t="str">
        <f aca="false">IF(A233="","",MAX(K233:AD233))</f>
        <v/>
      </c>
      <c r="E233" s="14" t="str">
        <f aca="false">IF(A233="","",MAX(0,D233-C233))</f>
        <v/>
      </c>
      <c r="F233" s="16" t="str">
        <f aca="false">IF(A233="","",IF(D233=0,"Fora dos decks",IF(E233=0,"Completo","Falta")))</f>
        <v/>
      </c>
      <c r="G233" s="16" t="str">
        <f aca="false">IF(A233="","",COUNTIF(K233:AD233,"&gt;0"))</f>
        <v/>
      </c>
      <c r="H233" s="16" t="str">
        <f aca="false">IF(A233="","",IF(G233&gt;1,"Sim",""))</f>
        <v/>
      </c>
      <c r="I233" s="18" t="str">
        <f aca="false">IF(A233="","",SUMIFS(DECKS!$D$2:$D$1201,DECKS!$B$2:$B$1201,A233))</f>
        <v/>
      </c>
      <c r="J233" s="18" t="str">
        <f aca="false">IF(A233="","",MAX(0,I233-C233))</f>
        <v/>
      </c>
      <c r="K233" s="19" t="str">
        <f aca="false">IF(OR($A233="",INDEX(_LEITURA!$Q$2:$Q$21,1)=0),"",SUMIFS(DECKS!$D$2:$D$1201,DECKS!$A$2:$A$1201,INDEX(_LEITURA!$P$2:$P$21,1),DECKS!$B$2:$B$1201,$A233))</f>
        <v/>
      </c>
      <c r="L233" s="19" t="str">
        <f aca="false">IF(OR($A233="",INDEX(_LEITURA!$Q$2:$Q$21,2)=0),"",SUMIFS(DECKS!$D$2:$D$1201,DECKS!$A$2:$A$1201,INDEX(_LEITURA!$P$2:$P$21,2),DECKS!$B$2:$B$1201,$A233))</f>
        <v/>
      </c>
      <c r="M233" s="19" t="str">
        <f aca="false">IF(OR($A233="",INDEX(_LEITURA!$Q$2:$Q$21,3)=0),"",SUMIFS(DECKS!$D$2:$D$1201,DECKS!$A$2:$A$1201,INDEX(_LEITURA!$P$2:$P$21,3),DECKS!$B$2:$B$1201,$A233))</f>
        <v/>
      </c>
      <c r="N233" s="19" t="str">
        <f aca="false">IF(OR($A233="",INDEX(_LEITURA!$Q$2:$Q$21,4)=0),"",SUMIFS(DECKS!$D$2:$D$1201,DECKS!$A$2:$A$1201,INDEX(_LEITURA!$P$2:$P$21,4),DECKS!$B$2:$B$1201,$A233))</f>
        <v/>
      </c>
      <c r="O233" s="19" t="str">
        <f aca="false">IF(OR($A233="",INDEX(_LEITURA!$Q$2:$Q$21,5)=0),"",SUMIFS(DECKS!$D$2:$D$1201,DECKS!$A$2:$A$1201,INDEX(_LEITURA!$P$2:$P$21,5),DECKS!$B$2:$B$1201,$A233))</f>
        <v/>
      </c>
      <c r="P233" s="19" t="str">
        <f aca="false">IF(OR($A233="",INDEX(_LEITURA!$Q$2:$Q$21,6)=0),"",SUMIFS(DECKS!$D$2:$D$1201,DECKS!$A$2:$A$1201,INDEX(_LEITURA!$P$2:$P$21,6),DECKS!$B$2:$B$1201,$A233))</f>
        <v/>
      </c>
      <c r="Q233" s="19" t="str">
        <f aca="false">IF(OR($A233="",INDEX(_LEITURA!$Q$2:$Q$21,7)=0),"",SUMIFS(DECKS!$D$2:$D$1201,DECKS!$A$2:$A$1201,INDEX(_LEITURA!$P$2:$P$21,7),DECKS!$B$2:$B$1201,$A233))</f>
        <v/>
      </c>
      <c r="R233" s="19" t="str">
        <f aca="false">IF(OR($A233="",INDEX(_LEITURA!$Q$2:$Q$21,8)=0),"",SUMIFS(DECKS!$D$2:$D$1201,DECKS!$A$2:$A$1201,INDEX(_LEITURA!$P$2:$P$21,8),DECKS!$B$2:$B$1201,$A233))</f>
        <v/>
      </c>
      <c r="S233" s="19" t="str">
        <f aca="false">IF(OR($A233="",INDEX(_LEITURA!$Q$2:$Q$21,9)=0),"",SUMIFS(DECKS!$D$2:$D$1201,DECKS!$A$2:$A$1201,INDEX(_LEITURA!$P$2:$P$21,9),DECKS!$B$2:$B$1201,$A233))</f>
        <v/>
      </c>
      <c r="T233" s="19" t="str">
        <f aca="false">IF(OR($A233="",INDEX(_LEITURA!$Q$2:$Q$21,10)=0),"",SUMIFS(DECKS!$D$2:$D$1201,DECKS!$A$2:$A$1201,INDEX(_LEITURA!$P$2:$P$21,10),DECKS!$B$2:$B$1201,$A233))</f>
        <v/>
      </c>
      <c r="U233" s="19" t="str">
        <f aca="false">IF(OR($A233="",INDEX(_LEITURA!$Q$2:$Q$21,11)=0),"",SUMIFS(DECKS!$D$2:$D$1201,DECKS!$A$2:$A$1201,INDEX(_LEITURA!$P$2:$P$21,11),DECKS!$B$2:$B$1201,$A233))</f>
        <v/>
      </c>
      <c r="V233" s="19" t="str">
        <f aca="false">IF(OR($A233="",INDEX(_LEITURA!$Q$2:$Q$21,12)=0),"",SUMIFS(DECKS!$D$2:$D$1201,DECKS!$A$2:$A$1201,INDEX(_LEITURA!$P$2:$P$21,12),DECKS!$B$2:$B$1201,$A233))</f>
        <v/>
      </c>
      <c r="W233" s="19" t="str">
        <f aca="false">IF(OR($A233="",INDEX(_LEITURA!$Q$2:$Q$21,13)=0),"",SUMIFS(DECKS!$D$2:$D$1201,DECKS!$A$2:$A$1201,INDEX(_LEITURA!$P$2:$P$21,13),DECKS!$B$2:$B$1201,$A233))</f>
        <v/>
      </c>
      <c r="X233" s="19" t="str">
        <f aca="false">IF(OR($A233="",INDEX(_LEITURA!$Q$2:$Q$21,14)=0),"",SUMIFS(DECKS!$D$2:$D$1201,DECKS!$A$2:$A$1201,INDEX(_LEITURA!$P$2:$P$21,14),DECKS!$B$2:$B$1201,$A233))</f>
        <v/>
      </c>
      <c r="Y233" s="19" t="str">
        <f aca="false">IF(OR($A233="",INDEX(_LEITURA!$Q$2:$Q$21,15)=0),"",SUMIFS(DECKS!$D$2:$D$1201,DECKS!$A$2:$A$1201,INDEX(_LEITURA!$P$2:$P$21,15),DECKS!$B$2:$B$1201,$A233))</f>
        <v/>
      </c>
      <c r="Z233" s="19" t="str">
        <f aca="false">IF(OR($A233="",INDEX(_LEITURA!$Q$2:$Q$21,16)=0),"",SUMIFS(DECKS!$D$2:$D$1201,DECKS!$A$2:$A$1201,INDEX(_LEITURA!$P$2:$P$21,16),DECKS!$B$2:$B$1201,$A233))</f>
        <v/>
      </c>
      <c r="AA233" s="19" t="str">
        <f aca="false">IF(OR($A233="",INDEX(_LEITURA!$Q$2:$Q$21,17)=0),"",SUMIFS(DECKS!$D$2:$D$1201,DECKS!$A$2:$A$1201,INDEX(_LEITURA!$P$2:$P$21,17),DECKS!$B$2:$B$1201,$A233))</f>
        <v/>
      </c>
      <c r="AB233" s="19" t="str">
        <f aca="false">IF(OR($A233="",INDEX(_LEITURA!$Q$2:$Q$21,18)=0),"",SUMIFS(DECKS!$D$2:$D$1201,DECKS!$A$2:$A$1201,INDEX(_LEITURA!$P$2:$P$21,18),DECKS!$B$2:$B$1201,$A233))</f>
        <v/>
      </c>
      <c r="AC233" s="19" t="str">
        <f aca="false">IF(OR($A233="",INDEX(_LEITURA!$Q$2:$Q$21,19)=0),"",SUMIFS(DECKS!$D$2:$D$1201,DECKS!$A$2:$A$1201,INDEX(_LEITURA!$P$2:$P$21,19),DECKS!$B$2:$B$1201,$A233))</f>
        <v/>
      </c>
      <c r="AD233" s="19" t="str">
        <f aca="false">IF(OR($A233="",INDEX(_LEITURA!$Q$2:$Q$21,20)=0),"",SUMIFS(DECKS!$D$2:$D$1201,DECKS!$A$2:$A$1201,INDEX(_LEITURA!$P$2:$P$21,20),DECKS!$B$2:$B$1201,$A233))</f>
        <v/>
      </c>
      <c r="AE233" s="16" t="str">
        <f aca="false">IF(N(E233)&gt;0,MAX(AE$1:AE232)+1,"")</f>
        <v/>
      </c>
      <c r="AF233" s="11" t="str">
        <f aca="false">IF(A233="","",IFERROR(LEFT(A233,FIND("-",A233)-1),A233))</f>
        <v/>
      </c>
      <c r="AG233" s="11" t="str">
        <f aca="false">IF(AF233="","",IF(ISNUMBER(--MID(AF233,1,1)),0,IF(ISNUMBER(--MID(AF233,2,1)),1,IF(ISNUMBER(--MID(AF233,3,1)),2,IF(ISNUMBER(--MID(AF233,4,1)),3,MIN(LEN(AF233),4))))))</f>
        <v/>
      </c>
      <c r="AH233" s="11" t="str">
        <f aca="false">IF(A233="","",LEFT(AF233,AG233)&amp;REPT("0",4-AG233)&amp;RIGHT("000"&amp;IFERROR(VALUE(MID(AF233,AG233+1,9)),0),3)&amp;RIGHT("0000"&amp;IFERROR(VALUE(MID(A233,FIND("-",A233)+1,9)),0),4))</f>
        <v/>
      </c>
      <c r="AI233" s="11" t="str">
        <f aca="false">IF(OR(A233="",N(E233)&lt;=0),"",IF('FALTAS GERAL'!$M$1="Código","K"&amp;AH233&amp;RIGHT("00000"&amp;ROW(),5),IF('FALTAS GERAL'!$M$1="Nome","K"&amp;UPPER(SUBSTITUTE(SUBSTITUTE(SUBSTITUTE(B233,"*",""),"?",""),"~",""))&amp;"0"&amp;AH233&amp;RIGHT("00000"&amp;ROW(),5),IF('FALTAS GERAL'!$M$1="Falta (maior primeiro)","K"&amp;RIGHT("0000"&amp;(9999-E233),4)&amp;AH233&amp;RIGHT("00000"&amp;ROW(),5),IF('FALTAS GERAL'!$M$1="Nº de decks (maior primeiro)","K"&amp;RIGHT("00"&amp;(99-N(G233)),2)&amp;AH233&amp;RIGHT("00000"&amp;ROW(),5),"K"&amp;RIGHT("00000"&amp;ROW(),5))))))</f>
        <v/>
      </c>
      <c r="AJ233" s="11" t="str">
        <f aca="false">IF(AI233="","",COUNTIFS($AI$2:$AI$801,"&lt;"&amp;AI233,$E$2:$E$801,"&gt;0")+1)</f>
        <v/>
      </c>
      <c r="AK233" s="11" t="str">
        <f aca="false">IF(OR(A233="",N(E233)&lt;=0),"",COUNTIFS($AH$2:$AH$801,"&lt;"&amp;AH233,$E$2:$E$801,"&gt;0")+COUNTIFS($AH$2:AH233,AH233,$E$2:E233,"&gt;0"))</f>
        <v/>
      </c>
    </row>
    <row r="234" customFormat="false" ht="15" hidden="false" customHeight="false" outlineLevel="0" collapsed="false">
      <c r="A234" s="11" t="str">
        <f aca="false">IF(INVENTÁRIO!A234="","",INVENTÁRIO!A234)</f>
        <v/>
      </c>
      <c r="B234" s="11" t="str">
        <f aca="false">IF(A234="","",INVENTÁRIO!B234)</f>
        <v/>
      </c>
      <c r="C234" s="16" t="str">
        <f aca="false">IF(A234="","",INVENTÁRIO!C234)</f>
        <v/>
      </c>
      <c r="D234" s="14" t="str">
        <f aca="false">IF(A234="","",MAX(K234:AD234))</f>
        <v/>
      </c>
      <c r="E234" s="14" t="str">
        <f aca="false">IF(A234="","",MAX(0,D234-C234))</f>
        <v/>
      </c>
      <c r="F234" s="16" t="str">
        <f aca="false">IF(A234="","",IF(D234=0,"Fora dos decks",IF(E234=0,"Completo","Falta")))</f>
        <v/>
      </c>
      <c r="G234" s="16" t="str">
        <f aca="false">IF(A234="","",COUNTIF(K234:AD234,"&gt;0"))</f>
        <v/>
      </c>
      <c r="H234" s="16" t="str">
        <f aca="false">IF(A234="","",IF(G234&gt;1,"Sim",""))</f>
        <v/>
      </c>
      <c r="I234" s="18" t="str">
        <f aca="false">IF(A234="","",SUMIFS(DECKS!$D$2:$D$1201,DECKS!$B$2:$B$1201,A234))</f>
        <v/>
      </c>
      <c r="J234" s="18" t="str">
        <f aca="false">IF(A234="","",MAX(0,I234-C234))</f>
        <v/>
      </c>
      <c r="K234" s="19" t="str">
        <f aca="false">IF(OR($A234="",INDEX(_LEITURA!$Q$2:$Q$21,1)=0),"",SUMIFS(DECKS!$D$2:$D$1201,DECKS!$A$2:$A$1201,INDEX(_LEITURA!$P$2:$P$21,1),DECKS!$B$2:$B$1201,$A234))</f>
        <v/>
      </c>
      <c r="L234" s="19" t="str">
        <f aca="false">IF(OR($A234="",INDEX(_LEITURA!$Q$2:$Q$21,2)=0),"",SUMIFS(DECKS!$D$2:$D$1201,DECKS!$A$2:$A$1201,INDEX(_LEITURA!$P$2:$P$21,2),DECKS!$B$2:$B$1201,$A234))</f>
        <v/>
      </c>
      <c r="M234" s="19" t="str">
        <f aca="false">IF(OR($A234="",INDEX(_LEITURA!$Q$2:$Q$21,3)=0),"",SUMIFS(DECKS!$D$2:$D$1201,DECKS!$A$2:$A$1201,INDEX(_LEITURA!$P$2:$P$21,3),DECKS!$B$2:$B$1201,$A234))</f>
        <v/>
      </c>
      <c r="N234" s="19" t="str">
        <f aca="false">IF(OR($A234="",INDEX(_LEITURA!$Q$2:$Q$21,4)=0),"",SUMIFS(DECKS!$D$2:$D$1201,DECKS!$A$2:$A$1201,INDEX(_LEITURA!$P$2:$P$21,4),DECKS!$B$2:$B$1201,$A234))</f>
        <v/>
      </c>
      <c r="O234" s="19" t="str">
        <f aca="false">IF(OR($A234="",INDEX(_LEITURA!$Q$2:$Q$21,5)=0),"",SUMIFS(DECKS!$D$2:$D$1201,DECKS!$A$2:$A$1201,INDEX(_LEITURA!$P$2:$P$21,5),DECKS!$B$2:$B$1201,$A234))</f>
        <v/>
      </c>
      <c r="P234" s="19" t="str">
        <f aca="false">IF(OR($A234="",INDEX(_LEITURA!$Q$2:$Q$21,6)=0),"",SUMIFS(DECKS!$D$2:$D$1201,DECKS!$A$2:$A$1201,INDEX(_LEITURA!$P$2:$P$21,6),DECKS!$B$2:$B$1201,$A234))</f>
        <v/>
      </c>
      <c r="Q234" s="19" t="str">
        <f aca="false">IF(OR($A234="",INDEX(_LEITURA!$Q$2:$Q$21,7)=0),"",SUMIFS(DECKS!$D$2:$D$1201,DECKS!$A$2:$A$1201,INDEX(_LEITURA!$P$2:$P$21,7),DECKS!$B$2:$B$1201,$A234))</f>
        <v/>
      </c>
      <c r="R234" s="19" t="str">
        <f aca="false">IF(OR($A234="",INDEX(_LEITURA!$Q$2:$Q$21,8)=0),"",SUMIFS(DECKS!$D$2:$D$1201,DECKS!$A$2:$A$1201,INDEX(_LEITURA!$P$2:$P$21,8),DECKS!$B$2:$B$1201,$A234))</f>
        <v/>
      </c>
      <c r="S234" s="19" t="str">
        <f aca="false">IF(OR($A234="",INDEX(_LEITURA!$Q$2:$Q$21,9)=0),"",SUMIFS(DECKS!$D$2:$D$1201,DECKS!$A$2:$A$1201,INDEX(_LEITURA!$P$2:$P$21,9),DECKS!$B$2:$B$1201,$A234))</f>
        <v/>
      </c>
      <c r="T234" s="19" t="str">
        <f aca="false">IF(OR($A234="",INDEX(_LEITURA!$Q$2:$Q$21,10)=0),"",SUMIFS(DECKS!$D$2:$D$1201,DECKS!$A$2:$A$1201,INDEX(_LEITURA!$P$2:$P$21,10),DECKS!$B$2:$B$1201,$A234))</f>
        <v/>
      </c>
      <c r="U234" s="19" t="str">
        <f aca="false">IF(OR($A234="",INDEX(_LEITURA!$Q$2:$Q$21,11)=0),"",SUMIFS(DECKS!$D$2:$D$1201,DECKS!$A$2:$A$1201,INDEX(_LEITURA!$P$2:$P$21,11),DECKS!$B$2:$B$1201,$A234))</f>
        <v/>
      </c>
      <c r="V234" s="19" t="str">
        <f aca="false">IF(OR($A234="",INDEX(_LEITURA!$Q$2:$Q$21,12)=0),"",SUMIFS(DECKS!$D$2:$D$1201,DECKS!$A$2:$A$1201,INDEX(_LEITURA!$P$2:$P$21,12),DECKS!$B$2:$B$1201,$A234))</f>
        <v/>
      </c>
      <c r="W234" s="19" t="str">
        <f aca="false">IF(OR($A234="",INDEX(_LEITURA!$Q$2:$Q$21,13)=0),"",SUMIFS(DECKS!$D$2:$D$1201,DECKS!$A$2:$A$1201,INDEX(_LEITURA!$P$2:$P$21,13),DECKS!$B$2:$B$1201,$A234))</f>
        <v/>
      </c>
      <c r="X234" s="19" t="str">
        <f aca="false">IF(OR($A234="",INDEX(_LEITURA!$Q$2:$Q$21,14)=0),"",SUMIFS(DECKS!$D$2:$D$1201,DECKS!$A$2:$A$1201,INDEX(_LEITURA!$P$2:$P$21,14),DECKS!$B$2:$B$1201,$A234))</f>
        <v/>
      </c>
      <c r="Y234" s="19" t="str">
        <f aca="false">IF(OR($A234="",INDEX(_LEITURA!$Q$2:$Q$21,15)=0),"",SUMIFS(DECKS!$D$2:$D$1201,DECKS!$A$2:$A$1201,INDEX(_LEITURA!$P$2:$P$21,15),DECKS!$B$2:$B$1201,$A234))</f>
        <v/>
      </c>
      <c r="Z234" s="19" t="str">
        <f aca="false">IF(OR($A234="",INDEX(_LEITURA!$Q$2:$Q$21,16)=0),"",SUMIFS(DECKS!$D$2:$D$1201,DECKS!$A$2:$A$1201,INDEX(_LEITURA!$P$2:$P$21,16),DECKS!$B$2:$B$1201,$A234))</f>
        <v/>
      </c>
      <c r="AA234" s="19" t="str">
        <f aca="false">IF(OR($A234="",INDEX(_LEITURA!$Q$2:$Q$21,17)=0),"",SUMIFS(DECKS!$D$2:$D$1201,DECKS!$A$2:$A$1201,INDEX(_LEITURA!$P$2:$P$21,17),DECKS!$B$2:$B$1201,$A234))</f>
        <v/>
      </c>
      <c r="AB234" s="19" t="str">
        <f aca="false">IF(OR($A234="",INDEX(_LEITURA!$Q$2:$Q$21,18)=0),"",SUMIFS(DECKS!$D$2:$D$1201,DECKS!$A$2:$A$1201,INDEX(_LEITURA!$P$2:$P$21,18),DECKS!$B$2:$B$1201,$A234))</f>
        <v/>
      </c>
      <c r="AC234" s="19" t="str">
        <f aca="false">IF(OR($A234="",INDEX(_LEITURA!$Q$2:$Q$21,19)=0),"",SUMIFS(DECKS!$D$2:$D$1201,DECKS!$A$2:$A$1201,INDEX(_LEITURA!$P$2:$P$21,19),DECKS!$B$2:$B$1201,$A234))</f>
        <v/>
      </c>
      <c r="AD234" s="19" t="str">
        <f aca="false">IF(OR($A234="",INDEX(_LEITURA!$Q$2:$Q$21,20)=0),"",SUMIFS(DECKS!$D$2:$D$1201,DECKS!$A$2:$A$1201,INDEX(_LEITURA!$P$2:$P$21,20),DECKS!$B$2:$B$1201,$A234))</f>
        <v/>
      </c>
      <c r="AE234" s="16" t="str">
        <f aca="false">IF(N(E234)&gt;0,MAX(AE$1:AE233)+1,"")</f>
        <v/>
      </c>
      <c r="AF234" s="11" t="str">
        <f aca="false">IF(A234="","",IFERROR(LEFT(A234,FIND("-",A234)-1),A234))</f>
        <v/>
      </c>
      <c r="AG234" s="11" t="str">
        <f aca="false">IF(AF234="","",IF(ISNUMBER(--MID(AF234,1,1)),0,IF(ISNUMBER(--MID(AF234,2,1)),1,IF(ISNUMBER(--MID(AF234,3,1)),2,IF(ISNUMBER(--MID(AF234,4,1)),3,MIN(LEN(AF234),4))))))</f>
        <v/>
      </c>
      <c r="AH234" s="11" t="str">
        <f aca="false">IF(A234="","",LEFT(AF234,AG234)&amp;REPT("0",4-AG234)&amp;RIGHT("000"&amp;IFERROR(VALUE(MID(AF234,AG234+1,9)),0),3)&amp;RIGHT("0000"&amp;IFERROR(VALUE(MID(A234,FIND("-",A234)+1,9)),0),4))</f>
        <v/>
      </c>
      <c r="AI234" s="11" t="str">
        <f aca="false">IF(OR(A234="",N(E234)&lt;=0),"",IF('FALTAS GERAL'!$M$1="Código","K"&amp;AH234&amp;RIGHT("00000"&amp;ROW(),5),IF('FALTAS GERAL'!$M$1="Nome","K"&amp;UPPER(SUBSTITUTE(SUBSTITUTE(SUBSTITUTE(B234,"*",""),"?",""),"~",""))&amp;"0"&amp;AH234&amp;RIGHT("00000"&amp;ROW(),5),IF('FALTAS GERAL'!$M$1="Falta (maior primeiro)","K"&amp;RIGHT("0000"&amp;(9999-E234),4)&amp;AH234&amp;RIGHT("00000"&amp;ROW(),5),IF('FALTAS GERAL'!$M$1="Nº de decks (maior primeiro)","K"&amp;RIGHT("00"&amp;(99-N(G234)),2)&amp;AH234&amp;RIGHT("00000"&amp;ROW(),5),"K"&amp;RIGHT("00000"&amp;ROW(),5))))))</f>
        <v/>
      </c>
      <c r="AJ234" s="11" t="str">
        <f aca="false">IF(AI234="","",COUNTIFS($AI$2:$AI$801,"&lt;"&amp;AI234,$E$2:$E$801,"&gt;0")+1)</f>
        <v/>
      </c>
      <c r="AK234" s="11" t="str">
        <f aca="false">IF(OR(A234="",N(E234)&lt;=0),"",COUNTIFS($AH$2:$AH$801,"&lt;"&amp;AH234,$E$2:$E$801,"&gt;0")+COUNTIFS($AH$2:AH234,AH234,$E$2:E234,"&gt;0"))</f>
        <v/>
      </c>
    </row>
    <row r="235" customFormat="false" ht="15" hidden="false" customHeight="false" outlineLevel="0" collapsed="false">
      <c r="A235" s="11" t="str">
        <f aca="false">IF(INVENTÁRIO!A235="","",INVENTÁRIO!A235)</f>
        <v/>
      </c>
      <c r="B235" s="11" t="str">
        <f aca="false">IF(A235="","",INVENTÁRIO!B235)</f>
        <v/>
      </c>
      <c r="C235" s="16" t="str">
        <f aca="false">IF(A235="","",INVENTÁRIO!C235)</f>
        <v/>
      </c>
      <c r="D235" s="14" t="str">
        <f aca="false">IF(A235="","",MAX(K235:AD235))</f>
        <v/>
      </c>
      <c r="E235" s="14" t="str">
        <f aca="false">IF(A235="","",MAX(0,D235-C235))</f>
        <v/>
      </c>
      <c r="F235" s="16" t="str">
        <f aca="false">IF(A235="","",IF(D235=0,"Fora dos decks",IF(E235=0,"Completo","Falta")))</f>
        <v/>
      </c>
      <c r="G235" s="16" t="str">
        <f aca="false">IF(A235="","",COUNTIF(K235:AD235,"&gt;0"))</f>
        <v/>
      </c>
      <c r="H235" s="16" t="str">
        <f aca="false">IF(A235="","",IF(G235&gt;1,"Sim",""))</f>
        <v/>
      </c>
      <c r="I235" s="18" t="str">
        <f aca="false">IF(A235="","",SUMIFS(DECKS!$D$2:$D$1201,DECKS!$B$2:$B$1201,A235))</f>
        <v/>
      </c>
      <c r="J235" s="18" t="str">
        <f aca="false">IF(A235="","",MAX(0,I235-C235))</f>
        <v/>
      </c>
      <c r="K235" s="19" t="str">
        <f aca="false">IF(OR($A235="",INDEX(_LEITURA!$Q$2:$Q$21,1)=0),"",SUMIFS(DECKS!$D$2:$D$1201,DECKS!$A$2:$A$1201,INDEX(_LEITURA!$P$2:$P$21,1),DECKS!$B$2:$B$1201,$A235))</f>
        <v/>
      </c>
      <c r="L235" s="19" t="str">
        <f aca="false">IF(OR($A235="",INDEX(_LEITURA!$Q$2:$Q$21,2)=0),"",SUMIFS(DECKS!$D$2:$D$1201,DECKS!$A$2:$A$1201,INDEX(_LEITURA!$P$2:$P$21,2),DECKS!$B$2:$B$1201,$A235))</f>
        <v/>
      </c>
      <c r="M235" s="19" t="str">
        <f aca="false">IF(OR($A235="",INDEX(_LEITURA!$Q$2:$Q$21,3)=0),"",SUMIFS(DECKS!$D$2:$D$1201,DECKS!$A$2:$A$1201,INDEX(_LEITURA!$P$2:$P$21,3),DECKS!$B$2:$B$1201,$A235))</f>
        <v/>
      </c>
      <c r="N235" s="19" t="str">
        <f aca="false">IF(OR($A235="",INDEX(_LEITURA!$Q$2:$Q$21,4)=0),"",SUMIFS(DECKS!$D$2:$D$1201,DECKS!$A$2:$A$1201,INDEX(_LEITURA!$P$2:$P$21,4),DECKS!$B$2:$B$1201,$A235))</f>
        <v/>
      </c>
      <c r="O235" s="19" t="str">
        <f aca="false">IF(OR($A235="",INDEX(_LEITURA!$Q$2:$Q$21,5)=0),"",SUMIFS(DECKS!$D$2:$D$1201,DECKS!$A$2:$A$1201,INDEX(_LEITURA!$P$2:$P$21,5),DECKS!$B$2:$B$1201,$A235))</f>
        <v/>
      </c>
      <c r="P235" s="19" t="str">
        <f aca="false">IF(OR($A235="",INDEX(_LEITURA!$Q$2:$Q$21,6)=0),"",SUMIFS(DECKS!$D$2:$D$1201,DECKS!$A$2:$A$1201,INDEX(_LEITURA!$P$2:$P$21,6),DECKS!$B$2:$B$1201,$A235))</f>
        <v/>
      </c>
      <c r="Q235" s="19" t="str">
        <f aca="false">IF(OR($A235="",INDEX(_LEITURA!$Q$2:$Q$21,7)=0),"",SUMIFS(DECKS!$D$2:$D$1201,DECKS!$A$2:$A$1201,INDEX(_LEITURA!$P$2:$P$21,7),DECKS!$B$2:$B$1201,$A235))</f>
        <v/>
      </c>
      <c r="R235" s="19" t="str">
        <f aca="false">IF(OR($A235="",INDEX(_LEITURA!$Q$2:$Q$21,8)=0),"",SUMIFS(DECKS!$D$2:$D$1201,DECKS!$A$2:$A$1201,INDEX(_LEITURA!$P$2:$P$21,8),DECKS!$B$2:$B$1201,$A235))</f>
        <v/>
      </c>
      <c r="S235" s="19" t="str">
        <f aca="false">IF(OR($A235="",INDEX(_LEITURA!$Q$2:$Q$21,9)=0),"",SUMIFS(DECKS!$D$2:$D$1201,DECKS!$A$2:$A$1201,INDEX(_LEITURA!$P$2:$P$21,9),DECKS!$B$2:$B$1201,$A235))</f>
        <v/>
      </c>
      <c r="T235" s="19" t="str">
        <f aca="false">IF(OR($A235="",INDEX(_LEITURA!$Q$2:$Q$21,10)=0),"",SUMIFS(DECKS!$D$2:$D$1201,DECKS!$A$2:$A$1201,INDEX(_LEITURA!$P$2:$P$21,10),DECKS!$B$2:$B$1201,$A235))</f>
        <v/>
      </c>
      <c r="U235" s="19" t="str">
        <f aca="false">IF(OR($A235="",INDEX(_LEITURA!$Q$2:$Q$21,11)=0),"",SUMIFS(DECKS!$D$2:$D$1201,DECKS!$A$2:$A$1201,INDEX(_LEITURA!$P$2:$P$21,11),DECKS!$B$2:$B$1201,$A235))</f>
        <v/>
      </c>
      <c r="V235" s="19" t="str">
        <f aca="false">IF(OR($A235="",INDEX(_LEITURA!$Q$2:$Q$21,12)=0),"",SUMIFS(DECKS!$D$2:$D$1201,DECKS!$A$2:$A$1201,INDEX(_LEITURA!$P$2:$P$21,12),DECKS!$B$2:$B$1201,$A235))</f>
        <v/>
      </c>
      <c r="W235" s="19" t="str">
        <f aca="false">IF(OR($A235="",INDEX(_LEITURA!$Q$2:$Q$21,13)=0),"",SUMIFS(DECKS!$D$2:$D$1201,DECKS!$A$2:$A$1201,INDEX(_LEITURA!$P$2:$P$21,13),DECKS!$B$2:$B$1201,$A235))</f>
        <v/>
      </c>
      <c r="X235" s="19" t="str">
        <f aca="false">IF(OR($A235="",INDEX(_LEITURA!$Q$2:$Q$21,14)=0),"",SUMIFS(DECKS!$D$2:$D$1201,DECKS!$A$2:$A$1201,INDEX(_LEITURA!$P$2:$P$21,14),DECKS!$B$2:$B$1201,$A235))</f>
        <v/>
      </c>
      <c r="Y235" s="19" t="str">
        <f aca="false">IF(OR($A235="",INDEX(_LEITURA!$Q$2:$Q$21,15)=0),"",SUMIFS(DECKS!$D$2:$D$1201,DECKS!$A$2:$A$1201,INDEX(_LEITURA!$P$2:$P$21,15),DECKS!$B$2:$B$1201,$A235))</f>
        <v/>
      </c>
      <c r="Z235" s="19" t="str">
        <f aca="false">IF(OR($A235="",INDEX(_LEITURA!$Q$2:$Q$21,16)=0),"",SUMIFS(DECKS!$D$2:$D$1201,DECKS!$A$2:$A$1201,INDEX(_LEITURA!$P$2:$P$21,16),DECKS!$B$2:$B$1201,$A235))</f>
        <v/>
      </c>
      <c r="AA235" s="19" t="str">
        <f aca="false">IF(OR($A235="",INDEX(_LEITURA!$Q$2:$Q$21,17)=0),"",SUMIFS(DECKS!$D$2:$D$1201,DECKS!$A$2:$A$1201,INDEX(_LEITURA!$P$2:$P$21,17),DECKS!$B$2:$B$1201,$A235))</f>
        <v/>
      </c>
      <c r="AB235" s="19" t="str">
        <f aca="false">IF(OR($A235="",INDEX(_LEITURA!$Q$2:$Q$21,18)=0),"",SUMIFS(DECKS!$D$2:$D$1201,DECKS!$A$2:$A$1201,INDEX(_LEITURA!$P$2:$P$21,18),DECKS!$B$2:$B$1201,$A235))</f>
        <v/>
      </c>
      <c r="AC235" s="19" t="str">
        <f aca="false">IF(OR($A235="",INDEX(_LEITURA!$Q$2:$Q$21,19)=0),"",SUMIFS(DECKS!$D$2:$D$1201,DECKS!$A$2:$A$1201,INDEX(_LEITURA!$P$2:$P$21,19),DECKS!$B$2:$B$1201,$A235))</f>
        <v/>
      </c>
      <c r="AD235" s="19" t="str">
        <f aca="false">IF(OR($A235="",INDEX(_LEITURA!$Q$2:$Q$21,20)=0),"",SUMIFS(DECKS!$D$2:$D$1201,DECKS!$A$2:$A$1201,INDEX(_LEITURA!$P$2:$P$21,20),DECKS!$B$2:$B$1201,$A235))</f>
        <v/>
      </c>
      <c r="AE235" s="16" t="str">
        <f aca="false">IF(N(E235)&gt;0,MAX(AE$1:AE234)+1,"")</f>
        <v/>
      </c>
      <c r="AF235" s="11" t="str">
        <f aca="false">IF(A235="","",IFERROR(LEFT(A235,FIND("-",A235)-1),A235))</f>
        <v/>
      </c>
      <c r="AG235" s="11" t="str">
        <f aca="false">IF(AF235="","",IF(ISNUMBER(--MID(AF235,1,1)),0,IF(ISNUMBER(--MID(AF235,2,1)),1,IF(ISNUMBER(--MID(AF235,3,1)),2,IF(ISNUMBER(--MID(AF235,4,1)),3,MIN(LEN(AF235),4))))))</f>
        <v/>
      </c>
      <c r="AH235" s="11" t="str">
        <f aca="false">IF(A235="","",LEFT(AF235,AG235)&amp;REPT("0",4-AG235)&amp;RIGHT("000"&amp;IFERROR(VALUE(MID(AF235,AG235+1,9)),0),3)&amp;RIGHT("0000"&amp;IFERROR(VALUE(MID(A235,FIND("-",A235)+1,9)),0),4))</f>
        <v/>
      </c>
      <c r="AI235" s="11" t="str">
        <f aca="false">IF(OR(A235="",N(E235)&lt;=0),"",IF('FALTAS GERAL'!$M$1="Código","K"&amp;AH235&amp;RIGHT("00000"&amp;ROW(),5),IF('FALTAS GERAL'!$M$1="Nome","K"&amp;UPPER(SUBSTITUTE(SUBSTITUTE(SUBSTITUTE(B235,"*",""),"?",""),"~",""))&amp;"0"&amp;AH235&amp;RIGHT("00000"&amp;ROW(),5),IF('FALTAS GERAL'!$M$1="Falta (maior primeiro)","K"&amp;RIGHT("0000"&amp;(9999-E235),4)&amp;AH235&amp;RIGHT("00000"&amp;ROW(),5),IF('FALTAS GERAL'!$M$1="Nº de decks (maior primeiro)","K"&amp;RIGHT("00"&amp;(99-N(G235)),2)&amp;AH235&amp;RIGHT("00000"&amp;ROW(),5),"K"&amp;RIGHT("00000"&amp;ROW(),5))))))</f>
        <v/>
      </c>
      <c r="AJ235" s="11" t="str">
        <f aca="false">IF(AI235="","",COUNTIFS($AI$2:$AI$801,"&lt;"&amp;AI235,$E$2:$E$801,"&gt;0")+1)</f>
        <v/>
      </c>
      <c r="AK235" s="11" t="str">
        <f aca="false">IF(OR(A235="",N(E235)&lt;=0),"",COUNTIFS($AH$2:$AH$801,"&lt;"&amp;AH235,$E$2:$E$801,"&gt;0")+COUNTIFS($AH$2:AH235,AH235,$E$2:E235,"&gt;0"))</f>
        <v/>
      </c>
    </row>
    <row r="236" customFormat="false" ht="15" hidden="false" customHeight="false" outlineLevel="0" collapsed="false">
      <c r="A236" s="11" t="str">
        <f aca="false">IF(INVENTÁRIO!A236="","",INVENTÁRIO!A236)</f>
        <v/>
      </c>
      <c r="B236" s="11" t="str">
        <f aca="false">IF(A236="","",INVENTÁRIO!B236)</f>
        <v/>
      </c>
      <c r="C236" s="16" t="str">
        <f aca="false">IF(A236="","",INVENTÁRIO!C236)</f>
        <v/>
      </c>
      <c r="D236" s="14" t="str">
        <f aca="false">IF(A236="","",MAX(K236:AD236))</f>
        <v/>
      </c>
      <c r="E236" s="14" t="str">
        <f aca="false">IF(A236="","",MAX(0,D236-C236))</f>
        <v/>
      </c>
      <c r="F236" s="16" t="str">
        <f aca="false">IF(A236="","",IF(D236=0,"Fora dos decks",IF(E236=0,"Completo","Falta")))</f>
        <v/>
      </c>
      <c r="G236" s="16" t="str">
        <f aca="false">IF(A236="","",COUNTIF(K236:AD236,"&gt;0"))</f>
        <v/>
      </c>
      <c r="H236" s="16" t="str">
        <f aca="false">IF(A236="","",IF(G236&gt;1,"Sim",""))</f>
        <v/>
      </c>
      <c r="I236" s="18" t="str">
        <f aca="false">IF(A236="","",SUMIFS(DECKS!$D$2:$D$1201,DECKS!$B$2:$B$1201,A236))</f>
        <v/>
      </c>
      <c r="J236" s="18" t="str">
        <f aca="false">IF(A236="","",MAX(0,I236-C236))</f>
        <v/>
      </c>
      <c r="K236" s="19" t="str">
        <f aca="false">IF(OR($A236="",INDEX(_LEITURA!$Q$2:$Q$21,1)=0),"",SUMIFS(DECKS!$D$2:$D$1201,DECKS!$A$2:$A$1201,INDEX(_LEITURA!$P$2:$P$21,1),DECKS!$B$2:$B$1201,$A236))</f>
        <v/>
      </c>
      <c r="L236" s="19" t="str">
        <f aca="false">IF(OR($A236="",INDEX(_LEITURA!$Q$2:$Q$21,2)=0),"",SUMIFS(DECKS!$D$2:$D$1201,DECKS!$A$2:$A$1201,INDEX(_LEITURA!$P$2:$P$21,2),DECKS!$B$2:$B$1201,$A236))</f>
        <v/>
      </c>
      <c r="M236" s="19" t="str">
        <f aca="false">IF(OR($A236="",INDEX(_LEITURA!$Q$2:$Q$21,3)=0),"",SUMIFS(DECKS!$D$2:$D$1201,DECKS!$A$2:$A$1201,INDEX(_LEITURA!$P$2:$P$21,3),DECKS!$B$2:$B$1201,$A236))</f>
        <v/>
      </c>
      <c r="N236" s="19" t="str">
        <f aca="false">IF(OR($A236="",INDEX(_LEITURA!$Q$2:$Q$21,4)=0),"",SUMIFS(DECKS!$D$2:$D$1201,DECKS!$A$2:$A$1201,INDEX(_LEITURA!$P$2:$P$21,4),DECKS!$B$2:$B$1201,$A236))</f>
        <v/>
      </c>
      <c r="O236" s="19" t="str">
        <f aca="false">IF(OR($A236="",INDEX(_LEITURA!$Q$2:$Q$21,5)=0),"",SUMIFS(DECKS!$D$2:$D$1201,DECKS!$A$2:$A$1201,INDEX(_LEITURA!$P$2:$P$21,5),DECKS!$B$2:$B$1201,$A236))</f>
        <v/>
      </c>
      <c r="P236" s="19" t="str">
        <f aca="false">IF(OR($A236="",INDEX(_LEITURA!$Q$2:$Q$21,6)=0),"",SUMIFS(DECKS!$D$2:$D$1201,DECKS!$A$2:$A$1201,INDEX(_LEITURA!$P$2:$P$21,6),DECKS!$B$2:$B$1201,$A236))</f>
        <v/>
      </c>
      <c r="Q236" s="19" t="str">
        <f aca="false">IF(OR($A236="",INDEX(_LEITURA!$Q$2:$Q$21,7)=0),"",SUMIFS(DECKS!$D$2:$D$1201,DECKS!$A$2:$A$1201,INDEX(_LEITURA!$P$2:$P$21,7),DECKS!$B$2:$B$1201,$A236))</f>
        <v/>
      </c>
      <c r="R236" s="19" t="str">
        <f aca="false">IF(OR($A236="",INDEX(_LEITURA!$Q$2:$Q$21,8)=0),"",SUMIFS(DECKS!$D$2:$D$1201,DECKS!$A$2:$A$1201,INDEX(_LEITURA!$P$2:$P$21,8),DECKS!$B$2:$B$1201,$A236))</f>
        <v/>
      </c>
      <c r="S236" s="19" t="str">
        <f aca="false">IF(OR($A236="",INDEX(_LEITURA!$Q$2:$Q$21,9)=0),"",SUMIFS(DECKS!$D$2:$D$1201,DECKS!$A$2:$A$1201,INDEX(_LEITURA!$P$2:$P$21,9),DECKS!$B$2:$B$1201,$A236))</f>
        <v/>
      </c>
      <c r="T236" s="19" t="str">
        <f aca="false">IF(OR($A236="",INDEX(_LEITURA!$Q$2:$Q$21,10)=0),"",SUMIFS(DECKS!$D$2:$D$1201,DECKS!$A$2:$A$1201,INDEX(_LEITURA!$P$2:$P$21,10),DECKS!$B$2:$B$1201,$A236))</f>
        <v/>
      </c>
      <c r="U236" s="19" t="str">
        <f aca="false">IF(OR($A236="",INDEX(_LEITURA!$Q$2:$Q$21,11)=0),"",SUMIFS(DECKS!$D$2:$D$1201,DECKS!$A$2:$A$1201,INDEX(_LEITURA!$P$2:$P$21,11),DECKS!$B$2:$B$1201,$A236))</f>
        <v/>
      </c>
      <c r="V236" s="19" t="str">
        <f aca="false">IF(OR($A236="",INDEX(_LEITURA!$Q$2:$Q$21,12)=0),"",SUMIFS(DECKS!$D$2:$D$1201,DECKS!$A$2:$A$1201,INDEX(_LEITURA!$P$2:$P$21,12),DECKS!$B$2:$B$1201,$A236))</f>
        <v/>
      </c>
      <c r="W236" s="19" t="str">
        <f aca="false">IF(OR($A236="",INDEX(_LEITURA!$Q$2:$Q$21,13)=0),"",SUMIFS(DECKS!$D$2:$D$1201,DECKS!$A$2:$A$1201,INDEX(_LEITURA!$P$2:$P$21,13),DECKS!$B$2:$B$1201,$A236))</f>
        <v/>
      </c>
      <c r="X236" s="19" t="str">
        <f aca="false">IF(OR($A236="",INDEX(_LEITURA!$Q$2:$Q$21,14)=0),"",SUMIFS(DECKS!$D$2:$D$1201,DECKS!$A$2:$A$1201,INDEX(_LEITURA!$P$2:$P$21,14),DECKS!$B$2:$B$1201,$A236))</f>
        <v/>
      </c>
      <c r="Y236" s="19" t="str">
        <f aca="false">IF(OR($A236="",INDEX(_LEITURA!$Q$2:$Q$21,15)=0),"",SUMIFS(DECKS!$D$2:$D$1201,DECKS!$A$2:$A$1201,INDEX(_LEITURA!$P$2:$P$21,15),DECKS!$B$2:$B$1201,$A236))</f>
        <v/>
      </c>
      <c r="Z236" s="19" t="str">
        <f aca="false">IF(OR($A236="",INDEX(_LEITURA!$Q$2:$Q$21,16)=0),"",SUMIFS(DECKS!$D$2:$D$1201,DECKS!$A$2:$A$1201,INDEX(_LEITURA!$P$2:$P$21,16),DECKS!$B$2:$B$1201,$A236))</f>
        <v/>
      </c>
      <c r="AA236" s="19" t="str">
        <f aca="false">IF(OR($A236="",INDEX(_LEITURA!$Q$2:$Q$21,17)=0),"",SUMIFS(DECKS!$D$2:$D$1201,DECKS!$A$2:$A$1201,INDEX(_LEITURA!$P$2:$P$21,17),DECKS!$B$2:$B$1201,$A236))</f>
        <v/>
      </c>
      <c r="AB236" s="19" t="str">
        <f aca="false">IF(OR($A236="",INDEX(_LEITURA!$Q$2:$Q$21,18)=0),"",SUMIFS(DECKS!$D$2:$D$1201,DECKS!$A$2:$A$1201,INDEX(_LEITURA!$P$2:$P$21,18),DECKS!$B$2:$B$1201,$A236))</f>
        <v/>
      </c>
      <c r="AC236" s="19" t="str">
        <f aca="false">IF(OR($A236="",INDEX(_LEITURA!$Q$2:$Q$21,19)=0),"",SUMIFS(DECKS!$D$2:$D$1201,DECKS!$A$2:$A$1201,INDEX(_LEITURA!$P$2:$P$21,19),DECKS!$B$2:$B$1201,$A236))</f>
        <v/>
      </c>
      <c r="AD236" s="19" t="str">
        <f aca="false">IF(OR($A236="",INDEX(_LEITURA!$Q$2:$Q$21,20)=0),"",SUMIFS(DECKS!$D$2:$D$1201,DECKS!$A$2:$A$1201,INDEX(_LEITURA!$P$2:$P$21,20),DECKS!$B$2:$B$1201,$A236))</f>
        <v/>
      </c>
      <c r="AE236" s="16" t="str">
        <f aca="false">IF(N(E236)&gt;0,MAX(AE$1:AE235)+1,"")</f>
        <v/>
      </c>
      <c r="AF236" s="11" t="str">
        <f aca="false">IF(A236="","",IFERROR(LEFT(A236,FIND("-",A236)-1),A236))</f>
        <v/>
      </c>
      <c r="AG236" s="11" t="str">
        <f aca="false">IF(AF236="","",IF(ISNUMBER(--MID(AF236,1,1)),0,IF(ISNUMBER(--MID(AF236,2,1)),1,IF(ISNUMBER(--MID(AF236,3,1)),2,IF(ISNUMBER(--MID(AF236,4,1)),3,MIN(LEN(AF236),4))))))</f>
        <v/>
      </c>
      <c r="AH236" s="11" t="str">
        <f aca="false">IF(A236="","",LEFT(AF236,AG236)&amp;REPT("0",4-AG236)&amp;RIGHT("000"&amp;IFERROR(VALUE(MID(AF236,AG236+1,9)),0),3)&amp;RIGHT("0000"&amp;IFERROR(VALUE(MID(A236,FIND("-",A236)+1,9)),0),4))</f>
        <v/>
      </c>
      <c r="AI236" s="11" t="str">
        <f aca="false">IF(OR(A236="",N(E236)&lt;=0),"",IF('FALTAS GERAL'!$M$1="Código","K"&amp;AH236&amp;RIGHT("00000"&amp;ROW(),5),IF('FALTAS GERAL'!$M$1="Nome","K"&amp;UPPER(SUBSTITUTE(SUBSTITUTE(SUBSTITUTE(B236,"*",""),"?",""),"~",""))&amp;"0"&amp;AH236&amp;RIGHT("00000"&amp;ROW(),5),IF('FALTAS GERAL'!$M$1="Falta (maior primeiro)","K"&amp;RIGHT("0000"&amp;(9999-E236),4)&amp;AH236&amp;RIGHT("00000"&amp;ROW(),5),IF('FALTAS GERAL'!$M$1="Nº de decks (maior primeiro)","K"&amp;RIGHT("00"&amp;(99-N(G236)),2)&amp;AH236&amp;RIGHT("00000"&amp;ROW(),5),"K"&amp;RIGHT("00000"&amp;ROW(),5))))))</f>
        <v/>
      </c>
      <c r="AJ236" s="11" t="str">
        <f aca="false">IF(AI236="","",COUNTIFS($AI$2:$AI$801,"&lt;"&amp;AI236,$E$2:$E$801,"&gt;0")+1)</f>
        <v/>
      </c>
      <c r="AK236" s="11" t="str">
        <f aca="false">IF(OR(A236="",N(E236)&lt;=0),"",COUNTIFS($AH$2:$AH$801,"&lt;"&amp;AH236,$E$2:$E$801,"&gt;0")+COUNTIFS($AH$2:AH236,AH236,$E$2:E236,"&gt;0"))</f>
        <v/>
      </c>
    </row>
    <row r="237" customFormat="false" ht="15" hidden="false" customHeight="false" outlineLevel="0" collapsed="false">
      <c r="A237" s="11" t="str">
        <f aca="false">IF(INVENTÁRIO!A237="","",INVENTÁRIO!A237)</f>
        <v/>
      </c>
      <c r="B237" s="11" t="str">
        <f aca="false">IF(A237="","",INVENTÁRIO!B237)</f>
        <v/>
      </c>
      <c r="C237" s="16" t="str">
        <f aca="false">IF(A237="","",INVENTÁRIO!C237)</f>
        <v/>
      </c>
      <c r="D237" s="14" t="str">
        <f aca="false">IF(A237="","",MAX(K237:AD237))</f>
        <v/>
      </c>
      <c r="E237" s="14" t="str">
        <f aca="false">IF(A237="","",MAX(0,D237-C237))</f>
        <v/>
      </c>
      <c r="F237" s="16" t="str">
        <f aca="false">IF(A237="","",IF(D237=0,"Fora dos decks",IF(E237=0,"Completo","Falta")))</f>
        <v/>
      </c>
      <c r="G237" s="16" t="str">
        <f aca="false">IF(A237="","",COUNTIF(K237:AD237,"&gt;0"))</f>
        <v/>
      </c>
      <c r="H237" s="16" t="str">
        <f aca="false">IF(A237="","",IF(G237&gt;1,"Sim",""))</f>
        <v/>
      </c>
      <c r="I237" s="18" t="str">
        <f aca="false">IF(A237="","",SUMIFS(DECKS!$D$2:$D$1201,DECKS!$B$2:$B$1201,A237))</f>
        <v/>
      </c>
      <c r="J237" s="18" t="str">
        <f aca="false">IF(A237="","",MAX(0,I237-C237))</f>
        <v/>
      </c>
      <c r="K237" s="19" t="str">
        <f aca="false">IF(OR($A237="",INDEX(_LEITURA!$Q$2:$Q$21,1)=0),"",SUMIFS(DECKS!$D$2:$D$1201,DECKS!$A$2:$A$1201,INDEX(_LEITURA!$P$2:$P$21,1),DECKS!$B$2:$B$1201,$A237))</f>
        <v/>
      </c>
      <c r="L237" s="19" t="str">
        <f aca="false">IF(OR($A237="",INDEX(_LEITURA!$Q$2:$Q$21,2)=0),"",SUMIFS(DECKS!$D$2:$D$1201,DECKS!$A$2:$A$1201,INDEX(_LEITURA!$P$2:$P$21,2),DECKS!$B$2:$B$1201,$A237))</f>
        <v/>
      </c>
      <c r="M237" s="19" t="str">
        <f aca="false">IF(OR($A237="",INDEX(_LEITURA!$Q$2:$Q$21,3)=0),"",SUMIFS(DECKS!$D$2:$D$1201,DECKS!$A$2:$A$1201,INDEX(_LEITURA!$P$2:$P$21,3),DECKS!$B$2:$B$1201,$A237))</f>
        <v/>
      </c>
      <c r="N237" s="19" t="str">
        <f aca="false">IF(OR($A237="",INDEX(_LEITURA!$Q$2:$Q$21,4)=0),"",SUMIFS(DECKS!$D$2:$D$1201,DECKS!$A$2:$A$1201,INDEX(_LEITURA!$P$2:$P$21,4),DECKS!$B$2:$B$1201,$A237))</f>
        <v/>
      </c>
      <c r="O237" s="19" t="str">
        <f aca="false">IF(OR($A237="",INDEX(_LEITURA!$Q$2:$Q$21,5)=0),"",SUMIFS(DECKS!$D$2:$D$1201,DECKS!$A$2:$A$1201,INDEX(_LEITURA!$P$2:$P$21,5),DECKS!$B$2:$B$1201,$A237))</f>
        <v/>
      </c>
      <c r="P237" s="19" t="str">
        <f aca="false">IF(OR($A237="",INDEX(_LEITURA!$Q$2:$Q$21,6)=0),"",SUMIFS(DECKS!$D$2:$D$1201,DECKS!$A$2:$A$1201,INDEX(_LEITURA!$P$2:$P$21,6),DECKS!$B$2:$B$1201,$A237))</f>
        <v/>
      </c>
      <c r="Q237" s="19" t="str">
        <f aca="false">IF(OR($A237="",INDEX(_LEITURA!$Q$2:$Q$21,7)=0),"",SUMIFS(DECKS!$D$2:$D$1201,DECKS!$A$2:$A$1201,INDEX(_LEITURA!$P$2:$P$21,7),DECKS!$B$2:$B$1201,$A237))</f>
        <v/>
      </c>
      <c r="R237" s="19" t="str">
        <f aca="false">IF(OR($A237="",INDEX(_LEITURA!$Q$2:$Q$21,8)=0),"",SUMIFS(DECKS!$D$2:$D$1201,DECKS!$A$2:$A$1201,INDEX(_LEITURA!$P$2:$P$21,8),DECKS!$B$2:$B$1201,$A237))</f>
        <v/>
      </c>
      <c r="S237" s="19" t="str">
        <f aca="false">IF(OR($A237="",INDEX(_LEITURA!$Q$2:$Q$21,9)=0),"",SUMIFS(DECKS!$D$2:$D$1201,DECKS!$A$2:$A$1201,INDEX(_LEITURA!$P$2:$P$21,9),DECKS!$B$2:$B$1201,$A237))</f>
        <v/>
      </c>
      <c r="T237" s="19" t="str">
        <f aca="false">IF(OR($A237="",INDEX(_LEITURA!$Q$2:$Q$21,10)=0),"",SUMIFS(DECKS!$D$2:$D$1201,DECKS!$A$2:$A$1201,INDEX(_LEITURA!$P$2:$P$21,10),DECKS!$B$2:$B$1201,$A237))</f>
        <v/>
      </c>
      <c r="U237" s="19" t="str">
        <f aca="false">IF(OR($A237="",INDEX(_LEITURA!$Q$2:$Q$21,11)=0),"",SUMIFS(DECKS!$D$2:$D$1201,DECKS!$A$2:$A$1201,INDEX(_LEITURA!$P$2:$P$21,11),DECKS!$B$2:$B$1201,$A237))</f>
        <v/>
      </c>
      <c r="V237" s="19" t="str">
        <f aca="false">IF(OR($A237="",INDEX(_LEITURA!$Q$2:$Q$21,12)=0),"",SUMIFS(DECKS!$D$2:$D$1201,DECKS!$A$2:$A$1201,INDEX(_LEITURA!$P$2:$P$21,12),DECKS!$B$2:$B$1201,$A237))</f>
        <v/>
      </c>
      <c r="W237" s="19" t="str">
        <f aca="false">IF(OR($A237="",INDEX(_LEITURA!$Q$2:$Q$21,13)=0),"",SUMIFS(DECKS!$D$2:$D$1201,DECKS!$A$2:$A$1201,INDEX(_LEITURA!$P$2:$P$21,13),DECKS!$B$2:$B$1201,$A237))</f>
        <v/>
      </c>
      <c r="X237" s="19" t="str">
        <f aca="false">IF(OR($A237="",INDEX(_LEITURA!$Q$2:$Q$21,14)=0),"",SUMIFS(DECKS!$D$2:$D$1201,DECKS!$A$2:$A$1201,INDEX(_LEITURA!$P$2:$P$21,14),DECKS!$B$2:$B$1201,$A237))</f>
        <v/>
      </c>
      <c r="Y237" s="19" t="str">
        <f aca="false">IF(OR($A237="",INDEX(_LEITURA!$Q$2:$Q$21,15)=0),"",SUMIFS(DECKS!$D$2:$D$1201,DECKS!$A$2:$A$1201,INDEX(_LEITURA!$P$2:$P$21,15),DECKS!$B$2:$B$1201,$A237))</f>
        <v/>
      </c>
      <c r="Z237" s="19" t="str">
        <f aca="false">IF(OR($A237="",INDEX(_LEITURA!$Q$2:$Q$21,16)=0),"",SUMIFS(DECKS!$D$2:$D$1201,DECKS!$A$2:$A$1201,INDEX(_LEITURA!$P$2:$P$21,16),DECKS!$B$2:$B$1201,$A237))</f>
        <v/>
      </c>
      <c r="AA237" s="19" t="str">
        <f aca="false">IF(OR($A237="",INDEX(_LEITURA!$Q$2:$Q$21,17)=0),"",SUMIFS(DECKS!$D$2:$D$1201,DECKS!$A$2:$A$1201,INDEX(_LEITURA!$P$2:$P$21,17),DECKS!$B$2:$B$1201,$A237))</f>
        <v/>
      </c>
      <c r="AB237" s="19" t="str">
        <f aca="false">IF(OR($A237="",INDEX(_LEITURA!$Q$2:$Q$21,18)=0),"",SUMIFS(DECKS!$D$2:$D$1201,DECKS!$A$2:$A$1201,INDEX(_LEITURA!$P$2:$P$21,18),DECKS!$B$2:$B$1201,$A237))</f>
        <v/>
      </c>
      <c r="AC237" s="19" t="str">
        <f aca="false">IF(OR($A237="",INDEX(_LEITURA!$Q$2:$Q$21,19)=0),"",SUMIFS(DECKS!$D$2:$D$1201,DECKS!$A$2:$A$1201,INDEX(_LEITURA!$P$2:$P$21,19),DECKS!$B$2:$B$1201,$A237))</f>
        <v/>
      </c>
      <c r="AD237" s="19" t="str">
        <f aca="false">IF(OR($A237="",INDEX(_LEITURA!$Q$2:$Q$21,20)=0),"",SUMIFS(DECKS!$D$2:$D$1201,DECKS!$A$2:$A$1201,INDEX(_LEITURA!$P$2:$P$21,20),DECKS!$B$2:$B$1201,$A237))</f>
        <v/>
      </c>
      <c r="AE237" s="16" t="str">
        <f aca="false">IF(N(E237)&gt;0,MAX(AE$1:AE236)+1,"")</f>
        <v/>
      </c>
      <c r="AF237" s="11" t="str">
        <f aca="false">IF(A237="","",IFERROR(LEFT(A237,FIND("-",A237)-1),A237))</f>
        <v/>
      </c>
      <c r="AG237" s="11" t="str">
        <f aca="false">IF(AF237="","",IF(ISNUMBER(--MID(AF237,1,1)),0,IF(ISNUMBER(--MID(AF237,2,1)),1,IF(ISNUMBER(--MID(AF237,3,1)),2,IF(ISNUMBER(--MID(AF237,4,1)),3,MIN(LEN(AF237),4))))))</f>
        <v/>
      </c>
      <c r="AH237" s="11" t="str">
        <f aca="false">IF(A237="","",LEFT(AF237,AG237)&amp;REPT("0",4-AG237)&amp;RIGHT("000"&amp;IFERROR(VALUE(MID(AF237,AG237+1,9)),0),3)&amp;RIGHT("0000"&amp;IFERROR(VALUE(MID(A237,FIND("-",A237)+1,9)),0),4))</f>
        <v/>
      </c>
      <c r="AI237" s="11" t="str">
        <f aca="false">IF(OR(A237="",N(E237)&lt;=0),"",IF('FALTAS GERAL'!$M$1="Código","K"&amp;AH237&amp;RIGHT("00000"&amp;ROW(),5),IF('FALTAS GERAL'!$M$1="Nome","K"&amp;UPPER(SUBSTITUTE(SUBSTITUTE(SUBSTITUTE(B237,"*",""),"?",""),"~",""))&amp;"0"&amp;AH237&amp;RIGHT("00000"&amp;ROW(),5),IF('FALTAS GERAL'!$M$1="Falta (maior primeiro)","K"&amp;RIGHT("0000"&amp;(9999-E237),4)&amp;AH237&amp;RIGHT("00000"&amp;ROW(),5),IF('FALTAS GERAL'!$M$1="Nº de decks (maior primeiro)","K"&amp;RIGHT("00"&amp;(99-N(G237)),2)&amp;AH237&amp;RIGHT("00000"&amp;ROW(),5),"K"&amp;RIGHT("00000"&amp;ROW(),5))))))</f>
        <v/>
      </c>
      <c r="AJ237" s="11" t="str">
        <f aca="false">IF(AI237="","",COUNTIFS($AI$2:$AI$801,"&lt;"&amp;AI237,$E$2:$E$801,"&gt;0")+1)</f>
        <v/>
      </c>
      <c r="AK237" s="11" t="str">
        <f aca="false">IF(OR(A237="",N(E237)&lt;=0),"",COUNTIFS($AH$2:$AH$801,"&lt;"&amp;AH237,$E$2:$E$801,"&gt;0")+COUNTIFS($AH$2:AH237,AH237,$E$2:E237,"&gt;0"))</f>
        <v/>
      </c>
    </row>
    <row r="238" customFormat="false" ht="15" hidden="false" customHeight="false" outlineLevel="0" collapsed="false">
      <c r="A238" s="11" t="str">
        <f aca="false">IF(INVENTÁRIO!A238="","",INVENTÁRIO!A238)</f>
        <v/>
      </c>
      <c r="B238" s="11" t="str">
        <f aca="false">IF(A238="","",INVENTÁRIO!B238)</f>
        <v/>
      </c>
      <c r="C238" s="16" t="str">
        <f aca="false">IF(A238="","",INVENTÁRIO!C238)</f>
        <v/>
      </c>
      <c r="D238" s="14" t="str">
        <f aca="false">IF(A238="","",MAX(K238:AD238))</f>
        <v/>
      </c>
      <c r="E238" s="14" t="str">
        <f aca="false">IF(A238="","",MAX(0,D238-C238))</f>
        <v/>
      </c>
      <c r="F238" s="16" t="str">
        <f aca="false">IF(A238="","",IF(D238=0,"Fora dos decks",IF(E238=0,"Completo","Falta")))</f>
        <v/>
      </c>
      <c r="G238" s="16" t="str">
        <f aca="false">IF(A238="","",COUNTIF(K238:AD238,"&gt;0"))</f>
        <v/>
      </c>
      <c r="H238" s="16" t="str">
        <f aca="false">IF(A238="","",IF(G238&gt;1,"Sim",""))</f>
        <v/>
      </c>
      <c r="I238" s="18" t="str">
        <f aca="false">IF(A238="","",SUMIFS(DECKS!$D$2:$D$1201,DECKS!$B$2:$B$1201,A238))</f>
        <v/>
      </c>
      <c r="J238" s="18" t="str">
        <f aca="false">IF(A238="","",MAX(0,I238-C238))</f>
        <v/>
      </c>
      <c r="K238" s="19" t="str">
        <f aca="false">IF(OR($A238="",INDEX(_LEITURA!$Q$2:$Q$21,1)=0),"",SUMIFS(DECKS!$D$2:$D$1201,DECKS!$A$2:$A$1201,INDEX(_LEITURA!$P$2:$P$21,1),DECKS!$B$2:$B$1201,$A238))</f>
        <v/>
      </c>
      <c r="L238" s="19" t="str">
        <f aca="false">IF(OR($A238="",INDEX(_LEITURA!$Q$2:$Q$21,2)=0),"",SUMIFS(DECKS!$D$2:$D$1201,DECKS!$A$2:$A$1201,INDEX(_LEITURA!$P$2:$P$21,2),DECKS!$B$2:$B$1201,$A238))</f>
        <v/>
      </c>
      <c r="M238" s="19" t="str">
        <f aca="false">IF(OR($A238="",INDEX(_LEITURA!$Q$2:$Q$21,3)=0),"",SUMIFS(DECKS!$D$2:$D$1201,DECKS!$A$2:$A$1201,INDEX(_LEITURA!$P$2:$P$21,3),DECKS!$B$2:$B$1201,$A238))</f>
        <v/>
      </c>
      <c r="N238" s="19" t="str">
        <f aca="false">IF(OR($A238="",INDEX(_LEITURA!$Q$2:$Q$21,4)=0),"",SUMIFS(DECKS!$D$2:$D$1201,DECKS!$A$2:$A$1201,INDEX(_LEITURA!$P$2:$P$21,4),DECKS!$B$2:$B$1201,$A238))</f>
        <v/>
      </c>
      <c r="O238" s="19" t="str">
        <f aca="false">IF(OR($A238="",INDEX(_LEITURA!$Q$2:$Q$21,5)=0),"",SUMIFS(DECKS!$D$2:$D$1201,DECKS!$A$2:$A$1201,INDEX(_LEITURA!$P$2:$P$21,5),DECKS!$B$2:$B$1201,$A238))</f>
        <v/>
      </c>
      <c r="P238" s="19" t="str">
        <f aca="false">IF(OR($A238="",INDEX(_LEITURA!$Q$2:$Q$21,6)=0),"",SUMIFS(DECKS!$D$2:$D$1201,DECKS!$A$2:$A$1201,INDEX(_LEITURA!$P$2:$P$21,6),DECKS!$B$2:$B$1201,$A238))</f>
        <v/>
      </c>
      <c r="Q238" s="19" t="str">
        <f aca="false">IF(OR($A238="",INDEX(_LEITURA!$Q$2:$Q$21,7)=0),"",SUMIFS(DECKS!$D$2:$D$1201,DECKS!$A$2:$A$1201,INDEX(_LEITURA!$P$2:$P$21,7),DECKS!$B$2:$B$1201,$A238))</f>
        <v/>
      </c>
      <c r="R238" s="19" t="str">
        <f aca="false">IF(OR($A238="",INDEX(_LEITURA!$Q$2:$Q$21,8)=0),"",SUMIFS(DECKS!$D$2:$D$1201,DECKS!$A$2:$A$1201,INDEX(_LEITURA!$P$2:$P$21,8),DECKS!$B$2:$B$1201,$A238))</f>
        <v/>
      </c>
      <c r="S238" s="19" t="str">
        <f aca="false">IF(OR($A238="",INDEX(_LEITURA!$Q$2:$Q$21,9)=0),"",SUMIFS(DECKS!$D$2:$D$1201,DECKS!$A$2:$A$1201,INDEX(_LEITURA!$P$2:$P$21,9),DECKS!$B$2:$B$1201,$A238))</f>
        <v/>
      </c>
      <c r="T238" s="19" t="str">
        <f aca="false">IF(OR($A238="",INDEX(_LEITURA!$Q$2:$Q$21,10)=0),"",SUMIFS(DECKS!$D$2:$D$1201,DECKS!$A$2:$A$1201,INDEX(_LEITURA!$P$2:$P$21,10),DECKS!$B$2:$B$1201,$A238))</f>
        <v/>
      </c>
      <c r="U238" s="19" t="str">
        <f aca="false">IF(OR($A238="",INDEX(_LEITURA!$Q$2:$Q$21,11)=0),"",SUMIFS(DECKS!$D$2:$D$1201,DECKS!$A$2:$A$1201,INDEX(_LEITURA!$P$2:$P$21,11),DECKS!$B$2:$B$1201,$A238))</f>
        <v/>
      </c>
      <c r="V238" s="19" t="str">
        <f aca="false">IF(OR($A238="",INDEX(_LEITURA!$Q$2:$Q$21,12)=0),"",SUMIFS(DECKS!$D$2:$D$1201,DECKS!$A$2:$A$1201,INDEX(_LEITURA!$P$2:$P$21,12),DECKS!$B$2:$B$1201,$A238))</f>
        <v/>
      </c>
      <c r="W238" s="19" t="str">
        <f aca="false">IF(OR($A238="",INDEX(_LEITURA!$Q$2:$Q$21,13)=0),"",SUMIFS(DECKS!$D$2:$D$1201,DECKS!$A$2:$A$1201,INDEX(_LEITURA!$P$2:$P$21,13),DECKS!$B$2:$B$1201,$A238))</f>
        <v/>
      </c>
      <c r="X238" s="19" t="str">
        <f aca="false">IF(OR($A238="",INDEX(_LEITURA!$Q$2:$Q$21,14)=0),"",SUMIFS(DECKS!$D$2:$D$1201,DECKS!$A$2:$A$1201,INDEX(_LEITURA!$P$2:$P$21,14),DECKS!$B$2:$B$1201,$A238))</f>
        <v/>
      </c>
      <c r="Y238" s="19" t="str">
        <f aca="false">IF(OR($A238="",INDEX(_LEITURA!$Q$2:$Q$21,15)=0),"",SUMIFS(DECKS!$D$2:$D$1201,DECKS!$A$2:$A$1201,INDEX(_LEITURA!$P$2:$P$21,15),DECKS!$B$2:$B$1201,$A238))</f>
        <v/>
      </c>
      <c r="Z238" s="19" t="str">
        <f aca="false">IF(OR($A238="",INDEX(_LEITURA!$Q$2:$Q$21,16)=0),"",SUMIFS(DECKS!$D$2:$D$1201,DECKS!$A$2:$A$1201,INDEX(_LEITURA!$P$2:$P$21,16),DECKS!$B$2:$B$1201,$A238))</f>
        <v/>
      </c>
      <c r="AA238" s="19" t="str">
        <f aca="false">IF(OR($A238="",INDEX(_LEITURA!$Q$2:$Q$21,17)=0),"",SUMIFS(DECKS!$D$2:$D$1201,DECKS!$A$2:$A$1201,INDEX(_LEITURA!$P$2:$P$21,17),DECKS!$B$2:$B$1201,$A238))</f>
        <v/>
      </c>
      <c r="AB238" s="19" t="str">
        <f aca="false">IF(OR($A238="",INDEX(_LEITURA!$Q$2:$Q$21,18)=0),"",SUMIFS(DECKS!$D$2:$D$1201,DECKS!$A$2:$A$1201,INDEX(_LEITURA!$P$2:$P$21,18),DECKS!$B$2:$B$1201,$A238))</f>
        <v/>
      </c>
      <c r="AC238" s="19" t="str">
        <f aca="false">IF(OR($A238="",INDEX(_LEITURA!$Q$2:$Q$21,19)=0),"",SUMIFS(DECKS!$D$2:$D$1201,DECKS!$A$2:$A$1201,INDEX(_LEITURA!$P$2:$P$21,19),DECKS!$B$2:$B$1201,$A238))</f>
        <v/>
      </c>
      <c r="AD238" s="19" t="str">
        <f aca="false">IF(OR($A238="",INDEX(_LEITURA!$Q$2:$Q$21,20)=0),"",SUMIFS(DECKS!$D$2:$D$1201,DECKS!$A$2:$A$1201,INDEX(_LEITURA!$P$2:$P$21,20),DECKS!$B$2:$B$1201,$A238))</f>
        <v/>
      </c>
      <c r="AE238" s="16" t="str">
        <f aca="false">IF(N(E238)&gt;0,MAX(AE$1:AE237)+1,"")</f>
        <v/>
      </c>
      <c r="AF238" s="11" t="str">
        <f aca="false">IF(A238="","",IFERROR(LEFT(A238,FIND("-",A238)-1),A238))</f>
        <v/>
      </c>
      <c r="AG238" s="11" t="str">
        <f aca="false">IF(AF238="","",IF(ISNUMBER(--MID(AF238,1,1)),0,IF(ISNUMBER(--MID(AF238,2,1)),1,IF(ISNUMBER(--MID(AF238,3,1)),2,IF(ISNUMBER(--MID(AF238,4,1)),3,MIN(LEN(AF238),4))))))</f>
        <v/>
      </c>
      <c r="AH238" s="11" t="str">
        <f aca="false">IF(A238="","",LEFT(AF238,AG238)&amp;REPT("0",4-AG238)&amp;RIGHT("000"&amp;IFERROR(VALUE(MID(AF238,AG238+1,9)),0),3)&amp;RIGHT("0000"&amp;IFERROR(VALUE(MID(A238,FIND("-",A238)+1,9)),0),4))</f>
        <v/>
      </c>
      <c r="AI238" s="11" t="str">
        <f aca="false">IF(OR(A238="",N(E238)&lt;=0),"",IF('FALTAS GERAL'!$M$1="Código","K"&amp;AH238&amp;RIGHT("00000"&amp;ROW(),5),IF('FALTAS GERAL'!$M$1="Nome","K"&amp;UPPER(SUBSTITUTE(SUBSTITUTE(SUBSTITUTE(B238,"*",""),"?",""),"~",""))&amp;"0"&amp;AH238&amp;RIGHT("00000"&amp;ROW(),5),IF('FALTAS GERAL'!$M$1="Falta (maior primeiro)","K"&amp;RIGHT("0000"&amp;(9999-E238),4)&amp;AH238&amp;RIGHT("00000"&amp;ROW(),5),IF('FALTAS GERAL'!$M$1="Nº de decks (maior primeiro)","K"&amp;RIGHT("00"&amp;(99-N(G238)),2)&amp;AH238&amp;RIGHT("00000"&amp;ROW(),5),"K"&amp;RIGHT("00000"&amp;ROW(),5))))))</f>
        <v/>
      </c>
      <c r="AJ238" s="11" t="str">
        <f aca="false">IF(AI238="","",COUNTIFS($AI$2:$AI$801,"&lt;"&amp;AI238,$E$2:$E$801,"&gt;0")+1)</f>
        <v/>
      </c>
      <c r="AK238" s="11" t="str">
        <f aca="false">IF(OR(A238="",N(E238)&lt;=0),"",COUNTIFS($AH$2:$AH$801,"&lt;"&amp;AH238,$E$2:$E$801,"&gt;0")+COUNTIFS($AH$2:AH238,AH238,$E$2:E238,"&gt;0"))</f>
        <v/>
      </c>
    </row>
    <row r="239" customFormat="false" ht="15" hidden="false" customHeight="false" outlineLevel="0" collapsed="false">
      <c r="A239" s="11" t="str">
        <f aca="false">IF(INVENTÁRIO!A239="","",INVENTÁRIO!A239)</f>
        <v/>
      </c>
      <c r="B239" s="11" t="str">
        <f aca="false">IF(A239="","",INVENTÁRIO!B239)</f>
        <v/>
      </c>
      <c r="C239" s="16" t="str">
        <f aca="false">IF(A239="","",INVENTÁRIO!C239)</f>
        <v/>
      </c>
      <c r="D239" s="14" t="str">
        <f aca="false">IF(A239="","",MAX(K239:AD239))</f>
        <v/>
      </c>
      <c r="E239" s="14" t="str">
        <f aca="false">IF(A239="","",MAX(0,D239-C239))</f>
        <v/>
      </c>
      <c r="F239" s="16" t="str">
        <f aca="false">IF(A239="","",IF(D239=0,"Fora dos decks",IF(E239=0,"Completo","Falta")))</f>
        <v/>
      </c>
      <c r="G239" s="16" t="str">
        <f aca="false">IF(A239="","",COUNTIF(K239:AD239,"&gt;0"))</f>
        <v/>
      </c>
      <c r="H239" s="16" t="str">
        <f aca="false">IF(A239="","",IF(G239&gt;1,"Sim",""))</f>
        <v/>
      </c>
      <c r="I239" s="18" t="str">
        <f aca="false">IF(A239="","",SUMIFS(DECKS!$D$2:$D$1201,DECKS!$B$2:$B$1201,A239))</f>
        <v/>
      </c>
      <c r="J239" s="18" t="str">
        <f aca="false">IF(A239="","",MAX(0,I239-C239))</f>
        <v/>
      </c>
      <c r="K239" s="19" t="str">
        <f aca="false">IF(OR($A239="",INDEX(_LEITURA!$Q$2:$Q$21,1)=0),"",SUMIFS(DECKS!$D$2:$D$1201,DECKS!$A$2:$A$1201,INDEX(_LEITURA!$P$2:$P$21,1),DECKS!$B$2:$B$1201,$A239))</f>
        <v/>
      </c>
      <c r="L239" s="19" t="str">
        <f aca="false">IF(OR($A239="",INDEX(_LEITURA!$Q$2:$Q$21,2)=0),"",SUMIFS(DECKS!$D$2:$D$1201,DECKS!$A$2:$A$1201,INDEX(_LEITURA!$P$2:$P$21,2),DECKS!$B$2:$B$1201,$A239))</f>
        <v/>
      </c>
      <c r="M239" s="19" t="str">
        <f aca="false">IF(OR($A239="",INDEX(_LEITURA!$Q$2:$Q$21,3)=0),"",SUMIFS(DECKS!$D$2:$D$1201,DECKS!$A$2:$A$1201,INDEX(_LEITURA!$P$2:$P$21,3),DECKS!$B$2:$B$1201,$A239))</f>
        <v/>
      </c>
      <c r="N239" s="19" t="str">
        <f aca="false">IF(OR($A239="",INDEX(_LEITURA!$Q$2:$Q$21,4)=0),"",SUMIFS(DECKS!$D$2:$D$1201,DECKS!$A$2:$A$1201,INDEX(_LEITURA!$P$2:$P$21,4),DECKS!$B$2:$B$1201,$A239))</f>
        <v/>
      </c>
      <c r="O239" s="19" t="str">
        <f aca="false">IF(OR($A239="",INDEX(_LEITURA!$Q$2:$Q$21,5)=0),"",SUMIFS(DECKS!$D$2:$D$1201,DECKS!$A$2:$A$1201,INDEX(_LEITURA!$P$2:$P$21,5),DECKS!$B$2:$B$1201,$A239))</f>
        <v/>
      </c>
      <c r="P239" s="19" t="str">
        <f aca="false">IF(OR($A239="",INDEX(_LEITURA!$Q$2:$Q$21,6)=0),"",SUMIFS(DECKS!$D$2:$D$1201,DECKS!$A$2:$A$1201,INDEX(_LEITURA!$P$2:$P$21,6),DECKS!$B$2:$B$1201,$A239))</f>
        <v/>
      </c>
      <c r="Q239" s="19" t="str">
        <f aca="false">IF(OR($A239="",INDEX(_LEITURA!$Q$2:$Q$21,7)=0),"",SUMIFS(DECKS!$D$2:$D$1201,DECKS!$A$2:$A$1201,INDEX(_LEITURA!$P$2:$P$21,7),DECKS!$B$2:$B$1201,$A239))</f>
        <v/>
      </c>
      <c r="R239" s="19" t="str">
        <f aca="false">IF(OR($A239="",INDEX(_LEITURA!$Q$2:$Q$21,8)=0),"",SUMIFS(DECKS!$D$2:$D$1201,DECKS!$A$2:$A$1201,INDEX(_LEITURA!$P$2:$P$21,8),DECKS!$B$2:$B$1201,$A239))</f>
        <v/>
      </c>
      <c r="S239" s="19" t="str">
        <f aca="false">IF(OR($A239="",INDEX(_LEITURA!$Q$2:$Q$21,9)=0),"",SUMIFS(DECKS!$D$2:$D$1201,DECKS!$A$2:$A$1201,INDEX(_LEITURA!$P$2:$P$21,9),DECKS!$B$2:$B$1201,$A239))</f>
        <v/>
      </c>
      <c r="T239" s="19" t="str">
        <f aca="false">IF(OR($A239="",INDEX(_LEITURA!$Q$2:$Q$21,10)=0),"",SUMIFS(DECKS!$D$2:$D$1201,DECKS!$A$2:$A$1201,INDEX(_LEITURA!$P$2:$P$21,10),DECKS!$B$2:$B$1201,$A239))</f>
        <v/>
      </c>
      <c r="U239" s="19" t="str">
        <f aca="false">IF(OR($A239="",INDEX(_LEITURA!$Q$2:$Q$21,11)=0),"",SUMIFS(DECKS!$D$2:$D$1201,DECKS!$A$2:$A$1201,INDEX(_LEITURA!$P$2:$P$21,11),DECKS!$B$2:$B$1201,$A239))</f>
        <v/>
      </c>
      <c r="V239" s="19" t="str">
        <f aca="false">IF(OR($A239="",INDEX(_LEITURA!$Q$2:$Q$21,12)=0),"",SUMIFS(DECKS!$D$2:$D$1201,DECKS!$A$2:$A$1201,INDEX(_LEITURA!$P$2:$P$21,12),DECKS!$B$2:$B$1201,$A239))</f>
        <v/>
      </c>
      <c r="W239" s="19" t="str">
        <f aca="false">IF(OR($A239="",INDEX(_LEITURA!$Q$2:$Q$21,13)=0),"",SUMIFS(DECKS!$D$2:$D$1201,DECKS!$A$2:$A$1201,INDEX(_LEITURA!$P$2:$P$21,13),DECKS!$B$2:$B$1201,$A239))</f>
        <v/>
      </c>
      <c r="X239" s="19" t="str">
        <f aca="false">IF(OR($A239="",INDEX(_LEITURA!$Q$2:$Q$21,14)=0),"",SUMIFS(DECKS!$D$2:$D$1201,DECKS!$A$2:$A$1201,INDEX(_LEITURA!$P$2:$P$21,14),DECKS!$B$2:$B$1201,$A239))</f>
        <v/>
      </c>
      <c r="Y239" s="19" t="str">
        <f aca="false">IF(OR($A239="",INDEX(_LEITURA!$Q$2:$Q$21,15)=0),"",SUMIFS(DECKS!$D$2:$D$1201,DECKS!$A$2:$A$1201,INDEX(_LEITURA!$P$2:$P$21,15),DECKS!$B$2:$B$1201,$A239))</f>
        <v/>
      </c>
      <c r="Z239" s="19" t="str">
        <f aca="false">IF(OR($A239="",INDEX(_LEITURA!$Q$2:$Q$21,16)=0),"",SUMIFS(DECKS!$D$2:$D$1201,DECKS!$A$2:$A$1201,INDEX(_LEITURA!$P$2:$P$21,16),DECKS!$B$2:$B$1201,$A239))</f>
        <v/>
      </c>
      <c r="AA239" s="19" t="str">
        <f aca="false">IF(OR($A239="",INDEX(_LEITURA!$Q$2:$Q$21,17)=0),"",SUMIFS(DECKS!$D$2:$D$1201,DECKS!$A$2:$A$1201,INDEX(_LEITURA!$P$2:$P$21,17),DECKS!$B$2:$B$1201,$A239))</f>
        <v/>
      </c>
      <c r="AB239" s="19" t="str">
        <f aca="false">IF(OR($A239="",INDEX(_LEITURA!$Q$2:$Q$21,18)=0),"",SUMIFS(DECKS!$D$2:$D$1201,DECKS!$A$2:$A$1201,INDEX(_LEITURA!$P$2:$P$21,18),DECKS!$B$2:$B$1201,$A239))</f>
        <v/>
      </c>
      <c r="AC239" s="19" t="str">
        <f aca="false">IF(OR($A239="",INDEX(_LEITURA!$Q$2:$Q$21,19)=0),"",SUMIFS(DECKS!$D$2:$D$1201,DECKS!$A$2:$A$1201,INDEX(_LEITURA!$P$2:$P$21,19),DECKS!$B$2:$B$1201,$A239))</f>
        <v/>
      </c>
      <c r="AD239" s="19" t="str">
        <f aca="false">IF(OR($A239="",INDEX(_LEITURA!$Q$2:$Q$21,20)=0),"",SUMIFS(DECKS!$D$2:$D$1201,DECKS!$A$2:$A$1201,INDEX(_LEITURA!$P$2:$P$21,20),DECKS!$B$2:$B$1201,$A239))</f>
        <v/>
      </c>
      <c r="AE239" s="16" t="str">
        <f aca="false">IF(N(E239)&gt;0,MAX(AE$1:AE238)+1,"")</f>
        <v/>
      </c>
      <c r="AF239" s="11" t="str">
        <f aca="false">IF(A239="","",IFERROR(LEFT(A239,FIND("-",A239)-1),A239))</f>
        <v/>
      </c>
      <c r="AG239" s="11" t="str">
        <f aca="false">IF(AF239="","",IF(ISNUMBER(--MID(AF239,1,1)),0,IF(ISNUMBER(--MID(AF239,2,1)),1,IF(ISNUMBER(--MID(AF239,3,1)),2,IF(ISNUMBER(--MID(AF239,4,1)),3,MIN(LEN(AF239),4))))))</f>
        <v/>
      </c>
      <c r="AH239" s="11" t="str">
        <f aca="false">IF(A239="","",LEFT(AF239,AG239)&amp;REPT("0",4-AG239)&amp;RIGHT("000"&amp;IFERROR(VALUE(MID(AF239,AG239+1,9)),0),3)&amp;RIGHT("0000"&amp;IFERROR(VALUE(MID(A239,FIND("-",A239)+1,9)),0),4))</f>
        <v/>
      </c>
      <c r="AI239" s="11" t="str">
        <f aca="false">IF(OR(A239="",N(E239)&lt;=0),"",IF('FALTAS GERAL'!$M$1="Código","K"&amp;AH239&amp;RIGHT("00000"&amp;ROW(),5),IF('FALTAS GERAL'!$M$1="Nome","K"&amp;UPPER(SUBSTITUTE(SUBSTITUTE(SUBSTITUTE(B239,"*",""),"?",""),"~",""))&amp;"0"&amp;AH239&amp;RIGHT("00000"&amp;ROW(),5),IF('FALTAS GERAL'!$M$1="Falta (maior primeiro)","K"&amp;RIGHT("0000"&amp;(9999-E239),4)&amp;AH239&amp;RIGHT("00000"&amp;ROW(),5),IF('FALTAS GERAL'!$M$1="Nº de decks (maior primeiro)","K"&amp;RIGHT("00"&amp;(99-N(G239)),2)&amp;AH239&amp;RIGHT("00000"&amp;ROW(),5),"K"&amp;RIGHT("00000"&amp;ROW(),5))))))</f>
        <v/>
      </c>
      <c r="AJ239" s="11" t="str">
        <f aca="false">IF(AI239="","",COUNTIFS($AI$2:$AI$801,"&lt;"&amp;AI239,$E$2:$E$801,"&gt;0")+1)</f>
        <v/>
      </c>
      <c r="AK239" s="11" t="str">
        <f aca="false">IF(OR(A239="",N(E239)&lt;=0),"",COUNTIFS($AH$2:$AH$801,"&lt;"&amp;AH239,$E$2:$E$801,"&gt;0")+COUNTIFS($AH$2:AH239,AH239,$E$2:E239,"&gt;0"))</f>
        <v/>
      </c>
    </row>
    <row r="240" customFormat="false" ht="15" hidden="false" customHeight="false" outlineLevel="0" collapsed="false">
      <c r="A240" s="11" t="str">
        <f aca="false">IF(INVENTÁRIO!A240="","",INVENTÁRIO!A240)</f>
        <v/>
      </c>
      <c r="B240" s="11" t="str">
        <f aca="false">IF(A240="","",INVENTÁRIO!B240)</f>
        <v/>
      </c>
      <c r="C240" s="16" t="str">
        <f aca="false">IF(A240="","",INVENTÁRIO!C240)</f>
        <v/>
      </c>
      <c r="D240" s="14" t="str">
        <f aca="false">IF(A240="","",MAX(K240:AD240))</f>
        <v/>
      </c>
      <c r="E240" s="14" t="str">
        <f aca="false">IF(A240="","",MAX(0,D240-C240))</f>
        <v/>
      </c>
      <c r="F240" s="16" t="str">
        <f aca="false">IF(A240="","",IF(D240=0,"Fora dos decks",IF(E240=0,"Completo","Falta")))</f>
        <v/>
      </c>
      <c r="G240" s="16" t="str">
        <f aca="false">IF(A240="","",COUNTIF(K240:AD240,"&gt;0"))</f>
        <v/>
      </c>
      <c r="H240" s="16" t="str">
        <f aca="false">IF(A240="","",IF(G240&gt;1,"Sim",""))</f>
        <v/>
      </c>
      <c r="I240" s="18" t="str">
        <f aca="false">IF(A240="","",SUMIFS(DECKS!$D$2:$D$1201,DECKS!$B$2:$B$1201,A240))</f>
        <v/>
      </c>
      <c r="J240" s="18" t="str">
        <f aca="false">IF(A240="","",MAX(0,I240-C240))</f>
        <v/>
      </c>
      <c r="K240" s="19" t="str">
        <f aca="false">IF(OR($A240="",INDEX(_LEITURA!$Q$2:$Q$21,1)=0),"",SUMIFS(DECKS!$D$2:$D$1201,DECKS!$A$2:$A$1201,INDEX(_LEITURA!$P$2:$P$21,1),DECKS!$B$2:$B$1201,$A240))</f>
        <v/>
      </c>
      <c r="L240" s="19" t="str">
        <f aca="false">IF(OR($A240="",INDEX(_LEITURA!$Q$2:$Q$21,2)=0),"",SUMIFS(DECKS!$D$2:$D$1201,DECKS!$A$2:$A$1201,INDEX(_LEITURA!$P$2:$P$21,2),DECKS!$B$2:$B$1201,$A240))</f>
        <v/>
      </c>
      <c r="M240" s="19" t="str">
        <f aca="false">IF(OR($A240="",INDEX(_LEITURA!$Q$2:$Q$21,3)=0),"",SUMIFS(DECKS!$D$2:$D$1201,DECKS!$A$2:$A$1201,INDEX(_LEITURA!$P$2:$P$21,3),DECKS!$B$2:$B$1201,$A240))</f>
        <v/>
      </c>
      <c r="N240" s="19" t="str">
        <f aca="false">IF(OR($A240="",INDEX(_LEITURA!$Q$2:$Q$21,4)=0),"",SUMIFS(DECKS!$D$2:$D$1201,DECKS!$A$2:$A$1201,INDEX(_LEITURA!$P$2:$P$21,4),DECKS!$B$2:$B$1201,$A240))</f>
        <v/>
      </c>
      <c r="O240" s="19" t="str">
        <f aca="false">IF(OR($A240="",INDEX(_LEITURA!$Q$2:$Q$21,5)=0),"",SUMIFS(DECKS!$D$2:$D$1201,DECKS!$A$2:$A$1201,INDEX(_LEITURA!$P$2:$P$21,5),DECKS!$B$2:$B$1201,$A240))</f>
        <v/>
      </c>
      <c r="P240" s="19" t="str">
        <f aca="false">IF(OR($A240="",INDEX(_LEITURA!$Q$2:$Q$21,6)=0),"",SUMIFS(DECKS!$D$2:$D$1201,DECKS!$A$2:$A$1201,INDEX(_LEITURA!$P$2:$P$21,6),DECKS!$B$2:$B$1201,$A240))</f>
        <v/>
      </c>
      <c r="Q240" s="19" t="str">
        <f aca="false">IF(OR($A240="",INDEX(_LEITURA!$Q$2:$Q$21,7)=0),"",SUMIFS(DECKS!$D$2:$D$1201,DECKS!$A$2:$A$1201,INDEX(_LEITURA!$P$2:$P$21,7),DECKS!$B$2:$B$1201,$A240))</f>
        <v/>
      </c>
      <c r="R240" s="19" t="str">
        <f aca="false">IF(OR($A240="",INDEX(_LEITURA!$Q$2:$Q$21,8)=0),"",SUMIFS(DECKS!$D$2:$D$1201,DECKS!$A$2:$A$1201,INDEX(_LEITURA!$P$2:$P$21,8),DECKS!$B$2:$B$1201,$A240))</f>
        <v/>
      </c>
      <c r="S240" s="19" t="str">
        <f aca="false">IF(OR($A240="",INDEX(_LEITURA!$Q$2:$Q$21,9)=0),"",SUMIFS(DECKS!$D$2:$D$1201,DECKS!$A$2:$A$1201,INDEX(_LEITURA!$P$2:$P$21,9),DECKS!$B$2:$B$1201,$A240))</f>
        <v/>
      </c>
      <c r="T240" s="19" t="str">
        <f aca="false">IF(OR($A240="",INDEX(_LEITURA!$Q$2:$Q$21,10)=0),"",SUMIFS(DECKS!$D$2:$D$1201,DECKS!$A$2:$A$1201,INDEX(_LEITURA!$P$2:$P$21,10),DECKS!$B$2:$B$1201,$A240))</f>
        <v/>
      </c>
      <c r="U240" s="19" t="str">
        <f aca="false">IF(OR($A240="",INDEX(_LEITURA!$Q$2:$Q$21,11)=0),"",SUMIFS(DECKS!$D$2:$D$1201,DECKS!$A$2:$A$1201,INDEX(_LEITURA!$P$2:$P$21,11),DECKS!$B$2:$B$1201,$A240))</f>
        <v/>
      </c>
      <c r="V240" s="19" t="str">
        <f aca="false">IF(OR($A240="",INDEX(_LEITURA!$Q$2:$Q$21,12)=0),"",SUMIFS(DECKS!$D$2:$D$1201,DECKS!$A$2:$A$1201,INDEX(_LEITURA!$P$2:$P$21,12),DECKS!$B$2:$B$1201,$A240))</f>
        <v/>
      </c>
      <c r="W240" s="19" t="str">
        <f aca="false">IF(OR($A240="",INDEX(_LEITURA!$Q$2:$Q$21,13)=0),"",SUMIFS(DECKS!$D$2:$D$1201,DECKS!$A$2:$A$1201,INDEX(_LEITURA!$P$2:$P$21,13),DECKS!$B$2:$B$1201,$A240))</f>
        <v/>
      </c>
      <c r="X240" s="19" t="str">
        <f aca="false">IF(OR($A240="",INDEX(_LEITURA!$Q$2:$Q$21,14)=0),"",SUMIFS(DECKS!$D$2:$D$1201,DECKS!$A$2:$A$1201,INDEX(_LEITURA!$P$2:$P$21,14),DECKS!$B$2:$B$1201,$A240))</f>
        <v/>
      </c>
      <c r="Y240" s="19" t="str">
        <f aca="false">IF(OR($A240="",INDEX(_LEITURA!$Q$2:$Q$21,15)=0),"",SUMIFS(DECKS!$D$2:$D$1201,DECKS!$A$2:$A$1201,INDEX(_LEITURA!$P$2:$P$21,15),DECKS!$B$2:$B$1201,$A240))</f>
        <v/>
      </c>
      <c r="Z240" s="19" t="str">
        <f aca="false">IF(OR($A240="",INDEX(_LEITURA!$Q$2:$Q$21,16)=0),"",SUMIFS(DECKS!$D$2:$D$1201,DECKS!$A$2:$A$1201,INDEX(_LEITURA!$P$2:$P$21,16),DECKS!$B$2:$B$1201,$A240))</f>
        <v/>
      </c>
      <c r="AA240" s="19" t="str">
        <f aca="false">IF(OR($A240="",INDEX(_LEITURA!$Q$2:$Q$21,17)=0),"",SUMIFS(DECKS!$D$2:$D$1201,DECKS!$A$2:$A$1201,INDEX(_LEITURA!$P$2:$P$21,17),DECKS!$B$2:$B$1201,$A240))</f>
        <v/>
      </c>
      <c r="AB240" s="19" t="str">
        <f aca="false">IF(OR($A240="",INDEX(_LEITURA!$Q$2:$Q$21,18)=0),"",SUMIFS(DECKS!$D$2:$D$1201,DECKS!$A$2:$A$1201,INDEX(_LEITURA!$P$2:$P$21,18),DECKS!$B$2:$B$1201,$A240))</f>
        <v/>
      </c>
      <c r="AC240" s="19" t="str">
        <f aca="false">IF(OR($A240="",INDEX(_LEITURA!$Q$2:$Q$21,19)=0),"",SUMIFS(DECKS!$D$2:$D$1201,DECKS!$A$2:$A$1201,INDEX(_LEITURA!$P$2:$P$21,19),DECKS!$B$2:$B$1201,$A240))</f>
        <v/>
      </c>
      <c r="AD240" s="19" t="str">
        <f aca="false">IF(OR($A240="",INDEX(_LEITURA!$Q$2:$Q$21,20)=0),"",SUMIFS(DECKS!$D$2:$D$1201,DECKS!$A$2:$A$1201,INDEX(_LEITURA!$P$2:$P$21,20),DECKS!$B$2:$B$1201,$A240))</f>
        <v/>
      </c>
      <c r="AE240" s="16" t="str">
        <f aca="false">IF(N(E240)&gt;0,MAX(AE$1:AE239)+1,"")</f>
        <v/>
      </c>
      <c r="AF240" s="11" t="str">
        <f aca="false">IF(A240="","",IFERROR(LEFT(A240,FIND("-",A240)-1),A240))</f>
        <v/>
      </c>
      <c r="AG240" s="11" t="str">
        <f aca="false">IF(AF240="","",IF(ISNUMBER(--MID(AF240,1,1)),0,IF(ISNUMBER(--MID(AF240,2,1)),1,IF(ISNUMBER(--MID(AF240,3,1)),2,IF(ISNUMBER(--MID(AF240,4,1)),3,MIN(LEN(AF240),4))))))</f>
        <v/>
      </c>
      <c r="AH240" s="11" t="str">
        <f aca="false">IF(A240="","",LEFT(AF240,AG240)&amp;REPT("0",4-AG240)&amp;RIGHT("000"&amp;IFERROR(VALUE(MID(AF240,AG240+1,9)),0),3)&amp;RIGHT("0000"&amp;IFERROR(VALUE(MID(A240,FIND("-",A240)+1,9)),0),4))</f>
        <v/>
      </c>
      <c r="AI240" s="11" t="str">
        <f aca="false">IF(OR(A240="",N(E240)&lt;=0),"",IF('FALTAS GERAL'!$M$1="Código","K"&amp;AH240&amp;RIGHT("00000"&amp;ROW(),5),IF('FALTAS GERAL'!$M$1="Nome","K"&amp;UPPER(SUBSTITUTE(SUBSTITUTE(SUBSTITUTE(B240,"*",""),"?",""),"~",""))&amp;"0"&amp;AH240&amp;RIGHT("00000"&amp;ROW(),5),IF('FALTAS GERAL'!$M$1="Falta (maior primeiro)","K"&amp;RIGHT("0000"&amp;(9999-E240),4)&amp;AH240&amp;RIGHT("00000"&amp;ROW(),5),IF('FALTAS GERAL'!$M$1="Nº de decks (maior primeiro)","K"&amp;RIGHT("00"&amp;(99-N(G240)),2)&amp;AH240&amp;RIGHT("00000"&amp;ROW(),5),"K"&amp;RIGHT("00000"&amp;ROW(),5))))))</f>
        <v/>
      </c>
      <c r="AJ240" s="11" t="str">
        <f aca="false">IF(AI240="","",COUNTIFS($AI$2:$AI$801,"&lt;"&amp;AI240,$E$2:$E$801,"&gt;0")+1)</f>
        <v/>
      </c>
      <c r="AK240" s="11" t="str">
        <f aca="false">IF(OR(A240="",N(E240)&lt;=0),"",COUNTIFS($AH$2:$AH$801,"&lt;"&amp;AH240,$E$2:$E$801,"&gt;0")+COUNTIFS($AH$2:AH240,AH240,$E$2:E240,"&gt;0"))</f>
        <v/>
      </c>
    </row>
    <row r="241" customFormat="false" ht="15" hidden="false" customHeight="false" outlineLevel="0" collapsed="false">
      <c r="A241" s="11" t="str">
        <f aca="false">IF(INVENTÁRIO!A241="","",INVENTÁRIO!A241)</f>
        <v/>
      </c>
      <c r="B241" s="11" t="str">
        <f aca="false">IF(A241="","",INVENTÁRIO!B241)</f>
        <v/>
      </c>
      <c r="C241" s="16" t="str">
        <f aca="false">IF(A241="","",INVENTÁRIO!C241)</f>
        <v/>
      </c>
      <c r="D241" s="14" t="str">
        <f aca="false">IF(A241="","",MAX(K241:AD241))</f>
        <v/>
      </c>
      <c r="E241" s="14" t="str">
        <f aca="false">IF(A241="","",MAX(0,D241-C241))</f>
        <v/>
      </c>
      <c r="F241" s="16" t="str">
        <f aca="false">IF(A241="","",IF(D241=0,"Fora dos decks",IF(E241=0,"Completo","Falta")))</f>
        <v/>
      </c>
      <c r="G241" s="16" t="str">
        <f aca="false">IF(A241="","",COUNTIF(K241:AD241,"&gt;0"))</f>
        <v/>
      </c>
      <c r="H241" s="16" t="str">
        <f aca="false">IF(A241="","",IF(G241&gt;1,"Sim",""))</f>
        <v/>
      </c>
      <c r="I241" s="18" t="str">
        <f aca="false">IF(A241="","",SUMIFS(DECKS!$D$2:$D$1201,DECKS!$B$2:$B$1201,A241))</f>
        <v/>
      </c>
      <c r="J241" s="18" t="str">
        <f aca="false">IF(A241="","",MAX(0,I241-C241))</f>
        <v/>
      </c>
      <c r="K241" s="19" t="str">
        <f aca="false">IF(OR($A241="",INDEX(_LEITURA!$Q$2:$Q$21,1)=0),"",SUMIFS(DECKS!$D$2:$D$1201,DECKS!$A$2:$A$1201,INDEX(_LEITURA!$P$2:$P$21,1),DECKS!$B$2:$B$1201,$A241))</f>
        <v/>
      </c>
      <c r="L241" s="19" t="str">
        <f aca="false">IF(OR($A241="",INDEX(_LEITURA!$Q$2:$Q$21,2)=0),"",SUMIFS(DECKS!$D$2:$D$1201,DECKS!$A$2:$A$1201,INDEX(_LEITURA!$P$2:$P$21,2),DECKS!$B$2:$B$1201,$A241))</f>
        <v/>
      </c>
      <c r="M241" s="19" t="str">
        <f aca="false">IF(OR($A241="",INDEX(_LEITURA!$Q$2:$Q$21,3)=0),"",SUMIFS(DECKS!$D$2:$D$1201,DECKS!$A$2:$A$1201,INDEX(_LEITURA!$P$2:$P$21,3),DECKS!$B$2:$B$1201,$A241))</f>
        <v/>
      </c>
      <c r="N241" s="19" t="str">
        <f aca="false">IF(OR($A241="",INDEX(_LEITURA!$Q$2:$Q$21,4)=0),"",SUMIFS(DECKS!$D$2:$D$1201,DECKS!$A$2:$A$1201,INDEX(_LEITURA!$P$2:$P$21,4),DECKS!$B$2:$B$1201,$A241))</f>
        <v/>
      </c>
      <c r="O241" s="19" t="str">
        <f aca="false">IF(OR($A241="",INDEX(_LEITURA!$Q$2:$Q$21,5)=0),"",SUMIFS(DECKS!$D$2:$D$1201,DECKS!$A$2:$A$1201,INDEX(_LEITURA!$P$2:$P$21,5),DECKS!$B$2:$B$1201,$A241))</f>
        <v/>
      </c>
      <c r="P241" s="19" t="str">
        <f aca="false">IF(OR($A241="",INDEX(_LEITURA!$Q$2:$Q$21,6)=0),"",SUMIFS(DECKS!$D$2:$D$1201,DECKS!$A$2:$A$1201,INDEX(_LEITURA!$P$2:$P$21,6),DECKS!$B$2:$B$1201,$A241))</f>
        <v/>
      </c>
      <c r="Q241" s="19" t="str">
        <f aca="false">IF(OR($A241="",INDEX(_LEITURA!$Q$2:$Q$21,7)=0),"",SUMIFS(DECKS!$D$2:$D$1201,DECKS!$A$2:$A$1201,INDEX(_LEITURA!$P$2:$P$21,7),DECKS!$B$2:$B$1201,$A241))</f>
        <v/>
      </c>
      <c r="R241" s="19" t="str">
        <f aca="false">IF(OR($A241="",INDEX(_LEITURA!$Q$2:$Q$21,8)=0),"",SUMIFS(DECKS!$D$2:$D$1201,DECKS!$A$2:$A$1201,INDEX(_LEITURA!$P$2:$P$21,8),DECKS!$B$2:$B$1201,$A241))</f>
        <v/>
      </c>
      <c r="S241" s="19" t="str">
        <f aca="false">IF(OR($A241="",INDEX(_LEITURA!$Q$2:$Q$21,9)=0),"",SUMIFS(DECKS!$D$2:$D$1201,DECKS!$A$2:$A$1201,INDEX(_LEITURA!$P$2:$P$21,9),DECKS!$B$2:$B$1201,$A241))</f>
        <v/>
      </c>
      <c r="T241" s="19" t="str">
        <f aca="false">IF(OR($A241="",INDEX(_LEITURA!$Q$2:$Q$21,10)=0),"",SUMIFS(DECKS!$D$2:$D$1201,DECKS!$A$2:$A$1201,INDEX(_LEITURA!$P$2:$P$21,10),DECKS!$B$2:$B$1201,$A241))</f>
        <v/>
      </c>
      <c r="U241" s="19" t="str">
        <f aca="false">IF(OR($A241="",INDEX(_LEITURA!$Q$2:$Q$21,11)=0),"",SUMIFS(DECKS!$D$2:$D$1201,DECKS!$A$2:$A$1201,INDEX(_LEITURA!$P$2:$P$21,11),DECKS!$B$2:$B$1201,$A241))</f>
        <v/>
      </c>
      <c r="V241" s="19" t="str">
        <f aca="false">IF(OR($A241="",INDEX(_LEITURA!$Q$2:$Q$21,12)=0),"",SUMIFS(DECKS!$D$2:$D$1201,DECKS!$A$2:$A$1201,INDEX(_LEITURA!$P$2:$P$21,12),DECKS!$B$2:$B$1201,$A241))</f>
        <v/>
      </c>
      <c r="W241" s="19" t="str">
        <f aca="false">IF(OR($A241="",INDEX(_LEITURA!$Q$2:$Q$21,13)=0),"",SUMIFS(DECKS!$D$2:$D$1201,DECKS!$A$2:$A$1201,INDEX(_LEITURA!$P$2:$P$21,13),DECKS!$B$2:$B$1201,$A241))</f>
        <v/>
      </c>
      <c r="X241" s="19" t="str">
        <f aca="false">IF(OR($A241="",INDEX(_LEITURA!$Q$2:$Q$21,14)=0),"",SUMIFS(DECKS!$D$2:$D$1201,DECKS!$A$2:$A$1201,INDEX(_LEITURA!$P$2:$P$21,14),DECKS!$B$2:$B$1201,$A241))</f>
        <v/>
      </c>
      <c r="Y241" s="19" t="str">
        <f aca="false">IF(OR($A241="",INDEX(_LEITURA!$Q$2:$Q$21,15)=0),"",SUMIFS(DECKS!$D$2:$D$1201,DECKS!$A$2:$A$1201,INDEX(_LEITURA!$P$2:$P$21,15),DECKS!$B$2:$B$1201,$A241))</f>
        <v/>
      </c>
      <c r="Z241" s="19" t="str">
        <f aca="false">IF(OR($A241="",INDEX(_LEITURA!$Q$2:$Q$21,16)=0),"",SUMIFS(DECKS!$D$2:$D$1201,DECKS!$A$2:$A$1201,INDEX(_LEITURA!$P$2:$P$21,16),DECKS!$B$2:$B$1201,$A241))</f>
        <v/>
      </c>
      <c r="AA241" s="19" t="str">
        <f aca="false">IF(OR($A241="",INDEX(_LEITURA!$Q$2:$Q$21,17)=0),"",SUMIFS(DECKS!$D$2:$D$1201,DECKS!$A$2:$A$1201,INDEX(_LEITURA!$P$2:$P$21,17),DECKS!$B$2:$B$1201,$A241))</f>
        <v/>
      </c>
      <c r="AB241" s="19" t="str">
        <f aca="false">IF(OR($A241="",INDEX(_LEITURA!$Q$2:$Q$21,18)=0),"",SUMIFS(DECKS!$D$2:$D$1201,DECKS!$A$2:$A$1201,INDEX(_LEITURA!$P$2:$P$21,18),DECKS!$B$2:$B$1201,$A241))</f>
        <v/>
      </c>
      <c r="AC241" s="19" t="str">
        <f aca="false">IF(OR($A241="",INDEX(_LEITURA!$Q$2:$Q$21,19)=0),"",SUMIFS(DECKS!$D$2:$D$1201,DECKS!$A$2:$A$1201,INDEX(_LEITURA!$P$2:$P$21,19),DECKS!$B$2:$B$1201,$A241))</f>
        <v/>
      </c>
      <c r="AD241" s="19" t="str">
        <f aca="false">IF(OR($A241="",INDEX(_LEITURA!$Q$2:$Q$21,20)=0),"",SUMIFS(DECKS!$D$2:$D$1201,DECKS!$A$2:$A$1201,INDEX(_LEITURA!$P$2:$P$21,20),DECKS!$B$2:$B$1201,$A241))</f>
        <v/>
      </c>
      <c r="AE241" s="16" t="str">
        <f aca="false">IF(N(E241)&gt;0,MAX(AE$1:AE240)+1,"")</f>
        <v/>
      </c>
      <c r="AF241" s="11" t="str">
        <f aca="false">IF(A241="","",IFERROR(LEFT(A241,FIND("-",A241)-1),A241))</f>
        <v/>
      </c>
      <c r="AG241" s="11" t="str">
        <f aca="false">IF(AF241="","",IF(ISNUMBER(--MID(AF241,1,1)),0,IF(ISNUMBER(--MID(AF241,2,1)),1,IF(ISNUMBER(--MID(AF241,3,1)),2,IF(ISNUMBER(--MID(AF241,4,1)),3,MIN(LEN(AF241),4))))))</f>
        <v/>
      </c>
      <c r="AH241" s="11" t="str">
        <f aca="false">IF(A241="","",LEFT(AF241,AG241)&amp;REPT("0",4-AG241)&amp;RIGHT("000"&amp;IFERROR(VALUE(MID(AF241,AG241+1,9)),0),3)&amp;RIGHT("0000"&amp;IFERROR(VALUE(MID(A241,FIND("-",A241)+1,9)),0),4))</f>
        <v/>
      </c>
      <c r="AI241" s="11" t="str">
        <f aca="false">IF(OR(A241="",N(E241)&lt;=0),"",IF('FALTAS GERAL'!$M$1="Código","K"&amp;AH241&amp;RIGHT("00000"&amp;ROW(),5),IF('FALTAS GERAL'!$M$1="Nome","K"&amp;UPPER(SUBSTITUTE(SUBSTITUTE(SUBSTITUTE(B241,"*",""),"?",""),"~",""))&amp;"0"&amp;AH241&amp;RIGHT("00000"&amp;ROW(),5),IF('FALTAS GERAL'!$M$1="Falta (maior primeiro)","K"&amp;RIGHT("0000"&amp;(9999-E241),4)&amp;AH241&amp;RIGHT("00000"&amp;ROW(),5),IF('FALTAS GERAL'!$M$1="Nº de decks (maior primeiro)","K"&amp;RIGHT("00"&amp;(99-N(G241)),2)&amp;AH241&amp;RIGHT("00000"&amp;ROW(),5),"K"&amp;RIGHT("00000"&amp;ROW(),5))))))</f>
        <v/>
      </c>
      <c r="AJ241" s="11" t="str">
        <f aca="false">IF(AI241="","",COUNTIFS($AI$2:$AI$801,"&lt;"&amp;AI241,$E$2:$E$801,"&gt;0")+1)</f>
        <v/>
      </c>
      <c r="AK241" s="11" t="str">
        <f aca="false">IF(OR(A241="",N(E241)&lt;=0),"",COUNTIFS($AH$2:$AH$801,"&lt;"&amp;AH241,$E$2:$E$801,"&gt;0")+COUNTIFS($AH$2:AH241,AH241,$E$2:E241,"&gt;0"))</f>
        <v/>
      </c>
    </row>
    <row r="242" customFormat="false" ht="15" hidden="false" customHeight="false" outlineLevel="0" collapsed="false">
      <c r="A242" s="11" t="str">
        <f aca="false">IF(INVENTÁRIO!A242="","",INVENTÁRIO!A242)</f>
        <v/>
      </c>
      <c r="B242" s="11" t="str">
        <f aca="false">IF(A242="","",INVENTÁRIO!B242)</f>
        <v/>
      </c>
      <c r="C242" s="16" t="str">
        <f aca="false">IF(A242="","",INVENTÁRIO!C242)</f>
        <v/>
      </c>
      <c r="D242" s="14" t="str">
        <f aca="false">IF(A242="","",MAX(K242:AD242))</f>
        <v/>
      </c>
      <c r="E242" s="14" t="str">
        <f aca="false">IF(A242="","",MAX(0,D242-C242))</f>
        <v/>
      </c>
      <c r="F242" s="16" t="str">
        <f aca="false">IF(A242="","",IF(D242=0,"Fora dos decks",IF(E242=0,"Completo","Falta")))</f>
        <v/>
      </c>
      <c r="G242" s="16" t="str">
        <f aca="false">IF(A242="","",COUNTIF(K242:AD242,"&gt;0"))</f>
        <v/>
      </c>
      <c r="H242" s="16" t="str">
        <f aca="false">IF(A242="","",IF(G242&gt;1,"Sim",""))</f>
        <v/>
      </c>
      <c r="I242" s="18" t="str">
        <f aca="false">IF(A242="","",SUMIFS(DECKS!$D$2:$D$1201,DECKS!$B$2:$B$1201,A242))</f>
        <v/>
      </c>
      <c r="J242" s="18" t="str">
        <f aca="false">IF(A242="","",MAX(0,I242-C242))</f>
        <v/>
      </c>
      <c r="K242" s="19" t="str">
        <f aca="false">IF(OR($A242="",INDEX(_LEITURA!$Q$2:$Q$21,1)=0),"",SUMIFS(DECKS!$D$2:$D$1201,DECKS!$A$2:$A$1201,INDEX(_LEITURA!$P$2:$P$21,1),DECKS!$B$2:$B$1201,$A242))</f>
        <v/>
      </c>
      <c r="L242" s="19" t="str">
        <f aca="false">IF(OR($A242="",INDEX(_LEITURA!$Q$2:$Q$21,2)=0),"",SUMIFS(DECKS!$D$2:$D$1201,DECKS!$A$2:$A$1201,INDEX(_LEITURA!$P$2:$P$21,2),DECKS!$B$2:$B$1201,$A242))</f>
        <v/>
      </c>
      <c r="M242" s="19" t="str">
        <f aca="false">IF(OR($A242="",INDEX(_LEITURA!$Q$2:$Q$21,3)=0),"",SUMIFS(DECKS!$D$2:$D$1201,DECKS!$A$2:$A$1201,INDEX(_LEITURA!$P$2:$P$21,3),DECKS!$B$2:$B$1201,$A242))</f>
        <v/>
      </c>
      <c r="N242" s="19" t="str">
        <f aca="false">IF(OR($A242="",INDEX(_LEITURA!$Q$2:$Q$21,4)=0),"",SUMIFS(DECKS!$D$2:$D$1201,DECKS!$A$2:$A$1201,INDEX(_LEITURA!$P$2:$P$21,4),DECKS!$B$2:$B$1201,$A242))</f>
        <v/>
      </c>
      <c r="O242" s="19" t="str">
        <f aca="false">IF(OR($A242="",INDEX(_LEITURA!$Q$2:$Q$21,5)=0),"",SUMIFS(DECKS!$D$2:$D$1201,DECKS!$A$2:$A$1201,INDEX(_LEITURA!$P$2:$P$21,5),DECKS!$B$2:$B$1201,$A242))</f>
        <v/>
      </c>
      <c r="P242" s="19" t="str">
        <f aca="false">IF(OR($A242="",INDEX(_LEITURA!$Q$2:$Q$21,6)=0),"",SUMIFS(DECKS!$D$2:$D$1201,DECKS!$A$2:$A$1201,INDEX(_LEITURA!$P$2:$P$21,6),DECKS!$B$2:$B$1201,$A242))</f>
        <v/>
      </c>
      <c r="Q242" s="19" t="str">
        <f aca="false">IF(OR($A242="",INDEX(_LEITURA!$Q$2:$Q$21,7)=0),"",SUMIFS(DECKS!$D$2:$D$1201,DECKS!$A$2:$A$1201,INDEX(_LEITURA!$P$2:$P$21,7),DECKS!$B$2:$B$1201,$A242))</f>
        <v/>
      </c>
      <c r="R242" s="19" t="str">
        <f aca="false">IF(OR($A242="",INDEX(_LEITURA!$Q$2:$Q$21,8)=0),"",SUMIFS(DECKS!$D$2:$D$1201,DECKS!$A$2:$A$1201,INDEX(_LEITURA!$P$2:$P$21,8),DECKS!$B$2:$B$1201,$A242))</f>
        <v/>
      </c>
      <c r="S242" s="19" t="str">
        <f aca="false">IF(OR($A242="",INDEX(_LEITURA!$Q$2:$Q$21,9)=0),"",SUMIFS(DECKS!$D$2:$D$1201,DECKS!$A$2:$A$1201,INDEX(_LEITURA!$P$2:$P$21,9),DECKS!$B$2:$B$1201,$A242))</f>
        <v/>
      </c>
      <c r="T242" s="19" t="str">
        <f aca="false">IF(OR($A242="",INDEX(_LEITURA!$Q$2:$Q$21,10)=0),"",SUMIFS(DECKS!$D$2:$D$1201,DECKS!$A$2:$A$1201,INDEX(_LEITURA!$P$2:$P$21,10),DECKS!$B$2:$B$1201,$A242))</f>
        <v/>
      </c>
      <c r="U242" s="19" t="str">
        <f aca="false">IF(OR($A242="",INDEX(_LEITURA!$Q$2:$Q$21,11)=0),"",SUMIFS(DECKS!$D$2:$D$1201,DECKS!$A$2:$A$1201,INDEX(_LEITURA!$P$2:$P$21,11),DECKS!$B$2:$B$1201,$A242))</f>
        <v/>
      </c>
      <c r="V242" s="19" t="str">
        <f aca="false">IF(OR($A242="",INDEX(_LEITURA!$Q$2:$Q$21,12)=0),"",SUMIFS(DECKS!$D$2:$D$1201,DECKS!$A$2:$A$1201,INDEX(_LEITURA!$P$2:$P$21,12),DECKS!$B$2:$B$1201,$A242))</f>
        <v/>
      </c>
      <c r="W242" s="19" t="str">
        <f aca="false">IF(OR($A242="",INDEX(_LEITURA!$Q$2:$Q$21,13)=0),"",SUMIFS(DECKS!$D$2:$D$1201,DECKS!$A$2:$A$1201,INDEX(_LEITURA!$P$2:$P$21,13),DECKS!$B$2:$B$1201,$A242))</f>
        <v/>
      </c>
      <c r="X242" s="19" t="str">
        <f aca="false">IF(OR($A242="",INDEX(_LEITURA!$Q$2:$Q$21,14)=0),"",SUMIFS(DECKS!$D$2:$D$1201,DECKS!$A$2:$A$1201,INDEX(_LEITURA!$P$2:$P$21,14),DECKS!$B$2:$B$1201,$A242))</f>
        <v/>
      </c>
      <c r="Y242" s="19" t="str">
        <f aca="false">IF(OR($A242="",INDEX(_LEITURA!$Q$2:$Q$21,15)=0),"",SUMIFS(DECKS!$D$2:$D$1201,DECKS!$A$2:$A$1201,INDEX(_LEITURA!$P$2:$P$21,15),DECKS!$B$2:$B$1201,$A242))</f>
        <v/>
      </c>
      <c r="Z242" s="19" t="str">
        <f aca="false">IF(OR($A242="",INDEX(_LEITURA!$Q$2:$Q$21,16)=0),"",SUMIFS(DECKS!$D$2:$D$1201,DECKS!$A$2:$A$1201,INDEX(_LEITURA!$P$2:$P$21,16),DECKS!$B$2:$B$1201,$A242))</f>
        <v/>
      </c>
      <c r="AA242" s="19" t="str">
        <f aca="false">IF(OR($A242="",INDEX(_LEITURA!$Q$2:$Q$21,17)=0),"",SUMIFS(DECKS!$D$2:$D$1201,DECKS!$A$2:$A$1201,INDEX(_LEITURA!$P$2:$P$21,17),DECKS!$B$2:$B$1201,$A242))</f>
        <v/>
      </c>
      <c r="AB242" s="19" t="str">
        <f aca="false">IF(OR($A242="",INDEX(_LEITURA!$Q$2:$Q$21,18)=0),"",SUMIFS(DECKS!$D$2:$D$1201,DECKS!$A$2:$A$1201,INDEX(_LEITURA!$P$2:$P$21,18),DECKS!$B$2:$B$1201,$A242))</f>
        <v/>
      </c>
      <c r="AC242" s="19" t="str">
        <f aca="false">IF(OR($A242="",INDEX(_LEITURA!$Q$2:$Q$21,19)=0),"",SUMIFS(DECKS!$D$2:$D$1201,DECKS!$A$2:$A$1201,INDEX(_LEITURA!$P$2:$P$21,19),DECKS!$B$2:$B$1201,$A242))</f>
        <v/>
      </c>
      <c r="AD242" s="19" t="str">
        <f aca="false">IF(OR($A242="",INDEX(_LEITURA!$Q$2:$Q$21,20)=0),"",SUMIFS(DECKS!$D$2:$D$1201,DECKS!$A$2:$A$1201,INDEX(_LEITURA!$P$2:$P$21,20),DECKS!$B$2:$B$1201,$A242))</f>
        <v/>
      </c>
      <c r="AE242" s="16" t="str">
        <f aca="false">IF(N(E242)&gt;0,MAX(AE$1:AE241)+1,"")</f>
        <v/>
      </c>
      <c r="AF242" s="11" t="str">
        <f aca="false">IF(A242="","",IFERROR(LEFT(A242,FIND("-",A242)-1),A242))</f>
        <v/>
      </c>
      <c r="AG242" s="11" t="str">
        <f aca="false">IF(AF242="","",IF(ISNUMBER(--MID(AF242,1,1)),0,IF(ISNUMBER(--MID(AF242,2,1)),1,IF(ISNUMBER(--MID(AF242,3,1)),2,IF(ISNUMBER(--MID(AF242,4,1)),3,MIN(LEN(AF242),4))))))</f>
        <v/>
      </c>
      <c r="AH242" s="11" t="str">
        <f aca="false">IF(A242="","",LEFT(AF242,AG242)&amp;REPT("0",4-AG242)&amp;RIGHT("000"&amp;IFERROR(VALUE(MID(AF242,AG242+1,9)),0),3)&amp;RIGHT("0000"&amp;IFERROR(VALUE(MID(A242,FIND("-",A242)+1,9)),0),4))</f>
        <v/>
      </c>
      <c r="AI242" s="11" t="str">
        <f aca="false">IF(OR(A242="",N(E242)&lt;=0),"",IF('FALTAS GERAL'!$M$1="Código","K"&amp;AH242&amp;RIGHT("00000"&amp;ROW(),5),IF('FALTAS GERAL'!$M$1="Nome","K"&amp;UPPER(SUBSTITUTE(SUBSTITUTE(SUBSTITUTE(B242,"*",""),"?",""),"~",""))&amp;"0"&amp;AH242&amp;RIGHT("00000"&amp;ROW(),5),IF('FALTAS GERAL'!$M$1="Falta (maior primeiro)","K"&amp;RIGHT("0000"&amp;(9999-E242),4)&amp;AH242&amp;RIGHT("00000"&amp;ROW(),5),IF('FALTAS GERAL'!$M$1="Nº de decks (maior primeiro)","K"&amp;RIGHT("00"&amp;(99-N(G242)),2)&amp;AH242&amp;RIGHT("00000"&amp;ROW(),5),"K"&amp;RIGHT("00000"&amp;ROW(),5))))))</f>
        <v/>
      </c>
      <c r="AJ242" s="11" t="str">
        <f aca="false">IF(AI242="","",COUNTIFS($AI$2:$AI$801,"&lt;"&amp;AI242,$E$2:$E$801,"&gt;0")+1)</f>
        <v/>
      </c>
      <c r="AK242" s="11" t="str">
        <f aca="false">IF(OR(A242="",N(E242)&lt;=0),"",COUNTIFS($AH$2:$AH$801,"&lt;"&amp;AH242,$E$2:$E$801,"&gt;0")+COUNTIFS($AH$2:AH242,AH242,$E$2:E242,"&gt;0"))</f>
        <v/>
      </c>
    </row>
    <row r="243" customFormat="false" ht="15" hidden="false" customHeight="false" outlineLevel="0" collapsed="false">
      <c r="A243" s="11" t="str">
        <f aca="false">IF(INVENTÁRIO!A243="","",INVENTÁRIO!A243)</f>
        <v/>
      </c>
      <c r="B243" s="11" t="str">
        <f aca="false">IF(A243="","",INVENTÁRIO!B243)</f>
        <v/>
      </c>
      <c r="C243" s="16" t="str">
        <f aca="false">IF(A243="","",INVENTÁRIO!C243)</f>
        <v/>
      </c>
      <c r="D243" s="14" t="str">
        <f aca="false">IF(A243="","",MAX(K243:AD243))</f>
        <v/>
      </c>
      <c r="E243" s="14" t="str">
        <f aca="false">IF(A243="","",MAX(0,D243-C243))</f>
        <v/>
      </c>
      <c r="F243" s="16" t="str">
        <f aca="false">IF(A243="","",IF(D243=0,"Fora dos decks",IF(E243=0,"Completo","Falta")))</f>
        <v/>
      </c>
      <c r="G243" s="16" t="str">
        <f aca="false">IF(A243="","",COUNTIF(K243:AD243,"&gt;0"))</f>
        <v/>
      </c>
      <c r="H243" s="16" t="str">
        <f aca="false">IF(A243="","",IF(G243&gt;1,"Sim",""))</f>
        <v/>
      </c>
      <c r="I243" s="18" t="str">
        <f aca="false">IF(A243="","",SUMIFS(DECKS!$D$2:$D$1201,DECKS!$B$2:$B$1201,A243))</f>
        <v/>
      </c>
      <c r="J243" s="18" t="str">
        <f aca="false">IF(A243="","",MAX(0,I243-C243))</f>
        <v/>
      </c>
      <c r="K243" s="19" t="str">
        <f aca="false">IF(OR($A243="",INDEX(_LEITURA!$Q$2:$Q$21,1)=0),"",SUMIFS(DECKS!$D$2:$D$1201,DECKS!$A$2:$A$1201,INDEX(_LEITURA!$P$2:$P$21,1),DECKS!$B$2:$B$1201,$A243))</f>
        <v/>
      </c>
      <c r="L243" s="19" t="str">
        <f aca="false">IF(OR($A243="",INDEX(_LEITURA!$Q$2:$Q$21,2)=0),"",SUMIFS(DECKS!$D$2:$D$1201,DECKS!$A$2:$A$1201,INDEX(_LEITURA!$P$2:$P$21,2),DECKS!$B$2:$B$1201,$A243))</f>
        <v/>
      </c>
      <c r="M243" s="19" t="str">
        <f aca="false">IF(OR($A243="",INDEX(_LEITURA!$Q$2:$Q$21,3)=0),"",SUMIFS(DECKS!$D$2:$D$1201,DECKS!$A$2:$A$1201,INDEX(_LEITURA!$P$2:$P$21,3),DECKS!$B$2:$B$1201,$A243))</f>
        <v/>
      </c>
      <c r="N243" s="19" t="str">
        <f aca="false">IF(OR($A243="",INDEX(_LEITURA!$Q$2:$Q$21,4)=0),"",SUMIFS(DECKS!$D$2:$D$1201,DECKS!$A$2:$A$1201,INDEX(_LEITURA!$P$2:$P$21,4),DECKS!$B$2:$B$1201,$A243))</f>
        <v/>
      </c>
      <c r="O243" s="19" t="str">
        <f aca="false">IF(OR($A243="",INDEX(_LEITURA!$Q$2:$Q$21,5)=0),"",SUMIFS(DECKS!$D$2:$D$1201,DECKS!$A$2:$A$1201,INDEX(_LEITURA!$P$2:$P$21,5),DECKS!$B$2:$B$1201,$A243))</f>
        <v/>
      </c>
      <c r="P243" s="19" t="str">
        <f aca="false">IF(OR($A243="",INDEX(_LEITURA!$Q$2:$Q$21,6)=0),"",SUMIFS(DECKS!$D$2:$D$1201,DECKS!$A$2:$A$1201,INDEX(_LEITURA!$P$2:$P$21,6),DECKS!$B$2:$B$1201,$A243))</f>
        <v/>
      </c>
      <c r="Q243" s="19" t="str">
        <f aca="false">IF(OR($A243="",INDEX(_LEITURA!$Q$2:$Q$21,7)=0),"",SUMIFS(DECKS!$D$2:$D$1201,DECKS!$A$2:$A$1201,INDEX(_LEITURA!$P$2:$P$21,7),DECKS!$B$2:$B$1201,$A243))</f>
        <v/>
      </c>
      <c r="R243" s="19" t="str">
        <f aca="false">IF(OR($A243="",INDEX(_LEITURA!$Q$2:$Q$21,8)=0),"",SUMIFS(DECKS!$D$2:$D$1201,DECKS!$A$2:$A$1201,INDEX(_LEITURA!$P$2:$P$21,8),DECKS!$B$2:$B$1201,$A243))</f>
        <v/>
      </c>
      <c r="S243" s="19" t="str">
        <f aca="false">IF(OR($A243="",INDEX(_LEITURA!$Q$2:$Q$21,9)=0),"",SUMIFS(DECKS!$D$2:$D$1201,DECKS!$A$2:$A$1201,INDEX(_LEITURA!$P$2:$P$21,9),DECKS!$B$2:$B$1201,$A243))</f>
        <v/>
      </c>
      <c r="T243" s="19" t="str">
        <f aca="false">IF(OR($A243="",INDEX(_LEITURA!$Q$2:$Q$21,10)=0),"",SUMIFS(DECKS!$D$2:$D$1201,DECKS!$A$2:$A$1201,INDEX(_LEITURA!$P$2:$P$21,10),DECKS!$B$2:$B$1201,$A243))</f>
        <v/>
      </c>
      <c r="U243" s="19" t="str">
        <f aca="false">IF(OR($A243="",INDEX(_LEITURA!$Q$2:$Q$21,11)=0),"",SUMIFS(DECKS!$D$2:$D$1201,DECKS!$A$2:$A$1201,INDEX(_LEITURA!$P$2:$P$21,11),DECKS!$B$2:$B$1201,$A243))</f>
        <v/>
      </c>
      <c r="V243" s="19" t="str">
        <f aca="false">IF(OR($A243="",INDEX(_LEITURA!$Q$2:$Q$21,12)=0),"",SUMIFS(DECKS!$D$2:$D$1201,DECKS!$A$2:$A$1201,INDEX(_LEITURA!$P$2:$P$21,12),DECKS!$B$2:$B$1201,$A243))</f>
        <v/>
      </c>
      <c r="W243" s="19" t="str">
        <f aca="false">IF(OR($A243="",INDEX(_LEITURA!$Q$2:$Q$21,13)=0),"",SUMIFS(DECKS!$D$2:$D$1201,DECKS!$A$2:$A$1201,INDEX(_LEITURA!$P$2:$P$21,13),DECKS!$B$2:$B$1201,$A243))</f>
        <v/>
      </c>
      <c r="X243" s="19" t="str">
        <f aca="false">IF(OR($A243="",INDEX(_LEITURA!$Q$2:$Q$21,14)=0),"",SUMIFS(DECKS!$D$2:$D$1201,DECKS!$A$2:$A$1201,INDEX(_LEITURA!$P$2:$P$21,14),DECKS!$B$2:$B$1201,$A243))</f>
        <v/>
      </c>
      <c r="Y243" s="19" t="str">
        <f aca="false">IF(OR($A243="",INDEX(_LEITURA!$Q$2:$Q$21,15)=0),"",SUMIFS(DECKS!$D$2:$D$1201,DECKS!$A$2:$A$1201,INDEX(_LEITURA!$P$2:$P$21,15),DECKS!$B$2:$B$1201,$A243))</f>
        <v/>
      </c>
      <c r="Z243" s="19" t="str">
        <f aca="false">IF(OR($A243="",INDEX(_LEITURA!$Q$2:$Q$21,16)=0),"",SUMIFS(DECKS!$D$2:$D$1201,DECKS!$A$2:$A$1201,INDEX(_LEITURA!$P$2:$P$21,16),DECKS!$B$2:$B$1201,$A243))</f>
        <v/>
      </c>
      <c r="AA243" s="19" t="str">
        <f aca="false">IF(OR($A243="",INDEX(_LEITURA!$Q$2:$Q$21,17)=0),"",SUMIFS(DECKS!$D$2:$D$1201,DECKS!$A$2:$A$1201,INDEX(_LEITURA!$P$2:$P$21,17),DECKS!$B$2:$B$1201,$A243))</f>
        <v/>
      </c>
      <c r="AB243" s="19" t="str">
        <f aca="false">IF(OR($A243="",INDEX(_LEITURA!$Q$2:$Q$21,18)=0),"",SUMIFS(DECKS!$D$2:$D$1201,DECKS!$A$2:$A$1201,INDEX(_LEITURA!$P$2:$P$21,18),DECKS!$B$2:$B$1201,$A243))</f>
        <v/>
      </c>
      <c r="AC243" s="19" t="str">
        <f aca="false">IF(OR($A243="",INDEX(_LEITURA!$Q$2:$Q$21,19)=0),"",SUMIFS(DECKS!$D$2:$D$1201,DECKS!$A$2:$A$1201,INDEX(_LEITURA!$P$2:$P$21,19),DECKS!$B$2:$B$1201,$A243))</f>
        <v/>
      </c>
      <c r="AD243" s="19" t="str">
        <f aca="false">IF(OR($A243="",INDEX(_LEITURA!$Q$2:$Q$21,20)=0),"",SUMIFS(DECKS!$D$2:$D$1201,DECKS!$A$2:$A$1201,INDEX(_LEITURA!$P$2:$P$21,20),DECKS!$B$2:$B$1201,$A243))</f>
        <v/>
      </c>
      <c r="AE243" s="16" t="str">
        <f aca="false">IF(N(E243)&gt;0,MAX(AE$1:AE242)+1,"")</f>
        <v/>
      </c>
      <c r="AF243" s="11" t="str">
        <f aca="false">IF(A243="","",IFERROR(LEFT(A243,FIND("-",A243)-1),A243))</f>
        <v/>
      </c>
      <c r="AG243" s="11" t="str">
        <f aca="false">IF(AF243="","",IF(ISNUMBER(--MID(AF243,1,1)),0,IF(ISNUMBER(--MID(AF243,2,1)),1,IF(ISNUMBER(--MID(AF243,3,1)),2,IF(ISNUMBER(--MID(AF243,4,1)),3,MIN(LEN(AF243),4))))))</f>
        <v/>
      </c>
      <c r="AH243" s="11" t="str">
        <f aca="false">IF(A243="","",LEFT(AF243,AG243)&amp;REPT("0",4-AG243)&amp;RIGHT("000"&amp;IFERROR(VALUE(MID(AF243,AG243+1,9)),0),3)&amp;RIGHT("0000"&amp;IFERROR(VALUE(MID(A243,FIND("-",A243)+1,9)),0),4))</f>
        <v/>
      </c>
      <c r="AI243" s="11" t="str">
        <f aca="false">IF(OR(A243="",N(E243)&lt;=0),"",IF('FALTAS GERAL'!$M$1="Código","K"&amp;AH243&amp;RIGHT("00000"&amp;ROW(),5),IF('FALTAS GERAL'!$M$1="Nome","K"&amp;UPPER(SUBSTITUTE(SUBSTITUTE(SUBSTITUTE(B243,"*",""),"?",""),"~",""))&amp;"0"&amp;AH243&amp;RIGHT("00000"&amp;ROW(),5),IF('FALTAS GERAL'!$M$1="Falta (maior primeiro)","K"&amp;RIGHT("0000"&amp;(9999-E243),4)&amp;AH243&amp;RIGHT("00000"&amp;ROW(),5),IF('FALTAS GERAL'!$M$1="Nº de decks (maior primeiro)","K"&amp;RIGHT("00"&amp;(99-N(G243)),2)&amp;AH243&amp;RIGHT("00000"&amp;ROW(),5),"K"&amp;RIGHT("00000"&amp;ROW(),5))))))</f>
        <v/>
      </c>
      <c r="AJ243" s="11" t="str">
        <f aca="false">IF(AI243="","",COUNTIFS($AI$2:$AI$801,"&lt;"&amp;AI243,$E$2:$E$801,"&gt;0")+1)</f>
        <v/>
      </c>
      <c r="AK243" s="11" t="str">
        <f aca="false">IF(OR(A243="",N(E243)&lt;=0),"",COUNTIFS($AH$2:$AH$801,"&lt;"&amp;AH243,$E$2:$E$801,"&gt;0")+COUNTIFS($AH$2:AH243,AH243,$E$2:E243,"&gt;0"))</f>
        <v/>
      </c>
    </row>
    <row r="244" customFormat="false" ht="15" hidden="false" customHeight="false" outlineLevel="0" collapsed="false">
      <c r="A244" s="11" t="str">
        <f aca="false">IF(INVENTÁRIO!A244="","",INVENTÁRIO!A244)</f>
        <v/>
      </c>
      <c r="B244" s="11" t="str">
        <f aca="false">IF(A244="","",INVENTÁRIO!B244)</f>
        <v/>
      </c>
      <c r="C244" s="16" t="str">
        <f aca="false">IF(A244="","",INVENTÁRIO!C244)</f>
        <v/>
      </c>
      <c r="D244" s="14" t="str">
        <f aca="false">IF(A244="","",MAX(K244:AD244))</f>
        <v/>
      </c>
      <c r="E244" s="14" t="str">
        <f aca="false">IF(A244="","",MAX(0,D244-C244))</f>
        <v/>
      </c>
      <c r="F244" s="16" t="str">
        <f aca="false">IF(A244="","",IF(D244=0,"Fora dos decks",IF(E244=0,"Completo","Falta")))</f>
        <v/>
      </c>
      <c r="G244" s="16" t="str">
        <f aca="false">IF(A244="","",COUNTIF(K244:AD244,"&gt;0"))</f>
        <v/>
      </c>
      <c r="H244" s="16" t="str">
        <f aca="false">IF(A244="","",IF(G244&gt;1,"Sim",""))</f>
        <v/>
      </c>
      <c r="I244" s="18" t="str">
        <f aca="false">IF(A244="","",SUMIFS(DECKS!$D$2:$D$1201,DECKS!$B$2:$B$1201,A244))</f>
        <v/>
      </c>
      <c r="J244" s="18" t="str">
        <f aca="false">IF(A244="","",MAX(0,I244-C244))</f>
        <v/>
      </c>
      <c r="K244" s="19" t="str">
        <f aca="false">IF(OR($A244="",INDEX(_LEITURA!$Q$2:$Q$21,1)=0),"",SUMIFS(DECKS!$D$2:$D$1201,DECKS!$A$2:$A$1201,INDEX(_LEITURA!$P$2:$P$21,1),DECKS!$B$2:$B$1201,$A244))</f>
        <v/>
      </c>
      <c r="L244" s="19" t="str">
        <f aca="false">IF(OR($A244="",INDEX(_LEITURA!$Q$2:$Q$21,2)=0),"",SUMIFS(DECKS!$D$2:$D$1201,DECKS!$A$2:$A$1201,INDEX(_LEITURA!$P$2:$P$21,2),DECKS!$B$2:$B$1201,$A244))</f>
        <v/>
      </c>
      <c r="M244" s="19" t="str">
        <f aca="false">IF(OR($A244="",INDEX(_LEITURA!$Q$2:$Q$21,3)=0),"",SUMIFS(DECKS!$D$2:$D$1201,DECKS!$A$2:$A$1201,INDEX(_LEITURA!$P$2:$P$21,3),DECKS!$B$2:$B$1201,$A244))</f>
        <v/>
      </c>
      <c r="N244" s="19" t="str">
        <f aca="false">IF(OR($A244="",INDEX(_LEITURA!$Q$2:$Q$21,4)=0),"",SUMIFS(DECKS!$D$2:$D$1201,DECKS!$A$2:$A$1201,INDEX(_LEITURA!$P$2:$P$21,4),DECKS!$B$2:$B$1201,$A244))</f>
        <v/>
      </c>
      <c r="O244" s="19" t="str">
        <f aca="false">IF(OR($A244="",INDEX(_LEITURA!$Q$2:$Q$21,5)=0),"",SUMIFS(DECKS!$D$2:$D$1201,DECKS!$A$2:$A$1201,INDEX(_LEITURA!$P$2:$P$21,5),DECKS!$B$2:$B$1201,$A244))</f>
        <v/>
      </c>
      <c r="P244" s="19" t="str">
        <f aca="false">IF(OR($A244="",INDEX(_LEITURA!$Q$2:$Q$21,6)=0),"",SUMIFS(DECKS!$D$2:$D$1201,DECKS!$A$2:$A$1201,INDEX(_LEITURA!$P$2:$P$21,6),DECKS!$B$2:$B$1201,$A244))</f>
        <v/>
      </c>
      <c r="Q244" s="19" t="str">
        <f aca="false">IF(OR($A244="",INDEX(_LEITURA!$Q$2:$Q$21,7)=0),"",SUMIFS(DECKS!$D$2:$D$1201,DECKS!$A$2:$A$1201,INDEX(_LEITURA!$P$2:$P$21,7),DECKS!$B$2:$B$1201,$A244))</f>
        <v/>
      </c>
      <c r="R244" s="19" t="str">
        <f aca="false">IF(OR($A244="",INDEX(_LEITURA!$Q$2:$Q$21,8)=0),"",SUMIFS(DECKS!$D$2:$D$1201,DECKS!$A$2:$A$1201,INDEX(_LEITURA!$P$2:$P$21,8),DECKS!$B$2:$B$1201,$A244))</f>
        <v/>
      </c>
      <c r="S244" s="19" t="str">
        <f aca="false">IF(OR($A244="",INDEX(_LEITURA!$Q$2:$Q$21,9)=0),"",SUMIFS(DECKS!$D$2:$D$1201,DECKS!$A$2:$A$1201,INDEX(_LEITURA!$P$2:$P$21,9),DECKS!$B$2:$B$1201,$A244))</f>
        <v/>
      </c>
      <c r="T244" s="19" t="str">
        <f aca="false">IF(OR($A244="",INDEX(_LEITURA!$Q$2:$Q$21,10)=0),"",SUMIFS(DECKS!$D$2:$D$1201,DECKS!$A$2:$A$1201,INDEX(_LEITURA!$P$2:$P$21,10),DECKS!$B$2:$B$1201,$A244))</f>
        <v/>
      </c>
      <c r="U244" s="19" t="str">
        <f aca="false">IF(OR($A244="",INDEX(_LEITURA!$Q$2:$Q$21,11)=0),"",SUMIFS(DECKS!$D$2:$D$1201,DECKS!$A$2:$A$1201,INDEX(_LEITURA!$P$2:$P$21,11),DECKS!$B$2:$B$1201,$A244))</f>
        <v/>
      </c>
      <c r="V244" s="19" t="str">
        <f aca="false">IF(OR($A244="",INDEX(_LEITURA!$Q$2:$Q$21,12)=0),"",SUMIFS(DECKS!$D$2:$D$1201,DECKS!$A$2:$A$1201,INDEX(_LEITURA!$P$2:$P$21,12),DECKS!$B$2:$B$1201,$A244))</f>
        <v/>
      </c>
      <c r="W244" s="19" t="str">
        <f aca="false">IF(OR($A244="",INDEX(_LEITURA!$Q$2:$Q$21,13)=0),"",SUMIFS(DECKS!$D$2:$D$1201,DECKS!$A$2:$A$1201,INDEX(_LEITURA!$P$2:$P$21,13),DECKS!$B$2:$B$1201,$A244))</f>
        <v/>
      </c>
      <c r="X244" s="19" t="str">
        <f aca="false">IF(OR($A244="",INDEX(_LEITURA!$Q$2:$Q$21,14)=0),"",SUMIFS(DECKS!$D$2:$D$1201,DECKS!$A$2:$A$1201,INDEX(_LEITURA!$P$2:$P$21,14),DECKS!$B$2:$B$1201,$A244))</f>
        <v/>
      </c>
      <c r="Y244" s="19" t="str">
        <f aca="false">IF(OR($A244="",INDEX(_LEITURA!$Q$2:$Q$21,15)=0),"",SUMIFS(DECKS!$D$2:$D$1201,DECKS!$A$2:$A$1201,INDEX(_LEITURA!$P$2:$P$21,15),DECKS!$B$2:$B$1201,$A244))</f>
        <v/>
      </c>
      <c r="Z244" s="19" t="str">
        <f aca="false">IF(OR($A244="",INDEX(_LEITURA!$Q$2:$Q$21,16)=0),"",SUMIFS(DECKS!$D$2:$D$1201,DECKS!$A$2:$A$1201,INDEX(_LEITURA!$P$2:$P$21,16),DECKS!$B$2:$B$1201,$A244))</f>
        <v/>
      </c>
      <c r="AA244" s="19" t="str">
        <f aca="false">IF(OR($A244="",INDEX(_LEITURA!$Q$2:$Q$21,17)=0),"",SUMIFS(DECKS!$D$2:$D$1201,DECKS!$A$2:$A$1201,INDEX(_LEITURA!$P$2:$P$21,17),DECKS!$B$2:$B$1201,$A244))</f>
        <v/>
      </c>
      <c r="AB244" s="19" t="str">
        <f aca="false">IF(OR($A244="",INDEX(_LEITURA!$Q$2:$Q$21,18)=0),"",SUMIFS(DECKS!$D$2:$D$1201,DECKS!$A$2:$A$1201,INDEX(_LEITURA!$P$2:$P$21,18),DECKS!$B$2:$B$1201,$A244))</f>
        <v/>
      </c>
      <c r="AC244" s="19" t="str">
        <f aca="false">IF(OR($A244="",INDEX(_LEITURA!$Q$2:$Q$21,19)=0),"",SUMIFS(DECKS!$D$2:$D$1201,DECKS!$A$2:$A$1201,INDEX(_LEITURA!$P$2:$P$21,19),DECKS!$B$2:$B$1201,$A244))</f>
        <v/>
      </c>
      <c r="AD244" s="19" t="str">
        <f aca="false">IF(OR($A244="",INDEX(_LEITURA!$Q$2:$Q$21,20)=0),"",SUMIFS(DECKS!$D$2:$D$1201,DECKS!$A$2:$A$1201,INDEX(_LEITURA!$P$2:$P$21,20),DECKS!$B$2:$B$1201,$A244))</f>
        <v/>
      </c>
      <c r="AE244" s="16" t="str">
        <f aca="false">IF(N(E244)&gt;0,MAX(AE$1:AE243)+1,"")</f>
        <v/>
      </c>
      <c r="AF244" s="11" t="str">
        <f aca="false">IF(A244="","",IFERROR(LEFT(A244,FIND("-",A244)-1),A244))</f>
        <v/>
      </c>
      <c r="AG244" s="11" t="str">
        <f aca="false">IF(AF244="","",IF(ISNUMBER(--MID(AF244,1,1)),0,IF(ISNUMBER(--MID(AF244,2,1)),1,IF(ISNUMBER(--MID(AF244,3,1)),2,IF(ISNUMBER(--MID(AF244,4,1)),3,MIN(LEN(AF244),4))))))</f>
        <v/>
      </c>
      <c r="AH244" s="11" t="str">
        <f aca="false">IF(A244="","",LEFT(AF244,AG244)&amp;REPT("0",4-AG244)&amp;RIGHT("000"&amp;IFERROR(VALUE(MID(AF244,AG244+1,9)),0),3)&amp;RIGHT("0000"&amp;IFERROR(VALUE(MID(A244,FIND("-",A244)+1,9)),0),4))</f>
        <v/>
      </c>
      <c r="AI244" s="11" t="str">
        <f aca="false">IF(OR(A244="",N(E244)&lt;=0),"",IF('FALTAS GERAL'!$M$1="Código","K"&amp;AH244&amp;RIGHT("00000"&amp;ROW(),5),IF('FALTAS GERAL'!$M$1="Nome","K"&amp;UPPER(SUBSTITUTE(SUBSTITUTE(SUBSTITUTE(B244,"*",""),"?",""),"~",""))&amp;"0"&amp;AH244&amp;RIGHT("00000"&amp;ROW(),5),IF('FALTAS GERAL'!$M$1="Falta (maior primeiro)","K"&amp;RIGHT("0000"&amp;(9999-E244),4)&amp;AH244&amp;RIGHT("00000"&amp;ROW(),5),IF('FALTAS GERAL'!$M$1="Nº de decks (maior primeiro)","K"&amp;RIGHT("00"&amp;(99-N(G244)),2)&amp;AH244&amp;RIGHT("00000"&amp;ROW(),5),"K"&amp;RIGHT("00000"&amp;ROW(),5))))))</f>
        <v/>
      </c>
      <c r="AJ244" s="11" t="str">
        <f aca="false">IF(AI244="","",COUNTIFS($AI$2:$AI$801,"&lt;"&amp;AI244,$E$2:$E$801,"&gt;0")+1)</f>
        <v/>
      </c>
      <c r="AK244" s="11" t="str">
        <f aca="false">IF(OR(A244="",N(E244)&lt;=0),"",COUNTIFS($AH$2:$AH$801,"&lt;"&amp;AH244,$E$2:$E$801,"&gt;0")+COUNTIFS($AH$2:AH244,AH244,$E$2:E244,"&gt;0"))</f>
        <v/>
      </c>
    </row>
    <row r="245" customFormat="false" ht="15" hidden="false" customHeight="false" outlineLevel="0" collapsed="false">
      <c r="A245" s="11" t="str">
        <f aca="false">IF(INVENTÁRIO!A245="","",INVENTÁRIO!A245)</f>
        <v/>
      </c>
      <c r="B245" s="11" t="str">
        <f aca="false">IF(A245="","",INVENTÁRIO!B245)</f>
        <v/>
      </c>
      <c r="C245" s="16" t="str">
        <f aca="false">IF(A245="","",INVENTÁRIO!C245)</f>
        <v/>
      </c>
      <c r="D245" s="14" t="str">
        <f aca="false">IF(A245="","",MAX(K245:AD245))</f>
        <v/>
      </c>
      <c r="E245" s="14" t="str">
        <f aca="false">IF(A245="","",MAX(0,D245-C245))</f>
        <v/>
      </c>
      <c r="F245" s="16" t="str">
        <f aca="false">IF(A245="","",IF(D245=0,"Fora dos decks",IF(E245=0,"Completo","Falta")))</f>
        <v/>
      </c>
      <c r="G245" s="16" t="str">
        <f aca="false">IF(A245="","",COUNTIF(K245:AD245,"&gt;0"))</f>
        <v/>
      </c>
      <c r="H245" s="16" t="str">
        <f aca="false">IF(A245="","",IF(G245&gt;1,"Sim",""))</f>
        <v/>
      </c>
      <c r="I245" s="18" t="str">
        <f aca="false">IF(A245="","",SUMIFS(DECKS!$D$2:$D$1201,DECKS!$B$2:$B$1201,A245))</f>
        <v/>
      </c>
      <c r="J245" s="18" t="str">
        <f aca="false">IF(A245="","",MAX(0,I245-C245))</f>
        <v/>
      </c>
      <c r="K245" s="19" t="str">
        <f aca="false">IF(OR($A245="",INDEX(_LEITURA!$Q$2:$Q$21,1)=0),"",SUMIFS(DECKS!$D$2:$D$1201,DECKS!$A$2:$A$1201,INDEX(_LEITURA!$P$2:$P$21,1),DECKS!$B$2:$B$1201,$A245))</f>
        <v/>
      </c>
      <c r="L245" s="19" t="str">
        <f aca="false">IF(OR($A245="",INDEX(_LEITURA!$Q$2:$Q$21,2)=0),"",SUMIFS(DECKS!$D$2:$D$1201,DECKS!$A$2:$A$1201,INDEX(_LEITURA!$P$2:$P$21,2),DECKS!$B$2:$B$1201,$A245))</f>
        <v/>
      </c>
      <c r="M245" s="19" t="str">
        <f aca="false">IF(OR($A245="",INDEX(_LEITURA!$Q$2:$Q$21,3)=0),"",SUMIFS(DECKS!$D$2:$D$1201,DECKS!$A$2:$A$1201,INDEX(_LEITURA!$P$2:$P$21,3),DECKS!$B$2:$B$1201,$A245))</f>
        <v/>
      </c>
      <c r="N245" s="19" t="str">
        <f aca="false">IF(OR($A245="",INDEX(_LEITURA!$Q$2:$Q$21,4)=0),"",SUMIFS(DECKS!$D$2:$D$1201,DECKS!$A$2:$A$1201,INDEX(_LEITURA!$P$2:$P$21,4),DECKS!$B$2:$B$1201,$A245))</f>
        <v/>
      </c>
      <c r="O245" s="19" t="str">
        <f aca="false">IF(OR($A245="",INDEX(_LEITURA!$Q$2:$Q$21,5)=0),"",SUMIFS(DECKS!$D$2:$D$1201,DECKS!$A$2:$A$1201,INDEX(_LEITURA!$P$2:$P$21,5),DECKS!$B$2:$B$1201,$A245))</f>
        <v/>
      </c>
      <c r="P245" s="19" t="str">
        <f aca="false">IF(OR($A245="",INDEX(_LEITURA!$Q$2:$Q$21,6)=0),"",SUMIFS(DECKS!$D$2:$D$1201,DECKS!$A$2:$A$1201,INDEX(_LEITURA!$P$2:$P$21,6),DECKS!$B$2:$B$1201,$A245))</f>
        <v/>
      </c>
      <c r="Q245" s="19" t="str">
        <f aca="false">IF(OR($A245="",INDEX(_LEITURA!$Q$2:$Q$21,7)=0),"",SUMIFS(DECKS!$D$2:$D$1201,DECKS!$A$2:$A$1201,INDEX(_LEITURA!$P$2:$P$21,7),DECKS!$B$2:$B$1201,$A245))</f>
        <v/>
      </c>
      <c r="R245" s="19" t="str">
        <f aca="false">IF(OR($A245="",INDEX(_LEITURA!$Q$2:$Q$21,8)=0),"",SUMIFS(DECKS!$D$2:$D$1201,DECKS!$A$2:$A$1201,INDEX(_LEITURA!$P$2:$P$21,8),DECKS!$B$2:$B$1201,$A245))</f>
        <v/>
      </c>
      <c r="S245" s="19" t="str">
        <f aca="false">IF(OR($A245="",INDEX(_LEITURA!$Q$2:$Q$21,9)=0),"",SUMIFS(DECKS!$D$2:$D$1201,DECKS!$A$2:$A$1201,INDEX(_LEITURA!$P$2:$P$21,9),DECKS!$B$2:$B$1201,$A245))</f>
        <v/>
      </c>
      <c r="T245" s="19" t="str">
        <f aca="false">IF(OR($A245="",INDEX(_LEITURA!$Q$2:$Q$21,10)=0),"",SUMIFS(DECKS!$D$2:$D$1201,DECKS!$A$2:$A$1201,INDEX(_LEITURA!$P$2:$P$21,10),DECKS!$B$2:$B$1201,$A245))</f>
        <v/>
      </c>
      <c r="U245" s="19" t="str">
        <f aca="false">IF(OR($A245="",INDEX(_LEITURA!$Q$2:$Q$21,11)=0),"",SUMIFS(DECKS!$D$2:$D$1201,DECKS!$A$2:$A$1201,INDEX(_LEITURA!$P$2:$P$21,11),DECKS!$B$2:$B$1201,$A245))</f>
        <v/>
      </c>
      <c r="V245" s="19" t="str">
        <f aca="false">IF(OR($A245="",INDEX(_LEITURA!$Q$2:$Q$21,12)=0),"",SUMIFS(DECKS!$D$2:$D$1201,DECKS!$A$2:$A$1201,INDEX(_LEITURA!$P$2:$P$21,12),DECKS!$B$2:$B$1201,$A245))</f>
        <v/>
      </c>
      <c r="W245" s="19" t="str">
        <f aca="false">IF(OR($A245="",INDEX(_LEITURA!$Q$2:$Q$21,13)=0),"",SUMIFS(DECKS!$D$2:$D$1201,DECKS!$A$2:$A$1201,INDEX(_LEITURA!$P$2:$P$21,13),DECKS!$B$2:$B$1201,$A245))</f>
        <v/>
      </c>
      <c r="X245" s="19" t="str">
        <f aca="false">IF(OR($A245="",INDEX(_LEITURA!$Q$2:$Q$21,14)=0),"",SUMIFS(DECKS!$D$2:$D$1201,DECKS!$A$2:$A$1201,INDEX(_LEITURA!$P$2:$P$21,14),DECKS!$B$2:$B$1201,$A245))</f>
        <v/>
      </c>
      <c r="Y245" s="19" t="str">
        <f aca="false">IF(OR($A245="",INDEX(_LEITURA!$Q$2:$Q$21,15)=0),"",SUMIFS(DECKS!$D$2:$D$1201,DECKS!$A$2:$A$1201,INDEX(_LEITURA!$P$2:$P$21,15),DECKS!$B$2:$B$1201,$A245))</f>
        <v/>
      </c>
      <c r="Z245" s="19" t="str">
        <f aca="false">IF(OR($A245="",INDEX(_LEITURA!$Q$2:$Q$21,16)=0),"",SUMIFS(DECKS!$D$2:$D$1201,DECKS!$A$2:$A$1201,INDEX(_LEITURA!$P$2:$P$21,16),DECKS!$B$2:$B$1201,$A245))</f>
        <v/>
      </c>
      <c r="AA245" s="19" t="str">
        <f aca="false">IF(OR($A245="",INDEX(_LEITURA!$Q$2:$Q$21,17)=0),"",SUMIFS(DECKS!$D$2:$D$1201,DECKS!$A$2:$A$1201,INDEX(_LEITURA!$P$2:$P$21,17),DECKS!$B$2:$B$1201,$A245))</f>
        <v/>
      </c>
      <c r="AB245" s="19" t="str">
        <f aca="false">IF(OR($A245="",INDEX(_LEITURA!$Q$2:$Q$21,18)=0),"",SUMIFS(DECKS!$D$2:$D$1201,DECKS!$A$2:$A$1201,INDEX(_LEITURA!$P$2:$P$21,18),DECKS!$B$2:$B$1201,$A245))</f>
        <v/>
      </c>
      <c r="AC245" s="19" t="str">
        <f aca="false">IF(OR($A245="",INDEX(_LEITURA!$Q$2:$Q$21,19)=0),"",SUMIFS(DECKS!$D$2:$D$1201,DECKS!$A$2:$A$1201,INDEX(_LEITURA!$P$2:$P$21,19),DECKS!$B$2:$B$1201,$A245))</f>
        <v/>
      </c>
      <c r="AD245" s="19" t="str">
        <f aca="false">IF(OR($A245="",INDEX(_LEITURA!$Q$2:$Q$21,20)=0),"",SUMIFS(DECKS!$D$2:$D$1201,DECKS!$A$2:$A$1201,INDEX(_LEITURA!$P$2:$P$21,20),DECKS!$B$2:$B$1201,$A245))</f>
        <v/>
      </c>
      <c r="AE245" s="16" t="str">
        <f aca="false">IF(N(E245)&gt;0,MAX(AE$1:AE244)+1,"")</f>
        <v/>
      </c>
      <c r="AF245" s="11" t="str">
        <f aca="false">IF(A245="","",IFERROR(LEFT(A245,FIND("-",A245)-1),A245))</f>
        <v/>
      </c>
      <c r="AG245" s="11" t="str">
        <f aca="false">IF(AF245="","",IF(ISNUMBER(--MID(AF245,1,1)),0,IF(ISNUMBER(--MID(AF245,2,1)),1,IF(ISNUMBER(--MID(AF245,3,1)),2,IF(ISNUMBER(--MID(AF245,4,1)),3,MIN(LEN(AF245),4))))))</f>
        <v/>
      </c>
      <c r="AH245" s="11" t="str">
        <f aca="false">IF(A245="","",LEFT(AF245,AG245)&amp;REPT("0",4-AG245)&amp;RIGHT("000"&amp;IFERROR(VALUE(MID(AF245,AG245+1,9)),0),3)&amp;RIGHT("0000"&amp;IFERROR(VALUE(MID(A245,FIND("-",A245)+1,9)),0),4))</f>
        <v/>
      </c>
      <c r="AI245" s="11" t="str">
        <f aca="false">IF(OR(A245="",N(E245)&lt;=0),"",IF('FALTAS GERAL'!$M$1="Código","K"&amp;AH245&amp;RIGHT("00000"&amp;ROW(),5),IF('FALTAS GERAL'!$M$1="Nome","K"&amp;UPPER(SUBSTITUTE(SUBSTITUTE(SUBSTITUTE(B245,"*",""),"?",""),"~",""))&amp;"0"&amp;AH245&amp;RIGHT("00000"&amp;ROW(),5),IF('FALTAS GERAL'!$M$1="Falta (maior primeiro)","K"&amp;RIGHT("0000"&amp;(9999-E245),4)&amp;AH245&amp;RIGHT("00000"&amp;ROW(),5),IF('FALTAS GERAL'!$M$1="Nº de decks (maior primeiro)","K"&amp;RIGHT("00"&amp;(99-N(G245)),2)&amp;AH245&amp;RIGHT("00000"&amp;ROW(),5),"K"&amp;RIGHT("00000"&amp;ROW(),5))))))</f>
        <v/>
      </c>
      <c r="AJ245" s="11" t="str">
        <f aca="false">IF(AI245="","",COUNTIFS($AI$2:$AI$801,"&lt;"&amp;AI245,$E$2:$E$801,"&gt;0")+1)</f>
        <v/>
      </c>
      <c r="AK245" s="11" t="str">
        <f aca="false">IF(OR(A245="",N(E245)&lt;=0),"",COUNTIFS($AH$2:$AH$801,"&lt;"&amp;AH245,$E$2:$E$801,"&gt;0")+COUNTIFS($AH$2:AH245,AH245,$E$2:E245,"&gt;0"))</f>
        <v/>
      </c>
    </row>
    <row r="246" customFormat="false" ht="15" hidden="false" customHeight="false" outlineLevel="0" collapsed="false">
      <c r="A246" s="11" t="str">
        <f aca="false">IF(INVENTÁRIO!A246="","",INVENTÁRIO!A246)</f>
        <v/>
      </c>
      <c r="B246" s="11" t="str">
        <f aca="false">IF(A246="","",INVENTÁRIO!B246)</f>
        <v/>
      </c>
      <c r="C246" s="16" t="str">
        <f aca="false">IF(A246="","",INVENTÁRIO!C246)</f>
        <v/>
      </c>
      <c r="D246" s="14" t="str">
        <f aca="false">IF(A246="","",MAX(K246:AD246))</f>
        <v/>
      </c>
      <c r="E246" s="14" t="str">
        <f aca="false">IF(A246="","",MAX(0,D246-C246))</f>
        <v/>
      </c>
      <c r="F246" s="16" t="str">
        <f aca="false">IF(A246="","",IF(D246=0,"Fora dos decks",IF(E246=0,"Completo","Falta")))</f>
        <v/>
      </c>
      <c r="G246" s="16" t="str">
        <f aca="false">IF(A246="","",COUNTIF(K246:AD246,"&gt;0"))</f>
        <v/>
      </c>
      <c r="H246" s="16" t="str">
        <f aca="false">IF(A246="","",IF(G246&gt;1,"Sim",""))</f>
        <v/>
      </c>
      <c r="I246" s="18" t="str">
        <f aca="false">IF(A246="","",SUMIFS(DECKS!$D$2:$D$1201,DECKS!$B$2:$B$1201,A246))</f>
        <v/>
      </c>
      <c r="J246" s="18" t="str">
        <f aca="false">IF(A246="","",MAX(0,I246-C246))</f>
        <v/>
      </c>
      <c r="K246" s="19" t="str">
        <f aca="false">IF(OR($A246="",INDEX(_LEITURA!$Q$2:$Q$21,1)=0),"",SUMIFS(DECKS!$D$2:$D$1201,DECKS!$A$2:$A$1201,INDEX(_LEITURA!$P$2:$P$21,1),DECKS!$B$2:$B$1201,$A246))</f>
        <v/>
      </c>
      <c r="L246" s="19" t="str">
        <f aca="false">IF(OR($A246="",INDEX(_LEITURA!$Q$2:$Q$21,2)=0),"",SUMIFS(DECKS!$D$2:$D$1201,DECKS!$A$2:$A$1201,INDEX(_LEITURA!$P$2:$P$21,2),DECKS!$B$2:$B$1201,$A246))</f>
        <v/>
      </c>
      <c r="M246" s="19" t="str">
        <f aca="false">IF(OR($A246="",INDEX(_LEITURA!$Q$2:$Q$21,3)=0),"",SUMIFS(DECKS!$D$2:$D$1201,DECKS!$A$2:$A$1201,INDEX(_LEITURA!$P$2:$P$21,3),DECKS!$B$2:$B$1201,$A246))</f>
        <v/>
      </c>
      <c r="N246" s="19" t="str">
        <f aca="false">IF(OR($A246="",INDEX(_LEITURA!$Q$2:$Q$21,4)=0),"",SUMIFS(DECKS!$D$2:$D$1201,DECKS!$A$2:$A$1201,INDEX(_LEITURA!$P$2:$P$21,4),DECKS!$B$2:$B$1201,$A246))</f>
        <v/>
      </c>
      <c r="O246" s="19" t="str">
        <f aca="false">IF(OR($A246="",INDEX(_LEITURA!$Q$2:$Q$21,5)=0),"",SUMIFS(DECKS!$D$2:$D$1201,DECKS!$A$2:$A$1201,INDEX(_LEITURA!$P$2:$P$21,5),DECKS!$B$2:$B$1201,$A246))</f>
        <v/>
      </c>
      <c r="P246" s="19" t="str">
        <f aca="false">IF(OR($A246="",INDEX(_LEITURA!$Q$2:$Q$21,6)=0),"",SUMIFS(DECKS!$D$2:$D$1201,DECKS!$A$2:$A$1201,INDEX(_LEITURA!$P$2:$P$21,6),DECKS!$B$2:$B$1201,$A246))</f>
        <v/>
      </c>
      <c r="Q246" s="19" t="str">
        <f aca="false">IF(OR($A246="",INDEX(_LEITURA!$Q$2:$Q$21,7)=0),"",SUMIFS(DECKS!$D$2:$D$1201,DECKS!$A$2:$A$1201,INDEX(_LEITURA!$P$2:$P$21,7),DECKS!$B$2:$B$1201,$A246))</f>
        <v/>
      </c>
      <c r="R246" s="19" t="str">
        <f aca="false">IF(OR($A246="",INDEX(_LEITURA!$Q$2:$Q$21,8)=0),"",SUMIFS(DECKS!$D$2:$D$1201,DECKS!$A$2:$A$1201,INDEX(_LEITURA!$P$2:$P$21,8),DECKS!$B$2:$B$1201,$A246))</f>
        <v/>
      </c>
      <c r="S246" s="19" t="str">
        <f aca="false">IF(OR($A246="",INDEX(_LEITURA!$Q$2:$Q$21,9)=0),"",SUMIFS(DECKS!$D$2:$D$1201,DECKS!$A$2:$A$1201,INDEX(_LEITURA!$P$2:$P$21,9),DECKS!$B$2:$B$1201,$A246))</f>
        <v/>
      </c>
      <c r="T246" s="19" t="str">
        <f aca="false">IF(OR($A246="",INDEX(_LEITURA!$Q$2:$Q$21,10)=0),"",SUMIFS(DECKS!$D$2:$D$1201,DECKS!$A$2:$A$1201,INDEX(_LEITURA!$P$2:$P$21,10),DECKS!$B$2:$B$1201,$A246))</f>
        <v/>
      </c>
      <c r="U246" s="19" t="str">
        <f aca="false">IF(OR($A246="",INDEX(_LEITURA!$Q$2:$Q$21,11)=0),"",SUMIFS(DECKS!$D$2:$D$1201,DECKS!$A$2:$A$1201,INDEX(_LEITURA!$P$2:$P$21,11),DECKS!$B$2:$B$1201,$A246))</f>
        <v/>
      </c>
      <c r="V246" s="19" t="str">
        <f aca="false">IF(OR($A246="",INDEX(_LEITURA!$Q$2:$Q$21,12)=0),"",SUMIFS(DECKS!$D$2:$D$1201,DECKS!$A$2:$A$1201,INDEX(_LEITURA!$P$2:$P$21,12),DECKS!$B$2:$B$1201,$A246))</f>
        <v/>
      </c>
      <c r="W246" s="19" t="str">
        <f aca="false">IF(OR($A246="",INDEX(_LEITURA!$Q$2:$Q$21,13)=0),"",SUMIFS(DECKS!$D$2:$D$1201,DECKS!$A$2:$A$1201,INDEX(_LEITURA!$P$2:$P$21,13),DECKS!$B$2:$B$1201,$A246))</f>
        <v/>
      </c>
      <c r="X246" s="19" t="str">
        <f aca="false">IF(OR($A246="",INDEX(_LEITURA!$Q$2:$Q$21,14)=0),"",SUMIFS(DECKS!$D$2:$D$1201,DECKS!$A$2:$A$1201,INDEX(_LEITURA!$P$2:$P$21,14),DECKS!$B$2:$B$1201,$A246))</f>
        <v/>
      </c>
      <c r="Y246" s="19" t="str">
        <f aca="false">IF(OR($A246="",INDEX(_LEITURA!$Q$2:$Q$21,15)=0),"",SUMIFS(DECKS!$D$2:$D$1201,DECKS!$A$2:$A$1201,INDEX(_LEITURA!$P$2:$P$21,15),DECKS!$B$2:$B$1201,$A246))</f>
        <v/>
      </c>
      <c r="Z246" s="19" t="str">
        <f aca="false">IF(OR($A246="",INDEX(_LEITURA!$Q$2:$Q$21,16)=0),"",SUMIFS(DECKS!$D$2:$D$1201,DECKS!$A$2:$A$1201,INDEX(_LEITURA!$P$2:$P$21,16),DECKS!$B$2:$B$1201,$A246))</f>
        <v/>
      </c>
      <c r="AA246" s="19" t="str">
        <f aca="false">IF(OR($A246="",INDEX(_LEITURA!$Q$2:$Q$21,17)=0),"",SUMIFS(DECKS!$D$2:$D$1201,DECKS!$A$2:$A$1201,INDEX(_LEITURA!$P$2:$P$21,17),DECKS!$B$2:$B$1201,$A246))</f>
        <v/>
      </c>
      <c r="AB246" s="19" t="str">
        <f aca="false">IF(OR($A246="",INDEX(_LEITURA!$Q$2:$Q$21,18)=0),"",SUMIFS(DECKS!$D$2:$D$1201,DECKS!$A$2:$A$1201,INDEX(_LEITURA!$P$2:$P$21,18),DECKS!$B$2:$B$1201,$A246))</f>
        <v/>
      </c>
      <c r="AC246" s="19" t="str">
        <f aca="false">IF(OR($A246="",INDEX(_LEITURA!$Q$2:$Q$21,19)=0),"",SUMIFS(DECKS!$D$2:$D$1201,DECKS!$A$2:$A$1201,INDEX(_LEITURA!$P$2:$P$21,19),DECKS!$B$2:$B$1201,$A246))</f>
        <v/>
      </c>
      <c r="AD246" s="19" t="str">
        <f aca="false">IF(OR($A246="",INDEX(_LEITURA!$Q$2:$Q$21,20)=0),"",SUMIFS(DECKS!$D$2:$D$1201,DECKS!$A$2:$A$1201,INDEX(_LEITURA!$P$2:$P$21,20),DECKS!$B$2:$B$1201,$A246))</f>
        <v/>
      </c>
      <c r="AE246" s="16" t="str">
        <f aca="false">IF(N(E246)&gt;0,MAX(AE$1:AE245)+1,"")</f>
        <v/>
      </c>
      <c r="AF246" s="11" t="str">
        <f aca="false">IF(A246="","",IFERROR(LEFT(A246,FIND("-",A246)-1),A246))</f>
        <v/>
      </c>
      <c r="AG246" s="11" t="str">
        <f aca="false">IF(AF246="","",IF(ISNUMBER(--MID(AF246,1,1)),0,IF(ISNUMBER(--MID(AF246,2,1)),1,IF(ISNUMBER(--MID(AF246,3,1)),2,IF(ISNUMBER(--MID(AF246,4,1)),3,MIN(LEN(AF246),4))))))</f>
        <v/>
      </c>
      <c r="AH246" s="11" t="str">
        <f aca="false">IF(A246="","",LEFT(AF246,AG246)&amp;REPT("0",4-AG246)&amp;RIGHT("000"&amp;IFERROR(VALUE(MID(AF246,AG246+1,9)),0),3)&amp;RIGHT("0000"&amp;IFERROR(VALUE(MID(A246,FIND("-",A246)+1,9)),0),4))</f>
        <v/>
      </c>
      <c r="AI246" s="11" t="str">
        <f aca="false">IF(OR(A246="",N(E246)&lt;=0),"",IF('FALTAS GERAL'!$M$1="Código","K"&amp;AH246&amp;RIGHT("00000"&amp;ROW(),5),IF('FALTAS GERAL'!$M$1="Nome","K"&amp;UPPER(SUBSTITUTE(SUBSTITUTE(SUBSTITUTE(B246,"*",""),"?",""),"~",""))&amp;"0"&amp;AH246&amp;RIGHT("00000"&amp;ROW(),5),IF('FALTAS GERAL'!$M$1="Falta (maior primeiro)","K"&amp;RIGHT("0000"&amp;(9999-E246),4)&amp;AH246&amp;RIGHT("00000"&amp;ROW(),5),IF('FALTAS GERAL'!$M$1="Nº de decks (maior primeiro)","K"&amp;RIGHT("00"&amp;(99-N(G246)),2)&amp;AH246&amp;RIGHT("00000"&amp;ROW(),5),"K"&amp;RIGHT("00000"&amp;ROW(),5))))))</f>
        <v/>
      </c>
      <c r="AJ246" s="11" t="str">
        <f aca="false">IF(AI246="","",COUNTIFS($AI$2:$AI$801,"&lt;"&amp;AI246,$E$2:$E$801,"&gt;0")+1)</f>
        <v/>
      </c>
      <c r="AK246" s="11" t="str">
        <f aca="false">IF(OR(A246="",N(E246)&lt;=0),"",COUNTIFS($AH$2:$AH$801,"&lt;"&amp;AH246,$E$2:$E$801,"&gt;0")+COUNTIFS($AH$2:AH246,AH246,$E$2:E246,"&gt;0"))</f>
        <v/>
      </c>
    </row>
    <row r="247" customFormat="false" ht="15" hidden="false" customHeight="false" outlineLevel="0" collapsed="false">
      <c r="A247" s="11" t="str">
        <f aca="false">IF(INVENTÁRIO!A247="","",INVENTÁRIO!A247)</f>
        <v/>
      </c>
      <c r="B247" s="11" t="str">
        <f aca="false">IF(A247="","",INVENTÁRIO!B247)</f>
        <v/>
      </c>
      <c r="C247" s="16" t="str">
        <f aca="false">IF(A247="","",INVENTÁRIO!C247)</f>
        <v/>
      </c>
      <c r="D247" s="14" t="str">
        <f aca="false">IF(A247="","",MAX(K247:AD247))</f>
        <v/>
      </c>
      <c r="E247" s="14" t="str">
        <f aca="false">IF(A247="","",MAX(0,D247-C247))</f>
        <v/>
      </c>
      <c r="F247" s="16" t="str">
        <f aca="false">IF(A247="","",IF(D247=0,"Fora dos decks",IF(E247=0,"Completo","Falta")))</f>
        <v/>
      </c>
      <c r="G247" s="16" t="str">
        <f aca="false">IF(A247="","",COUNTIF(K247:AD247,"&gt;0"))</f>
        <v/>
      </c>
      <c r="H247" s="16" t="str">
        <f aca="false">IF(A247="","",IF(G247&gt;1,"Sim",""))</f>
        <v/>
      </c>
      <c r="I247" s="18" t="str">
        <f aca="false">IF(A247="","",SUMIFS(DECKS!$D$2:$D$1201,DECKS!$B$2:$B$1201,A247))</f>
        <v/>
      </c>
      <c r="J247" s="18" t="str">
        <f aca="false">IF(A247="","",MAX(0,I247-C247))</f>
        <v/>
      </c>
      <c r="K247" s="19" t="str">
        <f aca="false">IF(OR($A247="",INDEX(_LEITURA!$Q$2:$Q$21,1)=0),"",SUMIFS(DECKS!$D$2:$D$1201,DECKS!$A$2:$A$1201,INDEX(_LEITURA!$P$2:$P$21,1),DECKS!$B$2:$B$1201,$A247))</f>
        <v/>
      </c>
      <c r="L247" s="19" t="str">
        <f aca="false">IF(OR($A247="",INDEX(_LEITURA!$Q$2:$Q$21,2)=0),"",SUMIFS(DECKS!$D$2:$D$1201,DECKS!$A$2:$A$1201,INDEX(_LEITURA!$P$2:$P$21,2),DECKS!$B$2:$B$1201,$A247))</f>
        <v/>
      </c>
      <c r="M247" s="19" t="str">
        <f aca="false">IF(OR($A247="",INDEX(_LEITURA!$Q$2:$Q$21,3)=0),"",SUMIFS(DECKS!$D$2:$D$1201,DECKS!$A$2:$A$1201,INDEX(_LEITURA!$P$2:$P$21,3),DECKS!$B$2:$B$1201,$A247))</f>
        <v/>
      </c>
      <c r="N247" s="19" t="str">
        <f aca="false">IF(OR($A247="",INDEX(_LEITURA!$Q$2:$Q$21,4)=0),"",SUMIFS(DECKS!$D$2:$D$1201,DECKS!$A$2:$A$1201,INDEX(_LEITURA!$P$2:$P$21,4),DECKS!$B$2:$B$1201,$A247))</f>
        <v/>
      </c>
      <c r="O247" s="19" t="str">
        <f aca="false">IF(OR($A247="",INDEX(_LEITURA!$Q$2:$Q$21,5)=0),"",SUMIFS(DECKS!$D$2:$D$1201,DECKS!$A$2:$A$1201,INDEX(_LEITURA!$P$2:$P$21,5),DECKS!$B$2:$B$1201,$A247))</f>
        <v/>
      </c>
      <c r="P247" s="19" t="str">
        <f aca="false">IF(OR($A247="",INDEX(_LEITURA!$Q$2:$Q$21,6)=0),"",SUMIFS(DECKS!$D$2:$D$1201,DECKS!$A$2:$A$1201,INDEX(_LEITURA!$P$2:$P$21,6),DECKS!$B$2:$B$1201,$A247))</f>
        <v/>
      </c>
      <c r="Q247" s="19" t="str">
        <f aca="false">IF(OR($A247="",INDEX(_LEITURA!$Q$2:$Q$21,7)=0),"",SUMIFS(DECKS!$D$2:$D$1201,DECKS!$A$2:$A$1201,INDEX(_LEITURA!$P$2:$P$21,7),DECKS!$B$2:$B$1201,$A247))</f>
        <v/>
      </c>
      <c r="R247" s="19" t="str">
        <f aca="false">IF(OR($A247="",INDEX(_LEITURA!$Q$2:$Q$21,8)=0),"",SUMIFS(DECKS!$D$2:$D$1201,DECKS!$A$2:$A$1201,INDEX(_LEITURA!$P$2:$P$21,8),DECKS!$B$2:$B$1201,$A247))</f>
        <v/>
      </c>
      <c r="S247" s="19" t="str">
        <f aca="false">IF(OR($A247="",INDEX(_LEITURA!$Q$2:$Q$21,9)=0),"",SUMIFS(DECKS!$D$2:$D$1201,DECKS!$A$2:$A$1201,INDEX(_LEITURA!$P$2:$P$21,9),DECKS!$B$2:$B$1201,$A247))</f>
        <v/>
      </c>
      <c r="T247" s="19" t="str">
        <f aca="false">IF(OR($A247="",INDEX(_LEITURA!$Q$2:$Q$21,10)=0),"",SUMIFS(DECKS!$D$2:$D$1201,DECKS!$A$2:$A$1201,INDEX(_LEITURA!$P$2:$P$21,10),DECKS!$B$2:$B$1201,$A247))</f>
        <v/>
      </c>
      <c r="U247" s="19" t="str">
        <f aca="false">IF(OR($A247="",INDEX(_LEITURA!$Q$2:$Q$21,11)=0),"",SUMIFS(DECKS!$D$2:$D$1201,DECKS!$A$2:$A$1201,INDEX(_LEITURA!$P$2:$P$21,11),DECKS!$B$2:$B$1201,$A247))</f>
        <v/>
      </c>
      <c r="V247" s="19" t="str">
        <f aca="false">IF(OR($A247="",INDEX(_LEITURA!$Q$2:$Q$21,12)=0),"",SUMIFS(DECKS!$D$2:$D$1201,DECKS!$A$2:$A$1201,INDEX(_LEITURA!$P$2:$P$21,12),DECKS!$B$2:$B$1201,$A247))</f>
        <v/>
      </c>
      <c r="W247" s="19" t="str">
        <f aca="false">IF(OR($A247="",INDEX(_LEITURA!$Q$2:$Q$21,13)=0),"",SUMIFS(DECKS!$D$2:$D$1201,DECKS!$A$2:$A$1201,INDEX(_LEITURA!$P$2:$P$21,13),DECKS!$B$2:$B$1201,$A247))</f>
        <v/>
      </c>
      <c r="X247" s="19" t="str">
        <f aca="false">IF(OR($A247="",INDEX(_LEITURA!$Q$2:$Q$21,14)=0),"",SUMIFS(DECKS!$D$2:$D$1201,DECKS!$A$2:$A$1201,INDEX(_LEITURA!$P$2:$P$21,14),DECKS!$B$2:$B$1201,$A247))</f>
        <v/>
      </c>
      <c r="Y247" s="19" t="str">
        <f aca="false">IF(OR($A247="",INDEX(_LEITURA!$Q$2:$Q$21,15)=0),"",SUMIFS(DECKS!$D$2:$D$1201,DECKS!$A$2:$A$1201,INDEX(_LEITURA!$P$2:$P$21,15),DECKS!$B$2:$B$1201,$A247))</f>
        <v/>
      </c>
      <c r="Z247" s="19" t="str">
        <f aca="false">IF(OR($A247="",INDEX(_LEITURA!$Q$2:$Q$21,16)=0),"",SUMIFS(DECKS!$D$2:$D$1201,DECKS!$A$2:$A$1201,INDEX(_LEITURA!$P$2:$P$21,16),DECKS!$B$2:$B$1201,$A247))</f>
        <v/>
      </c>
      <c r="AA247" s="19" t="str">
        <f aca="false">IF(OR($A247="",INDEX(_LEITURA!$Q$2:$Q$21,17)=0),"",SUMIFS(DECKS!$D$2:$D$1201,DECKS!$A$2:$A$1201,INDEX(_LEITURA!$P$2:$P$21,17),DECKS!$B$2:$B$1201,$A247))</f>
        <v/>
      </c>
      <c r="AB247" s="19" t="str">
        <f aca="false">IF(OR($A247="",INDEX(_LEITURA!$Q$2:$Q$21,18)=0),"",SUMIFS(DECKS!$D$2:$D$1201,DECKS!$A$2:$A$1201,INDEX(_LEITURA!$P$2:$P$21,18),DECKS!$B$2:$B$1201,$A247))</f>
        <v/>
      </c>
      <c r="AC247" s="19" t="str">
        <f aca="false">IF(OR($A247="",INDEX(_LEITURA!$Q$2:$Q$21,19)=0),"",SUMIFS(DECKS!$D$2:$D$1201,DECKS!$A$2:$A$1201,INDEX(_LEITURA!$P$2:$P$21,19),DECKS!$B$2:$B$1201,$A247))</f>
        <v/>
      </c>
      <c r="AD247" s="19" t="str">
        <f aca="false">IF(OR($A247="",INDEX(_LEITURA!$Q$2:$Q$21,20)=0),"",SUMIFS(DECKS!$D$2:$D$1201,DECKS!$A$2:$A$1201,INDEX(_LEITURA!$P$2:$P$21,20),DECKS!$B$2:$B$1201,$A247))</f>
        <v/>
      </c>
      <c r="AE247" s="16" t="str">
        <f aca="false">IF(N(E247)&gt;0,MAX(AE$1:AE246)+1,"")</f>
        <v/>
      </c>
      <c r="AF247" s="11" t="str">
        <f aca="false">IF(A247="","",IFERROR(LEFT(A247,FIND("-",A247)-1),A247))</f>
        <v/>
      </c>
      <c r="AG247" s="11" t="str">
        <f aca="false">IF(AF247="","",IF(ISNUMBER(--MID(AF247,1,1)),0,IF(ISNUMBER(--MID(AF247,2,1)),1,IF(ISNUMBER(--MID(AF247,3,1)),2,IF(ISNUMBER(--MID(AF247,4,1)),3,MIN(LEN(AF247),4))))))</f>
        <v/>
      </c>
      <c r="AH247" s="11" t="str">
        <f aca="false">IF(A247="","",LEFT(AF247,AG247)&amp;REPT("0",4-AG247)&amp;RIGHT("000"&amp;IFERROR(VALUE(MID(AF247,AG247+1,9)),0),3)&amp;RIGHT("0000"&amp;IFERROR(VALUE(MID(A247,FIND("-",A247)+1,9)),0),4))</f>
        <v/>
      </c>
      <c r="AI247" s="11" t="str">
        <f aca="false">IF(OR(A247="",N(E247)&lt;=0),"",IF('FALTAS GERAL'!$M$1="Código","K"&amp;AH247&amp;RIGHT("00000"&amp;ROW(),5),IF('FALTAS GERAL'!$M$1="Nome","K"&amp;UPPER(SUBSTITUTE(SUBSTITUTE(SUBSTITUTE(B247,"*",""),"?",""),"~",""))&amp;"0"&amp;AH247&amp;RIGHT("00000"&amp;ROW(),5),IF('FALTAS GERAL'!$M$1="Falta (maior primeiro)","K"&amp;RIGHT("0000"&amp;(9999-E247),4)&amp;AH247&amp;RIGHT("00000"&amp;ROW(),5),IF('FALTAS GERAL'!$M$1="Nº de decks (maior primeiro)","K"&amp;RIGHT("00"&amp;(99-N(G247)),2)&amp;AH247&amp;RIGHT("00000"&amp;ROW(),5),"K"&amp;RIGHT("00000"&amp;ROW(),5))))))</f>
        <v/>
      </c>
      <c r="AJ247" s="11" t="str">
        <f aca="false">IF(AI247="","",COUNTIFS($AI$2:$AI$801,"&lt;"&amp;AI247,$E$2:$E$801,"&gt;0")+1)</f>
        <v/>
      </c>
      <c r="AK247" s="11" t="str">
        <f aca="false">IF(OR(A247="",N(E247)&lt;=0),"",COUNTIFS($AH$2:$AH$801,"&lt;"&amp;AH247,$E$2:$E$801,"&gt;0")+COUNTIFS($AH$2:AH247,AH247,$E$2:E247,"&gt;0"))</f>
        <v/>
      </c>
    </row>
    <row r="248" customFormat="false" ht="15" hidden="false" customHeight="false" outlineLevel="0" collapsed="false">
      <c r="A248" s="11" t="str">
        <f aca="false">IF(INVENTÁRIO!A248="","",INVENTÁRIO!A248)</f>
        <v/>
      </c>
      <c r="B248" s="11" t="str">
        <f aca="false">IF(A248="","",INVENTÁRIO!B248)</f>
        <v/>
      </c>
      <c r="C248" s="16" t="str">
        <f aca="false">IF(A248="","",INVENTÁRIO!C248)</f>
        <v/>
      </c>
      <c r="D248" s="14" t="str">
        <f aca="false">IF(A248="","",MAX(K248:AD248))</f>
        <v/>
      </c>
      <c r="E248" s="14" t="str">
        <f aca="false">IF(A248="","",MAX(0,D248-C248))</f>
        <v/>
      </c>
      <c r="F248" s="16" t="str">
        <f aca="false">IF(A248="","",IF(D248=0,"Fora dos decks",IF(E248=0,"Completo","Falta")))</f>
        <v/>
      </c>
      <c r="G248" s="16" t="str">
        <f aca="false">IF(A248="","",COUNTIF(K248:AD248,"&gt;0"))</f>
        <v/>
      </c>
      <c r="H248" s="16" t="str">
        <f aca="false">IF(A248="","",IF(G248&gt;1,"Sim",""))</f>
        <v/>
      </c>
      <c r="I248" s="18" t="str">
        <f aca="false">IF(A248="","",SUMIFS(DECKS!$D$2:$D$1201,DECKS!$B$2:$B$1201,A248))</f>
        <v/>
      </c>
      <c r="J248" s="18" t="str">
        <f aca="false">IF(A248="","",MAX(0,I248-C248))</f>
        <v/>
      </c>
      <c r="K248" s="19" t="str">
        <f aca="false">IF(OR($A248="",INDEX(_LEITURA!$Q$2:$Q$21,1)=0),"",SUMIFS(DECKS!$D$2:$D$1201,DECKS!$A$2:$A$1201,INDEX(_LEITURA!$P$2:$P$21,1),DECKS!$B$2:$B$1201,$A248))</f>
        <v/>
      </c>
      <c r="L248" s="19" t="str">
        <f aca="false">IF(OR($A248="",INDEX(_LEITURA!$Q$2:$Q$21,2)=0),"",SUMIFS(DECKS!$D$2:$D$1201,DECKS!$A$2:$A$1201,INDEX(_LEITURA!$P$2:$P$21,2),DECKS!$B$2:$B$1201,$A248))</f>
        <v/>
      </c>
      <c r="M248" s="19" t="str">
        <f aca="false">IF(OR($A248="",INDEX(_LEITURA!$Q$2:$Q$21,3)=0),"",SUMIFS(DECKS!$D$2:$D$1201,DECKS!$A$2:$A$1201,INDEX(_LEITURA!$P$2:$P$21,3),DECKS!$B$2:$B$1201,$A248))</f>
        <v/>
      </c>
      <c r="N248" s="19" t="str">
        <f aca="false">IF(OR($A248="",INDEX(_LEITURA!$Q$2:$Q$21,4)=0),"",SUMIFS(DECKS!$D$2:$D$1201,DECKS!$A$2:$A$1201,INDEX(_LEITURA!$P$2:$P$21,4),DECKS!$B$2:$B$1201,$A248))</f>
        <v/>
      </c>
      <c r="O248" s="19" t="str">
        <f aca="false">IF(OR($A248="",INDEX(_LEITURA!$Q$2:$Q$21,5)=0),"",SUMIFS(DECKS!$D$2:$D$1201,DECKS!$A$2:$A$1201,INDEX(_LEITURA!$P$2:$P$21,5),DECKS!$B$2:$B$1201,$A248))</f>
        <v/>
      </c>
      <c r="P248" s="19" t="str">
        <f aca="false">IF(OR($A248="",INDEX(_LEITURA!$Q$2:$Q$21,6)=0),"",SUMIFS(DECKS!$D$2:$D$1201,DECKS!$A$2:$A$1201,INDEX(_LEITURA!$P$2:$P$21,6),DECKS!$B$2:$B$1201,$A248))</f>
        <v/>
      </c>
      <c r="Q248" s="19" t="str">
        <f aca="false">IF(OR($A248="",INDEX(_LEITURA!$Q$2:$Q$21,7)=0),"",SUMIFS(DECKS!$D$2:$D$1201,DECKS!$A$2:$A$1201,INDEX(_LEITURA!$P$2:$P$21,7),DECKS!$B$2:$B$1201,$A248))</f>
        <v/>
      </c>
      <c r="R248" s="19" t="str">
        <f aca="false">IF(OR($A248="",INDEX(_LEITURA!$Q$2:$Q$21,8)=0),"",SUMIFS(DECKS!$D$2:$D$1201,DECKS!$A$2:$A$1201,INDEX(_LEITURA!$P$2:$P$21,8),DECKS!$B$2:$B$1201,$A248))</f>
        <v/>
      </c>
      <c r="S248" s="19" t="str">
        <f aca="false">IF(OR($A248="",INDEX(_LEITURA!$Q$2:$Q$21,9)=0),"",SUMIFS(DECKS!$D$2:$D$1201,DECKS!$A$2:$A$1201,INDEX(_LEITURA!$P$2:$P$21,9),DECKS!$B$2:$B$1201,$A248))</f>
        <v/>
      </c>
      <c r="T248" s="19" t="str">
        <f aca="false">IF(OR($A248="",INDEX(_LEITURA!$Q$2:$Q$21,10)=0),"",SUMIFS(DECKS!$D$2:$D$1201,DECKS!$A$2:$A$1201,INDEX(_LEITURA!$P$2:$P$21,10),DECKS!$B$2:$B$1201,$A248))</f>
        <v/>
      </c>
      <c r="U248" s="19" t="str">
        <f aca="false">IF(OR($A248="",INDEX(_LEITURA!$Q$2:$Q$21,11)=0),"",SUMIFS(DECKS!$D$2:$D$1201,DECKS!$A$2:$A$1201,INDEX(_LEITURA!$P$2:$P$21,11),DECKS!$B$2:$B$1201,$A248))</f>
        <v/>
      </c>
      <c r="V248" s="19" t="str">
        <f aca="false">IF(OR($A248="",INDEX(_LEITURA!$Q$2:$Q$21,12)=0),"",SUMIFS(DECKS!$D$2:$D$1201,DECKS!$A$2:$A$1201,INDEX(_LEITURA!$P$2:$P$21,12),DECKS!$B$2:$B$1201,$A248))</f>
        <v/>
      </c>
      <c r="W248" s="19" t="str">
        <f aca="false">IF(OR($A248="",INDEX(_LEITURA!$Q$2:$Q$21,13)=0),"",SUMIFS(DECKS!$D$2:$D$1201,DECKS!$A$2:$A$1201,INDEX(_LEITURA!$P$2:$P$21,13),DECKS!$B$2:$B$1201,$A248))</f>
        <v/>
      </c>
      <c r="X248" s="19" t="str">
        <f aca="false">IF(OR($A248="",INDEX(_LEITURA!$Q$2:$Q$21,14)=0),"",SUMIFS(DECKS!$D$2:$D$1201,DECKS!$A$2:$A$1201,INDEX(_LEITURA!$P$2:$P$21,14),DECKS!$B$2:$B$1201,$A248))</f>
        <v/>
      </c>
      <c r="Y248" s="19" t="str">
        <f aca="false">IF(OR($A248="",INDEX(_LEITURA!$Q$2:$Q$21,15)=0),"",SUMIFS(DECKS!$D$2:$D$1201,DECKS!$A$2:$A$1201,INDEX(_LEITURA!$P$2:$P$21,15),DECKS!$B$2:$B$1201,$A248))</f>
        <v/>
      </c>
      <c r="Z248" s="19" t="str">
        <f aca="false">IF(OR($A248="",INDEX(_LEITURA!$Q$2:$Q$21,16)=0),"",SUMIFS(DECKS!$D$2:$D$1201,DECKS!$A$2:$A$1201,INDEX(_LEITURA!$P$2:$P$21,16),DECKS!$B$2:$B$1201,$A248))</f>
        <v/>
      </c>
      <c r="AA248" s="19" t="str">
        <f aca="false">IF(OR($A248="",INDEX(_LEITURA!$Q$2:$Q$21,17)=0),"",SUMIFS(DECKS!$D$2:$D$1201,DECKS!$A$2:$A$1201,INDEX(_LEITURA!$P$2:$P$21,17),DECKS!$B$2:$B$1201,$A248))</f>
        <v/>
      </c>
      <c r="AB248" s="19" t="str">
        <f aca="false">IF(OR($A248="",INDEX(_LEITURA!$Q$2:$Q$21,18)=0),"",SUMIFS(DECKS!$D$2:$D$1201,DECKS!$A$2:$A$1201,INDEX(_LEITURA!$P$2:$P$21,18),DECKS!$B$2:$B$1201,$A248))</f>
        <v/>
      </c>
      <c r="AC248" s="19" t="str">
        <f aca="false">IF(OR($A248="",INDEX(_LEITURA!$Q$2:$Q$21,19)=0),"",SUMIFS(DECKS!$D$2:$D$1201,DECKS!$A$2:$A$1201,INDEX(_LEITURA!$P$2:$P$21,19),DECKS!$B$2:$B$1201,$A248))</f>
        <v/>
      </c>
      <c r="AD248" s="19" t="str">
        <f aca="false">IF(OR($A248="",INDEX(_LEITURA!$Q$2:$Q$21,20)=0),"",SUMIFS(DECKS!$D$2:$D$1201,DECKS!$A$2:$A$1201,INDEX(_LEITURA!$P$2:$P$21,20),DECKS!$B$2:$B$1201,$A248))</f>
        <v/>
      </c>
      <c r="AE248" s="16" t="str">
        <f aca="false">IF(N(E248)&gt;0,MAX(AE$1:AE247)+1,"")</f>
        <v/>
      </c>
      <c r="AF248" s="11" t="str">
        <f aca="false">IF(A248="","",IFERROR(LEFT(A248,FIND("-",A248)-1),A248))</f>
        <v/>
      </c>
      <c r="AG248" s="11" t="str">
        <f aca="false">IF(AF248="","",IF(ISNUMBER(--MID(AF248,1,1)),0,IF(ISNUMBER(--MID(AF248,2,1)),1,IF(ISNUMBER(--MID(AF248,3,1)),2,IF(ISNUMBER(--MID(AF248,4,1)),3,MIN(LEN(AF248),4))))))</f>
        <v/>
      </c>
      <c r="AH248" s="11" t="str">
        <f aca="false">IF(A248="","",LEFT(AF248,AG248)&amp;REPT("0",4-AG248)&amp;RIGHT("000"&amp;IFERROR(VALUE(MID(AF248,AG248+1,9)),0),3)&amp;RIGHT("0000"&amp;IFERROR(VALUE(MID(A248,FIND("-",A248)+1,9)),0),4))</f>
        <v/>
      </c>
      <c r="AI248" s="11" t="str">
        <f aca="false">IF(OR(A248="",N(E248)&lt;=0),"",IF('FALTAS GERAL'!$M$1="Código","K"&amp;AH248&amp;RIGHT("00000"&amp;ROW(),5),IF('FALTAS GERAL'!$M$1="Nome","K"&amp;UPPER(SUBSTITUTE(SUBSTITUTE(SUBSTITUTE(B248,"*",""),"?",""),"~",""))&amp;"0"&amp;AH248&amp;RIGHT("00000"&amp;ROW(),5),IF('FALTAS GERAL'!$M$1="Falta (maior primeiro)","K"&amp;RIGHT("0000"&amp;(9999-E248),4)&amp;AH248&amp;RIGHT("00000"&amp;ROW(),5),IF('FALTAS GERAL'!$M$1="Nº de decks (maior primeiro)","K"&amp;RIGHT("00"&amp;(99-N(G248)),2)&amp;AH248&amp;RIGHT("00000"&amp;ROW(),5),"K"&amp;RIGHT("00000"&amp;ROW(),5))))))</f>
        <v/>
      </c>
      <c r="AJ248" s="11" t="str">
        <f aca="false">IF(AI248="","",COUNTIFS($AI$2:$AI$801,"&lt;"&amp;AI248,$E$2:$E$801,"&gt;0")+1)</f>
        <v/>
      </c>
      <c r="AK248" s="11" t="str">
        <f aca="false">IF(OR(A248="",N(E248)&lt;=0),"",COUNTIFS($AH$2:$AH$801,"&lt;"&amp;AH248,$E$2:$E$801,"&gt;0")+COUNTIFS($AH$2:AH248,AH248,$E$2:E248,"&gt;0"))</f>
        <v/>
      </c>
    </row>
    <row r="249" customFormat="false" ht="15" hidden="false" customHeight="false" outlineLevel="0" collapsed="false">
      <c r="A249" s="11" t="str">
        <f aca="false">IF(INVENTÁRIO!A249="","",INVENTÁRIO!A249)</f>
        <v/>
      </c>
      <c r="B249" s="11" t="str">
        <f aca="false">IF(A249="","",INVENTÁRIO!B249)</f>
        <v/>
      </c>
      <c r="C249" s="16" t="str">
        <f aca="false">IF(A249="","",INVENTÁRIO!C249)</f>
        <v/>
      </c>
      <c r="D249" s="14" t="str">
        <f aca="false">IF(A249="","",MAX(K249:AD249))</f>
        <v/>
      </c>
      <c r="E249" s="14" t="str">
        <f aca="false">IF(A249="","",MAX(0,D249-C249))</f>
        <v/>
      </c>
      <c r="F249" s="16" t="str">
        <f aca="false">IF(A249="","",IF(D249=0,"Fora dos decks",IF(E249=0,"Completo","Falta")))</f>
        <v/>
      </c>
      <c r="G249" s="16" t="str">
        <f aca="false">IF(A249="","",COUNTIF(K249:AD249,"&gt;0"))</f>
        <v/>
      </c>
      <c r="H249" s="16" t="str">
        <f aca="false">IF(A249="","",IF(G249&gt;1,"Sim",""))</f>
        <v/>
      </c>
      <c r="I249" s="18" t="str">
        <f aca="false">IF(A249="","",SUMIFS(DECKS!$D$2:$D$1201,DECKS!$B$2:$B$1201,A249))</f>
        <v/>
      </c>
      <c r="J249" s="18" t="str">
        <f aca="false">IF(A249="","",MAX(0,I249-C249))</f>
        <v/>
      </c>
      <c r="K249" s="19" t="str">
        <f aca="false">IF(OR($A249="",INDEX(_LEITURA!$Q$2:$Q$21,1)=0),"",SUMIFS(DECKS!$D$2:$D$1201,DECKS!$A$2:$A$1201,INDEX(_LEITURA!$P$2:$P$21,1),DECKS!$B$2:$B$1201,$A249))</f>
        <v/>
      </c>
      <c r="L249" s="19" t="str">
        <f aca="false">IF(OR($A249="",INDEX(_LEITURA!$Q$2:$Q$21,2)=0),"",SUMIFS(DECKS!$D$2:$D$1201,DECKS!$A$2:$A$1201,INDEX(_LEITURA!$P$2:$P$21,2),DECKS!$B$2:$B$1201,$A249))</f>
        <v/>
      </c>
      <c r="M249" s="19" t="str">
        <f aca="false">IF(OR($A249="",INDEX(_LEITURA!$Q$2:$Q$21,3)=0),"",SUMIFS(DECKS!$D$2:$D$1201,DECKS!$A$2:$A$1201,INDEX(_LEITURA!$P$2:$P$21,3),DECKS!$B$2:$B$1201,$A249))</f>
        <v/>
      </c>
      <c r="N249" s="19" t="str">
        <f aca="false">IF(OR($A249="",INDEX(_LEITURA!$Q$2:$Q$21,4)=0),"",SUMIFS(DECKS!$D$2:$D$1201,DECKS!$A$2:$A$1201,INDEX(_LEITURA!$P$2:$P$21,4),DECKS!$B$2:$B$1201,$A249))</f>
        <v/>
      </c>
      <c r="O249" s="19" t="str">
        <f aca="false">IF(OR($A249="",INDEX(_LEITURA!$Q$2:$Q$21,5)=0),"",SUMIFS(DECKS!$D$2:$D$1201,DECKS!$A$2:$A$1201,INDEX(_LEITURA!$P$2:$P$21,5),DECKS!$B$2:$B$1201,$A249))</f>
        <v/>
      </c>
      <c r="P249" s="19" t="str">
        <f aca="false">IF(OR($A249="",INDEX(_LEITURA!$Q$2:$Q$21,6)=0),"",SUMIFS(DECKS!$D$2:$D$1201,DECKS!$A$2:$A$1201,INDEX(_LEITURA!$P$2:$P$21,6),DECKS!$B$2:$B$1201,$A249))</f>
        <v/>
      </c>
      <c r="Q249" s="19" t="str">
        <f aca="false">IF(OR($A249="",INDEX(_LEITURA!$Q$2:$Q$21,7)=0),"",SUMIFS(DECKS!$D$2:$D$1201,DECKS!$A$2:$A$1201,INDEX(_LEITURA!$P$2:$P$21,7),DECKS!$B$2:$B$1201,$A249))</f>
        <v/>
      </c>
      <c r="R249" s="19" t="str">
        <f aca="false">IF(OR($A249="",INDEX(_LEITURA!$Q$2:$Q$21,8)=0),"",SUMIFS(DECKS!$D$2:$D$1201,DECKS!$A$2:$A$1201,INDEX(_LEITURA!$P$2:$P$21,8),DECKS!$B$2:$B$1201,$A249))</f>
        <v/>
      </c>
      <c r="S249" s="19" t="str">
        <f aca="false">IF(OR($A249="",INDEX(_LEITURA!$Q$2:$Q$21,9)=0),"",SUMIFS(DECKS!$D$2:$D$1201,DECKS!$A$2:$A$1201,INDEX(_LEITURA!$P$2:$P$21,9),DECKS!$B$2:$B$1201,$A249))</f>
        <v/>
      </c>
      <c r="T249" s="19" t="str">
        <f aca="false">IF(OR($A249="",INDEX(_LEITURA!$Q$2:$Q$21,10)=0),"",SUMIFS(DECKS!$D$2:$D$1201,DECKS!$A$2:$A$1201,INDEX(_LEITURA!$P$2:$P$21,10),DECKS!$B$2:$B$1201,$A249))</f>
        <v/>
      </c>
      <c r="U249" s="19" t="str">
        <f aca="false">IF(OR($A249="",INDEX(_LEITURA!$Q$2:$Q$21,11)=0),"",SUMIFS(DECKS!$D$2:$D$1201,DECKS!$A$2:$A$1201,INDEX(_LEITURA!$P$2:$P$21,11),DECKS!$B$2:$B$1201,$A249))</f>
        <v/>
      </c>
      <c r="V249" s="19" t="str">
        <f aca="false">IF(OR($A249="",INDEX(_LEITURA!$Q$2:$Q$21,12)=0),"",SUMIFS(DECKS!$D$2:$D$1201,DECKS!$A$2:$A$1201,INDEX(_LEITURA!$P$2:$P$21,12),DECKS!$B$2:$B$1201,$A249))</f>
        <v/>
      </c>
      <c r="W249" s="19" t="str">
        <f aca="false">IF(OR($A249="",INDEX(_LEITURA!$Q$2:$Q$21,13)=0),"",SUMIFS(DECKS!$D$2:$D$1201,DECKS!$A$2:$A$1201,INDEX(_LEITURA!$P$2:$P$21,13),DECKS!$B$2:$B$1201,$A249))</f>
        <v/>
      </c>
      <c r="X249" s="19" t="str">
        <f aca="false">IF(OR($A249="",INDEX(_LEITURA!$Q$2:$Q$21,14)=0),"",SUMIFS(DECKS!$D$2:$D$1201,DECKS!$A$2:$A$1201,INDEX(_LEITURA!$P$2:$P$21,14),DECKS!$B$2:$B$1201,$A249))</f>
        <v/>
      </c>
      <c r="Y249" s="19" t="str">
        <f aca="false">IF(OR($A249="",INDEX(_LEITURA!$Q$2:$Q$21,15)=0),"",SUMIFS(DECKS!$D$2:$D$1201,DECKS!$A$2:$A$1201,INDEX(_LEITURA!$P$2:$P$21,15),DECKS!$B$2:$B$1201,$A249))</f>
        <v/>
      </c>
      <c r="Z249" s="19" t="str">
        <f aca="false">IF(OR($A249="",INDEX(_LEITURA!$Q$2:$Q$21,16)=0),"",SUMIFS(DECKS!$D$2:$D$1201,DECKS!$A$2:$A$1201,INDEX(_LEITURA!$P$2:$P$21,16),DECKS!$B$2:$B$1201,$A249))</f>
        <v/>
      </c>
      <c r="AA249" s="19" t="str">
        <f aca="false">IF(OR($A249="",INDEX(_LEITURA!$Q$2:$Q$21,17)=0),"",SUMIFS(DECKS!$D$2:$D$1201,DECKS!$A$2:$A$1201,INDEX(_LEITURA!$P$2:$P$21,17),DECKS!$B$2:$B$1201,$A249))</f>
        <v/>
      </c>
      <c r="AB249" s="19" t="str">
        <f aca="false">IF(OR($A249="",INDEX(_LEITURA!$Q$2:$Q$21,18)=0),"",SUMIFS(DECKS!$D$2:$D$1201,DECKS!$A$2:$A$1201,INDEX(_LEITURA!$P$2:$P$21,18),DECKS!$B$2:$B$1201,$A249))</f>
        <v/>
      </c>
      <c r="AC249" s="19" t="str">
        <f aca="false">IF(OR($A249="",INDEX(_LEITURA!$Q$2:$Q$21,19)=0),"",SUMIFS(DECKS!$D$2:$D$1201,DECKS!$A$2:$A$1201,INDEX(_LEITURA!$P$2:$P$21,19),DECKS!$B$2:$B$1201,$A249))</f>
        <v/>
      </c>
      <c r="AD249" s="19" t="str">
        <f aca="false">IF(OR($A249="",INDEX(_LEITURA!$Q$2:$Q$21,20)=0),"",SUMIFS(DECKS!$D$2:$D$1201,DECKS!$A$2:$A$1201,INDEX(_LEITURA!$P$2:$P$21,20),DECKS!$B$2:$B$1201,$A249))</f>
        <v/>
      </c>
      <c r="AE249" s="16" t="str">
        <f aca="false">IF(N(E249)&gt;0,MAX(AE$1:AE248)+1,"")</f>
        <v/>
      </c>
      <c r="AF249" s="11" t="str">
        <f aca="false">IF(A249="","",IFERROR(LEFT(A249,FIND("-",A249)-1),A249))</f>
        <v/>
      </c>
      <c r="AG249" s="11" t="str">
        <f aca="false">IF(AF249="","",IF(ISNUMBER(--MID(AF249,1,1)),0,IF(ISNUMBER(--MID(AF249,2,1)),1,IF(ISNUMBER(--MID(AF249,3,1)),2,IF(ISNUMBER(--MID(AF249,4,1)),3,MIN(LEN(AF249),4))))))</f>
        <v/>
      </c>
      <c r="AH249" s="11" t="str">
        <f aca="false">IF(A249="","",LEFT(AF249,AG249)&amp;REPT("0",4-AG249)&amp;RIGHT("000"&amp;IFERROR(VALUE(MID(AF249,AG249+1,9)),0),3)&amp;RIGHT("0000"&amp;IFERROR(VALUE(MID(A249,FIND("-",A249)+1,9)),0),4))</f>
        <v/>
      </c>
      <c r="AI249" s="11" t="str">
        <f aca="false">IF(OR(A249="",N(E249)&lt;=0),"",IF('FALTAS GERAL'!$M$1="Código","K"&amp;AH249&amp;RIGHT("00000"&amp;ROW(),5),IF('FALTAS GERAL'!$M$1="Nome","K"&amp;UPPER(SUBSTITUTE(SUBSTITUTE(SUBSTITUTE(B249,"*",""),"?",""),"~",""))&amp;"0"&amp;AH249&amp;RIGHT("00000"&amp;ROW(),5),IF('FALTAS GERAL'!$M$1="Falta (maior primeiro)","K"&amp;RIGHT("0000"&amp;(9999-E249),4)&amp;AH249&amp;RIGHT("00000"&amp;ROW(),5),IF('FALTAS GERAL'!$M$1="Nº de decks (maior primeiro)","K"&amp;RIGHT("00"&amp;(99-N(G249)),2)&amp;AH249&amp;RIGHT("00000"&amp;ROW(),5),"K"&amp;RIGHT("00000"&amp;ROW(),5))))))</f>
        <v/>
      </c>
      <c r="AJ249" s="11" t="str">
        <f aca="false">IF(AI249="","",COUNTIFS($AI$2:$AI$801,"&lt;"&amp;AI249,$E$2:$E$801,"&gt;0")+1)</f>
        <v/>
      </c>
      <c r="AK249" s="11" t="str">
        <f aca="false">IF(OR(A249="",N(E249)&lt;=0),"",COUNTIFS($AH$2:$AH$801,"&lt;"&amp;AH249,$E$2:$E$801,"&gt;0")+COUNTIFS($AH$2:AH249,AH249,$E$2:E249,"&gt;0"))</f>
        <v/>
      </c>
    </row>
    <row r="250" customFormat="false" ht="15" hidden="false" customHeight="false" outlineLevel="0" collapsed="false">
      <c r="A250" s="11" t="str">
        <f aca="false">IF(INVENTÁRIO!A250="","",INVENTÁRIO!A250)</f>
        <v/>
      </c>
      <c r="B250" s="11" t="str">
        <f aca="false">IF(A250="","",INVENTÁRIO!B250)</f>
        <v/>
      </c>
      <c r="C250" s="16" t="str">
        <f aca="false">IF(A250="","",INVENTÁRIO!C250)</f>
        <v/>
      </c>
      <c r="D250" s="14" t="str">
        <f aca="false">IF(A250="","",MAX(K250:AD250))</f>
        <v/>
      </c>
      <c r="E250" s="14" t="str">
        <f aca="false">IF(A250="","",MAX(0,D250-C250))</f>
        <v/>
      </c>
      <c r="F250" s="16" t="str">
        <f aca="false">IF(A250="","",IF(D250=0,"Fora dos decks",IF(E250=0,"Completo","Falta")))</f>
        <v/>
      </c>
      <c r="G250" s="16" t="str">
        <f aca="false">IF(A250="","",COUNTIF(K250:AD250,"&gt;0"))</f>
        <v/>
      </c>
      <c r="H250" s="16" t="str">
        <f aca="false">IF(A250="","",IF(G250&gt;1,"Sim",""))</f>
        <v/>
      </c>
      <c r="I250" s="18" t="str">
        <f aca="false">IF(A250="","",SUMIFS(DECKS!$D$2:$D$1201,DECKS!$B$2:$B$1201,A250))</f>
        <v/>
      </c>
      <c r="J250" s="18" t="str">
        <f aca="false">IF(A250="","",MAX(0,I250-C250))</f>
        <v/>
      </c>
      <c r="K250" s="19" t="str">
        <f aca="false">IF(OR($A250="",INDEX(_LEITURA!$Q$2:$Q$21,1)=0),"",SUMIFS(DECKS!$D$2:$D$1201,DECKS!$A$2:$A$1201,INDEX(_LEITURA!$P$2:$P$21,1),DECKS!$B$2:$B$1201,$A250))</f>
        <v/>
      </c>
      <c r="L250" s="19" t="str">
        <f aca="false">IF(OR($A250="",INDEX(_LEITURA!$Q$2:$Q$21,2)=0),"",SUMIFS(DECKS!$D$2:$D$1201,DECKS!$A$2:$A$1201,INDEX(_LEITURA!$P$2:$P$21,2),DECKS!$B$2:$B$1201,$A250))</f>
        <v/>
      </c>
      <c r="M250" s="19" t="str">
        <f aca="false">IF(OR($A250="",INDEX(_LEITURA!$Q$2:$Q$21,3)=0),"",SUMIFS(DECKS!$D$2:$D$1201,DECKS!$A$2:$A$1201,INDEX(_LEITURA!$P$2:$P$21,3),DECKS!$B$2:$B$1201,$A250))</f>
        <v/>
      </c>
      <c r="N250" s="19" t="str">
        <f aca="false">IF(OR($A250="",INDEX(_LEITURA!$Q$2:$Q$21,4)=0),"",SUMIFS(DECKS!$D$2:$D$1201,DECKS!$A$2:$A$1201,INDEX(_LEITURA!$P$2:$P$21,4),DECKS!$B$2:$B$1201,$A250))</f>
        <v/>
      </c>
      <c r="O250" s="19" t="str">
        <f aca="false">IF(OR($A250="",INDEX(_LEITURA!$Q$2:$Q$21,5)=0),"",SUMIFS(DECKS!$D$2:$D$1201,DECKS!$A$2:$A$1201,INDEX(_LEITURA!$P$2:$P$21,5),DECKS!$B$2:$B$1201,$A250))</f>
        <v/>
      </c>
      <c r="P250" s="19" t="str">
        <f aca="false">IF(OR($A250="",INDEX(_LEITURA!$Q$2:$Q$21,6)=0),"",SUMIFS(DECKS!$D$2:$D$1201,DECKS!$A$2:$A$1201,INDEX(_LEITURA!$P$2:$P$21,6),DECKS!$B$2:$B$1201,$A250))</f>
        <v/>
      </c>
      <c r="Q250" s="19" t="str">
        <f aca="false">IF(OR($A250="",INDEX(_LEITURA!$Q$2:$Q$21,7)=0),"",SUMIFS(DECKS!$D$2:$D$1201,DECKS!$A$2:$A$1201,INDEX(_LEITURA!$P$2:$P$21,7),DECKS!$B$2:$B$1201,$A250))</f>
        <v/>
      </c>
      <c r="R250" s="19" t="str">
        <f aca="false">IF(OR($A250="",INDEX(_LEITURA!$Q$2:$Q$21,8)=0),"",SUMIFS(DECKS!$D$2:$D$1201,DECKS!$A$2:$A$1201,INDEX(_LEITURA!$P$2:$P$21,8),DECKS!$B$2:$B$1201,$A250))</f>
        <v/>
      </c>
      <c r="S250" s="19" t="str">
        <f aca="false">IF(OR($A250="",INDEX(_LEITURA!$Q$2:$Q$21,9)=0),"",SUMIFS(DECKS!$D$2:$D$1201,DECKS!$A$2:$A$1201,INDEX(_LEITURA!$P$2:$P$21,9),DECKS!$B$2:$B$1201,$A250))</f>
        <v/>
      </c>
      <c r="T250" s="19" t="str">
        <f aca="false">IF(OR($A250="",INDEX(_LEITURA!$Q$2:$Q$21,10)=0),"",SUMIFS(DECKS!$D$2:$D$1201,DECKS!$A$2:$A$1201,INDEX(_LEITURA!$P$2:$P$21,10),DECKS!$B$2:$B$1201,$A250))</f>
        <v/>
      </c>
      <c r="U250" s="19" t="str">
        <f aca="false">IF(OR($A250="",INDEX(_LEITURA!$Q$2:$Q$21,11)=0),"",SUMIFS(DECKS!$D$2:$D$1201,DECKS!$A$2:$A$1201,INDEX(_LEITURA!$P$2:$P$21,11),DECKS!$B$2:$B$1201,$A250))</f>
        <v/>
      </c>
      <c r="V250" s="19" t="str">
        <f aca="false">IF(OR($A250="",INDEX(_LEITURA!$Q$2:$Q$21,12)=0),"",SUMIFS(DECKS!$D$2:$D$1201,DECKS!$A$2:$A$1201,INDEX(_LEITURA!$P$2:$P$21,12),DECKS!$B$2:$B$1201,$A250))</f>
        <v/>
      </c>
      <c r="W250" s="19" t="str">
        <f aca="false">IF(OR($A250="",INDEX(_LEITURA!$Q$2:$Q$21,13)=0),"",SUMIFS(DECKS!$D$2:$D$1201,DECKS!$A$2:$A$1201,INDEX(_LEITURA!$P$2:$P$21,13),DECKS!$B$2:$B$1201,$A250))</f>
        <v/>
      </c>
      <c r="X250" s="19" t="str">
        <f aca="false">IF(OR($A250="",INDEX(_LEITURA!$Q$2:$Q$21,14)=0),"",SUMIFS(DECKS!$D$2:$D$1201,DECKS!$A$2:$A$1201,INDEX(_LEITURA!$P$2:$P$21,14),DECKS!$B$2:$B$1201,$A250))</f>
        <v/>
      </c>
      <c r="Y250" s="19" t="str">
        <f aca="false">IF(OR($A250="",INDEX(_LEITURA!$Q$2:$Q$21,15)=0),"",SUMIFS(DECKS!$D$2:$D$1201,DECKS!$A$2:$A$1201,INDEX(_LEITURA!$P$2:$P$21,15),DECKS!$B$2:$B$1201,$A250))</f>
        <v/>
      </c>
      <c r="Z250" s="19" t="str">
        <f aca="false">IF(OR($A250="",INDEX(_LEITURA!$Q$2:$Q$21,16)=0),"",SUMIFS(DECKS!$D$2:$D$1201,DECKS!$A$2:$A$1201,INDEX(_LEITURA!$P$2:$P$21,16),DECKS!$B$2:$B$1201,$A250))</f>
        <v/>
      </c>
      <c r="AA250" s="19" t="str">
        <f aca="false">IF(OR($A250="",INDEX(_LEITURA!$Q$2:$Q$21,17)=0),"",SUMIFS(DECKS!$D$2:$D$1201,DECKS!$A$2:$A$1201,INDEX(_LEITURA!$P$2:$P$21,17),DECKS!$B$2:$B$1201,$A250))</f>
        <v/>
      </c>
      <c r="AB250" s="19" t="str">
        <f aca="false">IF(OR($A250="",INDEX(_LEITURA!$Q$2:$Q$21,18)=0),"",SUMIFS(DECKS!$D$2:$D$1201,DECKS!$A$2:$A$1201,INDEX(_LEITURA!$P$2:$P$21,18),DECKS!$B$2:$B$1201,$A250))</f>
        <v/>
      </c>
      <c r="AC250" s="19" t="str">
        <f aca="false">IF(OR($A250="",INDEX(_LEITURA!$Q$2:$Q$21,19)=0),"",SUMIFS(DECKS!$D$2:$D$1201,DECKS!$A$2:$A$1201,INDEX(_LEITURA!$P$2:$P$21,19),DECKS!$B$2:$B$1201,$A250))</f>
        <v/>
      </c>
      <c r="AD250" s="19" t="str">
        <f aca="false">IF(OR($A250="",INDEX(_LEITURA!$Q$2:$Q$21,20)=0),"",SUMIFS(DECKS!$D$2:$D$1201,DECKS!$A$2:$A$1201,INDEX(_LEITURA!$P$2:$P$21,20),DECKS!$B$2:$B$1201,$A250))</f>
        <v/>
      </c>
      <c r="AE250" s="16" t="str">
        <f aca="false">IF(N(E250)&gt;0,MAX(AE$1:AE249)+1,"")</f>
        <v/>
      </c>
      <c r="AF250" s="11" t="str">
        <f aca="false">IF(A250="","",IFERROR(LEFT(A250,FIND("-",A250)-1),A250))</f>
        <v/>
      </c>
      <c r="AG250" s="11" t="str">
        <f aca="false">IF(AF250="","",IF(ISNUMBER(--MID(AF250,1,1)),0,IF(ISNUMBER(--MID(AF250,2,1)),1,IF(ISNUMBER(--MID(AF250,3,1)),2,IF(ISNUMBER(--MID(AF250,4,1)),3,MIN(LEN(AF250),4))))))</f>
        <v/>
      </c>
      <c r="AH250" s="11" t="str">
        <f aca="false">IF(A250="","",LEFT(AF250,AG250)&amp;REPT("0",4-AG250)&amp;RIGHT("000"&amp;IFERROR(VALUE(MID(AF250,AG250+1,9)),0),3)&amp;RIGHT("0000"&amp;IFERROR(VALUE(MID(A250,FIND("-",A250)+1,9)),0),4))</f>
        <v/>
      </c>
      <c r="AI250" s="11" t="str">
        <f aca="false">IF(OR(A250="",N(E250)&lt;=0),"",IF('FALTAS GERAL'!$M$1="Código","K"&amp;AH250&amp;RIGHT("00000"&amp;ROW(),5),IF('FALTAS GERAL'!$M$1="Nome","K"&amp;UPPER(SUBSTITUTE(SUBSTITUTE(SUBSTITUTE(B250,"*",""),"?",""),"~",""))&amp;"0"&amp;AH250&amp;RIGHT("00000"&amp;ROW(),5),IF('FALTAS GERAL'!$M$1="Falta (maior primeiro)","K"&amp;RIGHT("0000"&amp;(9999-E250),4)&amp;AH250&amp;RIGHT("00000"&amp;ROW(),5),IF('FALTAS GERAL'!$M$1="Nº de decks (maior primeiro)","K"&amp;RIGHT("00"&amp;(99-N(G250)),2)&amp;AH250&amp;RIGHT("00000"&amp;ROW(),5),"K"&amp;RIGHT("00000"&amp;ROW(),5))))))</f>
        <v/>
      </c>
      <c r="AJ250" s="11" t="str">
        <f aca="false">IF(AI250="","",COUNTIFS($AI$2:$AI$801,"&lt;"&amp;AI250,$E$2:$E$801,"&gt;0")+1)</f>
        <v/>
      </c>
      <c r="AK250" s="11" t="str">
        <f aca="false">IF(OR(A250="",N(E250)&lt;=0),"",COUNTIFS($AH$2:$AH$801,"&lt;"&amp;AH250,$E$2:$E$801,"&gt;0")+COUNTIFS($AH$2:AH250,AH250,$E$2:E250,"&gt;0"))</f>
        <v/>
      </c>
    </row>
    <row r="251" customFormat="false" ht="15" hidden="false" customHeight="false" outlineLevel="0" collapsed="false">
      <c r="A251" s="11" t="str">
        <f aca="false">IF(INVENTÁRIO!A251="","",INVENTÁRIO!A251)</f>
        <v/>
      </c>
      <c r="B251" s="11" t="str">
        <f aca="false">IF(A251="","",INVENTÁRIO!B251)</f>
        <v/>
      </c>
      <c r="C251" s="16" t="str">
        <f aca="false">IF(A251="","",INVENTÁRIO!C251)</f>
        <v/>
      </c>
      <c r="D251" s="14" t="str">
        <f aca="false">IF(A251="","",MAX(K251:AD251))</f>
        <v/>
      </c>
      <c r="E251" s="14" t="str">
        <f aca="false">IF(A251="","",MAX(0,D251-C251))</f>
        <v/>
      </c>
      <c r="F251" s="16" t="str">
        <f aca="false">IF(A251="","",IF(D251=0,"Fora dos decks",IF(E251=0,"Completo","Falta")))</f>
        <v/>
      </c>
      <c r="G251" s="16" t="str">
        <f aca="false">IF(A251="","",COUNTIF(K251:AD251,"&gt;0"))</f>
        <v/>
      </c>
      <c r="H251" s="16" t="str">
        <f aca="false">IF(A251="","",IF(G251&gt;1,"Sim",""))</f>
        <v/>
      </c>
      <c r="I251" s="18" t="str">
        <f aca="false">IF(A251="","",SUMIFS(DECKS!$D$2:$D$1201,DECKS!$B$2:$B$1201,A251))</f>
        <v/>
      </c>
      <c r="J251" s="18" t="str">
        <f aca="false">IF(A251="","",MAX(0,I251-C251))</f>
        <v/>
      </c>
      <c r="K251" s="19" t="str">
        <f aca="false">IF(OR($A251="",INDEX(_LEITURA!$Q$2:$Q$21,1)=0),"",SUMIFS(DECKS!$D$2:$D$1201,DECKS!$A$2:$A$1201,INDEX(_LEITURA!$P$2:$P$21,1),DECKS!$B$2:$B$1201,$A251))</f>
        <v/>
      </c>
      <c r="L251" s="19" t="str">
        <f aca="false">IF(OR($A251="",INDEX(_LEITURA!$Q$2:$Q$21,2)=0),"",SUMIFS(DECKS!$D$2:$D$1201,DECKS!$A$2:$A$1201,INDEX(_LEITURA!$P$2:$P$21,2),DECKS!$B$2:$B$1201,$A251))</f>
        <v/>
      </c>
      <c r="M251" s="19" t="str">
        <f aca="false">IF(OR($A251="",INDEX(_LEITURA!$Q$2:$Q$21,3)=0),"",SUMIFS(DECKS!$D$2:$D$1201,DECKS!$A$2:$A$1201,INDEX(_LEITURA!$P$2:$P$21,3),DECKS!$B$2:$B$1201,$A251))</f>
        <v/>
      </c>
      <c r="N251" s="19" t="str">
        <f aca="false">IF(OR($A251="",INDEX(_LEITURA!$Q$2:$Q$21,4)=0),"",SUMIFS(DECKS!$D$2:$D$1201,DECKS!$A$2:$A$1201,INDEX(_LEITURA!$P$2:$P$21,4),DECKS!$B$2:$B$1201,$A251))</f>
        <v/>
      </c>
      <c r="O251" s="19" t="str">
        <f aca="false">IF(OR($A251="",INDEX(_LEITURA!$Q$2:$Q$21,5)=0),"",SUMIFS(DECKS!$D$2:$D$1201,DECKS!$A$2:$A$1201,INDEX(_LEITURA!$P$2:$P$21,5),DECKS!$B$2:$B$1201,$A251))</f>
        <v/>
      </c>
      <c r="P251" s="19" t="str">
        <f aca="false">IF(OR($A251="",INDEX(_LEITURA!$Q$2:$Q$21,6)=0),"",SUMIFS(DECKS!$D$2:$D$1201,DECKS!$A$2:$A$1201,INDEX(_LEITURA!$P$2:$P$21,6),DECKS!$B$2:$B$1201,$A251))</f>
        <v/>
      </c>
      <c r="Q251" s="19" t="str">
        <f aca="false">IF(OR($A251="",INDEX(_LEITURA!$Q$2:$Q$21,7)=0),"",SUMIFS(DECKS!$D$2:$D$1201,DECKS!$A$2:$A$1201,INDEX(_LEITURA!$P$2:$P$21,7),DECKS!$B$2:$B$1201,$A251))</f>
        <v/>
      </c>
      <c r="R251" s="19" t="str">
        <f aca="false">IF(OR($A251="",INDEX(_LEITURA!$Q$2:$Q$21,8)=0),"",SUMIFS(DECKS!$D$2:$D$1201,DECKS!$A$2:$A$1201,INDEX(_LEITURA!$P$2:$P$21,8),DECKS!$B$2:$B$1201,$A251))</f>
        <v/>
      </c>
      <c r="S251" s="19" t="str">
        <f aca="false">IF(OR($A251="",INDEX(_LEITURA!$Q$2:$Q$21,9)=0),"",SUMIFS(DECKS!$D$2:$D$1201,DECKS!$A$2:$A$1201,INDEX(_LEITURA!$P$2:$P$21,9),DECKS!$B$2:$B$1201,$A251))</f>
        <v/>
      </c>
      <c r="T251" s="19" t="str">
        <f aca="false">IF(OR($A251="",INDEX(_LEITURA!$Q$2:$Q$21,10)=0),"",SUMIFS(DECKS!$D$2:$D$1201,DECKS!$A$2:$A$1201,INDEX(_LEITURA!$P$2:$P$21,10),DECKS!$B$2:$B$1201,$A251))</f>
        <v/>
      </c>
      <c r="U251" s="19" t="str">
        <f aca="false">IF(OR($A251="",INDEX(_LEITURA!$Q$2:$Q$21,11)=0),"",SUMIFS(DECKS!$D$2:$D$1201,DECKS!$A$2:$A$1201,INDEX(_LEITURA!$P$2:$P$21,11),DECKS!$B$2:$B$1201,$A251))</f>
        <v/>
      </c>
      <c r="V251" s="19" t="str">
        <f aca="false">IF(OR($A251="",INDEX(_LEITURA!$Q$2:$Q$21,12)=0),"",SUMIFS(DECKS!$D$2:$D$1201,DECKS!$A$2:$A$1201,INDEX(_LEITURA!$P$2:$P$21,12),DECKS!$B$2:$B$1201,$A251))</f>
        <v/>
      </c>
      <c r="W251" s="19" t="str">
        <f aca="false">IF(OR($A251="",INDEX(_LEITURA!$Q$2:$Q$21,13)=0),"",SUMIFS(DECKS!$D$2:$D$1201,DECKS!$A$2:$A$1201,INDEX(_LEITURA!$P$2:$P$21,13),DECKS!$B$2:$B$1201,$A251))</f>
        <v/>
      </c>
      <c r="X251" s="19" t="str">
        <f aca="false">IF(OR($A251="",INDEX(_LEITURA!$Q$2:$Q$21,14)=0),"",SUMIFS(DECKS!$D$2:$D$1201,DECKS!$A$2:$A$1201,INDEX(_LEITURA!$P$2:$P$21,14),DECKS!$B$2:$B$1201,$A251))</f>
        <v/>
      </c>
      <c r="Y251" s="19" t="str">
        <f aca="false">IF(OR($A251="",INDEX(_LEITURA!$Q$2:$Q$21,15)=0),"",SUMIFS(DECKS!$D$2:$D$1201,DECKS!$A$2:$A$1201,INDEX(_LEITURA!$P$2:$P$21,15),DECKS!$B$2:$B$1201,$A251))</f>
        <v/>
      </c>
      <c r="Z251" s="19" t="str">
        <f aca="false">IF(OR($A251="",INDEX(_LEITURA!$Q$2:$Q$21,16)=0),"",SUMIFS(DECKS!$D$2:$D$1201,DECKS!$A$2:$A$1201,INDEX(_LEITURA!$P$2:$P$21,16),DECKS!$B$2:$B$1201,$A251))</f>
        <v/>
      </c>
      <c r="AA251" s="19" t="str">
        <f aca="false">IF(OR($A251="",INDEX(_LEITURA!$Q$2:$Q$21,17)=0),"",SUMIFS(DECKS!$D$2:$D$1201,DECKS!$A$2:$A$1201,INDEX(_LEITURA!$P$2:$P$21,17),DECKS!$B$2:$B$1201,$A251))</f>
        <v/>
      </c>
      <c r="AB251" s="19" t="str">
        <f aca="false">IF(OR($A251="",INDEX(_LEITURA!$Q$2:$Q$21,18)=0),"",SUMIFS(DECKS!$D$2:$D$1201,DECKS!$A$2:$A$1201,INDEX(_LEITURA!$P$2:$P$21,18),DECKS!$B$2:$B$1201,$A251))</f>
        <v/>
      </c>
      <c r="AC251" s="19" t="str">
        <f aca="false">IF(OR($A251="",INDEX(_LEITURA!$Q$2:$Q$21,19)=0),"",SUMIFS(DECKS!$D$2:$D$1201,DECKS!$A$2:$A$1201,INDEX(_LEITURA!$P$2:$P$21,19),DECKS!$B$2:$B$1201,$A251))</f>
        <v/>
      </c>
      <c r="AD251" s="19" t="str">
        <f aca="false">IF(OR($A251="",INDEX(_LEITURA!$Q$2:$Q$21,20)=0),"",SUMIFS(DECKS!$D$2:$D$1201,DECKS!$A$2:$A$1201,INDEX(_LEITURA!$P$2:$P$21,20),DECKS!$B$2:$B$1201,$A251))</f>
        <v/>
      </c>
      <c r="AE251" s="16" t="str">
        <f aca="false">IF(N(E251)&gt;0,MAX(AE$1:AE250)+1,"")</f>
        <v/>
      </c>
      <c r="AF251" s="11" t="str">
        <f aca="false">IF(A251="","",IFERROR(LEFT(A251,FIND("-",A251)-1),A251))</f>
        <v/>
      </c>
      <c r="AG251" s="11" t="str">
        <f aca="false">IF(AF251="","",IF(ISNUMBER(--MID(AF251,1,1)),0,IF(ISNUMBER(--MID(AF251,2,1)),1,IF(ISNUMBER(--MID(AF251,3,1)),2,IF(ISNUMBER(--MID(AF251,4,1)),3,MIN(LEN(AF251),4))))))</f>
        <v/>
      </c>
      <c r="AH251" s="11" t="str">
        <f aca="false">IF(A251="","",LEFT(AF251,AG251)&amp;REPT("0",4-AG251)&amp;RIGHT("000"&amp;IFERROR(VALUE(MID(AF251,AG251+1,9)),0),3)&amp;RIGHT("0000"&amp;IFERROR(VALUE(MID(A251,FIND("-",A251)+1,9)),0),4))</f>
        <v/>
      </c>
      <c r="AI251" s="11" t="str">
        <f aca="false">IF(OR(A251="",N(E251)&lt;=0),"",IF('FALTAS GERAL'!$M$1="Código","K"&amp;AH251&amp;RIGHT("00000"&amp;ROW(),5),IF('FALTAS GERAL'!$M$1="Nome","K"&amp;UPPER(SUBSTITUTE(SUBSTITUTE(SUBSTITUTE(B251,"*",""),"?",""),"~",""))&amp;"0"&amp;AH251&amp;RIGHT("00000"&amp;ROW(),5),IF('FALTAS GERAL'!$M$1="Falta (maior primeiro)","K"&amp;RIGHT("0000"&amp;(9999-E251),4)&amp;AH251&amp;RIGHT("00000"&amp;ROW(),5),IF('FALTAS GERAL'!$M$1="Nº de decks (maior primeiro)","K"&amp;RIGHT("00"&amp;(99-N(G251)),2)&amp;AH251&amp;RIGHT("00000"&amp;ROW(),5),"K"&amp;RIGHT("00000"&amp;ROW(),5))))))</f>
        <v/>
      </c>
      <c r="AJ251" s="11" t="str">
        <f aca="false">IF(AI251="","",COUNTIFS($AI$2:$AI$801,"&lt;"&amp;AI251,$E$2:$E$801,"&gt;0")+1)</f>
        <v/>
      </c>
      <c r="AK251" s="11" t="str">
        <f aca="false">IF(OR(A251="",N(E251)&lt;=0),"",COUNTIFS($AH$2:$AH$801,"&lt;"&amp;AH251,$E$2:$E$801,"&gt;0")+COUNTIFS($AH$2:AH251,AH251,$E$2:E251,"&gt;0"))</f>
        <v/>
      </c>
    </row>
    <row r="252" customFormat="false" ht="15" hidden="false" customHeight="false" outlineLevel="0" collapsed="false">
      <c r="A252" s="11" t="str">
        <f aca="false">IF(INVENTÁRIO!A252="","",INVENTÁRIO!A252)</f>
        <v/>
      </c>
      <c r="B252" s="11" t="str">
        <f aca="false">IF(A252="","",INVENTÁRIO!B252)</f>
        <v/>
      </c>
      <c r="C252" s="16" t="str">
        <f aca="false">IF(A252="","",INVENTÁRIO!C252)</f>
        <v/>
      </c>
      <c r="D252" s="14" t="str">
        <f aca="false">IF(A252="","",MAX(K252:AD252))</f>
        <v/>
      </c>
      <c r="E252" s="14" t="str">
        <f aca="false">IF(A252="","",MAX(0,D252-C252))</f>
        <v/>
      </c>
      <c r="F252" s="16" t="str">
        <f aca="false">IF(A252="","",IF(D252=0,"Fora dos decks",IF(E252=0,"Completo","Falta")))</f>
        <v/>
      </c>
      <c r="G252" s="16" t="str">
        <f aca="false">IF(A252="","",COUNTIF(K252:AD252,"&gt;0"))</f>
        <v/>
      </c>
      <c r="H252" s="16" t="str">
        <f aca="false">IF(A252="","",IF(G252&gt;1,"Sim",""))</f>
        <v/>
      </c>
      <c r="I252" s="18" t="str">
        <f aca="false">IF(A252="","",SUMIFS(DECKS!$D$2:$D$1201,DECKS!$B$2:$B$1201,A252))</f>
        <v/>
      </c>
      <c r="J252" s="18" t="str">
        <f aca="false">IF(A252="","",MAX(0,I252-C252))</f>
        <v/>
      </c>
      <c r="K252" s="19" t="str">
        <f aca="false">IF(OR($A252="",INDEX(_LEITURA!$Q$2:$Q$21,1)=0),"",SUMIFS(DECKS!$D$2:$D$1201,DECKS!$A$2:$A$1201,INDEX(_LEITURA!$P$2:$P$21,1),DECKS!$B$2:$B$1201,$A252))</f>
        <v/>
      </c>
      <c r="L252" s="19" t="str">
        <f aca="false">IF(OR($A252="",INDEX(_LEITURA!$Q$2:$Q$21,2)=0),"",SUMIFS(DECKS!$D$2:$D$1201,DECKS!$A$2:$A$1201,INDEX(_LEITURA!$P$2:$P$21,2),DECKS!$B$2:$B$1201,$A252))</f>
        <v/>
      </c>
      <c r="M252" s="19" t="str">
        <f aca="false">IF(OR($A252="",INDEX(_LEITURA!$Q$2:$Q$21,3)=0),"",SUMIFS(DECKS!$D$2:$D$1201,DECKS!$A$2:$A$1201,INDEX(_LEITURA!$P$2:$P$21,3),DECKS!$B$2:$B$1201,$A252))</f>
        <v/>
      </c>
      <c r="N252" s="19" t="str">
        <f aca="false">IF(OR($A252="",INDEX(_LEITURA!$Q$2:$Q$21,4)=0),"",SUMIFS(DECKS!$D$2:$D$1201,DECKS!$A$2:$A$1201,INDEX(_LEITURA!$P$2:$P$21,4),DECKS!$B$2:$B$1201,$A252))</f>
        <v/>
      </c>
      <c r="O252" s="19" t="str">
        <f aca="false">IF(OR($A252="",INDEX(_LEITURA!$Q$2:$Q$21,5)=0),"",SUMIFS(DECKS!$D$2:$D$1201,DECKS!$A$2:$A$1201,INDEX(_LEITURA!$P$2:$P$21,5),DECKS!$B$2:$B$1201,$A252))</f>
        <v/>
      </c>
      <c r="P252" s="19" t="str">
        <f aca="false">IF(OR($A252="",INDEX(_LEITURA!$Q$2:$Q$21,6)=0),"",SUMIFS(DECKS!$D$2:$D$1201,DECKS!$A$2:$A$1201,INDEX(_LEITURA!$P$2:$P$21,6),DECKS!$B$2:$B$1201,$A252))</f>
        <v/>
      </c>
      <c r="Q252" s="19" t="str">
        <f aca="false">IF(OR($A252="",INDEX(_LEITURA!$Q$2:$Q$21,7)=0),"",SUMIFS(DECKS!$D$2:$D$1201,DECKS!$A$2:$A$1201,INDEX(_LEITURA!$P$2:$P$21,7),DECKS!$B$2:$B$1201,$A252))</f>
        <v/>
      </c>
      <c r="R252" s="19" t="str">
        <f aca="false">IF(OR($A252="",INDEX(_LEITURA!$Q$2:$Q$21,8)=0),"",SUMIFS(DECKS!$D$2:$D$1201,DECKS!$A$2:$A$1201,INDEX(_LEITURA!$P$2:$P$21,8),DECKS!$B$2:$B$1201,$A252))</f>
        <v/>
      </c>
      <c r="S252" s="19" t="str">
        <f aca="false">IF(OR($A252="",INDEX(_LEITURA!$Q$2:$Q$21,9)=0),"",SUMIFS(DECKS!$D$2:$D$1201,DECKS!$A$2:$A$1201,INDEX(_LEITURA!$P$2:$P$21,9),DECKS!$B$2:$B$1201,$A252))</f>
        <v/>
      </c>
      <c r="T252" s="19" t="str">
        <f aca="false">IF(OR($A252="",INDEX(_LEITURA!$Q$2:$Q$21,10)=0),"",SUMIFS(DECKS!$D$2:$D$1201,DECKS!$A$2:$A$1201,INDEX(_LEITURA!$P$2:$P$21,10),DECKS!$B$2:$B$1201,$A252))</f>
        <v/>
      </c>
      <c r="U252" s="19" t="str">
        <f aca="false">IF(OR($A252="",INDEX(_LEITURA!$Q$2:$Q$21,11)=0),"",SUMIFS(DECKS!$D$2:$D$1201,DECKS!$A$2:$A$1201,INDEX(_LEITURA!$P$2:$P$21,11),DECKS!$B$2:$B$1201,$A252))</f>
        <v/>
      </c>
      <c r="V252" s="19" t="str">
        <f aca="false">IF(OR($A252="",INDEX(_LEITURA!$Q$2:$Q$21,12)=0),"",SUMIFS(DECKS!$D$2:$D$1201,DECKS!$A$2:$A$1201,INDEX(_LEITURA!$P$2:$P$21,12),DECKS!$B$2:$B$1201,$A252))</f>
        <v/>
      </c>
      <c r="W252" s="19" t="str">
        <f aca="false">IF(OR($A252="",INDEX(_LEITURA!$Q$2:$Q$21,13)=0),"",SUMIFS(DECKS!$D$2:$D$1201,DECKS!$A$2:$A$1201,INDEX(_LEITURA!$P$2:$P$21,13),DECKS!$B$2:$B$1201,$A252))</f>
        <v/>
      </c>
      <c r="X252" s="19" t="str">
        <f aca="false">IF(OR($A252="",INDEX(_LEITURA!$Q$2:$Q$21,14)=0),"",SUMIFS(DECKS!$D$2:$D$1201,DECKS!$A$2:$A$1201,INDEX(_LEITURA!$P$2:$P$21,14),DECKS!$B$2:$B$1201,$A252))</f>
        <v/>
      </c>
      <c r="Y252" s="19" t="str">
        <f aca="false">IF(OR($A252="",INDEX(_LEITURA!$Q$2:$Q$21,15)=0),"",SUMIFS(DECKS!$D$2:$D$1201,DECKS!$A$2:$A$1201,INDEX(_LEITURA!$P$2:$P$21,15),DECKS!$B$2:$B$1201,$A252))</f>
        <v/>
      </c>
      <c r="Z252" s="19" t="str">
        <f aca="false">IF(OR($A252="",INDEX(_LEITURA!$Q$2:$Q$21,16)=0),"",SUMIFS(DECKS!$D$2:$D$1201,DECKS!$A$2:$A$1201,INDEX(_LEITURA!$P$2:$P$21,16),DECKS!$B$2:$B$1201,$A252))</f>
        <v/>
      </c>
      <c r="AA252" s="19" t="str">
        <f aca="false">IF(OR($A252="",INDEX(_LEITURA!$Q$2:$Q$21,17)=0),"",SUMIFS(DECKS!$D$2:$D$1201,DECKS!$A$2:$A$1201,INDEX(_LEITURA!$P$2:$P$21,17),DECKS!$B$2:$B$1201,$A252))</f>
        <v/>
      </c>
      <c r="AB252" s="19" t="str">
        <f aca="false">IF(OR($A252="",INDEX(_LEITURA!$Q$2:$Q$21,18)=0),"",SUMIFS(DECKS!$D$2:$D$1201,DECKS!$A$2:$A$1201,INDEX(_LEITURA!$P$2:$P$21,18),DECKS!$B$2:$B$1201,$A252))</f>
        <v/>
      </c>
      <c r="AC252" s="19" t="str">
        <f aca="false">IF(OR($A252="",INDEX(_LEITURA!$Q$2:$Q$21,19)=0),"",SUMIFS(DECKS!$D$2:$D$1201,DECKS!$A$2:$A$1201,INDEX(_LEITURA!$P$2:$P$21,19),DECKS!$B$2:$B$1201,$A252))</f>
        <v/>
      </c>
      <c r="AD252" s="19" t="str">
        <f aca="false">IF(OR($A252="",INDEX(_LEITURA!$Q$2:$Q$21,20)=0),"",SUMIFS(DECKS!$D$2:$D$1201,DECKS!$A$2:$A$1201,INDEX(_LEITURA!$P$2:$P$21,20),DECKS!$B$2:$B$1201,$A252))</f>
        <v/>
      </c>
      <c r="AE252" s="16" t="str">
        <f aca="false">IF(N(E252)&gt;0,MAX(AE$1:AE251)+1,"")</f>
        <v/>
      </c>
      <c r="AF252" s="11" t="str">
        <f aca="false">IF(A252="","",IFERROR(LEFT(A252,FIND("-",A252)-1),A252))</f>
        <v/>
      </c>
      <c r="AG252" s="11" t="str">
        <f aca="false">IF(AF252="","",IF(ISNUMBER(--MID(AF252,1,1)),0,IF(ISNUMBER(--MID(AF252,2,1)),1,IF(ISNUMBER(--MID(AF252,3,1)),2,IF(ISNUMBER(--MID(AF252,4,1)),3,MIN(LEN(AF252),4))))))</f>
        <v/>
      </c>
      <c r="AH252" s="11" t="str">
        <f aca="false">IF(A252="","",LEFT(AF252,AG252)&amp;REPT("0",4-AG252)&amp;RIGHT("000"&amp;IFERROR(VALUE(MID(AF252,AG252+1,9)),0),3)&amp;RIGHT("0000"&amp;IFERROR(VALUE(MID(A252,FIND("-",A252)+1,9)),0),4))</f>
        <v/>
      </c>
      <c r="AI252" s="11" t="str">
        <f aca="false">IF(OR(A252="",N(E252)&lt;=0),"",IF('FALTAS GERAL'!$M$1="Código","K"&amp;AH252&amp;RIGHT("00000"&amp;ROW(),5),IF('FALTAS GERAL'!$M$1="Nome","K"&amp;UPPER(SUBSTITUTE(SUBSTITUTE(SUBSTITUTE(B252,"*",""),"?",""),"~",""))&amp;"0"&amp;AH252&amp;RIGHT("00000"&amp;ROW(),5),IF('FALTAS GERAL'!$M$1="Falta (maior primeiro)","K"&amp;RIGHT("0000"&amp;(9999-E252),4)&amp;AH252&amp;RIGHT("00000"&amp;ROW(),5),IF('FALTAS GERAL'!$M$1="Nº de decks (maior primeiro)","K"&amp;RIGHT("00"&amp;(99-N(G252)),2)&amp;AH252&amp;RIGHT("00000"&amp;ROW(),5),"K"&amp;RIGHT("00000"&amp;ROW(),5))))))</f>
        <v/>
      </c>
      <c r="AJ252" s="11" t="str">
        <f aca="false">IF(AI252="","",COUNTIFS($AI$2:$AI$801,"&lt;"&amp;AI252,$E$2:$E$801,"&gt;0")+1)</f>
        <v/>
      </c>
      <c r="AK252" s="11" t="str">
        <f aca="false">IF(OR(A252="",N(E252)&lt;=0),"",COUNTIFS($AH$2:$AH$801,"&lt;"&amp;AH252,$E$2:$E$801,"&gt;0")+COUNTIFS($AH$2:AH252,AH252,$E$2:E252,"&gt;0"))</f>
        <v/>
      </c>
    </row>
    <row r="253" customFormat="false" ht="15" hidden="false" customHeight="false" outlineLevel="0" collapsed="false">
      <c r="A253" s="11" t="str">
        <f aca="false">IF(INVENTÁRIO!A253="","",INVENTÁRIO!A253)</f>
        <v/>
      </c>
      <c r="B253" s="11" t="str">
        <f aca="false">IF(A253="","",INVENTÁRIO!B253)</f>
        <v/>
      </c>
      <c r="C253" s="16" t="str">
        <f aca="false">IF(A253="","",INVENTÁRIO!C253)</f>
        <v/>
      </c>
      <c r="D253" s="14" t="str">
        <f aca="false">IF(A253="","",MAX(K253:AD253))</f>
        <v/>
      </c>
      <c r="E253" s="14" t="str">
        <f aca="false">IF(A253="","",MAX(0,D253-C253))</f>
        <v/>
      </c>
      <c r="F253" s="16" t="str">
        <f aca="false">IF(A253="","",IF(D253=0,"Fora dos decks",IF(E253=0,"Completo","Falta")))</f>
        <v/>
      </c>
      <c r="G253" s="16" t="str">
        <f aca="false">IF(A253="","",COUNTIF(K253:AD253,"&gt;0"))</f>
        <v/>
      </c>
      <c r="H253" s="16" t="str">
        <f aca="false">IF(A253="","",IF(G253&gt;1,"Sim",""))</f>
        <v/>
      </c>
      <c r="I253" s="18" t="str">
        <f aca="false">IF(A253="","",SUMIFS(DECKS!$D$2:$D$1201,DECKS!$B$2:$B$1201,A253))</f>
        <v/>
      </c>
      <c r="J253" s="18" t="str">
        <f aca="false">IF(A253="","",MAX(0,I253-C253))</f>
        <v/>
      </c>
      <c r="K253" s="19" t="str">
        <f aca="false">IF(OR($A253="",INDEX(_LEITURA!$Q$2:$Q$21,1)=0),"",SUMIFS(DECKS!$D$2:$D$1201,DECKS!$A$2:$A$1201,INDEX(_LEITURA!$P$2:$P$21,1),DECKS!$B$2:$B$1201,$A253))</f>
        <v/>
      </c>
      <c r="L253" s="19" t="str">
        <f aca="false">IF(OR($A253="",INDEX(_LEITURA!$Q$2:$Q$21,2)=0),"",SUMIFS(DECKS!$D$2:$D$1201,DECKS!$A$2:$A$1201,INDEX(_LEITURA!$P$2:$P$21,2),DECKS!$B$2:$B$1201,$A253))</f>
        <v/>
      </c>
      <c r="M253" s="19" t="str">
        <f aca="false">IF(OR($A253="",INDEX(_LEITURA!$Q$2:$Q$21,3)=0),"",SUMIFS(DECKS!$D$2:$D$1201,DECKS!$A$2:$A$1201,INDEX(_LEITURA!$P$2:$P$21,3),DECKS!$B$2:$B$1201,$A253))</f>
        <v/>
      </c>
      <c r="N253" s="19" t="str">
        <f aca="false">IF(OR($A253="",INDEX(_LEITURA!$Q$2:$Q$21,4)=0),"",SUMIFS(DECKS!$D$2:$D$1201,DECKS!$A$2:$A$1201,INDEX(_LEITURA!$P$2:$P$21,4),DECKS!$B$2:$B$1201,$A253))</f>
        <v/>
      </c>
      <c r="O253" s="19" t="str">
        <f aca="false">IF(OR($A253="",INDEX(_LEITURA!$Q$2:$Q$21,5)=0),"",SUMIFS(DECKS!$D$2:$D$1201,DECKS!$A$2:$A$1201,INDEX(_LEITURA!$P$2:$P$21,5),DECKS!$B$2:$B$1201,$A253))</f>
        <v/>
      </c>
      <c r="P253" s="19" t="str">
        <f aca="false">IF(OR($A253="",INDEX(_LEITURA!$Q$2:$Q$21,6)=0),"",SUMIFS(DECKS!$D$2:$D$1201,DECKS!$A$2:$A$1201,INDEX(_LEITURA!$P$2:$P$21,6),DECKS!$B$2:$B$1201,$A253))</f>
        <v/>
      </c>
      <c r="Q253" s="19" t="str">
        <f aca="false">IF(OR($A253="",INDEX(_LEITURA!$Q$2:$Q$21,7)=0),"",SUMIFS(DECKS!$D$2:$D$1201,DECKS!$A$2:$A$1201,INDEX(_LEITURA!$P$2:$P$21,7),DECKS!$B$2:$B$1201,$A253))</f>
        <v/>
      </c>
      <c r="R253" s="19" t="str">
        <f aca="false">IF(OR($A253="",INDEX(_LEITURA!$Q$2:$Q$21,8)=0),"",SUMIFS(DECKS!$D$2:$D$1201,DECKS!$A$2:$A$1201,INDEX(_LEITURA!$P$2:$P$21,8),DECKS!$B$2:$B$1201,$A253))</f>
        <v/>
      </c>
      <c r="S253" s="19" t="str">
        <f aca="false">IF(OR($A253="",INDEX(_LEITURA!$Q$2:$Q$21,9)=0),"",SUMIFS(DECKS!$D$2:$D$1201,DECKS!$A$2:$A$1201,INDEX(_LEITURA!$P$2:$P$21,9),DECKS!$B$2:$B$1201,$A253))</f>
        <v/>
      </c>
      <c r="T253" s="19" t="str">
        <f aca="false">IF(OR($A253="",INDEX(_LEITURA!$Q$2:$Q$21,10)=0),"",SUMIFS(DECKS!$D$2:$D$1201,DECKS!$A$2:$A$1201,INDEX(_LEITURA!$P$2:$P$21,10),DECKS!$B$2:$B$1201,$A253))</f>
        <v/>
      </c>
      <c r="U253" s="19" t="str">
        <f aca="false">IF(OR($A253="",INDEX(_LEITURA!$Q$2:$Q$21,11)=0),"",SUMIFS(DECKS!$D$2:$D$1201,DECKS!$A$2:$A$1201,INDEX(_LEITURA!$P$2:$P$21,11),DECKS!$B$2:$B$1201,$A253))</f>
        <v/>
      </c>
      <c r="V253" s="19" t="str">
        <f aca="false">IF(OR($A253="",INDEX(_LEITURA!$Q$2:$Q$21,12)=0),"",SUMIFS(DECKS!$D$2:$D$1201,DECKS!$A$2:$A$1201,INDEX(_LEITURA!$P$2:$P$21,12),DECKS!$B$2:$B$1201,$A253))</f>
        <v/>
      </c>
      <c r="W253" s="19" t="str">
        <f aca="false">IF(OR($A253="",INDEX(_LEITURA!$Q$2:$Q$21,13)=0),"",SUMIFS(DECKS!$D$2:$D$1201,DECKS!$A$2:$A$1201,INDEX(_LEITURA!$P$2:$P$21,13),DECKS!$B$2:$B$1201,$A253))</f>
        <v/>
      </c>
      <c r="X253" s="19" t="str">
        <f aca="false">IF(OR($A253="",INDEX(_LEITURA!$Q$2:$Q$21,14)=0),"",SUMIFS(DECKS!$D$2:$D$1201,DECKS!$A$2:$A$1201,INDEX(_LEITURA!$P$2:$P$21,14),DECKS!$B$2:$B$1201,$A253))</f>
        <v/>
      </c>
      <c r="Y253" s="19" t="str">
        <f aca="false">IF(OR($A253="",INDEX(_LEITURA!$Q$2:$Q$21,15)=0),"",SUMIFS(DECKS!$D$2:$D$1201,DECKS!$A$2:$A$1201,INDEX(_LEITURA!$P$2:$P$21,15),DECKS!$B$2:$B$1201,$A253))</f>
        <v/>
      </c>
      <c r="Z253" s="19" t="str">
        <f aca="false">IF(OR($A253="",INDEX(_LEITURA!$Q$2:$Q$21,16)=0),"",SUMIFS(DECKS!$D$2:$D$1201,DECKS!$A$2:$A$1201,INDEX(_LEITURA!$P$2:$P$21,16),DECKS!$B$2:$B$1201,$A253))</f>
        <v/>
      </c>
      <c r="AA253" s="19" t="str">
        <f aca="false">IF(OR($A253="",INDEX(_LEITURA!$Q$2:$Q$21,17)=0),"",SUMIFS(DECKS!$D$2:$D$1201,DECKS!$A$2:$A$1201,INDEX(_LEITURA!$P$2:$P$21,17),DECKS!$B$2:$B$1201,$A253))</f>
        <v/>
      </c>
      <c r="AB253" s="19" t="str">
        <f aca="false">IF(OR($A253="",INDEX(_LEITURA!$Q$2:$Q$21,18)=0),"",SUMIFS(DECKS!$D$2:$D$1201,DECKS!$A$2:$A$1201,INDEX(_LEITURA!$P$2:$P$21,18),DECKS!$B$2:$B$1201,$A253))</f>
        <v/>
      </c>
      <c r="AC253" s="19" t="str">
        <f aca="false">IF(OR($A253="",INDEX(_LEITURA!$Q$2:$Q$21,19)=0),"",SUMIFS(DECKS!$D$2:$D$1201,DECKS!$A$2:$A$1201,INDEX(_LEITURA!$P$2:$P$21,19),DECKS!$B$2:$B$1201,$A253))</f>
        <v/>
      </c>
      <c r="AD253" s="19" t="str">
        <f aca="false">IF(OR($A253="",INDEX(_LEITURA!$Q$2:$Q$21,20)=0),"",SUMIFS(DECKS!$D$2:$D$1201,DECKS!$A$2:$A$1201,INDEX(_LEITURA!$P$2:$P$21,20),DECKS!$B$2:$B$1201,$A253))</f>
        <v/>
      </c>
      <c r="AE253" s="16" t="str">
        <f aca="false">IF(N(E253)&gt;0,MAX(AE$1:AE252)+1,"")</f>
        <v/>
      </c>
      <c r="AF253" s="11" t="str">
        <f aca="false">IF(A253="","",IFERROR(LEFT(A253,FIND("-",A253)-1),A253))</f>
        <v/>
      </c>
      <c r="AG253" s="11" t="str">
        <f aca="false">IF(AF253="","",IF(ISNUMBER(--MID(AF253,1,1)),0,IF(ISNUMBER(--MID(AF253,2,1)),1,IF(ISNUMBER(--MID(AF253,3,1)),2,IF(ISNUMBER(--MID(AF253,4,1)),3,MIN(LEN(AF253),4))))))</f>
        <v/>
      </c>
      <c r="AH253" s="11" t="str">
        <f aca="false">IF(A253="","",LEFT(AF253,AG253)&amp;REPT("0",4-AG253)&amp;RIGHT("000"&amp;IFERROR(VALUE(MID(AF253,AG253+1,9)),0),3)&amp;RIGHT("0000"&amp;IFERROR(VALUE(MID(A253,FIND("-",A253)+1,9)),0),4))</f>
        <v/>
      </c>
      <c r="AI253" s="11" t="str">
        <f aca="false">IF(OR(A253="",N(E253)&lt;=0),"",IF('FALTAS GERAL'!$M$1="Código","K"&amp;AH253&amp;RIGHT("00000"&amp;ROW(),5),IF('FALTAS GERAL'!$M$1="Nome","K"&amp;UPPER(SUBSTITUTE(SUBSTITUTE(SUBSTITUTE(B253,"*",""),"?",""),"~",""))&amp;"0"&amp;AH253&amp;RIGHT("00000"&amp;ROW(),5),IF('FALTAS GERAL'!$M$1="Falta (maior primeiro)","K"&amp;RIGHT("0000"&amp;(9999-E253),4)&amp;AH253&amp;RIGHT("00000"&amp;ROW(),5),IF('FALTAS GERAL'!$M$1="Nº de decks (maior primeiro)","K"&amp;RIGHT("00"&amp;(99-N(G253)),2)&amp;AH253&amp;RIGHT("00000"&amp;ROW(),5),"K"&amp;RIGHT("00000"&amp;ROW(),5))))))</f>
        <v/>
      </c>
      <c r="AJ253" s="11" t="str">
        <f aca="false">IF(AI253="","",COUNTIFS($AI$2:$AI$801,"&lt;"&amp;AI253,$E$2:$E$801,"&gt;0")+1)</f>
        <v/>
      </c>
      <c r="AK253" s="11" t="str">
        <f aca="false">IF(OR(A253="",N(E253)&lt;=0),"",COUNTIFS($AH$2:$AH$801,"&lt;"&amp;AH253,$E$2:$E$801,"&gt;0")+COUNTIFS($AH$2:AH253,AH253,$E$2:E253,"&gt;0"))</f>
        <v/>
      </c>
    </row>
    <row r="254" customFormat="false" ht="15" hidden="false" customHeight="false" outlineLevel="0" collapsed="false">
      <c r="A254" s="11" t="str">
        <f aca="false">IF(INVENTÁRIO!A254="","",INVENTÁRIO!A254)</f>
        <v/>
      </c>
      <c r="B254" s="11" t="str">
        <f aca="false">IF(A254="","",INVENTÁRIO!B254)</f>
        <v/>
      </c>
      <c r="C254" s="16" t="str">
        <f aca="false">IF(A254="","",INVENTÁRIO!C254)</f>
        <v/>
      </c>
      <c r="D254" s="14" t="str">
        <f aca="false">IF(A254="","",MAX(K254:AD254))</f>
        <v/>
      </c>
      <c r="E254" s="14" t="str">
        <f aca="false">IF(A254="","",MAX(0,D254-C254))</f>
        <v/>
      </c>
      <c r="F254" s="16" t="str">
        <f aca="false">IF(A254="","",IF(D254=0,"Fora dos decks",IF(E254=0,"Completo","Falta")))</f>
        <v/>
      </c>
      <c r="G254" s="16" t="str">
        <f aca="false">IF(A254="","",COUNTIF(K254:AD254,"&gt;0"))</f>
        <v/>
      </c>
      <c r="H254" s="16" t="str">
        <f aca="false">IF(A254="","",IF(G254&gt;1,"Sim",""))</f>
        <v/>
      </c>
      <c r="I254" s="18" t="str">
        <f aca="false">IF(A254="","",SUMIFS(DECKS!$D$2:$D$1201,DECKS!$B$2:$B$1201,A254))</f>
        <v/>
      </c>
      <c r="J254" s="18" t="str">
        <f aca="false">IF(A254="","",MAX(0,I254-C254))</f>
        <v/>
      </c>
      <c r="K254" s="19" t="str">
        <f aca="false">IF(OR($A254="",INDEX(_LEITURA!$Q$2:$Q$21,1)=0),"",SUMIFS(DECKS!$D$2:$D$1201,DECKS!$A$2:$A$1201,INDEX(_LEITURA!$P$2:$P$21,1),DECKS!$B$2:$B$1201,$A254))</f>
        <v/>
      </c>
      <c r="L254" s="19" t="str">
        <f aca="false">IF(OR($A254="",INDEX(_LEITURA!$Q$2:$Q$21,2)=0),"",SUMIFS(DECKS!$D$2:$D$1201,DECKS!$A$2:$A$1201,INDEX(_LEITURA!$P$2:$P$21,2),DECKS!$B$2:$B$1201,$A254))</f>
        <v/>
      </c>
      <c r="M254" s="19" t="str">
        <f aca="false">IF(OR($A254="",INDEX(_LEITURA!$Q$2:$Q$21,3)=0),"",SUMIFS(DECKS!$D$2:$D$1201,DECKS!$A$2:$A$1201,INDEX(_LEITURA!$P$2:$P$21,3),DECKS!$B$2:$B$1201,$A254))</f>
        <v/>
      </c>
      <c r="N254" s="19" t="str">
        <f aca="false">IF(OR($A254="",INDEX(_LEITURA!$Q$2:$Q$21,4)=0),"",SUMIFS(DECKS!$D$2:$D$1201,DECKS!$A$2:$A$1201,INDEX(_LEITURA!$P$2:$P$21,4),DECKS!$B$2:$B$1201,$A254))</f>
        <v/>
      </c>
      <c r="O254" s="19" t="str">
        <f aca="false">IF(OR($A254="",INDEX(_LEITURA!$Q$2:$Q$21,5)=0),"",SUMIFS(DECKS!$D$2:$D$1201,DECKS!$A$2:$A$1201,INDEX(_LEITURA!$P$2:$P$21,5),DECKS!$B$2:$B$1201,$A254))</f>
        <v/>
      </c>
      <c r="P254" s="19" t="str">
        <f aca="false">IF(OR($A254="",INDEX(_LEITURA!$Q$2:$Q$21,6)=0),"",SUMIFS(DECKS!$D$2:$D$1201,DECKS!$A$2:$A$1201,INDEX(_LEITURA!$P$2:$P$21,6),DECKS!$B$2:$B$1201,$A254))</f>
        <v/>
      </c>
      <c r="Q254" s="19" t="str">
        <f aca="false">IF(OR($A254="",INDEX(_LEITURA!$Q$2:$Q$21,7)=0),"",SUMIFS(DECKS!$D$2:$D$1201,DECKS!$A$2:$A$1201,INDEX(_LEITURA!$P$2:$P$21,7),DECKS!$B$2:$B$1201,$A254))</f>
        <v/>
      </c>
      <c r="R254" s="19" t="str">
        <f aca="false">IF(OR($A254="",INDEX(_LEITURA!$Q$2:$Q$21,8)=0),"",SUMIFS(DECKS!$D$2:$D$1201,DECKS!$A$2:$A$1201,INDEX(_LEITURA!$P$2:$P$21,8),DECKS!$B$2:$B$1201,$A254))</f>
        <v/>
      </c>
      <c r="S254" s="19" t="str">
        <f aca="false">IF(OR($A254="",INDEX(_LEITURA!$Q$2:$Q$21,9)=0),"",SUMIFS(DECKS!$D$2:$D$1201,DECKS!$A$2:$A$1201,INDEX(_LEITURA!$P$2:$P$21,9),DECKS!$B$2:$B$1201,$A254))</f>
        <v/>
      </c>
      <c r="T254" s="19" t="str">
        <f aca="false">IF(OR($A254="",INDEX(_LEITURA!$Q$2:$Q$21,10)=0),"",SUMIFS(DECKS!$D$2:$D$1201,DECKS!$A$2:$A$1201,INDEX(_LEITURA!$P$2:$P$21,10),DECKS!$B$2:$B$1201,$A254))</f>
        <v/>
      </c>
      <c r="U254" s="19" t="str">
        <f aca="false">IF(OR($A254="",INDEX(_LEITURA!$Q$2:$Q$21,11)=0),"",SUMIFS(DECKS!$D$2:$D$1201,DECKS!$A$2:$A$1201,INDEX(_LEITURA!$P$2:$P$21,11),DECKS!$B$2:$B$1201,$A254))</f>
        <v/>
      </c>
      <c r="V254" s="19" t="str">
        <f aca="false">IF(OR($A254="",INDEX(_LEITURA!$Q$2:$Q$21,12)=0),"",SUMIFS(DECKS!$D$2:$D$1201,DECKS!$A$2:$A$1201,INDEX(_LEITURA!$P$2:$P$21,12),DECKS!$B$2:$B$1201,$A254))</f>
        <v/>
      </c>
      <c r="W254" s="19" t="str">
        <f aca="false">IF(OR($A254="",INDEX(_LEITURA!$Q$2:$Q$21,13)=0),"",SUMIFS(DECKS!$D$2:$D$1201,DECKS!$A$2:$A$1201,INDEX(_LEITURA!$P$2:$P$21,13),DECKS!$B$2:$B$1201,$A254))</f>
        <v/>
      </c>
      <c r="X254" s="19" t="str">
        <f aca="false">IF(OR($A254="",INDEX(_LEITURA!$Q$2:$Q$21,14)=0),"",SUMIFS(DECKS!$D$2:$D$1201,DECKS!$A$2:$A$1201,INDEX(_LEITURA!$P$2:$P$21,14),DECKS!$B$2:$B$1201,$A254))</f>
        <v/>
      </c>
      <c r="Y254" s="19" t="str">
        <f aca="false">IF(OR($A254="",INDEX(_LEITURA!$Q$2:$Q$21,15)=0),"",SUMIFS(DECKS!$D$2:$D$1201,DECKS!$A$2:$A$1201,INDEX(_LEITURA!$P$2:$P$21,15),DECKS!$B$2:$B$1201,$A254))</f>
        <v/>
      </c>
      <c r="Z254" s="19" t="str">
        <f aca="false">IF(OR($A254="",INDEX(_LEITURA!$Q$2:$Q$21,16)=0),"",SUMIFS(DECKS!$D$2:$D$1201,DECKS!$A$2:$A$1201,INDEX(_LEITURA!$P$2:$P$21,16),DECKS!$B$2:$B$1201,$A254))</f>
        <v/>
      </c>
      <c r="AA254" s="19" t="str">
        <f aca="false">IF(OR($A254="",INDEX(_LEITURA!$Q$2:$Q$21,17)=0),"",SUMIFS(DECKS!$D$2:$D$1201,DECKS!$A$2:$A$1201,INDEX(_LEITURA!$P$2:$P$21,17),DECKS!$B$2:$B$1201,$A254))</f>
        <v/>
      </c>
      <c r="AB254" s="19" t="str">
        <f aca="false">IF(OR($A254="",INDEX(_LEITURA!$Q$2:$Q$21,18)=0),"",SUMIFS(DECKS!$D$2:$D$1201,DECKS!$A$2:$A$1201,INDEX(_LEITURA!$P$2:$P$21,18),DECKS!$B$2:$B$1201,$A254))</f>
        <v/>
      </c>
      <c r="AC254" s="19" t="str">
        <f aca="false">IF(OR($A254="",INDEX(_LEITURA!$Q$2:$Q$21,19)=0),"",SUMIFS(DECKS!$D$2:$D$1201,DECKS!$A$2:$A$1201,INDEX(_LEITURA!$P$2:$P$21,19),DECKS!$B$2:$B$1201,$A254))</f>
        <v/>
      </c>
      <c r="AD254" s="19" t="str">
        <f aca="false">IF(OR($A254="",INDEX(_LEITURA!$Q$2:$Q$21,20)=0),"",SUMIFS(DECKS!$D$2:$D$1201,DECKS!$A$2:$A$1201,INDEX(_LEITURA!$P$2:$P$21,20),DECKS!$B$2:$B$1201,$A254))</f>
        <v/>
      </c>
      <c r="AE254" s="16" t="str">
        <f aca="false">IF(N(E254)&gt;0,MAX(AE$1:AE253)+1,"")</f>
        <v/>
      </c>
      <c r="AF254" s="11" t="str">
        <f aca="false">IF(A254="","",IFERROR(LEFT(A254,FIND("-",A254)-1),A254))</f>
        <v/>
      </c>
      <c r="AG254" s="11" t="str">
        <f aca="false">IF(AF254="","",IF(ISNUMBER(--MID(AF254,1,1)),0,IF(ISNUMBER(--MID(AF254,2,1)),1,IF(ISNUMBER(--MID(AF254,3,1)),2,IF(ISNUMBER(--MID(AF254,4,1)),3,MIN(LEN(AF254),4))))))</f>
        <v/>
      </c>
      <c r="AH254" s="11" t="str">
        <f aca="false">IF(A254="","",LEFT(AF254,AG254)&amp;REPT("0",4-AG254)&amp;RIGHT("000"&amp;IFERROR(VALUE(MID(AF254,AG254+1,9)),0),3)&amp;RIGHT("0000"&amp;IFERROR(VALUE(MID(A254,FIND("-",A254)+1,9)),0),4))</f>
        <v/>
      </c>
      <c r="AI254" s="11" t="str">
        <f aca="false">IF(OR(A254="",N(E254)&lt;=0),"",IF('FALTAS GERAL'!$M$1="Código","K"&amp;AH254&amp;RIGHT("00000"&amp;ROW(),5),IF('FALTAS GERAL'!$M$1="Nome","K"&amp;UPPER(SUBSTITUTE(SUBSTITUTE(SUBSTITUTE(B254,"*",""),"?",""),"~",""))&amp;"0"&amp;AH254&amp;RIGHT("00000"&amp;ROW(),5),IF('FALTAS GERAL'!$M$1="Falta (maior primeiro)","K"&amp;RIGHT("0000"&amp;(9999-E254),4)&amp;AH254&amp;RIGHT("00000"&amp;ROW(),5),IF('FALTAS GERAL'!$M$1="Nº de decks (maior primeiro)","K"&amp;RIGHT("00"&amp;(99-N(G254)),2)&amp;AH254&amp;RIGHT("00000"&amp;ROW(),5),"K"&amp;RIGHT("00000"&amp;ROW(),5))))))</f>
        <v/>
      </c>
      <c r="AJ254" s="11" t="str">
        <f aca="false">IF(AI254="","",COUNTIFS($AI$2:$AI$801,"&lt;"&amp;AI254,$E$2:$E$801,"&gt;0")+1)</f>
        <v/>
      </c>
      <c r="AK254" s="11" t="str">
        <f aca="false">IF(OR(A254="",N(E254)&lt;=0),"",COUNTIFS($AH$2:$AH$801,"&lt;"&amp;AH254,$E$2:$E$801,"&gt;0")+COUNTIFS($AH$2:AH254,AH254,$E$2:E254,"&gt;0"))</f>
        <v/>
      </c>
    </row>
    <row r="255" customFormat="false" ht="15" hidden="false" customHeight="false" outlineLevel="0" collapsed="false">
      <c r="A255" s="11" t="str">
        <f aca="false">IF(INVENTÁRIO!A255="","",INVENTÁRIO!A255)</f>
        <v/>
      </c>
      <c r="B255" s="11" t="str">
        <f aca="false">IF(A255="","",INVENTÁRIO!B255)</f>
        <v/>
      </c>
      <c r="C255" s="16" t="str">
        <f aca="false">IF(A255="","",INVENTÁRIO!C255)</f>
        <v/>
      </c>
      <c r="D255" s="14" t="str">
        <f aca="false">IF(A255="","",MAX(K255:AD255))</f>
        <v/>
      </c>
      <c r="E255" s="14" t="str">
        <f aca="false">IF(A255="","",MAX(0,D255-C255))</f>
        <v/>
      </c>
      <c r="F255" s="16" t="str">
        <f aca="false">IF(A255="","",IF(D255=0,"Fora dos decks",IF(E255=0,"Completo","Falta")))</f>
        <v/>
      </c>
      <c r="G255" s="16" t="str">
        <f aca="false">IF(A255="","",COUNTIF(K255:AD255,"&gt;0"))</f>
        <v/>
      </c>
      <c r="H255" s="16" t="str">
        <f aca="false">IF(A255="","",IF(G255&gt;1,"Sim",""))</f>
        <v/>
      </c>
      <c r="I255" s="18" t="str">
        <f aca="false">IF(A255="","",SUMIFS(DECKS!$D$2:$D$1201,DECKS!$B$2:$B$1201,A255))</f>
        <v/>
      </c>
      <c r="J255" s="18" t="str">
        <f aca="false">IF(A255="","",MAX(0,I255-C255))</f>
        <v/>
      </c>
      <c r="K255" s="19" t="str">
        <f aca="false">IF(OR($A255="",INDEX(_LEITURA!$Q$2:$Q$21,1)=0),"",SUMIFS(DECKS!$D$2:$D$1201,DECKS!$A$2:$A$1201,INDEX(_LEITURA!$P$2:$P$21,1),DECKS!$B$2:$B$1201,$A255))</f>
        <v/>
      </c>
      <c r="L255" s="19" t="str">
        <f aca="false">IF(OR($A255="",INDEX(_LEITURA!$Q$2:$Q$21,2)=0),"",SUMIFS(DECKS!$D$2:$D$1201,DECKS!$A$2:$A$1201,INDEX(_LEITURA!$P$2:$P$21,2),DECKS!$B$2:$B$1201,$A255))</f>
        <v/>
      </c>
      <c r="M255" s="19" t="str">
        <f aca="false">IF(OR($A255="",INDEX(_LEITURA!$Q$2:$Q$21,3)=0),"",SUMIFS(DECKS!$D$2:$D$1201,DECKS!$A$2:$A$1201,INDEX(_LEITURA!$P$2:$P$21,3),DECKS!$B$2:$B$1201,$A255))</f>
        <v/>
      </c>
      <c r="N255" s="19" t="str">
        <f aca="false">IF(OR($A255="",INDEX(_LEITURA!$Q$2:$Q$21,4)=0),"",SUMIFS(DECKS!$D$2:$D$1201,DECKS!$A$2:$A$1201,INDEX(_LEITURA!$P$2:$P$21,4),DECKS!$B$2:$B$1201,$A255))</f>
        <v/>
      </c>
      <c r="O255" s="19" t="str">
        <f aca="false">IF(OR($A255="",INDEX(_LEITURA!$Q$2:$Q$21,5)=0),"",SUMIFS(DECKS!$D$2:$D$1201,DECKS!$A$2:$A$1201,INDEX(_LEITURA!$P$2:$P$21,5),DECKS!$B$2:$B$1201,$A255))</f>
        <v/>
      </c>
      <c r="P255" s="19" t="str">
        <f aca="false">IF(OR($A255="",INDEX(_LEITURA!$Q$2:$Q$21,6)=0),"",SUMIFS(DECKS!$D$2:$D$1201,DECKS!$A$2:$A$1201,INDEX(_LEITURA!$P$2:$P$21,6),DECKS!$B$2:$B$1201,$A255))</f>
        <v/>
      </c>
      <c r="Q255" s="19" t="str">
        <f aca="false">IF(OR($A255="",INDEX(_LEITURA!$Q$2:$Q$21,7)=0),"",SUMIFS(DECKS!$D$2:$D$1201,DECKS!$A$2:$A$1201,INDEX(_LEITURA!$P$2:$P$21,7),DECKS!$B$2:$B$1201,$A255))</f>
        <v/>
      </c>
      <c r="R255" s="19" t="str">
        <f aca="false">IF(OR($A255="",INDEX(_LEITURA!$Q$2:$Q$21,8)=0),"",SUMIFS(DECKS!$D$2:$D$1201,DECKS!$A$2:$A$1201,INDEX(_LEITURA!$P$2:$P$21,8),DECKS!$B$2:$B$1201,$A255))</f>
        <v/>
      </c>
      <c r="S255" s="19" t="str">
        <f aca="false">IF(OR($A255="",INDEX(_LEITURA!$Q$2:$Q$21,9)=0),"",SUMIFS(DECKS!$D$2:$D$1201,DECKS!$A$2:$A$1201,INDEX(_LEITURA!$P$2:$P$21,9),DECKS!$B$2:$B$1201,$A255))</f>
        <v/>
      </c>
      <c r="T255" s="19" t="str">
        <f aca="false">IF(OR($A255="",INDEX(_LEITURA!$Q$2:$Q$21,10)=0),"",SUMIFS(DECKS!$D$2:$D$1201,DECKS!$A$2:$A$1201,INDEX(_LEITURA!$P$2:$P$21,10),DECKS!$B$2:$B$1201,$A255))</f>
        <v/>
      </c>
      <c r="U255" s="19" t="str">
        <f aca="false">IF(OR($A255="",INDEX(_LEITURA!$Q$2:$Q$21,11)=0),"",SUMIFS(DECKS!$D$2:$D$1201,DECKS!$A$2:$A$1201,INDEX(_LEITURA!$P$2:$P$21,11),DECKS!$B$2:$B$1201,$A255))</f>
        <v/>
      </c>
      <c r="V255" s="19" t="str">
        <f aca="false">IF(OR($A255="",INDEX(_LEITURA!$Q$2:$Q$21,12)=0),"",SUMIFS(DECKS!$D$2:$D$1201,DECKS!$A$2:$A$1201,INDEX(_LEITURA!$P$2:$P$21,12),DECKS!$B$2:$B$1201,$A255))</f>
        <v/>
      </c>
      <c r="W255" s="19" t="str">
        <f aca="false">IF(OR($A255="",INDEX(_LEITURA!$Q$2:$Q$21,13)=0),"",SUMIFS(DECKS!$D$2:$D$1201,DECKS!$A$2:$A$1201,INDEX(_LEITURA!$P$2:$P$21,13),DECKS!$B$2:$B$1201,$A255))</f>
        <v/>
      </c>
      <c r="X255" s="19" t="str">
        <f aca="false">IF(OR($A255="",INDEX(_LEITURA!$Q$2:$Q$21,14)=0),"",SUMIFS(DECKS!$D$2:$D$1201,DECKS!$A$2:$A$1201,INDEX(_LEITURA!$P$2:$P$21,14),DECKS!$B$2:$B$1201,$A255))</f>
        <v/>
      </c>
      <c r="Y255" s="19" t="str">
        <f aca="false">IF(OR($A255="",INDEX(_LEITURA!$Q$2:$Q$21,15)=0),"",SUMIFS(DECKS!$D$2:$D$1201,DECKS!$A$2:$A$1201,INDEX(_LEITURA!$P$2:$P$21,15),DECKS!$B$2:$B$1201,$A255))</f>
        <v/>
      </c>
      <c r="Z255" s="19" t="str">
        <f aca="false">IF(OR($A255="",INDEX(_LEITURA!$Q$2:$Q$21,16)=0),"",SUMIFS(DECKS!$D$2:$D$1201,DECKS!$A$2:$A$1201,INDEX(_LEITURA!$P$2:$P$21,16),DECKS!$B$2:$B$1201,$A255))</f>
        <v/>
      </c>
      <c r="AA255" s="19" t="str">
        <f aca="false">IF(OR($A255="",INDEX(_LEITURA!$Q$2:$Q$21,17)=0),"",SUMIFS(DECKS!$D$2:$D$1201,DECKS!$A$2:$A$1201,INDEX(_LEITURA!$P$2:$P$21,17),DECKS!$B$2:$B$1201,$A255))</f>
        <v/>
      </c>
      <c r="AB255" s="19" t="str">
        <f aca="false">IF(OR($A255="",INDEX(_LEITURA!$Q$2:$Q$21,18)=0),"",SUMIFS(DECKS!$D$2:$D$1201,DECKS!$A$2:$A$1201,INDEX(_LEITURA!$P$2:$P$21,18),DECKS!$B$2:$B$1201,$A255))</f>
        <v/>
      </c>
      <c r="AC255" s="19" t="str">
        <f aca="false">IF(OR($A255="",INDEX(_LEITURA!$Q$2:$Q$21,19)=0),"",SUMIFS(DECKS!$D$2:$D$1201,DECKS!$A$2:$A$1201,INDEX(_LEITURA!$P$2:$P$21,19),DECKS!$B$2:$B$1201,$A255))</f>
        <v/>
      </c>
      <c r="AD255" s="19" t="str">
        <f aca="false">IF(OR($A255="",INDEX(_LEITURA!$Q$2:$Q$21,20)=0),"",SUMIFS(DECKS!$D$2:$D$1201,DECKS!$A$2:$A$1201,INDEX(_LEITURA!$P$2:$P$21,20),DECKS!$B$2:$B$1201,$A255))</f>
        <v/>
      </c>
      <c r="AE255" s="16" t="str">
        <f aca="false">IF(N(E255)&gt;0,MAX(AE$1:AE254)+1,"")</f>
        <v/>
      </c>
      <c r="AF255" s="11" t="str">
        <f aca="false">IF(A255="","",IFERROR(LEFT(A255,FIND("-",A255)-1),A255))</f>
        <v/>
      </c>
      <c r="AG255" s="11" t="str">
        <f aca="false">IF(AF255="","",IF(ISNUMBER(--MID(AF255,1,1)),0,IF(ISNUMBER(--MID(AF255,2,1)),1,IF(ISNUMBER(--MID(AF255,3,1)),2,IF(ISNUMBER(--MID(AF255,4,1)),3,MIN(LEN(AF255),4))))))</f>
        <v/>
      </c>
      <c r="AH255" s="11" t="str">
        <f aca="false">IF(A255="","",LEFT(AF255,AG255)&amp;REPT("0",4-AG255)&amp;RIGHT("000"&amp;IFERROR(VALUE(MID(AF255,AG255+1,9)),0),3)&amp;RIGHT("0000"&amp;IFERROR(VALUE(MID(A255,FIND("-",A255)+1,9)),0),4))</f>
        <v/>
      </c>
      <c r="AI255" s="11" t="str">
        <f aca="false">IF(OR(A255="",N(E255)&lt;=0),"",IF('FALTAS GERAL'!$M$1="Código","K"&amp;AH255&amp;RIGHT("00000"&amp;ROW(),5),IF('FALTAS GERAL'!$M$1="Nome","K"&amp;UPPER(SUBSTITUTE(SUBSTITUTE(SUBSTITUTE(B255,"*",""),"?",""),"~",""))&amp;"0"&amp;AH255&amp;RIGHT("00000"&amp;ROW(),5),IF('FALTAS GERAL'!$M$1="Falta (maior primeiro)","K"&amp;RIGHT("0000"&amp;(9999-E255),4)&amp;AH255&amp;RIGHT("00000"&amp;ROW(),5),IF('FALTAS GERAL'!$M$1="Nº de decks (maior primeiro)","K"&amp;RIGHT("00"&amp;(99-N(G255)),2)&amp;AH255&amp;RIGHT("00000"&amp;ROW(),5),"K"&amp;RIGHT("00000"&amp;ROW(),5))))))</f>
        <v/>
      </c>
      <c r="AJ255" s="11" t="str">
        <f aca="false">IF(AI255="","",COUNTIFS($AI$2:$AI$801,"&lt;"&amp;AI255,$E$2:$E$801,"&gt;0")+1)</f>
        <v/>
      </c>
      <c r="AK255" s="11" t="str">
        <f aca="false">IF(OR(A255="",N(E255)&lt;=0),"",COUNTIFS($AH$2:$AH$801,"&lt;"&amp;AH255,$E$2:$E$801,"&gt;0")+COUNTIFS($AH$2:AH255,AH255,$E$2:E255,"&gt;0"))</f>
        <v/>
      </c>
    </row>
    <row r="256" customFormat="false" ht="15" hidden="false" customHeight="false" outlineLevel="0" collapsed="false">
      <c r="A256" s="11" t="str">
        <f aca="false">IF(INVENTÁRIO!A256="","",INVENTÁRIO!A256)</f>
        <v/>
      </c>
      <c r="B256" s="11" t="str">
        <f aca="false">IF(A256="","",INVENTÁRIO!B256)</f>
        <v/>
      </c>
      <c r="C256" s="16" t="str">
        <f aca="false">IF(A256="","",INVENTÁRIO!C256)</f>
        <v/>
      </c>
      <c r="D256" s="14" t="str">
        <f aca="false">IF(A256="","",MAX(K256:AD256))</f>
        <v/>
      </c>
      <c r="E256" s="14" t="str">
        <f aca="false">IF(A256="","",MAX(0,D256-C256))</f>
        <v/>
      </c>
      <c r="F256" s="16" t="str">
        <f aca="false">IF(A256="","",IF(D256=0,"Fora dos decks",IF(E256=0,"Completo","Falta")))</f>
        <v/>
      </c>
      <c r="G256" s="16" t="str">
        <f aca="false">IF(A256="","",COUNTIF(K256:AD256,"&gt;0"))</f>
        <v/>
      </c>
      <c r="H256" s="16" t="str">
        <f aca="false">IF(A256="","",IF(G256&gt;1,"Sim",""))</f>
        <v/>
      </c>
      <c r="I256" s="18" t="str">
        <f aca="false">IF(A256="","",SUMIFS(DECKS!$D$2:$D$1201,DECKS!$B$2:$B$1201,A256))</f>
        <v/>
      </c>
      <c r="J256" s="18" t="str">
        <f aca="false">IF(A256="","",MAX(0,I256-C256))</f>
        <v/>
      </c>
      <c r="K256" s="19" t="str">
        <f aca="false">IF(OR($A256="",INDEX(_LEITURA!$Q$2:$Q$21,1)=0),"",SUMIFS(DECKS!$D$2:$D$1201,DECKS!$A$2:$A$1201,INDEX(_LEITURA!$P$2:$P$21,1),DECKS!$B$2:$B$1201,$A256))</f>
        <v/>
      </c>
      <c r="L256" s="19" t="str">
        <f aca="false">IF(OR($A256="",INDEX(_LEITURA!$Q$2:$Q$21,2)=0),"",SUMIFS(DECKS!$D$2:$D$1201,DECKS!$A$2:$A$1201,INDEX(_LEITURA!$P$2:$P$21,2),DECKS!$B$2:$B$1201,$A256))</f>
        <v/>
      </c>
      <c r="M256" s="19" t="str">
        <f aca="false">IF(OR($A256="",INDEX(_LEITURA!$Q$2:$Q$21,3)=0),"",SUMIFS(DECKS!$D$2:$D$1201,DECKS!$A$2:$A$1201,INDEX(_LEITURA!$P$2:$P$21,3),DECKS!$B$2:$B$1201,$A256))</f>
        <v/>
      </c>
      <c r="N256" s="19" t="str">
        <f aca="false">IF(OR($A256="",INDEX(_LEITURA!$Q$2:$Q$21,4)=0),"",SUMIFS(DECKS!$D$2:$D$1201,DECKS!$A$2:$A$1201,INDEX(_LEITURA!$P$2:$P$21,4),DECKS!$B$2:$B$1201,$A256))</f>
        <v/>
      </c>
      <c r="O256" s="19" t="str">
        <f aca="false">IF(OR($A256="",INDEX(_LEITURA!$Q$2:$Q$21,5)=0),"",SUMIFS(DECKS!$D$2:$D$1201,DECKS!$A$2:$A$1201,INDEX(_LEITURA!$P$2:$P$21,5),DECKS!$B$2:$B$1201,$A256))</f>
        <v/>
      </c>
      <c r="P256" s="19" t="str">
        <f aca="false">IF(OR($A256="",INDEX(_LEITURA!$Q$2:$Q$21,6)=0),"",SUMIFS(DECKS!$D$2:$D$1201,DECKS!$A$2:$A$1201,INDEX(_LEITURA!$P$2:$P$21,6),DECKS!$B$2:$B$1201,$A256))</f>
        <v/>
      </c>
      <c r="Q256" s="19" t="str">
        <f aca="false">IF(OR($A256="",INDEX(_LEITURA!$Q$2:$Q$21,7)=0),"",SUMIFS(DECKS!$D$2:$D$1201,DECKS!$A$2:$A$1201,INDEX(_LEITURA!$P$2:$P$21,7),DECKS!$B$2:$B$1201,$A256))</f>
        <v/>
      </c>
      <c r="R256" s="19" t="str">
        <f aca="false">IF(OR($A256="",INDEX(_LEITURA!$Q$2:$Q$21,8)=0),"",SUMIFS(DECKS!$D$2:$D$1201,DECKS!$A$2:$A$1201,INDEX(_LEITURA!$P$2:$P$21,8),DECKS!$B$2:$B$1201,$A256))</f>
        <v/>
      </c>
      <c r="S256" s="19" t="str">
        <f aca="false">IF(OR($A256="",INDEX(_LEITURA!$Q$2:$Q$21,9)=0),"",SUMIFS(DECKS!$D$2:$D$1201,DECKS!$A$2:$A$1201,INDEX(_LEITURA!$P$2:$P$21,9),DECKS!$B$2:$B$1201,$A256))</f>
        <v/>
      </c>
      <c r="T256" s="19" t="str">
        <f aca="false">IF(OR($A256="",INDEX(_LEITURA!$Q$2:$Q$21,10)=0),"",SUMIFS(DECKS!$D$2:$D$1201,DECKS!$A$2:$A$1201,INDEX(_LEITURA!$P$2:$P$21,10),DECKS!$B$2:$B$1201,$A256))</f>
        <v/>
      </c>
      <c r="U256" s="19" t="str">
        <f aca="false">IF(OR($A256="",INDEX(_LEITURA!$Q$2:$Q$21,11)=0),"",SUMIFS(DECKS!$D$2:$D$1201,DECKS!$A$2:$A$1201,INDEX(_LEITURA!$P$2:$P$21,11),DECKS!$B$2:$B$1201,$A256))</f>
        <v/>
      </c>
      <c r="V256" s="19" t="str">
        <f aca="false">IF(OR($A256="",INDEX(_LEITURA!$Q$2:$Q$21,12)=0),"",SUMIFS(DECKS!$D$2:$D$1201,DECKS!$A$2:$A$1201,INDEX(_LEITURA!$P$2:$P$21,12),DECKS!$B$2:$B$1201,$A256))</f>
        <v/>
      </c>
      <c r="W256" s="19" t="str">
        <f aca="false">IF(OR($A256="",INDEX(_LEITURA!$Q$2:$Q$21,13)=0),"",SUMIFS(DECKS!$D$2:$D$1201,DECKS!$A$2:$A$1201,INDEX(_LEITURA!$P$2:$P$21,13),DECKS!$B$2:$B$1201,$A256))</f>
        <v/>
      </c>
      <c r="X256" s="19" t="str">
        <f aca="false">IF(OR($A256="",INDEX(_LEITURA!$Q$2:$Q$21,14)=0),"",SUMIFS(DECKS!$D$2:$D$1201,DECKS!$A$2:$A$1201,INDEX(_LEITURA!$P$2:$P$21,14),DECKS!$B$2:$B$1201,$A256))</f>
        <v/>
      </c>
      <c r="Y256" s="19" t="str">
        <f aca="false">IF(OR($A256="",INDEX(_LEITURA!$Q$2:$Q$21,15)=0),"",SUMIFS(DECKS!$D$2:$D$1201,DECKS!$A$2:$A$1201,INDEX(_LEITURA!$P$2:$P$21,15),DECKS!$B$2:$B$1201,$A256))</f>
        <v/>
      </c>
      <c r="Z256" s="19" t="str">
        <f aca="false">IF(OR($A256="",INDEX(_LEITURA!$Q$2:$Q$21,16)=0),"",SUMIFS(DECKS!$D$2:$D$1201,DECKS!$A$2:$A$1201,INDEX(_LEITURA!$P$2:$P$21,16),DECKS!$B$2:$B$1201,$A256))</f>
        <v/>
      </c>
      <c r="AA256" s="19" t="str">
        <f aca="false">IF(OR($A256="",INDEX(_LEITURA!$Q$2:$Q$21,17)=0),"",SUMIFS(DECKS!$D$2:$D$1201,DECKS!$A$2:$A$1201,INDEX(_LEITURA!$P$2:$P$21,17),DECKS!$B$2:$B$1201,$A256))</f>
        <v/>
      </c>
      <c r="AB256" s="19" t="str">
        <f aca="false">IF(OR($A256="",INDEX(_LEITURA!$Q$2:$Q$21,18)=0),"",SUMIFS(DECKS!$D$2:$D$1201,DECKS!$A$2:$A$1201,INDEX(_LEITURA!$P$2:$P$21,18),DECKS!$B$2:$B$1201,$A256))</f>
        <v/>
      </c>
      <c r="AC256" s="19" t="str">
        <f aca="false">IF(OR($A256="",INDEX(_LEITURA!$Q$2:$Q$21,19)=0),"",SUMIFS(DECKS!$D$2:$D$1201,DECKS!$A$2:$A$1201,INDEX(_LEITURA!$P$2:$P$21,19),DECKS!$B$2:$B$1201,$A256))</f>
        <v/>
      </c>
      <c r="AD256" s="19" t="str">
        <f aca="false">IF(OR($A256="",INDEX(_LEITURA!$Q$2:$Q$21,20)=0),"",SUMIFS(DECKS!$D$2:$D$1201,DECKS!$A$2:$A$1201,INDEX(_LEITURA!$P$2:$P$21,20),DECKS!$B$2:$B$1201,$A256))</f>
        <v/>
      </c>
      <c r="AE256" s="16" t="str">
        <f aca="false">IF(N(E256)&gt;0,MAX(AE$1:AE255)+1,"")</f>
        <v/>
      </c>
      <c r="AF256" s="11" t="str">
        <f aca="false">IF(A256="","",IFERROR(LEFT(A256,FIND("-",A256)-1),A256))</f>
        <v/>
      </c>
      <c r="AG256" s="11" t="str">
        <f aca="false">IF(AF256="","",IF(ISNUMBER(--MID(AF256,1,1)),0,IF(ISNUMBER(--MID(AF256,2,1)),1,IF(ISNUMBER(--MID(AF256,3,1)),2,IF(ISNUMBER(--MID(AF256,4,1)),3,MIN(LEN(AF256),4))))))</f>
        <v/>
      </c>
      <c r="AH256" s="11" t="str">
        <f aca="false">IF(A256="","",LEFT(AF256,AG256)&amp;REPT("0",4-AG256)&amp;RIGHT("000"&amp;IFERROR(VALUE(MID(AF256,AG256+1,9)),0),3)&amp;RIGHT("0000"&amp;IFERROR(VALUE(MID(A256,FIND("-",A256)+1,9)),0),4))</f>
        <v/>
      </c>
      <c r="AI256" s="11" t="str">
        <f aca="false">IF(OR(A256="",N(E256)&lt;=0),"",IF('FALTAS GERAL'!$M$1="Código","K"&amp;AH256&amp;RIGHT("00000"&amp;ROW(),5),IF('FALTAS GERAL'!$M$1="Nome","K"&amp;UPPER(SUBSTITUTE(SUBSTITUTE(SUBSTITUTE(B256,"*",""),"?",""),"~",""))&amp;"0"&amp;AH256&amp;RIGHT("00000"&amp;ROW(),5),IF('FALTAS GERAL'!$M$1="Falta (maior primeiro)","K"&amp;RIGHT("0000"&amp;(9999-E256),4)&amp;AH256&amp;RIGHT("00000"&amp;ROW(),5),IF('FALTAS GERAL'!$M$1="Nº de decks (maior primeiro)","K"&amp;RIGHT("00"&amp;(99-N(G256)),2)&amp;AH256&amp;RIGHT("00000"&amp;ROW(),5),"K"&amp;RIGHT("00000"&amp;ROW(),5))))))</f>
        <v/>
      </c>
      <c r="AJ256" s="11" t="str">
        <f aca="false">IF(AI256="","",COUNTIFS($AI$2:$AI$801,"&lt;"&amp;AI256,$E$2:$E$801,"&gt;0")+1)</f>
        <v/>
      </c>
      <c r="AK256" s="11" t="str">
        <f aca="false">IF(OR(A256="",N(E256)&lt;=0),"",COUNTIFS($AH$2:$AH$801,"&lt;"&amp;AH256,$E$2:$E$801,"&gt;0")+COUNTIFS($AH$2:AH256,AH256,$E$2:E256,"&gt;0"))</f>
        <v/>
      </c>
    </row>
    <row r="257" customFormat="false" ht="15" hidden="false" customHeight="false" outlineLevel="0" collapsed="false">
      <c r="A257" s="11" t="str">
        <f aca="false">IF(INVENTÁRIO!A257="","",INVENTÁRIO!A257)</f>
        <v/>
      </c>
      <c r="B257" s="11" t="str">
        <f aca="false">IF(A257="","",INVENTÁRIO!B257)</f>
        <v/>
      </c>
      <c r="C257" s="16" t="str">
        <f aca="false">IF(A257="","",INVENTÁRIO!C257)</f>
        <v/>
      </c>
      <c r="D257" s="14" t="str">
        <f aca="false">IF(A257="","",MAX(K257:AD257))</f>
        <v/>
      </c>
      <c r="E257" s="14" t="str">
        <f aca="false">IF(A257="","",MAX(0,D257-C257))</f>
        <v/>
      </c>
      <c r="F257" s="16" t="str">
        <f aca="false">IF(A257="","",IF(D257=0,"Fora dos decks",IF(E257=0,"Completo","Falta")))</f>
        <v/>
      </c>
      <c r="G257" s="16" t="str">
        <f aca="false">IF(A257="","",COUNTIF(K257:AD257,"&gt;0"))</f>
        <v/>
      </c>
      <c r="H257" s="16" t="str">
        <f aca="false">IF(A257="","",IF(G257&gt;1,"Sim",""))</f>
        <v/>
      </c>
      <c r="I257" s="18" t="str">
        <f aca="false">IF(A257="","",SUMIFS(DECKS!$D$2:$D$1201,DECKS!$B$2:$B$1201,A257))</f>
        <v/>
      </c>
      <c r="J257" s="18" t="str">
        <f aca="false">IF(A257="","",MAX(0,I257-C257))</f>
        <v/>
      </c>
      <c r="K257" s="19" t="str">
        <f aca="false">IF(OR($A257="",INDEX(_LEITURA!$Q$2:$Q$21,1)=0),"",SUMIFS(DECKS!$D$2:$D$1201,DECKS!$A$2:$A$1201,INDEX(_LEITURA!$P$2:$P$21,1),DECKS!$B$2:$B$1201,$A257))</f>
        <v/>
      </c>
      <c r="L257" s="19" t="str">
        <f aca="false">IF(OR($A257="",INDEX(_LEITURA!$Q$2:$Q$21,2)=0),"",SUMIFS(DECKS!$D$2:$D$1201,DECKS!$A$2:$A$1201,INDEX(_LEITURA!$P$2:$P$21,2),DECKS!$B$2:$B$1201,$A257))</f>
        <v/>
      </c>
      <c r="M257" s="19" t="str">
        <f aca="false">IF(OR($A257="",INDEX(_LEITURA!$Q$2:$Q$21,3)=0),"",SUMIFS(DECKS!$D$2:$D$1201,DECKS!$A$2:$A$1201,INDEX(_LEITURA!$P$2:$P$21,3),DECKS!$B$2:$B$1201,$A257))</f>
        <v/>
      </c>
      <c r="N257" s="19" t="str">
        <f aca="false">IF(OR($A257="",INDEX(_LEITURA!$Q$2:$Q$21,4)=0),"",SUMIFS(DECKS!$D$2:$D$1201,DECKS!$A$2:$A$1201,INDEX(_LEITURA!$P$2:$P$21,4),DECKS!$B$2:$B$1201,$A257))</f>
        <v/>
      </c>
      <c r="O257" s="19" t="str">
        <f aca="false">IF(OR($A257="",INDEX(_LEITURA!$Q$2:$Q$21,5)=0),"",SUMIFS(DECKS!$D$2:$D$1201,DECKS!$A$2:$A$1201,INDEX(_LEITURA!$P$2:$P$21,5),DECKS!$B$2:$B$1201,$A257))</f>
        <v/>
      </c>
      <c r="P257" s="19" t="str">
        <f aca="false">IF(OR($A257="",INDEX(_LEITURA!$Q$2:$Q$21,6)=0),"",SUMIFS(DECKS!$D$2:$D$1201,DECKS!$A$2:$A$1201,INDEX(_LEITURA!$P$2:$P$21,6),DECKS!$B$2:$B$1201,$A257))</f>
        <v/>
      </c>
      <c r="Q257" s="19" t="str">
        <f aca="false">IF(OR($A257="",INDEX(_LEITURA!$Q$2:$Q$21,7)=0),"",SUMIFS(DECKS!$D$2:$D$1201,DECKS!$A$2:$A$1201,INDEX(_LEITURA!$P$2:$P$21,7),DECKS!$B$2:$B$1201,$A257))</f>
        <v/>
      </c>
      <c r="R257" s="19" t="str">
        <f aca="false">IF(OR($A257="",INDEX(_LEITURA!$Q$2:$Q$21,8)=0),"",SUMIFS(DECKS!$D$2:$D$1201,DECKS!$A$2:$A$1201,INDEX(_LEITURA!$P$2:$P$21,8),DECKS!$B$2:$B$1201,$A257))</f>
        <v/>
      </c>
      <c r="S257" s="19" t="str">
        <f aca="false">IF(OR($A257="",INDEX(_LEITURA!$Q$2:$Q$21,9)=0),"",SUMIFS(DECKS!$D$2:$D$1201,DECKS!$A$2:$A$1201,INDEX(_LEITURA!$P$2:$P$21,9),DECKS!$B$2:$B$1201,$A257))</f>
        <v/>
      </c>
      <c r="T257" s="19" t="str">
        <f aca="false">IF(OR($A257="",INDEX(_LEITURA!$Q$2:$Q$21,10)=0),"",SUMIFS(DECKS!$D$2:$D$1201,DECKS!$A$2:$A$1201,INDEX(_LEITURA!$P$2:$P$21,10),DECKS!$B$2:$B$1201,$A257))</f>
        <v/>
      </c>
      <c r="U257" s="19" t="str">
        <f aca="false">IF(OR($A257="",INDEX(_LEITURA!$Q$2:$Q$21,11)=0),"",SUMIFS(DECKS!$D$2:$D$1201,DECKS!$A$2:$A$1201,INDEX(_LEITURA!$P$2:$P$21,11),DECKS!$B$2:$B$1201,$A257))</f>
        <v/>
      </c>
      <c r="V257" s="19" t="str">
        <f aca="false">IF(OR($A257="",INDEX(_LEITURA!$Q$2:$Q$21,12)=0),"",SUMIFS(DECKS!$D$2:$D$1201,DECKS!$A$2:$A$1201,INDEX(_LEITURA!$P$2:$P$21,12),DECKS!$B$2:$B$1201,$A257))</f>
        <v/>
      </c>
      <c r="W257" s="19" t="str">
        <f aca="false">IF(OR($A257="",INDEX(_LEITURA!$Q$2:$Q$21,13)=0),"",SUMIFS(DECKS!$D$2:$D$1201,DECKS!$A$2:$A$1201,INDEX(_LEITURA!$P$2:$P$21,13),DECKS!$B$2:$B$1201,$A257))</f>
        <v/>
      </c>
      <c r="X257" s="19" t="str">
        <f aca="false">IF(OR($A257="",INDEX(_LEITURA!$Q$2:$Q$21,14)=0),"",SUMIFS(DECKS!$D$2:$D$1201,DECKS!$A$2:$A$1201,INDEX(_LEITURA!$P$2:$P$21,14),DECKS!$B$2:$B$1201,$A257))</f>
        <v/>
      </c>
      <c r="Y257" s="19" t="str">
        <f aca="false">IF(OR($A257="",INDEX(_LEITURA!$Q$2:$Q$21,15)=0),"",SUMIFS(DECKS!$D$2:$D$1201,DECKS!$A$2:$A$1201,INDEX(_LEITURA!$P$2:$P$21,15),DECKS!$B$2:$B$1201,$A257))</f>
        <v/>
      </c>
      <c r="Z257" s="19" t="str">
        <f aca="false">IF(OR($A257="",INDEX(_LEITURA!$Q$2:$Q$21,16)=0),"",SUMIFS(DECKS!$D$2:$D$1201,DECKS!$A$2:$A$1201,INDEX(_LEITURA!$P$2:$P$21,16),DECKS!$B$2:$B$1201,$A257))</f>
        <v/>
      </c>
      <c r="AA257" s="19" t="str">
        <f aca="false">IF(OR($A257="",INDEX(_LEITURA!$Q$2:$Q$21,17)=0),"",SUMIFS(DECKS!$D$2:$D$1201,DECKS!$A$2:$A$1201,INDEX(_LEITURA!$P$2:$P$21,17),DECKS!$B$2:$B$1201,$A257))</f>
        <v/>
      </c>
      <c r="AB257" s="19" t="str">
        <f aca="false">IF(OR($A257="",INDEX(_LEITURA!$Q$2:$Q$21,18)=0),"",SUMIFS(DECKS!$D$2:$D$1201,DECKS!$A$2:$A$1201,INDEX(_LEITURA!$P$2:$P$21,18),DECKS!$B$2:$B$1201,$A257))</f>
        <v/>
      </c>
      <c r="AC257" s="19" t="str">
        <f aca="false">IF(OR($A257="",INDEX(_LEITURA!$Q$2:$Q$21,19)=0),"",SUMIFS(DECKS!$D$2:$D$1201,DECKS!$A$2:$A$1201,INDEX(_LEITURA!$P$2:$P$21,19),DECKS!$B$2:$B$1201,$A257))</f>
        <v/>
      </c>
      <c r="AD257" s="19" t="str">
        <f aca="false">IF(OR($A257="",INDEX(_LEITURA!$Q$2:$Q$21,20)=0),"",SUMIFS(DECKS!$D$2:$D$1201,DECKS!$A$2:$A$1201,INDEX(_LEITURA!$P$2:$P$21,20),DECKS!$B$2:$B$1201,$A257))</f>
        <v/>
      </c>
      <c r="AE257" s="16" t="str">
        <f aca="false">IF(N(E257)&gt;0,MAX(AE$1:AE256)+1,"")</f>
        <v/>
      </c>
      <c r="AF257" s="11" t="str">
        <f aca="false">IF(A257="","",IFERROR(LEFT(A257,FIND("-",A257)-1),A257))</f>
        <v/>
      </c>
      <c r="AG257" s="11" t="str">
        <f aca="false">IF(AF257="","",IF(ISNUMBER(--MID(AF257,1,1)),0,IF(ISNUMBER(--MID(AF257,2,1)),1,IF(ISNUMBER(--MID(AF257,3,1)),2,IF(ISNUMBER(--MID(AF257,4,1)),3,MIN(LEN(AF257),4))))))</f>
        <v/>
      </c>
      <c r="AH257" s="11" t="str">
        <f aca="false">IF(A257="","",LEFT(AF257,AG257)&amp;REPT("0",4-AG257)&amp;RIGHT("000"&amp;IFERROR(VALUE(MID(AF257,AG257+1,9)),0),3)&amp;RIGHT("0000"&amp;IFERROR(VALUE(MID(A257,FIND("-",A257)+1,9)),0),4))</f>
        <v/>
      </c>
      <c r="AI257" s="11" t="str">
        <f aca="false">IF(OR(A257="",N(E257)&lt;=0),"",IF('FALTAS GERAL'!$M$1="Código","K"&amp;AH257&amp;RIGHT("00000"&amp;ROW(),5),IF('FALTAS GERAL'!$M$1="Nome","K"&amp;UPPER(SUBSTITUTE(SUBSTITUTE(SUBSTITUTE(B257,"*",""),"?",""),"~",""))&amp;"0"&amp;AH257&amp;RIGHT("00000"&amp;ROW(),5),IF('FALTAS GERAL'!$M$1="Falta (maior primeiro)","K"&amp;RIGHT("0000"&amp;(9999-E257),4)&amp;AH257&amp;RIGHT("00000"&amp;ROW(),5),IF('FALTAS GERAL'!$M$1="Nº de decks (maior primeiro)","K"&amp;RIGHT("00"&amp;(99-N(G257)),2)&amp;AH257&amp;RIGHT("00000"&amp;ROW(),5),"K"&amp;RIGHT("00000"&amp;ROW(),5))))))</f>
        <v/>
      </c>
      <c r="AJ257" s="11" t="str">
        <f aca="false">IF(AI257="","",COUNTIFS($AI$2:$AI$801,"&lt;"&amp;AI257,$E$2:$E$801,"&gt;0")+1)</f>
        <v/>
      </c>
      <c r="AK257" s="11" t="str">
        <f aca="false">IF(OR(A257="",N(E257)&lt;=0),"",COUNTIFS($AH$2:$AH$801,"&lt;"&amp;AH257,$E$2:$E$801,"&gt;0")+COUNTIFS($AH$2:AH257,AH257,$E$2:E257,"&gt;0"))</f>
        <v/>
      </c>
    </row>
    <row r="258" customFormat="false" ht="15" hidden="false" customHeight="false" outlineLevel="0" collapsed="false">
      <c r="A258" s="11" t="str">
        <f aca="false">IF(INVENTÁRIO!A258="","",INVENTÁRIO!A258)</f>
        <v/>
      </c>
      <c r="B258" s="11" t="str">
        <f aca="false">IF(A258="","",INVENTÁRIO!B258)</f>
        <v/>
      </c>
      <c r="C258" s="16" t="str">
        <f aca="false">IF(A258="","",INVENTÁRIO!C258)</f>
        <v/>
      </c>
      <c r="D258" s="14" t="str">
        <f aca="false">IF(A258="","",MAX(K258:AD258))</f>
        <v/>
      </c>
      <c r="E258" s="14" t="str">
        <f aca="false">IF(A258="","",MAX(0,D258-C258))</f>
        <v/>
      </c>
      <c r="F258" s="16" t="str">
        <f aca="false">IF(A258="","",IF(D258=0,"Fora dos decks",IF(E258=0,"Completo","Falta")))</f>
        <v/>
      </c>
      <c r="G258" s="16" t="str">
        <f aca="false">IF(A258="","",COUNTIF(K258:AD258,"&gt;0"))</f>
        <v/>
      </c>
      <c r="H258" s="16" t="str">
        <f aca="false">IF(A258="","",IF(G258&gt;1,"Sim",""))</f>
        <v/>
      </c>
      <c r="I258" s="18" t="str">
        <f aca="false">IF(A258="","",SUMIFS(DECKS!$D$2:$D$1201,DECKS!$B$2:$B$1201,A258))</f>
        <v/>
      </c>
      <c r="J258" s="18" t="str">
        <f aca="false">IF(A258="","",MAX(0,I258-C258))</f>
        <v/>
      </c>
      <c r="K258" s="19" t="str">
        <f aca="false">IF(OR($A258="",INDEX(_LEITURA!$Q$2:$Q$21,1)=0),"",SUMIFS(DECKS!$D$2:$D$1201,DECKS!$A$2:$A$1201,INDEX(_LEITURA!$P$2:$P$21,1),DECKS!$B$2:$B$1201,$A258))</f>
        <v/>
      </c>
      <c r="L258" s="19" t="str">
        <f aca="false">IF(OR($A258="",INDEX(_LEITURA!$Q$2:$Q$21,2)=0),"",SUMIFS(DECKS!$D$2:$D$1201,DECKS!$A$2:$A$1201,INDEX(_LEITURA!$P$2:$P$21,2),DECKS!$B$2:$B$1201,$A258))</f>
        <v/>
      </c>
      <c r="M258" s="19" t="str">
        <f aca="false">IF(OR($A258="",INDEX(_LEITURA!$Q$2:$Q$21,3)=0),"",SUMIFS(DECKS!$D$2:$D$1201,DECKS!$A$2:$A$1201,INDEX(_LEITURA!$P$2:$P$21,3),DECKS!$B$2:$B$1201,$A258))</f>
        <v/>
      </c>
      <c r="N258" s="19" t="str">
        <f aca="false">IF(OR($A258="",INDEX(_LEITURA!$Q$2:$Q$21,4)=0),"",SUMIFS(DECKS!$D$2:$D$1201,DECKS!$A$2:$A$1201,INDEX(_LEITURA!$P$2:$P$21,4),DECKS!$B$2:$B$1201,$A258))</f>
        <v/>
      </c>
      <c r="O258" s="19" t="str">
        <f aca="false">IF(OR($A258="",INDEX(_LEITURA!$Q$2:$Q$21,5)=0),"",SUMIFS(DECKS!$D$2:$D$1201,DECKS!$A$2:$A$1201,INDEX(_LEITURA!$P$2:$P$21,5),DECKS!$B$2:$B$1201,$A258))</f>
        <v/>
      </c>
      <c r="P258" s="19" t="str">
        <f aca="false">IF(OR($A258="",INDEX(_LEITURA!$Q$2:$Q$21,6)=0),"",SUMIFS(DECKS!$D$2:$D$1201,DECKS!$A$2:$A$1201,INDEX(_LEITURA!$P$2:$P$21,6),DECKS!$B$2:$B$1201,$A258))</f>
        <v/>
      </c>
      <c r="Q258" s="19" t="str">
        <f aca="false">IF(OR($A258="",INDEX(_LEITURA!$Q$2:$Q$21,7)=0),"",SUMIFS(DECKS!$D$2:$D$1201,DECKS!$A$2:$A$1201,INDEX(_LEITURA!$P$2:$P$21,7),DECKS!$B$2:$B$1201,$A258))</f>
        <v/>
      </c>
      <c r="R258" s="19" t="str">
        <f aca="false">IF(OR($A258="",INDEX(_LEITURA!$Q$2:$Q$21,8)=0),"",SUMIFS(DECKS!$D$2:$D$1201,DECKS!$A$2:$A$1201,INDEX(_LEITURA!$P$2:$P$21,8),DECKS!$B$2:$B$1201,$A258))</f>
        <v/>
      </c>
      <c r="S258" s="19" t="str">
        <f aca="false">IF(OR($A258="",INDEX(_LEITURA!$Q$2:$Q$21,9)=0),"",SUMIFS(DECKS!$D$2:$D$1201,DECKS!$A$2:$A$1201,INDEX(_LEITURA!$P$2:$P$21,9),DECKS!$B$2:$B$1201,$A258))</f>
        <v/>
      </c>
      <c r="T258" s="19" t="str">
        <f aca="false">IF(OR($A258="",INDEX(_LEITURA!$Q$2:$Q$21,10)=0),"",SUMIFS(DECKS!$D$2:$D$1201,DECKS!$A$2:$A$1201,INDEX(_LEITURA!$P$2:$P$21,10),DECKS!$B$2:$B$1201,$A258))</f>
        <v/>
      </c>
      <c r="U258" s="19" t="str">
        <f aca="false">IF(OR($A258="",INDEX(_LEITURA!$Q$2:$Q$21,11)=0),"",SUMIFS(DECKS!$D$2:$D$1201,DECKS!$A$2:$A$1201,INDEX(_LEITURA!$P$2:$P$21,11),DECKS!$B$2:$B$1201,$A258))</f>
        <v/>
      </c>
      <c r="V258" s="19" t="str">
        <f aca="false">IF(OR($A258="",INDEX(_LEITURA!$Q$2:$Q$21,12)=0),"",SUMIFS(DECKS!$D$2:$D$1201,DECKS!$A$2:$A$1201,INDEX(_LEITURA!$P$2:$P$21,12),DECKS!$B$2:$B$1201,$A258))</f>
        <v/>
      </c>
      <c r="W258" s="19" t="str">
        <f aca="false">IF(OR($A258="",INDEX(_LEITURA!$Q$2:$Q$21,13)=0),"",SUMIFS(DECKS!$D$2:$D$1201,DECKS!$A$2:$A$1201,INDEX(_LEITURA!$P$2:$P$21,13),DECKS!$B$2:$B$1201,$A258))</f>
        <v/>
      </c>
      <c r="X258" s="19" t="str">
        <f aca="false">IF(OR($A258="",INDEX(_LEITURA!$Q$2:$Q$21,14)=0),"",SUMIFS(DECKS!$D$2:$D$1201,DECKS!$A$2:$A$1201,INDEX(_LEITURA!$P$2:$P$21,14),DECKS!$B$2:$B$1201,$A258))</f>
        <v/>
      </c>
      <c r="Y258" s="19" t="str">
        <f aca="false">IF(OR($A258="",INDEX(_LEITURA!$Q$2:$Q$21,15)=0),"",SUMIFS(DECKS!$D$2:$D$1201,DECKS!$A$2:$A$1201,INDEX(_LEITURA!$P$2:$P$21,15),DECKS!$B$2:$B$1201,$A258))</f>
        <v/>
      </c>
      <c r="Z258" s="19" t="str">
        <f aca="false">IF(OR($A258="",INDEX(_LEITURA!$Q$2:$Q$21,16)=0),"",SUMIFS(DECKS!$D$2:$D$1201,DECKS!$A$2:$A$1201,INDEX(_LEITURA!$P$2:$P$21,16),DECKS!$B$2:$B$1201,$A258))</f>
        <v/>
      </c>
      <c r="AA258" s="19" t="str">
        <f aca="false">IF(OR($A258="",INDEX(_LEITURA!$Q$2:$Q$21,17)=0),"",SUMIFS(DECKS!$D$2:$D$1201,DECKS!$A$2:$A$1201,INDEX(_LEITURA!$P$2:$P$21,17),DECKS!$B$2:$B$1201,$A258))</f>
        <v/>
      </c>
      <c r="AB258" s="19" t="str">
        <f aca="false">IF(OR($A258="",INDEX(_LEITURA!$Q$2:$Q$21,18)=0),"",SUMIFS(DECKS!$D$2:$D$1201,DECKS!$A$2:$A$1201,INDEX(_LEITURA!$P$2:$P$21,18),DECKS!$B$2:$B$1201,$A258))</f>
        <v/>
      </c>
      <c r="AC258" s="19" t="str">
        <f aca="false">IF(OR($A258="",INDEX(_LEITURA!$Q$2:$Q$21,19)=0),"",SUMIFS(DECKS!$D$2:$D$1201,DECKS!$A$2:$A$1201,INDEX(_LEITURA!$P$2:$P$21,19),DECKS!$B$2:$B$1201,$A258))</f>
        <v/>
      </c>
      <c r="AD258" s="19" t="str">
        <f aca="false">IF(OR($A258="",INDEX(_LEITURA!$Q$2:$Q$21,20)=0),"",SUMIFS(DECKS!$D$2:$D$1201,DECKS!$A$2:$A$1201,INDEX(_LEITURA!$P$2:$P$21,20),DECKS!$B$2:$B$1201,$A258))</f>
        <v/>
      </c>
      <c r="AE258" s="16" t="str">
        <f aca="false">IF(N(E258)&gt;0,MAX(AE$1:AE257)+1,"")</f>
        <v/>
      </c>
      <c r="AF258" s="11" t="str">
        <f aca="false">IF(A258="","",IFERROR(LEFT(A258,FIND("-",A258)-1),A258))</f>
        <v/>
      </c>
      <c r="AG258" s="11" t="str">
        <f aca="false">IF(AF258="","",IF(ISNUMBER(--MID(AF258,1,1)),0,IF(ISNUMBER(--MID(AF258,2,1)),1,IF(ISNUMBER(--MID(AF258,3,1)),2,IF(ISNUMBER(--MID(AF258,4,1)),3,MIN(LEN(AF258),4))))))</f>
        <v/>
      </c>
      <c r="AH258" s="11" t="str">
        <f aca="false">IF(A258="","",LEFT(AF258,AG258)&amp;REPT("0",4-AG258)&amp;RIGHT("000"&amp;IFERROR(VALUE(MID(AF258,AG258+1,9)),0),3)&amp;RIGHT("0000"&amp;IFERROR(VALUE(MID(A258,FIND("-",A258)+1,9)),0),4))</f>
        <v/>
      </c>
      <c r="AI258" s="11" t="str">
        <f aca="false">IF(OR(A258="",N(E258)&lt;=0),"",IF('FALTAS GERAL'!$M$1="Código","K"&amp;AH258&amp;RIGHT("00000"&amp;ROW(),5),IF('FALTAS GERAL'!$M$1="Nome","K"&amp;UPPER(SUBSTITUTE(SUBSTITUTE(SUBSTITUTE(B258,"*",""),"?",""),"~",""))&amp;"0"&amp;AH258&amp;RIGHT("00000"&amp;ROW(),5),IF('FALTAS GERAL'!$M$1="Falta (maior primeiro)","K"&amp;RIGHT("0000"&amp;(9999-E258),4)&amp;AH258&amp;RIGHT("00000"&amp;ROW(),5),IF('FALTAS GERAL'!$M$1="Nº de decks (maior primeiro)","K"&amp;RIGHT("00"&amp;(99-N(G258)),2)&amp;AH258&amp;RIGHT("00000"&amp;ROW(),5),"K"&amp;RIGHT("00000"&amp;ROW(),5))))))</f>
        <v/>
      </c>
      <c r="AJ258" s="11" t="str">
        <f aca="false">IF(AI258="","",COUNTIFS($AI$2:$AI$801,"&lt;"&amp;AI258,$E$2:$E$801,"&gt;0")+1)</f>
        <v/>
      </c>
      <c r="AK258" s="11" t="str">
        <f aca="false">IF(OR(A258="",N(E258)&lt;=0),"",COUNTIFS($AH$2:$AH$801,"&lt;"&amp;AH258,$E$2:$E$801,"&gt;0")+COUNTIFS($AH$2:AH258,AH258,$E$2:E258,"&gt;0"))</f>
        <v/>
      </c>
    </row>
    <row r="259" customFormat="false" ht="15" hidden="false" customHeight="false" outlineLevel="0" collapsed="false">
      <c r="A259" s="11" t="str">
        <f aca="false">IF(INVENTÁRIO!A259="","",INVENTÁRIO!A259)</f>
        <v/>
      </c>
      <c r="B259" s="11" t="str">
        <f aca="false">IF(A259="","",INVENTÁRIO!B259)</f>
        <v/>
      </c>
      <c r="C259" s="16" t="str">
        <f aca="false">IF(A259="","",INVENTÁRIO!C259)</f>
        <v/>
      </c>
      <c r="D259" s="14" t="str">
        <f aca="false">IF(A259="","",MAX(K259:AD259))</f>
        <v/>
      </c>
      <c r="E259" s="14" t="str">
        <f aca="false">IF(A259="","",MAX(0,D259-C259))</f>
        <v/>
      </c>
      <c r="F259" s="16" t="str">
        <f aca="false">IF(A259="","",IF(D259=0,"Fora dos decks",IF(E259=0,"Completo","Falta")))</f>
        <v/>
      </c>
      <c r="G259" s="16" t="str">
        <f aca="false">IF(A259="","",COUNTIF(K259:AD259,"&gt;0"))</f>
        <v/>
      </c>
      <c r="H259" s="16" t="str">
        <f aca="false">IF(A259="","",IF(G259&gt;1,"Sim",""))</f>
        <v/>
      </c>
      <c r="I259" s="18" t="str">
        <f aca="false">IF(A259="","",SUMIFS(DECKS!$D$2:$D$1201,DECKS!$B$2:$B$1201,A259))</f>
        <v/>
      </c>
      <c r="J259" s="18" t="str">
        <f aca="false">IF(A259="","",MAX(0,I259-C259))</f>
        <v/>
      </c>
      <c r="K259" s="19" t="str">
        <f aca="false">IF(OR($A259="",INDEX(_LEITURA!$Q$2:$Q$21,1)=0),"",SUMIFS(DECKS!$D$2:$D$1201,DECKS!$A$2:$A$1201,INDEX(_LEITURA!$P$2:$P$21,1),DECKS!$B$2:$B$1201,$A259))</f>
        <v/>
      </c>
      <c r="L259" s="19" t="str">
        <f aca="false">IF(OR($A259="",INDEX(_LEITURA!$Q$2:$Q$21,2)=0),"",SUMIFS(DECKS!$D$2:$D$1201,DECKS!$A$2:$A$1201,INDEX(_LEITURA!$P$2:$P$21,2),DECKS!$B$2:$B$1201,$A259))</f>
        <v/>
      </c>
      <c r="M259" s="19" t="str">
        <f aca="false">IF(OR($A259="",INDEX(_LEITURA!$Q$2:$Q$21,3)=0),"",SUMIFS(DECKS!$D$2:$D$1201,DECKS!$A$2:$A$1201,INDEX(_LEITURA!$P$2:$P$21,3),DECKS!$B$2:$B$1201,$A259))</f>
        <v/>
      </c>
      <c r="N259" s="19" t="str">
        <f aca="false">IF(OR($A259="",INDEX(_LEITURA!$Q$2:$Q$21,4)=0),"",SUMIFS(DECKS!$D$2:$D$1201,DECKS!$A$2:$A$1201,INDEX(_LEITURA!$P$2:$P$21,4),DECKS!$B$2:$B$1201,$A259))</f>
        <v/>
      </c>
      <c r="O259" s="19" t="str">
        <f aca="false">IF(OR($A259="",INDEX(_LEITURA!$Q$2:$Q$21,5)=0),"",SUMIFS(DECKS!$D$2:$D$1201,DECKS!$A$2:$A$1201,INDEX(_LEITURA!$P$2:$P$21,5),DECKS!$B$2:$B$1201,$A259))</f>
        <v/>
      </c>
      <c r="P259" s="19" t="str">
        <f aca="false">IF(OR($A259="",INDEX(_LEITURA!$Q$2:$Q$21,6)=0),"",SUMIFS(DECKS!$D$2:$D$1201,DECKS!$A$2:$A$1201,INDEX(_LEITURA!$P$2:$P$21,6),DECKS!$B$2:$B$1201,$A259))</f>
        <v/>
      </c>
      <c r="Q259" s="19" t="str">
        <f aca="false">IF(OR($A259="",INDEX(_LEITURA!$Q$2:$Q$21,7)=0),"",SUMIFS(DECKS!$D$2:$D$1201,DECKS!$A$2:$A$1201,INDEX(_LEITURA!$P$2:$P$21,7),DECKS!$B$2:$B$1201,$A259))</f>
        <v/>
      </c>
      <c r="R259" s="19" t="str">
        <f aca="false">IF(OR($A259="",INDEX(_LEITURA!$Q$2:$Q$21,8)=0),"",SUMIFS(DECKS!$D$2:$D$1201,DECKS!$A$2:$A$1201,INDEX(_LEITURA!$P$2:$P$21,8),DECKS!$B$2:$B$1201,$A259))</f>
        <v/>
      </c>
      <c r="S259" s="19" t="str">
        <f aca="false">IF(OR($A259="",INDEX(_LEITURA!$Q$2:$Q$21,9)=0),"",SUMIFS(DECKS!$D$2:$D$1201,DECKS!$A$2:$A$1201,INDEX(_LEITURA!$P$2:$P$21,9),DECKS!$B$2:$B$1201,$A259))</f>
        <v/>
      </c>
      <c r="T259" s="19" t="str">
        <f aca="false">IF(OR($A259="",INDEX(_LEITURA!$Q$2:$Q$21,10)=0),"",SUMIFS(DECKS!$D$2:$D$1201,DECKS!$A$2:$A$1201,INDEX(_LEITURA!$P$2:$P$21,10),DECKS!$B$2:$B$1201,$A259))</f>
        <v/>
      </c>
      <c r="U259" s="19" t="str">
        <f aca="false">IF(OR($A259="",INDEX(_LEITURA!$Q$2:$Q$21,11)=0),"",SUMIFS(DECKS!$D$2:$D$1201,DECKS!$A$2:$A$1201,INDEX(_LEITURA!$P$2:$P$21,11),DECKS!$B$2:$B$1201,$A259))</f>
        <v/>
      </c>
      <c r="V259" s="19" t="str">
        <f aca="false">IF(OR($A259="",INDEX(_LEITURA!$Q$2:$Q$21,12)=0),"",SUMIFS(DECKS!$D$2:$D$1201,DECKS!$A$2:$A$1201,INDEX(_LEITURA!$P$2:$P$21,12),DECKS!$B$2:$B$1201,$A259))</f>
        <v/>
      </c>
      <c r="W259" s="19" t="str">
        <f aca="false">IF(OR($A259="",INDEX(_LEITURA!$Q$2:$Q$21,13)=0),"",SUMIFS(DECKS!$D$2:$D$1201,DECKS!$A$2:$A$1201,INDEX(_LEITURA!$P$2:$P$21,13),DECKS!$B$2:$B$1201,$A259))</f>
        <v/>
      </c>
      <c r="X259" s="19" t="str">
        <f aca="false">IF(OR($A259="",INDEX(_LEITURA!$Q$2:$Q$21,14)=0),"",SUMIFS(DECKS!$D$2:$D$1201,DECKS!$A$2:$A$1201,INDEX(_LEITURA!$P$2:$P$21,14),DECKS!$B$2:$B$1201,$A259))</f>
        <v/>
      </c>
      <c r="Y259" s="19" t="str">
        <f aca="false">IF(OR($A259="",INDEX(_LEITURA!$Q$2:$Q$21,15)=0),"",SUMIFS(DECKS!$D$2:$D$1201,DECKS!$A$2:$A$1201,INDEX(_LEITURA!$P$2:$P$21,15),DECKS!$B$2:$B$1201,$A259))</f>
        <v/>
      </c>
      <c r="Z259" s="19" t="str">
        <f aca="false">IF(OR($A259="",INDEX(_LEITURA!$Q$2:$Q$21,16)=0),"",SUMIFS(DECKS!$D$2:$D$1201,DECKS!$A$2:$A$1201,INDEX(_LEITURA!$P$2:$P$21,16),DECKS!$B$2:$B$1201,$A259))</f>
        <v/>
      </c>
      <c r="AA259" s="19" t="str">
        <f aca="false">IF(OR($A259="",INDEX(_LEITURA!$Q$2:$Q$21,17)=0),"",SUMIFS(DECKS!$D$2:$D$1201,DECKS!$A$2:$A$1201,INDEX(_LEITURA!$P$2:$P$21,17),DECKS!$B$2:$B$1201,$A259))</f>
        <v/>
      </c>
      <c r="AB259" s="19" t="str">
        <f aca="false">IF(OR($A259="",INDEX(_LEITURA!$Q$2:$Q$21,18)=0),"",SUMIFS(DECKS!$D$2:$D$1201,DECKS!$A$2:$A$1201,INDEX(_LEITURA!$P$2:$P$21,18),DECKS!$B$2:$B$1201,$A259))</f>
        <v/>
      </c>
      <c r="AC259" s="19" t="str">
        <f aca="false">IF(OR($A259="",INDEX(_LEITURA!$Q$2:$Q$21,19)=0),"",SUMIFS(DECKS!$D$2:$D$1201,DECKS!$A$2:$A$1201,INDEX(_LEITURA!$P$2:$P$21,19),DECKS!$B$2:$B$1201,$A259))</f>
        <v/>
      </c>
      <c r="AD259" s="19" t="str">
        <f aca="false">IF(OR($A259="",INDEX(_LEITURA!$Q$2:$Q$21,20)=0),"",SUMIFS(DECKS!$D$2:$D$1201,DECKS!$A$2:$A$1201,INDEX(_LEITURA!$P$2:$P$21,20),DECKS!$B$2:$B$1201,$A259))</f>
        <v/>
      </c>
      <c r="AE259" s="16" t="str">
        <f aca="false">IF(N(E259)&gt;0,MAX(AE$1:AE258)+1,"")</f>
        <v/>
      </c>
      <c r="AF259" s="11" t="str">
        <f aca="false">IF(A259="","",IFERROR(LEFT(A259,FIND("-",A259)-1),A259))</f>
        <v/>
      </c>
      <c r="AG259" s="11" t="str">
        <f aca="false">IF(AF259="","",IF(ISNUMBER(--MID(AF259,1,1)),0,IF(ISNUMBER(--MID(AF259,2,1)),1,IF(ISNUMBER(--MID(AF259,3,1)),2,IF(ISNUMBER(--MID(AF259,4,1)),3,MIN(LEN(AF259),4))))))</f>
        <v/>
      </c>
      <c r="AH259" s="11" t="str">
        <f aca="false">IF(A259="","",LEFT(AF259,AG259)&amp;REPT("0",4-AG259)&amp;RIGHT("000"&amp;IFERROR(VALUE(MID(AF259,AG259+1,9)),0),3)&amp;RIGHT("0000"&amp;IFERROR(VALUE(MID(A259,FIND("-",A259)+1,9)),0),4))</f>
        <v/>
      </c>
      <c r="AI259" s="11" t="str">
        <f aca="false">IF(OR(A259="",N(E259)&lt;=0),"",IF('FALTAS GERAL'!$M$1="Código","K"&amp;AH259&amp;RIGHT("00000"&amp;ROW(),5),IF('FALTAS GERAL'!$M$1="Nome","K"&amp;UPPER(SUBSTITUTE(SUBSTITUTE(SUBSTITUTE(B259,"*",""),"?",""),"~",""))&amp;"0"&amp;AH259&amp;RIGHT("00000"&amp;ROW(),5),IF('FALTAS GERAL'!$M$1="Falta (maior primeiro)","K"&amp;RIGHT("0000"&amp;(9999-E259),4)&amp;AH259&amp;RIGHT("00000"&amp;ROW(),5),IF('FALTAS GERAL'!$M$1="Nº de decks (maior primeiro)","K"&amp;RIGHT("00"&amp;(99-N(G259)),2)&amp;AH259&amp;RIGHT("00000"&amp;ROW(),5),"K"&amp;RIGHT("00000"&amp;ROW(),5))))))</f>
        <v/>
      </c>
      <c r="AJ259" s="11" t="str">
        <f aca="false">IF(AI259="","",COUNTIFS($AI$2:$AI$801,"&lt;"&amp;AI259,$E$2:$E$801,"&gt;0")+1)</f>
        <v/>
      </c>
      <c r="AK259" s="11" t="str">
        <f aca="false">IF(OR(A259="",N(E259)&lt;=0),"",COUNTIFS($AH$2:$AH$801,"&lt;"&amp;AH259,$E$2:$E$801,"&gt;0")+COUNTIFS($AH$2:AH259,AH259,$E$2:E259,"&gt;0"))</f>
        <v/>
      </c>
    </row>
    <row r="260" customFormat="false" ht="15" hidden="false" customHeight="false" outlineLevel="0" collapsed="false">
      <c r="A260" s="11" t="str">
        <f aca="false">IF(INVENTÁRIO!A260="","",INVENTÁRIO!A260)</f>
        <v/>
      </c>
      <c r="B260" s="11" t="str">
        <f aca="false">IF(A260="","",INVENTÁRIO!B260)</f>
        <v/>
      </c>
      <c r="C260" s="16" t="str">
        <f aca="false">IF(A260="","",INVENTÁRIO!C260)</f>
        <v/>
      </c>
      <c r="D260" s="14" t="str">
        <f aca="false">IF(A260="","",MAX(K260:AD260))</f>
        <v/>
      </c>
      <c r="E260" s="14" t="str">
        <f aca="false">IF(A260="","",MAX(0,D260-C260))</f>
        <v/>
      </c>
      <c r="F260" s="16" t="str">
        <f aca="false">IF(A260="","",IF(D260=0,"Fora dos decks",IF(E260=0,"Completo","Falta")))</f>
        <v/>
      </c>
      <c r="G260" s="16" t="str">
        <f aca="false">IF(A260="","",COUNTIF(K260:AD260,"&gt;0"))</f>
        <v/>
      </c>
      <c r="H260" s="16" t="str">
        <f aca="false">IF(A260="","",IF(G260&gt;1,"Sim",""))</f>
        <v/>
      </c>
      <c r="I260" s="18" t="str">
        <f aca="false">IF(A260="","",SUMIFS(DECKS!$D$2:$D$1201,DECKS!$B$2:$B$1201,A260))</f>
        <v/>
      </c>
      <c r="J260" s="18" t="str">
        <f aca="false">IF(A260="","",MAX(0,I260-C260))</f>
        <v/>
      </c>
      <c r="K260" s="19" t="str">
        <f aca="false">IF(OR($A260="",INDEX(_LEITURA!$Q$2:$Q$21,1)=0),"",SUMIFS(DECKS!$D$2:$D$1201,DECKS!$A$2:$A$1201,INDEX(_LEITURA!$P$2:$P$21,1),DECKS!$B$2:$B$1201,$A260))</f>
        <v/>
      </c>
      <c r="L260" s="19" t="str">
        <f aca="false">IF(OR($A260="",INDEX(_LEITURA!$Q$2:$Q$21,2)=0),"",SUMIFS(DECKS!$D$2:$D$1201,DECKS!$A$2:$A$1201,INDEX(_LEITURA!$P$2:$P$21,2),DECKS!$B$2:$B$1201,$A260))</f>
        <v/>
      </c>
      <c r="M260" s="19" t="str">
        <f aca="false">IF(OR($A260="",INDEX(_LEITURA!$Q$2:$Q$21,3)=0),"",SUMIFS(DECKS!$D$2:$D$1201,DECKS!$A$2:$A$1201,INDEX(_LEITURA!$P$2:$P$21,3),DECKS!$B$2:$B$1201,$A260))</f>
        <v/>
      </c>
      <c r="N260" s="19" t="str">
        <f aca="false">IF(OR($A260="",INDEX(_LEITURA!$Q$2:$Q$21,4)=0),"",SUMIFS(DECKS!$D$2:$D$1201,DECKS!$A$2:$A$1201,INDEX(_LEITURA!$P$2:$P$21,4),DECKS!$B$2:$B$1201,$A260))</f>
        <v/>
      </c>
      <c r="O260" s="19" t="str">
        <f aca="false">IF(OR($A260="",INDEX(_LEITURA!$Q$2:$Q$21,5)=0),"",SUMIFS(DECKS!$D$2:$D$1201,DECKS!$A$2:$A$1201,INDEX(_LEITURA!$P$2:$P$21,5),DECKS!$B$2:$B$1201,$A260))</f>
        <v/>
      </c>
      <c r="P260" s="19" t="str">
        <f aca="false">IF(OR($A260="",INDEX(_LEITURA!$Q$2:$Q$21,6)=0),"",SUMIFS(DECKS!$D$2:$D$1201,DECKS!$A$2:$A$1201,INDEX(_LEITURA!$P$2:$P$21,6),DECKS!$B$2:$B$1201,$A260))</f>
        <v/>
      </c>
      <c r="Q260" s="19" t="str">
        <f aca="false">IF(OR($A260="",INDEX(_LEITURA!$Q$2:$Q$21,7)=0),"",SUMIFS(DECKS!$D$2:$D$1201,DECKS!$A$2:$A$1201,INDEX(_LEITURA!$P$2:$P$21,7),DECKS!$B$2:$B$1201,$A260))</f>
        <v/>
      </c>
      <c r="R260" s="19" t="str">
        <f aca="false">IF(OR($A260="",INDEX(_LEITURA!$Q$2:$Q$21,8)=0),"",SUMIFS(DECKS!$D$2:$D$1201,DECKS!$A$2:$A$1201,INDEX(_LEITURA!$P$2:$P$21,8),DECKS!$B$2:$B$1201,$A260))</f>
        <v/>
      </c>
      <c r="S260" s="19" t="str">
        <f aca="false">IF(OR($A260="",INDEX(_LEITURA!$Q$2:$Q$21,9)=0),"",SUMIFS(DECKS!$D$2:$D$1201,DECKS!$A$2:$A$1201,INDEX(_LEITURA!$P$2:$P$21,9),DECKS!$B$2:$B$1201,$A260))</f>
        <v/>
      </c>
      <c r="T260" s="19" t="str">
        <f aca="false">IF(OR($A260="",INDEX(_LEITURA!$Q$2:$Q$21,10)=0),"",SUMIFS(DECKS!$D$2:$D$1201,DECKS!$A$2:$A$1201,INDEX(_LEITURA!$P$2:$P$21,10),DECKS!$B$2:$B$1201,$A260))</f>
        <v/>
      </c>
      <c r="U260" s="19" t="str">
        <f aca="false">IF(OR($A260="",INDEX(_LEITURA!$Q$2:$Q$21,11)=0),"",SUMIFS(DECKS!$D$2:$D$1201,DECKS!$A$2:$A$1201,INDEX(_LEITURA!$P$2:$P$21,11),DECKS!$B$2:$B$1201,$A260))</f>
        <v/>
      </c>
      <c r="V260" s="19" t="str">
        <f aca="false">IF(OR($A260="",INDEX(_LEITURA!$Q$2:$Q$21,12)=0),"",SUMIFS(DECKS!$D$2:$D$1201,DECKS!$A$2:$A$1201,INDEX(_LEITURA!$P$2:$P$21,12),DECKS!$B$2:$B$1201,$A260))</f>
        <v/>
      </c>
      <c r="W260" s="19" t="str">
        <f aca="false">IF(OR($A260="",INDEX(_LEITURA!$Q$2:$Q$21,13)=0),"",SUMIFS(DECKS!$D$2:$D$1201,DECKS!$A$2:$A$1201,INDEX(_LEITURA!$P$2:$P$21,13),DECKS!$B$2:$B$1201,$A260))</f>
        <v/>
      </c>
      <c r="X260" s="19" t="str">
        <f aca="false">IF(OR($A260="",INDEX(_LEITURA!$Q$2:$Q$21,14)=0),"",SUMIFS(DECKS!$D$2:$D$1201,DECKS!$A$2:$A$1201,INDEX(_LEITURA!$P$2:$P$21,14),DECKS!$B$2:$B$1201,$A260))</f>
        <v/>
      </c>
      <c r="Y260" s="19" t="str">
        <f aca="false">IF(OR($A260="",INDEX(_LEITURA!$Q$2:$Q$21,15)=0),"",SUMIFS(DECKS!$D$2:$D$1201,DECKS!$A$2:$A$1201,INDEX(_LEITURA!$P$2:$P$21,15),DECKS!$B$2:$B$1201,$A260))</f>
        <v/>
      </c>
      <c r="Z260" s="19" t="str">
        <f aca="false">IF(OR($A260="",INDEX(_LEITURA!$Q$2:$Q$21,16)=0),"",SUMIFS(DECKS!$D$2:$D$1201,DECKS!$A$2:$A$1201,INDEX(_LEITURA!$P$2:$P$21,16),DECKS!$B$2:$B$1201,$A260))</f>
        <v/>
      </c>
      <c r="AA260" s="19" t="str">
        <f aca="false">IF(OR($A260="",INDEX(_LEITURA!$Q$2:$Q$21,17)=0),"",SUMIFS(DECKS!$D$2:$D$1201,DECKS!$A$2:$A$1201,INDEX(_LEITURA!$P$2:$P$21,17),DECKS!$B$2:$B$1201,$A260))</f>
        <v/>
      </c>
      <c r="AB260" s="19" t="str">
        <f aca="false">IF(OR($A260="",INDEX(_LEITURA!$Q$2:$Q$21,18)=0),"",SUMIFS(DECKS!$D$2:$D$1201,DECKS!$A$2:$A$1201,INDEX(_LEITURA!$P$2:$P$21,18),DECKS!$B$2:$B$1201,$A260))</f>
        <v/>
      </c>
      <c r="AC260" s="19" t="str">
        <f aca="false">IF(OR($A260="",INDEX(_LEITURA!$Q$2:$Q$21,19)=0),"",SUMIFS(DECKS!$D$2:$D$1201,DECKS!$A$2:$A$1201,INDEX(_LEITURA!$P$2:$P$21,19),DECKS!$B$2:$B$1201,$A260))</f>
        <v/>
      </c>
      <c r="AD260" s="19" t="str">
        <f aca="false">IF(OR($A260="",INDEX(_LEITURA!$Q$2:$Q$21,20)=0),"",SUMIFS(DECKS!$D$2:$D$1201,DECKS!$A$2:$A$1201,INDEX(_LEITURA!$P$2:$P$21,20),DECKS!$B$2:$B$1201,$A260))</f>
        <v/>
      </c>
      <c r="AE260" s="16" t="str">
        <f aca="false">IF(N(E260)&gt;0,MAX(AE$1:AE259)+1,"")</f>
        <v/>
      </c>
      <c r="AF260" s="11" t="str">
        <f aca="false">IF(A260="","",IFERROR(LEFT(A260,FIND("-",A260)-1),A260))</f>
        <v/>
      </c>
      <c r="AG260" s="11" t="str">
        <f aca="false">IF(AF260="","",IF(ISNUMBER(--MID(AF260,1,1)),0,IF(ISNUMBER(--MID(AF260,2,1)),1,IF(ISNUMBER(--MID(AF260,3,1)),2,IF(ISNUMBER(--MID(AF260,4,1)),3,MIN(LEN(AF260),4))))))</f>
        <v/>
      </c>
      <c r="AH260" s="11" t="str">
        <f aca="false">IF(A260="","",LEFT(AF260,AG260)&amp;REPT("0",4-AG260)&amp;RIGHT("000"&amp;IFERROR(VALUE(MID(AF260,AG260+1,9)),0),3)&amp;RIGHT("0000"&amp;IFERROR(VALUE(MID(A260,FIND("-",A260)+1,9)),0),4))</f>
        <v/>
      </c>
      <c r="AI260" s="11" t="str">
        <f aca="false">IF(OR(A260="",N(E260)&lt;=0),"",IF('FALTAS GERAL'!$M$1="Código","K"&amp;AH260&amp;RIGHT("00000"&amp;ROW(),5),IF('FALTAS GERAL'!$M$1="Nome","K"&amp;UPPER(SUBSTITUTE(SUBSTITUTE(SUBSTITUTE(B260,"*",""),"?",""),"~",""))&amp;"0"&amp;AH260&amp;RIGHT("00000"&amp;ROW(),5),IF('FALTAS GERAL'!$M$1="Falta (maior primeiro)","K"&amp;RIGHT("0000"&amp;(9999-E260),4)&amp;AH260&amp;RIGHT("00000"&amp;ROW(),5),IF('FALTAS GERAL'!$M$1="Nº de decks (maior primeiro)","K"&amp;RIGHT("00"&amp;(99-N(G260)),2)&amp;AH260&amp;RIGHT("00000"&amp;ROW(),5),"K"&amp;RIGHT("00000"&amp;ROW(),5))))))</f>
        <v/>
      </c>
      <c r="AJ260" s="11" t="str">
        <f aca="false">IF(AI260="","",COUNTIFS($AI$2:$AI$801,"&lt;"&amp;AI260,$E$2:$E$801,"&gt;0")+1)</f>
        <v/>
      </c>
      <c r="AK260" s="11" t="str">
        <f aca="false">IF(OR(A260="",N(E260)&lt;=0),"",COUNTIFS($AH$2:$AH$801,"&lt;"&amp;AH260,$E$2:$E$801,"&gt;0")+COUNTIFS($AH$2:AH260,AH260,$E$2:E260,"&gt;0"))</f>
        <v/>
      </c>
    </row>
    <row r="261" customFormat="false" ht="15" hidden="false" customHeight="false" outlineLevel="0" collapsed="false">
      <c r="A261" s="11" t="str">
        <f aca="false">IF(INVENTÁRIO!A261="","",INVENTÁRIO!A261)</f>
        <v/>
      </c>
      <c r="B261" s="11" t="str">
        <f aca="false">IF(A261="","",INVENTÁRIO!B261)</f>
        <v/>
      </c>
      <c r="C261" s="16" t="str">
        <f aca="false">IF(A261="","",INVENTÁRIO!C261)</f>
        <v/>
      </c>
      <c r="D261" s="14" t="str">
        <f aca="false">IF(A261="","",MAX(K261:AD261))</f>
        <v/>
      </c>
      <c r="E261" s="14" t="str">
        <f aca="false">IF(A261="","",MAX(0,D261-C261))</f>
        <v/>
      </c>
      <c r="F261" s="16" t="str">
        <f aca="false">IF(A261="","",IF(D261=0,"Fora dos decks",IF(E261=0,"Completo","Falta")))</f>
        <v/>
      </c>
      <c r="G261" s="16" t="str">
        <f aca="false">IF(A261="","",COUNTIF(K261:AD261,"&gt;0"))</f>
        <v/>
      </c>
      <c r="H261" s="16" t="str">
        <f aca="false">IF(A261="","",IF(G261&gt;1,"Sim",""))</f>
        <v/>
      </c>
      <c r="I261" s="18" t="str">
        <f aca="false">IF(A261="","",SUMIFS(DECKS!$D$2:$D$1201,DECKS!$B$2:$B$1201,A261))</f>
        <v/>
      </c>
      <c r="J261" s="18" t="str">
        <f aca="false">IF(A261="","",MAX(0,I261-C261))</f>
        <v/>
      </c>
      <c r="K261" s="19" t="str">
        <f aca="false">IF(OR($A261="",INDEX(_LEITURA!$Q$2:$Q$21,1)=0),"",SUMIFS(DECKS!$D$2:$D$1201,DECKS!$A$2:$A$1201,INDEX(_LEITURA!$P$2:$P$21,1),DECKS!$B$2:$B$1201,$A261))</f>
        <v/>
      </c>
      <c r="L261" s="19" t="str">
        <f aca="false">IF(OR($A261="",INDEX(_LEITURA!$Q$2:$Q$21,2)=0),"",SUMIFS(DECKS!$D$2:$D$1201,DECKS!$A$2:$A$1201,INDEX(_LEITURA!$P$2:$P$21,2),DECKS!$B$2:$B$1201,$A261))</f>
        <v/>
      </c>
      <c r="M261" s="19" t="str">
        <f aca="false">IF(OR($A261="",INDEX(_LEITURA!$Q$2:$Q$21,3)=0),"",SUMIFS(DECKS!$D$2:$D$1201,DECKS!$A$2:$A$1201,INDEX(_LEITURA!$P$2:$P$21,3),DECKS!$B$2:$B$1201,$A261))</f>
        <v/>
      </c>
      <c r="N261" s="19" t="str">
        <f aca="false">IF(OR($A261="",INDEX(_LEITURA!$Q$2:$Q$21,4)=0),"",SUMIFS(DECKS!$D$2:$D$1201,DECKS!$A$2:$A$1201,INDEX(_LEITURA!$P$2:$P$21,4),DECKS!$B$2:$B$1201,$A261))</f>
        <v/>
      </c>
      <c r="O261" s="19" t="str">
        <f aca="false">IF(OR($A261="",INDEX(_LEITURA!$Q$2:$Q$21,5)=0),"",SUMIFS(DECKS!$D$2:$D$1201,DECKS!$A$2:$A$1201,INDEX(_LEITURA!$P$2:$P$21,5),DECKS!$B$2:$B$1201,$A261))</f>
        <v/>
      </c>
      <c r="P261" s="19" t="str">
        <f aca="false">IF(OR($A261="",INDEX(_LEITURA!$Q$2:$Q$21,6)=0),"",SUMIFS(DECKS!$D$2:$D$1201,DECKS!$A$2:$A$1201,INDEX(_LEITURA!$P$2:$P$21,6),DECKS!$B$2:$B$1201,$A261))</f>
        <v/>
      </c>
      <c r="Q261" s="19" t="str">
        <f aca="false">IF(OR($A261="",INDEX(_LEITURA!$Q$2:$Q$21,7)=0),"",SUMIFS(DECKS!$D$2:$D$1201,DECKS!$A$2:$A$1201,INDEX(_LEITURA!$P$2:$P$21,7),DECKS!$B$2:$B$1201,$A261))</f>
        <v/>
      </c>
      <c r="R261" s="19" t="str">
        <f aca="false">IF(OR($A261="",INDEX(_LEITURA!$Q$2:$Q$21,8)=0),"",SUMIFS(DECKS!$D$2:$D$1201,DECKS!$A$2:$A$1201,INDEX(_LEITURA!$P$2:$P$21,8),DECKS!$B$2:$B$1201,$A261))</f>
        <v/>
      </c>
      <c r="S261" s="19" t="str">
        <f aca="false">IF(OR($A261="",INDEX(_LEITURA!$Q$2:$Q$21,9)=0),"",SUMIFS(DECKS!$D$2:$D$1201,DECKS!$A$2:$A$1201,INDEX(_LEITURA!$P$2:$P$21,9),DECKS!$B$2:$B$1201,$A261))</f>
        <v/>
      </c>
      <c r="T261" s="19" t="str">
        <f aca="false">IF(OR($A261="",INDEX(_LEITURA!$Q$2:$Q$21,10)=0),"",SUMIFS(DECKS!$D$2:$D$1201,DECKS!$A$2:$A$1201,INDEX(_LEITURA!$P$2:$P$21,10),DECKS!$B$2:$B$1201,$A261))</f>
        <v/>
      </c>
      <c r="U261" s="19" t="str">
        <f aca="false">IF(OR($A261="",INDEX(_LEITURA!$Q$2:$Q$21,11)=0),"",SUMIFS(DECKS!$D$2:$D$1201,DECKS!$A$2:$A$1201,INDEX(_LEITURA!$P$2:$P$21,11),DECKS!$B$2:$B$1201,$A261))</f>
        <v/>
      </c>
      <c r="V261" s="19" t="str">
        <f aca="false">IF(OR($A261="",INDEX(_LEITURA!$Q$2:$Q$21,12)=0),"",SUMIFS(DECKS!$D$2:$D$1201,DECKS!$A$2:$A$1201,INDEX(_LEITURA!$P$2:$P$21,12),DECKS!$B$2:$B$1201,$A261))</f>
        <v/>
      </c>
      <c r="W261" s="19" t="str">
        <f aca="false">IF(OR($A261="",INDEX(_LEITURA!$Q$2:$Q$21,13)=0),"",SUMIFS(DECKS!$D$2:$D$1201,DECKS!$A$2:$A$1201,INDEX(_LEITURA!$P$2:$P$21,13),DECKS!$B$2:$B$1201,$A261))</f>
        <v/>
      </c>
      <c r="X261" s="19" t="str">
        <f aca="false">IF(OR($A261="",INDEX(_LEITURA!$Q$2:$Q$21,14)=0),"",SUMIFS(DECKS!$D$2:$D$1201,DECKS!$A$2:$A$1201,INDEX(_LEITURA!$P$2:$P$21,14),DECKS!$B$2:$B$1201,$A261))</f>
        <v/>
      </c>
      <c r="Y261" s="19" t="str">
        <f aca="false">IF(OR($A261="",INDEX(_LEITURA!$Q$2:$Q$21,15)=0),"",SUMIFS(DECKS!$D$2:$D$1201,DECKS!$A$2:$A$1201,INDEX(_LEITURA!$P$2:$P$21,15),DECKS!$B$2:$B$1201,$A261))</f>
        <v/>
      </c>
      <c r="Z261" s="19" t="str">
        <f aca="false">IF(OR($A261="",INDEX(_LEITURA!$Q$2:$Q$21,16)=0),"",SUMIFS(DECKS!$D$2:$D$1201,DECKS!$A$2:$A$1201,INDEX(_LEITURA!$P$2:$P$21,16),DECKS!$B$2:$B$1201,$A261))</f>
        <v/>
      </c>
      <c r="AA261" s="19" t="str">
        <f aca="false">IF(OR($A261="",INDEX(_LEITURA!$Q$2:$Q$21,17)=0),"",SUMIFS(DECKS!$D$2:$D$1201,DECKS!$A$2:$A$1201,INDEX(_LEITURA!$P$2:$P$21,17),DECKS!$B$2:$B$1201,$A261))</f>
        <v/>
      </c>
      <c r="AB261" s="19" t="str">
        <f aca="false">IF(OR($A261="",INDEX(_LEITURA!$Q$2:$Q$21,18)=0),"",SUMIFS(DECKS!$D$2:$D$1201,DECKS!$A$2:$A$1201,INDEX(_LEITURA!$P$2:$P$21,18),DECKS!$B$2:$B$1201,$A261))</f>
        <v/>
      </c>
      <c r="AC261" s="19" t="str">
        <f aca="false">IF(OR($A261="",INDEX(_LEITURA!$Q$2:$Q$21,19)=0),"",SUMIFS(DECKS!$D$2:$D$1201,DECKS!$A$2:$A$1201,INDEX(_LEITURA!$P$2:$P$21,19),DECKS!$B$2:$B$1201,$A261))</f>
        <v/>
      </c>
      <c r="AD261" s="19" t="str">
        <f aca="false">IF(OR($A261="",INDEX(_LEITURA!$Q$2:$Q$21,20)=0),"",SUMIFS(DECKS!$D$2:$D$1201,DECKS!$A$2:$A$1201,INDEX(_LEITURA!$P$2:$P$21,20),DECKS!$B$2:$B$1201,$A261))</f>
        <v/>
      </c>
      <c r="AE261" s="16" t="str">
        <f aca="false">IF(N(E261)&gt;0,MAX(AE$1:AE260)+1,"")</f>
        <v/>
      </c>
      <c r="AF261" s="11" t="str">
        <f aca="false">IF(A261="","",IFERROR(LEFT(A261,FIND("-",A261)-1),A261))</f>
        <v/>
      </c>
      <c r="AG261" s="11" t="str">
        <f aca="false">IF(AF261="","",IF(ISNUMBER(--MID(AF261,1,1)),0,IF(ISNUMBER(--MID(AF261,2,1)),1,IF(ISNUMBER(--MID(AF261,3,1)),2,IF(ISNUMBER(--MID(AF261,4,1)),3,MIN(LEN(AF261),4))))))</f>
        <v/>
      </c>
      <c r="AH261" s="11" t="str">
        <f aca="false">IF(A261="","",LEFT(AF261,AG261)&amp;REPT("0",4-AG261)&amp;RIGHT("000"&amp;IFERROR(VALUE(MID(AF261,AG261+1,9)),0),3)&amp;RIGHT("0000"&amp;IFERROR(VALUE(MID(A261,FIND("-",A261)+1,9)),0),4))</f>
        <v/>
      </c>
      <c r="AI261" s="11" t="str">
        <f aca="false">IF(OR(A261="",N(E261)&lt;=0),"",IF('FALTAS GERAL'!$M$1="Código","K"&amp;AH261&amp;RIGHT("00000"&amp;ROW(),5),IF('FALTAS GERAL'!$M$1="Nome","K"&amp;UPPER(SUBSTITUTE(SUBSTITUTE(SUBSTITUTE(B261,"*",""),"?",""),"~",""))&amp;"0"&amp;AH261&amp;RIGHT("00000"&amp;ROW(),5),IF('FALTAS GERAL'!$M$1="Falta (maior primeiro)","K"&amp;RIGHT("0000"&amp;(9999-E261),4)&amp;AH261&amp;RIGHT("00000"&amp;ROW(),5),IF('FALTAS GERAL'!$M$1="Nº de decks (maior primeiro)","K"&amp;RIGHT("00"&amp;(99-N(G261)),2)&amp;AH261&amp;RIGHT("00000"&amp;ROW(),5),"K"&amp;RIGHT("00000"&amp;ROW(),5))))))</f>
        <v/>
      </c>
      <c r="AJ261" s="11" t="str">
        <f aca="false">IF(AI261="","",COUNTIFS($AI$2:$AI$801,"&lt;"&amp;AI261,$E$2:$E$801,"&gt;0")+1)</f>
        <v/>
      </c>
      <c r="AK261" s="11" t="str">
        <f aca="false">IF(OR(A261="",N(E261)&lt;=0),"",COUNTIFS($AH$2:$AH$801,"&lt;"&amp;AH261,$E$2:$E$801,"&gt;0")+COUNTIFS($AH$2:AH261,AH261,$E$2:E261,"&gt;0"))</f>
        <v/>
      </c>
    </row>
    <row r="262" customFormat="false" ht="15" hidden="false" customHeight="false" outlineLevel="0" collapsed="false">
      <c r="A262" s="11" t="str">
        <f aca="false">IF(INVENTÁRIO!A262="","",INVENTÁRIO!A262)</f>
        <v/>
      </c>
      <c r="B262" s="11" t="str">
        <f aca="false">IF(A262="","",INVENTÁRIO!B262)</f>
        <v/>
      </c>
      <c r="C262" s="16" t="str">
        <f aca="false">IF(A262="","",INVENTÁRIO!C262)</f>
        <v/>
      </c>
      <c r="D262" s="14" t="str">
        <f aca="false">IF(A262="","",MAX(K262:AD262))</f>
        <v/>
      </c>
      <c r="E262" s="14" t="str">
        <f aca="false">IF(A262="","",MAX(0,D262-C262))</f>
        <v/>
      </c>
      <c r="F262" s="16" t="str">
        <f aca="false">IF(A262="","",IF(D262=0,"Fora dos decks",IF(E262=0,"Completo","Falta")))</f>
        <v/>
      </c>
      <c r="G262" s="16" t="str">
        <f aca="false">IF(A262="","",COUNTIF(K262:AD262,"&gt;0"))</f>
        <v/>
      </c>
      <c r="H262" s="16" t="str">
        <f aca="false">IF(A262="","",IF(G262&gt;1,"Sim",""))</f>
        <v/>
      </c>
      <c r="I262" s="18" t="str">
        <f aca="false">IF(A262="","",SUMIFS(DECKS!$D$2:$D$1201,DECKS!$B$2:$B$1201,A262))</f>
        <v/>
      </c>
      <c r="J262" s="18" t="str">
        <f aca="false">IF(A262="","",MAX(0,I262-C262))</f>
        <v/>
      </c>
      <c r="K262" s="19" t="str">
        <f aca="false">IF(OR($A262="",INDEX(_LEITURA!$Q$2:$Q$21,1)=0),"",SUMIFS(DECKS!$D$2:$D$1201,DECKS!$A$2:$A$1201,INDEX(_LEITURA!$P$2:$P$21,1),DECKS!$B$2:$B$1201,$A262))</f>
        <v/>
      </c>
      <c r="L262" s="19" t="str">
        <f aca="false">IF(OR($A262="",INDEX(_LEITURA!$Q$2:$Q$21,2)=0),"",SUMIFS(DECKS!$D$2:$D$1201,DECKS!$A$2:$A$1201,INDEX(_LEITURA!$P$2:$P$21,2),DECKS!$B$2:$B$1201,$A262))</f>
        <v/>
      </c>
      <c r="M262" s="19" t="str">
        <f aca="false">IF(OR($A262="",INDEX(_LEITURA!$Q$2:$Q$21,3)=0),"",SUMIFS(DECKS!$D$2:$D$1201,DECKS!$A$2:$A$1201,INDEX(_LEITURA!$P$2:$P$21,3),DECKS!$B$2:$B$1201,$A262))</f>
        <v/>
      </c>
      <c r="N262" s="19" t="str">
        <f aca="false">IF(OR($A262="",INDEX(_LEITURA!$Q$2:$Q$21,4)=0),"",SUMIFS(DECKS!$D$2:$D$1201,DECKS!$A$2:$A$1201,INDEX(_LEITURA!$P$2:$P$21,4),DECKS!$B$2:$B$1201,$A262))</f>
        <v/>
      </c>
      <c r="O262" s="19" t="str">
        <f aca="false">IF(OR($A262="",INDEX(_LEITURA!$Q$2:$Q$21,5)=0),"",SUMIFS(DECKS!$D$2:$D$1201,DECKS!$A$2:$A$1201,INDEX(_LEITURA!$P$2:$P$21,5),DECKS!$B$2:$B$1201,$A262))</f>
        <v/>
      </c>
      <c r="P262" s="19" t="str">
        <f aca="false">IF(OR($A262="",INDEX(_LEITURA!$Q$2:$Q$21,6)=0),"",SUMIFS(DECKS!$D$2:$D$1201,DECKS!$A$2:$A$1201,INDEX(_LEITURA!$P$2:$P$21,6),DECKS!$B$2:$B$1201,$A262))</f>
        <v/>
      </c>
      <c r="Q262" s="19" t="str">
        <f aca="false">IF(OR($A262="",INDEX(_LEITURA!$Q$2:$Q$21,7)=0),"",SUMIFS(DECKS!$D$2:$D$1201,DECKS!$A$2:$A$1201,INDEX(_LEITURA!$P$2:$P$21,7),DECKS!$B$2:$B$1201,$A262))</f>
        <v/>
      </c>
      <c r="R262" s="19" t="str">
        <f aca="false">IF(OR($A262="",INDEX(_LEITURA!$Q$2:$Q$21,8)=0),"",SUMIFS(DECKS!$D$2:$D$1201,DECKS!$A$2:$A$1201,INDEX(_LEITURA!$P$2:$P$21,8),DECKS!$B$2:$B$1201,$A262))</f>
        <v/>
      </c>
      <c r="S262" s="19" t="str">
        <f aca="false">IF(OR($A262="",INDEX(_LEITURA!$Q$2:$Q$21,9)=0),"",SUMIFS(DECKS!$D$2:$D$1201,DECKS!$A$2:$A$1201,INDEX(_LEITURA!$P$2:$P$21,9),DECKS!$B$2:$B$1201,$A262))</f>
        <v/>
      </c>
      <c r="T262" s="19" t="str">
        <f aca="false">IF(OR($A262="",INDEX(_LEITURA!$Q$2:$Q$21,10)=0),"",SUMIFS(DECKS!$D$2:$D$1201,DECKS!$A$2:$A$1201,INDEX(_LEITURA!$P$2:$P$21,10),DECKS!$B$2:$B$1201,$A262))</f>
        <v/>
      </c>
      <c r="U262" s="19" t="str">
        <f aca="false">IF(OR($A262="",INDEX(_LEITURA!$Q$2:$Q$21,11)=0),"",SUMIFS(DECKS!$D$2:$D$1201,DECKS!$A$2:$A$1201,INDEX(_LEITURA!$P$2:$P$21,11),DECKS!$B$2:$B$1201,$A262))</f>
        <v/>
      </c>
      <c r="V262" s="19" t="str">
        <f aca="false">IF(OR($A262="",INDEX(_LEITURA!$Q$2:$Q$21,12)=0),"",SUMIFS(DECKS!$D$2:$D$1201,DECKS!$A$2:$A$1201,INDEX(_LEITURA!$P$2:$P$21,12),DECKS!$B$2:$B$1201,$A262))</f>
        <v/>
      </c>
      <c r="W262" s="19" t="str">
        <f aca="false">IF(OR($A262="",INDEX(_LEITURA!$Q$2:$Q$21,13)=0),"",SUMIFS(DECKS!$D$2:$D$1201,DECKS!$A$2:$A$1201,INDEX(_LEITURA!$P$2:$P$21,13),DECKS!$B$2:$B$1201,$A262))</f>
        <v/>
      </c>
      <c r="X262" s="19" t="str">
        <f aca="false">IF(OR($A262="",INDEX(_LEITURA!$Q$2:$Q$21,14)=0),"",SUMIFS(DECKS!$D$2:$D$1201,DECKS!$A$2:$A$1201,INDEX(_LEITURA!$P$2:$P$21,14),DECKS!$B$2:$B$1201,$A262))</f>
        <v/>
      </c>
      <c r="Y262" s="19" t="str">
        <f aca="false">IF(OR($A262="",INDEX(_LEITURA!$Q$2:$Q$21,15)=0),"",SUMIFS(DECKS!$D$2:$D$1201,DECKS!$A$2:$A$1201,INDEX(_LEITURA!$P$2:$P$21,15),DECKS!$B$2:$B$1201,$A262))</f>
        <v/>
      </c>
      <c r="Z262" s="19" t="str">
        <f aca="false">IF(OR($A262="",INDEX(_LEITURA!$Q$2:$Q$21,16)=0),"",SUMIFS(DECKS!$D$2:$D$1201,DECKS!$A$2:$A$1201,INDEX(_LEITURA!$P$2:$P$21,16),DECKS!$B$2:$B$1201,$A262))</f>
        <v/>
      </c>
      <c r="AA262" s="19" t="str">
        <f aca="false">IF(OR($A262="",INDEX(_LEITURA!$Q$2:$Q$21,17)=0),"",SUMIFS(DECKS!$D$2:$D$1201,DECKS!$A$2:$A$1201,INDEX(_LEITURA!$P$2:$P$21,17),DECKS!$B$2:$B$1201,$A262))</f>
        <v/>
      </c>
      <c r="AB262" s="19" t="str">
        <f aca="false">IF(OR($A262="",INDEX(_LEITURA!$Q$2:$Q$21,18)=0),"",SUMIFS(DECKS!$D$2:$D$1201,DECKS!$A$2:$A$1201,INDEX(_LEITURA!$P$2:$P$21,18),DECKS!$B$2:$B$1201,$A262))</f>
        <v/>
      </c>
      <c r="AC262" s="19" t="str">
        <f aca="false">IF(OR($A262="",INDEX(_LEITURA!$Q$2:$Q$21,19)=0),"",SUMIFS(DECKS!$D$2:$D$1201,DECKS!$A$2:$A$1201,INDEX(_LEITURA!$P$2:$P$21,19),DECKS!$B$2:$B$1201,$A262))</f>
        <v/>
      </c>
      <c r="AD262" s="19" t="str">
        <f aca="false">IF(OR($A262="",INDEX(_LEITURA!$Q$2:$Q$21,20)=0),"",SUMIFS(DECKS!$D$2:$D$1201,DECKS!$A$2:$A$1201,INDEX(_LEITURA!$P$2:$P$21,20),DECKS!$B$2:$B$1201,$A262))</f>
        <v/>
      </c>
      <c r="AE262" s="16" t="str">
        <f aca="false">IF(N(E262)&gt;0,MAX(AE$1:AE261)+1,"")</f>
        <v/>
      </c>
      <c r="AF262" s="11" t="str">
        <f aca="false">IF(A262="","",IFERROR(LEFT(A262,FIND("-",A262)-1),A262))</f>
        <v/>
      </c>
      <c r="AG262" s="11" t="str">
        <f aca="false">IF(AF262="","",IF(ISNUMBER(--MID(AF262,1,1)),0,IF(ISNUMBER(--MID(AF262,2,1)),1,IF(ISNUMBER(--MID(AF262,3,1)),2,IF(ISNUMBER(--MID(AF262,4,1)),3,MIN(LEN(AF262),4))))))</f>
        <v/>
      </c>
      <c r="AH262" s="11" t="str">
        <f aca="false">IF(A262="","",LEFT(AF262,AG262)&amp;REPT("0",4-AG262)&amp;RIGHT("000"&amp;IFERROR(VALUE(MID(AF262,AG262+1,9)),0),3)&amp;RIGHT("0000"&amp;IFERROR(VALUE(MID(A262,FIND("-",A262)+1,9)),0),4))</f>
        <v/>
      </c>
      <c r="AI262" s="11" t="str">
        <f aca="false">IF(OR(A262="",N(E262)&lt;=0),"",IF('FALTAS GERAL'!$M$1="Código","K"&amp;AH262&amp;RIGHT("00000"&amp;ROW(),5),IF('FALTAS GERAL'!$M$1="Nome","K"&amp;UPPER(SUBSTITUTE(SUBSTITUTE(SUBSTITUTE(B262,"*",""),"?",""),"~",""))&amp;"0"&amp;AH262&amp;RIGHT("00000"&amp;ROW(),5),IF('FALTAS GERAL'!$M$1="Falta (maior primeiro)","K"&amp;RIGHT("0000"&amp;(9999-E262),4)&amp;AH262&amp;RIGHT("00000"&amp;ROW(),5),IF('FALTAS GERAL'!$M$1="Nº de decks (maior primeiro)","K"&amp;RIGHT("00"&amp;(99-N(G262)),2)&amp;AH262&amp;RIGHT("00000"&amp;ROW(),5),"K"&amp;RIGHT("00000"&amp;ROW(),5))))))</f>
        <v/>
      </c>
      <c r="AJ262" s="11" t="str">
        <f aca="false">IF(AI262="","",COUNTIFS($AI$2:$AI$801,"&lt;"&amp;AI262,$E$2:$E$801,"&gt;0")+1)</f>
        <v/>
      </c>
      <c r="AK262" s="11" t="str">
        <f aca="false">IF(OR(A262="",N(E262)&lt;=0),"",COUNTIFS($AH$2:$AH$801,"&lt;"&amp;AH262,$E$2:$E$801,"&gt;0")+COUNTIFS($AH$2:AH262,AH262,$E$2:E262,"&gt;0"))</f>
        <v/>
      </c>
    </row>
    <row r="263" customFormat="false" ht="15" hidden="false" customHeight="false" outlineLevel="0" collapsed="false">
      <c r="A263" s="11" t="str">
        <f aca="false">IF(INVENTÁRIO!A263="","",INVENTÁRIO!A263)</f>
        <v/>
      </c>
      <c r="B263" s="11" t="str">
        <f aca="false">IF(A263="","",INVENTÁRIO!B263)</f>
        <v/>
      </c>
      <c r="C263" s="16" t="str">
        <f aca="false">IF(A263="","",INVENTÁRIO!C263)</f>
        <v/>
      </c>
      <c r="D263" s="14" t="str">
        <f aca="false">IF(A263="","",MAX(K263:AD263))</f>
        <v/>
      </c>
      <c r="E263" s="14" t="str">
        <f aca="false">IF(A263="","",MAX(0,D263-C263))</f>
        <v/>
      </c>
      <c r="F263" s="16" t="str">
        <f aca="false">IF(A263="","",IF(D263=0,"Fora dos decks",IF(E263=0,"Completo","Falta")))</f>
        <v/>
      </c>
      <c r="G263" s="16" t="str">
        <f aca="false">IF(A263="","",COUNTIF(K263:AD263,"&gt;0"))</f>
        <v/>
      </c>
      <c r="H263" s="16" t="str">
        <f aca="false">IF(A263="","",IF(G263&gt;1,"Sim",""))</f>
        <v/>
      </c>
      <c r="I263" s="18" t="str">
        <f aca="false">IF(A263="","",SUMIFS(DECKS!$D$2:$D$1201,DECKS!$B$2:$B$1201,A263))</f>
        <v/>
      </c>
      <c r="J263" s="18" t="str">
        <f aca="false">IF(A263="","",MAX(0,I263-C263))</f>
        <v/>
      </c>
      <c r="K263" s="19" t="str">
        <f aca="false">IF(OR($A263="",INDEX(_LEITURA!$Q$2:$Q$21,1)=0),"",SUMIFS(DECKS!$D$2:$D$1201,DECKS!$A$2:$A$1201,INDEX(_LEITURA!$P$2:$P$21,1),DECKS!$B$2:$B$1201,$A263))</f>
        <v/>
      </c>
      <c r="L263" s="19" t="str">
        <f aca="false">IF(OR($A263="",INDEX(_LEITURA!$Q$2:$Q$21,2)=0),"",SUMIFS(DECKS!$D$2:$D$1201,DECKS!$A$2:$A$1201,INDEX(_LEITURA!$P$2:$P$21,2),DECKS!$B$2:$B$1201,$A263))</f>
        <v/>
      </c>
      <c r="M263" s="19" t="str">
        <f aca="false">IF(OR($A263="",INDEX(_LEITURA!$Q$2:$Q$21,3)=0),"",SUMIFS(DECKS!$D$2:$D$1201,DECKS!$A$2:$A$1201,INDEX(_LEITURA!$P$2:$P$21,3),DECKS!$B$2:$B$1201,$A263))</f>
        <v/>
      </c>
      <c r="N263" s="19" t="str">
        <f aca="false">IF(OR($A263="",INDEX(_LEITURA!$Q$2:$Q$21,4)=0),"",SUMIFS(DECKS!$D$2:$D$1201,DECKS!$A$2:$A$1201,INDEX(_LEITURA!$P$2:$P$21,4),DECKS!$B$2:$B$1201,$A263))</f>
        <v/>
      </c>
      <c r="O263" s="19" t="str">
        <f aca="false">IF(OR($A263="",INDEX(_LEITURA!$Q$2:$Q$21,5)=0),"",SUMIFS(DECKS!$D$2:$D$1201,DECKS!$A$2:$A$1201,INDEX(_LEITURA!$P$2:$P$21,5),DECKS!$B$2:$B$1201,$A263))</f>
        <v/>
      </c>
      <c r="P263" s="19" t="str">
        <f aca="false">IF(OR($A263="",INDEX(_LEITURA!$Q$2:$Q$21,6)=0),"",SUMIFS(DECKS!$D$2:$D$1201,DECKS!$A$2:$A$1201,INDEX(_LEITURA!$P$2:$P$21,6),DECKS!$B$2:$B$1201,$A263))</f>
        <v/>
      </c>
      <c r="Q263" s="19" t="str">
        <f aca="false">IF(OR($A263="",INDEX(_LEITURA!$Q$2:$Q$21,7)=0),"",SUMIFS(DECKS!$D$2:$D$1201,DECKS!$A$2:$A$1201,INDEX(_LEITURA!$P$2:$P$21,7),DECKS!$B$2:$B$1201,$A263))</f>
        <v/>
      </c>
      <c r="R263" s="19" t="str">
        <f aca="false">IF(OR($A263="",INDEX(_LEITURA!$Q$2:$Q$21,8)=0),"",SUMIFS(DECKS!$D$2:$D$1201,DECKS!$A$2:$A$1201,INDEX(_LEITURA!$P$2:$P$21,8),DECKS!$B$2:$B$1201,$A263))</f>
        <v/>
      </c>
      <c r="S263" s="19" t="str">
        <f aca="false">IF(OR($A263="",INDEX(_LEITURA!$Q$2:$Q$21,9)=0),"",SUMIFS(DECKS!$D$2:$D$1201,DECKS!$A$2:$A$1201,INDEX(_LEITURA!$P$2:$P$21,9),DECKS!$B$2:$B$1201,$A263))</f>
        <v/>
      </c>
      <c r="T263" s="19" t="str">
        <f aca="false">IF(OR($A263="",INDEX(_LEITURA!$Q$2:$Q$21,10)=0),"",SUMIFS(DECKS!$D$2:$D$1201,DECKS!$A$2:$A$1201,INDEX(_LEITURA!$P$2:$P$21,10),DECKS!$B$2:$B$1201,$A263))</f>
        <v/>
      </c>
      <c r="U263" s="19" t="str">
        <f aca="false">IF(OR($A263="",INDEX(_LEITURA!$Q$2:$Q$21,11)=0),"",SUMIFS(DECKS!$D$2:$D$1201,DECKS!$A$2:$A$1201,INDEX(_LEITURA!$P$2:$P$21,11),DECKS!$B$2:$B$1201,$A263))</f>
        <v/>
      </c>
      <c r="V263" s="19" t="str">
        <f aca="false">IF(OR($A263="",INDEX(_LEITURA!$Q$2:$Q$21,12)=0),"",SUMIFS(DECKS!$D$2:$D$1201,DECKS!$A$2:$A$1201,INDEX(_LEITURA!$P$2:$P$21,12),DECKS!$B$2:$B$1201,$A263))</f>
        <v/>
      </c>
      <c r="W263" s="19" t="str">
        <f aca="false">IF(OR($A263="",INDEX(_LEITURA!$Q$2:$Q$21,13)=0),"",SUMIFS(DECKS!$D$2:$D$1201,DECKS!$A$2:$A$1201,INDEX(_LEITURA!$P$2:$P$21,13),DECKS!$B$2:$B$1201,$A263))</f>
        <v/>
      </c>
      <c r="X263" s="19" t="str">
        <f aca="false">IF(OR($A263="",INDEX(_LEITURA!$Q$2:$Q$21,14)=0),"",SUMIFS(DECKS!$D$2:$D$1201,DECKS!$A$2:$A$1201,INDEX(_LEITURA!$P$2:$P$21,14),DECKS!$B$2:$B$1201,$A263))</f>
        <v/>
      </c>
      <c r="Y263" s="19" t="str">
        <f aca="false">IF(OR($A263="",INDEX(_LEITURA!$Q$2:$Q$21,15)=0),"",SUMIFS(DECKS!$D$2:$D$1201,DECKS!$A$2:$A$1201,INDEX(_LEITURA!$P$2:$P$21,15),DECKS!$B$2:$B$1201,$A263))</f>
        <v/>
      </c>
      <c r="Z263" s="19" t="str">
        <f aca="false">IF(OR($A263="",INDEX(_LEITURA!$Q$2:$Q$21,16)=0),"",SUMIFS(DECKS!$D$2:$D$1201,DECKS!$A$2:$A$1201,INDEX(_LEITURA!$P$2:$P$21,16),DECKS!$B$2:$B$1201,$A263))</f>
        <v/>
      </c>
      <c r="AA263" s="19" t="str">
        <f aca="false">IF(OR($A263="",INDEX(_LEITURA!$Q$2:$Q$21,17)=0),"",SUMIFS(DECKS!$D$2:$D$1201,DECKS!$A$2:$A$1201,INDEX(_LEITURA!$P$2:$P$21,17),DECKS!$B$2:$B$1201,$A263))</f>
        <v/>
      </c>
      <c r="AB263" s="19" t="str">
        <f aca="false">IF(OR($A263="",INDEX(_LEITURA!$Q$2:$Q$21,18)=0),"",SUMIFS(DECKS!$D$2:$D$1201,DECKS!$A$2:$A$1201,INDEX(_LEITURA!$P$2:$P$21,18),DECKS!$B$2:$B$1201,$A263))</f>
        <v/>
      </c>
      <c r="AC263" s="19" t="str">
        <f aca="false">IF(OR($A263="",INDEX(_LEITURA!$Q$2:$Q$21,19)=0),"",SUMIFS(DECKS!$D$2:$D$1201,DECKS!$A$2:$A$1201,INDEX(_LEITURA!$P$2:$P$21,19),DECKS!$B$2:$B$1201,$A263))</f>
        <v/>
      </c>
      <c r="AD263" s="19" t="str">
        <f aca="false">IF(OR($A263="",INDEX(_LEITURA!$Q$2:$Q$21,20)=0),"",SUMIFS(DECKS!$D$2:$D$1201,DECKS!$A$2:$A$1201,INDEX(_LEITURA!$P$2:$P$21,20),DECKS!$B$2:$B$1201,$A263))</f>
        <v/>
      </c>
      <c r="AE263" s="16" t="str">
        <f aca="false">IF(N(E263)&gt;0,MAX(AE$1:AE262)+1,"")</f>
        <v/>
      </c>
      <c r="AF263" s="11" t="str">
        <f aca="false">IF(A263="","",IFERROR(LEFT(A263,FIND("-",A263)-1),A263))</f>
        <v/>
      </c>
      <c r="AG263" s="11" t="str">
        <f aca="false">IF(AF263="","",IF(ISNUMBER(--MID(AF263,1,1)),0,IF(ISNUMBER(--MID(AF263,2,1)),1,IF(ISNUMBER(--MID(AF263,3,1)),2,IF(ISNUMBER(--MID(AF263,4,1)),3,MIN(LEN(AF263),4))))))</f>
        <v/>
      </c>
      <c r="AH263" s="11" t="str">
        <f aca="false">IF(A263="","",LEFT(AF263,AG263)&amp;REPT("0",4-AG263)&amp;RIGHT("000"&amp;IFERROR(VALUE(MID(AF263,AG263+1,9)),0),3)&amp;RIGHT("0000"&amp;IFERROR(VALUE(MID(A263,FIND("-",A263)+1,9)),0),4))</f>
        <v/>
      </c>
      <c r="AI263" s="11" t="str">
        <f aca="false">IF(OR(A263="",N(E263)&lt;=0),"",IF('FALTAS GERAL'!$M$1="Código","K"&amp;AH263&amp;RIGHT("00000"&amp;ROW(),5),IF('FALTAS GERAL'!$M$1="Nome","K"&amp;UPPER(SUBSTITUTE(SUBSTITUTE(SUBSTITUTE(B263,"*",""),"?",""),"~",""))&amp;"0"&amp;AH263&amp;RIGHT("00000"&amp;ROW(),5),IF('FALTAS GERAL'!$M$1="Falta (maior primeiro)","K"&amp;RIGHT("0000"&amp;(9999-E263),4)&amp;AH263&amp;RIGHT("00000"&amp;ROW(),5),IF('FALTAS GERAL'!$M$1="Nº de decks (maior primeiro)","K"&amp;RIGHT("00"&amp;(99-N(G263)),2)&amp;AH263&amp;RIGHT("00000"&amp;ROW(),5),"K"&amp;RIGHT("00000"&amp;ROW(),5))))))</f>
        <v/>
      </c>
      <c r="AJ263" s="11" t="str">
        <f aca="false">IF(AI263="","",COUNTIFS($AI$2:$AI$801,"&lt;"&amp;AI263,$E$2:$E$801,"&gt;0")+1)</f>
        <v/>
      </c>
      <c r="AK263" s="11" t="str">
        <f aca="false">IF(OR(A263="",N(E263)&lt;=0),"",COUNTIFS($AH$2:$AH$801,"&lt;"&amp;AH263,$E$2:$E$801,"&gt;0")+COUNTIFS($AH$2:AH263,AH263,$E$2:E263,"&gt;0"))</f>
        <v/>
      </c>
    </row>
    <row r="264" customFormat="false" ht="15" hidden="false" customHeight="false" outlineLevel="0" collapsed="false">
      <c r="A264" s="11" t="str">
        <f aca="false">IF(INVENTÁRIO!A264="","",INVENTÁRIO!A264)</f>
        <v/>
      </c>
      <c r="B264" s="11" t="str">
        <f aca="false">IF(A264="","",INVENTÁRIO!B264)</f>
        <v/>
      </c>
      <c r="C264" s="16" t="str">
        <f aca="false">IF(A264="","",INVENTÁRIO!C264)</f>
        <v/>
      </c>
      <c r="D264" s="14" t="str">
        <f aca="false">IF(A264="","",MAX(K264:AD264))</f>
        <v/>
      </c>
      <c r="E264" s="14" t="str">
        <f aca="false">IF(A264="","",MAX(0,D264-C264))</f>
        <v/>
      </c>
      <c r="F264" s="16" t="str">
        <f aca="false">IF(A264="","",IF(D264=0,"Fora dos decks",IF(E264=0,"Completo","Falta")))</f>
        <v/>
      </c>
      <c r="G264" s="16" t="str">
        <f aca="false">IF(A264="","",COUNTIF(K264:AD264,"&gt;0"))</f>
        <v/>
      </c>
      <c r="H264" s="16" t="str">
        <f aca="false">IF(A264="","",IF(G264&gt;1,"Sim",""))</f>
        <v/>
      </c>
      <c r="I264" s="18" t="str">
        <f aca="false">IF(A264="","",SUMIFS(DECKS!$D$2:$D$1201,DECKS!$B$2:$B$1201,A264))</f>
        <v/>
      </c>
      <c r="J264" s="18" t="str">
        <f aca="false">IF(A264="","",MAX(0,I264-C264))</f>
        <v/>
      </c>
      <c r="K264" s="19" t="str">
        <f aca="false">IF(OR($A264="",INDEX(_LEITURA!$Q$2:$Q$21,1)=0),"",SUMIFS(DECKS!$D$2:$D$1201,DECKS!$A$2:$A$1201,INDEX(_LEITURA!$P$2:$P$21,1),DECKS!$B$2:$B$1201,$A264))</f>
        <v/>
      </c>
      <c r="L264" s="19" t="str">
        <f aca="false">IF(OR($A264="",INDEX(_LEITURA!$Q$2:$Q$21,2)=0),"",SUMIFS(DECKS!$D$2:$D$1201,DECKS!$A$2:$A$1201,INDEX(_LEITURA!$P$2:$P$21,2),DECKS!$B$2:$B$1201,$A264))</f>
        <v/>
      </c>
      <c r="M264" s="19" t="str">
        <f aca="false">IF(OR($A264="",INDEX(_LEITURA!$Q$2:$Q$21,3)=0),"",SUMIFS(DECKS!$D$2:$D$1201,DECKS!$A$2:$A$1201,INDEX(_LEITURA!$P$2:$P$21,3),DECKS!$B$2:$B$1201,$A264))</f>
        <v/>
      </c>
      <c r="N264" s="19" t="str">
        <f aca="false">IF(OR($A264="",INDEX(_LEITURA!$Q$2:$Q$21,4)=0),"",SUMIFS(DECKS!$D$2:$D$1201,DECKS!$A$2:$A$1201,INDEX(_LEITURA!$P$2:$P$21,4),DECKS!$B$2:$B$1201,$A264))</f>
        <v/>
      </c>
      <c r="O264" s="19" t="str">
        <f aca="false">IF(OR($A264="",INDEX(_LEITURA!$Q$2:$Q$21,5)=0),"",SUMIFS(DECKS!$D$2:$D$1201,DECKS!$A$2:$A$1201,INDEX(_LEITURA!$P$2:$P$21,5),DECKS!$B$2:$B$1201,$A264))</f>
        <v/>
      </c>
      <c r="P264" s="19" t="str">
        <f aca="false">IF(OR($A264="",INDEX(_LEITURA!$Q$2:$Q$21,6)=0),"",SUMIFS(DECKS!$D$2:$D$1201,DECKS!$A$2:$A$1201,INDEX(_LEITURA!$P$2:$P$21,6),DECKS!$B$2:$B$1201,$A264))</f>
        <v/>
      </c>
      <c r="Q264" s="19" t="str">
        <f aca="false">IF(OR($A264="",INDEX(_LEITURA!$Q$2:$Q$21,7)=0),"",SUMIFS(DECKS!$D$2:$D$1201,DECKS!$A$2:$A$1201,INDEX(_LEITURA!$P$2:$P$21,7),DECKS!$B$2:$B$1201,$A264))</f>
        <v/>
      </c>
      <c r="R264" s="19" t="str">
        <f aca="false">IF(OR($A264="",INDEX(_LEITURA!$Q$2:$Q$21,8)=0),"",SUMIFS(DECKS!$D$2:$D$1201,DECKS!$A$2:$A$1201,INDEX(_LEITURA!$P$2:$P$21,8),DECKS!$B$2:$B$1201,$A264))</f>
        <v/>
      </c>
      <c r="S264" s="19" t="str">
        <f aca="false">IF(OR($A264="",INDEX(_LEITURA!$Q$2:$Q$21,9)=0),"",SUMIFS(DECKS!$D$2:$D$1201,DECKS!$A$2:$A$1201,INDEX(_LEITURA!$P$2:$P$21,9),DECKS!$B$2:$B$1201,$A264))</f>
        <v/>
      </c>
      <c r="T264" s="19" t="str">
        <f aca="false">IF(OR($A264="",INDEX(_LEITURA!$Q$2:$Q$21,10)=0),"",SUMIFS(DECKS!$D$2:$D$1201,DECKS!$A$2:$A$1201,INDEX(_LEITURA!$P$2:$P$21,10),DECKS!$B$2:$B$1201,$A264))</f>
        <v/>
      </c>
      <c r="U264" s="19" t="str">
        <f aca="false">IF(OR($A264="",INDEX(_LEITURA!$Q$2:$Q$21,11)=0),"",SUMIFS(DECKS!$D$2:$D$1201,DECKS!$A$2:$A$1201,INDEX(_LEITURA!$P$2:$P$21,11),DECKS!$B$2:$B$1201,$A264))</f>
        <v/>
      </c>
      <c r="V264" s="19" t="str">
        <f aca="false">IF(OR($A264="",INDEX(_LEITURA!$Q$2:$Q$21,12)=0),"",SUMIFS(DECKS!$D$2:$D$1201,DECKS!$A$2:$A$1201,INDEX(_LEITURA!$P$2:$P$21,12),DECKS!$B$2:$B$1201,$A264))</f>
        <v/>
      </c>
      <c r="W264" s="19" t="str">
        <f aca="false">IF(OR($A264="",INDEX(_LEITURA!$Q$2:$Q$21,13)=0),"",SUMIFS(DECKS!$D$2:$D$1201,DECKS!$A$2:$A$1201,INDEX(_LEITURA!$P$2:$P$21,13),DECKS!$B$2:$B$1201,$A264))</f>
        <v/>
      </c>
      <c r="X264" s="19" t="str">
        <f aca="false">IF(OR($A264="",INDEX(_LEITURA!$Q$2:$Q$21,14)=0),"",SUMIFS(DECKS!$D$2:$D$1201,DECKS!$A$2:$A$1201,INDEX(_LEITURA!$P$2:$P$21,14),DECKS!$B$2:$B$1201,$A264))</f>
        <v/>
      </c>
      <c r="Y264" s="19" t="str">
        <f aca="false">IF(OR($A264="",INDEX(_LEITURA!$Q$2:$Q$21,15)=0),"",SUMIFS(DECKS!$D$2:$D$1201,DECKS!$A$2:$A$1201,INDEX(_LEITURA!$P$2:$P$21,15),DECKS!$B$2:$B$1201,$A264))</f>
        <v/>
      </c>
      <c r="Z264" s="19" t="str">
        <f aca="false">IF(OR($A264="",INDEX(_LEITURA!$Q$2:$Q$21,16)=0),"",SUMIFS(DECKS!$D$2:$D$1201,DECKS!$A$2:$A$1201,INDEX(_LEITURA!$P$2:$P$21,16),DECKS!$B$2:$B$1201,$A264))</f>
        <v/>
      </c>
      <c r="AA264" s="19" t="str">
        <f aca="false">IF(OR($A264="",INDEX(_LEITURA!$Q$2:$Q$21,17)=0),"",SUMIFS(DECKS!$D$2:$D$1201,DECKS!$A$2:$A$1201,INDEX(_LEITURA!$P$2:$P$21,17),DECKS!$B$2:$B$1201,$A264))</f>
        <v/>
      </c>
      <c r="AB264" s="19" t="str">
        <f aca="false">IF(OR($A264="",INDEX(_LEITURA!$Q$2:$Q$21,18)=0),"",SUMIFS(DECKS!$D$2:$D$1201,DECKS!$A$2:$A$1201,INDEX(_LEITURA!$P$2:$P$21,18),DECKS!$B$2:$B$1201,$A264))</f>
        <v/>
      </c>
      <c r="AC264" s="19" t="str">
        <f aca="false">IF(OR($A264="",INDEX(_LEITURA!$Q$2:$Q$21,19)=0),"",SUMIFS(DECKS!$D$2:$D$1201,DECKS!$A$2:$A$1201,INDEX(_LEITURA!$P$2:$P$21,19),DECKS!$B$2:$B$1201,$A264))</f>
        <v/>
      </c>
      <c r="AD264" s="19" t="str">
        <f aca="false">IF(OR($A264="",INDEX(_LEITURA!$Q$2:$Q$21,20)=0),"",SUMIFS(DECKS!$D$2:$D$1201,DECKS!$A$2:$A$1201,INDEX(_LEITURA!$P$2:$P$21,20),DECKS!$B$2:$B$1201,$A264))</f>
        <v/>
      </c>
      <c r="AE264" s="16" t="str">
        <f aca="false">IF(N(E264)&gt;0,MAX(AE$1:AE263)+1,"")</f>
        <v/>
      </c>
      <c r="AF264" s="11" t="str">
        <f aca="false">IF(A264="","",IFERROR(LEFT(A264,FIND("-",A264)-1),A264))</f>
        <v/>
      </c>
      <c r="AG264" s="11" t="str">
        <f aca="false">IF(AF264="","",IF(ISNUMBER(--MID(AF264,1,1)),0,IF(ISNUMBER(--MID(AF264,2,1)),1,IF(ISNUMBER(--MID(AF264,3,1)),2,IF(ISNUMBER(--MID(AF264,4,1)),3,MIN(LEN(AF264),4))))))</f>
        <v/>
      </c>
      <c r="AH264" s="11" t="str">
        <f aca="false">IF(A264="","",LEFT(AF264,AG264)&amp;REPT("0",4-AG264)&amp;RIGHT("000"&amp;IFERROR(VALUE(MID(AF264,AG264+1,9)),0),3)&amp;RIGHT("0000"&amp;IFERROR(VALUE(MID(A264,FIND("-",A264)+1,9)),0),4))</f>
        <v/>
      </c>
      <c r="AI264" s="11" t="str">
        <f aca="false">IF(OR(A264="",N(E264)&lt;=0),"",IF('FALTAS GERAL'!$M$1="Código","K"&amp;AH264&amp;RIGHT("00000"&amp;ROW(),5),IF('FALTAS GERAL'!$M$1="Nome","K"&amp;UPPER(SUBSTITUTE(SUBSTITUTE(SUBSTITUTE(B264,"*",""),"?",""),"~",""))&amp;"0"&amp;AH264&amp;RIGHT("00000"&amp;ROW(),5),IF('FALTAS GERAL'!$M$1="Falta (maior primeiro)","K"&amp;RIGHT("0000"&amp;(9999-E264),4)&amp;AH264&amp;RIGHT("00000"&amp;ROW(),5),IF('FALTAS GERAL'!$M$1="Nº de decks (maior primeiro)","K"&amp;RIGHT("00"&amp;(99-N(G264)),2)&amp;AH264&amp;RIGHT("00000"&amp;ROW(),5),"K"&amp;RIGHT("00000"&amp;ROW(),5))))))</f>
        <v/>
      </c>
      <c r="AJ264" s="11" t="str">
        <f aca="false">IF(AI264="","",COUNTIFS($AI$2:$AI$801,"&lt;"&amp;AI264,$E$2:$E$801,"&gt;0")+1)</f>
        <v/>
      </c>
      <c r="AK264" s="11" t="str">
        <f aca="false">IF(OR(A264="",N(E264)&lt;=0),"",COUNTIFS($AH$2:$AH$801,"&lt;"&amp;AH264,$E$2:$E$801,"&gt;0")+COUNTIFS($AH$2:AH264,AH264,$E$2:E264,"&gt;0"))</f>
        <v/>
      </c>
    </row>
    <row r="265" customFormat="false" ht="15" hidden="false" customHeight="false" outlineLevel="0" collapsed="false">
      <c r="A265" s="11" t="str">
        <f aca="false">IF(INVENTÁRIO!A265="","",INVENTÁRIO!A265)</f>
        <v/>
      </c>
      <c r="B265" s="11" t="str">
        <f aca="false">IF(A265="","",INVENTÁRIO!B265)</f>
        <v/>
      </c>
      <c r="C265" s="16" t="str">
        <f aca="false">IF(A265="","",INVENTÁRIO!C265)</f>
        <v/>
      </c>
      <c r="D265" s="14" t="str">
        <f aca="false">IF(A265="","",MAX(K265:AD265))</f>
        <v/>
      </c>
      <c r="E265" s="14" t="str">
        <f aca="false">IF(A265="","",MAX(0,D265-C265))</f>
        <v/>
      </c>
      <c r="F265" s="16" t="str">
        <f aca="false">IF(A265="","",IF(D265=0,"Fora dos decks",IF(E265=0,"Completo","Falta")))</f>
        <v/>
      </c>
      <c r="G265" s="16" t="str">
        <f aca="false">IF(A265="","",COUNTIF(K265:AD265,"&gt;0"))</f>
        <v/>
      </c>
      <c r="H265" s="16" t="str">
        <f aca="false">IF(A265="","",IF(G265&gt;1,"Sim",""))</f>
        <v/>
      </c>
      <c r="I265" s="18" t="str">
        <f aca="false">IF(A265="","",SUMIFS(DECKS!$D$2:$D$1201,DECKS!$B$2:$B$1201,A265))</f>
        <v/>
      </c>
      <c r="J265" s="18" t="str">
        <f aca="false">IF(A265="","",MAX(0,I265-C265))</f>
        <v/>
      </c>
      <c r="K265" s="19" t="str">
        <f aca="false">IF(OR($A265="",INDEX(_LEITURA!$Q$2:$Q$21,1)=0),"",SUMIFS(DECKS!$D$2:$D$1201,DECKS!$A$2:$A$1201,INDEX(_LEITURA!$P$2:$P$21,1),DECKS!$B$2:$B$1201,$A265))</f>
        <v/>
      </c>
      <c r="L265" s="19" t="str">
        <f aca="false">IF(OR($A265="",INDEX(_LEITURA!$Q$2:$Q$21,2)=0),"",SUMIFS(DECKS!$D$2:$D$1201,DECKS!$A$2:$A$1201,INDEX(_LEITURA!$P$2:$P$21,2),DECKS!$B$2:$B$1201,$A265))</f>
        <v/>
      </c>
      <c r="M265" s="19" t="str">
        <f aca="false">IF(OR($A265="",INDEX(_LEITURA!$Q$2:$Q$21,3)=0),"",SUMIFS(DECKS!$D$2:$D$1201,DECKS!$A$2:$A$1201,INDEX(_LEITURA!$P$2:$P$21,3),DECKS!$B$2:$B$1201,$A265))</f>
        <v/>
      </c>
      <c r="N265" s="19" t="str">
        <f aca="false">IF(OR($A265="",INDEX(_LEITURA!$Q$2:$Q$21,4)=0),"",SUMIFS(DECKS!$D$2:$D$1201,DECKS!$A$2:$A$1201,INDEX(_LEITURA!$P$2:$P$21,4),DECKS!$B$2:$B$1201,$A265))</f>
        <v/>
      </c>
      <c r="O265" s="19" t="str">
        <f aca="false">IF(OR($A265="",INDEX(_LEITURA!$Q$2:$Q$21,5)=0),"",SUMIFS(DECKS!$D$2:$D$1201,DECKS!$A$2:$A$1201,INDEX(_LEITURA!$P$2:$P$21,5),DECKS!$B$2:$B$1201,$A265))</f>
        <v/>
      </c>
      <c r="P265" s="19" t="str">
        <f aca="false">IF(OR($A265="",INDEX(_LEITURA!$Q$2:$Q$21,6)=0),"",SUMIFS(DECKS!$D$2:$D$1201,DECKS!$A$2:$A$1201,INDEX(_LEITURA!$P$2:$P$21,6),DECKS!$B$2:$B$1201,$A265))</f>
        <v/>
      </c>
      <c r="Q265" s="19" t="str">
        <f aca="false">IF(OR($A265="",INDEX(_LEITURA!$Q$2:$Q$21,7)=0),"",SUMIFS(DECKS!$D$2:$D$1201,DECKS!$A$2:$A$1201,INDEX(_LEITURA!$P$2:$P$21,7),DECKS!$B$2:$B$1201,$A265))</f>
        <v/>
      </c>
      <c r="R265" s="19" t="str">
        <f aca="false">IF(OR($A265="",INDEX(_LEITURA!$Q$2:$Q$21,8)=0),"",SUMIFS(DECKS!$D$2:$D$1201,DECKS!$A$2:$A$1201,INDEX(_LEITURA!$P$2:$P$21,8),DECKS!$B$2:$B$1201,$A265))</f>
        <v/>
      </c>
      <c r="S265" s="19" t="str">
        <f aca="false">IF(OR($A265="",INDEX(_LEITURA!$Q$2:$Q$21,9)=0),"",SUMIFS(DECKS!$D$2:$D$1201,DECKS!$A$2:$A$1201,INDEX(_LEITURA!$P$2:$P$21,9),DECKS!$B$2:$B$1201,$A265))</f>
        <v/>
      </c>
      <c r="T265" s="19" t="str">
        <f aca="false">IF(OR($A265="",INDEX(_LEITURA!$Q$2:$Q$21,10)=0),"",SUMIFS(DECKS!$D$2:$D$1201,DECKS!$A$2:$A$1201,INDEX(_LEITURA!$P$2:$P$21,10),DECKS!$B$2:$B$1201,$A265))</f>
        <v/>
      </c>
      <c r="U265" s="19" t="str">
        <f aca="false">IF(OR($A265="",INDEX(_LEITURA!$Q$2:$Q$21,11)=0),"",SUMIFS(DECKS!$D$2:$D$1201,DECKS!$A$2:$A$1201,INDEX(_LEITURA!$P$2:$P$21,11),DECKS!$B$2:$B$1201,$A265))</f>
        <v/>
      </c>
      <c r="V265" s="19" t="str">
        <f aca="false">IF(OR($A265="",INDEX(_LEITURA!$Q$2:$Q$21,12)=0),"",SUMIFS(DECKS!$D$2:$D$1201,DECKS!$A$2:$A$1201,INDEX(_LEITURA!$P$2:$P$21,12),DECKS!$B$2:$B$1201,$A265))</f>
        <v/>
      </c>
      <c r="W265" s="19" t="str">
        <f aca="false">IF(OR($A265="",INDEX(_LEITURA!$Q$2:$Q$21,13)=0),"",SUMIFS(DECKS!$D$2:$D$1201,DECKS!$A$2:$A$1201,INDEX(_LEITURA!$P$2:$P$21,13),DECKS!$B$2:$B$1201,$A265))</f>
        <v/>
      </c>
      <c r="X265" s="19" t="str">
        <f aca="false">IF(OR($A265="",INDEX(_LEITURA!$Q$2:$Q$21,14)=0),"",SUMIFS(DECKS!$D$2:$D$1201,DECKS!$A$2:$A$1201,INDEX(_LEITURA!$P$2:$P$21,14),DECKS!$B$2:$B$1201,$A265))</f>
        <v/>
      </c>
      <c r="Y265" s="19" t="str">
        <f aca="false">IF(OR($A265="",INDEX(_LEITURA!$Q$2:$Q$21,15)=0),"",SUMIFS(DECKS!$D$2:$D$1201,DECKS!$A$2:$A$1201,INDEX(_LEITURA!$P$2:$P$21,15),DECKS!$B$2:$B$1201,$A265))</f>
        <v/>
      </c>
      <c r="Z265" s="19" t="str">
        <f aca="false">IF(OR($A265="",INDEX(_LEITURA!$Q$2:$Q$21,16)=0),"",SUMIFS(DECKS!$D$2:$D$1201,DECKS!$A$2:$A$1201,INDEX(_LEITURA!$P$2:$P$21,16),DECKS!$B$2:$B$1201,$A265))</f>
        <v/>
      </c>
      <c r="AA265" s="19" t="str">
        <f aca="false">IF(OR($A265="",INDEX(_LEITURA!$Q$2:$Q$21,17)=0),"",SUMIFS(DECKS!$D$2:$D$1201,DECKS!$A$2:$A$1201,INDEX(_LEITURA!$P$2:$P$21,17),DECKS!$B$2:$B$1201,$A265))</f>
        <v/>
      </c>
      <c r="AB265" s="19" t="str">
        <f aca="false">IF(OR($A265="",INDEX(_LEITURA!$Q$2:$Q$21,18)=0),"",SUMIFS(DECKS!$D$2:$D$1201,DECKS!$A$2:$A$1201,INDEX(_LEITURA!$P$2:$P$21,18),DECKS!$B$2:$B$1201,$A265))</f>
        <v/>
      </c>
      <c r="AC265" s="19" t="str">
        <f aca="false">IF(OR($A265="",INDEX(_LEITURA!$Q$2:$Q$21,19)=0),"",SUMIFS(DECKS!$D$2:$D$1201,DECKS!$A$2:$A$1201,INDEX(_LEITURA!$P$2:$P$21,19),DECKS!$B$2:$B$1201,$A265))</f>
        <v/>
      </c>
      <c r="AD265" s="19" t="str">
        <f aca="false">IF(OR($A265="",INDEX(_LEITURA!$Q$2:$Q$21,20)=0),"",SUMIFS(DECKS!$D$2:$D$1201,DECKS!$A$2:$A$1201,INDEX(_LEITURA!$P$2:$P$21,20),DECKS!$B$2:$B$1201,$A265))</f>
        <v/>
      </c>
      <c r="AE265" s="16" t="str">
        <f aca="false">IF(N(E265)&gt;0,MAX(AE$1:AE264)+1,"")</f>
        <v/>
      </c>
      <c r="AF265" s="11" t="str">
        <f aca="false">IF(A265="","",IFERROR(LEFT(A265,FIND("-",A265)-1),A265))</f>
        <v/>
      </c>
      <c r="AG265" s="11" t="str">
        <f aca="false">IF(AF265="","",IF(ISNUMBER(--MID(AF265,1,1)),0,IF(ISNUMBER(--MID(AF265,2,1)),1,IF(ISNUMBER(--MID(AF265,3,1)),2,IF(ISNUMBER(--MID(AF265,4,1)),3,MIN(LEN(AF265),4))))))</f>
        <v/>
      </c>
      <c r="AH265" s="11" t="str">
        <f aca="false">IF(A265="","",LEFT(AF265,AG265)&amp;REPT("0",4-AG265)&amp;RIGHT("000"&amp;IFERROR(VALUE(MID(AF265,AG265+1,9)),0),3)&amp;RIGHT("0000"&amp;IFERROR(VALUE(MID(A265,FIND("-",A265)+1,9)),0),4))</f>
        <v/>
      </c>
      <c r="AI265" s="11" t="str">
        <f aca="false">IF(OR(A265="",N(E265)&lt;=0),"",IF('FALTAS GERAL'!$M$1="Código","K"&amp;AH265&amp;RIGHT("00000"&amp;ROW(),5),IF('FALTAS GERAL'!$M$1="Nome","K"&amp;UPPER(SUBSTITUTE(SUBSTITUTE(SUBSTITUTE(B265,"*",""),"?",""),"~",""))&amp;"0"&amp;AH265&amp;RIGHT("00000"&amp;ROW(),5),IF('FALTAS GERAL'!$M$1="Falta (maior primeiro)","K"&amp;RIGHT("0000"&amp;(9999-E265),4)&amp;AH265&amp;RIGHT("00000"&amp;ROW(),5),IF('FALTAS GERAL'!$M$1="Nº de decks (maior primeiro)","K"&amp;RIGHT("00"&amp;(99-N(G265)),2)&amp;AH265&amp;RIGHT("00000"&amp;ROW(),5),"K"&amp;RIGHT("00000"&amp;ROW(),5))))))</f>
        <v/>
      </c>
      <c r="AJ265" s="11" t="str">
        <f aca="false">IF(AI265="","",COUNTIFS($AI$2:$AI$801,"&lt;"&amp;AI265,$E$2:$E$801,"&gt;0")+1)</f>
        <v/>
      </c>
      <c r="AK265" s="11" t="str">
        <f aca="false">IF(OR(A265="",N(E265)&lt;=0),"",COUNTIFS($AH$2:$AH$801,"&lt;"&amp;AH265,$E$2:$E$801,"&gt;0")+COUNTIFS($AH$2:AH265,AH265,$E$2:E265,"&gt;0"))</f>
        <v/>
      </c>
    </row>
    <row r="266" customFormat="false" ht="15" hidden="false" customHeight="false" outlineLevel="0" collapsed="false">
      <c r="A266" s="11" t="str">
        <f aca="false">IF(INVENTÁRIO!A266="","",INVENTÁRIO!A266)</f>
        <v/>
      </c>
      <c r="B266" s="11" t="str">
        <f aca="false">IF(A266="","",INVENTÁRIO!B266)</f>
        <v/>
      </c>
      <c r="C266" s="16" t="str">
        <f aca="false">IF(A266="","",INVENTÁRIO!C266)</f>
        <v/>
      </c>
      <c r="D266" s="14" t="str">
        <f aca="false">IF(A266="","",MAX(K266:AD266))</f>
        <v/>
      </c>
      <c r="E266" s="14" t="str">
        <f aca="false">IF(A266="","",MAX(0,D266-C266))</f>
        <v/>
      </c>
      <c r="F266" s="16" t="str">
        <f aca="false">IF(A266="","",IF(D266=0,"Fora dos decks",IF(E266=0,"Completo","Falta")))</f>
        <v/>
      </c>
      <c r="G266" s="16" t="str">
        <f aca="false">IF(A266="","",COUNTIF(K266:AD266,"&gt;0"))</f>
        <v/>
      </c>
      <c r="H266" s="16" t="str">
        <f aca="false">IF(A266="","",IF(G266&gt;1,"Sim",""))</f>
        <v/>
      </c>
      <c r="I266" s="18" t="str">
        <f aca="false">IF(A266="","",SUMIFS(DECKS!$D$2:$D$1201,DECKS!$B$2:$B$1201,A266))</f>
        <v/>
      </c>
      <c r="J266" s="18" t="str">
        <f aca="false">IF(A266="","",MAX(0,I266-C266))</f>
        <v/>
      </c>
      <c r="K266" s="19" t="str">
        <f aca="false">IF(OR($A266="",INDEX(_LEITURA!$Q$2:$Q$21,1)=0),"",SUMIFS(DECKS!$D$2:$D$1201,DECKS!$A$2:$A$1201,INDEX(_LEITURA!$P$2:$P$21,1),DECKS!$B$2:$B$1201,$A266))</f>
        <v/>
      </c>
      <c r="L266" s="19" t="str">
        <f aca="false">IF(OR($A266="",INDEX(_LEITURA!$Q$2:$Q$21,2)=0),"",SUMIFS(DECKS!$D$2:$D$1201,DECKS!$A$2:$A$1201,INDEX(_LEITURA!$P$2:$P$21,2),DECKS!$B$2:$B$1201,$A266))</f>
        <v/>
      </c>
      <c r="M266" s="19" t="str">
        <f aca="false">IF(OR($A266="",INDEX(_LEITURA!$Q$2:$Q$21,3)=0),"",SUMIFS(DECKS!$D$2:$D$1201,DECKS!$A$2:$A$1201,INDEX(_LEITURA!$P$2:$P$21,3),DECKS!$B$2:$B$1201,$A266))</f>
        <v/>
      </c>
      <c r="N266" s="19" t="str">
        <f aca="false">IF(OR($A266="",INDEX(_LEITURA!$Q$2:$Q$21,4)=0),"",SUMIFS(DECKS!$D$2:$D$1201,DECKS!$A$2:$A$1201,INDEX(_LEITURA!$P$2:$P$21,4),DECKS!$B$2:$B$1201,$A266))</f>
        <v/>
      </c>
      <c r="O266" s="19" t="str">
        <f aca="false">IF(OR($A266="",INDEX(_LEITURA!$Q$2:$Q$21,5)=0),"",SUMIFS(DECKS!$D$2:$D$1201,DECKS!$A$2:$A$1201,INDEX(_LEITURA!$P$2:$P$21,5),DECKS!$B$2:$B$1201,$A266))</f>
        <v/>
      </c>
      <c r="P266" s="19" t="str">
        <f aca="false">IF(OR($A266="",INDEX(_LEITURA!$Q$2:$Q$21,6)=0),"",SUMIFS(DECKS!$D$2:$D$1201,DECKS!$A$2:$A$1201,INDEX(_LEITURA!$P$2:$P$21,6),DECKS!$B$2:$B$1201,$A266))</f>
        <v/>
      </c>
      <c r="Q266" s="19" t="str">
        <f aca="false">IF(OR($A266="",INDEX(_LEITURA!$Q$2:$Q$21,7)=0),"",SUMIFS(DECKS!$D$2:$D$1201,DECKS!$A$2:$A$1201,INDEX(_LEITURA!$P$2:$P$21,7),DECKS!$B$2:$B$1201,$A266))</f>
        <v/>
      </c>
      <c r="R266" s="19" t="str">
        <f aca="false">IF(OR($A266="",INDEX(_LEITURA!$Q$2:$Q$21,8)=0),"",SUMIFS(DECKS!$D$2:$D$1201,DECKS!$A$2:$A$1201,INDEX(_LEITURA!$P$2:$P$21,8),DECKS!$B$2:$B$1201,$A266))</f>
        <v/>
      </c>
      <c r="S266" s="19" t="str">
        <f aca="false">IF(OR($A266="",INDEX(_LEITURA!$Q$2:$Q$21,9)=0),"",SUMIFS(DECKS!$D$2:$D$1201,DECKS!$A$2:$A$1201,INDEX(_LEITURA!$P$2:$P$21,9),DECKS!$B$2:$B$1201,$A266))</f>
        <v/>
      </c>
      <c r="T266" s="19" t="str">
        <f aca="false">IF(OR($A266="",INDEX(_LEITURA!$Q$2:$Q$21,10)=0),"",SUMIFS(DECKS!$D$2:$D$1201,DECKS!$A$2:$A$1201,INDEX(_LEITURA!$P$2:$P$21,10),DECKS!$B$2:$B$1201,$A266))</f>
        <v/>
      </c>
      <c r="U266" s="19" t="str">
        <f aca="false">IF(OR($A266="",INDEX(_LEITURA!$Q$2:$Q$21,11)=0),"",SUMIFS(DECKS!$D$2:$D$1201,DECKS!$A$2:$A$1201,INDEX(_LEITURA!$P$2:$P$21,11),DECKS!$B$2:$B$1201,$A266))</f>
        <v/>
      </c>
      <c r="V266" s="19" t="str">
        <f aca="false">IF(OR($A266="",INDEX(_LEITURA!$Q$2:$Q$21,12)=0),"",SUMIFS(DECKS!$D$2:$D$1201,DECKS!$A$2:$A$1201,INDEX(_LEITURA!$P$2:$P$21,12),DECKS!$B$2:$B$1201,$A266))</f>
        <v/>
      </c>
      <c r="W266" s="19" t="str">
        <f aca="false">IF(OR($A266="",INDEX(_LEITURA!$Q$2:$Q$21,13)=0),"",SUMIFS(DECKS!$D$2:$D$1201,DECKS!$A$2:$A$1201,INDEX(_LEITURA!$P$2:$P$21,13),DECKS!$B$2:$B$1201,$A266))</f>
        <v/>
      </c>
      <c r="X266" s="19" t="str">
        <f aca="false">IF(OR($A266="",INDEX(_LEITURA!$Q$2:$Q$21,14)=0),"",SUMIFS(DECKS!$D$2:$D$1201,DECKS!$A$2:$A$1201,INDEX(_LEITURA!$P$2:$P$21,14),DECKS!$B$2:$B$1201,$A266))</f>
        <v/>
      </c>
      <c r="Y266" s="19" t="str">
        <f aca="false">IF(OR($A266="",INDEX(_LEITURA!$Q$2:$Q$21,15)=0),"",SUMIFS(DECKS!$D$2:$D$1201,DECKS!$A$2:$A$1201,INDEX(_LEITURA!$P$2:$P$21,15),DECKS!$B$2:$B$1201,$A266))</f>
        <v/>
      </c>
      <c r="Z266" s="19" t="str">
        <f aca="false">IF(OR($A266="",INDEX(_LEITURA!$Q$2:$Q$21,16)=0),"",SUMIFS(DECKS!$D$2:$D$1201,DECKS!$A$2:$A$1201,INDEX(_LEITURA!$P$2:$P$21,16),DECKS!$B$2:$B$1201,$A266))</f>
        <v/>
      </c>
      <c r="AA266" s="19" t="str">
        <f aca="false">IF(OR($A266="",INDEX(_LEITURA!$Q$2:$Q$21,17)=0),"",SUMIFS(DECKS!$D$2:$D$1201,DECKS!$A$2:$A$1201,INDEX(_LEITURA!$P$2:$P$21,17),DECKS!$B$2:$B$1201,$A266))</f>
        <v/>
      </c>
      <c r="AB266" s="19" t="str">
        <f aca="false">IF(OR($A266="",INDEX(_LEITURA!$Q$2:$Q$21,18)=0),"",SUMIFS(DECKS!$D$2:$D$1201,DECKS!$A$2:$A$1201,INDEX(_LEITURA!$P$2:$P$21,18),DECKS!$B$2:$B$1201,$A266))</f>
        <v/>
      </c>
      <c r="AC266" s="19" t="str">
        <f aca="false">IF(OR($A266="",INDEX(_LEITURA!$Q$2:$Q$21,19)=0),"",SUMIFS(DECKS!$D$2:$D$1201,DECKS!$A$2:$A$1201,INDEX(_LEITURA!$P$2:$P$21,19),DECKS!$B$2:$B$1201,$A266))</f>
        <v/>
      </c>
      <c r="AD266" s="19" t="str">
        <f aca="false">IF(OR($A266="",INDEX(_LEITURA!$Q$2:$Q$21,20)=0),"",SUMIFS(DECKS!$D$2:$D$1201,DECKS!$A$2:$A$1201,INDEX(_LEITURA!$P$2:$P$21,20),DECKS!$B$2:$B$1201,$A266))</f>
        <v/>
      </c>
      <c r="AE266" s="16" t="str">
        <f aca="false">IF(N(E266)&gt;0,MAX(AE$1:AE265)+1,"")</f>
        <v/>
      </c>
      <c r="AF266" s="11" t="str">
        <f aca="false">IF(A266="","",IFERROR(LEFT(A266,FIND("-",A266)-1),A266))</f>
        <v/>
      </c>
      <c r="AG266" s="11" t="str">
        <f aca="false">IF(AF266="","",IF(ISNUMBER(--MID(AF266,1,1)),0,IF(ISNUMBER(--MID(AF266,2,1)),1,IF(ISNUMBER(--MID(AF266,3,1)),2,IF(ISNUMBER(--MID(AF266,4,1)),3,MIN(LEN(AF266),4))))))</f>
        <v/>
      </c>
      <c r="AH266" s="11" t="str">
        <f aca="false">IF(A266="","",LEFT(AF266,AG266)&amp;REPT("0",4-AG266)&amp;RIGHT("000"&amp;IFERROR(VALUE(MID(AF266,AG266+1,9)),0),3)&amp;RIGHT("0000"&amp;IFERROR(VALUE(MID(A266,FIND("-",A266)+1,9)),0),4))</f>
        <v/>
      </c>
      <c r="AI266" s="11" t="str">
        <f aca="false">IF(OR(A266="",N(E266)&lt;=0),"",IF('FALTAS GERAL'!$M$1="Código","K"&amp;AH266&amp;RIGHT("00000"&amp;ROW(),5),IF('FALTAS GERAL'!$M$1="Nome","K"&amp;UPPER(SUBSTITUTE(SUBSTITUTE(SUBSTITUTE(B266,"*",""),"?",""),"~",""))&amp;"0"&amp;AH266&amp;RIGHT("00000"&amp;ROW(),5),IF('FALTAS GERAL'!$M$1="Falta (maior primeiro)","K"&amp;RIGHT("0000"&amp;(9999-E266),4)&amp;AH266&amp;RIGHT("00000"&amp;ROW(),5),IF('FALTAS GERAL'!$M$1="Nº de decks (maior primeiro)","K"&amp;RIGHT("00"&amp;(99-N(G266)),2)&amp;AH266&amp;RIGHT("00000"&amp;ROW(),5),"K"&amp;RIGHT("00000"&amp;ROW(),5))))))</f>
        <v/>
      </c>
      <c r="AJ266" s="11" t="str">
        <f aca="false">IF(AI266="","",COUNTIFS($AI$2:$AI$801,"&lt;"&amp;AI266,$E$2:$E$801,"&gt;0")+1)</f>
        <v/>
      </c>
      <c r="AK266" s="11" t="str">
        <f aca="false">IF(OR(A266="",N(E266)&lt;=0),"",COUNTIFS($AH$2:$AH$801,"&lt;"&amp;AH266,$E$2:$E$801,"&gt;0")+COUNTIFS($AH$2:AH266,AH266,$E$2:E266,"&gt;0"))</f>
        <v/>
      </c>
    </row>
    <row r="267" customFormat="false" ht="15" hidden="false" customHeight="false" outlineLevel="0" collapsed="false">
      <c r="A267" s="11" t="str">
        <f aca="false">IF(INVENTÁRIO!A267="","",INVENTÁRIO!A267)</f>
        <v/>
      </c>
      <c r="B267" s="11" t="str">
        <f aca="false">IF(A267="","",INVENTÁRIO!B267)</f>
        <v/>
      </c>
      <c r="C267" s="16" t="str">
        <f aca="false">IF(A267="","",INVENTÁRIO!C267)</f>
        <v/>
      </c>
      <c r="D267" s="14" t="str">
        <f aca="false">IF(A267="","",MAX(K267:AD267))</f>
        <v/>
      </c>
      <c r="E267" s="14" t="str">
        <f aca="false">IF(A267="","",MAX(0,D267-C267))</f>
        <v/>
      </c>
      <c r="F267" s="16" t="str">
        <f aca="false">IF(A267="","",IF(D267=0,"Fora dos decks",IF(E267=0,"Completo","Falta")))</f>
        <v/>
      </c>
      <c r="G267" s="16" t="str">
        <f aca="false">IF(A267="","",COUNTIF(K267:AD267,"&gt;0"))</f>
        <v/>
      </c>
      <c r="H267" s="16" t="str">
        <f aca="false">IF(A267="","",IF(G267&gt;1,"Sim",""))</f>
        <v/>
      </c>
      <c r="I267" s="18" t="str">
        <f aca="false">IF(A267="","",SUMIFS(DECKS!$D$2:$D$1201,DECKS!$B$2:$B$1201,A267))</f>
        <v/>
      </c>
      <c r="J267" s="18" t="str">
        <f aca="false">IF(A267="","",MAX(0,I267-C267))</f>
        <v/>
      </c>
      <c r="K267" s="19" t="str">
        <f aca="false">IF(OR($A267="",INDEX(_LEITURA!$Q$2:$Q$21,1)=0),"",SUMIFS(DECKS!$D$2:$D$1201,DECKS!$A$2:$A$1201,INDEX(_LEITURA!$P$2:$P$21,1),DECKS!$B$2:$B$1201,$A267))</f>
        <v/>
      </c>
      <c r="L267" s="19" t="str">
        <f aca="false">IF(OR($A267="",INDEX(_LEITURA!$Q$2:$Q$21,2)=0),"",SUMIFS(DECKS!$D$2:$D$1201,DECKS!$A$2:$A$1201,INDEX(_LEITURA!$P$2:$P$21,2),DECKS!$B$2:$B$1201,$A267))</f>
        <v/>
      </c>
      <c r="M267" s="19" t="str">
        <f aca="false">IF(OR($A267="",INDEX(_LEITURA!$Q$2:$Q$21,3)=0),"",SUMIFS(DECKS!$D$2:$D$1201,DECKS!$A$2:$A$1201,INDEX(_LEITURA!$P$2:$P$21,3),DECKS!$B$2:$B$1201,$A267))</f>
        <v/>
      </c>
      <c r="N267" s="19" t="str">
        <f aca="false">IF(OR($A267="",INDEX(_LEITURA!$Q$2:$Q$21,4)=0),"",SUMIFS(DECKS!$D$2:$D$1201,DECKS!$A$2:$A$1201,INDEX(_LEITURA!$P$2:$P$21,4),DECKS!$B$2:$B$1201,$A267))</f>
        <v/>
      </c>
      <c r="O267" s="19" t="str">
        <f aca="false">IF(OR($A267="",INDEX(_LEITURA!$Q$2:$Q$21,5)=0),"",SUMIFS(DECKS!$D$2:$D$1201,DECKS!$A$2:$A$1201,INDEX(_LEITURA!$P$2:$P$21,5),DECKS!$B$2:$B$1201,$A267))</f>
        <v/>
      </c>
      <c r="P267" s="19" t="str">
        <f aca="false">IF(OR($A267="",INDEX(_LEITURA!$Q$2:$Q$21,6)=0),"",SUMIFS(DECKS!$D$2:$D$1201,DECKS!$A$2:$A$1201,INDEX(_LEITURA!$P$2:$P$21,6),DECKS!$B$2:$B$1201,$A267))</f>
        <v/>
      </c>
      <c r="Q267" s="19" t="str">
        <f aca="false">IF(OR($A267="",INDEX(_LEITURA!$Q$2:$Q$21,7)=0),"",SUMIFS(DECKS!$D$2:$D$1201,DECKS!$A$2:$A$1201,INDEX(_LEITURA!$P$2:$P$21,7),DECKS!$B$2:$B$1201,$A267))</f>
        <v/>
      </c>
      <c r="R267" s="19" t="str">
        <f aca="false">IF(OR($A267="",INDEX(_LEITURA!$Q$2:$Q$21,8)=0),"",SUMIFS(DECKS!$D$2:$D$1201,DECKS!$A$2:$A$1201,INDEX(_LEITURA!$P$2:$P$21,8),DECKS!$B$2:$B$1201,$A267))</f>
        <v/>
      </c>
      <c r="S267" s="19" t="str">
        <f aca="false">IF(OR($A267="",INDEX(_LEITURA!$Q$2:$Q$21,9)=0),"",SUMIFS(DECKS!$D$2:$D$1201,DECKS!$A$2:$A$1201,INDEX(_LEITURA!$P$2:$P$21,9),DECKS!$B$2:$B$1201,$A267))</f>
        <v/>
      </c>
      <c r="T267" s="19" t="str">
        <f aca="false">IF(OR($A267="",INDEX(_LEITURA!$Q$2:$Q$21,10)=0),"",SUMIFS(DECKS!$D$2:$D$1201,DECKS!$A$2:$A$1201,INDEX(_LEITURA!$P$2:$P$21,10),DECKS!$B$2:$B$1201,$A267))</f>
        <v/>
      </c>
      <c r="U267" s="19" t="str">
        <f aca="false">IF(OR($A267="",INDEX(_LEITURA!$Q$2:$Q$21,11)=0),"",SUMIFS(DECKS!$D$2:$D$1201,DECKS!$A$2:$A$1201,INDEX(_LEITURA!$P$2:$P$21,11),DECKS!$B$2:$B$1201,$A267))</f>
        <v/>
      </c>
      <c r="V267" s="19" t="str">
        <f aca="false">IF(OR($A267="",INDEX(_LEITURA!$Q$2:$Q$21,12)=0),"",SUMIFS(DECKS!$D$2:$D$1201,DECKS!$A$2:$A$1201,INDEX(_LEITURA!$P$2:$P$21,12),DECKS!$B$2:$B$1201,$A267))</f>
        <v/>
      </c>
      <c r="W267" s="19" t="str">
        <f aca="false">IF(OR($A267="",INDEX(_LEITURA!$Q$2:$Q$21,13)=0),"",SUMIFS(DECKS!$D$2:$D$1201,DECKS!$A$2:$A$1201,INDEX(_LEITURA!$P$2:$P$21,13),DECKS!$B$2:$B$1201,$A267))</f>
        <v/>
      </c>
      <c r="X267" s="19" t="str">
        <f aca="false">IF(OR($A267="",INDEX(_LEITURA!$Q$2:$Q$21,14)=0),"",SUMIFS(DECKS!$D$2:$D$1201,DECKS!$A$2:$A$1201,INDEX(_LEITURA!$P$2:$P$21,14),DECKS!$B$2:$B$1201,$A267))</f>
        <v/>
      </c>
      <c r="Y267" s="19" t="str">
        <f aca="false">IF(OR($A267="",INDEX(_LEITURA!$Q$2:$Q$21,15)=0),"",SUMIFS(DECKS!$D$2:$D$1201,DECKS!$A$2:$A$1201,INDEX(_LEITURA!$P$2:$P$21,15),DECKS!$B$2:$B$1201,$A267))</f>
        <v/>
      </c>
      <c r="Z267" s="19" t="str">
        <f aca="false">IF(OR($A267="",INDEX(_LEITURA!$Q$2:$Q$21,16)=0),"",SUMIFS(DECKS!$D$2:$D$1201,DECKS!$A$2:$A$1201,INDEX(_LEITURA!$P$2:$P$21,16),DECKS!$B$2:$B$1201,$A267))</f>
        <v/>
      </c>
      <c r="AA267" s="19" t="str">
        <f aca="false">IF(OR($A267="",INDEX(_LEITURA!$Q$2:$Q$21,17)=0),"",SUMIFS(DECKS!$D$2:$D$1201,DECKS!$A$2:$A$1201,INDEX(_LEITURA!$P$2:$P$21,17),DECKS!$B$2:$B$1201,$A267))</f>
        <v/>
      </c>
      <c r="AB267" s="19" t="str">
        <f aca="false">IF(OR($A267="",INDEX(_LEITURA!$Q$2:$Q$21,18)=0),"",SUMIFS(DECKS!$D$2:$D$1201,DECKS!$A$2:$A$1201,INDEX(_LEITURA!$P$2:$P$21,18),DECKS!$B$2:$B$1201,$A267))</f>
        <v/>
      </c>
      <c r="AC267" s="19" t="str">
        <f aca="false">IF(OR($A267="",INDEX(_LEITURA!$Q$2:$Q$21,19)=0),"",SUMIFS(DECKS!$D$2:$D$1201,DECKS!$A$2:$A$1201,INDEX(_LEITURA!$P$2:$P$21,19),DECKS!$B$2:$B$1201,$A267))</f>
        <v/>
      </c>
      <c r="AD267" s="19" t="str">
        <f aca="false">IF(OR($A267="",INDEX(_LEITURA!$Q$2:$Q$21,20)=0),"",SUMIFS(DECKS!$D$2:$D$1201,DECKS!$A$2:$A$1201,INDEX(_LEITURA!$P$2:$P$21,20),DECKS!$B$2:$B$1201,$A267))</f>
        <v/>
      </c>
      <c r="AE267" s="16" t="str">
        <f aca="false">IF(N(E267)&gt;0,MAX(AE$1:AE266)+1,"")</f>
        <v/>
      </c>
      <c r="AF267" s="11" t="str">
        <f aca="false">IF(A267="","",IFERROR(LEFT(A267,FIND("-",A267)-1),A267))</f>
        <v/>
      </c>
      <c r="AG267" s="11" t="str">
        <f aca="false">IF(AF267="","",IF(ISNUMBER(--MID(AF267,1,1)),0,IF(ISNUMBER(--MID(AF267,2,1)),1,IF(ISNUMBER(--MID(AF267,3,1)),2,IF(ISNUMBER(--MID(AF267,4,1)),3,MIN(LEN(AF267),4))))))</f>
        <v/>
      </c>
      <c r="AH267" s="11" t="str">
        <f aca="false">IF(A267="","",LEFT(AF267,AG267)&amp;REPT("0",4-AG267)&amp;RIGHT("000"&amp;IFERROR(VALUE(MID(AF267,AG267+1,9)),0),3)&amp;RIGHT("0000"&amp;IFERROR(VALUE(MID(A267,FIND("-",A267)+1,9)),0),4))</f>
        <v/>
      </c>
      <c r="AI267" s="11" t="str">
        <f aca="false">IF(OR(A267="",N(E267)&lt;=0),"",IF('FALTAS GERAL'!$M$1="Código","K"&amp;AH267&amp;RIGHT("00000"&amp;ROW(),5),IF('FALTAS GERAL'!$M$1="Nome","K"&amp;UPPER(SUBSTITUTE(SUBSTITUTE(SUBSTITUTE(B267,"*",""),"?",""),"~",""))&amp;"0"&amp;AH267&amp;RIGHT("00000"&amp;ROW(),5),IF('FALTAS GERAL'!$M$1="Falta (maior primeiro)","K"&amp;RIGHT("0000"&amp;(9999-E267),4)&amp;AH267&amp;RIGHT("00000"&amp;ROW(),5),IF('FALTAS GERAL'!$M$1="Nº de decks (maior primeiro)","K"&amp;RIGHT("00"&amp;(99-N(G267)),2)&amp;AH267&amp;RIGHT("00000"&amp;ROW(),5),"K"&amp;RIGHT("00000"&amp;ROW(),5))))))</f>
        <v/>
      </c>
      <c r="AJ267" s="11" t="str">
        <f aca="false">IF(AI267="","",COUNTIFS($AI$2:$AI$801,"&lt;"&amp;AI267,$E$2:$E$801,"&gt;0")+1)</f>
        <v/>
      </c>
      <c r="AK267" s="11" t="str">
        <f aca="false">IF(OR(A267="",N(E267)&lt;=0),"",COUNTIFS($AH$2:$AH$801,"&lt;"&amp;AH267,$E$2:$E$801,"&gt;0")+COUNTIFS($AH$2:AH267,AH267,$E$2:E267,"&gt;0"))</f>
        <v/>
      </c>
    </row>
    <row r="268" customFormat="false" ht="15" hidden="false" customHeight="false" outlineLevel="0" collapsed="false">
      <c r="A268" s="11" t="str">
        <f aca="false">IF(INVENTÁRIO!A268="","",INVENTÁRIO!A268)</f>
        <v/>
      </c>
      <c r="B268" s="11" t="str">
        <f aca="false">IF(A268="","",INVENTÁRIO!B268)</f>
        <v/>
      </c>
      <c r="C268" s="16" t="str">
        <f aca="false">IF(A268="","",INVENTÁRIO!C268)</f>
        <v/>
      </c>
      <c r="D268" s="14" t="str">
        <f aca="false">IF(A268="","",MAX(K268:AD268))</f>
        <v/>
      </c>
      <c r="E268" s="14" t="str">
        <f aca="false">IF(A268="","",MAX(0,D268-C268))</f>
        <v/>
      </c>
      <c r="F268" s="16" t="str">
        <f aca="false">IF(A268="","",IF(D268=0,"Fora dos decks",IF(E268=0,"Completo","Falta")))</f>
        <v/>
      </c>
      <c r="G268" s="16" t="str">
        <f aca="false">IF(A268="","",COUNTIF(K268:AD268,"&gt;0"))</f>
        <v/>
      </c>
      <c r="H268" s="16" t="str">
        <f aca="false">IF(A268="","",IF(G268&gt;1,"Sim",""))</f>
        <v/>
      </c>
      <c r="I268" s="18" t="str">
        <f aca="false">IF(A268="","",SUMIFS(DECKS!$D$2:$D$1201,DECKS!$B$2:$B$1201,A268))</f>
        <v/>
      </c>
      <c r="J268" s="18" t="str">
        <f aca="false">IF(A268="","",MAX(0,I268-C268))</f>
        <v/>
      </c>
      <c r="K268" s="19" t="str">
        <f aca="false">IF(OR($A268="",INDEX(_LEITURA!$Q$2:$Q$21,1)=0),"",SUMIFS(DECKS!$D$2:$D$1201,DECKS!$A$2:$A$1201,INDEX(_LEITURA!$P$2:$P$21,1),DECKS!$B$2:$B$1201,$A268))</f>
        <v/>
      </c>
      <c r="L268" s="19" t="str">
        <f aca="false">IF(OR($A268="",INDEX(_LEITURA!$Q$2:$Q$21,2)=0),"",SUMIFS(DECKS!$D$2:$D$1201,DECKS!$A$2:$A$1201,INDEX(_LEITURA!$P$2:$P$21,2),DECKS!$B$2:$B$1201,$A268))</f>
        <v/>
      </c>
      <c r="M268" s="19" t="str">
        <f aca="false">IF(OR($A268="",INDEX(_LEITURA!$Q$2:$Q$21,3)=0),"",SUMIFS(DECKS!$D$2:$D$1201,DECKS!$A$2:$A$1201,INDEX(_LEITURA!$P$2:$P$21,3),DECKS!$B$2:$B$1201,$A268))</f>
        <v/>
      </c>
      <c r="N268" s="19" t="str">
        <f aca="false">IF(OR($A268="",INDEX(_LEITURA!$Q$2:$Q$21,4)=0),"",SUMIFS(DECKS!$D$2:$D$1201,DECKS!$A$2:$A$1201,INDEX(_LEITURA!$P$2:$P$21,4),DECKS!$B$2:$B$1201,$A268))</f>
        <v/>
      </c>
      <c r="O268" s="19" t="str">
        <f aca="false">IF(OR($A268="",INDEX(_LEITURA!$Q$2:$Q$21,5)=0),"",SUMIFS(DECKS!$D$2:$D$1201,DECKS!$A$2:$A$1201,INDEX(_LEITURA!$P$2:$P$21,5),DECKS!$B$2:$B$1201,$A268))</f>
        <v/>
      </c>
      <c r="P268" s="19" t="str">
        <f aca="false">IF(OR($A268="",INDEX(_LEITURA!$Q$2:$Q$21,6)=0),"",SUMIFS(DECKS!$D$2:$D$1201,DECKS!$A$2:$A$1201,INDEX(_LEITURA!$P$2:$P$21,6),DECKS!$B$2:$B$1201,$A268))</f>
        <v/>
      </c>
      <c r="Q268" s="19" t="str">
        <f aca="false">IF(OR($A268="",INDEX(_LEITURA!$Q$2:$Q$21,7)=0),"",SUMIFS(DECKS!$D$2:$D$1201,DECKS!$A$2:$A$1201,INDEX(_LEITURA!$P$2:$P$21,7),DECKS!$B$2:$B$1201,$A268))</f>
        <v/>
      </c>
      <c r="R268" s="19" t="str">
        <f aca="false">IF(OR($A268="",INDEX(_LEITURA!$Q$2:$Q$21,8)=0),"",SUMIFS(DECKS!$D$2:$D$1201,DECKS!$A$2:$A$1201,INDEX(_LEITURA!$P$2:$P$21,8),DECKS!$B$2:$B$1201,$A268))</f>
        <v/>
      </c>
      <c r="S268" s="19" t="str">
        <f aca="false">IF(OR($A268="",INDEX(_LEITURA!$Q$2:$Q$21,9)=0),"",SUMIFS(DECKS!$D$2:$D$1201,DECKS!$A$2:$A$1201,INDEX(_LEITURA!$P$2:$P$21,9),DECKS!$B$2:$B$1201,$A268))</f>
        <v/>
      </c>
      <c r="T268" s="19" t="str">
        <f aca="false">IF(OR($A268="",INDEX(_LEITURA!$Q$2:$Q$21,10)=0),"",SUMIFS(DECKS!$D$2:$D$1201,DECKS!$A$2:$A$1201,INDEX(_LEITURA!$P$2:$P$21,10),DECKS!$B$2:$B$1201,$A268))</f>
        <v/>
      </c>
      <c r="U268" s="19" t="str">
        <f aca="false">IF(OR($A268="",INDEX(_LEITURA!$Q$2:$Q$21,11)=0),"",SUMIFS(DECKS!$D$2:$D$1201,DECKS!$A$2:$A$1201,INDEX(_LEITURA!$P$2:$P$21,11),DECKS!$B$2:$B$1201,$A268))</f>
        <v/>
      </c>
      <c r="V268" s="19" t="str">
        <f aca="false">IF(OR($A268="",INDEX(_LEITURA!$Q$2:$Q$21,12)=0),"",SUMIFS(DECKS!$D$2:$D$1201,DECKS!$A$2:$A$1201,INDEX(_LEITURA!$P$2:$P$21,12),DECKS!$B$2:$B$1201,$A268))</f>
        <v/>
      </c>
      <c r="W268" s="19" t="str">
        <f aca="false">IF(OR($A268="",INDEX(_LEITURA!$Q$2:$Q$21,13)=0),"",SUMIFS(DECKS!$D$2:$D$1201,DECKS!$A$2:$A$1201,INDEX(_LEITURA!$P$2:$P$21,13),DECKS!$B$2:$B$1201,$A268))</f>
        <v/>
      </c>
      <c r="X268" s="19" t="str">
        <f aca="false">IF(OR($A268="",INDEX(_LEITURA!$Q$2:$Q$21,14)=0),"",SUMIFS(DECKS!$D$2:$D$1201,DECKS!$A$2:$A$1201,INDEX(_LEITURA!$P$2:$P$21,14),DECKS!$B$2:$B$1201,$A268))</f>
        <v/>
      </c>
      <c r="Y268" s="19" t="str">
        <f aca="false">IF(OR($A268="",INDEX(_LEITURA!$Q$2:$Q$21,15)=0),"",SUMIFS(DECKS!$D$2:$D$1201,DECKS!$A$2:$A$1201,INDEX(_LEITURA!$P$2:$P$21,15),DECKS!$B$2:$B$1201,$A268))</f>
        <v/>
      </c>
      <c r="Z268" s="19" t="str">
        <f aca="false">IF(OR($A268="",INDEX(_LEITURA!$Q$2:$Q$21,16)=0),"",SUMIFS(DECKS!$D$2:$D$1201,DECKS!$A$2:$A$1201,INDEX(_LEITURA!$P$2:$P$21,16),DECKS!$B$2:$B$1201,$A268))</f>
        <v/>
      </c>
      <c r="AA268" s="19" t="str">
        <f aca="false">IF(OR($A268="",INDEX(_LEITURA!$Q$2:$Q$21,17)=0),"",SUMIFS(DECKS!$D$2:$D$1201,DECKS!$A$2:$A$1201,INDEX(_LEITURA!$P$2:$P$21,17),DECKS!$B$2:$B$1201,$A268))</f>
        <v/>
      </c>
      <c r="AB268" s="19" t="str">
        <f aca="false">IF(OR($A268="",INDEX(_LEITURA!$Q$2:$Q$21,18)=0),"",SUMIFS(DECKS!$D$2:$D$1201,DECKS!$A$2:$A$1201,INDEX(_LEITURA!$P$2:$P$21,18),DECKS!$B$2:$B$1201,$A268))</f>
        <v/>
      </c>
      <c r="AC268" s="19" t="str">
        <f aca="false">IF(OR($A268="",INDEX(_LEITURA!$Q$2:$Q$21,19)=0),"",SUMIFS(DECKS!$D$2:$D$1201,DECKS!$A$2:$A$1201,INDEX(_LEITURA!$P$2:$P$21,19),DECKS!$B$2:$B$1201,$A268))</f>
        <v/>
      </c>
      <c r="AD268" s="19" t="str">
        <f aca="false">IF(OR($A268="",INDEX(_LEITURA!$Q$2:$Q$21,20)=0),"",SUMIFS(DECKS!$D$2:$D$1201,DECKS!$A$2:$A$1201,INDEX(_LEITURA!$P$2:$P$21,20),DECKS!$B$2:$B$1201,$A268))</f>
        <v/>
      </c>
      <c r="AE268" s="16" t="str">
        <f aca="false">IF(N(E268)&gt;0,MAX(AE$1:AE267)+1,"")</f>
        <v/>
      </c>
      <c r="AF268" s="11" t="str">
        <f aca="false">IF(A268="","",IFERROR(LEFT(A268,FIND("-",A268)-1),A268))</f>
        <v/>
      </c>
      <c r="AG268" s="11" t="str">
        <f aca="false">IF(AF268="","",IF(ISNUMBER(--MID(AF268,1,1)),0,IF(ISNUMBER(--MID(AF268,2,1)),1,IF(ISNUMBER(--MID(AF268,3,1)),2,IF(ISNUMBER(--MID(AF268,4,1)),3,MIN(LEN(AF268),4))))))</f>
        <v/>
      </c>
      <c r="AH268" s="11" t="str">
        <f aca="false">IF(A268="","",LEFT(AF268,AG268)&amp;REPT("0",4-AG268)&amp;RIGHT("000"&amp;IFERROR(VALUE(MID(AF268,AG268+1,9)),0),3)&amp;RIGHT("0000"&amp;IFERROR(VALUE(MID(A268,FIND("-",A268)+1,9)),0),4))</f>
        <v/>
      </c>
      <c r="AI268" s="11" t="str">
        <f aca="false">IF(OR(A268="",N(E268)&lt;=0),"",IF('FALTAS GERAL'!$M$1="Código","K"&amp;AH268&amp;RIGHT("00000"&amp;ROW(),5),IF('FALTAS GERAL'!$M$1="Nome","K"&amp;UPPER(SUBSTITUTE(SUBSTITUTE(SUBSTITUTE(B268,"*",""),"?",""),"~",""))&amp;"0"&amp;AH268&amp;RIGHT("00000"&amp;ROW(),5),IF('FALTAS GERAL'!$M$1="Falta (maior primeiro)","K"&amp;RIGHT("0000"&amp;(9999-E268),4)&amp;AH268&amp;RIGHT("00000"&amp;ROW(),5),IF('FALTAS GERAL'!$M$1="Nº de decks (maior primeiro)","K"&amp;RIGHT("00"&amp;(99-N(G268)),2)&amp;AH268&amp;RIGHT("00000"&amp;ROW(),5),"K"&amp;RIGHT("00000"&amp;ROW(),5))))))</f>
        <v/>
      </c>
      <c r="AJ268" s="11" t="str">
        <f aca="false">IF(AI268="","",COUNTIFS($AI$2:$AI$801,"&lt;"&amp;AI268,$E$2:$E$801,"&gt;0")+1)</f>
        <v/>
      </c>
      <c r="AK268" s="11" t="str">
        <f aca="false">IF(OR(A268="",N(E268)&lt;=0),"",COUNTIFS($AH$2:$AH$801,"&lt;"&amp;AH268,$E$2:$E$801,"&gt;0")+COUNTIFS($AH$2:AH268,AH268,$E$2:E268,"&gt;0"))</f>
        <v/>
      </c>
    </row>
    <row r="269" customFormat="false" ht="15" hidden="false" customHeight="false" outlineLevel="0" collapsed="false">
      <c r="A269" s="11" t="str">
        <f aca="false">IF(INVENTÁRIO!A269="","",INVENTÁRIO!A269)</f>
        <v/>
      </c>
      <c r="B269" s="11" t="str">
        <f aca="false">IF(A269="","",INVENTÁRIO!B269)</f>
        <v/>
      </c>
      <c r="C269" s="16" t="str">
        <f aca="false">IF(A269="","",INVENTÁRIO!C269)</f>
        <v/>
      </c>
      <c r="D269" s="14" t="str">
        <f aca="false">IF(A269="","",MAX(K269:AD269))</f>
        <v/>
      </c>
      <c r="E269" s="14" t="str">
        <f aca="false">IF(A269="","",MAX(0,D269-C269))</f>
        <v/>
      </c>
      <c r="F269" s="16" t="str">
        <f aca="false">IF(A269="","",IF(D269=0,"Fora dos decks",IF(E269=0,"Completo","Falta")))</f>
        <v/>
      </c>
      <c r="G269" s="16" t="str">
        <f aca="false">IF(A269="","",COUNTIF(K269:AD269,"&gt;0"))</f>
        <v/>
      </c>
      <c r="H269" s="16" t="str">
        <f aca="false">IF(A269="","",IF(G269&gt;1,"Sim",""))</f>
        <v/>
      </c>
      <c r="I269" s="18" t="str">
        <f aca="false">IF(A269="","",SUMIFS(DECKS!$D$2:$D$1201,DECKS!$B$2:$B$1201,A269))</f>
        <v/>
      </c>
      <c r="J269" s="18" t="str">
        <f aca="false">IF(A269="","",MAX(0,I269-C269))</f>
        <v/>
      </c>
      <c r="K269" s="19" t="str">
        <f aca="false">IF(OR($A269="",INDEX(_LEITURA!$Q$2:$Q$21,1)=0),"",SUMIFS(DECKS!$D$2:$D$1201,DECKS!$A$2:$A$1201,INDEX(_LEITURA!$P$2:$P$21,1),DECKS!$B$2:$B$1201,$A269))</f>
        <v/>
      </c>
      <c r="L269" s="19" t="str">
        <f aca="false">IF(OR($A269="",INDEX(_LEITURA!$Q$2:$Q$21,2)=0),"",SUMIFS(DECKS!$D$2:$D$1201,DECKS!$A$2:$A$1201,INDEX(_LEITURA!$P$2:$P$21,2),DECKS!$B$2:$B$1201,$A269))</f>
        <v/>
      </c>
      <c r="M269" s="19" t="str">
        <f aca="false">IF(OR($A269="",INDEX(_LEITURA!$Q$2:$Q$21,3)=0),"",SUMIFS(DECKS!$D$2:$D$1201,DECKS!$A$2:$A$1201,INDEX(_LEITURA!$P$2:$P$21,3),DECKS!$B$2:$B$1201,$A269))</f>
        <v/>
      </c>
      <c r="N269" s="19" t="str">
        <f aca="false">IF(OR($A269="",INDEX(_LEITURA!$Q$2:$Q$21,4)=0),"",SUMIFS(DECKS!$D$2:$D$1201,DECKS!$A$2:$A$1201,INDEX(_LEITURA!$P$2:$P$21,4),DECKS!$B$2:$B$1201,$A269))</f>
        <v/>
      </c>
      <c r="O269" s="19" t="str">
        <f aca="false">IF(OR($A269="",INDEX(_LEITURA!$Q$2:$Q$21,5)=0),"",SUMIFS(DECKS!$D$2:$D$1201,DECKS!$A$2:$A$1201,INDEX(_LEITURA!$P$2:$P$21,5),DECKS!$B$2:$B$1201,$A269))</f>
        <v/>
      </c>
      <c r="P269" s="19" t="str">
        <f aca="false">IF(OR($A269="",INDEX(_LEITURA!$Q$2:$Q$21,6)=0),"",SUMIFS(DECKS!$D$2:$D$1201,DECKS!$A$2:$A$1201,INDEX(_LEITURA!$P$2:$P$21,6),DECKS!$B$2:$B$1201,$A269))</f>
        <v/>
      </c>
      <c r="Q269" s="19" t="str">
        <f aca="false">IF(OR($A269="",INDEX(_LEITURA!$Q$2:$Q$21,7)=0),"",SUMIFS(DECKS!$D$2:$D$1201,DECKS!$A$2:$A$1201,INDEX(_LEITURA!$P$2:$P$21,7),DECKS!$B$2:$B$1201,$A269))</f>
        <v/>
      </c>
      <c r="R269" s="19" t="str">
        <f aca="false">IF(OR($A269="",INDEX(_LEITURA!$Q$2:$Q$21,8)=0),"",SUMIFS(DECKS!$D$2:$D$1201,DECKS!$A$2:$A$1201,INDEX(_LEITURA!$P$2:$P$21,8),DECKS!$B$2:$B$1201,$A269))</f>
        <v/>
      </c>
      <c r="S269" s="19" t="str">
        <f aca="false">IF(OR($A269="",INDEX(_LEITURA!$Q$2:$Q$21,9)=0),"",SUMIFS(DECKS!$D$2:$D$1201,DECKS!$A$2:$A$1201,INDEX(_LEITURA!$P$2:$P$21,9),DECKS!$B$2:$B$1201,$A269))</f>
        <v/>
      </c>
      <c r="T269" s="19" t="str">
        <f aca="false">IF(OR($A269="",INDEX(_LEITURA!$Q$2:$Q$21,10)=0),"",SUMIFS(DECKS!$D$2:$D$1201,DECKS!$A$2:$A$1201,INDEX(_LEITURA!$P$2:$P$21,10),DECKS!$B$2:$B$1201,$A269))</f>
        <v/>
      </c>
      <c r="U269" s="19" t="str">
        <f aca="false">IF(OR($A269="",INDEX(_LEITURA!$Q$2:$Q$21,11)=0),"",SUMIFS(DECKS!$D$2:$D$1201,DECKS!$A$2:$A$1201,INDEX(_LEITURA!$P$2:$P$21,11),DECKS!$B$2:$B$1201,$A269))</f>
        <v/>
      </c>
      <c r="V269" s="19" t="str">
        <f aca="false">IF(OR($A269="",INDEX(_LEITURA!$Q$2:$Q$21,12)=0),"",SUMIFS(DECKS!$D$2:$D$1201,DECKS!$A$2:$A$1201,INDEX(_LEITURA!$P$2:$P$21,12),DECKS!$B$2:$B$1201,$A269))</f>
        <v/>
      </c>
      <c r="W269" s="19" t="str">
        <f aca="false">IF(OR($A269="",INDEX(_LEITURA!$Q$2:$Q$21,13)=0),"",SUMIFS(DECKS!$D$2:$D$1201,DECKS!$A$2:$A$1201,INDEX(_LEITURA!$P$2:$P$21,13),DECKS!$B$2:$B$1201,$A269))</f>
        <v/>
      </c>
      <c r="X269" s="19" t="str">
        <f aca="false">IF(OR($A269="",INDEX(_LEITURA!$Q$2:$Q$21,14)=0),"",SUMIFS(DECKS!$D$2:$D$1201,DECKS!$A$2:$A$1201,INDEX(_LEITURA!$P$2:$P$21,14),DECKS!$B$2:$B$1201,$A269))</f>
        <v/>
      </c>
      <c r="Y269" s="19" t="str">
        <f aca="false">IF(OR($A269="",INDEX(_LEITURA!$Q$2:$Q$21,15)=0),"",SUMIFS(DECKS!$D$2:$D$1201,DECKS!$A$2:$A$1201,INDEX(_LEITURA!$P$2:$P$21,15),DECKS!$B$2:$B$1201,$A269))</f>
        <v/>
      </c>
      <c r="Z269" s="19" t="str">
        <f aca="false">IF(OR($A269="",INDEX(_LEITURA!$Q$2:$Q$21,16)=0),"",SUMIFS(DECKS!$D$2:$D$1201,DECKS!$A$2:$A$1201,INDEX(_LEITURA!$P$2:$P$21,16),DECKS!$B$2:$B$1201,$A269))</f>
        <v/>
      </c>
      <c r="AA269" s="19" t="str">
        <f aca="false">IF(OR($A269="",INDEX(_LEITURA!$Q$2:$Q$21,17)=0),"",SUMIFS(DECKS!$D$2:$D$1201,DECKS!$A$2:$A$1201,INDEX(_LEITURA!$P$2:$P$21,17),DECKS!$B$2:$B$1201,$A269))</f>
        <v/>
      </c>
      <c r="AB269" s="19" t="str">
        <f aca="false">IF(OR($A269="",INDEX(_LEITURA!$Q$2:$Q$21,18)=0),"",SUMIFS(DECKS!$D$2:$D$1201,DECKS!$A$2:$A$1201,INDEX(_LEITURA!$P$2:$P$21,18),DECKS!$B$2:$B$1201,$A269))</f>
        <v/>
      </c>
      <c r="AC269" s="19" t="str">
        <f aca="false">IF(OR($A269="",INDEX(_LEITURA!$Q$2:$Q$21,19)=0),"",SUMIFS(DECKS!$D$2:$D$1201,DECKS!$A$2:$A$1201,INDEX(_LEITURA!$P$2:$P$21,19),DECKS!$B$2:$B$1201,$A269))</f>
        <v/>
      </c>
      <c r="AD269" s="19" t="str">
        <f aca="false">IF(OR($A269="",INDEX(_LEITURA!$Q$2:$Q$21,20)=0),"",SUMIFS(DECKS!$D$2:$D$1201,DECKS!$A$2:$A$1201,INDEX(_LEITURA!$P$2:$P$21,20),DECKS!$B$2:$B$1201,$A269))</f>
        <v/>
      </c>
      <c r="AE269" s="16" t="str">
        <f aca="false">IF(N(E269)&gt;0,MAX(AE$1:AE268)+1,"")</f>
        <v/>
      </c>
      <c r="AF269" s="11" t="str">
        <f aca="false">IF(A269="","",IFERROR(LEFT(A269,FIND("-",A269)-1),A269))</f>
        <v/>
      </c>
      <c r="AG269" s="11" t="str">
        <f aca="false">IF(AF269="","",IF(ISNUMBER(--MID(AF269,1,1)),0,IF(ISNUMBER(--MID(AF269,2,1)),1,IF(ISNUMBER(--MID(AF269,3,1)),2,IF(ISNUMBER(--MID(AF269,4,1)),3,MIN(LEN(AF269),4))))))</f>
        <v/>
      </c>
      <c r="AH269" s="11" t="str">
        <f aca="false">IF(A269="","",LEFT(AF269,AG269)&amp;REPT("0",4-AG269)&amp;RIGHT("000"&amp;IFERROR(VALUE(MID(AF269,AG269+1,9)),0),3)&amp;RIGHT("0000"&amp;IFERROR(VALUE(MID(A269,FIND("-",A269)+1,9)),0),4))</f>
        <v/>
      </c>
      <c r="AI269" s="11" t="str">
        <f aca="false">IF(OR(A269="",N(E269)&lt;=0),"",IF('FALTAS GERAL'!$M$1="Código","K"&amp;AH269&amp;RIGHT("00000"&amp;ROW(),5),IF('FALTAS GERAL'!$M$1="Nome","K"&amp;UPPER(SUBSTITUTE(SUBSTITUTE(SUBSTITUTE(B269,"*",""),"?",""),"~",""))&amp;"0"&amp;AH269&amp;RIGHT("00000"&amp;ROW(),5),IF('FALTAS GERAL'!$M$1="Falta (maior primeiro)","K"&amp;RIGHT("0000"&amp;(9999-E269),4)&amp;AH269&amp;RIGHT("00000"&amp;ROW(),5),IF('FALTAS GERAL'!$M$1="Nº de decks (maior primeiro)","K"&amp;RIGHT("00"&amp;(99-N(G269)),2)&amp;AH269&amp;RIGHT("00000"&amp;ROW(),5),"K"&amp;RIGHT("00000"&amp;ROW(),5))))))</f>
        <v/>
      </c>
      <c r="AJ269" s="11" t="str">
        <f aca="false">IF(AI269="","",COUNTIFS($AI$2:$AI$801,"&lt;"&amp;AI269,$E$2:$E$801,"&gt;0")+1)</f>
        <v/>
      </c>
      <c r="AK269" s="11" t="str">
        <f aca="false">IF(OR(A269="",N(E269)&lt;=0),"",COUNTIFS($AH$2:$AH$801,"&lt;"&amp;AH269,$E$2:$E$801,"&gt;0")+COUNTIFS($AH$2:AH269,AH269,$E$2:E269,"&gt;0"))</f>
        <v/>
      </c>
    </row>
    <row r="270" customFormat="false" ht="15" hidden="false" customHeight="false" outlineLevel="0" collapsed="false">
      <c r="A270" s="11" t="str">
        <f aca="false">IF(INVENTÁRIO!A270="","",INVENTÁRIO!A270)</f>
        <v/>
      </c>
      <c r="B270" s="11" t="str">
        <f aca="false">IF(A270="","",INVENTÁRIO!B270)</f>
        <v/>
      </c>
      <c r="C270" s="16" t="str">
        <f aca="false">IF(A270="","",INVENTÁRIO!C270)</f>
        <v/>
      </c>
      <c r="D270" s="14" t="str">
        <f aca="false">IF(A270="","",MAX(K270:AD270))</f>
        <v/>
      </c>
      <c r="E270" s="14" t="str">
        <f aca="false">IF(A270="","",MAX(0,D270-C270))</f>
        <v/>
      </c>
      <c r="F270" s="16" t="str">
        <f aca="false">IF(A270="","",IF(D270=0,"Fora dos decks",IF(E270=0,"Completo","Falta")))</f>
        <v/>
      </c>
      <c r="G270" s="16" t="str">
        <f aca="false">IF(A270="","",COUNTIF(K270:AD270,"&gt;0"))</f>
        <v/>
      </c>
      <c r="H270" s="16" t="str">
        <f aca="false">IF(A270="","",IF(G270&gt;1,"Sim",""))</f>
        <v/>
      </c>
      <c r="I270" s="18" t="str">
        <f aca="false">IF(A270="","",SUMIFS(DECKS!$D$2:$D$1201,DECKS!$B$2:$B$1201,A270))</f>
        <v/>
      </c>
      <c r="J270" s="18" t="str">
        <f aca="false">IF(A270="","",MAX(0,I270-C270))</f>
        <v/>
      </c>
      <c r="K270" s="19" t="str">
        <f aca="false">IF(OR($A270="",INDEX(_LEITURA!$Q$2:$Q$21,1)=0),"",SUMIFS(DECKS!$D$2:$D$1201,DECKS!$A$2:$A$1201,INDEX(_LEITURA!$P$2:$P$21,1),DECKS!$B$2:$B$1201,$A270))</f>
        <v/>
      </c>
      <c r="L270" s="19" t="str">
        <f aca="false">IF(OR($A270="",INDEX(_LEITURA!$Q$2:$Q$21,2)=0),"",SUMIFS(DECKS!$D$2:$D$1201,DECKS!$A$2:$A$1201,INDEX(_LEITURA!$P$2:$P$21,2),DECKS!$B$2:$B$1201,$A270))</f>
        <v/>
      </c>
      <c r="M270" s="19" t="str">
        <f aca="false">IF(OR($A270="",INDEX(_LEITURA!$Q$2:$Q$21,3)=0),"",SUMIFS(DECKS!$D$2:$D$1201,DECKS!$A$2:$A$1201,INDEX(_LEITURA!$P$2:$P$21,3),DECKS!$B$2:$B$1201,$A270))</f>
        <v/>
      </c>
      <c r="N270" s="19" t="str">
        <f aca="false">IF(OR($A270="",INDEX(_LEITURA!$Q$2:$Q$21,4)=0),"",SUMIFS(DECKS!$D$2:$D$1201,DECKS!$A$2:$A$1201,INDEX(_LEITURA!$P$2:$P$21,4),DECKS!$B$2:$B$1201,$A270))</f>
        <v/>
      </c>
      <c r="O270" s="19" t="str">
        <f aca="false">IF(OR($A270="",INDEX(_LEITURA!$Q$2:$Q$21,5)=0),"",SUMIFS(DECKS!$D$2:$D$1201,DECKS!$A$2:$A$1201,INDEX(_LEITURA!$P$2:$P$21,5),DECKS!$B$2:$B$1201,$A270))</f>
        <v/>
      </c>
      <c r="P270" s="19" t="str">
        <f aca="false">IF(OR($A270="",INDEX(_LEITURA!$Q$2:$Q$21,6)=0),"",SUMIFS(DECKS!$D$2:$D$1201,DECKS!$A$2:$A$1201,INDEX(_LEITURA!$P$2:$P$21,6),DECKS!$B$2:$B$1201,$A270))</f>
        <v/>
      </c>
      <c r="Q270" s="19" t="str">
        <f aca="false">IF(OR($A270="",INDEX(_LEITURA!$Q$2:$Q$21,7)=0),"",SUMIFS(DECKS!$D$2:$D$1201,DECKS!$A$2:$A$1201,INDEX(_LEITURA!$P$2:$P$21,7),DECKS!$B$2:$B$1201,$A270))</f>
        <v/>
      </c>
      <c r="R270" s="19" t="str">
        <f aca="false">IF(OR($A270="",INDEX(_LEITURA!$Q$2:$Q$21,8)=0),"",SUMIFS(DECKS!$D$2:$D$1201,DECKS!$A$2:$A$1201,INDEX(_LEITURA!$P$2:$P$21,8),DECKS!$B$2:$B$1201,$A270))</f>
        <v/>
      </c>
      <c r="S270" s="19" t="str">
        <f aca="false">IF(OR($A270="",INDEX(_LEITURA!$Q$2:$Q$21,9)=0),"",SUMIFS(DECKS!$D$2:$D$1201,DECKS!$A$2:$A$1201,INDEX(_LEITURA!$P$2:$P$21,9),DECKS!$B$2:$B$1201,$A270))</f>
        <v/>
      </c>
      <c r="T270" s="19" t="str">
        <f aca="false">IF(OR($A270="",INDEX(_LEITURA!$Q$2:$Q$21,10)=0),"",SUMIFS(DECKS!$D$2:$D$1201,DECKS!$A$2:$A$1201,INDEX(_LEITURA!$P$2:$P$21,10),DECKS!$B$2:$B$1201,$A270))</f>
        <v/>
      </c>
      <c r="U270" s="19" t="str">
        <f aca="false">IF(OR($A270="",INDEX(_LEITURA!$Q$2:$Q$21,11)=0),"",SUMIFS(DECKS!$D$2:$D$1201,DECKS!$A$2:$A$1201,INDEX(_LEITURA!$P$2:$P$21,11),DECKS!$B$2:$B$1201,$A270))</f>
        <v/>
      </c>
      <c r="V270" s="19" t="str">
        <f aca="false">IF(OR($A270="",INDEX(_LEITURA!$Q$2:$Q$21,12)=0),"",SUMIFS(DECKS!$D$2:$D$1201,DECKS!$A$2:$A$1201,INDEX(_LEITURA!$P$2:$P$21,12),DECKS!$B$2:$B$1201,$A270))</f>
        <v/>
      </c>
      <c r="W270" s="19" t="str">
        <f aca="false">IF(OR($A270="",INDEX(_LEITURA!$Q$2:$Q$21,13)=0),"",SUMIFS(DECKS!$D$2:$D$1201,DECKS!$A$2:$A$1201,INDEX(_LEITURA!$P$2:$P$21,13),DECKS!$B$2:$B$1201,$A270))</f>
        <v/>
      </c>
      <c r="X270" s="19" t="str">
        <f aca="false">IF(OR($A270="",INDEX(_LEITURA!$Q$2:$Q$21,14)=0),"",SUMIFS(DECKS!$D$2:$D$1201,DECKS!$A$2:$A$1201,INDEX(_LEITURA!$P$2:$P$21,14),DECKS!$B$2:$B$1201,$A270))</f>
        <v/>
      </c>
      <c r="Y270" s="19" t="str">
        <f aca="false">IF(OR($A270="",INDEX(_LEITURA!$Q$2:$Q$21,15)=0),"",SUMIFS(DECKS!$D$2:$D$1201,DECKS!$A$2:$A$1201,INDEX(_LEITURA!$P$2:$P$21,15),DECKS!$B$2:$B$1201,$A270))</f>
        <v/>
      </c>
      <c r="Z270" s="19" t="str">
        <f aca="false">IF(OR($A270="",INDEX(_LEITURA!$Q$2:$Q$21,16)=0),"",SUMIFS(DECKS!$D$2:$D$1201,DECKS!$A$2:$A$1201,INDEX(_LEITURA!$P$2:$P$21,16),DECKS!$B$2:$B$1201,$A270))</f>
        <v/>
      </c>
      <c r="AA270" s="19" t="str">
        <f aca="false">IF(OR($A270="",INDEX(_LEITURA!$Q$2:$Q$21,17)=0),"",SUMIFS(DECKS!$D$2:$D$1201,DECKS!$A$2:$A$1201,INDEX(_LEITURA!$P$2:$P$21,17),DECKS!$B$2:$B$1201,$A270))</f>
        <v/>
      </c>
      <c r="AB270" s="19" t="str">
        <f aca="false">IF(OR($A270="",INDEX(_LEITURA!$Q$2:$Q$21,18)=0),"",SUMIFS(DECKS!$D$2:$D$1201,DECKS!$A$2:$A$1201,INDEX(_LEITURA!$P$2:$P$21,18),DECKS!$B$2:$B$1201,$A270))</f>
        <v/>
      </c>
      <c r="AC270" s="19" t="str">
        <f aca="false">IF(OR($A270="",INDEX(_LEITURA!$Q$2:$Q$21,19)=0),"",SUMIFS(DECKS!$D$2:$D$1201,DECKS!$A$2:$A$1201,INDEX(_LEITURA!$P$2:$P$21,19),DECKS!$B$2:$B$1201,$A270))</f>
        <v/>
      </c>
      <c r="AD270" s="19" t="str">
        <f aca="false">IF(OR($A270="",INDEX(_LEITURA!$Q$2:$Q$21,20)=0),"",SUMIFS(DECKS!$D$2:$D$1201,DECKS!$A$2:$A$1201,INDEX(_LEITURA!$P$2:$P$21,20),DECKS!$B$2:$B$1201,$A270))</f>
        <v/>
      </c>
      <c r="AE270" s="16" t="str">
        <f aca="false">IF(N(E270)&gt;0,MAX(AE$1:AE269)+1,"")</f>
        <v/>
      </c>
      <c r="AF270" s="11" t="str">
        <f aca="false">IF(A270="","",IFERROR(LEFT(A270,FIND("-",A270)-1),A270))</f>
        <v/>
      </c>
      <c r="AG270" s="11" t="str">
        <f aca="false">IF(AF270="","",IF(ISNUMBER(--MID(AF270,1,1)),0,IF(ISNUMBER(--MID(AF270,2,1)),1,IF(ISNUMBER(--MID(AF270,3,1)),2,IF(ISNUMBER(--MID(AF270,4,1)),3,MIN(LEN(AF270),4))))))</f>
        <v/>
      </c>
      <c r="AH270" s="11" t="str">
        <f aca="false">IF(A270="","",LEFT(AF270,AG270)&amp;REPT("0",4-AG270)&amp;RIGHT("000"&amp;IFERROR(VALUE(MID(AF270,AG270+1,9)),0),3)&amp;RIGHT("0000"&amp;IFERROR(VALUE(MID(A270,FIND("-",A270)+1,9)),0),4))</f>
        <v/>
      </c>
      <c r="AI270" s="11" t="str">
        <f aca="false">IF(OR(A270="",N(E270)&lt;=0),"",IF('FALTAS GERAL'!$M$1="Código","K"&amp;AH270&amp;RIGHT("00000"&amp;ROW(),5),IF('FALTAS GERAL'!$M$1="Nome","K"&amp;UPPER(SUBSTITUTE(SUBSTITUTE(SUBSTITUTE(B270,"*",""),"?",""),"~",""))&amp;"0"&amp;AH270&amp;RIGHT("00000"&amp;ROW(),5),IF('FALTAS GERAL'!$M$1="Falta (maior primeiro)","K"&amp;RIGHT("0000"&amp;(9999-E270),4)&amp;AH270&amp;RIGHT("00000"&amp;ROW(),5),IF('FALTAS GERAL'!$M$1="Nº de decks (maior primeiro)","K"&amp;RIGHT("00"&amp;(99-N(G270)),2)&amp;AH270&amp;RIGHT("00000"&amp;ROW(),5),"K"&amp;RIGHT("00000"&amp;ROW(),5))))))</f>
        <v/>
      </c>
      <c r="AJ270" s="11" t="str">
        <f aca="false">IF(AI270="","",COUNTIFS($AI$2:$AI$801,"&lt;"&amp;AI270,$E$2:$E$801,"&gt;0")+1)</f>
        <v/>
      </c>
      <c r="AK270" s="11" t="str">
        <f aca="false">IF(OR(A270="",N(E270)&lt;=0),"",COUNTIFS($AH$2:$AH$801,"&lt;"&amp;AH270,$E$2:$E$801,"&gt;0")+COUNTIFS($AH$2:AH270,AH270,$E$2:E270,"&gt;0"))</f>
        <v/>
      </c>
    </row>
    <row r="271" customFormat="false" ht="15" hidden="false" customHeight="false" outlineLevel="0" collapsed="false">
      <c r="A271" s="11" t="str">
        <f aca="false">IF(INVENTÁRIO!A271="","",INVENTÁRIO!A271)</f>
        <v/>
      </c>
      <c r="B271" s="11" t="str">
        <f aca="false">IF(A271="","",INVENTÁRIO!B271)</f>
        <v/>
      </c>
      <c r="C271" s="16" t="str">
        <f aca="false">IF(A271="","",INVENTÁRIO!C271)</f>
        <v/>
      </c>
      <c r="D271" s="14" t="str">
        <f aca="false">IF(A271="","",MAX(K271:AD271))</f>
        <v/>
      </c>
      <c r="E271" s="14" t="str">
        <f aca="false">IF(A271="","",MAX(0,D271-C271))</f>
        <v/>
      </c>
      <c r="F271" s="16" t="str">
        <f aca="false">IF(A271="","",IF(D271=0,"Fora dos decks",IF(E271=0,"Completo","Falta")))</f>
        <v/>
      </c>
      <c r="G271" s="16" t="str">
        <f aca="false">IF(A271="","",COUNTIF(K271:AD271,"&gt;0"))</f>
        <v/>
      </c>
      <c r="H271" s="16" t="str">
        <f aca="false">IF(A271="","",IF(G271&gt;1,"Sim",""))</f>
        <v/>
      </c>
      <c r="I271" s="18" t="str">
        <f aca="false">IF(A271="","",SUMIFS(DECKS!$D$2:$D$1201,DECKS!$B$2:$B$1201,A271))</f>
        <v/>
      </c>
      <c r="J271" s="18" t="str">
        <f aca="false">IF(A271="","",MAX(0,I271-C271))</f>
        <v/>
      </c>
      <c r="K271" s="19" t="str">
        <f aca="false">IF(OR($A271="",INDEX(_LEITURA!$Q$2:$Q$21,1)=0),"",SUMIFS(DECKS!$D$2:$D$1201,DECKS!$A$2:$A$1201,INDEX(_LEITURA!$P$2:$P$21,1),DECKS!$B$2:$B$1201,$A271))</f>
        <v/>
      </c>
      <c r="L271" s="19" t="str">
        <f aca="false">IF(OR($A271="",INDEX(_LEITURA!$Q$2:$Q$21,2)=0),"",SUMIFS(DECKS!$D$2:$D$1201,DECKS!$A$2:$A$1201,INDEX(_LEITURA!$P$2:$P$21,2),DECKS!$B$2:$B$1201,$A271))</f>
        <v/>
      </c>
      <c r="M271" s="19" t="str">
        <f aca="false">IF(OR($A271="",INDEX(_LEITURA!$Q$2:$Q$21,3)=0),"",SUMIFS(DECKS!$D$2:$D$1201,DECKS!$A$2:$A$1201,INDEX(_LEITURA!$P$2:$P$21,3),DECKS!$B$2:$B$1201,$A271))</f>
        <v/>
      </c>
      <c r="N271" s="19" t="str">
        <f aca="false">IF(OR($A271="",INDEX(_LEITURA!$Q$2:$Q$21,4)=0),"",SUMIFS(DECKS!$D$2:$D$1201,DECKS!$A$2:$A$1201,INDEX(_LEITURA!$P$2:$P$21,4),DECKS!$B$2:$B$1201,$A271))</f>
        <v/>
      </c>
      <c r="O271" s="19" t="str">
        <f aca="false">IF(OR($A271="",INDEX(_LEITURA!$Q$2:$Q$21,5)=0),"",SUMIFS(DECKS!$D$2:$D$1201,DECKS!$A$2:$A$1201,INDEX(_LEITURA!$P$2:$P$21,5),DECKS!$B$2:$B$1201,$A271))</f>
        <v/>
      </c>
      <c r="P271" s="19" t="str">
        <f aca="false">IF(OR($A271="",INDEX(_LEITURA!$Q$2:$Q$21,6)=0),"",SUMIFS(DECKS!$D$2:$D$1201,DECKS!$A$2:$A$1201,INDEX(_LEITURA!$P$2:$P$21,6),DECKS!$B$2:$B$1201,$A271))</f>
        <v/>
      </c>
      <c r="Q271" s="19" t="str">
        <f aca="false">IF(OR($A271="",INDEX(_LEITURA!$Q$2:$Q$21,7)=0),"",SUMIFS(DECKS!$D$2:$D$1201,DECKS!$A$2:$A$1201,INDEX(_LEITURA!$P$2:$P$21,7),DECKS!$B$2:$B$1201,$A271))</f>
        <v/>
      </c>
      <c r="R271" s="19" t="str">
        <f aca="false">IF(OR($A271="",INDEX(_LEITURA!$Q$2:$Q$21,8)=0),"",SUMIFS(DECKS!$D$2:$D$1201,DECKS!$A$2:$A$1201,INDEX(_LEITURA!$P$2:$P$21,8),DECKS!$B$2:$B$1201,$A271))</f>
        <v/>
      </c>
      <c r="S271" s="19" t="str">
        <f aca="false">IF(OR($A271="",INDEX(_LEITURA!$Q$2:$Q$21,9)=0),"",SUMIFS(DECKS!$D$2:$D$1201,DECKS!$A$2:$A$1201,INDEX(_LEITURA!$P$2:$P$21,9),DECKS!$B$2:$B$1201,$A271))</f>
        <v/>
      </c>
      <c r="T271" s="19" t="str">
        <f aca="false">IF(OR($A271="",INDEX(_LEITURA!$Q$2:$Q$21,10)=0),"",SUMIFS(DECKS!$D$2:$D$1201,DECKS!$A$2:$A$1201,INDEX(_LEITURA!$P$2:$P$21,10),DECKS!$B$2:$B$1201,$A271))</f>
        <v/>
      </c>
      <c r="U271" s="19" t="str">
        <f aca="false">IF(OR($A271="",INDEX(_LEITURA!$Q$2:$Q$21,11)=0),"",SUMIFS(DECKS!$D$2:$D$1201,DECKS!$A$2:$A$1201,INDEX(_LEITURA!$P$2:$P$21,11),DECKS!$B$2:$B$1201,$A271))</f>
        <v/>
      </c>
      <c r="V271" s="19" t="str">
        <f aca="false">IF(OR($A271="",INDEX(_LEITURA!$Q$2:$Q$21,12)=0),"",SUMIFS(DECKS!$D$2:$D$1201,DECKS!$A$2:$A$1201,INDEX(_LEITURA!$P$2:$P$21,12),DECKS!$B$2:$B$1201,$A271))</f>
        <v/>
      </c>
      <c r="W271" s="19" t="str">
        <f aca="false">IF(OR($A271="",INDEX(_LEITURA!$Q$2:$Q$21,13)=0),"",SUMIFS(DECKS!$D$2:$D$1201,DECKS!$A$2:$A$1201,INDEX(_LEITURA!$P$2:$P$21,13),DECKS!$B$2:$B$1201,$A271))</f>
        <v/>
      </c>
      <c r="X271" s="19" t="str">
        <f aca="false">IF(OR($A271="",INDEX(_LEITURA!$Q$2:$Q$21,14)=0),"",SUMIFS(DECKS!$D$2:$D$1201,DECKS!$A$2:$A$1201,INDEX(_LEITURA!$P$2:$P$21,14),DECKS!$B$2:$B$1201,$A271))</f>
        <v/>
      </c>
      <c r="Y271" s="19" t="str">
        <f aca="false">IF(OR($A271="",INDEX(_LEITURA!$Q$2:$Q$21,15)=0),"",SUMIFS(DECKS!$D$2:$D$1201,DECKS!$A$2:$A$1201,INDEX(_LEITURA!$P$2:$P$21,15),DECKS!$B$2:$B$1201,$A271))</f>
        <v/>
      </c>
      <c r="Z271" s="19" t="str">
        <f aca="false">IF(OR($A271="",INDEX(_LEITURA!$Q$2:$Q$21,16)=0),"",SUMIFS(DECKS!$D$2:$D$1201,DECKS!$A$2:$A$1201,INDEX(_LEITURA!$P$2:$P$21,16),DECKS!$B$2:$B$1201,$A271))</f>
        <v/>
      </c>
      <c r="AA271" s="19" t="str">
        <f aca="false">IF(OR($A271="",INDEX(_LEITURA!$Q$2:$Q$21,17)=0),"",SUMIFS(DECKS!$D$2:$D$1201,DECKS!$A$2:$A$1201,INDEX(_LEITURA!$P$2:$P$21,17),DECKS!$B$2:$B$1201,$A271))</f>
        <v/>
      </c>
      <c r="AB271" s="19" t="str">
        <f aca="false">IF(OR($A271="",INDEX(_LEITURA!$Q$2:$Q$21,18)=0),"",SUMIFS(DECKS!$D$2:$D$1201,DECKS!$A$2:$A$1201,INDEX(_LEITURA!$P$2:$P$21,18),DECKS!$B$2:$B$1201,$A271))</f>
        <v/>
      </c>
      <c r="AC271" s="19" t="str">
        <f aca="false">IF(OR($A271="",INDEX(_LEITURA!$Q$2:$Q$21,19)=0),"",SUMIFS(DECKS!$D$2:$D$1201,DECKS!$A$2:$A$1201,INDEX(_LEITURA!$P$2:$P$21,19),DECKS!$B$2:$B$1201,$A271))</f>
        <v/>
      </c>
      <c r="AD271" s="19" t="str">
        <f aca="false">IF(OR($A271="",INDEX(_LEITURA!$Q$2:$Q$21,20)=0),"",SUMIFS(DECKS!$D$2:$D$1201,DECKS!$A$2:$A$1201,INDEX(_LEITURA!$P$2:$P$21,20),DECKS!$B$2:$B$1201,$A271))</f>
        <v/>
      </c>
      <c r="AE271" s="16" t="str">
        <f aca="false">IF(N(E271)&gt;0,MAX(AE$1:AE270)+1,"")</f>
        <v/>
      </c>
      <c r="AF271" s="11" t="str">
        <f aca="false">IF(A271="","",IFERROR(LEFT(A271,FIND("-",A271)-1),A271))</f>
        <v/>
      </c>
      <c r="AG271" s="11" t="str">
        <f aca="false">IF(AF271="","",IF(ISNUMBER(--MID(AF271,1,1)),0,IF(ISNUMBER(--MID(AF271,2,1)),1,IF(ISNUMBER(--MID(AF271,3,1)),2,IF(ISNUMBER(--MID(AF271,4,1)),3,MIN(LEN(AF271),4))))))</f>
        <v/>
      </c>
      <c r="AH271" s="11" t="str">
        <f aca="false">IF(A271="","",LEFT(AF271,AG271)&amp;REPT("0",4-AG271)&amp;RIGHT("000"&amp;IFERROR(VALUE(MID(AF271,AG271+1,9)),0),3)&amp;RIGHT("0000"&amp;IFERROR(VALUE(MID(A271,FIND("-",A271)+1,9)),0),4))</f>
        <v/>
      </c>
      <c r="AI271" s="11" t="str">
        <f aca="false">IF(OR(A271="",N(E271)&lt;=0),"",IF('FALTAS GERAL'!$M$1="Código","K"&amp;AH271&amp;RIGHT("00000"&amp;ROW(),5),IF('FALTAS GERAL'!$M$1="Nome","K"&amp;UPPER(SUBSTITUTE(SUBSTITUTE(SUBSTITUTE(B271,"*",""),"?",""),"~",""))&amp;"0"&amp;AH271&amp;RIGHT("00000"&amp;ROW(),5),IF('FALTAS GERAL'!$M$1="Falta (maior primeiro)","K"&amp;RIGHT("0000"&amp;(9999-E271),4)&amp;AH271&amp;RIGHT("00000"&amp;ROW(),5),IF('FALTAS GERAL'!$M$1="Nº de decks (maior primeiro)","K"&amp;RIGHT("00"&amp;(99-N(G271)),2)&amp;AH271&amp;RIGHT("00000"&amp;ROW(),5),"K"&amp;RIGHT("00000"&amp;ROW(),5))))))</f>
        <v/>
      </c>
      <c r="AJ271" s="11" t="str">
        <f aca="false">IF(AI271="","",COUNTIFS($AI$2:$AI$801,"&lt;"&amp;AI271,$E$2:$E$801,"&gt;0")+1)</f>
        <v/>
      </c>
      <c r="AK271" s="11" t="str">
        <f aca="false">IF(OR(A271="",N(E271)&lt;=0),"",COUNTIFS($AH$2:$AH$801,"&lt;"&amp;AH271,$E$2:$E$801,"&gt;0")+COUNTIFS($AH$2:AH271,AH271,$E$2:E271,"&gt;0"))</f>
        <v/>
      </c>
    </row>
    <row r="272" customFormat="false" ht="15" hidden="false" customHeight="false" outlineLevel="0" collapsed="false">
      <c r="A272" s="11" t="str">
        <f aca="false">IF(INVENTÁRIO!A272="","",INVENTÁRIO!A272)</f>
        <v/>
      </c>
      <c r="B272" s="11" t="str">
        <f aca="false">IF(A272="","",INVENTÁRIO!B272)</f>
        <v/>
      </c>
      <c r="C272" s="16" t="str">
        <f aca="false">IF(A272="","",INVENTÁRIO!C272)</f>
        <v/>
      </c>
      <c r="D272" s="14" t="str">
        <f aca="false">IF(A272="","",MAX(K272:AD272))</f>
        <v/>
      </c>
      <c r="E272" s="14" t="str">
        <f aca="false">IF(A272="","",MAX(0,D272-C272))</f>
        <v/>
      </c>
      <c r="F272" s="16" t="str">
        <f aca="false">IF(A272="","",IF(D272=0,"Fora dos decks",IF(E272=0,"Completo","Falta")))</f>
        <v/>
      </c>
      <c r="G272" s="16" t="str">
        <f aca="false">IF(A272="","",COUNTIF(K272:AD272,"&gt;0"))</f>
        <v/>
      </c>
      <c r="H272" s="16" t="str">
        <f aca="false">IF(A272="","",IF(G272&gt;1,"Sim",""))</f>
        <v/>
      </c>
      <c r="I272" s="18" t="str">
        <f aca="false">IF(A272="","",SUMIFS(DECKS!$D$2:$D$1201,DECKS!$B$2:$B$1201,A272))</f>
        <v/>
      </c>
      <c r="J272" s="18" t="str">
        <f aca="false">IF(A272="","",MAX(0,I272-C272))</f>
        <v/>
      </c>
      <c r="K272" s="19" t="str">
        <f aca="false">IF(OR($A272="",INDEX(_LEITURA!$Q$2:$Q$21,1)=0),"",SUMIFS(DECKS!$D$2:$D$1201,DECKS!$A$2:$A$1201,INDEX(_LEITURA!$P$2:$P$21,1),DECKS!$B$2:$B$1201,$A272))</f>
        <v/>
      </c>
      <c r="L272" s="19" t="str">
        <f aca="false">IF(OR($A272="",INDEX(_LEITURA!$Q$2:$Q$21,2)=0),"",SUMIFS(DECKS!$D$2:$D$1201,DECKS!$A$2:$A$1201,INDEX(_LEITURA!$P$2:$P$21,2),DECKS!$B$2:$B$1201,$A272))</f>
        <v/>
      </c>
      <c r="M272" s="19" t="str">
        <f aca="false">IF(OR($A272="",INDEX(_LEITURA!$Q$2:$Q$21,3)=0),"",SUMIFS(DECKS!$D$2:$D$1201,DECKS!$A$2:$A$1201,INDEX(_LEITURA!$P$2:$P$21,3),DECKS!$B$2:$B$1201,$A272))</f>
        <v/>
      </c>
      <c r="N272" s="19" t="str">
        <f aca="false">IF(OR($A272="",INDEX(_LEITURA!$Q$2:$Q$21,4)=0),"",SUMIFS(DECKS!$D$2:$D$1201,DECKS!$A$2:$A$1201,INDEX(_LEITURA!$P$2:$P$21,4),DECKS!$B$2:$B$1201,$A272))</f>
        <v/>
      </c>
      <c r="O272" s="19" t="str">
        <f aca="false">IF(OR($A272="",INDEX(_LEITURA!$Q$2:$Q$21,5)=0),"",SUMIFS(DECKS!$D$2:$D$1201,DECKS!$A$2:$A$1201,INDEX(_LEITURA!$P$2:$P$21,5),DECKS!$B$2:$B$1201,$A272))</f>
        <v/>
      </c>
      <c r="P272" s="19" t="str">
        <f aca="false">IF(OR($A272="",INDEX(_LEITURA!$Q$2:$Q$21,6)=0),"",SUMIFS(DECKS!$D$2:$D$1201,DECKS!$A$2:$A$1201,INDEX(_LEITURA!$P$2:$P$21,6),DECKS!$B$2:$B$1201,$A272))</f>
        <v/>
      </c>
      <c r="Q272" s="19" t="str">
        <f aca="false">IF(OR($A272="",INDEX(_LEITURA!$Q$2:$Q$21,7)=0),"",SUMIFS(DECKS!$D$2:$D$1201,DECKS!$A$2:$A$1201,INDEX(_LEITURA!$P$2:$P$21,7),DECKS!$B$2:$B$1201,$A272))</f>
        <v/>
      </c>
      <c r="R272" s="19" t="str">
        <f aca="false">IF(OR($A272="",INDEX(_LEITURA!$Q$2:$Q$21,8)=0),"",SUMIFS(DECKS!$D$2:$D$1201,DECKS!$A$2:$A$1201,INDEX(_LEITURA!$P$2:$P$21,8),DECKS!$B$2:$B$1201,$A272))</f>
        <v/>
      </c>
      <c r="S272" s="19" t="str">
        <f aca="false">IF(OR($A272="",INDEX(_LEITURA!$Q$2:$Q$21,9)=0),"",SUMIFS(DECKS!$D$2:$D$1201,DECKS!$A$2:$A$1201,INDEX(_LEITURA!$P$2:$P$21,9),DECKS!$B$2:$B$1201,$A272))</f>
        <v/>
      </c>
      <c r="T272" s="19" t="str">
        <f aca="false">IF(OR($A272="",INDEX(_LEITURA!$Q$2:$Q$21,10)=0),"",SUMIFS(DECKS!$D$2:$D$1201,DECKS!$A$2:$A$1201,INDEX(_LEITURA!$P$2:$P$21,10),DECKS!$B$2:$B$1201,$A272))</f>
        <v/>
      </c>
      <c r="U272" s="19" t="str">
        <f aca="false">IF(OR($A272="",INDEX(_LEITURA!$Q$2:$Q$21,11)=0),"",SUMIFS(DECKS!$D$2:$D$1201,DECKS!$A$2:$A$1201,INDEX(_LEITURA!$P$2:$P$21,11),DECKS!$B$2:$B$1201,$A272))</f>
        <v/>
      </c>
      <c r="V272" s="19" t="str">
        <f aca="false">IF(OR($A272="",INDEX(_LEITURA!$Q$2:$Q$21,12)=0),"",SUMIFS(DECKS!$D$2:$D$1201,DECKS!$A$2:$A$1201,INDEX(_LEITURA!$P$2:$P$21,12),DECKS!$B$2:$B$1201,$A272))</f>
        <v/>
      </c>
      <c r="W272" s="19" t="str">
        <f aca="false">IF(OR($A272="",INDEX(_LEITURA!$Q$2:$Q$21,13)=0),"",SUMIFS(DECKS!$D$2:$D$1201,DECKS!$A$2:$A$1201,INDEX(_LEITURA!$P$2:$P$21,13),DECKS!$B$2:$B$1201,$A272))</f>
        <v/>
      </c>
      <c r="X272" s="19" t="str">
        <f aca="false">IF(OR($A272="",INDEX(_LEITURA!$Q$2:$Q$21,14)=0),"",SUMIFS(DECKS!$D$2:$D$1201,DECKS!$A$2:$A$1201,INDEX(_LEITURA!$P$2:$P$21,14),DECKS!$B$2:$B$1201,$A272))</f>
        <v/>
      </c>
      <c r="Y272" s="19" t="str">
        <f aca="false">IF(OR($A272="",INDEX(_LEITURA!$Q$2:$Q$21,15)=0),"",SUMIFS(DECKS!$D$2:$D$1201,DECKS!$A$2:$A$1201,INDEX(_LEITURA!$P$2:$P$21,15),DECKS!$B$2:$B$1201,$A272))</f>
        <v/>
      </c>
      <c r="Z272" s="19" t="str">
        <f aca="false">IF(OR($A272="",INDEX(_LEITURA!$Q$2:$Q$21,16)=0),"",SUMIFS(DECKS!$D$2:$D$1201,DECKS!$A$2:$A$1201,INDEX(_LEITURA!$P$2:$P$21,16),DECKS!$B$2:$B$1201,$A272))</f>
        <v/>
      </c>
      <c r="AA272" s="19" t="str">
        <f aca="false">IF(OR($A272="",INDEX(_LEITURA!$Q$2:$Q$21,17)=0),"",SUMIFS(DECKS!$D$2:$D$1201,DECKS!$A$2:$A$1201,INDEX(_LEITURA!$P$2:$P$21,17),DECKS!$B$2:$B$1201,$A272))</f>
        <v/>
      </c>
      <c r="AB272" s="19" t="str">
        <f aca="false">IF(OR($A272="",INDEX(_LEITURA!$Q$2:$Q$21,18)=0),"",SUMIFS(DECKS!$D$2:$D$1201,DECKS!$A$2:$A$1201,INDEX(_LEITURA!$P$2:$P$21,18),DECKS!$B$2:$B$1201,$A272))</f>
        <v/>
      </c>
      <c r="AC272" s="19" t="str">
        <f aca="false">IF(OR($A272="",INDEX(_LEITURA!$Q$2:$Q$21,19)=0),"",SUMIFS(DECKS!$D$2:$D$1201,DECKS!$A$2:$A$1201,INDEX(_LEITURA!$P$2:$P$21,19),DECKS!$B$2:$B$1201,$A272))</f>
        <v/>
      </c>
      <c r="AD272" s="19" t="str">
        <f aca="false">IF(OR($A272="",INDEX(_LEITURA!$Q$2:$Q$21,20)=0),"",SUMIFS(DECKS!$D$2:$D$1201,DECKS!$A$2:$A$1201,INDEX(_LEITURA!$P$2:$P$21,20),DECKS!$B$2:$B$1201,$A272))</f>
        <v/>
      </c>
      <c r="AE272" s="16" t="str">
        <f aca="false">IF(N(E272)&gt;0,MAX(AE$1:AE271)+1,"")</f>
        <v/>
      </c>
      <c r="AF272" s="11" t="str">
        <f aca="false">IF(A272="","",IFERROR(LEFT(A272,FIND("-",A272)-1),A272))</f>
        <v/>
      </c>
      <c r="AG272" s="11" t="str">
        <f aca="false">IF(AF272="","",IF(ISNUMBER(--MID(AF272,1,1)),0,IF(ISNUMBER(--MID(AF272,2,1)),1,IF(ISNUMBER(--MID(AF272,3,1)),2,IF(ISNUMBER(--MID(AF272,4,1)),3,MIN(LEN(AF272),4))))))</f>
        <v/>
      </c>
      <c r="AH272" s="11" t="str">
        <f aca="false">IF(A272="","",LEFT(AF272,AG272)&amp;REPT("0",4-AG272)&amp;RIGHT("000"&amp;IFERROR(VALUE(MID(AF272,AG272+1,9)),0),3)&amp;RIGHT("0000"&amp;IFERROR(VALUE(MID(A272,FIND("-",A272)+1,9)),0),4))</f>
        <v/>
      </c>
      <c r="AI272" s="11" t="str">
        <f aca="false">IF(OR(A272="",N(E272)&lt;=0),"",IF('FALTAS GERAL'!$M$1="Código","K"&amp;AH272&amp;RIGHT("00000"&amp;ROW(),5),IF('FALTAS GERAL'!$M$1="Nome","K"&amp;UPPER(SUBSTITUTE(SUBSTITUTE(SUBSTITUTE(B272,"*",""),"?",""),"~",""))&amp;"0"&amp;AH272&amp;RIGHT("00000"&amp;ROW(),5),IF('FALTAS GERAL'!$M$1="Falta (maior primeiro)","K"&amp;RIGHT("0000"&amp;(9999-E272),4)&amp;AH272&amp;RIGHT("00000"&amp;ROW(),5),IF('FALTAS GERAL'!$M$1="Nº de decks (maior primeiro)","K"&amp;RIGHT("00"&amp;(99-N(G272)),2)&amp;AH272&amp;RIGHT("00000"&amp;ROW(),5),"K"&amp;RIGHT("00000"&amp;ROW(),5))))))</f>
        <v/>
      </c>
      <c r="AJ272" s="11" t="str">
        <f aca="false">IF(AI272="","",COUNTIFS($AI$2:$AI$801,"&lt;"&amp;AI272,$E$2:$E$801,"&gt;0")+1)</f>
        <v/>
      </c>
      <c r="AK272" s="11" t="str">
        <f aca="false">IF(OR(A272="",N(E272)&lt;=0),"",COUNTIFS($AH$2:$AH$801,"&lt;"&amp;AH272,$E$2:$E$801,"&gt;0")+COUNTIFS($AH$2:AH272,AH272,$E$2:E272,"&gt;0"))</f>
        <v/>
      </c>
    </row>
    <row r="273" customFormat="false" ht="15" hidden="false" customHeight="false" outlineLevel="0" collapsed="false">
      <c r="A273" s="11" t="str">
        <f aca="false">IF(INVENTÁRIO!A273="","",INVENTÁRIO!A273)</f>
        <v/>
      </c>
      <c r="B273" s="11" t="str">
        <f aca="false">IF(A273="","",INVENTÁRIO!B273)</f>
        <v/>
      </c>
      <c r="C273" s="16" t="str">
        <f aca="false">IF(A273="","",INVENTÁRIO!C273)</f>
        <v/>
      </c>
      <c r="D273" s="14" t="str">
        <f aca="false">IF(A273="","",MAX(K273:AD273))</f>
        <v/>
      </c>
      <c r="E273" s="14" t="str">
        <f aca="false">IF(A273="","",MAX(0,D273-C273))</f>
        <v/>
      </c>
      <c r="F273" s="16" t="str">
        <f aca="false">IF(A273="","",IF(D273=0,"Fora dos decks",IF(E273=0,"Completo","Falta")))</f>
        <v/>
      </c>
      <c r="G273" s="16" t="str">
        <f aca="false">IF(A273="","",COUNTIF(K273:AD273,"&gt;0"))</f>
        <v/>
      </c>
      <c r="H273" s="16" t="str">
        <f aca="false">IF(A273="","",IF(G273&gt;1,"Sim",""))</f>
        <v/>
      </c>
      <c r="I273" s="18" t="str">
        <f aca="false">IF(A273="","",SUMIFS(DECKS!$D$2:$D$1201,DECKS!$B$2:$B$1201,A273))</f>
        <v/>
      </c>
      <c r="J273" s="18" t="str">
        <f aca="false">IF(A273="","",MAX(0,I273-C273))</f>
        <v/>
      </c>
      <c r="K273" s="19" t="str">
        <f aca="false">IF(OR($A273="",INDEX(_LEITURA!$Q$2:$Q$21,1)=0),"",SUMIFS(DECKS!$D$2:$D$1201,DECKS!$A$2:$A$1201,INDEX(_LEITURA!$P$2:$P$21,1),DECKS!$B$2:$B$1201,$A273))</f>
        <v/>
      </c>
      <c r="L273" s="19" t="str">
        <f aca="false">IF(OR($A273="",INDEX(_LEITURA!$Q$2:$Q$21,2)=0),"",SUMIFS(DECKS!$D$2:$D$1201,DECKS!$A$2:$A$1201,INDEX(_LEITURA!$P$2:$P$21,2),DECKS!$B$2:$B$1201,$A273))</f>
        <v/>
      </c>
      <c r="M273" s="19" t="str">
        <f aca="false">IF(OR($A273="",INDEX(_LEITURA!$Q$2:$Q$21,3)=0),"",SUMIFS(DECKS!$D$2:$D$1201,DECKS!$A$2:$A$1201,INDEX(_LEITURA!$P$2:$P$21,3),DECKS!$B$2:$B$1201,$A273))</f>
        <v/>
      </c>
      <c r="N273" s="19" t="str">
        <f aca="false">IF(OR($A273="",INDEX(_LEITURA!$Q$2:$Q$21,4)=0),"",SUMIFS(DECKS!$D$2:$D$1201,DECKS!$A$2:$A$1201,INDEX(_LEITURA!$P$2:$P$21,4),DECKS!$B$2:$B$1201,$A273))</f>
        <v/>
      </c>
      <c r="O273" s="19" t="str">
        <f aca="false">IF(OR($A273="",INDEX(_LEITURA!$Q$2:$Q$21,5)=0),"",SUMIFS(DECKS!$D$2:$D$1201,DECKS!$A$2:$A$1201,INDEX(_LEITURA!$P$2:$P$21,5),DECKS!$B$2:$B$1201,$A273))</f>
        <v/>
      </c>
      <c r="P273" s="19" t="str">
        <f aca="false">IF(OR($A273="",INDEX(_LEITURA!$Q$2:$Q$21,6)=0),"",SUMIFS(DECKS!$D$2:$D$1201,DECKS!$A$2:$A$1201,INDEX(_LEITURA!$P$2:$P$21,6),DECKS!$B$2:$B$1201,$A273))</f>
        <v/>
      </c>
      <c r="Q273" s="19" t="str">
        <f aca="false">IF(OR($A273="",INDEX(_LEITURA!$Q$2:$Q$21,7)=0),"",SUMIFS(DECKS!$D$2:$D$1201,DECKS!$A$2:$A$1201,INDEX(_LEITURA!$P$2:$P$21,7),DECKS!$B$2:$B$1201,$A273))</f>
        <v/>
      </c>
      <c r="R273" s="19" t="str">
        <f aca="false">IF(OR($A273="",INDEX(_LEITURA!$Q$2:$Q$21,8)=0),"",SUMIFS(DECKS!$D$2:$D$1201,DECKS!$A$2:$A$1201,INDEX(_LEITURA!$P$2:$P$21,8),DECKS!$B$2:$B$1201,$A273))</f>
        <v/>
      </c>
      <c r="S273" s="19" t="str">
        <f aca="false">IF(OR($A273="",INDEX(_LEITURA!$Q$2:$Q$21,9)=0),"",SUMIFS(DECKS!$D$2:$D$1201,DECKS!$A$2:$A$1201,INDEX(_LEITURA!$P$2:$P$21,9),DECKS!$B$2:$B$1201,$A273))</f>
        <v/>
      </c>
      <c r="T273" s="19" t="str">
        <f aca="false">IF(OR($A273="",INDEX(_LEITURA!$Q$2:$Q$21,10)=0),"",SUMIFS(DECKS!$D$2:$D$1201,DECKS!$A$2:$A$1201,INDEX(_LEITURA!$P$2:$P$21,10),DECKS!$B$2:$B$1201,$A273))</f>
        <v/>
      </c>
      <c r="U273" s="19" t="str">
        <f aca="false">IF(OR($A273="",INDEX(_LEITURA!$Q$2:$Q$21,11)=0),"",SUMIFS(DECKS!$D$2:$D$1201,DECKS!$A$2:$A$1201,INDEX(_LEITURA!$P$2:$P$21,11),DECKS!$B$2:$B$1201,$A273))</f>
        <v/>
      </c>
      <c r="V273" s="19" t="str">
        <f aca="false">IF(OR($A273="",INDEX(_LEITURA!$Q$2:$Q$21,12)=0),"",SUMIFS(DECKS!$D$2:$D$1201,DECKS!$A$2:$A$1201,INDEX(_LEITURA!$P$2:$P$21,12),DECKS!$B$2:$B$1201,$A273))</f>
        <v/>
      </c>
      <c r="W273" s="19" t="str">
        <f aca="false">IF(OR($A273="",INDEX(_LEITURA!$Q$2:$Q$21,13)=0),"",SUMIFS(DECKS!$D$2:$D$1201,DECKS!$A$2:$A$1201,INDEX(_LEITURA!$P$2:$P$21,13),DECKS!$B$2:$B$1201,$A273))</f>
        <v/>
      </c>
      <c r="X273" s="19" t="str">
        <f aca="false">IF(OR($A273="",INDEX(_LEITURA!$Q$2:$Q$21,14)=0),"",SUMIFS(DECKS!$D$2:$D$1201,DECKS!$A$2:$A$1201,INDEX(_LEITURA!$P$2:$P$21,14),DECKS!$B$2:$B$1201,$A273))</f>
        <v/>
      </c>
      <c r="Y273" s="19" t="str">
        <f aca="false">IF(OR($A273="",INDEX(_LEITURA!$Q$2:$Q$21,15)=0),"",SUMIFS(DECKS!$D$2:$D$1201,DECKS!$A$2:$A$1201,INDEX(_LEITURA!$P$2:$P$21,15),DECKS!$B$2:$B$1201,$A273))</f>
        <v/>
      </c>
      <c r="Z273" s="19" t="str">
        <f aca="false">IF(OR($A273="",INDEX(_LEITURA!$Q$2:$Q$21,16)=0),"",SUMIFS(DECKS!$D$2:$D$1201,DECKS!$A$2:$A$1201,INDEX(_LEITURA!$P$2:$P$21,16),DECKS!$B$2:$B$1201,$A273))</f>
        <v/>
      </c>
      <c r="AA273" s="19" t="str">
        <f aca="false">IF(OR($A273="",INDEX(_LEITURA!$Q$2:$Q$21,17)=0),"",SUMIFS(DECKS!$D$2:$D$1201,DECKS!$A$2:$A$1201,INDEX(_LEITURA!$P$2:$P$21,17),DECKS!$B$2:$B$1201,$A273))</f>
        <v/>
      </c>
      <c r="AB273" s="19" t="str">
        <f aca="false">IF(OR($A273="",INDEX(_LEITURA!$Q$2:$Q$21,18)=0),"",SUMIFS(DECKS!$D$2:$D$1201,DECKS!$A$2:$A$1201,INDEX(_LEITURA!$P$2:$P$21,18),DECKS!$B$2:$B$1201,$A273))</f>
        <v/>
      </c>
      <c r="AC273" s="19" t="str">
        <f aca="false">IF(OR($A273="",INDEX(_LEITURA!$Q$2:$Q$21,19)=0),"",SUMIFS(DECKS!$D$2:$D$1201,DECKS!$A$2:$A$1201,INDEX(_LEITURA!$P$2:$P$21,19),DECKS!$B$2:$B$1201,$A273))</f>
        <v/>
      </c>
      <c r="AD273" s="19" t="str">
        <f aca="false">IF(OR($A273="",INDEX(_LEITURA!$Q$2:$Q$21,20)=0),"",SUMIFS(DECKS!$D$2:$D$1201,DECKS!$A$2:$A$1201,INDEX(_LEITURA!$P$2:$P$21,20),DECKS!$B$2:$B$1201,$A273))</f>
        <v/>
      </c>
      <c r="AE273" s="16" t="str">
        <f aca="false">IF(N(E273)&gt;0,MAX(AE$1:AE272)+1,"")</f>
        <v/>
      </c>
      <c r="AF273" s="11" t="str">
        <f aca="false">IF(A273="","",IFERROR(LEFT(A273,FIND("-",A273)-1),A273))</f>
        <v/>
      </c>
      <c r="AG273" s="11" t="str">
        <f aca="false">IF(AF273="","",IF(ISNUMBER(--MID(AF273,1,1)),0,IF(ISNUMBER(--MID(AF273,2,1)),1,IF(ISNUMBER(--MID(AF273,3,1)),2,IF(ISNUMBER(--MID(AF273,4,1)),3,MIN(LEN(AF273),4))))))</f>
        <v/>
      </c>
      <c r="AH273" s="11" t="str">
        <f aca="false">IF(A273="","",LEFT(AF273,AG273)&amp;REPT("0",4-AG273)&amp;RIGHT("000"&amp;IFERROR(VALUE(MID(AF273,AG273+1,9)),0),3)&amp;RIGHT("0000"&amp;IFERROR(VALUE(MID(A273,FIND("-",A273)+1,9)),0),4))</f>
        <v/>
      </c>
      <c r="AI273" s="11" t="str">
        <f aca="false">IF(OR(A273="",N(E273)&lt;=0),"",IF('FALTAS GERAL'!$M$1="Código","K"&amp;AH273&amp;RIGHT("00000"&amp;ROW(),5),IF('FALTAS GERAL'!$M$1="Nome","K"&amp;UPPER(SUBSTITUTE(SUBSTITUTE(SUBSTITUTE(B273,"*",""),"?",""),"~",""))&amp;"0"&amp;AH273&amp;RIGHT("00000"&amp;ROW(),5),IF('FALTAS GERAL'!$M$1="Falta (maior primeiro)","K"&amp;RIGHT("0000"&amp;(9999-E273),4)&amp;AH273&amp;RIGHT("00000"&amp;ROW(),5),IF('FALTAS GERAL'!$M$1="Nº de decks (maior primeiro)","K"&amp;RIGHT("00"&amp;(99-N(G273)),2)&amp;AH273&amp;RIGHT("00000"&amp;ROW(),5),"K"&amp;RIGHT("00000"&amp;ROW(),5))))))</f>
        <v/>
      </c>
      <c r="AJ273" s="11" t="str">
        <f aca="false">IF(AI273="","",COUNTIFS($AI$2:$AI$801,"&lt;"&amp;AI273,$E$2:$E$801,"&gt;0")+1)</f>
        <v/>
      </c>
      <c r="AK273" s="11" t="str">
        <f aca="false">IF(OR(A273="",N(E273)&lt;=0),"",COUNTIFS($AH$2:$AH$801,"&lt;"&amp;AH273,$E$2:$E$801,"&gt;0")+COUNTIFS($AH$2:AH273,AH273,$E$2:E273,"&gt;0"))</f>
        <v/>
      </c>
    </row>
    <row r="274" customFormat="false" ht="15" hidden="false" customHeight="false" outlineLevel="0" collapsed="false">
      <c r="A274" s="11" t="str">
        <f aca="false">IF(INVENTÁRIO!A274="","",INVENTÁRIO!A274)</f>
        <v/>
      </c>
      <c r="B274" s="11" t="str">
        <f aca="false">IF(A274="","",INVENTÁRIO!B274)</f>
        <v/>
      </c>
      <c r="C274" s="16" t="str">
        <f aca="false">IF(A274="","",INVENTÁRIO!C274)</f>
        <v/>
      </c>
      <c r="D274" s="14" t="str">
        <f aca="false">IF(A274="","",MAX(K274:AD274))</f>
        <v/>
      </c>
      <c r="E274" s="14" t="str">
        <f aca="false">IF(A274="","",MAX(0,D274-C274))</f>
        <v/>
      </c>
      <c r="F274" s="16" t="str">
        <f aca="false">IF(A274="","",IF(D274=0,"Fora dos decks",IF(E274=0,"Completo","Falta")))</f>
        <v/>
      </c>
      <c r="G274" s="16" t="str">
        <f aca="false">IF(A274="","",COUNTIF(K274:AD274,"&gt;0"))</f>
        <v/>
      </c>
      <c r="H274" s="16" t="str">
        <f aca="false">IF(A274="","",IF(G274&gt;1,"Sim",""))</f>
        <v/>
      </c>
      <c r="I274" s="18" t="str">
        <f aca="false">IF(A274="","",SUMIFS(DECKS!$D$2:$D$1201,DECKS!$B$2:$B$1201,A274))</f>
        <v/>
      </c>
      <c r="J274" s="18" t="str">
        <f aca="false">IF(A274="","",MAX(0,I274-C274))</f>
        <v/>
      </c>
      <c r="K274" s="19" t="str">
        <f aca="false">IF(OR($A274="",INDEX(_LEITURA!$Q$2:$Q$21,1)=0),"",SUMIFS(DECKS!$D$2:$D$1201,DECKS!$A$2:$A$1201,INDEX(_LEITURA!$P$2:$P$21,1),DECKS!$B$2:$B$1201,$A274))</f>
        <v/>
      </c>
      <c r="L274" s="19" t="str">
        <f aca="false">IF(OR($A274="",INDEX(_LEITURA!$Q$2:$Q$21,2)=0),"",SUMIFS(DECKS!$D$2:$D$1201,DECKS!$A$2:$A$1201,INDEX(_LEITURA!$P$2:$P$21,2),DECKS!$B$2:$B$1201,$A274))</f>
        <v/>
      </c>
      <c r="M274" s="19" t="str">
        <f aca="false">IF(OR($A274="",INDEX(_LEITURA!$Q$2:$Q$21,3)=0),"",SUMIFS(DECKS!$D$2:$D$1201,DECKS!$A$2:$A$1201,INDEX(_LEITURA!$P$2:$P$21,3),DECKS!$B$2:$B$1201,$A274))</f>
        <v/>
      </c>
      <c r="N274" s="19" t="str">
        <f aca="false">IF(OR($A274="",INDEX(_LEITURA!$Q$2:$Q$21,4)=0),"",SUMIFS(DECKS!$D$2:$D$1201,DECKS!$A$2:$A$1201,INDEX(_LEITURA!$P$2:$P$21,4),DECKS!$B$2:$B$1201,$A274))</f>
        <v/>
      </c>
      <c r="O274" s="19" t="str">
        <f aca="false">IF(OR($A274="",INDEX(_LEITURA!$Q$2:$Q$21,5)=0),"",SUMIFS(DECKS!$D$2:$D$1201,DECKS!$A$2:$A$1201,INDEX(_LEITURA!$P$2:$P$21,5),DECKS!$B$2:$B$1201,$A274))</f>
        <v/>
      </c>
      <c r="P274" s="19" t="str">
        <f aca="false">IF(OR($A274="",INDEX(_LEITURA!$Q$2:$Q$21,6)=0),"",SUMIFS(DECKS!$D$2:$D$1201,DECKS!$A$2:$A$1201,INDEX(_LEITURA!$P$2:$P$21,6),DECKS!$B$2:$B$1201,$A274))</f>
        <v/>
      </c>
      <c r="Q274" s="19" t="str">
        <f aca="false">IF(OR($A274="",INDEX(_LEITURA!$Q$2:$Q$21,7)=0),"",SUMIFS(DECKS!$D$2:$D$1201,DECKS!$A$2:$A$1201,INDEX(_LEITURA!$P$2:$P$21,7),DECKS!$B$2:$B$1201,$A274))</f>
        <v/>
      </c>
      <c r="R274" s="19" t="str">
        <f aca="false">IF(OR($A274="",INDEX(_LEITURA!$Q$2:$Q$21,8)=0),"",SUMIFS(DECKS!$D$2:$D$1201,DECKS!$A$2:$A$1201,INDEX(_LEITURA!$P$2:$P$21,8),DECKS!$B$2:$B$1201,$A274))</f>
        <v/>
      </c>
      <c r="S274" s="19" t="str">
        <f aca="false">IF(OR($A274="",INDEX(_LEITURA!$Q$2:$Q$21,9)=0),"",SUMIFS(DECKS!$D$2:$D$1201,DECKS!$A$2:$A$1201,INDEX(_LEITURA!$P$2:$P$21,9),DECKS!$B$2:$B$1201,$A274))</f>
        <v/>
      </c>
      <c r="T274" s="19" t="str">
        <f aca="false">IF(OR($A274="",INDEX(_LEITURA!$Q$2:$Q$21,10)=0),"",SUMIFS(DECKS!$D$2:$D$1201,DECKS!$A$2:$A$1201,INDEX(_LEITURA!$P$2:$P$21,10),DECKS!$B$2:$B$1201,$A274))</f>
        <v/>
      </c>
      <c r="U274" s="19" t="str">
        <f aca="false">IF(OR($A274="",INDEX(_LEITURA!$Q$2:$Q$21,11)=0),"",SUMIFS(DECKS!$D$2:$D$1201,DECKS!$A$2:$A$1201,INDEX(_LEITURA!$P$2:$P$21,11),DECKS!$B$2:$B$1201,$A274))</f>
        <v/>
      </c>
      <c r="V274" s="19" t="str">
        <f aca="false">IF(OR($A274="",INDEX(_LEITURA!$Q$2:$Q$21,12)=0),"",SUMIFS(DECKS!$D$2:$D$1201,DECKS!$A$2:$A$1201,INDEX(_LEITURA!$P$2:$P$21,12),DECKS!$B$2:$B$1201,$A274))</f>
        <v/>
      </c>
      <c r="W274" s="19" t="str">
        <f aca="false">IF(OR($A274="",INDEX(_LEITURA!$Q$2:$Q$21,13)=0),"",SUMIFS(DECKS!$D$2:$D$1201,DECKS!$A$2:$A$1201,INDEX(_LEITURA!$P$2:$P$21,13),DECKS!$B$2:$B$1201,$A274))</f>
        <v/>
      </c>
      <c r="X274" s="19" t="str">
        <f aca="false">IF(OR($A274="",INDEX(_LEITURA!$Q$2:$Q$21,14)=0),"",SUMIFS(DECKS!$D$2:$D$1201,DECKS!$A$2:$A$1201,INDEX(_LEITURA!$P$2:$P$21,14),DECKS!$B$2:$B$1201,$A274))</f>
        <v/>
      </c>
      <c r="Y274" s="19" t="str">
        <f aca="false">IF(OR($A274="",INDEX(_LEITURA!$Q$2:$Q$21,15)=0),"",SUMIFS(DECKS!$D$2:$D$1201,DECKS!$A$2:$A$1201,INDEX(_LEITURA!$P$2:$P$21,15),DECKS!$B$2:$B$1201,$A274))</f>
        <v/>
      </c>
      <c r="Z274" s="19" t="str">
        <f aca="false">IF(OR($A274="",INDEX(_LEITURA!$Q$2:$Q$21,16)=0),"",SUMIFS(DECKS!$D$2:$D$1201,DECKS!$A$2:$A$1201,INDEX(_LEITURA!$P$2:$P$21,16),DECKS!$B$2:$B$1201,$A274))</f>
        <v/>
      </c>
      <c r="AA274" s="19" t="str">
        <f aca="false">IF(OR($A274="",INDEX(_LEITURA!$Q$2:$Q$21,17)=0),"",SUMIFS(DECKS!$D$2:$D$1201,DECKS!$A$2:$A$1201,INDEX(_LEITURA!$P$2:$P$21,17),DECKS!$B$2:$B$1201,$A274))</f>
        <v/>
      </c>
      <c r="AB274" s="19" t="str">
        <f aca="false">IF(OR($A274="",INDEX(_LEITURA!$Q$2:$Q$21,18)=0),"",SUMIFS(DECKS!$D$2:$D$1201,DECKS!$A$2:$A$1201,INDEX(_LEITURA!$P$2:$P$21,18),DECKS!$B$2:$B$1201,$A274))</f>
        <v/>
      </c>
      <c r="AC274" s="19" t="str">
        <f aca="false">IF(OR($A274="",INDEX(_LEITURA!$Q$2:$Q$21,19)=0),"",SUMIFS(DECKS!$D$2:$D$1201,DECKS!$A$2:$A$1201,INDEX(_LEITURA!$P$2:$P$21,19),DECKS!$B$2:$B$1201,$A274))</f>
        <v/>
      </c>
      <c r="AD274" s="19" t="str">
        <f aca="false">IF(OR($A274="",INDEX(_LEITURA!$Q$2:$Q$21,20)=0),"",SUMIFS(DECKS!$D$2:$D$1201,DECKS!$A$2:$A$1201,INDEX(_LEITURA!$P$2:$P$21,20),DECKS!$B$2:$B$1201,$A274))</f>
        <v/>
      </c>
      <c r="AE274" s="16" t="str">
        <f aca="false">IF(N(E274)&gt;0,MAX(AE$1:AE273)+1,"")</f>
        <v/>
      </c>
      <c r="AF274" s="11" t="str">
        <f aca="false">IF(A274="","",IFERROR(LEFT(A274,FIND("-",A274)-1),A274))</f>
        <v/>
      </c>
      <c r="AG274" s="11" t="str">
        <f aca="false">IF(AF274="","",IF(ISNUMBER(--MID(AF274,1,1)),0,IF(ISNUMBER(--MID(AF274,2,1)),1,IF(ISNUMBER(--MID(AF274,3,1)),2,IF(ISNUMBER(--MID(AF274,4,1)),3,MIN(LEN(AF274),4))))))</f>
        <v/>
      </c>
      <c r="AH274" s="11" t="str">
        <f aca="false">IF(A274="","",LEFT(AF274,AG274)&amp;REPT("0",4-AG274)&amp;RIGHT("000"&amp;IFERROR(VALUE(MID(AF274,AG274+1,9)),0),3)&amp;RIGHT("0000"&amp;IFERROR(VALUE(MID(A274,FIND("-",A274)+1,9)),0),4))</f>
        <v/>
      </c>
      <c r="AI274" s="11" t="str">
        <f aca="false">IF(OR(A274="",N(E274)&lt;=0),"",IF('FALTAS GERAL'!$M$1="Código","K"&amp;AH274&amp;RIGHT("00000"&amp;ROW(),5),IF('FALTAS GERAL'!$M$1="Nome","K"&amp;UPPER(SUBSTITUTE(SUBSTITUTE(SUBSTITUTE(B274,"*",""),"?",""),"~",""))&amp;"0"&amp;AH274&amp;RIGHT("00000"&amp;ROW(),5),IF('FALTAS GERAL'!$M$1="Falta (maior primeiro)","K"&amp;RIGHT("0000"&amp;(9999-E274),4)&amp;AH274&amp;RIGHT("00000"&amp;ROW(),5),IF('FALTAS GERAL'!$M$1="Nº de decks (maior primeiro)","K"&amp;RIGHT("00"&amp;(99-N(G274)),2)&amp;AH274&amp;RIGHT("00000"&amp;ROW(),5),"K"&amp;RIGHT("00000"&amp;ROW(),5))))))</f>
        <v/>
      </c>
      <c r="AJ274" s="11" t="str">
        <f aca="false">IF(AI274="","",COUNTIFS($AI$2:$AI$801,"&lt;"&amp;AI274,$E$2:$E$801,"&gt;0")+1)</f>
        <v/>
      </c>
      <c r="AK274" s="11" t="str">
        <f aca="false">IF(OR(A274="",N(E274)&lt;=0),"",COUNTIFS($AH$2:$AH$801,"&lt;"&amp;AH274,$E$2:$E$801,"&gt;0")+COUNTIFS($AH$2:AH274,AH274,$E$2:E274,"&gt;0"))</f>
        <v/>
      </c>
    </row>
    <row r="275" customFormat="false" ht="15" hidden="false" customHeight="false" outlineLevel="0" collapsed="false">
      <c r="A275" s="11" t="str">
        <f aca="false">IF(INVENTÁRIO!A275="","",INVENTÁRIO!A275)</f>
        <v/>
      </c>
      <c r="B275" s="11" t="str">
        <f aca="false">IF(A275="","",INVENTÁRIO!B275)</f>
        <v/>
      </c>
      <c r="C275" s="16" t="str">
        <f aca="false">IF(A275="","",INVENTÁRIO!C275)</f>
        <v/>
      </c>
      <c r="D275" s="14" t="str">
        <f aca="false">IF(A275="","",MAX(K275:AD275))</f>
        <v/>
      </c>
      <c r="E275" s="14" t="str">
        <f aca="false">IF(A275="","",MAX(0,D275-C275))</f>
        <v/>
      </c>
      <c r="F275" s="16" t="str">
        <f aca="false">IF(A275="","",IF(D275=0,"Fora dos decks",IF(E275=0,"Completo","Falta")))</f>
        <v/>
      </c>
      <c r="G275" s="16" t="str">
        <f aca="false">IF(A275="","",COUNTIF(K275:AD275,"&gt;0"))</f>
        <v/>
      </c>
      <c r="H275" s="16" t="str">
        <f aca="false">IF(A275="","",IF(G275&gt;1,"Sim",""))</f>
        <v/>
      </c>
      <c r="I275" s="18" t="str">
        <f aca="false">IF(A275="","",SUMIFS(DECKS!$D$2:$D$1201,DECKS!$B$2:$B$1201,A275))</f>
        <v/>
      </c>
      <c r="J275" s="18" t="str">
        <f aca="false">IF(A275="","",MAX(0,I275-C275))</f>
        <v/>
      </c>
      <c r="K275" s="19" t="str">
        <f aca="false">IF(OR($A275="",INDEX(_LEITURA!$Q$2:$Q$21,1)=0),"",SUMIFS(DECKS!$D$2:$D$1201,DECKS!$A$2:$A$1201,INDEX(_LEITURA!$P$2:$P$21,1),DECKS!$B$2:$B$1201,$A275))</f>
        <v/>
      </c>
      <c r="L275" s="19" t="str">
        <f aca="false">IF(OR($A275="",INDEX(_LEITURA!$Q$2:$Q$21,2)=0),"",SUMIFS(DECKS!$D$2:$D$1201,DECKS!$A$2:$A$1201,INDEX(_LEITURA!$P$2:$P$21,2),DECKS!$B$2:$B$1201,$A275))</f>
        <v/>
      </c>
      <c r="M275" s="19" t="str">
        <f aca="false">IF(OR($A275="",INDEX(_LEITURA!$Q$2:$Q$21,3)=0),"",SUMIFS(DECKS!$D$2:$D$1201,DECKS!$A$2:$A$1201,INDEX(_LEITURA!$P$2:$P$21,3),DECKS!$B$2:$B$1201,$A275))</f>
        <v/>
      </c>
      <c r="N275" s="19" t="str">
        <f aca="false">IF(OR($A275="",INDEX(_LEITURA!$Q$2:$Q$21,4)=0),"",SUMIFS(DECKS!$D$2:$D$1201,DECKS!$A$2:$A$1201,INDEX(_LEITURA!$P$2:$P$21,4),DECKS!$B$2:$B$1201,$A275))</f>
        <v/>
      </c>
      <c r="O275" s="19" t="str">
        <f aca="false">IF(OR($A275="",INDEX(_LEITURA!$Q$2:$Q$21,5)=0),"",SUMIFS(DECKS!$D$2:$D$1201,DECKS!$A$2:$A$1201,INDEX(_LEITURA!$P$2:$P$21,5),DECKS!$B$2:$B$1201,$A275))</f>
        <v/>
      </c>
      <c r="P275" s="19" t="str">
        <f aca="false">IF(OR($A275="",INDEX(_LEITURA!$Q$2:$Q$21,6)=0),"",SUMIFS(DECKS!$D$2:$D$1201,DECKS!$A$2:$A$1201,INDEX(_LEITURA!$P$2:$P$21,6),DECKS!$B$2:$B$1201,$A275))</f>
        <v/>
      </c>
      <c r="Q275" s="19" t="str">
        <f aca="false">IF(OR($A275="",INDEX(_LEITURA!$Q$2:$Q$21,7)=0),"",SUMIFS(DECKS!$D$2:$D$1201,DECKS!$A$2:$A$1201,INDEX(_LEITURA!$P$2:$P$21,7),DECKS!$B$2:$B$1201,$A275))</f>
        <v/>
      </c>
      <c r="R275" s="19" t="str">
        <f aca="false">IF(OR($A275="",INDEX(_LEITURA!$Q$2:$Q$21,8)=0),"",SUMIFS(DECKS!$D$2:$D$1201,DECKS!$A$2:$A$1201,INDEX(_LEITURA!$P$2:$P$21,8),DECKS!$B$2:$B$1201,$A275))</f>
        <v/>
      </c>
      <c r="S275" s="19" t="str">
        <f aca="false">IF(OR($A275="",INDEX(_LEITURA!$Q$2:$Q$21,9)=0),"",SUMIFS(DECKS!$D$2:$D$1201,DECKS!$A$2:$A$1201,INDEX(_LEITURA!$P$2:$P$21,9),DECKS!$B$2:$B$1201,$A275))</f>
        <v/>
      </c>
      <c r="T275" s="19" t="str">
        <f aca="false">IF(OR($A275="",INDEX(_LEITURA!$Q$2:$Q$21,10)=0),"",SUMIFS(DECKS!$D$2:$D$1201,DECKS!$A$2:$A$1201,INDEX(_LEITURA!$P$2:$P$21,10),DECKS!$B$2:$B$1201,$A275))</f>
        <v/>
      </c>
      <c r="U275" s="19" t="str">
        <f aca="false">IF(OR($A275="",INDEX(_LEITURA!$Q$2:$Q$21,11)=0),"",SUMIFS(DECKS!$D$2:$D$1201,DECKS!$A$2:$A$1201,INDEX(_LEITURA!$P$2:$P$21,11),DECKS!$B$2:$B$1201,$A275))</f>
        <v/>
      </c>
      <c r="V275" s="19" t="str">
        <f aca="false">IF(OR($A275="",INDEX(_LEITURA!$Q$2:$Q$21,12)=0),"",SUMIFS(DECKS!$D$2:$D$1201,DECKS!$A$2:$A$1201,INDEX(_LEITURA!$P$2:$P$21,12),DECKS!$B$2:$B$1201,$A275))</f>
        <v/>
      </c>
      <c r="W275" s="19" t="str">
        <f aca="false">IF(OR($A275="",INDEX(_LEITURA!$Q$2:$Q$21,13)=0),"",SUMIFS(DECKS!$D$2:$D$1201,DECKS!$A$2:$A$1201,INDEX(_LEITURA!$P$2:$P$21,13),DECKS!$B$2:$B$1201,$A275))</f>
        <v/>
      </c>
      <c r="X275" s="19" t="str">
        <f aca="false">IF(OR($A275="",INDEX(_LEITURA!$Q$2:$Q$21,14)=0),"",SUMIFS(DECKS!$D$2:$D$1201,DECKS!$A$2:$A$1201,INDEX(_LEITURA!$P$2:$P$21,14),DECKS!$B$2:$B$1201,$A275))</f>
        <v/>
      </c>
      <c r="Y275" s="19" t="str">
        <f aca="false">IF(OR($A275="",INDEX(_LEITURA!$Q$2:$Q$21,15)=0),"",SUMIFS(DECKS!$D$2:$D$1201,DECKS!$A$2:$A$1201,INDEX(_LEITURA!$P$2:$P$21,15),DECKS!$B$2:$B$1201,$A275))</f>
        <v/>
      </c>
      <c r="Z275" s="19" t="str">
        <f aca="false">IF(OR($A275="",INDEX(_LEITURA!$Q$2:$Q$21,16)=0),"",SUMIFS(DECKS!$D$2:$D$1201,DECKS!$A$2:$A$1201,INDEX(_LEITURA!$P$2:$P$21,16),DECKS!$B$2:$B$1201,$A275))</f>
        <v/>
      </c>
      <c r="AA275" s="19" t="str">
        <f aca="false">IF(OR($A275="",INDEX(_LEITURA!$Q$2:$Q$21,17)=0),"",SUMIFS(DECKS!$D$2:$D$1201,DECKS!$A$2:$A$1201,INDEX(_LEITURA!$P$2:$P$21,17),DECKS!$B$2:$B$1201,$A275))</f>
        <v/>
      </c>
      <c r="AB275" s="19" t="str">
        <f aca="false">IF(OR($A275="",INDEX(_LEITURA!$Q$2:$Q$21,18)=0),"",SUMIFS(DECKS!$D$2:$D$1201,DECKS!$A$2:$A$1201,INDEX(_LEITURA!$P$2:$P$21,18),DECKS!$B$2:$B$1201,$A275))</f>
        <v/>
      </c>
      <c r="AC275" s="19" t="str">
        <f aca="false">IF(OR($A275="",INDEX(_LEITURA!$Q$2:$Q$21,19)=0),"",SUMIFS(DECKS!$D$2:$D$1201,DECKS!$A$2:$A$1201,INDEX(_LEITURA!$P$2:$P$21,19),DECKS!$B$2:$B$1201,$A275))</f>
        <v/>
      </c>
      <c r="AD275" s="19" t="str">
        <f aca="false">IF(OR($A275="",INDEX(_LEITURA!$Q$2:$Q$21,20)=0),"",SUMIFS(DECKS!$D$2:$D$1201,DECKS!$A$2:$A$1201,INDEX(_LEITURA!$P$2:$P$21,20),DECKS!$B$2:$B$1201,$A275))</f>
        <v/>
      </c>
      <c r="AE275" s="16" t="str">
        <f aca="false">IF(N(E275)&gt;0,MAX(AE$1:AE274)+1,"")</f>
        <v/>
      </c>
      <c r="AF275" s="11" t="str">
        <f aca="false">IF(A275="","",IFERROR(LEFT(A275,FIND("-",A275)-1),A275))</f>
        <v/>
      </c>
      <c r="AG275" s="11" t="str">
        <f aca="false">IF(AF275="","",IF(ISNUMBER(--MID(AF275,1,1)),0,IF(ISNUMBER(--MID(AF275,2,1)),1,IF(ISNUMBER(--MID(AF275,3,1)),2,IF(ISNUMBER(--MID(AF275,4,1)),3,MIN(LEN(AF275),4))))))</f>
        <v/>
      </c>
      <c r="AH275" s="11" t="str">
        <f aca="false">IF(A275="","",LEFT(AF275,AG275)&amp;REPT("0",4-AG275)&amp;RIGHT("000"&amp;IFERROR(VALUE(MID(AF275,AG275+1,9)),0),3)&amp;RIGHT("0000"&amp;IFERROR(VALUE(MID(A275,FIND("-",A275)+1,9)),0),4))</f>
        <v/>
      </c>
      <c r="AI275" s="11" t="str">
        <f aca="false">IF(OR(A275="",N(E275)&lt;=0),"",IF('FALTAS GERAL'!$M$1="Código","K"&amp;AH275&amp;RIGHT("00000"&amp;ROW(),5),IF('FALTAS GERAL'!$M$1="Nome","K"&amp;UPPER(SUBSTITUTE(SUBSTITUTE(SUBSTITUTE(B275,"*",""),"?",""),"~",""))&amp;"0"&amp;AH275&amp;RIGHT("00000"&amp;ROW(),5),IF('FALTAS GERAL'!$M$1="Falta (maior primeiro)","K"&amp;RIGHT("0000"&amp;(9999-E275),4)&amp;AH275&amp;RIGHT("00000"&amp;ROW(),5),IF('FALTAS GERAL'!$M$1="Nº de decks (maior primeiro)","K"&amp;RIGHT("00"&amp;(99-N(G275)),2)&amp;AH275&amp;RIGHT("00000"&amp;ROW(),5),"K"&amp;RIGHT("00000"&amp;ROW(),5))))))</f>
        <v/>
      </c>
      <c r="AJ275" s="11" t="str">
        <f aca="false">IF(AI275="","",COUNTIFS($AI$2:$AI$801,"&lt;"&amp;AI275,$E$2:$E$801,"&gt;0")+1)</f>
        <v/>
      </c>
      <c r="AK275" s="11" t="str">
        <f aca="false">IF(OR(A275="",N(E275)&lt;=0),"",COUNTIFS($AH$2:$AH$801,"&lt;"&amp;AH275,$E$2:$E$801,"&gt;0")+COUNTIFS($AH$2:AH275,AH275,$E$2:E275,"&gt;0"))</f>
        <v/>
      </c>
    </row>
    <row r="276" customFormat="false" ht="15" hidden="false" customHeight="false" outlineLevel="0" collapsed="false">
      <c r="A276" s="11" t="str">
        <f aca="false">IF(INVENTÁRIO!A276="","",INVENTÁRIO!A276)</f>
        <v/>
      </c>
      <c r="B276" s="11" t="str">
        <f aca="false">IF(A276="","",INVENTÁRIO!B276)</f>
        <v/>
      </c>
      <c r="C276" s="16" t="str">
        <f aca="false">IF(A276="","",INVENTÁRIO!C276)</f>
        <v/>
      </c>
      <c r="D276" s="14" t="str">
        <f aca="false">IF(A276="","",MAX(K276:AD276))</f>
        <v/>
      </c>
      <c r="E276" s="14" t="str">
        <f aca="false">IF(A276="","",MAX(0,D276-C276))</f>
        <v/>
      </c>
      <c r="F276" s="16" t="str">
        <f aca="false">IF(A276="","",IF(D276=0,"Fora dos decks",IF(E276=0,"Completo","Falta")))</f>
        <v/>
      </c>
      <c r="G276" s="16" t="str">
        <f aca="false">IF(A276="","",COUNTIF(K276:AD276,"&gt;0"))</f>
        <v/>
      </c>
      <c r="H276" s="16" t="str">
        <f aca="false">IF(A276="","",IF(G276&gt;1,"Sim",""))</f>
        <v/>
      </c>
      <c r="I276" s="18" t="str">
        <f aca="false">IF(A276="","",SUMIFS(DECKS!$D$2:$D$1201,DECKS!$B$2:$B$1201,A276))</f>
        <v/>
      </c>
      <c r="J276" s="18" t="str">
        <f aca="false">IF(A276="","",MAX(0,I276-C276))</f>
        <v/>
      </c>
      <c r="K276" s="19" t="str">
        <f aca="false">IF(OR($A276="",INDEX(_LEITURA!$Q$2:$Q$21,1)=0),"",SUMIFS(DECKS!$D$2:$D$1201,DECKS!$A$2:$A$1201,INDEX(_LEITURA!$P$2:$P$21,1),DECKS!$B$2:$B$1201,$A276))</f>
        <v/>
      </c>
      <c r="L276" s="19" t="str">
        <f aca="false">IF(OR($A276="",INDEX(_LEITURA!$Q$2:$Q$21,2)=0),"",SUMIFS(DECKS!$D$2:$D$1201,DECKS!$A$2:$A$1201,INDEX(_LEITURA!$P$2:$P$21,2),DECKS!$B$2:$B$1201,$A276))</f>
        <v/>
      </c>
      <c r="M276" s="19" t="str">
        <f aca="false">IF(OR($A276="",INDEX(_LEITURA!$Q$2:$Q$21,3)=0),"",SUMIFS(DECKS!$D$2:$D$1201,DECKS!$A$2:$A$1201,INDEX(_LEITURA!$P$2:$P$21,3),DECKS!$B$2:$B$1201,$A276))</f>
        <v/>
      </c>
      <c r="N276" s="19" t="str">
        <f aca="false">IF(OR($A276="",INDEX(_LEITURA!$Q$2:$Q$21,4)=0),"",SUMIFS(DECKS!$D$2:$D$1201,DECKS!$A$2:$A$1201,INDEX(_LEITURA!$P$2:$P$21,4),DECKS!$B$2:$B$1201,$A276))</f>
        <v/>
      </c>
      <c r="O276" s="19" t="str">
        <f aca="false">IF(OR($A276="",INDEX(_LEITURA!$Q$2:$Q$21,5)=0),"",SUMIFS(DECKS!$D$2:$D$1201,DECKS!$A$2:$A$1201,INDEX(_LEITURA!$P$2:$P$21,5),DECKS!$B$2:$B$1201,$A276))</f>
        <v/>
      </c>
      <c r="P276" s="19" t="str">
        <f aca="false">IF(OR($A276="",INDEX(_LEITURA!$Q$2:$Q$21,6)=0),"",SUMIFS(DECKS!$D$2:$D$1201,DECKS!$A$2:$A$1201,INDEX(_LEITURA!$P$2:$P$21,6),DECKS!$B$2:$B$1201,$A276))</f>
        <v/>
      </c>
      <c r="Q276" s="19" t="str">
        <f aca="false">IF(OR($A276="",INDEX(_LEITURA!$Q$2:$Q$21,7)=0),"",SUMIFS(DECKS!$D$2:$D$1201,DECKS!$A$2:$A$1201,INDEX(_LEITURA!$P$2:$P$21,7),DECKS!$B$2:$B$1201,$A276))</f>
        <v/>
      </c>
      <c r="R276" s="19" t="str">
        <f aca="false">IF(OR($A276="",INDEX(_LEITURA!$Q$2:$Q$21,8)=0),"",SUMIFS(DECKS!$D$2:$D$1201,DECKS!$A$2:$A$1201,INDEX(_LEITURA!$P$2:$P$21,8),DECKS!$B$2:$B$1201,$A276))</f>
        <v/>
      </c>
      <c r="S276" s="19" t="str">
        <f aca="false">IF(OR($A276="",INDEX(_LEITURA!$Q$2:$Q$21,9)=0),"",SUMIFS(DECKS!$D$2:$D$1201,DECKS!$A$2:$A$1201,INDEX(_LEITURA!$P$2:$P$21,9),DECKS!$B$2:$B$1201,$A276))</f>
        <v/>
      </c>
      <c r="T276" s="19" t="str">
        <f aca="false">IF(OR($A276="",INDEX(_LEITURA!$Q$2:$Q$21,10)=0),"",SUMIFS(DECKS!$D$2:$D$1201,DECKS!$A$2:$A$1201,INDEX(_LEITURA!$P$2:$P$21,10),DECKS!$B$2:$B$1201,$A276))</f>
        <v/>
      </c>
      <c r="U276" s="19" t="str">
        <f aca="false">IF(OR($A276="",INDEX(_LEITURA!$Q$2:$Q$21,11)=0),"",SUMIFS(DECKS!$D$2:$D$1201,DECKS!$A$2:$A$1201,INDEX(_LEITURA!$P$2:$P$21,11),DECKS!$B$2:$B$1201,$A276))</f>
        <v/>
      </c>
      <c r="V276" s="19" t="str">
        <f aca="false">IF(OR($A276="",INDEX(_LEITURA!$Q$2:$Q$21,12)=0),"",SUMIFS(DECKS!$D$2:$D$1201,DECKS!$A$2:$A$1201,INDEX(_LEITURA!$P$2:$P$21,12),DECKS!$B$2:$B$1201,$A276))</f>
        <v/>
      </c>
      <c r="W276" s="19" t="str">
        <f aca="false">IF(OR($A276="",INDEX(_LEITURA!$Q$2:$Q$21,13)=0),"",SUMIFS(DECKS!$D$2:$D$1201,DECKS!$A$2:$A$1201,INDEX(_LEITURA!$P$2:$P$21,13),DECKS!$B$2:$B$1201,$A276))</f>
        <v/>
      </c>
      <c r="X276" s="19" t="str">
        <f aca="false">IF(OR($A276="",INDEX(_LEITURA!$Q$2:$Q$21,14)=0),"",SUMIFS(DECKS!$D$2:$D$1201,DECKS!$A$2:$A$1201,INDEX(_LEITURA!$P$2:$P$21,14),DECKS!$B$2:$B$1201,$A276))</f>
        <v/>
      </c>
      <c r="Y276" s="19" t="str">
        <f aca="false">IF(OR($A276="",INDEX(_LEITURA!$Q$2:$Q$21,15)=0),"",SUMIFS(DECKS!$D$2:$D$1201,DECKS!$A$2:$A$1201,INDEX(_LEITURA!$P$2:$P$21,15),DECKS!$B$2:$B$1201,$A276))</f>
        <v/>
      </c>
      <c r="Z276" s="19" t="str">
        <f aca="false">IF(OR($A276="",INDEX(_LEITURA!$Q$2:$Q$21,16)=0),"",SUMIFS(DECKS!$D$2:$D$1201,DECKS!$A$2:$A$1201,INDEX(_LEITURA!$P$2:$P$21,16),DECKS!$B$2:$B$1201,$A276))</f>
        <v/>
      </c>
      <c r="AA276" s="19" t="str">
        <f aca="false">IF(OR($A276="",INDEX(_LEITURA!$Q$2:$Q$21,17)=0),"",SUMIFS(DECKS!$D$2:$D$1201,DECKS!$A$2:$A$1201,INDEX(_LEITURA!$P$2:$P$21,17),DECKS!$B$2:$B$1201,$A276))</f>
        <v/>
      </c>
      <c r="AB276" s="19" t="str">
        <f aca="false">IF(OR($A276="",INDEX(_LEITURA!$Q$2:$Q$21,18)=0),"",SUMIFS(DECKS!$D$2:$D$1201,DECKS!$A$2:$A$1201,INDEX(_LEITURA!$P$2:$P$21,18),DECKS!$B$2:$B$1201,$A276))</f>
        <v/>
      </c>
      <c r="AC276" s="19" t="str">
        <f aca="false">IF(OR($A276="",INDEX(_LEITURA!$Q$2:$Q$21,19)=0),"",SUMIFS(DECKS!$D$2:$D$1201,DECKS!$A$2:$A$1201,INDEX(_LEITURA!$P$2:$P$21,19),DECKS!$B$2:$B$1201,$A276))</f>
        <v/>
      </c>
      <c r="AD276" s="19" t="str">
        <f aca="false">IF(OR($A276="",INDEX(_LEITURA!$Q$2:$Q$21,20)=0),"",SUMIFS(DECKS!$D$2:$D$1201,DECKS!$A$2:$A$1201,INDEX(_LEITURA!$P$2:$P$21,20),DECKS!$B$2:$B$1201,$A276))</f>
        <v/>
      </c>
      <c r="AE276" s="16" t="str">
        <f aca="false">IF(N(E276)&gt;0,MAX(AE$1:AE275)+1,"")</f>
        <v/>
      </c>
      <c r="AF276" s="11" t="str">
        <f aca="false">IF(A276="","",IFERROR(LEFT(A276,FIND("-",A276)-1),A276))</f>
        <v/>
      </c>
      <c r="AG276" s="11" t="str">
        <f aca="false">IF(AF276="","",IF(ISNUMBER(--MID(AF276,1,1)),0,IF(ISNUMBER(--MID(AF276,2,1)),1,IF(ISNUMBER(--MID(AF276,3,1)),2,IF(ISNUMBER(--MID(AF276,4,1)),3,MIN(LEN(AF276),4))))))</f>
        <v/>
      </c>
      <c r="AH276" s="11" t="str">
        <f aca="false">IF(A276="","",LEFT(AF276,AG276)&amp;REPT("0",4-AG276)&amp;RIGHT("000"&amp;IFERROR(VALUE(MID(AF276,AG276+1,9)),0),3)&amp;RIGHT("0000"&amp;IFERROR(VALUE(MID(A276,FIND("-",A276)+1,9)),0),4))</f>
        <v/>
      </c>
      <c r="AI276" s="11" t="str">
        <f aca="false">IF(OR(A276="",N(E276)&lt;=0),"",IF('FALTAS GERAL'!$M$1="Código","K"&amp;AH276&amp;RIGHT("00000"&amp;ROW(),5),IF('FALTAS GERAL'!$M$1="Nome","K"&amp;UPPER(SUBSTITUTE(SUBSTITUTE(SUBSTITUTE(B276,"*",""),"?",""),"~",""))&amp;"0"&amp;AH276&amp;RIGHT("00000"&amp;ROW(),5),IF('FALTAS GERAL'!$M$1="Falta (maior primeiro)","K"&amp;RIGHT("0000"&amp;(9999-E276),4)&amp;AH276&amp;RIGHT("00000"&amp;ROW(),5),IF('FALTAS GERAL'!$M$1="Nº de decks (maior primeiro)","K"&amp;RIGHT("00"&amp;(99-N(G276)),2)&amp;AH276&amp;RIGHT("00000"&amp;ROW(),5),"K"&amp;RIGHT("00000"&amp;ROW(),5))))))</f>
        <v/>
      </c>
      <c r="AJ276" s="11" t="str">
        <f aca="false">IF(AI276="","",COUNTIFS($AI$2:$AI$801,"&lt;"&amp;AI276,$E$2:$E$801,"&gt;0")+1)</f>
        <v/>
      </c>
      <c r="AK276" s="11" t="str">
        <f aca="false">IF(OR(A276="",N(E276)&lt;=0),"",COUNTIFS($AH$2:$AH$801,"&lt;"&amp;AH276,$E$2:$E$801,"&gt;0")+COUNTIFS($AH$2:AH276,AH276,$E$2:E276,"&gt;0"))</f>
        <v/>
      </c>
    </row>
    <row r="277" customFormat="false" ht="15" hidden="false" customHeight="false" outlineLevel="0" collapsed="false">
      <c r="A277" s="11" t="str">
        <f aca="false">IF(INVENTÁRIO!A277="","",INVENTÁRIO!A277)</f>
        <v/>
      </c>
      <c r="B277" s="11" t="str">
        <f aca="false">IF(A277="","",INVENTÁRIO!B277)</f>
        <v/>
      </c>
      <c r="C277" s="16" t="str">
        <f aca="false">IF(A277="","",INVENTÁRIO!C277)</f>
        <v/>
      </c>
      <c r="D277" s="14" t="str">
        <f aca="false">IF(A277="","",MAX(K277:AD277))</f>
        <v/>
      </c>
      <c r="E277" s="14" t="str">
        <f aca="false">IF(A277="","",MAX(0,D277-C277))</f>
        <v/>
      </c>
      <c r="F277" s="16" t="str">
        <f aca="false">IF(A277="","",IF(D277=0,"Fora dos decks",IF(E277=0,"Completo","Falta")))</f>
        <v/>
      </c>
      <c r="G277" s="16" t="str">
        <f aca="false">IF(A277="","",COUNTIF(K277:AD277,"&gt;0"))</f>
        <v/>
      </c>
      <c r="H277" s="16" t="str">
        <f aca="false">IF(A277="","",IF(G277&gt;1,"Sim",""))</f>
        <v/>
      </c>
      <c r="I277" s="18" t="str">
        <f aca="false">IF(A277="","",SUMIFS(DECKS!$D$2:$D$1201,DECKS!$B$2:$B$1201,A277))</f>
        <v/>
      </c>
      <c r="J277" s="18" t="str">
        <f aca="false">IF(A277="","",MAX(0,I277-C277))</f>
        <v/>
      </c>
      <c r="K277" s="19" t="str">
        <f aca="false">IF(OR($A277="",INDEX(_LEITURA!$Q$2:$Q$21,1)=0),"",SUMIFS(DECKS!$D$2:$D$1201,DECKS!$A$2:$A$1201,INDEX(_LEITURA!$P$2:$P$21,1),DECKS!$B$2:$B$1201,$A277))</f>
        <v/>
      </c>
      <c r="L277" s="19" t="str">
        <f aca="false">IF(OR($A277="",INDEX(_LEITURA!$Q$2:$Q$21,2)=0),"",SUMIFS(DECKS!$D$2:$D$1201,DECKS!$A$2:$A$1201,INDEX(_LEITURA!$P$2:$P$21,2),DECKS!$B$2:$B$1201,$A277))</f>
        <v/>
      </c>
      <c r="M277" s="19" t="str">
        <f aca="false">IF(OR($A277="",INDEX(_LEITURA!$Q$2:$Q$21,3)=0),"",SUMIFS(DECKS!$D$2:$D$1201,DECKS!$A$2:$A$1201,INDEX(_LEITURA!$P$2:$P$21,3),DECKS!$B$2:$B$1201,$A277))</f>
        <v/>
      </c>
      <c r="N277" s="19" t="str">
        <f aca="false">IF(OR($A277="",INDEX(_LEITURA!$Q$2:$Q$21,4)=0),"",SUMIFS(DECKS!$D$2:$D$1201,DECKS!$A$2:$A$1201,INDEX(_LEITURA!$P$2:$P$21,4),DECKS!$B$2:$B$1201,$A277))</f>
        <v/>
      </c>
      <c r="O277" s="19" t="str">
        <f aca="false">IF(OR($A277="",INDEX(_LEITURA!$Q$2:$Q$21,5)=0),"",SUMIFS(DECKS!$D$2:$D$1201,DECKS!$A$2:$A$1201,INDEX(_LEITURA!$P$2:$P$21,5),DECKS!$B$2:$B$1201,$A277))</f>
        <v/>
      </c>
      <c r="P277" s="19" t="str">
        <f aca="false">IF(OR($A277="",INDEX(_LEITURA!$Q$2:$Q$21,6)=0),"",SUMIFS(DECKS!$D$2:$D$1201,DECKS!$A$2:$A$1201,INDEX(_LEITURA!$P$2:$P$21,6),DECKS!$B$2:$B$1201,$A277))</f>
        <v/>
      </c>
      <c r="Q277" s="19" t="str">
        <f aca="false">IF(OR($A277="",INDEX(_LEITURA!$Q$2:$Q$21,7)=0),"",SUMIFS(DECKS!$D$2:$D$1201,DECKS!$A$2:$A$1201,INDEX(_LEITURA!$P$2:$P$21,7),DECKS!$B$2:$B$1201,$A277))</f>
        <v/>
      </c>
      <c r="R277" s="19" t="str">
        <f aca="false">IF(OR($A277="",INDEX(_LEITURA!$Q$2:$Q$21,8)=0),"",SUMIFS(DECKS!$D$2:$D$1201,DECKS!$A$2:$A$1201,INDEX(_LEITURA!$P$2:$P$21,8),DECKS!$B$2:$B$1201,$A277))</f>
        <v/>
      </c>
      <c r="S277" s="19" t="str">
        <f aca="false">IF(OR($A277="",INDEX(_LEITURA!$Q$2:$Q$21,9)=0),"",SUMIFS(DECKS!$D$2:$D$1201,DECKS!$A$2:$A$1201,INDEX(_LEITURA!$P$2:$P$21,9),DECKS!$B$2:$B$1201,$A277))</f>
        <v/>
      </c>
      <c r="T277" s="19" t="str">
        <f aca="false">IF(OR($A277="",INDEX(_LEITURA!$Q$2:$Q$21,10)=0),"",SUMIFS(DECKS!$D$2:$D$1201,DECKS!$A$2:$A$1201,INDEX(_LEITURA!$P$2:$P$21,10),DECKS!$B$2:$B$1201,$A277))</f>
        <v/>
      </c>
      <c r="U277" s="19" t="str">
        <f aca="false">IF(OR($A277="",INDEX(_LEITURA!$Q$2:$Q$21,11)=0),"",SUMIFS(DECKS!$D$2:$D$1201,DECKS!$A$2:$A$1201,INDEX(_LEITURA!$P$2:$P$21,11),DECKS!$B$2:$B$1201,$A277))</f>
        <v/>
      </c>
      <c r="V277" s="19" t="str">
        <f aca="false">IF(OR($A277="",INDEX(_LEITURA!$Q$2:$Q$21,12)=0),"",SUMIFS(DECKS!$D$2:$D$1201,DECKS!$A$2:$A$1201,INDEX(_LEITURA!$P$2:$P$21,12),DECKS!$B$2:$B$1201,$A277))</f>
        <v/>
      </c>
      <c r="W277" s="19" t="str">
        <f aca="false">IF(OR($A277="",INDEX(_LEITURA!$Q$2:$Q$21,13)=0),"",SUMIFS(DECKS!$D$2:$D$1201,DECKS!$A$2:$A$1201,INDEX(_LEITURA!$P$2:$P$21,13),DECKS!$B$2:$B$1201,$A277))</f>
        <v/>
      </c>
      <c r="X277" s="19" t="str">
        <f aca="false">IF(OR($A277="",INDEX(_LEITURA!$Q$2:$Q$21,14)=0),"",SUMIFS(DECKS!$D$2:$D$1201,DECKS!$A$2:$A$1201,INDEX(_LEITURA!$P$2:$P$21,14),DECKS!$B$2:$B$1201,$A277))</f>
        <v/>
      </c>
      <c r="Y277" s="19" t="str">
        <f aca="false">IF(OR($A277="",INDEX(_LEITURA!$Q$2:$Q$21,15)=0),"",SUMIFS(DECKS!$D$2:$D$1201,DECKS!$A$2:$A$1201,INDEX(_LEITURA!$P$2:$P$21,15),DECKS!$B$2:$B$1201,$A277))</f>
        <v/>
      </c>
      <c r="Z277" s="19" t="str">
        <f aca="false">IF(OR($A277="",INDEX(_LEITURA!$Q$2:$Q$21,16)=0),"",SUMIFS(DECKS!$D$2:$D$1201,DECKS!$A$2:$A$1201,INDEX(_LEITURA!$P$2:$P$21,16),DECKS!$B$2:$B$1201,$A277))</f>
        <v/>
      </c>
      <c r="AA277" s="19" t="str">
        <f aca="false">IF(OR($A277="",INDEX(_LEITURA!$Q$2:$Q$21,17)=0),"",SUMIFS(DECKS!$D$2:$D$1201,DECKS!$A$2:$A$1201,INDEX(_LEITURA!$P$2:$P$21,17),DECKS!$B$2:$B$1201,$A277))</f>
        <v/>
      </c>
      <c r="AB277" s="19" t="str">
        <f aca="false">IF(OR($A277="",INDEX(_LEITURA!$Q$2:$Q$21,18)=0),"",SUMIFS(DECKS!$D$2:$D$1201,DECKS!$A$2:$A$1201,INDEX(_LEITURA!$P$2:$P$21,18),DECKS!$B$2:$B$1201,$A277))</f>
        <v/>
      </c>
      <c r="AC277" s="19" t="str">
        <f aca="false">IF(OR($A277="",INDEX(_LEITURA!$Q$2:$Q$21,19)=0),"",SUMIFS(DECKS!$D$2:$D$1201,DECKS!$A$2:$A$1201,INDEX(_LEITURA!$P$2:$P$21,19),DECKS!$B$2:$B$1201,$A277))</f>
        <v/>
      </c>
      <c r="AD277" s="19" t="str">
        <f aca="false">IF(OR($A277="",INDEX(_LEITURA!$Q$2:$Q$21,20)=0),"",SUMIFS(DECKS!$D$2:$D$1201,DECKS!$A$2:$A$1201,INDEX(_LEITURA!$P$2:$P$21,20),DECKS!$B$2:$B$1201,$A277))</f>
        <v/>
      </c>
      <c r="AE277" s="16" t="str">
        <f aca="false">IF(N(E277)&gt;0,MAX(AE$1:AE276)+1,"")</f>
        <v/>
      </c>
      <c r="AF277" s="11" t="str">
        <f aca="false">IF(A277="","",IFERROR(LEFT(A277,FIND("-",A277)-1),A277))</f>
        <v/>
      </c>
      <c r="AG277" s="11" t="str">
        <f aca="false">IF(AF277="","",IF(ISNUMBER(--MID(AF277,1,1)),0,IF(ISNUMBER(--MID(AF277,2,1)),1,IF(ISNUMBER(--MID(AF277,3,1)),2,IF(ISNUMBER(--MID(AF277,4,1)),3,MIN(LEN(AF277),4))))))</f>
        <v/>
      </c>
      <c r="AH277" s="11" t="str">
        <f aca="false">IF(A277="","",LEFT(AF277,AG277)&amp;REPT("0",4-AG277)&amp;RIGHT("000"&amp;IFERROR(VALUE(MID(AF277,AG277+1,9)),0),3)&amp;RIGHT("0000"&amp;IFERROR(VALUE(MID(A277,FIND("-",A277)+1,9)),0),4))</f>
        <v/>
      </c>
      <c r="AI277" s="11" t="str">
        <f aca="false">IF(OR(A277="",N(E277)&lt;=0),"",IF('FALTAS GERAL'!$M$1="Código","K"&amp;AH277&amp;RIGHT("00000"&amp;ROW(),5),IF('FALTAS GERAL'!$M$1="Nome","K"&amp;UPPER(SUBSTITUTE(SUBSTITUTE(SUBSTITUTE(B277,"*",""),"?",""),"~",""))&amp;"0"&amp;AH277&amp;RIGHT("00000"&amp;ROW(),5),IF('FALTAS GERAL'!$M$1="Falta (maior primeiro)","K"&amp;RIGHT("0000"&amp;(9999-E277),4)&amp;AH277&amp;RIGHT("00000"&amp;ROW(),5),IF('FALTAS GERAL'!$M$1="Nº de decks (maior primeiro)","K"&amp;RIGHT("00"&amp;(99-N(G277)),2)&amp;AH277&amp;RIGHT("00000"&amp;ROW(),5),"K"&amp;RIGHT("00000"&amp;ROW(),5))))))</f>
        <v/>
      </c>
      <c r="AJ277" s="11" t="str">
        <f aca="false">IF(AI277="","",COUNTIFS($AI$2:$AI$801,"&lt;"&amp;AI277,$E$2:$E$801,"&gt;0")+1)</f>
        <v/>
      </c>
      <c r="AK277" s="11" t="str">
        <f aca="false">IF(OR(A277="",N(E277)&lt;=0),"",COUNTIFS($AH$2:$AH$801,"&lt;"&amp;AH277,$E$2:$E$801,"&gt;0")+COUNTIFS($AH$2:AH277,AH277,$E$2:E277,"&gt;0"))</f>
        <v/>
      </c>
    </row>
    <row r="278" customFormat="false" ht="15" hidden="false" customHeight="false" outlineLevel="0" collapsed="false">
      <c r="A278" s="11" t="str">
        <f aca="false">IF(INVENTÁRIO!A278="","",INVENTÁRIO!A278)</f>
        <v/>
      </c>
      <c r="B278" s="11" t="str">
        <f aca="false">IF(A278="","",INVENTÁRIO!B278)</f>
        <v/>
      </c>
      <c r="C278" s="16" t="str">
        <f aca="false">IF(A278="","",INVENTÁRIO!C278)</f>
        <v/>
      </c>
      <c r="D278" s="14" t="str">
        <f aca="false">IF(A278="","",MAX(K278:AD278))</f>
        <v/>
      </c>
      <c r="E278" s="14" t="str">
        <f aca="false">IF(A278="","",MAX(0,D278-C278))</f>
        <v/>
      </c>
      <c r="F278" s="16" t="str">
        <f aca="false">IF(A278="","",IF(D278=0,"Fora dos decks",IF(E278=0,"Completo","Falta")))</f>
        <v/>
      </c>
      <c r="G278" s="16" t="str">
        <f aca="false">IF(A278="","",COUNTIF(K278:AD278,"&gt;0"))</f>
        <v/>
      </c>
      <c r="H278" s="16" t="str">
        <f aca="false">IF(A278="","",IF(G278&gt;1,"Sim",""))</f>
        <v/>
      </c>
      <c r="I278" s="18" t="str">
        <f aca="false">IF(A278="","",SUMIFS(DECKS!$D$2:$D$1201,DECKS!$B$2:$B$1201,A278))</f>
        <v/>
      </c>
      <c r="J278" s="18" t="str">
        <f aca="false">IF(A278="","",MAX(0,I278-C278))</f>
        <v/>
      </c>
      <c r="K278" s="19" t="str">
        <f aca="false">IF(OR($A278="",INDEX(_LEITURA!$Q$2:$Q$21,1)=0),"",SUMIFS(DECKS!$D$2:$D$1201,DECKS!$A$2:$A$1201,INDEX(_LEITURA!$P$2:$P$21,1),DECKS!$B$2:$B$1201,$A278))</f>
        <v/>
      </c>
      <c r="L278" s="19" t="str">
        <f aca="false">IF(OR($A278="",INDEX(_LEITURA!$Q$2:$Q$21,2)=0),"",SUMIFS(DECKS!$D$2:$D$1201,DECKS!$A$2:$A$1201,INDEX(_LEITURA!$P$2:$P$21,2),DECKS!$B$2:$B$1201,$A278))</f>
        <v/>
      </c>
      <c r="M278" s="19" t="str">
        <f aca="false">IF(OR($A278="",INDEX(_LEITURA!$Q$2:$Q$21,3)=0),"",SUMIFS(DECKS!$D$2:$D$1201,DECKS!$A$2:$A$1201,INDEX(_LEITURA!$P$2:$P$21,3),DECKS!$B$2:$B$1201,$A278))</f>
        <v/>
      </c>
      <c r="N278" s="19" t="str">
        <f aca="false">IF(OR($A278="",INDEX(_LEITURA!$Q$2:$Q$21,4)=0),"",SUMIFS(DECKS!$D$2:$D$1201,DECKS!$A$2:$A$1201,INDEX(_LEITURA!$P$2:$P$21,4),DECKS!$B$2:$B$1201,$A278))</f>
        <v/>
      </c>
      <c r="O278" s="19" t="str">
        <f aca="false">IF(OR($A278="",INDEX(_LEITURA!$Q$2:$Q$21,5)=0),"",SUMIFS(DECKS!$D$2:$D$1201,DECKS!$A$2:$A$1201,INDEX(_LEITURA!$P$2:$P$21,5),DECKS!$B$2:$B$1201,$A278))</f>
        <v/>
      </c>
      <c r="P278" s="19" t="str">
        <f aca="false">IF(OR($A278="",INDEX(_LEITURA!$Q$2:$Q$21,6)=0),"",SUMIFS(DECKS!$D$2:$D$1201,DECKS!$A$2:$A$1201,INDEX(_LEITURA!$P$2:$P$21,6),DECKS!$B$2:$B$1201,$A278))</f>
        <v/>
      </c>
      <c r="Q278" s="19" t="str">
        <f aca="false">IF(OR($A278="",INDEX(_LEITURA!$Q$2:$Q$21,7)=0),"",SUMIFS(DECKS!$D$2:$D$1201,DECKS!$A$2:$A$1201,INDEX(_LEITURA!$P$2:$P$21,7),DECKS!$B$2:$B$1201,$A278))</f>
        <v/>
      </c>
      <c r="R278" s="19" t="str">
        <f aca="false">IF(OR($A278="",INDEX(_LEITURA!$Q$2:$Q$21,8)=0),"",SUMIFS(DECKS!$D$2:$D$1201,DECKS!$A$2:$A$1201,INDEX(_LEITURA!$P$2:$P$21,8),DECKS!$B$2:$B$1201,$A278))</f>
        <v/>
      </c>
      <c r="S278" s="19" t="str">
        <f aca="false">IF(OR($A278="",INDEX(_LEITURA!$Q$2:$Q$21,9)=0),"",SUMIFS(DECKS!$D$2:$D$1201,DECKS!$A$2:$A$1201,INDEX(_LEITURA!$P$2:$P$21,9),DECKS!$B$2:$B$1201,$A278))</f>
        <v/>
      </c>
      <c r="T278" s="19" t="str">
        <f aca="false">IF(OR($A278="",INDEX(_LEITURA!$Q$2:$Q$21,10)=0),"",SUMIFS(DECKS!$D$2:$D$1201,DECKS!$A$2:$A$1201,INDEX(_LEITURA!$P$2:$P$21,10),DECKS!$B$2:$B$1201,$A278))</f>
        <v/>
      </c>
      <c r="U278" s="19" t="str">
        <f aca="false">IF(OR($A278="",INDEX(_LEITURA!$Q$2:$Q$21,11)=0),"",SUMIFS(DECKS!$D$2:$D$1201,DECKS!$A$2:$A$1201,INDEX(_LEITURA!$P$2:$P$21,11),DECKS!$B$2:$B$1201,$A278))</f>
        <v/>
      </c>
      <c r="V278" s="19" t="str">
        <f aca="false">IF(OR($A278="",INDEX(_LEITURA!$Q$2:$Q$21,12)=0),"",SUMIFS(DECKS!$D$2:$D$1201,DECKS!$A$2:$A$1201,INDEX(_LEITURA!$P$2:$P$21,12),DECKS!$B$2:$B$1201,$A278))</f>
        <v/>
      </c>
      <c r="W278" s="19" t="str">
        <f aca="false">IF(OR($A278="",INDEX(_LEITURA!$Q$2:$Q$21,13)=0),"",SUMIFS(DECKS!$D$2:$D$1201,DECKS!$A$2:$A$1201,INDEX(_LEITURA!$P$2:$P$21,13),DECKS!$B$2:$B$1201,$A278))</f>
        <v/>
      </c>
      <c r="X278" s="19" t="str">
        <f aca="false">IF(OR($A278="",INDEX(_LEITURA!$Q$2:$Q$21,14)=0),"",SUMIFS(DECKS!$D$2:$D$1201,DECKS!$A$2:$A$1201,INDEX(_LEITURA!$P$2:$P$21,14),DECKS!$B$2:$B$1201,$A278))</f>
        <v/>
      </c>
      <c r="Y278" s="19" t="str">
        <f aca="false">IF(OR($A278="",INDEX(_LEITURA!$Q$2:$Q$21,15)=0),"",SUMIFS(DECKS!$D$2:$D$1201,DECKS!$A$2:$A$1201,INDEX(_LEITURA!$P$2:$P$21,15),DECKS!$B$2:$B$1201,$A278))</f>
        <v/>
      </c>
      <c r="Z278" s="19" t="str">
        <f aca="false">IF(OR($A278="",INDEX(_LEITURA!$Q$2:$Q$21,16)=0),"",SUMIFS(DECKS!$D$2:$D$1201,DECKS!$A$2:$A$1201,INDEX(_LEITURA!$P$2:$P$21,16),DECKS!$B$2:$B$1201,$A278))</f>
        <v/>
      </c>
      <c r="AA278" s="19" t="str">
        <f aca="false">IF(OR($A278="",INDEX(_LEITURA!$Q$2:$Q$21,17)=0),"",SUMIFS(DECKS!$D$2:$D$1201,DECKS!$A$2:$A$1201,INDEX(_LEITURA!$P$2:$P$21,17),DECKS!$B$2:$B$1201,$A278))</f>
        <v/>
      </c>
      <c r="AB278" s="19" t="str">
        <f aca="false">IF(OR($A278="",INDEX(_LEITURA!$Q$2:$Q$21,18)=0),"",SUMIFS(DECKS!$D$2:$D$1201,DECKS!$A$2:$A$1201,INDEX(_LEITURA!$P$2:$P$21,18),DECKS!$B$2:$B$1201,$A278))</f>
        <v/>
      </c>
      <c r="AC278" s="19" t="str">
        <f aca="false">IF(OR($A278="",INDEX(_LEITURA!$Q$2:$Q$21,19)=0),"",SUMIFS(DECKS!$D$2:$D$1201,DECKS!$A$2:$A$1201,INDEX(_LEITURA!$P$2:$P$21,19),DECKS!$B$2:$B$1201,$A278))</f>
        <v/>
      </c>
      <c r="AD278" s="19" t="str">
        <f aca="false">IF(OR($A278="",INDEX(_LEITURA!$Q$2:$Q$21,20)=0),"",SUMIFS(DECKS!$D$2:$D$1201,DECKS!$A$2:$A$1201,INDEX(_LEITURA!$P$2:$P$21,20),DECKS!$B$2:$B$1201,$A278))</f>
        <v/>
      </c>
      <c r="AE278" s="16" t="str">
        <f aca="false">IF(N(E278)&gt;0,MAX(AE$1:AE277)+1,"")</f>
        <v/>
      </c>
      <c r="AF278" s="11" t="str">
        <f aca="false">IF(A278="","",IFERROR(LEFT(A278,FIND("-",A278)-1),A278))</f>
        <v/>
      </c>
      <c r="AG278" s="11" t="str">
        <f aca="false">IF(AF278="","",IF(ISNUMBER(--MID(AF278,1,1)),0,IF(ISNUMBER(--MID(AF278,2,1)),1,IF(ISNUMBER(--MID(AF278,3,1)),2,IF(ISNUMBER(--MID(AF278,4,1)),3,MIN(LEN(AF278),4))))))</f>
        <v/>
      </c>
      <c r="AH278" s="11" t="str">
        <f aca="false">IF(A278="","",LEFT(AF278,AG278)&amp;REPT("0",4-AG278)&amp;RIGHT("000"&amp;IFERROR(VALUE(MID(AF278,AG278+1,9)),0),3)&amp;RIGHT("0000"&amp;IFERROR(VALUE(MID(A278,FIND("-",A278)+1,9)),0),4))</f>
        <v/>
      </c>
      <c r="AI278" s="11" t="str">
        <f aca="false">IF(OR(A278="",N(E278)&lt;=0),"",IF('FALTAS GERAL'!$M$1="Código","K"&amp;AH278&amp;RIGHT("00000"&amp;ROW(),5),IF('FALTAS GERAL'!$M$1="Nome","K"&amp;UPPER(SUBSTITUTE(SUBSTITUTE(SUBSTITUTE(B278,"*",""),"?",""),"~",""))&amp;"0"&amp;AH278&amp;RIGHT("00000"&amp;ROW(),5),IF('FALTAS GERAL'!$M$1="Falta (maior primeiro)","K"&amp;RIGHT("0000"&amp;(9999-E278),4)&amp;AH278&amp;RIGHT("00000"&amp;ROW(),5),IF('FALTAS GERAL'!$M$1="Nº de decks (maior primeiro)","K"&amp;RIGHT("00"&amp;(99-N(G278)),2)&amp;AH278&amp;RIGHT("00000"&amp;ROW(),5),"K"&amp;RIGHT("00000"&amp;ROW(),5))))))</f>
        <v/>
      </c>
      <c r="AJ278" s="11" t="str">
        <f aca="false">IF(AI278="","",COUNTIFS($AI$2:$AI$801,"&lt;"&amp;AI278,$E$2:$E$801,"&gt;0")+1)</f>
        <v/>
      </c>
      <c r="AK278" s="11" t="str">
        <f aca="false">IF(OR(A278="",N(E278)&lt;=0),"",COUNTIFS($AH$2:$AH$801,"&lt;"&amp;AH278,$E$2:$E$801,"&gt;0")+COUNTIFS($AH$2:AH278,AH278,$E$2:E278,"&gt;0"))</f>
        <v/>
      </c>
    </row>
    <row r="279" customFormat="false" ht="15" hidden="false" customHeight="false" outlineLevel="0" collapsed="false">
      <c r="A279" s="11" t="str">
        <f aca="false">IF(INVENTÁRIO!A279="","",INVENTÁRIO!A279)</f>
        <v/>
      </c>
      <c r="B279" s="11" t="str">
        <f aca="false">IF(A279="","",INVENTÁRIO!B279)</f>
        <v/>
      </c>
      <c r="C279" s="16" t="str">
        <f aca="false">IF(A279="","",INVENTÁRIO!C279)</f>
        <v/>
      </c>
      <c r="D279" s="14" t="str">
        <f aca="false">IF(A279="","",MAX(K279:AD279))</f>
        <v/>
      </c>
      <c r="E279" s="14" t="str">
        <f aca="false">IF(A279="","",MAX(0,D279-C279))</f>
        <v/>
      </c>
      <c r="F279" s="16" t="str">
        <f aca="false">IF(A279="","",IF(D279=0,"Fora dos decks",IF(E279=0,"Completo","Falta")))</f>
        <v/>
      </c>
      <c r="G279" s="16" t="str">
        <f aca="false">IF(A279="","",COUNTIF(K279:AD279,"&gt;0"))</f>
        <v/>
      </c>
      <c r="H279" s="16" t="str">
        <f aca="false">IF(A279="","",IF(G279&gt;1,"Sim",""))</f>
        <v/>
      </c>
      <c r="I279" s="18" t="str">
        <f aca="false">IF(A279="","",SUMIFS(DECKS!$D$2:$D$1201,DECKS!$B$2:$B$1201,A279))</f>
        <v/>
      </c>
      <c r="J279" s="18" t="str">
        <f aca="false">IF(A279="","",MAX(0,I279-C279))</f>
        <v/>
      </c>
      <c r="K279" s="19" t="str">
        <f aca="false">IF(OR($A279="",INDEX(_LEITURA!$Q$2:$Q$21,1)=0),"",SUMIFS(DECKS!$D$2:$D$1201,DECKS!$A$2:$A$1201,INDEX(_LEITURA!$P$2:$P$21,1),DECKS!$B$2:$B$1201,$A279))</f>
        <v/>
      </c>
      <c r="L279" s="19" t="str">
        <f aca="false">IF(OR($A279="",INDEX(_LEITURA!$Q$2:$Q$21,2)=0),"",SUMIFS(DECKS!$D$2:$D$1201,DECKS!$A$2:$A$1201,INDEX(_LEITURA!$P$2:$P$21,2),DECKS!$B$2:$B$1201,$A279))</f>
        <v/>
      </c>
      <c r="M279" s="19" t="str">
        <f aca="false">IF(OR($A279="",INDEX(_LEITURA!$Q$2:$Q$21,3)=0),"",SUMIFS(DECKS!$D$2:$D$1201,DECKS!$A$2:$A$1201,INDEX(_LEITURA!$P$2:$P$21,3),DECKS!$B$2:$B$1201,$A279))</f>
        <v/>
      </c>
      <c r="N279" s="19" t="str">
        <f aca="false">IF(OR($A279="",INDEX(_LEITURA!$Q$2:$Q$21,4)=0),"",SUMIFS(DECKS!$D$2:$D$1201,DECKS!$A$2:$A$1201,INDEX(_LEITURA!$P$2:$P$21,4),DECKS!$B$2:$B$1201,$A279))</f>
        <v/>
      </c>
      <c r="O279" s="19" t="str">
        <f aca="false">IF(OR($A279="",INDEX(_LEITURA!$Q$2:$Q$21,5)=0),"",SUMIFS(DECKS!$D$2:$D$1201,DECKS!$A$2:$A$1201,INDEX(_LEITURA!$P$2:$P$21,5),DECKS!$B$2:$B$1201,$A279))</f>
        <v/>
      </c>
      <c r="P279" s="19" t="str">
        <f aca="false">IF(OR($A279="",INDEX(_LEITURA!$Q$2:$Q$21,6)=0),"",SUMIFS(DECKS!$D$2:$D$1201,DECKS!$A$2:$A$1201,INDEX(_LEITURA!$P$2:$P$21,6),DECKS!$B$2:$B$1201,$A279))</f>
        <v/>
      </c>
      <c r="Q279" s="19" t="str">
        <f aca="false">IF(OR($A279="",INDEX(_LEITURA!$Q$2:$Q$21,7)=0),"",SUMIFS(DECKS!$D$2:$D$1201,DECKS!$A$2:$A$1201,INDEX(_LEITURA!$P$2:$P$21,7),DECKS!$B$2:$B$1201,$A279))</f>
        <v/>
      </c>
      <c r="R279" s="19" t="str">
        <f aca="false">IF(OR($A279="",INDEX(_LEITURA!$Q$2:$Q$21,8)=0),"",SUMIFS(DECKS!$D$2:$D$1201,DECKS!$A$2:$A$1201,INDEX(_LEITURA!$P$2:$P$21,8),DECKS!$B$2:$B$1201,$A279))</f>
        <v/>
      </c>
      <c r="S279" s="19" t="str">
        <f aca="false">IF(OR($A279="",INDEX(_LEITURA!$Q$2:$Q$21,9)=0),"",SUMIFS(DECKS!$D$2:$D$1201,DECKS!$A$2:$A$1201,INDEX(_LEITURA!$P$2:$P$21,9),DECKS!$B$2:$B$1201,$A279))</f>
        <v/>
      </c>
      <c r="T279" s="19" t="str">
        <f aca="false">IF(OR($A279="",INDEX(_LEITURA!$Q$2:$Q$21,10)=0),"",SUMIFS(DECKS!$D$2:$D$1201,DECKS!$A$2:$A$1201,INDEX(_LEITURA!$P$2:$P$21,10),DECKS!$B$2:$B$1201,$A279))</f>
        <v/>
      </c>
      <c r="U279" s="19" t="str">
        <f aca="false">IF(OR($A279="",INDEX(_LEITURA!$Q$2:$Q$21,11)=0),"",SUMIFS(DECKS!$D$2:$D$1201,DECKS!$A$2:$A$1201,INDEX(_LEITURA!$P$2:$P$21,11),DECKS!$B$2:$B$1201,$A279))</f>
        <v/>
      </c>
      <c r="V279" s="19" t="str">
        <f aca="false">IF(OR($A279="",INDEX(_LEITURA!$Q$2:$Q$21,12)=0),"",SUMIFS(DECKS!$D$2:$D$1201,DECKS!$A$2:$A$1201,INDEX(_LEITURA!$P$2:$P$21,12),DECKS!$B$2:$B$1201,$A279))</f>
        <v/>
      </c>
      <c r="W279" s="19" t="str">
        <f aca="false">IF(OR($A279="",INDEX(_LEITURA!$Q$2:$Q$21,13)=0),"",SUMIFS(DECKS!$D$2:$D$1201,DECKS!$A$2:$A$1201,INDEX(_LEITURA!$P$2:$P$21,13),DECKS!$B$2:$B$1201,$A279))</f>
        <v/>
      </c>
      <c r="X279" s="19" t="str">
        <f aca="false">IF(OR($A279="",INDEX(_LEITURA!$Q$2:$Q$21,14)=0),"",SUMIFS(DECKS!$D$2:$D$1201,DECKS!$A$2:$A$1201,INDEX(_LEITURA!$P$2:$P$21,14),DECKS!$B$2:$B$1201,$A279))</f>
        <v/>
      </c>
      <c r="Y279" s="19" t="str">
        <f aca="false">IF(OR($A279="",INDEX(_LEITURA!$Q$2:$Q$21,15)=0),"",SUMIFS(DECKS!$D$2:$D$1201,DECKS!$A$2:$A$1201,INDEX(_LEITURA!$P$2:$P$21,15),DECKS!$B$2:$B$1201,$A279))</f>
        <v/>
      </c>
      <c r="Z279" s="19" t="str">
        <f aca="false">IF(OR($A279="",INDEX(_LEITURA!$Q$2:$Q$21,16)=0),"",SUMIFS(DECKS!$D$2:$D$1201,DECKS!$A$2:$A$1201,INDEX(_LEITURA!$P$2:$P$21,16),DECKS!$B$2:$B$1201,$A279))</f>
        <v/>
      </c>
      <c r="AA279" s="19" t="str">
        <f aca="false">IF(OR($A279="",INDEX(_LEITURA!$Q$2:$Q$21,17)=0),"",SUMIFS(DECKS!$D$2:$D$1201,DECKS!$A$2:$A$1201,INDEX(_LEITURA!$P$2:$P$21,17),DECKS!$B$2:$B$1201,$A279))</f>
        <v/>
      </c>
      <c r="AB279" s="19" t="str">
        <f aca="false">IF(OR($A279="",INDEX(_LEITURA!$Q$2:$Q$21,18)=0),"",SUMIFS(DECKS!$D$2:$D$1201,DECKS!$A$2:$A$1201,INDEX(_LEITURA!$P$2:$P$21,18),DECKS!$B$2:$B$1201,$A279))</f>
        <v/>
      </c>
      <c r="AC279" s="19" t="str">
        <f aca="false">IF(OR($A279="",INDEX(_LEITURA!$Q$2:$Q$21,19)=0),"",SUMIFS(DECKS!$D$2:$D$1201,DECKS!$A$2:$A$1201,INDEX(_LEITURA!$P$2:$P$21,19),DECKS!$B$2:$B$1201,$A279))</f>
        <v/>
      </c>
      <c r="AD279" s="19" t="str">
        <f aca="false">IF(OR($A279="",INDEX(_LEITURA!$Q$2:$Q$21,20)=0),"",SUMIFS(DECKS!$D$2:$D$1201,DECKS!$A$2:$A$1201,INDEX(_LEITURA!$P$2:$P$21,20),DECKS!$B$2:$B$1201,$A279))</f>
        <v/>
      </c>
      <c r="AE279" s="16" t="str">
        <f aca="false">IF(N(E279)&gt;0,MAX(AE$1:AE278)+1,"")</f>
        <v/>
      </c>
      <c r="AF279" s="11" t="str">
        <f aca="false">IF(A279="","",IFERROR(LEFT(A279,FIND("-",A279)-1),A279))</f>
        <v/>
      </c>
      <c r="AG279" s="11" t="str">
        <f aca="false">IF(AF279="","",IF(ISNUMBER(--MID(AF279,1,1)),0,IF(ISNUMBER(--MID(AF279,2,1)),1,IF(ISNUMBER(--MID(AF279,3,1)),2,IF(ISNUMBER(--MID(AF279,4,1)),3,MIN(LEN(AF279),4))))))</f>
        <v/>
      </c>
      <c r="AH279" s="11" t="str">
        <f aca="false">IF(A279="","",LEFT(AF279,AG279)&amp;REPT("0",4-AG279)&amp;RIGHT("000"&amp;IFERROR(VALUE(MID(AF279,AG279+1,9)),0),3)&amp;RIGHT("0000"&amp;IFERROR(VALUE(MID(A279,FIND("-",A279)+1,9)),0),4))</f>
        <v/>
      </c>
      <c r="AI279" s="11" t="str">
        <f aca="false">IF(OR(A279="",N(E279)&lt;=0),"",IF('FALTAS GERAL'!$M$1="Código","K"&amp;AH279&amp;RIGHT("00000"&amp;ROW(),5),IF('FALTAS GERAL'!$M$1="Nome","K"&amp;UPPER(SUBSTITUTE(SUBSTITUTE(SUBSTITUTE(B279,"*",""),"?",""),"~",""))&amp;"0"&amp;AH279&amp;RIGHT("00000"&amp;ROW(),5),IF('FALTAS GERAL'!$M$1="Falta (maior primeiro)","K"&amp;RIGHT("0000"&amp;(9999-E279),4)&amp;AH279&amp;RIGHT("00000"&amp;ROW(),5),IF('FALTAS GERAL'!$M$1="Nº de decks (maior primeiro)","K"&amp;RIGHT("00"&amp;(99-N(G279)),2)&amp;AH279&amp;RIGHT("00000"&amp;ROW(),5),"K"&amp;RIGHT("00000"&amp;ROW(),5))))))</f>
        <v/>
      </c>
      <c r="AJ279" s="11" t="str">
        <f aca="false">IF(AI279="","",COUNTIFS($AI$2:$AI$801,"&lt;"&amp;AI279,$E$2:$E$801,"&gt;0")+1)</f>
        <v/>
      </c>
      <c r="AK279" s="11" t="str">
        <f aca="false">IF(OR(A279="",N(E279)&lt;=0),"",COUNTIFS($AH$2:$AH$801,"&lt;"&amp;AH279,$E$2:$E$801,"&gt;0")+COUNTIFS($AH$2:AH279,AH279,$E$2:E279,"&gt;0"))</f>
        <v/>
      </c>
    </row>
    <row r="280" customFormat="false" ht="15" hidden="false" customHeight="false" outlineLevel="0" collapsed="false">
      <c r="A280" s="11" t="str">
        <f aca="false">IF(INVENTÁRIO!A280="","",INVENTÁRIO!A280)</f>
        <v/>
      </c>
      <c r="B280" s="11" t="str">
        <f aca="false">IF(A280="","",INVENTÁRIO!B280)</f>
        <v/>
      </c>
      <c r="C280" s="16" t="str">
        <f aca="false">IF(A280="","",INVENTÁRIO!C280)</f>
        <v/>
      </c>
      <c r="D280" s="14" t="str">
        <f aca="false">IF(A280="","",MAX(K280:AD280))</f>
        <v/>
      </c>
      <c r="E280" s="14" t="str">
        <f aca="false">IF(A280="","",MAX(0,D280-C280))</f>
        <v/>
      </c>
      <c r="F280" s="16" t="str">
        <f aca="false">IF(A280="","",IF(D280=0,"Fora dos decks",IF(E280=0,"Completo","Falta")))</f>
        <v/>
      </c>
      <c r="G280" s="16" t="str">
        <f aca="false">IF(A280="","",COUNTIF(K280:AD280,"&gt;0"))</f>
        <v/>
      </c>
      <c r="H280" s="16" t="str">
        <f aca="false">IF(A280="","",IF(G280&gt;1,"Sim",""))</f>
        <v/>
      </c>
      <c r="I280" s="18" t="str">
        <f aca="false">IF(A280="","",SUMIFS(DECKS!$D$2:$D$1201,DECKS!$B$2:$B$1201,A280))</f>
        <v/>
      </c>
      <c r="J280" s="18" t="str">
        <f aca="false">IF(A280="","",MAX(0,I280-C280))</f>
        <v/>
      </c>
      <c r="K280" s="19" t="str">
        <f aca="false">IF(OR($A280="",INDEX(_LEITURA!$Q$2:$Q$21,1)=0),"",SUMIFS(DECKS!$D$2:$D$1201,DECKS!$A$2:$A$1201,INDEX(_LEITURA!$P$2:$P$21,1),DECKS!$B$2:$B$1201,$A280))</f>
        <v/>
      </c>
      <c r="L280" s="19" t="str">
        <f aca="false">IF(OR($A280="",INDEX(_LEITURA!$Q$2:$Q$21,2)=0),"",SUMIFS(DECKS!$D$2:$D$1201,DECKS!$A$2:$A$1201,INDEX(_LEITURA!$P$2:$P$21,2),DECKS!$B$2:$B$1201,$A280))</f>
        <v/>
      </c>
      <c r="M280" s="19" t="str">
        <f aca="false">IF(OR($A280="",INDEX(_LEITURA!$Q$2:$Q$21,3)=0),"",SUMIFS(DECKS!$D$2:$D$1201,DECKS!$A$2:$A$1201,INDEX(_LEITURA!$P$2:$P$21,3),DECKS!$B$2:$B$1201,$A280))</f>
        <v/>
      </c>
      <c r="N280" s="19" t="str">
        <f aca="false">IF(OR($A280="",INDEX(_LEITURA!$Q$2:$Q$21,4)=0),"",SUMIFS(DECKS!$D$2:$D$1201,DECKS!$A$2:$A$1201,INDEX(_LEITURA!$P$2:$P$21,4),DECKS!$B$2:$B$1201,$A280))</f>
        <v/>
      </c>
      <c r="O280" s="19" t="str">
        <f aca="false">IF(OR($A280="",INDEX(_LEITURA!$Q$2:$Q$21,5)=0),"",SUMIFS(DECKS!$D$2:$D$1201,DECKS!$A$2:$A$1201,INDEX(_LEITURA!$P$2:$P$21,5),DECKS!$B$2:$B$1201,$A280))</f>
        <v/>
      </c>
      <c r="P280" s="19" t="str">
        <f aca="false">IF(OR($A280="",INDEX(_LEITURA!$Q$2:$Q$21,6)=0),"",SUMIFS(DECKS!$D$2:$D$1201,DECKS!$A$2:$A$1201,INDEX(_LEITURA!$P$2:$P$21,6),DECKS!$B$2:$B$1201,$A280))</f>
        <v/>
      </c>
      <c r="Q280" s="19" t="str">
        <f aca="false">IF(OR($A280="",INDEX(_LEITURA!$Q$2:$Q$21,7)=0),"",SUMIFS(DECKS!$D$2:$D$1201,DECKS!$A$2:$A$1201,INDEX(_LEITURA!$P$2:$P$21,7),DECKS!$B$2:$B$1201,$A280))</f>
        <v/>
      </c>
      <c r="R280" s="19" t="str">
        <f aca="false">IF(OR($A280="",INDEX(_LEITURA!$Q$2:$Q$21,8)=0),"",SUMIFS(DECKS!$D$2:$D$1201,DECKS!$A$2:$A$1201,INDEX(_LEITURA!$P$2:$P$21,8),DECKS!$B$2:$B$1201,$A280))</f>
        <v/>
      </c>
      <c r="S280" s="19" t="str">
        <f aca="false">IF(OR($A280="",INDEX(_LEITURA!$Q$2:$Q$21,9)=0),"",SUMIFS(DECKS!$D$2:$D$1201,DECKS!$A$2:$A$1201,INDEX(_LEITURA!$P$2:$P$21,9),DECKS!$B$2:$B$1201,$A280))</f>
        <v/>
      </c>
      <c r="T280" s="19" t="str">
        <f aca="false">IF(OR($A280="",INDEX(_LEITURA!$Q$2:$Q$21,10)=0),"",SUMIFS(DECKS!$D$2:$D$1201,DECKS!$A$2:$A$1201,INDEX(_LEITURA!$P$2:$P$21,10),DECKS!$B$2:$B$1201,$A280))</f>
        <v/>
      </c>
      <c r="U280" s="19" t="str">
        <f aca="false">IF(OR($A280="",INDEX(_LEITURA!$Q$2:$Q$21,11)=0),"",SUMIFS(DECKS!$D$2:$D$1201,DECKS!$A$2:$A$1201,INDEX(_LEITURA!$P$2:$P$21,11),DECKS!$B$2:$B$1201,$A280))</f>
        <v/>
      </c>
      <c r="V280" s="19" t="str">
        <f aca="false">IF(OR($A280="",INDEX(_LEITURA!$Q$2:$Q$21,12)=0),"",SUMIFS(DECKS!$D$2:$D$1201,DECKS!$A$2:$A$1201,INDEX(_LEITURA!$P$2:$P$21,12),DECKS!$B$2:$B$1201,$A280))</f>
        <v/>
      </c>
      <c r="W280" s="19" t="str">
        <f aca="false">IF(OR($A280="",INDEX(_LEITURA!$Q$2:$Q$21,13)=0),"",SUMIFS(DECKS!$D$2:$D$1201,DECKS!$A$2:$A$1201,INDEX(_LEITURA!$P$2:$P$21,13),DECKS!$B$2:$B$1201,$A280))</f>
        <v/>
      </c>
      <c r="X280" s="19" t="str">
        <f aca="false">IF(OR($A280="",INDEX(_LEITURA!$Q$2:$Q$21,14)=0),"",SUMIFS(DECKS!$D$2:$D$1201,DECKS!$A$2:$A$1201,INDEX(_LEITURA!$P$2:$P$21,14),DECKS!$B$2:$B$1201,$A280))</f>
        <v/>
      </c>
      <c r="Y280" s="19" t="str">
        <f aca="false">IF(OR($A280="",INDEX(_LEITURA!$Q$2:$Q$21,15)=0),"",SUMIFS(DECKS!$D$2:$D$1201,DECKS!$A$2:$A$1201,INDEX(_LEITURA!$P$2:$P$21,15),DECKS!$B$2:$B$1201,$A280))</f>
        <v/>
      </c>
      <c r="Z280" s="19" t="str">
        <f aca="false">IF(OR($A280="",INDEX(_LEITURA!$Q$2:$Q$21,16)=0),"",SUMIFS(DECKS!$D$2:$D$1201,DECKS!$A$2:$A$1201,INDEX(_LEITURA!$P$2:$P$21,16),DECKS!$B$2:$B$1201,$A280))</f>
        <v/>
      </c>
      <c r="AA280" s="19" t="str">
        <f aca="false">IF(OR($A280="",INDEX(_LEITURA!$Q$2:$Q$21,17)=0),"",SUMIFS(DECKS!$D$2:$D$1201,DECKS!$A$2:$A$1201,INDEX(_LEITURA!$P$2:$P$21,17),DECKS!$B$2:$B$1201,$A280))</f>
        <v/>
      </c>
      <c r="AB280" s="19" t="str">
        <f aca="false">IF(OR($A280="",INDEX(_LEITURA!$Q$2:$Q$21,18)=0),"",SUMIFS(DECKS!$D$2:$D$1201,DECKS!$A$2:$A$1201,INDEX(_LEITURA!$P$2:$P$21,18),DECKS!$B$2:$B$1201,$A280))</f>
        <v/>
      </c>
      <c r="AC280" s="19" t="str">
        <f aca="false">IF(OR($A280="",INDEX(_LEITURA!$Q$2:$Q$21,19)=0),"",SUMIFS(DECKS!$D$2:$D$1201,DECKS!$A$2:$A$1201,INDEX(_LEITURA!$P$2:$P$21,19),DECKS!$B$2:$B$1201,$A280))</f>
        <v/>
      </c>
      <c r="AD280" s="19" t="str">
        <f aca="false">IF(OR($A280="",INDEX(_LEITURA!$Q$2:$Q$21,20)=0),"",SUMIFS(DECKS!$D$2:$D$1201,DECKS!$A$2:$A$1201,INDEX(_LEITURA!$P$2:$P$21,20),DECKS!$B$2:$B$1201,$A280))</f>
        <v/>
      </c>
      <c r="AE280" s="16" t="str">
        <f aca="false">IF(N(E280)&gt;0,MAX(AE$1:AE279)+1,"")</f>
        <v/>
      </c>
      <c r="AF280" s="11" t="str">
        <f aca="false">IF(A280="","",IFERROR(LEFT(A280,FIND("-",A280)-1),A280))</f>
        <v/>
      </c>
      <c r="AG280" s="11" t="str">
        <f aca="false">IF(AF280="","",IF(ISNUMBER(--MID(AF280,1,1)),0,IF(ISNUMBER(--MID(AF280,2,1)),1,IF(ISNUMBER(--MID(AF280,3,1)),2,IF(ISNUMBER(--MID(AF280,4,1)),3,MIN(LEN(AF280),4))))))</f>
        <v/>
      </c>
      <c r="AH280" s="11" t="str">
        <f aca="false">IF(A280="","",LEFT(AF280,AG280)&amp;REPT("0",4-AG280)&amp;RIGHT("000"&amp;IFERROR(VALUE(MID(AF280,AG280+1,9)),0),3)&amp;RIGHT("0000"&amp;IFERROR(VALUE(MID(A280,FIND("-",A280)+1,9)),0),4))</f>
        <v/>
      </c>
      <c r="AI280" s="11" t="str">
        <f aca="false">IF(OR(A280="",N(E280)&lt;=0),"",IF('FALTAS GERAL'!$M$1="Código","K"&amp;AH280&amp;RIGHT("00000"&amp;ROW(),5),IF('FALTAS GERAL'!$M$1="Nome","K"&amp;UPPER(SUBSTITUTE(SUBSTITUTE(SUBSTITUTE(B280,"*",""),"?",""),"~",""))&amp;"0"&amp;AH280&amp;RIGHT("00000"&amp;ROW(),5),IF('FALTAS GERAL'!$M$1="Falta (maior primeiro)","K"&amp;RIGHT("0000"&amp;(9999-E280),4)&amp;AH280&amp;RIGHT("00000"&amp;ROW(),5),IF('FALTAS GERAL'!$M$1="Nº de decks (maior primeiro)","K"&amp;RIGHT("00"&amp;(99-N(G280)),2)&amp;AH280&amp;RIGHT("00000"&amp;ROW(),5),"K"&amp;RIGHT("00000"&amp;ROW(),5))))))</f>
        <v/>
      </c>
      <c r="AJ280" s="11" t="str">
        <f aca="false">IF(AI280="","",COUNTIFS($AI$2:$AI$801,"&lt;"&amp;AI280,$E$2:$E$801,"&gt;0")+1)</f>
        <v/>
      </c>
      <c r="AK280" s="11" t="str">
        <f aca="false">IF(OR(A280="",N(E280)&lt;=0),"",COUNTIFS($AH$2:$AH$801,"&lt;"&amp;AH280,$E$2:$E$801,"&gt;0")+COUNTIFS($AH$2:AH280,AH280,$E$2:E280,"&gt;0"))</f>
        <v/>
      </c>
    </row>
    <row r="281" customFormat="false" ht="15" hidden="false" customHeight="false" outlineLevel="0" collapsed="false">
      <c r="A281" s="11" t="str">
        <f aca="false">IF(INVENTÁRIO!A281="","",INVENTÁRIO!A281)</f>
        <v/>
      </c>
      <c r="B281" s="11" t="str">
        <f aca="false">IF(A281="","",INVENTÁRIO!B281)</f>
        <v/>
      </c>
      <c r="C281" s="16" t="str">
        <f aca="false">IF(A281="","",INVENTÁRIO!C281)</f>
        <v/>
      </c>
      <c r="D281" s="14" t="str">
        <f aca="false">IF(A281="","",MAX(K281:AD281))</f>
        <v/>
      </c>
      <c r="E281" s="14" t="str">
        <f aca="false">IF(A281="","",MAX(0,D281-C281))</f>
        <v/>
      </c>
      <c r="F281" s="16" t="str">
        <f aca="false">IF(A281="","",IF(D281=0,"Fora dos decks",IF(E281=0,"Completo","Falta")))</f>
        <v/>
      </c>
      <c r="G281" s="16" t="str">
        <f aca="false">IF(A281="","",COUNTIF(K281:AD281,"&gt;0"))</f>
        <v/>
      </c>
      <c r="H281" s="16" t="str">
        <f aca="false">IF(A281="","",IF(G281&gt;1,"Sim",""))</f>
        <v/>
      </c>
      <c r="I281" s="18" t="str">
        <f aca="false">IF(A281="","",SUMIFS(DECKS!$D$2:$D$1201,DECKS!$B$2:$B$1201,A281))</f>
        <v/>
      </c>
      <c r="J281" s="18" t="str">
        <f aca="false">IF(A281="","",MAX(0,I281-C281))</f>
        <v/>
      </c>
      <c r="K281" s="19" t="str">
        <f aca="false">IF(OR($A281="",INDEX(_LEITURA!$Q$2:$Q$21,1)=0),"",SUMIFS(DECKS!$D$2:$D$1201,DECKS!$A$2:$A$1201,INDEX(_LEITURA!$P$2:$P$21,1),DECKS!$B$2:$B$1201,$A281))</f>
        <v/>
      </c>
      <c r="L281" s="19" t="str">
        <f aca="false">IF(OR($A281="",INDEX(_LEITURA!$Q$2:$Q$21,2)=0),"",SUMIFS(DECKS!$D$2:$D$1201,DECKS!$A$2:$A$1201,INDEX(_LEITURA!$P$2:$P$21,2),DECKS!$B$2:$B$1201,$A281))</f>
        <v/>
      </c>
      <c r="M281" s="19" t="str">
        <f aca="false">IF(OR($A281="",INDEX(_LEITURA!$Q$2:$Q$21,3)=0),"",SUMIFS(DECKS!$D$2:$D$1201,DECKS!$A$2:$A$1201,INDEX(_LEITURA!$P$2:$P$21,3),DECKS!$B$2:$B$1201,$A281))</f>
        <v/>
      </c>
      <c r="N281" s="19" t="str">
        <f aca="false">IF(OR($A281="",INDEX(_LEITURA!$Q$2:$Q$21,4)=0),"",SUMIFS(DECKS!$D$2:$D$1201,DECKS!$A$2:$A$1201,INDEX(_LEITURA!$P$2:$P$21,4),DECKS!$B$2:$B$1201,$A281))</f>
        <v/>
      </c>
      <c r="O281" s="19" t="str">
        <f aca="false">IF(OR($A281="",INDEX(_LEITURA!$Q$2:$Q$21,5)=0),"",SUMIFS(DECKS!$D$2:$D$1201,DECKS!$A$2:$A$1201,INDEX(_LEITURA!$P$2:$P$21,5),DECKS!$B$2:$B$1201,$A281))</f>
        <v/>
      </c>
      <c r="P281" s="19" t="str">
        <f aca="false">IF(OR($A281="",INDEX(_LEITURA!$Q$2:$Q$21,6)=0),"",SUMIFS(DECKS!$D$2:$D$1201,DECKS!$A$2:$A$1201,INDEX(_LEITURA!$P$2:$P$21,6),DECKS!$B$2:$B$1201,$A281))</f>
        <v/>
      </c>
      <c r="Q281" s="19" t="str">
        <f aca="false">IF(OR($A281="",INDEX(_LEITURA!$Q$2:$Q$21,7)=0),"",SUMIFS(DECKS!$D$2:$D$1201,DECKS!$A$2:$A$1201,INDEX(_LEITURA!$P$2:$P$21,7),DECKS!$B$2:$B$1201,$A281))</f>
        <v/>
      </c>
      <c r="R281" s="19" t="str">
        <f aca="false">IF(OR($A281="",INDEX(_LEITURA!$Q$2:$Q$21,8)=0),"",SUMIFS(DECKS!$D$2:$D$1201,DECKS!$A$2:$A$1201,INDEX(_LEITURA!$P$2:$P$21,8),DECKS!$B$2:$B$1201,$A281))</f>
        <v/>
      </c>
      <c r="S281" s="19" t="str">
        <f aca="false">IF(OR($A281="",INDEX(_LEITURA!$Q$2:$Q$21,9)=0),"",SUMIFS(DECKS!$D$2:$D$1201,DECKS!$A$2:$A$1201,INDEX(_LEITURA!$P$2:$P$21,9),DECKS!$B$2:$B$1201,$A281))</f>
        <v/>
      </c>
      <c r="T281" s="19" t="str">
        <f aca="false">IF(OR($A281="",INDEX(_LEITURA!$Q$2:$Q$21,10)=0),"",SUMIFS(DECKS!$D$2:$D$1201,DECKS!$A$2:$A$1201,INDEX(_LEITURA!$P$2:$P$21,10),DECKS!$B$2:$B$1201,$A281))</f>
        <v/>
      </c>
      <c r="U281" s="19" t="str">
        <f aca="false">IF(OR($A281="",INDEX(_LEITURA!$Q$2:$Q$21,11)=0),"",SUMIFS(DECKS!$D$2:$D$1201,DECKS!$A$2:$A$1201,INDEX(_LEITURA!$P$2:$P$21,11),DECKS!$B$2:$B$1201,$A281))</f>
        <v/>
      </c>
      <c r="V281" s="19" t="str">
        <f aca="false">IF(OR($A281="",INDEX(_LEITURA!$Q$2:$Q$21,12)=0),"",SUMIFS(DECKS!$D$2:$D$1201,DECKS!$A$2:$A$1201,INDEX(_LEITURA!$P$2:$P$21,12),DECKS!$B$2:$B$1201,$A281))</f>
        <v/>
      </c>
      <c r="W281" s="19" t="str">
        <f aca="false">IF(OR($A281="",INDEX(_LEITURA!$Q$2:$Q$21,13)=0),"",SUMIFS(DECKS!$D$2:$D$1201,DECKS!$A$2:$A$1201,INDEX(_LEITURA!$P$2:$P$21,13),DECKS!$B$2:$B$1201,$A281))</f>
        <v/>
      </c>
      <c r="X281" s="19" t="str">
        <f aca="false">IF(OR($A281="",INDEX(_LEITURA!$Q$2:$Q$21,14)=0),"",SUMIFS(DECKS!$D$2:$D$1201,DECKS!$A$2:$A$1201,INDEX(_LEITURA!$P$2:$P$21,14),DECKS!$B$2:$B$1201,$A281))</f>
        <v/>
      </c>
      <c r="Y281" s="19" t="str">
        <f aca="false">IF(OR($A281="",INDEX(_LEITURA!$Q$2:$Q$21,15)=0),"",SUMIFS(DECKS!$D$2:$D$1201,DECKS!$A$2:$A$1201,INDEX(_LEITURA!$P$2:$P$21,15),DECKS!$B$2:$B$1201,$A281))</f>
        <v/>
      </c>
      <c r="Z281" s="19" t="str">
        <f aca="false">IF(OR($A281="",INDEX(_LEITURA!$Q$2:$Q$21,16)=0),"",SUMIFS(DECKS!$D$2:$D$1201,DECKS!$A$2:$A$1201,INDEX(_LEITURA!$P$2:$P$21,16),DECKS!$B$2:$B$1201,$A281))</f>
        <v/>
      </c>
      <c r="AA281" s="19" t="str">
        <f aca="false">IF(OR($A281="",INDEX(_LEITURA!$Q$2:$Q$21,17)=0),"",SUMIFS(DECKS!$D$2:$D$1201,DECKS!$A$2:$A$1201,INDEX(_LEITURA!$P$2:$P$21,17),DECKS!$B$2:$B$1201,$A281))</f>
        <v/>
      </c>
      <c r="AB281" s="19" t="str">
        <f aca="false">IF(OR($A281="",INDEX(_LEITURA!$Q$2:$Q$21,18)=0),"",SUMIFS(DECKS!$D$2:$D$1201,DECKS!$A$2:$A$1201,INDEX(_LEITURA!$P$2:$P$21,18),DECKS!$B$2:$B$1201,$A281))</f>
        <v/>
      </c>
      <c r="AC281" s="19" t="str">
        <f aca="false">IF(OR($A281="",INDEX(_LEITURA!$Q$2:$Q$21,19)=0),"",SUMIFS(DECKS!$D$2:$D$1201,DECKS!$A$2:$A$1201,INDEX(_LEITURA!$P$2:$P$21,19),DECKS!$B$2:$B$1201,$A281))</f>
        <v/>
      </c>
      <c r="AD281" s="19" t="str">
        <f aca="false">IF(OR($A281="",INDEX(_LEITURA!$Q$2:$Q$21,20)=0),"",SUMIFS(DECKS!$D$2:$D$1201,DECKS!$A$2:$A$1201,INDEX(_LEITURA!$P$2:$P$21,20),DECKS!$B$2:$B$1201,$A281))</f>
        <v/>
      </c>
      <c r="AE281" s="16" t="str">
        <f aca="false">IF(N(E281)&gt;0,MAX(AE$1:AE280)+1,"")</f>
        <v/>
      </c>
      <c r="AF281" s="11" t="str">
        <f aca="false">IF(A281="","",IFERROR(LEFT(A281,FIND("-",A281)-1),A281))</f>
        <v/>
      </c>
      <c r="AG281" s="11" t="str">
        <f aca="false">IF(AF281="","",IF(ISNUMBER(--MID(AF281,1,1)),0,IF(ISNUMBER(--MID(AF281,2,1)),1,IF(ISNUMBER(--MID(AF281,3,1)),2,IF(ISNUMBER(--MID(AF281,4,1)),3,MIN(LEN(AF281),4))))))</f>
        <v/>
      </c>
      <c r="AH281" s="11" t="str">
        <f aca="false">IF(A281="","",LEFT(AF281,AG281)&amp;REPT("0",4-AG281)&amp;RIGHT("000"&amp;IFERROR(VALUE(MID(AF281,AG281+1,9)),0),3)&amp;RIGHT("0000"&amp;IFERROR(VALUE(MID(A281,FIND("-",A281)+1,9)),0),4))</f>
        <v/>
      </c>
      <c r="AI281" s="11" t="str">
        <f aca="false">IF(OR(A281="",N(E281)&lt;=0),"",IF('FALTAS GERAL'!$M$1="Código","K"&amp;AH281&amp;RIGHT("00000"&amp;ROW(),5),IF('FALTAS GERAL'!$M$1="Nome","K"&amp;UPPER(SUBSTITUTE(SUBSTITUTE(SUBSTITUTE(B281,"*",""),"?",""),"~",""))&amp;"0"&amp;AH281&amp;RIGHT("00000"&amp;ROW(),5),IF('FALTAS GERAL'!$M$1="Falta (maior primeiro)","K"&amp;RIGHT("0000"&amp;(9999-E281),4)&amp;AH281&amp;RIGHT("00000"&amp;ROW(),5),IF('FALTAS GERAL'!$M$1="Nº de decks (maior primeiro)","K"&amp;RIGHT("00"&amp;(99-N(G281)),2)&amp;AH281&amp;RIGHT("00000"&amp;ROW(),5),"K"&amp;RIGHT("00000"&amp;ROW(),5))))))</f>
        <v/>
      </c>
      <c r="AJ281" s="11" t="str">
        <f aca="false">IF(AI281="","",COUNTIFS($AI$2:$AI$801,"&lt;"&amp;AI281,$E$2:$E$801,"&gt;0")+1)</f>
        <v/>
      </c>
      <c r="AK281" s="11" t="str">
        <f aca="false">IF(OR(A281="",N(E281)&lt;=0),"",COUNTIFS($AH$2:$AH$801,"&lt;"&amp;AH281,$E$2:$E$801,"&gt;0")+COUNTIFS($AH$2:AH281,AH281,$E$2:E281,"&gt;0"))</f>
        <v/>
      </c>
    </row>
    <row r="282" customFormat="false" ht="15" hidden="false" customHeight="false" outlineLevel="0" collapsed="false">
      <c r="A282" s="11" t="str">
        <f aca="false">IF(INVENTÁRIO!A282="","",INVENTÁRIO!A282)</f>
        <v/>
      </c>
      <c r="B282" s="11" t="str">
        <f aca="false">IF(A282="","",INVENTÁRIO!B282)</f>
        <v/>
      </c>
      <c r="C282" s="16" t="str">
        <f aca="false">IF(A282="","",INVENTÁRIO!C282)</f>
        <v/>
      </c>
      <c r="D282" s="14" t="str">
        <f aca="false">IF(A282="","",MAX(K282:AD282))</f>
        <v/>
      </c>
      <c r="E282" s="14" t="str">
        <f aca="false">IF(A282="","",MAX(0,D282-C282))</f>
        <v/>
      </c>
      <c r="F282" s="16" t="str">
        <f aca="false">IF(A282="","",IF(D282=0,"Fora dos decks",IF(E282=0,"Completo","Falta")))</f>
        <v/>
      </c>
      <c r="G282" s="16" t="str">
        <f aca="false">IF(A282="","",COUNTIF(K282:AD282,"&gt;0"))</f>
        <v/>
      </c>
      <c r="H282" s="16" t="str">
        <f aca="false">IF(A282="","",IF(G282&gt;1,"Sim",""))</f>
        <v/>
      </c>
      <c r="I282" s="18" t="str">
        <f aca="false">IF(A282="","",SUMIFS(DECKS!$D$2:$D$1201,DECKS!$B$2:$B$1201,A282))</f>
        <v/>
      </c>
      <c r="J282" s="18" t="str">
        <f aca="false">IF(A282="","",MAX(0,I282-C282))</f>
        <v/>
      </c>
      <c r="K282" s="19" t="str">
        <f aca="false">IF(OR($A282="",INDEX(_LEITURA!$Q$2:$Q$21,1)=0),"",SUMIFS(DECKS!$D$2:$D$1201,DECKS!$A$2:$A$1201,INDEX(_LEITURA!$P$2:$P$21,1),DECKS!$B$2:$B$1201,$A282))</f>
        <v/>
      </c>
      <c r="L282" s="19" t="str">
        <f aca="false">IF(OR($A282="",INDEX(_LEITURA!$Q$2:$Q$21,2)=0),"",SUMIFS(DECKS!$D$2:$D$1201,DECKS!$A$2:$A$1201,INDEX(_LEITURA!$P$2:$P$21,2),DECKS!$B$2:$B$1201,$A282))</f>
        <v/>
      </c>
      <c r="M282" s="19" t="str">
        <f aca="false">IF(OR($A282="",INDEX(_LEITURA!$Q$2:$Q$21,3)=0),"",SUMIFS(DECKS!$D$2:$D$1201,DECKS!$A$2:$A$1201,INDEX(_LEITURA!$P$2:$P$21,3),DECKS!$B$2:$B$1201,$A282))</f>
        <v/>
      </c>
      <c r="N282" s="19" t="str">
        <f aca="false">IF(OR($A282="",INDEX(_LEITURA!$Q$2:$Q$21,4)=0),"",SUMIFS(DECKS!$D$2:$D$1201,DECKS!$A$2:$A$1201,INDEX(_LEITURA!$P$2:$P$21,4),DECKS!$B$2:$B$1201,$A282))</f>
        <v/>
      </c>
      <c r="O282" s="19" t="str">
        <f aca="false">IF(OR($A282="",INDEX(_LEITURA!$Q$2:$Q$21,5)=0),"",SUMIFS(DECKS!$D$2:$D$1201,DECKS!$A$2:$A$1201,INDEX(_LEITURA!$P$2:$P$21,5),DECKS!$B$2:$B$1201,$A282))</f>
        <v/>
      </c>
      <c r="P282" s="19" t="str">
        <f aca="false">IF(OR($A282="",INDEX(_LEITURA!$Q$2:$Q$21,6)=0),"",SUMIFS(DECKS!$D$2:$D$1201,DECKS!$A$2:$A$1201,INDEX(_LEITURA!$P$2:$P$21,6),DECKS!$B$2:$B$1201,$A282))</f>
        <v/>
      </c>
      <c r="Q282" s="19" t="str">
        <f aca="false">IF(OR($A282="",INDEX(_LEITURA!$Q$2:$Q$21,7)=0),"",SUMIFS(DECKS!$D$2:$D$1201,DECKS!$A$2:$A$1201,INDEX(_LEITURA!$P$2:$P$21,7),DECKS!$B$2:$B$1201,$A282))</f>
        <v/>
      </c>
      <c r="R282" s="19" t="str">
        <f aca="false">IF(OR($A282="",INDEX(_LEITURA!$Q$2:$Q$21,8)=0),"",SUMIFS(DECKS!$D$2:$D$1201,DECKS!$A$2:$A$1201,INDEX(_LEITURA!$P$2:$P$21,8),DECKS!$B$2:$B$1201,$A282))</f>
        <v/>
      </c>
      <c r="S282" s="19" t="str">
        <f aca="false">IF(OR($A282="",INDEX(_LEITURA!$Q$2:$Q$21,9)=0),"",SUMIFS(DECKS!$D$2:$D$1201,DECKS!$A$2:$A$1201,INDEX(_LEITURA!$P$2:$P$21,9),DECKS!$B$2:$B$1201,$A282))</f>
        <v/>
      </c>
      <c r="T282" s="19" t="str">
        <f aca="false">IF(OR($A282="",INDEX(_LEITURA!$Q$2:$Q$21,10)=0),"",SUMIFS(DECKS!$D$2:$D$1201,DECKS!$A$2:$A$1201,INDEX(_LEITURA!$P$2:$P$21,10),DECKS!$B$2:$B$1201,$A282))</f>
        <v/>
      </c>
      <c r="U282" s="19" t="str">
        <f aca="false">IF(OR($A282="",INDEX(_LEITURA!$Q$2:$Q$21,11)=0),"",SUMIFS(DECKS!$D$2:$D$1201,DECKS!$A$2:$A$1201,INDEX(_LEITURA!$P$2:$P$21,11),DECKS!$B$2:$B$1201,$A282))</f>
        <v/>
      </c>
      <c r="V282" s="19" t="str">
        <f aca="false">IF(OR($A282="",INDEX(_LEITURA!$Q$2:$Q$21,12)=0),"",SUMIFS(DECKS!$D$2:$D$1201,DECKS!$A$2:$A$1201,INDEX(_LEITURA!$P$2:$P$21,12),DECKS!$B$2:$B$1201,$A282))</f>
        <v/>
      </c>
      <c r="W282" s="19" t="str">
        <f aca="false">IF(OR($A282="",INDEX(_LEITURA!$Q$2:$Q$21,13)=0),"",SUMIFS(DECKS!$D$2:$D$1201,DECKS!$A$2:$A$1201,INDEX(_LEITURA!$P$2:$P$21,13),DECKS!$B$2:$B$1201,$A282))</f>
        <v/>
      </c>
      <c r="X282" s="19" t="str">
        <f aca="false">IF(OR($A282="",INDEX(_LEITURA!$Q$2:$Q$21,14)=0),"",SUMIFS(DECKS!$D$2:$D$1201,DECKS!$A$2:$A$1201,INDEX(_LEITURA!$P$2:$P$21,14),DECKS!$B$2:$B$1201,$A282))</f>
        <v/>
      </c>
      <c r="Y282" s="19" t="str">
        <f aca="false">IF(OR($A282="",INDEX(_LEITURA!$Q$2:$Q$21,15)=0),"",SUMIFS(DECKS!$D$2:$D$1201,DECKS!$A$2:$A$1201,INDEX(_LEITURA!$P$2:$P$21,15),DECKS!$B$2:$B$1201,$A282))</f>
        <v/>
      </c>
      <c r="Z282" s="19" t="str">
        <f aca="false">IF(OR($A282="",INDEX(_LEITURA!$Q$2:$Q$21,16)=0),"",SUMIFS(DECKS!$D$2:$D$1201,DECKS!$A$2:$A$1201,INDEX(_LEITURA!$P$2:$P$21,16),DECKS!$B$2:$B$1201,$A282))</f>
        <v/>
      </c>
      <c r="AA282" s="19" t="str">
        <f aca="false">IF(OR($A282="",INDEX(_LEITURA!$Q$2:$Q$21,17)=0),"",SUMIFS(DECKS!$D$2:$D$1201,DECKS!$A$2:$A$1201,INDEX(_LEITURA!$P$2:$P$21,17),DECKS!$B$2:$B$1201,$A282))</f>
        <v/>
      </c>
      <c r="AB282" s="19" t="str">
        <f aca="false">IF(OR($A282="",INDEX(_LEITURA!$Q$2:$Q$21,18)=0),"",SUMIFS(DECKS!$D$2:$D$1201,DECKS!$A$2:$A$1201,INDEX(_LEITURA!$P$2:$P$21,18),DECKS!$B$2:$B$1201,$A282))</f>
        <v/>
      </c>
      <c r="AC282" s="19" t="str">
        <f aca="false">IF(OR($A282="",INDEX(_LEITURA!$Q$2:$Q$21,19)=0),"",SUMIFS(DECKS!$D$2:$D$1201,DECKS!$A$2:$A$1201,INDEX(_LEITURA!$P$2:$P$21,19),DECKS!$B$2:$B$1201,$A282))</f>
        <v/>
      </c>
      <c r="AD282" s="19" t="str">
        <f aca="false">IF(OR($A282="",INDEX(_LEITURA!$Q$2:$Q$21,20)=0),"",SUMIFS(DECKS!$D$2:$D$1201,DECKS!$A$2:$A$1201,INDEX(_LEITURA!$P$2:$P$21,20),DECKS!$B$2:$B$1201,$A282))</f>
        <v/>
      </c>
      <c r="AE282" s="16" t="str">
        <f aca="false">IF(N(E282)&gt;0,MAX(AE$1:AE281)+1,"")</f>
        <v/>
      </c>
      <c r="AF282" s="11" t="str">
        <f aca="false">IF(A282="","",IFERROR(LEFT(A282,FIND("-",A282)-1),A282))</f>
        <v/>
      </c>
      <c r="AG282" s="11" t="str">
        <f aca="false">IF(AF282="","",IF(ISNUMBER(--MID(AF282,1,1)),0,IF(ISNUMBER(--MID(AF282,2,1)),1,IF(ISNUMBER(--MID(AF282,3,1)),2,IF(ISNUMBER(--MID(AF282,4,1)),3,MIN(LEN(AF282),4))))))</f>
        <v/>
      </c>
      <c r="AH282" s="11" t="str">
        <f aca="false">IF(A282="","",LEFT(AF282,AG282)&amp;REPT("0",4-AG282)&amp;RIGHT("000"&amp;IFERROR(VALUE(MID(AF282,AG282+1,9)),0),3)&amp;RIGHT("0000"&amp;IFERROR(VALUE(MID(A282,FIND("-",A282)+1,9)),0),4))</f>
        <v/>
      </c>
      <c r="AI282" s="11" t="str">
        <f aca="false">IF(OR(A282="",N(E282)&lt;=0),"",IF('FALTAS GERAL'!$M$1="Código","K"&amp;AH282&amp;RIGHT("00000"&amp;ROW(),5),IF('FALTAS GERAL'!$M$1="Nome","K"&amp;UPPER(SUBSTITUTE(SUBSTITUTE(SUBSTITUTE(B282,"*",""),"?",""),"~",""))&amp;"0"&amp;AH282&amp;RIGHT("00000"&amp;ROW(),5),IF('FALTAS GERAL'!$M$1="Falta (maior primeiro)","K"&amp;RIGHT("0000"&amp;(9999-E282),4)&amp;AH282&amp;RIGHT("00000"&amp;ROW(),5),IF('FALTAS GERAL'!$M$1="Nº de decks (maior primeiro)","K"&amp;RIGHT("00"&amp;(99-N(G282)),2)&amp;AH282&amp;RIGHT("00000"&amp;ROW(),5),"K"&amp;RIGHT("00000"&amp;ROW(),5))))))</f>
        <v/>
      </c>
      <c r="AJ282" s="11" t="str">
        <f aca="false">IF(AI282="","",COUNTIFS($AI$2:$AI$801,"&lt;"&amp;AI282,$E$2:$E$801,"&gt;0")+1)</f>
        <v/>
      </c>
      <c r="AK282" s="11" t="str">
        <f aca="false">IF(OR(A282="",N(E282)&lt;=0),"",COUNTIFS($AH$2:$AH$801,"&lt;"&amp;AH282,$E$2:$E$801,"&gt;0")+COUNTIFS($AH$2:AH282,AH282,$E$2:E282,"&gt;0"))</f>
        <v/>
      </c>
    </row>
    <row r="283" customFormat="false" ht="15" hidden="false" customHeight="false" outlineLevel="0" collapsed="false">
      <c r="A283" s="11" t="str">
        <f aca="false">IF(INVENTÁRIO!A283="","",INVENTÁRIO!A283)</f>
        <v/>
      </c>
      <c r="B283" s="11" t="str">
        <f aca="false">IF(A283="","",INVENTÁRIO!B283)</f>
        <v/>
      </c>
      <c r="C283" s="16" t="str">
        <f aca="false">IF(A283="","",INVENTÁRIO!C283)</f>
        <v/>
      </c>
      <c r="D283" s="14" t="str">
        <f aca="false">IF(A283="","",MAX(K283:AD283))</f>
        <v/>
      </c>
      <c r="E283" s="14" t="str">
        <f aca="false">IF(A283="","",MAX(0,D283-C283))</f>
        <v/>
      </c>
      <c r="F283" s="16" t="str">
        <f aca="false">IF(A283="","",IF(D283=0,"Fora dos decks",IF(E283=0,"Completo","Falta")))</f>
        <v/>
      </c>
      <c r="G283" s="16" t="str">
        <f aca="false">IF(A283="","",COUNTIF(K283:AD283,"&gt;0"))</f>
        <v/>
      </c>
      <c r="H283" s="16" t="str">
        <f aca="false">IF(A283="","",IF(G283&gt;1,"Sim",""))</f>
        <v/>
      </c>
      <c r="I283" s="18" t="str">
        <f aca="false">IF(A283="","",SUMIFS(DECKS!$D$2:$D$1201,DECKS!$B$2:$B$1201,A283))</f>
        <v/>
      </c>
      <c r="J283" s="18" t="str">
        <f aca="false">IF(A283="","",MAX(0,I283-C283))</f>
        <v/>
      </c>
      <c r="K283" s="19" t="str">
        <f aca="false">IF(OR($A283="",INDEX(_LEITURA!$Q$2:$Q$21,1)=0),"",SUMIFS(DECKS!$D$2:$D$1201,DECKS!$A$2:$A$1201,INDEX(_LEITURA!$P$2:$P$21,1),DECKS!$B$2:$B$1201,$A283))</f>
        <v/>
      </c>
      <c r="L283" s="19" t="str">
        <f aca="false">IF(OR($A283="",INDEX(_LEITURA!$Q$2:$Q$21,2)=0),"",SUMIFS(DECKS!$D$2:$D$1201,DECKS!$A$2:$A$1201,INDEX(_LEITURA!$P$2:$P$21,2),DECKS!$B$2:$B$1201,$A283))</f>
        <v/>
      </c>
      <c r="M283" s="19" t="str">
        <f aca="false">IF(OR($A283="",INDEX(_LEITURA!$Q$2:$Q$21,3)=0),"",SUMIFS(DECKS!$D$2:$D$1201,DECKS!$A$2:$A$1201,INDEX(_LEITURA!$P$2:$P$21,3),DECKS!$B$2:$B$1201,$A283))</f>
        <v/>
      </c>
      <c r="N283" s="19" t="str">
        <f aca="false">IF(OR($A283="",INDEX(_LEITURA!$Q$2:$Q$21,4)=0),"",SUMIFS(DECKS!$D$2:$D$1201,DECKS!$A$2:$A$1201,INDEX(_LEITURA!$P$2:$P$21,4),DECKS!$B$2:$B$1201,$A283))</f>
        <v/>
      </c>
      <c r="O283" s="19" t="str">
        <f aca="false">IF(OR($A283="",INDEX(_LEITURA!$Q$2:$Q$21,5)=0),"",SUMIFS(DECKS!$D$2:$D$1201,DECKS!$A$2:$A$1201,INDEX(_LEITURA!$P$2:$P$21,5),DECKS!$B$2:$B$1201,$A283))</f>
        <v/>
      </c>
      <c r="P283" s="19" t="str">
        <f aca="false">IF(OR($A283="",INDEX(_LEITURA!$Q$2:$Q$21,6)=0),"",SUMIFS(DECKS!$D$2:$D$1201,DECKS!$A$2:$A$1201,INDEX(_LEITURA!$P$2:$P$21,6),DECKS!$B$2:$B$1201,$A283))</f>
        <v/>
      </c>
      <c r="Q283" s="19" t="str">
        <f aca="false">IF(OR($A283="",INDEX(_LEITURA!$Q$2:$Q$21,7)=0),"",SUMIFS(DECKS!$D$2:$D$1201,DECKS!$A$2:$A$1201,INDEX(_LEITURA!$P$2:$P$21,7),DECKS!$B$2:$B$1201,$A283))</f>
        <v/>
      </c>
      <c r="R283" s="19" t="str">
        <f aca="false">IF(OR($A283="",INDEX(_LEITURA!$Q$2:$Q$21,8)=0),"",SUMIFS(DECKS!$D$2:$D$1201,DECKS!$A$2:$A$1201,INDEX(_LEITURA!$P$2:$P$21,8),DECKS!$B$2:$B$1201,$A283))</f>
        <v/>
      </c>
      <c r="S283" s="19" t="str">
        <f aca="false">IF(OR($A283="",INDEX(_LEITURA!$Q$2:$Q$21,9)=0),"",SUMIFS(DECKS!$D$2:$D$1201,DECKS!$A$2:$A$1201,INDEX(_LEITURA!$P$2:$P$21,9),DECKS!$B$2:$B$1201,$A283))</f>
        <v/>
      </c>
      <c r="T283" s="19" t="str">
        <f aca="false">IF(OR($A283="",INDEX(_LEITURA!$Q$2:$Q$21,10)=0),"",SUMIFS(DECKS!$D$2:$D$1201,DECKS!$A$2:$A$1201,INDEX(_LEITURA!$P$2:$P$21,10),DECKS!$B$2:$B$1201,$A283))</f>
        <v/>
      </c>
      <c r="U283" s="19" t="str">
        <f aca="false">IF(OR($A283="",INDEX(_LEITURA!$Q$2:$Q$21,11)=0),"",SUMIFS(DECKS!$D$2:$D$1201,DECKS!$A$2:$A$1201,INDEX(_LEITURA!$P$2:$P$21,11),DECKS!$B$2:$B$1201,$A283))</f>
        <v/>
      </c>
      <c r="V283" s="19" t="str">
        <f aca="false">IF(OR($A283="",INDEX(_LEITURA!$Q$2:$Q$21,12)=0),"",SUMIFS(DECKS!$D$2:$D$1201,DECKS!$A$2:$A$1201,INDEX(_LEITURA!$P$2:$P$21,12),DECKS!$B$2:$B$1201,$A283))</f>
        <v/>
      </c>
      <c r="W283" s="19" t="str">
        <f aca="false">IF(OR($A283="",INDEX(_LEITURA!$Q$2:$Q$21,13)=0),"",SUMIFS(DECKS!$D$2:$D$1201,DECKS!$A$2:$A$1201,INDEX(_LEITURA!$P$2:$P$21,13),DECKS!$B$2:$B$1201,$A283))</f>
        <v/>
      </c>
      <c r="X283" s="19" t="str">
        <f aca="false">IF(OR($A283="",INDEX(_LEITURA!$Q$2:$Q$21,14)=0),"",SUMIFS(DECKS!$D$2:$D$1201,DECKS!$A$2:$A$1201,INDEX(_LEITURA!$P$2:$P$21,14),DECKS!$B$2:$B$1201,$A283))</f>
        <v/>
      </c>
      <c r="Y283" s="19" t="str">
        <f aca="false">IF(OR($A283="",INDEX(_LEITURA!$Q$2:$Q$21,15)=0),"",SUMIFS(DECKS!$D$2:$D$1201,DECKS!$A$2:$A$1201,INDEX(_LEITURA!$P$2:$P$21,15),DECKS!$B$2:$B$1201,$A283))</f>
        <v/>
      </c>
      <c r="Z283" s="19" t="str">
        <f aca="false">IF(OR($A283="",INDEX(_LEITURA!$Q$2:$Q$21,16)=0),"",SUMIFS(DECKS!$D$2:$D$1201,DECKS!$A$2:$A$1201,INDEX(_LEITURA!$P$2:$P$21,16),DECKS!$B$2:$B$1201,$A283))</f>
        <v/>
      </c>
      <c r="AA283" s="19" t="str">
        <f aca="false">IF(OR($A283="",INDEX(_LEITURA!$Q$2:$Q$21,17)=0),"",SUMIFS(DECKS!$D$2:$D$1201,DECKS!$A$2:$A$1201,INDEX(_LEITURA!$P$2:$P$21,17),DECKS!$B$2:$B$1201,$A283))</f>
        <v/>
      </c>
      <c r="AB283" s="19" t="str">
        <f aca="false">IF(OR($A283="",INDEX(_LEITURA!$Q$2:$Q$21,18)=0),"",SUMIFS(DECKS!$D$2:$D$1201,DECKS!$A$2:$A$1201,INDEX(_LEITURA!$P$2:$P$21,18),DECKS!$B$2:$B$1201,$A283))</f>
        <v/>
      </c>
      <c r="AC283" s="19" t="str">
        <f aca="false">IF(OR($A283="",INDEX(_LEITURA!$Q$2:$Q$21,19)=0),"",SUMIFS(DECKS!$D$2:$D$1201,DECKS!$A$2:$A$1201,INDEX(_LEITURA!$P$2:$P$21,19),DECKS!$B$2:$B$1201,$A283))</f>
        <v/>
      </c>
      <c r="AD283" s="19" t="str">
        <f aca="false">IF(OR($A283="",INDEX(_LEITURA!$Q$2:$Q$21,20)=0),"",SUMIFS(DECKS!$D$2:$D$1201,DECKS!$A$2:$A$1201,INDEX(_LEITURA!$P$2:$P$21,20),DECKS!$B$2:$B$1201,$A283))</f>
        <v/>
      </c>
      <c r="AE283" s="16" t="str">
        <f aca="false">IF(N(E283)&gt;0,MAX(AE$1:AE282)+1,"")</f>
        <v/>
      </c>
      <c r="AF283" s="11" t="str">
        <f aca="false">IF(A283="","",IFERROR(LEFT(A283,FIND("-",A283)-1),A283))</f>
        <v/>
      </c>
      <c r="AG283" s="11" t="str">
        <f aca="false">IF(AF283="","",IF(ISNUMBER(--MID(AF283,1,1)),0,IF(ISNUMBER(--MID(AF283,2,1)),1,IF(ISNUMBER(--MID(AF283,3,1)),2,IF(ISNUMBER(--MID(AF283,4,1)),3,MIN(LEN(AF283),4))))))</f>
        <v/>
      </c>
      <c r="AH283" s="11" t="str">
        <f aca="false">IF(A283="","",LEFT(AF283,AG283)&amp;REPT("0",4-AG283)&amp;RIGHT("000"&amp;IFERROR(VALUE(MID(AF283,AG283+1,9)),0),3)&amp;RIGHT("0000"&amp;IFERROR(VALUE(MID(A283,FIND("-",A283)+1,9)),0),4))</f>
        <v/>
      </c>
      <c r="AI283" s="11" t="str">
        <f aca="false">IF(OR(A283="",N(E283)&lt;=0),"",IF('FALTAS GERAL'!$M$1="Código","K"&amp;AH283&amp;RIGHT("00000"&amp;ROW(),5),IF('FALTAS GERAL'!$M$1="Nome","K"&amp;UPPER(SUBSTITUTE(SUBSTITUTE(SUBSTITUTE(B283,"*",""),"?",""),"~",""))&amp;"0"&amp;AH283&amp;RIGHT("00000"&amp;ROW(),5),IF('FALTAS GERAL'!$M$1="Falta (maior primeiro)","K"&amp;RIGHT("0000"&amp;(9999-E283),4)&amp;AH283&amp;RIGHT("00000"&amp;ROW(),5),IF('FALTAS GERAL'!$M$1="Nº de decks (maior primeiro)","K"&amp;RIGHT("00"&amp;(99-N(G283)),2)&amp;AH283&amp;RIGHT("00000"&amp;ROW(),5),"K"&amp;RIGHT("00000"&amp;ROW(),5))))))</f>
        <v/>
      </c>
      <c r="AJ283" s="11" t="str">
        <f aca="false">IF(AI283="","",COUNTIFS($AI$2:$AI$801,"&lt;"&amp;AI283,$E$2:$E$801,"&gt;0")+1)</f>
        <v/>
      </c>
      <c r="AK283" s="11" t="str">
        <f aca="false">IF(OR(A283="",N(E283)&lt;=0),"",COUNTIFS($AH$2:$AH$801,"&lt;"&amp;AH283,$E$2:$E$801,"&gt;0")+COUNTIFS($AH$2:AH283,AH283,$E$2:E283,"&gt;0"))</f>
        <v/>
      </c>
    </row>
    <row r="284" customFormat="false" ht="15" hidden="false" customHeight="false" outlineLevel="0" collapsed="false">
      <c r="A284" s="11" t="str">
        <f aca="false">IF(INVENTÁRIO!A284="","",INVENTÁRIO!A284)</f>
        <v/>
      </c>
      <c r="B284" s="11" t="str">
        <f aca="false">IF(A284="","",INVENTÁRIO!B284)</f>
        <v/>
      </c>
      <c r="C284" s="16" t="str">
        <f aca="false">IF(A284="","",INVENTÁRIO!C284)</f>
        <v/>
      </c>
      <c r="D284" s="14" t="str">
        <f aca="false">IF(A284="","",MAX(K284:AD284))</f>
        <v/>
      </c>
      <c r="E284" s="14" t="str">
        <f aca="false">IF(A284="","",MAX(0,D284-C284))</f>
        <v/>
      </c>
      <c r="F284" s="16" t="str">
        <f aca="false">IF(A284="","",IF(D284=0,"Fora dos decks",IF(E284=0,"Completo","Falta")))</f>
        <v/>
      </c>
      <c r="G284" s="16" t="str">
        <f aca="false">IF(A284="","",COUNTIF(K284:AD284,"&gt;0"))</f>
        <v/>
      </c>
      <c r="H284" s="16" t="str">
        <f aca="false">IF(A284="","",IF(G284&gt;1,"Sim",""))</f>
        <v/>
      </c>
      <c r="I284" s="18" t="str">
        <f aca="false">IF(A284="","",SUMIFS(DECKS!$D$2:$D$1201,DECKS!$B$2:$B$1201,A284))</f>
        <v/>
      </c>
      <c r="J284" s="18" t="str">
        <f aca="false">IF(A284="","",MAX(0,I284-C284))</f>
        <v/>
      </c>
      <c r="K284" s="19" t="str">
        <f aca="false">IF(OR($A284="",INDEX(_LEITURA!$Q$2:$Q$21,1)=0),"",SUMIFS(DECKS!$D$2:$D$1201,DECKS!$A$2:$A$1201,INDEX(_LEITURA!$P$2:$P$21,1),DECKS!$B$2:$B$1201,$A284))</f>
        <v/>
      </c>
      <c r="L284" s="19" t="str">
        <f aca="false">IF(OR($A284="",INDEX(_LEITURA!$Q$2:$Q$21,2)=0),"",SUMIFS(DECKS!$D$2:$D$1201,DECKS!$A$2:$A$1201,INDEX(_LEITURA!$P$2:$P$21,2),DECKS!$B$2:$B$1201,$A284))</f>
        <v/>
      </c>
      <c r="M284" s="19" t="str">
        <f aca="false">IF(OR($A284="",INDEX(_LEITURA!$Q$2:$Q$21,3)=0),"",SUMIFS(DECKS!$D$2:$D$1201,DECKS!$A$2:$A$1201,INDEX(_LEITURA!$P$2:$P$21,3),DECKS!$B$2:$B$1201,$A284))</f>
        <v/>
      </c>
      <c r="N284" s="19" t="str">
        <f aca="false">IF(OR($A284="",INDEX(_LEITURA!$Q$2:$Q$21,4)=0),"",SUMIFS(DECKS!$D$2:$D$1201,DECKS!$A$2:$A$1201,INDEX(_LEITURA!$P$2:$P$21,4),DECKS!$B$2:$B$1201,$A284))</f>
        <v/>
      </c>
      <c r="O284" s="19" t="str">
        <f aca="false">IF(OR($A284="",INDEX(_LEITURA!$Q$2:$Q$21,5)=0),"",SUMIFS(DECKS!$D$2:$D$1201,DECKS!$A$2:$A$1201,INDEX(_LEITURA!$P$2:$P$21,5),DECKS!$B$2:$B$1201,$A284))</f>
        <v/>
      </c>
      <c r="P284" s="19" t="str">
        <f aca="false">IF(OR($A284="",INDEX(_LEITURA!$Q$2:$Q$21,6)=0),"",SUMIFS(DECKS!$D$2:$D$1201,DECKS!$A$2:$A$1201,INDEX(_LEITURA!$P$2:$P$21,6),DECKS!$B$2:$B$1201,$A284))</f>
        <v/>
      </c>
      <c r="Q284" s="19" t="str">
        <f aca="false">IF(OR($A284="",INDEX(_LEITURA!$Q$2:$Q$21,7)=0),"",SUMIFS(DECKS!$D$2:$D$1201,DECKS!$A$2:$A$1201,INDEX(_LEITURA!$P$2:$P$21,7),DECKS!$B$2:$B$1201,$A284))</f>
        <v/>
      </c>
      <c r="R284" s="19" t="str">
        <f aca="false">IF(OR($A284="",INDEX(_LEITURA!$Q$2:$Q$21,8)=0),"",SUMIFS(DECKS!$D$2:$D$1201,DECKS!$A$2:$A$1201,INDEX(_LEITURA!$P$2:$P$21,8),DECKS!$B$2:$B$1201,$A284))</f>
        <v/>
      </c>
      <c r="S284" s="19" t="str">
        <f aca="false">IF(OR($A284="",INDEX(_LEITURA!$Q$2:$Q$21,9)=0),"",SUMIFS(DECKS!$D$2:$D$1201,DECKS!$A$2:$A$1201,INDEX(_LEITURA!$P$2:$P$21,9),DECKS!$B$2:$B$1201,$A284))</f>
        <v/>
      </c>
      <c r="T284" s="19" t="str">
        <f aca="false">IF(OR($A284="",INDEX(_LEITURA!$Q$2:$Q$21,10)=0),"",SUMIFS(DECKS!$D$2:$D$1201,DECKS!$A$2:$A$1201,INDEX(_LEITURA!$P$2:$P$21,10),DECKS!$B$2:$B$1201,$A284))</f>
        <v/>
      </c>
      <c r="U284" s="19" t="str">
        <f aca="false">IF(OR($A284="",INDEX(_LEITURA!$Q$2:$Q$21,11)=0),"",SUMIFS(DECKS!$D$2:$D$1201,DECKS!$A$2:$A$1201,INDEX(_LEITURA!$P$2:$P$21,11),DECKS!$B$2:$B$1201,$A284))</f>
        <v/>
      </c>
      <c r="V284" s="19" t="str">
        <f aca="false">IF(OR($A284="",INDEX(_LEITURA!$Q$2:$Q$21,12)=0),"",SUMIFS(DECKS!$D$2:$D$1201,DECKS!$A$2:$A$1201,INDEX(_LEITURA!$P$2:$P$21,12),DECKS!$B$2:$B$1201,$A284))</f>
        <v/>
      </c>
      <c r="W284" s="19" t="str">
        <f aca="false">IF(OR($A284="",INDEX(_LEITURA!$Q$2:$Q$21,13)=0),"",SUMIFS(DECKS!$D$2:$D$1201,DECKS!$A$2:$A$1201,INDEX(_LEITURA!$P$2:$P$21,13),DECKS!$B$2:$B$1201,$A284))</f>
        <v/>
      </c>
      <c r="X284" s="19" t="str">
        <f aca="false">IF(OR($A284="",INDEX(_LEITURA!$Q$2:$Q$21,14)=0),"",SUMIFS(DECKS!$D$2:$D$1201,DECKS!$A$2:$A$1201,INDEX(_LEITURA!$P$2:$P$21,14),DECKS!$B$2:$B$1201,$A284))</f>
        <v/>
      </c>
      <c r="Y284" s="19" t="str">
        <f aca="false">IF(OR($A284="",INDEX(_LEITURA!$Q$2:$Q$21,15)=0),"",SUMIFS(DECKS!$D$2:$D$1201,DECKS!$A$2:$A$1201,INDEX(_LEITURA!$P$2:$P$21,15),DECKS!$B$2:$B$1201,$A284))</f>
        <v/>
      </c>
      <c r="Z284" s="19" t="str">
        <f aca="false">IF(OR($A284="",INDEX(_LEITURA!$Q$2:$Q$21,16)=0),"",SUMIFS(DECKS!$D$2:$D$1201,DECKS!$A$2:$A$1201,INDEX(_LEITURA!$P$2:$P$21,16),DECKS!$B$2:$B$1201,$A284))</f>
        <v/>
      </c>
      <c r="AA284" s="19" t="str">
        <f aca="false">IF(OR($A284="",INDEX(_LEITURA!$Q$2:$Q$21,17)=0),"",SUMIFS(DECKS!$D$2:$D$1201,DECKS!$A$2:$A$1201,INDEX(_LEITURA!$P$2:$P$21,17),DECKS!$B$2:$B$1201,$A284))</f>
        <v/>
      </c>
      <c r="AB284" s="19" t="str">
        <f aca="false">IF(OR($A284="",INDEX(_LEITURA!$Q$2:$Q$21,18)=0),"",SUMIFS(DECKS!$D$2:$D$1201,DECKS!$A$2:$A$1201,INDEX(_LEITURA!$P$2:$P$21,18),DECKS!$B$2:$B$1201,$A284))</f>
        <v/>
      </c>
      <c r="AC284" s="19" t="str">
        <f aca="false">IF(OR($A284="",INDEX(_LEITURA!$Q$2:$Q$21,19)=0),"",SUMIFS(DECKS!$D$2:$D$1201,DECKS!$A$2:$A$1201,INDEX(_LEITURA!$P$2:$P$21,19),DECKS!$B$2:$B$1201,$A284))</f>
        <v/>
      </c>
      <c r="AD284" s="19" t="str">
        <f aca="false">IF(OR($A284="",INDEX(_LEITURA!$Q$2:$Q$21,20)=0),"",SUMIFS(DECKS!$D$2:$D$1201,DECKS!$A$2:$A$1201,INDEX(_LEITURA!$P$2:$P$21,20),DECKS!$B$2:$B$1201,$A284))</f>
        <v/>
      </c>
      <c r="AE284" s="16" t="str">
        <f aca="false">IF(N(E284)&gt;0,MAX(AE$1:AE283)+1,"")</f>
        <v/>
      </c>
      <c r="AF284" s="11" t="str">
        <f aca="false">IF(A284="","",IFERROR(LEFT(A284,FIND("-",A284)-1),A284))</f>
        <v/>
      </c>
      <c r="AG284" s="11" t="str">
        <f aca="false">IF(AF284="","",IF(ISNUMBER(--MID(AF284,1,1)),0,IF(ISNUMBER(--MID(AF284,2,1)),1,IF(ISNUMBER(--MID(AF284,3,1)),2,IF(ISNUMBER(--MID(AF284,4,1)),3,MIN(LEN(AF284),4))))))</f>
        <v/>
      </c>
      <c r="AH284" s="11" t="str">
        <f aca="false">IF(A284="","",LEFT(AF284,AG284)&amp;REPT("0",4-AG284)&amp;RIGHT("000"&amp;IFERROR(VALUE(MID(AF284,AG284+1,9)),0),3)&amp;RIGHT("0000"&amp;IFERROR(VALUE(MID(A284,FIND("-",A284)+1,9)),0),4))</f>
        <v/>
      </c>
      <c r="AI284" s="11" t="str">
        <f aca="false">IF(OR(A284="",N(E284)&lt;=0),"",IF('FALTAS GERAL'!$M$1="Código","K"&amp;AH284&amp;RIGHT("00000"&amp;ROW(),5),IF('FALTAS GERAL'!$M$1="Nome","K"&amp;UPPER(SUBSTITUTE(SUBSTITUTE(SUBSTITUTE(B284,"*",""),"?",""),"~",""))&amp;"0"&amp;AH284&amp;RIGHT("00000"&amp;ROW(),5),IF('FALTAS GERAL'!$M$1="Falta (maior primeiro)","K"&amp;RIGHT("0000"&amp;(9999-E284),4)&amp;AH284&amp;RIGHT("00000"&amp;ROW(),5),IF('FALTAS GERAL'!$M$1="Nº de decks (maior primeiro)","K"&amp;RIGHT("00"&amp;(99-N(G284)),2)&amp;AH284&amp;RIGHT("00000"&amp;ROW(),5),"K"&amp;RIGHT("00000"&amp;ROW(),5))))))</f>
        <v/>
      </c>
      <c r="AJ284" s="11" t="str">
        <f aca="false">IF(AI284="","",COUNTIFS($AI$2:$AI$801,"&lt;"&amp;AI284,$E$2:$E$801,"&gt;0")+1)</f>
        <v/>
      </c>
      <c r="AK284" s="11" t="str">
        <f aca="false">IF(OR(A284="",N(E284)&lt;=0),"",COUNTIFS($AH$2:$AH$801,"&lt;"&amp;AH284,$E$2:$E$801,"&gt;0")+COUNTIFS($AH$2:AH284,AH284,$E$2:E284,"&gt;0"))</f>
        <v/>
      </c>
    </row>
    <row r="285" customFormat="false" ht="15" hidden="false" customHeight="false" outlineLevel="0" collapsed="false">
      <c r="A285" s="11" t="str">
        <f aca="false">IF(INVENTÁRIO!A285="","",INVENTÁRIO!A285)</f>
        <v/>
      </c>
      <c r="B285" s="11" t="str">
        <f aca="false">IF(A285="","",INVENTÁRIO!B285)</f>
        <v/>
      </c>
      <c r="C285" s="16" t="str">
        <f aca="false">IF(A285="","",INVENTÁRIO!C285)</f>
        <v/>
      </c>
      <c r="D285" s="14" t="str">
        <f aca="false">IF(A285="","",MAX(K285:AD285))</f>
        <v/>
      </c>
      <c r="E285" s="14" t="str">
        <f aca="false">IF(A285="","",MAX(0,D285-C285))</f>
        <v/>
      </c>
      <c r="F285" s="16" t="str">
        <f aca="false">IF(A285="","",IF(D285=0,"Fora dos decks",IF(E285=0,"Completo","Falta")))</f>
        <v/>
      </c>
      <c r="G285" s="16" t="str">
        <f aca="false">IF(A285="","",COUNTIF(K285:AD285,"&gt;0"))</f>
        <v/>
      </c>
      <c r="H285" s="16" t="str">
        <f aca="false">IF(A285="","",IF(G285&gt;1,"Sim",""))</f>
        <v/>
      </c>
      <c r="I285" s="18" t="str">
        <f aca="false">IF(A285="","",SUMIFS(DECKS!$D$2:$D$1201,DECKS!$B$2:$B$1201,A285))</f>
        <v/>
      </c>
      <c r="J285" s="18" t="str">
        <f aca="false">IF(A285="","",MAX(0,I285-C285))</f>
        <v/>
      </c>
      <c r="K285" s="19" t="str">
        <f aca="false">IF(OR($A285="",INDEX(_LEITURA!$Q$2:$Q$21,1)=0),"",SUMIFS(DECKS!$D$2:$D$1201,DECKS!$A$2:$A$1201,INDEX(_LEITURA!$P$2:$P$21,1),DECKS!$B$2:$B$1201,$A285))</f>
        <v/>
      </c>
      <c r="L285" s="19" t="str">
        <f aca="false">IF(OR($A285="",INDEX(_LEITURA!$Q$2:$Q$21,2)=0),"",SUMIFS(DECKS!$D$2:$D$1201,DECKS!$A$2:$A$1201,INDEX(_LEITURA!$P$2:$P$21,2),DECKS!$B$2:$B$1201,$A285))</f>
        <v/>
      </c>
      <c r="M285" s="19" t="str">
        <f aca="false">IF(OR($A285="",INDEX(_LEITURA!$Q$2:$Q$21,3)=0),"",SUMIFS(DECKS!$D$2:$D$1201,DECKS!$A$2:$A$1201,INDEX(_LEITURA!$P$2:$P$21,3),DECKS!$B$2:$B$1201,$A285))</f>
        <v/>
      </c>
      <c r="N285" s="19" t="str">
        <f aca="false">IF(OR($A285="",INDEX(_LEITURA!$Q$2:$Q$21,4)=0),"",SUMIFS(DECKS!$D$2:$D$1201,DECKS!$A$2:$A$1201,INDEX(_LEITURA!$P$2:$P$21,4),DECKS!$B$2:$B$1201,$A285))</f>
        <v/>
      </c>
      <c r="O285" s="19" t="str">
        <f aca="false">IF(OR($A285="",INDEX(_LEITURA!$Q$2:$Q$21,5)=0),"",SUMIFS(DECKS!$D$2:$D$1201,DECKS!$A$2:$A$1201,INDEX(_LEITURA!$P$2:$P$21,5),DECKS!$B$2:$B$1201,$A285))</f>
        <v/>
      </c>
      <c r="P285" s="19" t="str">
        <f aca="false">IF(OR($A285="",INDEX(_LEITURA!$Q$2:$Q$21,6)=0),"",SUMIFS(DECKS!$D$2:$D$1201,DECKS!$A$2:$A$1201,INDEX(_LEITURA!$P$2:$P$21,6),DECKS!$B$2:$B$1201,$A285))</f>
        <v/>
      </c>
      <c r="Q285" s="19" t="str">
        <f aca="false">IF(OR($A285="",INDEX(_LEITURA!$Q$2:$Q$21,7)=0),"",SUMIFS(DECKS!$D$2:$D$1201,DECKS!$A$2:$A$1201,INDEX(_LEITURA!$P$2:$P$21,7),DECKS!$B$2:$B$1201,$A285))</f>
        <v/>
      </c>
      <c r="R285" s="19" t="str">
        <f aca="false">IF(OR($A285="",INDEX(_LEITURA!$Q$2:$Q$21,8)=0),"",SUMIFS(DECKS!$D$2:$D$1201,DECKS!$A$2:$A$1201,INDEX(_LEITURA!$P$2:$P$21,8),DECKS!$B$2:$B$1201,$A285))</f>
        <v/>
      </c>
      <c r="S285" s="19" t="str">
        <f aca="false">IF(OR($A285="",INDEX(_LEITURA!$Q$2:$Q$21,9)=0),"",SUMIFS(DECKS!$D$2:$D$1201,DECKS!$A$2:$A$1201,INDEX(_LEITURA!$P$2:$P$21,9),DECKS!$B$2:$B$1201,$A285))</f>
        <v/>
      </c>
      <c r="T285" s="19" t="str">
        <f aca="false">IF(OR($A285="",INDEX(_LEITURA!$Q$2:$Q$21,10)=0),"",SUMIFS(DECKS!$D$2:$D$1201,DECKS!$A$2:$A$1201,INDEX(_LEITURA!$P$2:$P$21,10),DECKS!$B$2:$B$1201,$A285))</f>
        <v/>
      </c>
      <c r="U285" s="19" t="str">
        <f aca="false">IF(OR($A285="",INDEX(_LEITURA!$Q$2:$Q$21,11)=0),"",SUMIFS(DECKS!$D$2:$D$1201,DECKS!$A$2:$A$1201,INDEX(_LEITURA!$P$2:$P$21,11),DECKS!$B$2:$B$1201,$A285))</f>
        <v/>
      </c>
      <c r="V285" s="19" t="str">
        <f aca="false">IF(OR($A285="",INDEX(_LEITURA!$Q$2:$Q$21,12)=0),"",SUMIFS(DECKS!$D$2:$D$1201,DECKS!$A$2:$A$1201,INDEX(_LEITURA!$P$2:$P$21,12),DECKS!$B$2:$B$1201,$A285))</f>
        <v/>
      </c>
      <c r="W285" s="19" t="str">
        <f aca="false">IF(OR($A285="",INDEX(_LEITURA!$Q$2:$Q$21,13)=0),"",SUMIFS(DECKS!$D$2:$D$1201,DECKS!$A$2:$A$1201,INDEX(_LEITURA!$P$2:$P$21,13),DECKS!$B$2:$B$1201,$A285))</f>
        <v/>
      </c>
      <c r="X285" s="19" t="str">
        <f aca="false">IF(OR($A285="",INDEX(_LEITURA!$Q$2:$Q$21,14)=0),"",SUMIFS(DECKS!$D$2:$D$1201,DECKS!$A$2:$A$1201,INDEX(_LEITURA!$P$2:$P$21,14),DECKS!$B$2:$B$1201,$A285))</f>
        <v/>
      </c>
      <c r="Y285" s="19" t="str">
        <f aca="false">IF(OR($A285="",INDEX(_LEITURA!$Q$2:$Q$21,15)=0),"",SUMIFS(DECKS!$D$2:$D$1201,DECKS!$A$2:$A$1201,INDEX(_LEITURA!$P$2:$P$21,15),DECKS!$B$2:$B$1201,$A285))</f>
        <v/>
      </c>
      <c r="Z285" s="19" t="str">
        <f aca="false">IF(OR($A285="",INDEX(_LEITURA!$Q$2:$Q$21,16)=0),"",SUMIFS(DECKS!$D$2:$D$1201,DECKS!$A$2:$A$1201,INDEX(_LEITURA!$P$2:$P$21,16),DECKS!$B$2:$B$1201,$A285))</f>
        <v/>
      </c>
      <c r="AA285" s="19" t="str">
        <f aca="false">IF(OR($A285="",INDEX(_LEITURA!$Q$2:$Q$21,17)=0),"",SUMIFS(DECKS!$D$2:$D$1201,DECKS!$A$2:$A$1201,INDEX(_LEITURA!$P$2:$P$21,17),DECKS!$B$2:$B$1201,$A285))</f>
        <v/>
      </c>
      <c r="AB285" s="19" t="str">
        <f aca="false">IF(OR($A285="",INDEX(_LEITURA!$Q$2:$Q$21,18)=0),"",SUMIFS(DECKS!$D$2:$D$1201,DECKS!$A$2:$A$1201,INDEX(_LEITURA!$P$2:$P$21,18),DECKS!$B$2:$B$1201,$A285))</f>
        <v/>
      </c>
      <c r="AC285" s="19" t="str">
        <f aca="false">IF(OR($A285="",INDEX(_LEITURA!$Q$2:$Q$21,19)=0),"",SUMIFS(DECKS!$D$2:$D$1201,DECKS!$A$2:$A$1201,INDEX(_LEITURA!$P$2:$P$21,19),DECKS!$B$2:$B$1201,$A285))</f>
        <v/>
      </c>
      <c r="AD285" s="19" t="str">
        <f aca="false">IF(OR($A285="",INDEX(_LEITURA!$Q$2:$Q$21,20)=0),"",SUMIFS(DECKS!$D$2:$D$1201,DECKS!$A$2:$A$1201,INDEX(_LEITURA!$P$2:$P$21,20),DECKS!$B$2:$B$1201,$A285))</f>
        <v/>
      </c>
      <c r="AE285" s="16" t="str">
        <f aca="false">IF(N(E285)&gt;0,MAX(AE$1:AE284)+1,"")</f>
        <v/>
      </c>
      <c r="AF285" s="11" t="str">
        <f aca="false">IF(A285="","",IFERROR(LEFT(A285,FIND("-",A285)-1),A285))</f>
        <v/>
      </c>
      <c r="AG285" s="11" t="str">
        <f aca="false">IF(AF285="","",IF(ISNUMBER(--MID(AF285,1,1)),0,IF(ISNUMBER(--MID(AF285,2,1)),1,IF(ISNUMBER(--MID(AF285,3,1)),2,IF(ISNUMBER(--MID(AF285,4,1)),3,MIN(LEN(AF285),4))))))</f>
        <v/>
      </c>
      <c r="AH285" s="11" t="str">
        <f aca="false">IF(A285="","",LEFT(AF285,AG285)&amp;REPT("0",4-AG285)&amp;RIGHT("000"&amp;IFERROR(VALUE(MID(AF285,AG285+1,9)),0),3)&amp;RIGHT("0000"&amp;IFERROR(VALUE(MID(A285,FIND("-",A285)+1,9)),0),4))</f>
        <v/>
      </c>
      <c r="AI285" s="11" t="str">
        <f aca="false">IF(OR(A285="",N(E285)&lt;=0),"",IF('FALTAS GERAL'!$M$1="Código","K"&amp;AH285&amp;RIGHT("00000"&amp;ROW(),5),IF('FALTAS GERAL'!$M$1="Nome","K"&amp;UPPER(SUBSTITUTE(SUBSTITUTE(SUBSTITUTE(B285,"*",""),"?",""),"~",""))&amp;"0"&amp;AH285&amp;RIGHT("00000"&amp;ROW(),5),IF('FALTAS GERAL'!$M$1="Falta (maior primeiro)","K"&amp;RIGHT("0000"&amp;(9999-E285),4)&amp;AH285&amp;RIGHT("00000"&amp;ROW(),5),IF('FALTAS GERAL'!$M$1="Nº de decks (maior primeiro)","K"&amp;RIGHT("00"&amp;(99-N(G285)),2)&amp;AH285&amp;RIGHT("00000"&amp;ROW(),5),"K"&amp;RIGHT("00000"&amp;ROW(),5))))))</f>
        <v/>
      </c>
      <c r="AJ285" s="11" t="str">
        <f aca="false">IF(AI285="","",COUNTIFS($AI$2:$AI$801,"&lt;"&amp;AI285,$E$2:$E$801,"&gt;0")+1)</f>
        <v/>
      </c>
      <c r="AK285" s="11" t="str">
        <f aca="false">IF(OR(A285="",N(E285)&lt;=0),"",COUNTIFS($AH$2:$AH$801,"&lt;"&amp;AH285,$E$2:$E$801,"&gt;0")+COUNTIFS($AH$2:AH285,AH285,$E$2:E285,"&gt;0"))</f>
        <v/>
      </c>
    </row>
    <row r="286" customFormat="false" ht="15" hidden="false" customHeight="false" outlineLevel="0" collapsed="false">
      <c r="A286" s="11" t="str">
        <f aca="false">IF(INVENTÁRIO!A286="","",INVENTÁRIO!A286)</f>
        <v/>
      </c>
      <c r="B286" s="11" t="str">
        <f aca="false">IF(A286="","",INVENTÁRIO!B286)</f>
        <v/>
      </c>
      <c r="C286" s="16" t="str">
        <f aca="false">IF(A286="","",INVENTÁRIO!C286)</f>
        <v/>
      </c>
      <c r="D286" s="14" t="str">
        <f aca="false">IF(A286="","",MAX(K286:AD286))</f>
        <v/>
      </c>
      <c r="E286" s="14" t="str">
        <f aca="false">IF(A286="","",MAX(0,D286-C286))</f>
        <v/>
      </c>
      <c r="F286" s="16" t="str">
        <f aca="false">IF(A286="","",IF(D286=0,"Fora dos decks",IF(E286=0,"Completo","Falta")))</f>
        <v/>
      </c>
      <c r="G286" s="16" t="str">
        <f aca="false">IF(A286="","",COUNTIF(K286:AD286,"&gt;0"))</f>
        <v/>
      </c>
      <c r="H286" s="16" t="str">
        <f aca="false">IF(A286="","",IF(G286&gt;1,"Sim",""))</f>
        <v/>
      </c>
      <c r="I286" s="18" t="str">
        <f aca="false">IF(A286="","",SUMIFS(DECKS!$D$2:$D$1201,DECKS!$B$2:$B$1201,A286))</f>
        <v/>
      </c>
      <c r="J286" s="18" t="str">
        <f aca="false">IF(A286="","",MAX(0,I286-C286))</f>
        <v/>
      </c>
      <c r="K286" s="19" t="str">
        <f aca="false">IF(OR($A286="",INDEX(_LEITURA!$Q$2:$Q$21,1)=0),"",SUMIFS(DECKS!$D$2:$D$1201,DECKS!$A$2:$A$1201,INDEX(_LEITURA!$P$2:$P$21,1),DECKS!$B$2:$B$1201,$A286))</f>
        <v/>
      </c>
      <c r="L286" s="19" t="str">
        <f aca="false">IF(OR($A286="",INDEX(_LEITURA!$Q$2:$Q$21,2)=0),"",SUMIFS(DECKS!$D$2:$D$1201,DECKS!$A$2:$A$1201,INDEX(_LEITURA!$P$2:$P$21,2),DECKS!$B$2:$B$1201,$A286))</f>
        <v/>
      </c>
      <c r="M286" s="19" t="str">
        <f aca="false">IF(OR($A286="",INDEX(_LEITURA!$Q$2:$Q$21,3)=0),"",SUMIFS(DECKS!$D$2:$D$1201,DECKS!$A$2:$A$1201,INDEX(_LEITURA!$P$2:$P$21,3),DECKS!$B$2:$B$1201,$A286))</f>
        <v/>
      </c>
      <c r="N286" s="19" t="str">
        <f aca="false">IF(OR($A286="",INDEX(_LEITURA!$Q$2:$Q$21,4)=0),"",SUMIFS(DECKS!$D$2:$D$1201,DECKS!$A$2:$A$1201,INDEX(_LEITURA!$P$2:$P$21,4),DECKS!$B$2:$B$1201,$A286))</f>
        <v/>
      </c>
      <c r="O286" s="19" t="str">
        <f aca="false">IF(OR($A286="",INDEX(_LEITURA!$Q$2:$Q$21,5)=0),"",SUMIFS(DECKS!$D$2:$D$1201,DECKS!$A$2:$A$1201,INDEX(_LEITURA!$P$2:$P$21,5),DECKS!$B$2:$B$1201,$A286))</f>
        <v/>
      </c>
      <c r="P286" s="19" t="str">
        <f aca="false">IF(OR($A286="",INDEX(_LEITURA!$Q$2:$Q$21,6)=0),"",SUMIFS(DECKS!$D$2:$D$1201,DECKS!$A$2:$A$1201,INDEX(_LEITURA!$P$2:$P$21,6),DECKS!$B$2:$B$1201,$A286))</f>
        <v/>
      </c>
      <c r="Q286" s="19" t="str">
        <f aca="false">IF(OR($A286="",INDEX(_LEITURA!$Q$2:$Q$21,7)=0),"",SUMIFS(DECKS!$D$2:$D$1201,DECKS!$A$2:$A$1201,INDEX(_LEITURA!$P$2:$P$21,7),DECKS!$B$2:$B$1201,$A286))</f>
        <v/>
      </c>
      <c r="R286" s="19" t="str">
        <f aca="false">IF(OR($A286="",INDEX(_LEITURA!$Q$2:$Q$21,8)=0),"",SUMIFS(DECKS!$D$2:$D$1201,DECKS!$A$2:$A$1201,INDEX(_LEITURA!$P$2:$P$21,8),DECKS!$B$2:$B$1201,$A286))</f>
        <v/>
      </c>
      <c r="S286" s="19" t="str">
        <f aca="false">IF(OR($A286="",INDEX(_LEITURA!$Q$2:$Q$21,9)=0),"",SUMIFS(DECKS!$D$2:$D$1201,DECKS!$A$2:$A$1201,INDEX(_LEITURA!$P$2:$P$21,9),DECKS!$B$2:$B$1201,$A286))</f>
        <v/>
      </c>
      <c r="T286" s="19" t="str">
        <f aca="false">IF(OR($A286="",INDEX(_LEITURA!$Q$2:$Q$21,10)=0),"",SUMIFS(DECKS!$D$2:$D$1201,DECKS!$A$2:$A$1201,INDEX(_LEITURA!$P$2:$P$21,10),DECKS!$B$2:$B$1201,$A286))</f>
        <v/>
      </c>
      <c r="U286" s="19" t="str">
        <f aca="false">IF(OR($A286="",INDEX(_LEITURA!$Q$2:$Q$21,11)=0),"",SUMIFS(DECKS!$D$2:$D$1201,DECKS!$A$2:$A$1201,INDEX(_LEITURA!$P$2:$P$21,11),DECKS!$B$2:$B$1201,$A286))</f>
        <v/>
      </c>
      <c r="V286" s="19" t="str">
        <f aca="false">IF(OR($A286="",INDEX(_LEITURA!$Q$2:$Q$21,12)=0),"",SUMIFS(DECKS!$D$2:$D$1201,DECKS!$A$2:$A$1201,INDEX(_LEITURA!$P$2:$P$21,12),DECKS!$B$2:$B$1201,$A286))</f>
        <v/>
      </c>
      <c r="W286" s="19" t="str">
        <f aca="false">IF(OR($A286="",INDEX(_LEITURA!$Q$2:$Q$21,13)=0),"",SUMIFS(DECKS!$D$2:$D$1201,DECKS!$A$2:$A$1201,INDEX(_LEITURA!$P$2:$P$21,13),DECKS!$B$2:$B$1201,$A286))</f>
        <v/>
      </c>
      <c r="X286" s="19" t="str">
        <f aca="false">IF(OR($A286="",INDEX(_LEITURA!$Q$2:$Q$21,14)=0),"",SUMIFS(DECKS!$D$2:$D$1201,DECKS!$A$2:$A$1201,INDEX(_LEITURA!$P$2:$P$21,14),DECKS!$B$2:$B$1201,$A286))</f>
        <v/>
      </c>
      <c r="Y286" s="19" t="str">
        <f aca="false">IF(OR($A286="",INDEX(_LEITURA!$Q$2:$Q$21,15)=0),"",SUMIFS(DECKS!$D$2:$D$1201,DECKS!$A$2:$A$1201,INDEX(_LEITURA!$P$2:$P$21,15),DECKS!$B$2:$B$1201,$A286))</f>
        <v/>
      </c>
      <c r="Z286" s="19" t="str">
        <f aca="false">IF(OR($A286="",INDEX(_LEITURA!$Q$2:$Q$21,16)=0),"",SUMIFS(DECKS!$D$2:$D$1201,DECKS!$A$2:$A$1201,INDEX(_LEITURA!$P$2:$P$21,16),DECKS!$B$2:$B$1201,$A286))</f>
        <v/>
      </c>
      <c r="AA286" s="19" t="str">
        <f aca="false">IF(OR($A286="",INDEX(_LEITURA!$Q$2:$Q$21,17)=0),"",SUMIFS(DECKS!$D$2:$D$1201,DECKS!$A$2:$A$1201,INDEX(_LEITURA!$P$2:$P$21,17),DECKS!$B$2:$B$1201,$A286))</f>
        <v/>
      </c>
      <c r="AB286" s="19" t="str">
        <f aca="false">IF(OR($A286="",INDEX(_LEITURA!$Q$2:$Q$21,18)=0),"",SUMIFS(DECKS!$D$2:$D$1201,DECKS!$A$2:$A$1201,INDEX(_LEITURA!$P$2:$P$21,18),DECKS!$B$2:$B$1201,$A286))</f>
        <v/>
      </c>
      <c r="AC286" s="19" t="str">
        <f aca="false">IF(OR($A286="",INDEX(_LEITURA!$Q$2:$Q$21,19)=0),"",SUMIFS(DECKS!$D$2:$D$1201,DECKS!$A$2:$A$1201,INDEX(_LEITURA!$P$2:$P$21,19),DECKS!$B$2:$B$1201,$A286))</f>
        <v/>
      </c>
      <c r="AD286" s="19" t="str">
        <f aca="false">IF(OR($A286="",INDEX(_LEITURA!$Q$2:$Q$21,20)=0),"",SUMIFS(DECKS!$D$2:$D$1201,DECKS!$A$2:$A$1201,INDEX(_LEITURA!$P$2:$P$21,20),DECKS!$B$2:$B$1201,$A286))</f>
        <v/>
      </c>
      <c r="AE286" s="16" t="str">
        <f aca="false">IF(N(E286)&gt;0,MAX(AE$1:AE285)+1,"")</f>
        <v/>
      </c>
      <c r="AF286" s="11" t="str">
        <f aca="false">IF(A286="","",IFERROR(LEFT(A286,FIND("-",A286)-1),A286))</f>
        <v/>
      </c>
      <c r="AG286" s="11" t="str">
        <f aca="false">IF(AF286="","",IF(ISNUMBER(--MID(AF286,1,1)),0,IF(ISNUMBER(--MID(AF286,2,1)),1,IF(ISNUMBER(--MID(AF286,3,1)),2,IF(ISNUMBER(--MID(AF286,4,1)),3,MIN(LEN(AF286),4))))))</f>
        <v/>
      </c>
      <c r="AH286" s="11" t="str">
        <f aca="false">IF(A286="","",LEFT(AF286,AG286)&amp;REPT("0",4-AG286)&amp;RIGHT("000"&amp;IFERROR(VALUE(MID(AF286,AG286+1,9)),0),3)&amp;RIGHT("0000"&amp;IFERROR(VALUE(MID(A286,FIND("-",A286)+1,9)),0),4))</f>
        <v/>
      </c>
      <c r="AI286" s="11" t="str">
        <f aca="false">IF(OR(A286="",N(E286)&lt;=0),"",IF('FALTAS GERAL'!$M$1="Código","K"&amp;AH286&amp;RIGHT("00000"&amp;ROW(),5),IF('FALTAS GERAL'!$M$1="Nome","K"&amp;UPPER(SUBSTITUTE(SUBSTITUTE(SUBSTITUTE(B286,"*",""),"?",""),"~",""))&amp;"0"&amp;AH286&amp;RIGHT("00000"&amp;ROW(),5),IF('FALTAS GERAL'!$M$1="Falta (maior primeiro)","K"&amp;RIGHT("0000"&amp;(9999-E286),4)&amp;AH286&amp;RIGHT("00000"&amp;ROW(),5),IF('FALTAS GERAL'!$M$1="Nº de decks (maior primeiro)","K"&amp;RIGHT("00"&amp;(99-N(G286)),2)&amp;AH286&amp;RIGHT("00000"&amp;ROW(),5),"K"&amp;RIGHT("00000"&amp;ROW(),5))))))</f>
        <v/>
      </c>
      <c r="AJ286" s="11" t="str">
        <f aca="false">IF(AI286="","",COUNTIFS($AI$2:$AI$801,"&lt;"&amp;AI286,$E$2:$E$801,"&gt;0")+1)</f>
        <v/>
      </c>
      <c r="AK286" s="11" t="str">
        <f aca="false">IF(OR(A286="",N(E286)&lt;=0),"",COUNTIFS($AH$2:$AH$801,"&lt;"&amp;AH286,$E$2:$E$801,"&gt;0")+COUNTIFS($AH$2:AH286,AH286,$E$2:E286,"&gt;0"))</f>
        <v/>
      </c>
    </row>
    <row r="287" customFormat="false" ht="15" hidden="false" customHeight="false" outlineLevel="0" collapsed="false">
      <c r="A287" s="11" t="str">
        <f aca="false">IF(INVENTÁRIO!A287="","",INVENTÁRIO!A287)</f>
        <v/>
      </c>
      <c r="B287" s="11" t="str">
        <f aca="false">IF(A287="","",INVENTÁRIO!B287)</f>
        <v/>
      </c>
      <c r="C287" s="16" t="str">
        <f aca="false">IF(A287="","",INVENTÁRIO!C287)</f>
        <v/>
      </c>
      <c r="D287" s="14" t="str">
        <f aca="false">IF(A287="","",MAX(K287:AD287))</f>
        <v/>
      </c>
      <c r="E287" s="14" t="str">
        <f aca="false">IF(A287="","",MAX(0,D287-C287))</f>
        <v/>
      </c>
      <c r="F287" s="16" t="str">
        <f aca="false">IF(A287="","",IF(D287=0,"Fora dos decks",IF(E287=0,"Completo","Falta")))</f>
        <v/>
      </c>
      <c r="G287" s="16" t="str">
        <f aca="false">IF(A287="","",COUNTIF(K287:AD287,"&gt;0"))</f>
        <v/>
      </c>
      <c r="H287" s="16" t="str">
        <f aca="false">IF(A287="","",IF(G287&gt;1,"Sim",""))</f>
        <v/>
      </c>
      <c r="I287" s="18" t="str">
        <f aca="false">IF(A287="","",SUMIFS(DECKS!$D$2:$D$1201,DECKS!$B$2:$B$1201,A287))</f>
        <v/>
      </c>
      <c r="J287" s="18" t="str">
        <f aca="false">IF(A287="","",MAX(0,I287-C287))</f>
        <v/>
      </c>
      <c r="K287" s="19" t="str">
        <f aca="false">IF(OR($A287="",INDEX(_LEITURA!$Q$2:$Q$21,1)=0),"",SUMIFS(DECKS!$D$2:$D$1201,DECKS!$A$2:$A$1201,INDEX(_LEITURA!$P$2:$P$21,1),DECKS!$B$2:$B$1201,$A287))</f>
        <v/>
      </c>
      <c r="L287" s="19" t="str">
        <f aca="false">IF(OR($A287="",INDEX(_LEITURA!$Q$2:$Q$21,2)=0),"",SUMIFS(DECKS!$D$2:$D$1201,DECKS!$A$2:$A$1201,INDEX(_LEITURA!$P$2:$P$21,2),DECKS!$B$2:$B$1201,$A287))</f>
        <v/>
      </c>
      <c r="M287" s="19" t="str">
        <f aca="false">IF(OR($A287="",INDEX(_LEITURA!$Q$2:$Q$21,3)=0),"",SUMIFS(DECKS!$D$2:$D$1201,DECKS!$A$2:$A$1201,INDEX(_LEITURA!$P$2:$P$21,3),DECKS!$B$2:$B$1201,$A287))</f>
        <v/>
      </c>
      <c r="N287" s="19" t="str">
        <f aca="false">IF(OR($A287="",INDEX(_LEITURA!$Q$2:$Q$21,4)=0),"",SUMIFS(DECKS!$D$2:$D$1201,DECKS!$A$2:$A$1201,INDEX(_LEITURA!$P$2:$P$21,4),DECKS!$B$2:$B$1201,$A287))</f>
        <v/>
      </c>
      <c r="O287" s="19" t="str">
        <f aca="false">IF(OR($A287="",INDEX(_LEITURA!$Q$2:$Q$21,5)=0),"",SUMIFS(DECKS!$D$2:$D$1201,DECKS!$A$2:$A$1201,INDEX(_LEITURA!$P$2:$P$21,5),DECKS!$B$2:$B$1201,$A287))</f>
        <v/>
      </c>
      <c r="P287" s="19" t="str">
        <f aca="false">IF(OR($A287="",INDEX(_LEITURA!$Q$2:$Q$21,6)=0),"",SUMIFS(DECKS!$D$2:$D$1201,DECKS!$A$2:$A$1201,INDEX(_LEITURA!$P$2:$P$21,6),DECKS!$B$2:$B$1201,$A287))</f>
        <v/>
      </c>
      <c r="Q287" s="19" t="str">
        <f aca="false">IF(OR($A287="",INDEX(_LEITURA!$Q$2:$Q$21,7)=0),"",SUMIFS(DECKS!$D$2:$D$1201,DECKS!$A$2:$A$1201,INDEX(_LEITURA!$P$2:$P$21,7),DECKS!$B$2:$B$1201,$A287))</f>
        <v/>
      </c>
      <c r="R287" s="19" t="str">
        <f aca="false">IF(OR($A287="",INDEX(_LEITURA!$Q$2:$Q$21,8)=0),"",SUMIFS(DECKS!$D$2:$D$1201,DECKS!$A$2:$A$1201,INDEX(_LEITURA!$P$2:$P$21,8),DECKS!$B$2:$B$1201,$A287))</f>
        <v/>
      </c>
      <c r="S287" s="19" t="str">
        <f aca="false">IF(OR($A287="",INDEX(_LEITURA!$Q$2:$Q$21,9)=0),"",SUMIFS(DECKS!$D$2:$D$1201,DECKS!$A$2:$A$1201,INDEX(_LEITURA!$P$2:$P$21,9),DECKS!$B$2:$B$1201,$A287))</f>
        <v/>
      </c>
      <c r="T287" s="19" t="str">
        <f aca="false">IF(OR($A287="",INDEX(_LEITURA!$Q$2:$Q$21,10)=0),"",SUMIFS(DECKS!$D$2:$D$1201,DECKS!$A$2:$A$1201,INDEX(_LEITURA!$P$2:$P$21,10),DECKS!$B$2:$B$1201,$A287))</f>
        <v/>
      </c>
      <c r="U287" s="19" t="str">
        <f aca="false">IF(OR($A287="",INDEX(_LEITURA!$Q$2:$Q$21,11)=0),"",SUMIFS(DECKS!$D$2:$D$1201,DECKS!$A$2:$A$1201,INDEX(_LEITURA!$P$2:$P$21,11),DECKS!$B$2:$B$1201,$A287))</f>
        <v/>
      </c>
      <c r="V287" s="19" t="str">
        <f aca="false">IF(OR($A287="",INDEX(_LEITURA!$Q$2:$Q$21,12)=0),"",SUMIFS(DECKS!$D$2:$D$1201,DECKS!$A$2:$A$1201,INDEX(_LEITURA!$P$2:$P$21,12),DECKS!$B$2:$B$1201,$A287))</f>
        <v/>
      </c>
      <c r="W287" s="19" t="str">
        <f aca="false">IF(OR($A287="",INDEX(_LEITURA!$Q$2:$Q$21,13)=0),"",SUMIFS(DECKS!$D$2:$D$1201,DECKS!$A$2:$A$1201,INDEX(_LEITURA!$P$2:$P$21,13),DECKS!$B$2:$B$1201,$A287))</f>
        <v/>
      </c>
      <c r="X287" s="19" t="str">
        <f aca="false">IF(OR($A287="",INDEX(_LEITURA!$Q$2:$Q$21,14)=0),"",SUMIFS(DECKS!$D$2:$D$1201,DECKS!$A$2:$A$1201,INDEX(_LEITURA!$P$2:$P$21,14),DECKS!$B$2:$B$1201,$A287))</f>
        <v/>
      </c>
      <c r="Y287" s="19" t="str">
        <f aca="false">IF(OR($A287="",INDEX(_LEITURA!$Q$2:$Q$21,15)=0),"",SUMIFS(DECKS!$D$2:$D$1201,DECKS!$A$2:$A$1201,INDEX(_LEITURA!$P$2:$P$21,15),DECKS!$B$2:$B$1201,$A287))</f>
        <v/>
      </c>
      <c r="Z287" s="19" t="str">
        <f aca="false">IF(OR($A287="",INDEX(_LEITURA!$Q$2:$Q$21,16)=0),"",SUMIFS(DECKS!$D$2:$D$1201,DECKS!$A$2:$A$1201,INDEX(_LEITURA!$P$2:$P$21,16),DECKS!$B$2:$B$1201,$A287))</f>
        <v/>
      </c>
      <c r="AA287" s="19" t="str">
        <f aca="false">IF(OR($A287="",INDEX(_LEITURA!$Q$2:$Q$21,17)=0),"",SUMIFS(DECKS!$D$2:$D$1201,DECKS!$A$2:$A$1201,INDEX(_LEITURA!$P$2:$P$21,17),DECKS!$B$2:$B$1201,$A287))</f>
        <v/>
      </c>
      <c r="AB287" s="19" t="str">
        <f aca="false">IF(OR($A287="",INDEX(_LEITURA!$Q$2:$Q$21,18)=0),"",SUMIFS(DECKS!$D$2:$D$1201,DECKS!$A$2:$A$1201,INDEX(_LEITURA!$P$2:$P$21,18),DECKS!$B$2:$B$1201,$A287))</f>
        <v/>
      </c>
      <c r="AC287" s="19" t="str">
        <f aca="false">IF(OR($A287="",INDEX(_LEITURA!$Q$2:$Q$21,19)=0),"",SUMIFS(DECKS!$D$2:$D$1201,DECKS!$A$2:$A$1201,INDEX(_LEITURA!$P$2:$P$21,19),DECKS!$B$2:$B$1201,$A287))</f>
        <v/>
      </c>
      <c r="AD287" s="19" t="str">
        <f aca="false">IF(OR($A287="",INDEX(_LEITURA!$Q$2:$Q$21,20)=0),"",SUMIFS(DECKS!$D$2:$D$1201,DECKS!$A$2:$A$1201,INDEX(_LEITURA!$P$2:$P$21,20),DECKS!$B$2:$B$1201,$A287))</f>
        <v/>
      </c>
      <c r="AE287" s="16" t="str">
        <f aca="false">IF(N(E287)&gt;0,MAX(AE$1:AE286)+1,"")</f>
        <v/>
      </c>
      <c r="AF287" s="11" t="str">
        <f aca="false">IF(A287="","",IFERROR(LEFT(A287,FIND("-",A287)-1),A287))</f>
        <v/>
      </c>
      <c r="AG287" s="11" t="str">
        <f aca="false">IF(AF287="","",IF(ISNUMBER(--MID(AF287,1,1)),0,IF(ISNUMBER(--MID(AF287,2,1)),1,IF(ISNUMBER(--MID(AF287,3,1)),2,IF(ISNUMBER(--MID(AF287,4,1)),3,MIN(LEN(AF287),4))))))</f>
        <v/>
      </c>
      <c r="AH287" s="11" t="str">
        <f aca="false">IF(A287="","",LEFT(AF287,AG287)&amp;REPT("0",4-AG287)&amp;RIGHT("000"&amp;IFERROR(VALUE(MID(AF287,AG287+1,9)),0),3)&amp;RIGHT("0000"&amp;IFERROR(VALUE(MID(A287,FIND("-",A287)+1,9)),0),4))</f>
        <v/>
      </c>
      <c r="AI287" s="11" t="str">
        <f aca="false">IF(OR(A287="",N(E287)&lt;=0),"",IF('FALTAS GERAL'!$M$1="Código","K"&amp;AH287&amp;RIGHT("00000"&amp;ROW(),5),IF('FALTAS GERAL'!$M$1="Nome","K"&amp;UPPER(SUBSTITUTE(SUBSTITUTE(SUBSTITUTE(B287,"*",""),"?",""),"~",""))&amp;"0"&amp;AH287&amp;RIGHT("00000"&amp;ROW(),5),IF('FALTAS GERAL'!$M$1="Falta (maior primeiro)","K"&amp;RIGHT("0000"&amp;(9999-E287),4)&amp;AH287&amp;RIGHT("00000"&amp;ROW(),5),IF('FALTAS GERAL'!$M$1="Nº de decks (maior primeiro)","K"&amp;RIGHT("00"&amp;(99-N(G287)),2)&amp;AH287&amp;RIGHT("00000"&amp;ROW(),5),"K"&amp;RIGHT("00000"&amp;ROW(),5))))))</f>
        <v/>
      </c>
      <c r="AJ287" s="11" t="str">
        <f aca="false">IF(AI287="","",COUNTIFS($AI$2:$AI$801,"&lt;"&amp;AI287,$E$2:$E$801,"&gt;0")+1)</f>
        <v/>
      </c>
      <c r="AK287" s="11" t="str">
        <f aca="false">IF(OR(A287="",N(E287)&lt;=0),"",COUNTIFS($AH$2:$AH$801,"&lt;"&amp;AH287,$E$2:$E$801,"&gt;0")+COUNTIFS($AH$2:AH287,AH287,$E$2:E287,"&gt;0"))</f>
        <v/>
      </c>
    </row>
    <row r="288" customFormat="false" ht="15" hidden="false" customHeight="false" outlineLevel="0" collapsed="false">
      <c r="A288" s="11" t="str">
        <f aca="false">IF(INVENTÁRIO!A288="","",INVENTÁRIO!A288)</f>
        <v/>
      </c>
      <c r="B288" s="11" t="str">
        <f aca="false">IF(A288="","",INVENTÁRIO!B288)</f>
        <v/>
      </c>
      <c r="C288" s="16" t="str">
        <f aca="false">IF(A288="","",INVENTÁRIO!C288)</f>
        <v/>
      </c>
      <c r="D288" s="14" t="str">
        <f aca="false">IF(A288="","",MAX(K288:AD288))</f>
        <v/>
      </c>
      <c r="E288" s="14" t="str">
        <f aca="false">IF(A288="","",MAX(0,D288-C288))</f>
        <v/>
      </c>
      <c r="F288" s="16" t="str">
        <f aca="false">IF(A288="","",IF(D288=0,"Fora dos decks",IF(E288=0,"Completo","Falta")))</f>
        <v/>
      </c>
      <c r="G288" s="16" t="str">
        <f aca="false">IF(A288="","",COUNTIF(K288:AD288,"&gt;0"))</f>
        <v/>
      </c>
      <c r="H288" s="16" t="str">
        <f aca="false">IF(A288="","",IF(G288&gt;1,"Sim",""))</f>
        <v/>
      </c>
      <c r="I288" s="18" t="str">
        <f aca="false">IF(A288="","",SUMIFS(DECKS!$D$2:$D$1201,DECKS!$B$2:$B$1201,A288))</f>
        <v/>
      </c>
      <c r="J288" s="18" t="str">
        <f aca="false">IF(A288="","",MAX(0,I288-C288))</f>
        <v/>
      </c>
      <c r="K288" s="19" t="str">
        <f aca="false">IF(OR($A288="",INDEX(_LEITURA!$Q$2:$Q$21,1)=0),"",SUMIFS(DECKS!$D$2:$D$1201,DECKS!$A$2:$A$1201,INDEX(_LEITURA!$P$2:$P$21,1),DECKS!$B$2:$B$1201,$A288))</f>
        <v/>
      </c>
      <c r="L288" s="19" t="str">
        <f aca="false">IF(OR($A288="",INDEX(_LEITURA!$Q$2:$Q$21,2)=0),"",SUMIFS(DECKS!$D$2:$D$1201,DECKS!$A$2:$A$1201,INDEX(_LEITURA!$P$2:$P$21,2),DECKS!$B$2:$B$1201,$A288))</f>
        <v/>
      </c>
      <c r="M288" s="19" t="str">
        <f aca="false">IF(OR($A288="",INDEX(_LEITURA!$Q$2:$Q$21,3)=0),"",SUMIFS(DECKS!$D$2:$D$1201,DECKS!$A$2:$A$1201,INDEX(_LEITURA!$P$2:$P$21,3),DECKS!$B$2:$B$1201,$A288))</f>
        <v/>
      </c>
      <c r="N288" s="19" t="str">
        <f aca="false">IF(OR($A288="",INDEX(_LEITURA!$Q$2:$Q$21,4)=0),"",SUMIFS(DECKS!$D$2:$D$1201,DECKS!$A$2:$A$1201,INDEX(_LEITURA!$P$2:$P$21,4),DECKS!$B$2:$B$1201,$A288))</f>
        <v/>
      </c>
      <c r="O288" s="19" t="str">
        <f aca="false">IF(OR($A288="",INDEX(_LEITURA!$Q$2:$Q$21,5)=0),"",SUMIFS(DECKS!$D$2:$D$1201,DECKS!$A$2:$A$1201,INDEX(_LEITURA!$P$2:$P$21,5),DECKS!$B$2:$B$1201,$A288))</f>
        <v/>
      </c>
      <c r="P288" s="19" t="str">
        <f aca="false">IF(OR($A288="",INDEX(_LEITURA!$Q$2:$Q$21,6)=0),"",SUMIFS(DECKS!$D$2:$D$1201,DECKS!$A$2:$A$1201,INDEX(_LEITURA!$P$2:$P$21,6),DECKS!$B$2:$B$1201,$A288))</f>
        <v/>
      </c>
      <c r="Q288" s="19" t="str">
        <f aca="false">IF(OR($A288="",INDEX(_LEITURA!$Q$2:$Q$21,7)=0),"",SUMIFS(DECKS!$D$2:$D$1201,DECKS!$A$2:$A$1201,INDEX(_LEITURA!$P$2:$P$21,7),DECKS!$B$2:$B$1201,$A288))</f>
        <v/>
      </c>
      <c r="R288" s="19" t="str">
        <f aca="false">IF(OR($A288="",INDEX(_LEITURA!$Q$2:$Q$21,8)=0),"",SUMIFS(DECKS!$D$2:$D$1201,DECKS!$A$2:$A$1201,INDEX(_LEITURA!$P$2:$P$21,8),DECKS!$B$2:$B$1201,$A288))</f>
        <v/>
      </c>
      <c r="S288" s="19" t="str">
        <f aca="false">IF(OR($A288="",INDEX(_LEITURA!$Q$2:$Q$21,9)=0),"",SUMIFS(DECKS!$D$2:$D$1201,DECKS!$A$2:$A$1201,INDEX(_LEITURA!$P$2:$P$21,9),DECKS!$B$2:$B$1201,$A288))</f>
        <v/>
      </c>
      <c r="T288" s="19" t="str">
        <f aca="false">IF(OR($A288="",INDEX(_LEITURA!$Q$2:$Q$21,10)=0),"",SUMIFS(DECKS!$D$2:$D$1201,DECKS!$A$2:$A$1201,INDEX(_LEITURA!$P$2:$P$21,10),DECKS!$B$2:$B$1201,$A288))</f>
        <v/>
      </c>
      <c r="U288" s="19" t="str">
        <f aca="false">IF(OR($A288="",INDEX(_LEITURA!$Q$2:$Q$21,11)=0),"",SUMIFS(DECKS!$D$2:$D$1201,DECKS!$A$2:$A$1201,INDEX(_LEITURA!$P$2:$P$21,11),DECKS!$B$2:$B$1201,$A288))</f>
        <v/>
      </c>
      <c r="V288" s="19" t="str">
        <f aca="false">IF(OR($A288="",INDEX(_LEITURA!$Q$2:$Q$21,12)=0),"",SUMIFS(DECKS!$D$2:$D$1201,DECKS!$A$2:$A$1201,INDEX(_LEITURA!$P$2:$P$21,12),DECKS!$B$2:$B$1201,$A288))</f>
        <v/>
      </c>
      <c r="W288" s="19" t="str">
        <f aca="false">IF(OR($A288="",INDEX(_LEITURA!$Q$2:$Q$21,13)=0),"",SUMIFS(DECKS!$D$2:$D$1201,DECKS!$A$2:$A$1201,INDEX(_LEITURA!$P$2:$P$21,13),DECKS!$B$2:$B$1201,$A288))</f>
        <v/>
      </c>
      <c r="X288" s="19" t="str">
        <f aca="false">IF(OR($A288="",INDEX(_LEITURA!$Q$2:$Q$21,14)=0),"",SUMIFS(DECKS!$D$2:$D$1201,DECKS!$A$2:$A$1201,INDEX(_LEITURA!$P$2:$P$21,14),DECKS!$B$2:$B$1201,$A288))</f>
        <v/>
      </c>
      <c r="Y288" s="19" t="str">
        <f aca="false">IF(OR($A288="",INDEX(_LEITURA!$Q$2:$Q$21,15)=0),"",SUMIFS(DECKS!$D$2:$D$1201,DECKS!$A$2:$A$1201,INDEX(_LEITURA!$P$2:$P$21,15),DECKS!$B$2:$B$1201,$A288))</f>
        <v/>
      </c>
      <c r="Z288" s="19" t="str">
        <f aca="false">IF(OR($A288="",INDEX(_LEITURA!$Q$2:$Q$21,16)=0),"",SUMIFS(DECKS!$D$2:$D$1201,DECKS!$A$2:$A$1201,INDEX(_LEITURA!$P$2:$P$21,16),DECKS!$B$2:$B$1201,$A288))</f>
        <v/>
      </c>
      <c r="AA288" s="19" t="str">
        <f aca="false">IF(OR($A288="",INDEX(_LEITURA!$Q$2:$Q$21,17)=0),"",SUMIFS(DECKS!$D$2:$D$1201,DECKS!$A$2:$A$1201,INDEX(_LEITURA!$P$2:$P$21,17),DECKS!$B$2:$B$1201,$A288))</f>
        <v/>
      </c>
      <c r="AB288" s="19" t="str">
        <f aca="false">IF(OR($A288="",INDEX(_LEITURA!$Q$2:$Q$21,18)=0),"",SUMIFS(DECKS!$D$2:$D$1201,DECKS!$A$2:$A$1201,INDEX(_LEITURA!$P$2:$P$21,18),DECKS!$B$2:$B$1201,$A288))</f>
        <v/>
      </c>
      <c r="AC288" s="19" t="str">
        <f aca="false">IF(OR($A288="",INDEX(_LEITURA!$Q$2:$Q$21,19)=0),"",SUMIFS(DECKS!$D$2:$D$1201,DECKS!$A$2:$A$1201,INDEX(_LEITURA!$P$2:$P$21,19),DECKS!$B$2:$B$1201,$A288))</f>
        <v/>
      </c>
      <c r="AD288" s="19" t="str">
        <f aca="false">IF(OR($A288="",INDEX(_LEITURA!$Q$2:$Q$21,20)=0),"",SUMIFS(DECKS!$D$2:$D$1201,DECKS!$A$2:$A$1201,INDEX(_LEITURA!$P$2:$P$21,20),DECKS!$B$2:$B$1201,$A288))</f>
        <v/>
      </c>
      <c r="AE288" s="16" t="str">
        <f aca="false">IF(N(E288)&gt;0,MAX(AE$1:AE287)+1,"")</f>
        <v/>
      </c>
      <c r="AF288" s="11" t="str">
        <f aca="false">IF(A288="","",IFERROR(LEFT(A288,FIND("-",A288)-1),A288))</f>
        <v/>
      </c>
      <c r="AG288" s="11" t="str">
        <f aca="false">IF(AF288="","",IF(ISNUMBER(--MID(AF288,1,1)),0,IF(ISNUMBER(--MID(AF288,2,1)),1,IF(ISNUMBER(--MID(AF288,3,1)),2,IF(ISNUMBER(--MID(AF288,4,1)),3,MIN(LEN(AF288),4))))))</f>
        <v/>
      </c>
      <c r="AH288" s="11" t="str">
        <f aca="false">IF(A288="","",LEFT(AF288,AG288)&amp;REPT("0",4-AG288)&amp;RIGHT("000"&amp;IFERROR(VALUE(MID(AF288,AG288+1,9)),0),3)&amp;RIGHT("0000"&amp;IFERROR(VALUE(MID(A288,FIND("-",A288)+1,9)),0),4))</f>
        <v/>
      </c>
      <c r="AI288" s="11" t="str">
        <f aca="false">IF(OR(A288="",N(E288)&lt;=0),"",IF('FALTAS GERAL'!$M$1="Código","K"&amp;AH288&amp;RIGHT("00000"&amp;ROW(),5),IF('FALTAS GERAL'!$M$1="Nome","K"&amp;UPPER(SUBSTITUTE(SUBSTITUTE(SUBSTITUTE(B288,"*",""),"?",""),"~",""))&amp;"0"&amp;AH288&amp;RIGHT("00000"&amp;ROW(),5),IF('FALTAS GERAL'!$M$1="Falta (maior primeiro)","K"&amp;RIGHT("0000"&amp;(9999-E288),4)&amp;AH288&amp;RIGHT("00000"&amp;ROW(),5),IF('FALTAS GERAL'!$M$1="Nº de decks (maior primeiro)","K"&amp;RIGHT("00"&amp;(99-N(G288)),2)&amp;AH288&amp;RIGHT("00000"&amp;ROW(),5),"K"&amp;RIGHT("00000"&amp;ROW(),5))))))</f>
        <v/>
      </c>
      <c r="AJ288" s="11" t="str">
        <f aca="false">IF(AI288="","",COUNTIFS($AI$2:$AI$801,"&lt;"&amp;AI288,$E$2:$E$801,"&gt;0")+1)</f>
        <v/>
      </c>
      <c r="AK288" s="11" t="str">
        <f aca="false">IF(OR(A288="",N(E288)&lt;=0),"",COUNTIFS($AH$2:$AH$801,"&lt;"&amp;AH288,$E$2:$E$801,"&gt;0")+COUNTIFS($AH$2:AH288,AH288,$E$2:E288,"&gt;0"))</f>
        <v/>
      </c>
    </row>
    <row r="289" customFormat="false" ht="15" hidden="false" customHeight="false" outlineLevel="0" collapsed="false">
      <c r="A289" s="11" t="str">
        <f aca="false">IF(INVENTÁRIO!A289="","",INVENTÁRIO!A289)</f>
        <v/>
      </c>
      <c r="B289" s="11" t="str">
        <f aca="false">IF(A289="","",INVENTÁRIO!B289)</f>
        <v/>
      </c>
      <c r="C289" s="16" t="str">
        <f aca="false">IF(A289="","",INVENTÁRIO!C289)</f>
        <v/>
      </c>
      <c r="D289" s="14" t="str">
        <f aca="false">IF(A289="","",MAX(K289:AD289))</f>
        <v/>
      </c>
      <c r="E289" s="14" t="str">
        <f aca="false">IF(A289="","",MAX(0,D289-C289))</f>
        <v/>
      </c>
      <c r="F289" s="16" t="str">
        <f aca="false">IF(A289="","",IF(D289=0,"Fora dos decks",IF(E289=0,"Completo","Falta")))</f>
        <v/>
      </c>
      <c r="G289" s="16" t="str">
        <f aca="false">IF(A289="","",COUNTIF(K289:AD289,"&gt;0"))</f>
        <v/>
      </c>
      <c r="H289" s="16" t="str">
        <f aca="false">IF(A289="","",IF(G289&gt;1,"Sim",""))</f>
        <v/>
      </c>
      <c r="I289" s="18" t="str">
        <f aca="false">IF(A289="","",SUMIFS(DECKS!$D$2:$D$1201,DECKS!$B$2:$B$1201,A289))</f>
        <v/>
      </c>
      <c r="J289" s="18" t="str">
        <f aca="false">IF(A289="","",MAX(0,I289-C289))</f>
        <v/>
      </c>
      <c r="K289" s="19" t="str">
        <f aca="false">IF(OR($A289="",INDEX(_LEITURA!$Q$2:$Q$21,1)=0),"",SUMIFS(DECKS!$D$2:$D$1201,DECKS!$A$2:$A$1201,INDEX(_LEITURA!$P$2:$P$21,1),DECKS!$B$2:$B$1201,$A289))</f>
        <v/>
      </c>
      <c r="L289" s="19" t="str">
        <f aca="false">IF(OR($A289="",INDEX(_LEITURA!$Q$2:$Q$21,2)=0),"",SUMIFS(DECKS!$D$2:$D$1201,DECKS!$A$2:$A$1201,INDEX(_LEITURA!$P$2:$P$21,2),DECKS!$B$2:$B$1201,$A289))</f>
        <v/>
      </c>
      <c r="M289" s="19" t="str">
        <f aca="false">IF(OR($A289="",INDEX(_LEITURA!$Q$2:$Q$21,3)=0),"",SUMIFS(DECKS!$D$2:$D$1201,DECKS!$A$2:$A$1201,INDEX(_LEITURA!$P$2:$P$21,3),DECKS!$B$2:$B$1201,$A289))</f>
        <v/>
      </c>
      <c r="N289" s="19" t="str">
        <f aca="false">IF(OR($A289="",INDEX(_LEITURA!$Q$2:$Q$21,4)=0),"",SUMIFS(DECKS!$D$2:$D$1201,DECKS!$A$2:$A$1201,INDEX(_LEITURA!$P$2:$P$21,4),DECKS!$B$2:$B$1201,$A289))</f>
        <v/>
      </c>
      <c r="O289" s="19" t="str">
        <f aca="false">IF(OR($A289="",INDEX(_LEITURA!$Q$2:$Q$21,5)=0),"",SUMIFS(DECKS!$D$2:$D$1201,DECKS!$A$2:$A$1201,INDEX(_LEITURA!$P$2:$P$21,5),DECKS!$B$2:$B$1201,$A289))</f>
        <v/>
      </c>
      <c r="P289" s="19" t="str">
        <f aca="false">IF(OR($A289="",INDEX(_LEITURA!$Q$2:$Q$21,6)=0),"",SUMIFS(DECKS!$D$2:$D$1201,DECKS!$A$2:$A$1201,INDEX(_LEITURA!$P$2:$P$21,6),DECKS!$B$2:$B$1201,$A289))</f>
        <v/>
      </c>
      <c r="Q289" s="19" t="str">
        <f aca="false">IF(OR($A289="",INDEX(_LEITURA!$Q$2:$Q$21,7)=0),"",SUMIFS(DECKS!$D$2:$D$1201,DECKS!$A$2:$A$1201,INDEX(_LEITURA!$P$2:$P$21,7),DECKS!$B$2:$B$1201,$A289))</f>
        <v/>
      </c>
      <c r="R289" s="19" t="str">
        <f aca="false">IF(OR($A289="",INDEX(_LEITURA!$Q$2:$Q$21,8)=0),"",SUMIFS(DECKS!$D$2:$D$1201,DECKS!$A$2:$A$1201,INDEX(_LEITURA!$P$2:$P$21,8),DECKS!$B$2:$B$1201,$A289))</f>
        <v/>
      </c>
      <c r="S289" s="19" t="str">
        <f aca="false">IF(OR($A289="",INDEX(_LEITURA!$Q$2:$Q$21,9)=0),"",SUMIFS(DECKS!$D$2:$D$1201,DECKS!$A$2:$A$1201,INDEX(_LEITURA!$P$2:$P$21,9),DECKS!$B$2:$B$1201,$A289))</f>
        <v/>
      </c>
      <c r="T289" s="19" t="str">
        <f aca="false">IF(OR($A289="",INDEX(_LEITURA!$Q$2:$Q$21,10)=0),"",SUMIFS(DECKS!$D$2:$D$1201,DECKS!$A$2:$A$1201,INDEX(_LEITURA!$P$2:$P$21,10),DECKS!$B$2:$B$1201,$A289))</f>
        <v/>
      </c>
      <c r="U289" s="19" t="str">
        <f aca="false">IF(OR($A289="",INDEX(_LEITURA!$Q$2:$Q$21,11)=0),"",SUMIFS(DECKS!$D$2:$D$1201,DECKS!$A$2:$A$1201,INDEX(_LEITURA!$P$2:$P$21,11),DECKS!$B$2:$B$1201,$A289))</f>
        <v/>
      </c>
      <c r="V289" s="19" t="str">
        <f aca="false">IF(OR($A289="",INDEX(_LEITURA!$Q$2:$Q$21,12)=0),"",SUMIFS(DECKS!$D$2:$D$1201,DECKS!$A$2:$A$1201,INDEX(_LEITURA!$P$2:$P$21,12),DECKS!$B$2:$B$1201,$A289))</f>
        <v/>
      </c>
      <c r="W289" s="19" t="str">
        <f aca="false">IF(OR($A289="",INDEX(_LEITURA!$Q$2:$Q$21,13)=0),"",SUMIFS(DECKS!$D$2:$D$1201,DECKS!$A$2:$A$1201,INDEX(_LEITURA!$P$2:$P$21,13),DECKS!$B$2:$B$1201,$A289))</f>
        <v/>
      </c>
      <c r="X289" s="19" t="str">
        <f aca="false">IF(OR($A289="",INDEX(_LEITURA!$Q$2:$Q$21,14)=0),"",SUMIFS(DECKS!$D$2:$D$1201,DECKS!$A$2:$A$1201,INDEX(_LEITURA!$P$2:$P$21,14),DECKS!$B$2:$B$1201,$A289))</f>
        <v/>
      </c>
      <c r="Y289" s="19" t="str">
        <f aca="false">IF(OR($A289="",INDEX(_LEITURA!$Q$2:$Q$21,15)=0),"",SUMIFS(DECKS!$D$2:$D$1201,DECKS!$A$2:$A$1201,INDEX(_LEITURA!$P$2:$P$21,15),DECKS!$B$2:$B$1201,$A289))</f>
        <v/>
      </c>
      <c r="Z289" s="19" t="str">
        <f aca="false">IF(OR($A289="",INDEX(_LEITURA!$Q$2:$Q$21,16)=0),"",SUMIFS(DECKS!$D$2:$D$1201,DECKS!$A$2:$A$1201,INDEX(_LEITURA!$P$2:$P$21,16),DECKS!$B$2:$B$1201,$A289))</f>
        <v/>
      </c>
      <c r="AA289" s="19" t="str">
        <f aca="false">IF(OR($A289="",INDEX(_LEITURA!$Q$2:$Q$21,17)=0),"",SUMIFS(DECKS!$D$2:$D$1201,DECKS!$A$2:$A$1201,INDEX(_LEITURA!$P$2:$P$21,17),DECKS!$B$2:$B$1201,$A289))</f>
        <v/>
      </c>
      <c r="AB289" s="19" t="str">
        <f aca="false">IF(OR($A289="",INDEX(_LEITURA!$Q$2:$Q$21,18)=0),"",SUMIFS(DECKS!$D$2:$D$1201,DECKS!$A$2:$A$1201,INDEX(_LEITURA!$P$2:$P$21,18),DECKS!$B$2:$B$1201,$A289))</f>
        <v/>
      </c>
      <c r="AC289" s="19" t="str">
        <f aca="false">IF(OR($A289="",INDEX(_LEITURA!$Q$2:$Q$21,19)=0),"",SUMIFS(DECKS!$D$2:$D$1201,DECKS!$A$2:$A$1201,INDEX(_LEITURA!$P$2:$P$21,19),DECKS!$B$2:$B$1201,$A289))</f>
        <v/>
      </c>
      <c r="AD289" s="19" t="str">
        <f aca="false">IF(OR($A289="",INDEX(_LEITURA!$Q$2:$Q$21,20)=0),"",SUMIFS(DECKS!$D$2:$D$1201,DECKS!$A$2:$A$1201,INDEX(_LEITURA!$P$2:$P$21,20),DECKS!$B$2:$B$1201,$A289))</f>
        <v/>
      </c>
      <c r="AE289" s="16" t="str">
        <f aca="false">IF(N(E289)&gt;0,MAX(AE$1:AE288)+1,"")</f>
        <v/>
      </c>
      <c r="AF289" s="11" t="str">
        <f aca="false">IF(A289="","",IFERROR(LEFT(A289,FIND("-",A289)-1),A289))</f>
        <v/>
      </c>
      <c r="AG289" s="11" t="str">
        <f aca="false">IF(AF289="","",IF(ISNUMBER(--MID(AF289,1,1)),0,IF(ISNUMBER(--MID(AF289,2,1)),1,IF(ISNUMBER(--MID(AF289,3,1)),2,IF(ISNUMBER(--MID(AF289,4,1)),3,MIN(LEN(AF289),4))))))</f>
        <v/>
      </c>
      <c r="AH289" s="11" t="str">
        <f aca="false">IF(A289="","",LEFT(AF289,AG289)&amp;REPT("0",4-AG289)&amp;RIGHT("000"&amp;IFERROR(VALUE(MID(AF289,AG289+1,9)),0),3)&amp;RIGHT("0000"&amp;IFERROR(VALUE(MID(A289,FIND("-",A289)+1,9)),0),4))</f>
        <v/>
      </c>
      <c r="AI289" s="11" t="str">
        <f aca="false">IF(OR(A289="",N(E289)&lt;=0),"",IF('FALTAS GERAL'!$M$1="Código","K"&amp;AH289&amp;RIGHT("00000"&amp;ROW(),5),IF('FALTAS GERAL'!$M$1="Nome","K"&amp;UPPER(SUBSTITUTE(SUBSTITUTE(SUBSTITUTE(B289,"*",""),"?",""),"~",""))&amp;"0"&amp;AH289&amp;RIGHT("00000"&amp;ROW(),5),IF('FALTAS GERAL'!$M$1="Falta (maior primeiro)","K"&amp;RIGHT("0000"&amp;(9999-E289),4)&amp;AH289&amp;RIGHT("00000"&amp;ROW(),5),IF('FALTAS GERAL'!$M$1="Nº de decks (maior primeiro)","K"&amp;RIGHT("00"&amp;(99-N(G289)),2)&amp;AH289&amp;RIGHT("00000"&amp;ROW(),5),"K"&amp;RIGHT("00000"&amp;ROW(),5))))))</f>
        <v/>
      </c>
      <c r="AJ289" s="11" t="str">
        <f aca="false">IF(AI289="","",COUNTIFS($AI$2:$AI$801,"&lt;"&amp;AI289,$E$2:$E$801,"&gt;0")+1)</f>
        <v/>
      </c>
      <c r="AK289" s="11" t="str">
        <f aca="false">IF(OR(A289="",N(E289)&lt;=0),"",COUNTIFS($AH$2:$AH$801,"&lt;"&amp;AH289,$E$2:$E$801,"&gt;0")+COUNTIFS($AH$2:AH289,AH289,$E$2:E289,"&gt;0"))</f>
        <v/>
      </c>
    </row>
    <row r="290" customFormat="false" ht="15" hidden="false" customHeight="false" outlineLevel="0" collapsed="false">
      <c r="A290" s="11" t="str">
        <f aca="false">IF(INVENTÁRIO!A290="","",INVENTÁRIO!A290)</f>
        <v/>
      </c>
      <c r="B290" s="11" t="str">
        <f aca="false">IF(A290="","",INVENTÁRIO!B290)</f>
        <v/>
      </c>
      <c r="C290" s="16" t="str">
        <f aca="false">IF(A290="","",INVENTÁRIO!C290)</f>
        <v/>
      </c>
      <c r="D290" s="14" t="str">
        <f aca="false">IF(A290="","",MAX(K290:AD290))</f>
        <v/>
      </c>
      <c r="E290" s="14" t="str">
        <f aca="false">IF(A290="","",MAX(0,D290-C290))</f>
        <v/>
      </c>
      <c r="F290" s="16" t="str">
        <f aca="false">IF(A290="","",IF(D290=0,"Fora dos decks",IF(E290=0,"Completo","Falta")))</f>
        <v/>
      </c>
      <c r="G290" s="16" t="str">
        <f aca="false">IF(A290="","",COUNTIF(K290:AD290,"&gt;0"))</f>
        <v/>
      </c>
      <c r="H290" s="16" t="str">
        <f aca="false">IF(A290="","",IF(G290&gt;1,"Sim",""))</f>
        <v/>
      </c>
      <c r="I290" s="18" t="str">
        <f aca="false">IF(A290="","",SUMIFS(DECKS!$D$2:$D$1201,DECKS!$B$2:$B$1201,A290))</f>
        <v/>
      </c>
      <c r="J290" s="18" t="str">
        <f aca="false">IF(A290="","",MAX(0,I290-C290))</f>
        <v/>
      </c>
      <c r="K290" s="19" t="str">
        <f aca="false">IF(OR($A290="",INDEX(_LEITURA!$Q$2:$Q$21,1)=0),"",SUMIFS(DECKS!$D$2:$D$1201,DECKS!$A$2:$A$1201,INDEX(_LEITURA!$P$2:$P$21,1),DECKS!$B$2:$B$1201,$A290))</f>
        <v/>
      </c>
      <c r="L290" s="19" t="str">
        <f aca="false">IF(OR($A290="",INDEX(_LEITURA!$Q$2:$Q$21,2)=0),"",SUMIFS(DECKS!$D$2:$D$1201,DECKS!$A$2:$A$1201,INDEX(_LEITURA!$P$2:$P$21,2),DECKS!$B$2:$B$1201,$A290))</f>
        <v/>
      </c>
      <c r="M290" s="19" t="str">
        <f aca="false">IF(OR($A290="",INDEX(_LEITURA!$Q$2:$Q$21,3)=0),"",SUMIFS(DECKS!$D$2:$D$1201,DECKS!$A$2:$A$1201,INDEX(_LEITURA!$P$2:$P$21,3),DECKS!$B$2:$B$1201,$A290))</f>
        <v/>
      </c>
      <c r="N290" s="19" t="str">
        <f aca="false">IF(OR($A290="",INDEX(_LEITURA!$Q$2:$Q$21,4)=0),"",SUMIFS(DECKS!$D$2:$D$1201,DECKS!$A$2:$A$1201,INDEX(_LEITURA!$P$2:$P$21,4),DECKS!$B$2:$B$1201,$A290))</f>
        <v/>
      </c>
      <c r="O290" s="19" t="str">
        <f aca="false">IF(OR($A290="",INDEX(_LEITURA!$Q$2:$Q$21,5)=0),"",SUMIFS(DECKS!$D$2:$D$1201,DECKS!$A$2:$A$1201,INDEX(_LEITURA!$P$2:$P$21,5),DECKS!$B$2:$B$1201,$A290))</f>
        <v/>
      </c>
      <c r="P290" s="19" t="str">
        <f aca="false">IF(OR($A290="",INDEX(_LEITURA!$Q$2:$Q$21,6)=0),"",SUMIFS(DECKS!$D$2:$D$1201,DECKS!$A$2:$A$1201,INDEX(_LEITURA!$P$2:$P$21,6),DECKS!$B$2:$B$1201,$A290))</f>
        <v/>
      </c>
      <c r="Q290" s="19" t="str">
        <f aca="false">IF(OR($A290="",INDEX(_LEITURA!$Q$2:$Q$21,7)=0),"",SUMIFS(DECKS!$D$2:$D$1201,DECKS!$A$2:$A$1201,INDEX(_LEITURA!$P$2:$P$21,7),DECKS!$B$2:$B$1201,$A290))</f>
        <v/>
      </c>
      <c r="R290" s="19" t="str">
        <f aca="false">IF(OR($A290="",INDEX(_LEITURA!$Q$2:$Q$21,8)=0),"",SUMIFS(DECKS!$D$2:$D$1201,DECKS!$A$2:$A$1201,INDEX(_LEITURA!$P$2:$P$21,8),DECKS!$B$2:$B$1201,$A290))</f>
        <v/>
      </c>
      <c r="S290" s="19" t="str">
        <f aca="false">IF(OR($A290="",INDEX(_LEITURA!$Q$2:$Q$21,9)=0),"",SUMIFS(DECKS!$D$2:$D$1201,DECKS!$A$2:$A$1201,INDEX(_LEITURA!$P$2:$P$21,9),DECKS!$B$2:$B$1201,$A290))</f>
        <v/>
      </c>
      <c r="T290" s="19" t="str">
        <f aca="false">IF(OR($A290="",INDEX(_LEITURA!$Q$2:$Q$21,10)=0),"",SUMIFS(DECKS!$D$2:$D$1201,DECKS!$A$2:$A$1201,INDEX(_LEITURA!$P$2:$P$21,10),DECKS!$B$2:$B$1201,$A290))</f>
        <v/>
      </c>
      <c r="U290" s="19" t="str">
        <f aca="false">IF(OR($A290="",INDEX(_LEITURA!$Q$2:$Q$21,11)=0),"",SUMIFS(DECKS!$D$2:$D$1201,DECKS!$A$2:$A$1201,INDEX(_LEITURA!$P$2:$P$21,11),DECKS!$B$2:$B$1201,$A290))</f>
        <v/>
      </c>
      <c r="V290" s="19" t="str">
        <f aca="false">IF(OR($A290="",INDEX(_LEITURA!$Q$2:$Q$21,12)=0),"",SUMIFS(DECKS!$D$2:$D$1201,DECKS!$A$2:$A$1201,INDEX(_LEITURA!$P$2:$P$21,12),DECKS!$B$2:$B$1201,$A290))</f>
        <v/>
      </c>
      <c r="W290" s="19" t="str">
        <f aca="false">IF(OR($A290="",INDEX(_LEITURA!$Q$2:$Q$21,13)=0),"",SUMIFS(DECKS!$D$2:$D$1201,DECKS!$A$2:$A$1201,INDEX(_LEITURA!$P$2:$P$21,13),DECKS!$B$2:$B$1201,$A290))</f>
        <v/>
      </c>
      <c r="X290" s="19" t="str">
        <f aca="false">IF(OR($A290="",INDEX(_LEITURA!$Q$2:$Q$21,14)=0),"",SUMIFS(DECKS!$D$2:$D$1201,DECKS!$A$2:$A$1201,INDEX(_LEITURA!$P$2:$P$21,14),DECKS!$B$2:$B$1201,$A290))</f>
        <v/>
      </c>
      <c r="Y290" s="19" t="str">
        <f aca="false">IF(OR($A290="",INDEX(_LEITURA!$Q$2:$Q$21,15)=0),"",SUMIFS(DECKS!$D$2:$D$1201,DECKS!$A$2:$A$1201,INDEX(_LEITURA!$P$2:$P$21,15),DECKS!$B$2:$B$1201,$A290))</f>
        <v/>
      </c>
      <c r="Z290" s="19" t="str">
        <f aca="false">IF(OR($A290="",INDEX(_LEITURA!$Q$2:$Q$21,16)=0),"",SUMIFS(DECKS!$D$2:$D$1201,DECKS!$A$2:$A$1201,INDEX(_LEITURA!$P$2:$P$21,16),DECKS!$B$2:$B$1201,$A290))</f>
        <v/>
      </c>
      <c r="AA290" s="19" t="str">
        <f aca="false">IF(OR($A290="",INDEX(_LEITURA!$Q$2:$Q$21,17)=0),"",SUMIFS(DECKS!$D$2:$D$1201,DECKS!$A$2:$A$1201,INDEX(_LEITURA!$P$2:$P$21,17),DECKS!$B$2:$B$1201,$A290))</f>
        <v/>
      </c>
      <c r="AB290" s="19" t="str">
        <f aca="false">IF(OR($A290="",INDEX(_LEITURA!$Q$2:$Q$21,18)=0),"",SUMIFS(DECKS!$D$2:$D$1201,DECKS!$A$2:$A$1201,INDEX(_LEITURA!$P$2:$P$21,18),DECKS!$B$2:$B$1201,$A290))</f>
        <v/>
      </c>
      <c r="AC290" s="19" t="str">
        <f aca="false">IF(OR($A290="",INDEX(_LEITURA!$Q$2:$Q$21,19)=0),"",SUMIFS(DECKS!$D$2:$D$1201,DECKS!$A$2:$A$1201,INDEX(_LEITURA!$P$2:$P$21,19),DECKS!$B$2:$B$1201,$A290))</f>
        <v/>
      </c>
      <c r="AD290" s="19" t="str">
        <f aca="false">IF(OR($A290="",INDEX(_LEITURA!$Q$2:$Q$21,20)=0),"",SUMIFS(DECKS!$D$2:$D$1201,DECKS!$A$2:$A$1201,INDEX(_LEITURA!$P$2:$P$21,20),DECKS!$B$2:$B$1201,$A290))</f>
        <v/>
      </c>
      <c r="AE290" s="16" t="str">
        <f aca="false">IF(N(E290)&gt;0,MAX(AE$1:AE289)+1,"")</f>
        <v/>
      </c>
      <c r="AF290" s="11" t="str">
        <f aca="false">IF(A290="","",IFERROR(LEFT(A290,FIND("-",A290)-1),A290))</f>
        <v/>
      </c>
      <c r="AG290" s="11" t="str">
        <f aca="false">IF(AF290="","",IF(ISNUMBER(--MID(AF290,1,1)),0,IF(ISNUMBER(--MID(AF290,2,1)),1,IF(ISNUMBER(--MID(AF290,3,1)),2,IF(ISNUMBER(--MID(AF290,4,1)),3,MIN(LEN(AF290),4))))))</f>
        <v/>
      </c>
      <c r="AH290" s="11" t="str">
        <f aca="false">IF(A290="","",LEFT(AF290,AG290)&amp;REPT("0",4-AG290)&amp;RIGHT("000"&amp;IFERROR(VALUE(MID(AF290,AG290+1,9)),0),3)&amp;RIGHT("0000"&amp;IFERROR(VALUE(MID(A290,FIND("-",A290)+1,9)),0),4))</f>
        <v/>
      </c>
      <c r="AI290" s="11" t="str">
        <f aca="false">IF(OR(A290="",N(E290)&lt;=0),"",IF('FALTAS GERAL'!$M$1="Código","K"&amp;AH290&amp;RIGHT("00000"&amp;ROW(),5),IF('FALTAS GERAL'!$M$1="Nome","K"&amp;UPPER(SUBSTITUTE(SUBSTITUTE(SUBSTITUTE(B290,"*",""),"?",""),"~",""))&amp;"0"&amp;AH290&amp;RIGHT("00000"&amp;ROW(),5),IF('FALTAS GERAL'!$M$1="Falta (maior primeiro)","K"&amp;RIGHT("0000"&amp;(9999-E290),4)&amp;AH290&amp;RIGHT("00000"&amp;ROW(),5),IF('FALTAS GERAL'!$M$1="Nº de decks (maior primeiro)","K"&amp;RIGHT("00"&amp;(99-N(G290)),2)&amp;AH290&amp;RIGHT("00000"&amp;ROW(),5),"K"&amp;RIGHT("00000"&amp;ROW(),5))))))</f>
        <v/>
      </c>
      <c r="AJ290" s="11" t="str">
        <f aca="false">IF(AI290="","",COUNTIFS($AI$2:$AI$801,"&lt;"&amp;AI290,$E$2:$E$801,"&gt;0")+1)</f>
        <v/>
      </c>
      <c r="AK290" s="11" t="str">
        <f aca="false">IF(OR(A290="",N(E290)&lt;=0),"",COUNTIFS($AH$2:$AH$801,"&lt;"&amp;AH290,$E$2:$E$801,"&gt;0")+COUNTIFS($AH$2:AH290,AH290,$E$2:E290,"&gt;0"))</f>
        <v/>
      </c>
    </row>
    <row r="291" customFormat="false" ht="15" hidden="false" customHeight="false" outlineLevel="0" collapsed="false">
      <c r="A291" s="11" t="str">
        <f aca="false">IF(INVENTÁRIO!A291="","",INVENTÁRIO!A291)</f>
        <v/>
      </c>
      <c r="B291" s="11" t="str">
        <f aca="false">IF(A291="","",INVENTÁRIO!B291)</f>
        <v/>
      </c>
      <c r="C291" s="16" t="str">
        <f aca="false">IF(A291="","",INVENTÁRIO!C291)</f>
        <v/>
      </c>
      <c r="D291" s="14" t="str">
        <f aca="false">IF(A291="","",MAX(K291:AD291))</f>
        <v/>
      </c>
      <c r="E291" s="14" t="str">
        <f aca="false">IF(A291="","",MAX(0,D291-C291))</f>
        <v/>
      </c>
      <c r="F291" s="16" t="str">
        <f aca="false">IF(A291="","",IF(D291=0,"Fora dos decks",IF(E291=0,"Completo","Falta")))</f>
        <v/>
      </c>
      <c r="G291" s="16" t="str">
        <f aca="false">IF(A291="","",COUNTIF(K291:AD291,"&gt;0"))</f>
        <v/>
      </c>
      <c r="H291" s="16" t="str">
        <f aca="false">IF(A291="","",IF(G291&gt;1,"Sim",""))</f>
        <v/>
      </c>
      <c r="I291" s="18" t="str">
        <f aca="false">IF(A291="","",SUMIFS(DECKS!$D$2:$D$1201,DECKS!$B$2:$B$1201,A291))</f>
        <v/>
      </c>
      <c r="J291" s="18" t="str">
        <f aca="false">IF(A291="","",MAX(0,I291-C291))</f>
        <v/>
      </c>
      <c r="K291" s="19" t="str">
        <f aca="false">IF(OR($A291="",INDEX(_LEITURA!$Q$2:$Q$21,1)=0),"",SUMIFS(DECKS!$D$2:$D$1201,DECKS!$A$2:$A$1201,INDEX(_LEITURA!$P$2:$P$21,1),DECKS!$B$2:$B$1201,$A291))</f>
        <v/>
      </c>
      <c r="L291" s="19" t="str">
        <f aca="false">IF(OR($A291="",INDEX(_LEITURA!$Q$2:$Q$21,2)=0),"",SUMIFS(DECKS!$D$2:$D$1201,DECKS!$A$2:$A$1201,INDEX(_LEITURA!$P$2:$P$21,2),DECKS!$B$2:$B$1201,$A291))</f>
        <v/>
      </c>
      <c r="M291" s="19" t="str">
        <f aca="false">IF(OR($A291="",INDEX(_LEITURA!$Q$2:$Q$21,3)=0),"",SUMIFS(DECKS!$D$2:$D$1201,DECKS!$A$2:$A$1201,INDEX(_LEITURA!$P$2:$P$21,3),DECKS!$B$2:$B$1201,$A291))</f>
        <v/>
      </c>
      <c r="N291" s="19" t="str">
        <f aca="false">IF(OR($A291="",INDEX(_LEITURA!$Q$2:$Q$21,4)=0),"",SUMIFS(DECKS!$D$2:$D$1201,DECKS!$A$2:$A$1201,INDEX(_LEITURA!$P$2:$P$21,4),DECKS!$B$2:$B$1201,$A291))</f>
        <v/>
      </c>
      <c r="O291" s="19" t="str">
        <f aca="false">IF(OR($A291="",INDEX(_LEITURA!$Q$2:$Q$21,5)=0),"",SUMIFS(DECKS!$D$2:$D$1201,DECKS!$A$2:$A$1201,INDEX(_LEITURA!$P$2:$P$21,5),DECKS!$B$2:$B$1201,$A291))</f>
        <v/>
      </c>
      <c r="P291" s="19" t="str">
        <f aca="false">IF(OR($A291="",INDEX(_LEITURA!$Q$2:$Q$21,6)=0),"",SUMIFS(DECKS!$D$2:$D$1201,DECKS!$A$2:$A$1201,INDEX(_LEITURA!$P$2:$P$21,6),DECKS!$B$2:$B$1201,$A291))</f>
        <v/>
      </c>
      <c r="Q291" s="19" t="str">
        <f aca="false">IF(OR($A291="",INDEX(_LEITURA!$Q$2:$Q$21,7)=0),"",SUMIFS(DECKS!$D$2:$D$1201,DECKS!$A$2:$A$1201,INDEX(_LEITURA!$P$2:$P$21,7),DECKS!$B$2:$B$1201,$A291))</f>
        <v/>
      </c>
      <c r="R291" s="19" t="str">
        <f aca="false">IF(OR($A291="",INDEX(_LEITURA!$Q$2:$Q$21,8)=0),"",SUMIFS(DECKS!$D$2:$D$1201,DECKS!$A$2:$A$1201,INDEX(_LEITURA!$P$2:$P$21,8),DECKS!$B$2:$B$1201,$A291))</f>
        <v/>
      </c>
      <c r="S291" s="19" t="str">
        <f aca="false">IF(OR($A291="",INDEX(_LEITURA!$Q$2:$Q$21,9)=0),"",SUMIFS(DECKS!$D$2:$D$1201,DECKS!$A$2:$A$1201,INDEX(_LEITURA!$P$2:$P$21,9),DECKS!$B$2:$B$1201,$A291))</f>
        <v/>
      </c>
      <c r="T291" s="19" t="str">
        <f aca="false">IF(OR($A291="",INDEX(_LEITURA!$Q$2:$Q$21,10)=0),"",SUMIFS(DECKS!$D$2:$D$1201,DECKS!$A$2:$A$1201,INDEX(_LEITURA!$P$2:$P$21,10),DECKS!$B$2:$B$1201,$A291))</f>
        <v/>
      </c>
      <c r="U291" s="19" t="str">
        <f aca="false">IF(OR($A291="",INDEX(_LEITURA!$Q$2:$Q$21,11)=0),"",SUMIFS(DECKS!$D$2:$D$1201,DECKS!$A$2:$A$1201,INDEX(_LEITURA!$P$2:$P$21,11),DECKS!$B$2:$B$1201,$A291))</f>
        <v/>
      </c>
      <c r="V291" s="19" t="str">
        <f aca="false">IF(OR($A291="",INDEX(_LEITURA!$Q$2:$Q$21,12)=0),"",SUMIFS(DECKS!$D$2:$D$1201,DECKS!$A$2:$A$1201,INDEX(_LEITURA!$P$2:$P$21,12),DECKS!$B$2:$B$1201,$A291))</f>
        <v/>
      </c>
      <c r="W291" s="19" t="str">
        <f aca="false">IF(OR($A291="",INDEX(_LEITURA!$Q$2:$Q$21,13)=0),"",SUMIFS(DECKS!$D$2:$D$1201,DECKS!$A$2:$A$1201,INDEX(_LEITURA!$P$2:$P$21,13),DECKS!$B$2:$B$1201,$A291))</f>
        <v/>
      </c>
      <c r="X291" s="19" t="str">
        <f aca="false">IF(OR($A291="",INDEX(_LEITURA!$Q$2:$Q$21,14)=0),"",SUMIFS(DECKS!$D$2:$D$1201,DECKS!$A$2:$A$1201,INDEX(_LEITURA!$P$2:$P$21,14),DECKS!$B$2:$B$1201,$A291))</f>
        <v/>
      </c>
      <c r="Y291" s="19" t="str">
        <f aca="false">IF(OR($A291="",INDEX(_LEITURA!$Q$2:$Q$21,15)=0),"",SUMIFS(DECKS!$D$2:$D$1201,DECKS!$A$2:$A$1201,INDEX(_LEITURA!$P$2:$P$21,15),DECKS!$B$2:$B$1201,$A291))</f>
        <v/>
      </c>
      <c r="Z291" s="19" t="str">
        <f aca="false">IF(OR($A291="",INDEX(_LEITURA!$Q$2:$Q$21,16)=0),"",SUMIFS(DECKS!$D$2:$D$1201,DECKS!$A$2:$A$1201,INDEX(_LEITURA!$P$2:$P$21,16),DECKS!$B$2:$B$1201,$A291))</f>
        <v/>
      </c>
      <c r="AA291" s="19" t="str">
        <f aca="false">IF(OR($A291="",INDEX(_LEITURA!$Q$2:$Q$21,17)=0),"",SUMIFS(DECKS!$D$2:$D$1201,DECKS!$A$2:$A$1201,INDEX(_LEITURA!$P$2:$P$21,17),DECKS!$B$2:$B$1201,$A291))</f>
        <v/>
      </c>
      <c r="AB291" s="19" t="str">
        <f aca="false">IF(OR($A291="",INDEX(_LEITURA!$Q$2:$Q$21,18)=0),"",SUMIFS(DECKS!$D$2:$D$1201,DECKS!$A$2:$A$1201,INDEX(_LEITURA!$P$2:$P$21,18),DECKS!$B$2:$B$1201,$A291))</f>
        <v/>
      </c>
      <c r="AC291" s="19" t="str">
        <f aca="false">IF(OR($A291="",INDEX(_LEITURA!$Q$2:$Q$21,19)=0),"",SUMIFS(DECKS!$D$2:$D$1201,DECKS!$A$2:$A$1201,INDEX(_LEITURA!$P$2:$P$21,19),DECKS!$B$2:$B$1201,$A291))</f>
        <v/>
      </c>
      <c r="AD291" s="19" t="str">
        <f aca="false">IF(OR($A291="",INDEX(_LEITURA!$Q$2:$Q$21,20)=0),"",SUMIFS(DECKS!$D$2:$D$1201,DECKS!$A$2:$A$1201,INDEX(_LEITURA!$P$2:$P$21,20),DECKS!$B$2:$B$1201,$A291))</f>
        <v/>
      </c>
      <c r="AE291" s="16" t="str">
        <f aca="false">IF(N(E291)&gt;0,MAX(AE$1:AE290)+1,"")</f>
        <v/>
      </c>
      <c r="AF291" s="11" t="str">
        <f aca="false">IF(A291="","",IFERROR(LEFT(A291,FIND("-",A291)-1),A291))</f>
        <v/>
      </c>
      <c r="AG291" s="11" t="str">
        <f aca="false">IF(AF291="","",IF(ISNUMBER(--MID(AF291,1,1)),0,IF(ISNUMBER(--MID(AF291,2,1)),1,IF(ISNUMBER(--MID(AF291,3,1)),2,IF(ISNUMBER(--MID(AF291,4,1)),3,MIN(LEN(AF291),4))))))</f>
        <v/>
      </c>
      <c r="AH291" s="11" t="str">
        <f aca="false">IF(A291="","",LEFT(AF291,AG291)&amp;REPT("0",4-AG291)&amp;RIGHT("000"&amp;IFERROR(VALUE(MID(AF291,AG291+1,9)),0),3)&amp;RIGHT("0000"&amp;IFERROR(VALUE(MID(A291,FIND("-",A291)+1,9)),0),4))</f>
        <v/>
      </c>
      <c r="AI291" s="11" t="str">
        <f aca="false">IF(OR(A291="",N(E291)&lt;=0),"",IF('FALTAS GERAL'!$M$1="Código","K"&amp;AH291&amp;RIGHT("00000"&amp;ROW(),5),IF('FALTAS GERAL'!$M$1="Nome","K"&amp;UPPER(SUBSTITUTE(SUBSTITUTE(SUBSTITUTE(B291,"*",""),"?",""),"~",""))&amp;"0"&amp;AH291&amp;RIGHT("00000"&amp;ROW(),5),IF('FALTAS GERAL'!$M$1="Falta (maior primeiro)","K"&amp;RIGHT("0000"&amp;(9999-E291),4)&amp;AH291&amp;RIGHT("00000"&amp;ROW(),5),IF('FALTAS GERAL'!$M$1="Nº de decks (maior primeiro)","K"&amp;RIGHT("00"&amp;(99-N(G291)),2)&amp;AH291&amp;RIGHT("00000"&amp;ROW(),5),"K"&amp;RIGHT("00000"&amp;ROW(),5))))))</f>
        <v/>
      </c>
      <c r="AJ291" s="11" t="str">
        <f aca="false">IF(AI291="","",COUNTIFS($AI$2:$AI$801,"&lt;"&amp;AI291,$E$2:$E$801,"&gt;0")+1)</f>
        <v/>
      </c>
      <c r="AK291" s="11" t="str">
        <f aca="false">IF(OR(A291="",N(E291)&lt;=0),"",COUNTIFS($AH$2:$AH$801,"&lt;"&amp;AH291,$E$2:$E$801,"&gt;0")+COUNTIFS($AH$2:AH291,AH291,$E$2:E291,"&gt;0"))</f>
        <v/>
      </c>
    </row>
    <row r="292" customFormat="false" ht="15" hidden="false" customHeight="false" outlineLevel="0" collapsed="false">
      <c r="A292" s="11" t="str">
        <f aca="false">IF(INVENTÁRIO!A292="","",INVENTÁRIO!A292)</f>
        <v/>
      </c>
      <c r="B292" s="11" t="str">
        <f aca="false">IF(A292="","",INVENTÁRIO!B292)</f>
        <v/>
      </c>
      <c r="C292" s="16" t="str">
        <f aca="false">IF(A292="","",INVENTÁRIO!C292)</f>
        <v/>
      </c>
      <c r="D292" s="14" t="str">
        <f aca="false">IF(A292="","",MAX(K292:AD292))</f>
        <v/>
      </c>
      <c r="E292" s="14" t="str">
        <f aca="false">IF(A292="","",MAX(0,D292-C292))</f>
        <v/>
      </c>
      <c r="F292" s="16" t="str">
        <f aca="false">IF(A292="","",IF(D292=0,"Fora dos decks",IF(E292=0,"Completo","Falta")))</f>
        <v/>
      </c>
      <c r="G292" s="16" t="str">
        <f aca="false">IF(A292="","",COUNTIF(K292:AD292,"&gt;0"))</f>
        <v/>
      </c>
      <c r="H292" s="16" t="str">
        <f aca="false">IF(A292="","",IF(G292&gt;1,"Sim",""))</f>
        <v/>
      </c>
      <c r="I292" s="18" t="str">
        <f aca="false">IF(A292="","",SUMIFS(DECKS!$D$2:$D$1201,DECKS!$B$2:$B$1201,A292))</f>
        <v/>
      </c>
      <c r="J292" s="18" t="str">
        <f aca="false">IF(A292="","",MAX(0,I292-C292))</f>
        <v/>
      </c>
      <c r="K292" s="19" t="str">
        <f aca="false">IF(OR($A292="",INDEX(_LEITURA!$Q$2:$Q$21,1)=0),"",SUMIFS(DECKS!$D$2:$D$1201,DECKS!$A$2:$A$1201,INDEX(_LEITURA!$P$2:$P$21,1),DECKS!$B$2:$B$1201,$A292))</f>
        <v/>
      </c>
      <c r="L292" s="19" t="str">
        <f aca="false">IF(OR($A292="",INDEX(_LEITURA!$Q$2:$Q$21,2)=0),"",SUMIFS(DECKS!$D$2:$D$1201,DECKS!$A$2:$A$1201,INDEX(_LEITURA!$P$2:$P$21,2),DECKS!$B$2:$B$1201,$A292))</f>
        <v/>
      </c>
      <c r="M292" s="19" t="str">
        <f aca="false">IF(OR($A292="",INDEX(_LEITURA!$Q$2:$Q$21,3)=0),"",SUMIFS(DECKS!$D$2:$D$1201,DECKS!$A$2:$A$1201,INDEX(_LEITURA!$P$2:$P$21,3),DECKS!$B$2:$B$1201,$A292))</f>
        <v/>
      </c>
      <c r="N292" s="19" t="str">
        <f aca="false">IF(OR($A292="",INDEX(_LEITURA!$Q$2:$Q$21,4)=0),"",SUMIFS(DECKS!$D$2:$D$1201,DECKS!$A$2:$A$1201,INDEX(_LEITURA!$P$2:$P$21,4),DECKS!$B$2:$B$1201,$A292))</f>
        <v/>
      </c>
      <c r="O292" s="19" t="str">
        <f aca="false">IF(OR($A292="",INDEX(_LEITURA!$Q$2:$Q$21,5)=0),"",SUMIFS(DECKS!$D$2:$D$1201,DECKS!$A$2:$A$1201,INDEX(_LEITURA!$P$2:$P$21,5),DECKS!$B$2:$B$1201,$A292))</f>
        <v/>
      </c>
      <c r="P292" s="19" t="str">
        <f aca="false">IF(OR($A292="",INDEX(_LEITURA!$Q$2:$Q$21,6)=0),"",SUMIFS(DECKS!$D$2:$D$1201,DECKS!$A$2:$A$1201,INDEX(_LEITURA!$P$2:$P$21,6),DECKS!$B$2:$B$1201,$A292))</f>
        <v/>
      </c>
      <c r="Q292" s="19" t="str">
        <f aca="false">IF(OR($A292="",INDEX(_LEITURA!$Q$2:$Q$21,7)=0),"",SUMIFS(DECKS!$D$2:$D$1201,DECKS!$A$2:$A$1201,INDEX(_LEITURA!$P$2:$P$21,7),DECKS!$B$2:$B$1201,$A292))</f>
        <v/>
      </c>
      <c r="R292" s="19" t="str">
        <f aca="false">IF(OR($A292="",INDEX(_LEITURA!$Q$2:$Q$21,8)=0),"",SUMIFS(DECKS!$D$2:$D$1201,DECKS!$A$2:$A$1201,INDEX(_LEITURA!$P$2:$P$21,8),DECKS!$B$2:$B$1201,$A292))</f>
        <v/>
      </c>
      <c r="S292" s="19" t="str">
        <f aca="false">IF(OR($A292="",INDEX(_LEITURA!$Q$2:$Q$21,9)=0),"",SUMIFS(DECKS!$D$2:$D$1201,DECKS!$A$2:$A$1201,INDEX(_LEITURA!$P$2:$P$21,9),DECKS!$B$2:$B$1201,$A292))</f>
        <v/>
      </c>
      <c r="T292" s="19" t="str">
        <f aca="false">IF(OR($A292="",INDEX(_LEITURA!$Q$2:$Q$21,10)=0),"",SUMIFS(DECKS!$D$2:$D$1201,DECKS!$A$2:$A$1201,INDEX(_LEITURA!$P$2:$P$21,10),DECKS!$B$2:$B$1201,$A292))</f>
        <v/>
      </c>
      <c r="U292" s="19" t="str">
        <f aca="false">IF(OR($A292="",INDEX(_LEITURA!$Q$2:$Q$21,11)=0),"",SUMIFS(DECKS!$D$2:$D$1201,DECKS!$A$2:$A$1201,INDEX(_LEITURA!$P$2:$P$21,11),DECKS!$B$2:$B$1201,$A292))</f>
        <v/>
      </c>
      <c r="V292" s="19" t="str">
        <f aca="false">IF(OR($A292="",INDEX(_LEITURA!$Q$2:$Q$21,12)=0),"",SUMIFS(DECKS!$D$2:$D$1201,DECKS!$A$2:$A$1201,INDEX(_LEITURA!$P$2:$P$21,12),DECKS!$B$2:$B$1201,$A292))</f>
        <v/>
      </c>
      <c r="W292" s="19" t="str">
        <f aca="false">IF(OR($A292="",INDEX(_LEITURA!$Q$2:$Q$21,13)=0),"",SUMIFS(DECKS!$D$2:$D$1201,DECKS!$A$2:$A$1201,INDEX(_LEITURA!$P$2:$P$21,13),DECKS!$B$2:$B$1201,$A292))</f>
        <v/>
      </c>
      <c r="X292" s="19" t="str">
        <f aca="false">IF(OR($A292="",INDEX(_LEITURA!$Q$2:$Q$21,14)=0),"",SUMIFS(DECKS!$D$2:$D$1201,DECKS!$A$2:$A$1201,INDEX(_LEITURA!$P$2:$P$21,14),DECKS!$B$2:$B$1201,$A292))</f>
        <v/>
      </c>
      <c r="Y292" s="19" t="str">
        <f aca="false">IF(OR($A292="",INDEX(_LEITURA!$Q$2:$Q$21,15)=0),"",SUMIFS(DECKS!$D$2:$D$1201,DECKS!$A$2:$A$1201,INDEX(_LEITURA!$P$2:$P$21,15),DECKS!$B$2:$B$1201,$A292))</f>
        <v/>
      </c>
      <c r="Z292" s="19" t="str">
        <f aca="false">IF(OR($A292="",INDEX(_LEITURA!$Q$2:$Q$21,16)=0),"",SUMIFS(DECKS!$D$2:$D$1201,DECKS!$A$2:$A$1201,INDEX(_LEITURA!$P$2:$P$21,16),DECKS!$B$2:$B$1201,$A292))</f>
        <v/>
      </c>
      <c r="AA292" s="19" t="str">
        <f aca="false">IF(OR($A292="",INDEX(_LEITURA!$Q$2:$Q$21,17)=0),"",SUMIFS(DECKS!$D$2:$D$1201,DECKS!$A$2:$A$1201,INDEX(_LEITURA!$P$2:$P$21,17),DECKS!$B$2:$B$1201,$A292))</f>
        <v/>
      </c>
      <c r="AB292" s="19" t="str">
        <f aca="false">IF(OR($A292="",INDEX(_LEITURA!$Q$2:$Q$21,18)=0),"",SUMIFS(DECKS!$D$2:$D$1201,DECKS!$A$2:$A$1201,INDEX(_LEITURA!$P$2:$P$21,18),DECKS!$B$2:$B$1201,$A292))</f>
        <v/>
      </c>
      <c r="AC292" s="19" t="str">
        <f aca="false">IF(OR($A292="",INDEX(_LEITURA!$Q$2:$Q$21,19)=0),"",SUMIFS(DECKS!$D$2:$D$1201,DECKS!$A$2:$A$1201,INDEX(_LEITURA!$P$2:$P$21,19),DECKS!$B$2:$B$1201,$A292))</f>
        <v/>
      </c>
      <c r="AD292" s="19" t="str">
        <f aca="false">IF(OR($A292="",INDEX(_LEITURA!$Q$2:$Q$21,20)=0),"",SUMIFS(DECKS!$D$2:$D$1201,DECKS!$A$2:$A$1201,INDEX(_LEITURA!$P$2:$P$21,20),DECKS!$B$2:$B$1201,$A292))</f>
        <v/>
      </c>
      <c r="AE292" s="16" t="str">
        <f aca="false">IF(N(E292)&gt;0,MAX(AE$1:AE291)+1,"")</f>
        <v/>
      </c>
      <c r="AF292" s="11" t="str">
        <f aca="false">IF(A292="","",IFERROR(LEFT(A292,FIND("-",A292)-1),A292))</f>
        <v/>
      </c>
      <c r="AG292" s="11" t="str">
        <f aca="false">IF(AF292="","",IF(ISNUMBER(--MID(AF292,1,1)),0,IF(ISNUMBER(--MID(AF292,2,1)),1,IF(ISNUMBER(--MID(AF292,3,1)),2,IF(ISNUMBER(--MID(AF292,4,1)),3,MIN(LEN(AF292),4))))))</f>
        <v/>
      </c>
      <c r="AH292" s="11" t="str">
        <f aca="false">IF(A292="","",LEFT(AF292,AG292)&amp;REPT("0",4-AG292)&amp;RIGHT("000"&amp;IFERROR(VALUE(MID(AF292,AG292+1,9)),0),3)&amp;RIGHT("0000"&amp;IFERROR(VALUE(MID(A292,FIND("-",A292)+1,9)),0),4))</f>
        <v/>
      </c>
      <c r="AI292" s="11" t="str">
        <f aca="false">IF(OR(A292="",N(E292)&lt;=0),"",IF('FALTAS GERAL'!$M$1="Código","K"&amp;AH292&amp;RIGHT("00000"&amp;ROW(),5),IF('FALTAS GERAL'!$M$1="Nome","K"&amp;UPPER(SUBSTITUTE(SUBSTITUTE(SUBSTITUTE(B292,"*",""),"?",""),"~",""))&amp;"0"&amp;AH292&amp;RIGHT("00000"&amp;ROW(),5),IF('FALTAS GERAL'!$M$1="Falta (maior primeiro)","K"&amp;RIGHT("0000"&amp;(9999-E292),4)&amp;AH292&amp;RIGHT("00000"&amp;ROW(),5),IF('FALTAS GERAL'!$M$1="Nº de decks (maior primeiro)","K"&amp;RIGHT("00"&amp;(99-N(G292)),2)&amp;AH292&amp;RIGHT("00000"&amp;ROW(),5),"K"&amp;RIGHT("00000"&amp;ROW(),5))))))</f>
        <v/>
      </c>
      <c r="AJ292" s="11" t="str">
        <f aca="false">IF(AI292="","",COUNTIFS($AI$2:$AI$801,"&lt;"&amp;AI292,$E$2:$E$801,"&gt;0")+1)</f>
        <v/>
      </c>
      <c r="AK292" s="11" t="str">
        <f aca="false">IF(OR(A292="",N(E292)&lt;=0),"",COUNTIFS($AH$2:$AH$801,"&lt;"&amp;AH292,$E$2:$E$801,"&gt;0")+COUNTIFS($AH$2:AH292,AH292,$E$2:E292,"&gt;0"))</f>
        <v/>
      </c>
    </row>
    <row r="293" customFormat="false" ht="15" hidden="false" customHeight="false" outlineLevel="0" collapsed="false">
      <c r="A293" s="11" t="str">
        <f aca="false">IF(INVENTÁRIO!A293="","",INVENTÁRIO!A293)</f>
        <v/>
      </c>
      <c r="B293" s="11" t="str">
        <f aca="false">IF(A293="","",INVENTÁRIO!B293)</f>
        <v/>
      </c>
      <c r="C293" s="16" t="str">
        <f aca="false">IF(A293="","",INVENTÁRIO!C293)</f>
        <v/>
      </c>
      <c r="D293" s="14" t="str">
        <f aca="false">IF(A293="","",MAX(K293:AD293))</f>
        <v/>
      </c>
      <c r="E293" s="14" t="str">
        <f aca="false">IF(A293="","",MAX(0,D293-C293))</f>
        <v/>
      </c>
      <c r="F293" s="16" t="str">
        <f aca="false">IF(A293="","",IF(D293=0,"Fora dos decks",IF(E293=0,"Completo","Falta")))</f>
        <v/>
      </c>
      <c r="G293" s="16" t="str">
        <f aca="false">IF(A293="","",COUNTIF(K293:AD293,"&gt;0"))</f>
        <v/>
      </c>
      <c r="H293" s="16" t="str">
        <f aca="false">IF(A293="","",IF(G293&gt;1,"Sim",""))</f>
        <v/>
      </c>
      <c r="I293" s="18" t="str">
        <f aca="false">IF(A293="","",SUMIFS(DECKS!$D$2:$D$1201,DECKS!$B$2:$B$1201,A293))</f>
        <v/>
      </c>
      <c r="J293" s="18" t="str">
        <f aca="false">IF(A293="","",MAX(0,I293-C293))</f>
        <v/>
      </c>
      <c r="K293" s="19" t="str">
        <f aca="false">IF(OR($A293="",INDEX(_LEITURA!$Q$2:$Q$21,1)=0),"",SUMIFS(DECKS!$D$2:$D$1201,DECKS!$A$2:$A$1201,INDEX(_LEITURA!$P$2:$P$21,1),DECKS!$B$2:$B$1201,$A293))</f>
        <v/>
      </c>
      <c r="L293" s="19" t="str">
        <f aca="false">IF(OR($A293="",INDEX(_LEITURA!$Q$2:$Q$21,2)=0),"",SUMIFS(DECKS!$D$2:$D$1201,DECKS!$A$2:$A$1201,INDEX(_LEITURA!$P$2:$P$21,2),DECKS!$B$2:$B$1201,$A293))</f>
        <v/>
      </c>
      <c r="M293" s="19" t="str">
        <f aca="false">IF(OR($A293="",INDEX(_LEITURA!$Q$2:$Q$21,3)=0),"",SUMIFS(DECKS!$D$2:$D$1201,DECKS!$A$2:$A$1201,INDEX(_LEITURA!$P$2:$P$21,3),DECKS!$B$2:$B$1201,$A293))</f>
        <v/>
      </c>
      <c r="N293" s="19" t="str">
        <f aca="false">IF(OR($A293="",INDEX(_LEITURA!$Q$2:$Q$21,4)=0),"",SUMIFS(DECKS!$D$2:$D$1201,DECKS!$A$2:$A$1201,INDEX(_LEITURA!$P$2:$P$21,4),DECKS!$B$2:$B$1201,$A293))</f>
        <v/>
      </c>
      <c r="O293" s="19" t="str">
        <f aca="false">IF(OR($A293="",INDEX(_LEITURA!$Q$2:$Q$21,5)=0),"",SUMIFS(DECKS!$D$2:$D$1201,DECKS!$A$2:$A$1201,INDEX(_LEITURA!$P$2:$P$21,5),DECKS!$B$2:$B$1201,$A293))</f>
        <v/>
      </c>
      <c r="P293" s="19" t="str">
        <f aca="false">IF(OR($A293="",INDEX(_LEITURA!$Q$2:$Q$21,6)=0),"",SUMIFS(DECKS!$D$2:$D$1201,DECKS!$A$2:$A$1201,INDEX(_LEITURA!$P$2:$P$21,6),DECKS!$B$2:$B$1201,$A293))</f>
        <v/>
      </c>
      <c r="Q293" s="19" t="str">
        <f aca="false">IF(OR($A293="",INDEX(_LEITURA!$Q$2:$Q$21,7)=0),"",SUMIFS(DECKS!$D$2:$D$1201,DECKS!$A$2:$A$1201,INDEX(_LEITURA!$P$2:$P$21,7),DECKS!$B$2:$B$1201,$A293))</f>
        <v/>
      </c>
      <c r="R293" s="19" t="str">
        <f aca="false">IF(OR($A293="",INDEX(_LEITURA!$Q$2:$Q$21,8)=0),"",SUMIFS(DECKS!$D$2:$D$1201,DECKS!$A$2:$A$1201,INDEX(_LEITURA!$P$2:$P$21,8),DECKS!$B$2:$B$1201,$A293))</f>
        <v/>
      </c>
      <c r="S293" s="19" t="str">
        <f aca="false">IF(OR($A293="",INDEX(_LEITURA!$Q$2:$Q$21,9)=0),"",SUMIFS(DECKS!$D$2:$D$1201,DECKS!$A$2:$A$1201,INDEX(_LEITURA!$P$2:$P$21,9),DECKS!$B$2:$B$1201,$A293))</f>
        <v/>
      </c>
      <c r="T293" s="19" t="str">
        <f aca="false">IF(OR($A293="",INDEX(_LEITURA!$Q$2:$Q$21,10)=0),"",SUMIFS(DECKS!$D$2:$D$1201,DECKS!$A$2:$A$1201,INDEX(_LEITURA!$P$2:$P$21,10),DECKS!$B$2:$B$1201,$A293))</f>
        <v/>
      </c>
      <c r="U293" s="19" t="str">
        <f aca="false">IF(OR($A293="",INDEX(_LEITURA!$Q$2:$Q$21,11)=0),"",SUMIFS(DECKS!$D$2:$D$1201,DECKS!$A$2:$A$1201,INDEX(_LEITURA!$P$2:$P$21,11),DECKS!$B$2:$B$1201,$A293))</f>
        <v/>
      </c>
      <c r="V293" s="19" t="str">
        <f aca="false">IF(OR($A293="",INDEX(_LEITURA!$Q$2:$Q$21,12)=0),"",SUMIFS(DECKS!$D$2:$D$1201,DECKS!$A$2:$A$1201,INDEX(_LEITURA!$P$2:$P$21,12),DECKS!$B$2:$B$1201,$A293))</f>
        <v/>
      </c>
      <c r="W293" s="19" t="str">
        <f aca="false">IF(OR($A293="",INDEX(_LEITURA!$Q$2:$Q$21,13)=0),"",SUMIFS(DECKS!$D$2:$D$1201,DECKS!$A$2:$A$1201,INDEX(_LEITURA!$P$2:$P$21,13),DECKS!$B$2:$B$1201,$A293))</f>
        <v/>
      </c>
      <c r="X293" s="19" t="str">
        <f aca="false">IF(OR($A293="",INDEX(_LEITURA!$Q$2:$Q$21,14)=0),"",SUMIFS(DECKS!$D$2:$D$1201,DECKS!$A$2:$A$1201,INDEX(_LEITURA!$P$2:$P$21,14),DECKS!$B$2:$B$1201,$A293))</f>
        <v/>
      </c>
      <c r="Y293" s="19" t="str">
        <f aca="false">IF(OR($A293="",INDEX(_LEITURA!$Q$2:$Q$21,15)=0),"",SUMIFS(DECKS!$D$2:$D$1201,DECKS!$A$2:$A$1201,INDEX(_LEITURA!$P$2:$P$21,15),DECKS!$B$2:$B$1201,$A293))</f>
        <v/>
      </c>
      <c r="Z293" s="19" t="str">
        <f aca="false">IF(OR($A293="",INDEX(_LEITURA!$Q$2:$Q$21,16)=0),"",SUMIFS(DECKS!$D$2:$D$1201,DECKS!$A$2:$A$1201,INDEX(_LEITURA!$P$2:$P$21,16),DECKS!$B$2:$B$1201,$A293))</f>
        <v/>
      </c>
      <c r="AA293" s="19" t="str">
        <f aca="false">IF(OR($A293="",INDEX(_LEITURA!$Q$2:$Q$21,17)=0),"",SUMIFS(DECKS!$D$2:$D$1201,DECKS!$A$2:$A$1201,INDEX(_LEITURA!$P$2:$P$21,17),DECKS!$B$2:$B$1201,$A293))</f>
        <v/>
      </c>
      <c r="AB293" s="19" t="str">
        <f aca="false">IF(OR($A293="",INDEX(_LEITURA!$Q$2:$Q$21,18)=0),"",SUMIFS(DECKS!$D$2:$D$1201,DECKS!$A$2:$A$1201,INDEX(_LEITURA!$P$2:$P$21,18),DECKS!$B$2:$B$1201,$A293))</f>
        <v/>
      </c>
      <c r="AC293" s="19" t="str">
        <f aca="false">IF(OR($A293="",INDEX(_LEITURA!$Q$2:$Q$21,19)=0),"",SUMIFS(DECKS!$D$2:$D$1201,DECKS!$A$2:$A$1201,INDEX(_LEITURA!$P$2:$P$21,19),DECKS!$B$2:$B$1201,$A293))</f>
        <v/>
      </c>
      <c r="AD293" s="19" t="str">
        <f aca="false">IF(OR($A293="",INDEX(_LEITURA!$Q$2:$Q$21,20)=0),"",SUMIFS(DECKS!$D$2:$D$1201,DECKS!$A$2:$A$1201,INDEX(_LEITURA!$P$2:$P$21,20),DECKS!$B$2:$B$1201,$A293))</f>
        <v/>
      </c>
      <c r="AE293" s="16" t="str">
        <f aca="false">IF(N(E293)&gt;0,MAX(AE$1:AE292)+1,"")</f>
        <v/>
      </c>
      <c r="AF293" s="11" t="str">
        <f aca="false">IF(A293="","",IFERROR(LEFT(A293,FIND("-",A293)-1),A293))</f>
        <v/>
      </c>
      <c r="AG293" s="11" t="str">
        <f aca="false">IF(AF293="","",IF(ISNUMBER(--MID(AF293,1,1)),0,IF(ISNUMBER(--MID(AF293,2,1)),1,IF(ISNUMBER(--MID(AF293,3,1)),2,IF(ISNUMBER(--MID(AF293,4,1)),3,MIN(LEN(AF293),4))))))</f>
        <v/>
      </c>
      <c r="AH293" s="11" t="str">
        <f aca="false">IF(A293="","",LEFT(AF293,AG293)&amp;REPT("0",4-AG293)&amp;RIGHT("000"&amp;IFERROR(VALUE(MID(AF293,AG293+1,9)),0),3)&amp;RIGHT("0000"&amp;IFERROR(VALUE(MID(A293,FIND("-",A293)+1,9)),0),4))</f>
        <v/>
      </c>
      <c r="AI293" s="11" t="str">
        <f aca="false">IF(OR(A293="",N(E293)&lt;=0),"",IF('FALTAS GERAL'!$M$1="Código","K"&amp;AH293&amp;RIGHT("00000"&amp;ROW(),5),IF('FALTAS GERAL'!$M$1="Nome","K"&amp;UPPER(SUBSTITUTE(SUBSTITUTE(SUBSTITUTE(B293,"*",""),"?",""),"~",""))&amp;"0"&amp;AH293&amp;RIGHT("00000"&amp;ROW(),5),IF('FALTAS GERAL'!$M$1="Falta (maior primeiro)","K"&amp;RIGHT("0000"&amp;(9999-E293),4)&amp;AH293&amp;RIGHT("00000"&amp;ROW(),5),IF('FALTAS GERAL'!$M$1="Nº de decks (maior primeiro)","K"&amp;RIGHT("00"&amp;(99-N(G293)),2)&amp;AH293&amp;RIGHT("00000"&amp;ROW(),5),"K"&amp;RIGHT("00000"&amp;ROW(),5))))))</f>
        <v/>
      </c>
      <c r="AJ293" s="11" t="str">
        <f aca="false">IF(AI293="","",COUNTIFS($AI$2:$AI$801,"&lt;"&amp;AI293,$E$2:$E$801,"&gt;0")+1)</f>
        <v/>
      </c>
      <c r="AK293" s="11" t="str">
        <f aca="false">IF(OR(A293="",N(E293)&lt;=0),"",COUNTIFS($AH$2:$AH$801,"&lt;"&amp;AH293,$E$2:$E$801,"&gt;0")+COUNTIFS($AH$2:AH293,AH293,$E$2:E293,"&gt;0"))</f>
        <v/>
      </c>
    </row>
    <row r="294" customFormat="false" ht="15" hidden="false" customHeight="false" outlineLevel="0" collapsed="false">
      <c r="A294" s="11" t="str">
        <f aca="false">IF(INVENTÁRIO!A294="","",INVENTÁRIO!A294)</f>
        <v/>
      </c>
      <c r="B294" s="11" t="str">
        <f aca="false">IF(A294="","",INVENTÁRIO!B294)</f>
        <v/>
      </c>
      <c r="C294" s="16" t="str">
        <f aca="false">IF(A294="","",INVENTÁRIO!C294)</f>
        <v/>
      </c>
      <c r="D294" s="14" t="str">
        <f aca="false">IF(A294="","",MAX(K294:AD294))</f>
        <v/>
      </c>
      <c r="E294" s="14" t="str">
        <f aca="false">IF(A294="","",MAX(0,D294-C294))</f>
        <v/>
      </c>
      <c r="F294" s="16" t="str">
        <f aca="false">IF(A294="","",IF(D294=0,"Fora dos decks",IF(E294=0,"Completo","Falta")))</f>
        <v/>
      </c>
      <c r="G294" s="16" t="str">
        <f aca="false">IF(A294="","",COUNTIF(K294:AD294,"&gt;0"))</f>
        <v/>
      </c>
      <c r="H294" s="16" t="str">
        <f aca="false">IF(A294="","",IF(G294&gt;1,"Sim",""))</f>
        <v/>
      </c>
      <c r="I294" s="18" t="str">
        <f aca="false">IF(A294="","",SUMIFS(DECKS!$D$2:$D$1201,DECKS!$B$2:$B$1201,A294))</f>
        <v/>
      </c>
      <c r="J294" s="18" t="str">
        <f aca="false">IF(A294="","",MAX(0,I294-C294))</f>
        <v/>
      </c>
      <c r="K294" s="19" t="str">
        <f aca="false">IF(OR($A294="",INDEX(_LEITURA!$Q$2:$Q$21,1)=0),"",SUMIFS(DECKS!$D$2:$D$1201,DECKS!$A$2:$A$1201,INDEX(_LEITURA!$P$2:$P$21,1),DECKS!$B$2:$B$1201,$A294))</f>
        <v/>
      </c>
      <c r="L294" s="19" t="str">
        <f aca="false">IF(OR($A294="",INDEX(_LEITURA!$Q$2:$Q$21,2)=0),"",SUMIFS(DECKS!$D$2:$D$1201,DECKS!$A$2:$A$1201,INDEX(_LEITURA!$P$2:$P$21,2),DECKS!$B$2:$B$1201,$A294))</f>
        <v/>
      </c>
      <c r="M294" s="19" t="str">
        <f aca="false">IF(OR($A294="",INDEX(_LEITURA!$Q$2:$Q$21,3)=0),"",SUMIFS(DECKS!$D$2:$D$1201,DECKS!$A$2:$A$1201,INDEX(_LEITURA!$P$2:$P$21,3),DECKS!$B$2:$B$1201,$A294))</f>
        <v/>
      </c>
      <c r="N294" s="19" t="str">
        <f aca="false">IF(OR($A294="",INDEX(_LEITURA!$Q$2:$Q$21,4)=0),"",SUMIFS(DECKS!$D$2:$D$1201,DECKS!$A$2:$A$1201,INDEX(_LEITURA!$P$2:$P$21,4),DECKS!$B$2:$B$1201,$A294))</f>
        <v/>
      </c>
      <c r="O294" s="19" t="str">
        <f aca="false">IF(OR($A294="",INDEX(_LEITURA!$Q$2:$Q$21,5)=0),"",SUMIFS(DECKS!$D$2:$D$1201,DECKS!$A$2:$A$1201,INDEX(_LEITURA!$P$2:$P$21,5),DECKS!$B$2:$B$1201,$A294))</f>
        <v/>
      </c>
      <c r="P294" s="19" t="str">
        <f aca="false">IF(OR($A294="",INDEX(_LEITURA!$Q$2:$Q$21,6)=0),"",SUMIFS(DECKS!$D$2:$D$1201,DECKS!$A$2:$A$1201,INDEX(_LEITURA!$P$2:$P$21,6),DECKS!$B$2:$B$1201,$A294))</f>
        <v/>
      </c>
      <c r="Q294" s="19" t="str">
        <f aca="false">IF(OR($A294="",INDEX(_LEITURA!$Q$2:$Q$21,7)=0),"",SUMIFS(DECKS!$D$2:$D$1201,DECKS!$A$2:$A$1201,INDEX(_LEITURA!$P$2:$P$21,7),DECKS!$B$2:$B$1201,$A294))</f>
        <v/>
      </c>
      <c r="R294" s="19" t="str">
        <f aca="false">IF(OR($A294="",INDEX(_LEITURA!$Q$2:$Q$21,8)=0),"",SUMIFS(DECKS!$D$2:$D$1201,DECKS!$A$2:$A$1201,INDEX(_LEITURA!$P$2:$P$21,8),DECKS!$B$2:$B$1201,$A294))</f>
        <v/>
      </c>
      <c r="S294" s="19" t="str">
        <f aca="false">IF(OR($A294="",INDEX(_LEITURA!$Q$2:$Q$21,9)=0),"",SUMIFS(DECKS!$D$2:$D$1201,DECKS!$A$2:$A$1201,INDEX(_LEITURA!$P$2:$P$21,9),DECKS!$B$2:$B$1201,$A294))</f>
        <v/>
      </c>
      <c r="T294" s="19" t="str">
        <f aca="false">IF(OR($A294="",INDEX(_LEITURA!$Q$2:$Q$21,10)=0),"",SUMIFS(DECKS!$D$2:$D$1201,DECKS!$A$2:$A$1201,INDEX(_LEITURA!$P$2:$P$21,10),DECKS!$B$2:$B$1201,$A294))</f>
        <v/>
      </c>
      <c r="U294" s="19" t="str">
        <f aca="false">IF(OR($A294="",INDEX(_LEITURA!$Q$2:$Q$21,11)=0),"",SUMIFS(DECKS!$D$2:$D$1201,DECKS!$A$2:$A$1201,INDEX(_LEITURA!$P$2:$P$21,11),DECKS!$B$2:$B$1201,$A294))</f>
        <v/>
      </c>
      <c r="V294" s="19" t="str">
        <f aca="false">IF(OR($A294="",INDEX(_LEITURA!$Q$2:$Q$21,12)=0),"",SUMIFS(DECKS!$D$2:$D$1201,DECKS!$A$2:$A$1201,INDEX(_LEITURA!$P$2:$P$21,12),DECKS!$B$2:$B$1201,$A294))</f>
        <v/>
      </c>
      <c r="W294" s="19" t="str">
        <f aca="false">IF(OR($A294="",INDEX(_LEITURA!$Q$2:$Q$21,13)=0),"",SUMIFS(DECKS!$D$2:$D$1201,DECKS!$A$2:$A$1201,INDEX(_LEITURA!$P$2:$P$21,13),DECKS!$B$2:$B$1201,$A294))</f>
        <v/>
      </c>
      <c r="X294" s="19" t="str">
        <f aca="false">IF(OR($A294="",INDEX(_LEITURA!$Q$2:$Q$21,14)=0),"",SUMIFS(DECKS!$D$2:$D$1201,DECKS!$A$2:$A$1201,INDEX(_LEITURA!$P$2:$P$21,14),DECKS!$B$2:$B$1201,$A294))</f>
        <v/>
      </c>
      <c r="Y294" s="19" t="str">
        <f aca="false">IF(OR($A294="",INDEX(_LEITURA!$Q$2:$Q$21,15)=0),"",SUMIFS(DECKS!$D$2:$D$1201,DECKS!$A$2:$A$1201,INDEX(_LEITURA!$P$2:$P$21,15),DECKS!$B$2:$B$1201,$A294))</f>
        <v/>
      </c>
      <c r="Z294" s="19" t="str">
        <f aca="false">IF(OR($A294="",INDEX(_LEITURA!$Q$2:$Q$21,16)=0),"",SUMIFS(DECKS!$D$2:$D$1201,DECKS!$A$2:$A$1201,INDEX(_LEITURA!$P$2:$P$21,16),DECKS!$B$2:$B$1201,$A294))</f>
        <v/>
      </c>
      <c r="AA294" s="19" t="str">
        <f aca="false">IF(OR($A294="",INDEX(_LEITURA!$Q$2:$Q$21,17)=0),"",SUMIFS(DECKS!$D$2:$D$1201,DECKS!$A$2:$A$1201,INDEX(_LEITURA!$P$2:$P$21,17),DECKS!$B$2:$B$1201,$A294))</f>
        <v/>
      </c>
      <c r="AB294" s="19" t="str">
        <f aca="false">IF(OR($A294="",INDEX(_LEITURA!$Q$2:$Q$21,18)=0),"",SUMIFS(DECKS!$D$2:$D$1201,DECKS!$A$2:$A$1201,INDEX(_LEITURA!$P$2:$P$21,18),DECKS!$B$2:$B$1201,$A294))</f>
        <v/>
      </c>
      <c r="AC294" s="19" t="str">
        <f aca="false">IF(OR($A294="",INDEX(_LEITURA!$Q$2:$Q$21,19)=0),"",SUMIFS(DECKS!$D$2:$D$1201,DECKS!$A$2:$A$1201,INDEX(_LEITURA!$P$2:$P$21,19),DECKS!$B$2:$B$1201,$A294))</f>
        <v/>
      </c>
      <c r="AD294" s="19" t="str">
        <f aca="false">IF(OR($A294="",INDEX(_LEITURA!$Q$2:$Q$21,20)=0),"",SUMIFS(DECKS!$D$2:$D$1201,DECKS!$A$2:$A$1201,INDEX(_LEITURA!$P$2:$P$21,20),DECKS!$B$2:$B$1201,$A294))</f>
        <v/>
      </c>
      <c r="AE294" s="16" t="str">
        <f aca="false">IF(N(E294)&gt;0,MAX(AE$1:AE293)+1,"")</f>
        <v/>
      </c>
      <c r="AF294" s="11" t="str">
        <f aca="false">IF(A294="","",IFERROR(LEFT(A294,FIND("-",A294)-1),A294))</f>
        <v/>
      </c>
      <c r="AG294" s="11" t="str">
        <f aca="false">IF(AF294="","",IF(ISNUMBER(--MID(AF294,1,1)),0,IF(ISNUMBER(--MID(AF294,2,1)),1,IF(ISNUMBER(--MID(AF294,3,1)),2,IF(ISNUMBER(--MID(AF294,4,1)),3,MIN(LEN(AF294),4))))))</f>
        <v/>
      </c>
      <c r="AH294" s="11" t="str">
        <f aca="false">IF(A294="","",LEFT(AF294,AG294)&amp;REPT("0",4-AG294)&amp;RIGHT("000"&amp;IFERROR(VALUE(MID(AF294,AG294+1,9)),0),3)&amp;RIGHT("0000"&amp;IFERROR(VALUE(MID(A294,FIND("-",A294)+1,9)),0),4))</f>
        <v/>
      </c>
      <c r="AI294" s="11" t="str">
        <f aca="false">IF(OR(A294="",N(E294)&lt;=0),"",IF('FALTAS GERAL'!$M$1="Código","K"&amp;AH294&amp;RIGHT("00000"&amp;ROW(),5),IF('FALTAS GERAL'!$M$1="Nome","K"&amp;UPPER(SUBSTITUTE(SUBSTITUTE(SUBSTITUTE(B294,"*",""),"?",""),"~",""))&amp;"0"&amp;AH294&amp;RIGHT("00000"&amp;ROW(),5),IF('FALTAS GERAL'!$M$1="Falta (maior primeiro)","K"&amp;RIGHT("0000"&amp;(9999-E294),4)&amp;AH294&amp;RIGHT("00000"&amp;ROW(),5),IF('FALTAS GERAL'!$M$1="Nº de decks (maior primeiro)","K"&amp;RIGHT("00"&amp;(99-N(G294)),2)&amp;AH294&amp;RIGHT("00000"&amp;ROW(),5),"K"&amp;RIGHT("00000"&amp;ROW(),5))))))</f>
        <v/>
      </c>
      <c r="AJ294" s="11" t="str">
        <f aca="false">IF(AI294="","",COUNTIFS($AI$2:$AI$801,"&lt;"&amp;AI294,$E$2:$E$801,"&gt;0")+1)</f>
        <v/>
      </c>
      <c r="AK294" s="11" t="str">
        <f aca="false">IF(OR(A294="",N(E294)&lt;=0),"",COUNTIFS($AH$2:$AH$801,"&lt;"&amp;AH294,$E$2:$E$801,"&gt;0")+COUNTIFS($AH$2:AH294,AH294,$E$2:E294,"&gt;0"))</f>
        <v/>
      </c>
    </row>
    <row r="295" customFormat="false" ht="15" hidden="false" customHeight="false" outlineLevel="0" collapsed="false">
      <c r="A295" s="11" t="str">
        <f aca="false">IF(INVENTÁRIO!A295="","",INVENTÁRIO!A295)</f>
        <v/>
      </c>
      <c r="B295" s="11" t="str">
        <f aca="false">IF(A295="","",INVENTÁRIO!B295)</f>
        <v/>
      </c>
      <c r="C295" s="16" t="str">
        <f aca="false">IF(A295="","",INVENTÁRIO!C295)</f>
        <v/>
      </c>
      <c r="D295" s="14" t="str">
        <f aca="false">IF(A295="","",MAX(K295:AD295))</f>
        <v/>
      </c>
      <c r="E295" s="14" t="str">
        <f aca="false">IF(A295="","",MAX(0,D295-C295))</f>
        <v/>
      </c>
      <c r="F295" s="16" t="str">
        <f aca="false">IF(A295="","",IF(D295=0,"Fora dos decks",IF(E295=0,"Completo","Falta")))</f>
        <v/>
      </c>
      <c r="G295" s="16" t="str">
        <f aca="false">IF(A295="","",COUNTIF(K295:AD295,"&gt;0"))</f>
        <v/>
      </c>
      <c r="H295" s="16" t="str">
        <f aca="false">IF(A295="","",IF(G295&gt;1,"Sim",""))</f>
        <v/>
      </c>
      <c r="I295" s="18" t="str">
        <f aca="false">IF(A295="","",SUMIFS(DECKS!$D$2:$D$1201,DECKS!$B$2:$B$1201,A295))</f>
        <v/>
      </c>
      <c r="J295" s="18" t="str">
        <f aca="false">IF(A295="","",MAX(0,I295-C295))</f>
        <v/>
      </c>
      <c r="K295" s="19" t="str">
        <f aca="false">IF(OR($A295="",INDEX(_LEITURA!$Q$2:$Q$21,1)=0),"",SUMIFS(DECKS!$D$2:$D$1201,DECKS!$A$2:$A$1201,INDEX(_LEITURA!$P$2:$P$21,1),DECKS!$B$2:$B$1201,$A295))</f>
        <v/>
      </c>
      <c r="L295" s="19" t="str">
        <f aca="false">IF(OR($A295="",INDEX(_LEITURA!$Q$2:$Q$21,2)=0),"",SUMIFS(DECKS!$D$2:$D$1201,DECKS!$A$2:$A$1201,INDEX(_LEITURA!$P$2:$P$21,2),DECKS!$B$2:$B$1201,$A295))</f>
        <v/>
      </c>
      <c r="M295" s="19" t="str">
        <f aca="false">IF(OR($A295="",INDEX(_LEITURA!$Q$2:$Q$21,3)=0),"",SUMIFS(DECKS!$D$2:$D$1201,DECKS!$A$2:$A$1201,INDEX(_LEITURA!$P$2:$P$21,3),DECKS!$B$2:$B$1201,$A295))</f>
        <v/>
      </c>
      <c r="N295" s="19" t="str">
        <f aca="false">IF(OR($A295="",INDEX(_LEITURA!$Q$2:$Q$21,4)=0),"",SUMIFS(DECKS!$D$2:$D$1201,DECKS!$A$2:$A$1201,INDEX(_LEITURA!$P$2:$P$21,4),DECKS!$B$2:$B$1201,$A295))</f>
        <v/>
      </c>
      <c r="O295" s="19" t="str">
        <f aca="false">IF(OR($A295="",INDEX(_LEITURA!$Q$2:$Q$21,5)=0),"",SUMIFS(DECKS!$D$2:$D$1201,DECKS!$A$2:$A$1201,INDEX(_LEITURA!$P$2:$P$21,5),DECKS!$B$2:$B$1201,$A295))</f>
        <v/>
      </c>
      <c r="P295" s="19" t="str">
        <f aca="false">IF(OR($A295="",INDEX(_LEITURA!$Q$2:$Q$21,6)=0),"",SUMIFS(DECKS!$D$2:$D$1201,DECKS!$A$2:$A$1201,INDEX(_LEITURA!$P$2:$P$21,6),DECKS!$B$2:$B$1201,$A295))</f>
        <v/>
      </c>
      <c r="Q295" s="19" t="str">
        <f aca="false">IF(OR($A295="",INDEX(_LEITURA!$Q$2:$Q$21,7)=0),"",SUMIFS(DECKS!$D$2:$D$1201,DECKS!$A$2:$A$1201,INDEX(_LEITURA!$P$2:$P$21,7),DECKS!$B$2:$B$1201,$A295))</f>
        <v/>
      </c>
      <c r="R295" s="19" t="str">
        <f aca="false">IF(OR($A295="",INDEX(_LEITURA!$Q$2:$Q$21,8)=0),"",SUMIFS(DECKS!$D$2:$D$1201,DECKS!$A$2:$A$1201,INDEX(_LEITURA!$P$2:$P$21,8),DECKS!$B$2:$B$1201,$A295))</f>
        <v/>
      </c>
      <c r="S295" s="19" t="str">
        <f aca="false">IF(OR($A295="",INDEX(_LEITURA!$Q$2:$Q$21,9)=0),"",SUMIFS(DECKS!$D$2:$D$1201,DECKS!$A$2:$A$1201,INDEX(_LEITURA!$P$2:$P$21,9),DECKS!$B$2:$B$1201,$A295))</f>
        <v/>
      </c>
      <c r="T295" s="19" t="str">
        <f aca="false">IF(OR($A295="",INDEX(_LEITURA!$Q$2:$Q$21,10)=0),"",SUMIFS(DECKS!$D$2:$D$1201,DECKS!$A$2:$A$1201,INDEX(_LEITURA!$P$2:$P$21,10),DECKS!$B$2:$B$1201,$A295))</f>
        <v/>
      </c>
      <c r="U295" s="19" t="str">
        <f aca="false">IF(OR($A295="",INDEX(_LEITURA!$Q$2:$Q$21,11)=0),"",SUMIFS(DECKS!$D$2:$D$1201,DECKS!$A$2:$A$1201,INDEX(_LEITURA!$P$2:$P$21,11),DECKS!$B$2:$B$1201,$A295))</f>
        <v/>
      </c>
      <c r="V295" s="19" t="str">
        <f aca="false">IF(OR($A295="",INDEX(_LEITURA!$Q$2:$Q$21,12)=0),"",SUMIFS(DECKS!$D$2:$D$1201,DECKS!$A$2:$A$1201,INDEX(_LEITURA!$P$2:$P$21,12),DECKS!$B$2:$B$1201,$A295))</f>
        <v/>
      </c>
      <c r="W295" s="19" t="str">
        <f aca="false">IF(OR($A295="",INDEX(_LEITURA!$Q$2:$Q$21,13)=0),"",SUMIFS(DECKS!$D$2:$D$1201,DECKS!$A$2:$A$1201,INDEX(_LEITURA!$P$2:$P$21,13),DECKS!$B$2:$B$1201,$A295))</f>
        <v/>
      </c>
      <c r="X295" s="19" t="str">
        <f aca="false">IF(OR($A295="",INDEX(_LEITURA!$Q$2:$Q$21,14)=0),"",SUMIFS(DECKS!$D$2:$D$1201,DECKS!$A$2:$A$1201,INDEX(_LEITURA!$P$2:$P$21,14),DECKS!$B$2:$B$1201,$A295))</f>
        <v/>
      </c>
      <c r="Y295" s="19" t="str">
        <f aca="false">IF(OR($A295="",INDEX(_LEITURA!$Q$2:$Q$21,15)=0),"",SUMIFS(DECKS!$D$2:$D$1201,DECKS!$A$2:$A$1201,INDEX(_LEITURA!$P$2:$P$21,15),DECKS!$B$2:$B$1201,$A295))</f>
        <v/>
      </c>
      <c r="Z295" s="19" t="str">
        <f aca="false">IF(OR($A295="",INDEX(_LEITURA!$Q$2:$Q$21,16)=0),"",SUMIFS(DECKS!$D$2:$D$1201,DECKS!$A$2:$A$1201,INDEX(_LEITURA!$P$2:$P$21,16),DECKS!$B$2:$B$1201,$A295))</f>
        <v/>
      </c>
      <c r="AA295" s="19" t="str">
        <f aca="false">IF(OR($A295="",INDEX(_LEITURA!$Q$2:$Q$21,17)=0),"",SUMIFS(DECKS!$D$2:$D$1201,DECKS!$A$2:$A$1201,INDEX(_LEITURA!$P$2:$P$21,17),DECKS!$B$2:$B$1201,$A295))</f>
        <v/>
      </c>
      <c r="AB295" s="19" t="str">
        <f aca="false">IF(OR($A295="",INDEX(_LEITURA!$Q$2:$Q$21,18)=0),"",SUMIFS(DECKS!$D$2:$D$1201,DECKS!$A$2:$A$1201,INDEX(_LEITURA!$P$2:$P$21,18),DECKS!$B$2:$B$1201,$A295))</f>
        <v/>
      </c>
      <c r="AC295" s="19" t="str">
        <f aca="false">IF(OR($A295="",INDEX(_LEITURA!$Q$2:$Q$21,19)=0),"",SUMIFS(DECKS!$D$2:$D$1201,DECKS!$A$2:$A$1201,INDEX(_LEITURA!$P$2:$P$21,19),DECKS!$B$2:$B$1201,$A295))</f>
        <v/>
      </c>
      <c r="AD295" s="19" t="str">
        <f aca="false">IF(OR($A295="",INDEX(_LEITURA!$Q$2:$Q$21,20)=0),"",SUMIFS(DECKS!$D$2:$D$1201,DECKS!$A$2:$A$1201,INDEX(_LEITURA!$P$2:$P$21,20),DECKS!$B$2:$B$1201,$A295))</f>
        <v/>
      </c>
      <c r="AE295" s="16" t="str">
        <f aca="false">IF(N(E295)&gt;0,MAX(AE$1:AE294)+1,"")</f>
        <v/>
      </c>
      <c r="AF295" s="11" t="str">
        <f aca="false">IF(A295="","",IFERROR(LEFT(A295,FIND("-",A295)-1),A295))</f>
        <v/>
      </c>
      <c r="AG295" s="11" t="str">
        <f aca="false">IF(AF295="","",IF(ISNUMBER(--MID(AF295,1,1)),0,IF(ISNUMBER(--MID(AF295,2,1)),1,IF(ISNUMBER(--MID(AF295,3,1)),2,IF(ISNUMBER(--MID(AF295,4,1)),3,MIN(LEN(AF295),4))))))</f>
        <v/>
      </c>
      <c r="AH295" s="11" t="str">
        <f aca="false">IF(A295="","",LEFT(AF295,AG295)&amp;REPT("0",4-AG295)&amp;RIGHT("000"&amp;IFERROR(VALUE(MID(AF295,AG295+1,9)),0),3)&amp;RIGHT("0000"&amp;IFERROR(VALUE(MID(A295,FIND("-",A295)+1,9)),0),4))</f>
        <v/>
      </c>
      <c r="AI295" s="11" t="str">
        <f aca="false">IF(OR(A295="",N(E295)&lt;=0),"",IF('FALTAS GERAL'!$M$1="Código","K"&amp;AH295&amp;RIGHT("00000"&amp;ROW(),5),IF('FALTAS GERAL'!$M$1="Nome","K"&amp;UPPER(SUBSTITUTE(SUBSTITUTE(SUBSTITUTE(B295,"*",""),"?",""),"~",""))&amp;"0"&amp;AH295&amp;RIGHT("00000"&amp;ROW(),5),IF('FALTAS GERAL'!$M$1="Falta (maior primeiro)","K"&amp;RIGHT("0000"&amp;(9999-E295),4)&amp;AH295&amp;RIGHT("00000"&amp;ROW(),5),IF('FALTAS GERAL'!$M$1="Nº de decks (maior primeiro)","K"&amp;RIGHT("00"&amp;(99-N(G295)),2)&amp;AH295&amp;RIGHT("00000"&amp;ROW(),5),"K"&amp;RIGHT("00000"&amp;ROW(),5))))))</f>
        <v/>
      </c>
      <c r="AJ295" s="11" t="str">
        <f aca="false">IF(AI295="","",COUNTIFS($AI$2:$AI$801,"&lt;"&amp;AI295,$E$2:$E$801,"&gt;0")+1)</f>
        <v/>
      </c>
      <c r="AK295" s="11" t="str">
        <f aca="false">IF(OR(A295="",N(E295)&lt;=0),"",COUNTIFS($AH$2:$AH$801,"&lt;"&amp;AH295,$E$2:$E$801,"&gt;0")+COUNTIFS($AH$2:AH295,AH295,$E$2:E295,"&gt;0"))</f>
        <v/>
      </c>
    </row>
    <row r="296" customFormat="false" ht="15" hidden="false" customHeight="false" outlineLevel="0" collapsed="false">
      <c r="A296" s="11" t="str">
        <f aca="false">IF(INVENTÁRIO!A296="","",INVENTÁRIO!A296)</f>
        <v/>
      </c>
      <c r="B296" s="11" t="str">
        <f aca="false">IF(A296="","",INVENTÁRIO!B296)</f>
        <v/>
      </c>
      <c r="C296" s="16" t="str">
        <f aca="false">IF(A296="","",INVENTÁRIO!C296)</f>
        <v/>
      </c>
      <c r="D296" s="14" t="str">
        <f aca="false">IF(A296="","",MAX(K296:AD296))</f>
        <v/>
      </c>
      <c r="E296" s="14" t="str">
        <f aca="false">IF(A296="","",MAX(0,D296-C296))</f>
        <v/>
      </c>
      <c r="F296" s="16" t="str">
        <f aca="false">IF(A296="","",IF(D296=0,"Fora dos decks",IF(E296=0,"Completo","Falta")))</f>
        <v/>
      </c>
      <c r="G296" s="16" t="str">
        <f aca="false">IF(A296="","",COUNTIF(K296:AD296,"&gt;0"))</f>
        <v/>
      </c>
      <c r="H296" s="16" t="str">
        <f aca="false">IF(A296="","",IF(G296&gt;1,"Sim",""))</f>
        <v/>
      </c>
      <c r="I296" s="18" t="str">
        <f aca="false">IF(A296="","",SUMIFS(DECKS!$D$2:$D$1201,DECKS!$B$2:$B$1201,A296))</f>
        <v/>
      </c>
      <c r="J296" s="18" t="str">
        <f aca="false">IF(A296="","",MAX(0,I296-C296))</f>
        <v/>
      </c>
      <c r="K296" s="19" t="str">
        <f aca="false">IF(OR($A296="",INDEX(_LEITURA!$Q$2:$Q$21,1)=0),"",SUMIFS(DECKS!$D$2:$D$1201,DECKS!$A$2:$A$1201,INDEX(_LEITURA!$P$2:$P$21,1),DECKS!$B$2:$B$1201,$A296))</f>
        <v/>
      </c>
      <c r="L296" s="19" t="str">
        <f aca="false">IF(OR($A296="",INDEX(_LEITURA!$Q$2:$Q$21,2)=0),"",SUMIFS(DECKS!$D$2:$D$1201,DECKS!$A$2:$A$1201,INDEX(_LEITURA!$P$2:$P$21,2),DECKS!$B$2:$B$1201,$A296))</f>
        <v/>
      </c>
      <c r="M296" s="19" t="str">
        <f aca="false">IF(OR($A296="",INDEX(_LEITURA!$Q$2:$Q$21,3)=0),"",SUMIFS(DECKS!$D$2:$D$1201,DECKS!$A$2:$A$1201,INDEX(_LEITURA!$P$2:$P$21,3),DECKS!$B$2:$B$1201,$A296))</f>
        <v/>
      </c>
      <c r="N296" s="19" t="str">
        <f aca="false">IF(OR($A296="",INDEX(_LEITURA!$Q$2:$Q$21,4)=0),"",SUMIFS(DECKS!$D$2:$D$1201,DECKS!$A$2:$A$1201,INDEX(_LEITURA!$P$2:$P$21,4),DECKS!$B$2:$B$1201,$A296))</f>
        <v/>
      </c>
      <c r="O296" s="19" t="str">
        <f aca="false">IF(OR($A296="",INDEX(_LEITURA!$Q$2:$Q$21,5)=0),"",SUMIFS(DECKS!$D$2:$D$1201,DECKS!$A$2:$A$1201,INDEX(_LEITURA!$P$2:$P$21,5),DECKS!$B$2:$B$1201,$A296))</f>
        <v/>
      </c>
      <c r="P296" s="19" t="str">
        <f aca="false">IF(OR($A296="",INDEX(_LEITURA!$Q$2:$Q$21,6)=0),"",SUMIFS(DECKS!$D$2:$D$1201,DECKS!$A$2:$A$1201,INDEX(_LEITURA!$P$2:$P$21,6),DECKS!$B$2:$B$1201,$A296))</f>
        <v/>
      </c>
      <c r="Q296" s="19" t="str">
        <f aca="false">IF(OR($A296="",INDEX(_LEITURA!$Q$2:$Q$21,7)=0),"",SUMIFS(DECKS!$D$2:$D$1201,DECKS!$A$2:$A$1201,INDEX(_LEITURA!$P$2:$P$21,7),DECKS!$B$2:$B$1201,$A296))</f>
        <v/>
      </c>
      <c r="R296" s="19" t="str">
        <f aca="false">IF(OR($A296="",INDEX(_LEITURA!$Q$2:$Q$21,8)=0),"",SUMIFS(DECKS!$D$2:$D$1201,DECKS!$A$2:$A$1201,INDEX(_LEITURA!$P$2:$P$21,8),DECKS!$B$2:$B$1201,$A296))</f>
        <v/>
      </c>
      <c r="S296" s="19" t="str">
        <f aca="false">IF(OR($A296="",INDEX(_LEITURA!$Q$2:$Q$21,9)=0),"",SUMIFS(DECKS!$D$2:$D$1201,DECKS!$A$2:$A$1201,INDEX(_LEITURA!$P$2:$P$21,9),DECKS!$B$2:$B$1201,$A296))</f>
        <v/>
      </c>
      <c r="T296" s="19" t="str">
        <f aca="false">IF(OR($A296="",INDEX(_LEITURA!$Q$2:$Q$21,10)=0),"",SUMIFS(DECKS!$D$2:$D$1201,DECKS!$A$2:$A$1201,INDEX(_LEITURA!$P$2:$P$21,10),DECKS!$B$2:$B$1201,$A296))</f>
        <v/>
      </c>
      <c r="U296" s="19" t="str">
        <f aca="false">IF(OR($A296="",INDEX(_LEITURA!$Q$2:$Q$21,11)=0),"",SUMIFS(DECKS!$D$2:$D$1201,DECKS!$A$2:$A$1201,INDEX(_LEITURA!$P$2:$P$21,11),DECKS!$B$2:$B$1201,$A296))</f>
        <v/>
      </c>
      <c r="V296" s="19" t="str">
        <f aca="false">IF(OR($A296="",INDEX(_LEITURA!$Q$2:$Q$21,12)=0),"",SUMIFS(DECKS!$D$2:$D$1201,DECKS!$A$2:$A$1201,INDEX(_LEITURA!$P$2:$P$21,12),DECKS!$B$2:$B$1201,$A296))</f>
        <v/>
      </c>
      <c r="W296" s="19" t="str">
        <f aca="false">IF(OR($A296="",INDEX(_LEITURA!$Q$2:$Q$21,13)=0),"",SUMIFS(DECKS!$D$2:$D$1201,DECKS!$A$2:$A$1201,INDEX(_LEITURA!$P$2:$P$21,13),DECKS!$B$2:$B$1201,$A296))</f>
        <v/>
      </c>
      <c r="X296" s="19" t="str">
        <f aca="false">IF(OR($A296="",INDEX(_LEITURA!$Q$2:$Q$21,14)=0),"",SUMIFS(DECKS!$D$2:$D$1201,DECKS!$A$2:$A$1201,INDEX(_LEITURA!$P$2:$P$21,14),DECKS!$B$2:$B$1201,$A296))</f>
        <v/>
      </c>
      <c r="Y296" s="19" t="str">
        <f aca="false">IF(OR($A296="",INDEX(_LEITURA!$Q$2:$Q$21,15)=0),"",SUMIFS(DECKS!$D$2:$D$1201,DECKS!$A$2:$A$1201,INDEX(_LEITURA!$P$2:$P$21,15),DECKS!$B$2:$B$1201,$A296))</f>
        <v/>
      </c>
      <c r="Z296" s="19" t="str">
        <f aca="false">IF(OR($A296="",INDEX(_LEITURA!$Q$2:$Q$21,16)=0),"",SUMIFS(DECKS!$D$2:$D$1201,DECKS!$A$2:$A$1201,INDEX(_LEITURA!$P$2:$P$21,16),DECKS!$B$2:$B$1201,$A296))</f>
        <v/>
      </c>
      <c r="AA296" s="19" t="str">
        <f aca="false">IF(OR($A296="",INDEX(_LEITURA!$Q$2:$Q$21,17)=0),"",SUMIFS(DECKS!$D$2:$D$1201,DECKS!$A$2:$A$1201,INDEX(_LEITURA!$P$2:$P$21,17),DECKS!$B$2:$B$1201,$A296))</f>
        <v/>
      </c>
      <c r="AB296" s="19" t="str">
        <f aca="false">IF(OR($A296="",INDEX(_LEITURA!$Q$2:$Q$21,18)=0),"",SUMIFS(DECKS!$D$2:$D$1201,DECKS!$A$2:$A$1201,INDEX(_LEITURA!$P$2:$P$21,18),DECKS!$B$2:$B$1201,$A296))</f>
        <v/>
      </c>
      <c r="AC296" s="19" t="str">
        <f aca="false">IF(OR($A296="",INDEX(_LEITURA!$Q$2:$Q$21,19)=0),"",SUMIFS(DECKS!$D$2:$D$1201,DECKS!$A$2:$A$1201,INDEX(_LEITURA!$P$2:$P$21,19),DECKS!$B$2:$B$1201,$A296))</f>
        <v/>
      </c>
      <c r="AD296" s="19" t="str">
        <f aca="false">IF(OR($A296="",INDEX(_LEITURA!$Q$2:$Q$21,20)=0),"",SUMIFS(DECKS!$D$2:$D$1201,DECKS!$A$2:$A$1201,INDEX(_LEITURA!$P$2:$P$21,20),DECKS!$B$2:$B$1201,$A296))</f>
        <v/>
      </c>
      <c r="AE296" s="16" t="str">
        <f aca="false">IF(N(E296)&gt;0,MAX(AE$1:AE295)+1,"")</f>
        <v/>
      </c>
      <c r="AF296" s="11" t="str">
        <f aca="false">IF(A296="","",IFERROR(LEFT(A296,FIND("-",A296)-1),A296))</f>
        <v/>
      </c>
      <c r="AG296" s="11" t="str">
        <f aca="false">IF(AF296="","",IF(ISNUMBER(--MID(AF296,1,1)),0,IF(ISNUMBER(--MID(AF296,2,1)),1,IF(ISNUMBER(--MID(AF296,3,1)),2,IF(ISNUMBER(--MID(AF296,4,1)),3,MIN(LEN(AF296),4))))))</f>
        <v/>
      </c>
      <c r="AH296" s="11" t="str">
        <f aca="false">IF(A296="","",LEFT(AF296,AG296)&amp;REPT("0",4-AG296)&amp;RIGHT("000"&amp;IFERROR(VALUE(MID(AF296,AG296+1,9)),0),3)&amp;RIGHT("0000"&amp;IFERROR(VALUE(MID(A296,FIND("-",A296)+1,9)),0),4))</f>
        <v/>
      </c>
      <c r="AI296" s="11" t="str">
        <f aca="false">IF(OR(A296="",N(E296)&lt;=0),"",IF('FALTAS GERAL'!$M$1="Código","K"&amp;AH296&amp;RIGHT("00000"&amp;ROW(),5),IF('FALTAS GERAL'!$M$1="Nome","K"&amp;UPPER(SUBSTITUTE(SUBSTITUTE(SUBSTITUTE(B296,"*",""),"?",""),"~",""))&amp;"0"&amp;AH296&amp;RIGHT("00000"&amp;ROW(),5),IF('FALTAS GERAL'!$M$1="Falta (maior primeiro)","K"&amp;RIGHT("0000"&amp;(9999-E296),4)&amp;AH296&amp;RIGHT("00000"&amp;ROW(),5),IF('FALTAS GERAL'!$M$1="Nº de decks (maior primeiro)","K"&amp;RIGHT("00"&amp;(99-N(G296)),2)&amp;AH296&amp;RIGHT("00000"&amp;ROW(),5),"K"&amp;RIGHT("00000"&amp;ROW(),5))))))</f>
        <v/>
      </c>
      <c r="AJ296" s="11" t="str">
        <f aca="false">IF(AI296="","",COUNTIFS($AI$2:$AI$801,"&lt;"&amp;AI296,$E$2:$E$801,"&gt;0")+1)</f>
        <v/>
      </c>
      <c r="AK296" s="11" t="str">
        <f aca="false">IF(OR(A296="",N(E296)&lt;=0),"",COUNTIFS($AH$2:$AH$801,"&lt;"&amp;AH296,$E$2:$E$801,"&gt;0")+COUNTIFS($AH$2:AH296,AH296,$E$2:E296,"&gt;0"))</f>
        <v/>
      </c>
    </row>
    <row r="297" customFormat="false" ht="15" hidden="false" customHeight="false" outlineLevel="0" collapsed="false">
      <c r="A297" s="11" t="str">
        <f aca="false">IF(INVENTÁRIO!A297="","",INVENTÁRIO!A297)</f>
        <v/>
      </c>
      <c r="B297" s="11" t="str">
        <f aca="false">IF(A297="","",INVENTÁRIO!B297)</f>
        <v/>
      </c>
      <c r="C297" s="16" t="str">
        <f aca="false">IF(A297="","",INVENTÁRIO!C297)</f>
        <v/>
      </c>
      <c r="D297" s="14" t="str">
        <f aca="false">IF(A297="","",MAX(K297:AD297))</f>
        <v/>
      </c>
      <c r="E297" s="14" t="str">
        <f aca="false">IF(A297="","",MAX(0,D297-C297))</f>
        <v/>
      </c>
      <c r="F297" s="16" t="str">
        <f aca="false">IF(A297="","",IF(D297=0,"Fora dos decks",IF(E297=0,"Completo","Falta")))</f>
        <v/>
      </c>
      <c r="G297" s="16" t="str">
        <f aca="false">IF(A297="","",COUNTIF(K297:AD297,"&gt;0"))</f>
        <v/>
      </c>
      <c r="H297" s="16" t="str">
        <f aca="false">IF(A297="","",IF(G297&gt;1,"Sim",""))</f>
        <v/>
      </c>
      <c r="I297" s="18" t="str">
        <f aca="false">IF(A297="","",SUMIFS(DECKS!$D$2:$D$1201,DECKS!$B$2:$B$1201,A297))</f>
        <v/>
      </c>
      <c r="J297" s="18" t="str">
        <f aca="false">IF(A297="","",MAX(0,I297-C297))</f>
        <v/>
      </c>
      <c r="K297" s="19" t="str">
        <f aca="false">IF(OR($A297="",INDEX(_LEITURA!$Q$2:$Q$21,1)=0),"",SUMIFS(DECKS!$D$2:$D$1201,DECKS!$A$2:$A$1201,INDEX(_LEITURA!$P$2:$P$21,1),DECKS!$B$2:$B$1201,$A297))</f>
        <v/>
      </c>
      <c r="L297" s="19" t="str">
        <f aca="false">IF(OR($A297="",INDEX(_LEITURA!$Q$2:$Q$21,2)=0),"",SUMIFS(DECKS!$D$2:$D$1201,DECKS!$A$2:$A$1201,INDEX(_LEITURA!$P$2:$P$21,2),DECKS!$B$2:$B$1201,$A297))</f>
        <v/>
      </c>
      <c r="M297" s="19" t="str">
        <f aca="false">IF(OR($A297="",INDEX(_LEITURA!$Q$2:$Q$21,3)=0),"",SUMIFS(DECKS!$D$2:$D$1201,DECKS!$A$2:$A$1201,INDEX(_LEITURA!$P$2:$P$21,3),DECKS!$B$2:$B$1201,$A297))</f>
        <v/>
      </c>
      <c r="N297" s="19" t="str">
        <f aca="false">IF(OR($A297="",INDEX(_LEITURA!$Q$2:$Q$21,4)=0),"",SUMIFS(DECKS!$D$2:$D$1201,DECKS!$A$2:$A$1201,INDEX(_LEITURA!$P$2:$P$21,4),DECKS!$B$2:$B$1201,$A297))</f>
        <v/>
      </c>
      <c r="O297" s="19" t="str">
        <f aca="false">IF(OR($A297="",INDEX(_LEITURA!$Q$2:$Q$21,5)=0),"",SUMIFS(DECKS!$D$2:$D$1201,DECKS!$A$2:$A$1201,INDEX(_LEITURA!$P$2:$P$21,5),DECKS!$B$2:$B$1201,$A297))</f>
        <v/>
      </c>
      <c r="P297" s="19" t="str">
        <f aca="false">IF(OR($A297="",INDEX(_LEITURA!$Q$2:$Q$21,6)=0),"",SUMIFS(DECKS!$D$2:$D$1201,DECKS!$A$2:$A$1201,INDEX(_LEITURA!$P$2:$P$21,6),DECKS!$B$2:$B$1201,$A297))</f>
        <v/>
      </c>
      <c r="Q297" s="19" t="str">
        <f aca="false">IF(OR($A297="",INDEX(_LEITURA!$Q$2:$Q$21,7)=0),"",SUMIFS(DECKS!$D$2:$D$1201,DECKS!$A$2:$A$1201,INDEX(_LEITURA!$P$2:$P$21,7),DECKS!$B$2:$B$1201,$A297))</f>
        <v/>
      </c>
      <c r="R297" s="19" t="str">
        <f aca="false">IF(OR($A297="",INDEX(_LEITURA!$Q$2:$Q$21,8)=0),"",SUMIFS(DECKS!$D$2:$D$1201,DECKS!$A$2:$A$1201,INDEX(_LEITURA!$P$2:$P$21,8),DECKS!$B$2:$B$1201,$A297))</f>
        <v/>
      </c>
      <c r="S297" s="19" t="str">
        <f aca="false">IF(OR($A297="",INDEX(_LEITURA!$Q$2:$Q$21,9)=0),"",SUMIFS(DECKS!$D$2:$D$1201,DECKS!$A$2:$A$1201,INDEX(_LEITURA!$P$2:$P$21,9),DECKS!$B$2:$B$1201,$A297))</f>
        <v/>
      </c>
      <c r="T297" s="19" t="str">
        <f aca="false">IF(OR($A297="",INDEX(_LEITURA!$Q$2:$Q$21,10)=0),"",SUMIFS(DECKS!$D$2:$D$1201,DECKS!$A$2:$A$1201,INDEX(_LEITURA!$P$2:$P$21,10),DECKS!$B$2:$B$1201,$A297))</f>
        <v/>
      </c>
      <c r="U297" s="19" t="str">
        <f aca="false">IF(OR($A297="",INDEX(_LEITURA!$Q$2:$Q$21,11)=0),"",SUMIFS(DECKS!$D$2:$D$1201,DECKS!$A$2:$A$1201,INDEX(_LEITURA!$P$2:$P$21,11),DECKS!$B$2:$B$1201,$A297))</f>
        <v/>
      </c>
      <c r="V297" s="19" t="str">
        <f aca="false">IF(OR($A297="",INDEX(_LEITURA!$Q$2:$Q$21,12)=0),"",SUMIFS(DECKS!$D$2:$D$1201,DECKS!$A$2:$A$1201,INDEX(_LEITURA!$P$2:$P$21,12),DECKS!$B$2:$B$1201,$A297))</f>
        <v/>
      </c>
      <c r="W297" s="19" t="str">
        <f aca="false">IF(OR($A297="",INDEX(_LEITURA!$Q$2:$Q$21,13)=0),"",SUMIFS(DECKS!$D$2:$D$1201,DECKS!$A$2:$A$1201,INDEX(_LEITURA!$P$2:$P$21,13),DECKS!$B$2:$B$1201,$A297))</f>
        <v/>
      </c>
      <c r="X297" s="19" t="str">
        <f aca="false">IF(OR($A297="",INDEX(_LEITURA!$Q$2:$Q$21,14)=0),"",SUMIFS(DECKS!$D$2:$D$1201,DECKS!$A$2:$A$1201,INDEX(_LEITURA!$P$2:$P$21,14),DECKS!$B$2:$B$1201,$A297))</f>
        <v/>
      </c>
      <c r="Y297" s="19" t="str">
        <f aca="false">IF(OR($A297="",INDEX(_LEITURA!$Q$2:$Q$21,15)=0),"",SUMIFS(DECKS!$D$2:$D$1201,DECKS!$A$2:$A$1201,INDEX(_LEITURA!$P$2:$P$21,15),DECKS!$B$2:$B$1201,$A297))</f>
        <v/>
      </c>
      <c r="Z297" s="19" t="str">
        <f aca="false">IF(OR($A297="",INDEX(_LEITURA!$Q$2:$Q$21,16)=0),"",SUMIFS(DECKS!$D$2:$D$1201,DECKS!$A$2:$A$1201,INDEX(_LEITURA!$P$2:$P$21,16),DECKS!$B$2:$B$1201,$A297))</f>
        <v/>
      </c>
      <c r="AA297" s="19" t="str">
        <f aca="false">IF(OR($A297="",INDEX(_LEITURA!$Q$2:$Q$21,17)=0),"",SUMIFS(DECKS!$D$2:$D$1201,DECKS!$A$2:$A$1201,INDEX(_LEITURA!$P$2:$P$21,17),DECKS!$B$2:$B$1201,$A297))</f>
        <v/>
      </c>
      <c r="AB297" s="19" t="str">
        <f aca="false">IF(OR($A297="",INDEX(_LEITURA!$Q$2:$Q$21,18)=0),"",SUMIFS(DECKS!$D$2:$D$1201,DECKS!$A$2:$A$1201,INDEX(_LEITURA!$P$2:$P$21,18),DECKS!$B$2:$B$1201,$A297))</f>
        <v/>
      </c>
      <c r="AC297" s="19" t="str">
        <f aca="false">IF(OR($A297="",INDEX(_LEITURA!$Q$2:$Q$21,19)=0),"",SUMIFS(DECKS!$D$2:$D$1201,DECKS!$A$2:$A$1201,INDEX(_LEITURA!$P$2:$P$21,19),DECKS!$B$2:$B$1201,$A297))</f>
        <v/>
      </c>
      <c r="AD297" s="19" t="str">
        <f aca="false">IF(OR($A297="",INDEX(_LEITURA!$Q$2:$Q$21,20)=0),"",SUMIFS(DECKS!$D$2:$D$1201,DECKS!$A$2:$A$1201,INDEX(_LEITURA!$P$2:$P$21,20),DECKS!$B$2:$B$1201,$A297))</f>
        <v/>
      </c>
      <c r="AE297" s="16" t="str">
        <f aca="false">IF(N(E297)&gt;0,MAX(AE$1:AE296)+1,"")</f>
        <v/>
      </c>
      <c r="AF297" s="11" t="str">
        <f aca="false">IF(A297="","",IFERROR(LEFT(A297,FIND("-",A297)-1),A297))</f>
        <v/>
      </c>
      <c r="AG297" s="11" t="str">
        <f aca="false">IF(AF297="","",IF(ISNUMBER(--MID(AF297,1,1)),0,IF(ISNUMBER(--MID(AF297,2,1)),1,IF(ISNUMBER(--MID(AF297,3,1)),2,IF(ISNUMBER(--MID(AF297,4,1)),3,MIN(LEN(AF297),4))))))</f>
        <v/>
      </c>
      <c r="AH297" s="11" t="str">
        <f aca="false">IF(A297="","",LEFT(AF297,AG297)&amp;REPT("0",4-AG297)&amp;RIGHT("000"&amp;IFERROR(VALUE(MID(AF297,AG297+1,9)),0),3)&amp;RIGHT("0000"&amp;IFERROR(VALUE(MID(A297,FIND("-",A297)+1,9)),0),4))</f>
        <v/>
      </c>
      <c r="AI297" s="11" t="str">
        <f aca="false">IF(OR(A297="",N(E297)&lt;=0),"",IF('FALTAS GERAL'!$M$1="Código","K"&amp;AH297&amp;RIGHT("00000"&amp;ROW(),5),IF('FALTAS GERAL'!$M$1="Nome","K"&amp;UPPER(SUBSTITUTE(SUBSTITUTE(SUBSTITUTE(B297,"*",""),"?",""),"~",""))&amp;"0"&amp;AH297&amp;RIGHT("00000"&amp;ROW(),5),IF('FALTAS GERAL'!$M$1="Falta (maior primeiro)","K"&amp;RIGHT("0000"&amp;(9999-E297),4)&amp;AH297&amp;RIGHT("00000"&amp;ROW(),5),IF('FALTAS GERAL'!$M$1="Nº de decks (maior primeiro)","K"&amp;RIGHT("00"&amp;(99-N(G297)),2)&amp;AH297&amp;RIGHT("00000"&amp;ROW(),5),"K"&amp;RIGHT("00000"&amp;ROW(),5))))))</f>
        <v/>
      </c>
      <c r="AJ297" s="11" t="str">
        <f aca="false">IF(AI297="","",COUNTIFS($AI$2:$AI$801,"&lt;"&amp;AI297,$E$2:$E$801,"&gt;0")+1)</f>
        <v/>
      </c>
      <c r="AK297" s="11" t="str">
        <f aca="false">IF(OR(A297="",N(E297)&lt;=0),"",COUNTIFS($AH$2:$AH$801,"&lt;"&amp;AH297,$E$2:$E$801,"&gt;0")+COUNTIFS($AH$2:AH297,AH297,$E$2:E297,"&gt;0"))</f>
        <v/>
      </c>
    </row>
    <row r="298" customFormat="false" ht="15" hidden="false" customHeight="false" outlineLevel="0" collapsed="false">
      <c r="A298" s="11" t="str">
        <f aca="false">IF(INVENTÁRIO!A298="","",INVENTÁRIO!A298)</f>
        <v/>
      </c>
      <c r="B298" s="11" t="str">
        <f aca="false">IF(A298="","",INVENTÁRIO!B298)</f>
        <v/>
      </c>
      <c r="C298" s="16" t="str">
        <f aca="false">IF(A298="","",INVENTÁRIO!C298)</f>
        <v/>
      </c>
      <c r="D298" s="14" t="str">
        <f aca="false">IF(A298="","",MAX(K298:AD298))</f>
        <v/>
      </c>
      <c r="E298" s="14" t="str">
        <f aca="false">IF(A298="","",MAX(0,D298-C298))</f>
        <v/>
      </c>
      <c r="F298" s="16" t="str">
        <f aca="false">IF(A298="","",IF(D298=0,"Fora dos decks",IF(E298=0,"Completo","Falta")))</f>
        <v/>
      </c>
      <c r="G298" s="16" t="str">
        <f aca="false">IF(A298="","",COUNTIF(K298:AD298,"&gt;0"))</f>
        <v/>
      </c>
      <c r="H298" s="16" t="str">
        <f aca="false">IF(A298="","",IF(G298&gt;1,"Sim",""))</f>
        <v/>
      </c>
      <c r="I298" s="18" t="str">
        <f aca="false">IF(A298="","",SUMIFS(DECKS!$D$2:$D$1201,DECKS!$B$2:$B$1201,A298))</f>
        <v/>
      </c>
      <c r="J298" s="18" t="str">
        <f aca="false">IF(A298="","",MAX(0,I298-C298))</f>
        <v/>
      </c>
      <c r="K298" s="19" t="str">
        <f aca="false">IF(OR($A298="",INDEX(_LEITURA!$Q$2:$Q$21,1)=0),"",SUMIFS(DECKS!$D$2:$D$1201,DECKS!$A$2:$A$1201,INDEX(_LEITURA!$P$2:$P$21,1),DECKS!$B$2:$B$1201,$A298))</f>
        <v/>
      </c>
      <c r="L298" s="19" t="str">
        <f aca="false">IF(OR($A298="",INDEX(_LEITURA!$Q$2:$Q$21,2)=0),"",SUMIFS(DECKS!$D$2:$D$1201,DECKS!$A$2:$A$1201,INDEX(_LEITURA!$P$2:$P$21,2),DECKS!$B$2:$B$1201,$A298))</f>
        <v/>
      </c>
      <c r="M298" s="19" t="str">
        <f aca="false">IF(OR($A298="",INDEX(_LEITURA!$Q$2:$Q$21,3)=0),"",SUMIFS(DECKS!$D$2:$D$1201,DECKS!$A$2:$A$1201,INDEX(_LEITURA!$P$2:$P$21,3),DECKS!$B$2:$B$1201,$A298))</f>
        <v/>
      </c>
      <c r="N298" s="19" t="str">
        <f aca="false">IF(OR($A298="",INDEX(_LEITURA!$Q$2:$Q$21,4)=0),"",SUMIFS(DECKS!$D$2:$D$1201,DECKS!$A$2:$A$1201,INDEX(_LEITURA!$P$2:$P$21,4),DECKS!$B$2:$B$1201,$A298))</f>
        <v/>
      </c>
      <c r="O298" s="19" t="str">
        <f aca="false">IF(OR($A298="",INDEX(_LEITURA!$Q$2:$Q$21,5)=0),"",SUMIFS(DECKS!$D$2:$D$1201,DECKS!$A$2:$A$1201,INDEX(_LEITURA!$P$2:$P$21,5),DECKS!$B$2:$B$1201,$A298))</f>
        <v/>
      </c>
      <c r="P298" s="19" t="str">
        <f aca="false">IF(OR($A298="",INDEX(_LEITURA!$Q$2:$Q$21,6)=0),"",SUMIFS(DECKS!$D$2:$D$1201,DECKS!$A$2:$A$1201,INDEX(_LEITURA!$P$2:$P$21,6),DECKS!$B$2:$B$1201,$A298))</f>
        <v/>
      </c>
      <c r="Q298" s="19" t="str">
        <f aca="false">IF(OR($A298="",INDEX(_LEITURA!$Q$2:$Q$21,7)=0),"",SUMIFS(DECKS!$D$2:$D$1201,DECKS!$A$2:$A$1201,INDEX(_LEITURA!$P$2:$P$21,7),DECKS!$B$2:$B$1201,$A298))</f>
        <v/>
      </c>
      <c r="R298" s="19" t="str">
        <f aca="false">IF(OR($A298="",INDEX(_LEITURA!$Q$2:$Q$21,8)=0),"",SUMIFS(DECKS!$D$2:$D$1201,DECKS!$A$2:$A$1201,INDEX(_LEITURA!$P$2:$P$21,8),DECKS!$B$2:$B$1201,$A298))</f>
        <v/>
      </c>
      <c r="S298" s="19" t="str">
        <f aca="false">IF(OR($A298="",INDEX(_LEITURA!$Q$2:$Q$21,9)=0),"",SUMIFS(DECKS!$D$2:$D$1201,DECKS!$A$2:$A$1201,INDEX(_LEITURA!$P$2:$P$21,9),DECKS!$B$2:$B$1201,$A298))</f>
        <v/>
      </c>
      <c r="T298" s="19" t="str">
        <f aca="false">IF(OR($A298="",INDEX(_LEITURA!$Q$2:$Q$21,10)=0),"",SUMIFS(DECKS!$D$2:$D$1201,DECKS!$A$2:$A$1201,INDEX(_LEITURA!$P$2:$P$21,10),DECKS!$B$2:$B$1201,$A298))</f>
        <v/>
      </c>
      <c r="U298" s="19" t="str">
        <f aca="false">IF(OR($A298="",INDEX(_LEITURA!$Q$2:$Q$21,11)=0),"",SUMIFS(DECKS!$D$2:$D$1201,DECKS!$A$2:$A$1201,INDEX(_LEITURA!$P$2:$P$21,11),DECKS!$B$2:$B$1201,$A298))</f>
        <v/>
      </c>
      <c r="V298" s="19" t="str">
        <f aca="false">IF(OR($A298="",INDEX(_LEITURA!$Q$2:$Q$21,12)=0),"",SUMIFS(DECKS!$D$2:$D$1201,DECKS!$A$2:$A$1201,INDEX(_LEITURA!$P$2:$P$21,12),DECKS!$B$2:$B$1201,$A298))</f>
        <v/>
      </c>
      <c r="W298" s="19" t="str">
        <f aca="false">IF(OR($A298="",INDEX(_LEITURA!$Q$2:$Q$21,13)=0),"",SUMIFS(DECKS!$D$2:$D$1201,DECKS!$A$2:$A$1201,INDEX(_LEITURA!$P$2:$P$21,13),DECKS!$B$2:$B$1201,$A298))</f>
        <v/>
      </c>
      <c r="X298" s="19" t="str">
        <f aca="false">IF(OR($A298="",INDEX(_LEITURA!$Q$2:$Q$21,14)=0),"",SUMIFS(DECKS!$D$2:$D$1201,DECKS!$A$2:$A$1201,INDEX(_LEITURA!$P$2:$P$21,14),DECKS!$B$2:$B$1201,$A298))</f>
        <v/>
      </c>
      <c r="Y298" s="19" t="str">
        <f aca="false">IF(OR($A298="",INDEX(_LEITURA!$Q$2:$Q$21,15)=0),"",SUMIFS(DECKS!$D$2:$D$1201,DECKS!$A$2:$A$1201,INDEX(_LEITURA!$P$2:$P$21,15),DECKS!$B$2:$B$1201,$A298))</f>
        <v/>
      </c>
      <c r="Z298" s="19" t="str">
        <f aca="false">IF(OR($A298="",INDEX(_LEITURA!$Q$2:$Q$21,16)=0),"",SUMIFS(DECKS!$D$2:$D$1201,DECKS!$A$2:$A$1201,INDEX(_LEITURA!$P$2:$P$21,16),DECKS!$B$2:$B$1201,$A298))</f>
        <v/>
      </c>
      <c r="AA298" s="19" t="str">
        <f aca="false">IF(OR($A298="",INDEX(_LEITURA!$Q$2:$Q$21,17)=0),"",SUMIFS(DECKS!$D$2:$D$1201,DECKS!$A$2:$A$1201,INDEX(_LEITURA!$P$2:$P$21,17),DECKS!$B$2:$B$1201,$A298))</f>
        <v/>
      </c>
      <c r="AB298" s="19" t="str">
        <f aca="false">IF(OR($A298="",INDEX(_LEITURA!$Q$2:$Q$21,18)=0),"",SUMIFS(DECKS!$D$2:$D$1201,DECKS!$A$2:$A$1201,INDEX(_LEITURA!$P$2:$P$21,18),DECKS!$B$2:$B$1201,$A298))</f>
        <v/>
      </c>
      <c r="AC298" s="19" t="str">
        <f aca="false">IF(OR($A298="",INDEX(_LEITURA!$Q$2:$Q$21,19)=0),"",SUMIFS(DECKS!$D$2:$D$1201,DECKS!$A$2:$A$1201,INDEX(_LEITURA!$P$2:$P$21,19),DECKS!$B$2:$B$1201,$A298))</f>
        <v/>
      </c>
      <c r="AD298" s="19" t="str">
        <f aca="false">IF(OR($A298="",INDEX(_LEITURA!$Q$2:$Q$21,20)=0),"",SUMIFS(DECKS!$D$2:$D$1201,DECKS!$A$2:$A$1201,INDEX(_LEITURA!$P$2:$P$21,20),DECKS!$B$2:$B$1201,$A298))</f>
        <v/>
      </c>
      <c r="AE298" s="16" t="str">
        <f aca="false">IF(N(E298)&gt;0,MAX(AE$1:AE297)+1,"")</f>
        <v/>
      </c>
      <c r="AF298" s="11" t="str">
        <f aca="false">IF(A298="","",IFERROR(LEFT(A298,FIND("-",A298)-1),A298))</f>
        <v/>
      </c>
      <c r="AG298" s="11" t="str">
        <f aca="false">IF(AF298="","",IF(ISNUMBER(--MID(AF298,1,1)),0,IF(ISNUMBER(--MID(AF298,2,1)),1,IF(ISNUMBER(--MID(AF298,3,1)),2,IF(ISNUMBER(--MID(AF298,4,1)),3,MIN(LEN(AF298),4))))))</f>
        <v/>
      </c>
      <c r="AH298" s="11" t="str">
        <f aca="false">IF(A298="","",LEFT(AF298,AG298)&amp;REPT("0",4-AG298)&amp;RIGHT("000"&amp;IFERROR(VALUE(MID(AF298,AG298+1,9)),0),3)&amp;RIGHT("0000"&amp;IFERROR(VALUE(MID(A298,FIND("-",A298)+1,9)),0),4))</f>
        <v/>
      </c>
      <c r="AI298" s="11" t="str">
        <f aca="false">IF(OR(A298="",N(E298)&lt;=0),"",IF('FALTAS GERAL'!$M$1="Código","K"&amp;AH298&amp;RIGHT("00000"&amp;ROW(),5),IF('FALTAS GERAL'!$M$1="Nome","K"&amp;UPPER(SUBSTITUTE(SUBSTITUTE(SUBSTITUTE(B298,"*",""),"?",""),"~",""))&amp;"0"&amp;AH298&amp;RIGHT("00000"&amp;ROW(),5),IF('FALTAS GERAL'!$M$1="Falta (maior primeiro)","K"&amp;RIGHT("0000"&amp;(9999-E298),4)&amp;AH298&amp;RIGHT("00000"&amp;ROW(),5),IF('FALTAS GERAL'!$M$1="Nº de decks (maior primeiro)","K"&amp;RIGHT("00"&amp;(99-N(G298)),2)&amp;AH298&amp;RIGHT("00000"&amp;ROW(),5),"K"&amp;RIGHT("00000"&amp;ROW(),5))))))</f>
        <v/>
      </c>
      <c r="AJ298" s="11" t="str">
        <f aca="false">IF(AI298="","",COUNTIFS($AI$2:$AI$801,"&lt;"&amp;AI298,$E$2:$E$801,"&gt;0")+1)</f>
        <v/>
      </c>
      <c r="AK298" s="11" t="str">
        <f aca="false">IF(OR(A298="",N(E298)&lt;=0),"",COUNTIFS($AH$2:$AH$801,"&lt;"&amp;AH298,$E$2:$E$801,"&gt;0")+COUNTIFS($AH$2:AH298,AH298,$E$2:E298,"&gt;0"))</f>
        <v/>
      </c>
    </row>
    <row r="299" customFormat="false" ht="15" hidden="false" customHeight="false" outlineLevel="0" collapsed="false">
      <c r="A299" s="11" t="str">
        <f aca="false">IF(INVENTÁRIO!A299="","",INVENTÁRIO!A299)</f>
        <v/>
      </c>
      <c r="B299" s="11" t="str">
        <f aca="false">IF(A299="","",INVENTÁRIO!B299)</f>
        <v/>
      </c>
      <c r="C299" s="16" t="str">
        <f aca="false">IF(A299="","",INVENTÁRIO!C299)</f>
        <v/>
      </c>
      <c r="D299" s="14" t="str">
        <f aca="false">IF(A299="","",MAX(K299:AD299))</f>
        <v/>
      </c>
      <c r="E299" s="14" t="str">
        <f aca="false">IF(A299="","",MAX(0,D299-C299))</f>
        <v/>
      </c>
      <c r="F299" s="16" t="str">
        <f aca="false">IF(A299="","",IF(D299=0,"Fora dos decks",IF(E299=0,"Completo","Falta")))</f>
        <v/>
      </c>
      <c r="G299" s="16" t="str">
        <f aca="false">IF(A299="","",COUNTIF(K299:AD299,"&gt;0"))</f>
        <v/>
      </c>
      <c r="H299" s="16" t="str">
        <f aca="false">IF(A299="","",IF(G299&gt;1,"Sim",""))</f>
        <v/>
      </c>
      <c r="I299" s="18" t="str">
        <f aca="false">IF(A299="","",SUMIFS(DECKS!$D$2:$D$1201,DECKS!$B$2:$B$1201,A299))</f>
        <v/>
      </c>
      <c r="J299" s="18" t="str">
        <f aca="false">IF(A299="","",MAX(0,I299-C299))</f>
        <v/>
      </c>
      <c r="K299" s="19" t="str">
        <f aca="false">IF(OR($A299="",INDEX(_LEITURA!$Q$2:$Q$21,1)=0),"",SUMIFS(DECKS!$D$2:$D$1201,DECKS!$A$2:$A$1201,INDEX(_LEITURA!$P$2:$P$21,1),DECKS!$B$2:$B$1201,$A299))</f>
        <v/>
      </c>
      <c r="L299" s="19" t="str">
        <f aca="false">IF(OR($A299="",INDEX(_LEITURA!$Q$2:$Q$21,2)=0),"",SUMIFS(DECKS!$D$2:$D$1201,DECKS!$A$2:$A$1201,INDEX(_LEITURA!$P$2:$P$21,2),DECKS!$B$2:$B$1201,$A299))</f>
        <v/>
      </c>
      <c r="M299" s="19" t="str">
        <f aca="false">IF(OR($A299="",INDEX(_LEITURA!$Q$2:$Q$21,3)=0),"",SUMIFS(DECKS!$D$2:$D$1201,DECKS!$A$2:$A$1201,INDEX(_LEITURA!$P$2:$P$21,3),DECKS!$B$2:$B$1201,$A299))</f>
        <v/>
      </c>
      <c r="N299" s="19" t="str">
        <f aca="false">IF(OR($A299="",INDEX(_LEITURA!$Q$2:$Q$21,4)=0),"",SUMIFS(DECKS!$D$2:$D$1201,DECKS!$A$2:$A$1201,INDEX(_LEITURA!$P$2:$P$21,4),DECKS!$B$2:$B$1201,$A299))</f>
        <v/>
      </c>
      <c r="O299" s="19" t="str">
        <f aca="false">IF(OR($A299="",INDEX(_LEITURA!$Q$2:$Q$21,5)=0),"",SUMIFS(DECKS!$D$2:$D$1201,DECKS!$A$2:$A$1201,INDEX(_LEITURA!$P$2:$P$21,5),DECKS!$B$2:$B$1201,$A299))</f>
        <v/>
      </c>
      <c r="P299" s="19" t="str">
        <f aca="false">IF(OR($A299="",INDEX(_LEITURA!$Q$2:$Q$21,6)=0),"",SUMIFS(DECKS!$D$2:$D$1201,DECKS!$A$2:$A$1201,INDEX(_LEITURA!$P$2:$P$21,6),DECKS!$B$2:$B$1201,$A299))</f>
        <v/>
      </c>
      <c r="Q299" s="19" t="str">
        <f aca="false">IF(OR($A299="",INDEX(_LEITURA!$Q$2:$Q$21,7)=0),"",SUMIFS(DECKS!$D$2:$D$1201,DECKS!$A$2:$A$1201,INDEX(_LEITURA!$P$2:$P$21,7),DECKS!$B$2:$B$1201,$A299))</f>
        <v/>
      </c>
      <c r="R299" s="19" t="str">
        <f aca="false">IF(OR($A299="",INDEX(_LEITURA!$Q$2:$Q$21,8)=0),"",SUMIFS(DECKS!$D$2:$D$1201,DECKS!$A$2:$A$1201,INDEX(_LEITURA!$P$2:$P$21,8),DECKS!$B$2:$B$1201,$A299))</f>
        <v/>
      </c>
      <c r="S299" s="19" t="str">
        <f aca="false">IF(OR($A299="",INDEX(_LEITURA!$Q$2:$Q$21,9)=0),"",SUMIFS(DECKS!$D$2:$D$1201,DECKS!$A$2:$A$1201,INDEX(_LEITURA!$P$2:$P$21,9),DECKS!$B$2:$B$1201,$A299))</f>
        <v/>
      </c>
      <c r="T299" s="19" t="str">
        <f aca="false">IF(OR($A299="",INDEX(_LEITURA!$Q$2:$Q$21,10)=0),"",SUMIFS(DECKS!$D$2:$D$1201,DECKS!$A$2:$A$1201,INDEX(_LEITURA!$P$2:$P$21,10),DECKS!$B$2:$B$1201,$A299))</f>
        <v/>
      </c>
      <c r="U299" s="19" t="str">
        <f aca="false">IF(OR($A299="",INDEX(_LEITURA!$Q$2:$Q$21,11)=0),"",SUMIFS(DECKS!$D$2:$D$1201,DECKS!$A$2:$A$1201,INDEX(_LEITURA!$P$2:$P$21,11),DECKS!$B$2:$B$1201,$A299))</f>
        <v/>
      </c>
      <c r="V299" s="19" t="str">
        <f aca="false">IF(OR($A299="",INDEX(_LEITURA!$Q$2:$Q$21,12)=0),"",SUMIFS(DECKS!$D$2:$D$1201,DECKS!$A$2:$A$1201,INDEX(_LEITURA!$P$2:$P$21,12),DECKS!$B$2:$B$1201,$A299))</f>
        <v/>
      </c>
      <c r="W299" s="19" t="str">
        <f aca="false">IF(OR($A299="",INDEX(_LEITURA!$Q$2:$Q$21,13)=0),"",SUMIFS(DECKS!$D$2:$D$1201,DECKS!$A$2:$A$1201,INDEX(_LEITURA!$P$2:$P$21,13),DECKS!$B$2:$B$1201,$A299))</f>
        <v/>
      </c>
      <c r="X299" s="19" t="str">
        <f aca="false">IF(OR($A299="",INDEX(_LEITURA!$Q$2:$Q$21,14)=0),"",SUMIFS(DECKS!$D$2:$D$1201,DECKS!$A$2:$A$1201,INDEX(_LEITURA!$P$2:$P$21,14),DECKS!$B$2:$B$1201,$A299))</f>
        <v/>
      </c>
      <c r="Y299" s="19" t="str">
        <f aca="false">IF(OR($A299="",INDEX(_LEITURA!$Q$2:$Q$21,15)=0),"",SUMIFS(DECKS!$D$2:$D$1201,DECKS!$A$2:$A$1201,INDEX(_LEITURA!$P$2:$P$21,15),DECKS!$B$2:$B$1201,$A299))</f>
        <v/>
      </c>
      <c r="Z299" s="19" t="str">
        <f aca="false">IF(OR($A299="",INDEX(_LEITURA!$Q$2:$Q$21,16)=0),"",SUMIFS(DECKS!$D$2:$D$1201,DECKS!$A$2:$A$1201,INDEX(_LEITURA!$P$2:$P$21,16),DECKS!$B$2:$B$1201,$A299))</f>
        <v/>
      </c>
      <c r="AA299" s="19" t="str">
        <f aca="false">IF(OR($A299="",INDEX(_LEITURA!$Q$2:$Q$21,17)=0),"",SUMIFS(DECKS!$D$2:$D$1201,DECKS!$A$2:$A$1201,INDEX(_LEITURA!$P$2:$P$21,17),DECKS!$B$2:$B$1201,$A299))</f>
        <v/>
      </c>
      <c r="AB299" s="19" t="str">
        <f aca="false">IF(OR($A299="",INDEX(_LEITURA!$Q$2:$Q$21,18)=0),"",SUMIFS(DECKS!$D$2:$D$1201,DECKS!$A$2:$A$1201,INDEX(_LEITURA!$P$2:$P$21,18),DECKS!$B$2:$B$1201,$A299))</f>
        <v/>
      </c>
      <c r="AC299" s="19" t="str">
        <f aca="false">IF(OR($A299="",INDEX(_LEITURA!$Q$2:$Q$21,19)=0),"",SUMIFS(DECKS!$D$2:$D$1201,DECKS!$A$2:$A$1201,INDEX(_LEITURA!$P$2:$P$21,19),DECKS!$B$2:$B$1201,$A299))</f>
        <v/>
      </c>
      <c r="AD299" s="19" t="str">
        <f aca="false">IF(OR($A299="",INDEX(_LEITURA!$Q$2:$Q$21,20)=0),"",SUMIFS(DECKS!$D$2:$D$1201,DECKS!$A$2:$A$1201,INDEX(_LEITURA!$P$2:$P$21,20),DECKS!$B$2:$B$1201,$A299))</f>
        <v/>
      </c>
      <c r="AE299" s="16" t="str">
        <f aca="false">IF(N(E299)&gt;0,MAX(AE$1:AE298)+1,"")</f>
        <v/>
      </c>
      <c r="AF299" s="11" t="str">
        <f aca="false">IF(A299="","",IFERROR(LEFT(A299,FIND("-",A299)-1),A299))</f>
        <v/>
      </c>
      <c r="AG299" s="11" t="str">
        <f aca="false">IF(AF299="","",IF(ISNUMBER(--MID(AF299,1,1)),0,IF(ISNUMBER(--MID(AF299,2,1)),1,IF(ISNUMBER(--MID(AF299,3,1)),2,IF(ISNUMBER(--MID(AF299,4,1)),3,MIN(LEN(AF299),4))))))</f>
        <v/>
      </c>
      <c r="AH299" s="11" t="str">
        <f aca="false">IF(A299="","",LEFT(AF299,AG299)&amp;REPT("0",4-AG299)&amp;RIGHT("000"&amp;IFERROR(VALUE(MID(AF299,AG299+1,9)),0),3)&amp;RIGHT("0000"&amp;IFERROR(VALUE(MID(A299,FIND("-",A299)+1,9)),0),4))</f>
        <v/>
      </c>
      <c r="AI299" s="11" t="str">
        <f aca="false">IF(OR(A299="",N(E299)&lt;=0),"",IF('FALTAS GERAL'!$M$1="Código","K"&amp;AH299&amp;RIGHT("00000"&amp;ROW(),5),IF('FALTAS GERAL'!$M$1="Nome","K"&amp;UPPER(SUBSTITUTE(SUBSTITUTE(SUBSTITUTE(B299,"*",""),"?",""),"~",""))&amp;"0"&amp;AH299&amp;RIGHT("00000"&amp;ROW(),5),IF('FALTAS GERAL'!$M$1="Falta (maior primeiro)","K"&amp;RIGHT("0000"&amp;(9999-E299),4)&amp;AH299&amp;RIGHT("00000"&amp;ROW(),5),IF('FALTAS GERAL'!$M$1="Nº de decks (maior primeiro)","K"&amp;RIGHT("00"&amp;(99-N(G299)),2)&amp;AH299&amp;RIGHT("00000"&amp;ROW(),5),"K"&amp;RIGHT("00000"&amp;ROW(),5))))))</f>
        <v/>
      </c>
      <c r="AJ299" s="11" t="str">
        <f aca="false">IF(AI299="","",COUNTIFS($AI$2:$AI$801,"&lt;"&amp;AI299,$E$2:$E$801,"&gt;0")+1)</f>
        <v/>
      </c>
      <c r="AK299" s="11" t="str">
        <f aca="false">IF(OR(A299="",N(E299)&lt;=0),"",COUNTIFS($AH$2:$AH$801,"&lt;"&amp;AH299,$E$2:$E$801,"&gt;0")+COUNTIFS($AH$2:AH299,AH299,$E$2:E299,"&gt;0"))</f>
        <v/>
      </c>
    </row>
    <row r="300" customFormat="false" ht="15" hidden="false" customHeight="false" outlineLevel="0" collapsed="false">
      <c r="A300" s="11" t="str">
        <f aca="false">IF(INVENTÁRIO!A300="","",INVENTÁRIO!A300)</f>
        <v/>
      </c>
      <c r="B300" s="11" t="str">
        <f aca="false">IF(A300="","",INVENTÁRIO!B300)</f>
        <v/>
      </c>
      <c r="C300" s="16" t="str">
        <f aca="false">IF(A300="","",INVENTÁRIO!C300)</f>
        <v/>
      </c>
      <c r="D300" s="14" t="str">
        <f aca="false">IF(A300="","",MAX(K300:AD300))</f>
        <v/>
      </c>
      <c r="E300" s="14" t="str">
        <f aca="false">IF(A300="","",MAX(0,D300-C300))</f>
        <v/>
      </c>
      <c r="F300" s="16" t="str">
        <f aca="false">IF(A300="","",IF(D300=0,"Fora dos decks",IF(E300=0,"Completo","Falta")))</f>
        <v/>
      </c>
      <c r="G300" s="16" t="str">
        <f aca="false">IF(A300="","",COUNTIF(K300:AD300,"&gt;0"))</f>
        <v/>
      </c>
      <c r="H300" s="16" t="str">
        <f aca="false">IF(A300="","",IF(G300&gt;1,"Sim",""))</f>
        <v/>
      </c>
      <c r="I300" s="18" t="str">
        <f aca="false">IF(A300="","",SUMIFS(DECKS!$D$2:$D$1201,DECKS!$B$2:$B$1201,A300))</f>
        <v/>
      </c>
      <c r="J300" s="18" t="str">
        <f aca="false">IF(A300="","",MAX(0,I300-C300))</f>
        <v/>
      </c>
      <c r="K300" s="19" t="str">
        <f aca="false">IF(OR($A300="",INDEX(_LEITURA!$Q$2:$Q$21,1)=0),"",SUMIFS(DECKS!$D$2:$D$1201,DECKS!$A$2:$A$1201,INDEX(_LEITURA!$P$2:$P$21,1),DECKS!$B$2:$B$1201,$A300))</f>
        <v/>
      </c>
      <c r="L300" s="19" t="str">
        <f aca="false">IF(OR($A300="",INDEX(_LEITURA!$Q$2:$Q$21,2)=0),"",SUMIFS(DECKS!$D$2:$D$1201,DECKS!$A$2:$A$1201,INDEX(_LEITURA!$P$2:$P$21,2),DECKS!$B$2:$B$1201,$A300))</f>
        <v/>
      </c>
      <c r="M300" s="19" t="str">
        <f aca="false">IF(OR($A300="",INDEX(_LEITURA!$Q$2:$Q$21,3)=0),"",SUMIFS(DECKS!$D$2:$D$1201,DECKS!$A$2:$A$1201,INDEX(_LEITURA!$P$2:$P$21,3),DECKS!$B$2:$B$1201,$A300))</f>
        <v/>
      </c>
      <c r="N300" s="19" t="str">
        <f aca="false">IF(OR($A300="",INDEX(_LEITURA!$Q$2:$Q$21,4)=0),"",SUMIFS(DECKS!$D$2:$D$1201,DECKS!$A$2:$A$1201,INDEX(_LEITURA!$P$2:$P$21,4),DECKS!$B$2:$B$1201,$A300))</f>
        <v/>
      </c>
      <c r="O300" s="19" t="str">
        <f aca="false">IF(OR($A300="",INDEX(_LEITURA!$Q$2:$Q$21,5)=0),"",SUMIFS(DECKS!$D$2:$D$1201,DECKS!$A$2:$A$1201,INDEX(_LEITURA!$P$2:$P$21,5),DECKS!$B$2:$B$1201,$A300))</f>
        <v/>
      </c>
      <c r="P300" s="19" t="str">
        <f aca="false">IF(OR($A300="",INDEX(_LEITURA!$Q$2:$Q$21,6)=0),"",SUMIFS(DECKS!$D$2:$D$1201,DECKS!$A$2:$A$1201,INDEX(_LEITURA!$P$2:$P$21,6),DECKS!$B$2:$B$1201,$A300))</f>
        <v/>
      </c>
      <c r="Q300" s="19" t="str">
        <f aca="false">IF(OR($A300="",INDEX(_LEITURA!$Q$2:$Q$21,7)=0),"",SUMIFS(DECKS!$D$2:$D$1201,DECKS!$A$2:$A$1201,INDEX(_LEITURA!$P$2:$P$21,7),DECKS!$B$2:$B$1201,$A300))</f>
        <v/>
      </c>
      <c r="R300" s="19" t="str">
        <f aca="false">IF(OR($A300="",INDEX(_LEITURA!$Q$2:$Q$21,8)=0),"",SUMIFS(DECKS!$D$2:$D$1201,DECKS!$A$2:$A$1201,INDEX(_LEITURA!$P$2:$P$21,8),DECKS!$B$2:$B$1201,$A300))</f>
        <v/>
      </c>
      <c r="S300" s="19" t="str">
        <f aca="false">IF(OR($A300="",INDEX(_LEITURA!$Q$2:$Q$21,9)=0),"",SUMIFS(DECKS!$D$2:$D$1201,DECKS!$A$2:$A$1201,INDEX(_LEITURA!$P$2:$P$21,9),DECKS!$B$2:$B$1201,$A300))</f>
        <v/>
      </c>
      <c r="T300" s="19" t="str">
        <f aca="false">IF(OR($A300="",INDEX(_LEITURA!$Q$2:$Q$21,10)=0),"",SUMIFS(DECKS!$D$2:$D$1201,DECKS!$A$2:$A$1201,INDEX(_LEITURA!$P$2:$P$21,10),DECKS!$B$2:$B$1201,$A300))</f>
        <v/>
      </c>
      <c r="U300" s="19" t="str">
        <f aca="false">IF(OR($A300="",INDEX(_LEITURA!$Q$2:$Q$21,11)=0),"",SUMIFS(DECKS!$D$2:$D$1201,DECKS!$A$2:$A$1201,INDEX(_LEITURA!$P$2:$P$21,11),DECKS!$B$2:$B$1201,$A300))</f>
        <v/>
      </c>
      <c r="V300" s="19" t="str">
        <f aca="false">IF(OR($A300="",INDEX(_LEITURA!$Q$2:$Q$21,12)=0),"",SUMIFS(DECKS!$D$2:$D$1201,DECKS!$A$2:$A$1201,INDEX(_LEITURA!$P$2:$P$21,12),DECKS!$B$2:$B$1201,$A300))</f>
        <v/>
      </c>
      <c r="W300" s="19" t="str">
        <f aca="false">IF(OR($A300="",INDEX(_LEITURA!$Q$2:$Q$21,13)=0),"",SUMIFS(DECKS!$D$2:$D$1201,DECKS!$A$2:$A$1201,INDEX(_LEITURA!$P$2:$P$21,13),DECKS!$B$2:$B$1201,$A300))</f>
        <v/>
      </c>
      <c r="X300" s="19" t="str">
        <f aca="false">IF(OR($A300="",INDEX(_LEITURA!$Q$2:$Q$21,14)=0),"",SUMIFS(DECKS!$D$2:$D$1201,DECKS!$A$2:$A$1201,INDEX(_LEITURA!$P$2:$P$21,14),DECKS!$B$2:$B$1201,$A300))</f>
        <v/>
      </c>
      <c r="Y300" s="19" t="str">
        <f aca="false">IF(OR($A300="",INDEX(_LEITURA!$Q$2:$Q$21,15)=0),"",SUMIFS(DECKS!$D$2:$D$1201,DECKS!$A$2:$A$1201,INDEX(_LEITURA!$P$2:$P$21,15),DECKS!$B$2:$B$1201,$A300))</f>
        <v/>
      </c>
      <c r="Z300" s="19" t="str">
        <f aca="false">IF(OR($A300="",INDEX(_LEITURA!$Q$2:$Q$21,16)=0),"",SUMIFS(DECKS!$D$2:$D$1201,DECKS!$A$2:$A$1201,INDEX(_LEITURA!$P$2:$P$21,16),DECKS!$B$2:$B$1201,$A300))</f>
        <v/>
      </c>
      <c r="AA300" s="19" t="str">
        <f aca="false">IF(OR($A300="",INDEX(_LEITURA!$Q$2:$Q$21,17)=0),"",SUMIFS(DECKS!$D$2:$D$1201,DECKS!$A$2:$A$1201,INDEX(_LEITURA!$P$2:$P$21,17),DECKS!$B$2:$B$1201,$A300))</f>
        <v/>
      </c>
      <c r="AB300" s="19" t="str">
        <f aca="false">IF(OR($A300="",INDEX(_LEITURA!$Q$2:$Q$21,18)=0),"",SUMIFS(DECKS!$D$2:$D$1201,DECKS!$A$2:$A$1201,INDEX(_LEITURA!$P$2:$P$21,18),DECKS!$B$2:$B$1201,$A300))</f>
        <v/>
      </c>
      <c r="AC300" s="19" t="str">
        <f aca="false">IF(OR($A300="",INDEX(_LEITURA!$Q$2:$Q$21,19)=0),"",SUMIFS(DECKS!$D$2:$D$1201,DECKS!$A$2:$A$1201,INDEX(_LEITURA!$P$2:$P$21,19),DECKS!$B$2:$B$1201,$A300))</f>
        <v/>
      </c>
      <c r="AD300" s="19" t="str">
        <f aca="false">IF(OR($A300="",INDEX(_LEITURA!$Q$2:$Q$21,20)=0),"",SUMIFS(DECKS!$D$2:$D$1201,DECKS!$A$2:$A$1201,INDEX(_LEITURA!$P$2:$P$21,20),DECKS!$B$2:$B$1201,$A300))</f>
        <v/>
      </c>
      <c r="AE300" s="16" t="str">
        <f aca="false">IF(N(E300)&gt;0,MAX(AE$1:AE299)+1,"")</f>
        <v/>
      </c>
      <c r="AF300" s="11" t="str">
        <f aca="false">IF(A300="","",IFERROR(LEFT(A300,FIND("-",A300)-1),A300))</f>
        <v/>
      </c>
      <c r="AG300" s="11" t="str">
        <f aca="false">IF(AF300="","",IF(ISNUMBER(--MID(AF300,1,1)),0,IF(ISNUMBER(--MID(AF300,2,1)),1,IF(ISNUMBER(--MID(AF300,3,1)),2,IF(ISNUMBER(--MID(AF300,4,1)),3,MIN(LEN(AF300),4))))))</f>
        <v/>
      </c>
      <c r="AH300" s="11" t="str">
        <f aca="false">IF(A300="","",LEFT(AF300,AG300)&amp;REPT("0",4-AG300)&amp;RIGHT("000"&amp;IFERROR(VALUE(MID(AF300,AG300+1,9)),0),3)&amp;RIGHT("0000"&amp;IFERROR(VALUE(MID(A300,FIND("-",A300)+1,9)),0),4))</f>
        <v/>
      </c>
      <c r="AI300" s="11" t="str">
        <f aca="false">IF(OR(A300="",N(E300)&lt;=0),"",IF('FALTAS GERAL'!$M$1="Código","K"&amp;AH300&amp;RIGHT("00000"&amp;ROW(),5),IF('FALTAS GERAL'!$M$1="Nome","K"&amp;UPPER(SUBSTITUTE(SUBSTITUTE(SUBSTITUTE(B300,"*",""),"?",""),"~",""))&amp;"0"&amp;AH300&amp;RIGHT("00000"&amp;ROW(),5),IF('FALTAS GERAL'!$M$1="Falta (maior primeiro)","K"&amp;RIGHT("0000"&amp;(9999-E300),4)&amp;AH300&amp;RIGHT("00000"&amp;ROW(),5),IF('FALTAS GERAL'!$M$1="Nº de decks (maior primeiro)","K"&amp;RIGHT("00"&amp;(99-N(G300)),2)&amp;AH300&amp;RIGHT("00000"&amp;ROW(),5),"K"&amp;RIGHT("00000"&amp;ROW(),5))))))</f>
        <v/>
      </c>
      <c r="AJ300" s="11" t="str">
        <f aca="false">IF(AI300="","",COUNTIFS($AI$2:$AI$801,"&lt;"&amp;AI300,$E$2:$E$801,"&gt;0")+1)</f>
        <v/>
      </c>
      <c r="AK300" s="11" t="str">
        <f aca="false">IF(OR(A300="",N(E300)&lt;=0),"",COUNTIFS($AH$2:$AH$801,"&lt;"&amp;AH300,$E$2:$E$801,"&gt;0")+COUNTIFS($AH$2:AH300,AH300,$E$2:E300,"&gt;0"))</f>
        <v/>
      </c>
    </row>
    <row r="301" customFormat="false" ht="15" hidden="false" customHeight="false" outlineLevel="0" collapsed="false">
      <c r="A301" s="11" t="str">
        <f aca="false">IF(INVENTÁRIO!A301="","",INVENTÁRIO!A301)</f>
        <v/>
      </c>
      <c r="B301" s="11" t="str">
        <f aca="false">IF(A301="","",INVENTÁRIO!B301)</f>
        <v/>
      </c>
      <c r="C301" s="16" t="str">
        <f aca="false">IF(A301="","",INVENTÁRIO!C301)</f>
        <v/>
      </c>
      <c r="D301" s="14" t="str">
        <f aca="false">IF(A301="","",MAX(K301:AD301))</f>
        <v/>
      </c>
      <c r="E301" s="14" t="str">
        <f aca="false">IF(A301="","",MAX(0,D301-C301))</f>
        <v/>
      </c>
      <c r="F301" s="16" t="str">
        <f aca="false">IF(A301="","",IF(D301=0,"Fora dos decks",IF(E301=0,"Completo","Falta")))</f>
        <v/>
      </c>
      <c r="G301" s="16" t="str">
        <f aca="false">IF(A301="","",COUNTIF(K301:AD301,"&gt;0"))</f>
        <v/>
      </c>
      <c r="H301" s="16" t="str">
        <f aca="false">IF(A301="","",IF(G301&gt;1,"Sim",""))</f>
        <v/>
      </c>
      <c r="I301" s="18" t="str">
        <f aca="false">IF(A301="","",SUMIFS(DECKS!$D$2:$D$1201,DECKS!$B$2:$B$1201,A301))</f>
        <v/>
      </c>
      <c r="J301" s="18" t="str">
        <f aca="false">IF(A301="","",MAX(0,I301-C301))</f>
        <v/>
      </c>
      <c r="K301" s="19" t="str">
        <f aca="false">IF(OR($A301="",INDEX(_LEITURA!$Q$2:$Q$21,1)=0),"",SUMIFS(DECKS!$D$2:$D$1201,DECKS!$A$2:$A$1201,INDEX(_LEITURA!$P$2:$P$21,1),DECKS!$B$2:$B$1201,$A301))</f>
        <v/>
      </c>
      <c r="L301" s="19" t="str">
        <f aca="false">IF(OR($A301="",INDEX(_LEITURA!$Q$2:$Q$21,2)=0),"",SUMIFS(DECKS!$D$2:$D$1201,DECKS!$A$2:$A$1201,INDEX(_LEITURA!$P$2:$P$21,2),DECKS!$B$2:$B$1201,$A301))</f>
        <v/>
      </c>
      <c r="M301" s="19" t="str">
        <f aca="false">IF(OR($A301="",INDEX(_LEITURA!$Q$2:$Q$21,3)=0),"",SUMIFS(DECKS!$D$2:$D$1201,DECKS!$A$2:$A$1201,INDEX(_LEITURA!$P$2:$P$21,3),DECKS!$B$2:$B$1201,$A301))</f>
        <v/>
      </c>
      <c r="N301" s="19" t="str">
        <f aca="false">IF(OR($A301="",INDEX(_LEITURA!$Q$2:$Q$21,4)=0),"",SUMIFS(DECKS!$D$2:$D$1201,DECKS!$A$2:$A$1201,INDEX(_LEITURA!$P$2:$P$21,4),DECKS!$B$2:$B$1201,$A301))</f>
        <v/>
      </c>
      <c r="O301" s="19" t="str">
        <f aca="false">IF(OR($A301="",INDEX(_LEITURA!$Q$2:$Q$21,5)=0),"",SUMIFS(DECKS!$D$2:$D$1201,DECKS!$A$2:$A$1201,INDEX(_LEITURA!$P$2:$P$21,5),DECKS!$B$2:$B$1201,$A301))</f>
        <v/>
      </c>
      <c r="P301" s="19" t="str">
        <f aca="false">IF(OR($A301="",INDEX(_LEITURA!$Q$2:$Q$21,6)=0),"",SUMIFS(DECKS!$D$2:$D$1201,DECKS!$A$2:$A$1201,INDEX(_LEITURA!$P$2:$P$21,6),DECKS!$B$2:$B$1201,$A301))</f>
        <v/>
      </c>
      <c r="Q301" s="19" t="str">
        <f aca="false">IF(OR($A301="",INDEX(_LEITURA!$Q$2:$Q$21,7)=0),"",SUMIFS(DECKS!$D$2:$D$1201,DECKS!$A$2:$A$1201,INDEX(_LEITURA!$P$2:$P$21,7),DECKS!$B$2:$B$1201,$A301))</f>
        <v/>
      </c>
      <c r="R301" s="19" t="str">
        <f aca="false">IF(OR($A301="",INDEX(_LEITURA!$Q$2:$Q$21,8)=0),"",SUMIFS(DECKS!$D$2:$D$1201,DECKS!$A$2:$A$1201,INDEX(_LEITURA!$P$2:$P$21,8),DECKS!$B$2:$B$1201,$A301))</f>
        <v/>
      </c>
      <c r="S301" s="19" t="str">
        <f aca="false">IF(OR($A301="",INDEX(_LEITURA!$Q$2:$Q$21,9)=0),"",SUMIFS(DECKS!$D$2:$D$1201,DECKS!$A$2:$A$1201,INDEX(_LEITURA!$P$2:$P$21,9),DECKS!$B$2:$B$1201,$A301))</f>
        <v/>
      </c>
      <c r="T301" s="19" t="str">
        <f aca="false">IF(OR($A301="",INDEX(_LEITURA!$Q$2:$Q$21,10)=0),"",SUMIFS(DECKS!$D$2:$D$1201,DECKS!$A$2:$A$1201,INDEX(_LEITURA!$P$2:$P$21,10),DECKS!$B$2:$B$1201,$A301))</f>
        <v/>
      </c>
      <c r="U301" s="19" t="str">
        <f aca="false">IF(OR($A301="",INDEX(_LEITURA!$Q$2:$Q$21,11)=0),"",SUMIFS(DECKS!$D$2:$D$1201,DECKS!$A$2:$A$1201,INDEX(_LEITURA!$P$2:$P$21,11),DECKS!$B$2:$B$1201,$A301))</f>
        <v/>
      </c>
      <c r="V301" s="19" t="str">
        <f aca="false">IF(OR($A301="",INDEX(_LEITURA!$Q$2:$Q$21,12)=0),"",SUMIFS(DECKS!$D$2:$D$1201,DECKS!$A$2:$A$1201,INDEX(_LEITURA!$P$2:$P$21,12),DECKS!$B$2:$B$1201,$A301))</f>
        <v/>
      </c>
      <c r="W301" s="19" t="str">
        <f aca="false">IF(OR($A301="",INDEX(_LEITURA!$Q$2:$Q$21,13)=0),"",SUMIFS(DECKS!$D$2:$D$1201,DECKS!$A$2:$A$1201,INDEX(_LEITURA!$P$2:$P$21,13),DECKS!$B$2:$B$1201,$A301))</f>
        <v/>
      </c>
      <c r="X301" s="19" t="str">
        <f aca="false">IF(OR($A301="",INDEX(_LEITURA!$Q$2:$Q$21,14)=0),"",SUMIFS(DECKS!$D$2:$D$1201,DECKS!$A$2:$A$1201,INDEX(_LEITURA!$P$2:$P$21,14),DECKS!$B$2:$B$1201,$A301))</f>
        <v/>
      </c>
      <c r="Y301" s="19" t="str">
        <f aca="false">IF(OR($A301="",INDEX(_LEITURA!$Q$2:$Q$21,15)=0),"",SUMIFS(DECKS!$D$2:$D$1201,DECKS!$A$2:$A$1201,INDEX(_LEITURA!$P$2:$P$21,15),DECKS!$B$2:$B$1201,$A301))</f>
        <v/>
      </c>
      <c r="Z301" s="19" t="str">
        <f aca="false">IF(OR($A301="",INDEX(_LEITURA!$Q$2:$Q$21,16)=0),"",SUMIFS(DECKS!$D$2:$D$1201,DECKS!$A$2:$A$1201,INDEX(_LEITURA!$P$2:$P$21,16),DECKS!$B$2:$B$1201,$A301))</f>
        <v/>
      </c>
      <c r="AA301" s="19" t="str">
        <f aca="false">IF(OR($A301="",INDEX(_LEITURA!$Q$2:$Q$21,17)=0),"",SUMIFS(DECKS!$D$2:$D$1201,DECKS!$A$2:$A$1201,INDEX(_LEITURA!$P$2:$P$21,17),DECKS!$B$2:$B$1201,$A301))</f>
        <v/>
      </c>
      <c r="AB301" s="19" t="str">
        <f aca="false">IF(OR($A301="",INDEX(_LEITURA!$Q$2:$Q$21,18)=0),"",SUMIFS(DECKS!$D$2:$D$1201,DECKS!$A$2:$A$1201,INDEX(_LEITURA!$P$2:$P$21,18),DECKS!$B$2:$B$1201,$A301))</f>
        <v/>
      </c>
      <c r="AC301" s="19" t="str">
        <f aca="false">IF(OR($A301="",INDEX(_LEITURA!$Q$2:$Q$21,19)=0),"",SUMIFS(DECKS!$D$2:$D$1201,DECKS!$A$2:$A$1201,INDEX(_LEITURA!$P$2:$P$21,19),DECKS!$B$2:$B$1201,$A301))</f>
        <v/>
      </c>
      <c r="AD301" s="19" t="str">
        <f aca="false">IF(OR($A301="",INDEX(_LEITURA!$Q$2:$Q$21,20)=0),"",SUMIFS(DECKS!$D$2:$D$1201,DECKS!$A$2:$A$1201,INDEX(_LEITURA!$P$2:$P$21,20),DECKS!$B$2:$B$1201,$A301))</f>
        <v/>
      </c>
      <c r="AE301" s="16" t="str">
        <f aca="false">IF(N(E301)&gt;0,MAX(AE$1:AE300)+1,"")</f>
        <v/>
      </c>
      <c r="AF301" s="11" t="str">
        <f aca="false">IF(A301="","",IFERROR(LEFT(A301,FIND("-",A301)-1),A301))</f>
        <v/>
      </c>
      <c r="AG301" s="11" t="str">
        <f aca="false">IF(AF301="","",IF(ISNUMBER(--MID(AF301,1,1)),0,IF(ISNUMBER(--MID(AF301,2,1)),1,IF(ISNUMBER(--MID(AF301,3,1)),2,IF(ISNUMBER(--MID(AF301,4,1)),3,MIN(LEN(AF301),4))))))</f>
        <v/>
      </c>
      <c r="AH301" s="11" t="str">
        <f aca="false">IF(A301="","",LEFT(AF301,AG301)&amp;REPT("0",4-AG301)&amp;RIGHT("000"&amp;IFERROR(VALUE(MID(AF301,AG301+1,9)),0),3)&amp;RIGHT("0000"&amp;IFERROR(VALUE(MID(A301,FIND("-",A301)+1,9)),0),4))</f>
        <v/>
      </c>
      <c r="AI301" s="11" t="str">
        <f aca="false">IF(OR(A301="",N(E301)&lt;=0),"",IF('FALTAS GERAL'!$M$1="Código","K"&amp;AH301&amp;RIGHT("00000"&amp;ROW(),5),IF('FALTAS GERAL'!$M$1="Nome","K"&amp;UPPER(SUBSTITUTE(SUBSTITUTE(SUBSTITUTE(B301,"*",""),"?",""),"~",""))&amp;"0"&amp;AH301&amp;RIGHT("00000"&amp;ROW(),5),IF('FALTAS GERAL'!$M$1="Falta (maior primeiro)","K"&amp;RIGHT("0000"&amp;(9999-E301),4)&amp;AH301&amp;RIGHT("00000"&amp;ROW(),5),IF('FALTAS GERAL'!$M$1="Nº de decks (maior primeiro)","K"&amp;RIGHT("00"&amp;(99-N(G301)),2)&amp;AH301&amp;RIGHT("00000"&amp;ROW(),5),"K"&amp;RIGHT("00000"&amp;ROW(),5))))))</f>
        <v/>
      </c>
      <c r="AJ301" s="11" t="str">
        <f aca="false">IF(AI301="","",COUNTIFS($AI$2:$AI$801,"&lt;"&amp;AI301,$E$2:$E$801,"&gt;0")+1)</f>
        <v/>
      </c>
      <c r="AK301" s="11" t="str">
        <f aca="false">IF(OR(A301="",N(E301)&lt;=0),"",COUNTIFS($AH$2:$AH$801,"&lt;"&amp;AH301,$E$2:$E$801,"&gt;0")+COUNTIFS($AH$2:AH301,AH301,$E$2:E301,"&gt;0"))</f>
        <v/>
      </c>
    </row>
    <row r="302" customFormat="false" ht="15" hidden="false" customHeight="false" outlineLevel="0" collapsed="false">
      <c r="A302" s="11" t="str">
        <f aca="false">IF(INVENTÁRIO!A302="","",INVENTÁRIO!A302)</f>
        <v/>
      </c>
      <c r="B302" s="11" t="str">
        <f aca="false">IF(A302="","",INVENTÁRIO!B302)</f>
        <v/>
      </c>
      <c r="C302" s="16" t="str">
        <f aca="false">IF(A302="","",INVENTÁRIO!C302)</f>
        <v/>
      </c>
      <c r="D302" s="14" t="str">
        <f aca="false">IF(A302="","",MAX(K302:AD302))</f>
        <v/>
      </c>
      <c r="E302" s="14" t="str">
        <f aca="false">IF(A302="","",MAX(0,D302-C302))</f>
        <v/>
      </c>
      <c r="F302" s="16" t="str">
        <f aca="false">IF(A302="","",IF(D302=0,"Fora dos decks",IF(E302=0,"Completo","Falta")))</f>
        <v/>
      </c>
      <c r="G302" s="16" t="str">
        <f aca="false">IF(A302="","",COUNTIF(K302:AD302,"&gt;0"))</f>
        <v/>
      </c>
      <c r="H302" s="16" t="str">
        <f aca="false">IF(A302="","",IF(G302&gt;1,"Sim",""))</f>
        <v/>
      </c>
      <c r="I302" s="18" t="str">
        <f aca="false">IF(A302="","",SUMIFS(DECKS!$D$2:$D$1201,DECKS!$B$2:$B$1201,A302))</f>
        <v/>
      </c>
      <c r="J302" s="18" t="str">
        <f aca="false">IF(A302="","",MAX(0,I302-C302))</f>
        <v/>
      </c>
      <c r="K302" s="19" t="str">
        <f aca="false">IF(OR($A302="",INDEX(_LEITURA!$Q$2:$Q$21,1)=0),"",SUMIFS(DECKS!$D$2:$D$1201,DECKS!$A$2:$A$1201,INDEX(_LEITURA!$P$2:$P$21,1),DECKS!$B$2:$B$1201,$A302))</f>
        <v/>
      </c>
      <c r="L302" s="19" t="str">
        <f aca="false">IF(OR($A302="",INDEX(_LEITURA!$Q$2:$Q$21,2)=0),"",SUMIFS(DECKS!$D$2:$D$1201,DECKS!$A$2:$A$1201,INDEX(_LEITURA!$P$2:$P$21,2),DECKS!$B$2:$B$1201,$A302))</f>
        <v/>
      </c>
      <c r="M302" s="19" t="str">
        <f aca="false">IF(OR($A302="",INDEX(_LEITURA!$Q$2:$Q$21,3)=0),"",SUMIFS(DECKS!$D$2:$D$1201,DECKS!$A$2:$A$1201,INDEX(_LEITURA!$P$2:$P$21,3),DECKS!$B$2:$B$1201,$A302))</f>
        <v/>
      </c>
      <c r="N302" s="19" t="str">
        <f aca="false">IF(OR($A302="",INDEX(_LEITURA!$Q$2:$Q$21,4)=0),"",SUMIFS(DECKS!$D$2:$D$1201,DECKS!$A$2:$A$1201,INDEX(_LEITURA!$P$2:$P$21,4),DECKS!$B$2:$B$1201,$A302))</f>
        <v/>
      </c>
      <c r="O302" s="19" t="str">
        <f aca="false">IF(OR($A302="",INDEX(_LEITURA!$Q$2:$Q$21,5)=0),"",SUMIFS(DECKS!$D$2:$D$1201,DECKS!$A$2:$A$1201,INDEX(_LEITURA!$P$2:$P$21,5),DECKS!$B$2:$B$1201,$A302))</f>
        <v/>
      </c>
      <c r="P302" s="19" t="str">
        <f aca="false">IF(OR($A302="",INDEX(_LEITURA!$Q$2:$Q$21,6)=0),"",SUMIFS(DECKS!$D$2:$D$1201,DECKS!$A$2:$A$1201,INDEX(_LEITURA!$P$2:$P$21,6),DECKS!$B$2:$B$1201,$A302))</f>
        <v/>
      </c>
      <c r="Q302" s="19" t="str">
        <f aca="false">IF(OR($A302="",INDEX(_LEITURA!$Q$2:$Q$21,7)=0),"",SUMIFS(DECKS!$D$2:$D$1201,DECKS!$A$2:$A$1201,INDEX(_LEITURA!$P$2:$P$21,7),DECKS!$B$2:$B$1201,$A302))</f>
        <v/>
      </c>
      <c r="R302" s="19" t="str">
        <f aca="false">IF(OR($A302="",INDEX(_LEITURA!$Q$2:$Q$21,8)=0),"",SUMIFS(DECKS!$D$2:$D$1201,DECKS!$A$2:$A$1201,INDEX(_LEITURA!$P$2:$P$21,8),DECKS!$B$2:$B$1201,$A302))</f>
        <v/>
      </c>
      <c r="S302" s="19" t="str">
        <f aca="false">IF(OR($A302="",INDEX(_LEITURA!$Q$2:$Q$21,9)=0),"",SUMIFS(DECKS!$D$2:$D$1201,DECKS!$A$2:$A$1201,INDEX(_LEITURA!$P$2:$P$21,9),DECKS!$B$2:$B$1201,$A302))</f>
        <v/>
      </c>
      <c r="T302" s="19" t="str">
        <f aca="false">IF(OR($A302="",INDEX(_LEITURA!$Q$2:$Q$21,10)=0),"",SUMIFS(DECKS!$D$2:$D$1201,DECKS!$A$2:$A$1201,INDEX(_LEITURA!$P$2:$P$21,10),DECKS!$B$2:$B$1201,$A302))</f>
        <v/>
      </c>
      <c r="U302" s="19" t="str">
        <f aca="false">IF(OR($A302="",INDEX(_LEITURA!$Q$2:$Q$21,11)=0),"",SUMIFS(DECKS!$D$2:$D$1201,DECKS!$A$2:$A$1201,INDEX(_LEITURA!$P$2:$P$21,11),DECKS!$B$2:$B$1201,$A302))</f>
        <v/>
      </c>
      <c r="V302" s="19" t="str">
        <f aca="false">IF(OR($A302="",INDEX(_LEITURA!$Q$2:$Q$21,12)=0),"",SUMIFS(DECKS!$D$2:$D$1201,DECKS!$A$2:$A$1201,INDEX(_LEITURA!$P$2:$P$21,12),DECKS!$B$2:$B$1201,$A302))</f>
        <v/>
      </c>
      <c r="W302" s="19" t="str">
        <f aca="false">IF(OR($A302="",INDEX(_LEITURA!$Q$2:$Q$21,13)=0),"",SUMIFS(DECKS!$D$2:$D$1201,DECKS!$A$2:$A$1201,INDEX(_LEITURA!$P$2:$P$21,13),DECKS!$B$2:$B$1201,$A302))</f>
        <v/>
      </c>
      <c r="X302" s="19" t="str">
        <f aca="false">IF(OR($A302="",INDEX(_LEITURA!$Q$2:$Q$21,14)=0),"",SUMIFS(DECKS!$D$2:$D$1201,DECKS!$A$2:$A$1201,INDEX(_LEITURA!$P$2:$P$21,14),DECKS!$B$2:$B$1201,$A302))</f>
        <v/>
      </c>
      <c r="Y302" s="19" t="str">
        <f aca="false">IF(OR($A302="",INDEX(_LEITURA!$Q$2:$Q$21,15)=0),"",SUMIFS(DECKS!$D$2:$D$1201,DECKS!$A$2:$A$1201,INDEX(_LEITURA!$P$2:$P$21,15),DECKS!$B$2:$B$1201,$A302))</f>
        <v/>
      </c>
      <c r="Z302" s="19" t="str">
        <f aca="false">IF(OR($A302="",INDEX(_LEITURA!$Q$2:$Q$21,16)=0),"",SUMIFS(DECKS!$D$2:$D$1201,DECKS!$A$2:$A$1201,INDEX(_LEITURA!$P$2:$P$21,16),DECKS!$B$2:$B$1201,$A302))</f>
        <v/>
      </c>
      <c r="AA302" s="19" t="str">
        <f aca="false">IF(OR($A302="",INDEX(_LEITURA!$Q$2:$Q$21,17)=0),"",SUMIFS(DECKS!$D$2:$D$1201,DECKS!$A$2:$A$1201,INDEX(_LEITURA!$P$2:$P$21,17),DECKS!$B$2:$B$1201,$A302))</f>
        <v/>
      </c>
      <c r="AB302" s="19" t="str">
        <f aca="false">IF(OR($A302="",INDEX(_LEITURA!$Q$2:$Q$21,18)=0),"",SUMIFS(DECKS!$D$2:$D$1201,DECKS!$A$2:$A$1201,INDEX(_LEITURA!$P$2:$P$21,18),DECKS!$B$2:$B$1201,$A302))</f>
        <v/>
      </c>
      <c r="AC302" s="19" t="str">
        <f aca="false">IF(OR($A302="",INDEX(_LEITURA!$Q$2:$Q$21,19)=0),"",SUMIFS(DECKS!$D$2:$D$1201,DECKS!$A$2:$A$1201,INDEX(_LEITURA!$P$2:$P$21,19),DECKS!$B$2:$B$1201,$A302))</f>
        <v/>
      </c>
      <c r="AD302" s="19" t="str">
        <f aca="false">IF(OR($A302="",INDEX(_LEITURA!$Q$2:$Q$21,20)=0),"",SUMIFS(DECKS!$D$2:$D$1201,DECKS!$A$2:$A$1201,INDEX(_LEITURA!$P$2:$P$21,20),DECKS!$B$2:$B$1201,$A302))</f>
        <v/>
      </c>
      <c r="AE302" s="16" t="str">
        <f aca="false">IF(N(E302)&gt;0,MAX(AE$1:AE301)+1,"")</f>
        <v/>
      </c>
      <c r="AF302" s="11" t="str">
        <f aca="false">IF(A302="","",IFERROR(LEFT(A302,FIND("-",A302)-1),A302))</f>
        <v/>
      </c>
      <c r="AG302" s="11" t="str">
        <f aca="false">IF(AF302="","",IF(ISNUMBER(--MID(AF302,1,1)),0,IF(ISNUMBER(--MID(AF302,2,1)),1,IF(ISNUMBER(--MID(AF302,3,1)),2,IF(ISNUMBER(--MID(AF302,4,1)),3,MIN(LEN(AF302),4))))))</f>
        <v/>
      </c>
      <c r="AH302" s="11" t="str">
        <f aca="false">IF(A302="","",LEFT(AF302,AG302)&amp;REPT("0",4-AG302)&amp;RIGHT("000"&amp;IFERROR(VALUE(MID(AF302,AG302+1,9)),0),3)&amp;RIGHT("0000"&amp;IFERROR(VALUE(MID(A302,FIND("-",A302)+1,9)),0),4))</f>
        <v/>
      </c>
      <c r="AI302" s="11" t="str">
        <f aca="false">IF(OR(A302="",N(E302)&lt;=0),"",IF('FALTAS GERAL'!$M$1="Código","K"&amp;AH302&amp;RIGHT("00000"&amp;ROW(),5),IF('FALTAS GERAL'!$M$1="Nome","K"&amp;UPPER(SUBSTITUTE(SUBSTITUTE(SUBSTITUTE(B302,"*",""),"?",""),"~",""))&amp;"0"&amp;AH302&amp;RIGHT("00000"&amp;ROW(),5),IF('FALTAS GERAL'!$M$1="Falta (maior primeiro)","K"&amp;RIGHT("0000"&amp;(9999-E302),4)&amp;AH302&amp;RIGHT("00000"&amp;ROW(),5),IF('FALTAS GERAL'!$M$1="Nº de decks (maior primeiro)","K"&amp;RIGHT("00"&amp;(99-N(G302)),2)&amp;AH302&amp;RIGHT("00000"&amp;ROW(),5),"K"&amp;RIGHT("00000"&amp;ROW(),5))))))</f>
        <v/>
      </c>
      <c r="AJ302" s="11" t="str">
        <f aca="false">IF(AI302="","",COUNTIFS($AI$2:$AI$801,"&lt;"&amp;AI302,$E$2:$E$801,"&gt;0")+1)</f>
        <v/>
      </c>
      <c r="AK302" s="11" t="str">
        <f aca="false">IF(OR(A302="",N(E302)&lt;=0),"",COUNTIFS($AH$2:$AH$801,"&lt;"&amp;AH302,$E$2:$E$801,"&gt;0")+COUNTIFS($AH$2:AH302,AH302,$E$2:E302,"&gt;0"))</f>
        <v/>
      </c>
    </row>
    <row r="303" customFormat="false" ht="15" hidden="false" customHeight="false" outlineLevel="0" collapsed="false">
      <c r="A303" s="11" t="str">
        <f aca="false">IF(INVENTÁRIO!A303="","",INVENTÁRIO!A303)</f>
        <v/>
      </c>
      <c r="B303" s="11" t="str">
        <f aca="false">IF(A303="","",INVENTÁRIO!B303)</f>
        <v/>
      </c>
      <c r="C303" s="16" t="str">
        <f aca="false">IF(A303="","",INVENTÁRIO!C303)</f>
        <v/>
      </c>
      <c r="D303" s="14" t="str">
        <f aca="false">IF(A303="","",MAX(K303:AD303))</f>
        <v/>
      </c>
      <c r="E303" s="14" t="str">
        <f aca="false">IF(A303="","",MAX(0,D303-C303))</f>
        <v/>
      </c>
      <c r="F303" s="16" t="str">
        <f aca="false">IF(A303="","",IF(D303=0,"Fora dos decks",IF(E303=0,"Completo","Falta")))</f>
        <v/>
      </c>
      <c r="G303" s="16" t="str">
        <f aca="false">IF(A303="","",COUNTIF(K303:AD303,"&gt;0"))</f>
        <v/>
      </c>
      <c r="H303" s="16" t="str">
        <f aca="false">IF(A303="","",IF(G303&gt;1,"Sim",""))</f>
        <v/>
      </c>
      <c r="I303" s="18" t="str">
        <f aca="false">IF(A303="","",SUMIFS(DECKS!$D$2:$D$1201,DECKS!$B$2:$B$1201,A303))</f>
        <v/>
      </c>
      <c r="J303" s="18" t="str">
        <f aca="false">IF(A303="","",MAX(0,I303-C303))</f>
        <v/>
      </c>
      <c r="K303" s="19" t="str">
        <f aca="false">IF(OR($A303="",INDEX(_LEITURA!$Q$2:$Q$21,1)=0),"",SUMIFS(DECKS!$D$2:$D$1201,DECKS!$A$2:$A$1201,INDEX(_LEITURA!$P$2:$P$21,1),DECKS!$B$2:$B$1201,$A303))</f>
        <v/>
      </c>
      <c r="L303" s="19" t="str">
        <f aca="false">IF(OR($A303="",INDEX(_LEITURA!$Q$2:$Q$21,2)=0),"",SUMIFS(DECKS!$D$2:$D$1201,DECKS!$A$2:$A$1201,INDEX(_LEITURA!$P$2:$P$21,2),DECKS!$B$2:$B$1201,$A303))</f>
        <v/>
      </c>
      <c r="M303" s="19" t="str">
        <f aca="false">IF(OR($A303="",INDEX(_LEITURA!$Q$2:$Q$21,3)=0),"",SUMIFS(DECKS!$D$2:$D$1201,DECKS!$A$2:$A$1201,INDEX(_LEITURA!$P$2:$P$21,3),DECKS!$B$2:$B$1201,$A303))</f>
        <v/>
      </c>
      <c r="N303" s="19" t="str">
        <f aca="false">IF(OR($A303="",INDEX(_LEITURA!$Q$2:$Q$21,4)=0),"",SUMIFS(DECKS!$D$2:$D$1201,DECKS!$A$2:$A$1201,INDEX(_LEITURA!$P$2:$P$21,4),DECKS!$B$2:$B$1201,$A303))</f>
        <v/>
      </c>
      <c r="O303" s="19" t="str">
        <f aca="false">IF(OR($A303="",INDEX(_LEITURA!$Q$2:$Q$21,5)=0),"",SUMIFS(DECKS!$D$2:$D$1201,DECKS!$A$2:$A$1201,INDEX(_LEITURA!$P$2:$P$21,5),DECKS!$B$2:$B$1201,$A303))</f>
        <v/>
      </c>
      <c r="P303" s="19" t="str">
        <f aca="false">IF(OR($A303="",INDEX(_LEITURA!$Q$2:$Q$21,6)=0),"",SUMIFS(DECKS!$D$2:$D$1201,DECKS!$A$2:$A$1201,INDEX(_LEITURA!$P$2:$P$21,6),DECKS!$B$2:$B$1201,$A303))</f>
        <v/>
      </c>
      <c r="Q303" s="19" t="str">
        <f aca="false">IF(OR($A303="",INDEX(_LEITURA!$Q$2:$Q$21,7)=0),"",SUMIFS(DECKS!$D$2:$D$1201,DECKS!$A$2:$A$1201,INDEX(_LEITURA!$P$2:$P$21,7),DECKS!$B$2:$B$1201,$A303))</f>
        <v/>
      </c>
      <c r="R303" s="19" t="str">
        <f aca="false">IF(OR($A303="",INDEX(_LEITURA!$Q$2:$Q$21,8)=0),"",SUMIFS(DECKS!$D$2:$D$1201,DECKS!$A$2:$A$1201,INDEX(_LEITURA!$P$2:$P$21,8),DECKS!$B$2:$B$1201,$A303))</f>
        <v/>
      </c>
      <c r="S303" s="19" t="str">
        <f aca="false">IF(OR($A303="",INDEX(_LEITURA!$Q$2:$Q$21,9)=0),"",SUMIFS(DECKS!$D$2:$D$1201,DECKS!$A$2:$A$1201,INDEX(_LEITURA!$P$2:$P$21,9),DECKS!$B$2:$B$1201,$A303))</f>
        <v/>
      </c>
      <c r="T303" s="19" t="str">
        <f aca="false">IF(OR($A303="",INDEX(_LEITURA!$Q$2:$Q$21,10)=0),"",SUMIFS(DECKS!$D$2:$D$1201,DECKS!$A$2:$A$1201,INDEX(_LEITURA!$P$2:$P$21,10),DECKS!$B$2:$B$1201,$A303))</f>
        <v/>
      </c>
      <c r="U303" s="19" t="str">
        <f aca="false">IF(OR($A303="",INDEX(_LEITURA!$Q$2:$Q$21,11)=0),"",SUMIFS(DECKS!$D$2:$D$1201,DECKS!$A$2:$A$1201,INDEX(_LEITURA!$P$2:$P$21,11),DECKS!$B$2:$B$1201,$A303))</f>
        <v/>
      </c>
      <c r="V303" s="19" t="str">
        <f aca="false">IF(OR($A303="",INDEX(_LEITURA!$Q$2:$Q$21,12)=0),"",SUMIFS(DECKS!$D$2:$D$1201,DECKS!$A$2:$A$1201,INDEX(_LEITURA!$P$2:$P$21,12),DECKS!$B$2:$B$1201,$A303))</f>
        <v/>
      </c>
      <c r="W303" s="19" t="str">
        <f aca="false">IF(OR($A303="",INDEX(_LEITURA!$Q$2:$Q$21,13)=0),"",SUMIFS(DECKS!$D$2:$D$1201,DECKS!$A$2:$A$1201,INDEX(_LEITURA!$P$2:$P$21,13),DECKS!$B$2:$B$1201,$A303))</f>
        <v/>
      </c>
      <c r="X303" s="19" t="str">
        <f aca="false">IF(OR($A303="",INDEX(_LEITURA!$Q$2:$Q$21,14)=0),"",SUMIFS(DECKS!$D$2:$D$1201,DECKS!$A$2:$A$1201,INDEX(_LEITURA!$P$2:$P$21,14),DECKS!$B$2:$B$1201,$A303))</f>
        <v/>
      </c>
      <c r="Y303" s="19" t="str">
        <f aca="false">IF(OR($A303="",INDEX(_LEITURA!$Q$2:$Q$21,15)=0),"",SUMIFS(DECKS!$D$2:$D$1201,DECKS!$A$2:$A$1201,INDEX(_LEITURA!$P$2:$P$21,15),DECKS!$B$2:$B$1201,$A303))</f>
        <v/>
      </c>
      <c r="Z303" s="19" t="str">
        <f aca="false">IF(OR($A303="",INDEX(_LEITURA!$Q$2:$Q$21,16)=0),"",SUMIFS(DECKS!$D$2:$D$1201,DECKS!$A$2:$A$1201,INDEX(_LEITURA!$P$2:$P$21,16),DECKS!$B$2:$B$1201,$A303))</f>
        <v/>
      </c>
      <c r="AA303" s="19" t="str">
        <f aca="false">IF(OR($A303="",INDEX(_LEITURA!$Q$2:$Q$21,17)=0),"",SUMIFS(DECKS!$D$2:$D$1201,DECKS!$A$2:$A$1201,INDEX(_LEITURA!$P$2:$P$21,17),DECKS!$B$2:$B$1201,$A303))</f>
        <v/>
      </c>
      <c r="AB303" s="19" t="str">
        <f aca="false">IF(OR($A303="",INDEX(_LEITURA!$Q$2:$Q$21,18)=0),"",SUMIFS(DECKS!$D$2:$D$1201,DECKS!$A$2:$A$1201,INDEX(_LEITURA!$P$2:$P$21,18),DECKS!$B$2:$B$1201,$A303))</f>
        <v/>
      </c>
      <c r="AC303" s="19" t="str">
        <f aca="false">IF(OR($A303="",INDEX(_LEITURA!$Q$2:$Q$21,19)=0),"",SUMIFS(DECKS!$D$2:$D$1201,DECKS!$A$2:$A$1201,INDEX(_LEITURA!$P$2:$P$21,19),DECKS!$B$2:$B$1201,$A303))</f>
        <v/>
      </c>
      <c r="AD303" s="19" t="str">
        <f aca="false">IF(OR($A303="",INDEX(_LEITURA!$Q$2:$Q$21,20)=0),"",SUMIFS(DECKS!$D$2:$D$1201,DECKS!$A$2:$A$1201,INDEX(_LEITURA!$P$2:$P$21,20),DECKS!$B$2:$B$1201,$A303))</f>
        <v/>
      </c>
      <c r="AE303" s="16" t="str">
        <f aca="false">IF(N(E303)&gt;0,MAX(AE$1:AE302)+1,"")</f>
        <v/>
      </c>
      <c r="AF303" s="11" t="str">
        <f aca="false">IF(A303="","",IFERROR(LEFT(A303,FIND("-",A303)-1),A303))</f>
        <v/>
      </c>
      <c r="AG303" s="11" t="str">
        <f aca="false">IF(AF303="","",IF(ISNUMBER(--MID(AF303,1,1)),0,IF(ISNUMBER(--MID(AF303,2,1)),1,IF(ISNUMBER(--MID(AF303,3,1)),2,IF(ISNUMBER(--MID(AF303,4,1)),3,MIN(LEN(AF303),4))))))</f>
        <v/>
      </c>
      <c r="AH303" s="11" t="str">
        <f aca="false">IF(A303="","",LEFT(AF303,AG303)&amp;REPT("0",4-AG303)&amp;RIGHT("000"&amp;IFERROR(VALUE(MID(AF303,AG303+1,9)),0),3)&amp;RIGHT("0000"&amp;IFERROR(VALUE(MID(A303,FIND("-",A303)+1,9)),0),4))</f>
        <v/>
      </c>
      <c r="AI303" s="11" t="str">
        <f aca="false">IF(OR(A303="",N(E303)&lt;=0),"",IF('FALTAS GERAL'!$M$1="Código","K"&amp;AH303&amp;RIGHT("00000"&amp;ROW(),5),IF('FALTAS GERAL'!$M$1="Nome","K"&amp;UPPER(SUBSTITUTE(SUBSTITUTE(SUBSTITUTE(B303,"*",""),"?",""),"~",""))&amp;"0"&amp;AH303&amp;RIGHT("00000"&amp;ROW(),5),IF('FALTAS GERAL'!$M$1="Falta (maior primeiro)","K"&amp;RIGHT("0000"&amp;(9999-E303),4)&amp;AH303&amp;RIGHT("00000"&amp;ROW(),5),IF('FALTAS GERAL'!$M$1="Nº de decks (maior primeiro)","K"&amp;RIGHT("00"&amp;(99-N(G303)),2)&amp;AH303&amp;RIGHT("00000"&amp;ROW(),5),"K"&amp;RIGHT("00000"&amp;ROW(),5))))))</f>
        <v/>
      </c>
      <c r="AJ303" s="11" t="str">
        <f aca="false">IF(AI303="","",COUNTIFS($AI$2:$AI$801,"&lt;"&amp;AI303,$E$2:$E$801,"&gt;0")+1)</f>
        <v/>
      </c>
      <c r="AK303" s="11" t="str">
        <f aca="false">IF(OR(A303="",N(E303)&lt;=0),"",COUNTIFS($AH$2:$AH$801,"&lt;"&amp;AH303,$E$2:$E$801,"&gt;0")+COUNTIFS($AH$2:AH303,AH303,$E$2:E303,"&gt;0"))</f>
        <v/>
      </c>
    </row>
    <row r="304" customFormat="false" ht="15" hidden="false" customHeight="false" outlineLevel="0" collapsed="false">
      <c r="A304" s="11" t="str">
        <f aca="false">IF(INVENTÁRIO!A304="","",INVENTÁRIO!A304)</f>
        <v/>
      </c>
      <c r="B304" s="11" t="str">
        <f aca="false">IF(A304="","",INVENTÁRIO!B304)</f>
        <v/>
      </c>
      <c r="C304" s="16" t="str">
        <f aca="false">IF(A304="","",INVENTÁRIO!C304)</f>
        <v/>
      </c>
      <c r="D304" s="14" t="str">
        <f aca="false">IF(A304="","",MAX(K304:AD304))</f>
        <v/>
      </c>
      <c r="E304" s="14" t="str">
        <f aca="false">IF(A304="","",MAX(0,D304-C304))</f>
        <v/>
      </c>
      <c r="F304" s="16" t="str">
        <f aca="false">IF(A304="","",IF(D304=0,"Fora dos decks",IF(E304=0,"Completo","Falta")))</f>
        <v/>
      </c>
      <c r="G304" s="16" t="str">
        <f aca="false">IF(A304="","",COUNTIF(K304:AD304,"&gt;0"))</f>
        <v/>
      </c>
      <c r="H304" s="16" t="str">
        <f aca="false">IF(A304="","",IF(G304&gt;1,"Sim",""))</f>
        <v/>
      </c>
      <c r="I304" s="18" t="str">
        <f aca="false">IF(A304="","",SUMIFS(DECKS!$D$2:$D$1201,DECKS!$B$2:$B$1201,A304))</f>
        <v/>
      </c>
      <c r="J304" s="18" t="str">
        <f aca="false">IF(A304="","",MAX(0,I304-C304))</f>
        <v/>
      </c>
      <c r="K304" s="19" t="str">
        <f aca="false">IF(OR($A304="",INDEX(_LEITURA!$Q$2:$Q$21,1)=0),"",SUMIFS(DECKS!$D$2:$D$1201,DECKS!$A$2:$A$1201,INDEX(_LEITURA!$P$2:$P$21,1),DECKS!$B$2:$B$1201,$A304))</f>
        <v/>
      </c>
      <c r="L304" s="19" t="str">
        <f aca="false">IF(OR($A304="",INDEX(_LEITURA!$Q$2:$Q$21,2)=0),"",SUMIFS(DECKS!$D$2:$D$1201,DECKS!$A$2:$A$1201,INDEX(_LEITURA!$P$2:$P$21,2),DECKS!$B$2:$B$1201,$A304))</f>
        <v/>
      </c>
      <c r="M304" s="19" t="str">
        <f aca="false">IF(OR($A304="",INDEX(_LEITURA!$Q$2:$Q$21,3)=0),"",SUMIFS(DECKS!$D$2:$D$1201,DECKS!$A$2:$A$1201,INDEX(_LEITURA!$P$2:$P$21,3),DECKS!$B$2:$B$1201,$A304))</f>
        <v/>
      </c>
      <c r="N304" s="19" t="str">
        <f aca="false">IF(OR($A304="",INDEX(_LEITURA!$Q$2:$Q$21,4)=0),"",SUMIFS(DECKS!$D$2:$D$1201,DECKS!$A$2:$A$1201,INDEX(_LEITURA!$P$2:$P$21,4),DECKS!$B$2:$B$1201,$A304))</f>
        <v/>
      </c>
      <c r="O304" s="19" t="str">
        <f aca="false">IF(OR($A304="",INDEX(_LEITURA!$Q$2:$Q$21,5)=0),"",SUMIFS(DECKS!$D$2:$D$1201,DECKS!$A$2:$A$1201,INDEX(_LEITURA!$P$2:$P$21,5),DECKS!$B$2:$B$1201,$A304))</f>
        <v/>
      </c>
      <c r="P304" s="19" t="str">
        <f aca="false">IF(OR($A304="",INDEX(_LEITURA!$Q$2:$Q$21,6)=0),"",SUMIFS(DECKS!$D$2:$D$1201,DECKS!$A$2:$A$1201,INDEX(_LEITURA!$P$2:$P$21,6),DECKS!$B$2:$B$1201,$A304))</f>
        <v/>
      </c>
      <c r="Q304" s="19" t="str">
        <f aca="false">IF(OR($A304="",INDEX(_LEITURA!$Q$2:$Q$21,7)=0),"",SUMIFS(DECKS!$D$2:$D$1201,DECKS!$A$2:$A$1201,INDEX(_LEITURA!$P$2:$P$21,7),DECKS!$B$2:$B$1201,$A304))</f>
        <v/>
      </c>
      <c r="R304" s="19" t="str">
        <f aca="false">IF(OR($A304="",INDEX(_LEITURA!$Q$2:$Q$21,8)=0),"",SUMIFS(DECKS!$D$2:$D$1201,DECKS!$A$2:$A$1201,INDEX(_LEITURA!$P$2:$P$21,8),DECKS!$B$2:$B$1201,$A304))</f>
        <v/>
      </c>
      <c r="S304" s="19" t="str">
        <f aca="false">IF(OR($A304="",INDEX(_LEITURA!$Q$2:$Q$21,9)=0),"",SUMIFS(DECKS!$D$2:$D$1201,DECKS!$A$2:$A$1201,INDEX(_LEITURA!$P$2:$P$21,9),DECKS!$B$2:$B$1201,$A304))</f>
        <v/>
      </c>
      <c r="T304" s="19" t="str">
        <f aca="false">IF(OR($A304="",INDEX(_LEITURA!$Q$2:$Q$21,10)=0),"",SUMIFS(DECKS!$D$2:$D$1201,DECKS!$A$2:$A$1201,INDEX(_LEITURA!$P$2:$P$21,10),DECKS!$B$2:$B$1201,$A304))</f>
        <v/>
      </c>
      <c r="U304" s="19" t="str">
        <f aca="false">IF(OR($A304="",INDEX(_LEITURA!$Q$2:$Q$21,11)=0),"",SUMIFS(DECKS!$D$2:$D$1201,DECKS!$A$2:$A$1201,INDEX(_LEITURA!$P$2:$P$21,11),DECKS!$B$2:$B$1201,$A304))</f>
        <v/>
      </c>
      <c r="V304" s="19" t="str">
        <f aca="false">IF(OR($A304="",INDEX(_LEITURA!$Q$2:$Q$21,12)=0),"",SUMIFS(DECKS!$D$2:$D$1201,DECKS!$A$2:$A$1201,INDEX(_LEITURA!$P$2:$P$21,12),DECKS!$B$2:$B$1201,$A304))</f>
        <v/>
      </c>
      <c r="W304" s="19" t="str">
        <f aca="false">IF(OR($A304="",INDEX(_LEITURA!$Q$2:$Q$21,13)=0),"",SUMIFS(DECKS!$D$2:$D$1201,DECKS!$A$2:$A$1201,INDEX(_LEITURA!$P$2:$P$21,13),DECKS!$B$2:$B$1201,$A304))</f>
        <v/>
      </c>
      <c r="X304" s="19" t="str">
        <f aca="false">IF(OR($A304="",INDEX(_LEITURA!$Q$2:$Q$21,14)=0),"",SUMIFS(DECKS!$D$2:$D$1201,DECKS!$A$2:$A$1201,INDEX(_LEITURA!$P$2:$P$21,14),DECKS!$B$2:$B$1201,$A304))</f>
        <v/>
      </c>
      <c r="Y304" s="19" t="str">
        <f aca="false">IF(OR($A304="",INDEX(_LEITURA!$Q$2:$Q$21,15)=0),"",SUMIFS(DECKS!$D$2:$D$1201,DECKS!$A$2:$A$1201,INDEX(_LEITURA!$P$2:$P$21,15),DECKS!$B$2:$B$1201,$A304))</f>
        <v/>
      </c>
      <c r="Z304" s="19" t="str">
        <f aca="false">IF(OR($A304="",INDEX(_LEITURA!$Q$2:$Q$21,16)=0),"",SUMIFS(DECKS!$D$2:$D$1201,DECKS!$A$2:$A$1201,INDEX(_LEITURA!$P$2:$P$21,16),DECKS!$B$2:$B$1201,$A304))</f>
        <v/>
      </c>
      <c r="AA304" s="19" t="str">
        <f aca="false">IF(OR($A304="",INDEX(_LEITURA!$Q$2:$Q$21,17)=0),"",SUMIFS(DECKS!$D$2:$D$1201,DECKS!$A$2:$A$1201,INDEX(_LEITURA!$P$2:$P$21,17),DECKS!$B$2:$B$1201,$A304))</f>
        <v/>
      </c>
      <c r="AB304" s="19" t="str">
        <f aca="false">IF(OR($A304="",INDEX(_LEITURA!$Q$2:$Q$21,18)=0),"",SUMIFS(DECKS!$D$2:$D$1201,DECKS!$A$2:$A$1201,INDEX(_LEITURA!$P$2:$P$21,18),DECKS!$B$2:$B$1201,$A304))</f>
        <v/>
      </c>
      <c r="AC304" s="19" t="str">
        <f aca="false">IF(OR($A304="",INDEX(_LEITURA!$Q$2:$Q$21,19)=0),"",SUMIFS(DECKS!$D$2:$D$1201,DECKS!$A$2:$A$1201,INDEX(_LEITURA!$P$2:$P$21,19),DECKS!$B$2:$B$1201,$A304))</f>
        <v/>
      </c>
      <c r="AD304" s="19" t="str">
        <f aca="false">IF(OR($A304="",INDEX(_LEITURA!$Q$2:$Q$21,20)=0),"",SUMIFS(DECKS!$D$2:$D$1201,DECKS!$A$2:$A$1201,INDEX(_LEITURA!$P$2:$P$21,20),DECKS!$B$2:$B$1201,$A304))</f>
        <v/>
      </c>
      <c r="AE304" s="16" t="str">
        <f aca="false">IF(N(E304)&gt;0,MAX(AE$1:AE303)+1,"")</f>
        <v/>
      </c>
      <c r="AF304" s="11" t="str">
        <f aca="false">IF(A304="","",IFERROR(LEFT(A304,FIND("-",A304)-1),A304))</f>
        <v/>
      </c>
      <c r="AG304" s="11" t="str">
        <f aca="false">IF(AF304="","",IF(ISNUMBER(--MID(AF304,1,1)),0,IF(ISNUMBER(--MID(AF304,2,1)),1,IF(ISNUMBER(--MID(AF304,3,1)),2,IF(ISNUMBER(--MID(AF304,4,1)),3,MIN(LEN(AF304),4))))))</f>
        <v/>
      </c>
      <c r="AH304" s="11" t="str">
        <f aca="false">IF(A304="","",LEFT(AF304,AG304)&amp;REPT("0",4-AG304)&amp;RIGHT("000"&amp;IFERROR(VALUE(MID(AF304,AG304+1,9)),0),3)&amp;RIGHT("0000"&amp;IFERROR(VALUE(MID(A304,FIND("-",A304)+1,9)),0),4))</f>
        <v/>
      </c>
      <c r="AI304" s="11" t="str">
        <f aca="false">IF(OR(A304="",N(E304)&lt;=0),"",IF('FALTAS GERAL'!$M$1="Código","K"&amp;AH304&amp;RIGHT("00000"&amp;ROW(),5),IF('FALTAS GERAL'!$M$1="Nome","K"&amp;UPPER(SUBSTITUTE(SUBSTITUTE(SUBSTITUTE(B304,"*",""),"?",""),"~",""))&amp;"0"&amp;AH304&amp;RIGHT("00000"&amp;ROW(),5),IF('FALTAS GERAL'!$M$1="Falta (maior primeiro)","K"&amp;RIGHT("0000"&amp;(9999-E304),4)&amp;AH304&amp;RIGHT("00000"&amp;ROW(),5),IF('FALTAS GERAL'!$M$1="Nº de decks (maior primeiro)","K"&amp;RIGHT("00"&amp;(99-N(G304)),2)&amp;AH304&amp;RIGHT("00000"&amp;ROW(),5),"K"&amp;RIGHT("00000"&amp;ROW(),5))))))</f>
        <v/>
      </c>
      <c r="AJ304" s="11" t="str">
        <f aca="false">IF(AI304="","",COUNTIFS($AI$2:$AI$801,"&lt;"&amp;AI304,$E$2:$E$801,"&gt;0")+1)</f>
        <v/>
      </c>
      <c r="AK304" s="11" t="str">
        <f aca="false">IF(OR(A304="",N(E304)&lt;=0),"",COUNTIFS($AH$2:$AH$801,"&lt;"&amp;AH304,$E$2:$E$801,"&gt;0")+COUNTIFS($AH$2:AH304,AH304,$E$2:E304,"&gt;0"))</f>
        <v/>
      </c>
    </row>
    <row r="305" customFormat="false" ht="15" hidden="false" customHeight="false" outlineLevel="0" collapsed="false">
      <c r="A305" s="11" t="str">
        <f aca="false">IF(INVENTÁRIO!A305="","",INVENTÁRIO!A305)</f>
        <v/>
      </c>
      <c r="B305" s="11" t="str">
        <f aca="false">IF(A305="","",INVENTÁRIO!B305)</f>
        <v/>
      </c>
      <c r="C305" s="16" t="str">
        <f aca="false">IF(A305="","",INVENTÁRIO!C305)</f>
        <v/>
      </c>
      <c r="D305" s="14" t="str">
        <f aca="false">IF(A305="","",MAX(K305:AD305))</f>
        <v/>
      </c>
      <c r="E305" s="14" t="str">
        <f aca="false">IF(A305="","",MAX(0,D305-C305))</f>
        <v/>
      </c>
      <c r="F305" s="16" t="str">
        <f aca="false">IF(A305="","",IF(D305=0,"Fora dos decks",IF(E305=0,"Completo","Falta")))</f>
        <v/>
      </c>
      <c r="G305" s="16" t="str">
        <f aca="false">IF(A305="","",COUNTIF(K305:AD305,"&gt;0"))</f>
        <v/>
      </c>
      <c r="H305" s="16" t="str">
        <f aca="false">IF(A305="","",IF(G305&gt;1,"Sim",""))</f>
        <v/>
      </c>
      <c r="I305" s="18" t="str">
        <f aca="false">IF(A305="","",SUMIFS(DECKS!$D$2:$D$1201,DECKS!$B$2:$B$1201,A305))</f>
        <v/>
      </c>
      <c r="J305" s="18" t="str">
        <f aca="false">IF(A305="","",MAX(0,I305-C305))</f>
        <v/>
      </c>
      <c r="K305" s="19" t="str">
        <f aca="false">IF(OR($A305="",INDEX(_LEITURA!$Q$2:$Q$21,1)=0),"",SUMIFS(DECKS!$D$2:$D$1201,DECKS!$A$2:$A$1201,INDEX(_LEITURA!$P$2:$P$21,1),DECKS!$B$2:$B$1201,$A305))</f>
        <v/>
      </c>
      <c r="L305" s="19" t="str">
        <f aca="false">IF(OR($A305="",INDEX(_LEITURA!$Q$2:$Q$21,2)=0),"",SUMIFS(DECKS!$D$2:$D$1201,DECKS!$A$2:$A$1201,INDEX(_LEITURA!$P$2:$P$21,2),DECKS!$B$2:$B$1201,$A305))</f>
        <v/>
      </c>
      <c r="M305" s="19" t="str">
        <f aca="false">IF(OR($A305="",INDEX(_LEITURA!$Q$2:$Q$21,3)=0),"",SUMIFS(DECKS!$D$2:$D$1201,DECKS!$A$2:$A$1201,INDEX(_LEITURA!$P$2:$P$21,3),DECKS!$B$2:$B$1201,$A305))</f>
        <v/>
      </c>
      <c r="N305" s="19" t="str">
        <f aca="false">IF(OR($A305="",INDEX(_LEITURA!$Q$2:$Q$21,4)=0),"",SUMIFS(DECKS!$D$2:$D$1201,DECKS!$A$2:$A$1201,INDEX(_LEITURA!$P$2:$P$21,4),DECKS!$B$2:$B$1201,$A305))</f>
        <v/>
      </c>
      <c r="O305" s="19" t="str">
        <f aca="false">IF(OR($A305="",INDEX(_LEITURA!$Q$2:$Q$21,5)=0),"",SUMIFS(DECKS!$D$2:$D$1201,DECKS!$A$2:$A$1201,INDEX(_LEITURA!$P$2:$P$21,5),DECKS!$B$2:$B$1201,$A305))</f>
        <v/>
      </c>
      <c r="P305" s="19" t="str">
        <f aca="false">IF(OR($A305="",INDEX(_LEITURA!$Q$2:$Q$21,6)=0),"",SUMIFS(DECKS!$D$2:$D$1201,DECKS!$A$2:$A$1201,INDEX(_LEITURA!$P$2:$P$21,6),DECKS!$B$2:$B$1201,$A305))</f>
        <v/>
      </c>
      <c r="Q305" s="19" t="str">
        <f aca="false">IF(OR($A305="",INDEX(_LEITURA!$Q$2:$Q$21,7)=0),"",SUMIFS(DECKS!$D$2:$D$1201,DECKS!$A$2:$A$1201,INDEX(_LEITURA!$P$2:$P$21,7),DECKS!$B$2:$B$1201,$A305))</f>
        <v/>
      </c>
      <c r="R305" s="19" t="str">
        <f aca="false">IF(OR($A305="",INDEX(_LEITURA!$Q$2:$Q$21,8)=0),"",SUMIFS(DECKS!$D$2:$D$1201,DECKS!$A$2:$A$1201,INDEX(_LEITURA!$P$2:$P$21,8),DECKS!$B$2:$B$1201,$A305))</f>
        <v/>
      </c>
      <c r="S305" s="19" t="str">
        <f aca="false">IF(OR($A305="",INDEX(_LEITURA!$Q$2:$Q$21,9)=0),"",SUMIFS(DECKS!$D$2:$D$1201,DECKS!$A$2:$A$1201,INDEX(_LEITURA!$P$2:$P$21,9),DECKS!$B$2:$B$1201,$A305))</f>
        <v/>
      </c>
      <c r="T305" s="19" t="str">
        <f aca="false">IF(OR($A305="",INDEX(_LEITURA!$Q$2:$Q$21,10)=0),"",SUMIFS(DECKS!$D$2:$D$1201,DECKS!$A$2:$A$1201,INDEX(_LEITURA!$P$2:$P$21,10),DECKS!$B$2:$B$1201,$A305))</f>
        <v/>
      </c>
      <c r="U305" s="19" t="str">
        <f aca="false">IF(OR($A305="",INDEX(_LEITURA!$Q$2:$Q$21,11)=0),"",SUMIFS(DECKS!$D$2:$D$1201,DECKS!$A$2:$A$1201,INDEX(_LEITURA!$P$2:$P$21,11),DECKS!$B$2:$B$1201,$A305))</f>
        <v/>
      </c>
      <c r="V305" s="19" t="str">
        <f aca="false">IF(OR($A305="",INDEX(_LEITURA!$Q$2:$Q$21,12)=0),"",SUMIFS(DECKS!$D$2:$D$1201,DECKS!$A$2:$A$1201,INDEX(_LEITURA!$P$2:$P$21,12),DECKS!$B$2:$B$1201,$A305))</f>
        <v/>
      </c>
      <c r="W305" s="19" t="str">
        <f aca="false">IF(OR($A305="",INDEX(_LEITURA!$Q$2:$Q$21,13)=0),"",SUMIFS(DECKS!$D$2:$D$1201,DECKS!$A$2:$A$1201,INDEX(_LEITURA!$P$2:$P$21,13),DECKS!$B$2:$B$1201,$A305))</f>
        <v/>
      </c>
      <c r="X305" s="19" t="str">
        <f aca="false">IF(OR($A305="",INDEX(_LEITURA!$Q$2:$Q$21,14)=0),"",SUMIFS(DECKS!$D$2:$D$1201,DECKS!$A$2:$A$1201,INDEX(_LEITURA!$P$2:$P$21,14),DECKS!$B$2:$B$1201,$A305))</f>
        <v/>
      </c>
      <c r="Y305" s="19" t="str">
        <f aca="false">IF(OR($A305="",INDEX(_LEITURA!$Q$2:$Q$21,15)=0),"",SUMIFS(DECKS!$D$2:$D$1201,DECKS!$A$2:$A$1201,INDEX(_LEITURA!$P$2:$P$21,15),DECKS!$B$2:$B$1201,$A305))</f>
        <v/>
      </c>
      <c r="Z305" s="19" t="str">
        <f aca="false">IF(OR($A305="",INDEX(_LEITURA!$Q$2:$Q$21,16)=0),"",SUMIFS(DECKS!$D$2:$D$1201,DECKS!$A$2:$A$1201,INDEX(_LEITURA!$P$2:$P$21,16),DECKS!$B$2:$B$1201,$A305))</f>
        <v/>
      </c>
      <c r="AA305" s="19" t="str">
        <f aca="false">IF(OR($A305="",INDEX(_LEITURA!$Q$2:$Q$21,17)=0),"",SUMIFS(DECKS!$D$2:$D$1201,DECKS!$A$2:$A$1201,INDEX(_LEITURA!$P$2:$P$21,17),DECKS!$B$2:$B$1201,$A305))</f>
        <v/>
      </c>
      <c r="AB305" s="19" t="str">
        <f aca="false">IF(OR($A305="",INDEX(_LEITURA!$Q$2:$Q$21,18)=0),"",SUMIFS(DECKS!$D$2:$D$1201,DECKS!$A$2:$A$1201,INDEX(_LEITURA!$P$2:$P$21,18),DECKS!$B$2:$B$1201,$A305))</f>
        <v/>
      </c>
      <c r="AC305" s="19" t="str">
        <f aca="false">IF(OR($A305="",INDEX(_LEITURA!$Q$2:$Q$21,19)=0),"",SUMIFS(DECKS!$D$2:$D$1201,DECKS!$A$2:$A$1201,INDEX(_LEITURA!$P$2:$P$21,19),DECKS!$B$2:$B$1201,$A305))</f>
        <v/>
      </c>
      <c r="AD305" s="19" t="str">
        <f aca="false">IF(OR($A305="",INDEX(_LEITURA!$Q$2:$Q$21,20)=0),"",SUMIFS(DECKS!$D$2:$D$1201,DECKS!$A$2:$A$1201,INDEX(_LEITURA!$P$2:$P$21,20),DECKS!$B$2:$B$1201,$A305))</f>
        <v/>
      </c>
      <c r="AE305" s="16" t="str">
        <f aca="false">IF(N(E305)&gt;0,MAX(AE$1:AE304)+1,"")</f>
        <v/>
      </c>
      <c r="AF305" s="11" t="str">
        <f aca="false">IF(A305="","",IFERROR(LEFT(A305,FIND("-",A305)-1),A305))</f>
        <v/>
      </c>
      <c r="AG305" s="11" t="str">
        <f aca="false">IF(AF305="","",IF(ISNUMBER(--MID(AF305,1,1)),0,IF(ISNUMBER(--MID(AF305,2,1)),1,IF(ISNUMBER(--MID(AF305,3,1)),2,IF(ISNUMBER(--MID(AF305,4,1)),3,MIN(LEN(AF305),4))))))</f>
        <v/>
      </c>
      <c r="AH305" s="11" t="str">
        <f aca="false">IF(A305="","",LEFT(AF305,AG305)&amp;REPT("0",4-AG305)&amp;RIGHT("000"&amp;IFERROR(VALUE(MID(AF305,AG305+1,9)),0),3)&amp;RIGHT("0000"&amp;IFERROR(VALUE(MID(A305,FIND("-",A305)+1,9)),0),4))</f>
        <v/>
      </c>
      <c r="AI305" s="11" t="str">
        <f aca="false">IF(OR(A305="",N(E305)&lt;=0),"",IF('FALTAS GERAL'!$M$1="Código","K"&amp;AH305&amp;RIGHT("00000"&amp;ROW(),5),IF('FALTAS GERAL'!$M$1="Nome","K"&amp;UPPER(SUBSTITUTE(SUBSTITUTE(SUBSTITUTE(B305,"*",""),"?",""),"~",""))&amp;"0"&amp;AH305&amp;RIGHT("00000"&amp;ROW(),5),IF('FALTAS GERAL'!$M$1="Falta (maior primeiro)","K"&amp;RIGHT("0000"&amp;(9999-E305),4)&amp;AH305&amp;RIGHT("00000"&amp;ROW(),5),IF('FALTAS GERAL'!$M$1="Nº de decks (maior primeiro)","K"&amp;RIGHT("00"&amp;(99-N(G305)),2)&amp;AH305&amp;RIGHT("00000"&amp;ROW(),5),"K"&amp;RIGHT("00000"&amp;ROW(),5))))))</f>
        <v/>
      </c>
      <c r="AJ305" s="11" t="str">
        <f aca="false">IF(AI305="","",COUNTIFS($AI$2:$AI$801,"&lt;"&amp;AI305,$E$2:$E$801,"&gt;0")+1)</f>
        <v/>
      </c>
      <c r="AK305" s="11" t="str">
        <f aca="false">IF(OR(A305="",N(E305)&lt;=0),"",COUNTIFS($AH$2:$AH$801,"&lt;"&amp;AH305,$E$2:$E$801,"&gt;0")+COUNTIFS($AH$2:AH305,AH305,$E$2:E305,"&gt;0"))</f>
        <v/>
      </c>
    </row>
    <row r="306" customFormat="false" ht="15" hidden="false" customHeight="false" outlineLevel="0" collapsed="false">
      <c r="A306" s="11" t="str">
        <f aca="false">IF(INVENTÁRIO!A306="","",INVENTÁRIO!A306)</f>
        <v/>
      </c>
      <c r="B306" s="11" t="str">
        <f aca="false">IF(A306="","",INVENTÁRIO!B306)</f>
        <v/>
      </c>
      <c r="C306" s="16" t="str">
        <f aca="false">IF(A306="","",INVENTÁRIO!C306)</f>
        <v/>
      </c>
      <c r="D306" s="14" t="str">
        <f aca="false">IF(A306="","",MAX(K306:AD306))</f>
        <v/>
      </c>
      <c r="E306" s="14" t="str">
        <f aca="false">IF(A306="","",MAX(0,D306-C306))</f>
        <v/>
      </c>
      <c r="F306" s="16" t="str">
        <f aca="false">IF(A306="","",IF(D306=0,"Fora dos decks",IF(E306=0,"Completo","Falta")))</f>
        <v/>
      </c>
      <c r="G306" s="16" t="str">
        <f aca="false">IF(A306="","",COUNTIF(K306:AD306,"&gt;0"))</f>
        <v/>
      </c>
      <c r="H306" s="16" t="str">
        <f aca="false">IF(A306="","",IF(G306&gt;1,"Sim",""))</f>
        <v/>
      </c>
      <c r="I306" s="18" t="str">
        <f aca="false">IF(A306="","",SUMIFS(DECKS!$D$2:$D$1201,DECKS!$B$2:$B$1201,A306))</f>
        <v/>
      </c>
      <c r="J306" s="18" t="str">
        <f aca="false">IF(A306="","",MAX(0,I306-C306))</f>
        <v/>
      </c>
      <c r="K306" s="19" t="str">
        <f aca="false">IF(OR($A306="",INDEX(_LEITURA!$Q$2:$Q$21,1)=0),"",SUMIFS(DECKS!$D$2:$D$1201,DECKS!$A$2:$A$1201,INDEX(_LEITURA!$P$2:$P$21,1),DECKS!$B$2:$B$1201,$A306))</f>
        <v/>
      </c>
      <c r="L306" s="19" t="str">
        <f aca="false">IF(OR($A306="",INDEX(_LEITURA!$Q$2:$Q$21,2)=0),"",SUMIFS(DECKS!$D$2:$D$1201,DECKS!$A$2:$A$1201,INDEX(_LEITURA!$P$2:$P$21,2),DECKS!$B$2:$B$1201,$A306))</f>
        <v/>
      </c>
      <c r="M306" s="19" t="str">
        <f aca="false">IF(OR($A306="",INDEX(_LEITURA!$Q$2:$Q$21,3)=0),"",SUMIFS(DECKS!$D$2:$D$1201,DECKS!$A$2:$A$1201,INDEX(_LEITURA!$P$2:$P$21,3),DECKS!$B$2:$B$1201,$A306))</f>
        <v/>
      </c>
      <c r="N306" s="19" t="str">
        <f aca="false">IF(OR($A306="",INDEX(_LEITURA!$Q$2:$Q$21,4)=0),"",SUMIFS(DECKS!$D$2:$D$1201,DECKS!$A$2:$A$1201,INDEX(_LEITURA!$P$2:$P$21,4),DECKS!$B$2:$B$1201,$A306))</f>
        <v/>
      </c>
      <c r="O306" s="19" t="str">
        <f aca="false">IF(OR($A306="",INDEX(_LEITURA!$Q$2:$Q$21,5)=0),"",SUMIFS(DECKS!$D$2:$D$1201,DECKS!$A$2:$A$1201,INDEX(_LEITURA!$P$2:$P$21,5),DECKS!$B$2:$B$1201,$A306))</f>
        <v/>
      </c>
      <c r="P306" s="19" t="str">
        <f aca="false">IF(OR($A306="",INDEX(_LEITURA!$Q$2:$Q$21,6)=0),"",SUMIFS(DECKS!$D$2:$D$1201,DECKS!$A$2:$A$1201,INDEX(_LEITURA!$P$2:$P$21,6),DECKS!$B$2:$B$1201,$A306))</f>
        <v/>
      </c>
      <c r="Q306" s="19" t="str">
        <f aca="false">IF(OR($A306="",INDEX(_LEITURA!$Q$2:$Q$21,7)=0),"",SUMIFS(DECKS!$D$2:$D$1201,DECKS!$A$2:$A$1201,INDEX(_LEITURA!$P$2:$P$21,7),DECKS!$B$2:$B$1201,$A306))</f>
        <v/>
      </c>
      <c r="R306" s="19" t="str">
        <f aca="false">IF(OR($A306="",INDEX(_LEITURA!$Q$2:$Q$21,8)=0),"",SUMIFS(DECKS!$D$2:$D$1201,DECKS!$A$2:$A$1201,INDEX(_LEITURA!$P$2:$P$21,8),DECKS!$B$2:$B$1201,$A306))</f>
        <v/>
      </c>
      <c r="S306" s="19" t="str">
        <f aca="false">IF(OR($A306="",INDEX(_LEITURA!$Q$2:$Q$21,9)=0),"",SUMIFS(DECKS!$D$2:$D$1201,DECKS!$A$2:$A$1201,INDEX(_LEITURA!$P$2:$P$21,9),DECKS!$B$2:$B$1201,$A306))</f>
        <v/>
      </c>
      <c r="T306" s="19" t="str">
        <f aca="false">IF(OR($A306="",INDEX(_LEITURA!$Q$2:$Q$21,10)=0),"",SUMIFS(DECKS!$D$2:$D$1201,DECKS!$A$2:$A$1201,INDEX(_LEITURA!$P$2:$P$21,10),DECKS!$B$2:$B$1201,$A306))</f>
        <v/>
      </c>
      <c r="U306" s="19" t="str">
        <f aca="false">IF(OR($A306="",INDEX(_LEITURA!$Q$2:$Q$21,11)=0),"",SUMIFS(DECKS!$D$2:$D$1201,DECKS!$A$2:$A$1201,INDEX(_LEITURA!$P$2:$P$21,11),DECKS!$B$2:$B$1201,$A306))</f>
        <v/>
      </c>
      <c r="V306" s="19" t="str">
        <f aca="false">IF(OR($A306="",INDEX(_LEITURA!$Q$2:$Q$21,12)=0),"",SUMIFS(DECKS!$D$2:$D$1201,DECKS!$A$2:$A$1201,INDEX(_LEITURA!$P$2:$P$21,12),DECKS!$B$2:$B$1201,$A306))</f>
        <v/>
      </c>
      <c r="W306" s="19" t="str">
        <f aca="false">IF(OR($A306="",INDEX(_LEITURA!$Q$2:$Q$21,13)=0),"",SUMIFS(DECKS!$D$2:$D$1201,DECKS!$A$2:$A$1201,INDEX(_LEITURA!$P$2:$P$21,13),DECKS!$B$2:$B$1201,$A306))</f>
        <v/>
      </c>
      <c r="X306" s="19" t="str">
        <f aca="false">IF(OR($A306="",INDEX(_LEITURA!$Q$2:$Q$21,14)=0),"",SUMIFS(DECKS!$D$2:$D$1201,DECKS!$A$2:$A$1201,INDEX(_LEITURA!$P$2:$P$21,14),DECKS!$B$2:$B$1201,$A306))</f>
        <v/>
      </c>
      <c r="Y306" s="19" t="str">
        <f aca="false">IF(OR($A306="",INDEX(_LEITURA!$Q$2:$Q$21,15)=0),"",SUMIFS(DECKS!$D$2:$D$1201,DECKS!$A$2:$A$1201,INDEX(_LEITURA!$P$2:$P$21,15),DECKS!$B$2:$B$1201,$A306))</f>
        <v/>
      </c>
      <c r="Z306" s="19" t="str">
        <f aca="false">IF(OR($A306="",INDEX(_LEITURA!$Q$2:$Q$21,16)=0),"",SUMIFS(DECKS!$D$2:$D$1201,DECKS!$A$2:$A$1201,INDEX(_LEITURA!$P$2:$P$21,16),DECKS!$B$2:$B$1201,$A306))</f>
        <v/>
      </c>
      <c r="AA306" s="19" t="str">
        <f aca="false">IF(OR($A306="",INDEX(_LEITURA!$Q$2:$Q$21,17)=0),"",SUMIFS(DECKS!$D$2:$D$1201,DECKS!$A$2:$A$1201,INDEX(_LEITURA!$P$2:$P$21,17),DECKS!$B$2:$B$1201,$A306))</f>
        <v/>
      </c>
      <c r="AB306" s="19" t="str">
        <f aca="false">IF(OR($A306="",INDEX(_LEITURA!$Q$2:$Q$21,18)=0),"",SUMIFS(DECKS!$D$2:$D$1201,DECKS!$A$2:$A$1201,INDEX(_LEITURA!$P$2:$P$21,18),DECKS!$B$2:$B$1201,$A306))</f>
        <v/>
      </c>
      <c r="AC306" s="19" t="str">
        <f aca="false">IF(OR($A306="",INDEX(_LEITURA!$Q$2:$Q$21,19)=0),"",SUMIFS(DECKS!$D$2:$D$1201,DECKS!$A$2:$A$1201,INDEX(_LEITURA!$P$2:$P$21,19),DECKS!$B$2:$B$1201,$A306))</f>
        <v/>
      </c>
      <c r="AD306" s="19" t="str">
        <f aca="false">IF(OR($A306="",INDEX(_LEITURA!$Q$2:$Q$21,20)=0),"",SUMIFS(DECKS!$D$2:$D$1201,DECKS!$A$2:$A$1201,INDEX(_LEITURA!$P$2:$P$21,20),DECKS!$B$2:$B$1201,$A306))</f>
        <v/>
      </c>
      <c r="AE306" s="16" t="str">
        <f aca="false">IF(N(E306)&gt;0,MAX(AE$1:AE305)+1,"")</f>
        <v/>
      </c>
      <c r="AF306" s="11" t="str">
        <f aca="false">IF(A306="","",IFERROR(LEFT(A306,FIND("-",A306)-1),A306))</f>
        <v/>
      </c>
      <c r="AG306" s="11" t="str">
        <f aca="false">IF(AF306="","",IF(ISNUMBER(--MID(AF306,1,1)),0,IF(ISNUMBER(--MID(AF306,2,1)),1,IF(ISNUMBER(--MID(AF306,3,1)),2,IF(ISNUMBER(--MID(AF306,4,1)),3,MIN(LEN(AF306),4))))))</f>
        <v/>
      </c>
      <c r="AH306" s="11" t="str">
        <f aca="false">IF(A306="","",LEFT(AF306,AG306)&amp;REPT("0",4-AG306)&amp;RIGHT("000"&amp;IFERROR(VALUE(MID(AF306,AG306+1,9)),0),3)&amp;RIGHT("0000"&amp;IFERROR(VALUE(MID(A306,FIND("-",A306)+1,9)),0),4))</f>
        <v/>
      </c>
      <c r="AI306" s="11" t="str">
        <f aca="false">IF(OR(A306="",N(E306)&lt;=0),"",IF('FALTAS GERAL'!$M$1="Código","K"&amp;AH306&amp;RIGHT("00000"&amp;ROW(),5),IF('FALTAS GERAL'!$M$1="Nome","K"&amp;UPPER(SUBSTITUTE(SUBSTITUTE(SUBSTITUTE(B306,"*",""),"?",""),"~",""))&amp;"0"&amp;AH306&amp;RIGHT("00000"&amp;ROW(),5),IF('FALTAS GERAL'!$M$1="Falta (maior primeiro)","K"&amp;RIGHT("0000"&amp;(9999-E306),4)&amp;AH306&amp;RIGHT("00000"&amp;ROW(),5),IF('FALTAS GERAL'!$M$1="Nº de decks (maior primeiro)","K"&amp;RIGHT("00"&amp;(99-N(G306)),2)&amp;AH306&amp;RIGHT("00000"&amp;ROW(),5),"K"&amp;RIGHT("00000"&amp;ROW(),5))))))</f>
        <v/>
      </c>
      <c r="AJ306" s="11" t="str">
        <f aca="false">IF(AI306="","",COUNTIFS($AI$2:$AI$801,"&lt;"&amp;AI306,$E$2:$E$801,"&gt;0")+1)</f>
        <v/>
      </c>
      <c r="AK306" s="11" t="str">
        <f aca="false">IF(OR(A306="",N(E306)&lt;=0),"",COUNTIFS($AH$2:$AH$801,"&lt;"&amp;AH306,$E$2:$E$801,"&gt;0")+COUNTIFS($AH$2:AH306,AH306,$E$2:E306,"&gt;0"))</f>
        <v/>
      </c>
    </row>
    <row r="307" customFormat="false" ht="15" hidden="false" customHeight="false" outlineLevel="0" collapsed="false">
      <c r="A307" s="11" t="str">
        <f aca="false">IF(INVENTÁRIO!A307="","",INVENTÁRIO!A307)</f>
        <v/>
      </c>
      <c r="B307" s="11" t="str">
        <f aca="false">IF(A307="","",INVENTÁRIO!B307)</f>
        <v/>
      </c>
      <c r="C307" s="16" t="str">
        <f aca="false">IF(A307="","",INVENTÁRIO!C307)</f>
        <v/>
      </c>
      <c r="D307" s="14" t="str">
        <f aca="false">IF(A307="","",MAX(K307:AD307))</f>
        <v/>
      </c>
      <c r="E307" s="14" t="str">
        <f aca="false">IF(A307="","",MAX(0,D307-C307))</f>
        <v/>
      </c>
      <c r="F307" s="16" t="str">
        <f aca="false">IF(A307="","",IF(D307=0,"Fora dos decks",IF(E307=0,"Completo","Falta")))</f>
        <v/>
      </c>
      <c r="G307" s="16" t="str">
        <f aca="false">IF(A307="","",COUNTIF(K307:AD307,"&gt;0"))</f>
        <v/>
      </c>
      <c r="H307" s="16" t="str">
        <f aca="false">IF(A307="","",IF(G307&gt;1,"Sim",""))</f>
        <v/>
      </c>
      <c r="I307" s="18" t="str">
        <f aca="false">IF(A307="","",SUMIFS(DECKS!$D$2:$D$1201,DECKS!$B$2:$B$1201,A307))</f>
        <v/>
      </c>
      <c r="J307" s="18" t="str">
        <f aca="false">IF(A307="","",MAX(0,I307-C307))</f>
        <v/>
      </c>
      <c r="K307" s="19" t="str">
        <f aca="false">IF(OR($A307="",INDEX(_LEITURA!$Q$2:$Q$21,1)=0),"",SUMIFS(DECKS!$D$2:$D$1201,DECKS!$A$2:$A$1201,INDEX(_LEITURA!$P$2:$P$21,1),DECKS!$B$2:$B$1201,$A307))</f>
        <v/>
      </c>
      <c r="L307" s="19" t="str">
        <f aca="false">IF(OR($A307="",INDEX(_LEITURA!$Q$2:$Q$21,2)=0),"",SUMIFS(DECKS!$D$2:$D$1201,DECKS!$A$2:$A$1201,INDEX(_LEITURA!$P$2:$P$21,2),DECKS!$B$2:$B$1201,$A307))</f>
        <v/>
      </c>
      <c r="M307" s="19" t="str">
        <f aca="false">IF(OR($A307="",INDEX(_LEITURA!$Q$2:$Q$21,3)=0),"",SUMIFS(DECKS!$D$2:$D$1201,DECKS!$A$2:$A$1201,INDEX(_LEITURA!$P$2:$P$21,3),DECKS!$B$2:$B$1201,$A307))</f>
        <v/>
      </c>
      <c r="N307" s="19" t="str">
        <f aca="false">IF(OR($A307="",INDEX(_LEITURA!$Q$2:$Q$21,4)=0),"",SUMIFS(DECKS!$D$2:$D$1201,DECKS!$A$2:$A$1201,INDEX(_LEITURA!$P$2:$P$21,4),DECKS!$B$2:$B$1201,$A307))</f>
        <v/>
      </c>
      <c r="O307" s="19" t="str">
        <f aca="false">IF(OR($A307="",INDEX(_LEITURA!$Q$2:$Q$21,5)=0),"",SUMIFS(DECKS!$D$2:$D$1201,DECKS!$A$2:$A$1201,INDEX(_LEITURA!$P$2:$P$21,5),DECKS!$B$2:$B$1201,$A307))</f>
        <v/>
      </c>
      <c r="P307" s="19" t="str">
        <f aca="false">IF(OR($A307="",INDEX(_LEITURA!$Q$2:$Q$21,6)=0),"",SUMIFS(DECKS!$D$2:$D$1201,DECKS!$A$2:$A$1201,INDEX(_LEITURA!$P$2:$P$21,6),DECKS!$B$2:$B$1201,$A307))</f>
        <v/>
      </c>
      <c r="Q307" s="19" t="str">
        <f aca="false">IF(OR($A307="",INDEX(_LEITURA!$Q$2:$Q$21,7)=0),"",SUMIFS(DECKS!$D$2:$D$1201,DECKS!$A$2:$A$1201,INDEX(_LEITURA!$P$2:$P$21,7),DECKS!$B$2:$B$1201,$A307))</f>
        <v/>
      </c>
      <c r="R307" s="19" t="str">
        <f aca="false">IF(OR($A307="",INDEX(_LEITURA!$Q$2:$Q$21,8)=0),"",SUMIFS(DECKS!$D$2:$D$1201,DECKS!$A$2:$A$1201,INDEX(_LEITURA!$P$2:$P$21,8),DECKS!$B$2:$B$1201,$A307))</f>
        <v/>
      </c>
      <c r="S307" s="19" t="str">
        <f aca="false">IF(OR($A307="",INDEX(_LEITURA!$Q$2:$Q$21,9)=0),"",SUMIFS(DECKS!$D$2:$D$1201,DECKS!$A$2:$A$1201,INDEX(_LEITURA!$P$2:$P$21,9),DECKS!$B$2:$B$1201,$A307))</f>
        <v/>
      </c>
      <c r="T307" s="19" t="str">
        <f aca="false">IF(OR($A307="",INDEX(_LEITURA!$Q$2:$Q$21,10)=0),"",SUMIFS(DECKS!$D$2:$D$1201,DECKS!$A$2:$A$1201,INDEX(_LEITURA!$P$2:$P$21,10),DECKS!$B$2:$B$1201,$A307))</f>
        <v/>
      </c>
      <c r="U307" s="19" t="str">
        <f aca="false">IF(OR($A307="",INDEX(_LEITURA!$Q$2:$Q$21,11)=0),"",SUMIFS(DECKS!$D$2:$D$1201,DECKS!$A$2:$A$1201,INDEX(_LEITURA!$P$2:$P$21,11),DECKS!$B$2:$B$1201,$A307))</f>
        <v/>
      </c>
      <c r="V307" s="19" t="str">
        <f aca="false">IF(OR($A307="",INDEX(_LEITURA!$Q$2:$Q$21,12)=0),"",SUMIFS(DECKS!$D$2:$D$1201,DECKS!$A$2:$A$1201,INDEX(_LEITURA!$P$2:$P$21,12),DECKS!$B$2:$B$1201,$A307))</f>
        <v/>
      </c>
      <c r="W307" s="19" t="str">
        <f aca="false">IF(OR($A307="",INDEX(_LEITURA!$Q$2:$Q$21,13)=0),"",SUMIFS(DECKS!$D$2:$D$1201,DECKS!$A$2:$A$1201,INDEX(_LEITURA!$P$2:$P$21,13),DECKS!$B$2:$B$1201,$A307))</f>
        <v/>
      </c>
      <c r="X307" s="19" t="str">
        <f aca="false">IF(OR($A307="",INDEX(_LEITURA!$Q$2:$Q$21,14)=0),"",SUMIFS(DECKS!$D$2:$D$1201,DECKS!$A$2:$A$1201,INDEX(_LEITURA!$P$2:$P$21,14),DECKS!$B$2:$B$1201,$A307))</f>
        <v/>
      </c>
      <c r="Y307" s="19" t="str">
        <f aca="false">IF(OR($A307="",INDEX(_LEITURA!$Q$2:$Q$21,15)=0),"",SUMIFS(DECKS!$D$2:$D$1201,DECKS!$A$2:$A$1201,INDEX(_LEITURA!$P$2:$P$21,15),DECKS!$B$2:$B$1201,$A307))</f>
        <v/>
      </c>
      <c r="Z307" s="19" t="str">
        <f aca="false">IF(OR($A307="",INDEX(_LEITURA!$Q$2:$Q$21,16)=0),"",SUMIFS(DECKS!$D$2:$D$1201,DECKS!$A$2:$A$1201,INDEX(_LEITURA!$P$2:$P$21,16),DECKS!$B$2:$B$1201,$A307))</f>
        <v/>
      </c>
      <c r="AA307" s="19" t="str">
        <f aca="false">IF(OR($A307="",INDEX(_LEITURA!$Q$2:$Q$21,17)=0),"",SUMIFS(DECKS!$D$2:$D$1201,DECKS!$A$2:$A$1201,INDEX(_LEITURA!$P$2:$P$21,17),DECKS!$B$2:$B$1201,$A307))</f>
        <v/>
      </c>
      <c r="AB307" s="19" t="str">
        <f aca="false">IF(OR($A307="",INDEX(_LEITURA!$Q$2:$Q$21,18)=0),"",SUMIFS(DECKS!$D$2:$D$1201,DECKS!$A$2:$A$1201,INDEX(_LEITURA!$P$2:$P$21,18),DECKS!$B$2:$B$1201,$A307))</f>
        <v/>
      </c>
      <c r="AC307" s="19" t="str">
        <f aca="false">IF(OR($A307="",INDEX(_LEITURA!$Q$2:$Q$21,19)=0),"",SUMIFS(DECKS!$D$2:$D$1201,DECKS!$A$2:$A$1201,INDEX(_LEITURA!$P$2:$P$21,19),DECKS!$B$2:$B$1201,$A307))</f>
        <v/>
      </c>
      <c r="AD307" s="19" t="str">
        <f aca="false">IF(OR($A307="",INDEX(_LEITURA!$Q$2:$Q$21,20)=0),"",SUMIFS(DECKS!$D$2:$D$1201,DECKS!$A$2:$A$1201,INDEX(_LEITURA!$P$2:$P$21,20),DECKS!$B$2:$B$1201,$A307))</f>
        <v/>
      </c>
      <c r="AE307" s="16" t="str">
        <f aca="false">IF(N(E307)&gt;0,MAX(AE$1:AE306)+1,"")</f>
        <v/>
      </c>
      <c r="AF307" s="11" t="str">
        <f aca="false">IF(A307="","",IFERROR(LEFT(A307,FIND("-",A307)-1),A307))</f>
        <v/>
      </c>
      <c r="AG307" s="11" t="str">
        <f aca="false">IF(AF307="","",IF(ISNUMBER(--MID(AF307,1,1)),0,IF(ISNUMBER(--MID(AF307,2,1)),1,IF(ISNUMBER(--MID(AF307,3,1)),2,IF(ISNUMBER(--MID(AF307,4,1)),3,MIN(LEN(AF307),4))))))</f>
        <v/>
      </c>
      <c r="AH307" s="11" t="str">
        <f aca="false">IF(A307="","",LEFT(AF307,AG307)&amp;REPT("0",4-AG307)&amp;RIGHT("000"&amp;IFERROR(VALUE(MID(AF307,AG307+1,9)),0),3)&amp;RIGHT("0000"&amp;IFERROR(VALUE(MID(A307,FIND("-",A307)+1,9)),0),4))</f>
        <v/>
      </c>
      <c r="AI307" s="11" t="str">
        <f aca="false">IF(OR(A307="",N(E307)&lt;=0),"",IF('FALTAS GERAL'!$M$1="Código","K"&amp;AH307&amp;RIGHT("00000"&amp;ROW(),5),IF('FALTAS GERAL'!$M$1="Nome","K"&amp;UPPER(SUBSTITUTE(SUBSTITUTE(SUBSTITUTE(B307,"*",""),"?",""),"~",""))&amp;"0"&amp;AH307&amp;RIGHT("00000"&amp;ROW(),5),IF('FALTAS GERAL'!$M$1="Falta (maior primeiro)","K"&amp;RIGHT("0000"&amp;(9999-E307),4)&amp;AH307&amp;RIGHT("00000"&amp;ROW(),5),IF('FALTAS GERAL'!$M$1="Nº de decks (maior primeiro)","K"&amp;RIGHT("00"&amp;(99-N(G307)),2)&amp;AH307&amp;RIGHT("00000"&amp;ROW(),5),"K"&amp;RIGHT("00000"&amp;ROW(),5))))))</f>
        <v/>
      </c>
      <c r="AJ307" s="11" t="str">
        <f aca="false">IF(AI307="","",COUNTIFS($AI$2:$AI$801,"&lt;"&amp;AI307,$E$2:$E$801,"&gt;0")+1)</f>
        <v/>
      </c>
      <c r="AK307" s="11" t="str">
        <f aca="false">IF(OR(A307="",N(E307)&lt;=0),"",COUNTIFS($AH$2:$AH$801,"&lt;"&amp;AH307,$E$2:$E$801,"&gt;0")+COUNTIFS($AH$2:AH307,AH307,$E$2:E307,"&gt;0"))</f>
        <v/>
      </c>
    </row>
    <row r="308" customFormat="false" ht="15" hidden="false" customHeight="false" outlineLevel="0" collapsed="false">
      <c r="A308" s="11" t="str">
        <f aca="false">IF(INVENTÁRIO!A308="","",INVENTÁRIO!A308)</f>
        <v/>
      </c>
      <c r="B308" s="11" t="str">
        <f aca="false">IF(A308="","",INVENTÁRIO!B308)</f>
        <v/>
      </c>
      <c r="C308" s="16" t="str">
        <f aca="false">IF(A308="","",INVENTÁRIO!C308)</f>
        <v/>
      </c>
      <c r="D308" s="14" t="str">
        <f aca="false">IF(A308="","",MAX(K308:AD308))</f>
        <v/>
      </c>
      <c r="E308" s="14" t="str">
        <f aca="false">IF(A308="","",MAX(0,D308-C308))</f>
        <v/>
      </c>
      <c r="F308" s="16" t="str">
        <f aca="false">IF(A308="","",IF(D308=0,"Fora dos decks",IF(E308=0,"Completo","Falta")))</f>
        <v/>
      </c>
      <c r="G308" s="16" t="str">
        <f aca="false">IF(A308="","",COUNTIF(K308:AD308,"&gt;0"))</f>
        <v/>
      </c>
      <c r="H308" s="16" t="str">
        <f aca="false">IF(A308="","",IF(G308&gt;1,"Sim",""))</f>
        <v/>
      </c>
      <c r="I308" s="18" t="str">
        <f aca="false">IF(A308="","",SUMIFS(DECKS!$D$2:$D$1201,DECKS!$B$2:$B$1201,A308))</f>
        <v/>
      </c>
      <c r="J308" s="18" t="str">
        <f aca="false">IF(A308="","",MAX(0,I308-C308))</f>
        <v/>
      </c>
      <c r="K308" s="19" t="str">
        <f aca="false">IF(OR($A308="",INDEX(_LEITURA!$Q$2:$Q$21,1)=0),"",SUMIFS(DECKS!$D$2:$D$1201,DECKS!$A$2:$A$1201,INDEX(_LEITURA!$P$2:$P$21,1),DECKS!$B$2:$B$1201,$A308))</f>
        <v/>
      </c>
      <c r="L308" s="19" t="str">
        <f aca="false">IF(OR($A308="",INDEX(_LEITURA!$Q$2:$Q$21,2)=0),"",SUMIFS(DECKS!$D$2:$D$1201,DECKS!$A$2:$A$1201,INDEX(_LEITURA!$P$2:$P$21,2),DECKS!$B$2:$B$1201,$A308))</f>
        <v/>
      </c>
      <c r="M308" s="19" t="str">
        <f aca="false">IF(OR($A308="",INDEX(_LEITURA!$Q$2:$Q$21,3)=0),"",SUMIFS(DECKS!$D$2:$D$1201,DECKS!$A$2:$A$1201,INDEX(_LEITURA!$P$2:$P$21,3),DECKS!$B$2:$B$1201,$A308))</f>
        <v/>
      </c>
      <c r="N308" s="19" t="str">
        <f aca="false">IF(OR($A308="",INDEX(_LEITURA!$Q$2:$Q$21,4)=0),"",SUMIFS(DECKS!$D$2:$D$1201,DECKS!$A$2:$A$1201,INDEX(_LEITURA!$P$2:$P$21,4),DECKS!$B$2:$B$1201,$A308))</f>
        <v/>
      </c>
      <c r="O308" s="19" t="str">
        <f aca="false">IF(OR($A308="",INDEX(_LEITURA!$Q$2:$Q$21,5)=0),"",SUMIFS(DECKS!$D$2:$D$1201,DECKS!$A$2:$A$1201,INDEX(_LEITURA!$P$2:$P$21,5),DECKS!$B$2:$B$1201,$A308))</f>
        <v/>
      </c>
      <c r="P308" s="19" t="str">
        <f aca="false">IF(OR($A308="",INDEX(_LEITURA!$Q$2:$Q$21,6)=0),"",SUMIFS(DECKS!$D$2:$D$1201,DECKS!$A$2:$A$1201,INDEX(_LEITURA!$P$2:$P$21,6),DECKS!$B$2:$B$1201,$A308))</f>
        <v/>
      </c>
      <c r="Q308" s="19" t="str">
        <f aca="false">IF(OR($A308="",INDEX(_LEITURA!$Q$2:$Q$21,7)=0),"",SUMIFS(DECKS!$D$2:$D$1201,DECKS!$A$2:$A$1201,INDEX(_LEITURA!$P$2:$P$21,7),DECKS!$B$2:$B$1201,$A308))</f>
        <v/>
      </c>
      <c r="R308" s="19" t="str">
        <f aca="false">IF(OR($A308="",INDEX(_LEITURA!$Q$2:$Q$21,8)=0),"",SUMIFS(DECKS!$D$2:$D$1201,DECKS!$A$2:$A$1201,INDEX(_LEITURA!$P$2:$P$21,8),DECKS!$B$2:$B$1201,$A308))</f>
        <v/>
      </c>
      <c r="S308" s="19" t="str">
        <f aca="false">IF(OR($A308="",INDEX(_LEITURA!$Q$2:$Q$21,9)=0),"",SUMIFS(DECKS!$D$2:$D$1201,DECKS!$A$2:$A$1201,INDEX(_LEITURA!$P$2:$P$21,9),DECKS!$B$2:$B$1201,$A308))</f>
        <v/>
      </c>
      <c r="T308" s="19" t="str">
        <f aca="false">IF(OR($A308="",INDEX(_LEITURA!$Q$2:$Q$21,10)=0),"",SUMIFS(DECKS!$D$2:$D$1201,DECKS!$A$2:$A$1201,INDEX(_LEITURA!$P$2:$P$21,10),DECKS!$B$2:$B$1201,$A308))</f>
        <v/>
      </c>
      <c r="U308" s="19" t="str">
        <f aca="false">IF(OR($A308="",INDEX(_LEITURA!$Q$2:$Q$21,11)=0),"",SUMIFS(DECKS!$D$2:$D$1201,DECKS!$A$2:$A$1201,INDEX(_LEITURA!$P$2:$P$21,11),DECKS!$B$2:$B$1201,$A308))</f>
        <v/>
      </c>
      <c r="V308" s="19" t="str">
        <f aca="false">IF(OR($A308="",INDEX(_LEITURA!$Q$2:$Q$21,12)=0),"",SUMIFS(DECKS!$D$2:$D$1201,DECKS!$A$2:$A$1201,INDEX(_LEITURA!$P$2:$P$21,12),DECKS!$B$2:$B$1201,$A308))</f>
        <v/>
      </c>
      <c r="W308" s="19" t="str">
        <f aca="false">IF(OR($A308="",INDEX(_LEITURA!$Q$2:$Q$21,13)=0),"",SUMIFS(DECKS!$D$2:$D$1201,DECKS!$A$2:$A$1201,INDEX(_LEITURA!$P$2:$P$21,13),DECKS!$B$2:$B$1201,$A308))</f>
        <v/>
      </c>
      <c r="X308" s="19" t="str">
        <f aca="false">IF(OR($A308="",INDEX(_LEITURA!$Q$2:$Q$21,14)=0),"",SUMIFS(DECKS!$D$2:$D$1201,DECKS!$A$2:$A$1201,INDEX(_LEITURA!$P$2:$P$21,14),DECKS!$B$2:$B$1201,$A308))</f>
        <v/>
      </c>
      <c r="Y308" s="19" t="str">
        <f aca="false">IF(OR($A308="",INDEX(_LEITURA!$Q$2:$Q$21,15)=0),"",SUMIFS(DECKS!$D$2:$D$1201,DECKS!$A$2:$A$1201,INDEX(_LEITURA!$P$2:$P$21,15),DECKS!$B$2:$B$1201,$A308))</f>
        <v/>
      </c>
      <c r="Z308" s="19" t="str">
        <f aca="false">IF(OR($A308="",INDEX(_LEITURA!$Q$2:$Q$21,16)=0),"",SUMIFS(DECKS!$D$2:$D$1201,DECKS!$A$2:$A$1201,INDEX(_LEITURA!$P$2:$P$21,16),DECKS!$B$2:$B$1201,$A308))</f>
        <v/>
      </c>
      <c r="AA308" s="19" t="str">
        <f aca="false">IF(OR($A308="",INDEX(_LEITURA!$Q$2:$Q$21,17)=0),"",SUMIFS(DECKS!$D$2:$D$1201,DECKS!$A$2:$A$1201,INDEX(_LEITURA!$P$2:$P$21,17),DECKS!$B$2:$B$1201,$A308))</f>
        <v/>
      </c>
      <c r="AB308" s="19" t="str">
        <f aca="false">IF(OR($A308="",INDEX(_LEITURA!$Q$2:$Q$21,18)=0),"",SUMIFS(DECKS!$D$2:$D$1201,DECKS!$A$2:$A$1201,INDEX(_LEITURA!$P$2:$P$21,18),DECKS!$B$2:$B$1201,$A308))</f>
        <v/>
      </c>
      <c r="AC308" s="19" t="str">
        <f aca="false">IF(OR($A308="",INDEX(_LEITURA!$Q$2:$Q$21,19)=0),"",SUMIFS(DECKS!$D$2:$D$1201,DECKS!$A$2:$A$1201,INDEX(_LEITURA!$P$2:$P$21,19),DECKS!$B$2:$B$1201,$A308))</f>
        <v/>
      </c>
      <c r="AD308" s="19" t="str">
        <f aca="false">IF(OR($A308="",INDEX(_LEITURA!$Q$2:$Q$21,20)=0),"",SUMIFS(DECKS!$D$2:$D$1201,DECKS!$A$2:$A$1201,INDEX(_LEITURA!$P$2:$P$21,20),DECKS!$B$2:$B$1201,$A308))</f>
        <v/>
      </c>
      <c r="AE308" s="16" t="str">
        <f aca="false">IF(N(E308)&gt;0,MAX(AE$1:AE307)+1,"")</f>
        <v/>
      </c>
      <c r="AF308" s="11" t="str">
        <f aca="false">IF(A308="","",IFERROR(LEFT(A308,FIND("-",A308)-1),A308))</f>
        <v/>
      </c>
      <c r="AG308" s="11" t="str">
        <f aca="false">IF(AF308="","",IF(ISNUMBER(--MID(AF308,1,1)),0,IF(ISNUMBER(--MID(AF308,2,1)),1,IF(ISNUMBER(--MID(AF308,3,1)),2,IF(ISNUMBER(--MID(AF308,4,1)),3,MIN(LEN(AF308),4))))))</f>
        <v/>
      </c>
      <c r="AH308" s="11" t="str">
        <f aca="false">IF(A308="","",LEFT(AF308,AG308)&amp;REPT("0",4-AG308)&amp;RIGHT("000"&amp;IFERROR(VALUE(MID(AF308,AG308+1,9)),0),3)&amp;RIGHT("0000"&amp;IFERROR(VALUE(MID(A308,FIND("-",A308)+1,9)),0),4))</f>
        <v/>
      </c>
      <c r="AI308" s="11" t="str">
        <f aca="false">IF(OR(A308="",N(E308)&lt;=0),"",IF('FALTAS GERAL'!$M$1="Código","K"&amp;AH308&amp;RIGHT("00000"&amp;ROW(),5),IF('FALTAS GERAL'!$M$1="Nome","K"&amp;UPPER(SUBSTITUTE(SUBSTITUTE(SUBSTITUTE(B308,"*",""),"?",""),"~",""))&amp;"0"&amp;AH308&amp;RIGHT("00000"&amp;ROW(),5),IF('FALTAS GERAL'!$M$1="Falta (maior primeiro)","K"&amp;RIGHT("0000"&amp;(9999-E308),4)&amp;AH308&amp;RIGHT("00000"&amp;ROW(),5),IF('FALTAS GERAL'!$M$1="Nº de decks (maior primeiro)","K"&amp;RIGHT("00"&amp;(99-N(G308)),2)&amp;AH308&amp;RIGHT("00000"&amp;ROW(),5),"K"&amp;RIGHT("00000"&amp;ROW(),5))))))</f>
        <v/>
      </c>
      <c r="AJ308" s="11" t="str">
        <f aca="false">IF(AI308="","",COUNTIFS($AI$2:$AI$801,"&lt;"&amp;AI308,$E$2:$E$801,"&gt;0")+1)</f>
        <v/>
      </c>
      <c r="AK308" s="11" t="str">
        <f aca="false">IF(OR(A308="",N(E308)&lt;=0),"",COUNTIFS($AH$2:$AH$801,"&lt;"&amp;AH308,$E$2:$E$801,"&gt;0")+COUNTIFS($AH$2:AH308,AH308,$E$2:E308,"&gt;0"))</f>
        <v/>
      </c>
    </row>
    <row r="309" customFormat="false" ht="15" hidden="false" customHeight="false" outlineLevel="0" collapsed="false">
      <c r="A309" s="11" t="str">
        <f aca="false">IF(INVENTÁRIO!A309="","",INVENTÁRIO!A309)</f>
        <v/>
      </c>
      <c r="B309" s="11" t="str">
        <f aca="false">IF(A309="","",INVENTÁRIO!B309)</f>
        <v/>
      </c>
      <c r="C309" s="16" t="str">
        <f aca="false">IF(A309="","",INVENTÁRIO!C309)</f>
        <v/>
      </c>
      <c r="D309" s="14" t="str">
        <f aca="false">IF(A309="","",MAX(K309:AD309))</f>
        <v/>
      </c>
      <c r="E309" s="14" t="str">
        <f aca="false">IF(A309="","",MAX(0,D309-C309))</f>
        <v/>
      </c>
      <c r="F309" s="16" t="str">
        <f aca="false">IF(A309="","",IF(D309=0,"Fora dos decks",IF(E309=0,"Completo","Falta")))</f>
        <v/>
      </c>
      <c r="G309" s="16" t="str">
        <f aca="false">IF(A309="","",COUNTIF(K309:AD309,"&gt;0"))</f>
        <v/>
      </c>
      <c r="H309" s="16" t="str">
        <f aca="false">IF(A309="","",IF(G309&gt;1,"Sim",""))</f>
        <v/>
      </c>
      <c r="I309" s="18" t="str">
        <f aca="false">IF(A309="","",SUMIFS(DECKS!$D$2:$D$1201,DECKS!$B$2:$B$1201,A309))</f>
        <v/>
      </c>
      <c r="J309" s="18" t="str">
        <f aca="false">IF(A309="","",MAX(0,I309-C309))</f>
        <v/>
      </c>
      <c r="K309" s="19" t="str">
        <f aca="false">IF(OR($A309="",INDEX(_LEITURA!$Q$2:$Q$21,1)=0),"",SUMIFS(DECKS!$D$2:$D$1201,DECKS!$A$2:$A$1201,INDEX(_LEITURA!$P$2:$P$21,1),DECKS!$B$2:$B$1201,$A309))</f>
        <v/>
      </c>
      <c r="L309" s="19" t="str">
        <f aca="false">IF(OR($A309="",INDEX(_LEITURA!$Q$2:$Q$21,2)=0),"",SUMIFS(DECKS!$D$2:$D$1201,DECKS!$A$2:$A$1201,INDEX(_LEITURA!$P$2:$P$21,2),DECKS!$B$2:$B$1201,$A309))</f>
        <v/>
      </c>
      <c r="M309" s="19" t="str">
        <f aca="false">IF(OR($A309="",INDEX(_LEITURA!$Q$2:$Q$21,3)=0),"",SUMIFS(DECKS!$D$2:$D$1201,DECKS!$A$2:$A$1201,INDEX(_LEITURA!$P$2:$P$21,3),DECKS!$B$2:$B$1201,$A309))</f>
        <v/>
      </c>
      <c r="N309" s="19" t="str">
        <f aca="false">IF(OR($A309="",INDEX(_LEITURA!$Q$2:$Q$21,4)=0),"",SUMIFS(DECKS!$D$2:$D$1201,DECKS!$A$2:$A$1201,INDEX(_LEITURA!$P$2:$P$21,4),DECKS!$B$2:$B$1201,$A309))</f>
        <v/>
      </c>
      <c r="O309" s="19" t="str">
        <f aca="false">IF(OR($A309="",INDEX(_LEITURA!$Q$2:$Q$21,5)=0),"",SUMIFS(DECKS!$D$2:$D$1201,DECKS!$A$2:$A$1201,INDEX(_LEITURA!$P$2:$P$21,5),DECKS!$B$2:$B$1201,$A309))</f>
        <v/>
      </c>
      <c r="P309" s="19" t="str">
        <f aca="false">IF(OR($A309="",INDEX(_LEITURA!$Q$2:$Q$21,6)=0),"",SUMIFS(DECKS!$D$2:$D$1201,DECKS!$A$2:$A$1201,INDEX(_LEITURA!$P$2:$P$21,6),DECKS!$B$2:$B$1201,$A309))</f>
        <v/>
      </c>
      <c r="Q309" s="19" t="str">
        <f aca="false">IF(OR($A309="",INDEX(_LEITURA!$Q$2:$Q$21,7)=0),"",SUMIFS(DECKS!$D$2:$D$1201,DECKS!$A$2:$A$1201,INDEX(_LEITURA!$P$2:$P$21,7),DECKS!$B$2:$B$1201,$A309))</f>
        <v/>
      </c>
      <c r="R309" s="19" t="str">
        <f aca="false">IF(OR($A309="",INDEX(_LEITURA!$Q$2:$Q$21,8)=0),"",SUMIFS(DECKS!$D$2:$D$1201,DECKS!$A$2:$A$1201,INDEX(_LEITURA!$P$2:$P$21,8),DECKS!$B$2:$B$1201,$A309))</f>
        <v/>
      </c>
      <c r="S309" s="19" t="str">
        <f aca="false">IF(OR($A309="",INDEX(_LEITURA!$Q$2:$Q$21,9)=0),"",SUMIFS(DECKS!$D$2:$D$1201,DECKS!$A$2:$A$1201,INDEX(_LEITURA!$P$2:$P$21,9),DECKS!$B$2:$B$1201,$A309))</f>
        <v/>
      </c>
      <c r="T309" s="19" t="str">
        <f aca="false">IF(OR($A309="",INDEX(_LEITURA!$Q$2:$Q$21,10)=0),"",SUMIFS(DECKS!$D$2:$D$1201,DECKS!$A$2:$A$1201,INDEX(_LEITURA!$P$2:$P$21,10),DECKS!$B$2:$B$1201,$A309))</f>
        <v/>
      </c>
      <c r="U309" s="19" t="str">
        <f aca="false">IF(OR($A309="",INDEX(_LEITURA!$Q$2:$Q$21,11)=0),"",SUMIFS(DECKS!$D$2:$D$1201,DECKS!$A$2:$A$1201,INDEX(_LEITURA!$P$2:$P$21,11),DECKS!$B$2:$B$1201,$A309))</f>
        <v/>
      </c>
      <c r="V309" s="19" t="str">
        <f aca="false">IF(OR($A309="",INDEX(_LEITURA!$Q$2:$Q$21,12)=0),"",SUMIFS(DECKS!$D$2:$D$1201,DECKS!$A$2:$A$1201,INDEX(_LEITURA!$P$2:$P$21,12),DECKS!$B$2:$B$1201,$A309))</f>
        <v/>
      </c>
      <c r="W309" s="19" t="str">
        <f aca="false">IF(OR($A309="",INDEX(_LEITURA!$Q$2:$Q$21,13)=0),"",SUMIFS(DECKS!$D$2:$D$1201,DECKS!$A$2:$A$1201,INDEX(_LEITURA!$P$2:$P$21,13),DECKS!$B$2:$B$1201,$A309))</f>
        <v/>
      </c>
      <c r="X309" s="19" t="str">
        <f aca="false">IF(OR($A309="",INDEX(_LEITURA!$Q$2:$Q$21,14)=0),"",SUMIFS(DECKS!$D$2:$D$1201,DECKS!$A$2:$A$1201,INDEX(_LEITURA!$P$2:$P$21,14),DECKS!$B$2:$B$1201,$A309))</f>
        <v/>
      </c>
      <c r="Y309" s="19" t="str">
        <f aca="false">IF(OR($A309="",INDEX(_LEITURA!$Q$2:$Q$21,15)=0),"",SUMIFS(DECKS!$D$2:$D$1201,DECKS!$A$2:$A$1201,INDEX(_LEITURA!$P$2:$P$21,15),DECKS!$B$2:$B$1201,$A309))</f>
        <v/>
      </c>
      <c r="Z309" s="19" t="str">
        <f aca="false">IF(OR($A309="",INDEX(_LEITURA!$Q$2:$Q$21,16)=0),"",SUMIFS(DECKS!$D$2:$D$1201,DECKS!$A$2:$A$1201,INDEX(_LEITURA!$P$2:$P$21,16),DECKS!$B$2:$B$1201,$A309))</f>
        <v/>
      </c>
      <c r="AA309" s="19" t="str">
        <f aca="false">IF(OR($A309="",INDEX(_LEITURA!$Q$2:$Q$21,17)=0),"",SUMIFS(DECKS!$D$2:$D$1201,DECKS!$A$2:$A$1201,INDEX(_LEITURA!$P$2:$P$21,17),DECKS!$B$2:$B$1201,$A309))</f>
        <v/>
      </c>
      <c r="AB309" s="19" t="str">
        <f aca="false">IF(OR($A309="",INDEX(_LEITURA!$Q$2:$Q$21,18)=0),"",SUMIFS(DECKS!$D$2:$D$1201,DECKS!$A$2:$A$1201,INDEX(_LEITURA!$P$2:$P$21,18),DECKS!$B$2:$B$1201,$A309))</f>
        <v/>
      </c>
      <c r="AC309" s="19" t="str">
        <f aca="false">IF(OR($A309="",INDEX(_LEITURA!$Q$2:$Q$21,19)=0),"",SUMIFS(DECKS!$D$2:$D$1201,DECKS!$A$2:$A$1201,INDEX(_LEITURA!$P$2:$P$21,19),DECKS!$B$2:$B$1201,$A309))</f>
        <v/>
      </c>
      <c r="AD309" s="19" t="str">
        <f aca="false">IF(OR($A309="",INDEX(_LEITURA!$Q$2:$Q$21,20)=0),"",SUMIFS(DECKS!$D$2:$D$1201,DECKS!$A$2:$A$1201,INDEX(_LEITURA!$P$2:$P$21,20),DECKS!$B$2:$B$1201,$A309))</f>
        <v/>
      </c>
      <c r="AE309" s="16" t="str">
        <f aca="false">IF(N(E309)&gt;0,MAX(AE$1:AE308)+1,"")</f>
        <v/>
      </c>
      <c r="AF309" s="11" t="str">
        <f aca="false">IF(A309="","",IFERROR(LEFT(A309,FIND("-",A309)-1),A309))</f>
        <v/>
      </c>
      <c r="AG309" s="11" t="str">
        <f aca="false">IF(AF309="","",IF(ISNUMBER(--MID(AF309,1,1)),0,IF(ISNUMBER(--MID(AF309,2,1)),1,IF(ISNUMBER(--MID(AF309,3,1)),2,IF(ISNUMBER(--MID(AF309,4,1)),3,MIN(LEN(AF309),4))))))</f>
        <v/>
      </c>
      <c r="AH309" s="11" t="str">
        <f aca="false">IF(A309="","",LEFT(AF309,AG309)&amp;REPT("0",4-AG309)&amp;RIGHT("000"&amp;IFERROR(VALUE(MID(AF309,AG309+1,9)),0),3)&amp;RIGHT("0000"&amp;IFERROR(VALUE(MID(A309,FIND("-",A309)+1,9)),0),4))</f>
        <v/>
      </c>
      <c r="AI309" s="11" t="str">
        <f aca="false">IF(OR(A309="",N(E309)&lt;=0),"",IF('FALTAS GERAL'!$M$1="Código","K"&amp;AH309&amp;RIGHT("00000"&amp;ROW(),5),IF('FALTAS GERAL'!$M$1="Nome","K"&amp;UPPER(SUBSTITUTE(SUBSTITUTE(SUBSTITUTE(B309,"*",""),"?",""),"~",""))&amp;"0"&amp;AH309&amp;RIGHT("00000"&amp;ROW(),5),IF('FALTAS GERAL'!$M$1="Falta (maior primeiro)","K"&amp;RIGHT("0000"&amp;(9999-E309),4)&amp;AH309&amp;RIGHT("00000"&amp;ROW(),5),IF('FALTAS GERAL'!$M$1="Nº de decks (maior primeiro)","K"&amp;RIGHT("00"&amp;(99-N(G309)),2)&amp;AH309&amp;RIGHT("00000"&amp;ROW(),5),"K"&amp;RIGHT("00000"&amp;ROW(),5))))))</f>
        <v/>
      </c>
      <c r="AJ309" s="11" t="str">
        <f aca="false">IF(AI309="","",COUNTIFS($AI$2:$AI$801,"&lt;"&amp;AI309,$E$2:$E$801,"&gt;0")+1)</f>
        <v/>
      </c>
      <c r="AK309" s="11" t="str">
        <f aca="false">IF(OR(A309="",N(E309)&lt;=0),"",COUNTIFS($AH$2:$AH$801,"&lt;"&amp;AH309,$E$2:$E$801,"&gt;0")+COUNTIFS($AH$2:AH309,AH309,$E$2:E309,"&gt;0"))</f>
        <v/>
      </c>
    </row>
    <row r="310" customFormat="false" ht="15" hidden="false" customHeight="false" outlineLevel="0" collapsed="false">
      <c r="A310" s="11" t="str">
        <f aca="false">IF(INVENTÁRIO!A310="","",INVENTÁRIO!A310)</f>
        <v/>
      </c>
      <c r="B310" s="11" t="str">
        <f aca="false">IF(A310="","",INVENTÁRIO!B310)</f>
        <v/>
      </c>
      <c r="C310" s="16" t="str">
        <f aca="false">IF(A310="","",INVENTÁRIO!C310)</f>
        <v/>
      </c>
      <c r="D310" s="14" t="str">
        <f aca="false">IF(A310="","",MAX(K310:AD310))</f>
        <v/>
      </c>
      <c r="E310" s="14" t="str">
        <f aca="false">IF(A310="","",MAX(0,D310-C310))</f>
        <v/>
      </c>
      <c r="F310" s="16" t="str">
        <f aca="false">IF(A310="","",IF(D310=0,"Fora dos decks",IF(E310=0,"Completo","Falta")))</f>
        <v/>
      </c>
      <c r="G310" s="16" t="str">
        <f aca="false">IF(A310="","",COUNTIF(K310:AD310,"&gt;0"))</f>
        <v/>
      </c>
      <c r="H310" s="16" t="str">
        <f aca="false">IF(A310="","",IF(G310&gt;1,"Sim",""))</f>
        <v/>
      </c>
      <c r="I310" s="18" t="str">
        <f aca="false">IF(A310="","",SUMIFS(DECKS!$D$2:$D$1201,DECKS!$B$2:$B$1201,A310))</f>
        <v/>
      </c>
      <c r="J310" s="18" t="str">
        <f aca="false">IF(A310="","",MAX(0,I310-C310))</f>
        <v/>
      </c>
      <c r="K310" s="19" t="str">
        <f aca="false">IF(OR($A310="",INDEX(_LEITURA!$Q$2:$Q$21,1)=0),"",SUMIFS(DECKS!$D$2:$D$1201,DECKS!$A$2:$A$1201,INDEX(_LEITURA!$P$2:$P$21,1),DECKS!$B$2:$B$1201,$A310))</f>
        <v/>
      </c>
      <c r="L310" s="19" t="str">
        <f aca="false">IF(OR($A310="",INDEX(_LEITURA!$Q$2:$Q$21,2)=0),"",SUMIFS(DECKS!$D$2:$D$1201,DECKS!$A$2:$A$1201,INDEX(_LEITURA!$P$2:$P$21,2),DECKS!$B$2:$B$1201,$A310))</f>
        <v/>
      </c>
      <c r="M310" s="19" t="str">
        <f aca="false">IF(OR($A310="",INDEX(_LEITURA!$Q$2:$Q$21,3)=0),"",SUMIFS(DECKS!$D$2:$D$1201,DECKS!$A$2:$A$1201,INDEX(_LEITURA!$P$2:$P$21,3),DECKS!$B$2:$B$1201,$A310))</f>
        <v/>
      </c>
      <c r="N310" s="19" t="str">
        <f aca="false">IF(OR($A310="",INDEX(_LEITURA!$Q$2:$Q$21,4)=0),"",SUMIFS(DECKS!$D$2:$D$1201,DECKS!$A$2:$A$1201,INDEX(_LEITURA!$P$2:$P$21,4),DECKS!$B$2:$B$1201,$A310))</f>
        <v/>
      </c>
      <c r="O310" s="19" t="str">
        <f aca="false">IF(OR($A310="",INDEX(_LEITURA!$Q$2:$Q$21,5)=0),"",SUMIFS(DECKS!$D$2:$D$1201,DECKS!$A$2:$A$1201,INDEX(_LEITURA!$P$2:$P$21,5),DECKS!$B$2:$B$1201,$A310))</f>
        <v/>
      </c>
      <c r="P310" s="19" t="str">
        <f aca="false">IF(OR($A310="",INDEX(_LEITURA!$Q$2:$Q$21,6)=0),"",SUMIFS(DECKS!$D$2:$D$1201,DECKS!$A$2:$A$1201,INDEX(_LEITURA!$P$2:$P$21,6),DECKS!$B$2:$B$1201,$A310))</f>
        <v/>
      </c>
      <c r="Q310" s="19" t="str">
        <f aca="false">IF(OR($A310="",INDEX(_LEITURA!$Q$2:$Q$21,7)=0),"",SUMIFS(DECKS!$D$2:$D$1201,DECKS!$A$2:$A$1201,INDEX(_LEITURA!$P$2:$P$21,7),DECKS!$B$2:$B$1201,$A310))</f>
        <v/>
      </c>
      <c r="R310" s="19" t="str">
        <f aca="false">IF(OR($A310="",INDEX(_LEITURA!$Q$2:$Q$21,8)=0),"",SUMIFS(DECKS!$D$2:$D$1201,DECKS!$A$2:$A$1201,INDEX(_LEITURA!$P$2:$P$21,8),DECKS!$B$2:$B$1201,$A310))</f>
        <v/>
      </c>
      <c r="S310" s="19" t="str">
        <f aca="false">IF(OR($A310="",INDEX(_LEITURA!$Q$2:$Q$21,9)=0),"",SUMIFS(DECKS!$D$2:$D$1201,DECKS!$A$2:$A$1201,INDEX(_LEITURA!$P$2:$P$21,9),DECKS!$B$2:$B$1201,$A310))</f>
        <v/>
      </c>
      <c r="T310" s="19" t="str">
        <f aca="false">IF(OR($A310="",INDEX(_LEITURA!$Q$2:$Q$21,10)=0),"",SUMIFS(DECKS!$D$2:$D$1201,DECKS!$A$2:$A$1201,INDEX(_LEITURA!$P$2:$P$21,10),DECKS!$B$2:$B$1201,$A310))</f>
        <v/>
      </c>
      <c r="U310" s="19" t="str">
        <f aca="false">IF(OR($A310="",INDEX(_LEITURA!$Q$2:$Q$21,11)=0),"",SUMIFS(DECKS!$D$2:$D$1201,DECKS!$A$2:$A$1201,INDEX(_LEITURA!$P$2:$P$21,11),DECKS!$B$2:$B$1201,$A310))</f>
        <v/>
      </c>
      <c r="V310" s="19" t="str">
        <f aca="false">IF(OR($A310="",INDEX(_LEITURA!$Q$2:$Q$21,12)=0),"",SUMIFS(DECKS!$D$2:$D$1201,DECKS!$A$2:$A$1201,INDEX(_LEITURA!$P$2:$P$21,12),DECKS!$B$2:$B$1201,$A310))</f>
        <v/>
      </c>
      <c r="W310" s="19" t="str">
        <f aca="false">IF(OR($A310="",INDEX(_LEITURA!$Q$2:$Q$21,13)=0),"",SUMIFS(DECKS!$D$2:$D$1201,DECKS!$A$2:$A$1201,INDEX(_LEITURA!$P$2:$P$21,13),DECKS!$B$2:$B$1201,$A310))</f>
        <v/>
      </c>
      <c r="X310" s="19" t="str">
        <f aca="false">IF(OR($A310="",INDEX(_LEITURA!$Q$2:$Q$21,14)=0),"",SUMIFS(DECKS!$D$2:$D$1201,DECKS!$A$2:$A$1201,INDEX(_LEITURA!$P$2:$P$21,14),DECKS!$B$2:$B$1201,$A310))</f>
        <v/>
      </c>
      <c r="Y310" s="19" t="str">
        <f aca="false">IF(OR($A310="",INDEX(_LEITURA!$Q$2:$Q$21,15)=0),"",SUMIFS(DECKS!$D$2:$D$1201,DECKS!$A$2:$A$1201,INDEX(_LEITURA!$P$2:$P$21,15),DECKS!$B$2:$B$1201,$A310))</f>
        <v/>
      </c>
      <c r="Z310" s="19" t="str">
        <f aca="false">IF(OR($A310="",INDEX(_LEITURA!$Q$2:$Q$21,16)=0),"",SUMIFS(DECKS!$D$2:$D$1201,DECKS!$A$2:$A$1201,INDEX(_LEITURA!$P$2:$P$21,16),DECKS!$B$2:$B$1201,$A310))</f>
        <v/>
      </c>
      <c r="AA310" s="19" t="str">
        <f aca="false">IF(OR($A310="",INDEX(_LEITURA!$Q$2:$Q$21,17)=0),"",SUMIFS(DECKS!$D$2:$D$1201,DECKS!$A$2:$A$1201,INDEX(_LEITURA!$P$2:$P$21,17),DECKS!$B$2:$B$1201,$A310))</f>
        <v/>
      </c>
      <c r="AB310" s="19" t="str">
        <f aca="false">IF(OR($A310="",INDEX(_LEITURA!$Q$2:$Q$21,18)=0),"",SUMIFS(DECKS!$D$2:$D$1201,DECKS!$A$2:$A$1201,INDEX(_LEITURA!$P$2:$P$21,18),DECKS!$B$2:$B$1201,$A310))</f>
        <v/>
      </c>
      <c r="AC310" s="19" t="str">
        <f aca="false">IF(OR($A310="",INDEX(_LEITURA!$Q$2:$Q$21,19)=0),"",SUMIFS(DECKS!$D$2:$D$1201,DECKS!$A$2:$A$1201,INDEX(_LEITURA!$P$2:$P$21,19),DECKS!$B$2:$B$1201,$A310))</f>
        <v/>
      </c>
      <c r="AD310" s="19" t="str">
        <f aca="false">IF(OR($A310="",INDEX(_LEITURA!$Q$2:$Q$21,20)=0),"",SUMIFS(DECKS!$D$2:$D$1201,DECKS!$A$2:$A$1201,INDEX(_LEITURA!$P$2:$P$21,20),DECKS!$B$2:$B$1201,$A310))</f>
        <v/>
      </c>
      <c r="AE310" s="16" t="str">
        <f aca="false">IF(N(E310)&gt;0,MAX(AE$1:AE309)+1,"")</f>
        <v/>
      </c>
      <c r="AF310" s="11" t="str">
        <f aca="false">IF(A310="","",IFERROR(LEFT(A310,FIND("-",A310)-1),A310))</f>
        <v/>
      </c>
      <c r="AG310" s="11" t="str">
        <f aca="false">IF(AF310="","",IF(ISNUMBER(--MID(AF310,1,1)),0,IF(ISNUMBER(--MID(AF310,2,1)),1,IF(ISNUMBER(--MID(AF310,3,1)),2,IF(ISNUMBER(--MID(AF310,4,1)),3,MIN(LEN(AF310),4))))))</f>
        <v/>
      </c>
      <c r="AH310" s="11" t="str">
        <f aca="false">IF(A310="","",LEFT(AF310,AG310)&amp;REPT("0",4-AG310)&amp;RIGHT("000"&amp;IFERROR(VALUE(MID(AF310,AG310+1,9)),0),3)&amp;RIGHT("0000"&amp;IFERROR(VALUE(MID(A310,FIND("-",A310)+1,9)),0),4))</f>
        <v/>
      </c>
      <c r="AI310" s="11" t="str">
        <f aca="false">IF(OR(A310="",N(E310)&lt;=0),"",IF('FALTAS GERAL'!$M$1="Código","K"&amp;AH310&amp;RIGHT("00000"&amp;ROW(),5),IF('FALTAS GERAL'!$M$1="Nome","K"&amp;UPPER(SUBSTITUTE(SUBSTITUTE(SUBSTITUTE(B310,"*",""),"?",""),"~",""))&amp;"0"&amp;AH310&amp;RIGHT("00000"&amp;ROW(),5),IF('FALTAS GERAL'!$M$1="Falta (maior primeiro)","K"&amp;RIGHT("0000"&amp;(9999-E310),4)&amp;AH310&amp;RIGHT("00000"&amp;ROW(),5),IF('FALTAS GERAL'!$M$1="Nº de decks (maior primeiro)","K"&amp;RIGHT("00"&amp;(99-N(G310)),2)&amp;AH310&amp;RIGHT("00000"&amp;ROW(),5),"K"&amp;RIGHT("00000"&amp;ROW(),5))))))</f>
        <v/>
      </c>
      <c r="AJ310" s="11" t="str">
        <f aca="false">IF(AI310="","",COUNTIFS($AI$2:$AI$801,"&lt;"&amp;AI310,$E$2:$E$801,"&gt;0")+1)</f>
        <v/>
      </c>
      <c r="AK310" s="11" t="str">
        <f aca="false">IF(OR(A310="",N(E310)&lt;=0),"",COUNTIFS($AH$2:$AH$801,"&lt;"&amp;AH310,$E$2:$E$801,"&gt;0")+COUNTIFS($AH$2:AH310,AH310,$E$2:E310,"&gt;0"))</f>
        <v/>
      </c>
    </row>
    <row r="311" customFormat="false" ht="15" hidden="false" customHeight="false" outlineLevel="0" collapsed="false">
      <c r="A311" s="11" t="str">
        <f aca="false">IF(INVENTÁRIO!A311="","",INVENTÁRIO!A311)</f>
        <v/>
      </c>
      <c r="B311" s="11" t="str">
        <f aca="false">IF(A311="","",INVENTÁRIO!B311)</f>
        <v/>
      </c>
      <c r="C311" s="16" t="str">
        <f aca="false">IF(A311="","",INVENTÁRIO!C311)</f>
        <v/>
      </c>
      <c r="D311" s="14" t="str">
        <f aca="false">IF(A311="","",MAX(K311:AD311))</f>
        <v/>
      </c>
      <c r="E311" s="14" t="str">
        <f aca="false">IF(A311="","",MAX(0,D311-C311))</f>
        <v/>
      </c>
      <c r="F311" s="16" t="str">
        <f aca="false">IF(A311="","",IF(D311=0,"Fora dos decks",IF(E311=0,"Completo","Falta")))</f>
        <v/>
      </c>
      <c r="G311" s="16" t="str">
        <f aca="false">IF(A311="","",COUNTIF(K311:AD311,"&gt;0"))</f>
        <v/>
      </c>
      <c r="H311" s="16" t="str">
        <f aca="false">IF(A311="","",IF(G311&gt;1,"Sim",""))</f>
        <v/>
      </c>
      <c r="I311" s="18" t="str">
        <f aca="false">IF(A311="","",SUMIFS(DECKS!$D$2:$D$1201,DECKS!$B$2:$B$1201,A311))</f>
        <v/>
      </c>
      <c r="J311" s="18" t="str">
        <f aca="false">IF(A311="","",MAX(0,I311-C311))</f>
        <v/>
      </c>
      <c r="K311" s="19" t="str">
        <f aca="false">IF(OR($A311="",INDEX(_LEITURA!$Q$2:$Q$21,1)=0),"",SUMIFS(DECKS!$D$2:$D$1201,DECKS!$A$2:$A$1201,INDEX(_LEITURA!$P$2:$P$21,1),DECKS!$B$2:$B$1201,$A311))</f>
        <v/>
      </c>
      <c r="L311" s="19" t="str">
        <f aca="false">IF(OR($A311="",INDEX(_LEITURA!$Q$2:$Q$21,2)=0),"",SUMIFS(DECKS!$D$2:$D$1201,DECKS!$A$2:$A$1201,INDEX(_LEITURA!$P$2:$P$21,2),DECKS!$B$2:$B$1201,$A311))</f>
        <v/>
      </c>
      <c r="M311" s="19" t="str">
        <f aca="false">IF(OR($A311="",INDEX(_LEITURA!$Q$2:$Q$21,3)=0),"",SUMIFS(DECKS!$D$2:$D$1201,DECKS!$A$2:$A$1201,INDEX(_LEITURA!$P$2:$P$21,3),DECKS!$B$2:$B$1201,$A311))</f>
        <v/>
      </c>
      <c r="N311" s="19" t="str">
        <f aca="false">IF(OR($A311="",INDEX(_LEITURA!$Q$2:$Q$21,4)=0),"",SUMIFS(DECKS!$D$2:$D$1201,DECKS!$A$2:$A$1201,INDEX(_LEITURA!$P$2:$P$21,4),DECKS!$B$2:$B$1201,$A311))</f>
        <v/>
      </c>
      <c r="O311" s="19" t="str">
        <f aca="false">IF(OR($A311="",INDEX(_LEITURA!$Q$2:$Q$21,5)=0),"",SUMIFS(DECKS!$D$2:$D$1201,DECKS!$A$2:$A$1201,INDEX(_LEITURA!$P$2:$P$21,5),DECKS!$B$2:$B$1201,$A311))</f>
        <v/>
      </c>
      <c r="P311" s="19" t="str">
        <f aca="false">IF(OR($A311="",INDEX(_LEITURA!$Q$2:$Q$21,6)=0),"",SUMIFS(DECKS!$D$2:$D$1201,DECKS!$A$2:$A$1201,INDEX(_LEITURA!$P$2:$P$21,6),DECKS!$B$2:$B$1201,$A311))</f>
        <v/>
      </c>
      <c r="Q311" s="19" t="str">
        <f aca="false">IF(OR($A311="",INDEX(_LEITURA!$Q$2:$Q$21,7)=0),"",SUMIFS(DECKS!$D$2:$D$1201,DECKS!$A$2:$A$1201,INDEX(_LEITURA!$P$2:$P$21,7),DECKS!$B$2:$B$1201,$A311))</f>
        <v/>
      </c>
      <c r="R311" s="19" t="str">
        <f aca="false">IF(OR($A311="",INDEX(_LEITURA!$Q$2:$Q$21,8)=0),"",SUMIFS(DECKS!$D$2:$D$1201,DECKS!$A$2:$A$1201,INDEX(_LEITURA!$P$2:$P$21,8),DECKS!$B$2:$B$1201,$A311))</f>
        <v/>
      </c>
      <c r="S311" s="19" t="str">
        <f aca="false">IF(OR($A311="",INDEX(_LEITURA!$Q$2:$Q$21,9)=0),"",SUMIFS(DECKS!$D$2:$D$1201,DECKS!$A$2:$A$1201,INDEX(_LEITURA!$P$2:$P$21,9),DECKS!$B$2:$B$1201,$A311))</f>
        <v/>
      </c>
      <c r="T311" s="19" t="str">
        <f aca="false">IF(OR($A311="",INDEX(_LEITURA!$Q$2:$Q$21,10)=0),"",SUMIFS(DECKS!$D$2:$D$1201,DECKS!$A$2:$A$1201,INDEX(_LEITURA!$P$2:$P$21,10),DECKS!$B$2:$B$1201,$A311))</f>
        <v/>
      </c>
      <c r="U311" s="19" t="str">
        <f aca="false">IF(OR($A311="",INDEX(_LEITURA!$Q$2:$Q$21,11)=0),"",SUMIFS(DECKS!$D$2:$D$1201,DECKS!$A$2:$A$1201,INDEX(_LEITURA!$P$2:$P$21,11),DECKS!$B$2:$B$1201,$A311))</f>
        <v/>
      </c>
      <c r="V311" s="19" t="str">
        <f aca="false">IF(OR($A311="",INDEX(_LEITURA!$Q$2:$Q$21,12)=0),"",SUMIFS(DECKS!$D$2:$D$1201,DECKS!$A$2:$A$1201,INDEX(_LEITURA!$P$2:$P$21,12),DECKS!$B$2:$B$1201,$A311))</f>
        <v/>
      </c>
      <c r="W311" s="19" t="str">
        <f aca="false">IF(OR($A311="",INDEX(_LEITURA!$Q$2:$Q$21,13)=0),"",SUMIFS(DECKS!$D$2:$D$1201,DECKS!$A$2:$A$1201,INDEX(_LEITURA!$P$2:$P$21,13),DECKS!$B$2:$B$1201,$A311))</f>
        <v/>
      </c>
      <c r="X311" s="19" t="str">
        <f aca="false">IF(OR($A311="",INDEX(_LEITURA!$Q$2:$Q$21,14)=0),"",SUMIFS(DECKS!$D$2:$D$1201,DECKS!$A$2:$A$1201,INDEX(_LEITURA!$P$2:$P$21,14),DECKS!$B$2:$B$1201,$A311))</f>
        <v/>
      </c>
      <c r="Y311" s="19" t="str">
        <f aca="false">IF(OR($A311="",INDEX(_LEITURA!$Q$2:$Q$21,15)=0),"",SUMIFS(DECKS!$D$2:$D$1201,DECKS!$A$2:$A$1201,INDEX(_LEITURA!$P$2:$P$21,15),DECKS!$B$2:$B$1201,$A311))</f>
        <v/>
      </c>
      <c r="Z311" s="19" t="str">
        <f aca="false">IF(OR($A311="",INDEX(_LEITURA!$Q$2:$Q$21,16)=0),"",SUMIFS(DECKS!$D$2:$D$1201,DECKS!$A$2:$A$1201,INDEX(_LEITURA!$P$2:$P$21,16),DECKS!$B$2:$B$1201,$A311))</f>
        <v/>
      </c>
      <c r="AA311" s="19" t="str">
        <f aca="false">IF(OR($A311="",INDEX(_LEITURA!$Q$2:$Q$21,17)=0),"",SUMIFS(DECKS!$D$2:$D$1201,DECKS!$A$2:$A$1201,INDEX(_LEITURA!$P$2:$P$21,17),DECKS!$B$2:$B$1201,$A311))</f>
        <v/>
      </c>
      <c r="AB311" s="19" t="str">
        <f aca="false">IF(OR($A311="",INDEX(_LEITURA!$Q$2:$Q$21,18)=0),"",SUMIFS(DECKS!$D$2:$D$1201,DECKS!$A$2:$A$1201,INDEX(_LEITURA!$P$2:$P$21,18),DECKS!$B$2:$B$1201,$A311))</f>
        <v/>
      </c>
      <c r="AC311" s="19" t="str">
        <f aca="false">IF(OR($A311="",INDEX(_LEITURA!$Q$2:$Q$21,19)=0),"",SUMIFS(DECKS!$D$2:$D$1201,DECKS!$A$2:$A$1201,INDEX(_LEITURA!$P$2:$P$21,19),DECKS!$B$2:$B$1201,$A311))</f>
        <v/>
      </c>
      <c r="AD311" s="19" t="str">
        <f aca="false">IF(OR($A311="",INDEX(_LEITURA!$Q$2:$Q$21,20)=0),"",SUMIFS(DECKS!$D$2:$D$1201,DECKS!$A$2:$A$1201,INDEX(_LEITURA!$P$2:$P$21,20),DECKS!$B$2:$B$1201,$A311))</f>
        <v/>
      </c>
      <c r="AE311" s="16" t="str">
        <f aca="false">IF(N(E311)&gt;0,MAX(AE$1:AE310)+1,"")</f>
        <v/>
      </c>
      <c r="AF311" s="11" t="str">
        <f aca="false">IF(A311="","",IFERROR(LEFT(A311,FIND("-",A311)-1),A311))</f>
        <v/>
      </c>
      <c r="AG311" s="11" t="str">
        <f aca="false">IF(AF311="","",IF(ISNUMBER(--MID(AF311,1,1)),0,IF(ISNUMBER(--MID(AF311,2,1)),1,IF(ISNUMBER(--MID(AF311,3,1)),2,IF(ISNUMBER(--MID(AF311,4,1)),3,MIN(LEN(AF311),4))))))</f>
        <v/>
      </c>
      <c r="AH311" s="11" t="str">
        <f aca="false">IF(A311="","",LEFT(AF311,AG311)&amp;REPT("0",4-AG311)&amp;RIGHT("000"&amp;IFERROR(VALUE(MID(AF311,AG311+1,9)),0),3)&amp;RIGHT("0000"&amp;IFERROR(VALUE(MID(A311,FIND("-",A311)+1,9)),0),4))</f>
        <v/>
      </c>
      <c r="AI311" s="11" t="str">
        <f aca="false">IF(OR(A311="",N(E311)&lt;=0),"",IF('FALTAS GERAL'!$M$1="Código","K"&amp;AH311&amp;RIGHT("00000"&amp;ROW(),5),IF('FALTAS GERAL'!$M$1="Nome","K"&amp;UPPER(SUBSTITUTE(SUBSTITUTE(SUBSTITUTE(B311,"*",""),"?",""),"~",""))&amp;"0"&amp;AH311&amp;RIGHT("00000"&amp;ROW(),5),IF('FALTAS GERAL'!$M$1="Falta (maior primeiro)","K"&amp;RIGHT("0000"&amp;(9999-E311),4)&amp;AH311&amp;RIGHT("00000"&amp;ROW(),5),IF('FALTAS GERAL'!$M$1="Nº de decks (maior primeiro)","K"&amp;RIGHT("00"&amp;(99-N(G311)),2)&amp;AH311&amp;RIGHT("00000"&amp;ROW(),5),"K"&amp;RIGHT("00000"&amp;ROW(),5))))))</f>
        <v/>
      </c>
      <c r="AJ311" s="11" t="str">
        <f aca="false">IF(AI311="","",COUNTIFS($AI$2:$AI$801,"&lt;"&amp;AI311,$E$2:$E$801,"&gt;0")+1)</f>
        <v/>
      </c>
      <c r="AK311" s="11" t="str">
        <f aca="false">IF(OR(A311="",N(E311)&lt;=0),"",COUNTIFS($AH$2:$AH$801,"&lt;"&amp;AH311,$E$2:$E$801,"&gt;0")+COUNTIFS($AH$2:AH311,AH311,$E$2:E311,"&gt;0"))</f>
        <v/>
      </c>
    </row>
    <row r="312" customFormat="false" ht="15" hidden="false" customHeight="false" outlineLevel="0" collapsed="false">
      <c r="A312" s="11" t="str">
        <f aca="false">IF(INVENTÁRIO!A312="","",INVENTÁRIO!A312)</f>
        <v/>
      </c>
      <c r="B312" s="11" t="str">
        <f aca="false">IF(A312="","",INVENTÁRIO!B312)</f>
        <v/>
      </c>
      <c r="C312" s="16" t="str">
        <f aca="false">IF(A312="","",INVENTÁRIO!C312)</f>
        <v/>
      </c>
      <c r="D312" s="14" t="str">
        <f aca="false">IF(A312="","",MAX(K312:AD312))</f>
        <v/>
      </c>
      <c r="E312" s="14" t="str">
        <f aca="false">IF(A312="","",MAX(0,D312-C312))</f>
        <v/>
      </c>
      <c r="F312" s="16" t="str">
        <f aca="false">IF(A312="","",IF(D312=0,"Fora dos decks",IF(E312=0,"Completo","Falta")))</f>
        <v/>
      </c>
      <c r="G312" s="16" t="str">
        <f aca="false">IF(A312="","",COUNTIF(K312:AD312,"&gt;0"))</f>
        <v/>
      </c>
      <c r="H312" s="16" t="str">
        <f aca="false">IF(A312="","",IF(G312&gt;1,"Sim",""))</f>
        <v/>
      </c>
      <c r="I312" s="18" t="str">
        <f aca="false">IF(A312="","",SUMIFS(DECKS!$D$2:$D$1201,DECKS!$B$2:$B$1201,A312))</f>
        <v/>
      </c>
      <c r="J312" s="18" t="str">
        <f aca="false">IF(A312="","",MAX(0,I312-C312))</f>
        <v/>
      </c>
      <c r="K312" s="19" t="str">
        <f aca="false">IF(OR($A312="",INDEX(_LEITURA!$Q$2:$Q$21,1)=0),"",SUMIFS(DECKS!$D$2:$D$1201,DECKS!$A$2:$A$1201,INDEX(_LEITURA!$P$2:$P$21,1),DECKS!$B$2:$B$1201,$A312))</f>
        <v/>
      </c>
      <c r="L312" s="19" t="str">
        <f aca="false">IF(OR($A312="",INDEX(_LEITURA!$Q$2:$Q$21,2)=0),"",SUMIFS(DECKS!$D$2:$D$1201,DECKS!$A$2:$A$1201,INDEX(_LEITURA!$P$2:$P$21,2),DECKS!$B$2:$B$1201,$A312))</f>
        <v/>
      </c>
      <c r="M312" s="19" t="str">
        <f aca="false">IF(OR($A312="",INDEX(_LEITURA!$Q$2:$Q$21,3)=0),"",SUMIFS(DECKS!$D$2:$D$1201,DECKS!$A$2:$A$1201,INDEX(_LEITURA!$P$2:$P$21,3),DECKS!$B$2:$B$1201,$A312))</f>
        <v/>
      </c>
      <c r="N312" s="19" t="str">
        <f aca="false">IF(OR($A312="",INDEX(_LEITURA!$Q$2:$Q$21,4)=0),"",SUMIFS(DECKS!$D$2:$D$1201,DECKS!$A$2:$A$1201,INDEX(_LEITURA!$P$2:$P$21,4),DECKS!$B$2:$B$1201,$A312))</f>
        <v/>
      </c>
      <c r="O312" s="19" t="str">
        <f aca="false">IF(OR($A312="",INDEX(_LEITURA!$Q$2:$Q$21,5)=0),"",SUMIFS(DECKS!$D$2:$D$1201,DECKS!$A$2:$A$1201,INDEX(_LEITURA!$P$2:$P$21,5),DECKS!$B$2:$B$1201,$A312))</f>
        <v/>
      </c>
      <c r="P312" s="19" t="str">
        <f aca="false">IF(OR($A312="",INDEX(_LEITURA!$Q$2:$Q$21,6)=0),"",SUMIFS(DECKS!$D$2:$D$1201,DECKS!$A$2:$A$1201,INDEX(_LEITURA!$P$2:$P$21,6),DECKS!$B$2:$B$1201,$A312))</f>
        <v/>
      </c>
      <c r="Q312" s="19" t="str">
        <f aca="false">IF(OR($A312="",INDEX(_LEITURA!$Q$2:$Q$21,7)=0),"",SUMIFS(DECKS!$D$2:$D$1201,DECKS!$A$2:$A$1201,INDEX(_LEITURA!$P$2:$P$21,7),DECKS!$B$2:$B$1201,$A312))</f>
        <v/>
      </c>
      <c r="R312" s="19" t="str">
        <f aca="false">IF(OR($A312="",INDEX(_LEITURA!$Q$2:$Q$21,8)=0),"",SUMIFS(DECKS!$D$2:$D$1201,DECKS!$A$2:$A$1201,INDEX(_LEITURA!$P$2:$P$21,8),DECKS!$B$2:$B$1201,$A312))</f>
        <v/>
      </c>
      <c r="S312" s="19" t="str">
        <f aca="false">IF(OR($A312="",INDEX(_LEITURA!$Q$2:$Q$21,9)=0),"",SUMIFS(DECKS!$D$2:$D$1201,DECKS!$A$2:$A$1201,INDEX(_LEITURA!$P$2:$P$21,9),DECKS!$B$2:$B$1201,$A312))</f>
        <v/>
      </c>
      <c r="T312" s="19" t="str">
        <f aca="false">IF(OR($A312="",INDEX(_LEITURA!$Q$2:$Q$21,10)=0),"",SUMIFS(DECKS!$D$2:$D$1201,DECKS!$A$2:$A$1201,INDEX(_LEITURA!$P$2:$P$21,10),DECKS!$B$2:$B$1201,$A312))</f>
        <v/>
      </c>
      <c r="U312" s="19" t="str">
        <f aca="false">IF(OR($A312="",INDEX(_LEITURA!$Q$2:$Q$21,11)=0),"",SUMIFS(DECKS!$D$2:$D$1201,DECKS!$A$2:$A$1201,INDEX(_LEITURA!$P$2:$P$21,11),DECKS!$B$2:$B$1201,$A312))</f>
        <v/>
      </c>
      <c r="V312" s="19" t="str">
        <f aca="false">IF(OR($A312="",INDEX(_LEITURA!$Q$2:$Q$21,12)=0),"",SUMIFS(DECKS!$D$2:$D$1201,DECKS!$A$2:$A$1201,INDEX(_LEITURA!$P$2:$P$21,12),DECKS!$B$2:$B$1201,$A312))</f>
        <v/>
      </c>
      <c r="W312" s="19" t="str">
        <f aca="false">IF(OR($A312="",INDEX(_LEITURA!$Q$2:$Q$21,13)=0),"",SUMIFS(DECKS!$D$2:$D$1201,DECKS!$A$2:$A$1201,INDEX(_LEITURA!$P$2:$P$21,13),DECKS!$B$2:$B$1201,$A312))</f>
        <v/>
      </c>
      <c r="X312" s="19" t="str">
        <f aca="false">IF(OR($A312="",INDEX(_LEITURA!$Q$2:$Q$21,14)=0),"",SUMIFS(DECKS!$D$2:$D$1201,DECKS!$A$2:$A$1201,INDEX(_LEITURA!$P$2:$P$21,14),DECKS!$B$2:$B$1201,$A312))</f>
        <v/>
      </c>
      <c r="Y312" s="19" t="str">
        <f aca="false">IF(OR($A312="",INDEX(_LEITURA!$Q$2:$Q$21,15)=0),"",SUMIFS(DECKS!$D$2:$D$1201,DECKS!$A$2:$A$1201,INDEX(_LEITURA!$P$2:$P$21,15),DECKS!$B$2:$B$1201,$A312))</f>
        <v/>
      </c>
      <c r="Z312" s="19" t="str">
        <f aca="false">IF(OR($A312="",INDEX(_LEITURA!$Q$2:$Q$21,16)=0),"",SUMIFS(DECKS!$D$2:$D$1201,DECKS!$A$2:$A$1201,INDEX(_LEITURA!$P$2:$P$21,16),DECKS!$B$2:$B$1201,$A312))</f>
        <v/>
      </c>
      <c r="AA312" s="19" t="str">
        <f aca="false">IF(OR($A312="",INDEX(_LEITURA!$Q$2:$Q$21,17)=0),"",SUMIFS(DECKS!$D$2:$D$1201,DECKS!$A$2:$A$1201,INDEX(_LEITURA!$P$2:$P$21,17),DECKS!$B$2:$B$1201,$A312))</f>
        <v/>
      </c>
      <c r="AB312" s="19" t="str">
        <f aca="false">IF(OR($A312="",INDEX(_LEITURA!$Q$2:$Q$21,18)=0),"",SUMIFS(DECKS!$D$2:$D$1201,DECKS!$A$2:$A$1201,INDEX(_LEITURA!$P$2:$P$21,18),DECKS!$B$2:$B$1201,$A312))</f>
        <v/>
      </c>
      <c r="AC312" s="19" t="str">
        <f aca="false">IF(OR($A312="",INDEX(_LEITURA!$Q$2:$Q$21,19)=0),"",SUMIFS(DECKS!$D$2:$D$1201,DECKS!$A$2:$A$1201,INDEX(_LEITURA!$P$2:$P$21,19),DECKS!$B$2:$B$1201,$A312))</f>
        <v/>
      </c>
      <c r="AD312" s="19" t="str">
        <f aca="false">IF(OR($A312="",INDEX(_LEITURA!$Q$2:$Q$21,20)=0),"",SUMIFS(DECKS!$D$2:$D$1201,DECKS!$A$2:$A$1201,INDEX(_LEITURA!$P$2:$P$21,20),DECKS!$B$2:$B$1201,$A312))</f>
        <v/>
      </c>
      <c r="AE312" s="16" t="str">
        <f aca="false">IF(N(E312)&gt;0,MAX(AE$1:AE311)+1,"")</f>
        <v/>
      </c>
      <c r="AF312" s="11" t="str">
        <f aca="false">IF(A312="","",IFERROR(LEFT(A312,FIND("-",A312)-1),A312))</f>
        <v/>
      </c>
      <c r="AG312" s="11" t="str">
        <f aca="false">IF(AF312="","",IF(ISNUMBER(--MID(AF312,1,1)),0,IF(ISNUMBER(--MID(AF312,2,1)),1,IF(ISNUMBER(--MID(AF312,3,1)),2,IF(ISNUMBER(--MID(AF312,4,1)),3,MIN(LEN(AF312),4))))))</f>
        <v/>
      </c>
      <c r="AH312" s="11" t="str">
        <f aca="false">IF(A312="","",LEFT(AF312,AG312)&amp;REPT("0",4-AG312)&amp;RIGHT("000"&amp;IFERROR(VALUE(MID(AF312,AG312+1,9)),0),3)&amp;RIGHT("0000"&amp;IFERROR(VALUE(MID(A312,FIND("-",A312)+1,9)),0),4))</f>
        <v/>
      </c>
      <c r="AI312" s="11" t="str">
        <f aca="false">IF(OR(A312="",N(E312)&lt;=0),"",IF('FALTAS GERAL'!$M$1="Código","K"&amp;AH312&amp;RIGHT("00000"&amp;ROW(),5),IF('FALTAS GERAL'!$M$1="Nome","K"&amp;UPPER(SUBSTITUTE(SUBSTITUTE(SUBSTITUTE(B312,"*",""),"?",""),"~",""))&amp;"0"&amp;AH312&amp;RIGHT("00000"&amp;ROW(),5),IF('FALTAS GERAL'!$M$1="Falta (maior primeiro)","K"&amp;RIGHT("0000"&amp;(9999-E312),4)&amp;AH312&amp;RIGHT("00000"&amp;ROW(),5),IF('FALTAS GERAL'!$M$1="Nº de decks (maior primeiro)","K"&amp;RIGHT("00"&amp;(99-N(G312)),2)&amp;AH312&amp;RIGHT("00000"&amp;ROW(),5),"K"&amp;RIGHT("00000"&amp;ROW(),5))))))</f>
        <v/>
      </c>
      <c r="AJ312" s="11" t="str">
        <f aca="false">IF(AI312="","",COUNTIFS($AI$2:$AI$801,"&lt;"&amp;AI312,$E$2:$E$801,"&gt;0")+1)</f>
        <v/>
      </c>
      <c r="AK312" s="11" t="str">
        <f aca="false">IF(OR(A312="",N(E312)&lt;=0),"",COUNTIFS($AH$2:$AH$801,"&lt;"&amp;AH312,$E$2:$E$801,"&gt;0")+COUNTIFS($AH$2:AH312,AH312,$E$2:E312,"&gt;0"))</f>
        <v/>
      </c>
    </row>
    <row r="313" customFormat="false" ht="15" hidden="false" customHeight="false" outlineLevel="0" collapsed="false">
      <c r="A313" s="11" t="str">
        <f aca="false">IF(INVENTÁRIO!A313="","",INVENTÁRIO!A313)</f>
        <v/>
      </c>
      <c r="B313" s="11" t="str">
        <f aca="false">IF(A313="","",INVENTÁRIO!B313)</f>
        <v/>
      </c>
      <c r="C313" s="16" t="str">
        <f aca="false">IF(A313="","",INVENTÁRIO!C313)</f>
        <v/>
      </c>
      <c r="D313" s="14" t="str">
        <f aca="false">IF(A313="","",MAX(K313:AD313))</f>
        <v/>
      </c>
      <c r="E313" s="14" t="str">
        <f aca="false">IF(A313="","",MAX(0,D313-C313))</f>
        <v/>
      </c>
      <c r="F313" s="16" t="str">
        <f aca="false">IF(A313="","",IF(D313=0,"Fora dos decks",IF(E313=0,"Completo","Falta")))</f>
        <v/>
      </c>
      <c r="G313" s="16" t="str">
        <f aca="false">IF(A313="","",COUNTIF(K313:AD313,"&gt;0"))</f>
        <v/>
      </c>
      <c r="H313" s="16" t="str">
        <f aca="false">IF(A313="","",IF(G313&gt;1,"Sim",""))</f>
        <v/>
      </c>
      <c r="I313" s="18" t="str">
        <f aca="false">IF(A313="","",SUMIFS(DECKS!$D$2:$D$1201,DECKS!$B$2:$B$1201,A313))</f>
        <v/>
      </c>
      <c r="J313" s="18" t="str">
        <f aca="false">IF(A313="","",MAX(0,I313-C313))</f>
        <v/>
      </c>
      <c r="K313" s="19" t="str">
        <f aca="false">IF(OR($A313="",INDEX(_LEITURA!$Q$2:$Q$21,1)=0),"",SUMIFS(DECKS!$D$2:$D$1201,DECKS!$A$2:$A$1201,INDEX(_LEITURA!$P$2:$P$21,1),DECKS!$B$2:$B$1201,$A313))</f>
        <v/>
      </c>
      <c r="L313" s="19" t="str">
        <f aca="false">IF(OR($A313="",INDEX(_LEITURA!$Q$2:$Q$21,2)=0),"",SUMIFS(DECKS!$D$2:$D$1201,DECKS!$A$2:$A$1201,INDEX(_LEITURA!$P$2:$P$21,2),DECKS!$B$2:$B$1201,$A313))</f>
        <v/>
      </c>
      <c r="M313" s="19" t="str">
        <f aca="false">IF(OR($A313="",INDEX(_LEITURA!$Q$2:$Q$21,3)=0),"",SUMIFS(DECKS!$D$2:$D$1201,DECKS!$A$2:$A$1201,INDEX(_LEITURA!$P$2:$P$21,3),DECKS!$B$2:$B$1201,$A313))</f>
        <v/>
      </c>
      <c r="N313" s="19" t="str">
        <f aca="false">IF(OR($A313="",INDEX(_LEITURA!$Q$2:$Q$21,4)=0),"",SUMIFS(DECKS!$D$2:$D$1201,DECKS!$A$2:$A$1201,INDEX(_LEITURA!$P$2:$P$21,4),DECKS!$B$2:$B$1201,$A313))</f>
        <v/>
      </c>
      <c r="O313" s="19" t="str">
        <f aca="false">IF(OR($A313="",INDEX(_LEITURA!$Q$2:$Q$21,5)=0),"",SUMIFS(DECKS!$D$2:$D$1201,DECKS!$A$2:$A$1201,INDEX(_LEITURA!$P$2:$P$21,5),DECKS!$B$2:$B$1201,$A313))</f>
        <v/>
      </c>
      <c r="P313" s="19" t="str">
        <f aca="false">IF(OR($A313="",INDEX(_LEITURA!$Q$2:$Q$21,6)=0),"",SUMIFS(DECKS!$D$2:$D$1201,DECKS!$A$2:$A$1201,INDEX(_LEITURA!$P$2:$P$21,6),DECKS!$B$2:$B$1201,$A313))</f>
        <v/>
      </c>
      <c r="Q313" s="19" t="str">
        <f aca="false">IF(OR($A313="",INDEX(_LEITURA!$Q$2:$Q$21,7)=0),"",SUMIFS(DECKS!$D$2:$D$1201,DECKS!$A$2:$A$1201,INDEX(_LEITURA!$P$2:$P$21,7),DECKS!$B$2:$B$1201,$A313))</f>
        <v/>
      </c>
      <c r="R313" s="19" t="str">
        <f aca="false">IF(OR($A313="",INDEX(_LEITURA!$Q$2:$Q$21,8)=0),"",SUMIFS(DECKS!$D$2:$D$1201,DECKS!$A$2:$A$1201,INDEX(_LEITURA!$P$2:$P$21,8),DECKS!$B$2:$B$1201,$A313))</f>
        <v/>
      </c>
      <c r="S313" s="19" t="str">
        <f aca="false">IF(OR($A313="",INDEX(_LEITURA!$Q$2:$Q$21,9)=0),"",SUMIFS(DECKS!$D$2:$D$1201,DECKS!$A$2:$A$1201,INDEX(_LEITURA!$P$2:$P$21,9),DECKS!$B$2:$B$1201,$A313))</f>
        <v/>
      </c>
      <c r="T313" s="19" t="str">
        <f aca="false">IF(OR($A313="",INDEX(_LEITURA!$Q$2:$Q$21,10)=0),"",SUMIFS(DECKS!$D$2:$D$1201,DECKS!$A$2:$A$1201,INDEX(_LEITURA!$P$2:$P$21,10),DECKS!$B$2:$B$1201,$A313))</f>
        <v/>
      </c>
      <c r="U313" s="19" t="str">
        <f aca="false">IF(OR($A313="",INDEX(_LEITURA!$Q$2:$Q$21,11)=0),"",SUMIFS(DECKS!$D$2:$D$1201,DECKS!$A$2:$A$1201,INDEX(_LEITURA!$P$2:$P$21,11),DECKS!$B$2:$B$1201,$A313))</f>
        <v/>
      </c>
      <c r="V313" s="19" t="str">
        <f aca="false">IF(OR($A313="",INDEX(_LEITURA!$Q$2:$Q$21,12)=0),"",SUMIFS(DECKS!$D$2:$D$1201,DECKS!$A$2:$A$1201,INDEX(_LEITURA!$P$2:$P$21,12),DECKS!$B$2:$B$1201,$A313))</f>
        <v/>
      </c>
      <c r="W313" s="19" t="str">
        <f aca="false">IF(OR($A313="",INDEX(_LEITURA!$Q$2:$Q$21,13)=0),"",SUMIFS(DECKS!$D$2:$D$1201,DECKS!$A$2:$A$1201,INDEX(_LEITURA!$P$2:$P$21,13),DECKS!$B$2:$B$1201,$A313))</f>
        <v/>
      </c>
      <c r="X313" s="19" t="str">
        <f aca="false">IF(OR($A313="",INDEX(_LEITURA!$Q$2:$Q$21,14)=0),"",SUMIFS(DECKS!$D$2:$D$1201,DECKS!$A$2:$A$1201,INDEX(_LEITURA!$P$2:$P$21,14),DECKS!$B$2:$B$1201,$A313))</f>
        <v/>
      </c>
      <c r="Y313" s="19" t="str">
        <f aca="false">IF(OR($A313="",INDEX(_LEITURA!$Q$2:$Q$21,15)=0),"",SUMIFS(DECKS!$D$2:$D$1201,DECKS!$A$2:$A$1201,INDEX(_LEITURA!$P$2:$P$21,15),DECKS!$B$2:$B$1201,$A313))</f>
        <v/>
      </c>
      <c r="Z313" s="19" t="str">
        <f aca="false">IF(OR($A313="",INDEX(_LEITURA!$Q$2:$Q$21,16)=0),"",SUMIFS(DECKS!$D$2:$D$1201,DECKS!$A$2:$A$1201,INDEX(_LEITURA!$P$2:$P$21,16),DECKS!$B$2:$B$1201,$A313))</f>
        <v/>
      </c>
      <c r="AA313" s="19" t="str">
        <f aca="false">IF(OR($A313="",INDEX(_LEITURA!$Q$2:$Q$21,17)=0),"",SUMIFS(DECKS!$D$2:$D$1201,DECKS!$A$2:$A$1201,INDEX(_LEITURA!$P$2:$P$21,17),DECKS!$B$2:$B$1201,$A313))</f>
        <v/>
      </c>
      <c r="AB313" s="19" t="str">
        <f aca="false">IF(OR($A313="",INDEX(_LEITURA!$Q$2:$Q$21,18)=0),"",SUMIFS(DECKS!$D$2:$D$1201,DECKS!$A$2:$A$1201,INDEX(_LEITURA!$P$2:$P$21,18),DECKS!$B$2:$B$1201,$A313))</f>
        <v/>
      </c>
      <c r="AC313" s="19" t="str">
        <f aca="false">IF(OR($A313="",INDEX(_LEITURA!$Q$2:$Q$21,19)=0),"",SUMIFS(DECKS!$D$2:$D$1201,DECKS!$A$2:$A$1201,INDEX(_LEITURA!$P$2:$P$21,19),DECKS!$B$2:$B$1201,$A313))</f>
        <v/>
      </c>
      <c r="AD313" s="19" t="str">
        <f aca="false">IF(OR($A313="",INDEX(_LEITURA!$Q$2:$Q$21,20)=0),"",SUMIFS(DECKS!$D$2:$D$1201,DECKS!$A$2:$A$1201,INDEX(_LEITURA!$P$2:$P$21,20),DECKS!$B$2:$B$1201,$A313))</f>
        <v/>
      </c>
      <c r="AE313" s="16" t="str">
        <f aca="false">IF(N(E313)&gt;0,MAX(AE$1:AE312)+1,"")</f>
        <v/>
      </c>
      <c r="AF313" s="11" t="str">
        <f aca="false">IF(A313="","",IFERROR(LEFT(A313,FIND("-",A313)-1),A313))</f>
        <v/>
      </c>
      <c r="AG313" s="11" t="str">
        <f aca="false">IF(AF313="","",IF(ISNUMBER(--MID(AF313,1,1)),0,IF(ISNUMBER(--MID(AF313,2,1)),1,IF(ISNUMBER(--MID(AF313,3,1)),2,IF(ISNUMBER(--MID(AF313,4,1)),3,MIN(LEN(AF313),4))))))</f>
        <v/>
      </c>
      <c r="AH313" s="11" t="str">
        <f aca="false">IF(A313="","",LEFT(AF313,AG313)&amp;REPT("0",4-AG313)&amp;RIGHT("000"&amp;IFERROR(VALUE(MID(AF313,AG313+1,9)),0),3)&amp;RIGHT("0000"&amp;IFERROR(VALUE(MID(A313,FIND("-",A313)+1,9)),0),4))</f>
        <v/>
      </c>
      <c r="AI313" s="11" t="str">
        <f aca="false">IF(OR(A313="",N(E313)&lt;=0),"",IF('FALTAS GERAL'!$M$1="Código","K"&amp;AH313&amp;RIGHT("00000"&amp;ROW(),5),IF('FALTAS GERAL'!$M$1="Nome","K"&amp;UPPER(SUBSTITUTE(SUBSTITUTE(SUBSTITUTE(B313,"*",""),"?",""),"~",""))&amp;"0"&amp;AH313&amp;RIGHT("00000"&amp;ROW(),5),IF('FALTAS GERAL'!$M$1="Falta (maior primeiro)","K"&amp;RIGHT("0000"&amp;(9999-E313),4)&amp;AH313&amp;RIGHT("00000"&amp;ROW(),5),IF('FALTAS GERAL'!$M$1="Nº de decks (maior primeiro)","K"&amp;RIGHT("00"&amp;(99-N(G313)),2)&amp;AH313&amp;RIGHT("00000"&amp;ROW(),5),"K"&amp;RIGHT("00000"&amp;ROW(),5))))))</f>
        <v/>
      </c>
      <c r="AJ313" s="11" t="str">
        <f aca="false">IF(AI313="","",COUNTIFS($AI$2:$AI$801,"&lt;"&amp;AI313,$E$2:$E$801,"&gt;0")+1)</f>
        <v/>
      </c>
      <c r="AK313" s="11" t="str">
        <f aca="false">IF(OR(A313="",N(E313)&lt;=0),"",COUNTIFS($AH$2:$AH$801,"&lt;"&amp;AH313,$E$2:$E$801,"&gt;0")+COUNTIFS($AH$2:AH313,AH313,$E$2:E313,"&gt;0"))</f>
        <v/>
      </c>
    </row>
    <row r="314" customFormat="false" ht="15" hidden="false" customHeight="false" outlineLevel="0" collapsed="false">
      <c r="A314" s="11" t="str">
        <f aca="false">IF(INVENTÁRIO!A314="","",INVENTÁRIO!A314)</f>
        <v/>
      </c>
      <c r="B314" s="11" t="str">
        <f aca="false">IF(A314="","",INVENTÁRIO!B314)</f>
        <v/>
      </c>
      <c r="C314" s="16" t="str">
        <f aca="false">IF(A314="","",INVENTÁRIO!C314)</f>
        <v/>
      </c>
      <c r="D314" s="14" t="str">
        <f aca="false">IF(A314="","",MAX(K314:AD314))</f>
        <v/>
      </c>
      <c r="E314" s="14" t="str">
        <f aca="false">IF(A314="","",MAX(0,D314-C314))</f>
        <v/>
      </c>
      <c r="F314" s="16" t="str">
        <f aca="false">IF(A314="","",IF(D314=0,"Fora dos decks",IF(E314=0,"Completo","Falta")))</f>
        <v/>
      </c>
      <c r="G314" s="16" t="str">
        <f aca="false">IF(A314="","",COUNTIF(K314:AD314,"&gt;0"))</f>
        <v/>
      </c>
      <c r="H314" s="16" t="str">
        <f aca="false">IF(A314="","",IF(G314&gt;1,"Sim",""))</f>
        <v/>
      </c>
      <c r="I314" s="18" t="str">
        <f aca="false">IF(A314="","",SUMIFS(DECKS!$D$2:$D$1201,DECKS!$B$2:$B$1201,A314))</f>
        <v/>
      </c>
      <c r="J314" s="18" t="str">
        <f aca="false">IF(A314="","",MAX(0,I314-C314))</f>
        <v/>
      </c>
      <c r="K314" s="19" t="str">
        <f aca="false">IF(OR($A314="",INDEX(_LEITURA!$Q$2:$Q$21,1)=0),"",SUMIFS(DECKS!$D$2:$D$1201,DECKS!$A$2:$A$1201,INDEX(_LEITURA!$P$2:$P$21,1),DECKS!$B$2:$B$1201,$A314))</f>
        <v/>
      </c>
      <c r="L314" s="19" t="str">
        <f aca="false">IF(OR($A314="",INDEX(_LEITURA!$Q$2:$Q$21,2)=0),"",SUMIFS(DECKS!$D$2:$D$1201,DECKS!$A$2:$A$1201,INDEX(_LEITURA!$P$2:$P$21,2),DECKS!$B$2:$B$1201,$A314))</f>
        <v/>
      </c>
      <c r="M314" s="19" t="str">
        <f aca="false">IF(OR($A314="",INDEX(_LEITURA!$Q$2:$Q$21,3)=0),"",SUMIFS(DECKS!$D$2:$D$1201,DECKS!$A$2:$A$1201,INDEX(_LEITURA!$P$2:$P$21,3),DECKS!$B$2:$B$1201,$A314))</f>
        <v/>
      </c>
      <c r="N314" s="19" t="str">
        <f aca="false">IF(OR($A314="",INDEX(_LEITURA!$Q$2:$Q$21,4)=0),"",SUMIFS(DECKS!$D$2:$D$1201,DECKS!$A$2:$A$1201,INDEX(_LEITURA!$P$2:$P$21,4),DECKS!$B$2:$B$1201,$A314))</f>
        <v/>
      </c>
      <c r="O314" s="19" t="str">
        <f aca="false">IF(OR($A314="",INDEX(_LEITURA!$Q$2:$Q$21,5)=0),"",SUMIFS(DECKS!$D$2:$D$1201,DECKS!$A$2:$A$1201,INDEX(_LEITURA!$P$2:$P$21,5),DECKS!$B$2:$B$1201,$A314))</f>
        <v/>
      </c>
      <c r="P314" s="19" t="str">
        <f aca="false">IF(OR($A314="",INDEX(_LEITURA!$Q$2:$Q$21,6)=0),"",SUMIFS(DECKS!$D$2:$D$1201,DECKS!$A$2:$A$1201,INDEX(_LEITURA!$P$2:$P$21,6),DECKS!$B$2:$B$1201,$A314))</f>
        <v/>
      </c>
      <c r="Q314" s="19" t="str">
        <f aca="false">IF(OR($A314="",INDEX(_LEITURA!$Q$2:$Q$21,7)=0),"",SUMIFS(DECKS!$D$2:$D$1201,DECKS!$A$2:$A$1201,INDEX(_LEITURA!$P$2:$P$21,7),DECKS!$B$2:$B$1201,$A314))</f>
        <v/>
      </c>
      <c r="R314" s="19" t="str">
        <f aca="false">IF(OR($A314="",INDEX(_LEITURA!$Q$2:$Q$21,8)=0),"",SUMIFS(DECKS!$D$2:$D$1201,DECKS!$A$2:$A$1201,INDEX(_LEITURA!$P$2:$P$21,8),DECKS!$B$2:$B$1201,$A314))</f>
        <v/>
      </c>
      <c r="S314" s="19" t="str">
        <f aca="false">IF(OR($A314="",INDEX(_LEITURA!$Q$2:$Q$21,9)=0),"",SUMIFS(DECKS!$D$2:$D$1201,DECKS!$A$2:$A$1201,INDEX(_LEITURA!$P$2:$P$21,9),DECKS!$B$2:$B$1201,$A314))</f>
        <v/>
      </c>
      <c r="T314" s="19" t="str">
        <f aca="false">IF(OR($A314="",INDEX(_LEITURA!$Q$2:$Q$21,10)=0),"",SUMIFS(DECKS!$D$2:$D$1201,DECKS!$A$2:$A$1201,INDEX(_LEITURA!$P$2:$P$21,10),DECKS!$B$2:$B$1201,$A314))</f>
        <v/>
      </c>
      <c r="U314" s="19" t="str">
        <f aca="false">IF(OR($A314="",INDEX(_LEITURA!$Q$2:$Q$21,11)=0),"",SUMIFS(DECKS!$D$2:$D$1201,DECKS!$A$2:$A$1201,INDEX(_LEITURA!$P$2:$P$21,11),DECKS!$B$2:$B$1201,$A314))</f>
        <v/>
      </c>
      <c r="V314" s="19" t="str">
        <f aca="false">IF(OR($A314="",INDEX(_LEITURA!$Q$2:$Q$21,12)=0),"",SUMIFS(DECKS!$D$2:$D$1201,DECKS!$A$2:$A$1201,INDEX(_LEITURA!$P$2:$P$21,12),DECKS!$B$2:$B$1201,$A314))</f>
        <v/>
      </c>
      <c r="W314" s="19" t="str">
        <f aca="false">IF(OR($A314="",INDEX(_LEITURA!$Q$2:$Q$21,13)=0),"",SUMIFS(DECKS!$D$2:$D$1201,DECKS!$A$2:$A$1201,INDEX(_LEITURA!$P$2:$P$21,13),DECKS!$B$2:$B$1201,$A314))</f>
        <v/>
      </c>
      <c r="X314" s="19" t="str">
        <f aca="false">IF(OR($A314="",INDEX(_LEITURA!$Q$2:$Q$21,14)=0),"",SUMIFS(DECKS!$D$2:$D$1201,DECKS!$A$2:$A$1201,INDEX(_LEITURA!$P$2:$P$21,14),DECKS!$B$2:$B$1201,$A314))</f>
        <v/>
      </c>
      <c r="Y314" s="19" t="str">
        <f aca="false">IF(OR($A314="",INDEX(_LEITURA!$Q$2:$Q$21,15)=0),"",SUMIFS(DECKS!$D$2:$D$1201,DECKS!$A$2:$A$1201,INDEX(_LEITURA!$P$2:$P$21,15),DECKS!$B$2:$B$1201,$A314))</f>
        <v/>
      </c>
      <c r="Z314" s="19" t="str">
        <f aca="false">IF(OR($A314="",INDEX(_LEITURA!$Q$2:$Q$21,16)=0),"",SUMIFS(DECKS!$D$2:$D$1201,DECKS!$A$2:$A$1201,INDEX(_LEITURA!$P$2:$P$21,16),DECKS!$B$2:$B$1201,$A314))</f>
        <v/>
      </c>
      <c r="AA314" s="19" t="str">
        <f aca="false">IF(OR($A314="",INDEX(_LEITURA!$Q$2:$Q$21,17)=0),"",SUMIFS(DECKS!$D$2:$D$1201,DECKS!$A$2:$A$1201,INDEX(_LEITURA!$P$2:$P$21,17),DECKS!$B$2:$B$1201,$A314))</f>
        <v/>
      </c>
      <c r="AB314" s="19" t="str">
        <f aca="false">IF(OR($A314="",INDEX(_LEITURA!$Q$2:$Q$21,18)=0),"",SUMIFS(DECKS!$D$2:$D$1201,DECKS!$A$2:$A$1201,INDEX(_LEITURA!$P$2:$P$21,18),DECKS!$B$2:$B$1201,$A314))</f>
        <v/>
      </c>
      <c r="AC314" s="19" t="str">
        <f aca="false">IF(OR($A314="",INDEX(_LEITURA!$Q$2:$Q$21,19)=0),"",SUMIFS(DECKS!$D$2:$D$1201,DECKS!$A$2:$A$1201,INDEX(_LEITURA!$P$2:$P$21,19),DECKS!$B$2:$B$1201,$A314))</f>
        <v/>
      </c>
      <c r="AD314" s="19" t="str">
        <f aca="false">IF(OR($A314="",INDEX(_LEITURA!$Q$2:$Q$21,20)=0),"",SUMIFS(DECKS!$D$2:$D$1201,DECKS!$A$2:$A$1201,INDEX(_LEITURA!$P$2:$P$21,20),DECKS!$B$2:$B$1201,$A314))</f>
        <v/>
      </c>
      <c r="AE314" s="16" t="str">
        <f aca="false">IF(N(E314)&gt;0,MAX(AE$1:AE313)+1,"")</f>
        <v/>
      </c>
      <c r="AF314" s="11" t="str">
        <f aca="false">IF(A314="","",IFERROR(LEFT(A314,FIND("-",A314)-1),A314))</f>
        <v/>
      </c>
      <c r="AG314" s="11" t="str">
        <f aca="false">IF(AF314="","",IF(ISNUMBER(--MID(AF314,1,1)),0,IF(ISNUMBER(--MID(AF314,2,1)),1,IF(ISNUMBER(--MID(AF314,3,1)),2,IF(ISNUMBER(--MID(AF314,4,1)),3,MIN(LEN(AF314),4))))))</f>
        <v/>
      </c>
      <c r="AH314" s="11" t="str">
        <f aca="false">IF(A314="","",LEFT(AF314,AG314)&amp;REPT("0",4-AG314)&amp;RIGHT("000"&amp;IFERROR(VALUE(MID(AF314,AG314+1,9)),0),3)&amp;RIGHT("0000"&amp;IFERROR(VALUE(MID(A314,FIND("-",A314)+1,9)),0),4))</f>
        <v/>
      </c>
      <c r="AI314" s="11" t="str">
        <f aca="false">IF(OR(A314="",N(E314)&lt;=0),"",IF('FALTAS GERAL'!$M$1="Código","K"&amp;AH314&amp;RIGHT("00000"&amp;ROW(),5),IF('FALTAS GERAL'!$M$1="Nome","K"&amp;UPPER(SUBSTITUTE(SUBSTITUTE(SUBSTITUTE(B314,"*",""),"?",""),"~",""))&amp;"0"&amp;AH314&amp;RIGHT("00000"&amp;ROW(),5),IF('FALTAS GERAL'!$M$1="Falta (maior primeiro)","K"&amp;RIGHT("0000"&amp;(9999-E314),4)&amp;AH314&amp;RIGHT("00000"&amp;ROW(),5),IF('FALTAS GERAL'!$M$1="Nº de decks (maior primeiro)","K"&amp;RIGHT("00"&amp;(99-N(G314)),2)&amp;AH314&amp;RIGHT("00000"&amp;ROW(),5),"K"&amp;RIGHT("00000"&amp;ROW(),5))))))</f>
        <v/>
      </c>
      <c r="AJ314" s="11" t="str">
        <f aca="false">IF(AI314="","",COUNTIFS($AI$2:$AI$801,"&lt;"&amp;AI314,$E$2:$E$801,"&gt;0")+1)</f>
        <v/>
      </c>
      <c r="AK314" s="11" t="str">
        <f aca="false">IF(OR(A314="",N(E314)&lt;=0),"",COUNTIFS($AH$2:$AH$801,"&lt;"&amp;AH314,$E$2:$E$801,"&gt;0")+COUNTIFS($AH$2:AH314,AH314,$E$2:E314,"&gt;0"))</f>
        <v/>
      </c>
    </row>
    <row r="315" customFormat="false" ht="15" hidden="false" customHeight="false" outlineLevel="0" collapsed="false">
      <c r="A315" s="11" t="str">
        <f aca="false">IF(INVENTÁRIO!A315="","",INVENTÁRIO!A315)</f>
        <v/>
      </c>
      <c r="B315" s="11" t="str">
        <f aca="false">IF(A315="","",INVENTÁRIO!B315)</f>
        <v/>
      </c>
      <c r="C315" s="16" t="str">
        <f aca="false">IF(A315="","",INVENTÁRIO!C315)</f>
        <v/>
      </c>
      <c r="D315" s="14" t="str">
        <f aca="false">IF(A315="","",MAX(K315:AD315))</f>
        <v/>
      </c>
      <c r="E315" s="14" t="str">
        <f aca="false">IF(A315="","",MAX(0,D315-C315))</f>
        <v/>
      </c>
      <c r="F315" s="16" t="str">
        <f aca="false">IF(A315="","",IF(D315=0,"Fora dos decks",IF(E315=0,"Completo","Falta")))</f>
        <v/>
      </c>
      <c r="G315" s="16" t="str">
        <f aca="false">IF(A315="","",COUNTIF(K315:AD315,"&gt;0"))</f>
        <v/>
      </c>
      <c r="H315" s="16" t="str">
        <f aca="false">IF(A315="","",IF(G315&gt;1,"Sim",""))</f>
        <v/>
      </c>
      <c r="I315" s="18" t="str">
        <f aca="false">IF(A315="","",SUMIFS(DECKS!$D$2:$D$1201,DECKS!$B$2:$B$1201,A315))</f>
        <v/>
      </c>
      <c r="J315" s="18" t="str">
        <f aca="false">IF(A315="","",MAX(0,I315-C315))</f>
        <v/>
      </c>
      <c r="K315" s="19" t="str">
        <f aca="false">IF(OR($A315="",INDEX(_LEITURA!$Q$2:$Q$21,1)=0),"",SUMIFS(DECKS!$D$2:$D$1201,DECKS!$A$2:$A$1201,INDEX(_LEITURA!$P$2:$P$21,1),DECKS!$B$2:$B$1201,$A315))</f>
        <v/>
      </c>
      <c r="L315" s="19" t="str">
        <f aca="false">IF(OR($A315="",INDEX(_LEITURA!$Q$2:$Q$21,2)=0),"",SUMIFS(DECKS!$D$2:$D$1201,DECKS!$A$2:$A$1201,INDEX(_LEITURA!$P$2:$P$21,2),DECKS!$B$2:$B$1201,$A315))</f>
        <v/>
      </c>
      <c r="M315" s="19" t="str">
        <f aca="false">IF(OR($A315="",INDEX(_LEITURA!$Q$2:$Q$21,3)=0),"",SUMIFS(DECKS!$D$2:$D$1201,DECKS!$A$2:$A$1201,INDEX(_LEITURA!$P$2:$P$21,3),DECKS!$B$2:$B$1201,$A315))</f>
        <v/>
      </c>
      <c r="N315" s="19" t="str">
        <f aca="false">IF(OR($A315="",INDEX(_LEITURA!$Q$2:$Q$21,4)=0),"",SUMIFS(DECKS!$D$2:$D$1201,DECKS!$A$2:$A$1201,INDEX(_LEITURA!$P$2:$P$21,4),DECKS!$B$2:$B$1201,$A315))</f>
        <v/>
      </c>
      <c r="O315" s="19" t="str">
        <f aca="false">IF(OR($A315="",INDEX(_LEITURA!$Q$2:$Q$21,5)=0),"",SUMIFS(DECKS!$D$2:$D$1201,DECKS!$A$2:$A$1201,INDEX(_LEITURA!$P$2:$P$21,5),DECKS!$B$2:$B$1201,$A315))</f>
        <v/>
      </c>
      <c r="P315" s="19" t="str">
        <f aca="false">IF(OR($A315="",INDEX(_LEITURA!$Q$2:$Q$21,6)=0),"",SUMIFS(DECKS!$D$2:$D$1201,DECKS!$A$2:$A$1201,INDEX(_LEITURA!$P$2:$P$21,6),DECKS!$B$2:$B$1201,$A315))</f>
        <v/>
      </c>
      <c r="Q315" s="19" t="str">
        <f aca="false">IF(OR($A315="",INDEX(_LEITURA!$Q$2:$Q$21,7)=0),"",SUMIFS(DECKS!$D$2:$D$1201,DECKS!$A$2:$A$1201,INDEX(_LEITURA!$P$2:$P$21,7),DECKS!$B$2:$B$1201,$A315))</f>
        <v/>
      </c>
      <c r="R315" s="19" t="str">
        <f aca="false">IF(OR($A315="",INDEX(_LEITURA!$Q$2:$Q$21,8)=0),"",SUMIFS(DECKS!$D$2:$D$1201,DECKS!$A$2:$A$1201,INDEX(_LEITURA!$P$2:$P$21,8),DECKS!$B$2:$B$1201,$A315))</f>
        <v/>
      </c>
      <c r="S315" s="19" t="str">
        <f aca="false">IF(OR($A315="",INDEX(_LEITURA!$Q$2:$Q$21,9)=0),"",SUMIFS(DECKS!$D$2:$D$1201,DECKS!$A$2:$A$1201,INDEX(_LEITURA!$P$2:$P$21,9),DECKS!$B$2:$B$1201,$A315))</f>
        <v/>
      </c>
      <c r="T315" s="19" t="str">
        <f aca="false">IF(OR($A315="",INDEX(_LEITURA!$Q$2:$Q$21,10)=0),"",SUMIFS(DECKS!$D$2:$D$1201,DECKS!$A$2:$A$1201,INDEX(_LEITURA!$P$2:$P$21,10),DECKS!$B$2:$B$1201,$A315))</f>
        <v/>
      </c>
      <c r="U315" s="19" t="str">
        <f aca="false">IF(OR($A315="",INDEX(_LEITURA!$Q$2:$Q$21,11)=0),"",SUMIFS(DECKS!$D$2:$D$1201,DECKS!$A$2:$A$1201,INDEX(_LEITURA!$P$2:$P$21,11),DECKS!$B$2:$B$1201,$A315))</f>
        <v/>
      </c>
      <c r="V315" s="19" t="str">
        <f aca="false">IF(OR($A315="",INDEX(_LEITURA!$Q$2:$Q$21,12)=0),"",SUMIFS(DECKS!$D$2:$D$1201,DECKS!$A$2:$A$1201,INDEX(_LEITURA!$P$2:$P$21,12),DECKS!$B$2:$B$1201,$A315))</f>
        <v/>
      </c>
      <c r="W315" s="19" t="str">
        <f aca="false">IF(OR($A315="",INDEX(_LEITURA!$Q$2:$Q$21,13)=0),"",SUMIFS(DECKS!$D$2:$D$1201,DECKS!$A$2:$A$1201,INDEX(_LEITURA!$P$2:$P$21,13),DECKS!$B$2:$B$1201,$A315))</f>
        <v/>
      </c>
      <c r="X315" s="19" t="str">
        <f aca="false">IF(OR($A315="",INDEX(_LEITURA!$Q$2:$Q$21,14)=0),"",SUMIFS(DECKS!$D$2:$D$1201,DECKS!$A$2:$A$1201,INDEX(_LEITURA!$P$2:$P$21,14),DECKS!$B$2:$B$1201,$A315))</f>
        <v/>
      </c>
      <c r="Y315" s="19" t="str">
        <f aca="false">IF(OR($A315="",INDEX(_LEITURA!$Q$2:$Q$21,15)=0),"",SUMIFS(DECKS!$D$2:$D$1201,DECKS!$A$2:$A$1201,INDEX(_LEITURA!$P$2:$P$21,15),DECKS!$B$2:$B$1201,$A315))</f>
        <v/>
      </c>
      <c r="Z315" s="19" t="str">
        <f aca="false">IF(OR($A315="",INDEX(_LEITURA!$Q$2:$Q$21,16)=0),"",SUMIFS(DECKS!$D$2:$D$1201,DECKS!$A$2:$A$1201,INDEX(_LEITURA!$P$2:$P$21,16),DECKS!$B$2:$B$1201,$A315))</f>
        <v/>
      </c>
      <c r="AA315" s="19" t="str">
        <f aca="false">IF(OR($A315="",INDEX(_LEITURA!$Q$2:$Q$21,17)=0),"",SUMIFS(DECKS!$D$2:$D$1201,DECKS!$A$2:$A$1201,INDEX(_LEITURA!$P$2:$P$21,17),DECKS!$B$2:$B$1201,$A315))</f>
        <v/>
      </c>
      <c r="AB315" s="19" t="str">
        <f aca="false">IF(OR($A315="",INDEX(_LEITURA!$Q$2:$Q$21,18)=0),"",SUMIFS(DECKS!$D$2:$D$1201,DECKS!$A$2:$A$1201,INDEX(_LEITURA!$P$2:$P$21,18),DECKS!$B$2:$B$1201,$A315))</f>
        <v/>
      </c>
      <c r="AC315" s="19" t="str">
        <f aca="false">IF(OR($A315="",INDEX(_LEITURA!$Q$2:$Q$21,19)=0),"",SUMIFS(DECKS!$D$2:$D$1201,DECKS!$A$2:$A$1201,INDEX(_LEITURA!$P$2:$P$21,19),DECKS!$B$2:$B$1201,$A315))</f>
        <v/>
      </c>
      <c r="AD315" s="19" t="str">
        <f aca="false">IF(OR($A315="",INDEX(_LEITURA!$Q$2:$Q$21,20)=0),"",SUMIFS(DECKS!$D$2:$D$1201,DECKS!$A$2:$A$1201,INDEX(_LEITURA!$P$2:$P$21,20),DECKS!$B$2:$B$1201,$A315))</f>
        <v/>
      </c>
      <c r="AE315" s="16" t="str">
        <f aca="false">IF(N(E315)&gt;0,MAX(AE$1:AE314)+1,"")</f>
        <v/>
      </c>
      <c r="AF315" s="11" t="str">
        <f aca="false">IF(A315="","",IFERROR(LEFT(A315,FIND("-",A315)-1),A315))</f>
        <v/>
      </c>
      <c r="AG315" s="11" t="str">
        <f aca="false">IF(AF315="","",IF(ISNUMBER(--MID(AF315,1,1)),0,IF(ISNUMBER(--MID(AF315,2,1)),1,IF(ISNUMBER(--MID(AF315,3,1)),2,IF(ISNUMBER(--MID(AF315,4,1)),3,MIN(LEN(AF315),4))))))</f>
        <v/>
      </c>
      <c r="AH315" s="11" t="str">
        <f aca="false">IF(A315="","",LEFT(AF315,AG315)&amp;REPT("0",4-AG315)&amp;RIGHT("000"&amp;IFERROR(VALUE(MID(AF315,AG315+1,9)),0),3)&amp;RIGHT("0000"&amp;IFERROR(VALUE(MID(A315,FIND("-",A315)+1,9)),0),4))</f>
        <v/>
      </c>
      <c r="AI315" s="11" t="str">
        <f aca="false">IF(OR(A315="",N(E315)&lt;=0),"",IF('FALTAS GERAL'!$M$1="Código","K"&amp;AH315&amp;RIGHT("00000"&amp;ROW(),5),IF('FALTAS GERAL'!$M$1="Nome","K"&amp;UPPER(SUBSTITUTE(SUBSTITUTE(SUBSTITUTE(B315,"*",""),"?",""),"~",""))&amp;"0"&amp;AH315&amp;RIGHT("00000"&amp;ROW(),5),IF('FALTAS GERAL'!$M$1="Falta (maior primeiro)","K"&amp;RIGHT("0000"&amp;(9999-E315),4)&amp;AH315&amp;RIGHT("00000"&amp;ROW(),5),IF('FALTAS GERAL'!$M$1="Nº de decks (maior primeiro)","K"&amp;RIGHT("00"&amp;(99-N(G315)),2)&amp;AH315&amp;RIGHT("00000"&amp;ROW(),5),"K"&amp;RIGHT("00000"&amp;ROW(),5))))))</f>
        <v/>
      </c>
      <c r="AJ315" s="11" t="str">
        <f aca="false">IF(AI315="","",COUNTIFS($AI$2:$AI$801,"&lt;"&amp;AI315,$E$2:$E$801,"&gt;0")+1)</f>
        <v/>
      </c>
      <c r="AK315" s="11" t="str">
        <f aca="false">IF(OR(A315="",N(E315)&lt;=0),"",COUNTIFS($AH$2:$AH$801,"&lt;"&amp;AH315,$E$2:$E$801,"&gt;0")+COUNTIFS($AH$2:AH315,AH315,$E$2:E315,"&gt;0"))</f>
        <v/>
      </c>
    </row>
    <row r="316" customFormat="false" ht="15" hidden="false" customHeight="false" outlineLevel="0" collapsed="false">
      <c r="A316" s="11" t="str">
        <f aca="false">IF(INVENTÁRIO!A316="","",INVENTÁRIO!A316)</f>
        <v/>
      </c>
      <c r="B316" s="11" t="str">
        <f aca="false">IF(A316="","",INVENTÁRIO!B316)</f>
        <v/>
      </c>
      <c r="C316" s="16" t="str">
        <f aca="false">IF(A316="","",INVENTÁRIO!C316)</f>
        <v/>
      </c>
      <c r="D316" s="14" t="str">
        <f aca="false">IF(A316="","",MAX(K316:AD316))</f>
        <v/>
      </c>
      <c r="E316" s="14" t="str">
        <f aca="false">IF(A316="","",MAX(0,D316-C316))</f>
        <v/>
      </c>
      <c r="F316" s="16" t="str">
        <f aca="false">IF(A316="","",IF(D316=0,"Fora dos decks",IF(E316=0,"Completo","Falta")))</f>
        <v/>
      </c>
      <c r="G316" s="16" t="str">
        <f aca="false">IF(A316="","",COUNTIF(K316:AD316,"&gt;0"))</f>
        <v/>
      </c>
      <c r="H316" s="16" t="str">
        <f aca="false">IF(A316="","",IF(G316&gt;1,"Sim",""))</f>
        <v/>
      </c>
      <c r="I316" s="18" t="str">
        <f aca="false">IF(A316="","",SUMIFS(DECKS!$D$2:$D$1201,DECKS!$B$2:$B$1201,A316))</f>
        <v/>
      </c>
      <c r="J316" s="18" t="str">
        <f aca="false">IF(A316="","",MAX(0,I316-C316))</f>
        <v/>
      </c>
      <c r="K316" s="19" t="str">
        <f aca="false">IF(OR($A316="",INDEX(_LEITURA!$Q$2:$Q$21,1)=0),"",SUMIFS(DECKS!$D$2:$D$1201,DECKS!$A$2:$A$1201,INDEX(_LEITURA!$P$2:$P$21,1),DECKS!$B$2:$B$1201,$A316))</f>
        <v/>
      </c>
      <c r="L316" s="19" t="str">
        <f aca="false">IF(OR($A316="",INDEX(_LEITURA!$Q$2:$Q$21,2)=0),"",SUMIFS(DECKS!$D$2:$D$1201,DECKS!$A$2:$A$1201,INDEX(_LEITURA!$P$2:$P$21,2),DECKS!$B$2:$B$1201,$A316))</f>
        <v/>
      </c>
      <c r="M316" s="19" t="str">
        <f aca="false">IF(OR($A316="",INDEX(_LEITURA!$Q$2:$Q$21,3)=0),"",SUMIFS(DECKS!$D$2:$D$1201,DECKS!$A$2:$A$1201,INDEX(_LEITURA!$P$2:$P$21,3),DECKS!$B$2:$B$1201,$A316))</f>
        <v/>
      </c>
      <c r="N316" s="19" t="str">
        <f aca="false">IF(OR($A316="",INDEX(_LEITURA!$Q$2:$Q$21,4)=0),"",SUMIFS(DECKS!$D$2:$D$1201,DECKS!$A$2:$A$1201,INDEX(_LEITURA!$P$2:$P$21,4),DECKS!$B$2:$B$1201,$A316))</f>
        <v/>
      </c>
      <c r="O316" s="19" t="str">
        <f aca="false">IF(OR($A316="",INDEX(_LEITURA!$Q$2:$Q$21,5)=0),"",SUMIFS(DECKS!$D$2:$D$1201,DECKS!$A$2:$A$1201,INDEX(_LEITURA!$P$2:$P$21,5),DECKS!$B$2:$B$1201,$A316))</f>
        <v/>
      </c>
      <c r="P316" s="19" t="str">
        <f aca="false">IF(OR($A316="",INDEX(_LEITURA!$Q$2:$Q$21,6)=0),"",SUMIFS(DECKS!$D$2:$D$1201,DECKS!$A$2:$A$1201,INDEX(_LEITURA!$P$2:$P$21,6),DECKS!$B$2:$B$1201,$A316))</f>
        <v/>
      </c>
      <c r="Q316" s="19" t="str">
        <f aca="false">IF(OR($A316="",INDEX(_LEITURA!$Q$2:$Q$21,7)=0),"",SUMIFS(DECKS!$D$2:$D$1201,DECKS!$A$2:$A$1201,INDEX(_LEITURA!$P$2:$P$21,7),DECKS!$B$2:$B$1201,$A316))</f>
        <v/>
      </c>
      <c r="R316" s="19" t="str">
        <f aca="false">IF(OR($A316="",INDEX(_LEITURA!$Q$2:$Q$21,8)=0),"",SUMIFS(DECKS!$D$2:$D$1201,DECKS!$A$2:$A$1201,INDEX(_LEITURA!$P$2:$P$21,8),DECKS!$B$2:$B$1201,$A316))</f>
        <v/>
      </c>
      <c r="S316" s="19" t="str">
        <f aca="false">IF(OR($A316="",INDEX(_LEITURA!$Q$2:$Q$21,9)=0),"",SUMIFS(DECKS!$D$2:$D$1201,DECKS!$A$2:$A$1201,INDEX(_LEITURA!$P$2:$P$21,9),DECKS!$B$2:$B$1201,$A316))</f>
        <v/>
      </c>
      <c r="T316" s="19" t="str">
        <f aca="false">IF(OR($A316="",INDEX(_LEITURA!$Q$2:$Q$21,10)=0),"",SUMIFS(DECKS!$D$2:$D$1201,DECKS!$A$2:$A$1201,INDEX(_LEITURA!$P$2:$P$21,10),DECKS!$B$2:$B$1201,$A316))</f>
        <v/>
      </c>
      <c r="U316" s="19" t="str">
        <f aca="false">IF(OR($A316="",INDEX(_LEITURA!$Q$2:$Q$21,11)=0),"",SUMIFS(DECKS!$D$2:$D$1201,DECKS!$A$2:$A$1201,INDEX(_LEITURA!$P$2:$P$21,11),DECKS!$B$2:$B$1201,$A316))</f>
        <v/>
      </c>
      <c r="V316" s="19" t="str">
        <f aca="false">IF(OR($A316="",INDEX(_LEITURA!$Q$2:$Q$21,12)=0),"",SUMIFS(DECKS!$D$2:$D$1201,DECKS!$A$2:$A$1201,INDEX(_LEITURA!$P$2:$P$21,12),DECKS!$B$2:$B$1201,$A316))</f>
        <v/>
      </c>
      <c r="W316" s="19" t="str">
        <f aca="false">IF(OR($A316="",INDEX(_LEITURA!$Q$2:$Q$21,13)=0),"",SUMIFS(DECKS!$D$2:$D$1201,DECKS!$A$2:$A$1201,INDEX(_LEITURA!$P$2:$P$21,13),DECKS!$B$2:$B$1201,$A316))</f>
        <v/>
      </c>
      <c r="X316" s="19" t="str">
        <f aca="false">IF(OR($A316="",INDEX(_LEITURA!$Q$2:$Q$21,14)=0),"",SUMIFS(DECKS!$D$2:$D$1201,DECKS!$A$2:$A$1201,INDEX(_LEITURA!$P$2:$P$21,14),DECKS!$B$2:$B$1201,$A316))</f>
        <v/>
      </c>
      <c r="Y316" s="19" t="str">
        <f aca="false">IF(OR($A316="",INDEX(_LEITURA!$Q$2:$Q$21,15)=0),"",SUMIFS(DECKS!$D$2:$D$1201,DECKS!$A$2:$A$1201,INDEX(_LEITURA!$P$2:$P$21,15),DECKS!$B$2:$B$1201,$A316))</f>
        <v/>
      </c>
      <c r="Z316" s="19" t="str">
        <f aca="false">IF(OR($A316="",INDEX(_LEITURA!$Q$2:$Q$21,16)=0),"",SUMIFS(DECKS!$D$2:$D$1201,DECKS!$A$2:$A$1201,INDEX(_LEITURA!$P$2:$P$21,16),DECKS!$B$2:$B$1201,$A316))</f>
        <v/>
      </c>
      <c r="AA316" s="19" t="str">
        <f aca="false">IF(OR($A316="",INDEX(_LEITURA!$Q$2:$Q$21,17)=0),"",SUMIFS(DECKS!$D$2:$D$1201,DECKS!$A$2:$A$1201,INDEX(_LEITURA!$P$2:$P$21,17),DECKS!$B$2:$B$1201,$A316))</f>
        <v/>
      </c>
      <c r="AB316" s="19" t="str">
        <f aca="false">IF(OR($A316="",INDEX(_LEITURA!$Q$2:$Q$21,18)=0),"",SUMIFS(DECKS!$D$2:$D$1201,DECKS!$A$2:$A$1201,INDEX(_LEITURA!$P$2:$P$21,18),DECKS!$B$2:$B$1201,$A316))</f>
        <v/>
      </c>
      <c r="AC316" s="19" t="str">
        <f aca="false">IF(OR($A316="",INDEX(_LEITURA!$Q$2:$Q$21,19)=0),"",SUMIFS(DECKS!$D$2:$D$1201,DECKS!$A$2:$A$1201,INDEX(_LEITURA!$P$2:$P$21,19),DECKS!$B$2:$B$1201,$A316))</f>
        <v/>
      </c>
      <c r="AD316" s="19" t="str">
        <f aca="false">IF(OR($A316="",INDEX(_LEITURA!$Q$2:$Q$21,20)=0),"",SUMIFS(DECKS!$D$2:$D$1201,DECKS!$A$2:$A$1201,INDEX(_LEITURA!$P$2:$P$21,20),DECKS!$B$2:$B$1201,$A316))</f>
        <v/>
      </c>
      <c r="AE316" s="16" t="str">
        <f aca="false">IF(N(E316)&gt;0,MAX(AE$1:AE315)+1,"")</f>
        <v/>
      </c>
      <c r="AF316" s="11" t="str">
        <f aca="false">IF(A316="","",IFERROR(LEFT(A316,FIND("-",A316)-1),A316))</f>
        <v/>
      </c>
      <c r="AG316" s="11" t="str">
        <f aca="false">IF(AF316="","",IF(ISNUMBER(--MID(AF316,1,1)),0,IF(ISNUMBER(--MID(AF316,2,1)),1,IF(ISNUMBER(--MID(AF316,3,1)),2,IF(ISNUMBER(--MID(AF316,4,1)),3,MIN(LEN(AF316),4))))))</f>
        <v/>
      </c>
      <c r="AH316" s="11" t="str">
        <f aca="false">IF(A316="","",LEFT(AF316,AG316)&amp;REPT("0",4-AG316)&amp;RIGHT("000"&amp;IFERROR(VALUE(MID(AF316,AG316+1,9)),0),3)&amp;RIGHT("0000"&amp;IFERROR(VALUE(MID(A316,FIND("-",A316)+1,9)),0),4))</f>
        <v/>
      </c>
      <c r="AI316" s="11" t="str">
        <f aca="false">IF(OR(A316="",N(E316)&lt;=0),"",IF('FALTAS GERAL'!$M$1="Código","K"&amp;AH316&amp;RIGHT("00000"&amp;ROW(),5),IF('FALTAS GERAL'!$M$1="Nome","K"&amp;UPPER(SUBSTITUTE(SUBSTITUTE(SUBSTITUTE(B316,"*",""),"?",""),"~",""))&amp;"0"&amp;AH316&amp;RIGHT("00000"&amp;ROW(),5),IF('FALTAS GERAL'!$M$1="Falta (maior primeiro)","K"&amp;RIGHT("0000"&amp;(9999-E316),4)&amp;AH316&amp;RIGHT("00000"&amp;ROW(),5),IF('FALTAS GERAL'!$M$1="Nº de decks (maior primeiro)","K"&amp;RIGHT("00"&amp;(99-N(G316)),2)&amp;AH316&amp;RIGHT("00000"&amp;ROW(),5),"K"&amp;RIGHT("00000"&amp;ROW(),5))))))</f>
        <v/>
      </c>
      <c r="AJ316" s="11" t="str">
        <f aca="false">IF(AI316="","",COUNTIFS($AI$2:$AI$801,"&lt;"&amp;AI316,$E$2:$E$801,"&gt;0")+1)</f>
        <v/>
      </c>
      <c r="AK316" s="11" t="str">
        <f aca="false">IF(OR(A316="",N(E316)&lt;=0),"",COUNTIFS($AH$2:$AH$801,"&lt;"&amp;AH316,$E$2:$E$801,"&gt;0")+COUNTIFS($AH$2:AH316,AH316,$E$2:E316,"&gt;0"))</f>
        <v/>
      </c>
    </row>
    <row r="317" customFormat="false" ht="15" hidden="false" customHeight="false" outlineLevel="0" collapsed="false">
      <c r="A317" s="11" t="str">
        <f aca="false">IF(INVENTÁRIO!A317="","",INVENTÁRIO!A317)</f>
        <v/>
      </c>
      <c r="B317" s="11" t="str">
        <f aca="false">IF(A317="","",INVENTÁRIO!B317)</f>
        <v/>
      </c>
      <c r="C317" s="16" t="str">
        <f aca="false">IF(A317="","",INVENTÁRIO!C317)</f>
        <v/>
      </c>
      <c r="D317" s="14" t="str">
        <f aca="false">IF(A317="","",MAX(K317:AD317))</f>
        <v/>
      </c>
      <c r="E317" s="14" t="str">
        <f aca="false">IF(A317="","",MAX(0,D317-C317))</f>
        <v/>
      </c>
      <c r="F317" s="16" t="str">
        <f aca="false">IF(A317="","",IF(D317=0,"Fora dos decks",IF(E317=0,"Completo","Falta")))</f>
        <v/>
      </c>
      <c r="G317" s="16" t="str">
        <f aca="false">IF(A317="","",COUNTIF(K317:AD317,"&gt;0"))</f>
        <v/>
      </c>
      <c r="H317" s="16" t="str">
        <f aca="false">IF(A317="","",IF(G317&gt;1,"Sim",""))</f>
        <v/>
      </c>
      <c r="I317" s="18" t="str">
        <f aca="false">IF(A317="","",SUMIFS(DECKS!$D$2:$D$1201,DECKS!$B$2:$B$1201,A317))</f>
        <v/>
      </c>
      <c r="J317" s="18" t="str">
        <f aca="false">IF(A317="","",MAX(0,I317-C317))</f>
        <v/>
      </c>
      <c r="K317" s="19" t="str">
        <f aca="false">IF(OR($A317="",INDEX(_LEITURA!$Q$2:$Q$21,1)=0),"",SUMIFS(DECKS!$D$2:$D$1201,DECKS!$A$2:$A$1201,INDEX(_LEITURA!$P$2:$P$21,1),DECKS!$B$2:$B$1201,$A317))</f>
        <v/>
      </c>
      <c r="L317" s="19" t="str">
        <f aca="false">IF(OR($A317="",INDEX(_LEITURA!$Q$2:$Q$21,2)=0),"",SUMIFS(DECKS!$D$2:$D$1201,DECKS!$A$2:$A$1201,INDEX(_LEITURA!$P$2:$P$21,2),DECKS!$B$2:$B$1201,$A317))</f>
        <v/>
      </c>
      <c r="M317" s="19" t="str">
        <f aca="false">IF(OR($A317="",INDEX(_LEITURA!$Q$2:$Q$21,3)=0),"",SUMIFS(DECKS!$D$2:$D$1201,DECKS!$A$2:$A$1201,INDEX(_LEITURA!$P$2:$P$21,3),DECKS!$B$2:$B$1201,$A317))</f>
        <v/>
      </c>
      <c r="N317" s="19" t="str">
        <f aca="false">IF(OR($A317="",INDEX(_LEITURA!$Q$2:$Q$21,4)=0),"",SUMIFS(DECKS!$D$2:$D$1201,DECKS!$A$2:$A$1201,INDEX(_LEITURA!$P$2:$P$21,4),DECKS!$B$2:$B$1201,$A317))</f>
        <v/>
      </c>
      <c r="O317" s="19" t="str">
        <f aca="false">IF(OR($A317="",INDEX(_LEITURA!$Q$2:$Q$21,5)=0),"",SUMIFS(DECKS!$D$2:$D$1201,DECKS!$A$2:$A$1201,INDEX(_LEITURA!$P$2:$P$21,5),DECKS!$B$2:$B$1201,$A317))</f>
        <v/>
      </c>
      <c r="P317" s="19" t="str">
        <f aca="false">IF(OR($A317="",INDEX(_LEITURA!$Q$2:$Q$21,6)=0),"",SUMIFS(DECKS!$D$2:$D$1201,DECKS!$A$2:$A$1201,INDEX(_LEITURA!$P$2:$P$21,6),DECKS!$B$2:$B$1201,$A317))</f>
        <v/>
      </c>
      <c r="Q317" s="19" t="str">
        <f aca="false">IF(OR($A317="",INDEX(_LEITURA!$Q$2:$Q$21,7)=0),"",SUMIFS(DECKS!$D$2:$D$1201,DECKS!$A$2:$A$1201,INDEX(_LEITURA!$P$2:$P$21,7),DECKS!$B$2:$B$1201,$A317))</f>
        <v/>
      </c>
      <c r="R317" s="19" t="str">
        <f aca="false">IF(OR($A317="",INDEX(_LEITURA!$Q$2:$Q$21,8)=0),"",SUMIFS(DECKS!$D$2:$D$1201,DECKS!$A$2:$A$1201,INDEX(_LEITURA!$P$2:$P$21,8),DECKS!$B$2:$B$1201,$A317))</f>
        <v/>
      </c>
      <c r="S317" s="19" t="str">
        <f aca="false">IF(OR($A317="",INDEX(_LEITURA!$Q$2:$Q$21,9)=0),"",SUMIFS(DECKS!$D$2:$D$1201,DECKS!$A$2:$A$1201,INDEX(_LEITURA!$P$2:$P$21,9),DECKS!$B$2:$B$1201,$A317))</f>
        <v/>
      </c>
      <c r="T317" s="19" t="str">
        <f aca="false">IF(OR($A317="",INDEX(_LEITURA!$Q$2:$Q$21,10)=0),"",SUMIFS(DECKS!$D$2:$D$1201,DECKS!$A$2:$A$1201,INDEX(_LEITURA!$P$2:$P$21,10),DECKS!$B$2:$B$1201,$A317))</f>
        <v/>
      </c>
      <c r="U317" s="19" t="str">
        <f aca="false">IF(OR($A317="",INDEX(_LEITURA!$Q$2:$Q$21,11)=0),"",SUMIFS(DECKS!$D$2:$D$1201,DECKS!$A$2:$A$1201,INDEX(_LEITURA!$P$2:$P$21,11),DECKS!$B$2:$B$1201,$A317))</f>
        <v/>
      </c>
      <c r="V317" s="19" t="str">
        <f aca="false">IF(OR($A317="",INDEX(_LEITURA!$Q$2:$Q$21,12)=0),"",SUMIFS(DECKS!$D$2:$D$1201,DECKS!$A$2:$A$1201,INDEX(_LEITURA!$P$2:$P$21,12),DECKS!$B$2:$B$1201,$A317))</f>
        <v/>
      </c>
      <c r="W317" s="19" t="str">
        <f aca="false">IF(OR($A317="",INDEX(_LEITURA!$Q$2:$Q$21,13)=0),"",SUMIFS(DECKS!$D$2:$D$1201,DECKS!$A$2:$A$1201,INDEX(_LEITURA!$P$2:$P$21,13),DECKS!$B$2:$B$1201,$A317))</f>
        <v/>
      </c>
      <c r="X317" s="19" t="str">
        <f aca="false">IF(OR($A317="",INDEX(_LEITURA!$Q$2:$Q$21,14)=0),"",SUMIFS(DECKS!$D$2:$D$1201,DECKS!$A$2:$A$1201,INDEX(_LEITURA!$P$2:$P$21,14),DECKS!$B$2:$B$1201,$A317))</f>
        <v/>
      </c>
      <c r="Y317" s="19" t="str">
        <f aca="false">IF(OR($A317="",INDEX(_LEITURA!$Q$2:$Q$21,15)=0),"",SUMIFS(DECKS!$D$2:$D$1201,DECKS!$A$2:$A$1201,INDEX(_LEITURA!$P$2:$P$21,15),DECKS!$B$2:$B$1201,$A317))</f>
        <v/>
      </c>
      <c r="Z317" s="19" t="str">
        <f aca="false">IF(OR($A317="",INDEX(_LEITURA!$Q$2:$Q$21,16)=0),"",SUMIFS(DECKS!$D$2:$D$1201,DECKS!$A$2:$A$1201,INDEX(_LEITURA!$P$2:$P$21,16),DECKS!$B$2:$B$1201,$A317))</f>
        <v/>
      </c>
      <c r="AA317" s="19" t="str">
        <f aca="false">IF(OR($A317="",INDEX(_LEITURA!$Q$2:$Q$21,17)=0),"",SUMIFS(DECKS!$D$2:$D$1201,DECKS!$A$2:$A$1201,INDEX(_LEITURA!$P$2:$P$21,17),DECKS!$B$2:$B$1201,$A317))</f>
        <v/>
      </c>
      <c r="AB317" s="19" t="str">
        <f aca="false">IF(OR($A317="",INDEX(_LEITURA!$Q$2:$Q$21,18)=0),"",SUMIFS(DECKS!$D$2:$D$1201,DECKS!$A$2:$A$1201,INDEX(_LEITURA!$P$2:$P$21,18),DECKS!$B$2:$B$1201,$A317))</f>
        <v/>
      </c>
      <c r="AC317" s="19" t="str">
        <f aca="false">IF(OR($A317="",INDEX(_LEITURA!$Q$2:$Q$21,19)=0),"",SUMIFS(DECKS!$D$2:$D$1201,DECKS!$A$2:$A$1201,INDEX(_LEITURA!$P$2:$P$21,19),DECKS!$B$2:$B$1201,$A317))</f>
        <v/>
      </c>
      <c r="AD317" s="19" t="str">
        <f aca="false">IF(OR($A317="",INDEX(_LEITURA!$Q$2:$Q$21,20)=0),"",SUMIFS(DECKS!$D$2:$D$1201,DECKS!$A$2:$A$1201,INDEX(_LEITURA!$P$2:$P$21,20),DECKS!$B$2:$B$1201,$A317))</f>
        <v/>
      </c>
      <c r="AE317" s="16" t="str">
        <f aca="false">IF(N(E317)&gt;0,MAX(AE$1:AE316)+1,"")</f>
        <v/>
      </c>
      <c r="AF317" s="11" t="str">
        <f aca="false">IF(A317="","",IFERROR(LEFT(A317,FIND("-",A317)-1),A317))</f>
        <v/>
      </c>
      <c r="AG317" s="11" t="str">
        <f aca="false">IF(AF317="","",IF(ISNUMBER(--MID(AF317,1,1)),0,IF(ISNUMBER(--MID(AF317,2,1)),1,IF(ISNUMBER(--MID(AF317,3,1)),2,IF(ISNUMBER(--MID(AF317,4,1)),3,MIN(LEN(AF317),4))))))</f>
        <v/>
      </c>
      <c r="AH317" s="11" t="str">
        <f aca="false">IF(A317="","",LEFT(AF317,AG317)&amp;REPT("0",4-AG317)&amp;RIGHT("000"&amp;IFERROR(VALUE(MID(AF317,AG317+1,9)),0),3)&amp;RIGHT("0000"&amp;IFERROR(VALUE(MID(A317,FIND("-",A317)+1,9)),0),4))</f>
        <v/>
      </c>
      <c r="AI317" s="11" t="str">
        <f aca="false">IF(OR(A317="",N(E317)&lt;=0),"",IF('FALTAS GERAL'!$M$1="Código","K"&amp;AH317&amp;RIGHT("00000"&amp;ROW(),5),IF('FALTAS GERAL'!$M$1="Nome","K"&amp;UPPER(SUBSTITUTE(SUBSTITUTE(SUBSTITUTE(B317,"*",""),"?",""),"~",""))&amp;"0"&amp;AH317&amp;RIGHT("00000"&amp;ROW(),5),IF('FALTAS GERAL'!$M$1="Falta (maior primeiro)","K"&amp;RIGHT("0000"&amp;(9999-E317),4)&amp;AH317&amp;RIGHT("00000"&amp;ROW(),5),IF('FALTAS GERAL'!$M$1="Nº de decks (maior primeiro)","K"&amp;RIGHT("00"&amp;(99-N(G317)),2)&amp;AH317&amp;RIGHT("00000"&amp;ROW(),5),"K"&amp;RIGHT("00000"&amp;ROW(),5))))))</f>
        <v/>
      </c>
      <c r="AJ317" s="11" t="str">
        <f aca="false">IF(AI317="","",COUNTIFS($AI$2:$AI$801,"&lt;"&amp;AI317,$E$2:$E$801,"&gt;0")+1)</f>
        <v/>
      </c>
      <c r="AK317" s="11" t="str">
        <f aca="false">IF(OR(A317="",N(E317)&lt;=0),"",COUNTIFS($AH$2:$AH$801,"&lt;"&amp;AH317,$E$2:$E$801,"&gt;0")+COUNTIFS($AH$2:AH317,AH317,$E$2:E317,"&gt;0"))</f>
        <v/>
      </c>
    </row>
    <row r="318" customFormat="false" ht="15" hidden="false" customHeight="false" outlineLevel="0" collapsed="false">
      <c r="A318" s="11" t="str">
        <f aca="false">IF(INVENTÁRIO!A318="","",INVENTÁRIO!A318)</f>
        <v/>
      </c>
      <c r="B318" s="11" t="str">
        <f aca="false">IF(A318="","",INVENTÁRIO!B318)</f>
        <v/>
      </c>
      <c r="C318" s="16" t="str">
        <f aca="false">IF(A318="","",INVENTÁRIO!C318)</f>
        <v/>
      </c>
      <c r="D318" s="14" t="str">
        <f aca="false">IF(A318="","",MAX(K318:AD318))</f>
        <v/>
      </c>
      <c r="E318" s="14" t="str">
        <f aca="false">IF(A318="","",MAX(0,D318-C318))</f>
        <v/>
      </c>
      <c r="F318" s="16" t="str">
        <f aca="false">IF(A318="","",IF(D318=0,"Fora dos decks",IF(E318=0,"Completo","Falta")))</f>
        <v/>
      </c>
      <c r="G318" s="16" t="str">
        <f aca="false">IF(A318="","",COUNTIF(K318:AD318,"&gt;0"))</f>
        <v/>
      </c>
      <c r="H318" s="16" t="str">
        <f aca="false">IF(A318="","",IF(G318&gt;1,"Sim",""))</f>
        <v/>
      </c>
      <c r="I318" s="18" t="str">
        <f aca="false">IF(A318="","",SUMIFS(DECKS!$D$2:$D$1201,DECKS!$B$2:$B$1201,A318))</f>
        <v/>
      </c>
      <c r="J318" s="18" t="str">
        <f aca="false">IF(A318="","",MAX(0,I318-C318))</f>
        <v/>
      </c>
      <c r="K318" s="19" t="str">
        <f aca="false">IF(OR($A318="",INDEX(_LEITURA!$Q$2:$Q$21,1)=0),"",SUMIFS(DECKS!$D$2:$D$1201,DECKS!$A$2:$A$1201,INDEX(_LEITURA!$P$2:$P$21,1),DECKS!$B$2:$B$1201,$A318))</f>
        <v/>
      </c>
      <c r="L318" s="19" t="str">
        <f aca="false">IF(OR($A318="",INDEX(_LEITURA!$Q$2:$Q$21,2)=0),"",SUMIFS(DECKS!$D$2:$D$1201,DECKS!$A$2:$A$1201,INDEX(_LEITURA!$P$2:$P$21,2),DECKS!$B$2:$B$1201,$A318))</f>
        <v/>
      </c>
      <c r="M318" s="19" t="str">
        <f aca="false">IF(OR($A318="",INDEX(_LEITURA!$Q$2:$Q$21,3)=0),"",SUMIFS(DECKS!$D$2:$D$1201,DECKS!$A$2:$A$1201,INDEX(_LEITURA!$P$2:$P$21,3),DECKS!$B$2:$B$1201,$A318))</f>
        <v/>
      </c>
      <c r="N318" s="19" t="str">
        <f aca="false">IF(OR($A318="",INDEX(_LEITURA!$Q$2:$Q$21,4)=0),"",SUMIFS(DECKS!$D$2:$D$1201,DECKS!$A$2:$A$1201,INDEX(_LEITURA!$P$2:$P$21,4),DECKS!$B$2:$B$1201,$A318))</f>
        <v/>
      </c>
      <c r="O318" s="19" t="str">
        <f aca="false">IF(OR($A318="",INDEX(_LEITURA!$Q$2:$Q$21,5)=0),"",SUMIFS(DECKS!$D$2:$D$1201,DECKS!$A$2:$A$1201,INDEX(_LEITURA!$P$2:$P$21,5),DECKS!$B$2:$B$1201,$A318))</f>
        <v/>
      </c>
      <c r="P318" s="19" t="str">
        <f aca="false">IF(OR($A318="",INDEX(_LEITURA!$Q$2:$Q$21,6)=0),"",SUMIFS(DECKS!$D$2:$D$1201,DECKS!$A$2:$A$1201,INDEX(_LEITURA!$P$2:$P$21,6),DECKS!$B$2:$B$1201,$A318))</f>
        <v/>
      </c>
      <c r="Q318" s="19" t="str">
        <f aca="false">IF(OR($A318="",INDEX(_LEITURA!$Q$2:$Q$21,7)=0),"",SUMIFS(DECKS!$D$2:$D$1201,DECKS!$A$2:$A$1201,INDEX(_LEITURA!$P$2:$P$21,7),DECKS!$B$2:$B$1201,$A318))</f>
        <v/>
      </c>
      <c r="R318" s="19" t="str">
        <f aca="false">IF(OR($A318="",INDEX(_LEITURA!$Q$2:$Q$21,8)=0),"",SUMIFS(DECKS!$D$2:$D$1201,DECKS!$A$2:$A$1201,INDEX(_LEITURA!$P$2:$P$21,8),DECKS!$B$2:$B$1201,$A318))</f>
        <v/>
      </c>
      <c r="S318" s="19" t="str">
        <f aca="false">IF(OR($A318="",INDEX(_LEITURA!$Q$2:$Q$21,9)=0),"",SUMIFS(DECKS!$D$2:$D$1201,DECKS!$A$2:$A$1201,INDEX(_LEITURA!$P$2:$P$21,9),DECKS!$B$2:$B$1201,$A318))</f>
        <v/>
      </c>
      <c r="T318" s="19" t="str">
        <f aca="false">IF(OR($A318="",INDEX(_LEITURA!$Q$2:$Q$21,10)=0),"",SUMIFS(DECKS!$D$2:$D$1201,DECKS!$A$2:$A$1201,INDEX(_LEITURA!$P$2:$P$21,10),DECKS!$B$2:$B$1201,$A318))</f>
        <v/>
      </c>
      <c r="U318" s="19" t="str">
        <f aca="false">IF(OR($A318="",INDEX(_LEITURA!$Q$2:$Q$21,11)=0),"",SUMIFS(DECKS!$D$2:$D$1201,DECKS!$A$2:$A$1201,INDEX(_LEITURA!$P$2:$P$21,11),DECKS!$B$2:$B$1201,$A318))</f>
        <v/>
      </c>
      <c r="V318" s="19" t="str">
        <f aca="false">IF(OR($A318="",INDEX(_LEITURA!$Q$2:$Q$21,12)=0),"",SUMIFS(DECKS!$D$2:$D$1201,DECKS!$A$2:$A$1201,INDEX(_LEITURA!$P$2:$P$21,12),DECKS!$B$2:$B$1201,$A318))</f>
        <v/>
      </c>
      <c r="W318" s="19" t="str">
        <f aca="false">IF(OR($A318="",INDEX(_LEITURA!$Q$2:$Q$21,13)=0),"",SUMIFS(DECKS!$D$2:$D$1201,DECKS!$A$2:$A$1201,INDEX(_LEITURA!$P$2:$P$21,13),DECKS!$B$2:$B$1201,$A318))</f>
        <v/>
      </c>
      <c r="X318" s="19" t="str">
        <f aca="false">IF(OR($A318="",INDEX(_LEITURA!$Q$2:$Q$21,14)=0),"",SUMIFS(DECKS!$D$2:$D$1201,DECKS!$A$2:$A$1201,INDEX(_LEITURA!$P$2:$P$21,14),DECKS!$B$2:$B$1201,$A318))</f>
        <v/>
      </c>
      <c r="Y318" s="19" t="str">
        <f aca="false">IF(OR($A318="",INDEX(_LEITURA!$Q$2:$Q$21,15)=0),"",SUMIFS(DECKS!$D$2:$D$1201,DECKS!$A$2:$A$1201,INDEX(_LEITURA!$P$2:$P$21,15),DECKS!$B$2:$B$1201,$A318))</f>
        <v/>
      </c>
      <c r="Z318" s="19" t="str">
        <f aca="false">IF(OR($A318="",INDEX(_LEITURA!$Q$2:$Q$21,16)=0),"",SUMIFS(DECKS!$D$2:$D$1201,DECKS!$A$2:$A$1201,INDEX(_LEITURA!$P$2:$P$21,16),DECKS!$B$2:$B$1201,$A318))</f>
        <v/>
      </c>
      <c r="AA318" s="19" t="str">
        <f aca="false">IF(OR($A318="",INDEX(_LEITURA!$Q$2:$Q$21,17)=0),"",SUMIFS(DECKS!$D$2:$D$1201,DECKS!$A$2:$A$1201,INDEX(_LEITURA!$P$2:$P$21,17),DECKS!$B$2:$B$1201,$A318))</f>
        <v/>
      </c>
      <c r="AB318" s="19" t="str">
        <f aca="false">IF(OR($A318="",INDEX(_LEITURA!$Q$2:$Q$21,18)=0),"",SUMIFS(DECKS!$D$2:$D$1201,DECKS!$A$2:$A$1201,INDEX(_LEITURA!$P$2:$P$21,18),DECKS!$B$2:$B$1201,$A318))</f>
        <v/>
      </c>
      <c r="AC318" s="19" t="str">
        <f aca="false">IF(OR($A318="",INDEX(_LEITURA!$Q$2:$Q$21,19)=0),"",SUMIFS(DECKS!$D$2:$D$1201,DECKS!$A$2:$A$1201,INDEX(_LEITURA!$P$2:$P$21,19),DECKS!$B$2:$B$1201,$A318))</f>
        <v/>
      </c>
      <c r="AD318" s="19" t="str">
        <f aca="false">IF(OR($A318="",INDEX(_LEITURA!$Q$2:$Q$21,20)=0),"",SUMIFS(DECKS!$D$2:$D$1201,DECKS!$A$2:$A$1201,INDEX(_LEITURA!$P$2:$P$21,20),DECKS!$B$2:$B$1201,$A318))</f>
        <v/>
      </c>
      <c r="AE318" s="16" t="str">
        <f aca="false">IF(N(E318)&gt;0,MAX(AE$1:AE317)+1,"")</f>
        <v/>
      </c>
      <c r="AF318" s="11" t="str">
        <f aca="false">IF(A318="","",IFERROR(LEFT(A318,FIND("-",A318)-1),A318))</f>
        <v/>
      </c>
      <c r="AG318" s="11" t="str">
        <f aca="false">IF(AF318="","",IF(ISNUMBER(--MID(AF318,1,1)),0,IF(ISNUMBER(--MID(AF318,2,1)),1,IF(ISNUMBER(--MID(AF318,3,1)),2,IF(ISNUMBER(--MID(AF318,4,1)),3,MIN(LEN(AF318),4))))))</f>
        <v/>
      </c>
      <c r="AH318" s="11" t="str">
        <f aca="false">IF(A318="","",LEFT(AF318,AG318)&amp;REPT("0",4-AG318)&amp;RIGHT("000"&amp;IFERROR(VALUE(MID(AF318,AG318+1,9)),0),3)&amp;RIGHT("0000"&amp;IFERROR(VALUE(MID(A318,FIND("-",A318)+1,9)),0),4))</f>
        <v/>
      </c>
      <c r="AI318" s="11" t="str">
        <f aca="false">IF(OR(A318="",N(E318)&lt;=0),"",IF('FALTAS GERAL'!$M$1="Código","K"&amp;AH318&amp;RIGHT("00000"&amp;ROW(),5),IF('FALTAS GERAL'!$M$1="Nome","K"&amp;UPPER(SUBSTITUTE(SUBSTITUTE(SUBSTITUTE(B318,"*",""),"?",""),"~",""))&amp;"0"&amp;AH318&amp;RIGHT("00000"&amp;ROW(),5),IF('FALTAS GERAL'!$M$1="Falta (maior primeiro)","K"&amp;RIGHT("0000"&amp;(9999-E318),4)&amp;AH318&amp;RIGHT("00000"&amp;ROW(),5),IF('FALTAS GERAL'!$M$1="Nº de decks (maior primeiro)","K"&amp;RIGHT("00"&amp;(99-N(G318)),2)&amp;AH318&amp;RIGHT("00000"&amp;ROW(),5),"K"&amp;RIGHT("00000"&amp;ROW(),5))))))</f>
        <v/>
      </c>
      <c r="AJ318" s="11" t="str">
        <f aca="false">IF(AI318="","",COUNTIFS($AI$2:$AI$801,"&lt;"&amp;AI318,$E$2:$E$801,"&gt;0")+1)</f>
        <v/>
      </c>
      <c r="AK318" s="11" t="str">
        <f aca="false">IF(OR(A318="",N(E318)&lt;=0),"",COUNTIFS($AH$2:$AH$801,"&lt;"&amp;AH318,$E$2:$E$801,"&gt;0")+COUNTIFS($AH$2:AH318,AH318,$E$2:E318,"&gt;0"))</f>
        <v/>
      </c>
    </row>
    <row r="319" customFormat="false" ht="15" hidden="false" customHeight="false" outlineLevel="0" collapsed="false">
      <c r="A319" s="11" t="str">
        <f aca="false">IF(INVENTÁRIO!A319="","",INVENTÁRIO!A319)</f>
        <v/>
      </c>
      <c r="B319" s="11" t="str">
        <f aca="false">IF(A319="","",INVENTÁRIO!B319)</f>
        <v/>
      </c>
      <c r="C319" s="16" t="str">
        <f aca="false">IF(A319="","",INVENTÁRIO!C319)</f>
        <v/>
      </c>
      <c r="D319" s="14" t="str">
        <f aca="false">IF(A319="","",MAX(K319:AD319))</f>
        <v/>
      </c>
      <c r="E319" s="14" t="str">
        <f aca="false">IF(A319="","",MAX(0,D319-C319))</f>
        <v/>
      </c>
      <c r="F319" s="16" t="str">
        <f aca="false">IF(A319="","",IF(D319=0,"Fora dos decks",IF(E319=0,"Completo","Falta")))</f>
        <v/>
      </c>
      <c r="G319" s="16" t="str">
        <f aca="false">IF(A319="","",COUNTIF(K319:AD319,"&gt;0"))</f>
        <v/>
      </c>
      <c r="H319" s="16" t="str">
        <f aca="false">IF(A319="","",IF(G319&gt;1,"Sim",""))</f>
        <v/>
      </c>
      <c r="I319" s="18" t="str">
        <f aca="false">IF(A319="","",SUMIFS(DECKS!$D$2:$D$1201,DECKS!$B$2:$B$1201,A319))</f>
        <v/>
      </c>
      <c r="J319" s="18" t="str">
        <f aca="false">IF(A319="","",MAX(0,I319-C319))</f>
        <v/>
      </c>
      <c r="K319" s="19" t="str">
        <f aca="false">IF(OR($A319="",INDEX(_LEITURA!$Q$2:$Q$21,1)=0),"",SUMIFS(DECKS!$D$2:$D$1201,DECKS!$A$2:$A$1201,INDEX(_LEITURA!$P$2:$P$21,1),DECKS!$B$2:$B$1201,$A319))</f>
        <v/>
      </c>
      <c r="L319" s="19" t="str">
        <f aca="false">IF(OR($A319="",INDEX(_LEITURA!$Q$2:$Q$21,2)=0),"",SUMIFS(DECKS!$D$2:$D$1201,DECKS!$A$2:$A$1201,INDEX(_LEITURA!$P$2:$P$21,2),DECKS!$B$2:$B$1201,$A319))</f>
        <v/>
      </c>
      <c r="M319" s="19" t="str">
        <f aca="false">IF(OR($A319="",INDEX(_LEITURA!$Q$2:$Q$21,3)=0),"",SUMIFS(DECKS!$D$2:$D$1201,DECKS!$A$2:$A$1201,INDEX(_LEITURA!$P$2:$P$21,3),DECKS!$B$2:$B$1201,$A319))</f>
        <v/>
      </c>
      <c r="N319" s="19" t="str">
        <f aca="false">IF(OR($A319="",INDEX(_LEITURA!$Q$2:$Q$21,4)=0),"",SUMIFS(DECKS!$D$2:$D$1201,DECKS!$A$2:$A$1201,INDEX(_LEITURA!$P$2:$P$21,4),DECKS!$B$2:$B$1201,$A319))</f>
        <v/>
      </c>
      <c r="O319" s="19" t="str">
        <f aca="false">IF(OR($A319="",INDEX(_LEITURA!$Q$2:$Q$21,5)=0),"",SUMIFS(DECKS!$D$2:$D$1201,DECKS!$A$2:$A$1201,INDEX(_LEITURA!$P$2:$P$21,5),DECKS!$B$2:$B$1201,$A319))</f>
        <v/>
      </c>
      <c r="P319" s="19" t="str">
        <f aca="false">IF(OR($A319="",INDEX(_LEITURA!$Q$2:$Q$21,6)=0),"",SUMIFS(DECKS!$D$2:$D$1201,DECKS!$A$2:$A$1201,INDEX(_LEITURA!$P$2:$P$21,6),DECKS!$B$2:$B$1201,$A319))</f>
        <v/>
      </c>
      <c r="Q319" s="19" t="str">
        <f aca="false">IF(OR($A319="",INDEX(_LEITURA!$Q$2:$Q$21,7)=0),"",SUMIFS(DECKS!$D$2:$D$1201,DECKS!$A$2:$A$1201,INDEX(_LEITURA!$P$2:$P$21,7),DECKS!$B$2:$B$1201,$A319))</f>
        <v/>
      </c>
      <c r="R319" s="19" t="str">
        <f aca="false">IF(OR($A319="",INDEX(_LEITURA!$Q$2:$Q$21,8)=0),"",SUMIFS(DECKS!$D$2:$D$1201,DECKS!$A$2:$A$1201,INDEX(_LEITURA!$P$2:$P$21,8),DECKS!$B$2:$B$1201,$A319))</f>
        <v/>
      </c>
      <c r="S319" s="19" t="str">
        <f aca="false">IF(OR($A319="",INDEX(_LEITURA!$Q$2:$Q$21,9)=0),"",SUMIFS(DECKS!$D$2:$D$1201,DECKS!$A$2:$A$1201,INDEX(_LEITURA!$P$2:$P$21,9),DECKS!$B$2:$B$1201,$A319))</f>
        <v/>
      </c>
      <c r="T319" s="19" t="str">
        <f aca="false">IF(OR($A319="",INDEX(_LEITURA!$Q$2:$Q$21,10)=0),"",SUMIFS(DECKS!$D$2:$D$1201,DECKS!$A$2:$A$1201,INDEX(_LEITURA!$P$2:$P$21,10),DECKS!$B$2:$B$1201,$A319))</f>
        <v/>
      </c>
      <c r="U319" s="19" t="str">
        <f aca="false">IF(OR($A319="",INDEX(_LEITURA!$Q$2:$Q$21,11)=0),"",SUMIFS(DECKS!$D$2:$D$1201,DECKS!$A$2:$A$1201,INDEX(_LEITURA!$P$2:$P$21,11),DECKS!$B$2:$B$1201,$A319))</f>
        <v/>
      </c>
      <c r="V319" s="19" t="str">
        <f aca="false">IF(OR($A319="",INDEX(_LEITURA!$Q$2:$Q$21,12)=0),"",SUMIFS(DECKS!$D$2:$D$1201,DECKS!$A$2:$A$1201,INDEX(_LEITURA!$P$2:$P$21,12),DECKS!$B$2:$B$1201,$A319))</f>
        <v/>
      </c>
      <c r="W319" s="19" t="str">
        <f aca="false">IF(OR($A319="",INDEX(_LEITURA!$Q$2:$Q$21,13)=0),"",SUMIFS(DECKS!$D$2:$D$1201,DECKS!$A$2:$A$1201,INDEX(_LEITURA!$P$2:$P$21,13),DECKS!$B$2:$B$1201,$A319))</f>
        <v/>
      </c>
      <c r="X319" s="19" t="str">
        <f aca="false">IF(OR($A319="",INDEX(_LEITURA!$Q$2:$Q$21,14)=0),"",SUMIFS(DECKS!$D$2:$D$1201,DECKS!$A$2:$A$1201,INDEX(_LEITURA!$P$2:$P$21,14),DECKS!$B$2:$B$1201,$A319))</f>
        <v/>
      </c>
      <c r="Y319" s="19" t="str">
        <f aca="false">IF(OR($A319="",INDEX(_LEITURA!$Q$2:$Q$21,15)=0),"",SUMIFS(DECKS!$D$2:$D$1201,DECKS!$A$2:$A$1201,INDEX(_LEITURA!$P$2:$P$21,15),DECKS!$B$2:$B$1201,$A319))</f>
        <v/>
      </c>
      <c r="Z319" s="19" t="str">
        <f aca="false">IF(OR($A319="",INDEX(_LEITURA!$Q$2:$Q$21,16)=0),"",SUMIFS(DECKS!$D$2:$D$1201,DECKS!$A$2:$A$1201,INDEX(_LEITURA!$P$2:$P$21,16),DECKS!$B$2:$B$1201,$A319))</f>
        <v/>
      </c>
      <c r="AA319" s="19" t="str">
        <f aca="false">IF(OR($A319="",INDEX(_LEITURA!$Q$2:$Q$21,17)=0),"",SUMIFS(DECKS!$D$2:$D$1201,DECKS!$A$2:$A$1201,INDEX(_LEITURA!$P$2:$P$21,17),DECKS!$B$2:$B$1201,$A319))</f>
        <v/>
      </c>
      <c r="AB319" s="19" t="str">
        <f aca="false">IF(OR($A319="",INDEX(_LEITURA!$Q$2:$Q$21,18)=0),"",SUMIFS(DECKS!$D$2:$D$1201,DECKS!$A$2:$A$1201,INDEX(_LEITURA!$P$2:$P$21,18),DECKS!$B$2:$B$1201,$A319))</f>
        <v/>
      </c>
      <c r="AC319" s="19" t="str">
        <f aca="false">IF(OR($A319="",INDEX(_LEITURA!$Q$2:$Q$21,19)=0),"",SUMIFS(DECKS!$D$2:$D$1201,DECKS!$A$2:$A$1201,INDEX(_LEITURA!$P$2:$P$21,19),DECKS!$B$2:$B$1201,$A319))</f>
        <v/>
      </c>
      <c r="AD319" s="19" t="str">
        <f aca="false">IF(OR($A319="",INDEX(_LEITURA!$Q$2:$Q$21,20)=0),"",SUMIFS(DECKS!$D$2:$D$1201,DECKS!$A$2:$A$1201,INDEX(_LEITURA!$P$2:$P$21,20),DECKS!$B$2:$B$1201,$A319))</f>
        <v/>
      </c>
      <c r="AE319" s="16" t="str">
        <f aca="false">IF(N(E319)&gt;0,MAX(AE$1:AE318)+1,"")</f>
        <v/>
      </c>
      <c r="AF319" s="11" t="str">
        <f aca="false">IF(A319="","",IFERROR(LEFT(A319,FIND("-",A319)-1),A319))</f>
        <v/>
      </c>
      <c r="AG319" s="11" t="str">
        <f aca="false">IF(AF319="","",IF(ISNUMBER(--MID(AF319,1,1)),0,IF(ISNUMBER(--MID(AF319,2,1)),1,IF(ISNUMBER(--MID(AF319,3,1)),2,IF(ISNUMBER(--MID(AF319,4,1)),3,MIN(LEN(AF319),4))))))</f>
        <v/>
      </c>
      <c r="AH319" s="11" t="str">
        <f aca="false">IF(A319="","",LEFT(AF319,AG319)&amp;REPT("0",4-AG319)&amp;RIGHT("000"&amp;IFERROR(VALUE(MID(AF319,AG319+1,9)),0),3)&amp;RIGHT("0000"&amp;IFERROR(VALUE(MID(A319,FIND("-",A319)+1,9)),0),4))</f>
        <v/>
      </c>
      <c r="AI319" s="11" t="str">
        <f aca="false">IF(OR(A319="",N(E319)&lt;=0),"",IF('FALTAS GERAL'!$M$1="Código","K"&amp;AH319&amp;RIGHT("00000"&amp;ROW(),5),IF('FALTAS GERAL'!$M$1="Nome","K"&amp;UPPER(SUBSTITUTE(SUBSTITUTE(SUBSTITUTE(B319,"*",""),"?",""),"~",""))&amp;"0"&amp;AH319&amp;RIGHT("00000"&amp;ROW(),5),IF('FALTAS GERAL'!$M$1="Falta (maior primeiro)","K"&amp;RIGHT("0000"&amp;(9999-E319),4)&amp;AH319&amp;RIGHT("00000"&amp;ROW(),5),IF('FALTAS GERAL'!$M$1="Nº de decks (maior primeiro)","K"&amp;RIGHT("00"&amp;(99-N(G319)),2)&amp;AH319&amp;RIGHT("00000"&amp;ROW(),5),"K"&amp;RIGHT("00000"&amp;ROW(),5))))))</f>
        <v/>
      </c>
      <c r="AJ319" s="11" t="str">
        <f aca="false">IF(AI319="","",COUNTIFS($AI$2:$AI$801,"&lt;"&amp;AI319,$E$2:$E$801,"&gt;0")+1)</f>
        <v/>
      </c>
      <c r="AK319" s="11" t="str">
        <f aca="false">IF(OR(A319="",N(E319)&lt;=0),"",COUNTIFS($AH$2:$AH$801,"&lt;"&amp;AH319,$E$2:$E$801,"&gt;0")+COUNTIFS($AH$2:AH319,AH319,$E$2:E319,"&gt;0"))</f>
        <v/>
      </c>
    </row>
    <row r="320" customFormat="false" ht="15" hidden="false" customHeight="false" outlineLevel="0" collapsed="false">
      <c r="A320" s="11" t="str">
        <f aca="false">IF(INVENTÁRIO!A320="","",INVENTÁRIO!A320)</f>
        <v/>
      </c>
      <c r="B320" s="11" t="str">
        <f aca="false">IF(A320="","",INVENTÁRIO!B320)</f>
        <v/>
      </c>
      <c r="C320" s="16" t="str">
        <f aca="false">IF(A320="","",INVENTÁRIO!C320)</f>
        <v/>
      </c>
      <c r="D320" s="14" t="str">
        <f aca="false">IF(A320="","",MAX(K320:AD320))</f>
        <v/>
      </c>
      <c r="E320" s="14" t="str">
        <f aca="false">IF(A320="","",MAX(0,D320-C320))</f>
        <v/>
      </c>
      <c r="F320" s="16" t="str">
        <f aca="false">IF(A320="","",IF(D320=0,"Fora dos decks",IF(E320=0,"Completo","Falta")))</f>
        <v/>
      </c>
      <c r="G320" s="16" t="str">
        <f aca="false">IF(A320="","",COUNTIF(K320:AD320,"&gt;0"))</f>
        <v/>
      </c>
      <c r="H320" s="16" t="str">
        <f aca="false">IF(A320="","",IF(G320&gt;1,"Sim",""))</f>
        <v/>
      </c>
      <c r="I320" s="18" t="str">
        <f aca="false">IF(A320="","",SUMIFS(DECKS!$D$2:$D$1201,DECKS!$B$2:$B$1201,A320))</f>
        <v/>
      </c>
      <c r="J320" s="18" t="str">
        <f aca="false">IF(A320="","",MAX(0,I320-C320))</f>
        <v/>
      </c>
      <c r="K320" s="19" t="str">
        <f aca="false">IF(OR($A320="",INDEX(_LEITURA!$Q$2:$Q$21,1)=0),"",SUMIFS(DECKS!$D$2:$D$1201,DECKS!$A$2:$A$1201,INDEX(_LEITURA!$P$2:$P$21,1),DECKS!$B$2:$B$1201,$A320))</f>
        <v/>
      </c>
      <c r="L320" s="19" t="str">
        <f aca="false">IF(OR($A320="",INDEX(_LEITURA!$Q$2:$Q$21,2)=0),"",SUMIFS(DECKS!$D$2:$D$1201,DECKS!$A$2:$A$1201,INDEX(_LEITURA!$P$2:$P$21,2),DECKS!$B$2:$B$1201,$A320))</f>
        <v/>
      </c>
      <c r="M320" s="19" t="str">
        <f aca="false">IF(OR($A320="",INDEX(_LEITURA!$Q$2:$Q$21,3)=0),"",SUMIFS(DECKS!$D$2:$D$1201,DECKS!$A$2:$A$1201,INDEX(_LEITURA!$P$2:$P$21,3),DECKS!$B$2:$B$1201,$A320))</f>
        <v/>
      </c>
      <c r="N320" s="19" t="str">
        <f aca="false">IF(OR($A320="",INDEX(_LEITURA!$Q$2:$Q$21,4)=0),"",SUMIFS(DECKS!$D$2:$D$1201,DECKS!$A$2:$A$1201,INDEX(_LEITURA!$P$2:$P$21,4),DECKS!$B$2:$B$1201,$A320))</f>
        <v/>
      </c>
      <c r="O320" s="19" t="str">
        <f aca="false">IF(OR($A320="",INDEX(_LEITURA!$Q$2:$Q$21,5)=0),"",SUMIFS(DECKS!$D$2:$D$1201,DECKS!$A$2:$A$1201,INDEX(_LEITURA!$P$2:$P$21,5),DECKS!$B$2:$B$1201,$A320))</f>
        <v/>
      </c>
      <c r="P320" s="19" t="str">
        <f aca="false">IF(OR($A320="",INDEX(_LEITURA!$Q$2:$Q$21,6)=0),"",SUMIFS(DECKS!$D$2:$D$1201,DECKS!$A$2:$A$1201,INDEX(_LEITURA!$P$2:$P$21,6),DECKS!$B$2:$B$1201,$A320))</f>
        <v/>
      </c>
      <c r="Q320" s="19" t="str">
        <f aca="false">IF(OR($A320="",INDEX(_LEITURA!$Q$2:$Q$21,7)=0),"",SUMIFS(DECKS!$D$2:$D$1201,DECKS!$A$2:$A$1201,INDEX(_LEITURA!$P$2:$P$21,7),DECKS!$B$2:$B$1201,$A320))</f>
        <v/>
      </c>
      <c r="R320" s="19" t="str">
        <f aca="false">IF(OR($A320="",INDEX(_LEITURA!$Q$2:$Q$21,8)=0),"",SUMIFS(DECKS!$D$2:$D$1201,DECKS!$A$2:$A$1201,INDEX(_LEITURA!$P$2:$P$21,8),DECKS!$B$2:$B$1201,$A320))</f>
        <v/>
      </c>
      <c r="S320" s="19" t="str">
        <f aca="false">IF(OR($A320="",INDEX(_LEITURA!$Q$2:$Q$21,9)=0),"",SUMIFS(DECKS!$D$2:$D$1201,DECKS!$A$2:$A$1201,INDEX(_LEITURA!$P$2:$P$21,9),DECKS!$B$2:$B$1201,$A320))</f>
        <v/>
      </c>
      <c r="T320" s="19" t="str">
        <f aca="false">IF(OR($A320="",INDEX(_LEITURA!$Q$2:$Q$21,10)=0),"",SUMIFS(DECKS!$D$2:$D$1201,DECKS!$A$2:$A$1201,INDEX(_LEITURA!$P$2:$P$21,10),DECKS!$B$2:$B$1201,$A320))</f>
        <v/>
      </c>
      <c r="U320" s="19" t="str">
        <f aca="false">IF(OR($A320="",INDEX(_LEITURA!$Q$2:$Q$21,11)=0),"",SUMIFS(DECKS!$D$2:$D$1201,DECKS!$A$2:$A$1201,INDEX(_LEITURA!$P$2:$P$21,11),DECKS!$B$2:$B$1201,$A320))</f>
        <v/>
      </c>
      <c r="V320" s="19" t="str">
        <f aca="false">IF(OR($A320="",INDEX(_LEITURA!$Q$2:$Q$21,12)=0),"",SUMIFS(DECKS!$D$2:$D$1201,DECKS!$A$2:$A$1201,INDEX(_LEITURA!$P$2:$P$21,12),DECKS!$B$2:$B$1201,$A320))</f>
        <v/>
      </c>
      <c r="W320" s="19" t="str">
        <f aca="false">IF(OR($A320="",INDEX(_LEITURA!$Q$2:$Q$21,13)=0),"",SUMIFS(DECKS!$D$2:$D$1201,DECKS!$A$2:$A$1201,INDEX(_LEITURA!$P$2:$P$21,13),DECKS!$B$2:$B$1201,$A320))</f>
        <v/>
      </c>
      <c r="X320" s="19" t="str">
        <f aca="false">IF(OR($A320="",INDEX(_LEITURA!$Q$2:$Q$21,14)=0),"",SUMIFS(DECKS!$D$2:$D$1201,DECKS!$A$2:$A$1201,INDEX(_LEITURA!$P$2:$P$21,14),DECKS!$B$2:$B$1201,$A320))</f>
        <v/>
      </c>
      <c r="Y320" s="19" t="str">
        <f aca="false">IF(OR($A320="",INDEX(_LEITURA!$Q$2:$Q$21,15)=0),"",SUMIFS(DECKS!$D$2:$D$1201,DECKS!$A$2:$A$1201,INDEX(_LEITURA!$P$2:$P$21,15),DECKS!$B$2:$B$1201,$A320))</f>
        <v/>
      </c>
      <c r="Z320" s="19" t="str">
        <f aca="false">IF(OR($A320="",INDEX(_LEITURA!$Q$2:$Q$21,16)=0),"",SUMIFS(DECKS!$D$2:$D$1201,DECKS!$A$2:$A$1201,INDEX(_LEITURA!$P$2:$P$21,16),DECKS!$B$2:$B$1201,$A320))</f>
        <v/>
      </c>
      <c r="AA320" s="19" t="str">
        <f aca="false">IF(OR($A320="",INDEX(_LEITURA!$Q$2:$Q$21,17)=0),"",SUMIFS(DECKS!$D$2:$D$1201,DECKS!$A$2:$A$1201,INDEX(_LEITURA!$P$2:$P$21,17),DECKS!$B$2:$B$1201,$A320))</f>
        <v/>
      </c>
      <c r="AB320" s="19" t="str">
        <f aca="false">IF(OR($A320="",INDEX(_LEITURA!$Q$2:$Q$21,18)=0),"",SUMIFS(DECKS!$D$2:$D$1201,DECKS!$A$2:$A$1201,INDEX(_LEITURA!$P$2:$P$21,18),DECKS!$B$2:$B$1201,$A320))</f>
        <v/>
      </c>
      <c r="AC320" s="19" t="str">
        <f aca="false">IF(OR($A320="",INDEX(_LEITURA!$Q$2:$Q$21,19)=0),"",SUMIFS(DECKS!$D$2:$D$1201,DECKS!$A$2:$A$1201,INDEX(_LEITURA!$P$2:$P$21,19),DECKS!$B$2:$B$1201,$A320))</f>
        <v/>
      </c>
      <c r="AD320" s="19" t="str">
        <f aca="false">IF(OR($A320="",INDEX(_LEITURA!$Q$2:$Q$21,20)=0),"",SUMIFS(DECKS!$D$2:$D$1201,DECKS!$A$2:$A$1201,INDEX(_LEITURA!$P$2:$P$21,20),DECKS!$B$2:$B$1201,$A320))</f>
        <v/>
      </c>
      <c r="AE320" s="16" t="str">
        <f aca="false">IF(N(E320)&gt;0,MAX(AE$1:AE319)+1,"")</f>
        <v/>
      </c>
      <c r="AF320" s="11" t="str">
        <f aca="false">IF(A320="","",IFERROR(LEFT(A320,FIND("-",A320)-1),A320))</f>
        <v/>
      </c>
      <c r="AG320" s="11" t="str">
        <f aca="false">IF(AF320="","",IF(ISNUMBER(--MID(AF320,1,1)),0,IF(ISNUMBER(--MID(AF320,2,1)),1,IF(ISNUMBER(--MID(AF320,3,1)),2,IF(ISNUMBER(--MID(AF320,4,1)),3,MIN(LEN(AF320),4))))))</f>
        <v/>
      </c>
      <c r="AH320" s="11" t="str">
        <f aca="false">IF(A320="","",LEFT(AF320,AG320)&amp;REPT("0",4-AG320)&amp;RIGHT("000"&amp;IFERROR(VALUE(MID(AF320,AG320+1,9)),0),3)&amp;RIGHT("0000"&amp;IFERROR(VALUE(MID(A320,FIND("-",A320)+1,9)),0),4))</f>
        <v/>
      </c>
      <c r="AI320" s="11" t="str">
        <f aca="false">IF(OR(A320="",N(E320)&lt;=0),"",IF('FALTAS GERAL'!$M$1="Código","K"&amp;AH320&amp;RIGHT("00000"&amp;ROW(),5),IF('FALTAS GERAL'!$M$1="Nome","K"&amp;UPPER(SUBSTITUTE(SUBSTITUTE(SUBSTITUTE(B320,"*",""),"?",""),"~",""))&amp;"0"&amp;AH320&amp;RIGHT("00000"&amp;ROW(),5),IF('FALTAS GERAL'!$M$1="Falta (maior primeiro)","K"&amp;RIGHT("0000"&amp;(9999-E320),4)&amp;AH320&amp;RIGHT("00000"&amp;ROW(),5),IF('FALTAS GERAL'!$M$1="Nº de decks (maior primeiro)","K"&amp;RIGHT("00"&amp;(99-N(G320)),2)&amp;AH320&amp;RIGHT("00000"&amp;ROW(),5),"K"&amp;RIGHT("00000"&amp;ROW(),5))))))</f>
        <v/>
      </c>
      <c r="AJ320" s="11" t="str">
        <f aca="false">IF(AI320="","",COUNTIFS($AI$2:$AI$801,"&lt;"&amp;AI320,$E$2:$E$801,"&gt;0")+1)</f>
        <v/>
      </c>
      <c r="AK320" s="11" t="str">
        <f aca="false">IF(OR(A320="",N(E320)&lt;=0),"",COUNTIFS($AH$2:$AH$801,"&lt;"&amp;AH320,$E$2:$E$801,"&gt;0")+COUNTIFS($AH$2:AH320,AH320,$E$2:E320,"&gt;0"))</f>
        <v/>
      </c>
    </row>
    <row r="321" customFormat="false" ht="15" hidden="false" customHeight="false" outlineLevel="0" collapsed="false">
      <c r="A321" s="11" t="str">
        <f aca="false">IF(INVENTÁRIO!A321="","",INVENTÁRIO!A321)</f>
        <v/>
      </c>
      <c r="B321" s="11" t="str">
        <f aca="false">IF(A321="","",INVENTÁRIO!B321)</f>
        <v/>
      </c>
      <c r="C321" s="16" t="str">
        <f aca="false">IF(A321="","",INVENTÁRIO!C321)</f>
        <v/>
      </c>
      <c r="D321" s="14" t="str">
        <f aca="false">IF(A321="","",MAX(K321:AD321))</f>
        <v/>
      </c>
      <c r="E321" s="14" t="str">
        <f aca="false">IF(A321="","",MAX(0,D321-C321))</f>
        <v/>
      </c>
      <c r="F321" s="16" t="str">
        <f aca="false">IF(A321="","",IF(D321=0,"Fora dos decks",IF(E321=0,"Completo","Falta")))</f>
        <v/>
      </c>
      <c r="G321" s="16" t="str">
        <f aca="false">IF(A321="","",COUNTIF(K321:AD321,"&gt;0"))</f>
        <v/>
      </c>
      <c r="H321" s="16" t="str">
        <f aca="false">IF(A321="","",IF(G321&gt;1,"Sim",""))</f>
        <v/>
      </c>
      <c r="I321" s="18" t="str">
        <f aca="false">IF(A321="","",SUMIFS(DECKS!$D$2:$D$1201,DECKS!$B$2:$B$1201,A321))</f>
        <v/>
      </c>
      <c r="J321" s="18" t="str">
        <f aca="false">IF(A321="","",MAX(0,I321-C321))</f>
        <v/>
      </c>
      <c r="K321" s="19" t="str">
        <f aca="false">IF(OR($A321="",INDEX(_LEITURA!$Q$2:$Q$21,1)=0),"",SUMIFS(DECKS!$D$2:$D$1201,DECKS!$A$2:$A$1201,INDEX(_LEITURA!$P$2:$P$21,1),DECKS!$B$2:$B$1201,$A321))</f>
        <v/>
      </c>
      <c r="L321" s="19" t="str">
        <f aca="false">IF(OR($A321="",INDEX(_LEITURA!$Q$2:$Q$21,2)=0),"",SUMIFS(DECKS!$D$2:$D$1201,DECKS!$A$2:$A$1201,INDEX(_LEITURA!$P$2:$P$21,2),DECKS!$B$2:$B$1201,$A321))</f>
        <v/>
      </c>
      <c r="M321" s="19" t="str">
        <f aca="false">IF(OR($A321="",INDEX(_LEITURA!$Q$2:$Q$21,3)=0),"",SUMIFS(DECKS!$D$2:$D$1201,DECKS!$A$2:$A$1201,INDEX(_LEITURA!$P$2:$P$21,3),DECKS!$B$2:$B$1201,$A321))</f>
        <v/>
      </c>
      <c r="N321" s="19" t="str">
        <f aca="false">IF(OR($A321="",INDEX(_LEITURA!$Q$2:$Q$21,4)=0),"",SUMIFS(DECKS!$D$2:$D$1201,DECKS!$A$2:$A$1201,INDEX(_LEITURA!$P$2:$P$21,4),DECKS!$B$2:$B$1201,$A321))</f>
        <v/>
      </c>
      <c r="O321" s="19" t="str">
        <f aca="false">IF(OR($A321="",INDEX(_LEITURA!$Q$2:$Q$21,5)=0),"",SUMIFS(DECKS!$D$2:$D$1201,DECKS!$A$2:$A$1201,INDEX(_LEITURA!$P$2:$P$21,5),DECKS!$B$2:$B$1201,$A321))</f>
        <v/>
      </c>
      <c r="P321" s="19" t="str">
        <f aca="false">IF(OR($A321="",INDEX(_LEITURA!$Q$2:$Q$21,6)=0),"",SUMIFS(DECKS!$D$2:$D$1201,DECKS!$A$2:$A$1201,INDEX(_LEITURA!$P$2:$P$21,6),DECKS!$B$2:$B$1201,$A321))</f>
        <v/>
      </c>
      <c r="Q321" s="19" t="str">
        <f aca="false">IF(OR($A321="",INDEX(_LEITURA!$Q$2:$Q$21,7)=0),"",SUMIFS(DECKS!$D$2:$D$1201,DECKS!$A$2:$A$1201,INDEX(_LEITURA!$P$2:$P$21,7),DECKS!$B$2:$B$1201,$A321))</f>
        <v/>
      </c>
      <c r="R321" s="19" t="str">
        <f aca="false">IF(OR($A321="",INDEX(_LEITURA!$Q$2:$Q$21,8)=0),"",SUMIFS(DECKS!$D$2:$D$1201,DECKS!$A$2:$A$1201,INDEX(_LEITURA!$P$2:$P$21,8),DECKS!$B$2:$B$1201,$A321))</f>
        <v/>
      </c>
      <c r="S321" s="19" t="str">
        <f aca="false">IF(OR($A321="",INDEX(_LEITURA!$Q$2:$Q$21,9)=0),"",SUMIFS(DECKS!$D$2:$D$1201,DECKS!$A$2:$A$1201,INDEX(_LEITURA!$P$2:$P$21,9),DECKS!$B$2:$B$1201,$A321))</f>
        <v/>
      </c>
      <c r="T321" s="19" t="str">
        <f aca="false">IF(OR($A321="",INDEX(_LEITURA!$Q$2:$Q$21,10)=0),"",SUMIFS(DECKS!$D$2:$D$1201,DECKS!$A$2:$A$1201,INDEX(_LEITURA!$P$2:$P$21,10),DECKS!$B$2:$B$1201,$A321))</f>
        <v/>
      </c>
      <c r="U321" s="19" t="str">
        <f aca="false">IF(OR($A321="",INDEX(_LEITURA!$Q$2:$Q$21,11)=0),"",SUMIFS(DECKS!$D$2:$D$1201,DECKS!$A$2:$A$1201,INDEX(_LEITURA!$P$2:$P$21,11),DECKS!$B$2:$B$1201,$A321))</f>
        <v/>
      </c>
      <c r="V321" s="19" t="str">
        <f aca="false">IF(OR($A321="",INDEX(_LEITURA!$Q$2:$Q$21,12)=0),"",SUMIFS(DECKS!$D$2:$D$1201,DECKS!$A$2:$A$1201,INDEX(_LEITURA!$P$2:$P$21,12),DECKS!$B$2:$B$1201,$A321))</f>
        <v/>
      </c>
      <c r="W321" s="19" t="str">
        <f aca="false">IF(OR($A321="",INDEX(_LEITURA!$Q$2:$Q$21,13)=0),"",SUMIFS(DECKS!$D$2:$D$1201,DECKS!$A$2:$A$1201,INDEX(_LEITURA!$P$2:$P$21,13),DECKS!$B$2:$B$1201,$A321))</f>
        <v/>
      </c>
      <c r="X321" s="19" t="str">
        <f aca="false">IF(OR($A321="",INDEX(_LEITURA!$Q$2:$Q$21,14)=0),"",SUMIFS(DECKS!$D$2:$D$1201,DECKS!$A$2:$A$1201,INDEX(_LEITURA!$P$2:$P$21,14),DECKS!$B$2:$B$1201,$A321))</f>
        <v/>
      </c>
      <c r="Y321" s="19" t="str">
        <f aca="false">IF(OR($A321="",INDEX(_LEITURA!$Q$2:$Q$21,15)=0),"",SUMIFS(DECKS!$D$2:$D$1201,DECKS!$A$2:$A$1201,INDEX(_LEITURA!$P$2:$P$21,15),DECKS!$B$2:$B$1201,$A321))</f>
        <v/>
      </c>
      <c r="Z321" s="19" t="str">
        <f aca="false">IF(OR($A321="",INDEX(_LEITURA!$Q$2:$Q$21,16)=0),"",SUMIFS(DECKS!$D$2:$D$1201,DECKS!$A$2:$A$1201,INDEX(_LEITURA!$P$2:$P$21,16),DECKS!$B$2:$B$1201,$A321))</f>
        <v/>
      </c>
      <c r="AA321" s="19" t="str">
        <f aca="false">IF(OR($A321="",INDEX(_LEITURA!$Q$2:$Q$21,17)=0),"",SUMIFS(DECKS!$D$2:$D$1201,DECKS!$A$2:$A$1201,INDEX(_LEITURA!$P$2:$P$21,17),DECKS!$B$2:$B$1201,$A321))</f>
        <v/>
      </c>
      <c r="AB321" s="19" t="str">
        <f aca="false">IF(OR($A321="",INDEX(_LEITURA!$Q$2:$Q$21,18)=0),"",SUMIFS(DECKS!$D$2:$D$1201,DECKS!$A$2:$A$1201,INDEX(_LEITURA!$P$2:$P$21,18),DECKS!$B$2:$B$1201,$A321))</f>
        <v/>
      </c>
      <c r="AC321" s="19" t="str">
        <f aca="false">IF(OR($A321="",INDEX(_LEITURA!$Q$2:$Q$21,19)=0),"",SUMIFS(DECKS!$D$2:$D$1201,DECKS!$A$2:$A$1201,INDEX(_LEITURA!$P$2:$P$21,19),DECKS!$B$2:$B$1201,$A321))</f>
        <v/>
      </c>
      <c r="AD321" s="19" t="str">
        <f aca="false">IF(OR($A321="",INDEX(_LEITURA!$Q$2:$Q$21,20)=0),"",SUMIFS(DECKS!$D$2:$D$1201,DECKS!$A$2:$A$1201,INDEX(_LEITURA!$P$2:$P$21,20),DECKS!$B$2:$B$1201,$A321))</f>
        <v/>
      </c>
      <c r="AE321" s="16" t="str">
        <f aca="false">IF(N(E321)&gt;0,MAX(AE$1:AE320)+1,"")</f>
        <v/>
      </c>
      <c r="AF321" s="11" t="str">
        <f aca="false">IF(A321="","",IFERROR(LEFT(A321,FIND("-",A321)-1),A321))</f>
        <v/>
      </c>
      <c r="AG321" s="11" t="str">
        <f aca="false">IF(AF321="","",IF(ISNUMBER(--MID(AF321,1,1)),0,IF(ISNUMBER(--MID(AF321,2,1)),1,IF(ISNUMBER(--MID(AF321,3,1)),2,IF(ISNUMBER(--MID(AF321,4,1)),3,MIN(LEN(AF321),4))))))</f>
        <v/>
      </c>
      <c r="AH321" s="11" t="str">
        <f aca="false">IF(A321="","",LEFT(AF321,AG321)&amp;REPT("0",4-AG321)&amp;RIGHT("000"&amp;IFERROR(VALUE(MID(AF321,AG321+1,9)),0),3)&amp;RIGHT("0000"&amp;IFERROR(VALUE(MID(A321,FIND("-",A321)+1,9)),0),4))</f>
        <v/>
      </c>
      <c r="AI321" s="11" t="str">
        <f aca="false">IF(OR(A321="",N(E321)&lt;=0),"",IF('FALTAS GERAL'!$M$1="Código","K"&amp;AH321&amp;RIGHT("00000"&amp;ROW(),5),IF('FALTAS GERAL'!$M$1="Nome","K"&amp;UPPER(SUBSTITUTE(SUBSTITUTE(SUBSTITUTE(B321,"*",""),"?",""),"~",""))&amp;"0"&amp;AH321&amp;RIGHT("00000"&amp;ROW(),5),IF('FALTAS GERAL'!$M$1="Falta (maior primeiro)","K"&amp;RIGHT("0000"&amp;(9999-E321),4)&amp;AH321&amp;RIGHT("00000"&amp;ROW(),5),IF('FALTAS GERAL'!$M$1="Nº de decks (maior primeiro)","K"&amp;RIGHT("00"&amp;(99-N(G321)),2)&amp;AH321&amp;RIGHT("00000"&amp;ROW(),5),"K"&amp;RIGHT("00000"&amp;ROW(),5))))))</f>
        <v/>
      </c>
      <c r="AJ321" s="11" t="str">
        <f aca="false">IF(AI321="","",COUNTIFS($AI$2:$AI$801,"&lt;"&amp;AI321,$E$2:$E$801,"&gt;0")+1)</f>
        <v/>
      </c>
      <c r="AK321" s="11" t="str">
        <f aca="false">IF(OR(A321="",N(E321)&lt;=0),"",COUNTIFS($AH$2:$AH$801,"&lt;"&amp;AH321,$E$2:$E$801,"&gt;0")+COUNTIFS($AH$2:AH321,AH321,$E$2:E321,"&gt;0"))</f>
        <v/>
      </c>
    </row>
    <row r="322" customFormat="false" ht="15" hidden="false" customHeight="false" outlineLevel="0" collapsed="false">
      <c r="A322" s="11" t="str">
        <f aca="false">IF(INVENTÁRIO!A322="","",INVENTÁRIO!A322)</f>
        <v/>
      </c>
      <c r="B322" s="11" t="str">
        <f aca="false">IF(A322="","",INVENTÁRIO!B322)</f>
        <v/>
      </c>
      <c r="C322" s="16" t="str">
        <f aca="false">IF(A322="","",INVENTÁRIO!C322)</f>
        <v/>
      </c>
      <c r="D322" s="14" t="str">
        <f aca="false">IF(A322="","",MAX(K322:AD322))</f>
        <v/>
      </c>
      <c r="E322" s="14" t="str">
        <f aca="false">IF(A322="","",MAX(0,D322-C322))</f>
        <v/>
      </c>
      <c r="F322" s="16" t="str">
        <f aca="false">IF(A322="","",IF(D322=0,"Fora dos decks",IF(E322=0,"Completo","Falta")))</f>
        <v/>
      </c>
      <c r="G322" s="16" t="str">
        <f aca="false">IF(A322="","",COUNTIF(K322:AD322,"&gt;0"))</f>
        <v/>
      </c>
      <c r="H322" s="16" t="str">
        <f aca="false">IF(A322="","",IF(G322&gt;1,"Sim",""))</f>
        <v/>
      </c>
      <c r="I322" s="18" t="str">
        <f aca="false">IF(A322="","",SUMIFS(DECKS!$D$2:$D$1201,DECKS!$B$2:$B$1201,A322))</f>
        <v/>
      </c>
      <c r="J322" s="18" t="str">
        <f aca="false">IF(A322="","",MAX(0,I322-C322))</f>
        <v/>
      </c>
      <c r="K322" s="19" t="str">
        <f aca="false">IF(OR($A322="",INDEX(_LEITURA!$Q$2:$Q$21,1)=0),"",SUMIFS(DECKS!$D$2:$D$1201,DECKS!$A$2:$A$1201,INDEX(_LEITURA!$P$2:$P$21,1),DECKS!$B$2:$B$1201,$A322))</f>
        <v/>
      </c>
      <c r="L322" s="19" t="str">
        <f aca="false">IF(OR($A322="",INDEX(_LEITURA!$Q$2:$Q$21,2)=0),"",SUMIFS(DECKS!$D$2:$D$1201,DECKS!$A$2:$A$1201,INDEX(_LEITURA!$P$2:$P$21,2),DECKS!$B$2:$B$1201,$A322))</f>
        <v/>
      </c>
      <c r="M322" s="19" t="str">
        <f aca="false">IF(OR($A322="",INDEX(_LEITURA!$Q$2:$Q$21,3)=0),"",SUMIFS(DECKS!$D$2:$D$1201,DECKS!$A$2:$A$1201,INDEX(_LEITURA!$P$2:$P$21,3),DECKS!$B$2:$B$1201,$A322))</f>
        <v/>
      </c>
      <c r="N322" s="19" t="str">
        <f aca="false">IF(OR($A322="",INDEX(_LEITURA!$Q$2:$Q$21,4)=0),"",SUMIFS(DECKS!$D$2:$D$1201,DECKS!$A$2:$A$1201,INDEX(_LEITURA!$P$2:$P$21,4),DECKS!$B$2:$B$1201,$A322))</f>
        <v/>
      </c>
      <c r="O322" s="19" t="str">
        <f aca="false">IF(OR($A322="",INDEX(_LEITURA!$Q$2:$Q$21,5)=0),"",SUMIFS(DECKS!$D$2:$D$1201,DECKS!$A$2:$A$1201,INDEX(_LEITURA!$P$2:$P$21,5),DECKS!$B$2:$B$1201,$A322))</f>
        <v/>
      </c>
      <c r="P322" s="19" t="str">
        <f aca="false">IF(OR($A322="",INDEX(_LEITURA!$Q$2:$Q$21,6)=0),"",SUMIFS(DECKS!$D$2:$D$1201,DECKS!$A$2:$A$1201,INDEX(_LEITURA!$P$2:$P$21,6),DECKS!$B$2:$B$1201,$A322))</f>
        <v/>
      </c>
      <c r="Q322" s="19" t="str">
        <f aca="false">IF(OR($A322="",INDEX(_LEITURA!$Q$2:$Q$21,7)=0),"",SUMIFS(DECKS!$D$2:$D$1201,DECKS!$A$2:$A$1201,INDEX(_LEITURA!$P$2:$P$21,7),DECKS!$B$2:$B$1201,$A322))</f>
        <v/>
      </c>
      <c r="R322" s="19" t="str">
        <f aca="false">IF(OR($A322="",INDEX(_LEITURA!$Q$2:$Q$21,8)=0),"",SUMIFS(DECKS!$D$2:$D$1201,DECKS!$A$2:$A$1201,INDEX(_LEITURA!$P$2:$P$21,8),DECKS!$B$2:$B$1201,$A322))</f>
        <v/>
      </c>
      <c r="S322" s="19" t="str">
        <f aca="false">IF(OR($A322="",INDEX(_LEITURA!$Q$2:$Q$21,9)=0),"",SUMIFS(DECKS!$D$2:$D$1201,DECKS!$A$2:$A$1201,INDEX(_LEITURA!$P$2:$P$21,9),DECKS!$B$2:$B$1201,$A322))</f>
        <v/>
      </c>
      <c r="T322" s="19" t="str">
        <f aca="false">IF(OR($A322="",INDEX(_LEITURA!$Q$2:$Q$21,10)=0),"",SUMIFS(DECKS!$D$2:$D$1201,DECKS!$A$2:$A$1201,INDEX(_LEITURA!$P$2:$P$21,10),DECKS!$B$2:$B$1201,$A322))</f>
        <v/>
      </c>
      <c r="U322" s="19" t="str">
        <f aca="false">IF(OR($A322="",INDEX(_LEITURA!$Q$2:$Q$21,11)=0),"",SUMIFS(DECKS!$D$2:$D$1201,DECKS!$A$2:$A$1201,INDEX(_LEITURA!$P$2:$P$21,11),DECKS!$B$2:$B$1201,$A322))</f>
        <v/>
      </c>
      <c r="V322" s="19" t="str">
        <f aca="false">IF(OR($A322="",INDEX(_LEITURA!$Q$2:$Q$21,12)=0),"",SUMIFS(DECKS!$D$2:$D$1201,DECKS!$A$2:$A$1201,INDEX(_LEITURA!$P$2:$P$21,12),DECKS!$B$2:$B$1201,$A322))</f>
        <v/>
      </c>
      <c r="W322" s="19" t="str">
        <f aca="false">IF(OR($A322="",INDEX(_LEITURA!$Q$2:$Q$21,13)=0),"",SUMIFS(DECKS!$D$2:$D$1201,DECKS!$A$2:$A$1201,INDEX(_LEITURA!$P$2:$P$21,13),DECKS!$B$2:$B$1201,$A322))</f>
        <v/>
      </c>
      <c r="X322" s="19" t="str">
        <f aca="false">IF(OR($A322="",INDEX(_LEITURA!$Q$2:$Q$21,14)=0),"",SUMIFS(DECKS!$D$2:$D$1201,DECKS!$A$2:$A$1201,INDEX(_LEITURA!$P$2:$P$21,14),DECKS!$B$2:$B$1201,$A322))</f>
        <v/>
      </c>
      <c r="Y322" s="19" t="str">
        <f aca="false">IF(OR($A322="",INDEX(_LEITURA!$Q$2:$Q$21,15)=0),"",SUMIFS(DECKS!$D$2:$D$1201,DECKS!$A$2:$A$1201,INDEX(_LEITURA!$P$2:$P$21,15),DECKS!$B$2:$B$1201,$A322))</f>
        <v/>
      </c>
      <c r="Z322" s="19" t="str">
        <f aca="false">IF(OR($A322="",INDEX(_LEITURA!$Q$2:$Q$21,16)=0),"",SUMIFS(DECKS!$D$2:$D$1201,DECKS!$A$2:$A$1201,INDEX(_LEITURA!$P$2:$P$21,16),DECKS!$B$2:$B$1201,$A322))</f>
        <v/>
      </c>
      <c r="AA322" s="19" t="str">
        <f aca="false">IF(OR($A322="",INDEX(_LEITURA!$Q$2:$Q$21,17)=0),"",SUMIFS(DECKS!$D$2:$D$1201,DECKS!$A$2:$A$1201,INDEX(_LEITURA!$P$2:$P$21,17),DECKS!$B$2:$B$1201,$A322))</f>
        <v/>
      </c>
      <c r="AB322" s="19" t="str">
        <f aca="false">IF(OR($A322="",INDEX(_LEITURA!$Q$2:$Q$21,18)=0),"",SUMIFS(DECKS!$D$2:$D$1201,DECKS!$A$2:$A$1201,INDEX(_LEITURA!$P$2:$P$21,18),DECKS!$B$2:$B$1201,$A322))</f>
        <v/>
      </c>
      <c r="AC322" s="19" t="str">
        <f aca="false">IF(OR($A322="",INDEX(_LEITURA!$Q$2:$Q$21,19)=0),"",SUMIFS(DECKS!$D$2:$D$1201,DECKS!$A$2:$A$1201,INDEX(_LEITURA!$P$2:$P$21,19),DECKS!$B$2:$B$1201,$A322))</f>
        <v/>
      </c>
      <c r="AD322" s="19" t="str">
        <f aca="false">IF(OR($A322="",INDEX(_LEITURA!$Q$2:$Q$21,20)=0),"",SUMIFS(DECKS!$D$2:$D$1201,DECKS!$A$2:$A$1201,INDEX(_LEITURA!$P$2:$P$21,20),DECKS!$B$2:$B$1201,$A322))</f>
        <v/>
      </c>
      <c r="AE322" s="16" t="str">
        <f aca="false">IF(N(E322)&gt;0,MAX(AE$1:AE321)+1,"")</f>
        <v/>
      </c>
      <c r="AF322" s="11" t="str">
        <f aca="false">IF(A322="","",IFERROR(LEFT(A322,FIND("-",A322)-1),A322))</f>
        <v/>
      </c>
      <c r="AG322" s="11" t="str">
        <f aca="false">IF(AF322="","",IF(ISNUMBER(--MID(AF322,1,1)),0,IF(ISNUMBER(--MID(AF322,2,1)),1,IF(ISNUMBER(--MID(AF322,3,1)),2,IF(ISNUMBER(--MID(AF322,4,1)),3,MIN(LEN(AF322),4))))))</f>
        <v/>
      </c>
      <c r="AH322" s="11" t="str">
        <f aca="false">IF(A322="","",LEFT(AF322,AG322)&amp;REPT("0",4-AG322)&amp;RIGHT("000"&amp;IFERROR(VALUE(MID(AF322,AG322+1,9)),0),3)&amp;RIGHT("0000"&amp;IFERROR(VALUE(MID(A322,FIND("-",A322)+1,9)),0),4))</f>
        <v/>
      </c>
      <c r="AI322" s="11" t="str">
        <f aca="false">IF(OR(A322="",N(E322)&lt;=0),"",IF('FALTAS GERAL'!$M$1="Código","K"&amp;AH322&amp;RIGHT("00000"&amp;ROW(),5),IF('FALTAS GERAL'!$M$1="Nome","K"&amp;UPPER(SUBSTITUTE(SUBSTITUTE(SUBSTITUTE(B322,"*",""),"?",""),"~",""))&amp;"0"&amp;AH322&amp;RIGHT("00000"&amp;ROW(),5),IF('FALTAS GERAL'!$M$1="Falta (maior primeiro)","K"&amp;RIGHT("0000"&amp;(9999-E322),4)&amp;AH322&amp;RIGHT("00000"&amp;ROW(),5),IF('FALTAS GERAL'!$M$1="Nº de decks (maior primeiro)","K"&amp;RIGHT("00"&amp;(99-N(G322)),2)&amp;AH322&amp;RIGHT("00000"&amp;ROW(),5),"K"&amp;RIGHT("00000"&amp;ROW(),5))))))</f>
        <v/>
      </c>
      <c r="AJ322" s="11" t="str">
        <f aca="false">IF(AI322="","",COUNTIFS($AI$2:$AI$801,"&lt;"&amp;AI322,$E$2:$E$801,"&gt;0")+1)</f>
        <v/>
      </c>
      <c r="AK322" s="11" t="str">
        <f aca="false">IF(OR(A322="",N(E322)&lt;=0),"",COUNTIFS($AH$2:$AH$801,"&lt;"&amp;AH322,$E$2:$E$801,"&gt;0")+COUNTIFS($AH$2:AH322,AH322,$E$2:E322,"&gt;0"))</f>
        <v/>
      </c>
    </row>
    <row r="323" customFormat="false" ht="15" hidden="false" customHeight="false" outlineLevel="0" collapsed="false">
      <c r="A323" s="11" t="str">
        <f aca="false">IF(INVENTÁRIO!A323="","",INVENTÁRIO!A323)</f>
        <v/>
      </c>
      <c r="B323" s="11" t="str">
        <f aca="false">IF(A323="","",INVENTÁRIO!B323)</f>
        <v/>
      </c>
      <c r="C323" s="16" t="str">
        <f aca="false">IF(A323="","",INVENTÁRIO!C323)</f>
        <v/>
      </c>
      <c r="D323" s="14" t="str">
        <f aca="false">IF(A323="","",MAX(K323:AD323))</f>
        <v/>
      </c>
      <c r="E323" s="14" t="str">
        <f aca="false">IF(A323="","",MAX(0,D323-C323))</f>
        <v/>
      </c>
      <c r="F323" s="16" t="str">
        <f aca="false">IF(A323="","",IF(D323=0,"Fora dos decks",IF(E323=0,"Completo","Falta")))</f>
        <v/>
      </c>
      <c r="G323" s="16" t="str">
        <f aca="false">IF(A323="","",COUNTIF(K323:AD323,"&gt;0"))</f>
        <v/>
      </c>
      <c r="H323" s="16" t="str">
        <f aca="false">IF(A323="","",IF(G323&gt;1,"Sim",""))</f>
        <v/>
      </c>
      <c r="I323" s="18" t="str">
        <f aca="false">IF(A323="","",SUMIFS(DECKS!$D$2:$D$1201,DECKS!$B$2:$B$1201,A323))</f>
        <v/>
      </c>
      <c r="J323" s="18" t="str">
        <f aca="false">IF(A323="","",MAX(0,I323-C323))</f>
        <v/>
      </c>
      <c r="K323" s="19" t="str">
        <f aca="false">IF(OR($A323="",INDEX(_LEITURA!$Q$2:$Q$21,1)=0),"",SUMIFS(DECKS!$D$2:$D$1201,DECKS!$A$2:$A$1201,INDEX(_LEITURA!$P$2:$P$21,1),DECKS!$B$2:$B$1201,$A323))</f>
        <v/>
      </c>
      <c r="L323" s="19" t="str">
        <f aca="false">IF(OR($A323="",INDEX(_LEITURA!$Q$2:$Q$21,2)=0),"",SUMIFS(DECKS!$D$2:$D$1201,DECKS!$A$2:$A$1201,INDEX(_LEITURA!$P$2:$P$21,2),DECKS!$B$2:$B$1201,$A323))</f>
        <v/>
      </c>
      <c r="M323" s="19" t="str">
        <f aca="false">IF(OR($A323="",INDEX(_LEITURA!$Q$2:$Q$21,3)=0),"",SUMIFS(DECKS!$D$2:$D$1201,DECKS!$A$2:$A$1201,INDEX(_LEITURA!$P$2:$P$21,3),DECKS!$B$2:$B$1201,$A323))</f>
        <v/>
      </c>
      <c r="N323" s="19" t="str">
        <f aca="false">IF(OR($A323="",INDEX(_LEITURA!$Q$2:$Q$21,4)=0),"",SUMIFS(DECKS!$D$2:$D$1201,DECKS!$A$2:$A$1201,INDEX(_LEITURA!$P$2:$P$21,4),DECKS!$B$2:$B$1201,$A323))</f>
        <v/>
      </c>
      <c r="O323" s="19" t="str">
        <f aca="false">IF(OR($A323="",INDEX(_LEITURA!$Q$2:$Q$21,5)=0),"",SUMIFS(DECKS!$D$2:$D$1201,DECKS!$A$2:$A$1201,INDEX(_LEITURA!$P$2:$P$21,5),DECKS!$B$2:$B$1201,$A323))</f>
        <v/>
      </c>
      <c r="P323" s="19" t="str">
        <f aca="false">IF(OR($A323="",INDEX(_LEITURA!$Q$2:$Q$21,6)=0),"",SUMIFS(DECKS!$D$2:$D$1201,DECKS!$A$2:$A$1201,INDEX(_LEITURA!$P$2:$P$21,6),DECKS!$B$2:$B$1201,$A323))</f>
        <v/>
      </c>
      <c r="Q323" s="19" t="str">
        <f aca="false">IF(OR($A323="",INDEX(_LEITURA!$Q$2:$Q$21,7)=0),"",SUMIFS(DECKS!$D$2:$D$1201,DECKS!$A$2:$A$1201,INDEX(_LEITURA!$P$2:$P$21,7),DECKS!$B$2:$B$1201,$A323))</f>
        <v/>
      </c>
      <c r="R323" s="19" t="str">
        <f aca="false">IF(OR($A323="",INDEX(_LEITURA!$Q$2:$Q$21,8)=0),"",SUMIFS(DECKS!$D$2:$D$1201,DECKS!$A$2:$A$1201,INDEX(_LEITURA!$P$2:$P$21,8),DECKS!$B$2:$B$1201,$A323))</f>
        <v/>
      </c>
      <c r="S323" s="19" t="str">
        <f aca="false">IF(OR($A323="",INDEX(_LEITURA!$Q$2:$Q$21,9)=0),"",SUMIFS(DECKS!$D$2:$D$1201,DECKS!$A$2:$A$1201,INDEX(_LEITURA!$P$2:$P$21,9),DECKS!$B$2:$B$1201,$A323))</f>
        <v/>
      </c>
      <c r="T323" s="19" t="str">
        <f aca="false">IF(OR($A323="",INDEX(_LEITURA!$Q$2:$Q$21,10)=0),"",SUMIFS(DECKS!$D$2:$D$1201,DECKS!$A$2:$A$1201,INDEX(_LEITURA!$P$2:$P$21,10),DECKS!$B$2:$B$1201,$A323))</f>
        <v/>
      </c>
      <c r="U323" s="19" t="str">
        <f aca="false">IF(OR($A323="",INDEX(_LEITURA!$Q$2:$Q$21,11)=0),"",SUMIFS(DECKS!$D$2:$D$1201,DECKS!$A$2:$A$1201,INDEX(_LEITURA!$P$2:$P$21,11),DECKS!$B$2:$B$1201,$A323))</f>
        <v/>
      </c>
      <c r="V323" s="19" t="str">
        <f aca="false">IF(OR($A323="",INDEX(_LEITURA!$Q$2:$Q$21,12)=0),"",SUMIFS(DECKS!$D$2:$D$1201,DECKS!$A$2:$A$1201,INDEX(_LEITURA!$P$2:$P$21,12),DECKS!$B$2:$B$1201,$A323))</f>
        <v/>
      </c>
      <c r="W323" s="19" t="str">
        <f aca="false">IF(OR($A323="",INDEX(_LEITURA!$Q$2:$Q$21,13)=0),"",SUMIFS(DECKS!$D$2:$D$1201,DECKS!$A$2:$A$1201,INDEX(_LEITURA!$P$2:$P$21,13),DECKS!$B$2:$B$1201,$A323))</f>
        <v/>
      </c>
      <c r="X323" s="19" t="str">
        <f aca="false">IF(OR($A323="",INDEX(_LEITURA!$Q$2:$Q$21,14)=0),"",SUMIFS(DECKS!$D$2:$D$1201,DECKS!$A$2:$A$1201,INDEX(_LEITURA!$P$2:$P$21,14),DECKS!$B$2:$B$1201,$A323))</f>
        <v/>
      </c>
      <c r="Y323" s="19" t="str">
        <f aca="false">IF(OR($A323="",INDEX(_LEITURA!$Q$2:$Q$21,15)=0),"",SUMIFS(DECKS!$D$2:$D$1201,DECKS!$A$2:$A$1201,INDEX(_LEITURA!$P$2:$P$21,15),DECKS!$B$2:$B$1201,$A323))</f>
        <v/>
      </c>
      <c r="Z323" s="19" t="str">
        <f aca="false">IF(OR($A323="",INDEX(_LEITURA!$Q$2:$Q$21,16)=0),"",SUMIFS(DECKS!$D$2:$D$1201,DECKS!$A$2:$A$1201,INDEX(_LEITURA!$P$2:$P$21,16),DECKS!$B$2:$B$1201,$A323))</f>
        <v/>
      </c>
      <c r="AA323" s="19" t="str">
        <f aca="false">IF(OR($A323="",INDEX(_LEITURA!$Q$2:$Q$21,17)=0),"",SUMIFS(DECKS!$D$2:$D$1201,DECKS!$A$2:$A$1201,INDEX(_LEITURA!$P$2:$P$21,17),DECKS!$B$2:$B$1201,$A323))</f>
        <v/>
      </c>
      <c r="AB323" s="19" t="str">
        <f aca="false">IF(OR($A323="",INDEX(_LEITURA!$Q$2:$Q$21,18)=0),"",SUMIFS(DECKS!$D$2:$D$1201,DECKS!$A$2:$A$1201,INDEX(_LEITURA!$P$2:$P$21,18),DECKS!$B$2:$B$1201,$A323))</f>
        <v/>
      </c>
      <c r="AC323" s="19" t="str">
        <f aca="false">IF(OR($A323="",INDEX(_LEITURA!$Q$2:$Q$21,19)=0),"",SUMIFS(DECKS!$D$2:$D$1201,DECKS!$A$2:$A$1201,INDEX(_LEITURA!$P$2:$P$21,19),DECKS!$B$2:$B$1201,$A323))</f>
        <v/>
      </c>
      <c r="AD323" s="19" t="str">
        <f aca="false">IF(OR($A323="",INDEX(_LEITURA!$Q$2:$Q$21,20)=0),"",SUMIFS(DECKS!$D$2:$D$1201,DECKS!$A$2:$A$1201,INDEX(_LEITURA!$P$2:$P$21,20),DECKS!$B$2:$B$1201,$A323))</f>
        <v/>
      </c>
      <c r="AE323" s="16" t="str">
        <f aca="false">IF(N(E323)&gt;0,MAX(AE$1:AE322)+1,"")</f>
        <v/>
      </c>
      <c r="AF323" s="11" t="str">
        <f aca="false">IF(A323="","",IFERROR(LEFT(A323,FIND("-",A323)-1),A323))</f>
        <v/>
      </c>
      <c r="AG323" s="11" t="str">
        <f aca="false">IF(AF323="","",IF(ISNUMBER(--MID(AF323,1,1)),0,IF(ISNUMBER(--MID(AF323,2,1)),1,IF(ISNUMBER(--MID(AF323,3,1)),2,IF(ISNUMBER(--MID(AF323,4,1)),3,MIN(LEN(AF323),4))))))</f>
        <v/>
      </c>
      <c r="AH323" s="11" t="str">
        <f aca="false">IF(A323="","",LEFT(AF323,AG323)&amp;REPT("0",4-AG323)&amp;RIGHT("000"&amp;IFERROR(VALUE(MID(AF323,AG323+1,9)),0),3)&amp;RIGHT("0000"&amp;IFERROR(VALUE(MID(A323,FIND("-",A323)+1,9)),0),4))</f>
        <v/>
      </c>
      <c r="AI323" s="11" t="str">
        <f aca="false">IF(OR(A323="",N(E323)&lt;=0),"",IF('FALTAS GERAL'!$M$1="Código","K"&amp;AH323&amp;RIGHT("00000"&amp;ROW(),5),IF('FALTAS GERAL'!$M$1="Nome","K"&amp;UPPER(SUBSTITUTE(SUBSTITUTE(SUBSTITUTE(B323,"*",""),"?",""),"~",""))&amp;"0"&amp;AH323&amp;RIGHT("00000"&amp;ROW(),5),IF('FALTAS GERAL'!$M$1="Falta (maior primeiro)","K"&amp;RIGHT("0000"&amp;(9999-E323),4)&amp;AH323&amp;RIGHT("00000"&amp;ROW(),5),IF('FALTAS GERAL'!$M$1="Nº de decks (maior primeiro)","K"&amp;RIGHT("00"&amp;(99-N(G323)),2)&amp;AH323&amp;RIGHT("00000"&amp;ROW(),5),"K"&amp;RIGHT("00000"&amp;ROW(),5))))))</f>
        <v/>
      </c>
      <c r="AJ323" s="11" t="str">
        <f aca="false">IF(AI323="","",COUNTIFS($AI$2:$AI$801,"&lt;"&amp;AI323,$E$2:$E$801,"&gt;0")+1)</f>
        <v/>
      </c>
      <c r="AK323" s="11" t="str">
        <f aca="false">IF(OR(A323="",N(E323)&lt;=0),"",COUNTIFS($AH$2:$AH$801,"&lt;"&amp;AH323,$E$2:$E$801,"&gt;0")+COUNTIFS($AH$2:AH323,AH323,$E$2:E323,"&gt;0"))</f>
        <v/>
      </c>
    </row>
    <row r="324" customFormat="false" ht="15" hidden="false" customHeight="false" outlineLevel="0" collapsed="false">
      <c r="A324" s="11" t="str">
        <f aca="false">IF(INVENTÁRIO!A324="","",INVENTÁRIO!A324)</f>
        <v/>
      </c>
      <c r="B324" s="11" t="str">
        <f aca="false">IF(A324="","",INVENTÁRIO!B324)</f>
        <v/>
      </c>
      <c r="C324" s="16" t="str">
        <f aca="false">IF(A324="","",INVENTÁRIO!C324)</f>
        <v/>
      </c>
      <c r="D324" s="14" t="str">
        <f aca="false">IF(A324="","",MAX(K324:AD324))</f>
        <v/>
      </c>
      <c r="E324" s="14" t="str">
        <f aca="false">IF(A324="","",MAX(0,D324-C324))</f>
        <v/>
      </c>
      <c r="F324" s="16" t="str">
        <f aca="false">IF(A324="","",IF(D324=0,"Fora dos decks",IF(E324=0,"Completo","Falta")))</f>
        <v/>
      </c>
      <c r="G324" s="16" t="str">
        <f aca="false">IF(A324="","",COUNTIF(K324:AD324,"&gt;0"))</f>
        <v/>
      </c>
      <c r="H324" s="16" t="str">
        <f aca="false">IF(A324="","",IF(G324&gt;1,"Sim",""))</f>
        <v/>
      </c>
      <c r="I324" s="18" t="str">
        <f aca="false">IF(A324="","",SUMIFS(DECKS!$D$2:$D$1201,DECKS!$B$2:$B$1201,A324))</f>
        <v/>
      </c>
      <c r="J324" s="18" t="str">
        <f aca="false">IF(A324="","",MAX(0,I324-C324))</f>
        <v/>
      </c>
      <c r="K324" s="19" t="str">
        <f aca="false">IF(OR($A324="",INDEX(_LEITURA!$Q$2:$Q$21,1)=0),"",SUMIFS(DECKS!$D$2:$D$1201,DECKS!$A$2:$A$1201,INDEX(_LEITURA!$P$2:$P$21,1),DECKS!$B$2:$B$1201,$A324))</f>
        <v/>
      </c>
      <c r="L324" s="19" t="str">
        <f aca="false">IF(OR($A324="",INDEX(_LEITURA!$Q$2:$Q$21,2)=0),"",SUMIFS(DECKS!$D$2:$D$1201,DECKS!$A$2:$A$1201,INDEX(_LEITURA!$P$2:$P$21,2),DECKS!$B$2:$B$1201,$A324))</f>
        <v/>
      </c>
      <c r="M324" s="19" t="str">
        <f aca="false">IF(OR($A324="",INDEX(_LEITURA!$Q$2:$Q$21,3)=0),"",SUMIFS(DECKS!$D$2:$D$1201,DECKS!$A$2:$A$1201,INDEX(_LEITURA!$P$2:$P$21,3),DECKS!$B$2:$B$1201,$A324))</f>
        <v/>
      </c>
      <c r="N324" s="19" t="str">
        <f aca="false">IF(OR($A324="",INDEX(_LEITURA!$Q$2:$Q$21,4)=0),"",SUMIFS(DECKS!$D$2:$D$1201,DECKS!$A$2:$A$1201,INDEX(_LEITURA!$P$2:$P$21,4),DECKS!$B$2:$B$1201,$A324))</f>
        <v/>
      </c>
      <c r="O324" s="19" t="str">
        <f aca="false">IF(OR($A324="",INDEX(_LEITURA!$Q$2:$Q$21,5)=0),"",SUMIFS(DECKS!$D$2:$D$1201,DECKS!$A$2:$A$1201,INDEX(_LEITURA!$P$2:$P$21,5),DECKS!$B$2:$B$1201,$A324))</f>
        <v/>
      </c>
      <c r="P324" s="19" t="str">
        <f aca="false">IF(OR($A324="",INDEX(_LEITURA!$Q$2:$Q$21,6)=0),"",SUMIFS(DECKS!$D$2:$D$1201,DECKS!$A$2:$A$1201,INDEX(_LEITURA!$P$2:$P$21,6),DECKS!$B$2:$B$1201,$A324))</f>
        <v/>
      </c>
      <c r="Q324" s="19" t="str">
        <f aca="false">IF(OR($A324="",INDEX(_LEITURA!$Q$2:$Q$21,7)=0),"",SUMIFS(DECKS!$D$2:$D$1201,DECKS!$A$2:$A$1201,INDEX(_LEITURA!$P$2:$P$21,7),DECKS!$B$2:$B$1201,$A324))</f>
        <v/>
      </c>
      <c r="R324" s="19" t="str">
        <f aca="false">IF(OR($A324="",INDEX(_LEITURA!$Q$2:$Q$21,8)=0),"",SUMIFS(DECKS!$D$2:$D$1201,DECKS!$A$2:$A$1201,INDEX(_LEITURA!$P$2:$P$21,8),DECKS!$B$2:$B$1201,$A324))</f>
        <v/>
      </c>
      <c r="S324" s="19" t="str">
        <f aca="false">IF(OR($A324="",INDEX(_LEITURA!$Q$2:$Q$21,9)=0),"",SUMIFS(DECKS!$D$2:$D$1201,DECKS!$A$2:$A$1201,INDEX(_LEITURA!$P$2:$P$21,9),DECKS!$B$2:$B$1201,$A324))</f>
        <v/>
      </c>
      <c r="T324" s="19" t="str">
        <f aca="false">IF(OR($A324="",INDEX(_LEITURA!$Q$2:$Q$21,10)=0),"",SUMIFS(DECKS!$D$2:$D$1201,DECKS!$A$2:$A$1201,INDEX(_LEITURA!$P$2:$P$21,10),DECKS!$B$2:$B$1201,$A324))</f>
        <v/>
      </c>
      <c r="U324" s="19" t="str">
        <f aca="false">IF(OR($A324="",INDEX(_LEITURA!$Q$2:$Q$21,11)=0),"",SUMIFS(DECKS!$D$2:$D$1201,DECKS!$A$2:$A$1201,INDEX(_LEITURA!$P$2:$P$21,11),DECKS!$B$2:$B$1201,$A324))</f>
        <v/>
      </c>
      <c r="V324" s="19" t="str">
        <f aca="false">IF(OR($A324="",INDEX(_LEITURA!$Q$2:$Q$21,12)=0),"",SUMIFS(DECKS!$D$2:$D$1201,DECKS!$A$2:$A$1201,INDEX(_LEITURA!$P$2:$P$21,12),DECKS!$B$2:$B$1201,$A324))</f>
        <v/>
      </c>
      <c r="W324" s="19" t="str">
        <f aca="false">IF(OR($A324="",INDEX(_LEITURA!$Q$2:$Q$21,13)=0),"",SUMIFS(DECKS!$D$2:$D$1201,DECKS!$A$2:$A$1201,INDEX(_LEITURA!$P$2:$P$21,13),DECKS!$B$2:$B$1201,$A324))</f>
        <v/>
      </c>
      <c r="X324" s="19" t="str">
        <f aca="false">IF(OR($A324="",INDEX(_LEITURA!$Q$2:$Q$21,14)=0),"",SUMIFS(DECKS!$D$2:$D$1201,DECKS!$A$2:$A$1201,INDEX(_LEITURA!$P$2:$P$21,14),DECKS!$B$2:$B$1201,$A324))</f>
        <v/>
      </c>
      <c r="Y324" s="19" t="str">
        <f aca="false">IF(OR($A324="",INDEX(_LEITURA!$Q$2:$Q$21,15)=0),"",SUMIFS(DECKS!$D$2:$D$1201,DECKS!$A$2:$A$1201,INDEX(_LEITURA!$P$2:$P$21,15),DECKS!$B$2:$B$1201,$A324))</f>
        <v/>
      </c>
      <c r="Z324" s="19" t="str">
        <f aca="false">IF(OR($A324="",INDEX(_LEITURA!$Q$2:$Q$21,16)=0),"",SUMIFS(DECKS!$D$2:$D$1201,DECKS!$A$2:$A$1201,INDEX(_LEITURA!$P$2:$P$21,16),DECKS!$B$2:$B$1201,$A324))</f>
        <v/>
      </c>
      <c r="AA324" s="19" t="str">
        <f aca="false">IF(OR($A324="",INDEX(_LEITURA!$Q$2:$Q$21,17)=0),"",SUMIFS(DECKS!$D$2:$D$1201,DECKS!$A$2:$A$1201,INDEX(_LEITURA!$P$2:$P$21,17),DECKS!$B$2:$B$1201,$A324))</f>
        <v/>
      </c>
      <c r="AB324" s="19" t="str">
        <f aca="false">IF(OR($A324="",INDEX(_LEITURA!$Q$2:$Q$21,18)=0),"",SUMIFS(DECKS!$D$2:$D$1201,DECKS!$A$2:$A$1201,INDEX(_LEITURA!$P$2:$P$21,18),DECKS!$B$2:$B$1201,$A324))</f>
        <v/>
      </c>
      <c r="AC324" s="19" t="str">
        <f aca="false">IF(OR($A324="",INDEX(_LEITURA!$Q$2:$Q$21,19)=0),"",SUMIFS(DECKS!$D$2:$D$1201,DECKS!$A$2:$A$1201,INDEX(_LEITURA!$P$2:$P$21,19),DECKS!$B$2:$B$1201,$A324))</f>
        <v/>
      </c>
      <c r="AD324" s="19" t="str">
        <f aca="false">IF(OR($A324="",INDEX(_LEITURA!$Q$2:$Q$21,20)=0),"",SUMIFS(DECKS!$D$2:$D$1201,DECKS!$A$2:$A$1201,INDEX(_LEITURA!$P$2:$P$21,20),DECKS!$B$2:$B$1201,$A324))</f>
        <v/>
      </c>
      <c r="AE324" s="16" t="str">
        <f aca="false">IF(N(E324)&gt;0,MAX(AE$1:AE323)+1,"")</f>
        <v/>
      </c>
      <c r="AF324" s="11" t="str">
        <f aca="false">IF(A324="","",IFERROR(LEFT(A324,FIND("-",A324)-1),A324))</f>
        <v/>
      </c>
      <c r="AG324" s="11" t="str">
        <f aca="false">IF(AF324="","",IF(ISNUMBER(--MID(AF324,1,1)),0,IF(ISNUMBER(--MID(AF324,2,1)),1,IF(ISNUMBER(--MID(AF324,3,1)),2,IF(ISNUMBER(--MID(AF324,4,1)),3,MIN(LEN(AF324),4))))))</f>
        <v/>
      </c>
      <c r="AH324" s="11" t="str">
        <f aca="false">IF(A324="","",LEFT(AF324,AG324)&amp;REPT("0",4-AG324)&amp;RIGHT("000"&amp;IFERROR(VALUE(MID(AF324,AG324+1,9)),0),3)&amp;RIGHT("0000"&amp;IFERROR(VALUE(MID(A324,FIND("-",A324)+1,9)),0),4))</f>
        <v/>
      </c>
      <c r="AI324" s="11" t="str">
        <f aca="false">IF(OR(A324="",N(E324)&lt;=0),"",IF('FALTAS GERAL'!$M$1="Código","K"&amp;AH324&amp;RIGHT("00000"&amp;ROW(),5),IF('FALTAS GERAL'!$M$1="Nome","K"&amp;UPPER(SUBSTITUTE(SUBSTITUTE(SUBSTITUTE(B324,"*",""),"?",""),"~",""))&amp;"0"&amp;AH324&amp;RIGHT("00000"&amp;ROW(),5),IF('FALTAS GERAL'!$M$1="Falta (maior primeiro)","K"&amp;RIGHT("0000"&amp;(9999-E324),4)&amp;AH324&amp;RIGHT("00000"&amp;ROW(),5),IF('FALTAS GERAL'!$M$1="Nº de decks (maior primeiro)","K"&amp;RIGHT("00"&amp;(99-N(G324)),2)&amp;AH324&amp;RIGHT("00000"&amp;ROW(),5),"K"&amp;RIGHT("00000"&amp;ROW(),5))))))</f>
        <v/>
      </c>
      <c r="AJ324" s="11" t="str">
        <f aca="false">IF(AI324="","",COUNTIFS($AI$2:$AI$801,"&lt;"&amp;AI324,$E$2:$E$801,"&gt;0")+1)</f>
        <v/>
      </c>
      <c r="AK324" s="11" t="str">
        <f aca="false">IF(OR(A324="",N(E324)&lt;=0),"",COUNTIFS($AH$2:$AH$801,"&lt;"&amp;AH324,$E$2:$E$801,"&gt;0")+COUNTIFS($AH$2:AH324,AH324,$E$2:E324,"&gt;0"))</f>
        <v/>
      </c>
    </row>
    <row r="325" customFormat="false" ht="15" hidden="false" customHeight="false" outlineLevel="0" collapsed="false">
      <c r="A325" s="11" t="str">
        <f aca="false">IF(INVENTÁRIO!A325="","",INVENTÁRIO!A325)</f>
        <v/>
      </c>
      <c r="B325" s="11" t="str">
        <f aca="false">IF(A325="","",INVENTÁRIO!B325)</f>
        <v/>
      </c>
      <c r="C325" s="16" t="str">
        <f aca="false">IF(A325="","",INVENTÁRIO!C325)</f>
        <v/>
      </c>
      <c r="D325" s="14" t="str">
        <f aca="false">IF(A325="","",MAX(K325:AD325))</f>
        <v/>
      </c>
      <c r="E325" s="14" t="str">
        <f aca="false">IF(A325="","",MAX(0,D325-C325))</f>
        <v/>
      </c>
      <c r="F325" s="16" t="str">
        <f aca="false">IF(A325="","",IF(D325=0,"Fora dos decks",IF(E325=0,"Completo","Falta")))</f>
        <v/>
      </c>
      <c r="G325" s="16" t="str">
        <f aca="false">IF(A325="","",COUNTIF(K325:AD325,"&gt;0"))</f>
        <v/>
      </c>
      <c r="H325" s="16" t="str">
        <f aca="false">IF(A325="","",IF(G325&gt;1,"Sim",""))</f>
        <v/>
      </c>
      <c r="I325" s="18" t="str">
        <f aca="false">IF(A325="","",SUMIFS(DECKS!$D$2:$D$1201,DECKS!$B$2:$B$1201,A325))</f>
        <v/>
      </c>
      <c r="J325" s="18" t="str">
        <f aca="false">IF(A325="","",MAX(0,I325-C325))</f>
        <v/>
      </c>
      <c r="K325" s="19" t="str">
        <f aca="false">IF(OR($A325="",INDEX(_LEITURA!$Q$2:$Q$21,1)=0),"",SUMIFS(DECKS!$D$2:$D$1201,DECKS!$A$2:$A$1201,INDEX(_LEITURA!$P$2:$P$21,1),DECKS!$B$2:$B$1201,$A325))</f>
        <v/>
      </c>
      <c r="L325" s="19" t="str">
        <f aca="false">IF(OR($A325="",INDEX(_LEITURA!$Q$2:$Q$21,2)=0),"",SUMIFS(DECKS!$D$2:$D$1201,DECKS!$A$2:$A$1201,INDEX(_LEITURA!$P$2:$P$21,2),DECKS!$B$2:$B$1201,$A325))</f>
        <v/>
      </c>
      <c r="M325" s="19" t="str">
        <f aca="false">IF(OR($A325="",INDEX(_LEITURA!$Q$2:$Q$21,3)=0),"",SUMIFS(DECKS!$D$2:$D$1201,DECKS!$A$2:$A$1201,INDEX(_LEITURA!$P$2:$P$21,3),DECKS!$B$2:$B$1201,$A325))</f>
        <v/>
      </c>
      <c r="N325" s="19" t="str">
        <f aca="false">IF(OR($A325="",INDEX(_LEITURA!$Q$2:$Q$21,4)=0),"",SUMIFS(DECKS!$D$2:$D$1201,DECKS!$A$2:$A$1201,INDEX(_LEITURA!$P$2:$P$21,4),DECKS!$B$2:$B$1201,$A325))</f>
        <v/>
      </c>
      <c r="O325" s="19" t="str">
        <f aca="false">IF(OR($A325="",INDEX(_LEITURA!$Q$2:$Q$21,5)=0),"",SUMIFS(DECKS!$D$2:$D$1201,DECKS!$A$2:$A$1201,INDEX(_LEITURA!$P$2:$P$21,5),DECKS!$B$2:$B$1201,$A325))</f>
        <v/>
      </c>
      <c r="P325" s="19" t="str">
        <f aca="false">IF(OR($A325="",INDEX(_LEITURA!$Q$2:$Q$21,6)=0),"",SUMIFS(DECKS!$D$2:$D$1201,DECKS!$A$2:$A$1201,INDEX(_LEITURA!$P$2:$P$21,6),DECKS!$B$2:$B$1201,$A325))</f>
        <v/>
      </c>
      <c r="Q325" s="19" t="str">
        <f aca="false">IF(OR($A325="",INDEX(_LEITURA!$Q$2:$Q$21,7)=0),"",SUMIFS(DECKS!$D$2:$D$1201,DECKS!$A$2:$A$1201,INDEX(_LEITURA!$P$2:$P$21,7),DECKS!$B$2:$B$1201,$A325))</f>
        <v/>
      </c>
      <c r="R325" s="19" t="str">
        <f aca="false">IF(OR($A325="",INDEX(_LEITURA!$Q$2:$Q$21,8)=0),"",SUMIFS(DECKS!$D$2:$D$1201,DECKS!$A$2:$A$1201,INDEX(_LEITURA!$P$2:$P$21,8),DECKS!$B$2:$B$1201,$A325))</f>
        <v/>
      </c>
      <c r="S325" s="19" t="str">
        <f aca="false">IF(OR($A325="",INDEX(_LEITURA!$Q$2:$Q$21,9)=0),"",SUMIFS(DECKS!$D$2:$D$1201,DECKS!$A$2:$A$1201,INDEX(_LEITURA!$P$2:$P$21,9),DECKS!$B$2:$B$1201,$A325))</f>
        <v/>
      </c>
      <c r="T325" s="19" t="str">
        <f aca="false">IF(OR($A325="",INDEX(_LEITURA!$Q$2:$Q$21,10)=0),"",SUMIFS(DECKS!$D$2:$D$1201,DECKS!$A$2:$A$1201,INDEX(_LEITURA!$P$2:$P$21,10),DECKS!$B$2:$B$1201,$A325))</f>
        <v/>
      </c>
      <c r="U325" s="19" t="str">
        <f aca="false">IF(OR($A325="",INDEX(_LEITURA!$Q$2:$Q$21,11)=0),"",SUMIFS(DECKS!$D$2:$D$1201,DECKS!$A$2:$A$1201,INDEX(_LEITURA!$P$2:$P$21,11),DECKS!$B$2:$B$1201,$A325))</f>
        <v/>
      </c>
      <c r="V325" s="19" t="str">
        <f aca="false">IF(OR($A325="",INDEX(_LEITURA!$Q$2:$Q$21,12)=0),"",SUMIFS(DECKS!$D$2:$D$1201,DECKS!$A$2:$A$1201,INDEX(_LEITURA!$P$2:$P$21,12),DECKS!$B$2:$B$1201,$A325))</f>
        <v/>
      </c>
      <c r="W325" s="19" t="str">
        <f aca="false">IF(OR($A325="",INDEX(_LEITURA!$Q$2:$Q$21,13)=0),"",SUMIFS(DECKS!$D$2:$D$1201,DECKS!$A$2:$A$1201,INDEX(_LEITURA!$P$2:$P$21,13),DECKS!$B$2:$B$1201,$A325))</f>
        <v/>
      </c>
      <c r="X325" s="19" t="str">
        <f aca="false">IF(OR($A325="",INDEX(_LEITURA!$Q$2:$Q$21,14)=0),"",SUMIFS(DECKS!$D$2:$D$1201,DECKS!$A$2:$A$1201,INDEX(_LEITURA!$P$2:$P$21,14),DECKS!$B$2:$B$1201,$A325))</f>
        <v/>
      </c>
      <c r="Y325" s="19" t="str">
        <f aca="false">IF(OR($A325="",INDEX(_LEITURA!$Q$2:$Q$21,15)=0),"",SUMIFS(DECKS!$D$2:$D$1201,DECKS!$A$2:$A$1201,INDEX(_LEITURA!$P$2:$P$21,15),DECKS!$B$2:$B$1201,$A325))</f>
        <v/>
      </c>
      <c r="Z325" s="19" t="str">
        <f aca="false">IF(OR($A325="",INDEX(_LEITURA!$Q$2:$Q$21,16)=0),"",SUMIFS(DECKS!$D$2:$D$1201,DECKS!$A$2:$A$1201,INDEX(_LEITURA!$P$2:$P$21,16),DECKS!$B$2:$B$1201,$A325))</f>
        <v/>
      </c>
      <c r="AA325" s="19" t="str">
        <f aca="false">IF(OR($A325="",INDEX(_LEITURA!$Q$2:$Q$21,17)=0),"",SUMIFS(DECKS!$D$2:$D$1201,DECKS!$A$2:$A$1201,INDEX(_LEITURA!$P$2:$P$21,17),DECKS!$B$2:$B$1201,$A325))</f>
        <v/>
      </c>
      <c r="AB325" s="19" t="str">
        <f aca="false">IF(OR($A325="",INDEX(_LEITURA!$Q$2:$Q$21,18)=0),"",SUMIFS(DECKS!$D$2:$D$1201,DECKS!$A$2:$A$1201,INDEX(_LEITURA!$P$2:$P$21,18),DECKS!$B$2:$B$1201,$A325))</f>
        <v/>
      </c>
      <c r="AC325" s="19" t="str">
        <f aca="false">IF(OR($A325="",INDEX(_LEITURA!$Q$2:$Q$21,19)=0),"",SUMIFS(DECKS!$D$2:$D$1201,DECKS!$A$2:$A$1201,INDEX(_LEITURA!$P$2:$P$21,19),DECKS!$B$2:$B$1201,$A325))</f>
        <v/>
      </c>
      <c r="AD325" s="19" t="str">
        <f aca="false">IF(OR($A325="",INDEX(_LEITURA!$Q$2:$Q$21,20)=0),"",SUMIFS(DECKS!$D$2:$D$1201,DECKS!$A$2:$A$1201,INDEX(_LEITURA!$P$2:$P$21,20),DECKS!$B$2:$B$1201,$A325))</f>
        <v/>
      </c>
      <c r="AE325" s="16" t="str">
        <f aca="false">IF(N(E325)&gt;0,MAX(AE$1:AE324)+1,"")</f>
        <v/>
      </c>
      <c r="AF325" s="11" t="str">
        <f aca="false">IF(A325="","",IFERROR(LEFT(A325,FIND("-",A325)-1),A325))</f>
        <v/>
      </c>
      <c r="AG325" s="11" t="str">
        <f aca="false">IF(AF325="","",IF(ISNUMBER(--MID(AF325,1,1)),0,IF(ISNUMBER(--MID(AF325,2,1)),1,IF(ISNUMBER(--MID(AF325,3,1)),2,IF(ISNUMBER(--MID(AF325,4,1)),3,MIN(LEN(AF325),4))))))</f>
        <v/>
      </c>
      <c r="AH325" s="11" t="str">
        <f aca="false">IF(A325="","",LEFT(AF325,AG325)&amp;REPT("0",4-AG325)&amp;RIGHT("000"&amp;IFERROR(VALUE(MID(AF325,AG325+1,9)),0),3)&amp;RIGHT("0000"&amp;IFERROR(VALUE(MID(A325,FIND("-",A325)+1,9)),0),4))</f>
        <v/>
      </c>
      <c r="AI325" s="11" t="str">
        <f aca="false">IF(OR(A325="",N(E325)&lt;=0),"",IF('FALTAS GERAL'!$M$1="Código","K"&amp;AH325&amp;RIGHT("00000"&amp;ROW(),5),IF('FALTAS GERAL'!$M$1="Nome","K"&amp;UPPER(SUBSTITUTE(SUBSTITUTE(SUBSTITUTE(B325,"*",""),"?",""),"~",""))&amp;"0"&amp;AH325&amp;RIGHT("00000"&amp;ROW(),5),IF('FALTAS GERAL'!$M$1="Falta (maior primeiro)","K"&amp;RIGHT("0000"&amp;(9999-E325),4)&amp;AH325&amp;RIGHT("00000"&amp;ROW(),5),IF('FALTAS GERAL'!$M$1="Nº de decks (maior primeiro)","K"&amp;RIGHT("00"&amp;(99-N(G325)),2)&amp;AH325&amp;RIGHT("00000"&amp;ROW(),5),"K"&amp;RIGHT("00000"&amp;ROW(),5))))))</f>
        <v/>
      </c>
      <c r="AJ325" s="11" t="str">
        <f aca="false">IF(AI325="","",COUNTIFS($AI$2:$AI$801,"&lt;"&amp;AI325,$E$2:$E$801,"&gt;0")+1)</f>
        <v/>
      </c>
      <c r="AK325" s="11" t="str">
        <f aca="false">IF(OR(A325="",N(E325)&lt;=0),"",COUNTIFS($AH$2:$AH$801,"&lt;"&amp;AH325,$E$2:$E$801,"&gt;0")+COUNTIFS($AH$2:AH325,AH325,$E$2:E325,"&gt;0"))</f>
        <v/>
      </c>
    </row>
    <row r="326" customFormat="false" ht="15" hidden="false" customHeight="false" outlineLevel="0" collapsed="false">
      <c r="A326" s="11" t="str">
        <f aca="false">IF(INVENTÁRIO!A326="","",INVENTÁRIO!A326)</f>
        <v/>
      </c>
      <c r="B326" s="11" t="str">
        <f aca="false">IF(A326="","",INVENTÁRIO!B326)</f>
        <v/>
      </c>
      <c r="C326" s="16" t="str">
        <f aca="false">IF(A326="","",INVENTÁRIO!C326)</f>
        <v/>
      </c>
      <c r="D326" s="14" t="str">
        <f aca="false">IF(A326="","",MAX(K326:AD326))</f>
        <v/>
      </c>
      <c r="E326" s="14" t="str">
        <f aca="false">IF(A326="","",MAX(0,D326-C326))</f>
        <v/>
      </c>
      <c r="F326" s="16" t="str">
        <f aca="false">IF(A326="","",IF(D326=0,"Fora dos decks",IF(E326=0,"Completo","Falta")))</f>
        <v/>
      </c>
      <c r="G326" s="16" t="str">
        <f aca="false">IF(A326="","",COUNTIF(K326:AD326,"&gt;0"))</f>
        <v/>
      </c>
      <c r="H326" s="16" t="str">
        <f aca="false">IF(A326="","",IF(G326&gt;1,"Sim",""))</f>
        <v/>
      </c>
      <c r="I326" s="18" t="str">
        <f aca="false">IF(A326="","",SUMIFS(DECKS!$D$2:$D$1201,DECKS!$B$2:$B$1201,A326))</f>
        <v/>
      </c>
      <c r="J326" s="18" t="str">
        <f aca="false">IF(A326="","",MAX(0,I326-C326))</f>
        <v/>
      </c>
      <c r="K326" s="19" t="str">
        <f aca="false">IF(OR($A326="",INDEX(_LEITURA!$Q$2:$Q$21,1)=0),"",SUMIFS(DECKS!$D$2:$D$1201,DECKS!$A$2:$A$1201,INDEX(_LEITURA!$P$2:$P$21,1),DECKS!$B$2:$B$1201,$A326))</f>
        <v/>
      </c>
      <c r="L326" s="19" t="str">
        <f aca="false">IF(OR($A326="",INDEX(_LEITURA!$Q$2:$Q$21,2)=0),"",SUMIFS(DECKS!$D$2:$D$1201,DECKS!$A$2:$A$1201,INDEX(_LEITURA!$P$2:$P$21,2),DECKS!$B$2:$B$1201,$A326))</f>
        <v/>
      </c>
      <c r="M326" s="19" t="str">
        <f aca="false">IF(OR($A326="",INDEX(_LEITURA!$Q$2:$Q$21,3)=0),"",SUMIFS(DECKS!$D$2:$D$1201,DECKS!$A$2:$A$1201,INDEX(_LEITURA!$P$2:$P$21,3),DECKS!$B$2:$B$1201,$A326))</f>
        <v/>
      </c>
      <c r="N326" s="19" t="str">
        <f aca="false">IF(OR($A326="",INDEX(_LEITURA!$Q$2:$Q$21,4)=0),"",SUMIFS(DECKS!$D$2:$D$1201,DECKS!$A$2:$A$1201,INDEX(_LEITURA!$P$2:$P$21,4),DECKS!$B$2:$B$1201,$A326))</f>
        <v/>
      </c>
      <c r="O326" s="19" t="str">
        <f aca="false">IF(OR($A326="",INDEX(_LEITURA!$Q$2:$Q$21,5)=0),"",SUMIFS(DECKS!$D$2:$D$1201,DECKS!$A$2:$A$1201,INDEX(_LEITURA!$P$2:$P$21,5),DECKS!$B$2:$B$1201,$A326))</f>
        <v/>
      </c>
      <c r="P326" s="19" t="str">
        <f aca="false">IF(OR($A326="",INDEX(_LEITURA!$Q$2:$Q$21,6)=0),"",SUMIFS(DECKS!$D$2:$D$1201,DECKS!$A$2:$A$1201,INDEX(_LEITURA!$P$2:$P$21,6),DECKS!$B$2:$B$1201,$A326))</f>
        <v/>
      </c>
      <c r="Q326" s="19" t="str">
        <f aca="false">IF(OR($A326="",INDEX(_LEITURA!$Q$2:$Q$21,7)=0),"",SUMIFS(DECKS!$D$2:$D$1201,DECKS!$A$2:$A$1201,INDEX(_LEITURA!$P$2:$P$21,7),DECKS!$B$2:$B$1201,$A326))</f>
        <v/>
      </c>
      <c r="R326" s="19" t="str">
        <f aca="false">IF(OR($A326="",INDEX(_LEITURA!$Q$2:$Q$21,8)=0),"",SUMIFS(DECKS!$D$2:$D$1201,DECKS!$A$2:$A$1201,INDEX(_LEITURA!$P$2:$P$21,8),DECKS!$B$2:$B$1201,$A326))</f>
        <v/>
      </c>
      <c r="S326" s="19" t="str">
        <f aca="false">IF(OR($A326="",INDEX(_LEITURA!$Q$2:$Q$21,9)=0),"",SUMIFS(DECKS!$D$2:$D$1201,DECKS!$A$2:$A$1201,INDEX(_LEITURA!$P$2:$P$21,9),DECKS!$B$2:$B$1201,$A326))</f>
        <v/>
      </c>
      <c r="T326" s="19" t="str">
        <f aca="false">IF(OR($A326="",INDEX(_LEITURA!$Q$2:$Q$21,10)=0),"",SUMIFS(DECKS!$D$2:$D$1201,DECKS!$A$2:$A$1201,INDEX(_LEITURA!$P$2:$P$21,10),DECKS!$B$2:$B$1201,$A326))</f>
        <v/>
      </c>
      <c r="U326" s="19" t="str">
        <f aca="false">IF(OR($A326="",INDEX(_LEITURA!$Q$2:$Q$21,11)=0),"",SUMIFS(DECKS!$D$2:$D$1201,DECKS!$A$2:$A$1201,INDEX(_LEITURA!$P$2:$P$21,11),DECKS!$B$2:$B$1201,$A326))</f>
        <v/>
      </c>
      <c r="V326" s="19" t="str">
        <f aca="false">IF(OR($A326="",INDEX(_LEITURA!$Q$2:$Q$21,12)=0),"",SUMIFS(DECKS!$D$2:$D$1201,DECKS!$A$2:$A$1201,INDEX(_LEITURA!$P$2:$P$21,12),DECKS!$B$2:$B$1201,$A326))</f>
        <v/>
      </c>
      <c r="W326" s="19" t="str">
        <f aca="false">IF(OR($A326="",INDEX(_LEITURA!$Q$2:$Q$21,13)=0),"",SUMIFS(DECKS!$D$2:$D$1201,DECKS!$A$2:$A$1201,INDEX(_LEITURA!$P$2:$P$21,13),DECKS!$B$2:$B$1201,$A326))</f>
        <v/>
      </c>
      <c r="X326" s="19" t="str">
        <f aca="false">IF(OR($A326="",INDEX(_LEITURA!$Q$2:$Q$21,14)=0),"",SUMIFS(DECKS!$D$2:$D$1201,DECKS!$A$2:$A$1201,INDEX(_LEITURA!$P$2:$P$21,14),DECKS!$B$2:$B$1201,$A326))</f>
        <v/>
      </c>
      <c r="Y326" s="19" t="str">
        <f aca="false">IF(OR($A326="",INDEX(_LEITURA!$Q$2:$Q$21,15)=0),"",SUMIFS(DECKS!$D$2:$D$1201,DECKS!$A$2:$A$1201,INDEX(_LEITURA!$P$2:$P$21,15),DECKS!$B$2:$B$1201,$A326))</f>
        <v/>
      </c>
      <c r="Z326" s="19" t="str">
        <f aca="false">IF(OR($A326="",INDEX(_LEITURA!$Q$2:$Q$21,16)=0),"",SUMIFS(DECKS!$D$2:$D$1201,DECKS!$A$2:$A$1201,INDEX(_LEITURA!$P$2:$P$21,16),DECKS!$B$2:$B$1201,$A326))</f>
        <v/>
      </c>
      <c r="AA326" s="19" t="str">
        <f aca="false">IF(OR($A326="",INDEX(_LEITURA!$Q$2:$Q$21,17)=0),"",SUMIFS(DECKS!$D$2:$D$1201,DECKS!$A$2:$A$1201,INDEX(_LEITURA!$P$2:$P$21,17),DECKS!$B$2:$B$1201,$A326))</f>
        <v/>
      </c>
      <c r="AB326" s="19" t="str">
        <f aca="false">IF(OR($A326="",INDEX(_LEITURA!$Q$2:$Q$21,18)=0),"",SUMIFS(DECKS!$D$2:$D$1201,DECKS!$A$2:$A$1201,INDEX(_LEITURA!$P$2:$P$21,18),DECKS!$B$2:$B$1201,$A326))</f>
        <v/>
      </c>
      <c r="AC326" s="19" t="str">
        <f aca="false">IF(OR($A326="",INDEX(_LEITURA!$Q$2:$Q$21,19)=0),"",SUMIFS(DECKS!$D$2:$D$1201,DECKS!$A$2:$A$1201,INDEX(_LEITURA!$P$2:$P$21,19),DECKS!$B$2:$B$1201,$A326))</f>
        <v/>
      </c>
      <c r="AD326" s="19" t="str">
        <f aca="false">IF(OR($A326="",INDEX(_LEITURA!$Q$2:$Q$21,20)=0),"",SUMIFS(DECKS!$D$2:$D$1201,DECKS!$A$2:$A$1201,INDEX(_LEITURA!$P$2:$P$21,20),DECKS!$B$2:$B$1201,$A326))</f>
        <v/>
      </c>
      <c r="AE326" s="16" t="str">
        <f aca="false">IF(N(E326)&gt;0,MAX(AE$1:AE325)+1,"")</f>
        <v/>
      </c>
      <c r="AF326" s="11" t="str">
        <f aca="false">IF(A326="","",IFERROR(LEFT(A326,FIND("-",A326)-1),A326))</f>
        <v/>
      </c>
      <c r="AG326" s="11" t="str">
        <f aca="false">IF(AF326="","",IF(ISNUMBER(--MID(AF326,1,1)),0,IF(ISNUMBER(--MID(AF326,2,1)),1,IF(ISNUMBER(--MID(AF326,3,1)),2,IF(ISNUMBER(--MID(AF326,4,1)),3,MIN(LEN(AF326),4))))))</f>
        <v/>
      </c>
      <c r="AH326" s="11" t="str">
        <f aca="false">IF(A326="","",LEFT(AF326,AG326)&amp;REPT("0",4-AG326)&amp;RIGHT("000"&amp;IFERROR(VALUE(MID(AF326,AG326+1,9)),0),3)&amp;RIGHT("0000"&amp;IFERROR(VALUE(MID(A326,FIND("-",A326)+1,9)),0),4))</f>
        <v/>
      </c>
      <c r="AI326" s="11" t="str">
        <f aca="false">IF(OR(A326="",N(E326)&lt;=0),"",IF('FALTAS GERAL'!$M$1="Código","K"&amp;AH326&amp;RIGHT("00000"&amp;ROW(),5),IF('FALTAS GERAL'!$M$1="Nome","K"&amp;UPPER(SUBSTITUTE(SUBSTITUTE(SUBSTITUTE(B326,"*",""),"?",""),"~",""))&amp;"0"&amp;AH326&amp;RIGHT("00000"&amp;ROW(),5),IF('FALTAS GERAL'!$M$1="Falta (maior primeiro)","K"&amp;RIGHT("0000"&amp;(9999-E326),4)&amp;AH326&amp;RIGHT("00000"&amp;ROW(),5),IF('FALTAS GERAL'!$M$1="Nº de decks (maior primeiro)","K"&amp;RIGHT("00"&amp;(99-N(G326)),2)&amp;AH326&amp;RIGHT("00000"&amp;ROW(),5),"K"&amp;RIGHT("00000"&amp;ROW(),5))))))</f>
        <v/>
      </c>
      <c r="AJ326" s="11" t="str">
        <f aca="false">IF(AI326="","",COUNTIFS($AI$2:$AI$801,"&lt;"&amp;AI326,$E$2:$E$801,"&gt;0")+1)</f>
        <v/>
      </c>
      <c r="AK326" s="11" t="str">
        <f aca="false">IF(OR(A326="",N(E326)&lt;=0),"",COUNTIFS($AH$2:$AH$801,"&lt;"&amp;AH326,$E$2:$E$801,"&gt;0")+COUNTIFS($AH$2:AH326,AH326,$E$2:E326,"&gt;0"))</f>
        <v/>
      </c>
    </row>
    <row r="327" customFormat="false" ht="15" hidden="false" customHeight="false" outlineLevel="0" collapsed="false">
      <c r="A327" s="11" t="str">
        <f aca="false">IF(INVENTÁRIO!A327="","",INVENTÁRIO!A327)</f>
        <v/>
      </c>
      <c r="B327" s="11" t="str">
        <f aca="false">IF(A327="","",INVENTÁRIO!B327)</f>
        <v/>
      </c>
      <c r="C327" s="16" t="str">
        <f aca="false">IF(A327="","",INVENTÁRIO!C327)</f>
        <v/>
      </c>
      <c r="D327" s="14" t="str">
        <f aca="false">IF(A327="","",MAX(K327:AD327))</f>
        <v/>
      </c>
      <c r="E327" s="14" t="str">
        <f aca="false">IF(A327="","",MAX(0,D327-C327))</f>
        <v/>
      </c>
      <c r="F327" s="16" t="str">
        <f aca="false">IF(A327="","",IF(D327=0,"Fora dos decks",IF(E327=0,"Completo","Falta")))</f>
        <v/>
      </c>
      <c r="G327" s="16" t="str">
        <f aca="false">IF(A327="","",COUNTIF(K327:AD327,"&gt;0"))</f>
        <v/>
      </c>
      <c r="H327" s="16" t="str">
        <f aca="false">IF(A327="","",IF(G327&gt;1,"Sim",""))</f>
        <v/>
      </c>
      <c r="I327" s="18" t="str">
        <f aca="false">IF(A327="","",SUMIFS(DECKS!$D$2:$D$1201,DECKS!$B$2:$B$1201,A327))</f>
        <v/>
      </c>
      <c r="J327" s="18" t="str">
        <f aca="false">IF(A327="","",MAX(0,I327-C327))</f>
        <v/>
      </c>
      <c r="K327" s="19" t="str">
        <f aca="false">IF(OR($A327="",INDEX(_LEITURA!$Q$2:$Q$21,1)=0),"",SUMIFS(DECKS!$D$2:$D$1201,DECKS!$A$2:$A$1201,INDEX(_LEITURA!$P$2:$P$21,1),DECKS!$B$2:$B$1201,$A327))</f>
        <v/>
      </c>
      <c r="L327" s="19" t="str">
        <f aca="false">IF(OR($A327="",INDEX(_LEITURA!$Q$2:$Q$21,2)=0),"",SUMIFS(DECKS!$D$2:$D$1201,DECKS!$A$2:$A$1201,INDEX(_LEITURA!$P$2:$P$21,2),DECKS!$B$2:$B$1201,$A327))</f>
        <v/>
      </c>
      <c r="M327" s="19" t="str">
        <f aca="false">IF(OR($A327="",INDEX(_LEITURA!$Q$2:$Q$21,3)=0),"",SUMIFS(DECKS!$D$2:$D$1201,DECKS!$A$2:$A$1201,INDEX(_LEITURA!$P$2:$P$21,3),DECKS!$B$2:$B$1201,$A327))</f>
        <v/>
      </c>
      <c r="N327" s="19" t="str">
        <f aca="false">IF(OR($A327="",INDEX(_LEITURA!$Q$2:$Q$21,4)=0),"",SUMIFS(DECKS!$D$2:$D$1201,DECKS!$A$2:$A$1201,INDEX(_LEITURA!$P$2:$P$21,4),DECKS!$B$2:$B$1201,$A327))</f>
        <v/>
      </c>
      <c r="O327" s="19" t="str">
        <f aca="false">IF(OR($A327="",INDEX(_LEITURA!$Q$2:$Q$21,5)=0),"",SUMIFS(DECKS!$D$2:$D$1201,DECKS!$A$2:$A$1201,INDEX(_LEITURA!$P$2:$P$21,5),DECKS!$B$2:$B$1201,$A327))</f>
        <v/>
      </c>
      <c r="P327" s="19" t="str">
        <f aca="false">IF(OR($A327="",INDEX(_LEITURA!$Q$2:$Q$21,6)=0),"",SUMIFS(DECKS!$D$2:$D$1201,DECKS!$A$2:$A$1201,INDEX(_LEITURA!$P$2:$P$21,6),DECKS!$B$2:$B$1201,$A327))</f>
        <v/>
      </c>
      <c r="Q327" s="19" t="str">
        <f aca="false">IF(OR($A327="",INDEX(_LEITURA!$Q$2:$Q$21,7)=0),"",SUMIFS(DECKS!$D$2:$D$1201,DECKS!$A$2:$A$1201,INDEX(_LEITURA!$P$2:$P$21,7),DECKS!$B$2:$B$1201,$A327))</f>
        <v/>
      </c>
      <c r="R327" s="19" t="str">
        <f aca="false">IF(OR($A327="",INDEX(_LEITURA!$Q$2:$Q$21,8)=0),"",SUMIFS(DECKS!$D$2:$D$1201,DECKS!$A$2:$A$1201,INDEX(_LEITURA!$P$2:$P$21,8),DECKS!$B$2:$B$1201,$A327))</f>
        <v/>
      </c>
      <c r="S327" s="19" t="str">
        <f aca="false">IF(OR($A327="",INDEX(_LEITURA!$Q$2:$Q$21,9)=0),"",SUMIFS(DECKS!$D$2:$D$1201,DECKS!$A$2:$A$1201,INDEX(_LEITURA!$P$2:$P$21,9),DECKS!$B$2:$B$1201,$A327))</f>
        <v/>
      </c>
      <c r="T327" s="19" t="str">
        <f aca="false">IF(OR($A327="",INDEX(_LEITURA!$Q$2:$Q$21,10)=0),"",SUMIFS(DECKS!$D$2:$D$1201,DECKS!$A$2:$A$1201,INDEX(_LEITURA!$P$2:$P$21,10),DECKS!$B$2:$B$1201,$A327))</f>
        <v/>
      </c>
      <c r="U327" s="19" t="str">
        <f aca="false">IF(OR($A327="",INDEX(_LEITURA!$Q$2:$Q$21,11)=0),"",SUMIFS(DECKS!$D$2:$D$1201,DECKS!$A$2:$A$1201,INDEX(_LEITURA!$P$2:$P$21,11),DECKS!$B$2:$B$1201,$A327))</f>
        <v/>
      </c>
      <c r="V327" s="19" t="str">
        <f aca="false">IF(OR($A327="",INDEX(_LEITURA!$Q$2:$Q$21,12)=0),"",SUMIFS(DECKS!$D$2:$D$1201,DECKS!$A$2:$A$1201,INDEX(_LEITURA!$P$2:$P$21,12),DECKS!$B$2:$B$1201,$A327))</f>
        <v/>
      </c>
      <c r="W327" s="19" t="str">
        <f aca="false">IF(OR($A327="",INDEX(_LEITURA!$Q$2:$Q$21,13)=0),"",SUMIFS(DECKS!$D$2:$D$1201,DECKS!$A$2:$A$1201,INDEX(_LEITURA!$P$2:$P$21,13),DECKS!$B$2:$B$1201,$A327))</f>
        <v/>
      </c>
      <c r="X327" s="19" t="str">
        <f aca="false">IF(OR($A327="",INDEX(_LEITURA!$Q$2:$Q$21,14)=0),"",SUMIFS(DECKS!$D$2:$D$1201,DECKS!$A$2:$A$1201,INDEX(_LEITURA!$P$2:$P$21,14),DECKS!$B$2:$B$1201,$A327))</f>
        <v/>
      </c>
      <c r="Y327" s="19" t="str">
        <f aca="false">IF(OR($A327="",INDEX(_LEITURA!$Q$2:$Q$21,15)=0),"",SUMIFS(DECKS!$D$2:$D$1201,DECKS!$A$2:$A$1201,INDEX(_LEITURA!$P$2:$P$21,15),DECKS!$B$2:$B$1201,$A327))</f>
        <v/>
      </c>
      <c r="Z327" s="19" t="str">
        <f aca="false">IF(OR($A327="",INDEX(_LEITURA!$Q$2:$Q$21,16)=0),"",SUMIFS(DECKS!$D$2:$D$1201,DECKS!$A$2:$A$1201,INDEX(_LEITURA!$P$2:$P$21,16),DECKS!$B$2:$B$1201,$A327))</f>
        <v/>
      </c>
      <c r="AA327" s="19" t="str">
        <f aca="false">IF(OR($A327="",INDEX(_LEITURA!$Q$2:$Q$21,17)=0),"",SUMIFS(DECKS!$D$2:$D$1201,DECKS!$A$2:$A$1201,INDEX(_LEITURA!$P$2:$P$21,17),DECKS!$B$2:$B$1201,$A327))</f>
        <v/>
      </c>
      <c r="AB327" s="19" t="str">
        <f aca="false">IF(OR($A327="",INDEX(_LEITURA!$Q$2:$Q$21,18)=0),"",SUMIFS(DECKS!$D$2:$D$1201,DECKS!$A$2:$A$1201,INDEX(_LEITURA!$P$2:$P$21,18),DECKS!$B$2:$B$1201,$A327))</f>
        <v/>
      </c>
      <c r="AC327" s="19" t="str">
        <f aca="false">IF(OR($A327="",INDEX(_LEITURA!$Q$2:$Q$21,19)=0),"",SUMIFS(DECKS!$D$2:$D$1201,DECKS!$A$2:$A$1201,INDEX(_LEITURA!$P$2:$P$21,19),DECKS!$B$2:$B$1201,$A327))</f>
        <v/>
      </c>
      <c r="AD327" s="19" t="str">
        <f aca="false">IF(OR($A327="",INDEX(_LEITURA!$Q$2:$Q$21,20)=0),"",SUMIFS(DECKS!$D$2:$D$1201,DECKS!$A$2:$A$1201,INDEX(_LEITURA!$P$2:$P$21,20),DECKS!$B$2:$B$1201,$A327))</f>
        <v/>
      </c>
      <c r="AE327" s="16" t="str">
        <f aca="false">IF(N(E327)&gt;0,MAX(AE$1:AE326)+1,"")</f>
        <v/>
      </c>
      <c r="AF327" s="11" t="str">
        <f aca="false">IF(A327="","",IFERROR(LEFT(A327,FIND("-",A327)-1),A327))</f>
        <v/>
      </c>
      <c r="AG327" s="11" t="str">
        <f aca="false">IF(AF327="","",IF(ISNUMBER(--MID(AF327,1,1)),0,IF(ISNUMBER(--MID(AF327,2,1)),1,IF(ISNUMBER(--MID(AF327,3,1)),2,IF(ISNUMBER(--MID(AF327,4,1)),3,MIN(LEN(AF327),4))))))</f>
        <v/>
      </c>
      <c r="AH327" s="11" t="str">
        <f aca="false">IF(A327="","",LEFT(AF327,AG327)&amp;REPT("0",4-AG327)&amp;RIGHT("000"&amp;IFERROR(VALUE(MID(AF327,AG327+1,9)),0),3)&amp;RIGHT("0000"&amp;IFERROR(VALUE(MID(A327,FIND("-",A327)+1,9)),0),4))</f>
        <v/>
      </c>
      <c r="AI327" s="11" t="str">
        <f aca="false">IF(OR(A327="",N(E327)&lt;=0),"",IF('FALTAS GERAL'!$M$1="Código","K"&amp;AH327&amp;RIGHT("00000"&amp;ROW(),5),IF('FALTAS GERAL'!$M$1="Nome","K"&amp;UPPER(SUBSTITUTE(SUBSTITUTE(SUBSTITUTE(B327,"*",""),"?",""),"~",""))&amp;"0"&amp;AH327&amp;RIGHT("00000"&amp;ROW(),5),IF('FALTAS GERAL'!$M$1="Falta (maior primeiro)","K"&amp;RIGHT("0000"&amp;(9999-E327),4)&amp;AH327&amp;RIGHT("00000"&amp;ROW(),5),IF('FALTAS GERAL'!$M$1="Nº de decks (maior primeiro)","K"&amp;RIGHT("00"&amp;(99-N(G327)),2)&amp;AH327&amp;RIGHT("00000"&amp;ROW(),5),"K"&amp;RIGHT("00000"&amp;ROW(),5))))))</f>
        <v/>
      </c>
      <c r="AJ327" s="11" t="str">
        <f aca="false">IF(AI327="","",COUNTIFS($AI$2:$AI$801,"&lt;"&amp;AI327,$E$2:$E$801,"&gt;0")+1)</f>
        <v/>
      </c>
      <c r="AK327" s="11" t="str">
        <f aca="false">IF(OR(A327="",N(E327)&lt;=0),"",COUNTIFS($AH$2:$AH$801,"&lt;"&amp;AH327,$E$2:$E$801,"&gt;0")+COUNTIFS($AH$2:AH327,AH327,$E$2:E327,"&gt;0"))</f>
        <v/>
      </c>
    </row>
    <row r="328" customFormat="false" ht="15" hidden="false" customHeight="false" outlineLevel="0" collapsed="false">
      <c r="A328" s="11" t="str">
        <f aca="false">IF(INVENTÁRIO!A328="","",INVENTÁRIO!A328)</f>
        <v/>
      </c>
      <c r="B328" s="11" t="str">
        <f aca="false">IF(A328="","",INVENTÁRIO!B328)</f>
        <v/>
      </c>
      <c r="C328" s="16" t="str">
        <f aca="false">IF(A328="","",INVENTÁRIO!C328)</f>
        <v/>
      </c>
      <c r="D328" s="14" t="str">
        <f aca="false">IF(A328="","",MAX(K328:AD328))</f>
        <v/>
      </c>
      <c r="E328" s="14" t="str">
        <f aca="false">IF(A328="","",MAX(0,D328-C328))</f>
        <v/>
      </c>
      <c r="F328" s="16" t="str">
        <f aca="false">IF(A328="","",IF(D328=0,"Fora dos decks",IF(E328=0,"Completo","Falta")))</f>
        <v/>
      </c>
      <c r="G328" s="16" t="str">
        <f aca="false">IF(A328="","",COUNTIF(K328:AD328,"&gt;0"))</f>
        <v/>
      </c>
      <c r="H328" s="16" t="str">
        <f aca="false">IF(A328="","",IF(G328&gt;1,"Sim",""))</f>
        <v/>
      </c>
      <c r="I328" s="18" t="str">
        <f aca="false">IF(A328="","",SUMIFS(DECKS!$D$2:$D$1201,DECKS!$B$2:$B$1201,A328))</f>
        <v/>
      </c>
      <c r="J328" s="18" t="str">
        <f aca="false">IF(A328="","",MAX(0,I328-C328))</f>
        <v/>
      </c>
      <c r="K328" s="19" t="str">
        <f aca="false">IF(OR($A328="",INDEX(_LEITURA!$Q$2:$Q$21,1)=0),"",SUMIFS(DECKS!$D$2:$D$1201,DECKS!$A$2:$A$1201,INDEX(_LEITURA!$P$2:$P$21,1),DECKS!$B$2:$B$1201,$A328))</f>
        <v/>
      </c>
      <c r="L328" s="19" t="str">
        <f aca="false">IF(OR($A328="",INDEX(_LEITURA!$Q$2:$Q$21,2)=0),"",SUMIFS(DECKS!$D$2:$D$1201,DECKS!$A$2:$A$1201,INDEX(_LEITURA!$P$2:$P$21,2),DECKS!$B$2:$B$1201,$A328))</f>
        <v/>
      </c>
      <c r="M328" s="19" t="str">
        <f aca="false">IF(OR($A328="",INDEX(_LEITURA!$Q$2:$Q$21,3)=0),"",SUMIFS(DECKS!$D$2:$D$1201,DECKS!$A$2:$A$1201,INDEX(_LEITURA!$P$2:$P$21,3),DECKS!$B$2:$B$1201,$A328))</f>
        <v/>
      </c>
      <c r="N328" s="19" t="str">
        <f aca="false">IF(OR($A328="",INDEX(_LEITURA!$Q$2:$Q$21,4)=0),"",SUMIFS(DECKS!$D$2:$D$1201,DECKS!$A$2:$A$1201,INDEX(_LEITURA!$P$2:$P$21,4),DECKS!$B$2:$B$1201,$A328))</f>
        <v/>
      </c>
      <c r="O328" s="19" t="str">
        <f aca="false">IF(OR($A328="",INDEX(_LEITURA!$Q$2:$Q$21,5)=0),"",SUMIFS(DECKS!$D$2:$D$1201,DECKS!$A$2:$A$1201,INDEX(_LEITURA!$P$2:$P$21,5),DECKS!$B$2:$B$1201,$A328))</f>
        <v/>
      </c>
      <c r="P328" s="19" t="str">
        <f aca="false">IF(OR($A328="",INDEX(_LEITURA!$Q$2:$Q$21,6)=0),"",SUMIFS(DECKS!$D$2:$D$1201,DECKS!$A$2:$A$1201,INDEX(_LEITURA!$P$2:$P$21,6),DECKS!$B$2:$B$1201,$A328))</f>
        <v/>
      </c>
      <c r="Q328" s="19" t="str">
        <f aca="false">IF(OR($A328="",INDEX(_LEITURA!$Q$2:$Q$21,7)=0),"",SUMIFS(DECKS!$D$2:$D$1201,DECKS!$A$2:$A$1201,INDEX(_LEITURA!$P$2:$P$21,7),DECKS!$B$2:$B$1201,$A328))</f>
        <v/>
      </c>
      <c r="R328" s="19" t="str">
        <f aca="false">IF(OR($A328="",INDEX(_LEITURA!$Q$2:$Q$21,8)=0),"",SUMIFS(DECKS!$D$2:$D$1201,DECKS!$A$2:$A$1201,INDEX(_LEITURA!$P$2:$P$21,8),DECKS!$B$2:$B$1201,$A328))</f>
        <v/>
      </c>
      <c r="S328" s="19" t="str">
        <f aca="false">IF(OR($A328="",INDEX(_LEITURA!$Q$2:$Q$21,9)=0),"",SUMIFS(DECKS!$D$2:$D$1201,DECKS!$A$2:$A$1201,INDEX(_LEITURA!$P$2:$P$21,9),DECKS!$B$2:$B$1201,$A328))</f>
        <v/>
      </c>
      <c r="T328" s="19" t="str">
        <f aca="false">IF(OR($A328="",INDEX(_LEITURA!$Q$2:$Q$21,10)=0),"",SUMIFS(DECKS!$D$2:$D$1201,DECKS!$A$2:$A$1201,INDEX(_LEITURA!$P$2:$P$21,10),DECKS!$B$2:$B$1201,$A328))</f>
        <v/>
      </c>
      <c r="U328" s="19" t="str">
        <f aca="false">IF(OR($A328="",INDEX(_LEITURA!$Q$2:$Q$21,11)=0),"",SUMIFS(DECKS!$D$2:$D$1201,DECKS!$A$2:$A$1201,INDEX(_LEITURA!$P$2:$P$21,11),DECKS!$B$2:$B$1201,$A328))</f>
        <v/>
      </c>
      <c r="V328" s="19" t="str">
        <f aca="false">IF(OR($A328="",INDEX(_LEITURA!$Q$2:$Q$21,12)=0),"",SUMIFS(DECKS!$D$2:$D$1201,DECKS!$A$2:$A$1201,INDEX(_LEITURA!$P$2:$P$21,12),DECKS!$B$2:$B$1201,$A328))</f>
        <v/>
      </c>
      <c r="W328" s="19" t="str">
        <f aca="false">IF(OR($A328="",INDEX(_LEITURA!$Q$2:$Q$21,13)=0),"",SUMIFS(DECKS!$D$2:$D$1201,DECKS!$A$2:$A$1201,INDEX(_LEITURA!$P$2:$P$21,13),DECKS!$B$2:$B$1201,$A328))</f>
        <v/>
      </c>
      <c r="X328" s="19" t="str">
        <f aca="false">IF(OR($A328="",INDEX(_LEITURA!$Q$2:$Q$21,14)=0),"",SUMIFS(DECKS!$D$2:$D$1201,DECKS!$A$2:$A$1201,INDEX(_LEITURA!$P$2:$P$21,14),DECKS!$B$2:$B$1201,$A328))</f>
        <v/>
      </c>
      <c r="Y328" s="19" t="str">
        <f aca="false">IF(OR($A328="",INDEX(_LEITURA!$Q$2:$Q$21,15)=0),"",SUMIFS(DECKS!$D$2:$D$1201,DECKS!$A$2:$A$1201,INDEX(_LEITURA!$P$2:$P$21,15),DECKS!$B$2:$B$1201,$A328))</f>
        <v/>
      </c>
      <c r="Z328" s="19" t="str">
        <f aca="false">IF(OR($A328="",INDEX(_LEITURA!$Q$2:$Q$21,16)=0),"",SUMIFS(DECKS!$D$2:$D$1201,DECKS!$A$2:$A$1201,INDEX(_LEITURA!$P$2:$P$21,16),DECKS!$B$2:$B$1201,$A328))</f>
        <v/>
      </c>
      <c r="AA328" s="19" t="str">
        <f aca="false">IF(OR($A328="",INDEX(_LEITURA!$Q$2:$Q$21,17)=0),"",SUMIFS(DECKS!$D$2:$D$1201,DECKS!$A$2:$A$1201,INDEX(_LEITURA!$P$2:$P$21,17),DECKS!$B$2:$B$1201,$A328))</f>
        <v/>
      </c>
      <c r="AB328" s="19" t="str">
        <f aca="false">IF(OR($A328="",INDEX(_LEITURA!$Q$2:$Q$21,18)=0),"",SUMIFS(DECKS!$D$2:$D$1201,DECKS!$A$2:$A$1201,INDEX(_LEITURA!$P$2:$P$21,18),DECKS!$B$2:$B$1201,$A328))</f>
        <v/>
      </c>
      <c r="AC328" s="19" t="str">
        <f aca="false">IF(OR($A328="",INDEX(_LEITURA!$Q$2:$Q$21,19)=0),"",SUMIFS(DECKS!$D$2:$D$1201,DECKS!$A$2:$A$1201,INDEX(_LEITURA!$P$2:$P$21,19),DECKS!$B$2:$B$1201,$A328))</f>
        <v/>
      </c>
      <c r="AD328" s="19" t="str">
        <f aca="false">IF(OR($A328="",INDEX(_LEITURA!$Q$2:$Q$21,20)=0),"",SUMIFS(DECKS!$D$2:$D$1201,DECKS!$A$2:$A$1201,INDEX(_LEITURA!$P$2:$P$21,20),DECKS!$B$2:$B$1201,$A328))</f>
        <v/>
      </c>
      <c r="AE328" s="16" t="str">
        <f aca="false">IF(N(E328)&gt;0,MAX(AE$1:AE327)+1,"")</f>
        <v/>
      </c>
      <c r="AF328" s="11" t="str">
        <f aca="false">IF(A328="","",IFERROR(LEFT(A328,FIND("-",A328)-1),A328))</f>
        <v/>
      </c>
      <c r="AG328" s="11" t="str">
        <f aca="false">IF(AF328="","",IF(ISNUMBER(--MID(AF328,1,1)),0,IF(ISNUMBER(--MID(AF328,2,1)),1,IF(ISNUMBER(--MID(AF328,3,1)),2,IF(ISNUMBER(--MID(AF328,4,1)),3,MIN(LEN(AF328),4))))))</f>
        <v/>
      </c>
      <c r="AH328" s="11" t="str">
        <f aca="false">IF(A328="","",LEFT(AF328,AG328)&amp;REPT("0",4-AG328)&amp;RIGHT("000"&amp;IFERROR(VALUE(MID(AF328,AG328+1,9)),0),3)&amp;RIGHT("0000"&amp;IFERROR(VALUE(MID(A328,FIND("-",A328)+1,9)),0),4))</f>
        <v/>
      </c>
      <c r="AI328" s="11" t="str">
        <f aca="false">IF(OR(A328="",N(E328)&lt;=0),"",IF('FALTAS GERAL'!$M$1="Código","K"&amp;AH328&amp;RIGHT("00000"&amp;ROW(),5),IF('FALTAS GERAL'!$M$1="Nome","K"&amp;UPPER(SUBSTITUTE(SUBSTITUTE(SUBSTITUTE(B328,"*",""),"?",""),"~",""))&amp;"0"&amp;AH328&amp;RIGHT("00000"&amp;ROW(),5),IF('FALTAS GERAL'!$M$1="Falta (maior primeiro)","K"&amp;RIGHT("0000"&amp;(9999-E328),4)&amp;AH328&amp;RIGHT("00000"&amp;ROW(),5),IF('FALTAS GERAL'!$M$1="Nº de decks (maior primeiro)","K"&amp;RIGHT("00"&amp;(99-N(G328)),2)&amp;AH328&amp;RIGHT("00000"&amp;ROW(),5),"K"&amp;RIGHT("00000"&amp;ROW(),5))))))</f>
        <v/>
      </c>
      <c r="AJ328" s="11" t="str">
        <f aca="false">IF(AI328="","",COUNTIFS($AI$2:$AI$801,"&lt;"&amp;AI328,$E$2:$E$801,"&gt;0")+1)</f>
        <v/>
      </c>
      <c r="AK328" s="11" t="str">
        <f aca="false">IF(OR(A328="",N(E328)&lt;=0),"",COUNTIFS($AH$2:$AH$801,"&lt;"&amp;AH328,$E$2:$E$801,"&gt;0")+COUNTIFS($AH$2:AH328,AH328,$E$2:E328,"&gt;0"))</f>
        <v/>
      </c>
    </row>
    <row r="329" customFormat="false" ht="15" hidden="false" customHeight="false" outlineLevel="0" collapsed="false">
      <c r="A329" s="11" t="str">
        <f aca="false">IF(INVENTÁRIO!A329="","",INVENTÁRIO!A329)</f>
        <v/>
      </c>
      <c r="B329" s="11" t="str">
        <f aca="false">IF(A329="","",INVENTÁRIO!B329)</f>
        <v/>
      </c>
      <c r="C329" s="16" t="str">
        <f aca="false">IF(A329="","",INVENTÁRIO!C329)</f>
        <v/>
      </c>
      <c r="D329" s="14" t="str">
        <f aca="false">IF(A329="","",MAX(K329:AD329))</f>
        <v/>
      </c>
      <c r="E329" s="14" t="str">
        <f aca="false">IF(A329="","",MAX(0,D329-C329))</f>
        <v/>
      </c>
      <c r="F329" s="16" t="str">
        <f aca="false">IF(A329="","",IF(D329=0,"Fora dos decks",IF(E329=0,"Completo","Falta")))</f>
        <v/>
      </c>
      <c r="G329" s="16" t="str">
        <f aca="false">IF(A329="","",COUNTIF(K329:AD329,"&gt;0"))</f>
        <v/>
      </c>
      <c r="H329" s="16" t="str">
        <f aca="false">IF(A329="","",IF(G329&gt;1,"Sim",""))</f>
        <v/>
      </c>
      <c r="I329" s="18" t="str">
        <f aca="false">IF(A329="","",SUMIFS(DECKS!$D$2:$D$1201,DECKS!$B$2:$B$1201,A329))</f>
        <v/>
      </c>
      <c r="J329" s="18" t="str">
        <f aca="false">IF(A329="","",MAX(0,I329-C329))</f>
        <v/>
      </c>
      <c r="K329" s="19" t="str">
        <f aca="false">IF(OR($A329="",INDEX(_LEITURA!$Q$2:$Q$21,1)=0),"",SUMIFS(DECKS!$D$2:$D$1201,DECKS!$A$2:$A$1201,INDEX(_LEITURA!$P$2:$P$21,1),DECKS!$B$2:$B$1201,$A329))</f>
        <v/>
      </c>
      <c r="L329" s="19" t="str">
        <f aca="false">IF(OR($A329="",INDEX(_LEITURA!$Q$2:$Q$21,2)=0),"",SUMIFS(DECKS!$D$2:$D$1201,DECKS!$A$2:$A$1201,INDEX(_LEITURA!$P$2:$P$21,2),DECKS!$B$2:$B$1201,$A329))</f>
        <v/>
      </c>
      <c r="M329" s="19" t="str">
        <f aca="false">IF(OR($A329="",INDEX(_LEITURA!$Q$2:$Q$21,3)=0),"",SUMIFS(DECKS!$D$2:$D$1201,DECKS!$A$2:$A$1201,INDEX(_LEITURA!$P$2:$P$21,3),DECKS!$B$2:$B$1201,$A329))</f>
        <v/>
      </c>
      <c r="N329" s="19" t="str">
        <f aca="false">IF(OR($A329="",INDEX(_LEITURA!$Q$2:$Q$21,4)=0),"",SUMIFS(DECKS!$D$2:$D$1201,DECKS!$A$2:$A$1201,INDEX(_LEITURA!$P$2:$P$21,4),DECKS!$B$2:$B$1201,$A329))</f>
        <v/>
      </c>
      <c r="O329" s="19" t="str">
        <f aca="false">IF(OR($A329="",INDEX(_LEITURA!$Q$2:$Q$21,5)=0),"",SUMIFS(DECKS!$D$2:$D$1201,DECKS!$A$2:$A$1201,INDEX(_LEITURA!$P$2:$P$21,5),DECKS!$B$2:$B$1201,$A329))</f>
        <v/>
      </c>
      <c r="P329" s="19" t="str">
        <f aca="false">IF(OR($A329="",INDEX(_LEITURA!$Q$2:$Q$21,6)=0),"",SUMIFS(DECKS!$D$2:$D$1201,DECKS!$A$2:$A$1201,INDEX(_LEITURA!$P$2:$P$21,6),DECKS!$B$2:$B$1201,$A329))</f>
        <v/>
      </c>
      <c r="Q329" s="19" t="str">
        <f aca="false">IF(OR($A329="",INDEX(_LEITURA!$Q$2:$Q$21,7)=0),"",SUMIFS(DECKS!$D$2:$D$1201,DECKS!$A$2:$A$1201,INDEX(_LEITURA!$P$2:$P$21,7),DECKS!$B$2:$B$1201,$A329))</f>
        <v/>
      </c>
      <c r="R329" s="19" t="str">
        <f aca="false">IF(OR($A329="",INDEX(_LEITURA!$Q$2:$Q$21,8)=0),"",SUMIFS(DECKS!$D$2:$D$1201,DECKS!$A$2:$A$1201,INDEX(_LEITURA!$P$2:$P$21,8),DECKS!$B$2:$B$1201,$A329))</f>
        <v/>
      </c>
      <c r="S329" s="19" t="str">
        <f aca="false">IF(OR($A329="",INDEX(_LEITURA!$Q$2:$Q$21,9)=0),"",SUMIFS(DECKS!$D$2:$D$1201,DECKS!$A$2:$A$1201,INDEX(_LEITURA!$P$2:$P$21,9),DECKS!$B$2:$B$1201,$A329))</f>
        <v/>
      </c>
      <c r="T329" s="19" t="str">
        <f aca="false">IF(OR($A329="",INDEX(_LEITURA!$Q$2:$Q$21,10)=0),"",SUMIFS(DECKS!$D$2:$D$1201,DECKS!$A$2:$A$1201,INDEX(_LEITURA!$P$2:$P$21,10),DECKS!$B$2:$B$1201,$A329))</f>
        <v/>
      </c>
      <c r="U329" s="19" t="str">
        <f aca="false">IF(OR($A329="",INDEX(_LEITURA!$Q$2:$Q$21,11)=0),"",SUMIFS(DECKS!$D$2:$D$1201,DECKS!$A$2:$A$1201,INDEX(_LEITURA!$P$2:$P$21,11),DECKS!$B$2:$B$1201,$A329))</f>
        <v/>
      </c>
      <c r="V329" s="19" t="str">
        <f aca="false">IF(OR($A329="",INDEX(_LEITURA!$Q$2:$Q$21,12)=0),"",SUMIFS(DECKS!$D$2:$D$1201,DECKS!$A$2:$A$1201,INDEX(_LEITURA!$P$2:$P$21,12),DECKS!$B$2:$B$1201,$A329))</f>
        <v/>
      </c>
      <c r="W329" s="19" t="str">
        <f aca="false">IF(OR($A329="",INDEX(_LEITURA!$Q$2:$Q$21,13)=0),"",SUMIFS(DECKS!$D$2:$D$1201,DECKS!$A$2:$A$1201,INDEX(_LEITURA!$P$2:$P$21,13),DECKS!$B$2:$B$1201,$A329))</f>
        <v/>
      </c>
      <c r="X329" s="19" t="str">
        <f aca="false">IF(OR($A329="",INDEX(_LEITURA!$Q$2:$Q$21,14)=0),"",SUMIFS(DECKS!$D$2:$D$1201,DECKS!$A$2:$A$1201,INDEX(_LEITURA!$P$2:$P$21,14),DECKS!$B$2:$B$1201,$A329))</f>
        <v/>
      </c>
      <c r="Y329" s="19" t="str">
        <f aca="false">IF(OR($A329="",INDEX(_LEITURA!$Q$2:$Q$21,15)=0),"",SUMIFS(DECKS!$D$2:$D$1201,DECKS!$A$2:$A$1201,INDEX(_LEITURA!$P$2:$P$21,15),DECKS!$B$2:$B$1201,$A329))</f>
        <v/>
      </c>
      <c r="Z329" s="19" t="str">
        <f aca="false">IF(OR($A329="",INDEX(_LEITURA!$Q$2:$Q$21,16)=0),"",SUMIFS(DECKS!$D$2:$D$1201,DECKS!$A$2:$A$1201,INDEX(_LEITURA!$P$2:$P$21,16),DECKS!$B$2:$B$1201,$A329))</f>
        <v/>
      </c>
      <c r="AA329" s="19" t="str">
        <f aca="false">IF(OR($A329="",INDEX(_LEITURA!$Q$2:$Q$21,17)=0),"",SUMIFS(DECKS!$D$2:$D$1201,DECKS!$A$2:$A$1201,INDEX(_LEITURA!$P$2:$P$21,17),DECKS!$B$2:$B$1201,$A329))</f>
        <v/>
      </c>
      <c r="AB329" s="19" t="str">
        <f aca="false">IF(OR($A329="",INDEX(_LEITURA!$Q$2:$Q$21,18)=0),"",SUMIFS(DECKS!$D$2:$D$1201,DECKS!$A$2:$A$1201,INDEX(_LEITURA!$P$2:$P$21,18),DECKS!$B$2:$B$1201,$A329))</f>
        <v/>
      </c>
      <c r="AC329" s="19" t="str">
        <f aca="false">IF(OR($A329="",INDEX(_LEITURA!$Q$2:$Q$21,19)=0),"",SUMIFS(DECKS!$D$2:$D$1201,DECKS!$A$2:$A$1201,INDEX(_LEITURA!$P$2:$P$21,19),DECKS!$B$2:$B$1201,$A329))</f>
        <v/>
      </c>
      <c r="AD329" s="19" t="str">
        <f aca="false">IF(OR($A329="",INDEX(_LEITURA!$Q$2:$Q$21,20)=0),"",SUMIFS(DECKS!$D$2:$D$1201,DECKS!$A$2:$A$1201,INDEX(_LEITURA!$P$2:$P$21,20),DECKS!$B$2:$B$1201,$A329))</f>
        <v/>
      </c>
      <c r="AE329" s="16" t="str">
        <f aca="false">IF(N(E329)&gt;0,MAX(AE$1:AE328)+1,"")</f>
        <v/>
      </c>
      <c r="AF329" s="11" t="str">
        <f aca="false">IF(A329="","",IFERROR(LEFT(A329,FIND("-",A329)-1),A329))</f>
        <v/>
      </c>
      <c r="AG329" s="11" t="str">
        <f aca="false">IF(AF329="","",IF(ISNUMBER(--MID(AF329,1,1)),0,IF(ISNUMBER(--MID(AF329,2,1)),1,IF(ISNUMBER(--MID(AF329,3,1)),2,IF(ISNUMBER(--MID(AF329,4,1)),3,MIN(LEN(AF329),4))))))</f>
        <v/>
      </c>
      <c r="AH329" s="11" t="str">
        <f aca="false">IF(A329="","",LEFT(AF329,AG329)&amp;REPT("0",4-AG329)&amp;RIGHT("000"&amp;IFERROR(VALUE(MID(AF329,AG329+1,9)),0),3)&amp;RIGHT("0000"&amp;IFERROR(VALUE(MID(A329,FIND("-",A329)+1,9)),0),4))</f>
        <v/>
      </c>
      <c r="AI329" s="11" t="str">
        <f aca="false">IF(OR(A329="",N(E329)&lt;=0),"",IF('FALTAS GERAL'!$M$1="Código","K"&amp;AH329&amp;RIGHT("00000"&amp;ROW(),5),IF('FALTAS GERAL'!$M$1="Nome","K"&amp;UPPER(SUBSTITUTE(SUBSTITUTE(SUBSTITUTE(B329,"*",""),"?",""),"~",""))&amp;"0"&amp;AH329&amp;RIGHT("00000"&amp;ROW(),5),IF('FALTAS GERAL'!$M$1="Falta (maior primeiro)","K"&amp;RIGHT("0000"&amp;(9999-E329),4)&amp;AH329&amp;RIGHT("00000"&amp;ROW(),5),IF('FALTAS GERAL'!$M$1="Nº de decks (maior primeiro)","K"&amp;RIGHT("00"&amp;(99-N(G329)),2)&amp;AH329&amp;RIGHT("00000"&amp;ROW(),5),"K"&amp;RIGHT("00000"&amp;ROW(),5))))))</f>
        <v/>
      </c>
      <c r="AJ329" s="11" t="str">
        <f aca="false">IF(AI329="","",COUNTIFS($AI$2:$AI$801,"&lt;"&amp;AI329,$E$2:$E$801,"&gt;0")+1)</f>
        <v/>
      </c>
      <c r="AK329" s="11" t="str">
        <f aca="false">IF(OR(A329="",N(E329)&lt;=0),"",COUNTIFS($AH$2:$AH$801,"&lt;"&amp;AH329,$E$2:$E$801,"&gt;0")+COUNTIFS($AH$2:AH329,AH329,$E$2:E329,"&gt;0"))</f>
        <v/>
      </c>
    </row>
    <row r="330" customFormat="false" ht="15" hidden="false" customHeight="false" outlineLevel="0" collapsed="false">
      <c r="A330" s="11" t="str">
        <f aca="false">IF(INVENTÁRIO!A330="","",INVENTÁRIO!A330)</f>
        <v/>
      </c>
      <c r="B330" s="11" t="str">
        <f aca="false">IF(A330="","",INVENTÁRIO!B330)</f>
        <v/>
      </c>
      <c r="C330" s="16" t="str">
        <f aca="false">IF(A330="","",INVENTÁRIO!C330)</f>
        <v/>
      </c>
      <c r="D330" s="14" t="str">
        <f aca="false">IF(A330="","",MAX(K330:AD330))</f>
        <v/>
      </c>
      <c r="E330" s="14" t="str">
        <f aca="false">IF(A330="","",MAX(0,D330-C330))</f>
        <v/>
      </c>
      <c r="F330" s="16" t="str">
        <f aca="false">IF(A330="","",IF(D330=0,"Fora dos decks",IF(E330=0,"Completo","Falta")))</f>
        <v/>
      </c>
      <c r="G330" s="16" t="str">
        <f aca="false">IF(A330="","",COUNTIF(K330:AD330,"&gt;0"))</f>
        <v/>
      </c>
      <c r="H330" s="16" t="str">
        <f aca="false">IF(A330="","",IF(G330&gt;1,"Sim",""))</f>
        <v/>
      </c>
      <c r="I330" s="18" t="str">
        <f aca="false">IF(A330="","",SUMIFS(DECKS!$D$2:$D$1201,DECKS!$B$2:$B$1201,A330))</f>
        <v/>
      </c>
      <c r="J330" s="18" t="str">
        <f aca="false">IF(A330="","",MAX(0,I330-C330))</f>
        <v/>
      </c>
      <c r="K330" s="19" t="str">
        <f aca="false">IF(OR($A330="",INDEX(_LEITURA!$Q$2:$Q$21,1)=0),"",SUMIFS(DECKS!$D$2:$D$1201,DECKS!$A$2:$A$1201,INDEX(_LEITURA!$P$2:$P$21,1),DECKS!$B$2:$B$1201,$A330))</f>
        <v/>
      </c>
      <c r="L330" s="19" t="str">
        <f aca="false">IF(OR($A330="",INDEX(_LEITURA!$Q$2:$Q$21,2)=0),"",SUMIFS(DECKS!$D$2:$D$1201,DECKS!$A$2:$A$1201,INDEX(_LEITURA!$P$2:$P$21,2),DECKS!$B$2:$B$1201,$A330))</f>
        <v/>
      </c>
      <c r="M330" s="19" t="str">
        <f aca="false">IF(OR($A330="",INDEX(_LEITURA!$Q$2:$Q$21,3)=0),"",SUMIFS(DECKS!$D$2:$D$1201,DECKS!$A$2:$A$1201,INDEX(_LEITURA!$P$2:$P$21,3),DECKS!$B$2:$B$1201,$A330))</f>
        <v/>
      </c>
      <c r="N330" s="19" t="str">
        <f aca="false">IF(OR($A330="",INDEX(_LEITURA!$Q$2:$Q$21,4)=0),"",SUMIFS(DECKS!$D$2:$D$1201,DECKS!$A$2:$A$1201,INDEX(_LEITURA!$P$2:$P$21,4),DECKS!$B$2:$B$1201,$A330))</f>
        <v/>
      </c>
      <c r="O330" s="19" t="str">
        <f aca="false">IF(OR($A330="",INDEX(_LEITURA!$Q$2:$Q$21,5)=0),"",SUMIFS(DECKS!$D$2:$D$1201,DECKS!$A$2:$A$1201,INDEX(_LEITURA!$P$2:$P$21,5),DECKS!$B$2:$B$1201,$A330))</f>
        <v/>
      </c>
      <c r="P330" s="19" t="str">
        <f aca="false">IF(OR($A330="",INDEX(_LEITURA!$Q$2:$Q$21,6)=0),"",SUMIFS(DECKS!$D$2:$D$1201,DECKS!$A$2:$A$1201,INDEX(_LEITURA!$P$2:$P$21,6),DECKS!$B$2:$B$1201,$A330))</f>
        <v/>
      </c>
      <c r="Q330" s="19" t="str">
        <f aca="false">IF(OR($A330="",INDEX(_LEITURA!$Q$2:$Q$21,7)=0),"",SUMIFS(DECKS!$D$2:$D$1201,DECKS!$A$2:$A$1201,INDEX(_LEITURA!$P$2:$P$21,7),DECKS!$B$2:$B$1201,$A330))</f>
        <v/>
      </c>
      <c r="R330" s="19" t="str">
        <f aca="false">IF(OR($A330="",INDEX(_LEITURA!$Q$2:$Q$21,8)=0),"",SUMIFS(DECKS!$D$2:$D$1201,DECKS!$A$2:$A$1201,INDEX(_LEITURA!$P$2:$P$21,8),DECKS!$B$2:$B$1201,$A330))</f>
        <v/>
      </c>
      <c r="S330" s="19" t="str">
        <f aca="false">IF(OR($A330="",INDEX(_LEITURA!$Q$2:$Q$21,9)=0),"",SUMIFS(DECKS!$D$2:$D$1201,DECKS!$A$2:$A$1201,INDEX(_LEITURA!$P$2:$P$21,9),DECKS!$B$2:$B$1201,$A330))</f>
        <v/>
      </c>
      <c r="T330" s="19" t="str">
        <f aca="false">IF(OR($A330="",INDEX(_LEITURA!$Q$2:$Q$21,10)=0),"",SUMIFS(DECKS!$D$2:$D$1201,DECKS!$A$2:$A$1201,INDEX(_LEITURA!$P$2:$P$21,10),DECKS!$B$2:$B$1201,$A330))</f>
        <v/>
      </c>
      <c r="U330" s="19" t="str">
        <f aca="false">IF(OR($A330="",INDEX(_LEITURA!$Q$2:$Q$21,11)=0),"",SUMIFS(DECKS!$D$2:$D$1201,DECKS!$A$2:$A$1201,INDEX(_LEITURA!$P$2:$P$21,11),DECKS!$B$2:$B$1201,$A330))</f>
        <v/>
      </c>
      <c r="V330" s="19" t="str">
        <f aca="false">IF(OR($A330="",INDEX(_LEITURA!$Q$2:$Q$21,12)=0),"",SUMIFS(DECKS!$D$2:$D$1201,DECKS!$A$2:$A$1201,INDEX(_LEITURA!$P$2:$P$21,12),DECKS!$B$2:$B$1201,$A330))</f>
        <v/>
      </c>
      <c r="W330" s="19" t="str">
        <f aca="false">IF(OR($A330="",INDEX(_LEITURA!$Q$2:$Q$21,13)=0),"",SUMIFS(DECKS!$D$2:$D$1201,DECKS!$A$2:$A$1201,INDEX(_LEITURA!$P$2:$P$21,13),DECKS!$B$2:$B$1201,$A330))</f>
        <v/>
      </c>
      <c r="X330" s="19" t="str">
        <f aca="false">IF(OR($A330="",INDEX(_LEITURA!$Q$2:$Q$21,14)=0),"",SUMIFS(DECKS!$D$2:$D$1201,DECKS!$A$2:$A$1201,INDEX(_LEITURA!$P$2:$P$21,14),DECKS!$B$2:$B$1201,$A330))</f>
        <v/>
      </c>
      <c r="Y330" s="19" t="str">
        <f aca="false">IF(OR($A330="",INDEX(_LEITURA!$Q$2:$Q$21,15)=0),"",SUMIFS(DECKS!$D$2:$D$1201,DECKS!$A$2:$A$1201,INDEX(_LEITURA!$P$2:$P$21,15),DECKS!$B$2:$B$1201,$A330))</f>
        <v/>
      </c>
      <c r="Z330" s="19" t="str">
        <f aca="false">IF(OR($A330="",INDEX(_LEITURA!$Q$2:$Q$21,16)=0),"",SUMIFS(DECKS!$D$2:$D$1201,DECKS!$A$2:$A$1201,INDEX(_LEITURA!$P$2:$P$21,16),DECKS!$B$2:$B$1201,$A330))</f>
        <v/>
      </c>
      <c r="AA330" s="19" t="str">
        <f aca="false">IF(OR($A330="",INDEX(_LEITURA!$Q$2:$Q$21,17)=0),"",SUMIFS(DECKS!$D$2:$D$1201,DECKS!$A$2:$A$1201,INDEX(_LEITURA!$P$2:$P$21,17),DECKS!$B$2:$B$1201,$A330))</f>
        <v/>
      </c>
      <c r="AB330" s="19" t="str">
        <f aca="false">IF(OR($A330="",INDEX(_LEITURA!$Q$2:$Q$21,18)=0),"",SUMIFS(DECKS!$D$2:$D$1201,DECKS!$A$2:$A$1201,INDEX(_LEITURA!$P$2:$P$21,18),DECKS!$B$2:$B$1201,$A330))</f>
        <v/>
      </c>
      <c r="AC330" s="19" t="str">
        <f aca="false">IF(OR($A330="",INDEX(_LEITURA!$Q$2:$Q$21,19)=0),"",SUMIFS(DECKS!$D$2:$D$1201,DECKS!$A$2:$A$1201,INDEX(_LEITURA!$P$2:$P$21,19),DECKS!$B$2:$B$1201,$A330))</f>
        <v/>
      </c>
      <c r="AD330" s="19" t="str">
        <f aca="false">IF(OR($A330="",INDEX(_LEITURA!$Q$2:$Q$21,20)=0),"",SUMIFS(DECKS!$D$2:$D$1201,DECKS!$A$2:$A$1201,INDEX(_LEITURA!$P$2:$P$21,20),DECKS!$B$2:$B$1201,$A330))</f>
        <v/>
      </c>
      <c r="AE330" s="16" t="str">
        <f aca="false">IF(N(E330)&gt;0,MAX(AE$1:AE329)+1,"")</f>
        <v/>
      </c>
      <c r="AF330" s="11" t="str">
        <f aca="false">IF(A330="","",IFERROR(LEFT(A330,FIND("-",A330)-1),A330))</f>
        <v/>
      </c>
      <c r="AG330" s="11" t="str">
        <f aca="false">IF(AF330="","",IF(ISNUMBER(--MID(AF330,1,1)),0,IF(ISNUMBER(--MID(AF330,2,1)),1,IF(ISNUMBER(--MID(AF330,3,1)),2,IF(ISNUMBER(--MID(AF330,4,1)),3,MIN(LEN(AF330),4))))))</f>
        <v/>
      </c>
      <c r="AH330" s="11" t="str">
        <f aca="false">IF(A330="","",LEFT(AF330,AG330)&amp;REPT("0",4-AG330)&amp;RIGHT("000"&amp;IFERROR(VALUE(MID(AF330,AG330+1,9)),0),3)&amp;RIGHT("0000"&amp;IFERROR(VALUE(MID(A330,FIND("-",A330)+1,9)),0),4))</f>
        <v/>
      </c>
      <c r="AI330" s="11" t="str">
        <f aca="false">IF(OR(A330="",N(E330)&lt;=0),"",IF('FALTAS GERAL'!$M$1="Código","K"&amp;AH330&amp;RIGHT("00000"&amp;ROW(),5),IF('FALTAS GERAL'!$M$1="Nome","K"&amp;UPPER(SUBSTITUTE(SUBSTITUTE(SUBSTITUTE(B330,"*",""),"?",""),"~",""))&amp;"0"&amp;AH330&amp;RIGHT("00000"&amp;ROW(),5),IF('FALTAS GERAL'!$M$1="Falta (maior primeiro)","K"&amp;RIGHT("0000"&amp;(9999-E330),4)&amp;AH330&amp;RIGHT("00000"&amp;ROW(),5),IF('FALTAS GERAL'!$M$1="Nº de decks (maior primeiro)","K"&amp;RIGHT("00"&amp;(99-N(G330)),2)&amp;AH330&amp;RIGHT("00000"&amp;ROW(),5),"K"&amp;RIGHT("00000"&amp;ROW(),5))))))</f>
        <v/>
      </c>
      <c r="AJ330" s="11" t="str">
        <f aca="false">IF(AI330="","",COUNTIFS($AI$2:$AI$801,"&lt;"&amp;AI330,$E$2:$E$801,"&gt;0")+1)</f>
        <v/>
      </c>
      <c r="AK330" s="11" t="str">
        <f aca="false">IF(OR(A330="",N(E330)&lt;=0),"",COUNTIFS($AH$2:$AH$801,"&lt;"&amp;AH330,$E$2:$E$801,"&gt;0")+COUNTIFS($AH$2:AH330,AH330,$E$2:E330,"&gt;0"))</f>
        <v/>
      </c>
    </row>
    <row r="331" customFormat="false" ht="15" hidden="false" customHeight="false" outlineLevel="0" collapsed="false">
      <c r="A331" s="11" t="str">
        <f aca="false">IF(INVENTÁRIO!A331="","",INVENTÁRIO!A331)</f>
        <v/>
      </c>
      <c r="B331" s="11" t="str">
        <f aca="false">IF(A331="","",INVENTÁRIO!B331)</f>
        <v/>
      </c>
      <c r="C331" s="16" t="str">
        <f aca="false">IF(A331="","",INVENTÁRIO!C331)</f>
        <v/>
      </c>
      <c r="D331" s="14" t="str">
        <f aca="false">IF(A331="","",MAX(K331:AD331))</f>
        <v/>
      </c>
      <c r="E331" s="14" t="str">
        <f aca="false">IF(A331="","",MAX(0,D331-C331))</f>
        <v/>
      </c>
      <c r="F331" s="16" t="str">
        <f aca="false">IF(A331="","",IF(D331=0,"Fora dos decks",IF(E331=0,"Completo","Falta")))</f>
        <v/>
      </c>
      <c r="G331" s="16" t="str">
        <f aca="false">IF(A331="","",COUNTIF(K331:AD331,"&gt;0"))</f>
        <v/>
      </c>
      <c r="H331" s="16" t="str">
        <f aca="false">IF(A331="","",IF(G331&gt;1,"Sim",""))</f>
        <v/>
      </c>
      <c r="I331" s="18" t="str">
        <f aca="false">IF(A331="","",SUMIFS(DECKS!$D$2:$D$1201,DECKS!$B$2:$B$1201,A331))</f>
        <v/>
      </c>
      <c r="J331" s="18" t="str">
        <f aca="false">IF(A331="","",MAX(0,I331-C331))</f>
        <v/>
      </c>
      <c r="K331" s="19" t="str">
        <f aca="false">IF(OR($A331="",INDEX(_LEITURA!$Q$2:$Q$21,1)=0),"",SUMIFS(DECKS!$D$2:$D$1201,DECKS!$A$2:$A$1201,INDEX(_LEITURA!$P$2:$P$21,1),DECKS!$B$2:$B$1201,$A331))</f>
        <v/>
      </c>
      <c r="L331" s="19" t="str">
        <f aca="false">IF(OR($A331="",INDEX(_LEITURA!$Q$2:$Q$21,2)=0),"",SUMIFS(DECKS!$D$2:$D$1201,DECKS!$A$2:$A$1201,INDEX(_LEITURA!$P$2:$P$21,2),DECKS!$B$2:$B$1201,$A331))</f>
        <v/>
      </c>
      <c r="M331" s="19" t="str">
        <f aca="false">IF(OR($A331="",INDEX(_LEITURA!$Q$2:$Q$21,3)=0),"",SUMIFS(DECKS!$D$2:$D$1201,DECKS!$A$2:$A$1201,INDEX(_LEITURA!$P$2:$P$21,3),DECKS!$B$2:$B$1201,$A331))</f>
        <v/>
      </c>
      <c r="N331" s="19" t="str">
        <f aca="false">IF(OR($A331="",INDEX(_LEITURA!$Q$2:$Q$21,4)=0),"",SUMIFS(DECKS!$D$2:$D$1201,DECKS!$A$2:$A$1201,INDEX(_LEITURA!$P$2:$P$21,4),DECKS!$B$2:$B$1201,$A331))</f>
        <v/>
      </c>
      <c r="O331" s="19" t="str">
        <f aca="false">IF(OR($A331="",INDEX(_LEITURA!$Q$2:$Q$21,5)=0),"",SUMIFS(DECKS!$D$2:$D$1201,DECKS!$A$2:$A$1201,INDEX(_LEITURA!$P$2:$P$21,5),DECKS!$B$2:$B$1201,$A331))</f>
        <v/>
      </c>
      <c r="P331" s="19" t="str">
        <f aca="false">IF(OR($A331="",INDEX(_LEITURA!$Q$2:$Q$21,6)=0),"",SUMIFS(DECKS!$D$2:$D$1201,DECKS!$A$2:$A$1201,INDEX(_LEITURA!$P$2:$P$21,6),DECKS!$B$2:$B$1201,$A331))</f>
        <v/>
      </c>
      <c r="Q331" s="19" t="str">
        <f aca="false">IF(OR($A331="",INDEX(_LEITURA!$Q$2:$Q$21,7)=0),"",SUMIFS(DECKS!$D$2:$D$1201,DECKS!$A$2:$A$1201,INDEX(_LEITURA!$P$2:$P$21,7),DECKS!$B$2:$B$1201,$A331))</f>
        <v/>
      </c>
      <c r="R331" s="19" t="str">
        <f aca="false">IF(OR($A331="",INDEX(_LEITURA!$Q$2:$Q$21,8)=0),"",SUMIFS(DECKS!$D$2:$D$1201,DECKS!$A$2:$A$1201,INDEX(_LEITURA!$P$2:$P$21,8),DECKS!$B$2:$B$1201,$A331))</f>
        <v/>
      </c>
      <c r="S331" s="19" t="str">
        <f aca="false">IF(OR($A331="",INDEX(_LEITURA!$Q$2:$Q$21,9)=0),"",SUMIFS(DECKS!$D$2:$D$1201,DECKS!$A$2:$A$1201,INDEX(_LEITURA!$P$2:$P$21,9),DECKS!$B$2:$B$1201,$A331))</f>
        <v/>
      </c>
      <c r="T331" s="19" t="str">
        <f aca="false">IF(OR($A331="",INDEX(_LEITURA!$Q$2:$Q$21,10)=0),"",SUMIFS(DECKS!$D$2:$D$1201,DECKS!$A$2:$A$1201,INDEX(_LEITURA!$P$2:$P$21,10),DECKS!$B$2:$B$1201,$A331))</f>
        <v/>
      </c>
      <c r="U331" s="19" t="str">
        <f aca="false">IF(OR($A331="",INDEX(_LEITURA!$Q$2:$Q$21,11)=0),"",SUMIFS(DECKS!$D$2:$D$1201,DECKS!$A$2:$A$1201,INDEX(_LEITURA!$P$2:$P$21,11),DECKS!$B$2:$B$1201,$A331))</f>
        <v/>
      </c>
      <c r="V331" s="19" t="str">
        <f aca="false">IF(OR($A331="",INDEX(_LEITURA!$Q$2:$Q$21,12)=0),"",SUMIFS(DECKS!$D$2:$D$1201,DECKS!$A$2:$A$1201,INDEX(_LEITURA!$P$2:$P$21,12),DECKS!$B$2:$B$1201,$A331))</f>
        <v/>
      </c>
      <c r="W331" s="19" t="str">
        <f aca="false">IF(OR($A331="",INDEX(_LEITURA!$Q$2:$Q$21,13)=0),"",SUMIFS(DECKS!$D$2:$D$1201,DECKS!$A$2:$A$1201,INDEX(_LEITURA!$P$2:$P$21,13),DECKS!$B$2:$B$1201,$A331))</f>
        <v/>
      </c>
      <c r="X331" s="19" t="str">
        <f aca="false">IF(OR($A331="",INDEX(_LEITURA!$Q$2:$Q$21,14)=0),"",SUMIFS(DECKS!$D$2:$D$1201,DECKS!$A$2:$A$1201,INDEX(_LEITURA!$P$2:$P$21,14),DECKS!$B$2:$B$1201,$A331))</f>
        <v/>
      </c>
      <c r="Y331" s="19" t="str">
        <f aca="false">IF(OR($A331="",INDEX(_LEITURA!$Q$2:$Q$21,15)=0),"",SUMIFS(DECKS!$D$2:$D$1201,DECKS!$A$2:$A$1201,INDEX(_LEITURA!$P$2:$P$21,15),DECKS!$B$2:$B$1201,$A331))</f>
        <v/>
      </c>
      <c r="Z331" s="19" t="str">
        <f aca="false">IF(OR($A331="",INDEX(_LEITURA!$Q$2:$Q$21,16)=0),"",SUMIFS(DECKS!$D$2:$D$1201,DECKS!$A$2:$A$1201,INDEX(_LEITURA!$P$2:$P$21,16),DECKS!$B$2:$B$1201,$A331))</f>
        <v/>
      </c>
      <c r="AA331" s="19" t="str">
        <f aca="false">IF(OR($A331="",INDEX(_LEITURA!$Q$2:$Q$21,17)=0),"",SUMIFS(DECKS!$D$2:$D$1201,DECKS!$A$2:$A$1201,INDEX(_LEITURA!$P$2:$P$21,17),DECKS!$B$2:$B$1201,$A331))</f>
        <v/>
      </c>
      <c r="AB331" s="19" t="str">
        <f aca="false">IF(OR($A331="",INDEX(_LEITURA!$Q$2:$Q$21,18)=0),"",SUMIFS(DECKS!$D$2:$D$1201,DECKS!$A$2:$A$1201,INDEX(_LEITURA!$P$2:$P$21,18),DECKS!$B$2:$B$1201,$A331))</f>
        <v/>
      </c>
      <c r="AC331" s="19" t="str">
        <f aca="false">IF(OR($A331="",INDEX(_LEITURA!$Q$2:$Q$21,19)=0),"",SUMIFS(DECKS!$D$2:$D$1201,DECKS!$A$2:$A$1201,INDEX(_LEITURA!$P$2:$P$21,19),DECKS!$B$2:$B$1201,$A331))</f>
        <v/>
      </c>
      <c r="AD331" s="19" t="str">
        <f aca="false">IF(OR($A331="",INDEX(_LEITURA!$Q$2:$Q$21,20)=0),"",SUMIFS(DECKS!$D$2:$D$1201,DECKS!$A$2:$A$1201,INDEX(_LEITURA!$P$2:$P$21,20),DECKS!$B$2:$B$1201,$A331))</f>
        <v/>
      </c>
      <c r="AE331" s="16" t="str">
        <f aca="false">IF(N(E331)&gt;0,MAX(AE$1:AE330)+1,"")</f>
        <v/>
      </c>
      <c r="AF331" s="11" t="str">
        <f aca="false">IF(A331="","",IFERROR(LEFT(A331,FIND("-",A331)-1),A331))</f>
        <v/>
      </c>
      <c r="AG331" s="11" t="str">
        <f aca="false">IF(AF331="","",IF(ISNUMBER(--MID(AF331,1,1)),0,IF(ISNUMBER(--MID(AF331,2,1)),1,IF(ISNUMBER(--MID(AF331,3,1)),2,IF(ISNUMBER(--MID(AF331,4,1)),3,MIN(LEN(AF331),4))))))</f>
        <v/>
      </c>
      <c r="AH331" s="11" t="str">
        <f aca="false">IF(A331="","",LEFT(AF331,AG331)&amp;REPT("0",4-AG331)&amp;RIGHT("000"&amp;IFERROR(VALUE(MID(AF331,AG331+1,9)),0),3)&amp;RIGHT("0000"&amp;IFERROR(VALUE(MID(A331,FIND("-",A331)+1,9)),0),4))</f>
        <v/>
      </c>
      <c r="AI331" s="11" t="str">
        <f aca="false">IF(OR(A331="",N(E331)&lt;=0),"",IF('FALTAS GERAL'!$M$1="Código","K"&amp;AH331&amp;RIGHT("00000"&amp;ROW(),5),IF('FALTAS GERAL'!$M$1="Nome","K"&amp;UPPER(SUBSTITUTE(SUBSTITUTE(SUBSTITUTE(B331,"*",""),"?",""),"~",""))&amp;"0"&amp;AH331&amp;RIGHT("00000"&amp;ROW(),5),IF('FALTAS GERAL'!$M$1="Falta (maior primeiro)","K"&amp;RIGHT("0000"&amp;(9999-E331),4)&amp;AH331&amp;RIGHT("00000"&amp;ROW(),5),IF('FALTAS GERAL'!$M$1="Nº de decks (maior primeiro)","K"&amp;RIGHT("00"&amp;(99-N(G331)),2)&amp;AH331&amp;RIGHT("00000"&amp;ROW(),5),"K"&amp;RIGHT("00000"&amp;ROW(),5))))))</f>
        <v/>
      </c>
      <c r="AJ331" s="11" t="str">
        <f aca="false">IF(AI331="","",COUNTIFS($AI$2:$AI$801,"&lt;"&amp;AI331,$E$2:$E$801,"&gt;0")+1)</f>
        <v/>
      </c>
      <c r="AK331" s="11" t="str">
        <f aca="false">IF(OR(A331="",N(E331)&lt;=0),"",COUNTIFS($AH$2:$AH$801,"&lt;"&amp;AH331,$E$2:$E$801,"&gt;0")+COUNTIFS($AH$2:AH331,AH331,$E$2:E331,"&gt;0"))</f>
        <v/>
      </c>
    </row>
    <row r="332" customFormat="false" ht="15" hidden="false" customHeight="false" outlineLevel="0" collapsed="false">
      <c r="A332" s="11" t="str">
        <f aca="false">IF(INVENTÁRIO!A332="","",INVENTÁRIO!A332)</f>
        <v/>
      </c>
      <c r="B332" s="11" t="str">
        <f aca="false">IF(A332="","",INVENTÁRIO!B332)</f>
        <v/>
      </c>
      <c r="C332" s="16" t="str">
        <f aca="false">IF(A332="","",INVENTÁRIO!C332)</f>
        <v/>
      </c>
      <c r="D332" s="14" t="str">
        <f aca="false">IF(A332="","",MAX(K332:AD332))</f>
        <v/>
      </c>
      <c r="E332" s="14" t="str">
        <f aca="false">IF(A332="","",MAX(0,D332-C332))</f>
        <v/>
      </c>
      <c r="F332" s="16" t="str">
        <f aca="false">IF(A332="","",IF(D332=0,"Fora dos decks",IF(E332=0,"Completo","Falta")))</f>
        <v/>
      </c>
      <c r="G332" s="16" t="str">
        <f aca="false">IF(A332="","",COUNTIF(K332:AD332,"&gt;0"))</f>
        <v/>
      </c>
      <c r="H332" s="16" t="str">
        <f aca="false">IF(A332="","",IF(G332&gt;1,"Sim",""))</f>
        <v/>
      </c>
      <c r="I332" s="18" t="str">
        <f aca="false">IF(A332="","",SUMIFS(DECKS!$D$2:$D$1201,DECKS!$B$2:$B$1201,A332))</f>
        <v/>
      </c>
      <c r="J332" s="18" t="str">
        <f aca="false">IF(A332="","",MAX(0,I332-C332))</f>
        <v/>
      </c>
      <c r="K332" s="19" t="str">
        <f aca="false">IF(OR($A332="",INDEX(_LEITURA!$Q$2:$Q$21,1)=0),"",SUMIFS(DECKS!$D$2:$D$1201,DECKS!$A$2:$A$1201,INDEX(_LEITURA!$P$2:$P$21,1),DECKS!$B$2:$B$1201,$A332))</f>
        <v/>
      </c>
      <c r="L332" s="19" t="str">
        <f aca="false">IF(OR($A332="",INDEX(_LEITURA!$Q$2:$Q$21,2)=0),"",SUMIFS(DECKS!$D$2:$D$1201,DECKS!$A$2:$A$1201,INDEX(_LEITURA!$P$2:$P$21,2),DECKS!$B$2:$B$1201,$A332))</f>
        <v/>
      </c>
      <c r="M332" s="19" t="str">
        <f aca="false">IF(OR($A332="",INDEX(_LEITURA!$Q$2:$Q$21,3)=0),"",SUMIFS(DECKS!$D$2:$D$1201,DECKS!$A$2:$A$1201,INDEX(_LEITURA!$P$2:$P$21,3),DECKS!$B$2:$B$1201,$A332))</f>
        <v/>
      </c>
      <c r="N332" s="19" t="str">
        <f aca="false">IF(OR($A332="",INDEX(_LEITURA!$Q$2:$Q$21,4)=0),"",SUMIFS(DECKS!$D$2:$D$1201,DECKS!$A$2:$A$1201,INDEX(_LEITURA!$P$2:$P$21,4),DECKS!$B$2:$B$1201,$A332))</f>
        <v/>
      </c>
      <c r="O332" s="19" t="str">
        <f aca="false">IF(OR($A332="",INDEX(_LEITURA!$Q$2:$Q$21,5)=0),"",SUMIFS(DECKS!$D$2:$D$1201,DECKS!$A$2:$A$1201,INDEX(_LEITURA!$P$2:$P$21,5),DECKS!$B$2:$B$1201,$A332))</f>
        <v/>
      </c>
      <c r="P332" s="19" t="str">
        <f aca="false">IF(OR($A332="",INDEX(_LEITURA!$Q$2:$Q$21,6)=0),"",SUMIFS(DECKS!$D$2:$D$1201,DECKS!$A$2:$A$1201,INDEX(_LEITURA!$P$2:$P$21,6),DECKS!$B$2:$B$1201,$A332))</f>
        <v/>
      </c>
      <c r="Q332" s="19" t="str">
        <f aca="false">IF(OR($A332="",INDEX(_LEITURA!$Q$2:$Q$21,7)=0),"",SUMIFS(DECKS!$D$2:$D$1201,DECKS!$A$2:$A$1201,INDEX(_LEITURA!$P$2:$P$21,7),DECKS!$B$2:$B$1201,$A332))</f>
        <v/>
      </c>
      <c r="R332" s="19" t="str">
        <f aca="false">IF(OR($A332="",INDEX(_LEITURA!$Q$2:$Q$21,8)=0),"",SUMIFS(DECKS!$D$2:$D$1201,DECKS!$A$2:$A$1201,INDEX(_LEITURA!$P$2:$P$21,8),DECKS!$B$2:$B$1201,$A332))</f>
        <v/>
      </c>
      <c r="S332" s="19" t="str">
        <f aca="false">IF(OR($A332="",INDEX(_LEITURA!$Q$2:$Q$21,9)=0),"",SUMIFS(DECKS!$D$2:$D$1201,DECKS!$A$2:$A$1201,INDEX(_LEITURA!$P$2:$P$21,9),DECKS!$B$2:$B$1201,$A332))</f>
        <v/>
      </c>
      <c r="T332" s="19" t="str">
        <f aca="false">IF(OR($A332="",INDEX(_LEITURA!$Q$2:$Q$21,10)=0),"",SUMIFS(DECKS!$D$2:$D$1201,DECKS!$A$2:$A$1201,INDEX(_LEITURA!$P$2:$P$21,10),DECKS!$B$2:$B$1201,$A332))</f>
        <v/>
      </c>
      <c r="U332" s="19" t="str">
        <f aca="false">IF(OR($A332="",INDEX(_LEITURA!$Q$2:$Q$21,11)=0),"",SUMIFS(DECKS!$D$2:$D$1201,DECKS!$A$2:$A$1201,INDEX(_LEITURA!$P$2:$P$21,11),DECKS!$B$2:$B$1201,$A332))</f>
        <v/>
      </c>
      <c r="V332" s="19" t="str">
        <f aca="false">IF(OR($A332="",INDEX(_LEITURA!$Q$2:$Q$21,12)=0),"",SUMIFS(DECKS!$D$2:$D$1201,DECKS!$A$2:$A$1201,INDEX(_LEITURA!$P$2:$P$21,12),DECKS!$B$2:$B$1201,$A332))</f>
        <v/>
      </c>
      <c r="W332" s="19" t="str">
        <f aca="false">IF(OR($A332="",INDEX(_LEITURA!$Q$2:$Q$21,13)=0),"",SUMIFS(DECKS!$D$2:$D$1201,DECKS!$A$2:$A$1201,INDEX(_LEITURA!$P$2:$P$21,13),DECKS!$B$2:$B$1201,$A332))</f>
        <v/>
      </c>
      <c r="X332" s="19" t="str">
        <f aca="false">IF(OR($A332="",INDEX(_LEITURA!$Q$2:$Q$21,14)=0),"",SUMIFS(DECKS!$D$2:$D$1201,DECKS!$A$2:$A$1201,INDEX(_LEITURA!$P$2:$P$21,14),DECKS!$B$2:$B$1201,$A332))</f>
        <v/>
      </c>
      <c r="Y332" s="19" t="str">
        <f aca="false">IF(OR($A332="",INDEX(_LEITURA!$Q$2:$Q$21,15)=0),"",SUMIFS(DECKS!$D$2:$D$1201,DECKS!$A$2:$A$1201,INDEX(_LEITURA!$P$2:$P$21,15),DECKS!$B$2:$B$1201,$A332))</f>
        <v/>
      </c>
      <c r="Z332" s="19" t="str">
        <f aca="false">IF(OR($A332="",INDEX(_LEITURA!$Q$2:$Q$21,16)=0),"",SUMIFS(DECKS!$D$2:$D$1201,DECKS!$A$2:$A$1201,INDEX(_LEITURA!$P$2:$P$21,16),DECKS!$B$2:$B$1201,$A332))</f>
        <v/>
      </c>
      <c r="AA332" s="19" t="str">
        <f aca="false">IF(OR($A332="",INDEX(_LEITURA!$Q$2:$Q$21,17)=0),"",SUMIFS(DECKS!$D$2:$D$1201,DECKS!$A$2:$A$1201,INDEX(_LEITURA!$P$2:$P$21,17),DECKS!$B$2:$B$1201,$A332))</f>
        <v/>
      </c>
      <c r="AB332" s="19" t="str">
        <f aca="false">IF(OR($A332="",INDEX(_LEITURA!$Q$2:$Q$21,18)=0),"",SUMIFS(DECKS!$D$2:$D$1201,DECKS!$A$2:$A$1201,INDEX(_LEITURA!$P$2:$P$21,18),DECKS!$B$2:$B$1201,$A332))</f>
        <v/>
      </c>
      <c r="AC332" s="19" t="str">
        <f aca="false">IF(OR($A332="",INDEX(_LEITURA!$Q$2:$Q$21,19)=0),"",SUMIFS(DECKS!$D$2:$D$1201,DECKS!$A$2:$A$1201,INDEX(_LEITURA!$P$2:$P$21,19),DECKS!$B$2:$B$1201,$A332))</f>
        <v/>
      </c>
      <c r="AD332" s="19" t="str">
        <f aca="false">IF(OR($A332="",INDEX(_LEITURA!$Q$2:$Q$21,20)=0),"",SUMIFS(DECKS!$D$2:$D$1201,DECKS!$A$2:$A$1201,INDEX(_LEITURA!$P$2:$P$21,20),DECKS!$B$2:$B$1201,$A332))</f>
        <v/>
      </c>
      <c r="AE332" s="16" t="str">
        <f aca="false">IF(N(E332)&gt;0,MAX(AE$1:AE331)+1,"")</f>
        <v/>
      </c>
      <c r="AF332" s="11" t="str">
        <f aca="false">IF(A332="","",IFERROR(LEFT(A332,FIND("-",A332)-1),A332))</f>
        <v/>
      </c>
      <c r="AG332" s="11" t="str">
        <f aca="false">IF(AF332="","",IF(ISNUMBER(--MID(AF332,1,1)),0,IF(ISNUMBER(--MID(AF332,2,1)),1,IF(ISNUMBER(--MID(AF332,3,1)),2,IF(ISNUMBER(--MID(AF332,4,1)),3,MIN(LEN(AF332),4))))))</f>
        <v/>
      </c>
      <c r="AH332" s="11" t="str">
        <f aca="false">IF(A332="","",LEFT(AF332,AG332)&amp;REPT("0",4-AG332)&amp;RIGHT("000"&amp;IFERROR(VALUE(MID(AF332,AG332+1,9)),0),3)&amp;RIGHT("0000"&amp;IFERROR(VALUE(MID(A332,FIND("-",A332)+1,9)),0),4))</f>
        <v/>
      </c>
      <c r="AI332" s="11" t="str">
        <f aca="false">IF(OR(A332="",N(E332)&lt;=0),"",IF('FALTAS GERAL'!$M$1="Código","K"&amp;AH332&amp;RIGHT("00000"&amp;ROW(),5),IF('FALTAS GERAL'!$M$1="Nome","K"&amp;UPPER(SUBSTITUTE(SUBSTITUTE(SUBSTITUTE(B332,"*",""),"?",""),"~",""))&amp;"0"&amp;AH332&amp;RIGHT("00000"&amp;ROW(),5),IF('FALTAS GERAL'!$M$1="Falta (maior primeiro)","K"&amp;RIGHT("0000"&amp;(9999-E332),4)&amp;AH332&amp;RIGHT("00000"&amp;ROW(),5),IF('FALTAS GERAL'!$M$1="Nº de decks (maior primeiro)","K"&amp;RIGHT("00"&amp;(99-N(G332)),2)&amp;AH332&amp;RIGHT("00000"&amp;ROW(),5),"K"&amp;RIGHT("00000"&amp;ROW(),5))))))</f>
        <v/>
      </c>
      <c r="AJ332" s="11" t="str">
        <f aca="false">IF(AI332="","",COUNTIFS($AI$2:$AI$801,"&lt;"&amp;AI332,$E$2:$E$801,"&gt;0")+1)</f>
        <v/>
      </c>
      <c r="AK332" s="11" t="str">
        <f aca="false">IF(OR(A332="",N(E332)&lt;=0),"",COUNTIFS($AH$2:$AH$801,"&lt;"&amp;AH332,$E$2:$E$801,"&gt;0")+COUNTIFS($AH$2:AH332,AH332,$E$2:E332,"&gt;0"))</f>
        <v/>
      </c>
    </row>
    <row r="333" customFormat="false" ht="15" hidden="false" customHeight="false" outlineLevel="0" collapsed="false">
      <c r="A333" s="11" t="str">
        <f aca="false">IF(INVENTÁRIO!A333="","",INVENTÁRIO!A333)</f>
        <v/>
      </c>
      <c r="B333" s="11" t="str">
        <f aca="false">IF(A333="","",INVENTÁRIO!B333)</f>
        <v/>
      </c>
      <c r="C333" s="16" t="str">
        <f aca="false">IF(A333="","",INVENTÁRIO!C333)</f>
        <v/>
      </c>
      <c r="D333" s="14" t="str">
        <f aca="false">IF(A333="","",MAX(K333:AD333))</f>
        <v/>
      </c>
      <c r="E333" s="14" t="str">
        <f aca="false">IF(A333="","",MAX(0,D333-C333))</f>
        <v/>
      </c>
      <c r="F333" s="16" t="str">
        <f aca="false">IF(A333="","",IF(D333=0,"Fora dos decks",IF(E333=0,"Completo","Falta")))</f>
        <v/>
      </c>
      <c r="G333" s="16" t="str">
        <f aca="false">IF(A333="","",COUNTIF(K333:AD333,"&gt;0"))</f>
        <v/>
      </c>
      <c r="H333" s="16" t="str">
        <f aca="false">IF(A333="","",IF(G333&gt;1,"Sim",""))</f>
        <v/>
      </c>
      <c r="I333" s="18" t="str">
        <f aca="false">IF(A333="","",SUMIFS(DECKS!$D$2:$D$1201,DECKS!$B$2:$B$1201,A333))</f>
        <v/>
      </c>
      <c r="J333" s="18" t="str">
        <f aca="false">IF(A333="","",MAX(0,I333-C333))</f>
        <v/>
      </c>
      <c r="K333" s="19" t="str">
        <f aca="false">IF(OR($A333="",INDEX(_LEITURA!$Q$2:$Q$21,1)=0),"",SUMIFS(DECKS!$D$2:$D$1201,DECKS!$A$2:$A$1201,INDEX(_LEITURA!$P$2:$P$21,1),DECKS!$B$2:$B$1201,$A333))</f>
        <v/>
      </c>
      <c r="L333" s="19" t="str">
        <f aca="false">IF(OR($A333="",INDEX(_LEITURA!$Q$2:$Q$21,2)=0),"",SUMIFS(DECKS!$D$2:$D$1201,DECKS!$A$2:$A$1201,INDEX(_LEITURA!$P$2:$P$21,2),DECKS!$B$2:$B$1201,$A333))</f>
        <v/>
      </c>
      <c r="M333" s="19" t="str">
        <f aca="false">IF(OR($A333="",INDEX(_LEITURA!$Q$2:$Q$21,3)=0),"",SUMIFS(DECKS!$D$2:$D$1201,DECKS!$A$2:$A$1201,INDEX(_LEITURA!$P$2:$P$21,3),DECKS!$B$2:$B$1201,$A333))</f>
        <v/>
      </c>
      <c r="N333" s="19" t="str">
        <f aca="false">IF(OR($A333="",INDEX(_LEITURA!$Q$2:$Q$21,4)=0),"",SUMIFS(DECKS!$D$2:$D$1201,DECKS!$A$2:$A$1201,INDEX(_LEITURA!$P$2:$P$21,4),DECKS!$B$2:$B$1201,$A333))</f>
        <v/>
      </c>
      <c r="O333" s="19" t="str">
        <f aca="false">IF(OR($A333="",INDEX(_LEITURA!$Q$2:$Q$21,5)=0),"",SUMIFS(DECKS!$D$2:$D$1201,DECKS!$A$2:$A$1201,INDEX(_LEITURA!$P$2:$P$21,5),DECKS!$B$2:$B$1201,$A333))</f>
        <v/>
      </c>
      <c r="P333" s="19" t="str">
        <f aca="false">IF(OR($A333="",INDEX(_LEITURA!$Q$2:$Q$21,6)=0),"",SUMIFS(DECKS!$D$2:$D$1201,DECKS!$A$2:$A$1201,INDEX(_LEITURA!$P$2:$P$21,6),DECKS!$B$2:$B$1201,$A333))</f>
        <v/>
      </c>
      <c r="Q333" s="19" t="str">
        <f aca="false">IF(OR($A333="",INDEX(_LEITURA!$Q$2:$Q$21,7)=0),"",SUMIFS(DECKS!$D$2:$D$1201,DECKS!$A$2:$A$1201,INDEX(_LEITURA!$P$2:$P$21,7),DECKS!$B$2:$B$1201,$A333))</f>
        <v/>
      </c>
      <c r="R333" s="19" t="str">
        <f aca="false">IF(OR($A333="",INDEX(_LEITURA!$Q$2:$Q$21,8)=0),"",SUMIFS(DECKS!$D$2:$D$1201,DECKS!$A$2:$A$1201,INDEX(_LEITURA!$P$2:$P$21,8),DECKS!$B$2:$B$1201,$A333))</f>
        <v/>
      </c>
      <c r="S333" s="19" t="str">
        <f aca="false">IF(OR($A333="",INDEX(_LEITURA!$Q$2:$Q$21,9)=0),"",SUMIFS(DECKS!$D$2:$D$1201,DECKS!$A$2:$A$1201,INDEX(_LEITURA!$P$2:$P$21,9),DECKS!$B$2:$B$1201,$A333))</f>
        <v/>
      </c>
      <c r="T333" s="19" t="str">
        <f aca="false">IF(OR($A333="",INDEX(_LEITURA!$Q$2:$Q$21,10)=0),"",SUMIFS(DECKS!$D$2:$D$1201,DECKS!$A$2:$A$1201,INDEX(_LEITURA!$P$2:$P$21,10),DECKS!$B$2:$B$1201,$A333))</f>
        <v/>
      </c>
      <c r="U333" s="19" t="str">
        <f aca="false">IF(OR($A333="",INDEX(_LEITURA!$Q$2:$Q$21,11)=0),"",SUMIFS(DECKS!$D$2:$D$1201,DECKS!$A$2:$A$1201,INDEX(_LEITURA!$P$2:$P$21,11),DECKS!$B$2:$B$1201,$A333))</f>
        <v/>
      </c>
      <c r="V333" s="19" t="str">
        <f aca="false">IF(OR($A333="",INDEX(_LEITURA!$Q$2:$Q$21,12)=0),"",SUMIFS(DECKS!$D$2:$D$1201,DECKS!$A$2:$A$1201,INDEX(_LEITURA!$P$2:$P$21,12),DECKS!$B$2:$B$1201,$A333))</f>
        <v/>
      </c>
      <c r="W333" s="19" t="str">
        <f aca="false">IF(OR($A333="",INDEX(_LEITURA!$Q$2:$Q$21,13)=0),"",SUMIFS(DECKS!$D$2:$D$1201,DECKS!$A$2:$A$1201,INDEX(_LEITURA!$P$2:$P$21,13),DECKS!$B$2:$B$1201,$A333))</f>
        <v/>
      </c>
      <c r="X333" s="19" t="str">
        <f aca="false">IF(OR($A333="",INDEX(_LEITURA!$Q$2:$Q$21,14)=0),"",SUMIFS(DECKS!$D$2:$D$1201,DECKS!$A$2:$A$1201,INDEX(_LEITURA!$P$2:$P$21,14),DECKS!$B$2:$B$1201,$A333))</f>
        <v/>
      </c>
      <c r="Y333" s="19" t="str">
        <f aca="false">IF(OR($A333="",INDEX(_LEITURA!$Q$2:$Q$21,15)=0),"",SUMIFS(DECKS!$D$2:$D$1201,DECKS!$A$2:$A$1201,INDEX(_LEITURA!$P$2:$P$21,15),DECKS!$B$2:$B$1201,$A333))</f>
        <v/>
      </c>
      <c r="Z333" s="19" t="str">
        <f aca="false">IF(OR($A333="",INDEX(_LEITURA!$Q$2:$Q$21,16)=0),"",SUMIFS(DECKS!$D$2:$D$1201,DECKS!$A$2:$A$1201,INDEX(_LEITURA!$P$2:$P$21,16),DECKS!$B$2:$B$1201,$A333))</f>
        <v/>
      </c>
      <c r="AA333" s="19" t="str">
        <f aca="false">IF(OR($A333="",INDEX(_LEITURA!$Q$2:$Q$21,17)=0),"",SUMIFS(DECKS!$D$2:$D$1201,DECKS!$A$2:$A$1201,INDEX(_LEITURA!$P$2:$P$21,17),DECKS!$B$2:$B$1201,$A333))</f>
        <v/>
      </c>
      <c r="AB333" s="19" t="str">
        <f aca="false">IF(OR($A333="",INDEX(_LEITURA!$Q$2:$Q$21,18)=0),"",SUMIFS(DECKS!$D$2:$D$1201,DECKS!$A$2:$A$1201,INDEX(_LEITURA!$P$2:$P$21,18),DECKS!$B$2:$B$1201,$A333))</f>
        <v/>
      </c>
      <c r="AC333" s="19" t="str">
        <f aca="false">IF(OR($A333="",INDEX(_LEITURA!$Q$2:$Q$21,19)=0),"",SUMIFS(DECKS!$D$2:$D$1201,DECKS!$A$2:$A$1201,INDEX(_LEITURA!$P$2:$P$21,19),DECKS!$B$2:$B$1201,$A333))</f>
        <v/>
      </c>
      <c r="AD333" s="19" t="str">
        <f aca="false">IF(OR($A333="",INDEX(_LEITURA!$Q$2:$Q$21,20)=0),"",SUMIFS(DECKS!$D$2:$D$1201,DECKS!$A$2:$A$1201,INDEX(_LEITURA!$P$2:$P$21,20),DECKS!$B$2:$B$1201,$A333))</f>
        <v/>
      </c>
      <c r="AE333" s="16" t="str">
        <f aca="false">IF(N(E333)&gt;0,MAX(AE$1:AE332)+1,"")</f>
        <v/>
      </c>
      <c r="AF333" s="11" t="str">
        <f aca="false">IF(A333="","",IFERROR(LEFT(A333,FIND("-",A333)-1),A333))</f>
        <v/>
      </c>
      <c r="AG333" s="11" t="str">
        <f aca="false">IF(AF333="","",IF(ISNUMBER(--MID(AF333,1,1)),0,IF(ISNUMBER(--MID(AF333,2,1)),1,IF(ISNUMBER(--MID(AF333,3,1)),2,IF(ISNUMBER(--MID(AF333,4,1)),3,MIN(LEN(AF333),4))))))</f>
        <v/>
      </c>
      <c r="AH333" s="11" t="str">
        <f aca="false">IF(A333="","",LEFT(AF333,AG333)&amp;REPT("0",4-AG333)&amp;RIGHT("000"&amp;IFERROR(VALUE(MID(AF333,AG333+1,9)),0),3)&amp;RIGHT("0000"&amp;IFERROR(VALUE(MID(A333,FIND("-",A333)+1,9)),0),4))</f>
        <v/>
      </c>
      <c r="AI333" s="11" t="str">
        <f aca="false">IF(OR(A333="",N(E333)&lt;=0),"",IF('FALTAS GERAL'!$M$1="Código","K"&amp;AH333&amp;RIGHT("00000"&amp;ROW(),5),IF('FALTAS GERAL'!$M$1="Nome","K"&amp;UPPER(SUBSTITUTE(SUBSTITUTE(SUBSTITUTE(B333,"*",""),"?",""),"~",""))&amp;"0"&amp;AH333&amp;RIGHT("00000"&amp;ROW(),5),IF('FALTAS GERAL'!$M$1="Falta (maior primeiro)","K"&amp;RIGHT("0000"&amp;(9999-E333),4)&amp;AH333&amp;RIGHT("00000"&amp;ROW(),5),IF('FALTAS GERAL'!$M$1="Nº de decks (maior primeiro)","K"&amp;RIGHT("00"&amp;(99-N(G333)),2)&amp;AH333&amp;RIGHT("00000"&amp;ROW(),5),"K"&amp;RIGHT("00000"&amp;ROW(),5))))))</f>
        <v/>
      </c>
      <c r="AJ333" s="11" t="str">
        <f aca="false">IF(AI333="","",COUNTIFS($AI$2:$AI$801,"&lt;"&amp;AI333,$E$2:$E$801,"&gt;0")+1)</f>
        <v/>
      </c>
      <c r="AK333" s="11" t="str">
        <f aca="false">IF(OR(A333="",N(E333)&lt;=0),"",COUNTIFS($AH$2:$AH$801,"&lt;"&amp;AH333,$E$2:$E$801,"&gt;0")+COUNTIFS($AH$2:AH333,AH333,$E$2:E333,"&gt;0"))</f>
        <v/>
      </c>
    </row>
    <row r="334" customFormat="false" ht="15" hidden="false" customHeight="false" outlineLevel="0" collapsed="false">
      <c r="A334" s="11" t="str">
        <f aca="false">IF(INVENTÁRIO!A334="","",INVENTÁRIO!A334)</f>
        <v/>
      </c>
      <c r="B334" s="11" t="str">
        <f aca="false">IF(A334="","",INVENTÁRIO!B334)</f>
        <v/>
      </c>
      <c r="C334" s="16" t="str">
        <f aca="false">IF(A334="","",INVENTÁRIO!C334)</f>
        <v/>
      </c>
      <c r="D334" s="14" t="str">
        <f aca="false">IF(A334="","",MAX(K334:AD334))</f>
        <v/>
      </c>
      <c r="E334" s="14" t="str">
        <f aca="false">IF(A334="","",MAX(0,D334-C334))</f>
        <v/>
      </c>
      <c r="F334" s="16" t="str">
        <f aca="false">IF(A334="","",IF(D334=0,"Fora dos decks",IF(E334=0,"Completo","Falta")))</f>
        <v/>
      </c>
      <c r="G334" s="16" t="str">
        <f aca="false">IF(A334="","",COUNTIF(K334:AD334,"&gt;0"))</f>
        <v/>
      </c>
      <c r="H334" s="16" t="str">
        <f aca="false">IF(A334="","",IF(G334&gt;1,"Sim",""))</f>
        <v/>
      </c>
      <c r="I334" s="18" t="str">
        <f aca="false">IF(A334="","",SUMIFS(DECKS!$D$2:$D$1201,DECKS!$B$2:$B$1201,A334))</f>
        <v/>
      </c>
      <c r="J334" s="18" t="str">
        <f aca="false">IF(A334="","",MAX(0,I334-C334))</f>
        <v/>
      </c>
      <c r="K334" s="19" t="str">
        <f aca="false">IF(OR($A334="",INDEX(_LEITURA!$Q$2:$Q$21,1)=0),"",SUMIFS(DECKS!$D$2:$D$1201,DECKS!$A$2:$A$1201,INDEX(_LEITURA!$P$2:$P$21,1),DECKS!$B$2:$B$1201,$A334))</f>
        <v/>
      </c>
      <c r="L334" s="19" t="str">
        <f aca="false">IF(OR($A334="",INDEX(_LEITURA!$Q$2:$Q$21,2)=0),"",SUMIFS(DECKS!$D$2:$D$1201,DECKS!$A$2:$A$1201,INDEX(_LEITURA!$P$2:$P$21,2),DECKS!$B$2:$B$1201,$A334))</f>
        <v/>
      </c>
      <c r="M334" s="19" t="str">
        <f aca="false">IF(OR($A334="",INDEX(_LEITURA!$Q$2:$Q$21,3)=0),"",SUMIFS(DECKS!$D$2:$D$1201,DECKS!$A$2:$A$1201,INDEX(_LEITURA!$P$2:$P$21,3),DECKS!$B$2:$B$1201,$A334))</f>
        <v/>
      </c>
      <c r="N334" s="19" t="str">
        <f aca="false">IF(OR($A334="",INDEX(_LEITURA!$Q$2:$Q$21,4)=0),"",SUMIFS(DECKS!$D$2:$D$1201,DECKS!$A$2:$A$1201,INDEX(_LEITURA!$P$2:$P$21,4),DECKS!$B$2:$B$1201,$A334))</f>
        <v/>
      </c>
      <c r="O334" s="19" t="str">
        <f aca="false">IF(OR($A334="",INDEX(_LEITURA!$Q$2:$Q$21,5)=0),"",SUMIFS(DECKS!$D$2:$D$1201,DECKS!$A$2:$A$1201,INDEX(_LEITURA!$P$2:$P$21,5),DECKS!$B$2:$B$1201,$A334))</f>
        <v/>
      </c>
      <c r="P334" s="19" t="str">
        <f aca="false">IF(OR($A334="",INDEX(_LEITURA!$Q$2:$Q$21,6)=0),"",SUMIFS(DECKS!$D$2:$D$1201,DECKS!$A$2:$A$1201,INDEX(_LEITURA!$P$2:$P$21,6),DECKS!$B$2:$B$1201,$A334))</f>
        <v/>
      </c>
      <c r="Q334" s="19" t="str">
        <f aca="false">IF(OR($A334="",INDEX(_LEITURA!$Q$2:$Q$21,7)=0),"",SUMIFS(DECKS!$D$2:$D$1201,DECKS!$A$2:$A$1201,INDEX(_LEITURA!$P$2:$P$21,7),DECKS!$B$2:$B$1201,$A334))</f>
        <v/>
      </c>
      <c r="R334" s="19" t="str">
        <f aca="false">IF(OR($A334="",INDEX(_LEITURA!$Q$2:$Q$21,8)=0),"",SUMIFS(DECKS!$D$2:$D$1201,DECKS!$A$2:$A$1201,INDEX(_LEITURA!$P$2:$P$21,8),DECKS!$B$2:$B$1201,$A334))</f>
        <v/>
      </c>
      <c r="S334" s="19" t="str">
        <f aca="false">IF(OR($A334="",INDEX(_LEITURA!$Q$2:$Q$21,9)=0),"",SUMIFS(DECKS!$D$2:$D$1201,DECKS!$A$2:$A$1201,INDEX(_LEITURA!$P$2:$P$21,9),DECKS!$B$2:$B$1201,$A334))</f>
        <v/>
      </c>
      <c r="T334" s="19" t="str">
        <f aca="false">IF(OR($A334="",INDEX(_LEITURA!$Q$2:$Q$21,10)=0),"",SUMIFS(DECKS!$D$2:$D$1201,DECKS!$A$2:$A$1201,INDEX(_LEITURA!$P$2:$P$21,10),DECKS!$B$2:$B$1201,$A334))</f>
        <v/>
      </c>
      <c r="U334" s="19" t="str">
        <f aca="false">IF(OR($A334="",INDEX(_LEITURA!$Q$2:$Q$21,11)=0),"",SUMIFS(DECKS!$D$2:$D$1201,DECKS!$A$2:$A$1201,INDEX(_LEITURA!$P$2:$P$21,11),DECKS!$B$2:$B$1201,$A334))</f>
        <v/>
      </c>
      <c r="V334" s="19" t="str">
        <f aca="false">IF(OR($A334="",INDEX(_LEITURA!$Q$2:$Q$21,12)=0),"",SUMIFS(DECKS!$D$2:$D$1201,DECKS!$A$2:$A$1201,INDEX(_LEITURA!$P$2:$P$21,12),DECKS!$B$2:$B$1201,$A334))</f>
        <v/>
      </c>
      <c r="W334" s="19" t="str">
        <f aca="false">IF(OR($A334="",INDEX(_LEITURA!$Q$2:$Q$21,13)=0),"",SUMIFS(DECKS!$D$2:$D$1201,DECKS!$A$2:$A$1201,INDEX(_LEITURA!$P$2:$P$21,13),DECKS!$B$2:$B$1201,$A334))</f>
        <v/>
      </c>
      <c r="X334" s="19" t="str">
        <f aca="false">IF(OR($A334="",INDEX(_LEITURA!$Q$2:$Q$21,14)=0),"",SUMIFS(DECKS!$D$2:$D$1201,DECKS!$A$2:$A$1201,INDEX(_LEITURA!$P$2:$P$21,14),DECKS!$B$2:$B$1201,$A334))</f>
        <v/>
      </c>
      <c r="Y334" s="19" t="str">
        <f aca="false">IF(OR($A334="",INDEX(_LEITURA!$Q$2:$Q$21,15)=0),"",SUMIFS(DECKS!$D$2:$D$1201,DECKS!$A$2:$A$1201,INDEX(_LEITURA!$P$2:$P$21,15),DECKS!$B$2:$B$1201,$A334))</f>
        <v/>
      </c>
      <c r="Z334" s="19" t="str">
        <f aca="false">IF(OR($A334="",INDEX(_LEITURA!$Q$2:$Q$21,16)=0),"",SUMIFS(DECKS!$D$2:$D$1201,DECKS!$A$2:$A$1201,INDEX(_LEITURA!$P$2:$P$21,16),DECKS!$B$2:$B$1201,$A334))</f>
        <v/>
      </c>
      <c r="AA334" s="19" t="str">
        <f aca="false">IF(OR($A334="",INDEX(_LEITURA!$Q$2:$Q$21,17)=0),"",SUMIFS(DECKS!$D$2:$D$1201,DECKS!$A$2:$A$1201,INDEX(_LEITURA!$P$2:$P$21,17),DECKS!$B$2:$B$1201,$A334))</f>
        <v/>
      </c>
      <c r="AB334" s="19" t="str">
        <f aca="false">IF(OR($A334="",INDEX(_LEITURA!$Q$2:$Q$21,18)=0),"",SUMIFS(DECKS!$D$2:$D$1201,DECKS!$A$2:$A$1201,INDEX(_LEITURA!$P$2:$P$21,18),DECKS!$B$2:$B$1201,$A334))</f>
        <v/>
      </c>
      <c r="AC334" s="19" t="str">
        <f aca="false">IF(OR($A334="",INDEX(_LEITURA!$Q$2:$Q$21,19)=0),"",SUMIFS(DECKS!$D$2:$D$1201,DECKS!$A$2:$A$1201,INDEX(_LEITURA!$P$2:$P$21,19),DECKS!$B$2:$B$1201,$A334))</f>
        <v/>
      </c>
      <c r="AD334" s="19" t="str">
        <f aca="false">IF(OR($A334="",INDEX(_LEITURA!$Q$2:$Q$21,20)=0),"",SUMIFS(DECKS!$D$2:$D$1201,DECKS!$A$2:$A$1201,INDEX(_LEITURA!$P$2:$P$21,20),DECKS!$B$2:$B$1201,$A334))</f>
        <v/>
      </c>
      <c r="AE334" s="16" t="str">
        <f aca="false">IF(N(E334)&gt;0,MAX(AE$1:AE333)+1,"")</f>
        <v/>
      </c>
      <c r="AF334" s="11" t="str">
        <f aca="false">IF(A334="","",IFERROR(LEFT(A334,FIND("-",A334)-1),A334))</f>
        <v/>
      </c>
      <c r="AG334" s="11" t="str">
        <f aca="false">IF(AF334="","",IF(ISNUMBER(--MID(AF334,1,1)),0,IF(ISNUMBER(--MID(AF334,2,1)),1,IF(ISNUMBER(--MID(AF334,3,1)),2,IF(ISNUMBER(--MID(AF334,4,1)),3,MIN(LEN(AF334),4))))))</f>
        <v/>
      </c>
      <c r="AH334" s="11" t="str">
        <f aca="false">IF(A334="","",LEFT(AF334,AG334)&amp;REPT("0",4-AG334)&amp;RIGHT("000"&amp;IFERROR(VALUE(MID(AF334,AG334+1,9)),0),3)&amp;RIGHT("0000"&amp;IFERROR(VALUE(MID(A334,FIND("-",A334)+1,9)),0),4))</f>
        <v/>
      </c>
      <c r="AI334" s="11" t="str">
        <f aca="false">IF(OR(A334="",N(E334)&lt;=0),"",IF('FALTAS GERAL'!$M$1="Código","K"&amp;AH334&amp;RIGHT("00000"&amp;ROW(),5),IF('FALTAS GERAL'!$M$1="Nome","K"&amp;UPPER(SUBSTITUTE(SUBSTITUTE(SUBSTITUTE(B334,"*",""),"?",""),"~",""))&amp;"0"&amp;AH334&amp;RIGHT("00000"&amp;ROW(),5),IF('FALTAS GERAL'!$M$1="Falta (maior primeiro)","K"&amp;RIGHT("0000"&amp;(9999-E334),4)&amp;AH334&amp;RIGHT("00000"&amp;ROW(),5),IF('FALTAS GERAL'!$M$1="Nº de decks (maior primeiro)","K"&amp;RIGHT("00"&amp;(99-N(G334)),2)&amp;AH334&amp;RIGHT("00000"&amp;ROW(),5),"K"&amp;RIGHT("00000"&amp;ROW(),5))))))</f>
        <v/>
      </c>
      <c r="AJ334" s="11" t="str">
        <f aca="false">IF(AI334="","",COUNTIFS($AI$2:$AI$801,"&lt;"&amp;AI334,$E$2:$E$801,"&gt;0")+1)</f>
        <v/>
      </c>
      <c r="AK334" s="11" t="str">
        <f aca="false">IF(OR(A334="",N(E334)&lt;=0),"",COUNTIFS($AH$2:$AH$801,"&lt;"&amp;AH334,$E$2:$E$801,"&gt;0")+COUNTIFS($AH$2:AH334,AH334,$E$2:E334,"&gt;0"))</f>
        <v/>
      </c>
    </row>
    <row r="335" customFormat="false" ht="15" hidden="false" customHeight="false" outlineLevel="0" collapsed="false">
      <c r="A335" s="11" t="str">
        <f aca="false">IF(INVENTÁRIO!A335="","",INVENTÁRIO!A335)</f>
        <v/>
      </c>
      <c r="B335" s="11" t="str">
        <f aca="false">IF(A335="","",INVENTÁRIO!B335)</f>
        <v/>
      </c>
      <c r="C335" s="16" t="str">
        <f aca="false">IF(A335="","",INVENTÁRIO!C335)</f>
        <v/>
      </c>
      <c r="D335" s="14" t="str">
        <f aca="false">IF(A335="","",MAX(K335:AD335))</f>
        <v/>
      </c>
      <c r="E335" s="14" t="str">
        <f aca="false">IF(A335="","",MAX(0,D335-C335))</f>
        <v/>
      </c>
      <c r="F335" s="16" t="str">
        <f aca="false">IF(A335="","",IF(D335=0,"Fora dos decks",IF(E335=0,"Completo","Falta")))</f>
        <v/>
      </c>
      <c r="G335" s="16" t="str">
        <f aca="false">IF(A335="","",COUNTIF(K335:AD335,"&gt;0"))</f>
        <v/>
      </c>
      <c r="H335" s="16" t="str">
        <f aca="false">IF(A335="","",IF(G335&gt;1,"Sim",""))</f>
        <v/>
      </c>
      <c r="I335" s="18" t="str">
        <f aca="false">IF(A335="","",SUMIFS(DECKS!$D$2:$D$1201,DECKS!$B$2:$B$1201,A335))</f>
        <v/>
      </c>
      <c r="J335" s="18" t="str">
        <f aca="false">IF(A335="","",MAX(0,I335-C335))</f>
        <v/>
      </c>
      <c r="K335" s="19" t="str">
        <f aca="false">IF(OR($A335="",INDEX(_LEITURA!$Q$2:$Q$21,1)=0),"",SUMIFS(DECKS!$D$2:$D$1201,DECKS!$A$2:$A$1201,INDEX(_LEITURA!$P$2:$P$21,1),DECKS!$B$2:$B$1201,$A335))</f>
        <v/>
      </c>
      <c r="L335" s="19" t="str">
        <f aca="false">IF(OR($A335="",INDEX(_LEITURA!$Q$2:$Q$21,2)=0),"",SUMIFS(DECKS!$D$2:$D$1201,DECKS!$A$2:$A$1201,INDEX(_LEITURA!$P$2:$P$21,2),DECKS!$B$2:$B$1201,$A335))</f>
        <v/>
      </c>
      <c r="M335" s="19" t="str">
        <f aca="false">IF(OR($A335="",INDEX(_LEITURA!$Q$2:$Q$21,3)=0),"",SUMIFS(DECKS!$D$2:$D$1201,DECKS!$A$2:$A$1201,INDEX(_LEITURA!$P$2:$P$21,3),DECKS!$B$2:$B$1201,$A335))</f>
        <v/>
      </c>
      <c r="N335" s="19" t="str">
        <f aca="false">IF(OR($A335="",INDEX(_LEITURA!$Q$2:$Q$21,4)=0),"",SUMIFS(DECKS!$D$2:$D$1201,DECKS!$A$2:$A$1201,INDEX(_LEITURA!$P$2:$P$21,4),DECKS!$B$2:$B$1201,$A335))</f>
        <v/>
      </c>
      <c r="O335" s="19" t="str">
        <f aca="false">IF(OR($A335="",INDEX(_LEITURA!$Q$2:$Q$21,5)=0),"",SUMIFS(DECKS!$D$2:$D$1201,DECKS!$A$2:$A$1201,INDEX(_LEITURA!$P$2:$P$21,5),DECKS!$B$2:$B$1201,$A335))</f>
        <v/>
      </c>
      <c r="P335" s="19" t="str">
        <f aca="false">IF(OR($A335="",INDEX(_LEITURA!$Q$2:$Q$21,6)=0),"",SUMIFS(DECKS!$D$2:$D$1201,DECKS!$A$2:$A$1201,INDEX(_LEITURA!$P$2:$P$21,6),DECKS!$B$2:$B$1201,$A335))</f>
        <v/>
      </c>
      <c r="Q335" s="19" t="str">
        <f aca="false">IF(OR($A335="",INDEX(_LEITURA!$Q$2:$Q$21,7)=0),"",SUMIFS(DECKS!$D$2:$D$1201,DECKS!$A$2:$A$1201,INDEX(_LEITURA!$P$2:$P$21,7),DECKS!$B$2:$B$1201,$A335))</f>
        <v/>
      </c>
      <c r="R335" s="19" t="str">
        <f aca="false">IF(OR($A335="",INDEX(_LEITURA!$Q$2:$Q$21,8)=0),"",SUMIFS(DECKS!$D$2:$D$1201,DECKS!$A$2:$A$1201,INDEX(_LEITURA!$P$2:$P$21,8),DECKS!$B$2:$B$1201,$A335))</f>
        <v/>
      </c>
      <c r="S335" s="19" t="str">
        <f aca="false">IF(OR($A335="",INDEX(_LEITURA!$Q$2:$Q$21,9)=0),"",SUMIFS(DECKS!$D$2:$D$1201,DECKS!$A$2:$A$1201,INDEX(_LEITURA!$P$2:$P$21,9),DECKS!$B$2:$B$1201,$A335))</f>
        <v/>
      </c>
      <c r="T335" s="19" t="str">
        <f aca="false">IF(OR($A335="",INDEX(_LEITURA!$Q$2:$Q$21,10)=0),"",SUMIFS(DECKS!$D$2:$D$1201,DECKS!$A$2:$A$1201,INDEX(_LEITURA!$P$2:$P$21,10),DECKS!$B$2:$B$1201,$A335))</f>
        <v/>
      </c>
      <c r="U335" s="19" t="str">
        <f aca="false">IF(OR($A335="",INDEX(_LEITURA!$Q$2:$Q$21,11)=0),"",SUMIFS(DECKS!$D$2:$D$1201,DECKS!$A$2:$A$1201,INDEX(_LEITURA!$P$2:$P$21,11),DECKS!$B$2:$B$1201,$A335))</f>
        <v/>
      </c>
      <c r="V335" s="19" t="str">
        <f aca="false">IF(OR($A335="",INDEX(_LEITURA!$Q$2:$Q$21,12)=0),"",SUMIFS(DECKS!$D$2:$D$1201,DECKS!$A$2:$A$1201,INDEX(_LEITURA!$P$2:$P$21,12),DECKS!$B$2:$B$1201,$A335))</f>
        <v/>
      </c>
      <c r="W335" s="19" t="str">
        <f aca="false">IF(OR($A335="",INDEX(_LEITURA!$Q$2:$Q$21,13)=0),"",SUMIFS(DECKS!$D$2:$D$1201,DECKS!$A$2:$A$1201,INDEX(_LEITURA!$P$2:$P$21,13),DECKS!$B$2:$B$1201,$A335))</f>
        <v/>
      </c>
      <c r="X335" s="19" t="str">
        <f aca="false">IF(OR($A335="",INDEX(_LEITURA!$Q$2:$Q$21,14)=0),"",SUMIFS(DECKS!$D$2:$D$1201,DECKS!$A$2:$A$1201,INDEX(_LEITURA!$P$2:$P$21,14),DECKS!$B$2:$B$1201,$A335))</f>
        <v/>
      </c>
      <c r="Y335" s="19" t="str">
        <f aca="false">IF(OR($A335="",INDEX(_LEITURA!$Q$2:$Q$21,15)=0),"",SUMIFS(DECKS!$D$2:$D$1201,DECKS!$A$2:$A$1201,INDEX(_LEITURA!$P$2:$P$21,15),DECKS!$B$2:$B$1201,$A335))</f>
        <v/>
      </c>
      <c r="Z335" s="19" t="str">
        <f aca="false">IF(OR($A335="",INDEX(_LEITURA!$Q$2:$Q$21,16)=0),"",SUMIFS(DECKS!$D$2:$D$1201,DECKS!$A$2:$A$1201,INDEX(_LEITURA!$P$2:$P$21,16),DECKS!$B$2:$B$1201,$A335))</f>
        <v/>
      </c>
      <c r="AA335" s="19" t="str">
        <f aca="false">IF(OR($A335="",INDEX(_LEITURA!$Q$2:$Q$21,17)=0),"",SUMIFS(DECKS!$D$2:$D$1201,DECKS!$A$2:$A$1201,INDEX(_LEITURA!$P$2:$P$21,17),DECKS!$B$2:$B$1201,$A335))</f>
        <v/>
      </c>
      <c r="AB335" s="19" t="str">
        <f aca="false">IF(OR($A335="",INDEX(_LEITURA!$Q$2:$Q$21,18)=0),"",SUMIFS(DECKS!$D$2:$D$1201,DECKS!$A$2:$A$1201,INDEX(_LEITURA!$P$2:$P$21,18),DECKS!$B$2:$B$1201,$A335))</f>
        <v/>
      </c>
      <c r="AC335" s="19" t="str">
        <f aca="false">IF(OR($A335="",INDEX(_LEITURA!$Q$2:$Q$21,19)=0),"",SUMIFS(DECKS!$D$2:$D$1201,DECKS!$A$2:$A$1201,INDEX(_LEITURA!$P$2:$P$21,19),DECKS!$B$2:$B$1201,$A335))</f>
        <v/>
      </c>
      <c r="AD335" s="19" t="str">
        <f aca="false">IF(OR($A335="",INDEX(_LEITURA!$Q$2:$Q$21,20)=0),"",SUMIFS(DECKS!$D$2:$D$1201,DECKS!$A$2:$A$1201,INDEX(_LEITURA!$P$2:$P$21,20),DECKS!$B$2:$B$1201,$A335))</f>
        <v/>
      </c>
      <c r="AE335" s="16" t="str">
        <f aca="false">IF(N(E335)&gt;0,MAX(AE$1:AE334)+1,"")</f>
        <v/>
      </c>
      <c r="AF335" s="11" t="str">
        <f aca="false">IF(A335="","",IFERROR(LEFT(A335,FIND("-",A335)-1),A335))</f>
        <v/>
      </c>
      <c r="AG335" s="11" t="str">
        <f aca="false">IF(AF335="","",IF(ISNUMBER(--MID(AF335,1,1)),0,IF(ISNUMBER(--MID(AF335,2,1)),1,IF(ISNUMBER(--MID(AF335,3,1)),2,IF(ISNUMBER(--MID(AF335,4,1)),3,MIN(LEN(AF335),4))))))</f>
        <v/>
      </c>
      <c r="AH335" s="11" t="str">
        <f aca="false">IF(A335="","",LEFT(AF335,AG335)&amp;REPT("0",4-AG335)&amp;RIGHT("000"&amp;IFERROR(VALUE(MID(AF335,AG335+1,9)),0),3)&amp;RIGHT("0000"&amp;IFERROR(VALUE(MID(A335,FIND("-",A335)+1,9)),0),4))</f>
        <v/>
      </c>
      <c r="AI335" s="11" t="str">
        <f aca="false">IF(OR(A335="",N(E335)&lt;=0),"",IF('FALTAS GERAL'!$M$1="Código","K"&amp;AH335&amp;RIGHT("00000"&amp;ROW(),5),IF('FALTAS GERAL'!$M$1="Nome","K"&amp;UPPER(SUBSTITUTE(SUBSTITUTE(SUBSTITUTE(B335,"*",""),"?",""),"~",""))&amp;"0"&amp;AH335&amp;RIGHT("00000"&amp;ROW(),5),IF('FALTAS GERAL'!$M$1="Falta (maior primeiro)","K"&amp;RIGHT("0000"&amp;(9999-E335),4)&amp;AH335&amp;RIGHT("00000"&amp;ROW(),5),IF('FALTAS GERAL'!$M$1="Nº de decks (maior primeiro)","K"&amp;RIGHT("00"&amp;(99-N(G335)),2)&amp;AH335&amp;RIGHT("00000"&amp;ROW(),5),"K"&amp;RIGHT("00000"&amp;ROW(),5))))))</f>
        <v/>
      </c>
      <c r="AJ335" s="11" t="str">
        <f aca="false">IF(AI335="","",COUNTIFS($AI$2:$AI$801,"&lt;"&amp;AI335,$E$2:$E$801,"&gt;0")+1)</f>
        <v/>
      </c>
      <c r="AK335" s="11" t="str">
        <f aca="false">IF(OR(A335="",N(E335)&lt;=0),"",COUNTIFS($AH$2:$AH$801,"&lt;"&amp;AH335,$E$2:$E$801,"&gt;0")+COUNTIFS($AH$2:AH335,AH335,$E$2:E335,"&gt;0"))</f>
        <v/>
      </c>
    </row>
    <row r="336" customFormat="false" ht="15" hidden="false" customHeight="false" outlineLevel="0" collapsed="false">
      <c r="A336" s="11" t="str">
        <f aca="false">IF(INVENTÁRIO!A336="","",INVENTÁRIO!A336)</f>
        <v/>
      </c>
      <c r="B336" s="11" t="str">
        <f aca="false">IF(A336="","",INVENTÁRIO!B336)</f>
        <v/>
      </c>
      <c r="C336" s="16" t="str">
        <f aca="false">IF(A336="","",INVENTÁRIO!C336)</f>
        <v/>
      </c>
      <c r="D336" s="14" t="str">
        <f aca="false">IF(A336="","",MAX(K336:AD336))</f>
        <v/>
      </c>
      <c r="E336" s="14" t="str">
        <f aca="false">IF(A336="","",MAX(0,D336-C336))</f>
        <v/>
      </c>
      <c r="F336" s="16" t="str">
        <f aca="false">IF(A336="","",IF(D336=0,"Fora dos decks",IF(E336=0,"Completo","Falta")))</f>
        <v/>
      </c>
      <c r="G336" s="16" t="str">
        <f aca="false">IF(A336="","",COUNTIF(K336:AD336,"&gt;0"))</f>
        <v/>
      </c>
      <c r="H336" s="16" t="str">
        <f aca="false">IF(A336="","",IF(G336&gt;1,"Sim",""))</f>
        <v/>
      </c>
      <c r="I336" s="18" t="str">
        <f aca="false">IF(A336="","",SUMIFS(DECKS!$D$2:$D$1201,DECKS!$B$2:$B$1201,A336))</f>
        <v/>
      </c>
      <c r="J336" s="18" t="str">
        <f aca="false">IF(A336="","",MAX(0,I336-C336))</f>
        <v/>
      </c>
      <c r="K336" s="19" t="str">
        <f aca="false">IF(OR($A336="",INDEX(_LEITURA!$Q$2:$Q$21,1)=0),"",SUMIFS(DECKS!$D$2:$D$1201,DECKS!$A$2:$A$1201,INDEX(_LEITURA!$P$2:$P$21,1),DECKS!$B$2:$B$1201,$A336))</f>
        <v/>
      </c>
      <c r="L336" s="19" t="str">
        <f aca="false">IF(OR($A336="",INDEX(_LEITURA!$Q$2:$Q$21,2)=0),"",SUMIFS(DECKS!$D$2:$D$1201,DECKS!$A$2:$A$1201,INDEX(_LEITURA!$P$2:$P$21,2),DECKS!$B$2:$B$1201,$A336))</f>
        <v/>
      </c>
      <c r="M336" s="19" t="str">
        <f aca="false">IF(OR($A336="",INDEX(_LEITURA!$Q$2:$Q$21,3)=0),"",SUMIFS(DECKS!$D$2:$D$1201,DECKS!$A$2:$A$1201,INDEX(_LEITURA!$P$2:$P$21,3),DECKS!$B$2:$B$1201,$A336))</f>
        <v/>
      </c>
      <c r="N336" s="19" t="str">
        <f aca="false">IF(OR($A336="",INDEX(_LEITURA!$Q$2:$Q$21,4)=0),"",SUMIFS(DECKS!$D$2:$D$1201,DECKS!$A$2:$A$1201,INDEX(_LEITURA!$P$2:$P$21,4),DECKS!$B$2:$B$1201,$A336))</f>
        <v/>
      </c>
      <c r="O336" s="19" t="str">
        <f aca="false">IF(OR($A336="",INDEX(_LEITURA!$Q$2:$Q$21,5)=0),"",SUMIFS(DECKS!$D$2:$D$1201,DECKS!$A$2:$A$1201,INDEX(_LEITURA!$P$2:$P$21,5),DECKS!$B$2:$B$1201,$A336))</f>
        <v/>
      </c>
      <c r="P336" s="19" t="str">
        <f aca="false">IF(OR($A336="",INDEX(_LEITURA!$Q$2:$Q$21,6)=0),"",SUMIFS(DECKS!$D$2:$D$1201,DECKS!$A$2:$A$1201,INDEX(_LEITURA!$P$2:$P$21,6),DECKS!$B$2:$B$1201,$A336))</f>
        <v/>
      </c>
      <c r="Q336" s="19" t="str">
        <f aca="false">IF(OR($A336="",INDEX(_LEITURA!$Q$2:$Q$21,7)=0),"",SUMIFS(DECKS!$D$2:$D$1201,DECKS!$A$2:$A$1201,INDEX(_LEITURA!$P$2:$P$21,7),DECKS!$B$2:$B$1201,$A336))</f>
        <v/>
      </c>
      <c r="R336" s="19" t="str">
        <f aca="false">IF(OR($A336="",INDEX(_LEITURA!$Q$2:$Q$21,8)=0),"",SUMIFS(DECKS!$D$2:$D$1201,DECKS!$A$2:$A$1201,INDEX(_LEITURA!$P$2:$P$21,8),DECKS!$B$2:$B$1201,$A336))</f>
        <v/>
      </c>
      <c r="S336" s="19" t="str">
        <f aca="false">IF(OR($A336="",INDEX(_LEITURA!$Q$2:$Q$21,9)=0),"",SUMIFS(DECKS!$D$2:$D$1201,DECKS!$A$2:$A$1201,INDEX(_LEITURA!$P$2:$P$21,9),DECKS!$B$2:$B$1201,$A336))</f>
        <v/>
      </c>
      <c r="T336" s="19" t="str">
        <f aca="false">IF(OR($A336="",INDEX(_LEITURA!$Q$2:$Q$21,10)=0),"",SUMIFS(DECKS!$D$2:$D$1201,DECKS!$A$2:$A$1201,INDEX(_LEITURA!$P$2:$P$21,10),DECKS!$B$2:$B$1201,$A336))</f>
        <v/>
      </c>
      <c r="U336" s="19" t="str">
        <f aca="false">IF(OR($A336="",INDEX(_LEITURA!$Q$2:$Q$21,11)=0),"",SUMIFS(DECKS!$D$2:$D$1201,DECKS!$A$2:$A$1201,INDEX(_LEITURA!$P$2:$P$21,11),DECKS!$B$2:$B$1201,$A336))</f>
        <v/>
      </c>
      <c r="V336" s="19" t="str">
        <f aca="false">IF(OR($A336="",INDEX(_LEITURA!$Q$2:$Q$21,12)=0),"",SUMIFS(DECKS!$D$2:$D$1201,DECKS!$A$2:$A$1201,INDEX(_LEITURA!$P$2:$P$21,12),DECKS!$B$2:$B$1201,$A336))</f>
        <v/>
      </c>
      <c r="W336" s="19" t="str">
        <f aca="false">IF(OR($A336="",INDEX(_LEITURA!$Q$2:$Q$21,13)=0),"",SUMIFS(DECKS!$D$2:$D$1201,DECKS!$A$2:$A$1201,INDEX(_LEITURA!$P$2:$P$21,13),DECKS!$B$2:$B$1201,$A336))</f>
        <v/>
      </c>
      <c r="X336" s="19" t="str">
        <f aca="false">IF(OR($A336="",INDEX(_LEITURA!$Q$2:$Q$21,14)=0),"",SUMIFS(DECKS!$D$2:$D$1201,DECKS!$A$2:$A$1201,INDEX(_LEITURA!$P$2:$P$21,14),DECKS!$B$2:$B$1201,$A336))</f>
        <v/>
      </c>
      <c r="Y336" s="19" t="str">
        <f aca="false">IF(OR($A336="",INDEX(_LEITURA!$Q$2:$Q$21,15)=0),"",SUMIFS(DECKS!$D$2:$D$1201,DECKS!$A$2:$A$1201,INDEX(_LEITURA!$P$2:$P$21,15),DECKS!$B$2:$B$1201,$A336))</f>
        <v/>
      </c>
      <c r="Z336" s="19" t="str">
        <f aca="false">IF(OR($A336="",INDEX(_LEITURA!$Q$2:$Q$21,16)=0),"",SUMIFS(DECKS!$D$2:$D$1201,DECKS!$A$2:$A$1201,INDEX(_LEITURA!$P$2:$P$21,16),DECKS!$B$2:$B$1201,$A336))</f>
        <v/>
      </c>
      <c r="AA336" s="19" t="str">
        <f aca="false">IF(OR($A336="",INDEX(_LEITURA!$Q$2:$Q$21,17)=0),"",SUMIFS(DECKS!$D$2:$D$1201,DECKS!$A$2:$A$1201,INDEX(_LEITURA!$P$2:$P$21,17),DECKS!$B$2:$B$1201,$A336))</f>
        <v/>
      </c>
      <c r="AB336" s="19" t="str">
        <f aca="false">IF(OR($A336="",INDEX(_LEITURA!$Q$2:$Q$21,18)=0),"",SUMIFS(DECKS!$D$2:$D$1201,DECKS!$A$2:$A$1201,INDEX(_LEITURA!$P$2:$P$21,18),DECKS!$B$2:$B$1201,$A336))</f>
        <v/>
      </c>
      <c r="AC336" s="19" t="str">
        <f aca="false">IF(OR($A336="",INDEX(_LEITURA!$Q$2:$Q$21,19)=0),"",SUMIFS(DECKS!$D$2:$D$1201,DECKS!$A$2:$A$1201,INDEX(_LEITURA!$P$2:$P$21,19),DECKS!$B$2:$B$1201,$A336))</f>
        <v/>
      </c>
      <c r="AD336" s="19" t="str">
        <f aca="false">IF(OR($A336="",INDEX(_LEITURA!$Q$2:$Q$21,20)=0),"",SUMIFS(DECKS!$D$2:$D$1201,DECKS!$A$2:$A$1201,INDEX(_LEITURA!$P$2:$P$21,20),DECKS!$B$2:$B$1201,$A336))</f>
        <v/>
      </c>
      <c r="AE336" s="16" t="str">
        <f aca="false">IF(N(E336)&gt;0,MAX(AE$1:AE335)+1,"")</f>
        <v/>
      </c>
      <c r="AF336" s="11" t="str">
        <f aca="false">IF(A336="","",IFERROR(LEFT(A336,FIND("-",A336)-1),A336))</f>
        <v/>
      </c>
      <c r="AG336" s="11" t="str">
        <f aca="false">IF(AF336="","",IF(ISNUMBER(--MID(AF336,1,1)),0,IF(ISNUMBER(--MID(AF336,2,1)),1,IF(ISNUMBER(--MID(AF336,3,1)),2,IF(ISNUMBER(--MID(AF336,4,1)),3,MIN(LEN(AF336),4))))))</f>
        <v/>
      </c>
      <c r="AH336" s="11" t="str">
        <f aca="false">IF(A336="","",LEFT(AF336,AG336)&amp;REPT("0",4-AG336)&amp;RIGHT("000"&amp;IFERROR(VALUE(MID(AF336,AG336+1,9)),0),3)&amp;RIGHT("0000"&amp;IFERROR(VALUE(MID(A336,FIND("-",A336)+1,9)),0),4))</f>
        <v/>
      </c>
      <c r="AI336" s="11" t="str">
        <f aca="false">IF(OR(A336="",N(E336)&lt;=0),"",IF('FALTAS GERAL'!$M$1="Código","K"&amp;AH336&amp;RIGHT("00000"&amp;ROW(),5),IF('FALTAS GERAL'!$M$1="Nome","K"&amp;UPPER(SUBSTITUTE(SUBSTITUTE(SUBSTITUTE(B336,"*",""),"?",""),"~",""))&amp;"0"&amp;AH336&amp;RIGHT("00000"&amp;ROW(),5),IF('FALTAS GERAL'!$M$1="Falta (maior primeiro)","K"&amp;RIGHT("0000"&amp;(9999-E336),4)&amp;AH336&amp;RIGHT("00000"&amp;ROW(),5),IF('FALTAS GERAL'!$M$1="Nº de decks (maior primeiro)","K"&amp;RIGHT("00"&amp;(99-N(G336)),2)&amp;AH336&amp;RIGHT("00000"&amp;ROW(),5),"K"&amp;RIGHT("00000"&amp;ROW(),5))))))</f>
        <v/>
      </c>
      <c r="AJ336" s="11" t="str">
        <f aca="false">IF(AI336="","",COUNTIFS($AI$2:$AI$801,"&lt;"&amp;AI336,$E$2:$E$801,"&gt;0")+1)</f>
        <v/>
      </c>
      <c r="AK336" s="11" t="str">
        <f aca="false">IF(OR(A336="",N(E336)&lt;=0),"",COUNTIFS($AH$2:$AH$801,"&lt;"&amp;AH336,$E$2:$E$801,"&gt;0")+COUNTIFS($AH$2:AH336,AH336,$E$2:E336,"&gt;0"))</f>
        <v/>
      </c>
    </row>
    <row r="337" customFormat="false" ht="15" hidden="false" customHeight="false" outlineLevel="0" collapsed="false">
      <c r="A337" s="11" t="str">
        <f aca="false">IF(INVENTÁRIO!A337="","",INVENTÁRIO!A337)</f>
        <v/>
      </c>
      <c r="B337" s="11" t="str">
        <f aca="false">IF(A337="","",INVENTÁRIO!B337)</f>
        <v/>
      </c>
      <c r="C337" s="16" t="str">
        <f aca="false">IF(A337="","",INVENTÁRIO!C337)</f>
        <v/>
      </c>
      <c r="D337" s="14" t="str">
        <f aca="false">IF(A337="","",MAX(K337:AD337))</f>
        <v/>
      </c>
      <c r="E337" s="14" t="str">
        <f aca="false">IF(A337="","",MAX(0,D337-C337))</f>
        <v/>
      </c>
      <c r="F337" s="16" t="str">
        <f aca="false">IF(A337="","",IF(D337=0,"Fora dos decks",IF(E337=0,"Completo","Falta")))</f>
        <v/>
      </c>
      <c r="G337" s="16" t="str">
        <f aca="false">IF(A337="","",COUNTIF(K337:AD337,"&gt;0"))</f>
        <v/>
      </c>
      <c r="H337" s="16" t="str">
        <f aca="false">IF(A337="","",IF(G337&gt;1,"Sim",""))</f>
        <v/>
      </c>
      <c r="I337" s="18" t="str">
        <f aca="false">IF(A337="","",SUMIFS(DECKS!$D$2:$D$1201,DECKS!$B$2:$B$1201,A337))</f>
        <v/>
      </c>
      <c r="J337" s="18" t="str">
        <f aca="false">IF(A337="","",MAX(0,I337-C337))</f>
        <v/>
      </c>
      <c r="K337" s="19" t="str">
        <f aca="false">IF(OR($A337="",INDEX(_LEITURA!$Q$2:$Q$21,1)=0),"",SUMIFS(DECKS!$D$2:$D$1201,DECKS!$A$2:$A$1201,INDEX(_LEITURA!$P$2:$P$21,1),DECKS!$B$2:$B$1201,$A337))</f>
        <v/>
      </c>
      <c r="L337" s="19" t="str">
        <f aca="false">IF(OR($A337="",INDEX(_LEITURA!$Q$2:$Q$21,2)=0),"",SUMIFS(DECKS!$D$2:$D$1201,DECKS!$A$2:$A$1201,INDEX(_LEITURA!$P$2:$P$21,2),DECKS!$B$2:$B$1201,$A337))</f>
        <v/>
      </c>
      <c r="M337" s="19" t="str">
        <f aca="false">IF(OR($A337="",INDEX(_LEITURA!$Q$2:$Q$21,3)=0),"",SUMIFS(DECKS!$D$2:$D$1201,DECKS!$A$2:$A$1201,INDEX(_LEITURA!$P$2:$P$21,3),DECKS!$B$2:$B$1201,$A337))</f>
        <v/>
      </c>
      <c r="N337" s="19" t="str">
        <f aca="false">IF(OR($A337="",INDEX(_LEITURA!$Q$2:$Q$21,4)=0),"",SUMIFS(DECKS!$D$2:$D$1201,DECKS!$A$2:$A$1201,INDEX(_LEITURA!$P$2:$P$21,4),DECKS!$B$2:$B$1201,$A337))</f>
        <v/>
      </c>
      <c r="O337" s="19" t="str">
        <f aca="false">IF(OR($A337="",INDEX(_LEITURA!$Q$2:$Q$21,5)=0),"",SUMIFS(DECKS!$D$2:$D$1201,DECKS!$A$2:$A$1201,INDEX(_LEITURA!$P$2:$P$21,5),DECKS!$B$2:$B$1201,$A337))</f>
        <v/>
      </c>
      <c r="P337" s="19" t="str">
        <f aca="false">IF(OR($A337="",INDEX(_LEITURA!$Q$2:$Q$21,6)=0),"",SUMIFS(DECKS!$D$2:$D$1201,DECKS!$A$2:$A$1201,INDEX(_LEITURA!$P$2:$P$21,6),DECKS!$B$2:$B$1201,$A337))</f>
        <v/>
      </c>
      <c r="Q337" s="19" t="str">
        <f aca="false">IF(OR($A337="",INDEX(_LEITURA!$Q$2:$Q$21,7)=0),"",SUMIFS(DECKS!$D$2:$D$1201,DECKS!$A$2:$A$1201,INDEX(_LEITURA!$P$2:$P$21,7),DECKS!$B$2:$B$1201,$A337))</f>
        <v/>
      </c>
      <c r="R337" s="19" t="str">
        <f aca="false">IF(OR($A337="",INDEX(_LEITURA!$Q$2:$Q$21,8)=0),"",SUMIFS(DECKS!$D$2:$D$1201,DECKS!$A$2:$A$1201,INDEX(_LEITURA!$P$2:$P$21,8),DECKS!$B$2:$B$1201,$A337))</f>
        <v/>
      </c>
      <c r="S337" s="19" t="str">
        <f aca="false">IF(OR($A337="",INDEX(_LEITURA!$Q$2:$Q$21,9)=0),"",SUMIFS(DECKS!$D$2:$D$1201,DECKS!$A$2:$A$1201,INDEX(_LEITURA!$P$2:$P$21,9),DECKS!$B$2:$B$1201,$A337))</f>
        <v/>
      </c>
      <c r="T337" s="19" t="str">
        <f aca="false">IF(OR($A337="",INDEX(_LEITURA!$Q$2:$Q$21,10)=0),"",SUMIFS(DECKS!$D$2:$D$1201,DECKS!$A$2:$A$1201,INDEX(_LEITURA!$P$2:$P$21,10),DECKS!$B$2:$B$1201,$A337))</f>
        <v/>
      </c>
      <c r="U337" s="19" t="str">
        <f aca="false">IF(OR($A337="",INDEX(_LEITURA!$Q$2:$Q$21,11)=0),"",SUMIFS(DECKS!$D$2:$D$1201,DECKS!$A$2:$A$1201,INDEX(_LEITURA!$P$2:$P$21,11),DECKS!$B$2:$B$1201,$A337))</f>
        <v/>
      </c>
      <c r="V337" s="19" t="str">
        <f aca="false">IF(OR($A337="",INDEX(_LEITURA!$Q$2:$Q$21,12)=0),"",SUMIFS(DECKS!$D$2:$D$1201,DECKS!$A$2:$A$1201,INDEX(_LEITURA!$P$2:$P$21,12),DECKS!$B$2:$B$1201,$A337))</f>
        <v/>
      </c>
      <c r="W337" s="19" t="str">
        <f aca="false">IF(OR($A337="",INDEX(_LEITURA!$Q$2:$Q$21,13)=0),"",SUMIFS(DECKS!$D$2:$D$1201,DECKS!$A$2:$A$1201,INDEX(_LEITURA!$P$2:$P$21,13),DECKS!$B$2:$B$1201,$A337))</f>
        <v/>
      </c>
      <c r="X337" s="19" t="str">
        <f aca="false">IF(OR($A337="",INDEX(_LEITURA!$Q$2:$Q$21,14)=0),"",SUMIFS(DECKS!$D$2:$D$1201,DECKS!$A$2:$A$1201,INDEX(_LEITURA!$P$2:$P$21,14),DECKS!$B$2:$B$1201,$A337))</f>
        <v/>
      </c>
      <c r="Y337" s="19" t="str">
        <f aca="false">IF(OR($A337="",INDEX(_LEITURA!$Q$2:$Q$21,15)=0),"",SUMIFS(DECKS!$D$2:$D$1201,DECKS!$A$2:$A$1201,INDEX(_LEITURA!$P$2:$P$21,15),DECKS!$B$2:$B$1201,$A337))</f>
        <v/>
      </c>
      <c r="Z337" s="19" t="str">
        <f aca="false">IF(OR($A337="",INDEX(_LEITURA!$Q$2:$Q$21,16)=0),"",SUMIFS(DECKS!$D$2:$D$1201,DECKS!$A$2:$A$1201,INDEX(_LEITURA!$P$2:$P$21,16),DECKS!$B$2:$B$1201,$A337))</f>
        <v/>
      </c>
      <c r="AA337" s="19" t="str">
        <f aca="false">IF(OR($A337="",INDEX(_LEITURA!$Q$2:$Q$21,17)=0),"",SUMIFS(DECKS!$D$2:$D$1201,DECKS!$A$2:$A$1201,INDEX(_LEITURA!$P$2:$P$21,17),DECKS!$B$2:$B$1201,$A337))</f>
        <v/>
      </c>
      <c r="AB337" s="19" t="str">
        <f aca="false">IF(OR($A337="",INDEX(_LEITURA!$Q$2:$Q$21,18)=0),"",SUMIFS(DECKS!$D$2:$D$1201,DECKS!$A$2:$A$1201,INDEX(_LEITURA!$P$2:$P$21,18),DECKS!$B$2:$B$1201,$A337))</f>
        <v/>
      </c>
      <c r="AC337" s="19" t="str">
        <f aca="false">IF(OR($A337="",INDEX(_LEITURA!$Q$2:$Q$21,19)=0),"",SUMIFS(DECKS!$D$2:$D$1201,DECKS!$A$2:$A$1201,INDEX(_LEITURA!$P$2:$P$21,19),DECKS!$B$2:$B$1201,$A337))</f>
        <v/>
      </c>
      <c r="AD337" s="19" t="str">
        <f aca="false">IF(OR($A337="",INDEX(_LEITURA!$Q$2:$Q$21,20)=0),"",SUMIFS(DECKS!$D$2:$D$1201,DECKS!$A$2:$A$1201,INDEX(_LEITURA!$P$2:$P$21,20),DECKS!$B$2:$B$1201,$A337))</f>
        <v/>
      </c>
      <c r="AE337" s="16" t="str">
        <f aca="false">IF(N(E337)&gt;0,MAX(AE$1:AE336)+1,"")</f>
        <v/>
      </c>
      <c r="AF337" s="11" t="str">
        <f aca="false">IF(A337="","",IFERROR(LEFT(A337,FIND("-",A337)-1),A337))</f>
        <v/>
      </c>
      <c r="AG337" s="11" t="str">
        <f aca="false">IF(AF337="","",IF(ISNUMBER(--MID(AF337,1,1)),0,IF(ISNUMBER(--MID(AF337,2,1)),1,IF(ISNUMBER(--MID(AF337,3,1)),2,IF(ISNUMBER(--MID(AF337,4,1)),3,MIN(LEN(AF337),4))))))</f>
        <v/>
      </c>
      <c r="AH337" s="11" t="str">
        <f aca="false">IF(A337="","",LEFT(AF337,AG337)&amp;REPT("0",4-AG337)&amp;RIGHT("000"&amp;IFERROR(VALUE(MID(AF337,AG337+1,9)),0),3)&amp;RIGHT("0000"&amp;IFERROR(VALUE(MID(A337,FIND("-",A337)+1,9)),0),4))</f>
        <v/>
      </c>
      <c r="AI337" s="11" t="str">
        <f aca="false">IF(OR(A337="",N(E337)&lt;=0),"",IF('FALTAS GERAL'!$M$1="Código","K"&amp;AH337&amp;RIGHT("00000"&amp;ROW(),5),IF('FALTAS GERAL'!$M$1="Nome","K"&amp;UPPER(SUBSTITUTE(SUBSTITUTE(SUBSTITUTE(B337,"*",""),"?",""),"~",""))&amp;"0"&amp;AH337&amp;RIGHT("00000"&amp;ROW(),5),IF('FALTAS GERAL'!$M$1="Falta (maior primeiro)","K"&amp;RIGHT("0000"&amp;(9999-E337),4)&amp;AH337&amp;RIGHT("00000"&amp;ROW(),5),IF('FALTAS GERAL'!$M$1="Nº de decks (maior primeiro)","K"&amp;RIGHT("00"&amp;(99-N(G337)),2)&amp;AH337&amp;RIGHT("00000"&amp;ROW(),5),"K"&amp;RIGHT("00000"&amp;ROW(),5))))))</f>
        <v/>
      </c>
      <c r="AJ337" s="11" t="str">
        <f aca="false">IF(AI337="","",COUNTIFS($AI$2:$AI$801,"&lt;"&amp;AI337,$E$2:$E$801,"&gt;0")+1)</f>
        <v/>
      </c>
      <c r="AK337" s="11" t="str">
        <f aca="false">IF(OR(A337="",N(E337)&lt;=0),"",COUNTIFS($AH$2:$AH$801,"&lt;"&amp;AH337,$E$2:$E$801,"&gt;0")+COUNTIFS($AH$2:AH337,AH337,$E$2:E337,"&gt;0"))</f>
        <v/>
      </c>
    </row>
    <row r="338" customFormat="false" ht="15" hidden="false" customHeight="false" outlineLevel="0" collapsed="false">
      <c r="A338" s="11" t="str">
        <f aca="false">IF(INVENTÁRIO!A338="","",INVENTÁRIO!A338)</f>
        <v/>
      </c>
      <c r="B338" s="11" t="str">
        <f aca="false">IF(A338="","",INVENTÁRIO!B338)</f>
        <v/>
      </c>
      <c r="C338" s="16" t="str">
        <f aca="false">IF(A338="","",INVENTÁRIO!C338)</f>
        <v/>
      </c>
      <c r="D338" s="14" t="str">
        <f aca="false">IF(A338="","",MAX(K338:AD338))</f>
        <v/>
      </c>
      <c r="E338" s="14" t="str">
        <f aca="false">IF(A338="","",MAX(0,D338-C338))</f>
        <v/>
      </c>
      <c r="F338" s="16" t="str">
        <f aca="false">IF(A338="","",IF(D338=0,"Fora dos decks",IF(E338=0,"Completo","Falta")))</f>
        <v/>
      </c>
      <c r="G338" s="16" t="str">
        <f aca="false">IF(A338="","",COUNTIF(K338:AD338,"&gt;0"))</f>
        <v/>
      </c>
      <c r="H338" s="16" t="str">
        <f aca="false">IF(A338="","",IF(G338&gt;1,"Sim",""))</f>
        <v/>
      </c>
      <c r="I338" s="18" t="str">
        <f aca="false">IF(A338="","",SUMIFS(DECKS!$D$2:$D$1201,DECKS!$B$2:$B$1201,A338))</f>
        <v/>
      </c>
      <c r="J338" s="18" t="str">
        <f aca="false">IF(A338="","",MAX(0,I338-C338))</f>
        <v/>
      </c>
      <c r="K338" s="19" t="str">
        <f aca="false">IF(OR($A338="",INDEX(_LEITURA!$Q$2:$Q$21,1)=0),"",SUMIFS(DECKS!$D$2:$D$1201,DECKS!$A$2:$A$1201,INDEX(_LEITURA!$P$2:$P$21,1),DECKS!$B$2:$B$1201,$A338))</f>
        <v/>
      </c>
      <c r="L338" s="19" t="str">
        <f aca="false">IF(OR($A338="",INDEX(_LEITURA!$Q$2:$Q$21,2)=0),"",SUMIFS(DECKS!$D$2:$D$1201,DECKS!$A$2:$A$1201,INDEX(_LEITURA!$P$2:$P$21,2),DECKS!$B$2:$B$1201,$A338))</f>
        <v/>
      </c>
      <c r="M338" s="19" t="str">
        <f aca="false">IF(OR($A338="",INDEX(_LEITURA!$Q$2:$Q$21,3)=0),"",SUMIFS(DECKS!$D$2:$D$1201,DECKS!$A$2:$A$1201,INDEX(_LEITURA!$P$2:$P$21,3),DECKS!$B$2:$B$1201,$A338))</f>
        <v/>
      </c>
      <c r="N338" s="19" t="str">
        <f aca="false">IF(OR($A338="",INDEX(_LEITURA!$Q$2:$Q$21,4)=0),"",SUMIFS(DECKS!$D$2:$D$1201,DECKS!$A$2:$A$1201,INDEX(_LEITURA!$P$2:$P$21,4),DECKS!$B$2:$B$1201,$A338))</f>
        <v/>
      </c>
      <c r="O338" s="19" t="str">
        <f aca="false">IF(OR($A338="",INDEX(_LEITURA!$Q$2:$Q$21,5)=0),"",SUMIFS(DECKS!$D$2:$D$1201,DECKS!$A$2:$A$1201,INDEX(_LEITURA!$P$2:$P$21,5),DECKS!$B$2:$B$1201,$A338))</f>
        <v/>
      </c>
      <c r="P338" s="19" t="str">
        <f aca="false">IF(OR($A338="",INDEX(_LEITURA!$Q$2:$Q$21,6)=0),"",SUMIFS(DECKS!$D$2:$D$1201,DECKS!$A$2:$A$1201,INDEX(_LEITURA!$P$2:$P$21,6),DECKS!$B$2:$B$1201,$A338))</f>
        <v/>
      </c>
      <c r="Q338" s="19" t="str">
        <f aca="false">IF(OR($A338="",INDEX(_LEITURA!$Q$2:$Q$21,7)=0),"",SUMIFS(DECKS!$D$2:$D$1201,DECKS!$A$2:$A$1201,INDEX(_LEITURA!$P$2:$P$21,7),DECKS!$B$2:$B$1201,$A338))</f>
        <v/>
      </c>
      <c r="R338" s="19" t="str">
        <f aca="false">IF(OR($A338="",INDEX(_LEITURA!$Q$2:$Q$21,8)=0),"",SUMIFS(DECKS!$D$2:$D$1201,DECKS!$A$2:$A$1201,INDEX(_LEITURA!$P$2:$P$21,8),DECKS!$B$2:$B$1201,$A338))</f>
        <v/>
      </c>
      <c r="S338" s="19" t="str">
        <f aca="false">IF(OR($A338="",INDEX(_LEITURA!$Q$2:$Q$21,9)=0),"",SUMIFS(DECKS!$D$2:$D$1201,DECKS!$A$2:$A$1201,INDEX(_LEITURA!$P$2:$P$21,9),DECKS!$B$2:$B$1201,$A338))</f>
        <v/>
      </c>
      <c r="T338" s="19" t="str">
        <f aca="false">IF(OR($A338="",INDEX(_LEITURA!$Q$2:$Q$21,10)=0),"",SUMIFS(DECKS!$D$2:$D$1201,DECKS!$A$2:$A$1201,INDEX(_LEITURA!$P$2:$P$21,10),DECKS!$B$2:$B$1201,$A338))</f>
        <v/>
      </c>
      <c r="U338" s="19" t="str">
        <f aca="false">IF(OR($A338="",INDEX(_LEITURA!$Q$2:$Q$21,11)=0),"",SUMIFS(DECKS!$D$2:$D$1201,DECKS!$A$2:$A$1201,INDEX(_LEITURA!$P$2:$P$21,11),DECKS!$B$2:$B$1201,$A338))</f>
        <v/>
      </c>
      <c r="V338" s="19" t="str">
        <f aca="false">IF(OR($A338="",INDEX(_LEITURA!$Q$2:$Q$21,12)=0),"",SUMIFS(DECKS!$D$2:$D$1201,DECKS!$A$2:$A$1201,INDEX(_LEITURA!$P$2:$P$21,12),DECKS!$B$2:$B$1201,$A338))</f>
        <v/>
      </c>
      <c r="W338" s="19" t="str">
        <f aca="false">IF(OR($A338="",INDEX(_LEITURA!$Q$2:$Q$21,13)=0),"",SUMIFS(DECKS!$D$2:$D$1201,DECKS!$A$2:$A$1201,INDEX(_LEITURA!$P$2:$P$21,13),DECKS!$B$2:$B$1201,$A338))</f>
        <v/>
      </c>
      <c r="X338" s="19" t="str">
        <f aca="false">IF(OR($A338="",INDEX(_LEITURA!$Q$2:$Q$21,14)=0),"",SUMIFS(DECKS!$D$2:$D$1201,DECKS!$A$2:$A$1201,INDEX(_LEITURA!$P$2:$P$21,14),DECKS!$B$2:$B$1201,$A338))</f>
        <v/>
      </c>
      <c r="Y338" s="19" t="str">
        <f aca="false">IF(OR($A338="",INDEX(_LEITURA!$Q$2:$Q$21,15)=0),"",SUMIFS(DECKS!$D$2:$D$1201,DECKS!$A$2:$A$1201,INDEX(_LEITURA!$P$2:$P$21,15),DECKS!$B$2:$B$1201,$A338))</f>
        <v/>
      </c>
      <c r="Z338" s="19" t="str">
        <f aca="false">IF(OR($A338="",INDEX(_LEITURA!$Q$2:$Q$21,16)=0),"",SUMIFS(DECKS!$D$2:$D$1201,DECKS!$A$2:$A$1201,INDEX(_LEITURA!$P$2:$P$21,16),DECKS!$B$2:$B$1201,$A338))</f>
        <v/>
      </c>
      <c r="AA338" s="19" t="str">
        <f aca="false">IF(OR($A338="",INDEX(_LEITURA!$Q$2:$Q$21,17)=0),"",SUMIFS(DECKS!$D$2:$D$1201,DECKS!$A$2:$A$1201,INDEX(_LEITURA!$P$2:$P$21,17),DECKS!$B$2:$B$1201,$A338))</f>
        <v/>
      </c>
      <c r="AB338" s="19" t="str">
        <f aca="false">IF(OR($A338="",INDEX(_LEITURA!$Q$2:$Q$21,18)=0),"",SUMIFS(DECKS!$D$2:$D$1201,DECKS!$A$2:$A$1201,INDEX(_LEITURA!$P$2:$P$21,18),DECKS!$B$2:$B$1201,$A338))</f>
        <v/>
      </c>
      <c r="AC338" s="19" t="str">
        <f aca="false">IF(OR($A338="",INDEX(_LEITURA!$Q$2:$Q$21,19)=0),"",SUMIFS(DECKS!$D$2:$D$1201,DECKS!$A$2:$A$1201,INDEX(_LEITURA!$P$2:$P$21,19),DECKS!$B$2:$B$1201,$A338))</f>
        <v/>
      </c>
      <c r="AD338" s="19" t="str">
        <f aca="false">IF(OR($A338="",INDEX(_LEITURA!$Q$2:$Q$21,20)=0),"",SUMIFS(DECKS!$D$2:$D$1201,DECKS!$A$2:$A$1201,INDEX(_LEITURA!$P$2:$P$21,20),DECKS!$B$2:$B$1201,$A338))</f>
        <v/>
      </c>
      <c r="AE338" s="16" t="str">
        <f aca="false">IF(N(E338)&gt;0,MAX(AE$1:AE337)+1,"")</f>
        <v/>
      </c>
      <c r="AF338" s="11" t="str">
        <f aca="false">IF(A338="","",IFERROR(LEFT(A338,FIND("-",A338)-1),A338))</f>
        <v/>
      </c>
      <c r="AG338" s="11" t="str">
        <f aca="false">IF(AF338="","",IF(ISNUMBER(--MID(AF338,1,1)),0,IF(ISNUMBER(--MID(AF338,2,1)),1,IF(ISNUMBER(--MID(AF338,3,1)),2,IF(ISNUMBER(--MID(AF338,4,1)),3,MIN(LEN(AF338),4))))))</f>
        <v/>
      </c>
      <c r="AH338" s="11" t="str">
        <f aca="false">IF(A338="","",LEFT(AF338,AG338)&amp;REPT("0",4-AG338)&amp;RIGHT("000"&amp;IFERROR(VALUE(MID(AF338,AG338+1,9)),0),3)&amp;RIGHT("0000"&amp;IFERROR(VALUE(MID(A338,FIND("-",A338)+1,9)),0),4))</f>
        <v/>
      </c>
      <c r="AI338" s="11" t="str">
        <f aca="false">IF(OR(A338="",N(E338)&lt;=0),"",IF('FALTAS GERAL'!$M$1="Código","K"&amp;AH338&amp;RIGHT("00000"&amp;ROW(),5),IF('FALTAS GERAL'!$M$1="Nome","K"&amp;UPPER(SUBSTITUTE(SUBSTITUTE(SUBSTITUTE(B338,"*",""),"?",""),"~",""))&amp;"0"&amp;AH338&amp;RIGHT("00000"&amp;ROW(),5),IF('FALTAS GERAL'!$M$1="Falta (maior primeiro)","K"&amp;RIGHT("0000"&amp;(9999-E338),4)&amp;AH338&amp;RIGHT("00000"&amp;ROW(),5),IF('FALTAS GERAL'!$M$1="Nº de decks (maior primeiro)","K"&amp;RIGHT("00"&amp;(99-N(G338)),2)&amp;AH338&amp;RIGHT("00000"&amp;ROW(),5),"K"&amp;RIGHT("00000"&amp;ROW(),5))))))</f>
        <v/>
      </c>
      <c r="AJ338" s="11" t="str">
        <f aca="false">IF(AI338="","",COUNTIFS($AI$2:$AI$801,"&lt;"&amp;AI338,$E$2:$E$801,"&gt;0")+1)</f>
        <v/>
      </c>
      <c r="AK338" s="11" t="str">
        <f aca="false">IF(OR(A338="",N(E338)&lt;=0),"",COUNTIFS($AH$2:$AH$801,"&lt;"&amp;AH338,$E$2:$E$801,"&gt;0")+COUNTIFS($AH$2:AH338,AH338,$E$2:E338,"&gt;0"))</f>
        <v/>
      </c>
    </row>
    <row r="339" customFormat="false" ht="15" hidden="false" customHeight="false" outlineLevel="0" collapsed="false">
      <c r="A339" s="11" t="str">
        <f aca="false">IF(INVENTÁRIO!A339="","",INVENTÁRIO!A339)</f>
        <v/>
      </c>
      <c r="B339" s="11" t="str">
        <f aca="false">IF(A339="","",INVENTÁRIO!B339)</f>
        <v/>
      </c>
      <c r="C339" s="16" t="str">
        <f aca="false">IF(A339="","",INVENTÁRIO!C339)</f>
        <v/>
      </c>
      <c r="D339" s="14" t="str">
        <f aca="false">IF(A339="","",MAX(K339:AD339))</f>
        <v/>
      </c>
      <c r="E339" s="14" t="str">
        <f aca="false">IF(A339="","",MAX(0,D339-C339))</f>
        <v/>
      </c>
      <c r="F339" s="16" t="str">
        <f aca="false">IF(A339="","",IF(D339=0,"Fora dos decks",IF(E339=0,"Completo","Falta")))</f>
        <v/>
      </c>
      <c r="G339" s="16" t="str">
        <f aca="false">IF(A339="","",COUNTIF(K339:AD339,"&gt;0"))</f>
        <v/>
      </c>
      <c r="H339" s="16" t="str">
        <f aca="false">IF(A339="","",IF(G339&gt;1,"Sim",""))</f>
        <v/>
      </c>
      <c r="I339" s="18" t="str">
        <f aca="false">IF(A339="","",SUMIFS(DECKS!$D$2:$D$1201,DECKS!$B$2:$B$1201,A339))</f>
        <v/>
      </c>
      <c r="J339" s="18" t="str">
        <f aca="false">IF(A339="","",MAX(0,I339-C339))</f>
        <v/>
      </c>
      <c r="K339" s="19" t="str">
        <f aca="false">IF(OR($A339="",INDEX(_LEITURA!$Q$2:$Q$21,1)=0),"",SUMIFS(DECKS!$D$2:$D$1201,DECKS!$A$2:$A$1201,INDEX(_LEITURA!$P$2:$P$21,1),DECKS!$B$2:$B$1201,$A339))</f>
        <v/>
      </c>
      <c r="L339" s="19" t="str">
        <f aca="false">IF(OR($A339="",INDEX(_LEITURA!$Q$2:$Q$21,2)=0),"",SUMIFS(DECKS!$D$2:$D$1201,DECKS!$A$2:$A$1201,INDEX(_LEITURA!$P$2:$P$21,2),DECKS!$B$2:$B$1201,$A339))</f>
        <v/>
      </c>
      <c r="M339" s="19" t="str">
        <f aca="false">IF(OR($A339="",INDEX(_LEITURA!$Q$2:$Q$21,3)=0),"",SUMIFS(DECKS!$D$2:$D$1201,DECKS!$A$2:$A$1201,INDEX(_LEITURA!$P$2:$P$21,3),DECKS!$B$2:$B$1201,$A339))</f>
        <v/>
      </c>
      <c r="N339" s="19" t="str">
        <f aca="false">IF(OR($A339="",INDEX(_LEITURA!$Q$2:$Q$21,4)=0),"",SUMIFS(DECKS!$D$2:$D$1201,DECKS!$A$2:$A$1201,INDEX(_LEITURA!$P$2:$P$21,4),DECKS!$B$2:$B$1201,$A339))</f>
        <v/>
      </c>
      <c r="O339" s="19" t="str">
        <f aca="false">IF(OR($A339="",INDEX(_LEITURA!$Q$2:$Q$21,5)=0),"",SUMIFS(DECKS!$D$2:$D$1201,DECKS!$A$2:$A$1201,INDEX(_LEITURA!$P$2:$P$21,5),DECKS!$B$2:$B$1201,$A339))</f>
        <v/>
      </c>
      <c r="P339" s="19" t="str">
        <f aca="false">IF(OR($A339="",INDEX(_LEITURA!$Q$2:$Q$21,6)=0),"",SUMIFS(DECKS!$D$2:$D$1201,DECKS!$A$2:$A$1201,INDEX(_LEITURA!$P$2:$P$21,6),DECKS!$B$2:$B$1201,$A339))</f>
        <v/>
      </c>
      <c r="Q339" s="19" t="str">
        <f aca="false">IF(OR($A339="",INDEX(_LEITURA!$Q$2:$Q$21,7)=0),"",SUMIFS(DECKS!$D$2:$D$1201,DECKS!$A$2:$A$1201,INDEX(_LEITURA!$P$2:$P$21,7),DECKS!$B$2:$B$1201,$A339))</f>
        <v/>
      </c>
      <c r="R339" s="19" t="str">
        <f aca="false">IF(OR($A339="",INDEX(_LEITURA!$Q$2:$Q$21,8)=0),"",SUMIFS(DECKS!$D$2:$D$1201,DECKS!$A$2:$A$1201,INDEX(_LEITURA!$P$2:$P$21,8),DECKS!$B$2:$B$1201,$A339))</f>
        <v/>
      </c>
      <c r="S339" s="19" t="str">
        <f aca="false">IF(OR($A339="",INDEX(_LEITURA!$Q$2:$Q$21,9)=0),"",SUMIFS(DECKS!$D$2:$D$1201,DECKS!$A$2:$A$1201,INDEX(_LEITURA!$P$2:$P$21,9),DECKS!$B$2:$B$1201,$A339))</f>
        <v/>
      </c>
      <c r="T339" s="19" t="str">
        <f aca="false">IF(OR($A339="",INDEX(_LEITURA!$Q$2:$Q$21,10)=0),"",SUMIFS(DECKS!$D$2:$D$1201,DECKS!$A$2:$A$1201,INDEX(_LEITURA!$P$2:$P$21,10),DECKS!$B$2:$B$1201,$A339))</f>
        <v/>
      </c>
      <c r="U339" s="19" t="str">
        <f aca="false">IF(OR($A339="",INDEX(_LEITURA!$Q$2:$Q$21,11)=0),"",SUMIFS(DECKS!$D$2:$D$1201,DECKS!$A$2:$A$1201,INDEX(_LEITURA!$P$2:$P$21,11),DECKS!$B$2:$B$1201,$A339))</f>
        <v/>
      </c>
      <c r="V339" s="19" t="str">
        <f aca="false">IF(OR($A339="",INDEX(_LEITURA!$Q$2:$Q$21,12)=0),"",SUMIFS(DECKS!$D$2:$D$1201,DECKS!$A$2:$A$1201,INDEX(_LEITURA!$P$2:$P$21,12),DECKS!$B$2:$B$1201,$A339))</f>
        <v/>
      </c>
      <c r="W339" s="19" t="str">
        <f aca="false">IF(OR($A339="",INDEX(_LEITURA!$Q$2:$Q$21,13)=0),"",SUMIFS(DECKS!$D$2:$D$1201,DECKS!$A$2:$A$1201,INDEX(_LEITURA!$P$2:$P$21,13),DECKS!$B$2:$B$1201,$A339))</f>
        <v/>
      </c>
      <c r="X339" s="19" t="str">
        <f aca="false">IF(OR($A339="",INDEX(_LEITURA!$Q$2:$Q$21,14)=0),"",SUMIFS(DECKS!$D$2:$D$1201,DECKS!$A$2:$A$1201,INDEX(_LEITURA!$P$2:$P$21,14),DECKS!$B$2:$B$1201,$A339))</f>
        <v/>
      </c>
      <c r="Y339" s="19" t="str">
        <f aca="false">IF(OR($A339="",INDEX(_LEITURA!$Q$2:$Q$21,15)=0),"",SUMIFS(DECKS!$D$2:$D$1201,DECKS!$A$2:$A$1201,INDEX(_LEITURA!$P$2:$P$21,15),DECKS!$B$2:$B$1201,$A339))</f>
        <v/>
      </c>
      <c r="Z339" s="19" t="str">
        <f aca="false">IF(OR($A339="",INDEX(_LEITURA!$Q$2:$Q$21,16)=0),"",SUMIFS(DECKS!$D$2:$D$1201,DECKS!$A$2:$A$1201,INDEX(_LEITURA!$P$2:$P$21,16),DECKS!$B$2:$B$1201,$A339))</f>
        <v/>
      </c>
      <c r="AA339" s="19" t="str">
        <f aca="false">IF(OR($A339="",INDEX(_LEITURA!$Q$2:$Q$21,17)=0),"",SUMIFS(DECKS!$D$2:$D$1201,DECKS!$A$2:$A$1201,INDEX(_LEITURA!$P$2:$P$21,17),DECKS!$B$2:$B$1201,$A339))</f>
        <v/>
      </c>
      <c r="AB339" s="19" t="str">
        <f aca="false">IF(OR($A339="",INDEX(_LEITURA!$Q$2:$Q$21,18)=0),"",SUMIFS(DECKS!$D$2:$D$1201,DECKS!$A$2:$A$1201,INDEX(_LEITURA!$P$2:$P$21,18),DECKS!$B$2:$B$1201,$A339))</f>
        <v/>
      </c>
      <c r="AC339" s="19" t="str">
        <f aca="false">IF(OR($A339="",INDEX(_LEITURA!$Q$2:$Q$21,19)=0),"",SUMIFS(DECKS!$D$2:$D$1201,DECKS!$A$2:$A$1201,INDEX(_LEITURA!$P$2:$P$21,19),DECKS!$B$2:$B$1201,$A339))</f>
        <v/>
      </c>
      <c r="AD339" s="19" t="str">
        <f aca="false">IF(OR($A339="",INDEX(_LEITURA!$Q$2:$Q$21,20)=0),"",SUMIFS(DECKS!$D$2:$D$1201,DECKS!$A$2:$A$1201,INDEX(_LEITURA!$P$2:$P$21,20),DECKS!$B$2:$B$1201,$A339))</f>
        <v/>
      </c>
      <c r="AE339" s="16" t="str">
        <f aca="false">IF(N(E339)&gt;0,MAX(AE$1:AE338)+1,"")</f>
        <v/>
      </c>
      <c r="AF339" s="11" t="str">
        <f aca="false">IF(A339="","",IFERROR(LEFT(A339,FIND("-",A339)-1),A339))</f>
        <v/>
      </c>
      <c r="AG339" s="11" t="str">
        <f aca="false">IF(AF339="","",IF(ISNUMBER(--MID(AF339,1,1)),0,IF(ISNUMBER(--MID(AF339,2,1)),1,IF(ISNUMBER(--MID(AF339,3,1)),2,IF(ISNUMBER(--MID(AF339,4,1)),3,MIN(LEN(AF339),4))))))</f>
        <v/>
      </c>
      <c r="AH339" s="11" t="str">
        <f aca="false">IF(A339="","",LEFT(AF339,AG339)&amp;REPT("0",4-AG339)&amp;RIGHT("000"&amp;IFERROR(VALUE(MID(AF339,AG339+1,9)),0),3)&amp;RIGHT("0000"&amp;IFERROR(VALUE(MID(A339,FIND("-",A339)+1,9)),0),4))</f>
        <v/>
      </c>
      <c r="AI339" s="11" t="str">
        <f aca="false">IF(OR(A339="",N(E339)&lt;=0),"",IF('FALTAS GERAL'!$M$1="Código","K"&amp;AH339&amp;RIGHT("00000"&amp;ROW(),5),IF('FALTAS GERAL'!$M$1="Nome","K"&amp;UPPER(SUBSTITUTE(SUBSTITUTE(SUBSTITUTE(B339,"*",""),"?",""),"~",""))&amp;"0"&amp;AH339&amp;RIGHT("00000"&amp;ROW(),5),IF('FALTAS GERAL'!$M$1="Falta (maior primeiro)","K"&amp;RIGHT("0000"&amp;(9999-E339),4)&amp;AH339&amp;RIGHT("00000"&amp;ROW(),5),IF('FALTAS GERAL'!$M$1="Nº de decks (maior primeiro)","K"&amp;RIGHT("00"&amp;(99-N(G339)),2)&amp;AH339&amp;RIGHT("00000"&amp;ROW(),5),"K"&amp;RIGHT("00000"&amp;ROW(),5))))))</f>
        <v/>
      </c>
      <c r="AJ339" s="11" t="str">
        <f aca="false">IF(AI339="","",COUNTIFS($AI$2:$AI$801,"&lt;"&amp;AI339,$E$2:$E$801,"&gt;0")+1)</f>
        <v/>
      </c>
      <c r="AK339" s="11" t="str">
        <f aca="false">IF(OR(A339="",N(E339)&lt;=0),"",COUNTIFS($AH$2:$AH$801,"&lt;"&amp;AH339,$E$2:$E$801,"&gt;0")+COUNTIFS($AH$2:AH339,AH339,$E$2:E339,"&gt;0"))</f>
        <v/>
      </c>
    </row>
    <row r="340" customFormat="false" ht="15" hidden="false" customHeight="false" outlineLevel="0" collapsed="false">
      <c r="A340" s="11" t="str">
        <f aca="false">IF(INVENTÁRIO!A340="","",INVENTÁRIO!A340)</f>
        <v/>
      </c>
      <c r="B340" s="11" t="str">
        <f aca="false">IF(A340="","",INVENTÁRIO!B340)</f>
        <v/>
      </c>
      <c r="C340" s="16" t="str">
        <f aca="false">IF(A340="","",INVENTÁRIO!C340)</f>
        <v/>
      </c>
      <c r="D340" s="14" t="str">
        <f aca="false">IF(A340="","",MAX(K340:AD340))</f>
        <v/>
      </c>
      <c r="E340" s="14" t="str">
        <f aca="false">IF(A340="","",MAX(0,D340-C340))</f>
        <v/>
      </c>
      <c r="F340" s="16" t="str">
        <f aca="false">IF(A340="","",IF(D340=0,"Fora dos decks",IF(E340=0,"Completo","Falta")))</f>
        <v/>
      </c>
      <c r="G340" s="16" t="str">
        <f aca="false">IF(A340="","",COUNTIF(K340:AD340,"&gt;0"))</f>
        <v/>
      </c>
      <c r="H340" s="16" t="str">
        <f aca="false">IF(A340="","",IF(G340&gt;1,"Sim",""))</f>
        <v/>
      </c>
      <c r="I340" s="18" t="str">
        <f aca="false">IF(A340="","",SUMIFS(DECKS!$D$2:$D$1201,DECKS!$B$2:$B$1201,A340))</f>
        <v/>
      </c>
      <c r="J340" s="18" t="str">
        <f aca="false">IF(A340="","",MAX(0,I340-C340))</f>
        <v/>
      </c>
      <c r="K340" s="19" t="str">
        <f aca="false">IF(OR($A340="",INDEX(_LEITURA!$Q$2:$Q$21,1)=0),"",SUMIFS(DECKS!$D$2:$D$1201,DECKS!$A$2:$A$1201,INDEX(_LEITURA!$P$2:$P$21,1),DECKS!$B$2:$B$1201,$A340))</f>
        <v/>
      </c>
      <c r="L340" s="19" t="str">
        <f aca="false">IF(OR($A340="",INDEX(_LEITURA!$Q$2:$Q$21,2)=0),"",SUMIFS(DECKS!$D$2:$D$1201,DECKS!$A$2:$A$1201,INDEX(_LEITURA!$P$2:$P$21,2),DECKS!$B$2:$B$1201,$A340))</f>
        <v/>
      </c>
      <c r="M340" s="19" t="str">
        <f aca="false">IF(OR($A340="",INDEX(_LEITURA!$Q$2:$Q$21,3)=0),"",SUMIFS(DECKS!$D$2:$D$1201,DECKS!$A$2:$A$1201,INDEX(_LEITURA!$P$2:$P$21,3),DECKS!$B$2:$B$1201,$A340))</f>
        <v/>
      </c>
      <c r="N340" s="19" t="str">
        <f aca="false">IF(OR($A340="",INDEX(_LEITURA!$Q$2:$Q$21,4)=0),"",SUMIFS(DECKS!$D$2:$D$1201,DECKS!$A$2:$A$1201,INDEX(_LEITURA!$P$2:$P$21,4),DECKS!$B$2:$B$1201,$A340))</f>
        <v/>
      </c>
      <c r="O340" s="19" t="str">
        <f aca="false">IF(OR($A340="",INDEX(_LEITURA!$Q$2:$Q$21,5)=0),"",SUMIFS(DECKS!$D$2:$D$1201,DECKS!$A$2:$A$1201,INDEX(_LEITURA!$P$2:$P$21,5),DECKS!$B$2:$B$1201,$A340))</f>
        <v/>
      </c>
      <c r="P340" s="19" t="str">
        <f aca="false">IF(OR($A340="",INDEX(_LEITURA!$Q$2:$Q$21,6)=0),"",SUMIFS(DECKS!$D$2:$D$1201,DECKS!$A$2:$A$1201,INDEX(_LEITURA!$P$2:$P$21,6),DECKS!$B$2:$B$1201,$A340))</f>
        <v/>
      </c>
      <c r="Q340" s="19" t="str">
        <f aca="false">IF(OR($A340="",INDEX(_LEITURA!$Q$2:$Q$21,7)=0),"",SUMIFS(DECKS!$D$2:$D$1201,DECKS!$A$2:$A$1201,INDEX(_LEITURA!$P$2:$P$21,7),DECKS!$B$2:$B$1201,$A340))</f>
        <v/>
      </c>
      <c r="R340" s="19" t="str">
        <f aca="false">IF(OR($A340="",INDEX(_LEITURA!$Q$2:$Q$21,8)=0),"",SUMIFS(DECKS!$D$2:$D$1201,DECKS!$A$2:$A$1201,INDEX(_LEITURA!$P$2:$P$21,8),DECKS!$B$2:$B$1201,$A340))</f>
        <v/>
      </c>
      <c r="S340" s="19" t="str">
        <f aca="false">IF(OR($A340="",INDEX(_LEITURA!$Q$2:$Q$21,9)=0),"",SUMIFS(DECKS!$D$2:$D$1201,DECKS!$A$2:$A$1201,INDEX(_LEITURA!$P$2:$P$21,9),DECKS!$B$2:$B$1201,$A340))</f>
        <v/>
      </c>
      <c r="T340" s="19" t="str">
        <f aca="false">IF(OR($A340="",INDEX(_LEITURA!$Q$2:$Q$21,10)=0),"",SUMIFS(DECKS!$D$2:$D$1201,DECKS!$A$2:$A$1201,INDEX(_LEITURA!$P$2:$P$21,10),DECKS!$B$2:$B$1201,$A340))</f>
        <v/>
      </c>
      <c r="U340" s="19" t="str">
        <f aca="false">IF(OR($A340="",INDEX(_LEITURA!$Q$2:$Q$21,11)=0),"",SUMIFS(DECKS!$D$2:$D$1201,DECKS!$A$2:$A$1201,INDEX(_LEITURA!$P$2:$P$21,11),DECKS!$B$2:$B$1201,$A340))</f>
        <v/>
      </c>
      <c r="V340" s="19" t="str">
        <f aca="false">IF(OR($A340="",INDEX(_LEITURA!$Q$2:$Q$21,12)=0),"",SUMIFS(DECKS!$D$2:$D$1201,DECKS!$A$2:$A$1201,INDEX(_LEITURA!$P$2:$P$21,12),DECKS!$B$2:$B$1201,$A340))</f>
        <v/>
      </c>
      <c r="W340" s="19" t="str">
        <f aca="false">IF(OR($A340="",INDEX(_LEITURA!$Q$2:$Q$21,13)=0),"",SUMIFS(DECKS!$D$2:$D$1201,DECKS!$A$2:$A$1201,INDEX(_LEITURA!$P$2:$P$21,13),DECKS!$B$2:$B$1201,$A340))</f>
        <v/>
      </c>
      <c r="X340" s="19" t="str">
        <f aca="false">IF(OR($A340="",INDEX(_LEITURA!$Q$2:$Q$21,14)=0),"",SUMIFS(DECKS!$D$2:$D$1201,DECKS!$A$2:$A$1201,INDEX(_LEITURA!$P$2:$P$21,14),DECKS!$B$2:$B$1201,$A340))</f>
        <v/>
      </c>
      <c r="Y340" s="19" t="str">
        <f aca="false">IF(OR($A340="",INDEX(_LEITURA!$Q$2:$Q$21,15)=0),"",SUMIFS(DECKS!$D$2:$D$1201,DECKS!$A$2:$A$1201,INDEX(_LEITURA!$P$2:$P$21,15),DECKS!$B$2:$B$1201,$A340))</f>
        <v/>
      </c>
      <c r="Z340" s="19" t="str">
        <f aca="false">IF(OR($A340="",INDEX(_LEITURA!$Q$2:$Q$21,16)=0),"",SUMIFS(DECKS!$D$2:$D$1201,DECKS!$A$2:$A$1201,INDEX(_LEITURA!$P$2:$P$21,16),DECKS!$B$2:$B$1201,$A340))</f>
        <v/>
      </c>
      <c r="AA340" s="19" t="str">
        <f aca="false">IF(OR($A340="",INDEX(_LEITURA!$Q$2:$Q$21,17)=0),"",SUMIFS(DECKS!$D$2:$D$1201,DECKS!$A$2:$A$1201,INDEX(_LEITURA!$P$2:$P$21,17),DECKS!$B$2:$B$1201,$A340))</f>
        <v/>
      </c>
      <c r="AB340" s="19" t="str">
        <f aca="false">IF(OR($A340="",INDEX(_LEITURA!$Q$2:$Q$21,18)=0),"",SUMIFS(DECKS!$D$2:$D$1201,DECKS!$A$2:$A$1201,INDEX(_LEITURA!$P$2:$P$21,18),DECKS!$B$2:$B$1201,$A340))</f>
        <v/>
      </c>
      <c r="AC340" s="19" t="str">
        <f aca="false">IF(OR($A340="",INDEX(_LEITURA!$Q$2:$Q$21,19)=0),"",SUMIFS(DECKS!$D$2:$D$1201,DECKS!$A$2:$A$1201,INDEX(_LEITURA!$P$2:$P$21,19),DECKS!$B$2:$B$1201,$A340))</f>
        <v/>
      </c>
      <c r="AD340" s="19" t="str">
        <f aca="false">IF(OR($A340="",INDEX(_LEITURA!$Q$2:$Q$21,20)=0),"",SUMIFS(DECKS!$D$2:$D$1201,DECKS!$A$2:$A$1201,INDEX(_LEITURA!$P$2:$P$21,20),DECKS!$B$2:$B$1201,$A340))</f>
        <v/>
      </c>
      <c r="AE340" s="16" t="str">
        <f aca="false">IF(N(E340)&gt;0,MAX(AE$1:AE339)+1,"")</f>
        <v/>
      </c>
      <c r="AF340" s="11" t="str">
        <f aca="false">IF(A340="","",IFERROR(LEFT(A340,FIND("-",A340)-1),A340))</f>
        <v/>
      </c>
      <c r="AG340" s="11" t="str">
        <f aca="false">IF(AF340="","",IF(ISNUMBER(--MID(AF340,1,1)),0,IF(ISNUMBER(--MID(AF340,2,1)),1,IF(ISNUMBER(--MID(AF340,3,1)),2,IF(ISNUMBER(--MID(AF340,4,1)),3,MIN(LEN(AF340),4))))))</f>
        <v/>
      </c>
      <c r="AH340" s="11" t="str">
        <f aca="false">IF(A340="","",LEFT(AF340,AG340)&amp;REPT("0",4-AG340)&amp;RIGHT("000"&amp;IFERROR(VALUE(MID(AF340,AG340+1,9)),0),3)&amp;RIGHT("0000"&amp;IFERROR(VALUE(MID(A340,FIND("-",A340)+1,9)),0),4))</f>
        <v/>
      </c>
      <c r="AI340" s="11" t="str">
        <f aca="false">IF(OR(A340="",N(E340)&lt;=0),"",IF('FALTAS GERAL'!$M$1="Código","K"&amp;AH340&amp;RIGHT("00000"&amp;ROW(),5),IF('FALTAS GERAL'!$M$1="Nome","K"&amp;UPPER(SUBSTITUTE(SUBSTITUTE(SUBSTITUTE(B340,"*",""),"?",""),"~",""))&amp;"0"&amp;AH340&amp;RIGHT("00000"&amp;ROW(),5),IF('FALTAS GERAL'!$M$1="Falta (maior primeiro)","K"&amp;RIGHT("0000"&amp;(9999-E340),4)&amp;AH340&amp;RIGHT("00000"&amp;ROW(),5),IF('FALTAS GERAL'!$M$1="Nº de decks (maior primeiro)","K"&amp;RIGHT("00"&amp;(99-N(G340)),2)&amp;AH340&amp;RIGHT("00000"&amp;ROW(),5),"K"&amp;RIGHT("00000"&amp;ROW(),5))))))</f>
        <v/>
      </c>
      <c r="AJ340" s="11" t="str">
        <f aca="false">IF(AI340="","",COUNTIFS($AI$2:$AI$801,"&lt;"&amp;AI340,$E$2:$E$801,"&gt;0")+1)</f>
        <v/>
      </c>
      <c r="AK340" s="11" t="str">
        <f aca="false">IF(OR(A340="",N(E340)&lt;=0),"",COUNTIFS($AH$2:$AH$801,"&lt;"&amp;AH340,$E$2:$E$801,"&gt;0")+COUNTIFS($AH$2:AH340,AH340,$E$2:E340,"&gt;0"))</f>
        <v/>
      </c>
    </row>
    <row r="341" customFormat="false" ht="15" hidden="false" customHeight="false" outlineLevel="0" collapsed="false">
      <c r="A341" s="11" t="str">
        <f aca="false">IF(INVENTÁRIO!A341="","",INVENTÁRIO!A341)</f>
        <v/>
      </c>
      <c r="B341" s="11" t="str">
        <f aca="false">IF(A341="","",INVENTÁRIO!B341)</f>
        <v/>
      </c>
      <c r="C341" s="16" t="str">
        <f aca="false">IF(A341="","",INVENTÁRIO!C341)</f>
        <v/>
      </c>
      <c r="D341" s="14" t="str">
        <f aca="false">IF(A341="","",MAX(K341:AD341))</f>
        <v/>
      </c>
      <c r="E341" s="14" t="str">
        <f aca="false">IF(A341="","",MAX(0,D341-C341))</f>
        <v/>
      </c>
      <c r="F341" s="16" t="str">
        <f aca="false">IF(A341="","",IF(D341=0,"Fora dos decks",IF(E341=0,"Completo","Falta")))</f>
        <v/>
      </c>
      <c r="G341" s="16" t="str">
        <f aca="false">IF(A341="","",COUNTIF(K341:AD341,"&gt;0"))</f>
        <v/>
      </c>
      <c r="H341" s="16" t="str">
        <f aca="false">IF(A341="","",IF(G341&gt;1,"Sim",""))</f>
        <v/>
      </c>
      <c r="I341" s="18" t="str">
        <f aca="false">IF(A341="","",SUMIFS(DECKS!$D$2:$D$1201,DECKS!$B$2:$B$1201,A341))</f>
        <v/>
      </c>
      <c r="J341" s="18" t="str">
        <f aca="false">IF(A341="","",MAX(0,I341-C341))</f>
        <v/>
      </c>
      <c r="K341" s="19" t="str">
        <f aca="false">IF(OR($A341="",INDEX(_LEITURA!$Q$2:$Q$21,1)=0),"",SUMIFS(DECKS!$D$2:$D$1201,DECKS!$A$2:$A$1201,INDEX(_LEITURA!$P$2:$P$21,1),DECKS!$B$2:$B$1201,$A341))</f>
        <v/>
      </c>
      <c r="L341" s="19" t="str">
        <f aca="false">IF(OR($A341="",INDEX(_LEITURA!$Q$2:$Q$21,2)=0),"",SUMIFS(DECKS!$D$2:$D$1201,DECKS!$A$2:$A$1201,INDEX(_LEITURA!$P$2:$P$21,2),DECKS!$B$2:$B$1201,$A341))</f>
        <v/>
      </c>
      <c r="M341" s="19" t="str">
        <f aca="false">IF(OR($A341="",INDEX(_LEITURA!$Q$2:$Q$21,3)=0),"",SUMIFS(DECKS!$D$2:$D$1201,DECKS!$A$2:$A$1201,INDEX(_LEITURA!$P$2:$P$21,3),DECKS!$B$2:$B$1201,$A341))</f>
        <v/>
      </c>
      <c r="N341" s="19" t="str">
        <f aca="false">IF(OR($A341="",INDEX(_LEITURA!$Q$2:$Q$21,4)=0),"",SUMIFS(DECKS!$D$2:$D$1201,DECKS!$A$2:$A$1201,INDEX(_LEITURA!$P$2:$P$21,4),DECKS!$B$2:$B$1201,$A341))</f>
        <v/>
      </c>
      <c r="O341" s="19" t="str">
        <f aca="false">IF(OR($A341="",INDEX(_LEITURA!$Q$2:$Q$21,5)=0),"",SUMIFS(DECKS!$D$2:$D$1201,DECKS!$A$2:$A$1201,INDEX(_LEITURA!$P$2:$P$21,5),DECKS!$B$2:$B$1201,$A341))</f>
        <v/>
      </c>
      <c r="P341" s="19" t="str">
        <f aca="false">IF(OR($A341="",INDEX(_LEITURA!$Q$2:$Q$21,6)=0),"",SUMIFS(DECKS!$D$2:$D$1201,DECKS!$A$2:$A$1201,INDEX(_LEITURA!$P$2:$P$21,6),DECKS!$B$2:$B$1201,$A341))</f>
        <v/>
      </c>
      <c r="Q341" s="19" t="str">
        <f aca="false">IF(OR($A341="",INDEX(_LEITURA!$Q$2:$Q$21,7)=0),"",SUMIFS(DECKS!$D$2:$D$1201,DECKS!$A$2:$A$1201,INDEX(_LEITURA!$P$2:$P$21,7),DECKS!$B$2:$B$1201,$A341))</f>
        <v/>
      </c>
      <c r="R341" s="19" t="str">
        <f aca="false">IF(OR($A341="",INDEX(_LEITURA!$Q$2:$Q$21,8)=0),"",SUMIFS(DECKS!$D$2:$D$1201,DECKS!$A$2:$A$1201,INDEX(_LEITURA!$P$2:$P$21,8),DECKS!$B$2:$B$1201,$A341))</f>
        <v/>
      </c>
      <c r="S341" s="19" t="str">
        <f aca="false">IF(OR($A341="",INDEX(_LEITURA!$Q$2:$Q$21,9)=0),"",SUMIFS(DECKS!$D$2:$D$1201,DECKS!$A$2:$A$1201,INDEX(_LEITURA!$P$2:$P$21,9),DECKS!$B$2:$B$1201,$A341))</f>
        <v/>
      </c>
      <c r="T341" s="19" t="str">
        <f aca="false">IF(OR($A341="",INDEX(_LEITURA!$Q$2:$Q$21,10)=0),"",SUMIFS(DECKS!$D$2:$D$1201,DECKS!$A$2:$A$1201,INDEX(_LEITURA!$P$2:$P$21,10),DECKS!$B$2:$B$1201,$A341))</f>
        <v/>
      </c>
      <c r="U341" s="19" t="str">
        <f aca="false">IF(OR($A341="",INDEX(_LEITURA!$Q$2:$Q$21,11)=0),"",SUMIFS(DECKS!$D$2:$D$1201,DECKS!$A$2:$A$1201,INDEX(_LEITURA!$P$2:$P$21,11),DECKS!$B$2:$B$1201,$A341))</f>
        <v/>
      </c>
      <c r="V341" s="19" t="str">
        <f aca="false">IF(OR($A341="",INDEX(_LEITURA!$Q$2:$Q$21,12)=0),"",SUMIFS(DECKS!$D$2:$D$1201,DECKS!$A$2:$A$1201,INDEX(_LEITURA!$P$2:$P$21,12),DECKS!$B$2:$B$1201,$A341))</f>
        <v/>
      </c>
      <c r="W341" s="19" t="str">
        <f aca="false">IF(OR($A341="",INDEX(_LEITURA!$Q$2:$Q$21,13)=0),"",SUMIFS(DECKS!$D$2:$D$1201,DECKS!$A$2:$A$1201,INDEX(_LEITURA!$P$2:$P$21,13),DECKS!$B$2:$B$1201,$A341))</f>
        <v/>
      </c>
      <c r="X341" s="19" t="str">
        <f aca="false">IF(OR($A341="",INDEX(_LEITURA!$Q$2:$Q$21,14)=0),"",SUMIFS(DECKS!$D$2:$D$1201,DECKS!$A$2:$A$1201,INDEX(_LEITURA!$P$2:$P$21,14),DECKS!$B$2:$B$1201,$A341))</f>
        <v/>
      </c>
      <c r="Y341" s="19" t="str">
        <f aca="false">IF(OR($A341="",INDEX(_LEITURA!$Q$2:$Q$21,15)=0),"",SUMIFS(DECKS!$D$2:$D$1201,DECKS!$A$2:$A$1201,INDEX(_LEITURA!$P$2:$P$21,15),DECKS!$B$2:$B$1201,$A341))</f>
        <v/>
      </c>
      <c r="Z341" s="19" t="str">
        <f aca="false">IF(OR($A341="",INDEX(_LEITURA!$Q$2:$Q$21,16)=0),"",SUMIFS(DECKS!$D$2:$D$1201,DECKS!$A$2:$A$1201,INDEX(_LEITURA!$P$2:$P$21,16),DECKS!$B$2:$B$1201,$A341))</f>
        <v/>
      </c>
      <c r="AA341" s="19" t="str">
        <f aca="false">IF(OR($A341="",INDEX(_LEITURA!$Q$2:$Q$21,17)=0),"",SUMIFS(DECKS!$D$2:$D$1201,DECKS!$A$2:$A$1201,INDEX(_LEITURA!$P$2:$P$21,17),DECKS!$B$2:$B$1201,$A341))</f>
        <v/>
      </c>
      <c r="AB341" s="19" t="str">
        <f aca="false">IF(OR($A341="",INDEX(_LEITURA!$Q$2:$Q$21,18)=0),"",SUMIFS(DECKS!$D$2:$D$1201,DECKS!$A$2:$A$1201,INDEX(_LEITURA!$P$2:$P$21,18),DECKS!$B$2:$B$1201,$A341))</f>
        <v/>
      </c>
      <c r="AC341" s="19" t="str">
        <f aca="false">IF(OR($A341="",INDEX(_LEITURA!$Q$2:$Q$21,19)=0),"",SUMIFS(DECKS!$D$2:$D$1201,DECKS!$A$2:$A$1201,INDEX(_LEITURA!$P$2:$P$21,19),DECKS!$B$2:$B$1201,$A341))</f>
        <v/>
      </c>
      <c r="AD341" s="19" t="str">
        <f aca="false">IF(OR($A341="",INDEX(_LEITURA!$Q$2:$Q$21,20)=0),"",SUMIFS(DECKS!$D$2:$D$1201,DECKS!$A$2:$A$1201,INDEX(_LEITURA!$P$2:$P$21,20),DECKS!$B$2:$B$1201,$A341))</f>
        <v/>
      </c>
      <c r="AE341" s="16" t="str">
        <f aca="false">IF(N(E341)&gt;0,MAX(AE$1:AE340)+1,"")</f>
        <v/>
      </c>
      <c r="AF341" s="11" t="str">
        <f aca="false">IF(A341="","",IFERROR(LEFT(A341,FIND("-",A341)-1),A341))</f>
        <v/>
      </c>
      <c r="AG341" s="11" t="str">
        <f aca="false">IF(AF341="","",IF(ISNUMBER(--MID(AF341,1,1)),0,IF(ISNUMBER(--MID(AF341,2,1)),1,IF(ISNUMBER(--MID(AF341,3,1)),2,IF(ISNUMBER(--MID(AF341,4,1)),3,MIN(LEN(AF341),4))))))</f>
        <v/>
      </c>
      <c r="AH341" s="11" t="str">
        <f aca="false">IF(A341="","",LEFT(AF341,AG341)&amp;REPT("0",4-AG341)&amp;RIGHT("000"&amp;IFERROR(VALUE(MID(AF341,AG341+1,9)),0),3)&amp;RIGHT("0000"&amp;IFERROR(VALUE(MID(A341,FIND("-",A341)+1,9)),0),4))</f>
        <v/>
      </c>
      <c r="AI341" s="11" t="str">
        <f aca="false">IF(OR(A341="",N(E341)&lt;=0),"",IF('FALTAS GERAL'!$M$1="Código","K"&amp;AH341&amp;RIGHT("00000"&amp;ROW(),5),IF('FALTAS GERAL'!$M$1="Nome","K"&amp;UPPER(SUBSTITUTE(SUBSTITUTE(SUBSTITUTE(B341,"*",""),"?",""),"~",""))&amp;"0"&amp;AH341&amp;RIGHT("00000"&amp;ROW(),5),IF('FALTAS GERAL'!$M$1="Falta (maior primeiro)","K"&amp;RIGHT("0000"&amp;(9999-E341),4)&amp;AH341&amp;RIGHT("00000"&amp;ROW(),5),IF('FALTAS GERAL'!$M$1="Nº de decks (maior primeiro)","K"&amp;RIGHT("00"&amp;(99-N(G341)),2)&amp;AH341&amp;RIGHT("00000"&amp;ROW(),5),"K"&amp;RIGHT("00000"&amp;ROW(),5))))))</f>
        <v/>
      </c>
      <c r="AJ341" s="11" t="str">
        <f aca="false">IF(AI341="","",COUNTIFS($AI$2:$AI$801,"&lt;"&amp;AI341,$E$2:$E$801,"&gt;0")+1)</f>
        <v/>
      </c>
      <c r="AK341" s="11" t="str">
        <f aca="false">IF(OR(A341="",N(E341)&lt;=0),"",COUNTIFS($AH$2:$AH$801,"&lt;"&amp;AH341,$E$2:$E$801,"&gt;0")+COUNTIFS($AH$2:AH341,AH341,$E$2:E341,"&gt;0"))</f>
        <v/>
      </c>
    </row>
    <row r="342" customFormat="false" ht="15" hidden="false" customHeight="false" outlineLevel="0" collapsed="false">
      <c r="A342" s="11" t="str">
        <f aca="false">IF(INVENTÁRIO!A342="","",INVENTÁRIO!A342)</f>
        <v/>
      </c>
      <c r="B342" s="11" t="str">
        <f aca="false">IF(A342="","",INVENTÁRIO!B342)</f>
        <v/>
      </c>
      <c r="C342" s="16" t="str">
        <f aca="false">IF(A342="","",INVENTÁRIO!C342)</f>
        <v/>
      </c>
      <c r="D342" s="14" t="str">
        <f aca="false">IF(A342="","",MAX(K342:AD342))</f>
        <v/>
      </c>
      <c r="E342" s="14" t="str">
        <f aca="false">IF(A342="","",MAX(0,D342-C342))</f>
        <v/>
      </c>
      <c r="F342" s="16" t="str">
        <f aca="false">IF(A342="","",IF(D342=0,"Fora dos decks",IF(E342=0,"Completo","Falta")))</f>
        <v/>
      </c>
      <c r="G342" s="16" t="str">
        <f aca="false">IF(A342="","",COUNTIF(K342:AD342,"&gt;0"))</f>
        <v/>
      </c>
      <c r="H342" s="16" t="str">
        <f aca="false">IF(A342="","",IF(G342&gt;1,"Sim",""))</f>
        <v/>
      </c>
      <c r="I342" s="18" t="str">
        <f aca="false">IF(A342="","",SUMIFS(DECKS!$D$2:$D$1201,DECKS!$B$2:$B$1201,A342))</f>
        <v/>
      </c>
      <c r="J342" s="18" t="str">
        <f aca="false">IF(A342="","",MAX(0,I342-C342))</f>
        <v/>
      </c>
      <c r="K342" s="19" t="str">
        <f aca="false">IF(OR($A342="",INDEX(_LEITURA!$Q$2:$Q$21,1)=0),"",SUMIFS(DECKS!$D$2:$D$1201,DECKS!$A$2:$A$1201,INDEX(_LEITURA!$P$2:$P$21,1),DECKS!$B$2:$B$1201,$A342))</f>
        <v/>
      </c>
      <c r="L342" s="19" t="str">
        <f aca="false">IF(OR($A342="",INDEX(_LEITURA!$Q$2:$Q$21,2)=0),"",SUMIFS(DECKS!$D$2:$D$1201,DECKS!$A$2:$A$1201,INDEX(_LEITURA!$P$2:$P$21,2),DECKS!$B$2:$B$1201,$A342))</f>
        <v/>
      </c>
      <c r="M342" s="19" t="str">
        <f aca="false">IF(OR($A342="",INDEX(_LEITURA!$Q$2:$Q$21,3)=0),"",SUMIFS(DECKS!$D$2:$D$1201,DECKS!$A$2:$A$1201,INDEX(_LEITURA!$P$2:$P$21,3),DECKS!$B$2:$B$1201,$A342))</f>
        <v/>
      </c>
      <c r="N342" s="19" t="str">
        <f aca="false">IF(OR($A342="",INDEX(_LEITURA!$Q$2:$Q$21,4)=0),"",SUMIFS(DECKS!$D$2:$D$1201,DECKS!$A$2:$A$1201,INDEX(_LEITURA!$P$2:$P$21,4),DECKS!$B$2:$B$1201,$A342))</f>
        <v/>
      </c>
      <c r="O342" s="19" t="str">
        <f aca="false">IF(OR($A342="",INDEX(_LEITURA!$Q$2:$Q$21,5)=0),"",SUMIFS(DECKS!$D$2:$D$1201,DECKS!$A$2:$A$1201,INDEX(_LEITURA!$P$2:$P$21,5),DECKS!$B$2:$B$1201,$A342))</f>
        <v/>
      </c>
      <c r="P342" s="19" t="str">
        <f aca="false">IF(OR($A342="",INDEX(_LEITURA!$Q$2:$Q$21,6)=0),"",SUMIFS(DECKS!$D$2:$D$1201,DECKS!$A$2:$A$1201,INDEX(_LEITURA!$P$2:$P$21,6),DECKS!$B$2:$B$1201,$A342))</f>
        <v/>
      </c>
      <c r="Q342" s="19" t="str">
        <f aca="false">IF(OR($A342="",INDEX(_LEITURA!$Q$2:$Q$21,7)=0),"",SUMIFS(DECKS!$D$2:$D$1201,DECKS!$A$2:$A$1201,INDEX(_LEITURA!$P$2:$P$21,7),DECKS!$B$2:$B$1201,$A342))</f>
        <v/>
      </c>
      <c r="R342" s="19" t="str">
        <f aca="false">IF(OR($A342="",INDEX(_LEITURA!$Q$2:$Q$21,8)=0),"",SUMIFS(DECKS!$D$2:$D$1201,DECKS!$A$2:$A$1201,INDEX(_LEITURA!$P$2:$P$21,8),DECKS!$B$2:$B$1201,$A342))</f>
        <v/>
      </c>
      <c r="S342" s="19" t="str">
        <f aca="false">IF(OR($A342="",INDEX(_LEITURA!$Q$2:$Q$21,9)=0),"",SUMIFS(DECKS!$D$2:$D$1201,DECKS!$A$2:$A$1201,INDEX(_LEITURA!$P$2:$P$21,9),DECKS!$B$2:$B$1201,$A342))</f>
        <v/>
      </c>
      <c r="T342" s="19" t="str">
        <f aca="false">IF(OR($A342="",INDEX(_LEITURA!$Q$2:$Q$21,10)=0),"",SUMIFS(DECKS!$D$2:$D$1201,DECKS!$A$2:$A$1201,INDEX(_LEITURA!$P$2:$P$21,10),DECKS!$B$2:$B$1201,$A342))</f>
        <v/>
      </c>
      <c r="U342" s="19" t="str">
        <f aca="false">IF(OR($A342="",INDEX(_LEITURA!$Q$2:$Q$21,11)=0),"",SUMIFS(DECKS!$D$2:$D$1201,DECKS!$A$2:$A$1201,INDEX(_LEITURA!$P$2:$P$21,11),DECKS!$B$2:$B$1201,$A342))</f>
        <v/>
      </c>
      <c r="V342" s="19" t="str">
        <f aca="false">IF(OR($A342="",INDEX(_LEITURA!$Q$2:$Q$21,12)=0),"",SUMIFS(DECKS!$D$2:$D$1201,DECKS!$A$2:$A$1201,INDEX(_LEITURA!$P$2:$P$21,12),DECKS!$B$2:$B$1201,$A342))</f>
        <v/>
      </c>
      <c r="W342" s="19" t="str">
        <f aca="false">IF(OR($A342="",INDEX(_LEITURA!$Q$2:$Q$21,13)=0),"",SUMIFS(DECKS!$D$2:$D$1201,DECKS!$A$2:$A$1201,INDEX(_LEITURA!$P$2:$P$21,13),DECKS!$B$2:$B$1201,$A342))</f>
        <v/>
      </c>
      <c r="X342" s="19" t="str">
        <f aca="false">IF(OR($A342="",INDEX(_LEITURA!$Q$2:$Q$21,14)=0),"",SUMIFS(DECKS!$D$2:$D$1201,DECKS!$A$2:$A$1201,INDEX(_LEITURA!$P$2:$P$21,14),DECKS!$B$2:$B$1201,$A342))</f>
        <v/>
      </c>
      <c r="Y342" s="19" t="str">
        <f aca="false">IF(OR($A342="",INDEX(_LEITURA!$Q$2:$Q$21,15)=0),"",SUMIFS(DECKS!$D$2:$D$1201,DECKS!$A$2:$A$1201,INDEX(_LEITURA!$P$2:$P$21,15),DECKS!$B$2:$B$1201,$A342))</f>
        <v/>
      </c>
      <c r="Z342" s="19" t="str">
        <f aca="false">IF(OR($A342="",INDEX(_LEITURA!$Q$2:$Q$21,16)=0),"",SUMIFS(DECKS!$D$2:$D$1201,DECKS!$A$2:$A$1201,INDEX(_LEITURA!$P$2:$P$21,16),DECKS!$B$2:$B$1201,$A342))</f>
        <v/>
      </c>
      <c r="AA342" s="19" t="str">
        <f aca="false">IF(OR($A342="",INDEX(_LEITURA!$Q$2:$Q$21,17)=0),"",SUMIFS(DECKS!$D$2:$D$1201,DECKS!$A$2:$A$1201,INDEX(_LEITURA!$P$2:$P$21,17),DECKS!$B$2:$B$1201,$A342))</f>
        <v/>
      </c>
      <c r="AB342" s="19" t="str">
        <f aca="false">IF(OR($A342="",INDEX(_LEITURA!$Q$2:$Q$21,18)=0),"",SUMIFS(DECKS!$D$2:$D$1201,DECKS!$A$2:$A$1201,INDEX(_LEITURA!$P$2:$P$21,18),DECKS!$B$2:$B$1201,$A342))</f>
        <v/>
      </c>
      <c r="AC342" s="19" t="str">
        <f aca="false">IF(OR($A342="",INDEX(_LEITURA!$Q$2:$Q$21,19)=0),"",SUMIFS(DECKS!$D$2:$D$1201,DECKS!$A$2:$A$1201,INDEX(_LEITURA!$P$2:$P$21,19),DECKS!$B$2:$B$1201,$A342))</f>
        <v/>
      </c>
      <c r="AD342" s="19" t="str">
        <f aca="false">IF(OR($A342="",INDEX(_LEITURA!$Q$2:$Q$21,20)=0),"",SUMIFS(DECKS!$D$2:$D$1201,DECKS!$A$2:$A$1201,INDEX(_LEITURA!$P$2:$P$21,20),DECKS!$B$2:$B$1201,$A342))</f>
        <v/>
      </c>
      <c r="AE342" s="16" t="str">
        <f aca="false">IF(N(E342)&gt;0,MAX(AE$1:AE341)+1,"")</f>
        <v/>
      </c>
      <c r="AF342" s="11" t="str">
        <f aca="false">IF(A342="","",IFERROR(LEFT(A342,FIND("-",A342)-1),A342))</f>
        <v/>
      </c>
      <c r="AG342" s="11" t="str">
        <f aca="false">IF(AF342="","",IF(ISNUMBER(--MID(AF342,1,1)),0,IF(ISNUMBER(--MID(AF342,2,1)),1,IF(ISNUMBER(--MID(AF342,3,1)),2,IF(ISNUMBER(--MID(AF342,4,1)),3,MIN(LEN(AF342),4))))))</f>
        <v/>
      </c>
      <c r="AH342" s="11" t="str">
        <f aca="false">IF(A342="","",LEFT(AF342,AG342)&amp;REPT("0",4-AG342)&amp;RIGHT("000"&amp;IFERROR(VALUE(MID(AF342,AG342+1,9)),0),3)&amp;RIGHT("0000"&amp;IFERROR(VALUE(MID(A342,FIND("-",A342)+1,9)),0),4))</f>
        <v/>
      </c>
      <c r="AI342" s="11" t="str">
        <f aca="false">IF(OR(A342="",N(E342)&lt;=0),"",IF('FALTAS GERAL'!$M$1="Código","K"&amp;AH342&amp;RIGHT("00000"&amp;ROW(),5),IF('FALTAS GERAL'!$M$1="Nome","K"&amp;UPPER(SUBSTITUTE(SUBSTITUTE(SUBSTITUTE(B342,"*",""),"?",""),"~",""))&amp;"0"&amp;AH342&amp;RIGHT("00000"&amp;ROW(),5),IF('FALTAS GERAL'!$M$1="Falta (maior primeiro)","K"&amp;RIGHT("0000"&amp;(9999-E342),4)&amp;AH342&amp;RIGHT("00000"&amp;ROW(),5),IF('FALTAS GERAL'!$M$1="Nº de decks (maior primeiro)","K"&amp;RIGHT("00"&amp;(99-N(G342)),2)&amp;AH342&amp;RIGHT("00000"&amp;ROW(),5),"K"&amp;RIGHT("00000"&amp;ROW(),5))))))</f>
        <v/>
      </c>
      <c r="AJ342" s="11" t="str">
        <f aca="false">IF(AI342="","",COUNTIFS($AI$2:$AI$801,"&lt;"&amp;AI342,$E$2:$E$801,"&gt;0")+1)</f>
        <v/>
      </c>
      <c r="AK342" s="11" t="str">
        <f aca="false">IF(OR(A342="",N(E342)&lt;=0),"",COUNTIFS($AH$2:$AH$801,"&lt;"&amp;AH342,$E$2:$E$801,"&gt;0")+COUNTIFS($AH$2:AH342,AH342,$E$2:E342,"&gt;0"))</f>
        <v/>
      </c>
    </row>
    <row r="343" customFormat="false" ht="15" hidden="false" customHeight="false" outlineLevel="0" collapsed="false">
      <c r="A343" s="11" t="str">
        <f aca="false">IF(INVENTÁRIO!A343="","",INVENTÁRIO!A343)</f>
        <v/>
      </c>
      <c r="B343" s="11" t="str">
        <f aca="false">IF(A343="","",INVENTÁRIO!B343)</f>
        <v/>
      </c>
      <c r="C343" s="16" t="str">
        <f aca="false">IF(A343="","",INVENTÁRIO!C343)</f>
        <v/>
      </c>
      <c r="D343" s="14" t="str">
        <f aca="false">IF(A343="","",MAX(K343:AD343))</f>
        <v/>
      </c>
      <c r="E343" s="14" t="str">
        <f aca="false">IF(A343="","",MAX(0,D343-C343))</f>
        <v/>
      </c>
      <c r="F343" s="16" t="str">
        <f aca="false">IF(A343="","",IF(D343=0,"Fora dos decks",IF(E343=0,"Completo","Falta")))</f>
        <v/>
      </c>
      <c r="G343" s="16" t="str">
        <f aca="false">IF(A343="","",COUNTIF(K343:AD343,"&gt;0"))</f>
        <v/>
      </c>
      <c r="H343" s="16" t="str">
        <f aca="false">IF(A343="","",IF(G343&gt;1,"Sim",""))</f>
        <v/>
      </c>
      <c r="I343" s="18" t="str">
        <f aca="false">IF(A343="","",SUMIFS(DECKS!$D$2:$D$1201,DECKS!$B$2:$B$1201,A343))</f>
        <v/>
      </c>
      <c r="J343" s="18" t="str">
        <f aca="false">IF(A343="","",MAX(0,I343-C343))</f>
        <v/>
      </c>
      <c r="K343" s="19" t="str">
        <f aca="false">IF(OR($A343="",INDEX(_LEITURA!$Q$2:$Q$21,1)=0),"",SUMIFS(DECKS!$D$2:$D$1201,DECKS!$A$2:$A$1201,INDEX(_LEITURA!$P$2:$P$21,1),DECKS!$B$2:$B$1201,$A343))</f>
        <v/>
      </c>
      <c r="L343" s="19" t="str">
        <f aca="false">IF(OR($A343="",INDEX(_LEITURA!$Q$2:$Q$21,2)=0),"",SUMIFS(DECKS!$D$2:$D$1201,DECKS!$A$2:$A$1201,INDEX(_LEITURA!$P$2:$P$21,2),DECKS!$B$2:$B$1201,$A343))</f>
        <v/>
      </c>
      <c r="M343" s="19" t="str">
        <f aca="false">IF(OR($A343="",INDEX(_LEITURA!$Q$2:$Q$21,3)=0),"",SUMIFS(DECKS!$D$2:$D$1201,DECKS!$A$2:$A$1201,INDEX(_LEITURA!$P$2:$P$21,3),DECKS!$B$2:$B$1201,$A343))</f>
        <v/>
      </c>
      <c r="N343" s="19" t="str">
        <f aca="false">IF(OR($A343="",INDEX(_LEITURA!$Q$2:$Q$21,4)=0),"",SUMIFS(DECKS!$D$2:$D$1201,DECKS!$A$2:$A$1201,INDEX(_LEITURA!$P$2:$P$21,4),DECKS!$B$2:$B$1201,$A343))</f>
        <v/>
      </c>
      <c r="O343" s="19" t="str">
        <f aca="false">IF(OR($A343="",INDEX(_LEITURA!$Q$2:$Q$21,5)=0),"",SUMIFS(DECKS!$D$2:$D$1201,DECKS!$A$2:$A$1201,INDEX(_LEITURA!$P$2:$P$21,5),DECKS!$B$2:$B$1201,$A343))</f>
        <v/>
      </c>
      <c r="P343" s="19" t="str">
        <f aca="false">IF(OR($A343="",INDEX(_LEITURA!$Q$2:$Q$21,6)=0),"",SUMIFS(DECKS!$D$2:$D$1201,DECKS!$A$2:$A$1201,INDEX(_LEITURA!$P$2:$P$21,6),DECKS!$B$2:$B$1201,$A343))</f>
        <v/>
      </c>
      <c r="Q343" s="19" t="str">
        <f aca="false">IF(OR($A343="",INDEX(_LEITURA!$Q$2:$Q$21,7)=0),"",SUMIFS(DECKS!$D$2:$D$1201,DECKS!$A$2:$A$1201,INDEX(_LEITURA!$P$2:$P$21,7),DECKS!$B$2:$B$1201,$A343))</f>
        <v/>
      </c>
      <c r="R343" s="19" t="str">
        <f aca="false">IF(OR($A343="",INDEX(_LEITURA!$Q$2:$Q$21,8)=0),"",SUMIFS(DECKS!$D$2:$D$1201,DECKS!$A$2:$A$1201,INDEX(_LEITURA!$P$2:$P$21,8),DECKS!$B$2:$B$1201,$A343))</f>
        <v/>
      </c>
      <c r="S343" s="19" t="str">
        <f aca="false">IF(OR($A343="",INDEX(_LEITURA!$Q$2:$Q$21,9)=0),"",SUMIFS(DECKS!$D$2:$D$1201,DECKS!$A$2:$A$1201,INDEX(_LEITURA!$P$2:$P$21,9),DECKS!$B$2:$B$1201,$A343))</f>
        <v/>
      </c>
      <c r="T343" s="19" t="str">
        <f aca="false">IF(OR($A343="",INDEX(_LEITURA!$Q$2:$Q$21,10)=0),"",SUMIFS(DECKS!$D$2:$D$1201,DECKS!$A$2:$A$1201,INDEX(_LEITURA!$P$2:$P$21,10),DECKS!$B$2:$B$1201,$A343))</f>
        <v/>
      </c>
      <c r="U343" s="19" t="str">
        <f aca="false">IF(OR($A343="",INDEX(_LEITURA!$Q$2:$Q$21,11)=0),"",SUMIFS(DECKS!$D$2:$D$1201,DECKS!$A$2:$A$1201,INDEX(_LEITURA!$P$2:$P$21,11),DECKS!$B$2:$B$1201,$A343))</f>
        <v/>
      </c>
      <c r="V343" s="19" t="str">
        <f aca="false">IF(OR($A343="",INDEX(_LEITURA!$Q$2:$Q$21,12)=0),"",SUMIFS(DECKS!$D$2:$D$1201,DECKS!$A$2:$A$1201,INDEX(_LEITURA!$P$2:$P$21,12),DECKS!$B$2:$B$1201,$A343))</f>
        <v/>
      </c>
      <c r="W343" s="19" t="str">
        <f aca="false">IF(OR($A343="",INDEX(_LEITURA!$Q$2:$Q$21,13)=0),"",SUMIFS(DECKS!$D$2:$D$1201,DECKS!$A$2:$A$1201,INDEX(_LEITURA!$P$2:$P$21,13),DECKS!$B$2:$B$1201,$A343))</f>
        <v/>
      </c>
      <c r="X343" s="19" t="str">
        <f aca="false">IF(OR($A343="",INDEX(_LEITURA!$Q$2:$Q$21,14)=0),"",SUMIFS(DECKS!$D$2:$D$1201,DECKS!$A$2:$A$1201,INDEX(_LEITURA!$P$2:$P$21,14),DECKS!$B$2:$B$1201,$A343))</f>
        <v/>
      </c>
      <c r="Y343" s="19" t="str">
        <f aca="false">IF(OR($A343="",INDEX(_LEITURA!$Q$2:$Q$21,15)=0),"",SUMIFS(DECKS!$D$2:$D$1201,DECKS!$A$2:$A$1201,INDEX(_LEITURA!$P$2:$P$21,15),DECKS!$B$2:$B$1201,$A343))</f>
        <v/>
      </c>
      <c r="Z343" s="19" t="str">
        <f aca="false">IF(OR($A343="",INDEX(_LEITURA!$Q$2:$Q$21,16)=0),"",SUMIFS(DECKS!$D$2:$D$1201,DECKS!$A$2:$A$1201,INDEX(_LEITURA!$P$2:$P$21,16),DECKS!$B$2:$B$1201,$A343))</f>
        <v/>
      </c>
      <c r="AA343" s="19" t="str">
        <f aca="false">IF(OR($A343="",INDEX(_LEITURA!$Q$2:$Q$21,17)=0),"",SUMIFS(DECKS!$D$2:$D$1201,DECKS!$A$2:$A$1201,INDEX(_LEITURA!$P$2:$P$21,17),DECKS!$B$2:$B$1201,$A343))</f>
        <v/>
      </c>
      <c r="AB343" s="19" t="str">
        <f aca="false">IF(OR($A343="",INDEX(_LEITURA!$Q$2:$Q$21,18)=0),"",SUMIFS(DECKS!$D$2:$D$1201,DECKS!$A$2:$A$1201,INDEX(_LEITURA!$P$2:$P$21,18),DECKS!$B$2:$B$1201,$A343))</f>
        <v/>
      </c>
      <c r="AC343" s="19" t="str">
        <f aca="false">IF(OR($A343="",INDEX(_LEITURA!$Q$2:$Q$21,19)=0),"",SUMIFS(DECKS!$D$2:$D$1201,DECKS!$A$2:$A$1201,INDEX(_LEITURA!$P$2:$P$21,19),DECKS!$B$2:$B$1201,$A343))</f>
        <v/>
      </c>
      <c r="AD343" s="19" t="str">
        <f aca="false">IF(OR($A343="",INDEX(_LEITURA!$Q$2:$Q$21,20)=0),"",SUMIFS(DECKS!$D$2:$D$1201,DECKS!$A$2:$A$1201,INDEX(_LEITURA!$P$2:$P$21,20),DECKS!$B$2:$B$1201,$A343))</f>
        <v/>
      </c>
      <c r="AE343" s="16" t="str">
        <f aca="false">IF(N(E343)&gt;0,MAX(AE$1:AE342)+1,"")</f>
        <v/>
      </c>
      <c r="AF343" s="11" t="str">
        <f aca="false">IF(A343="","",IFERROR(LEFT(A343,FIND("-",A343)-1),A343))</f>
        <v/>
      </c>
      <c r="AG343" s="11" t="str">
        <f aca="false">IF(AF343="","",IF(ISNUMBER(--MID(AF343,1,1)),0,IF(ISNUMBER(--MID(AF343,2,1)),1,IF(ISNUMBER(--MID(AF343,3,1)),2,IF(ISNUMBER(--MID(AF343,4,1)),3,MIN(LEN(AF343),4))))))</f>
        <v/>
      </c>
      <c r="AH343" s="11" t="str">
        <f aca="false">IF(A343="","",LEFT(AF343,AG343)&amp;REPT("0",4-AG343)&amp;RIGHT("000"&amp;IFERROR(VALUE(MID(AF343,AG343+1,9)),0),3)&amp;RIGHT("0000"&amp;IFERROR(VALUE(MID(A343,FIND("-",A343)+1,9)),0),4))</f>
        <v/>
      </c>
      <c r="AI343" s="11" t="str">
        <f aca="false">IF(OR(A343="",N(E343)&lt;=0),"",IF('FALTAS GERAL'!$M$1="Código","K"&amp;AH343&amp;RIGHT("00000"&amp;ROW(),5),IF('FALTAS GERAL'!$M$1="Nome","K"&amp;UPPER(SUBSTITUTE(SUBSTITUTE(SUBSTITUTE(B343,"*",""),"?",""),"~",""))&amp;"0"&amp;AH343&amp;RIGHT("00000"&amp;ROW(),5),IF('FALTAS GERAL'!$M$1="Falta (maior primeiro)","K"&amp;RIGHT("0000"&amp;(9999-E343),4)&amp;AH343&amp;RIGHT("00000"&amp;ROW(),5),IF('FALTAS GERAL'!$M$1="Nº de decks (maior primeiro)","K"&amp;RIGHT("00"&amp;(99-N(G343)),2)&amp;AH343&amp;RIGHT("00000"&amp;ROW(),5),"K"&amp;RIGHT("00000"&amp;ROW(),5))))))</f>
        <v/>
      </c>
      <c r="AJ343" s="11" t="str">
        <f aca="false">IF(AI343="","",COUNTIFS($AI$2:$AI$801,"&lt;"&amp;AI343,$E$2:$E$801,"&gt;0")+1)</f>
        <v/>
      </c>
      <c r="AK343" s="11" t="str">
        <f aca="false">IF(OR(A343="",N(E343)&lt;=0),"",COUNTIFS($AH$2:$AH$801,"&lt;"&amp;AH343,$E$2:$E$801,"&gt;0")+COUNTIFS($AH$2:AH343,AH343,$E$2:E343,"&gt;0"))</f>
        <v/>
      </c>
    </row>
    <row r="344" customFormat="false" ht="15" hidden="false" customHeight="false" outlineLevel="0" collapsed="false">
      <c r="A344" s="11" t="str">
        <f aca="false">IF(INVENTÁRIO!A344="","",INVENTÁRIO!A344)</f>
        <v/>
      </c>
      <c r="B344" s="11" t="str">
        <f aca="false">IF(A344="","",INVENTÁRIO!B344)</f>
        <v/>
      </c>
      <c r="C344" s="16" t="str">
        <f aca="false">IF(A344="","",INVENTÁRIO!C344)</f>
        <v/>
      </c>
      <c r="D344" s="14" t="str">
        <f aca="false">IF(A344="","",MAX(K344:AD344))</f>
        <v/>
      </c>
      <c r="E344" s="14" t="str">
        <f aca="false">IF(A344="","",MAX(0,D344-C344))</f>
        <v/>
      </c>
      <c r="F344" s="16" t="str">
        <f aca="false">IF(A344="","",IF(D344=0,"Fora dos decks",IF(E344=0,"Completo","Falta")))</f>
        <v/>
      </c>
      <c r="G344" s="16" t="str">
        <f aca="false">IF(A344="","",COUNTIF(K344:AD344,"&gt;0"))</f>
        <v/>
      </c>
      <c r="H344" s="16" t="str">
        <f aca="false">IF(A344="","",IF(G344&gt;1,"Sim",""))</f>
        <v/>
      </c>
      <c r="I344" s="18" t="str">
        <f aca="false">IF(A344="","",SUMIFS(DECKS!$D$2:$D$1201,DECKS!$B$2:$B$1201,A344))</f>
        <v/>
      </c>
      <c r="J344" s="18" t="str">
        <f aca="false">IF(A344="","",MAX(0,I344-C344))</f>
        <v/>
      </c>
      <c r="K344" s="19" t="str">
        <f aca="false">IF(OR($A344="",INDEX(_LEITURA!$Q$2:$Q$21,1)=0),"",SUMIFS(DECKS!$D$2:$D$1201,DECKS!$A$2:$A$1201,INDEX(_LEITURA!$P$2:$P$21,1),DECKS!$B$2:$B$1201,$A344))</f>
        <v/>
      </c>
      <c r="L344" s="19" t="str">
        <f aca="false">IF(OR($A344="",INDEX(_LEITURA!$Q$2:$Q$21,2)=0),"",SUMIFS(DECKS!$D$2:$D$1201,DECKS!$A$2:$A$1201,INDEX(_LEITURA!$P$2:$P$21,2),DECKS!$B$2:$B$1201,$A344))</f>
        <v/>
      </c>
      <c r="M344" s="19" t="str">
        <f aca="false">IF(OR($A344="",INDEX(_LEITURA!$Q$2:$Q$21,3)=0),"",SUMIFS(DECKS!$D$2:$D$1201,DECKS!$A$2:$A$1201,INDEX(_LEITURA!$P$2:$P$21,3),DECKS!$B$2:$B$1201,$A344))</f>
        <v/>
      </c>
      <c r="N344" s="19" t="str">
        <f aca="false">IF(OR($A344="",INDEX(_LEITURA!$Q$2:$Q$21,4)=0),"",SUMIFS(DECKS!$D$2:$D$1201,DECKS!$A$2:$A$1201,INDEX(_LEITURA!$P$2:$P$21,4),DECKS!$B$2:$B$1201,$A344))</f>
        <v/>
      </c>
      <c r="O344" s="19" t="str">
        <f aca="false">IF(OR($A344="",INDEX(_LEITURA!$Q$2:$Q$21,5)=0),"",SUMIFS(DECKS!$D$2:$D$1201,DECKS!$A$2:$A$1201,INDEX(_LEITURA!$P$2:$P$21,5),DECKS!$B$2:$B$1201,$A344))</f>
        <v/>
      </c>
      <c r="P344" s="19" t="str">
        <f aca="false">IF(OR($A344="",INDEX(_LEITURA!$Q$2:$Q$21,6)=0),"",SUMIFS(DECKS!$D$2:$D$1201,DECKS!$A$2:$A$1201,INDEX(_LEITURA!$P$2:$P$21,6),DECKS!$B$2:$B$1201,$A344))</f>
        <v/>
      </c>
      <c r="Q344" s="19" t="str">
        <f aca="false">IF(OR($A344="",INDEX(_LEITURA!$Q$2:$Q$21,7)=0),"",SUMIFS(DECKS!$D$2:$D$1201,DECKS!$A$2:$A$1201,INDEX(_LEITURA!$P$2:$P$21,7),DECKS!$B$2:$B$1201,$A344))</f>
        <v/>
      </c>
      <c r="R344" s="19" t="str">
        <f aca="false">IF(OR($A344="",INDEX(_LEITURA!$Q$2:$Q$21,8)=0),"",SUMIFS(DECKS!$D$2:$D$1201,DECKS!$A$2:$A$1201,INDEX(_LEITURA!$P$2:$P$21,8),DECKS!$B$2:$B$1201,$A344))</f>
        <v/>
      </c>
      <c r="S344" s="19" t="str">
        <f aca="false">IF(OR($A344="",INDEX(_LEITURA!$Q$2:$Q$21,9)=0),"",SUMIFS(DECKS!$D$2:$D$1201,DECKS!$A$2:$A$1201,INDEX(_LEITURA!$P$2:$P$21,9),DECKS!$B$2:$B$1201,$A344))</f>
        <v/>
      </c>
      <c r="T344" s="19" t="str">
        <f aca="false">IF(OR($A344="",INDEX(_LEITURA!$Q$2:$Q$21,10)=0),"",SUMIFS(DECKS!$D$2:$D$1201,DECKS!$A$2:$A$1201,INDEX(_LEITURA!$P$2:$P$21,10),DECKS!$B$2:$B$1201,$A344))</f>
        <v/>
      </c>
      <c r="U344" s="19" t="str">
        <f aca="false">IF(OR($A344="",INDEX(_LEITURA!$Q$2:$Q$21,11)=0),"",SUMIFS(DECKS!$D$2:$D$1201,DECKS!$A$2:$A$1201,INDEX(_LEITURA!$P$2:$P$21,11),DECKS!$B$2:$B$1201,$A344))</f>
        <v/>
      </c>
      <c r="V344" s="19" t="str">
        <f aca="false">IF(OR($A344="",INDEX(_LEITURA!$Q$2:$Q$21,12)=0),"",SUMIFS(DECKS!$D$2:$D$1201,DECKS!$A$2:$A$1201,INDEX(_LEITURA!$P$2:$P$21,12),DECKS!$B$2:$B$1201,$A344))</f>
        <v/>
      </c>
      <c r="W344" s="19" t="str">
        <f aca="false">IF(OR($A344="",INDEX(_LEITURA!$Q$2:$Q$21,13)=0),"",SUMIFS(DECKS!$D$2:$D$1201,DECKS!$A$2:$A$1201,INDEX(_LEITURA!$P$2:$P$21,13),DECKS!$B$2:$B$1201,$A344))</f>
        <v/>
      </c>
      <c r="X344" s="19" t="str">
        <f aca="false">IF(OR($A344="",INDEX(_LEITURA!$Q$2:$Q$21,14)=0),"",SUMIFS(DECKS!$D$2:$D$1201,DECKS!$A$2:$A$1201,INDEX(_LEITURA!$P$2:$P$21,14),DECKS!$B$2:$B$1201,$A344))</f>
        <v/>
      </c>
      <c r="Y344" s="19" t="str">
        <f aca="false">IF(OR($A344="",INDEX(_LEITURA!$Q$2:$Q$21,15)=0),"",SUMIFS(DECKS!$D$2:$D$1201,DECKS!$A$2:$A$1201,INDEX(_LEITURA!$P$2:$P$21,15),DECKS!$B$2:$B$1201,$A344))</f>
        <v/>
      </c>
      <c r="Z344" s="19" t="str">
        <f aca="false">IF(OR($A344="",INDEX(_LEITURA!$Q$2:$Q$21,16)=0),"",SUMIFS(DECKS!$D$2:$D$1201,DECKS!$A$2:$A$1201,INDEX(_LEITURA!$P$2:$P$21,16),DECKS!$B$2:$B$1201,$A344))</f>
        <v/>
      </c>
      <c r="AA344" s="19" t="str">
        <f aca="false">IF(OR($A344="",INDEX(_LEITURA!$Q$2:$Q$21,17)=0),"",SUMIFS(DECKS!$D$2:$D$1201,DECKS!$A$2:$A$1201,INDEX(_LEITURA!$P$2:$P$21,17),DECKS!$B$2:$B$1201,$A344))</f>
        <v/>
      </c>
      <c r="AB344" s="19" t="str">
        <f aca="false">IF(OR($A344="",INDEX(_LEITURA!$Q$2:$Q$21,18)=0),"",SUMIFS(DECKS!$D$2:$D$1201,DECKS!$A$2:$A$1201,INDEX(_LEITURA!$P$2:$P$21,18),DECKS!$B$2:$B$1201,$A344))</f>
        <v/>
      </c>
      <c r="AC344" s="19" t="str">
        <f aca="false">IF(OR($A344="",INDEX(_LEITURA!$Q$2:$Q$21,19)=0),"",SUMIFS(DECKS!$D$2:$D$1201,DECKS!$A$2:$A$1201,INDEX(_LEITURA!$P$2:$P$21,19),DECKS!$B$2:$B$1201,$A344))</f>
        <v/>
      </c>
      <c r="AD344" s="19" t="str">
        <f aca="false">IF(OR($A344="",INDEX(_LEITURA!$Q$2:$Q$21,20)=0),"",SUMIFS(DECKS!$D$2:$D$1201,DECKS!$A$2:$A$1201,INDEX(_LEITURA!$P$2:$P$21,20),DECKS!$B$2:$B$1201,$A344))</f>
        <v/>
      </c>
      <c r="AE344" s="16" t="str">
        <f aca="false">IF(N(E344)&gt;0,MAX(AE$1:AE343)+1,"")</f>
        <v/>
      </c>
      <c r="AF344" s="11" t="str">
        <f aca="false">IF(A344="","",IFERROR(LEFT(A344,FIND("-",A344)-1),A344))</f>
        <v/>
      </c>
      <c r="AG344" s="11" t="str">
        <f aca="false">IF(AF344="","",IF(ISNUMBER(--MID(AF344,1,1)),0,IF(ISNUMBER(--MID(AF344,2,1)),1,IF(ISNUMBER(--MID(AF344,3,1)),2,IF(ISNUMBER(--MID(AF344,4,1)),3,MIN(LEN(AF344),4))))))</f>
        <v/>
      </c>
      <c r="AH344" s="11" t="str">
        <f aca="false">IF(A344="","",LEFT(AF344,AG344)&amp;REPT("0",4-AG344)&amp;RIGHT("000"&amp;IFERROR(VALUE(MID(AF344,AG344+1,9)),0),3)&amp;RIGHT("0000"&amp;IFERROR(VALUE(MID(A344,FIND("-",A344)+1,9)),0),4))</f>
        <v/>
      </c>
      <c r="AI344" s="11" t="str">
        <f aca="false">IF(OR(A344="",N(E344)&lt;=0),"",IF('FALTAS GERAL'!$M$1="Código","K"&amp;AH344&amp;RIGHT("00000"&amp;ROW(),5),IF('FALTAS GERAL'!$M$1="Nome","K"&amp;UPPER(SUBSTITUTE(SUBSTITUTE(SUBSTITUTE(B344,"*",""),"?",""),"~",""))&amp;"0"&amp;AH344&amp;RIGHT("00000"&amp;ROW(),5),IF('FALTAS GERAL'!$M$1="Falta (maior primeiro)","K"&amp;RIGHT("0000"&amp;(9999-E344),4)&amp;AH344&amp;RIGHT("00000"&amp;ROW(),5),IF('FALTAS GERAL'!$M$1="Nº de decks (maior primeiro)","K"&amp;RIGHT("00"&amp;(99-N(G344)),2)&amp;AH344&amp;RIGHT("00000"&amp;ROW(),5),"K"&amp;RIGHT("00000"&amp;ROW(),5))))))</f>
        <v/>
      </c>
      <c r="AJ344" s="11" t="str">
        <f aca="false">IF(AI344="","",COUNTIFS($AI$2:$AI$801,"&lt;"&amp;AI344,$E$2:$E$801,"&gt;0")+1)</f>
        <v/>
      </c>
      <c r="AK344" s="11" t="str">
        <f aca="false">IF(OR(A344="",N(E344)&lt;=0),"",COUNTIFS($AH$2:$AH$801,"&lt;"&amp;AH344,$E$2:$E$801,"&gt;0")+COUNTIFS($AH$2:AH344,AH344,$E$2:E344,"&gt;0"))</f>
        <v/>
      </c>
    </row>
    <row r="345" customFormat="false" ht="15" hidden="false" customHeight="false" outlineLevel="0" collapsed="false">
      <c r="A345" s="11" t="str">
        <f aca="false">IF(INVENTÁRIO!A345="","",INVENTÁRIO!A345)</f>
        <v/>
      </c>
      <c r="B345" s="11" t="str">
        <f aca="false">IF(A345="","",INVENTÁRIO!B345)</f>
        <v/>
      </c>
      <c r="C345" s="16" t="str">
        <f aca="false">IF(A345="","",INVENTÁRIO!C345)</f>
        <v/>
      </c>
      <c r="D345" s="14" t="str">
        <f aca="false">IF(A345="","",MAX(K345:AD345))</f>
        <v/>
      </c>
      <c r="E345" s="14" t="str">
        <f aca="false">IF(A345="","",MAX(0,D345-C345))</f>
        <v/>
      </c>
      <c r="F345" s="16" t="str">
        <f aca="false">IF(A345="","",IF(D345=0,"Fora dos decks",IF(E345=0,"Completo","Falta")))</f>
        <v/>
      </c>
      <c r="G345" s="16" t="str">
        <f aca="false">IF(A345="","",COUNTIF(K345:AD345,"&gt;0"))</f>
        <v/>
      </c>
      <c r="H345" s="16" t="str">
        <f aca="false">IF(A345="","",IF(G345&gt;1,"Sim",""))</f>
        <v/>
      </c>
      <c r="I345" s="18" t="str">
        <f aca="false">IF(A345="","",SUMIFS(DECKS!$D$2:$D$1201,DECKS!$B$2:$B$1201,A345))</f>
        <v/>
      </c>
      <c r="J345" s="18" t="str">
        <f aca="false">IF(A345="","",MAX(0,I345-C345))</f>
        <v/>
      </c>
      <c r="K345" s="19" t="str">
        <f aca="false">IF(OR($A345="",INDEX(_LEITURA!$Q$2:$Q$21,1)=0),"",SUMIFS(DECKS!$D$2:$D$1201,DECKS!$A$2:$A$1201,INDEX(_LEITURA!$P$2:$P$21,1),DECKS!$B$2:$B$1201,$A345))</f>
        <v/>
      </c>
      <c r="L345" s="19" t="str">
        <f aca="false">IF(OR($A345="",INDEX(_LEITURA!$Q$2:$Q$21,2)=0),"",SUMIFS(DECKS!$D$2:$D$1201,DECKS!$A$2:$A$1201,INDEX(_LEITURA!$P$2:$P$21,2),DECKS!$B$2:$B$1201,$A345))</f>
        <v/>
      </c>
      <c r="M345" s="19" t="str">
        <f aca="false">IF(OR($A345="",INDEX(_LEITURA!$Q$2:$Q$21,3)=0),"",SUMIFS(DECKS!$D$2:$D$1201,DECKS!$A$2:$A$1201,INDEX(_LEITURA!$P$2:$P$21,3),DECKS!$B$2:$B$1201,$A345))</f>
        <v/>
      </c>
      <c r="N345" s="19" t="str">
        <f aca="false">IF(OR($A345="",INDEX(_LEITURA!$Q$2:$Q$21,4)=0),"",SUMIFS(DECKS!$D$2:$D$1201,DECKS!$A$2:$A$1201,INDEX(_LEITURA!$P$2:$P$21,4),DECKS!$B$2:$B$1201,$A345))</f>
        <v/>
      </c>
      <c r="O345" s="19" t="str">
        <f aca="false">IF(OR($A345="",INDEX(_LEITURA!$Q$2:$Q$21,5)=0),"",SUMIFS(DECKS!$D$2:$D$1201,DECKS!$A$2:$A$1201,INDEX(_LEITURA!$P$2:$P$21,5),DECKS!$B$2:$B$1201,$A345))</f>
        <v/>
      </c>
      <c r="P345" s="19" t="str">
        <f aca="false">IF(OR($A345="",INDEX(_LEITURA!$Q$2:$Q$21,6)=0),"",SUMIFS(DECKS!$D$2:$D$1201,DECKS!$A$2:$A$1201,INDEX(_LEITURA!$P$2:$P$21,6),DECKS!$B$2:$B$1201,$A345))</f>
        <v/>
      </c>
      <c r="Q345" s="19" t="str">
        <f aca="false">IF(OR($A345="",INDEX(_LEITURA!$Q$2:$Q$21,7)=0),"",SUMIFS(DECKS!$D$2:$D$1201,DECKS!$A$2:$A$1201,INDEX(_LEITURA!$P$2:$P$21,7),DECKS!$B$2:$B$1201,$A345))</f>
        <v/>
      </c>
      <c r="R345" s="19" t="str">
        <f aca="false">IF(OR($A345="",INDEX(_LEITURA!$Q$2:$Q$21,8)=0),"",SUMIFS(DECKS!$D$2:$D$1201,DECKS!$A$2:$A$1201,INDEX(_LEITURA!$P$2:$P$21,8),DECKS!$B$2:$B$1201,$A345))</f>
        <v/>
      </c>
      <c r="S345" s="19" t="str">
        <f aca="false">IF(OR($A345="",INDEX(_LEITURA!$Q$2:$Q$21,9)=0),"",SUMIFS(DECKS!$D$2:$D$1201,DECKS!$A$2:$A$1201,INDEX(_LEITURA!$P$2:$P$21,9),DECKS!$B$2:$B$1201,$A345))</f>
        <v/>
      </c>
      <c r="T345" s="19" t="str">
        <f aca="false">IF(OR($A345="",INDEX(_LEITURA!$Q$2:$Q$21,10)=0),"",SUMIFS(DECKS!$D$2:$D$1201,DECKS!$A$2:$A$1201,INDEX(_LEITURA!$P$2:$P$21,10),DECKS!$B$2:$B$1201,$A345))</f>
        <v/>
      </c>
      <c r="U345" s="19" t="str">
        <f aca="false">IF(OR($A345="",INDEX(_LEITURA!$Q$2:$Q$21,11)=0),"",SUMIFS(DECKS!$D$2:$D$1201,DECKS!$A$2:$A$1201,INDEX(_LEITURA!$P$2:$P$21,11),DECKS!$B$2:$B$1201,$A345))</f>
        <v/>
      </c>
      <c r="V345" s="19" t="str">
        <f aca="false">IF(OR($A345="",INDEX(_LEITURA!$Q$2:$Q$21,12)=0),"",SUMIFS(DECKS!$D$2:$D$1201,DECKS!$A$2:$A$1201,INDEX(_LEITURA!$P$2:$P$21,12),DECKS!$B$2:$B$1201,$A345))</f>
        <v/>
      </c>
      <c r="W345" s="19" t="str">
        <f aca="false">IF(OR($A345="",INDEX(_LEITURA!$Q$2:$Q$21,13)=0),"",SUMIFS(DECKS!$D$2:$D$1201,DECKS!$A$2:$A$1201,INDEX(_LEITURA!$P$2:$P$21,13),DECKS!$B$2:$B$1201,$A345))</f>
        <v/>
      </c>
      <c r="X345" s="19" t="str">
        <f aca="false">IF(OR($A345="",INDEX(_LEITURA!$Q$2:$Q$21,14)=0),"",SUMIFS(DECKS!$D$2:$D$1201,DECKS!$A$2:$A$1201,INDEX(_LEITURA!$P$2:$P$21,14),DECKS!$B$2:$B$1201,$A345))</f>
        <v/>
      </c>
      <c r="Y345" s="19" t="str">
        <f aca="false">IF(OR($A345="",INDEX(_LEITURA!$Q$2:$Q$21,15)=0),"",SUMIFS(DECKS!$D$2:$D$1201,DECKS!$A$2:$A$1201,INDEX(_LEITURA!$P$2:$P$21,15),DECKS!$B$2:$B$1201,$A345))</f>
        <v/>
      </c>
      <c r="Z345" s="19" t="str">
        <f aca="false">IF(OR($A345="",INDEX(_LEITURA!$Q$2:$Q$21,16)=0),"",SUMIFS(DECKS!$D$2:$D$1201,DECKS!$A$2:$A$1201,INDEX(_LEITURA!$P$2:$P$21,16),DECKS!$B$2:$B$1201,$A345))</f>
        <v/>
      </c>
      <c r="AA345" s="19" t="str">
        <f aca="false">IF(OR($A345="",INDEX(_LEITURA!$Q$2:$Q$21,17)=0),"",SUMIFS(DECKS!$D$2:$D$1201,DECKS!$A$2:$A$1201,INDEX(_LEITURA!$P$2:$P$21,17),DECKS!$B$2:$B$1201,$A345))</f>
        <v/>
      </c>
      <c r="AB345" s="19" t="str">
        <f aca="false">IF(OR($A345="",INDEX(_LEITURA!$Q$2:$Q$21,18)=0),"",SUMIFS(DECKS!$D$2:$D$1201,DECKS!$A$2:$A$1201,INDEX(_LEITURA!$P$2:$P$21,18),DECKS!$B$2:$B$1201,$A345))</f>
        <v/>
      </c>
      <c r="AC345" s="19" t="str">
        <f aca="false">IF(OR($A345="",INDEX(_LEITURA!$Q$2:$Q$21,19)=0),"",SUMIFS(DECKS!$D$2:$D$1201,DECKS!$A$2:$A$1201,INDEX(_LEITURA!$P$2:$P$21,19),DECKS!$B$2:$B$1201,$A345))</f>
        <v/>
      </c>
      <c r="AD345" s="19" t="str">
        <f aca="false">IF(OR($A345="",INDEX(_LEITURA!$Q$2:$Q$21,20)=0),"",SUMIFS(DECKS!$D$2:$D$1201,DECKS!$A$2:$A$1201,INDEX(_LEITURA!$P$2:$P$21,20),DECKS!$B$2:$B$1201,$A345))</f>
        <v/>
      </c>
      <c r="AE345" s="16" t="str">
        <f aca="false">IF(N(E345)&gt;0,MAX(AE$1:AE344)+1,"")</f>
        <v/>
      </c>
      <c r="AF345" s="11" t="str">
        <f aca="false">IF(A345="","",IFERROR(LEFT(A345,FIND("-",A345)-1),A345))</f>
        <v/>
      </c>
      <c r="AG345" s="11" t="str">
        <f aca="false">IF(AF345="","",IF(ISNUMBER(--MID(AF345,1,1)),0,IF(ISNUMBER(--MID(AF345,2,1)),1,IF(ISNUMBER(--MID(AF345,3,1)),2,IF(ISNUMBER(--MID(AF345,4,1)),3,MIN(LEN(AF345),4))))))</f>
        <v/>
      </c>
      <c r="AH345" s="11" t="str">
        <f aca="false">IF(A345="","",LEFT(AF345,AG345)&amp;REPT("0",4-AG345)&amp;RIGHT("000"&amp;IFERROR(VALUE(MID(AF345,AG345+1,9)),0),3)&amp;RIGHT("0000"&amp;IFERROR(VALUE(MID(A345,FIND("-",A345)+1,9)),0),4))</f>
        <v/>
      </c>
      <c r="AI345" s="11" t="str">
        <f aca="false">IF(OR(A345="",N(E345)&lt;=0),"",IF('FALTAS GERAL'!$M$1="Código","K"&amp;AH345&amp;RIGHT("00000"&amp;ROW(),5),IF('FALTAS GERAL'!$M$1="Nome","K"&amp;UPPER(SUBSTITUTE(SUBSTITUTE(SUBSTITUTE(B345,"*",""),"?",""),"~",""))&amp;"0"&amp;AH345&amp;RIGHT("00000"&amp;ROW(),5),IF('FALTAS GERAL'!$M$1="Falta (maior primeiro)","K"&amp;RIGHT("0000"&amp;(9999-E345),4)&amp;AH345&amp;RIGHT("00000"&amp;ROW(),5),IF('FALTAS GERAL'!$M$1="Nº de decks (maior primeiro)","K"&amp;RIGHT("00"&amp;(99-N(G345)),2)&amp;AH345&amp;RIGHT("00000"&amp;ROW(),5),"K"&amp;RIGHT("00000"&amp;ROW(),5))))))</f>
        <v/>
      </c>
      <c r="AJ345" s="11" t="str">
        <f aca="false">IF(AI345="","",COUNTIFS($AI$2:$AI$801,"&lt;"&amp;AI345,$E$2:$E$801,"&gt;0")+1)</f>
        <v/>
      </c>
      <c r="AK345" s="11" t="str">
        <f aca="false">IF(OR(A345="",N(E345)&lt;=0),"",COUNTIFS($AH$2:$AH$801,"&lt;"&amp;AH345,$E$2:$E$801,"&gt;0")+COUNTIFS($AH$2:AH345,AH345,$E$2:E345,"&gt;0"))</f>
        <v/>
      </c>
    </row>
    <row r="346" customFormat="false" ht="15" hidden="false" customHeight="false" outlineLevel="0" collapsed="false">
      <c r="A346" s="11" t="str">
        <f aca="false">IF(INVENTÁRIO!A346="","",INVENTÁRIO!A346)</f>
        <v/>
      </c>
      <c r="B346" s="11" t="str">
        <f aca="false">IF(A346="","",INVENTÁRIO!B346)</f>
        <v/>
      </c>
      <c r="C346" s="16" t="str">
        <f aca="false">IF(A346="","",INVENTÁRIO!C346)</f>
        <v/>
      </c>
      <c r="D346" s="14" t="str">
        <f aca="false">IF(A346="","",MAX(K346:AD346))</f>
        <v/>
      </c>
      <c r="E346" s="14" t="str">
        <f aca="false">IF(A346="","",MAX(0,D346-C346))</f>
        <v/>
      </c>
      <c r="F346" s="16" t="str">
        <f aca="false">IF(A346="","",IF(D346=0,"Fora dos decks",IF(E346=0,"Completo","Falta")))</f>
        <v/>
      </c>
      <c r="G346" s="16" t="str">
        <f aca="false">IF(A346="","",COUNTIF(K346:AD346,"&gt;0"))</f>
        <v/>
      </c>
      <c r="H346" s="16" t="str">
        <f aca="false">IF(A346="","",IF(G346&gt;1,"Sim",""))</f>
        <v/>
      </c>
      <c r="I346" s="18" t="str">
        <f aca="false">IF(A346="","",SUMIFS(DECKS!$D$2:$D$1201,DECKS!$B$2:$B$1201,A346))</f>
        <v/>
      </c>
      <c r="J346" s="18" t="str">
        <f aca="false">IF(A346="","",MAX(0,I346-C346))</f>
        <v/>
      </c>
      <c r="K346" s="19" t="str">
        <f aca="false">IF(OR($A346="",INDEX(_LEITURA!$Q$2:$Q$21,1)=0),"",SUMIFS(DECKS!$D$2:$D$1201,DECKS!$A$2:$A$1201,INDEX(_LEITURA!$P$2:$P$21,1),DECKS!$B$2:$B$1201,$A346))</f>
        <v/>
      </c>
      <c r="L346" s="19" t="str">
        <f aca="false">IF(OR($A346="",INDEX(_LEITURA!$Q$2:$Q$21,2)=0),"",SUMIFS(DECKS!$D$2:$D$1201,DECKS!$A$2:$A$1201,INDEX(_LEITURA!$P$2:$P$21,2),DECKS!$B$2:$B$1201,$A346))</f>
        <v/>
      </c>
      <c r="M346" s="19" t="str">
        <f aca="false">IF(OR($A346="",INDEX(_LEITURA!$Q$2:$Q$21,3)=0),"",SUMIFS(DECKS!$D$2:$D$1201,DECKS!$A$2:$A$1201,INDEX(_LEITURA!$P$2:$P$21,3),DECKS!$B$2:$B$1201,$A346))</f>
        <v/>
      </c>
      <c r="N346" s="19" t="str">
        <f aca="false">IF(OR($A346="",INDEX(_LEITURA!$Q$2:$Q$21,4)=0),"",SUMIFS(DECKS!$D$2:$D$1201,DECKS!$A$2:$A$1201,INDEX(_LEITURA!$P$2:$P$21,4),DECKS!$B$2:$B$1201,$A346))</f>
        <v/>
      </c>
      <c r="O346" s="19" t="str">
        <f aca="false">IF(OR($A346="",INDEX(_LEITURA!$Q$2:$Q$21,5)=0),"",SUMIFS(DECKS!$D$2:$D$1201,DECKS!$A$2:$A$1201,INDEX(_LEITURA!$P$2:$P$21,5),DECKS!$B$2:$B$1201,$A346))</f>
        <v/>
      </c>
      <c r="P346" s="19" t="str">
        <f aca="false">IF(OR($A346="",INDEX(_LEITURA!$Q$2:$Q$21,6)=0),"",SUMIFS(DECKS!$D$2:$D$1201,DECKS!$A$2:$A$1201,INDEX(_LEITURA!$P$2:$P$21,6),DECKS!$B$2:$B$1201,$A346))</f>
        <v/>
      </c>
      <c r="Q346" s="19" t="str">
        <f aca="false">IF(OR($A346="",INDEX(_LEITURA!$Q$2:$Q$21,7)=0),"",SUMIFS(DECKS!$D$2:$D$1201,DECKS!$A$2:$A$1201,INDEX(_LEITURA!$P$2:$P$21,7),DECKS!$B$2:$B$1201,$A346))</f>
        <v/>
      </c>
      <c r="R346" s="19" t="str">
        <f aca="false">IF(OR($A346="",INDEX(_LEITURA!$Q$2:$Q$21,8)=0),"",SUMIFS(DECKS!$D$2:$D$1201,DECKS!$A$2:$A$1201,INDEX(_LEITURA!$P$2:$P$21,8),DECKS!$B$2:$B$1201,$A346))</f>
        <v/>
      </c>
      <c r="S346" s="19" t="str">
        <f aca="false">IF(OR($A346="",INDEX(_LEITURA!$Q$2:$Q$21,9)=0),"",SUMIFS(DECKS!$D$2:$D$1201,DECKS!$A$2:$A$1201,INDEX(_LEITURA!$P$2:$P$21,9),DECKS!$B$2:$B$1201,$A346))</f>
        <v/>
      </c>
      <c r="T346" s="19" t="str">
        <f aca="false">IF(OR($A346="",INDEX(_LEITURA!$Q$2:$Q$21,10)=0),"",SUMIFS(DECKS!$D$2:$D$1201,DECKS!$A$2:$A$1201,INDEX(_LEITURA!$P$2:$P$21,10),DECKS!$B$2:$B$1201,$A346))</f>
        <v/>
      </c>
      <c r="U346" s="19" t="str">
        <f aca="false">IF(OR($A346="",INDEX(_LEITURA!$Q$2:$Q$21,11)=0),"",SUMIFS(DECKS!$D$2:$D$1201,DECKS!$A$2:$A$1201,INDEX(_LEITURA!$P$2:$P$21,11),DECKS!$B$2:$B$1201,$A346))</f>
        <v/>
      </c>
      <c r="V346" s="19" t="str">
        <f aca="false">IF(OR($A346="",INDEX(_LEITURA!$Q$2:$Q$21,12)=0),"",SUMIFS(DECKS!$D$2:$D$1201,DECKS!$A$2:$A$1201,INDEX(_LEITURA!$P$2:$P$21,12),DECKS!$B$2:$B$1201,$A346))</f>
        <v/>
      </c>
      <c r="W346" s="19" t="str">
        <f aca="false">IF(OR($A346="",INDEX(_LEITURA!$Q$2:$Q$21,13)=0),"",SUMIFS(DECKS!$D$2:$D$1201,DECKS!$A$2:$A$1201,INDEX(_LEITURA!$P$2:$P$21,13),DECKS!$B$2:$B$1201,$A346))</f>
        <v/>
      </c>
      <c r="X346" s="19" t="str">
        <f aca="false">IF(OR($A346="",INDEX(_LEITURA!$Q$2:$Q$21,14)=0),"",SUMIFS(DECKS!$D$2:$D$1201,DECKS!$A$2:$A$1201,INDEX(_LEITURA!$P$2:$P$21,14),DECKS!$B$2:$B$1201,$A346))</f>
        <v/>
      </c>
      <c r="Y346" s="19" t="str">
        <f aca="false">IF(OR($A346="",INDEX(_LEITURA!$Q$2:$Q$21,15)=0),"",SUMIFS(DECKS!$D$2:$D$1201,DECKS!$A$2:$A$1201,INDEX(_LEITURA!$P$2:$P$21,15),DECKS!$B$2:$B$1201,$A346))</f>
        <v/>
      </c>
      <c r="Z346" s="19" t="str">
        <f aca="false">IF(OR($A346="",INDEX(_LEITURA!$Q$2:$Q$21,16)=0),"",SUMIFS(DECKS!$D$2:$D$1201,DECKS!$A$2:$A$1201,INDEX(_LEITURA!$P$2:$P$21,16),DECKS!$B$2:$B$1201,$A346))</f>
        <v/>
      </c>
      <c r="AA346" s="19" t="str">
        <f aca="false">IF(OR($A346="",INDEX(_LEITURA!$Q$2:$Q$21,17)=0),"",SUMIFS(DECKS!$D$2:$D$1201,DECKS!$A$2:$A$1201,INDEX(_LEITURA!$P$2:$P$21,17),DECKS!$B$2:$B$1201,$A346))</f>
        <v/>
      </c>
      <c r="AB346" s="19" t="str">
        <f aca="false">IF(OR($A346="",INDEX(_LEITURA!$Q$2:$Q$21,18)=0),"",SUMIFS(DECKS!$D$2:$D$1201,DECKS!$A$2:$A$1201,INDEX(_LEITURA!$P$2:$P$21,18),DECKS!$B$2:$B$1201,$A346))</f>
        <v/>
      </c>
      <c r="AC346" s="19" t="str">
        <f aca="false">IF(OR($A346="",INDEX(_LEITURA!$Q$2:$Q$21,19)=0),"",SUMIFS(DECKS!$D$2:$D$1201,DECKS!$A$2:$A$1201,INDEX(_LEITURA!$P$2:$P$21,19),DECKS!$B$2:$B$1201,$A346))</f>
        <v/>
      </c>
      <c r="AD346" s="19" t="str">
        <f aca="false">IF(OR($A346="",INDEX(_LEITURA!$Q$2:$Q$21,20)=0),"",SUMIFS(DECKS!$D$2:$D$1201,DECKS!$A$2:$A$1201,INDEX(_LEITURA!$P$2:$P$21,20),DECKS!$B$2:$B$1201,$A346))</f>
        <v/>
      </c>
      <c r="AE346" s="16" t="str">
        <f aca="false">IF(N(E346)&gt;0,MAX(AE$1:AE345)+1,"")</f>
        <v/>
      </c>
      <c r="AF346" s="11" t="str">
        <f aca="false">IF(A346="","",IFERROR(LEFT(A346,FIND("-",A346)-1),A346))</f>
        <v/>
      </c>
      <c r="AG346" s="11" t="str">
        <f aca="false">IF(AF346="","",IF(ISNUMBER(--MID(AF346,1,1)),0,IF(ISNUMBER(--MID(AF346,2,1)),1,IF(ISNUMBER(--MID(AF346,3,1)),2,IF(ISNUMBER(--MID(AF346,4,1)),3,MIN(LEN(AF346),4))))))</f>
        <v/>
      </c>
      <c r="AH346" s="11" t="str">
        <f aca="false">IF(A346="","",LEFT(AF346,AG346)&amp;REPT("0",4-AG346)&amp;RIGHT("000"&amp;IFERROR(VALUE(MID(AF346,AG346+1,9)),0),3)&amp;RIGHT("0000"&amp;IFERROR(VALUE(MID(A346,FIND("-",A346)+1,9)),0),4))</f>
        <v/>
      </c>
      <c r="AI346" s="11" t="str">
        <f aca="false">IF(OR(A346="",N(E346)&lt;=0),"",IF('FALTAS GERAL'!$M$1="Código","K"&amp;AH346&amp;RIGHT("00000"&amp;ROW(),5),IF('FALTAS GERAL'!$M$1="Nome","K"&amp;UPPER(SUBSTITUTE(SUBSTITUTE(SUBSTITUTE(B346,"*",""),"?",""),"~",""))&amp;"0"&amp;AH346&amp;RIGHT("00000"&amp;ROW(),5),IF('FALTAS GERAL'!$M$1="Falta (maior primeiro)","K"&amp;RIGHT("0000"&amp;(9999-E346),4)&amp;AH346&amp;RIGHT("00000"&amp;ROW(),5),IF('FALTAS GERAL'!$M$1="Nº de decks (maior primeiro)","K"&amp;RIGHT("00"&amp;(99-N(G346)),2)&amp;AH346&amp;RIGHT("00000"&amp;ROW(),5),"K"&amp;RIGHT("00000"&amp;ROW(),5))))))</f>
        <v/>
      </c>
      <c r="AJ346" s="11" t="str">
        <f aca="false">IF(AI346="","",COUNTIFS($AI$2:$AI$801,"&lt;"&amp;AI346,$E$2:$E$801,"&gt;0")+1)</f>
        <v/>
      </c>
      <c r="AK346" s="11" t="str">
        <f aca="false">IF(OR(A346="",N(E346)&lt;=0),"",COUNTIFS($AH$2:$AH$801,"&lt;"&amp;AH346,$E$2:$E$801,"&gt;0")+COUNTIFS($AH$2:AH346,AH346,$E$2:E346,"&gt;0"))</f>
        <v/>
      </c>
    </row>
    <row r="347" customFormat="false" ht="15" hidden="false" customHeight="false" outlineLevel="0" collapsed="false">
      <c r="A347" s="11" t="str">
        <f aca="false">IF(INVENTÁRIO!A347="","",INVENTÁRIO!A347)</f>
        <v/>
      </c>
      <c r="B347" s="11" t="str">
        <f aca="false">IF(A347="","",INVENTÁRIO!B347)</f>
        <v/>
      </c>
      <c r="C347" s="16" t="str">
        <f aca="false">IF(A347="","",INVENTÁRIO!C347)</f>
        <v/>
      </c>
      <c r="D347" s="14" t="str">
        <f aca="false">IF(A347="","",MAX(K347:AD347))</f>
        <v/>
      </c>
      <c r="E347" s="14" t="str">
        <f aca="false">IF(A347="","",MAX(0,D347-C347))</f>
        <v/>
      </c>
      <c r="F347" s="16" t="str">
        <f aca="false">IF(A347="","",IF(D347=0,"Fora dos decks",IF(E347=0,"Completo","Falta")))</f>
        <v/>
      </c>
      <c r="G347" s="16" t="str">
        <f aca="false">IF(A347="","",COUNTIF(K347:AD347,"&gt;0"))</f>
        <v/>
      </c>
      <c r="H347" s="16" t="str">
        <f aca="false">IF(A347="","",IF(G347&gt;1,"Sim",""))</f>
        <v/>
      </c>
      <c r="I347" s="18" t="str">
        <f aca="false">IF(A347="","",SUMIFS(DECKS!$D$2:$D$1201,DECKS!$B$2:$B$1201,A347))</f>
        <v/>
      </c>
      <c r="J347" s="18" t="str">
        <f aca="false">IF(A347="","",MAX(0,I347-C347))</f>
        <v/>
      </c>
      <c r="K347" s="19" t="str">
        <f aca="false">IF(OR($A347="",INDEX(_LEITURA!$Q$2:$Q$21,1)=0),"",SUMIFS(DECKS!$D$2:$D$1201,DECKS!$A$2:$A$1201,INDEX(_LEITURA!$P$2:$P$21,1),DECKS!$B$2:$B$1201,$A347))</f>
        <v/>
      </c>
      <c r="L347" s="19" t="str">
        <f aca="false">IF(OR($A347="",INDEX(_LEITURA!$Q$2:$Q$21,2)=0),"",SUMIFS(DECKS!$D$2:$D$1201,DECKS!$A$2:$A$1201,INDEX(_LEITURA!$P$2:$P$21,2),DECKS!$B$2:$B$1201,$A347))</f>
        <v/>
      </c>
      <c r="M347" s="19" t="str">
        <f aca="false">IF(OR($A347="",INDEX(_LEITURA!$Q$2:$Q$21,3)=0),"",SUMIFS(DECKS!$D$2:$D$1201,DECKS!$A$2:$A$1201,INDEX(_LEITURA!$P$2:$P$21,3),DECKS!$B$2:$B$1201,$A347))</f>
        <v/>
      </c>
      <c r="N347" s="19" t="str">
        <f aca="false">IF(OR($A347="",INDEX(_LEITURA!$Q$2:$Q$21,4)=0),"",SUMIFS(DECKS!$D$2:$D$1201,DECKS!$A$2:$A$1201,INDEX(_LEITURA!$P$2:$P$21,4),DECKS!$B$2:$B$1201,$A347))</f>
        <v/>
      </c>
      <c r="O347" s="19" t="str">
        <f aca="false">IF(OR($A347="",INDEX(_LEITURA!$Q$2:$Q$21,5)=0),"",SUMIFS(DECKS!$D$2:$D$1201,DECKS!$A$2:$A$1201,INDEX(_LEITURA!$P$2:$P$21,5),DECKS!$B$2:$B$1201,$A347))</f>
        <v/>
      </c>
      <c r="P347" s="19" t="str">
        <f aca="false">IF(OR($A347="",INDEX(_LEITURA!$Q$2:$Q$21,6)=0),"",SUMIFS(DECKS!$D$2:$D$1201,DECKS!$A$2:$A$1201,INDEX(_LEITURA!$P$2:$P$21,6),DECKS!$B$2:$B$1201,$A347))</f>
        <v/>
      </c>
      <c r="Q347" s="19" t="str">
        <f aca="false">IF(OR($A347="",INDEX(_LEITURA!$Q$2:$Q$21,7)=0),"",SUMIFS(DECKS!$D$2:$D$1201,DECKS!$A$2:$A$1201,INDEX(_LEITURA!$P$2:$P$21,7),DECKS!$B$2:$B$1201,$A347))</f>
        <v/>
      </c>
      <c r="R347" s="19" t="str">
        <f aca="false">IF(OR($A347="",INDEX(_LEITURA!$Q$2:$Q$21,8)=0),"",SUMIFS(DECKS!$D$2:$D$1201,DECKS!$A$2:$A$1201,INDEX(_LEITURA!$P$2:$P$21,8),DECKS!$B$2:$B$1201,$A347))</f>
        <v/>
      </c>
      <c r="S347" s="19" t="str">
        <f aca="false">IF(OR($A347="",INDEX(_LEITURA!$Q$2:$Q$21,9)=0),"",SUMIFS(DECKS!$D$2:$D$1201,DECKS!$A$2:$A$1201,INDEX(_LEITURA!$P$2:$P$21,9),DECKS!$B$2:$B$1201,$A347))</f>
        <v/>
      </c>
      <c r="T347" s="19" t="str">
        <f aca="false">IF(OR($A347="",INDEX(_LEITURA!$Q$2:$Q$21,10)=0),"",SUMIFS(DECKS!$D$2:$D$1201,DECKS!$A$2:$A$1201,INDEX(_LEITURA!$P$2:$P$21,10),DECKS!$B$2:$B$1201,$A347))</f>
        <v/>
      </c>
      <c r="U347" s="19" t="str">
        <f aca="false">IF(OR($A347="",INDEX(_LEITURA!$Q$2:$Q$21,11)=0),"",SUMIFS(DECKS!$D$2:$D$1201,DECKS!$A$2:$A$1201,INDEX(_LEITURA!$P$2:$P$21,11),DECKS!$B$2:$B$1201,$A347))</f>
        <v/>
      </c>
      <c r="V347" s="19" t="str">
        <f aca="false">IF(OR($A347="",INDEX(_LEITURA!$Q$2:$Q$21,12)=0),"",SUMIFS(DECKS!$D$2:$D$1201,DECKS!$A$2:$A$1201,INDEX(_LEITURA!$P$2:$P$21,12),DECKS!$B$2:$B$1201,$A347))</f>
        <v/>
      </c>
      <c r="W347" s="19" t="str">
        <f aca="false">IF(OR($A347="",INDEX(_LEITURA!$Q$2:$Q$21,13)=0),"",SUMIFS(DECKS!$D$2:$D$1201,DECKS!$A$2:$A$1201,INDEX(_LEITURA!$P$2:$P$21,13),DECKS!$B$2:$B$1201,$A347))</f>
        <v/>
      </c>
      <c r="X347" s="19" t="str">
        <f aca="false">IF(OR($A347="",INDEX(_LEITURA!$Q$2:$Q$21,14)=0),"",SUMIFS(DECKS!$D$2:$D$1201,DECKS!$A$2:$A$1201,INDEX(_LEITURA!$P$2:$P$21,14),DECKS!$B$2:$B$1201,$A347))</f>
        <v/>
      </c>
      <c r="Y347" s="19" t="str">
        <f aca="false">IF(OR($A347="",INDEX(_LEITURA!$Q$2:$Q$21,15)=0),"",SUMIFS(DECKS!$D$2:$D$1201,DECKS!$A$2:$A$1201,INDEX(_LEITURA!$P$2:$P$21,15),DECKS!$B$2:$B$1201,$A347))</f>
        <v/>
      </c>
      <c r="Z347" s="19" t="str">
        <f aca="false">IF(OR($A347="",INDEX(_LEITURA!$Q$2:$Q$21,16)=0),"",SUMIFS(DECKS!$D$2:$D$1201,DECKS!$A$2:$A$1201,INDEX(_LEITURA!$P$2:$P$21,16),DECKS!$B$2:$B$1201,$A347))</f>
        <v/>
      </c>
      <c r="AA347" s="19" t="str">
        <f aca="false">IF(OR($A347="",INDEX(_LEITURA!$Q$2:$Q$21,17)=0),"",SUMIFS(DECKS!$D$2:$D$1201,DECKS!$A$2:$A$1201,INDEX(_LEITURA!$P$2:$P$21,17),DECKS!$B$2:$B$1201,$A347))</f>
        <v/>
      </c>
      <c r="AB347" s="19" t="str">
        <f aca="false">IF(OR($A347="",INDEX(_LEITURA!$Q$2:$Q$21,18)=0),"",SUMIFS(DECKS!$D$2:$D$1201,DECKS!$A$2:$A$1201,INDEX(_LEITURA!$P$2:$P$21,18),DECKS!$B$2:$B$1201,$A347))</f>
        <v/>
      </c>
      <c r="AC347" s="19" t="str">
        <f aca="false">IF(OR($A347="",INDEX(_LEITURA!$Q$2:$Q$21,19)=0),"",SUMIFS(DECKS!$D$2:$D$1201,DECKS!$A$2:$A$1201,INDEX(_LEITURA!$P$2:$P$21,19),DECKS!$B$2:$B$1201,$A347))</f>
        <v/>
      </c>
      <c r="AD347" s="19" t="str">
        <f aca="false">IF(OR($A347="",INDEX(_LEITURA!$Q$2:$Q$21,20)=0),"",SUMIFS(DECKS!$D$2:$D$1201,DECKS!$A$2:$A$1201,INDEX(_LEITURA!$P$2:$P$21,20),DECKS!$B$2:$B$1201,$A347))</f>
        <v/>
      </c>
      <c r="AE347" s="16" t="str">
        <f aca="false">IF(N(E347)&gt;0,MAX(AE$1:AE346)+1,"")</f>
        <v/>
      </c>
      <c r="AF347" s="11" t="str">
        <f aca="false">IF(A347="","",IFERROR(LEFT(A347,FIND("-",A347)-1),A347))</f>
        <v/>
      </c>
      <c r="AG347" s="11" t="str">
        <f aca="false">IF(AF347="","",IF(ISNUMBER(--MID(AF347,1,1)),0,IF(ISNUMBER(--MID(AF347,2,1)),1,IF(ISNUMBER(--MID(AF347,3,1)),2,IF(ISNUMBER(--MID(AF347,4,1)),3,MIN(LEN(AF347),4))))))</f>
        <v/>
      </c>
      <c r="AH347" s="11" t="str">
        <f aca="false">IF(A347="","",LEFT(AF347,AG347)&amp;REPT("0",4-AG347)&amp;RIGHT("000"&amp;IFERROR(VALUE(MID(AF347,AG347+1,9)),0),3)&amp;RIGHT("0000"&amp;IFERROR(VALUE(MID(A347,FIND("-",A347)+1,9)),0),4))</f>
        <v/>
      </c>
      <c r="AI347" s="11" t="str">
        <f aca="false">IF(OR(A347="",N(E347)&lt;=0),"",IF('FALTAS GERAL'!$M$1="Código","K"&amp;AH347&amp;RIGHT("00000"&amp;ROW(),5),IF('FALTAS GERAL'!$M$1="Nome","K"&amp;UPPER(SUBSTITUTE(SUBSTITUTE(SUBSTITUTE(B347,"*",""),"?",""),"~",""))&amp;"0"&amp;AH347&amp;RIGHT("00000"&amp;ROW(),5),IF('FALTAS GERAL'!$M$1="Falta (maior primeiro)","K"&amp;RIGHT("0000"&amp;(9999-E347),4)&amp;AH347&amp;RIGHT("00000"&amp;ROW(),5),IF('FALTAS GERAL'!$M$1="Nº de decks (maior primeiro)","K"&amp;RIGHT("00"&amp;(99-N(G347)),2)&amp;AH347&amp;RIGHT("00000"&amp;ROW(),5),"K"&amp;RIGHT("00000"&amp;ROW(),5))))))</f>
        <v/>
      </c>
      <c r="AJ347" s="11" t="str">
        <f aca="false">IF(AI347="","",COUNTIFS($AI$2:$AI$801,"&lt;"&amp;AI347,$E$2:$E$801,"&gt;0")+1)</f>
        <v/>
      </c>
      <c r="AK347" s="11" t="str">
        <f aca="false">IF(OR(A347="",N(E347)&lt;=0),"",COUNTIFS($AH$2:$AH$801,"&lt;"&amp;AH347,$E$2:$E$801,"&gt;0")+COUNTIFS($AH$2:AH347,AH347,$E$2:E347,"&gt;0"))</f>
        <v/>
      </c>
    </row>
    <row r="348" customFormat="false" ht="15" hidden="false" customHeight="false" outlineLevel="0" collapsed="false">
      <c r="A348" s="11" t="str">
        <f aca="false">IF(INVENTÁRIO!A348="","",INVENTÁRIO!A348)</f>
        <v/>
      </c>
      <c r="B348" s="11" t="str">
        <f aca="false">IF(A348="","",INVENTÁRIO!B348)</f>
        <v/>
      </c>
      <c r="C348" s="16" t="str">
        <f aca="false">IF(A348="","",INVENTÁRIO!C348)</f>
        <v/>
      </c>
      <c r="D348" s="14" t="str">
        <f aca="false">IF(A348="","",MAX(K348:AD348))</f>
        <v/>
      </c>
      <c r="E348" s="14" t="str">
        <f aca="false">IF(A348="","",MAX(0,D348-C348))</f>
        <v/>
      </c>
      <c r="F348" s="16" t="str">
        <f aca="false">IF(A348="","",IF(D348=0,"Fora dos decks",IF(E348=0,"Completo","Falta")))</f>
        <v/>
      </c>
      <c r="G348" s="16" t="str">
        <f aca="false">IF(A348="","",COUNTIF(K348:AD348,"&gt;0"))</f>
        <v/>
      </c>
      <c r="H348" s="16" t="str">
        <f aca="false">IF(A348="","",IF(G348&gt;1,"Sim",""))</f>
        <v/>
      </c>
      <c r="I348" s="18" t="str">
        <f aca="false">IF(A348="","",SUMIFS(DECKS!$D$2:$D$1201,DECKS!$B$2:$B$1201,A348))</f>
        <v/>
      </c>
      <c r="J348" s="18" t="str">
        <f aca="false">IF(A348="","",MAX(0,I348-C348))</f>
        <v/>
      </c>
      <c r="K348" s="19" t="str">
        <f aca="false">IF(OR($A348="",INDEX(_LEITURA!$Q$2:$Q$21,1)=0),"",SUMIFS(DECKS!$D$2:$D$1201,DECKS!$A$2:$A$1201,INDEX(_LEITURA!$P$2:$P$21,1),DECKS!$B$2:$B$1201,$A348))</f>
        <v/>
      </c>
      <c r="L348" s="19" t="str">
        <f aca="false">IF(OR($A348="",INDEX(_LEITURA!$Q$2:$Q$21,2)=0),"",SUMIFS(DECKS!$D$2:$D$1201,DECKS!$A$2:$A$1201,INDEX(_LEITURA!$P$2:$P$21,2),DECKS!$B$2:$B$1201,$A348))</f>
        <v/>
      </c>
      <c r="M348" s="19" t="str">
        <f aca="false">IF(OR($A348="",INDEX(_LEITURA!$Q$2:$Q$21,3)=0),"",SUMIFS(DECKS!$D$2:$D$1201,DECKS!$A$2:$A$1201,INDEX(_LEITURA!$P$2:$P$21,3),DECKS!$B$2:$B$1201,$A348))</f>
        <v/>
      </c>
      <c r="N348" s="19" t="str">
        <f aca="false">IF(OR($A348="",INDEX(_LEITURA!$Q$2:$Q$21,4)=0),"",SUMIFS(DECKS!$D$2:$D$1201,DECKS!$A$2:$A$1201,INDEX(_LEITURA!$P$2:$P$21,4),DECKS!$B$2:$B$1201,$A348))</f>
        <v/>
      </c>
      <c r="O348" s="19" t="str">
        <f aca="false">IF(OR($A348="",INDEX(_LEITURA!$Q$2:$Q$21,5)=0),"",SUMIFS(DECKS!$D$2:$D$1201,DECKS!$A$2:$A$1201,INDEX(_LEITURA!$P$2:$P$21,5),DECKS!$B$2:$B$1201,$A348))</f>
        <v/>
      </c>
      <c r="P348" s="19" t="str">
        <f aca="false">IF(OR($A348="",INDEX(_LEITURA!$Q$2:$Q$21,6)=0),"",SUMIFS(DECKS!$D$2:$D$1201,DECKS!$A$2:$A$1201,INDEX(_LEITURA!$P$2:$P$21,6),DECKS!$B$2:$B$1201,$A348))</f>
        <v/>
      </c>
      <c r="Q348" s="19" t="str">
        <f aca="false">IF(OR($A348="",INDEX(_LEITURA!$Q$2:$Q$21,7)=0),"",SUMIFS(DECKS!$D$2:$D$1201,DECKS!$A$2:$A$1201,INDEX(_LEITURA!$P$2:$P$21,7),DECKS!$B$2:$B$1201,$A348))</f>
        <v/>
      </c>
      <c r="R348" s="19" t="str">
        <f aca="false">IF(OR($A348="",INDEX(_LEITURA!$Q$2:$Q$21,8)=0),"",SUMIFS(DECKS!$D$2:$D$1201,DECKS!$A$2:$A$1201,INDEX(_LEITURA!$P$2:$P$21,8),DECKS!$B$2:$B$1201,$A348))</f>
        <v/>
      </c>
      <c r="S348" s="19" t="str">
        <f aca="false">IF(OR($A348="",INDEX(_LEITURA!$Q$2:$Q$21,9)=0),"",SUMIFS(DECKS!$D$2:$D$1201,DECKS!$A$2:$A$1201,INDEX(_LEITURA!$P$2:$P$21,9),DECKS!$B$2:$B$1201,$A348))</f>
        <v/>
      </c>
      <c r="T348" s="19" t="str">
        <f aca="false">IF(OR($A348="",INDEX(_LEITURA!$Q$2:$Q$21,10)=0),"",SUMIFS(DECKS!$D$2:$D$1201,DECKS!$A$2:$A$1201,INDEX(_LEITURA!$P$2:$P$21,10),DECKS!$B$2:$B$1201,$A348))</f>
        <v/>
      </c>
      <c r="U348" s="19" t="str">
        <f aca="false">IF(OR($A348="",INDEX(_LEITURA!$Q$2:$Q$21,11)=0),"",SUMIFS(DECKS!$D$2:$D$1201,DECKS!$A$2:$A$1201,INDEX(_LEITURA!$P$2:$P$21,11),DECKS!$B$2:$B$1201,$A348))</f>
        <v/>
      </c>
      <c r="V348" s="19" t="str">
        <f aca="false">IF(OR($A348="",INDEX(_LEITURA!$Q$2:$Q$21,12)=0),"",SUMIFS(DECKS!$D$2:$D$1201,DECKS!$A$2:$A$1201,INDEX(_LEITURA!$P$2:$P$21,12),DECKS!$B$2:$B$1201,$A348))</f>
        <v/>
      </c>
      <c r="W348" s="19" t="str">
        <f aca="false">IF(OR($A348="",INDEX(_LEITURA!$Q$2:$Q$21,13)=0),"",SUMIFS(DECKS!$D$2:$D$1201,DECKS!$A$2:$A$1201,INDEX(_LEITURA!$P$2:$P$21,13),DECKS!$B$2:$B$1201,$A348))</f>
        <v/>
      </c>
      <c r="X348" s="19" t="str">
        <f aca="false">IF(OR($A348="",INDEX(_LEITURA!$Q$2:$Q$21,14)=0),"",SUMIFS(DECKS!$D$2:$D$1201,DECKS!$A$2:$A$1201,INDEX(_LEITURA!$P$2:$P$21,14),DECKS!$B$2:$B$1201,$A348))</f>
        <v/>
      </c>
      <c r="Y348" s="19" t="str">
        <f aca="false">IF(OR($A348="",INDEX(_LEITURA!$Q$2:$Q$21,15)=0),"",SUMIFS(DECKS!$D$2:$D$1201,DECKS!$A$2:$A$1201,INDEX(_LEITURA!$P$2:$P$21,15),DECKS!$B$2:$B$1201,$A348))</f>
        <v/>
      </c>
      <c r="Z348" s="19" t="str">
        <f aca="false">IF(OR($A348="",INDEX(_LEITURA!$Q$2:$Q$21,16)=0),"",SUMIFS(DECKS!$D$2:$D$1201,DECKS!$A$2:$A$1201,INDEX(_LEITURA!$P$2:$P$21,16),DECKS!$B$2:$B$1201,$A348))</f>
        <v/>
      </c>
      <c r="AA348" s="19" t="str">
        <f aca="false">IF(OR($A348="",INDEX(_LEITURA!$Q$2:$Q$21,17)=0),"",SUMIFS(DECKS!$D$2:$D$1201,DECKS!$A$2:$A$1201,INDEX(_LEITURA!$P$2:$P$21,17),DECKS!$B$2:$B$1201,$A348))</f>
        <v/>
      </c>
      <c r="AB348" s="19" t="str">
        <f aca="false">IF(OR($A348="",INDEX(_LEITURA!$Q$2:$Q$21,18)=0),"",SUMIFS(DECKS!$D$2:$D$1201,DECKS!$A$2:$A$1201,INDEX(_LEITURA!$P$2:$P$21,18),DECKS!$B$2:$B$1201,$A348))</f>
        <v/>
      </c>
      <c r="AC348" s="19" t="str">
        <f aca="false">IF(OR($A348="",INDEX(_LEITURA!$Q$2:$Q$21,19)=0),"",SUMIFS(DECKS!$D$2:$D$1201,DECKS!$A$2:$A$1201,INDEX(_LEITURA!$P$2:$P$21,19),DECKS!$B$2:$B$1201,$A348))</f>
        <v/>
      </c>
      <c r="AD348" s="19" t="str">
        <f aca="false">IF(OR($A348="",INDEX(_LEITURA!$Q$2:$Q$21,20)=0),"",SUMIFS(DECKS!$D$2:$D$1201,DECKS!$A$2:$A$1201,INDEX(_LEITURA!$P$2:$P$21,20),DECKS!$B$2:$B$1201,$A348))</f>
        <v/>
      </c>
      <c r="AE348" s="16" t="str">
        <f aca="false">IF(N(E348)&gt;0,MAX(AE$1:AE347)+1,"")</f>
        <v/>
      </c>
      <c r="AF348" s="11" t="str">
        <f aca="false">IF(A348="","",IFERROR(LEFT(A348,FIND("-",A348)-1),A348))</f>
        <v/>
      </c>
      <c r="AG348" s="11" t="str">
        <f aca="false">IF(AF348="","",IF(ISNUMBER(--MID(AF348,1,1)),0,IF(ISNUMBER(--MID(AF348,2,1)),1,IF(ISNUMBER(--MID(AF348,3,1)),2,IF(ISNUMBER(--MID(AF348,4,1)),3,MIN(LEN(AF348),4))))))</f>
        <v/>
      </c>
      <c r="AH348" s="11" t="str">
        <f aca="false">IF(A348="","",LEFT(AF348,AG348)&amp;REPT("0",4-AG348)&amp;RIGHT("000"&amp;IFERROR(VALUE(MID(AF348,AG348+1,9)),0),3)&amp;RIGHT("0000"&amp;IFERROR(VALUE(MID(A348,FIND("-",A348)+1,9)),0),4))</f>
        <v/>
      </c>
      <c r="AI348" s="11" t="str">
        <f aca="false">IF(OR(A348="",N(E348)&lt;=0),"",IF('FALTAS GERAL'!$M$1="Código","K"&amp;AH348&amp;RIGHT("00000"&amp;ROW(),5),IF('FALTAS GERAL'!$M$1="Nome","K"&amp;UPPER(SUBSTITUTE(SUBSTITUTE(SUBSTITUTE(B348,"*",""),"?",""),"~",""))&amp;"0"&amp;AH348&amp;RIGHT("00000"&amp;ROW(),5),IF('FALTAS GERAL'!$M$1="Falta (maior primeiro)","K"&amp;RIGHT("0000"&amp;(9999-E348),4)&amp;AH348&amp;RIGHT("00000"&amp;ROW(),5),IF('FALTAS GERAL'!$M$1="Nº de decks (maior primeiro)","K"&amp;RIGHT("00"&amp;(99-N(G348)),2)&amp;AH348&amp;RIGHT("00000"&amp;ROW(),5),"K"&amp;RIGHT("00000"&amp;ROW(),5))))))</f>
        <v/>
      </c>
      <c r="AJ348" s="11" t="str">
        <f aca="false">IF(AI348="","",COUNTIFS($AI$2:$AI$801,"&lt;"&amp;AI348,$E$2:$E$801,"&gt;0")+1)</f>
        <v/>
      </c>
      <c r="AK348" s="11" t="str">
        <f aca="false">IF(OR(A348="",N(E348)&lt;=0),"",COUNTIFS($AH$2:$AH$801,"&lt;"&amp;AH348,$E$2:$E$801,"&gt;0")+COUNTIFS($AH$2:AH348,AH348,$E$2:E348,"&gt;0"))</f>
        <v/>
      </c>
    </row>
    <row r="349" customFormat="false" ht="15" hidden="false" customHeight="false" outlineLevel="0" collapsed="false">
      <c r="A349" s="11" t="str">
        <f aca="false">IF(INVENTÁRIO!A349="","",INVENTÁRIO!A349)</f>
        <v/>
      </c>
      <c r="B349" s="11" t="str">
        <f aca="false">IF(A349="","",INVENTÁRIO!B349)</f>
        <v/>
      </c>
      <c r="C349" s="16" t="str">
        <f aca="false">IF(A349="","",INVENTÁRIO!C349)</f>
        <v/>
      </c>
      <c r="D349" s="14" t="str">
        <f aca="false">IF(A349="","",MAX(K349:AD349))</f>
        <v/>
      </c>
      <c r="E349" s="14" t="str">
        <f aca="false">IF(A349="","",MAX(0,D349-C349))</f>
        <v/>
      </c>
      <c r="F349" s="16" t="str">
        <f aca="false">IF(A349="","",IF(D349=0,"Fora dos decks",IF(E349=0,"Completo","Falta")))</f>
        <v/>
      </c>
      <c r="G349" s="16" t="str">
        <f aca="false">IF(A349="","",COUNTIF(K349:AD349,"&gt;0"))</f>
        <v/>
      </c>
      <c r="H349" s="16" t="str">
        <f aca="false">IF(A349="","",IF(G349&gt;1,"Sim",""))</f>
        <v/>
      </c>
      <c r="I349" s="18" t="str">
        <f aca="false">IF(A349="","",SUMIFS(DECKS!$D$2:$D$1201,DECKS!$B$2:$B$1201,A349))</f>
        <v/>
      </c>
      <c r="J349" s="18" t="str">
        <f aca="false">IF(A349="","",MAX(0,I349-C349))</f>
        <v/>
      </c>
      <c r="K349" s="19" t="str">
        <f aca="false">IF(OR($A349="",INDEX(_LEITURA!$Q$2:$Q$21,1)=0),"",SUMIFS(DECKS!$D$2:$D$1201,DECKS!$A$2:$A$1201,INDEX(_LEITURA!$P$2:$P$21,1),DECKS!$B$2:$B$1201,$A349))</f>
        <v/>
      </c>
      <c r="L349" s="19" t="str">
        <f aca="false">IF(OR($A349="",INDEX(_LEITURA!$Q$2:$Q$21,2)=0),"",SUMIFS(DECKS!$D$2:$D$1201,DECKS!$A$2:$A$1201,INDEX(_LEITURA!$P$2:$P$21,2),DECKS!$B$2:$B$1201,$A349))</f>
        <v/>
      </c>
      <c r="M349" s="19" t="str">
        <f aca="false">IF(OR($A349="",INDEX(_LEITURA!$Q$2:$Q$21,3)=0),"",SUMIFS(DECKS!$D$2:$D$1201,DECKS!$A$2:$A$1201,INDEX(_LEITURA!$P$2:$P$21,3),DECKS!$B$2:$B$1201,$A349))</f>
        <v/>
      </c>
      <c r="N349" s="19" t="str">
        <f aca="false">IF(OR($A349="",INDEX(_LEITURA!$Q$2:$Q$21,4)=0),"",SUMIFS(DECKS!$D$2:$D$1201,DECKS!$A$2:$A$1201,INDEX(_LEITURA!$P$2:$P$21,4),DECKS!$B$2:$B$1201,$A349))</f>
        <v/>
      </c>
      <c r="O349" s="19" t="str">
        <f aca="false">IF(OR($A349="",INDEX(_LEITURA!$Q$2:$Q$21,5)=0),"",SUMIFS(DECKS!$D$2:$D$1201,DECKS!$A$2:$A$1201,INDEX(_LEITURA!$P$2:$P$21,5),DECKS!$B$2:$B$1201,$A349))</f>
        <v/>
      </c>
      <c r="P349" s="19" t="str">
        <f aca="false">IF(OR($A349="",INDEX(_LEITURA!$Q$2:$Q$21,6)=0),"",SUMIFS(DECKS!$D$2:$D$1201,DECKS!$A$2:$A$1201,INDEX(_LEITURA!$P$2:$P$21,6),DECKS!$B$2:$B$1201,$A349))</f>
        <v/>
      </c>
      <c r="Q349" s="19" t="str">
        <f aca="false">IF(OR($A349="",INDEX(_LEITURA!$Q$2:$Q$21,7)=0),"",SUMIFS(DECKS!$D$2:$D$1201,DECKS!$A$2:$A$1201,INDEX(_LEITURA!$P$2:$P$21,7),DECKS!$B$2:$B$1201,$A349))</f>
        <v/>
      </c>
      <c r="R349" s="19" t="str">
        <f aca="false">IF(OR($A349="",INDEX(_LEITURA!$Q$2:$Q$21,8)=0),"",SUMIFS(DECKS!$D$2:$D$1201,DECKS!$A$2:$A$1201,INDEX(_LEITURA!$P$2:$P$21,8),DECKS!$B$2:$B$1201,$A349))</f>
        <v/>
      </c>
      <c r="S349" s="19" t="str">
        <f aca="false">IF(OR($A349="",INDEX(_LEITURA!$Q$2:$Q$21,9)=0),"",SUMIFS(DECKS!$D$2:$D$1201,DECKS!$A$2:$A$1201,INDEX(_LEITURA!$P$2:$P$21,9),DECKS!$B$2:$B$1201,$A349))</f>
        <v/>
      </c>
      <c r="T349" s="19" t="str">
        <f aca="false">IF(OR($A349="",INDEX(_LEITURA!$Q$2:$Q$21,10)=0),"",SUMIFS(DECKS!$D$2:$D$1201,DECKS!$A$2:$A$1201,INDEX(_LEITURA!$P$2:$P$21,10),DECKS!$B$2:$B$1201,$A349))</f>
        <v/>
      </c>
      <c r="U349" s="19" t="str">
        <f aca="false">IF(OR($A349="",INDEX(_LEITURA!$Q$2:$Q$21,11)=0),"",SUMIFS(DECKS!$D$2:$D$1201,DECKS!$A$2:$A$1201,INDEX(_LEITURA!$P$2:$P$21,11),DECKS!$B$2:$B$1201,$A349))</f>
        <v/>
      </c>
      <c r="V349" s="19" t="str">
        <f aca="false">IF(OR($A349="",INDEX(_LEITURA!$Q$2:$Q$21,12)=0),"",SUMIFS(DECKS!$D$2:$D$1201,DECKS!$A$2:$A$1201,INDEX(_LEITURA!$P$2:$P$21,12),DECKS!$B$2:$B$1201,$A349))</f>
        <v/>
      </c>
      <c r="W349" s="19" t="str">
        <f aca="false">IF(OR($A349="",INDEX(_LEITURA!$Q$2:$Q$21,13)=0),"",SUMIFS(DECKS!$D$2:$D$1201,DECKS!$A$2:$A$1201,INDEX(_LEITURA!$P$2:$P$21,13),DECKS!$B$2:$B$1201,$A349))</f>
        <v/>
      </c>
      <c r="X349" s="19" t="str">
        <f aca="false">IF(OR($A349="",INDEX(_LEITURA!$Q$2:$Q$21,14)=0),"",SUMIFS(DECKS!$D$2:$D$1201,DECKS!$A$2:$A$1201,INDEX(_LEITURA!$P$2:$P$21,14),DECKS!$B$2:$B$1201,$A349))</f>
        <v/>
      </c>
      <c r="Y349" s="19" t="str">
        <f aca="false">IF(OR($A349="",INDEX(_LEITURA!$Q$2:$Q$21,15)=0),"",SUMIFS(DECKS!$D$2:$D$1201,DECKS!$A$2:$A$1201,INDEX(_LEITURA!$P$2:$P$21,15),DECKS!$B$2:$B$1201,$A349))</f>
        <v/>
      </c>
      <c r="Z349" s="19" t="str">
        <f aca="false">IF(OR($A349="",INDEX(_LEITURA!$Q$2:$Q$21,16)=0),"",SUMIFS(DECKS!$D$2:$D$1201,DECKS!$A$2:$A$1201,INDEX(_LEITURA!$P$2:$P$21,16),DECKS!$B$2:$B$1201,$A349))</f>
        <v/>
      </c>
      <c r="AA349" s="19" t="str">
        <f aca="false">IF(OR($A349="",INDEX(_LEITURA!$Q$2:$Q$21,17)=0),"",SUMIFS(DECKS!$D$2:$D$1201,DECKS!$A$2:$A$1201,INDEX(_LEITURA!$P$2:$P$21,17),DECKS!$B$2:$B$1201,$A349))</f>
        <v/>
      </c>
      <c r="AB349" s="19" t="str">
        <f aca="false">IF(OR($A349="",INDEX(_LEITURA!$Q$2:$Q$21,18)=0),"",SUMIFS(DECKS!$D$2:$D$1201,DECKS!$A$2:$A$1201,INDEX(_LEITURA!$P$2:$P$21,18),DECKS!$B$2:$B$1201,$A349))</f>
        <v/>
      </c>
      <c r="AC349" s="19" t="str">
        <f aca="false">IF(OR($A349="",INDEX(_LEITURA!$Q$2:$Q$21,19)=0),"",SUMIFS(DECKS!$D$2:$D$1201,DECKS!$A$2:$A$1201,INDEX(_LEITURA!$P$2:$P$21,19),DECKS!$B$2:$B$1201,$A349))</f>
        <v/>
      </c>
      <c r="AD349" s="19" t="str">
        <f aca="false">IF(OR($A349="",INDEX(_LEITURA!$Q$2:$Q$21,20)=0),"",SUMIFS(DECKS!$D$2:$D$1201,DECKS!$A$2:$A$1201,INDEX(_LEITURA!$P$2:$P$21,20),DECKS!$B$2:$B$1201,$A349))</f>
        <v/>
      </c>
      <c r="AE349" s="16" t="str">
        <f aca="false">IF(N(E349)&gt;0,MAX(AE$1:AE348)+1,"")</f>
        <v/>
      </c>
      <c r="AF349" s="11" t="str">
        <f aca="false">IF(A349="","",IFERROR(LEFT(A349,FIND("-",A349)-1),A349))</f>
        <v/>
      </c>
      <c r="AG349" s="11" t="str">
        <f aca="false">IF(AF349="","",IF(ISNUMBER(--MID(AF349,1,1)),0,IF(ISNUMBER(--MID(AF349,2,1)),1,IF(ISNUMBER(--MID(AF349,3,1)),2,IF(ISNUMBER(--MID(AF349,4,1)),3,MIN(LEN(AF349),4))))))</f>
        <v/>
      </c>
      <c r="AH349" s="11" t="str">
        <f aca="false">IF(A349="","",LEFT(AF349,AG349)&amp;REPT("0",4-AG349)&amp;RIGHT("000"&amp;IFERROR(VALUE(MID(AF349,AG349+1,9)),0),3)&amp;RIGHT("0000"&amp;IFERROR(VALUE(MID(A349,FIND("-",A349)+1,9)),0),4))</f>
        <v/>
      </c>
      <c r="AI349" s="11" t="str">
        <f aca="false">IF(OR(A349="",N(E349)&lt;=0),"",IF('FALTAS GERAL'!$M$1="Código","K"&amp;AH349&amp;RIGHT("00000"&amp;ROW(),5),IF('FALTAS GERAL'!$M$1="Nome","K"&amp;UPPER(SUBSTITUTE(SUBSTITUTE(SUBSTITUTE(B349,"*",""),"?",""),"~",""))&amp;"0"&amp;AH349&amp;RIGHT("00000"&amp;ROW(),5),IF('FALTAS GERAL'!$M$1="Falta (maior primeiro)","K"&amp;RIGHT("0000"&amp;(9999-E349),4)&amp;AH349&amp;RIGHT("00000"&amp;ROW(),5),IF('FALTAS GERAL'!$M$1="Nº de decks (maior primeiro)","K"&amp;RIGHT("00"&amp;(99-N(G349)),2)&amp;AH349&amp;RIGHT("00000"&amp;ROW(),5),"K"&amp;RIGHT("00000"&amp;ROW(),5))))))</f>
        <v/>
      </c>
      <c r="AJ349" s="11" t="str">
        <f aca="false">IF(AI349="","",COUNTIFS($AI$2:$AI$801,"&lt;"&amp;AI349,$E$2:$E$801,"&gt;0")+1)</f>
        <v/>
      </c>
      <c r="AK349" s="11" t="str">
        <f aca="false">IF(OR(A349="",N(E349)&lt;=0),"",COUNTIFS($AH$2:$AH$801,"&lt;"&amp;AH349,$E$2:$E$801,"&gt;0")+COUNTIFS($AH$2:AH349,AH349,$E$2:E349,"&gt;0"))</f>
        <v/>
      </c>
    </row>
    <row r="350" customFormat="false" ht="15" hidden="false" customHeight="false" outlineLevel="0" collapsed="false">
      <c r="A350" s="11" t="str">
        <f aca="false">IF(INVENTÁRIO!A350="","",INVENTÁRIO!A350)</f>
        <v/>
      </c>
      <c r="B350" s="11" t="str">
        <f aca="false">IF(A350="","",INVENTÁRIO!B350)</f>
        <v/>
      </c>
      <c r="C350" s="16" t="str">
        <f aca="false">IF(A350="","",INVENTÁRIO!C350)</f>
        <v/>
      </c>
      <c r="D350" s="14" t="str">
        <f aca="false">IF(A350="","",MAX(K350:AD350))</f>
        <v/>
      </c>
      <c r="E350" s="14" t="str">
        <f aca="false">IF(A350="","",MAX(0,D350-C350))</f>
        <v/>
      </c>
      <c r="F350" s="16" t="str">
        <f aca="false">IF(A350="","",IF(D350=0,"Fora dos decks",IF(E350=0,"Completo","Falta")))</f>
        <v/>
      </c>
      <c r="G350" s="16" t="str">
        <f aca="false">IF(A350="","",COUNTIF(K350:AD350,"&gt;0"))</f>
        <v/>
      </c>
      <c r="H350" s="16" t="str">
        <f aca="false">IF(A350="","",IF(G350&gt;1,"Sim",""))</f>
        <v/>
      </c>
      <c r="I350" s="18" t="str">
        <f aca="false">IF(A350="","",SUMIFS(DECKS!$D$2:$D$1201,DECKS!$B$2:$B$1201,A350))</f>
        <v/>
      </c>
      <c r="J350" s="18" t="str">
        <f aca="false">IF(A350="","",MAX(0,I350-C350))</f>
        <v/>
      </c>
      <c r="K350" s="19" t="str">
        <f aca="false">IF(OR($A350="",INDEX(_LEITURA!$Q$2:$Q$21,1)=0),"",SUMIFS(DECKS!$D$2:$D$1201,DECKS!$A$2:$A$1201,INDEX(_LEITURA!$P$2:$P$21,1),DECKS!$B$2:$B$1201,$A350))</f>
        <v/>
      </c>
      <c r="L350" s="19" t="str">
        <f aca="false">IF(OR($A350="",INDEX(_LEITURA!$Q$2:$Q$21,2)=0),"",SUMIFS(DECKS!$D$2:$D$1201,DECKS!$A$2:$A$1201,INDEX(_LEITURA!$P$2:$P$21,2),DECKS!$B$2:$B$1201,$A350))</f>
        <v/>
      </c>
      <c r="M350" s="19" t="str">
        <f aca="false">IF(OR($A350="",INDEX(_LEITURA!$Q$2:$Q$21,3)=0),"",SUMIFS(DECKS!$D$2:$D$1201,DECKS!$A$2:$A$1201,INDEX(_LEITURA!$P$2:$P$21,3),DECKS!$B$2:$B$1201,$A350))</f>
        <v/>
      </c>
      <c r="N350" s="19" t="str">
        <f aca="false">IF(OR($A350="",INDEX(_LEITURA!$Q$2:$Q$21,4)=0),"",SUMIFS(DECKS!$D$2:$D$1201,DECKS!$A$2:$A$1201,INDEX(_LEITURA!$P$2:$P$21,4),DECKS!$B$2:$B$1201,$A350))</f>
        <v/>
      </c>
      <c r="O350" s="19" t="str">
        <f aca="false">IF(OR($A350="",INDEX(_LEITURA!$Q$2:$Q$21,5)=0),"",SUMIFS(DECKS!$D$2:$D$1201,DECKS!$A$2:$A$1201,INDEX(_LEITURA!$P$2:$P$21,5),DECKS!$B$2:$B$1201,$A350))</f>
        <v/>
      </c>
      <c r="P350" s="19" t="str">
        <f aca="false">IF(OR($A350="",INDEX(_LEITURA!$Q$2:$Q$21,6)=0),"",SUMIFS(DECKS!$D$2:$D$1201,DECKS!$A$2:$A$1201,INDEX(_LEITURA!$P$2:$P$21,6),DECKS!$B$2:$B$1201,$A350))</f>
        <v/>
      </c>
      <c r="Q350" s="19" t="str">
        <f aca="false">IF(OR($A350="",INDEX(_LEITURA!$Q$2:$Q$21,7)=0),"",SUMIFS(DECKS!$D$2:$D$1201,DECKS!$A$2:$A$1201,INDEX(_LEITURA!$P$2:$P$21,7),DECKS!$B$2:$B$1201,$A350))</f>
        <v/>
      </c>
      <c r="R350" s="19" t="str">
        <f aca="false">IF(OR($A350="",INDEX(_LEITURA!$Q$2:$Q$21,8)=0),"",SUMIFS(DECKS!$D$2:$D$1201,DECKS!$A$2:$A$1201,INDEX(_LEITURA!$P$2:$P$21,8),DECKS!$B$2:$B$1201,$A350))</f>
        <v/>
      </c>
      <c r="S350" s="19" t="str">
        <f aca="false">IF(OR($A350="",INDEX(_LEITURA!$Q$2:$Q$21,9)=0),"",SUMIFS(DECKS!$D$2:$D$1201,DECKS!$A$2:$A$1201,INDEX(_LEITURA!$P$2:$P$21,9),DECKS!$B$2:$B$1201,$A350))</f>
        <v/>
      </c>
      <c r="T350" s="19" t="str">
        <f aca="false">IF(OR($A350="",INDEX(_LEITURA!$Q$2:$Q$21,10)=0),"",SUMIFS(DECKS!$D$2:$D$1201,DECKS!$A$2:$A$1201,INDEX(_LEITURA!$P$2:$P$21,10),DECKS!$B$2:$B$1201,$A350))</f>
        <v/>
      </c>
      <c r="U350" s="19" t="str">
        <f aca="false">IF(OR($A350="",INDEX(_LEITURA!$Q$2:$Q$21,11)=0),"",SUMIFS(DECKS!$D$2:$D$1201,DECKS!$A$2:$A$1201,INDEX(_LEITURA!$P$2:$P$21,11),DECKS!$B$2:$B$1201,$A350))</f>
        <v/>
      </c>
      <c r="V350" s="19" t="str">
        <f aca="false">IF(OR($A350="",INDEX(_LEITURA!$Q$2:$Q$21,12)=0),"",SUMIFS(DECKS!$D$2:$D$1201,DECKS!$A$2:$A$1201,INDEX(_LEITURA!$P$2:$P$21,12),DECKS!$B$2:$B$1201,$A350))</f>
        <v/>
      </c>
      <c r="W350" s="19" t="str">
        <f aca="false">IF(OR($A350="",INDEX(_LEITURA!$Q$2:$Q$21,13)=0),"",SUMIFS(DECKS!$D$2:$D$1201,DECKS!$A$2:$A$1201,INDEX(_LEITURA!$P$2:$P$21,13),DECKS!$B$2:$B$1201,$A350))</f>
        <v/>
      </c>
      <c r="X350" s="19" t="str">
        <f aca="false">IF(OR($A350="",INDEX(_LEITURA!$Q$2:$Q$21,14)=0),"",SUMIFS(DECKS!$D$2:$D$1201,DECKS!$A$2:$A$1201,INDEX(_LEITURA!$P$2:$P$21,14),DECKS!$B$2:$B$1201,$A350))</f>
        <v/>
      </c>
      <c r="Y350" s="19" t="str">
        <f aca="false">IF(OR($A350="",INDEX(_LEITURA!$Q$2:$Q$21,15)=0),"",SUMIFS(DECKS!$D$2:$D$1201,DECKS!$A$2:$A$1201,INDEX(_LEITURA!$P$2:$P$21,15),DECKS!$B$2:$B$1201,$A350))</f>
        <v/>
      </c>
      <c r="Z350" s="19" t="str">
        <f aca="false">IF(OR($A350="",INDEX(_LEITURA!$Q$2:$Q$21,16)=0),"",SUMIFS(DECKS!$D$2:$D$1201,DECKS!$A$2:$A$1201,INDEX(_LEITURA!$P$2:$P$21,16),DECKS!$B$2:$B$1201,$A350))</f>
        <v/>
      </c>
      <c r="AA350" s="19" t="str">
        <f aca="false">IF(OR($A350="",INDEX(_LEITURA!$Q$2:$Q$21,17)=0),"",SUMIFS(DECKS!$D$2:$D$1201,DECKS!$A$2:$A$1201,INDEX(_LEITURA!$P$2:$P$21,17),DECKS!$B$2:$B$1201,$A350))</f>
        <v/>
      </c>
      <c r="AB350" s="19" t="str">
        <f aca="false">IF(OR($A350="",INDEX(_LEITURA!$Q$2:$Q$21,18)=0),"",SUMIFS(DECKS!$D$2:$D$1201,DECKS!$A$2:$A$1201,INDEX(_LEITURA!$P$2:$P$21,18),DECKS!$B$2:$B$1201,$A350))</f>
        <v/>
      </c>
      <c r="AC350" s="19" t="str">
        <f aca="false">IF(OR($A350="",INDEX(_LEITURA!$Q$2:$Q$21,19)=0),"",SUMIFS(DECKS!$D$2:$D$1201,DECKS!$A$2:$A$1201,INDEX(_LEITURA!$P$2:$P$21,19),DECKS!$B$2:$B$1201,$A350))</f>
        <v/>
      </c>
      <c r="AD350" s="19" t="str">
        <f aca="false">IF(OR($A350="",INDEX(_LEITURA!$Q$2:$Q$21,20)=0),"",SUMIFS(DECKS!$D$2:$D$1201,DECKS!$A$2:$A$1201,INDEX(_LEITURA!$P$2:$P$21,20),DECKS!$B$2:$B$1201,$A350))</f>
        <v/>
      </c>
      <c r="AE350" s="16" t="str">
        <f aca="false">IF(N(E350)&gt;0,MAX(AE$1:AE349)+1,"")</f>
        <v/>
      </c>
      <c r="AF350" s="11" t="str">
        <f aca="false">IF(A350="","",IFERROR(LEFT(A350,FIND("-",A350)-1),A350))</f>
        <v/>
      </c>
      <c r="AG350" s="11" t="str">
        <f aca="false">IF(AF350="","",IF(ISNUMBER(--MID(AF350,1,1)),0,IF(ISNUMBER(--MID(AF350,2,1)),1,IF(ISNUMBER(--MID(AF350,3,1)),2,IF(ISNUMBER(--MID(AF350,4,1)),3,MIN(LEN(AF350),4))))))</f>
        <v/>
      </c>
      <c r="AH350" s="11" t="str">
        <f aca="false">IF(A350="","",LEFT(AF350,AG350)&amp;REPT("0",4-AG350)&amp;RIGHT("000"&amp;IFERROR(VALUE(MID(AF350,AG350+1,9)),0),3)&amp;RIGHT("0000"&amp;IFERROR(VALUE(MID(A350,FIND("-",A350)+1,9)),0),4))</f>
        <v/>
      </c>
      <c r="AI350" s="11" t="str">
        <f aca="false">IF(OR(A350="",N(E350)&lt;=0),"",IF('FALTAS GERAL'!$M$1="Código","K"&amp;AH350&amp;RIGHT("00000"&amp;ROW(),5),IF('FALTAS GERAL'!$M$1="Nome","K"&amp;UPPER(SUBSTITUTE(SUBSTITUTE(SUBSTITUTE(B350,"*",""),"?",""),"~",""))&amp;"0"&amp;AH350&amp;RIGHT("00000"&amp;ROW(),5),IF('FALTAS GERAL'!$M$1="Falta (maior primeiro)","K"&amp;RIGHT("0000"&amp;(9999-E350),4)&amp;AH350&amp;RIGHT("00000"&amp;ROW(),5),IF('FALTAS GERAL'!$M$1="Nº de decks (maior primeiro)","K"&amp;RIGHT("00"&amp;(99-N(G350)),2)&amp;AH350&amp;RIGHT("00000"&amp;ROW(),5),"K"&amp;RIGHT("00000"&amp;ROW(),5))))))</f>
        <v/>
      </c>
      <c r="AJ350" s="11" t="str">
        <f aca="false">IF(AI350="","",COUNTIFS($AI$2:$AI$801,"&lt;"&amp;AI350,$E$2:$E$801,"&gt;0")+1)</f>
        <v/>
      </c>
      <c r="AK350" s="11" t="str">
        <f aca="false">IF(OR(A350="",N(E350)&lt;=0),"",COUNTIFS($AH$2:$AH$801,"&lt;"&amp;AH350,$E$2:$E$801,"&gt;0")+COUNTIFS($AH$2:AH350,AH350,$E$2:E350,"&gt;0"))</f>
        <v/>
      </c>
    </row>
    <row r="351" customFormat="false" ht="15" hidden="false" customHeight="false" outlineLevel="0" collapsed="false">
      <c r="A351" s="11" t="str">
        <f aca="false">IF(INVENTÁRIO!A351="","",INVENTÁRIO!A351)</f>
        <v/>
      </c>
      <c r="B351" s="11" t="str">
        <f aca="false">IF(A351="","",INVENTÁRIO!B351)</f>
        <v/>
      </c>
      <c r="C351" s="16" t="str">
        <f aca="false">IF(A351="","",INVENTÁRIO!C351)</f>
        <v/>
      </c>
      <c r="D351" s="14" t="str">
        <f aca="false">IF(A351="","",MAX(K351:AD351))</f>
        <v/>
      </c>
      <c r="E351" s="14" t="str">
        <f aca="false">IF(A351="","",MAX(0,D351-C351))</f>
        <v/>
      </c>
      <c r="F351" s="16" t="str">
        <f aca="false">IF(A351="","",IF(D351=0,"Fora dos decks",IF(E351=0,"Completo","Falta")))</f>
        <v/>
      </c>
      <c r="G351" s="16" t="str">
        <f aca="false">IF(A351="","",COUNTIF(K351:AD351,"&gt;0"))</f>
        <v/>
      </c>
      <c r="H351" s="16" t="str">
        <f aca="false">IF(A351="","",IF(G351&gt;1,"Sim",""))</f>
        <v/>
      </c>
      <c r="I351" s="18" t="str">
        <f aca="false">IF(A351="","",SUMIFS(DECKS!$D$2:$D$1201,DECKS!$B$2:$B$1201,A351))</f>
        <v/>
      </c>
      <c r="J351" s="18" t="str">
        <f aca="false">IF(A351="","",MAX(0,I351-C351))</f>
        <v/>
      </c>
      <c r="K351" s="19" t="str">
        <f aca="false">IF(OR($A351="",INDEX(_LEITURA!$Q$2:$Q$21,1)=0),"",SUMIFS(DECKS!$D$2:$D$1201,DECKS!$A$2:$A$1201,INDEX(_LEITURA!$P$2:$P$21,1),DECKS!$B$2:$B$1201,$A351))</f>
        <v/>
      </c>
      <c r="L351" s="19" t="str">
        <f aca="false">IF(OR($A351="",INDEX(_LEITURA!$Q$2:$Q$21,2)=0),"",SUMIFS(DECKS!$D$2:$D$1201,DECKS!$A$2:$A$1201,INDEX(_LEITURA!$P$2:$P$21,2),DECKS!$B$2:$B$1201,$A351))</f>
        <v/>
      </c>
      <c r="M351" s="19" t="str">
        <f aca="false">IF(OR($A351="",INDEX(_LEITURA!$Q$2:$Q$21,3)=0),"",SUMIFS(DECKS!$D$2:$D$1201,DECKS!$A$2:$A$1201,INDEX(_LEITURA!$P$2:$P$21,3),DECKS!$B$2:$B$1201,$A351))</f>
        <v/>
      </c>
      <c r="N351" s="19" t="str">
        <f aca="false">IF(OR($A351="",INDEX(_LEITURA!$Q$2:$Q$21,4)=0),"",SUMIFS(DECKS!$D$2:$D$1201,DECKS!$A$2:$A$1201,INDEX(_LEITURA!$P$2:$P$21,4),DECKS!$B$2:$B$1201,$A351))</f>
        <v/>
      </c>
      <c r="O351" s="19" t="str">
        <f aca="false">IF(OR($A351="",INDEX(_LEITURA!$Q$2:$Q$21,5)=0),"",SUMIFS(DECKS!$D$2:$D$1201,DECKS!$A$2:$A$1201,INDEX(_LEITURA!$P$2:$P$21,5),DECKS!$B$2:$B$1201,$A351))</f>
        <v/>
      </c>
      <c r="P351" s="19" t="str">
        <f aca="false">IF(OR($A351="",INDEX(_LEITURA!$Q$2:$Q$21,6)=0),"",SUMIFS(DECKS!$D$2:$D$1201,DECKS!$A$2:$A$1201,INDEX(_LEITURA!$P$2:$P$21,6),DECKS!$B$2:$B$1201,$A351))</f>
        <v/>
      </c>
      <c r="Q351" s="19" t="str">
        <f aca="false">IF(OR($A351="",INDEX(_LEITURA!$Q$2:$Q$21,7)=0),"",SUMIFS(DECKS!$D$2:$D$1201,DECKS!$A$2:$A$1201,INDEX(_LEITURA!$P$2:$P$21,7),DECKS!$B$2:$B$1201,$A351))</f>
        <v/>
      </c>
      <c r="R351" s="19" t="str">
        <f aca="false">IF(OR($A351="",INDEX(_LEITURA!$Q$2:$Q$21,8)=0),"",SUMIFS(DECKS!$D$2:$D$1201,DECKS!$A$2:$A$1201,INDEX(_LEITURA!$P$2:$P$21,8),DECKS!$B$2:$B$1201,$A351))</f>
        <v/>
      </c>
      <c r="S351" s="19" t="str">
        <f aca="false">IF(OR($A351="",INDEX(_LEITURA!$Q$2:$Q$21,9)=0),"",SUMIFS(DECKS!$D$2:$D$1201,DECKS!$A$2:$A$1201,INDEX(_LEITURA!$P$2:$P$21,9),DECKS!$B$2:$B$1201,$A351))</f>
        <v/>
      </c>
      <c r="T351" s="19" t="str">
        <f aca="false">IF(OR($A351="",INDEX(_LEITURA!$Q$2:$Q$21,10)=0),"",SUMIFS(DECKS!$D$2:$D$1201,DECKS!$A$2:$A$1201,INDEX(_LEITURA!$P$2:$P$21,10),DECKS!$B$2:$B$1201,$A351))</f>
        <v/>
      </c>
      <c r="U351" s="19" t="str">
        <f aca="false">IF(OR($A351="",INDEX(_LEITURA!$Q$2:$Q$21,11)=0),"",SUMIFS(DECKS!$D$2:$D$1201,DECKS!$A$2:$A$1201,INDEX(_LEITURA!$P$2:$P$21,11),DECKS!$B$2:$B$1201,$A351))</f>
        <v/>
      </c>
      <c r="V351" s="19" t="str">
        <f aca="false">IF(OR($A351="",INDEX(_LEITURA!$Q$2:$Q$21,12)=0),"",SUMIFS(DECKS!$D$2:$D$1201,DECKS!$A$2:$A$1201,INDEX(_LEITURA!$P$2:$P$21,12),DECKS!$B$2:$B$1201,$A351))</f>
        <v/>
      </c>
      <c r="W351" s="19" t="str">
        <f aca="false">IF(OR($A351="",INDEX(_LEITURA!$Q$2:$Q$21,13)=0),"",SUMIFS(DECKS!$D$2:$D$1201,DECKS!$A$2:$A$1201,INDEX(_LEITURA!$P$2:$P$21,13),DECKS!$B$2:$B$1201,$A351))</f>
        <v/>
      </c>
      <c r="X351" s="19" t="str">
        <f aca="false">IF(OR($A351="",INDEX(_LEITURA!$Q$2:$Q$21,14)=0),"",SUMIFS(DECKS!$D$2:$D$1201,DECKS!$A$2:$A$1201,INDEX(_LEITURA!$P$2:$P$21,14),DECKS!$B$2:$B$1201,$A351))</f>
        <v/>
      </c>
      <c r="Y351" s="19" t="str">
        <f aca="false">IF(OR($A351="",INDEX(_LEITURA!$Q$2:$Q$21,15)=0),"",SUMIFS(DECKS!$D$2:$D$1201,DECKS!$A$2:$A$1201,INDEX(_LEITURA!$P$2:$P$21,15),DECKS!$B$2:$B$1201,$A351))</f>
        <v/>
      </c>
      <c r="Z351" s="19" t="str">
        <f aca="false">IF(OR($A351="",INDEX(_LEITURA!$Q$2:$Q$21,16)=0),"",SUMIFS(DECKS!$D$2:$D$1201,DECKS!$A$2:$A$1201,INDEX(_LEITURA!$P$2:$P$21,16),DECKS!$B$2:$B$1201,$A351))</f>
        <v/>
      </c>
      <c r="AA351" s="19" t="str">
        <f aca="false">IF(OR($A351="",INDEX(_LEITURA!$Q$2:$Q$21,17)=0),"",SUMIFS(DECKS!$D$2:$D$1201,DECKS!$A$2:$A$1201,INDEX(_LEITURA!$P$2:$P$21,17),DECKS!$B$2:$B$1201,$A351))</f>
        <v/>
      </c>
      <c r="AB351" s="19" t="str">
        <f aca="false">IF(OR($A351="",INDEX(_LEITURA!$Q$2:$Q$21,18)=0),"",SUMIFS(DECKS!$D$2:$D$1201,DECKS!$A$2:$A$1201,INDEX(_LEITURA!$P$2:$P$21,18),DECKS!$B$2:$B$1201,$A351))</f>
        <v/>
      </c>
      <c r="AC351" s="19" t="str">
        <f aca="false">IF(OR($A351="",INDEX(_LEITURA!$Q$2:$Q$21,19)=0),"",SUMIFS(DECKS!$D$2:$D$1201,DECKS!$A$2:$A$1201,INDEX(_LEITURA!$P$2:$P$21,19),DECKS!$B$2:$B$1201,$A351))</f>
        <v/>
      </c>
      <c r="AD351" s="19" t="str">
        <f aca="false">IF(OR($A351="",INDEX(_LEITURA!$Q$2:$Q$21,20)=0),"",SUMIFS(DECKS!$D$2:$D$1201,DECKS!$A$2:$A$1201,INDEX(_LEITURA!$P$2:$P$21,20),DECKS!$B$2:$B$1201,$A351))</f>
        <v/>
      </c>
      <c r="AE351" s="16" t="str">
        <f aca="false">IF(N(E351)&gt;0,MAX(AE$1:AE350)+1,"")</f>
        <v/>
      </c>
      <c r="AF351" s="11" t="str">
        <f aca="false">IF(A351="","",IFERROR(LEFT(A351,FIND("-",A351)-1),A351))</f>
        <v/>
      </c>
      <c r="AG351" s="11" t="str">
        <f aca="false">IF(AF351="","",IF(ISNUMBER(--MID(AF351,1,1)),0,IF(ISNUMBER(--MID(AF351,2,1)),1,IF(ISNUMBER(--MID(AF351,3,1)),2,IF(ISNUMBER(--MID(AF351,4,1)),3,MIN(LEN(AF351),4))))))</f>
        <v/>
      </c>
      <c r="AH351" s="11" t="str">
        <f aca="false">IF(A351="","",LEFT(AF351,AG351)&amp;REPT("0",4-AG351)&amp;RIGHT("000"&amp;IFERROR(VALUE(MID(AF351,AG351+1,9)),0),3)&amp;RIGHT("0000"&amp;IFERROR(VALUE(MID(A351,FIND("-",A351)+1,9)),0),4))</f>
        <v/>
      </c>
      <c r="AI351" s="11" t="str">
        <f aca="false">IF(OR(A351="",N(E351)&lt;=0),"",IF('FALTAS GERAL'!$M$1="Código","K"&amp;AH351&amp;RIGHT("00000"&amp;ROW(),5),IF('FALTAS GERAL'!$M$1="Nome","K"&amp;UPPER(SUBSTITUTE(SUBSTITUTE(SUBSTITUTE(B351,"*",""),"?",""),"~",""))&amp;"0"&amp;AH351&amp;RIGHT("00000"&amp;ROW(),5),IF('FALTAS GERAL'!$M$1="Falta (maior primeiro)","K"&amp;RIGHT("0000"&amp;(9999-E351),4)&amp;AH351&amp;RIGHT("00000"&amp;ROW(),5),IF('FALTAS GERAL'!$M$1="Nº de decks (maior primeiro)","K"&amp;RIGHT("00"&amp;(99-N(G351)),2)&amp;AH351&amp;RIGHT("00000"&amp;ROW(),5),"K"&amp;RIGHT("00000"&amp;ROW(),5))))))</f>
        <v/>
      </c>
      <c r="AJ351" s="11" t="str">
        <f aca="false">IF(AI351="","",COUNTIFS($AI$2:$AI$801,"&lt;"&amp;AI351,$E$2:$E$801,"&gt;0")+1)</f>
        <v/>
      </c>
      <c r="AK351" s="11" t="str">
        <f aca="false">IF(OR(A351="",N(E351)&lt;=0),"",COUNTIFS($AH$2:$AH$801,"&lt;"&amp;AH351,$E$2:$E$801,"&gt;0")+COUNTIFS($AH$2:AH351,AH351,$E$2:E351,"&gt;0"))</f>
        <v/>
      </c>
    </row>
    <row r="352" customFormat="false" ht="15" hidden="false" customHeight="false" outlineLevel="0" collapsed="false">
      <c r="A352" s="11" t="str">
        <f aca="false">IF(INVENTÁRIO!A352="","",INVENTÁRIO!A352)</f>
        <v/>
      </c>
      <c r="B352" s="11" t="str">
        <f aca="false">IF(A352="","",INVENTÁRIO!B352)</f>
        <v/>
      </c>
      <c r="C352" s="16" t="str">
        <f aca="false">IF(A352="","",INVENTÁRIO!C352)</f>
        <v/>
      </c>
      <c r="D352" s="14" t="str">
        <f aca="false">IF(A352="","",MAX(K352:AD352))</f>
        <v/>
      </c>
      <c r="E352" s="14" t="str">
        <f aca="false">IF(A352="","",MAX(0,D352-C352))</f>
        <v/>
      </c>
      <c r="F352" s="16" t="str">
        <f aca="false">IF(A352="","",IF(D352=0,"Fora dos decks",IF(E352=0,"Completo","Falta")))</f>
        <v/>
      </c>
      <c r="G352" s="16" t="str">
        <f aca="false">IF(A352="","",COUNTIF(K352:AD352,"&gt;0"))</f>
        <v/>
      </c>
      <c r="H352" s="16" t="str">
        <f aca="false">IF(A352="","",IF(G352&gt;1,"Sim",""))</f>
        <v/>
      </c>
      <c r="I352" s="18" t="str">
        <f aca="false">IF(A352="","",SUMIFS(DECKS!$D$2:$D$1201,DECKS!$B$2:$B$1201,A352))</f>
        <v/>
      </c>
      <c r="J352" s="18" t="str">
        <f aca="false">IF(A352="","",MAX(0,I352-C352))</f>
        <v/>
      </c>
      <c r="K352" s="19" t="str">
        <f aca="false">IF(OR($A352="",INDEX(_LEITURA!$Q$2:$Q$21,1)=0),"",SUMIFS(DECKS!$D$2:$D$1201,DECKS!$A$2:$A$1201,INDEX(_LEITURA!$P$2:$P$21,1),DECKS!$B$2:$B$1201,$A352))</f>
        <v/>
      </c>
      <c r="L352" s="19" t="str">
        <f aca="false">IF(OR($A352="",INDEX(_LEITURA!$Q$2:$Q$21,2)=0),"",SUMIFS(DECKS!$D$2:$D$1201,DECKS!$A$2:$A$1201,INDEX(_LEITURA!$P$2:$P$21,2),DECKS!$B$2:$B$1201,$A352))</f>
        <v/>
      </c>
      <c r="M352" s="19" t="str">
        <f aca="false">IF(OR($A352="",INDEX(_LEITURA!$Q$2:$Q$21,3)=0),"",SUMIFS(DECKS!$D$2:$D$1201,DECKS!$A$2:$A$1201,INDEX(_LEITURA!$P$2:$P$21,3),DECKS!$B$2:$B$1201,$A352))</f>
        <v/>
      </c>
      <c r="N352" s="19" t="str">
        <f aca="false">IF(OR($A352="",INDEX(_LEITURA!$Q$2:$Q$21,4)=0),"",SUMIFS(DECKS!$D$2:$D$1201,DECKS!$A$2:$A$1201,INDEX(_LEITURA!$P$2:$P$21,4),DECKS!$B$2:$B$1201,$A352))</f>
        <v/>
      </c>
      <c r="O352" s="19" t="str">
        <f aca="false">IF(OR($A352="",INDEX(_LEITURA!$Q$2:$Q$21,5)=0),"",SUMIFS(DECKS!$D$2:$D$1201,DECKS!$A$2:$A$1201,INDEX(_LEITURA!$P$2:$P$21,5),DECKS!$B$2:$B$1201,$A352))</f>
        <v/>
      </c>
      <c r="P352" s="19" t="str">
        <f aca="false">IF(OR($A352="",INDEX(_LEITURA!$Q$2:$Q$21,6)=0),"",SUMIFS(DECKS!$D$2:$D$1201,DECKS!$A$2:$A$1201,INDEX(_LEITURA!$P$2:$P$21,6),DECKS!$B$2:$B$1201,$A352))</f>
        <v/>
      </c>
      <c r="Q352" s="19" t="str">
        <f aca="false">IF(OR($A352="",INDEX(_LEITURA!$Q$2:$Q$21,7)=0),"",SUMIFS(DECKS!$D$2:$D$1201,DECKS!$A$2:$A$1201,INDEX(_LEITURA!$P$2:$P$21,7),DECKS!$B$2:$B$1201,$A352))</f>
        <v/>
      </c>
      <c r="R352" s="19" t="str">
        <f aca="false">IF(OR($A352="",INDEX(_LEITURA!$Q$2:$Q$21,8)=0),"",SUMIFS(DECKS!$D$2:$D$1201,DECKS!$A$2:$A$1201,INDEX(_LEITURA!$P$2:$P$21,8),DECKS!$B$2:$B$1201,$A352))</f>
        <v/>
      </c>
      <c r="S352" s="19" t="str">
        <f aca="false">IF(OR($A352="",INDEX(_LEITURA!$Q$2:$Q$21,9)=0),"",SUMIFS(DECKS!$D$2:$D$1201,DECKS!$A$2:$A$1201,INDEX(_LEITURA!$P$2:$P$21,9),DECKS!$B$2:$B$1201,$A352))</f>
        <v/>
      </c>
      <c r="T352" s="19" t="str">
        <f aca="false">IF(OR($A352="",INDEX(_LEITURA!$Q$2:$Q$21,10)=0),"",SUMIFS(DECKS!$D$2:$D$1201,DECKS!$A$2:$A$1201,INDEX(_LEITURA!$P$2:$P$21,10),DECKS!$B$2:$B$1201,$A352))</f>
        <v/>
      </c>
      <c r="U352" s="19" t="str">
        <f aca="false">IF(OR($A352="",INDEX(_LEITURA!$Q$2:$Q$21,11)=0),"",SUMIFS(DECKS!$D$2:$D$1201,DECKS!$A$2:$A$1201,INDEX(_LEITURA!$P$2:$P$21,11),DECKS!$B$2:$B$1201,$A352))</f>
        <v/>
      </c>
      <c r="V352" s="19" t="str">
        <f aca="false">IF(OR($A352="",INDEX(_LEITURA!$Q$2:$Q$21,12)=0),"",SUMIFS(DECKS!$D$2:$D$1201,DECKS!$A$2:$A$1201,INDEX(_LEITURA!$P$2:$P$21,12),DECKS!$B$2:$B$1201,$A352))</f>
        <v/>
      </c>
      <c r="W352" s="19" t="str">
        <f aca="false">IF(OR($A352="",INDEX(_LEITURA!$Q$2:$Q$21,13)=0),"",SUMIFS(DECKS!$D$2:$D$1201,DECKS!$A$2:$A$1201,INDEX(_LEITURA!$P$2:$P$21,13),DECKS!$B$2:$B$1201,$A352))</f>
        <v/>
      </c>
      <c r="X352" s="19" t="str">
        <f aca="false">IF(OR($A352="",INDEX(_LEITURA!$Q$2:$Q$21,14)=0),"",SUMIFS(DECKS!$D$2:$D$1201,DECKS!$A$2:$A$1201,INDEX(_LEITURA!$P$2:$P$21,14),DECKS!$B$2:$B$1201,$A352))</f>
        <v/>
      </c>
      <c r="Y352" s="19" t="str">
        <f aca="false">IF(OR($A352="",INDEX(_LEITURA!$Q$2:$Q$21,15)=0),"",SUMIFS(DECKS!$D$2:$D$1201,DECKS!$A$2:$A$1201,INDEX(_LEITURA!$P$2:$P$21,15),DECKS!$B$2:$B$1201,$A352))</f>
        <v/>
      </c>
      <c r="Z352" s="19" t="str">
        <f aca="false">IF(OR($A352="",INDEX(_LEITURA!$Q$2:$Q$21,16)=0),"",SUMIFS(DECKS!$D$2:$D$1201,DECKS!$A$2:$A$1201,INDEX(_LEITURA!$P$2:$P$21,16),DECKS!$B$2:$B$1201,$A352))</f>
        <v/>
      </c>
      <c r="AA352" s="19" t="str">
        <f aca="false">IF(OR($A352="",INDEX(_LEITURA!$Q$2:$Q$21,17)=0),"",SUMIFS(DECKS!$D$2:$D$1201,DECKS!$A$2:$A$1201,INDEX(_LEITURA!$P$2:$P$21,17),DECKS!$B$2:$B$1201,$A352))</f>
        <v/>
      </c>
      <c r="AB352" s="19" t="str">
        <f aca="false">IF(OR($A352="",INDEX(_LEITURA!$Q$2:$Q$21,18)=0),"",SUMIFS(DECKS!$D$2:$D$1201,DECKS!$A$2:$A$1201,INDEX(_LEITURA!$P$2:$P$21,18),DECKS!$B$2:$B$1201,$A352))</f>
        <v/>
      </c>
      <c r="AC352" s="19" t="str">
        <f aca="false">IF(OR($A352="",INDEX(_LEITURA!$Q$2:$Q$21,19)=0),"",SUMIFS(DECKS!$D$2:$D$1201,DECKS!$A$2:$A$1201,INDEX(_LEITURA!$P$2:$P$21,19),DECKS!$B$2:$B$1201,$A352))</f>
        <v/>
      </c>
      <c r="AD352" s="19" t="str">
        <f aca="false">IF(OR($A352="",INDEX(_LEITURA!$Q$2:$Q$21,20)=0),"",SUMIFS(DECKS!$D$2:$D$1201,DECKS!$A$2:$A$1201,INDEX(_LEITURA!$P$2:$P$21,20),DECKS!$B$2:$B$1201,$A352))</f>
        <v/>
      </c>
      <c r="AE352" s="16" t="str">
        <f aca="false">IF(N(E352)&gt;0,MAX(AE$1:AE351)+1,"")</f>
        <v/>
      </c>
      <c r="AF352" s="11" t="str">
        <f aca="false">IF(A352="","",IFERROR(LEFT(A352,FIND("-",A352)-1),A352))</f>
        <v/>
      </c>
      <c r="AG352" s="11" t="str">
        <f aca="false">IF(AF352="","",IF(ISNUMBER(--MID(AF352,1,1)),0,IF(ISNUMBER(--MID(AF352,2,1)),1,IF(ISNUMBER(--MID(AF352,3,1)),2,IF(ISNUMBER(--MID(AF352,4,1)),3,MIN(LEN(AF352),4))))))</f>
        <v/>
      </c>
      <c r="AH352" s="11" t="str">
        <f aca="false">IF(A352="","",LEFT(AF352,AG352)&amp;REPT("0",4-AG352)&amp;RIGHT("000"&amp;IFERROR(VALUE(MID(AF352,AG352+1,9)),0),3)&amp;RIGHT("0000"&amp;IFERROR(VALUE(MID(A352,FIND("-",A352)+1,9)),0),4))</f>
        <v/>
      </c>
      <c r="AI352" s="11" t="str">
        <f aca="false">IF(OR(A352="",N(E352)&lt;=0),"",IF('FALTAS GERAL'!$M$1="Código","K"&amp;AH352&amp;RIGHT("00000"&amp;ROW(),5),IF('FALTAS GERAL'!$M$1="Nome","K"&amp;UPPER(SUBSTITUTE(SUBSTITUTE(SUBSTITUTE(B352,"*",""),"?",""),"~",""))&amp;"0"&amp;AH352&amp;RIGHT("00000"&amp;ROW(),5),IF('FALTAS GERAL'!$M$1="Falta (maior primeiro)","K"&amp;RIGHT("0000"&amp;(9999-E352),4)&amp;AH352&amp;RIGHT("00000"&amp;ROW(),5),IF('FALTAS GERAL'!$M$1="Nº de decks (maior primeiro)","K"&amp;RIGHT("00"&amp;(99-N(G352)),2)&amp;AH352&amp;RIGHT("00000"&amp;ROW(),5),"K"&amp;RIGHT("00000"&amp;ROW(),5))))))</f>
        <v/>
      </c>
      <c r="AJ352" s="11" t="str">
        <f aca="false">IF(AI352="","",COUNTIFS($AI$2:$AI$801,"&lt;"&amp;AI352,$E$2:$E$801,"&gt;0")+1)</f>
        <v/>
      </c>
      <c r="AK352" s="11" t="str">
        <f aca="false">IF(OR(A352="",N(E352)&lt;=0),"",COUNTIFS($AH$2:$AH$801,"&lt;"&amp;AH352,$E$2:$E$801,"&gt;0")+COUNTIFS($AH$2:AH352,AH352,$E$2:E352,"&gt;0"))</f>
        <v/>
      </c>
    </row>
    <row r="353" customFormat="false" ht="15" hidden="false" customHeight="false" outlineLevel="0" collapsed="false">
      <c r="A353" s="11" t="str">
        <f aca="false">IF(INVENTÁRIO!A353="","",INVENTÁRIO!A353)</f>
        <v/>
      </c>
      <c r="B353" s="11" t="str">
        <f aca="false">IF(A353="","",INVENTÁRIO!B353)</f>
        <v/>
      </c>
      <c r="C353" s="16" t="str">
        <f aca="false">IF(A353="","",INVENTÁRIO!C353)</f>
        <v/>
      </c>
      <c r="D353" s="14" t="str">
        <f aca="false">IF(A353="","",MAX(K353:AD353))</f>
        <v/>
      </c>
      <c r="E353" s="14" t="str">
        <f aca="false">IF(A353="","",MAX(0,D353-C353))</f>
        <v/>
      </c>
      <c r="F353" s="16" t="str">
        <f aca="false">IF(A353="","",IF(D353=0,"Fora dos decks",IF(E353=0,"Completo","Falta")))</f>
        <v/>
      </c>
      <c r="G353" s="16" t="str">
        <f aca="false">IF(A353="","",COUNTIF(K353:AD353,"&gt;0"))</f>
        <v/>
      </c>
      <c r="H353" s="16" t="str">
        <f aca="false">IF(A353="","",IF(G353&gt;1,"Sim",""))</f>
        <v/>
      </c>
      <c r="I353" s="18" t="str">
        <f aca="false">IF(A353="","",SUMIFS(DECKS!$D$2:$D$1201,DECKS!$B$2:$B$1201,A353))</f>
        <v/>
      </c>
      <c r="J353" s="18" t="str">
        <f aca="false">IF(A353="","",MAX(0,I353-C353))</f>
        <v/>
      </c>
      <c r="K353" s="19" t="str">
        <f aca="false">IF(OR($A353="",INDEX(_LEITURA!$Q$2:$Q$21,1)=0),"",SUMIFS(DECKS!$D$2:$D$1201,DECKS!$A$2:$A$1201,INDEX(_LEITURA!$P$2:$P$21,1),DECKS!$B$2:$B$1201,$A353))</f>
        <v/>
      </c>
      <c r="L353" s="19" t="str">
        <f aca="false">IF(OR($A353="",INDEX(_LEITURA!$Q$2:$Q$21,2)=0),"",SUMIFS(DECKS!$D$2:$D$1201,DECKS!$A$2:$A$1201,INDEX(_LEITURA!$P$2:$P$21,2),DECKS!$B$2:$B$1201,$A353))</f>
        <v/>
      </c>
      <c r="M353" s="19" t="str">
        <f aca="false">IF(OR($A353="",INDEX(_LEITURA!$Q$2:$Q$21,3)=0),"",SUMIFS(DECKS!$D$2:$D$1201,DECKS!$A$2:$A$1201,INDEX(_LEITURA!$P$2:$P$21,3),DECKS!$B$2:$B$1201,$A353))</f>
        <v/>
      </c>
      <c r="N353" s="19" t="str">
        <f aca="false">IF(OR($A353="",INDEX(_LEITURA!$Q$2:$Q$21,4)=0),"",SUMIFS(DECKS!$D$2:$D$1201,DECKS!$A$2:$A$1201,INDEX(_LEITURA!$P$2:$P$21,4),DECKS!$B$2:$B$1201,$A353))</f>
        <v/>
      </c>
      <c r="O353" s="19" t="str">
        <f aca="false">IF(OR($A353="",INDEX(_LEITURA!$Q$2:$Q$21,5)=0),"",SUMIFS(DECKS!$D$2:$D$1201,DECKS!$A$2:$A$1201,INDEX(_LEITURA!$P$2:$P$21,5),DECKS!$B$2:$B$1201,$A353))</f>
        <v/>
      </c>
      <c r="P353" s="19" t="str">
        <f aca="false">IF(OR($A353="",INDEX(_LEITURA!$Q$2:$Q$21,6)=0),"",SUMIFS(DECKS!$D$2:$D$1201,DECKS!$A$2:$A$1201,INDEX(_LEITURA!$P$2:$P$21,6),DECKS!$B$2:$B$1201,$A353))</f>
        <v/>
      </c>
      <c r="Q353" s="19" t="str">
        <f aca="false">IF(OR($A353="",INDEX(_LEITURA!$Q$2:$Q$21,7)=0),"",SUMIFS(DECKS!$D$2:$D$1201,DECKS!$A$2:$A$1201,INDEX(_LEITURA!$P$2:$P$21,7),DECKS!$B$2:$B$1201,$A353))</f>
        <v/>
      </c>
      <c r="R353" s="19" t="str">
        <f aca="false">IF(OR($A353="",INDEX(_LEITURA!$Q$2:$Q$21,8)=0),"",SUMIFS(DECKS!$D$2:$D$1201,DECKS!$A$2:$A$1201,INDEX(_LEITURA!$P$2:$P$21,8),DECKS!$B$2:$B$1201,$A353))</f>
        <v/>
      </c>
      <c r="S353" s="19" t="str">
        <f aca="false">IF(OR($A353="",INDEX(_LEITURA!$Q$2:$Q$21,9)=0),"",SUMIFS(DECKS!$D$2:$D$1201,DECKS!$A$2:$A$1201,INDEX(_LEITURA!$P$2:$P$21,9),DECKS!$B$2:$B$1201,$A353))</f>
        <v/>
      </c>
      <c r="T353" s="19" t="str">
        <f aca="false">IF(OR($A353="",INDEX(_LEITURA!$Q$2:$Q$21,10)=0),"",SUMIFS(DECKS!$D$2:$D$1201,DECKS!$A$2:$A$1201,INDEX(_LEITURA!$P$2:$P$21,10),DECKS!$B$2:$B$1201,$A353))</f>
        <v/>
      </c>
      <c r="U353" s="19" t="str">
        <f aca="false">IF(OR($A353="",INDEX(_LEITURA!$Q$2:$Q$21,11)=0),"",SUMIFS(DECKS!$D$2:$D$1201,DECKS!$A$2:$A$1201,INDEX(_LEITURA!$P$2:$P$21,11),DECKS!$B$2:$B$1201,$A353))</f>
        <v/>
      </c>
      <c r="V353" s="19" t="str">
        <f aca="false">IF(OR($A353="",INDEX(_LEITURA!$Q$2:$Q$21,12)=0),"",SUMIFS(DECKS!$D$2:$D$1201,DECKS!$A$2:$A$1201,INDEX(_LEITURA!$P$2:$P$21,12),DECKS!$B$2:$B$1201,$A353))</f>
        <v/>
      </c>
      <c r="W353" s="19" t="str">
        <f aca="false">IF(OR($A353="",INDEX(_LEITURA!$Q$2:$Q$21,13)=0),"",SUMIFS(DECKS!$D$2:$D$1201,DECKS!$A$2:$A$1201,INDEX(_LEITURA!$P$2:$P$21,13),DECKS!$B$2:$B$1201,$A353))</f>
        <v/>
      </c>
      <c r="X353" s="19" t="str">
        <f aca="false">IF(OR($A353="",INDEX(_LEITURA!$Q$2:$Q$21,14)=0),"",SUMIFS(DECKS!$D$2:$D$1201,DECKS!$A$2:$A$1201,INDEX(_LEITURA!$P$2:$P$21,14),DECKS!$B$2:$B$1201,$A353))</f>
        <v/>
      </c>
      <c r="Y353" s="19" t="str">
        <f aca="false">IF(OR($A353="",INDEX(_LEITURA!$Q$2:$Q$21,15)=0),"",SUMIFS(DECKS!$D$2:$D$1201,DECKS!$A$2:$A$1201,INDEX(_LEITURA!$P$2:$P$21,15),DECKS!$B$2:$B$1201,$A353))</f>
        <v/>
      </c>
      <c r="Z353" s="19" t="str">
        <f aca="false">IF(OR($A353="",INDEX(_LEITURA!$Q$2:$Q$21,16)=0),"",SUMIFS(DECKS!$D$2:$D$1201,DECKS!$A$2:$A$1201,INDEX(_LEITURA!$P$2:$P$21,16),DECKS!$B$2:$B$1201,$A353))</f>
        <v/>
      </c>
      <c r="AA353" s="19" t="str">
        <f aca="false">IF(OR($A353="",INDEX(_LEITURA!$Q$2:$Q$21,17)=0),"",SUMIFS(DECKS!$D$2:$D$1201,DECKS!$A$2:$A$1201,INDEX(_LEITURA!$P$2:$P$21,17),DECKS!$B$2:$B$1201,$A353))</f>
        <v/>
      </c>
      <c r="AB353" s="19" t="str">
        <f aca="false">IF(OR($A353="",INDEX(_LEITURA!$Q$2:$Q$21,18)=0),"",SUMIFS(DECKS!$D$2:$D$1201,DECKS!$A$2:$A$1201,INDEX(_LEITURA!$P$2:$P$21,18),DECKS!$B$2:$B$1201,$A353))</f>
        <v/>
      </c>
      <c r="AC353" s="19" t="str">
        <f aca="false">IF(OR($A353="",INDEX(_LEITURA!$Q$2:$Q$21,19)=0),"",SUMIFS(DECKS!$D$2:$D$1201,DECKS!$A$2:$A$1201,INDEX(_LEITURA!$P$2:$P$21,19),DECKS!$B$2:$B$1201,$A353))</f>
        <v/>
      </c>
      <c r="AD353" s="19" t="str">
        <f aca="false">IF(OR($A353="",INDEX(_LEITURA!$Q$2:$Q$21,20)=0),"",SUMIFS(DECKS!$D$2:$D$1201,DECKS!$A$2:$A$1201,INDEX(_LEITURA!$P$2:$P$21,20),DECKS!$B$2:$B$1201,$A353))</f>
        <v/>
      </c>
      <c r="AE353" s="16" t="str">
        <f aca="false">IF(N(E353)&gt;0,MAX(AE$1:AE352)+1,"")</f>
        <v/>
      </c>
      <c r="AF353" s="11" t="str">
        <f aca="false">IF(A353="","",IFERROR(LEFT(A353,FIND("-",A353)-1),A353))</f>
        <v/>
      </c>
      <c r="AG353" s="11" t="str">
        <f aca="false">IF(AF353="","",IF(ISNUMBER(--MID(AF353,1,1)),0,IF(ISNUMBER(--MID(AF353,2,1)),1,IF(ISNUMBER(--MID(AF353,3,1)),2,IF(ISNUMBER(--MID(AF353,4,1)),3,MIN(LEN(AF353),4))))))</f>
        <v/>
      </c>
      <c r="AH353" s="11" t="str">
        <f aca="false">IF(A353="","",LEFT(AF353,AG353)&amp;REPT("0",4-AG353)&amp;RIGHT("000"&amp;IFERROR(VALUE(MID(AF353,AG353+1,9)),0),3)&amp;RIGHT("0000"&amp;IFERROR(VALUE(MID(A353,FIND("-",A353)+1,9)),0),4))</f>
        <v/>
      </c>
      <c r="AI353" s="11" t="str">
        <f aca="false">IF(OR(A353="",N(E353)&lt;=0),"",IF('FALTAS GERAL'!$M$1="Código","K"&amp;AH353&amp;RIGHT("00000"&amp;ROW(),5),IF('FALTAS GERAL'!$M$1="Nome","K"&amp;UPPER(SUBSTITUTE(SUBSTITUTE(SUBSTITUTE(B353,"*",""),"?",""),"~",""))&amp;"0"&amp;AH353&amp;RIGHT("00000"&amp;ROW(),5),IF('FALTAS GERAL'!$M$1="Falta (maior primeiro)","K"&amp;RIGHT("0000"&amp;(9999-E353),4)&amp;AH353&amp;RIGHT("00000"&amp;ROW(),5),IF('FALTAS GERAL'!$M$1="Nº de decks (maior primeiro)","K"&amp;RIGHT("00"&amp;(99-N(G353)),2)&amp;AH353&amp;RIGHT("00000"&amp;ROW(),5),"K"&amp;RIGHT("00000"&amp;ROW(),5))))))</f>
        <v/>
      </c>
      <c r="AJ353" s="11" t="str">
        <f aca="false">IF(AI353="","",COUNTIFS($AI$2:$AI$801,"&lt;"&amp;AI353,$E$2:$E$801,"&gt;0")+1)</f>
        <v/>
      </c>
      <c r="AK353" s="11" t="str">
        <f aca="false">IF(OR(A353="",N(E353)&lt;=0),"",COUNTIFS($AH$2:$AH$801,"&lt;"&amp;AH353,$E$2:$E$801,"&gt;0")+COUNTIFS($AH$2:AH353,AH353,$E$2:E353,"&gt;0"))</f>
        <v/>
      </c>
    </row>
    <row r="354" customFormat="false" ht="15" hidden="false" customHeight="false" outlineLevel="0" collapsed="false">
      <c r="A354" s="11" t="str">
        <f aca="false">IF(INVENTÁRIO!A354="","",INVENTÁRIO!A354)</f>
        <v/>
      </c>
      <c r="B354" s="11" t="str">
        <f aca="false">IF(A354="","",INVENTÁRIO!B354)</f>
        <v/>
      </c>
      <c r="C354" s="16" t="str">
        <f aca="false">IF(A354="","",INVENTÁRIO!C354)</f>
        <v/>
      </c>
      <c r="D354" s="14" t="str">
        <f aca="false">IF(A354="","",MAX(K354:AD354))</f>
        <v/>
      </c>
      <c r="E354" s="14" t="str">
        <f aca="false">IF(A354="","",MAX(0,D354-C354))</f>
        <v/>
      </c>
      <c r="F354" s="16" t="str">
        <f aca="false">IF(A354="","",IF(D354=0,"Fora dos decks",IF(E354=0,"Completo","Falta")))</f>
        <v/>
      </c>
      <c r="G354" s="16" t="str">
        <f aca="false">IF(A354="","",COUNTIF(K354:AD354,"&gt;0"))</f>
        <v/>
      </c>
      <c r="H354" s="16" t="str">
        <f aca="false">IF(A354="","",IF(G354&gt;1,"Sim",""))</f>
        <v/>
      </c>
      <c r="I354" s="18" t="str">
        <f aca="false">IF(A354="","",SUMIFS(DECKS!$D$2:$D$1201,DECKS!$B$2:$B$1201,A354))</f>
        <v/>
      </c>
      <c r="J354" s="18" t="str">
        <f aca="false">IF(A354="","",MAX(0,I354-C354))</f>
        <v/>
      </c>
      <c r="K354" s="19" t="str">
        <f aca="false">IF(OR($A354="",INDEX(_LEITURA!$Q$2:$Q$21,1)=0),"",SUMIFS(DECKS!$D$2:$D$1201,DECKS!$A$2:$A$1201,INDEX(_LEITURA!$P$2:$P$21,1),DECKS!$B$2:$B$1201,$A354))</f>
        <v/>
      </c>
      <c r="L354" s="19" t="str">
        <f aca="false">IF(OR($A354="",INDEX(_LEITURA!$Q$2:$Q$21,2)=0),"",SUMIFS(DECKS!$D$2:$D$1201,DECKS!$A$2:$A$1201,INDEX(_LEITURA!$P$2:$P$21,2),DECKS!$B$2:$B$1201,$A354))</f>
        <v/>
      </c>
      <c r="M354" s="19" t="str">
        <f aca="false">IF(OR($A354="",INDEX(_LEITURA!$Q$2:$Q$21,3)=0),"",SUMIFS(DECKS!$D$2:$D$1201,DECKS!$A$2:$A$1201,INDEX(_LEITURA!$P$2:$P$21,3),DECKS!$B$2:$B$1201,$A354))</f>
        <v/>
      </c>
      <c r="N354" s="19" t="str">
        <f aca="false">IF(OR($A354="",INDEX(_LEITURA!$Q$2:$Q$21,4)=0),"",SUMIFS(DECKS!$D$2:$D$1201,DECKS!$A$2:$A$1201,INDEX(_LEITURA!$P$2:$P$21,4),DECKS!$B$2:$B$1201,$A354))</f>
        <v/>
      </c>
      <c r="O354" s="19" t="str">
        <f aca="false">IF(OR($A354="",INDEX(_LEITURA!$Q$2:$Q$21,5)=0),"",SUMIFS(DECKS!$D$2:$D$1201,DECKS!$A$2:$A$1201,INDEX(_LEITURA!$P$2:$P$21,5),DECKS!$B$2:$B$1201,$A354))</f>
        <v/>
      </c>
      <c r="P354" s="19" t="str">
        <f aca="false">IF(OR($A354="",INDEX(_LEITURA!$Q$2:$Q$21,6)=0),"",SUMIFS(DECKS!$D$2:$D$1201,DECKS!$A$2:$A$1201,INDEX(_LEITURA!$P$2:$P$21,6),DECKS!$B$2:$B$1201,$A354))</f>
        <v/>
      </c>
      <c r="Q354" s="19" t="str">
        <f aca="false">IF(OR($A354="",INDEX(_LEITURA!$Q$2:$Q$21,7)=0),"",SUMIFS(DECKS!$D$2:$D$1201,DECKS!$A$2:$A$1201,INDEX(_LEITURA!$P$2:$P$21,7),DECKS!$B$2:$B$1201,$A354))</f>
        <v/>
      </c>
      <c r="R354" s="19" t="str">
        <f aca="false">IF(OR($A354="",INDEX(_LEITURA!$Q$2:$Q$21,8)=0),"",SUMIFS(DECKS!$D$2:$D$1201,DECKS!$A$2:$A$1201,INDEX(_LEITURA!$P$2:$P$21,8),DECKS!$B$2:$B$1201,$A354))</f>
        <v/>
      </c>
      <c r="S354" s="19" t="str">
        <f aca="false">IF(OR($A354="",INDEX(_LEITURA!$Q$2:$Q$21,9)=0),"",SUMIFS(DECKS!$D$2:$D$1201,DECKS!$A$2:$A$1201,INDEX(_LEITURA!$P$2:$P$21,9),DECKS!$B$2:$B$1201,$A354))</f>
        <v/>
      </c>
      <c r="T354" s="19" t="str">
        <f aca="false">IF(OR($A354="",INDEX(_LEITURA!$Q$2:$Q$21,10)=0),"",SUMIFS(DECKS!$D$2:$D$1201,DECKS!$A$2:$A$1201,INDEX(_LEITURA!$P$2:$P$21,10),DECKS!$B$2:$B$1201,$A354))</f>
        <v/>
      </c>
      <c r="U354" s="19" t="str">
        <f aca="false">IF(OR($A354="",INDEX(_LEITURA!$Q$2:$Q$21,11)=0),"",SUMIFS(DECKS!$D$2:$D$1201,DECKS!$A$2:$A$1201,INDEX(_LEITURA!$P$2:$P$21,11),DECKS!$B$2:$B$1201,$A354))</f>
        <v/>
      </c>
      <c r="V354" s="19" t="str">
        <f aca="false">IF(OR($A354="",INDEX(_LEITURA!$Q$2:$Q$21,12)=0),"",SUMIFS(DECKS!$D$2:$D$1201,DECKS!$A$2:$A$1201,INDEX(_LEITURA!$P$2:$P$21,12),DECKS!$B$2:$B$1201,$A354))</f>
        <v/>
      </c>
      <c r="W354" s="19" t="str">
        <f aca="false">IF(OR($A354="",INDEX(_LEITURA!$Q$2:$Q$21,13)=0),"",SUMIFS(DECKS!$D$2:$D$1201,DECKS!$A$2:$A$1201,INDEX(_LEITURA!$P$2:$P$21,13),DECKS!$B$2:$B$1201,$A354))</f>
        <v/>
      </c>
      <c r="X354" s="19" t="str">
        <f aca="false">IF(OR($A354="",INDEX(_LEITURA!$Q$2:$Q$21,14)=0),"",SUMIFS(DECKS!$D$2:$D$1201,DECKS!$A$2:$A$1201,INDEX(_LEITURA!$P$2:$P$21,14),DECKS!$B$2:$B$1201,$A354))</f>
        <v/>
      </c>
      <c r="Y354" s="19" t="str">
        <f aca="false">IF(OR($A354="",INDEX(_LEITURA!$Q$2:$Q$21,15)=0),"",SUMIFS(DECKS!$D$2:$D$1201,DECKS!$A$2:$A$1201,INDEX(_LEITURA!$P$2:$P$21,15),DECKS!$B$2:$B$1201,$A354))</f>
        <v/>
      </c>
      <c r="Z354" s="19" t="str">
        <f aca="false">IF(OR($A354="",INDEX(_LEITURA!$Q$2:$Q$21,16)=0),"",SUMIFS(DECKS!$D$2:$D$1201,DECKS!$A$2:$A$1201,INDEX(_LEITURA!$P$2:$P$21,16),DECKS!$B$2:$B$1201,$A354))</f>
        <v/>
      </c>
      <c r="AA354" s="19" t="str">
        <f aca="false">IF(OR($A354="",INDEX(_LEITURA!$Q$2:$Q$21,17)=0),"",SUMIFS(DECKS!$D$2:$D$1201,DECKS!$A$2:$A$1201,INDEX(_LEITURA!$P$2:$P$21,17),DECKS!$B$2:$B$1201,$A354))</f>
        <v/>
      </c>
      <c r="AB354" s="19" t="str">
        <f aca="false">IF(OR($A354="",INDEX(_LEITURA!$Q$2:$Q$21,18)=0),"",SUMIFS(DECKS!$D$2:$D$1201,DECKS!$A$2:$A$1201,INDEX(_LEITURA!$P$2:$P$21,18),DECKS!$B$2:$B$1201,$A354))</f>
        <v/>
      </c>
      <c r="AC354" s="19" t="str">
        <f aca="false">IF(OR($A354="",INDEX(_LEITURA!$Q$2:$Q$21,19)=0),"",SUMIFS(DECKS!$D$2:$D$1201,DECKS!$A$2:$A$1201,INDEX(_LEITURA!$P$2:$P$21,19),DECKS!$B$2:$B$1201,$A354))</f>
        <v/>
      </c>
      <c r="AD354" s="19" t="str">
        <f aca="false">IF(OR($A354="",INDEX(_LEITURA!$Q$2:$Q$21,20)=0),"",SUMIFS(DECKS!$D$2:$D$1201,DECKS!$A$2:$A$1201,INDEX(_LEITURA!$P$2:$P$21,20),DECKS!$B$2:$B$1201,$A354))</f>
        <v/>
      </c>
      <c r="AE354" s="16" t="str">
        <f aca="false">IF(N(E354)&gt;0,MAX(AE$1:AE353)+1,"")</f>
        <v/>
      </c>
      <c r="AF354" s="11" t="str">
        <f aca="false">IF(A354="","",IFERROR(LEFT(A354,FIND("-",A354)-1),A354))</f>
        <v/>
      </c>
      <c r="AG354" s="11" t="str">
        <f aca="false">IF(AF354="","",IF(ISNUMBER(--MID(AF354,1,1)),0,IF(ISNUMBER(--MID(AF354,2,1)),1,IF(ISNUMBER(--MID(AF354,3,1)),2,IF(ISNUMBER(--MID(AF354,4,1)),3,MIN(LEN(AF354),4))))))</f>
        <v/>
      </c>
      <c r="AH354" s="11" t="str">
        <f aca="false">IF(A354="","",LEFT(AF354,AG354)&amp;REPT("0",4-AG354)&amp;RIGHT("000"&amp;IFERROR(VALUE(MID(AF354,AG354+1,9)),0),3)&amp;RIGHT("0000"&amp;IFERROR(VALUE(MID(A354,FIND("-",A354)+1,9)),0),4))</f>
        <v/>
      </c>
      <c r="AI354" s="11" t="str">
        <f aca="false">IF(OR(A354="",N(E354)&lt;=0),"",IF('FALTAS GERAL'!$M$1="Código","K"&amp;AH354&amp;RIGHT("00000"&amp;ROW(),5),IF('FALTAS GERAL'!$M$1="Nome","K"&amp;UPPER(SUBSTITUTE(SUBSTITUTE(SUBSTITUTE(B354,"*",""),"?",""),"~",""))&amp;"0"&amp;AH354&amp;RIGHT("00000"&amp;ROW(),5),IF('FALTAS GERAL'!$M$1="Falta (maior primeiro)","K"&amp;RIGHT("0000"&amp;(9999-E354),4)&amp;AH354&amp;RIGHT("00000"&amp;ROW(),5),IF('FALTAS GERAL'!$M$1="Nº de decks (maior primeiro)","K"&amp;RIGHT("00"&amp;(99-N(G354)),2)&amp;AH354&amp;RIGHT("00000"&amp;ROW(),5),"K"&amp;RIGHT("00000"&amp;ROW(),5))))))</f>
        <v/>
      </c>
      <c r="AJ354" s="11" t="str">
        <f aca="false">IF(AI354="","",COUNTIFS($AI$2:$AI$801,"&lt;"&amp;AI354,$E$2:$E$801,"&gt;0")+1)</f>
        <v/>
      </c>
      <c r="AK354" s="11" t="str">
        <f aca="false">IF(OR(A354="",N(E354)&lt;=0),"",COUNTIFS($AH$2:$AH$801,"&lt;"&amp;AH354,$E$2:$E$801,"&gt;0")+COUNTIFS($AH$2:AH354,AH354,$E$2:E354,"&gt;0"))</f>
        <v/>
      </c>
    </row>
    <row r="355" customFormat="false" ht="15" hidden="false" customHeight="false" outlineLevel="0" collapsed="false">
      <c r="A355" s="11" t="str">
        <f aca="false">IF(INVENTÁRIO!A355="","",INVENTÁRIO!A355)</f>
        <v/>
      </c>
      <c r="B355" s="11" t="str">
        <f aca="false">IF(A355="","",INVENTÁRIO!B355)</f>
        <v/>
      </c>
      <c r="C355" s="16" t="str">
        <f aca="false">IF(A355="","",INVENTÁRIO!C355)</f>
        <v/>
      </c>
      <c r="D355" s="14" t="str">
        <f aca="false">IF(A355="","",MAX(K355:AD355))</f>
        <v/>
      </c>
      <c r="E355" s="14" t="str">
        <f aca="false">IF(A355="","",MAX(0,D355-C355))</f>
        <v/>
      </c>
      <c r="F355" s="16" t="str">
        <f aca="false">IF(A355="","",IF(D355=0,"Fora dos decks",IF(E355=0,"Completo","Falta")))</f>
        <v/>
      </c>
      <c r="G355" s="16" t="str">
        <f aca="false">IF(A355="","",COUNTIF(K355:AD355,"&gt;0"))</f>
        <v/>
      </c>
      <c r="H355" s="16" t="str">
        <f aca="false">IF(A355="","",IF(G355&gt;1,"Sim",""))</f>
        <v/>
      </c>
      <c r="I355" s="18" t="str">
        <f aca="false">IF(A355="","",SUMIFS(DECKS!$D$2:$D$1201,DECKS!$B$2:$B$1201,A355))</f>
        <v/>
      </c>
      <c r="J355" s="18" t="str">
        <f aca="false">IF(A355="","",MAX(0,I355-C355))</f>
        <v/>
      </c>
      <c r="K355" s="19" t="str">
        <f aca="false">IF(OR($A355="",INDEX(_LEITURA!$Q$2:$Q$21,1)=0),"",SUMIFS(DECKS!$D$2:$D$1201,DECKS!$A$2:$A$1201,INDEX(_LEITURA!$P$2:$P$21,1),DECKS!$B$2:$B$1201,$A355))</f>
        <v/>
      </c>
      <c r="L355" s="19" t="str">
        <f aca="false">IF(OR($A355="",INDEX(_LEITURA!$Q$2:$Q$21,2)=0),"",SUMIFS(DECKS!$D$2:$D$1201,DECKS!$A$2:$A$1201,INDEX(_LEITURA!$P$2:$P$21,2),DECKS!$B$2:$B$1201,$A355))</f>
        <v/>
      </c>
      <c r="M355" s="19" t="str">
        <f aca="false">IF(OR($A355="",INDEX(_LEITURA!$Q$2:$Q$21,3)=0),"",SUMIFS(DECKS!$D$2:$D$1201,DECKS!$A$2:$A$1201,INDEX(_LEITURA!$P$2:$P$21,3),DECKS!$B$2:$B$1201,$A355))</f>
        <v/>
      </c>
      <c r="N355" s="19" t="str">
        <f aca="false">IF(OR($A355="",INDEX(_LEITURA!$Q$2:$Q$21,4)=0),"",SUMIFS(DECKS!$D$2:$D$1201,DECKS!$A$2:$A$1201,INDEX(_LEITURA!$P$2:$P$21,4),DECKS!$B$2:$B$1201,$A355))</f>
        <v/>
      </c>
      <c r="O355" s="19" t="str">
        <f aca="false">IF(OR($A355="",INDEX(_LEITURA!$Q$2:$Q$21,5)=0),"",SUMIFS(DECKS!$D$2:$D$1201,DECKS!$A$2:$A$1201,INDEX(_LEITURA!$P$2:$P$21,5),DECKS!$B$2:$B$1201,$A355))</f>
        <v/>
      </c>
      <c r="P355" s="19" t="str">
        <f aca="false">IF(OR($A355="",INDEX(_LEITURA!$Q$2:$Q$21,6)=0),"",SUMIFS(DECKS!$D$2:$D$1201,DECKS!$A$2:$A$1201,INDEX(_LEITURA!$P$2:$P$21,6),DECKS!$B$2:$B$1201,$A355))</f>
        <v/>
      </c>
      <c r="Q355" s="19" t="str">
        <f aca="false">IF(OR($A355="",INDEX(_LEITURA!$Q$2:$Q$21,7)=0),"",SUMIFS(DECKS!$D$2:$D$1201,DECKS!$A$2:$A$1201,INDEX(_LEITURA!$P$2:$P$21,7),DECKS!$B$2:$B$1201,$A355))</f>
        <v/>
      </c>
      <c r="R355" s="19" t="str">
        <f aca="false">IF(OR($A355="",INDEX(_LEITURA!$Q$2:$Q$21,8)=0),"",SUMIFS(DECKS!$D$2:$D$1201,DECKS!$A$2:$A$1201,INDEX(_LEITURA!$P$2:$P$21,8),DECKS!$B$2:$B$1201,$A355))</f>
        <v/>
      </c>
      <c r="S355" s="19" t="str">
        <f aca="false">IF(OR($A355="",INDEX(_LEITURA!$Q$2:$Q$21,9)=0),"",SUMIFS(DECKS!$D$2:$D$1201,DECKS!$A$2:$A$1201,INDEX(_LEITURA!$P$2:$P$21,9),DECKS!$B$2:$B$1201,$A355))</f>
        <v/>
      </c>
      <c r="T355" s="19" t="str">
        <f aca="false">IF(OR($A355="",INDEX(_LEITURA!$Q$2:$Q$21,10)=0),"",SUMIFS(DECKS!$D$2:$D$1201,DECKS!$A$2:$A$1201,INDEX(_LEITURA!$P$2:$P$21,10),DECKS!$B$2:$B$1201,$A355))</f>
        <v/>
      </c>
      <c r="U355" s="19" t="str">
        <f aca="false">IF(OR($A355="",INDEX(_LEITURA!$Q$2:$Q$21,11)=0),"",SUMIFS(DECKS!$D$2:$D$1201,DECKS!$A$2:$A$1201,INDEX(_LEITURA!$P$2:$P$21,11),DECKS!$B$2:$B$1201,$A355))</f>
        <v/>
      </c>
      <c r="V355" s="19" t="str">
        <f aca="false">IF(OR($A355="",INDEX(_LEITURA!$Q$2:$Q$21,12)=0),"",SUMIFS(DECKS!$D$2:$D$1201,DECKS!$A$2:$A$1201,INDEX(_LEITURA!$P$2:$P$21,12),DECKS!$B$2:$B$1201,$A355))</f>
        <v/>
      </c>
      <c r="W355" s="19" t="str">
        <f aca="false">IF(OR($A355="",INDEX(_LEITURA!$Q$2:$Q$21,13)=0),"",SUMIFS(DECKS!$D$2:$D$1201,DECKS!$A$2:$A$1201,INDEX(_LEITURA!$P$2:$P$21,13),DECKS!$B$2:$B$1201,$A355))</f>
        <v/>
      </c>
      <c r="X355" s="19" t="str">
        <f aca="false">IF(OR($A355="",INDEX(_LEITURA!$Q$2:$Q$21,14)=0),"",SUMIFS(DECKS!$D$2:$D$1201,DECKS!$A$2:$A$1201,INDEX(_LEITURA!$P$2:$P$21,14),DECKS!$B$2:$B$1201,$A355))</f>
        <v/>
      </c>
      <c r="Y355" s="19" t="str">
        <f aca="false">IF(OR($A355="",INDEX(_LEITURA!$Q$2:$Q$21,15)=0),"",SUMIFS(DECKS!$D$2:$D$1201,DECKS!$A$2:$A$1201,INDEX(_LEITURA!$P$2:$P$21,15),DECKS!$B$2:$B$1201,$A355))</f>
        <v/>
      </c>
      <c r="Z355" s="19" t="str">
        <f aca="false">IF(OR($A355="",INDEX(_LEITURA!$Q$2:$Q$21,16)=0),"",SUMIFS(DECKS!$D$2:$D$1201,DECKS!$A$2:$A$1201,INDEX(_LEITURA!$P$2:$P$21,16),DECKS!$B$2:$B$1201,$A355))</f>
        <v/>
      </c>
      <c r="AA355" s="19" t="str">
        <f aca="false">IF(OR($A355="",INDEX(_LEITURA!$Q$2:$Q$21,17)=0),"",SUMIFS(DECKS!$D$2:$D$1201,DECKS!$A$2:$A$1201,INDEX(_LEITURA!$P$2:$P$21,17),DECKS!$B$2:$B$1201,$A355))</f>
        <v/>
      </c>
      <c r="AB355" s="19" t="str">
        <f aca="false">IF(OR($A355="",INDEX(_LEITURA!$Q$2:$Q$21,18)=0),"",SUMIFS(DECKS!$D$2:$D$1201,DECKS!$A$2:$A$1201,INDEX(_LEITURA!$P$2:$P$21,18),DECKS!$B$2:$B$1201,$A355))</f>
        <v/>
      </c>
      <c r="AC355" s="19" t="str">
        <f aca="false">IF(OR($A355="",INDEX(_LEITURA!$Q$2:$Q$21,19)=0),"",SUMIFS(DECKS!$D$2:$D$1201,DECKS!$A$2:$A$1201,INDEX(_LEITURA!$P$2:$P$21,19),DECKS!$B$2:$B$1201,$A355))</f>
        <v/>
      </c>
      <c r="AD355" s="19" t="str">
        <f aca="false">IF(OR($A355="",INDEX(_LEITURA!$Q$2:$Q$21,20)=0),"",SUMIFS(DECKS!$D$2:$D$1201,DECKS!$A$2:$A$1201,INDEX(_LEITURA!$P$2:$P$21,20),DECKS!$B$2:$B$1201,$A355))</f>
        <v/>
      </c>
      <c r="AE355" s="16" t="str">
        <f aca="false">IF(N(E355)&gt;0,MAX(AE$1:AE354)+1,"")</f>
        <v/>
      </c>
      <c r="AF355" s="11" t="str">
        <f aca="false">IF(A355="","",IFERROR(LEFT(A355,FIND("-",A355)-1),A355))</f>
        <v/>
      </c>
      <c r="AG355" s="11" t="str">
        <f aca="false">IF(AF355="","",IF(ISNUMBER(--MID(AF355,1,1)),0,IF(ISNUMBER(--MID(AF355,2,1)),1,IF(ISNUMBER(--MID(AF355,3,1)),2,IF(ISNUMBER(--MID(AF355,4,1)),3,MIN(LEN(AF355),4))))))</f>
        <v/>
      </c>
      <c r="AH355" s="11" t="str">
        <f aca="false">IF(A355="","",LEFT(AF355,AG355)&amp;REPT("0",4-AG355)&amp;RIGHT("000"&amp;IFERROR(VALUE(MID(AF355,AG355+1,9)),0),3)&amp;RIGHT("0000"&amp;IFERROR(VALUE(MID(A355,FIND("-",A355)+1,9)),0),4))</f>
        <v/>
      </c>
      <c r="AI355" s="11" t="str">
        <f aca="false">IF(OR(A355="",N(E355)&lt;=0),"",IF('FALTAS GERAL'!$M$1="Código","K"&amp;AH355&amp;RIGHT("00000"&amp;ROW(),5),IF('FALTAS GERAL'!$M$1="Nome","K"&amp;UPPER(SUBSTITUTE(SUBSTITUTE(SUBSTITUTE(B355,"*",""),"?",""),"~",""))&amp;"0"&amp;AH355&amp;RIGHT("00000"&amp;ROW(),5),IF('FALTAS GERAL'!$M$1="Falta (maior primeiro)","K"&amp;RIGHT("0000"&amp;(9999-E355),4)&amp;AH355&amp;RIGHT("00000"&amp;ROW(),5),IF('FALTAS GERAL'!$M$1="Nº de decks (maior primeiro)","K"&amp;RIGHT("00"&amp;(99-N(G355)),2)&amp;AH355&amp;RIGHT("00000"&amp;ROW(),5),"K"&amp;RIGHT("00000"&amp;ROW(),5))))))</f>
        <v/>
      </c>
      <c r="AJ355" s="11" t="str">
        <f aca="false">IF(AI355="","",COUNTIFS($AI$2:$AI$801,"&lt;"&amp;AI355,$E$2:$E$801,"&gt;0")+1)</f>
        <v/>
      </c>
      <c r="AK355" s="11" t="str">
        <f aca="false">IF(OR(A355="",N(E355)&lt;=0),"",COUNTIFS($AH$2:$AH$801,"&lt;"&amp;AH355,$E$2:$E$801,"&gt;0")+COUNTIFS($AH$2:AH355,AH355,$E$2:E355,"&gt;0"))</f>
        <v/>
      </c>
    </row>
    <row r="356" customFormat="false" ht="15" hidden="false" customHeight="false" outlineLevel="0" collapsed="false">
      <c r="A356" s="11" t="str">
        <f aca="false">IF(INVENTÁRIO!A356="","",INVENTÁRIO!A356)</f>
        <v/>
      </c>
      <c r="B356" s="11" t="str">
        <f aca="false">IF(A356="","",INVENTÁRIO!B356)</f>
        <v/>
      </c>
      <c r="C356" s="16" t="str">
        <f aca="false">IF(A356="","",INVENTÁRIO!C356)</f>
        <v/>
      </c>
      <c r="D356" s="14" t="str">
        <f aca="false">IF(A356="","",MAX(K356:AD356))</f>
        <v/>
      </c>
      <c r="E356" s="14" t="str">
        <f aca="false">IF(A356="","",MAX(0,D356-C356))</f>
        <v/>
      </c>
      <c r="F356" s="16" t="str">
        <f aca="false">IF(A356="","",IF(D356=0,"Fora dos decks",IF(E356=0,"Completo","Falta")))</f>
        <v/>
      </c>
      <c r="G356" s="16" t="str">
        <f aca="false">IF(A356="","",COUNTIF(K356:AD356,"&gt;0"))</f>
        <v/>
      </c>
      <c r="H356" s="16" t="str">
        <f aca="false">IF(A356="","",IF(G356&gt;1,"Sim",""))</f>
        <v/>
      </c>
      <c r="I356" s="18" t="str">
        <f aca="false">IF(A356="","",SUMIFS(DECKS!$D$2:$D$1201,DECKS!$B$2:$B$1201,A356))</f>
        <v/>
      </c>
      <c r="J356" s="18" t="str">
        <f aca="false">IF(A356="","",MAX(0,I356-C356))</f>
        <v/>
      </c>
      <c r="K356" s="19" t="str">
        <f aca="false">IF(OR($A356="",INDEX(_LEITURA!$Q$2:$Q$21,1)=0),"",SUMIFS(DECKS!$D$2:$D$1201,DECKS!$A$2:$A$1201,INDEX(_LEITURA!$P$2:$P$21,1),DECKS!$B$2:$B$1201,$A356))</f>
        <v/>
      </c>
      <c r="L356" s="19" t="str">
        <f aca="false">IF(OR($A356="",INDEX(_LEITURA!$Q$2:$Q$21,2)=0),"",SUMIFS(DECKS!$D$2:$D$1201,DECKS!$A$2:$A$1201,INDEX(_LEITURA!$P$2:$P$21,2),DECKS!$B$2:$B$1201,$A356))</f>
        <v/>
      </c>
      <c r="M356" s="19" t="str">
        <f aca="false">IF(OR($A356="",INDEX(_LEITURA!$Q$2:$Q$21,3)=0),"",SUMIFS(DECKS!$D$2:$D$1201,DECKS!$A$2:$A$1201,INDEX(_LEITURA!$P$2:$P$21,3),DECKS!$B$2:$B$1201,$A356))</f>
        <v/>
      </c>
      <c r="N356" s="19" t="str">
        <f aca="false">IF(OR($A356="",INDEX(_LEITURA!$Q$2:$Q$21,4)=0),"",SUMIFS(DECKS!$D$2:$D$1201,DECKS!$A$2:$A$1201,INDEX(_LEITURA!$P$2:$P$21,4),DECKS!$B$2:$B$1201,$A356))</f>
        <v/>
      </c>
      <c r="O356" s="19" t="str">
        <f aca="false">IF(OR($A356="",INDEX(_LEITURA!$Q$2:$Q$21,5)=0),"",SUMIFS(DECKS!$D$2:$D$1201,DECKS!$A$2:$A$1201,INDEX(_LEITURA!$P$2:$P$21,5),DECKS!$B$2:$B$1201,$A356))</f>
        <v/>
      </c>
      <c r="P356" s="19" t="str">
        <f aca="false">IF(OR($A356="",INDEX(_LEITURA!$Q$2:$Q$21,6)=0),"",SUMIFS(DECKS!$D$2:$D$1201,DECKS!$A$2:$A$1201,INDEX(_LEITURA!$P$2:$P$21,6),DECKS!$B$2:$B$1201,$A356))</f>
        <v/>
      </c>
      <c r="Q356" s="19" t="str">
        <f aca="false">IF(OR($A356="",INDEX(_LEITURA!$Q$2:$Q$21,7)=0),"",SUMIFS(DECKS!$D$2:$D$1201,DECKS!$A$2:$A$1201,INDEX(_LEITURA!$P$2:$P$21,7),DECKS!$B$2:$B$1201,$A356))</f>
        <v/>
      </c>
      <c r="R356" s="19" t="str">
        <f aca="false">IF(OR($A356="",INDEX(_LEITURA!$Q$2:$Q$21,8)=0),"",SUMIFS(DECKS!$D$2:$D$1201,DECKS!$A$2:$A$1201,INDEX(_LEITURA!$P$2:$P$21,8),DECKS!$B$2:$B$1201,$A356))</f>
        <v/>
      </c>
      <c r="S356" s="19" t="str">
        <f aca="false">IF(OR($A356="",INDEX(_LEITURA!$Q$2:$Q$21,9)=0),"",SUMIFS(DECKS!$D$2:$D$1201,DECKS!$A$2:$A$1201,INDEX(_LEITURA!$P$2:$P$21,9),DECKS!$B$2:$B$1201,$A356))</f>
        <v/>
      </c>
      <c r="T356" s="19" t="str">
        <f aca="false">IF(OR($A356="",INDEX(_LEITURA!$Q$2:$Q$21,10)=0),"",SUMIFS(DECKS!$D$2:$D$1201,DECKS!$A$2:$A$1201,INDEX(_LEITURA!$P$2:$P$21,10),DECKS!$B$2:$B$1201,$A356))</f>
        <v/>
      </c>
      <c r="U356" s="19" t="str">
        <f aca="false">IF(OR($A356="",INDEX(_LEITURA!$Q$2:$Q$21,11)=0),"",SUMIFS(DECKS!$D$2:$D$1201,DECKS!$A$2:$A$1201,INDEX(_LEITURA!$P$2:$P$21,11),DECKS!$B$2:$B$1201,$A356))</f>
        <v/>
      </c>
      <c r="V356" s="19" t="str">
        <f aca="false">IF(OR($A356="",INDEX(_LEITURA!$Q$2:$Q$21,12)=0),"",SUMIFS(DECKS!$D$2:$D$1201,DECKS!$A$2:$A$1201,INDEX(_LEITURA!$P$2:$P$21,12),DECKS!$B$2:$B$1201,$A356))</f>
        <v/>
      </c>
      <c r="W356" s="19" t="str">
        <f aca="false">IF(OR($A356="",INDEX(_LEITURA!$Q$2:$Q$21,13)=0),"",SUMIFS(DECKS!$D$2:$D$1201,DECKS!$A$2:$A$1201,INDEX(_LEITURA!$P$2:$P$21,13),DECKS!$B$2:$B$1201,$A356))</f>
        <v/>
      </c>
      <c r="X356" s="19" t="str">
        <f aca="false">IF(OR($A356="",INDEX(_LEITURA!$Q$2:$Q$21,14)=0),"",SUMIFS(DECKS!$D$2:$D$1201,DECKS!$A$2:$A$1201,INDEX(_LEITURA!$P$2:$P$21,14),DECKS!$B$2:$B$1201,$A356))</f>
        <v/>
      </c>
      <c r="Y356" s="19" t="str">
        <f aca="false">IF(OR($A356="",INDEX(_LEITURA!$Q$2:$Q$21,15)=0),"",SUMIFS(DECKS!$D$2:$D$1201,DECKS!$A$2:$A$1201,INDEX(_LEITURA!$P$2:$P$21,15),DECKS!$B$2:$B$1201,$A356))</f>
        <v/>
      </c>
      <c r="Z356" s="19" t="str">
        <f aca="false">IF(OR($A356="",INDEX(_LEITURA!$Q$2:$Q$21,16)=0),"",SUMIFS(DECKS!$D$2:$D$1201,DECKS!$A$2:$A$1201,INDEX(_LEITURA!$P$2:$P$21,16),DECKS!$B$2:$B$1201,$A356))</f>
        <v/>
      </c>
      <c r="AA356" s="19" t="str">
        <f aca="false">IF(OR($A356="",INDEX(_LEITURA!$Q$2:$Q$21,17)=0),"",SUMIFS(DECKS!$D$2:$D$1201,DECKS!$A$2:$A$1201,INDEX(_LEITURA!$P$2:$P$21,17),DECKS!$B$2:$B$1201,$A356))</f>
        <v/>
      </c>
      <c r="AB356" s="19" t="str">
        <f aca="false">IF(OR($A356="",INDEX(_LEITURA!$Q$2:$Q$21,18)=0),"",SUMIFS(DECKS!$D$2:$D$1201,DECKS!$A$2:$A$1201,INDEX(_LEITURA!$P$2:$P$21,18),DECKS!$B$2:$B$1201,$A356))</f>
        <v/>
      </c>
      <c r="AC356" s="19" t="str">
        <f aca="false">IF(OR($A356="",INDEX(_LEITURA!$Q$2:$Q$21,19)=0),"",SUMIFS(DECKS!$D$2:$D$1201,DECKS!$A$2:$A$1201,INDEX(_LEITURA!$P$2:$P$21,19),DECKS!$B$2:$B$1201,$A356))</f>
        <v/>
      </c>
      <c r="AD356" s="19" t="str">
        <f aca="false">IF(OR($A356="",INDEX(_LEITURA!$Q$2:$Q$21,20)=0),"",SUMIFS(DECKS!$D$2:$D$1201,DECKS!$A$2:$A$1201,INDEX(_LEITURA!$P$2:$P$21,20),DECKS!$B$2:$B$1201,$A356))</f>
        <v/>
      </c>
      <c r="AE356" s="16" t="str">
        <f aca="false">IF(N(E356)&gt;0,MAX(AE$1:AE355)+1,"")</f>
        <v/>
      </c>
      <c r="AF356" s="11" t="str">
        <f aca="false">IF(A356="","",IFERROR(LEFT(A356,FIND("-",A356)-1),A356))</f>
        <v/>
      </c>
      <c r="AG356" s="11" t="str">
        <f aca="false">IF(AF356="","",IF(ISNUMBER(--MID(AF356,1,1)),0,IF(ISNUMBER(--MID(AF356,2,1)),1,IF(ISNUMBER(--MID(AF356,3,1)),2,IF(ISNUMBER(--MID(AF356,4,1)),3,MIN(LEN(AF356),4))))))</f>
        <v/>
      </c>
      <c r="AH356" s="11" t="str">
        <f aca="false">IF(A356="","",LEFT(AF356,AG356)&amp;REPT("0",4-AG356)&amp;RIGHT("000"&amp;IFERROR(VALUE(MID(AF356,AG356+1,9)),0),3)&amp;RIGHT("0000"&amp;IFERROR(VALUE(MID(A356,FIND("-",A356)+1,9)),0),4))</f>
        <v/>
      </c>
      <c r="AI356" s="11" t="str">
        <f aca="false">IF(OR(A356="",N(E356)&lt;=0),"",IF('FALTAS GERAL'!$M$1="Código","K"&amp;AH356&amp;RIGHT("00000"&amp;ROW(),5),IF('FALTAS GERAL'!$M$1="Nome","K"&amp;UPPER(SUBSTITUTE(SUBSTITUTE(SUBSTITUTE(B356,"*",""),"?",""),"~",""))&amp;"0"&amp;AH356&amp;RIGHT("00000"&amp;ROW(),5),IF('FALTAS GERAL'!$M$1="Falta (maior primeiro)","K"&amp;RIGHT("0000"&amp;(9999-E356),4)&amp;AH356&amp;RIGHT("00000"&amp;ROW(),5),IF('FALTAS GERAL'!$M$1="Nº de decks (maior primeiro)","K"&amp;RIGHT("00"&amp;(99-N(G356)),2)&amp;AH356&amp;RIGHT("00000"&amp;ROW(),5),"K"&amp;RIGHT("00000"&amp;ROW(),5))))))</f>
        <v/>
      </c>
      <c r="AJ356" s="11" t="str">
        <f aca="false">IF(AI356="","",COUNTIFS($AI$2:$AI$801,"&lt;"&amp;AI356,$E$2:$E$801,"&gt;0")+1)</f>
        <v/>
      </c>
      <c r="AK356" s="11" t="str">
        <f aca="false">IF(OR(A356="",N(E356)&lt;=0),"",COUNTIFS($AH$2:$AH$801,"&lt;"&amp;AH356,$E$2:$E$801,"&gt;0")+COUNTIFS($AH$2:AH356,AH356,$E$2:E356,"&gt;0"))</f>
        <v/>
      </c>
    </row>
    <row r="357" customFormat="false" ht="15" hidden="false" customHeight="false" outlineLevel="0" collapsed="false">
      <c r="A357" s="11" t="str">
        <f aca="false">IF(INVENTÁRIO!A357="","",INVENTÁRIO!A357)</f>
        <v/>
      </c>
      <c r="B357" s="11" t="str">
        <f aca="false">IF(A357="","",INVENTÁRIO!B357)</f>
        <v/>
      </c>
      <c r="C357" s="16" t="str">
        <f aca="false">IF(A357="","",INVENTÁRIO!C357)</f>
        <v/>
      </c>
      <c r="D357" s="14" t="str">
        <f aca="false">IF(A357="","",MAX(K357:AD357))</f>
        <v/>
      </c>
      <c r="E357" s="14" t="str">
        <f aca="false">IF(A357="","",MAX(0,D357-C357))</f>
        <v/>
      </c>
      <c r="F357" s="16" t="str">
        <f aca="false">IF(A357="","",IF(D357=0,"Fora dos decks",IF(E357=0,"Completo","Falta")))</f>
        <v/>
      </c>
      <c r="G357" s="16" t="str">
        <f aca="false">IF(A357="","",COUNTIF(K357:AD357,"&gt;0"))</f>
        <v/>
      </c>
      <c r="H357" s="16" t="str">
        <f aca="false">IF(A357="","",IF(G357&gt;1,"Sim",""))</f>
        <v/>
      </c>
      <c r="I357" s="18" t="str">
        <f aca="false">IF(A357="","",SUMIFS(DECKS!$D$2:$D$1201,DECKS!$B$2:$B$1201,A357))</f>
        <v/>
      </c>
      <c r="J357" s="18" t="str">
        <f aca="false">IF(A357="","",MAX(0,I357-C357))</f>
        <v/>
      </c>
      <c r="K357" s="19" t="str">
        <f aca="false">IF(OR($A357="",INDEX(_LEITURA!$Q$2:$Q$21,1)=0),"",SUMIFS(DECKS!$D$2:$D$1201,DECKS!$A$2:$A$1201,INDEX(_LEITURA!$P$2:$P$21,1),DECKS!$B$2:$B$1201,$A357))</f>
        <v/>
      </c>
      <c r="L357" s="19" t="str">
        <f aca="false">IF(OR($A357="",INDEX(_LEITURA!$Q$2:$Q$21,2)=0),"",SUMIFS(DECKS!$D$2:$D$1201,DECKS!$A$2:$A$1201,INDEX(_LEITURA!$P$2:$P$21,2),DECKS!$B$2:$B$1201,$A357))</f>
        <v/>
      </c>
      <c r="M357" s="19" t="str">
        <f aca="false">IF(OR($A357="",INDEX(_LEITURA!$Q$2:$Q$21,3)=0),"",SUMIFS(DECKS!$D$2:$D$1201,DECKS!$A$2:$A$1201,INDEX(_LEITURA!$P$2:$P$21,3),DECKS!$B$2:$B$1201,$A357))</f>
        <v/>
      </c>
      <c r="N357" s="19" t="str">
        <f aca="false">IF(OR($A357="",INDEX(_LEITURA!$Q$2:$Q$21,4)=0),"",SUMIFS(DECKS!$D$2:$D$1201,DECKS!$A$2:$A$1201,INDEX(_LEITURA!$P$2:$P$21,4),DECKS!$B$2:$B$1201,$A357))</f>
        <v/>
      </c>
      <c r="O357" s="19" t="str">
        <f aca="false">IF(OR($A357="",INDEX(_LEITURA!$Q$2:$Q$21,5)=0),"",SUMIFS(DECKS!$D$2:$D$1201,DECKS!$A$2:$A$1201,INDEX(_LEITURA!$P$2:$P$21,5),DECKS!$B$2:$B$1201,$A357))</f>
        <v/>
      </c>
      <c r="P357" s="19" t="str">
        <f aca="false">IF(OR($A357="",INDEX(_LEITURA!$Q$2:$Q$21,6)=0),"",SUMIFS(DECKS!$D$2:$D$1201,DECKS!$A$2:$A$1201,INDEX(_LEITURA!$P$2:$P$21,6),DECKS!$B$2:$B$1201,$A357))</f>
        <v/>
      </c>
      <c r="Q357" s="19" t="str">
        <f aca="false">IF(OR($A357="",INDEX(_LEITURA!$Q$2:$Q$21,7)=0),"",SUMIFS(DECKS!$D$2:$D$1201,DECKS!$A$2:$A$1201,INDEX(_LEITURA!$P$2:$P$21,7),DECKS!$B$2:$B$1201,$A357))</f>
        <v/>
      </c>
      <c r="R357" s="19" t="str">
        <f aca="false">IF(OR($A357="",INDEX(_LEITURA!$Q$2:$Q$21,8)=0),"",SUMIFS(DECKS!$D$2:$D$1201,DECKS!$A$2:$A$1201,INDEX(_LEITURA!$P$2:$P$21,8),DECKS!$B$2:$B$1201,$A357))</f>
        <v/>
      </c>
      <c r="S357" s="19" t="str">
        <f aca="false">IF(OR($A357="",INDEX(_LEITURA!$Q$2:$Q$21,9)=0),"",SUMIFS(DECKS!$D$2:$D$1201,DECKS!$A$2:$A$1201,INDEX(_LEITURA!$P$2:$P$21,9),DECKS!$B$2:$B$1201,$A357))</f>
        <v/>
      </c>
      <c r="T357" s="19" t="str">
        <f aca="false">IF(OR($A357="",INDEX(_LEITURA!$Q$2:$Q$21,10)=0),"",SUMIFS(DECKS!$D$2:$D$1201,DECKS!$A$2:$A$1201,INDEX(_LEITURA!$P$2:$P$21,10),DECKS!$B$2:$B$1201,$A357))</f>
        <v/>
      </c>
      <c r="U357" s="19" t="str">
        <f aca="false">IF(OR($A357="",INDEX(_LEITURA!$Q$2:$Q$21,11)=0),"",SUMIFS(DECKS!$D$2:$D$1201,DECKS!$A$2:$A$1201,INDEX(_LEITURA!$P$2:$P$21,11),DECKS!$B$2:$B$1201,$A357))</f>
        <v/>
      </c>
      <c r="V357" s="19" t="str">
        <f aca="false">IF(OR($A357="",INDEX(_LEITURA!$Q$2:$Q$21,12)=0),"",SUMIFS(DECKS!$D$2:$D$1201,DECKS!$A$2:$A$1201,INDEX(_LEITURA!$P$2:$P$21,12),DECKS!$B$2:$B$1201,$A357))</f>
        <v/>
      </c>
      <c r="W357" s="19" t="str">
        <f aca="false">IF(OR($A357="",INDEX(_LEITURA!$Q$2:$Q$21,13)=0),"",SUMIFS(DECKS!$D$2:$D$1201,DECKS!$A$2:$A$1201,INDEX(_LEITURA!$P$2:$P$21,13),DECKS!$B$2:$B$1201,$A357))</f>
        <v/>
      </c>
      <c r="X357" s="19" t="str">
        <f aca="false">IF(OR($A357="",INDEX(_LEITURA!$Q$2:$Q$21,14)=0),"",SUMIFS(DECKS!$D$2:$D$1201,DECKS!$A$2:$A$1201,INDEX(_LEITURA!$P$2:$P$21,14),DECKS!$B$2:$B$1201,$A357))</f>
        <v/>
      </c>
      <c r="Y357" s="19" t="str">
        <f aca="false">IF(OR($A357="",INDEX(_LEITURA!$Q$2:$Q$21,15)=0),"",SUMIFS(DECKS!$D$2:$D$1201,DECKS!$A$2:$A$1201,INDEX(_LEITURA!$P$2:$P$21,15),DECKS!$B$2:$B$1201,$A357))</f>
        <v/>
      </c>
      <c r="Z357" s="19" t="str">
        <f aca="false">IF(OR($A357="",INDEX(_LEITURA!$Q$2:$Q$21,16)=0),"",SUMIFS(DECKS!$D$2:$D$1201,DECKS!$A$2:$A$1201,INDEX(_LEITURA!$P$2:$P$21,16),DECKS!$B$2:$B$1201,$A357))</f>
        <v/>
      </c>
      <c r="AA357" s="19" t="str">
        <f aca="false">IF(OR($A357="",INDEX(_LEITURA!$Q$2:$Q$21,17)=0),"",SUMIFS(DECKS!$D$2:$D$1201,DECKS!$A$2:$A$1201,INDEX(_LEITURA!$P$2:$P$21,17),DECKS!$B$2:$B$1201,$A357))</f>
        <v/>
      </c>
      <c r="AB357" s="19" t="str">
        <f aca="false">IF(OR($A357="",INDEX(_LEITURA!$Q$2:$Q$21,18)=0),"",SUMIFS(DECKS!$D$2:$D$1201,DECKS!$A$2:$A$1201,INDEX(_LEITURA!$P$2:$P$21,18),DECKS!$B$2:$B$1201,$A357))</f>
        <v/>
      </c>
      <c r="AC357" s="19" t="str">
        <f aca="false">IF(OR($A357="",INDEX(_LEITURA!$Q$2:$Q$21,19)=0),"",SUMIFS(DECKS!$D$2:$D$1201,DECKS!$A$2:$A$1201,INDEX(_LEITURA!$P$2:$P$21,19),DECKS!$B$2:$B$1201,$A357))</f>
        <v/>
      </c>
      <c r="AD357" s="19" t="str">
        <f aca="false">IF(OR($A357="",INDEX(_LEITURA!$Q$2:$Q$21,20)=0),"",SUMIFS(DECKS!$D$2:$D$1201,DECKS!$A$2:$A$1201,INDEX(_LEITURA!$P$2:$P$21,20),DECKS!$B$2:$B$1201,$A357))</f>
        <v/>
      </c>
      <c r="AE357" s="16" t="str">
        <f aca="false">IF(N(E357)&gt;0,MAX(AE$1:AE356)+1,"")</f>
        <v/>
      </c>
      <c r="AF357" s="11" t="str">
        <f aca="false">IF(A357="","",IFERROR(LEFT(A357,FIND("-",A357)-1),A357))</f>
        <v/>
      </c>
      <c r="AG357" s="11" t="str">
        <f aca="false">IF(AF357="","",IF(ISNUMBER(--MID(AF357,1,1)),0,IF(ISNUMBER(--MID(AF357,2,1)),1,IF(ISNUMBER(--MID(AF357,3,1)),2,IF(ISNUMBER(--MID(AF357,4,1)),3,MIN(LEN(AF357),4))))))</f>
        <v/>
      </c>
      <c r="AH357" s="11" t="str">
        <f aca="false">IF(A357="","",LEFT(AF357,AG357)&amp;REPT("0",4-AG357)&amp;RIGHT("000"&amp;IFERROR(VALUE(MID(AF357,AG357+1,9)),0),3)&amp;RIGHT("0000"&amp;IFERROR(VALUE(MID(A357,FIND("-",A357)+1,9)),0),4))</f>
        <v/>
      </c>
      <c r="AI357" s="11" t="str">
        <f aca="false">IF(OR(A357="",N(E357)&lt;=0),"",IF('FALTAS GERAL'!$M$1="Código","K"&amp;AH357&amp;RIGHT("00000"&amp;ROW(),5),IF('FALTAS GERAL'!$M$1="Nome","K"&amp;UPPER(SUBSTITUTE(SUBSTITUTE(SUBSTITUTE(B357,"*",""),"?",""),"~",""))&amp;"0"&amp;AH357&amp;RIGHT("00000"&amp;ROW(),5),IF('FALTAS GERAL'!$M$1="Falta (maior primeiro)","K"&amp;RIGHT("0000"&amp;(9999-E357),4)&amp;AH357&amp;RIGHT("00000"&amp;ROW(),5),IF('FALTAS GERAL'!$M$1="Nº de decks (maior primeiro)","K"&amp;RIGHT("00"&amp;(99-N(G357)),2)&amp;AH357&amp;RIGHT("00000"&amp;ROW(),5),"K"&amp;RIGHT("00000"&amp;ROW(),5))))))</f>
        <v/>
      </c>
      <c r="AJ357" s="11" t="str">
        <f aca="false">IF(AI357="","",COUNTIFS($AI$2:$AI$801,"&lt;"&amp;AI357,$E$2:$E$801,"&gt;0")+1)</f>
        <v/>
      </c>
      <c r="AK357" s="11" t="str">
        <f aca="false">IF(OR(A357="",N(E357)&lt;=0),"",COUNTIFS($AH$2:$AH$801,"&lt;"&amp;AH357,$E$2:$E$801,"&gt;0")+COUNTIFS($AH$2:AH357,AH357,$E$2:E357,"&gt;0"))</f>
        <v/>
      </c>
    </row>
    <row r="358" customFormat="false" ht="15" hidden="false" customHeight="false" outlineLevel="0" collapsed="false">
      <c r="A358" s="11" t="str">
        <f aca="false">IF(INVENTÁRIO!A358="","",INVENTÁRIO!A358)</f>
        <v/>
      </c>
      <c r="B358" s="11" t="str">
        <f aca="false">IF(A358="","",INVENTÁRIO!B358)</f>
        <v/>
      </c>
      <c r="C358" s="16" t="str">
        <f aca="false">IF(A358="","",INVENTÁRIO!C358)</f>
        <v/>
      </c>
      <c r="D358" s="14" t="str">
        <f aca="false">IF(A358="","",MAX(K358:AD358))</f>
        <v/>
      </c>
      <c r="E358" s="14" t="str">
        <f aca="false">IF(A358="","",MAX(0,D358-C358))</f>
        <v/>
      </c>
      <c r="F358" s="16" t="str">
        <f aca="false">IF(A358="","",IF(D358=0,"Fora dos decks",IF(E358=0,"Completo","Falta")))</f>
        <v/>
      </c>
      <c r="G358" s="16" t="str">
        <f aca="false">IF(A358="","",COUNTIF(K358:AD358,"&gt;0"))</f>
        <v/>
      </c>
      <c r="H358" s="16" t="str">
        <f aca="false">IF(A358="","",IF(G358&gt;1,"Sim",""))</f>
        <v/>
      </c>
      <c r="I358" s="18" t="str">
        <f aca="false">IF(A358="","",SUMIFS(DECKS!$D$2:$D$1201,DECKS!$B$2:$B$1201,A358))</f>
        <v/>
      </c>
      <c r="J358" s="18" t="str">
        <f aca="false">IF(A358="","",MAX(0,I358-C358))</f>
        <v/>
      </c>
      <c r="K358" s="19" t="str">
        <f aca="false">IF(OR($A358="",INDEX(_LEITURA!$Q$2:$Q$21,1)=0),"",SUMIFS(DECKS!$D$2:$D$1201,DECKS!$A$2:$A$1201,INDEX(_LEITURA!$P$2:$P$21,1),DECKS!$B$2:$B$1201,$A358))</f>
        <v/>
      </c>
      <c r="L358" s="19" t="str">
        <f aca="false">IF(OR($A358="",INDEX(_LEITURA!$Q$2:$Q$21,2)=0),"",SUMIFS(DECKS!$D$2:$D$1201,DECKS!$A$2:$A$1201,INDEX(_LEITURA!$P$2:$P$21,2),DECKS!$B$2:$B$1201,$A358))</f>
        <v/>
      </c>
      <c r="M358" s="19" t="str">
        <f aca="false">IF(OR($A358="",INDEX(_LEITURA!$Q$2:$Q$21,3)=0),"",SUMIFS(DECKS!$D$2:$D$1201,DECKS!$A$2:$A$1201,INDEX(_LEITURA!$P$2:$P$21,3),DECKS!$B$2:$B$1201,$A358))</f>
        <v/>
      </c>
      <c r="N358" s="19" t="str">
        <f aca="false">IF(OR($A358="",INDEX(_LEITURA!$Q$2:$Q$21,4)=0),"",SUMIFS(DECKS!$D$2:$D$1201,DECKS!$A$2:$A$1201,INDEX(_LEITURA!$P$2:$P$21,4),DECKS!$B$2:$B$1201,$A358))</f>
        <v/>
      </c>
      <c r="O358" s="19" t="str">
        <f aca="false">IF(OR($A358="",INDEX(_LEITURA!$Q$2:$Q$21,5)=0),"",SUMIFS(DECKS!$D$2:$D$1201,DECKS!$A$2:$A$1201,INDEX(_LEITURA!$P$2:$P$21,5),DECKS!$B$2:$B$1201,$A358))</f>
        <v/>
      </c>
      <c r="P358" s="19" t="str">
        <f aca="false">IF(OR($A358="",INDEX(_LEITURA!$Q$2:$Q$21,6)=0),"",SUMIFS(DECKS!$D$2:$D$1201,DECKS!$A$2:$A$1201,INDEX(_LEITURA!$P$2:$P$21,6),DECKS!$B$2:$B$1201,$A358))</f>
        <v/>
      </c>
      <c r="Q358" s="19" t="str">
        <f aca="false">IF(OR($A358="",INDEX(_LEITURA!$Q$2:$Q$21,7)=0),"",SUMIFS(DECKS!$D$2:$D$1201,DECKS!$A$2:$A$1201,INDEX(_LEITURA!$P$2:$P$21,7),DECKS!$B$2:$B$1201,$A358))</f>
        <v/>
      </c>
      <c r="R358" s="19" t="str">
        <f aca="false">IF(OR($A358="",INDEX(_LEITURA!$Q$2:$Q$21,8)=0),"",SUMIFS(DECKS!$D$2:$D$1201,DECKS!$A$2:$A$1201,INDEX(_LEITURA!$P$2:$P$21,8),DECKS!$B$2:$B$1201,$A358))</f>
        <v/>
      </c>
      <c r="S358" s="19" t="str">
        <f aca="false">IF(OR($A358="",INDEX(_LEITURA!$Q$2:$Q$21,9)=0),"",SUMIFS(DECKS!$D$2:$D$1201,DECKS!$A$2:$A$1201,INDEX(_LEITURA!$P$2:$P$21,9),DECKS!$B$2:$B$1201,$A358))</f>
        <v/>
      </c>
      <c r="T358" s="19" t="str">
        <f aca="false">IF(OR($A358="",INDEX(_LEITURA!$Q$2:$Q$21,10)=0),"",SUMIFS(DECKS!$D$2:$D$1201,DECKS!$A$2:$A$1201,INDEX(_LEITURA!$P$2:$P$21,10),DECKS!$B$2:$B$1201,$A358))</f>
        <v/>
      </c>
      <c r="U358" s="19" t="str">
        <f aca="false">IF(OR($A358="",INDEX(_LEITURA!$Q$2:$Q$21,11)=0),"",SUMIFS(DECKS!$D$2:$D$1201,DECKS!$A$2:$A$1201,INDEX(_LEITURA!$P$2:$P$21,11),DECKS!$B$2:$B$1201,$A358))</f>
        <v/>
      </c>
      <c r="V358" s="19" t="str">
        <f aca="false">IF(OR($A358="",INDEX(_LEITURA!$Q$2:$Q$21,12)=0),"",SUMIFS(DECKS!$D$2:$D$1201,DECKS!$A$2:$A$1201,INDEX(_LEITURA!$P$2:$P$21,12),DECKS!$B$2:$B$1201,$A358))</f>
        <v/>
      </c>
      <c r="W358" s="19" t="str">
        <f aca="false">IF(OR($A358="",INDEX(_LEITURA!$Q$2:$Q$21,13)=0),"",SUMIFS(DECKS!$D$2:$D$1201,DECKS!$A$2:$A$1201,INDEX(_LEITURA!$P$2:$P$21,13),DECKS!$B$2:$B$1201,$A358))</f>
        <v/>
      </c>
      <c r="X358" s="19" t="str">
        <f aca="false">IF(OR($A358="",INDEX(_LEITURA!$Q$2:$Q$21,14)=0),"",SUMIFS(DECKS!$D$2:$D$1201,DECKS!$A$2:$A$1201,INDEX(_LEITURA!$P$2:$P$21,14),DECKS!$B$2:$B$1201,$A358))</f>
        <v/>
      </c>
      <c r="Y358" s="19" t="str">
        <f aca="false">IF(OR($A358="",INDEX(_LEITURA!$Q$2:$Q$21,15)=0),"",SUMIFS(DECKS!$D$2:$D$1201,DECKS!$A$2:$A$1201,INDEX(_LEITURA!$P$2:$P$21,15),DECKS!$B$2:$B$1201,$A358))</f>
        <v/>
      </c>
      <c r="Z358" s="19" t="str">
        <f aca="false">IF(OR($A358="",INDEX(_LEITURA!$Q$2:$Q$21,16)=0),"",SUMIFS(DECKS!$D$2:$D$1201,DECKS!$A$2:$A$1201,INDEX(_LEITURA!$P$2:$P$21,16),DECKS!$B$2:$B$1201,$A358))</f>
        <v/>
      </c>
      <c r="AA358" s="19" t="str">
        <f aca="false">IF(OR($A358="",INDEX(_LEITURA!$Q$2:$Q$21,17)=0),"",SUMIFS(DECKS!$D$2:$D$1201,DECKS!$A$2:$A$1201,INDEX(_LEITURA!$P$2:$P$21,17),DECKS!$B$2:$B$1201,$A358))</f>
        <v/>
      </c>
      <c r="AB358" s="19" t="str">
        <f aca="false">IF(OR($A358="",INDEX(_LEITURA!$Q$2:$Q$21,18)=0),"",SUMIFS(DECKS!$D$2:$D$1201,DECKS!$A$2:$A$1201,INDEX(_LEITURA!$P$2:$P$21,18),DECKS!$B$2:$B$1201,$A358))</f>
        <v/>
      </c>
      <c r="AC358" s="19" t="str">
        <f aca="false">IF(OR($A358="",INDEX(_LEITURA!$Q$2:$Q$21,19)=0),"",SUMIFS(DECKS!$D$2:$D$1201,DECKS!$A$2:$A$1201,INDEX(_LEITURA!$P$2:$P$21,19),DECKS!$B$2:$B$1201,$A358))</f>
        <v/>
      </c>
      <c r="AD358" s="19" t="str">
        <f aca="false">IF(OR($A358="",INDEX(_LEITURA!$Q$2:$Q$21,20)=0),"",SUMIFS(DECKS!$D$2:$D$1201,DECKS!$A$2:$A$1201,INDEX(_LEITURA!$P$2:$P$21,20),DECKS!$B$2:$B$1201,$A358))</f>
        <v/>
      </c>
      <c r="AE358" s="16" t="str">
        <f aca="false">IF(N(E358)&gt;0,MAX(AE$1:AE357)+1,"")</f>
        <v/>
      </c>
      <c r="AF358" s="11" t="str">
        <f aca="false">IF(A358="","",IFERROR(LEFT(A358,FIND("-",A358)-1),A358))</f>
        <v/>
      </c>
      <c r="AG358" s="11" t="str">
        <f aca="false">IF(AF358="","",IF(ISNUMBER(--MID(AF358,1,1)),0,IF(ISNUMBER(--MID(AF358,2,1)),1,IF(ISNUMBER(--MID(AF358,3,1)),2,IF(ISNUMBER(--MID(AF358,4,1)),3,MIN(LEN(AF358),4))))))</f>
        <v/>
      </c>
      <c r="AH358" s="11" t="str">
        <f aca="false">IF(A358="","",LEFT(AF358,AG358)&amp;REPT("0",4-AG358)&amp;RIGHT("000"&amp;IFERROR(VALUE(MID(AF358,AG358+1,9)),0),3)&amp;RIGHT("0000"&amp;IFERROR(VALUE(MID(A358,FIND("-",A358)+1,9)),0),4))</f>
        <v/>
      </c>
      <c r="AI358" s="11" t="str">
        <f aca="false">IF(OR(A358="",N(E358)&lt;=0),"",IF('FALTAS GERAL'!$M$1="Código","K"&amp;AH358&amp;RIGHT("00000"&amp;ROW(),5),IF('FALTAS GERAL'!$M$1="Nome","K"&amp;UPPER(SUBSTITUTE(SUBSTITUTE(SUBSTITUTE(B358,"*",""),"?",""),"~",""))&amp;"0"&amp;AH358&amp;RIGHT("00000"&amp;ROW(),5),IF('FALTAS GERAL'!$M$1="Falta (maior primeiro)","K"&amp;RIGHT("0000"&amp;(9999-E358),4)&amp;AH358&amp;RIGHT("00000"&amp;ROW(),5),IF('FALTAS GERAL'!$M$1="Nº de decks (maior primeiro)","K"&amp;RIGHT("00"&amp;(99-N(G358)),2)&amp;AH358&amp;RIGHT("00000"&amp;ROW(),5),"K"&amp;RIGHT("00000"&amp;ROW(),5))))))</f>
        <v/>
      </c>
      <c r="AJ358" s="11" t="str">
        <f aca="false">IF(AI358="","",COUNTIFS($AI$2:$AI$801,"&lt;"&amp;AI358,$E$2:$E$801,"&gt;0")+1)</f>
        <v/>
      </c>
      <c r="AK358" s="11" t="str">
        <f aca="false">IF(OR(A358="",N(E358)&lt;=0),"",COUNTIFS($AH$2:$AH$801,"&lt;"&amp;AH358,$E$2:$E$801,"&gt;0")+COUNTIFS($AH$2:AH358,AH358,$E$2:E358,"&gt;0"))</f>
        <v/>
      </c>
    </row>
    <row r="359" customFormat="false" ht="15" hidden="false" customHeight="false" outlineLevel="0" collapsed="false">
      <c r="A359" s="11" t="str">
        <f aca="false">IF(INVENTÁRIO!A359="","",INVENTÁRIO!A359)</f>
        <v/>
      </c>
      <c r="B359" s="11" t="str">
        <f aca="false">IF(A359="","",INVENTÁRIO!B359)</f>
        <v/>
      </c>
      <c r="C359" s="16" t="str">
        <f aca="false">IF(A359="","",INVENTÁRIO!C359)</f>
        <v/>
      </c>
      <c r="D359" s="14" t="str">
        <f aca="false">IF(A359="","",MAX(K359:AD359))</f>
        <v/>
      </c>
      <c r="E359" s="14" t="str">
        <f aca="false">IF(A359="","",MAX(0,D359-C359))</f>
        <v/>
      </c>
      <c r="F359" s="16" t="str">
        <f aca="false">IF(A359="","",IF(D359=0,"Fora dos decks",IF(E359=0,"Completo","Falta")))</f>
        <v/>
      </c>
      <c r="G359" s="16" t="str">
        <f aca="false">IF(A359="","",COUNTIF(K359:AD359,"&gt;0"))</f>
        <v/>
      </c>
      <c r="H359" s="16" t="str">
        <f aca="false">IF(A359="","",IF(G359&gt;1,"Sim",""))</f>
        <v/>
      </c>
      <c r="I359" s="18" t="str">
        <f aca="false">IF(A359="","",SUMIFS(DECKS!$D$2:$D$1201,DECKS!$B$2:$B$1201,A359))</f>
        <v/>
      </c>
      <c r="J359" s="18" t="str">
        <f aca="false">IF(A359="","",MAX(0,I359-C359))</f>
        <v/>
      </c>
      <c r="K359" s="19" t="str">
        <f aca="false">IF(OR($A359="",INDEX(_LEITURA!$Q$2:$Q$21,1)=0),"",SUMIFS(DECKS!$D$2:$D$1201,DECKS!$A$2:$A$1201,INDEX(_LEITURA!$P$2:$P$21,1),DECKS!$B$2:$B$1201,$A359))</f>
        <v/>
      </c>
      <c r="L359" s="19" t="str">
        <f aca="false">IF(OR($A359="",INDEX(_LEITURA!$Q$2:$Q$21,2)=0),"",SUMIFS(DECKS!$D$2:$D$1201,DECKS!$A$2:$A$1201,INDEX(_LEITURA!$P$2:$P$21,2),DECKS!$B$2:$B$1201,$A359))</f>
        <v/>
      </c>
      <c r="M359" s="19" t="str">
        <f aca="false">IF(OR($A359="",INDEX(_LEITURA!$Q$2:$Q$21,3)=0),"",SUMIFS(DECKS!$D$2:$D$1201,DECKS!$A$2:$A$1201,INDEX(_LEITURA!$P$2:$P$21,3),DECKS!$B$2:$B$1201,$A359))</f>
        <v/>
      </c>
      <c r="N359" s="19" t="str">
        <f aca="false">IF(OR($A359="",INDEX(_LEITURA!$Q$2:$Q$21,4)=0),"",SUMIFS(DECKS!$D$2:$D$1201,DECKS!$A$2:$A$1201,INDEX(_LEITURA!$P$2:$P$21,4),DECKS!$B$2:$B$1201,$A359))</f>
        <v/>
      </c>
      <c r="O359" s="19" t="str">
        <f aca="false">IF(OR($A359="",INDEX(_LEITURA!$Q$2:$Q$21,5)=0),"",SUMIFS(DECKS!$D$2:$D$1201,DECKS!$A$2:$A$1201,INDEX(_LEITURA!$P$2:$P$21,5),DECKS!$B$2:$B$1201,$A359))</f>
        <v/>
      </c>
      <c r="P359" s="19" t="str">
        <f aca="false">IF(OR($A359="",INDEX(_LEITURA!$Q$2:$Q$21,6)=0),"",SUMIFS(DECKS!$D$2:$D$1201,DECKS!$A$2:$A$1201,INDEX(_LEITURA!$P$2:$P$21,6),DECKS!$B$2:$B$1201,$A359))</f>
        <v/>
      </c>
      <c r="Q359" s="19" t="str">
        <f aca="false">IF(OR($A359="",INDEX(_LEITURA!$Q$2:$Q$21,7)=0),"",SUMIFS(DECKS!$D$2:$D$1201,DECKS!$A$2:$A$1201,INDEX(_LEITURA!$P$2:$P$21,7),DECKS!$B$2:$B$1201,$A359))</f>
        <v/>
      </c>
      <c r="R359" s="19" t="str">
        <f aca="false">IF(OR($A359="",INDEX(_LEITURA!$Q$2:$Q$21,8)=0),"",SUMIFS(DECKS!$D$2:$D$1201,DECKS!$A$2:$A$1201,INDEX(_LEITURA!$P$2:$P$21,8),DECKS!$B$2:$B$1201,$A359))</f>
        <v/>
      </c>
      <c r="S359" s="19" t="str">
        <f aca="false">IF(OR($A359="",INDEX(_LEITURA!$Q$2:$Q$21,9)=0),"",SUMIFS(DECKS!$D$2:$D$1201,DECKS!$A$2:$A$1201,INDEX(_LEITURA!$P$2:$P$21,9),DECKS!$B$2:$B$1201,$A359))</f>
        <v/>
      </c>
      <c r="T359" s="19" t="str">
        <f aca="false">IF(OR($A359="",INDEX(_LEITURA!$Q$2:$Q$21,10)=0),"",SUMIFS(DECKS!$D$2:$D$1201,DECKS!$A$2:$A$1201,INDEX(_LEITURA!$P$2:$P$21,10),DECKS!$B$2:$B$1201,$A359))</f>
        <v/>
      </c>
      <c r="U359" s="19" t="str">
        <f aca="false">IF(OR($A359="",INDEX(_LEITURA!$Q$2:$Q$21,11)=0),"",SUMIFS(DECKS!$D$2:$D$1201,DECKS!$A$2:$A$1201,INDEX(_LEITURA!$P$2:$P$21,11),DECKS!$B$2:$B$1201,$A359))</f>
        <v/>
      </c>
      <c r="V359" s="19" t="str">
        <f aca="false">IF(OR($A359="",INDEX(_LEITURA!$Q$2:$Q$21,12)=0),"",SUMIFS(DECKS!$D$2:$D$1201,DECKS!$A$2:$A$1201,INDEX(_LEITURA!$P$2:$P$21,12),DECKS!$B$2:$B$1201,$A359))</f>
        <v/>
      </c>
      <c r="W359" s="19" t="str">
        <f aca="false">IF(OR($A359="",INDEX(_LEITURA!$Q$2:$Q$21,13)=0),"",SUMIFS(DECKS!$D$2:$D$1201,DECKS!$A$2:$A$1201,INDEX(_LEITURA!$P$2:$P$21,13),DECKS!$B$2:$B$1201,$A359))</f>
        <v/>
      </c>
      <c r="X359" s="19" t="str">
        <f aca="false">IF(OR($A359="",INDEX(_LEITURA!$Q$2:$Q$21,14)=0),"",SUMIFS(DECKS!$D$2:$D$1201,DECKS!$A$2:$A$1201,INDEX(_LEITURA!$P$2:$P$21,14),DECKS!$B$2:$B$1201,$A359))</f>
        <v/>
      </c>
      <c r="Y359" s="19" t="str">
        <f aca="false">IF(OR($A359="",INDEX(_LEITURA!$Q$2:$Q$21,15)=0),"",SUMIFS(DECKS!$D$2:$D$1201,DECKS!$A$2:$A$1201,INDEX(_LEITURA!$P$2:$P$21,15),DECKS!$B$2:$B$1201,$A359))</f>
        <v/>
      </c>
      <c r="Z359" s="19" t="str">
        <f aca="false">IF(OR($A359="",INDEX(_LEITURA!$Q$2:$Q$21,16)=0),"",SUMIFS(DECKS!$D$2:$D$1201,DECKS!$A$2:$A$1201,INDEX(_LEITURA!$P$2:$P$21,16),DECKS!$B$2:$B$1201,$A359))</f>
        <v/>
      </c>
      <c r="AA359" s="19" t="str">
        <f aca="false">IF(OR($A359="",INDEX(_LEITURA!$Q$2:$Q$21,17)=0),"",SUMIFS(DECKS!$D$2:$D$1201,DECKS!$A$2:$A$1201,INDEX(_LEITURA!$P$2:$P$21,17),DECKS!$B$2:$B$1201,$A359))</f>
        <v/>
      </c>
      <c r="AB359" s="19" t="str">
        <f aca="false">IF(OR($A359="",INDEX(_LEITURA!$Q$2:$Q$21,18)=0),"",SUMIFS(DECKS!$D$2:$D$1201,DECKS!$A$2:$A$1201,INDEX(_LEITURA!$P$2:$P$21,18),DECKS!$B$2:$B$1201,$A359))</f>
        <v/>
      </c>
      <c r="AC359" s="19" t="str">
        <f aca="false">IF(OR($A359="",INDEX(_LEITURA!$Q$2:$Q$21,19)=0),"",SUMIFS(DECKS!$D$2:$D$1201,DECKS!$A$2:$A$1201,INDEX(_LEITURA!$P$2:$P$21,19),DECKS!$B$2:$B$1201,$A359))</f>
        <v/>
      </c>
      <c r="AD359" s="19" t="str">
        <f aca="false">IF(OR($A359="",INDEX(_LEITURA!$Q$2:$Q$21,20)=0),"",SUMIFS(DECKS!$D$2:$D$1201,DECKS!$A$2:$A$1201,INDEX(_LEITURA!$P$2:$P$21,20),DECKS!$B$2:$B$1201,$A359))</f>
        <v/>
      </c>
      <c r="AE359" s="16" t="str">
        <f aca="false">IF(N(E359)&gt;0,MAX(AE$1:AE358)+1,"")</f>
        <v/>
      </c>
      <c r="AF359" s="11" t="str">
        <f aca="false">IF(A359="","",IFERROR(LEFT(A359,FIND("-",A359)-1),A359))</f>
        <v/>
      </c>
      <c r="AG359" s="11" t="str">
        <f aca="false">IF(AF359="","",IF(ISNUMBER(--MID(AF359,1,1)),0,IF(ISNUMBER(--MID(AF359,2,1)),1,IF(ISNUMBER(--MID(AF359,3,1)),2,IF(ISNUMBER(--MID(AF359,4,1)),3,MIN(LEN(AF359),4))))))</f>
        <v/>
      </c>
      <c r="AH359" s="11" t="str">
        <f aca="false">IF(A359="","",LEFT(AF359,AG359)&amp;REPT("0",4-AG359)&amp;RIGHT("000"&amp;IFERROR(VALUE(MID(AF359,AG359+1,9)),0),3)&amp;RIGHT("0000"&amp;IFERROR(VALUE(MID(A359,FIND("-",A359)+1,9)),0),4))</f>
        <v/>
      </c>
      <c r="AI359" s="11" t="str">
        <f aca="false">IF(OR(A359="",N(E359)&lt;=0),"",IF('FALTAS GERAL'!$M$1="Código","K"&amp;AH359&amp;RIGHT("00000"&amp;ROW(),5),IF('FALTAS GERAL'!$M$1="Nome","K"&amp;UPPER(SUBSTITUTE(SUBSTITUTE(SUBSTITUTE(B359,"*",""),"?",""),"~",""))&amp;"0"&amp;AH359&amp;RIGHT("00000"&amp;ROW(),5),IF('FALTAS GERAL'!$M$1="Falta (maior primeiro)","K"&amp;RIGHT("0000"&amp;(9999-E359),4)&amp;AH359&amp;RIGHT("00000"&amp;ROW(),5),IF('FALTAS GERAL'!$M$1="Nº de decks (maior primeiro)","K"&amp;RIGHT("00"&amp;(99-N(G359)),2)&amp;AH359&amp;RIGHT("00000"&amp;ROW(),5),"K"&amp;RIGHT("00000"&amp;ROW(),5))))))</f>
        <v/>
      </c>
      <c r="AJ359" s="11" t="str">
        <f aca="false">IF(AI359="","",COUNTIFS($AI$2:$AI$801,"&lt;"&amp;AI359,$E$2:$E$801,"&gt;0")+1)</f>
        <v/>
      </c>
      <c r="AK359" s="11" t="str">
        <f aca="false">IF(OR(A359="",N(E359)&lt;=0),"",COUNTIFS($AH$2:$AH$801,"&lt;"&amp;AH359,$E$2:$E$801,"&gt;0")+COUNTIFS($AH$2:AH359,AH359,$E$2:E359,"&gt;0"))</f>
        <v/>
      </c>
    </row>
    <row r="360" customFormat="false" ht="15" hidden="false" customHeight="false" outlineLevel="0" collapsed="false">
      <c r="A360" s="11" t="str">
        <f aca="false">IF(INVENTÁRIO!A360="","",INVENTÁRIO!A360)</f>
        <v/>
      </c>
      <c r="B360" s="11" t="str">
        <f aca="false">IF(A360="","",INVENTÁRIO!B360)</f>
        <v/>
      </c>
      <c r="C360" s="16" t="str">
        <f aca="false">IF(A360="","",INVENTÁRIO!C360)</f>
        <v/>
      </c>
      <c r="D360" s="14" t="str">
        <f aca="false">IF(A360="","",MAX(K360:AD360))</f>
        <v/>
      </c>
      <c r="E360" s="14" t="str">
        <f aca="false">IF(A360="","",MAX(0,D360-C360))</f>
        <v/>
      </c>
      <c r="F360" s="16" t="str">
        <f aca="false">IF(A360="","",IF(D360=0,"Fora dos decks",IF(E360=0,"Completo","Falta")))</f>
        <v/>
      </c>
      <c r="G360" s="16" t="str">
        <f aca="false">IF(A360="","",COUNTIF(K360:AD360,"&gt;0"))</f>
        <v/>
      </c>
      <c r="H360" s="16" t="str">
        <f aca="false">IF(A360="","",IF(G360&gt;1,"Sim",""))</f>
        <v/>
      </c>
      <c r="I360" s="18" t="str">
        <f aca="false">IF(A360="","",SUMIFS(DECKS!$D$2:$D$1201,DECKS!$B$2:$B$1201,A360))</f>
        <v/>
      </c>
      <c r="J360" s="18" t="str">
        <f aca="false">IF(A360="","",MAX(0,I360-C360))</f>
        <v/>
      </c>
      <c r="K360" s="19" t="str">
        <f aca="false">IF(OR($A360="",INDEX(_LEITURA!$Q$2:$Q$21,1)=0),"",SUMIFS(DECKS!$D$2:$D$1201,DECKS!$A$2:$A$1201,INDEX(_LEITURA!$P$2:$P$21,1),DECKS!$B$2:$B$1201,$A360))</f>
        <v/>
      </c>
      <c r="L360" s="19" t="str">
        <f aca="false">IF(OR($A360="",INDEX(_LEITURA!$Q$2:$Q$21,2)=0),"",SUMIFS(DECKS!$D$2:$D$1201,DECKS!$A$2:$A$1201,INDEX(_LEITURA!$P$2:$P$21,2),DECKS!$B$2:$B$1201,$A360))</f>
        <v/>
      </c>
      <c r="M360" s="19" t="str">
        <f aca="false">IF(OR($A360="",INDEX(_LEITURA!$Q$2:$Q$21,3)=0),"",SUMIFS(DECKS!$D$2:$D$1201,DECKS!$A$2:$A$1201,INDEX(_LEITURA!$P$2:$P$21,3),DECKS!$B$2:$B$1201,$A360))</f>
        <v/>
      </c>
      <c r="N360" s="19" t="str">
        <f aca="false">IF(OR($A360="",INDEX(_LEITURA!$Q$2:$Q$21,4)=0),"",SUMIFS(DECKS!$D$2:$D$1201,DECKS!$A$2:$A$1201,INDEX(_LEITURA!$P$2:$P$21,4),DECKS!$B$2:$B$1201,$A360))</f>
        <v/>
      </c>
      <c r="O360" s="19" t="str">
        <f aca="false">IF(OR($A360="",INDEX(_LEITURA!$Q$2:$Q$21,5)=0),"",SUMIFS(DECKS!$D$2:$D$1201,DECKS!$A$2:$A$1201,INDEX(_LEITURA!$P$2:$P$21,5),DECKS!$B$2:$B$1201,$A360))</f>
        <v/>
      </c>
      <c r="P360" s="19" t="str">
        <f aca="false">IF(OR($A360="",INDEX(_LEITURA!$Q$2:$Q$21,6)=0),"",SUMIFS(DECKS!$D$2:$D$1201,DECKS!$A$2:$A$1201,INDEX(_LEITURA!$P$2:$P$21,6),DECKS!$B$2:$B$1201,$A360))</f>
        <v/>
      </c>
      <c r="Q360" s="19" t="str">
        <f aca="false">IF(OR($A360="",INDEX(_LEITURA!$Q$2:$Q$21,7)=0),"",SUMIFS(DECKS!$D$2:$D$1201,DECKS!$A$2:$A$1201,INDEX(_LEITURA!$P$2:$P$21,7),DECKS!$B$2:$B$1201,$A360))</f>
        <v/>
      </c>
      <c r="R360" s="19" t="str">
        <f aca="false">IF(OR($A360="",INDEX(_LEITURA!$Q$2:$Q$21,8)=0),"",SUMIFS(DECKS!$D$2:$D$1201,DECKS!$A$2:$A$1201,INDEX(_LEITURA!$P$2:$P$21,8),DECKS!$B$2:$B$1201,$A360))</f>
        <v/>
      </c>
      <c r="S360" s="19" t="str">
        <f aca="false">IF(OR($A360="",INDEX(_LEITURA!$Q$2:$Q$21,9)=0),"",SUMIFS(DECKS!$D$2:$D$1201,DECKS!$A$2:$A$1201,INDEX(_LEITURA!$P$2:$P$21,9),DECKS!$B$2:$B$1201,$A360))</f>
        <v/>
      </c>
      <c r="T360" s="19" t="str">
        <f aca="false">IF(OR($A360="",INDEX(_LEITURA!$Q$2:$Q$21,10)=0),"",SUMIFS(DECKS!$D$2:$D$1201,DECKS!$A$2:$A$1201,INDEX(_LEITURA!$P$2:$P$21,10),DECKS!$B$2:$B$1201,$A360))</f>
        <v/>
      </c>
      <c r="U360" s="19" t="str">
        <f aca="false">IF(OR($A360="",INDEX(_LEITURA!$Q$2:$Q$21,11)=0),"",SUMIFS(DECKS!$D$2:$D$1201,DECKS!$A$2:$A$1201,INDEX(_LEITURA!$P$2:$P$21,11),DECKS!$B$2:$B$1201,$A360))</f>
        <v/>
      </c>
      <c r="V360" s="19" t="str">
        <f aca="false">IF(OR($A360="",INDEX(_LEITURA!$Q$2:$Q$21,12)=0),"",SUMIFS(DECKS!$D$2:$D$1201,DECKS!$A$2:$A$1201,INDEX(_LEITURA!$P$2:$P$21,12),DECKS!$B$2:$B$1201,$A360))</f>
        <v/>
      </c>
      <c r="W360" s="19" t="str">
        <f aca="false">IF(OR($A360="",INDEX(_LEITURA!$Q$2:$Q$21,13)=0),"",SUMIFS(DECKS!$D$2:$D$1201,DECKS!$A$2:$A$1201,INDEX(_LEITURA!$P$2:$P$21,13),DECKS!$B$2:$B$1201,$A360))</f>
        <v/>
      </c>
      <c r="X360" s="19" t="str">
        <f aca="false">IF(OR($A360="",INDEX(_LEITURA!$Q$2:$Q$21,14)=0),"",SUMIFS(DECKS!$D$2:$D$1201,DECKS!$A$2:$A$1201,INDEX(_LEITURA!$P$2:$P$21,14),DECKS!$B$2:$B$1201,$A360))</f>
        <v/>
      </c>
      <c r="Y360" s="19" t="str">
        <f aca="false">IF(OR($A360="",INDEX(_LEITURA!$Q$2:$Q$21,15)=0),"",SUMIFS(DECKS!$D$2:$D$1201,DECKS!$A$2:$A$1201,INDEX(_LEITURA!$P$2:$P$21,15),DECKS!$B$2:$B$1201,$A360))</f>
        <v/>
      </c>
      <c r="Z360" s="19" t="str">
        <f aca="false">IF(OR($A360="",INDEX(_LEITURA!$Q$2:$Q$21,16)=0),"",SUMIFS(DECKS!$D$2:$D$1201,DECKS!$A$2:$A$1201,INDEX(_LEITURA!$P$2:$P$21,16),DECKS!$B$2:$B$1201,$A360))</f>
        <v/>
      </c>
      <c r="AA360" s="19" t="str">
        <f aca="false">IF(OR($A360="",INDEX(_LEITURA!$Q$2:$Q$21,17)=0),"",SUMIFS(DECKS!$D$2:$D$1201,DECKS!$A$2:$A$1201,INDEX(_LEITURA!$P$2:$P$21,17),DECKS!$B$2:$B$1201,$A360))</f>
        <v/>
      </c>
      <c r="AB360" s="19" t="str">
        <f aca="false">IF(OR($A360="",INDEX(_LEITURA!$Q$2:$Q$21,18)=0),"",SUMIFS(DECKS!$D$2:$D$1201,DECKS!$A$2:$A$1201,INDEX(_LEITURA!$P$2:$P$21,18),DECKS!$B$2:$B$1201,$A360))</f>
        <v/>
      </c>
      <c r="AC360" s="19" t="str">
        <f aca="false">IF(OR($A360="",INDEX(_LEITURA!$Q$2:$Q$21,19)=0),"",SUMIFS(DECKS!$D$2:$D$1201,DECKS!$A$2:$A$1201,INDEX(_LEITURA!$P$2:$P$21,19),DECKS!$B$2:$B$1201,$A360))</f>
        <v/>
      </c>
      <c r="AD360" s="19" t="str">
        <f aca="false">IF(OR($A360="",INDEX(_LEITURA!$Q$2:$Q$21,20)=0),"",SUMIFS(DECKS!$D$2:$D$1201,DECKS!$A$2:$A$1201,INDEX(_LEITURA!$P$2:$P$21,20),DECKS!$B$2:$B$1201,$A360))</f>
        <v/>
      </c>
      <c r="AE360" s="16" t="str">
        <f aca="false">IF(N(E360)&gt;0,MAX(AE$1:AE359)+1,"")</f>
        <v/>
      </c>
      <c r="AF360" s="11" t="str">
        <f aca="false">IF(A360="","",IFERROR(LEFT(A360,FIND("-",A360)-1),A360))</f>
        <v/>
      </c>
      <c r="AG360" s="11" t="str">
        <f aca="false">IF(AF360="","",IF(ISNUMBER(--MID(AF360,1,1)),0,IF(ISNUMBER(--MID(AF360,2,1)),1,IF(ISNUMBER(--MID(AF360,3,1)),2,IF(ISNUMBER(--MID(AF360,4,1)),3,MIN(LEN(AF360),4))))))</f>
        <v/>
      </c>
      <c r="AH360" s="11" t="str">
        <f aca="false">IF(A360="","",LEFT(AF360,AG360)&amp;REPT("0",4-AG360)&amp;RIGHT("000"&amp;IFERROR(VALUE(MID(AF360,AG360+1,9)),0),3)&amp;RIGHT("0000"&amp;IFERROR(VALUE(MID(A360,FIND("-",A360)+1,9)),0),4))</f>
        <v/>
      </c>
      <c r="AI360" s="11" t="str">
        <f aca="false">IF(OR(A360="",N(E360)&lt;=0),"",IF('FALTAS GERAL'!$M$1="Código","K"&amp;AH360&amp;RIGHT("00000"&amp;ROW(),5),IF('FALTAS GERAL'!$M$1="Nome","K"&amp;UPPER(SUBSTITUTE(SUBSTITUTE(SUBSTITUTE(B360,"*",""),"?",""),"~",""))&amp;"0"&amp;AH360&amp;RIGHT("00000"&amp;ROW(),5),IF('FALTAS GERAL'!$M$1="Falta (maior primeiro)","K"&amp;RIGHT("0000"&amp;(9999-E360),4)&amp;AH360&amp;RIGHT("00000"&amp;ROW(),5),IF('FALTAS GERAL'!$M$1="Nº de decks (maior primeiro)","K"&amp;RIGHT("00"&amp;(99-N(G360)),2)&amp;AH360&amp;RIGHT("00000"&amp;ROW(),5),"K"&amp;RIGHT("00000"&amp;ROW(),5))))))</f>
        <v/>
      </c>
      <c r="AJ360" s="11" t="str">
        <f aca="false">IF(AI360="","",COUNTIFS($AI$2:$AI$801,"&lt;"&amp;AI360,$E$2:$E$801,"&gt;0")+1)</f>
        <v/>
      </c>
      <c r="AK360" s="11" t="str">
        <f aca="false">IF(OR(A360="",N(E360)&lt;=0),"",COUNTIFS($AH$2:$AH$801,"&lt;"&amp;AH360,$E$2:$E$801,"&gt;0")+COUNTIFS($AH$2:AH360,AH360,$E$2:E360,"&gt;0"))</f>
        <v/>
      </c>
    </row>
    <row r="361" customFormat="false" ht="15" hidden="false" customHeight="false" outlineLevel="0" collapsed="false">
      <c r="A361" s="11" t="str">
        <f aca="false">IF(INVENTÁRIO!A361="","",INVENTÁRIO!A361)</f>
        <v/>
      </c>
      <c r="B361" s="11" t="str">
        <f aca="false">IF(A361="","",INVENTÁRIO!B361)</f>
        <v/>
      </c>
      <c r="C361" s="16" t="str">
        <f aca="false">IF(A361="","",INVENTÁRIO!C361)</f>
        <v/>
      </c>
      <c r="D361" s="14" t="str">
        <f aca="false">IF(A361="","",MAX(K361:AD361))</f>
        <v/>
      </c>
      <c r="E361" s="14" t="str">
        <f aca="false">IF(A361="","",MAX(0,D361-C361))</f>
        <v/>
      </c>
      <c r="F361" s="16" t="str">
        <f aca="false">IF(A361="","",IF(D361=0,"Fora dos decks",IF(E361=0,"Completo","Falta")))</f>
        <v/>
      </c>
      <c r="G361" s="16" t="str">
        <f aca="false">IF(A361="","",COUNTIF(K361:AD361,"&gt;0"))</f>
        <v/>
      </c>
      <c r="H361" s="16" t="str">
        <f aca="false">IF(A361="","",IF(G361&gt;1,"Sim",""))</f>
        <v/>
      </c>
      <c r="I361" s="18" t="str">
        <f aca="false">IF(A361="","",SUMIFS(DECKS!$D$2:$D$1201,DECKS!$B$2:$B$1201,A361))</f>
        <v/>
      </c>
      <c r="J361" s="18" t="str">
        <f aca="false">IF(A361="","",MAX(0,I361-C361))</f>
        <v/>
      </c>
      <c r="K361" s="19" t="str">
        <f aca="false">IF(OR($A361="",INDEX(_LEITURA!$Q$2:$Q$21,1)=0),"",SUMIFS(DECKS!$D$2:$D$1201,DECKS!$A$2:$A$1201,INDEX(_LEITURA!$P$2:$P$21,1),DECKS!$B$2:$B$1201,$A361))</f>
        <v/>
      </c>
      <c r="L361" s="19" t="str">
        <f aca="false">IF(OR($A361="",INDEX(_LEITURA!$Q$2:$Q$21,2)=0),"",SUMIFS(DECKS!$D$2:$D$1201,DECKS!$A$2:$A$1201,INDEX(_LEITURA!$P$2:$P$21,2),DECKS!$B$2:$B$1201,$A361))</f>
        <v/>
      </c>
      <c r="M361" s="19" t="str">
        <f aca="false">IF(OR($A361="",INDEX(_LEITURA!$Q$2:$Q$21,3)=0),"",SUMIFS(DECKS!$D$2:$D$1201,DECKS!$A$2:$A$1201,INDEX(_LEITURA!$P$2:$P$21,3),DECKS!$B$2:$B$1201,$A361))</f>
        <v/>
      </c>
      <c r="N361" s="19" t="str">
        <f aca="false">IF(OR($A361="",INDEX(_LEITURA!$Q$2:$Q$21,4)=0),"",SUMIFS(DECKS!$D$2:$D$1201,DECKS!$A$2:$A$1201,INDEX(_LEITURA!$P$2:$P$21,4),DECKS!$B$2:$B$1201,$A361))</f>
        <v/>
      </c>
      <c r="O361" s="19" t="str">
        <f aca="false">IF(OR($A361="",INDEX(_LEITURA!$Q$2:$Q$21,5)=0),"",SUMIFS(DECKS!$D$2:$D$1201,DECKS!$A$2:$A$1201,INDEX(_LEITURA!$P$2:$P$21,5),DECKS!$B$2:$B$1201,$A361))</f>
        <v/>
      </c>
      <c r="P361" s="19" t="str">
        <f aca="false">IF(OR($A361="",INDEX(_LEITURA!$Q$2:$Q$21,6)=0),"",SUMIFS(DECKS!$D$2:$D$1201,DECKS!$A$2:$A$1201,INDEX(_LEITURA!$P$2:$P$21,6),DECKS!$B$2:$B$1201,$A361))</f>
        <v/>
      </c>
      <c r="Q361" s="19" t="str">
        <f aca="false">IF(OR($A361="",INDEX(_LEITURA!$Q$2:$Q$21,7)=0),"",SUMIFS(DECKS!$D$2:$D$1201,DECKS!$A$2:$A$1201,INDEX(_LEITURA!$P$2:$P$21,7),DECKS!$B$2:$B$1201,$A361))</f>
        <v/>
      </c>
      <c r="R361" s="19" t="str">
        <f aca="false">IF(OR($A361="",INDEX(_LEITURA!$Q$2:$Q$21,8)=0),"",SUMIFS(DECKS!$D$2:$D$1201,DECKS!$A$2:$A$1201,INDEX(_LEITURA!$P$2:$P$21,8),DECKS!$B$2:$B$1201,$A361))</f>
        <v/>
      </c>
      <c r="S361" s="19" t="str">
        <f aca="false">IF(OR($A361="",INDEX(_LEITURA!$Q$2:$Q$21,9)=0),"",SUMIFS(DECKS!$D$2:$D$1201,DECKS!$A$2:$A$1201,INDEX(_LEITURA!$P$2:$P$21,9),DECKS!$B$2:$B$1201,$A361))</f>
        <v/>
      </c>
      <c r="T361" s="19" t="str">
        <f aca="false">IF(OR($A361="",INDEX(_LEITURA!$Q$2:$Q$21,10)=0),"",SUMIFS(DECKS!$D$2:$D$1201,DECKS!$A$2:$A$1201,INDEX(_LEITURA!$P$2:$P$21,10),DECKS!$B$2:$B$1201,$A361))</f>
        <v/>
      </c>
      <c r="U361" s="19" t="str">
        <f aca="false">IF(OR($A361="",INDEX(_LEITURA!$Q$2:$Q$21,11)=0),"",SUMIFS(DECKS!$D$2:$D$1201,DECKS!$A$2:$A$1201,INDEX(_LEITURA!$P$2:$P$21,11),DECKS!$B$2:$B$1201,$A361))</f>
        <v/>
      </c>
      <c r="V361" s="19" t="str">
        <f aca="false">IF(OR($A361="",INDEX(_LEITURA!$Q$2:$Q$21,12)=0),"",SUMIFS(DECKS!$D$2:$D$1201,DECKS!$A$2:$A$1201,INDEX(_LEITURA!$P$2:$P$21,12),DECKS!$B$2:$B$1201,$A361))</f>
        <v/>
      </c>
      <c r="W361" s="19" t="str">
        <f aca="false">IF(OR($A361="",INDEX(_LEITURA!$Q$2:$Q$21,13)=0),"",SUMIFS(DECKS!$D$2:$D$1201,DECKS!$A$2:$A$1201,INDEX(_LEITURA!$P$2:$P$21,13),DECKS!$B$2:$B$1201,$A361))</f>
        <v/>
      </c>
      <c r="X361" s="19" t="str">
        <f aca="false">IF(OR($A361="",INDEX(_LEITURA!$Q$2:$Q$21,14)=0),"",SUMIFS(DECKS!$D$2:$D$1201,DECKS!$A$2:$A$1201,INDEX(_LEITURA!$P$2:$P$21,14),DECKS!$B$2:$B$1201,$A361))</f>
        <v/>
      </c>
      <c r="Y361" s="19" t="str">
        <f aca="false">IF(OR($A361="",INDEX(_LEITURA!$Q$2:$Q$21,15)=0),"",SUMIFS(DECKS!$D$2:$D$1201,DECKS!$A$2:$A$1201,INDEX(_LEITURA!$P$2:$P$21,15),DECKS!$B$2:$B$1201,$A361))</f>
        <v/>
      </c>
      <c r="Z361" s="19" t="str">
        <f aca="false">IF(OR($A361="",INDEX(_LEITURA!$Q$2:$Q$21,16)=0),"",SUMIFS(DECKS!$D$2:$D$1201,DECKS!$A$2:$A$1201,INDEX(_LEITURA!$P$2:$P$21,16),DECKS!$B$2:$B$1201,$A361))</f>
        <v/>
      </c>
      <c r="AA361" s="19" t="str">
        <f aca="false">IF(OR($A361="",INDEX(_LEITURA!$Q$2:$Q$21,17)=0),"",SUMIFS(DECKS!$D$2:$D$1201,DECKS!$A$2:$A$1201,INDEX(_LEITURA!$P$2:$P$21,17),DECKS!$B$2:$B$1201,$A361))</f>
        <v/>
      </c>
      <c r="AB361" s="19" t="str">
        <f aca="false">IF(OR($A361="",INDEX(_LEITURA!$Q$2:$Q$21,18)=0),"",SUMIFS(DECKS!$D$2:$D$1201,DECKS!$A$2:$A$1201,INDEX(_LEITURA!$P$2:$P$21,18),DECKS!$B$2:$B$1201,$A361))</f>
        <v/>
      </c>
      <c r="AC361" s="19" t="str">
        <f aca="false">IF(OR($A361="",INDEX(_LEITURA!$Q$2:$Q$21,19)=0),"",SUMIFS(DECKS!$D$2:$D$1201,DECKS!$A$2:$A$1201,INDEX(_LEITURA!$P$2:$P$21,19),DECKS!$B$2:$B$1201,$A361))</f>
        <v/>
      </c>
      <c r="AD361" s="19" t="str">
        <f aca="false">IF(OR($A361="",INDEX(_LEITURA!$Q$2:$Q$21,20)=0),"",SUMIFS(DECKS!$D$2:$D$1201,DECKS!$A$2:$A$1201,INDEX(_LEITURA!$P$2:$P$21,20),DECKS!$B$2:$B$1201,$A361))</f>
        <v/>
      </c>
      <c r="AE361" s="16" t="str">
        <f aca="false">IF(N(E361)&gt;0,MAX(AE$1:AE360)+1,"")</f>
        <v/>
      </c>
      <c r="AF361" s="11" t="str">
        <f aca="false">IF(A361="","",IFERROR(LEFT(A361,FIND("-",A361)-1),A361))</f>
        <v/>
      </c>
      <c r="AG361" s="11" t="str">
        <f aca="false">IF(AF361="","",IF(ISNUMBER(--MID(AF361,1,1)),0,IF(ISNUMBER(--MID(AF361,2,1)),1,IF(ISNUMBER(--MID(AF361,3,1)),2,IF(ISNUMBER(--MID(AF361,4,1)),3,MIN(LEN(AF361),4))))))</f>
        <v/>
      </c>
      <c r="AH361" s="11" t="str">
        <f aca="false">IF(A361="","",LEFT(AF361,AG361)&amp;REPT("0",4-AG361)&amp;RIGHT("000"&amp;IFERROR(VALUE(MID(AF361,AG361+1,9)),0),3)&amp;RIGHT("0000"&amp;IFERROR(VALUE(MID(A361,FIND("-",A361)+1,9)),0),4))</f>
        <v/>
      </c>
      <c r="AI361" s="11" t="str">
        <f aca="false">IF(OR(A361="",N(E361)&lt;=0),"",IF('FALTAS GERAL'!$M$1="Código","K"&amp;AH361&amp;RIGHT("00000"&amp;ROW(),5),IF('FALTAS GERAL'!$M$1="Nome","K"&amp;UPPER(SUBSTITUTE(SUBSTITUTE(SUBSTITUTE(B361,"*",""),"?",""),"~",""))&amp;"0"&amp;AH361&amp;RIGHT("00000"&amp;ROW(),5),IF('FALTAS GERAL'!$M$1="Falta (maior primeiro)","K"&amp;RIGHT("0000"&amp;(9999-E361),4)&amp;AH361&amp;RIGHT("00000"&amp;ROW(),5),IF('FALTAS GERAL'!$M$1="Nº de decks (maior primeiro)","K"&amp;RIGHT("00"&amp;(99-N(G361)),2)&amp;AH361&amp;RIGHT("00000"&amp;ROW(),5),"K"&amp;RIGHT("00000"&amp;ROW(),5))))))</f>
        <v/>
      </c>
      <c r="AJ361" s="11" t="str">
        <f aca="false">IF(AI361="","",COUNTIFS($AI$2:$AI$801,"&lt;"&amp;AI361,$E$2:$E$801,"&gt;0")+1)</f>
        <v/>
      </c>
      <c r="AK361" s="11" t="str">
        <f aca="false">IF(OR(A361="",N(E361)&lt;=0),"",COUNTIFS($AH$2:$AH$801,"&lt;"&amp;AH361,$E$2:$E$801,"&gt;0")+COUNTIFS($AH$2:AH361,AH361,$E$2:E361,"&gt;0"))</f>
        <v/>
      </c>
    </row>
    <row r="362" customFormat="false" ht="15" hidden="false" customHeight="false" outlineLevel="0" collapsed="false">
      <c r="A362" s="11" t="str">
        <f aca="false">IF(INVENTÁRIO!A362="","",INVENTÁRIO!A362)</f>
        <v/>
      </c>
      <c r="B362" s="11" t="str">
        <f aca="false">IF(A362="","",INVENTÁRIO!B362)</f>
        <v/>
      </c>
      <c r="C362" s="16" t="str">
        <f aca="false">IF(A362="","",INVENTÁRIO!C362)</f>
        <v/>
      </c>
      <c r="D362" s="14" t="str">
        <f aca="false">IF(A362="","",MAX(K362:AD362))</f>
        <v/>
      </c>
      <c r="E362" s="14" t="str">
        <f aca="false">IF(A362="","",MAX(0,D362-C362))</f>
        <v/>
      </c>
      <c r="F362" s="16" t="str">
        <f aca="false">IF(A362="","",IF(D362=0,"Fora dos decks",IF(E362=0,"Completo","Falta")))</f>
        <v/>
      </c>
      <c r="G362" s="16" t="str">
        <f aca="false">IF(A362="","",COUNTIF(K362:AD362,"&gt;0"))</f>
        <v/>
      </c>
      <c r="H362" s="16" t="str">
        <f aca="false">IF(A362="","",IF(G362&gt;1,"Sim",""))</f>
        <v/>
      </c>
      <c r="I362" s="18" t="str">
        <f aca="false">IF(A362="","",SUMIFS(DECKS!$D$2:$D$1201,DECKS!$B$2:$B$1201,A362))</f>
        <v/>
      </c>
      <c r="J362" s="18" t="str">
        <f aca="false">IF(A362="","",MAX(0,I362-C362))</f>
        <v/>
      </c>
      <c r="K362" s="19" t="str">
        <f aca="false">IF(OR($A362="",INDEX(_LEITURA!$Q$2:$Q$21,1)=0),"",SUMIFS(DECKS!$D$2:$D$1201,DECKS!$A$2:$A$1201,INDEX(_LEITURA!$P$2:$P$21,1),DECKS!$B$2:$B$1201,$A362))</f>
        <v/>
      </c>
      <c r="L362" s="19" t="str">
        <f aca="false">IF(OR($A362="",INDEX(_LEITURA!$Q$2:$Q$21,2)=0),"",SUMIFS(DECKS!$D$2:$D$1201,DECKS!$A$2:$A$1201,INDEX(_LEITURA!$P$2:$P$21,2),DECKS!$B$2:$B$1201,$A362))</f>
        <v/>
      </c>
      <c r="M362" s="19" t="str">
        <f aca="false">IF(OR($A362="",INDEX(_LEITURA!$Q$2:$Q$21,3)=0),"",SUMIFS(DECKS!$D$2:$D$1201,DECKS!$A$2:$A$1201,INDEX(_LEITURA!$P$2:$P$21,3),DECKS!$B$2:$B$1201,$A362))</f>
        <v/>
      </c>
      <c r="N362" s="19" t="str">
        <f aca="false">IF(OR($A362="",INDEX(_LEITURA!$Q$2:$Q$21,4)=0),"",SUMIFS(DECKS!$D$2:$D$1201,DECKS!$A$2:$A$1201,INDEX(_LEITURA!$P$2:$P$21,4),DECKS!$B$2:$B$1201,$A362))</f>
        <v/>
      </c>
      <c r="O362" s="19" t="str">
        <f aca="false">IF(OR($A362="",INDEX(_LEITURA!$Q$2:$Q$21,5)=0),"",SUMIFS(DECKS!$D$2:$D$1201,DECKS!$A$2:$A$1201,INDEX(_LEITURA!$P$2:$P$21,5),DECKS!$B$2:$B$1201,$A362))</f>
        <v/>
      </c>
      <c r="P362" s="19" t="str">
        <f aca="false">IF(OR($A362="",INDEX(_LEITURA!$Q$2:$Q$21,6)=0),"",SUMIFS(DECKS!$D$2:$D$1201,DECKS!$A$2:$A$1201,INDEX(_LEITURA!$P$2:$P$21,6),DECKS!$B$2:$B$1201,$A362))</f>
        <v/>
      </c>
      <c r="Q362" s="19" t="str">
        <f aca="false">IF(OR($A362="",INDEX(_LEITURA!$Q$2:$Q$21,7)=0),"",SUMIFS(DECKS!$D$2:$D$1201,DECKS!$A$2:$A$1201,INDEX(_LEITURA!$P$2:$P$21,7),DECKS!$B$2:$B$1201,$A362))</f>
        <v/>
      </c>
      <c r="R362" s="19" t="str">
        <f aca="false">IF(OR($A362="",INDEX(_LEITURA!$Q$2:$Q$21,8)=0),"",SUMIFS(DECKS!$D$2:$D$1201,DECKS!$A$2:$A$1201,INDEX(_LEITURA!$P$2:$P$21,8),DECKS!$B$2:$B$1201,$A362))</f>
        <v/>
      </c>
      <c r="S362" s="19" t="str">
        <f aca="false">IF(OR($A362="",INDEX(_LEITURA!$Q$2:$Q$21,9)=0),"",SUMIFS(DECKS!$D$2:$D$1201,DECKS!$A$2:$A$1201,INDEX(_LEITURA!$P$2:$P$21,9),DECKS!$B$2:$B$1201,$A362))</f>
        <v/>
      </c>
      <c r="T362" s="19" t="str">
        <f aca="false">IF(OR($A362="",INDEX(_LEITURA!$Q$2:$Q$21,10)=0),"",SUMIFS(DECKS!$D$2:$D$1201,DECKS!$A$2:$A$1201,INDEX(_LEITURA!$P$2:$P$21,10),DECKS!$B$2:$B$1201,$A362))</f>
        <v/>
      </c>
      <c r="U362" s="19" t="str">
        <f aca="false">IF(OR($A362="",INDEX(_LEITURA!$Q$2:$Q$21,11)=0),"",SUMIFS(DECKS!$D$2:$D$1201,DECKS!$A$2:$A$1201,INDEX(_LEITURA!$P$2:$P$21,11),DECKS!$B$2:$B$1201,$A362))</f>
        <v/>
      </c>
      <c r="V362" s="19" t="str">
        <f aca="false">IF(OR($A362="",INDEX(_LEITURA!$Q$2:$Q$21,12)=0),"",SUMIFS(DECKS!$D$2:$D$1201,DECKS!$A$2:$A$1201,INDEX(_LEITURA!$P$2:$P$21,12),DECKS!$B$2:$B$1201,$A362))</f>
        <v/>
      </c>
      <c r="W362" s="19" t="str">
        <f aca="false">IF(OR($A362="",INDEX(_LEITURA!$Q$2:$Q$21,13)=0),"",SUMIFS(DECKS!$D$2:$D$1201,DECKS!$A$2:$A$1201,INDEX(_LEITURA!$P$2:$P$21,13),DECKS!$B$2:$B$1201,$A362))</f>
        <v/>
      </c>
      <c r="X362" s="19" t="str">
        <f aca="false">IF(OR($A362="",INDEX(_LEITURA!$Q$2:$Q$21,14)=0),"",SUMIFS(DECKS!$D$2:$D$1201,DECKS!$A$2:$A$1201,INDEX(_LEITURA!$P$2:$P$21,14),DECKS!$B$2:$B$1201,$A362))</f>
        <v/>
      </c>
      <c r="Y362" s="19" t="str">
        <f aca="false">IF(OR($A362="",INDEX(_LEITURA!$Q$2:$Q$21,15)=0),"",SUMIFS(DECKS!$D$2:$D$1201,DECKS!$A$2:$A$1201,INDEX(_LEITURA!$P$2:$P$21,15),DECKS!$B$2:$B$1201,$A362))</f>
        <v/>
      </c>
      <c r="Z362" s="19" t="str">
        <f aca="false">IF(OR($A362="",INDEX(_LEITURA!$Q$2:$Q$21,16)=0),"",SUMIFS(DECKS!$D$2:$D$1201,DECKS!$A$2:$A$1201,INDEX(_LEITURA!$P$2:$P$21,16),DECKS!$B$2:$B$1201,$A362))</f>
        <v/>
      </c>
      <c r="AA362" s="19" t="str">
        <f aca="false">IF(OR($A362="",INDEX(_LEITURA!$Q$2:$Q$21,17)=0),"",SUMIFS(DECKS!$D$2:$D$1201,DECKS!$A$2:$A$1201,INDEX(_LEITURA!$P$2:$P$21,17),DECKS!$B$2:$B$1201,$A362))</f>
        <v/>
      </c>
      <c r="AB362" s="19" t="str">
        <f aca="false">IF(OR($A362="",INDEX(_LEITURA!$Q$2:$Q$21,18)=0),"",SUMIFS(DECKS!$D$2:$D$1201,DECKS!$A$2:$A$1201,INDEX(_LEITURA!$P$2:$P$21,18),DECKS!$B$2:$B$1201,$A362))</f>
        <v/>
      </c>
      <c r="AC362" s="19" t="str">
        <f aca="false">IF(OR($A362="",INDEX(_LEITURA!$Q$2:$Q$21,19)=0),"",SUMIFS(DECKS!$D$2:$D$1201,DECKS!$A$2:$A$1201,INDEX(_LEITURA!$P$2:$P$21,19),DECKS!$B$2:$B$1201,$A362))</f>
        <v/>
      </c>
      <c r="AD362" s="19" t="str">
        <f aca="false">IF(OR($A362="",INDEX(_LEITURA!$Q$2:$Q$21,20)=0),"",SUMIFS(DECKS!$D$2:$D$1201,DECKS!$A$2:$A$1201,INDEX(_LEITURA!$P$2:$P$21,20),DECKS!$B$2:$B$1201,$A362))</f>
        <v/>
      </c>
      <c r="AE362" s="16" t="str">
        <f aca="false">IF(N(E362)&gt;0,MAX(AE$1:AE361)+1,"")</f>
        <v/>
      </c>
      <c r="AF362" s="11" t="str">
        <f aca="false">IF(A362="","",IFERROR(LEFT(A362,FIND("-",A362)-1),A362))</f>
        <v/>
      </c>
      <c r="AG362" s="11" t="str">
        <f aca="false">IF(AF362="","",IF(ISNUMBER(--MID(AF362,1,1)),0,IF(ISNUMBER(--MID(AF362,2,1)),1,IF(ISNUMBER(--MID(AF362,3,1)),2,IF(ISNUMBER(--MID(AF362,4,1)),3,MIN(LEN(AF362),4))))))</f>
        <v/>
      </c>
      <c r="AH362" s="11" t="str">
        <f aca="false">IF(A362="","",LEFT(AF362,AG362)&amp;REPT("0",4-AG362)&amp;RIGHT("000"&amp;IFERROR(VALUE(MID(AF362,AG362+1,9)),0),3)&amp;RIGHT("0000"&amp;IFERROR(VALUE(MID(A362,FIND("-",A362)+1,9)),0),4))</f>
        <v/>
      </c>
      <c r="AI362" s="11" t="str">
        <f aca="false">IF(OR(A362="",N(E362)&lt;=0),"",IF('FALTAS GERAL'!$M$1="Código","K"&amp;AH362&amp;RIGHT("00000"&amp;ROW(),5),IF('FALTAS GERAL'!$M$1="Nome","K"&amp;UPPER(SUBSTITUTE(SUBSTITUTE(SUBSTITUTE(B362,"*",""),"?",""),"~",""))&amp;"0"&amp;AH362&amp;RIGHT("00000"&amp;ROW(),5),IF('FALTAS GERAL'!$M$1="Falta (maior primeiro)","K"&amp;RIGHT("0000"&amp;(9999-E362),4)&amp;AH362&amp;RIGHT("00000"&amp;ROW(),5),IF('FALTAS GERAL'!$M$1="Nº de decks (maior primeiro)","K"&amp;RIGHT("00"&amp;(99-N(G362)),2)&amp;AH362&amp;RIGHT("00000"&amp;ROW(),5),"K"&amp;RIGHT("00000"&amp;ROW(),5))))))</f>
        <v/>
      </c>
      <c r="AJ362" s="11" t="str">
        <f aca="false">IF(AI362="","",COUNTIFS($AI$2:$AI$801,"&lt;"&amp;AI362,$E$2:$E$801,"&gt;0")+1)</f>
        <v/>
      </c>
      <c r="AK362" s="11" t="str">
        <f aca="false">IF(OR(A362="",N(E362)&lt;=0),"",COUNTIFS($AH$2:$AH$801,"&lt;"&amp;AH362,$E$2:$E$801,"&gt;0")+COUNTIFS($AH$2:AH362,AH362,$E$2:E362,"&gt;0"))</f>
        <v/>
      </c>
    </row>
    <row r="363" customFormat="false" ht="15" hidden="false" customHeight="false" outlineLevel="0" collapsed="false">
      <c r="A363" s="11" t="str">
        <f aca="false">IF(INVENTÁRIO!A363="","",INVENTÁRIO!A363)</f>
        <v/>
      </c>
      <c r="B363" s="11" t="str">
        <f aca="false">IF(A363="","",INVENTÁRIO!B363)</f>
        <v/>
      </c>
      <c r="C363" s="16" t="str">
        <f aca="false">IF(A363="","",INVENTÁRIO!C363)</f>
        <v/>
      </c>
      <c r="D363" s="14" t="str">
        <f aca="false">IF(A363="","",MAX(K363:AD363))</f>
        <v/>
      </c>
      <c r="E363" s="14" t="str">
        <f aca="false">IF(A363="","",MAX(0,D363-C363))</f>
        <v/>
      </c>
      <c r="F363" s="16" t="str">
        <f aca="false">IF(A363="","",IF(D363=0,"Fora dos decks",IF(E363=0,"Completo","Falta")))</f>
        <v/>
      </c>
      <c r="G363" s="16" t="str">
        <f aca="false">IF(A363="","",COUNTIF(K363:AD363,"&gt;0"))</f>
        <v/>
      </c>
      <c r="H363" s="16" t="str">
        <f aca="false">IF(A363="","",IF(G363&gt;1,"Sim",""))</f>
        <v/>
      </c>
      <c r="I363" s="18" t="str">
        <f aca="false">IF(A363="","",SUMIFS(DECKS!$D$2:$D$1201,DECKS!$B$2:$B$1201,A363))</f>
        <v/>
      </c>
      <c r="J363" s="18" t="str">
        <f aca="false">IF(A363="","",MAX(0,I363-C363))</f>
        <v/>
      </c>
      <c r="K363" s="19" t="str">
        <f aca="false">IF(OR($A363="",INDEX(_LEITURA!$Q$2:$Q$21,1)=0),"",SUMIFS(DECKS!$D$2:$D$1201,DECKS!$A$2:$A$1201,INDEX(_LEITURA!$P$2:$P$21,1),DECKS!$B$2:$B$1201,$A363))</f>
        <v/>
      </c>
      <c r="L363" s="19" t="str">
        <f aca="false">IF(OR($A363="",INDEX(_LEITURA!$Q$2:$Q$21,2)=0),"",SUMIFS(DECKS!$D$2:$D$1201,DECKS!$A$2:$A$1201,INDEX(_LEITURA!$P$2:$P$21,2),DECKS!$B$2:$B$1201,$A363))</f>
        <v/>
      </c>
      <c r="M363" s="19" t="str">
        <f aca="false">IF(OR($A363="",INDEX(_LEITURA!$Q$2:$Q$21,3)=0),"",SUMIFS(DECKS!$D$2:$D$1201,DECKS!$A$2:$A$1201,INDEX(_LEITURA!$P$2:$P$21,3),DECKS!$B$2:$B$1201,$A363))</f>
        <v/>
      </c>
      <c r="N363" s="19" t="str">
        <f aca="false">IF(OR($A363="",INDEX(_LEITURA!$Q$2:$Q$21,4)=0),"",SUMIFS(DECKS!$D$2:$D$1201,DECKS!$A$2:$A$1201,INDEX(_LEITURA!$P$2:$P$21,4),DECKS!$B$2:$B$1201,$A363))</f>
        <v/>
      </c>
      <c r="O363" s="19" t="str">
        <f aca="false">IF(OR($A363="",INDEX(_LEITURA!$Q$2:$Q$21,5)=0),"",SUMIFS(DECKS!$D$2:$D$1201,DECKS!$A$2:$A$1201,INDEX(_LEITURA!$P$2:$P$21,5),DECKS!$B$2:$B$1201,$A363))</f>
        <v/>
      </c>
      <c r="P363" s="19" t="str">
        <f aca="false">IF(OR($A363="",INDEX(_LEITURA!$Q$2:$Q$21,6)=0),"",SUMIFS(DECKS!$D$2:$D$1201,DECKS!$A$2:$A$1201,INDEX(_LEITURA!$P$2:$P$21,6),DECKS!$B$2:$B$1201,$A363))</f>
        <v/>
      </c>
      <c r="Q363" s="19" t="str">
        <f aca="false">IF(OR($A363="",INDEX(_LEITURA!$Q$2:$Q$21,7)=0),"",SUMIFS(DECKS!$D$2:$D$1201,DECKS!$A$2:$A$1201,INDEX(_LEITURA!$P$2:$P$21,7),DECKS!$B$2:$B$1201,$A363))</f>
        <v/>
      </c>
      <c r="R363" s="19" t="str">
        <f aca="false">IF(OR($A363="",INDEX(_LEITURA!$Q$2:$Q$21,8)=0),"",SUMIFS(DECKS!$D$2:$D$1201,DECKS!$A$2:$A$1201,INDEX(_LEITURA!$P$2:$P$21,8),DECKS!$B$2:$B$1201,$A363))</f>
        <v/>
      </c>
      <c r="S363" s="19" t="str">
        <f aca="false">IF(OR($A363="",INDEX(_LEITURA!$Q$2:$Q$21,9)=0),"",SUMIFS(DECKS!$D$2:$D$1201,DECKS!$A$2:$A$1201,INDEX(_LEITURA!$P$2:$P$21,9),DECKS!$B$2:$B$1201,$A363))</f>
        <v/>
      </c>
      <c r="T363" s="19" t="str">
        <f aca="false">IF(OR($A363="",INDEX(_LEITURA!$Q$2:$Q$21,10)=0),"",SUMIFS(DECKS!$D$2:$D$1201,DECKS!$A$2:$A$1201,INDEX(_LEITURA!$P$2:$P$21,10),DECKS!$B$2:$B$1201,$A363))</f>
        <v/>
      </c>
      <c r="U363" s="19" t="str">
        <f aca="false">IF(OR($A363="",INDEX(_LEITURA!$Q$2:$Q$21,11)=0),"",SUMIFS(DECKS!$D$2:$D$1201,DECKS!$A$2:$A$1201,INDEX(_LEITURA!$P$2:$P$21,11),DECKS!$B$2:$B$1201,$A363))</f>
        <v/>
      </c>
      <c r="V363" s="19" t="str">
        <f aca="false">IF(OR($A363="",INDEX(_LEITURA!$Q$2:$Q$21,12)=0),"",SUMIFS(DECKS!$D$2:$D$1201,DECKS!$A$2:$A$1201,INDEX(_LEITURA!$P$2:$P$21,12),DECKS!$B$2:$B$1201,$A363))</f>
        <v/>
      </c>
      <c r="W363" s="19" t="str">
        <f aca="false">IF(OR($A363="",INDEX(_LEITURA!$Q$2:$Q$21,13)=0),"",SUMIFS(DECKS!$D$2:$D$1201,DECKS!$A$2:$A$1201,INDEX(_LEITURA!$P$2:$P$21,13),DECKS!$B$2:$B$1201,$A363))</f>
        <v/>
      </c>
      <c r="X363" s="19" t="str">
        <f aca="false">IF(OR($A363="",INDEX(_LEITURA!$Q$2:$Q$21,14)=0),"",SUMIFS(DECKS!$D$2:$D$1201,DECKS!$A$2:$A$1201,INDEX(_LEITURA!$P$2:$P$21,14),DECKS!$B$2:$B$1201,$A363))</f>
        <v/>
      </c>
      <c r="Y363" s="19" t="str">
        <f aca="false">IF(OR($A363="",INDEX(_LEITURA!$Q$2:$Q$21,15)=0),"",SUMIFS(DECKS!$D$2:$D$1201,DECKS!$A$2:$A$1201,INDEX(_LEITURA!$P$2:$P$21,15),DECKS!$B$2:$B$1201,$A363))</f>
        <v/>
      </c>
      <c r="Z363" s="19" t="str">
        <f aca="false">IF(OR($A363="",INDEX(_LEITURA!$Q$2:$Q$21,16)=0),"",SUMIFS(DECKS!$D$2:$D$1201,DECKS!$A$2:$A$1201,INDEX(_LEITURA!$P$2:$P$21,16),DECKS!$B$2:$B$1201,$A363))</f>
        <v/>
      </c>
      <c r="AA363" s="19" t="str">
        <f aca="false">IF(OR($A363="",INDEX(_LEITURA!$Q$2:$Q$21,17)=0),"",SUMIFS(DECKS!$D$2:$D$1201,DECKS!$A$2:$A$1201,INDEX(_LEITURA!$P$2:$P$21,17),DECKS!$B$2:$B$1201,$A363))</f>
        <v/>
      </c>
      <c r="AB363" s="19" t="str">
        <f aca="false">IF(OR($A363="",INDEX(_LEITURA!$Q$2:$Q$21,18)=0),"",SUMIFS(DECKS!$D$2:$D$1201,DECKS!$A$2:$A$1201,INDEX(_LEITURA!$P$2:$P$21,18),DECKS!$B$2:$B$1201,$A363))</f>
        <v/>
      </c>
      <c r="AC363" s="19" t="str">
        <f aca="false">IF(OR($A363="",INDEX(_LEITURA!$Q$2:$Q$21,19)=0),"",SUMIFS(DECKS!$D$2:$D$1201,DECKS!$A$2:$A$1201,INDEX(_LEITURA!$P$2:$P$21,19),DECKS!$B$2:$B$1201,$A363))</f>
        <v/>
      </c>
      <c r="AD363" s="19" t="str">
        <f aca="false">IF(OR($A363="",INDEX(_LEITURA!$Q$2:$Q$21,20)=0),"",SUMIFS(DECKS!$D$2:$D$1201,DECKS!$A$2:$A$1201,INDEX(_LEITURA!$P$2:$P$21,20),DECKS!$B$2:$B$1201,$A363))</f>
        <v/>
      </c>
      <c r="AE363" s="16" t="str">
        <f aca="false">IF(N(E363)&gt;0,MAX(AE$1:AE362)+1,"")</f>
        <v/>
      </c>
      <c r="AF363" s="11" t="str">
        <f aca="false">IF(A363="","",IFERROR(LEFT(A363,FIND("-",A363)-1),A363))</f>
        <v/>
      </c>
      <c r="AG363" s="11" t="str">
        <f aca="false">IF(AF363="","",IF(ISNUMBER(--MID(AF363,1,1)),0,IF(ISNUMBER(--MID(AF363,2,1)),1,IF(ISNUMBER(--MID(AF363,3,1)),2,IF(ISNUMBER(--MID(AF363,4,1)),3,MIN(LEN(AF363),4))))))</f>
        <v/>
      </c>
      <c r="AH363" s="11" t="str">
        <f aca="false">IF(A363="","",LEFT(AF363,AG363)&amp;REPT("0",4-AG363)&amp;RIGHT("000"&amp;IFERROR(VALUE(MID(AF363,AG363+1,9)),0),3)&amp;RIGHT("0000"&amp;IFERROR(VALUE(MID(A363,FIND("-",A363)+1,9)),0),4))</f>
        <v/>
      </c>
      <c r="AI363" s="11" t="str">
        <f aca="false">IF(OR(A363="",N(E363)&lt;=0),"",IF('FALTAS GERAL'!$M$1="Código","K"&amp;AH363&amp;RIGHT("00000"&amp;ROW(),5),IF('FALTAS GERAL'!$M$1="Nome","K"&amp;UPPER(SUBSTITUTE(SUBSTITUTE(SUBSTITUTE(B363,"*",""),"?",""),"~",""))&amp;"0"&amp;AH363&amp;RIGHT("00000"&amp;ROW(),5),IF('FALTAS GERAL'!$M$1="Falta (maior primeiro)","K"&amp;RIGHT("0000"&amp;(9999-E363),4)&amp;AH363&amp;RIGHT("00000"&amp;ROW(),5),IF('FALTAS GERAL'!$M$1="Nº de decks (maior primeiro)","K"&amp;RIGHT("00"&amp;(99-N(G363)),2)&amp;AH363&amp;RIGHT("00000"&amp;ROW(),5),"K"&amp;RIGHT("00000"&amp;ROW(),5))))))</f>
        <v/>
      </c>
      <c r="AJ363" s="11" t="str">
        <f aca="false">IF(AI363="","",COUNTIFS($AI$2:$AI$801,"&lt;"&amp;AI363,$E$2:$E$801,"&gt;0")+1)</f>
        <v/>
      </c>
      <c r="AK363" s="11" t="str">
        <f aca="false">IF(OR(A363="",N(E363)&lt;=0),"",COUNTIFS($AH$2:$AH$801,"&lt;"&amp;AH363,$E$2:$E$801,"&gt;0")+COUNTIFS($AH$2:AH363,AH363,$E$2:E363,"&gt;0"))</f>
        <v/>
      </c>
    </row>
    <row r="364" customFormat="false" ht="15" hidden="false" customHeight="false" outlineLevel="0" collapsed="false">
      <c r="A364" s="11" t="str">
        <f aca="false">IF(INVENTÁRIO!A364="","",INVENTÁRIO!A364)</f>
        <v/>
      </c>
      <c r="B364" s="11" t="str">
        <f aca="false">IF(A364="","",INVENTÁRIO!B364)</f>
        <v/>
      </c>
      <c r="C364" s="16" t="str">
        <f aca="false">IF(A364="","",INVENTÁRIO!C364)</f>
        <v/>
      </c>
      <c r="D364" s="14" t="str">
        <f aca="false">IF(A364="","",MAX(K364:AD364))</f>
        <v/>
      </c>
      <c r="E364" s="14" t="str">
        <f aca="false">IF(A364="","",MAX(0,D364-C364))</f>
        <v/>
      </c>
      <c r="F364" s="16" t="str">
        <f aca="false">IF(A364="","",IF(D364=0,"Fora dos decks",IF(E364=0,"Completo","Falta")))</f>
        <v/>
      </c>
      <c r="G364" s="16" t="str">
        <f aca="false">IF(A364="","",COUNTIF(K364:AD364,"&gt;0"))</f>
        <v/>
      </c>
      <c r="H364" s="16" t="str">
        <f aca="false">IF(A364="","",IF(G364&gt;1,"Sim",""))</f>
        <v/>
      </c>
      <c r="I364" s="18" t="str">
        <f aca="false">IF(A364="","",SUMIFS(DECKS!$D$2:$D$1201,DECKS!$B$2:$B$1201,A364))</f>
        <v/>
      </c>
      <c r="J364" s="18" t="str">
        <f aca="false">IF(A364="","",MAX(0,I364-C364))</f>
        <v/>
      </c>
      <c r="K364" s="19" t="str">
        <f aca="false">IF(OR($A364="",INDEX(_LEITURA!$Q$2:$Q$21,1)=0),"",SUMIFS(DECKS!$D$2:$D$1201,DECKS!$A$2:$A$1201,INDEX(_LEITURA!$P$2:$P$21,1),DECKS!$B$2:$B$1201,$A364))</f>
        <v/>
      </c>
      <c r="L364" s="19" t="str">
        <f aca="false">IF(OR($A364="",INDEX(_LEITURA!$Q$2:$Q$21,2)=0),"",SUMIFS(DECKS!$D$2:$D$1201,DECKS!$A$2:$A$1201,INDEX(_LEITURA!$P$2:$P$21,2),DECKS!$B$2:$B$1201,$A364))</f>
        <v/>
      </c>
      <c r="M364" s="19" t="str">
        <f aca="false">IF(OR($A364="",INDEX(_LEITURA!$Q$2:$Q$21,3)=0),"",SUMIFS(DECKS!$D$2:$D$1201,DECKS!$A$2:$A$1201,INDEX(_LEITURA!$P$2:$P$21,3),DECKS!$B$2:$B$1201,$A364))</f>
        <v/>
      </c>
      <c r="N364" s="19" t="str">
        <f aca="false">IF(OR($A364="",INDEX(_LEITURA!$Q$2:$Q$21,4)=0),"",SUMIFS(DECKS!$D$2:$D$1201,DECKS!$A$2:$A$1201,INDEX(_LEITURA!$P$2:$P$21,4),DECKS!$B$2:$B$1201,$A364))</f>
        <v/>
      </c>
      <c r="O364" s="19" t="str">
        <f aca="false">IF(OR($A364="",INDEX(_LEITURA!$Q$2:$Q$21,5)=0),"",SUMIFS(DECKS!$D$2:$D$1201,DECKS!$A$2:$A$1201,INDEX(_LEITURA!$P$2:$P$21,5),DECKS!$B$2:$B$1201,$A364))</f>
        <v/>
      </c>
      <c r="P364" s="19" t="str">
        <f aca="false">IF(OR($A364="",INDEX(_LEITURA!$Q$2:$Q$21,6)=0),"",SUMIFS(DECKS!$D$2:$D$1201,DECKS!$A$2:$A$1201,INDEX(_LEITURA!$P$2:$P$21,6),DECKS!$B$2:$B$1201,$A364))</f>
        <v/>
      </c>
      <c r="Q364" s="19" t="str">
        <f aca="false">IF(OR($A364="",INDEX(_LEITURA!$Q$2:$Q$21,7)=0),"",SUMIFS(DECKS!$D$2:$D$1201,DECKS!$A$2:$A$1201,INDEX(_LEITURA!$P$2:$P$21,7),DECKS!$B$2:$B$1201,$A364))</f>
        <v/>
      </c>
      <c r="R364" s="19" t="str">
        <f aca="false">IF(OR($A364="",INDEX(_LEITURA!$Q$2:$Q$21,8)=0),"",SUMIFS(DECKS!$D$2:$D$1201,DECKS!$A$2:$A$1201,INDEX(_LEITURA!$P$2:$P$21,8),DECKS!$B$2:$B$1201,$A364))</f>
        <v/>
      </c>
      <c r="S364" s="19" t="str">
        <f aca="false">IF(OR($A364="",INDEX(_LEITURA!$Q$2:$Q$21,9)=0),"",SUMIFS(DECKS!$D$2:$D$1201,DECKS!$A$2:$A$1201,INDEX(_LEITURA!$P$2:$P$21,9),DECKS!$B$2:$B$1201,$A364))</f>
        <v/>
      </c>
      <c r="T364" s="19" t="str">
        <f aca="false">IF(OR($A364="",INDEX(_LEITURA!$Q$2:$Q$21,10)=0),"",SUMIFS(DECKS!$D$2:$D$1201,DECKS!$A$2:$A$1201,INDEX(_LEITURA!$P$2:$P$21,10),DECKS!$B$2:$B$1201,$A364))</f>
        <v/>
      </c>
      <c r="U364" s="19" t="str">
        <f aca="false">IF(OR($A364="",INDEX(_LEITURA!$Q$2:$Q$21,11)=0),"",SUMIFS(DECKS!$D$2:$D$1201,DECKS!$A$2:$A$1201,INDEX(_LEITURA!$P$2:$P$21,11),DECKS!$B$2:$B$1201,$A364))</f>
        <v/>
      </c>
      <c r="V364" s="19" t="str">
        <f aca="false">IF(OR($A364="",INDEX(_LEITURA!$Q$2:$Q$21,12)=0),"",SUMIFS(DECKS!$D$2:$D$1201,DECKS!$A$2:$A$1201,INDEX(_LEITURA!$P$2:$P$21,12),DECKS!$B$2:$B$1201,$A364))</f>
        <v/>
      </c>
      <c r="W364" s="19" t="str">
        <f aca="false">IF(OR($A364="",INDEX(_LEITURA!$Q$2:$Q$21,13)=0),"",SUMIFS(DECKS!$D$2:$D$1201,DECKS!$A$2:$A$1201,INDEX(_LEITURA!$P$2:$P$21,13),DECKS!$B$2:$B$1201,$A364))</f>
        <v/>
      </c>
      <c r="X364" s="19" t="str">
        <f aca="false">IF(OR($A364="",INDEX(_LEITURA!$Q$2:$Q$21,14)=0),"",SUMIFS(DECKS!$D$2:$D$1201,DECKS!$A$2:$A$1201,INDEX(_LEITURA!$P$2:$P$21,14),DECKS!$B$2:$B$1201,$A364))</f>
        <v/>
      </c>
      <c r="Y364" s="19" t="str">
        <f aca="false">IF(OR($A364="",INDEX(_LEITURA!$Q$2:$Q$21,15)=0),"",SUMIFS(DECKS!$D$2:$D$1201,DECKS!$A$2:$A$1201,INDEX(_LEITURA!$P$2:$P$21,15),DECKS!$B$2:$B$1201,$A364))</f>
        <v/>
      </c>
      <c r="Z364" s="19" t="str">
        <f aca="false">IF(OR($A364="",INDEX(_LEITURA!$Q$2:$Q$21,16)=0),"",SUMIFS(DECKS!$D$2:$D$1201,DECKS!$A$2:$A$1201,INDEX(_LEITURA!$P$2:$P$21,16),DECKS!$B$2:$B$1201,$A364))</f>
        <v/>
      </c>
      <c r="AA364" s="19" t="str">
        <f aca="false">IF(OR($A364="",INDEX(_LEITURA!$Q$2:$Q$21,17)=0),"",SUMIFS(DECKS!$D$2:$D$1201,DECKS!$A$2:$A$1201,INDEX(_LEITURA!$P$2:$P$21,17),DECKS!$B$2:$B$1201,$A364))</f>
        <v/>
      </c>
      <c r="AB364" s="19" t="str">
        <f aca="false">IF(OR($A364="",INDEX(_LEITURA!$Q$2:$Q$21,18)=0),"",SUMIFS(DECKS!$D$2:$D$1201,DECKS!$A$2:$A$1201,INDEX(_LEITURA!$P$2:$P$21,18),DECKS!$B$2:$B$1201,$A364))</f>
        <v/>
      </c>
      <c r="AC364" s="19" t="str">
        <f aca="false">IF(OR($A364="",INDEX(_LEITURA!$Q$2:$Q$21,19)=0),"",SUMIFS(DECKS!$D$2:$D$1201,DECKS!$A$2:$A$1201,INDEX(_LEITURA!$P$2:$P$21,19),DECKS!$B$2:$B$1201,$A364))</f>
        <v/>
      </c>
      <c r="AD364" s="19" t="str">
        <f aca="false">IF(OR($A364="",INDEX(_LEITURA!$Q$2:$Q$21,20)=0),"",SUMIFS(DECKS!$D$2:$D$1201,DECKS!$A$2:$A$1201,INDEX(_LEITURA!$P$2:$P$21,20),DECKS!$B$2:$B$1201,$A364))</f>
        <v/>
      </c>
      <c r="AE364" s="16" t="str">
        <f aca="false">IF(N(E364)&gt;0,MAX(AE$1:AE363)+1,"")</f>
        <v/>
      </c>
      <c r="AF364" s="11" t="str">
        <f aca="false">IF(A364="","",IFERROR(LEFT(A364,FIND("-",A364)-1),A364))</f>
        <v/>
      </c>
      <c r="AG364" s="11" t="str">
        <f aca="false">IF(AF364="","",IF(ISNUMBER(--MID(AF364,1,1)),0,IF(ISNUMBER(--MID(AF364,2,1)),1,IF(ISNUMBER(--MID(AF364,3,1)),2,IF(ISNUMBER(--MID(AF364,4,1)),3,MIN(LEN(AF364),4))))))</f>
        <v/>
      </c>
      <c r="AH364" s="11" t="str">
        <f aca="false">IF(A364="","",LEFT(AF364,AG364)&amp;REPT("0",4-AG364)&amp;RIGHT("000"&amp;IFERROR(VALUE(MID(AF364,AG364+1,9)),0),3)&amp;RIGHT("0000"&amp;IFERROR(VALUE(MID(A364,FIND("-",A364)+1,9)),0),4))</f>
        <v/>
      </c>
      <c r="AI364" s="11" t="str">
        <f aca="false">IF(OR(A364="",N(E364)&lt;=0),"",IF('FALTAS GERAL'!$M$1="Código","K"&amp;AH364&amp;RIGHT("00000"&amp;ROW(),5),IF('FALTAS GERAL'!$M$1="Nome","K"&amp;UPPER(SUBSTITUTE(SUBSTITUTE(SUBSTITUTE(B364,"*",""),"?",""),"~",""))&amp;"0"&amp;AH364&amp;RIGHT("00000"&amp;ROW(),5),IF('FALTAS GERAL'!$M$1="Falta (maior primeiro)","K"&amp;RIGHT("0000"&amp;(9999-E364),4)&amp;AH364&amp;RIGHT("00000"&amp;ROW(),5),IF('FALTAS GERAL'!$M$1="Nº de decks (maior primeiro)","K"&amp;RIGHT("00"&amp;(99-N(G364)),2)&amp;AH364&amp;RIGHT("00000"&amp;ROW(),5),"K"&amp;RIGHT("00000"&amp;ROW(),5))))))</f>
        <v/>
      </c>
      <c r="AJ364" s="11" t="str">
        <f aca="false">IF(AI364="","",COUNTIFS($AI$2:$AI$801,"&lt;"&amp;AI364,$E$2:$E$801,"&gt;0")+1)</f>
        <v/>
      </c>
      <c r="AK364" s="11" t="str">
        <f aca="false">IF(OR(A364="",N(E364)&lt;=0),"",COUNTIFS($AH$2:$AH$801,"&lt;"&amp;AH364,$E$2:$E$801,"&gt;0")+COUNTIFS($AH$2:AH364,AH364,$E$2:E364,"&gt;0"))</f>
        <v/>
      </c>
    </row>
    <row r="365" customFormat="false" ht="15" hidden="false" customHeight="false" outlineLevel="0" collapsed="false">
      <c r="A365" s="11" t="str">
        <f aca="false">IF(INVENTÁRIO!A365="","",INVENTÁRIO!A365)</f>
        <v/>
      </c>
      <c r="B365" s="11" t="str">
        <f aca="false">IF(A365="","",INVENTÁRIO!B365)</f>
        <v/>
      </c>
      <c r="C365" s="16" t="str">
        <f aca="false">IF(A365="","",INVENTÁRIO!C365)</f>
        <v/>
      </c>
      <c r="D365" s="14" t="str">
        <f aca="false">IF(A365="","",MAX(K365:AD365))</f>
        <v/>
      </c>
      <c r="E365" s="14" t="str">
        <f aca="false">IF(A365="","",MAX(0,D365-C365))</f>
        <v/>
      </c>
      <c r="F365" s="16" t="str">
        <f aca="false">IF(A365="","",IF(D365=0,"Fora dos decks",IF(E365=0,"Completo","Falta")))</f>
        <v/>
      </c>
      <c r="G365" s="16" t="str">
        <f aca="false">IF(A365="","",COUNTIF(K365:AD365,"&gt;0"))</f>
        <v/>
      </c>
      <c r="H365" s="16" t="str">
        <f aca="false">IF(A365="","",IF(G365&gt;1,"Sim",""))</f>
        <v/>
      </c>
      <c r="I365" s="18" t="str">
        <f aca="false">IF(A365="","",SUMIFS(DECKS!$D$2:$D$1201,DECKS!$B$2:$B$1201,A365))</f>
        <v/>
      </c>
      <c r="J365" s="18" t="str">
        <f aca="false">IF(A365="","",MAX(0,I365-C365))</f>
        <v/>
      </c>
      <c r="K365" s="19" t="str">
        <f aca="false">IF(OR($A365="",INDEX(_LEITURA!$Q$2:$Q$21,1)=0),"",SUMIFS(DECKS!$D$2:$D$1201,DECKS!$A$2:$A$1201,INDEX(_LEITURA!$P$2:$P$21,1),DECKS!$B$2:$B$1201,$A365))</f>
        <v/>
      </c>
      <c r="L365" s="19" t="str">
        <f aca="false">IF(OR($A365="",INDEX(_LEITURA!$Q$2:$Q$21,2)=0),"",SUMIFS(DECKS!$D$2:$D$1201,DECKS!$A$2:$A$1201,INDEX(_LEITURA!$P$2:$P$21,2),DECKS!$B$2:$B$1201,$A365))</f>
        <v/>
      </c>
      <c r="M365" s="19" t="str">
        <f aca="false">IF(OR($A365="",INDEX(_LEITURA!$Q$2:$Q$21,3)=0),"",SUMIFS(DECKS!$D$2:$D$1201,DECKS!$A$2:$A$1201,INDEX(_LEITURA!$P$2:$P$21,3),DECKS!$B$2:$B$1201,$A365))</f>
        <v/>
      </c>
      <c r="N365" s="19" t="str">
        <f aca="false">IF(OR($A365="",INDEX(_LEITURA!$Q$2:$Q$21,4)=0),"",SUMIFS(DECKS!$D$2:$D$1201,DECKS!$A$2:$A$1201,INDEX(_LEITURA!$P$2:$P$21,4),DECKS!$B$2:$B$1201,$A365))</f>
        <v/>
      </c>
      <c r="O365" s="19" t="str">
        <f aca="false">IF(OR($A365="",INDEX(_LEITURA!$Q$2:$Q$21,5)=0),"",SUMIFS(DECKS!$D$2:$D$1201,DECKS!$A$2:$A$1201,INDEX(_LEITURA!$P$2:$P$21,5),DECKS!$B$2:$B$1201,$A365))</f>
        <v/>
      </c>
      <c r="P365" s="19" t="str">
        <f aca="false">IF(OR($A365="",INDEX(_LEITURA!$Q$2:$Q$21,6)=0),"",SUMIFS(DECKS!$D$2:$D$1201,DECKS!$A$2:$A$1201,INDEX(_LEITURA!$P$2:$P$21,6),DECKS!$B$2:$B$1201,$A365))</f>
        <v/>
      </c>
      <c r="Q365" s="19" t="str">
        <f aca="false">IF(OR($A365="",INDEX(_LEITURA!$Q$2:$Q$21,7)=0),"",SUMIFS(DECKS!$D$2:$D$1201,DECKS!$A$2:$A$1201,INDEX(_LEITURA!$P$2:$P$21,7),DECKS!$B$2:$B$1201,$A365))</f>
        <v/>
      </c>
      <c r="R365" s="19" t="str">
        <f aca="false">IF(OR($A365="",INDEX(_LEITURA!$Q$2:$Q$21,8)=0),"",SUMIFS(DECKS!$D$2:$D$1201,DECKS!$A$2:$A$1201,INDEX(_LEITURA!$P$2:$P$21,8),DECKS!$B$2:$B$1201,$A365))</f>
        <v/>
      </c>
      <c r="S365" s="19" t="str">
        <f aca="false">IF(OR($A365="",INDEX(_LEITURA!$Q$2:$Q$21,9)=0),"",SUMIFS(DECKS!$D$2:$D$1201,DECKS!$A$2:$A$1201,INDEX(_LEITURA!$P$2:$P$21,9),DECKS!$B$2:$B$1201,$A365))</f>
        <v/>
      </c>
      <c r="T365" s="19" t="str">
        <f aca="false">IF(OR($A365="",INDEX(_LEITURA!$Q$2:$Q$21,10)=0),"",SUMIFS(DECKS!$D$2:$D$1201,DECKS!$A$2:$A$1201,INDEX(_LEITURA!$P$2:$P$21,10),DECKS!$B$2:$B$1201,$A365))</f>
        <v/>
      </c>
      <c r="U365" s="19" t="str">
        <f aca="false">IF(OR($A365="",INDEX(_LEITURA!$Q$2:$Q$21,11)=0),"",SUMIFS(DECKS!$D$2:$D$1201,DECKS!$A$2:$A$1201,INDEX(_LEITURA!$P$2:$P$21,11),DECKS!$B$2:$B$1201,$A365))</f>
        <v/>
      </c>
      <c r="V365" s="19" t="str">
        <f aca="false">IF(OR($A365="",INDEX(_LEITURA!$Q$2:$Q$21,12)=0),"",SUMIFS(DECKS!$D$2:$D$1201,DECKS!$A$2:$A$1201,INDEX(_LEITURA!$P$2:$P$21,12),DECKS!$B$2:$B$1201,$A365))</f>
        <v/>
      </c>
      <c r="W365" s="19" t="str">
        <f aca="false">IF(OR($A365="",INDEX(_LEITURA!$Q$2:$Q$21,13)=0),"",SUMIFS(DECKS!$D$2:$D$1201,DECKS!$A$2:$A$1201,INDEX(_LEITURA!$P$2:$P$21,13),DECKS!$B$2:$B$1201,$A365))</f>
        <v/>
      </c>
      <c r="X365" s="19" t="str">
        <f aca="false">IF(OR($A365="",INDEX(_LEITURA!$Q$2:$Q$21,14)=0),"",SUMIFS(DECKS!$D$2:$D$1201,DECKS!$A$2:$A$1201,INDEX(_LEITURA!$P$2:$P$21,14),DECKS!$B$2:$B$1201,$A365))</f>
        <v/>
      </c>
      <c r="Y365" s="19" t="str">
        <f aca="false">IF(OR($A365="",INDEX(_LEITURA!$Q$2:$Q$21,15)=0),"",SUMIFS(DECKS!$D$2:$D$1201,DECKS!$A$2:$A$1201,INDEX(_LEITURA!$P$2:$P$21,15),DECKS!$B$2:$B$1201,$A365))</f>
        <v/>
      </c>
      <c r="Z365" s="19" t="str">
        <f aca="false">IF(OR($A365="",INDEX(_LEITURA!$Q$2:$Q$21,16)=0),"",SUMIFS(DECKS!$D$2:$D$1201,DECKS!$A$2:$A$1201,INDEX(_LEITURA!$P$2:$P$21,16),DECKS!$B$2:$B$1201,$A365))</f>
        <v/>
      </c>
      <c r="AA365" s="19" t="str">
        <f aca="false">IF(OR($A365="",INDEX(_LEITURA!$Q$2:$Q$21,17)=0),"",SUMIFS(DECKS!$D$2:$D$1201,DECKS!$A$2:$A$1201,INDEX(_LEITURA!$P$2:$P$21,17),DECKS!$B$2:$B$1201,$A365))</f>
        <v/>
      </c>
      <c r="AB365" s="19" t="str">
        <f aca="false">IF(OR($A365="",INDEX(_LEITURA!$Q$2:$Q$21,18)=0),"",SUMIFS(DECKS!$D$2:$D$1201,DECKS!$A$2:$A$1201,INDEX(_LEITURA!$P$2:$P$21,18),DECKS!$B$2:$B$1201,$A365))</f>
        <v/>
      </c>
      <c r="AC365" s="19" t="str">
        <f aca="false">IF(OR($A365="",INDEX(_LEITURA!$Q$2:$Q$21,19)=0),"",SUMIFS(DECKS!$D$2:$D$1201,DECKS!$A$2:$A$1201,INDEX(_LEITURA!$P$2:$P$21,19),DECKS!$B$2:$B$1201,$A365))</f>
        <v/>
      </c>
      <c r="AD365" s="19" t="str">
        <f aca="false">IF(OR($A365="",INDEX(_LEITURA!$Q$2:$Q$21,20)=0),"",SUMIFS(DECKS!$D$2:$D$1201,DECKS!$A$2:$A$1201,INDEX(_LEITURA!$P$2:$P$21,20),DECKS!$B$2:$B$1201,$A365))</f>
        <v/>
      </c>
      <c r="AE365" s="16" t="str">
        <f aca="false">IF(N(E365)&gt;0,MAX(AE$1:AE364)+1,"")</f>
        <v/>
      </c>
      <c r="AF365" s="11" t="str">
        <f aca="false">IF(A365="","",IFERROR(LEFT(A365,FIND("-",A365)-1),A365))</f>
        <v/>
      </c>
      <c r="AG365" s="11" t="str">
        <f aca="false">IF(AF365="","",IF(ISNUMBER(--MID(AF365,1,1)),0,IF(ISNUMBER(--MID(AF365,2,1)),1,IF(ISNUMBER(--MID(AF365,3,1)),2,IF(ISNUMBER(--MID(AF365,4,1)),3,MIN(LEN(AF365),4))))))</f>
        <v/>
      </c>
      <c r="AH365" s="11" t="str">
        <f aca="false">IF(A365="","",LEFT(AF365,AG365)&amp;REPT("0",4-AG365)&amp;RIGHT("000"&amp;IFERROR(VALUE(MID(AF365,AG365+1,9)),0),3)&amp;RIGHT("0000"&amp;IFERROR(VALUE(MID(A365,FIND("-",A365)+1,9)),0),4))</f>
        <v/>
      </c>
      <c r="AI365" s="11" t="str">
        <f aca="false">IF(OR(A365="",N(E365)&lt;=0),"",IF('FALTAS GERAL'!$M$1="Código","K"&amp;AH365&amp;RIGHT("00000"&amp;ROW(),5),IF('FALTAS GERAL'!$M$1="Nome","K"&amp;UPPER(SUBSTITUTE(SUBSTITUTE(SUBSTITUTE(B365,"*",""),"?",""),"~",""))&amp;"0"&amp;AH365&amp;RIGHT("00000"&amp;ROW(),5),IF('FALTAS GERAL'!$M$1="Falta (maior primeiro)","K"&amp;RIGHT("0000"&amp;(9999-E365),4)&amp;AH365&amp;RIGHT("00000"&amp;ROW(),5),IF('FALTAS GERAL'!$M$1="Nº de decks (maior primeiro)","K"&amp;RIGHT("00"&amp;(99-N(G365)),2)&amp;AH365&amp;RIGHT("00000"&amp;ROW(),5),"K"&amp;RIGHT("00000"&amp;ROW(),5))))))</f>
        <v/>
      </c>
      <c r="AJ365" s="11" t="str">
        <f aca="false">IF(AI365="","",COUNTIFS($AI$2:$AI$801,"&lt;"&amp;AI365,$E$2:$E$801,"&gt;0")+1)</f>
        <v/>
      </c>
      <c r="AK365" s="11" t="str">
        <f aca="false">IF(OR(A365="",N(E365)&lt;=0),"",COUNTIFS($AH$2:$AH$801,"&lt;"&amp;AH365,$E$2:$E$801,"&gt;0")+COUNTIFS($AH$2:AH365,AH365,$E$2:E365,"&gt;0"))</f>
        <v/>
      </c>
    </row>
    <row r="366" customFormat="false" ht="15" hidden="false" customHeight="false" outlineLevel="0" collapsed="false">
      <c r="A366" s="11" t="str">
        <f aca="false">IF(INVENTÁRIO!A366="","",INVENTÁRIO!A366)</f>
        <v/>
      </c>
      <c r="B366" s="11" t="str">
        <f aca="false">IF(A366="","",INVENTÁRIO!B366)</f>
        <v/>
      </c>
      <c r="C366" s="16" t="str">
        <f aca="false">IF(A366="","",INVENTÁRIO!C366)</f>
        <v/>
      </c>
      <c r="D366" s="14" t="str">
        <f aca="false">IF(A366="","",MAX(K366:AD366))</f>
        <v/>
      </c>
      <c r="E366" s="14" t="str">
        <f aca="false">IF(A366="","",MAX(0,D366-C366))</f>
        <v/>
      </c>
      <c r="F366" s="16" t="str">
        <f aca="false">IF(A366="","",IF(D366=0,"Fora dos decks",IF(E366=0,"Completo","Falta")))</f>
        <v/>
      </c>
      <c r="G366" s="16" t="str">
        <f aca="false">IF(A366="","",COUNTIF(K366:AD366,"&gt;0"))</f>
        <v/>
      </c>
      <c r="H366" s="16" t="str">
        <f aca="false">IF(A366="","",IF(G366&gt;1,"Sim",""))</f>
        <v/>
      </c>
      <c r="I366" s="18" t="str">
        <f aca="false">IF(A366="","",SUMIFS(DECKS!$D$2:$D$1201,DECKS!$B$2:$B$1201,A366))</f>
        <v/>
      </c>
      <c r="J366" s="18" t="str">
        <f aca="false">IF(A366="","",MAX(0,I366-C366))</f>
        <v/>
      </c>
      <c r="K366" s="19" t="str">
        <f aca="false">IF(OR($A366="",INDEX(_LEITURA!$Q$2:$Q$21,1)=0),"",SUMIFS(DECKS!$D$2:$D$1201,DECKS!$A$2:$A$1201,INDEX(_LEITURA!$P$2:$P$21,1),DECKS!$B$2:$B$1201,$A366))</f>
        <v/>
      </c>
      <c r="L366" s="19" t="str">
        <f aca="false">IF(OR($A366="",INDEX(_LEITURA!$Q$2:$Q$21,2)=0),"",SUMIFS(DECKS!$D$2:$D$1201,DECKS!$A$2:$A$1201,INDEX(_LEITURA!$P$2:$P$21,2),DECKS!$B$2:$B$1201,$A366))</f>
        <v/>
      </c>
      <c r="M366" s="19" t="str">
        <f aca="false">IF(OR($A366="",INDEX(_LEITURA!$Q$2:$Q$21,3)=0),"",SUMIFS(DECKS!$D$2:$D$1201,DECKS!$A$2:$A$1201,INDEX(_LEITURA!$P$2:$P$21,3),DECKS!$B$2:$B$1201,$A366))</f>
        <v/>
      </c>
      <c r="N366" s="19" t="str">
        <f aca="false">IF(OR($A366="",INDEX(_LEITURA!$Q$2:$Q$21,4)=0),"",SUMIFS(DECKS!$D$2:$D$1201,DECKS!$A$2:$A$1201,INDEX(_LEITURA!$P$2:$P$21,4),DECKS!$B$2:$B$1201,$A366))</f>
        <v/>
      </c>
      <c r="O366" s="19" t="str">
        <f aca="false">IF(OR($A366="",INDEX(_LEITURA!$Q$2:$Q$21,5)=0),"",SUMIFS(DECKS!$D$2:$D$1201,DECKS!$A$2:$A$1201,INDEX(_LEITURA!$P$2:$P$21,5),DECKS!$B$2:$B$1201,$A366))</f>
        <v/>
      </c>
      <c r="P366" s="19" t="str">
        <f aca="false">IF(OR($A366="",INDEX(_LEITURA!$Q$2:$Q$21,6)=0),"",SUMIFS(DECKS!$D$2:$D$1201,DECKS!$A$2:$A$1201,INDEX(_LEITURA!$P$2:$P$21,6),DECKS!$B$2:$B$1201,$A366))</f>
        <v/>
      </c>
      <c r="Q366" s="19" t="str">
        <f aca="false">IF(OR($A366="",INDEX(_LEITURA!$Q$2:$Q$21,7)=0),"",SUMIFS(DECKS!$D$2:$D$1201,DECKS!$A$2:$A$1201,INDEX(_LEITURA!$P$2:$P$21,7),DECKS!$B$2:$B$1201,$A366))</f>
        <v/>
      </c>
      <c r="R366" s="19" t="str">
        <f aca="false">IF(OR($A366="",INDEX(_LEITURA!$Q$2:$Q$21,8)=0),"",SUMIFS(DECKS!$D$2:$D$1201,DECKS!$A$2:$A$1201,INDEX(_LEITURA!$P$2:$P$21,8),DECKS!$B$2:$B$1201,$A366))</f>
        <v/>
      </c>
      <c r="S366" s="19" t="str">
        <f aca="false">IF(OR($A366="",INDEX(_LEITURA!$Q$2:$Q$21,9)=0),"",SUMIFS(DECKS!$D$2:$D$1201,DECKS!$A$2:$A$1201,INDEX(_LEITURA!$P$2:$P$21,9),DECKS!$B$2:$B$1201,$A366))</f>
        <v/>
      </c>
      <c r="T366" s="19" t="str">
        <f aca="false">IF(OR($A366="",INDEX(_LEITURA!$Q$2:$Q$21,10)=0),"",SUMIFS(DECKS!$D$2:$D$1201,DECKS!$A$2:$A$1201,INDEX(_LEITURA!$P$2:$P$21,10),DECKS!$B$2:$B$1201,$A366))</f>
        <v/>
      </c>
      <c r="U366" s="19" t="str">
        <f aca="false">IF(OR($A366="",INDEX(_LEITURA!$Q$2:$Q$21,11)=0),"",SUMIFS(DECKS!$D$2:$D$1201,DECKS!$A$2:$A$1201,INDEX(_LEITURA!$P$2:$P$21,11),DECKS!$B$2:$B$1201,$A366))</f>
        <v/>
      </c>
      <c r="V366" s="19" t="str">
        <f aca="false">IF(OR($A366="",INDEX(_LEITURA!$Q$2:$Q$21,12)=0),"",SUMIFS(DECKS!$D$2:$D$1201,DECKS!$A$2:$A$1201,INDEX(_LEITURA!$P$2:$P$21,12),DECKS!$B$2:$B$1201,$A366))</f>
        <v/>
      </c>
      <c r="W366" s="19" t="str">
        <f aca="false">IF(OR($A366="",INDEX(_LEITURA!$Q$2:$Q$21,13)=0),"",SUMIFS(DECKS!$D$2:$D$1201,DECKS!$A$2:$A$1201,INDEX(_LEITURA!$P$2:$P$21,13),DECKS!$B$2:$B$1201,$A366))</f>
        <v/>
      </c>
      <c r="X366" s="19" t="str">
        <f aca="false">IF(OR($A366="",INDEX(_LEITURA!$Q$2:$Q$21,14)=0),"",SUMIFS(DECKS!$D$2:$D$1201,DECKS!$A$2:$A$1201,INDEX(_LEITURA!$P$2:$P$21,14),DECKS!$B$2:$B$1201,$A366))</f>
        <v/>
      </c>
      <c r="Y366" s="19" t="str">
        <f aca="false">IF(OR($A366="",INDEX(_LEITURA!$Q$2:$Q$21,15)=0),"",SUMIFS(DECKS!$D$2:$D$1201,DECKS!$A$2:$A$1201,INDEX(_LEITURA!$P$2:$P$21,15),DECKS!$B$2:$B$1201,$A366))</f>
        <v/>
      </c>
      <c r="Z366" s="19" t="str">
        <f aca="false">IF(OR($A366="",INDEX(_LEITURA!$Q$2:$Q$21,16)=0),"",SUMIFS(DECKS!$D$2:$D$1201,DECKS!$A$2:$A$1201,INDEX(_LEITURA!$P$2:$P$21,16),DECKS!$B$2:$B$1201,$A366))</f>
        <v/>
      </c>
      <c r="AA366" s="19" t="str">
        <f aca="false">IF(OR($A366="",INDEX(_LEITURA!$Q$2:$Q$21,17)=0),"",SUMIFS(DECKS!$D$2:$D$1201,DECKS!$A$2:$A$1201,INDEX(_LEITURA!$P$2:$P$21,17),DECKS!$B$2:$B$1201,$A366))</f>
        <v/>
      </c>
      <c r="AB366" s="19" t="str">
        <f aca="false">IF(OR($A366="",INDEX(_LEITURA!$Q$2:$Q$21,18)=0),"",SUMIFS(DECKS!$D$2:$D$1201,DECKS!$A$2:$A$1201,INDEX(_LEITURA!$P$2:$P$21,18),DECKS!$B$2:$B$1201,$A366))</f>
        <v/>
      </c>
      <c r="AC366" s="19" t="str">
        <f aca="false">IF(OR($A366="",INDEX(_LEITURA!$Q$2:$Q$21,19)=0),"",SUMIFS(DECKS!$D$2:$D$1201,DECKS!$A$2:$A$1201,INDEX(_LEITURA!$P$2:$P$21,19),DECKS!$B$2:$B$1201,$A366))</f>
        <v/>
      </c>
      <c r="AD366" s="19" t="str">
        <f aca="false">IF(OR($A366="",INDEX(_LEITURA!$Q$2:$Q$21,20)=0),"",SUMIFS(DECKS!$D$2:$D$1201,DECKS!$A$2:$A$1201,INDEX(_LEITURA!$P$2:$P$21,20),DECKS!$B$2:$B$1201,$A366))</f>
        <v/>
      </c>
      <c r="AE366" s="16" t="str">
        <f aca="false">IF(N(E366)&gt;0,MAX(AE$1:AE365)+1,"")</f>
        <v/>
      </c>
      <c r="AF366" s="11" t="str">
        <f aca="false">IF(A366="","",IFERROR(LEFT(A366,FIND("-",A366)-1),A366))</f>
        <v/>
      </c>
      <c r="AG366" s="11" t="str">
        <f aca="false">IF(AF366="","",IF(ISNUMBER(--MID(AF366,1,1)),0,IF(ISNUMBER(--MID(AF366,2,1)),1,IF(ISNUMBER(--MID(AF366,3,1)),2,IF(ISNUMBER(--MID(AF366,4,1)),3,MIN(LEN(AF366),4))))))</f>
        <v/>
      </c>
      <c r="AH366" s="11" t="str">
        <f aca="false">IF(A366="","",LEFT(AF366,AG366)&amp;REPT("0",4-AG366)&amp;RIGHT("000"&amp;IFERROR(VALUE(MID(AF366,AG366+1,9)),0),3)&amp;RIGHT("0000"&amp;IFERROR(VALUE(MID(A366,FIND("-",A366)+1,9)),0),4))</f>
        <v/>
      </c>
      <c r="AI366" s="11" t="str">
        <f aca="false">IF(OR(A366="",N(E366)&lt;=0),"",IF('FALTAS GERAL'!$M$1="Código","K"&amp;AH366&amp;RIGHT("00000"&amp;ROW(),5),IF('FALTAS GERAL'!$M$1="Nome","K"&amp;UPPER(SUBSTITUTE(SUBSTITUTE(SUBSTITUTE(B366,"*",""),"?",""),"~",""))&amp;"0"&amp;AH366&amp;RIGHT("00000"&amp;ROW(),5),IF('FALTAS GERAL'!$M$1="Falta (maior primeiro)","K"&amp;RIGHT("0000"&amp;(9999-E366),4)&amp;AH366&amp;RIGHT("00000"&amp;ROW(),5),IF('FALTAS GERAL'!$M$1="Nº de decks (maior primeiro)","K"&amp;RIGHT("00"&amp;(99-N(G366)),2)&amp;AH366&amp;RIGHT("00000"&amp;ROW(),5),"K"&amp;RIGHT("00000"&amp;ROW(),5))))))</f>
        <v/>
      </c>
      <c r="AJ366" s="11" t="str">
        <f aca="false">IF(AI366="","",COUNTIFS($AI$2:$AI$801,"&lt;"&amp;AI366,$E$2:$E$801,"&gt;0")+1)</f>
        <v/>
      </c>
      <c r="AK366" s="11" t="str">
        <f aca="false">IF(OR(A366="",N(E366)&lt;=0),"",COUNTIFS($AH$2:$AH$801,"&lt;"&amp;AH366,$E$2:$E$801,"&gt;0")+COUNTIFS($AH$2:AH366,AH366,$E$2:E366,"&gt;0"))</f>
        <v/>
      </c>
    </row>
    <row r="367" customFormat="false" ht="15" hidden="false" customHeight="false" outlineLevel="0" collapsed="false">
      <c r="A367" s="11" t="str">
        <f aca="false">IF(INVENTÁRIO!A367="","",INVENTÁRIO!A367)</f>
        <v/>
      </c>
      <c r="B367" s="11" t="str">
        <f aca="false">IF(A367="","",INVENTÁRIO!B367)</f>
        <v/>
      </c>
      <c r="C367" s="16" t="str">
        <f aca="false">IF(A367="","",INVENTÁRIO!C367)</f>
        <v/>
      </c>
      <c r="D367" s="14" t="str">
        <f aca="false">IF(A367="","",MAX(K367:AD367))</f>
        <v/>
      </c>
      <c r="E367" s="14" t="str">
        <f aca="false">IF(A367="","",MAX(0,D367-C367))</f>
        <v/>
      </c>
      <c r="F367" s="16" t="str">
        <f aca="false">IF(A367="","",IF(D367=0,"Fora dos decks",IF(E367=0,"Completo","Falta")))</f>
        <v/>
      </c>
      <c r="G367" s="16" t="str">
        <f aca="false">IF(A367="","",COUNTIF(K367:AD367,"&gt;0"))</f>
        <v/>
      </c>
      <c r="H367" s="16" t="str">
        <f aca="false">IF(A367="","",IF(G367&gt;1,"Sim",""))</f>
        <v/>
      </c>
      <c r="I367" s="18" t="str">
        <f aca="false">IF(A367="","",SUMIFS(DECKS!$D$2:$D$1201,DECKS!$B$2:$B$1201,A367))</f>
        <v/>
      </c>
      <c r="J367" s="18" t="str">
        <f aca="false">IF(A367="","",MAX(0,I367-C367))</f>
        <v/>
      </c>
      <c r="K367" s="19" t="str">
        <f aca="false">IF(OR($A367="",INDEX(_LEITURA!$Q$2:$Q$21,1)=0),"",SUMIFS(DECKS!$D$2:$D$1201,DECKS!$A$2:$A$1201,INDEX(_LEITURA!$P$2:$P$21,1),DECKS!$B$2:$B$1201,$A367))</f>
        <v/>
      </c>
      <c r="L367" s="19" t="str">
        <f aca="false">IF(OR($A367="",INDEX(_LEITURA!$Q$2:$Q$21,2)=0),"",SUMIFS(DECKS!$D$2:$D$1201,DECKS!$A$2:$A$1201,INDEX(_LEITURA!$P$2:$P$21,2),DECKS!$B$2:$B$1201,$A367))</f>
        <v/>
      </c>
      <c r="M367" s="19" t="str">
        <f aca="false">IF(OR($A367="",INDEX(_LEITURA!$Q$2:$Q$21,3)=0),"",SUMIFS(DECKS!$D$2:$D$1201,DECKS!$A$2:$A$1201,INDEX(_LEITURA!$P$2:$P$21,3),DECKS!$B$2:$B$1201,$A367))</f>
        <v/>
      </c>
      <c r="N367" s="19" t="str">
        <f aca="false">IF(OR($A367="",INDEX(_LEITURA!$Q$2:$Q$21,4)=0),"",SUMIFS(DECKS!$D$2:$D$1201,DECKS!$A$2:$A$1201,INDEX(_LEITURA!$P$2:$P$21,4),DECKS!$B$2:$B$1201,$A367))</f>
        <v/>
      </c>
      <c r="O367" s="19" t="str">
        <f aca="false">IF(OR($A367="",INDEX(_LEITURA!$Q$2:$Q$21,5)=0),"",SUMIFS(DECKS!$D$2:$D$1201,DECKS!$A$2:$A$1201,INDEX(_LEITURA!$P$2:$P$21,5),DECKS!$B$2:$B$1201,$A367))</f>
        <v/>
      </c>
      <c r="P367" s="19" t="str">
        <f aca="false">IF(OR($A367="",INDEX(_LEITURA!$Q$2:$Q$21,6)=0),"",SUMIFS(DECKS!$D$2:$D$1201,DECKS!$A$2:$A$1201,INDEX(_LEITURA!$P$2:$P$21,6),DECKS!$B$2:$B$1201,$A367))</f>
        <v/>
      </c>
      <c r="Q367" s="19" t="str">
        <f aca="false">IF(OR($A367="",INDEX(_LEITURA!$Q$2:$Q$21,7)=0),"",SUMIFS(DECKS!$D$2:$D$1201,DECKS!$A$2:$A$1201,INDEX(_LEITURA!$P$2:$P$21,7),DECKS!$B$2:$B$1201,$A367))</f>
        <v/>
      </c>
      <c r="R367" s="19" t="str">
        <f aca="false">IF(OR($A367="",INDEX(_LEITURA!$Q$2:$Q$21,8)=0),"",SUMIFS(DECKS!$D$2:$D$1201,DECKS!$A$2:$A$1201,INDEX(_LEITURA!$P$2:$P$21,8),DECKS!$B$2:$B$1201,$A367))</f>
        <v/>
      </c>
      <c r="S367" s="19" t="str">
        <f aca="false">IF(OR($A367="",INDEX(_LEITURA!$Q$2:$Q$21,9)=0),"",SUMIFS(DECKS!$D$2:$D$1201,DECKS!$A$2:$A$1201,INDEX(_LEITURA!$P$2:$P$21,9),DECKS!$B$2:$B$1201,$A367))</f>
        <v/>
      </c>
      <c r="T367" s="19" t="str">
        <f aca="false">IF(OR($A367="",INDEX(_LEITURA!$Q$2:$Q$21,10)=0),"",SUMIFS(DECKS!$D$2:$D$1201,DECKS!$A$2:$A$1201,INDEX(_LEITURA!$P$2:$P$21,10),DECKS!$B$2:$B$1201,$A367))</f>
        <v/>
      </c>
      <c r="U367" s="19" t="str">
        <f aca="false">IF(OR($A367="",INDEX(_LEITURA!$Q$2:$Q$21,11)=0),"",SUMIFS(DECKS!$D$2:$D$1201,DECKS!$A$2:$A$1201,INDEX(_LEITURA!$P$2:$P$21,11),DECKS!$B$2:$B$1201,$A367))</f>
        <v/>
      </c>
      <c r="V367" s="19" t="str">
        <f aca="false">IF(OR($A367="",INDEX(_LEITURA!$Q$2:$Q$21,12)=0),"",SUMIFS(DECKS!$D$2:$D$1201,DECKS!$A$2:$A$1201,INDEX(_LEITURA!$P$2:$P$21,12),DECKS!$B$2:$B$1201,$A367))</f>
        <v/>
      </c>
      <c r="W367" s="19" t="str">
        <f aca="false">IF(OR($A367="",INDEX(_LEITURA!$Q$2:$Q$21,13)=0),"",SUMIFS(DECKS!$D$2:$D$1201,DECKS!$A$2:$A$1201,INDEX(_LEITURA!$P$2:$P$21,13),DECKS!$B$2:$B$1201,$A367))</f>
        <v/>
      </c>
      <c r="X367" s="19" t="str">
        <f aca="false">IF(OR($A367="",INDEX(_LEITURA!$Q$2:$Q$21,14)=0),"",SUMIFS(DECKS!$D$2:$D$1201,DECKS!$A$2:$A$1201,INDEX(_LEITURA!$P$2:$P$21,14),DECKS!$B$2:$B$1201,$A367))</f>
        <v/>
      </c>
      <c r="Y367" s="19" t="str">
        <f aca="false">IF(OR($A367="",INDEX(_LEITURA!$Q$2:$Q$21,15)=0),"",SUMIFS(DECKS!$D$2:$D$1201,DECKS!$A$2:$A$1201,INDEX(_LEITURA!$P$2:$P$21,15),DECKS!$B$2:$B$1201,$A367))</f>
        <v/>
      </c>
      <c r="Z367" s="19" t="str">
        <f aca="false">IF(OR($A367="",INDEX(_LEITURA!$Q$2:$Q$21,16)=0),"",SUMIFS(DECKS!$D$2:$D$1201,DECKS!$A$2:$A$1201,INDEX(_LEITURA!$P$2:$P$21,16),DECKS!$B$2:$B$1201,$A367))</f>
        <v/>
      </c>
      <c r="AA367" s="19" t="str">
        <f aca="false">IF(OR($A367="",INDEX(_LEITURA!$Q$2:$Q$21,17)=0),"",SUMIFS(DECKS!$D$2:$D$1201,DECKS!$A$2:$A$1201,INDEX(_LEITURA!$P$2:$P$21,17),DECKS!$B$2:$B$1201,$A367))</f>
        <v/>
      </c>
      <c r="AB367" s="19" t="str">
        <f aca="false">IF(OR($A367="",INDEX(_LEITURA!$Q$2:$Q$21,18)=0),"",SUMIFS(DECKS!$D$2:$D$1201,DECKS!$A$2:$A$1201,INDEX(_LEITURA!$P$2:$P$21,18),DECKS!$B$2:$B$1201,$A367))</f>
        <v/>
      </c>
      <c r="AC367" s="19" t="str">
        <f aca="false">IF(OR($A367="",INDEX(_LEITURA!$Q$2:$Q$21,19)=0),"",SUMIFS(DECKS!$D$2:$D$1201,DECKS!$A$2:$A$1201,INDEX(_LEITURA!$P$2:$P$21,19),DECKS!$B$2:$B$1201,$A367))</f>
        <v/>
      </c>
      <c r="AD367" s="19" t="str">
        <f aca="false">IF(OR($A367="",INDEX(_LEITURA!$Q$2:$Q$21,20)=0),"",SUMIFS(DECKS!$D$2:$D$1201,DECKS!$A$2:$A$1201,INDEX(_LEITURA!$P$2:$P$21,20),DECKS!$B$2:$B$1201,$A367))</f>
        <v/>
      </c>
      <c r="AE367" s="16" t="str">
        <f aca="false">IF(N(E367)&gt;0,MAX(AE$1:AE366)+1,"")</f>
        <v/>
      </c>
      <c r="AF367" s="11" t="str">
        <f aca="false">IF(A367="","",IFERROR(LEFT(A367,FIND("-",A367)-1),A367))</f>
        <v/>
      </c>
      <c r="AG367" s="11" t="str">
        <f aca="false">IF(AF367="","",IF(ISNUMBER(--MID(AF367,1,1)),0,IF(ISNUMBER(--MID(AF367,2,1)),1,IF(ISNUMBER(--MID(AF367,3,1)),2,IF(ISNUMBER(--MID(AF367,4,1)),3,MIN(LEN(AF367),4))))))</f>
        <v/>
      </c>
      <c r="AH367" s="11" t="str">
        <f aca="false">IF(A367="","",LEFT(AF367,AG367)&amp;REPT("0",4-AG367)&amp;RIGHT("000"&amp;IFERROR(VALUE(MID(AF367,AG367+1,9)),0),3)&amp;RIGHT("0000"&amp;IFERROR(VALUE(MID(A367,FIND("-",A367)+1,9)),0),4))</f>
        <v/>
      </c>
      <c r="AI367" s="11" t="str">
        <f aca="false">IF(OR(A367="",N(E367)&lt;=0),"",IF('FALTAS GERAL'!$M$1="Código","K"&amp;AH367&amp;RIGHT("00000"&amp;ROW(),5),IF('FALTAS GERAL'!$M$1="Nome","K"&amp;UPPER(SUBSTITUTE(SUBSTITUTE(SUBSTITUTE(B367,"*",""),"?",""),"~",""))&amp;"0"&amp;AH367&amp;RIGHT("00000"&amp;ROW(),5),IF('FALTAS GERAL'!$M$1="Falta (maior primeiro)","K"&amp;RIGHT("0000"&amp;(9999-E367),4)&amp;AH367&amp;RIGHT("00000"&amp;ROW(),5),IF('FALTAS GERAL'!$M$1="Nº de decks (maior primeiro)","K"&amp;RIGHT("00"&amp;(99-N(G367)),2)&amp;AH367&amp;RIGHT("00000"&amp;ROW(),5),"K"&amp;RIGHT("00000"&amp;ROW(),5))))))</f>
        <v/>
      </c>
      <c r="AJ367" s="11" t="str">
        <f aca="false">IF(AI367="","",COUNTIFS($AI$2:$AI$801,"&lt;"&amp;AI367,$E$2:$E$801,"&gt;0")+1)</f>
        <v/>
      </c>
      <c r="AK367" s="11" t="str">
        <f aca="false">IF(OR(A367="",N(E367)&lt;=0),"",COUNTIFS($AH$2:$AH$801,"&lt;"&amp;AH367,$E$2:$E$801,"&gt;0")+COUNTIFS($AH$2:AH367,AH367,$E$2:E367,"&gt;0"))</f>
        <v/>
      </c>
    </row>
    <row r="368" customFormat="false" ht="15" hidden="false" customHeight="false" outlineLevel="0" collapsed="false">
      <c r="A368" s="11" t="str">
        <f aca="false">IF(INVENTÁRIO!A368="","",INVENTÁRIO!A368)</f>
        <v/>
      </c>
      <c r="B368" s="11" t="str">
        <f aca="false">IF(A368="","",INVENTÁRIO!B368)</f>
        <v/>
      </c>
      <c r="C368" s="16" t="str">
        <f aca="false">IF(A368="","",INVENTÁRIO!C368)</f>
        <v/>
      </c>
      <c r="D368" s="14" t="str">
        <f aca="false">IF(A368="","",MAX(K368:AD368))</f>
        <v/>
      </c>
      <c r="E368" s="14" t="str">
        <f aca="false">IF(A368="","",MAX(0,D368-C368))</f>
        <v/>
      </c>
      <c r="F368" s="16" t="str">
        <f aca="false">IF(A368="","",IF(D368=0,"Fora dos decks",IF(E368=0,"Completo","Falta")))</f>
        <v/>
      </c>
      <c r="G368" s="16" t="str">
        <f aca="false">IF(A368="","",COUNTIF(K368:AD368,"&gt;0"))</f>
        <v/>
      </c>
      <c r="H368" s="16" t="str">
        <f aca="false">IF(A368="","",IF(G368&gt;1,"Sim",""))</f>
        <v/>
      </c>
      <c r="I368" s="18" t="str">
        <f aca="false">IF(A368="","",SUMIFS(DECKS!$D$2:$D$1201,DECKS!$B$2:$B$1201,A368))</f>
        <v/>
      </c>
      <c r="J368" s="18" t="str">
        <f aca="false">IF(A368="","",MAX(0,I368-C368))</f>
        <v/>
      </c>
      <c r="K368" s="19" t="str">
        <f aca="false">IF(OR($A368="",INDEX(_LEITURA!$Q$2:$Q$21,1)=0),"",SUMIFS(DECKS!$D$2:$D$1201,DECKS!$A$2:$A$1201,INDEX(_LEITURA!$P$2:$P$21,1),DECKS!$B$2:$B$1201,$A368))</f>
        <v/>
      </c>
      <c r="L368" s="19" t="str">
        <f aca="false">IF(OR($A368="",INDEX(_LEITURA!$Q$2:$Q$21,2)=0),"",SUMIFS(DECKS!$D$2:$D$1201,DECKS!$A$2:$A$1201,INDEX(_LEITURA!$P$2:$P$21,2),DECKS!$B$2:$B$1201,$A368))</f>
        <v/>
      </c>
      <c r="M368" s="19" t="str">
        <f aca="false">IF(OR($A368="",INDEX(_LEITURA!$Q$2:$Q$21,3)=0),"",SUMIFS(DECKS!$D$2:$D$1201,DECKS!$A$2:$A$1201,INDEX(_LEITURA!$P$2:$P$21,3),DECKS!$B$2:$B$1201,$A368))</f>
        <v/>
      </c>
      <c r="N368" s="19" t="str">
        <f aca="false">IF(OR($A368="",INDEX(_LEITURA!$Q$2:$Q$21,4)=0),"",SUMIFS(DECKS!$D$2:$D$1201,DECKS!$A$2:$A$1201,INDEX(_LEITURA!$P$2:$P$21,4),DECKS!$B$2:$B$1201,$A368))</f>
        <v/>
      </c>
      <c r="O368" s="19" t="str">
        <f aca="false">IF(OR($A368="",INDEX(_LEITURA!$Q$2:$Q$21,5)=0),"",SUMIFS(DECKS!$D$2:$D$1201,DECKS!$A$2:$A$1201,INDEX(_LEITURA!$P$2:$P$21,5),DECKS!$B$2:$B$1201,$A368))</f>
        <v/>
      </c>
      <c r="P368" s="19" t="str">
        <f aca="false">IF(OR($A368="",INDEX(_LEITURA!$Q$2:$Q$21,6)=0),"",SUMIFS(DECKS!$D$2:$D$1201,DECKS!$A$2:$A$1201,INDEX(_LEITURA!$P$2:$P$21,6),DECKS!$B$2:$B$1201,$A368))</f>
        <v/>
      </c>
      <c r="Q368" s="19" t="str">
        <f aca="false">IF(OR($A368="",INDEX(_LEITURA!$Q$2:$Q$21,7)=0),"",SUMIFS(DECKS!$D$2:$D$1201,DECKS!$A$2:$A$1201,INDEX(_LEITURA!$P$2:$P$21,7),DECKS!$B$2:$B$1201,$A368))</f>
        <v/>
      </c>
      <c r="R368" s="19" t="str">
        <f aca="false">IF(OR($A368="",INDEX(_LEITURA!$Q$2:$Q$21,8)=0),"",SUMIFS(DECKS!$D$2:$D$1201,DECKS!$A$2:$A$1201,INDEX(_LEITURA!$P$2:$P$21,8),DECKS!$B$2:$B$1201,$A368))</f>
        <v/>
      </c>
      <c r="S368" s="19" t="str">
        <f aca="false">IF(OR($A368="",INDEX(_LEITURA!$Q$2:$Q$21,9)=0),"",SUMIFS(DECKS!$D$2:$D$1201,DECKS!$A$2:$A$1201,INDEX(_LEITURA!$P$2:$P$21,9),DECKS!$B$2:$B$1201,$A368))</f>
        <v/>
      </c>
      <c r="T368" s="19" t="str">
        <f aca="false">IF(OR($A368="",INDEX(_LEITURA!$Q$2:$Q$21,10)=0),"",SUMIFS(DECKS!$D$2:$D$1201,DECKS!$A$2:$A$1201,INDEX(_LEITURA!$P$2:$P$21,10),DECKS!$B$2:$B$1201,$A368))</f>
        <v/>
      </c>
      <c r="U368" s="19" t="str">
        <f aca="false">IF(OR($A368="",INDEX(_LEITURA!$Q$2:$Q$21,11)=0),"",SUMIFS(DECKS!$D$2:$D$1201,DECKS!$A$2:$A$1201,INDEX(_LEITURA!$P$2:$P$21,11),DECKS!$B$2:$B$1201,$A368))</f>
        <v/>
      </c>
      <c r="V368" s="19" t="str">
        <f aca="false">IF(OR($A368="",INDEX(_LEITURA!$Q$2:$Q$21,12)=0),"",SUMIFS(DECKS!$D$2:$D$1201,DECKS!$A$2:$A$1201,INDEX(_LEITURA!$P$2:$P$21,12),DECKS!$B$2:$B$1201,$A368))</f>
        <v/>
      </c>
      <c r="W368" s="19" t="str">
        <f aca="false">IF(OR($A368="",INDEX(_LEITURA!$Q$2:$Q$21,13)=0),"",SUMIFS(DECKS!$D$2:$D$1201,DECKS!$A$2:$A$1201,INDEX(_LEITURA!$P$2:$P$21,13),DECKS!$B$2:$B$1201,$A368))</f>
        <v/>
      </c>
      <c r="X368" s="19" t="str">
        <f aca="false">IF(OR($A368="",INDEX(_LEITURA!$Q$2:$Q$21,14)=0),"",SUMIFS(DECKS!$D$2:$D$1201,DECKS!$A$2:$A$1201,INDEX(_LEITURA!$P$2:$P$21,14),DECKS!$B$2:$B$1201,$A368))</f>
        <v/>
      </c>
      <c r="Y368" s="19" t="str">
        <f aca="false">IF(OR($A368="",INDEX(_LEITURA!$Q$2:$Q$21,15)=0),"",SUMIFS(DECKS!$D$2:$D$1201,DECKS!$A$2:$A$1201,INDEX(_LEITURA!$P$2:$P$21,15),DECKS!$B$2:$B$1201,$A368))</f>
        <v/>
      </c>
      <c r="Z368" s="19" t="str">
        <f aca="false">IF(OR($A368="",INDEX(_LEITURA!$Q$2:$Q$21,16)=0),"",SUMIFS(DECKS!$D$2:$D$1201,DECKS!$A$2:$A$1201,INDEX(_LEITURA!$P$2:$P$21,16),DECKS!$B$2:$B$1201,$A368))</f>
        <v/>
      </c>
      <c r="AA368" s="19" t="str">
        <f aca="false">IF(OR($A368="",INDEX(_LEITURA!$Q$2:$Q$21,17)=0),"",SUMIFS(DECKS!$D$2:$D$1201,DECKS!$A$2:$A$1201,INDEX(_LEITURA!$P$2:$P$21,17),DECKS!$B$2:$B$1201,$A368))</f>
        <v/>
      </c>
      <c r="AB368" s="19" t="str">
        <f aca="false">IF(OR($A368="",INDEX(_LEITURA!$Q$2:$Q$21,18)=0),"",SUMIFS(DECKS!$D$2:$D$1201,DECKS!$A$2:$A$1201,INDEX(_LEITURA!$P$2:$P$21,18),DECKS!$B$2:$B$1201,$A368))</f>
        <v/>
      </c>
      <c r="AC368" s="19" t="str">
        <f aca="false">IF(OR($A368="",INDEX(_LEITURA!$Q$2:$Q$21,19)=0),"",SUMIFS(DECKS!$D$2:$D$1201,DECKS!$A$2:$A$1201,INDEX(_LEITURA!$P$2:$P$21,19),DECKS!$B$2:$B$1201,$A368))</f>
        <v/>
      </c>
      <c r="AD368" s="19" t="str">
        <f aca="false">IF(OR($A368="",INDEX(_LEITURA!$Q$2:$Q$21,20)=0),"",SUMIFS(DECKS!$D$2:$D$1201,DECKS!$A$2:$A$1201,INDEX(_LEITURA!$P$2:$P$21,20),DECKS!$B$2:$B$1201,$A368))</f>
        <v/>
      </c>
      <c r="AE368" s="16" t="str">
        <f aca="false">IF(N(E368)&gt;0,MAX(AE$1:AE367)+1,"")</f>
        <v/>
      </c>
      <c r="AF368" s="11" t="str">
        <f aca="false">IF(A368="","",IFERROR(LEFT(A368,FIND("-",A368)-1),A368))</f>
        <v/>
      </c>
      <c r="AG368" s="11" t="str">
        <f aca="false">IF(AF368="","",IF(ISNUMBER(--MID(AF368,1,1)),0,IF(ISNUMBER(--MID(AF368,2,1)),1,IF(ISNUMBER(--MID(AF368,3,1)),2,IF(ISNUMBER(--MID(AF368,4,1)),3,MIN(LEN(AF368),4))))))</f>
        <v/>
      </c>
      <c r="AH368" s="11" t="str">
        <f aca="false">IF(A368="","",LEFT(AF368,AG368)&amp;REPT("0",4-AG368)&amp;RIGHT("000"&amp;IFERROR(VALUE(MID(AF368,AG368+1,9)),0),3)&amp;RIGHT("0000"&amp;IFERROR(VALUE(MID(A368,FIND("-",A368)+1,9)),0),4))</f>
        <v/>
      </c>
      <c r="AI368" s="11" t="str">
        <f aca="false">IF(OR(A368="",N(E368)&lt;=0),"",IF('FALTAS GERAL'!$M$1="Código","K"&amp;AH368&amp;RIGHT("00000"&amp;ROW(),5),IF('FALTAS GERAL'!$M$1="Nome","K"&amp;UPPER(SUBSTITUTE(SUBSTITUTE(SUBSTITUTE(B368,"*",""),"?",""),"~",""))&amp;"0"&amp;AH368&amp;RIGHT("00000"&amp;ROW(),5),IF('FALTAS GERAL'!$M$1="Falta (maior primeiro)","K"&amp;RIGHT("0000"&amp;(9999-E368),4)&amp;AH368&amp;RIGHT("00000"&amp;ROW(),5),IF('FALTAS GERAL'!$M$1="Nº de decks (maior primeiro)","K"&amp;RIGHT("00"&amp;(99-N(G368)),2)&amp;AH368&amp;RIGHT("00000"&amp;ROW(),5),"K"&amp;RIGHT("00000"&amp;ROW(),5))))))</f>
        <v/>
      </c>
      <c r="AJ368" s="11" t="str">
        <f aca="false">IF(AI368="","",COUNTIFS($AI$2:$AI$801,"&lt;"&amp;AI368,$E$2:$E$801,"&gt;0")+1)</f>
        <v/>
      </c>
      <c r="AK368" s="11" t="str">
        <f aca="false">IF(OR(A368="",N(E368)&lt;=0),"",COUNTIFS($AH$2:$AH$801,"&lt;"&amp;AH368,$E$2:$E$801,"&gt;0")+COUNTIFS($AH$2:AH368,AH368,$E$2:E368,"&gt;0"))</f>
        <v/>
      </c>
    </row>
    <row r="369" customFormat="false" ht="15" hidden="false" customHeight="false" outlineLevel="0" collapsed="false">
      <c r="A369" s="11" t="str">
        <f aca="false">IF(INVENTÁRIO!A369="","",INVENTÁRIO!A369)</f>
        <v/>
      </c>
      <c r="B369" s="11" t="str">
        <f aca="false">IF(A369="","",INVENTÁRIO!B369)</f>
        <v/>
      </c>
      <c r="C369" s="16" t="str">
        <f aca="false">IF(A369="","",INVENTÁRIO!C369)</f>
        <v/>
      </c>
      <c r="D369" s="14" t="str">
        <f aca="false">IF(A369="","",MAX(K369:AD369))</f>
        <v/>
      </c>
      <c r="E369" s="14" t="str">
        <f aca="false">IF(A369="","",MAX(0,D369-C369))</f>
        <v/>
      </c>
      <c r="F369" s="16" t="str">
        <f aca="false">IF(A369="","",IF(D369=0,"Fora dos decks",IF(E369=0,"Completo","Falta")))</f>
        <v/>
      </c>
      <c r="G369" s="16" t="str">
        <f aca="false">IF(A369="","",COUNTIF(K369:AD369,"&gt;0"))</f>
        <v/>
      </c>
      <c r="H369" s="16" t="str">
        <f aca="false">IF(A369="","",IF(G369&gt;1,"Sim",""))</f>
        <v/>
      </c>
      <c r="I369" s="18" t="str">
        <f aca="false">IF(A369="","",SUMIFS(DECKS!$D$2:$D$1201,DECKS!$B$2:$B$1201,A369))</f>
        <v/>
      </c>
      <c r="J369" s="18" t="str">
        <f aca="false">IF(A369="","",MAX(0,I369-C369))</f>
        <v/>
      </c>
      <c r="K369" s="19" t="str">
        <f aca="false">IF(OR($A369="",INDEX(_LEITURA!$Q$2:$Q$21,1)=0),"",SUMIFS(DECKS!$D$2:$D$1201,DECKS!$A$2:$A$1201,INDEX(_LEITURA!$P$2:$P$21,1),DECKS!$B$2:$B$1201,$A369))</f>
        <v/>
      </c>
      <c r="L369" s="19" t="str">
        <f aca="false">IF(OR($A369="",INDEX(_LEITURA!$Q$2:$Q$21,2)=0),"",SUMIFS(DECKS!$D$2:$D$1201,DECKS!$A$2:$A$1201,INDEX(_LEITURA!$P$2:$P$21,2),DECKS!$B$2:$B$1201,$A369))</f>
        <v/>
      </c>
      <c r="M369" s="19" t="str">
        <f aca="false">IF(OR($A369="",INDEX(_LEITURA!$Q$2:$Q$21,3)=0),"",SUMIFS(DECKS!$D$2:$D$1201,DECKS!$A$2:$A$1201,INDEX(_LEITURA!$P$2:$P$21,3),DECKS!$B$2:$B$1201,$A369))</f>
        <v/>
      </c>
      <c r="N369" s="19" t="str">
        <f aca="false">IF(OR($A369="",INDEX(_LEITURA!$Q$2:$Q$21,4)=0),"",SUMIFS(DECKS!$D$2:$D$1201,DECKS!$A$2:$A$1201,INDEX(_LEITURA!$P$2:$P$21,4),DECKS!$B$2:$B$1201,$A369))</f>
        <v/>
      </c>
      <c r="O369" s="19" t="str">
        <f aca="false">IF(OR($A369="",INDEX(_LEITURA!$Q$2:$Q$21,5)=0),"",SUMIFS(DECKS!$D$2:$D$1201,DECKS!$A$2:$A$1201,INDEX(_LEITURA!$P$2:$P$21,5),DECKS!$B$2:$B$1201,$A369))</f>
        <v/>
      </c>
      <c r="P369" s="19" t="str">
        <f aca="false">IF(OR($A369="",INDEX(_LEITURA!$Q$2:$Q$21,6)=0),"",SUMIFS(DECKS!$D$2:$D$1201,DECKS!$A$2:$A$1201,INDEX(_LEITURA!$P$2:$P$21,6),DECKS!$B$2:$B$1201,$A369))</f>
        <v/>
      </c>
      <c r="Q369" s="19" t="str">
        <f aca="false">IF(OR($A369="",INDEX(_LEITURA!$Q$2:$Q$21,7)=0),"",SUMIFS(DECKS!$D$2:$D$1201,DECKS!$A$2:$A$1201,INDEX(_LEITURA!$P$2:$P$21,7),DECKS!$B$2:$B$1201,$A369))</f>
        <v/>
      </c>
      <c r="R369" s="19" t="str">
        <f aca="false">IF(OR($A369="",INDEX(_LEITURA!$Q$2:$Q$21,8)=0),"",SUMIFS(DECKS!$D$2:$D$1201,DECKS!$A$2:$A$1201,INDEX(_LEITURA!$P$2:$P$21,8),DECKS!$B$2:$B$1201,$A369))</f>
        <v/>
      </c>
      <c r="S369" s="19" t="str">
        <f aca="false">IF(OR($A369="",INDEX(_LEITURA!$Q$2:$Q$21,9)=0),"",SUMIFS(DECKS!$D$2:$D$1201,DECKS!$A$2:$A$1201,INDEX(_LEITURA!$P$2:$P$21,9),DECKS!$B$2:$B$1201,$A369))</f>
        <v/>
      </c>
      <c r="T369" s="19" t="str">
        <f aca="false">IF(OR($A369="",INDEX(_LEITURA!$Q$2:$Q$21,10)=0),"",SUMIFS(DECKS!$D$2:$D$1201,DECKS!$A$2:$A$1201,INDEX(_LEITURA!$P$2:$P$21,10),DECKS!$B$2:$B$1201,$A369))</f>
        <v/>
      </c>
      <c r="U369" s="19" t="str">
        <f aca="false">IF(OR($A369="",INDEX(_LEITURA!$Q$2:$Q$21,11)=0),"",SUMIFS(DECKS!$D$2:$D$1201,DECKS!$A$2:$A$1201,INDEX(_LEITURA!$P$2:$P$21,11),DECKS!$B$2:$B$1201,$A369))</f>
        <v/>
      </c>
      <c r="V369" s="19" t="str">
        <f aca="false">IF(OR($A369="",INDEX(_LEITURA!$Q$2:$Q$21,12)=0),"",SUMIFS(DECKS!$D$2:$D$1201,DECKS!$A$2:$A$1201,INDEX(_LEITURA!$P$2:$P$21,12),DECKS!$B$2:$B$1201,$A369))</f>
        <v/>
      </c>
      <c r="W369" s="19" t="str">
        <f aca="false">IF(OR($A369="",INDEX(_LEITURA!$Q$2:$Q$21,13)=0),"",SUMIFS(DECKS!$D$2:$D$1201,DECKS!$A$2:$A$1201,INDEX(_LEITURA!$P$2:$P$21,13),DECKS!$B$2:$B$1201,$A369))</f>
        <v/>
      </c>
      <c r="X369" s="19" t="str">
        <f aca="false">IF(OR($A369="",INDEX(_LEITURA!$Q$2:$Q$21,14)=0),"",SUMIFS(DECKS!$D$2:$D$1201,DECKS!$A$2:$A$1201,INDEX(_LEITURA!$P$2:$P$21,14),DECKS!$B$2:$B$1201,$A369))</f>
        <v/>
      </c>
      <c r="Y369" s="19" t="str">
        <f aca="false">IF(OR($A369="",INDEX(_LEITURA!$Q$2:$Q$21,15)=0),"",SUMIFS(DECKS!$D$2:$D$1201,DECKS!$A$2:$A$1201,INDEX(_LEITURA!$P$2:$P$21,15),DECKS!$B$2:$B$1201,$A369))</f>
        <v/>
      </c>
      <c r="Z369" s="19" t="str">
        <f aca="false">IF(OR($A369="",INDEX(_LEITURA!$Q$2:$Q$21,16)=0),"",SUMIFS(DECKS!$D$2:$D$1201,DECKS!$A$2:$A$1201,INDEX(_LEITURA!$P$2:$P$21,16),DECKS!$B$2:$B$1201,$A369))</f>
        <v/>
      </c>
      <c r="AA369" s="19" t="str">
        <f aca="false">IF(OR($A369="",INDEX(_LEITURA!$Q$2:$Q$21,17)=0),"",SUMIFS(DECKS!$D$2:$D$1201,DECKS!$A$2:$A$1201,INDEX(_LEITURA!$P$2:$P$21,17),DECKS!$B$2:$B$1201,$A369))</f>
        <v/>
      </c>
      <c r="AB369" s="19" t="str">
        <f aca="false">IF(OR($A369="",INDEX(_LEITURA!$Q$2:$Q$21,18)=0),"",SUMIFS(DECKS!$D$2:$D$1201,DECKS!$A$2:$A$1201,INDEX(_LEITURA!$P$2:$P$21,18),DECKS!$B$2:$B$1201,$A369))</f>
        <v/>
      </c>
      <c r="AC369" s="19" t="str">
        <f aca="false">IF(OR($A369="",INDEX(_LEITURA!$Q$2:$Q$21,19)=0),"",SUMIFS(DECKS!$D$2:$D$1201,DECKS!$A$2:$A$1201,INDEX(_LEITURA!$P$2:$P$21,19),DECKS!$B$2:$B$1201,$A369))</f>
        <v/>
      </c>
      <c r="AD369" s="19" t="str">
        <f aca="false">IF(OR($A369="",INDEX(_LEITURA!$Q$2:$Q$21,20)=0),"",SUMIFS(DECKS!$D$2:$D$1201,DECKS!$A$2:$A$1201,INDEX(_LEITURA!$P$2:$P$21,20),DECKS!$B$2:$B$1201,$A369))</f>
        <v/>
      </c>
      <c r="AE369" s="16" t="str">
        <f aca="false">IF(N(E369)&gt;0,MAX(AE$1:AE368)+1,"")</f>
        <v/>
      </c>
      <c r="AF369" s="11" t="str">
        <f aca="false">IF(A369="","",IFERROR(LEFT(A369,FIND("-",A369)-1),A369))</f>
        <v/>
      </c>
      <c r="AG369" s="11" t="str">
        <f aca="false">IF(AF369="","",IF(ISNUMBER(--MID(AF369,1,1)),0,IF(ISNUMBER(--MID(AF369,2,1)),1,IF(ISNUMBER(--MID(AF369,3,1)),2,IF(ISNUMBER(--MID(AF369,4,1)),3,MIN(LEN(AF369),4))))))</f>
        <v/>
      </c>
      <c r="AH369" s="11" t="str">
        <f aca="false">IF(A369="","",LEFT(AF369,AG369)&amp;REPT("0",4-AG369)&amp;RIGHT("000"&amp;IFERROR(VALUE(MID(AF369,AG369+1,9)),0),3)&amp;RIGHT("0000"&amp;IFERROR(VALUE(MID(A369,FIND("-",A369)+1,9)),0),4))</f>
        <v/>
      </c>
      <c r="AI369" s="11" t="str">
        <f aca="false">IF(OR(A369="",N(E369)&lt;=0),"",IF('FALTAS GERAL'!$M$1="Código","K"&amp;AH369&amp;RIGHT("00000"&amp;ROW(),5),IF('FALTAS GERAL'!$M$1="Nome","K"&amp;UPPER(SUBSTITUTE(SUBSTITUTE(SUBSTITUTE(B369,"*",""),"?",""),"~",""))&amp;"0"&amp;AH369&amp;RIGHT("00000"&amp;ROW(),5),IF('FALTAS GERAL'!$M$1="Falta (maior primeiro)","K"&amp;RIGHT("0000"&amp;(9999-E369),4)&amp;AH369&amp;RIGHT("00000"&amp;ROW(),5),IF('FALTAS GERAL'!$M$1="Nº de decks (maior primeiro)","K"&amp;RIGHT("00"&amp;(99-N(G369)),2)&amp;AH369&amp;RIGHT("00000"&amp;ROW(),5),"K"&amp;RIGHT("00000"&amp;ROW(),5))))))</f>
        <v/>
      </c>
      <c r="AJ369" s="11" t="str">
        <f aca="false">IF(AI369="","",COUNTIFS($AI$2:$AI$801,"&lt;"&amp;AI369,$E$2:$E$801,"&gt;0")+1)</f>
        <v/>
      </c>
      <c r="AK369" s="11" t="str">
        <f aca="false">IF(OR(A369="",N(E369)&lt;=0),"",COUNTIFS($AH$2:$AH$801,"&lt;"&amp;AH369,$E$2:$E$801,"&gt;0")+COUNTIFS($AH$2:AH369,AH369,$E$2:E369,"&gt;0"))</f>
        <v/>
      </c>
    </row>
    <row r="370" customFormat="false" ht="15" hidden="false" customHeight="false" outlineLevel="0" collapsed="false">
      <c r="A370" s="11" t="str">
        <f aca="false">IF(INVENTÁRIO!A370="","",INVENTÁRIO!A370)</f>
        <v/>
      </c>
      <c r="B370" s="11" t="str">
        <f aca="false">IF(A370="","",INVENTÁRIO!B370)</f>
        <v/>
      </c>
      <c r="C370" s="16" t="str">
        <f aca="false">IF(A370="","",INVENTÁRIO!C370)</f>
        <v/>
      </c>
      <c r="D370" s="14" t="str">
        <f aca="false">IF(A370="","",MAX(K370:AD370))</f>
        <v/>
      </c>
      <c r="E370" s="14" t="str">
        <f aca="false">IF(A370="","",MAX(0,D370-C370))</f>
        <v/>
      </c>
      <c r="F370" s="16" t="str">
        <f aca="false">IF(A370="","",IF(D370=0,"Fora dos decks",IF(E370=0,"Completo","Falta")))</f>
        <v/>
      </c>
      <c r="G370" s="16" t="str">
        <f aca="false">IF(A370="","",COUNTIF(K370:AD370,"&gt;0"))</f>
        <v/>
      </c>
      <c r="H370" s="16" t="str">
        <f aca="false">IF(A370="","",IF(G370&gt;1,"Sim",""))</f>
        <v/>
      </c>
      <c r="I370" s="18" t="str">
        <f aca="false">IF(A370="","",SUMIFS(DECKS!$D$2:$D$1201,DECKS!$B$2:$B$1201,A370))</f>
        <v/>
      </c>
      <c r="J370" s="18" t="str">
        <f aca="false">IF(A370="","",MAX(0,I370-C370))</f>
        <v/>
      </c>
      <c r="K370" s="19" t="str">
        <f aca="false">IF(OR($A370="",INDEX(_LEITURA!$Q$2:$Q$21,1)=0),"",SUMIFS(DECKS!$D$2:$D$1201,DECKS!$A$2:$A$1201,INDEX(_LEITURA!$P$2:$P$21,1),DECKS!$B$2:$B$1201,$A370))</f>
        <v/>
      </c>
      <c r="L370" s="19" t="str">
        <f aca="false">IF(OR($A370="",INDEX(_LEITURA!$Q$2:$Q$21,2)=0),"",SUMIFS(DECKS!$D$2:$D$1201,DECKS!$A$2:$A$1201,INDEX(_LEITURA!$P$2:$P$21,2),DECKS!$B$2:$B$1201,$A370))</f>
        <v/>
      </c>
      <c r="M370" s="19" t="str">
        <f aca="false">IF(OR($A370="",INDEX(_LEITURA!$Q$2:$Q$21,3)=0),"",SUMIFS(DECKS!$D$2:$D$1201,DECKS!$A$2:$A$1201,INDEX(_LEITURA!$P$2:$P$21,3),DECKS!$B$2:$B$1201,$A370))</f>
        <v/>
      </c>
      <c r="N370" s="19" t="str">
        <f aca="false">IF(OR($A370="",INDEX(_LEITURA!$Q$2:$Q$21,4)=0),"",SUMIFS(DECKS!$D$2:$D$1201,DECKS!$A$2:$A$1201,INDEX(_LEITURA!$P$2:$P$21,4),DECKS!$B$2:$B$1201,$A370))</f>
        <v/>
      </c>
      <c r="O370" s="19" t="str">
        <f aca="false">IF(OR($A370="",INDEX(_LEITURA!$Q$2:$Q$21,5)=0),"",SUMIFS(DECKS!$D$2:$D$1201,DECKS!$A$2:$A$1201,INDEX(_LEITURA!$P$2:$P$21,5),DECKS!$B$2:$B$1201,$A370))</f>
        <v/>
      </c>
      <c r="P370" s="19" t="str">
        <f aca="false">IF(OR($A370="",INDEX(_LEITURA!$Q$2:$Q$21,6)=0),"",SUMIFS(DECKS!$D$2:$D$1201,DECKS!$A$2:$A$1201,INDEX(_LEITURA!$P$2:$P$21,6),DECKS!$B$2:$B$1201,$A370))</f>
        <v/>
      </c>
      <c r="Q370" s="19" t="str">
        <f aca="false">IF(OR($A370="",INDEX(_LEITURA!$Q$2:$Q$21,7)=0),"",SUMIFS(DECKS!$D$2:$D$1201,DECKS!$A$2:$A$1201,INDEX(_LEITURA!$P$2:$P$21,7),DECKS!$B$2:$B$1201,$A370))</f>
        <v/>
      </c>
      <c r="R370" s="19" t="str">
        <f aca="false">IF(OR($A370="",INDEX(_LEITURA!$Q$2:$Q$21,8)=0),"",SUMIFS(DECKS!$D$2:$D$1201,DECKS!$A$2:$A$1201,INDEX(_LEITURA!$P$2:$P$21,8),DECKS!$B$2:$B$1201,$A370))</f>
        <v/>
      </c>
      <c r="S370" s="19" t="str">
        <f aca="false">IF(OR($A370="",INDEX(_LEITURA!$Q$2:$Q$21,9)=0),"",SUMIFS(DECKS!$D$2:$D$1201,DECKS!$A$2:$A$1201,INDEX(_LEITURA!$P$2:$P$21,9),DECKS!$B$2:$B$1201,$A370))</f>
        <v/>
      </c>
      <c r="T370" s="19" t="str">
        <f aca="false">IF(OR($A370="",INDEX(_LEITURA!$Q$2:$Q$21,10)=0),"",SUMIFS(DECKS!$D$2:$D$1201,DECKS!$A$2:$A$1201,INDEX(_LEITURA!$P$2:$P$21,10),DECKS!$B$2:$B$1201,$A370))</f>
        <v/>
      </c>
      <c r="U370" s="19" t="str">
        <f aca="false">IF(OR($A370="",INDEX(_LEITURA!$Q$2:$Q$21,11)=0),"",SUMIFS(DECKS!$D$2:$D$1201,DECKS!$A$2:$A$1201,INDEX(_LEITURA!$P$2:$P$21,11),DECKS!$B$2:$B$1201,$A370))</f>
        <v/>
      </c>
      <c r="V370" s="19" t="str">
        <f aca="false">IF(OR($A370="",INDEX(_LEITURA!$Q$2:$Q$21,12)=0),"",SUMIFS(DECKS!$D$2:$D$1201,DECKS!$A$2:$A$1201,INDEX(_LEITURA!$P$2:$P$21,12),DECKS!$B$2:$B$1201,$A370))</f>
        <v/>
      </c>
      <c r="W370" s="19" t="str">
        <f aca="false">IF(OR($A370="",INDEX(_LEITURA!$Q$2:$Q$21,13)=0),"",SUMIFS(DECKS!$D$2:$D$1201,DECKS!$A$2:$A$1201,INDEX(_LEITURA!$P$2:$P$21,13),DECKS!$B$2:$B$1201,$A370))</f>
        <v/>
      </c>
      <c r="X370" s="19" t="str">
        <f aca="false">IF(OR($A370="",INDEX(_LEITURA!$Q$2:$Q$21,14)=0),"",SUMIFS(DECKS!$D$2:$D$1201,DECKS!$A$2:$A$1201,INDEX(_LEITURA!$P$2:$P$21,14),DECKS!$B$2:$B$1201,$A370))</f>
        <v/>
      </c>
      <c r="Y370" s="19" t="str">
        <f aca="false">IF(OR($A370="",INDEX(_LEITURA!$Q$2:$Q$21,15)=0),"",SUMIFS(DECKS!$D$2:$D$1201,DECKS!$A$2:$A$1201,INDEX(_LEITURA!$P$2:$P$21,15),DECKS!$B$2:$B$1201,$A370))</f>
        <v/>
      </c>
      <c r="Z370" s="19" t="str">
        <f aca="false">IF(OR($A370="",INDEX(_LEITURA!$Q$2:$Q$21,16)=0),"",SUMIFS(DECKS!$D$2:$D$1201,DECKS!$A$2:$A$1201,INDEX(_LEITURA!$P$2:$P$21,16),DECKS!$B$2:$B$1201,$A370))</f>
        <v/>
      </c>
      <c r="AA370" s="19" t="str">
        <f aca="false">IF(OR($A370="",INDEX(_LEITURA!$Q$2:$Q$21,17)=0),"",SUMIFS(DECKS!$D$2:$D$1201,DECKS!$A$2:$A$1201,INDEX(_LEITURA!$P$2:$P$21,17),DECKS!$B$2:$B$1201,$A370))</f>
        <v/>
      </c>
      <c r="AB370" s="19" t="str">
        <f aca="false">IF(OR($A370="",INDEX(_LEITURA!$Q$2:$Q$21,18)=0),"",SUMIFS(DECKS!$D$2:$D$1201,DECKS!$A$2:$A$1201,INDEX(_LEITURA!$P$2:$P$21,18),DECKS!$B$2:$B$1201,$A370))</f>
        <v/>
      </c>
      <c r="AC370" s="19" t="str">
        <f aca="false">IF(OR($A370="",INDEX(_LEITURA!$Q$2:$Q$21,19)=0),"",SUMIFS(DECKS!$D$2:$D$1201,DECKS!$A$2:$A$1201,INDEX(_LEITURA!$P$2:$P$21,19),DECKS!$B$2:$B$1201,$A370))</f>
        <v/>
      </c>
      <c r="AD370" s="19" t="str">
        <f aca="false">IF(OR($A370="",INDEX(_LEITURA!$Q$2:$Q$21,20)=0),"",SUMIFS(DECKS!$D$2:$D$1201,DECKS!$A$2:$A$1201,INDEX(_LEITURA!$P$2:$P$21,20),DECKS!$B$2:$B$1201,$A370))</f>
        <v/>
      </c>
      <c r="AE370" s="16" t="str">
        <f aca="false">IF(N(E370)&gt;0,MAX(AE$1:AE369)+1,"")</f>
        <v/>
      </c>
      <c r="AF370" s="11" t="str">
        <f aca="false">IF(A370="","",IFERROR(LEFT(A370,FIND("-",A370)-1),A370))</f>
        <v/>
      </c>
      <c r="AG370" s="11" t="str">
        <f aca="false">IF(AF370="","",IF(ISNUMBER(--MID(AF370,1,1)),0,IF(ISNUMBER(--MID(AF370,2,1)),1,IF(ISNUMBER(--MID(AF370,3,1)),2,IF(ISNUMBER(--MID(AF370,4,1)),3,MIN(LEN(AF370),4))))))</f>
        <v/>
      </c>
      <c r="AH370" s="11" t="str">
        <f aca="false">IF(A370="","",LEFT(AF370,AG370)&amp;REPT("0",4-AG370)&amp;RIGHT("000"&amp;IFERROR(VALUE(MID(AF370,AG370+1,9)),0),3)&amp;RIGHT("0000"&amp;IFERROR(VALUE(MID(A370,FIND("-",A370)+1,9)),0),4))</f>
        <v/>
      </c>
      <c r="AI370" s="11" t="str">
        <f aca="false">IF(OR(A370="",N(E370)&lt;=0),"",IF('FALTAS GERAL'!$M$1="Código","K"&amp;AH370&amp;RIGHT("00000"&amp;ROW(),5),IF('FALTAS GERAL'!$M$1="Nome","K"&amp;UPPER(SUBSTITUTE(SUBSTITUTE(SUBSTITUTE(B370,"*",""),"?",""),"~",""))&amp;"0"&amp;AH370&amp;RIGHT("00000"&amp;ROW(),5),IF('FALTAS GERAL'!$M$1="Falta (maior primeiro)","K"&amp;RIGHT("0000"&amp;(9999-E370),4)&amp;AH370&amp;RIGHT("00000"&amp;ROW(),5),IF('FALTAS GERAL'!$M$1="Nº de decks (maior primeiro)","K"&amp;RIGHT("00"&amp;(99-N(G370)),2)&amp;AH370&amp;RIGHT("00000"&amp;ROW(),5),"K"&amp;RIGHT("00000"&amp;ROW(),5))))))</f>
        <v/>
      </c>
      <c r="AJ370" s="11" t="str">
        <f aca="false">IF(AI370="","",COUNTIFS($AI$2:$AI$801,"&lt;"&amp;AI370,$E$2:$E$801,"&gt;0")+1)</f>
        <v/>
      </c>
      <c r="AK370" s="11" t="str">
        <f aca="false">IF(OR(A370="",N(E370)&lt;=0),"",COUNTIFS($AH$2:$AH$801,"&lt;"&amp;AH370,$E$2:$E$801,"&gt;0")+COUNTIFS($AH$2:AH370,AH370,$E$2:E370,"&gt;0"))</f>
        <v/>
      </c>
    </row>
    <row r="371" customFormat="false" ht="15" hidden="false" customHeight="false" outlineLevel="0" collapsed="false">
      <c r="A371" s="11" t="str">
        <f aca="false">IF(INVENTÁRIO!A371="","",INVENTÁRIO!A371)</f>
        <v/>
      </c>
      <c r="B371" s="11" t="str">
        <f aca="false">IF(A371="","",INVENTÁRIO!B371)</f>
        <v/>
      </c>
      <c r="C371" s="16" t="str">
        <f aca="false">IF(A371="","",INVENTÁRIO!C371)</f>
        <v/>
      </c>
      <c r="D371" s="14" t="str">
        <f aca="false">IF(A371="","",MAX(K371:AD371))</f>
        <v/>
      </c>
      <c r="E371" s="14" t="str">
        <f aca="false">IF(A371="","",MAX(0,D371-C371))</f>
        <v/>
      </c>
      <c r="F371" s="16" t="str">
        <f aca="false">IF(A371="","",IF(D371=0,"Fora dos decks",IF(E371=0,"Completo","Falta")))</f>
        <v/>
      </c>
      <c r="G371" s="16" t="str">
        <f aca="false">IF(A371="","",COUNTIF(K371:AD371,"&gt;0"))</f>
        <v/>
      </c>
      <c r="H371" s="16" t="str">
        <f aca="false">IF(A371="","",IF(G371&gt;1,"Sim",""))</f>
        <v/>
      </c>
      <c r="I371" s="18" t="str">
        <f aca="false">IF(A371="","",SUMIFS(DECKS!$D$2:$D$1201,DECKS!$B$2:$B$1201,A371))</f>
        <v/>
      </c>
      <c r="J371" s="18" t="str">
        <f aca="false">IF(A371="","",MAX(0,I371-C371))</f>
        <v/>
      </c>
      <c r="K371" s="19" t="str">
        <f aca="false">IF(OR($A371="",INDEX(_LEITURA!$Q$2:$Q$21,1)=0),"",SUMIFS(DECKS!$D$2:$D$1201,DECKS!$A$2:$A$1201,INDEX(_LEITURA!$P$2:$P$21,1),DECKS!$B$2:$B$1201,$A371))</f>
        <v/>
      </c>
      <c r="L371" s="19" t="str">
        <f aca="false">IF(OR($A371="",INDEX(_LEITURA!$Q$2:$Q$21,2)=0),"",SUMIFS(DECKS!$D$2:$D$1201,DECKS!$A$2:$A$1201,INDEX(_LEITURA!$P$2:$P$21,2),DECKS!$B$2:$B$1201,$A371))</f>
        <v/>
      </c>
      <c r="M371" s="19" t="str">
        <f aca="false">IF(OR($A371="",INDEX(_LEITURA!$Q$2:$Q$21,3)=0),"",SUMIFS(DECKS!$D$2:$D$1201,DECKS!$A$2:$A$1201,INDEX(_LEITURA!$P$2:$P$21,3),DECKS!$B$2:$B$1201,$A371))</f>
        <v/>
      </c>
      <c r="N371" s="19" t="str">
        <f aca="false">IF(OR($A371="",INDEX(_LEITURA!$Q$2:$Q$21,4)=0),"",SUMIFS(DECKS!$D$2:$D$1201,DECKS!$A$2:$A$1201,INDEX(_LEITURA!$P$2:$P$21,4),DECKS!$B$2:$B$1201,$A371))</f>
        <v/>
      </c>
      <c r="O371" s="19" t="str">
        <f aca="false">IF(OR($A371="",INDEX(_LEITURA!$Q$2:$Q$21,5)=0),"",SUMIFS(DECKS!$D$2:$D$1201,DECKS!$A$2:$A$1201,INDEX(_LEITURA!$P$2:$P$21,5),DECKS!$B$2:$B$1201,$A371))</f>
        <v/>
      </c>
      <c r="P371" s="19" t="str">
        <f aca="false">IF(OR($A371="",INDEX(_LEITURA!$Q$2:$Q$21,6)=0),"",SUMIFS(DECKS!$D$2:$D$1201,DECKS!$A$2:$A$1201,INDEX(_LEITURA!$P$2:$P$21,6),DECKS!$B$2:$B$1201,$A371))</f>
        <v/>
      </c>
      <c r="Q371" s="19" t="str">
        <f aca="false">IF(OR($A371="",INDEX(_LEITURA!$Q$2:$Q$21,7)=0),"",SUMIFS(DECKS!$D$2:$D$1201,DECKS!$A$2:$A$1201,INDEX(_LEITURA!$P$2:$P$21,7),DECKS!$B$2:$B$1201,$A371))</f>
        <v/>
      </c>
      <c r="R371" s="19" t="str">
        <f aca="false">IF(OR($A371="",INDEX(_LEITURA!$Q$2:$Q$21,8)=0),"",SUMIFS(DECKS!$D$2:$D$1201,DECKS!$A$2:$A$1201,INDEX(_LEITURA!$P$2:$P$21,8),DECKS!$B$2:$B$1201,$A371))</f>
        <v/>
      </c>
      <c r="S371" s="19" t="str">
        <f aca="false">IF(OR($A371="",INDEX(_LEITURA!$Q$2:$Q$21,9)=0),"",SUMIFS(DECKS!$D$2:$D$1201,DECKS!$A$2:$A$1201,INDEX(_LEITURA!$P$2:$P$21,9),DECKS!$B$2:$B$1201,$A371))</f>
        <v/>
      </c>
      <c r="T371" s="19" t="str">
        <f aca="false">IF(OR($A371="",INDEX(_LEITURA!$Q$2:$Q$21,10)=0),"",SUMIFS(DECKS!$D$2:$D$1201,DECKS!$A$2:$A$1201,INDEX(_LEITURA!$P$2:$P$21,10),DECKS!$B$2:$B$1201,$A371))</f>
        <v/>
      </c>
      <c r="U371" s="19" t="str">
        <f aca="false">IF(OR($A371="",INDEX(_LEITURA!$Q$2:$Q$21,11)=0),"",SUMIFS(DECKS!$D$2:$D$1201,DECKS!$A$2:$A$1201,INDEX(_LEITURA!$P$2:$P$21,11),DECKS!$B$2:$B$1201,$A371))</f>
        <v/>
      </c>
      <c r="V371" s="19" t="str">
        <f aca="false">IF(OR($A371="",INDEX(_LEITURA!$Q$2:$Q$21,12)=0),"",SUMIFS(DECKS!$D$2:$D$1201,DECKS!$A$2:$A$1201,INDEX(_LEITURA!$P$2:$P$21,12),DECKS!$B$2:$B$1201,$A371))</f>
        <v/>
      </c>
      <c r="W371" s="19" t="str">
        <f aca="false">IF(OR($A371="",INDEX(_LEITURA!$Q$2:$Q$21,13)=0),"",SUMIFS(DECKS!$D$2:$D$1201,DECKS!$A$2:$A$1201,INDEX(_LEITURA!$P$2:$P$21,13),DECKS!$B$2:$B$1201,$A371))</f>
        <v/>
      </c>
      <c r="X371" s="19" t="str">
        <f aca="false">IF(OR($A371="",INDEX(_LEITURA!$Q$2:$Q$21,14)=0),"",SUMIFS(DECKS!$D$2:$D$1201,DECKS!$A$2:$A$1201,INDEX(_LEITURA!$P$2:$P$21,14),DECKS!$B$2:$B$1201,$A371))</f>
        <v/>
      </c>
      <c r="Y371" s="19" t="str">
        <f aca="false">IF(OR($A371="",INDEX(_LEITURA!$Q$2:$Q$21,15)=0),"",SUMIFS(DECKS!$D$2:$D$1201,DECKS!$A$2:$A$1201,INDEX(_LEITURA!$P$2:$P$21,15),DECKS!$B$2:$B$1201,$A371))</f>
        <v/>
      </c>
      <c r="Z371" s="19" t="str">
        <f aca="false">IF(OR($A371="",INDEX(_LEITURA!$Q$2:$Q$21,16)=0),"",SUMIFS(DECKS!$D$2:$D$1201,DECKS!$A$2:$A$1201,INDEX(_LEITURA!$P$2:$P$21,16),DECKS!$B$2:$B$1201,$A371))</f>
        <v/>
      </c>
      <c r="AA371" s="19" t="str">
        <f aca="false">IF(OR($A371="",INDEX(_LEITURA!$Q$2:$Q$21,17)=0),"",SUMIFS(DECKS!$D$2:$D$1201,DECKS!$A$2:$A$1201,INDEX(_LEITURA!$P$2:$P$21,17),DECKS!$B$2:$B$1201,$A371))</f>
        <v/>
      </c>
      <c r="AB371" s="19" t="str">
        <f aca="false">IF(OR($A371="",INDEX(_LEITURA!$Q$2:$Q$21,18)=0),"",SUMIFS(DECKS!$D$2:$D$1201,DECKS!$A$2:$A$1201,INDEX(_LEITURA!$P$2:$P$21,18),DECKS!$B$2:$B$1201,$A371))</f>
        <v/>
      </c>
      <c r="AC371" s="19" t="str">
        <f aca="false">IF(OR($A371="",INDEX(_LEITURA!$Q$2:$Q$21,19)=0),"",SUMIFS(DECKS!$D$2:$D$1201,DECKS!$A$2:$A$1201,INDEX(_LEITURA!$P$2:$P$21,19),DECKS!$B$2:$B$1201,$A371))</f>
        <v/>
      </c>
      <c r="AD371" s="19" t="str">
        <f aca="false">IF(OR($A371="",INDEX(_LEITURA!$Q$2:$Q$21,20)=0),"",SUMIFS(DECKS!$D$2:$D$1201,DECKS!$A$2:$A$1201,INDEX(_LEITURA!$P$2:$P$21,20),DECKS!$B$2:$B$1201,$A371))</f>
        <v/>
      </c>
      <c r="AE371" s="16" t="str">
        <f aca="false">IF(N(E371)&gt;0,MAX(AE$1:AE370)+1,"")</f>
        <v/>
      </c>
      <c r="AF371" s="11" t="str">
        <f aca="false">IF(A371="","",IFERROR(LEFT(A371,FIND("-",A371)-1),A371))</f>
        <v/>
      </c>
      <c r="AG371" s="11" t="str">
        <f aca="false">IF(AF371="","",IF(ISNUMBER(--MID(AF371,1,1)),0,IF(ISNUMBER(--MID(AF371,2,1)),1,IF(ISNUMBER(--MID(AF371,3,1)),2,IF(ISNUMBER(--MID(AF371,4,1)),3,MIN(LEN(AF371),4))))))</f>
        <v/>
      </c>
      <c r="AH371" s="11" t="str">
        <f aca="false">IF(A371="","",LEFT(AF371,AG371)&amp;REPT("0",4-AG371)&amp;RIGHT("000"&amp;IFERROR(VALUE(MID(AF371,AG371+1,9)),0),3)&amp;RIGHT("0000"&amp;IFERROR(VALUE(MID(A371,FIND("-",A371)+1,9)),0),4))</f>
        <v/>
      </c>
      <c r="AI371" s="11" t="str">
        <f aca="false">IF(OR(A371="",N(E371)&lt;=0),"",IF('FALTAS GERAL'!$M$1="Código","K"&amp;AH371&amp;RIGHT("00000"&amp;ROW(),5),IF('FALTAS GERAL'!$M$1="Nome","K"&amp;UPPER(SUBSTITUTE(SUBSTITUTE(SUBSTITUTE(B371,"*",""),"?",""),"~",""))&amp;"0"&amp;AH371&amp;RIGHT("00000"&amp;ROW(),5),IF('FALTAS GERAL'!$M$1="Falta (maior primeiro)","K"&amp;RIGHT("0000"&amp;(9999-E371),4)&amp;AH371&amp;RIGHT("00000"&amp;ROW(),5),IF('FALTAS GERAL'!$M$1="Nº de decks (maior primeiro)","K"&amp;RIGHT("00"&amp;(99-N(G371)),2)&amp;AH371&amp;RIGHT("00000"&amp;ROW(),5),"K"&amp;RIGHT("00000"&amp;ROW(),5))))))</f>
        <v/>
      </c>
      <c r="AJ371" s="11" t="str">
        <f aca="false">IF(AI371="","",COUNTIFS($AI$2:$AI$801,"&lt;"&amp;AI371,$E$2:$E$801,"&gt;0")+1)</f>
        <v/>
      </c>
      <c r="AK371" s="11" t="str">
        <f aca="false">IF(OR(A371="",N(E371)&lt;=0),"",COUNTIFS($AH$2:$AH$801,"&lt;"&amp;AH371,$E$2:$E$801,"&gt;0")+COUNTIFS($AH$2:AH371,AH371,$E$2:E371,"&gt;0"))</f>
        <v/>
      </c>
    </row>
    <row r="372" customFormat="false" ht="15" hidden="false" customHeight="false" outlineLevel="0" collapsed="false">
      <c r="A372" s="11" t="str">
        <f aca="false">IF(INVENTÁRIO!A372="","",INVENTÁRIO!A372)</f>
        <v/>
      </c>
      <c r="B372" s="11" t="str">
        <f aca="false">IF(A372="","",INVENTÁRIO!B372)</f>
        <v/>
      </c>
      <c r="C372" s="16" t="str">
        <f aca="false">IF(A372="","",INVENTÁRIO!C372)</f>
        <v/>
      </c>
      <c r="D372" s="14" t="str">
        <f aca="false">IF(A372="","",MAX(K372:AD372))</f>
        <v/>
      </c>
      <c r="E372" s="14" t="str">
        <f aca="false">IF(A372="","",MAX(0,D372-C372))</f>
        <v/>
      </c>
      <c r="F372" s="16" t="str">
        <f aca="false">IF(A372="","",IF(D372=0,"Fora dos decks",IF(E372=0,"Completo","Falta")))</f>
        <v/>
      </c>
      <c r="G372" s="16" t="str">
        <f aca="false">IF(A372="","",COUNTIF(K372:AD372,"&gt;0"))</f>
        <v/>
      </c>
      <c r="H372" s="16" t="str">
        <f aca="false">IF(A372="","",IF(G372&gt;1,"Sim",""))</f>
        <v/>
      </c>
      <c r="I372" s="18" t="str">
        <f aca="false">IF(A372="","",SUMIFS(DECKS!$D$2:$D$1201,DECKS!$B$2:$B$1201,A372))</f>
        <v/>
      </c>
      <c r="J372" s="18" t="str">
        <f aca="false">IF(A372="","",MAX(0,I372-C372))</f>
        <v/>
      </c>
      <c r="K372" s="19" t="str">
        <f aca="false">IF(OR($A372="",INDEX(_LEITURA!$Q$2:$Q$21,1)=0),"",SUMIFS(DECKS!$D$2:$D$1201,DECKS!$A$2:$A$1201,INDEX(_LEITURA!$P$2:$P$21,1),DECKS!$B$2:$B$1201,$A372))</f>
        <v/>
      </c>
      <c r="L372" s="19" t="str">
        <f aca="false">IF(OR($A372="",INDEX(_LEITURA!$Q$2:$Q$21,2)=0),"",SUMIFS(DECKS!$D$2:$D$1201,DECKS!$A$2:$A$1201,INDEX(_LEITURA!$P$2:$P$21,2),DECKS!$B$2:$B$1201,$A372))</f>
        <v/>
      </c>
      <c r="M372" s="19" t="str">
        <f aca="false">IF(OR($A372="",INDEX(_LEITURA!$Q$2:$Q$21,3)=0),"",SUMIFS(DECKS!$D$2:$D$1201,DECKS!$A$2:$A$1201,INDEX(_LEITURA!$P$2:$P$21,3),DECKS!$B$2:$B$1201,$A372))</f>
        <v/>
      </c>
      <c r="N372" s="19" t="str">
        <f aca="false">IF(OR($A372="",INDEX(_LEITURA!$Q$2:$Q$21,4)=0),"",SUMIFS(DECKS!$D$2:$D$1201,DECKS!$A$2:$A$1201,INDEX(_LEITURA!$P$2:$P$21,4),DECKS!$B$2:$B$1201,$A372))</f>
        <v/>
      </c>
      <c r="O372" s="19" t="str">
        <f aca="false">IF(OR($A372="",INDEX(_LEITURA!$Q$2:$Q$21,5)=0),"",SUMIFS(DECKS!$D$2:$D$1201,DECKS!$A$2:$A$1201,INDEX(_LEITURA!$P$2:$P$21,5),DECKS!$B$2:$B$1201,$A372))</f>
        <v/>
      </c>
      <c r="P372" s="19" t="str">
        <f aca="false">IF(OR($A372="",INDEX(_LEITURA!$Q$2:$Q$21,6)=0),"",SUMIFS(DECKS!$D$2:$D$1201,DECKS!$A$2:$A$1201,INDEX(_LEITURA!$P$2:$P$21,6),DECKS!$B$2:$B$1201,$A372))</f>
        <v/>
      </c>
      <c r="Q372" s="19" t="str">
        <f aca="false">IF(OR($A372="",INDEX(_LEITURA!$Q$2:$Q$21,7)=0),"",SUMIFS(DECKS!$D$2:$D$1201,DECKS!$A$2:$A$1201,INDEX(_LEITURA!$P$2:$P$21,7),DECKS!$B$2:$B$1201,$A372))</f>
        <v/>
      </c>
      <c r="R372" s="19" t="str">
        <f aca="false">IF(OR($A372="",INDEX(_LEITURA!$Q$2:$Q$21,8)=0),"",SUMIFS(DECKS!$D$2:$D$1201,DECKS!$A$2:$A$1201,INDEX(_LEITURA!$P$2:$P$21,8),DECKS!$B$2:$B$1201,$A372))</f>
        <v/>
      </c>
      <c r="S372" s="19" t="str">
        <f aca="false">IF(OR($A372="",INDEX(_LEITURA!$Q$2:$Q$21,9)=0),"",SUMIFS(DECKS!$D$2:$D$1201,DECKS!$A$2:$A$1201,INDEX(_LEITURA!$P$2:$P$21,9),DECKS!$B$2:$B$1201,$A372))</f>
        <v/>
      </c>
      <c r="T372" s="19" t="str">
        <f aca="false">IF(OR($A372="",INDEX(_LEITURA!$Q$2:$Q$21,10)=0),"",SUMIFS(DECKS!$D$2:$D$1201,DECKS!$A$2:$A$1201,INDEX(_LEITURA!$P$2:$P$21,10),DECKS!$B$2:$B$1201,$A372))</f>
        <v/>
      </c>
      <c r="U372" s="19" t="str">
        <f aca="false">IF(OR($A372="",INDEX(_LEITURA!$Q$2:$Q$21,11)=0),"",SUMIFS(DECKS!$D$2:$D$1201,DECKS!$A$2:$A$1201,INDEX(_LEITURA!$P$2:$P$21,11),DECKS!$B$2:$B$1201,$A372))</f>
        <v/>
      </c>
      <c r="V372" s="19" t="str">
        <f aca="false">IF(OR($A372="",INDEX(_LEITURA!$Q$2:$Q$21,12)=0),"",SUMIFS(DECKS!$D$2:$D$1201,DECKS!$A$2:$A$1201,INDEX(_LEITURA!$P$2:$P$21,12),DECKS!$B$2:$B$1201,$A372))</f>
        <v/>
      </c>
      <c r="W372" s="19" t="str">
        <f aca="false">IF(OR($A372="",INDEX(_LEITURA!$Q$2:$Q$21,13)=0),"",SUMIFS(DECKS!$D$2:$D$1201,DECKS!$A$2:$A$1201,INDEX(_LEITURA!$P$2:$P$21,13),DECKS!$B$2:$B$1201,$A372))</f>
        <v/>
      </c>
      <c r="X372" s="19" t="str">
        <f aca="false">IF(OR($A372="",INDEX(_LEITURA!$Q$2:$Q$21,14)=0),"",SUMIFS(DECKS!$D$2:$D$1201,DECKS!$A$2:$A$1201,INDEX(_LEITURA!$P$2:$P$21,14),DECKS!$B$2:$B$1201,$A372))</f>
        <v/>
      </c>
      <c r="Y372" s="19" t="str">
        <f aca="false">IF(OR($A372="",INDEX(_LEITURA!$Q$2:$Q$21,15)=0),"",SUMIFS(DECKS!$D$2:$D$1201,DECKS!$A$2:$A$1201,INDEX(_LEITURA!$P$2:$P$21,15),DECKS!$B$2:$B$1201,$A372))</f>
        <v/>
      </c>
      <c r="Z372" s="19" t="str">
        <f aca="false">IF(OR($A372="",INDEX(_LEITURA!$Q$2:$Q$21,16)=0),"",SUMIFS(DECKS!$D$2:$D$1201,DECKS!$A$2:$A$1201,INDEX(_LEITURA!$P$2:$P$21,16),DECKS!$B$2:$B$1201,$A372))</f>
        <v/>
      </c>
      <c r="AA372" s="19" t="str">
        <f aca="false">IF(OR($A372="",INDEX(_LEITURA!$Q$2:$Q$21,17)=0),"",SUMIFS(DECKS!$D$2:$D$1201,DECKS!$A$2:$A$1201,INDEX(_LEITURA!$P$2:$P$21,17),DECKS!$B$2:$B$1201,$A372))</f>
        <v/>
      </c>
      <c r="AB372" s="19" t="str">
        <f aca="false">IF(OR($A372="",INDEX(_LEITURA!$Q$2:$Q$21,18)=0),"",SUMIFS(DECKS!$D$2:$D$1201,DECKS!$A$2:$A$1201,INDEX(_LEITURA!$P$2:$P$21,18),DECKS!$B$2:$B$1201,$A372))</f>
        <v/>
      </c>
      <c r="AC372" s="19" t="str">
        <f aca="false">IF(OR($A372="",INDEX(_LEITURA!$Q$2:$Q$21,19)=0),"",SUMIFS(DECKS!$D$2:$D$1201,DECKS!$A$2:$A$1201,INDEX(_LEITURA!$P$2:$P$21,19),DECKS!$B$2:$B$1201,$A372))</f>
        <v/>
      </c>
      <c r="AD372" s="19" t="str">
        <f aca="false">IF(OR($A372="",INDEX(_LEITURA!$Q$2:$Q$21,20)=0),"",SUMIFS(DECKS!$D$2:$D$1201,DECKS!$A$2:$A$1201,INDEX(_LEITURA!$P$2:$P$21,20),DECKS!$B$2:$B$1201,$A372))</f>
        <v/>
      </c>
      <c r="AE372" s="16" t="str">
        <f aca="false">IF(N(E372)&gt;0,MAX(AE$1:AE371)+1,"")</f>
        <v/>
      </c>
      <c r="AF372" s="11" t="str">
        <f aca="false">IF(A372="","",IFERROR(LEFT(A372,FIND("-",A372)-1),A372))</f>
        <v/>
      </c>
      <c r="AG372" s="11" t="str">
        <f aca="false">IF(AF372="","",IF(ISNUMBER(--MID(AF372,1,1)),0,IF(ISNUMBER(--MID(AF372,2,1)),1,IF(ISNUMBER(--MID(AF372,3,1)),2,IF(ISNUMBER(--MID(AF372,4,1)),3,MIN(LEN(AF372),4))))))</f>
        <v/>
      </c>
      <c r="AH372" s="11" t="str">
        <f aca="false">IF(A372="","",LEFT(AF372,AG372)&amp;REPT("0",4-AG372)&amp;RIGHT("000"&amp;IFERROR(VALUE(MID(AF372,AG372+1,9)),0),3)&amp;RIGHT("0000"&amp;IFERROR(VALUE(MID(A372,FIND("-",A372)+1,9)),0),4))</f>
        <v/>
      </c>
      <c r="AI372" s="11" t="str">
        <f aca="false">IF(OR(A372="",N(E372)&lt;=0),"",IF('FALTAS GERAL'!$M$1="Código","K"&amp;AH372&amp;RIGHT("00000"&amp;ROW(),5),IF('FALTAS GERAL'!$M$1="Nome","K"&amp;UPPER(SUBSTITUTE(SUBSTITUTE(SUBSTITUTE(B372,"*",""),"?",""),"~",""))&amp;"0"&amp;AH372&amp;RIGHT("00000"&amp;ROW(),5),IF('FALTAS GERAL'!$M$1="Falta (maior primeiro)","K"&amp;RIGHT("0000"&amp;(9999-E372),4)&amp;AH372&amp;RIGHT("00000"&amp;ROW(),5),IF('FALTAS GERAL'!$M$1="Nº de decks (maior primeiro)","K"&amp;RIGHT("00"&amp;(99-N(G372)),2)&amp;AH372&amp;RIGHT("00000"&amp;ROW(),5),"K"&amp;RIGHT("00000"&amp;ROW(),5))))))</f>
        <v/>
      </c>
      <c r="AJ372" s="11" t="str">
        <f aca="false">IF(AI372="","",COUNTIFS($AI$2:$AI$801,"&lt;"&amp;AI372,$E$2:$E$801,"&gt;0")+1)</f>
        <v/>
      </c>
      <c r="AK372" s="11" t="str">
        <f aca="false">IF(OR(A372="",N(E372)&lt;=0),"",COUNTIFS($AH$2:$AH$801,"&lt;"&amp;AH372,$E$2:$E$801,"&gt;0")+COUNTIFS($AH$2:AH372,AH372,$E$2:E372,"&gt;0"))</f>
        <v/>
      </c>
    </row>
    <row r="373" customFormat="false" ht="15" hidden="false" customHeight="false" outlineLevel="0" collapsed="false">
      <c r="A373" s="11" t="str">
        <f aca="false">IF(INVENTÁRIO!A373="","",INVENTÁRIO!A373)</f>
        <v/>
      </c>
      <c r="B373" s="11" t="str">
        <f aca="false">IF(A373="","",INVENTÁRIO!B373)</f>
        <v/>
      </c>
      <c r="C373" s="16" t="str">
        <f aca="false">IF(A373="","",INVENTÁRIO!C373)</f>
        <v/>
      </c>
      <c r="D373" s="14" t="str">
        <f aca="false">IF(A373="","",MAX(K373:AD373))</f>
        <v/>
      </c>
      <c r="E373" s="14" t="str">
        <f aca="false">IF(A373="","",MAX(0,D373-C373))</f>
        <v/>
      </c>
      <c r="F373" s="16" t="str">
        <f aca="false">IF(A373="","",IF(D373=0,"Fora dos decks",IF(E373=0,"Completo","Falta")))</f>
        <v/>
      </c>
      <c r="G373" s="16" t="str">
        <f aca="false">IF(A373="","",COUNTIF(K373:AD373,"&gt;0"))</f>
        <v/>
      </c>
      <c r="H373" s="16" t="str">
        <f aca="false">IF(A373="","",IF(G373&gt;1,"Sim",""))</f>
        <v/>
      </c>
      <c r="I373" s="18" t="str">
        <f aca="false">IF(A373="","",SUMIFS(DECKS!$D$2:$D$1201,DECKS!$B$2:$B$1201,A373))</f>
        <v/>
      </c>
      <c r="J373" s="18" t="str">
        <f aca="false">IF(A373="","",MAX(0,I373-C373))</f>
        <v/>
      </c>
      <c r="K373" s="19" t="str">
        <f aca="false">IF(OR($A373="",INDEX(_LEITURA!$Q$2:$Q$21,1)=0),"",SUMIFS(DECKS!$D$2:$D$1201,DECKS!$A$2:$A$1201,INDEX(_LEITURA!$P$2:$P$21,1),DECKS!$B$2:$B$1201,$A373))</f>
        <v/>
      </c>
      <c r="L373" s="19" t="str">
        <f aca="false">IF(OR($A373="",INDEX(_LEITURA!$Q$2:$Q$21,2)=0),"",SUMIFS(DECKS!$D$2:$D$1201,DECKS!$A$2:$A$1201,INDEX(_LEITURA!$P$2:$P$21,2),DECKS!$B$2:$B$1201,$A373))</f>
        <v/>
      </c>
      <c r="M373" s="19" t="str">
        <f aca="false">IF(OR($A373="",INDEX(_LEITURA!$Q$2:$Q$21,3)=0),"",SUMIFS(DECKS!$D$2:$D$1201,DECKS!$A$2:$A$1201,INDEX(_LEITURA!$P$2:$P$21,3),DECKS!$B$2:$B$1201,$A373))</f>
        <v/>
      </c>
      <c r="N373" s="19" t="str">
        <f aca="false">IF(OR($A373="",INDEX(_LEITURA!$Q$2:$Q$21,4)=0),"",SUMIFS(DECKS!$D$2:$D$1201,DECKS!$A$2:$A$1201,INDEX(_LEITURA!$P$2:$P$21,4),DECKS!$B$2:$B$1201,$A373))</f>
        <v/>
      </c>
      <c r="O373" s="19" t="str">
        <f aca="false">IF(OR($A373="",INDEX(_LEITURA!$Q$2:$Q$21,5)=0),"",SUMIFS(DECKS!$D$2:$D$1201,DECKS!$A$2:$A$1201,INDEX(_LEITURA!$P$2:$P$21,5),DECKS!$B$2:$B$1201,$A373))</f>
        <v/>
      </c>
      <c r="P373" s="19" t="str">
        <f aca="false">IF(OR($A373="",INDEX(_LEITURA!$Q$2:$Q$21,6)=0),"",SUMIFS(DECKS!$D$2:$D$1201,DECKS!$A$2:$A$1201,INDEX(_LEITURA!$P$2:$P$21,6),DECKS!$B$2:$B$1201,$A373))</f>
        <v/>
      </c>
      <c r="Q373" s="19" t="str">
        <f aca="false">IF(OR($A373="",INDEX(_LEITURA!$Q$2:$Q$21,7)=0),"",SUMIFS(DECKS!$D$2:$D$1201,DECKS!$A$2:$A$1201,INDEX(_LEITURA!$P$2:$P$21,7),DECKS!$B$2:$B$1201,$A373))</f>
        <v/>
      </c>
      <c r="R373" s="19" t="str">
        <f aca="false">IF(OR($A373="",INDEX(_LEITURA!$Q$2:$Q$21,8)=0),"",SUMIFS(DECKS!$D$2:$D$1201,DECKS!$A$2:$A$1201,INDEX(_LEITURA!$P$2:$P$21,8),DECKS!$B$2:$B$1201,$A373))</f>
        <v/>
      </c>
      <c r="S373" s="19" t="str">
        <f aca="false">IF(OR($A373="",INDEX(_LEITURA!$Q$2:$Q$21,9)=0),"",SUMIFS(DECKS!$D$2:$D$1201,DECKS!$A$2:$A$1201,INDEX(_LEITURA!$P$2:$P$21,9),DECKS!$B$2:$B$1201,$A373))</f>
        <v/>
      </c>
      <c r="T373" s="19" t="str">
        <f aca="false">IF(OR($A373="",INDEX(_LEITURA!$Q$2:$Q$21,10)=0),"",SUMIFS(DECKS!$D$2:$D$1201,DECKS!$A$2:$A$1201,INDEX(_LEITURA!$P$2:$P$21,10),DECKS!$B$2:$B$1201,$A373))</f>
        <v/>
      </c>
      <c r="U373" s="19" t="str">
        <f aca="false">IF(OR($A373="",INDEX(_LEITURA!$Q$2:$Q$21,11)=0),"",SUMIFS(DECKS!$D$2:$D$1201,DECKS!$A$2:$A$1201,INDEX(_LEITURA!$P$2:$P$21,11),DECKS!$B$2:$B$1201,$A373))</f>
        <v/>
      </c>
      <c r="V373" s="19" t="str">
        <f aca="false">IF(OR($A373="",INDEX(_LEITURA!$Q$2:$Q$21,12)=0),"",SUMIFS(DECKS!$D$2:$D$1201,DECKS!$A$2:$A$1201,INDEX(_LEITURA!$P$2:$P$21,12),DECKS!$B$2:$B$1201,$A373))</f>
        <v/>
      </c>
      <c r="W373" s="19" t="str">
        <f aca="false">IF(OR($A373="",INDEX(_LEITURA!$Q$2:$Q$21,13)=0),"",SUMIFS(DECKS!$D$2:$D$1201,DECKS!$A$2:$A$1201,INDEX(_LEITURA!$P$2:$P$21,13),DECKS!$B$2:$B$1201,$A373))</f>
        <v/>
      </c>
      <c r="X373" s="19" t="str">
        <f aca="false">IF(OR($A373="",INDEX(_LEITURA!$Q$2:$Q$21,14)=0),"",SUMIFS(DECKS!$D$2:$D$1201,DECKS!$A$2:$A$1201,INDEX(_LEITURA!$P$2:$P$21,14),DECKS!$B$2:$B$1201,$A373))</f>
        <v/>
      </c>
      <c r="Y373" s="19" t="str">
        <f aca="false">IF(OR($A373="",INDEX(_LEITURA!$Q$2:$Q$21,15)=0),"",SUMIFS(DECKS!$D$2:$D$1201,DECKS!$A$2:$A$1201,INDEX(_LEITURA!$P$2:$P$21,15),DECKS!$B$2:$B$1201,$A373))</f>
        <v/>
      </c>
      <c r="Z373" s="19" t="str">
        <f aca="false">IF(OR($A373="",INDEX(_LEITURA!$Q$2:$Q$21,16)=0),"",SUMIFS(DECKS!$D$2:$D$1201,DECKS!$A$2:$A$1201,INDEX(_LEITURA!$P$2:$P$21,16),DECKS!$B$2:$B$1201,$A373))</f>
        <v/>
      </c>
      <c r="AA373" s="19" t="str">
        <f aca="false">IF(OR($A373="",INDEX(_LEITURA!$Q$2:$Q$21,17)=0),"",SUMIFS(DECKS!$D$2:$D$1201,DECKS!$A$2:$A$1201,INDEX(_LEITURA!$P$2:$P$21,17),DECKS!$B$2:$B$1201,$A373))</f>
        <v/>
      </c>
      <c r="AB373" s="19" t="str">
        <f aca="false">IF(OR($A373="",INDEX(_LEITURA!$Q$2:$Q$21,18)=0),"",SUMIFS(DECKS!$D$2:$D$1201,DECKS!$A$2:$A$1201,INDEX(_LEITURA!$P$2:$P$21,18),DECKS!$B$2:$B$1201,$A373))</f>
        <v/>
      </c>
      <c r="AC373" s="19" t="str">
        <f aca="false">IF(OR($A373="",INDEX(_LEITURA!$Q$2:$Q$21,19)=0),"",SUMIFS(DECKS!$D$2:$D$1201,DECKS!$A$2:$A$1201,INDEX(_LEITURA!$P$2:$P$21,19),DECKS!$B$2:$B$1201,$A373))</f>
        <v/>
      </c>
      <c r="AD373" s="19" t="str">
        <f aca="false">IF(OR($A373="",INDEX(_LEITURA!$Q$2:$Q$21,20)=0),"",SUMIFS(DECKS!$D$2:$D$1201,DECKS!$A$2:$A$1201,INDEX(_LEITURA!$P$2:$P$21,20),DECKS!$B$2:$B$1201,$A373))</f>
        <v/>
      </c>
      <c r="AE373" s="16" t="str">
        <f aca="false">IF(N(E373)&gt;0,MAX(AE$1:AE372)+1,"")</f>
        <v/>
      </c>
      <c r="AF373" s="11" t="str">
        <f aca="false">IF(A373="","",IFERROR(LEFT(A373,FIND("-",A373)-1),A373))</f>
        <v/>
      </c>
      <c r="AG373" s="11" t="str">
        <f aca="false">IF(AF373="","",IF(ISNUMBER(--MID(AF373,1,1)),0,IF(ISNUMBER(--MID(AF373,2,1)),1,IF(ISNUMBER(--MID(AF373,3,1)),2,IF(ISNUMBER(--MID(AF373,4,1)),3,MIN(LEN(AF373),4))))))</f>
        <v/>
      </c>
      <c r="AH373" s="11" t="str">
        <f aca="false">IF(A373="","",LEFT(AF373,AG373)&amp;REPT("0",4-AG373)&amp;RIGHT("000"&amp;IFERROR(VALUE(MID(AF373,AG373+1,9)),0),3)&amp;RIGHT("0000"&amp;IFERROR(VALUE(MID(A373,FIND("-",A373)+1,9)),0),4))</f>
        <v/>
      </c>
      <c r="AI373" s="11" t="str">
        <f aca="false">IF(OR(A373="",N(E373)&lt;=0),"",IF('FALTAS GERAL'!$M$1="Código","K"&amp;AH373&amp;RIGHT("00000"&amp;ROW(),5),IF('FALTAS GERAL'!$M$1="Nome","K"&amp;UPPER(SUBSTITUTE(SUBSTITUTE(SUBSTITUTE(B373,"*",""),"?",""),"~",""))&amp;"0"&amp;AH373&amp;RIGHT("00000"&amp;ROW(),5),IF('FALTAS GERAL'!$M$1="Falta (maior primeiro)","K"&amp;RIGHT("0000"&amp;(9999-E373),4)&amp;AH373&amp;RIGHT("00000"&amp;ROW(),5),IF('FALTAS GERAL'!$M$1="Nº de decks (maior primeiro)","K"&amp;RIGHT("00"&amp;(99-N(G373)),2)&amp;AH373&amp;RIGHT("00000"&amp;ROW(),5),"K"&amp;RIGHT("00000"&amp;ROW(),5))))))</f>
        <v/>
      </c>
      <c r="AJ373" s="11" t="str">
        <f aca="false">IF(AI373="","",COUNTIFS($AI$2:$AI$801,"&lt;"&amp;AI373,$E$2:$E$801,"&gt;0")+1)</f>
        <v/>
      </c>
      <c r="AK373" s="11" t="str">
        <f aca="false">IF(OR(A373="",N(E373)&lt;=0),"",COUNTIFS($AH$2:$AH$801,"&lt;"&amp;AH373,$E$2:$E$801,"&gt;0")+COUNTIFS($AH$2:AH373,AH373,$E$2:E373,"&gt;0"))</f>
        <v/>
      </c>
    </row>
    <row r="374" customFormat="false" ht="15" hidden="false" customHeight="false" outlineLevel="0" collapsed="false">
      <c r="A374" s="11" t="str">
        <f aca="false">IF(INVENTÁRIO!A374="","",INVENTÁRIO!A374)</f>
        <v/>
      </c>
      <c r="B374" s="11" t="str">
        <f aca="false">IF(A374="","",INVENTÁRIO!B374)</f>
        <v/>
      </c>
      <c r="C374" s="16" t="str">
        <f aca="false">IF(A374="","",INVENTÁRIO!C374)</f>
        <v/>
      </c>
      <c r="D374" s="14" t="str">
        <f aca="false">IF(A374="","",MAX(K374:AD374))</f>
        <v/>
      </c>
      <c r="E374" s="14" t="str">
        <f aca="false">IF(A374="","",MAX(0,D374-C374))</f>
        <v/>
      </c>
      <c r="F374" s="16" t="str">
        <f aca="false">IF(A374="","",IF(D374=0,"Fora dos decks",IF(E374=0,"Completo","Falta")))</f>
        <v/>
      </c>
      <c r="G374" s="16" t="str">
        <f aca="false">IF(A374="","",COUNTIF(K374:AD374,"&gt;0"))</f>
        <v/>
      </c>
      <c r="H374" s="16" t="str">
        <f aca="false">IF(A374="","",IF(G374&gt;1,"Sim",""))</f>
        <v/>
      </c>
      <c r="I374" s="18" t="str">
        <f aca="false">IF(A374="","",SUMIFS(DECKS!$D$2:$D$1201,DECKS!$B$2:$B$1201,A374))</f>
        <v/>
      </c>
      <c r="J374" s="18" t="str">
        <f aca="false">IF(A374="","",MAX(0,I374-C374))</f>
        <v/>
      </c>
      <c r="K374" s="19" t="str">
        <f aca="false">IF(OR($A374="",INDEX(_LEITURA!$Q$2:$Q$21,1)=0),"",SUMIFS(DECKS!$D$2:$D$1201,DECKS!$A$2:$A$1201,INDEX(_LEITURA!$P$2:$P$21,1),DECKS!$B$2:$B$1201,$A374))</f>
        <v/>
      </c>
      <c r="L374" s="19" t="str">
        <f aca="false">IF(OR($A374="",INDEX(_LEITURA!$Q$2:$Q$21,2)=0),"",SUMIFS(DECKS!$D$2:$D$1201,DECKS!$A$2:$A$1201,INDEX(_LEITURA!$P$2:$P$21,2),DECKS!$B$2:$B$1201,$A374))</f>
        <v/>
      </c>
      <c r="M374" s="19" t="str">
        <f aca="false">IF(OR($A374="",INDEX(_LEITURA!$Q$2:$Q$21,3)=0),"",SUMIFS(DECKS!$D$2:$D$1201,DECKS!$A$2:$A$1201,INDEX(_LEITURA!$P$2:$P$21,3),DECKS!$B$2:$B$1201,$A374))</f>
        <v/>
      </c>
      <c r="N374" s="19" t="str">
        <f aca="false">IF(OR($A374="",INDEX(_LEITURA!$Q$2:$Q$21,4)=0),"",SUMIFS(DECKS!$D$2:$D$1201,DECKS!$A$2:$A$1201,INDEX(_LEITURA!$P$2:$P$21,4),DECKS!$B$2:$B$1201,$A374))</f>
        <v/>
      </c>
      <c r="O374" s="19" t="str">
        <f aca="false">IF(OR($A374="",INDEX(_LEITURA!$Q$2:$Q$21,5)=0),"",SUMIFS(DECKS!$D$2:$D$1201,DECKS!$A$2:$A$1201,INDEX(_LEITURA!$P$2:$P$21,5),DECKS!$B$2:$B$1201,$A374))</f>
        <v/>
      </c>
      <c r="P374" s="19" t="str">
        <f aca="false">IF(OR($A374="",INDEX(_LEITURA!$Q$2:$Q$21,6)=0),"",SUMIFS(DECKS!$D$2:$D$1201,DECKS!$A$2:$A$1201,INDEX(_LEITURA!$P$2:$P$21,6),DECKS!$B$2:$B$1201,$A374))</f>
        <v/>
      </c>
      <c r="Q374" s="19" t="str">
        <f aca="false">IF(OR($A374="",INDEX(_LEITURA!$Q$2:$Q$21,7)=0),"",SUMIFS(DECKS!$D$2:$D$1201,DECKS!$A$2:$A$1201,INDEX(_LEITURA!$P$2:$P$21,7),DECKS!$B$2:$B$1201,$A374))</f>
        <v/>
      </c>
      <c r="R374" s="19" t="str">
        <f aca="false">IF(OR($A374="",INDEX(_LEITURA!$Q$2:$Q$21,8)=0),"",SUMIFS(DECKS!$D$2:$D$1201,DECKS!$A$2:$A$1201,INDEX(_LEITURA!$P$2:$P$21,8),DECKS!$B$2:$B$1201,$A374))</f>
        <v/>
      </c>
      <c r="S374" s="19" t="str">
        <f aca="false">IF(OR($A374="",INDEX(_LEITURA!$Q$2:$Q$21,9)=0),"",SUMIFS(DECKS!$D$2:$D$1201,DECKS!$A$2:$A$1201,INDEX(_LEITURA!$P$2:$P$21,9),DECKS!$B$2:$B$1201,$A374))</f>
        <v/>
      </c>
      <c r="T374" s="19" t="str">
        <f aca="false">IF(OR($A374="",INDEX(_LEITURA!$Q$2:$Q$21,10)=0),"",SUMIFS(DECKS!$D$2:$D$1201,DECKS!$A$2:$A$1201,INDEX(_LEITURA!$P$2:$P$21,10),DECKS!$B$2:$B$1201,$A374))</f>
        <v/>
      </c>
      <c r="U374" s="19" t="str">
        <f aca="false">IF(OR($A374="",INDEX(_LEITURA!$Q$2:$Q$21,11)=0),"",SUMIFS(DECKS!$D$2:$D$1201,DECKS!$A$2:$A$1201,INDEX(_LEITURA!$P$2:$P$21,11),DECKS!$B$2:$B$1201,$A374))</f>
        <v/>
      </c>
      <c r="V374" s="19" t="str">
        <f aca="false">IF(OR($A374="",INDEX(_LEITURA!$Q$2:$Q$21,12)=0),"",SUMIFS(DECKS!$D$2:$D$1201,DECKS!$A$2:$A$1201,INDEX(_LEITURA!$P$2:$P$21,12),DECKS!$B$2:$B$1201,$A374))</f>
        <v/>
      </c>
      <c r="W374" s="19" t="str">
        <f aca="false">IF(OR($A374="",INDEX(_LEITURA!$Q$2:$Q$21,13)=0),"",SUMIFS(DECKS!$D$2:$D$1201,DECKS!$A$2:$A$1201,INDEX(_LEITURA!$P$2:$P$21,13),DECKS!$B$2:$B$1201,$A374))</f>
        <v/>
      </c>
      <c r="X374" s="19" t="str">
        <f aca="false">IF(OR($A374="",INDEX(_LEITURA!$Q$2:$Q$21,14)=0),"",SUMIFS(DECKS!$D$2:$D$1201,DECKS!$A$2:$A$1201,INDEX(_LEITURA!$P$2:$P$21,14),DECKS!$B$2:$B$1201,$A374))</f>
        <v/>
      </c>
      <c r="Y374" s="19" t="str">
        <f aca="false">IF(OR($A374="",INDEX(_LEITURA!$Q$2:$Q$21,15)=0),"",SUMIFS(DECKS!$D$2:$D$1201,DECKS!$A$2:$A$1201,INDEX(_LEITURA!$P$2:$P$21,15),DECKS!$B$2:$B$1201,$A374))</f>
        <v/>
      </c>
      <c r="Z374" s="19" t="str">
        <f aca="false">IF(OR($A374="",INDEX(_LEITURA!$Q$2:$Q$21,16)=0),"",SUMIFS(DECKS!$D$2:$D$1201,DECKS!$A$2:$A$1201,INDEX(_LEITURA!$P$2:$P$21,16),DECKS!$B$2:$B$1201,$A374))</f>
        <v/>
      </c>
      <c r="AA374" s="19" t="str">
        <f aca="false">IF(OR($A374="",INDEX(_LEITURA!$Q$2:$Q$21,17)=0),"",SUMIFS(DECKS!$D$2:$D$1201,DECKS!$A$2:$A$1201,INDEX(_LEITURA!$P$2:$P$21,17),DECKS!$B$2:$B$1201,$A374))</f>
        <v/>
      </c>
      <c r="AB374" s="19" t="str">
        <f aca="false">IF(OR($A374="",INDEX(_LEITURA!$Q$2:$Q$21,18)=0),"",SUMIFS(DECKS!$D$2:$D$1201,DECKS!$A$2:$A$1201,INDEX(_LEITURA!$P$2:$P$21,18),DECKS!$B$2:$B$1201,$A374))</f>
        <v/>
      </c>
      <c r="AC374" s="19" t="str">
        <f aca="false">IF(OR($A374="",INDEX(_LEITURA!$Q$2:$Q$21,19)=0),"",SUMIFS(DECKS!$D$2:$D$1201,DECKS!$A$2:$A$1201,INDEX(_LEITURA!$P$2:$P$21,19),DECKS!$B$2:$B$1201,$A374))</f>
        <v/>
      </c>
      <c r="AD374" s="19" t="str">
        <f aca="false">IF(OR($A374="",INDEX(_LEITURA!$Q$2:$Q$21,20)=0),"",SUMIFS(DECKS!$D$2:$D$1201,DECKS!$A$2:$A$1201,INDEX(_LEITURA!$P$2:$P$21,20),DECKS!$B$2:$B$1201,$A374))</f>
        <v/>
      </c>
      <c r="AE374" s="16" t="str">
        <f aca="false">IF(N(E374)&gt;0,MAX(AE$1:AE373)+1,"")</f>
        <v/>
      </c>
      <c r="AF374" s="11" t="str">
        <f aca="false">IF(A374="","",IFERROR(LEFT(A374,FIND("-",A374)-1),A374))</f>
        <v/>
      </c>
      <c r="AG374" s="11" t="str">
        <f aca="false">IF(AF374="","",IF(ISNUMBER(--MID(AF374,1,1)),0,IF(ISNUMBER(--MID(AF374,2,1)),1,IF(ISNUMBER(--MID(AF374,3,1)),2,IF(ISNUMBER(--MID(AF374,4,1)),3,MIN(LEN(AF374),4))))))</f>
        <v/>
      </c>
      <c r="AH374" s="11" t="str">
        <f aca="false">IF(A374="","",LEFT(AF374,AG374)&amp;REPT("0",4-AG374)&amp;RIGHT("000"&amp;IFERROR(VALUE(MID(AF374,AG374+1,9)),0),3)&amp;RIGHT("0000"&amp;IFERROR(VALUE(MID(A374,FIND("-",A374)+1,9)),0),4))</f>
        <v/>
      </c>
      <c r="AI374" s="11" t="str">
        <f aca="false">IF(OR(A374="",N(E374)&lt;=0),"",IF('FALTAS GERAL'!$M$1="Código","K"&amp;AH374&amp;RIGHT("00000"&amp;ROW(),5),IF('FALTAS GERAL'!$M$1="Nome","K"&amp;UPPER(SUBSTITUTE(SUBSTITUTE(SUBSTITUTE(B374,"*",""),"?",""),"~",""))&amp;"0"&amp;AH374&amp;RIGHT("00000"&amp;ROW(),5),IF('FALTAS GERAL'!$M$1="Falta (maior primeiro)","K"&amp;RIGHT("0000"&amp;(9999-E374),4)&amp;AH374&amp;RIGHT("00000"&amp;ROW(),5),IF('FALTAS GERAL'!$M$1="Nº de decks (maior primeiro)","K"&amp;RIGHT("00"&amp;(99-N(G374)),2)&amp;AH374&amp;RIGHT("00000"&amp;ROW(),5),"K"&amp;RIGHT("00000"&amp;ROW(),5))))))</f>
        <v/>
      </c>
      <c r="AJ374" s="11" t="str">
        <f aca="false">IF(AI374="","",COUNTIFS($AI$2:$AI$801,"&lt;"&amp;AI374,$E$2:$E$801,"&gt;0")+1)</f>
        <v/>
      </c>
      <c r="AK374" s="11" t="str">
        <f aca="false">IF(OR(A374="",N(E374)&lt;=0),"",COUNTIFS($AH$2:$AH$801,"&lt;"&amp;AH374,$E$2:$E$801,"&gt;0")+COUNTIFS($AH$2:AH374,AH374,$E$2:E374,"&gt;0"))</f>
        <v/>
      </c>
    </row>
    <row r="375" customFormat="false" ht="15" hidden="false" customHeight="false" outlineLevel="0" collapsed="false">
      <c r="A375" s="11" t="str">
        <f aca="false">IF(INVENTÁRIO!A375="","",INVENTÁRIO!A375)</f>
        <v/>
      </c>
      <c r="B375" s="11" t="str">
        <f aca="false">IF(A375="","",INVENTÁRIO!B375)</f>
        <v/>
      </c>
      <c r="C375" s="16" t="str">
        <f aca="false">IF(A375="","",INVENTÁRIO!C375)</f>
        <v/>
      </c>
      <c r="D375" s="14" t="str">
        <f aca="false">IF(A375="","",MAX(K375:AD375))</f>
        <v/>
      </c>
      <c r="E375" s="14" t="str">
        <f aca="false">IF(A375="","",MAX(0,D375-C375))</f>
        <v/>
      </c>
      <c r="F375" s="16" t="str">
        <f aca="false">IF(A375="","",IF(D375=0,"Fora dos decks",IF(E375=0,"Completo","Falta")))</f>
        <v/>
      </c>
      <c r="G375" s="16" t="str">
        <f aca="false">IF(A375="","",COUNTIF(K375:AD375,"&gt;0"))</f>
        <v/>
      </c>
      <c r="H375" s="16" t="str">
        <f aca="false">IF(A375="","",IF(G375&gt;1,"Sim",""))</f>
        <v/>
      </c>
      <c r="I375" s="18" t="str">
        <f aca="false">IF(A375="","",SUMIFS(DECKS!$D$2:$D$1201,DECKS!$B$2:$B$1201,A375))</f>
        <v/>
      </c>
      <c r="J375" s="18" t="str">
        <f aca="false">IF(A375="","",MAX(0,I375-C375))</f>
        <v/>
      </c>
      <c r="K375" s="19" t="str">
        <f aca="false">IF(OR($A375="",INDEX(_LEITURA!$Q$2:$Q$21,1)=0),"",SUMIFS(DECKS!$D$2:$D$1201,DECKS!$A$2:$A$1201,INDEX(_LEITURA!$P$2:$P$21,1),DECKS!$B$2:$B$1201,$A375))</f>
        <v/>
      </c>
      <c r="L375" s="19" t="str">
        <f aca="false">IF(OR($A375="",INDEX(_LEITURA!$Q$2:$Q$21,2)=0),"",SUMIFS(DECKS!$D$2:$D$1201,DECKS!$A$2:$A$1201,INDEX(_LEITURA!$P$2:$P$21,2),DECKS!$B$2:$B$1201,$A375))</f>
        <v/>
      </c>
      <c r="M375" s="19" t="str">
        <f aca="false">IF(OR($A375="",INDEX(_LEITURA!$Q$2:$Q$21,3)=0),"",SUMIFS(DECKS!$D$2:$D$1201,DECKS!$A$2:$A$1201,INDEX(_LEITURA!$P$2:$P$21,3),DECKS!$B$2:$B$1201,$A375))</f>
        <v/>
      </c>
      <c r="N375" s="19" t="str">
        <f aca="false">IF(OR($A375="",INDEX(_LEITURA!$Q$2:$Q$21,4)=0),"",SUMIFS(DECKS!$D$2:$D$1201,DECKS!$A$2:$A$1201,INDEX(_LEITURA!$P$2:$P$21,4),DECKS!$B$2:$B$1201,$A375))</f>
        <v/>
      </c>
      <c r="O375" s="19" t="str">
        <f aca="false">IF(OR($A375="",INDEX(_LEITURA!$Q$2:$Q$21,5)=0),"",SUMIFS(DECKS!$D$2:$D$1201,DECKS!$A$2:$A$1201,INDEX(_LEITURA!$P$2:$P$21,5),DECKS!$B$2:$B$1201,$A375))</f>
        <v/>
      </c>
      <c r="P375" s="19" t="str">
        <f aca="false">IF(OR($A375="",INDEX(_LEITURA!$Q$2:$Q$21,6)=0),"",SUMIFS(DECKS!$D$2:$D$1201,DECKS!$A$2:$A$1201,INDEX(_LEITURA!$P$2:$P$21,6),DECKS!$B$2:$B$1201,$A375))</f>
        <v/>
      </c>
      <c r="Q375" s="19" t="str">
        <f aca="false">IF(OR($A375="",INDEX(_LEITURA!$Q$2:$Q$21,7)=0),"",SUMIFS(DECKS!$D$2:$D$1201,DECKS!$A$2:$A$1201,INDEX(_LEITURA!$P$2:$P$21,7),DECKS!$B$2:$B$1201,$A375))</f>
        <v/>
      </c>
      <c r="R375" s="19" t="str">
        <f aca="false">IF(OR($A375="",INDEX(_LEITURA!$Q$2:$Q$21,8)=0),"",SUMIFS(DECKS!$D$2:$D$1201,DECKS!$A$2:$A$1201,INDEX(_LEITURA!$P$2:$P$21,8),DECKS!$B$2:$B$1201,$A375))</f>
        <v/>
      </c>
      <c r="S375" s="19" t="str">
        <f aca="false">IF(OR($A375="",INDEX(_LEITURA!$Q$2:$Q$21,9)=0),"",SUMIFS(DECKS!$D$2:$D$1201,DECKS!$A$2:$A$1201,INDEX(_LEITURA!$P$2:$P$21,9),DECKS!$B$2:$B$1201,$A375))</f>
        <v/>
      </c>
      <c r="T375" s="19" t="str">
        <f aca="false">IF(OR($A375="",INDEX(_LEITURA!$Q$2:$Q$21,10)=0),"",SUMIFS(DECKS!$D$2:$D$1201,DECKS!$A$2:$A$1201,INDEX(_LEITURA!$P$2:$P$21,10),DECKS!$B$2:$B$1201,$A375))</f>
        <v/>
      </c>
      <c r="U375" s="19" t="str">
        <f aca="false">IF(OR($A375="",INDEX(_LEITURA!$Q$2:$Q$21,11)=0),"",SUMIFS(DECKS!$D$2:$D$1201,DECKS!$A$2:$A$1201,INDEX(_LEITURA!$P$2:$P$21,11),DECKS!$B$2:$B$1201,$A375))</f>
        <v/>
      </c>
      <c r="V375" s="19" t="str">
        <f aca="false">IF(OR($A375="",INDEX(_LEITURA!$Q$2:$Q$21,12)=0),"",SUMIFS(DECKS!$D$2:$D$1201,DECKS!$A$2:$A$1201,INDEX(_LEITURA!$P$2:$P$21,12),DECKS!$B$2:$B$1201,$A375))</f>
        <v/>
      </c>
      <c r="W375" s="19" t="str">
        <f aca="false">IF(OR($A375="",INDEX(_LEITURA!$Q$2:$Q$21,13)=0),"",SUMIFS(DECKS!$D$2:$D$1201,DECKS!$A$2:$A$1201,INDEX(_LEITURA!$P$2:$P$21,13),DECKS!$B$2:$B$1201,$A375))</f>
        <v/>
      </c>
      <c r="X375" s="19" t="str">
        <f aca="false">IF(OR($A375="",INDEX(_LEITURA!$Q$2:$Q$21,14)=0),"",SUMIFS(DECKS!$D$2:$D$1201,DECKS!$A$2:$A$1201,INDEX(_LEITURA!$P$2:$P$21,14),DECKS!$B$2:$B$1201,$A375))</f>
        <v/>
      </c>
      <c r="Y375" s="19" t="str">
        <f aca="false">IF(OR($A375="",INDEX(_LEITURA!$Q$2:$Q$21,15)=0),"",SUMIFS(DECKS!$D$2:$D$1201,DECKS!$A$2:$A$1201,INDEX(_LEITURA!$P$2:$P$21,15),DECKS!$B$2:$B$1201,$A375))</f>
        <v/>
      </c>
      <c r="Z375" s="19" t="str">
        <f aca="false">IF(OR($A375="",INDEX(_LEITURA!$Q$2:$Q$21,16)=0),"",SUMIFS(DECKS!$D$2:$D$1201,DECKS!$A$2:$A$1201,INDEX(_LEITURA!$P$2:$P$21,16),DECKS!$B$2:$B$1201,$A375))</f>
        <v/>
      </c>
      <c r="AA375" s="19" t="str">
        <f aca="false">IF(OR($A375="",INDEX(_LEITURA!$Q$2:$Q$21,17)=0),"",SUMIFS(DECKS!$D$2:$D$1201,DECKS!$A$2:$A$1201,INDEX(_LEITURA!$P$2:$P$21,17),DECKS!$B$2:$B$1201,$A375))</f>
        <v/>
      </c>
      <c r="AB375" s="19" t="str">
        <f aca="false">IF(OR($A375="",INDEX(_LEITURA!$Q$2:$Q$21,18)=0),"",SUMIFS(DECKS!$D$2:$D$1201,DECKS!$A$2:$A$1201,INDEX(_LEITURA!$P$2:$P$21,18),DECKS!$B$2:$B$1201,$A375))</f>
        <v/>
      </c>
      <c r="AC375" s="19" t="str">
        <f aca="false">IF(OR($A375="",INDEX(_LEITURA!$Q$2:$Q$21,19)=0),"",SUMIFS(DECKS!$D$2:$D$1201,DECKS!$A$2:$A$1201,INDEX(_LEITURA!$P$2:$P$21,19),DECKS!$B$2:$B$1201,$A375))</f>
        <v/>
      </c>
      <c r="AD375" s="19" t="str">
        <f aca="false">IF(OR($A375="",INDEX(_LEITURA!$Q$2:$Q$21,20)=0),"",SUMIFS(DECKS!$D$2:$D$1201,DECKS!$A$2:$A$1201,INDEX(_LEITURA!$P$2:$P$21,20),DECKS!$B$2:$B$1201,$A375))</f>
        <v/>
      </c>
      <c r="AE375" s="16" t="str">
        <f aca="false">IF(N(E375)&gt;0,MAX(AE$1:AE374)+1,"")</f>
        <v/>
      </c>
      <c r="AF375" s="11" t="str">
        <f aca="false">IF(A375="","",IFERROR(LEFT(A375,FIND("-",A375)-1),A375))</f>
        <v/>
      </c>
      <c r="AG375" s="11" t="str">
        <f aca="false">IF(AF375="","",IF(ISNUMBER(--MID(AF375,1,1)),0,IF(ISNUMBER(--MID(AF375,2,1)),1,IF(ISNUMBER(--MID(AF375,3,1)),2,IF(ISNUMBER(--MID(AF375,4,1)),3,MIN(LEN(AF375),4))))))</f>
        <v/>
      </c>
      <c r="AH375" s="11" t="str">
        <f aca="false">IF(A375="","",LEFT(AF375,AG375)&amp;REPT("0",4-AG375)&amp;RIGHT("000"&amp;IFERROR(VALUE(MID(AF375,AG375+1,9)),0),3)&amp;RIGHT("0000"&amp;IFERROR(VALUE(MID(A375,FIND("-",A375)+1,9)),0),4))</f>
        <v/>
      </c>
      <c r="AI375" s="11" t="str">
        <f aca="false">IF(OR(A375="",N(E375)&lt;=0),"",IF('FALTAS GERAL'!$M$1="Código","K"&amp;AH375&amp;RIGHT("00000"&amp;ROW(),5),IF('FALTAS GERAL'!$M$1="Nome","K"&amp;UPPER(SUBSTITUTE(SUBSTITUTE(SUBSTITUTE(B375,"*",""),"?",""),"~",""))&amp;"0"&amp;AH375&amp;RIGHT("00000"&amp;ROW(),5),IF('FALTAS GERAL'!$M$1="Falta (maior primeiro)","K"&amp;RIGHT("0000"&amp;(9999-E375),4)&amp;AH375&amp;RIGHT("00000"&amp;ROW(),5),IF('FALTAS GERAL'!$M$1="Nº de decks (maior primeiro)","K"&amp;RIGHT("00"&amp;(99-N(G375)),2)&amp;AH375&amp;RIGHT("00000"&amp;ROW(),5),"K"&amp;RIGHT("00000"&amp;ROW(),5))))))</f>
        <v/>
      </c>
      <c r="AJ375" s="11" t="str">
        <f aca="false">IF(AI375="","",COUNTIFS($AI$2:$AI$801,"&lt;"&amp;AI375,$E$2:$E$801,"&gt;0")+1)</f>
        <v/>
      </c>
      <c r="AK375" s="11" t="str">
        <f aca="false">IF(OR(A375="",N(E375)&lt;=0),"",COUNTIFS($AH$2:$AH$801,"&lt;"&amp;AH375,$E$2:$E$801,"&gt;0")+COUNTIFS($AH$2:AH375,AH375,$E$2:E375,"&gt;0"))</f>
        <v/>
      </c>
    </row>
    <row r="376" customFormat="false" ht="15" hidden="false" customHeight="false" outlineLevel="0" collapsed="false">
      <c r="A376" s="11" t="str">
        <f aca="false">IF(INVENTÁRIO!A376="","",INVENTÁRIO!A376)</f>
        <v/>
      </c>
      <c r="B376" s="11" t="str">
        <f aca="false">IF(A376="","",INVENTÁRIO!B376)</f>
        <v/>
      </c>
      <c r="C376" s="16" t="str">
        <f aca="false">IF(A376="","",INVENTÁRIO!C376)</f>
        <v/>
      </c>
      <c r="D376" s="14" t="str">
        <f aca="false">IF(A376="","",MAX(K376:AD376))</f>
        <v/>
      </c>
      <c r="E376" s="14" t="str">
        <f aca="false">IF(A376="","",MAX(0,D376-C376))</f>
        <v/>
      </c>
      <c r="F376" s="16" t="str">
        <f aca="false">IF(A376="","",IF(D376=0,"Fora dos decks",IF(E376=0,"Completo","Falta")))</f>
        <v/>
      </c>
      <c r="G376" s="16" t="str">
        <f aca="false">IF(A376="","",COUNTIF(K376:AD376,"&gt;0"))</f>
        <v/>
      </c>
      <c r="H376" s="16" t="str">
        <f aca="false">IF(A376="","",IF(G376&gt;1,"Sim",""))</f>
        <v/>
      </c>
      <c r="I376" s="18" t="str">
        <f aca="false">IF(A376="","",SUMIFS(DECKS!$D$2:$D$1201,DECKS!$B$2:$B$1201,A376))</f>
        <v/>
      </c>
      <c r="J376" s="18" t="str">
        <f aca="false">IF(A376="","",MAX(0,I376-C376))</f>
        <v/>
      </c>
      <c r="K376" s="19" t="str">
        <f aca="false">IF(OR($A376="",INDEX(_LEITURA!$Q$2:$Q$21,1)=0),"",SUMIFS(DECKS!$D$2:$D$1201,DECKS!$A$2:$A$1201,INDEX(_LEITURA!$P$2:$P$21,1),DECKS!$B$2:$B$1201,$A376))</f>
        <v/>
      </c>
      <c r="L376" s="19" t="str">
        <f aca="false">IF(OR($A376="",INDEX(_LEITURA!$Q$2:$Q$21,2)=0),"",SUMIFS(DECKS!$D$2:$D$1201,DECKS!$A$2:$A$1201,INDEX(_LEITURA!$P$2:$P$21,2),DECKS!$B$2:$B$1201,$A376))</f>
        <v/>
      </c>
      <c r="M376" s="19" t="str">
        <f aca="false">IF(OR($A376="",INDEX(_LEITURA!$Q$2:$Q$21,3)=0),"",SUMIFS(DECKS!$D$2:$D$1201,DECKS!$A$2:$A$1201,INDEX(_LEITURA!$P$2:$P$21,3),DECKS!$B$2:$B$1201,$A376))</f>
        <v/>
      </c>
      <c r="N376" s="19" t="str">
        <f aca="false">IF(OR($A376="",INDEX(_LEITURA!$Q$2:$Q$21,4)=0),"",SUMIFS(DECKS!$D$2:$D$1201,DECKS!$A$2:$A$1201,INDEX(_LEITURA!$P$2:$P$21,4),DECKS!$B$2:$B$1201,$A376))</f>
        <v/>
      </c>
      <c r="O376" s="19" t="str">
        <f aca="false">IF(OR($A376="",INDEX(_LEITURA!$Q$2:$Q$21,5)=0),"",SUMIFS(DECKS!$D$2:$D$1201,DECKS!$A$2:$A$1201,INDEX(_LEITURA!$P$2:$P$21,5),DECKS!$B$2:$B$1201,$A376))</f>
        <v/>
      </c>
      <c r="P376" s="19" t="str">
        <f aca="false">IF(OR($A376="",INDEX(_LEITURA!$Q$2:$Q$21,6)=0),"",SUMIFS(DECKS!$D$2:$D$1201,DECKS!$A$2:$A$1201,INDEX(_LEITURA!$P$2:$P$21,6),DECKS!$B$2:$B$1201,$A376))</f>
        <v/>
      </c>
      <c r="Q376" s="19" t="str">
        <f aca="false">IF(OR($A376="",INDEX(_LEITURA!$Q$2:$Q$21,7)=0),"",SUMIFS(DECKS!$D$2:$D$1201,DECKS!$A$2:$A$1201,INDEX(_LEITURA!$P$2:$P$21,7),DECKS!$B$2:$B$1201,$A376))</f>
        <v/>
      </c>
      <c r="R376" s="19" t="str">
        <f aca="false">IF(OR($A376="",INDEX(_LEITURA!$Q$2:$Q$21,8)=0),"",SUMIFS(DECKS!$D$2:$D$1201,DECKS!$A$2:$A$1201,INDEX(_LEITURA!$P$2:$P$21,8),DECKS!$B$2:$B$1201,$A376))</f>
        <v/>
      </c>
      <c r="S376" s="19" t="str">
        <f aca="false">IF(OR($A376="",INDEX(_LEITURA!$Q$2:$Q$21,9)=0),"",SUMIFS(DECKS!$D$2:$D$1201,DECKS!$A$2:$A$1201,INDEX(_LEITURA!$P$2:$P$21,9),DECKS!$B$2:$B$1201,$A376))</f>
        <v/>
      </c>
      <c r="T376" s="19" t="str">
        <f aca="false">IF(OR($A376="",INDEX(_LEITURA!$Q$2:$Q$21,10)=0),"",SUMIFS(DECKS!$D$2:$D$1201,DECKS!$A$2:$A$1201,INDEX(_LEITURA!$P$2:$P$21,10),DECKS!$B$2:$B$1201,$A376))</f>
        <v/>
      </c>
      <c r="U376" s="19" t="str">
        <f aca="false">IF(OR($A376="",INDEX(_LEITURA!$Q$2:$Q$21,11)=0),"",SUMIFS(DECKS!$D$2:$D$1201,DECKS!$A$2:$A$1201,INDEX(_LEITURA!$P$2:$P$21,11),DECKS!$B$2:$B$1201,$A376))</f>
        <v/>
      </c>
      <c r="V376" s="19" t="str">
        <f aca="false">IF(OR($A376="",INDEX(_LEITURA!$Q$2:$Q$21,12)=0),"",SUMIFS(DECKS!$D$2:$D$1201,DECKS!$A$2:$A$1201,INDEX(_LEITURA!$P$2:$P$21,12),DECKS!$B$2:$B$1201,$A376))</f>
        <v/>
      </c>
      <c r="W376" s="19" t="str">
        <f aca="false">IF(OR($A376="",INDEX(_LEITURA!$Q$2:$Q$21,13)=0),"",SUMIFS(DECKS!$D$2:$D$1201,DECKS!$A$2:$A$1201,INDEX(_LEITURA!$P$2:$P$21,13),DECKS!$B$2:$B$1201,$A376))</f>
        <v/>
      </c>
      <c r="X376" s="19" t="str">
        <f aca="false">IF(OR($A376="",INDEX(_LEITURA!$Q$2:$Q$21,14)=0),"",SUMIFS(DECKS!$D$2:$D$1201,DECKS!$A$2:$A$1201,INDEX(_LEITURA!$P$2:$P$21,14),DECKS!$B$2:$B$1201,$A376))</f>
        <v/>
      </c>
      <c r="Y376" s="19" t="str">
        <f aca="false">IF(OR($A376="",INDEX(_LEITURA!$Q$2:$Q$21,15)=0),"",SUMIFS(DECKS!$D$2:$D$1201,DECKS!$A$2:$A$1201,INDEX(_LEITURA!$P$2:$P$21,15),DECKS!$B$2:$B$1201,$A376))</f>
        <v/>
      </c>
      <c r="Z376" s="19" t="str">
        <f aca="false">IF(OR($A376="",INDEX(_LEITURA!$Q$2:$Q$21,16)=0),"",SUMIFS(DECKS!$D$2:$D$1201,DECKS!$A$2:$A$1201,INDEX(_LEITURA!$P$2:$P$21,16),DECKS!$B$2:$B$1201,$A376))</f>
        <v/>
      </c>
      <c r="AA376" s="19" t="str">
        <f aca="false">IF(OR($A376="",INDEX(_LEITURA!$Q$2:$Q$21,17)=0),"",SUMIFS(DECKS!$D$2:$D$1201,DECKS!$A$2:$A$1201,INDEX(_LEITURA!$P$2:$P$21,17),DECKS!$B$2:$B$1201,$A376))</f>
        <v/>
      </c>
      <c r="AB376" s="19" t="str">
        <f aca="false">IF(OR($A376="",INDEX(_LEITURA!$Q$2:$Q$21,18)=0),"",SUMIFS(DECKS!$D$2:$D$1201,DECKS!$A$2:$A$1201,INDEX(_LEITURA!$P$2:$P$21,18),DECKS!$B$2:$B$1201,$A376))</f>
        <v/>
      </c>
      <c r="AC376" s="19" t="str">
        <f aca="false">IF(OR($A376="",INDEX(_LEITURA!$Q$2:$Q$21,19)=0),"",SUMIFS(DECKS!$D$2:$D$1201,DECKS!$A$2:$A$1201,INDEX(_LEITURA!$P$2:$P$21,19),DECKS!$B$2:$B$1201,$A376))</f>
        <v/>
      </c>
      <c r="AD376" s="19" t="str">
        <f aca="false">IF(OR($A376="",INDEX(_LEITURA!$Q$2:$Q$21,20)=0),"",SUMIFS(DECKS!$D$2:$D$1201,DECKS!$A$2:$A$1201,INDEX(_LEITURA!$P$2:$P$21,20),DECKS!$B$2:$B$1201,$A376))</f>
        <v/>
      </c>
      <c r="AE376" s="16" t="str">
        <f aca="false">IF(N(E376)&gt;0,MAX(AE$1:AE375)+1,"")</f>
        <v/>
      </c>
      <c r="AF376" s="11" t="str">
        <f aca="false">IF(A376="","",IFERROR(LEFT(A376,FIND("-",A376)-1),A376))</f>
        <v/>
      </c>
      <c r="AG376" s="11" t="str">
        <f aca="false">IF(AF376="","",IF(ISNUMBER(--MID(AF376,1,1)),0,IF(ISNUMBER(--MID(AF376,2,1)),1,IF(ISNUMBER(--MID(AF376,3,1)),2,IF(ISNUMBER(--MID(AF376,4,1)),3,MIN(LEN(AF376),4))))))</f>
        <v/>
      </c>
      <c r="AH376" s="11" t="str">
        <f aca="false">IF(A376="","",LEFT(AF376,AG376)&amp;REPT("0",4-AG376)&amp;RIGHT("000"&amp;IFERROR(VALUE(MID(AF376,AG376+1,9)),0),3)&amp;RIGHT("0000"&amp;IFERROR(VALUE(MID(A376,FIND("-",A376)+1,9)),0),4))</f>
        <v/>
      </c>
      <c r="AI376" s="11" t="str">
        <f aca="false">IF(OR(A376="",N(E376)&lt;=0),"",IF('FALTAS GERAL'!$M$1="Código","K"&amp;AH376&amp;RIGHT("00000"&amp;ROW(),5),IF('FALTAS GERAL'!$M$1="Nome","K"&amp;UPPER(SUBSTITUTE(SUBSTITUTE(SUBSTITUTE(B376,"*",""),"?",""),"~",""))&amp;"0"&amp;AH376&amp;RIGHT("00000"&amp;ROW(),5),IF('FALTAS GERAL'!$M$1="Falta (maior primeiro)","K"&amp;RIGHT("0000"&amp;(9999-E376),4)&amp;AH376&amp;RIGHT("00000"&amp;ROW(),5),IF('FALTAS GERAL'!$M$1="Nº de decks (maior primeiro)","K"&amp;RIGHT("00"&amp;(99-N(G376)),2)&amp;AH376&amp;RIGHT("00000"&amp;ROW(),5),"K"&amp;RIGHT("00000"&amp;ROW(),5))))))</f>
        <v/>
      </c>
      <c r="AJ376" s="11" t="str">
        <f aca="false">IF(AI376="","",COUNTIFS($AI$2:$AI$801,"&lt;"&amp;AI376,$E$2:$E$801,"&gt;0")+1)</f>
        <v/>
      </c>
      <c r="AK376" s="11" t="str">
        <f aca="false">IF(OR(A376="",N(E376)&lt;=0),"",COUNTIFS($AH$2:$AH$801,"&lt;"&amp;AH376,$E$2:$E$801,"&gt;0")+COUNTIFS($AH$2:AH376,AH376,$E$2:E376,"&gt;0"))</f>
        <v/>
      </c>
    </row>
    <row r="377" customFormat="false" ht="15" hidden="false" customHeight="false" outlineLevel="0" collapsed="false">
      <c r="A377" s="11" t="str">
        <f aca="false">IF(INVENTÁRIO!A377="","",INVENTÁRIO!A377)</f>
        <v/>
      </c>
      <c r="B377" s="11" t="str">
        <f aca="false">IF(A377="","",INVENTÁRIO!B377)</f>
        <v/>
      </c>
      <c r="C377" s="16" t="str">
        <f aca="false">IF(A377="","",INVENTÁRIO!C377)</f>
        <v/>
      </c>
      <c r="D377" s="14" t="str">
        <f aca="false">IF(A377="","",MAX(K377:AD377))</f>
        <v/>
      </c>
      <c r="E377" s="14" t="str">
        <f aca="false">IF(A377="","",MAX(0,D377-C377))</f>
        <v/>
      </c>
      <c r="F377" s="16" t="str">
        <f aca="false">IF(A377="","",IF(D377=0,"Fora dos decks",IF(E377=0,"Completo","Falta")))</f>
        <v/>
      </c>
      <c r="G377" s="16" t="str">
        <f aca="false">IF(A377="","",COUNTIF(K377:AD377,"&gt;0"))</f>
        <v/>
      </c>
      <c r="H377" s="16" t="str">
        <f aca="false">IF(A377="","",IF(G377&gt;1,"Sim",""))</f>
        <v/>
      </c>
      <c r="I377" s="18" t="str">
        <f aca="false">IF(A377="","",SUMIFS(DECKS!$D$2:$D$1201,DECKS!$B$2:$B$1201,A377))</f>
        <v/>
      </c>
      <c r="J377" s="18" t="str">
        <f aca="false">IF(A377="","",MAX(0,I377-C377))</f>
        <v/>
      </c>
      <c r="K377" s="19" t="str">
        <f aca="false">IF(OR($A377="",INDEX(_LEITURA!$Q$2:$Q$21,1)=0),"",SUMIFS(DECKS!$D$2:$D$1201,DECKS!$A$2:$A$1201,INDEX(_LEITURA!$P$2:$P$21,1),DECKS!$B$2:$B$1201,$A377))</f>
        <v/>
      </c>
      <c r="L377" s="19" t="str">
        <f aca="false">IF(OR($A377="",INDEX(_LEITURA!$Q$2:$Q$21,2)=0),"",SUMIFS(DECKS!$D$2:$D$1201,DECKS!$A$2:$A$1201,INDEX(_LEITURA!$P$2:$P$21,2),DECKS!$B$2:$B$1201,$A377))</f>
        <v/>
      </c>
      <c r="M377" s="19" t="str">
        <f aca="false">IF(OR($A377="",INDEX(_LEITURA!$Q$2:$Q$21,3)=0),"",SUMIFS(DECKS!$D$2:$D$1201,DECKS!$A$2:$A$1201,INDEX(_LEITURA!$P$2:$P$21,3),DECKS!$B$2:$B$1201,$A377))</f>
        <v/>
      </c>
      <c r="N377" s="19" t="str">
        <f aca="false">IF(OR($A377="",INDEX(_LEITURA!$Q$2:$Q$21,4)=0),"",SUMIFS(DECKS!$D$2:$D$1201,DECKS!$A$2:$A$1201,INDEX(_LEITURA!$P$2:$P$21,4),DECKS!$B$2:$B$1201,$A377))</f>
        <v/>
      </c>
      <c r="O377" s="19" t="str">
        <f aca="false">IF(OR($A377="",INDEX(_LEITURA!$Q$2:$Q$21,5)=0),"",SUMIFS(DECKS!$D$2:$D$1201,DECKS!$A$2:$A$1201,INDEX(_LEITURA!$P$2:$P$21,5),DECKS!$B$2:$B$1201,$A377))</f>
        <v/>
      </c>
      <c r="P377" s="19" t="str">
        <f aca="false">IF(OR($A377="",INDEX(_LEITURA!$Q$2:$Q$21,6)=0),"",SUMIFS(DECKS!$D$2:$D$1201,DECKS!$A$2:$A$1201,INDEX(_LEITURA!$P$2:$P$21,6),DECKS!$B$2:$B$1201,$A377))</f>
        <v/>
      </c>
      <c r="Q377" s="19" t="str">
        <f aca="false">IF(OR($A377="",INDEX(_LEITURA!$Q$2:$Q$21,7)=0),"",SUMIFS(DECKS!$D$2:$D$1201,DECKS!$A$2:$A$1201,INDEX(_LEITURA!$P$2:$P$21,7),DECKS!$B$2:$B$1201,$A377))</f>
        <v/>
      </c>
      <c r="R377" s="19" t="str">
        <f aca="false">IF(OR($A377="",INDEX(_LEITURA!$Q$2:$Q$21,8)=0),"",SUMIFS(DECKS!$D$2:$D$1201,DECKS!$A$2:$A$1201,INDEX(_LEITURA!$P$2:$P$21,8),DECKS!$B$2:$B$1201,$A377))</f>
        <v/>
      </c>
      <c r="S377" s="19" t="str">
        <f aca="false">IF(OR($A377="",INDEX(_LEITURA!$Q$2:$Q$21,9)=0),"",SUMIFS(DECKS!$D$2:$D$1201,DECKS!$A$2:$A$1201,INDEX(_LEITURA!$P$2:$P$21,9),DECKS!$B$2:$B$1201,$A377))</f>
        <v/>
      </c>
      <c r="T377" s="19" t="str">
        <f aca="false">IF(OR($A377="",INDEX(_LEITURA!$Q$2:$Q$21,10)=0),"",SUMIFS(DECKS!$D$2:$D$1201,DECKS!$A$2:$A$1201,INDEX(_LEITURA!$P$2:$P$21,10),DECKS!$B$2:$B$1201,$A377))</f>
        <v/>
      </c>
      <c r="U377" s="19" t="str">
        <f aca="false">IF(OR($A377="",INDEX(_LEITURA!$Q$2:$Q$21,11)=0),"",SUMIFS(DECKS!$D$2:$D$1201,DECKS!$A$2:$A$1201,INDEX(_LEITURA!$P$2:$P$21,11),DECKS!$B$2:$B$1201,$A377))</f>
        <v/>
      </c>
      <c r="V377" s="19" t="str">
        <f aca="false">IF(OR($A377="",INDEX(_LEITURA!$Q$2:$Q$21,12)=0),"",SUMIFS(DECKS!$D$2:$D$1201,DECKS!$A$2:$A$1201,INDEX(_LEITURA!$P$2:$P$21,12),DECKS!$B$2:$B$1201,$A377))</f>
        <v/>
      </c>
      <c r="W377" s="19" t="str">
        <f aca="false">IF(OR($A377="",INDEX(_LEITURA!$Q$2:$Q$21,13)=0),"",SUMIFS(DECKS!$D$2:$D$1201,DECKS!$A$2:$A$1201,INDEX(_LEITURA!$P$2:$P$21,13),DECKS!$B$2:$B$1201,$A377))</f>
        <v/>
      </c>
      <c r="X377" s="19" t="str">
        <f aca="false">IF(OR($A377="",INDEX(_LEITURA!$Q$2:$Q$21,14)=0),"",SUMIFS(DECKS!$D$2:$D$1201,DECKS!$A$2:$A$1201,INDEX(_LEITURA!$P$2:$P$21,14),DECKS!$B$2:$B$1201,$A377))</f>
        <v/>
      </c>
      <c r="Y377" s="19" t="str">
        <f aca="false">IF(OR($A377="",INDEX(_LEITURA!$Q$2:$Q$21,15)=0),"",SUMIFS(DECKS!$D$2:$D$1201,DECKS!$A$2:$A$1201,INDEX(_LEITURA!$P$2:$P$21,15),DECKS!$B$2:$B$1201,$A377))</f>
        <v/>
      </c>
      <c r="Z377" s="19" t="str">
        <f aca="false">IF(OR($A377="",INDEX(_LEITURA!$Q$2:$Q$21,16)=0),"",SUMIFS(DECKS!$D$2:$D$1201,DECKS!$A$2:$A$1201,INDEX(_LEITURA!$P$2:$P$21,16),DECKS!$B$2:$B$1201,$A377))</f>
        <v/>
      </c>
      <c r="AA377" s="19" t="str">
        <f aca="false">IF(OR($A377="",INDEX(_LEITURA!$Q$2:$Q$21,17)=0),"",SUMIFS(DECKS!$D$2:$D$1201,DECKS!$A$2:$A$1201,INDEX(_LEITURA!$P$2:$P$21,17),DECKS!$B$2:$B$1201,$A377))</f>
        <v/>
      </c>
      <c r="AB377" s="19" t="str">
        <f aca="false">IF(OR($A377="",INDEX(_LEITURA!$Q$2:$Q$21,18)=0),"",SUMIFS(DECKS!$D$2:$D$1201,DECKS!$A$2:$A$1201,INDEX(_LEITURA!$P$2:$P$21,18),DECKS!$B$2:$B$1201,$A377))</f>
        <v/>
      </c>
      <c r="AC377" s="19" t="str">
        <f aca="false">IF(OR($A377="",INDEX(_LEITURA!$Q$2:$Q$21,19)=0),"",SUMIFS(DECKS!$D$2:$D$1201,DECKS!$A$2:$A$1201,INDEX(_LEITURA!$P$2:$P$21,19),DECKS!$B$2:$B$1201,$A377))</f>
        <v/>
      </c>
      <c r="AD377" s="19" t="str">
        <f aca="false">IF(OR($A377="",INDEX(_LEITURA!$Q$2:$Q$21,20)=0),"",SUMIFS(DECKS!$D$2:$D$1201,DECKS!$A$2:$A$1201,INDEX(_LEITURA!$P$2:$P$21,20),DECKS!$B$2:$B$1201,$A377))</f>
        <v/>
      </c>
      <c r="AE377" s="16" t="str">
        <f aca="false">IF(N(E377)&gt;0,MAX(AE$1:AE376)+1,"")</f>
        <v/>
      </c>
      <c r="AF377" s="11" t="str">
        <f aca="false">IF(A377="","",IFERROR(LEFT(A377,FIND("-",A377)-1),A377))</f>
        <v/>
      </c>
      <c r="AG377" s="11" t="str">
        <f aca="false">IF(AF377="","",IF(ISNUMBER(--MID(AF377,1,1)),0,IF(ISNUMBER(--MID(AF377,2,1)),1,IF(ISNUMBER(--MID(AF377,3,1)),2,IF(ISNUMBER(--MID(AF377,4,1)),3,MIN(LEN(AF377),4))))))</f>
        <v/>
      </c>
      <c r="AH377" s="11" t="str">
        <f aca="false">IF(A377="","",LEFT(AF377,AG377)&amp;REPT("0",4-AG377)&amp;RIGHT("000"&amp;IFERROR(VALUE(MID(AF377,AG377+1,9)),0),3)&amp;RIGHT("0000"&amp;IFERROR(VALUE(MID(A377,FIND("-",A377)+1,9)),0),4))</f>
        <v/>
      </c>
      <c r="AI377" s="11" t="str">
        <f aca="false">IF(OR(A377="",N(E377)&lt;=0),"",IF('FALTAS GERAL'!$M$1="Código","K"&amp;AH377&amp;RIGHT("00000"&amp;ROW(),5),IF('FALTAS GERAL'!$M$1="Nome","K"&amp;UPPER(SUBSTITUTE(SUBSTITUTE(SUBSTITUTE(B377,"*",""),"?",""),"~",""))&amp;"0"&amp;AH377&amp;RIGHT("00000"&amp;ROW(),5),IF('FALTAS GERAL'!$M$1="Falta (maior primeiro)","K"&amp;RIGHT("0000"&amp;(9999-E377),4)&amp;AH377&amp;RIGHT("00000"&amp;ROW(),5),IF('FALTAS GERAL'!$M$1="Nº de decks (maior primeiro)","K"&amp;RIGHT("00"&amp;(99-N(G377)),2)&amp;AH377&amp;RIGHT("00000"&amp;ROW(),5),"K"&amp;RIGHT("00000"&amp;ROW(),5))))))</f>
        <v/>
      </c>
      <c r="AJ377" s="11" t="str">
        <f aca="false">IF(AI377="","",COUNTIFS($AI$2:$AI$801,"&lt;"&amp;AI377,$E$2:$E$801,"&gt;0")+1)</f>
        <v/>
      </c>
      <c r="AK377" s="11" t="str">
        <f aca="false">IF(OR(A377="",N(E377)&lt;=0),"",COUNTIFS($AH$2:$AH$801,"&lt;"&amp;AH377,$E$2:$E$801,"&gt;0")+COUNTIFS($AH$2:AH377,AH377,$E$2:E377,"&gt;0"))</f>
        <v/>
      </c>
    </row>
    <row r="378" customFormat="false" ht="15" hidden="false" customHeight="false" outlineLevel="0" collapsed="false">
      <c r="A378" s="11" t="str">
        <f aca="false">IF(INVENTÁRIO!A378="","",INVENTÁRIO!A378)</f>
        <v/>
      </c>
      <c r="B378" s="11" t="str">
        <f aca="false">IF(A378="","",INVENTÁRIO!B378)</f>
        <v/>
      </c>
      <c r="C378" s="16" t="str">
        <f aca="false">IF(A378="","",INVENTÁRIO!C378)</f>
        <v/>
      </c>
      <c r="D378" s="14" t="str">
        <f aca="false">IF(A378="","",MAX(K378:AD378))</f>
        <v/>
      </c>
      <c r="E378" s="14" t="str">
        <f aca="false">IF(A378="","",MAX(0,D378-C378))</f>
        <v/>
      </c>
      <c r="F378" s="16" t="str">
        <f aca="false">IF(A378="","",IF(D378=0,"Fora dos decks",IF(E378=0,"Completo","Falta")))</f>
        <v/>
      </c>
      <c r="G378" s="16" t="str">
        <f aca="false">IF(A378="","",COUNTIF(K378:AD378,"&gt;0"))</f>
        <v/>
      </c>
      <c r="H378" s="16" t="str">
        <f aca="false">IF(A378="","",IF(G378&gt;1,"Sim",""))</f>
        <v/>
      </c>
      <c r="I378" s="18" t="str">
        <f aca="false">IF(A378="","",SUMIFS(DECKS!$D$2:$D$1201,DECKS!$B$2:$B$1201,A378))</f>
        <v/>
      </c>
      <c r="J378" s="18" t="str">
        <f aca="false">IF(A378="","",MAX(0,I378-C378))</f>
        <v/>
      </c>
      <c r="K378" s="19" t="str">
        <f aca="false">IF(OR($A378="",INDEX(_LEITURA!$Q$2:$Q$21,1)=0),"",SUMIFS(DECKS!$D$2:$D$1201,DECKS!$A$2:$A$1201,INDEX(_LEITURA!$P$2:$P$21,1),DECKS!$B$2:$B$1201,$A378))</f>
        <v/>
      </c>
      <c r="L378" s="19" t="str">
        <f aca="false">IF(OR($A378="",INDEX(_LEITURA!$Q$2:$Q$21,2)=0),"",SUMIFS(DECKS!$D$2:$D$1201,DECKS!$A$2:$A$1201,INDEX(_LEITURA!$P$2:$P$21,2),DECKS!$B$2:$B$1201,$A378))</f>
        <v/>
      </c>
      <c r="M378" s="19" t="str">
        <f aca="false">IF(OR($A378="",INDEX(_LEITURA!$Q$2:$Q$21,3)=0),"",SUMIFS(DECKS!$D$2:$D$1201,DECKS!$A$2:$A$1201,INDEX(_LEITURA!$P$2:$P$21,3),DECKS!$B$2:$B$1201,$A378))</f>
        <v/>
      </c>
      <c r="N378" s="19" t="str">
        <f aca="false">IF(OR($A378="",INDEX(_LEITURA!$Q$2:$Q$21,4)=0),"",SUMIFS(DECKS!$D$2:$D$1201,DECKS!$A$2:$A$1201,INDEX(_LEITURA!$P$2:$P$21,4),DECKS!$B$2:$B$1201,$A378))</f>
        <v/>
      </c>
      <c r="O378" s="19" t="str">
        <f aca="false">IF(OR($A378="",INDEX(_LEITURA!$Q$2:$Q$21,5)=0),"",SUMIFS(DECKS!$D$2:$D$1201,DECKS!$A$2:$A$1201,INDEX(_LEITURA!$P$2:$P$21,5),DECKS!$B$2:$B$1201,$A378))</f>
        <v/>
      </c>
      <c r="P378" s="19" t="str">
        <f aca="false">IF(OR($A378="",INDEX(_LEITURA!$Q$2:$Q$21,6)=0),"",SUMIFS(DECKS!$D$2:$D$1201,DECKS!$A$2:$A$1201,INDEX(_LEITURA!$P$2:$P$21,6),DECKS!$B$2:$B$1201,$A378))</f>
        <v/>
      </c>
      <c r="Q378" s="19" t="str">
        <f aca="false">IF(OR($A378="",INDEX(_LEITURA!$Q$2:$Q$21,7)=0),"",SUMIFS(DECKS!$D$2:$D$1201,DECKS!$A$2:$A$1201,INDEX(_LEITURA!$P$2:$P$21,7),DECKS!$B$2:$B$1201,$A378))</f>
        <v/>
      </c>
      <c r="R378" s="19" t="str">
        <f aca="false">IF(OR($A378="",INDEX(_LEITURA!$Q$2:$Q$21,8)=0),"",SUMIFS(DECKS!$D$2:$D$1201,DECKS!$A$2:$A$1201,INDEX(_LEITURA!$P$2:$P$21,8),DECKS!$B$2:$B$1201,$A378))</f>
        <v/>
      </c>
      <c r="S378" s="19" t="str">
        <f aca="false">IF(OR($A378="",INDEX(_LEITURA!$Q$2:$Q$21,9)=0),"",SUMIFS(DECKS!$D$2:$D$1201,DECKS!$A$2:$A$1201,INDEX(_LEITURA!$P$2:$P$21,9),DECKS!$B$2:$B$1201,$A378))</f>
        <v/>
      </c>
      <c r="T378" s="19" t="str">
        <f aca="false">IF(OR($A378="",INDEX(_LEITURA!$Q$2:$Q$21,10)=0),"",SUMIFS(DECKS!$D$2:$D$1201,DECKS!$A$2:$A$1201,INDEX(_LEITURA!$P$2:$P$21,10),DECKS!$B$2:$B$1201,$A378))</f>
        <v/>
      </c>
      <c r="U378" s="19" t="str">
        <f aca="false">IF(OR($A378="",INDEX(_LEITURA!$Q$2:$Q$21,11)=0),"",SUMIFS(DECKS!$D$2:$D$1201,DECKS!$A$2:$A$1201,INDEX(_LEITURA!$P$2:$P$21,11),DECKS!$B$2:$B$1201,$A378))</f>
        <v/>
      </c>
      <c r="V378" s="19" t="str">
        <f aca="false">IF(OR($A378="",INDEX(_LEITURA!$Q$2:$Q$21,12)=0),"",SUMIFS(DECKS!$D$2:$D$1201,DECKS!$A$2:$A$1201,INDEX(_LEITURA!$P$2:$P$21,12),DECKS!$B$2:$B$1201,$A378))</f>
        <v/>
      </c>
      <c r="W378" s="19" t="str">
        <f aca="false">IF(OR($A378="",INDEX(_LEITURA!$Q$2:$Q$21,13)=0),"",SUMIFS(DECKS!$D$2:$D$1201,DECKS!$A$2:$A$1201,INDEX(_LEITURA!$P$2:$P$21,13),DECKS!$B$2:$B$1201,$A378))</f>
        <v/>
      </c>
      <c r="X378" s="19" t="str">
        <f aca="false">IF(OR($A378="",INDEX(_LEITURA!$Q$2:$Q$21,14)=0),"",SUMIFS(DECKS!$D$2:$D$1201,DECKS!$A$2:$A$1201,INDEX(_LEITURA!$P$2:$P$21,14),DECKS!$B$2:$B$1201,$A378))</f>
        <v/>
      </c>
      <c r="Y378" s="19" t="str">
        <f aca="false">IF(OR($A378="",INDEX(_LEITURA!$Q$2:$Q$21,15)=0),"",SUMIFS(DECKS!$D$2:$D$1201,DECKS!$A$2:$A$1201,INDEX(_LEITURA!$P$2:$P$21,15),DECKS!$B$2:$B$1201,$A378))</f>
        <v/>
      </c>
      <c r="Z378" s="19" t="str">
        <f aca="false">IF(OR($A378="",INDEX(_LEITURA!$Q$2:$Q$21,16)=0),"",SUMIFS(DECKS!$D$2:$D$1201,DECKS!$A$2:$A$1201,INDEX(_LEITURA!$P$2:$P$21,16),DECKS!$B$2:$B$1201,$A378))</f>
        <v/>
      </c>
      <c r="AA378" s="19" t="str">
        <f aca="false">IF(OR($A378="",INDEX(_LEITURA!$Q$2:$Q$21,17)=0),"",SUMIFS(DECKS!$D$2:$D$1201,DECKS!$A$2:$A$1201,INDEX(_LEITURA!$P$2:$P$21,17),DECKS!$B$2:$B$1201,$A378))</f>
        <v/>
      </c>
      <c r="AB378" s="19" t="str">
        <f aca="false">IF(OR($A378="",INDEX(_LEITURA!$Q$2:$Q$21,18)=0),"",SUMIFS(DECKS!$D$2:$D$1201,DECKS!$A$2:$A$1201,INDEX(_LEITURA!$P$2:$P$21,18),DECKS!$B$2:$B$1201,$A378))</f>
        <v/>
      </c>
      <c r="AC378" s="19" t="str">
        <f aca="false">IF(OR($A378="",INDEX(_LEITURA!$Q$2:$Q$21,19)=0),"",SUMIFS(DECKS!$D$2:$D$1201,DECKS!$A$2:$A$1201,INDEX(_LEITURA!$P$2:$P$21,19),DECKS!$B$2:$B$1201,$A378))</f>
        <v/>
      </c>
      <c r="AD378" s="19" t="str">
        <f aca="false">IF(OR($A378="",INDEX(_LEITURA!$Q$2:$Q$21,20)=0),"",SUMIFS(DECKS!$D$2:$D$1201,DECKS!$A$2:$A$1201,INDEX(_LEITURA!$P$2:$P$21,20),DECKS!$B$2:$B$1201,$A378))</f>
        <v/>
      </c>
      <c r="AE378" s="16" t="str">
        <f aca="false">IF(N(E378)&gt;0,MAX(AE$1:AE377)+1,"")</f>
        <v/>
      </c>
      <c r="AF378" s="11" t="str">
        <f aca="false">IF(A378="","",IFERROR(LEFT(A378,FIND("-",A378)-1),A378))</f>
        <v/>
      </c>
      <c r="AG378" s="11" t="str">
        <f aca="false">IF(AF378="","",IF(ISNUMBER(--MID(AF378,1,1)),0,IF(ISNUMBER(--MID(AF378,2,1)),1,IF(ISNUMBER(--MID(AF378,3,1)),2,IF(ISNUMBER(--MID(AF378,4,1)),3,MIN(LEN(AF378),4))))))</f>
        <v/>
      </c>
      <c r="AH378" s="11" t="str">
        <f aca="false">IF(A378="","",LEFT(AF378,AG378)&amp;REPT("0",4-AG378)&amp;RIGHT("000"&amp;IFERROR(VALUE(MID(AF378,AG378+1,9)),0),3)&amp;RIGHT("0000"&amp;IFERROR(VALUE(MID(A378,FIND("-",A378)+1,9)),0),4))</f>
        <v/>
      </c>
      <c r="AI378" s="11" t="str">
        <f aca="false">IF(OR(A378="",N(E378)&lt;=0),"",IF('FALTAS GERAL'!$M$1="Código","K"&amp;AH378&amp;RIGHT("00000"&amp;ROW(),5),IF('FALTAS GERAL'!$M$1="Nome","K"&amp;UPPER(SUBSTITUTE(SUBSTITUTE(SUBSTITUTE(B378,"*",""),"?",""),"~",""))&amp;"0"&amp;AH378&amp;RIGHT("00000"&amp;ROW(),5),IF('FALTAS GERAL'!$M$1="Falta (maior primeiro)","K"&amp;RIGHT("0000"&amp;(9999-E378),4)&amp;AH378&amp;RIGHT("00000"&amp;ROW(),5),IF('FALTAS GERAL'!$M$1="Nº de decks (maior primeiro)","K"&amp;RIGHT("00"&amp;(99-N(G378)),2)&amp;AH378&amp;RIGHT("00000"&amp;ROW(),5),"K"&amp;RIGHT("00000"&amp;ROW(),5))))))</f>
        <v/>
      </c>
      <c r="AJ378" s="11" t="str">
        <f aca="false">IF(AI378="","",COUNTIFS($AI$2:$AI$801,"&lt;"&amp;AI378,$E$2:$E$801,"&gt;0")+1)</f>
        <v/>
      </c>
      <c r="AK378" s="11" t="str">
        <f aca="false">IF(OR(A378="",N(E378)&lt;=0),"",COUNTIFS($AH$2:$AH$801,"&lt;"&amp;AH378,$E$2:$E$801,"&gt;0")+COUNTIFS($AH$2:AH378,AH378,$E$2:E378,"&gt;0"))</f>
        <v/>
      </c>
    </row>
    <row r="379" customFormat="false" ht="15" hidden="false" customHeight="false" outlineLevel="0" collapsed="false">
      <c r="A379" s="11" t="str">
        <f aca="false">IF(INVENTÁRIO!A379="","",INVENTÁRIO!A379)</f>
        <v/>
      </c>
      <c r="B379" s="11" t="str">
        <f aca="false">IF(A379="","",INVENTÁRIO!B379)</f>
        <v/>
      </c>
      <c r="C379" s="16" t="str">
        <f aca="false">IF(A379="","",INVENTÁRIO!C379)</f>
        <v/>
      </c>
      <c r="D379" s="14" t="str">
        <f aca="false">IF(A379="","",MAX(K379:AD379))</f>
        <v/>
      </c>
      <c r="E379" s="14" t="str">
        <f aca="false">IF(A379="","",MAX(0,D379-C379))</f>
        <v/>
      </c>
      <c r="F379" s="16" t="str">
        <f aca="false">IF(A379="","",IF(D379=0,"Fora dos decks",IF(E379=0,"Completo","Falta")))</f>
        <v/>
      </c>
      <c r="G379" s="16" t="str">
        <f aca="false">IF(A379="","",COUNTIF(K379:AD379,"&gt;0"))</f>
        <v/>
      </c>
      <c r="H379" s="16" t="str">
        <f aca="false">IF(A379="","",IF(G379&gt;1,"Sim",""))</f>
        <v/>
      </c>
      <c r="I379" s="18" t="str">
        <f aca="false">IF(A379="","",SUMIFS(DECKS!$D$2:$D$1201,DECKS!$B$2:$B$1201,A379))</f>
        <v/>
      </c>
      <c r="J379" s="18" t="str">
        <f aca="false">IF(A379="","",MAX(0,I379-C379))</f>
        <v/>
      </c>
      <c r="K379" s="19" t="str">
        <f aca="false">IF(OR($A379="",INDEX(_LEITURA!$Q$2:$Q$21,1)=0),"",SUMIFS(DECKS!$D$2:$D$1201,DECKS!$A$2:$A$1201,INDEX(_LEITURA!$P$2:$P$21,1),DECKS!$B$2:$B$1201,$A379))</f>
        <v/>
      </c>
      <c r="L379" s="19" t="str">
        <f aca="false">IF(OR($A379="",INDEX(_LEITURA!$Q$2:$Q$21,2)=0),"",SUMIFS(DECKS!$D$2:$D$1201,DECKS!$A$2:$A$1201,INDEX(_LEITURA!$P$2:$P$21,2),DECKS!$B$2:$B$1201,$A379))</f>
        <v/>
      </c>
      <c r="M379" s="19" t="str">
        <f aca="false">IF(OR($A379="",INDEX(_LEITURA!$Q$2:$Q$21,3)=0),"",SUMIFS(DECKS!$D$2:$D$1201,DECKS!$A$2:$A$1201,INDEX(_LEITURA!$P$2:$P$21,3),DECKS!$B$2:$B$1201,$A379))</f>
        <v/>
      </c>
      <c r="N379" s="19" t="str">
        <f aca="false">IF(OR($A379="",INDEX(_LEITURA!$Q$2:$Q$21,4)=0),"",SUMIFS(DECKS!$D$2:$D$1201,DECKS!$A$2:$A$1201,INDEX(_LEITURA!$P$2:$P$21,4),DECKS!$B$2:$B$1201,$A379))</f>
        <v/>
      </c>
      <c r="O379" s="19" t="str">
        <f aca="false">IF(OR($A379="",INDEX(_LEITURA!$Q$2:$Q$21,5)=0),"",SUMIFS(DECKS!$D$2:$D$1201,DECKS!$A$2:$A$1201,INDEX(_LEITURA!$P$2:$P$21,5),DECKS!$B$2:$B$1201,$A379))</f>
        <v/>
      </c>
      <c r="P379" s="19" t="str">
        <f aca="false">IF(OR($A379="",INDEX(_LEITURA!$Q$2:$Q$21,6)=0),"",SUMIFS(DECKS!$D$2:$D$1201,DECKS!$A$2:$A$1201,INDEX(_LEITURA!$P$2:$P$21,6),DECKS!$B$2:$B$1201,$A379))</f>
        <v/>
      </c>
      <c r="Q379" s="19" t="str">
        <f aca="false">IF(OR($A379="",INDEX(_LEITURA!$Q$2:$Q$21,7)=0),"",SUMIFS(DECKS!$D$2:$D$1201,DECKS!$A$2:$A$1201,INDEX(_LEITURA!$P$2:$P$21,7),DECKS!$B$2:$B$1201,$A379))</f>
        <v/>
      </c>
      <c r="R379" s="19" t="str">
        <f aca="false">IF(OR($A379="",INDEX(_LEITURA!$Q$2:$Q$21,8)=0),"",SUMIFS(DECKS!$D$2:$D$1201,DECKS!$A$2:$A$1201,INDEX(_LEITURA!$P$2:$P$21,8),DECKS!$B$2:$B$1201,$A379))</f>
        <v/>
      </c>
      <c r="S379" s="19" t="str">
        <f aca="false">IF(OR($A379="",INDEX(_LEITURA!$Q$2:$Q$21,9)=0),"",SUMIFS(DECKS!$D$2:$D$1201,DECKS!$A$2:$A$1201,INDEX(_LEITURA!$P$2:$P$21,9),DECKS!$B$2:$B$1201,$A379))</f>
        <v/>
      </c>
      <c r="T379" s="19" t="str">
        <f aca="false">IF(OR($A379="",INDEX(_LEITURA!$Q$2:$Q$21,10)=0),"",SUMIFS(DECKS!$D$2:$D$1201,DECKS!$A$2:$A$1201,INDEX(_LEITURA!$P$2:$P$21,10),DECKS!$B$2:$B$1201,$A379))</f>
        <v/>
      </c>
      <c r="U379" s="19" t="str">
        <f aca="false">IF(OR($A379="",INDEX(_LEITURA!$Q$2:$Q$21,11)=0),"",SUMIFS(DECKS!$D$2:$D$1201,DECKS!$A$2:$A$1201,INDEX(_LEITURA!$P$2:$P$21,11),DECKS!$B$2:$B$1201,$A379))</f>
        <v/>
      </c>
      <c r="V379" s="19" t="str">
        <f aca="false">IF(OR($A379="",INDEX(_LEITURA!$Q$2:$Q$21,12)=0),"",SUMIFS(DECKS!$D$2:$D$1201,DECKS!$A$2:$A$1201,INDEX(_LEITURA!$P$2:$P$21,12),DECKS!$B$2:$B$1201,$A379))</f>
        <v/>
      </c>
      <c r="W379" s="19" t="str">
        <f aca="false">IF(OR($A379="",INDEX(_LEITURA!$Q$2:$Q$21,13)=0),"",SUMIFS(DECKS!$D$2:$D$1201,DECKS!$A$2:$A$1201,INDEX(_LEITURA!$P$2:$P$21,13),DECKS!$B$2:$B$1201,$A379))</f>
        <v/>
      </c>
      <c r="X379" s="19" t="str">
        <f aca="false">IF(OR($A379="",INDEX(_LEITURA!$Q$2:$Q$21,14)=0),"",SUMIFS(DECKS!$D$2:$D$1201,DECKS!$A$2:$A$1201,INDEX(_LEITURA!$P$2:$P$21,14),DECKS!$B$2:$B$1201,$A379))</f>
        <v/>
      </c>
      <c r="Y379" s="19" t="str">
        <f aca="false">IF(OR($A379="",INDEX(_LEITURA!$Q$2:$Q$21,15)=0),"",SUMIFS(DECKS!$D$2:$D$1201,DECKS!$A$2:$A$1201,INDEX(_LEITURA!$P$2:$P$21,15),DECKS!$B$2:$B$1201,$A379))</f>
        <v/>
      </c>
      <c r="Z379" s="19" t="str">
        <f aca="false">IF(OR($A379="",INDEX(_LEITURA!$Q$2:$Q$21,16)=0),"",SUMIFS(DECKS!$D$2:$D$1201,DECKS!$A$2:$A$1201,INDEX(_LEITURA!$P$2:$P$21,16),DECKS!$B$2:$B$1201,$A379))</f>
        <v/>
      </c>
      <c r="AA379" s="19" t="str">
        <f aca="false">IF(OR($A379="",INDEX(_LEITURA!$Q$2:$Q$21,17)=0),"",SUMIFS(DECKS!$D$2:$D$1201,DECKS!$A$2:$A$1201,INDEX(_LEITURA!$P$2:$P$21,17),DECKS!$B$2:$B$1201,$A379))</f>
        <v/>
      </c>
      <c r="AB379" s="19" t="str">
        <f aca="false">IF(OR($A379="",INDEX(_LEITURA!$Q$2:$Q$21,18)=0),"",SUMIFS(DECKS!$D$2:$D$1201,DECKS!$A$2:$A$1201,INDEX(_LEITURA!$P$2:$P$21,18),DECKS!$B$2:$B$1201,$A379))</f>
        <v/>
      </c>
      <c r="AC379" s="19" t="str">
        <f aca="false">IF(OR($A379="",INDEX(_LEITURA!$Q$2:$Q$21,19)=0),"",SUMIFS(DECKS!$D$2:$D$1201,DECKS!$A$2:$A$1201,INDEX(_LEITURA!$P$2:$P$21,19),DECKS!$B$2:$B$1201,$A379))</f>
        <v/>
      </c>
      <c r="AD379" s="19" t="str">
        <f aca="false">IF(OR($A379="",INDEX(_LEITURA!$Q$2:$Q$21,20)=0),"",SUMIFS(DECKS!$D$2:$D$1201,DECKS!$A$2:$A$1201,INDEX(_LEITURA!$P$2:$P$21,20),DECKS!$B$2:$B$1201,$A379))</f>
        <v/>
      </c>
      <c r="AE379" s="16" t="str">
        <f aca="false">IF(N(E379)&gt;0,MAX(AE$1:AE378)+1,"")</f>
        <v/>
      </c>
      <c r="AF379" s="11" t="str">
        <f aca="false">IF(A379="","",IFERROR(LEFT(A379,FIND("-",A379)-1),A379))</f>
        <v/>
      </c>
      <c r="AG379" s="11" t="str">
        <f aca="false">IF(AF379="","",IF(ISNUMBER(--MID(AF379,1,1)),0,IF(ISNUMBER(--MID(AF379,2,1)),1,IF(ISNUMBER(--MID(AF379,3,1)),2,IF(ISNUMBER(--MID(AF379,4,1)),3,MIN(LEN(AF379),4))))))</f>
        <v/>
      </c>
      <c r="AH379" s="11" t="str">
        <f aca="false">IF(A379="","",LEFT(AF379,AG379)&amp;REPT("0",4-AG379)&amp;RIGHT("000"&amp;IFERROR(VALUE(MID(AF379,AG379+1,9)),0),3)&amp;RIGHT("0000"&amp;IFERROR(VALUE(MID(A379,FIND("-",A379)+1,9)),0),4))</f>
        <v/>
      </c>
      <c r="AI379" s="11" t="str">
        <f aca="false">IF(OR(A379="",N(E379)&lt;=0),"",IF('FALTAS GERAL'!$M$1="Código","K"&amp;AH379&amp;RIGHT("00000"&amp;ROW(),5),IF('FALTAS GERAL'!$M$1="Nome","K"&amp;UPPER(SUBSTITUTE(SUBSTITUTE(SUBSTITUTE(B379,"*",""),"?",""),"~",""))&amp;"0"&amp;AH379&amp;RIGHT("00000"&amp;ROW(),5),IF('FALTAS GERAL'!$M$1="Falta (maior primeiro)","K"&amp;RIGHT("0000"&amp;(9999-E379),4)&amp;AH379&amp;RIGHT("00000"&amp;ROW(),5),IF('FALTAS GERAL'!$M$1="Nº de decks (maior primeiro)","K"&amp;RIGHT("00"&amp;(99-N(G379)),2)&amp;AH379&amp;RIGHT("00000"&amp;ROW(),5),"K"&amp;RIGHT("00000"&amp;ROW(),5))))))</f>
        <v/>
      </c>
      <c r="AJ379" s="11" t="str">
        <f aca="false">IF(AI379="","",COUNTIFS($AI$2:$AI$801,"&lt;"&amp;AI379,$E$2:$E$801,"&gt;0")+1)</f>
        <v/>
      </c>
      <c r="AK379" s="11" t="str">
        <f aca="false">IF(OR(A379="",N(E379)&lt;=0),"",COUNTIFS($AH$2:$AH$801,"&lt;"&amp;AH379,$E$2:$E$801,"&gt;0")+COUNTIFS($AH$2:AH379,AH379,$E$2:E379,"&gt;0"))</f>
        <v/>
      </c>
    </row>
    <row r="380" customFormat="false" ht="15" hidden="false" customHeight="false" outlineLevel="0" collapsed="false">
      <c r="A380" s="11" t="str">
        <f aca="false">IF(INVENTÁRIO!A380="","",INVENTÁRIO!A380)</f>
        <v/>
      </c>
      <c r="B380" s="11" t="str">
        <f aca="false">IF(A380="","",INVENTÁRIO!B380)</f>
        <v/>
      </c>
      <c r="C380" s="16" t="str">
        <f aca="false">IF(A380="","",INVENTÁRIO!C380)</f>
        <v/>
      </c>
      <c r="D380" s="14" t="str">
        <f aca="false">IF(A380="","",MAX(K380:AD380))</f>
        <v/>
      </c>
      <c r="E380" s="14" t="str">
        <f aca="false">IF(A380="","",MAX(0,D380-C380))</f>
        <v/>
      </c>
      <c r="F380" s="16" t="str">
        <f aca="false">IF(A380="","",IF(D380=0,"Fora dos decks",IF(E380=0,"Completo","Falta")))</f>
        <v/>
      </c>
      <c r="G380" s="16" t="str">
        <f aca="false">IF(A380="","",COUNTIF(K380:AD380,"&gt;0"))</f>
        <v/>
      </c>
      <c r="H380" s="16" t="str">
        <f aca="false">IF(A380="","",IF(G380&gt;1,"Sim",""))</f>
        <v/>
      </c>
      <c r="I380" s="18" t="str">
        <f aca="false">IF(A380="","",SUMIFS(DECKS!$D$2:$D$1201,DECKS!$B$2:$B$1201,A380))</f>
        <v/>
      </c>
      <c r="J380" s="18" t="str">
        <f aca="false">IF(A380="","",MAX(0,I380-C380))</f>
        <v/>
      </c>
      <c r="K380" s="19" t="str">
        <f aca="false">IF(OR($A380="",INDEX(_LEITURA!$Q$2:$Q$21,1)=0),"",SUMIFS(DECKS!$D$2:$D$1201,DECKS!$A$2:$A$1201,INDEX(_LEITURA!$P$2:$P$21,1),DECKS!$B$2:$B$1201,$A380))</f>
        <v/>
      </c>
      <c r="L380" s="19" t="str">
        <f aca="false">IF(OR($A380="",INDEX(_LEITURA!$Q$2:$Q$21,2)=0),"",SUMIFS(DECKS!$D$2:$D$1201,DECKS!$A$2:$A$1201,INDEX(_LEITURA!$P$2:$P$21,2),DECKS!$B$2:$B$1201,$A380))</f>
        <v/>
      </c>
      <c r="M380" s="19" t="str">
        <f aca="false">IF(OR($A380="",INDEX(_LEITURA!$Q$2:$Q$21,3)=0),"",SUMIFS(DECKS!$D$2:$D$1201,DECKS!$A$2:$A$1201,INDEX(_LEITURA!$P$2:$P$21,3),DECKS!$B$2:$B$1201,$A380))</f>
        <v/>
      </c>
      <c r="N380" s="19" t="str">
        <f aca="false">IF(OR($A380="",INDEX(_LEITURA!$Q$2:$Q$21,4)=0),"",SUMIFS(DECKS!$D$2:$D$1201,DECKS!$A$2:$A$1201,INDEX(_LEITURA!$P$2:$P$21,4),DECKS!$B$2:$B$1201,$A380))</f>
        <v/>
      </c>
      <c r="O380" s="19" t="str">
        <f aca="false">IF(OR($A380="",INDEX(_LEITURA!$Q$2:$Q$21,5)=0),"",SUMIFS(DECKS!$D$2:$D$1201,DECKS!$A$2:$A$1201,INDEX(_LEITURA!$P$2:$P$21,5),DECKS!$B$2:$B$1201,$A380))</f>
        <v/>
      </c>
      <c r="P380" s="19" t="str">
        <f aca="false">IF(OR($A380="",INDEX(_LEITURA!$Q$2:$Q$21,6)=0),"",SUMIFS(DECKS!$D$2:$D$1201,DECKS!$A$2:$A$1201,INDEX(_LEITURA!$P$2:$P$21,6),DECKS!$B$2:$B$1201,$A380))</f>
        <v/>
      </c>
      <c r="Q380" s="19" t="str">
        <f aca="false">IF(OR($A380="",INDEX(_LEITURA!$Q$2:$Q$21,7)=0),"",SUMIFS(DECKS!$D$2:$D$1201,DECKS!$A$2:$A$1201,INDEX(_LEITURA!$P$2:$P$21,7),DECKS!$B$2:$B$1201,$A380))</f>
        <v/>
      </c>
      <c r="R380" s="19" t="str">
        <f aca="false">IF(OR($A380="",INDEX(_LEITURA!$Q$2:$Q$21,8)=0),"",SUMIFS(DECKS!$D$2:$D$1201,DECKS!$A$2:$A$1201,INDEX(_LEITURA!$P$2:$P$21,8),DECKS!$B$2:$B$1201,$A380))</f>
        <v/>
      </c>
      <c r="S380" s="19" t="str">
        <f aca="false">IF(OR($A380="",INDEX(_LEITURA!$Q$2:$Q$21,9)=0),"",SUMIFS(DECKS!$D$2:$D$1201,DECKS!$A$2:$A$1201,INDEX(_LEITURA!$P$2:$P$21,9),DECKS!$B$2:$B$1201,$A380))</f>
        <v/>
      </c>
      <c r="T380" s="19" t="str">
        <f aca="false">IF(OR($A380="",INDEX(_LEITURA!$Q$2:$Q$21,10)=0),"",SUMIFS(DECKS!$D$2:$D$1201,DECKS!$A$2:$A$1201,INDEX(_LEITURA!$P$2:$P$21,10),DECKS!$B$2:$B$1201,$A380))</f>
        <v/>
      </c>
      <c r="U380" s="19" t="str">
        <f aca="false">IF(OR($A380="",INDEX(_LEITURA!$Q$2:$Q$21,11)=0),"",SUMIFS(DECKS!$D$2:$D$1201,DECKS!$A$2:$A$1201,INDEX(_LEITURA!$P$2:$P$21,11),DECKS!$B$2:$B$1201,$A380))</f>
        <v/>
      </c>
      <c r="V380" s="19" t="str">
        <f aca="false">IF(OR($A380="",INDEX(_LEITURA!$Q$2:$Q$21,12)=0),"",SUMIFS(DECKS!$D$2:$D$1201,DECKS!$A$2:$A$1201,INDEX(_LEITURA!$P$2:$P$21,12),DECKS!$B$2:$B$1201,$A380))</f>
        <v/>
      </c>
      <c r="W380" s="19" t="str">
        <f aca="false">IF(OR($A380="",INDEX(_LEITURA!$Q$2:$Q$21,13)=0),"",SUMIFS(DECKS!$D$2:$D$1201,DECKS!$A$2:$A$1201,INDEX(_LEITURA!$P$2:$P$21,13),DECKS!$B$2:$B$1201,$A380))</f>
        <v/>
      </c>
      <c r="X380" s="19" t="str">
        <f aca="false">IF(OR($A380="",INDEX(_LEITURA!$Q$2:$Q$21,14)=0),"",SUMIFS(DECKS!$D$2:$D$1201,DECKS!$A$2:$A$1201,INDEX(_LEITURA!$P$2:$P$21,14),DECKS!$B$2:$B$1201,$A380))</f>
        <v/>
      </c>
      <c r="Y380" s="19" t="str">
        <f aca="false">IF(OR($A380="",INDEX(_LEITURA!$Q$2:$Q$21,15)=0),"",SUMIFS(DECKS!$D$2:$D$1201,DECKS!$A$2:$A$1201,INDEX(_LEITURA!$P$2:$P$21,15),DECKS!$B$2:$B$1201,$A380))</f>
        <v/>
      </c>
      <c r="Z380" s="19" t="str">
        <f aca="false">IF(OR($A380="",INDEX(_LEITURA!$Q$2:$Q$21,16)=0),"",SUMIFS(DECKS!$D$2:$D$1201,DECKS!$A$2:$A$1201,INDEX(_LEITURA!$P$2:$P$21,16),DECKS!$B$2:$B$1201,$A380))</f>
        <v/>
      </c>
      <c r="AA380" s="19" t="str">
        <f aca="false">IF(OR($A380="",INDEX(_LEITURA!$Q$2:$Q$21,17)=0),"",SUMIFS(DECKS!$D$2:$D$1201,DECKS!$A$2:$A$1201,INDEX(_LEITURA!$P$2:$P$21,17),DECKS!$B$2:$B$1201,$A380))</f>
        <v/>
      </c>
      <c r="AB380" s="19" t="str">
        <f aca="false">IF(OR($A380="",INDEX(_LEITURA!$Q$2:$Q$21,18)=0),"",SUMIFS(DECKS!$D$2:$D$1201,DECKS!$A$2:$A$1201,INDEX(_LEITURA!$P$2:$P$21,18),DECKS!$B$2:$B$1201,$A380))</f>
        <v/>
      </c>
      <c r="AC380" s="19" t="str">
        <f aca="false">IF(OR($A380="",INDEX(_LEITURA!$Q$2:$Q$21,19)=0),"",SUMIFS(DECKS!$D$2:$D$1201,DECKS!$A$2:$A$1201,INDEX(_LEITURA!$P$2:$P$21,19),DECKS!$B$2:$B$1201,$A380))</f>
        <v/>
      </c>
      <c r="AD380" s="19" t="str">
        <f aca="false">IF(OR($A380="",INDEX(_LEITURA!$Q$2:$Q$21,20)=0),"",SUMIFS(DECKS!$D$2:$D$1201,DECKS!$A$2:$A$1201,INDEX(_LEITURA!$P$2:$P$21,20),DECKS!$B$2:$B$1201,$A380))</f>
        <v/>
      </c>
      <c r="AE380" s="16" t="str">
        <f aca="false">IF(N(E380)&gt;0,MAX(AE$1:AE379)+1,"")</f>
        <v/>
      </c>
      <c r="AF380" s="11" t="str">
        <f aca="false">IF(A380="","",IFERROR(LEFT(A380,FIND("-",A380)-1),A380))</f>
        <v/>
      </c>
      <c r="AG380" s="11" t="str">
        <f aca="false">IF(AF380="","",IF(ISNUMBER(--MID(AF380,1,1)),0,IF(ISNUMBER(--MID(AF380,2,1)),1,IF(ISNUMBER(--MID(AF380,3,1)),2,IF(ISNUMBER(--MID(AF380,4,1)),3,MIN(LEN(AF380),4))))))</f>
        <v/>
      </c>
      <c r="AH380" s="11" t="str">
        <f aca="false">IF(A380="","",LEFT(AF380,AG380)&amp;REPT("0",4-AG380)&amp;RIGHT("000"&amp;IFERROR(VALUE(MID(AF380,AG380+1,9)),0),3)&amp;RIGHT("0000"&amp;IFERROR(VALUE(MID(A380,FIND("-",A380)+1,9)),0),4))</f>
        <v/>
      </c>
      <c r="AI380" s="11" t="str">
        <f aca="false">IF(OR(A380="",N(E380)&lt;=0),"",IF('FALTAS GERAL'!$M$1="Código","K"&amp;AH380&amp;RIGHT("00000"&amp;ROW(),5),IF('FALTAS GERAL'!$M$1="Nome","K"&amp;UPPER(SUBSTITUTE(SUBSTITUTE(SUBSTITUTE(B380,"*",""),"?",""),"~",""))&amp;"0"&amp;AH380&amp;RIGHT("00000"&amp;ROW(),5),IF('FALTAS GERAL'!$M$1="Falta (maior primeiro)","K"&amp;RIGHT("0000"&amp;(9999-E380),4)&amp;AH380&amp;RIGHT("00000"&amp;ROW(),5),IF('FALTAS GERAL'!$M$1="Nº de decks (maior primeiro)","K"&amp;RIGHT("00"&amp;(99-N(G380)),2)&amp;AH380&amp;RIGHT("00000"&amp;ROW(),5),"K"&amp;RIGHT("00000"&amp;ROW(),5))))))</f>
        <v/>
      </c>
      <c r="AJ380" s="11" t="str">
        <f aca="false">IF(AI380="","",COUNTIFS($AI$2:$AI$801,"&lt;"&amp;AI380,$E$2:$E$801,"&gt;0")+1)</f>
        <v/>
      </c>
      <c r="AK380" s="11" t="str">
        <f aca="false">IF(OR(A380="",N(E380)&lt;=0),"",COUNTIFS($AH$2:$AH$801,"&lt;"&amp;AH380,$E$2:$E$801,"&gt;0")+COUNTIFS($AH$2:AH380,AH380,$E$2:E380,"&gt;0"))</f>
        <v/>
      </c>
    </row>
    <row r="381" customFormat="false" ht="15" hidden="false" customHeight="false" outlineLevel="0" collapsed="false">
      <c r="A381" s="11" t="str">
        <f aca="false">IF(INVENTÁRIO!A381="","",INVENTÁRIO!A381)</f>
        <v/>
      </c>
      <c r="B381" s="11" t="str">
        <f aca="false">IF(A381="","",INVENTÁRIO!B381)</f>
        <v/>
      </c>
      <c r="C381" s="16" t="str">
        <f aca="false">IF(A381="","",INVENTÁRIO!C381)</f>
        <v/>
      </c>
      <c r="D381" s="14" t="str">
        <f aca="false">IF(A381="","",MAX(K381:AD381))</f>
        <v/>
      </c>
      <c r="E381" s="14" t="str">
        <f aca="false">IF(A381="","",MAX(0,D381-C381))</f>
        <v/>
      </c>
      <c r="F381" s="16" t="str">
        <f aca="false">IF(A381="","",IF(D381=0,"Fora dos decks",IF(E381=0,"Completo","Falta")))</f>
        <v/>
      </c>
      <c r="G381" s="16" t="str">
        <f aca="false">IF(A381="","",COUNTIF(K381:AD381,"&gt;0"))</f>
        <v/>
      </c>
      <c r="H381" s="16" t="str">
        <f aca="false">IF(A381="","",IF(G381&gt;1,"Sim",""))</f>
        <v/>
      </c>
      <c r="I381" s="18" t="str">
        <f aca="false">IF(A381="","",SUMIFS(DECKS!$D$2:$D$1201,DECKS!$B$2:$B$1201,A381))</f>
        <v/>
      </c>
      <c r="J381" s="18" t="str">
        <f aca="false">IF(A381="","",MAX(0,I381-C381))</f>
        <v/>
      </c>
      <c r="K381" s="19" t="str">
        <f aca="false">IF(OR($A381="",INDEX(_LEITURA!$Q$2:$Q$21,1)=0),"",SUMIFS(DECKS!$D$2:$D$1201,DECKS!$A$2:$A$1201,INDEX(_LEITURA!$P$2:$P$21,1),DECKS!$B$2:$B$1201,$A381))</f>
        <v/>
      </c>
      <c r="L381" s="19" t="str">
        <f aca="false">IF(OR($A381="",INDEX(_LEITURA!$Q$2:$Q$21,2)=0),"",SUMIFS(DECKS!$D$2:$D$1201,DECKS!$A$2:$A$1201,INDEX(_LEITURA!$P$2:$P$21,2),DECKS!$B$2:$B$1201,$A381))</f>
        <v/>
      </c>
      <c r="M381" s="19" t="str">
        <f aca="false">IF(OR($A381="",INDEX(_LEITURA!$Q$2:$Q$21,3)=0),"",SUMIFS(DECKS!$D$2:$D$1201,DECKS!$A$2:$A$1201,INDEX(_LEITURA!$P$2:$P$21,3),DECKS!$B$2:$B$1201,$A381))</f>
        <v/>
      </c>
      <c r="N381" s="19" t="str">
        <f aca="false">IF(OR($A381="",INDEX(_LEITURA!$Q$2:$Q$21,4)=0),"",SUMIFS(DECKS!$D$2:$D$1201,DECKS!$A$2:$A$1201,INDEX(_LEITURA!$P$2:$P$21,4),DECKS!$B$2:$B$1201,$A381))</f>
        <v/>
      </c>
      <c r="O381" s="19" t="str">
        <f aca="false">IF(OR($A381="",INDEX(_LEITURA!$Q$2:$Q$21,5)=0),"",SUMIFS(DECKS!$D$2:$D$1201,DECKS!$A$2:$A$1201,INDEX(_LEITURA!$P$2:$P$21,5),DECKS!$B$2:$B$1201,$A381))</f>
        <v/>
      </c>
      <c r="P381" s="19" t="str">
        <f aca="false">IF(OR($A381="",INDEX(_LEITURA!$Q$2:$Q$21,6)=0),"",SUMIFS(DECKS!$D$2:$D$1201,DECKS!$A$2:$A$1201,INDEX(_LEITURA!$P$2:$P$21,6),DECKS!$B$2:$B$1201,$A381))</f>
        <v/>
      </c>
      <c r="Q381" s="19" t="str">
        <f aca="false">IF(OR($A381="",INDEX(_LEITURA!$Q$2:$Q$21,7)=0),"",SUMIFS(DECKS!$D$2:$D$1201,DECKS!$A$2:$A$1201,INDEX(_LEITURA!$P$2:$P$21,7),DECKS!$B$2:$B$1201,$A381))</f>
        <v/>
      </c>
      <c r="R381" s="19" t="str">
        <f aca="false">IF(OR($A381="",INDEX(_LEITURA!$Q$2:$Q$21,8)=0),"",SUMIFS(DECKS!$D$2:$D$1201,DECKS!$A$2:$A$1201,INDEX(_LEITURA!$P$2:$P$21,8),DECKS!$B$2:$B$1201,$A381))</f>
        <v/>
      </c>
      <c r="S381" s="19" t="str">
        <f aca="false">IF(OR($A381="",INDEX(_LEITURA!$Q$2:$Q$21,9)=0),"",SUMIFS(DECKS!$D$2:$D$1201,DECKS!$A$2:$A$1201,INDEX(_LEITURA!$P$2:$P$21,9),DECKS!$B$2:$B$1201,$A381))</f>
        <v/>
      </c>
      <c r="T381" s="19" t="str">
        <f aca="false">IF(OR($A381="",INDEX(_LEITURA!$Q$2:$Q$21,10)=0),"",SUMIFS(DECKS!$D$2:$D$1201,DECKS!$A$2:$A$1201,INDEX(_LEITURA!$P$2:$P$21,10),DECKS!$B$2:$B$1201,$A381))</f>
        <v/>
      </c>
      <c r="U381" s="19" t="str">
        <f aca="false">IF(OR($A381="",INDEX(_LEITURA!$Q$2:$Q$21,11)=0),"",SUMIFS(DECKS!$D$2:$D$1201,DECKS!$A$2:$A$1201,INDEX(_LEITURA!$P$2:$P$21,11),DECKS!$B$2:$B$1201,$A381))</f>
        <v/>
      </c>
      <c r="V381" s="19" t="str">
        <f aca="false">IF(OR($A381="",INDEX(_LEITURA!$Q$2:$Q$21,12)=0),"",SUMIFS(DECKS!$D$2:$D$1201,DECKS!$A$2:$A$1201,INDEX(_LEITURA!$P$2:$P$21,12),DECKS!$B$2:$B$1201,$A381))</f>
        <v/>
      </c>
      <c r="W381" s="19" t="str">
        <f aca="false">IF(OR($A381="",INDEX(_LEITURA!$Q$2:$Q$21,13)=0),"",SUMIFS(DECKS!$D$2:$D$1201,DECKS!$A$2:$A$1201,INDEX(_LEITURA!$P$2:$P$21,13),DECKS!$B$2:$B$1201,$A381))</f>
        <v/>
      </c>
      <c r="X381" s="19" t="str">
        <f aca="false">IF(OR($A381="",INDEX(_LEITURA!$Q$2:$Q$21,14)=0),"",SUMIFS(DECKS!$D$2:$D$1201,DECKS!$A$2:$A$1201,INDEX(_LEITURA!$P$2:$P$21,14),DECKS!$B$2:$B$1201,$A381))</f>
        <v/>
      </c>
      <c r="Y381" s="19" t="str">
        <f aca="false">IF(OR($A381="",INDEX(_LEITURA!$Q$2:$Q$21,15)=0),"",SUMIFS(DECKS!$D$2:$D$1201,DECKS!$A$2:$A$1201,INDEX(_LEITURA!$P$2:$P$21,15),DECKS!$B$2:$B$1201,$A381))</f>
        <v/>
      </c>
      <c r="Z381" s="19" t="str">
        <f aca="false">IF(OR($A381="",INDEX(_LEITURA!$Q$2:$Q$21,16)=0),"",SUMIFS(DECKS!$D$2:$D$1201,DECKS!$A$2:$A$1201,INDEX(_LEITURA!$P$2:$P$21,16),DECKS!$B$2:$B$1201,$A381))</f>
        <v/>
      </c>
      <c r="AA381" s="19" t="str">
        <f aca="false">IF(OR($A381="",INDEX(_LEITURA!$Q$2:$Q$21,17)=0),"",SUMIFS(DECKS!$D$2:$D$1201,DECKS!$A$2:$A$1201,INDEX(_LEITURA!$P$2:$P$21,17),DECKS!$B$2:$B$1201,$A381))</f>
        <v/>
      </c>
      <c r="AB381" s="19" t="str">
        <f aca="false">IF(OR($A381="",INDEX(_LEITURA!$Q$2:$Q$21,18)=0),"",SUMIFS(DECKS!$D$2:$D$1201,DECKS!$A$2:$A$1201,INDEX(_LEITURA!$P$2:$P$21,18),DECKS!$B$2:$B$1201,$A381))</f>
        <v/>
      </c>
      <c r="AC381" s="19" t="str">
        <f aca="false">IF(OR($A381="",INDEX(_LEITURA!$Q$2:$Q$21,19)=0),"",SUMIFS(DECKS!$D$2:$D$1201,DECKS!$A$2:$A$1201,INDEX(_LEITURA!$P$2:$P$21,19),DECKS!$B$2:$B$1201,$A381))</f>
        <v/>
      </c>
      <c r="AD381" s="19" t="str">
        <f aca="false">IF(OR($A381="",INDEX(_LEITURA!$Q$2:$Q$21,20)=0),"",SUMIFS(DECKS!$D$2:$D$1201,DECKS!$A$2:$A$1201,INDEX(_LEITURA!$P$2:$P$21,20),DECKS!$B$2:$B$1201,$A381))</f>
        <v/>
      </c>
      <c r="AE381" s="16" t="str">
        <f aca="false">IF(N(E381)&gt;0,MAX(AE$1:AE380)+1,"")</f>
        <v/>
      </c>
      <c r="AF381" s="11" t="str">
        <f aca="false">IF(A381="","",IFERROR(LEFT(A381,FIND("-",A381)-1),A381))</f>
        <v/>
      </c>
      <c r="AG381" s="11" t="str">
        <f aca="false">IF(AF381="","",IF(ISNUMBER(--MID(AF381,1,1)),0,IF(ISNUMBER(--MID(AF381,2,1)),1,IF(ISNUMBER(--MID(AF381,3,1)),2,IF(ISNUMBER(--MID(AF381,4,1)),3,MIN(LEN(AF381),4))))))</f>
        <v/>
      </c>
      <c r="AH381" s="11" t="str">
        <f aca="false">IF(A381="","",LEFT(AF381,AG381)&amp;REPT("0",4-AG381)&amp;RIGHT("000"&amp;IFERROR(VALUE(MID(AF381,AG381+1,9)),0),3)&amp;RIGHT("0000"&amp;IFERROR(VALUE(MID(A381,FIND("-",A381)+1,9)),0),4))</f>
        <v/>
      </c>
      <c r="AI381" s="11" t="str">
        <f aca="false">IF(OR(A381="",N(E381)&lt;=0),"",IF('FALTAS GERAL'!$M$1="Código","K"&amp;AH381&amp;RIGHT("00000"&amp;ROW(),5),IF('FALTAS GERAL'!$M$1="Nome","K"&amp;UPPER(SUBSTITUTE(SUBSTITUTE(SUBSTITUTE(B381,"*",""),"?",""),"~",""))&amp;"0"&amp;AH381&amp;RIGHT("00000"&amp;ROW(),5),IF('FALTAS GERAL'!$M$1="Falta (maior primeiro)","K"&amp;RIGHT("0000"&amp;(9999-E381),4)&amp;AH381&amp;RIGHT("00000"&amp;ROW(),5),IF('FALTAS GERAL'!$M$1="Nº de decks (maior primeiro)","K"&amp;RIGHT("00"&amp;(99-N(G381)),2)&amp;AH381&amp;RIGHT("00000"&amp;ROW(),5),"K"&amp;RIGHT("00000"&amp;ROW(),5))))))</f>
        <v/>
      </c>
      <c r="AJ381" s="11" t="str">
        <f aca="false">IF(AI381="","",COUNTIFS($AI$2:$AI$801,"&lt;"&amp;AI381,$E$2:$E$801,"&gt;0")+1)</f>
        <v/>
      </c>
      <c r="AK381" s="11" t="str">
        <f aca="false">IF(OR(A381="",N(E381)&lt;=0),"",COUNTIFS($AH$2:$AH$801,"&lt;"&amp;AH381,$E$2:$E$801,"&gt;0")+COUNTIFS($AH$2:AH381,AH381,$E$2:E381,"&gt;0"))</f>
        <v/>
      </c>
    </row>
    <row r="382" customFormat="false" ht="15" hidden="false" customHeight="false" outlineLevel="0" collapsed="false">
      <c r="A382" s="11" t="str">
        <f aca="false">IF(INVENTÁRIO!A382="","",INVENTÁRIO!A382)</f>
        <v/>
      </c>
      <c r="B382" s="11" t="str">
        <f aca="false">IF(A382="","",INVENTÁRIO!B382)</f>
        <v/>
      </c>
      <c r="C382" s="16" t="str">
        <f aca="false">IF(A382="","",INVENTÁRIO!C382)</f>
        <v/>
      </c>
      <c r="D382" s="14" t="str">
        <f aca="false">IF(A382="","",MAX(K382:AD382))</f>
        <v/>
      </c>
      <c r="E382" s="14" t="str">
        <f aca="false">IF(A382="","",MAX(0,D382-C382))</f>
        <v/>
      </c>
      <c r="F382" s="16" t="str">
        <f aca="false">IF(A382="","",IF(D382=0,"Fora dos decks",IF(E382=0,"Completo","Falta")))</f>
        <v/>
      </c>
      <c r="G382" s="16" t="str">
        <f aca="false">IF(A382="","",COUNTIF(K382:AD382,"&gt;0"))</f>
        <v/>
      </c>
      <c r="H382" s="16" t="str">
        <f aca="false">IF(A382="","",IF(G382&gt;1,"Sim",""))</f>
        <v/>
      </c>
      <c r="I382" s="18" t="str">
        <f aca="false">IF(A382="","",SUMIFS(DECKS!$D$2:$D$1201,DECKS!$B$2:$B$1201,A382))</f>
        <v/>
      </c>
      <c r="J382" s="18" t="str">
        <f aca="false">IF(A382="","",MAX(0,I382-C382))</f>
        <v/>
      </c>
      <c r="K382" s="19" t="str">
        <f aca="false">IF(OR($A382="",INDEX(_LEITURA!$Q$2:$Q$21,1)=0),"",SUMIFS(DECKS!$D$2:$D$1201,DECKS!$A$2:$A$1201,INDEX(_LEITURA!$P$2:$P$21,1),DECKS!$B$2:$B$1201,$A382))</f>
        <v/>
      </c>
      <c r="L382" s="19" t="str">
        <f aca="false">IF(OR($A382="",INDEX(_LEITURA!$Q$2:$Q$21,2)=0),"",SUMIFS(DECKS!$D$2:$D$1201,DECKS!$A$2:$A$1201,INDEX(_LEITURA!$P$2:$P$21,2),DECKS!$B$2:$B$1201,$A382))</f>
        <v/>
      </c>
      <c r="M382" s="19" t="str">
        <f aca="false">IF(OR($A382="",INDEX(_LEITURA!$Q$2:$Q$21,3)=0),"",SUMIFS(DECKS!$D$2:$D$1201,DECKS!$A$2:$A$1201,INDEX(_LEITURA!$P$2:$P$21,3),DECKS!$B$2:$B$1201,$A382))</f>
        <v/>
      </c>
      <c r="N382" s="19" t="str">
        <f aca="false">IF(OR($A382="",INDEX(_LEITURA!$Q$2:$Q$21,4)=0),"",SUMIFS(DECKS!$D$2:$D$1201,DECKS!$A$2:$A$1201,INDEX(_LEITURA!$P$2:$P$21,4),DECKS!$B$2:$B$1201,$A382))</f>
        <v/>
      </c>
      <c r="O382" s="19" t="str">
        <f aca="false">IF(OR($A382="",INDEX(_LEITURA!$Q$2:$Q$21,5)=0),"",SUMIFS(DECKS!$D$2:$D$1201,DECKS!$A$2:$A$1201,INDEX(_LEITURA!$P$2:$P$21,5),DECKS!$B$2:$B$1201,$A382))</f>
        <v/>
      </c>
      <c r="P382" s="19" t="str">
        <f aca="false">IF(OR($A382="",INDEX(_LEITURA!$Q$2:$Q$21,6)=0),"",SUMIFS(DECKS!$D$2:$D$1201,DECKS!$A$2:$A$1201,INDEX(_LEITURA!$P$2:$P$21,6),DECKS!$B$2:$B$1201,$A382))</f>
        <v/>
      </c>
      <c r="Q382" s="19" t="str">
        <f aca="false">IF(OR($A382="",INDEX(_LEITURA!$Q$2:$Q$21,7)=0),"",SUMIFS(DECKS!$D$2:$D$1201,DECKS!$A$2:$A$1201,INDEX(_LEITURA!$P$2:$P$21,7),DECKS!$B$2:$B$1201,$A382))</f>
        <v/>
      </c>
      <c r="R382" s="19" t="str">
        <f aca="false">IF(OR($A382="",INDEX(_LEITURA!$Q$2:$Q$21,8)=0),"",SUMIFS(DECKS!$D$2:$D$1201,DECKS!$A$2:$A$1201,INDEX(_LEITURA!$P$2:$P$21,8),DECKS!$B$2:$B$1201,$A382))</f>
        <v/>
      </c>
      <c r="S382" s="19" t="str">
        <f aca="false">IF(OR($A382="",INDEX(_LEITURA!$Q$2:$Q$21,9)=0),"",SUMIFS(DECKS!$D$2:$D$1201,DECKS!$A$2:$A$1201,INDEX(_LEITURA!$P$2:$P$21,9),DECKS!$B$2:$B$1201,$A382))</f>
        <v/>
      </c>
      <c r="T382" s="19" t="str">
        <f aca="false">IF(OR($A382="",INDEX(_LEITURA!$Q$2:$Q$21,10)=0),"",SUMIFS(DECKS!$D$2:$D$1201,DECKS!$A$2:$A$1201,INDEX(_LEITURA!$P$2:$P$21,10),DECKS!$B$2:$B$1201,$A382))</f>
        <v/>
      </c>
      <c r="U382" s="19" t="str">
        <f aca="false">IF(OR($A382="",INDEX(_LEITURA!$Q$2:$Q$21,11)=0),"",SUMIFS(DECKS!$D$2:$D$1201,DECKS!$A$2:$A$1201,INDEX(_LEITURA!$P$2:$P$21,11),DECKS!$B$2:$B$1201,$A382))</f>
        <v/>
      </c>
      <c r="V382" s="19" t="str">
        <f aca="false">IF(OR($A382="",INDEX(_LEITURA!$Q$2:$Q$21,12)=0),"",SUMIFS(DECKS!$D$2:$D$1201,DECKS!$A$2:$A$1201,INDEX(_LEITURA!$P$2:$P$21,12),DECKS!$B$2:$B$1201,$A382))</f>
        <v/>
      </c>
      <c r="W382" s="19" t="str">
        <f aca="false">IF(OR($A382="",INDEX(_LEITURA!$Q$2:$Q$21,13)=0),"",SUMIFS(DECKS!$D$2:$D$1201,DECKS!$A$2:$A$1201,INDEX(_LEITURA!$P$2:$P$21,13),DECKS!$B$2:$B$1201,$A382))</f>
        <v/>
      </c>
      <c r="X382" s="19" t="str">
        <f aca="false">IF(OR($A382="",INDEX(_LEITURA!$Q$2:$Q$21,14)=0),"",SUMIFS(DECKS!$D$2:$D$1201,DECKS!$A$2:$A$1201,INDEX(_LEITURA!$P$2:$P$21,14),DECKS!$B$2:$B$1201,$A382))</f>
        <v/>
      </c>
      <c r="Y382" s="19" t="str">
        <f aca="false">IF(OR($A382="",INDEX(_LEITURA!$Q$2:$Q$21,15)=0),"",SUMIFS(DECKS!$D$2:$D$1201,DECKS!$A$2:$A$1201,INDEX(_LEITURA!$P$2:$P$21,15),DECKS!$B$2:$B$1201,$A382))</f>
        <v/>
      </c>
      <c r="Z382" s="19" t="str">
        <f aca="false">IF(OR($A382="",INDEX(_LEITURA!$Q$2:$Q$21,16)=0),"",SUMIFS(DECKS!$D$2:$D$1201,DECKS!$A$2:$A$1201,INDEX(_LEITURA!$P$2:$P$21,16),DECKS!$B$2:$B$1201,$A382))</f>
        <v/>
      </c>
      <c r="AA382" s="19" t="str">
        <f aca="false">IF(OR($A382="",INDEX(_LEITURA!$Q$2:$Q$21,17)=0),"",SUMIFS(DECKS!$D$2:$D$1201,DECKS!$A$2:$A$1201,INDEX(_LEITURA!$P$2:$P$21,17),DECKS!$B$2:$B$1201,$A382))</f>
        <v/>
      </c>
      <c r="AB382" s="19" t="str">
        <f aca="false">IF(OR($A382="",INDEX(_LEITURA!$Q$2:$Q$21,18)=0),"",SUMIFS(DECKS!$D$2:$D$1201,DECKS!$A$2:$A$1201,INDEX(_LEITURA!$P$2:$P$21,18),DECKS!$B$2:$B$1201,$A382))</f>
        <v/>
      </c>
      <c r="AC382" s="19" t="str">
        <f aca="false">IF(OR($A382="",INDEX(_LEITURA!$Q$2:$Q$21,19)=0),"",SUMIFS(DECKS!$D$2:$D$1201,DECKS!$A$2:$A$1201,INDEX(_LEITURA!$P$2:$P$21,19),DECKS!$B$2:$B$1201,$A382))</f>
        <v/>
      </c>
      <c r="AD382" s="19" t="str">
        <f aca="false">IF(OR($A382="",INDEX(_LEITURA!$Q$2:$Q$21,20)=0),"",SUMIFS(DECKS!$D$2:$D$1201,DECKS!$A$2:$A$1201,INDEX(_LEITURA!$P$2:$P$21,20),DECKS!$B$2:$B$1201,$A382))</f>
        <v/>
      </c>
      <c r="AE382" s="16" t="str">
        <f aca="false">IF(N(E382)&gt;0,MAX(AE$1:AE381)+1,"")</f>
        <v/>
      </c>
      <c r="AF382" s="11" t="str">
        <f aca="false">IF(A382="","",IFERROR(LEFT(A382,FIND("-",A382)-1),A382))</f>
        <v/>
      </c>
      <c r="AG382" s="11" t="str">
        <f aca="false">IF(AF382="","",IF(ISNUMBER(--MID(AF382,1,1)),0,IF(ISNUMBER(--MID(AF382,2,1)),1,IF(ISNUMBER(--MID(AF382,3,1)),2,IF(ISNUMBER(--MID(AF382,4,1)),3,MIN(LEN(AF382),4))))))</f>
        <v/>
      </c>
      <c r="AH382" s="11" t="str">
        <f aca="false">IF(A382="","",LEFT(AF382,AG382)&amp;REPT("0",4-AG382)&amp;RIGHT("000"&amp;IFERROR(VALUE(MID(AF382,AG382+1,9)),0),3)&amp;RIGHT("0000"&amp;IFERROR(VALUE(MID(A382,FIND("-",A382)+1,9)),0),4))</f>
        <v/>
      </c>
      <c r="AI382" s="11" t="str">
        <f aca="false">IF(OR(A382="",N(E382)&lt;=0),"",IF('FALTAS GERAL'!$M$1="Código","K"&amp;AH382&amp;RIGHT("00000"&amp;ROW(),5),IF('FALTAS GERAL'!$M$1="Nome","K"&amp;UPPER(SUBSTITUTE(SUBSTITUTE(SUBSTITUTE(B382,"*",""),"?",""),"~",""))&amp;"0"&amp;AH382&amp;RIGHT("00000"&amp;ROW(),5),IF('FALTAS GERAL'!$M$1="Falta (maior primeiro)","K"&amp;RIGHT("0000"&amp;(9999-E382),4)&amp;AH382&amp;RIGHT("00000"&amp;ROW(),5),IF('FALTAS GERAL'!$M$1="Nº de decks (maior primeiro)","K"&amp;RIGHT("00"&amp;(99-N(G382)),2)&amp;AH382&amp;RIGHT("00000"&amp;ROW(),5),"K"&amp;RIGHT("00000"&amp;ROW(),5))))))</f>
        <v/>
      </c>
      <c r="AJ382" s="11" t="str">
        <f aca="false">IF(AI382="","",COUNTIFS($AI$2:$AI$801,"&lt;"&amp;AI382,$E$2:$E$801,"&gt;0")+1)</f>
        <v/>
      </c>
      <c r="AK382" s="11" t="str">
        <f aca="false">IF(OR(A382="",N(E382)&lt;=0),"",COUNTIFS($AH$2:$AH$801,"&lt;"&amp;AH382,$E$2:$E$801,"&gt;0")+COUNTIFS($AH$2:AH382,AH382,$E$2:E382,"&gt;0"))</f>
        <v/>
      </c>
    </row>
    <row r="383" customFormat="false" ht="15" hidden="false" customHeight="false" outlineLevel="0" collapsed="false">
      <c r="A383" s="11" t="str">
        <f aca="false">IF(INVENTÁRIO!A383="","",INVENTÁRIO!A383)</f>
        <v/>
      </c>
      <c r="B383" s="11" t="str">
        <f aca="false">IF(A383="","",INVENTÁRIO!B383)</f>
        <v/>
      </c>
      <c r="C383" s="16" t="str">
        <f aca="false">IF(A383="","",INVENTÁRIO!C383)</f>
        <v/>
      </c>
      <c r="D383" s="14" t="str">
        <f aca="false">IF(A383="","",MAX(K383:AD383))</f>
        <v/>
      </c>
      <c r="E383" s="14" t="str">
        <f aca="false">IF(A383="","",MAX(0,D383-C383))</f>
        <v/>
      </c>
      <c r="F383" s="16" t="str">
        <f aca="false">IF(A383="","",IF(D383=0,"Fora dos decks",IF(E383=0,"Completo","Falta")))</f>
        <v/>
      </c>
      <c r="G383" s="16" t="str">
        <f aca="false">IF(A383="","",COUNTIF(K383:AD383,"&gt;0"))</f>
        <v/>
      </c>
      <c r="H383" s="16" t="str">
        <f aca="false">IF(A383="","",IF(G383&gt;1,"Sim",""))</f>
        <v/>
      </c>
      <c r="I383" s="18" t="str">
        <f aca="false">IF(A383="","",SUMIFS(DECKS!$D$2:$D$1201,DECKS!$B$2:$B$1201,A383))</f>
        <v/>
      </c>
      <c r="J383" s="18" t="str">
        <f aca="false">IF(A383="","",MAX(0,I383-C383))</f>
        <v/>
      </c>
      <c r="K383" s="19" t="str">
        <f aca="false">IF(OR($A383="",INDEX(_LEITURA!$Q$2:$Q$21,1)=0),"",SUMIFS(DECKS!$D$2:$D$1201,DECKS!$A$2:$A$1201,INDEX(_LEITURA!$P$2:$P$21,1),DECKS!$B$2:$B$1201,$A383))</f>
        <v/>
      </c>
      <c r="L383" s="19" t="str">
        <f aca="false">IF(OR($A383="",INDEX(_LEITURA!$Q$2:$Q$21,2)=0),"",SUMIFS(DECKS!$D$2:$D$1201,DECKS!$A$2:$A$1201,INDEX(_LEITURA!$P$2:$P$21,2),DECKS!$B$2:$B$1201,$A383))</f>
        <v/>
      </c>
      <c r="M383" s="19" t="str">
        <f aca="false">IF(OR($A383="",INDEX(_LEITURA!$Q$2:$Q$21,3)=0),"",SUMIFS(DECKS!$D$2:$D$1201,DECKS!$A$2:$A$1201,INDEX(_LEITURA!$P$2:$P$21,3),DECKS!$B$2:$B$1201,$A383))</f>
        <v/>
      </c>
      <c r="N383" s="19" t="str">
        <f aca="false">IF(OR($A383="",INDEX(_LEITURA!$Q$2:$Q$21,4)=0),"",SUMIFS(DECKS!$D$2:$D$1201,DECKS!$A$2:$A$1201,INDEX(_LEITURA!$P$2:$P$21,4),DECKS!$B$2:$B$1201,$A383))</f>
        <v/>
      </c>
      <c r="O383" s="19" t="str">
        <f aca="false">IF(OR($A383="",INDEX(_LEITURA!$Q$2:$Q$21,5)=0),"",SUMIFS(DECKS!$D$2:$D$1201,DECKS!$A$2:$A$1201,INDEX(_LEITURA!$P$2:$P$21,5),DECKS!$B$2:$B$1201,$A383))</f>
        <v/>
      </c>
      <c r="P383" s="19" t="str">
        <f aca="false">IF(OR($A383="",INDEX(_LEITURA!$Q$2:$Q$21,6)=0),"",SUMIFS(DECKS!$D$2:$D$1201,DECKS!$A$2:$A$1201,INDEX(_LEITURA!$P$2:$P$21,6),DECKS!$B$2:$B$1201,$A383))</f>
        <v/>
      </c>
      <c r="Q383" s="19" t="str">
        <f aca="false">IF(OR($A383="",INDEX(_LEITURA!$Q$2:$Q$21,7)=0),"",SUMIFS(DECKS!$D$2:$D$1201,DECKS!$A$2:$A$1201,INDEX(_LEITURA!$P$2:$P$21,7),DECKS!$B$2:$B$1201,$A383))</f>
        <v/>
      </c>
      <c r="R383" s="19" t="str">
        <f aca="false">IF(OR($A383="",INDEX(_LEITURA!$Q$2:$Q$21,8)=0),"",SUMIFS(DECKS!$D$2:$D$1201,DECKS!$A$2:$A$1201,INDEX(_LEITURA!$P$2:$P$21,8),DECKS!$B$2:$B$1201,$A383))</f>
        <v/>
      </c>
      <c r="S383" s="19" t="str">
        <f aca="false">IF(OR($A383="",INDEX(_LEITURA!$Q$2:$Q$21,9)=0),"",SUMIFS(DECKS!$D$2:$D$1201,DECKS!$A$2:$A$1201,INDEX(_LEITURA!$P$2:$P$21,9),DECKS!$B$2:$B$1201,$A383))</f>
        <v/>
      </c>
      <c r="T383" s="19" t="str">
        <f aca="false">IF(OR($A383="",INDEX(_LEITURA!$Q$2:$Q$21,10)=0),"",SUMIFS(DECKS!$D$2:$D$1201,DECKS!$A$2:$A$1201,INDEX(_LEITURA!$P$2:$P$21,10),DECKS!$B$2:$B$1201,$A383))</f>
        <v/>
      </c>
      <c r="U383" s="19" t="str">
        <f aca="false">IF(OR($A383="",INDEX(_LEITURA!$Q$2:$Q$21,11)=0),"",SUMIFS(DECKS!$D$2:$D$1201,DECKS!$A$2:$A$1201,INDEX(_LEITURA!$P$2:$P$21,11),DECKS!$B$2:$B$1201,$A383))</f>
        <v/>
      </c>
      <c r="V383" s="19" t="str">
        <f aca="false">IF(OR($A383="",INDEX(_LEITURA!$Q$2:$Q$21,12)=0),"",SUMIFS(DECKS!$D$2:$D$1201,DECKS!$A$2:$A$1201,INDEX(_LEITURA!$P$2:$P$21,12),DECKS!$B$2:$B$1201,$A383))</f>
        <v/>
      </c>
      <c r="W383" s="19" t="str">
        <f aca="false">IF(OR($A383="",INDEX(_LEITURA!$Q$2:$Q$21,13)=0),"",SUMIFS(DECKS!$D$2:$D$1201,DECKS!$A$2:$A$1201,INDEX(_LEITURA!$P$2:$P$21,13),DECKS!$B$2:$B$1201,$A383))</f>
        <v/>
      </c>
      <c r="X383" s="19" t="str">
        <f aca="false">IF(OR($A383="",INDEX(_LEITURA!$Q$2:$Q$21,14)=0),"",SUMIFS(DECKS!$D$2:$D$1201,DECKS!$A$2:$A$1201,INDEX(_LEITURA!$P$2:$P$21,14),DECKS!$B$2:$B$1201,$A383))</f>
        <v/>
      </c>
      <c r="Y383" s="19" t="str">
        <f aca="false">IF(OR($A383="",INDEX(_LEITURA!$Q$2:$Q$21,15)=0),"",SUMIFS(DECKS!$D$2:$D$1201,DECKS!$A$2:$A$1201,INDEX(_LEITURA!$P$2:$P$21,15),DECKS!$B$2:$B$1201,$A383))</f>
        <v/>
      </c>
      <c r="Z383" s="19" t="str">
        <f aca="false">IF(OR($A383="",INDEX(_LEITURA!$Q$2:$Q$21,16)=0),"",SUMIFS(DECKS!$D$2:$D$1201,DECKS!$A$2:$A$1201,INDEX(_LEITURA!$P$2:$P$21,16),DECKS!$B$2:$B$1201,$A383))</f>
        <v/>
      </c>
      <c r="AA383" s="19" t="str">
        <f aca="false">IF(OR($A383="",INDEX(_LEITURA!$Q$2:$Q$21,17)=0),"",SUMIFS(DECKS!$D$2:$D$1201,DECKS!$A$2:$A$1201,INDEX(_LEITURA!$P$2:$P$21,17),DECKS!$B$2:$B$1201,$A383))</f>
        <v/>
      </c>
      <c r="AB383" s="19" t="str">
        <f aca="false">IF(OR($A383="",INDEX(_LEITURA!$Q$2:$Q$21,18)=0),"",SUMIFS(DECKS!$D$2:$D$1201,DECKS!$A$2:$A$1201,INDEX(_LEITURA!$P$2:$P$21,18),DECKS!$B$2:$B$1201,$A383))</f>
        <v/>
      </c>
      <c r="AC383" s="19" t="str">
        <f aca="false">IF(OR($A383="",INDEX(_LEITURA!$Q$2:$Q$21,19)=0),"",SUMIFS(DECKS!$D$2:$D$1201,DECKS!$A$2:$A$1201,INDEX(_LEITURA!$P$2:$P$21,19),DECKS!$B$2:$B$1201,$A383))</f>
        <v/>
      </c>
      <c r="AD383" s="19" t="str">
        <f aca="false">IF(OR($A383="",INDEX(_LEITURA!$Q$2:$Q$21,20)=0),"",SUMIFS(DECKS!$D$2:$D$1201,DECKS!$A$2:$A$1201,INDEX(_LEITURA!$P$2:$P$21,20),DECKS!$B$2:$B$1201,$A383))</f>
        <v/>
      </c>
      <c r="AE383" s="16" t="str">
        <f aca="false">IF(N(E383)&gt;0,MAX(AE$1:AE382)+1,"")</f>
        <v/>
      </c>
      <c r="AF383" s="11" t="str">
        <f aca="false">IF(A383="","",IFERROR(LEFT(A383,FIND("-",A383)-1),A383))</f>
        <v/>
      </c>
      <c r="AG383" s="11" t="str">
        <f aca="false">IF(AF383="","",IF(ISNUMBER(--MID(AF383,1,1)),0,IF(ISNUMBER(--MID(AF383,2,1)),1,IF(ISNUMBER(--MID(AF383,3,1)),2,IF(ISNUMBER(--MID(AF383,4,1)),3,MIN(LEN(AF383),4))))))</f>
        <v/>
      </c>
      <c r="AH383" s="11" t="str">
        <f aca="false">IF(A383="","",LEFT(AF383,AG383)&amp;REPT("0",4-AG383)&amp;RIGHT("000"&amp;IFERROR(VALUE(MID(AF383,AG383+1,9)),0),3)&amp;RIGHT("0000"&amp;IFERROR(VALUE(MID(A383,FIND("-",A383)+1,9)),0),4))</f>
        <v/>
      </c>
      <c r="AI383" s="11" t="str">
        <f aca="false">IF(OR(A383="",N(E383)&lt;=0),"",IF('FALTAS GERAL'!$M$1="Código","K"&amp;AH383&amp;RIGHT("00000"&amp;ROW(),5),IF('FALTAS GERAL'!$M$1="Nome","K"&amp;UPPER(SUBSTITUTE(SUBSTITUTE(SUBSTITUTE(B383,"*",""),"?",""),"~",""))&amp;"0"&amp;AH383&amp;RIGHT("00000"&amp;ROW(),5),IF('FALTAS GERAL'!$M$1="Falta (maior primeiro)","K"&amp;RIGHT("0000"&amp;(9999-E383),4)&amp;AH383&amp;RIGHT("00000"&amp;ROW(),5),IF('FALTAS GERAL'!$M$1="Nº de decks (maior primeiro)","K"&amp;RIGHT("00"&amp;(99-N(G383)),2)&amp;AH383&amp;RIGHT("00000"&amp;ROW(),5),"K"&amp;RIGHT("00000"&amp;ROW(),5))))))</f>
        <v/>
      </c>
      <c r="AJ383" s="11" t="str">
        <f aca="false">IF(AI383="","",COUNTIFS($AI$2:$AI$801,"&lt;"&amp;AI383,$E$2:$E$801,"&gt;0")+1)</f>
        <v/>
      </c>
      <c r="AK383" s="11" t="str">
        <f aca="false">IF(OR(A383="",N(E383)&lt;=0),"",COUNTIFS($AH$2:$AH$801,"&lt;"&amp;AH383,$E$2:$E$801,"&gt;0")+COUNTIFS($AH$2:AH383,AH383,$E$2:E383,"&gt;0"))</f>
        <v/>
      </c>
    </row>
    <row r="384" customFormat="false" ht="15" hidden="false" customHeight="false" outlineLevel="0" collapsed="false">
      <c r="A384" s="11" t="str">
        <f aca="false">IF(INVENTÁRIO!A384="","",INVENTÁRIO!A384)</f>
        <v/>
      </c>
      <c r="B384" s="11" t="str">
        <f aca="false">IF(A384="","",INVENTÁRIO!B384)</f>
        <v/>
      </c>
      <c r="C384" s="16" t="str">
        <f aca="false">IF(A384="","",INVENTÁRIO!C384)</f>
        <v/>
      </c>
      <c r="D384" s="14" t="str">
        <f aca="false">IF(A384="","",MAX(K384:AD384))</f>
        <v/>
      </c>
      <c r="E384" s="14" t="str">
        <f aca="false">IF(A384="","",MAX(0,D384-C384))</f>
        <v/>
      </c>
      <c r="F384" s="16" t="str">
        <f aca="false">IF(A384="","",IF(D384=0,"Fora dos decks",IF(E384=0,"Completo","Falta")))</f>
        <v/>
      </c>
      <c r="G384" s="16" t="str">
        <f aca="false">IF(A384="","",COUNTIF(K384:AD384,"&gt;0"))</f>
        <v/>
      </c>
      <c r="H384" s="16" t="str">
        <f aca="false">IF(A384="","",IF(G384&gt;1,"Sim",""))</f>
        <v/>
      </c>
      <c r="I384" s="18" t="str">
        <f aca="false">IF(A384="","",SUMIFS(DECKS!$D$2:$D$1201,DECKS!$B$2:$B$1201,A384))</f>
        <v/>
      </c>
      <c r="J384" s="18" t="str">
        <f aca="false">IF(A384="","",MAX(0,I384-C384))</f>
        <v/>
      </c>
      <c r="K384" s="19" t="str">
        <f aca="false">IF(OR($A384="",INDEX(_LEITURA!$Q$2:$Q$21,1)=0),"",SUMIFS(DECKS!$D$2:$D$1201,DECKS!$A$2:$A$1201,INDEX(_LEITURA!$P$2:$P$21,1),DECKS!$B$2:$B$1201,$A384))</f>
        <v/>
      </c>
      <c r="L384" s="19" t="str">
        <f aca="false">IF(OR($A384="",INDEX(_LEITURA!$Q$2:$Q$21,2)=0),"",SUMIFS(DECKS!$D$2:$D$1201,DECKS!$A$2:$A$1201,INDEX(_LEITURA!$P$2:$P$21,2),DECKS!$B$2:$B$1201,$A384))</f>
        <v/>
      </c>
      <c r="M384" s="19" t="str">
        <f aca="false">IF(OR($A384="",INDEX(_LEITURA!$Q$2:$Q$21,3)=0),"",SUMIFS(DECKS!$D$2:$D$1201,DECKS!$A$2:$A$1201,INDEX(_LEITURA!$P$2:$P$21,3),DECKS!$B$2:$B$1201,$A384))</f>
        <v/>
      </c>
      <c r="N384" s="19" t="str">
        <f aca="false">IF(OR($A384="",INDEX(_LEITURA!$Q$2:$Q$21,4)=0),"",SUMIFS(DECKS!$D$2:$D$1201,DECKS!$A$2:$A$1201,INDEX(_LEITURA!$P$2:$P$21,4),DECKS!$B$2:$B$1201,$A384))</f>
        <v/>
      </c>
      <c r="O384" s="19" t="str">
        <f aca="false">IF(OR($A384="",INDEX(_LEITURA!$Q$2:$Q$21,5)=0),"",SUMIFS(DECKS!$D$2:$D$1201,DECKS!$A$2:$A$1201,INDEX(_LEITURA!$P$2:$P$21,5),DECKS!$B$2:$B$1201,$A384))</f>
        <v/>
      </c>
      <c r="P384" s="19" t="str">
        <f aca="false">IF(OR($A384="",INDEX(_LEITURA!$Q$2:$Q$21,6)=0),"",SUMIFS(DECKS!$D$2:$D$1201,DECKS!$A$2:$A$1201,INDEX(_LEITURA!$P$2:$P$21,6),DECKS!$B$2:$B$1201,$A384))</f>
        <v/>
      </c>
      <c r="Q384" s="19" t="str">
        <f aca="false">IF(OR($A384="",INDEX(_LEITURA!$Q$2:$Q$21,7)=0),"",SUMIFS(DECKS!$D$2:$D$1201,DECKS!$A$2:$A$1201,INDEX(_LEITURA!$P$2:$P$21,7),DECKS!$B$2:$B$1201,$A384))</f>
        <v/>
      </c>
      <c r="R384" s="19" t="str">
        <f aca="false">IF(OR($A384="",INDEX(_LEITURA!$Q$2:$Q$21,8)=0),"",SUMIFS(DECKS!$D$2:$D$1201,DECKS!$A$2:$A$1201,INDEX(_LEITURA!$P$2:$P$21,8),DECKS!$B$2:$B$1201,$A384))</f>
        <v/>
      </c>
      <c r="S384" s="19" t="str">
        <f aca="false">IF(OR($A384="",INDEX(_LEITURA!$Q$2:$Q$21,9)=0),"",SUMIFS(DECKS!$D$2:$D$1201,DECKS!$A$2:$A$1201,INDEX(_LEITURA!$P$2:$P$21,9),DECKS!$B$2:$B$1201,$A384))</f>
        <v/>
      </c>
      <c r="T384" s="19" t="str">
        <f aca="false">IF(OR($A384="",INDEX(_LEITURA!$Q$2:$Q$21,10)=0),"",SUMIFS(DECKS!$D$2:$D$1201,DECKS!$A$2:$A$1201,INDEX(_LEITURA!$P$2:$P$21,10),DECKS!$B$2:$B$1201,$A384))</f>
        <v/>
      </c>
      <c r="U384" s="19" t="str">
        <f aca="false">IF(OR($A384="",INDEX(_LEITURA!$Q$2:$Q$21,11)=0),"",SUMIFS(DECKS!$D$2:$D$1201,DECKS!$A$2:$A$1201,INDEX(_LEITURA!$P$2:$P$21,11),DECKS!$B$2:$B$1201,$A384))</f>
        <v/>
      </c>
      <c r="V384" s="19" t="str">
        <f aca="false">IF(OR($A384="",INDEX(_LEITURA!$Q$2:$Q$21,12)=0),"",SUMIFS(DECKS!$D$2:$D$1201,DECKS!$A$2:$A$1201,INDEX(_LEITURA!$P$2:$P$21,12),DECKS!$B$2:$B$1201,$A384))</f>
        <v/>
      </c>
      <c r="W384" s="19" t="str">
        <f aca="false">IF(OR($A384="",INDEX(_LEITURA!$Q$2:$Q$21,13)=0),"",SUMIFS(DECKS!$D$2:$D$1201,DECKS!$A$2:$A$1201,INDEX(_LEITURA!$P$2:$P$21,13),DECKS!$B$2:$B$1201,$A384))</f>
        <v/>
      </c>
      <c r="X384" s="19" t="str">
        <f aca="false">IF(OR($A384="",INDEX(_LEITURA!$Q$2:$Q$21,14)=0),"",SUMIFS(DECKS!$D$2:$D$1201,DECKS!$A$2:$A$1201,INDEX(_LEITURA!$P$2:$P$21,14),DECKS!$B$2:$B$1201,$A384))</f>
        <v/>
      </c>
      <c r="Y384" s="19" t="str">
        <f aca="false">IF(OR($A384="",INDEX(_LEITURA!$Q$2:$Q$21,15)=0),"",SUMIFS(DECKS!$D$2:$D$1201,DECKS!$A$2:$A$1201,INDEX(_LEITURA!$P$2:$P$21,15),DECKS!$B$2:$B$1201,$A384))</f>
        <v/>
      </c>
      <c r="Z384" s="19" t="str">
        <f aca="false">IF(OR($A384="",INDEX(_LEITURA!$Q$2:$Q$21,16)=0),"",SUMIFS(DECKS!$D$2:$D$1201,DECKS!$A$2:$A$1201,INDEX(_LEITURA!$P$2:$P$21,16),DECKS!$B$2:$B$1201,$A384))</f>
        <v/>
      </c>
      <c r="AA384" s="19" t="str">
        <f aca="false">IF(OR($A384="",INDEX(_LEITURA!$Q$2:$Q$21,17)=0),"",SUMIFS(DECKS!$D$2:$D$1201,DECKS!$A$2:$A$1201,INDEX(_LEITURA!$P$2:$P$21,17),DECKS!$B$2:$B$1201,$A384))</f>
        <v/>
      </c>
      <c r="AB384" s="19" t="str">
        <f aca="false">IF(OR($A384="",INDEX(_LEITURA!$Q$2:$Q$21,18)=0),"",SUMIFS(DECKS!$D$2:$D$1201,DECKS!$A$2:$A$1201,INDEX(_LEITURA!$P$2:$P$21,18),DECKS!$B$2:$B$1201,$A384))</f>
        <v/>
      </c>
      <c r="AC384" s="19" t="str">
        <f aca="false">IF(OR($A384="",INDEX(_LEITURA!$Q$2:$Q$21,19)=0),"",SUMIFS(DECKS!$D$2:$D$1201,DECKS!$A$2:$A$1201,INDEX(_LEITURA!$P$2:$P$21,19),DECKS!$B$2:$B$1201,$A384))</f>
        <v/>
      </c>
      <c r="AD384" s="19" t="str">
        <f aca="false">IF(OR($A384="",INDEX(_LEITURA!$Q$2:$Q$21,20)=0),"",SUMIFS(DECKS!$D$2:$D$1201,DECKS!$A$2:$A$1201,INDEX(_LEITURA!$P$2:$P$21,20),DECKS!$B$2:$B$1201,$A384))</f>
        <v/>
      </c>
      <c r="AE384" s="16" t="str">
        <f aca="false">IF(N(E384)&gt;0,MAX(AE$1:AE383)+1,"")</f>
        <v/>
      </c>
      <c r="AF384" s="11" t="str">
        <f aca="false">IF(A384="","",IFERROR(LEFT(A384,FIND("-",A384)-1),A384))</f>
        <v/>
      </c>
      <c r="AG384" s="11" t="str">
        <f aca="false">IF(AF384="","",IF(ISNUMBER(--MID(AF384,1,1)),0,IF(ISNUMBER(--MID(AF384,2,1)),1,IF(ISNUMBER(--MID(AF384,3,1)),2,IF(ISNUMBER(--MID(AF384,4,1)),3,MIN(LEN(AF384),4))))))</f>
        <v/>
      </c>
      <c r="AH384" s="11" t="str">
        <f aca="false">IF(A384="","",LEFT(AF384,AG384)&amp;REPT("0",4-AG384)&amp;RIGHT("000"&amp;IFERROR(VALUE(MID(AF384,AG384+1,9)),0),3)&amp;RIGHT("0000"&amp;IFERROR(VALUE(MID(A384,FIND("-",A384)+1,9)),0),4))</f>
        <v/>
      </c>
      <c r="AI384" s="11" t="str">
        <f aca="false">IF(OR(A384="",N(E384)&lt;=0),"",IF('FALTAS GERAL'!$M$1="Código","K"&amp;AH384&amp;RIGHT("00000"&amp;ROW(),5),IF('FALTAS GERAL'!$M$1="Nome","K"&amp;UPPER(SUBSTITUTE(SUBSTITUTE(SUBSTITUTE(B384,"*",""),"?",""),"~",""))&amp;"0"&amp;AH384&amp;RIGHT("00000"&amp;ROW(),5),IF('FALTAS GERAL'!$M$1="Falta (maior primeiro)","K"&amp;RIGHT("0000"&amp;(9999-E384),4)&amp;AH384&amp;RIGHT("00000"&amp;ROW(),5),IF('FALTAS GERAL'!$M$1="Nº de decks (maior primeiro)","K"&amp;RIGHT("00"&amp;(99-N(G384)),2)&amp;AH384&amp;RIGHT("00000"&amp;ROW(),5),"K"&amp;RIGHT("00000"&amp;ROW(),5))))))</f>
        <v/>
      </c>
      <c r="AJ384" s="11" t="str">
        <f aca="false">IF(AI384="","",COUNTIFS($AI$2:$AI$801,"&lt;"&amp;AI384,$E$2:$E$801,"&gt;0")+1)</f>
        <v/>
      </c>
      <c r="AK384" s="11" t="str">
        <f aca="false">IF(OR(A384="",N(E384)&lt;=0),"",COUNTIFS($AH$2:$AH$801,"&lt;"&amp;AH384,$E$2:$E$801,"&gt;0")+COUNTIFS($AH$2:AH384,AH384,$E$2:E384,"&gt;0"))</f>
        <v/>
      </c>
    </row>
    <row r="385" customFormat="false" ht="15" hidden="false" customHeight="false" outlineLevel="0" collapsed="false">
      <c r="A385" s="11" t="str">
        <f aca="false">IF(INVENTÁRIO!A385="","",INVENTÁRIO!A385)</f>
        <v/>
      </c>
      <c r="B385" s="11" t="str">
        <f aca="false">IF(A385="","",INVENTÁRIO!B385)</f>
        <v/>
      </c>
      <c r="C385" s="16" t="str">
        <f aca="false">IF(A385="","",INVENTÁRIO!C385)</f>
        <v/>
      </c>
      <c r="D385" s="14" t="str">
        <f aca="false">IF(A385="","",MAX(K385:AD385))</f>
        <v/>
      </c>
      <c r="E385" s="14" t="str">
        <f aca="false">IF(A385="","",MAX(0,D385-C385))</f>
        <v/>
      </c>
      <c r="F385" s="16" t="str">
        <f aca="false">IF(A385="","",IF(D385=0,"Fora dos decks",IF(E385=0,"Completo","Falta")))</f>
        <v/>
      </c>
      <c r="G385" s="16" t="str">
        <f aca="false">IF(A385="","",COUNTIF(K385:AD385,"&gt;0"))</f>
        <v/>
      </c>
      <c r="H385" s="16" t="str">
        <f aca="false">IF(A385="","",IF(G385&gt;1,"Sim",""))</f>
        <v/>
      </c>
      <c r="I385" s="18" t="str">
        <f aca="false">IF(A385="","",SUMIFS(DECKS!$D$2:$D$1201,DECKS!$B$2:$B$1201,A385))</f>
        <v/>
      </c>
      <c r="J385" s="18" t="str">
        <f aca="false">IF(A385="","",MAX(0,I385-C385))</f>
        <v/>
      </c>
      <c r="K385" s="19" t="str">
        <f aca="false">IF(OR($A385="",INDEX(_LEITURA!$Q$2:$Q$21,1)=0),"",SUMIFS(DECKS!$D$2:$D$1201,DECKS!$A$2:$A$1201,INDEX(_LEITURA!$P$2:$P$21,1),DECKS!$B$2:$B$1201,$A385))</f>
        <v/>
      </c>
      <c r="L385" s="19" t="str">
        <f aca="false">IF(OR($A385="",INDEX(_LEITURA!$Q$2:$Q$21,2)=0),"",SUMIFS(DECKS!$D$2:$D$1201,DECKS!$A$2:$A$1201,INDEX(_LEITURA!$P$2:$P$21,2),DECKS!$B$2:$B$1201,$A385))</f>
        <v/>
      </c>
      <c r="M385" s="19" t="str">
        <f aca="false">IF(OR($A385="",INDEX(_LEITURA!$Q$2:$Q$21,3)=0),"",SUMIFS(DECKS!$D$2:$D$1201,DECKS!$A$2:$A$1201,INDEX(_LEITURA!$P$2:$P$21,3),DECKS!$B$2:$B$1201,$A385))</f>
        <v/>
      </c>
      <c r="N385" s="19" t="str">
        <f aca="false">IF(OR($A385="",INDEX(_LEITURA!$Q$2:$Q$21,4)=0),"",SUMIFS(DECKS!$D$2:$D$1201,DECKS!$A$2:$A$1201,INDEX(_LEITURA!$P$2:$P$21,4),DECKS!$B$2:$B$1201,$A385))</f>
        <v/>
      </c>
      <c r="O385" s="19" t="str">
        <f aca="false">IF(OR($A385="",INDEX(_LEITURA!$Q$2:$Q$21,5)=0),"",SUMIFS(DECKS!$D$2:$D$1201,DECKS!$A$2:$A$1201,INDEX(_LEITURA!$P$2:$P$21,5),DECKS!$B$2:$B$1201,$A385))</f>
        <v/>
      </c>
      <c r="P385" s="19" t="str">
        <f aca="false">IF(OR($A385="",INDEX(_LEITURA!$Q$2:$Q$21,6)=0),"",SUMIFS(DECKS!$D$2:$D$1201,DECKS!$A$2:$A$1201,INDEX(_LEITURA!$P$2:$P$21,6),DECKS!$B$2:$B$1201,$A385))</f>
        <v/>
      </c>
      <c r="Q385" s="19" t="str">
        <f aca="false">IF(OR($A385="",INDEX(_LEITURA!$Q$2:$Q$21,7)=0),"",SUMIFS(DECKS!$D$2:$D$1201,DECKS!$A$2:$A$1201,INDEX(_LEITURA!$P$2:$P$21,7),DECKS!$B$2:$B$1201,$A385))</f>
        <v/>
      </c>
      <c r="R385" s="19" t="str">
        <f aca="false">IF(OR($A385="",INDEX(_LEITURA!$Q$2:$Q$21,8)=0),"",SUMIFS(DECKS!$D$2:$D$1201,DECKS!$A$2:$A$1201,INDEX(_LEITURA!$P$2:$P$21,8),DECKS!$B$2:$B$1201,$A385))</f>
        <v/>
      </c>
      <c r="S385" s="19" t="str">
        <f aca="false">IF(OR($A385="",INDEX(_LEITURA!$Q$2:$Q$21,9)=0),"",SUMIFS(DECKS!$D$2:$D$1201,DECKS!$A$2:$A$1201,INDEX(_LEITURA!$P$2:$P$21,9),DECKS!$B$2:$B$1201,$A385))</f>
        <v/>
      </c>
      <c r="T385" s="19" t="str">
        <f aca="false">IF(OR($A385="",INDEX(_LEITURA!$Q$2:$Q$21,10)=0),"",SUMIFS(DECKS!$D$2:$D$1201,DECKS!$A$2:$A$1201,INDEX(_LEITURA!$P$2:$P$21,10),DECKS!$B$2:$B$1201,$A385))</f>
        <v/>
      </c>
      <c r="U385" s="19" t="str">
        <f aca="false">IF(OR($A385="",INDEX(_LEITURA!$Q$2:$Q$21,11)=0),"",SUMIFS(DECKS!$D$2:$D$1201,DECKS!$A$2:$A$1201,INDEX(_LEITURA!$P$2:$P$21,11),DECKS!$B$2:$B$1201,$A385))</f>
        <v/>
      </c>
      <c r="V385" s="19" t="str">
        <f aca="false">IF(OR($A385="",INDEX(_LEITURA!$Q$2:$Q$21,12)=0),"",SUMIFS(DECKS!$D$2:$D$1201,DECKS!$A$2:$A$1201,INDEX(_LEITURA!$P$2:$P$21,12),DECKS!$B$2:$B$1201,$A385))</f>
        <v/>
      </c>
      <c r="W385" s="19" t="str">
        <f aca="false">IF(OR($A385="",INDEX(_LEITURA!$Q$2:$Q$21,13)=0),"",SUMIFS(DECKS!$D$2:$D$1201,DECKS!$A$2:$A$1201,INDEX(_LEITURA!$P$2:$P$21,13),DECKS!$B$2:$B$1201,$A385))</f>
        <v/>
      </c>
      <c r="X385" s="19" t="str">
        <f aca="false">IF(OR($A385="",INDEX(_LEITURA!$Q$2:$Q$21,14)=0),"",SUMIFS(DECKS!$D$2:$D$1201,DECKS!$A$2:$A$1201,INDEX(_LEITURA!$P$2:$P$21,14),DECKS!$B$2:$B$1201,$A385))</f>
        <v/>
      </c>
      <c r="Y385" s="19" t="str">
        <f aca="false">IF(OR($A385="",INDEX(_LEITURA!$Q$2:$Q$21,15)=0),"",SUMIFS(DECKS!$D$2:$D$1201,DECKS!$A$2:$A$1201,INDEX(_LEITURA!$P$2:$P$21,15),DECKS!$B$2:$B$1201,$A385))</f>
        <v/>
      </c>
      <c r="Z385" s="19" t="str">
        <f aca="false">IF(OR($A385="",INDEX(_LEITURA!$Q$2:$Q$21,16)=0),"",SUMIFS(DECKS!$D$2:$D$1201,DECKS!$A$2:$A$1201,INDEX(_LEITURA!$P$2:$P$21,16),DECKS!$B$2:$B$1201,$A385))</f>
        <v/>
      </c>
      <c r="AA385" s="19" t="str">
        <f aca="false">IF(OR($A385="",INDEX(_LEITURA!$Q$2:$Q$21,17)=0),"",SUMIFS(DECKS!$D$2:$D$1201,DECKS!$A$2:$A$1201,INDEX(_LEITURA!$P$2:$P$21,17),DECKS!$B$2:$B$1201,$A385))</f>
        <v/>
      </c>
      <c r="AB385" s="19" t="str">
        <f aca="false">IF(OR($A385="",INDEX(_LEITURA!$Q$2:$Q$21,18)=0),"",SUMIFS(DECKS!$D$2:$D$1201,DECKS!$A$2:$A$1201,INDEX(_LEITURA!$P$2:$P$21,18),DECKS!$B$2:$B$1201,$A385))</f>
        <v/>
      </c>
      <c r="AC385" s="19" t="str">
        <f aca="false">IF(OR($A385="",INDEX(_LEITURA!$Q$2:$Q$21,19)=0),"",SUMIFS(DECKS!$D$2:$D$1201,DECKS!$A$2:$A$1201,INDEX(_LEITURA!$P$2:$P$21,19),DECKS!$B$2:$B$1201,$A385))</f>
        <v/>
      </c>
      <c r="AD385" s="19" t="str">
        <f aca="false">IF(OR($A385="",INDEX(_LEITURA!$Q$2:$Q$21,20)=0),"",SUMIFS(DECKS!$D$2:$D$1201,DECKS!$A$2:$A$1201,INDEX(_LEITURA!$P$2:$P$21,20),DECKS!$B$2:$B$1201,$A385))</f>
        <v/>
      </c>
      <c r="AE385" s="16" t="str">
        <f aca="false">IF(N(E385)&gt;0,MAX(AE$1:AE384)+1,"")</f>
        <v/>
      </c>
      <c r="AF385" s="11" t="str">
        <f aca="false">IF(A385="","",IFERROR(LEFT(A385,FIND("-",A385)-1),A385))</f>
        <v/>
      </c>
      <c r="AG385" s="11" t="str">
        <f aca="false">IF(AF385="","",IF(ISNUMBER(--MID(AF385,1,1)),0,IF(ISNUMBER(--MID(AF385,2,1)),1,IF(ISNUMBER(--MID(AF385,3,1)),2,IF(ISNUMBER(--MID(AF385,4,1)),3,MIN(LEN(AF385),4))))))</f>
        <v/>
      </c>
      <c r="AH385" s="11" t="str">
        <f aca="false">IF(A385="","",LEFT(AF385,AG385)&amp;REPT("0",4-AG385)&amp;RIGHT("000"&amp;IFERROR(VALUE(MID(AF385,AG385+1,9)),0),3)&amp;RIGHT("0000"&amp;IFERROR(VALUE(MID(A385,FIND("-",A385)+1,9)),0),4))</f>
        <v/>
      </c>
      <c r="AI385" s="11" t="str">
        <f aca="false">IF(OR(A385="",N(E385)&lt;=0),"",IF('FALTAS GERAL'!$M$1="Código","K"&amp;AH385&amp;RIGHT("00000"&amp;ROW(),5),IF('FALTAS GERAL'!$M$1="Nome","K"&amp;UPPER(SUBSTITUTE(SUBSTITUTE(SUBSTITUTE(B385,"*",""),"?",""),"~",""))&amp;"0"&amp;AH385&amp;RIGHT("00000"&amp;ROW(),5),IF('FALTAS GERAL'!$M$1="Falta (maior primeiro)","K"&amp;RIGHT("0000"&amp;(9999-E385),4)&amp;AH385&amp;RIGHT("00000"&amp;ROW(),5),IF('FALTAS GERAL'!$M$1="Nº de decks (maior primeiro)","K"&amp;RIGHT("00"&amp;(99-N(G385)),2)&amp;AH385&amp;RIGHT("00000"&amp;ROW(),5),"K"&amp;RIGHT("00000"&amp;ROW(),5))))))</f>
        <v/>
      </c>
      <c r="AJ385" s="11" t="str">
        <f aca="false">IF(AI385="","",COUNTIFS($AI$2:$AI$801,"&lt;"&amp;AI385,$E$2:$E$801,"&gt;0")+1)</f>
        <v/>
      </c>
      <c r="AK385" s="11" t="str">
        <f aca="false">IF(OR(A385="",N(E385)&lt;=0),"",COUNTIFS($AH$2:$AH$801,"&lt;"&amp;AH385,$E$2:$E$801,"&gt;0")+COUNTIFS($AH$2:AH385,AH385,$E$2:E385,"&gt;0"))</f>
        <v/>
      </c>
    </row>
    <row r="386" customFormat="false" ht="15" hidden="false" customHeight="false" outlineLevel="0" collapsed="false">
      <c r="A386" s="11" t="str">
        <f aca="false">IF(INVENTÁRIO!A386="","",INVENTÁRIO!A386)</f>
        <v/>
      </c>
      <c r="B386" s="11" t="str">
        <f aca="false">IF(A386="","",INVENTÁRIO!B386)</f>
        <v/>
      </c>
      <c r="C386" s="16" t="str">
        <f aca="false">IF(A386="","",INVENTÁRIO!C386)</f>
        <v/>
      </c>
      <c r="D386" s="14" t="str">
        <f aca="false">IF(A386="","",MAX(K386:AD386))</f>
        <v/>
      </c>
      <c r="E386" s="14" t="str">
        <f aca="false">IF(A386="","",MAX(0,D386-C386))</f>
        <v/>
      </c>
      <c r="F386" s="16" t="str">
        <f aca="false">IF(A386="","",IF(D386=0,"Fora dos decks",IF(E386=0,"Completo","Falta")))</f>
        <v/>
      </c>
      <c r="G386" s="16" t="str">
        <f aca="false">IF(A386="","",COUNTIF(K386:AD386,"&gt;0"))</f>
        <v/>
      </c>
      <c r="H386" s="16" t="str">
        <f aca="false">IF(A386="","",IF(G386&gt;1,"Sim",""))</f>
        <v/>
      </c>
      <c r="I386" s="18" t="str">
        <f aca="false">IF(A386="","",SUMIFS(DECKS!$D$2:$D$1201,DECKS!$B$2:$B$1201,A386))</f>
        <v/>
      </c>
      <c r="J386" s="18" t="str">
        <f aca="false">IF(A386="","",MAX(0,I386-C386))</f>
        <v/>
      </c>
      <c r="K386" s="19" t="str">
        <f aca="false">IF(OR($A386="",INDEX(_LEITURA!$Q$2:$Q$21,1)=0),"",SUMIFS(DECKS!$D$2:$D$1201,DECKS!$A$2:$A$1201,INDEX(_LEITURA!$P$2:$P$21,1),DECKS!$B$2:$B$1201,$A386))</f>
        <v/>
      </c>
      <c r="L386" s="19" t="str">
        <f aca="false">IF(OR($A386="",INDEX(_LEITURA!$Q$2:$Q$21,2)=0),"",SUMIFS(DECKS!$D$2:$D$1201,DECKS!$A$2:$A$1201,INDEX(_LEITURA!$P$2:$P$21,2),DECKS!$B$2:$B$1201,$A386))</f>
        <v/>
      </c>
      <c r="M386" s="19" t="str">
        <f aca="false">IF(OR($A386="",INDEX(_LEITURA!$Q$2:$Q$21,3)=0),"",SUMIFS(DECKS!$D$2:$D$1201,DECKS!$A$2:$A$1201,INDEX(_LEITURA!$P$2:$P$21,3),DECKS!$B$2:$B$1201,$A386))</f>
        <v/>
      </c>
      <c r="N386" s="19" t="str">
        <f aca="false">IF(OR($A386="",INDEX(_LEITURA!$Q$2:$Q$21,4)=0),"",SUMIFS(DECKS!$D$2:$D$1201,DECKS!$A$2:$A$1201,INDEX(_LEITURA!$P$2:$P$21,4),DECKS!$B$2:$B$1201,$A386))</f>
        <v/>
      </c>
      <c r="O386" s="19" t="str">
        <f aca="false">IF(OR($A386="",INDEX(_LEITURA!$Q$2:$Q$21,5)=0),"",SUMIFS(DECKS!$D$2:$D$1201,DECKS!$A$2:$A$1201,INDEX(_LEITURA!$P$2:$P$21,5),DECKS!$B$2:$B$1201,$A386))</f>
        <v/>
      </c>
      <c r="P386" s="19" t="str">
        <f aca="false">IF(OR($A386="",INDEX(_LEITURA!$Q$2:$Q$21,6)=0),"",SUMIFS(DECKS!$D$2:$D$1201,DECKS!$A$2:$A$1201,INDEX(_LEITURA!$P$2:$P$21,6),DECKS!$B$2:$B$1201,$A386))</f>
        <v/>
      </c>
      <c r="Q386" s="19" t="str">
        <f aca="false">IF(OR($A386="",INDEX(_LEITURA!$Q$2:$Q$21,7)=0),"",SUMIFS(DECKS!$D$2:$D$1201,DECKS!$A$2:$A$1201,INDEX(_LEITURA!$P$2:$P$21,7),DECKS!$B$2:$B$1201,$A386))</f>
        <v/>
      </c>
      <c r="R386" s="19" t="str">
        <f aca="false">IF(OR($A386="",INDEX(_LEITURA!$Q$2:$Q$21,8)=0),"",SUMIFS(DECKS!$D$2:$D$1201,DECKS!$A$2:$A$1201,INDEX(_LEITURA!$P$2:$P$21,8),DECKS!$B$2:$B$1201,$A386))</f>
        <v/>
      </c>
      <c r="S386" s="19" t="str">
        <f aca="false">IF(OR($A386="",INDEX(_LEITURA!$Q$2:$Q$21,9)=0),"",SUMIFS(DECKS!$D$2:$D$1201,DECKS!$A$2:$A$1201,INDEX(_LEITURA!$P$2:$P$21,9),DECKS!$B$2:$B$1201,$A386))</f>
        <v/>
      </c>
      <c r="T386" s="19" t="str">
        <f aca="false">IF(OR($A386="",INDEX(_LEITURA!$Q$2:$Q$21,10)=0),"",SUMIFS(DECKS!$D$2:$D$1201,DECKS!$A$2:$A$1201,INDEX(_LEITURA!$P$2:$P$21,10),DECKS!$B$2:$B$1201,$A386))</f>
        <v/>
      </c>
      <c r="U386" s="19" t="str">
        <f aca="false">IF(OR($A386="",INDEX(_LEITURA!$Q$2:$Q$21,11)=0),"",SUMIFS(DECKS!$D$2:$D$1201,DECKS!$A$2:$A$1201,INDEX(_LEITURA!$P$2:$P$21,11),DECKS!$B$2:$B$1201,$A386))</f>
        <v/>
      </c>
      <c r="V386" s="19" t="str">
        <f aca="false">IF(OR($A386="",INDEX(_LEITURA!$Q$2:$Q$21,12)=0),"",SUMIFS(DECKS!$D$2:$D$1201,DECKS!$A$2:$A$1201,INDEX(_LEITURA!$P$2:$P$21,12),DECKS!$B$2:$B$1201,$A386))</f>
        <v/>
      </c>
      <c r="W386" s="19" t="str">
        <f aca="false">IF(OR($A386="",INDEX(_LEITURA!$Q$2:$Q$21,13)=0),"",SUMIFS(DECKS!$D$2:$D$1201,DECKS!$A$2:$A$1201,INDEX(_LEITURA!$P$2:$P$21,13),DECKS!$B$2:$B$1201,$A386))</f>
        <v/>
      </c>
      <c r="X386" s="19" t="str">
        <f aca="false">IF(OR($A386="",INDEX(_LEITURA!$Q$2:$Q$21,14)=0),"",SUMIFS(DECKS!$D$2:$D$1201,DECKS!$A$2:$A$1201,INDEX(_LEITURA!$P$2:$P$21,14),DECKS!$B$2:$B$1201,$A386))</f>
        <v/>
      </c>
      <c r="Y386" s="19" t="str">
        <f aca="false">IF(OR($A386="",INDEX(_LEITURA!$Q$2:$Q$21,15)=0),"",SUMIFS(DECKS!$D$2:$D$1201,DECKS!$A$2:$A$1201,INDEX(_LEITURA!$P$2:$P$21,15),DECKS!$B$2:$B$1201,$A386))</f>
        <v/>
      </c>
      <c r="Z386" s="19" t="str">
        <f aca="false">IF(OR($A386="",INDEX(_LEITURA!$Q$2:$Q$21,16)=0),"",SUMIFS(DECKS!$D$2:$D$1201,DECKS!$A$2:$A$1201,INDEX(_LEITURA!$P$2:$P$21,16),DECKS!$B$2:$B$1201,$A386))</f>
        <v/>
      </c>
      <c r="AA386" s="19" t="str">
        <f aca="false">IF(OR($A386="",INDEX(_LEITURA!$Q$2:$Q$21,17)=0),"",SUMIFS(DECKS!$D$2:$D$1201,DECKS!$A$2:$A$1201,INDEX(_LEITURA!$P$2:$P$21,17),DECKS!$B$2:$B$1201,$A386))</f>
        <v/>
      </c>
      <c r="AB386" s="19" t="str">
        <f aca="false">IF(OR($A386="",INDEX(_LEITURA!$Q$2:$Q$21,18)=0),"",SUMIFS(DECKS!$D$2:$D$1201,DECKS!$A$2:$A$1201,INDEX(_LEITURA!$P$2:$P$21,18),DECKS!$B$2:$B$1201,$A386))</f>
        <v/>
      </c>
      <c r="AC386" s="19" t="str">
        <f aca="false">IF(OR($A386="",INDEX(_LEITURA!$Q$2:$Q$21,19)=0),"",SUMIFS(DECKS!$D$2:$D$1201,DECKS!$A$2:$A$1201,INDEX(_LEITURA!$P$2:$P$21,19),DECKS!$B$2:$B$1201,$A386))</f>
        <v/>
      </c>
      <c r="AD386" s="19" t="str">
        <f aca="false">IF(OR($A386="",INDEX(_LEITURA!$Q$2:$Q$21,20)=0),"",SUMIFS(DECKS!$D$2:$D$1201,DECKS!$A$2:$A$1201,INDEX(_LEITURA!$P$2:$P$21,20),DECKS!$B$2:$B$1201,$A386))</f>
        <v/>
      </c>
      <c r="AE386" s="16" t="str">
        <f aca="false">IF(N(E386)&gt;0,MAX(AE$1:AE385)+1,"")</f>
        <v/>
      </c>
      <c r="AF386" s="11" t="str">
        <f aca="false">IF(A386="","",IFERROR(LEFT(A386,FIND("-",A386)-1),A386))</f>
        <v/>
      </c>
      <c r="AG386" s="11" t="str">
        <f aca="false">IF(AF386="","",IF(ISNUMBER(--MID(AF386,1,1)),0,IF(ISNUMBER(--MID(AF386,2,1)),1,IF(ISNUMBER(--MID(AF386,3,1)),2,IF(ISNUMBER(--MID(AF386,4,1)),3,MIN(LEN(AF386),4))))))</f>
        <v/>
      </c>
      <c r="AH386" s="11" t="str">
        <f aca="false">IF(A386="","",LEFT(AF386,AG386)&amp;REPT("0",4-AG386)&amp;RIGHT("000"&amp;IFERROR(VALUE(MID(AF386,AG386+1,9)),0),3)&amp;RIGHT("0000"&amp;IFERROR(VALUE(MID(A386,FIND("-",A386)+1,9)),0),4))</f>
        <v/>
      </c>
      <c r="AI386" s="11" t="str">
        <f aca="false">IF(OR(A386="",N(E386)&lt;=0),"",IF('FALTAS GERAL'!$M$1="Código","K"&amp;AH386&amp;RIGHT("00000"&amp;ROW(),5),IF('FALTAS GERAL'!$M$1="Nome","K"&amp;UPPER(SUBSTITUTE(SUBSTITUTE(SUBSTITUTE(B386,"*",""),"?",""),"~",""))&amp;"0"&amp;AH386&amp;RIGHT("00000"&amp;ROW(),5),IF('FALTAS GERAL'!$M$1="Falta (maior primeiro)","K"&amp;RIGHT("0000"&amp;(9999-E386),4)&amp;AH386&amp;RIGHT("00000"&amp;ROW(),5),IF('FALTAS GERAL'!$M$1="Nº de decks (maior primeiro)","K"&amp;RIGHT("00"&amp;(99-N(G386)),2)&amp;AH386&amp;RIGHT("00000"&amp;ROW(),5),"K"&amp;RIGHT("00000"&amp;ROW(),5))))))</f>
        <v/>
      </c>
      <c r="AJ386" s="11" t="str">
        <f aca="false">IF(AI386="","",COUNTIFS($AI$2:$AI$801,"&lt;"&amp;AI386,$E$2:$E$801,"&gt;0")+1)</f>
        <v/>
      </c>
      <c r="AK386" s="11" t="str">
        <f aca="false">IF(OR(A386="",N(E386)&lt;=0),"",COUNTIFS($AH$2:$AH$801,"&lt;"&amp;AH386,$E$2:$E$801,"&gt;0")+COUNTIFS($AH$2:AH386,AH386,$E$2:E386,"&gt;0"))</f>
        <v/>
      </c>
    </row>
    <row r="387" customFormat="false" ht="15" hidden="false" customHeight="false" outlineLevel="0" collapsed="false">
      <c r="A387" s="11" t="str">
        <f aca="false">IF(INVENTÁRIO!A387="","",INVENTÁRIO!A387)</f>
        <v/>
      </c>
      <c r="B387" s="11" t="str">
        <f aca="false">IF(A387="","",INVENTÁRIO!B387)</f>
        <v/>
      </c>
      <c r="C387" s="16" t="str">
        <f aca="false">IF(A387="","",INVENTÁRIO!C387)</f>
        <v/>
      </c>
      <c r="D387" s="14" t="str">
        <f aca="false">IF(A387="","",MAX(K387:AD387))</f>
        <v/>
      </c>
      <c r="E387" s="14" t="str">
        <f aca="false">IF(A387="","",MAX(0,D387-C387))</f>
        <v/>
      </c>
      <c r="F387" s="16" t="str">
        <f aca="false">IF(A387="","",IF(D387=0,"Fora dos decks",IF(E387=0,"Completo","Falta")))</f>
        <v/>
      </c>
      <c r="G387" s="16" t="str">
        <f aca="false">IF(A387="","",COUNTIF(K387:AD387,"&gt;0"))</f>
        <v/>
      </c>
      <c r="H387" s="16" t="str">
        <f aca="false">IF(A387="","",IF(G387&gt;1,"Sim",""))</f>
        <v/>
      </c>
      <c r="I387" s="18" t="str">
        <f aca="false">IF(A387="","",SUMIFS(DECKS!$D$2:$D$1201,DECKS!$B$2:$B$1201,A387))</f>
        <v/>
      </c>
      <c r="J387" s="18" t="str">
        <f aca="false">IF(A387="","",MAX(0,I387-C387))</f>
        <v/>
      </c>
      <c r="K387" s="19" t="str">
        <f aca="false">IF(OR($A387="",INDEX(_LEITURA!$Q$2:$Q$21,1)=0),"",SUMIFS(DECKS!$D$2:$D$1201,DECKS!$A$2:$A$1201,INDEX(_LEITURA!$P$2:$P$21,1),DECKS!$B$2:$B$1201,$A387))</f>
        <v/>
      </c>
      <c r="L387" s="19" t="str">
        <f aca="false">IF(OR($A387="",INDEX(_LEITURA!$Q$2:$Q$21,2)=0),"",SUMIFS(DECKS!$D$2:$D$1201,DECKS!$A$2:$A$1201,INDEX(_LEITURA!$P$2:$P$21,2),DECKS!$B$2:$B$1201,$A387))</f>
        <v/>
      </c>
      <c r="M387" s="19" t="str">
        <f aca="false">IF(OR($A387="",INDEX(_LEITURA!$Q$2:$Q$21,3)=0),"",SUMIFS(DECKS!$D$2:$D$1201,DECKS!$A$2:$A$1201,INDEX(_LEITURA!$P$2:$P$21,3),DECKS!$B$2:$B$1201,$A387))</f>
        <v/>
      </c>
      <c r="N387" s="19" t="str">
        <f aca="false">IF(OR($A387="",INDEX(_LEITURA!$Q$2:$Q$21,4)=0),"",SUMIFS(DECKS!$D$2:$D$1201,DECKS!$A$2:$A$1201,INDEX(_LEITURA!$P$2:$P$21,4),DECKS!$B$2:$B$1201,$A387))</f>
        <v/>
      </c>
      <c r="O387" s="19" t="str">
        <f aca="false">IF(OR($A387="",INDEX(_LEITURA!$Q$2:$Q$21,5)=0),"",SUMIFS(DECKS!$D$2:$D$1201,DECKS!$A$2:$A$1201,INDEX(_LEITURA!$P$2:$P$21,5),DECKS!$B$2:$B$1201,$A387))</f>
        <v/>
      </c>
      <c r="P387" s="19" t="str">
        <f aca="false">IF(OR($A387="",INDEX(_LEITURA!$Q$2:$Q$21,6)=0),"",SUMIFS(DECKS!$D$2:$D$1201,DECKS!$A$2:$A$1201,INDEX(_LEITURA!$P$2:$P$21,6),DECKS!$B$2:$B$1201,$A387))</f>
        <v/>
      </c>
      <c r="Q387" s="19" t="str">
        <f aca="false">IF(OR($A387="",INDEX(_LEITURA!$Q$2:$Q$21,7)=0),"",SUMIFS(DECKS!$D$2:$D$1201,DECKS!$A$2:$A$1201,INDEX(_LEITURA!$P$2:$P$21,7),DECKS!$B$2:$B$1201,$A387))</f>
        <v/>
      </c>
      <c r="R387" s="19" t="str">
        <f aca="false">IF(OR($A387="",INDEX(_LEITURA!$Q$2:$Q$21,8)=0),"",SUMIFS(DECKS!$D$2:$D$1201,DECKS!$A$2:$A$1201,INDEX(_LEITURA!$P$2:$P$21,8),DECKS!$B$2:$B$1201,$A387))</f>
        <v/>
      </c>
      <c r="S387" s="19" t="str">
        <f aca="false">IF(OR($A387="",INDEX(_LEITURA!$Q$2:$Q$21,9)=0),"",SUMIFS(DECKS!$D$2:$D$1201,DECKS!$A$2:$A$1201,INDEX(_LEITURA!$P$2:$P$21,9),DECKS!$B$2:$B$1201,$A387))</f>
        <v/>
      </c>
      <c r="T387" s="19" t="str">
        <f aca="false">IF(OR($A387="",INDEX(_LEITURA!$Q$2:$Q$21,10)=0),"",SUMIFS(DECKS!$D$2:$D$1201,DECKS!$A$2:$A$1201,INDEX(_LEITURA!$P$2:$P$21,10),DECKS!$B$2:$B$1201,$A387))</f>
        <v/>
      </c>
      <c r="U387" s="19" t="str">
        <f aca="false">IF(OR($A387="",INDEX(_LEITURA!$Q$2:$Q$21,11)=0),"",SUMIFS(DECKS!$D$2:$D$1201,DECKS!$A$2:$A$1201,INDEX(_LEITURA!$P$2:$P$21,11),DECKS!$B$2:$B$1201,$A387))</f>
        <v/>
      </c>
      <c r="V387" s="19" t="str">
        <f aca="false">IF(OR($A387="",INDEX(_LEITURA!$Q$2:$Q$21,12)=0),"",SUMIFS(DECKS!$D$2:$D$1201,DECKS!$A$2:$A$1201,INDEX(_LEITURA!$P$2:$P$21,12),DECKS!$B$2:$B$1201,$A387))</f>
        <v/>
      </c>
      <c r="W387" s="19" t="str">
        <f aca="false">IF(OR($A387="",INDEX(_LEITURA!$Q$2:$Q$21,13)=0),"",SUMIFS(DECKS!$D$2:$D$1201,DECKS!$A$2:$A$1201,INDEX(_LEITURA!$P$2:$P$21,13),DECKS!$B$2:$B$1201,$A387))</f>
        <v/>
      </c>
      <c r="X387" s="19" t="str">
        <f aca="false">IF(OR($A387="",INDEX(_LEITURA!$Q$2:$Q$21,14)=0),"",SUMIFS(DECKS!$D$2:$D$1201,DECKS!$A$2:$A$1201,INDEX(_LEITURA!$P$2:$P$21,14),DECKS!$B$2:$B$1201,$A387))</f>
        <v/>
      </c>
      <c r="Y387" s="19" t="str">
        <f aca="false">IF(OR($A387="",INDEX(_LEITURA!$Q$2:$Q$21,15)=0),"",SUMIFS(DECKS!$D$2:$D$1201,DECKS!$A$2:$A$1201,INDEX(_LEITURA!$P$2:$P$21,15),DECKS!$B$2:$B$1201,$A387))</f>
        <v/>
      </c>
      <c r="Z387" s="19" t="str">
        <f aca="false">IF(OR($A387="",INDEX(_LEITURA!$Q$2:$Q$21,16)=0),"",SUMIFS(DECKS!$D$2:$D$1201,DECKS!$A$2:$A$1201,INDEX(_LEITURA!$P$2:$P$21,16),DECKS!$B$2:$B$1201,$A387))</f>
        <v/>
      </c>
      <c r="AA387" s="19" t="str">
        <f aca="false">IF(OR($A387="",INDEX(_LEITURA!$Q$2:$Q$21,17)=0),"",SUMIFS(DECKS!$D$2:$D$1201,DECKS!$A$2:$A$1201,INDEX(_LEITURA!$P$2:$P$21,17),DECKS!$B$2:$B$1201,$A387))</f>
        <v/>
      </c>
      <c r="AB387" s="19" t="str">
        <f aca="false">IF(OR($A387="",INDEX(_LEITURA!$Q$2:$Q$21,18)=0),"",SUMIFS(DECKS!$D$2:$D$1201,DECKS!$A$2:$A$1201,INDEX(_LEITURA!$P$2:$P$21,18),DECKS!$B$2:$B$1201,$A387))</f>
        <v/>
      </c>
      <c r="AC387" s="19" t="str">
        <f aca="false">IF(OR($A387="",INDEX(_LEITURA!$Q$2:$Q$21,19)=0),"",SUMIFS(DECKS!$D$2:$D$1201,DECKS!$A$2:$A$1201,INDEX(_LEITURA!$P$2:$P$21,19),DECKS!$B$2:$B$1201,$A387))</f>
        <v/>
      </c>
      <c r="AD387" s="19" t="str">
        <f aca="false">IF(OR($A387="",INDEX(_LEITURA!$Q$2:$Q$21,20)=0),"",SUMIFS(DECKS!$D$2:$D$1201,DECKS!$A$2:$A$1201,INDEX(_LEITURA!$P$2:$P$21,20),DECKS!$B$2:$B$1201,$A387))</f>
        <v/>
      </c>
      <c r="AE387" s="16" t="str">
        <f aca="false">IF(N(E387)&gt;0,MAX(AE$1:AE386)+1,"")</f>
        <v/>
      </c>
      <c r="AF387" s="11" t="str">
        <f aca="false">IF(A387="","",IFERROR(LEFT(A387,FIND("-",A387)-1),A387))</f>
        <v/>
      </c>
      <c r="AG387" s="11" t="str">
        <f aca="false">IF(AF387="","",IF(ISNUMBER(--MID(AF387,1,1)),0,IF(ISNUMBER(--MID(AF387,2,1)),1,IF(ISNUMBER(--MID(AF387,3,1)),2,IF(ISNUMBER(--MID(AF387,4,1)),3,MIN(LEN(AF387),4))))))</f>
        <v/>
      </c>
      <c r="AH387" s="11" t="str">
        <f aca="false">IF(A387="","",LEFT(AF387,AG387)&amp;REPT("0",4-AG387)&amp;RIGHT("000"&amp;IFERROR(VALUE(MID(AF387,AG387+1,9)),0),3)&amp;RIGHT("0000"&amp;IFERROR(VALUE(MID(A387,FIND("-",A387)+1,9)),0),4))</f>
        <v/>
      </c>
      <c r="AI387" s="11" t="str">
        <f aca="false">IF(OR(A387="",N(E387)&lt;=0),"",IF('FALTAS GERAL'!$M$1="Código","K"&amp;AH387&amp;RIGHT("00000"&amp;ROW(),5),IF('FALTAS GERAL'!$M$1="Nome","K"&amp;UPPER(SUBSTITUTE(SUBSTITUTE(SUBSTITUTE(B387,"*",""),"?",""),"~",""))&amp;"0"&amp;AH387&amp;RIGHT("00000"&amp;ROW(),5),IF('FALTAS GERAL'!$M$1="Falta (maior primeiro)","K"&amp;RIGHT("0000"&amp;(9999-E387),4)&amp;AH387&amp;RIGHT("00000"&amp;ROW(),5),IF('FALTAS GERAL'!$M$1="Nº de decks (maior primeiro)","K"&amp;RIGHT("00"&amp;(99-N(G387)),2)&amp;AH387&amp;RIGHT("00000"&amp;ROW(),5),"K"&amp;RIGHT("00000"&amp;ROW(),5))))))</f>
        <v/>
      </c>
      <c r="AJ387" s="11" t="str">
        <f aca="false">IF(AI387="","",COUNTIFS($AI$2:$AI$801,"&lt;"&amp;AI387,$E$2:$E$801,"&gt;0")+1)</f>
        <v/>
      </c>
      <c r="AK387" s="11" t="str">
        <f aca="false">IF(OR(A387="",N(E387)&lt;=0),"",COUNTIFS($AH$2:$AH$801,"&lt;"&amp;AH387,$E$2:$E$801,"&gt;0")+COUNTIFS($AH$2:AH387,AH387,$E$2:E387,"&gt;0"))</f>
        <v/>
      </c>
    </row>
    <row r="388" customFormat="false" ht="15" hidden="false" customHeight="false" outlineLevel="0" collapsed="false">
      <c r="A388" s="11" t="str">
        <f aca="false">IF(INVENTÁRIO!A388="","",INVENTÁRIO!A388)</f>
        <v/>
      </c>
      <c r="B388" s="11" t="str">
        <f aca="false">IF(A388="","",INVENTÁRIO!B388)</f>
        <v/>
      </c>
      <c r="C388" s="16" t="str">
        <f aca="false">IF(A388="","",INVENTÁRIO!C388)</f>
        <v/>
      </c>
      <c r="D388" s="14" t="str">
        <f aca="false">IF(A388="","",MAX(K388:AD388))</f>
        <v/>
      </c>
      <c r="E388" s="14" t="str">
        <f aca="false">IF(A388="","",MAX(0,D388-C388))</f>
        <v/>
      </c>
      <c r="F388" s="16" t="str">
        <f aca="false">IF(A388="","",IF(D388=0,"Fora dos decks",IF(E388=0,"Completo","Falta")))</f>
        <v/>
      </c>
      <c r="G388" s="16" t="str">
        <f aca="false">IF(A388="","",COUNTIF(K388:AD388,"&gt;0"))</f>
        <v/>
      </c>
      <c r="H388" s="16" t="str">
        <f aca="false">IF(A388="","",IF(G388&gt;1,"Sim",""))</f>
        <v/>
      </c>
      <c r="I388" s="18" t="str">
        <f aca="false">IF(A388="","",SUMIFS(DECKS!$D$2:$D$1201,DECKS!$B$2:$B$1201,A388))</f>
        <v/>
      </c>
      <c r="J388" s="18" t="str">
        <f aca="false">IF(A388="","",MAX(0,I388-C388))</f>
        <v/>
      </c>
      <c r="K388" s="19" t="str">
        <f aca="false">IF(OR($A388="",INDEX(_LEITURA!$Q$2:$Q$21,1)=0),"",SUMIFS(DECKS!$D$2:$D$1201,DECKS!$A$2:$A$1201,INDEX(_LEITURA!$P$2:$P$21,1),DECKS!$B$2:$B$1201,$A388))</f>
        <v/>
      </c>
      <c r="L388" s="19" t="str">
        <f aca="false">IF(OR($A388="",INDEX(_LEITURA!$Q$2:$Q$21,2)=0),"",SUMIFS(DECKS!$D$2:$D$1201,DECKS!$A$2:$A$1201,INDEX(_LEITURA!$P$2:$P$21,2),DECKS!$B$2:$B$1201,$A388))</f>
        <v/>
      </c>
      <c r="M388" s="19" t="str">
        <f aca="false">IF(OR($A388="",INDEX(_LEITURA!$Q$2:$Q$21,3)=0),"",SUMIFS(DECKS!$D$2:$D$1201,DECKS!$A$2:$A$1201,INDEX(_LEITURA!$P$2:$P$21,3),DECKS!$B$2:$B$1201,$A388))</f>
        <v/>
      </c>
      <c r="N388" s="19" t="str">
        <f aca="false">IF(OR($A388="",INDEX(_LEITURA!$Q$2:$Q$21,4)=0),"",SUMIFS(DECKS!$D$2:$D$1201,DECKS!$A$2:$A$1201,INDEX(_LEITURA!$P$2:$P$21,4),DECKS!$B$2:$B$1201,$A388))</f>
        <v/>
      </c>
      <c r="O388" s="19" t="str">
        <f aca="false">IF(OR($A388="",INDEX(_LEITURA!$Q$2:$Q$21,5)=0),"",SUMIFS(DECKS!$D$2:$D$1201,DECKS!$A$2:$A$1201,INDEX(_LEITURA!$P$2:$P$21,5),DECKS!$B$2:$B$1201,$A388))</f>
        <v/>
      </c>
      <c r="P388" s="19" t="str">
        <f aca="false">IF(OR($A388="",INDEX(_LEITURA!$Q$2:$Q$21,6)=0),"",SUMIFS(DECKS!$D$2:$D$1201,DECKS!$A$2:$A$1201,INDEX(_LEITURA!$P$2:$P$21,6),DECKS!$B$2:$B$1201,$A388))</f>
        <v/>
      </c>
      <c r="Q388" s="19" t="str">
        <f aca="false">IF(OR($A388="",INDEX(_LEITURA!$Q$2:$Q$21,7)=0),"",SUMIFS(DECKS!$D$2:$D$1201,DECKS!$A$2:$A$1201,INDEX(_LEITURA!$P$2:$P$21,7),DECKS!$B$2:$B$1201,$A388))</f>
        <v/>
      </c>
      <c r="R388" s="19" t="str">
        <f aca="false">IF(OR($A388="",INDEX(_LEITURA!$Q$2:$Q$21,8)=0),"",SUMIFS(DECKS!$D$2:$D$1201,DECKS!$A$2:$A$1201,INDEX(_LEITURA!$P$2:$P$21,8),DECKS!$B$2:$B$1201,$A388))</f>
        <v/>
      </c>
      <c r="S388" s="19" t="str">
        <f aca="false">IF(OR($A388="",INDEX(_LEITURA!$Q$2:$Q$21,9)=0),"",SUMIFS(DECKS!$D$2:$D$1201,DECKS!$A$2:$A$1201,INDEX(_LEITURA!$P$2:$P$21,9),DECKS!$B$2:$B$1201,$A388))</f>
        <v/>
      </c>
      <c r="T388" s="19" t="str">
        <f aca="false">IF(OR($A388="",INDEX(_LEITURA!$Q$2:$Q$21,10)=0),"",SUMIFS(DECKS!$D$2:$D$1201,DECKS!$A$2:$A$1201,INDEX(_LEITURA!$P$2:$P$21,10),DECKS!$B$2:$B$1201,$A388))</f>
        <v/>
      </c>
      <c r="U388" s="19" t="str">
        <f aca="false">IF(OR($A388="",INDEX(_LEITURA!$Q$2:$Q$21,11)=0),"",SUMIFS(DECKS!$D$2:$D$1201,DECKS!$A$2:$A$1201,INDEX(_LEITURA!$P$2:$P$21,11),DECKS!$B$2:$B$1201,$A388))</f>
        <v/>
      </c>
      <c r="V388" s="19" t="str">
        <f aca="false">IF(OR($A388="",INDEX(_LEITURA!$Q$2:$Q$21,12)=0),"",SUMIFS(DECKS!$D$2:$D$1201,DECKS!$A$2:$A$1201,INDEX(_LEITURA!$P$2:$P$21,12),DECKS!$B$2:$B$1201,$A388))</f>
        <v/>
      </c>
      <c r="W388" s="19" t="str">
        <f aca="false">IF(OR($A388="",INDEX(_LEITURA!$Q$2:$Q$21,13)=0),"",SUMIFS(DECKS!$D$2:$D$1201,DECKS!$A$2:$A$1201,INDEX(_LEITURA!$P$2:$P$21,13),DECKS!$B$2:$B$1201,$A388))</f>
        <v/>
      </c>
      <c r="X388" s="19" t="str">
        <f aca="false">IF(OR($A388="",INDEX(_LEITURA!$Q$2:$Q$21,14)=0),"",SUMIFS(DECKS!$D$2:$D$1201,DECKS!$A$2:$A$1201,INDEX(_LEITURA!$P$2:$P$21,14),DECKS!$B$2:$B$1201,$A388))</f>
        <v/>
      </c>
      <c r="Y388" s="19" t="str">
        <f aca="false">IF(OR($A388="",INDEX(_LEITURA!$Q$2:$Q$21,15)=0),"",SUMIFS(DECKS!$D$2:$D$1201,DECKS!$A$2:$A$1201,INDEX(_LEITURA!$P$2:$P$21,15),DECKS!$B$2:$B$1201,$A388))</f>
        <v/>
      </c>
      <c r="Z388" s="19" t="str">
        <f aca="false">IF(OR($A388="",INDEX(_LEITURA!$Q$2:$Q$21,16)=0),"",SUMIFS(DECKS!$D$2:$D$1201,DECKS!$A$2:$A$1201,INDEX(_LEITURA!$P$2:$P$21,16),DECKS!$B$2:$B$1201,$A388))</f>
        <v/>
      </c>
      <c r="AA388" s="19" t="str">
        <f aca="false">IF(OR($A388="",INDEX(_LEITURA!$Q$2:$Q$21,17)=0),"",SUMIFS(DECKS!$D$2:$D$1201,DECKS!$A$2:$A$1201,INDEX(_LEITURA!$P$2:$P$21,17),DECKS!$B$2:$B$1201,$A388))</f>
        <v/>
      </c>
      <c r="AB388" s="19" t="str">
        <f aca="false">IF(OR($A388="",INDEX(_LEITURA!$Q$2:$Q$21,18)=0),"",SUMIFS(DECKS!$D$2:$D$1201,DECKS!$A$2:$A$1201,INDEX(_LEITURA!$P$2:$P$21,18),DECKS!$B$2:$B$1201,$A388))</f>
        <v/>
      </c>
      <c r="AC388" s="19" t="str">
        <f aca="false">IF(OR($A388="",INDEX(_LEITURA!$Q$2:$Q$21,19)=0),"",SUMIFS(DECKS!$D$2:$D$1201,DECKS!$A$2:$A$1201,INDEX(_LEITURA!$P$2:$P$21,19),DECKS!$B$2:$B$1201,$A388))</f>
        <v/>
      </c>
      <c r="AD388" s="19" t="str">
        <f aca="false">IF(OR($A388="",INDEX(_LEITURA!$Q$2:$Q$21,20)=0),"",SUMIFS(DECKS!$D$2:$D$1201,DECKS!$A$2:$A$1201,INDEX(_LEITURA!$P$2:$P$21,20),DECKS!$B$2:$B$1201,$A388))</f>
        <v/>
      </c>
      <c r="AE388" s="16" t="str">
        <f aca="false">IF(N(E388)&gt;0,MAX(AE$1:AE387)+1,"")</f>
        <v/>
      </c>
      <c r="AF388" s="11" t="str">
        <f aca="false">IF(A388="","",IFERROR(LEFT(A388,FIND("-",A388)-1),A388))</f>
        <v/>
      </c>
      <c r="AG388" s="11" t="str">
        <f aca="false">IF(AF388="","",IF(ISNUMBER(--MID(AF388,1,1)),0,IF(ISNUMBER(--MID(AF388,2,1)),1,IF(ISNUMBER(--MID(AF388,3,1)),2,IF(ISNUMBER(--MID(AF388,4,1)),3,MIN(LEN(AF388),4))))))</f>
        <v/>
      </c>
      <c r="AH388" s="11" t="str">
        <f aca="false">IF(A388="","",LEFT(AF388,AG388)&amp;REPT("0",4-AG388)&amp;RIGHT("000"&amp;IFERROR(VALUE(MID(AF388,AG388+1,9)),0),3)&amp;RIGHT("0000"&amp;IFERROR(VALUE(MID(A388,FIND("-",A388)+1,9)),0),4))</f>
        <v/>
      </c>
      <c r="AI388" s="11" t="str">
        <f aca="false">IF(OR(A388="",N(E388)&lt;=0),"",IF('FALTAS GERAL'!$M$1="Código","K"&amp;AH388&amp;RIGHT("00000"&amp;ROW(),5),IF('FALTAS GERAL'!$M$1="Nome","K"&amp;UPPER(SUBSTITUTE(SUBSTITUTE(SUBSTITUTE(B388,"*",""),"?",""),"~",""))&amp;"0"&amp;AH388&amp;RIGHT("00000"&amp;ROW(),5),IF('FALTAS GERAL'!$M$1="Falta (maior primeiro)","K"&amp;RIGHT("0000"&amp;(9999-E388),4)&amp;AH388&amp;RIGHT("00000"&amp;ROW(),5),IF('FALTAS GERAL'!$M$1="Nº de decks (maior primeiro)","K"&amp;RIGHT("00"&amp;(99-N(G388)),2)&amp;AH388&amp;RIGHT("00000"&amp;ROW(),5),"K"&amp;RIGHT("00000"&amp;ROW(),5))))))</f>
        <v/>
      </c>
      <c r="AJ388" s="11" t="str">
        <f aca="false">IF(AI388="","",COUNTIFS($AI$2:$AI$801,"&lt;"&amp;AI388,$E$2:$E$801,"&gt;0")+1)</f>
        <v/>
      </c>
      <c r="AK388" s="11" t="str">
        <f aca="false">IF(OR(A388="",N(E388)&lt;=0),"",COUNTIFS($AH$2:$AH$801,"&lt;"&amp;AH388,$E$2:$E$801,"&gt;0")+COUNTIFS($AH$2:AH388,AH388,$E$2:E388,"&gt;0"))</f>
        <v/>
      </c>
    </row>
    <row r="389" customFormat="false" ht="15" hidden="false" customHeight="false" outlineLevel="0" collapsed="false">
      <c r="A389" s="11" t="str">
        <f aca="false">IF(INVENTÁRIO!A389="","",INVENTÁRIO!A389)</f>
        <v/>
      </c>
      <c r="B389" s="11" t="str">
        <f aca="false">IF(A389="","",INVENTÁRIO!B389)</f>
        <v/>
      </c>
      <c r="C389" s="16" t="str">
        <f aca="false">IF(A389="","",INVENTÁRIO!C389)</f>
        <v/>
      </c>
      <c r="D389" s="14" t="str">
        <f aca="false">IF(A389="","",MAX(K389:AD389))</f>
        <v/>
      </c>
      <c r="E389" s="14" t="str">
        <f aca="false">IF(A389="","",MAX(0,D389-C389))</f>
        <v/>
      </c>
      <c r="F389" s="16" t="str">
        <f aca="false">IF(A389="","",IF(D389=0,"Fora dos decks",IF(E389=0,"Completo","Falta")))</f>
        <v/>
      </c>
      <c r="G389" s="16" t="str">
        <f aca="false">IF(A389="","",COUNTIF(K389:AD389,"&gt;0"))</f>
        <v/>
      </c>
      <c r="H389" s="16" t="str">
        <f aca="false">IF(A389="","",IF(G389&gt;1,"Sim",""))</f>
        <v/>
      </c>
      <c r="I389" s="18" t="str">
        <f aca="false">IF(A389="","",SUMIFS(DECKS!$D$2:$D$1201,DECKS!$B$2:$B$1201,A389))</f>
        <v/>
      </c>
      <c r="J389" s="18" t="str">
        <f aca="false">IF(A389="","",MAX(0,I389-C389))</f>
        <v/>
      </c>
      <c r="K389" s="19" t="str">
        <f aca="false">IF(OR($A389="",INDEX(_LEITURA!$Q$2:$Q$21,1)=0),"",SUMIFS(DECKS!$D$2:$D$1201,DECKS!$A$2:$A$1201,INDEX(_LEITURA!$P$2:$P$21,1),DECKS!$B$2:$B$1201,$A389))</f>
        <v/>
      </c>
      <c r="L389" s="19" t="str">
        <f aca="false">IF(OR($A389="",INDEX(_LEITURA!$Q$2:$Q$21,2)=0),"",SUMIFS(DECKS!$D$2:$D$1201,DECKS!$A$2:$A$1201,INDEX(_LEITURA!$P$2:$P$21,2),DECKS!$B$2:$B$1201,$A389))</f>
        <v/>
      </c>
      <c r="M389" s="19" t="str">
        <f aca="false">IF(OR($A389="",INDEX(_LEITURA!$Q$2:$Q$21,3)=0),"",SUMIFS(DECKS!$D$2:$D$1201,DECKS!$A$2:$A$1201,INDEX(_LEITURA!$P$2:$P$21,3),DECKS!$B$2:$B$1201,$A389))</f>
        <v/>
      </c>
      <c r="N389" s="19" t="str">
        <f aca="false">IF(OR($A389="",INDEX(_LEITURA!$Q$2:$Q$21,4)=0),"",SUMIFS(DECKS!$D$2:$D$1201,DECKS!$A$2:$A$1201,INDEX(_LEITURA!$P$2:$P$21,4),DECKS!$B$2:$B$1201,$A389))</f>
        <v/>
      </c>
      <c r="O389" s="19" t="str">
        <f aca="false">IF(OR($A389="",INDEX(_LEITURA!$Q$2:$Q$21,5)=0),"",SUMIFS(DECKS!$D$2:$D$1201,DECKS!$A$2:$A$1201,INDEX(_LEITURA!$P$2:$P$21,5),DECKS!$B$2:$B$1201,$A389))</f>
        <v/>
      </c>
      <c r="P389" s="19" t="str">
        <f aca="false">IF(OR($A389="",INDEX(_LEITURA!$Q$2:$Q$21,6)=0),"",SUMIFS(DECKS!$D$2:$D$1201,DECKS!$A$2:$A$1201,INDEX(_LEITURA!$P$2:$P$21,6),DECKS!$B$2:$B$1201,$A389))</f>
        <v/>
      </c>
      <c r="Q389" s="19" t="str">
        <f aca="false">IF(OR($A389="",INDEX(_LEITURA!$Q$2:$Q$21,7)=0),"",SUMIFS(DECKS!$D$2:$D$1201,DECKS!$A$2:$A$1201,INDEX(_LEITURA!$P$2:$P$21,7),DECKS!$B$2:$B$1201,$A389))</f>
        <v/>
      </c>
      <c r="R389" s="19" t="str">
        <f aca="false">IF(OR($A389="",INDEX(_LEITURA!$Q$2:$Q$21,8)=0),"",SUMIFS(DECKS!$D$2:$D$1201,DECKS!$A$2:$A$1201,INDEX(_LEITURA!$P$2:$P$21,8),DECKS!$B$2:$B$1201,$A389))</f>
        <v/>
      </c>
      <c r="S389" s="19" t="str">
        <f aca="false">IF(OR($A389="",INDEX(_LEITURA!$Q$2:$Q$21,9)=0),"",SUMIFS(DECKS!$D$2:$D$1201,DECKS!$A$2:$A$1201,INDEX(_LEITURA!$P$2:$P$21,9),DECKS!$B$2:$B$1201,$A389))</f>
        <v/>
      </c>
      <c r="T389" s="19" t="str">
        <f aca="false">IF(OR($A389="",INDEX(_LEITURA!$Q$2:$Q$21,10)=0),"",SUMIFS(DECKS!$D$2:$D$1201,DECKS!$A$2:$A$1201,INDEX(_LEITURA!$P$2:$P$21,10),DECKS!$B$2:$B$1201,$A389))</f>
        <v/>
      </c>
      <c r="U389" s="19" t="str">
        <f aca="false">IF(OR($A389="",INDEX(_LEITURA!$Q$2:$Q$21,11)=0),"",SUMIFS(DECKS!$D$2:$D$1201,DECKS!$A$2:$A$1201,INDEX(_LEITURA!$P$2:$P$21,11),DECKS!$B$2:$B$1201,$A389))</f>
        <v/>
      </c>
      <c r="V389" s="19" t="str">
        <f aca="false">IF(OR($A389="",INDEX(_LEITURA!$Q$2:$Q$21,12)=0),"",SUMIFS(DECKS!$D$2:$D$1201,DECKS!$A$2:$A$1201,INDEX(_LEITURA!$P$2:$P$21,12),DECKS!$B$2:$B$1201,$A389))</f>
        <v/>
      </c>
      <c r="W389" s="19" t="str">
        <f aca="false">IF(OR($A389="",INDEX(_LEITURA!$Q$2:$Q$21,13)=0),"",SUMIFS(DECKS!$D$2:$D$1201,DECKS!$A$2:$A$1201,INDEX(_LEITURA!$P$2:$P$21,13),DECKS!$B$2:$B$1201,$A389))</f>
        <v/>
      </c>
      <c r="X389" s="19" t="str">
        <f aca="false">IF(OR($A389="",INDEX(_LEITURA!$Q$2:$Q$21,14)=0),"",SUMIFS(DECKS!$D$2:$D$1201,DECKS!$A$2:$A$1201,INDEX(_LEITURA!$P$2:$P$21,14),DECKS!$B$2:$B$1201,$A389))</f>
        <v/>
      </c>
      <c r="Y389" s="19" t="str">
        <f aca="false">IF(OR($A389="",INDEX(_LEITURA!$Q$2:$Q$21,15)=0),"",SUMIFS(DECKS!$D$2:$D$1201,DECKS!$A$2:$A$1201,INDEX(_LEITURA!$P$2:$P$21,15),DECKS!$B$2:$B$1201,$A389))</f>
        <v/>
      </c>
      <c r="Z389" s="19" t="str">
        <f aca="false">IF(OR($A389="",INDEX(_LEITURA!$Q$2:$Q$21,16)=0),"",SUMIFS(DECKS!$D$2:$D$1201,DECKS!$A$2:$A$1201,INDEX(_LEITURA!$P$2:$P$21,16),DECKS!$B$2:$B$1201,$A389))</f>
        <v/>
      </c>
      <c r="AA389" s="19" t="str">
        <f aca="false">IF(OR($A389="",INDEX(_LEITURA!$Q$2:$Q$21,17)=0),"",SUMIFS(DECKS!$D$2:$D$1201,DECKS!$A$2:$A$1201,INDEX(_LEITURA!$P$2:$P$21,17),DECKS!$B$2:$B$1201,$A389))</f>
        <v/>
      </c>
      <c r="AB389" s="19" t="str">
        <f aca="false">IF(OR($A389="",INDEX(_LEITURA!$Q$2:$Q$21,18)=0),"",SUMIFS(DECKS!$D$2:$D$1201,DECKS!$A$2:$A$1201,INDEX(_LEITURA!$P$2:$P$21,18),DECKS!$B$2:$B$1201,$A389))</f>
        <v/>
      </c>
      <c r="AC389" s="19" t="str">
        <f aca="false">IF(OR($A389="",INDEX(_LEITURA!$Q$2:$Q$21,19)=0),"",SUMIFS(DECKS!$D$2:$D$1201,DECKS!$A$2:$A$1201,INDEX(_LEITURA!$P$2:$P$21,19),DECKS!$B$2:$B$1201,$A389))</f>
        <v/>
      </c>
      <c r="AD389" s="19" t="str">
        <f aca="false">IF(OR($A389="",INDEX(_LEITURA!$Q$2:$Q$21,20)=0),"",SUMIFS(DECKS!$D$2:$D$1201,DECKS!$A$2:$A$1201,INDEX(_LEITURA!$P$2:$P$21,20),DECKS!$B$2:$B$1201,$A389))</f>
        <v/>
      </c>
      <c r="AE389" s="16" t="str">
        <f aca="false">IF(N(E389)&gt;0,MAX(AE$1:AE388)+1,"")</f>
        <v/>
      </c>
      <c r="AF389" s="11" t="str">
        <f aca="false">IF(A389="","",IFERROR(LEFT(A389,FIND("-",A389)-1),A389))</f>
        <v/>
      </c>
      <c r="AG389" s="11" t="str">
        <f aca="false">IF(AF389="","",IF(ISNUMBER(--MID(AF389,1,1)),0,IF(ISNUMBER(--MID(AF389,2,1)),1,IF(ISNUMBER(--MID(AF389,3,1)),2,IF(ISNUMBER(--MID(AF389,4,1)),3,MIN(LEN(AF389),4))))))</f>
        <v/>
      </c>
      <c r="AH389" s="11" t="str">
        <f aca="false">IF(A389="","",LEFT(AF389,AG389)&amp;REPT("0",4-AG389)&amp;RIGHT("000"&amp;IFERROR(VALUE(MID(AF389,AG389+1,9)),0),3)&amp;RIGHT("0000"&amp;IFERROR(VALUE(MID(A389,FIND("-",A389)+1,9)),0),4))</f>
        <v/>
      </c>
      <c r="AI389" s="11" t="str">
        <f aca="false">IF(OR(A389="",N(E389)&lt;=0),"",IF('FALTAS GERAL'!$M$1="Código","K"&amp;AH389&amp;RIGHT("00000"&amp;ROW(),5),IF('FALTAS GERAL'!$M$1="Nome","K"&amp;UPPER(SUBSTITUTE(SUBSTITUTE(SUBSTITUTE(B389,"*",""),"?",""),"~",""))&amp;"0"&amp;AH389&amp;RIGHT("00000"&amp;ROW(),5),IF('FALTAS GERAL'!$M$1="Falta (maior primeiro)","K"&amp;RIGHT("0000"&amp;(9999-E389),4)&amp;AH389&amp;RIGHT("00000"&amp;ROW(),5),IF('FALTAS GERAL'!$M$1="Nº de decks (maior primeiro)","K"&amp;RIGHT("00"&amp;(99-N(G389)),2)&amp;AH389&amp;RIGHT("00000"&amp;ROW(),5),"K"&amp;RIGHT("00000"&amp;ROW(),5))))))</f>
        <v/>
      </c>
      <c r="AJ389" s="11" t="str">
        <f aca="false">IF(AI389="","",COUNTIFS($AI$2:$AI$801,"&lt;"&amp;AI389,$E$2:$E$801,"&gt;0")+1)</f>
        <v/>
      </c>
      <c r="AK389" s="11" t="str">
        <f aca="false">IF(OR(A389="",N(E389)&lt;=0),"",COUNTIFS($AH$2:$AH$801,"&lt;"&amp;AH389,$E$2:$E$801,"&gt;0")+COUNTIFS($AH$2:AH389,AH389,$E$2:E389,"&gt;0"))</f>
        <v/>
      </c>
    </row>
    <row r="390" customFormat="false" ht="15" hidden="false" customHeight="false" outlineLevel="0" collapsed="false">
      <c r="A390" s="11" t="str">
        <f aca="false">IF(INVENTÁRIO!A390="","",INVENTÁRIO!A390)</f>
        <v/>
      </c>
      <c r="B390" s="11" t="str">
        <f aca="false">IF(A390="","",INVENTÁRIO!B390)</f>
        <v/>
      </c>
      <c r="C390" s="16" t="str">
        <f aca="false">IF(A390="","",INVENTÁRIO!C390)</f>
        <v/>
      </c>
      <c r="D390" s="14" t="str">
        <f aca="false">IF(A390="","",MAX(K390:AD390))</f>
        <v/>
      </c>
      <c r="E390" s="14" t="str">
        <f aca="false">IF(A390="","",MAX(0,D390-C390))</f>
        <v/>
      </c>
      <c r="F390" s="16" t="str">
        <f aca="false">IF(A390="","",IF(D390=0,"Fora dos decks",IF(E390=0,"Completo","Falta")))</f>
        <v/>
      </c>
      <c r="G390" s="16" t="str">
        <f aca="false">IF(A390="","",COUNTIF(K390:AD390,"&gt;0"))</f>
        <v/>
      </c>
      <c r="H390" s="16" t="str">
        <f aca="false">IF(A390="","",IF(G390&gt;1,"Sim",""))</f>
        <v/>
      </c>
      <c r="I390" s="18" t="str">
        <f aca="false">IF(A390="","",SUMIFS(DECKS!$D$2:$D$1201,DECKS!$B$2:$B$1201,A390))</f>
        <v/>
      </c>
      <c r="J390" s="18" t="str">
        <f aca="false">IF(A390="","",MAX(0,I390-C390))</f>
        <v/>
      </c>
      <c r="K390" s="19" t="str">
        <f aca="false">IF(OR($A390="",INDEX(_LEITURA!$Q$2:$Q$21,1)=0),"",SUMIFS(DECKS!$D$2:$D$1201,DECKS!$A$2:$A$1201,INDEX(_LEITURA!$P$2:$P$21,1),DECKS!$B$2:$B$1201,$A390))</f>
        <v/>
      </c>
      <c r="L390" s="19" t="str">
        <f aca="false">IF(OR($A390="",INDEX(_LEITURA!$Q$2:$Q$21,2)=0),"",SUMIFS(DECKS!$D$2:$D$1201,DECKS!$A$2:$A$1201,INDEX(_LEITURA!$P$2:$P$21,2),DECKS!$B$2:$B$1201,$A390))</f>
        <v/>
      </c>
      <c r="M390" s="19" t="str">
        <f aca="false">IF(OR($A390="",INDEX(_LEITURA!$Q$2:$Q$21,3)=0),"",SUMIFS(DECKS!$D$2:$D$1201,DECKS!$A$2:$A$1201,INDEX(_LEITURA!$P$2:$P$21,3),DECKS!$B$2:$B$1201,$A390))</f>
        <v/>
      </c>
      <c r="N390" s="19" t="str">
        <f aca="false">IF(OR($A390="",INDEX(_LEITURA!$Q$2:$Q$21,4)=0),"",SUMIFS(DECKS!$D$2:$D$1201,DECKS!$A$2:$A$1201,INDEX(_LEITURA!$P$2:$P$21,4),DECKS!$B$2:$B$1201,$A390))</f>
        <v/>
      </c>
      <c r="O390" s="19" t="str">
        <f aca="false">IF(OR($A390="",INDEX(_LEITURA!$Q$2:$Q$21,5)=0),"",SUMIFS(DECKS!$D$2:$D$1201,DECKS!$A$2:$A$1201,INDEX(_LEITURA!$P$2:$P$21,5),DECKS!$B$2:$B$1201,$A390))</f>
        <v/>
      </c>
      <c r="P390" s="19" t="str">
        <f aca="false">IF(OR($A390="",INDEX(_LEITURA!$Q$2:$Q$21,6)=0),"",SUMIFS(DECKS!$D$2:$D$1201,DECKS!$A$2:$A$1201,INDEX(_LEITURA!$P$2:$P$21,6),DECKS!$B$2:$B$1201,$A390))</f>
        <v/>
      </c>
      <c r="Q390" s="19" t="str">
        <f aca="false">IF(OR($A390="",INDEX(_LEITURA!$Q$2:$Q$21,7)=0),"",SUMIFS(DECKS!$D$2:$D$1201,DECKS!$A$2:$A$1201,INDEX(_LEITURA!$P$2:$P$21,7),DECKS!$B$2:$B$1201,$A390))</f>
        <v/>
      </c>
      <c r="R390" s="19" t="str">
        <f aca="false">IF(OR($A390="",INDEX(_LEITURA!$Q$2:$Q$21,8)=0),"",SUMIFS(DECKS!$D$2:$D$1201,DECKS!$A$2:$A$1201,INDEX(_LEITURA!$P$2:$P$21,8),DECKS!$B$2:$B$1201,$A390))</f>
        <v/>
      </c>
      <c r="S390" s="19" t="str">
        <f aca="false">IF(OR($A390="",INDEX(_LEITURA!$Q$2:$Q$21,9)=0),"",SUMIFS(DECKS!$D$2:$D$1201,DECKS!$A$2:$A$1201,INDEX(_LEITURA!$P$2:$P$21,9),DECKS!$B$2:$B$1201,$A390))</f>
        <v/>
      </c>
      <c r="T390" s="19" t="str">
        <f aca="false">IF(OR($A390="",INDEX(_LEITURA!$Q$2:$Q$21,10)=0),"",SUMIFS(DECKS!$D$2:$D$1201,DECKS!$A$2:$A$1201,INDEX(_LEITURA!$P$2:$P$21,10),DECKS!$B$2:$B$1201,$A390))</f>
        <v/>
      </c>
      <c r="U390" s="19" t="str">
        <f aca="false">IF(OR($A390="",INDEX(_LEITURA!$Q$2:$Q$21,11)=0),"",SUMIFS(DECKS!$D$2:$D$1201,DECKS!$A$2:$A$1201,INDEX(_LEITURA!$P$2:$P$21,11),DECKS!$B$2:$B$1201,$A390))</f>
        <v/>
      </c>
      <c r="V390" s="19" t="str">
        <f aca="false">IF(OR($A390="",INDEX(_LEITURA!$Q$2:$Q$21,12)=0),"",SUMIFS(DECKS!$D$2:$D$1201,DECKS!$A$2:$A$1201,INDEX(_LEITURA!$P$2:$P$21,12),DECKS!$B$2:$B$1201,$A390))</f>
        <v/>
      </c>
      <c r="W390" s="19" t="str">
        <f aca="false">IF(OR($A390="",INDEX(_LEITURA!$Q$2:$Q$21,13)=0),"",SUMIFS(DECKS!$D$2:$D$1201,DECKS!$A$2:$A$1201,INDEX(_LEITURA!$P$2:$P$21,13),DECKS!$B$2:$B$1201,$A390))</f>
        <v/>
      </c>
      <c r="X390" s="19" t="str">
        <f aca="false">IF(OR($A390="",INDEX(_LEITURA!$Q$2:$Q$21,14)=0),"",SUMIFS(DECKS!$D$2:$D$1201,DECKS!$A$2:$A$1201,INDEX(_LEITURA!$P$2:$P$21,14),DECKS!$B$2:$B$1201,$A390))</f>
        <v/>
      </c>
      <c r="Y390" s="19" t="str">
        <f aca="false">IF(OR($A390="",INDEX(_LEITURA!$Q$2:$Q$21,15)=0),"",SUMIFS(DECKS!$D$2:$D$1201,DECKS!$A$2:$A$1201,INDEX(_LEITURA!$P$2:$P$21,15),DECKS!$B$2:$B$1201,$A390))</f>
        <v/>
      </c>
      <c r="Z390" s="19" t="str">
        <f aca="false">IF(OR($A390="",INDEX(_LEITURA!$Q$2:$Q$21,16)=0),"",SUMIFS(DECKS!$D$2:$D$1201,DECKS!$A$2:$A$1201,INDEX(_LEITURA!$P$2:$P$21,16),DECKS!$B$2:$B$1201,$A390))</f>
        <v/>
      </c>
      <c r="AA390" s="19" t="str">
        <f aca="false">IF(OR($A390="",INDEX(_LEITURA!$Q$2:$Q$21,17)=0),"",SUMIFS(DECKS!$D$2:$D$1201,DECKS!$A$2:$A$1201,INDEX(_LEITURA!$P$2:$P$21,17),DECKS!$B$2:$B$1201,$A390))</f>
        <v/>
      </c>
      <c r="AB390" s="19" t="str">
        <f aca="false">IF(OR($A390="",INDEX(_LEITURA!$Q$2:$Q$21,18)=0),"",SUMIFS(DECKS!$D$2:$D$1201,DECKS!$A$2:$A$1201,INDEX(_LEITURA!$P$2:$P$21,18),DECKS!$B$2:$B$1201,$A390))</f>
        <v/>
      </c>
      <c r="AC390" s="19" t="str">
        <f aca="false">IF(OR($A390="",INDEX(_LEITURA!$Q$2:$Q$21,19)=0),"",SUMIFS(DECKS!$D$2:$D$1201,DECKS!$A$2:$A$1201,INDEX(_LEITURA!$P$2:$P$21,19),DECKS!$B$2:$B$1201,$A390))</f>
        <v/>
      </c>
      <c r="AD390" s="19" t="str">
        <f aca="false">IF(OR($A390="",INDEX(_LEITURA!$Q$2:$Q$21,20)=0),"",SUMIFS(DECKS!$D$2:$D$1201,DECKS!$A$2:$A$1201,INDEX(_LEITURA!$P$2:$P$21,20),DECKS!$B$2:$B$1201,$A390))</f>
        <v/>
      </c>
      <c r="AE390" s="16" t="str">
        <f aca="false">IF(N(E390)&gt;0,MAX(AE$1:AE389)+1,"")</f>
        <v/>
      </c>
      <c r="AF390" s="11" t="str">
        <f aca="false">IF(A390="","",IFERROR(LEFT(A390,FIND("-",A390)-1),A390))</f>
        <v/>
      </c>
      <c r="AG390" s="11" t="str">
        <f aca="false">IF(AF390="","",IF(ISNUMBER(--MID(AF390,1,1)),0,IF(ISNUMBER(--MID(AF390,2,1)),1,IF(ISNUMBER(--MID(AF390,3,1)),2,IF(ISNUMBER(--MID(AF390,4,1)),3,MIN(LEN(AF390),4))))))</f>
        <v/>
      </c>
      <c r="AH390" s="11" t="str">
        <f aca="false">IF(A390="","",LEFT(AF390,AG390)&amp;REPT("0",4-AG390)&amp;RIGHT("000"&amp;IFERROR(VALUE(MID(AF390,AG390+1,9)),0),3)&amp;RIGHT("0000"&amp;IFERROR(VALUE(MID(A390,FIND("-",A390)+1,9)),0),4))</f>
        <v/>
      </c>
      <c r="AI390" s="11" t="str">
        <f aca="false">IF(OR(A390="",N(E390)&lt;=0),"",IF('FALTAS GERAL'!$M$1="Código","K"&amp;AH390&amp;RIGHT("00000"&amp;ROW(),5),IF('FALTAS GERAL'!$M$1="Nome","K"&amp;UPPER(SUBSTITUTE(SUBSTITUTE(SUBSTITUTE(B390,"*",""),"?",""),"~",""))&amp;"0"&amp;AH390&amp;RIGHT("00000"&amp;ROW(),5),IF('FALTAS GERAL'!$M$1="Falta (maior primeiro)","K"&amp;RIGHT("0000"&amp;(9999-E390),4)&amp;AH390&amp;RIGHT("00000"&amp;ROW(),5),IF('FALTAS GERAL'!$M$1="Nº de decks (maior primeiro)","K"&amp;RIGHT("00"&amp;(99-N(G390)),2)&amp;AH390&amp;RIGHT("00000"&amp;ROW(),5),"K"&amp;RIGHT("00000"&amp;ROW(),5))))))</f>
        <v/>
      </c>
      <c r="AJ390" s="11" t="str">
        <f aca="false">IF(AI390="","",COUNTIFS($AI$2:$AI$801,"&lt;"&amp;AI390,$E$2:$E$801,"&gt;0")+1)</f>
        <v/>
      </c>
      <c r="AK390" s="11" t="str">
        <f aca="false">IF(OR(A390="",N(E390)&lt;=0),"",COUNTIFS($AH$2:$AH$801,"&lt;"&amp;AH390,$E$2:$E$801,"&gt;0")+COUNTIFS($AH$2:AH390,AH390,$E$2:E390,"&gt;0"))</f>
        <v/>
      </c>
    </row>
    <row r="391" customFormat="false" ht="15" hidden="false" customHeight="false" outlineLevel="0" collapsed="false">
      <c r="A391" s="11" t="str">
        <f aca="false">IF(INVENTÁRIO!A391="","",INVENTÁRIO!A391)</f>
        <v/>
      </c>
      <c r="B391" s="11" t="str">
        <f aca="false">IF(A391="","",INVENTÁRIO!B391)</f>
        <v/>
      </c>
      <c r="C391" s="16" t="str">
        <f aca="false">IF(A391="","",INVENTÁRIO!C391)</f>
        <v/>
      </c>
      <c r="D391" s="14" t="str">
        <f aca="false">IF(A391="","",MAX(K391:AD391))</f>
        <v/>
      </c>
      <c r="E391" s="14" t="str">
        <f aca="false">IF(A391="","",MAX(0,D391-C391))</f>
        <v/>
      </c>
      <c r="F391" s="16" t="str">
        <f aca="false">IF(A391="","",IF(D391=0,"Fora dos decks",IF(E391=0,"Completo","Falta")))</f>
        <v/>
      </c>
      <c r="G391" s="16" t="str">
        <f aca="false">IF(A391="","",COUNTIF(K391:AD391,"&gt;0"))</f>
        <v/>
      </c>
      <c r="H391" s="16" t="str">
        <f aca="false">IF(A391="","",IF(G391&gt;1,"Sim",""))</f>
        <v/>
      </c>
      <c r="I391" s="18" t="str">
        <f aca="false">IF(A391="","",SUMIFS(DECKS!$D$2:$D$1201,DECKS!$B$2:$B$1201,A391))</f>
        <v/>
      </c>
      <c r="J391" s="18" t="str">
        <f aca="false">IF(A391="","",MAX(0,I391-C391))</f>
        <v/>
      </c>
      <c r="K391" s="19" t="str">
        <f aca="false">IF(OR($A391="",INDEX(_LEITURA!$Q$2:$Q$21,1)=0),"",SUMIFS(DECKS!$D$2:$D$1201,DECKS!$A$2:$A$1201,INDEX(_LEITURA!$P$2:$P$21,1),DECKS!$B$2:$B$1201,$A391))</f>
        <v/>
      </c>
      <c r="L391" s="19" t="str">
        <f aca="false">IF(OR($A391="",INDEX(_LEITURA!$Q$2:$Q$21,2)=0),"",SUMIFS(DECKS!$D$2:$D$1201,DECKS!$A$2:$A$1201,INDEX(_LEITURA!$P$2:$P$21,2),DECKS!$B$2:$B$1201,$A391))</f>
        <v/>
      </c>
      <c r="M391" s="19" t="str">
        <f aca="false">IF(OR($A391="",INDEX(_LEITURA!$Q$2:$Q$21,3)=0),"",SUMIFS(DECKS!$D$2:$D$1201,DECKS!$A$2:$A$1201,INDEX(_LEITURA!$P$2:$P$21,3),DECKS!$B$2:$B$1201,$A391))</f>
        <v/>
      </c>
      <c r="N391" s="19" t="str">
        <f aca="false">IF(OR($A391="",INDEX(_LEITURA!$Q$2:$Q$21,4)=0),"",SUMIFS(DECKS!$D$2:$D$1201,DECKS!$A$2:$A$1201,INDEX(_LEITURA!$P$2:$P$21,4),DECKS!$B$2:$B$1201,$A391))</f>
        <v/>
      </c>
      <c r="O391" s="19" t="str">
        <f aca="false">IF(OR($A391="",INDEX(_LEITURA!$Q$2:$Q$21,5)=0),"",SUMIFS(DECKS!$D$2:$D$1201,DECKS!$A$2:$A$1201,INDEX(_LEITURA!$P$2:$P$21,5),DECKS!$B$2:$B$1201,$A391))</f>
        <v/>
      </c>
      <c r="P391" s="19" t="str">
        <f aca="false">IF(OR($A391="",INDEX(_LEITURA!$Q$2:$Q$21,6)=0),"",SUMIFS(DECKS!$D$2:$D$1201,DECKS!$A$2:$A$1201,INDEX(_LEITURA!$P$2:$P$21,6),DECKS!$B$2:$B$1201,$A391))</f>
        <v/>
      </c>
      <c r="Q391" s="19" t="str">
        <f aca="false">IF(OR($A391="",INDEX(_LEITURA!$Q$2:$Q$21,7)=0),"",SUMIFS(DECKS!$D$2:$D$1201,DECKS!$A$2:$A$1201,INDEX(_LEITURA!$P$2:$P$21,7),DECKS!$B$2:$B$1201,$A391))</f>
        <v/>
      </c>
      <c r="R391" s="19" t="str">
        <f aca="false">IF(OR($A391="",INDEX(_LEITURA!$Q$2:$Q$21,8)=0),"",SUMIFS(DECKS!$D$2:$D$1201,DECKS!$A$2:$A$1201,INDEX(_LEITURA!$P$2:$P$21,8),DECKS!$B$2:$B$1201,$A391))</f>
        <v/>
      </c>
      <c r="S391" s="19" t="str">
        <f aca="false">IF(OR($A391="",INDEX(_LEITURA!$Q$2:$Q$21,9)=0),"",SUMIFS(DECKS!$D$2:$D$1201,DECKS!$A$2:$A$1201,INDEX(_LEITURA!$P$2:$P$21,9),DECKS!$B$2:$B$1201,$A391))</f>
        <v/>
      </c>
      <c r="T391" s="19" t="str">
        <f aca="false">IF(OR($A391="",INDEX(_LEITURA!$Q$2:$Q$21,10)=0),"",SUMIFS(DECKS!$D$2:$D$1201,DECKS!$A$2:$A$1201,INDEX(_LEITURA!$P$2:$P$21,10),DECKS!$B$2:$B$1201,$A391))</f>
        <v/>
      </c>
      <c r="U391" s="19" t="str">
        <f aca="false">IF(OR($A391="",INDEX(_LEITURA!$Q$2:$Q$21,11)=0),"",SUMIFS(DECKS!$D$2:$D$1201,DECKS!$A$2:$A$1201,INDEX(_LEITURA!$P$2:$P$21,11),DECKS!$B$2:$B$1201,$A391))</f>
        <v/>
      </c>
      <c r="V391" s="19" t="str">
        <f aca="false">IF(OR($A391="",INDEX(_LEITURA!$Q$2:$Q$21,12)=0),"",SUMIFS(DECKS!$D$2:$D$1201,DECKS!$A$2:$A$1201,INDEX(_LEITURA!$P$2:$P$21,12),DECKS!$B$2:$B$1201,$A391))</f>
        <v/>
      </c>
      <c r="W391" s="19" t="str">
        <f aca="false">IF(OR($A391="",INDEX(_LEITURA!$Q$2:$Q$21,13)=0),"",SUMIFS(DECKS!$D$2:$D$1201,DECKS!$A$2:$A$1201,INDEX(_LEITURA!$P$2:$P$21,13),DECKS!$B$2:$B$1201,$A391))</f>
        <v/>
      </c>
      <c r="X391" s="19" t="str">
        <f aca="false">IF(OR($A391="",INDEX(_LEITURA!$Q$2:$Q$21,14)=0),"",SUMIFS(DECKS!$D$2:$D$1201,DECKS!$A$2:$A$1201,INDEX(_LEITURA!$P$2:$P$21,14),DECKS!$B$2:$B$1201,$A391))</f>
        <v/>
      </c>
      <c r="Y391" s="19" t="str">
        <f aca="false">IF(OR($A391="",INDEX(_LEITURA!$Q$2:$Q$21,15)=0),"",SUMIFS(DECKS!$D$2:$D$1201,DECKS!$A$2:$A$1201,INDEX(_LEITURA!$P$2:$P$21,15),DECKS!$B$2:$B$1201,$A391))</f>
        <v/>
      </c>
      <c r="Z391" s="19" t="str">
        <f aca="false">IF(OR($A391="",INDEX(_LEITURA!$Q$2:$Q$21,16)=0),"",SUMIFS(DECKS!$D$2:$D$1201,DECKS!$A$2:$A$1201,INDEX(_LEITURA!$P$2:$P$21,16),DECKS!$B$2:$B$1201,$A391))</f>
        <v/>
      </c>
      <c r="AA391" s="19" t="str">
        <f aca="false">IF(OR($A391="",INDEX(_LEITURA!$Q$2:$Q$21,17)=0),"",SUMIFS(DECKS!$D$2:$D$1201,DECKS!$A$2:$A$1201,INDEX(_LEITURA!$P$2:$P$21,17),DECKS!$B$2:$B$1201,$A391))</f>
        <v/>
      </c>
      <c r="AB391" s="19" t="str">
        <f aca="false">IF(OR($A391="",INDEX(_LEITURA!$Q$2:$Q$21,18)=0),"",SUMIFS(DECKS!$D$2:$D$1201,DECKS!$A$2:$A$1201,INDEX(_LEITURA!$P$2:$P$21,18),DECKS!$B$2:$B$1201,$A391))</f>
        <v/>
      </c>
      <c r="AC391" s="19" t="str">
        <f aca="false">IF(OR($A391="",INDEX(_LEITURA!$Q$2:$Q$21,19)=0),"",SUMIFS(DECKS!$D$2:$D$1201,DECKS!$A$2:$A$1201,INDEX(_LEITURA!$P$2:$P$21,19),DECKS!$B$2:$B$1201,$A391))</f>
        <v/>
      </c>
      <c r="AD391" s="19" t="str">
        <f aca="false">IF(OR($A391="",INDEX(_LEITURA!$Q$2:$Q$21,20)=0),"",SUMIFS(DECKS!$D$2:$D$1201,DECKS!$A$2:$A$1201,INDEX(_LEITURA!$P$2:$P$21,20),DECKS!$B$2:$B$1201,$A391))</f>
        <v/>
      </c>
      <c r="AE391" s="16" t="str">
        <f aca="false">IF(N(E391)&gt;0,MAX(AE$1:AE390)+1,"")</f>
        <v/>
      </c>
      <c r="AF391" s="11" t="str">
        <f aca="false">IF(A391="","",IFERROR(LEFT(A391,FIND("-",A391)-1),A391))</f>
        <v/>
      </c>
      <c r="AG391" s="11" t="str">
        <f aca="false">IF(AF391="","",IF(ISNUMBER(--MID(AF391,1,1)),0,IF(ISNUMBER(--MID(AF391,2,1)),1,IF(ISNUMBER(--MID(AF391,3,1)),2,IF(ISNUMBER(--MID(AF391,4,1)),3,MIN(LEN(AF391),4))))))</f>
        <v/>
      </c>
      <c r="AH391" s="11" t="str">
        <f aca="false">IF(A391="","",LEFT(AF391,AG391)&amp;REPT("0",4-AG391)&amp;RIGHT("000"&amp;IFERROR(VALUE(MID(AF391,AG391+1,9)),0),3)&amp;RIGHT("0000"&amp;IFERROR(VALUE(MID(A391,FIND("-",A391)+1,9)),0),4))</f>
        <v/>
      </c>
      <c r="AI391" s="11" t="str">
        <f aca="false">IF(OR(A391="",N(E391)&lt;=0),"",IF('FALTAS GERAL'!$M$1="Código","K"&amp;AH391&amp;RIGHT("00000"&amp;ROW(),5),IF('FALTAS GERAL'!$M$1="Nome","K"&amp;UPPER(SUBSTITUTE(SUBSTITUTE(SUBSTITUTE(B391,"*",""),"?",""),"~",""))&amp;"0"&amp;AH391&amp;RIGHT("00000"&amp;ROW(),5),IF('FALTAS GERAL'!$M$1="Falta (maior primeiro)","K"&amp;RIGHT("0000"&amp;(9999-E391),4)&amp;AH391&amp;RIGHT("00000"&amp;ROW(),5),IF('FALTAS GERAL'!$M$1="Nº de decks (maior primeiro)","K"&amp;RIGHT("00"&amp;(99-N(G391)),2)&amp;AH391&amp;RIGHT("00000"&amp;ROW(),5),"K"&amp;RIGHT("00000"&amp;ROW(),5))))))</f>
        <v/>
      </c>
      <c r="AJ391" s="11" t="str">
        <f aca="false">IF(AI391="","",COUNTIFS($AI$2:$AI$801,"&lt;"&amp;AI391,$E$2:$E$801,"&gt;0")+1)</f>
        <v/>
      </c>
      <c r="AK391" s="11" t="str">
        <f aca="false">IF(OR(A391="",N(E391)&lt;=0),"",COUNTIFS($AH$2:$AH$801,"&lt;"&amp;AH391,$E$2:$E$801,"&gt;0")+COUNTIFS($AH$2:AH391,AH391,$E$2:E391,"&gt;0"))</f>
        <v/>
      </c>
    </row>
    <row r="392" customFormat="false" ht="15" hidden="false" customHeight="false" outlineLevel="0" collapsed="false">
      <c r="A392" s="11" t="str">
        <f aca="false">IF(INVENTÁRIO!A392="","",INVENTÁRIO!A392)</f>
        <v/>
      </c>
      <c r="B392" s="11" t="str">
        <f aca="false">IF(A392="","",INVENTÁRIO!B392)</f>
        <v/>
      </c>
      <c r="C392" s="16" t="str">
        <f aca="false">IF(A392="","",INVENTÁRIO!C392)</f>
        <v/>
      </c>
      <c r="D392" s="14" t="str">
        <f aca="false">IF(A392="","",MAX(K392:AD392))</f>
        <v/>
      </c>
      <c r="E392" s="14" t="str">
        <f aca="false">IF(A392="","",MAX(0,D392-C392))</f>
        <v/>
      </c>
      <c r="F392" s="16" t="str">
        <f aca="false">IF(A392="","",IF(D392=0,"Fora dos decks",IF(E392=0,"Completo","Falta")))</f>
        <v/>
      </c>
      <c r="G392" s="16" t="str">
        <f aca="false">IF(A392="","",COUNTIF(K392:AD392,"&gt;0"))</f>
        <v/>
      </c>
      <c r="H392" s="16" t="str">
        <f aca="false">IF(A392="","",IF(G392&gt;1,"Sim",""))</f>
        <v/>
      </c>
      <c r="I392" s="18" t="str">
        <f aca="false">IF(A392="","",SUMIFS(DECKS!$D$2:$D$1201,DECKS!$B$2:$B$1201,A392))</f>
        <v/>
      </c>
      <c r="J392" s="18" t="str">
        <f aca="false">IF(A392="","",MAX(0,I392-C392))</f>
        <v/>
      </c>
      <c r="K392" s="19" t="str">
        <f aca="false">IF(OR($A392="",INDEX(_LEITURA!$Q$2:$Q$21,1)=0),"",SUMIFS(DECKS!$D$2:$D$1201,DECKS!$A$2:$A$1201,INDEX(_LEITURA!$P$2:$P$21,1),DECKS!$B$2:$B$1201,$A392))</f>
        <v/>
      </c>
      <c r="L392" s="19" t="str">
        <f aca="false">IF(OR($A392="",INDEX(_LEITURA!$Q$2:$Q$21,2)=0),"",SUMIFS(DECKS!$D$2:$D$1201,DECKS!$A$2:$A$1201,INDEX(_LEITURA!$P$2:$P$21,2),DECKS!$B$2:$B$1201,$A392))</f>
        <v/>
      </c>
      <c r="M392" s="19" t="str">
        <f aca="false">IF(OR($A392="",INDEX(_LEITURA!$Q$2:$Q$21,3)=0),"",SUMIFS(DECKS!$D$2:$D$1201,DECKS!$A$2:$A$1201,INDEX(_LEITURA!$P$2:$P$21,3),DECKS!$B$2:$B$1201,$A392))</f>
        <v/>
      </c>
      <c r="N392" s="19" t="str">
        <f aca="false">IF(OR($A392="",INDEX(_LEITURA!$Q$2:$Q$21,4)=0),"",SUMIFS(DECKS!$D$2:$D$1201,DECKS!$A$2:$A$1201,INDEX(_LEITURA!$P$2:$P$21,4),DECKS!$B$2:$B$1201,$A392))</f>
        <v/>
      </c>
      <c r="O392" s="19" t="str">
        <f aca="false">IF(OR($A392="",INDEX(_LEITURA!$Q$2:$Q$21,5)=0),"",SUMIFS(DECKS!$D$2:$D$1201,DECKS!$A$2:$A$1201,INDEX(_LEITURA!$P$2:$P$21,5),DECKS!$B$2:$B$1201,$A392))</f>
        <v/>
      </c>
      <c r="P392" s="19" t="str">
        <f aca="false">IF(OR($A392="",INDEX(_LEITURA!$Q$2:$Q$21,6)=0),"",SUMIFS(DECKS!$D$2:$D$1201,DECKS!$A$2:$A$1201,INDEX(_LEITURA!$P$2:$P$21,6),DECKS!$B$2:$B$1201,$A392))</f>
        <v/>
      </c>
      <c r="Q392" s="19" t="str">
        <f aca="false">IF(OR($A392="",INDEX(_LEITURA!$Q$2:$Q$21,7)=0),"",SUMIFS(DECKS!$D$2:$D$1201,DECKS!$A$2:$A$1201,INDEX(_LEITURA!$P$2:$P$21,7),DECKS!$B$2:$B$1201,$A392))</f>
        <v/>
      </c>
      <c r="R392" s="19" t="str">
        <f aca="false">IF(OR($A392="",INDEX(_LEITURA!$Q$2:$Q$21,8)=0),"",SUMIFS(DECKS!$D$2:$D$1201,DECKS!$A$2:$A$1201,INDEX(_LEITURA!$P$2:$P$21,8),DECKS!$B$2:$B$1201,$A392))</f>
        <v/>
      </c>
      <c r="S392" s="19" t="str">
        <f aca="false">IF(OR($A392="",INDEX(_LEITURA!$Q$2:$Q$21,9)=0),"",SUMIFS(DECKS!$D$2:$D$1201,DECKS!$A$2:$A$1201,INDEX(_LEITURA!$P$2:$P$21,9),DECKS!$B$2:$B$1201,$A392))</f>
        <v/>
      </c>
      <c r="T392" s="19" t="str">
        <f aca="false">IF(OR($A392="",INDEX(_LEITURA!$Q$2:$Q$21,10)=0),"",SUMIFS(DECKS!$D$2:$D$1201,DECKS!$A$2:$A$1201,INDEX(_LEITURA!$P$2:$P$21,10),DECKS!$B$2:$B$1201,$A392))</f>
        <v/>
      </c>
      <c r="U392" s="19" t="str">
        <f aca="false">IF(OR($A392="",INDEX(_LEITURA!$Q$2:$Q$21,11)=0),"",SUMIFS(DECKS!$D$2:$D$1201,DECKS!$A$2:$A$1201,INDEX(_LEITURA!$P$2:$P$21,11),DECKS!$B$2:$B$1201,$A392))</f>
        <v/>
      </c>
      <c r="V392" s="19" t="str">
        <f aca="false">IF(OR($A392="",INDEX(_LEITURA!$Q$2:$Q$21,12)=0),"",SUMIFS(DECKS!$D$2:$D$1201,DECKS!$A$2:$A$1201,INDEX(_LEITURA!$P$2:$P$21,12),DECKS!$B$2:$B$1201,$A392))</f>
        <v/>
      </c>
      <c r="W392" s="19" t="str">
        <f aca="false">IF(OR($A392="",INDEX(_LEITURA!$Q$2:$Q$21,13)=0),"",SUMIFS(DECKS!$D$2:$D$1201,DECKS!$A$2:$A$1201,INDEX(_LEITURA!$P$2:$P$21,13),DECKS!$B$2:$B$1201,$A392))</f>
        <v/>
      </c>
      <c r="X392" s="19" t="str">
        <f aca="false">IF(OR($A392="",INDEX(_LEITURA!$Q$2:$Q$21,14)=0),"",SUMIFS(DECKS!$D$2:$D$1201,DECKS!$A$2:$A$1201,INDEX(_LEITURA!$P$2:$P$21,14),DECKS!$B$2:$B$1201,$A392))</f>
        <v/>
      </c>
      <c r="Y392" s="19" t="str">
        <f aca="false">IF(OR($A392="",INDEX(_LEITURA!$Q$2:$Q$21,15)=0),"",SUMIFS(DECKS!$D$2:$D$1201,DECKS!$A$2:$A$1201,INDEX(_LEITURA!$P$2:$P$21,15),DECKS!$B$2:$B$1201,$A392))</f>
        <v/>
      </c>
      <c r="Z392" s="19" t="str">
        <f aca="false">IF(OR($A392="",INDEX(_LEITURA!$Q$2:$Q$21,16)=0),"",SUMIFS(DECKS!$D$2:$D$1201,DECKS!$A$2:$A$1201,INDEX(_LEITURA!$P$2:$P$21,16),DECKS!$B$2:$B$1201,$A392))</f>
        <v/>
      </c>
      <c r="AA392" s="19" t="str">
        <f aca="false">IF(OR($A392="",INDEX(_LEITURA!$Q$2:$Q$21,17)=0),"",SUMIFS(DECKS!$D$2:$D$1201,DECKS!$A$2:$A$1201,INDEX(_LEITURA!$P$2:$P$21,17),DECKS!$B$2:$B$1201,$A392))</f>
        <v/>
      </c>
      <c r="AB392" s="19" t="str">
        <f aca="false">IF(OR($A392="",INDEX(_LEITURA!$Q$2:$Q$21,18)=0),"",SUMIFS(DECKS!$D$2:$D$1201,DECKS!$A$2:$A$1201,INDEX(_LEITURA!$P$2:$P$21,18),DECKS!$B$2:$B$1201,$A392))</f>
        <v/>
      </c>
      <c r="AC392" s="19" t="str">
        <f aca="false">IF(OR($A392="",INDEX(_LEITURA!$Q$2:$Q$21,19)=0),"",SUMIFS(DECKS!$D$2:$D$1201,DECKS!$A$2:$A$1201,INDEX(_LEITURA!$P$2:$P$21,19),DECKS!$B$2:$B$1201,$A392))</f>
        <v/>
      </c>
      <c r="AD392" s="19" t="str">
        <f aca="false">IF(OR($A392="",INDEX(_LEITURA!$Q$2:$Q$21,20)=0),"",SUMIFS(DECKS!$D$2:$D$1201,DECKS!$A$2:$A$1201,INDEX(_LEITURA!$P$2:$P$21,20),DECKS!$B$2:$B$1201,$A392))</f>
        <v/>
      </c>
      <c r="AE392" s="16" t="str">
        <f aca="false">IF(N(E392)&gt;0,MAX(AE$1:AE391)+1,"")</f>
        <v/>
      </c>
      <c r="AF392" s="11" t="str">
        <f aca="false">IF(A392="","",IFERROR(LEFT(A392,FIND("-",A392)-1),A392))</f>
        <v/>
      </c>
      <c r="AG392" s="11" t="str">
        <f aca="false">IF(AF392="","",IF(ISNUMBER(--MID(AF392,1,1)),0,IF(ISNUMBER(--MID(AF392,2,1)),1,IF(ISNUMBER(--MID(AF392,3,1)),2,IF(ISNUMBER(--MID(AF392,4,1)),3,MIN(LEN(AF392),4))))))</f>
        <v/>
      </c>
      <c r="AH392" s="11" t="str">
        <f aca="false">IF(A392="","",LEFT(AF392,AG392)&amp;REPT("0",4-AG392)&amp;RIGHT("000"&amp;IFERROR(VALUE(MID(AF392,AG392+1,9)),0),3)&amp;RIGHT("0000"&amp;IFERROR(VALUE(MID(A392,FIND("-",A392)+1,9)),0),4))</f>
        <v/>
      </c>
      <c r="AI392" s="11" t="str">
        <f aca="false">IF(OR(A392="",N(E392)&lt;=0),"",IF('FALTAS GERAL'!$M$1="Código","K"&amp;AH392&amp;RIGHT("00000"&amp;ROW(),5),IF('FALTAS GERAL'!$M$1="Nome","K"&amp;UPPER(SUBSTITUTE(SUBSTITUTE(SUBSTITUTE(B392,"*",""),"?",""),"~",""))&amp;"0"&amp;AH392&amp;RIGHT("00000"&amp;ROW(),5),IF('FALTAS GERAL'!$M$1="Falta (maior primeiro)","K"&amp;RIGHT("0000"&amp;(9999-E392),4)&amp;AH392&amp;RIGHT("00000"&amp;ROW(),5),IF('FALTAS GERAL'!$M$1="Nº de decks (maior primeiro)","K"&amp;RIGHT("00"&amp;(99-N(G392)),2)&amp;AH392&amp;RIGHT("00000"&amp;ROW(),5),"K"&amp;RIGHT("00000"&amp;ROW(),5))))))</f>
        <v/>
      </c>
      <c r="AJ392" s="11" t="str">
        <f aca="false">IF(AI392="","",COUNTIFS($AI$2:$AI$801,"&lt;"&amp;AI392,$E$2:$E$801,"&gt;0")+1)</f>
        <v/>
      </c>
      <c r="AK392" s="11" t="str">
        <f aca="false">IF(OR(A392="",N(E392)&lt;=0),"",COUNTIFS($AH$2:$AH$801,"&lt;"&amp;AH392,$E$2:$E$801,"&gt;0")+COUNTIFS($AH$2:AH392,AH392,$E$2:E392,"&gt;0"))</f>
        <v/>
      </c>
    </row>
    <row r="393" customFormat="false" ht="15" hidden="false" customHeight="false" outlineLevel="0" collapsed="false">
      <c r="A393" s="11" t="str">
        <f aca="false">IF(INVENTÁRIO!A393="","",INVENTÁRIO!A393)</f>
        <v/>
      </c>
      <c r="B393" s="11" t="str">
        <f aca="false">IF(A393="","",INVENTÁRIO!B393)</f>
        <v/>
      </c>
      <c r="C393" s="16" t="str">
        <f aca="false">IF(A393="","",INVENTÁRIO!C393)</f>
        <v/>
      </c>
      <c r="D393" s="14" t="str">
        <f aca="false">IF(A393="","",MAX(K393:AD393))</f>
        <v/>
      </c>
      <c r="E393" s="14" t="str">
        <f aca="false">IF(A393="","",MAX(0,D393-C393))</f>
        <v/>
      </c>
      <c r="F393" s="16" t="str">
        <f aca="false">IF(A393="","",IF(D393=0,"Fora dos decks",IF(E393=0,"Completo","Falta")))</f>
        <v/>
      </c>
      <c r="G393" s="16" t="str">
        <f aca="false">IF(A393="","",COUNTIF(K393:AD393,"&gt;0"))</f>
        <v/>
      </c>
      <c r="H393" s="16" t="str">
        <f aca="false">IF(A393="","",IF(G393&gt;1,"Sim",""))</f>
        <v/>
      </c>
      <c r="I393" s="18" t="str">
        <f aca="false">IF(A393="","",SUMIFS(DECKS!$D$2:$D$1201,DECKS!$B$2:$B$1201,A393))</f>
        <v/>
      </c>
      <c r="J393" s="18" t="str">
        <f aca="false">IF(A393="","",MAX(0,I393-C393))</f>
        <v/>
      </c>
      <c r="K393" s="19" t="str">
        <f aca="false">IF(OR($A393="",INDEX(_LEITURA!$Q$2:$Q$21,1)=0),"",SUMIFS(DECKS!$D$2:$D$1201,DECKS!$A$2:$A$1201,INDEX(_LEITURA!$P$2:$P$21,1),DECKS!$B$2:$B$1201,$A393))</f>
        <v/>
      </c>
      <c r="L393" s="19" t="str">
        <f aca="false">IF(OR($A393="",INDEX(_LEITURA!$Q$2:$Q$21,2)=0),"",SUMIFS(DECKS!$D$2:$D$1201,DECKS!$A$2:$A$1201,INDEX(_LEITURA!$P$2:$P$21,2),DECKS!$B$2:$B$1201,$A393))</f>
        <v/>
      </c>
      <c r="M393" s="19" t="str">
        <f aca="false">IF(OR($A393="",INDEX(_LEITURA!$Q$2:$Q$21,3)=0),"",SUMIFS(DECKS!$D$2:$D$1201,DECKS!$A$2:$A$1201,INDEX(_LEITURA!$P$2:$P$21,3),DECKS!$B$2:$B$1201,$A393))</f>
        <v/>
      </c>
      <c r="N393" s="19" t="str">
        <f aca="false">IF(OR($A393="",INDEX(_LEITURA!$Q$2:$Q$21,4)=0),"",SUMIFS(DECKS!$D$2:$D$1201,DECKS!$A$2:$A$1201,INDEX(_LEITURA!$P$2:$P$21,4),DECKS!$B$2:$B$1201,$A393))</f>
        <v/>
      </c>
      <c r="O393" s="19" t="str">
        <f aca="false">IF(OR($A393="",INDEX(_LEITURA!$Q$2:$Q$21,5)=0),"",SUMIFS(DECKS!$D$2:$D$1201,DECKS!$A$2:$A$1201,INDEX(_LEITURA!$P$2:$P$21,5),DECKS!$B$2:$B$1201,$A393))</f>
        <v/>
      </c>
      <c r="P393" s="19" t="str">
        <f aca="false">IF(OR($A393="",INDEX(_LEITURA!$Q$2:$Q$21,6)=0),"",SUMIFS(DECKS!$D$2:$D$1201,DECKS!$A$2:$A$1201,INDEX(_LEITURA!$P$2:$P$21,6),DECKS!$B$2:$B$1201,$A393))</f>
        <v/>
      </c>
      <c r="Q393" s="19" t="str">
        <f aca="false">IF(OR($A393="",INDEX(_LEITURA!$Q$2:$Q$21,7)=0),"",SUMIFS(DECKS!$D$2:$D$1201,DECKS!$A$2:$A$1201,INDEX(_LEITURA!$P$2:$P$21,7),DECKS!$B$2:$B$1201,$A393))</f>
        <v/>
      </c>
      <c r="R393" s="19" t="str">
        <f aca="false">IF(OR($A393="",INDEX(_LEITURA!$Q$2:$Q$21,8)=0),"",SUMIFS(DECKS!$D$2:$D$1201,DECKS!$A$2:$A$1201,INDEX(_LEITURA!$P$2:$P$21,8),DECKS!$B$2:$B$1201,$A393))</f>
        <v/>
      </c>
      <c r="S393" s="19" t="str">
        <f aca="false">IF(OR($A393="",INDEX(_LEITURA!$Q$2:$Q$21,9)=0),"",SUMIFS(DECKS!$D$2:$D$1201,DECKS!$A$2:$A$1201,INDEX(_LEITURA!$P$2:$P$21,9),DECKS!$B$2:$B$1201,$A393))</f>
        <v/>
      </c>
      <c r="T393" s="19" t="str">
        <f aca="false">IF(OR($A393="",INDEX(_LEITURA!$Q$2:$Q$21,10)=0),"",SUMIFS(DECKS!$D$2:$D$1201,DECKS!$A$2:$A$1201,INDEX(_LEITURA!$P$2:$P$21,10),DECKS!$B$2:$B$1201,$A393))</f>
        <v/>
      </c>
      <c r="U393" s="19" t="str">
        <f aca="false">IF(OR($A393="",INDEX(_LEITURA!$Q$2:$Q$21,11)=0),"",SUMIFS(DECKS!$D$2:$D$1201,DECKS!$A$2:$A$1201,INDEX(_LEITURA!$P$2:$P$21,11),DECKS!$B$2:$B$1201,$A393))</f>
        <v/>
      </c>
      <c r="V393" s="19" t="str">
        <f aca="false">IF(OR($A393="",INDEX(_LEITURA!$Q$2:$Q$21,12)=0),"",SUMIFS(DECKS!$D$2:$D$1201,DECKS!$A$2:$A$1201,INDEX(_LEITURA!$P$2:$P$21,12),DECKS!$B$2:$B$1201,$A393))</f>
        <v/>
      </c>
      <c r="W393" s="19" t="str">
        <f aca="false">IF(OR($A393="",INDEX(_LEITURA!$Q$2:$Q$21,13)=0),"",SUMIFS(DECKS!$D$2:$D$1201,DECKS!$A$2:$A$1201,INDEX(_LEITURA!$P$2:$P$21,13),DECKS!$B$2:$B$1201,$A393))</f>
        <v/>
      </c>
      <c r="X393" s="19" t="str">
        <f aca="false">IF(OR($A393="",INDEX(_LEITURA!$Q$2:$Q$21,14)=0),"",SUMIFS(DECKS!$D$2:$D$1201,DECKS!$A$2:$A$1201,INDEX(_LEITURA!$P$2:$P$21,14),DECKS!$B$2:$B$1201,$A393))</f>
        <v/>
      </c>
      <c r="Y393" s="19" t="str">
        <f aca="false">IF(OR($A393="",INDEX(_LEITURA!$Q$2:$Q$21,15)=0),"",SUMIFS(DECKS!$D$2:$D$1201,DECKS!$A$2:$A$1201,INDEX(_LEITURA!$P$2:$P$21,15),DECKS!$B$2:$B$1201,$A393))</f>
        <v/>
      </c>
      <c r="Z393" s="19" t="str">
        <f aca="false">IF(OR($A393="",INDEX(_LEITURA!$Q$2:$Q$21,16)=0),"",SUMIFS(DECKS!$D$2:$D$1201,DECKS!$A$2:$A$1201,INDEX(_LEITURA!$P$2:$P$21,16),DECKS!$B$2:$B$1201,$A393))</f>
        <v/>
      </c>
      <c r="AA393" s="19" t="str">
        <f aca="false">IF(OR($A393="",INDEX(_LEITURA!$Q$2:$Q$21,17)=0),"",SUMIFS(DECKS!$D$2:$D$1201,DECKS!$A$2:$A$1201,INDEX(_LEITURA!$P$2:$P$21,17),DECKS!$B$2:$B$1201,$A393))</f>
        <v/>
      </c>
      <c r="AB393" s="19" t="str">
        <f aca="false">IF(OR($A393="",INDEX(_LEITURA!$Q$2:$Q$21,18)=0),"",SUMIFS(DECKS!$D$2:$D$1201,DECKS!$A$2:$A$1201,INDEX(_LEITURA!$P$2:$P$21,18),DECKS!$B$2:$B$1201,$A393))</f>
        <v/>
      </c>
      <c r="AC393" s="19" t="str">
        <f aca="false">IF(OR($A393="",INDEX(_LEITURA!$Q$2:$Q$21,19)=0),"",SUMIFS(DECKS!$D$2:$D$1201,DECKS!$A$2:$A$1201,INDEX(_LEITURA!$P$2:$P$21,19),DECKS!$B$2:$B$1201,$A393))</f>
        <v/>
      </c>
      <c r="AD393" s="19" t="str">
        <f aca="false">IF(OR($A393="",INDEX(_LEITURA!$Q$2:$Q$21,20)=0),"",SUMIFS(DECKS!$D$2:$D$1201,DECKS!$A$2:$A$1201,INDEX(_LEITURA!$P$2:$P$21,20),DECKS!$B$2:$B$1201,$A393))</f>
        <v/>
      </c>
      <c r="AE393" s="16" t="str">
        <f aca="false">IF(N(E393)&gt;0,MAX(AE$1:AE392)+1,"")</f>
        <v/>
      </c>
      <c r="AF393" s="11" t="str">
        <f aca="false">IF(A393="","",IFERROR(LEFT(A393,FIND("-",A393)-1),A393))</f>
        <v/>
      </c>
      <c r="AG393" s="11" t="str">
        <f aca="false">IF(AF393="","",IF(ISNUMBER(--MID(AF393,1,1)),0,IF(ISNUMBER(--MID(AF393,2,1)),1,IF(ISNUMBER(--MID(AF393,3,1)),2,IF(ISNUMBER(--MID(AF393,4,1)),3,MIN(LEN(AF393),4))))))</f>
        <v/>
      </c>
      <c r="AH393" s="11" t="str">
        <f aca="false">IF(A393="","",LEFT(AF393,AG393)&amp;REPT("0",4-AG393)&amp;RIGHT("000"&amp;IFERROR(VALUE(MID(AF393,AG393+1,9)),0),3)&amp;RIGHT("0000"&amp;IFERROR(VALUE(MID(A393,FIND("-",A393)+1,9)),0),4))</f>
        <v/>
      </c>
      <c r="AI393" s="11" t="str">
        <f aca="false">IF(OR(A393="",N(E393)&lt;=0),"",IF('FALTAS GERAL'!$M$1="Código","K"&amp;AH393&amp;RIGHT("00000"&amp;ROW(),5),IF('FALTAS GERAL'!$M$1="Nome","K"&amp;UPPER(SUBSTITUTE(SUBSTITUTE(SUBSTITUTE(B393,"*",""),"?",""),"~",""))&amp;"0"&amp;AH393&amp;RIGHT("00000"&amp;ROW(),5),IF('FALTAS GERAL'!$M$1="Falta (maior primeiro)","K"&amp;RIGHT("0000"&amp;(9999-E393),4)&amp;AH393&amp;RIGHT("00000"&amp;ROW(),5),IF('FALTAS GERAL'!$M$1="Nº de decks (maior primeiro)","K"&amp;RIGHT("00"&amp;(99-N(G393)),2)&amp;AH393&amp;RIGHT("00000"&amp;ROW(),5),"K"&amp;RIGHT("00000"&amp;ROW(),5))))))</f>
        <v/>
      </c>
      <c r="AJ393" s="11" t="str">
        <f aca="false">IF(AI393="","",COUNTIFS($AI$2:$AI$801,"&lt;"&amp;AI393,$E$2:$E$801,"&gt;0")+1)</f>
        <v/>
      </c>
      <c r="AK393" s="11" t="str">
        <f aca="false">IF(OR(A393="",N(E393)&lt;=0),"",COUNTIFS($AH$2:$AH$801,"&lt;"&amp;AH393,$E$2:$E$801,"&gt;0")+COUNTIFS($AH$2:AH393,AH393,$E$2:E393,"&gt;0"))</f>
        <v/>
      </c>
    </row>
    <row r="394" customFormat="false" ht="15" hidden="false" customHeight="false" outlineLevel="0" collapsed="false">
      <c r="A394" s="11" t="str">
        <f aca="false">IF(INVENTÁRIO!A394="","",INVENTÁRIO!A394)</f>
        <v/>
      </c>
      <c r="B394" s="11" t="str">
        <f aca="false">IF(A394="","",INVENTÁRIO!B394)</f>
        <v/>
      </c>
      <c r="C394" s="16" t="str">
        <f aca="false">IF(A394="","",INVENTÁRIO!C394)</f>
        <v/>
      </c>
      <c r="D394" s="14" t="str">
        <f aca="false">IF(A394="","",MAX(K394:AD394))</f>
        <v/>
      </c>
      <c r="E394" s="14" t="str">
        <f aca="false">IF(A394="","",MAX(0,D394-C394))</f>
        <v/>
      </c>
      <c r="F394" s="16" t="str">
        <f aca="false">IF(A394="","",IF(D394=0,"Fora dos decks",IF(E394=0,"Completo","Falta")))</f>
        <v/>
      </c>
      <c r="G394" s="16" t="str">
        <f aca="false">IF(A394="","",COUNTIF(K394:AD394,"&gt;0"))</f>
        <v/>
      </c>
      <c r="H394" s="16" t="str">
        <f aca="false">IF(A394="","",IF(G394&gt;1,"Sim",""))</f>
        <v/>
      </c>
      <c r="I394" s="18" t="str">
        <f aca="false">IF(A394="","",SUMIFS(DECKS!$D$2:$D$1201,DECKS!$B$2:$B$1201,A394))</f>
        <v/>
      </c>
      <c r="J394" s="18" t="str">
        <f aca="false">IF(A394="","",MAX(0,I394-C394))</f>
        <v/>
      </c>
      <c r="K394" s="19" t="str">
        <f aca="false">IF(OR($A394="",INDEX(_LEITURA!$Q$2:$Q$21,1)=0),"",SUMIFS(DECKS!$D$2:$D$1201,DECKS!$A$2:$A$1201,INDEX(_LEITURA!$P$2:$P$21,1),DECKS!$B$2:$B$1201,$A394))</f>
        <v/>
      </c>
      <c r="L394" s="19" t="str">
        <f aca="false">IF(OR($A394="",INDEX(_LEITURA!$Q$2:$Q$21,2)=0),"",SUMIFS(DECKS!$D$2:$D$1201,DECKS!$A$2:$A$1201,INDEX(_LEITURA!$P$2:$P$21,2),DECKS!$B$2:$B$1201,$A394))</f>
        <v/>
      </c>
      <c r="M394" s="19" t="str">
        <f aca="false">IF(OR($A394="",INDEX(_LEITURA!$Q$2:$Q$21,3)=0),"",SUMIFS(DECKS!$D$2:$D$1201,DECKS!$A$2:$A$1201,INDEX(_LEITURA!$P$2:$P$21,3),DECKS!$B$2:$B$1201,$A394))</f>
        <v/>
      </c>
      <c r="N394" s="19" t="str">
        <f aca="false">IF(OR($A394="",INDEX(_LEITURA!$Q$2:$Q$21,4)=0),"",SUMIFS(DECKS!$D$2:$D$1201,DECKS!$A$2:$A$1201,INDEX(_LEITURA!$P$2:$P$21,4),DECKS!$B$2:$B$1201,$A394))</f>
        <v/>
      </c>
      <c r="O394" s="19" t="str">
        <f aca="false">IF(OR($A394="",INDEX(_LEITURA!$Q$2:$Q$21,5)=0),"",SUMIFS(DECKS!$D$2:$D$1201,DECKS!$A$2:$A$1201,INDEX(_LEITURA!$P$2:$P$21,5),DECKS!$B$2:$B$1201,$A394))</f>
        <v/>
      </c>
      <c r="P394" s="19" t="str">
        <f aca="false">IF(OR($A394="",INDEX(_LEITURA!$Q$2:$Q$21,6)=0),"",SUMIFS(DECKS!$D$2:$D$1201,DECKS!$A$2:$A$1201,INDEX(_LEITURA!$P$2:$P$21,6),DECKS!$B$2:$B$1201,$A394))</f>
        <v/>
      </c>
      <c r="Q394" s="19" t="str">
        <f aca="false">IF(OR($A394="",INDEX(_LEITURA!$Q$2:$Q$21,7)=0),"",SUMIFS(DECKS!$D$2:$D$1201,DECKS!$A$2:$A$1201,INDEX(_LEITURA!$P$2:$P$21,7),DECKS!$B$2:$B$1201,$A394))</f>
        <v/>
      </c>
      <c r="R394" s="19" t="str">
        <f aca="false">IF(OR($A394="",INDEX(_LEITURA!$Q$2:$Q$21,8)=0),"",SUMIFS(DECKS!$D$2:$D$1201,DECKS!$A$2:$A$1201,INDEX(_LEITURA!$P$2:$P$21,8),DECKS!$B$2:$B$1201,$A394))</f>
        <v/>
      </c>
      <c r="S394" s="19" t="str">
        <f aca="false">IF(OR($A394="",INDEX(_LEITURA!$Q$2:$Q$21,9)=0),"",SUMIFS(DECKS!$D$2:$D$1201,DECKS!$A$2:$A$1201,INDEX(_LEITURA!$P$2:$P$21,9),DECKS!$B$2:$B$1201,$A394))</f>
        <v/>
      </c>
      <c r="T394" s="19" t="str">
        <f aca="false">IF(OR($A394="",INDEX(_LEITURA!$Q$2:$Q$21,10)=0),"",SUMIFS(DECKS!$D$2:$D$1201,DECKS!$A$2:$A$1201,INDEX(_LEITURA!$P$2:$P$21,10),DECKS!$B$2:$B$1201,$A394))</f>
        <v/>
      </c>
      <c r="U394" s="19" t="str">
        <f aca="false">IF(OR($A394="",INDEX(_LEITURA!$Q$2:$Q$21,11)=0),"",SUMIFS(DECKS!$D$2:$D$1201,DECKS!$A$2:$A$1201,INDEX(_LEITURA!$P$2:$P$21,11),DECKS!$B$2:$B$1201,$A394))</f>
        <v/>
      </c>
      <c r="V394" s="19" t="str">
        <f aca="false">IF(OR($A394="",INDEX(_LEITURA!$Q$2:$Q$21,12)=0),"",SUMIFS(DECKS!$D$2:$D$1201,DECKS!$A$2:$A$1201,INDEX(_LEITURA!$P$2:$P$21,12),DECKS!$B$2:$B$1201,$A394))</f>
        <v/>
      </c>
      <c r="W394" s="19" t="str">
        <f aca="false">IF(OR($A394="",INDEX(_LEITURA!$Q$2:$Q$21,13)=0),"",SUMIFS(DECKS!$D$2:$D$1201,DECKS!$A$2:$A$1201,INDEX(_LEITURA!$P$2:$P$21,13),DECKS!$B$2:$B$1201,$A394))</f>
        <v/>
      </c>
      <c r="X394" s="19" t="str">
        <f aca="false">IF(OR($A394="",INDEX(_LEITURA!$Q$2:$Q$21,14)=0),"",SUMIFS(DECKS!$D$2:$D$1201,DECKS!$A$2:$A$1201,INDEX(_LEITURA!$P$2:$P$21,14),DECKS!$B$2:$B$1201,$A394))</f>
        <v/>
      </c>
      <c r="Y394" s="19" t="str">
        <f aca="false">IF(OR($A394="",INDEX(_LEITURA!$Q$2:$Q$21,15)=0),"",SUMIFS(DECKS!$D$2:$D$1201,DECKS!$A$2:$A$1201,INDEX(_LEITURA!$P$2:$P$21,15),DECKS!$B$2:$B$1201,$A394))</f>
        <v/>
      </c>
      <c r="Z394" s="19" t="str">
        <f aca="false">IF(OR($A394="",INDEX(_LEITURA!$Q$2:$Q$21,16)=0),"",SUMIFS(DECKS!$D$2:$D$1201,DECKS!$A$2:$A$1201,INDEX(_LEITURA!$P$2:$P$21,16),DECKS!$B$2:$B$1201,$A394))</f>
        <v/>
      </c>
      <c r="AA394" s="19" t="str">
        <f aca="false">IF(OR($A394="",INDEX(_LEITURA!$Q$2:$Q$21,17)=0),"",SUMIFS(DECKS!$D$2:$D$1201,DECKS!$A$2:$A$1201,INDEX(_LEITURA!$P$2:$P$21,17),DECKS!$B$2:$B$1201,$A394))</f>
        <v/>
      </c>
      <c r="AB394" s="19" t="str">
        <f aca="false">IF(OR($A394="",INDEX(_LEITURA!$Q$2:$Q$21,18)=0),"",SUMIFS(DECKS!$D$2:$D$1201,DECKS!$A$2:$A$1201,INDEX(_LEITURA!$P$2:$P$21,18),DECKS!$B$2:$B$1201,$A394))</f>
        <v/>
      </c>
      <c r="AC394" s="19" t="str">
        <f aca="false">IF(OR($A394="",INDEX(_LEITURA!$Q$2:$Q$21,19)=0),"",SUMIFS(DECKS!$D$2:$D$1201,DECKS!$A$2:$A$1201,INDEX(_LEITURA!$P$2:$P$21,19),DECKS!$B$2:$B$1201,$A394))</f>
        <v/>
      </c>
      <c r="AD394" s="19" t="str">
        <f aca="false">IF(OR($A394="",INDEX(_LEITURA!$Q$2:$Q$21,20)=0),"",SUMIFS(DECKS!$D$2:$D$1201,DECKS!$A$2:$A$1201,INDEX(_LEITURA!$P$2:$P$21,20),DECKS!$B$2:$B$1201,$A394))</f>
        <v/>
      </c>
      <c r="AE394" s="16" t="str">
        <f aca="false">IF(N(E394)&gt;0,MAX(AE$1:AE393)+1,"")</f>
        <v/>
      </c>
      <c r="AF394" s="11" t="str">
        <f aca="false">IF(A394="","",IFERROR(LEFT(A394,FIND("-",A394)-1),A394))</f>
        <v/>
      </c>
      <c r="AG394" s="11" t="str">
        <f aca="false">IF(AF394="","",IF(ISNUMBER(--MID(AF394,1,1)),0,IF(ISNUMBER(--MID(AF394,2,1)),1,IF(ISNUMBER(--MID(AF394,3,1)),2,IF(ISNUMBER(--MID(AF394,4,1)),3,MIN(LEN(AF394),4))))))</f>
        <v/>
      </c>
      <c r="AH394" s="11" t="str">
        <f aca="false">IF(A394="","",LEFT(AF394,AG394)&amp;REPT("0",4-AG394)&amp;RIGHT("000"&amp;IFERROR(VALUE(MID(AF394,AG394+1,9)),0),3)&amp;RIGHT("0000"&amp;IFERROR(VALUE(MID(A394,FIND("-",A394)+1,9)),0),4))</f>
        <v/>
      </c>
      <c r="AI394" s="11" t="str">
        <f aca="false">IF(OR(A394="",N(E394)&lt;=0),"",IF('FALTAS GERAL'!$M$1="Código","K"&amp;AH394&amp;RIGHT("00000"&amp;ROW(),5),IF('FALTAS GERAL'!$M$1="Nome","K"&amp;UPPER(SUBSTITUTE(SUBSTITUTE(SUBSTITUTE(B394,"*",""),"?",""),"~",""))&amp;"0"&amp;AH394&amp;RIGHT("00000"&amp;ROW(),5),IF('FALTAS GERAL'!$M$1="Falta (maior primeiro)","K"&amp;RIGHT("0000"&amp;(9999-E394),4)&amp;AH394&amp;RIGHT("00000"&amp;ROW(),5),IF('FALTAS GERAL'!$M$1="Nº de decks (maior primeiro)","K"&amp;RIGHT("00"&amp;(99-N(G394)),2)&amp;AH394&amp;RIGHT("00000"&amp;ROW(),5),"K"&amp;RIGHT("00000"&amp;ROW(),5))))))</f>
        <v/>
      </c>
      <c r="AJ394" s="11" t="str">
        <f aca="false">IF(AI394="","",COUNTIFS($AI$2:$AI$801,"&lt;"&amp;AI394,$E$2:$E$801,"&gt;0")+1)</f>
        <v/>
      </c>
      <c r="AK394" s="11" t="str">
        <f aca="false">IF(OR(A394="",N(E394)&lt;=0),"",COUNTIFS($AH$2:$AH$801,"&lt;"&amp;AH394,$E$2:$E$801,"&gt;0")+COUNTIFS($AH$2:AH394,AH394,$E$2:E394,"&gt;0"))</f>
        <v/>
      </c>
    </row>
    <row r="395" customFormat="false" ht="15" hidden="false" customHeight="false" outlineLevel="0" collapsed="false">
      <c r="A395" s="11" t="str">
        <f aca="false">IF(INVENTÁRIO!A395="","",INVENTÁRIO!A395)</f>
        <v/>
      </c>
      <c r="B395" s="11" t="str">
        <f aca="false">IF(A395="","",INVENTÁRIO!B395)</f>
        <v/>
      </c>
      <c r="C395" s="16" t="str">
        <f aca="false">IF(A395="","",INVENTÁRIO!C395)</f>
        <v/>
      </c>
      <c r="D395" s="14" t="str">
        <f aca="false">IF(A395="","",MAX(K395:AD395))</f>
        <v/>
      </c>
      <c r="E395" s="14" t="str">
        <f aca="false">IF(A395="","",MAX(0,D395-C395))</f>
        <v/>
      </c>
      <c r="F395" s="16" t="str">
        <f aca="false">IF(A395="","",IF(D395=0,"Fora dos decks",IF(E395=0,"Completo","Falta")))</f>
        <v/>
      </c>
      <c r="G395" s="16" t="str">
        <f aca="false">IF(A395="","",COUNTIF(K395:AD395,"&gt;0"))</f>
        <v/>
      </c>
      <c r="H395" s="16" t="str">
        <f aca="false">IF(A395="","",IF(G395&gt;1,"Sim",""))</f>
        <v/>
      </c>
      <c r="I395" s="18" t="str">
        <f aca="false">IF(A395="","",SUMIFS(DECKS!$D$2:$D$1201,DECKS!$B$2:$B$1201,A395))</f>
        <v/>
      </c>
      <c r="J395" s="18" t="str">
        <f aca="false">IF(A395="","",MAX(0,I395-C395))</f>
        <v/>
      </c>
      <c r="K395" s="19" t="str">
        <f aca="false">IF(OR($A395="",INDEX(_LEITURA!$Q$2:$Q$21,1)=0),"",SUMIFS(DECKS!$D$2:$D$1201,DECKS!$A$2:$A$1201,INDEX(_LEITURA!$P$2:$P$21,1),DECKS!$B$2:$B$1201,$A395))</f>
        <v/>
      </c>
      <c r="L395" s="19" t="str">
        <f aca="false">IF(OR($A395="",INDEX(_LEITURA!$Q$2:$Q$21,2)=0),"",SUMIFS(DECKS!$D$2:$D$1201,DECKS!$A$2:$A$1201,INDEX(_LEITURA!$P$2:$P$21,2),DECKS!$B$2:$B$1201,$A395))</f>
        <v/>
      </c>
      <c r="M395" s="19" t="str">
        <f aca="false">IF(OR($A395="",INDEX(_LEITURA!$Q$2:$Q$21,3)=0),"",SUMIFS(DECKS!$D$2:$D$1201,DECKS!$A$2:$A$1201,INDEX(_LEITURA!$P$2:$P$21,3),DECKS!$B$2:$B$1201,$A395))</f>
        <v/>
      </c>
      <c r="N395" s="19" t="str">
        <f aca="false">IF(OR($A395="",INDEX(_LEITURA!$Q$2:$Q$21,4)=0),"",SUMIFS(DECKS!$D$2:$D$1201,DECKS!$A$2:$A$1201,INDEX(_LEITURA!$P$2:$P$21,4),DECKS!$B$2:$B$1201,$A395))</f>
        <v/>
      </c>
      <c r="O395" s="19" t="str">
        <f aca="false">IF(OR($A395="",INDEX(_LEITURA!$Q$2:$Q$21,5)=0),"",SUMIFS(DECKS!$D$2:$D$1201,DECKS!$A$2:$A$1201,INDEX(_LEITURA!$P$2:$P$21,5),DECKS!$B$2:$B$1201,$A395))</f>
        <v/>
      </c>
      <c r="P395" s="19" t="str">
        <f aca="false">IF(OR($A395="",INDEX(_LEITURA!$Q$2:$Q$21,6)=0),"",SUMIFS(DECKS!$D$2:$D$1201,DECKS!$A$2:$A$1201,INDEX(_LEITURA!$P$2:$P$21,6),DECKS!$B$2:$B$1201,$A395))</f>
        <v/>
      </c>
      <c r="Q395" s="19" t="str">
        <f aca="false">IF(OR($A395="",INDEX(_LEITURA!$Q$2:$Q$21,7)=0),"",SUMIFS(DECKS!$D$2:$D$1201,DECKS!$A$2:$A$1201,INDEX(_LEITURA!$P$2:$P$21,7),DECKS!$B$2:$B$1201,$A395))</f>
        <v/>
      </c>
      <c r="R395" s="19" t="str">
        <f aca="false">IF(OR($A395="",INDEX(_LEITURA!$Q$2:$Q$21,8)=0),"",SUMIFS(DECKS!$D$2:$D$1201,DECKS!$A$2:$A$1201,INDEX(_LEITURA!$P$2:$P$21,8),DECKS!$B$2:$B$1201,$A395))</f>
        <v/>
      </c>
      <c r="S395" s="19" t="str">
        <f aca="false">IF(OR($A395="",INDEX(_LEITURA!$Q$2:$Q$21,9)=0),"",SUMIFS(DECKS!$D$2:$D$1201,DECKS!$A$2:$A$1201,INDEX(_LEITURA!$P$2:$P$21,9),DECKS!$B$2:$B$1201,$A395))</f>
        <v/>
      </c>
      <c r="T395" s="19" t="str">
        <f aca="false">IF(OR($A395="",INDEX(_LEITURA!$Q$2:$Q$21,10)=0),"",SUMIFS(DECKS!$D$2:$D$1201,DECKS!$A$2:$A$1201,INDEX(_LEITURA!$P$2:$P$21,10),DECKS!$B$2:$B$1201,$A395))</f>
        <v/>
      </c>
      <c r="U395" s="19" t="str">
        <f aca="false">IF(OR($A395="",INDEX(_LEITURA!$Q$2:$Q$21,11)=0),"",SUMIFS(DECKS!$D$2:$D$1201,DECKS!$A$2:$A$1201,INDEX(_LEITURA!$P$2:$P$21,11),DECKS!$B$2:$B$1201,$A395))</f>
        <v/>
      </c>
      <c r="V395" s="19" t="str">
        <f aca="false">IF(OR($A395="",INDEX(_LEITURA!$Q$2:$Q$21,12)=0),"",SUMIFS(DECKS!$D$2:$D$1201,DECKS!$A$2:$A$1201,INDEX(_LEITURA!$P$2:$P$21,12),DECKS!$B$2:$B$1201,$A395))</f>
        <v/>
      </c>
      <c r="W395" s="19" t="str">
        <f aca="false">IF(OR($A395="",INDEX(_LEITURA!$Q$2:$Q$21,13)=0),"",SUMIFS(DECKS!$D$2:$D$1201,DECKS!$A$2:$A$1201,INDEX(_LEITURA!$P$2:$P$21,13),DECKS!$B$2:$B$1201,$A395))</f>
        <v/>
      </c>
      <c r="X395" s="19" t="str">
        <f aca="false">IF(OR($A395="",INDEX(_LEITURA!$Q$2:$Q$21,14)=0),"",SUMIFS(DECKS!$D$2:$D$1201,DECKS!$A$2:$A$1201,INDEX(_LEITURA!$P$2:$P$21,14),DECKS!$B$2:$B$1201,$A395))</f>
        <v/>
      </c>
      <c r="Y395" s="19" t="str">
        <f aca="false">IF(OR($A395="",INDEX(_LEITURA!$Q$2:$Q$21,15)=0),"",SUMIFS(DECKS!$D$2:$D$1201,DECKS!$A$2:$A$1201,INDEX(_LEITURA!$P$2:$P$21,15),DECKS!$B$2:$B$1201,$A395))</f>
        <v/>
      </c>
      <c r="Z395" s="19" t="str">
        <f aca="false">IF(OR($A395="",INDEX(_LEITURA!$Q$2:$Q$21,16)=0),"",SUMIFS(DECKS!$D$2:$D$1201,DECKS!$A$2:$A$1201,INDEX(_LEITURA!$P$2:$P$21,16),DECKS!$B$2:$B$1201,$A395))</f>
        <v/>
      </c>
      <c r="AA395" s="19" t="str">
        <f aca="false">IF(OR($A395="",INDEX(_LEITURA!$Q$2:$Q$21,17)=0),"",SUMIFS(DECKS!$D$2:$D$1201,DECKS!$A$2:$A$1201,INDEX(_LEITURA!$P$2:$P$21,17),DECKS!$B$2:$B$1201,$A395))</f>
        <v/>
      </c>
      <c r="AB395" s="19" t="str">
        <f aca="false">IF(OR($A395="",INDEX(_LEITURA!$Q$2:$Q$21,18)=0),"",SUMIFS(DECKS!$D$2:$D$1201,DECKS!$A$2:$A$1201,INDEX(_LEITURA!$P$2:$P$21,18),DECKS!$B$2:$B$1201,$A395))</f>
        <v/>
      </c>
      <c r="AC395" s="19" t="str">
        <f aca="false">IF(OR($A395="",INDEX(_LEITURA!$Q$2:$Q$21,19)=0),"",SUMIFS(DECKS!$D$2:$D$1201,DECKS!$A$2:$A$1201,INDEX(_LEITURA!$P$2:$P$21,19),DECKS!$B$2:$B$1201,$A395))</f>
        <v/>
      </c>
      <c r="AD395" s="19" t="str">
        <f aca="false">IF(OR($A395="",INDEX(_LEITURA!$Q$2:$Q$21,20)=0),"",SUMIFS(DECKS!$D$2:$D$1201,DECKS!$A$2:$A$1201,INDEX(_LEITURA!$P$2:$P$21,20),DECKS!$B$2:$B$1201,$A395))</f>
        <v/>
      </c>
      <c r="AE395" s="16" t="str">
        <f aca="false">IF(N(E395)&gt;0,MAX(AE$1:AE394)+1,"")</f>
        <v/>
      </c>
      <c r="AF395" s="11" t="str">
        <f aca="false">IF(A395="","",IFERROR(LEFT(A395,FIND("-",A395)-1),A395))</f>
        <v/>
      </c>
      <c r="AG395" s="11" t="str">
        <f aca="false">IF(AF395="","",IF(ISNUMBER(--MID(AF395,1,1)),0,IF(ISNUMBER(--MID(AF395,2,1)),1,IF(ISNUMBER(--MID(AF395,3,1)),2,IF(ISNUMBER(--MID(AF395,4,1)),3,MIN(LEN(AF395),4))))))</f>
        <v/>
      </c>
      <c r="AH395" s="11" t="str">
        <f aca="false">IF(A395="","",LEFT(AF395,AG395)&amp;REPT("0",4-AG395)&amp;RIGHT("000"&amp;IFERROR(VALUE(MID(AF395,AG395+1,9)),0),3)&amp;RIGHT("0000"&amp;IFERROR(VALUE(MID(A395,FIND("-",A395)+1,9)),0),4))</f>
        <v/>
      </c>
      <c r="AI395" s="11" t="str">
        <f aca="false">IF(OR(A395="",N(E395)&lt;=0),"",IF('FALTAS GERAL'!$M$1="Código","K"&amp;AH395&amp;RIGHT("00000"&amp;ROW(),5),IF('FALTAS GERAL'!$M$1="Nome","K"&amp;UPPER(SUBSTITUTE(SUBSTITUTE(SUBSTITUTE(B395,"*",""),"?",""),"~",""))&amp;"0"&amp;AH395&amp;RIGHT("00000"&amp;ROW(),5),IF('FALTAS GERAL'!$M$1="Falta (maior primeiro)","K"&amp;RIGHT("0000"&amp;(9999-E395),4)&amp;AH395&amp;RIGHT("00000"&amp;ROW(),5),IF('FALTAS GERAL'!$M$1="Nº de decks (maior primeiro)","K"&amp;RIGHT("00"&amp;(99-N(G395)),2)&amp;AH395&amp;RIGHT("00000"&amp;ROW(),5),"K"&amp;RIGHT("00000"&amp;ROW(),5))))))</f>
        <v/>
      </c>
      <c r="AJ395" s="11" t="str">
        <f aca="false">IF(AI395="","",COUNTIFS($AI$2:$AI$801,"&lt;"&amp;AI395,$E$2:$E$801,"&gt;0")+1)</f>
        <v/>
      </c>
      <c r="AK395" s="11" t="str">
        <f aca="false">IF(OR(A395="",N(E395)&lt;=0),"",COUNTIFS($AH$2:$AH$801,"&lt;"&amp;AH395,$E$2:$E$801,"&gt;0")+COUNTIFS($AH$2:AH395,AH395,$E$2:E395,"&gt;0"))</f>
        <v/>
      </c>
    </row>
    <row r="396" customFormat="false" ht="15" hidden="false" customHeight="false" outlineLevel="0" collapsed="false">
      <c r="A396" s="11" t="str">
        <f aca="false">IF(INVENTÁRIO!A396="","",INVENTÁRIO!A396)</f>
        <v/>
      </c>
      <c r="B396" s="11" t="str">
        <f aca="false">IF(A396="","",INVENTÁRIO!B396)</f>
        <v/>
      </c>
      <c r="C396" s="16" t="str">
        <f aca="false">IF(A396="","",INVENTÁRIO!C396)</f>
        <v/>
      </c>
      <c r="D396" s="14" t="str">
        <f aca="false">IF(A396="","",MAX(K396:AD396))</f>
        <v/>
      </c>
      <c r="E396" s="14" t="str">
        <f aca="false">IF(A396="","",MAX(0,D396-C396))</f>
        <v/>
      </c>
      <c r="F396" s="16" t="str">
        <f aca="false">IF(A396="","",IF(D396=0,"Fora dos decks",IF(E396=0,"Completo","Falta")))</f>
        <v/>
      </c>
      <c r="G396" s="16" t="str">
        <f aca="false">IF(A396="","",COUNTIF(K396:AD396,"&gt;0"))</f>
        <v/>
      </c>
      <c r="H396" s="16" t="str">
        <f aca="false">IF(A396="","",IF(G396&gt;1,"Sim",""))</f>
        <v/>
      </c>
      <c r="I396" s="18" t="str">
        <f aca="false">IF(A396="","",SUMIFS(DECKS!$D$2:$D$1201,DECKS!$B$2:$B$1201,A396))</f>
        <v/>
      </c>
      <c r="J396" s="18" t="str">
        <f aca="false">IF(A396="","",MAX(0,I396-C396))</f>
        <v/>
      </c>
      <c r="K396" s="19" t="str">
        <f aca="false">IF(OR($A396="",INDEX(_LEITURA!$Q$2:$Q$21,1)=0),"",SUMIFS(DECKS!$D$2:$D$1201,DECKS!$A$2:$A$1201,INDEX(_LEITURA!$P$2:$P$21,1),DECKS!$B$2:$B$1201,$A396))</f>
        <v/>
      </c>
      <c r="L396" s="19" t="str">
        <f aca="false">IF(OR($A396="",INDEX(_LEITURA!$Q$2:$Q$21,2)=0),"",SUMIFS(DECKS!$D$2:$D$1201,DECKS!$A$2:$A$1201,INDEX(_LEITURA!$P$2:$P$21,2),DECKS!$B$2:$B$1201,$A396))</f>
        <v/>
      </c>
      <c r="M396" s="19" t="str">
        <f aca="false">IF(OR($A396="",INDEX(_LEITURA!$Q$2:$Q$21,3)=0),"",SUMIFS(DECKS!$D$2:$D$1201,DECKS!$A$2:$A$1201,INDEX(_LEITURA!$P$2:$P$21,3),DECKS!$B$2:$B$1201,$A396))</f>
        <v/>
      </c>
      <c r="N396" s="19" t="str">
        <f aca="false">IF(OR($A396="",INDEX(_LEITURA!$Q$2:$Q$21,4)=0),"",SUMIFS(DECKS!$D$2:$D$1201,DECKS!$A$2:$A$1201,INDEX(_LEITURA!$P$2:$P$21,4),DECKS!$B$2:$B$1201,$A396))</f>
        <v/>
      </c>
      <c r="O396" s="19" t="str">
        <f aca="false">IF(OR($A396="",INDEX(_LEITURA!$Q$2:$Q$21,5)=0),"",SUMIFS(DECKS!$D$2:$D$1201,DECKS!$A$2:$A$1201,INDEX(_LEITURA!$P$2:$P$21,5),DECKS!$B$2:$B$1201,$A396))</f>
        <v/>
      </c>
      <c r="P396" s="19" t="str">
        <f aca="false">IF(OR($A396="",INDEX(_LEITURA!$Q$2:$Q$21,6)=0),"",SUMIFS(DECKS!$D$2:$D$1201,DECKS!$A$2:$A$1201,INDEX(_LEITURA!$P$2:$P$21,6),DECKS!$B$2:$B$1201,$A396))</f>
        <v/>
      </c>
      <c r="Q396" s="19" t="str">
        <f aca="false">IF(OR($A396="",INDEX(_LEITURA!$Q$2:$Q$21,7)=0),"",SUMIFS(DECKS!$D$2:$D$1201,DECKS!$A$2:$A$1201,INDEX(_LEITURA!$P$2:$P$21,7),DECKS!$B$2:$B$1201,$A396))</f>
        <v/>
      </c>
      <c r="R396" s="19" t="str">
        <f aca="false">IF(OR($A396="",INDEX(_LEITURA!$Q$2:$Q$21,8)=0),"",SUMIFS(DECKS!$D$2:$D$1201,DECKS!$A$2:$A$1201,INDEX(_LEITURA!$P$2:$P$21,8),DECKS!$B$2:$B$1201,$A396))</f>
        <v/>
      </c>
      <c r="S396" s="19" t="str">
        <f aca="false">IF(OR($A396="",INDEX(_LEITURA!$Q$2:$Q$21,9)=0),"",SUMIFS(DECKS!$D$2:$D$1201,DECKS!$A$2:$A$1201,INDEX(_LEITURA!$P$2:$P$21,9),DECKS!$B$2:$B$1201,$A396))</f>
        <v/>
      </c>
      <c r="T396" s="19" t="str">
        <f aca="false">IF(OR($A396="",INDEX(_LEITURA!$Q$2:$Q$21,10)=0),"",SUMIFS(DECKS!$D$2:$D$1201,DECKS!$A$2:$A$1201,INDEX(_LEITURA!$P$2:$P$21,10),DECKS!$B$2:$B$1201,$A396))</f>
        <v/>
      </c>
      <c r="U396" s="19" t="str">
        <f aca="false">IF(OR($A396="",INDEX(_LEITURA!$Q$2:$Q$21,11)=0),"",SUMIFS(DECKS!$D$2:$D$1201,DECKS!$A$2:$A$1201,INDEX(_LEITURA!$P$2:$P$21,11),DECKS!$B$2:$B$1201,$A396))</f>
        <v/>
      </c>
      <c r="V396" s="19" t="str">
        <f aca="false">IF(OR($A396="",INDEX(_LEITURA!$Q$2:$Q$21,12)=0),"",SUMIFS(DECKS!$D$2:$D$1201,DECKS!$A$2:$A$1201,INDEX(_LEITURA!$P$2:$P$21,12),DECKS!$B$2:$B$1201,$A396))</f>
        <v/>
      </c>
      <c r="W396" s="19" t="str">
        <f aca="false">IF(OR($A396="",INDEX(_LEITURA!$Q$2:$Q$21,13)=0),"",SUMIFS(DECKS!$D$2:$D$1201,DECKS!$A$2:$A$1201,INDEX(_LEITURA!$P$2:$P$21,13),DECKS!$B$2:$B$1201,$A396))</f>
        <v/>
      </c>
      <c r="X396" s="19" t="str">
        <f aca="false">IF(OR($A396="",INDEX(_LEITURA!$Q$2:$Q$21,14)=0),"",SUMIFS(DECKS!$D$2:$D$1201,DECKS!$A$2:$A$1201,INDEX(_LEITURA!$P$2:$P$21,14),DECKS!$B$2:$B$1201,$A396))</f>
        <v/>
      </c>
      <c r="Y396" s="19" t="str">
        <f aca="false">IF(OR($A396="",INDEX(_LEITURA!$Q$2:$Q$21,15)=0),"",SUMIFS(DECKS!$D$2:$D$1201,DECKS!$A$2:$A$1201,INDEX(_LEITURA!$P$2:$P$21,15),DECKS!$B$2:$B$1201,$A396))</f>
        <v/>
      </c>
      <c r="Z396" s="19" t="str">
        <f aca="false">IF(OR($A396="",INDEX(_LEITURA!$Q$2:$Q$21,16)=0),"",SUMIFS(DECKS!$D$2:$D$1201,DECKS!$A$2:$A$1201,INDEX(_LEITURA!$P$2:$P$21,16),DECKS!$B$2:$B$1201,$A396))</f>
        <v/>
      </c>
      <c r="AA396" s="19" t="str">
        <f aca="false">IF(OR($A396="",INDEX(_LEITURA!$Q$2:$Q$21,17)=0),"",SUMIFS(DECKS!$D$2:$D$1201,DECKS!$A$2:$A$1201,INDEX(_LEITURA!$P$2:$P$21,17),DECKS!$B$2:$B$1201,$A396))</f>
        <v/>
      </c>
      <c r="AB396" s="19" t="str">
        <f aca="false">IF(OR($A396="",INDEX(_LEITURA!$Q$2:$Q$21,18)=0),"",SUMIFS(DECKS!$D$2:$D$1201,DECKS!$A$2:$A$1201,INDEX(_LEITURA!$P$2:$P$21,18),DECKS!$B$2:$B$1201,$A396))</f>
        <v/>
      </c>
      <c r="AC396" s="19" t="str">
        <f aca="false">IF(OR($A396="",INDEX(_LEITURA!$Q$2:$Q$21,19)=0),"",SUMIFS(DECKS!$D$2:$D$1201,DECKS!$A$2:$A$1201,INDEX(_LEITURA!$P$2:$P$21,19),DECKS!$B$2:$B$1201,$A396))</f>
        <v/>
      </c>
      <c r="AD396" s="19" t="str">
        <f aca="false">IF(OR($A396="",INDEX(_LEITURA!$Q$2:$Q$21,20)=0),"",SUMIFS(DECKS!$D$2:$D$1201,DECKS!$A$2:$A$1201,INDEX(_LEITURA!$P$2:$P$21,20),DECKS!$B$2:$B$1201,$A396))</f>
        <v/>
      </c>
      <c r="AE396" s="16" t="str">
        <f aca="false">IF(N(E396)&gt;0,MAX(AE$1:AE395)+1,"")</f>
        <v/>
      </c>
      <c r="AF396" s="11" t="str">
        <f aca="false">IF(A396="","",IFERROR(LEFT(A396,FIND("-",A396)-1),A396))</f>
        <v/>
      </c>
      <c r="AG396" s="11" t="str">
        <f aca="false">IF(AF396="","",IF(ISNUMBER(--MID(AF396,1,1)),0,IF(ISNUMBER(--MID(AF396,2,1)),1,IF(ISNUMBER(--MID(AF396,3,1)),2,IF(ISNUMBER(--MID(AF396,4,1)),3,MIN(LEN(AF396),4))))))</f>
        <v/>
      </c>
      <c r="AH396" s="11" t="str">
        <f aca="false">IF(A396="","",LEFT(AF396,AG396)&amp;REPT("0",4-AG396)&amp;RIGHT("000"&amp;IFERROR(VALUE(MID(AF396,AG396+1,9)),0),3)&amp;RIGHT("0000"&amp;IFERROR(VALUE(MID(A396,FIND("-",A396)+1,9)),0),4))</f>
        <v/>
      </c>
      <c r="AI396" s="11" t="str">
        <f aca="false">IF(OR(A396="",N(E396)&lt;=0),"",IF('FALTAS GERAL'!$M$1="Código","K"&amp;AH396&amp;RIGHT("00000"&amp;ROW(),5),IF('FALTAS GERAL'!$M$1="Nome","K"&amp;UPPER(SUBSTITUTE(SUBSTITUTE(SUBSTITUTE(B396,"*",""),"?",""),"~",""))&amp;"0"&amp;AH396&amp;RIGHT("00000"&amp;ROW(),5),IF('FALTAS GERAL'!$M$1="Falta (maior primeiro)","K"&amp;RIGHT("0000"&amp;(9999-E396),4)&amp;AH396&amp;RIGHT("00000"&amp;ROW(),5),IF('FALTAS GERAL'!$M$1="Nº de decks (maior primeiro)","K"&amp;RIGHT("00"&amp;(99-N(G396)),2)&amp;AH396&amp;RIGHT("00000"&amp;ROW(),5),"K"&amp;RIGHT("00000"&amp;ROW(),5))))))</f>
        <v/>
      </c>
      <c r="AJ396" s="11" t="str">
        <f aca="false">IF(AI396="","",COUNTIFS($AI$2:$AI$801,"&lt;"&amp;AI396,$E$2:$E$801,"&gt;0")+1)</f>
        <v/>
      </c>
      <c r="AK396" s="11" t="str">
        <f aca="false">IF(OR(A396="",N(E396)&lt;=0),"",COUNTIFS($AH$2:$AH$801,"&lt;"&amp;AH396,$E$2:$E$801,"&gt;0")+COUNTIFS($AH$2:AH396,AH396,$E$2:E396,"&gt;0"))</f>
        <v/>
      </c>
    </row>
    <row r="397" customFormat="false" ht="15" hidden="false" customHeight="false" outlineLevel="0" collapsed="false">
      <c r="A397" s="11" t="str">
        <f aca="false">IF(INVENTÁRIO!A397="","",INVENTÁRIO!A397)</f>
        <v/>
      </c>
      <c r="B397" s="11" t="str">
        <f aca="false">IF(A397="","",INVENTÁRIO!B397)</f>
        <v/>
      </c>
      <c r="C397" s="16" t="str">
        <f aca="false">IF(A397="","",INVENTÁRIO!C397)</f>
        <v/>
      </c>
      <c r="D397" s="14" t="str">
        <f aca="false">IF(A397="","",MAX(K397:AD397))</f>
        <v/>
      </c>
      <c r="E397" s="14" t="str">
        <f aca="false">IF(A397="","",MAX(0,D397-C397))</f>
        <v/>
      </c>
      <c r="F397" s="16" t="str">
        <f aca="false">IF(A397="","",IF(D397=0,"Fora dos decks",IF(E397=0,"Completo","Falta")))</f>
        <v/>
      </c>
      <c r="G397" s="16" t="str">
        <f aca="false">IF(A397="","",COUNTIF(K397:AD397,"&gt;0"))</f>
        <v/>
      </c>
      <c r="H397" s="16" t="str">
        <f aca="false">IF(A397="","",IF(G397&gt;1,"Sim",""))</f>
        <v/>
      </c>
      <c r="I397" s="18" t="str">
        <f aca="false">IF(A397="","",SUMIFS(DECKS!$D$2:$D$1201,DECKS!$B$2:$B$1201,A397))</f>
        <v/>
      </c>
      <c r="J397" s="18" t="str">
        <f aca="false">IF(A397="","",MAX(0,I397-C397))</f>
        <v/>
      </c>
      <c r="K397" s="19" t="str">
        <f aca="false">IF(OR($A397="",INDEX(_LEITURA!$Q$2:$Q$21,1)=0),"",SUMIFS(DECKS!$D$2:$D$1201,DECKS!$A$2:$A$1201,INDEX(_LEITURA!$P$2:$P$21,1),DECKS!$B$2:$B$1201,$A397))</f>
        <v/>
      </c>
      <c r="L397" s="19" t="str">
        <f aca="false">IF(OR($A397="",INDEX(_LEITURA!$Q$2:$Q$21,2)=0),"",SUMIFS(DECKS!$D$2:$D$1201,DECKS!$A$2:$A$1201,INDEX(_LEITURA!$P$2:$P$21,2),DECKS!$B$2:$B$1201,$A397))</f>
        <v/>
      </c>
      <c r="M397" s="19" t="str">
        <f aca="false">IF(OR($A397="",INDEX(_LEITURA!$Q$2:$Q$21,3)=0),"",SUMIFS(DECKS!$D$2:$D$1201,DECKS!$A$2:$A$1201,INDEX(_LEITURA!$P$2:$P$21,3),DECKS!$B$2:$B$1201,$A397))</f>
        <v/>
      </c>
      <c r="N397" s="19" t="str">
        <f aca="false">IF(OR($A397="",INDEX(_LEITURA!$Q$2:$Q$21,4)=0),"",SUMIFS(DECKS!$D$2:$D$1201,DECKS!$A$2:$A$1201,INDEX(_LEITURA!$P$2:$P$21,4),DECKS!$B$2:$B$1201,$A397))</f>
        <v/>
      </c>
      <c r="O397" s="19" t="str">
        <f aca="false">IF(OR($A397="",INDEX(_LEITURA!$Q$2:$Q$21,5)=0),"",SUMIFS(DECKS!$D$2:$D$1201,DECKS!$A$2:$A$1201,INDEX(_LEITURA!$P$2:$P$21,5),DECKS!$B$2:$B$1201,$A397))</f>
        <v/>
      </c>
      <c r="P397" s="19" t="str">
        <f aca="false">IF(OR($A397="",INDEX(_LEITURA!$Q$2:$Q$21,6)=0),"",SUMIFS(DECKS!$D$2:$D$1201,DECKS!$A$2:$A$1201,INDEX(_LEITURA!$P$2:$P$21,6),DECKS!$B$2:$B$1201,$A397))</f>
        <v/>
      </c>
      <c r="Q397" s="19" t="str">
        <f aca="false">IF(OR($A397="",INDEX(_LEITURA!$Q$2:$Q$21,7)=0),"",SUMIFS(DECKS!$D$2:$D$1201,DECKS!$A$2:$A$1201,INDEX(_LEITURA!$P$2:$P$21,7),DECKS!$B$2:$B$1201,$A397))</f>
        <v/>
      </c>
      <c r="R397" s="19" t="str">
        <f aca="false">IF(OR($A397="",INDEX(_LEITURA!$Q$2:$Q$21,8)=0),"",SUMIFS(DECKS!$D$2:$D$1201,DECKS!$A$2:$A$1201,INDEX(_LEITURA!$P$2:$P$21,8),DECKS!$B$2:$B$1201,$A397))</f>
        <v/>
      </c>
      <c r="S397" s="19" t="str">
        <f aca="false">IF(OR($A397="",INDEX(_LEITURA!$Q$2:$Q$21,9)=0),"",SUMIFS(DECKS!$D$2:$D$1201,DECKS!$A$2:$A$1201,INDEX(_LEITURA!$P$2:$P$21,9),DECKS!$B$2:$B$1201,$A397))</f>
        <v/>
      </c>
      <c r="T397" s="19" t="str">
        <f aca="false">IF(OR($A397="",INDEX(_LEITURA!$Q$2:$Q$21,10)=0),"",SUMIFS(DECKS!$D$2:$D$1201,DECKS!$A$2:$A$1201,INDEX(_LEITURA!$P$2:$P$21,10),DECKS!$B$2:$B$1201,$A397))</f>
        <v/>
      </c>
      <c r="U397" s="19" t="str">
        <f aca="false">IF(OR($A397="",INDEX(_LEITURA!$Q$2:$Q$21,11)=0),"",SUMIFS(DECKS!$D$2:$D$1201,DECKS!$A$2:$A$1201,INDEX(_LEITURA!$P$2:$P$21,11),DECKS!$B$2:$B$1201,$A397))</f>
        <v/>
      </c>
      <c r="V397" s="19" t="str">
        <f aca="false">IF(OR($A397="",INDEX(_LEITURA!$Q$2:$Q$21,12)=0),"",SUMIFS(DECKS!$D$2:$D$1201,DECKS!$A$2:$A$1201,INDEX(_LEITURA!$P$2:$P$21,12),DECKS!$B$2:$B$1201,$A397))</f>
        <v/>
      </c>
      <c r="W397" s="19" t="str">
        <f aca="false">IF(OR($A397="",INDEX(_LEITURA!$Q$2:$Q$21,13)=0),"",SUMIFS(DECKS!$D$2:$D$1201,DECKS!$A$2:$A$1201,INDEX(_LEITURA!$P$2:$P$21,13),DECKS!$B$2:$B$1201,$A397))</f>
        <v/>
      </c>
      <c r="X397" s="19" t="str">
        <f aca="false">IF(OR($A397="",INDEX(_LEITURA!$Q$2:$Q$21,14)=0),"",SUMIFS(DECKS!$D$2:$D$1201,DECKS!$A$2:$A$1201,INDEX(_LEITURA!$P$2:$P$21,14),DECKS!$B$2:$B$1201,$A397))</f>
        <v/>
      </c>
      <c r="Y397" s="19" t="str">
        <f aca="false">IF(OR($A397="",INDEX(_LEITURA!$Q$2:$Q$21,15)=0),"",SUMIFS(DECKS!$D$2:$D$1201,DECKS!$A$2:$A$1201,INDEX(_LEITURA!$P$2:$P$21,15),DECKS!$B$2:$B$1201,$A397))</f>
        <v/>
      </c>
      <c r="Z397" s="19" t="str">
        <f aca="false">IF(OR($A397="",INDEX(_LEITURA!$Q$2:$Q$21,16)=0),"",SUMIFS(DECKS!$D$2:$D$1201,DECKS!$A$2:$A$1201,INDEX(_LEITURA!$P$2:$P$21,16),DECKS!$B$2:$B$1201,$A397))</f>
        <v/>
      </c>
      <c r="AA397" s="19" t="str">
        <f aca="false">IF(OR($A397="",INDEX(_LEITURA!$Q$2:$Q$21,17)=0),"",SUMIFS(DECKS!$D$2:$D$1201,DECKS!$A$2:$A$1201,INDEX(_LEITURA!$P$2:$P$21,17),DECKS!$B$2:$B$1201,$A397))</f>
        <v/>
      </c>
      <c r="AB397" s="19" t="str">
        <f aca="false">IF(OR($A397="",INDEX(_LEITURA!$Q$2:$Q$21,18)=0),"",SUMIFS(DECKS!$D$2:$D$1201,DECKS!$A$2:$A$1201,INDEX(_LEITURA!$P$2:$P$21,18),DECKS!$B$2:$B$1201,$A397))</f>
        <v/>
      </c>
      <c r="AC397" s="19" t="str">
        <f aca="false">IF(OR($A397="",INDEX(_LEITURA!$Q$2:$Q$21,19)=0),"",SUMIFS(DECKS!$D$2:$D$1201,DECKS!$A$2:$A$1201,INDEX(_LEITURA!$P$2:$P$21,19),DECKS!$B$2:$B$1201,$A397))</f>
        <v/>
      </c>
      <c r="AD397" s="19" t="str">
        <f aca="false">IF(OR($A397="",INDEX(_LEITURA!$Q$2:$Q$21,20)=0),"",SUMIFS(DECKS!$D$2:$D$1201,DECKS!$A$2:$A$1201,INDEX(_LEITURA!$P$2:$P$21,20),DECKS!$B$2:$B$1201,$A397))</f>
        <v/>
      </c>
      <c r="AE397" s="16" t="str">
        <f aca="false">IF(N(E397)&gt;0,MAX(AE$1:AE396)+1,"")</f>
        <v/>
      </c>
      <c r="AF397" s="11" t="str">
        <f aca="false">IF(A397="","",IFERROR(LEFT(A397,FIND("-",A397)-1),A397))</f>
        <v/>
      </c>
      <c r="AG397" s="11" t="str">
        <f aca="false">IF(AF397="","",IF(ISNUMBER(--MID(AF397,1,1)),0,IF(ISNUMBER(--MID(AF397,2,1)),1,IF(ISNUMBER(--MID(AF397,3,1)),2,IF(ISNUMBER(--MID(AF397,4,1)),3,MIN(LEN(AF397),4))))))</f>
        <v/>
      </c>
      <c r="AH397" s="11" t="str">
        <f aca="false">IF(A397="","",LEFT(AF397,AG397)&amp;REPT("0",4-AG397)&amp;RIGHT("000"&amp;IFERROR(VALUE(MID(AF397,AG397+1,9)),0),3)&amp;RIGHT("0000"&amp;IFERROR(VALUE(MID(A397,FIND("-",A397)+1,9)),0),4))</f>
        <v/>
      </c>
      <c r="AI397" s="11" t="str">
        <f aca="false">IF(OR(A397="",N(E397)&lt;=0),"",IF('FALTAS GERAL'!$M$1="Código","K"&amp;AH397&amp;RIGHT("00000"&amp;ROW(),5),IF('FALTAS GERAL'!$M$1="Nome","K"&amp;UPPER(SUBSTITUTE(SUBSTITUTE(SUBSTITUTE(B397,"*",""),"?",""),"~",""))&amp;"0"&amp;AH397&amp;RIGHT("00000"&amp;ROW(),5),IF('FALTAS GERAL'!$M$1="Falta (maior primeiro)","K"&amp;RIGHT("0000"&amp;(9999-E397),4)&amp;AH397&amp;RIGHT("00000"&amp;ROW(),5),IF('FALTAS GERAL'!$M$1="Nº de decks (maior primeiro)","K"&amp;RIGHT("00"&amp;(99-N(G397)),2)&amp;AH397&amp;RIGHT("00000"&amp;ROW(),5),"K"&amp;RIGHT("00000"&amp;ROW(),5))))))</f>
        <v/>
      </c>
      <c r="AJ397" s="11" t="str">
        <f aca="false">IF(AI397="","",COUNTIFS($AI$2:$AI$801,"&lt;"&amp;AI397,$E$2:$E$801,"&gt;0")+1)</f>
        <v/>
      </c>
      <c r="AK397" s="11" t="str">
        <f aca="false">IF(OR(A397="",N(E397)&lt;=0),"",COUNTIFS($AH$2:$AH$801,"&lt;"&amp;AH397,$E$2:$E$801,"&gt;0")+COUNTIFS($AH$2:AH397,AH397,$E$2:E397,"&gt;0"))</f>
        <v/>
      </c>
    </row>
    <row r="398" customFormat="false" ht="15" hidden="false" customHeight="false" outlineLevel="0" collapsed="false">
      <c r="A398" s="11" t="str">
        <f aca="false">IF(INVENTÁRIO!A398="","",INVENTÁRIO!A398)</f>
        <v/>
      </c>
      <c r="B398" s="11" t="str">
        <f aca="false">IF(A398="","",INVENTÁRIO!B398)</f>
        <v/>
      </c>
      <c r="C398" s="16" t="str">
        <f aca="false">IF(A398="","",INVENTÁRIO!C398)</f>
        <v/>
      </c>
      <c r="D398" s="14" t="str">
        <f aca="false">IF(A398="","",MAX(K398:AD398))</f>
        <v/>
      </c>
      <c r="E398" s="14" t="str">
        <f aca="false">IF(A398="","",MAX(0,D398-C398))</f>
        <v/>
      </c>
      <c r="F398" s="16" t="str">
        <f aca="false">IF(A398="","",IF(D398=0,"Fora dos decks",IF(E398=0,"Completo","Falta")))</f>
        <v/>
      </c>
      <c r="G398" s="16" t="str">
        <f aca="false">IF(A398="","",COUNTIF(K398:AD398,"&gt;0"))</f>
        <v/>
      </c>
      <c r="H398" s="16" t="str">
        <f aca="false">IF(A398="","",IF(G398&gt;1,"Sim",""))</f>
        <v/>
      </c>
      <c r="I398" s="18" t="str">
        <f aca="false">IF(A398="","",SUMIFS(DECKS!$D$2:$D$1201,DECKS!$B$2:$B$1201,A398))</f>
        <v/>
      </c>
      <c r="J398" s="18" t="str">
        <f aca="false">IF(A398="","",MAX(0,I398-C398))</f>
        <v/>
      </c>
      <c r="K398" s="19" t="str">
        <f aca="false">IF(OR($A398="",INDEX(_LEITURA!$Q$2:$Q$21,1)=0),"",SUMIFS(DECKS!$D$2:$D$1201,DECKS!$A$2:$A$1201,INDEX(_LEITURA!$P$2:$P$21,1),DECKS!$B$2:$B$1201,$A398))</f>
        <v/>
      </c>
      <c r="L398" s="19" t="str">
        <f aca="false">IF(OR($A398="",INDEX(_LEITURA!$Q$2:$Q$21,2)=0),"",SUMIFS(DECKS!$D$2:$D$1201,DECKS!$A$2:$A$1201,INDEX(_LEITURA!$P$2:$P$21,2),DECKS!$B$2:$B$1201,$A398))</f>
        <v/>
      </c>
      <c r="M398" s="19" t="str">
        <f aca="false">IF(OR($A398="",INDEX(_LEITURA!$Q$2:$Q$21,3)=0),"",SUMIFS(DECKS!$D$2:$D$1201,DECKS!$A$2:$A$1201,INDEX(_LEITURA!$P$2:$P$21,3),DECKS!$B$2:$B$1201,$A398))</f>
        <v/>
      </c>
      <c r="N398" s="19" t="str">
        <f aca="false">IF(OR($A398="",INDEX(_LEITURA!$Q$2:$Q$21,4)=0),"",SUMIFS(DECKS!$D$2:$D$1201,DECKS!$A$2:$A$1201,INDEX(_LEITURA!$P$2:$P$21,4),DECKS!$B$2:$B$1201,$A398))</f>
        <v/>
      </c>
      <c r="O398" s="19" t="str">
        <f aca="false">IF(OR($A398="",INDEX(_LEITURA!$Q$2:$Q$21,5)=0),"",SUMIFS(DECKS!$D$2:$D$1201,DECKS!$A$2:$A$1201,INDEX(_LEITURA!$P$2:$P$21,5),DECKS!$B$2:$B$1201,$A398))</f>
        <v/>
      </c>
      <c r="P398" s="19" t="str">
        <f aca="false">IF(OR($A398="",INDEX(_LEITURA!$Q$2:$Q$21,6)=0),"",SUMIFS(DECKS!$D$2:$D$1201,DECKS!$A$2:$A$1201,INDEX(_LEITURA!$P$2:$P$21,6),DECKS!$B$2:$B$1201,$A398))</f>
        <v/>
      </c>
      <c r="Q398" s="19" t="str">
        <f aca="false">IF(OR($A398="",INDEX(_LEITURA!$Q$2:$Q$21,7)=0),"",SUMIFS(DECKS!$D$2:$D$1201,DECKS!$A$2:$A$1201,INDEX(_LEITURA!$P$2:$P$21,7),DECKS!$B$2:$B$1201,$A398))</f>
        <v/>
      </c>
      <c r="R398" s="19" t="str">
        <f aca="false">IF(OR($A398="",INDEX(_LEITURA!$Q$2:$Q$21,8)=0),"",SUMIFS(DECKS!$D$2:$D$1201,DECKS!$A$2:$A$1201,INDEX(_LEITURA!$P$2:$P$21,8),DECKS!$B$2:$B$1201,$A398))</f>
        <v/>
      </c>
      <c r="S398" s="19" t="str">
        <f aca="false">IF(OR($A398="",INDEX(_LEITURA!$Q$2:$Q$21,9)=0),"",SUMIFS(DECKS!$D$2:$D$1201,DECKS!$A$2:$A$1201,INDEX(_LEITURA!$P$2:$P$21,9),DECKS!$B$2:$B$1201,$A398))</f>
        <v/>
      </c>
      <c r="T398" s="19" t="str">
        <f aca="false">IF(OR($A398="",INDEX(_LEITURA!$Q$2:$Q$21,10)=0),"",SUMIFS(DECKS!$D$2:$D$1201,DECKS!$A$2:$A$1201,INDEX(_LEITURA!$P$2:$P$21,10),DECKS!$B$2:$B$1201,$A398))</f>
        <v/>
      </c>
      <c r="U398" s="19" t="str">
        <f aca="false">IF(OR($A398="",INDEX(_LEITURA!$Q$2:$Q$21,11)=0),"",SUMIFS(DECKS!$D$2:$D$1201,DECKS!$A$2:$A$1201,INDEX(_LEITURA!$P$2:$P$21,11),DECKS!$B$2:$B$1201,$A398))</f>
        <v/>
      </c>
      <c r="V398" s="19" t="str">
        <f aca="false">IF(OR($A398="",INDEX(_LEITURA!$Q$2:$Q$21,12)=0),"",SUMIFS(DECKS!$D$2:$D$1201,DECKS!$A$2:$A$1201,INDEX(_LEITURA!$P$2:$P$21,12),DECKS!$B$2:$B$1201,$A398))</f>
        <v/>
      </c>
      <c r="W398" s="19" t="str">
        <f aca="false">IF(OR($A398="",INDEX(_LEITURA!$Q$2:$Q$21,13)=0),"",SUMIFS(DECKS!$D$2:$D$1201,DECKS!$A$2:$A$1201,INDEX(_LEITURA!$P$2:$P$21,13),DECKS!$B$2:$B$1201,$A398))</f>
        <v/>
      </c>
      <c r="X398" s="19" t="str">
        <f aca="false">IF(OR($A398="",INDEX(_LEITURA!$Q$2:$Q$21,14)=0),"",SUMIFS(DECKS!$D$2:$D$1201,DECKS!$A$2:$A$1201,INDEX(_LEITURA!$P$2:$P$21,14),DECKS!$B$2:$B$1201,$A398))</f>
        <v/>
      </c>
      <c r="Y398" s="19" t="str">
        <f aca="false">IF(OR($A398="",INDEX(_LEITURA!$Q$2:$Q$21,15)=0),"",SUMIFS(DECKS!$D$2:$D$1201,DECKS!$A$2:$A$1201,INDEX(_LEITURA!$P$2:$P$21,15),DECKS!$B$2:$B$1201,$A398))</f>
        <v/>
      </c>
      <c r="Z398" s="19" t="str">
        <f aca="false">IF(OR($A398="",INDEX(_LEITURA!$Q$2:$Q$21,16)=0),"",SUMIFS(DECKS!$D$2:$D$1201,DECKS!$A$2:$A$1201,INDEX(_LEITURA!$P$2:$P$21,16),DECKS!$B$2:$B$1201,$A398))</f>
        <v/>
      </c>
      <c r="AA398" s="19" t="str">
        <f aca="false">IF(OR($A398="",INDEX(_LEITURA!$Q$2:$Q$21,17)=0),"",SUMIFS(DECKS!$D$2:$D$1201,DECKS!$A$2:$A$1201,INDEX(_LEITURA!$P$2:$P$21,17),DECKS!$B$2:$B$1201,$A398))</f>
        <v/>
      </c>
      <c r="AB398" s="19" t="str">
        <f aca="false">IF(OR($A398="",INDEX(_LEITURA!$Q$2:$Q$21,18)=0),"",SUMIFS(DECKS!$D$2:$D$1201,DECKS!$A$2:$A$1201,INDEX(_LEITURA!$P$2:$P$21,18),DECKS!$B$2:$B$1201,$A398))</f>
        <v/>
      </c>
      <c r="AC398" s="19" t="str">
        <f aca="false">IF(OR($A398="",INDEX(_LEITURA!$Q$2:$Q$21,19)=0),"",SUMIFS(DECKS!$D$2:$D$1201,DECKS!$A$2:$A$1201,INDEX(_LEITURA!$P$2:$P$21,19),DECKS!$B$2:$B$1201,$A398))</f>
        <v/>
      </c>
      <c r="AD398" s="19" t="str">
        <f aca="false">IF(OR($A398="",INDEX(_LEITURA!$Q$2:$Q$21,20)=0),"",SUMIFS(DECKS!$D$2:$D$1201,DECKS!$A$2:$A$1201,INDEX(_LEITURA!$P$2:$P$21,20),DECKS!$B$2:$B$1201,$A398))</f>
        <v/>
      </c>
      <c r="AE398" s="16" t="str">
        <f aca="false">IF(N(E398)&gt;0,MAX(AE$1:AE397)+1,"")</f>
        <v/>
      </c>
      <c r="AF398" s="11" t="str">
        <f aca="false">IF(A398="","",IFERROR(LEFT(A398,FIND("-",A398)-1),A398))</f>
        <v/>
      </c>
      <c r="AG398" s="11" t="str">
        <f aca="false">IF(AF398="","",IF(ISNUMBER(--MID(AF398,1,1)),0,IF(ISNUMBER(--MID(AF398,2,1)),1,IF(ISNUMBER(--MID(AF398,3,1)),2,IF(ISNUMBER(--MID(AF398,4,1)),3,MIN(LEN(AF398),4))))))</f>
        <v/>
      </c>
      <c r="AH398" s="11" t="str">
        <f aca="false">IF(A398="","",LEFT(AF398,AG398)&amp;REPT("0",4-AG398)&amp;RIGHT("000"&amp;IFERROR(VALUE(MID(AF398,AG398+1,9)),0),3)&amp;RIGHT("0000"&amp;IFERROR(VALUE(MID(A398,FIND("-",A398)+1,9)),0),4))</f>
        <v/>
      </c>
      <c r="AI398" s="11" t="str">
        <f aca="false">IF(OR(A398="",N(E398)&lt;=0),"",IF('FALTAS GERAL'!$M$1="Código","K"&amp;AH398&amp;RIGHT("00000"&amp;ROW(),5),IF('FALTAS GERAL'!$M$1="Nome","K"&amp;UPPER(SUBSTITUTE(SUBSTITUTE(SUBSTITUTE(B398,"*",""),"?",""),"~",""))&amp;"0"&amp;AH398&amp;RIGHT("00000"&amp;ROW(),5),IF('FALTAS GERAL'!$M$1="Falta (maior primeiro)","K"&amp;RIGHT("0000"&amp;(9999-E398),4)&amp;AH398&amp;RIGHT("00000"&amp;ROW(),5),IF('FALTAS GERAL'!$M$1="Nº de decks (maior primeiro)","K"&amp;RIGHT("00"&amp;(99-N(G398)),2)&amp;AH398&amp;RIGHT("00000"&amp;ROW(),5),"K"&amp;RIGHT("00000"&amp;ROW(),5))))))</f>
        <v/>
      </c>
      <c r="AJ398" s="11" t="str">
        <f aca="false">IF(AI398="","",COUNTIFS($AI$2:$AI$801,"&lt;"&amp;AI398,$E$2:$E$801,"&gt;0")+1)</f>
        <v/>
      </c>
      <c r="AK398" s="11" t="str">
        <f aca="false">IF(OR(A398="",N(E398)&lt;=0),"",COUNTIFS($AH$2:$AH$801,"&lt;"&amp;AH398,$E$2:$E$801,"&gt;0")+COUNTIFS($AH$2:AH398,AH398,$E$2:E398,"&gt;0"))</f>
        <v/>
      </c>
    </row>
    <row r="399" customFormat="false" ht="15" hidden="false" customHeight="false" outlineLevel="0" collapsed="false">
      <c r="A399" s="11" t="str">
        <f aca="false">IF(INVENTÁRIO!A399="","",INVENTÁRIO!A399)</f>
        <v/>
      </c>
      <c r="B399" s="11" t="str">
        <f aca="false">IF(A399="","",INVENTÁRIO!B399)</f>
        <v/>
      </c>
      <c r="C399" s="16" t="str">
        <f aca="false">IF(A399="","",INVENTÁRIO!C399)</f>
        <v/>
      </c>
      <c r="D399" s="14" t="str">
        <f aca="false">IF(A399="","",MAX(K399:AD399))</f>
        <v/>
      </c>
      <c r="E399" s="14" t="str">
        <f aca="false">IF(A399="","",MAX(0,D399-C399))</f>
        <v/>
      </c>
      <c r="F399" s="16" t="str">
        <f aca="false">IF(A399="","",IF(D399=0,"Fora dos decks",IF(E399=0,"Completo","Falta")))</f>
        <v/>
      </c>
      <c r="G399" s="16" t="str">
        <f aca="false">IF(A399="","",COUNTIF(K399:AD399,"&gt;0"))</f>
        <v/>
      </c>
      <c r="H399" s="16" t="str">
        <f aca="false">IF(A399="","",IF(G399&gt;1,"Sim",""))</f>
        <v/>
      </c>
      <c r="I399" s="18" t="str">
        <f aca="false">IF(A399="","",SUMIFS(DECKS!$D$2:$D$1201,DECKS!$B$2:$B$1201,A399))</f>
        <v/>
      </c>
      <c r="J399" s="18" t="str">
        <f aca="false">IF(A399="","",MAX(0,I399-C399))</f>
        <v/>
      </c>
      <c r="K399" s="19" t="str">
        <f aca="false">IF(OR($A399="",INDEX(_LEITURA!$Q$2:$Q$21,1)=0),"",SUMIFS(DECKS!$D$2:$D$1201,DECKS!$A$2:$A$1201,INDEX(_LEITURA!$P$2:$P$21,1),DECKS!$B$2:$B$1201,$A399))</f>
        <v/>
      </c>
      <c r="L399" s="19" t="str">
        <f aca="false">IF(OR($A399="",INDEX(_LEITURA!$Q$2:$Q$21,2)=0),"",SUMIFS(DECKS!$D$2:$D$1201,DECKS!$A$2:$A$1201,INDEX(_LEITURA!$P$2:$P$21,2),DECKS!$B$2:$B$1201,$A399))</f>
        <v/>
      </c>
      <c r="M399" s="19" t="str">
        <f aca="false">IF(OR($A399="",INDEX(_LEITURA!$Q$2:$Q$21,3)=0),"",SUMIFS(DECKS!$D$2:$D$1201,DECKS!$A$2:$A$1201,INDEX(_LEITURA!$P$2:$P$21,3),DECKS!$B$2:$B$1201,$A399))</f>
        <v/>
      </c>
      <c r="N399" s="19" t="str">
        <f aca="false">IF(OR($A399="",INDEX(_LEITURA!$Q$2:$Q$21,4)=0),"",SUMIFS(DECKS!$D$2:$D$1201,DECKS!$A$2:$A$1201,INDEX(_LEITURA!$P$2:$P$21,4),DECKS!$B$2:$B$1201,$A399))</f>
        <v/>
      </c>
      <c r="O399" s="19" t="str">
        <f aca="false">IF(OR($A399="",INDEX(_LEITURA!$Q$2:$Q$21,5)=0),"",SUMIFS(DECKS!$D$2:$D$1201,DECKS!$A$2:$A$1201,INDEX(_LEITURA!$P$2:$P$21,5),DECKS!$B$2:$B$1201,$A399))</f>
        <v/>
      </c>
      <c r="P399" s="19" t="str">
        <f aca="false">IF(OR($A399="",INDEX(_LEITURA!$Q$2:$Q$21,6)=0),"",SUMIFS(DECKS!$D$2:$D$1201,DECKS!$A$2:$A$1201,INDEX(_LEITURA!$P$2:$P$21,6),DECKS!$B$2:$B$1201,$A399))</f>
        <v/>
      </c>
      <c r="Q399" s="19" t="str">
        <f aca="false">IF(OR($A399="",INDEX(_LEITURA!$Q$2:$Q$21,7)=0),"",SUMIFS(DECKS!$D$2:$D$1201,DECKS!$A$2:$A$1201,INDEX(_LEITURA!$P$2:$P$21,7),DECKS!$B$2:$B$1201,$A399))</f>
        <v/>
      </c>
      <c r="R399" s="19" t="str">
        <f aca="false">IF(OR($A399="",INDEX(_LEITURA!$Q$2:$Q$21,8)=0),"",SUMIFS(DECKS!$D$2:$D$1201,DECKS!$A$2:$A$1201,INDEX(_LEITURA!$P$2:$P$21,8),DECKS!$B$2:$B$1201,$A399))</f>
        <v/>
      </c>
      <c r="S399" s="19" t="str">
        <f aca="false">IF(OR($A399="",INDEX(_LEITURA!$Q$2:$Q$21,9)=0),"",SUMIFS(DECKS!$D$2:$D$1201,DECKS!$A$2:$A$1201,INDEX(_LEITURA!$P$2:$P$21,9),DECKS!$B$2:$B$1201,$A399))</f>
        <v/>
      </c>
      <c r="T399" s="19" t="str">
        <f aca="false">IF(OR($A399="",INDEX(_LEITURA!$Q$2:$Q$21,10)=0),"",SUMIFS(DECKS!$D$2:$D$1201,DECKS!$A$2:$A$1201,INDEX(_LEITURA!$P$2:$P$21,10),DECKS!$B$2:$B$1201,$A399))</f>
        <v/>
      </c>
      <c r="U399" s="19" t="str">
        <f aca="false">IF(OR($A399="",INDEX(_LEITURA!$Q$2:$Q$21,11)=0),"",SUMIFS(DECKS!$D$2:$D$1201,DECKS!$A$2:$A$1201,INDEX(_LEITURA!$P$2:$P$21,11),DECKS!$B$2:$B$1201,$A399))</f>
        <v/>
      </c>
      <c r="V399" s="19" t="str">
        <f aca="false">IF(OR($A399="",INDEX(_LEITURA!$Q$2:$Q$21,12)=0),"",SUMIFS(DECKS!$D$2:$D$1201,DECKS!$A$2:$A$1201,INDEX(_LEITURA!$P$2:$P$21,12),DECKS!$B$2:$B$1201,$A399))</f>
        <v/>
      </c>
      <c r="W399" s="19" t="str">
        <f aca="false">IF(OR($A399="",INDEX(_LEITURA!$Q$2:$Q$21,13)=0),"",SUMIFS(DECKS!$D$2:$D$1201,DECKS!$A$2:$A$1201,INDEX(_LEITURA!$P$2:$P$21,13),DECKS!$B$2:$B$1201,$A399))</f>
        <v/>
      </c>
      <c r="X399" s="19" t="str">
        <f aca="false">IF(OR($A399="",INDEX(_LEITURA!$Q$2:$Q$21,14)=0),"",SUMIFS(DECKS!$D$2:$D$1201,DECKS!$A$2:$A$1201,INDEX(_LEITURA!$P$2:$P$21,14),DECKS!$B$2:$B$1201,$A399))</f>
        <v/>
      </c>
      <c r="Y399" s="19" t="str">
        <f aca="false">IF(OR($A399="",INDEX(_LEITURA!$Q$2:$Q$21,15)=0),"",SUMIFS(DECKS!$D$2:$D$1201,DECKS!$A$2:$A$1201,INDEX(_LEITURA!$P$2:$P$21,15),DECKS!$B$2:$B$1201,$A399))</f>
        <v/>
      </c>
      <c r="Z399" s="19" t="str">
        <f aca="false">IF(OR($A399="",INDEX(_LEITURA!$Q$2:$Q$21,16)=0),"",SUMIFS(DECKS!$D$2:$D$1201,DECKS!$A$2:$A$1201,INDEX(_LEITURA!$P$2:$P$21,16),DECKS!$B$2:$B$1201,$A399))</f>
        <v/>
      </c>
      <c r="AA399" s="19" t="str">
        <f aca="false">IF(OR($A399="",INDEX(_LEITURA!$Q$2:$Q$21,17)=0),"",SUMIFS(DECKS!$D$2:$D$1201,DECKS!$A$2:$A$1201,INDEX(_LEITURA!$P$2:$P$21,17),DECKS!$B$2:$B$1201,$A399))</f>
        <v/>
      </c>
      <c r="AB399" s="19" t="str">
        <f aca="false">IF(OR($A399="",INDEX(_LEITURA!$Q$2:$Q$21,18)=0),"",SUMIFS(DECKS!$D$2:$D$1201,DECKS!$A$2:$A$1201,INDEX(_LEITURA!$P$2:$P$21,18),DECKS!$B$2:$B$1201,$A399))</f>
        <v/>
      </c>
      <c r="AC399" s="19" t="str">
        <f aca="false">IF(OR($A399="",INDEX(_LEITURA!$Q$2:$Q$21,19)=0),"",SUMIFS(DECKS!$D$2:$D$1201,DECKS!$A$2:$A$1201,INDEX(_LEITURA!$P$2:$P$21,19),DECKS!$B$2:$B$1201,$A399))</f>
        <v/>
      </c>
      <c r="AD399" s="19" t="str">
        <f aca="false">IF(OR($A399="",INDEX(_LEITURA!$Q$2:$Q$21,20)=0),"",SUMIFS(DECKS!$D$2:$D$1201,DECKS!$A$2:$A$1201,INDEX(_LEITURA!$P$2:$P$21,20),DECKS!$B$2:$B$1201,$A399))</f>
        <v/>
      </c>
      <c r="AE399" s="16" t="str">
        <f aca="false">IF(N(E399)&gt;0,MAX(AE$1:AE398)+1,"")</f>
        <v/>
      </c>
      <c r="AF399" s="11" t="str">
        <f aca="false">IF(A399="","",IFERROR(LEFT(A399,FIND("-",A399)-1),A399))</f>
        <v/>
      </c>
      <c r="AG399" s="11" t="str">
        <f aca="false">IF(AF399="","",IF(ISNUMBER(--MID(AF399,1,1)),0,IF(ISNUMBER(--MID(AF399,2,1)),1,IF(ISNUMBER(--MID(AF399,3,1)),2,IF(ISNUMBER(--MID(AF399,4,1)),3,MIN(LEN(AF399),4))))))</f>
        <v/>
      </c>
      <c r="AH399" s="11" t="str">
        <f aca="false">IF(A399="","",LEFT(AF399,AG399)&amp;REPT("0",4-AG399)&amp;RIGHT("000"&amp;IFERROR(VALUE(MID(AF399,AG399+1,9)),0),3)&amp;RIGHT("0000"&amp;IFERROR(VALUE(MID(A399,FIND("-",A399)+1,9)),0),4))</f>
        <v/>
      </c>
      <c r="AI399" s="11" t="str">
        <f aca="false">IF(OR(A399="",N(E399)&lt;=0),"",IF('FALTAS GERAL'!$M$1="Código","K"&amp;AH399&amp;RIGHT("00000"&amp;ROW(),5),IF('FALTAS GERAL'!$M$1="Nome","K"&amp;UPPER(SUBSTITUTE(SUBSTITUTE(SUBSTITUTE(B399,"*",""),"?",""),"~",""))&amp;"0"&amp;AH399&amp;RIGHT("00000"&amp;ROW(),5),IF('FALTAS GERAL'!$M$1="Falta (maior primeiro)","K"&amp;RIGHT("0000"&amp;(9999-E399),4)&amp;AH399&amp;RIGHT("00000"&amp;ROW(),5),IF('FALTAS GERAL'!$M$1="Nº de decks (maior primeiro)","K"&amp;RIGHT("00"&amp;(99-N(G399)),2)&amp;AH399&amp;RIGHT("00000"&amp;ROW(),5),"K"&amp;RIGHT("00000"&amp;ROW(),5))))))</f>
        <v/>
      </c>
      <c r="AJ399" s="11" t="str">
        <f aca="false">IF(AI399="","",COUNTIFS($AI$2:$AI$801,"&lt;"&amp;AI399,$E$2:$E$801,"&gt;0")+1)</f>
        <v/>
      </c>
      <c r="AK399" s="11" t="str">
        <f aca="false">IF(OR(A399="",N(E399)&lt;=0),"",COUNTIFS($AH$2:$AH$801,"&lt;"&amp;AH399,$E$2:$E$801,"&gt;0")+COUNTIFS($AH$2:AH399,AH399,$E$2:E399,"&gt;0"))</f>
        <v/>
      </c>
    </row>
    <row r="400" customFormat="false" ht="15" hidden="false" customHeight="false" outlineLevel="0" collapsed="false">
      <c r="A400" s="11" t="str">
        <f aca="false">IF(INVENTÁRIO!A400="","",INVENTÁRIO!A400)</f>
        <v/>
      </c>
      <c r="B400" s="11" t="str">
        <f aca="false">IF(A400="","",INVENTÁRIO!B400)</f>
        <v/>
      </c>
      <c r="C400" s="16" t="str">
        <f aca="false">IF(A400="","",INVENTÁRIO!C400)</f>
        <v/>
      </c>
      <c r="D400" s="14" t="str">
        <f aca="false">IF(A400="","",MAX(K400:AD400))</f>
        <v/>
      </c>
      <c r="E400" s="14" t="str">
        <f aca="false">IF(A400="","",MAX(0,D400-C400))</f>
        <v/>
      </c>
      <c r="F400" s="16" t="str">
        <f aca="false">IF(A400="","",IF(D400=0,"Fora dos decks",IF(E400=0,"Completo","Falta")))</f>
        <v/>
      </c>
      <c r="G400" s="16" t="str">
        <f aca="false">IF(A400="","",COUNTIF(K400:AD400,"&gt;0"))</f>
        <v/>
      </c>
      <c r="H400" s="16" t="str">
        <f aca="false">IF(A400="","",IF(G400&gt;1,"Sim",""))</f>
        <v/>
      </c>
      <c r="I400" s="18" t="str">
        <f aca="false">IF(A400="","",SUMIFS(DECKS!$D$2:$D$1201,DECKS!$B$2:$B$1201,A400))</f>
        <v/>
      </c>
      <c r="J400" s="18" t="str">
        <f aca="false">IF(A400="","",MAX(0,I400-C400))</f>
        <v/>
      </c>
      <c r="K400" s="19" t="str">
        <f aca="false">IF(OR($A400="",INDEX(_LEITURA!$Q$2:$Q$21,1)=0),"",SUMIFS(DECKS!$D$2:$D$1201,DECKS!$A$2:$A$1201,INDEX(_LEITURA!$P$2:$P$21,1),DECKS!$B$2:$B$1201,$A400))</f>
        <v/>
      </c>
      <c r="L400" s="19" t="str">
        <f aca="false">IF(OR($A400="",INDEX(_LEITURA!$Q$2:$Q$21,2)=0),"",SUMIFS(DECKS!$D$2:$D$1201,DECKS!$A$2:$A$1201,INDEX(_LEITURA!$P$2:$P$21,2),DECKS!$B$2:$B$1201,$A400))</f>
        <v/>
      </c>
      <c r="M400" s="19" t="str">
        <f aca="false">IF(OR($A400="",INDEX(_LEITURA!$Q$2:$Q$21,3)=0),"",SUMIFS(DECKS!$D$2:$D$1201,DECKS!$A$2:$A$1201,INDEX(_LEITURA!$P$2:$P$21,3),DECKS!$B$2:$B$1201,$A400))</f>
        <v/>
      </c>
      <c r="N400" s="19" t="str">
        <f aca="false">IF(OR($A400="",INDEX(_LEITURA!$Q$2:$Q$21,4)=0),"",SUMIFS(DECKS!$D$2:$D$1201,DECKS!$A$2:$A$1201,INDEX(_LEITURA!$P$2:$P$21,4),DECKS!$B$2:$B$1201,$A400))</f>
        <v/>
      </c>
      <c r="O400" s="19" t="str">
        <f aca="false">IF(OR($A400="",INDEX(_LEITURA!$Q$2:$Q$21,5)=0),"",SUMIFS(DECKS!$D$2:$D$1201,DECKS!$A$2:$A$1201,INDEX(_LEITURA!$P$2:$P$21,5),DECKS!$B$2:$B$1201,$A400))</f>
        <v/>
      </c>
      <c r="P400" s="19" t="str">
        <f aca="false">IF(OR($A400="",INDEX(_LEITURA!$Q$2:$Q$21,6)=0),"",SUMIFS(DECKS!$D$2:$D$1201,DECKS!$A$2:$A$1201,INDEX(_LEITURA!$P$2:$P$21,6),DECKS!$B$2:$B$1201,$A400))</f>
        <v/>
      </c>
      <c r="Q400" s="19" t="str">
        <f aca="false">IF(OR($A400="",INDEX(_LEITURA!$Q$2:$Q$21,7)=0),"",SUMIFS(DECKS!$D$2:$D$1201,DECKS!$A$2:$A$1201,INDEX(_LEITURA!$P$2:$P$21,7),DECKS!$B$2:$B$1201,$A400))</f>
        <v/>
      </c>
      <c r="R400" s="19" t="str">
        <f aca="false">IF(OR($A400="",INDEX(_LEITURA!$Q$2:$Q$21,8)=0),"",SUMIFS(DECKS!$D$2:$D$1201,DECKS!$A$2:$A$1201,INDEX(_LEITURA!$P$2:$P$21,8),DECKS!$B$2:$B$1201,$A400))</f>
        <v/>
      </c>
      <c r="S400" s="19" t="str">
        <f aca="false">IF(OR($A400="",INDEX(_LEITURA!$Q$2:$Q$21,9)=0),"",SUMIFS(DECKS!$D$2:$D$1201,DECKS!$A$2:$A$1201,INDEX(_LEITURA!$P$2:$P$21,9),DECKS!$B$2:$B$1201,$A400))</f>
        <v/>
      </c>
      <c r="T400" s="19" t="str">
        <f aca="false">IF(OR($A400="",INDEX(_LEITURA!$Q$2:$Q$21,10)=0),"",SUMIFS(DECKS!$D$2:$D$1201,DECKS!$A$2:$A$1201,INDEX(_LEITURA!$P$2:$P$21,10),DECKS!$B$2:$B$1201,$A400))</f>
        <v/>
      </c>
      <c r="U400" s="19" t="str">
        <f aca="false">IF(OR($A400="",INDEX(_LEITURA!$Q$2:$Q$21,11)=0),"",SUMIFS(DECKS!$D$2:$D$1201,DECKS!$A$2:$A$1201,INDEX(_LEITURA!$P$2:$P$21,11),DECKS!$B$2:$B$1201,$A400))</f>
        <v/>
      </c>
      <c r="V400" s="19" t="str">
        <f aca="false">IF(OR($A400="",INDEX(_LEITURA!$Q$2:$Q$21,12)=0),"",SUMIFS(DECKS!$D$2:$D$1201,DECKS!$A$2:$A$1201,INDEX(_LEITURA!$P$2:$P$21,12),DECKS!$B$2:$B$1201,$A400))</f>
        <v/>
      </c>
      <c r="W400" s="19" t="str">
        <f aca="false">IF(OR($A400="",INDEX(_LEITURA!$Q$2:$Q$21,13)=0),"",SUMIFS(DECKS!$D$2:$D$1201,DECKS!$A$2:$A$1201,INDEX(_LEITURA!$P$2:$P$21,13),DECKS!$B$2:$B$1201,$A400))</f>
        <v/>
      </c>
      <c r="X400" s="19" t="str">
        <f aca="false">IF(OR($A400="",INDEX(_LEITURA!$Q$2:$Q$21,14)=0),"",SUMIFS(DECKS!$D$2:$D$1201,DECKS!$A$2:$A$1201,INDEX(_LEITURA!$P$2:$P$21,14),DECKS!$B$2:$B$1201,$A400))</f>
        <v/>
      </c>
      <c r="Y400" s="19" t="str">
        <f aca="false">IF(OR($A400="",INDEX(_LEITURA!$Q$2:$Q$21,15)=0),"",SUMIFS(DECKS!$D$2:$D$1201,DECKS!$A$2:$A$1201,INDEX(_LEITURA!$P$2:$P$21,15),DECKS!$B$2:$B$1201,$A400))</f>
        <v/>
      </c>
      <c r="Z400" s="19" t="str">
        <f aca="false">IF(OR($A400="",INDEX(_LEITURA!$Q$2:$Q$21,16)=0),"",SUMIFS(DECKS!$D$2:$D$1201,DECKS!$A$2:$A$1201,INDEX(_LEITURA!$P$2:$P$21,16),DECKS!$B$2:$B$1201,$A400))</f>
        <v/>
      </c>
      <c r="AA400" s="19" t="str">
        <f aca="false">IF(OR($A400="",INDEX(_LEITURA!$Q$2:$Q$21,17)=0),"",SUMIFS(DECKS!$D$2:$D$1201,DECKS!$A$2:$A$1201,INDEX(_LEITURA!$P$2:$P$21,17),DECKS!$B$2:$B$1201,$A400))</f>
        <v/>
      </c>
      <c r="AB400" s="19" t="str">
        <f aca="false">IF(OR($A400="",INDEX(_LEITURA!$Q$2:$Q$21,18)=0),"",SUMIFS(DECKS!$D$2:$D$1201,DECKS!$A$2:$A$1201,INDEX(_LEITURA!$P$2:$P$21,18),DECKS!$B$2:$B$1201,$A400))</f>
        <v/>
      </c>
      <c r="AC400" s="19" t="str">
        <f aca="false">IF(OR($A400="",INDEX(_LEITURA!$Q$2:$Q$21,19)=0),"",SUMIFS(DECKS!$D$2:$D$1201,DECKS!$A$2:$A$1201,INDEX(_LEITURA!$P$2:$P$21,19),DECKS!$B$2:$B$1201,$A400))</f>
        <v/>
      </c>
      <c r="AD400" s="19" t="str">
        <f aca="false">IF(OR($A400="",INDEX(_LEITURA!$Q$2:$Q$21,20)=0),"",SUMIFS(DECKS!$D$2:$D$1201,DECKS!$A$2:$A$1201,INDEX(_LEITURA!$P$2:$P$21,20),DECKS!$B$2:$B$1201,$A400))</f>
        <v/>
      </c>
      <c r="AE400" s="16" t="str">
        <f aca="false">IF(N(E400)&gt;0,MAX(AE$1:AE399)+1,"")</f>
        <v/>
      </c>
      <c r="AF400" s="11" t="str">
        <f aca="false">IF(A400="","",IFERROR(LEFT(A400,FIND("-",A400)-1),A400))</f>
        <v/>
      </c>
      <c r="AG400" s="11" t="str">
        <f aca="false">IF(AF400="","",IF(ISNUMBER(--MID(AF400,1,1)),0,IF(ISNUMBER(--MID(AF400,2,1)),1,IF(ISNUMBER(--MID(AF400,3,1)),2,IF(ISNUMBER(--MID(AF400,4,1)),3,MIN(LEN(AF400),4))))))</f>
        <v/>
      </c>
      <c r="AH400" s="11" t="str">
        <f aca="false">IF(A400="","",LEFT(AF400,AG400)&amp;REPT("0",4-AG400)&amp;RIGHT("000"&amp;IFERROR(VALUE(MID(AF400,AG400+1,9)),0),3)&amp;RIGHT("0000"&amp;IFERROR(VALUE(MID(A400,FIND("-",A400)+1,9)),0),4))</f>
        <v/>
      </c>
      <c r="AI400" s="11" t="str">
        <f aca="false">IF(OR(A400="",N(E400)&lt;=0),"",IF('FALTAS GERAL'!$M$1="Código","K"&amp;AH400&amp;RIGHT("00000"&amp;ROW(),5),IF('FALTAS GERAL'!$M$1="Nome","K"&amp;UPPER(SUBSTITUTE(SUBSTITUTE(SUBSTITUTE(B400,"*",""),"?",""),"~",""))&amp;"0"&amp;AH400&amp;RIGHT("00000"&amp;ROW(),5),IF('FALTAS GERAL'!$M$1="Falta (maior primeiro)","K"&amp;RIGHT("0000"&amp;(9999-E400),4)&amp;AH400&amp;RIGHT("00000"&amp;ROW(),5),IF('FALTAS GERAL'!$M$1="Nº de decks (maior primeiro)","K"&amp;RIGHT("00"&amp;(99-N(G400)),2)&amp;AH400&amp;RIGHT("00000"&amp;ROW(),5),"K"&amp;RIGHT("00000"&amp;ROW(),5))))))</f>
        <v/>
      </c>
      <c r="AJ400" s="11" t="str">
        <f aca="false">IF(AI400="","",COUNTIFS($AI$2:$AI$801,"&lt;"&amp;AI400,$E$2:$E$801,"&gt;0")+1)</f>
        <v/>
      </c>
      <c r="AK400" s="11" t="str">
        <f aca="false">IF(OR(A400="",N(E400)&lt;=0),"",COUNTIFS($AH$2:$AH$801,"&lt;"&amp;AH400,$E$2:$E$801,"&gt;0")+COUNTIFS($AH$2:AH400,AH400,$E$2:E400,"&gt;0"))</f>
        <v/>
      </c>
    </row>
    <row r="401" customFormat="false" ht="15" hidden="false" customHeight="false" outlineLevel="0" collapsed="false">
      <c r="A401" s="11" t="str">
        <f aca="false">IF(INVENTÁRIO!A401="","",INVENTÁRIO!A401)</f>
        <v/>
      </c>
      <c r="B401" s="11" t="str">
        <f aca="false">IF(A401="","",INVENTÁRIO!B401)</f>
        <v/>
      </c>
      <c r="C401" s="16" t="str">
        <f aca="false">IF(A401="","",INVENTÁRIO!C401)</f>
        <v/>
      </c>
      <c r="D401" s="14" t="str">
        <f aca="false">IF(A401="","",MAX(K401:AD401))</f>
        <v/>
      </c>
      <c r="E401" s="14" t="str">
        <f aca="false">IF(A401="","",MAX(0,D401-C401))</f>
        <v/>
      </c>
      <c r="F401" s="16" t="str">
        <f aca="false">IF(A401="","",IF(D401=0,"Fora dos decks",IF(E401=0,"Completo","Falta")))</f>
        <v/>
      </c>
      <c r="G401" s="16" t="str">
        <f aca="false">IF(A401="","",COUNTIF(K401:AD401,"&gt;0"))</f>
        <v/>
      </c>
      <c r="H401" s="16" t="str">
        <f aca="false">IF(A401="","",IF(G401&gt;1,"Sim",""))</f>
        <v/>
      </c>
      <c r="I401" s="18" t="str">
        <f aca="false">IF(A401="","",SUMIFS(DECKS!$D$2:$D$1201,DECKS!$B$2:$B$1201,A401))</f>
        <v/>
      </c>
      <c r="J401" s="18" t="str">
        <f aca="false">IF(A401="","",MAX(0,I401-C401))</f>
        <v/>
      </c>
      <c r="K401" s="19" t="str">
        <f aca="false">IF(OR($A401="",INDEX(_LEITURA!$Q$2:$Q$21,1)=0),"",SUMIFS(DECKS!$D$2:$D$1201,DECKS!$A$2:$A$1201,INDEX(_LEITURA!$P$2:$P$21,1),DECKS!$B$2:$B$1201,$A401))</f>
        <v/>
      </c>
      <c r="L401" s="19" t="str">
        <f aca="false">IF(OR($A401="",INDEX(_LEITURA!$Q$2:$Q$21,2)=0),"",SUMIFS(DECKS!$D$2:$D$1201,DECKS!$A$2:$A$1201,INDEX(_LEITURA!$P$2:$P$21,2),DECKS!$B$2:$B$1201,$A401))</f>
        <v/>
      </c>
      <c r="M401" s="19" t="str">
        <f aca="false">IF(OR($A401="",INDEX(_LEITURA!$Q$2:$Q$21,3)=0),"",SUMIFS(DECKS!$D$2:$D$1201,DECKS!$A$2:$A$1201,INDEX(_LEITURA!$P$2:$P$21,3),DECKS!$B$2:$B$1201,$A401))</f>
        <v/>
      </c>
      <c r="N401" s="19" t="str">
        <f aca="false">IF(OR($A401="",INDEX(_LEITURA!$Q$2:$Q$21,4)=0),"",SUMIFS(DECKS!$D$2:$D$1201,DECKS!$A$2:$A$1201,INDEX(_LEITURA!$P$2:$P$21,4),DECKS!$B$2:$B$1201,$A401))</f>
        <v/>
      </c>
      <c r="O401" s="19" t="str">
        <f aca="false">IF(OR($A401="",INDEX(_LEITURA!$Q$2:$Q$21,5)=0),"",SUMIFS(DECKS!$D$2:$D$1201,DECKS!$A$2:$A$1201,INDEX(_LEITURA!$P$2:$P$21,5),DECKS!$B$2:$B$1201,$A401))</f>
        <v/>
      </c>
      <c r="P401" s="19" t="str">
        <f aca="false">IF(OR($A401="",INDEX(_LEITURA!$Q$2:$Q$21,6)=0),"",SUMIFS(DECKS!$D$2:$D$1201,DECKS!$A$2:$A$1201,INDEX(_LEITURA!$P$2:$P$21,6),DECKS!$B$2:$B$1201,$A401))</f>
        <v/>
      </c>
      <c r="Q401" s="19" t="str">
        <f aca="false">IF(OR($A401="",INDEX(_LEITURA!$Q$2:$Q$21,7)=0),"",SUMIFS(DECKS!$D$2:$D$1201,DECKS!$A$2:$A$1201,INDEX(_LEITURA!$P$2:$P$21,7),DECKS!$B$2:$B$1201,$A401))</f>
        <v/>
      </c>
      <c r="R401" s="19" t="str">
        <f aca="false">IF(OR($A401="",INDEX(_LEITURA!$Q$2:$Q$21,8)=0),"",SUMIFS(DECKS!$D$2:$D$1201,DECKS!$A$2:$A$1201,INDEX(_LEITURA!$P$2:$P$21,8),DECKS!$B$2:$B$1201,$A401))</f>
        <v/>
      </c>
      <c r="S401" s="19" t="str">
        <f aca="false">IF(OR($A401="",INDEX(_LEITURA!$Q$2:$Q$21,9)=0),"",SUMIFS(DECKS!$D$2:$D$1201,DECKS!$A$2:$A$1201,INDEX(_LEITURA!$P$2:$P$21,9),DECKS!$B$2:$B$1201,$A401))</f>
        <v/>
      </c>
      <c r="T401" s="19" t="str">
        <f aca="false">IF(OR($A401="",INDEX(_LEITURA!$Q$2:$Q$21,10)=0),"",SUMIFS(DECKS!$D$2:$D$1201,DECKS!$A$2:$A$1201,INDEX(_LEITURA!$P$2:$P$21,10),DECKS!$B$2:$B$1201,$A401))</f>
        <v/>
      </c>
      <c r="U401" s="19" t="str">
        <f aca="false">IF(OR($A401="",INDEX(_LEITURA!$Q$2:$Q$21,11)=0),"",SUMIFS(DECKS!$D$2:$D$1201,DECKS!$A$2:$A$1201,INDEX(_LEITURA!$P$2:$P$21,11),DECKS!$B$2:$B$1201,$A401))</f>
        <v/>
      </c>
      <c r="V401" s="19" t="str">
        <f aca="false">IF(OR($A401="",INDEX(_LEITURA!$Q$2:$Q$21,12)=0),"",SUMIFS(DECKS!$D$2:$D$1201,DECKS!$A$2:$A$1201,INDEX(_LEITURA!$P$2:$P$21,12),DECKS!$B$2:$B$1201,$A401))</f>
        <v/>
      </c>
      <c r="W401" s="19" t="str">
        <f aca="false">IF(OR($A401="",INDEX(_LEITURA!$Q$2:$Q$21,13)=0),"",SUMIFS(DECKS!$D$2:$D$1201,DECKS!$A$2:$A$1201,INDEX(_LEITURA!$P$2:$P$21,13),DECKS!$B$2:$B$1201,$A401))</f>
        <v/>
      </c>
      <c r="X401" s="19" t="str">
        <f aca="false">IF(OR($A401="",INDEX(_LEITURA!$Q$2:$Q$21,14)=0),"",SUMIFS(DECKS!$D$2:$D$1201,DECKS!$A$2:$A$1201,INDEX(_LEITURA!$P$2:$P$21,14),DECKS!$B$2:$B$1201,$A401))</f>
        <v/>
      </c>
      <c r="Y401" s="19" t="str">
        <f aca="false">IF(OR($A401="",INDEX(_LEITURA!$Q$2:$Q$21,15)=0),"",SUMIFS(DECKS!$D$2:$D$1201,DECKS!$A$2:$A$1201,INDEX(_LEITURA!$P$2:$P$21,15),DECKS!$B$2:$B$1201,$A401))</f>
        <v/>
      </c>
      <c r="Z401" s="19" t="str">
        <f aca="false">IF(OR($A401="",INDEX(_LEITURA!$Q$2:$Q$21,16)=0),"",SUMIFS(DECKS!$D$2:$D$1201,DECKS!$A$2:$A$1201,INDEX(_LEITURA!$P$2:$P$21,16),DECKS!$B$2:$B$1201,$A401))</f>
        <v/>
      </c>
      <c r="AA401" s="19" t="str">
        <f aca="false">IF(OR($A401="",INDEX(_LEITURA!$Q$2:$Q$21,17)=0),"",SUMIFS(DECKS!$D$2:$D$1201,DECKS!$A$2:$A$1201,INDEX(_LEITURA!$P$2:$P$21,17),DECKS!$B$2:$B$1201,$A401))</f>
        <v/>
      </c>
      <c r="AB401" s="19" t="str">
        <f aca="false">IF(OR($A401="",INDEX(_LEITURA!$Q$2:$Q$21,18)=0),"",SUMIFS(DECKS!$D$2:$D$1201,DECKS!$A$2:$A$1201,INDEX(_LEITURA!$P$2:$P$21,18),DECKS!$B$2:$B$1201,$A401))</f>
        <v/>
      </c>
      <c r="AC401" s="19" t="str">
        <f aca="false">IF(OR($A401="",INDEX(_LEITURA!$Q$2:$Q$21,19)=0),"",SUMIFS(DECKS!$D$2:$D$1201,DECKS!$A$2:$A$1201,INDEX(_LEITURA!$P$2:$P$21,19),DECKS!$B$2:$B$1201,$A401))</f>
        <v/>
      </c>
      <c r="AD401" s="19" t="str">
        <f aca="false">IF(OR($A401="",INDEX(_LEITURA!$Q$2:$Q$21,20)=0),"",SUMIFS(DECKS!$D$2:$D$1201,DECKS!$A$2:$A$1201,INDEX(_LEITURA!$P$2:$P$21,20),DECKS!$B$2:$B$1201,$A401))</f>
        <v/>
      </c>
      <c r="AE401" s="16" t="str">
        <f aca="false">IF(N(E401)&gt;0,MAX(AE$1:AE400)+1,"")</f>
        <v/>
      </c>
      <c r="AF401" s="11" t="str">
        <f aca="false">IF(A401="","",IFERROR(LEFT(A401,FIND("-",A401)-1),A401))</f>
        <v/>
      </c>
      <c r="AG401" s="11" t="str">
        <f aca="false">IF(AF401="","",IF(ISNUMBER(--MID(AF401,1,1)),0,IF(ISNUMBER(--MID(AF401,2,1)),1,IF(ISNUMBER(--MID(AF401,3,1)),2,IF(ISNUMBER(--MID(AF401,4,1)),3,MIN(LEN(AF401),4))))))</f>
        <v/>
      </c>
      <c r="AH401" s="11" t="str">
        <f aca="false">IF(A401="","",LEFT(AF401,AG401)&amp;REPT("0",4-AG401)&amp;RIGHT("000"&amp;IFERROR(VALUE(MID(AF401,AG401+1,9)),0),3)&amp;RIGHT("0000"&amp;IFERROR(VALUE(MID(A401,FIND("-",A401)+1,9)),0),4))</f>
        <v/>
      </c>
      <c r="AI401" s="11" t="str">
        <f aca="false">IF(OR(A401="",N(E401)&lt;=0),"",IF('FALTAS GERAL'!$M$1="Código","K"&amp;AH401&amp;RIGHT("00000"&amp;ROW(),5),IF('FALTAS GERAL'!$M$1="Nome","K"&amp;UPPER(SUBSTITUTE(SUBSTITUTE(SUBSTITUTE(B401,"*",""),"?",""),"~",""))&amp;"0"&amp;AH401&amp;RIGHT("00000"&amp;ROW(),5),IF('FALTAS GERAL'!$M$1="Falta (maior primeiro)","K"&amp;RIGHT("0000"&amp;(9999-E401),4)&amp;AH401&amp;RIGHT("00000"&amp;ROW(),5),IF('FALTAS GERAL'!$M$1="Nº de decks (maior primeiro)","K"&amp;RIGHT("00"&amp;(99-N(G401)),2)&amp;AH401&amp;RIGHT("00000"&amp;ROW(),5),"K"&amp;RIGHT("00000"&amp;ROW(),5))))))</f>
        <v/>
      </c>
      <c r="AJ401" s="11" t="str">
        <f aca="false">IF(AI401="","",COUNTIFS($AI$2:$AI$801,"&lt;"&amp;AI401,$E$2:$E$801,"&gt;0")+1)</f>
        <v/>
      </c>
      <c r="AK401" s="11" t="str">
        <f aca="false">IF(OR(A401="",N(E401)&lt;=0),"",COUNTIFS($AH$2:$AH$801,"&lt;"&amp;AH401,$E$2:$E$801,"&gt;0")+COUNTIFS($AH$2:AH401,AH401,$E$2:E401,"&gt;0"))</f>
        <v/>
      </c>
    </row>
    <row r="402" customFormat="false" ht="15" hidden="false" customHeight="false" outlineLevel="0" collapsed="false">
      <c r="A402" s="11" t="str">
        <f aca="false">IF(INVENTÁRIO!A402="","",INVENTÁRIO!A402)</f>
        <v/>
      </c>
      <c r="B402" s="11" t="str">
        <f aca="false">IF(A402="","",INVENTÁRIO!B402)</f>
        <v/>
      </c>
      <c r="C402" s="16" t="str">
        <f aca="false">IF(A402="","",INVENTÁRIO!C402)</f>
        <v/>
      </c>
      <c r="D402" s="14" t="str">
        <f aca="false">IF(A402="","",MAX(K402:AD402))</f>
        <v/>
      </c>
      <c r="E402" s="14" t="str">
        <f aca="false">IF(A402="","",MAX(0,D402-C402))</f>
        <v/>
      </c>
      <c r="F402" s="16" t="str">
        <f aca="false">IF(A402="","",IF(D402=0,"Fora dos decks",IF(E402=0,"Completo","Falta")))</f>
        <v/>
      </c>
      <c r="G402" s="16" t="str">
        <f aca="false">IF(A402="","",COUNTIF(K402:AD402,"&gt;0"))</f>
        <v/>
      </c>
      <c r="H402" s="16" t="str">
        <f aca="false">IF(A402="","",IF(G402&gt;1,"Sim",""))</f>
        <v/>
      </c>
      <c r="I402" s="18" t="str">
        <f aca="false">IF(A402="","",SUMIFS(DECKS!$D$2:$D$1201,DECKS!$B$2:$B$1201,A402))</f>
        <v/>
      </c>
      <c r="J402" s="18" t="str">
        <f aca="false">IF(A402="","",MAX(0,I402-C402))</f>
        <v/>
      </c>
      <c r="K402" s="19" t="str">
        <f aca="false">IF(OR($A402="",INDEX(_LEITURA!$Q$2:$Q$21,1)=0),"",SUMIFS(DECKS!$D$2:$D$1201,DECKS!$A$2:$A$1201,INDEX(_LEITURA!$P$2:$P$21,1),DECKS!$B$2:$B$1201,$A402))</f>
        <v/>
      </c>
      <c r="L402" s="19" t="str">
        <f aca="false">IF(OR($A402="",INDEX(_LEITURA!$Q$2:$Q$21,2)=0),"",SUMIFS(DECKS!$D$2:$D$1201,DECKS!$A$2:$A$1201,INDEX(_LEITURA!$P$2:$P$21,2),DECKS!$B$2:$B$1201,$A402))</f>
        <v/>
      </c>
      <c r="M402" s="19" t="str">
        <f aca="false">IF(OR($A402="",INDEX(_LEITURA!$Q$2:$Q$21,3)=0),"",SUMIFS(DECKS!$D$2:$D$1201,DECKS!$A$2:$A$1201,INDEX(_LEITURA!$P$2:$P$21,3),DECKS!$B$2:$B$1201,$A402))</f>
        <v/>
      </c>
      <c r="N402" s="19" t="str">
        <f aca="false">IF(OR($A402="",INDEX(_LEITURA!$Q$2:$Q$21,4)=0),"",SUMIFS(DECKS!$D$2:$D$1201,DECKS!$A$2:$A$1201,INDEX(_LEITURA!$P$2:$P$21,4),DECKS!$B$2:$B$1201,$A402))</f>
        <v/>
      </c>
      <c r="O402" s="19" t="str">
        <f aca="false">IF(OR($A402="",INDEX(_LEITURA!$Q$2:$Q$21,5)=0),"",SUMIFS(DECKS!$D$2:$D$1201,DECKS!$A$2:$A$1201,INDEX(_LEITURA!$P$2:$P$21,5),DECKS!$B$2:$B$1201,$A402))</f>
        <v/>
      </c>
      <c r="P402" s="19" t="str">
        <f aca="false">IF(OR($A402="",INDEX(_LEITURA!$Q$2:$Q$21,6)=0),"",SUMIFS(DECKS!$D$2:$D$1201,DECKS!$A$2:$A$1201,INDEX(_LEITURA!$P$2:$P$21,6),DECKS!$B$2:$B$1201,$A402))</f>
        <v/>
      </c>
      <c r="Q402" s="19" t="str">
        <f aca="false">IF(OR($A402="",INDEX(_LEITURA!$Q$2:$Q$21,7)=0),"",SUMIFS(DECKS!$D$2:$D$1201,DECKS!$A$2:$A$1201,INDEX(_LEITURA!$P$2:$P$21,7),DECKS!$B$2:$B$1201,$A402))</f>
        <v/>
      </c>
      <c r="R402" s="19" t="str">
        <f aca="false">IF(OR($A402="",INDEX(_LEITURA!$Q$2:$Q$21,8)=0),"",SUMIFS(DECKS!$D$2:$D$1201,DECKS!$A$2:$A$1201,INDEX(_LEITURA!$P$2:$P$21,8),DECKS!$B$2:$B$1201,$A402))</f>
        <v/>
      </c>
      <c r="S402" s="19" t="str">
        <f aca="false">IF(OR($A402="",INDEX(_LEITURA!$Q$2:$Q$21,9)=0),"",SUMIFS(DECKS!$D$2:$D$1201,DECKS!$A$2:$A$1201,INDEX(_LEITURA!$P$2:$P$21,9),DECKS!$B$2:$B$1201,$A402))</f>
        <v/>
      </c>
      <c r="T402" s="19" t="str">
        <f aca="false">IF(OR($A402="",INDEX(_LEITURA!$Q$2:$Q$21,10)=0),"",SUMIFS(DECKS!$D$2:$D$1201,DECKS!$A$2:$A$1201,INDEX(_LEITURA!$P$2:$P$21,10),DECKS!$B$2:$B$1201,$A402))</f>
        <v/>
      </c>
      <c r="U402" s="19" t="str">
        <f aca="false">IF(OR($A402="",INDEX(_LEITURA!$Q$2:$Q$21,11)=0),"",SUMIFS(DECKS!$D$2:$D$1201,DECKS!$A$2:$A$1201,INDEX(_LEITURA!$P$2:$P$21,11),DECKS!$B$2:$B$1201,$A402))</f>
        <v/>
      </c>
      <c r="V402" s="19" t="str">
        <f aca="false">IF(OR($A402="",INDEX(_LEITURA!$Q$2:$Q$21,12)=0),"",SUMIFS(DECKS!$D$2:$D$1201,DECKS!$A$2:$A$1201,INDEX(_LEITURA!$P$2:$P$21,12),DECKS!$B$2:$B$1201,$A402))</f>
        <v/>
      </c>
      <c r="W402" s="19" t="str">
        <f aca="false">IF(OR($A402="",INDEX(_LEITURA!$Q$2:$Q$21,13)=0),"",SUMIFS(DECKS!$D$2:$D$1201,DECKS!$A$2:$A$1201,INDEX(_LEITURA!$P$2:$P$21,13),DECKS!$B$2:$B$1201,$A402))</f>
        <v/>
      </c>
      <c r="X402" s="19" t="str">
        <f aca="false">IF(OR($A402="",INDEX(_LEITURA!$Q$2:$Q$21,14)=0),"",SUMIFS(DECKS!$D$2:$D$1201,DECKS!$A$2:$A$1201,INDEX(_LEITURA!$P$2:$P$21,14),DECKS!$B$2:$B$1201,$A402))</f>
        <v/>
      </c>
      <c r="Y402" s="19" t="str">
        <f aca="false">IF(OR($A402="",INDEX(_LEITURA!$Q$2:$Q$21,15)=0),"",SUMIFS(DECKS!$D$2:$D$1201,DECKS!$A$2:$A$1201,INDEX(_LEITURA!$P$2:$P$21,15),DECKS!$B$2:$B$1201,$A402))</f>
        <v/>
      </c>
      <c r="Z402" s="19" t="str">
        <f aca="false">IF(OR($A402="",INDEX(_LEITURA!$Q$2:$Q$21,16)=0),"",SUMIFS(DECKS!$D$2:$D$1201,DECKS!$A$2:$A$1201,INDEX(_LEITURA!$P$2:$P$21,16),DECKS!$B$2:$B$1201,$A402))</f>
        <v/>
      </c>
      <c r="AA402" s="19" t="str">
        <f aca="false">IF(OR($A402="",INDEX(_LEITURA!$Q$2:$Q$21,17)=0),"",SUMIFS(DECKS!$D$2:$D$1201,DECKS!$A$2:$A$1201,INDEX(_LEITURA!$P$2:$P$21,17),DECKS!$B$2:$B$1201,$A402))</f>
        <v/>
      </c>
      <c r="AB402" s="19" t="str">
        <f aca="false">IF(OR($A402="",INDEX(_LEITURA!$Q$2:$Q$21,18)=0),"",SUMIFS(DECKS!$D$2:$D$1201,DECKS!$A$2:$A$1201,INDEX(_LEITURA!$P$2:$P$21,18),DECKS!$B$2:$B$1201,$A402))</f>
        <v/>
      </c>
      <c r="AC402" s="19" t="str">
        <f aca="false">IF(OR($A402="",INDEX(_LEITURA!$Q$2:$Q$21,19)=0),"",SUMIFS(DECKS!$D$2:$D$1201,DECKS!$A$2:$A$1201,INDEX(_LEITURA!$P$2:$P$21,19),DECKS!$B$2:$B$1201,$A402))</f>
        <v/>
      </c>
      <c r="AD402" s="19" t="str">
        <f aca="false">IF(OR($A402="",INDEX(_LEITURA!$Q$2:$Q$21,20)=0),"",SUMIFS(DECKS!$D$2:$D$1201,DECKS!$A$2:$A$1201,INDEX(_LEITURA!$P$2:$P$21,20),DECKS!$B$2:$B$1201,$A402))</f>
        <v/>
      </c>
      <c r="AE402" s="16" t="str">
        <f aca="false">IF(N(E402)&gt;0,MAX(AE$1:AE401)+1,"")</f>
        <v/>
      </c>
      <c r="AF402" s="11" t="str">
        <f aca="false">IF(A402="","",IFERROR(LEFT(A402,FIND("-",A402)-1),A402))</f>
        <v/>
      </c>
      <c r="AG402" s="11" t="str">
        <f aca="false">IF(AF402="","",IF(ISNUMBER(--MID(AF402,1,1)),0,IF(ISNUMBER(--MID(AF402,2,1)),1,IF(ISNUMBER(--MID(AF402,3,1)),2,IF(ISNUMBER(--MID(AF402,4,1)),3,MIN(LEN(AF402),4))))))</f>
        <v/>
      </c>
      <c r="AH402" s="11" t="str">
        <f aca="false">IF(A402="","",LEFT(AF402,AG402)&amp;REPT("0",4-AG402)&amp;RIGHT("000"&amp;IFERROR(VALUE(MID(AF402,AG402+1,9)),0),3)&amp;RIGHT("0000"&amp;IFERROR(VALUE(MID(A402,FIND("-",A402)+1,9)),0),4))</f>
        <v/>
      </c>
      <c r="AI402" s="11" t="str">
        <f aca="false">IF(OR(A402="",N(E402)&lt;=0),"",IF('FALTAS GERAL'!$M$1="Código","K"&amp;AH402&amp;RIGHT("00000"&amp;ROW(),5),IF('FALTAS GERAL'!$M$1="Nome","K"&amp;UPPER(SUBSTITUTE(SUBSTITUTE(SUBSTITUTE(B402,"*",""),"?",""),"~",""))&amp;"0"&amp;AH402&amp;RIGHT("00000"&amp;ROW(),5),IF('FALTAS GERAL'!$M$1="Falta (maior primeiro)","K"&amp;RIGHT("0000"&amp;(9999-E402),4)&amp;AH402&amp;RIGHT("00000"&amp;ROW(),5),IF('FALTAS GERAL'!$M$1="Nº de decks (maior primeiro)","K"&amp;RIGHT("00"&amp;(99-N(G402)),2)&amp;AH402&amp;RIGHT("00000"&amp;ROW(),5),"K"&amp;RIGHT("00000"&amp;ROW(),5))))))</f>
        <v/>
      </c>
      <c r="AJ402" s="11" t="str">
        <f aca="false">IF(AI402="","",COUNTIFS($AI$2:$AI$801,"&lt;"&amp;AI402,$E$2:$E$801,"&gt;0")+1)</f>
        <v/>
      </c>
      <c r="AK402" s="11" t="str">
        <f aca="false">IF(OR(A402="",N(E402)&lt;=0),"",COUNTIFS($AH$2:$AH$801,"&lt;"&amp;AH402,$E$2:$E$801,"&gt;0")+COUNTIFS($AH$2:AH402,AH402,$E$2:E402,"&gt;0"))</f>
        <v/>
      </c>
    </row>
    <row r="403" customFormat="false" ht="15" hidden="false" customHeight="false" outlineLevel="0" collapsed="false">
      <c r="A403" s="11" t="str">
        <f aca="false">IF(INVENTÁRIO!A403="","",INVENTÁRIO!A403)</f>
        <v/>
      </c>
      <c r="B403" s="11" t="str">
        <f aca="false">IF(A403="","",INVENTÁRIO!B403)</f>
        <v/>
      </c>
      <c r="C403" s="16" t="str">
        <f aca="false">IF(A403="","",INVENTÁRIO!C403)</f>
        <v/>
      </c>
      <c r="D403" s="14" t="str">
        <f aca="false">IF(A403="","",MAX(K403:AD403))</f>
        <v/>
      </c>
      <c r="E403" s="14" t="str">
        <f aca="false">IF(A403="","",MAX(0,D403-C403))</f>
        <v/>
      </c>
      <c r="F403" s="16" t="str">
        <f aca="false">IF(A403="","",IF(D403=0,"Fora dos decks",IF(E403=0,"Completo","Falta")))</f>
        <v/>
      </c>
      <c r="G403" s="16" t="str">
        <f aca="false">IF(A403="","",COUNTIF(K403:AD403,"&gt;0"))</f>
        <v/>
      </c>
      <c r="H403" s="16" t="str">
        <f aca="false">IF(A403="","",IF(G403&gt;1,"Sim",""))</f>
        <v/>
      </c>
      <c r="I403" s="18" t="str">
        <f aca="false">IF(A403="","",SUMIFS(DECKS!$D$2:$D$1201,DECKS!$B$2:$B$1201,A403))</f>
        <v/>
      </c>
      <c r="J403" s="18" t="str">
        <f aca="false">IF(A403="","",MAX(0,I403-C403))</f>
        <v/>
      </c>
      <c r="K403" s="19" t="str">
        <f aca="false">IF(OR($A403="",INDEX(_LEITURA!$Q$2:$Q$21,1)=0),"",SUMIFS(DECKS!$D$2:$D$1201,DECKS!$A$2:$A$1201,INDEX(_LEITURA!$P$2:$P$21,1),DECKS!$B$2:$B$1201,$A403))</f>
        <v/>
      </c>
      <c r="L403" s="19" t="str">
        <f aca="false">IF(OR($A403="",INDEX(_LEITURA!$Q$2:$Q$21,2)=0),"",SUMIFS(DECKS!$D$2:$D$1201,DECKS!$A$2:$A$1201,INDEX(_LEITURA!$P$2:$P$21,2),DECKS!$B$2:$B$1201,$A403))</f>
        <v/>
      </c>
      <c r="M403" s="19" t="str">
        <f aca="false">IF(OR($A403="",INDEX(_LEITURA!$Q$2:$Q$21,3)=0),"",SUMIFS(DECKS!$D$2:$D$1201,DECKS!$A$2:$A$1201,INDEX(_LEITURA!$P$2:$P$21,3),DECKS!$B$2:$B$1201,$A403))</f>
        <v/>
      </c>
      <c r="N403" s="19" t="str">
        <f aca="false">IF(OR($A403="",INDEX(_LEITURA!$Q$2:$Q$21,4)=0),"",SUMIFS(DECKS!$D$2:$D$1201,DECKS!$A$2:$A$1201,INDEX(_LEITURA!$P$2:$P$21,4),DECKS!$B$2:$B$1201,$A403))</f>
        <v/>
      </c>
      <c r="O403" s="19" t="str">
        <f aca="false">IF(OR($A403="",INDEX(_LEITURA!$Q$2:$Q$21,5)=0),"",SUMIFS(DECKS!$D$2:$D$1201,DECKS!$A$2:$A$1201,INDEX(_LEITURA!$P$2:$P$21,5),DECKS!$B$2:$B$1201,$A403))</f>
        <v/>
      </c>
      <c r="P403" s="19" t="str">
        <f aca="false">IF(OR($A403="",INDEX(_LEITURA!$Q$2:$Q$21,6)=0),"",SUMIFS(DECKS!$D$2:$D$1201,DECKS!$A$2:$A$1201,INDEX(_LEITURA!$P$2:$P$21,6),DECKS!$B$2:$B$1201,$A403))</f>
        <v/>
      </c>
      <c r="Q403" s="19" t="str">
        <f aca="false">IF(OR($A403="",INDEX(_LEITURA!$Q$2:$Q$21,7)=0),"",SUMIFS(DECKS!$D$2:$D$1201,DECKS!$A$2:$A$1201,INDEX(_LEITURA!$P$2:$P$21,7),DECKS!$B$2:$B$1201,$A403))</f>
        <v/>
      </c>
      <c r="R403" s="19" t="str">
        <f aca="false">IF(OR($A403="",INDEX(_LEITURA!$Q$2:$Q$21,8)=0),"",SUMIFS(DECKS!$D$2:$D$1201,DECKS!$A$2:$A$1201,INDEX(_LEITURA!$P$2:$P$21,8),DECKS!$B$2:$B$1201,$A403))</f>
        <v/>
      </c>
      <c r="S403" s="19" t="str">
        <f aca="false">IF(OR($A403="",INDEX(_LEITURA!$Q$2:$Q$21,9)=0),"",SUMIFS(DECKS!$D$2:$D$1201,DECKS!$A$2:$A$1201,INDEX(_LEITURA!$P$2:$P$21,9),DECKS!$B$2:$B$1201,$A403))</f>
        <v/>
      </c>
      <c r="T403" s="19" t="str">
        <f aca="false">IF(OR($A403="",INDEX(_LEITURA!$Q$2:$Q$21,10)=0),"",SUMIFS(DECKS!$D$2:$D$1201,DECKS!$A$2:$A$1201,INDEX(_LEITURA!$P$2:$P$21,10),DECKS!$B$2:$B$1201,$A403))</f>
        <v/>
      </c>
      <c r="U403" s="19" t="str">
        <f aca="false">IF(OR($A403="",INDEX(_LEITURA!$Q$2:$Q$21,11)=0),"",SUMIFS(DECKS!$D$2:$D$1201,DECKS!$A$2:$A$1201,INDEX(_LEITURA!$P$2:$P$21,11),DECKS!$B$2:$B$1201,$A403))</f>
        <v/>
      </c>
      <c r="V403" s="19" t="str">
        <f aca="false">IF(OR($A403="",INDEX(_LEITURA!$Q$2:$Q$21,12)=0),"",SUMIFS(DECKS!$D$2:$D$1201,DECKS!$A$2:$A$1201,INDEX(_LEITURA!$P$2:$P$21,12),DECKS!$B$2:$B$1201,$A403))</f>
        <v/>
      </c>
      <c r="W403" s="19" t="str">
        <f aca="false">IF(OR($A403="",INDEX(_LEITURA!$Q$2:$Q$21,13)=0),"",SUMIFS(DECKS!$D$2:$D$1201,DECKS!$A$2:$A$1201,INDEX(_LEITURA!$P$2:$P$21,13),DECKS!$B$2:$B$1201,$A403))</f>
        <v/>
      </c>
      <c r="X403" s="19" t="str">
        <f aca="false">IF(OR($A403="",INDEX(_LEITURA!$Q$2:$Q$21,14)=0),"",SUMIFS(DECKS!$D$2:$D$1201,DECKS!$A$2:$A$1201,INDEX(_LEITURA!$P$2:$P$21,14),DECKS!$B$2:$B$1201,$A403))</f>
        <v/>
      </c>
      <c r="Y403" s="19" t="str">
        <f aca="false">IF(OR($A403="",INDEX(_LEITURA!$Q$2:$Q$21,15)=0),"",SUMIFS(DECKS!$D$2:$D$1201,DECKS!$A$2:$A$1201,INDEX(_LEITURA!$P$2:$P$21,15),DECKS!$B$2:$B$1201,$A403))</f>
        <v/>
      </c>
      <c r="Z403" s="19" t="str">
        <f aca="false">IF(OR($A403="",INDEX(_LEITURA!$Q$2:$Q$21,16)=0),"",SUMIFS(DECKS!$D$2:$D$1201,DECKS!$A$2:$A$1201,INDEX(_LEITURA!$P$2:$P$21,16),DECKS!$B$2:$B$1201,$A403))</f>
        <v/>
      </c>
      <c r="AA403" s="19" t="str">
        <f aca="false">IF(OR($A403="",INDEX(_LEITURA!$Q$2:$Q$21,17)=0),"",SUMIFS(DECKS!$D$2:$D$1201,DECKS!$A$2:$A$1201,INDEX(_LEITURA!$P$2:$P$21,17),DECKS!$B$2:$B$1201,$A403))</f>
        <v/>
      </c>
      <c r="AB403" s="19" t="str">
        <f aca="false">IF(OR($A403="",INDEX(_LEITURA!$Q$2:$Q$21,18)=0),"",SUMIFS(DECKS!$D$2:$D$1201,DECKS!$A$2:$A$1201,INDEX(_LEITURA!$P$2:$P$21,18),DECKS!$B$2:$B$1201,$A403))</f>
        <v/>
      </c>
      <c r="AC403" s="19" t="str">
        <f aca="false">IF(OR($A403="",INDEX(_LEITURA!$Q$2:$Q$21,19)=0),"",SUMIFS(DECKS!$D$2:$D$1201,DECKS!$A$2:$A$1201,INDEX(_LEITURA!$P$2:$P$21,19),DECKS!$B$2:$B$1201,$A403))</f>
        <v/>
      </c>
      <c r="AD403" s="19" t="str">
        <f aca="false">IF(OR($A403="",INDEX(_LEITURA!$Q$2:$Q$21,20)=0),"",SUMIFS(DECKS!$D$2:$D$1201,DECKS!$A$2:$A$1201,INDEX(_LEITURA!$P$2:$P$21,20),DECKS!$B$2:$B$1201,$A403))</f>
        <v/>
      </c>
      <c r="AE403" s="16" t="str">
        <f aca="false">IF(N(E403)&gt;0,MAX(AE$1:AE402)+1,"")</f>
        <v/>
      </c>
      <c r="AF403" s="11" t="str">
        <f aca="false">IF(A403="","",IFERROR(LEFT(A403,FIND("-",A403)-1),A403))</f>
        <v/>
      </c>
      <c r="AG403" s="11" t="str">
        <f aca="false">IF(AF403="","",IF(ISNUMBER(--MID(AF403,1,1)),0,IF(ISNUMBER(--MID(AF403,2,1)),1,IF(ISNUMBER(--MID(AF403,3,1)),2,IF(ISNUMBER(--MID(AF403,4,1)),3,MIN(LEN(AF403),4))))))</f>
        <v/>
      </c>
      <c r="AH403" s="11" t="str">
        <f aca="false">IF(A403="","",LEFT(AF403,AG403)&amp;REPT("0",4-AG403)&amp;RIGHT("000"&amp;IFERROR(VALUE(MID(AF403,AG403+1,9)),0),3)&amp;RIGHT("0000"&amp;IFERROR(VALUE(MID(A403,FIND("-",A403)+1,9)),0),4))</f>
        <v/>
      </c>
      <c r="AI403" s="11" t="str">
        <f aca="false">IF(OR(A403="",N(E403)&lt;=0),"",IF('FALTAS GERAL'!$M$1="Código","K"&amp;AH403&amp;RIGHT("00000"&amp;ROW(),5),IF('FALTAS GERAL'!$M$1="Nome","K"&amp;UPPER(SUBSTITUTE(SUBSTITUTE(SUBSTITUTE(B403,"*",""),"?",""),"~",""))&amp;"0"&amp;AH403&amp;RIGHT("00000"&amp;ROW(),5),IF('FALTAS GERAL'!$M$1="Falta (maior primeiro)","K"&amp;RIGHT("0000"&amp;(9999-E403),4)&amp;AH403&amp;RIGHT("00000"&amp;ROW(),5),IF('FALTAS GERAL'!$M$1="Nº de decks (maior primeiro)","K"&amp;RIGHT("00"&amp;(99-N(G403)),2)&amp;AH403&amp;RIGHT("00000"&amp;ROW(),5),"K"&amp;RIGHT("00000"&amp;ROW(),5))))))</f>
        <v/>
      </c>
      <c r="AJ403" s="11" t="str">
        <f aca="false">IF(AI403="","",COUNTIFS($AI$2:$AI$801,"&lt;"&amp;AI403,$E$2:$E$801,"&gt;0")+1)</f>
        <v/>
      </c>
      <c r="AK403" s="11" t="str">
        <f aca="false">IF(OR(A403="",N(E403)&lt;=0),"",COUNTIFS($AH$2:$AH$801,"&lt;"&amp;AH403,$E$2:$E$801,"&gt;0")+COUNTIFS($AH$2:AH403,AH403,$E$2:E403,"&gt;0"))</f>
        <v/>
      </c>
    </row>
    <row r="404" customFormat="false" ht="15" hidden="false" customHeight="false" outlineLevel="0" collapsed="false">
      <c r="A404" s="11" t="str">
        <f aca="false">IF(INVENTÁRIO!A404="","",INVENTÁRIO!A404)</f>
        <v/>
      </c>
      <c r="B404" s="11" t="str">
        <f aca="false">IF(A404="","",INVENTÁRIO!B404)</f>
        <v/>
      </c>
      <c r="C404" s="16" t="str">
        <f aca="false">IF(A404="","",INVENTÁRIO!C404)</f>
        <v/>
      </c>
      <c r="D404" s="14" t="str">
        <f aca="false">IF(A404="","",MAX(K404:AD404))</f>
        <v/>
      </c>
      <c r="E404" s="14" t="str">
        <f aca="false">IF(A404="","",MAX(0,D404-C404))</f>
        <v/>
      </c>
      <c r="F404" s="16" t="str">
        <f aca="false">IF(A404="","",IF(D404=0,"Fora dos decks",IF(E404=0,"Completo","Falta")))</f>
        <v/>
      </c>
      <c r="G404" s="16" t="str">
        <f aca="false">IF(A404="","",COUNTIF(K404:AD404,"&gt;0"))</f>
        <v/>
      </c>
      <c r="H404" s="16" t="str">
        <f aca="false">IF(A404="","",IF(G404&gt;1,"Sim",""))</f>
        <v/>
      </c>
      <c r="I404" s="18" t="str">
        <f aca="false">IF(A404="","",SUMIFS(DECKS!$D$2:$D$1201,DECKS!$B$2:$B$1201,A404))</f>
        <v/>
      </c>
      <c r="J404" s="18" t="str">
        <f aca="false">IF(A404="","",MAX(0,I404-C404))</f>
        <v/>
      </c>
      <c r="K404" s="19" t="str">
        <f aca="false">IF(OR($A404="",INDEX(_LEITURA!$Q$2:$Q$21,1)=0),"",SUMIFS(DECKS!$D$2:$D$1201,DECKS!$A$2:$A$1201,INDEX(_LEITURA!$P$2:$P$21,1),DECKS!$B$2:$B$1201,$A404))</f>
        <v/>
      </c>
      <c r="L404" s="19" t="str">
        <f aca="false">IF(OR($A404="",INDEX(_LEITURA!$Q$2:$Q$21,2)=0),"",SUMIFS(DECKS!$D$2:$D$1201,DECKS!$A$2:$A$1201,INDEX(_LEITURA!$P$2:$P$21,2),DECKS!$B$2:$B$1201,$A404))</f>
        <v/>
      </c>
      <c r="M404" s="19" t="str">
        <f aca="false">IF(OR($A404="",INDEX(_LEITURA!$Q$2:$Q$21,3)=0),"",SUMIFS(DECKS!$D$2:$D$1201,DECKS!$A$2:$A$1201,INDEX(_LEITURA!$P$2:$P$21,3),DECKS!$B$2:$B$1201,$A404))</f>
        <v/>
      </c>
      <c r="N404" s="19" t="str">
        <f aca="false">IF(OR($A404="",INDEX(_LEITURA!$Q$2:$Q$21,4)=0),"",SUMIFS(DECKS!$D$2:$D$1201,DECKS!$A$2:$A$1201,INDEX(_LEITURA!$P$2:$P$21,4),DECKS!$B$2:$B$1201,$A404))</f>
        <v/>
      </c>
      <c r="O404" s="19" t="str">
        <f aca="false">IF(OR($A404="",INDEX(_LEITURA!$Q$2:$Q$21,5)=0),"",SUMIFS(DECKS!$D$2:$D$1201,DECKS!$A$2:$A$1201,INDEX(_LEITURA!$P$2:$P$21,5),DECKS!$B$2:$B$1201,$A404))</f>
        <v/>
      </c>
      <c r="P404" s="19" t="str">
        <f aca="false">IF(OR($A404="",INDEX(_LEITURA!$Q$2:$Q$21,6)=0),"",SUMIFS(DECKS!$D$2:$D$1201,DECKS!$A$2:$A$1201,INDEX(_LEITURA!$P$2:$P$21,6),DECKS!$B$2:$B$1201,$A404))</f>
        <v/>
      </c>
      <c r="Q404" s="19" t="str">
        <f aca="false">IF(OR($A404="",INDEX(_LEITURA!$Q$2:$Q$21,7)=0),"",SUMIFS(DECKS!$D$2:$D$1201,DECKS!$A$2:$A$1201,INDEX(_LEITURA!$P$2:$P$21,7),DECKS!$B$2:$B$1201,$A404))</f>
        <v/>
      </c>
      <c r="R404" s="19" t="str">
        <f aca="false">IF(OR($A404="",INDEX(_LEITURA!$Q$2:$Q$21,8)=0),"",SUMIFS(DECKS!$D$2:$D$1201,DECKS!$A$2:$A$1201,INDEX(_LEITURA!$P$2:$P$21,8),DECKS!$B$2:$B$1201,$A404))</f>
        <v/>
      </c>
      <c r="S404" s="19" t="str">
        <f aca="false">IF(OR($A404="",INDEX(_LEITURA!$Q$2:$Q$21,9)=0),"",SUMIFS(DECKS!$D$2:$D$1201,DECKS!$A$2:$A$1201,INDEX(_LEITURA!$P$2:$P$21,9),DECKS!$B$2:$B$1201,$A404))</f>
        <v/>
      </c>
      <c r="T404" s="19" t="str">
        <f aca="false">IF(OR($A404="",INDEX(_LEITURA!$Q$2:$Q$21,10)=0),"",SUMIFS(DECKS!$D$2:$D$1201,DECKS!$A$2:$A$1201,INDEX(_LEITURA!$P$2:$P$21,10),DECKS!$B$2:$B$1201,$A404))</f>
        <v/>
      </c>
      <c r="U404" s="19" t="str">
        <f aca="false">IF(OR($A404="",INDEX(_LEITURA!$Q$2:$Q$21,11)=0),"",SUMIFS(DECKS!$D$2:$D$1201,DECKS!$A$2:$A$1201,INDEX(_LEITURA!$P$2:$P$21,11),DECKS!$B$2:$B$1201,$A404))</f>
        <v/>
      </c>
      <c r="V404" s="19" t="str">
        <f aca="false">IF(OR($A404="",INDEX(_LEITURA!$Q$2:$Q$21,12)=0),"",SUMIFS(DECKS!$D$2:$D$1201,DECKS!$A$2:$A$1201,INDEX(_LEITURA!$P$2:$P$21,12),DECKS!$B$2:$B$1201,$A404))</f>
        <v/>
      </c>
      <c r="W404" s="19" t="str">
        <f aca="false">IF(OR($A404="",INDEX(_LEITURA!$Q$2:$Q$21,13)=0),"",SUMIFS(DECKS!$D$2:$D$1201,DECKS!$A$2:$A$1201,INDEX(_LEITURA!$P$2:$P$21,13),DECKS!$B$2:$B$1201,$A404))</f>
        <v/>
      </c>
      <c r="X404" s="19" t="str">
        <f aca="false">IF(OR($A404="",INDEX(_LEITURA!$Q$2:$Q$21,14)=0),"",SUMIFS(DECKS!$D$2:$D$1201,DECKS!$A$2:$A$1201,INDEX(_LEITURA!$P$2:$P$21,14),DECKS!$B$2:$B$1201,$A404))</f>
        <v/>
      </c>
      <c r="Y404" s="19" t="str">
        <f aca="false">IF(OR($A404="",INDEX(_LEITURA!$Q$2:$Q$21,15)=0),"",SUMIFS(DECKS!$D$2:$D$1201,DECKS!$A$2:$A$1201,INDEX(_LEITURA!$P$2:$P$21,15),DECKS!$B$2:$B$1201,$A404))</f>
        <v/>
      </c>
      <c r="Z404" s="19" t="str">
        <f aca="false">IF(OR($A404="",INDEX(_LEITURA!$Q$2:$Q$21,16)=0),"",SUMIFS(DECKS!$D$2:$D$1201,DECKS!$A$2:$A$1201,INDEX(_LEITURA!$P$2:$P$21,16),DECKS!$B$2:$B$1201,$A404))</f>
        <v/>
      </c>
      <c r="AA404" s="19" t="str">
        <f aca="false">IF(OR($A404="",INDEX(_LEITURA!$Q$2:$Q$21,17)=0),"",SUMIFS(DECKS!$D$2:$D$1201,DECKS!$A$2:$A$1201,INDEX(_LEITURA!$P$2:$P$21,17),DECKS!$B$2:$B$1201,$A404))</f>
        <v/>
      </c>
      <c r="AB404" s="19" t="str">
        <f aca="false">IF(OR($A404="",INDEX(_LEITURA!$Q$2:$Q$21,18)=0),"",SUMIFS(DECKS!$D$2:$D$1201,DECKS!$A$2:$A$1201,INDEX(_LEITURA!$P$2:$P$21,18),DECKS!$B$2:$B$1201,$A404))</f>
        <v/>
      </c>
      <c r="AC404" s="19" t="str">
        <f aca="false">IF(OR($A404="",INDEX(_LEITURA!$Q$2:$Q$21,19)=0),"",SUMIFS(DECKS!$D$2:$D$1201,DECKS!$A$2:$A$1201,INDEX(_LEITURA!$P$2:$P$21,19),DECKS!$B$2:$B$1201,$A404))</f>
        <v/>
      </c>
      <c r="AD404" s="19" t="str">
        <f aca="false">IF(OR($A404="",INDEX(_LEITURA!$Q$2:$Q$21,20)=0),"",SUMIFS(DECKS!$D$2:$D$1201,DECKS!$A$2:$A$1201,INDEX(_LEITURA!$P$2:$P$21,20),DECKS!$B$2:$B$1201,$A404))</f>
        <v/>
      </c>
      <c r="AE404" s="16" t="str">
        <f aca="false">IF(N(E404)&gt;0,MAX(AE$1:AE403)+1,"")</f>
        <v/>
      </c>
      <c r="AF404" s="11" t="str">
        <f aca="false">IF(A404="","",IFERROR(LEFT(A404,FIND("-",A404)-1),A404))</f>
        <v/>
      </c>
      <c r="AG404" s="11" t="str">
        <f aca="false">IF(AF404="","",IF(ISNUMBER(--MID(AF404,1,1)),0,IF(ISNUMBER(--MID(AF404,2,1)),1,IF(ISNUMBER(--MID(AF404,3,1)),2,IF(ISNUMBER(--MID(AF404,4,1)),3,MIN(LEN(AF404),4))))))</f>
        <v/>
      </c>
      <c r="AH404" s="11" t="str">
        <f aca="false">IF(A404="","",LEFT(AF404,AG404)&amp;REPT("0",4-AG404)&amp;RIGHT("000"&amp;IFERROR(VALUE(MID(AF404,AG404+1,9)),0),3)&amp;RIGHT("0000"&amp;IFERROR(VALUE(MID(A404,FIND("-",A404)+1,9)),0),4))</f>
        <v/>
      </c>
      <c r="AI404" s="11" t="str">
        <f aca="false">IF(OR(A404="",N(E404)&lt;=0),"",IF('FALTAS GERAL'!$M$1="Código","K"&amp;AH404&amp;RIGHT("00000"&amp;ROW(),5),IF('FALTAS GERAL'!$M$1="Nome","K"&amp;UPPER(SUBSTITUTE(SUBSTITUTE(SUBSTITUTE(B404,"*",""),"?",""),"~",""))&amp;"0"&amp;AH404&amp;RIGHT("00000"&amp;ROW(),5),IF('FALTAS GERAL'!$M$1="Falta (maior primeiro)","K"&amp;RIGHT("0000"&amp;(9999-E404),4)&amp;AH404&amp;RIGHT("00000"&amp;ROW(),5),IF('FALTAS GERAL'!$M$1="Nº de decks (maior primeiro)","K"&amp;RIGHT("00"&amp;(99-N(G404)),2)&amp;AH404&amp;RIGHT("00000"&amp;ROW(),5),"K"&amp;RIGHT("00000"&amp;ROW(),5))))))</f>
        <v/>
      </c>
      <c r="AJ404" s="11" t="str">
        <f aca="false">IF(AI404="","",COUNTIFS($AI$2:$AI$801,"&lt;"&amp;AI404,$E$2:$E$801,"&gt;0")+1)</f>
        <v/>
      </c>
      <c r="AK404" s="11" t="str">
        <f aca="false">IF(OR(A404="",N(E404)&lt;=0),"",COUNTIFS($AH$2:$AH$801,"&lt;"&amp;AH404,$E$2:$E$801,"&gt;0")+COUNTIFS($AH$2:AH404,AH404,$E$2:E404,"&gt;0"))</f>
        <v/>
      </c>
    </row>
    <row r="405" customFormat="false" ht="15" hidden="false" customHeight="false" outlineLevel="0" collapsed="false">
      <c r="A405" s="11" t="str">
        <f aca="false">IF(INVENTÁRIO!A405="","",INVENTÁRIO!A405)</f>
        <v/>
      </c>
      <c r="B405" s="11" t="str">
        <f aca="false">IF(A405="","",INVENTÁRIO!B405)</f>
        <v/>
      </c>
      <c r="C405" s="16" t="str">
        <f aca="false">IF(A405="","",INVENTÁRIO!C405)</f>
        <v/>
      </c>
      <c r="D405" s="14" t="str">
        <f aca="false">IF(A405="","",MAX(K405:AD405))</f>
        <v/>
      </c>
      <c r="E405" s="14" t="str">
        <f aca="false">IF(A405="","",MAX(0,D405-C405))</f>
        <v/>
      </c>
      <c r="F405" s="16" t="str">
        <f aca="false">IF(A405="","",IF(D405=0,"Fora dos decks",IF(E405=0,"Completo","Falta")))</f>
        <v/>
      </c>
      <c r="G405" s="16" t="str">
        <f aca="false">IF(A405="","",COUNTIF(K405:AD405,"&gt;0"))</f>
        <v/>
      </c>
      <c r="H405" s="16" t="str">
        <f aca="false">IF(A405="","",IF(G405&gt;1,"Sim",""))</f>
        <v/>
      </c>
      <c r="I405" s="18" t="str">
        <f aca="false">IF(A405="","",SUMIFS(DECKS!$D$2:$D$1201,DECKS!$B$2:$B$1201,A405))</f>
        <v/>
      </c>
      <c r="J405" s="18" t="str">
        <f aca="false">IF(A405="","",MAX(0,I405-C405))</f>
        <v/>
      </c>
      <c r="K405" s="19" t="str">
        <f aca="false">IF(OR($A405="",INDEX(_LEITURA!$Q$2:$Q$21,1)=0),"",SUMIFS(DECKS!$D$2:$D$1201,DECKS!$A$2:$A$1201,INDEX(_LEITURA!$P$2:$P$21,1),DECKS!$B$2:$B$1201,$A405))</f>
        <v/>
      </c>
      <c r="L405" s="19" t="str">
        <f aca="false">IF(OR($A405="",INDEX(_LEITURA!$Q$2:$Q$21,2)=0),"",SUMIFS(DECKS!$D$2:$D$1201,DECKS!$A$2:$A$1201,INDEX(_LEITURA!$P$2:$P$21,2),DECKS!$B$2:$B$1201,$A405))</f>
        <v/>
      </c>
      <c r="M405" s="19" t="str">
        <f aca="false">IF(OR($A405="",INDEX(_LEITURA!$Q$2:$Q$21,3)=0),"",SUMIFS(DECKS!$D$2:$D$1201,DECKS!$A$2:$A$1201,INDEX(_LEITURA!$P$2:$P$21,3),DECKS!$B$2:$B$1201,$A405))</f>
        <v/>
      </c>
      <c r="N405" s="19" t="str">
        <f aca="false">IF(OR($A405="",INDEX(_LEITURA!$Q$2:$Q$21,4)=0),"",SUMIFS(DECKS!$D$2:$D$1201,DECKS!$A$2:$A$1201,INDEX(_LEITURA!$P$2:$P$21,4),DECKS!$B$2:$B$1201,$A405))</f>
        <v/>
      </c>
      <c r="O405" s="19" t="str">
        <f aca="false">IF(OR($A405="",INDEX(_LEITURA!$Q$2:$Q$21,5)=0),"",SUMIFS(DECKS!$D$2:$D$1201,DECKS!$A$2:$A$1201,INDEX(_LEITURA!$P$2:$P$21,5),DECKS!$B$2:$B$1201,$A405))</f>
        <v/>
      </c>
      <c r="P405" s="19" t="str">
        <f aca="false">IF(OR($A405="",INDEX(_LEITURA!$Q$2:$Q$21,6)=0),"",SUMIFS(DECKS!$D$2:$D$1201,DECKS!$A$2:$A$1201,INDEX(_LEITURA!$P$2:$P$21,6),DECKS!$B$2:$B$1201,$A405))</f>
        <v/>
      </c>
      <c r="Q405" s="19" t="str">
        <f aca="false">IF(OR($A405="",INDEX(_LEITURA!$Q$2:$Q$21,7)=0),"",SUMIFS(DECKS!$D$2:$D$1201,DECKS!$A$2:$A$1201,INDEX(_LEITURA!$P$2:$P$21,7),DECKS!$B$2:$B$1201,$A405))</f>
        <v/>
      </c>
      <c r="R405" s="19" t="str">
        <f aca="false">IF(OR($A405="",INDEX(_LEITURA!$Q$2:$Q$21,8)=0),"",SUMIFS(DECKS!$D$2:$D$1201,DECKS!$A$2:$A$1201,INDEX(_LEITURA!$P$2:$P$21,8),DECKS!$B$2:$B$1201,$A405))</f>
        <v/>
      </c>
      <c r="S405" s="19" t="str">
        <f aca="false">IF(OR($A405="",INDEX(_LEITURA!$Q$2:$Q$21,9)=0),"",SUMIFS(DECKS!$D$2:$D$1201,DECKS!$A$2:$A$1201,INDEX(_LEITURA!$P$2:$P$21,9),DECKS!$B$2:$B$1201,$A405))</f>
        <v/>
      </c>
      <c r="T405" s="19" t="str">
        <f aca="false">IF(OR($A405="",INDEX(_LEITURA!$Q$2:$Q$21,10)=0),"",SUMIFS(DECKS!$D$2:$D$1201,DECKS!$A$2:$A$1201,INDEX(_LEITURA!$P$2:$P$21,10),DECKS!$B$2:$B$1201,$A405))</f>
        <v/>
      </c>
      <c r="U405" s="19" t="str">
        <f aca="false">IF(OR($A405="",INDEX(_LEITURA!$Q$2:$Q$21,11)=0),"",SUMIFS(DECKS!$D$2:$D$1201,DECKS!$A$2:$A$1201,INDEX(_LEITURA!$P$2:$P$21,11),DECKS!$B$2:$B$1201,$A405))</f>
        <v/>
      </c>
      <c r="V405" s="19" t="str">
        <f aca="false">IF(OR($A405="",INDEX(_LEITURA!$Q$2:$Q$21,12)=0),"",SUMIFS(DECKS!$D$2:$D$1201,DECKS!$A$2:$A$1201,INDEX(_LEITURA!$P$2:$P$21,12),DECKS!$B$2:$B$1201,$A405))</f>
        <v/>
      </c>
      <c r="W405" s="19" t="str">
        <f aca="false">IF(OR($A405="",INDEX(_LEITURA!$Q$2:$Q$21,13)=0),"",SUMIFS(DECKS!$D$2:$D$1201,DECKS!$A$2:$A$1201,INDEX(_LEITURA!$P$2:$P$21,13),DECKS!$B$2:$B$1201,$A405))</f>
        <v/>
      </c>
      <c r="X405" s="19" t="str">
        <f aca="false">IF(OR($A405="",INDEX(_LEITURA!$Q$2:$Q$21,14)=0),"",SUMIFS(DECKS!$D$2:$D$1201,DECKS!$A$2:$A$1201,INDEX(_LEITURA!$P$2:$P$21,14),DECKS!$B$2:$B$1201,$A405))</f>
        <v/>
      </c>
      <c r="Y405" s="19" t="str">
        <f aca="false">IF(OR($A405="",INDEX(_LEITURA!$Q$2:$Q$21,15)=0),"",SUMIFS(DECKS!$D$2:$D$1201,DECKS!$A$2:$A$1201,INDEX(_LEITURA!$P$2:$P$21,15),DECKS!$B$2:$B$1201,$A405))</f>
        <v/>
      </c>
      <c r="Z405" s="19" t="str">
        <f aca="false">IF(OR($A405="",INDEX(_LEITURA!$Q$2:$Q$21,16)=0),"",SUMIFS(DECKS!$D$2:$D$1201,DECKS!$A$2:$A$1201,INDEX(_LEITURA!$P$2:$P$21,16),DECKS!$B$2:$B$1201,$A405))</f>
        <v/>
      </c>
      <c r="AA405" s="19" t="str">
        <f aca="false">IF(OR($A405="",INDEX(_LEITURA!$Q$2:$Q$21,17)=0),"",SUMIFS(DECKS!$D$2:$D$1201,DECKS!$A$2:$A$1201,INDEX(_LEITURA!$P$2:$P$21,17),DECKS!$B$2:$B$1201,$A405))</f>
        <v/>
      </c>
      <c r="AB405" s="19" t="str">
        <f aca="false">IF(OR($A405="",INDEX(_LEITURA!$Q$2:$Q$21,18)=0),"",SUMIFS(DECKS!$D$2:$D$1201,DECKS!$A$2:$A$1201,INDEX(_LEITURA!$P$2:$P$21,18),DECKS!$B$2:$B$1201,$A405))</f>
        <v/>
      </c>
      <c r="AC405" s="19" t="str">
        <f aca="false">IF(OR($A405="",INDEX(_LEITURA!$Q$2:$Q$21,19)=0),"",SUMIFS(DECKS!$D$2:$D$1201,DECKS!$A$2:$A$1201,INDEX(_LEITURA!$P$2:$P$21,19),DECKS!$B$2:$B$1201,$A405))</f>
        <v/>
      </c>
      <c r="AD405" s="19" t="str">
        <f aca="false">IF(OR($A405="",INDEX(_LEITURA!$Q$2:$Q$21,20)=0),"",SUMIFS(DECKS!$D$2:$D$1201,DECKS!$A$2:$A$1201,INDEX(_LEITURA!$P$2:$P$21,20),DECKS!$B$2:$B$1201,$A405))</f>
        <v/>
      </c>
      <c r="AE405" s="16" t="str">
        <f aca="false">IF(N(E405)&gt;0,MAX(AE$1:AE404)+1,"")</f>
        <v/>
      </c>
      <c r="AF405" s="11" t="str">
        <f aca="false">IF(A405="","",IFERROR(LEFT(A405,FIND("-",A405)-1),A405))</f>
        <v/>
      </c>
      <c r="AG405" s="11" t="str">
        <f aca="false">IF(AF405="","",IF(ISNUMBER(--MID(AF405,1,1)),0,IF(ISNUMBER(--MID(AF405,2,1)),1,IF(ISNUMBER(--MID(AF405,3,1)),2,IF(ISNUMBER(--MID(AF405,4,1)),3,MIN(LEN(AF405),4))))))</f>
        <v/>
      </c>
      <c r="AH405" s="11" t="str">
        <f aca="false">IF(A405="","",LEFT(AF405,AG405)&amp;REPT("0",4-AG405)&amp;RIGHT("000"&amp;IFERROR(VALUE(MID(AF405,AG405+1,9)),0),3)&amp;RIGHT("0000"&amp;IFERROR(VALUE(MID(A405,FIND("-",A405)+1,9)),0),4))</f>
        <v/>
      </c>
      <c r="AI405" s="11" t="str">
        <f aca="false">IF(OR(A405="",N(E405)&lt;=0),"",IF('FALTAS GERAL'!$M$1="Código","K"&amp;AH405&amp;RIGHT("00000"&amp;ROW(),5),IF('FALTAS GERAL'!$M$1="Nome","K"&amp;UPPER(SUBSTITUTE(SUBSTITUTE(SUBSTITUTE(B405,"*",""),"?",""),"~",""))&amp;"0"&amp;AH405&amp;RIGHT("00000"&amp;ROW(),5),IF('FALTAS GERAL'!$M$1="Falta (maior primeiro)","K"&amp;RIGHT("0000"&amp;(9999-E405),4)&amp;AH405&amp;RIGHT("00000"&amp;ROW(),5),IF('FALTAS GERAL'!$M$1="Nº de decks (maior primeiro)","K"&amp;RIGHT("00"&amp;(99-N(G405)),2)&amp;AH405&amp;RIGHT("00000"&amp;ROW(),5),"K"&amp;RIGHT("00000"&amp;ROW(),5))))))</f>
        <v/>
      </c>
      <c r="AJ405" s="11" t="str">
        <f aca="false">IF(AI405="","",COUNTIFS($AI$2:$AI$801,"&lt;"&amp;AI405,$E$2:$E$801,"&gt;0")+1)</f>
        <v/>
      </c>
      <c r="AK405" s="11" t="str">
        <f aca="false">IF(OR(A405="",N(E405)&lt;=0),"",COUNTIFS($AH$2:$AH$801,"&lt;"&amp;AH405,$E$2:$E$801,"&gt;0")+COUNTIFS($AH$2:AH405,AH405,$E$2:E405,"&gt;0"))</f>
        <v/>
      </c>
    </row>
    <row r="406" customFormat="false" ht="15" hidden="false" customHeight="false" outlineLevel="0" collapsed="false">
      <c r="A406" s="11" t="str">
        <f aca="false">IF(INVENTÁRIO!A406="","",INVENTÁRIO!A406)</f>
        <v/>
      </c>
      <c r="B406" s="11" t="str">
        <f aca="false">IF(A406="","",INVENTÁRIO!B406)</f>
        <v/>
      </c>
      <c r="C406" s="16" t="str">
        <f aca="false">IF(A406="","",INVENTÁRIO!C406)</f>
        <v/>
      </c>
      <c r="D406" s="14" t="str">
        <f aca="false">IF(A406="","",MAX(K406:AD406))</f>
        <v/>
      </c>
      <c r="E406" s="14" t="str">
        <f aca="false">IF(A406="","",MAX(0,D406-C406))</f>
        <v/>
      </c>
      <c r="F406" s="16" t="str">
        <f aca="false">IF(A406="","",IF(D406=0,"Fora dos decks",IF(E406=0,"Completo","Falta")))</f>
        <v/>
      </c>
      <c r="G406" s="16" t="str">
        <f aca="false">IF(A406="","",COUNTIF(K406:AD406,"&gt;0"))</f>
        <v/>
      </c>
      <c r="H406" s="16" t="str">
        <f aca="false">IF(A406="","",IF(G406&gt;1,"Sim",""))</f>
        <v/>
      </c>
      <c r="I406" s="18" t="str">
        <f aca="false">IF(A406="","",SUMIFS(DECKS!$D$2:$D$1201,DECKS!$B$2:$B$1201,A406))</f>
        <v/>
      </c>
      <c r="J406" s="18" t="str">
        <f aca="false">IF(A406="","",MAX(0,I406-C406))</f>
        <v/>
      </c>
      <c r="K406" s="19" t="str">
        <f aca="false">IF(OR($A406="",INDEX(_LEITURA!$Q$2:$Q$21,1)=0),"",SUMIFS(DECKS!$D$2:$D$1201,DECKS!$A$2:$A$1201,INDEX(_LEITURA!$P$2:$P$21,1),DECKS!$B$2:$B$1201,$A406))</f>
        <v/>
      </c>
      <c r="L406" s="19" t="str">
        <f aca="false">IF(OR($A406="",INDEX(_LEITURA!$Q$2:$Q$21,2)=0),"",SUMIFS(DECKS!$D$2:$D$1201,DECKS!$A$2:$A$1201,INDEX(_LEITURA!$P$2:$P$21,2),DECKS!$B$2:$B$1201,$A406))</f>
        <v/>
      </c>
      <c r="M406" s="19" t="str">
        <f aca="false">IF(OR($A406="",INDEX(_LEITURA!$Q$2:$Q$21,3)=0),"",SUMIFS(DECKS!$D$2:$D$1201,DECKS!$A$2:$A$1201,INDEX(_LEITURA!$P$2:$P$21,3),DECKS!$B$2:$B$1201,$A406))</f>
        <v/>
      </c>
      <c r="N406" s="19" t="str">
        <f aca="false">IF(OR($A406="",INDEX(_LEITURA!$Q$2:$Q$21,4)=0),"",SUMIFS(DECKS!$D$2:$D$1201,DECKS!$A$2:$A$1201,INDEX(_LEITURA!$P$2:$P$21,4),DECKS!$B$2:$B$1201,$A406))</f>
        <v/>
      </c>
      <c r="O406" s="19" t="str">
        <f aca="false">IF(OR($A406="",INDEX(_LEITURA!$Q$2:$Q$21,5)=0),"",SUMIFS(DECKS!$D$2:$D$1201,DECKS!$A$2:$A$1201,INDEX(_LEITURA!$P$2:$P$21,5),DECKS!$B$2:$B$1201,$A406))</f>
        <v/>
      </c>
      <c r="P406" s="19" t="str">
        <f aca="false">IF(OR($A406="",INDEX(_LEITURA!$Q$2:$Q$21,6)=0),"",SUMIFS(DECKS!$D$2:$D$1201,DECKS!$A$2:$A$1201,INDEX(_LEITURA!$P$2:$P$21,6),DECKS!$B$2:$B$1201,$A406))</f>
        <v/>
      </c>
      <c r="Q406" s="19" t="str">
        <f aca="false">IF(OR($A406="",INDEX(_LEITURA!$Q$2:$Q$21,7)=0),"",SUMIFS(DECKS!$D$2:$D$1201,DECKS!$A$2:$A$1201,INDEX(_LEITURA!$P$2:$P$21,7),DECKS!$B$2:$B$1201,$A406))</f>
        <v/>
      </c>
      <c r="R406" s="19" t="str">
        <f aca="false">IF(OR($A406="",INDEX(_LEITURA!$Q$2:$Q$21,8)=0),"",SUMIFS(DECKS!$D$2:$D$1201,DECKS!$A$2:$A$1201,INDEX(_LEITURA!$P$2:$P$21,8),DECKS!$B$2:$B$1201,$A406))</f>
        <v/>
      </c>
      <c r="S406" s="19" t="str">
        <f aca="false">IF(OR($A406="",INDEX(_LEITURA!$Q$2:$Q$21,9)=0),"",SUMIFS(DECKS!$D$2:$D$1201,DECKS!$A$2:$A$1201,INDEX(_LEITURA!$P$2:$P$21,9),DECKS!$B$2:$B$1201,$A406))</f>
        <v/>
      </c>
      <c r="T406" s="19" t="str">
        <f aca="false">IF(OR($A406="",INDEX(_LEITURA!$Q$2:$Q$21,10)=0),"",SUMIFS(DECKS!$D$2:$D$1201,DECKS!$A$2:$A$1201,INDEX(_LEITURA!$P$2:$P$21,10),DECKS!$B$2:$B$1201,$A406))</f>
        <v/>
      </c>
      <c r="U406" s="19" t="str">
        <f aca="false">IF(OR($A406="",INDEX(_LEITURA!$Q$2:$Q$21,11)=0),"",SUMIFS(DECKS!$D$2:$D$1201,DECKS!$A$2:$A$1201,INDEX(_LEITURA!$P$2:$P$21,11),DECKS!$B$2:$B$1201,$A406))</f>
        <v/>
      </c>
      <c r="V406" s="19" t="str">
        <f aca="false">IF(OR($A406="",INDEX(_LEITURA!$Q$2:$Q$21,12)=0),"",SUMIFS(DECKS!$D$2:$D$1201,DECKS!$A$2:$A$1201,INDEX(_LEITURA!$P$2:$P$21,12),DECKS!$B$2:$B$1201,$A406))</f>
        <v/>
      </c>
      <c r="W406" s="19" t="str">
        <f aca="false">IF(OR($A406="",INDEX(_LEITURA!$Q$2:$Q$21,13)=0),"",SUMIFS(DECKS!$D$2:$D$1201,DECKS!$A$2:$A$1201,INDEX(_LEITURA!$P$2:$P$21,13),DECKS!$B$2:$B$1201,$A406))</f>
        <v/>
      </c>
      <c r="X406" s="19" t="str">
        <f aca="false">IF(OR($A406="",INDEX(_LEITURA!$Q$2:$Q$21,14)=0),"",SUMIFS(DECKS!$D$2:$D$1201,DECKS!$A$2:$A$1201,INDEX(_LEITURA!$P$2:$P$21,14),DECKS!$B$2:$B$1201,$A406))</f>
        <v/>
      </c>
      <c r="Y406" s="19" t="str">
        <f aca="false">IF(OR($A406="",INDEX(_LEITURA!$Q$2:$Q$21,15)=0),"",SUMIFS(DECKS!$D$2:$D$1201,DECKS!$A$2:$A$1201,INDEX(_LEITURA!$P$2:$P$21,15),DECKS!$B$2:$B$1201,$A406))</f>
        <v/>
      </c>
      <c r="Z406" s="19" t="str">
        <f aca="false">IF(OR($A406="",INDEX(_LEITURA!$Q$2:$Q$21,16)=0),"",SUMIFS(DECKS!$D$2:$D$1201,DECKS!$A$2:$A$1201,INDEX(_LEITURA!$P$2:$P$21,16),DECKS!$B$2:$B$1201,$A406))</f>
        <v/>
      </c>
      <c r="AA406" s="19" t="str">
        <f aca="false">IF(OR($A406="",INDEX(_LEITURA!$Q$2:$Q$21,17)=0),"",SUMIFS(DECKS!$D$2:$D$1201,DECKS!$A$2:$A$1201,INDEX(_LEITURA!$P$2:$P$21,17),DECKS!$B$2:$B$1201,$A406))</f>
        <v/>
      </c>
      <c r="AB406" s="19" t="str">
        <f aca="false">IF(OR($A406="",INDEX(_LEITURA!$Q$2:$Q$21,18)=0),"",SUMIFS(DECKS!$D$2:$D$1201,DECKS!$A$2:$A$1201,INDEX(_LEITURA!$P$2:$P$21,18),DECKS!$B$2:$B$1201,$A406))</f>
        <v/>
      </c>
      <c r="AC406" s="19" t="str">
        <f aca="false">IF(OR($A406="",INDEX(_LEITURA!$Q$2:$Q$21,19)=0),"",SUMIFS(DECKS!$D$2:$D$1201,DECKS!$A$2:$A$1201,INDEX(_LEITURA!$P$2:$P$21,19),DECKS!$B$2:$B$1201,$A406))</f>
        <v/>
      </c>
      <c r="AD406" s="19" t="str">
        <f aca="false">IF(OR($A406="",INDEX(_LEITURA!$Q$2:$Q$21,20)=0),"",SUMIFS(DECKS!$D$2:$D$1201,DECKS!$A$2:$A$1201,INDEX(_LEITURA!$P$2:$P$21,20),DECKS!$B$2:$B$1201,$A406))</f>
        <v/>
      </c>
      <c r="AE406" s="16" t="str">
        <f aca="false">IF(N(E406)&gt;0,MAX(AE$1:AE405)+1,"")</f>
        <v/>
      </c>
      <c r="AF406" s="11" t="str">
        <f aca="false">IF(A406="","",IFERROR(LEFT(A406,FIND("-",A406)-1),A406))</f>
        <v/>
      </c>
      <c r="AG406" s="11" t="str">
        <f aca="false">IF(AF406="","",IF(ISNUMBER(--MID(AF406,1,1)),0,IF(ISNUMBER(--MID(AF406,2,1)),1,IF(ISNUMBER(--MID(AF406,3,1)),2,IF(ISNUMBER(--MID(AF406,4,1)),3,MIN(LEN(AF406),4))))))</f>
        <v/>
      </c>
      <c r="AH406" s="11" t="str">
        <f aca="false">IF(A406="","",LEFT(AF406,AG406)&amp;REPT("0",4-AG406)&amp;RIGHT("000"&amp;IFERROR(VALUE(MID(AF406,AG406+1,9)),0),3)&amp;RIGHT("0000"&amp;IFERROR(VALUE(MID(A406,FIND("-",A406)+1,9)),0),4))</f>
        <v/>
      </c>
      <c r="AI406" s="11" t="str">
        <f aca="false">IF(OR(A406="",N(E406)&lt;=0),"",IF('FALTAS GERAL'!$M$1="Código","K"&amp;AH406&amp;RIGHT("00000"&amp;ROW(),5),IF('FALTAS GERAL'!$M$1="Nome","K"&amp;UPPER(SUBSTITUTE(SUBSTITUTE(SUBSTITUTE(B406,"*",""),"?",""),"~",""))&amp;"0"&amp;AH406&amp;RIGHT("00000"&amp;ROW(),5),IF('FALTAS GERAL'!$M$1="Falta (maior primeiro)","K"&amp;RIGHT("0000"&amp;(9999-E406),4)&amp;AH406&amp;RIGHT("00000"&amp;ROW(),5),IF('FALTAS GERAL'!$M$1="Nº de decks (maior primeiro)","K"&amp;RIGHT("00"&amp;(99-N(G406)),2)&amp;AH406&amp;RIGHT("00000"&amp;ROW(),5),"K"&amp;RIGHT("00000"&amp;ROW(),5))))))</f>
        <v/>
      </c>
      <c r="AJ406" s="11" t="str">
        <f aca="false">IF(AI406="","",COUNTIFS($AI$2:$AI$801,"&lt;"&amp;AI406,$E$2:$E$801,"&gt;0")+1)</f>
        <v/>
      </c>
      <c r="AK406" s="11" t="str">
        <f aca="false">IF(OR(A406="",N(E406)&lt;=0),"",COUNTIFS($AH$2:$AH$801,"&lt;"&amp;AH406,$E$2:$E$801,"&gt;0")+COUNTIFS($AH$2:AH406,AH406,$E$2:E406,"&gt;0"))</f>
        <v/>
      </c>
    </row>
    <row r="407" customFormat="false" ht="15" hidden="false" customHeight="false" outlineLevel="0" collapsed="false">
      <c r="A407" s="11" t="str">
        <f aca="false">IF(INVENTÁRIO!A407="","",INVENTÁRIO!A407)</f>
        <v/>
      </c>
      <c r="B407" s="11" t="str">
        <f aca="false">IF(A407="","",INVENTÁRIO!B407)</f>
        <v/>
      </c>
      <c r="C407" s="16" t="str">
        <f aca="false">IF(A407="","",INVENTÁRIO!C407)</f>
        <v/>
      </c>
      <c r="D407" s="14" t="str">
        <f aca="false">IF(A407="","",MAX(K407:AD407))</f>
        <v/>
      </c>
      <c r="E407" s="14" t="str">
        <f aca="false">IF(A407="","",MAX(0,D407-C407))</f>
        <v/>
      </c>
      <c r="F407" s="16" t="str">
        <f aca="false">IF(A407="","",IF(D407=0,"Fora dos decks",IF(E407=0,"Completo","Falta")))</f>
        <v/>
      </c>
      <c r="G407" s="16" t="str">
        <f aca="false">IF(A407="","",COUNTIF(K407:AD407,"&gt;0"))</f>
        <v/>
      </c>
      <c r="H407" s="16" t="str">
        <f aca="false">IF(A407="","",IF(G407&gt;1,"Sim",""))</f>
        <v/>
      </c>
      <c r="I407" s="18" t="str">
        <f aca="false">IF(A407="","",SUMIFS(DECKS!$D$2:$D$1201,DECKS!$B$2:$B$1201,A407))</f>
        <v/>
      </c>
      <c r="J407" s="18" t="str">
        <f aca="false">IF(A407="","",MAX(0,I407-C407))</f>
        <v/>
      </c>
      <c r="K407" s="19" t="str">
        <f aca="false">IF(OR($A407="",INDEX(_LEITURA!$Q$2:$Q$21,1)=0),"",SUMIFS(DECKS!$D$2:$D$1201,DECKS!$A$2:$A$1201,INDEX(_LEITURA!$P$2:$P$21,1),DECKS!$B$2:$B$1201,$A407))</f>
        <v/>
      </c>
      <c r="L407" s="19" t="str">
        <f aca="false">IF(OR($A407="",INDEX(_LEITURA!$Q$2:$Q$21,2)=0),"",SUMIFS(DECKS!$D$2:$D$1201,DECKS!$A$2:$A$1201,INDEX(_LEITURA!$P$2:$P$21,2),DECKS!$B$2:$B$1201,$A407))</f>
        <v/>
      </c>
      <c r="M407" s="19" t="str">
        <f aca="false">IF(OR($A407="",INDEX(_LEITURA!$Q$2:$Q$21,3)=0),"",SUMIFS(DECKS!$D$2:$D$1201,DECKS!$A$2:$A$1201,INDEX(_LEITURA!$P$2:$P$21,3),DECKS!$B$2:$B$1201,$A407))</f>
        <v/>
      </c>
      <c r="N407" s="19" t="str">
        <f aca="false">IF(OR($A407="",INDEX(_LEITURA!$Q$2:$Q$21,4)=0),"",SUMIFS(DECKS!$D$2:$D$1201,DECKS!$A$2:$A$1201,INDEX(_LEITURA!$P$2:$P$21,4),DECKS!$B$2:$B$1201,$A407))</f>
        <v/>
      </c>
      <c r="O407" s="19" t="str">
        <f aca="false">IF(OR($A407="",INDEX(_LEITURA!$Q$2:$Q$21,5)=0),"",SUMIFS(DECKS!$D$2:$D$1201,DECKS!$A$2:$A$1201,INDEX(_LEITURA!$P$2:$P$21,5),DECKS!$B$2:$B$1201,$A407))</f>
        <v/>
      </c>
      <c r="P407" s="19" t="str">
        <f aca="false">IF(OR($A407="",INDEX(_LEITURA!$Q$2:$Q$21,6)=0),"",SUMIFS(DECKS!$D$2:$D$1201,DECKS!$A$2:$A$1201,INDEX(_LEITURA!$P$2:$P$21,6),DECKS!$B$2:$B$1201,$A407))</f>
        <v/>
      </c>
      <c r="Q407" s="19" t="str">
        <f aca="false">IF(OR($A407="",INDEX(_LEITURA!$Q$2:$Q$21,7)=0),"",SUMIFS(DECKS!$D$2:$D$1201,DECKS!$A$2:$A$1201,INDEX(_LEITURA!$P$2:$P$21,7),DECKS!$B$2:$B$1201,$A407))</f>
        <v/>
      </c>
      <c r="R407" s="19" t="str">
        <f aca="false">IF(OR($A407="",INDEX(_LEITURA!$Q$2:$Q$21,8)=0),"",SUMIFS(DECKS!$D$2:$D$1201,DECKS!$A$2:$A$1201,INDEX(_LEITURA!$P$2:$P$21,8),DECKS!$B$2:$B$1201,$A407))</f>
        <v/>
      </c>
      <c r="S407" s="19" t="str">
        <f aca="false">IF(OR($A407="",INDEX(_LEITURA!$Q$2:$Q$21,9)=0),"",SUMIFS(DECKS!$D$2:$D$1201,DECKS!$A$2:$A$1201,INDEX(_LEITURA!$P$2:$P$21,9),DECKS!$B$2:$B$1201,$A407))</f>
        <v/>
      </c>
      <c r="T407" s="19" t="str">
        <f aca="false">IF(OR($A407="",INDEX(_LEITURA!$Q$2:$Q$21,10)=0),"",SUMIFS(DECKS!$D$2:$D$1201,DECKS!$A$2:$A$1201,INDEX(_LEITURA!$P$2:$P$21,10),DECKS!$B$2:$B$1201,$A407))</f>
        <v/>
      </c>
      <c r="U407" s="19" t="str">
        <f aca="false">IF(OR($A407="",INDEX(_LEITURA!$Q$2:$Q$21,11)=0),"",SUMIFS(DECKS!$D$2:$D$1201,DECKS!$A$2:$A$1201,INDEX(_LEITURA!$P$2:$P$21,11),DECKS!$B$2:$B$1201,$A407))</f>
        <v/>
      </c>
      <c r="V407" s="19" t="str">
        <f aca="false">IF(OR($A407="",INDEX(_LEITURA!$Q$2:$Q$21,12)=0),"",SUMIFS(DECKS!$D$2:$D$1201,DECKS!$A$2:$A$1201,INDEX(_LEITURA!$P$2:$P$21,12),DECKS!$B$2:$B$1201,$A407))</f>
        <v/>
      </c>
      <c r="W407" s="19" t="str">
        <f aca="false">IF(OR($A407="",INDEX(_LEITURA!$Q$2:$Q$21,13)=0),"",SUMIFS(DECKS!$D$2:$D$1201,DECKS!$A$2:$A$1201,INDEX(_LEITURA!$P$2:$P$21,13),DECKS!$B$2:$B$1201,$A407))</f>
        <v/>
      </c>
      <c r="X407" s="19" t="str">
        <f aca="false">IF(OR($A407="",INDEX(_LEITURA!$Q$2:$Q$21,14)=0),"",SUMIFS(DECKS!$D$2:$D$1201,DECKS!$A$2:$A$1201,INDEX(_LEITURA!$P$2:$P$21,14),DECKS!$B$2:$B$1201,$A407))</f>
        <v/>
      </c>
      <c r="Y407" s="19" t="str">
        <f aca="false">IF(OR($A407="",INDEX(_LEITURA!$Q$2:$Q$21,15)=0),"",SUMIFS(DECKS!$D$2:$D$1201,DECKS!$A$2:$A$1201,INDEX(_LEITURA!$P$2:$P$21,15),DECKS!$B$2:$B$1201,$A407))</f>
        <v/>
      </c>
      <c r="Z407" s="19" t="str">
        <f aca="false">IF(OR($A407="",INDEX(_LEITURA!$Q$2:$Q$21,16)=0),"",SUMIFS(DECKS!$D$2:$D$1201,DECKS!$A$2:$A$1201,INDEX(_LEITURA!$P$2:$P$21,16),DECKS!$B$2:$B$1201,$A407))</f>
        <v/>
      </c>
      <c r="AA407" s="19" t="str">
        <f aca="false">IF(OR($A407="",INDEX(_LEITURA!$Q$2:$Q$21,17)=0),"",SUMIFS(DECKS!$D$2:$D$1201,DECKS!$A$2:$A$1201,INDEX(_LEITURA!$P$2:$P$21,17),DECKS!$B$2:$B$1201,$A407))</f>
        <v/>
      </c>
      <c r="AB407" s="19" t="str">
        <f aca="false">IF(OR($A407="",INDEX(_LEITURA!$Q$2:$Q$21,18)=0),"",SUMIFS(DECKS!$D$2:$D$1201,DECKS!$A$2:$A$1201,INDEX(_LEITURA!$P$2:$P$21,18),DECKS!$B$2:$B$1201,$A407))</f>
        <v/>
      </c>
      <c r="AC407" s="19" t="str">
        <f aca="false">IF(OR($A407="",INDEX(_LEITURA!$Q$2:$Q$21,19)=0),"",SUMIFS(DECKS!$D$2:$D$1201,DECKS!$A$2:$A$1201,INDEX(_LEITURA!$P$2:$P$21,19),DECKS!$B$2:$B$1201,$A407))</f>
        <v/>
      </c>
      <c r="AD407" s="19" t="str">
        <f aca="false">IF(OR($A407="",INDEX(_LEITURA!$Q$2:$Q$21,20)=0),"",SUMIFS(DECKS!$D$2:$D$1201,DECKS!$A$2:$A$1201,INDEX(_LEITURA!$P$2:$P$21,20),DECKS!$B$2:$B$1201,$A407))</f>
        <v/>
      </c>
      <c r="AE407" s="16" t="str">
        <f aca="false">IF(N(E407)&gt;0,MAX(AE$1:AE406)+1,"")</f>
        <v/>
      </c>
      <c r="AF407" s="11" t="str">
        <f aca="false">IF(A407="","",IFERROR(LEFT(A407,FIND("-",A407)-1),A407))</f>
        <v/>
      </c>
      <c r="AG407" s="11" t="str">
        <f aca="false">IF(AF407="","",IF(ISNUMBER(--MID(AF407,1,1)),0,IF(ISNUMBER(--MID(AF407,2,1)),1,IF(ISNUMBER(--MID(AF407,3,1)),2,IF(ISNUMBER(--MID(AF407,4,1)),3,MIN(LEN(AF407),4))))))</f>
        <v/>
      </c>
      <c r="AH407" s="11" t="str">
        <f aca="false">IF(A407="","",LEFT(AF407,AG407)&amp;REPT("0",4-AG407)&amp;RIGHT("000"&amp;IFERROR(VALUE(MID(AF407,AG407+1,9)),0),3)&amp;RIGHT("0000"&amp;IFERROR(VALUE(MID(A407,FIND("-",A407)+1,9)),0),4))</f>
        <v/>
      </c>
      <c r="AI407" s="11" t="str">
        <f aca="false">IF(OR(A407="",N(E407)&lt;=0),"",IF('FALTAS GERAL'!$M$1="Código","K"&amp;AH407&amp;RIGHT("00000"&amp;ROW(),5),IF('FALTAS GERAL'!$M$1="Nome","K"&amp;UPPER(SUBSTITUTE(SUBSTITUTE(SUBSTITUTE(B407,"*",""),"?",""),"~",""))&amp;"0"&amp;AH407&amp;RIGHT("00000"&amp;ROW(),5),IF('FALTAS GERAL'!$M$1="Falta (maior primeiro)","K"&amp;RIGHT("0000"&amp;(9999-E407),4)&amp;AH407&amp;RIGHT("00000"&amp;ROW(),5),IF('FALTAS GERAL'!$M$1="Nº de decks (maior primeiro)","K"&amp;RIGHT("00"&amp;(99-N(G407)),2)&amp;AH407&amp;RIGHT("00000"&amp;ROW(),5),"K"&amp;RIGHT("00000"&amp;ROW(),5))))))</f>
        <v/>
      </c>
      <c r="AJ407" s="11" t="str">
        <f aca="false">IF(AI407="","",COUNTIFS($AI$2:$AI$801,"&lt;"&amp;AI407,$E$2:$E$801,"&gt;0")+1)</f>
        <v/>
      </c>
      <c r="AK407" s="11" t="str">
        <f aca="false">IF(OR(A407="",N(E407)&lt;=0),"",COUNTIFS($AH$2:$AH$801,"&lt;"&amp;AH407,$E$2:$E$801,"&gt;0")+COUNTIFS($AH$2:AH407,AH407,$E$2:E407,"&gt;0"))</f>
        <v/>
      </c>
    </row>
    <row r="408" customFormat="false" ht="15" hidden="false" customHeight="false" outlineLevel="0" collapsed="false">
      <c r="A408" s="11" t="str">
        <f aca="false">IF(INVENTÁRIO!A408="","",INVENTÁRIO!A408)</f>
        <v/>
      </c>
      <c r="B408" s="11" t="str">
        <f aca="false">IF(A408="","",INVENTÁRIO!B408)</f>
        <v/>
      </c>
      <c r="C408" s="16" t="str">
        <f aca="false">IF(A408="","",INVENTÁRIO!C408)</f>
        <v/>
      </c>
      <c r="D408" s="14" t="str">
        <f aca="false">IF(A408="","",MAX(K408:AD408))</f>
        <v/>
      </c>
      <c r="E408" s="14" t="str">
        <f aca="false">IF(A408="","",MAX(0,D408-C408))</f>
        <v/>
      </c>
      <c r="F408" s="16" t="str">
        <f aca="false">IF(A408="","",IF(D408=0,"Fora dos decks",IF(E408=0,"Completo","Falta")))</f>
        <v/>
      </c>
      <c r="G408" s="16" t="str">
        <f aca="false">IF(A408="","",COUNTIF(K408:AD408,"&gt;0"))</f>
        <v/>
      </c>
      <c r="H408" s="16" t="str">
        <f aca="false">IF(A408="","",IF(G408&gt;1,"Sim",""))</f>
        <v/>
      </c>
      <c r="I408" s="18" t="str">
        <f aca="false">IF(A408="","",SUMIFS(DECKS!$D$2:$D$1201,DECKS!$B$2:$B$1201,A408))</f>
        <v/>
      </c>
      <c r="J408" s="18" t="str">
        <f aca="false">IF(A408="","",MAX(0,I408-C408))</f>
        <v/>
      </c>
      <c r="K408" s="19" t="str">
        <f aca="false">IF(OR($A408="",INDEX(_LEITURA!$Q$2:$Q$21,1)=0),"",SUMIFS(DECKS!$D$2:$D$1201,DECKS!$A$2:$A$1201,INDEX(_LEITURA!$P$2:$P$21,1),DECKS!$B$2:$B$1201,$A408))</f>
        <v/>
      </c>
      <c r="L408" s="19" t="str">
        <f aca="false">IF(OR($A408="",INDEX(_LEITURA!$Q$2:$Q$21,2)=0),"",SUMIFS(DECKS!$D$2:$D$1201,DECKS!$A$2:$A$1201,INDEX(_LEITURA!$P$2:$P$21,2),DECKS!$B$2:$B$1201,$A408))</f>
        <v/>
      </c>
      <c r="M408" s="19" t="str">
        <f aca="false">IF(OR($A408="",INDEX(_LEITURA!$Q$2:$Q$21,3)=0),"",SUMIFS(DECKS!$D$2:$D$1201,DECKS!$A$2:$A$1201,INDEX(_LEITURA!$P$2:$P$21,3),DECKS!$B$2:$B$1201,$A408))</f>
        <v/>
      </c>
      <c r="N408" s="19" t="str">
        <f aca="false">IF(OR($A408="",INDEX(_LEITURA!$Q$2:$Q$21,4)=0),"",SUMIFS(DECKS!$D$2:$D$1201,DECKS!$A$2:$A$1201,INDEX(_LEITURA!$P$2:$P$21,4),DECKS!$B$2:$B$1201,$A408))</f>
        <v/>
      </c>
      <c r="O408" s="19" t="str">
        <f aca="false">IF(OR($A408="",INDEX(_LEITURA!$Q$2:$Q$21,5)=0),"",SUMIFS(DECKS!$D$2:$D$1201,DECKS!$A$2:$A$1201,INDEX(_LEITURA!$P$2:$P$21,5),DECKS!$B$2:$B$1201,$A408))</f>
        <v/>
      </c>
      <c r="P408" s="19" t="str">
        <f aca="false">IF(OR($A408="",INDEX(_LEITURA!$Q$2:$Q$21,6)=0),"",SUMIFS(DECKS!$D$2:$D$1201,DECKS!$A$2:$A$1201,INDEX(_LEITURA!$P$2:$P$21,6),DECKS!$B$2:$B$1201,$A408))</f>
        <v/>
      </c>
      <c r="Q408" s="19" t="str">
        <f aca="false">IF(OR($A408="",INDEX(_LEITURA!$Q$2:$Q$21,7)=0),"",SUMIFS(DECKS!$D$2:$D$1201,DECKS!$A$2:$A$1201,INDEX(_LEITURA!$P$2:$P$21,7),DECKS!$B$2:$B$1201,$A408))</f>
        <v/>
      </c>
      <c r="R408" s="19" t="str">
        <f aca="false">IF(OR($A408="",INDEX(_LEITURA!$Q$2:$Q$21,8)=0),"",SUMIFS(DECKS!$D$2:$D$1201,DECKS!$A$2:$A$1201,INDEX(_LEITURA!$P$2:$P$21,8),DECKS!$B$2:$B$1201,$A408))</f>
        <v/>
      </c>
      <c r="S408" s="19" t="str">
        <f aca="false">IF(OR($A408="",INDEX(_LEITURA!$Q$2:$Q$21,9)=0),"",SUMIFS(DECKS!$D$2:$D$1201,DECKS!$A$2:$A$1201,INDEX(_LEITURA!$P$2:$P$21,9),DECKS!$B$2:$B$1201,$A408))</f>
        <v/>
      </c>
      <c r="T408" s="19" t="str">
        <f aca="false">IF(OR($A408="",INDEX(_LEITURA!$Q$2:$Q$21,10)=0),"",SUMIFS(DECKS!$D$2:$D$1201,DECKS!$A$2:$A$1201,INDEX(_LEITURA!$P$2:$P$21,10),DECKS!$B$2:$B$1201,$A408))</f>
        <v/>
      </c>
      <c r="U408" s="19" t="str">
        <f aca="false">IF(OR($A408="",INDEX(_LEITURA!$Q$2:$Q$21,11)=0),"",SUMIFS(DECKS!$D$2:$D$1201,DECKS!$A$2:$A$1201,INDEX(_LEITURA!$P$2:$P$21,11),DECKS!$B$2:$B$1201,$A408))</f>
        <v/>
      </c>
      <c r="V408" s="19" t="str">
        <f aca="false">IF(OR($A408="",INDEX(_LEITURA!$Q$2:$Q$21,12)=0),"",SUMIFS(DECKS!$D$2:$D$1201,DECKS!$A$2:$A$1201,INDEX(_LEITURA!$P$2:$P$21,12),DECKS!$B$2:$B$1201,$A408))</f>
        <v/>
      </c>
      <c r="W408" s="19" t="str">
        <f aca="false">IF(OR($A408="",INDEX(_LEITURA!$Q$2:$Q$21,13)=0),"",SUMIFS(DECKS!$D$2:$D$1201,DECKS!$A$2:$A$1201,INDEX(_LEITURA!$P$2:$P$21,13),DECKS!$B$2:$B$1201,$A408))</f>
        <v/>
      </c>
      <c r="X408" s="19" t="str">
        <f aca="false">IF(OR($A408="",INDEX(_LEITURA!$Q$2:$Q$21,14)=0),"",SUMIFS(DECKS!$D$2:$D$1201,DECKS!$A$2:$A$1201,INDEX(_LEITURA!$P$2:$P$21,14),DECKS!$B$2:$B$1201,$A408))</f>
        <v/>
      </c>
      <c r="Y408" s="19" t="str">
        <f aca="false">IF(OR($A408="",INDEX(_LEITURA!$Q$2:$Q$21,15)=0),"",SUMIFS(DECKS!$D$2:$D$1201,DECKS!$A$2:$A$1201,INDEX(_LEITURA!$P$2:$P$21,15),DECKS!$B$2:$B$1201,$A408))</f>
        <v/>
      </c>
      <c r="Z408" s="19" t="str">
        <f aca="false">IF(OR($A408="",INDEX(_LEITURA!$Q$2:$Q$21,16)=0),"",SUMIFS(DECKS!$D$2:$D$1201,DECKS!$A$2:$A$1201,INDEX(_LEITURA!$P$2:$P$21,16),DECKS!$B$2:$B$1201,$A408))</f>
        <v/>
      </c>
      <c r="AA408" s="19" t="str">
        <f aca="false">IF(OR($A408="",INDEX(_LEITURA!$Q$2:$Q$21,17)=0),"",SUMIFS(DECKS!$D$2:$D$1201,DECKS!$A$2:$A$1201,INDEX(_LEITURA!$P$2:$P$21,17),DECKS!$B$2:$B$1201,$A408))</f>
        <v/>
      </c>
      <c r="AB408" s="19" t="str">
        <f aca="false">IF(OR($A408="",INDEX(_LEITURA!$Q$2:$Q$21,18)=0),"",SUMIFS(DECKS!$D$2:$D$1201,DECKS!$A$2:$A$1201,INDEX(_LEITURA!$P$2:$P$21,18),DECKS!$B$2:$B$1201,$A408))</f>
        <v/>
      </c>
      <c r="AC408" s="19" t="str">
        <f aca="false">IF(OR($A408="",INDEX(_LEITURA!$Q$2:$Q$21,19)=0),"",SUMIFS(DECKS!$D$2:$D$1201,DECKS!$A$2:$A$1201,INDEX(_LEITURA!$P$2:$P$21,19),DECKS!$B$2:$B$1201,$A408))</f>
        <v/>
      </c>
      <c r="AD408" s="19" t="str">
        <f aca="false">IF(OR($A408="",INDEX(_LEITURA!$Q$2:$Q$21,20)=0),"",SUMIFS(DECKS!$D$2:$D$1201,DECKS!$A$2:$A$1201,INDEX(_LEITURA!$P$2:$P$21,20),DECKS!$B$2:$B$1201,$A408))</f>
        <v/>
      </c>
      <c r="AE408" s="16" t="str">
        <f aca="false">IF(N(E408)&gt;0,MAX(AE$1:AE407)+1,"")</f>
        <v/>
      </c>
      <c r="AF408" s="11" t="str">
        <f aca="false">IF(A408="","",IFERROR(LEFT(A408,FIND("-",A408)-1),A408))</f>
        <v/>
      </c>
      <c r="AG408" s="11" t="str">
        <f aca="false">IF(AF408="","",IF(ISNUMBER(--MID(AF408,1,1)),0,IF(ISNUMBER(--MID(AF408,2,1)),1,IF(ISNUMBER(--MID(AF408,3,1)),2,IF(ISNUMBER(--MID(AF408,4,1)),3,MIN(LEN(AF408),4))))))</f>
        <v/>
      </c>
      <c r="AH408" s="11" t="str">
        <f aca="false">IF(A408="","",LEFT(AF408,AG408)&amp;REPT("0",4-AG408)&amp;RIGHT("000"&amp;IFERROR(VALUE(MID(AF408,AG408+1,9)),0),3)&amp;RIGHT("0000"&amp;IFERROR(VALUE(MID(A408,FIND("-",A408)+1,9)),0),4))</f>
        <v/>
      </c>
      <c r="AI408" s="11" t="str">
        <f aca="false">IF(OR(A408="",N(E408)&lt;=0),"",IF('FALTAS GERAL'!$M$1="Código","K"&amp;AH408&amp;RIGHT("00000"&amp;ROW(),5),IF('FALTAS GERAL'!$M$1="Nome","K"&amp;UPPER(SUBSTITUTE(SUBSTITUTE(SUBSTITUTE(B408,"*",""),"?",""),"~",""))&amp;"0"&amp;AH408&amp;RIGHT("00000"&amp;ROW(),5),IF('FALTAS GERAL'!$M$1="Falta (maior primeiro)","K"&amp;RIGHT("0000"&amp;(9999-E408),4)&amp;AH408&amp;RIGHT("00000"&amp;ROW(),5),IF('FALTAS GERAL'!$M$1="Nº de decks (maior primeiro)","K"&amp;RIGHT("00"&amp;(99-N(G408)),2)&amp;AH408&amp;RIGHT("00000"&amp;ROW(),5),"K"&amp;RIGHT("00000"&amp;ROW(),5))))))</f>
        <v/>
      </c>
      <c r="AJ408" s="11" t="str">
        <f aca="false">IF(AI408="","",COUNTIFS($AI$2:$AI$801,"&lt;"&amp;AI408,$E$2:$E$801,"&gt;0")+1)</f>
        <v/>
      </c>
      <c r="AK408" s="11" t="str">
        <f aca="false">IF(OR(A408="",N(E408)&lt;=0),"",COUNTIFS($AH$2:$AH$801,"&lt;"&amp;AH408,$E$2:$E$801,"&gt;0")+COUNTIFS($AH$2:AH408,AH408,$E$2:E408,"&gt;0"))</f>
        <v/>
      </c>
    </row>
    <row r="409" customFormat="false" ht="15" hidden="false" customHeight="false" outlineLevel="0" collapsed="false">
      <c r="A409" s="11" t="str">
        <f aca="false">IF(INVENTÁRIO!A409="","",INVENTÁRIO!A409)</f>
        <v/>
      </c>
      <c r="B409" s="11" t="str">
        <f aca="false">IF(A409="","",INVENTÁRIO!B409)</f>
        <v/>
      </c>
      <c r="C409" s="16" t="str">
        <f aca="false">IF(A409="","",INVENTÁRIO!C409)</f>
        <v/>
      </c>
      <c r="D409" s="14" t="str">
        <f aca="false">IF(A409="","",MAX(K409:AD409))</f>
        <v/>
      </c>
      <c r="E409" s="14" t="str">
        <f aca="false">IF(A409="","",MAX(0,D409-C409))</f>
        <v/>
      </c>
      <c r="F409" s="16" t="str">
        <f aca="false">IF(A409="","",IF(D409=0,"Fora dos decks",IF(E409=0,"Completo","Falta")))</f>
        <v/>
      </c>
      <c r="G409" s="16" t="str">
        <f aca="false">IF(A409="","",COUNTIF(K409:AD409,"&gt;0"))</f>
        <v/>
      </c>
      <c r="H409" s="16" t="str">
        <f aca="false">IF(A409="","",IF(G409&gt;1,"Sim",""))</f>
        <v/>
      </c>
      <c r="I409" s="18" t="str">
        <f aca="false">IF(A409="","",SUMIFS(DECKS!$D$2:$D$1201,DECKS!$B$2:$B$1201,A409))</f>
        <v/>
      </c>
      <c r="J409" s="18" t="str">
        <f aca="false">IF(A409="","",MAX(0,I409-C409))</f>
        <v/>
      </c>
      <c r="K409" s="19" t="str">
        <f aca="false">IF(OR($A409="",INDEX(_LEITURA!$Q$2:$Q$21,1)=0),"",SUMIFS(DECKS!$D$2:$D$1201,DECKS!$A$2:$A$1201,INDEX(_LEITURA!$P$2:$P$21,1),DECKS!$B$2:$B$1201,$A409))</f>
        <v/>
      </c>
      <c r="L409" s="19" t="str">
        <f aca="false">IF(OR($A409="",INDEX(_LEITURA!$Q$2:$Q$21,2)=0),"",SUMIFS(DECKS!$D$2:$D$1201,DECKS!$A$2:$A$1201,INDEX(_LEITURA!$P$2:$P$21,2),DECKS!$B$2:$B$1201,$A409))</f>
        <v/>
      </c>
      <c r="M409" s="19" t="str">
        <f aca="false">IF(OR($A409="",INDEX(_LEITURA!$Q$2:$Q$21,3)=0),"",SUMIFS(DECKS!$D$2:$D$1201,DECKS!$A$2:$A$1201,INDEX(_LEITURA!$P$2:$P$21,3),DECKS!$B$2:$B$1201,$A409))</f>
        <v/>
      </c>
      <c r="N409" s="19" t="str">
        <f aca="false">IF(OR($A409="",INDEX(_LEITURA!$Q$2:$Q$21,4)=0),"",SUMIFS(DECKS!$D$2:$D$1201,DECKS!$A$2:$A$1201,INDEX(_LEITURA!$P$2:$P$21,4),DECKS!$B$2:$B$1201,$A409))</f>
        <v/>
      </c>
      <c r="O409" s="19" t="str">
        <f aca="false">IF(OR($A409="",INDEX(_LEITURA!$Q$2:$Q$21,5)=0),"",SUMIFS(DECKS!$D$2:$D$1201,DECKS!$A$2:$A$1201,INDEX(_LEITURA!$P$2:$P$21,5),DECKS!$B$2:$B$1201,$A409))</f>
        <v/>
      </c>
      <c r="P409" s="19" t="str">
        <f aca="false">IF(OR($A409="",INDEX(_LEITURA!$Q$2:$Q$21,6)=0),"",SUMIFS(DECKS!$D$2:$D$1201,DECKS!$A$2:$A$1201,INDEX(_LEITURA!$P$2:$P$21,6),DECKS!$B$2:$B$1201,$A409))</f>
        <v/>
      </c>
      <c r="Q409" s="19" t="str">
        <f aca="false">IF(OR($A409="",INDEX(_LEITURA!$Q$2:$Q$21,7)=0),"",SUMIFS(DECKS!$D$2:$D$1201,DECKS!$A$2:$A$1201,INDEX(_LEITURA!$P$2:$P$21,7),DECKS!$B$2:$B$1201,$A409))</f>
        <v/>
      </c>
      <c r="R409" s="19" t="str">
        <f aca="false">IF(OR($A409="",INDEX(_LEITURA!$Q$2:$Q$21,8)=0),"",SUMIFS(DECKS!$D$2:$D$1201,DECKS!$A$2:$A$1201,INDEX(_LEITURA!$P$2:$P$21,8),DECKS!$B$2:$B$1201,$A409))</f>
        <v/>
      </c>
      <c r="S409" s="19" t="str">
        <f aca="false">IF(OR($A409="",INDEX(_LEITURA!$Q$2:$Q$21,9)=0),"",SUMIFS(DECKS!$D$2:$D$1201,DECKS!$A$2:$A$1201,INDEX(_LEITURA!$P$2:$P$21,9),DECKS!$B$2:$B$1201,$A409))</f>
        <v/>
      </c>
      <c r="T409" s="19" t="str">
        <f aca="false">IF(OR($A409="",INDEX(_LEITURA!$Q$2:$Q$21,10)=0),"",SUMIFS(DECKS!$D$2:$D$1201,DECKS!$A$2:$A$1201,INDEX(_LEITURA!$P$2:$P$21,10),DECKS!$B$2:$B$1201,$A409))</f>
        <v/>
      </c>
      <c r="U409" s="19" t="str">
        <f aca="false">IF(OR($A409="",INDEX(_LEITURA!$Q$2:$Q$21,11)=0),"",SUMIFS(DECKS!$D$2:$D$1201,DECKS!$A$2:$A$1201,INDEX(_LEITURA!$P$2:$P$21,11),DECKS!$B$2:$B$1201,$A409))</f>
        <v/>
      </c>
      <c r="V409" s="19" t="str">
        <f aca="false">IF(OR($A409="",INDEX(_LEITURA!$Q$2:$Q$21,12)=0),"",SUMIFS(DECKS!$D$2:$D$1201,DECKS!$A$2:$A$1201,INDEX(_LEITURA!$P$2:$P$21,12),DECKS!$B$2:$B$1201,$A409))</f>
        <v/>
      </c>
      <c r="W409" s="19" t="str">
        <f aca="false">IF(OR($A409="",INDEX(_LEITURA!$Q$2:$Q$21,13)=0),"",SUMIFS(DECKS!$D$2:$D$1201,DECKS!$A$2:$A$1201,INDEX(_LEITURA!$P$2:$P$21,13),DECKS!$B$2:$B$1201,$A409))</f>
        <v/>
      </c>
      <c r="X409" s="19" t="str">
        <f aca="false">IF(OR($A409="",INDEX(_LEITURA!$Q$2:$Q$21,14)=0),"",SUMIFS(DECKS!$D$2:$D$1201,DECKS!$A$2:$A$1201,INDEX(_LEITURA!$P$2:$P$21,14),DECKS!$B$2:$B$1201,$A409))</f>
        <v/>
      </c>
      <c r="Y409" s="19" t="str">
        <f aca="false">IF(OR($A409="",INDEX(_LEITURA!$Q$2:$Q$21,15)=0),"",SUMIFS(DECKS!$D$2:$D$1201,DECKS!$A$2:$A$1201,INDEX(_LEITURA!$P$2:$P$21,15),DECKS!$B$2:$B$1201,$A409))</f>
        <v/>
      </c>
      <c r="Z409" s="19" t="str">
        <f aca="false">IF(OR($A409="",INDEX(_LEITURA!$Q$2:$Q$21,16)=0),"",SUMIFS(DECKS!$D$2:$D$1201,DECKS!$A$2:$A$1201,INDEX(_LEITURA!$P$2:$P$21,16),DECKS!$B$2:$B$1201,$A409))</f>
        <v/>
      </c>
      <c r="AA409" s="19" t="str">
        <f aca="false">IF(OR($A409="",INDEX(_LEITURA!$Q$2:$Q$21,17)=0),"",SUMIFS(DECKS!$D$2:$D$1201,DECKS!$A$2:$A$1201,INDEX(_LEITURA!$P$2:$P$21,17),DECKS!$B$2:$B$1201,$A409))</f>
        <v/>
      </c>
      <c r="AB409" s="19" t="str">
        <f aca="false">IF(OR($A409="",INDEX(_LEITURA!$Q$2:$Q$21,18)=0),"",SUMIFS(DECKS!$D$2:$D$1201,DECKS!$A$2:$A$1201,INDEX(_LEITURA!$P$2:$P$21,18),DECKS!$B$2:$B$1201,$A409))</f>
        <v/>
      </c>
      <c r="AC409" s="19" t="str">
        <f aca="false">IF(OR($A409="",INDEX(_LEITURA!$Q$2:$Q$21,19)=0),"",SUMIFS(DECKS!$D$2:$D$1201,DECKS!$A$2:$A$1201,INDEX(_LEITURA!$P$2:$P$21,19),DECKS!$B$2:$B$1201,$A409))</f>
        <v/>
      </c>
      <c r="AD409" s="19" t="str">
        <f aca="false">IF(OR($A409="",INDEX(_LEITURA!$Q$2:$Q$21,20)=0),"",SUMIFS(DECKS!$D$2:$D$1201,DECKS!$A$2:$A$1201,INDEX(_LEITURA!$P$2:$P$21,20),DECKS!$B$2:$B$1201,$A409))</f>
        <v/>
      </c>
      <c r="AE409" s="16" t="str">
        <f aca="false">IF(N(E409)&gt;0,MAX(AE$1:AE408)+1,"")</f>
        <v/>
      </c>
      <c r="AF409" s="11" t="str">
        <f aca="false">IF(A409="","",IFERROR(LEFT(A409,FIND("-",A409)-1),A409))</f>
        <v/>
      </c>
      <c r="AG409" s="11" t="str">
        <f aca="false">IF(AF409="","",IF(ISNUMBER(--MID(AF409,1,1)),0,IF(ISNUMBER(--MID(AF409,2,1)),1,IF(ISNUMBER(--MID(AF409,3,1)),2,IF(ISNUMBER(--MID(AF409,4,1)),3,MIN(LEN(AF409),4))))))</f>
        <v/>
      </c>
      <c r="AH409" s="11" t="str">
        <f aca="false">IF(A409="","",LEFT(AF409,AG409)&amp;REPT("0",4-AG409)&amp;RIGHT("000"&amp;IFERROR(VALUE(MID(AF409,AG409+1,9)),0),3)&amp;RIGHT("0000"&amp;IFERROR(VALUE(MID(A409,FIND("-",A409)+1,9)),0),4))</f>
        <v/>
      </c>
      <c r="AI409" s="11" t="str">
        <f aca="false">IF(OR(A409="",N(E409)&lt;=0),"",IF('FALTAS GERAL'!$M$1="Código","K"&amp;AH409&amp;RIGHT("00000"&amp;ROW(),5),IF('FALTAS GERAL'!$M$1="Nome","K"&amp;UPPER(SUBSTITUTE(SUBSTITUTE(SUBSTITUTE(B409,"*",""),"?",""),"~",""))&amp;"0"&amp;AH409&amp;RIGHT("00000"&amp;ROW(),5),IF('FALTAS GERAL'!$M$1="Falta (maior primeiro)","K"&amp;RIGHT("0000"&amp;(9999-E409),4)&amp;AH409&amp;RIGHT("00000"&amp;ROW(),5),IF('FALTAS GERAL'!$M$1="Nº de decks (maior primeiro)","K"&amp;RIGHT("00"&amp;(99-N(G409)),2)&amp;AH409&amp;RIGHT("00000"&amp;ROW(),5),"K"&amp;RIGHT("00000"&amp;ROW(),5))))))</f>
        <v/>
      </c>
      <c r="AJ409" s="11" t="str">
        <f aca="false">IF(AI409="","",COUNTIFS($AI$2:$AI$801,"&lt;"&amp;AI409,$E$2:$E$801,"&gt;0")+1)</f>
        <v/>
      </c>
      <c r="AK409" s="11" t="str">
        <f aca="false">IF(OR(A409="",N(E409)&lt;=0),"",COUNTIFS($AH$2:$AH$801,"&lt;"&amp;AH409,$E$2:$E$801,"&gt;0")+COUNTIFS($AH$2:AH409,AH409,$E$2:E409,"&gt;0"))</f>
        <v/>
      </c>
    </row>
    <row r="410" customFormat="false" ht="15" hidden="false" customHeight="false" outlineLevel="0" collapsed="false">
      <c r="A410" s="11" t="str">
        <f aca="false">IF(INVENTÁRIO!A410="","",INVENTÁRIO!A410)</f>
        <v/>
      </c>
      <c r="B410" s="11" t="str">
        <f aca="false">IF(A410="","",INVENTÁRIO!B410)</f>
        <v/>
      </c>
      <c r="C410" s="16" t="str">
        <f aca="false">IF(A410="","",INVENTÁRIO!C410)</f>
        <v/>
      </c>
      <c r="D410" s="14" t="str">
        <f aca="false">IF(A410="","",MAX(K410:AD410))</f>
        <v/>
      </c>
      <c r="E410" s="14" t="str">
        <f aca="false">IF(A410="","",MAX(0,D410-C410))</f>
        <v/>
      </c>
      <c r="F410" s="16" t="str">
        <f aca="false">IF(A410="","",IF(D410=0,"Fora dos decks",IF(E410=0,"Completo","Falta")))</f>
        <v/>
      </c>
      <c r="G410" s="16" t="str">
        <f aca="false">IF(A410="","",COUNTIF(K410:AD410,"&gt;0"))</f>
        <v/>
      </c>
      <c r="H410" s="16" t="str">
        <f aca="false">IF(A410="","",IF(G410&gt;1,"Sim",""))</f>
        <v/>
      </c>
      <c r="I410" s="18" t="str">
        <f aca="false">IF(A410="","",SUMIFS(DECKS!$D$2:$D$1201,DECKS!$B$2:$B$1201,A410))</f>
        <v/>
      </c>
      <c r="J410" s="18" t="str">
        <f aca="false">IF(A410="","",MAX(0,I410-C410))</f>
        <v/>
      </c>
      <c r="K410" s="19" t="str">
        <f aca="false">IF(OR($A410="",INDEX(_LEITURA!$Q$2:$Q$21,1)=0),"",SUMIFS(DECKS!$D$2:$D$1201,DECKS!$A$2:$A$1201,INDEX(_LEITURA!$P$2:$P$21,1),DECKS!$B$2:$B$1201,$A410))</f>
        <v/>
      </c>
      <c r="L410" s="19" t="str">
        <f aca="false">IF(OR($A410="",INDEX(_LEITURA!$Q$2:$Q$21,2)=0),"",SUMIFS(DECKS!$D$2:$D$1201,DECKS!$A$2:$A$1201,INDEX(_LEITURA!$P$2:$P$21,2),DECKS!$B$2:$B$1201,$A410))</f>
        <v/>
      </c>
      <c r="M410" s="19" t="str">
        <f aca="false">IF(OR($A410="",INDEX(_LEITURA!$Q$2:$Q$21,3)=0),"",SUMIFS(DECKS!$D$2:$D$1201,DECKS!$A$2:$A$1201,INDEX(_LEITURA!$P$2:$P$21,3),DECKS!$B$2:$B$1201,$A410))</f>
        <v/>
      </c>
      <c r="N410" s="19" t="str">
        <f aca="false">IF(OR($A410="",INDEX(_LEITURA!$Q$2:$Q$21,4)=0),"",SUMIFS(DECKS!$D$2:$D$1201,DECKS!$A$2:$A$1201,INDEX(_LEITURA!$P$2:$P$21,4),DECKS!$B$2:$B$1201,$A410))</f>
        <v/>
      </c>
      <c r="O410" s="19" t="str">
        <f aca="false">IF(OR($A410="",INDEX(_LEITURA!$Q$2:$Q$21,5)=0),"",SUMIFS(DECKS!$D$2:$D$1201,DECKS!$A$2:$A$1201,INDEX(_LEITURA!$P$2:$P$21,5),DECKS!$B$2:$B$1201,$A410))</f>
        <v/>
      </c>
      <c r="P410" s="19" t="str">
        <f aca="false">IF(OR($A410="",INDEX(_LEITURA!$Q$2:$Q$21,6)=0),"",SUMIFS(DECKS!$D$2:$D$1201,DECKS!$A$2:$A$1201,INDEX(_LEITURA!$P$2:$P$21,6),DECKS!$B$2:$B$1201,$A410))</f>
        <v/>
      </c>
      <c r="Q410" s="19" t="str">
        <f aca="false">IF(OR($A410="",INDEX(_LEITURA!$Q$2:$Q$21,7)=0),"",SUMIFS(DECKS!$D$2:$D$1201,DECKS!$A$2:$A$1201,INDEX(_LEITURA!$P$2:$P$21,7),DECKS!$B$2:$B$1201,$A410))</f>
        <v/>
      </c>
      <c r="R410" s="19" t="str">
        <f aca="false">IF(OR($A410="",INDEX(_LEITURA!$Q$2:$Q$21,8)=0),"",SUMIFS(DECKS!$D$2:$D$1201,DECKS!$A$2:$A$1201,INDEX(_LEITURA!$P$2:$P$21,8),DECKS!$B$2:$B$1201,$A410))</f>
        <v/>
      </c>
      <c r="S410" s="19" t="str">
        <f aca="false">IF(OR($A410="",INDEX(_LEITURA!$Q$2:$Q$21,9)=0),"",SUMIFS(DECKS!$D$2:$D$1201,DECKS!$A$2:$A$1201,INDEX(_LEITURA!$P$2:$P$21,9),DECKS!$B$2:$B$1201,$A410))</f>
        <v/>
      </c>
      <c r="T410" s="19" t="str">
        <f aca="false">IF(OR($A410="",INDEX(_LEITURA!$Q$2:$Q$21,10)=0),"",SUMIFS(DECKS!$D$2:$D$1201,DECKS!$A$2:$A$1201,INDEX(_LEITURA!$P$2:$P$21,10),DECKS!$B$2:$B$1201,$A410))</f>
        <v/>
      </c>
      <c r="U410" s="19" t="str">
        <f aca="false">IF(OR($A410="",INDEX(_LEITURA!$Q$2:$Q$21,11)=0),"",SUMIFS(DECKS!$D$2:$D$1201,DECKS!$A$2:$A$1201,INDEX(_LEITURA!$P$2:$P$21,11),DECKS!$B$2:$B$1201,$A410))</f>
        <v/>
      </c>
      <c r="V410" s="19" t="str">
        <f aca="false">IF(OR($A410="",INDEX(_LEITURA!$Q$2:$Q$21,12)=0),"",SUMIFS(DECKS!$D$2:$D$1201,DECKS!$A$2:$A$1201,INDEX(_LEITURA!$P$2:$P$21,12),DECKS!$B$2:$B$1201,$A410))</f>
        <v/>
      </c>
      <c r="W410" s="19" t="str">
        <f aca="false">IF(OR($A410="",INDEX(_LEITURA!$Q$2:$Q$21,13)=0),"",SUMIFS(DECKS!$D$2:$D$1201,DECKS!$A$2:$A$1201,INDEX(_LEITURA!$P$2:$P$21,13),DECKS!$B$2:$B$1201,$A410))</f>
        <v/>
      </c>
      <c r="X410" s="19" t="str">
        <f aca="false">IF(OR($A410="",INDEX(_LEITURA!$Q$2:$Q$21,14)=0),"",SUMIFS(DECKS!$D$2:$D$1201,DECKS!$A$2:$A$1201,INDEX(_LEITURA!$P$2:$P$21,14),DECKS!$B$2:$B$1201,$A410))</f>
        <v/>
      </c>
      <c r="Y410" s="19" t="str">
        <f aca="false">IF(OR($A410="",INDEX(_LEITURA!$Q$2:$Q$21,15)=0),"",SUMIFS(DECKS!$D$2:$D$1201,DECKS!$A$2:$A$1201,INDEX(_LEITURA!$P$2:$P$21,15),DECKS!$B$2:$B$1201,$A410))</f>
        <v/>
      </c>
      <c r="Z410" s="19" t="str">
        <f aca="false">IF(OR($A410="",INDEX(_LEITURA!$Q$2:$Q$21,16)=0),"",SUMIFS(DECKS!$D$2:$D$1201,DECKS!$A$2:$A$1201,INDEX(_LEITURA!$P$2:$P$21,16),DECKS!$B$2:$B$1201,$A410))</f>
        <v/>
      </c>
      <c r="AA410" s="19" t="str">
        <f aca="false">IF(OR($A410="",INDEX(_LEITURA!$Q$2:$Q$21,17)=0),"",SUMIFS(DECKS!$D$2:$D$1201,DECKS!$A$2:$A$1201,INDEX(_LEITURA!$P$2:$P$21,17),DECKS!$B$2:$B$1201,$A410))</f>
        <v/>
      </c>
      <c r="AB410" s="19" t="str">
        <f aca="false">IF(OR($A410="",INDEX(_LEITURA!$Q$2:$Q$21,18)=0),"",SUMIFS(DECKS!$D$2:$D$1201,DECKS!$A$2:$A$1201,INDEX(_LEITURA!$P$2:$P$21,18),DECKS!$B$2:$B$1201,$A410))</f>
        <v/>
      </c>
      <c r="AC410" s="19" t="str">
        <f aca="false">IF(OR($A410="",INDEX(_LEITURA!$Q$2:$Q$21,19)=0),"",SUMIFS(DECKS!$D$2:$D$1201,DECKS!$A$2:$A$1201,INDEX(_LEITURA!$P$2:$P$21,19),DECKS!$B$2:$B$1201,$A410))</f>
        <v/>
      </c>
      <c r="AD410" s="19" t="str">
        <f aca="false">IF(OR($A410="",INDEX(_LEITURA!$Q$2:$Q$21,20)=0),"",SUMIFS(DECKS!$D$2:$D$1201,DECKS!$A$2:$A$1201,INDEX(_LEITURA!$P$2:$P$21,20),DECKS!$B$2:$B$1201,$A410))</f>
        <v/>
      </c>
      <c r="AE410" s="16" t="str">
        <f aca="false">IF(N(E410)&gt;0,MAX(AE$1:AE409)+1,"")</f>
        <v/>
      </c>
      <c r="AF410" s="11" t="str">
        <f aca="false">IF(A410="","",IFERROR(LEFT(A410,FIND("-",A410)-1),A410))</f>
        <v/>
      </c>
      <c r="AG410" s="11" t="str">
        <f aca="false">IF(AF410="","",IF(ISNUMBER(--MID(AF410,1,1)),0,IF(ISNUMBER(--MID(AF410,2,1)),1,IF(ISNUMBER(--MID(AF410,3,1)),2,IF(ISNUMBER(--MID(AF410,4,1)),3,MIN(LEN(AF410),4))))))</f>
        <v/>
      </c>
      <c r="AH410" s="11" t="str">
        <f aca="false">IF(A410="","",LEFT(AF410,AG410)&amp;REPT("0",4-AG410)&amp;RIGHT("000"&amp;IFERROR(VALUE(MID(AF410,AG410+1,9)),0),3)&amp;RIGHT("0000"&amp;IFERROR(VALUE(MID(A410,FIND("-",A410)+1,9)),0),4))</f>
        <v/>
      </c>
      <c r="AI410" s="11" t="str">
        <f aca="false">IF(OR(A410="",N(E410)&lt;=0),"",IF('FALTAS GERAL'!$M$1="Código","K"&amp;AH410&amp;RIGHT("00000"&amp;ROW(),5),IF('FALTAS GERAL'!$M$1="Nome","K"&amp;UPPER(SUBSTITUTE(SUBSTITUTE(SUBSTITUTE(B410,"*",""),"?",""),"~",""))&amp;"0"&amp;AH410&amp;RIGHT("00000"&amp;ROW(),5),IF('FALTAS GERAL'!$M$1="Falta (maior primeiro)","K"&amp;RIGHT("0000"&amp;(9999-E410),4)&amp;AH410&amp;RIGHT("00000"&amp;ROW(),5),IF('FALTAS GERAL'!$M$1="Nº de decks (maior primeiro)","K"&amp;RIGHT("00"&amp;(99-N(G410)),2)&amp;AH410&amp;RIGHT("00000"&amp;ROW(),5),"K"&amp;RIGHT("00000"&amp;ROW(),5))))))</f>
        <v/>
      </c>
      <c r="AJ410" s="11" t="str">
        <f aca="false">IF(AI410="","",COUNTIFS($AI$2:$AI$801,"&lt;"&amp;AI410,$E$2:$E$801,"&gt;0")+1)</f>
        <v/>
      </c>
      <c r="AK410" s="11" t="str">
        <f aca="false">IF(OR(A410="",N(E410)&lt;=0),"",COUNTIFS($AH$2:$AH$801,"&lt;"&amp;AH410,$E$2:$E$801,"&gt;0")+COUNTIFS($AH$2:AH410,AH410,$E$2:E410,"&gt;0"))</f>
        <v/>
      </c>
    </row>
    <row r="411" customFormat="false" ht="15" hidden="false" customHeight="false" outlineLevel="0" collapsed="false">
      <c r="A411" s="11" t="str">
        <f aca="false">IF(INVENTÁRIO!A411="","",INVENTÁRIO!A411)</f>
        <v/>
      </c>
      <c r="B411" s="11" t="str">
        <f aca="false">IF(A411="","",INVENTÁRIO!B411)</f>
        <v/>
      </c>
      <c r="C411" s="16" t="str">
        <f aca="false">IF(A411="","",INVENTÁRIO!C411)</f>
        <v/>
      </c>
      <c r="D411" s="14" t="str">
        <f aca="false">IF(A411="","",MAX(K411:AD411))</f>
        <v/>
      </c>
      <c r="E411" s="14" t="str">
        <f aca="false">IF(A411="","",MAX(0,D411-C411))</f>
        <v/>
      </c>
      <c r="F411" s="16" t="str">
        <f aca="false">IF(A411="","",IF(D411=0,"Fora dos decks",IF(E411=0,"Completo","Falta")))</f>
        <v/>
      </c>
      <c r="G411" s="16" t="str">
        <f aca="false">IF(A411="","",COUNTIF(K411:AD411,"&gt;0"))</f>
        <v/>
      </c>
      <c r="H411" s="16" t="str">
        <f aca="false">IF(A411="","",IF(G411&gt;1,"Sim",""))</f>
        <v/>
      </c>
      <c r="I411" s="18" t="str">
        <f aca="false">IF(A411="","",SUMIFS(DECKS!$D$2:$D$1201,DECKS!$B$2:$B$1201,A411))</f>
        <v/>
      </c>
      <c r="J411" s="18" t="str">
        <f aca="false">IF(A411="","",MAX(0,I411-C411))</f>
        <v/>
      </c>
      <c r="K411" s="19" t="str">
        <f aca="false">IF(OR($A411="",INDEX(_LEITURA!$Q$2:$Q$21,1)=0),"",SUMIFS(DECKS!$D$2:$D$1201,DECKS!$A$2:$A$1201,INDEX(_LEITURA!$P$2:$P$21,1),DECKS!$B$2:$B$1201,$A411))</f>
        <v/>
      </c>
      <c r="L411" s="19" t="str">
        <f aca="false">IF(OR($A411="",INDEX(_LEITURA!$Q$2:$Q$21,2)=0),"",SUMIFS(DECKS!$D$2:$D$1201,DECKS!$A$2:$A$1201,INDEX(_LEITURA!$P$2:$P$21,2),DECKS!$B$2:$B$1201,$A411))</f>
        <v/>
      </c>
      <c r="M411" s="19" t="str">
        <f aca="false">IF(OR($A411="",INDEX(_LEITURA!$Q$2:$Q$21,3)=0),"",SUMIFS(DECKS!$D$2:$D$1201,DECKS!$A$2:$A$1201,INDEX(_LEITURA!$P$2:$P$21,3),DECKS!$B$2:$B$1201,$A411))</f>
        <v/>
      </c>
      <c r="N411" s="19" t="str">
        <f aca="false">IF(OR($A411="",INDEX(_LEITURA!$Q$2:$Q$21,4)=0),"",SUMIFS(DECKS!$D$2:$D$1201,DECKS!$A$2:$A$1201,INDEX(_LEITURA!$P$2:$P$21,4),DECKS!$B$2:$B$1201,$A411))</f>
        <v/>
      </c>
      <c r="O411" s="19" t="str">
        <f aca="false">IF(OR($A411="",INDEX(_LEITURA!$Q$2:$Q$21,5)=0),"",SUMIFS(DECKS!$D$2:$D$1201,DECKS!$A$2:$A$1201,INDEX(_LEITURA!$P$2:$P$21,5),DECKS!$B$2:$B$1201,$A411))</f>
        <v/>
      </c>
      <c r="P411" s="19" t="str">
        <f aca="false">IF(OR($A411="",INDEX(_LEITURA!$Q$2:$Q$21,6)=0),"",SUMIFS(DECKS!$D$2:$D$1201,DECKS!$A$2:$A$1201,INDEX(_LEITURA!$P$2:$P$21,6),DECKS!$B$2:$B$1201,$A411))</f>
        <v/>
      </c>
      <c r="Q411" s="19" t="str">
        <f aca="false">IF(OR($A411="",INDEX(_LEITURA!$Q$2:$Q$21,7)=0),"",SUMIFS(DECKS!$D$2:$D$1201,DECKS!$A$2:$A$1201,INDEX(_LEITURA!$P$2:$P$21,7),DECKS!$B$2:$B$1201,$A411))</f>
        <v/>
      </c>
      <c r="R411" s="19" t="str">
        <f aca="false">IF(OR($A411="",INDEX(_LEITURA!$Q$2:$Q$21,8)=0),"",SUMIFS(DECKS!$D$2:$D$1201,DECKS!$A$2:$A$1201,INDEX(_LEITURA!$P$2:$P$21,8),DECKS!$B$2:$B$1201,$A411))</f>
        <v/>
      </c>
      <c r="S411" s="19" t="str">
        <f aca="false">IF(OR($A411="",INDEX(_LEITURA!$Q$2:$Q$21,9)=0),"",SUMIFS(DECKS!$D$2:$D$1201,DECKS!$A$2:$A$1201,INDEX(_LEITURA!$P$2:$P$21,9),DECKS!$B$2:$B$1201,$A411))</f>
        <v/>
      </c>
      <c r="T411" s="19" t="str">
        <f aca="false">IF(OR($A411="",INDEX(_LEITURA!$Q$2:$Q$21,10)=0),"",SUMIFS(DECKS!$D$2:$D$1201,DECKS!$A$2:$A$1201,INDEX(_LEITURA!$P$2:$P$21,10),DECKS!$B$2:$B$1201,$A411))</f>
        <v/>
      </c>
      <c r="U411" s="19" t="str">
        <f aca="false">IF(OR($A411="",INDEX(_LEITURA!$Q$2:$Q$21,11)=0),"",SUMIFS(DECKS!$D$2:$D$1201,DECKS!$A$2:$A$1201,INDEX(_LEITURA!$P$2:$P$21,11),DECKS!$B$2:$B$1201,$A411))</f>
        <v/>
      </c>
      <c r="V411" s="19" t="str">
        <f aca="false">IF(OR($A411="",INDEX(_LEITURA!$Q$2:$Q$21,12)=0),"",SUMIFS(DECKS!$D$2:$D$1201,DECKS!$A$2:$A$1201,INDEX(_LEITURA!$P$2:$P$21,12),DECKS!$B$2:$B$1201,$A411))</f>
        <v/>
      </c>
      <c r="W411" s="19" t="str">
        <f aca="false">IF(OR($A411="",INDEX(_LEITURA!$Q$2:$Q$21,13)=0),"",SUMIFS(DECKS!$D$2:$D$1201,DECKS!$A$2:$A$1201,INDEX(_LEITURA!$P$2:$P$21,13),DECKS!$B$2:$B$1201,$A411))</f>
        <v/>
      </c>
      <c r="X411" s="19" t="str">
        <f aca="false">IF(OR($A411="",INDEX(_LEITURA!$Q$2:$Q$21,14)=0),"",SUMIFS(DECKS!$D$2:$D$1201,DECKS!$A$2:$A$1201,INDEX(_LEITURA!$P$2:$P$21,14),DECKS!$B$2:$B$1201,$A411))</f>
        <v/>
      </c>
      <c r="Y411" s="19" t="str">
        <f aca="false">IF(OR($A411="",INDEX(_LEITURA!$Q$2:$Q$21,15)=0),"",SUMIFS(DECKS!$D$2:$D$1201,DECKS!$A$2:$A$1201,INDEX(_LEITURA!$P$2:$P$21,15),DECKS!$B$2:$B$1201,$A411))</f>
        <v/>
      </c>
      <c r="Z411" s="19" t="str">
        <f aca="false">IF(OR($A411="",INDEX(_LEITURA!$Q$2:$Q$21,16)=0),"",SUMIFS(DECKS!$D$2:$D$1201,DECKS!$A$2:$A$1201,INDEX(_LEITURA!$P$2:$P$21,16),DECKS!$B$2:$B$1201,$A411))</f>
        <v/>
      </c>
      <c r="AA411" s="19" t="str">
        <f aca="false">IF(OR($A411="",INDEX(_LEITURA!$Q$2:$Q$21,17)=0),"",SUMIFS(DECKS!$D$2:$D$1201,DECKS!$A$2:$A$1201,INDEX(_LEITURA!$P$2:$P$21,17),DECKS!$B$2:$B$1201,$A411))</f>
        <v/>
      </c>
      <c r="AB411" s="19" t="str">
        <f aca="false">IF(OR($A411="",INDEX(_LEITURA!$Q$2:$Q$21,18)=0),"",SUMIFS(DECKS!$D$2:$D$1201,DECKS!$A$2:$A$1201,INDEX(_LEITURA!$P$2:$P$21,18),DECKS!$B$2:$B$1201,$A411))</f>
        <v/>
      </c>
      <c r="AC411" s="19" t="str">
        <f aca="false">IF(OR($A411="",INDEX(_LEITURA!$Q$2:$Q$21,19)=0),"",SUMIFS(DECKS!$D$2:$D$1201,DECKS!$A$2:$A$1201,INDEX(_LEITURA!$P$2:$P$21,19),DECKS!$B$2:$B$1201,$A411))</f>
        <v/>
      </c>
      <c r="AD411" s="19" t="str">
        <f aca="false">IF(OR($A411="",INDEX(_LEITURA!$Q$2:$Q$21,20)=0),"",SUMIFS(DECKS!$D$2:$D$1201,DECKS!$A$2:$A$1201,INDEX(_LEITURA!$P$2:$P$21,20),DECKS!$B$2:$B$1201,$A411))</f>
        <v/>
      </c>
      <c r="AE411" s="16" t="str">
        <f aca="false">IF(N(E411)&gt;0,MAX(AE$1:AE410)+1,"")</f>
        <v/>
      </c>
      <c r="AF411" s="11" t="str">
        <f aca="false">IF(A411="","",IFERROR(LEFT(A411,FIND("-",A411)-1),A411))</f>
        <v/>
      </c>
      <c r="AG411" s="11" t="str">
        <f aca="false">IF(AF411="","",IF(ISNUMBER(--MID(AF411,1,1)),0,IF(ISNUMBER(--MID(AF411,2,1)),1,IF(ISNUMBER(--MID(AF411,3,1)),2,IF(ISNUMBER(--MID(AF411,4,1)),3,MIN(LEN(AF411),4))))))</f>
        <v/>
      </c>
      <c r="AH411" s="11" t="str">
        <f aca="false">IF(A411="","",LEFT(AF411,AG411)&amp;REPT("0",4-AG411)&amp;RIGHT("000"&amp;IFERROR(VALUE(MID(AF411,AG411+1,9)),0),3)&amp;RIGHT("0000"&amp;IFERROR(VALUE(MID(A411,FIND("-",A411)+1,9)),0),4))</f>
        <v/>
      </c>
      <c r="AI411" s="11" t="str">
        <f aca="false">IF(OR(A411="",N(E411)&lt;=0),"",IF('FALTAS GERAL'!$M$1="Código","K"&amp;AH411&amp;RIGHT("00000"&amp;ROW(),5),IF('FALTAS GERAL'!$M$1="Nome","K"&amp;UPPER(SUBSTITUTE(SUBSTITUTE(SUBSTITUTE(B411,"*",""),"?",""),"~",""))&amp;"0"&amp;AH411&amp;RIGHT("00000"&amp;ROW(),5),IF('FALTAS GERAL'!$M$1="Falta (maior primeiro)","K"&amp;RIGHT("0000"&amp;(9999-E411),4)&amp;AH411&amp;RIGHT("00000"&amp;ROW(),5),IF('FALTAS GERAL'!$M$1="Nº de decks (maior primeiro)","K"&amp;RIGHT("00"&amp;(99-N(G411)),2)&amp;AH411&amp;RIGHT("00000"&amp;ROW(),5),"K"&amp;RIGHT("00000"&amp;ROW(),5))))))</f>
        <v/>
      </c>
      <c r="AJ411" s="11" t="str">
        <f aca="false">IF(AI411="","",COUNTIFS($AI$2:$AI$801,"&lt;"&amp;AI411,$E$2:$E$801,"&gt;0")+1)</f>
        <v/>
      </c>
      <c r="AK411" s="11" t="str">
        <f aca="false">IF(OR(A411="",N(E411)&lt;=0),"",COUNTIFS($AH$2:$AH$801,"&lt;"&amp;AH411,$E$2:$E$801,"&gt;0")+COUNTIFS($AH$2:AH411,AH411,$E$2:E411,"&gt;0"))</f>
        <v/>
      </c>
    </row>
    <row r="412" customFormat="false" ht="15" hidden="false" customHeight="false" outlineLevel="0" collapsed="false">
      <c r="A412" s="11" t="str">
        <f aca="false">IF(INVENTÁRIO!A412="","",INVENTÁRIO!A412)</f>
        <v/>
      </c>
      <c r="B412" s="11" t="str">
        <f aca="false">IF(A412="","",INVENTÁRIO!B412)</f>
        <v/>
      </c>
      <c r="C412" s="16" t="str">
        <f aca="false">IF(A412="","",INVENTÁRIO!C412)</f>
        <v/>
      </c>
      <c r="D412" s="14" t="str">
        <f aca="false">IF(A412="","",MAX(K412:AD412))</f>
        <v/>
      </c>
      <c r="E412" s="14" t="str">
        <f aca="false">IF(A412="","",MAX(0,D412-C412))</f>
        <v/>
      </c>
      <c r="F412" s="16" t="str">
        <f aca="false">IF(A412="","",IF(D412=0,"Fora dos decks",IF(E412=0,"Completo","Falta")))</f>
        <v/>
      </c>
      <c r="G412" s="16" t="str">
        <f aca="false">IF(A412="","",COUNTIF(K412:AD412,"&gt;0"))</f>
        <v/>
      </c>
      <c r="H412" s="16" t="str">
        <f aca="false">IF(A412="","",IF(G412&gt;1,"Sim",""))</f>
        <v/>
      </c>
      <c r="I412" s="18" t="str">
        <f aca="false">IF(A412="","",SUMIFS(DECKS!$D$2:$D$1201,DECKS!$B$2:$B$1201,A412))</f>
        <v/>
      </c>
      <c r="J412" s="18" t="str">
        <f aca="false">IF(A412="","",MAX(0,I412-C412))</f>
        <v/>
      </c>
      <c r="K412" s="19" t="str">
        <f aca="false">IF(OR($A412="",INDEX(_LEITURA!$Q$2:$Q$21,1)=0),"",SUMIFS(DECKS!$D$2:$D$1201,DECKS!$A$2:$A$1201,INDEX(_LEITURA!$P$2:$P$21,1),DECKS!$B$2:$B$1201,$A412))</f>
        <v/>
      </c>
      <c r="L412" s="19" t="str">
        <f aca="false">IF(OR($A412="",INDEX(_LEITURA!$Q$2:$Q$21,2)=0),"",SUMIFS(DECKS!$D$2:$D$1201,DECKS!$A$2:$A$1201,INDEX(_LEITURA!$P$2:$P$21,2),DECKS!$B$2:$B$1201,$A412))</f>
        <v/>
      </c>
      <c r="M412" s="19" t="str">
        <f aca="false">IF(OR($A412="",INDEX(_LEITURA!$Q$2:$Q$21,3)=0),"",SUMIFS(DECKS!$D$2:$D$1201,DECKS!$A$2:$A$1201,INDEX(_LEITURA!$P$2:$P$21,3),DECKS!$B$2:$B$1201,$A412))</f>
        <v/>
      </c>
      <c r="N412" s="19" t="str">
        <f aca="false">IF(OR($A412="",INDEX(_LEITURA!$Q$2:$Q$21,4)=0),"",SUMIFS(DECKS!$D$2:$D$1201,DECKS!$A$2:$A$1201,INDEX(_LEITURA!$P$2:$P$21,4),DECKS!$B$2:$B$1201,$A412))</f>
        <v/>
      </c>
      <c r="O412" s="19" t="str">
        <f aca="false">IF(OR($A412="",INDEX(_LEITURA!$Q$2:$Q$21,5)=0),"",SUMIFS(DECKS!$D$2:$D$1201,DECKS!$A$2:$A$1201,INDEX(_LEITURA!$P$2:$P$21,5),DECKS!$B$2:$B$1201,$A412))</f>
        <v/>
      </c>
      <c r="P412" s="19" t="str">
        <f aca="false">IF(OR($A412="",INDEX(_LEITURA!$Q$2:$Q$21,6)=0),"",SUMIFS(DECKS!$D$2:$D$1201,DECKS!$A$2:$A$1201,INDEX(_LEITURA!$P$2:$P$21,6),DECKS!$B$2:$B$1201,$A412))</f>
        <v/>
      </c>
      <c r="Q412" s="19" t="str">
        <f aca="false">IF(OR($A412="",INDEX(_LEITURA!$Q$2:$Q$21,7)=0),"",SUMIFS(DECKS!$D$2:$D$1201,DECKS!$A$2:$A$1201,INDEX(_LEITURA!$P$2:$P$21,7),DECKS!$B$2:$B$1201,$A412))</f>
        <v/>
      </c>
      <c r="R412" s="19" t="str">
        <f aca="false">IF(OR($A412="",INDEX(_LEITURA!$Q$2:$Q$21,8)=0),"",SUMIFS(DECKS!$D$2:$D$1201,DECKS!$A$2:$A$1201,INDEX(_LEITURA!$P$2:$P$21,8),DECKS!$B$2:$B$1201,$A412))</f>
        <v/>
      </c>
      <c r="S412" s="19" t="str">
        <f aca="false">IF(OR($A412="",INDEX(_LEITURA!$Q$2:$Q$21,9)=0),"",SUMIFS(DECKS!$D$2:$D$1201,DECKS!$A$2:$A$1201,INDEX(_LEITURA!$P$2:$P$21,9),DECKS!$B$2:$B$1201,$A412))</f>
        <v/>
      </c>
      <c r="T412" s="19" t="str">
        <f aca="false">IF(OR($A412="",INDEX(_LEITURA!$Q$2:$Q$21,10)=0),"",SUMIFS(DECKS!$D$2:$D$1201,DECKS!$A$2:$A$1201,INDEX(_LEITURA!$P$2:$P$21,10),DECKS!$B$2:$B$1201,$A412))</f>
        <v/>
      </c>
      <c r="U412" s="19" t="str">
        <f aca="false">IF(OR($A412="",INDEX(_LEITURA!$Q$2:$Q$21,11)=0),"",SUMIFS(DECKS!$D$2:$D$1201,DECKS!$A$2:$A$1201,INDEX(_LEITURA!$P$2:$P$21,11),DECKS!$B$2:$B$1201,$A412))</f>
        <v/>
      </c>
      <c r="V412" s="19" t="str">
        <f aca="false">IF(OR($A412="",INDEX(_LEITURA!$Q$2:$Q$21,12)=0),"",SUMIFS(DECKS!$D$2:$D$1201,DECKS!$A$2:$A$1201,INDEX(_LEITURA!$P$2:$P$21,12),DECKS!$B$2:$B$1201,$A412))</f>
        <v/>
      </c>
      <c r="W412" s="19" t="str">
        <f aca="false">IF(OR($A412="",INDEX(_LEITURA!$Q$2:$Q$21,13)=0),"",SUMIFS(DECKS!$D$2:$D$1201,DECKS!$A$2:$A$1201,INDEX(_LEITURA!$P$2:$P$21,13),DECKS!$B$2:$B$1201,$A412))</f>
        <v/>
      </c>
      <c r="X412" s="19" t="str">
        <f aca="false">IF(OR($A412="",INDEX(_LEITURA!$Q$2:$Q$21,14)=0),"",SUMIFS(DECKS!$D$2:$D$1201,DECKS!$A$2:$A$1201,INDEX(_LEITURA!$P$2:$P$21,14),DECKS!$B$2:$B$1201,$A412))</f>
        <v/>
      </c>
      <c r="Y412" s="19" t="str">
        <f aca="false">IF(OR($A412="",INDEX(_LEITURA!$Q$2:$Q$21,15)=0),"",SUMIFS(DECKS!$D$2:$D$1201,DECKS!$A$2:$A$1201,INDEX(_LEITURA!$P$2:$P$21,15),DECKS!$B$2:$B$1201,$A412))</f>
        <v/>
      </c>
      <c r="Z412" s="19" t="str">
        <f aca="false">IF(OR($A412="",INDEX(_LEITURA!$Q$2:$Q$21,16)=0),"",SUMIFS(DECKS!$D$2:$D$1201,DECKS!$A$2:$A$1201,INDEX(_LEITURA!$P$2:$P$21,16),DECKS!$B$2:$B$1201,$A412))</f>
        <v/>
      </c>
      <c r="AA412" s="19" t="str">
        <f aca="false">IF(OR($A412="",INDEX(_LEITURA!$Q$2:$Q$21,17)=0),"",SUMIFS(DECKS!$D$2:$D$1201,DECKS!$A$2:$A$1201,INDEX(_LEITURA!$P$2:$P$21,17),DECKS!$B$2:$B$1201,$A412))</f>
        <v/>
      </c>
      <c r="AB412" s="19" t="str">
        <f aca="false">IF(OR($A412="",INDEX(_LEITURA!$Q$2:$Q$21,18)=0),"",SUMIFS(DECKS!$D$2:$D$1201,DECKS!$A$2:$A$1201,INDEX(_LEITURA!$P$2:$P$21,18),DECKS!$B$2:$B$1201,$A412))</f>
        <v/>
      </c>
      <c r="AC412" s="19" t="str">
        <f aca="false">IF(OR($A412="",INDEX(_LEITURA!$Q$2:$Q$21,19)=0),"",SUMIFS(DECKS!$D$2:$D$1201,DECKS!$A$2:$A$1201,INDEX(_LEITURA!$P$2:$P$21,19),DECKS!$B$2:$B$1201,$A412))</f>
        <v/>
      </c>
      <c r="AD412" s="19" t="str">
        <f aca="false">IF(OR($A412="",INDEX(_LEITURA!$Q$2:$Q$21,20)=0),"",SUMIFS(DECKS!$D$2:$D$1201,DECKS!$A$2:$A$1201,INDEX(_LEITURA!$P$2:$P$21,20),DECKS!$B$2:$B$1201,$A412))</f>
        <v/>
      </c>
      <c r="AE412" s="16" t="str">
        <f aca="false">IF(N(E412)&gt;0,MAX(AE$1:AE411)+1,"")</f>
        <v/>
      </c>
      <c r="AF412" s="11" t="str">
        <f aca="false">IF(A412="","",IFERROR(LEFT(A412,FIND("-",A412)-1),A412))</f>
        <v/>
      </c>
      <c r="AG412" s="11" t="str">
        <f aca="false">IF(AF412="","",IF(ISNUMBER(--MID(AF412,1,1)),0,IF(ISNUMBER(--MID(AF412,2,1)),1,IF(ISNUMBER(--MID(AF412,3,1)),2,IF(ISNUMBER(--MID(AF412,4,1)),3,MIN(LEN(AF412),4))))))</f>
        <v/>
      </c>
      <c r="AH412" s="11" t="str">
        <f aca="false">IF(A412="","",LEFT(AF412,AG412)&amp;REPT("0",4-AG412)&amp;RIGHT("000"&amp;IFERROR(VALUE(MID(AF412,AG412+1,9)),0),3)&amp;RIGHT("0000"&amp;IFERROR(VALUE(MID(A412,FIND("-",A412)+1,9)),0),4))</f>
        <v/>
      </c>
      <c r="AI412" s="11" t="str">
        <f aca="false">IF(OR(A412="",N(E412)&lt;=0),"",IF('FALTAS GERAL'!$M$1="Código","K"&amp;AH412&amp;RIGHT("00000"&amp;ROW(),5),IF('FALTAS GERAL'!$M$1="Nome","K"&amp;UPPER(SUBSTITUTE(SUBSTITUTE(SUBSTITUTE(B412,"*",""),"?",""),"~",""))&amp;"0"&amp;AH412&amp;RIGHT("00000"&amp;ROW(),5),IF('FALTAS GERAL'!$M$1="Falta (maior primeiro)","K"&amp;RIGHT("0000"&amp;(9999-E412),4)&amp;AH412&amp;RIGHT("00000"&amp;ROW(),5),IF('FALTAS GERAL'!$M$1="Nº de decks (maior primeiro)","K"&amp;RIGHT("00"&amp;(99-N(G412)),2)&amp;AH412&amp;RIGHT("00000"&amp;ROW(),5),"K"&amp;RIGHT("00000"&amp;ROW(),5))))))</f>
        <v/>
      </c>
      <c r="AJ412" s="11" t="str">
        <f aca="false">IF(AI412="","",COUNTIFS($AI$2:$AI$801,"&lt;"&amp;AI412,$E$2:$E$801,"&gt;0")+1)</f>
        <v/>
      </c>
      <c r="AK412" s="11" t="str">
        <f aca="false">IF(OR(A412="",N(E412)&lt;=0),"",COUNTIFS($AH$2:$AH$801,"&lt;"&amp;AH412,$E$2:$E$801,"&gt;0")+COUNTIFS($AH$2:AH412,AH412,$E$2:E412,"&gt;0"))</f>
        <v/>
      </c>
    </row>
    <row r="413" customFormat="false" ht="15" hidden="false" customHeight="false" outlineLevel="0" collapsed="false">
      <c r="A413" s="11" t="str">
        <f aca="false">IF(INVENTÁRIO!A413="","",INVENTÁRIO!A413)</f>
        <v/>
      </c>
      <c r="B413" s="11" t="str">
        <f aca="false">IF(A413="","",INVENTÁRIO!B413)</f>
        <v/>
      </c>
      <c r="C413" s="16" t="str">
        <f aca="false">IF(A413="","",INVENTÁRIO!C413)</f>
        <v/>
      </c>
      <c r="D413" s="14" t="str">
        <f aca="false">IF(A413="","",MAX(K413:AD413))</f>
        <v/>
      </c>
      <c r="E413" s="14" t="str">
        <f aca="false">IF(A413="","",MAX(0,D413-C413))</f>
        <v/>
      </c>
      <c r="F413" s="16" t="str">
        <f aca="false">IF(A413="","",IF(D413=0,"Fora dos decks",IF(E413=0,"Completo","Falta")))</f>
        <v/>
      </c>
      <c r="G413" s="16" t="str">
        <f aca="false">IF(A413="","",COUNTIF(K413:AD413,"&gt;0"))</f>
        <v/>
      </c>
      <c r="H413" s="16" t="str">
        <f aca="false">IF(A413="","",IF(G413&gt;1,"Sim",""))</f>
        <v/>
      </c>
      <c r="I413" s="18" t="str">
        <f aca="false">IF(A413="","",SUMIFS(DECKS!$D$2:$D$1201,DECKS!$B$2:$B$1201,A413))</f>
        <v/>
      </c>
      <c r="J413" s="18" t="str">
        <f aca="false">IF(A413="","",MAX(0,I413-C413))</f>
        <v/>
      </c>
      <c r="K413" s="19" t="str">
        <f aca="false">IF(OR($A413="",INDEX(_LEITURA!$Q$2:$Q$21,1)=0),"",SUMIFS(DECKS!$D$2:$D$1201,DECKS!$A$2:$A$1201,INDEX(_LEITURA!$P$2:$P$21,1),DECKS!$B$2:$B$1201,$A413))</f>
        <v/>
      </c>
      <c r="L413" s="19" t="str">
        <f aca="false">IF(OR($A413="",INDEX(_LEITURA!$Q$2:$Q$21,2)=0),"",SUMIFS(DECKS!$D$2:$D$1201,DECKS!$A$2:$A$1201,INDEX(_LEITURA!$P$2:$P$21,2),DECKS!$B$2:$B$1201,$A413))</f>
        <v/>
      </c>
      <c r="M413" s="19" t="str">
        <f aca="false">IF(OR($A413="",INDEX(_LEITURA!$Q$2:$Q$21,3)=0),"",SUMIFS(DECKS!$D$2:$D$1201,DECKS!$A$2:$A$1201,INDEX(_LEITURA!$P$2:$P$21,3),DECKS!$B$2:$B$1201,$A413))</f>
        <v/>
      </c>
      <c r="N413" s="19" t="str">
        <f aca="false">IF(OR($A413="",INDEX(_LEITURA!$Q$2:$Q$21,4)=0),"",SUMIFS(DECKS!$D$2:$D$1201,DECKS!$A$2:$A$1201,INDEX(_LEITURA!$P$2:$P$21,4),DECKS!$B$2:$B$1201,$A413))</f>
        <v/>
      </c>
      <c r="O413" s="19" t="str">
        <f aca="false">IF(OR($A413="",INDEX(_LEITURA!$Q$2:$Q$21,5)=0),"",SUMIFS(DECKS!$D$2:$D$1201,DECKS!$A$2:$A$1201,INDEX(_LEITURA!$P$2:$P$21,5),DECKS!$B$2:$B$1201,$A413))</f>
        <v/>
      </c>
      <c r="P413" s="19" t="str">
        <f aca="false">IF(OR($A413="",INDEX(_LEITURA!$Q$2:$Q$21,6)=0),"",SUMIFS(DECKS!$D$2:$D$1201,DECKS!$A$2:$A$1201,INDEX(_LEITURA!$P$2:$P$21,6),DECKS!$B$2:$B$1201,$A413))</f>
        <v/>
      </c>
      <c r="Q413" s="19" t="str">
        <f aca="false">IF(OR($A413="",INDEX(_LEITURA!$Q$2:$Q$21,7)=0),"",SUMIFS(DECKS!$D$2:$D$1201,DECKS!$A$2:$A$1201,INDEX(_LEITURA!$P$2:$P$21,7),DECKS!$B$2:$B$1201,$A413))</f>
        <v/>
      </c>
      <c r="R413" s="19" t="str">
        <f aca="false">IF(OR($A413="",INDEX(_LEITURA!$Q$2:$Q$21,8)=0),"",SUMIFS(DECKS!$D$2:$D$1201,DECKS!$A$2:$A$1201,INDEX(_LEITURA!$P$2:$P$21,8),DECKS!$B$2:$B$1201,$A413))</f>
        <v/>
      </c>
      <c r="S413" s="19" t="str">
        <f aca="false">IF(OR($A413="",INDEX(_LEITURA!$Q$2:$Q$21,9)=0),"",SUMIFS(DECKS!$D$2:$D$1201,DECKS!$A$2:$A$1201,INDEX(_LEITURA!$P$2:$P$21,9),DECKS!$B$2:$B$1201,$A413))</f>
        <v/>
      </c>
      <c r="T413" s="19" t="str">
        <f aca="false">IF(OR($A413="",INDEX(_LEITURA!$Q$2:$Q$21,10)=0),"",SUMIFS(DECKS!$D$2:$D$1201,DECKS!$A$2:$A$1201,INDEX(_LEITURA!$P$2:$P$21,10),DECKS!$B$2:$B$1201,$A413))</f>
        <v/>
      </c>
      <c r="U413" s="19" t="str">
        <f aca="false">IF(OR($A413="",INDEX(_LEITURA!$Q$2:$Q$21,11)=0),"",SUMIFS(DECKS!$D$2:$D$1201,DECKS!$A$2:$A$1201,INDEX(_LEITURA!$P$2:$P$21,11),DECKS!$B$2:$B$1201,$A413))</f>
        <v/>
      </c>
      <c r="V413" s="19" t="str">
        <f aca="false">IF(OR($A413="",INDEX(_LEITURA!$Q$2:$Q$21,12)=0),"",SUMIFS(DECKS!$D$2:$D$1201,DECKS!$A$2:$A$1201,INDEX(_LEITURA!$P$2:$P$21,12),DECKS!$B$2:$B$1201,$A413))</f>
        <v/>
      </c>
      <c r="W413" s="19" t="str">
        <f aca="false">IF(OR($A413="",INDEX(_LEITURA!$Q$2:$Q$21,13)=0),"",SUMIFS(DECKS!$D$2:$D$1201,DECKS!$A$2:$A$1201,INDEX(_LEITURA!$P$2:$P$21,13),DECKS!$B$2:$B$1201,$A413))</f>
        <v/>
      </c>
      <c r="X413" s="19" t="str">
        <f aca="false">IF(OR($A413="",INDEX(_LEITURA!$Q$2:$Q$21,14)=0),"",SUMIFS(DECKS!$D$2:$D$1201,DECKS!$A$2:$A$1201,INDEX(_LEITURA!$P$2:$P$21,14),DECKS!$B$2:$B$1201,$A413))</f>
        <v/>
      </c>
      <c r="Y413" s="19" t="str">
        <f aca="false">IF(OR($A413="",INDEX(_LEITURA!$Q$2:$Q$21,15)=0),"",SUMIFS(DECKS!$D$2:$D$1201,DECKS!$A$2:$A$1201,INDEX(_LEITURA!$P$2:$P$21,15),DECKS!$B$2:$B$1201,$A413))</f>
        <v/>
      </c>
      <c r="Z413" s="19" t="str">
        <f aca="false">IF(OR($A413="",INDEX(_LEITURA!$Q$2:$Q$21,16)=0),"",SUMIFS(DECKS!$D$2:$D$1201,DECKS!$A$2:$A$1201,INDEX(_LEITURA!$P$2:$P$21,16),DECKS!$B$2:$B$1201,$A413))</f>
        <v/>
      </c>
      <c r="AA413" s="19" t="str">
        <f aca="false">IF(OR($A413="",INDEX(_LEITURA!$Q$2:$Q$21,17)=0),"",SUMIFS(DECKS!$D$2:$D$1201,DECKS!$A$2:$A$1201,INDEX(_LEITURA!$P$2:$P$21,17),DECKS!$B$2:$B$1201,$A413))</f>
        <v/>
      </c>
      <c r="AB413" s="19" t="str">
        <f aca="false">IF(OR($A413="",INDEX(_LEITURA!$Q$2:$Q$21,18)=0),"",SUMIFS(DECKS!$D$2:$D$1201,DECKS!$A$2:$A$1201,INDEX(_LEITURA!$P$2:$P$21,18),DECKS!$B$2:$B$1201,$A413))</f>
        <v/>
      </c>
      <c r="AC413" s="19" t="str">
        <f aca="false">IF(OR($A413="",INDEX(_LEITURA!$Q$2:$Q$21,19)=0),"",SUMIFS(DECKS!$D$2:$D$1201,DECKS!$A$2:$A$1201,INDEX(_LEITURA!$P$2:$P$21,19),DECKS!$B$2:$B$1201,$A413))</f>
        <v/>
      </c>
      <c r="AD413" s="19" t="str">
        <f aca="false">IF(OR($A413="",INDEX(_LEITURA!$Q$2:$Q$21,20)=0),"",SUMIFS(DECKS!$D$2:$D$1201,DECKS!$A$2:$A$1201,INDEX(_LEITURA!$P$2:$P$21,20),DECKS!$B$2:$B$1201,$A413))</f>
        <v/>
      </c>
      <c r="AE413" s="16" t="str">
        <f aca="false">IF(N(E413)&gt;0,MAX(AE$1:AE412)+1,"")</f>
        <v/>
      </c>
      <c r="AF413" s="11" t="str">
        <f aca="false">IF(A413="","",IFERROR(LEFT(A413,FIND("-",A413)-1),A413))</f>
        <v/>
      </c>
      <c r="AG413" s="11" t="str">
        <f aca="false">IF(AF413="","",IF(ISNUMBER(--MID(AF413,1,1)),0,IF(ISNUMBER(--MID(AF413,2,1)),1,IF(ISNUMBER(--MID(AF413,3,1)),2,IF(ISNUMBER(--MID(AF413,4,1)),3,MIN(LEN(AF413),4))))))</f>
        <v/>
      </c>
      <c r="AH413" s="11" t="str">
        <f aca="false">IF(A413="","",LEFT(AF413,AG413)&amp;REPT("0",4-AG413)&amp;RIGHT("000"&amp;IFERROR(VALUE(MID(AF413,AG413+1,9)),0),3)&amp;RIGHT("0000"&amp;IFERROR(VALUE(MID(A413,FIND("-",A413)+1,9)),0),4))</f>
        <v/>
      </c>
      <c r="AI413" s="11" t="str">
        <f aca="false">IF(OR(A413="",N(E413)&lt;=0),"",IF('FALTAS GERAL'!$M$1="Código","K"&amp;AH413&amp;RIGHT("00000"&amp;ROW(),5),IF('FALTAS GERAL'!$M$1="Nome","K"&amp;UPPER(SUBSTITUTE(SUBSTITUTE(SUBSTITUTE(B413,"*",""),"?",""),"~",""))&amp;"0"&amp;AH413&amp;RIGHT("00000"&amp;ROW(),5),IF('FALTAS GERAL'!$M$1="Falta (maior primeiro)","K"&amp;RIGHT("0000"&amp;(9999-E413),4)&amp;AH413&amp;RIGHT("00000"&amp;ROW(),5),IF('FALTAS GERAL'!$M$1="Nº de decks (maior primeiro)","K"&amp;RIGHT("00"&amp;(99-N(G413)),2)&amp;AH413&amp;RIGHT("00000"&amp;ROW(),5),"K"&amp;RIGHT("00000"&amp;ROW(),5))))))</f>
        <v/>
      </c>
      <c r="AJ413" s="11" t="str">
        <f aca="false">IF(AI413="","",COUNTIFS($AI$2:$AI$801,"&lt;"&amp;AI413,$E$2:$E$801,"&gt;0")+1)</f>
        <v/>
      </c>
      <c r="AK413" s="11" t="str">
        <f aca="false">IF(OR(A413="",N(E413)&lt;=0),"",COUNTIFS($AH$2:$AH$801,"&lt;"&amp;AH413,$E$2:$E$801,"&gt;0")+COUNTIFS($AH$2:AH413,AH413,$E$2:E413,"&gt;0"))</f>
        <v/>
      </c>
    </row>
    <row r="414" customFormat="false" ht="15" hidden="false" customHeight="false" outlineLevel="0" collapsed="false">
      <c r="A414" s="11" t="str">
        <f aca="false">IF(INVENTÁRIO!A414="","",INVENTÁRIO!A414)</f>
        <v/>
      </c>
      <c r="B414" s="11" t="str">
        <f aca="false">IF(A414="","",INVENTÁRIO!B414)</f>
        <v/>
      </c>
      <c r="C414" s="16" t="str">
        <f aca="false">IF(A414="","",INVENTÁRIO!C414)</f>
        <v/>
      </c>
      <c r="D414" s="14" t="str">
        <f aca="false">IF(A414="","",MAX(K414:AD414))</f>
        <v/>
      </c>
      <c r="E414" s="14" t="str">
        <f aca="false">IF(A414="","",MAX(0,D414-C414))</f>
        <v/>
      </c>
      <c r="F414" s="16" t="str">
        <f aca="false">IF(A414="","",IF(D414=0,"Fora dos decks",IF(E414=0,"Completo","Falta")))</f>
        <v/>
      </c>
      <c r="G414" s="16" t="str">
        <f aca="false">IF(A414="","",COUNTIF(K414:AD414,"&gt;0"))</f>
        <v/>
      </c>
      <c r="H414" s="16" t="str">
        <f aca="false">IF(A414="","",IF(G414&gt;1,"Sim",""))</f>
        <v/>
      </c>
      <c r="I414" s="18" t="str">
        <f aca="false">IF(A414="","",SUMIFS(DECKS!$D$2:$D$1201,DECKS!$B$2:$B$1201,A414))</f>
        <v/>
      </c>
      <c r="J414" s="18" t="str">
        <f aca="false">IF(A414="","",MAX(0,I414-C414))</f>
        <v/>
      </c>
      <c r="K414" s="19" t="str">
        <f aca="false">IF(OR($A414="",INDEX(_LEITURA!$Q$2:$Q$21,1)=0),"",SUMIFS(DECKS!$D$2:$D$1201,DECKS!$A$2:$A$1201,INDEX(_LEITURA!$P$2:$P$21,1),DECKS!$B$2:$B$1201,$A414))</f>
        <v/>
      </c>
      <c r="L414" s="19" t="str">
        <f aca="false">IF(OR($A414="",INDEX(_LEITURA!$Q$2:$Q$21,2)=0),"",SUMIFS(DECKS!$D$2:$D$1201,DECKS!$A$2:$A$1201,INDEX(_LEITURA!$P$2:$P$21,2),DECKS!$B$2:$B$1201,$A414))</f>
        <v/>
      </c>
      <c r="M414" s="19" t="str">
        <f aca="false">IF(OR($A414="",INDEX(_LEITURA!$Q$2:$Q$21,3)=0),"",SUMIFS(DECKS!$D$2:$D$1201,DECKS!$A$2:$A$1201,INDEX(_LEITURA!$P$2:$P$21,3),DECKS!$B$2:$B$1201,$A414))</f>
        <v/>
      </c>
      <c r="N414" s="19" t="str">
        <f aca="false">IF(OR($A414="",INDEX(_LEITURA!$Q$2:$Q$21,4)=0),"",SUMIFS(DECKS!$D$2:$D$1201,DECKS!$A$2:$A$1201,INDEX(_LEITURA!$P$2:$P$21,4),DECKS!$B$2:$B$1201,$A414))</f>
        <v/>
      </c>
      <c r="O414" s="19" t="str">
        <f aca="false">IF(OR($A414="",INDEX(_LEITURA!$Q$2:$Q$21,5)=0),"",SUMIFS(DECKS!$D$2:$D$1201,DECKS!$A$2:$A$1201,INDEX(_LEITURA!$P$2:$P$21,5),DECKS!$B$2:$B$1201,$A414))</f>
        <v/>
      </c>
      <c r="P414" s="19" t="str">
        <f aca="false">IF(OR($A414="",INDEX(_LEITURA!$Q$2:$Q$21,6)=0),"",SUMIFS(DECKS!$D$2:$D$1201,DECKS!$A$2:$A$1201,INDEX(_LEITURA!$P$2:$P$21,6),DECKS!$B$2:$B$1201,$A414))</f>
        <v/>
      </c>
      <c r="Q414" s="19" t="str">
        <f aca="false">IF(OR($A414="",INDEX(_LEITURA!$Q$2:$Q$21,7)=0),"",SUMIFS(DECKS!$D$2:$D$1201,DECKS!$A$2:$A$1201,INDEX(_LEITURA!$P$2:$P$21,7),DECKS!$B$2:$B$1201,$A414))</f>
        <v/>
      </c>
      <c r="R414" s="19" t="str">
        <f aca="false">IF(OR($A414="",INDEX(_LEITURA!$Q$2:$Q$21,8)=0),"",SUMIFS(DECKS!$D$2:$D$1201,DECKS!$A$2:$A$1201,INDEX(_LEITURA!$P$2:$P$21,8),DECKS!$B$2:$B$1201,$A414))</f>
        <v/>
      </c>
      <c r="S414" s="19" t="str">
        <f aca="false">IF(OR($A414="",INDEX(_LEITURA!$Q$2:$Q$21,9)=0),"",SUMIFS(DECKS!$D$2:$D$1201,DECKS!$A$2:$A$1201,INDEX(_LEITURA!$P$2:$P$21,9),DECKS!$B$2:$B$1201,$A414))</f>
        <v/>
      </c>
      <c r="T414" s="19" t="str">
        <f aca="false">IF(OR($A414="",INDEX(_LEITURA!$Q$2:$Q$21,10)=0),"",SUMIFS(DECKS!$D$2:$D$1201,DECKS!$A$2:$A$1201,INDEX(_LEITURA!$P$2:$P$21,10),DECKS!$B$2:$B$1201,$A414))</f>
        <v/>
      </c>
      <c r="U414" s="19" t="str">
        <f aca="false">IF(OR($A414="",INDEX(_LEITURA!$Q$2:$Q$21,11)=0),"",SUMIFS(DECKS!$D$2:$D$1201,DECKS!$A$2:$A$1201,INDEX(_LEITURA!$P$2:$P$21,11),DECKS!$B$2:$B$1201,$A414))</f>
        <v/>
      </c>
      <c r="V414" s="19" t="str">
        <f aca="false">IF(OR($A414="",INDEX(_LEITURA!$Q$2:$Q$21,12)=0),"",SUMIFS(DECKS!$D$2:$D$1201,DECKS!$A$2:$A$1201,INDEX(_LEITURA!$P$2:$P$21,12),DECKS!$B$2:$B$1201,$A414))</f>
        <v/>
      </c>
      <c r="W414" s="19" t="str">
        <f aca="false">IF(OR($A414="",INDEX(_LEITURA!$Q$2:$Q$21,13)=0),"",SUMIFS(DECKS!$D$2:$D$1201,DECKS!$A$2:$A$1201,INDEX(_LEITURA!$P$2:$P$21,13),DECKS!$B$2:$B$1201,$A414))</f>
        <v/>
      </c>
      <c r="X414" s="19" t="str">
        <f aca="false">IF(OR($A414="",INDEX(_LEITURA!$Q$2:$Q$21,14)=0),"",SUMIFS(DECKS!$D$2:$D$1201,DECKS!$A$2:$A$1201,INDEX(_LEITURA!$P$2:$P$21,14),DECKS!$B$2:$B$1201,$A414))</f>
        <v/>
      </c>
      <c r="Y414" s="19" t="str">
        <f aca="false">IF(OR($A414="",INDEX(_LEITURA!$Q$2:$Q$21,15)=0),"",SUMIFS(DECKS!$D$2:$D$1201,DECKS!$A$2:$A$1201,INDEX(_LEITURA!$P$2:$P$21,15),DECKS!$B$2:$B$1201,$A414))</f>
        <v/>
      </c>
      <c r="Z414" s="19" t="str">
        <f aca="false">IF(OR($A414="",INDEX(_LEITURA!$Q$2:$Q$21,16)=0),"",SUMIFS(DECKS!$D$2:$D$1201,DECKS!$A$2:$A$1201,INDEX(_LEITURA!$P$2:$P$21,16),DECKS!$B$2:$B$1201,$A414))</f>
        <v/>
      </c>
      <c r="AA414" s="19" t="str">
        <f aca="false">IF(OR($A414="",INDEX(_LEITURA!$Q$2:$Q$21,17)=0),"",SUMIFS(DECKS!$D$2:$D$1201,DECKS!$A$2:$A$1201,INDEX(_LEITURA!$P$2:$P$21,17),DECKS!$B$2:$B$1201,$A414))</f>
        <v/>
      </c>
      <c r="AB414" s="19" t="str">
        <f aca="false">IF(OR($A414="",INDEX(_LEITURA!$Q$2:$Q$21,18)=0),"",SUMIFS(DECKS!$D$2:$D$1201,DECKS!$A$2:$A$1201,INDEX(_LEITURA!$P$2:$P$21,18),DECKS!$B$2:$B$1201,$A414))</f>
        <v/>
      </c>
      <c r="AC414" s="19" t="str">
        <f aca="false">IF(OR($A414="",INDEX(_LEITURA!$Q$2:$Q$21,19)=0),"",SUMIFS(DECKS!$D$2:$D$1201,DECKS!$A$2:$A$1201,INDEX(_LEITURA!$P$2:$P$21,19),DECKS!$B$2:$B$1201,$A414))</f>
        <v/>
      </c>
      <c r="AD414" s="19" t="str">
        <f aca="false">IF(OR($A414="",INDEX(_LEITURA!$Q$2:$Q$21,20)=0),"",SUMIFS(DECKS!$D$2:$D$1201,DECKS!$A$2:$A$1201,INDEX(_LEITURA!$P$2:$P$21,20),DECKS!$B$2:$B$1201,$A414))</f>
        <v/>
      </c>
      <c r="AE414" s="16" t="str">
        <f aca="false">IF(N(E414)&gt;0,MAX(AE$1:AE413)+1,"")</f>
        <v/>
      </c>
      <c r="AF414" s="11" t="str">
        <f aca="false">IF(A414="","",IFERROR(LEFT(A414,FIND("-",A414)-1),A414))</f>
        <v/>
      </c>
      <c r="AG414" s="11" t="str">
        <f aca="false">IF(AF414="","",IF(ISNUMBER(--MID(AF414,1,1)),0,IF(ISNUMBER(--MID(AF414,2,1)),1,IF(ISNUMBER(--MID(AF414,3,1)),2,IF(ISNUMBER(--MID(AF414,4,1)),3,MIN(LEN(AF414),4))))))</f>
        <v/>
      </c>
      <c r="AH414" s="11" t="str">
        <f aca="false">IF(A414="","",LEFT(AF414,AG414)&amp;REPT("0",4-AG414)&amp;RIGHT("000"&amp;IFERROR(VALUE(MID(AF414,AG414+1,9)),0),3)&amp;RIGHT("0000"&amp;IFERROR(VALUE(MID(A414,FIND("-",A414)+1,9)),0),4))</f>
        <v/>
      </c>
      <c r="AI414" s="11" t="str">
        <f aca="false">IF(OR(A414="",N(E414)&lt;=0),"",IF('FALTAS GERAL'!$M$1="Código","K"&amp;AH414&amp;RIGHT("00000"&amp;ROW(),5),IF('FALTAS GERAL'!$M$1="Nome","K"&amp;UPPER(SUBSTITUTE(SUBSTITUTE(SUBSTITUTE(B414,"*",""),"?",""),"~",""))&amp;"0"&amp;AH414&amp;RIGHT("00000"&amp;ROW(),5),IF('FALTAS GERAL'!$M$1="Falta (maior primeiro)","K"&amp;RIGHT("0000"&amp;(9999-E414),4)&amp;AH414&amp;RIGHT("00000"&amp;ROW(),5),IF('FALTAS GERAL'!$M$1="Nº de decks (maior primeiro)","K"&amp;RIGHT("00"&amp;(99-N(G414)),2)&amp;AH414&amp;RIGHT("00000"&amp;ROW(),5),"K"&amp;RIGHT("00000"&amp;ROW(),5))))))</f>
        <v/>
      </c>
      <c r="AJ414" s="11" t="str">
        <f aca="false">IF(AI414="","",COUNTIFS($AI$2:$AI$801,"&lt;"&amp;AI414,$E$2:$E$801,"&gt;0")+1)</f>
        <v/>
      </c>
      <c r="AK414" s="11" t="str">
        <f aca="false">IF(OR(A414="",N(E414)&lt;=0),"",COUNTIFS($AH$2:$AH$801,"&lt;"&amp;AH414,$E$2:$E$801,"&gt;0")+COUNTIFS($AH$2:AH414,AH414,$E$2:E414,"&gt;0"))</f>
        <v/>
      </c>
    </row>
    <row r="415" customFormat="false" ht="15" hidden="false" customHeight="false" outlineLevel="0" collapsed="false">
      <c r="A415" s="11" t="str">
        <f aca="false">IF(INVENTÁRIO!A415="","",INVENTÁRIO!A415)</f>
        <v/>
      </c>
      <c r="B415" s="11" t="str">
        <f aca="false">IF(A415="","",INVENTÁRIO!B415)</f>
        <v/>
      </c>
      <c r="C415" s="16" t="str">
        <f aca="false">IF(A415="","",INVENTÁRIO!C415)</f>
        <v/>
      </c>
      <c r="D415" s="14" t="str">
        <f aca="false">IF(A415="","",MAX(K415:AD415))</f>
        <v/>
      </c>
      <c r="E415" s="14" t="str">
        <f aca="false">IF(A415="","",MAX(0,D415-C415))</f>
        <v/>
      </c>
      <c r="F415" s="16" t="str">
        <f aca="false">IF(A415="","",IF(D415=0,"Fora dos decks",IF(E415=0,"Completo","Falta")))</f>
        <v/>
      </c>
      <c r="G415" s="16" t="str">
        <f aca="false">IF(A415="","",COUNTIF(K415:AD415,"&gt;0"))</f>
        <v/>
      </c>
      <c r="H415" s="16" t="str">
        <f aca="false">IF(A415="","",IF(G415&gt;1,"Sim",""))</f>
        <v/>
      </c>
      <c r="I415" s="18" t="str">
        <f aca="false">IF(A415="","",SUMIFS(DECKS!$D$2:$D$1201,DECKS!$B$2:$B$1201,A415))</f>
        <v/>
      </c>
      <c r="J415" s="18" t="str">
        <f aca="false">IF(A415="","",MAX(0,I415-C415))</f>
        <v/>
      </c>
      <c r="K415" s="19" t="str">
        <f aca="false">IF(OR($A415="",INDEX(_LEITURA!$Q$2:$Q$21,1)=0),"",SUMIFS(DECKS!$D$2:$D$1201,DECKS!$A$2:$A$1201,INDEX(_LEITURA!$P$2:$P$21,1),DECKS!$B$2:$B$1201,$A415))</f>
        <v/>
      </c>
      <c r="L415" s="19" t="str">
        <f aca="false">IF(OR($A415="",INDEX(_LEITURA!$Q$2:$Q$21,2)=0),"",SUMIFS(DECKS!$D$2:$D$1201,DECKS!$A$2:$A$1201,INDEX(_LEITURA!$P$2:$P$21,2),DECKS!$B$2:$B$1201,$A415))</f>
        <v/>
      </c>
      <c r="M415" s="19" t="str">
        <f aca="false">IF(OR($A415="",INDEX(_LEITURA!$Q$2:$Q$21,3)=0),"",SUMIFS(DECKS!$D$2:$D$1201,DECKS!$A$2:$A$1201,INDEX(_LEITURA!$P$2:$P$21,3),DECKS!$B$2:$B$1201,$A415))</f>
        <v/>
      </c>
      <c r="N415" s="19" t="str">
        <f aca="false">IF(OR($A415="",INDEX(_LEITURA!$Q$2:$Q$21,4)=0),"",SUMIFS(DECKS!$D$2:$D$1201,DECKS!$A$2:$A$1201,INDEX(_LEITURA!$P$2:$P$21,4),DECKS!$B$2:$B$1201,$A415))</f>
        <v/>
      </c>
      <c r="O415" s="19" t="str">
        <f aca="false">IF(OR($A415="",INDEX(_LEITURA!$Q$2:$Q$21,5)=0),"",SUMIFS(DECKS!$D$2:$D$1201,DECKS!$A$2:$A$1201,INDEX(_LEITURA!$P$2:$P$21,5),DECKS!$B$2:$B$1201,$A415))</f>
        <v/>
      </c>
      <c r="P415" s="19" t="str">
        <f aca="false">IF(OR($A415="",INDEX(_LEITURA!$Q$2:$Q$21,6)=0),"",SUMIFS(DECKS!$D$2:$D$1201,DECKS!$A$2:$A$1201,INDEX(_LEITURA!$P$2:$P$21,6),DECKS!$B$2:$B$1201,$A415))</f>
        <v/>
      </c>
      <c r="Q415" s="19" t="str">
        <f aca="false">IF(OR($A415="",INDEX(_LEITURA!$Q$2:$Q$21,7)=0),"",SUMIFS(DECKS!$D$2:$D$1201,DECKS!$A$2:$A$1201,INDEX(_LEITURA!$P$2:$P$21,7),DECKS!$B$2:$B$1201,$A415))</f>
        <v/>
      </c>
      <c r="R415" s="19" t="str">
        <f aca="false">IF(OR($A415="",INDEX(_LEITURA!$Q$2:$Q$21,8)=0),"",SUMIFS(DECKS!$D$2:$D$1201,DECKS!$A$2:$A$1201,INDEX(_LEITURA!$P$2:$P$21,8),DECKS!$B$2:$B$1201,$A415))</f>
        <v/>
      </c>
      <c r="S415" s="19" t="str">
        <f aca="false">IF(OR($A415="",INDEX(_LEITURA!$Q$2:$Q$21,9)=0),"",SUMIFS(DECKS!$D$2:$D$1201,DECKS!$A$2:$A$1201,INDEX(_LEITURA!$P$2:$P$21,9),DECKS!$B$2:$B$1201,$A415))</f>
        <v/>
      </c>
      <c r="T415" s="19" t="str">
        <f aca="false">IF(OR($A415="",INDEX(_LEITURA!$Q$2:$Q$21,10)=0),"",SUMIFS(DECKS!$D$2:$D$1201,DECKS!$A$2:$A$1201,INDEX(_LEITURA!$P$2:$P$21,10),DECKS!$B$2:$B$1201,$A415))</f>
        <v/>
      </c>
      <c r="U415" s="19" t="str">
        <f aca="false">IF(OR($A415="",INDEX(_LEITURA!$Q$2:$Q$21,11)=0),"",SUMIFS(DECKS!$D$2:$D$1201,DECKS!$A$2:$A$1201,INDEX(_LEITURA!$P$2:$P$21,11),DECKS!$B$2:$B$1201,$A415))</f>
        <v/>
      </c>
      <c r="V415" s="19" t="str">
        <f aca="false">IF(OR($A415="",INDEX(_LEITURA!$Q$2:$Q$21,12)=0),"",SUMIFS(DECKS!$D$2:$D$1201,DECKS!$A$2:$A$1201,INDEX(_LEITURA!$P$2:$P$21,12),DECKS!$B$2:$B$1201,$A415))</f>
        <v/>
      </c>
      <c r="W415" s="19" t="str">
        <f aca="false">IF(OR($A415="",INDEX(_LEITURA!$Q$2:$Q$21,13)=0),"",SUMIFS(DECKS!$D$2:$D$1201,DECKS!$A$2:$A$1201,INDEX(_LEITURA!$P$2:$P$21,13),DECKS!$B$2:$B$1201,$A415))</f>
        <v/>
      </c>
      <c r="X415" s="19" t="str">
        <f aca="false">IF(OR($A415="",INDEX(_LEITURA!$Q$2:$Q$21,14)=0),"",SUMIFS(DECKS!$D$2:$D$1201,DECKS!$A$2:$A$1201,INDEX(_LEITURA!$P$2:$P$21,14),DECKS!$B$2:$B$1201,$A415))</f>
        <v/>
      </c>
      <c r="Y415" s="19" t="str">
        <f aca="false">IF(OR($A415="",INDEX(_LEITURA!$Q$2:$Q$21,15)=0),"",SUMIFS(DECKS!$D$2:$D$1201,DECKS!$A$2:$A$1201,INDEX(_LEITURA!$P$2:$P$21,15),DECKS!$B$2:$B$1201,$A415))</f>
        <v/>
      </c>
      <c r="Z415" s="19" t="str">
        <f aca="false">IF(OR($A415="",INDEX(_LEITURA!$Q$2:$Q$21,16)=0),"",SUMIFS(DECKS!$D$2:$D$1201,DECKS!$A$2:$A$1201,INDEX(_LEITURA!$P$2:$P$21,16),DECKS!$B$2:$B$1201,$A415))</f>
        <v/>
      </c>
      <c r="AA415" s="19" t="str">
        <f aca="false">IF(OR($A415="",INDEX(_LEITURA!$Q$2:$Q$21,17)=0),"",SUMIFS(DECKS!$D$2:$D$1201,DECKS!$A$2:$A$1201,INDEX(_LEITURA!$P$2:$P$21,17),DECKS!$B$2:$B$1201,$A415))</f>
        <v/>
      </c>
      <c r="AB415" s="19" t="str">
        <f aca="false">IF(OR($A415="",INDEX(_LEITURA!$Q$2:$Q$21,18)=0),"",SUMIFS(DECKS!$D$2:$D$1201,DECKS!$A$2:$A$1201,INDEX(_LEITURA!$P$2:$P$21,18),DECKS!$B$2:$B$1201,$A415))</f>
        <v/>
      </c>
      <c r="AC415" s="19" t="str">
        <f aca="false">IF(OR($A415="",INDEX(_LEITURA!$Q$2:$Q$21,19)=0),"",SUMIFS(DECKS!$D$2:$D$1201,DECKS!$A$2:$A$1201,INDEX(_LEITURA!$P$2:$P$21,19),DECKS!$B$2:$B$1201,$A415))</f>
        <v/>
      </c>
      <c r="AD415" s="19" t="str">
        <f aca="false">IF(OR($A415="",INDEX(_LEITURA!$Q$2:$Q$21,20)=0),"",SUMIFS(DECKS!$D$2:$D$1201,DECKS!$A$2:$A$1201,INDEX(_LEITURA!$P$2:$P$21,20),DECKS!$B$2:$B$1201,$A415))</f>
        <v/>
      </c>
      <c r="AE415" s="16" t="str">
        <f aca="false">IF(N(E415)&gt;0,MAX(AE$1:AE414)+1,"")</f>
        <v/>
      </c>
      <c r="AF415" s="11" t="str">
        <f aca="false">IF(A415="","",IFERROR(LEFT(A415,FIND("-",A415)-1),A415))</f>
        <v/>
      </c>
      <c r="AG415" s="11" t="str">
        <f aca="false">IF(AF415="","",IF(ISNUMBER(--MID(AF415,1,1)),0,IF(ISNUMBER(--MID(AF415,2,1)),1,IF(ISNUMBER(--MID(AF415,3,1)),2,IF(ISNUMBER(--MID(AF415,4,1)),3,MIN(LEN(AF415),4))))))</f>
        <v/>
      </c>
      <c r="AH415" s="11" t="str">
        <f aca="false">IF(A415="","",LEFT(AF415,AG415)&amp;REPT("0",4-AG415)&amp;RIGHT("000"&amp;IFERROR(VALUE(MID(AF415,AG415+1,9)),0),3)&amp;RIGHT("0000"&amp;IFERROR(VALUE(MID(A415,FIND("-",A415)+1,9)),0),4))</f>
        <v/>
      </c>
      <c r="AI415" s="11" t="str">
        <f aca="false">IF(OR(A415="",N(E415)&lt;=0),"",IF('FALTAS GERAL'!$M$1="Código","K"&amp;AH415&amp;RIGHT("00000"&amp;ROW(),5),IF('FALTAS GERAL'!$M$1="Nome","K"&amp;UPPER(SUBSTITUTE(SUBSTITUTE(SUBSTITUTE(B415,"*",""),"?",""),"~",""))&amp;"0"&amp;AH415&amp;RIGHT("00000"&amp;ROW(),5),IF('FALTAS GERAL'!$M$1="Falta (maior primeiro)","K"&amp;RIGHT("0000"&amp;(9999-E415),4)&amp;AH415&amp;RIGHT("00000"&amp;ROW(),5),IF('FALTAS GERAL'!$M$1="Nº de decks (maior primeiro)","K"&amp;RIGHT("00"&amp;(99-N(G415)),2)&amp;AH415&amp;RIGHT("00000"&amp;ROW(),5),"K"&amp;RIGHT("00000"&amp;ROW(),5))))))</f>
        <v/>
      </c>
      <c r="AJ415" s="11" t="str">
        <f aca="false">IF(AI415="","",COUNTIFS($AI$2:$AI$801,"&lt;"&amp;AI415,$E$2:$E$801,"&gt;0")+1)</f>
        <v/>
      </c>
      <c r="AK415" s="11" t="str">
        <f aca="false">IF(OR(A415="",N(E415)&lt;=0),"",COUNTIFS($AH$2:$AH$801,"&lt;"&amp;AH415,$E$2:$E$801,"&gt;0")+COUNTIFS($AH$2:AH415,AH415,$E$2:E415,"&gt;0"))</f>
        <v/>
      </c>
    </row>
    <row r="416" customFormat="false" ht="15" hidden="false" customHeight="false" outlineLevel="0" collapsed="false">
      <c r="A416" s="11" t="str">
        <f aca="false">IF(INVENTÁRIO!A416="","",INVENTÁRIO!A416)</f>
        <v/>
      </c>
      <c r="B416" s="11" t="str">
        <f aca="false">IF(A416="","",INVENTÁRIO!B416)</f>
        <v/>
      </c>
      <c r="C416" s="16" t="str">
        <f aca="false">IF(A416="","",INVENTÁRIO!C416)</f>
        <v/>
      </c>
      <c r="D416" s="14" t="str">
        <f aca="false">IF(A416="","",MAX(K416:AD416))</f>
        <v/>
      </c>
      <c r="E416" s="14" t="str">
        <f aca="false">IF(A416="","",MAX(0,D416-C416))</f>
        <v/>
      </c>
      <c r="F416" s="16" t="str">
        <f aca="false">IF(A416="","",IF(D416=0,"Fora dos decks",IF(E416=0,"Completo","Falta")))</f>
        <v/>
      </c>
      <c r="G416" s="16" t="str">
        <f aca="false">IF(A416="","",COUNTIF(K416:AD416,"&gt;0"))</f>
        <v/>
      </c>
      <c r="H416" s="16" t="str">
        <f aca="false">IF(A416="","",IF(G416&gt;1,"Sim",""))</f>
        <v/>
      </c>
      <c r="I416" s="18" t="str">
        <f aca="false">IF(A416="","",SUMIFS(DECKS!$D$2:$D$1201,DECKS!$B$2:$B$1201,A416))</f>
        <v/>
      </c>
      <c r="J416" s="18" t="str">
        <f aca="false">IF(A416="","",MAX(0,I416-C416))</f>
        <v/>
      </c>
      <c r="K416" s="19" t="str">
        <f aca="false">IF(OR($A416="",INDEX(_LEITURA!$Q$2:$Q$21,1)=0),"",SUMIFS(DECKS!$D$2:$D$1201,DECKS!$A$2:$A$1201,INDEX(_LEITURA!$P$2:$P$21,1),DECKS!$B$2:$B$1201,$A416))</f>
        <v/>
      </c>
      <c r="L416" s="19" t="str">
        <f aca="false">IF(OR($A416="",INDEX(_LEITURA!$Q$2:$Q$21,2)=0),"",SUMIFS(DECKS!$D$2:$D$1201,DECKS!$A$2:$A$1201,INDEX(_LEITURA!$P$2:$P$21,2),DECKS!$B$2:$B$1201,$A416))</f>
        <v/>
      </c>
      <c r="M416" s="19" t="str">
        <f aca="false">IF(OR($A416="",INDEX(_LEITURA!$Q$2:$Q$21,3)=0),"",SUMIFS(DECKS!$D$2:$D$1201,DECKS!$A$2:$A$1201,INDEX(_LEITURA!$P$2:$P$21,3),DECKS!$B$2:$B$1201,$A416))</f>
        <v/>
      </c>
      <c r="N416" s="19" t="str">
        <f aca="false">IF(OR($A416="",INDEX(_LEITURA!$Q$2:$Q$21,4)=0),"",SUMIFS(DECKS!$D$2:$D$1201,DECKS!$A$2:$A$1201,INDEX(_LEITURA!$P$2:$P$21,4),DECKS!$B$2:$B$1201,$A416))</f>
        <v/>
      </c>
      <c r="O416" s="19" t="str">
        <f aca="false">IF(OR($A416="",INDEX(_LEITURA!$Q$2:$Q$21,5)=0),"",SUMIFS(DECKS!$D$2:$D$1201,DECKS!$A$2:$A$1201,INDEX(_LEITURA!$P$2:$P$21,5),DECKS!$B$2:$B$1201,$A416))</f>
        <v/>
      </c>
      <c r="P416" s="19" t="str">
        <f aca="false">IF(OR($A416="",INDEX(_LEITURA!$Q$2:$Q$21,6)=0),"",SUMIFS(DECKS!$D$2:$D$1201,DECKS!$A$2:$A$1201,INDEX(_LEITURA!$P$2:$P$21,6),DECKS!$B$2:$B$1201,$A416))</f>
        <v/>
      </c>
      <c r="Q416" s="19" t="str">
        <f aca="false">IF(OR($A416="",INDEX(_LEITURA!$Q$2:$Q$21,7)=0),"",SUMIFS(DECKS!$D$2:$D$1201,DECKS!$A$2:$A$1201,INDEX(_LEITURA!$P$2:$P$21,7),DECKS!$B$2:$B$1201,$A416))</f>
        <v/>
      </c>
      <c r="R416" s="19" t="str">
        <f aca="false">IF(OR($A416="",INDEX(_LEITURA!$Q$2:$Q$21,8)=0),"",SUMIFS(DECKS!$D$2:$D$1201,DECKS!$A$2:$A$1201,INDEX(_LEITURA!$P$2:$P$21,8),DECKS!$B$2:$B$1201,$A416))</f>
        <v/>
      </c>
      <c r="S416" s="19" t="str">
        <f aca="false">IF(OR($A416="",INDEX(_LEITURA!$Q$2:$Q$21,9)=0),"",SUMIFS(DECKS!$D$2:$D$1201,DECKS!$A$2:$A$1201,INDEX(_LEITURA!$P$2:$P$21,9),DECKS!$B$2:$B$1201,$A416))</f>
        <v/>
      </c>
      <c r="T416" s="19" t="str">
        <f aca="false">IF(OR($A416="",INDEX(_LEITURA!$Q$2:$Q$21,10)=0),"",SUMIFS(DECKS!$D$2:$D$1201,DECKS!$A$2:$A$1201,INDEX(_LEITURA!$P$2:$P$21,10),DECKS!$B$2:$B$1201,$A416))</f>
        <v/>
      </c>
      <c r="U416" s="19" t="str">
        <f aca="false">IF(OR($A416="",INDEX(_LEITURA!$Q$2:$Q$21,11)=0),"",SUMIFS(DECKS!$D$2:$D$1201,DECKS!$A$2:$A$1201,INDEX(_LEITURA!$P$2:$P$21,11),DECKS!$B$2:$B$1201,$A416))</f>
        <v/>
      </c>
      <c r="V416" s="19" t="str">
        <f aca="false">IF(OR($A416="",INDEX(_LEITURA!$Q$2:$Q$21,12)=0),"",SUMIFS(DECKS!$D$2:$D$1201,DECKS!$A$2:$A$1201,INDEX(_LEITURA!$P$2:$P$21,12),DECKS!$B$2:$B$1201,$A416))</f>
        <v/>
      </c>
      <c r="W416" s="19" t="str">
        <f aca="false">IF(OR($A416="",INDEX(_LEITURA!$Q$2:$Q$21,13)=0),"",SUMIFS(DECKS!$D$2:$D$1201,DECKS!$A$2:$A$1201,INDEX(_LEITURA!$P$2:$P$21,13),DECKS!$B$2:$B$1201,$A416))</f>
        <v/>
      </c>
      <c r="X416" s="19" t="str">
        <f aca="false">IF(OR($A416="",INDEX(_LEITURA!$Q$2:$Q$21,14)=0),"",SUMIFS(DECKS!$D$2:$D$1201,DECKS!$A$2:$A$1201,INDEX(_LEITURA!$P$2:$P$21,14),DECKS!$B$2:$B$1201,$A416))</f>
        <v/>
      </c>
      <c r="Y416" s="19" t="str">
        <f aca="false">IF(OR($A416="",INDEX(_LEITURA!$Q$2:$Q$21,15)=0),"",SUMIFS(DECKS!$D$2:$D$1201,DECKS!$A$2:$A$1201,INDEX(_LEITURA!$P$2:$P$21,15),DECKS!$B$2:$B$1201,$A416))</f>
        <v/>
      </c>
      <c r="Z416" s="19" t="str">
        <f aca="false">IF(OR($A416="",INDEX(_LEITURA!$Q$2:$Q$21,16)=0),"",SUMIFS(DECKS!$D$2:$D$1201,DECKS!$A$2:$A$1201,INDEX(_LEITURA!$P$2:$P$21,16),DECKS!$B$2:$B$1201,$A416))</f>
        <v/>
      </c>
      <c r="AA416" s="19" t="str">
        <f aca="false">IF(OR($A416="",INDEX(_LEITURA!$Q$2:$Q$21,17)=0),"",SUMIFS(DECKS!$D$2:$D$1201,DECKS!$A$2:$A$1201,INDEX(_LEITURA!$P$2:$P$21,17),DECKS!$B$2:$B$1201,$A416))</f>
        <v/>
      </c>
      <c r="AB416" s="19" t="str">
        <f aca="false">IF(OR($A416="",INDEX(_LEITURA!$Q$2:$Q$21,18)=0),"",SUMIFS(DECKS!$D$2:$D$1201,DECKS!$A$2:$A$1201,INDEX(_LEITURA!$P$2:$P$21,18),DECKS!$B$2:$B$1201,$A416))</f>
        <v/>
      </c>
      <c r="AC416" s="19" t="str">
        <f aca="false">IF(OR($A416="",INDEX(_LEITURA!$Q$2:$Q$21,19)=0),"",SUMIFS(DECKS!$D$2:$D$1201,DECKS!$A$2:$A$1201,INDEX(_LEITURA!$P$2:$P$21,19),DECKS!$B$2:$B$1201,$A416))</f>
        <v/>
      </c>
      <c r="AD416" s="19" t="str">
        <f aca="false">IF(OR($A416="",INDEX(_LEITURA!$Q$2:$Q$21,20)=0),"",SUMIFS(DECKS!$D$2:$D$1201,DECKS!$A$2:$A$1201,INDEX(_LEITURA!$P$2:$P$21,20),DECKS!$B$2:$B$1201,$A416))</f>
        <v/>
      </c>
      <c r="AE416" s="16" t="str">
        <f aca="false">IF(N(E416)&gt;0,MAX(AE$1:AE415)+1,"")</f>
        <v/>
      </c>
      <c r="AF416" s="11" t="str">
        <f aca="false">IF(A416="","",IFERROR(LEFT(A416,FIND("-",A416)-1),A416))</f>
        <v/>
      </c>
      <c r="AG416" s="11" t="str">
        <f aca="false">IF(AF416="","",IF(ISNUMBER(--MID(AF416,1,1)),0,IF(ISNUMBER(--MID(AF416,2,1)),1,IF(ISNUMBER(--MID(AF416,3,1)),2,IF(ISNUMBER(--MID(AF416,4,1)),3,MIN(LEN(AF416),4))))))</f>
        <v/>
      </c>
      <c r="AH416" s="11" t="str">
        <f aca="false">IF(A416="","",LEFT(AF416,AG416)&amp;REPT("0",4-AG416)&amp;RIGHT("000"&amp;IFERROR(VALUE(MID(AF416,AG416+1,9)),0),3)&amp;RIGHT("0000"&amp;IFERROR(VALUE(MID(A416,FIND("-",A416)+1,9)),0),4))</f>
        <v/>
      </c>
      <c r="AI416" s="11" t="str">
        <f aca="false">IF(OR(A416="",N(E416)&lt;=0),"",IF('FALTAS GERAL'!$M$1="Código","K"&amp;AH416&amp;RIGHT("00000"&amp;ROW(),5),IF('FALTAS GERAL'!$M$1="Nome","K"&amp;UPPER(SUBSTITUTE(SUBSTITUTE(SUBSTITUTE(B416,"*",""),"?",""),"~",""))&amp;"0"&amp;AH416&amp;RIGHT("00000"&amp;ROW(),5),IF('FALTAS GERAL'!$M$1="Falta (maior primeiro)","K"&amp;RIGHT("0000"&amp;(9999-E416),4)&amp;AH416&amp;RIGHT("00000"&amp;ROW(),5),IF('FALTAS GERAL'!$M$1="Nº de decks (maior primeiro)","K"&amp;RIGHT("00"&amp;(99-N(G416)),2)&amp;AH416&amp;RIGHT("00000"&amp;ROW(),5),"K"&amp;RIGHT("00000"&amp;ROW(),5))))))</f>
        <v/>
      </c>
      <c r="AJ416" s="11" t="str">
        <f aca="false">IF(AI416="","",COUNTIFS($AI$2:$AI$801,"&lt;"&amp;AI416,$E$2:$E$801,"&gt;0")+1)</f>
        <v/>
      </c>
      <c r="AK416" s="11" t="str">
        <f aca="false">IF(OR(A416="",N(E416)&lt;=0),"",COUNTIFS($AH$2:$AH$801,"&lt;"&amp;AH416,$E$2:$E$801,"&gt;0")+COUNTIFS($AH$2:AH416,AH416,$E$2:E416,"&gt;0"))</f>
        <v/>
      </c>
    </row>
    <row r="417" customFormat="false" ht="15" hidden="false" customHeight="false" outlineLevel="0" collapsed="false">
      <c r="A417" s="11" t="str">
        <f aca="false">IF(INVENTÁRIO!A417="","",INVENTÁRIO!A417)</f>
        <v/>
      </c>
      <c r="B417" s="11" t="str">
        <f aca="false">IF(A417="","",INVENTÁRIO!B417)</f>
        <v/>
      </c>
      <c r="C417" s="16" t="str">
        <f aca="false">IF(A417="","",INVENTÁRIO!C417)</f>
        <v/>
      </c>
      <c r="D417" s="14" t="str">
        <f aca="false">IF(A417="","",MAX(K417:AD417))</f>
        <v/>
      </c>
      <c r="E417" s="14" t="str">
        <f aca="false">IF(A417="","",MAX(0,D417-C417))</f>
        <v/>
      </c>
      <c r="F417" s="16" t="str">
        <f aca="false">IF(A417="","",IF(D417=0,"Fora dos decks",IF(E417=0,"Completo","Falta")))</f>
        <v/>
      </c>
      <c r="G417" s="16" t="str">
        <f aca="false">IF(A417="","",COUNTIF(K417:AD417,"&gt;0"))</f>
        <v/>
      </c>
      <c r="H417" s="16" t="str">
        <f aca="false">IF(A417="","",IF(G417&gt;1,"Sim",""))</f>
        <v/>
      </c>
      <c r="I417" s="18" t="str">
        <f aca="false">IF(A417="","",SUMIFS(DECKS!$D$2:$D$1201,DECKS!$B$2:$B$1201,A417))</f>
        <v/>
      </c>
      <c r="J417" s="18" t="str">
        <f aca="false">IF(A417="","",MAX(0,I417-C417))</f>
        <v/>
      </c>
      <c r="K417" s="19" t="str">
        <f aca="false">IF(OR($A417="",INDEX(_LEITURA!$Q$2:$Q$21,1)=0),"",SUMIFS(DECKS!$D$2:$D$1201,DECKS!$A$2:$A$1201,INDEX(_LEITURA!$P$2:$P$21,1),DECKS!$B$2:$B$1201,$A417))</f>
        <v/>
      </c>
      <c r="L417" s="19" t="str">
        <f aca="false">IF(OR($A417="",INDEX(_LEITURA!$Q$2:$Q$21,2)=0),"",SUMIFS(DECKS!$D$2:$D$1201,DECKS!$A$2:$A$1201,INDEX(_LEITURA!$P$2:$P$21,2),DECKS!$B$2:$B$1201,$A417))</f>
        <v/>
      </c>
      <c r="M417" s="19" t="str">
        <f aca="false">IF(OR($A417="",INDEX(_LEITURA!$Q$2:$Q$21,3)=0),"",SUMIFS(DECKS!$D$2:$D$1201,DECKS!$A$2:$A$1201,INDEX(_LEITURA!$P$2:$P$21,3),DECKS!$B$2:$B$1201,$A417))</f>
        <v/>
      </c>
      <c r="N417" s="19" t="str">
        <f aca="false">IF(OR($A417="",INDEX(_LEITURA!$Q$2:$Q$21,4)=0),"",SUMIFS(DECKS!$D$2:$D$1201,DECKS!$A$2:$A$1201,INDEX(_LEITURA!$P$2:$P$21,4),DECKS!$B$2:$B$1201,$A417))</f>
        <v/>
      </c>
      <c r="O417" s="19" t="str">
        <f aca="false">IF(OR($A417="",INDEX(_LEITURA!$Q$2:$Q$21,5)=0),"",SUMIFS(DECKS!$D$2:$D$1201,DECKS!$A$2:$A$1201,INDEX(_LEITURA!$P$2:$P$21,5),DECKS!$B$2:$B$1201,$A417))</f>
        <v/>
      </c>
      <c r="P417" s="19" t="str">
        <f aca="false">IF(OR($A417="",INDEX(_LEITURA!$Q$2:$Q$21,6)=0),"",SUMIFS(DECKS!$D$2:$D$1201,DECKS!$A$2:$A$1201,INDEX(_LEITURA!$P$2:$P$21,6),DECKS!$B$2:$B$1201,$A417))</f>
        <v/>
      </c>
      <c r="Q417" s="19" t="str">
        <f aca="false">IF(OR($A417="",INDEX(_LEITURA!$Q$2:$Q$21,7)=0),"",SUMIFS(DECKS!$D$2:$D$1201,DECKS!$A$2:$A$1201,INDEX(_LEITURA!$P$2:$P$21,7),DECKS!$B$2:$B$1201,$A417))</f>
        <v/>
      </c>
      <c r="R417" s="19" t="str">
        <f aca="false">IF(OR($A417="",INDEX(_LEITURA!$Q$2:$Q$21,8)=0),"",SUMIFS(DECKS!$D$2:$D$1201,DECKS!$A$2:$A$1201,INDEX(_LEITURA!$P$2:$P$21,8),DECKS!$B$2:$B$1201,$A417))</f>
        <v/>
      </c>
      <c r="S417" s="19" t="str">
        <f aca="false">IF(OR($A417="",INDEX(_LEITURA!$Q$2:$Q$21,9)=0),"",SUMIFS(DECKS!$D$2:$D$1201,DECKS!$A$2:$A$1201,INDEX(_LEITURA!$P$2:$P$21,9),DECKS!$B$2:$B$1201,$A417))</f>
        <v/>
      </c>
      <c r="T417" s="19" t="str">
        <f aca="false">IF(OR($A417="",INDEX(_LEITURA!$Q$2:$Q$21,10)=0),"",SUMIFS(DECKS!$D$2:$D$1201,DECKS!$A$2:$A$1201,INDEX(_LEITURA!$P$2:$P$21,10),DECKS!$B$2:$B$1201,$A417))</f>
        <v/>
      </c>
      <c r="U417" s="19" t="str">
        <f aca="false">IF(OR($A417="",INDEX(_LEITURA!$Q$2:$Q$21,11)=0),"",SUMIFS(DECKS!$D$2:$D$1201,DECKS!$A$2:$A$1201,INDEX(_LEITURA!$P$2:$P$21,11),DECKS!$B$2:$B$1201,$A417))</f>
        <v/>
      </c>
      <c r="V417" s="19" t="str">
        <f aca="false">IF(OR($A417="",INDEX(_LEITURA!$Q$2:$Q$21,12)=0),"",SUMIFS(DECKS!$D$2:$D$1201,DECKS!$A$2:$A$1201,INDEX(_LEITURA!$P$2:$P$21,12),DECKS!$B$2:$B$1201,$A417))</f>
        <v/>
      </c>
      <c r="W417" s="19" t="str">
        <f aca="false">IF(OR($A417="",INDEX(_LEITURA!$Q$2:$Q$21,13)=0),"",SUMIFS(DECKS!$D$2:$D$1201,DECKS!$A$2:$A$1201,INDEX(_LEITURA!$P$2:$P$21,13),DECKS!$B$2:$B$1201,$A417))</f>
        <v/>
      </c>
      <c r="X417" s="19" t="str">
        <f aca="false">IF(OR($A417="",INDEX(_LEITURA!$Q$2:$Q$21,14)=0),"",SUMIFS(DECKS!$D$2:$D$1201,DECKS!$A$2:$A$1201,INDEX(_LEITURA!$P$2:$P$21,14),DECKS!$B$2:$B$1201,$A417))</f>
        <v/>
      </c>
      <c r="Y417" s="19" t="str">
        <f aca="false">IF(OR($A417="",INDEX(_LEITURA!$Q$2:$Q$21,15)=0),"",SUMIFS(DECKS!$D$2:$D$1201,DECKS!$A$2:$A$1201,INDEX(_LEITURA!$P$2:$P$21,15),DECKS!$B$2:$B$1201,$A417))</f>
        <v/>
      </c>
      <c r="Z417" s="19" t="str">
        <f aca="false">IF(OR($A417="",INDEX(_LEITURA!$Q$2:$Q$21,16)=0),"",SUMIFS(DECKS!$D$2:$D$1201,DECKS!$A$2:$A$1201,INDEX(_LEITURA!$P$2:$P$21,16),DECKS!$B$2:$B$1201,$A417))</f>
        <v/>
      </c>
      <c r="AA417" s="19" t="str">
        <f aca="false">IF(OR($A417="",INDEX(_LEITURA!$Q$2:$Q$21,17)=0),"",SUMIFS(DECKS!$D$2:$D$1201,DECKS!$A$2:$A$1201,INDEX(_LEITURA!$P$2:$P$21,17),DECKS!$B$2:$B$1201,$A417))</f>
        <v/>
      </c>
      <c r="AB417" s="19" t="str">
        <f aca="false">IF(OR($A417="",INDEX(_LEITURA!$Q$2:$Q$21,18)=0),"",SUMIFS(DECKS!$D$2:$D$1201,DECKS!$A$2:$A$1201,INDEX(_LEITURA!$P$2:$P$21,18),DECKS!$B$2:$B$1201,$A417))</f>
        <v/>
      </c>
      <c r="AC417" s="19" t="str">
        <f aca="false">IF(OR($A417="",INDEX(_LEITURA!$Q$2:$Q$21,19)=0),"",SUMIFS(DECKS!$D$2:$D$1201,DECKS!$A$2:$A$1201,INDEX(_LEITURA!$P$2:$P$21,19),DECKS!$B$2:$B$1201,$A417))</f>
        <v/>
      </c>
      <c r="AD417" s="19" t="str">
        <f aca="false">IF(OR($A417="",INDEX(_LEITURA!$Q$2:$Q$21,20)=0),"",SUMIFS(DECKS!$D$2:$D$1201,DECKS!$A$2:$A$1201,INDEX(_LEITURA!$P$2:$P$21,20),DECKS!$B$2:$B$1201,$A417))</f>
        <v/>
      </c>
      <c r="AE417" s="16" t="str">
        <f aca="false">IF(N(E417)&gt;0,MAX(AE$1:AE416)+1,"")</f>
        <v/>
      </c>
      <c r="AF417" s="11" t="str">
        <f aca="false">IF(A417="","",IFERROR(LEFT(A417,FIND("-",A417)-1),A417))</f>
        <v/>
      </c>
      <c r="AG417" s="11" t="str">
        <f aca="false">IF(AF417="","",IF(ISNUMBER(--MID(AF417,1,1)),0,IF(ISNUMBER(--MID(AF417,2,1)),1,IF(ISNUMBER(--MID(AF417,3,1)),2,IF(ISNUMBER(--MID(AF417,4,1)),3,MIN(LEN(AF417),4))))))</f>
        <v/>
      </c>
      <c r="AH417" s="11" t="str">
        <f aca="false">IF(A417="","",LEFT(AF417,AG417)&amp;REPT("0",4-AG417)&amp;RIGHT("000"&amp;IFERROR(VALUE(MID(AF417,AG417+1,9)),0),3)&amp;RIGHT("0000"&amp;IFERROR(VALUE(MID(A417,FIND("-",A417)+1,9)),0),4))</f>
        <v/>
      </c>
      <c r="AI417" s="11" t="str">
        <f aca="false">IF(OR(A417="",N(E417)&lt;=0),"",IF('FALTAS GERAL'!$M$1="Código","K"&amp;AH417&amp;RIGHT("00000"&amp;ROW(),5),IF('FALTAS GERAL'!$M$1="Nome","K"&amp;UPPER(SUBSTITUTE(SUBSTITUTE(SUBSTITUTE(B417,"*",""),"?",""),"~",""))&amp;"0"&amp;AH417&amp;RIGHT("00000"&amp;ROW(),5),IF('FALTAS GERAL'!$M$1="Falta (maior primeiro)","K"&amp;RIGHT("0000"&amp;(9999-E417),4)&amp;AH417&amp;RIGHT("00000"&amp;ROW(),5),IF('FALTAS GERAL'!$M$1="Nº de decks (maior primeiro)","K"&amp;RIGHT("00"&amp;(99-N(G417)),2)&amp;AH417&amp;RIGHT("00000"&amp;ROW(),5),"K"&amp;RIGHT("00000"&amp;ROW(),5))))))</f>
        <v/>
      </c>
      <c r="AJ417" s="11" t="str">
        <f aca="false">IF(AI417="","",COUNTIFS($AI$2:$AI$801,"&lt;"&amp;AI417,$E$2:$E$801,"&gt;0")+1)</f>
        <v/>
      </c>
      <c r="AK417" s="11" t="str">
        <f aca="false">IF(OR(A417="",N(E417)&lt;=0),"",COUNTIFS($AH$2:$AH$801,"&lt;"&amp;AH417,$E$2:$E$801,"&gt;0")+COUNTIFS($AH$2:AH417,AH417,$E$2:E417,"&gt;0"))</f>
        <v/>
      </c>
    </row>
    <row r="418" customFormat="false" ht="15" hidden="false" customHeight="false" outlineLevel="0" collapsed="false">
      <c r="A418" s="11" t="str">
        <f aca="false">IF(INVENTÁRIO!A418="","",INVENTÁRIO!A418)</f>
        <v/>
      </c>
      <c r="B418" s="11" t="str">
        <f aca="false">IF(A418="","",INVENTÁRIO!B418)</f>
        <v/>
      </c>
      <c r="C418" s="16" t="str">
        <f aca="false">IF(A418="","",INVENTÁRIO!C418)</f>
        <v/>
      </c>
      <c r="D418" s="14" t="str">
        <f aca="false">IF(A418="","",MAX(K418:AD418))</f>
        <v/>
      </c>
      <c r="E418" s="14" t="str">
        <f aca="false">IF(A418="","",MAX(0,D418-C418))</f>
        <v/>
      </c>
      <c r="F418" s="16" t="str">
        <f aca="false">IF(A418="","",IF(D418=0,"Fora dos decks",IF(E418=0,"Completo","Falta")))</f>
        <v/>
      </c>
      <c r="G418" s="16" t="str">
        <f aca="false">IF(A418="","",COUNTIF(K418:AD418,"&gt;0"))</f>
        <v/>
      </c>
      <c r="H418" s="16" t="str">
        <f aca="false">IF(A418="","",IF(G418&gt;1,"Sim",""))</f>
        <v/>
      </c>
      <c r="I418" s="18" t="str">
        <f aca="false">IF(A418="","",SUMIFS(DECKS!$D$2:$D$1201,DECKS!$B$2:$B$1201,A418))</f>
        <v/>
      </c>
      <c r="J418" s="18" t="str">
        <f aca="false">IF(A418="","",MAX(0,I418-C418))</f>
        <v/>
      </c>
      <c r="K418" s="19" t="str">
        <f aca="false">IF(OR($A418="",INDEX(_LEITURA!$Q$2:$Q$21,1)=0),"",SUMIFS(DECKS!$D$2:$D$1201,DECKS!$A$2:$A$1201,INDEX(_LEITURA!$P$2:$P$21,1),DECKS!$B$2:$B$1201,$A418))</f>
        <v/>
      </c>
      <c r="L418" s="19" t="str">
        <f aca="false">IF(OR($A418="",INDEX(_LEITURA!$Q$2:$Q$21,2)=0),"",SUMIFS(DECKS!$D$2:$D$1201,DECKS!$A$2:$A$1201,INDEX(_LEITURA!$P$2:$P$21,2),DECKS!$B$2:$B$1201,$A418))</f>
        <v/>
      </c>
      <c r="M418" s="19" t="str">
        <f aca="false">IF(OR($A418="",INDEX(_LEITURA!$Q$2:$Q$21,3)=0),"",SUMIFS(DECKS!$D$2:$D$1201,DECKS!$A$2:$A$1201,INDEX(_LEITURA!$P$2:$P$21,3),DECKS!$B$2:$B$1201,$A418))</f>
        <v/>
      </c>
      <c r="N418" s="19" t="str">
        <f aca="false">IF(OR($A418="",INDEX(_LEITURA!$Q$2:$Q$21,4)=0),"",SUMIFS(DECKS!$D$2:$D$1201,DECKS!$A$2:$A$1201,INDEX(_LEITURA!$P$2:$P$21,4),DECKS!$B$2:$B$1201,$A418))</f>
        <v/>
      </c>
      <c r="O418" s="19" t="str">
        <f aca="false">IF(OR($A418="",INDEX(_LEITURA!$Q$2:$Q$21,5)=0),"",SUMIFS(DECKS!$D$2:$D$1201,DECKS!$A$2:$A$1201,INDEX(_LEITURA!$P$2:$P$21,5),DECKS!$B$2:$B$1201,$A418))</f>
        <v/>
      </c>
      <c r="P418" s="19" t="str">
        <f aca="false">IF(OR($A418="",INDEX(_LEITURA!$Q$2:$Q$21,6)=0),"",SUMIFS(DECKS!$D$2:$D$1201,DECKS!$A$2:$A$1201,INDEX(_LEITURA!$P$2:$P$21,6),DECKS!$B$2:$B$1201,$A418))</f>
        <v/>
      </c>
      <c r="Q418" s="19" t="str">
        <f aca="false">IF(OR($A418="",INDEX(_LEITURA!$Q$2:$Q$21,7)=0),"",SUMIFS(DECKS!$D$2:$D$1201,DECKS!$A$2:$A$1201,INDEX(_LEITURA!$P$2:$P$21,7),DECKS!$B$2:$B$1201,$A418))</f>
        <v/>
      </c>
      <c r="R418" s="19" t="str">
        <f aca="false">IF(OR($A418="",INDEX(_LEITURA!$Q$2:$Q$21,8)=0),"",SUMIFS(DECKS!$D$2:$D$1201,DECKS!$A$2:$A$1201,INDEX(_LEITURA!$P$2:$P$21,8),DECKS!$B$2:$B$1201,$A418))</f>
        <v/>
      </c>
      <c r="S418" s="19" t="str">
        <f aca="false">IF(OR($A418="",INDEX(_LEITURA!$Q$2:$Q$21,9)=0),"",SUMIFS(DECKS!$D$2:$D$1201,DECKS!$A$2:$A$1201,INDEX(_LEITURA!$P$2:$P$21,9),DECKS!$B$2:$B$1201,$A418))</f>
        <v/>
      </c>
      <c r="T418" s="19" t="str">
        <f aca="false">IF(OR($A418="",INDEX(_LEITURA!$Q$2:$Q$21,10)=0),"",SUMIFS(DECKS!$D$2:$D$1201,DECKS!$A$2:$A$1201,INDEX(_LEITURA!$P$2:$P$21,10),DECKS!$B$2:$B$1201,$A418))</f>
        <v/>
      </c>
      <c r="U418" s="19" t="str">
        <f aca="false">IF(OR($A418="",INDEX(_LEITURA!$Q$2:$Q$21,11)=0),"",SUMIFS(DECKS!$D$2:$D$1201,DECKS!$A$2:$A$1201,INDEX(_LEITURA!$P$2:$P$21,11),DECKS!$B$2:$B$1201,$A418))</f>
        <v/>
      </c>
      <c r="V418" s="19" t="str">
        <f aca="false">IF(OR($A418="",INDEX(_LEITURA!$Q$2:$Q$21,12)=0),"",SUMIFS(DECKS!$D$2:$D$1201,DECKS!$A$2:$A$1201,INDEX(_LEITURA!$P$2:$P$21,12),DECKS!$B$2:$B$1201,$A418))</f>
        <v/>
      </c>
      <c r="W418" s="19" t="str">
        <f aca="false">IF(OR($A418="",INDEX(_LEITURA!$Q$2:$Q$21,13)=0),"",SUMIFS(DECKS!$D$2:$D$1201,DECKS!$A$2:$A$1201,INDEX(_LEITURA!$P$2:$P$21,13),DECKS!$B$2:$B$1201,$A418))</f>
        <v/>
      </c>
      <c r="X418" s="19" t="str">
        <f aca="false">IF(OR($A418="",INDEX(_LEITURA!$Q$2:$Q$21,14)=0),"",SUMIFS(DECKS!$D$2:$D$1201,DECKS!$A$2:$A$1201,INDEX(_LEITURA!$P$2:$P$21,14),DECKS!$B$2:$B$1201,$A418))</f>
        <v/>
      </c>
      <c r="Y418" s="19" t="str">
        <f aca="false">IF(OR($A418="",INDEX(_LEITURA!$Q$2:$Q$21,15)=0),"",SUMIFS(DECKS!$D$2:$D$1201,DECKS!$A$2:$A$1201,INDEX(_LEITURA!$P$2:$P$21,15),DECKS!$B$2:$B$1201,$A418))</f>
        <v/>
      </c>
      <c r="Z418" s="19" t="str">
        <f aca="false">IF(OR($A418="",INDEX(_LEITURA!$Q$2:$Q$21,16)=0),"",SUMIFS(DECKS!$D$2:$D$1201,DECKS!$A$2:$A$1201,INDEX(_LEITURA!$P$2:$P$21,16),DECKS!$B$2:$B$1201,$A418))</f>
        <v/>
      </c>
      <c r="AA418" s="19" t="str">
        <f aca="false">IF(OR($A418="",INDEX(_LEITURA!$Q$2:$Q$21,17)=0),"",SUMIFS(DECKS!$D$2:$D$1201,DECKS!$A$2:$A$1201,INDEX(_LEITURA!$P$2:$P$21,17),DECKS!$B$2:$B$1201,$A418))</f>
        <v/>
      </c>
      <c r="AB418" s="19" t="str">
        <f aca="false">IF(OR($A418="",INDEX(_LEITURA!$Q$2:$Q$21,18)=0),"",SUMIFS(DECKS!$D$2:$D$1201,DECKS!$A$2:$A$1201,INDEX(_LEITURA!$P$2:$P$21,18),DECKS!$B$2:$B$1201,$A418))</f>
        <v/>
      </c>
      <c r="AC418" s="19" t="str">
        <f aca="false">IF(OR($A418="",INDEX(_LEITURA!$Q$2:$Q$21,19)=0),"",SUMIFS(DECKS!$D$2:$D$1201,DECKS!$A$2:$A$1201,INDEX(_LEITURA!$P$2:$P$21,19),DECKS!$B$2:$B$1201,$A418))</f>
        <v/>
      </c>
      <c r="AD418" s="19" t="str">
        <f aca="false">IF(OR($A418="",INDEX(_LEITURA!$Q$2:$Q$21,20)=0),"",SUMIFS(DECKS!$D$2:$D$1201,DECKS!$A$2:$A$1201,INDEX(_LEITURA!$P$2:$P$21,20),DECKS!$B$2:$B$1201,$A418))</f>
        <v/>
      </c>
      <c r="AE418" s="16" t="str">
        <f aca="false">IF(N(E418)&gt;0,MAX(AE$1:AE417)+1,"")</f>
        <v/>
      </c>
      <c r="AF418" s="11" t="str">
        <f aca="false">IF(A418="","",IFERROR(LEFT(A418,FIND("-",A418)-1),A418))</f>
        <v/>
      </c>
      <c r="AG418" s="11" t="str">
        <f aca="false">IF(AF418="","",IF(ISNUMBER(--MID(AF418,1,1)),0,IF(ISNUMBER(--MID(AF418,2,1)),1,IF(ISNUMBER(--MID(AF418,3,1)),2,IF(ISNUMBER(--MID(AF418,4,1)),3,MIN(LEN(AF418),4))))))</f>
        <v/>
      </c>
      <c r="AH418" s="11" t="str">
        <f aca="false">IF(A418="","",LEFT(AF418,AG418)&amp;REPT("0",4-AG418)&amp;RIGHT("000"&amp;IFERROR(VALUE(MID(AF418,AG418+1,9)),0),3)&amp;RIGHT("0000"&amp;IFERROR(VALUE(MID(A418,FIND("-",A418)+1,9)),0),4))</f>
        <v/>
      </c>
      <c r="AI418" s="11" t="str">
        <f aca="false">IF(OR(A418="",N(E418)&lt;=0),"",IF('FALTAS GERAL'!$M$1="Código","K"&amp;AH418&amp;RIGHT("00000"&amp;ROW(),5),IF('FALTAS GERAL'!$M$1="Nome","K"&amp;UPPER(SUBSTITUTE(SUBSTITUTE(SUBSTITUTE(B418,"*",""),"?",""),"~",""))&amp;"0"&amp;AH418&amp;RIGHT("00000"&amp;ROW(),5),IF('FALTAS GERAL'!$M$1="Falta (maior primeiro)","K"&amp;RIGHT("0000"&amp;(9999-E418),4)&amp;AH418&amp;RIGHT("00000"&amp;ROW(),5),IF('FALTAS GERAL'!$M$1="Nº de decks (maior primeiro)","K"&amp;RIGHT("00"&amp;(99-N(G418)),2)&amp;AH418&amp;RIGHT("00000"&amp;ROW(),5),"K"&amp;RIGHT("00000"&amp;ROW(),5))))))</f>
        <v/>
      </c>
      <c r="AJ418" s="11" t="str">
        <f aca="false">IF(AI418="","",COUNTIFS($AI$2:$AI$801,"&lt;"&amp;AI418,$E$2:$E$801,"&gt;0")+1)</f>
        <v/>
      </c>
      <c r="AK418" s="11" t="str">
        <f aca="false">IF(OR(A418="",N(E418)&lt;=0),"",COUNTIFS($AH$2:$AH$801,"&lt;"&amp;AH418,$E$2:$E$801,"&gt;0")+COUNTIFS($AH$2:AH418,AH418,$E$2:E418,"&gt;0"))</f>
        <v/>
      </c>
    </row>
    <row r="419" customFormat="false" ht="15" hidden="false" customHeight="false" outlineLevel="0" collapsed="false">
      <c r="A419" s="11" t="str">
        <f aca="false">IF(INVENTÁRIO!A419="","",INVENTÁRIO!A419)</f>
        <v/>
      </c>
      <c r="B419" s="11" t="str">
        <f aca="false">IF(A419="","",INVENTÁRIO!B419)</f>
        <v/>
      </c>
      <c r="C419" s="16" t="str">
        <f aca="false">IF(A419="","",INVENTÁRIO!C419)</f>
        <v/>
      </c>
      <c r="D419" s="14" t="str">
        <f aca="false">IF(A419="","",MAX(K419:AD419))</f>
        <v/>
      </c>
      <c r="E419" s="14" t="str">
        <f aca="false">IF(A419="","",MAX(0,D419-C419))</f>
        <v/>
      </c>
      <c r="F419" s="16" t="str">
        <f aca="false">IF(A419="","",IF(D419=0,"Fora dos decks",IF(E419=0,"Completo","Falta")))</f>
        <v/>
      </c>
      <c r="G419" s="16" t="str">
        <f aca="false">IF(A419="","",COUNTIF(K419:AD419,"&gt;0"))</f>
        <v/>
      </c>
      <c r="H419" s="16" t="str">
        <f aca="false">IF(A419="","",IF(G419&gt;1,"Sim",""))</f>
        <v/>
      </c>
      <c r="I419" s="18" t="str">
        <f aca="false">IF(A419="","",SUMIFS(DECKS!$D$2:$D$1201,DECKS!$B$2:$B$1201,A419))</f>
        <v/>
      </c>
      <c r="J419" s="18" t="str">
        <f aca="false">IF(A419="","",MAX(0,I419-C419))</f>
        <v/>
      </c>
      <c r="K419" s="19" t="str">
        <f aca="false">IF(OR($A419="",INDEX(_LEITURA!$Q$2:$Q$21,1)=0),"",SUMIFS(DECKS!$D$2:$D$1201,DECKS!$A$2:$A$1201,INDEX(_LEITURA!$P$2:$P$21,1),DECKS!$B$2:$B$1201,$A419))</f>
        <v/>
      </c>
      <c r="L419" s="19" t="str">
        <f aca="false">IF(OR($A419="",INDEX(_LEITURA!$Q$2:$Q$21,2)=0),"",SUMIFS(DECKS!$D$2:$D$1201,DECKS!$A$2:$A$1201,INDEX(_LEITURA!$P$2:$P$21,2),DECKS!$B$2:$B$1201,$A419))</f>
        <v/>
      </c>
      <c r="M419" s="19" t="str">
        <f aca="false">IF(OR($A419="",INDEX(_LEITURA!$Q$2:$Q$21,3)=0),"",SUMIFS(DECKS!$D$2:$D$1201,DECKS!$A$2:$A$1201,INDEX(_LEITURA!$P$2:$P$21,3),DECKS!$B$2:$B$1201,$A419))</f>
        <v/>
      </c>
      <c r="N419" s="19" t="str">
        <f aca="false">IF(OR($A419="",INDEX(_LEITURA!$Q$2:$Q$21,4)=0),"",SUMIFS(DECKS!$D$2:$D$1201,DECKS!$A$2:$A$1201,INDEX(_LEITURA!$P$2:$P$21,4),DECKS!$B$2:$B$1201,$A419))</f>
        <v/>
      </c>
      <c r="O419" s="19" t="str">
        <f aca="false">IF(OR($A419="",INDEX(_LEITURA!$Q$2:$Q$21,5)=0),"",SUMIFS(DECKS!$D$2:$D$1201,DECKS!$A$2:$A$1201,INDEX(_LEITURA!$P$2:$P$21,5),DECKS!$B$2:$B$1201,$A419))</f>
        <v/>
      </c>
      <c r="P419" s="19" t="str">
        <f aca="false">IF(OR($A419="",INDEX(_LEITURA!$Q$2:$Q$21,6)=0),"",SUMIFS(DECKS!$D$2:$D$1201,DECKS!$A$2:$A$1201,INDEX(_LEITURA!$P$2:$P$21,6),DECKS!$B$2:$B$1201,$A419))</f>
        <v/>
      </c>
      <c r="Q419" s="19" t="str">
        <f aca="false">IF(OR($A419="",INDEX(_LEITURA!$Q$2:$Q$21,7)=0),"",SUMIFS(DECKS!$D$2:$D$1201,DECKS!$A$2:$A$1201,INDEX(_LEITURA!$P$2:$P$21,7),DECKS!$B$2:$B$1201,$A419))</f>
        <v/>
      </c>
      <c r="R419" s="19" t="str">
        <f aca="false">IF(OR($A419="",INDEX(_LEITURA!$Q$2:$Q$21,8)=0),"",SUMIFS(DECKS!$D$2:$D$1201,DECKS!$A$2:$A$1201,INDEX(_LEITURA!$P$2:$P$21,8),DECKS!$B$2:$B$1201,$A419))</f>
        <v/>
      </c>
      <c r="S419" s="19" t="str">
        <f aca="false">IF(OR($A419="",INDEX(_LEITURA!$Q$2:$Q$21,9)=0),"",SUMIFS(DECKS!$D$2:$D$1201,DECKS!$A$2:$A$1201,INDEX(_LEITURA!$P$2:$P$21,9),DECKS!$B$2:$B$1201,$A419))</f>
        <v/>
      </c>
      <c r="T419" s="19" t="str">
        <f aca="false">IF(OR($A419="",INDEX(_LEITURA!$Q$2:$Q$21,10)=0),"",SUMIFS(DECKS!$D$2:$D$1201,DECKS!$A$2:$A$1201,INDEX(_LEITURA!$P$2:$P$21,10),DECKS!$B$2:$B$1201,$A419))</f>
        <v/>
      </c>
      <c r="U419" s="19" t="str">
        <f aca="false">IF(OR($A419="",INDEX(_LEITURA!$Q$2:$Q$21,11)=0),"",SUMIFS(DECKS!$D$2:$D$1201,DECKS!$A$2:$A$1201,INDEX(_LEITURA!$P$2:$P$21,11),DECKS!$B$2:$B$1201,$A419))</f>
        <v/>
      </c>
      <c r="V419" s="19" t="str">
        <f aca="false">IF(OR($A419="",INDEX(_LEITURA!$Q$2:$Q$21,12)=0),"",SUMIFS(DECKS!$D$2:$D$1201,DECKS!$A$2:$A$1201,INDEX(_LEITURA!$P$2:$P$21,12),DECKS!$B$2:$B$1201,$A419))</f>
        <v/>
      </c>
      <c r="W419" s="19" t="str">
        <f aca="false">IF(OR($A419="",INDEX(_LEITURA!$Q$2:$Q$21,13)=0),"",SUMIFS(DECKS!$D$2:$D$1201,DECKS!$A$2:$A$1201,INDEX(_LEITURA!$P$2:$P$21,13),DECKS!$B$2:$B$1201,$A419))</f>
        <v/>
      </c>
      <c r="X419" s="19" t="str">
        <f aca="false">IF(OR($A419="",INDEX(_LEITURA!$Q$2:$Q$21,14)=0),"",SUMIFS(DECKS!$D$2:$D$1201,DECKS!$A$2:$A$1201,INDEX(_LEITURA!$P$2:$P$21,14),DECKS!$B$2:$B$1201,$A419))</f>
        <v/>
      </c>
      <c r="Y419" s="19" t="str">
        <f aca="false">IF(OR($A419="",INDEX(_LEITURA!$Q$2:$Q$21,15)=0),"",SUMIFS(DECKS!$D$2:$D$1201,DECKS!$A$2:$A$1201,INDEX(_LEITURA!$P$2:$P$21,15),DECKS!$B$2:$B$1201,$A419))</f>
        <v/>
      </c>
      <c r="Z419" s="19" t="str">
        <f aca="false">IF(OR($A419="",INDEX(_LEITURA!$Q$2:$Q$21,16)=0),"",SUMIFS(DECKS!$D$2:$D$1201,DECKS!$A$2:$A$1201,INDEX(_LEITURA!$P$2:$P$21,16),DECKS!$B$2:$B$1201,$A419))</f>
        <v/>
      </c>
      <c r="AA419" s="19" t="str">
        <f aca="false">IF(OR($A419="",INDEX(_LEITURA!$Q$2:$Q$21,17)=0),"",SUMIFS(DECKS!$D$2:$D$1201,DECKS!$A$2:$A$1201,INDEX(_LEITURA!$P$2:$P$21,17),DECKS!$B$2:$B$1201,$A419))</f>
        <v/>
      </c>
      <c r="AB419" s="19" t="str">
        <f aca="false">IF(OR($A419="",INDEX(_LEITURA!$Q$2:$Q$21,18)=0),"",SUMIFS(DECKS!$D$2:$D$1201,DECKS!$A$2:$A$1201,INDEX(_LEITURA!$P$2:$P$21,18),DECKS!$B$2:$B$1201,$A419))</f>
        <v/>
      </c>
      <c r="AC419" s="19" t="str">
        <f aca="false">IF(OR($A419="",INDEX(_LEITURA!$Q$2:$Q$21,19)=0),"",SUMIFS(DECKS!$D$2:$D$1201,DECKS!$A$2:$A$1201,INDEX(_LEITURA!$P$2:$P$21,19),DECKS!$B$2:$B$1201,$A419))</f>
        <v/>
      </c>
      <c r="AD419" s="19" t="str">
        <f aca="false">IF(OR($A419="",INDEX(_LEITURA!$Q$2:$Q$21,20)=0),"",SUMIFS(DECKS!$D$2:$D$1201,DECKS!$A$2:$A$1201,INDEX(_LEITURA!$P$2:$P$21,20),DECKS!$B$2:$B$1201,$A419))</f>
        <v/>
      </c>
      <c r="AE419" s="16" t="str">
        <f aca="false">IF(N(E419)&gt;0,MAX(AE$1:AE418)+1,"")</f>
        <v/>
      </c>
      <c r="AF419" s="11" t="str">
        <f aca="false">IF(A419="","",IFERROR(LEFT(A419,FIND("-",A419)-1),A419))</f>
        <v/>
      </c>
      <c r="AG419" s="11" t="str">
        <f aca="false">IF(AF419="","",IF(ISNUMBER(--MID(AF419,1,1)),0,IF(ISNUMBER(--MID(AF419,2,1)),1,IF(ISNUMBER(--MID(AF419,3,1)),2,IF(ISNUMBER(--MID(AF419,4,1)),3,MIN(LEN(AF419),4))))))</f>
        <v/>
      </c>
      <c r="AH419" s="11" t="str">
        <f aca="false">IF(A419="","",LEFT(AF419,AG419)&amp;REPT("0",4-AG419)&amp;RIGHT("000"&amp;IFERROR(VALUE(MID(AF419,AG419+1,9)),0),3)&amp;RIGHT("0000"&amp;IFERROR(VALUE(MID(A419,FIND("-",A419)+1,9)),0),4))</f>
        <v/>
      </c>
      <c r="AI419" s="11" t="str">
        <f aca="false">IF(OR(A419="",N(E419)&lt;=0),"",IF('FALTAS GERAL'!$M$1="Código","K"&amp;AH419&amp;RIGHT("00000"&amp;ROW(),5),IF('FALTAS GERAL'!$M$1="Nome","K"&amp;UPPER(SUBSTITUTE(SUBSTITUTE(SUBSTITUTE(B419,"*",""),"?",""),"~",""))&amp;"0"&amp;AH419&amp;RIGHT("00000"&amp;ROW(),5),IF('FALTAS GERAL'!$M$1="Falta (maior primeiro)","K"&amp;RIGHT("0000"&amp;(9999-E419),4)&amp;AH419&amp;RIGHT("00000"&amp;ROW(),5),IF('FALTAS GERAL'!$M$1="Nº de decks (maior primeiro)","K"&amp;RIGHT("00"&amp;(99-N(G419)),2)&amp;AH419&amp;RIGHT("00000"&amp;ROW(),5),"K"&amp;RIGHT("00000"&amp;ROW(),5))))))</f>
        <v/>
      </c>
      <c r="AJ419" s="11" t="str">
        <f aca="false">IF(AI419="","",COUNTIFS($AI$2:$AI$801,"&lt;"&amp;AI419,$E$2:$E$801,"&gt;0")+1)</f>
        <v/>
      </c>
      <c r="AK419" s="11" t="str">
        <f aca="false">IF(OR(A419="",N(E419)&lt;=0),"",COUNTIFS($AH$2:$AH$801,"&lt;"&amp;AH419,$E$2:$E$801,"&gt;0")+COUNTIFS($AH$2:AH419,AH419,$E$2:E419,"&gt;0"))</f>
        <v/>
      </c>
    </row>
    <row r="420" customFormat="false" ht="15" hidden="false" customHeight="false" outlineLevel="0" collapsed="false">
      <c r="A420" s="11" t="str">
        <f aca="false">IF(INVENTÁRIO!A420="","",INVENTÁRIO!A420)</f>
        <v/>
      </c>
      <c r="B420" s="11" t="str">
        <f aca="false">IF(A420="","",INVENTÁRIO!B420)</f>
        <v/>
      </c>
      <c r="C420" s="16" t="str">
        <f aca="false">IF(A420="","",INVENTÁRIO!C420)</f>
        <v/>
      </c>
      <c r="D420" s="14" t="str">
        <f aca="false">IF(A420="","",MAX(K420:AD420))</f>
        <v/>
      </c>
      <c r="E420" s="14" t="str">
        <f aca="false">IF(A420="","",MAX(0,D420-C420))</f>
        <v/>
      </c>
      <c r="F420" s="16" t="str">
        <f aca="false">IF(A420="","",IF(D420=0,"Fora dos decks",IF(E420=0,"Completo","Falta")))</f>
        <v/>
      </c>
      <c r="G420" s="16" t="str">
        <f aca="false">IF(A420="","",COUNTIF(K420:AD420,"&gt;0"))</f>
        <v/>
      </c>
      <c r="H420" s="16" t="str">
        <f aca="false">IF(A420="","",IF(G420&gt;1,"Sim",""))</f>
        <v/>
      </c>
      <c r="I420" s="18" t="str">
        <f aca="false">IF(A420="","",SUMIFS(DECKS!$D$2:$D$1201,DECKS!$B$2:$B$1201,A420))</f>
        <v/>
      </c>
      <c r="J420" s="18" t="str">
        <f aca="false">IF(A420="","",MAX(0,I420-C420))</f>
        <v/>
      </c>
      <c r="K420" s="19" t="str">
        <f aca="false">IF(OR($A420="",INDEX(_LEITURA!$Q$2:$Q$21,1)=0),"",SUMIFS(DECKS!$D$2:$D$1201,DECKS!$A$2:$A$1201,INDEX(_LEITURA!$P$2:$P$21,1),DECKS!$B$2:$B$1201,$A420))</f>
        <v/>
      </c>
      <c r="L420" s="19" t="str">
        <f aca="false">IF(OR($A420="",INDEX(_LEITURA!$Q$2:$Q$21,2)=0),"",SUMIFS(DECKS!$D$2:$D$1201,DECKS!$A$2:$A$1201,INDEX(_LEITURA!$P$2:$P$21,2),DECKS!$B$2:$B$1201,$A420))</f>
        <v/>
      </c>
      <c r="M420" s="19" t="str">
        <f aca="false">IF(OR($A420="",INDEX(_LEITURA!$Q$2:$Q$21,3)=0),"",SUMIFS(DECKS!$D$2:$D$1201,DECKS!$A$2:$A$1201,INDEX(_LEITURA!$P$2:$P$21,3),DECKS!$B$2:$B$1201,$A420))</f>
        <v/>
      </c>
      <c r="N420" s="19" t="str">
        <f aca="false">IF(OR($A420="",INDEX(_LEITURA!$Q$2:$Q$21,4)=0),"",SUMIFS(DECKS!$D$2:$D$1201,DECKS!$A$2:$A$1201,INDEX(_LEITURA!$P$2:$P$21,4),DECKS!$B$2:$B$1201,$A420))</f>
        <v/>
      </c>
      <c r="O420" s="19" t="str">
        <f aca="false">IF(OR($A420="",INDEX(_LEITURA!$Q$2:$Q$21,5)=0),"",SUMIFS(DECKS!$D$2:$D$1201,DECKS!$A$2:$A$1201,INDEX(_LEITURA!$P$2:$P$21,5),DECKS!$B$2:$B$1201,$A420))</f>
        <v/>
      </c>
      <c r="P420" s="19" t="str">
        <f aca="false">IF(OR($A420="",INDEX(_LEITURA!$Q$2:$Q$21,6)=0),"",SUMIFS(DECKS!$D$2:$D$1201,DECKS!$A$2:$A$1201,INDEX(_LEITURA!$P$2:$P$21,6),DECKS!$B$2:$B$1201,$A420))</f>
        <v/>
      </c>
      <c r="Q420" s="19" t="str">
        <f aca="false">IF(OR($A420="",INDEX(_LEITURA!$Q$2:$Q$21,7)=0),"",SUMIFS(DECKS!$D$2:$D$1201,DECKS!$A$2:$A$1201,INDEX(_LEITURA!$P$2:$P$21,7),DECKS!$B$2:$B$1201,$A420))</f>
        <v/>
      </c>
      <c r="R420" s="19" t="str">
        <f aca="false">IF(OR($A420="",INDEX(_LEITURA!$Q$2:$Q$21,8)=0),"",SUMIFS(DECKS!$D$2:$D$1201,DECKS!$A$2:$A$1201,INDEX(_LEITURA!$P$2:$P$21,8),DECKS!$B$2:$B$1201,$A420))</f>
        <v/>
      </c>
      <c r="S420" s="19" t="str">
        <f aca="false">IF(OR($A420="",INDEX(_LEITURA!$Q$2:$Q$21,9)=0),"",SUMIFS(DECKS!$D$2:$D$1201,DECKS!$A$2:$A$1201,INDEX(_LEITURA!$P$2:$P$21,9),DECKS!$B$2:$B$1201,$A420))</f>
        <v/>
      </c>
      <c r="T420" s="19" t="str">
        <f aca="false">IF(OR($A420="",INDEX(_LEITURA!$Q$2:$Q$21,10)=0),"",SUMIFS(DECKS!$D$2:$D$1201,DECKS!$A$2:$A$1201,INDEX(_LEITURA!$P$2:$P$21,10),DECKS!$B$2:$B$1201,$A420))</f>
        <v/>
      </c>
      <c r="U420" s="19" t="str">
        <f aca="false">IF(OR($A420="",INDEX(_LEITURA!$Q$2:$Q$21,11)=0),"",SUMIFS(DECKS!$D$2:$D$1201,DECKS!$A$2:$A$1201,INDEX(_LEITURA!$P$2:$P$21,11),DECKS!$B$2:$B$1201,$A420))</f>
        <v/>
      </c>
      <c r="V420" s="19" t="str">
        <f aca="false">IF(OR($A420="",INDEX(_LEITURA!$Q$2:$Q$21,12)=0),"",SUMIFS(DECKS!$D$2:$D$1201,DECKS!$A$2:$A$1201,INDEX(_LEITURA!$P$2:$P$21,12),DECKS!$B$2:$B$1201,$A420))</f>
        <v/>
      </c>
      <c r="W420" s="19" t="str">
        <f aca="false">IF(OR($A420="",INDEX(_LEITURA!$Q$2:$Q$21,13)=0),"",SUMIFS(DECKS!$D$2:$D$1201,DECKS!$A$2:$A$1201,INDEX(_LEITURA!$P$2:$P$21,13),DECKS!$B$2:$B$1201,$A420))</f>
        <v/>
      </c>
      <c r="X420" s="19" t="str">
        <f aca="false">IF(OR($A420="",INDEX(_LEITURA!$Q$2:$Q$21,14)=0),"",SUMIFS(DECKS!$D$2:$D$1201,DECKS!$A$2:$A$1201,INDEX(_LEITURA!$P$2:$P$21,14),DECKS!$B$2:$B$1201,$A420))</f>
        <v/>
      </c>
      <c r="Y420" s="19" t="str">
        <f aca="false">IF(OR($A420="",INDEX(_LEITURA!$Q$2:$Q$21,15)=0),"",SUMIFS(DECKS!$D$2:$D$1201,DECKS!$A$2:$A$1201,INDEX(_LEITURA!$P$2:$P$21,15),DECKS!$B$2:$B$1201,$A420))</f>
        <v/>
      </c>
      <c r="Z420" s="19" t="str">
        <f aca="false">IF(OR($A420="",INDEX(_LEITURA!$Q$2:$Q$21,16)=0),"",SUMIFS(DECKS!$D$2:$D$1201,DECKS!$A$2:$A$1201,INDEX(_LEITURA!$P$2:$P$21,16),DECKS!$B$2:$B$1201,$A420))</f>
        <v/>
      </c>
      <c r="AA420" s="19" t="str">
        <f aca="false">IF(OR($A420="",INDEX(_LEITURA!$Q$2:$Q$21,17)=0),"",SUMIFS(DECKS!$D$2:$D$1201,DECKS!$A$2:$A$1201,INDEX(_LEITURA!$P$2:$P$21,17),DECKS!$B$2:$B$1201,$A420))</f>
        <v/>
      </c>
      <c r="AB420" s="19" t="str">
        <f aca="false">IF(OR($A420="",INDEX(_LEITURA!$Q$2:$Q$21,18)=0),"",SUMIFS(DECKS!$D$2:$D$1201,DECKS!$A$2:$A$1201,INDEX(_LEITURA!$P$2:$P$21,18),DECKS!$B$2:$B$1201,$A420))</f>
        <v/>
      </c>
      <c r="AC420" s="19" t="str">
        <f aca="false">IF(OR($A420="",INDEX(_LEITURA!$Q$2:$Q$21,19)=0),"",SUMIFS(DECKS!$D$2:$D$1201,DECKS!$A$2:$A$1201,INDEX(_LEITURA!$P$2:$P$21,19),DECKS!$B$2:$B$1201,$A420))</f>
        <v/>
      </c>
      <c r="AD420" s="19" t="str">
        <f aca="false">IF(OR($A420="",INDEX(_LEITURA!$Q$2:$Q$21,20)=0),"",SUMIFS(DECKS!$D$2:$D$1201,DECKS!$A$2:$A$1201,INDEX(_LEITURA!$P$2:$P$21,20),DECKS!$B$2:$B$1201,$A420))</f>
        <v/>
      </c>
      <c r="AE420" s="16" t="str">
        <f aca="false">IF(N(E420)&gt;0,MAX(AE$1:AE419)+1,"")</f>
        <v/>
      </c>
      <c r="AF420" s="11" t="str">
        <f aca="false">IF(A420="","",IFERROR(LEFT(A420,FIND("-",A420)-1),A420))</f>
        <v/>
      </c>
      <c r="AG420" s="11" t="str">
        <f aca="false">IF(AF420="","",IF(ISNUMBER(--MID(AF420,1,1)),0,IF(ISNUMBER(--MID(AF420,2,1)),1,IF(ISNUMBER(--MID(AF420,3,1)),2,IF(ISNUMBER(--MID(AF420,4,1)),3,MIN(LEN(AF420),4))))))</f>
        <v/>
      </c>
      <c r="AH420" s="11" t="str">
        <f aca="false">IF(A420="","",LEFT(AF420,AG420)&amp;REPT("0",4-AG420)&amp;RIGHT("000"&amp;IFERROR(VALUE(MID(AF420,AG420+1,9)),0),3)&amp;RIGHT("0000"&amp;IFERROR(VALUE(MID(A420,FIND("-",A420)+1,9)),0),4))</f>
        <v/>
      </c>
      <c r="AI420" s="11" t="str">
        <f aca="false">IF(OR(A420="",N(E420)&lt;=0),"",IF('FALTAS GERAL'!$M$1="Código","K"&amp;AH420&amp;RIGHT("00000"&amp;ROW(),5),IF('FALTAS GERAL'!$M$1="Nome","K"&amp;UPPER(SUBSTITUTE(SUBSTITUTE(SUBSTITUTE(B420,"*",""),"?",""),"~",""))&amp;"0"&amp;AH420&amp;RIGHT("00000"&amp;ROW(),5),IF('FALTAS GERAL'!$M$1="Falta (maior primeiro)","K"&amp;RIGHT("0000"&amp;(9999-E420),4)&amp;AH420&amp;RIGHT("00000"&amp;ROW(),5),IF('FALTAS GERAL'!$M$1="Nº de decks (maior primeiro)","K"&amp;RIGHT("00"&amp;(99-N(G420)),2)&amp;AH420&amp;RIGHT("00000"&amp;ROW(),5),"K"&amp;RIGHT("00000"&amp;ROW(),5))))))</f>
        <v/>
      </c>
      <c r="AJ420" s="11" t="str">
        <f aca="false">IF(AI420="","",COUNTIFS($AI$2:$AI$801,"&lt;"&amp;AI420,$E$2:$E$801,"&gt;0")+1)</f>
        <v/>
      </c>
      <c r="AK420" s="11" t="str">
        <f aca="false">IF(OR(A420="",N(E420)&lt;=0),"",COUNTIFS($AH$2:$AH$801,"&lt;"&amp;AH420,$E$2:$E$801,"&gt;0")+COUNTIFS($AH$2:AH420,AH420,$E$2:E420,"&gt;0"))</f>
        <v/>
      </c>
    </row>
    <row r="421" customFormat="false" ht="15" hidden="false" customHeight="false" outlineLevel="0" collapsed="false">
      <c r="A421" s="11" t="str">
        <f aca="false">IF(INVENTÁRIO!A421="","",INVENTÁRIO!A421)</f>
        <v/>
      </c>
      <c r="B421" s="11" t="str">
        <f aca="false">IF(A421="","",INVENTÁRIO!B421)</f>
        <v/>
      </c>
      <c r="C421" s="16" t="str">
        <f aca="false">IF(A421="","",INVENTÁRIO!C421)</f>
        <v/>
      </c>
      <c r="D421" s="14" t="str">
        <f aca="false">IF(A421="","",MAX(K421:AD421))</f>
        <v/>
      </c>
      <c r="E421" s="14" t="str">
        <f aca="false">IF(A421="","",MAX(0,D421-C421))</f>
        <v/>
      </c>
      <c r="F421" s="16" t="str">
        <f aca="false">IF(A421="","",IF(D421=0,"Fora dos decks",IF(E421=0,"Completo","Falta")))</f>
        <v/>
      </c>
      <c r="G421" s="16" t="str">
        <f aca="false">IF(A421="","",COUNTIF(K421:AD421,"&gt;0"))</f>
        <v/>
      </c>
      <c r="H421" s="16" t="str">
        <f aca="false">IF(A421="","",IF(G421&gt;1,"Sim",""))</f>
        <v/>
      </c>
      <c r="I421" s="18" t="str">
        <f aca="false">IF(A421="","",SUMIFS(DECKS!$D$2:$D$1201,DECKS!$B$2:$B$1201,A421))</f>
        <v/>
      </c>
      <c r="J421" s="18" t="str">
        <f aca="false">IF(A421="","",MAX(0,I421-C421))</f>
        <v/>
      </c>
      <c r="K421" s="19" t="str">
        <f aca="false">IF(OR($A421="",INDEX(_LEITURA!$Q$2:$Q$21,1)=0),"",SUMIFS(DECKS!$D$2:$D$1201,DECKS!$A$2:$A$1201,INDEX(_LEITURA!$P$2:$P$21,1),DECKS!$B$2:$B$1201,$A421))</f>
        <v/>
      </c>
      <c r="L421" s="19" t="str">
        <f aca="false">IF(OR($A421="",INDEX(_LEITURA!$Q$2:$Q$21,2)=0),"",SUMIFS(DECKS!$D$2:$D$1201,DECKS!$A$2:$A$1201,INDEX(_LEITURA!$P$2:$P$21,2),DECKS!$B$2:$B$1201,$A421))</f>
        <v/>
      </c>
      <c r="M421" s="19" t="str">
        <f aca="false">IF(OR($A421="",INDEX(_LEITURA!$Q$2:$Q$21,3)=0),"",SUMIFS(DECKS!$D$2:$D$1201,DECKS!$A$2:$A$1201,INDEX(_LEITURA!$P$2:$P$21,3),DECKS!$B$2:$B$1201,$A421))</f>
        <v/>
      </c>
      <c r="N421" s="19" t="str">
        <f aca="false">IF(OR($A421="",INDEX(_LEITURA!$Q$2:$Q$21,4)=0),"",SUMIFS(DECKS!$D$2:$D$1201,DECKS!$A$2:$A$1201,INDEX(_LEITURA!$P$2:$P$21,4),DECKS!$B$2:$B$1201,$A421))</f>
        <v/>
      </c>
      <c r="O421" s="19" t="str">
        <f aca="false">IF(OR($A421="",INDEX(_LEITURA!$Q$2:$Q$21,5)=0),"",SUMIFS(DECKS!$D$2:$D$1201,DECKS!$A$2:$A$1201,INDEX(_LEITURA!$P$2:$P$21,5),DECKS!$B$2:$B$1201,$A421))</f>
        <v/>
      </c>
      <c r="P421" s="19" t="str">
        <f aca="false">IF(OR($A421="",INDEX(_LEITURA!$Q$2:$Q$21,6)=0),"",SUMIFS(DECKS!$D$2:$D$1201,DECKS!$A$2:$A$1201,INDEX(_LEITURA!$P$2:$P$21,6),DECKS!$B$2:$B$1201,$A421))</f>
        <v/>
      </c>
      <c r="Q421" s="19" t="str">
        <f aca="false">IF(OR($A421="",INDEX(_LEITURA!$Q$2:$Q$21,7)=0),"",SUMIFS(DECKS!$D$2:$D$1201,DECKS!$A$2:$A$1201,INDEX(_LEITURA!$P$2:$P$21,7),DECKS!$B$2:$B$1201,$A421))</f>
        <v/>
      </c>
      <c r="R421" s="19" t="str">
        <f aca="false">IF(OR($A421="",INDEX(_LEITURA!$Q$2:$Q$21,8)=0),"",SUMIFS(DECKS!$D$2:$D$1201,DECKS!$A$2:$A$1201,INDEX(_LEITURA!$P$2:$P$21,8),DECKS!$B$2:$B$1201,$A421))</f>
        <v/>
      </c>
      <c r="S421" s="19" t="str">
        <f aca="false">IF(OR($A421="",INDEX(_LEITURA!$Q$2:$Q$21,9)=0),"",SUMIFS(DECKS!$D$2:$D$1201,DECKS!$A$2:$A$1201,INDEX(_LEITURA!$P$2:$P$21,9),DECKS!$B$2:$B$1201,$A421))</f>
        <v/>
      </c>
      <c r="T421" s="19" t="str">
        <f aca="false">IF(OR($A421="",INDEX(_LEITURA!$Q$2:$Q$21,10)=0),"",SUMIFS(DECKS!$D$2:$D$1201,DECKS!$A$2:$A$1201,INDEX(_LEITURA!$P$2:$P$21,10),DECKS!$B$2:$B$1201,$A421))</f>
        <v/>
      </c>
      <c r="U421" s="19" t="str">
        <f aca="false">IF(OR($A421="",INDEX(_LEITURA!$Q$2:$Q$21,11)=0),"",SUMIFS(DECKS!$D$2:$D$1201,DECKS!$A$2:$A$1201,INDEX(_LEITURA!$P$2:$P$21,11),DECKS!$B$2:$B$1201,$A421))</f>
        <v/>
      </c>
      <c r="V421" s="19" t="str">
        <f aca="false">IF(OR($A421="",INDEX(_LEITURA!$Q$2:$Q$21,12)=0),"",SUMIFS(DECKS!$D$2:$D$1201,DECKS!$A$2:$A$1201,INDEX(_LEITURA!$P$2:$P$21,12),DECKS!$B$2:$B$1201,$A421))</f>
        <v/>
      </c>
      <c r="W421" s="19" t="str">
        <f aca="false">IF(OR($A421="",INDEX(_LEITURA!$Q$2:$Q$21,13)=0),"",SUMIFS(DECKS!$D$2:$D$1201,DECKS!$A$2:$A$1201,INDEX(_LEITURA!$P$2:$P$21,13),DECKS!$B$2:$B$1201,$A421))</f>
        <v/>
      </c>
      <c r="X421" s="19" t="str">
        <f aca="false">IF(OR($A421="",INDEX(_LEITURA!$Q$2:$Q$21,14)=0),"",SUMIFS(DECKS!$D$2:$D$1201,DECKS!$A$2:$A$1201,INDEX(_LEITURA!$P$2:$P$21,14),DECKS!$B$2:$B$1201,$A421))</f>
        <v/>
      </c>
      <c r="Y421" s="19" t="str">
        <f aca="false">IF(OR($A421="",INDEX(_LEITURA!$Q$2:$Q$21,15)=0),"",SUMIFS(DECKS!$D$2:$D$1201,DECKS!$A$2:$A$1201,INDEX(_LEITURA!$P$2:$P$21,15),DECKS!$B$2:$B$1201,$A421))</f>
        <v/>
      </c>
      <c r="Z421" s="19" t="str">
        <f aca="false">IF(OR($A421="",INDEX(_LEITURA!$Q$2:$Q$21,16)=0),"",SUMIFS(DECKS!$D$2:$D$1201,DECKS!$A$2:$A$1201,INDEX(_LEITURA!$P$2:$P$21,16),DECKS!$B$2:$B$1201,$A421))</f>
        <v/>
      </c>
      <c r="AA421" s="19" t="str">
        <f aca="false">IF(OR($A421="",INDEX(_LEITURA!$Q$2:$Q$21,17)=0),"",SUMIFS(DECKS!$D$2:$D$1201,DECKS!$A$2:$A$1201,INDEX(_LEITURA!$P$2:$P$21,17),DECKS!$B$2:$B$1201,$A421))</f>
        <v/>
      </c>
      <c r="AB421" s="19" t="str">
        <f aca="false">IF(OR($A421="",INDEX(_LEITURA!$Q$2:$Q$21,18)=0),"",SUMIFS(DECKS!$D$2:$D$1201,DECKS!$A$2:$A$1201,INDEX(_LEITURA!$P$2:$P$21,18),DECKS!$B$2:$B$1201,$A421))</f>
        <v/>
      </c>
      <c r="AC421" s="19" t="str">
        <f aca="false">IF(OR($A421="",INDEX(_LEITURA!$Q$2:$Q$21,19)=0),"",SUMIFS(DECKS!$D$2:$D$1201,DECKS!$A$2:$A$1201,INDEX(_LEITURA!$P$2:$P$21,19),DECKS!$B$2:$B$1201,$A421))</f>
        <v/>
      </c>
      <c r="AD421" s="19" t="str">
        <f aca="false">IF(OR($A421="",INDEX(_LEITURA!$Q$2:$Q$21,20)=0),"",SUMIFS(DECKS!$D$2:$D$1201,DECKS!$A$2:$A$1201,INDEX(_LEITURA!$P$2:$P$21,20),DECKS!$B$2:$B$1201,$A421))</f>
        <v/>
      </c>
      <c r="AE421" s="16" t="str">
        <f aca="false">IF(N(E421)&gt;0,MAX(AE$1:AE420)+1,"")</f>
        <v/>
      </c>
      <c r="AF421" s="11" t="str">
        <f aca="false">IF(A421="","",IFERROR(LEFT(A421,FIND("-",A421)-1),A421))</f>
        <v/>
      </c>
      <c r="AG421" s="11" t="str">
        <f aca="false">IF(AF421="","",IF(ISNUMBER(--MID(AF421,1,1)),0,IF(ISNUMBER(--MID(AF421,2,1)),1,IF(ISNUMBER(--MID(AF421,3,1)),2,IF(ISNUMBER(--MID(AF421,4,1)),3,MIN(LEN(AF421),4))))))</f>
        <v/>
      </c>
      <c r="AH421" s="11" t="str">
        <f aca="false">IF(A421="","",LEFT(AF421,AG421)&amp;REPT("0",4-AG421)&amp;RIGHT("000"&amp;IFERROR(VALUE(MID(AF421,AG421+1,9)),0),3)&amp;RIGHT("0000"&amp;IFERROR(VALUE(MID(A421,FIND("-",A421)+1,9)),0),4))</f>
        <v/>
      </c>
      <c r="AI421" s="11" t="str">
        <f aca="false">IF(OR(A421="",N(E421)&lt;=0),"",IF('FALTAS GERAL'!$M$1="Código","K"&amp;AH421&amp;RIGHT("00000"&amp;ROW(),5),IF('FALTAS GERAL'!$M$1="Nome","K"&amp;UPPER(SUBSTITUTE(SUBSTITUTE(SUBSTITUTE(B421,"*",""),"?",""),"~",""))&amp;"0"&amp;AH421&amp;RIGHT("00000"&amp;ROW(),5),IF('FALTAS GERAL'!$M$1="Falta (maior primeiro)","K"&amp;RIGHT("0000"&amp;(9999-E421),4)&amp;AH421&amp;RIGHT("00000"&amp;ROW(),5),IF('FALTAS GERAL'!$M$1="Nº de decks (maior primeiro)","K"&amp;RIGHT("00"&amp;(99-N(G421)),2)&amp;AH421&amp;RIGHT("00000"&amp;ROW(),5),"K"&amp;RIGHT("00000"&amp;ROW(),5))))))</f>
        <v/>
      </c>
      <c r="AJ421" s="11" t="str">
        <f aca="false">IF(AI421="","",COUNTIFS($AI$2:$AI$801,"&lt;"&amp;AI421,$E$2:$E$801,"&gt;0")+1)</f>
        <v/>
      </c>
      <c r="AK421" s="11" t="str">
        <f aca="false">IF(OR(A421="",N(E421)&lt;=0),"",COUNTIFS($AH$2:$AH$801,"&lt;"&amp;AH421,$E$2:$E$801,"&gt;0")+COUNTIFS($AH$2:AH421,AH421,$E$2:E421,"&gt;0"))</f>
        <v/>
      </c>
    </row>
    <row r="422" customFormat="false" ht="15" hidden="false" customHeight="false" outlineLevel="0" collapsed="false">
      <c r="A422" s="11" t="str">
        <f aca="false">IF(INVENTÁRIO!A422="","",INVENTÁRIO!A422)</f>
        <v/>
      </c>
      <c r="B422" s="11" t="str">
        <f aca="false">IF(A422="","",INVENTÁRIO!B422)</f>
        <v/>
      </c>
      <c r="C422" s="16" t="str">
        <f aca="false">IF(A422="","",INVENTÁRIO!C422)</f>
        <v/>
      </c>
      <c r="D422" s="14" t="str">
        <f aca="false">IF(A422="","",MAX(K422:AD422))</f>
        <v/>
      </c>
      <c r="E422" s="14" t="str">
        <f aca="false">IF(A422="","",MAX(0,D422-C422))</f>
        <v/>
      </c>
      <c r="F422" s="16" t="str">
        <f aca="false">IF(A422="","",IF(D422=0,"Fora dos decks",IF(E422=0,"Completo","Falta")))</f>
        <v/>
      </c>
      <c r="G422" s="16" t="str">
        <f aca="false">IF(A422="","",COUNTIF(K422:AD422,"&gt;0"))</f>
        <v/>
      </c>
      <c r="H422" s="16" t="str">
        <f aca="false">IF(A422="","",IF(G422&gt;1,"Sim",""))</f>
        <v/>
      </c>
      <c r="I422" s="18" t="str">
        <f aca="false">IF(A422="","",SUMIFS(DECKS!$D$2:$D$1201,DECKS!$B$2:$B$1201,A422))</f>
        <v/>
      </c>
      <c r="J422" s="18" t="str">
        <f aca="false">IF(A422="","",MAX(0,I422-C422))</f>
        <v/>
      </c>
      <c r="K422" s="19" t="str">
        <f aca="false">IF(OR($A422="",INDEX(_LEITURA!$Q$2:$Q$21,1)=0),"",SUMIFS(DECKS!$D$2:$D$1201,DECKS!$A$2:$A$1201,INDEX(_LEITURA!$P$2:$P$21,1),DECKS!$B$2:$B$1201,$A422))</f>
        <v/>
      </c>
      <c r="L422" s="19" t="str">
        <f aca="false">IF(OR($A422="",INDEX(_LEITURA!$Q$2:$Q$21,2)=0),"",SUMIFS(DECKS!$D$2:$D$1201,DECKS!$A$2:$A$1201,INDEX(_LEITURA!$P$2:$P$21,2),DECKS!$B$2:$B$1201,$A422))</f>
        <v/>
      </c>
      <c r="M422" s="19" t="str">
        <f aca="false">IF(OR($A422="",INDEX(_LEITURA!$Q$2:$Q$21,3)=0),"",SUMIFS(DECKS!$D$2:$D$1201,DECKS!$A$2:$A$1201,INDEX(_LEITURA!$P$2:$P$21,3),DECKS!$B$2:$B$1201,$A422))</f>
        <v/>
      </c>
      <c r="N422" s="19" t="str">
        <f aca="false">IF(OR($A422="",INDEX(_LEITURA!$Q$2:$Q$21,4)=0),"",SUMIFS(DECKS!$D$2:$D$1201,DECKS!$A$2:$A$1201,INDEX(_LEITURA!$P$2:$P$21,4),DECKS!$B$2:$B$1201,$A422))</f>
        <v/>
      </c>
      <c r="O422" s="19" t="str">
        <f aca="false">IF(OR($A422="",INDEX(_LEITURA!$Q$2:$Q$21,5)=0),"",SUMIFS(DECKS!$D$2:$D$1201,DECKS!$A$2:$A$1201,INDEX(_LEITURA!$P$2:$P$21,5),DECKS!$B$2:$B$1201,$A422))</f>
        <v/>
      </c>
      <c r="P422" s="19" t="str">
        <f aca="false">IF(OR($A422="",INDEX(_LEITURA!$Q$2:$Q$21,6)=0),"",SUMIFS(DECKS!$D$2:$D$1201,DECKS!$A$2:$A$1201,INDEX(_LEITURA!$P$2:$P$21,6),DECKS!$B$2:$B$1201,$A422))</f>
        <v/>
      </c>
      <c r="Q422" s="19" t="str">
        <f aca="false">IF(OR($A422="",INDEX(_LEITURA!$Q$2:$Q$21,7)=0),"",SUMIFS(DECKS!$D$2:$D$1201,DECKS!$A$2:$A$1201,INDEX(_LEITURA!$P$2:$P$21,7),DECKS!$B$2:$B$1201,$A422))</f>
        <v/>
      </c>
      <c r="R422" s="19" t="str">
        <f aca="false">IF(OR($A422="",INDEX(_LEITURA!$Q$2:$Q$21,8)=0),"",SUMIFS(DECKS!$D$2:$D$1201,DECKS!$A$2:$A$1201,INDEX(_LEITURA!$P$2:$P$21,8),DECKS!$B$2:$B$1201,$A422))</f>
        <v/>
      </c>
      <c r="S422" s="19" t="str">
        <f aca="false">IF(OR($A422="",INDEX(_LEITURA!$Q$2:$Q$21,9)=0),"",SUMIFS(DECKS!$D$2:$D$1201,DECKS!$A$2:$A$1201,INDEX(_LEITURA!$P$2:$P$21,9),DECKS!$B$2:$B$1201,$A422))</f>
        <v/>
      </c>
      <c r="T422" s="19" t="str">
        <f aca="false">IF(OR($A422="",INDEX(_LEITURA!$Q$2:$Q$21,10)=0),"",SUMIFS(DECKS!$D$2:$D$1201,DECKS!$A$2:$A$1201,INDEX(_LEITURA!$P$2:$P$21,10),DECKS!$B$2:$B$1201,$A422))</f>
        <v/>
      </c>
      <c r="U422" s="19" t="str">
        <f aca="false">IF(OR($A422="",INDEX(_LEITURA!$Q$2:$Q$21,11)=0),"",SUMIFS(DECKS!$D$2:$D$1201,DECKS!$A$2:$A$1201,INDEX(_LEITURA!$P$2:$P$21,11),DECKS!$B$2:$B$1201,$A422))</f>
        <v/>
      </c>
      <c r="V422" s="19" t="str">
        <f aca="false">IF(OR($A422="",INDEX(_LEITURA!$Q$2:$Q$21,12)=0),"",SUMIFS(DECKS!$D$2:$D$1201,DECKS!$A$2:$A$1201,INDEX(_LEITURA!$P$2:$P$21,12),DECKS!$B$2:$B$1201,$A422))</f>
        <v/>
      </c>
      <c r="W422" s="19" t="str">
        <f aca="false">IF(OR($A422="",INDEX(_LEITURA!$Q$2:$Q$21,13)=0),"",SUMIFS(DECKS!$D$2:$D$1201,DECKS!$A$2:$A$1201,INDEX(_LEITURA!$P$2:$P$21,13),DECKS!$B$2:$B$1201,$A422))</f>
        <v/>
      </c>
      <c r="X422" s="19" t="str">
        <f aca="false">IF(OR($A422="",INDEX(_LEITURA!$Q$2:$Q$21,14)=0),"",SUMIFS(DECKS!$D$2:$D$1201,DECKS!$A$2:$A$1201,INDEX(_LEITURA!$P$2:$P$21,14),DECKS!$B$2:$B$1201,$A422))</f>
        <v/>
      </c>
      <c r="Y422" s="19" t="str">
        <f aca="false">IF(OR($A422="",INDEX(_LEITURA!$Q$2:$Q$21,15)=0),"",SUMIFS(DECKS!$D$2:$D$1201,DECKS!$A$2:$A$1201,INDEX(_LEITURA!$P$2:$P$21,15),DECKS!$B$2:$B$1201,$A422))</f>
        <v/>
      </c>
      <c r="Z422" s="19" t="str">
        <f aca="false">IF(OR($A422="",INDEX(_LEITURA!$Q$2:$Q$21,16)=0),"",SUMIFS(DECKS!$D$2:$D$1201,DECKS!$A$2:$A$1201,INDEX(_LEITURA!$P$2:$P$21,16),DECKS!$B$2:$B$1201,$A422))</f>
        <v/>
      </c>
      <c r="AA422" s="19" t="str">
        <f aca="false">IF(OR($A422="",INDEX(_LEITURA!$Q$2:$Q$21,17)=0),"",SUMIFS(DECKS!$D$2:$D$1201,DECKS!$A$2:$A$1201,INDEX(_LEITURA!$P$2:$P$21,17),DECKS!$B$2:$B$1201,$A422))</f>
        <v/>
      </c>
      <c r="AB422" s="19" t="str">
        <f aca="false">IF(OR($A422="",INDEX(_LEITURA!$Q$2:$Q$21,18)=0),"",SUMIFS(DECKS!$D$2:$D$1201,DECKS!$A$2:$A$1201,INDEX(_LEITURA!$P$2:$P$21,18),DECKS!$B$2:$B$1201,$A422))</f>
        <v/>
      </c>
      <c r="AC422" s="19" t="str">
        <f aca="false">IF(OR($A422="",INDEX(_LEITURA!$Q$2:$Q$21,19)=0),"",SUMIFS(DECKS!$D$2:$D$1201,DECKS!$A$2:$A$1201,INDEX(_LEITURA!$P$2:$P$21,19),DECKS!$B$2:$B$1201,$A422))</f>
        <v/>
      </c>
      <c r="AD422" s="19" t="str">
        <f aca="false">IF(OR($A422="",INDEX(_LEITURA!$Q$2:$Q$21,20)=0),"",SUMIFS(DECKS!$D$2:$D$1201,DECKS!$A$2:$A$1201,INDEX(_LEITURA!$P$2:$P$21,20),DECKS!$B$2:$B$1201,$A422))</f>
        <v/>
      </c>
      <c r="AE422" s="16" t="str">
        <f aca="false">IF(N(E422)&gt;0,MAX(AE$1:AE421)+1,"")</f>
        <v/>
      </c>
      <c r="AF422" s="11" t="str">
        <f aca="false">IF(A422="","",IFERROR(LEFT(A422,FIND("-",A422)-1),A422))</f>
        <v/>
      </c>
      <c r="AG422" s="11" t="str">
        <f aca="false">IF(AF422="","",IF(ISNUMBER(--MID(AF422,1,1)),0,IF(ISNUMBER(--MID(AF422,2,1)),1,IF(ISNUMBER(--MID(AF422,3,1)),2,IF(ISNUMBER(--MID(AF422,4,1)),3,MIN(LEN(AF422),4))))))</f>
        <v/>
      </c>
      <c r="AH422" s="11" t="str">
        <f aca="false">IF(A422="","",LEFT(AF422,AG422)&amp;REPT("0",4-AG422)&amp;RIGHT("000"&amp;IFERROR(VALUE(MID(AF422,AG422+1,9)),0),3)&amp;RIGHT("0000"&amp;IFERROR(VALUE(MID(A422,FIND("-",A422)+1,9)),0),4))</f>
        <v/>
      </c>
      <c r="AI422" s="11" t="str">
        <f aca="false">IF(OR(A422="",N(E422)&lt;=0),"",IF('FALTAS GERAL'!$M$1="Código","K"&amp;AH422&amp;RIGHT("00000"&amp;ROW(),5),IF('FALTAS GERAL'!$M$1="Nome","K"&amp;UPPER(SUBSTITUTE(SUBSTITUTE(SUBSTITUTE(B422,"*",""),"?",""),"~",""))&amp;"0"&amp;AH422&amp;RIGHT("00000"&amp;ROW(),5),IF('FALTAS GERAL'!$M$1="Falta (maior primeiro)","K"&amp;RIGHT("0000"&amp;(9999-E422),4)&amp;AH422&amp;RIGHT("00000"&amp;ROW(),5),IF('FALTAS GERAL'!$M$1="Nº de decks (maior primeiro)","K"&amp;RIGHT("00"&amp;(99-N(G422)),2)&amp;AH422&amp;RIGHT("00000"&amp;ROW(),5),"K"&amp;RIGHT("00000"&amp;ROW(),5))))))</f>
        <v/>
      </c>
      <c r="AJ422" s="11" t="str">
        <f aca="false">IF(AI422="","",COUNTIFS($AI$2:$AI$801,"&lt;"&amp;AI422,$E$2:$E$801,"&gt;0")+1)</f>
        <v/>
      </c>
      <c r="AK422" s="11" t="str">
        <f aca="false">IF(OR(A422="",N(E422)&lt;=0),"",COUNTIFS($AH$2:$AH$801,"&lt;"&amp;AH422,$E$2:$E$801,"&gt;0")+COUNTIFS($AH$2:AH422,AH422,$E$2:E422,"&gt;0"))</f>
        <v/>
      </c>
    </row>
    <row r="423" customFormat="false" ht="15" hidden="false" customHeight="false" outlineLevel="0" collapsed="false">
      <c r="A423" s="11" t="str">
        <f aca="false">IF(INVENTÁRIO!A423="","",INVENTÁRIO!A423)</f>
        <v/>
      </c>
      <c r="B423" s="11" t="str">
        <f aca="false">IF(A423="","",INVENTÁRIO!B423)</f>
        <v/>
      </c>
      <c r="C423" s="16" t="str">
        <f aca="false">IF(A423="","",INVENTÁRIO!C423)</f>
        <v/>
      </c>
      <c r="D423" s="14" t="str">
        <f aca="false">IF(A423="","",MAX(K423:AD423))</f>
        <v/>
      </c>
      <c r="E423" s="14" t="str">
        <f aca="false">IF(A423="","",MAX(0,D423-C423))</f>
        <v/>
      </c>
      <c r="F423" s="16" t="str">
        <f aca="false">IF(A423="","",IF(D423=0,"Fora dos decks",IF(E423=0,"Completo","Falta")))</f>
        <v/>
      </c>
      <c r="G423" s="16" t="str">
        <f aca="false">IF(A423="","",COUNTIF(K423:AD423,"&gt;0"))</f>
        <v/>
      </c>
      <c r="H423" s="16" t="str">
        <f aca="false">IF(A423="","",IF(G423&gt;1,"Sim",""))</f>
        <v/>
      </c>
      <c r="I423" s="18" t="str">
        <f aca="false">IF(A423="","",SUMIFS(DECKS!$D$2:$D$1201,DECKS!$B$2:$B$1201,A423))</f>
        <v/>
      </c>
      <c r="J423" s="18" t="str">
        <f aca="false">IF(A423="","",MAX(0,I423-C423))</f>
        <v/>
      </c>
      <c r="K423" s="19" t="str">
        <f aca="false">IF(OR($A423="",INDEX(_LEITURA!$Q$2:$Q$21,1)=0),"",SUMIFS(DECKS!$D$2:$D$1201,DECKS!$A$2:$A$1201,INDEX(_LEITURA!$P$2:$P$21,1),DECKS!$B$2:$B$1201,$A423))</f>
        <v/>
      </c>
      <c r="L423" s="19" t="str">
        <f aca="false">IF(OR($A423="",INDEX(_LEITURA!$Q$2:$Q$21,2)=0),"",SUMIFS(DECKS!$D$2:$D$1201,DECKS!$A$2:$A$1201,INDEX(_LEITURA!$P$2:$P$21,2),DECKS!$B$2:$B$1201,$A423))</f>
        <v/>
      </c>
      <c r="M423" s="19" t="str">
        <f aca="false">IF(OR($A423="",INDEX(_LEITURA!$Q$2:$Q$21,3)=0),"",SUMIFS(DECKS!$D$2:$D$1201,DECKS!$A$2:$A$1201,INDEX(_LEITURA!$P$2:$P$21,3),DECKS!$B$2:$B$1201,$A423))</f>
        <v/>
      </c>
      <c r="N423" s="19" t="str">
        <f aca="false">IF(OR($A423="",INDEX(_LEITURA!$Q$2:$Q$21,4)=0),"",SUMIFS(DECKS!$D$2:$D$1201,DECKS!$A$2:$A$1201,INDEX(_LEITURA!$P$2:$P$21,4),DECKS!$B$2:$B$1201,$A423))</f>
        <v/>
      </c>
      <c r="O423" s="19" t="str">
        <f aca="false">IF(OR($A423="",INDEX(_LEITURA!$Q$2:$Q$21,5)=0),"",SUMIFS(DECKS!$D$2:$D$1201,DECKS!$A$2:$A$1201,INDEX(_LEITURA!$P$2:$P$21,5),DECKS!$B$2:$B$1201,$A423))</f>
        <v/>
      </c>
      <c r="P423" s="19" t="str">
        <f aca="false">IF(OR($A423="",INDEX(_LEITURA!$Q$2:$Q$21,6)=0),"",SUMIFS(DECKS!$D$2:$D$1201,DECKS!$A$2:$A$1201,INDEX(_LEITURA!$P$2:$P$21,6),DECKS!$B$2:$B$1201,$A423))</f>
        <v/>
      </c>
      <c r="Q423" s="19" t="str">
        <f aca="false">IF(OR($A423="",INDEX(_LEITURA!$Q$2:$Q$21,7)=0),"",SUMIFS(DECKS!$D$2:$D$1201,DECKS!$A$2:$A$1201,INDEX(_LEITURA!$P$2:$P$21,7),DECKS!$B$2:$B$1201,$A423))</f>
        <v/>
      </c>
      <c r="R423" s="19" t="str">
        <f aca="false">IF(OR($A423="",INDEX(_LEITURA!$Q$2:$Q$21,8)=0),"",SUMIFS(DECKS!$D$2:$D$1201,DECKS!$A$2:$A$1201,INDEX(_LEITURA!$P$2:$P$21,8),DECKS!$B$2:$B$1201,$A423))</f>
        <v/>
      </c>
      <c r="S423" s="19" t="str">
        <f aca="false">IF(OR($A423="",INDEX(_LEITURA!$Q$2:$Q$21,9)=0),"",SUMIFS(DECKS!$D$2:$D$1201,DECKS!$A$2:$A$1201,INDEX(_LEITURA!$P$2:$P$21,9),DECKS!$B$2:$B$1201,$A423))</f>
        <v/>
      </c>
      <c r="T423" s="19" t="str">
        <f aca="false">IF(OR($A423="",INDEX(_LEITURA!$Q$2:$Q$21,10)=0),"",SUMIFS(DECKS!$D$2:$D$1201,DECKS!$A$2:$A$1201,INDEX(_LEITURA!$P$2:$P$21,10),DECKS!$B$2:$B$1201,$A423))</f>
        <v/>
      </c>
      <c r="U423" s="19" t="str">
        <f aca="false">IF(OR($A423="",INDEX(_LEITURA!$Q$2:$Q$21,11)=0),"",SUMIFS(DECKS!$D$2:$D$1201,DECKS!$A$2:$A$1201,INDEX(_LEITURA!$P$2:$P$21,11),DECKS!$B$2:$B$1201,$A423))</f>
        <v/>
      </c>
      <c r="V423" s="19" t="str">
        <f aca="false">IF(OR($A423="",INDEX(_LEITURA!$Q$2:$Q$21,12)=0),"",SUMIFS(DECKS!$D$2:$D$1201,DECKS!$A$2:$A$1201,INDEX(_LEITURA!$P$2:$P$21,12),DECKS!$B$2:$B$1201,$A423))</f>
        <v/>
      </c>
      <c r="W423" s="19" t="str">
        <f aca="false">IF(OR($A423="",INDEX(_LEITURA!$Q$2:$Q$21,13)=0),"",SUMIFS(DECKS!$D$2:$D$1201,DECKS!$A$2:$A$1201,INDEX(_LEITURA!$P$2:$P$21,13),DECKS!$B$2:$B$1201,$A423))</f>
        <v/>
      </c>
      <c r="X423" s="19" t="str">
        <f aca="false">IF(OR($A423="",INDEX(_LEITURA!$Q$2:$Q$21,14)=0),"",SUMIFS(DECKS!$D$2:$D$1201,DECKS!$A$2:$A$1201,INDEX(_LEITURA!$P$2:$P$21,14),DECKS!$B$2:$B$1201,$A423))</f>
        <v/>
      </c>
      <c r="Y423" s="19" t="str">
        <f aca="false">IF(OR($A423="",INDEX(_LEITURA!$Q$2:$Q$21,15)=0),"",SUMIFS(DECKS!$D$2:$D$1201,DECKS!$A$2:$A$1201,INDEX(_LEITURA!$P$2:$P$21,15),DECKS!$B$2:$B$1201,$A423))</f>
        <v/>
      </c>
      <c r="Z423" s="19" t="str">
        <f aca="false">IF(OR($A423="",INDEX(_LEITURA!$Q$2:$Q$21,16)=0),"",SUMIFS(DECKS!$D$2:$D$1201,DECKS!$A$2:$A$1201,INDEX(_LEITURA!$P$2:$P$21,16),DECKS!$B$2:$B$1201,$A423))</f>
        <v/>
      </c>
      <c r="AA423" s="19" t="str">
        <f aca="false">IF(OR($A423="",INDEX(_LEITURA!$Q$2:$Q$21,17)=0),"",SUMIFS(DECKS!$D$2:$D$1201,DECKS!$A$2:$A$1201,INDEX(_LEITURA!$P$2:$P$21,17),DECKS!$B$2:$B$1201,$A423))</f>
        <v/>
      </c>
      <c r="AB423" s="19" t="str">
        <f aca="false">IF(OR($A423="",INDEX(_LEITURA!$Q$2:$Q$21,18)=0),"",SUMIFS(DECKS!$D$2:$D$1201,DECKS!$A$2:$A$1201,INDEX(_LEITURA!$P$2:$P$21,18),DECKS!$B$2:$B$1201,$A423))</f>
        <v/>
      </c>
      <c r="AC423" s="19" t="str">
        <f aca="false">IF(OR($A423="",INDEX(_LEITURA!$Q$2:$Q$21,19)=0),"",SUMIFS(DECKS!$D$2:$D$1201,DECKS!$A$2:$A$1201,INDEX(_LEITURA!$P$2:$P$21,19),DECKS!$B$2:$B$1201,$A423))</f>
        <v/>
      </c>
      <c r="AD423" s="19" t="str">
        <f aca="false">IF(OR($A423="",INDEX(_LEITURA!$Q$2:$Q$21,20)=0),"",SUMIFS(DECKS!$D$2:$D$1201,DECKS!$A$2:$A$1201,INDEX(_LEITURA!$P$2:$P$21,20),DECKS!$B$2:$B$1201,$A423))</f>
        <v/>
      </c>
      <c r="AE423" s="16" t="str">
        <f aca="false">IF(N(E423)&gt;0,MAX(AE$1:AE422)+1,"")</f>
        <v/>
      </c>
      <c r="AF423" s="11" t="str">
        <f aca="false">IF(A423="","",IFERROR(LEFT(A423,FIND("-",A423)-1),A423))</f>
        <v/>
      </c>
      <c r="AG423" s="11" t="str">
        <f aca="false">IF(AF423="","",IF(ISNUMBER(--MID(AF423,1,1)),0,IF(ISNUMBER(--MID(AF423,2,1)),1,IF(ISNUMBER(--MID(AF423,3,1)),2,IF(ISNUMBER(--MID(AF423,4,1)),3,MIN(LEN(AF423),4))))))</f>
        <v/>
      </c>
      <c r="AH423" s="11" t="str">
        <f aca="false">IF(A423="","",LEFT(AF423,AG423)&amp;REPT("0",4-AG423)&amp;RIGHT("000"&amp;IFERROR(VALUE(MID(AF423,AG423+1,9)),0),3)&amp;RIGHT("0000"&amp;IFERROR(VALUE(MID(A423,FIND("-",A423)+1,9)),0),4))</f>
        <v/>
      </c>
      <c r="AI423" s="11" t="str">
        <f aca="false">IF(OR(A423="",N(E423)&lt;=0),"",IF('FALTAS GERAL'!$M$1="Código","K"&amp;AH423&amp;RIGHT("00000"&amp;ROW(),5),IF('FALTAS GERAL'!$M$1="Nome","K"&amp;UPPER(SUBSTITUTE(SUBSTITUTE(SUBSTITUTE(B423,"*",""),"?",""),"~",""))&amp;"0"&amp;AH423&amp;RIGHT("00000"&amp;ROW(),5),IF('FALTAS GERAL'!$M$1="Falta (maior primeiro)","K"&amp;RIGHT("0000"&amp;(9999-E423),4)&amp;AH423&amp;RIGHT("00000"&amp;ROW(),5),IF('FALTAS GERAL'!$M$1="Nº de decks (maior primeiro)","K"&amp;RIGHT("00"&amp;(99-N(G423)),2)&amp;AH423&amp;RIGHT("00000"&amp;ROW(),5),"K"&amp;RIGHT("00000"&amp;ROW(),5))))))</f>
        <v/>
      </c>
      <c r="AJ423" s="11" t="str">
        <f aca="false">IF(AI423="","",COUNTIFS($AI$2:$AI$801,"&lt;"&amp;AI423,$E$2:$E$801,"&gt;0")+1)</f>
        <v/>
      </c>
      <c r="AK423" s="11" t="str">
        <f aca="false">IF(OR(A423="",N(E423)&lt;=0),"",COUNTIFS($AH$2:$AH$801,"&lt;"&amp;AH423,$E$2:$E$801,"&gt;0")+COUNTIFS($AH$2:AH423,AH423,$E$2:E423,"&gt;0"))</f>
        <v/>
      </c>
    </row>
    <row r="424" customFormat="false" ht="15" hidden="false" customHeight="false" outlineLevel="0" collapsed="false">
      <c r="A424" s="11" t="str">
        <f aca="false">IF(INVENTÁRIO!A424="","",INVENTÁRIO!A424)</f>
        <v/>
      </c>
      <c r="B424" s="11" t="str">
        <f aca="false">IF(A424="","",INVENTÁRIO!B424)</f>
        <v/>
      </c>
      <c r="C424" s="16" t="str">
        <f aca="false">IF(A424="","",INVENTÁRIO!C424)</f>
        <v/>
      </c>
      <c r="D424" s="14" t="str">
        <f aca="false">IF(A424="","",MAX(K424:AD424))</f>
        <v/>
      </c>
      <c r="E424" s="14" t="str">
        <f aca="false">IF(A424="","",MAX(0,D424-C424))</f>
        <v/>
      </c>
      <c r="F424" s="16" t="str">
        <f aca="false">IF(A424="","",IF(D424=0,"Fora dos decks",IF(E424=0,"Completo","Falta")))</f>
        <v/>
      </c>
      <c r="G424" s="16" t="str">
        <f aca="false">IF(A424="","",COUNTIF(K424:AD424,"&gt;0"))</f>
        <v/>
      </c>
      <c r="H424" s="16" t="str">
        <f aca="false">IF(A424="","",IF(G424&gt;1,"Sim",""))</f>
        <v/>
      </c>
      <c r="I424" s="18" t="str">
        <f aca="false">IF(A424="","",SUMIFS(DECKS!$D$2:$D$1201,DECKS!$B$2:$B$1201,A424))</f>
        <v/>
      </c>
      <c r="J424" s="18" t="str">
        <f aca="false">IF(A424="","",MAX(0,I424-C424))</f>
        <v/>
      </c>
      <c r="K424" s="19" t="str">
        <f aca="false">IF(OR($A424="",INDEX(_LEITURA!$Q$2:$Q$21,1)=0),"",SUMIFS(DECKS!$D$2:$D$1201,DECKS!$A$2:$A$1201,INDEX(_LEITURA!$P$2:$P$21,1),DECKS!$B$2:$B$1201,$A424))</f>
        <v/>
      </c>
      <c r="L424" s="19" t="str">
        <f aca="false">IF(OR($A424="",INDEX(_LEITURA!$Q$2:$Q$21,2)=0),"",SUMIFS(DECKS!$D$2:$D$1201,DECKS!$A$2:$A$1201,INDEX(_LEITURA!$P$2:$P$21,2),DECKS!$B$2:$B$1201,$A424))</f>
        <v/>
      </c>
      <c r="M424" s="19" t="str">
        <f aca="false">IF(OR($A424="",INDEX(_LEITURA!$Q$2:$Q$21,3)=0),"",SUMIFS(DECKS!$D$2:$D$1201,DECKS!$A$2:$A$1201,INDEX(_LEITURA!$P$2:$P$21,3),DECKS!$B$2:$B$1201,$A424))</f>
        <v/>
      </c>
      <c r="N424" s="19" t="str">
        <f aca="false">IF(OR($A424="",INDEX(_LEITURA!$Q$2:$Q$21,4)=0),"",SUMIFS(DECKS!$D$2:$D$1201,DECKS!$A$2:$A$1201,INDEX(_LEITURA!$P$2:$P$21,4),DECKS!$B$2:$B$1201,$A424))</f>
        <v/>
      </c>
      <c r="O424" s="19" t="str">
        <f aca="false">IF(OR($A424="",INDEX(_LEITURA!$Q$2:$Q$21,5)=0),"",SUMIFS(DECKS!$D$2:$D$1201,DECKS!$A$2:$A$1201,INDEX(_LEITURA!$P$2:$P$21,5),DECKS!$B$2:$B$1201,$A424))</f>
        <v/>
      </c>
      <c r="P424" s="19" t="str">
        <f aca="false">IF(OR($A424="",INDEX(_LEITURA!$Q$2:$Q$21,6)=0),"",SUMIFS(DECKS!$D$2:$D$1201,DECKS!$A$2:$A$1201,INDEX(_LEITURA!$P$2:$P$21,6),DECKS!$B$2:$B$1201,$A424))</f>
        <v/>
      </c>
      <c r="Q424" s="19" t="str">
        <f aca="false">IF(OR($A424="",INDEX(_LEITURA!$Q$2:$Q$21,7)=0),"",SUMIFS(DECKS!$D$2:$D$1201,DECKS!$A$2:$A$1201,INDEX(_LEITURA!$P$2:$P$21,7),DECKS!$B$2:$B$1201,$A424))</f>
        <v/>
      </c>
      <c r="R424" s="19" t="str">
        <f aca="false">IF(OR($A424="",INDEX(_LEITURA!$Q$2:$Q$21,8)=0),"",SUMIFS(DECKS!$D$2:$D$1201,DECKS!$A$2:$A$1201,INDEX(_LEITURA!$P$2:$P$21,8),DECKS!$B$2:$B$1201,$A424))</f>
        <v/>
      </c>
      <c r="S424" s="19" t="str">
        <f aca="false">IF(OR($A424="",INDEX(_LEITURA!$Q$2:$Q$21,9)=0),"",SUMIFS(DECKS!$D$2:$D$1201,DECKS!$A$2:$A$1201,INDEX(_LEITURA!$P$2:$P$21,9),DECKS!$B$2:$B$1201,$A424))</f>
        <v/>
      </c>
      <c r="T424" s="19" t="str">
        <f aca="false">IF(OR($A424="",INDEX(_LEITURA!$Q$2:$Q$21,10)=0),"",SUMIFS(DECKS!$D$2:$D$1201,DECKS!$A$2:$A$1201,INDEX(_LEITURA!$P$2:$P$21,10),DECKS!$B$2:$B$1201,$A424))</f>
        <v/>
      </c>
      <c r="U424" s="19" t="str">
        <f aca="false">IF(OR($A424="",INDEX(_LEITURA!$Q$2:$Q$21,11)=0),"",SUMIFS(DECKS!$D$2:$D$1201,DECKS!$A$2:$A$1201,INDEX(_LEITURA!$P$2:$P$21,11),DECKS!$B$2:$B$1201,$A424))</f>
        <v/>
      </c>
      <c r="V424" s="19" t="str">
        <f aca="false">IF(OR($A424="",INDEX(_LEITURA!$Q$2:$Q$21,12)=0),"",SUMIFS(DECKS!$D$2:$D$1201,DECKS!$A$2:$A$1201,INDEX(_LEITURA!$P$2:$P$21,12),DECKS!$B$2:$B$1201,$A424))</f>
        <v/>
      </c>
      <c r="W424" s="19" t="str">
        <f aca="false">IF(OR($A424="",INDEX(_LEITURA!$Q$2:$Q$21,13)=0),"",SUMIFS(DECKS!$D$2:$D$1201,DECKS!$A$2:$A$1201,INDEX(_LEITURA!$P$2:$P$21,13),DECKS!$B$2:$B$1201,$A424))</f>
        <v/>
      </c>
      <c r="X424" s="19" t="str">
        <f aca="false">IF(OR($A424="",INDEX(_LEITURA!$Q$2:$Q$21,14)=0),"",SUMIFS(DECKS!$D$2:$D$1201,DECKS!$A$2:$A$1201,INDEX(_LEITURA!$P$2:$P$21,14),DECKS!$B$2:$B$1201,$A424))</f>
        <v/>
      </c>
      <c r="Y424" s="19" t="str">
        <f aca="false">IF(OR($A424="",INDEX(_LEITURA!$Q$2:$Q$21,15)=0),"",SUMIFS(DECKS!$D$2:$D$1201,DECKS!$A$2:$A$1201,INDEX(_LEITURA!$P$2:$P$21,15),DECKS!$B$2:$B$1201,$A424))</f>
        <v/>
      </c>
      <c r="Z424" s="19" t="str">
        <f aca="false">IF(OR($A424="",INDEX(_LEITURA!$Q$2:$Q$21,16)=0),"",SUMIFS(DECKS!$D$2:$D$1201,DECKS!$A$2:$A$1201,INDEX(_LEITURA!$P$2:$P$21,16),DECKS!$B$2:$B$1201,$A424))</f>
        <v/>
      </c>
      <c r="AA424" s="19" t="str">
        <f aca="false">IF(OR($A424="",INDEX(_LEITURA!$Q$2:$Q$21,17)=0),"",SUMIFS(DECKS!$D$2:$D$1201,DECKS!$A$2:$A$1201,INDEX(_LEITURA!$P$2:$P$21,17),DECKS!$B$2:$B$1201,$A424))</f>
        <v/>
      </c>
      <c r="AB424" s="19" t="str">
        <f aca="false">IF(OR($A424="",INDEX(_LEITURA!$Q$2:$Q$21,18)=0),"",SUMIFS(DECKS!$D$2:$D$1201,DECKS!$A$2:$A$1201,INDEX(_LEITURA!$P$2:$P$21,18),DECKS!$B$2:$B$1201,$A424))</f>
        <v/>
      </c>
      <c r="AC424" s="19" t="str">
        <f aca="false">IF(OR($A424="",INDEX(_LEITURA!$Q$2:$Q$21,19)=0),"",SUMIFS(DECKS!$D$2:$D$1201,DECKS!$A$2:$A$1201,INDEX(_LEITURA!$P$2:$P$21,19),DECKS!$B$2:$B$1201,$A424))</f>
        <v/>
      </c>
      <c r="AD424" s="19" t="str">
        <f aca="false">IF(OR($A424="",INDEX(_LEITURA!$Q$2:$Q$21,20)=0),"",SUMIFS(DECKS!$D$2:$D$1201,DECKS!$A$2:$A$1201,INDEX(_LEITURA!$P$2:$P$21,20),DECKS!$B$2:$B$1201,$A424))</f>
        <v/>
      </c>
      <c r="AE424" s="16" t="str">
        <f aca="false">IF(N(E424)&gt;0,MAX(AE$1:AE423)+1,"")</f>
        <v/>
      </c>
      <c r="AF424" s="11" t="str">
        <f aca="false">IF(A424="","",IFERROR(LEFT(A424,FIND("-",A424)-1),A424))</f>
        <v/>
      </c>
      <c r="AG424" s="11" t="str">
        <f aca="false">IF(AF424="","",IF(ISNUMBER(--MID(AF424,1,1)),0,IF(ISNUMBER(--MID(AF424,2,1)),1,IF(ISNUMBER(--MID(AF424,3,1)),2,IF(ISNUMBER(--MID(AF424,4,1)),3,MIN(LEN(AF424),4))))))</f>
        <v/>
      </c>
      <c r="AH424" s="11" t="str">
        <f aca="false">IF(A424="","",LEFT(AF424,AG424)&amp;REPT("0",4-AG424)&amp;RIGHT("000"&amp;IFERROR(VALUE(MID(AF424,AG424+1,9)),0),3)&amp;RIGHT("0000"&amp;IFERROR(VALUE(MID(A424,FIND("-",A424)+1,9)),0),4))</f>
        <v/>
      </c>
      <c r="AI424" s="11" t="str">
        <f aca="false">IF(OR(A424="",N(E424)&lt;=0),"",IF('FALTAS GERAL'!$M$1="Código","K"&amp;AH424&amp;RIGHT("00000"&amp;ROW(),5),IF('FALTAS GERAL'!$M$1="Nome","K"&amp;UPPER(SUBSTITUTE(SUBSTITUTE(SUBSTITUTE(B424,"*",""),"?",""),"~",""))&amp;"0"&amp;AH424&amp;RIGHT("00000"&amp;ROW(),5),IF('FALTAS GERAL'!$M$1="Falta (maior primeiro)","K"&amp;RIGHT("0000"&amp;(9999-E424),4)&amp;AH424&amp;RIGHT("00000"&amp;ROW(),5),IF('FALTAS GERAL'!$M$1="Nº de decks (maior primeiro)","K"&amp;RIGHT("00"&amp;(99-N(G424)),2)&amp;AH424&amp;RIGHT("00000"&amp;ROW(),5),"K"&amp;RIGHT("00000"&amp;ROW(),5))))))</f>
        <v/>
      </c>
      <c r="AJ424" s="11" t="str">
        <f aca="false">IF(AI424="","",COUNTIFS($AI$2:$AI$801,"&lt;"&amp;AI424,$E$2:$E$801,"&gt;0")+1)</f>
        <v/>
      </c>
      <c r="AK424" s="11" t="str">
        <f aca="false">IF(OR(A424="",N(E424)&lt;=0),"",COUNTIFS($AH$2:$AH$801,"&lt;"&amp;AH424,$E$2:$E$801,"&gt;0")+COUNTIFS($AH$2:AH424,AH424,$E$2:E424,"&gt;0"))</f>
        <v/>
      </c>
    </row>
    <row r="425" customFormat="false" ht="15" hidden="false" customHeight="false" outlineLevel="0" collapsed="false">
      <c r="A425" s="11" t="str">
        <f aca="false">IF(INVENTÁRIO!A425="","",INVENTÁRIO!A425)</f>
        <v/>
      </c>
      <c r="B425" s="11" t="str">
        <f aca="false">IF(A425="","",INVENTÁRIO!B425)</f>
        <v/>
      </c>
      <c r="C425" s="16" t="str">
        <f aca="false">IF(A425="","",INVENTÁRIO!C425)</f>
        <v/>
      </c>
      <c r="D425" s="14" t="str">
        <f aca="false">IF(A425="","",MAX(K425:AD425))</f>
        <v/>
      </c>
      <c r="E425" s="14" t="str">
        <f aca="false">IF(A425="","",MAX(0,D425-C425))</f>
        <v/>
      </c>
      <c r="F425" s="16" t="str">
        <f aca="false">IF(A425="","",IF(D425=0,"Fora dos decks",IF(E425=0,"Completo","Falta")))</f>
        <v/>
      </c>
      <c r="G425" s="16" t="str">
        <f aca="false">IF(A425="","",COUNTIF(K425:AD425,"&gt;0"))</f>
        <v/>
      </c>
      <c r="H425" s="16" t="str">
        <f aca="false">IF(A425="","",IF(G425&gt;1,"Sim",""))</f>
        <v/>
      </c>
      <c r="I425" s="18" t="str">
        <f aca="false">IF(A425="","",SUMIFS(DECKS!$D$2:$D$1201,DECKS!$B$2:$B$1201,A425))</f>
        <v/>
      </c>
      <c r="J425" s="18" t="str">
        <f aca="false">IF(A425="","",MAX(0,I425-C425))</f>
        <v/>
      </c>
      <c r="K425" s="19" t="str">
        <f aca="false">IF(OR($A425="",INDEX(_LEITURA!$Q$2:$Q$21,1)=0),"",SUMIFS(DECKS!$D$2:$D$1201,DECKS!$A$2:$A$1201,INDEX(_LEITURA!$P$2:$P$21,1),DECKS!$B$2:$B$1201,$A425))</f>
        <v/>
      </c>
      <c r="L425" s="19" t="str">
        <f aca="false">IF(OR($A425="",INDEX(_LEITURA!$Q$2:$Q$21,2)=0),"",SUMIFS(DECKS!$D$2:$D$1201,DECKS!$A$2:$A$1201,INDEX(_LEITURA!$P$2:$P$21,2),DECKS!$B$2:$B$1201,$A425))</f>
        <v/>
      </c>
      <c r="M425" s="19" t="str">
        <f aca="false">IF(OR($A425="",INDEX(_LEITURA!$Q$2:$Q$21,3)=0),"",SUMIFS(DECKS!$D$2:$D$1201,DECKS!$A$2:$A$1201,INDEX(_LEITURA!$P$2:$P$21,3),DECKS!$B$2:$B$1201,$A425))</f>
        <v/>
      </c>
      <c r="N425" s="19" t="str">
        <f aca="false">IF(OR($A425="",INDEX(_LEITURA!$Q$2:$Q$21,4)=0),"",SUMIFS(DECKS!$D$2:$D$1201,DECKS!$A$2:$A$1201,INDEX(_LEITURA!$P$2:$P$21,4),DECKS!$B$2:$B$1201,$A425))</f>
        <v/>
      </c>
      <c r="O425" s="19" t="str">
        <f aca="false">IF(OR($A425="",INDEX(_LEITURA!$Q$2:$Q$21,5)=0),"",SUMIFS(DECKS!$D$2:$D$1201,DECKS!$A$2:$A$1201,INDEX(_LEITURA!$P$2:$P$21,5),DECKS!$B$2:$B$1201,$A425))</f>
        <v/>
      </c>
      <c r="P425" s="19" t="str">
        <f aca="false">IF(OR($A425="",INDEX(_LEITURA!$Q$2:$Q$21,6)=0),"",SUMIFS(DECKS!$D$2:$D$1201,DECKS!$A$2:$A$1201,INDEX(_LEITURA!$P$2:$P$21,6),DECKS!$B$2:$B$1201,$A425))</f>
        <v/>
      </c>
      <c r="Q425" s="19" t="str">
        <f aca="false">IF(OR($A425="",INDEX(_LEITURA!$Q$2:$Q$21,7)=0),"",SUMIFS(DECKS!$D$2:$D$1201,DECKS!$A$2:$A$1201,INDEX(_LEITURA!$P$2:$P$21,7),DECKS!$B$2:$B$1201,$A425))</f>
        <v/>
      </c>
      <c r="R425" s="19" t="str">
        <f aca="false">IF(OR($A425="",INDEX(_LEITURA!$Q$2:$Q$21,8)=0),"",SUMIFS(DECKS!$D$2:$D$1201,DECKS!$A$2:$A$1201,INDEX(_LEITURA!$P$2:$P$21,8),DECKS!$B$2:$B$1201,$A425))</f>
        <v/>
      </c>
      <c r="S425" s="19" t="str">
        <f aca="false">IF(OR($A425="",INDEX(_LEITURA!$Q$2:$Q$21,9)=0),"",SUMIFS(DECKS!$D$2:$D$1201,DECKS!$A$2:$A$1201,INDEX(_LEITURA!$P$2:$P$21,9),DECKS!$B$2:$B$1201,$A425))</f>
        <v/>
      </c>
      <c r="T425" s="19" t="str">
        <f aca="false">IF(OR($A425="",INDEX(_LEITURA!$Q$2:$Q$21,10)=0),"",SUMIFS(DECKS!$D$2:$D$1201,DECKS!$A$2:$A$1201,INDEX(_LEITURA!$P$2:$P$21,10),DECKS!$B$2:$B$1201,$A425))</f>
        <v/>
      </c>
      <c r="U425" s="19" t="str">
        <f aca="false">IF(OR($A425="",INDEX(_LEITURA!$Q$2:$Q$21,11)=0),"",SUMIFS(DECKS!$D$2:$D$1201,DECKS!$A$2:$A$1201,INDEX(_LEITURA!$P$2:$P$21,11),DECKS!$B$2:$B$1201,$A425))</f>
        <v/>
      </c>
      <c r="V425" s="19" t="str">
        <f aca="false">IF(OR($A425="",INDEX(_LEITURA!$Q$2:$Q$21,12)=0),"",SUMIFS(DECKS!$D$2:$D$1201,DECKS!$A$2:$A$1201,INDEX(_LEITURA!$P$2:$P$21,12),DECKS!$B$2:$B$1201,$A425))</f>
        <v/>
      </c>
      <c r="W425" s="19" t="str">
        <f aca="false">IF(OR($A425="",INDEX(_LEITURA!$Q$2:$Q$21,13)=0),"",SUMIFS(DECKS!$D$2:$D$1201,DECKS!$A$2:$A$1201,INDEX(_LEITURA!$P$2:$P$21,13),DECKS!$B$2:$B$1201,$A425))</f>
        <v/>
      </c>
      <c r="X425" s="19" t="str">
        <f aca="false">IF(OR($A425="",INDEX(_LEITURA!$Q$2:$Q$21,14)=0),"",SUMIFS(DECKS!$D$2:$D$1201,DECKS!$A$2:$A$1201,INDEX(_LEITURA!$P$2:$P$21,14),DECKS!$B$2:$B$1201,$A425))</f>
        <v/>
      </c>
      <c r="Y425" s="19" t="str">
        <f aca="false">IF(OR($A425="",INDEX(_LEITURA!$Q$2:$Q$21,15)=0),"",SUMIFS(DECKS!$D$2:$D$1201,DECKS!$A$2:$A$1201,INDEX(_LEITURA!$P$2:$P$21,15),DECKS!$B$2:$B$1201,$A425))</f>
        <v/>
      </c>
      <c r="Z425" s="19" t="str">
        <f aca="false">IF(OR($A425="",INDEX(_LEITURA!$Q$2:$Q$21,16)=0),"",SUMIFS(DECKS!$D$2:$D$1201,DECKS!$A$2:$A$1201,INDEX(_LEITURA!$P$2:$P$21,16),DECKS!$B$2:$B$1201,$A425))</f>
        <v/>
      </c>
      <c r="AA425" s="19" t="str">
        <f aca="false">IF(OR($A425="",INDEX(_LEITURA!$Q$2:$Q$21,17)=0),"",SUMIFS(DECKS!$D$2:$D$1201,DECKS!$A$2:$A$1201,INDEX(_LEITURA!$P$2:$P$21,17),DECKS!$B$2:$B$1201,$A425))</f>
        <v/>
      </c>
      <c r="AB425" s="19" t="str">
        <f aca="false">IF(OR($A425="",INDEX(_LEITURA!$Q$2:$Q$21,18)=0),"",SUMIFS(DECKS!$D$2:$D$1201,DECKS!$A$2:$A$1201,INDEX(_LEITURA!$P$2:$P$21,18),DECKS!$B$2:$B$1201,$A425))</f>
        <v/>
      </c>
      <c r="AC425" s="19" t="str">
        <f aca="false">IF(OR($A425="",INDEX(_LEITURA!$Q$2:$Q$21,19)=0),"",SUMIFS(DECKS!$D$2:$D$1201,DECKS!$A$2:$A$1201,INDEX(_LEITURA!$P$2:$P$21,19),DECKS!$B$2:$B$1201,$A425))</f>
        <v/>
      </c>
      <c r="AD425" s="19" t="str">
        <f aca="false">IF(OR($A425="",INDEX(_LEITURA!$Q$2:$Q$21,20)=0),"",SUMIFS(DECKS!$D$2:$D$1201,DECKS!$A$2:$A$1201,INDEX(_LEITURA!$P$2:$P$21,20),DECKS!$B$2:$B$1201,$A425))</f>
        <v/>
      </c>
      <c r="AE425" s="16" t="str">
        <f aca="false">IF(N(E425)&gt;0,MAX(AE$1:AE424)+1,"")</f>
        <v/>
      </c>
      <c r="AF425" s="11" t="str">
        <f aca="false">IF(A425="","",IFERROR(LEFT(A425,FIND("-",A425)-1),A425))</f>
        <v/>
      </c>
      <c r="AG425" s="11" t="str">
        <f aca="false">IF(AF425="","",IF(ISNUMBER(--MID(AF425,1,1)),0,IF(ISNUMBER(--MID(AF425,2,1)),1,IF(ISNUMBER(--MID(AF425,3,1)),2,IF(ISNUMBER(--MID(AF425,4,1)),3,MIN(LEN(AF425),4))))))</f>
        <v/>
      </c>
      <c r="AH425" s="11" t="str">
        <f aca="false">IF(A425="","",LEFT(AF425,AG425)&amp;REPT("0",4-AG425)&amp;RIGHT("000"&amp;IFERROR(VALUE(MID(AF425,AG425+1,9)),0),3)&amp;RIGHT("0000"&amp;IFERROR(VALUE(MID(A425,FIND("-",A425)+1,9)),0),4))</f>
        <v/>
      </c>
      <c r="AI425" s="11" t="str">
        <f aca="false">IF(OR(A425="",N(E425)&lt;=0),"",IF('FALTAS GERAL'!$M$1="Código","K"&amp;AH425&amp;RIGHT("00000"&amp;ROW(),5),IF('FALTAS GERAL'!$M$1="Nome","K"&amp;UPPER(SUBSTITUTE(SUBSTITUTE(SUBSTITUTE(B425,"*",""),"?",""),"~",""))&amp;"0"&amp;AH425&amp;RIGHT("00000"&amp;ROW(),5),IF('FALTAS GERAL'!$M$1="Falta (maior primeiro)","K"&amp;RIGHT("0000"&amp;(9999-E425),4)&amp;AH425&amp;RIGHT("00000"&amp;ROW(),5),IF('FALTAS GERAL'!$M$1="Nº de decks (maior primeiro)","K"&amp;RIGHT("00"&amp;(99-N(G425)),2)&amp;AH425&amp;RIGHT("00000"&amp;ROW(),5),"K"&amp;RIGHT("00000"&amp;ROW(),5))))))</f>
        <v/>
      </c>
      <c r="AJ425" s="11" t="str">
        <f aca="false">IF(AI425="","",COUNTIFS($AI$2:$AI$801,"&lt;"&amp;AI425,$E$2:$E$801,"&gt;0")+1)</f>
        <v/>
      </c>
      <c r="AK425" s="11" t="str">
        <f aca="false">IF(OR(A425="",N(E425)&lt;=0),"",COUNTIFS($AH$2:$AH$801,"&lt;"&amp;AH425,$E$2:$E$801,"&gt;0")+COUNTIFS($AH$2:AH425,AH425,$E$2:E425,"&gt;0"))</f>
        <v/>
      </c>
    </row>
    <row r="426" customFormat="false" ht="15" hidden="false" customHeight="false" outlineLevel="0" collapsed="false">
      <c r="A426" s="11" t="str">
        <f aca="false">IF(INVENTÁRIO!A426="","",INVENTÁRIO!A426)</f>
        <v/>
      </c>
      <c r="B426" s="11" t="str">
        <f aca="false">IF(A426="","",INVENTÁRIO!B426)</f>
        <v/>
      </c>
      <c r="C426" s="16" t="str">
        <f aca="false">IF(A426="","",INVENTÁRIO!C426)</f>
        <v/>
      </c>
      <c r="D426" s="14" t="str">
        <f aca="false">IF(A426="","",MAX(K426:AD426))</f>
        <v/>
      </c>
      <c r="E426" s="14" t="str">
        <f aca="false">IF(A426="","",MAX(0,D426-C426))</f>
        <v/>
      </c>
      <c r="F426" s="16" t="str">
        <f aca="false">IF(A426="","",IF(D426=0,"Fora dos decks",IF(E426=0,"Completo","Falta")))</f>
        <v/>
      </c>
      <c r="G426" s="16" t="str">
        <f aca="false">IF(A426="","",COUNTIF(K426:AD426,"&gt;0"))</f>
        <v/>
      </c>
      <c r="H426" s="16" t="str">
        <f aca="false">IF(A426="","",IF(G426&gt;1,"Sim",""))</f>
        <v/>
      </c>
      <c r="I426" s="18" t="str">
        <f aca="false">IF(A426="","",SUMIFS(DECKS!$D$2:$D$1201,DECKS!$B$2:$B$1201,A426))</f>
        <v/>
      </c>
      <c r="J426" s="18" t="str">
        <f aca="false">IF(A426="","",MAX(0,I426-C426))</f>
        <v/>
      </c>
      <c r="K426" s="19" t="str">
        <f aca="false">IF(OR($A426="",INDEX(_LEITURA!$Q$2:$Q$21,1)=0),"",SUMIFS(DECKS!$D$2:$D$1201,DECKS!$A$2:$A$1201,INDEX(_LEITURA!$P$2:$P$21,1),DECKS!$B$2:$B$1201,$A426))</f>
        <v/>
      </c>
      <c r="L426" s="19" t="str">
        <f aca="false">IF(OR($A426="",INDEX(_LEITURA!$Q$2:$Q$21,2)=0),"",SUMIFS(DECKS!$D$2:$D$1201,DECKS!$A$2:$A$1201,INDEX(_LEITURA!$P$2:$P$21,2),DECKS!$B$2:$B$1201,$A426))</f>
        <v/>
      </c>
      <c r="M426" s="19" t="str">
        <f aca="false">IF(OR($A426="",INDEX(_LEITURA!$Q$2:$Q$21,3)=0),"",SUMIFS(DECKS!$D$2:$D$1201,DECKS!$A$2:$A$1201,INDEX(_LEITURA!$P$2:$P$21,3),DECKS!$B$2:$B$1201,$A426))</f>
        <v/>
      </c>
      <c r="N426" s="19" t="str">
        <f aca="false">IF(OR($A426="",INDEX(_LEITURA!$Q$2:$Q$21,4)=0),"",SUMIFS(DECKS!$D$2:$D$1201,DECKS!$A$2:$A$1201,INDEX(_LEITURA!$P$2:$P$21,4),DECKS!$B$2:$B$1201,$A426))</f>
        <v/>
      </c>
      <c r="O426" s="19" t="str">
        <f aca="false">IF(OR($A426="",INDEX(_LEITURA!$Q$2:$Q$21,5)=0),"",SUMIFS(DECKS!$D$2:$D$1201,DECKS!$A$2:$A$1201,INDEX(_LEITURA!$P$2:$P$21,5),DECKS!$B$2:$B$1201,$A426))</f>
        <v/>
      </c>
      <c r="P426" s="19" t="str">
        <f aca="false">IF(OR($A426="",INDEX(_LEITURA!$Q$2:$Q$21,6)=0),"",SUMIFS(DECKS!$D$2:$D$1201,DECKS!$A$2:$A$1201,INDEX(_LEITURA!$P$2:$P$21,6),DECKS!$B$2:$B$1201,$A426))</f>
        <v/>
      </c>
      <c r="Q426" s="19" t="str">
        <f aca="false">IF(OR($A426="",INDEX(_LEITURA!$Q$2:$Q$21,7)=0),"",SUMIFS(DECKS!$D$2:$D$1201,DECKS!$A$2:$A$1201,INDEX(_LEITURA!$P$2:$P$21,7),DECKS!$B$2:$B$1201,$A426))</f>
        <v/>
      </c>
      <c r="R426" s="19" t="str">
        <f aca="false">IF(OR($A426="",INDEX(_LEITURA!$Q$2:$Q$21,8)=0),"",SUMIFS(DECKS!$D$2:$D$1201,DECKS!$A$2:$A$1201,INDEX(_LEITURA!$P$2:$P$21,8),DECKS!$B$2:$B$1201,$A426))</f>
        <v/>
      </c>
      <c r="S426" s="19" t="str">
        <f aca="false">IF(OR($A426="",INDEX(_LEITURA!$Q$2:$Q$21,9)=0),"",SUMIFS(DECKS!$D$2:$D$1201,DECKS!$A$2:$A$1201,INDEX(_LEITURA!$P$2:$P$21,9),DECKS!$B$2:$B$1201,$A426))</f>
        <v/>
      </c>
      <c r="T426" s="19" t="str">
        <f aca="false">IF(OR($A426="",INDEX(_LEITURA!$Q$2:$Q$21,10)=0),"",SUMIFS(DECKS!$D$2:$D$1201,DECKS!$A$2:$A$1201,INDEX(_LEITURA!$P$2:$P$21,10),DECKS!$B$2:$B$1201,$A426))</f>
        <v/>
      </c>
      <c r="U426" s="19" t="str">
        <f aca="false">IF(OR($A426="",INDEX(_LEITURA!$Q$2:$Q$21,11)=0),"",SUMIFS(DECKS!$D$2:$D$1201,DECKS!$A$2:$A$1201,INDEX(_LEITURA!$P$2:$P$21,11),DECKS!$B$2:$B$1201,$A426))</f>
        <v/>
      </c>
      <c r="V426" s="19" t="str">
        <f aca="false">IF(OR($A426="",INDEX(_LEITURA!$Q$2:$Q$21,12)=0),"",SUMIFS(DECKS!$D$2:$D$1201,DECKS!$A$2:$A$1201,INDEX(_LEITURA!$P$2:$P$21,12),DECKS!$B$2:$B$1201,$A426))</f>
        <v/>
      </c>
      <c r="W426" s="19" t="str">
        <f aca="false">IF(OR($A426="",INDEX(_LEITURA!$Q$2:$Q$21,13)=0),"",SUMIFS(DECKS!$D$2:$D$1201,DECKS!$A$2:$A$1201,INDEX(_LEITURA!$P$2:$P$21,13),DECKS!$B$2:$B$1201,$A426))</f>
        <v/>
      </c>
      <c r="X426" s="19" t="str">
        <f aca="false">IF(OR($A426="",INDEX(_LEITURA!$Q$2:$Q$21,14)=0),"",SUMIFS(DECKS!$D$2:$D$1201,DECKS!$A$2:$A$1201,INDEX(_LEITURA!$P$2:$P$21,14),DECKS!$B$2:$B$1201,$A426))</f>
        <v/>
      </c>
      <c r="Y426" s="19" t="str">
        <f aca="false">IF(OR($A426="",INDEX(_LEITURA!$Q$2:$Q$21,15)=0),"",SUMIFS(DECKS!$D$2:$D$1201,DECKS!$A$2:$A$1201,INDEX(_LEITURA!$P$2:$P$21,15),DECKS!$B$2:$B$1201,$A426))</f>
        <v/>
      </c>
      <c r="Z426" s="19" t="str">
        <f aca="false">IF(OR($A426="",INDEX(_LEITURA!$Q$2:$Q$21,16)=0),"",SUMIFS(DECKS!$D$2:$D$1201,DECKS!$A$2:$A$1201,INDEX(_LEITURA!$P$2:$P$21,16),DECKS!$B$2:$B$1201,$A426))</f>
        <v/>
      </c>
      <c r="AA426" s="19" t="str">
        <f aca="false">IF(OR($A426="",INDEX(_LEITURA!$Q$2:$Q$21,17)=0),"",SUMIFS(DECKS!$D$2:$D$1201,DECKS!$A$2:$A$1201,INDEX(_LEITURA!$P$2:$P$21,17),DECKS!$B$2:$B$1201,$A426))</f>
        <v/>
      </c>
      <c r="AB426" s="19" t="str">
        <f aca="false">IF(OR($A426="",INDEX(_LEITURA!$Q$2:$Q$21,18)=0),"",SUMIFS(DECKS!$D$2:$D$1201,DECKS!$A$2:$A$1201,INDEX(_LEITURA!$P$2:$P$21,18),DECKS!$B$2:$B$1201,$A426))</f>
        <v/>
      </c>
      <c r="AC426" s="19" t="str">
        <f aca="false">IF(OR($A426="",INDEX(_LEITURA!$Q$2:$Q$21,19)=0),"",SUMIFS(DECKS!$D$2:$D$1201,DECKS!$A$2:$A$1201,INDEX(_LEITURA!$P$2:$P$21,19),DECKS!$B$2:$B$1201,$A426))</f>
        <v/>
      </c>
      <c r="AD426" s="19" t="str">
        <f aca="false">IF(OR($A426="",INDEX(_LEITURA!$Q$2:$Q$21,20)=0),"",SUMIFS(DECKS!$D$2:$D$1201,DECKS!$A$2:$A$1201,INDEX(_LEITURA!$P$2:$P$21,20),DECKS!$B$2:$B$1201,$A426))</f>
        <v/>
      </c>
      <c r="AE426" s="16" t="str">
        <f aca="false">IF(N(E426)&gt;0,MAX(AE$1:AE425)+1,"")</f>
        <v/>
      </c>
      <c r="AF426" s="11" t="str">
        <f aca="false">IF(A426="","",IFERROR(LEFT(A426,FIND("-",A426)-1),A426))</f>
        <v/>
      </c>
      <c r="AG426" s="11" t="str">
        <f aca="false">IF(AF426="","",IF(ISNUMBER(--MID(AF426,1,1)),0,IF(ISNUMBER(--MID(AF426,2,1)),1,IF(ISNUMBER(--MID(AF426,3,1)),2,IF(ISNUMBER(--MID(AF426,4,1)),3,MIN(LEN(AF426),4))))))</f>
        <v/>
      </c>
      <c r="AH426" s="11" t="str">
        <f aca="false">IF(A426="","",LEFT(AF426,AG426)&amp;REPT("0",4-AG426)&amp;RIGHT("000"&amp;IFERROR(VALUE(MID(AF426,AG426+1,9)),0),3)&amp;RIGHT("0000"&amp;IFERROR(VALUE(MID(A426,FIND("-",A426)+1,9)),0),4))</f>
        <v/>
      </c>
      <c r="AI426" s="11" t="str">
        <f aca="false">IF(OR(A426="",N(E426)&lt;=0),"",IF('FALTAS GERAL'!$M$1="Código","K"&amp;AH426&amp;RIGHT("00000"&amp;ROW(),5),IF('FALTAS GERAL'!$M$1="Nome","K"&amp;UPPER(SUBSTITUTE(SUBSTITUTE(SUBSTITUTE(B426,"*",""),"?",""),"~",""))&amp;"0"&amp;AH426&amp;RIGHT("00000"&amp;ROW(),5),IF('FALTAS GERAL'!$M$1="Falta (maior primeiro)","K"&amp;RIGHT("0000"&amp;(9999-E426),4)&amp;AH426&amp;RIGHT("00000"&amp;ROW(),5),IF('FALTAS GERAL'!$M$1="Nº de decks (maior primeiro)","K"&amp;RIGHT("00"&amp;(99-N(G426)),2)&amp;AH426&amp;RIGHT("00000"&amp;ROW(),5),"K"&amp;RIGHT("00000"&amp;ROW(),5))))))</f>
        <v/>
      </c>
      <c r="AJ426" s="11" t="str">
        <f aca="false">IF(AI426="","",COUNTIFS($AI$2:$AI$801,"&lt;"&amp;AI426,$E$2:$E$801,"&gt;0")+1)</f>
        <v/>
      </c>
      <c r="AK426" s="11" t="str">
        <f aca="false">IF(OR(A426="",N(E426)&lt;=0),"",COUNTIFS($AH$2:$AH$801,"&lt;"&amp;AH426,$E$2:$E$801,"&gt;0")+COUNTIFS($AH$2:AH426,AH426,$E$2:E426,"&gt;0"))</f>
        <v/>
      </c>
    </row>
    <row r="427" customFormat="false" ht="15" hidden="false" customHeight="false" outlineLevel="0" collapsed="false">
      <c r="A427" s="11" t="str">
        <f aca="false">IF(INVENTÁRIO!A427="","",INVENTÁRIO!A427)</f>
        <v/>
      </c>
      <c r="B427" s="11" t="str">
        <f aca="false">IF(A427="","",INVENTÁRIO!B427)</f>
        <v/>
      </c>
      <c r="C427" s="16" t="str">
        <f aca="false">IF(A427="","",INVENTÁRIO!C427)</f>
        <v/>
      </c>
      <c r="D427" s="14" t="str">
        <f aca="false">IF(A427="","",MAX(K427:AD427))</f>
        <v/>
      </c>
      <c r="E427" s="14" t="str">
        <f aca="false">IF(A427="","",MAX(0,D427-C427))</f>
        <v/>
      </c>
      <c r="F427" s="16" t="str">
        <f aca="false">IF(A427="","",IF(D427=0,"Fora dos decks",IF(E427=0,"Completo","Falta")))</f>
        <v/>
      </c>
      <c r="G427" s="16" t="str">
        <f aca="false">IF(A427="","",COUNTIF(K427:AD427,"&gt;0"))</f>
        <v/>
      </c>
      <c r="H427" s="16" t="str">
        <f aca="false">IF(A427="","",IF(G427&gt;1,"Sim",""))</f>
        <v/>
      </c>
      <c r="I427" s="18" t="str">
        <f aca="false">IF(A427="","",SUMIFS(DECKS!$D$2:$D$1201,DECKS!$B$2:$B$1201,A427))</f>
        <v/>
      </c>
      <c r="J427" s="18" t="str">
        <f aca="false">IF(A427="","",MAX(0,I427-C427))</f>
        <v/>
      </c>
      <c r="K427" s="19" t="str">
        <f aca="false">IF(OR($A427="",INDEX(_LEITURA!$Q$2:$Q$21,1)=0),"",SUMIFS(DECKS!$D$2:$D$1201,DECKS!$A$2:$A$1201,INDEX(_LEITURA!$P$2:$P$21,1),DECKS!$B$2:$B$1201,$A427))</f>
        <v/>
      </c>
      <c r="L427" s="19" t="str">
        <f aca="false">IF(OR($A427="",INDEX(_LEITURA!$Q$2:$Q$21,2)=0),"",SUMIFS(DECKS!$D$2:$D$1201,DECKS!$A$2:$A$1201,INDEX(_LEITURA!$P$2:$P$21,2),DECKS!$B$2:$B$1201,$A427))</f>
        <v/>
      </c>
      <c r="M427" s="19" t="str">
        <f aca="false">IF(OR($A427="",INDEX(_LEITURA!$Q$2:$Q$21,3)=0),"",SUMIFS(DECKS!$D$2:$D$1201,DECKS!$A$2:$A$1201,INDEX(_LEITURA!$P$2:$P$21,3),DECKS!$B$2:$B$1201,$A427))</f>
        <v/>
      </c>
      <c r="N427" s="19" t="str">
        <f aca="false">IF(OR($A427="",INDEX(_LEITURA!$Q$2:$Q$21,4)=0),"",SUMIFS(DECKS!$D$2:$D$1201,DECKS!$A$2:$A$1201,INDEX(_LEITURA!$P$2:$P$21,4),DECKS!$B$2:$B$1201,$A427))</f>
        <v/>
      </c>
      <c r="O427" s="19" t="str">
        <f aca="false">IF(OR($A427="",INDEX(_LEITURA!$Q$2:$Q$21,5)=0),"",SUMIFS(DECKS!$D$2:$D$1201,DECKS!$A$2:$A$1201,INDEX(_LEITURA!$P$2:$P$21,5),DECKS!$B$2:$B$1201,$A427))</f>
        <v/>
      </c>
      <c r="P427" s="19" t="str">
        <f aca="false">IF(OR($A427="",INDEX(_LEITURA!$Q$2:$Q$21,6)=0),"",SUMIFS(DECKS!$D$2:$D$1201,DECKS!$A$2:$A$1201,INDEX(_LEITURA!$P$2:$P$21,6),DECKS!$B$2:$B$1201,$A427))</f>
        <v/>
      </c>
      <c r="Q427" s="19" t="str">
        <f aca="false">IF(OR($A427="",INDEX(_LEITURA!$Q$2:$Q$21,7)=0),"",SUMIFS(DECKS!$D$2:$D$1201,DECKS!$A$2:$A$1201,INDEX(_LEITURA!$P$2:$P$21,7),DECKS!$B$2:$B$1201,$A427))</f>
        <v/>
      </c>
      <c r="R427" s="19" t="str">
        <f aca="false">IF(OR($A427="",INDEX(_LEITURA!$Q$2:$Q$21,8)=0),"",SUMIFS(DECKS!$D$2:$D$1201,DECKS!$A$2:$A$1201,INDEX(_LEITURA!$P$2:$P$21,8),DECKS!$B$2:$B$1201,$A427))</f>
        <v/>
      </c>
      <c r="S427" s="19" t="str">
        <f aca="false">IF(OR($A427="",INDEX(_LEITURA!$Q$2:$Q$21,9)=0),"",SUMIFS(DECKS!$D$2:$D$1201,DECKS!$A$2:$A$1201,INDEX(_LEITURA!$P$2:$P$21,9),DECKS!$B$2:$B$1201,$A427))</f>
        <v/>
      </c>
      <c r="T427" s="19" t="str">
        <f aca="false">IF(OR($A427="",INDEX(_LEITURA!$Q$2:$Q$21,10)=0),"",SUMIFS(DECKS!$D$2:$D$1201,DECKS!$A$2:$A$1201,INDEX(_LEITURA!$P$2:$P$21,10),DECKS!$B$2:$B$1201,$A427))</f>
        <v/>
      </c>
      <c r="U427" s="19" t="str">
        <f aca="false">IF(OR($A427="",INDEX(_LEITURA!$Q$2:$Q$21,11)=0),"",SUMIFS(DECKS!$D$2:$D$1201,DECKS!$A$2:$A$1201,INDEX(_LEITURA!$P$2:$P$21,11),DECKS!$B$2:$B$1201,$A427))</f>
        <v/>
      </c>
      <c r="V427" s="19" t="str">
        <f aca="false">IF(OR($A427="",INDEX(_LEITURA!$Q$2:$Q$21,12)=0),"",SUMIFS(DECKS!$D$2:$D$1201,DECKS!$A$2:$A$1201,INDEX(_LEITURA!$P$2:$P$21,12),DECKS!$B$2:$B$1201,$A427))</f>
        <v/>
      </c>
      <c r="W427" s="19" t="str">
        <f aca="false">IF(OR($A427="",INDEX(_LEITURA!$Q$2:$Q$21,13)=0),"",SUMIFS(DECKS!$D$2:$D$1201,DECKS!$A$2:$A$1201,INDEX(_LEITURA!$P$2:$P$21,13),DECKS!$B$2:$B$1201,$A427))</f>
        <v/>
      </c>
      <c r="X427" s="19" t="str">
        <f aca="false">IF(OR($A427="",INDEX(_LEITURA!$Q$2:$Q$21,14)=0),"",SUMIFS(DECKS!$D$2:$D$1201,DECKS!$A$2:$A$1201,INDEX(_LEITURA!$P$2:$P$21,14),DECKS!$B$2:$B$1201,$A427))</f>
        <v/>
      </c>
      <c r="Y427" s="19" t="str">
        <f aca="false">IF(OR($A427="",INDEX(_LEITURA!$Q$2:$Q$21,15)=0),"",SUMIFS(DECKS!$D$2:$D$1201,DECKS!$A$2:$A$1201,INDEX(_LEITURA!$P$2:$P$21,15),DECKS!$B$2:$B$1201,$A427))</f>
        <v/>
      </c>
      <c r="Z427" s="19" t="str">
        <f aca="false">IF(OR($A427="",INDEX(_LEITURA!$Q$2:$Q$21,16)=0),"",SUMIFS(DECKS!$D$2:$D$1201,DECKS!$A$2:$A$1201,INDEX(_LEITURA!$P$2:$P$21,16),DECKS!$B$2:$B$1201,$A427))</f>
        <v/>
      </c>
      <c r="AA427" s="19" t="str">
        <f aca="false">IF(OR($A427="",INDEX(_LEITURA!$Q$2:$Q$21,17)=0),"",SUMIFS(DECKS!$D$2:$D$1201,DECKS!$A$2:$A$1201,INDEX(_LEITURA!$P$2:$P$21,17),DECKS!$B$2:$B$1201,$A427))</f>
        <v/>
      </c>
      <c r="AB427" s="19" t="str">
        <f aca="false">IF(OR($A427="",INDEX(_LEITURA!$Q$2:$Q$21,18)=0),"",SUMIFS(DECKS!$D$2:$D$1201,DECKS!$A$2:$A$1201,INDEX(_LEITURA!$P$2:$P$21,18),DECKS!$B$2:$B$1201,$A427))</f>
        <v/>
      </c>
      <c r="AC427" s="19" t="str">
        <f aca="false">IF(OR($A427="",INDEX(_LEITURA!$Q$2:$Q$21,19)=0),"",SUMIFS(DECKS!$D$2:$D$1201,DECKS!$A$2:$A$1201,INDEX(_LEITURA!$P$2:$P$21,19),DECKS!$B$2:$B$1201,$A427))</f>
        <v/>
      </c>
      <c r="AD427" s="19" t="str">
        <f aca="false">IF(OR($A427="",INDEX(_LEITURA!$Q$2:$Q$21,20)=0),"",SUMIFS(DECKS!$D$2:$D$1201,DECKS!$A$2:$A$1201,INDEX(_LEITURA!$P$2:$P$21,20),DECKS!$B$2:$B$1201,$A427))</f>
        <v/>
      </c>
      <c r="AE427" s="16" t="str">
        <f aca="false">IF(N(E427)&gt;0,MAX(AE$1:AE426)+1,"")</f>
        <v/>
      </c>
      <c r="AF427" s="11" t="str">
        <f aca="false">IF(A427="","",IFERROR(LEFT(A427,FIND("-",A427)-1),A427))</f>
        <v/>
      </c>
      <c r="AG427" s="11" t="str">
        <f aca="false">IF(AF427="","",IF(ISNUMBER(--MID(AF427,1,1)),0,IF(ISNUMBER(--MID(AF427,2,1)),1,IF(ISNUMBER(--MID(AF427,3,1)),2,IF(ISNUMBER(--MID(AF427,4,1)),3,MIN(LEN(AF427),4))))))</f>
        <v/>
      </c>
      <c r="AH427" s="11" t="str">
        <f aca="false">IF(A427="","",LEFT(AF427,AG427)&amp;REPT("0",4-AG427)&amp;RIGHT("000"&amp;IFERROR(VALUE(MID(AF427,AG427+1,9)),0),3)&amp;RIGHT("0000"&amp;IFERROR(VALUE(MID(A427,FIND("-",A427)+1,9)),0),4))</f>
        <v/>
      </c>
      <c r="AI427" s="11" t="str">
        <f aca="false">IF(OR(A427="",N(E427)&lt;=0),"",IF('FALTAS GERAL'!$M$1="Código","K"&amp;AH427&amp;RIGHT("00000"&amp;ROW(),5),IF('FALTAS GERAL'!$M$1="Nome","K"&amp;UPPER(SUBSTITUTE(SUBSTITUTE(SUBSTITUTE(B427,"*",""),"?",""),"~",""))&amp;"0"&amp;AH427&amp;RIGHT("00000"&amp;ROW(),5),IF('FALTAS GERAL'!$M$1="Falta (maior primeiro)","K"&amp;RIGHT("0000"&amp;(9999-E427),4)&amp;AH427&amp;RIGHT("00000"&amp;ROW(),5),IF('FALTAS GERAL'!$M$1="Nº de decks (maior primeiro)","K"&amp;RIGHT("00"&amp;(99-N(G427)),2)&amp;AH427&amp;RIGHT("00000"&amp;ROW(),5),"K"&amp;RIGHT("00000"&amp;ROW(),5))))))</f>
        <v/>
      </c>
      <c r="AJ427" s="11" t="str">
        <f aca="false">IF(AI427="","",COUNTIFS($AI$2:$AI$801,"&lt;"&amp;AI427,$E$2:$E$801,"&gt;0")+1)</f>
        <v/>
      </c>
      <c r="AK427" s="11" t="str">
        <f aca="false">IF(OR(A427="",N(E427)&lt;=0),"",COUNTIFS($AH$2:$AH$801,"&lt;"&amp;AH427,$E$2:$E$801,"&gt;0")+COUNTIFS($AH$2:AH427,AH427,$E$2:E427,"&gt;0"))</f>
        <v/>
      </c>
    </row>
    <row r="428" customFormat="false" ht="15" hidden="false" customHeight="false" outlineLevel="0" collapsed="false">
      <c r="A428" s="11" t="str">
        <f aca="false">IF(INVENTÁRIO!A428="","",INVENTÁRIO!A428)</f>
        <v/>
      </c>
      <c r="B428" s="11" t="str">
        <f aca="false">IF(A428="","",INVENTÁRIO!B428)</f>
        <v/>
      </c>
      <c r="C428" s="16" t="str">
        <f aca="false">IF(A428="","",INVENTÁRIO!C428)</f>
        <v/>
      </c>
      <c r="D428" s="14" t="str">
        <f aca="false">IF(A428="","",MAX(K428:AD428))</f>
        <v/>
      </c>
      <c r="E428" s="14" t="str">
        <f aca="false">IF(A428="","",MAX(0,D428-C428))</f>
        <v/>
      </c>
      <c r="F428" s="16" t="str">
        <f aca="false">IF(A428="","",IF(D428=0,"Fora dos decks",IF(E428=0,"Completo","Falta")))</f>
        <v/>
      </c>
      <c r="G428" s="16" t="str">
        <f aca="false">IF(A428="","",COUNTIF(K428:AD428,"&gt;0"))</f>
        <v/>
      </c>
      <c r="H428" s="16" t="str">
        <f aca="false">IF(A428="","",IF(G428&gt;1,"Sim",""))</f>
        <v/>
      </c>
      <c r="I428" s="18" t="str">
        <f aca="false">IF(A428="","",SUMIFS(DECKS!$D$2:$D$1201,DECKS!$B$2:$B$1201,A428))</f>
        <v/>
      </c>
      <c r="J428" s="18" t="str">
        <f aca="false">IF(A428="","",MAX(0,I428-C428))</f>
        <v/>
      </c>
      <c r="K428" s="19" t="str">
        <f aca="false">IF(OR($A428="",INDEX(_LEITURA!$Q$2:$Q$21,1)=0),"",SUMIFS(DECKS!$D$2:$D$1201,DECKS!$A$2:$A$1201,INDEX(_LEITURA!$P$2:$P$21,1),DECKS!$B$2:$B$1201,$A428))</f>
        <v/>
      </c>
      <c r="L428" s="19" t="str">
        <f aca="false">IF(OR($A428="",INDEX(_LEITURA!$Q$2:$Q$21,2)=0),"",SUMIFS(DECKS!$D$2:$D$1201,DECKS!$A$2:$A$1201,INDEX(_LEITURA!$P$2:$P$21,2),DECKS!$B$2:$B$1201,$A428))</f>
        <v/>
      </c>
      <c r="M428" s="19" t="str">
        <f aca="false">IF(OR($A428="",INDEX(_LEITURA!$Q$2:$Q$21,3)=0),"",SUMIFS(DECKS!$D$2:$D$1201,DECKS!$A$2:$A$1201,INDEX(_LEITURA!$P$2:$P$21,3),DECKS!$B$2:$B$1201,$A428))</f>
        <v/>
      </c>
      <c r="N428" s="19" t="str">
        <f aca="false">IF(OR($A428="",INDEX(_LEITURA!$Q$2:$Q$21,4)=0),"",SUMIFS(DECKS!$D$2:$D$1201,DECKS!$A$2:$A$1201,INDEX(_LEITURA!$P$2:$P$21,4),DECKS!$B$2:$B$1201,$A428))</f>
        <v/>
      </c>
      <c r="O428" s="19" t="str">
        <f aca="false">IF(OR($A428="",INDEX(_LEITURA!$Q$2:$Q$21,5)=0),"",SUMIFS(DECKS!$D$2:$D$1201,DECKS!$A$2:$A$1201,INDEX(_LEITURA!$P$2:$P$21,5),DECKS!$B$2:$B$1201,$A428))</f>
        <v/>
      </c>
      <c r="P428" s="19" t="str">
        <f aca="false">IF(OR($A428="",INDEX(_LEITURA!$Q$2:$Q$21,6)=0),"",SUMIFS(DECKS!$D$2:$D$1201,DECKS!$A$2:$A$1201,INDEX(_LEITURA!$P$2:$P$21,6),DECKS!$B$2:$B$1201,$A428))</f>
        <v/>
      </c>
      <c r="Q428" s="19" t="str">
        <f aca="false">IF(OR($A428="",INDEX(_LEITURA!$Q$2:$Q$21,7)=0),"",SUMIFS(DECKS!$D$2:$D$1201,DECKS!$A$2:$A$1201,INDEX(_LEITURA!$P$2:$P$21,7),DECKS!$B$2:$B$1201,$A428))</f>
        <v/>
      </c>
      <c r="R428" s="19" t="str">
        <f aca="false">IF(OR($A428="",INDEX(_LEITURA!$Q$2:$Q$21,8)=0),"",SUMIFS(DECKS!$D$2:$D$1201,DECKS!$A$2:$A$1201,INDEX(_LEITURA!$P$2:$P$21,8),DECKS!$B$2:$B$1201,$A428))</f>
        <v/>
      </c>
      <c r="S428" s="19" t="str">
        <f aca="false">IF(OR($A428="",INDEX(_LEITURA!$Q$2:$Q$21,9)=0),"",SUMIFS(DECKS!$D$2:$D$1201,DECKS!$A$2:$A$1201,INDEX(_LEITURA!$P$2:$P$21,9),DECKS!$B$2:$B$1201,$A428))</f>
        <v/>
      </c>
      <c r="T428" s="19" t="str">
        <f aca="false">IF(OR($A428="",INDEX(_LEITURA!$Q$2:$Q$21,10)=0),"",SUMIFS(DECKS!$D$2:$D$1201,DECKS!$A$2:$A$1201,INDEX(_LEITURA!$P$2:$P$21,10),DECKS!$B$2:$B$1201,$A428))</f>
        <v/>
      </c>
      <c r="U428" s="19" t="str">
        <f aca="false">IF(OR($A428="",INDEX(_LEITURA!$Q$2:$Q$21,11)=0),"",SUMIFS(DECKS!$D$2:$D$1201,DECKS!$A$2:$A$1201,INDEX(_LEITURA!$P$2:$P$21,11),DECKS!$B$2:$B$1201,$A428))</f>
        <v/>
      </c>
      <c r="V428" s="19" t="str">
        <f aca="false">IF(OR($A428="",INDEX(_LEITURA!$Q$2:$Q$21,12)=0),"",SUMIFS(DECKS!$D$2:$D$1201,DECKS!$A$2:$A$1201,INDEX(_LEITURA!$P$2:$P$21,12),DECKS!$B$2:$B$1201,$A428))</f>
        <v/>
      </c>
      <c r="W428" s="19" t="str">
        <f aca="false">IF(OR($A428="",INDEX(_LEITURA!$Q$2:$Q$21,13)=0),"",SUMIFS(DECKS!$D$2:$D$1201,DECKS!$A$2:$A$1201,INDEX(_LEITURA!$P$2:$P$21,13),DECKS!$B$2:$B$1201,$A428))</f>
        <v/>
      </c>
      <c r="X428" s="19" t="str">
        <f aca="false">IF(OR($A428="",INDEX(_LEITURA!$Q$2:$Q$21,14)=0),"",SUMIFS(DECKS!$D$2:$D$1201,DECKS!$A$2:$A$1201,INDEX(_LEITURA!$P$2:$P$21,14),DECKS!$B$2:$B$1201,$A428))</f>
        <v/>
      </c>
      <c r="Y428" s="19" t="str">
        <f aca="false">IF(OR($A428="",INDEX(_LEITURA!$Q$2:$Q$21,15)=0),"",SUMIFS(DECKS!$D$2:$D$1201,DECKS!$A$2:$A$1201,INDEX(_LEITURA!$P$2:$P$21,15),DECKS!$B$2:$B$1201,$A428))</f>
        <v/>
      </c>
      <c r="Z428" s="19" t="str">
        <f aca="false">IF(OR($A428="",INDEX(_LEITURA!$Q$2:$Q$21,16)=0),"",SUMIFS(DECKS!$D$2:$D$1201,DECKS!$A$2:$A$1201,INDEX(_LEITURA!$P$2:$P$21,16),DECKS!$B$2:$B$1201,$A428))</f>
        <v/>
      </c>
      <c r="AA428" s="19" t="str">
        <f aca="false">IF(OR($A428="",INDEX(_LEITURA!$Q$2:$Q$21,17)=0),"",SUMIFS(DECKS!$D$2:$D$1201,DECKS!$A$2:$A$1201,INDEX(_LEITURA!$P$2:$P$21,17),DECKS!$B$2:$B$1201,$A428))</f>
        <v/>
      </c>
      <c r="AB428" s="19" t="str">
        <f aca="false">IF(OR($A428="",INDEX(_LEITURA!$Q$2:$Q$21,18)=0),"",SUMIFS(DECKS!$D$2:$D$1201,DECKS!$A$2:$A$1201,INDEX(_LEITURA!$P$2:$P$21,18),DECKS!$B$2:$B$1201,$A428))</f>
        <v/>
      </c>
      <c r="AC428" s="19" t="str">
        <f aca="false">IF(OR($A428="",INDEX(_LEITURA!$Q$2:$Q$21,19)=0),"",SUMIFS(DECKS!$D$2:$D$1201,DECKS!$A$2:$A$1201,INDEX(_LEITURA!$P$2:$P$21,19),DECKS!$B$2:$B$1201,$A428))</f>
        <v/>
      </c>
      <c r="AD428" s="19" t="str">
        <f aca="false">IF(OR($A428="",INDEX(_LEITURA!$Q$2:$Q$21,20)=0),"",SUMIFS(DECKS!$D$2:$D$1201,DECKS!$A$2:$A$1201,INDEX(_LEITURA!$P$2:$P$21,20),DECKS!$B$2:$B$1201,$A428))</f>
        <v/>
      </c>
      <c r="AE428" s="16" t="str">
        <f aca="false">IF(N(E428)&gt;0,MAX(AE$1:AE427)+1,"")</f>
        <v/>
      </c>
      <c r="AF428" s="11" t="str">
        <f aca="false">IF(A428="","",IFERROR(LEFT(A428,FIND("-",A428)-1),A428))</f>
        <v/>
      </c>
      <c r="AG428" s="11" t="str">
        <f aca="false">IF(AF428="","",IF(ISNUMBER(--MID(AF428,1,1)),0,IF(ISNUMBER(--MID(AF428,2,1)),1,IF(ISNUMBER(--MID(AF428,3,1)),2,IF(ISNUMBER(--MID(AF428,4,1)),3,MIN(LEN(AF428),4))))))</f>
        <v/>
      </c>
      <c r="AH428" s="11" t="str">
        <f aca="false">IF(A428="","",LEFT(AF428,AG428)&amp;REPT("0",4-AG428)&amp;RIGHT("000"&amp;IFERROR(VALUE(MID(AF428,AG428+1,9)),0),3)&amp;RIGHT("0000"&amp;IFERROR(VALUE(MID(A428,FIND("-",A428)+1,9)),0),4))</f>
        <v/>
      </c>
      <c r="AI428" s="11" t="str">
        <f aca="false">IF(OR(A428="",N(E428)&lt;=0),"",IF('FALTAS GERAL'!$M$1="Código","K"&amp;AH428&amp;RIGHT("00000"&amp;ROW(),5),IF('FALTAS GERAL'!$M$1="Nome","K"&amp;UPPER(SUBSTITUTE(SUBSTITUTE(SUBSTITUTE(B428,"*",""),"?",""),"~",""))&amp;"0"&amp;AH428&amp;RIGHT("00000"&amp;ROW(),5),IF('FALTAS GERAL'!$M$1="Falta (maior primeiro)","K"&amp;RIGHT("0000"&amp;(9999-E428),4)&amp;AH428&amp;RIGHT("00000"&amp;ROW(),5),IF('FALTAS GERAL'!$M$1="Nº de decks (maior primeiro)","K"&amp;RIGHT("00"&amp;(99-N(G428)),2)&amp;AH428&amp;RIGHT("00000"&amp;ROW(),5),"K"&amp;RIGHT("00000"&amp;ROW(),5))))))</f>
        <v/>
      </c>
      <c r="AJ428" s="11" t="str">
        <f aca="false">IF(AI428="","",COUNTIFS($AI$2:$AI$801,"&lt;"&amp;AI428,$E$2:$E$801,"&gt;0")+1)</f>
        <v/>
      </c>
      <c r="AK428" s="11" t="str">
        <f aca="false">IF(OR(A428="",N(E428)&lt;=0),"",COUNTIFS($AH$2:$AH$801,"&lt;"&amp;AH428,$E$2:$E$801,"&gt;0")+COUNTIFS($AH$2:AH428,AH428,$E$2:E428,"&gt;0"))</f>
        <v/>
      </c>
    </row>
    <row r="429" customFormat="false" ht="15" hidden="false" customHeight="false" outlineLevel="0" collapsed="false">
      <c r="A429" s="11" t="str">
        <f aca="false">IF(INVENTÁRIO!A429="","",INVENTÁRIO!A429)</f>
        <v/>
      </c>
      <c r="B429" s="11" t="str">
        <f aca="false">IF(A429="","",INVENTÁRIO!B429)</f>
        <v/>
      </c>
      <c r="C429" s="16" t="str">
        <f aca="false">IF(A429="","",INVENTÁRIO!C429)</f>
        <v/>
      </c>
      <c r="D429" s="14" t="str">
        <f aca="false">IF(A429="","",MAX(K429:AD429))</f>
        <v/>
      </c>
      <c r="E429" s="14" t="str">
        <f aca="false">IF(A429="","",MAX(0,D429-C429))</f>
        <v/>
      </c>
      <c r="F429" s="16" t="str">
        <f aca="false">IF(A429="","",IF(D429=0,"Fora dos decks",IF(E429=0,"Completo","Falta")))</f>
        <v/>
      </c>
      <c r="G429" s="16" t="str">
        <f aca="false">IF(A429="","",COUNTIF(K429:AD429,"&gt;0"))</f>
        <v/>
      </c>
      <c r="H429" s="16" t="str">
        <f aca="false">IF(A429="","",IF(G429&gt;1,"Sim",""))</f>
        <v/>
      </c>
      <c r="I429" s="18" t="str">
        <f aca="false">IF(A429="","",SUMIFS(DECKS!$D$2:$D$1201,DECKS!$B$2:$B$1201,A429))</f>
        <v/>
      </c>
      <c r="J429" s="18" t="str">
        <f aca="false">IF(A429="","",MAX(0,I429-C429))</f>
        <v/>
      </c>
      <c r="K429" s="19" t="str">
        <f aca="false">IF(OR($A429="",INDEX(_LEITURA!$Q$2:$Q$21,1)=0),"",SUMIFS(DECKS!$D$2:$D$1201,DECKS!$A$2:$A$1201,INDEX(_LEITURA!$P$2:$P$21,1),DECKS!$B$2:$B$1201,$A429))</f>
        <v/>
      </c>
      <c r="L429" s="19" t="str">
        <f aca="false">IF(OR($A429="",INDEX(_LEITURA!$Q$2:$Q$21,2)=0),"",SUMIFS(DECKS!$D$2:$D$1201,DECKS!$A$2:$A$1201,INDEX(_LEITURA!$P$2:$P$21,2),DECKS!$B$2:$B$1201,$A429))</f>
        <v/>
      </c>
      <c r="M429" s="19" t="str">
        <f aca="false">IF(OR($A429="",INDEX(_LEITURA!$Q$2:$Q$21,3)=0),"",SUMIFS(DECKS!$D$2:$D$1201,DECKS!$A$2:$A$1201,INDEX(_LEITURA!$P$2:$P$21,3),DECKS!$B$2:$B$1201,$A429))</f>
        <v/>
      </c>
      <c r="N429" s="19" t="str">
        <f aca="false">IF(OR($A429="",INDEX(_LEITURA!$Q$2:$Q$21,4)=0),"",SUMIFS(DECKS!$D$2:$D$1201,DECKS!$A$2:$A$1201,INDEX(_LEITURA!$P$2:$P$21,4),DECKS!$B$2:$B$1201,$A429))</f>
        <v/>
      </c>
      <c r="O429" s="19" t="str">
        <f aca="false">IF(OR($A429="",INDEX(_LEITURA!$Q$2:$Q$21,5)=0),"",SUMIFS(DECKS!$D$2:$D$1201,DECKS!$A$2:$A$1201,INDEX(_LEITURA!$P$2:$P$21,5),DECKS!$B$2:$B$1201,$A429))</f>
        <v/>
      </c>
      <c r="P429" s="19" t="str">
        <f aca="false">IF(OR($A429="",INDEX(_LEITURA!$Q$2:$Q$21,6)=0),"",SUMIFS(DECKS!$D$2:$D$1201,DECKS!$A$2:$A$1201,INDEX(_LEITURA!$P$2:$P$21,6),DECKS!$B$2:$B$1201,$A429))</f>
        <v/>
      </c>
      <c r="Q429" s="19" t="str">
        <f aca="false">IF(OR($A429="",INDEX(_LEITURA!$Q$2:$Q$21,7)=0),"",SUMIFS(DECKS!$D$2:$D$1201,DECKS!$A$2:$A$1201,INDEX(_LEITURA!$P$2:$P$21,7),DECKS!$B$2:$B$1201,$A429))</f>
        <v/>
      </c>
      <c r="R429" s="19" t="str">
        <f aca="false">IF(OR($A429="",INDEX(_LEITURA!$Q$2:$Q$21,8)=0),"",SUMIFS(DECKS!$D$2:$D$1201,DECKS!$A$2:$A$1201,INDEX(_LEITURA!$P$2:$P$21,8),DECKS!$B$2:$B$1201,$A429))</f>
        <v/>
      </c>
      <c r="S429" s="19" t="str">
        <f aca="false">IF(OR($A429="",INDEX(_LEITURA!$Q$2:$Q$21,9)=0),"",SUMIFS(DECKS!$D$2:$D$1201,DECKS!$A$2:$A$1201,INDEX(_LEITURA!$P$2:$P$21,9),DECKS!$B$2:$B$1201,$A429))</f>
        <v/>
      </c>
      <c r="T429" s="19" t="str">
        <f aca="false">IF(OR($A429="",INDEX(_LEITURA!$Q$2:$Q$21,10)=0),"",SUMIFS(DECKS!$D$2:$D$1201,DECKS!$A$2:$A$1201,INDEX(_LEITURA!$P$2:$P$21,10),DECKS!$B$2:$B$1201,$A429))</f>
        <v/>
      </c>
      <c r="U429" s="19" t="str">
        <f aca="false">IF(OR($A429="",INDEX(_LEITURA!$Q$2:$Q$21,11)=0),"",SUMIFS(DECKS!$D$2:$D$1201,DECKS!$A$2:$A$1201,INDEX(_LEITURA!$P$2:$P$21,11),DECKS!$B$2:$B$1201,$A429))</f>
        <v/>
      </c>
      <c r="V429" s="19" t="str">
        <f aca="false">IF(OR($A429="",INDEX(_LEITURA!$Q$2:$Q$21,12)=0),"",SUMIFS(DECKS!$D$2:$D$1201,DECKS!$A$2:$A$1201,INDEX(_LEITURA!$P$2:$P$21,12),DECKS!$B$2:$B$1201,$A429))</f>
        <v/>
      </c>
      <c r="W429" s="19" t="str">
        <f aca="false">IF(OR($A429="",INDEX(_LEITURA!$Q$2:$Q$21,13)=0),"",SUMIFS(DECKS!$D$2:$D$1201,DECKS!$A$2:$A$1201,INDEX(_LEITURA!$P$2:$P$21,13),DECKS!$B$2:$B$1201,$A429))</f>
        <v/>
      </c>
      <c r="X429" s="19" t="str">
        <f aca="false">IF(OR($A429="",INDEX(_LEITURA!$Q$2:$Q$21,14)=0),"",SUMIFS(DECKS!$D$2:$D$1201,DECKS!$A$2:$A$1201,INDEX(_LEITURA!$P$2:$P$21,14),DECKS!$B$2:$B$1201,$A429))</f>
        <v/>
      </c>
      <c r="Y429" s="19" t="str">
        <f aca="false">IF(OR($A429="",INDEX(_LEITURA!$Q$2:$Q$21,15)=0),"",SUMIFS(DECKS!$D$2:$D$1201,DECKS!$A$2:$A$1201,INDEX(_LEITURA!$P$2:$P$21,15),DECKS!$B$2:$B$1201,$A429))</f>
        <v/>
      </c>
      <c r="Z429" s="19" t="str">
        <f aca="false">IF(OR($A429="",INDEX(_LEITURA!$Q$2:$Q$21,16)=0),"",SUMIFS(DECKS!$D$2:$D$1201,DECKS!$A$2:$A$1201,INDEX(_LEITURA!$P$2:$P$21,16),DECKS!$B$2:$B$1201,$A429))</f>
        <v/>
      </c>
      <c r="AA429" s="19" t="str">
        <f aca="false">IF(OR($A429="",INDEX(_LEITURA!$Q$2:$Q$21,17)=0),"",SUMIFS(DECKS!$D$2:$D$1201,DECKS!$A$2:$A$1201,INDEX(_LEITURA!$P$2:$P$21,17),DECKS!$B$2:$B$1201,$A429))</f>
        <v/>
      </c>
      <c r="AB429" s="19" t="str">
        <f aca="false">IF(OR($A429="",INDEX(_LEITURA!$Q$2:$Q$21,18)=0),"",SUMIFS(DECKS!$D$2:$D$1201,DECKS!$A$2:$A$1201,INDEX(_LEITURA!$P$2:$P$21,18),DECKS!$B$2:$B$1201,$A429))</f>
        <v/>
      </c>
      <c r="AC429" s="19" t="str">
        <f aca="false">IF(OR($A429="",INDEX(_LEITURA!$Q$2:$Q$21,19)=0),"",SUMIFS(DECKS!$D$2:$D$1201,DECKS!$A$2:$A$1201,INDEX(_LEITURA!$P$2:$P$21,19),DECKS!$B$2:$B$1201,$A429))</f>
        <v/>
      </c>
      <c r="AD429" s="19" t="str">
        <f aca="false">IF(OR($A429="",INDEX(_LEITURA!$Q$2:$Q$21,20)=0),"",SUMIFS(DECKS!$D$2:$D$1201,DECKS!$A$2:$A$1201,INDEX(_LEITURA!$P$2:$P$21,20),DECKS!$B$2:$B$1201,$A429))</f>
        <v/>
      </c>
      <c r="AE429" s="16" t="str">
        <f aca="false">IF(N(E429)&gt;0,MAX(AE$1:AE428)+1,"")</f>
        <v/>
      </c>
      <c r="AF429" s="11" t="str">
        <f aca="false">IF(A429="","",IFERROR(LEFT(A429,FIND("-",A429)-1),A429))</f>
        <v/>
      </c>
      <c r="AG429" s="11" t="str">
        <f aca="false">IF(AF429="","",IF(ISNUMBER(--MID(AF429,1,1)),0,IF(ISNUMBER(--MID(AF429,2,1)),1,IF(ISNUMBER(--MID(AF429,3,1)),2,IF(ISNUMBER(--MID(AF429,4,1)),3,MIN(LEN(AF429),4))))))</f>
        <v/>
      </c>
      <c r="AH429" s="11" t="str">
        <f aca="false">IF(A429="","",LEFT(AF429,AG429)&amp;REPT("0",4-AG429)&amp;RIGHT("000"&amp;IFERROR(VALUE(MID(AF429,AG429+1,9)),0),3)&amp;RIGHT("0000"&amp;IFERROR(VALUE(MID(A429,FIND("-",A429)+1,9)),0),4))</f>
        <v/>
      </c>
      <c r="AI429" s="11" t="str">
        <f aca="false">IF(OR(A429="",N(E429)&lt;=0),"",IF('FALTAS GERAL'!$M$1="Código","K"&amp;AH429&amp;RIGHT("00000"&amp;ROW(),5),IF('FALTAS GERAL'!$M$1="Nome","K"&amp;UPPER(SUBSTITUTE(SUBSTITUTE(SUBSTITUTE(B429,"*",""),"?",""),"~",""))&amp;"0"&amp;AH429&amp;RIGHT("00000"&amp;ROW(),5),IF('FALTAS GERAL'!$M$1="Falta (maior primeiro)","K"&amp;RIGHT("0000"&amp;(9999-E429),4)&amp;AH429&amp;RIGHT("00000"&amp;ROW(),5),IF('FALTAS GERAL'!$M$1="Nº de decks (maior primeiro)","K"&amp;RIGHT("00"&amp;(99-N(G429)),2)&amp;AH429&amp;RIGHT("00000"&amp;ROW(),5),"K"&amp;RIGHT("00000"&amp;ROW(),5))))))</f>
        <v/>
      </c>
      <c r="AJ429" s="11" t="str">
        <f aca="false">IF(AI429="","",COUNTIFS($AI$2:$AI$801,"&lt;"&amp;AI429,$E$2:$E$801,"&gt;0")+1)</f>
        <v/>
      </c>
      <c r="AK429" s="11" t="str">
        <f aca="false">IF(OR(A429="",N(E429)&lt;=0),"",COUNTIFS($AH$2:$AH$801,"&lt;"&amp;AH429,$E$2:$E$801,"&gt;0")+COUNTIFS($AH$2:AH429,AH429,$E$2:E429,"&gt;0"))</f>
        <v/>
      </c>
    </row>
    <row r="430" customFormat="false" ht="15" hidden="false" customHeight="false" outlineLevel="0" collapsed="false">
      <c r="A430" s="11" t="str">
        <f aca="false">IF(INVENTÁRIO!A430="","",INVENTÁRIO!A430)</f>
        <v/>
      </c>
      <c r="B430" s="11" t="str">
        <f aca="false">IF(A430="","",INVENTÁRIO!B430)</f>
        <v/>
      </c>
      <c r="C430" s="16" t="str">
        <f aca="false">IF(A430="","",INVENTÁRIO!C430)</f>
        <v/>
      </c>
      <c r="D430" s="14" t="str">
        <f aca="false">IF(A430="","",MAX(K430:AD430))</f>
        <v/>
      </c>
      <c r="E430" s="14" t="str">
        <f aca="false">IF(A430="","",MAX(0,D430-C430))</f>
        <v/>
      </c>
      <c r="F430" s="16" t="str">
        <f aca="false">IF(A430="","",IF(D430=0,"Fora dos decks",IF(E430=0,"Completo","Falta")))</f>
        <v/>
      </c>
      <c r="G430" s="16" t="str">
        <f aca="false">IF(A430="","",COUNTIF(K430:AD430,"&gt;0"))</f>
        <v/>
      </c>
      <c r="H430" s="16" t="str">
        <f aca="false">IF(A430="","",IF(G430&gt;1,"Sim",""))</f>
        <v/>
      </c>
      <c r="I430" s="18" t="str">
        <f aca="false">IF(A430="","",SUMIFS(DECKS!$D$2:$D$1201,DECKS!$B$2:$B$1201,A430))</f>
        <v/>
      </c>
      <c r="J430" s="18" t="str">
        <f aca="false">IF(A430="","",MAX(0,I430-C430))</f>
        <v/>
      </c>
      <c r="K430" s="19" t="str">
        <f aca="false">IF(OR($A430="",INDEX(_LEITURA!$Q$2:$Q$21,1)=0),"",SUMIFS(DECKS!$D$2:$D$1201,DECKS!$A$2:$A$1201,INDEX(_LEITURA!$P$2:$P$21,1),DECKS!$B$2:$B$1201,$A430))</f>
        <v/>
      </c>
      <c r="L430" s="19" t="str">
        <f aca="false">IF(OR($A430="",INDEX(_LEITURA!$Q$2:$Q$21,2)=0),"",SUMIFS(DECKS!$D$2:$D$1201,DECKS!$A$2:$A$1201,INDEX(_LEITURA!$P$2:$P$21,2),DECKS!$B$2:$B$1201,$A430))</f>
        <v/>
      </c>
      <c r="M430" s="19" t="str">
        <f aca="false">IF(OR($A430="",INDEX(_LEITURA!$Q$2:$Q$21,3)=0),"",SUMIFS(DECKS!$D$2:$D$1201,DECKS!$A$2:$A$1201,INDEX(_LEITURA!$P$2:$P$21,3),DECKS!$B$2:$B$1201,$A430))</f>
        <v/>
      </c>
      <c r="N430" s="19" t="str">
        <f aca="false">IF(OR($A430="",INDEX(_LEITURA!$Q$2:$Q$21,4)=0),"",SUMIFS(DECKS!$D$2:$D$1201,DECKS!$A$2:$A$1201,INDEX(_LEITURA!$P$2:$P$21,4),DECKS!$B$2:$B$1201,$A430))</f>
        <v/>
      </c>
      <c r="O430" s="19" t="str">
        <f aca="false">IF(OR($A430="",INDEX(_LEITURA!$Q$2:$Q$21,5)=0),"",SUMIFS(DECKS!$D$2:$D$1201,DECKS!$A$2:$A$1201,INDEX(_LEITURA!$P$2:$P$21,5),DECKS!$B$2:$B$1201,$A430))</f>
        <v/>
      </c>
      <c r="P430" s="19" t="str">
        <f aca="false">IF(OR($A430="",INDEX(_LEITURA!$Q$2:$Q$21,6)=0),"",SUMIFS(DECKS!$D$2:$D$1201,DECKS!$A$2:$A$1201,INDEX(_LEITURA!$P$2:$P$21,6),DECKS!$B$2:$B$1201,$A430))</f>
        <v/>
      </c>
      <c r="Q430" s="19" t="str">
        <f aca="false">IF(OR($A430="",INDEX(_LEITURA!$Q$2:$Q$21,7)=0),"",SUMIFS(DECKS!$D$2:$D$1201,DECKS!$A$2:$A$1201,INDEX(_LEITURA!$P$2:$P$21,7),DECKS!$B$2:$B$1201,$A430))</f>
        <v/>
      </c>
      <c r="R430" s="19" t="str">
        <f aca="false">IF(OR($A430="",INDEX(_LEITURA!$Q$2:$Q$21,8)=0),"",SUMIFS(DECKS!$D$2:$D$1201,DECKS!$A$2:$A$1201,INDEX(_LEITURA!$P$2:$P$21,8),DECKS!$B$2:$B$1201,$A430))</f>
        <v/>
      </c>
      <c r="S430" s="19" t="str">
        <f aca="false">IF(OR($A430="",INDEX(_LEITURA!$Q$2:$Q$21,9)=0),"",SUMIFS(DECKS!$D$2:$D$1201,DECKS!$A$2:$A$1201,INDEX(_LEITURA!$P$2:$P$21,9),DECKS!$B$2:$B$1201,$A430))</f>
        <v/>
      </c>
      <c r="T430" s="19" t="str">
        <f aca="false">IF(OR($A430="",INDEX(_LEITURA!$Q$2:$Q$21,10)=0),"",SUMIFS(DECKS!$D$2:$D$1201,DECKS!$A$2:$A$1201,INDEX(_LEITURA!$P$2:$P$21,10),DECKS!$B$2:$B$1201,$A430))</f>
        <v/>
      </c>
      <c r="U430" s="19" t="str">
        <f aca="false">IF(OR($A430="",INDEX(_LEITURA!$Q$2:$Q$21,11)=0),"",SUMIFS(DECKS!$D$2:$D$1201,DECKS!$A$2:$A$1201,INDEX(_LEITURA!$P$2:$P$21,11),DECKS!$B$2:$B$1201,$A430))</f>
        <v/>
      </c>
      <c r="V430" s="19" t="str">
        <f aca="false">IF(OR($A430="",INDEX(_LEITURA!$Q$2:$Q$21,12)=0),"",SUMIFS(DECKS!$D$2:$D$1201,DECKS!$A$2:$A$1201,INDEX(_LEITURA!$P$2:$P$21,12),DECKS!$B$2:$B$1201,$A430))</f>
        <v/>
      </c>
      <c r="W430" s="19" t="str">
        <f aca="false">IF(OR($A430="",INDEX(_LEITURA!$Q$2:$Q$21,13)=0),"",SUMIFS(DECKS!$D$2:$D$1201,DECKS!$A$2:$A$1201,INDEX(_LEITURA!$P$2:$P$21,13),DECKS!$B$2:$B$1201,$A430))</f>
        <v/>
      </c>
      <c r="X430" s="19" t="str">
        <f aca="false">IF(OR($A430="",INDEX(_LEITURA!$Q$2:$Q$21,14)=0),"",SUMIFS(DECKS!$D$2:$D$1201,DECKS!$A$2:$A$1201,INDEX(_LEITURA!$P$2:$P$21,14),DECKS!$B$2:$B$1201,$A430))</f>
        <v/>
      </c>
      <c r="Y430" s="19" t="str">
        <f aca="false">IF(OR($A430="",INDEX(_LEITURA!$Q$2:$Q$21,15)=0),"",SUMIFS(DECKS!$D$2:$D$1201,DECKS!$A$2:$A$1201,INDEX(_LEITURA!$P$2:$P$21,15),DECKS!$B$2:$B$1201,$A430))</f>
        <v/>
      </c>
      <c r="Z430" s="19" t="str">
        <f aca="false">IF(OR($A430="",INDEX(_LEITURA!$Q$2:$Q$21,16)=0),"",SUMIFS(DECKS!$D$2:$D$1201,DECKS!$A$2:$A$1201,INDEX(_LEITURA!$P$2:$P$21,16),DECKS!$B$2:$B$1201,$A430))</f>
        <v/>
      </c>
      <c r="AA430" s="19" t="str">
        <f aca="false">IF(OR($A430="",INDEX(_LEITURA!$Q$2:$Q$21,17)=0),"",SUMIFS(DECKS!$D$2:$D$1201,DECKS!$A$2:$A$1201,INDEX(_LEITURA!$P$2:$P$21,17),DECKS!$B$2:$B$1201,$A430))</f>
        <v/>
      </c>
      <c r="AB430" s="19" t="str">
        <f aca="false">IF(OR($A430="",INDEX(_LEITURA!$Q$2:$Q$21,18)=0),"",SUMIFS(DECKS!$D$2:$D$1201,DECKS!$A$2:$A$1201,INDEX(_LEITURA!$P$2:$P$21,18),DECKS!$B$2:$B$1201,$A430))</f>
        <v/>
      </c>
      <c r="AC430" s="19" t="str">
        <f aca="false">IF(OR($A430="",INDEX(_LEITURA!$Q$2:$Q$21,19)=0),"",SUMIFS(DECKS!$D$2:$D$1201,DECKS!$A$2:$A$1201,INDEX(_LEITURA!$P$2:$P$21,19),DECKS!$B$2:$B$1201,$A430))</f>
        <v/>
      </c>
      <c r="AD430" s="19" t="str">
        <f aca="false">IF(OR($A430="",INDEX(_LEITURA!$Q$2:$Q$21,20)=0),"",SUMIFS(DECKS!$D$2:$D$1201,DECKS!$A$2:$A$1201,INDEX(_LEITURA!$P$2:$P$21,20),DECKS!$B$2:$B$1201,$A430))</f>
        <v/>
      </c>
      <c r="AE430" s="16" t="str">
        <f aca="false">IF(N(E430)&gt;0,MAX(AE$1:AE429)+1,"")</f>
        <v/>
      </c>
      <c r="AF430" s="11" t="str">
        <f aca="false">IF(A430="","",IFERROR(LEFT(A430,FIND("-",A430)-1),A430))</f>
        <v/>
      </c>
      <c r="AG430" s="11" t="str">
        <f aca="false">IF(AF430="","",IF(ISNUMBER(--MID(AF430,1,1)),0,IF(ISNUMBER(--MID(AF430,2,1)),1,IF(ISNUMBER(--MID(AF430,3,1)),2,IF(ISNUMBER(--MID(AF430,4,1)),3,MIN(LEN(AF430),4))))))</f>
        <v/>
      </c>
      <c r="AH430" s="11" t="str">
        <f aca="false">IF(A430="","",LEFT(AF430,AG430)&amp;REPT("0",4-AG430)&amp;RIGHT("000"&amp;IFERROR(VALUE(MID(AF430,AG430+1,9)),0),3)&amp;RIGHT("0000"&amp;IFERROR(VALUE(MID(A430,FIND("-",A430)+1,9)),0),4))</f>
        <v/>
      </c>
      <c r="AI430" s="11" t="str">
        <f aca="false">IF(OR(A430="",N(E430)&lt;=0),"",IF('FALTAS GERAL'!$M$1="Código","K"&amp;AH430&amp;RIGHT("00000"&amp;ROW(),5),IF('FALTAS GERAL'!$M$1="Nome","K"&amp;UPPER(SUBSTITUTE(SUBSTITUTE(SUBSTITUTE(B430,"*",""),"?",""),"~",""))&amp;"0"&amp;AH430&amp;RIGHT("00000"&amp;ROW(),5),IF('FALTAS GERAL'!$M$1="Falta (maior primeiro)","K"&amp;RIGHT("0000"&amp;(9999-E430),4)&amp;AH430&amp;RIGHT("00000"&amp;ROW(),5),IF('FALTAS GERAL'!$M$1="Nº de decks (maior primeiro)","K"&amp;RIGHT("00"&amp;(99-N(G430)),2)&amp;AH430&amp;RIGHT("00000"&amp;ROW(),5),"K"&amp;RIGHT("00000"&amp;ROW(),5))))))</f>
        <v/>
      </c>
      <c r="AJ430" s="11" t="str">
        <f aca="false">IF(AI430="","",COUNTIFS($AI$2:$AI$801,"&lt;"&amp;AI430,$E$2:$E$801,"&gt;0")+1)</f>
        <v/>
      </c>
      <c r="AK430" s="11" t="str">
        <f aca="false">IF(OR(A430="",N(E430)&lt;=0),"",COUNTIFS($AH$2:$AH$801,"&lt;"&amp;AH430,$E$2:$E$801,"&gt;0")+COUNTIFS($AH$2:AH430,AH430,$E$2:E430,"&gt;0"))</f>
        <v/>
      </c>
    </row>
    <row r="431" customFormat="false" ht="15" hidden="false" customHeight="false" outlineLevel="0" collapsed="false">
      <c r="A431" s="11" t="str">
        <f aca="false">IF(INVENTÁRIO!A431="","",INVENTÁRIO!A431)</f>
        <v/>
      </c>
      <c r="B431" s="11" t="str">
        <f aca="false">IF(A431="","",INVENTÁRIO!B431)</f>
        <v/>
      </c>
      <c r="C431" s="16" t="str">
        <f aca="false">IF(A431="","",INVENTÁRIO!C431)</f>
        <v/>
      </c>
      <c r="D431" s="14" t="str">
        <f aca="false">IF(A431="","",MAX(K431:AD431))</f>
        <v/>
      </c>
      <c r="E431" s="14" t="str">
        <f aca="false">IF(A431="","",MAX(0,D431-C431))</f>
        <v/>
      </c>
      <c r="F431" s="16" t="str">
        <f aca="false">IF(A431="","",IF(D431=0,"Fora dos decks",IF(E431=0,"Completo","Falta")))</f>
        <v/>
      </c>
      <c r="G431" s="16" t="str">
        <f aca="false">IF(A431="","",COUNTIF(K431:AD431,"&gt;0"))</f>
        <v/>
      </c>
      <c r="H431" s="16" t="str">
        <f aca="false">IF(A431="","",IF(G431&gt;1,"Sim",""))</f>
        <v/>
      </c>
      <c r="I431" s="18" t="str">
        <f aca="false">IF(A431="","",SUMIFS(DECKS!$D$2:$D$1201,DECKS!$B$2:$B$1201,A431))</f>
        <v/>
      </c>
      <c r="J431" s="18" t="str">
        <f aca="false">IF(A431="","",MAX(0,I431-C431))</f>
        <v/>
      </c>
      <c r="K431" s="19" t="str">
        <f aca="false">IF(OR($A431="",INDEX(_LEITURA!$Q$2:$Q$21,1)=0),"",SUMIFS(DECKS!$D$2:$D$1201,DECKS!$A$2:$A$1201,INDEX(_LEITURA!$P$2:$P$21,1),DECKS!$B$2:$B$1201,$A431))</f>
        <v/>
      </c>
      <c r="L431" s="19" t="str">
        <f aca="false">IF(OR($A431="",INDEX(_LEITURA!$Q$2:$Q$21,2)=0),"",SUMIFS(DECKS!$D$2:$D$1201,DECKS!$A$2:$A$1201,INDEX(_LEITURA!$P$2:$P$21,2),DECKS!$B$2:$B$1201,$A431))</f>
        <v/>
      </c>
      <c r="M431" s="19" t="str">
        <f aca="false">IF(OR($A431="",INDEX(_LEITURA!$Q$2:$Q$21,3)=0),"",SUMIFS(DECKS!$D$2:$D$1201,DECKS!$A$2:$A$1201,INDEX(_LEITURA!$P$2:$P$21,3),DECKS!$B$2:$B$1201,$A431))</f>
        <v/>
      </c>
      <c r="N431" s="19" t="str">
        <f aca="false">IF(OR($A431="",INDEX(_LEITURA!$Q$2:$Q$21,4)=0),"",SUMIFS(DECKS!$D$2:$D$1201,DECKS!$A$2:$A$1201,INDEX(_LEITURA!$P$2:$P$21,4),DECKS!$B$2:$B$1201,$A431))</f>
        <v/>
      </c>
      <c r="O431" s="19" t="str">
        <f aca="false">IF(OR($A431="",INDEX(_LEITURA!$Q$2:$Q$21,5)=0),"",SUMIFS(DECKS!$D$2:$D$1201,DECKS!$A$2:$A$1201,INDEX(_LEITURA!$P$2:$P$21,5),DECKS!$B$2:$B$1201,$A431))</f>
        <v/>
      </c>
      <c r="P431" s="19" t="str">
        <f aca="false">IF(OR($A431="",INDEX(_LEITURA!$Q$2:$Q$21,6)=0),"",SUMIFS(DECKS!$D$2:$D$1201,DECKS!$A$2:$A$1201,INDEX(_LEITURA!$P$2:$P$21,6),DECKS!$B$2:$B$1201,$A431))</f>
        <v/>
      </c>
      <c r="Q431" s="19" t="str">
        <f aca="false">IF(OR($A431="",INDEX(_LEITURA!$Q$2:$Q$21,7)=0),"",SUMIFS(DECKS!$D$2:$D$1201,DECKS!$A$2:$A$1201,INDEX(_LEITURA!$P$2:$P$21,7),DECKS!$B$2:$B$1201,$A431))</f>
        <v/>
      </c>
      <c r="R431" s="19" t="str">
        <f aca="false">IF(OR($A431="",INDEX(_LEITURA!$Q$2:$Q$21,8)=0),"",SUMIFS(DECKS!$D$2:$D$1201,DECKS!$A$2:$A$1201,INDEX(_LEITURA!$P$2:$P$21,8),DECKS!$B$2:$B$1201,$A431))</f>
        <v/>
      </c>
      <c r="S431" s="19" t="str">
        <f aca="false">IF(OR($A431="",INDEX(_LEITURA!$Q$2:$Q$21,9)=0),"",SUMIFS(DECKS!$D$2:$D$1201,DECKS!$A$2:$A$1201,INDEX(_LEITURA!$P$2:$P$21,9),DECKS!$B$2:$B$1201,$A431))</f>
        <v/>
      </c>
      <c r="T431" s="19" t="str">
        <f aca="false">IF(OR($A431="",INDEX(_LEITURA!$Q$2:$Q$21,10)=0),"",SUMIFS(DECKS!$D$2:$D$1201,DECKS!$A$2:$A$1201,INDEX(_LEITURA!$P$2:$P$21,10),DECKS!$B$2:$B$1201,$A431))</f>
        <v/>
      </c>
      <c r="U431" s="19" t="str">
        <f aca="false">IF(OR($A431="",INDEX(_LEITURA!$Q$2:$Q$21,11)=0),"",SUMIFS(DECKS!$D$2:$D$1201,DECKS!$A$2:$A$1201,INDEX(_LEITURA!$P$2:$P$21,11),DECKS!$B$2:$B$1201,$A431))</f>
        <v/>
      </c>
      <c r="V431" s="19" t="str">
        <f aca="false">IF(OR($A431="",INDEX(_LEITURA!$Q$2:$Q$21,12)=0),"",SUMIFS(DECKS!$D$2:$D$1201,DECKS!$A$2:$A$1201,INDEX(_LEITURA!$P$2:$P$21,12),DECKS!$B$2:$B$1201,$A431))</f>
        <v/>
      </c>
      <c r="W431" s="19" t="str">
        <f aca="false">IF(OR($A431="",INDEX(_LEITURA!$Q$2:$Q$21,13)=0),"",SUMIFS(DECKS!$D$2:$D$1201,DECKS!$A$2:$A$1201,INDEX(_LEITURA!$P$2:$P$21,13),DECKS!$B$2:$B$1201,$A431))</f>
        <v/>
      </c>
      <c r="X431" s="19" t="str">
        <f aca="false">IF(OR($A431="",INDEX(_LEITURA!$Q$2:$Q$21,14)=0),"",SUMIFS(DECKS!$D$2:$D$1201,DECKS!$A$2:$A$1201,INDEX(_LEITURA!$P$2:$P$21,14),DECKS!$B$2:$B$1201,$A431))</f>
        <v/>
      </c>
      <c r="Y431" s="19" t="str">
        <f aca="false">IF(OR($A431="",INDEX(_LEITURA!$Q$2:$Q$21,15)=0),"",SUMIFS(DECKS!$D$2:$D$1201,DECKS!$A$2:$A$1201,INDEX(_LEITURA!$P$2:$P$21,15),DECKS!$B$2:$B$1201,$A431))</f>
        <v/>
      </c>
      <c r="Z431" s="19" t="str">
        <f aca="false">IF(OR($A431="",INDEX(_LEITURA!$Q$2:$Q$21,16)=0),"",SUMIFS(DECKS!$D$2:$D$1201,DECKS!$A$2:$A$1201,INDEX(_LEITURA!$P$2:$P$21,16),DECKS!$B$2:$B$1201,$A431))</f>
        <v/>
      </c>
      <c r="AA431" s="19" t="str">
        <f aca="false">IF(OR($A431="",INDEX(_LEITURA!$Q$2:$Q$21,17)=0),"",SUMIFS(DECKS!$D$2:$D$1201,DECKS!$A$2:$A$1201,INDEX(_LEITURA!$P$2:$P$21,17),DECKS!$B$2:$B$1201,$A431))</f>
        <v/>
      </c>
      <c r="AB431" s="19" t="str">
        <f aca="false">IF(OR($A431="",INDEX(_LEITURA!$Q$2:$Q$21,18)=0),"",SUMIFS(DECKS!$D$2:$D$1201,DECKS!$A$2:$A$1201,INDEX(_LEITURA!$P$2:$P$21,18),DECKS!$B$2:$B$1201,$A431))</f>
        <v/>
      </c>
      <c r="AC431" s="19" t="str">
        <f aca="false">IF(OR($A431="",INDEX(_LEITURA!$Q$2:$Q$21,19)=0),"",SUMIFS(DECKS!$D$2:$D$1201,DECKS!$A$2:$A$1201,INDEX(_LEITURA!$P$2:$P$21,19),DECKS!$B$2:$B$1201,$A431))</f>
        <v/>
      </c>
      <c r="AD431" s="19" t="str">
        <f aca="false">IF(OR($A431="",INDEX(_LEITURA!$Q$2:$Q$21,20)=0),"",SUMIFS(DECKS!$D$2:$D$1201,DECKS!$A$2:$A$1201,INDEX(_LEITURA!$P$2:$P$21,20),DECKS!$B$2:$B$1201,$A431))</f>
        <v/>
      </c>
      <c r="AE431" s="16" t="str">
        <f aca="false">IF(N(E431)&gt;0,MAX(AE$1:AE430)+1,"")</f>
        <v/>
      </c>
      <c r="AF431" s="11" t="str">
        <f aca="false">IF(A431="","",IFERROR(LEFT(A431,FIND("-",A431)-1),A431))</f>
        <v/>
      </c>
      <c r="AG431" s="11" t="str">
        <f aca="false">IF(AF431="","",IF(ISNUMBER(--MID(AF431,1,1)),0,IF(ISNUMBER(--MID(AF431,2,1)),1,IF(ISNUMBER(--MID(AF431,3,1)),2,IF(ISNUMBER(--MID(AF431,4,1)),3,MIN(LEN(AF431),4))))))</f>
        <v/>
      </c>
      <c r="AH431" s="11" t="str">
        <f aca="false">IF(A431="","",LEFT(AF431,AG431)&amp;REPT("0",4-AG431)&amp;RIGHT("000"&amp;IFERROR(VALUE(MID(AF431,AG431+1,9)),0),3)&amp;RIGHT("0000"&amp;IFERROR(VALUE(MID(A431,FIND("-",A431)+1,9)),0),4))</f>
        <v/>
      </c>
      <c r="AI431" s="11" t="str">
        <f aca="false">IF(OR(A431="",N(E431)&lt;=0),"",IF('FALTAS GERAL'!$M$1="Código","K"&amp;AH431&amp;RIGHT("00000"&amp;ROW(),5),IF('FALTAS GERAL'!$M$1="Nome","K"&amp;UPPER(SUBSTITUTE(SUBSTITUTE(SUBSTITUTE(B431,"*",""),"?",""),"~",""))&amp;"0"&amp;AH431&amp;RIGHT("00000"&amp;ROW(),5),IF('FALTAS GERAL'!$M$1="Falta (maior primeiro)","K"&amp;RIGHT("0000"&amp;(9999-E431),4)&amp;AH431&amp;RIGHT("00000"&amp;ROW(),5),IF('FALTAS GERAL'!$M$1="Nº de decks (maior primeiro)","K"&amp;RIGHT("00"&amp;(99-N(G431)),2)&amp;AH431&amp;RIGHT("00000"&amp;ROW(),5),"K"&amp;RIGHT("00000"&amp;ROW(),5))))))</f>
        <v/>
      </c>
      <c r="AJ431" s="11" t="str">
        <f aca="false">IF(AI431="","",COUNTIFS($AI$2:$AI$801,"&lt;"&amp;AI431,$E$2:$E$801,"&gt;0")+1)</f>
        <v/>
      </c>
      <c r="AK431" s="11" t="str">
        <f aca="false">IF(OR(A431="",N(E431)&lt;=0),"",COUNTIFS($AH$2:$AH$801,"&lt;"&amp;AH431,$E$2:$E$801,"&gt;0")+COUNTIFS($AH$2:AH431,AH431,$E$2:E431,"&gt;0"))</f>
        <v/>
      </c>
    </row>
    <row r="432" customFormat="false" ht="15" hidden="false" customHeight="false" outlineLevel="0" collapsed="false">
      <c r="A432" s="11" t="str">
        <f aca="false">IF(INVENTÁRIO!A432="","",INVENTÁRIO!A432)</f>
        <v/>
      </c>
      <c r="B432" s="11" t="str">
        <f aca="false">IF(A432="","",INVENTÁRIO!B432)</f>
        <v/>
      </c>
      <c r="C432" s="16" t="str">
        <f aca="false">IF(A432="","",INVENTÁRIO!C432)</f>
        <v/>
      </c>
      <c r="D432" s="14" t="str">
        <f aca="false">IF(A432="","",MAX(K432:AD432))</f>
        <v/>
      </c>
      <c r="E432" s="14" t="str">
        <f aca="false">IF(A432="","",MAX(0,D432-C432))</f>
        <v/>
      </c>
      <c r="F432" s="16" t="str">
        <f aca="false">IF(A432="","",IF(D432=0,"Fora dos decks",IF(E432=0,"Completo","Falta")))</f>
        <v/>
      </c>
      <c r="G432" s="16" t="str">
        <f aca="false">IF(A432="","",COUNTIF(K432:AD432,"&gt;0"))</f>
        <v/>
      </c>
      <c r="H432" s="16" t="str">
        <f aca="false">IF(A432="","",IF(G432&gt;1,"Sim",""))</f>
        <v/>
      </c>
      <c r="I432" s="18" t="str">
        <f aca="false">IF(A432="","",SUMIFS(DECKS!$D$2:$D$1201,DECKS!$B$2:$B$1201,A432))</f>
        <v/>
      </c>
      <c r="J432" s="18" t="str">
        <f aca="false">IF(A432="","",MAX(0,I432-C432))</f>
        <v/>
      </c>
      <c r="K432" s="19" t="str">
        <f aca="false">IF(OR($A432="",INDEX(_LEITURA!$Q$2:$Q$21,1)=0),"",SUMIFS(DECKS!$D$2:$D$1201,DECKS!$A$2:$A$1201,INDEX(_LEITURA!$P$2:$P$21,1),DECKS!$B$2:$B$1201,$A432))</f>
        <v/>
      </c>
      <c r="L432" s="19" t="str">
        <f aca="false">IF(OR($A432="",INDEX(_LEITURA!$Q$2:$Q$21,2)=0),"",SUMIFS(DECKS!$D$2:$D$1201,DECKS!$A$2:$A$1201,INDEX(_LEITURA!$P$2:$P$21,2),DECKS!$B$2:$B$1201,$A432))</f>
        <v/>
      </c>
      <c r="M432" s="19" t="str">
        <f aca="false">IF(OR($A432="",INDEX(_LEITURA!$Q$2:$Q$21,3)=0),"",SUMIFS(DECKS!$D$2:$D$1201,DECKS!$A$2:$A$1201,INDEX(_LEITURA!$P$2:$P$21,3),DECKS!$B$2:$B$1201,$A432))</f>
        <v/>
      </c>
      <c r="N432" s="19" t="str">
        <f aca="false">IF(OR($A432="",INDEX(_LEITURA!$Q$2:$Q$21,4)=0),"",SUMIFS(DECKS!$D$2:$D$1201,DECKS!$A$2:$A$1201,INDEX(_LEITURA!$P$2:$P$21,4),DECKS!$B$2:$B$1201,$A432))</f>
        <v/>
      </c>
      <c r="O432" s="19" t="str">
        <f aca="false">IF(OR($A432="",INDEX(_LEITURA!$Q$2:$Q$21,5)=0),"",SUMIFS(DECKS!$D$2:$D$1201,DECKS!$A$2:$A$1201,INDEX(_LEITURA!$P$2:$P$21,5),DECKS!$B$2:$B$1201,$A432))</f>
        <v/>
      </c>
      <c r="P432" s="19" t="str">
        <f aca="false">IF(OR($A432="",INDEX(_LEITURA!$Q$2:$Q$21,6)=0),"",SUMIFS(DECKS!$D$2:$D$1201,DECKS!$A$2:$A$1201,INDEX(_LEITURA!$P$2:$P$21,6),DECKS!$B$2:$B$1201,$A432))</f>
        <v/>
      </c>
      <c r="Q432" s="19" t="str">
        <f aca="false">IF(OR($A432="",INDEX(_LEITURA!$Q$2:$Q$21,7)=0),"",SUMIFS(DECKS!$D$2:$D$1201,DECKS!$A$2:$A$1201,INDEX(_LEITURA!$P$2:$P$21,7),DECKS!$B$2:$B$1201,$A432))</f>
        <v/>
      </c>
      <c r="R432" s="19" t="str">
        <f aca="false">IF(OR($A432="",INDEX(_LEITURA!$Q$2:$Q$21,8)=0),"",SUMIFS(DECKS!$D$2:$D$1201,DECKS!$A$2:$A$1201,INDEX(_LEITURA!$P$2:$P$21,8),DECKS!$B$2:$B$1201,$A432))</f>
        <v/>
      </c>
      <c r="S432" s="19" t="str">
        <f aca="false">IF(OR($A432="",INDEX(_LEITURA!$Q$2:$Q$21,9)=0),"",SUMIFS(DECKS!$D$2:$D$1201,DECKS!$A$2:$A$1201,INDEX(_LEITURA!$P$2:$P$21,9),DECKS!$B$2:$B$1201,$A432))</f>
        <v/>
      </c>
      <c r="T432" s="19" t="str">
        <f aca="false">IF(OR($A432="",INDEX(_LEITURA!$Q$2:$Q$21,10)=0),"",SUMIFS(DECKS!$D$2:$D$1201,DECKS!$A$2:$A$1201,INDEX(_LEITURA!$P$2:$P$21,10),DECKS!$B$2:$B$1201,$A432))</f>
        <v/>
      </c>
      <c r="U432" s="19" t="str">
        <f aca="false">IF(OR($A432="",INDEX(_LEITURA!$Q$2:$Q$21,11)=0),"",SUMIFS(DECKS!$D$2:$D$1201,DECKS!$A$2:$A$1201,INDEX(_LEITURA!$P$2:$P$21,11),DECKS!$B$2:$B$1201,$A432))</f>
        <v/>
      </c>
      <c r="V432" s="19" t="str">
        <f aca="false">IF(OR($A432="",INDEX(_LEITURA!$Q$2:$Q$21,12)=0),"",SUMIFS(DECKS!$D$2:$D$1201,DECKS!$A$2:$A$1201,INDEX(_LEITURA!$P$2:$P$21,12),DECKS!$B$2:$B$1201,$A432))</f>
        <v/>
      </c>
      <c r="W432" s="19" t="str">
        <f aca="false">IF(OR($A432="",INDEX(_LEITURA!$Q$2:$Q$21,13)=0),"",SUMIFS(DECKS!$D$2:$D$1201,DECKS!$A$2:$A$1201,INDEX(_LEITURA!$P$2:$P$21,13),DECKS!$B$2:$B$1201,$A432))</f>
        <v/>
      </c>
      <c r="X432" s="19" t="str">
        <f aca="false">IF(OR($A432="",INDEX(_LEITURA!$Q$2:$Q$21,14)=0),"",SUMIFS(DECKS!$D$2:$D$1201,DECKS!$A$2:$A$1201,INDEX(_LEITURA!$P$2:$P$21,14),DECKS!$B$2:$B$1201,$A432))</f>
        <v/>
      </c>
      <c r="Y432" s="19" t="str">
        <f aca="false">IF(OR($A432="",INDEX(_LEITURA!$Q$2:$Q$21,15)=0),"",SUMIFS(DECKS!$D$2:$D$1201,DECKS!$A$2:$A$1201,INDEX(_LEITURA!$P$2:$P$21,15),DECKS!$B$2:$B$1201,$A432))</f>
        <v/>
      </c>
      <c r="Z432" s="19" t="str">
        <f aca="false">IF(OR($A432="",INDEX(_LEITURA!$Q$2:$Q$21,16)=0),"",SUMIFS(DECKS!$D$2:$D$1201,DECKS!$A$2:$A$1201,INDEX(_LEITURA!$P$2:$P$21,16),DECKS!$B$2:$B$1201,$A432))</f>
        <v/>
      </c>
      <c r="AA432" s="19" t="str">
        <f aca="false">IF(OR($A432="",INDEX(_LEITURA!$Q$2:$Q$21,17)=0),"",SUMIFS(DECKS!$D$2:$D$1201,DECKS!$A$2:$A$1201,INDEX(_LEITURA!$P$2:$P$21,17),DECKS!$B$2:$B$1201,$A432))</f>
        <v/>
      </c>
      <c r="AB432" s="19" t="str">
        <f aca="false">IF(OR($A432="",INDEX(_LEITURA!$Q$2:$Q$21,18)=0),"",SUMIFS(DECKS!$D$2:$D$1201,DECKS!$A$2:$A$1201,INDEX(_LEITURA!$P$2:$P$21,18),DECKS!$B$2:$B$1201,$A432))</f>
        <v/>
      </c>
      <c r="AC432" s="19" t="str">
        <f aca="false">IF(OR($A432="",INDEX(_LEITURA!$Q$2:$Q$21,19)=0),"",SUMIFS(DECKS!$D$2:$D$1201,DECKS!$A$2:$A$1201,INDEX(_LEITURA!$P$2:$P$21,19),DECKS!$B$2:$B$1201,$A432))</f>
        <v/>
      </c>
      <c r="AD432" s="19" t="str">
        <f aca="false">IF(OR($A432="",INDEX(_LEITURA!$Q$2:$Q$21,20)=0),"",SUMIFS(DECKS!$D$2:$D$1201,DECKS!$A$2:$A$1201,INDEX(_LEITURA!$P$2:$P$21,20),DECKS!$B$2:$B$1201,$A432))</f>
        <v/>
      </c>
      <c r="AE432" s="16" t="str">
        <f aca="false">IF(N(E432)&gt;0,MAX(AE$1:AE431)+1,"")</f>
        <v/>
      </c>
      <c r="AF432" s="11" t="str">
        <f aca="false">IF(A432="","",IFERROR(LEFT(A432,FIND("-",A432)-1),A432))</f>
        <v/>
      </c>
      <c r="AG432" s="11" t="str">
        <f aca="false">IF(AF432="","",IF(ISNUMBER(--MID(AF432,1,1)),0,IF(ISNUMBER(--MID(AF432,2,1)),1,IF(ISNUMBER(--MID(AF432,3,1)),2,IF(ISNUMBER(--MID(AF432,4,1)),3,MIN(LEN(AF432),4))))))</f>
        <v/>
      </c>
      <c r="AH432" s="11" t="str">
        <f aca="false">IF(A432="","",LEFT(AF432,AG432)&amp;REPT("0",4-AG432)&amp;RIGHT("000"&amp;IFERROR(VALUE(MID(AF432,AG432+1,9)),0),3)&amp;RIGHT("0000"&amp;IFERROR(VALUE(MID(A432,FIND("-",A432)+1,9)),0),4))</f>
        <v/>
      </c>
      <c r="AI432" s="11" t="str">
        <f aca="false">IF(OR(A432="",N(E432)&lt;=0),"",IF('FALTAS GERAL'!$M$1="Código","K"&amp;AH432&amp;RIGHT("00000"&amp;ROW(),5),IF('FALTAS GERAL'!$M$1="Nome","K"&amp;UPPER(SUBSTITUTE(SUBSTITUTE(SUBSTITUTE(B432,"*",""),"?",""),"~",""))&amp;"0"&amp;AH432&amp;RIGHT("00000"&amp;ROW(),5),IF('FALTAS GERAL'!$M$1="Falta (maior primeiro)","K"&amp;RIGHT("0000"&amp;(9999-E432),4)&amp;AH432&amp;RIGHT("00000"&amp;ROW(),5),IF('FALTAS GERAL'!$M$1="Nº de decks (maior primeiro)","K"&amp;RIGHT("00"&amp;(99-N(G432)),2)&amp;AH432&amp;RIGHT("00000"&amp;ROW(),5),"K"&amp;RIGHT("00000"&amp;ROW(),5))))))</f>
        <v/>
      </c>
      <c r="AJ432" s="11" t="str">
        <f aca="false">IF(AI432="","",COUNTIFS($AI$2:$AI$801,"&lt;"&amp;AI432,$E$2:$E$801,"&gt;0")+1)</f>
        <v/>
      </c>
      <c r="AK432" s="11" t="str">
        <f aca="false">IF(OR(A432="",N(E432)&lt;=0),"",COUNTIFS($AH$2:$AH$801,"&lt;"&amp;AH432,$E$2:$E$801,"&gt;0")+COUNTIFS($AH$2:AH432,AH432,$E$2:E432,"&gt;0"))</f>
        <v/>
      </c>
    </row>
    <row r="433" customFormat="false" ht="15" hidden="false" customHeight="false" outlineLevel="0" collapsed="false">
      <c r="A433" s="11" t="str">
        <f aca="false">IF(INVENTÁRIO!A433="","",INVENTÁRIO!A433)</f>
        <v/>
      </c>
      <c r="B433" s="11" t="str">
        <f aca="false">IF(A433="","",INVENTÁRIO!B433)</f>
        <v/>
      </c>
      <c r="C433" s="16" t="str">
        <f aca="false">IF(A433="","",INVENTÁRIO!C433)</f>
        <v/>
      </c>
      <c r="D433" s="14" t="str">
        <f aca="false">IF(A433="","",MAX(K433:AD433))</f>
        <v/>
      </c>
      <c r="E433" s="14" t="str">
        <f aca="false">IF(A433="","",MAX(0,D433-C433))</f>
        <v/>
      </c>
      <c r="F433" s="16" t="str">
        <f aca="false">IF(A433="","",IF(D433=0,"Fora dos decks",IF(E433=0,"Completo","Falta")))</f>
        <v/>
      </c>
      <c r="G433" s="16" t="str">
        <f aca="false">IF(A433="","",COUNTIF(K433:AD433,"&gt;0"))</f>
        <v/>
      </c>
      <c r="H433" s="16" t="str">
        <f aca="false">IF(A433="","",IF(G433&gt;1,"Sim",""))</f>
        <v/>
      </c>
      <c r="I433" s="18" t="str">
        <f aca="false">IF(A433="","",SUMIFS(DECKS!$D$2:$D$1201,DECKS!$B$2:$B$1201,A433))</f>
        <v/>
      </c>
      <c r="J433" s="18" t="str">
        <f aca="false">IF(A433="","",MAX(0,I433-C433))</f>
        <v/>
      </c>
      <c r="K433" s="19" t="str">
        <f aca="false">IF(OR($A433="",INDEX(_LEITURA!$Q$2:$Q$21,1)=0),"",SUMIFS(DECKS!$D$2:$D$1201,DECKS!$A$2:$A$1201,INDEX(_LEITURA!$P$2:$P$21,1),DECKS!$B$2:$B$1201,$A433))</f>
        <v/>
      </c>
      <c r="L433" s="19" t="str">
        <f aca="false">IF(OR($A433="",INDEX(_LEITURA!$Q$2:$Q$21,2)=0),"",SUMIFS(DECKS!$D$2:$D$1201,DECKS!$A$2:$A$1201,INDEX(_LEITURA!$P$2:$P$21,2),DECKS!$B$2:$B$1201,$A433))</f>
        <v/>
      </c>
      <c r="M433" s="19" t="str">
        <f aca="false">IF(OR($A433="",INDEX(_LEITURA!$Q$2:$Q$21,3)=0),"",SUMIFS(DECKS!$D$2:$D$1201,DECKS!$A$2:$A$1201,INDEX(_LEITURA!$P$2:$P$21,3),DECKS!$B$2:$B$1201,$A433))</f>
        <v/>
      </c>
      <c r="N433" s="19" t="str">
        <f aca="false">IF(OR($A433="",INDEX(_LEITURA!$Q$2:$Q$21,4)=0),"",SUMIFS(DECKS!$D$2:$D$1201,DECKS!$A$2:$A$1201,INDEX(_LEITURA!$P$2:$P$21,4),DECKS!$B$2:$B$1201,$A433))</f>
        <v/>
      </c>
      <c r="O433" s="19" t="str">
        <f aca="false">IF(OR($A433="",INDEX(_LEITURA!$Q$2:$Q$21,5)=0),"",SUMIFS(DECKS!$D$2:$D$1201,DECKS!$A$2:$A$1201,INDEX(_LEITURA!$P$2:$P$21,5),DECKS!$B$2:$B$1201,$A433))</f>
        <v/>
      </c>
      <c r="P433" s="19" t="str">
        <f aca="false">IF(OR($A433="",INDEX(_LEITURA!$Q$2:$Q$21,6)=0),"",SUMIFS(DECKS!$D$2:$D$1201,DECKS!$A$2:$A$1201,INDEX(_LEITURA!$P$2:$P$21,6),DECKS!$B$2:$B$1201,$A433))</f>
        <v/>
      </c>
      <c r="Q433" s="19" t="str">
        <f aca="false">IF(OR($A433="",INDEX(_LEITURA!$Q$2:$Q$21,7)=0),"",SUMIFS(DECKS!$D$2:$D$1201,DECKS!$A$2:$A$1201,INDEX(_LEITURA!$P$2:$P$21,7),DECKS!$B$2:$B$1201,$A433))</f>
        <v/>
      </c>
      <c r="R433" s="19" t="str">
        <f aca="false">IF(OR($A433="",INDEX(_LEITURA!$Q$2:$Q$21,8)=0),"",SUMIFS(DECKS!$D$2:$D$1201,DECKS!$A$2:$A$1201,INDEX(_LEITURA!$P$2:$P$21,8),DECKS!$B$2:$B$1201,$A433))</f>
        <v/>
      </c>
      <c r="S433" s="19" t="str">
        <f aca="false">IF(OR($A433="",INDEX(_LEITURA!$Q$2:$Q$21,9)=0),"",SUMIFS(DECKS!$D$2:$D$1201,DECKS!$A$2:$A$1201,INDEX(_LEITURA!$P$2:$P$21,9),DECKS!$B$2:$B$1201,$A433))</f>
        <v/>
      </c>
      <c r="T433" s="19" t="str">
        <f aca="false">IF(OR($A433="",INDEX(_LEITURA!$Q$2:$Q$21,10)=0),"",SUMIFS(DECKS!$D$2:$D$1201,DECKS!$A$2:$A$1201,INDEX(_LEITURA!$P$2:$P$21,10),DECKS!$B$2:$B$1201,$A433))</f>
        <v/>
      </c>
      <c r="U433" s="19" t="str">
        <f aca="false">IF(OR($A433="",INDEX(_LEITURA!$Q$2:$Q$21,11)=0),"",SUMIFS(DECKS!$D$2:$D$1201,DECKS!$A$2:$A$1201,INDEX(_LEITURA!$P$2:$P$21,11),DECKS!$B$2:$B$1201,$A433))</f>
        <v/>
      </c>
      <c r="V433" s="19" t="str">
        <f aca="false">IF(OR($A433="",INDEX(_LEITURA!$Q$2:$Q$21,12)=0),"",SUMIFS(DECKS!$D$2:$D$1201,DECKS!$A$2:$A$1201,INDEX(_LEITURA!$P$2:$P$21,12),DECKS!$B$2:$B$1201,$A433))</f>
        <v/>
      </c>
      <c r="W433" s="19" t="str">
        <f aca="false">IF(OR($A433="",INDEX(_LEITURA!$Q$2:$Q$21,13)=0),"",SUMIFS(DECKS!$D$2:$D$1201,DECKS!$A$2:$A$1201,INDEX(_LEITURA!$P$2:$P$21,13),DECKS!$B$2:$B$1201,$A433))</f>
        <v/>
      </c>
      <c r="X433" s="19" t="str">
        <f aca="false">IF(OR($A433="",INDEX(_LEITURA!$Q$2:$Q$21,14)=0),"",SUMIFS(DECKS!$D$2:$D$1201,DECKS!$A$2:$A$1201,INDEX(_LEITURA!$P$2:$P$21,14),DECKS!$B$2:$B$1201,$A433))</f>
        <v/>
      </c>
      <c r="Y433" s="19" t="str">
        <f aca="false">IF(OR($A433="",INDEX(_LEITURA!$Q$2:$Q$21,15)=0),"",SUMIFS(DECKS!$D$2:$D$1201,DECKS!$A$2:$A$1201,INDEX(_LEITURA!$P$2:$P$21,15),DECKS!$B$2:$B$1201,$A433))</f>
        <v/>
      </c>
      <c r="Z433" s="19" t="str">
        <f aca="false">IF(OR($A433="",INDEX(_LEITURA!$Q$2:$Q$21,16)=0),"",SUMIFS(DECKS!$D$2:$D$1201,DECKS!$A$2:$A$1201,INDEX(_LEITURA!$P$2:$P$21,16),DECKS!$B$2:$B$1201,$A433))</f>
        <v/>
      </c>
      <c r="AA433" s="19" t="str">
        <f aca="false">IF(OR($A433="",INDEX(_LEITURA!$Q$2:$Q$21,17)=0),"",SUMIFS(DECKS!$D$2:$D$1201,DECKS!$A$2:$A$1201,INDEX(_LEITURA!$P$2:$P$21,17),DECKS!$B$2:$B$1201,$A433))</f>
        <v/>
      </c>
      <c r="AB433" s="19" t="str">
        <f aca="false">IF(OR($A433="",INDEX(_LEITURA!$Q$2:$Q$21,18)=0),"",SUMIFS(DECKS!$D$2:$D$1201,DECKS!$A$2:$A$1201,INDEX(_LEITURA!$P$2:$P$21,18),DECKS!$B$2:$B$1201,$A433))</f>
        <v/>
      </c>
      <c r="AC433" s="19" t="str">
        <f aca="false">IF(OR($A433="",INDEX(_LEITURA!$Q$2:$Q$21,19)=0),"",SUMIFS(DECKS!$D$2:$D$1201,DECKS!$A$2:$A$1201,INDEX(_LEITURA!$P$2:$P$21,19),DECKS!$B$2:$B$1201,$A433))</f>
        <v/>
      </c>
      <c r="AD433" s="19" t="str">
        <f aca="false">IF(OR($A433="",INDEX(_LEITURA!$Q$2:$Q$21,20)=0),"",SUMIFS(DECKS!$D$2:$D$1201,DECKS!$A$2:$A$1201,INDEX(_LEITURA!$P$2:$P$21,20),DECKS!$B$2:$B$1201,$A433))</f>
        <v/>
      </c>
      <c r="AE433" s="16" t="str">
        <f aca="false">IF(N(E433)&gt;0,MAX(AE$1:AE432)+1,"")</f>
        <v/>
      </c>
      <c r="AF433" s="11" t="str">
        <f aca="false">IF(A433="","",IFERROR(LEFT(A433,FIND("-",A433)-1),A433))</f>
        <v/>
      </c>
      <c r="AG433" s="11" t="str">
        <f aca="false">IF(AF433="","",IF(ISNUMBER(--MID(AF433,1,1)),0,IF(ISNUMBER(--MID(AF433,2,1)),1,IF(ISNUMBER(--MID(AF433,3,1)),2,IF(ISNUMBER(--MID(AF433,4,1)),3,MIN(LEN(AF433),4))))))</f>
        <v/>
      </c>
      <c r="AH433" s="11" t="str">
        <f aca="false">IF(A433="","",LEFT(AF433,AG433)&amp;REPT("0",4-AG433)&amp;RIGHT("000"&amp;IFERROR(VALUE(MID(AF433,AG433+1,9)),0),3)&amp;RIGHT("0000"&amp;IFERROR(VALUE(MID(A433,FIND("-",A433)+1,9)),0),4))</f>
        <v/>
      </c>
      <c r="AI433" s="11" t="str">
        <f aca="false">IF(OR(A433="",N(E433)&lt;=0),"",IF('FALTAS GERAL'!$M$1="Código","K"&amp;AH433&amp;RIGHT("00000"&amp;ROW(),5),IF('FALTAS GERAL'!$M$1="Nome","K"&amp;UPPER(SUBSTITUTE(SUBSTITUTE(SUBSTITUTE(B433,"*",""),"?",""),"~",""))&amp;"0"&amp;AH433&amp;RIGHT("00000"&amp;ROW(),5),IF('FALTAS GERAL'!$M$1="Falta (maior primeiro)","K"&amp;RIGHT("0000"&amp;(9999-E433),4)&amp;AH433&amp;RIGHT("00000"&amp;ROW(),5),IF('FALTAS GERAL'!$M$1="Nº de decks (maior primeiro)","K"&amp;RIGHT("00"&amp;(99-N(G433)),2)&amp;AH433&amp;RIGHT("00000"&amp;ROW(),5),"K"&amp;RIGHT("00000"&amp;ROW(),5))))))</f>
        <v/>
      </c>
      <c r="AJ433" s="11" t="str">
        <f aca="false">IF(AI433="","",COUNTIFS($AI$2:$AI$801,"&lt;"&amp;AI433,$E$2:$E$801,"&gt;0")+1)</f>
        <v/>
      </c>
      <c r="AK433" s="11" t="str">
        <f aca="false">IF(OR(A433="",N(E433)&lt;=0),"",COUNTIFS($AH$2:$AH$801,"&lt;"&amp;AH433,$E$2:$E$801,"&gt;0")+COUNTIFS($AH$2:AH433,AH433,$E$2:E433,"&gt;0"))</f>
        <v/>
      </c>
    </row>
    <row r="434" customFormat="false" ht="15" hidden="false" customHeight="false" outlineLevel="0" collapsed="false">
      <c r="A434" s="11" t="str">
        <f aca="false">IF(INVENTÁRIO!A434="","",INVENTÁRIO!A434)</f>
        <v/>
      </c>
      <c r="B434" s="11" t="str">
        <f aca="false">IF(A434="","",INVENTÁRIO!B434)</f>
        <v/>
      </c>
      <c r="C434" s="16" t="str">
        <f aca="false">IF(A434="","",INVENTÁRIO!C434)</f>
        <v/>
      </c>
      <c r="D434" s="14" t="str">
        <f aca="false">IF(A434="","",MAX(K434:AD434))</f>
        <v/>
      </c>
      <c r="E434" s="14" t="str">
        <f aca="false">IF(A434="","",MAX(0,D434-C434))</f>
        <v/>
      </c>
      <c r="F434" s="16" t="str">
        <f aca="false">IF(A434="","",IF(D434=0,"Fora dos decks",IF(E434=0,"Completo","Falta")))</f>
        <v/>
      </c>
      <c r="G434" s="16" t="str">
        <f aca="false">IF(A434="","",COUNTIF(K434:AD434,"&gt;0"))</f>
        <v/>
      </c>
      <c r="H434" s="16" t="str">
        <f aca="false">IF(A434="","",IF(G434&gt;1,"Sim",""))</f>
        <v/>
      </c>
      <c r="I434" s="18" t="str">
        <f aca="false">IF(A434="","",SUMIFS(DECKS!$D$2:$D$1201,DECKS!$B$2:$B$1201,A434))</f>
        <v/>
      </c>
      <c r="J434" s="18" t="str">
        <f aca="false">IF(A434="","",MAX(0,I434-C434))</f>
        <v/>
      </c>
      <c r="K434" s="19" t="str">
        <f aca="false">IF(OR($A434="",INDEX(_LEITURA!$Q$2:$Q$21,1)=0),"",SUMIFS(DECKS!$D$2:$D$1201,DECKS!$A$2:$A$1201,INDEX(_LEITURA!$P$2:$P$21,1),DECKS!$B$2:$B$1201,$A434))</f>
        <v/>
      </c>
      <c r="L434" s="19" t="str">
        <f aca="false">IF(OR($A434="",INDEX(_LEITURA!$Q$2:$Q$21,2)=0),"",SUMIFS(DECKS!$D$2:$D$1201,DECKS!$A$2:$A$1201,INDEX(_LEITURA!$P$2:$P$21,2),DECKS!$B$2:$B$1201,$A434))</f>
        <v/>
      </c>
      <c r="M434" s="19" t="str">
        <f aca="false">IF(OR($A434="",INDEX(_LEITURA!$Q$2:$Q$21,3)=0),"",SUMIFS(DECKS!$D$2:$D$1201,DECKS!$A$2:$A$1201,INDEX(_LEITURA!$P$2:$P$21,3),DECKS!$B$2:$B$1201,$A434))</f>
        <v/>
      </c>
      <c r="N434" s="19" t="str">
        <f aca="false">IF(OR($A434="",INDEX(_LEITURA!$Q$2:$Q$21,4)=0),"",SUMIFS(DECKS!$D$2:$D$1201,DECKS!$A$2:$A$1201,INDEX(_LEITURA!$P$2:$P$21,4),DECKS!$B$2:$B$1201,$A434))</f>
        <v/>
      </c>
      <c r="O434" s="19" t="str">
        <f aca="false">IF(OR($A434="",INDEX(_LEITURA!$Q$2:$Q$21,5)=0),"",SUMIFS(DECKS!$D$2:$D$1201,DECKS!$A$2:$A$1201,INDEX(_LEITURA!$P$2:$P$21,5),DECKS!$B$2:$B$1201,$A434))</f>
        <v/>
      </c>
      <c r="P434" s="19" t="str">
        <f aca="false">IF(OR($A434="",INDEX(_LEITURA!$Q$2:$Q$21,6)=0),"",SUMIFS(DECKS!$D$2:$D$1201,DECKS!$A$2:$A$1201,INDEX(_LEITURA!$P$2:$P$21,6),DECKS!$B$2:$B$1201,$A434))</f>
        <v/>
      </c>
      <c r="Q434" s="19" t="str">
        <f aca="false">IF(OR($A434="",INDEX(_LEITURA!$Q$2:$Q$21,7)=0),"",SUMIFS(DECKS!$D$2:$D$1201,DECKS!$A$2:$A$1201,INDEX(_LEITURA!$P$2:$P$21,7),DECKS!$B$2:$B$1201,$A434))</f>
        <v/>
      </c>
      <c r="R434" s="19" t="str">
        <f aca="false">IF(OR($A434="",INDEX(_LEITURA!$Q$2:$Q$21,8)=0),"",SUMIFS(DECKS!$D$2:$D$1201,DECKS!$A$2:$A$1201,INDEX(_LEITURA!$P$2:$P$21,8),DECKS!$B$2:$B$1201,$A434))</f>
        <v/>
      </c>
      <c r="S434" s="19" t="str">
        <f aca="false">IF(OR($A434="",INDEX(_LEITURA!$Q$2:$Q$21,9)=0),"",SUMIFS(DECKS!$D$2:$D$1201,DECKS!$A$2:$A$1201,INDEX(_LEITURA!$P$2:$P$21,9),DECKS!$B$2:$B$1201,$A434))</f>
        <v/>
      </c>
      <c r="T434" s="19" t="str">
        <f aca="false">IF(OR($A434="",INDEX(_LEITURA!$Q$2:$Q$21,10)=0),"",SUMIFS(DECKS!$D$2:$D$1201,DECKS!$A$2:$A$1201,INDEX(_LEITURA!$P$2:$P$21,10),DECKS!$B$2:$B$1201,$A434))</f>
        <v/>
      </c>
      <c r="U434" s="19" t="str">
        <f aca="false">IF(OR($A434="",INDEX(_LEITURA!$Q$2:$Q$21,11)=0),"",SUMIFS(DECKS!$D$2:$D$1201,DECKS!$A$2:$A$1201,INDEX(_LEITURA!$P$2:$P$21,11),DECKS!$B$2:$B$1201,$A434))</f>
        <v/>
      </c>
      <c r="V434" s="19" t="str">
        <f aca="false">IF(OR($A434="",INDEX(_LEITURA!$Q$2:$Q$21,12)=0),"",SUMIFS(DECKS!$D$2:$D$1201,DECKS!$A$2:$A$1201,INDEX(_LEITURA!$P$2:$P$21,12),DECKS!$B$2:$B$1201,$A434))</f>
        <v/>
      </c>
      <c r="W434" s="19" t="str">
        <f aca="false">IF(OR($A434="",INDEX(_LEITURA!$Q$2:$Q$21,13)=0),"",SUMIFS(DECKS!$D$2:$D$1201,DECKS!$A$2:$A$1201,INDEX(_LEITURA!$P$2:$P$21,13),DECKS!$B$2:$B$1201,$A434))</f>
        <v/>
      </c>
      <c r="X434" s="19" t="str">
        <f aca="false">IF(OR($A434="",INDEX(_LEITURA!$Q$2:$Q$21,14)=0),"",SUMIFS(DECKS!$D$2:$D$1201,DECKS!$A$2:$A$1201,INDEX(_LEITURA!$P$2:$P$21,14),DECKS!$B$2:$B$1201,$A434))</f>
        <v/>
      </c>
      <c r="Y434" s="19" t="str">
        <f aca="false">IF(OR($A434="",INDEX(_LEITURA!$Q$2:$Q$21,15)=0),"",SUMIFS(DECKS!$D$2:$D$1201,DECKS!$A$2:$A$1201,INDEX(_LEITURA!$P$2:$P$21,15),DECKS!$B$2:$B$1201,$A434))</f>
        <v/>
      </c>
      <c r="Z434" s="19" t="str">
        <f aca="false">IF(OR($A434="",INDEX(_LEITURA!$Q$2:$Q$21,16)=0),"",SUMIFS(DECKS!$D$2:$D$1201,DECKS!$A$2:$A$1201,INDEX(_LEITURA!$P$2:$P$21,16),DECKS!$B$2:$B$1201,$A434))</f>
        <v/>
      </c>
      <c r="AA434" s="19" t="str">
        <f aca="false">IF(OR($A434="",INDEX(_LEITURA!$Q$2:$Q$21,17)=0),"",SUMIFS(DECKS!$D$2:$D$1201,DECKS!$A$2:$A$1201,INDEX(_LEITURA!$P$2:$P$21,17),DECKS!$B$2:$B$1201,$A434))</f>
        <v/>
      </c>
      <c r="AB434" s="19" t="str">
        <f aca="false">IF(OR($A434="",INDEX(_LEITURA!$Q$2:$Q$21,18)=0),"",SUMIFS(DECKS!$D$2:$D$1201,DECKS!$A$2:$A$1201,INDEX(_LEITURA!$P$2:$P$21,18),DECKS!$B$2:$B$1201,$A434))</f>
        <v/>
      </c>
      <c r="AC434" s="19" t="str">
        <f aca="false">IF(OR($A434="",INDEX(_LEITURA!$Q$2:$Q$21,19)=0),"",SUMIFS(DECKS!$D$2:$D$1201,DECKS!$A$2:$A$1201,INDEX(_LEITURA!$P$2:$P$21,19),DECKS!$B$2:$B$1201,$A434))</f>
        <v/>
      </c>
      <c r="AD434" s="19" t="str">
        <f aca="false">IF(OR($A434="",INDEX(_LEITURA!$Q$2:$Q$21,20)=0),"",SUMIFS(DECKS!$D$2:$D$1201,DECKS!$A$2:$A$1201,INDEX(_LEITURA!$P$2:$P$21,20),DECKS!$B$2:$B$1201,$A434))</f>
        <v/>
      </c>
      <c r="AE434" s="16" t="str">
        <f aca="false">IF(N(E434)&gt;0,MAX(AE$1:AE433)+1,"")</f>
        <v/>
      </c>
      <c r="AF434" s="11" t="str">
        <f aca="false">IF(A434="","",IFERROR(LEFT(A434,FIND("-",A434)-1),A434))</f>
        <v/>
      </c>
      <c r="AG434" s="11" t="str">
        <f aca="false">IF(AF434="","",IF(ISNUMBER(--MID(AF434,1,1)),0,IF(ISNUMBER(--MID(AF434,2,1)),1,IF(ISNUMBER(--MID(AF434,3,1)),2,IF(ISNUMBER(--MID(AF434,4,1)),3,MIN(LEN(AF434),4))))))</f>
        <v/>
      </c>
      <c r="AH434" s="11" t="str">
        <f aca="false">IF(A434="","",LEFT(AF434,AG434)&amp;REPT("0",4-AG434)&amp;RIGHT("000"&amp;IFERROR(VALUE(MID(AF434,AG434+1,9)),0),3)&amp;RIGHT("0000"&amp;IFERROR(VALUE(MID(A434,FIND("-",A434)+1,9)),0),4))</f>
        <v/>
      </c>
      <c r="AI434" s="11" t="str">
        <f aca="false">IF(OR(A434="",N(E434)&lt;=0),"",IF('FALTAS GERAL'!$M$1="Código","K"&amp;AH434&amp;RIGHT("00000"&amp;ROW(),5),IF('FALTAS GERAL'!$M$1="Nome","K"&amp;UPPER(SUBSTITUTE(SUBSTITUTE(SUBSTITUTE(B434,"*",""),"?",""),"~",""))&amp;"0"&amp;AH434&amp;RIGHT("00000"&amp;ROW(),5),IF('FALTAS GERAL'!$M$1="Falta (maior primeiro)","K"&amp;RIGHT("0000"&amp;(9999-E434),4)&amp;AH434&amp;RIGHT("00000"&amp;ROW(),5),IF('FALTAS GERAL'!$M$1="Nº de decks (maior primeiro)","K"&amp;RIGHT("00"&amp;(99-N(G434)),2)&amp;AH434&amp;RIGHT("00000"&amp;ROW(),5),"K"&amp;RIGHT("00000"&amp;ROW(),5))))))</f>
        <v/>
      </c>
      <c r="AJ434" s="11" t="str">
        <f aca="false">IF(AI434="","",COUNTIFS($AI$2:$AI$801,"&lt;"&amp;AI434,$E$2:$E$801,"&gt;0")+1)</f>
        <v/>
      </c>
      <c r="AK434" s="11" t="str">
        <f aca="false">IF(OR(A434="",N(E434)&lt;=0),"",COUNTIFS($AH$2:$AH$801,"&lt;"&amp;AH434,$E$2:$E$801,"&gt;0")+COUNTIFS($AH$2:AH434,AH434,$E$2:E434,"&gt;0"))</f>
        <v/>
      </c>
    </row>
    <row r="435" customFormat="false" ht="15" hidden="false" customHeight="false" outlineLevel="0" collapsed="false">
      <c r="A435" s="11" t="str">
        <f aca="false">IF(INVENTÁRIO!A435="","",INVENTÁRIO!A435)</f>
        <v/>
      </c>
      <c r="B435" s="11" t="str">
        <f aca="false">IF(A435="","",INVENTÁRIO!B435)</f>
        <v/>
      </c>
      <c r="C435" s="16" t="str">
        <f aca="false">IF(A435="","",INVENTÁRIO!C435)</f>
        <v/>
      </c>
      <c r="D435" s="14" t="str">
        <f aca="false">IF(A435="","",MAX(K435:AD435))</f>
        <v/>
      </c>
      <c r="E435" s="14" t="str">
        <f aca="false">IF(A435="","",MAX(0,D435-C435))</f>
        <v/>
      </c>
      <c r="F435" s="16" t="str">
        <f aca="false">IF(A435="","",IF(D435=0,"Fora dos decks",IF(E435=0,"Completo","Falta")))</f>
        <v/>
      </c>
      <c r="G435" s="16" t="str">
        <f aca="false">IF(A435="","",COUNTIF(K435:AD435,"&gt;0"))</f>
        <v/>
      </c>
      <c r="H435" s="16" t="str">
        <f aca="false">IF(A435="","",IF(G435&gt;1,"Sim",""))</f>
        <v/>
      </c>
      <c r="I435" s="18" t="str">
        <f aca="false">IF(A435="","",SUMIFS(DECKS!$D$2:$D$1201,DECKS!$B$2:$B$1201,A435))</f>
        <v/>
      </c>
      <c r="J435" s="18" t="str">
        <f aca="false">IF(A435="","",MAX(0,I435-C435))</f>
        <v/>
      </c>
      <c r="K435" s="19" t="str">
        <f aca="false">IF(OR($A435="",INDEX(_LEITURA!$Q$2:$Q$21,1)=0),"",SUMIFS(DECKS!$D$2:$D$1201,DECKS!$A$2:$A$1201,INDEX(_LEITURA!$P$2:$P$21,1),DECKS!$B$2:$B$1201,$A435))</f>
        <v/>
      </c>
      <c r="L435" s="19" t="str">
        <f aca="false">IF(OR($A435="",INDEX(_LEITURA!$Q$2:$Q$21,2)=0),"",SUMIFS(DECKS!$D$2:$D$1201,DECKS!$A$2:$A$1201,INDEX(_LEITURA!$P$2:$P$21,2),DECKS!$B$2:$B$1201,$A435))</f>
        <v/>
      </c>
      <c r="M435" s="19" t="str">
        <f aca="false">IF(OR($A435="",INDEX(_LEITURA!$Q$2:$Q$21,3)=0),"",SUMIFS(DECKS!$D$2:$D$1201,DECKS!$A$2:$A$1201,INDEX(_LEITURA!$P$2:$P$21,3),DECKS!$B$2:$B$1201,$A435))</f>
        <v/>
      </c>
      <c r="N435" s="19" t="str">
        <f aca="false">IF(OR($A435="",INDEX(_LEITURA!$Q$2:$Q$21,4)=0),"",SUMIFS(DECKS!$D$2:$D$1201,DECKS!$A$2:$A$1201,INDEX(_LEITURA!$P$2:$P$21,4),DECKS!$B$2:$B$1201,$A435))</f>
        <v/>
      </c>
      <c r="O435" s="19" t="str">
        <f aca="false">IF(OR($A435="",INDEX(_LEITURA!$Q$2:$Q$21,5)=0),"",SUMIFS(DECKS!$D$2:$D$1201,DECKS!$A$2:$A$1201,INDEX(_LEITURA!$P$2:$P$21,5),DECKS!$B$2:$B$1201,$A435))</f>
        <v/>
      </c>
      <c r="P435" s="19" t="str">
        <f aca="false">IF(OR($A435="",INDEX(_LEITURA!$Q$2:$Q$21,6)=0),"",SUMIFS(DECKS!$D$2:$D$1201,DECKS!$A$2:$A$1201,INDEX(_LEITURA!$P$2:$P$21,6),DECKS!$B$2:$B$1201,$A435))</f>
        <v/>
      </c>
      <c r="Q435" s="19" t="str">
        <f aca="false">IF(OR($A435="",INDEX(_LEITURA!$Q$2:$Q$21,7)=0),"",SUMIFS(DECKS!$D$2:$D$1201,DECKS!$A$2:$A$1201,INDEX(_LEITURA!$P$2:$P$21,7),DECKS!$B$2:$B$1201,$A435))</f>
        <v/>
      </c>
      <c r="R435" s="19" t="str">
        <f aca="false">IF(OR($A435="",INDEX(_LEITURA!$Q$2:$Q$21,8)=0),"",SUMIFS(DECKS!$D$2:$D$1201,DECKS!$A$2:$A$1201,INDEX(_LEITURA!$P$2:$P$21,8),DECKS!$B$2:$B$1201,$A435))</f>
        <v/>
      </c>
      <c r="S435" s="19" t="str">
        <f aca="false">IF(OR($A435="",INDEX(_LEITURA!$Q$2:$Q$21,9)=0),"",SUMIFS(DECKS!$D$2:$D$1201,DECKS!$A$2:$A$1201,INDEX(_LEITURA!$P$2:$P$21,9),DECKS!$B$2:$B$1201,$A435))</f>
        <v/>
      </c>
      <c r="T435" s="19" t="str">
        <f aca="false">IF(OR($A435="",INDEX(_LEITURA!$Q$2:$Q$21,10)=0),"",SUMIFS(DECKS!$D$2:$D$1201,DECKS!$A$2:$A$1201,INDEX(_LEITURA!$P$2:$P$21,10),DECKS!$B$2:$B$1201,$A435))</f>
        <v/>
      </c>
      <c r="U435" s="19" t="str">
        <f aca="false">IF(OR($A435="",INDEX(_LEITURA!$Q$2:$Q$21,11)=0),"",SUMIFS(DECKS!$D$2:$D$1201,DECKS!$A$2:$A$1201,INDEX(_LEITURA!$P$2:$P$21,11),DECKS!$B$2:$B$1201,$A435))</f>
        <v/>
      </c>
      <c r="V435" s="19" t="str">
        <f aca="false">IF(OR($A435="",INDEX(_LEITURA!$Q$2:$Q$21,12)=0),"",SUMIFS(DECKS!$D$2:$D$1201,DECKS!$A$2:$A$1201,INDEX(_LEITURA!$P$2:$P$21,12),DECKS!$B$2:$B$1201,$A435))</f>
        <v/>
      </c>
      <c r="W435" s="19" t="str">
        <f aca="false">IF(OR($A435="",INDEX(_LEITURA!$Q$2:$Q$21,13)=0),"",SUMIFS(DECKS!$D$2:$D$1201,DECKS!$A$2:$A$1201,INDEX(_LEITURA!$P$2:$P$21,13),DECKS!$B$2:$B$1201,$A435))</f>
        <v/>
      </c>
      <c r="X435" s="19" t="str">
        <f aca="false">IF(OR($A435="",INDEX(_LEITURA!$Q$2:$Q$21,14)=0),"",SUMIFS(DECKS!$D$2:$D$1201,DECKS!$A$2:$A$1201,INDEX(_LEITURA!$P$2:$P$21,14),DECKS!$B$2:$B$1201,$A435))</f>
        <v/>
      </c>
      <c r="Y435" s="19" t="str">
        <f aca="false">IF(OR($A435="",INDEX(_LEITURA!$Q$2:$Q$21,15)=0),"",SUMIFS(DECKS!$D$2:$D$1201,DECKS!$A$2:$A$1201,INDEX(_LEITURA!$P$2:$P$21,15),DECKS!$B$2:$B$1201,$A435))</f>
        <v/>
      </c>
      <c r="Z435" s="19" t="str">
        <f aca="false">IF(OR($A435="",INDEX(_LEITURA!$Q$2:$Q$21,16)=0),"",SUMIFS(DECKS!$D$2:$D$1201,DECKS!$A$2:$A$1201,INDEX(_LEITURA!$P$2:$P$21,16),DECKS!$B$2:$B$1201,$A435))</f>
        <v/>
      </c>
      <c r="AA435" s="19" t="str">
        <f aca="false">IF(OR($A435="",INDEX(_LEITURA!$Q$2:$Q$21,17)=0),"",SUMIFS(DECKS!$D$2:$D$1201,DECKS!$A$2:$A$1201,INDEX(_LEITURA!$P$2:$P$21,17),DECKS!$B$2:$B$1201,$A435))</f>
        <v/>
      </c>
      <c r="AB435" s="19" t="str">
        <f aca="false">IF(OR($A435="",INDEX(_LEITURA!$Q$2:$Q$21,18)=0),"",SUMIFS(DECKS!$D$2:$D$1201,DECKS!$A$2:$A$1201,INDEX(_LEITURA!$P$2:$P$21,18),DECKS!$B$2:$B$1201,$A435))</f>
        <v/>
      </c>
      <c r="AC435" s="19" t="str">
        <f aca="false">IF(OR($A435="",INDEX(_LEITURA!$Q$2:$Q$21,19)=0),"",SUMIFS(DECKS!$D$2:$D$1201,DECKS!$A$2:$A$1201,INDEX(_LEITURA!$P$2:$P$21,19),DECKS!$B$2:$B$1201,$A435))</f>
        <v/>
      </c>
      <c r="AD435" s="19" t="str">
        <f aca="false">IF(OR($A435="",INDEX(_LEITURA!$Q$2:$Q$21,20)=0),"",SUMIFS(DECKS!$D$2:$D$1201,DECKS!$A$2:$A$1201,INDEX(_LEITURA!$P$2:$P$21,20),DECKS!$B$2:$B$1201,$A435))</f>
        <v/>
      </c>
      <c r="AE435" s="16" t="str">
        <f aca="false">IF(N(E435)&gt;0,MAX(AE$1:AE434)+1,"")</f>
        <v/>
      </c>
      <c r="AF435" s="11" t="str">
        <f aca="false">IF(A435="","",IFERROR(LEFT(A435,FIND("-",A435)-1),A435))</f>
        <v/>
      </c>
      <c r="AG435" s="11" t="str">
        <f aca="false">IF(AF435="","",IF(ISNUMBER(--MID(AF435,1,1)),0,IF(ISNUMBER(--MID(AF435,2,1)),1,IF(ISNUMBER(--MID(AF435,3,1)),2,IF(ISNUMBER(--MID(AF435,4,1)),3,MIN(LEN(AF435),4))))))</f>
        <v/>
      </c>
      <c r="AH435" s="11" t="str">
        <f aca="false">IF(A435="","",LEFT(AF435,AG435)&amp;REPT("0",4-AG435)&amp;RIGHT("000"&amp;IFERROR(VALUE(MID(AF435,AG435+1,9)),0),3)&amp;RIGHT("0000"&amp;IFERROR(VALUE(MID(A435,FIND("-",A435)+1,9)),0),4))</f>
        <v/>
      </c>
      <c r="AI435" s="11" t="str">
        <f aca="false">IF(OR(A435="",N(E435)&lt;=0),"",IF('FALTAS GERAL'!$M$1="Código","K"&amp;AH435&amp;RIGHT("00000"&amp;ROW(),5),IF('FALTAS GERAL'!$M$1="Nome","K"&amp;UPPER(SUBSTITUTE(SUBSTITUTE(SUBSTITUTE(B435,"*",""),"?",""),"~",""))&amp;"0"&amp;AH435&amp;RIGHT("00000"&amp;ROW(),5),IF('FALTAS GERAL'!$M$1="Falta (maior primeiro)","K"&amp;RIGHT("0000"&amp;(9999-E435),4)&amp;AH435&amp;RIGHT("00000"&amp;ROW(),5),IF('FALTAS GERAL'!$M$1="Nº de decks (maior primeiro)","K"&amp;RIGHT("00"&amp;(99-N(G435)),2)&amp;AH435&amp;RIGHT("00000"&amp;ROW(),5),"K"&amp;RIGHT("00000"&amp;ROW(),5))))))</f>
        <v/>
      </c>
      <c r="AJ435" s="11" t="str">
        <f aca="false">IF(AI435="","",COUNTIFS($AI$2:$AI$801,"&lt;"&amp;AI435,$E$2:$E$801,"&gt;0")+1)</f>
        <v/>
      </c>
      <c r="AK435" s="11" t="str">
        <f aca="false">IF(OR(A435="",N(E435)&lt;=0),"",COUNTIFS($AH$2:$AH$801,"&lt;"&amp;AH435,$E$2:$E$801,"&gt;0")+COUNTIFS($AH$2:AH435,AH435,$E$2:E435,"&gt;0"))</f>
        <v/>
      </c>
    </row>
    <row r="436" customFormat="false" ht="15" hidden="false" customHeight="false" outlineLevel="0" collapsed="false">
      <c r="A436" s="11" t="str">
        <f aca="false">IF(INVENTÁRIO!A436="","",INVENTÁRIO!A436)</f>
        <v/>
      </c>
      <c r="B436" s="11" t="str">
        <f aca="false">IF(A436="","",INVENTÁRIO!B436)</f>
        <v/>
      </c>
      <c r="C436" s="16" t="str">
        <f aca="false">IF(A436="","",INVENTÁRIO!C436)</f>
        <v/>
      </c>
      <c r="D436" s="14" t="str">
        <f aca="false">IF(A436="","",MAX(K436:AD436))</f>
        <v/>
      </c>
      <c r="E436" s="14" t="str">
        <f aca="false">IF(A436="","",MAX(0,D436-C436))</f>
        <v/>
      </c>
      <c r="F436" s="16" t="str">
        <f aca="false">IF(A436="","",IF(D436=0,"Fora dos decks",IF(E436=0,"Completo","Falta")))</f>
        <v/>
      </c>
      <c r="G436" s="16" t="str">
        <f aca="false">IF(A436="","",COUNTIF(K436:AD436,"&gt;0"))</f>
        <v/>
      </c>
      <c r="H436" s="16" t="str">
        <f aca="false">IF(A436="","",IF(G436&gt;1,"Sim",""))</f>
        <v/>
      </c>
      <c r="I436" s="18" t="str">
        <f aca="false">IF(A436="","",SUMIFS(DECKS!$D$2:$D$1201,DECKS!$B$2:$B$1201,A436))</f>
        <v/>
      </c>
      <c r="J436" s="18" t="str">
        <f aca="false">IF(A436="","",MAX(0,I436-C436))</f>
        <v/>
      </c>
      <c r="K436" s="19" t="str">
        <f aca="false">IF(OR($A436="",INDEX(_LEITURA!$Q$2:$Q$21,1)=0),"",SUMIFS(DECKS!$D$2:$D$1201,DECKS!$A$2:$A$1201,INDEX(_LEITURA!$P$2:$P$21,1),DECKS!$B$2:$B$1201,$A436))</f>
        <v/>
      </c>
      <c r="L436" s="19" t="str">
        <f aca="false">IF(OR($A436="",INDEX(_LEITURA!$Q$2:$Q$21,2)=0),"",SUMIFS(DECKS!$D$2:$D$1201,DECKS!$A$2:$A$1201,INDEX(_LEITURA!$P$2:$P$21,2),DECKS!$B$2:$B$1201,$A436))</f>
        <v/>
      </c>
      <c r="M436" s="19" t="str">
        <f aca="false">IF(OR($A436="",INDEX(_LEITURA!$Q$2:$Q$21,3)=0),"",SUMIFS(DECKS!$D$2:$D$1201,DECKS!$A$2:$A$1201,INDEX(_LEITURA!$P$2:$P$21,3),DECKS!$B$2:$B$1201,$A436))</f>
        <v/>
      </c>
      <c r="N436" s="19" t="str">
        <f aca="false">IF(OR($A436="",INDEX(_LEITURA!$Q$2:$Q$21,4)=0),"",SUMIFS(DECKS!$D$2:$D$1201,DECKS!$A$2:$A$1201,INDEX(_LEITURA!$P$2:$P$21,4),DECKS!$B$2:$B$1201,$A436))</f>
        <v/>
      </c>
      <c r="O436" s="19" t="str">
        <f aca="false">IF(OR($A436="",INDEX(_LEITURA!$Q$2:$Q$21,5)=0),"",SUMIFS(DECKS!$D$2:$D$1201,DECKS!$A$2:$A$1201,INDEX(_LEITURA!$P$2:$P$21,5),DECKS!$B$2:$B$1201,$A436))</f>
        <v/>
      </c>
      <c r="P436" s="19" t="str">
        <f aca="false">IF(OR($A436="",INDEX(_LEITURA!$Q$2:$Q$21,6)=0),"",SUMIFS(DECKS!$D$2:$D$1201,DECKS!$A$2:$A$1201,INDEX(_LEITURA!$P$2:$P$21,6),DECKS!$B$2:$B$1201,$A436))</f>
        <v/>
      </c>
      <c r="Q436" s="19" t="str">
        <f aca="false">IF(OR($A436="",INDEX(_LEITURA!$Q$2:$Q$21,7)=0),"",SUMIFS(DECKS!$D$2:$D$1201,DECKS!$A$2:$A$1201,INDEX(_LEITURA!$P$2:$P$21,7),DECKS!$B$2:$B$1201,$A436))</f>
        <v/>
      </c>
      <c r="R436" s="19" t="str">
        <f aca="false">IF(OR($A436="",INDEX(_LEITURA!$Q$2:$Q$21,8)=0),"",SUMIFS(DECKS!$D$2:$D$1201,DECKS!$A$2:$A$1201,INDEX(_LEITURA!$P$2:$P$21,8),DECKS!$B$2:$B$1201,$A436))</f>
        <v/>
      </c>
      <c r="S436" s="19" t="str">
        <f aca="false">IF(OR($A436="",INDEX(_LEITURA!$Q$2:$Q$21,9)=0),"",SUMIFS(DECKS!$D$2:$D$1201,DECKS!$A$2:$A$1201,INDEX(_LEITURA!$P$2:$P$21,9),DECKS!$B$2:$B$1201,$A436))</f>
        <v/>
      </c>
      <c r="T436" s="19" t="str">
        <f aca="false">IF(OR($A436="",INDEX(_LEITURA!$Q$2:$Q$21,10)=0),"",SUMIFS(DECKS!$D$2:$D$1201,DECKS!$A$2:$A$1201,INDEX(_LEITURA!$P$2:$P$21,10),DECKS!$B$2:$B$1201,$A436))</f>
        <v/>
      </c>
      <c r="U436" s="19" t="str">
        <f aca="false">IF(OR($A436="",INDEX(_LEITURA!$Q$2:$Q$21,11)=0),"",SUMIFS(DECKS!$D$2:$D$1201,DECKS!$A$2:$A$1201,INDEX(_LEITURA!$P$2:$P$21,11),DECKS!$B$2:$B$1201,$A436))</f>
        <v/>
      </c>
      <c r="V436" s="19" t="str">
        <f aca="false">IF(OR($A436="",INDEX(_LEITURA!$Q$2:$Q$21,12)=0),"",SUMIFS(DECKS!$D$2:$D$1201,DECKS!$A$2:$A$1201,INDEX(_LEITURA!$P$2:$P$21,12),DECKS!$B$2:$B$1201,$A436))</f>
        <v/>
      </c>
      <c r="W436" s="19" t="str">
        <f aca="false">IF(OR($A436="",INDEX(_LEITURA!$Q$2:$Q$21,13)=0),"",SUMIFS(DECKS!$D$2:$D$1201,DECKS!$A$2:$A$1201,INDEX(_LEITURA!$P$2:$P$21,13),DECKS!$B$2:$B$1201,$A436))</f>
        <v/>
      </c>
      <c r="X436" s="19" t="str">
        <f aca="false">IF(OR($A436="",INDEX(_LEITURA!$Q$2:$Q$21,14)=0),"",SUMIFS(DECKS!$D$2:$D$1201,DECKS!$A$2:$A$1201,INDEX(_LEITURA!$P$2:$P$21,14),DECKS!$B$2:$B$1201,$A436))</f>
        <v/>
      </c>
      <c r="Y436" s="19" t="str">
        <f aca="false">IF(OR($A436="",INDEX(_LEITURA!$Q$2:$Q$21,15)=0),"",SUMIFS(DECKS!$D$2:$D$1201,DECKS!$A$2:$A$1201,INDEX(_LEITURA!$P$2:$P$21,15),DECKS!$B$2:$B$1201,$A436))</f>
        <v/>
      </c>
      <c r="Z436" s="19" t="str">
        <f aca="false">IF(OR($A436="",INDEX(_LEITURA!$Q$2:$Q$21,16)=0),"",SUMIFS(DECKS!$D$2:$D$1201,DECKS!$A$2:$A$1201,INDEX(_LEITURA!$P$2:$P$21,16),DECKS!$B$2:$B$1201,$A436))</f>
        <v/>
      </c>
      <c r="AA436" s="19" t="str">
        <f aca="false">IF(OR($A436="",INDEX(_LEITURA!$Q$2:$Q$21,17)=0),"",SUMIFS(DECKS!$D$2:$D$1201,DECKS!$A$2:$A$1201,INDEX(_LEITURA!$P$2:$P$21,17),DECKS!$B$2:$B$1201,$A436))</f>
        <v/>
      </c>
      <c r="AB436" s="19" t="str">
        <f aca="false">IF(OR($A436="",INDEX(_LEITURA!$Q$2:$Q$21,18)=0),"",SUMIFS(DECKS!$D$2:$D$1201,DECKS!$A$2:$A$1201,INDEX(_LEITURA!$P$2:$P$21,18),DECKS!$B$2:$B$1201,$A436))</f>
        <v/>
      </c>
      <c r="AC436" s="19" t="str">
        <f aca="false">IF(OR($A436="",INDEX(_LEITURA!$Q$2:$Q$21,19)=0),"",SUMIFS(DECKS!$D$2:$D$1201,DECKS!$A$2:$A$1201,INDEX(_LEITURA!$P$2:$P$21,19),DECKS!$B$2:$B$1201,$A436))</f>
        <v/>
      </c>
      <c r="AD436" s="19" t="str">
        <f aca="false">IF(OR($A436="",INDEX(_LEITURA!$Q$2:$Q$21,20)=0),"",SUMIFS(DECKS!$D$2:$D$1201,DECKS!$A$2:$A$1201,INDEX(_LEITURA!$P$2:$P$21,20),DECKS!$B$2:$B$1201,$A436))</f>
        <v/>
      </c>
      <c r="AE436" s="16" t="str">
        <f aca="false">IF(N(E436)&gt;0,MAX(AE$1:AE435)+1,"")</f>
        <v/>
      </c>
      <c r="AF436" s="11" t="str">
        <f aca="false">IF(A436="","",IFERROR(LEFT(A436,FIND("-",A436)-1),A436))</f>
        <v/>
      </c>
      <c r="AG436" s="11" t="str">
        <f aca="false">IF(AF436="","",IF(ISNUMBER(--MID(AF436,1,1)),0,IF(ISNUMBER(--MID(AF436,2,1)),1,IF(ISNUMBER(--MID(AF436,3,1)),2,IF(ISNUMBER(--MID(AF436,4,1)),3,MIN(LEN(AF436),4))))))</f>
        <v/>
      </c>
      <c r="AH436" s="11" t="str">
        <f aca="false">IF(A436="","",LEFT(AF436,AG436)&amp;REPT("0",4-AG436)&amp;RIGHT("000"&amp;IFERROR(VALUE(MID(AF436,AG436+1,9)),0),3)&amp;RIGHT("0000"&amp;IFERROR(VALUE(MID(A436,FIND("-",A436)+1,9)),0),4))</f>
        <v/>
      </c>
      <c r="AI436" s="11" t="str">
        <f aca="false">IF(OR(A436="",N(E436)&lt;=0),"",IF('FALTAS GERAL'!$M$1="Código","K"&amp;AH436&amp;RIGHT("00000"&amp;ROW(),5),IF('FALTAS GERAL'!$M$1="Nome","K"&amp;UPPER(SUBSTITUTE(SUBSTITUTE(SUBSTITUTE(B436,"*",""),"?",""),"~",""))&amp;"0"&amp;AH436&amp;RIGHT("00000"&amp;ROW(),5),IF('FALTAS GERAL'!$M$1="Falta (maior primeiro)","K"&amp;RIGHT("0000"&amp;(9999-E436),4)&amp;AH436&amp;RIGHT("00000"&amp;ROW(),5),IF('FALTAS GERAL'!$M$1="Nº de decks (maior primeiro)","K"&amp;RIGHT("00"&amp;(99-N(G436)),2)&amp;AH436&amp;RIGHT("00000"&amp;ROW(),5),"K"&amp;RIGHT("00000"&amp;ROW(),5))))))</f>
        <v/>
      </c>
      <c r="AJ436" s="11" t="str">
        <f aca="false">IF(AI436="","",COUNTIFS($AI$2:$AI$801,"&lt;"&amp;AI436,$E$2:$E$801,"&gt;0")+1)</f>
        <v/>
      </c>
      <c r="AK436" s="11" t="str">
        <f aca="false">IF(OR(A436="",N(E436)&lt;=0),"",COUNTIFS($AH$2:$AH$801,"&lt;"&amp;AH436,$E$2:$E$801,"&gt;0")+COUNTIFS($AH$2:AH436,AH436,$E$2:E436,"&gt;0"))</f>
        <v/>
      </c>
    </row>
    <row r="437" customFormat="false" ht="15" hidden="false" customHeight="false" outlineLevel="0" collapsed="false">
      <c r="A437" s="11" t="str">
        <f aca="false">IF(INVENTÁRIO!A437="","",INVENTÁRIO!A437)</f>
        <v/>
      </c>
      <c r="B437" s="11" t="str">
        <f aca="false">IF(A437="","",INVENTÁRIO!B437)</f>
        <v/>
      </c>
      <c r="C437" s="16" t="str">
        <f aca="false">IF(A437="","",INVENTÁRIO!C437)</f>
        <v/>
      </c>
      <c r="D437" s="14" t="str">
        <f aca="false">IF(A437="","",MAX(K437:AD437))</f>
        <v/>
      </c>
      <c r="E437" s="14" t="str">
        <f aca="false">IF(A437="","",MAX(0,D437-C437))</f>
        <v/>
      </c>
      <c r="F437" s="16" t="str">
        <f aca="false">IF(A437="","",IF(D437=0,"Fora dos decks",IF(E437=0,"Completo","Falta")))</f>
        <v/>
      </c>
      <c r="G437" s="16" t="str">
        <f aca="false">IF(A437="","",COUNTIF(K437:AD437,"&gt;0"))</f>
        <v/>
      </c>
      <c r="H437" s="16" t="str">
        <f aca="false">IF(A437="","",IF(G437&gt;1,"Sim",""))</f>
        <v/>
      </c>
      <c r="I437" s="18" t="str">
        <f aca="false">IF(A437="","",SUMIFS(DECKS!$D$2:$D$1201,DECKS!$B$2:$B$1201,A437))</f>
        <v/>
      </c>
      <c r="J437" s="18" t="str">
        <f aca="false">IF(A437="","",MAX(0,I437-C437))</f>
        <v/>
      </c>
      <c r="K437" s="19" t="str">
        <f aca="false">IF(OR($A437="",INDEX(_LEITURA!$Q$2:$Q$21,1)=0),"",SUMIFS(DECKS!$D$2:$D$1201,DECKS!$A$2:$A$1201,INDEX(_LEITURA!$P$2:$P$21,1),DECKS!$B$2:$B$1201,$A437))</f>
        <v/>
      </c>
      <c r="L437" s="19" t="str">
        <f aca="false">IF(OR($A437="",INDEX(_LEITURA!$Q$2:$Q$21,2)=0),"",SUMIFS(DECKS!$D$2:$D$1201,DECKS!$A$2:$A$1201,INDEX(_LEITURA!$P$2:$P$21,2),DECKS!$B$2:$B$1201,$A437))</f>
        <v/>
      </c>
      <c r="M437" s="19" t="str">
        <f aca="false">IF(OR($A437="",INDEX(_LEITURA!$Q$2:$Q$21,3)=0),"",SUMIFS(DECKS!$D$2:$D$1201,DECKS!$A$2:$A$1201,INDEX(_LEITURA!$P$2:$P$21,3),DECKS!$B$2:$B$1201,$A437))</f>
        <v/>
      </c>
      <c r="N437" s="19" t="str">
        <f aca="false">IF(OR($A437="",INDEX(_LEITURA!$Q$2:$Q$21,4)=0),"",SUMIFS(DECKS!$D$2:$D$1201,DECKS!$A$2:$A$1201,INDEX(_LEITURA!$P$2:$P$21,4),DECKS!$B$2:$B$1201,$A437))</f>
        <v/>
      </c>
      <c r="O437" s="19" t="str">
        <f aca="false">IF(OR($A437="",INDEX(_LEITURA!$Q$2:$Q$21,5)=0),"",SUMIFS(DECKS!$D$2:$D$1201,DECKS!$A$2:$A$1201,INDEX(_LEITURA!$P$2:$P$21,5),DECKS!$B$2:$B$1201,$A437))</f>
        <v/>
      </c>
      <c r="P437" s="19" t="str">
        <f aca="false">IF(OR($A437="",INDEX(_LEITURA!$Q$2:$Q$21,6)=0),"",SUMIFS(DECKS!$D$2:$D$1201,DECKS!$A$2:$A$1201,INDEX(_LEITURA!$P$2:$P$21,6),DECKS!$B$2:$B$1201,$A437))</f>
        <v/>
      </c>
      <c r="Q437" s="19" t="str">
        <f aca="false">IF(OR($A437="",INDEX(_LEITURA!$Q$2:$Q$21,7)=0),"",SUMIFS(DECKS!$D$2:$D$1201,DECKS!$A$2:$A$1201,INDEX(_LEITURA!$P$2:$P$21,7),DECKS!$B$2:$B$1201,$A437))</f>
        <v/>
      </c>
      <c r="R437" s="19" t="str">
        <f aca="false">IF(OR($A437="",INDEX(_LEITURA!$Q$2:$Q$21,8)=0),"",SUMIFS(DECKS!$D$2:$D$1201,DECKS!$A$2:$A$1201,INDEX(_LEITURA!$P$2:$P$21,8),DECKS!$B$2:$B$1201,$A437))</f>
        <v/>
      </c>
      <c r="S437" s="19" t="str">
        <f aca="false">IF(OR($A437="",INDEX(_LEITURA!$Q$2:$Q$21,9)=0),"",SUMIFS(DECKS!$D$2:$D$1201,DECKS!$A$2:$A$1201,INDEX(_LEITURA!$P$2:$P$21,9),DECKS!$B$2:$B$1201,$A437))</f>
        <v/>
      </c>
      <c r="T437" s="19" t="str">
        <f aca="false">IF(OR($A437="",INDEX(_LEITURA!$Q$2:$Q$21,10)=0),"",SUMIFS(DECKS!$D$2:$D$1201,DECKS!$A$2:$A$1201,INDEX(_LEITURA!$P$2:$P$21,10),DECKS!$B$2:$B$1201,$A437))</f>
        <v/>
      </c>
      <c r="U437" s="19" t="str">
        <f aca="false">IF(OR($A437="",INDEX(_LEITURA!$Q$2:$Q$21,11)=0),"",SUMIFS(DECKS!$D$2:$D$1201,DECKS!$A$2:$A$1201,INDEX(_LEITURA!$P$2:$P$21,11),DECKS!$B$2:$B$1201,$A437))</f>
        <v/>
      </c>
      <c r="V437" s="19" t="str">
        <f aca="false">IF(OR($A437="",INDEX(_LEITURA!$Q$2:$Q$21,12)=0),"",SUMIFS(DECKS!$D$2:$D$1201,DECKS!$A$2:$A$1201,INDEX(_LEITURA!$P$2:$P$21,12),DECKS!$B$2:$B$1201,$A437))</f>
        <v/>
      </c>
      <c r="W437" s="19" t="str">
        <f aca="false">IF(OR($A437="",INDEX(_LEITURA!$Q$2:$Q$21,13)=0),"",SUMIFS(DECKS!$D$2:$D$1201,DECKS!$A$2:$A$1201,INDEX(_LEITURA!$P$2:$P$21,13),DECKS!$B$2:$B$1201,$A437))</f>
        <v/>
      </c>
      <c r="X437" s="19" t="str">
        <f aca="false">IF(OR($A437="",INDEX(_LEITURA!$Q$2:$Q$21,14)=0),"",SUMIFS(DECKS!$D$2:$D$1201,DECKS!$A$2:$A$1201,INDEX(_LEITURA!$P$2:$P$21,14),DECKS!$B$2:$B$1201,$A437))</f>
        <v/>
      </c>
      <c r="Y437" s="19" t="str">
        <f aca="false">IF(OR($A437="",INDEX(_LEITURA!$Q$2:$Q$21,15)=0),"",SUMIFS(DECKS!$D$2:$D$1201,DECKS!$A$2:$A$1201,INDEX(_LEITURA!$P$2:$P$21,15),DECKS!$B$2:$B$1201,$A437))</f>
        <v/>
      </c>
      <c r="Z437" s="19" t="str">
        <f aca="false">IF(OR($A437="",INDEX(_LEITURA!$Q$2:$Q$21,16)=0),"",SUMIFS(DECKS!$D$2:$D$1201,DECKS!$A$2:$A$1201,INDEX(_LEITURA!$P$2:$P$21,16),DECKS!$B$2:$B$1201,$A437))</f>
        <v/>
      </c>
      <c r="AA437" s="19" t="str">
        <f aca="false">IF(OR($A437="",INDEX(_LEITURA!$Q$2:$Q$21,17)=0),"",SUMIFS(DECKS!$D$2:$D$1201,DECKS!$A$2:$A$1201,INDEX(_LEITURA!$P$2:$P$21,17),DECKS!$B$2:$B$1201,$A437))</f>
        <v/>
      </c>
      <c r="AB437" s="19" t="str">
        <f aca="false">IF(OR($A437="",INDEX(_LEITURA!$Q$2:$Q$21,18)=0),"",SUMIFS(DECKS!$D$2:$D$1201,DECKS!$A$2:$A$1201,INDEX(_LEITURA!$P$2:$P$21,18),DECKS!$B$2:$B$1201,$A437))</f>
        <v/>
      </c>
      <c r="AC437" s="19" t="str">
        <f aca="false">IF(OR($A437="",INDEX(_LEITURA!$Q$2:$Q$21,19)=0),"",SUMIFS(DECKS!$D$2:$D$1201,DECKS!$A$2:$A$1201,INDEX(_LEITURA!$P$2:$P$21,19),DECKS!$B$2:$B$1201,$A437))</f>
        <v/>
      </c>
      <c r="AD437" s="19" t="str">
        <f aca="false">IF(OR($A437="",INDEX(_LEITURA!$Q$2:$Q$21,20)=0),"",SUMIFS(DECKS!$D$2:$D$1201,DECKS!$A$2:$A$1201,INDEX(_LEITURA!$P$2:$P$21,20),DECKS!$B$2:$B$1201,$A437))</f>
        <v/>
      </c>
      <c r="AE437" s="16" t="str">
        <f aca="false">IF(N(E437)&gt;0,MAX(AE$1:AE436)+1,"")</f>
        <v/>
      </c>
      <c r="AF437" s="11" t="str">
        <f aca="false">IF(A437="","",IFERROR(LEFT(A437,FIND("-",A437)-1),A437))</f>
        <v/>
      </c>
      <c r="AG437" s="11" t="str">
        <f aca="false">IF(AF437="","",IF(ISNUMBER(--MID(AF437,1,1)),0,IF(ISNUMBER(--MID(AF437,2,1)),1,IF(ISNUMBER(--MID(AF437,3,1)),2,IF(ISNUMBER(--MID(AF437,4,1)),3,MIN(LEN(AF437),4))))))</f>
        <v/>
      </c>
      <c r="AH437" s="11" t="str">
        <f aca="false">IF(A437="","",LEFT(AF437,AG437)&amp;REPT("0",4-AG437)&amp;RIGHT("000"&amp;IFERROR(VALUE(MID(AF437,AG437+1,9)),0),3)&amp;RIGHT("0000"&amp;IFERROR(VALUE(MID(A437,FIND("-",A437)+1,9)),0),4))</f>
        <v/>
      </c>
      <c r="AI437" s="11" t="str">
        <f aca="false">IF(OR(A437="",N(E437)&lt;=0),"",IF('FALTAS GERAL'!$M$1="Código","K"&amp;AH437&amp;RIGHT("00000"&amp;ROW(),5),IF('FALTAS GERAL'!$M$1="Nome","K"&amp;UPPER(SUBSTITUTE(SUBSTITUTE(SUBSTITUTE(B437,"*",""),"?",""),"~",""))&amp;"0"&amp;AH437&amp;RIGHT("00000"&amp;ROW(),5),IF('FALTAS GERAL'!$M$1="Falta (maior primeiro)","K"&amp;RIGHT("0000"&amp;(9999-E437),4)&amp;AH437&amp;RIGHT("00000"&amp;ROW(),5),IF('FALTAS GERAL'!$M$1="Nº de decks (maior primeiro)","K"&amp;RIGHT("00"&amp;(99-N(G437)),2)&amp;AH437&amp;RIGHT("00000"&amp;ROW(),5),"K"&amp;RIGHT("00000"&amp;ROW(),5))))))</f>
        <v/>
      </c>
      <c r="AJ437" s="11" t="str">
        <f aca="false">IF(AI437="","",COUNTIFS($AI$2:$AI$801,"&lt;"&amp;AI437,$E$2:$E$801,"&gt;0")+1)</f>
        <v/>
      </c>
      <c r="AK437" s="11" t="str">
        <f aca="false">IF(OR(A437="",N(E437)&lt;=0),"",COUNTIFS($AH$2:$AH$801,"&lt;"&amp;AH437,$E$2:$E$801,"&gt;0")+COUNTIFS($AH$2:AH437,AH437,$E$2:E437,"&gt;0"))</f>
        <v/>
      </c>
    </row>
    <row r="438" customFormat="false" ht="15" hidden="false" customHeight="false" outlineLevel="0" collapsed="false">
      <c r="A438" s="11" t="str">
        <f aca="false">IF(INVENTÁRIO!A438="","",INVENTÁRIO!A438)</f>
        <v/>
      </c>
      <c r="B438" s="11" t="str">
        <f aca="false">IF(A438="","",INVENTÁRIO!B438)</f>
        <v/>
      </c>
      <c r="C438" s="16" t="str">
        <f aca="false">IF(A438="","",INVENTÁRIO!C438)</f>
        <v/>
      </c>
      <c r="D438" s="14" t="str">
        <f aca="false">IF(A438="","",MAX(K438:AD438))</f>
        <v/>
      </c>
      <c r="E438" s="14" t="str">
        <f aca="false">IF(A438="","",MAX(0,D438-C438))</f>
        <v/>
      </c>
      <c r="F438" s="16" t="str">
        <f aca="false">IF(A438="","",IF(D438=0,"Fora dos decks",IF(E438=0,"Completo","Falta")))</f>
        <v/>
      </c>
      <c r="G438" s="16" t="str">
        <f aca="false">IF(A438="","",COUNTIF(K438:AD438,"&gt;0"))</f>
        <v/>
      </c>
      <c r="H438" s="16" t="str">
        <f aca="false">IF(A438="","",IF(G438&gt;1,"Sim",""))</f>
        <v/>
      </c>
      <c r="I438" s="18" t="str">
        <f aca="false">IF(A438="","",SUMIFS(DECKS!$D$2:$D$1201,DECKS!$B$2:$B$1201,A438))</f>
        <v/>
      </c>
      <c r="J438" s="18" t="str">
        <f aca="false">IF(A438="","",MAX(0,I438-C438))</f>
        <v/>
      </c>
      <c r="K438" s="19" t="str">
        <f aca="false">IF(OR($A438="",INDEX(_LEITURA!$Q$2:$Q$21,1)=0),"",SUMIFS(DECKS!$D$2:$D$1201,DECKS!$A$2:$A$1201,INDEX(_LEITURA!$P$2:$P$21,1),DECKS!$B$2:$B$1201,$A438))</f>
        <v/>
      </c>
      <c r="L438" s="19" t="str">
        <f aca="false">IF(OR($A438="",INDEX(_LEITURA!$Q$2:$Q$21,2)=0),"",SUMIFS(DECKS!$D$2:$D$1201,DECKS!$A$2:$A$1201,INDEX(_LEITURA!$P$2:$P$21,2),DECKS!$B$2:$B$1201,$A438))</f>
        <v/>
      </c>
      <c r="M438" s="19" t="str">
        <f aca="false">IF(OR($A438="",INDEX(_LEITURA!$Q$2:$Q$21,3)=0),"",SUMIFS(DECKS!$D$2:$D$1201,DECKS!$A$2:$A$1201,INDEX(_LEITURA!$P$2:$P$21,3),DECKS!$B$2:$B$1201,$A438))</f>
        <v/>
      </c>
      <c r="N438" s="19" t="str">
        <f aca="false">IF(OR($A438="",INDEX(_LEITURA!$Q$2:$Q$21,4)=0),"",SUMIFS(DECKS!$D$2:$D$1201,DECKS!$A$2:$A$1201,INDEX(_LEITURA!$P$2:$P$21,4),DECKS!$B$2:$B$1201,$A438))</f>
        <v/>
      </c>
      <c r="O438" s="19" t="str">
        <f aca="false">IF(OR($A438="",INDEX(_LEITURA!$Q$2:$Q$21,5)=0),"",SUMIFS(DECKS!$D$2:$D$1201,DECKS!$A$2:$A$1201,INDEX(_LEITURA!$P$2:$P$21,5),DECKS!$B$2:$B$1201,$A438))</f>
        <v/>
      </c>
      <c r="P438" s="19" t="str">
        <f aca="false">IF(OR($A438="",INDEX(_LEITURA!$Q$2:$Q$21,6)=0),"",SUMIFS(DECKS!$D$2:$D$1201,DECKS!$A$2:$A$1201,INDEX(_LEITURA!$P$2:$P$21,6),DECKS!$B$2:$B$1201,$A438))</f>
        <v/>
      </c>
      <c r="Q438" s="19" t="str">
        <f aca="false">IF(OR($A438="",INDEX(_LEITURA!$Q$2:$Q$21,7)=0),"",SUMIFS(DECKS!$D$2:$D$1201,DECKS!$A$2:$A$1201,INDEX(_LEITURA!$P$2:$P$21,7),DECKS!$B$2:$B$1201,$A438))</f>
        <v/>
      </c>
      <c r="R438" s="19" t="str">
        <f aca="false">IF(OR($A438="",INDEX(_LEITURA!$Q$2:$Q$21,8)=0),"",SUMIFS(DECKS!$D$2:$D$1201,DECKS!$A$2:$A$1201,INDEX(_LEITURA!$P$2:$P$21,8),DECKS!$B$2:$B$1201,$A438))</f>
        <v/>
      </c>
      <c r="S438" s="19" t="str">
        <f aca="false">IF(OR($A438="",INDEX(_LEITURA!$Q$2:$Q$21,9)=0),"",SUMIFS(DECKS!$D$2:$D$1201,DECKS!$A$2:$A$1201,INDEX(_LEITURA!$P$2:$P$21,9),DECKS!$B$2:$B$1201,$A438))</f>
        <v/>
      </c>
      <c r="T438" s="19" t="str">
        <f aca="false">IF(OR($A438="",INDEX(_LEITURA!$Q$2:$Q$21,10)=0),"",SUMIFS(DECKS!$D$2:$D$1201,DECKS!$A$2:$A$1201,INDEX(_LEITURA!$P$2:$P$21,10),DECKS!$B$2:$B$1201,$A438))</f>
        <v/>
      </c>
      <c r="U438" s="19" t="str">
        <f aca="false">IF(OR($A438="",INDEX(_LEITURA!$Q$2:$Q$21,11)=0),"",SUMIFS(DECKS!$D$2:$D$1201,DECKS!$A$2:$A$1201,INDEX(_LEITURA!$P$2:$P$21,11),DECKS!$B$2:$B$1201,$A438))</f>
        <v/>
      </c>
      <c r="V438" s="19" t="str">
        <f aca="false">IF(OR($A438="",INDEX(_LEITURA!$Q$2:$Q$21,12)=0),"",SUMIFS(DECKS!$D$2:$D$1201,DECKS!$A$2:$A$1201,INDEX(_LEITURA!$P$2:$P$21,12),DECKS!$B$2:$B$1201,$A438))</f>
        <v/>
      </c>
      <c r="W438" s="19" t="str">
        <f aca="false">IF(OR($A438="",INDEX(_LEITURA!$Q$2:$Q$21,13)=0),"",SUMIFS(DECKS!$D$2:$D$1201,DECKS!$A$2:$A$1201,INDEX(_LEITURA!$P$2:$P$21,13),DECKS!$B$2:$B$1201,$A438))</f>
        <v/>
      </c>
      <c r="X438" s="19" t="str">
        <f aca="false">IF(OR($A438="",INDEX(_LEITURA!$Q$2:$Q$21,14)=0),"",SUMIFS(DECKS!$D$2:$D$1201,DECKS!$A$2:$A$1201,INDEX(_LEITURA!$P$2:$P$21,14),DECKS!$B$2:$B$1201,$A438))</f>
        <v/>
      </c>
      <c r="Y438" s="19" t="str">
        <f aca="false">IF(OR($A438="",INDEX(_LEITURA!$Q$2:$Q$21,15)=0),"",SUMIFS(DECKS!$D$2:$D$1201,DECKS!$A$2:$A$1201,INDEX(_LEITURA!$P$2:$P$21,15),DECKS!$B$2:$B$1201,$A438))</f>
        <v/>
      </c>
      <c r="Z438" s="19" t="str">
        <f aca="false">IF(OR($A438="",INDEX(_LEITURA!$Q$2:$Q$21,16)=0),"",SUMIFS(DECKS!$D$2:$D$1201,DECKS!$A$2:$A$1201,INDEX(_LEITURA!$P$2:$P$21,16),DECKS!$B$2:$B$1201,$A438))</f>
        <v/>
      </c>
      <c r="AA438" s="19" t="str">
        <f aca="false">IF(OR($A438="",INDEX(_LEITURA!$Q$2:$Q$21,17)=0),"",SUMIFS(DECKS!$D$2:$D$1201,DECKS!$A$2:$A$1201,INDEX(_LEITURA!$P$2:$P$21,17),DECKS!$B$2:$B$1201,$A438))</f>
        <v/>
      </c>
      <c r="AB438" s="19" t="str">
        <f aca="false">IF(OR($A438="",INDEX(_LEITURA!$Q$2:$Q$21,18)=0),"",SUMIFS(DECKS!$D$2:$D$1201,DECKS!$A$2:$A$1201,INDEX(_LEITURA!$P$2:$P$21,18),DECKS!$B$2:$B$1201,$A438))</f>
        <v/>
      </c>
      <c r="AC438" s="19" t="str">
        <f aca="false">IF(OR($A438="",INDEX(_LEITURA!$Q$2:$Q$21,19)=0),"",SUMIFS(DECKS!$D$2:$D$1201,DECKS!$A$2:$A$1201,INDEX(_LEITURA!$P$2:$P$21,19),DECKS!$B$2:$B$1201,$A438))</f>
        <v/>
      </c>
      <c r="AD438" s="19" t="str">
        <f aca="false">IF(OR($A438="",INDEX(_LEITURA!$Q$2:$Q$21,20)=0),"",SUMIFS(DECKS!$D$2:$D$1201,DECKS!$A$2:$A$1201,INDEX(_LEITURA!$P$2:$P$21,20),DECKS!$B$2:$B$1201,$A438))</f>
        <v/>
      </c>
      <c r="AE438" s="16" t="str">
        <f aca="false">IF(N(E438)&gt;0,MAX(AE$1:AE437)+1,"")</f>
        <v/>
      </c>
      <c r="AF438" s="11" t="str">
        <f aca="false">IF(A438="","",IFERROR(LEFT(A438,FIND("-",A438)-1),A438))</f>
        <v/>
      </c>
      <c r="AG438" s="11" t="str">
        <f aca="false">IF(AF438="","",IF(ISNUMBER(--MID(AF438,1,1)),0,IF(ISNUMBER(--MID(AF438,2,1)),1,IF(ISNUMBER(--MID(AF438,3,1)),2,IF(ISNUMBER(--MID(AF438,4,1)),3,MIN(LEN(AF438),4))))))</f>
        <v/>
      </c>
      <c r="AH438" s="11" t="str">
        <f aca="false">IF(A438="","",LEFT(AF438,AG438)&amp;REPT("0",4-AG438)&amp;RIGHT("000"&amp;IFERROR(VALUE(MID(AF438,AG438+1,9)),0),3)&amp;RIGHT("0000"&amp;IFERROR(VALUE(MID(A438,FIND("-",A438)+1,9)),0),4))</f>
        <v/>
      </c>
      <c r="AI438" s="11" t="str">
        <f aca="false">IF(OR(A438="",N(E438)&lt;=0),"",IF('FALTAS GERAL'!$M$1="Código","K"&amp;AH438&amp;RIGHT("00000"&amp;ROW(),5),IF('FALTAS GERAL'!$M$1="Nome","K"&amp;UPPER(SUBSTITUTE(SUBSTITUTE(SUBSTITUTE(B438,"*",""),"?",""),"~",""))&amp;"0"&amp;AH438&amp;RIGHT("00000"&amp;ROW(),5),IF('FALTAS GERAL'!$M$1="Falta (maior primeiro)","K"&amp;RIGHT("0000"&amp;(9999-E438),4)&amp;AH438&amp;RIGHT("00000"&amp;ROW(),5),IF('FALTAS GERAL'!$M$1="Nº de decks (maior primeiro)","K"&amp;RIGHT("00"&amp;(99-N(G438)),2)&amp;AH438&amp;RIGHT("00000"&amp;ROW(),5),"K"&amp;RIGHT("00000"&amp;ROW(),5))))))</f>
        <v/>
      </c>
      <c r="AJ438" s="11" t="str">
        <f aca="false">IF(AI438="","",COUNTIFS($AI$2:$AI$801,"&lt;"&amp;AI438,$E$2:$E$801,"&gt;0")+1)</f>
        <v/>
      </c>
      <c r="AK438" s="11" t="str">
        <f aca="false">IF(OR(A438="",N(E438)&lt;=0),"",COUNTIFS($AH$2:$AH$801,"&lt;"&amp;AH438,$E$2:$E$801,"&gt;0")+COUNTIFS($AH$2:AH438,AH438,$E$2:E438,"&gt;0"))</f>
        <v/>
      </c>
    </row>
    <row r="439" customFormat="false" ht="15" hidden="false" customHeight="false" outlineLevel="0" collapsed="false">
      <c r="A439" s="11" t="str">
        <f aca="false">IF(INVENTÁRIO!A439="","",INVENTÁRIO!A439)</f>
        <v/>
      </c>
      <c r="B439" s="11" t="str">
        <f aca="false">IF(A439="","",INVENTÁRIO!B439)</f>
        <v/>
      </c>
      <c r="C439" s="16" t="str">
        <f aca="false">IF(A439="","",INVENTÁRIO!C439)</f>
        <v/>
      </c>
      <c r="D439" s="14" t="str">
        <f aca="false">IF(A439="","",MAX(K439:AD439))</f>
        <v/>
      </c>
      <c r="E439" s="14" t="str">
        <f aca="false">IF(A439="","",MAX(0,D439-C439))</f>
        <v/>
      </c>
      <c r="F439" s="16" t="str">
        <f aca="false">IF(A439="","",IF(D439=0,"Fora dos decks",IF(E439=0,"Completo","Falta")))</f>
        <v/>
      </c>
      <c r="G439" s="16" t="str">
        <f aca="false">IF(A439="","",COUNTIF(K439:AD439,"&gt;0"))</f>
        <v/>
      </c>
      <c r="H439" s="16" t="str">
        <f aca="false">IF(A439="","",IF(G439&gt;1,"Sim",""))</f>
        <v/>
      </c>
      <c r="I439" s="18" t="str">
        <f aca="false">IF(A439="","",SUMIFS(DECKS!$D$2:$D$1201,DECKS!$B$2:$B$1201,A439))</f>
        <v/>
      </c>
      <c r="J439" s="18" t="str">
        <f aca="false">IF(A439="","",MAX(0,I439-C439))</f>
        <v/>
      </c>
      <c r="K439" s="19" t="str">
        <f aca="false">IF(OR($A439="",INDEX(_LEITURA!$Q$2:$Q$21,1)=0),"",SUMIFS(DECKS!$D$2:$D$1201,DECKS!$A$2:$A$1201,INDEX(_LEITURA!$P$2:$P$21,1),DECKS!$B$2:$B$1201,$A439))</f>
        <v/>
      </c>
      <c r="L439" s="19" t="str">
        <f aca="false">IF(OR($A439="",INDEX(_LEITURA!$Q$2:$Q$21,2)=0),"",SUMIFS(DECKS!$D$2:$D$1201,DECKS!$A$2:$A$1201,INDEX(_LEITURA!$P$2:$P$21,2),DECKS!$B$2:$B$1201,$A439))</f>
        <v/>
      </c>
      <c r="M439" s="19" t="str">
        <f aca="false">IF(OR($A439="",INDEX(_LEITURA!$Q$2:$Q$21,3)=0),"",SUMIFS(DECKS!$D$2:$D$1201,DECKS!$A$2:$A$1201,INDEX(_LEITURA!$P$2:$P$21,3),DECKS!$B$2:$B$1201,$A439))</f>
        <v/>
      </c>
      <c r="N439" s="19" t="str">
        <f aca="false">IF(OR($A439="",INDEX(_LEITURA!$Q$2:$Q$21,4)=0),"",SUMIFS(DECKS!$D$2:$D$1201,DECKS!$A$2:$A$1201,INDEX(_LEITURA!$P$2:$P$21,4),DECKS!$B$2:$B$1201,$A439))</f>
        <v/>
      </c>
      <c r="O439" s="19" t="str">
        <f aca="false">IF(OR($A439="",INDEX(_LEITURA!$Q$2:$Q$21,5)=0),"",SUMIFS(DECKS!$D$2:$D$1201,DECKS!$A$2:$A$1201,INDEX(_LEITURA!$P$2:$P$21,5),DECKS!$B$2:$B$1201,$A439))</f>
        <v/>
      </c>
      <c r="P439" s="19" t="str">
        <f aca="false">IF(OR($A439="",INDEX(_LEITURA!$Q$2:$Q$21,6)=0),"",SUMIFS(DECKS!$D$2:$D$1201,DECKS!$A$2:$A$1201,INDEX(_LEITURA!$P$2:$P$21,6),DECKS!$B$2:$B$1201,$A439))</f>
        <v/>
      </c>
      <c r="Q439" s="19" t="str">
        <f aca="false">IF(OR($A439="",INDEX(_LEITURA!$Q$2:$Q$21,7)=0),"",SUMIFS(DECKS!$D$2:$D$1201,DECKS!$A$2:$A$1201,INDEX(_LEITURA!$P$2:$P$21,7),DECKS!$B$2:$B$1201,$A439))</f>
        <v/>
      </c>
      <c r="R439" s="19" t="str">
        <f aca="false">IF(OR($A439="",INDEX(_LEITURA!$Q$2:$Q$21,8)=0),"",SUMIFS(DECKS!$D$2:$D$1201,DECKS!$A$2:$A$1201,INDEX(_LEITURA!$P$2:$P$21,8),DECKS!$B$2:$B$1201,$A439))</f>
        <v/>
      </c>
      <c r="S439" s="19" t="str">
        <f aca="false">IF(OR($A439="",INDEX(_LEITURA!$Q$2:$Q$21,9)=0),"",SUMIFS(DECKS!$D$2:$D$1201,DECKS!$A$2:$A$1201,INDEX(_LEITURA!$P$2:$P$21,9),DECKS!$B$2:$B$1201,$A439))</f>
        <v/>
      </c>
      <c r="T439" s="19" t="str">
        <f aca="false">IF(OR($A439="",INDEX(_LEITURA!$Q$2:$Q$21,10)=0),"",SUMIFS(DECKS!$D$2:$D$1201,DECKS!$A$2:$A$1201,INDEX(_LEITURA!$P$2:$P$21,10),DECKS!$B$2:$B$1201,$A439))</f>
        <v/>
      </c>
      <c r="U439" s="19" t="str">
        <f aca="false">IF(OR($A439="",INDEX(_LEITURA!$Q$2:$Q$21,11)=0),"",SUMIFS(DECKS!$D$2:$D$1201,DECKS!$A$2:$A$1201,INDEX(_LEITURA!$P$2:$P$21,11),DECKS!$B$2:$B$1201,$A439))</f>
        <v/>
      </c>
      <c r="V439" s="19" t="str">
        <f aca="false">IF(OR($A439="",INDEX(_LEITURA!$Q$2:$Q$21,12)=0),"",SUMIFS(DECKS!$D$2:$D$1201,DECKS!$A$2:$A$1201,INDEX(_LEITURA!$P$2:$P$21,12),DECKS!$B$2:$B$1201,$A439))</f>
        <v/>
      </c>
      <c r="W439" s="19" t="str">
        <f aca="false">IF(OR($A439="",INDEX(_LEITURA!$Q$2:$Q$21,13)=0),"",SUMIFS(DECKS!$D$2:$D$1201,DECKS!$A$2:$A$1201,INDEX(_LEITURA!$P$2:$P$21,13),DECKS!$B$2:$B$1201,$A439))</f>
        <v/>
      </c>
      <c r="X439" s="19" t="str">
        <f aca="false">IF(OR($A439="",INDEX(_LEITURA!$Q$2:$Q$21,14)=0),"",SUMIFS(DECKS!$D$2:$D$1201,DECKS!$A$2:$A$1201,INDEX(_LEITURA!$P$2:$P$21,14),DECKS!$B$2:$B$1201,$A439))</f>
        <v/>
      </c>
      <c r="Y439" s="19" t="str">
        <f aca="false">IF(OR($A439="",INDEX(_LEITURA!$Q$2:$Q$21,15)=0),"",SUMIFS(DECKS!$D$2:$D$1201,DECKS!$A$2:$A$1201,INDEX(_LEITURA!$P$2:$P$21,15),DECKS!$B$2:$B$1201,$A439))</f>
        <v/>
      </c>
      <c r="Z439" s="19" t="str">
        <f aca="false">IF(OR($A439="",INDEX(_LEITURA!$Q$2:$Q$21,16)=0),"",SUMIFS(DECKS!$D$2:$D$1201,DECKS!$A$2:$A$1201,INDEX(_LEITURA!$P$2:$P$21,16),DECKS!$B$2:$B$1201,$A439))</f>
        <v/>
      </c>
      <c r="AA439" s="19" t="str">
        <f aca="false">IF(OR($A439="",INDEX(_LEITURA!$Q$2:$Q$21,17)=0),"",SUMIFS(DECKS!$D$2:$D$1201,DECKS!$A$2:$A$1201,INDEX(_LEITURA!$P$2:$P$21,17),DECKS!$B$2:$B$1201,$A439))</f>
        <v/>
      </c>
      <c r="AB439" s="19" t="str">
        <f aca="false">IF(OR($A439="",INDEX(_LEITURA!$Q$2:$Q$21,18)=0),"",SUMIFS(DECKS!$D$2:$D$1201,DECKS!$A$2:$A$1201,INDEX(_LEITURA!$P$2:$P$21,18),DECKS!$B$2:$B$1201,$A439))</f>
        <v/>
      </c>
      <c r="AC439" s="19" t="str">
        <f aca="false">IF(OR($A439="",INDEX(_LEITURA!$Q$2:$Q$21,19)=0),"",SUMIFS(DECKS!$D$2:$D$1201,DECKS!$A$2:$A$1201,INDEX(_LEITURA!$P$2:$P$21,19),DECKS!$B$2:$B$1201,$A439))</f>
        <v/>
      </c>
      <c r="AD439" s="19" t="str">
        <f aca="false">IF(OR($A439="",INDEX(_LEITURA!$Q$2:$Q$21,20)=0),"",SUMIFS(DECKS!$D$2:$D$1201,DECKS!$A$2:$A$1201,INDEX(_LEITURA!$P$2:$P$21,20),DECKS!$B$2:$B$1201,$A439))</f>
        <v/>
      </c>
      <c r="AE439" s="16" t="str">
        <f aca="false">IF(N(E439)&gt;0,MAX(AE$1:AE438)+1,"")</f>
        <v/>
      </c>
      <c r="AF439" s="11" t="str">
        <f aca="false">IF(A439="","",IFERROR(LEFT(A439,FIND("-",A439)-1),A439))</f>
        <v/>
      </c>
      <c r="AG439" s="11" t="str">
        <f aca="false">IF(AF439="","",IF(ISNUMBER(--MID(AF439,1,1)),0,IF(ISNUMBER(--MID(AF439,2,1)),1,IF(ISNUMBER(--MID(AF439,3,1)),2,IF(ISNUMBER(--MID(AF439,4,1)),3,MIN(LEN(AF439),4))))))</f>
        <v/>
      </c>
      <c r="AH439" s="11" t="str">
        <f aca="false">IF(A439="","",LEFT(AF439,AG439)&amp;REPT("0",4-AG439)&amp;RIGHT("000"&amp;IFERROR(VALUE(MID(AF439,AG439+1,9)),0),3)&amp;RIGHT("0000"&amp;IFERROR(VALUE(MID(A439,FIND("-",A439)+1,9)),0),4))</f>
        <v/>
      </c>
      <c r="AI439" s="11" t="str">
        <f aca="false">IF(OR(A439="",N(E439)&lt;=0),"",IF('FALTAS GERAL'!$M$1="Código","K"&amp;AH439&amp;RIGHT("00000"&amp;ROW(),5),IF('FALTAS GERAL'!$M$1="Nome","K"&amp;UPPER(SUBSTITUTE(SUBSTITUTE(SUBSTITUTE(B439,"*",""),"?",""),"~",""))&amp;"0"&amp;AH439&amp;RIGHT("00000"&amp;ROW(),5),IF('FALTAS GERAL'!$M$1="Falta (maior primeiro)","K"&amp;RIGHT("0000"&amp;(9999-E439),4)&amp;AH439&amp;RIGHT("00000"&amp;ROW(),5),IF('FALTAS GERAL'!$M$1="Nº de decks (maior primeiro)","K"&amp;RIGHT("00"&amp;(99-N(G439)),2)&amp;AH439&amp;RIGHT("00000"&amp;ROW(),5),"K"&amp;RIGHT("00000"&amp;ROW(),5))))))</f>
        <v/>
      </c>
      <c r="AJ439" s="11" t="str">
        <f aca="false">IF(AI439="","",COUNTIFS($AI$2:$AI$801,"&lt;"&amp;AI439,$E$2:$E$801,"&gt;0")+1)</f>
        <v/>
      </c>
      <c r="AK439" s="11" t="str">
        <f aca="false">IF(OR(A439="",N(E439)&lt;=0),"",COUNTIFS($AH$2:$AH$801,"&lt;"&amp;AH439,$E$2:$E$801,"&gt;0")+COUNTIFS($AH$2:AH439,AH439,$E$2:E439,"&gt;0"))</f>
        <v/>
      </c>
    </row>
    <row r="440" customFormat="false" ht="15" hidden="false" customHeight="false" outlineLevel="0" collapsed="false">
      <c r="A440" s="11" t="str">
        <f aca="false">IF(INVENTÁRIO!A440="","",INVENTÁRIO!A440)</f>
        <v/>
      </c>
      <c r="B440" s="11" t="str">
        <f aca="false">IF(A440="","",INVENTÁRIO!B440)</f>
        <v/>
      </c>
      <c r="C440" s="16" t="str">
        <f aca="false">IF(A440="","",INVENTÁRIO!C440)</f>
        <v/>
      </c>
      <c r="D440" s="14" t="str">
        <f aca="false">IF(A440="","",MAX(K440:AD440))</f>
        <v/>
      </c>
      <c r="E440" s="14" t="str">
        <f aca="false">IF(A440="","",MAX(0,D440-C440))</f>
        <v/>
      </c>
      <c r="F440" s="16" t="str">
        <f aca="false">IF(A440="","",IF(D440=0,"Fora dos decks",IF(E440=0,"Completo","Falta")))</f>
        <v/>
      </c>
      <c r="G440" s="16" t="str">
        <f aca="false">IF(A440="","",COUNTIF(K440:AD440,"&gt;0"))</f>
        <v/>
      </c>
      <c r="H440" s="16" t="str">
        <f aca="false">IF(A440="","",IF(G440&gt;1,"Sim",""))</f>
        <v/>
      </c>
      <c r="I440" s="18" t="str">
        <f aca="false">IF(A440="","",SUMIFS(DECKS!$D$2:$D$1201,DECKS!$B$2:$B$1201,A440))</f>
        <v/>
      </c>
      <c r="J440" s="18" t="str">
        <f aca="false">IF(A440="","",MAX(0,I440-C440))</f>
        <v/>
      </c>
      <c r="K440" s="19" t="str">
        <f aca="false">IF(OR($A440="",INDEX(_LEITURA!$Q$2:$Q$21,1)=0),"",SUMIFS(DECKS!$D$2:$D$1201,DECKS!$A$2:$A$1201,INDEX(_LEITURA!$P$2:$P$21,1),DECKS!$B$2:$B$1201,$A440))</f>
        <v/>
      </c>
      <c r="L440" s="19" t="str">
        <f aca="false">IF(OR($A440="",INDEX(_LEITURA!$Q$2:$Q$21,2)=0),"",SUMIFS(DECKS!$D$2:$D$1201,DECKS!$A$2:$A$1201,INDEX(_LEITURA!$P$2:$P$21,2),DECKS!$B$2:$B$1201,$A440))</f>
        <v/>
      </c>
      <c r="M440" s="19" t="str">
        <f aca="false">IF(OR($A440="",INDEX(_LEITURA!$Q$2:$Q$21,3)=0),"",SUMIFS(DECKS!$D$2:$D$1201,DECKS!$A$2:$A$1201,INDEX(_LEITURA!$P$2:$P$21,3),DECKS!$B$2:$B$1201,$A440))</f>
        <v/>
      </c>
      <c r="N440" s="19" t="str">
        <f aca="false">IF(OR($A440="",INDEX(_LEITURA!$Q$2:$Q$21,4)=0),"",SUMIFS(DECKS!$D$2:$D$1201,DECKS!$A$2:$A$1201,INDEX(_LEITURA!$P$2:$P$21,4),DECKS!$B$2:$B$1201,$A440))</f>
        <v/>
      </c>
      <c r="O440" s="19" t="str">
        <f aca="false">IF(OR($A440="",INDEX(_LEITURA!$Q$2:$Q$21,5)=0),"",SUMIFS(DECKS!$D$2:$D$1201,DECKS!$A$2:$A$1201,INDEX(_LEITURA!$P$2:$P$21,5),DECKS!$B$2:$B$1201,$A440))</f>
        <v/>
      </c>
      <c r="P440" s="19" t="str">
        <f aca="false">IF(OR($A440="",INDEX(_LEITURA!$Q$2:$Q$21,6)=0),"",SUMIFS(DECKS!$D$2:$D$1201,DECKS!$A$2:$A$1201,INDEX(_LEITURA!$P$2:$P$21,6),DECKS!$B$2:$B$1201,$A440))</f>
        <v/>
      </c>
      <c r="Q440" s="19" t="str">
        <f aca="false">IF(OR($A440="",INDEX(_LEITURA!$Q$2:$Q$21,7)=0),"",SUMIFS(DECKS!$D$2:$D$1201,DECKS!$A$2:$A$1201,INDEX(_LEITURA!$P$2:$P$21,7),DECKS!$B$2:$B$1201,$A440))</f>
        <v/>
      </c>
      <c r="R440" s="19" t="str">
        <f aca="false">IF(OR($A440="",INDEX(_LEITURA!$Q$2:$Q$21,8)=0),"",SUMIFS(DECKS!$D$2:$D$1201,DECKS!$A$2:$A$1201,INDEX(_LEITURA!$P$2:$P$21,8),DECKS!$B$2:$B$1201,$A440))</f>
        <v/>
      </c>
      <c r="S440" s="19" t="str">
        <f aca="false">IF(OR($A440="",INDEX(_LEITURA!$Q$2:$Q$21,9)=0),"",SUMIFS(DECKS!$D$2:$D$1201,DECKS!$A$2:$A$1201,INDEX(_LEITURA!$P$2:$P$21,9),DECKS!$B$2:$B$1201,$A440))</f>
        <v/>
      </c>
      <c r="T440" s="19" t="str">
        <f aca="false">IF(OR($A440="",INDEX(_LEITURA!$Q$2:$Q$21,10)=0),"",SUMIFS(DECKS!$D$2:$D$1201,DECKS!$A$2:$A$1201,INDEX(_LEITURA!$P$2:$P$21,10),DECKS!$B$2:$B$1201,$A440))</f>
        <v/>
      </c>
      <c r="U440" s="19" t="str">
        <f aca="false">IF(OR($A440="",INDEX(_LEITURA!$Q$2:$Q$21,11)=0),"",SUMIFS(DECKS!$D$2:$D$1201,DECKS!$A$2:$A$1201,INDEX(_LEITURA!$P$2:$P$21,11),DECKS!$B$2:$B$1201,$A440))</f>
        <v/>
      </c>
      <c r="V440" s="19" t="str">
        <f aca="false">IF(OR($A440="",INDEX(_LEITURA!$Q$2:$Q$21,12)=0),"",SUMIFS(DECKS!$D$2:$D$1201,DECKS!$A$2:$A$1201,INDEX(_LEITURA!$P$2:$P$21,12),DECKS!$B$2:$B$1201,$A440))</f>
        <v/>
      </c>
      <c r="W440" s="19" t="str">
        <f aca="false">IF(OR($A440="",INDEX(_LEITURA!$Q$2:$Q$21,13)=0),"",SUMIFS(DECKS!$D$2:$D$1201,DECKS!$A$2:$A$1201,INDEX(_LEITURA!$P$2:$P$21,13),DECKS!$B$2:$B$1201,$A440))</f>
        <v/>
      </c>
      <c r="X440" s="19" t="str">
        <f aca="false">IF(OR($A440="",INDEX(_LEITURA!$Q$2:$Q$21,14)=0),"",SUMIFS(DECKS!$D$2:$D$1201,DECKS!$A$2:$A$1201,INDEX(_LEITURA!$P$2:$P$21,14),DECKS!$B$2:$B$1201,$A440))</f>
        <v/>
      </c>
      <c r="Y440" s="19" t="str">
        <f aca="false">IF(OR($A440="",INDEX(_LEITURA!$Q$2:$Q$21,15)=0),"",SUMIFS(DECKS!$D$2:$D$1201,DECKS!$A$2:$A$1201,INDEX(_LEITURA!$P$2:$P$21,15),DECKS!$B$2:$B$1201,$A440))</f>
        <v/>
      </c>
      <c r="Z440" s="19" t="str">
        <f aca="false">IF(OR($A440="",INDEX(_LEITURA!$Q$2:$Q$21,16)=0),"",SUMIFS(DECKS!$D$2:$D$1201,DECKS!$A$2:$A$1201,INDEX(_LEITURA!$P$2:$P$21,16),DECKS!$B$2:$B$1201,$A440))</f>
        <v/>
      </c>
      <c r="AA440" s="19" t="str">
        <f aca="false">IF(OR($A440="",INDEX(_LEITURA!$Q$2:$Q$21,17)=0),"",SUMIFS(DECKS!$D$2:$D$1201,DECKS!$A$2:$A$1201,INDEX(_LEITURA!$P$2:$P$21,17),DECKS!$B$2:$B$1201,$A440))</f>
        <v/>
      </c>
      <c r="AB440" s="19" t="str">
        <f aca="false">IF(OR($A440="",INDEX(_LEITURA!$Q$2:$Q$21,18)=0),"",SUMIFS(DECKS!$D$2:$D$1201,DECKS!$A$2:$A$1201,INDEX(_LEITURA!$P$2:$P$21,18),DECKS!$B$2:$B$1201,$A440))</f>
        <v/>
      </c>
      <c r="AC440" s="19" t="str">
        <f aca="false">IF(OR($A440="",INDEX(_LEITURA!$Q$2:$Q$21,19)=0),"",SUMIFS(DECKS!$D$2:$D$1201,DECKS!$A$2:$A$1201,INDEX(_LEITURA!$P$2:$P$21,19),DECKS!$B$2:$B$1201,$A440))</f>
        <v/>
      </c>
      <c r="AD440" s="19" t="str">
        <f aca="false">IF(OR($A440="",INDEX(_LEITURA!$Q$2:$Q$21,20)=0),"",SUMIFS(DECKS!$D$2:$D$1201,DECKS!$A$2:$A$1201,INDEX(_LEITURA!$P$2:$P$21,20),DECKS!$B$2:$B$1201,$A440))</f>
        <v/>
      </c>
      <c r="AE440" s="16" t="str">
        <f aca="false">IF(N(E440)&gt;0,MAX(AE$1:AE439)+1,"")</f>
        <v/>
      </c>
      <c r="AF440" s="11" t="str">
        <f aca="false">IF(A440="","",IFERROR(LEFT(A440,FIND("-",A440)-1),A440))</f>
        <v/>
      </c>
      <c r="AG440" s="11" t="str">
        <f aca="false">IF(AF440="","",IF(ISNUMBER(--MID(AF440,1,1)),0,IF(ISNUMBER(--MID(AF440,2,1)),1,IF(ISNUMBER(--MID(AF440,3,1)),2,IF(ISNUMBER(--MID(AF440,4,1)),3,MIN(LEN(AF440),4))))))</f>
        <v/>
      </c>
      <c r="AH440" s="11" t="str">
        <f aca="false">IF(A440="","",LEFT(AF440,AG440)&amp;REPT("0",4-AG440)&amp;RIGHT("000"&amp;IFERROR(VALUE(MID(AF440,AG440+1,9)),0),3)&amp;RIGHT("0000"&amp;IFERROR(VALUE(MID(A440,FIND("-",A440)+1,9)),0),4))</f>
        <v/>
      </c>
      <c r="AI440" s="11" t="str">
        <f aca="false">IF(OR(A440="",N(E440)&lt;=0),"",IF('FALTAS GERAL'!$M$1="Código","K"&amp;AH440&amp;RIGHT("00000"&amp;ROW(),5),IF('FALTAS GERAL'!$M$1="Nome","K"&amp;UPPER(SUBSTITUTE(SUBSTITUTE(SUBSTITUTE(B440,"*",""),"?",""),"~",""))&amp;"0"&amp;AH440&amp;RIGHT("00000"&amp;ROW(),5),IF('FALTAS GERAL'!$M$1="Falta (maior primeiro)","K"&amp;RIGHT("0000"&amp;(9999-E440),4)&amp;AH440&amp;RIGHT("00000"&amp;ROW(),5),IF('FALTAS GERAL'!$M$1="Nº de decks (maior primeiro)","K"&amp;RIGHT("00"&amp;(99-N(G440)),2)&amp;AH440&amp;RIGHT("00000"&amp;ROW(),5),"K"&amp;RIGHT("00000"&amp;ROW(),5))))))</f>
        <v/>
      </c>
      <c r="AJ440" s="11" t="str">
        <f aca="false">IF(AI440="","",COUNTIFS($AI$2:$AI$801,"&lt;"&amp;AI440,$E$2:$E$801,"&gt;0")+1)</f>
        <v/>
      </c>
      <c r="AK440" s="11" t="str">
        <f aca="false">IF(OR(A440="",N(E440)&lt;=0),"",COUNTIFS($AH$2:$AH$801,"&lt;"&amp;AH440,$E$2:$E$801,"&gt;0")+COUNTIFS($AH$2:AH440,AH440,$E$2:E440,"&gt;0"))</f>
        <v/>
      </c>
    </row>
    <row r="441" customFormat="false" ht="15" hidden="false" customHeight="false" outlineLevel="0" collapsed="false">
      <c r="A441" s="11" t="str">
        <f aca="false">IF(INVENTÁRIO!A441="","",INVENTÁRIO!A441)</f>
        <v/>
      </c>
      <c r="B441" s="11" t="str">
        <f aca="false">IF(A441="","",INVENTÁRIO!B441)</f>
        <v/>
      </c>
      <c r="C441" s="16" t="str">
        <f aca="false">IF(A441="","",INVENTÁRIO!C441)</f>
        <v/>
      </c>
      <c r="D441" s="14" t="str">
        <f aca="false">IF(A441="","",MAX(K441:AD441))</f>
        <v/>
      </c>
      <c r="E441" s="14" t="str">
        <f aca="false">IF(A441="","",MAX(0,D441-C441))</f>
        <v/>
      </c>
      <c r="F441" s="16" t="str">
        <f aca="false">IF(A441="","",IF(D441=0,"Fora dos decks",IF(E441=0,"Completo","Falta")))</f>
        <v/>
      </c>
      <c r="G441" s="16" t="str">
        <f aca="false">IF(A441="","",COUNTIF(K441:AD441,"&gt;0"))</f>
        <v/>
      </c>
      <c r="H441" s="16" t="str">
        <f aca="false">IF(A441="","",IF(G441&gt;1,"Sim",""))</f>
        <v/>
      </c>
      <c r="I441" s="18" t="str">
        <f aca="false">IF(A441="","",SUMIFS(DECKS!$D$2:$D$1201,DECKS!$B$2:$B$1201,A441))</f>
        <v/>
      </c>
      <c r="J441" s="18" t="str">
        <f aca="false">IF(A441="","",MAX(0,I441-C441))</f>
        <v/>
      </c>
      <c r="K441" s="19" t="str">
        <f aca="false">IF(OR($A441="",INDEX(_LEITURA!$Q$2:$Q$21,1)=0),"",SUMIFS(DECKS!$D$2:$D$1201,DECKS!$A$2:$A$1201,INDEX(_LEITURA!$P$2:$P$21,1),DECKS!$B$2:$B$1201,$A441))</f>
        <v/>
      </c>
      <c r="L441" s="19" t="str">
        <f aca="false">IF(OR($A441="",INDEX(_LEITURA!$Q$2:$Q$21,2)=0),"",SUMIFS(DECKS!$D$2:$D$1201,DECKS!$A$2:$A$1201,INDEX(_LEITURA!$P$2:$P$21,2),DECKS!$B$2:$B$1201,$A441))</f>
        <v/>
      </c>
      <c r="M441" s="19" t="str">
        <f aca="false">IF(OR($A441="",INDEX(_LEITURA!$Q$2:$Q$21,3)=0),"",SUMIFS(DECKS!$D$2:$D$1201,DECKS!$A$2:$A$1201,INDEX(_LEITURA!$P$2:$P$21,3),DECKS!$B$2:$B$1201,$A441))</f>
        <v/>
      </c>
      <c r="N441" s="19" t="str">
        <f aca="false">IF(OR($A441="",INDEX(_LEITURA!$Q$2:$Q$21,4)=0),"",SUMIFS(DECKS!$D$2:$D$1201,DECKS!$A$2:$A$1201,INDEX(_LEITURA!$P$2:$P$21,4),DECKS!$B$2:$B$1201,$A441))</f>
        <v/>
      </c>
      <c r="O441" s="19" t="str">
        <f aca="false">IF(OR($A441="",INDEX(_LEITURA!$Q$2:$Q$21,5)=0),"",SUMIFS(DECKS!$D$2:$D$1201,DECKS!$A$2:$A$1201,INDEX(_LEITURA!$P$2:$P$21,5),DECKS!$B$2:$B$1201,$A441))</f>
        <v/>
      </c>
      <c r="P441" s="19" t="str">
        <f aca="false">IF(OR($A441="",INDEX(_LEITURA!$Q$2:$Q$21,6)=0),"",SUMIFS(DECKS!$D$2:$D$1201,DECKS!$A$2:$A$1201,INDEX(_LEITURA!$P$2:$P$21,6),DECKS!$B$2:$B$1201,$A441))</f>
        <v/>
      </c>
      <c r="Q441" s="19" t="str">
        <f aca="false">IF(OR($A441="",INDEX(_LEITURA!$Q$2:$Q$21,7)=0),"",SUMIFS(DECKS!$D$2:$D$1201,DECKS!$A$2:$A$1201,INDEX(_LEITURA!$P$2:$P$21,7),DECKS!$B$2:$B$1201,$A441))</f>
        <v/>
      </c>
      <c r="R441" s="19" t="str">
        <f aca="false">IF(OR($A441="",INDEX(_LEITURA!$Q$2:$Q$21,8)=0),"",SUMIFS(DECKS!$D$2:$D$1201,DECKS!$A$2:$A$1201,INDEX(_LEITURA!$P$2:$P$21,8),DECKS!$B$2:$B$1201,$A441))</f>
        <v/>
      </c>
      <c r="S441" s="19" t="str">
        <f aca="false">IF(OR($A441="",INDEX(_LEITURA!$Q$2:$Q$21,9)=0),"",SUMIFS(DECKS!$D$2:$D$1201,DECKS!$A$2:$A$1201,INDEX(_LEITURA!$P$2:$P$21,9),DECKS!$B$2:$B$1201,$A441))</f>
        <v/>
      </c>
      <c r="T441" s="19" t="str">
        <f aca="false">IF(OR($A441="",INDEX(_LEITURA!$Q$2:$Q$21,10)=0),"",SUMIFS(DECKS!$D$2:$D$1201,DECKS!$A$2:$A$1201,INDEX(_LEITURA!$P$2:$P$21,10),DECKS!$B$2:$B$1201,$A441))</f>
        <v/>
      </c>
      <c r="U441" s="19" t="str">
        <f aca="false">IF(OR($A441="",INDEX(_LEITURA!$Q$2:$Q$21,11)=0),"",SUMIFS(DECKS!$D$2:$D$1201,DECKS!$A$2:$A$1201,INDEX(_LEITURA!$P$2:$P$21,11),DECKS!$B$2:$B$1201,$A441))</f>
        <v/>
      </c>
      <c r="V441" s="19" t="str">
        <f aca="false">IF(OR($A441="",INDEX(_LEITURA!$Q$2:$Q$21,12)=0),"",SUMIFS(DECKS!$D$2:$D$1201,DECKS!$A$2:$A$1201,INDEX(_LEITURA!$P$2:$P$21,12),DECKS!$B$2:$B$1201,$A441))</f>
        <v/>
      </c>
      <c r="W441" s="19" t="str">
        <f aca="false">IF(OR($A441="",INDEX(_LEITURA!$Q$2:$Q$21,13)=0),"",SUMIFS(DECKS!$D$2:$D$1201,DECKS!$A$2:$A$1201,INDEX(_LEITURA!$P$2:$P$21,13),DECKS!$B$2:$B$1201,$A441))</f>
        <v/>
      </c>
      <c r="X441" s="19" t="str">
        <f aca="false">IF(OR($A441="",INDEX(_LEITURA!$Q$2:$Q$21,14)=0),"",SUMIFS(DECKS!$D$2:$D$1201,DECKS!$A$2:$A$1201,INDEX(_LEITURA!$P$2:$P$21,14),DECKS!$B$2:$B$1201,$A441))</f>
        <v/>
      </c>
      <c r="Y441" s="19" t="str">
        <f aca="false">IF(OR($A441="",INDEX(_LEITURA!$Q$2:$Q$21,15)=0),"",SUMIFS(DECKS!$D$2:$D$1201,DECKS!$A$2:$A$1201,INDEX(_LEITURA!$P$2:$P$21,15),DECKS!$B$2:$B$1201,$A441))</f>
        <v/>
      </c>
      <c r="Z441" s="19" t="str">
        <f aca="false">IF(OR($A441="",INDEX(_LEITURA!$Q$2:$Q$21,16)=0),"",SUMIFS(DECKS!$D$2:$D$1201,DECKS!$A$2:$A$1201,INDEX(_LEITURA!$P$2:$P$21,16),DECKS!$B$2:$B$1201,$A441))</f>
        <v/>
      </c>
      <c r="AA441" s="19" t="str">
        <f aca="false">IF(OR($A441="",INDEX(_LEITURA!$Q$2:$Q$21,17)=0),"",SUMIFS(DECKS!$D$2:$D$1201,DECKS!$A$2:$A$1201,INDEX(_LEITURA!$P$2:$P$21,17),DECKS!$B$2:$B$1201,$A441))</f>
        <v/>
      </c>
      <c r="AB441" s="19" t="str">
        <f aca="false">IF(OR($A441="",INDEX(_LEITURA!$Q$2:$Q$21,18)=0),"",SUMIFS(DECKS!$D$2:$D$1201,DECKS!$A$2:$A$1201,INDEX(_LEITURA!$P$2:$P$21,18),DECKS!$B$2:$B$1201,$A441))</f>
        <v/>
      </c>
      <c r="AC441" s="19" t="str">
        <f aca="false">IF(OR($A441="",INDEX(_LEITURA!$Q$2:$Q$21,19)=0),"",SUMIFS(DECKS!$D$2:$D$1201,DECKS!$A$2:$A$1201,INDEX(_LEITURA!$P$2:$P$21,19),DECKS!$B$2:$B$1201,$A441))</f>
        <v/>
      </c>
      <c r="AD441" s="19" t="str">
        <f aca="false">IF(OR($A441="",INDEX(_LEITURA!$Q$2:$Q$21,20)=0),"",SUMIFS(DECKS!$D$2:$D$1201,DECKS!$A$2:$A$1201,INDEX(_LEITURA!$P$2:$P$21,20),DECKS!$B$2:$B$1201,$A441))</f>
        <v/>
      </c>
      <c r="AE441" s="16" t="str">
        <f aca="false">IF(N(E441)&gt;0,MAX(AE$1:AE440)+1,"")</f>
        <v/>
      </c>
      <c r="AF441" s="11" t="str">
        <f aca="false">IF(A441="","",IFERROR(LEFT(A441,FIND("-",A441)-1),A441))</f>
        <v/>
      </c>
      <c r="AG441" s="11" t="str">
        <f aca="false">IF(AF441="","",IF(ISNUMBER(--MID(AF441,1,1)),0,IF(ISNUMBER(--MID(AF441,2,1)),1,IF(ISNUMBER(--MID(AF441,3,1)),2,IF(ISNUMBER(--MID(AF441,4,1)),3,MIN(LEN(AF441),4))))))</f>
        <v/>
      </c>
      <c r="AH441" s="11" t="str">
        <f aca="false">IF(A441="","",LEFT(AF441,AG441)&amp;REPT("0",4-AG441)&amp;RIGHT("000"&amp;IFERROR(VALUE(MID(AF441,AG441+1,9)),0),3)&amp;RIGHT("0000"&amp;IFERROR(VALUE(MID(A441,FIND("-",A441)+1,9)),0),4))</f>
        <v/>
      </c>
      <c r="AI441" s="11" t="str">
        <f aca="false">IF(OR(A441="",N(E441)&lt;=0),"",IF('FALTAS GERAL'!$M$1="Código","K"&amp;AH441&amp;RIGHT("00000"&amp;ROW(),5),IF('FALTAS GERAL'!$M$1="Nome","K"&amp;UPPER(SUBSTITUTE(SUBSTITUTE(SUBSTITUTE(B441,"*",""),"?",""),"~",""))&amp;"0"&amp;AH441&amp;RIGHT("00000"&amp;ROW(),5),IF('FALTAS GERAL'!$M$1="Falta (maior primeiro)","K"&amp;RIGHT("0000"&amp;(9999-E441),4)&amp;AH441&amp;RIGHT("00000"&amp;ROW(),5),IF('FALTAS GERAL'!$M$1="Nº de decks (maior primeiro)","K"&amp;RIGHT("00"&amp;(99-N(G441)),2)&amp;AH441&amp;RIGHT("00000"&amp;ROW(),5),"K"&amp;RIGHT("00000"&amp;ROW(),5))))))</f>
        <v/>
      </c>
      <c r="AJ441" s="11" t="str">
        <f aca="false">IF(AI441="","",COUNTIFS($AI$2:$AI$801,"&lt;"&amp;AI441,$E$2:$E$801,"&gt;0")+1)</f>
        <v/>
      </c>
      <c r="AK441" s="11" t="str">
        <f aca="false">IF(OR(A441="",N(E441)&lt;=0),"",COUNTIFS($AH$2:$AH$801,"&lt;"&amp;AH441,$E$2:$E$801,"&gt;0")+COUNTIFS($AH$2:AH441,AH441,$E$2:E441,"&gt;0"))</f>
        <v/>
      </c>
    </row>
    <row r="442" customFormat="false" ht="15" hidden="false" customHeight="false" outlineLevel="0" collapsed="false">
      <c r="A442" s="11" t="str">
        <f aca="false">IF(INVENTÁRIO!A442="","",INVENTÁRIO!A442)</f>
        <v/>
      </c>
      <c r="B442" s="11" t="str">
        <f aca="false">IF(A442="","",INVENTÁRIO!B442)</f>
        <v/>
      </c>
      <c r="C442" s="16" t="str">
        <f aca="false">IF(A442="","",INVENTÁRIO!C442)</f>
        <v/>
      </c>
      <c r="D442" s="14" t="str">
        <f aca="false">IF(A442="","",MAX(K442:AD442))</f>
        <v/>
      </c>
      <c r="E442" s="14" t="str">
        <f aca="false">IF(A442="","",MAX(0,D442-C442))</f>
        <v/>
      </c>
      <c r="F442" s="16" t="str">
        <f aca="false">IF(A442="","",IF(D442=0,"Fora dos decks",IF(E442=0,"Completo","Falta")))</f>
        <v/>
      </c>
      <c r="G442" s="16" t="str">
        <f aca="false">IF(A442="","",COUNTIF(K442:AD442,"&gt;0"))</f>
        <v/>
      </c>
      <c r="H442" s="16" t="str">
        <f aca="false">IF(A442="","",IF(G442&gt;1,"Sim",""))</f>
        <v/>
      </c>
      <c r="I442" s="18" t="str">
        <f aca="false">IF(A442="","",SUMIFS(DECKS!$D$2:$D$1201,DECKS!$B$2:$B$1201,A442))</f>
        <v/>
      </c>
      <c r="J442" s="18" t="str">
        <f aca="false">IF(A442="","",MAX(0,I442-C442))</f>
        <v/>
      </c>
      <c r="K442" s="19" t="str">
        <f aca="false">IF(OR($A442="",INDEX(_LEITURA!$Q$2:$Q$21,1)=0),"",SUMIFS(DECKS!$D$2:$D$1201,DECKS!$A$2:$A$1201,INDEX(_LEITURA!$P$2:$P$21,1),DECKS!$B$2:$B$1201,$A442))</f>
        <v/>
      </c>
      <c r="L442" s="19" t="str">
        <f aca="false">IF(OR($A442="",INDEX(_LEITURA!$Q$2:$Q$21,2)=0),"",SUMIFS(DECKS!$D$2:$D$1201,DECKS!$A$2:$A$1201,INDEX(_LEITURA!$P$2:$P$21,2),DECKS!$B$2:$B$1201,$A442))</f>
        <v/>
      </c>
      <c r="M442" s="19" t="str">
        <f aca="false">IF(OR($A442="",INDEX(_LEITURA!$Q$2:$Q$21,3)=0),"",SUMIFS(DECKS!$D$2:$D$1201,DECKS!$A$2:$A$1201,INDEX(_LEITURA!$P$2:$P$21,3),DECKS!$B$2:$B$1201,$A442))</f>
        <v/>
      </c>
      <c r="N442" s="19" t="str">
        <f aca="false">IF(OR($A442="",INDEX(_LEITURA!$Q$2:$Q$21,4)=0),"",SUMIFS(DECKS!$D$2:$D$1201,DECKS!$A$2:$A$1201,INDEX(_LEITURA!$P$2:$P$21,4),DECKS!$B$2:$B$1201,$A442))</f>
        <v/>
      </c>
      <c r="O442" s="19" t="str">
        <f aca="false">IF(OR($A442="",INDEX(_LEITURA!$Q$2:$Q$21,5)=0),"",SUMIFS(DECKS!$D$2:$D$1201,DECKS!$A$2:$A$1201,INDEX(_LEITURA!$P$2:$P$21,5),DECKS!$B$2:$B$1201,$A442))</f>
        <v/>
      </c>
      <c r="P442" s="19" t="str">
        <f aca="false">IF(OR($A442="",INDEX(_LEITURA!$Q$2:$Q$21,6)=0),"",SUMIFS(DECKS!$D$2:$D$1201,DECKS!$A$2:$A$1201,INDEX(_LEITURA!$P$2:$P$21,6),DECKS!$B$2:$B$1201,$A442))</f>
        <v/>
      </c>
      <c r="Q442" s="19" t="str">
        <f aca="false">IF(OR($A442="",INDEX(_LEITURA!$Q$2:$Q$21,7)=0),"",SUMIFS(DECKS!$D$2:$D$1201,DECKS!$A$2:$A$1201,INDEX(_LEITURA!$P$2:$P$21,7),DECKS!$B$2:$B$1201,$A442))</f>
        <v/>
      </c>
      <c r="R442" s="19" t="str">
        <f aca="false">IF(OR($A442="",INDEX(_LEITURA!$Q$2:$Q$21,8)=0),"",SUMIFS(DECKS!$D$2:$D$1201,DECKS!$A$2:$A$1201,INDEX(_LEITURA!$P$2:$P$21,8),DECKS!$B$2:$B$1201,$A442))</f>
        <v/>
      </c>
      <c r="S442" s="19" t="str">
        <f aca="false">IF(OR($A442="",INDEX(_LEITURA!$Q$2:$Q$21,9)=0),"",SUMIFS(DECKS!$D$2:$D$1201,DECKS!$A$2:$A$1201,INDEX(_LEITURA!$P$2:$P$21,9),DECKS!$B$2:$B$1201,$A442))</f>
        <v/>
      </c>
      <c r="T442" s="19" t="str">
        <f aca="false">IF(OR($A442="",INDEX(_LEITURA!$Q$2:$Q$21,10)=0),"",SUMIFS(DECKS!$D$2:$D$1201,DECKS!$A$2:$A$1201,INDEX(_LEITURA!$P$2:$P$21,10),DECKS!$B$2:$B$1201,$A442))</f>
        <v/>
      </c>
      <c r="U442" s="19" t="str">
        <f aca="false">IF(OR($A442="",INDEX(_LEITURA!$Q$2:$Q$21,11)=0),"",SUMIFS(DECKS!$D$2:$D$1201,DECKS!$A$2:$A$1201,INDEX(_LEITURA!$P$2:$P$21,11),DECKS!$B$2:$B$1201,$A442))</f>
        <v/>
      </c>
      <c r="V442" s="19" t="str">
        <f aca="false">IF(OR($A442="",INDEX(_LEITURA!$Q$2:$Q$21,12)=0),"",SUMIFS(DECKS!$D$2:$D$1201,DECKS!$A$2:$A$1201,INDEX(_LEITURA!$P$2:$P$21,12),DECKS!$B$2:$B$1201,$A442))</f>
        <v/>
      </c>
      <c r="W442" s="19" t="str">
        <f aca="false">IF(OR($A442="",INDEX(_LEITURA!$Q$2:$Q$21,13)=0),"",SUMIFS(DECKS!$D$2:$D$1201,DECKS!$A$2:$A$1201,INDEX(_LEITURA!$P$2:$P$21,13),DECKS!$B$2:$B$1201,$A442))</f>
        <v/>
      </c>
      <c r="X442" s="19" t="str">
        <f aca="false">IF(OR($A442="",INDEX(_LEITURA!$Q$2:$Q$21,14)=0),"",SUMIFS(DECKS!$D$2:$D$1201,DECKS!$A$2:$A$1201,INDEX(_LEITURA!$P$2:$P$21,14),DECKS!$B$2:$B$1201,$A442))</f>
        <v/>
      </c>
      <c r="Y442" s="19" t="str">
        <f aca="false">IF(OR($A442="",INDEX(_LEITURA!$Q$2:$Q$21,15)=0),"",SUMIFS(DECKS!$D$2:$D$1201,DECKS!$A$2:$A$1201,INDEX(_LEITURA!$P$2:$P$21,15),DECKS!$B$2:$B$1201,$A442))</f>
        <v/>
      </c>
      <c r="Z442" s="19" t="str">
        <f aca="false">IF(OR($A442="",INDEX(_LEITURA!$Q$2:$Q$21,16)=0),"",SUMIFS(DECKS!$D$2:$D$1201,DECKS!$A$2:$A$1201,INDEX(_LEITURA!$P$2:$P$21,16),DECKS!$B$2:$B$1201,$A442))</f>
        <v/>
      </c>
      <c r="AA442" s="19" t="str">
        <f aca="false">IF(OR($A442="",INDEX(_LEITURA!$Q$2:$Q$21,17)=0),"",SUMIFS(DECKS!$D$2:$D$1201,DECKS!$A$2:$A$1201,INDEX(_LEITURA!$P$2:$P$21,17),DECKS!$B$2:$B$1201,$A442))</f>
        <v/>
      </c>
      <c r="AB442" s="19" t="str">
        <f aca="false">IF(OR($A442="",INDEX(_LEITURA!$Q$2:$Q$21,18)=0),"",SUMIFS(DECKS!$D$2:$D$1201,DECKS!$A$2:$A$1201,INDEX(_LEITURA!$P$2:$P$21,18),DECKS!$B$2:$B$1201,$A442))</f>
        <v/>
      </c>
      <c r="AC442" s="19" t="str">
        <f aca="false">IF(OR($A442="",INDEX(_LEITURA!$Q$2:$Q$21,19)=0),"",SUMIFS(DECKS!$D$2:$D$1201,DECKS!$A$2:$A$1201,INDEX(_LEITURA!$P$2:$P$21,19),DECKS!$B$2:$B$1201,$A442))</f>
        <v/>
      </c>
      <c r="AD442" s="19" t="str">
        <f aca="false">IF(OR($A442="",INDEX(_LEITURA!$Q$2:$Q$21,20)=0),"",SUMIFS(DECKS!$D$2:$D$1201,DECKS!$A$2:$A$1201,INDEX(_LEITURA!$P$2:$P$21,20),DECKS!$B$2:$B$1201,$A442))</f>
        <v/>
      </c>
      <c r="AE442" s="16" t="str">
        <f aca="false">IF(N(E442)&gt;0,MAX(AE$1:AE441)+1,"")</f>
        <v/>
      </c>
      <c r="AF442" s="11" t="str">
        <f aca="false">IF(A442="","",IFERROR(LEFT(A442,FIND("-",A442)-1),A442))</f>
        <v/>
      </c>
      <c r="AG442" s="11" t="str">
        <f aca="false">IF(AF442="","",IF(ISNUMBER(--MID(AF442,1,1)),0,IF(ISNUMBER(--MID(AF442,2,1)),1,IF(ISNUMBER(--MID(AF442,3,1)),2,IF(ISNUMBER(--MID(AF442,4,1)),3,MIN(LEN(AF442),4))))))</f>
        <v/>
      </c>
      <c r="AH442" s="11" t="str">
        <f aca="false">IF(A442="","",LEFT(AF442,AG442)&amp;REPT("0",4-AG442)&amp;RIGHT("000"&amp;IFERROR(VALUE(MID(AF442,AG442+1,9)),0),3)&amp;RIGHT("0000"&amp;IFERROR(VALUE(MID(A442,FIND("-",A442)+1,9)),0),4))</f>
        <v/>
      </c>
      <c r="AI442" s="11" t="str">
        <f aca="false">IF(OR(A442="",N(E442)&lt;=0),"",IF('FALTAS GERAL'!$M$1="Código","K"&amp;AH442&amp;RIGHT("00000"&amp;ROW(),5),IF('FALTAS GERAL'!$M$1="Nome","K"&amp;UPPER(SUBSTITUTE(SUBSTITUTE(SUBSTITUTE(B442,"*",""),"?",""),"~",""))&amp;"0"&amp;AH442&amp;RIGHT("00000"&amp;ROW(),5),IF('FALTAS GERAL'!$M$1="Falta (maior primeiro)","K"&amp;RIGHT("0000"&amp;(9999-E442),4)&amp;AH442&amp;RIGHT("00000"&amp;ROW(),5),IF('FALTAS GERAL'!$M$1="Nº de decks (maior primeiro)","K"&amp;RIGHT("00"&amp;(99-N(G442)),2)&amp;AH442&amp;RIGHT("00000"&amp;ROW(),5),"K"&amp;RIGHT("00000"&amp;ROW(),5))))))</f>
        <v/>
      </c>
      <c r="AJ442" s="11" t="str">
        <f aca="false">IF(AI442="","",COUNTIFS($AI$2:$AI$801,"&lt;"&amp;AI442,$E$2:$E$801,"&gt;0")+1)</f>
        <v/>
      </c>
      <c r="AK442" s="11" t="str">
        <f aca="false">IF(OR(A442="",N(E442)&lt;=0),"",COUNTIFS($AH$2:$AH$801,"&lt;"&amp;AH442,$E$2:$E$801,"&gt;0")+COUNTIFS($AH$2:AH442,AH442,$E$2:E442,"&gt;0"))</f>
        <v/>
      </c>
    </row>
    <row r="443" customFormat="false" ht="15" hidden="false" customHeight="false" outlineLevel="0" collapsed="false">
      <c r="A443" s="11" t="str">
        <f aca="false">IF(INVENTÁRIO!A443="","",INVENTÁRIO!A443)</f>
        <v/>
      </c>
      <c r="B443" s="11" t="str">
        <f aca="false">IF(A443="","",INVENTÁRIO!B443)</f>
        <v/>
      </c>
      <c r="C443" s="16" t="str">
        <f aca="false">IF(A443="","",INVENTÁRIO!C443)</f>
        <v/>
      </c>
      <c r="D443" s="14" t="str">
        <f aca="false">IF(A443="","",MAX(K443:AD443))</f>
        <v/>
      </c>
      <c r="E443" s="14" t="str">
        <f aca="false">IF(A443="","",MAX(0,D443-C443))</f>
        <v/>
      </c>
      <c r="F443" s="16" t="str">
        <f aca="false">IF(A443="","",IF(D443=0,"Fora dos decks",IF(E443=0,"Completo","Falta")))</f>
        <v/>
      </c>
      <c r="G443" s="16" t="str">
        <f aca="false">IF(A443="","",COUNTIF(K443:AD443,"&gt;0"))</f>
        <v/>
      </c>
      <c r="H443" s="16" t="str">
        <f aca="false">IF(A443="","",IF(G443&gt;1,"Sim",""))</f>
        <v/>
      </c>
      <c r="I443" s="18" t="str">
        <f aca="false">IF(A443="","",SUMIFS(DECKS!$D$2:$D$1201,DECKS!$B$2:$B$1201,A443))</f>
        <v/>
      </c>
      <c r="J443" s="18" t="str">
        <f aca="false">IF(A443="","",MAX(0,I443-C443))</f>
        <v/>
      </c>
      <c r="K443" s="19" t="str">
        <f aca="false">IF(OR($A443="",INDEX(_LEITURA!$Q$2:$Q$21,1)=0),"",SUMIFS(DECKS!$D$2:$D$1201,DECKS!$A$2:$A$1201,INDEX(_LEITURA!$P$2:$P$21,1),DECKS!$B$2:$B$1201,$A443))</f>
        <v/>
      </c>
      <c r="L443" s="19" t="str">
        <f aca="false">IF(OR($A443="",INDEX(_LEITURA!$Q$2:$Q$21,2)=0),"",SUMIFS(DECKS!$D$2:$D$1201,DECKS!$A$2:$A$1201,INDEX(_LEITURA!$P$2:$P$21,2),DECKS!$B$2:$B$1201,$A443))</f>
        <v/>
      </c>
      <c r="M443" s="19" t="str">
        <f aca="false">IF(OR($A443="",INDEX(_LEITURA!$Q$2:$Q$21,3)=0),"",SUMIFS(DECKS!$D$2:$D$1201,DECKS!$A$2:$A$1201,INDEX(_LEITURA!$P$2:$P$21,3),DECKS!$B$2:$B$1201,$A443))</f>
        <v/>
      </c>
      <c r="N443" s="19" t="str">
        <f aca="false">IF(OR($A443="",INDEX(_LEITURA!$Q$2:$Q$21,4)=0),"",SUMIFS(DECKS!$D$2:$D$1201,DECKS!$A$2:$A$1201,INDEX(_LEITURA!$P$2:$P$21,4),DECKS!$B$2:$B$1201,$A443))</f>
        <v/>
      </c>
      <c r="O443" s="19" t="str">
        <f aca="false">IF(OR($A443="",INDEX(_LEITURA!$Q$2:$Q$21,5)=0),"",SUMIFS(DECKS!$D$2:$D$1201,DECKS!$A$2:$A$1201,INDEX(_LEITURA!$P$2:$P$21,5),DECKS!$B$2:$B$1201,$A443))</f>
        <v/>
      </c>
      <c r="P443" s="19" t="str">
        <f aca="false">IF(OR($A443="",INDEX(_LEITURA!$Q$2:$Q$21,6)=0),"",SUMIFS(DECKS!$D$2:$D$1201,DECKS!$A$2:$A$1201,INDEX(_LEITURA!$P$2:$P$21,6),DECKS!$B$2:$B$1201,$A443))</f>
        <v/>
      </c>
      <c r="Q443" s="19" t="str">
        <f aca="false">IF(OR($A443="",INDEX(_LEITURA!$Q$2:$Q$21,7)=0),"",SUMIFS(DECKS!$D$2:$D$1201,DECKS!$A$2:$A$1201,INDEX(_LEITURA!$P$2:$P$21,7),DECKS!$B$2:$B$1201,$A443))</f>
        <v/>
      </c>
      <c r="R443" s="19" t="str">
        <f aca="false">IF(OR($A443="",INDEX(_LEITURA!$Q$2:$Q$21,8)=0),"",SUMIFS(DECKS!$D$2:$D$1201,DECKS!$A$2:$A$1201,INDEX(_LEITURA!$P$2:$P$21,8),DECKS!$B$2:$B$1201,$A443))</f>
        <v/>
      </c>
      <c r="S443" s="19" t="str">
        <f aca="false">IF(OR($A443="",INDEX(_LEITURA!$Q$2:$Q$21,9)=0),"",SUMIFS(DECKS!$D$2:$D$1201,DECKS!$A$2:$A$1201,INDEX(_LEITURA!$P$2:$P$21,9),DECKS!$B$2:$B$1201,$A443))</f>
        <v/>
      </c>
      <c r="T443" s="19" t="str">
        <f aca="false">IF(OR($A443="",INDEX(_LEITURA!$Q$2:$Q$21,10)=0),"",SUMIFS(DECKS!$D$2:$D$1201,DECKS!$A$2:$A$1201,INDEX(_LEITURA!$P$2:$P$21,10),DECKS!$B$2:$B$1201,$A443))</f>
        <v/>
      </c>
      <c r="U443" s="19" t="str">
        <f aca="false">IF(OR($A443="",INDEX(_LEITURA!$Q$2:$Q$21,11)=0),"",SUMIFS(DECKS!$D$2:$D$1201,DECKS!$A$2:$A$1201,INDEX(_LEITURA!$P$2:$P$21,11),DECKS!$B$2:$B$1201,$A443))</f>
        <v/>
      </c>
      <c r="V443" s="19" t="str">
        <f aca="false">IF(OR($A443="",INDEX(_LEITURA!$Q$2:$Q$21,12)=0),"",SUMIFS(DECKS!$D$2:$D$1201,DECKS!$A$2:$A$1201,INDEX(_LEITURA!$P$2:$P$21,12),DECKS!$B$2:$B$1201,$A443))</f>
        <v/>
      </c>
      <c r="W443" s="19" t="str">
        <f aca="false">IF(OR($A443="",INDEX(_LEITURA!$Q$2:$Q$21,13)=0),"",SUMIFS(DECKS!$D$2:$D$1201,DECKS!$A$2:$A$1201,INDEX(_LEITURA!$P$2:$P$21,13),DECKS!$B$2:$B$1201,$A443))</f>
        <v/>
      </c>
      <c r="X443" s="19" t="str">
        <f aca="false">IF(OR($A443="",INDEX(_LEITURA!$Q$2:$Q$21,14)=0),"",SUMIFS(DECKS!$D$2:$D$1201,DECKS!$A$2:$A$1201,INDEX(_LEITURA!$P$2:$P$21,14),DECKS!$B$2:$B$1201,$A443))</f>
        <v/>
      </c>
      <c r="Y443" s="19" t="str">
        <f aca="false">IF(OR($A443="",INDEX(_LEITURA!$Q$2:$Q$21,15)=0),"",SUMIFS(DECKS!$D$2:$D$1201,DECKS!$A$2:$A$1201,INDEX(_LEITURA!$P$2:$P$21,15),DECKS!$B$2:$B$1201,$A443))</f>
        <v/>
      </c>
      <c r="Z443" s="19" t="str">
        <f aca="false">IF(OR($A443="",INDEX(_LEITURA!$Q$2:$Q$21,16)=0),"",SUMIFS(DECKS!$D$2:$D$1201,DECKS!$A$2:$A$1201,INDEX(_LEITURA!$P$2:$P$21,16),DECKS!$B$2:$B$1201,$A443))</f>
        <v/>
      </c>
      <c r="AA443" s="19" t="str">
        <f aca="false">IF(OR($A443="",INDEX(_LEITURA!$Q$2:$Q$21,17)=0),"",SUMIFS(DECKS!$D$2:$D$1201,DECKS!$A$2:$A$1201,INDEX(_LEITURA!$P$2:$P$21,17),DECKS!$B$2:$B$1201,$A443))</f>
        <v/>
      </c>
      <c r="AB443" s="19" t="str">
        <f aca="false">IF(OR($A443="",INDEX(_LEITURA!$Q$2:$Q$21,18)=0),"",SUMIFS(DECKS!$D$2:$D$1201,DECKS!$A$2:$A$1201,INDEX(_LEITURA!$P$2:$P$21,18),DECKS!$B$2:$B$1201,$A443))</f>
        <v/>
      </c>
      <c r="AC443" s="19" t="str">
        <f aca="false">IF(OR($A443="",INDEX(_LEITURA!$Q$2:$Q$21,19)=0),"",SUMIFS(DECKS!$D$2:$D$1201,DECKS!$A$2:$A$1201,INDEX(_LEITURA!$P$2:$P$21,19),DECKS!$B$2:$B$1201,$A443))</f>
        <v/>
      </c>
      <c r="AD443" s="19" t="str">
        <f aca="false">IF(OR($A443="",INDEX(_LEITURA!$Q$2:$Q$21,20)=0),"",SUMIFS(DECKS!$D$2:$D$1201,DECKS!$A$2:$A$1201,INDEX(_LEITURA!$P$2:$P$21,20),DECKS!$B$2:$B$1201,$A443))</f>
        <v/>
      </c>
      <c r="AE443" s="16" t="str">
        <f aca="false">IF(N(E443)&gt;0,MAX(AE$1:AE442)+1,"")</f>
        <v/>
      </c>
      <c r="AF443" s="11" t="str">
        <f aca="false">IF(A443="","",IFERROR(LEFT(A443,FIND("-",A443)-1),A443))</f>
        <v/>
      </c>
      <c r="AG443" s="11" t="str">
        <f aca="false">IF(AF443="","",IF(ISNUMBER(--MID(AF443,1,1)),0,IF(ISNUMBER(--MID(AF443,2,1)),1,IF(ISNUMBER(--MID(AF443,3,1)),2,IF(ISNUMBER(--MID(AF443,4,1)),3,MIN(LEN(AF443),4))))))</f>
        <v/>
      </c>
      <c r="AH443" s="11" t="str">
        <f aca="false">IF(A443="","",LEFT(AF443,AG443)&amp;REPT("0",4-AG443)&amp;RIGHT("000"&amp;IFERROR(VALUE(MID(AF443,AG443+1,9)),0),3)&amp;RIGHT("0000"&amp;IFERROR(VALUE(MID(A443,FIND("-",A443)+1,9)),0),4))</f>
        <v/>
      </c>
      <c r="AI443" s="11" t="str">
        <f aca="false">IF(OR(A443="",N(E443)&lt;=0),"",IF('FALTAS GERAL'!$M$1="Código","K"&amp;AH443&amp;RIGHT("00000"&amp;ROW(),5),IF('FALTAS GERAL'!$M$1="Nome","K"&amp;UPPER(SUBSTITUTE(SUBSTITUTE(SUBSTITUTE(B443,"*",""),"?",""),"~",""))&amp;"0"&amp;AH443&amp;RIGHT("00000"&amp;ROW(),5),IF('FALTAS GERAL'!$M$1="Falta (maior primeiro)","K"&amp;RIGHT("0000"&amp;(9999-E443),4)&amp;AH443&amp;RIGHT("00000"&amp;ROW(),5),IF('FALTAS GERAL'!$M$1="Nº de decks (maior primeiro)","K"&amp;RIGHT("00"&amp;(99-N(G443)),2)&amp;AH443&amp;RIGHT("00000"&amp;ROW(),5),"K"&amp;RIGHT("00000"&amp;ROW(),5))))))</f>
        <v/>
      </c>
      <c r="AJ443" s="11" t="str">
        <f aca="false">IF(AI443="","",COUNTIFS($AI$2:$AI$801,"&lt;"&amp;AI443,$E$2:$E$801,"&gt;0")+1)</f>
        <v/>
      </c>
      <c r="AK443" s="11" t="str">
        <f aca="false">IF(OR(A443="",N(E443)&lt;=0),"",COUNTIFS($AH$2:$AH$801,"&lt;"&amp;AH443,$E$2:$E$801,"&gt;0")+COUNTIFS($AH$2:AH443,AH443,$E$2:E443,"&gt;0"))</f>
        <v/>
      </c>
    </row>
    <row r="444" customFormat="false" ht="15" hidden="false" customHeight="false" outlineLevel="0" collapsed="false">
      <c r="A444" s="11" t="str">
        <f aca="false">IF(INVENTÁRIO!A444="","",INVENTÁRIO!A444)</f>
        <v/>
      </c>
      <c r="B444" s="11" t="str">
        <f aca="false">IF(A444="","",INVENTÁRIO!B444)</f>
        <v/>
      </c>
      <c r="C444" s="16" t="str">
        <f aca="false">IF(A444="","",INVENTÁRIO!C444)</f>
        <v/>
      </c>
      <c r="D444" s="14" t="str">
        <f aca="false">IF(A444="","",MAX(K444:AD444))</f>
        <v/>
      </c>
      <c r="E444" s="14" t="str">
        <f aca="false">IF(A444="","",MAX(0,D444-C444))</f>
        <v/>
      </c>
      <c r="F444" s="16" t="str">
        <f aca="false">IF(A444="","",IF(D444=0,"Fora dos decks",IF(E444=0,"Completo","Falta")))</f>
        <v/>
      </c>
      <c r="G444" s="16" t="str">
        <f aca="false">IF(A444="","",COUNTIF(K444:AD444,"&gt;0"))</f>
        <v/>
      </c>
      <c r="H444" s="16" t="str">
        <f aca="false">IF(A444="","",IF(G444&gt;1,"Sim",""))</f>
        <v/>
      </c>
      <c r="I444" s="18" t="str">
        <f aca="false">IF(A444="","",SUMIFS(DECKS!$D$2:$D$1201,DECKS!$B$2:$B$1201,A444))</f>
        <v/>
      </c>
      <c r="J444" s="18" t="str">
        <f aca="false">IF(A444="","",MAX(0,I444-C444))</f>
        <v/>
      </c>
      <c r="K444" s="19" t="str">
        <f aca="false">IF(OR($A444="",INDEX(_LEITURA!$Q$2:$Q$21,1)=0),"",SUMIFS(DECKS!$D$2:$D$1201,DECKS!$A$2:$A$1201,INDEX(_LEITURA!$P$2:$P$21,1),DECKS!$B$2:$B$1201,$A444))</f>
        <v/>
      </c>
      <c r="L444" s="19" t="str">
        <f aca="false">IF(OR($A444="",INDEX(_LEITURA!$Q$2:$Q$21,2)=0),"",SUMIFS(DECKS!$D$2:$D$1201,DECKS!$A$2:$A$1201,INDEX(_LEITURA!$P$2:$P$21,2),DECKS!$B$2:$B$1201,$A444))</f>
        <v/>
      </c>
      <c r="M444" s="19" t="str">
        <f aca="false">IF(OR($A444="",INDEX(_LEITURA!$Q$2:$Q$21,3)=0),"",SUMIFS(DECKS!$D$2:$D$1201,DECKS!$A$2:$A$1201,INDEX(_LEITURA!$P$2:$P$21,3),DECKS!$B$2:$B$1201,$A444))</f>
        <v/>
      </c>
      <c r="N444" s="19" t="str">
        <f aca="false">IF(OR($A444="",INDEX(_LEITURA!$Q$2:$Q$21,4)=0),"",SUMIFS(DECKS!$D$2:$D$1201,DECKS!$A$2:$A$1201,INDEX(_LEITURA!$P$2:$P$21,4),DECKS!$B$2:$B$1201,$A444))</f>
        <v/>
      </c>
      <c r="O444" s="19" t="str">
        <f aca="false">IF(OR($A444="",INDEX(_LEITURA!$Q$2:$Q$21,5)=0),"",SUMIFS(DECKS!$D$2:$D$1201,DECKS!$A$2:$A$1201,INDEX(_LEITURA!$P$2:$P$21,5),DECKS!$B$2:$B$1201,$A444))</f>
        <v/>
      </c>
      <c r="P444" s="19" t="str">
        <f aca="false">IF(OR($A444="",INDEX(_LEITURA!$Q$2:$Q$21,6)=0),"",SUMIFS(DECKS!$D$2:$D$1201,DECKS!$A$2:$A$1201,INDEX(_LEITURA!$P$2:$P$21,6),DECKS!$B$2:$B$1201,$A444))</f>
        <v/>
      </c>
      <c r="Q444" s="19" t="str">
        <f aca="false">IF(OR($A444="",INDEX(_LEITURA!$Q$2:$Q$21,7)=0),"",SUMIFS(DECKS!$D$2:$D$1201,DECKS!$A$2:$A$1201,INDEX(_LEITURA!$P$2:$P$21,7),DECKS!$B$2:$B$1201,$A444))</f>
        <v/>
      </c>
      <c r="R444" s="19" t="str">
        <f aca="false">IF(OR($A444="",INDEX(_LEITURA!$Q$2:$Q$21,8)=0),"",SUMIFS(DECKS!$D$2:$D$1201,DECKS!$A$2:$A$1201,INDEX(_LEITURA!$P$2:$P$21,8),DECKS!$B$2:$B$1201,$A444))</f>
        <v/>
      </c>
      <c r="S444" s="19" t="str">
        <f aca="false">IF(OR($A444="",INDEX(_LEITURA!$Q$2:$Q$21,9)=0),"",SUMIFS(DECKS!$D$2:$D$1201,DECKS!$A$2:$A$1201,INDEX(_LEITURA!$P$2:$P$21,9),DECKS!$B$2:$B$1201,$A444))</f>
        <v/>
      </c>
      <c r="T444" s="19" t="str">
        <f aca="false">IF(OR($A444="",INDEX(_LEITURA!$Q$2:$Q$21,10)=0),"",SUMIFS(DECKS!$D$2:$D$1201,DECKS!$A$2:$A$1201,INDEX(_LEITURA!$P$2:$P$21,10),DECKS!$B$2:$B$1201,$A444))</f>
        <v/>
      </c>
      <c r="U444" s="19" t="str">
        <f aca="false">IF(OR($A444="",INDEX(_LEITURA!$Q$2:$Q$21,11)=0),"",SUMIFS(DECKS!$D$2:$D$1201,DECKS!$A$2:$A$1201,INDEX(_LEITURA!$P$2:$P$21,11),DECKS!$B$2:$B$1201,$A444))</f>
        <v/>
      </c>
      <c r="V444" s="19" t="str">
        <f aca="false">IF(OR($A444="",INDEX(_LEITURA!$Q$2:$Q$21,12)=0),"",SUMIFS(DECKS!$D$2:$D$1201,DECKS!$A$2:$A$1201,INDEX(_LEITURA!$P$2:$P$21,12),DECKS!$B$2:$B$1201,$A444))</f>
        <v/>
      </c>
      <c r="W444" s="19" t="str">
        <f aca="false">IF(OR($A444="",INDEX(_LEITURA!$Q$2:$Q$21,13)=0),"",SUMIFS(DECKS!$D$2:$D$1201,DECKS!$A$2:$A$1201,INDEX(_LEITURA!$P$2:$P$21,13),DECKS!$B$2:$B$1201,$A444))</f>
        <v/>
      </c>
      <c r="X444" s="19" t="str">
        <f aca="false">IF(OR($A444="",INDEX(_LEITURA!$Q$2:$Q$21,14)=0),"",SUMIFS(DECKS!$D$2:$D$1201,DECKS!$A$2:$A$1201,INDEX(_LEITURA!$P$2:$P$21,14),DECKS!$B$2:$B$1201,$A444))</f>
        <v/>
      </c>
      <c r="Y444" s="19" t="str">
        <f aca="false">IF(OR($A444="",INDEX(_LEITURA!$Q$2:$Q$21,15)=0),"",SUMIFS(DECKS!$D$2:$D$1201,DECKS!$A$2:$A$1201,INDEX(_LEITURA!$P$2:$P$21,15),DECKS!$B$2:$B$1201,$A444))</f>
        <v/>
      </c>
      <c r="Z444" s="19" t="str">
        <f aca="false">IF(OR($A444="",INDEX(_LEITURA!$Q$2:$Q$21,16)=0),"",SUMIFS(DECKS!$D$2:$D$1201,DECKS!$A$2:$A$1201,INDEX(_LEITURA!$P$2:$P$21,16),DECKS!$B$2:$B$1201,$A444))</f>
        <v/>
      </c>
      <c r="AA444" s="19" t="str">
        <f aca="false">IF(OR($A444="",INDEX(_LEITURA!$Q$2:$Q$21,17)=0),"",SUMIFS(DECKS!$D$2:$D$1201,DECKS!$A$2:$A$1201,INDEX(_LEITURA!$P$2:$P$21,17),DECKS!$B$2:$B$1201,$A444))</f>
        <v/>
      </c>
      <c r="AB444" s="19" t="str">
        <f aca="false">IF(OR($A444="",INDEX(_LEITURA!$Q$2:$Q$21,18)=0),"",SUMIFS(DECKS!$D$2:$D$1201,DECKS!$A$2:$A$1201,INDEX(_LEITURA!$P$2:$P$21,18),DECKS!$B$2:$B$1201,$A444))</f>
        <v/>
      </c>
      <c r="AC444" s="19" t="str">
        <f aca="false">IF(OR($A444="",INDEX(_LEITURA!$Q$2:$Q$21,19)=0),"",SUMIFS(DECKS!$D$2:$D$1201,DECKS!$A$2:$A$1201,INDEX(_LEITURA!$P$2:$P$21,19),DECKS!$B$2:$B$1201,$A444))</f>
        <v/>
      </c>
      <c r="AD444" s="19" t="str">
        <f aca="false">IF(OR($A444="",INDEX(_LEITURA!$Q$2:$Q$21,20)=0),"",SUMIFS(DECKS!$D$2:$D$1201,DECKS!$A$2:$A$1201,INDEX(_LEITURA!$P$2:$P$21,20),DECKS!$B$2:$B$1201,$A444))</f>
        <v/>
      </c>
      <c r="AE444" s="16" t="str">
        <f aca="false">IF(N(E444)&gt;0,MAX(AE$1:AE443)+1,"")</f>
        <v/>
      </c>
      <c r="AF444" s="11" t="str">
        <f aca="false">IF(A444="","",IFERROR(LEFT(A444,FIND("-",A444)-1),A444))</f>
        <v/>
      </c>
      <c r="AG444" s="11" t="str">
        <f aca="false">IF(AF444="","",IF(ISNUMBER(--MID(AF444,1,1)),0,IF(ISNUMBER(--MID(AF444,2,1)),1,IF(ISNUMBER(--MID(AF444,3,1)),2,IF(ISNUMBER(--MID(AF444,4,1)),3,MIN(LEN(AF444),4))))))</f>
        <v/>
      </c>
      <c r="AH444" s="11" t="str">
        <f aca="false">IF(A444="","",LEFT(AF444,AG444)&amp;REPT("0",4-AG444)&amp;RIGHT("000"&amp;IFERROR(VALUE(MID(AF444,AG444+1,9)),0),3)&amp;RIGHT("0000"&amp;IFERROR(VALUE(MID(A444,FIND("-",A444)+1,9)),0),4))</f>
        <v/>
      </c>
      <c r="AI444" s="11" t="str">
        <f aca="false">IF(OR(A444="",N(E444)&lt;=0),"",IF('FALTAS GERAL'!$M$1="Código","K"&amp;AH444&amp;RIGHT("00000"&amp;ROW(),5),IF('FALTAS GERAL'!$M$1="Nome","K"&amp;UPPER(SUBSTITUTE(SUBSTITUTE(SUBSTITUTE(B444,"*",""),"?",""),"~",""))&amp;"0"&amp;AH444&amp;RIGHT("00000"&amp;ROW(),5),IF('FALTAS GERAL'!$M$1="Falta (maior primeiro)","K"&amp;RIGHT("0000"&amp;(9999-E444),4)&amp;AH444&amp;RIGHT("00000"&amp;ROW(),5),IF('FALTAS GERAL'!$M$1="Nº de decks (maior primeiro)","K"&amp;RIGHT("00"&amp;(99-N(G444)),2)&amp;AH444&amp;RIGHT("00000"&amp;ROW(),5),"K"&amp;RIGHT("00000"&amp;ROW(),5))))))</f>
        <v/>
      </c>
      <c r="AJ444" s="11" t="str">
        <f aca="false">IF(AI444="","",COUNTIFS($AI$2:$AI$801,"&lt;"&amp;AI444,$E$2:$E$801,"&gt;0")+1)</f>
        <v/>
      </c>
      <c r="AK444" s="11" t="str">
        <f aca="false">IF(OR(A444="",N(E444)&lt;=0),"",COUNTIFS($AH$2:$AH$801,"&lt;"&amp;AH444,$E$2:$E$801,"&gt;0")+COUNTIFS($AH$2:AH444,AH444,$E$2:E444,"&gt;0"))</f>
        <v/>
      </c>
    </row>
    <row r="445" customFormat="false" ht="15" hidden="false" customHeight="false" outlineLevel="0" collapsed="false">
      <c r="A445" s="11" t="str">
        <f aca="false">IF(INVENTÁRIO!A445="","",INVENTÁRIO!A445)</f>
        <v/>
      </c>
      <c r="B445" s="11" t="str">
        <f aca="false">IF(A445="","",INVENTÁRIO!B445)</f>
        <v/>
      </c>
      <c r="C445" s="16" t="str">
        <f aca="false">IF(A445="","",INVENTÁRIO!C445)</f>
        <v/>
      </c>
      <c r="D445" s="14" t="str">
        <f aca="false">IF(A445="","",MAX(K445:AD445))</f>
        <v/>
      </c>
      <c r="E445" s="14" t="str">
        <f aca="false">IF(A445="","",MAX(0,D445-C445))</f>
        <v/>
      </c>
      <c r="F445" s="16" t="str">
        <f aca="false">IF(A445="","",IF(D445=0,"Fora dos decks",IF(E445=0,"Completo","Falta")))</f>
        <v/>
      </c>
      <c r="G445" s="16" t="str">
        <f aca="false">IF(A445="","",COUNTIF(K445:AD445,"&gt;0"))</f>
        <v/>
      </c>
      <c r="H445" s="16" t="str">
        <f aca="false">IF(A445="","",IF(G445&gt;1,"Sim",""))</f>
        <v/>
      </c>
      <c r="I445" s="18" t="str">
        <f aca="false">IF(A445="","",SUMIFS(DECKS!$D$2:$D$1201,DECKS!$B$2:$B$1201,A445))</f>
        <v/>
      </c>
      <c r="J445" s="18" t="str">
        <f aca="false">IF(A445="","",MAX(0,I445-C445))</f>
        <v/>
      </c>
      <c r="K445" s="19" t="str">
        <f aca="false">IF(OR($A445="",INDEX(_LEITURA!$Q$2:$Q$21,1)=0),"",SUMIFS(DECKS!$D$2:$D$1201,DECKS!$A$2:$A$1201,INDEX(_LEITURA!$P$2:$P$21,1),DECKS!$B$2:$B$1201,$A445))</f>
        <v/>
      </c>
      <c r="L445" s="19" t="str">
        <f aca="false">IF(OR($A445="",INDEX(_LEITURA!$Q$2:$Q$21,2)=0),"",SUMIFS(DECKS!$D$2:$D$1201,DECKS!$A$2:$A$1201,INDEX(_LEITURA!$P$2:$P$21,2),DECKS!$B$2:$B$1201,$A445))</f>
        <v/>
      </c>
      <c r="M445" s="19" t="str">
        <f aca="false">IF(OR($A445="",INDEX(_LEITURA!$Q$2:$Q$21,3)=0),"",SUMIFS(DECKS!$D$2:$D$1201,DECKS!$A$2:$A$1201,INDEX(_LEITURA!$P$2:$P$21,3),DECKS!$B$2:$B$1201,$A445))</f>
        <v/>
      </c>
      <c r="N445" s="19" t="str">
        <f aca="false">IF(OR($A445="",INDEX(_LEITURA!$Q$2:$Q$21,4)=0),"",SUMIFS(DECKS!$D$2:$D$1201,DECKS!$A$2:$A$1201,INDEX(_LEITURA!$P$2:$P$21,4),DECKS!$B$2:$B$1201,$A445))</f>
        <v/>
      </c>
      <c r="O445" s="19" t="str">
        <f aca="false">IF(OR($A445="",INDEX(_LEITURA!$Q$2:$Q$21,5)=0),"",SUMIFS(DECKS!$D$2:$D$1201,DECKS!$A$2:$A$1201,INDEX(_LEITURA!$P$2:$P$21,5),DECKS!$B$2:$B$1201,$A445))</f>
        <v/>
      </c>
      <c r="P445" s="19" t="str">
        <f aca="false">IF(OR($A445="",INDEX(_LEITURA!$Q$2:$Q$21,6)=0),"",SUMIFS(DECKS!$D$2:$D$1201,DECKS!$A$2:$A$1201,INDEX(_LEITURA!$P$2:$P$21,6),DECKS!$B$2:$B$1201,$A445))</f>
        <v/>
      </c>
      <c r="Q445" s="19" t="str">
        <f aca="false">IF(OR($A445="",INDEX(_LEITURA!$Q$2:$Q$21,7)=0),"",SUMIFS(DECKS!$D$2:$D$1201,DECKS!$A$2:$A$1201,INDEX(_LEITURA!$P$2:$P$21,7),DECKS!$B$2:$B$1201,$A445))</f>
        <v/>
      </c>
      <c r="R445" s="19" t="str">
        <f aca="false">IF(OR($A445="",INDEX(_LEITURA!$Q$2:$Q$21,8)=0),"",SUMIFS(DECKS!$D$2:$D$1201,DECKS!$A$2:$A$1201,INDEX(_LEITURA!$P$2:$P$21,8),DECKS!$B$2:$B$1201,$A445))</f>
        <v/>
      </c>
      <c r="S445" s="19" t="str">
        <f aca="false">IF(OR($A445="",INDEX(_LEITURA!$Q$2:$Q$21,9)=0),"",SUMIFS(DECKS!$D$2:$D$1201,DECKS!$A$2:$A$1201,INDEX(_LEITURA!$P$2:$P$21,9),DECKS!$B$2:$B$1201,$A445))</f>
        <v/>
      </c>
      <c r="T445" s="19" t="str">
        <f aca="false">IF(OR($A445="",INDEX(_LEITURA!$Q$2:$Q$21,10)=0),"",SUMIFS(DECKS!$D$2:$D$1201,DECKS!$A$2:$A$1201,INDEX(_LEITURA!$P$2:$P$21,10),DECKS!$B$2:$B$1201,$A445))</f>
        <v/>
      </c>
      <c r="U445" s="19" t="str">
        <f aca="false">IF(OR($A445="",INDEX(_LEITURA!$Q$2:$Q$21,11)=0),"",SUMIFS(DECKS!$D$2:$D$1201,DECKS!$A$2:$A$1201,INDEX(_LEITURA!$P$2:$P$21,11),DECKS!$B$2:$B$1201,$A445))</f>
        <v/>
      </c>
      <c r="V445" s="19" t="str">
        <f aca="false">IF(OR($A445="",INDEX(_LEITURA!$Q$2:$Q$21,12)=0),"",SUMIFS(DECKS!$D$2:$D$1201,DECKS!$A$2:$A$1201,INDEX(_LEITURA!$P$2:$P$21,12),DECKS!$B$2:$B$1201,$A445))</f>
        <v/>
      </c>
      <c r="W445" s="19" t="str">
        <f aca="false">IF(OR($A445="",INDEX(_LEITURA!$Q$2:$Q$21,13)=0),"",SUMIFS(DECKS!$D$2:$D$1201,DECKS!$A$2:$A$1201,INDEX(_LEITURA!$P$2:$P$21,13),DECKS!$B$2:$B$1201,$A445))</f>
        <v/>
      </c>
      <c r="X445" s="19" t="str">
        <f aca="false">IF(OR($A445="",INDEX(_LEITURA!$Q$2:$Q$21,14)=0),"",SUMIFS(DECKS!$D$2:$D$1201,DECKS!$A$2:$A$1201,INDEX(_LEITURA!$P$2:$P$21,14),DECKS!$B$2:$B$1201,$A445))</f>
        <v/>
      </c>
      <c r="Y445" s="19" t="str">
        <f aca="false">IF(OR($A445="",INDEX(_LEITURA!$Q$2:$Q$21,15)=0),"",SUMIFS(DECKS!$D$2:$D$1201,DECKS!$A$2:$A$1201,INDEX(_LEITURA!$P$2:$P$21,15),DECKS!$B$2:$B$1201,$A445))</f>
        <v/>
      </c>
      <c r="Z445" s="19" t="str">
        <f aca="false">IF(OR($A445="",INDEX(_LEITURA!$Q$2:$Q$21,16)=0),"",SUMIFS(DECKS!$D$2:$D$1201,DECKS!$A$2:$A$1201,INDEX(_LEITURA!$P$2:$P$21,16),DECKS!$B$2:$B$1201,$A445))</f>
        <v/>
      </c>
      <c r="AA445" s="19" t="str">
        <f aca="false">IF(OR($A445="",INDEX(_LEITURA!$Q$2:$Q$21,17)=0),"",SUMIFS(DECKS!$D$2:$D$1201,DECKS!$A$2:$A$1201,INDEX(_LEITURA!$P$2:$P$21,17),DECKS!$B$2:$B$1201,$A445))</f>
        <v/>
      </c>
      <c r="AB445" s="19" t="str">
        <f aca="false">IF(OR($A445="",INDEX(_LEITURA!$Q$2:$Q$21,18)=0),"",SUMIFS(DECKS!$D$2:$D$1201,DECKS!$A$2:$A$1201,INDEX(_LEITURA!$P$2:$P$21,18),DECKS!$B$2:$B$1201,$A445))</f>
        <v/>
      </c>
      <c r="AC445" s="19" t="str">
        <f aca="false">IF(OR($A445="",INDEX(_LEITURA!$Q$2:$Q$21,19)=0),"",SUMIFS(DECKS!$D$2:$D$1201,DECKS!$A$2:$A$1201,INDEX(_LEITURA!$P$2:$P$21,19),DECKS!$B$2:$B$1201,$A445))</f>
        <v/>
      </c>
      <c r="AD445" s="19" t="str">
        <f aca="false">IF(OR($A445="",INDEX(_LEITURA!$Q$2:$Q$21,20)=0),"",SUMIFS(DECKS!$D$2:$D$1201,DECKS!$A$2:$A$1201,INDEX(_LEITURA!$P$2:$P$21,20),DECKS!$B$2:$B$1201,$A445))</f>
        <v/>
      </c>
      <c r="AE445" s="16" t="str">
        <f aca="false">IF(N(E445)&gt;0,MAX(AE$1:AE444)+1,"")</f>
        <v/>
      </c>
      <c r="AF445" s="11" t="str">
        <f aca="false">IF(A445="","",IFERROR(LEFT(A445,FIND("-",A445)-1),A445))</f>
        <v/>
      </c>
      <c r="AG445" s="11" t="str">
        <f aca="false">IF(AF445="","",IF(ISNUMBER(--MID(AF445,1,1)),0,IF(ISNUMBER(--MID(AF445,2,1)),1,IF(ISNUMBER(--MID(AF445,3,1)),2,IF(ISNUMBER(--MID(AF445,4,1)),3,MIN(LEN(AF445),4))))))</f>
        <v/>
      </c>
      <c r="AH445" s="11" t="str">
        <f aca="false">IF(A445="","",LEFT(AF445,AG445)&amp;REPT("0",4-AG445)&amp;RIGHT("000"&amp;IFERROR(VALUE(MID(AF445,AG445+1,9)),0),3)&amp;RIGHT("0000"&amp;IFERROR(VALUE(MID(A445,FIND("-",A445)+1,9)),0),4))</f>
        <v/>
      </c>
      <c r="AI445" s="11" t="str">
        <f aca="false">IF(OR(A445="",N(E445)&lt;=0),"",IF('FALTAS GERAL'!$M$1="Código","K"&amp;AH445&amp;RIGHT("00000"&amp;ROW(),5),IF('FALTAS GERAL'!$M$1="Nome","K"&amp;UPPER(SUBSTITUTE(SUBSTITUTE(SUBSTITUTE(B445,"*",""),"?",""),"~",""))&amp;"0"&amp;AH445&amp;RIGHT("00000"&amp;ROW(),5),IF('FALTAS GERAL'!$M$1="Falta (maior primeiro)","K"&amp;RIGHT("0000"&amp;(9999-E445),4)&amp;AH445&amp;RIGHT("00000"&amp;ROW(),5),IF('FALTAS GERAL'!$M$1="Nº de decks (maior primeiro)","K"&amp;RIGHT("00"&amp;(99-N(G445)),2)&amp;AH445&amp;RIGHT("00000"&amp;ROW(),5),"K"&amp;RIGHT("00000"&amp;ROW(),5))))))</f>
        <v/>
      </c>
      <c r="AJ445" s="11" t="str">
        <f aca="false">IF(AI445="","",COUNTIFS($AI$2:$AI$801,"&lt;"&amp;AI445,$E$2:$E$801,"&gt;0")+1)</f>
        <v/>
      </c>
      <c r="AK445" s="11" t="str">
        <f aca="false">IF(OR(A445="",N(E445)&lt;=0),"",COUNTIFS($AH$2:$AH$801,"&lt;"&amp;AH445,$E$2:$E$801,"&gt;0")+COUNTIFS($AH$2:AH445,AH445,$E$2:E445,"&gt;0"))</f>
        <v/>
      </c>
    </row>
    <row r="446" customFormat="false" ht="15" hidden="false" customHeight="false" outlineLevel="0" collapsed="false">
      <c r="A446" s="11" t="str">
        <f aca="false">IF(INVENTÁRIO!A446="","",INVENTÁRIO!A446)</f>
        <v/>
      </c>
      <c r="B446" s="11" t="str">
        <f aca="false">IF(A446="","",INVENTÁRIO!B446)</f>
        <v/>
      </c>
      <c r="C446" s="16" t="str">
        <f aca="false">IF(A446="","",INVENTÁRIO!C446)</f>
        <v/>
      </c>
      <c r="D446" s="14" t="str">
        <f aca="false">IF(A446="","",MAX(K446:AD446))</f>
        <v/>
      </c>
      <c r="E446" s="14" t="str">
        <f aca="false">IF(A446="","",MAX(0,D446-C446))</f>
        <v/>
      </c>
      <c r="F446" s="16" t="str">
        <f aca="false">IF(A446="","",IF(D446=0,"Fora dos decks",IF(E446=0,"Completo","Falta")))</f>
        <v/>
      </c>
      <c r="G446" s="16" t="str">
        <f aca="false">IF(A446="","",COUNTIF(K446:AD446,"&gt;0"))</f>
        <v/>
      </c>
      <c r="H446" s="16" t="str">
        <f aca="false">IF(A446="","",IF(G446&gt;1,"Sim",""))</f>
        <v/>
      </c>
      <c r="I446" s="18" t="str">
        <f aca="false">IF(A446="","",SUMIFS(DECKS!$D$2:$D$1201,DECKS!$B$2:$B$1201,A446))</f>
        <v/>
      </c>
      <c r="J446" s="18" t="str">
        <f aca="false">IF(A446="","",MAX(0,I446-C446))</f>
        <v/>
      </c>
      <c r="K446" s="19" t="str">
        <f aca="false">IF(OR($A446="",INDEX(_LEITURA!$Q$2:$Q$21,1)=0),"",SUMIFS(DECKS!$D$2:$D$1201,DECKS!$A$2:$A$1201,INDEX(_LEITURA!$P$2:$P$21,1),DECKS!$B$2:$B$1201,$A446))</f>
        <v/>
      </c>
      <c r="L446" s="19" t="str">
        <f aca="false">IF(OR($A446="",INDEX(_LEITURA!$Q$2:$Q$21,2)=0),"",SUMIFS(DECKS!$D$2:$D$1201,DECKS!$A$2:$A$1201,INDEX(_LEITURA!$P$2:$P$21,2),DECKS!$B$2:$B$1201,$A446))</f>
        <v/>
      </c>
      <c r="M446" s="19" t="str">
        <f aca="false">IF(OR($A446="",INDEX(_LEITURA!$Q$2:$Q$21,3)=0),"",SUMIFS(DECKS!$D$2:$D$1201,DECKS!$A$2:$A$1201,INDEX(_LEITURA!$P$2:$P$21,3),DECKS!$B$2:$B$1201,$A446))</f>
        <v/>
      </c>
      <c r="N446" s="19" t="str">
        <f aca="false">IF(OR($A446="",INDEX(_LEITURA!$Q$2:$Q$21,4)=0),"",SUMIFS(DECKS!$D$2:$D$1201,DECKS!$A$2:$A$1201,INDEX(_LEITURA!$P$2:$P$21,4),DECKS!$B$2:$B$1201,$A446))</f>
        <v/>
      </c>
      <c r="O446" s="19" t="str">
        <f aca="false">IF(OR($A446="",INDEX(_LEITURA!$Q$2:$Q$21,5)=0),"",SUMIFS(DECKS!$D$2:$D$1201,DECKS!$A$2:$A$1201,INDEX(_LEITURA!$P$2:$P$21,5),DECKS!$B$2:$B$1201,$A446))</f>
        <v/>
      </c>
      <c r="P446" s="19" t="str">
        <f aca="false">IF(OR($A446="",INDEX(_LEITURA!$Q$2:$Q$21,6)=0),"",SUMIFS(DECKS!$D$2:$D$1201,DECKS!$A$2:$A$1201,INDEX(_LEITURA!$P$2:$P$21,6),DECKS!$B$2:$B$1201,$A446))</f>
        <v/>
      </c>
      <c r="Q446" s="19" t="str">
        <f aca="false">IF(OR($A446="",INDEX(_LEITURA!$Q$2:$Q$21,7)=0),"",SUMIFS(DECKS!$D$2:$D$1201,DECKS!$A$2:$A$1201,INDEX(_LEITURA!$P$2:$P$21,7),DECKS!$B$2:$B$1201,$A446))</f>
        <v/>
      </c>
      <c r="R446" s="19" t="str">
        <f aca="false">IF(OR($A446="",INDEX(_LEITURA!$Q$2:$Q$21,8)=0),"",SUMIFS(DECKS!$D$2:$D$1201,DECKS!$A$2:$A$1201,INDEX(_LEITURA!$P$2:$P$21,8),DECKS!$B$2:$B$1201,$A446))</f>
        <v/>
      </c>
      <c r="S446" s="19" t="str">
        <f aca="false">IF(OR($A446="",INDEX(_LEITURA!$Q$2:$Q$21,9)=0),"",SUMIFS(DECKS!$D$2:$D$1201,DECKS!$A$2:$A$1201,INDEX(_LEITURA!$P$2:$P$21,9),DECKS!$B$2:$B$1201,$A446))</f>
        <v/>
      </c>
      <c r="T446" s="19" t="str">
        <f aca="false">IF(OR($A446="",INDEX(_LEITURA!$Q$2:$Q$21,10)=0),"",SUMIFS(DECKS!$D$2:$D$1201,DECKS!$A$2:$A$1201,INDEX(_LEITURA!$P$2:$P$21,10),DECKS!$B$2:$B$1201,$A446))</f>
        <v/>
      </c>
      <c r="U446" s="19" t="str">
        <f aca="false">IF(OR($A446="",INDEX(_LEITURA!$Q$2:$Q$21,11)=0),"",SUMIFS(DECKS!$D$2:$D$1201,DECKS!$A$2:$A$1201,INDEX(_LEITURA!$P$2:$P$21,11),DECKS!$B$2:$B$1201,$A446))</f>
        <v/>
      </c>
      <c r="V446" s="19" t="str">
        <f aca="false">IF(OR($A446="",INDEX(_LEITURA!$Q$2:$Q$21,12)=0),"",SUMIFS(DECKS!$D$2:$D$1201,DECKS!$A$2:$A$1201,INDEX(_LEITURA!$P$2:$P$21,12),DECKS!$B$2:$B$1201,$A446))</f>
        <v/>
      </c>
      <c r="W446" s="19" t="str">
        <f aca="false">IF(OR($A446="",INDEX(_LEITURA!$Q$2:$Q$21,13)=0),"",SUMIFS(DECKS!$D$2:$D$1201,DECKS!$A$2:$A$1201,INDEX(_LEITURA!$P$2:$P$21,13),DECKS!$B$2:$B$1201,$A446))</f>
        <v/>
      </c>
      <c r="X446" s="19" t="str">
        <f aca="false">IF(OR($A446="",INDEX(_LEITURA!$Q$2:$Q$21,14)=0),"",SUMIFS(DECKS!$D$2:$D$1201,DECKS!$A$2:$A$1201,INDEX(_LEITURA!$P$2:$P$21,14),DECKS!$B$2:$B$1201,$A446))</f>
        <v/>
      </c>
      <c r="Y446" s="19" t="str">
        <f aca="false">IF(OR($A446="",INDEX(_LEITURA!$Q$2:$Q$21,15)=0),"",SUMIFS(DECKS!$D$2:$D$1201,DECKS!$A$2:$A$1201,INDEX(_LEITURA!$P$2:$P$21,15),DECKS!$B$2:$B$1201,$A446))</f>
        <v/>
      </c>
      <c r="Z446" s="19" t="str">
        <f aca="false">IF(OR($A446="",INDEX(_LEITURA!$Q$2:$Q$21,16)=0),"",SUMIFS(DECKS!$D$2:$D$1201,DECKS!$A$2:$A$1201,INDEX(_LEITURA!$P$2:$P$21,16),DECKS!$B$2:$B$1201,$A446))</f>
        <v/>
      </c>
      <c r="AA446" s="19" t="str">
        <f aca="false">IF(OR($A446="",INDEX(_LEITURA!$Q$2:$Q$21,17)=0),"",SUMIFS(DECKS!$D$2:$D$1201,DECKS!$A$2:$A$1201,INDEX(_LEITURA!$P$2:$P$21,17),DECKS!$B$2:$B$1201,$A446))</f>
        <v/>
      </c>
      <c r="AB446" s="19" t="str">
        <f aca="false">IF(OR($A446="",INDEX(_LEITURA!$Q$2:$Q$21,18)=0),"",SUMIFS(DECKS!$D$2:$D$1201,DECKS!$A$2:$A$1201,INDEX(_LEITURA!$P$2:$P$21,18),DECKS!$B$2:$B$1201,$A446))</f>
        <v/>
      </c>
      <c r="AC446" s="19" t="str">
        <f aca="false">IF(OR($A446="",INDEX(_LEITURA!$Q$2:$Q$21,19)=0),"",SUMIFS(DECKS!$D$2:$D$1201,DECKS!$A$2:$A$1201,INDEX(_LEITURA!$P$2:$P$21,19),DECKS!$B$2:$B$1201,$A446))</f>
        <v/>
      </c>
      <c r="AD446" s="19" t="str">
        <f aca="false">IF(OR($A446="",INDEX(_LEITURA!$Q$2:$Q$21,20)=0),"",SUMIFS(DECKS!$D$2:$D$1201,DECKS!$A$2:$A$1201,INDEX(_LEITURA!$P$2:$P$21,20),DECKS!$B$2:$B$1201,$A446))</f>
        <v/>
      </c>
      <c r="AE446" s="16" t="str">
        <f aca="false">IF(N(E446)&gt;0,MAX(AE$1:AE445)+1,"")</f>
        <v/>
      </c>
      <c r="AF446" s="11" t="str">
        <f aca="false">IF(A446="","",IFERROR(LEFT(A446,FIND("-",A446)-1),A446))</f>
        <v/>
      </c>
      <c r="AG446" s="11" t="str">
        <f aca="false">IF(AF446="","",IF(ISNUMBER(--MID(AF446,1,1)),0,IF(ISNUMBER(--MID(AF446,2,1)),1,IF(ISNUMBER(--MID(AF446,3,1)),2,IF(ISNUMBER(--MID(AF446,4,1)),3,MIN(LEN(AF446),4))))))</f>
        <v/>
      </c>
      <c r="AH446" s="11" t="str">
        <f aca="false">IF(A446="","",LEFT(AF446,AG446)&amp;REPT("0",4-AG446)&amp;RIGHT("000"&amp;IFERROR(VALUE(MID(AF446,AG446+1,9)),0),3)&amp;RIGHT("0000"&amp;IFERROR(VALUE(MID(A446,FIND("-",A446)+1,9)),0),4))</f>
        <v/>
      </c>
      <c r="AI446" s="11" t="str">
        <f aca="false">IF(OR(A446="",N(E446)&lt;=0),"",IF('FALTAS GERAL'!$M$1="Código","K"&amp;AH446&amp;RIGHT("00000"&amp;ROW(),5),IF('FALTAS GERAL'!$M$1="Nome","K"&amp;UPPER(SUBSTITUTE(SUBSTITUTE(SUBSTITUTE(B446,"*",""),"?",""),"~",""))&amp;"0"&amp;AH446&amp;RIGHT("00000"&amp;ROW(),5),IF('FALTAS GERAL'!$M$1="Falta (maior primeiro)","K"&amp;RIGHT("0000"&amp;(9999-E446),4)&amp;AH446&amp;RIGHT("00000"&amp;ROW(),5),IF('FALTAS GERAL'!$M$1="Nº de decks (maior primeiro)","K"&amp;RIGHT("00"&amp;(99-N(G446)),2)&amp;AH446&amp;RIGHT("00000"&amp;ROW(),5),"K"&amp;RIGHT("00000"&amp;ROW(),5))))))</f>
        <v/>
      </c>
      <c r="AJ446" s="11" t="str">
        <f aca="false">IF(AI446="","",COUNTIFS($AI$2:$AI$801,"&lt;"&amp;AI446,$E$2:$E$801,"&gt;0")+1)</f>
        <v/>
      </c>
      <c r="AK446" s="11" t="str">
        <f aca="false">IF(OR(A446="",N(E446)&lt;=0),"",COUNTIFS($AH$2:$AH$801,"&lt;"&amp;AH446,$E$2:$E$801,"&gt;0")+COUNTIFS($AH$2:AH446,AH446,$E$2:E446,"&gt;0"))</f>
        <v/>
      </c>
    </row>
    <row r="447" customFormat="false" ht="15" hidden="false" customHeight="false" outlineLevel="0" collapsed="false">
      <c r="A447" s="11" t="str">
        <f aca="false">IF(INVENTÁRIO!A447="","",INVENTÁRIO!A447)</f>
        <v/>
      </c>
      <c r="B447" s="11" t="str">
        <f aca="false">IF(A447="","",INVENTÁRIO!B447)</f>
        <v/>
      </c>
      <c r="C447" s="16" t="str">
        <f aca="false">IF(A447="","",INVENTÁRIO!C447)</f>
        <v/>
      </c>
      <c r="D447" s="14" t="str">
        <f aca="false">IF(A447="","",MAX(K447:AD447))</f>
        <v/>
      </c>
      <c r="E447" s="14" t="str">
        <f aca="false">IF(A447="","",MAX(0,D447-C447))</f>
        <v/>
      </c>
      <c r="F447" s="16" t="str">
        <f aca="false">IF(A447="","",IF(D447=0,"Fora dos decks",IF(E447=0,"Completo","Falta")))</f>
        <v/>
      </c>
      <c r="G447" s="16" t="str">
        <f aca="false">IF(A447="","",COUNTIF(K447:AD447,"&gt;0"))</f>
        <v/>
      </c>
      <c r="H447" s="16" t="str">
        <f aca="false">IF(A447="","",IF(G447&gt;1,"Sim",""))</f>
        <v/>
      </c>
      <c r="I447" s="18" t="str">
        <f aca="false">IF(A447="","",SUMIFS(DECKS!$D$2:$D$1201,DECKS!$B$2:$B$1201,A447))</f>
        <v/>
      </c>
      <c r="J447" s="18" t="str">
        <f aca="false">IF(A447="","",MAX(0,I447-C447))</f>
        <v/>
      </c>
      <c r="K447" s="19" t="str">
        <f aca="false">IF(OR($A447="",INDEX(_LEITURA!$Q$2:$Q$21,1)=0),"",SUMIFS(DECKS!$D$2:$D$1201,DECKS!$A$2:$A$1201,INDEX(_LEITURA!$P$2:$P$21,1),DECKS!$B$2:$B$1201,$A447))</f>
        <v/>
      </c>
      <c r="L447" s="19" t="str">
        <f aca="false">IF(OR($A447="",INDEX(_LEITURA!$Q$2:$Q$21,2)=0),"",SUMIFS(DECKS!$D$2:$D$1201,DECKS!$A$2:$A$1201,INDEX(_LEITURA!$P$2:$P$21,2),DECKS!$B$2:$B$1201,$A447))</f>
        <v/>
      </c>
      <c r="M447" s="19" t="str">
        <f aca="false">IF(OR($A447="",INDEX(_LEITURA!$Q$2:$Q$21,3)=0),"",SUMIFS(DECKS!$D$2:$D$1201,DECKS!$A$2:$A$1201,INDEX(_LEITURA!$P$2:$P$21,3),DECKS!$B$2:$B$1201,$A447))</f>
        <v/>
      </c>
      <c r="N447" s="19" t="str">
        <f aca="false">IF(OR($A447="",INDEX(_LEITURA!$Q$2:$Q$21,4)=0),"",SUMIFS(DECKS!$D$2:$D$1201,DECKS!$A$2:$A$1201,INDEX(_LEITURA!$P$2:$P$21,4),DECKS!$B$2:$B$1201,$A447))</f>
        <v/>
      </c>
      <c r="O447" s="19" t="str">
        <f aca="false">IF(OR($A447="",INDEX(_LEITURA!$Q$2:$Q$21,5)=0),"",SUMIFS(DECKS!$D$2:$D$1201,DECKS!$A$2:$A$1201,INDEX(_LEITURA!$P$2:$P$21,5),DECKS!$B$2:$B$1201,$A447))</f>
        <v/>
      </c>
      <c r="P447" s="19" t="str">
        <f aca="false">IF(OR($A447="",INDEX(_LEITURA!$Q$2:$Q$21,6)=0),"",SUMIFS(DECKS!$D$2:$D$1201,DECKS!$A$2:$A$1201,INDEX(_LEITURA!$P$2:$P$21,6),DECKS!$B$2:$B$1201,$A447))</f>
        <v/>
      </c>
      <c r="Q447" s="19" t="str">
        <f aca="false">IF(OR($A447="",INDEX(_LEITURA!$Q$2:$Q$21,7)=0),"",SUMIFS(DECKS!$D$2:$D$1201,DECKS!$A$2:$A$1201,INDEX(_LEITURA!$P$2:$P$21,7),DECKS!$B$2:$B$1201,$A447))</f>
        <v/>
      </c>
      <c r="R447" s="19" t="str">
        <f aca="false">IF(OR($A447="",INDEX(_LEITURA!$Q$2:$Q$21,8)=0),"",SUMIFS(DECKS!$D$2:$D$1201,DECKS!$A$2:$A$1201,INDEX(_LEITURA!$P$2:$P$21,8),DECKS!$B$2:$B$1201,$A447))</f>
        <v/>
      </c>
      <c r="S447" s="19" t="str">
        <f aca="false">IF(OR($A447="",INDEX(_LEITURA!$Q$2:$Q$21,9)=0),"",SUMIFS(DECKS!$D$2:$D$1201,DECKS!$A$2:$A$1201,INDEX(_LEITURA!$P$2:$P$21,9),DECKS!$B$2:$B$1201,$A447))</f>
        <v/>
      </c>
      <c r="T447" s="19" t="str">
        <f aca="false">IF(OR($A447="",INDEX(_LEITURA!$Q$2:$Q$21,10)=0),"",SUMIFS(DECKS!$D$2:$D$1201,DECKS!$A$2:$A$1201,INDEX(_LEITURA!$P$2:$P$21,10),DECKS!$B$2:$B$1201,$A447))</f>
        <v/>
      </c>
      <c r="U447" s="19" t="str">
        <f aca="false">IF(OR($A447="",INDEX(_LEITURA!$Q$2:$Q$21,11)=0),"",SUMIFS(DECKS!$D$2:$D$1201,DECKS!$A$2:$A$1201,INDEX(_LEITURA!$P$2:$P$21,11),DECKS!$B$2:$B$1201,$A447))</f>
        <v/>
      </c>
      <c r="V447" s="19" t="str">
        <f aca="false">IF(OR($A447="",INDEX(_LEITURA!$Q$2:$Q$21,12)=0),"",SUMIFS(DECKS!$D$2:$D$1201,DECKS!$A$2:$A$1201,INDEX(_LEITURA!$P$2:$P$21,12),DECKS!$B$2:$B$1201,$A447))</f>
        <v/>
      </c>
      <c r="W447" s="19" t="str">
        <f aca="false">IF(OR($A447="",INDEX(_LEITURA!$Q$2:$Q$21,13)=0),"",SUMIFS(DECKS!$D$2:$D$1201,DECKS!$A$2:$A$1201,INDEX(_LEITURA!$P$2:$P$21,13),DECKS!$B$2:$B$1201,$A447))</f>
        <v/>
      </c>
      <c r="X447" s="19" t="str">
        <f aca="false">IF(OR($A447="",INDEX(_LEITURA!$Q$2:$Q$21,14)=0),"",SUMIFS(DECKS!$D$2:$D$1201,DECKS!$A$2:$A$1201,INDEX(_LEITURA!$P$2:$P$21,14),DECKS!$B$2:$B$1201,$A447))</f>
        <v/>
      </c>
      <c r="Y447" s="19" t="str">
        <f aca="false">IF(OR($A447="",INDEX(_LEITURA!$Q$2:$Q$21,15)=0),"",SUMIFS(DECKS!$D$2:$D$1201,DECKS!$A$2:$A$1201,INDEX(_LEITURA!$P$2:$P$21,15),DECKS!$B$2:$B$1201,$A447))</f>
        <v/>
      </c>
      <c r="Z447" s="19" t="str">
        <f aca="false">IF(OR($A447="",INDEX(_LEITURA!$Q$2:$Q$21,16)=0),"",SUMIFS(DECKS!$D$2:$D$1201,DECKS!$A$2:$A$1201,INDEX(_LEITURA!$P$2:$P$21,16),DECKS!$B$2:$B$1201,$A447))</f>
        <v/>
      </c>
      <c r="AA447" s="19" t="str">
        <f aca="false">IF(OR($A447="",INDEX(_LEITURA!$Q$2:$Q$21,17)=0),"",SUMIFS(DECKS!$D$2:$D$1201,DECKS!$A$2:$A$1201,INDEX(_LEITURA!$P$2:$P$21,17),DECKS!$B$2:$B$1201,$A447))</f>
        <v/>
      </c>
      <c r="AB447" s="19" t="str">
        <f aca="false">IF(OR($A447="",INDEX(_LEITURA!$Q$2:$Q$21,18)=0),"",SUMIFS(DECKS!$D$2:$D$1201,DECKS!$A$2:$A$1201,INDEX(_LEITURA!$P$2:$P$21,18),DECKS!$B$2:$B$1201,$A447))</f>
        <v/>
      </c>
      <c r="AC447" s="19" t="str">
        <f aca="false">IF(OR($A447="",INDEX(_LEITURA!$Q$2:$Q$21,19)=0),"",SUMIFS(DECKS!$D$2:$D$1201,DECKS!$A$2:$A$1201,INDEX(_LEITURA!$P$2:$P$21,19),DECKS!$B$2:$B$1201,$A447))</f>
        <v/>
      </c>
      <c r="AD447" s="19" t="str">
        <f aca="false">IF(OR($A447="",INDEX(_LEITURA!$Q$2:$Q$21,20)=0),"",SUMIFS(DECKS!$D$2:$D$1201,DECKS!$A$2:$A$1201,INDEX(_LEITURA!$P$2:$P$21,20),DECKS!$B$2:$B$1201,$A447))</f>
        <v/>
      </c>
      <c r="AE447" s="16" t="str">
        <f aca="false">IF(N(E447)&gt;0,MAX(AE$1:AE446)+1,"")</f>
        <v/>
      </c>
      <c r="AF447" s="11" t="str">
        <f aca="false">IF(A447="","",IFERROR(LEFT(A447,FIND("-",A447)-1),A447))</f>
        <v/>
      </c>
      <c r="AG447" s="11" t="str">
        <f aca="false">IF(AF447="","",IF(ISNUMBER(--MID(AF447,1,1)),0,IF(ISNUMBER(--MID(AF447,2,1)),1,IF(ISNUMBER(--MID(AF447,3,1)),2,IF(ISNUMBER(--MID(AF447,4,1)),3,MIN(LEN(AF447),4))))))</f>
        <v/>
      </c>
      <c r="AH447" s="11" t="str">
        <f aca="false">IF(A447="","",LEFT(AF447,AG447)&amp;REPT("0",4-AG447)&amp;RIGHT("000"&amp;IFERROR(VALUE(MID(AF447,AG447+1,9)),0),3)&amp;RIGHT("0000"&amp;IFERROR(VALUE(MID(A447,FIND("-",A447)+1,9)),0),4))</f>
        <v/>
      </c>
      <c r="AI447" s="11" t="str">
        <f aca="false">IF(OR(A447="",N(E447)&lt;=0),"",IF('FALTAS GERAL'!$M$1="Código","K"&amp;AH447&amp;RIGHT("00000"&amp;ROW(),5),IF('FALTAS GERAL'!$M$1="Nome","K"&amp;UPPER(SUBSTITUTE(SUBSTITUTE(SUBSTITUTE(B447,"*",""),"?",""),"~",""))&amp;"0"&amp;AH447&amp;RIGHT("00000"&amp;ROW(),5),IF('FALTAS GERAL'!$M$1="Falta (maior primeiro)","K"&amp;RIGHT("0000"&amp;(9999-E447),4)&amp;AH447&amp;RIGHT("00000"&amp;ROW(),5),IF('FALTAS GERAL'!$M$1="Nº de decks (maior primeiro)","K"&amp;RIGHT("00"&amp;(99-N(G447)),2)&amp;AH447&amp;RIGHT("00000"&amp;ROW(),5),"K"&amp;RIGHT("00000"&amp;ROW(),5))))))</f>
        <v/>
      </c>
      <c r="AJ447" s="11" t="str">
        <f aca="false">IF(AI447="","",COUNTIFS($AI$2:$AI$801,"&lt;"&amp;AI447,$E$2:$E$801,"&gt;0")+1)</f>
        <v/>
      </c>
      <c r="AK447" s="11" t="str">
        <f aca="false">IF(OR(A447="",N(E447)&lt;=0),"",COUNTIFS($AH$2:$AH$801,"&lt;"&amp;AH447,$E$2:$E$801,"&gt;0")+COUNTIFS($AH$2:AH447,AH447,$E$2:E447,"&gt;0"))</f>
        <v/>
      </c>
    </row>
    <row r="448" customFormat="false" ht="15" hidden="false" customHeight="false" outlineLevel="0" collapsed="false">
      <c r="A448" s="11" t="str">
        <f aca="false">IF(INVENTÁRIO!A448="","",INVENTÁRIO!A448)</f>
        <v/>
      </c>
      <c r="B448" s="11" t="str">
        <f aca="false">IF(A448="","",INVENTÁRIO!B448)</f>
        <v/>
      </c>
      <c r="C448" s="16" t="str">
        <f aca="false">IF(A448="","",INVENTÁRIO!C448)</f>
        <v/>
      </c>
      <c r="D448" s="14" t="str">
        <f aca="false">IF(A448="","",MAX(K448:AD448))</f>
        <v/>
      </c>
      <c r="E448" s="14" t="str">
        <f aca="false">IF(A448="","",MAX(0,D448-C448))</f>
        <v/>
      </c>
      <c r="F448" s="16" t="str">
        <f aca="false">IF(A448="","",IF(D448=0,"Fora dos decks",IF(E448=0,"Completo","Falta")))</f>
        <v/>
      </c>
      <c r="G448" s="16" t="str">
        <f aca="false">IF(A448="","",COUNTIF(K448:AD448,"&gt;0"))</f>
        <v/>
      </c>
      <c r="H448" s="16" t="str">
        <f aca="false">IF(A448="","",IF(G448&gt;1,"Sim",""))</f>
        <v/>
      </c>
      <c r="I448" s="18" t="str">
        <f aca="false">IF(A448="","",SUMIFS(DECKS!$D$2:$D$1201,DECKS!$B$2:$B$1201,A448))</f>
        <v/>
      </c>
      <c r="J448" s="18" t="str">
        <f aca="false">IF(A448="","",MAX(0,I448-C448))</f>
        <v/>
      </c>
      <c r="K448" s="19" t="str">
        <f aca="false">IF(OR($A448="",INDEX(_LEITURA!$Q$2:$Q$21,1)=0),"",SUMIFS(DECKS!$D$2:$D$1201,DECKS!$A$2:$A$1201,INDEX(_LEITURA!$P$2:$P$21,1),DECKS!$B$2:$B$1201,$A448))</f>
        <v/>
      </c>
      <c r="L448" s="19" t="str">
        <f aca="false">IF(OR($A448="",INDEX(_LEITURA!$Q$2:$Q$21,2)=0),"",SUMIFS(DECKS!$D$2:$D$1201,DECKS!$A$2:$A$1201,INDEX(_LEITURA!$P$2:$P$21,2),DECKS!$B$2:$B$1201,$A448))</f>
        <v/>
      </c>
      <c r="M448" s="19" t="str">
        <f aca="false">IF(OR($A448="",INDEX(_LEITURA!$Q$2:$Q$21,3)=0),"",SUMIFS(DECKS!$D$2:$D$1201,DECKS!$A$2:$A$1201,INDEX(_LEITURA!$P$2:$P$21,3),DECKS!$B$2:$B$1201,$A448))</f>
        <v/>
      </c>
      <c r="N448" s="19" t="str">
        <f aca="false">IF(OR($A448="",INDEX(_LEITURA!$Q$2:$Q$21,4)=0),"",SUMIFS(DECKS!$D$2:$D$1201,DECKS!$A$2:$A$1201,INDEX(_LEITURA!$P$2:$P$21,4),DECKS!$B$2:$B$1201,$A448))</f>
        <v/>
      </c>
      <c r="O448" s="19" t="str">
        <f aca="false">IF(OR($A448="",INDEX(_LEITURA!$Q$2:$Q$21,5)=0),"",SUMIFS(DECKS!$D$2:$D$1201,DECKS!$A$2:$A$1201,INDEX(_LEITURA!$P$2:$P$21,5),DECKS!$B$2:$B$1201,$A448))</f>
        <v/>
      </c>
      <c r="P448" s="19" t="str">
        <f aca="false">IF(OR($A448="",INDEX(_LEITURA!$Q$2:$Q$21,6)=0),"",SUMIFS(DECKS!$D$2:$D$1201,DECKS!$A$2:$A$1201,INDEX(_LEITURA!$P$2:$P$21,6),DECKS!$B$2:$B$1201,$A448))</f>
        <v/>
      </c>
      <c r="Q448" s="19" t="str">
        <f aca="false">IF(OR($A448="",INDEX(_LEITURA!$Q$2:$Q$21,7)=0),"",SUMIFS(DECKS!$D$2:$D$1201,DECKS!$A$2:$A$1201,INDEX(_LEITURA!$P$2:$P$21,7),DECKS!$B$2:$B$1201,$A448))</f>
        <v/>
      </c>
      <c r="R448" s="19" t="str">
        <f aca="false">IF(OR($A448="",INDEX(_LEITURA!$Q$2:$Q$21,8)=0),"",SUMIFS(DECKS!$D$2:$D$1201,DECKS!$A$2:$A$1201,INDEX(_LEITURA!$P$2:$P$21,8),DECKS!$B$2:$B$1201,$A448))</f>
        <v/>
      </c>
      <c r="S448" s="19" t="str">
        <f aca="false">IF(OR($A448="",INDEX(_LEITURA!$Q$2:$Q$21,9)=0),"",SUMIFS(DECKS!$D$2:$D$1201,DECKS!$A$2:$A$1201,INDEX(_LEITURA!$P$2:$P$21,9),DECKS!$B$2:$B$1201,$A448))</f>
        <v/>
      </c>
      <c r="T448" s="19" t="str">
        <f aca="false">IF(OR($A448="",INDEX(_LEITURA!$Q$2:$Q$21,10)=0),"",SUMIFS(DECKS!$D$2:$D$1201,DECKS!$A$2:$A$1201,INDEX(_LEITURA!$P$2:$P$21,10),DECKS!$B$2:$B$1201,$A448))</f>
        <v/>
      </c>
      <c r="U448" s="19" t="str">
        <f aca="false">IF(OR($A448="",INDEX(_LEITURA!$Q$2:$Q$21,11)=0),"",SUMIFS(DECKS!$D$2:$D$1201,DECKS!$A$2:$A$1201,INDEX(_LEITURA!$P$2:$P$21,11),DECKS!$B$2:$B$1201,$A448))</f>
        <v/>
      </c>
      <c r="V448" s="19" t="str">
        <f aca="false">IF(OR($A448="",INDEX(_LEITURA!$Q$2:$Q$21,12)=0),"",SUMIFS(DECKS!$D$2:$D$1201,DECKS!$A$2:$A$1201,INDEX(_LEITURA!$P$2:$P$21,12),DECKS!$B$2:$B$1201,$A448))</f>
        <v/>
      </c>
      <c r="W448" s="19" t="str">
        <f aca="false">IF(OR($A448="",INDEX(_LEITURA!$Q$2:$Q$21,13)=0),"",SUMIFS(DECKS!$D$2:$D$1201,DECKS!$A$2:$A$1201,INDEX(_LEITURA!$P$2:$P$21,13),DECKS!$B$2:$B$1201,$A448))</f>
        <v/>
      </c>
      <c r="X448" s="19" t="str">
        <f aca="false">IF(OR($A448="",INDEX(_LEITURA!$Q$2:$Q$21,14)=0),"",SUMIFS(DECKS!$D$2:$D$1201,DECKS!$A$2:$A$1201,INDEX(_LEITURA!$P$2:$P$21,14),DECKS!$B$2:$B$1201,$A448))</f>
        <v/>
      </c>
      <c r="Y448" s="19" t="str">
        <f aca="false">IF(OR($A448="",INDEX(_LEITURA!$Q$2:$Q$21,15)=0),"",SUMIFS(DECKS!$D$2:$D$1201,DECKS!$A$2:$A$1201,INDEX(_LEITURA!$P$2:$P$21,15),DECKS!$B$2:$B$1201,$A448))</f>
        <v/>
      </c>
      <c r="Z448" s="19" t="str">
        <f aca="false">IF(OR($A448="",INDEX(_LEITURA!$Q$2:$Q$21,16)=0),"",SUMIFS(DECKS!$D$2:$D$1201,DECKS!$A$2:$A$1201,INDEX(_LEITURA!$P$2:$P$21,16),DECKS!$B$2:$B$1201,$A448))</f>
        <v/>
      </c>
      <c r="AA448" s="19" t="str">
        <f aca="false">IF(OR($A448="",INDEX(_LEITURA!$Q$2:$Q$21,17)=0),"",SUMIFS(DECKS!$D$2:$D$1201,DECKS!$A$2:$A$1201,INDEX(_LEITURA!$P$2:$P$21,17),DECKS!$B$2:$B$1201,$A448))</f>
        <v/>
      </c>
      <c r="AB448" s="19" t="str">
        <f aca="false">IF(OR($A448="",INDEX(_LEITURA!$Q$2:$Q$21,18)=0),"",SUMIFS(DECKS!$D$2:$D$1201,DECKS!$A$2:$A$1201,INDEX(_LEITURA!$P$2:$P$21,18),DECKS!$B$2:$B$1201,$A448))</f>
        <v/>
      </c>
      <c r="AC448" s="19" t="str">
        <f aca="false">IF(OR($A448="",INDEX(_LEITURA!$Q$2:$Q$21,19)=0),"",SUMIFS(DECKS!$D$2:$D$1201,DECKS!$A$2:$A$1201,INDEX(_LEITURA!$P$2:$P$21,19),DECKS!$B$2:$B$1201,$A448))</f>
        <v/>
      </c>
      <c r="AD448" s="19" t="str">
        <f aca="false">IF(OR($A448="",INDEX(_LEITURA!$Q$2:$Q$21,20)=0),"",SUMIFS(DECKS!$D$2:$D$1201,DECKS!$A$2:$A$1201,INDEX(_LEITURA!$P$2:$P$21,20),DECKS!$B$2:$B$1201,$A448))</f>
        <v/>
      </c>
      <c r="AE448" s="16" t="str">
        <f aca="false">IF(N(E448)&gt;0,MAX(AE$1:AE447)+1,"")</f>
        <v/>
      </c>
      <c r="AF448" s="11" t="str">
        <f aca="false">IF(A448="","",IFERROR(LEFT(A448,FIND("-",A448)-1),A448))</f>
        <v/>
      </c>
      <c r="AG448" s="11" t="str">
        <f aca="false">IF(AF448="","",IF(ISNUMBER(--MID(AF448,1,1)),0,IF(ISNUMBER(--MID(AF448,2,1)),1,IF(ISNUMBER(--MID(AF448,3,1)),2,IF(ISNUMBER(--MID(AF448,4,1)),3,MIN(LEN(AF448),4))))))</f>
        <v/>
      </c>
      <c r="AH448" s="11" t="str">
        <f aca="false">IF(A448="","",LEFT(AF448,AG448)&amp;REPT("0",4-AG448)&amp;RIGHT("000"&amp;IFERROR(VALUE(MID(AF448,AG448+1,9)),0),3)&amp;RIGHT("0000"&amp;IFERROR(VALUE(MID(A448,FIND("-",A448)+1,9)),0),4))</f>
        <v/>
      </c>
      <c r="AI448" s="11" t="str">
        <f aca="false">IF(OR(A448="",N(E448)&lt;=0),"",IF('FALTAS GERAL'!$M$1="Código","K"&amp;AH448&amp;RIGHT("00000"&amp;ROW(),5),IF('FALTAS GERAL'!$M$1="Nome","K"&amp;UPPER(SUBSTITUTE(SUBSTITUTE(SUBSTITUTE(B448,"*",""),"?",""),"~",""))&amp;"0"&amp;AH448&amp;RIGHT("00000"&amp;ROW(),5),IF('FALTAS GERAL'!$M$1="Falta (maior primeiro)","K"&amp;RIGHT("0000"&amp;(9999-E448),4)&amp;AH448&amp;RIGHT("00000"&amp;ROW(),5),IF('FALTAS GERAL'!$M$1="Nº de decks (maior primeiro)","K"&amp;RIGHT("00"&amp;(99-N(G448)),2)&amp;AH448&amp;RIGHT("00000"&amp;ROW(),5),"K"&amp;RIGHT("00000"&amp;ROW(),5))))))</f>
        <v/>
      </c>
      <c r="AJ448" s="11" t="str">
        <f aca="false">IF(AI448="","",COUNTIFS($AI$2:$AI$801,"&lt;"&amp;AI448,$E$2:$E$801,"&gt;0")+1)</f>
        <v/>
      </c>
      <c r="AK448" s="11" t="str">
        <f aca="false">IF(OR(A448="",N(E448)&lt;=0),"",COUNTIFS($AH$2:$AH$801,"&lt;"&amp;AH448,$E$2:$E$801,"&gt;0")+COUNTIFS($AH$2:AH448,AH448,$E$2:E448,"&gt;0"))</f>
        <v/>
      </c>
    </row>
    <row r="449" customFormat="false" ht="15" hidden="false" customHeight="false" outlineLevel="0" collapsed="false">
      <c r="A449" s="11" t="str">
        <f aca="false">IF(INVENTÁRIO!A449="","",INVENTÁRIO!A449)</f>
        <v/>
      </c>
      <c r="B449" s="11" t="str">
        <f aca="false">IF(A449="","",INVENTÁRIO!B449)</f>
        <v/>
      </c>
      <c r="C449" s="16" t="str">
        <f aca="false">IF(A449="","",INVENTÁRIO!C449)</f>
        <v/>
      </c>
      <c r="D449" s="14" t="str">
        <f aca="false">IF(A449="","",MAX(K449:AD449))</f>
        <v/>
      </c>
      <c r="E449" s="14" t="str">
        <f aca="false">IF(A449="","",MAX(0,D449-C449))</f>
        <v/>
      </c>
      <c r="F449" s="16" t="str">
        <f aca="false">IF(A449="","",IF(D449=0,"Fora dos decks",IF(E449=0,"Completo","Falta")))</f>
        <v/>
      </c>
      <c r="G449" s="16" t="str">
        <f aca="false">IF(A449="","",COUNTIF(K449:AD449,"&gt;0"))</f>
        <v/>
      </c>
      <c r="H449" s="16" t="str">
        <f aca="false">IF(A449="","",IF(G449&gt;1,"Sim",""))</f>
        <v/>
      </c>
      <c r="I449" s="18" t="str">
        <f aca="false">IF(A449="","",SUMIFS(DECKS!$D$2:$D$1201,DECKS!$B$2:$B$1201,A449))</f>
        <v/>
      </c>
      <c r="J449" s="18" t="str">
        <f aca="false">IF(A449="","",MAX(0,I449-C449))</f>
        <v/>
      </c>
      <c r="K449" s="19" t="str">
        <f aca="false">IF(OR($A449="",INDEX(_LEITURA!$Q$2:$Q$21,1)=0),"",SUMIFS(DECKS!$D$2:$D$1201,DECKS!$A$2:$A$1201,INDEX(_LEITURA!$P$2:$P$21,1),DECKS!$B$2:$B$1201,$A449))</f>
        <v/>
      </c>
      <c r="L449" s="19" t="str">
        <f aca="false">IF(OR($A449="",INDEX(_LEITURA!$Q$2:$Q$21,2)=0),"",SUMIFS(DECKS!$D$2:$D$1201,DECKS!$A$2:$A$1201,INDEX(_LEITURA!$P$2:$P$21,2),DECKS!$B$2:$B$1201,$A449))</f>
        <v/>
      </c>
      <c r="M449" s="19" t="str">
        <f aca="false">IF(OR($A449="",INDEX(_LEITURA!$Q$2:$Q$21,3)=0),"",SUMIFS(DECKS!$D$2:$D$1201,DECKS!$A$2:$A$1201,INDEX(_LEITURA!$P$2:$P$21,3),DECKS!$B$2:$B$1201,$A449))</f>
        <v/>
      </c>
      <c r="N449" s="19" t="str">
        <f aca="false">IF(OR($A449="",INDEX(_LEITURA!$Q$2:$Q$21,4)=0),"",SUMIFS(DECKS!$D$2:$D$1201,DECKS!$A$2:$A$1201,INDEX(_LEITURA!$P$2:$P$21,4),DECKS!$B$2:$B$1201,$A449))</f>
        <v/>
      </c>
      <c r="O449" s="19" t="str">
        <f aca="false">IF(OR($A449="",INDEX(_LEITURA!$Q$2:$Q$21,5)=0),"",SUMIFS(DECKS!$D$2:$D$1201,DECKS!$A$2:$A$1201,INDEX(_LEITURA!$P$2:$P$21,5),DECKS!$B$2:$B$1201,$A449))</f>
        <v/>
      </c>
      <c r="P449" s="19" t="str">
        <f aca="false">IF(OR($A449="",INDEX(_LEITURA!$Q$2:$Q$21,6)=0),"",SUMIFS(DECKS!$D$2:$D$1201,DECKS!$A$2:$A$1201,INDEX(_LEITURA!$P$2:$P$21,6),DECKS!$B$2:$B$1201,$A449))</f>
        <v/>
      </c>
      <c r="Q449" s="19" t="str">
        <f aca="false">IF(OR($A449="",INDEX(_LEITURA!$Q$2:$Q$21,7)=0),"",SUMIFS(DECKS!$D$2:$D$1201,DECKS!$A$2:$A$1201,INDEX(_LEITURA!$P$2:$P$21,7),DECKS!$B$2:$B$1201,$A449))</f>
        <v/>
      </c>
      <c r="R449" s="19" t="str">
        <f aca="false">IF(OR($A449="",INDEX(_LEITURA!$Q$2:$Q$21,8)=0),"",SUMIFS(DECKS!$D$2:$D$1201,DECKS!$A$2:$A$1201,INDEX(_LEITURA!$P$2:$P$21,8),DECKS!$B$2:$B$1201,$A449))</f>
        <v/>
      </c>
      <c r="S449" s="19" t="str">
        <f aca="false">IF(OR($A449="",INDEX(_LEITURA!$Q$2:$Q$21,9)=0),"",SUMIFS(DECKS!$D$2:$D$1201,DECKS!$A$2:$A$1201,INDEX(_LEITURA!$P$2:$P$21,9),DECKS!$B$2:$B$1201,$A449))</f>
        <v/>
      </c>
      <c r="T449" s="19" t="str">
        <f aca="false">IF(OR($A449="",INDEX(_LEITURA!$Q$2:$Q$21,10)=0),"",SUMIFS(DECKS!$D$2:$D$1201,DECKS!$A$2:$A$1201,INDEX(_LEITURA!$P$2:$P$21,10),DECKS!$B$2:$B$1201,$A449))</f>
        <v/>
      </c>
      <c r="U449" s="19" t="str">
        <f aca="false">IF(OR($A449="",INDEX(_LEITURA!$Q$2:$Q$21,11)=0),"",SUMIFS(DECKS!$D$2:$D$1201,DECKS!$A$2:$A$1201,INDEX(_LEITURA!$P$2:$P$21,11),DECKS!$B$2:$B$1201,$A449))</f>
        <v/>
      </c>
      <c r="V449" s="19" t="str">
        <f aca="false">IF(OR($A449="",INDEX(_LEITURA!$Q$2:$Q$21,12)=0),"",SUMIFS(DECKS!$D$2:$D$1201,DECKS!$A$2:$A$1201,INDEX(_LEITURA!$P$2:$P$21,12),DECKS!$B$2:$B$1201,$A449))</f>
        <v/>
      </c>
      <c r="W449" s="19" t="str">
        <f aca="false">IF(OR($A449="",INDEX(_LEITURA!$Q$2:$Q$21,13)=0),"",SUMIFS(DECKS!$D$2:$D$1201,DECKS!$A$2:$A$1201,INDEX(_LEITURA!$P$2:$P$21,13),DECKS!$B$2:$B$1201,$A449))</f>
        <v/>
      </c>
      <c r="X449" s="19" t="str">
        <f aca="false">IF(OR($A449="",INDEX(_LEITURA!$Q$2:$Q$21,14)=0),"",SUMIFS(DECKS!$D$2:$D$1201,DECKS!$A$2:$A$1201,INDEX(_LEITURA!$P$2:$P$21,14),DECKS!$B$2:$B$1201,$A449))</f>
        <v/>
      </c>
      <c r="Y449" s="19" t="str">
        <f aca="false">IF(OR($A449="",INDEX(_LEITURA!$Q$2:$Q$21,15)=0),"",SUMIFS(DECKS!$D$2:$D$1201,DECKS!$A$2:$A$1201,INDEX(_LEITURA!$P$2:$P$21,15),DECKS!$B$2:$B$1201,$A449))</f>
        <v/>
      </c>
      <c r="Z449" s="19" t="str">
        <f aca="false">IF(OR($A449="",INDEX(_LEITURA!$Q$2:$Q$21,16)=0),"",SUMIFS(DECKS!$D$2:$D$1201,DECKS!$A$2:$A$1201,INDEX(_LEITURA!$P$2:$P$21,16),DECKS!$B$2:$B$1201,$A449))</f>
        <v/>
      </c>
      <c r="AA449" s="19" t="str">
        <f aca="false">IF(OR($A449="",INDEX(_LEITURA!$Q$2:$Q$21,17)=0),"",SUMIFS(DECKS!$D$2:$D$1201,DECKS!$A$2:$A$1201,INDEX(_LEITURA!$P$2:$P$21,17),DECKS!$B$2:$B$1201,$A449))</f>
        <v/>
      </c>
      <c r="AB449" s="19" t="str">
        <f aca="false">IF(OR($A449="",INDEX(_LEITURA!$Q$2:$Q$21,18)=0),"",SUMIFS(DECKS!$D$2:$D$1201,DECKS!$A$2:$A$1201,INDEX(_LEITURA!$P$2:$P$21,18),DECKS!$B$2:$B$1201,$A449))</f>
        <v/>
      </c>
      <c r="AC449" s="19" t="str">
        <f aca="false">IF(OR($A449="",INDEX(_LEITURA!$Q$2:$Q$21,19)=0),"",SUMIFS(DECKS!$D$2:$D$1201,DECKS!$A$2:$A$1201,INDEX(_LEITURA!$P$2:$P$21,19),DECKS!$B$2:$B$1201,$A449))</f>
        <v/>
      </c>
      <c r="AD449" s="19" t="str">
        <f aca="false">IF(OR($A449="",INDEX(_LEITURA!$Q$2:$Q$21,20)=0),"",SUMIFS(DECKS!$D$2:$D$1201,DECKS!$A$2:$A$1201,INDEX(_LEITURA!$P$2:$P$21,20),DECKS!$B$2:$B$1201,$A449))</f>
        <v/>
      </c>
      <c r="AE449" s="16" t="str">
        <f aca="false">IF(N(E449)&gt;0,MAX(AE$1:AE448)+1,"")</f>
        <v/>
      </c>
      <c r="AF449" s="11" t="str">
        <f aca="false">IF(A449="","",IFERROR(LEFT(A449,FIND("-",A449)-1),A449))</f>
        <v/>
      </c>
      <c r="AG449" s="11" t="str">
        <f aca="false">IF(AF449="","",IF(ISNUMBER(--MID(AF449,1,1)),0,IF(ISNUMBER(--MID(AF449,2,1)),1,IF(ISNUMBER(--MID(AF449,3,1)),2,IF(ISNUMBER(--MID(AF449,4,1)),3,MIN(LEN(AF449),4))))))</f>
        <v/>
      </c>
      <c r="AH449" s="11" t="str">
        <f aca="false">IF(A449="","",LEFT(AF449,AG449)&amp;REPT("0",4-AG449)&amp;RIGHT("000"&amp;IFERROR(VALUE(MID(AF449,AG449+1,9)),0),3)&amp;RIGHT("0000"&amp;IFERROR(VALUE(MID(A449,FIND("-",A449)+1,9)),0),4))</f>
        <v/>
      </c>
      <c r="AI449" s="11" t="str">
        <f aca="false">IF(OR(A449="",N(E449)&lt;=0),"",IF('FALTAS GERAL'!$M$1="Código","K"&amp;AH449&amp;RIGHT("00000"&amp;ROW(),5),IF('FALTAS GERAL'!$M$1="Nome","K"&amp;UPPER(SUBSTITUTE(SUBSTITUTE(SUBSTITUTE(B449,"*",""),"?",""),"~",""))&amp;"0"&amp;AH449&amp;RIGHT("00000"&amp;ROW(),5),IF('FALTAS GERAL'!$M$1="Falta (maior primeiro)","K"&amp;RIGHT("0000"&amp;(9999-E449),4)&amp;AH449&amp;RIGHT("00000"&amp;ROW(),5),IF('FALTAS GERAL'!$M$1="Nº de decks (maior primeiro)","K"&amp;RIGHT("00"&amp;(99-N(G449)),2)&amp;AH449&amp;RIGHT("00000"&amp;ROW(),5),"K"&amp;RIGHT("00000"&amp;ROW(),5))))))</f>
        <v/>
      </c>
      <c r="AJ449" s="11" t="str">
        <f aca="false">IF(AI449="","",COUNTIFS($AI$2:$AI$801,"&lt;"&amp;AI449,$E$2:$E$801,"&gt;0")+1)</f>
        <v/>
      </c>
      <c r="AK449" s="11" t="str">
        <f aca="false">IF(OR(A449="",N(E449)&lt;=0),"",COUNTIFS($AH$2:$AH$801,"&lt;"&amp;AH449,$E$2:$E$801,"&gt;0")+COUNTIFS($AH$2:AH449,AH449,$E$2:E449,"&gt;0"))</f>
        <v/>
      </c>
    </row>
    <row r="450" customFormat="false" ht="15" hidden="false" customHeight="false" outlineLevel="0" collapsed="false">
      <c r="A450" s="11" t="str">
        <f aca="false">IF(INVENTÁRIO!A450="","",INVENTÁRIO!A450)</f>
        <v/>
      </c>
      <c r="B450" s="11" t="str">
        <f aca="false">IF(A450="","",INVENTÁRIO!B450)</f>
        <v/>
      </c>
      <c r="C450" s="16" t="str">
        <f aca="false">IF(A450="","",INVENTÁRIO!C450)</f>
        <v/>
      </c>
      <c r="D450" s="14" t="str">
        <f aca="false">IF(A450="","",MAX(K450:AD450))</f>
        <v/>
      </c>
      <c r="E450" s="14" t="str">
        <f aca="false">IF(A450="","",MAX(0,D450-C450))</f>
        <v/>
      </c>
      <c r="F450" s="16" t="str">
        <f aca="false">IF(A450="","",IF(D450=0,"Fora dos decks",IF(E450=0,"Completo","Falta")))</f>
        <v/>
      </c>
      <c r="G450" s="16" t="str">
        <f aca="false">IF(A450="","",COUNTIF(K450:AD450,"&gt;0"))</f>
        <v/>
      </c>
      <c r="H450" s="16" t="str">
        <f aca="false">IF(A450="","",IF(G450&gt;1,"Sim",""))</f>
        <v/>
      </c>
      <c r="I450" s="18" t="str">
        <f aca="false">IF(A450="","",SUMIFS(DECKS!$D$2:$D$1201,DECKS!$B$2:$B$1201,A450))</f>
        <v/>
      </c>
      <c r="J450" s="18" t="str">
        <f aca="false">IF(A450="","",MAX(0,I450-C450))</f>
        <v/>
      </c>
      <c r="K450" s="19" t="str">
        <f aca="false">IF(OR($A450="",INDEX(_LEITURA!$Q$2:$Q$21,1)=0),"",SUMIFS(DECKS!$D$2:$D$1201,DECKS!$A$2:$A$1201,INDEX(_LEITURA!$P$2:$P$21,1),DECKS!$B$2:$B$1201,$A450))</f>
        <v/>
      </c>
      <c r="L450" s="19" t="str">
        <f aca="false">IF(OR($A450="",INDEX(_LEITURA!$Q$2:$Q$21,2)=0),"",SUMIFS(DECKS!$D$2:$D$1201,DECKS!$A$2:$A$1201,INDEX(_LEITURA!$P$2:$P$21,2),DECKS!$B$2:$B$1201,$A450))</f>
        <v/>
      </c>
      <c r="M450" s="19" t="str">
        <f aca="false">IF(OR($A450="",INDEX(_LEITURA!$Q$2:$Q$21,3)=0),"",SUMIFS(DECKS!$D$2:$D$1201,DECKS!$A$2:$A$1201,INDEX(_LEITURA!$P$2:$P$21,3),DECKS!$B$2:$B$1201,$A450))</f>
        <v/>
      </c>
      <c r="N450" s="19" t="str">
        <f aca="false">IF(OR($A450="",INDEX(_LEITURA!$Q$2:$Q$21,4)=0),"",SUMIFS(DECKS!$D$2:$D$1201,DECKS!$A$2:$A$1201,INDEX(_LEITURA!$P$2:$P$21,4),DECKS!$B$2:$B$1201,$A450))</f>
        <v/>
      </c>
      <c r="O450" s="19" t="str">
        <f aca="false">IF(OR($A450="",INDEX(_LEITURA!$Q$2:$Q$21,5)=0),"",SUMIFS(DECKS!$D$2:$D$1201,DECKS!$A$2:$A$1201,INDEX(_LEITURA!$P$2:$P$21,5),DECKS!$B$2:$B$1201,$A450))</f>
        <v/>
      </c>
      <c r="P450" s="19" t="str">
        <f aca="false">IF(OR($A450="",INDEX(_LEITURA!$Q$2:$Q$21,6)=0),"",SUMIFS(DECKS!$D$2:$D$1201,DECKS!$A$2:$A$1201,INDEX(_LEITURA!$P$2:$P$21,6),DECKS!$B$2:$B$1201,$A450))</f>
        <v/>
      </c>
      <c r="Q450" s="19" t="str">
        <f aca="false">IF(OR($A450="",INDEX(_LEITURA!$Q$2:$Q$21,7)=0),"",SUMIFS(DECKS!$D$2:$D$1201,DECKS!$A$2:$A$1201,INDEX(_LEITURA!$P$2:$P$21,7),DECKS!$B$2:$B$1201,$A450))</f>
        <v/>
      </c>
      <c r="R450" s="19" t="str">
        <f aca="false">IF(OR($A450="",INDEX(_LEITURA!$Q$2:$Q$21,8)=0),"",SUMIFS(DECKS!$D$2:$D$1201,DECKS!$A$2:$A$1201,INDEX(_LEITURA!$P$2:$P$21,8),DECKS!$B$2:$B$1201,$A450))</f>
        <v/>
      </c>
      <c r="S450" s="19" t="str">
        <f aca="false">IF(OR($A450="",INDEX(_LEITURA!$Q$2:$Q$21,9)=0),"",SUMIFS(DECKS!$D$2:$D$1201,DECKS!$A$2:$A$1201,INDEX(_LEITURA!$P$2:$P$21,9),DECKS!$B$2:$B$1201,$A450))</f>
        <v/>
      </c>
      <c r="T450" s="19" t="str">
        <f aca="false">IF(OR($A450="",INDEX(_LEITURA!$Q$2:$Q$21,10)=0),"",SUMIFS(DECKS!$D$2:$D$1201,DECKS!$A$2:$A$1201,INDEX(_LEITURA!$P$2:$P$21,10),DECKS!$B$2:$B$1201,$A450))</f>
        <v/>
      </c>
      <c r="U450" s="19" t="str">
        <f aca="false">IF(OR($A450="",INDEX(_LEITURA!$Q$2:$Q$21,11)=0),"",SUMIFS(DECKS!$D$2:$D$1201,DECKS!$A$2:$A$1201,INDEX(_LEITURA!$P$2:$P$21,11),DECKS!$B$2:$B$1201,$A450))</f>
        <v/>
      </c>
      <c r="V450" s="19" t="str">
        <f aca="false">IF(OR($A450="",INDEX(_LEITURA!$Q$2:$Q$21,12)=0),"",SUMIFS(DECKS!$D$2:$D$1201,DECKS!$A$2:$A$1201,INDEX(_LEITURA!$P$2:$P$21,12),DECKS!$B$2:$B$1201,$A450))</f>
        <v/>
      </c>
      <c r="W450" s="19" t="str">
        <f aca="false">IF(OR($A450="",INDEX(_LEITURA!$Q$2:$Q$21,13)=0),"",SUMIFS(DECKS!$D$2:$D$1201,DECKS!$A$2:$A$1201,INDEX(_LEITURA!$P$2:$P$21,13),DECKS!$B$2:$B$1201,$A450))</f>
        <v/>
      </c>
      <c r="X450" s="19" t="str">
        <f aca="false">IF(OR($A450="",INDEX(_LEITURA!$Q$2:$Q$21,14)=0),"",SUMIFS(DECKS!$D$2:$D$1201,DECKS!$A$2:$A$1201,INDEX(_LEITURA!$P$2:$P$21,14),DECKS!$B$2:$B$1201,$A450))</f>
        <v/>
      </c>
      <c r="Y450" s="19" t="str">
        <f aca="false">IF(OR($A450="",INDEX(_LEITURA!$Q$2:$Q$21,15)=0),"",SUMIFS(DECKS!$D$2:$D$1201,DECKS!$A$2:$A$1201,INDEX(_LEITURA!$P$2:$P$21,15),DECKS!$B$2:$B$1201,$A450))</f>
        <v/>
      </c>
      <c r="Z450" s="19" t="str">
        <f aca="false">IF(OR($A450="",INDEX(_LEITURA!$Q$2:$Q$21,16)=0),"",SUMIFS(DECKS!$D$2:$D$1201,DECKS!$A$2:$A$1201,INDEX(_LEITURA!$P$2:$P$21,16),DECKS!$B$2:$B$1201,$A450))</f>
        <v/>
      </c>
      <c r="AA450" s="19" t="str">
        <f aca="false">IF(OR($A450="",INDEX(_LEITURA!$Q$2:$Q$21,17)=0),"",SUMIFS(DECKS!$D$2:$D$1201,DECKS!$A$2:$A$1201,INDEX(_LEITURA!$P$2:$P$21,17),DECKS!$B$2:$B$1201,$A450))</f>
        <v/>
      </c>
      <c r="AB450" s="19" t="str">
        <f aca="false">IF(OR($A450="",INDEX(_LEITURA!$Q$2:$Q$21,18)=0),"",SUMIFS(DECKS!$D$2:$D$1201,DECKS!$A$2:$A$1201,INDEX(_LEITURA!$P$2:$P$21,18),DECKS!$B$2:$B$1201,$A450))</f>
        <v/>
      </c>
      <c r="AC450" s="19" t="str">
        <f aca="false">IF(OR($A450="",INDEX(_LEITURA!$Q$2:$Q$21,19)=0),"",SUMIFS(DECKS!$D$2:$D$1201,DECKS!$A$2:$A$1201,INDEX(_LEITURA!$P$2:$P$21,19),DECKS!$B$2:$B$1201,$A450))</f>
        <v/>
      </c>
      <c r="AD450" s="19" t="str">
        <f aca="false">IF(OR($A450="",INDEX(_LEITURA!$Q$2:$Q$21,20)=0),"",SUMIFS(DECKS!$D$2:$D$1201,DECKS!$A$2:$A$1201,INDEX(_LEITURA!$P$2:$P$21,20),DECKS!$B$2:$B$1201,$A450))</f>
        <v/>
      </c>
      <c r="AE450" s="16" t="str">
        <f aca="false">IF(N(E450)&gt;0,MAX(AE$1:AE449)+1,"")</f>
        <v/>
      </c>
      <c r="AF450" s="11" t="str">
        <f aca="false">IF(A450="","",IFERROR(LEFT(A450,FIND("-",A450)-1),A450))</f>
        <v/>
      </c>
      <c r="AG450" s="11" t="str">
        <f aca="false">IF(AF450="","",IF(ISNUMBER(--MID(AF450,1,1)),0,IF(ISNUMBER(--MID(AF450,2,1)),1,IF(ISNUMBER(--MID(AF450,3,1)),2,IF(ISNUMBER(--MID(AF450,4,1)),3,MIN(LEN(AF450),4))))))</f>
        <v/>
      </c>
      <c r="AH450" s="11" t="str">
        <f aca="false">IF(A450="","",LEFT(AF450,AG450)&amp;REPT("0",4-AG450)&amp;RIGHT("000"&amp;IFERROR(VALUE(MID(AF450,AG450+1,9)),0),3)&amp;RIGHT("0000"&amp;IFERROR(VALUE(MID(A450,FIND("-",A450)+1,9)),0),4))</f>
        <v/>
      </c>
      <c r="AI450" s="11" t="str">
        <f aca="false">IF(OR(A450="",N(E450)&lt;=0),"",IF('FALTAS GERAL'!$M$1="Código","K"&amp;AH450&amp;RIGHT("00000"&amp;ROW(),5),IF('FALTAS GERAL'!$M$1="Nome","K"&amp;UPPER(SUBSTITUTE(SUBSTITUTE(SUBSTITUTE(B450,"*",""),"?",""),"~",""))&amp;"0"&amp;AH450&amp;RIGHT("00000"&amp;ROW(),5),IF('FALTAS GERAL'!$M$1="Falta (maior primeiro)","K"&amp;RIGHT("0000"&amp;(9999-E450),4)&amp;AH450&amp;RIGHT("00000"&amp;ROW(),5),IF('FALTAS GERAL'!$M$1="Nº de decks (maior primeiro)","K"&amp;RIGHT("00"&amp;(99-N(G450)),2)&amp;AH450&amp;RIGHT("00000"&amp;ROW(),5),"K"&amp;RIGHT("00000"&amp;ROW(),5))))))</f>
        <v/>
      </c>
      <c r="AJ450" s="11" t="str">
        <f aca="false">IF(AI450="","",COUNTIFS($AI$2:$AI$801,"&lt;"&amp;AI450,$E$2:$E$801,"&gt;0")+1)</f>
        <v/>
      </c>
      <c r="AK450" s="11" t="str">
        <f aca="false">IF(OR(A450="",N(E450)&lt;=0),"",COUNTIFS($AH$2:$AH$801,"&lt;"&amp;AH450,$E$2:$E$801,"&gt;0")+COUNTIFS($AH$2:AH450,AH450,$E$2:E450,"&gt;0"))</f>
        <v/>
      </c>
    </row>
    <row r="451" customFormat="false" ht="15" hidden="false" customHeight="false" outlineLevel="0" collapsed="false">
      <c r="A451" s="11" t="str">
        <f aca="false">IF(INVENTÁRIO!A451="","",INVENTÁRIO!A451)</f>
        <v/>
      </c>
      <c r="B451" s="11" t="str">
        <f aca="false">IF(A451="","",INVENTÁRIO!B451)</f>
        <v/>
      </c>
      <c r="C451" s="16" t="str">
        <f aca="false">IF(A451="","",INVENTÁRIO!C451)</f>
        <v/>
      </c>
      <c r="D451" s="14" t="str">
        <f aca="false">IF(A451="","",MAX(K451:AD451))</f>
        <v/>
      </c>
      <c r="E451" s="14" t="str">
        <f aca="false">IF(A451="","",MAX(0,D451-C451))</f>
        <v/>
      </c>
      <c r="F451" s="16" t="str">
        <f aca="false">IF(A451="","",IF(D451=0,"Fora dos decks",IF(E451=0,"Completo","Falta")))</f>
        <v/>
      </c>
      <c r="G451" s="16" t="str">
        <f aca="false">IF(A451="","",COUNTIF(K451:AD451,"&gt;0"))</f>
        <v/>
      </c>
      <c r="H451" s="16" t="str">
        <f aca="false">IF(A451="","",IF(G451&gt;1,"Sim",""))</f>
        <v/>
      </c>
      <c r="I451" s="18" t="str">
        <f aca="false">IF(A451="","",SUMIFS(DECKS!$D$2:$D$1201,DECKS!$B$2:$B$1201,A451))</f>
        <v/>
      </c>
      <c r="J451" s="18" t="str">
        <f aca="false">IF(A451="","",MAX(0,I451-C451))</f>
        <v/>
      </c>
      <c r="K451" s="19" t="str">
        <f aca="false">IF(OR($A451="",INDEX(_LEITURA!$Q$2:$Q$21,1)=0),"",SUMIFS(DECKS!$D$2:$D$1201,DECKS!$A$2:$A$1201,INDEX(_LEITURA!$P$2:$P$21,1),DECKS!$B$2:$B$1201,$A451))</f>
        <v/>
      </c>
      <c r="L451" s="19" t="str">
        <f aca="false">IF(OR($A451="",INDEX(_LEITURA!$Q$2:$Q$21,2)=0),"",SUMIFS(DECKS!$D$2:$D$1201,DECKS!$A$2:$A$1201,INDEX(_LEITURA!$P$2:$P$21,2),DECKS!$B$2:$B$1201,$A451))</f>
        <v/>
      </c>
      <c r="M451" s="19" t="str">
        <f aca="false">IF(OR($A451="",INDEX(_LEITURA!$Q$2:$Q$21,3)=0),"",SUMIFS(DECKS!$D$2:$D$1201,DECKS!$A$2:$A$1201,INDEX(_LEITURA!$P$2:$P$21,3),DECKS!$B$2:$B$1201,$A451))</f>
        <v/>
      </c>
      <c r="N451" s="19" t="str">
        <f aca="false">IF(OR($A451="",INDEX(_LEITURA!$Q$2:$Q$21,4)=0),"",SUMIFS(DECKS!$D$2:$D$1201,DECKS!$A$2:$A$1201,INDEX(_LEITURA!$P$2:$P$21,4),DECKS!$B$2:$B$1201,$A451))</f>
        <v/>
      </c>
      <c r="O451" s="19" t="str">
        <f aca="false">IF(OR($A451="",INDEX(_LEITURA!$Q$2:$Q$21,5)=0),"",SUMIFS(DECKS!$D$2:$D$1201,DECKS!$A$2:$A$1201,INDEX(_LEITURA!$P$2:$P$21,5),DECKS!$B$2:$B$1201,$A451))</f>
        <v/>
      </c>
      <c r="P451" s="19" t="str">
        <f aca="false">IF(OR($A451="",INDEX(_LEITURA!$Q$2:$Q$21,6)=0),"",SUMIFS(DECKS!$D$2:$D$1201,DECKS!$A$2:$A$1201,INDEX(_LEITURA!$P$2:$P$21,6),DECKS!$B$2:$B$1201,$A451))</f>
        <v/>
      </c>
      <c r="Q451" s="19" t="str">
        <f aca="false">IF(OR($A451="",INDEX(_LEITURA!$Q$2:$Q$21,7)=0),"",SUMIFS(DECKS!$D$2:$D$1201,DECKS!$A$2:$A$1201,INDEX(_LEITURA!$P$2:$P$21,7),DECKS!$B$2:$B$1201,$A451))</f>
        <v/>
      </c>
      <c r="R451" s="19" t="str">
        <f aca="false">IF(OR($A451="",INDEX(_LEITURA!$Q$2:$Q$21,8)=0),"",SUMIFS(DECKS!$D$2:$D$1201,DECKS!$A$2:$A$1201,INDEX(_LEITURA!$P$2:$P$21,8),DECKS!$B$2:$B$1201,$A451))</f>
        <v/>
      </c>
      <c r="S451" s="19" t="str">
        <f aca="false">IF(OR($A451="",INDEX(_LEITURA!$Q$2:$Q$21,9)=0),"",SUMIFS(DECKS!$D$2:$D$1201,DECKS!$A$2:$A$1201,INDEX(_LEITURA!$P$2:$P$21,9),DECKS!$B$2:$B$1201,$A451))</f>
        <v/>
      </c>
      <c r="T451" s="19" t="str">
        <f aca="false">IF(OR($A451="",INDEX(_LEITURA!$Q$2:$Q$21,10)=0),"",SUMIFS(DECKS!$D$2:$D$1201,DECKS!$A$2:$A$1201,INDEX(_LEITURA!$P$2:$P$21,10),DECKS!$B$2:$B$1201,$A451))</f>
        <v/>
      </c>
      <c r="U451" s="19" t="str">
        <f aca="false">IF(OR($A451="",INDEX(_LEITURA!$Q$2:$Q$21,11)=0),"",SUMIFS(DECKS!$D$2:$D$1201,DECKS!$A$2:$A$1201,INDEX(_LEITURA!$P$2:$P$21,11),DECKS!$B$2:$B$1201,$A451))</f>
        <v/>
      </c>
      <c r="V451" s="19" t="str">
        <f aca="false">IF(OR($A451="",INDEX(_LEITURA!$Q$2:$Q$21,12)=0),"",SUMIFS(DECKS!$D$2:$D$1201,DECKS!$A$2:$A$1201,INDEX(_LEITURA!$P$2:$P$21,12),DECKS!$B$2:$B$1201,$A451))</f>
        <v/>
      </c>
      <c r="W451" s="19" t="str">
        <f aca="false">IF(OR($A451="",INDEX(_LEITURA!$Q$2:$Q$21,13)=0),"",SUMIFS(DECKS!$D$2:$D$1201,DECKS!$A$2:$A$1201,INDEX(_LEITURA!$P$2:$P$21,13),DECKS!$B$2:$B$1201,$A451))</f>
        <v/>
      </c>
      <c r="X451" s="19" t="str">
        <f aca="false">IF(OR($A451="",INDEX(_LEITURA!$Q$2:$Q$21,14)=0),"",SUMIFS(DECKS!$D$2:$D$1201,DECKS!$A$2:$A$1201,INDEX(_LEITURA!$P$2:$P$21,14),DECKS!$B$2:$B$1201,$A451))</f>
        <v/>
      </c>
      <c r="Y451" s="19" t="str">
        <f aca="false">IF(OR($A451="",INDEX(_LEITURA!$Q$2:$Q$21,15)=0),"",SUMIFS(DECKS!$D$2:$D$1201,DECKS!$A$2:$A$1201,INDEX(_LEITURA!$P$2:$P$21,15),DECKS!$B$2:$B$1201,$A451))</f>
        <v/>
      </c>
      <c r="Z451" s="19" t="str">
        <f aca="false">IF(OR($A451="",INDEX(_LEITURA!$Q$2:$Q$21,16)=0),"",SUMIFS(DECKS!$D$2:$D$1201,DECKS!$A$2:$A$1201,INDEX(_LEITURA!$P$2:$P$21,16),DECKS!$B$2:$B$1201,$A451))</f>
        <v/>
      </c>
      <c r="AA451" s="19" t="str">
        <f aca="false">IF(OR($A451="",INDEX(_LEITURA!$Q$2:$Q$21,17)=0),"",SUMIFS(DECKS!$D$2:$D$1201,DECKS!$A$2:$A$1201,INDEX(_LEITURA!$P$2:$P$21,17),DECKS!$B$2:$B$1201,$A451))</f>
        <v/>
      </c>
      <c r="AB451" s="19" t="str">
        <f aca="false">IF(OR($A451="",INDEX(_LEITURA!$Q$2:$Q$21,18)=0),"",SUMIFS(DECKS!$D$2:$D$1201,DECKS!$A$2:$A$1201,INDEX(_LEITURA!$P$2:$P$21,18),DECKS!$B$2:$B$1201,$A451))</f>
        <v/>
      </c>
      <c r="AC451" s="19" t="str">
        <f aca="false">IF(OR($A451="",INDEX(_LEITURA!$Q$2:$Q$21,19)=0),"",SUMIFS(DECKS!$D$2:$D$1201,DECKS!$A$2:$A$1201,INDEX(_LEITURA!$P$2:$P$21,19),DECKS!$B$2:$B$1201,$A451))</f>
        <v/>
      </c>
      <c r="AD451" s="19" t="str">
        <f aca="false">IF(OR($A451="",INDEX(_LEITURA!$Q$2:$Q$21,20)=0),"",SUMIFS(DECKS!$D$2:$D$1201,DECKS!$A$2:$A$1201,INDEX(_LEITURA!$P$2:$P$21,20),DECKS!$B$2:$B$1201,$A451))</f>
        <v/>
      </c>
      <c r="AE451" s="16" t="str">
        <f aca="false">IF(N(E451)&gt;0,MAX(AE$1:AE450)+1,"")</f>
        <v/>
      </c>
      <c r="AF451" s="11" t="str">
        <f aca="false">IF(A451="","",IFERROR(LEFT(A451,FIND("-",A451)-1),A451))</f>
        <v/>
      </c>
      <c r="AG451" s="11" t="str">
        <f aca="false">IF(AF451="","",IF(ISNUMBER(--MID(AF451,1,1)),0,IF(ISNUMBER(--MID(AF451,2,1)),1,IF(ISNUMBER(--MID(AF451,3,1)),2,IF(ISNUMBER(--MID(AF451,4,1)),3,MIN(LEN(AF451),4))))))</f>
        <v/>
      </c>
      <c r="AH451" s="11" t="str">
        <f aca="false">IF(A451="","",LEFT(AF451,AG451)&amp;REPT("0",4-AG451)&amp;RIGHT("000"&amp;IFERROR(VALUE(MID(AF451,AG451+1,9)),0),3)&amp;RIGHT("0000"&amp;IFERROR(VALUE(MID(A451,FIND("-",A451)+1,9)),0),4))</f>
        <v/>
      </c>
      <c r="AI451" s="11" t="str">
        <f aca="false">IF(OR(A451="",N(E451)&lt;=0),"",IF('FALTAS GERAL'!$M$1="Código","K"&amp;AH451&amp;RIGHT("00000"&amp;ROW(),5),IF('FALTAS GERAL'!$M$1="Nome","K"&amp;UPPER(SUBSTITUTE(SUBSTITUTE(SUBSTITUTE(B451,"*",""),"?",""),"~",""))&amp;"0"&amp;AH451&amp;RIGHT("00000"&amp;ROW(),5),IF('FALTAS GERAL'!$M$1="Falta (maior primeiro)","K"&amp;RIGHT("0000"&amp;(9999-E451),4)&amp;AH451&amp;RIGHT("00000"&amp;ROW(),5),IF('FALTAS GERAL'!$M$1="Nº de decks (maior primeiro)","K"&amp;RIGHT("00"&amp;(99-N(G451)),2)&amp;AH451&amp;RIGHT("00000"&amp;ROW(),5),"K"&amp;RIGHT("00000"&amp;ROW(),5))))))</f>
        <v/>
      </c>
      <c r="AJ451" s="11" t="str">
        <f aca="false">IF(AI451="","",COUNTIFS($AI$2:$AI$801,"&lt;"&amp;AI451,$E$2:$E$801,"&gt;0")+1)</f>
        <v/>
      </c>
      <c r="AK451" s="11" t="str">
        <f aca="false">IF(OR(A451="",N(E451)&lt;=0),"",COUNTIFS($AH$2:$AH$801,"&lt;"&amp;AH451,$E$2:$E$801,"&gt;0")+COUNTIFS($AH$2:AH451,AH451,$E$2:E451,"&gt;0"))</f>
        <v/>
      </c>
    </row>
    <row r="452" customFormat="false" ht="15" hidden="false" customHeight="false" outlineLevel="0" collapsed="false">
      <c r="A452" s="11" t="str">
        <f aca="false">IF(INVENTÁRIO!A452="","",INVENTÁRIO!A452)</f>
        <v/>
      </c>
      <c r="B452" s="11" t="str">
        <f aca="false">IF(A452="","",INVENTÁRIO!B452)</f>
        <v/>
      </c>
      <c r="C452" s="16" t="str">
        <f aca="false">IF(A452="","",INVENTÁRIO!C452)</f>
        <v/>
      </c>
      <c r="D452" s="14" t="str">
        <f aca="false">IF(A452="","",MAX(K452:AD452))</f>
        <v/>
      </c>
      <c r="E452" s="14" t="str">
        <f aca="false">IF(A452="","",MAX(0,D452-C452))</f>
        <v/>
      </c>
      <c r="F452" s="16" t="str">
        <f aca="false">IF(A452="","",IF(D452=0,"Fora dos decks",IF(E452=0,"Completo","Falta")))</f>
        <v/>
      </c>
      <c r="G452" s="16" t="str">
        <f aca="false">IF(A452="","",COUNTIF(K452:AD452,"&gt;0"))</f>
        <v/>
      </c>
      <c r="H452" s="16" t="str">
        <f aca="false">IF(A452="","",IF(G452&gt;1,"Sim",""))</f>
        <v/>
      </c>
      <c r="I452" s="18" t="str">
        <f aca="false">IF(A452="","",SUMIFS(DECKS!$D$2:$D$1201,DECKS!$B$2:$B$1201,A452))</f>
        <v/>
      </c>
      <c r="J452" s="18" t="str">
        <f aca="false">IF(A452="","",MAX(0,I452-C452))</f>
        <v/>
      </c>
      <c r="K452" s="19" t="str">
        <f aca="false">IF(OR($A452="",INDEX(_LEITURA!$Q$2:$Q$21,1)=0),"",SUMIFS(DECKS!$D$2:$D$1201,DECKS!$A$2:$A$1201,INDEX(_LEITURA!$P$2:$P$21,1),DECKS!$B$2:$B$1201,$A452))</f>
        <v/>
      </c>
      <c r="L452" s="19" t="str">
        <f aca="false">IF(OR($A452="",INDEX(_LEITURA!$Q$2:$Q$21,2)=0),"",SUMIFS(DECKS!$D$2:$D$1201,DECKS!$A$2:$A$1201,INDEX(_LEITURA!$P$2:$P$21,2),DECKS!$B$2:$B$1201,$A452))</f>
        <v/>
      </c>
      <c r="M452" s="19" t="str">
        <f aca="false">IF(OR($A452="",INDEX(_LEITURA!$Q$2:$Q$21,3)=0),"",SUMIFS(DECKS!$D$2:$D$1201,DECKS!$A$2:$A$1201,INDEX(_LEITURA!$P$2:$P$21,3),DECKS!$B$2:$B$1201,$A452))</f>
        <v/>
      </c>
      <c r="N452" s="19" t="str">
        <f aca="false">IF(OR($A452="",INDEX(_LEITURA!$Q$2:$Q$21,4)=0),"",SUMIFS(DECKS!$D$2:$D$1201,DECKS!$A$2:$A$1201,INDEX(_LEITURA!$P$2:$P$21,4),DECKS!$B$2:$B$1201,$A452))</f>
        <v/>
      </c>
      <c r="O452" s="19" t="str">
        <f aca="false">IF(OR($A452="",INDEX(_LEITURA!$Q$2:$Q$21,5)=0),"",SUMIFS(DECKS!$D$2:$D$1201,DECKS!$A$2:$A$1201,INDEX(_LEITURA!$P$2:$P$21,5),DECKS!$B$2:$B$1201,$A452))</f>
        <v/>
      </c>
      <c r="P452" s="19" t="str">
        <f aca="false">IF(OR($A452="",INDEX(_LEITURA!$Q$2:$Q$21,6)=0),"",SUMIFS(DECKS!$D$2:$D$1201,DECKS!$A$2:$A$1201,INDEX(_LEITURA!$P$2:$P$21,6),DECKS!$B$2:$B$1201,$A452))</f>
        <v/>
      </c>
      <c r="Q452" s="19" t="str">
        <f aca="false">IF(OR($A452="",INDEX(_LEITURA!$Q$2:$Q$21,7)=0),"",SUMIFS(DECKS!$D$2:$D$1201,DECKS!$A$2:$A$1201,INDEX(_LEITURA!$P$2:$P$21,7),DECKS!$B$2:$B$1201,$A452))</f>
        <v/>
      </c>
      <c r="R452" s="19" t="str">
        <f aca="false">IF(OR($A452="",INDEX(_LEITURA!$Q$2:$Q$21,8)=0),"",SUMIFS(DECKS!$D$2:$D$1201,DECKS!$A$2:$A$1201,INDEX(_LEITURA!$P$2:$P$21,8),DECKS!$B$2:$B$1201,$A452))</f>
        <v/>
      </c>
      <c r="S452" s="19" t="str">
        <f aca="false">IF(OR($A452="",INDEX(_LEITURA!$Q$2:$Q$21,9)=0),"",SUMIFS(DECKS!$D$2:$D$1201,DECKS!$A$2:$A$1201,INDEX(_LEITURA!$P$2:$P$21,9),DECKS!$B$2:$B$1201,$A452))</f>
        <v/>
      </c>
      <c r="T452" s="19" t="str">
        <f aca="false">IF(OR($A452="",INDEX(_LEITURA!$Q$2:$Q$21,10)=0),"",SUMIFS(DECKS!$D$2:$D$1201,DECKS!$A$2:$A$1201,INDEX(_LEITURA!$P$2:$P$21,10),DECKS!$B$2:$B$1201,$A452))</f>
        <v/>
      </c>
      <c r="U452" s="19" t="str">
        <f aca="false">IF(OR($A452="",INDEX(_LEITURA!$Q$2:$Q$21,11)=0),"",SUMIFS(DECKS!$D$2:$D$1201,DECKS!$A$2:$A$1201,INDEX(_LEITURA!$P$2:$P$21,11),DECKS!$B$2:$B$1201,$A452))</f>
        <v/>
      </c>
      <c r="V452" s="19" t="str">
        <f aca="false">IF(OR($A452="",INDEX(_LEITURA!$Q$2:$Q$21,12)=0),"",SUMIFS(DECKS!$D$2:$D$1201,DECKS!$A$2:$A$1201,INDEX(_LEITURA!$P$2:$P$21,12),DECKS!$B$2:$B$1201,$A452))</f>
        <v/>
      </c>
      <c r="W452" s="19" t="str">
        <f aca="false">IF(OR($A452="",INDEX(_LEITURA!$Q$2:$Q$21,13)=0),"",SUMIFS(DECKS!$D$2:$D$1201,DECKS!$A$2:$A$1201,INDEX(_LEITURA!$P$2:$P$21,13),DECKS!$B$2:$B$1201,$A452))</f>
        <v/>
      </c>
      <c r="X452" s="19" t="str">
        <f aca="false">IF(OR($A452="",INDEX(_LEITURA!$Q$2:$Q$21,14)=0),"",SUMIFS(DECKS!$D$2:$D$1201,DECKS!$A$2:$A$1201,INDEX(_LEITURA!$P$2:$P$21,14),DECKS!$B$2:$B$1201,$A452))</f>
        <v/>
      </c>
      <c r="Y452" s="19" t="str">
        <f aca="false">IF(OR($A452="",INDEX(_LEITURA!$Q$2:$Q$21,15)=0),"",SUMIFS(DECKS!$D$2:$D$1201,DECKS!$A$2:$A$1201,INDEX(_LEITURA!$P$2:$P$21,15),DECKS!$B$2:$B$1201,$A452))</f>
        <v/>
      </c>
      <c r="Z452" s="19" t="str">
        <f aca="false">IF(OR($A452="",INDEX(_LEITURA!$Q$2:$Q$21,16)=0),"",SUMIFS(DECKS!$D$2:$D$1201,DECKS!$A$2:$A$1201,INDEX(_LEITURA!$P$2:$P$21,16),DECKS!$B$2:$B$1201,$A452))</f>
        <v/>
      </c>
      <c r="AA452" s="19" t="str">
        <f aca="false">IF(OR($A452="",INDEX(_LEITURA!$Q$2:$Q$21,17)=0),"",SUMIFS(DECKS!$D$2:$D$1201,DECKS!$A$2:$A$1201,INDEX(_LEITURA!$P$2:$P$21,17),DECKS!$B$2:$B$1201,$A452))</f>
        <v/>
      </c>
      <c r="AB452" s="19" t="str">
        <f aca="false">IF(OR($A452="",INDEX(_LEITURA!$Q$2:$Q$21,18)=0),"",SUMIFS(DECKS!$D$2:$D$1201,DECKS!$A$2:$A$1201,INDEX(_LEITURA!$P$2:$P$21,18),DECKS!$B$2:$B$1201,$A452))</f>
        <v/>
      </c>
      <c r="AC452" s="19" t="str">
        <f aca="false">IF(OR($A452="",INDEX(_LEITURA!$Q$2:$Q$21,19)=0),"",SUMIFS(DECKS!$D$2:$D$1201,DECKS!$A$2:$A$1201,INDEX(_LEITURA!$P$2:$P$21,19),DECKS!$B$2:$B$1201,$A452))</f>
        <v/>
      </c>
      <c r="AD452" s="19" t="str">
        <f aca="false">IF(OR($A452="",INDEX(_LEITURA!$Q$2:$Q$21,20)=0),"",SUMIFS(DECKS!$D$2:$D$1201,DECKS!$A$2:$A$1201,INDEX(_LEITURA!$P$2:$P$21,20),DECKS!$B$2:$B$1201,$A452))</f>
        <v/>
      </c>
      <c r="AE452" s="16" t="str">
        <f aca="false">IF(N(E452)&gt;0,MAX(AE$1:AE451)+1,"")</f>
        <v/>
      </c>
      <c r="AF452" s="11" t="str">
        <f aca="false">IF(A452="","",IFERROR(LEFT(A452,FIND("-",A452)-1),A452))</f>
        <v/>
      </c>
      <c r="AG452" s="11" t="str">
        <f aca="false">IF(AF452="","",IF(ISNUMBER(--MID(AF452,1,1)),0,IF(ISNUMBER(--MID(AF452,2,1)),1,IF(ISNUMBER(--MID(AF452,3,1)),2,IF(ISNUMBER(--MID(AF452,4,1)),3,MIN(LEN(AF452),4))))))</f>
        <v/>
      </c>
      <c r="AH452" s="11" t="str">
        <f aca="false">IF(A452="","",LEFT(AF452,AG452)&amp;REPT("0",4-AG452)&amp;RIGHT("000"&amp;IFERROR(VALUE(MID(AF452,AG452+1,9)),0),3)&amp;RIGHT("0000"&amp;IFERROR(VALUE(MID(A452,FIND("-",A452)+1,9)),0),4))</f>
        <v/>
      </c>
      <c r="AI452" s="11" t="str">
        <f aca="false">IF(OR(A452="",N(E452)&lt;=0),"",IF('FALTAS GERAL'!$M$1="Código","K"&amp;AH452&amp;RIGHT("00000"&amp;ROW(),5),IF('FALTAS GERAL'!$M$1="Nome","K"&amp;UPPER(SUBSTITUTE(SUBSTITUTE(SUBSTITUTE(B452,"*",""),"?",""),"~",""))&amp;"0"&amp;AH452&amp;RIGHT("00000"&amp;ROW(),5),IF('FALTAS GERAL'!$M$1="Falta (maior primeiro)","K"&amp;RIGHT("0000"&amp;(9999-E452),4)&amp;AH452&amp;RIGHT("00000"&amp;ROW(),5),IF('FALTAS GERAL'!$M$1="Nº de decks (maior primeiro)","K"&amp;RIGHT("00"&amp;(99-N(G452)),2)&amp;AH452&amp;RIGHT("00000"&amp;ROW(),5),"K"&amp;RIGHT("00000"&amp;ROW(),5))))))</f>
        <v/>
      </c>
      <c r="AJ452" s="11" t="str">
        <f aca="false">IF(AI452="","",COUNTIFS($AI$2:$AI$801,"&lt;"&amp;AI452,$E$2:$E$801,"&gt;0")+1)</f>
        <v/>
      </c>
      <c r="AK452" s="11" t="str">
        <f aca="false">IF(OR(A452="",N(E452)&lt;=0),"",COUNTIFS($AH$2:$AH$801,"&lt;"&amp;AH452,$E$2:$E$801,"&gt;0")+COUNTIFS($AH$2:AH452,AH452,$E$2:E452,"&gt;0"))</f>
        <v/>
      </c>
    </row>
    <row r="453" customFormat="false" ht="15" hidden="false" customHeight="false" outlineLevel="0" collapsed="false">
      <c r="A453" s="11" t="str">
        <f aca="false">IF(INVENTÁRIO!A453="","",INVENTÁRIO!A453)</f>
        <v/>
      </c>
      <c r="B453" s="11" t="str">
        <f aca="false">IF(A453="","",INVENTÁRIO!B453)</f>
        <v/>
      </c>
      <c r="C453" s="16" t="str">
        <f aca="false">IF(A453="","",INVENTÁRIO!C453)</f>
        <v/>
      </c>
      <c r="D453" s="14" t="str">
        <f aca="false">IF(A453="","",MAX(K453:AD453))</f>
        <v/>
      </c>
      <c r="E453" s="14" t="str">
        <f aca="false">IF(A453="","",MAX(0,D453-C453))</f>
        <v/>
      </c>
      <c r="F453" s="16" t="str">
        <f aca="false">IF(A453="","",IF(D453=0,"Fora dos decks",IF(E453=0,"Completo","Falta")))</f>
        <v/>
      </c>
      <c r="G453" s="16" t="str">
        <f aca="false">IF(A453="","",COUNTIF(K453:AD453,"&gt;0"))</f>
        <v/>
      </c>
      <c r="H453" s="16" t="str">
        <f aca="false">IF(A453="","",IF(G453&gt;1,"Sim",""))</f>
        <v/>
      </c>
      <c r="I453" s="18" t="str">
        <f aca="false">IF(A453="","",SUMIFS(DECKS!$D$2:$D$1201,DECKS!$B$2:$B$1201,A453))</f>
        <v/>
      </c>
      <c r="J453" s="18" t="str">
        <f aca="false">IF(A453="","",MAX(0,I453-C453))</f>
        <v/>
      </c>
      <c r="K453" s="19" t="str">
        <f aca="false">IF(OR($A453="",INDEX(_LEITURA!$Q$2:$Q$21,1)=0),"",SUMIFS(DECKS!$D$2:$D$1201,DECKS!$A$2:$A$1201,INDEX(_LEITURA!$P$2:$P$21,1),DECKS!$B$2:$B$1201,$A453))</f>
        <v/>
      </c>
      <c r="L453" s="19" t="str">
        <f aca="false">IF(OR($A453="",INDEX(_LEITURA!$Q$2:$Q$21,2)=0),"",SUMIFS(DECKS!$D$2:$D$1201,DECKS!$A$2:$A$1201,INDEX(_LEITURA!$P$2:$P$21,2),DECKS!$B$2:$B$1201,$A453))</f>
        <v/>
      </c>
      <c r="M453" s="19" t="str">
        <f aca="false">IF(OR($A453="",INDEX(_LEITURA!$Q$2:$Q$21,3)=0),"",SUMIFS(DECKS!$D$2:$D$1201,DECKS!$A$2:$A$1201,INDEX(_LEITURA!$P$2:$P$21,3),DECKS!$B$2:$B$1201,$A453))</f>
        <v/>
      </c>
      <c r="N453" s="19" t="str">
        <f aca="false">IF(OR($A453="",INDEX(_LEITURA!$Q$2:$Q$21,4)=0),"",SUMIFS(DECKS!$D$2:$D$1201,DECKS!$A$2:$A$1201,INDEX(_LEITURA!$P$2:$P$21,4),DECKS!$B$2:$B$1201,$A453))</f>
        <v/>
      </c>
      <c r="O453" s="19" t="str">
        <f aca="false">IF(OR($A453="",INDEX(_LEITURA!$Q$2:$Q$21,5)=0),"",SUMIFS(DECKS!$D$2:$D$1201,DECKS!$A$2:$A$1201,INDEX(_LEITURA!$P$2:$P$21,5),DECKS!$B$2:$B$1201,$A453))</f>
        <v/>
      </c>
      <c r="P453" s="19" t="str">
        <f aca="false">IF(OR($A453="",INDEX(_LEITURA!$Q$2:$Q$21,6)=0),"",SUMIFS(DECKS!$D$2:$D$1201,DECKS!$A$2:$A$1201,INDEX(_LEITURA!$P$2:$P$21,6),DECKS!$B$2:$B$1201,$A453))</f>
        <v/>
      </c>
      <c r="Q453" s="19" t="str">
        <f aca="false">IF(OR($A453="",INDEX(_LEITURA!$Q$2:$Q$21,7)=0),"",SUMIFS(DECKS!$D$2:$D$1201,DECKS!$A$2:$A$1201,INDEX(_LEITURA!$P$2:$P$21,7),DECKS!$B$2:$B$1201,$A453))</f>
        <v/>
      </c>
      <c r="R453" s="19" t="str">
        <f aca="false">IF(OR($A453="",INDEX(_LEITURA!$Q$2:$Q$21,8)=0),"",SUMIFS(DECKS!$D$2:$D$1201,DECKS!$A$2:$A$1201,INDEX(_LEITURA!$P$2:$P$21,8),DECKS!$B$2:$B$1201,$A453))</f>
        <v/>
      </c>
      <c r="S453" s="19" t="str">
        <f aca="false">IF(OR($A453="",INDEX(_LEITURA!$Q$2:$Q$21,9)=0),"",SUMIFS(DECKS!$D$2:$D$1201,DECKS!$A$2:$A$1201,INDEX(_LEITURA!$P$2:$P$21,9),DECKS!$B$2:$B$1201,$A453))</f>
        <v/>
      </c>
      <c r="T453" s="19" t="str">
        <f aca="false">IF(OR($A453="",INDEX(_LEITURA!$Q$2:$Q$21,10)=0),"",SUMIFS(DECKS!$D$2:$D$1201,DECKS!$A$2:$A$1201,INDEX(_LEITURA!$P$2:$P$21,10),DECKS!$B$2:$B$1201,$A453))</f>
        <v/>
      </c>
      <c r="U453" s="19" t="str">
        <f aca="false">IF(OR($A453="",INDEX(_LEITURA!$Q$2:$Q$21,11)=0),"",SUMIFS(DECKS!$D$2:$D$1201,DECKS!$A$2:$A$1201,INDEX(_LEITURA!$P$2:$P$21,11),DECKS!$B$2:$B$1201,$A453))</f>
        <v/>
      </c>
      <c r="V453" s="19" t="str">
        <f aca="false">IF(OR($A453="",INDEX(_LEITURA!$Q$2:$Q$21,12)=0),"",SUMIFS(DECKS!$D$2:$D$1201,DECKS!$A$2:$A$1201,INDEX(_LEITURA!$P$2:$P$21,12),DECKS!$B$2:$B$1201,$A453))</f>
        <v/>
      </c>
      <c r="W453" s="19" t="str">
        <f aca="false">IF(OR($A453="",INDEX(_LEITURA!$Q$2:$Q$21,13)=0),"",SUMIFS(DECKS!$D$2:$D$1201,DECKS!$A$2:$A$1201,INDEX(_LEITURA!$P$2:$P$21,13),DECKS!$B$2:$B$1201,$A453))</f>
        <v/>
      </c>
      <c r="X453" s="19" t="str">
        <f aca="false">IF(OR($A453="",INDEX(_LEITURA!$Q$2:$Q$21,14)=0),"",SUMIFS(DECKS!$D$2:$D$1201,DECKS!$A$2:$A$1201,INDEX(_LEITURA!$P$2:$P$21,14),DECKS!$B$2:$B$1201,$A453))</f>
        <v/>
      </c>
      <c r="Y453" s="19" t="str">
        <f aca="false">IF(OR($A453="",INDEX(_LEITURA!$Q$2:$Q$21,15)=0),"",SUMIFS(DECKS!$D$2:$D$1201,DECKS!$A$2:$A$1201,INDEX(_LEITURA!$P$2:$P$21,15),DECKS!$B$2:$B$1201,$A453))</f>
        <v/>
      </c>
      <c r="Z453" s="19" t="str">
        <f aca="false">IF(OR($A453="",INDEX(_LEITURA!$Q$2:$Q$21,16)=0),"",SUMIFS(DECKS!$D$2:$D$1201,DECKS!$A$2:$A$1201,INDEX(_LEITURA!$P$2:$P$21,16),DECKS!$B$2:$B$1201,$A453))</f>
        <v/>
      </c>
      <c r="AA453" s="19" t="str">
        <f aca="false">IF(OR($A453="",INDEX(_LEITURA!$Q$2:$Q$21,17)=0),"",SUMIFS(DECKS!$D$2:$D$1201,DECKS!$A$2:$A$1201,INDEX(_LEITURA!$P$2:$P$21,17),DECKS!$B$2:$B$1201,$A453))</f>
        <v/>
      </c>
      <c r="AB453" s="19" t="str">
        <f aca="false">IF(OR($A453="",INDEX(_LEITURA!$Q$2:$Q$21,18)=0),"",SUMIFS(DECKS!$D$2:$D$1201,DECKS!$A$2:$A$1201,INDEX(_LEITURA!$P$2:$P$21,18),DECKS!$B$2:$B$1201,$A453))</f>
        <v/>
      </c>
      <c r="AC453" s="19" t="str">
        <f aca="false">IF(OR($A453="",INDEX(_LEITURA!$Q$2:$Q$21,19)=0),"",SUMIFS(DECKS!$D$2:$D$1201,DECKS!$A$2:$A$1201,INDEX(_LEITURA!$P$2:$P$21,19),DECKS!$B$2:$B$1201,$A453))</f>
        <v/>
      </c>
      <c r="AD453" s="19" t="str">
        <f aca="false">IF(OR($A453="",INDEX(_LEITURA!$Q$2:$Q$21,20)=0),"",SUMIFS(DECKS!$D$2:$D$1201,DECKS!$A$2:$A$1201,INDEX(_LEITURA!$P$2:$P$21,20),DECKS!$B$2:$B$1201,$A453))</f>
        <v/>
      </c>
      <c r="AE453" s="16" t="str">
        <f aca="false">IF(N(E453)&gt;0,MAX(AE$1:AE452)+1,"")</f>
        <v/>
      </c>
      <c r="AF453" s="11" t="str">
        <f aca="false">IF(A453="","",IFERROR(LEFT(A453,FIND("-",A453)-1),A453))</f>
        <v/>
      </c>
      <c r="AG453" s="11" t="str">
        <f aca="false">IF(AF453="","",IF(ISNUMBER(--MID(AF453,1,1)),0,IF(ISNUMBER(--MID(AF453,2,1)),1,IF(ISNUMBER(--MID(AF453,3,1)),2,IF(ISNUMBER(--MID(AF453,4,1)),3,MIN(LEN(AF453),4))))))</f>
        <v/>
      </c>
      <c r="AH453" s="11" t="str">
        <f aca="false">IF(A453="","",LEFT(AF453,AG453)&amp;REPT("0",4-AG453)&amp;RIGHT("000"&amp;IFERROR(VALUE(MID(AF453,AG453+1,9)),0),3)&amp;RIGHT("0000"&amp;IFERROR(VALUE(MID(A453,FIND("-",A453)+1,9)),0),4))</f>
        <v/>
      </c>
      <c r="AI453" s="11" t="str">
        <f aca="false">IF(OR(A453="",N(E453)&lt;=0),"",IF('FALTAS GERAL'!$M$1="Código","K"&amp;AH453&amp;RIGHT("00000"&amp;ROW(),5),IF('FALTAS GERAL'!$M$1="Nome","K"&amp;UPPER(SUBSTITUTE(SUBSTITUTE(SUBSTITUTE(B453,"*",""),"?",""),"~",""))&amp;"0"&amp;AH453&amp;RIGHT("00000"&amp;ROW(),5),IF('FALTAS GERAL'!$M$1="Falta (maior primeiro)","K"&amp;RIGHT("0000"&amp;(9999-E453),4)&amp;AH453&amp;RIGHT("00000"&amp;ROW(),5),IF('FALTAS GERAL'!$M$1="Nº de decks (maior primeiro)","K"&amp;RIGHT("00"&amp;(99-N(G453)),2)&amp;AH453&amp;RIGHT("00000"&amp;ROW(),5),"K"&amp;RIGHT("00000"&amp;ROW(),5))))))</f>
        <v/>
      </c>
      <c r="AJ453" s="11" t="str">
        <f aca="false">IF(AI453="","",COUNTIFS($AI$2:$AI$801,"&lt;"&amp;AI453,$E$2:$E$801,"&gt;0")+1)</f>
        <v/>
      </c>
      <c r="AK453" s="11" t="str">
        <f aca="false">IF(OR(A453="",N(E453)&lt;=0),"",COUNTIFS($AH$2:$AH$801,"&lt;"&amp;AH453,$E$2:$E$801,"&gt;0")+COUNTIFS($AH$2:AH453,AH453,$E$2:E453,"&gt;0"))</f>
        <v/>
      </c>
    </row>
    <row r="454" customFormat="false" ht="15" hidden="false" customHeight="false" outlineLevel="0" collapsed="false">
      <c r="A454" s="11" t="str">
        <f aca="false">IF(INVENTÁRIO!A454="","",INVENTÁRIO!A454)</f>
        <v/>
      </c>
      <c r="B454" s="11" t="str">
        <f aca="false">IF(A454="","",INVENTÁRIO!B454)</f>
        <v/>
      </c>
      <c r="C454" s="16" t="str">
        <f aca="false">IF(A454="","",INVENTÁRIO!C454)</f>
        <v/>
      </c>
      <c r="D454" s="14" t="str">
        <f aca="false">IF(A454="","",MAX(K454:AD454))</f>
        <v/>
      </c>
      <c r="E454" s="14" t="str">
        <f aca="false">IF(A454="","",MAX(0,D454-C454))</f>
        <v/>
      </c>
      <c r="F454" s="16" t="str">
        <f aca="false">IF(A454="","",IF(D454=0,"Fora dos decks",IF(E454=0,"Completo","Falta")))</f>
        <v/>
      </c>
      <c r="G454" s="16" t="str">
        <f aca="false">IF(A454="","",COUNTIF(K454:AD454,"&gt;0"))</f>
        <v/>
      </c>
      <c r="H454" s="16" t="str">
        <f aca="false">IF(A454="","",IF(G454&gt;1,"Sim",""))</f>
        <v/>
      </c>
      <c r="I454" s="18" t="str">
        <f aca="false">IF(A454="","",SUMIFS(DECKS!$D$2:$D$1201,DECKS!$B$2:$B$1201,A454))</f>
        <v/>
      </c>
      <c r="J454" s="18" t="str">
        <f aca="false">IF(A454="","",MAX(0,I454-C454))</f>
        <v/>
      </c>
      <c r="K454" s="19" t="str">
        <f aca="false">IF(OR($A454="",INDEX(_LEITURA!$Q$2:$Q$21,1)=0),"",SUMIFS(DECKS!$D$2:$D$1201,DECKS!$A$2:$A$1201,INDEX(_LEITURA!$P$2:$P$21,1),DECKS!$B$2:$B$1201,$A454))</f>
        <v/>
      </c>
      <c r="L454" s="19" t="str">
        <f aca="false">IF(OR($A454="",INDEX(_LEITURA!$Q$2:$Q$21,2)=0),"",SUMIFS(DECKS!$D$2:$D$1201,DECKS!$A$2:$A$1201,INDEX(_LEITURA!$P$2:$P$21,2),DECKS!$B$2:$B$1201,$A454))</f>
        <v/>
      </c>
      <c r="M454" s="19" t="str">
        <f aca="false">IF(OR($A454="",INDEX(_LEITURA!$Q$2:$Q$21,3)=0),"",SUMIFS(DECKS!$D$2:$D$1201,DECKS!$A$2:$A$1201,INDEX(_LEITURA!$P$2:$P$21,3),DECKS!$B$2:$B$1201,$A454))</f>
        <v/>
      </c>
      <c r="N454" s="19" t="str">
        <f aca="false">IF(OR($A454="",INDEX(_LEITURA!$Q$2:$Q$21,4)=0),"",SUMIFS(DECKS!$D$2:$D$1201,DECKS!$A$2:$A$1201,INDEX(_LEITURA!$P$2:$P$21,4),DECKS!$B$2:$B$1201,$A454))</f>
        <v/>
      </c>
      <c r="O454" s="19" t="str">
        <f aca="false">IF(OR($A454="",INDEX(_LEITURA!$Q$2:$Q$21,5)=0),"",SUMIFS(DECKS!$D$2:$D$1201,DECKS!$A$2:$A$1201,INDEX(_LEITURA!$P$2:$P$21,5),DECKS!$B$2:$B$1201,$A454))</f>
        <v/>
      </c>
      <c r="P454" s="19" t="str">
        <f aca="false">IF(OR($A454="",INDEX(_LEITURA!$Q$2:$Q$21,6)=0),"",SUMIFS(DECKS!$D$2:$D$1201,DECKS!$A$2:$A$1201,INDEX(_LEITURA!$P$2:$P$21,6),DECKS!$B$2:$B$1201,$A454))</f>
        <v/>
      </c>
      <c r="Q454" s="19" t="str">
        <f aca="false">IF(OR($A454="",INDEX(_LEITURA!$Q$2:$Q$21,7)=0),"",SUMIFS(DECKS!$D$2:$D$1201,DECKS!$A$2:$A$1201,INDEX(_LEITURA!$P$2:$P$21,7),DECKS!$B$2:$B$1201,$A454))</f>
        <v/>
      </c>
      <c r="R454" s="19" t="str">
        <f aca="false">IF(OR($A454="",INDEX(_LEITURA!$Q$2:$Q$21,8)=0),"",SUMIFS(DECKS!$D$2:$D$1201,DECKS!$A$2:$A$1201,INDEX(_LEITURA!$P$2:$P$21,8),DECKS!$B$2:$B$1201,$A454))</f>
        <v/>
      </c>
      <c r="S454" s="19" t="str">
        <f aca="false">IF(OR($A454="",INDEX(_LEITURA!$Q$2:$Q$21,9)=0),"",SUMIFS(DECKS!$D$2:$D$1201,DECKS!$A$2:$A$1201,INDEX(_LEITURA!$P$2:$P$21,9),DECKS!$B$2:$B$1201,$A454))</f>
        <v/>
      </c>
      <c r="T454" s="19" t="str">
        <f aca="false">IF(OR($A454="",INDEX(_LEITURA!$Q$2:$Q$21,10)=0),"",SUMIFS(DECKS!$D$2:$D$1201,DECKS!$A$2:$A$1201,INDEX(_LEITURA!$P$2:$P$21,10),DECKS!$B$2:$B$1201,$A454))</f>
        <v/>
      </c>
      <c r="U454" s="19" t="str">
        <f aca="false">IF(OR($A454="",INDEX(_LEITURA!$Q$2:$Q$21,11)=0),"",SUMIFS(DECKS!$D$2:$D$1201,DECKS!$A$2:$A$1201,INDEX(_LEITURA!$P$2:$P$21,11),DECKS!$B$2:$B$1201,$A454))</f>
        <v/>
      </c>
      <c r="V454" s="19" t="str">
        <f aca="false">IF(OR($A454="",INDEX(_LEITURA!$Q$2:$Q$21,12)=0),"",SUMIFS(DECKS!$D$2:$D$1201,DECKS!$A$2:$A$1201,INDEX(_LEITURA!$P$2:$P$21,12),DECKS!$B$2:$B$1201,$A454))</f>
        <v/>
      </c>
      <c r="W454" s="19" t="str">
        <f aca="false">IF(OR($A454="",INDEX(_LEITURA!$Q$2:$Q$21,13)=0),"",SUMIFS(DECKS!$D$2:$D$1201,DECKS!$A$2:$A$1201,INDEX(_LEITURA!$P$2:$P$21,13),DECKS!$B$2:$B$1201,$A454))</f>
        <v/>
      </c>
      <c r="X454" s="19" t="str">
        <f aca="false">IF(OR($A454="",INDEX(_LEITURA!$Q$2:$Q$21,14)=0),"",SUMIFS(DECKS!$D$2:$D$1201,DECKS!$A$2:$A$1201,INDEX(_LEITURA!$P$2:$P$21,14),DECKS!$B$2:$B$1201,$A454))</f>
        <v/>
      </c>
      <c r="Y454" s="19" t="str">
        <f aca="false">IF(OR($A454="",INDEX(_LEITURA!$Q$2:$Q$21,15)=0),"",SUMIFS(DECKS!$D$2:$D$1201,DECKS!$A$2:$A$1201,INDEX(_LEITURA!$P$2:$P$21,15),DECKS!$B$2:$B$1201,$A454))</f>
        <v/>
      </c>
      <c r="Z454" s="19" t="str">
        <f aca="false">IF(OR($A454="",INDEX(_LEITURA!$Q$2:$Q$21,16)=0),"",SUMIFS(DECKS!$D$2:$D$1201,DECKS!$A$2:$A$1201,INDEX(_LEITURA!$P$2:$P$21,16),DECKS!$B$2:$B$1201,$A454))</f>
        <v/>
      </c>
      <c r="AA454" s="19" t="str">
        <f aca="false">IF(OR($A454="",INDEX(_LEITURA!$Q$2:$Q$21,17)=0),"",SUMIFS(DECKS!$D$2:$D$1201,DECKS!$A$2:$A$1201,INDEX(_LEITURA!$P$2:$P$21,17),DECKS!$B$2:$B$1201,$A454))</f>
        <v/>
      </c>
      <c r="AB454" s="19" t="str">
        <f aca="false">IF(OR($A454="",INDEX(_LEITURA!$Q$2:$Q$21,18)=0),"",SUMIFS(DECKS!$D$2:$D$1201,DECKS!$A$2:$A$1201,INDEX(_LEITURA!$P$2:$P$21,18),DECKS!$B$2:$B$1201,$A454))</f>
        <v/>
      </c>
      <c r="AC454" s="19" t="str">
        <f aca="false">IF(OR($A454="",INDEX(_LEITURA!$Q$2:$Q$21,19)=0),"",SUMIFS(DECKS!$D$2:$D$1201,DECKS!$A$2:$A$1201,INDEX(_LEITURA!$P$2:$P$21,19),DECKS!$B$2:$B$1201,$A454))</f>
        <v/>
      </c>
      <c r="AD454" s="19" t="str">
        <f aca="false">IF(OR($A454="",INDEX(_LEITURA!$Q$2:$Q$21,20)=0),"",SUMIFS(DECKS!$D$2:$D$1201,DECKS!$A$2:$A$1201,INDEX(_LEITURA!$P$2:$P$21,20),DECKS!$B$2:$B$1201,$A454))</f>
        <v/>
      </c>
      <c r="AE454" s="16" t="str">
        <f aca="false">IF(N(E454)&gt;0,MAX(AE$1:AE453)+1,"")</f>
        <v/>
      </c>
      <c r="AF454" s="11" t="str">
        <f aca="false">IF(A454="","",IFERROR(LEFT(A454,FIND("-",A454)-1),A454))</f>
        <v/>
      </c>
      <c r="AG454" s="11" t="str">
        <f aca="false">IF(AF454="","",IF(ISNUMBER(--MID(AF454,1,1)),0,IF(ISNUMBER(--MID(AF454,2,1)),1,IF(ISNUMBER(--MID(AF454,3,1)),2,IF(ISNUMBER(--MID(AF454,4,1)),3,MIN(LEN(AF454),4))))))</f>
        <v/>
      </c>
      <c r="AH454" s="11" t="str">
        <f aca="false">IF(A454="","",LEFT(AF454,AG454)&amp;REPT("0",4-AG454)&amp;RIGHT("000"&amp;IFERROR(VALUE(MID(AF454,AG454+1,9)),0),3)&amp;RIGHT("0000"&amp;IFERROR(VALUE(MID(A454,FIND("-",A454)+1,9)),0),4))</f>
        <v/>
      </c>
      <c r="AI454" s="11" t="str">
        <f aca="false">IF(OR(A454="",N(E454)&lt;=0),"",IF('FALTAS GERAL'!$M$1="Código","K"&amp;AH454&amp;RIGHT("00000"&amp;ROW(),5),IF('FALTAS GERAL'!$M$1="Nome","K"&amp;UPPER(SUBSTITUTE(SUBSTITUTE(SUBSTITUTE(B454,"*",""),"?",""),"~",""))&amp;"0"&amp;AH454&amp;RIGHT("00000"&amp;ROW(),5),IF('FALTAS GERAL'!$M$1="Falta (maior primeiro)","K"&amp;RIGHT("0000"&amp;(9999-E454),4)&amp;AH454&amp;RIGHT("00000"&amp;ROW(),5),IF('FALTAS GERAL'!$M$1="Nº de decks (maior primeiro)","K"&amp;RIGHT("00"&amp;(99-N(G454)),2)&amp;AH454&amp;RIGHT("00000"&amp;ROW(),5),"K"&amp;RIGHT("00000"&amp;ROW(),5))))))</f>
        <v/>
      </c>
      <c r="AJ454" s="11" t="str">
        <f aca="false">IF(AI454="","",COUNTIFS($AI$2:$AI$801,"&lt;"&amp;AI454,$E$2:$E$801,"&gt;0")+1)</f>
        <v/>
      </c>
      <c r="AK454" s="11" t="str">
        <f aca="false">IF(OR(A454="",N(E454)&lt;=0),"",COUNTIFS($AH$2:$AH$801,"&lt;"&amp;AH454,$E$2:$E$801,"&gt;0")+COUNTIFS($AH$2:AH454,AH454,$E$2:E454,"&gt;0"))</f>
        <v/>
      </c>
    </row>
    <row r="455" customFormat="false" ht="15" hidden="false" customHeight="false" outlineLevel="0" collapsed="false">
      <c r="A455" s="11" t="str">
        <f aca="false">IF(INVENTÁRIO!A455="","",INVENTÁRIO!A455)</f>
        <v/>
      </c>
      <c r="B455" s="11" t="str">
        <f aca="false">IF(A455="","",INVENTÁRIO!B455)</f>
        <v/>
      </c>
      <c r="C455" s="16" t="str">
        <f aca="false">IF(A455="","",INVENTÁRIO!C455)</f>
        <v/>
      </c>
      <c r="D455" s="14" t="str">
        <f aca="false">IF(A455="","",MAX(K455:AD455))</f>
        <v/>
      </c>
      <c r="E455" s="14" t="str">
        <f aca="false">IF(A455="","",MAX(0,D455-C455))</f>
        <v/>
      </c>
      <c r="F455" s="16" t="str">
        <f aca="false">IF(A455="","",IF(D455=0,"Fora dos decks",IF(E455=0,"Completo","Falta")))</f>
        <v/>
      </c>
      <c r="G455" s="16" t="str">
        <f aca="false">IF(A455="","",COUNTIF(K455:AD455,"&gt;0"))</f>
        <v/>
      </c>
      <c r="H455" s="16" t="str">
        <f aca="false">IF(A455="","",IF(G455&gt;1,"Sim",""))</f>
        <v/>
      </c>
      <c r="I455" s="18" t="str">
        <f aca="false">IF(A455="","",SUMIFS(DECKS!$D$2:$D$1201,DECKS!$B$2:$B$1201,A455))</f>
        <v/>
      </c>
      <c r="J455" s="18" t="str">
        <f aca="false">IF(A455="","",MAX(0,I455-C455))</f>
        <v/>
      </c>
      <c r="K455" s="19" t="str">
        <f aca="false">IF(OR($A455="",INDEX(_LEITURA!$Q$2:$Q$21,1)=0),"",SUMIFS(DECKS!$D$2:$D$1201,DECKS!$A$2:$A$1201,INDEX(_LEITURA!$P$2:$P$21,1),DECKS!$B$2:$B$1201,$A455))</f>
        <v/>
      </c>
      <c r="L455" s="19" t="str">
        <f aca="false">IF(OR($A455="",INDEX(_LEITURA!$Q$2:$Q$21,2)=0),"",SUMIFS(DECKS!$D$2:$D$1201,DECKS!$A$2:$A$1201,INDEX(_LEITURA!$P$2:$P$21,2),DECKS!$B$2:$B$1201,$A455))</f>
        <v/>
      </c>
      <c r="M455" s="19" t="str">
        <f aca="false">IF(OR($A455="",INDEX(_LEITURA!$Q$2:$Q$21,3)=0),"",SUMIFS(DECKS!$D$2:$D$1201,DECKS!$A$2:$A$1201,INDEX(_LEITURA!$P$2:$P$21,3),DECKS!$B$2:$B$1201,$A455))</f>
        <v/>
      </c>
      <c r="N455" s="19" t="str">
        <f aca="false">IF(OR($A455="",INDEX(_LEITURA!$Q$2:$Q$21,4)=0),"",SUMIFS(DECKS!$D$2:$D$1201,DECKS!$A$2:$A$1201,INDEX(_LEITURA!$P$2:$P$21,4),DECKS!$B$2:$B$1201,$A455))</f>
        <v/>
      </c>
      <c r="O455" s="19" t="str">
        <f aca="false">IF(OR($A455="",INDEX(_LEITURA!$Q$2:$Q$21,5)=0),"",SUMIFS(DECKS!$D$2:$D$1201,DECKS!$A$2:$A$1201,INDEX(_LEITURA!$P$2:$P$21,5),DECKS!$B$2:$B$1201,$A455))</f>
        <v/>
      </c>
      <c r="P455" s="19" t="str">
        <f aca="false">IF(OR($A455="",INDEX(_LEITURA!$Q$2:$Q$21,6)=0),"",SUMIFS(DECKS!$D$2:$D$1201,DECKS!$A$2:$A$1201,INDEX(_LEITURA!$P$2:$P$21,6),DECKS!$B$2:$B$1201,$A455))</f>
        <v/>
      </c>
      <c r="Q455" s="19" t="str">
        <f aca="false">IF(OR($A455="",INDEX(_LEITURA!$Q$2:$Q$21,7)=0),"",SUMIFS(DECKS!$D$2:$D$1201,DECKS!$A$2:$A$1201,INDEX(_LEITURA!$P$2:$P$21,7),DECKS!$B$2:$B$1201,$A455))</f>
        <v/>
      </c>
      <c r="R455" s="19" t="str">
        <f aca="false">IF(OR($A455="",INDEX(_LEITURA!$Q$2:$Q$21,8)=0),"",SUMIFS(DECKS!$D$2:$D$1201,DECKS!$A$2:$A$1201,INDEX(_LEITURA!$P$2:$P$21,8),DECKS!$B$2:$B$1201,$A455))</f>
        <v/>
      </c>
      <c r="S455" s="19" t="str">
        <f aca="false">IF(OR($A455="",INDEX(_LEITURA!$Q$2:$Q$21,9)=0),"",SUMIFS(DECKS!$D$2:$D$1201,DECKS!$A$2:$A$1201,INDEX(_LEITURA!$P$2:$P$21,9),DECKS!$B$2:$B$1201,$A455))</f>
        <v/>
      </c>
      <c r="T455" s="19" t="str">
        <f aca="false">IF(OR($A455="",INDEX(_LEITURA!$Q$2:$Q$21,10)=0),"",SUMIFS(DECKS!$D$2:$D$1201,DECKS!$A$2:$A$1201,INDEX(_LEITURA!$P$2:$P$21,10),DECKS!$B$2:$B$1201,$A455))</f>
        <v/>
      </c>
      <c r="U455" s="19" t="str">
        <f aca="false">IF(OR($A455="",INDEX(_LEITURA!$Q$2:$Q$21,11)=0),"",SUMIFS(DECKS!$D$2:$D$1201,DECKS!$A$2:$A$1201,INDEX(_LEITURA!$P$2:$P$21,11),DECKS!$B$2:$B$1201,$A455))</f>
        <v/>
      </c>
      <c r="V455" s="19" t="str">
        <f aca="false">IF(OR($A455="",INDEX(_LEITURA!$Q$2:$Q$21,12)=0),"",SUMIFS(DECKS!$D$2:$D$1201,DECKS!$A$2:$A$1201,INDEX(_LEITURA!$P$2:$P$21,12),DECKS!$B$2:$B$1201,$A455))</f>
        <v/>
      </c>
      <c r="W455" s="19" t="str">
        <f aca="false">IF(OR($A455="",INDEX(_LEITURA!$Q$2:$Q$21,13)=0),"",SUMIFS(DECKS!$D$2:$D$1201,DECKS!$A$2:$A$1201,INDEX(_LEITURA!$P$2:$P$21,13),DECKS!$B$2:$B$1201,$A455))</f>
        <v/>
      </c>
      <c r="X455" s="19" t="str">
        <f aca="false">IF(OR($A455="",INDEX(_LEITURA!$Q$2:$Q$21,14)=0),"",SUMIFS(DECKS!$D$2:$D$1201,DECKS!$A$2:$A$1201,INDEX(_LEITURA!$P$2:$P$21,14),DECKS!$B$2:$B$1201,$A455))</f>
        <v/>
      </c>
      <c r="Y455" s="19" t="str">
        <f aca="false">IF(OR($A455="",INDEX(_LEITURA!$Q$2:$Q$21,15)=0),"",SUMIFS(DECKS!$D$2:$D$1201,DECKS!$A$2:$A$1201,INDEX(_LEITURA!$P$2:$P$21,15),DECKS!$B$2:$B$1201,$A455))</f>
        <v/>
      </c>
      <c r="Z455" s="19" t="str">
        <f aca="false">IF(OR($A455="",INDEX(_LEITURA!$Q$2:$Q$21,16)=0),"",SUMIFS(DECKS!$D$2:$D$1201,DECKS!$A$2:$A$1201,INDEX(_LEITURA!$P$2:$P$21,16),DECKS!$B$2:$B$1201,$A455))</f>
        <v/>
      </c>
      <c r="AA455" s="19" t="str">
        <f aca="false">IF(OR($A455="",INDEX(_LEITURA!$Q$2:$Q$21,17)=0),"",SUMIFS(DECKS!$D$2:$D$1201,DECKS!$A$2:$A$1201,INDEX(_LEITURA!$P$2:$P$21,17),DECKS!$B$2:$B$1201,$A455))</f>
        <v/>
      </c>
      <c r="AB455" s="19" t="str">
        <f aca="false">IF(OR($A455="",INDEX(_LEITURA!$Q$2:$Q$21,18)=0),"",SUMIFS(DECKS!$D$2:$D$1201,DECKS!$A$2:$A$1201,INDEX(_LEITURA!$P$2:$P$21,18),DECKS!$B$2:$B$1201,$A455))</f>
        <v/>
      </c>
      <c r="AC455" s="19" t="str">
        <f aca="false">IF(OR($A455="",INDEX(_LEITURA!$Q$2:$Q$21,19)=0),"",SUMIFS(DECKS!$D$2:$D$1201,DECKS!$A$2:$A$1201,INDEX(_LEITURA!$P$2:$P$21,19),DECKS!$B$2:$B$1201,$A455))</f>
        <v/>
      </c>
      <c r="AD455" s="19" t="str">
        <f aca="false">IF(OR($A455="",INDEX(_LEITURA!$Q$2:$Q$21,20)=0),"",SUMIFS(DECKS!$D$2:$D$1201,DECKS!$A$2:$A$1201,INDEX(_LEITURA!$P$2:$P$21,20),DECKS!$B$2:$B$1201,$A455))</f>
        <v/>
      </c>
      <c r="AE455" s="16" t="str">
        <f aca="false">IF(N(E455)&gt;0,MAX(AE$1:AE454)+1,"")</f>
        <v/>
      </c>
      <c r="AF455" s="11" t="str">
        <f aca="false">IF(A455="","",IFERROR(LEFT(A455,FIND("-",A455)-1),A455))</f>
        <v/>
      </c>
      <c r="AG455" s="11" t="str">
        <f aca="false">IF(AF455="","",IF(ISNUMBER(--MID(AF455,1,1)),0,IF(ISNUMBER(--MID(AF455,2,1)),1,IF(ISNUMBER(--MID(AF455,3,1)),2,IF(ISNUMBER(--MID(AF455,4,1)),3,MIN(LEN(AF455),4))))))</f>
        <v/>
      </c>
      <c r="AH455" s="11" t="str">
        <f aca="false">IF(A455="","",LEFT(AF455,AG455)&amp;REPT("0",4-AG455)&amp;RIGHT("000"&amp;IFERROR(VALUE(MID(AF455,AG455+1,9)),0),3)&amp;RIGHT("0000"&amp;IFERROR(VALUE(MID(A455,FIND("-",A455)+1,9)),0),4))</f>
        <v/>
      </c>
      <c r="AI455" s="11" t="str">
        <f aca="false">IF(OR(A455="",N(E455)&lt;=0),"",IF('FALTAS GERAL'!$M$1="Código","K"&amp;AH455&amp;RIGHT("00000"&amp;ROW(),5),IF('FALTAS GERAL'!$M$1="Nome","K"&amp;UPPER(SUBSTITUTE(SUBSTITUTE(SUBSTITUTE(B455,"*",""),"?",""),"~",""))&amp;"0"&amp;AH455&amp;RIGHT("00000"&amp;ROW(),5),IF('FALTAS GERAL'!$M$1="Falta (maior primeiro)","K"&amp;RIGHT("0000"&amp;(9999-E455),4)&amp;AH455&amp;RIGHT("00000"&amp;ROW(),5),IF('FALTAS GERAL'!$M$1="Nº de decks (maior primeiro)","K"&amp;RIGHT("00"&amp;(99-N(G455)),2)&amp;AH455&amp;RIGHT("00000"&amp;ROW(),5),"K"&amp;RIGHT("00000"&amp;ROW(),5))))))</f>
        <v/>
      </c>
      <c r="AJ455" s="11" t="str">
        <f aca="false">IF(AI455="","",COUNTIFS($AI$2:$AI$801,"&lt;"&amp;AI455,$E$2:$E$801,"&gt;0")+1)</f>
        <v/>
      </c>
      <c r="AK455" s="11" t="str">
        <f aca="false">IF(OR(A455="",N(E455)&lt;=0),"",COUNTIFS($AH$2:$AH$801,"&lt;"&amp;AH455,$E$2:$E$801,"&gt;0")+COUNTIFS($AH$2:AH455,AH455,$E$2:E455,"&gt;0"))</f>
        <v/>
      </c>
    </row>
    <row r="456" customFormat="false" ht="15" hidden="false" customHeight="false" outlineLevel="0" collapsed="false">
      <c r="A456" s="11" t="str">
        <f aca="false">IF(INVENTÁRIO!A456="","",INVENTÁRIO!A456)</f>
        <v/>
      </c>
      <c r="B456" s="11" t="str">
        <f aca="false">IF(A456="","",INVENTÁRIO!B456)</f>
        <v/>
      </c>
      <c r="C456" s="16" t="str">
        <f aca="false">IF(A456="","",INVENTÁRIO!C456)</f>
        <v/>
      </c>
      <c r="D456" s="14" t="str">
        <f aca="false">IF(A456="","",MAX(K456:AD456))</f>
        <v/>
      </c>
      <c r="E456" s="14" t="str">
        <f aca="false">IF(A456="","",MAX(0,D456-C456))</f>
        <v/>
      </c>
      <c r="F456" s="16" t="str">
        <f aca="false">IF(A456="","",IF(D456=0,"Fora dos decks",IF(E456=0,"Completo","Falta")))</f>
        <v/>
      </c>
      <c r="G456" s="16" t="str">
        <f aca="false">IF(A456="","",COUNTIF(K456:AD456,"&gt;0"))</f>
        <v/>
      </c>
      <c r="H456" s="16" t="str">
        <f aca="false">IF(A456="","",IF(G456&gt;1,"Sim",""))</f>
        <v/>
      </c>
      <c r="I456" s="18" t="str">
        <f aca="false">IF(A456="","",SUMIFS(DECKS!$D$2:$D$1201,DECKS!$B$2:$B$1201,A456))</f>
        <v/>
      </c>
      <c r="J456" s="18" t="str">
        <f aca="false">IF(A456="","",MAX(0,I456-C456))</f>
        <v/>
      </c>
      <c r="K456" s="19" t="str">
        <f aca="false">IF(OR($A456="",INDEX(_LEITURA!$Q$2:$Q$21,1)=0),"",SUMIFS(DECKS!$D$2:$D$1201,DECKS!$A$2:$A$1201,INDEX(_LEITURA!$P$2:$P$21,1),DECKS!$B$2:$B$1201,$A456))</f>
        <v/>
      </c>
      <c r="L456" s="19" t="str">
        <f aca="false">IF(OR($A456="",INDEX(_LEITURA!$Q$2:$Q$21,2)=0),"",SUMIFS(DECKS!$D$2:$D$1201,DECKS!$A$2:$A$1201,INDEX(_LEITURA!$P$2:$P$21,2),DECKS!$B$2:$B$1201,$A456))</f>
        <v/>
      </c>
      <c r="M456" s="19" t="str">
        <f aca="false">IF(OR($A456="",INDEX(_LEITURA!$Q$2:$Q$21,3)=0),"",SUMIFS(DECKS!$D$2:$D$1201,DECKS!$A$2:$A$1201,INDEX(_LEITURA!$P$2:$P$21,3),DECKS!$B$2:$B$1201,$A456))</f>
        <v/>
      </c>
      <c r="N456" s="19" t="str">
        <f aca="false">IF(OR($A456="",INDEX(_LEITURA!$Q$2:$Q$21,4)=0),"",SUMIFS(DECKS!$D$2:$D$1201,DECKS!$A$2:$A$1201,INDEX(_LEITURA!$P$2:$P$21,4),DECKS!$B$2:$B$1201,$A456))</f>
        <v/>
      </c>
      <c r="O456" s="19" t="str">
        <f aca="false">IF(OR($A456="",INDEX(_LEITURA!$Q$2:$Q$21,5)=0),"",SUMIFS(DECKS!$D$2:$D$1201,DECKS!$A$2:$A$1201,INDEX(_LEITURA!$P$2:$P$21,5),DECKS!$B$2:$B$1201,$A456))</f>
        <v/>
      </c>
      <c r="P456" s="19" t="str">
        <f aca="false">IF(OR($A456="",INDEX(_LEITURA!$Q$2:$Q$21,6)=0),"",SUMIFS(DECKS!$D$2:$D$1201,DECKS!$A$2:$A$1201,INDEX(_LEITURA!$P$2:$P$21,6),DECKS!$B$2:$B$1201,$A456))</f>
        <v/>
      </c>
      <c r="Q456" s="19" t="str">
        <f aca="false">IF(OR($A456="",INDEX(_LEITURA!$Q$2:$Q$21,7)=0),"",SUMIFS(DECKS!$D$2:$D$1201,DECKS!$A$2:$A$1201,INDEX(_LEITURA!$P$2:$P$21,7),DECKS!$B$2:$B$1201,$A456))</f>
        <v/>
      </c>
      <c r="R456" s="19" t="str">
        <f aca="false">IF(OR($A456="",INDEX(_LEITURA!$Q$2:$Q$21,8)=0),"",SUMIFS(DECKS!$D$2:$D$1201,DECKS!$A$2:$A$1201,INDEX(_LEITURA!$P$2:$P$21,8),DECKS!$B$2:$B$1201,$A456))</f>
        <v/>
      </c>
      <c r="S456" s="19" t="str">
        <f aca="false">IF(OR($A456="",INDEX(_LEITURA!$Q$2:$Q$21,9)=0),"",SUMIFS(DECKS!$D$2:$D$1201,DECKS!$A$2:$A$1201,INDEX(_LEITURA!$P$2:$P$21,9),DECKS!$B$2:$B$1201,$A456))</f>
        <v/>
      </c>
      <c r="T456" s="19" t="str">
        <f aca="false">IF(OR($A456="",INDEX(_LEITURA!$Q$2:$Q$21,10)=0),"",SUMIFS(DECKS!$D$2:$D$1201,DECKS!$A$2:$A$1201,INDEX(_LEITURA!$P$2:$P$21,10),DECKS!$B$2:$B$1201,$A456))</f>
        <v/>
      </c>
      <c r="U456" s="19" t="str">
        <f aca="false">IF(OR($A456="",INDEX(_LEITURA!$Q$2:$Q$21,11)=0),"",SUMIFS(DECKS!$D$2:$D$1201,DECKS!$A$2:$A$1201,INDEX(_LEITURA!$P$2:$P$21,11),DECKS!$B$2:$B$1201,$A456))</f>
        <v/>
      </c>
      <c r="V456" s="19" t="str">
        <f aca="false">IF(OR($A456="",INDEX(_LEITURA!$Q$2:$Q$21,12)=0),"",SUMIFS(DECKS!$D$2:$D$1201,DECKS!$A$2:$A$1201,INDEX(_LEITURA!$P$2:$P$21,12),DECKS!$B$2:$B$1201,$A456))</f>
        <v/>
      </c>
      <c r="W456" s="19" t="str">
        <f aca="false">IF(OR($A456="",INDEX(_LEITURA!$Q$2:$Q$21,13)=0),"",SUMIFS(DECKS!$D$2:$D$1201,DECKS!$A$2:$A$1201,INDEX(_LEITURA!$P$2:$P$21,13),DECKS!$B$2:$B$1201,$A456))</f>
        <v/>
      </c>
      <c r="X456" s="19" t="str">
        <f aca="false">IF(OR($A456="",INDEX(_LEITURA!$Q$2:$Q$21,14)=0),"",SUMIFS(DECKS!$D$2:$D$1201,DECKS!$A$2:$A$1201,INDEX(_LEITURA!$P$2:$P$21,14),DECKS!$B$2:$B$1201,$A456))</f>
        <v/>
      </c>
      <c r="Y456" s="19" t="str">
        <f aca="false">IF(OR($A456="",INDEX(_LEITURA!$Q$2:$Q$21,15)=0),"",SUMIFS(DECKS!$D$2:$D$1201,DECKS!$A$2:$A$1201,INDEX(_LEITURA!$P$2:$P$21,15),DECKS!$B$2:$B$1201,$A456))</f>
        <v/>
      </c>
      <c r="Z456" s="19" t="str">
        <f aca="false">IF(OR($A456="",INDEX(_LEITURA!$Q$2:$Q$21,16)=0),"",SUMIFS(DECKS!$D$2:$D$1201,DECKS!$A$2:$A$1201,INDEX(_LEITURA!$P$2:$P$21,16),DECKS!$B$2:$B$1201,$A456))</f>
        <v/>
      </c>
      <c r="AA456" s="19" t="str">
        <f aca="false">IF(OR($A456="",INDEX(_LEITURA!$Q$2:$Q$21,17)=0),"",SUMIFS(DECKS!$D$2:$D$1201,DECKS!$A$2:$A$1201,INDEX(_LEITURA!$P$2:$P$21,17),DECKS!$B$2:$B$1201,$A456))</f>
        <v/>
      </c>
      <c r="AB456" s="19" t="str">
        <f aca="false">IF(OR($A456="",INDEX(_LEITURA!$Q$2:$Q$21,18)=0),"",SUMIFS(DECKS!$D$2:$D$1201,DECKS!$A$2:$A$1201,INDEX(_LEITURA!$P$2:$P$21,18),DECKS!$B$2:$B$1201,$A456))</f>
        <v/>
      </c>
      <c r="AC456" s="19" t="str">
        <f aca="false">IF(OR($A456="",INDEX(_LEITURA!$Q$2:$Q$21,19)=0),"",SUMIFS(DECKS!$D$2:$D$1201,DECKS!$A$2:$A$1201,INDEX(_LEITURA!$P$2:$P$21,19),DECKS!$B$2:$B$1201,$A456))</f>
        <v/>
      </c>
      <c r="AD456" s="19" t="str">
        <f aca="false">IF(OR($A456="",INDEX(_LEITURA!$Q$2:$Q$21,20)=0),"",SUMIFS(DECKS!$D$2:$D$1201,DECKS!$A$2:$A$1201,INDEX(_LEITURA!$P$2:$P$21,20),DECKS!$B$2:$B$1201,$A456))</f>
        <v/>
      </c>
      <c r="AE456" s="16" t="str">
        <f aca="false">IF(N(E456)&gt;0,MAX(AE$1:AE455)+1,"")</f>
        <v/>
      </c>
      <c r="AF456" s="11" t="str">
        <f aca="false">IF(A456="","",IFERROR(LEFT(A456,FIND("-",A456)-1),A456))</f>
        <v/>
      </c>
      <c r="AG456" s="11" t="str">
        <f aca="false">IF(AF456="","",IF(ISNUMBER(--MID(AF456,1,1)),0,IF(ISNUMBER(--MID(AF456,2,1)),1,IF(ISNUMBER(--MID(AF456,3,1)),2,IF(ISNUMBER(--MID(AF456,4,1)),3,MIN(LEN(AF456),4))))))</f>
        <v/>
      </c>
      <c r="AH456" s="11" t="str">
        <f aca="false">IF(A456="","",LEFT(AF456,AG456)&amp;REPT("0",4-AG456)&amp;RIGHT("000"&amp;IFERROR(VALUE(MID(AF456,AG456+1,9)),0),3)&amp;RIGHT("0000"&amp;IFERROR(VALUE(MID(A456,FIND("-",A456)+1,9)),0),4))</f>
        <v/>
      </c>
      <c r="AI456" s="11" t="str">
        <f aca="false">IF(OR(A456="",N(E456)&lt;=0),"",IF('FALTAS GERAL'!$M$1="Código","K"&amp;AH456&amp;RIGHT("00000"&amp;ROW(),5),IF('FALTAS GERAL'!$M$1="Nome","K"&amp;UPPER(SUBSTITUTE(SUBSTITUTE(SUBSTITUTE(B456,"*",""),"?",""),"~",""))&amp;"0"&amp;AH456&amp;RIGHT("00000"&amp;ROW(),5),IF('FALTAS GERAL'!$M$1="Falta (maior primeiro)","K"&amp;RIGHT("0000"&amp;(9999-E456),4)&amp;AH456&amp;RIGHT("00000"&amp;ROW(),5),IF('FALTAS GERAL'!$M$1="Nº de decks (maior primeiro)","K"&amp;RIGHT("00"&amp;(99-N(G456)),2)&amp;AH456&amp;RIGHT("00000"&amp;ROW(),5),"K"&amp;RIGHT("00000"&amp;ROW(),5))))))</f>
        <v/>
      </c>
      <c r="AJ456" s="11" t="str">
        <f aca="false">IF(AI456="","",COUNTIFS($AI$2:$AI$801,"&lt;"&amp;AI456,$E$2:$E$801,"&gt;0")+1)</f>
        <v/>
      </c>
      <c r="AK456" s="11" t="str">
        <f aca="false">IF(OR(A456="",N(E456)&lt;=0),"",COUNTIFS($AH$2:$AH$801,"&lt;"&amp;AH456,$E$2:$E$801,"&gt;0")+COUNTIFS($AH$2:AH456,AH456,$E$2:E456,"&gt;0"))</f>
        <v/>
      </c>
    </row>
    <row r="457" customFormat="false" ht="15" hidden="false" customHeight="false" outlineLevel="0" collapsed="false">
      <c r="A457" s="11" t="str">
        <f aca="false">IF(INVENTÁRIO!A457="","",INVENTÁRIO!A457)</f>
        <v/>
      </c>
      <c r="B457" s="11" t="str">
        <f aca="false">IF(A457="","",INVENTÁRIO!B457)</f>
        <v/>
      </c>
      <c r="C457" s="16" t="str">
        <f aca="false">IF(A457="","",INVENTÁRIO!C457)</f>
        <v/>
      </c>
      <c r="D457" s="14" t="str">
        <f aca="false">IF(A457="","",MAX(K457:AD457))</f>
        <v/>
      </c>
      <c r="E457" s="14" t="str">
        <f aca="false">IF(A457="","",MAX(0,D457-C457))</f>
        <v/>
      </c>
      <c r="F457" s="16" t="str">
        <f aca="false">IF(A457="","",IF(D457=0,"Fora dos decks",IF(E457=0,"Completo","Falta")))</f>
        <v/>
      </c>
      <c r="G457" s="16" t="str">
        <f aca="false">IF(A457="","",COUNTIF(K457:AD457,"&gt;0"))</f>
        <v/>
      </c>
      <c r="H457" s="16" t="str">
        <f aca="false">IF(A457="","",IF(G457&gt;1,"Sim",""))</f>
        <v/>
      </c>
      <c r="I457" s="18" t="str">
        <f aca="false">IF(A457="","",SUMIFS(DECKS!$D$2:$D$1201,DECKS!$B$2:$B$1201,A457))</f>
        <v/>
      </c>
      <c r="J457" s="18" t="str">
        <f aca="false">IF(A457="","",MAX(0,I457-C457))</f>
        <v/>
      </c>
      <c r="K457" s="19" t="str">
        <f aca="false">IF(OR($A457="",INDEX(_LEITURA!$Q$2:$Q$21,1)=0),"",SUMIFS(DECKS!$D$2:$D$1201,DECKS!$A$2:$A$1201,INDEX(_LEITURA!$P$2:$P$21,1),DECKS!$B$2:$B$1201,$A457))</f>
        <v/>
      </c>
      <c r="L457" s="19" t="str">
        <f aca="false">IF(OR($A457="",INDEX(_LEITURA!$Q$2:$Q$21,2)=0),"",SUMIFS(DECKS!$D$2:$D$1201,DECKS!$A$2:$A$1201,INDEX(_LEITURA!$P$2:$P$21,2),DECKS!$B$2:$B$1201,$A457))</f>
        <v/>
      </c>
      <c r="M457" s="19" t="str">
        <f aca="false">IF(OR($A457="",INDEX(_LEITURA!$Q$2:$Q$21,3)=0),"",SUMIFS(DECKS!$D$2:$D$1201,DECKS!$A$2:$A$1201,INDEX(_LEITURA!$P$2:$P$21,3),DECKS!$B$2:$B$1201,$A457))</f>
        <v/>
      </c>
      <c r="N457" s="19" t="str">
        <f aca="false">IF(OR($A457="",INDEX(_LEITURA!$Q$2:$Q$21,4)=0),"",SUMIFS(DECKS!$D$2:$D$1201,DECKS!$A$2:$A$1201,INDEX(_LEITURA!$P$2:$P$21,4),DECKS!$B$2:$B$1201,$A457))</f>
        <v/>
      </c>
      <c r="O457" s="19" t="str">
        <f aca="false">IF(OR($A457="",INDEX(_LEITURA!$Q$2:$Q$21,5)=0),"",SUMIFS(DECKS!$D$2:$D$1201,DECKS!$A$2:$A$1201,INDEX(_LEITURA!$P$2:$P$21,5),DECKS!$B$2:$B$1201,$A457))</f>
        <v/>
      </c>
      <c r="P457" s="19" t="str">
        <f aca="false">IF(OR($A457="",INDEX(_LEITURA!$Q$2:$Q$21,6)=0),"",SUMIFS(DECKS!$D$2:$D$1201,DECKS!$A$2:$A$1201,INDEX(_LEITURA!$P$2:$P$21,6),DECKS!$B$2:$B$1201,$A457))</f>
        <v/>
      </c>
      <c r="Q457" s="19" t="str">
        <f aca="false">IF(OR($A457="",INDEX(_LEITURA!$Q$2:$Q$21,7)=0),"",SUMIFS(DECKS!$D$2:$D$1201,DECKS!$A$2:$A$1201,INDEX(_LEITURA!$P$2:$P$21,7),DECKS!$B$2:$B$1201,$A457))</f>
        <v/>
      </c>
      <c r="R457" s="19" t="str">
        <f aca="false">IF(OR($A457="",INDEX(_LEITURA!$Q$2:$Q$21,8)=0),"",SUMIFS(DECKS!$D$2:$D$1201,DECKS!$A$2:$A$1201,INDEX(_LEITURA!$P$2:$P$21,8),DECKS!$B$2:$B$1201,$A457))</f>
        <v/>
      </c>
      <c r="S457" s="19" t="str">
        <f aca="false">IF(OR($A457="",INDEX(_LEITURA!$Q$2:$Q$21,9)=0),"",SUMIFS(DECKS!$D$2:$D$1201,DECKS!$A$2:$A$1201,INDEX(_LEITURA!$P$2:$P$21,9),DECKS!$B$2:$B$1201,$A457))</f>
        <v/>
      </c>
      <c r="T457" s="19" t="str">
        <f aca="false">IF(OR($A457="",INDEX(_LEITURA!$Q$2:$Q$21,10)=0),"",SUMIFS(DECKS!$D$2:$D$1201,DECKS!$A$2:$A$1201,INDEX(_LEITURA!$P$2:$P$21,10),DECKS!$B$2:$B$1201,$A457))</f>
        <v/>
      </c>
      <c r="U457" s="19" t="str">
        <f aca="false">IF(OR($A457="",INDEX(_LEITURA!$Q$2:$Q$21,11)=0),"",SUMIFS(DECKS!$D$2:$D$1201,DECKS!$A$2:$A$1201,INDEX(_LEITURA!$P$2:$P$21,11),DECKS!$B$2:$B$1201,$A457))</f>
        <v/>
      </c>
      <c r="V457" s="19" t="str">
        <f aca="false">IF(OR($A457="",INDEX(_LEITURA!$Q$2:$Q$21,12)=0),"",SUMIFS(DECKS!$D$2:$D$1201,DECKS!$A$2:$A$1201,INDEX(_LEITURA!$P$2:$P$21,12),DECKS!$B$2:$B$1201,$A457))</f>
        <v/>
      </c>
      <c r="W457" s="19" t="str">
        <f aca="false">IF(OR($A457="",INDEX(_LEITURA!$Q$2:$Q$21,13)=0),"",SUMIFS(DECKS!$D$2:$D$1201,DECKS!$A$2:$A$1201,INDEX(_LEITURA!$P$2:$P$21,13),DECKS!$B$2:$B$1201,$A457))</f>
        <v/>
      </c>
      <c r="X457" s="19" t="str">
        <f aca="false">IF(OR($A457="",INDEX(_LEITURA!$Q$2:$Q$21,14)=0),"",SUMIFS(DECKS!$D$2:$D$1201,DECKS!$A$2:$A$1201,INDEX(_LEITURA!$P$2:$P$21,14),DECKS!$B$2:$B$1201,$A457))</f>
        <v/>
      </c>
      <c r="Y457" s="19" t="str">
        <f aca="false">IF(OR($A457="",INDEX(_LEITURA!$Q$2:$Q$21,15)=0),"",SUMIFS(DECKS!$D$2:$D$1201,DECKS!$A$2:$A$1201,INDEX(_LEITURA!$P$2:$P$21,15),DECKS!$B$2:$B$1201,$A457))</f>
        <v/>
      </c>
      <c r="Z457" s="19" t="str">
        <f aca="false">IF(OR($A457="",INDEX(_LEITURA!$Q$2:$Q$21,16)=0),"",SUMIFS(DECKS!$D$2:$D$1201,DECKS!$A$2:$A$1201,INDEX(_LEITURA!$P$2:$P$21,16),DECKS!$B$2:$B$1201,$A457))</f>
        <v/>
      </c>
      <c r="AA457" s="19" t="str">
        <f aca="false">IF(OR($A457="",INDEX(_LEITURA!$Q$2:$Q$21,17)=0),"",SUMIFS(DECKS!$D$2:$D$1201,DECKS!$A$2:$A$1201,INDEX(_LEITURA!$P$2:$P$21,17),DECKS!$B$2:$B$1201,$A457))</f>
        <v/>
      </c>
      <c r="AB457" s="19" t="str">
        <f aca="false">IF(OR($A457="",INDEX(_LEITURA!$Q$2:$Q$21,18)=0),"",SUMIFS(DECKS!$D$2:$D$1201,DECKS!$A$2:$A$1201,INDEX(_LEITURA!$P$2:$P$21,18),DECKS!$B$2:$B$1201,$A457))</f>
        <v/>
      </c>
      <c r="AC457" s="19" t="str">
        <f aca="false">IF(OR($A457="",INDEX(_LEITURA!$Q$2:$Q$21,19)=0),"",SUMIFS(DECKS!$D$2:$D$1201,DECKS!$A$2:$A$1201,INDEX(_LEITURA!$P$2:$P$21,19),DECKS!$B$2:$B$1201,$A457))</f>
        <v/>
      </c>
      <c r="AD457" s="19" t="str">
        <f aca="false">IF(OR($A457="",INDEX(_LEITURA!$Q$2:$Q$21,20)=0),"",SUMIFS(DECKS!$D$2:$D$1201,DECKS!$A$2:$A$1201,INDEX(_LEITURA!$P$2:$P$21,20),DECKS!$B$2:$B$1201,$A457))</f>
        <v/>
      </c>
      <c r="AE457" s="16" t="str">
        <f aca="false">IF(N(E457)&gt;0,MAX(AE$1:AE456)+1,"")</f>
        <v/>
      </c>
      <c r="AF457" s="11" t="str">
        <f aca="false">IF(A457="","",IFERROR(LEFT(A457,FIND("-",A457)-1),A457))</f>
        <v/>
      </c>
      <c r="AG457" s="11" t="str">
        <f aca="false">IF(AF457="","",IF(ISNUMBER(--MID(AF457,1,1)),0,IF(ISNUMBER(--MID(AF457,2,1)),1,IF(ISNUMBER(--MID(AF457,3,1)),2,IF(ISNUMBER(--MID(AF457,4,1)),3,MIN(LEN(AF457),4))))))</f>
        <v/>
      </c>
      <c r="AH457" s="11" t="str">
        <f aca="false">IF(A457="","",LEFT(AF457,AG457)&amp;REPT("0",4-AG457)&amp;RIGHT("000"&amp;IFERROR(VALUE(MID(AF457,AG457+1,9)),0),3)&amp;RIGHT("0000"&amp;IFERROR(VALUE(MID(A457,FIND("-",A457)+1,9)),0),4))</f>
        <v/>
      </c>
      <c r="AI457" s="11" t="str">
        <f aca="false">IF(OR(A457="",N(E457)&lt;=0),"",IF('FALTAS GERAL'!$M$1="Código","K"&amp;AH457&amp;RIGHT("00000"&amp;ROW(),5),IF('FALTAS GERAL'!$M$1="Nome","K"&amp;UPPER(SUBSTITUTE(SUBSTITUTE(SUBSTITUTE(B457,"*",""),"?",""),"~",""))&amp;"0"&amp;AH457&amp;RIGHT("00000"&amp;ROW(),5),IF('FALTAS GERAL'!$M$1="Falta (maior primeiro)","K"&amp;RIGHT("0000"&amp;(9999-E457),4)&amp;AH457&amp;RIGHT("00000"&amp;ROW(),5),IF('FALTAS GERAL'!$M$1="Nº de decks (maior primeiro)","K"&amp;RIGHT("00"&amp;(99-N(G457)),2)&amp;AH457&amp;RIGHT("00000"&amp;ROW(),5),"K"&amp;RIGHT("00000"&amp;ROW(),5))))))</f>
        <v/>
      </c>
      <c r="AJ457" s="11" t="str">
        <f aca="false">IF(AI457="","",COUNTIFS($AI$2:$AI$801,"&lt;"&amp;AI457,$E$2:$E$801,"&gt;0")+1)</f>
        <v/>
      </c>
      <c r="AK457" s="11" t="str">
        <f aca="false">IF(OR(A457="",N(E457)&lt;=0),"",COUNTIFS($AH$2:$AH$801,"&lt;"&amp;AH457,$E$2:$E$801,"&gt;0")+COUNTIFS($AH$2:AH457,AH457,$E$2:E457,"&gt;0"))</f>
        <v/>
      </c>
    </row>
    <row r="458" customFormat="false" ht="15" hidden="false" customHeight="false" outlineLevel="0" collapsed="false">
      <c r="A458" s="11" t="str">
        <f aca="false">IF(INVENTÁRIO!A458="","",INVENTÁRIO!A458)</f>
        <v/>
      </c>
      <c r="B458" s="11" t="str">
        <f aca="false">IF(A458="","",INVENTÁRIO!B458)</f>
        <v/>
      </c>
      <c r="C458" s="16" t="str">
        <f aca="false">IF(A458="","",INVENTÁRIO!C458)</f>
        <v/>
      </c>
      <c r="D458" s="14" t="str">
        <f aca="false">IF(A458="","",MAX(K458:AD458))</f>
        <v/>
      </c>
      <c r="E458" s="14" t="str">
        <f aca="false">IF(A458="","",MAX(0,D458-C458))</f>
        <v/>
      </c>
      <c r="F458" s="16" t="str">
        <f aca="false">IF(A458="","",IF(D458=0,"Fora dos decks",IF(E458=0,"Completo","Falta")))</f>
        <v/>
      </c>
      <c r="G458" s="16" t="str">
        <f aca="false">IF(A458="","",COUNTIF(K458:AD458,"&gt;0"))</f>
        <v/>
      </c>
      <c r="H458" s="16" t="str">
        <f aca="false">IF(A458="","",IF(G458&gt;1,"Sim",""))</f>
        <v/>
      </c>
      <c r="I458" s="18" t="str">
        <f aca="false">IF(A458="","",SUMIFS(DECKS!$D$2:$D$1201,DECKS!$B$2:$B$1201,A458))</f>
        <v/>
      </c>
      <c r="J458" s="18" t="str">
        <f aca="false">IF(A458="","",MAX(0,I458-C458))</f>
        <v/>
      </c>
      <c r="K458" s="19" t="str">
        <f aca="false">IF(OR($A458="",INDEX(_LEITURA!$Q$2:$Q$21,1)=0),"",SUMIFS(DECKS!$D$2:$D$1201,DECKS!$A$2:$A$1201,INDEX(_LEITURA!$P$2:$P$21,1),DECKS!$B$2:$B$1201,$A458))</f>
        <v/>
      </c>
      <c r="L458" s="19" t="str">
        <f aca="false">IF(OR($A458="",INDEX(_LEITURA!$Q$2:$Q$21,2)=0),"",SUMIFS(DECKS!$D$2:$D$1201,DECKS!$A$2:$A$1201,INDEX(_LEITURA!$P$2:$P$21,2),DECKS!$B$2:$B$1201,$A458))</f>
        <v/>
      </c>
      <c r="M458" s="19" t="str">
        <f aca="false">IF(OR($A458="",INDEX(_LEITURA!$Q$2:$Q$21,3)=0),"",SUMIFS(DECKS!$D$2:$D$1201,DECKS!$A$2:$A$1201,INDEX(_LEITURA!$P$2:$P$21,3),DECKS!$B$2:$B$1201,$A458))</f>
        <v/>
      </c>
      <c r="N458" s="19" t="str">
        <f aca="false">IF(OR($A458="",INDEX(_LEITURA!$Q$2:$Q$21,4)=0),"",SUMIFS(DECKS!$D$2:$D$1201,DECKS!$A$2:$A$1201,INDEX(_LEITURA!$P$2:$P$21,4),DECKS!$B$2:$B$1201,$A458))</f>
        <v/>
      </c>
      <c r="O458" s="19" t="str">
        <f aca="false">IF(OR($A458="",INDEX(_LEITURA!$Q$2:$Q$21,5)=0),"",SUMIFS(DECKS!$D$2:$D$1201,DECKS!$A$2:$A$1201,INDEX(_LEITURA!$P$2:$P$21,5),DECKS!$B$2:$B$1201,$A458))</f>
        <v/>
      </c>
      <c r="P458" s="19" t="str">
        <f aca="false">IF(OR($A458="",INDEX(_LEITURA!$Q$2:$Q$21,6)=0),"",SUMIFS(DECKS!$D$2:$D$1201,DECKS!$A$2:$A$1201,INDEX(_LEITURA!$P$2:$P$21,6),DECKS!$B$2:$B$1201,$A458))</f>
        <v/>
      </c>
      <c r="Q458" s="19" t="str">
        <f aca="false">IF(OR($A458="",INDEX(_LEITURA!$Q$2:$Q$21,7)=0),"",SUMIFS(DECKS!$D$2:$D$1201,DECKS!$A$2:$A$1201,INDEX(_LEITURA!$P$2:$P$21,7),DECKS!$B$2:$B$1201,$A458))</f>
        <v/>
      </c>
      <c r="R458" s="19" t="str">
        <f aca="false">IF(OR($A458="",INDEX(_LEITURA!$Q$2:$Q$21,8)=0),"",SUMIFS(DECKS!$D$2:$D$1201,DECKS!$A$2:$A$1201,INDEX(_LEITURA!$P$2:$P$21,8),DECKS!$B$2:$B$1201,$A458))</f>
        <v/>
      </c>
      <c r="S458" s="19" t="str">
        <f aca="false">IF(OR($A458="",INDEX(_LEITURA!$Q$2:$Q$21,9)=0),"",SUMIFS(DECKS!$D$2:$D$1201,DECKS!$A$2:$A$1201,INDEX(_LEITURA!$P$2:$P$21,9),DECKS!$B$2:$B$1201,$A458))</f>
        <v/>
      </c>
      <c r="T458" s="19" t="str">
        <f aca="false">IF(OR($A458="",INDEX(_LEITURA!$Q$2:$Q$21,10)=0),"",SUMIFS(DECKS!$D$2:$D$1201,DECKS!$A$2:$A$1201,INDEX(_LEITURA!$P$2:$P$21,10),DECKS!$B$2:$B$1201,$A458))</f>
        <v/>
      </c>
      <c r="U458" s="19" t="str">
        <f aca="false">IF(OR($A458="",INDEX(_LEITURA!$Q$2:$Q$21,11)=0),"",SUMIFS(DECKS!$D$2:$D$1201,DECKS!$A$2:$A$1201,INDEX(_LEITURA!$P$2:$P$21,11),DECKS!$B$2:$B$1201,$A458))</f>
        <v/>
      </c>
      <c r="V458" s="19" t="str">
        <f aca="false">IF(OR($A458="",INDEX(_LEITURA!$Q$2:$Q$21,12)=0),"",SUMIFS(DECKS!$D$2:$D$1201,DECKS!$A$2:$A$1201,INDEX(_LEITURA!$P$2:$P$21,12),DECKS!$B$2:$B$1201,$A458))</f>
        <v/>
      </c>
      <c r="W458" s="19" t="str">
        <f aca="false">IF(OR($A458="",INDEX(_LEITURA!$Q$2:$Q$21,13)=0),"",SUMIFS(DECKS!$D$2:$D$1201,DECKS!$A$2:$A$1201,INDEX(_LEITURA!$P$2:$P$21,13),DECKS!$B$2:$B$1201,$A458))</f>
        <v/>
      </c>
      <c r="X458" s="19" t="str">
        <f aca="false">IF(OR($A458="",INDEX(_LEITURA!$Q$2:$Q$21,14)=0),"",SUMIFS(DECKS!$D$2:$D$1201,DECKS!$A$2:$A$1201,INDEX(_LEITURA!$P$2:$P$21,14),DECKS!$B$2:$B$1201,$A458))</f>
        <v/>
      </c>
      <c r="Y458" s="19" t="str">
        <f aca="false">IF(OR($A458="",INDEX(_LEITURA!$Q$2:$Q$21,15)=0),"",SUMIFS(DECKS!$D$2:$D$1201,DECKS!$A$2:$A$1201,INDEX(_LEITURA!$P$2:$P$21,15),DECKS!$B$2:$B$1201,$A458))</f>
        <v/>
      </c>
      <c r="Z458" s="19" t="str">
        <f aca="false">IF(OR($A458="",INDEX(_LEITURA!$Q$2:$Q$21,16)=0),"",SUMIFS(DECKS!$D$2:$D$1201,DECKS!$A$2:$A$1201,INDEX(_LEITURA!$P$2:$P$21,16),DECKS!$B$2:$B$1201,$A458))</f>
        <v/>
      </c>
      <c r="AA458" s="19" t="str">
        <f aca="false">IF(OR($A458="",INDEX(_LEITURA!$Q$2:$Q$21,17)=0),"",SUMIFS(DECKS!$D$2:$D$1201,DECKS!$A$2:$A$1201,INDEX(_LEITURA!$P$2:$P$21,17),DECKS!$B$2:$B$1201,$A458))</f>
        <v/>
      </c>
      <c r="AB458" s="19" t="str">
        <f aca="false">IF(OR($A458="",INDEX(_LEITURA!$Q$2:$Q$21,18)=0),"",SUMIFS(DECKS!$D$2:$D$1201,DECKS!$A$2:$A$1201,INDEX(_LEITURA!$P$2:$P$21,18),DECKS!$B$2:$B$1201,$A458))</f>
        <v/>
      </c>
      <c r="AC458" s="19" t="str">
        <f aca="false">IF(OR($A458="",INDEX(_LEITURA!$Q$2:$Q$21,19)=0),"",SUMIFS(DECKS!$D$2:$D$1201,DECKS!$A$2:$A$1201,INDEX(_LEITURA!$P$2:$P$21,19),DECKS!$B$2:$B$1201,$A458))</f>
        <v/>
      </c>
      <c r="AD458" s="19" t="str">
        <f aca="false">IF(OR($A458="",INDEX(_LEITURA!$Q$2:$Q$21,20)=0),"",SUMIFS(DECKS!$D$2:$D$1201,DECKS!$A$2:$A$1201,INDEX(_LEITURA!$P$2:$P$21,20),DECKS!$B$2:$B$1201,$A458))</f>
        <v/>
      </c>
      <c r="AE458" s="16" t="str">
        <f aca="false">IF(N(E458)&gt;0,MAX(AE$1:AE457)+1,"")</f>
        <v/>
      </c>
      <c r="AF458" s="11" t="str">
        <f aca="false">IF(A458="","",IFERROR(LEFT(A458,FIND("-",A458)-1),A458))</f>
        <v/>
      </c>
      <c r="AG458" s="11" t="str">
        <f aca="false">IF(AF458="","",IF(ISNUMBER(--MID(AF458,1,1)),0,IF(ISNUMBER(--MID(AF458,2,1)),1,IF(ISNUMBER(--MID(AF458,3,1)),2,IF(ISNUMBER(--MID(AF458,4,1)),3,MIN(LEN(AF458),4))))))</f>
        <v/>
      </c>
      <c r="AH458" s="11" t="str">
        <f aca="false">IF(A458="","",LEFT(AF458,AG458)&amp;REPT("0",4-AG458)&amp;RIGHT("000"&amp;IFERROR(VALUE(MID(AF458,AG458+1,9)),0),3)&amp;RIGHT("0000"&amp;IFERROR(VALUE(MID(A458,FIND("-",A458)+1,9)),0),4))</f>
        <v/>
      </c>
      <c r="AI458" s="11" t="str">
        <f aca="false">IF(OR(A458="",N(E458)&lt;=0),"",IF('FALTAS GERAL'!$M$1="Código","K"&amp;AH458&amp;RIGHT("00000"&amp;ROW(),5),IF('FALTAS GERAL'!$M$1="Nome","K"&amp;UPPER(SUBSTITUTE(SUBSTITUTE(SUBSTITUTE(B458,"*",""),"?",""),"~",""))&amp;"0"&amp;AH458&amp;RIGHT("00000"&amp;ROW(),5),IF('FALTAS GERAL'!$M$1="Falta (maior primeiro)","K"&amp;RIGHT("0000"&amp;(9999-E458),4)&amp;AH458&amp;RIGHT("00000"&amp;ROW(),5),IF('FALTAS GERAL'!$M$1="Nº de decks (maior primeiro)","K"&amp;RIGHT("00"&amp;(99-N(G458)),2)&amp;AH458&amp;RIGHT("00000"&amp;ROW(),5),"K"&amp;RIGHT("00000"&amp;ROW(),5))))))</f>
        <v/>
      </c>
      <c r="AJ458" s="11" t="str">
        <f aca="false">IF(AI458="","",COUNTIFS($AI$2:$AI$801,"&lt;"&amp;AI458,$E$2:$E$801,"&gt;0")+1)</f>
        <v/>
      </c>
      <c r="AK458" s="11" t="str">
        <f aca="false">IF(OR(A458="",N(E458)&lt;=0),"",COUNTIFS($AH$2:$AH$801,"&lt;"&amp;AH458,$E$2:$E$801,"&gt;0")+COUNTIFS($AH$2:AH458,AH458,$E$2:E458,"&gt;0"))</f>
        <v/>
      </c>
    </row>
    <row r="459" customFormat="false" ht="15" hidden="false" customHeight="false" outlineLevel="0" collapsed="false">
      <c r="A459" s="11" t="str">
        <f aca="false">IF(INVENTÁRIO!A459="","",INVENTÁRIO!A459)</f>
        <v/>
      </c>
      <c r="B459" s="11" t="str">
        <f aca="false">IF(A459="","",INVENTÁRIO!B459)</f>
        <v/>
      </c>
      <c r="C459" s="16" t="str">
        <f aca="false">IF(A459="","",INVENTÁRIO!C459)</f>
        <v/>
      </c>
      <c r="D459" s="14" t="str">
        <f aca="false">IF(A459="","",MAX(K459:AD459))</f>
        <v/>
      </c>
      <c r="E459" s="14" t="str">
        <f aca="false">IF(A459="","",MAX(0,D459-C459))</f>
        <v/>
      </c>
      <c r="F459" s="16" t="str">
        <f aca="false">IF(A459="","",IF(D459=0,"Fora dos decks",IF(E459=0,"Completo","Falta")))</f>
        <v/>
      </c>
      <c r="G459" s="16" t="str">
        <f aca="false">IF(A459="","",COUNTIF(K459:AD459,"&gt;0"))</f>
        <v/>
      </c>
      <c r="H459" s="16" t="str">
        <f aca="false">IF(A459="","",IF(G459&gt;1,"Sim",""))</f>
        <v/>
      </c>
      <c r="I459" s="18" t="str">
        <f aca="false">IF(A459="","",SUMIFS(DECKS!$D$2:$D$1201,DECKS!$B$2:$B$1201,A459))</f>
        <v/>
      </c>
      <c r="J459" s="18" t="str">
        <f aca="false">IF(A459="","",MAX(0,I459-C459))</f>
        <v/>
      </c>
      <c r="K459" s="19" t="str">
        <f aca="false">IF(OR($A459="",INDEX(_LEITURA!$Q$2:$Q$21,1)=0),"",SUMIFS(DECKS!$D$2:$D$1201,DECKS!$A$2:$A$1201,INDEX(_LEITURA!$P$2:$P$21,1),DECKS!$B$2:$B$1201,$A459))</f>
        <v/>
      </c>
      <c r="L459" s="19" t="str">
        <f aca="false">IF(OR($A459="",INDEX(_LEITURA!$Q$2:$Q$21,2)=0),"",SUMIFS(DECKS!$D$2:$D$1201,DECKS!$A$2:$A$1201,INDEX(_LEITURA!$P$2:$P$21,2),DECKS!$B$2:$B$1201,$A459))</f>
        <v/>
      </c>
      <c r="M459" s="19" t="str">
        <f aca="false">IF(OR($A459="",INDEX(_LEITURA!$Q$2:$Q$21,3)=0),"",SUMIFS(DECKS!$D$2:$D$1201,DECKS!$A$2:$A$1201,INDEX(_LEITURA!$P$2:$P$21,3),DECKS!$B$2:$B$1201,$A459))</f>
        <v/>
      </c>
      <c r="N459" s="19" t="str">
        <f aca="false">IF(OR($A459="",INDEX(_LEITURA!$Q$2:$Q$21,4)=0),"",SUMIFS(DECKS!$D$2:$D$1201,DECKS!$A$2:$A$1201,INDEX(_LEITURA!$P$2:$P$21,4),DECKS!$B$2:$B$1201,$A459))</f>
        <v/>
      </c>
      <c r="O459" s="19" t="str">
        <f aca="false">IF(OR($A459="",INDEX(_LEITURA!$Q$2:$Q$21,5)=0),"",SUMIFS(DECKS!$D$2:$D$1201,DECKS!$A$2:$A$1201,INDEX(_LEITURA!$P$2:$P$21,5),DECKS!$B$2:$B$1201,$A459))</f>
        <v/>
      </c>
      <c r="P459" s="19" t="str">
        <f aca="false">IF(OR($A459="",INDEX(_LEITURA!$Q$2:$Q$21,6)=0),"",SUMIFS(DECKS!$D$2:$D$1201,DECKS!$A$2:$A$1201,INDEX(_LEITURA!$P$2:$P$21,6),DECKS!$B$2:$B$1201,$A459))</f>
        <v/>
      </c>
      <c r="Q459" s="19" t="str">
        <f aca="false">IF(OR($A459="",INDEX(_LEITURA!$Q$2:$Q$21,7)=0),"",SUMIFS(DECKS!$D$2:$D$1201,DECKS!$A$2:$A$1201,INDEX(_LEITURA!$P$2:$P$21,7),DECKS!$B$2:$B$1201,$A459))</f>
        <v/>
      </c>
      <c r="R459" s="19" t="str">
        <f aca="false">IF(OR($A459="",INDEX(_LEITURA!$Q$2:$Q$21,8)=0),"",SUMIFS(DECKS!$D$2:$D$1201,DECKS!$A$2:$A$1201,INDEX(_LEITURA!$P$2:$P$21,8),DECKS!$B$2:$B$1201,$A459))</f>
        <v/>
      </c>
      <c r="S459" s="19" t="str">
        <f aca="false">IF(OR($A459="",INDEX(_LEITURA!$Q$2:$Q$21,9)=0),"",SUMIFS(DECKS!$D$2:$D$1201,DECKS!$A$2:$A$1201,INDEX(_LEITURA!$P$2:$P$21,9),DECKS!$B$2:$B$1201,$A459))</f>
        <v/>
      </c>
      <c r="T459" s="19" t="str">
        <f aca="false">IF(OR($A459="",INDEX(_LEITURA!$Q$2:$Q$21,10)=0),"",SUMIFS(DECKS!$D$2:$D$1201,DECKS!$A$2:$A$1201,INDEX(_LEITURA!$P$2:$P$21,10),DECKS!$B$2:$B$1201,$A459))</f>
        <v/>
      </c>
      <c r="U459" s="19" t="str">
        <f aca="false">IF(OR($A459="",INDEX(_LEITURA!$Q$2:$Q$21,11)=0),"",SUMIFS(DECKS!$D$2:$D$1201,DECKS!$A$2:$A$1201,INDEX(_LEITURA!$P$2:$P$21,11),DECKS!$B$2:$B$1201,$A459))</f>
        <v/>
      </c>
      <c r="V459" s="19" t="str">
        <f aca="false">IF(OR($A459="",INDEX(_LEITURA!$Q$2:$Q$21,12)=0),"",SUMIFS(DECKS!$D$2:$D$1201,DECKS!$A$2:$A$1201,INDEX(_LEITURA!$P$2:$P$21,12),DECKS!$B$2:$B$1201,$A459))</f>
        <v/>
      </c>
      <c r="W459" s="19" t="str">
        <f aca="false">IF(OR($A459="",INDEX(_LEITURA!$Q$2:$Q$21,13)=0),"",SUMIFS(DECKS!$D$2:$D$1201,DECKS!$A$2:$A$1201,INDEX(_LEITURA!$P$2:$P$21,13),DECKS!$B$2:$B$1201,$A459))</f>
        <v/>
      </c>
      <c r="X459" s="19" t="str">
        <f aca="false">IF(OR($A459="",INDEX(_LEITURA!$Q$2:$Q$21,14)=0),"",SUMIFS(DECKS!$D$2:$D$1201,DECKS!$A$2:$A$1201,INDEX(_LEITURA!$P$2:$P$21,14),DECKS!$B$2:$B$1201,$A459))</f>
        <v/>
      </c>
      <c r="Y459" s="19" t="str">
        <f aca="false">IF(OR($A459="",INDEX(_LEITURA!$Q$2:$Q$21,15)=0),"",SUMIFS(DECKS!$D$2:$D$1201,DECKS!$A$2:$A$1201,INDEX(_LEITURA!$P$2:$P$21,15),DECKS!$B$2:$B$1201,$A459))</f>
        <v/>
      </c>
      <c r="Z459" s="19" t="str">
        <f aca="false">IF(OR($A459="",INDEX(_LEITURA!$Q$2:$Q$21,16)=0),"",SUMIFS(DECKS!$D$2:$D$1201,DECKS!$A$2:$A$1201,INDEX(_LEITURA!$P$2:$P$21,16),DECKS!$B$2:$B$1201,$A459))</f>
        <v/>
      </c>
      <c r="AA459" s="19" t="str">
        <f aca="false">IF(OR($A459="",INDEX(_LEITURA!$Q$2:$Q$21,17)=0),"",SUMIFS(DECKS!$D$2:$D$1201,DECKS!$A$2:$A$1201,INDEX(_LEITURA!$P$2:$P$21,17),DECKS!$B$2:$B$1201,$A459))</f>
        <v/>
      </c>
      <c r="AB459" s="19" t="str">
        <f aca="false">IF(OR($A459="",INDEX(_LEITURA!$Q$2:$Q$21,18)=0),"",SUMIFS(DECKS!$D$2:$D$1201,DECKS!$A$2:$A$1201,INDEX(_LEITURA!$P$2:$P$21,18),DECKS!$B$2:$B$1201,$A459))</f>
        <v/>
      </c>
      <c r="AC459" s="19" t="str">
        <f aca="false">IF(OR($A459="",INDEX(_LEITURA!$Q$2:$Q$21,19)=0),"",SUMIFS(DECKS!$D$2:$D$1201,DECKS!$A$2:$A$1201,INDEX(_LEITURA!$P$2:$P$21,19),DECKS!$B$2:$B$1201,$A459))</f>
        <v/>
      </c>
      <c r="AD459" s="19" t="str">
        <f aca="false">IF(OR($A459="",INDEX(_LEITURA!$Q$2:$Q$21,20)=0),"",SUMIFS(DECKS!$D$2:$D$1201,DECKS!$A$2:$A$1201,INDEX(_LEITURA!$P$2:$P$21,20),DECKS!$B$2:$B$1201,$A459))</f>
        <v/>
      </c>
      <c r="AE459" s="16" t="str">
        <f aca="false">IF(N(E459)&gt;0,MAX(AE$1:AE458)+1,"")</f>
        <v/>
      </c>
      <c r="AF459" s="11" t="str">
        <f aca="false">IF(A459="","",IFERROR(LEFT(A459,FIND("-",A459)-1),A459))</f>
        <v/>
      </c>
      <c r="AG459" s="11" t="str">
        <f aca="false">IF(AF459="","",IF(ISNUMBER(--MID(AF459,1,1)),0,IF(ISNUMBER(--MID(AF459,2,1)),1,IF(ISNUMBER(--MID(AF459,3,1)),2,IF(ISNUMBER(--MID(AF459,4,1)),3,MIN(LEN(AF459),4))))))</f>
        <v/>
      </c>
      <c r="AH459" s="11" t="str">
        <f aca="false">IF(A459="","",LEFT(AF459,AG459)&amp;REPT("0",4-AG459)&amp;RIGHT("000"&amp;IFERROR(VALUE(MID(AF459,AG459+1,9)),0),3)&amp;RIGHT("0000"&amp;IFERROR(VALUE(MID(A459,FIND("-",A459)+1,9)),0),4))</f>
        <v/>
      </c>
      <c r="AI459" s="11" t="str">
        <f aca="false">IF(OR(A459="",N(E459)&lt;=0),"",IF('FALTAS GERAL'!$M$1="Código","K"&amp;AH459&amp;RIGHT("00000"&amp;ROW(),5),IF('FALTAS GERAL'!$M$1="Nome","K"&amp;UPPER(SUBSTITUTE(SUBSTITUTE(SUBSTITUTE(B459,"*",""),"?",""),"~",""))&amp;"0"&amp;AH459&amp;RIGHT("00000"&amp;ROW(),5),IF('FALTAS GERAL'!$M$1="Falta (maior primeiro)","K"&amp;RIGHT("0000"&amp;(9999-E459),4)&amp;AH459&amp;RIGHT("00000"&amp;ROW(),5),IF('FALTAS GERAL'!$M$1="Nº de decks (maior primeiro)","K"&amp;RIGHT("00"&amp;(99-N(G459)),2)&amp;AH459&amp;RIGHT("00000"&amp;ROW(),5),"K"&amp;RIGHT("00000"&amp;ROW(),5))))))</f>
        <v/>
      </c>
      <c r="AJ459" s="11" t="str">
        <f aca="false">IF(AI459="","",COUNTIFS($AI$2:$AI$801,"&lt;"&amp;AI459,$E$2:$E$801,"&gt;0")+1)</f>
        <v/>
      </c>
      <c r="AK459" s="11" t="str">
        <f aca="false">IF(OR(A459="",N(E459)&lt;=0),"",COUNTIFS($AH$2:$AH$801,"&lt;"&amp;AH459,$E$2:$E$801,"&gt;0")+COUNTIFS($AH$2:AH459,AH459,$E$2:E459,"&gt;0"))</f>
        <v/>
      </c>
    </row>
    <row r="460" customFormat="false" ht="15" hidden="false" customHeight="false" outlineLevel="0" collapsed="false">
      <c r="A460" s="11" t="str">
        <f aca="false">IF(INVENTÁRIO!A460="","",INVENTÁRIO!A460)</f>
        <v/>
      </c>
      <c r="B460" s="11" t="str">
        <f aca="false">IF(A460="","",INVENTÁRIO!B460)</f>
        <v/>
      </c>
      <c r="C460" s="16" t="str">
        <f aca="false">IF(A460="","",INVENTÁRIO!C460)</f>
        <v/>
      </c>
      <c r="D460" s="14" t="str">
        <f aca="false">IF(A460="","",MAX(K460:AD460))</f>
        <v/>
      </c>
      <c r="E460" s="14" t="str">
        <f aca="false">IF(A460="","",MAX(0,D460-C460))</f>
        <v/>
      </c>
      <c r="F460" s="16" t="str">
        <f aca="false">IF(A460="","",IF(D460=0,"Fora dos decks",IF(E460=0,"Completo","Falta")))</f>
        <v/>
      </c>
      <c r="G460" s="16" t="str">
        <f aca="false">IF(A460="","",COUNTIF(K460:AD460,"&gt;0"))</f>
        <v/>
      </c>
      <c r="H460" s="16" t="str">
        <f aca="false">IF(A460="","",IF(G460&gt;1,"Sim",""))</f>
        <v/>
      </c>
      <c r="I460" s="18" t="str">
        <f aca="false">IF(A460="","",SUMIFS(DECKS!$D$2:$D$1201,DECKS!$B$2:$B$1201,A460))</f>
        <v/>
      </c>
      <c r="J460" s="18" t="str">
        <f aca="false">IF(A460="","",MAX(0,I460-C460))</f>
        <v/>
      </c>
      <c r="K460" s="19" t="str">
        <f aca="false">IF(OR($A460="",INDEX(_LEITURA!$Q$2:$Q$21,1)=0),"",SUMIFS(DECKS!$D$2:$D$1201,DECKS!$A$2:$A$1201,INDEX(_LEITURA!$P$2:$P$21,1),DECKS!$B$2:$B$1201,$A460))</f>
        <v/>
      </c>
      <c r="L460" s="19" t="str">
        <f aca="false">IF(OR($A460="",INDEX(_LEITURA!$Q$2:$Q$21,2)=0),"",SUMIFS(DECKS!$D$2:$D$1201,DECKS!$A$2:$A$1201,INDEX(_LEITURA!$P$2:$P$21,2),DECKS!$B$2:$B$1201,$A460))</f>
        <v/>
      </c>
      <c r="M460" s="19" t="str">
        <f aca="false">IF(OR($A460="",INDEX(_LEITURA!$Q$2:$Q$21,3)=0),"",SUMIFS(DECKS!$D$2:$D$1201,DECKS!$A$2:$A$1201,INDEX(_LEITURA!$P$2:$P$21,3),DECKS!$B$2:$B$1201,$A460))</f>
        <v/>
      </c>
      <c r="N460" s="19" t="str">
        <f aca="false">IF(OR($A460="",INDEX(_LEITURA!$Q$2:$Q$21,4)=0),"",SUMIFS(DECKS!$D$2:$D$1201,DECKS!$A$2:$A$1201,INDEX(_LEITURA!$P$2:$P$21,4),DECKS!$B$2:$B$1201,$A460))</f>
        <v/>
      </c>
      <c r="O460" s="19" t="str">
        <f aca="false">IF(OR($A460="",INDEX(_LEITURA!$Q$2:$Q$21,5)=0),"",SUMIFS(DECKS!$D$2:$D$1201,DECKS!$A$2:$A$1201,INDEX(_LEITURA!$P$2:$P$21,5),DECKS!$B$2:$B$1201,$A460))</f>
        <v/>
      </c>
      <c r="P460" s="19" t="str">
        <f aca="false">IF(OR($A460="",INDEX(_LEITURA!$Q$2:$Q$21,6)=0),"",SUMIFS(DECKS!$D$2:$D$1201,DECKS!$A$2:$A$1201,INDEX(_LEITURA!$P$2:$P$21,6),DECKS!$B$2:$B$1201,$A460))</f>
        <v/>
      </c>
      <c r="Q460" s="19" t="str">
        <f aca="false">IF(OR($A460="",INDEX(_LEITURA!$Q$2:$Q$21,7)=0),"",SUMIFS(DECKS!$D$2:$D$1201,DECKS!$A$2:$A$1201,INDEX(_LEITURA!$P$2:$P$21,7),DECKS!$B$2:$B$1201,$A460))</f>
        <v/>
      </c>
      <c r="R460" s="19" t="str">
        <f aca="false">IF(OR($A460="",INDEX(_LEITURA!$Q$2:$Q$21,8)=0),"",SUMIFS(DECKS!$D$2:$D$1201,DECKS!$A$2:$A$1201,INDEX(_LEITURA!$P$2:$P$21,8),DECKS!$B$2:$B$1201,$A460))</f>
        <v/>
      </c>
      <c r="S460" s="19" t="str">
        <f aca="false">IF(OR($A460="",INDEX(_LEITURA!$Q$2:$Q$21,9)=0),"",SUMIFS(DECKS!$D$2:$D$1201,DECKS!$A$2:$A$1201,INDEX(_LEITURA!$P$2:$P$21,9),DECKS!$B$2:$B$1201,$A460))</f>
        <v/>
      </c>
      <c r="T460" s="19" t="str">
        <f aca="false">IF(OR($A460="",INDEX(_LEITURA!$Q$2:$Q$21,10)=0),"",SUMIFS(DECKS!$D$2:$D$1201,DECKS!$A$2:$A$1201,INDEX(_LEITURA!$P$2:$P$21,10),DECKS!$B$2:$B$1201,$A460))</f>
        <v/>
      </c>
      <c r="U460" s="19" t="str">
        <f aca="false">IF(OR($A460="",INDEX(_LEITURA!$Q$2:$Q$21,11)=0),"",SUMIFS(DECKS!$D$2:$D$1201,DECKS!$A$2:$A$1201,INDEX(_LEITURA!$P$2:$P$21,11),DECKS!$B$2:$B$1201,$A460))</f>
        <v/>
      </c>
      <c r="V460" s="19" t="str">
        <f aca="false">IF(OR($A460="",INDEX(_LEITURA!$Q$2:$Q$21,12)=0),"",SUMIFS(DECKS!$D$2:$D$1201,DECKS!$A$2:$A$1201,INDEX(_LEITURA!$P$2:$P$21,12),DECKS!$B$2:$B$1201,$A460))</f>
        <v/>
      </c>
      <c r="W460" s="19" t="str">
        <f aca="false">IF(OR($A460="",INDEX(_LEITURA!$Q$2:$Q$21,13)=0),"",SUMIFS(DECKS!$D$2:$D$1201,DECKS!$A$2:$A$1201,INDEX(_LEITURA!$P$2:$P$21,13),DECKS!$B$2:$B$1201,$A460))</f>
        <v/>
      </c>
      <c r="X460" s="19" t="str">
        <f aca="false">IF(OR($A460="",INDEX(_LEITURA!$Q$2:$Q$21,14)=0),"",SUMIFS(DECKS!$D$2:$D$1201,DECKS!$A$2:$A$1201,INDEX(_LEITURA!$P$2:$P$21,14),DECKS!$B$2:$B$1201,$A460))</f>
        <v/>
      </c>
      <c r="Y460" s="19" t="str">
        <f aca="false">IF(OR($A460="",INDEX(_LEITURA!$Q$2:$Q$21,15)=0),"",SUMIFS(DECKS!$D$2:$D$1201,DECKS!$A$2:$A$1201,INDEX(_LEITURA!$P$2:$P$21,15),DECKS!$B$2:$B$1201,$A460))</f>
        <v/>
      </c>
      <c r="Z460" s="19" t="str">
        <f aca="false">IF(OR($A460="",INDEX(_LEITURA!$Q$2:$Q$21,16)=0),"",SUMIFS(DECKS!$D$2:$D$1201,DECKS!$A$2:$A$1201,INDEX(_LEITURA!$P$2:$P$21,16),DECKS!$B$2:$B$1201,$A460))</f>
        <v/>
      </c>
      <c r="AA460" s="19" t="str">
        <f aca="false">IF(OR($A460="",INDEX(_LEITURA!$Q$2:$Q$21,17)=0),"",SUMIFS(DECKS!$D$2:$D$1201,DECKS!$A$2:$A$1201,INDEX(_LEITURA!$P$2:$P$21,17),DECKS!$B$2:$B$1201,$A460))</f>
        <v/>
      </c>
      <c r="AB460" s="19" t="str">
        <f aca="false">IF(OR($A460="",INDEX(_LEITURA!$Q$2:$Q$21,18)=0),"",SUMIFS(DECKS!$D$2:$D$1201,DECKS!$A$2:$A$1201,INDEX(_LEITURA!$P$2:$P$21,18),DECKS!$B$2:$B$1201,$A460))</f>
        <v/>
      </c>
      <c r="AC460" s="19" t="str">
        <f aca="false">IF(OR($A460="",INDEX(_LEITURA!$Q$2:$Q$21,19)=0),"",SUMIFS(DECKS!$D$2:$D$1201,DECKS!$A$2:$A$1201,INDEX(_LEITURA!$P$2:$P$21,19),DECKS!$B$2:$B$1201,$A460))</f>
        <v/>
      </c>
      <c r="AD460" s="19" t="str">
        <f aca="false">IF(OR($A460="",INDEX(_LEITURA!$Q$2:$Q$21,20)=0),"",SUMIFS(DECKS!$D$2:$D$1201,DECKS!$A$2:$A$1201,INDEX(_LEITURA!$P$2:$P$21,20),DECKS!$B$2:$B$1201,$A460))</f>
        <v/>
      </c>
      <c r="AE460" s="16" t="str">
        <f aca="false">IF(N(E460)&gt;0,MAX(AE$1:AE459)+1,"")</f>
        <v/>
      </c>
      <c r="AF460" s="11" t="str">
        <f aca="false">IF(A460="","",IFERROR(LEFT(A460,FIND("-",A460)-1),A460))</f>
        <v/>
      </c>
      <c r="AG460" s="11" t="str">
        <f aca="false">IF(AF460="","",IF(ISNUMBER(--MID(AF460,1,1)),0,IF(ISNUMBER(--MID(AF460,2,1)),1,IF(ISNUMBER(--MID(AF460,3,1)),2,IF(ISNUMBER(--MID(AF460,4,1)),3,MIN(LEN(AF460),4))))))</f>
        <v/>
      </c>
      <c r="AH460" s="11" t="str">
        <f aca="false">IF(A460="","",LEFT(AF460,AG460)&amp;REPT("0",4-AG460)&amp;RIGHT("000"&amp;IFERROR(VALUE(MID(AF460,AG460+1,9)),0),3)&amp;RIGHT("0000"&amp;IFERROR(VALUE(MID(A460,FIND("-",A460)+1,9)),0),4))</f>
        <v/>
      </c>
      <c r="AI460" s="11" t="str">
        <f aca="false">IF(OR(A460="",N(E460)&lt;=0),"",IF('FALTAS GERAL'!$M$1="Código","K"&amp;AH460&amp;RIGHT("00000"&amp;ROW(),5),IF('FALTAS GERAL'!$M$1="Nome","K"&amp;UPPER(SUBSTITUTE(SUBSTITUTE(SUBSTITUTE(B460,"*",""),"?",""),"~",""))&amp;"0"&amp;AH460&amp;RIGHT("00000"&amp;ROW(),5),IF('FALTAS GERAL'!$M$1="Falta (maior primeiro)","K"&amp;RIGHT("0000"&amp;(9999-E460),4)&amp;AH460&amp;RIGHT("00000"&amp;ROW(),5),IF('FALTAS GERAL'!$M$1="Nº de decks (maior primeiro)","K"&amp;RIGHT("00"&amp;(99-N(G460)),2)&amp;AH460&amp;RIGHT("00000"&amp;ROW(),5),"K"&amp;RIGHT("00000"&amp;ROW(),5))))))</f>
        <v/>
      </c>
      <c r="AJ460" s="11" t="str">
        <f aca="false">IF(AI460="","",COUNTIFS($AI$2:$AI$801,"&lt;"&amp;AI460,$E$2:$E$801,"&gt;0")+1)</f>
        <v/>
      </c>
      <c r="AK460" s="11" t="str">
        <f aca="false">IF(OR(A460="",N(E460)&lt;=0),"",COUNTIFS($AH$2:$AH$801,"&lt;"&amp;AH460,$E$2:$E$801,"&gt;0")+COUNTIFS($AH$2:AH460,AH460,$E$2:E460,"&gt;0"))</f>
        <v/>
      </c>
    </row>
    <row r="461" customFormat="false" ht="15" hidden="false" customHeight="false" outlineLevel="0" collapsed="false">
      <c r="A461" s="11" t="str">
        <f aca="false">IF(INVENTÁRIO!A461="","",INVENTÁRIO!A461)</f>
        <v/>
      </c>
      <c r="B461" s="11" t="str">
        <f aca="false">IF(A461="","",INVENTÁRIO!B461)</f>
        <v/>
      </c>
      <c r="C461" s="16" t="str">
        <f aca="false">IF(A461="","",INVENTÁRIO!C461)</f>
        <v/>
      </c>
      <c r="D461" s="14" t="str">
        <f aca="false">IF(A461="","",MAX(K461:AD461))</f>
        <v/>
      </c>
      <c r="E461" s="14" t="str">
        <f aca="false">IF(A461="","",MAX(0,D461-C461))</f>
        <v/>
      </c>
      <c r="F461" s="16" t="str">
        <f aca="false">IF(A461="","",IF(D461=0,"Fora dos decks",IF(E461=0,"Completo","Falta")))</f>
        <v/>
      </c>
      <c r="G461" s="16" t="str">
        <f aca="false">IF(A461="","",COUNTIF(K461:AD461,"&gt;0"))</f>
        <v/>
      </c>
      <c r="H461" s="16" t="str">
        <f aca="false">IF(A461="","",IF(G461&gt;1,"Sim",""))</f>
        <v/>
      </c>
      <c r="I461" s="18" t="str">
        <f aca="false">IF(A461="","",SUMIFS(DECKS!$D$2:$D$1201,DECKS!$B$2:$B$1201,A461))</f>
        <v/>
      </c>
      <c r="J461" s="18" t="str">
        <f aca="false">IF(A461="","",MAX(0,I461-C461))</f>
        <v/>
      </c>
      <c r="K461" s="19" t="str">
        <f aca="false">IF(OR($A461="",INDEX(_LEITURA!$Q$2:$Q$21,1)=0),"",SUMIFS(DECKS!$D$2:$D$1201,DECKS!$A$2:$A$1201,INDEX(_LEITURA!$P$2:$P$21,1),DECKS!$B$2:$B$1201,$A461))</f>
        <v/>
      </c>
      <c r="L461" s="19" t="str">
        <f aca="false">IF(OR($A461="",INDEX(_LEITURA!$Q$2:$Q$21,2)=0),"",SUMIFS(DECKS!$D$2:$D$1201,DECKS!$A$2:$A$1201,INDEX(_LEITURA!$P$2:$P$21,2),DECKS!$B$2:$B$1201,$A461))</f>
        <v/>
      </c>
      <c r="M461" s="19" t="str">
        <f aca="false">IF(OR($A461="",INDEX(_LEITURA!$Q$2:$Q$21,3)=0),"",SUMIFS(DECKS!$D$2:$D$1201,DECKS!$A$2:$A$1201,INDEX(_LEITURA!$P$2:$P$21,3),DECKS!$B$2:$B$1201,$A461))</f>
        <v/>
      </c>
      <c r="N461" s="19" t="str">
        <f aca="false">IF(OR($A461="",INDEX(_LEITURA!$Q$2:$Q$21,4)=0),"",SUMIFS(DECKS!$D$2:$D$1201,DECKS!$A$2:$A$1201,INDEX(_LEITURA!$P$2:$P$21,4),DECKS!$B$2:$B$1201,$A461))</f>
        <v/>
      </c>
      <c r="O461" s="19" t="str">
        <f aca="false">IF(OR($A461="",INDEX(_LEITURA!$Q$2:$Q$21,5)=0),"",SUMIFS(DECKS!$D$2:$D$1201,DECKS!$A$2:$A$1201,INDEX(_LEITURA!$P$2:$P$21,5),DECKS!$B$2:$B$1201,$A461))</f>
        <v/>
      </c>
      <c r="P461" s="19" t="str">
        <f aca="false">IF(OR($A461="",INDEX(_LEITURA!$Q$2:$Q$21,6)=0),"",SUMIFS(DECKS!$D$2:$D$1201,DECKS!$A$2:$A$1201,INDEX(_LEITURA!$P$2:$P$21,6),DECKS!$B$2:$B$1201,$A461))</f>
        <v/>
      </c>
      <c r="Q461" s="19" t="str">
        <f aca="false">IF(OR($A461="",INDEX(_LEITURA!$Q$2:$Q$21,7)=0),"",SUMIFS(DECKS!$D$2:$D$1201,DECKS!$A$2:$A$1201,INDEX(_LEITURA!$P$2:$P$21,7),DECKS!$B$2:$B$1201,$A461))</f>
        <v/>
      </c>
      <c r="R461" s="19" t="str">
        <f aca="false">IF(OR($A461="",INDEX(_LEITURA!$Q$2:$Q$21,8)=0),"",SUMIFS(DECKS!$D$2:$D$1201,DECKS!$A$2:$A$1201,INDEX(_LEITURA!$P$2:$P$21,8),DECKS!$B$2:$B$1201,$A461))</f>
        <v/>
      </c>
      <c r="S461" s="19" t="str">
        <f aca="false">IF(OR($A461="",INDEX(_LEITURA!$Q$2:$Q$21,9)=0),"",SUMIFS(DECKS!$D$2:$D$1201,DECKS!$A$2:$A$1201,INDEX(_LEITURA!$P$2:$P$21,9),DECKS!$B$2:$B$1201,$A461))</f>
        <v/>
      </c>
      <c r="T461" s="19" t="str">
        <f aca="false">IF(OR($A461="",INDEX(_LEITURA!$Q$2:$Q$21,10)=0),"",SUMIFS(DECKS!$D$2:$D$1201,DECKS!$A$2:$A$1201,INDEX(_LEITURA!$P$2:$P$21,10),DECKS!$B$2:$B$1201,$A461))</f>
        <v/>
      </c>
      <c r="U461" s="19" t="str">
        <f aca="false">IF(OR($A461="",INDEX(_LEITURA!$Q$2:$Q$21,11)=0),"",SUMIFS(DECKS!$D$2:$D$1201,DECKS!$A$2:$A$1201,INDEX(_LEITURA!$P$2:$P$21,11),DECKS!$B$2:$B$1201,$A461))</f>
        <v/>
      </c>
      <c r="V461" s="19" t="str">
        <f aca="false">IF(OR($A461="",INDEX(_LEITURA!$Q$2:$Q$21,12)=0),"",SUMIFS(DECKS!$D$2:$D$1201,DECKS!$A$2:$A$1201,INDEX(_LEITURA!$P$2:$P$21,12),DECKS!$B$2:$B$1201,$A461))</f>
        <v/>
      </c>
      <c r="W461" s="19" t="str">
        <f aca="false">IF(OR($A461="",INDEX(_LEITURA!$Q$2:$Q$21,13)=0),"",SUMIFS(DECKS!$D$2:$D$1201,DECKS!$A$2:$A$1201,INDEX(_LEITURA!$P$2:$P$21,13),DECKS!$B$2:$B$1201,$A461))</f>
        <v/>
      </c>
      <c r="X461" s="19" t="str">
        <f aca="false">IF(OR($A461="",INDEX(_LEITURA!$Q$2:$Q$21,14)=0),"",SUMIFS(DECKS!$D$2:$D$1201,DECKS!$A$2:$A$1201,INDEX(_LEITURA!$P$2:$P$21,14),DECKS!$B$2:$B$1201,$A461))</f>
        <v/>
      </c>
      <c r="Y461" s="19" t="str">
        <f aca="false">IF(OR($A461="",INDEX(_LEITURA!$Q$2:$Q$21,15)=0),"",SUMIFS(DECKS!$D$2:$D$1201,DECKS!$A$2:$A$1201,INDEX(_LEITURA!$P$2:$P$21,15),DECKS!$B$2:$B$1201,$A461))</f>
        <v/>
      </c>
      <c r="Z461" s="19" t="str">
        <f aca="false">IF(OR($A461="",INDEX(_LEITURA!$Q$2:$Q$21,16)=0),"",SUMIFS(DECKS!$D$2:$D$1201,DECKS!$A$2:$A$1201,INDEX(_LEITURA!$P$2:$P$21,16),DECKS!$B$2:$B$1201,$A461))</f>
        <v/>
      </c>
      <c r="AA461" s="19" t="str">
        <f aca="false">IF(OR($A461="",INDEX(_LEITURA!$Q$2:$Q$21,17)=0),"",SUMIFS(DECKS!$D$2:$D$1201,DECKS!$A$2:$A$1201,INDEX(_LEITURA!$P$2:$P$21,17),DECKS!$B$2:$B$1201,$A461))</f>
        <v/>
      </c>
      <c r="AB461" s="19" t="str">
        <f aca="false">IF(OR($A461="",INDEX(_LEITURA!$Q$2:$Q$21,18)=0),"",SUMIFS(DECKS!$D$2:$D$1201,DECKS!$A$2:$A$1201,INDEX(_LEITURA!$P$2:$P$21,18),DECKS!$B$2:$B$1201,$A461))</f>
        <v/>
      </c>
      <c r="AC461" s="19" t="str">
        <f aca="false">IF(OR($A461="",INDEX(_LEITURA!$Q$2:$Q$21,19)=0),"",SUMIFS(DECKS!$D$2:$D$1201,DECKS!$A$2:$A$1201,INDEX(_LEITURA!$P$2:$P$21,19),DECKS!$B$2:$B$1201,$A461))</f>
        <v/>
      </c>
      <c r="AD461" s="19" t="str">
        <f aca="false">IF(OR($A461="",INDEX(_LEITURA!$Q$2:$Q$21,20)=0),"",SUMIFS(DECKS!$D$2:$D$1201,DECKS!$A$2:$A$1201,INDEX(_LEITURA!$P$2:$P$21,20),DECKS!$B$2:$B$1201,$A461))</f>
        <v/>
      </c>
      <c r="AE461" s="16" t="str">
        <f aca="false">IF(N(E461)&gt;0,MAX(AE$1:AE460)+1,"")</f>
        <v/>
      </c>
      <c r="AF461" s="11" t="str">
        <f aca="false">IF(A461="","",IFERROR(LEFT(A461,FIND("-",A461)-1),A461))</f>
        <v/>
      </c>
      <c r="AG461" s="11" t="str">
        <f aca="false">IF(AF461="","",IF(ISNUMBER(--MID(AF461,1,1)),0,IF(ISNUMBER(--MID(AF461,2,1)),1,IF(ISNUMBER(--MID(AF461,3,1)),2,IF(ISNUMBER(--MID(AF461,4,1)),3,MIN(LEN(AF461),4))))))</f>
        <v/>
      </c>
      <c r="AH461" s="11" t="str">
        <f aca="false">IF(A461="","",LEFT(AF461,AG461)&amp;REPT("0",4-AG461)&amp;RIGHT("000"&amp;IFERROR(VALUE(MID(AF461,AG461+1,9)),0),3)&amp;RIGHT("0000"&amp;IFERROR(VALUE(MID(A461,FIND("-",A461)+1,9)),0),4))</f>
        <v/>
      </c>
      <c r="AI461" s="11" t="str">
        <f aca="false">IF(OR(A461="",N(E461)&lt;=0),"",IF('FALTAS GERAL'!$M$1="Código","K"&amp;AH461&amp;RIGHT("00000"&amp;ROW(),5),IF('FALTAS GERAL'!$M$1="Nome","K"&amp;UPPER(SUBSTITUTE(SUBSTITUTE(SUBSTITUTE(B461,"*",""),"?",""),"~",""))&amp;"0"&amp;AH461&amp;RIGHT("00000"&amp;ROW(),5),IF('FALTAS GERAL'!$M$1="Falta (maior primeiro)","K"&amp;RIGHT("0000"&amp;(9999-E461),4)&amp;AH461&amp;RIGHT("00000"&amp;ROW(),5),IF('FALTAS GERAL'!$M$1="Nº de decks (maior primeiro)","K"&amp;RIGHT("00"&amp;(99-N(G461)),2)&amp;AH461&amp;RIGHT("00000"&amp;ROW(),5),"K"&amp;RIGHT("00000"&amp;ROW(),5))))))</f>
        <v/>
      </c>
      <c r="AJ461" s="11" t="str">
        <f aca="false">IF(AI461="","",COUNTIFS($AI$2:$AI$801,"&lt;"&amp;AI461,$E$2:$E$801,"&gt;0")+1)</f>
        <v/>
      </c>
      <c r="AK461" s="11" t="str">
        <f aca="false">IF(OR(A461="",N(E461)&lt;=0),"",COUNTIFS($AH$2:$AH$801,"&lt;"&amp;AH461,$E$2:$E$801,"&gt;0")+COUNTIFS($AH$2:AH461,AH461,$E$2:E461,"&gt;0"))</f>
        <v/>
      </c>
    </row>
    <row r="462" customFormat="false" ht="15" hidden="false" customHeight="false" outlineLevel="0" collapsed="false">
      <c r="A462" s="11" t="str">
        <f aca="false">IF(INVENTÁRIO!A462="","",INVENTÁRIO!A462)</f>
        <v/>
      </c>
      <c r="B462" s="11" t="str">
        <f aca="false">IF(A462="","",INVENTÁRIO!B462)</f>
        <v/>
      </c>
      <c r="C462" s="16" t="str">
        <f aca="false">IF(A462="","",INVENTÁRIO!C462)</f>
        <v/>
      </c>
      <c r="D462" s="14" t="str">
        <f aca="false">IF(A462="","",MAX(K462:AD462))</f>
        <v/>
      </c>
      <c r="E462" s="14" t="str">
        <f aca="false">IF(A462="","",MAX(0,D462-C462))</f>
        <v/>
      </c>
      <c r="F462" s="16" t="str">
        <f aca="false">IF(A462="","",IF(D462=0,"Fora dos decks",IF(E462=0,"Completo","Falta")))</f>
        <v/>
      </c>
      <c r="G462" s="16" t="str">
        <f aca="false">IF(A462="","",COUNTIF(K462:AD462,"&gt;0"))</f>
        <v/>
      </c>
      <c r="H462" s="16" t="str">
        <f aca="false">IF(A462="","",IF(G462&gt;1,"Sim",""))</f>
        <v/>
      </c>
      <c r="I462" s="18" t="str">
        <f aca="false">IF(A462="","",SUMIFS(DECKS!$D$2:$D$1201,DECKS!$B$2:$B$1201,A462))</f>
        <v/>
      </c>
      <c r="J462" s="18" t="str">
        <f aca="false">IF(A462="","",MAX(0,I462-C462))</f>
        <v/>
      </c>
      <c r="K462" s="19" t="str">
        <f aca="false">IF(OR($A462="",INDEX(_LEITURA!$Q$2:$Q$21,1)=0),"",SUMIFS(DECKS!$D$2:$D$1201,DECKS!$A$2:$A$1201,INDEX(_LEITURA!$P$2:$P$21,1),DECKS!$B$2:$B$1201,$A462))</f>
        <v/>
      </c>
      <c r="L462" s="19" t="str">
        <f aca="false">IF(OR($A462="",INDEX(_LEITURA!$Q$2:$Q$21,2)=0),"",SUMIFS(DECKS!$D$2:$D$1201,DECKS!$A$2:$A$1201,INDEX(_LEITURA!$P$2:$P$21,2),DECKS!$B$2:$B$1201,$A462))</f>
        <v/>
      </c>
      <c r="M462" s="19" t="str">
        <f aca="false">IF(OR($A462="",INDEX(_LEITURA!$Q$2:$Q$21,3)=0),"",SUMIFS(DECKS!$D$2:$D$1201,DECKS!$A$2:$A$1201,INDEX(_LEITURA!$P$2:$P$21,3),DECKS!$B$2:$B$1201,$A462))</f>
        <v/>
      </c>
      <c r="N462" s="19" t="str">
        <f aca="false">IF(OR($A462="",INDEX(_LEITURA!$Q$2:$Q$21,4)=0),"",SUMIFS(DECKS!$D$2:$D$1201,DECKS!$A$2:$A$1201,INDEX(_LEITURA!$P$2:$P$21,4),DECKS!$B$2:$B$1201,$A462))</f>
        <v/>
      </c>
      <c r="O462" s="19" t="str">
        <f aca="false">IF(OR($A462="",INDEX(_LEITURA!$Q$2:$Q$21,5)=0),"",SUMIFS(DECKS!$D$2:$D$1201,DECKS!$A$2:$A$1201,INDEX(_LEITURA!$P$2:$P$21,5),DECKS!$B$2:$B$1201,$A462))</f>
        <v/>
      </c>
      <c r="P462" s="19" t="str">
        <f aca="false">IF(OR($A462="",INDEX(_LEITURA!$Q$2:$Q$21,6)=0),"",SUMIFS(DECKS!$D$2:$D$1201,DECKS!$A$2:$A$1201,INDEX(_LEITURA!$P$2:$P$21,6),DECKS!$B$2:$B$1201,$A462))</f>
        <v/>
      </c>
      <c r="Q462" s="19" t="str">
        <f aca="false">IF(OR($A462="",INDEX(_LEITURA!$Q$2:$Q$21,7)=0),"",SUMIFS(DECKS!$D$2:$D$1201,DECKS!$A$2:$A$1201,INDEX(_LEITURA!$P$2:$P$21,7),DECKS!$B$2:$B$1201,$A462))</f>
        <v/>
      </c>
      <c r="R462" s="19" t="str">
        <f aca="false">IF(OR($A462="",INDEX(_LEITURA!$Q$2:$Q$21,8)=0),"",SUMIFS(DECKS!$D$2:$D$1201,DECKS!$A$2:$A$1201,INDEX(_LEITURA!$P$2:$P$21,8),DECKS!$B$2:$B$1201,$A462))</f>
        <v/>
      </c>
      <c r="S462" s="19" t="str">
        <f aca="false">IF(OR($A462="",INDEX(_LEITURA!$Q$2:$Q$21,9)=0),"",SUMIFS(DECKS!$D$2:$D$1201,DECKS!$A$2:$A$1201,INDEX(_LEITURA!$P$2:$P$21,9),DECKS!$B$2:$B$1201,$A462))</f>
        <v/>
      </c>
      <c r="T462" s="19" t="str">
        <f aca="false">IF(OR($A462="",INDEX(_LEITURA!$Q$2:$Q$21,10)=0),"",SUMIFS(DECKS!$D$2:$D$1201,DECKS!$A$2:$A$1201,INDEX(_LEITURA!$P$2:$P$21,10),DECKS!$B$2:$B$1201,$A462))</f>
        <v/>
      </c>
      <c r="U462" s="19" t="str">
        <f aca="false">IF(OR($A462="",INDEX(_LEITURA!$Q$2:$Q$21,11)=0),"",SUMIFS(DECKS!$D$2:$D$1201,DECKS!$A$2:$A$1201,INDEX(_LEITURA!$P$2:$P$21,11),DECKS!$B$2:$B$1201,$A462))</f>
        <v/>
      </c>
      <c r="V462" s="19" t="str">
        <f aca="false">IF(OR($A462="",INDEX(_LEITURA!$Q$2:$Q$21,12)=0),"",SUMIFS(DECKS!$D$2:$D$1201,DECKS!$A$2:$A$1201,INDEX(_LEITURA!$P$2:$P$21,12),DECKS!$B$2:$B$1201,$A462))</f>
        <v/>
      </c>
      <c r="W462" s="19" t="str">
        <f aca="false">IF(OR($A462="",INDEX(_LEITURA!$Q$2:$Q$21,13)=0),"",SUMIFS(DECKS!$D$2:$D$1201,DECKS!$A$2:$A$1201,INDEX(_LEITURA!$P$2:$P$21,13),DECKS!$B$2:$B$1201,$A462))</f>
        <v/>
      </c>
      <c r="X462" s="19" t="str">
        <f aca="false">IF(OR($A462="",INDEX(_LEITURA!$Q$2:$Q$21,14)=0),"",SUMIFS(DECKS!$D$2:$D$1201,DECKS!$A$2:$A$1201,INDEX(_LEITURA!$P$2:$P$21,14),DECKS!$B$2:$B$1201,$A462))</f>
        <v/>
      </c>
      <c r="Y462" s="19" t="str">
        <f aca="false">IF(OR($A462="",INDEX(_LEITURA!$Q$2:$Q$21,15)=0),"",SUMIFS(DECKS!$D$2:$D$1201,DECKS!$A$2:$A$1201,INDEX(_LEITURA!$P$2:$P$21,15),DECKS!$B$2:$B$1201,$A462))</f>
        <v/>
      </c>
      <c r="Z462" s="19" t="str">
        <f aca="false">IF(OR($A462="",INDEX(_LEITURA!$Q$2:$Q$21,16)=0),"",SUMIFS(DECKS!$D$2:$D$1201,DECKS!$A$2:$A$1201,INDEX(_LEITURA!$P$2:$P$21,16),DECKS!$B$2:$B$1201,$A462))</f>
        <v/>
      </c>
      <c r="AA462" s="19" t="str">
        <f aca="false">IF(OR($A462="",INDEX(_LEITURA!$Q$2:$Q$21,17)=0),"",SUMIFS(DECKS!$D$2:$D$1201,DECKS!$A$2:$A$1201,INDEX(_LEITURA!$P$2:$P$21,17),DECKS!$B$2:$B$1201,$A462))</f>
        <v/>
      </c>
      <c r="AB462" s="19" t="str">
        <f aca="false">IF(OR($A462="",INDEX(_LEITURA!$Q$2:$Q$21,18)=0),"",SUMIFS(DECKS!$D$2:$D$1201,DECKS!$A$2:$A$1201,INDEX(_LEITURA!$P$2:$P$21,18),DECKS!$B$2:$B$1201,$A462))</f>
        <v/>
      </c>
      <c r="AC462" s="19" t="str">
        <f aca="false">IF(OR($A462="",INDEX(_LEITURA!$Q$2:$Q$21,19)=0),"",SUMIFS(DECKS!$D$2:$D$1201,DECKS!$A$2:$A$1201,INDEX(_LEITURA!$P$2:$P$21,19),DECKS!$B$2:$B$1201,$A462))</f>
        <v/>
      </c>
      <c r="AD462" s="19" t="str">
        <f aca="false">IF(OR($A462="",INDEX(_LEITURA!$Q$2:$Q$21,20)=0),"",SUMIFS(DECKS!$D$2:$D$1201,DECKS!$A$2:$A$1201,INDEX(_LEITURA!$P$2:$P$21,20),DECKS!$B$2:$B$1201,$A462))</f>
        <v/>
      </c>
      <c r="AE462" s="16" t="str">
        <f aca="false">IF(N(E462)&gt;0,MAX(AE$1:AE461)+1,"")</f>
        <v/>
      </c>
      <c r="AF462" s="11" t="str">
        <f aca="false">IF(A462="","",IFERROR(LEFT(A462,FIND("-",A462)-1),A462))</f>
        <v/>
      </c>
      <c r="AG462" s="11" t="str">
        <f aca="false">IF(AF462="","",IF(ISNUMBER(--MID(AF462,1,1)),0,IF(ISNUMBER(--MID(AF462,2,1)),1,IF(ISNUMBER(--MID(AF462,3,1)),2,IF(ISNUMBER(--MID(AF462,4,1)),3,MIN(LEN(AF462),4))))))</f>
        <v/>
      </c>
      <c r="AH462" s="11" t="str">
        <f aca="false">IF(A462="","",LEFT(AF462,AG462)&amp;REPT("0",4-AG462)&amp;RIGHT("000"&amp;IFERROR(VALUE(MID(AF462,AG462+1,9)),0),3)&amp;RIGHT("0000"&amp;IFERROR(VALUE(MID(A462,FIND("-",A462)+1,9)),0),4))</f>
        <v/>
      </c>
      <c r="AI462" s="11" t="str">
        <f aca="false">IF(OR(A462="",N(E462)&lt;=0),"",IF('FALTAS GERAL'!$M$1="Código","K"&amp;AH462&amp;RIGHT("00000"&amp;ROW(),5),IF('FALTAS GERAL'!$M$1="Nome","K"&amp;UPPER(SUBSTITUTE(SUBSTITUTE(SUBSTITUTE(B462,"*",""),"?",""),"~",""))&amp;"0"&amp;AH462&amp;RIGHT("00000"&amp;ROW(),5),IF('FALTAS GERAL'!$M$1="Falta (maior primeiro)","K"&amp;RIGHT("0000"&amp;(9999-E462),4)&amp;AH462&amp;RIGHT("00000"&amp;ROW(),5),IF('FALTAS GERAL'!$M$1="Nº de decks (maior primeiro)","K"&amp;RIGHT("00"&amp;(99-N(G462)),2)&amp;AH462&amp;RIGHT("00000"&amp;ROW(),5),"K"&amp;RIGHT("00000"&amp;ROW(),5))))))</f>
        <v/>
      </c>
      <c r="AJ462" s="11" t="str">
        <f aca="false">IF(AI462="","",COUNTIFS($AI$2:$AI$801,"&lt;"&amp;AI462,$E$2:$E$801,"&gt;0")+1)</f>
        <v/>
      </c>
      <c r="AK462" s="11" t="str">
        <f aca="false">IF(OR(A462="",N(E462)&lt;=0),"",COUNTIFS($AH$2:$AH$801,"&lt;"&amp;AH462,$E$2:$E$801,"&gt;0")+COUNTIFS($AH$2:AH462,AH462,$E$2:E462,"&gt;0"))</f>
        <v/>
      </c>
    </row>
    <row r="463" customFormat="false" ht="15" hidden="false" customHeight="false" outlineLevel="0" collapsed="false">
      <c r="A463" s="11" t="str">
        <f aca="false">IF(INVENTÁRIO!A463="","",INVENTÁRIO!A463)</f>
        <v/>
      </c>
      <c r="B463" s="11" t="str">
        <f aca="false">IF(A463="","",INVENTÁRIO!B463)</f>
        <v/>
      </c>
      <c r="C463" s="16" t="str">
        <f aca="false">IF(A463="","",INVENTÁRIO!C463)</f>
        <v/>
      </c>
      <c r="D463" s="14" t="str">
        <f aca="false">IF(A463="","",MAX(K463:AD463))</f>
        <v/>
      </c>
      <c r="E463" s="14" t="str">
        <f aca="false">IF(A463="","",MAX(0,D463-C463))</f>
        <v/>
      </c>
      <c r="F463" s="16" t="str">
        <f aca="false">IF(A463="","",IF(D463=0,"Fora dos decks",IF(E463=0,"Completo","Falta")))</f>
        <v/>
      </c>
      <c r="G463" s="16" t="str">
        <f aca="false">IF(A463="","",COUNTIF(K463:AD463,"&gt;0"))</f>
        <v/>
      </c>
      <c r="H463" s="16" t="str">
        <f aca="false">IF(A463="","",IF(G463&gt;1,"Sim",""))</f>
        <v/>
      </c>
      <c r="I463" s="18" t="str">
        <f aca="false">IF(A463="","",SUMIFS(DECKS!$D$2:$D$1201,DECKS!$B$2:$B$1201,A463))</f>
        <v/>
      </c>
      <c r="J463" s="18" t="str">
        <f aca="false">IF(A463="","",MAX(0,I463-C463))</f>
        <v/>
      </c>
      <c r="K463" s="19" t="str">
        <f aca="false">IF(OR($A463="",INDEX(_LEITURA!$Q$2:$Q$21,1)=0),"",SUMIFS(DECKS!$D$2:$D$1201,DECKS!$A$2:$A$1201,INDEX(_LEITURA!$P$2:$P$21,1),DECKS!$B$2:$B$1201,$A463))</f>
        <v/>
      </c>
      <c r="L463" s="19" t="str">
        <f aca="false">IF(OR($A463="",INDEX(_LEITURA!$Q$2:$Q$21,2)=0),"",SUMIFS(DECKS!$D$2:$D$1201,DECKS!$A$2:$A$1201,INDEX(_LEITURA!$P$2:$P$21,2),DECKS!$B$2:$B$1201,$A463))</f>
        <v/>
      </c>
      <c r="M463" s="19" t="str">
        <f aca="false">IF(OR($A463="",INDEX(_LEITURA!$Q$2:$Q$21,3)=0),"",SUMIFS(DECKS!$D$2:$D$1201,DECKS!$A$2:$A$1201,INDEX(_LEITURA!$P$2:$P$21,3),DECKS!$B$2:$B$1201,$A463))</f>
        <v/>
      </c>
      <c r="N463" s="19" t="str">
        <f aca="false">IF(OR($A463="",INDEX(_LEITURA!$Q$2:$Q$21,4)=0),"",SUMIFS(DECKS!$D$2:$D$1201,DECKS!$A$2:$A$1201,INDEX(_LEITURA!$P$2:$P$21,4),DECKS!$B$2:$B$1201,$A463))</f>
        <v/>
      </c>
      <c r="O463" s="19" t="str">
        <f aca="false">IF(OR($A463="",INDEX(_LEITURA!$Q$2:$Q$21,5)=0),"",SUMIFS(DECKS!$D$2:$D$1201,DECKS!$A$2:$A$1201,INDEX(_LEITURA!$P$2:$P$21,5),DECKS!$B$2:$B$1201,$A463))</f>
        <v/>
      </c>
      <c r="P463" s="19" t="str">
        <f aca="false">IF(OR($A463="",INDEX(_LEITURA!$Q$2:$Q$21,6)=0),"",SUMIFS(DECKS!$D$2:$D$1201,DECKS!$A$2:$A$1201,INDEX(_LEITURA!$P$2:$P$21,6),DECKS!$B$2:$B$1201,$A463))</f>
        <v/>
      </c>
      <c r="Q463" s="19" t="str">
        <f aca="false">IF(OR($A463="",INDEX(_LEITURA!$Q$2:$Q$21,7)=0),"",SUMIFS(DECKS!$D$2:$D$1201,DECKS!$A$2:$A$1201,INDEX(_LEITURA!$P$2:$P$21,7),DECKS!$B$2:$B$1201,$A463))</f>
        <v/>
      </c>
      <c r="R463" s="19" t="str">
        <f aca="false">IF(OR($A463="",INDEX(_LEITURA!$Q$2:$Q$21,8)=0),"",SUMIFS(DECKS!$D$2:$D$1201,DECKS!$A$2:$A$1201,INDEX(_LEITURA!$P$2:$P$21,8),DECKS!$B$2:$B$1201,$A463))</f>
        <v/>
      </c>
      <c r="S463" s="19" t="str">
        <f aca="false">IF(OR($A463="",INDEX(_LEITURA!$Q$2:$Q$21,9)=0),"",SUMIFS(DECKS!$D$2:$D$1201,DECKS!$A$2:$A$1201,INDEX(_LEITURA!$P$2:$P$21,9),DECKS!$B$2:$B$1201,$A463))</f>
        <v/>
      </c>
      <c r="T463" s="19" t="str">
        <f aca="false">IF(OR($A463="",INDEX(_LEITURA!$Q$2:$Q$21,10)=0),"",SUMIFS(DECKS!$D$2:$D$1201,DECKS!$A$2:$A$1201,INDEX(_LEITURA!$P$2:$P$21,10),DECKS!$B$2:$B$1201,$A463))</f>
        <v/>
      </c>
      <c r="U463" s="19" t="str">
        <f aca="false">IF(OR($A463="",INDEX(_LEITURA!$Q$2:$Q$21,11)=0),"",SUMIFS(DECKS!$D$2:$D$1201,DECKS!$A$2:$A$1201,INDEX(_LEITURA!$P$2:$P$21,11),DECKS!$B$2:$B$1201,$A463))</f>
        <v/>
      </c>
      <c r="V463" s="19" t="str">
        <f aca="false">IF(OR($A463="",INDEX(_LEITURA!$Q$2:$Q$21,12)=0),"",SUMIFS(DECKS!$D$2:$D$1201,DECKS!$A$2:$A$1201,INDEX(_LEITURA!$P$2:$P$21,12),DECKS!$B$2:$B$1201,$A463))</f>
        <v/>
      </c>
      <c r="W463" s="19" t="str">
        <f aca="false">IF(OR($A463="",INDEX(_LEITURA!$Q$2:$Q$21,13)=0),"",SUMIFS(DECKS!$D$2:$D$1201,DECKS!$A$2:$A$1201,INDEX(_LEITURA!$P$2:$P$21,13),DECKS!$B$2:$B$1201,$A463))</f>
        <v/>
      </c>
      <c r="X463" s="19" t="str">
        <f aca="false">IF(OR($A463="",INDEX(_LEITURA!$Q$2:$Q$21,14)=0),"",SUMIFS(DECKS!$D$2:$D$1201,DECKS!$A$2:$A$1201,INDEX(_LEITURA!$P$2:$P$21,14),DECKS!$B$2:$B$1201,$A463))</f>
        <v/>
      </c>
      <c r="Y463" s="19" t="str">
        <f aca="false">IF(OR($A463="",INDEX(_LEITURA!$Q$2:$Q$21,15)=0),"",SUMIFS(DECKS!$D$2:$D$1201,DECKS!$A$2:$A$1201,INDEX(_LEITURA!$P$2:$P$21,15),DECKS!$B$2:$B$1201,$A463))</f>
        <v/>
      </c>
      <c r="Z463" s="19" t="str">
        <f aca="false">IF(OR($A463="",INDEX(_LEITURA!$Q$2:$Q$21,16)=0),"",SUMIFS(DECKS!$D$2:$D$1201,DECKS!$A$2:$A$1201,INDEX(_LEITURA!$P$2:$P$21,16),DECKS!$B$2:$B$1201,$A463))</f>
        <v/>
      </c>
      <c r="AA463" s="19" t="str">
        <f aca="false">IF(OR($A463="",INDEX(_LEITURA!$Q$2:$Q$21,17)=0),"",SUMIFS(DECKS!$D$2:$D$1201,DECKS!$A$2:$A$1201,INDEX(_LEITURA!$P$2:$P$21,17),DECKS!$B$2:$B$1201,$A463))</f>
        <v/>
      </c>
      <c r="AB463" s="19" t="str">
        <f aca="false">IF(OR($A463="",INDEX(_LEITURA!$Q$2:$Q$21,18)=0),"",SUMIFS(DECKS!$D$2:$D$1201,DECKS!$A$2:$A$1201,INDEX(_LEITURA!$P$2:$P$21,18),DECKS!$B$2:$B$1201,$A463))</f>
        <v/>
      </c>
      <c r="AC463" s="19" t="str">
        <f aca="false">IF(OR($A463="",INDEX(_LEITURA!$Q$2:$Q$21,19)=0),"",SUMIFS(DECKS!$D$2:$D$1201,DECKS!$A$2:$A$1201,INDEX(_LEITURA!$P$2:$P$21,19),DECKS!$B$2:$B$1201,$A463))</f>
        <v/>
      </c>
      <c r="AD463" s="19" t="str">
        <f aca="false">IF(OR($A463="",INDEX(_LEITURA!$Q$2:$Q$21,20)=0),"",SUMIFS(DECKS!$D$2:$D$1201,DECKS!$A$2:$A$1201,INDEX(_LEITURA!$P$2:$P$21,20),DECKS!$B$2:$B$1201,$A463))</f>
        <v/>
      </c>
      <c r="AE463" s="16" t="str">
        <f aca="false">IF(N(E463)&gt;0,MAX(AE$1:AE462)+1,"")</f>
        <v/>
      </c>
      <c r="AF463" s="11" t="str">
        <f aca="false">IF(A463="","",IFERROR(LEFT(A463,FIND("-",A463)-1),A463))</f>
        <v/>
      </c>
      <c r="AG463" s="11" t="str">
        <f aca="false">IF(AF463="","",IF(ISNUMBER(--MID(AF463,1,1)),0,IF(ISNUMBER(--MID(AF463,2,1)),1,IF(ISNUMBER(--MID(AF463,3,1)),2,IF(ISNUMBER(--MID(AF463,4,1)),3,MIN(LEN(AF463),4))))))</f>
        <v/>
      </c>
      <c r="AH463" s="11" t="str">
        <f aca="false">IF(A463="","",LEFT(AF463,AG463)&amp;REPT("0",4-AG463)&amp;RIGHT("000"&amp;IFERROR(VALUE(MID(AF463,AG463+1,9)),0),3)&amp;RIGHT("0000"&amp;IFERROR(VALUE(MID(A463,FIND("-",A463)+1,9)),0),4))</f>
        <v/>
      </c>
      <c r="AI463" s="11" t="str">
        <f aca="false">IF(OR(A463="",N(E463)&lt;=0),"",IF('FALTAS GERAL'!$M$1="Código","K"&amp;AH463&amp;RIGHT("00000"&amp;ROW(),5),IF('FALTAS GERAL'!$M$1="Nome","K"&amp;UPPER(SUBSTITUTE(SUBSTITUTE(SUBSTITUTE(B463,"*",""),"?",""),"~",""))&amp;"0"&amp;AH463&amp;RIGHT("00000"&amp;ROW(),5),IF('FALTAS GERAL'!$M$1="Falta (maior primeiro)","K"&amp;RIGHT("0000"&amp;(9999-E463),4)&amp;AH463&amp;RIGHT("00000"&amp;ROW(),5),IF('FALTAS GERAL'!$M$1="Nº de decks (maior primeiro)","K"&amp;RIGHT("00"&amp;(99-N(G463)),2)&amp;AH463&amp;RIGHT("00000"&amp;ROW(),5),"K"&amp;RIGHT("00000"&amp;ROW(),5))))))</f>
        <v/>
      </c>
      <c r="AJ463" s="11" t="str">
        <f aca="false">IF(AI463="","",COUNTIFS($AI$2:$AI$801,"&lt;"&amp;AI463,$E$2:$E$801,"&gt;0")+1)</f>
        <v/>
      </c>
      <c r="AK463" s="11" t="str">
        <f aca="false">IF(OR(A463="",N(E463)&lt;=0),"",COUNTIFS($AH$2:$AH$801,"&lt;"&amp;AH463,$E$2:$E$801,"&gt;0")+COUNTIFS($AH$2:AH463,AH463,$E$2:E463,"&gt;0"))</f>
        <v/>
      </c>
    </row>
    <row r="464" customFormat="false" ht="15" hidden="false" customHeight="false" outlineLevel="0" collapsed="false">
      <c r="A464" s="11" t="str">
        <f aca="false">IF(INVENTÁRIO!A464="","",INVENTÁRIO!A464)</f>
        <v/>
      </c>
      <c r="B464" s="11" t="str">
        <f aca="false">IF(A464="","",INVENTÁRIO!B464)</f>
        <v/>
      </c>
      <c r="C464" s="16" t="str">
        <f aca="false">IF(A464="","",INVENTÁRIO!C464)</f>
        <v/>
      </c>
      <c r="D464" s="14" t="str">
        <f aca="false">IF(A464="","",MAX(K464:AD464))</f>
        <v/>
      </c>
      <c r="E464" s="14" t="str">
        <f aca="false">IF(A464="","",MAX(0,D464-C464))</f>
        <v/>
      </c>
      <c r="F464" s="16" t="str">
        <f aca="false">IF(A464="","",IF(D464=0,"Fora dos decks",IF(E464=0,"Completo","Falta")))</f>
        <v/>
      </c>
      <c r="G464" s="16" t="str">
        <f aca="false">IF(A464="","",COUNTIF(K464:AD464,"&gt;0"))</f>
        <v/>
      </c>
      <c r="H464" s="16" t="str">
        <f aca="false">IF(A464="","",IF(G464&gt;1,"Sim",""))</f>
        <v/>
      </c>
      <c r="I464" s="18" t="str">
        <f aca="false">IF(A464="","",SUMIFS(DECKS!$D$2:$D$1201,DECKS!$B$2:$B$1201,A464))</f>
        <v/>
      </c>
      <c r="J464" s="18" t="str">
        <f aca="false">IF(A464="","",MAX(0,I464-C464))</f>
        <v/>
      </c>
      <c r="K464" s="19" t="str">
        <f aca="false">IF(OR($A464="",INDEX(_LEITURA!$Q$2:$Q$21,1)=0),"",SUMIFS(DECKS!$D$2:$D$1201,DECKS!$A$2:$A$1201,INDEX(_LEITURA!$P$2:$P$21,1),DECKS!$B$2:$B$1201,$A464))</f>
        <v/>
      </c>
      <c r="L464" s="19" t="str">
        <f aca="false">IF(OR($A464="",INDEX(_LEITURA!$Q$2:$Q$21,2)=0),"",SUMIFS(DECKS!$D$2:$D$1201,DECKS!$A$2:$A$1201,INDEX(_LEITURA!$P$2:$P$21,2),DECKS!$B$2:$B$1201,$A464))</f>
        <v/>
      </c>
      <c r="M464" s="19" t="str">
        <f aca="false">IF(OR($A464="",INDEX(_LEITURA!$Q$2:$Q$21,3)=0),"",SUMIFS(DECKS!$D$2:$D$1201,DECKS!$A$2:$A$1201,INDEX(_LEITURA!$P$2:$P$21,3),DECKS!$B$2:$B$1201,$A464))</f>
        <v/>
      </c>
      <c r="N464" s="19" t="str">
        <f aca="false">IF(OR($A464="",INDEX(_LEITURA!$Q$2:$Q$21,4)=0),"",SUMIFS(DECKS!$D$2:$D$1201,DECKS!$A$2:$A$1201,INDEX(_LEITURA!$P$2:$P$21,4),DECKS!$B$2:$B$1201,$A464))</f>
        <v/>
      </c>
      <c r="O464" s="19" t="str">
        <f aca="false">IF(OR($A464="",INDEX(_LEITURA!$Q$2:$Q$21,5)=0),"",SUMIFS(DECKS!$D$2:$D$1201,DECKS!$A$2:$A$1201,INDEX(_LEITURA!$P$2:$P$21,5),DECKS!$B$2:$B$1201,$A464))</f>
        <v/>
      </c>
      <c r="P464" s="19" t="str">
        <f aca="false">IF(OR($A464="",INDEX(_LEITURA!$Q$2:$Q$21,6)=0),"",SUMIFS(DECKS!$D$2:$D$1201,DECKS!$A$2:$A$1201,INDEX(_LEITURA!$P$2:$P$21,6),DECKS!$B$2:$B$1201,$A464))</f>
        <v/>
      </c>
      <c r="Q464" s="19" t="str">
        <f aca="false">IF(OR($A464="",INDEX(_LEITURA!$Q$2:$Q$21,7)=0),"",SUMIFS(DECKS!$D$2:$D$1201,DECKS!$A$2:$A$1201,INDEX(_LEITURA!$P$2:$P$21,7),DECKS!$B$2:$B$1201,$A464))</f>
        <v/>
      </c>
      <c r="R464" s="19" t="str">
        <f aca="false">IF(OR($A464="",INDEX(_LEITURA!$Q$2:$Q$21,8)=0),"",SUMIFS(DECKS!$D$2:$D$1201,DECKS!$A$2:$A$1201,INDEX(_LEITURA!$P$2:$P$21,8),DECKS!$B$2:$B$1201,$A464))</f>
        <v/>
      </c>
      <c r="S464" s="19" t="str">
        <f aca="false">IF(OR($A464="",INDEX(_LEITURA!$Q$2:$Q$21,9)=0),"",SUMIFS(DECKS!$D$2:$D$1201,DECKS!$A$2:$A$1201,INDEX(_LEITURA!$P$2:$P$21,9),DECKS!$B$2:$B$1201,$A464))</f>
        <v/>
      </c>
      <c r="T464" s="19" t="str">
        <f aca="false">IF(OR($A464="",INDEX(_LEITURA!$Q$2:$Q$21,10)=0),"",SUMIFS(DECKS!$D$2:$D$1201,DECKS!$A$2:$A$1201,INDEX(_LEITURA!$P$2:$P$21,10),DECKS!$B$2:$B$1201,$A464))</f>
        <v/>
      </c>
      <c r="U464" s="19" t="str">
        <f aca="false">IF(OR($A464="",INDEX(_LEITURA!$Q$2:$Q$21,11)=0),"",SUMIFS(DECKS!$D$2:$D$1201,DECKS!$A$2:$A$1201,INDEX(_LEITURA!$P$2:$P$21,11),DECKS!$B$2:$B$1201,$A464))</f>
        <v/>
      </c>
      <c r="V464" s="19" t="str">
        <f aca="false">IF(OR($A464="",INDEX(_LEITURA!$Q$2:$Q$21,12)=0),"",SUMIFS(DECKS!$D$2:$D$1201,DECKS!$A$2:$A$1201,INDEX(_LEITURA!$P$2:$P$21,12),DECKS!$B$2:$B$1201,$A464))</f>
        <v/>
      </c>
      <c r="W464" s="19" t="str">
        <f aca="false">IF(OR($A464="",INDEX(_LEITURA!$Q$2:$Q$21,13)=0),"",SUMIFS(DECKS!$D$2:$D$1201,DECKS!$A$2:$A$1201,INDEX(_LEITURA!$P$2:$P$21,13),DECKS!$B$2:$B$1201,$A464))</f>
        <v/>
      </c>
      <c r="X464" s="19" t="str">
        <f aca="false">IF(OR($A464="",INDEX(_LEITURA!$Q$2:$Q$21,14)=0),"",SUMIFS(DECKS!$D$2:$D$1201,DECKS!$A$2:$A$1201,INDEX(_LEITURA!$P$2:$P$21,14),DECKS!$B$2:$B$1201,$A464))</f>
        <v/>
      </c>
      <c r="Y464" s="19" t="str">
        <f aca="false">IF(OR($A464="",INDEX(_LEITURA!$Q$2:$Q$21,15)=0),"",SUMIFS(DECKS!$D$2:$D$1201,DECKS!$A$2:$A$1201,INDEX(_LEITURA!$P$2:$P$21,15),DECKS!$B$2:$B$1201,$A464))</f>
        <v/>
      </c>
      <c r="Z464" s="19" t="str">
        <f aca="false">IF(OR($A464="",INDEX(_LEITURA!$Q$2:$Q$21,16)=0),"",SUMIFS(DECKS!$D$2:$D$1201,DECKS!$A$2:$A$1201,INDEX(_LEITURA!$P$2:$P$21,16),DECKS!$B$2:$B$1201,$A464))</f>
        <v/>
      </c>
      <c r="AA464" s="19" t="str">
        <f aca="false">IF(OR($A464="",INDEX(_LEITURA!$Q$2:$Q$21,17)=0),"",SUMIFS(DECKS!$D$2:$D$1201,DECKS!$A$2:$A$1201,INDEX(_LEITURA!$P$2:$P$21,17),DECKS!$B$2:$B$1201,$A464))</f>
        <v/>
      </c>
      <c r="AB464" s="19" t="str">
        <f aca="false">IF(OR($A464="",INDEX(_LEITURA!$Q$2:$Q$21,18)=0),"",SUMIFS(DECKS!$D$2:$D$1201,DECKS!$A$2:$A$1201,INDEX(_LEITURA!$P$2:$P$21,18),DECKS!$B$2:$B$1201,$A464))</f>
        <v/>
      </c>
      <c r="AC464" s="19" t="str">
        <f aca="false">IF(OR($A464="",INDEX(_LEITURA!$Q$2:$Q$21,19)=0),"",SUMIFS(DECKS!$D$2:$D$1201,DECKS!$A$2:$A$1201,INDEX(_LEITURA!$P$2:$P$21,19),DECKS!$B$2:$B$1201,$A464))</f>
        <v/>
      </c>
      <c r="AD464" s="19" t="str">
        <f aca="false">IF(OR($A464="",INDEX(_LEITURA!$Q$2:$Q$21,20)=0),"",SUMIFS(DECKS!$D$2:$D$1201,DECKS!$A$2:$A$1201,INDEX(_LEITURA!$P$2:$P$21,20),DECKS!$B$2:$B$1201,$A464))</f>
        <v/>
      </c>
      <c r="AE464" s="16" t="str">
        <f aca="false">IF(N(E464)&gt;0,MAX(AE$1:AE463)+1,"")</f>
        <v/>
      </c>
      <c r="AF464" s="11" t="str">
        <f aca="false">IF(A464="","",IFERROR(LEFT(A464,FIND("-",A464)-1),A464))</f>
        <v/>
      </c>
      <c r="AG464" s="11" t="str">
        <f aca="false">IF(AF464="","",IF(ISNUMBER(--MID(AF464,1,1)),0,IF(ISNUMBER(--MID(AF464,2,1)),1,IF(ISNUMBER(--MID(AF464,3,1)),2,IF(ISNUMBER(--MID(AF464,4,1)),3,MIN(LEN(AF464),4))))))</f>
        <v/>
      </c>
      <c r="AH464" s="11" t="str">
        <f aca="false">IF(A464="","",LEFT(AF464,AG464)&amp;REPT("0",4-AG464)&amp;RIGHT("000"&amp;IFERROR(VALUE(MID(AF464,AG464+1,9)),0),3)&amp;RIGHT("0000"&amp;IFERROR(VALUE(MID(A464,FIND("-",A464)+1,9)),0),4))</f>
        <v/>
      </c>
      <c r="AI464" s="11" t="str">
        <f aca="false">IF(OR(A464="",N(E464)&lt;=0),"",IF('FALTAS GERAL'!$M$1="Código","K"&amp;AH464&amp;RIGHT("00000"&amp;ROW(),5),IF('FALTAS GERAL'!$M$1="Nome","K"&amp;UPPER(SUBSTITUTE(SUBSTITUTE(SUBSTITUTE(B464,"*",""),"?",""),"~",""))&amp;"0"&amp;AH464&amp;RIGHT("00000"&amp;ROW(),5),IF('FALTAS GERAL'!$M$1="Falta (maior primeiro)","K"&amp;RIGHT("0000"&amp;(9999-E464),4)&amp;AH464&amp;RIGHT("00000"&amp;ROW(),5),IF('FALTAS GERAL'!$M$1="Nº de decks (maior primeiro)","K"&amp;RIGHT("00"&amp;(99-N(G464)),2)&amp;AH464&amp;RIGHT("00000"&amp;ROW(),5),"K"&amp;RIGHT("00000"&amp;ROW(),5))))))</f>
        <v/>
      </c>
      <c r="AJ464" s="11" t="str">
        <f aca="false">IF(AI464="","",COUNTIFS($AI$2:$AI$801,"&lt;"&amp;AI464,$E$2:$E$801,"&gt;0")+1)</f>
        <v/>
      </c>
      <c r="AK464" s="11" t="str">
        <f aca="false">IF(OR(A464="",N(E464)&lt;=0),"",COUNTIFS($AH$2:$AH$801,"&lt;"&amp;AH464,$E$2:$E$801,"&gt;0")+COUNTIFS($AH$2:AH464,AH464,$E$2:E464,"&gt;0"))</f>
        <v/>
      </c>
    </row>
    <row r="465" customFormat="false" ht="15" hidden="false" customHeight="false" outlineLevel="0" collapsed="false">
      <c r="A465" s="11" t="str">
        <f aca="false">IF(INVENTÁRIO!A465="","",INVENTÁRIO!A465)</f>
        <v/>
      </c>
      <c r="B465" s="11" t="str">
        <f aca="false">IF(A465="","",INVENTÁRIO!B465)</f>
        <v/>
      </c>
      <c r="C465" s="16" t="str">
        <f aca="false">IF(A465="","",INVENTÁRIO!C465)</f>
        <v/>
      </c>
      <c r="D465" s="14" t="str">
        <f aca="false">IF(A465="","",MAX(K465:AD465))</f>
        <v/>
      </c>
      <c r="E465" s="14" t="str">
        <f aca="false">IF(A465="","",MAX(0,D465-C465))</f>
        <v/>
      </c>
      <c r="F465" s="16" t="str">
        <f aca="false">IF(A465="","",IF(D465=0,"Fora dos decks",IF(E465=0,"Completo","Falta")))</f>
        <v/>
      </c>
      <c r="G465" s="16" t="str">
        <f aca="false">IF(A465="","",COUNTIF(K465:AD465,"&gt;0"))</f>
        <v/>
      </c>
      <c r="H465" s="16" t="str">
        <f aca="false">IF(A465="","",IF(G465&gt;1,"Sim",""))</f>
        <v/>
      </c>
      <c r="I465" s="18" t="str">
        <f aca="false">IF(A465="","",SUMIFS(DECKS!$D$2:$D$1201,DECKS!$B$2:$B$1201,A465))</f>
        <v/>
      </c>
      <c r="J465" s="18" t="str">
        <f aca="false">IF(A465="","",MAX(0,I465-C465))</f>
        <v/>
      </c>
      <c r="K465" s="19" t="str">
        <f aca="false">IF(OR($A465="",INDEX(_LEITURA!$Q$2:$Q$21,1)=0),"",SUMIFS(DECKS!$D$2:$D$1201,DECKS!$A$2:$A$1201,INDEX(_LEITURA!$P$2:$P$21,1),DECKS!$B$2:$B$1201,$A465))</f>
        <v/>
      </c>
      <c r="L465" s="19" t="str">
        <f aca="false">IF(OR($A465="",INDEX(_LEITURA!$Q$2:$Q$21,2)=0),"",SUMIFS(DECKS!$D$2:$D$1201,DECKS!$A$2:$A$1201,INDEX(_LEITURA!$P$2:$P$21,2),DECKS!$B$2:$B$1201,$A465))</f>
        <v/>
      </c>
      <c r="M465" s="19" t="str">
        <f aca="false">IF(OR($A465="",INDEX(_LEITURA!$Q$2:$Q$21,3)=0),"",SUMIFS(DECKS!$D$2:$D$1201,DECKS!$A$2:$A$1201,INDEX(_LEITURA!$P$2:$P$21,3),DECKS!$B$2:$B$1201,$A465))</f>
        <v/>
      </c>
      <c r="N465" s="19" t="str">
        <f aca="false">IF(OR($A465="",INDEX(_LEITURA!$Q$2:$Q$21,4)=0),"",SUMIFS(DECKS!$D$2:$D$1201,DECKS!$A$2:$A$1201,INDEX(_LEITURA!$P$2:$P$21,4),DECKS!$B$2:$B$1201,$A465))</f>
        <v/>
      </c>
      <c r="O465" s="19" t="str">
        <f aca="false">IF(OR($A465="",INDEX(_LEITURA!$Q$2:$Q$21,5)=0),"",SUMIFS(DECKS!$D$2:$D$1201,DECKS!$A$2:$A$1201,INDEX(_LEITURA!$P$2:$P$21,5),DECKS!$B$2:$B$1201,$A465))</f>
        <v/>
      </c>
      <c r="P465" s="19" t="str">
        <f aca="false">IF(OR($A465="",INDEX(_LEITURA!$Q$2:$Q$21,6)=0),"",SUMIFS(DECKS!$D$2:$D$1201,DECKS!$A$2:$A$1201,INDEX(_LEITURA!$P$2:$P$21,6),DECKS!$B$2:$B$1201,$A465))</f>
        <v/>
      </c>
      <c r="Q465" s="19" t="str">
        <f aca="false">IF(OR($A465="",INDEX(_LEITURA!$Q$2:$Q$21,7)=0),"",SUMIFS(DECKS!$D$2:$D$1201,DECKS!$A$2:$A$1201,INDEX(_LEITURA!$P$2:$P$21,7),DECKS!$B$2:$B$1201,$A465))</f>
        <v/>
      </c>
      <c r="R465" s="19" t="str">
        <f aca="false">IF(OR($A465="",INDEX(_LEITURA!$Q$2:$Q$21,8)=0),"",SUMIFS(DECKS!$D$2:$D$1201,DECKS!$A$2:$A$1201,INDEX(_LEITURA!$P$2:$P$21,8),DECKS!$B$2:$B$1201,$A465))</f>
        <v/>
      </c>
      <c r="S465" s="19" t="str">
        <f aca="false">IF(OR($A465="",INDEX(_LEITURA!$Q$2:$Q$21,9)=0),"",SUMIFS(DECKS!$D$2:$D$1201,DECKS!$A$2:$A$1201,INDEX(_LEITURA!$P$2:$P$21,9),DECKS!$B$2:$B$1201,$A465))</f>
        <v/>
      </c>
      <c r="T465" s="19" t="str">
        <f aca="false">IF(OR($A465="",INDEX(_LEITURA!$Q$2:$Q$21,10)=0),"",SUMIFS(DECKS!$D$2:$D$1201,DECKS!$A$2:$A$1201,INDEX(_LEITURA!$P$2:$P$21,10),DECKS!$B$2:$B$1201,$A465))</f>
        <v/>
      </c>
      <c r="U465" s="19" t="str">
        <f aca="false">IF(OR($A465="",INDEX(_LEITURA!$Q$2:$Q$21,11)=0),"",SUMIFS(DECKS!$D$2:$D$1201,DECKS!$A$2:$A$1201,INDEX(_LEITURA!$P$2:$P$21,11),DECKS!$B$2:$B$1201,$A465))</f>
        <v/>
      </c>
      <c r="V465" s="19" t="str">
        <f aca="false">IF(OR($A465="",INDEX(_LEITURA!$Q$2:$Q$21,12)=0),"",SUMIFS(DECKS!$D$2:$D$1201,DECKS!$A$2:$A$1201,INDEX(_LEITURA!$P$2:$P$21,12),DECKS!$B$2:$B$1201,$A465))</f>
        <v/>
      </c>
      <c r="W465" s="19" t="str">
        <f aca="false">IF(OR($A465="",INDEX(_LEITURA!$Q$2:$Q$21,13)=0),"",SUMIFS(DECKS!$D$2:$D$1201,DECKS!$A$2:$A$1201,INDEX(_LEITURA!$P$2:$P$21,13),DECKS!$B$2:$B$1201,$A465))</f>
        <v/>
      </c>
      <c r="X465" s="19" t="str">
        <f aca="false">IF(OR($A465="",INDEX(_LEITURA!$Q$2:$Q$21,14)=0),"",SUMIFS(DECKS!$D$2:$D$1201,DECKS!$A$2:$A$1201,INDEX(_LEITURA!$P$2:$P$21,14),DECKS!$B$2:$B$1201,$A465))</f>
        <v/>
      </c>
      <c r="Y465" s="19" t="str">
        <f aca="false">IF(OR($A465="",INDEX(_LEITURA!$Q$2:$Q$21,15)=0),"",SUMIFS(DECKS!$D$2:$D$1201,DECKS!$A$2:$A$1201,INDEX(_LEITURA!$P$2:$P$21,15),DECKS!$B$2:$B$1201,$A465))</f>
        <v/>
      </c>
      <c r="Z465" s="19" t="str">
        <f aca="false">IF(OR($A465="",INDEX(_LEITURA!$Q$2:$Q$21,16)=0),"",SUMIFS(DECKS!$D$2:$D$1201,DECKS!$A$2:$A$1201,INDEX(_LEITURA!$P$2:$P$21,16),DECKS!$B$2:$B$1201,$A465))</f>
        <v/>
      </c>
      <c r="AA465" s="19" t="str">
        <f aca="false">IF(OR($A465="",INDEX(_LEITURA!$Q$2:$Q$21,17)=0),"",SUMIFS(DECKS!$D$2:$D$1201,DECKS!$A$2:$A$1201,INDEX(_LEITURA!$P$2:$P$21,17),DECKS!$B$2:$B$1201,$A465))</f>
        <v/>
      </c>
      <c r="AB465" s="19" t="str">
        <f aca="false">IF(OR($A465="",INDEX(_LEITURA!$Q$2:$Q$21,18)=0),"",SUMIFS(DECKS!$D$2:$D$1201,DECKS!$A$2:$A$1201,INDEX(_LEITURA!$P$2:$P$21,18),DECKS!$B$2:$B$1201,$A465))</f>
        <v/>
      </c>
      <c r="AC465" s="19" t="str">
        <f aca="false">IF(OR($A465="",INDEX(_LEITURA!$Q$2:$Q$21,19)=0),"",SUMIFS(DECKS!$D$2:$D$1201,DECKS!$A$2:$A$1201,INDEX(_LEITURA!$P$2:$P$21,19),DECKS!$B$2:$B$1201,$A465))</f>
        <v/>
      </c>
      <c r="AD465" s="19" t="str">
        <f aca="false">IF(OR($A465="",INDEX(_LEITURA!$Q$2:$Q$21,20)=0),"",SUMIFS(DECKS!$D$2:$D$1201,DECKS!$A$2:$A$1201,INDEX(_LEITURA!$P$2:$P$21,20),DECKS!$B$2:$B$1201,$A465))</f>
        <v/>
      </c>
      <c r="AE465" s="16" t="str">
        <f aca="false">IF(N(E465)&gt;0,MAX(AE$1:AE464)+1,"")</f>
        <v/>
      </c>
      <c r="AF465" s="11" t="str">
        <f aca="false">IF(A465="","",IFERROR(LEFT(A465,FIND("-",A465)-1),A465))</f>
        <v/>
      </c>
      <c r="AG465" s="11" t="str">
        <f aca="false">IF(AF465="","",IF(ISNUMBER(--MID(AF465,1,1)),0,IF(ISNUMBER(--MID(AF465,2,1)),1,IF(ISNUMBER(--MID(AF465,3,1)),2,IF(ISNUMBER(--MID(AF465,4,1)),3,MIN(LEN(AF465),4))))))</f>
        <v/>
      </c>
      <c r="AH465" s="11" t="str">
        <f aca="false">IF(A465="","",LEFT(AF465,AG465)&amp;REPT("0",4-AG465)&amp;RIGHT("000"&amp;IFERROR(VALUE(MID(AF465,AG465+1,9)),0),3)&amp;RIGHT("0000"&amp;IFERROR(VALUE(MID(A465,FIND("-",A465)+1,9)),0),4))</f>
        <v/>
      </c>
      <c r="AI465" s="11" t="str">
        <f aca="false">IF(OR(A465="",N(E465)&lt;=0),"",IF('FALTAS GERAL'!$M$1="Código","K"&amp;AH465&amp;RIGHT("00000"&amp;ROW(),5),IF('FALTAS GERAL'!$M$1="Nome","K"&amp;UPPER(SUBSTITUTE(SUBSTITUTE(SUBSTITUTE(B465,"*",""),"?",""),"~",""))&amp;"0"&amp;AH465&amp;RIGHT("00000"&amp;ROW(),5),IF('FALTAS GERAL'!$M$1="Falta (maior primeiro)","K"&amp;RIGHT("0000"&amp;(9999-E465),4)&amp;AH465&amp;RIGHT("00000"&amp;ROW(),5),IF('FALTAS GERAL'!$M$1="Nº de decks (maior primeiro)","K"&amp;RIGHT("00"&amp;(99-N(G465)),2)&amp;AH465&amp;RIGHT("00000"&amp;ROW(),5),"K"&amp;RIGHT("00000"&amp;ROW(),5))))))</f>
        <v/>
      </c>
      <c r="AJ465" s="11" t="str">
        <f aca="false">IF(AI465="","",COUNTIFS($AI$2:$AI$801,"&lt;"&amp;AI465,$E$2:$E$801,"&gt;0")+1)</f>
        <v/>
      </c>
      <c r="AK465" s="11" t="str">
        <f aca="false">IF(OR(A465="",N(E465)&lt;=0),"",COUNTIFS($AH$2:$AH$801,"&lt;"&amp;AH465,$E$2:$E$801,"&gt;0")+COUNTIFS($AH$2:AH465,AH465,$E$2:E465,"&gt;0"))</f>
        <v/>
      </c>
    </row>
    <row r="466" customFormat="false" ht="15" hidden="false" customHeight="false" outlineLevel="0" collapsed="false">
      <c r="A466" s="11" t="str">
        <f aca="false">IF(INVENTÁRIO!A466="","",INVENTÁRIO!A466)</f>
        <v/>
      </c>
      <c r="B466" s="11" t="str">
        <f aca="false">IF(A466="","",INVENTÁRIO!B466)</f>
        <v/>
      </c>
      <c r="C466" s="16" t="str">
        <f aca="false">IF(A466="","",INVENTÁRIO!C466)</f>
        <v/>
      </c>
      <c r="D466" s="14" t="str">
        <f aca="false">IF(A466="","",MAX(K466:AD466))</f>
        <v/>
      </c>
      <c r="E466" s="14" t="str">
        <f aca="false">IF(A466="","",MAX(0,D466-C466))</f>
        <v/>
      </c>
      <c r="F466" s="16" t="str">
        <f aca="false">IF(A466="","",IF(D466=0,"Fora dos decks",IF(E466=0,"Completo","Falta")))</f>
        <v/>
      </c>
      <c r="G466" s="16" t="str">
        <f aca="false">IF(A466="","",COUNTIF(K466:AD466,"&gt;0"))</f>
        <v/>
      </c>
      <c r="H466" s="16" t="str">
        <f aca="false">IF(A466="","",IF(G466&gt;1,"Sim",""))</f>
        <v/>
      </c>
      <c r="I466" s="18" t="str">
        <f aca="false">IF(A466="","",SUMIFS(DECKS!$D$2:$D$1201,DECKS!$B$2:$B$1201,A466))</f>
        <v/>
      </c>
      <c r="J466" s="18" t="str">
        <f aca="false">IF(A466="","",MAX(0,I466-C466))</f>
        <v/>
      </c>
      <c r="K466" s="19" t="str">
        <f aca="false">IF(OR($A466="",INDEX(_LEITURA!$Q$2:$Q$21,1)=0),"",SUMIFS(DECKS!$D$2:$D$1201,DECKS!$A$2:$A$1201,INDEX(_LEITURA!$P$2:$P$21,1),DECKS!$B$2:$B$1201,$A466))</f>
        <v/>
      </c>
      <c r="L466" s="19" t="str">
        <f aca="false">IF(OR($A466="",INDEX(_LEITURA!$Q$2:$Q$21,2)=0),"",SUMIFS(DECKS!$D$2:$D$1201,DECKS!$A$2:$A$1201,INDEX(_LEITURA!$P$2:$P$21,2),DECKS!$B$2:$B$1201,$A466))</f>
        <v/>
      </c>
      <c r="M466" s="19" t="str">
        <f aca="false">IF(OR($A466="",INDEX(_LEITURA!$Q$2:$Q$21,3)=0),"",SUMIFS(DECKS!$D$2:$D$1201,DECKS!$A$2:$A$1201,INDEX(_LEITURA!$P$2:$P$21,3),DECKS!$B$2:$B$1201,$A466))</f>
        <v/>
      </c>
      <c r="N466" s="19" t="str">
        <f aca="false">IF(OR($A466="",INDEX(_LEITURA!$Q$2:$Q$21,4)=0),"",SUMIFS(DECKS!$D$2:$D$1201,DECKS!$A$2:$A$1201,INDEX(_LEITURA!$P$2:$P$21,4),DECKS!$B$2:$B$1201,$A466))</f>
        <v/>
      </c>
      <c r="O466" s="19" t="str">
        <f aca="false">IF(OR($A466="",INDEX(_LEITURA!$Q$2:$Q$21,5)=0),"",SUMIFS(DECKS!$D$2:$D$1201,DECKS!$A$2:$A$1201,INDEX(_LEITURA!$P$2:$P$21,5),DECKS!$B$2:$B$1201,$A466))</f>
        <v/>
      </c>
      <c r="P466" s="19" t="str">
        <f aca="false">IF(OR($A466="",INDEX(_LEITURA!$Q$2:$Q$21,6)=0),"",SUMIFS(DECKS!$D$2:$D$1201,DECKS!$A$2:$A$1201,INDEX(_LEITURA!$P$2:$P$21,6),DECKS!$B$2:$B$1201,$A466))</f>
        <v/>
      </c>
      <c r="Q466" s="19" t="str">
        <f aca="false">IF(OR($A466="",INDEX(_LEITURA!$Q$2:$Q$21,7)=0),"",SUMIFS(DECKS!$D$2:$D$1201,DECKS!$A$2:$A$1201,INDEX(_LEITURA!$P$2:$P$21,7),DECKS!$B$2:$B$1201,$A466))</f>
        <v/>
      </c>
      <c r="R466" s="19" t="str">
        <f aca="false">IF(OR($A466="",INDEX(_LEITURA!$Q$2:$Q$21,8)=0),"",SUMIFS(DECKS!$D$2:$D$1201,DECKS!$A$2:$A$1201,INDEX(_LEITURA!$P$2:$P$21,8),DECKS!$B$2:$B$1201,$A466))</f>
        <v/>
      </c>
      <c r="S466" s="19" t="str">
        <f aca="false">IF(OR($A466="",INDEX(_LEITURA!$Q$2:$Q$21,9)=0),"",SUMIFS(DECKS!$D$2:$D$1201,DECKS!$A$2:$A$1201,INDEX(_LEITURA!$P$2:$P$21,9),DECKS!$B$2:$B$1201,$A466))</f>
        <v/>
      </c>
      <c r="T466" s="19" t="str">
        <f aca="false">IF(OR($A466="",INDEX(_LEITURA!$Q$2:$Q$21,10)=0),"",SUMIFS(DECKS!$D$2:$D$1201,DECKS!$A$2:$A$1201,INDEX(_LEITURA!$P$2:$P$21,10),DECKS!$B$2:$B$1201,$A466))</f>
        <v/>
      </c>
      <c r="U466" s="19" t="str">
        <f aca="false">IF(OR($A466="",INDEX(_LEITURA!$Q$2:$Q$21,11)=0),"",SUMIFS(DECKS!$D$2:$D$1201,DECKS!$A$2:$A$1201,INDEX(_LEITURA!$P$2:$P$21,11),DECKS!$B$2:$B$1201,$A466))</f>
        <v/>
      </c>
      <c r="V466" s="19" t="str">
        <f aca="false">IF(OR($A466="",INDEX(_LEITURA!$Q$2:$Q$21,12)=0),"",SUMIFS(DECKS!$D$2:$D$1201,DECKS!$A$2:$A$1201,INDEX(_LEITURA!$P$2:$P$21,12),DECKS!$B$2:$B$1201,$A466))</f>
        <v/>
      </c>
      <c r="W466" s="19" t="str">
        <f aca="false">IF(OR($A466="",INDEX(_LEITURA!$Q$2:$Q$21,13)=0),"",SUMIFS(DECKS!$D$2:$D$1201,DECKS!$A$2:$A$1201,INDEX(_LEITURA!$P$2:$P$21,13),DECKS!$B$2:$B$1201,$A466))</f>
        <v/>
      </c>
      <c r="X466" s="19" t="str">
        <f aca="false">IF(OR($A466="",INDEX(_LEITURA!$Q$2:$Q$21,14)=0),"",SUMIFS(DECKS!$D$2:$D$1201,DECKS!$A$2:$A$1201,INDEX(_LEITURA!$P$2:$P$21,14),DECKS!$B$2:$B$1201,$A466))</f>
        <v/>
      </c>
      <c r="Y466" s="19" t="str">
        <f aca="false">IF(OR($A466="",INDEX(_LEITURA!$Q$2:$Q$21,15)=0),"",SUMIFS(DECKS!$D$2:$D$1201,DECKS!$A$2:$A$1201,INDEX(_LEITURA!$P$2:$P$21,15),DECKS!$B$2:$B$1201,$A466))</f>
        <v/>
      </c>
      <c r="Z466" s="19" t="str">
        <f aca="false">IF(OR($A466="",INDEX(_LEITURA!$Q$2:$Q$21,16)=0),"",SUMIFS(DECKS!$D$2:$D$1201,DECKS!$A$2:$A$1201,INDEX(_LEITURA!$P$2:$P$21,16),DECKS!$B$2:$B$1201,$A466))</f>
        <v/>
      </c>
      <c r="AA466" s="19" t="str">
        <f aca="false">IF(OR($A466="",INDEX(_LEITURA!$Q$2:$Q$21,17)=0),"",SUMIFS(DECKS!$D$2:$D$1201,DECKS!$A$2:$A$1201,INDEX(_LEITURA!$P$2:$P$21,17),DECKS!$B$2:$B$1201,$A466))</f>
        <v/>
      </c>
      <c r="AB466" s="19" t="str">
        <f aca="false">IF(OR($A466="",INDEX(_LEITURA!$Q$2:$Q$21,18)=0),"",SUMIFS(DECKS!$D$2:$D$1201,DECKS!$A$2:$A$1201,INDEX(_LEITURA!$P$2:$P$21,18),DECKS!$B$2:$B$1201,$A466))</f>
        <v/>
      </c>
      <c r="AC466" s="19" t="str">
        <f aca="false">IF(OR($A466="",INDEX(_LEITURA!$Q$2:$Q$21,19)=0),"",SUMIFS(DECKS!$D$2:$D$1201,DECKS!$A$2:$A$1201,INDEX(_LEITURA!$P$2:$P$21,19),DECKS!$B$2:$B$1201,$A466))</f>
        <v/>
      </c>
      <c r="AD466" s="19" t="str">
        <f aca="false">IF(OR($A466="",INDEX(_LEITURA!$Q$2:$Q$21,20)=0),"",SUMIFS(DECKS!$D$2:$D$1201,DECKS!$A$2:$A$1201,INDEX(_LEITURA!$P$2:$P$21,20),DECKS!$B$2:$B$1201,$A466))</f>
        <v/>
      </c>
      <c r="AE466" s="16" t="str">
        <f aca="false">IF(N(E466)&gt;0,MAX(AE$1:AE465)+1,"")</f>
        <v/>
      </c>
      <c r="AF466" s="11" t="str">
        <f aca="false">IF(A466="","",IFERROR(LEFT(A466,FIND("-",A466)-1),A466))</f>
        <v/>
      </c>
      <c r="AG466" s="11" t="str">
        <f aca="false">IF(AF466="","",IF(ISNUMBER(--MID(AF466,1,1)),0,IF(ISNUMBER(--MID(AF466,2,1)),1,IF(ISNUMBER(--MID(AF466,3,1)),2,IF(ISNUMBER(--MID(AF466,4,1)),3,MIN(LEN(AF466),4))))))</f>
        <v/>
      </c>
      <c r="AH466" s="11" t="str">
        <f aca="false">IF(A466="","",LEFT(AF466,AG466)&amp;REPT("0",4-AG466)&amp;RIGHT("000"&amp;IFERROR(VALUE(MID(AF466,AG466+1,9)),0),3)&amp;RIGHT("0000"&amp;IFERROR(VALUE(MID(A466,FIND("-",A466)+1,9)),0),4))</f>
        <v/>
      </c>
      <c r="AI466" s="11" t="str">
        <f aca="false">IF(OR(A466="",N(E466)&lt;=0),"",IF('FALTAS GERAL'!$M$1="Código","K"&amp;AH466&amp;RIGHT("00000"&amp;ROW(),5),IF('FALTAS GERAL'!$M$1="Nome","K"&amp;UPPER(SUBSTITUTE(SUBSTITUTE(SUBSTITUTE(B466,"*",""),"?",""),"~",""))&amp;"0"&amp;AH466&amp;RIGHT("00000"&amp;ROW(),5),IF('FALTAS GERAL'!$M$1="Falta (maior primeiro)","K"&amp;RIGHT("0000"&amp;(9999-E466),4)&amp;AH466&amp;RIGHT("00000"&amp;ROW(),5),IF('FALTAS GERAL'!$M$1="Nº de decks (maior primeiro)","K"&amp;RIGHT("00"&amp;(99-N(G466)),2)&amp;AH466&amp;RIGHT("00000"&amp;ROW(),5),"K"&amp;RIGHT("00000"&amp;ROW(),5))))))</f>
        <v/>
      </c>
      <c r="AJ466" s="11" t="str">
        <f aca="false">IF(AI466="","",COUNTIFS($AI$2:$AI$801,"&lt;"&amp;AI466,$E$2:$E$801,"&gt;0")+1)</f>
        <v/>
      </c>
      <c r="AK466" s="11" t="str">
        <f aca="false">IF(OR(A466="",N(E466)&lt;=0),"",COUNTIFS($AH$2:$AH$801,"&lt;"&amp;AH466,$E$2:$E$801,"&gt;0")+COUNTIFS($AH$2:AH466,AH466,$E$2:E466,"&gt;0"))</f>
        <v/>
      </c>
    </row>
    <row r="467" customFormat="false" ht="15" hidden="false" customHeight="false" outlineLevel="0" collapsed="false">
      <c r="A467" s="11" t="str">
        <f aca="false">IF(INVENTÁRIO!A467="","",INVENTÁRIO!A467)</f>
        <v/>
      </c>
      <c r="B467" s="11" t="str">
        <f aca="false">IF(A467="","",INVENTÁRIO!B467)</f>
        <v/>
      </c>
      <c r="C467" s="16" t="str">
        <f aca="false">IF(A467="","",INVENTÁRIO!C467)</f>
        <v/>
      </c>
      <c r="D467" s="14" t="str">
        <f aca="false">IF(A467="","",MAX(K467:AD467))</f>
        <v/>
      </c>
      <c r="E467" s="14" t="str">
        <f aca="false">IF(A467="","",MAX(0,D467-C467))</f>
        <v/>
      </c>
      <c r="F467" s="16" t="str">
        <f aca="false">IF(A467="","",IF(D467=0,"Fora dos decks",IF(E467=0,"Completo","Falta")))</f>
        <v/>
      </c>
      <c r="G467" s="16" t="str">
        <f aca="false">IF(A467="","",COUNTIF(K467:AD467,"&gt;0"))</f>
        <v/>
      </c>
      <c r="H467" s="16" t="str">
        <f aca="false">IF(A467="","",IF(G467&gt;1,"Sim",""))</f>
        <v/>
      </c>
      <c r="I467" s="18" t="str">
        <f aca="false">IF(A467="","",SUMIFS(DECKS!$D$2:$D$1201,DECKS!$B$2:$B$1201,A467))</f>
        <v/>
      </c>
      <c r="J467" s="18" t="str">
        <f aca="false">IF(A467="","",MAX(0,I467-C467))</f>
        <v/>
      </c>
      <c r="K467" s="19" t="str">
        <f aca="false">IF(OR($A467="",INDEX(_LEITURA!$Q$2:$Q$21,1)=0),"",SUMIFS(DECKS!$D$2:$D$1201,DECKS!$A$2:$A$1201,INDEX(_LEITURA!$P$2:$P$21,1),DECKS!$B$2:$B$1201,$A467))</f>
        <v/>
      </c>
      <c r="L467" s="19" t="str">
        <f aca="false">IF(OR($A467="",INDEX(_LEITURA!$Q$2:$Q$21,2)=0),"",SUMIFS(DECKS!$D$2:$D$1201,DECKS!$A$2:$A$1201,INDEX(_LEITURA!$P$2:$P$21,2),DECKS!$B$2:$B$1201,$A467))</f>
        <v/>
      </c>
      <c r="M467" s="19" t="str">
        <f aca="false">IF(OR($A467="",INDEX(_LEITURA!$Q$2:$Q$21,3)=0),"",SUMIFS(DECKS!$D$2:$D$1201,DECKS!$A$2:$A$1201,INDEX(_LEITURA!$P$2:$P$21,3),DECKS!$B$2:$B$1201,$A467))</f>
        <v/>
      </c>
      <c r="N467" s="19" t="str">
        <f aca="false">IF(OR($A467="",INDEX(_LEITURA!$Q$2:$Q$21,4)=0),"",SUMIFS(DECKS!$D$2:$D$1201,DECKS!$A$2:$A$1201,INDEX(_LEITURA!$P$2:$P$21,4),DECKS!$B$2:$B$1201,$A467))</f>
        <v/>
      </c>
      <c r="O467" s="19" t="str">
        <f aca="false">IF(OR($A467="",INDEX(_LEITURA!$Q$2:$Q$21,5)=0),"",SUMIFS(DECKS!$D$2:$D$1201,DECKS!$A$2:$A$1201,INDEX(_LEITURA!$P$2:$P$21,5),DECKS!$B$2:$B$1201,$A467))</f>
        <v/>
      </c>
      <c r="P467" s="19" t="str">
        <f aca="false">IF(OR($A467="",INDEX(_LEITURA!$Q$2:$Q$21,6)=0),"",SUMIFS(DECKS!$D$2:$D$1201,DECKS!$A$2:$A$1201,INDEX(_LEITURA!$P$2:$P$21,6),DECKS!$B$2:$B$1201,$A467))</f>
        <v/>
      </c>
      <c r="Q467" s="19" t="str">
        <f aca="false">IF(OR($A467="",INDEX(_LEITURA!$Q$2:$Q$21,7)=0),"",SUMIFS(DECKS!$D$2:$D$1201,DECKS!$A$2:$A$1201,INDEX(_LEITURA!$P$2:$P$21,7),DECKS!$B$2:$B$1201,$A467))</f>
        <v/>
      </c>
      <c r="R467" s="19" t="str">
        <f aca="false">IF(OR($A467="",INDEX(_LEITURA!$Q$2:$Q$21,8)=0),"",SUMIFS(DECKS!$D$2:$D$1201,DECKS!$A$2:$A$1201,INDEX(_LEITURA!$P$2:$P$21,8),DECKS!$B$2:$B$1201,$A467))</f>
        <v/>
      </c>
      <c r="S467" s="19" t="str">
        <f aca="false">IF(OR($A467="",INDEX(_LEITURA!$Q$2:$Q$21,9)=0),"",SUMIFS(DECKS!$D$2:$D$1201,DECKS!$A$2:$A$1201,INDEX(_LEITURA!$P$2:$P$21,9),DECKS!$B$2:$B$1201,$A467))</f>
        <v/>
      </c>
      <c r="T467" s="19" t="str">
        <f aca="false">IF(OR($A467="",INDEX(_LEITURA!$Q$2:$Q$21,10)=0),"",SUMIFS(DECKS!$D$2:$D$1201,DECKS!$A$2:$A$1201,INDEX(_LEITURA!$P$2:$P$21,10),DECKS!$B$2:$B$1201,$A467))</f>
        <v/>
      </c>
      <c r="U467" s="19" t="str">
        <f aca="false">IF(OR($A467="",INDEX(_LEITURA!$Q$2:$Q$21,11)=0),"",SUMIFS(DECKS!$D$2:$D$1201,DECKS!$A$2:$A$1201,INDEX(_LEITURA!$P$2:$P$21,11),DECKS!$B$2:$B$1201,$A467))</f>
        <v/>
      </c>
      <c r="V467" s="19" t="str">
        <f aca="false">IF(OR($A467="",INDEX(_LEITURA!$Q$2:$Q$21,12)=0),"",SUMIFS(DECKS!$D$2:$D$1201,DECKS!$A$2:$A$1201,INDEX(_LEITURA!$P$2:$P$21,12),DECKS!$B$2:$B$1201,$A467))</f>
        <v/>
      </c>
      <c r="W467" s="19" t="str">
        <f aca="false">IF(OR($A467="",INDEX(_LEITURA!$Q$2:$Q$21,13)=0),"",SUMIFS(DECKS!$D$2:$D$1201,DECKS!$A$2:$A$1201,INDEX(_LEITURA!$P$2:$P$21,13),DECKS!$B$2:$B$1201,$A467))</f>
        <v/>
      </c>
      <c r="X467" s="19" t="str">
        <f aca="false">IF(OR($A467="",INDEX(_LEITURA!$Q$2:$Q$21,14)=0),"",SUMIFS(DECKS!$D$2:$D$1201,DECKS!$A$2:$A$1201,INDEX(_LEITURA!$P$2:$P$21,14),DECKS!$B$2:$B$1201,$A467))</f>
        <v/>
      </c>
      <c r="Y467" s="19" t="str">
        <f aca="false">IF(OR($A467="",INDEX(_LEITURA!$Q$2:$Q$21,15)=0),"",SUMIFS(DECKS!$D$2:$D$1201,DECKS!$A$2:$A$1201,INDEX(_LEITURA!$P$2:$P$21,15),DECKS!$B$2:$B$1201,$A467))</f>
        <v/>
      </c>
      <c r="Z467" s="19" t="str">
        <f aca="false">IF(OR($A467="",INDEX(_LEITURA!$Q$2:$Q$21,16)=0),"",SUMIFS(DECKS!$D$2:$D$1201,DECKS!$A$2:$A$1201,INDEX(_LEITURA!$P$2:$P$21,16),DECKS!$B$2:$B$1201,$A467))</f>
        <v/>
      </c>
      <c r="AA467" s="19" t="str">
        <f aca="false">IF(OR($A467="",INDEX(_LEITURA!$Q$2:$Q$21,17)=0),"",SUMIFS(DECKS!$D$2:$D$1201,DECKS!$A$2:$A$1201,INDEX(_LEITURA!$P$2:$P$21,17),DECKS!$B$2:$B$1201,$A467))</f>
        <v/>
      </c>
      <c r="AB467" s="19" t="str">
        <f aca="false">IF(OR($A467="",INDEX(_LEITURA!$Q$2:$Q$21,18)=0),"",SUMIFS(DECKS!$D$2:$D$1201,DECKS!$A$2:$A$1201,INDEX(_LEITURA!$P$2:$P$21,18),DECKS!$B$2:$B$1201,$A467))</f>
        <v/>
      </c>
      <c r="AC467" s="19" t="str">
        <f aca="false">IF(OR($A467="",INDEX(_LEITURA!$Q$2:$Q$21,19)=0),"",SUMIFS(DECKS!$D$2:$D$1201,DECKS!$A$2:$A$1201,INDEX(_LEITURA!$P$2:$P$21,19),DECKS!$B$2:$B$1201,$A467))</f>
        <v/>
      </c>
      <c r="AD467" s="19" t="str">
        <f aca="false">IF(OR($A467="",INDEX(_LEITURA!$Q$2:$Q$21,20)=0),"",SUMIFS(DECKS!$D$2:$D$1201,DECKS!$A$2:$A$1201,INDEX(_LEITURA!$P$2:$P$21,20),DECKS!$B$2:$B$1201,$A467))</f>
        <v/>
      </c>
      <c r="AE467" s="16" t="str">
        <f aca="false">IF(N(E467)&gt;0,MAX(AE$1:AE466)+1,"")</f>
        <v/>
      </c>
      <c r="AF467" s="11" t="str">
        <f aca="false">IF(A467="","",IFERROR(LEFT(A467,FIND("-",A467)-1),A467))</f>
        <v/>
      </c>
      <c r="AG467" s="11" t="str">
        <f aca="false">IF(AF467="","",IF(ISNUMBER(--MID(AF467,1,1)),0,IF(ISNUMBER(--MID(AF467,2,1)),1,IF(ISNUMBER(--MID(AF467,3,1)),2,IF(ISNUMBER(--MID(AF467,4,1)),3,MIN(LEN(AF467),4))))))</f>
        <v/>
      </c>
      <c r="AH467" s="11" t="str">
        <f aca="false">IF(A467="","",LEFT(AF467,AG467)&amp;REPT("0",4-AG467)&amp;RIGHT("000"&amp;IFERROR(VALUE(MID(AF467,AG467+1,9)),0),3)&amp;RIGHT("0000"&amp;IFERROR(VALUE(MID(A467,FIND("-",A467)+1,9)),0),4))</f>
        <v/>
      </c>
      <c r="AI467" s="11" t="str">
        <f aca="false">IF(OR(A467="",N(E467)&lt;=0),"",IF('FALTAS GERAL'!$M$1="Código","K"&amp;AH467&amp;RIGHT("00000"&amp;ROW(),5),IF('FALTAS GERAL'!$M$1="Nome","K"&amp;UPPER(SUBSTITUTE(SUBSTITUTE(SUBSTITUTE(B467,"*",""),"?",""),"~",""))&amp;"0"&amp;AH467&amp;RIGHT("00000"&amp;ROW(),5),IF('FALTAS GERAL'!$M$1="Falta (maior primeiro)","K"&amp;RIGHT("0000"&amp;(9999-E467),4)&amp;AH467&amp;RIGHT("00000"&amp;ROW(),5),IF('FALTAS GERAL'!$M$1="Nº de decks (maior primeiro)","K"&amp;RIGHT("00"&amp;(99-N(G467)),2)&amp;AH467&amp;RIGHT("00000"&amp;ROW(),5),"K"&amp;RIGHT("00000"&amp;ROW(),5))))))</f>
        <v/>
      </c>
      <c r="AJ467" s="11" t="str">
        <f aca="false">IF(AI467="","",COUNTIFS($AI$2:$AI$801,"&lt;"&amp;AI467,$E$2:$E$801,"&gt;0")+1)</f>
        <v/>
      </c>
      <c r="AK467" s="11" t="str">
        <f aca="false">IF(OR(A467="",N(E467)&lt;=0),"",COUNTIFS($AH$2:$AH$801,"&lt;"&amp;AH467,$E$2:$E$801,"&gt;0")+COUNTIFS($AH$2:AH467,AH467,$E$2:E467,"&gt;0"))</f>
        <v/>
      </c>
    </row>
    <row r="468" customFormat="false" ht="15" hidden="false" customHeight="false" outlineLevel="0" collapsed="false">
      <c r="A468" s="11" t="str">
        <f aca="false">IF(INVENTÁRIO!A468="","",INVENTÁRIO!A468)</f>
        <v/>
      </c>
      <c r="B468" s="11" t="str">
        <f aca="false">IF(A468="","",INVENTÁRIO!B468)</f>
        <v/>
      </c>
      <c r="C468" s="16" t="str">
        <f aca="false">IF(A468="","",INVENTÁRIO!C468)</f>
        <v/>
      </c>
      <c r="D468" s="14" t="str">
        <f aca="false">IF(A468="","",MAX(K468:AD468))</f>
        <v/>
      </c>
      <c r="E468" s="14" t="str">
        <f aca="false">IF(A468="","",MAX(0,D468-C468))</f>
        <v/>
      </c>
      <c r="F468" s="16" t="str">
        <f aca="false">IF(A468="","",IF(D468=0,"Fora dos decks",IF(E468=0,"Completo","Falta")))</f>
        <v/>
      </c>
      <c r="G468" s="16" t="str">
        <f aca="false">IF(A468="","",COUNTIF(K468:AD468,"&gt;0"))</f>
        <v/>
      </c>
      <c r="H468" s="16" t="str">
        <f aca="false">IF(A468="","",IF(G468&gt;1,"Sim",""))</f>
        <v/>
      </c>
      <c r="I468" s="18" t="str">
        <f aca="false">IF(A468="","",SUMIFS(DECKS!$D$2:$D$1201,DECKS!$B$2:$B$1201,A468))</f>
        <v/>
      </c>
      <c r="J468" s="18" t="str">
        <f aca="false">IF(A468="","",MAX(0,I468-C468))</f>
        <v/>
      </c>
      <c r="K468" s="19" t="str">
        <f aca="false">IF(OR($A468="",INDEX(_LEITURA!$Q$2:$Q$21,1)=0),"",SUMIFS(DECKS!$D$2:$D$1201,DECKS!$A$2:$A$1201,INDEX(_LEITURA!$P$2:$P$21,1),DECKS!$B$2:$B$1201,$A468))</f>
        <v/>
      </c>
      <c r="L468" s="19" t="str">
        <f aca="false">IF(OR($A468="",INDEX(_LEITURA!$Q$2:$Q$21,2)=0),"",SUMIFS(DECKS!$D$2:$D$1201,DECKS!$A$2:$A$1201,INDEX(_LEITURA!$P$2:$P$21,2),DECKS!$B$2:$B$1201,$A468))</f>
        <v/>
      </c>
      <c r="M468" s="19" t="str">
        <f aca="false">IF(OR($A468="",INDEX(_LEITURA!$Q$2:$Q$21,3)=0),"",SUMIFS(DECKS!$D$2:$D$1201,DECKS!$A$2:$A$1201,INDEX(_LEITURA!$P$2:$P$21,3),DECKS!$B$2:$B$1201,$A468))</f>
        <v/>
      </c>
      <c r="N468" s="19" t="str">
        <f aca="false">IF(OR($A468="",INDEX(_LEITURA!$Q$2:$Q$21,4)=0),"",SUMIFS(DECKS!$D$2:$D$1201,DECKS!$A$2:$A$1201,INDEX(_LEITURA!$P$2:$P$21,4),DECKS!$B$2:$B$1201,$A468))</f>
        <v/>
      </c>
      <c r="O468" s="19" t="str">
        <f aca="false">IF(OR($A468="",INDEX(_LEITURA!$Q$2:$Q$21,5)=0),"",SUMIFS(DECKS!$D$2:$D$1201,DECKS!$A$2:$A$1201,INDEX(_LEITURA!$P$2:$P$21,5),DECKS!$B$2:$B$1201,$A468))</f>
        <v/>
      </c>
      <c r="P468" s="19" t="str">
        <f aca="false">IF(OR($A468="",INDEX(_LEITURA!$Q$2:$Q$21,6)=0),"",SUMIFS(DECKS!$D$2:$D$1201,DECKS!$A$2:$A$1201,INDEX(_LEITURA!$P$2:$P$21,6),DECKS!$B$2:$B$1201,$A468))</f>
        <v/>
      </c>
      <c r="Q468" s="19" t="str">
        <f aca="false">IF(OR($A468="",INDEX(_LEITURA!$Q$2:$Q$21,7)=0),"",SUMIFS(DECKS!$D$2:$D$1201,DECKS!$A$2:$A$1201,INDEX(_LEITURA!$P$2:$P$21,7),DECKS!$B$2:$B$1201,$A468))</f>
        <v/>
      </c>
      <c r="R468" s="19" t="str">
        <f aca="false">IF(OR($A468="",INDEX(_LEITURA!$Q$2:$Q$21,8)=0),"",SUMIFS(DECKS!$D$2:$D$1201,DECKS!$A$2:$A$1201,INDEX(_LEITURA!$P$2:$P$21,8),DECKS!$B$2:$B$1201,$A468))</f>
        <v/>
      </c>
      <c r="S468" s="19" t="str">
        <f aca="false">IF(OR($A468="",INDEX(_LEITURA!$Q$2:$Q$21,9)=0),"",SUMIFS(DECKS!$D$2:$D$1201,DECKS!$A$2:$A$1201,INDEX(_LEITURA!$P$2:$P$21,9),DECKS!$B$2:$B$1201,$A468))</f>
        <v/>
      </c>
      <c r="T468" s="19" t="str">
        <f aca="false">IF(OR($A468="",INDEX(_LEITURA!$Q$2:$Q$21,10)=0),"",SUMIFS(DECKS!$D$2:$D$1201,DECKS!$A$2:$A$1201,INDEX(_LEITURA!$P$2:$P$21,10),DECKS!$B$2:$B$1201,$A468))</f>
        <v/>
      </c>
      <c r="U468" s="19" t="str">
        <f aca="false">IF(OR($A468="",INDEX(_LEITURA!$Q$2:$Q$21,11)=0),"",SUMIFS(DECKS!$D$2:$D$1201,DECKS!$A$2:$A$1201,INDEX(_LEITURA!$P$2:$P$21,11),DECKS!$B$2:$B$1201,$A468))</f>
        <v/>
      </c>
      <c r="V468" s="19" t="str">
        <f aca="false">IF(OR($A468="",INDEX(_LEITURA!$Q$2:$Q$21,12)=0),"",SUMIFS(DECKS!$D$2:$D$1201,DECKS!$A$2:$A$1201,INDEX(_LEITURA!$P$2:$P$21,12),DECKS!$B$2:$B$1201,$A468))</f>
        <v/>
      </c>
      <c r="W468" s="19" t="str">
        <f aca="false">IF(OR($A468="",INDEX(_LEITURA!$Q$2:$Q$21,13)=0),"",SUMIFS(DECKS!$D$2:$D$1201,DECKS!$A$2:$A$1201,INDEX(_LEITURA!$P$2:$P$21,13),DECKS!$B$2:$B$1201,$A468))</f>
        <v/>
      </c>
      <c r="X468" s="19" t="str">
        <f aca="false">IF(OR($A468="",INDEX(_LEITURA!$Q$2:$Q$21,14)=0),"",SUMIFS(DECKS!$D$2:$D$1201,DECKS!$A$2:$A$1201,INDEX(_LEITURA!$P$2:$P$21,14),DECKS!$B$2:$B$1201,$A468))</f>
        <v/>
      </c>
      <c r="Y468" s="19" t="str">
        <f aca="false">IF(OR($A468="",INDEX(_LEITURA!$Q$2:$Q$21,15)=0),"",SUMIFS(DECKS!$D$2:$D$1201,DECKS!$A$2:$A$1201,INDEX(_LEITURA!$P$2:$P$21,15),DECKS!$B$2:$B$1201,$A468))</f>
        <v/>
      </c>
      <c r="Z468" s="19" t="str">
        <f aca="false">IF(OR($A468="",INDEX(_LEITURA!$Q$2:$Q$21,16)=0),"",SUMIFS(DECKS!$D$2:$D$1201,DECKS!$A$2:$A$1201,INDEX(_LEITURA!$P$2:$P$21,16),DECKS!$B$2:$B$1201,$A468))</f>
        <v/>
      </c>
      <c r="AA468" s="19" t="str">
        <f aca="false">IF(OR($A468="",INDEX(_LEITURA!$Q$2:$Q$21,17)=0),"",SUMIFS(DECKS!$D$2:$D$1201,DECKS!$A$2:$A$1201,INDEX(_LEITURA!$P$2:$P$21,17),DECKS!$B$2:$B$1201,$A468))</f>
        <v/>
      </c>
      <c r="AB468" s="19" t="str">
        <f aca="false">IF(OR($A468="",INDEX(_LEITURA!$Q$2:$Q$21,18)=0),"",SUMIFS(DECKS!$D$2:$D$1201,DECKS!$A$2:$A$1201,INDEX(_LEITURA!$P$2:$P$21,18),DECKS!$B$2:$B$1201,$A468))</f>
        <v/>
      </c>
      <c r="AC468" s="19" t="str">
        <f aca="false">IF(OR($A468="",INDEX(_LEITURA!$Q$2:$Q$21,19)=0),"",SUMIFS(DECKS!$D$2:$D$1201,DECKS!$A$2:$A$1201,INDEX(_LEITURA!$P$2:$P$21,19),DECKS!$B$2:$B$1201,$A468))</f>
        <v/>
      </c>
      <c r="AD468" s="19" t="str">
        <f aca="false">IF(OR($A468="",INDEX(_LEITURA!$Q$2:$Q$21,20)=0),"",SUMIFS(DECKS!$D$2:$D$1201,DECKS!$A$2:$A$1201,INDEX(_LEITURA!$P$2:$P$21,20),DECKS!$B$2:$B$1201,$A468))</f>
        <v/>
      </c>
      <c r="AE468" s="16" t="str">
        <f aca="false">IF(N(E468)&gt;0,MAX(AE$1:AE467)+1,"")</f>
        <v/>
      </c>
      <c r="AF468" s="11" t="str">
        <f aca="false">IF(A468="","",IFERROR(LEFT(A468,FIND("-",A468)-1),A468))</f>
        <v/>
      </c>
      <c r="AG468" s="11" t="str">
        <f aca="false">IF(AF468="","",IF(ISNUMBER(--MID(AF468,1,1)),0,IF(ISNUMBER(--MID(AF468,2,1)),1,IF(ISNUMBER(--MID(AF468,3,1)),2,IF(ISNUMBER(--MID(AF468,4,1)),3,MIN(LEN(AF468),4))))))</f>
        <v/>
      </c>
      <c r="AH468" s="11" t="str">
        <f aca="false">IF(A468="","",LEFT(AF468,AG468)&amp;REPT("0",4-AG468)&amp;RIGHT("000"&amp;IFERROR(VALUE(MID(AF468,AG468+1,9)),0),3)&amp;RIGHT("0000"&amp;IFERROR(VALUE(MID(A468,FIND("-",A468)+1,9)),0),4))</f>
        <v/>
      </c>
      <c r="AI468" s="11" t="str">
        <f aca="false">IF(OR(A468="",N(E468)&lt;=0),"",IF('FALTAS GERAL'!$M$1="Código","K"&amp;AH468&amp;RIGHT("00000"&amp;ROW(),5),IF('FALTAS GERAL'!$M$1="Nome","K"&amp;UPPER(SUBSTITUTE(SUBSTITUTE(SUBSTITUTE(B468,"*",""),"?",""),"~",""))&amp;"0"&amp;AH468&amp;RIGHT("00000"&amp;ROW(),5),IF('FALTAS GERAL'!$M$1="Falta (maior primeiro)","K"&amp;RIGHT("0000"&amp;(9999-E468),4)&amp;AH468&amp;RIGHT("00000"&amp;ROW(),5),IF('FALTAS GERAL'!$M$1="Nº de decks (maior primeiro)","K"&amp;RIGHT("00"&amp;(99-N(G468)),2)&amp;AH468&amp;RIGHT("00000"&amp;ROW(),5),"K"&amp;RIGHT("00000"&amp;ROW(),5))))))</f>
        <v/>
      </c>
      <c r="AJ468" s="11" t="str">
        <f aca="false">IF(AI468="","",COUNTIFS($AI$2:$AI$801,"&lt;"&amp;AI468,$E$2:$E$801,"&gt;0")+1)</f>
        <v/>
      </c>
      <c r="AK468" s="11" t="str">
        <f aca="false">IF(OR(A468="",N(E468)&lt;=0),"",COUNTIFS($AH$2:$AH$801,"&lt;"&amp;AH468,$E$2:$E$801,"&gt;0")+COUNTIFS($AH$2:AH468,AH468,$E$2:E468,"&gt;0"))</f>
        <v/>
      </c>
    </row>
    <row r="469" customFormat="false" ht="15" hidden="false" customHeight="false" outlineLevel="0" collapsed="false">
      <c r="A469" s="11" t="str">
        <f aca="false">IF(INVENTÁRIO!A469="","",INVENTÁRIO!A469)</f>
        <v/>
      </c>
      <c r="B469" s="11" t="str">
        <f aca="false">IF(A469="","",INVENTÁRIO!B469)</f>
        <v/>
      </c>
      <c r="C469" s="16" t="str">
        <f aca="false">IF(A469="","",INVENTÁRIO!C469)</f>
        <v/>
      </c>
      <c r="D469" s="14" t="str">
        <f aca="false">IF(A469="","",MAX(K469:AD469))</f>
        <v/>
      </c>
      <c r="E469" s="14" t="str">
        <f aca="false">IF(A469="","",MAX(0,D469-C469))</f>
        <v/>
      </c>
      <c r="F469" s="16" t="str">
        <f aca="false">IF(A469="","",IF(D469=0,"Fora dos decks",IF(E469=0,"Completo","Falta")))</f>
        <v/>
      </c>
      <c r="G469" s="16" t="str">
        <f aca="false">IF(A469="","",COUNTIF(K469:AD469,"&gt;0"))</f>
        <v/>
      </c>
      <c r="H469" s="16" t="str">
        <f aca="false">IF(A469="","",IF(G469&gt;1,"Sim",""))</f>
        <v/>
      </c>
      <c r="I469" s="18" t="str">
        <f aca="false">IF(A469="","",SUMIFS(DECKS!$D$2:$D$1201,DECKS!$B$2:$B$1201,A469))</f>
        <v/>
      </c>
      <c r="J469" s="18" t="str">
        <f aca="false">IF(A469="","",MAX(0,I469-C469))</f>
        <v/>
      </c>
      <c r="K469" s="19" t="str">
        <f aca="false">IF(OR($A469="",INDEX(_LEITURA!$Q$2:$Q$21,1)=0),"",SUMIFS(DECKS!$D$2:$D$1201,DECKS!$A$2:$A$1201,INDEX(_LEITURA!$P$2:$P$21,1),DECKS!$B$2:$B$1201,$A469))</f>
        <v/>
      </c>
      <c r="L469" s="19" t="str">
        <f aca="false">IF(OR($A469="",INDEX(_LEITURA!$Q$2:$Q$21,2)=0),"",SUMIFS(DECKS!$D$2:$D$1201,DECKS!$A$2:$A$1201,INDEX(_LEITURA!$P$2:$P$21,2),DECKS!$B$2:$B$1201,$A469))</f>
        <v/>
      </c>
      <c r="M469" s="19" t="str">
        <f aca="false">IF(OR($A469="",INDEX(_LEITURA!$Q$2:$Q$21,3)=0),"",SUMIFS(DECKS!$D$2:$D$1201,DECKS!$A$2:$A$1201,INDEX(_LEITURA!$P$2:$P$21,3),DECKS!$B$2:$B$1201,$A469))</f>
        <v/>
      </c>
      <c r="N469" s="19" t="str">
        <f aca="false">IF(OR($A469="",INDEX(_LEITURA!$Q$2:$Q$21,4)=0),"",SUMIFS(DECKS!$D$2:$D$1201,DECKS!$A$2:$A$1201,INDEX(_LEITURA!$P$2:$P$21,4),DECKS!$B$2:$B$1201,$A469))</f>
        <v/>
      </c>
      <c r="O469" s="19" t="str">
        <f aca="false">IF(OR($A469="",INDEX(_LEITURA!$Q$2:$Q$21,5)=0),"",SUMIFS(DECKS!$D$2:$D$1201,DECKS!$A$2:$A$1201,INDEX(_LEITURA!$P$2:$P$21,5),DECKS!$B$2:$B$1201,$A469))</f>
        <v/>
      </c>
      <c r="P469" s="19" t="str">
        <f aca="false">IF(OR($A469="",INDEX(_LEITURA!$Q$2:$Q$21,6)=0),"",SUMIFS(DECKS!$D$2:$D$1201,DECKS!$A$2:$A$1201,INDEX(_LEITURA!$P$2:$P$21,6),DECKS!$B$2:$B$1201,$A469))</f>
        <v/>
      </c>
      <c r="Q469" s="19" t="str">
        <f aca="false">IF(OR($A469="",INDEX(_LEITURA!$Q$2:$Q$21,7)=0),"",SUMIFS(DECKS!$D$2:$D$1201,DECKS!$A$2:$A$1201,INDEX(_LEITURA!$P$2:$P$21,7),DECKS!$B$2:$B$1201,$A469))</f>
        <v/>
      </c>
      <c r="R469" s="19" t="str">
        <f aca="false">IF(OR($A469="",INDEX(_LEITURA!$Q$2:$Q$21,8)=0),"",SUMIFS(DECKS!$D$2:$D$1201,DECKS!$A$2:$A$1201,INDEX(_LEITURA!$P$2:$P$21,8),DECKS!$B$2:$B$1201,$A469))</f>
        <v/>
      </c>
      <c r="S469" s="19" t="str">
        <f aca="false">IF(OR($A469="",INDEX(_LEITURA!$Q$2:$Q$21,9)=0),"",SUMIFS(DECKS!$D$2:$D$1201,DECKS!$A$2:$A$1201,INDEX(_LEITURA!$P$2:$P$21,9),DECKS!$B$2:$B$1201,$A469))</f>
        <v/>
      </c>
      <c r="T469" s="19" t="str">
        <f aca="false">IF(OR($A469="",INDEX(_LEITURA!$Q$2:$Q$21,10)=0),"",SUMIFS(DECKS!$D$2:$D$1201,DECKS!$A$2:$A$1201,INDEX(_LEITURA!$P$2:$P$21,10),DECKS!$B$2:$B$1201,$A469))</f>
        <v/>
      </c>
      <c r="U469" s="19" t="str">
        <f aca="false">IF(OR($A469="",INDEX(_LEITURA!$Q$2:$Q$21,11)=0),"",SUMIFS(DECKS!$D$2:$D$1201,DECKS!$A$2:$A$1201,INDEX(_LEITURA!$P$2:$P$21,11),DECKS!$B$2:$B$1201,$A469))</f>
        <v/>
      </c>
      <c r="V469" s="19" t="str">
        <f aca="false">IF(OR($A469="",INDEX(_LEITURA!$Q$2:$Q$21,12)=0),"",SUMIFS(DECKS!$D$2:$D$1201,DECKS!$A$2:$A$1201,INDEX(_LEITURA!$P$2:$P$21,12),DECKS!$B$2:$B$1201,$A469))</f>
        <v/>
      </c>
      <c r="W469" s="19" t="str">
        <f aca="false">IF(OR($A469="",INDEX(_LEITURA!$Q$2:$Q$21,13)=0),"",SUMIFS(DECKS!$D$2:$D$1201,DECKS!$A$2:$A$1201,INDEX(_LEITURA!$P$2:$P$21,13),DECKS!$B$2:$B$1201,$A469))</f>
        <v/>
      </c>
      <c r="X469" s="19" t="str">
        <f aca="false">IF(OR($A469="",INDEX(_LEITURA!$Q$2:$Q$21,14)=0),"",SUMIFS(DECKS!$D$2:$D$1201,DECKS!$A$2:$A$1201,INDEX(_LEITURA!$P$2:$P$21,14),DECKS!$B$2:$B$1201,$A469))</f>
        <v/>
      </c>
      <c r="Y469" s="19" t="str">
        <f aca="false">IF(OR($A469="",INDEX(_LEITURA!$Q$2:$Q$21,15)=0),"",SUMIFS(DECKS!$D$2:$D$1201,DECKS!$A$2:$A$1201,INDEX(_LEITURA!$P$2:$P$21,15),DECKS!$B$2:$B$1201,$A469))</f>
        <v/>
      </c>
      <c r="Z469" s="19" t="str">
        <f aca="false">IF(OR($A469="",INDEX(_LEITURA!$Q$2:$Q$21,16)=0),"",SUMIFS(DECKS!$D$2:$D$1201,DECKS!$A$2:$A$1201,INDEX(_LEITURA!$P$2:$P$21,16),DECKS!$B$2:$B$1201,$A469))</f>
        <v/>
      </c>
      <c r="AA469" s="19" t="str">
        <f aca="false">IF(OR($A469="",INDEX(_LEITURA!$Q$2:$Q$21,17)=0),"",SUMIFS(DECKS!$D$2:$D$1201,DECKS!$A$2:$A$1201,INDEX(_LEITURA!$P$2:$P$21,17),DECKS!$B$2:$B$1201,$A469))</f>
        <v/>
      </c>
      <c r="AB469" s="19" t="str">
        <f aca="false">IF(OR($A469="",INDEX(_LEITURA!$Q$2:$Q$21,18)=0),"",SUMIFS(DECKS!$D$2:$D$1201,DECKS!$A$2:$A$1201,INDEX(_LEITURA!$P$2:$P$21,18),DECKS!$B$2:$B$1201,$A469))</f>
        <v/>
      </c>
      <c r="AC469" s="19" t="str">
        <f aca="false">IF(OR($A469="",INDEX(_LEITURA!$Q$2:$Q$21,19)=0),"",SUMIFS(DECKS!$D$2:$D$1201,DECKS!$A$2:$A$1201,INDEX(_LEITURA!$P$2:$P$21,19),DECKS!$B$2:$B$1201,$A469))</f>
        <v/>
      </c>
      <c r="AD469" s="19" t="str">
        <f aca="false">IF(OR($A469="",INDEX(_LEITURA!$Q$2:$Q$21,20)=0),"",SUMIFS(DECKS!$D$2:$D$1201,DECKS!$A$2:$A$1201,INDEX(_LEITURA!$P$2:$P$21,20),DECKS!$B$2:$B$1201,$A469))</f>
        <v/>
      </c>
      <c r="AE469" s="16" t="str">
        <f aca="false">IF(N(E469)&gt;0,MAX(AE$1:AE468)+1,"")</f>
        <v/>
      </c>
      <c r="AF469" s="11" t="str">
        <f aca="false">IF(A469="","",IFERROR(LEFT(A469,FIND("-",A469)-1),A469))</f>
        <v/>
      </c>
      <c r="AG469" s="11" t="str">
        <f aca="false">IF(AF469="","",IF(ISNUMBER(--MID(AF469,1,1)),0,IF(ISNUMBER(--MID(AF469,2,1)),1,IF(ISNUMBER(--MID(AF469,3,1)),2,IF(ISNUMBER(--MID(AF469,4,1)),3,MIN(LEN(AF469),4))))))</f>
        <v/>
      </c>
      <c r="AH469" s="11" t="str">
        <f aca="false">IF(A469="","",LEFT(AF469,AG469)&amp;REPT("0",4-AG469)&amp;RIGHT("000"&amp;IFERROR(VALUE(MID(AF469,AG469+1,9)),0),3)&amp;RIGHT("0000"&amp;IFERROR(VALUE(MID(A469,FIND("-",A469)+1,9)),0),4))</f>
        <v/>
      </c>
      <c r="AI469" s="11" t="str">
        <f aca="false">IF(OR(A469="",N(E469)&lt;=0),"",IF('FALTAS GERAL'!$M$1="Código","K"&amp;AH469&amp;RIGHT("00000"&amp;ROW(),5),IF('FALTAS GERAL'!$M$1="Nome","K"&amp;UPPER(SUBSTITUTE(SUBSTITUTE(SUBSTITUTE(B469,"*",""),"?",""),"~",""))&amp;"0"&amp;AH469&amp;RIGHT("00000"&amp;ROW(),5),IF('FALTAS GERAL'!$M$1="Falta (maior primeiro)","K"&amp;RIGHT("0000"&amp;(9999-E469),4)&amp;AH469&amp;RIGHT("00000"&amp;ROW(),5),IF('FALTAS GERAL'!$M$1="Nº de decks (maior primeiro)","K"&amp;RIGHT("00"&amp;(99-N(G469)),2)&amp;AH469&amp;RIGHT("00000"&amp;ROW(),5),"K"&amp;RIGHT("00000"&amp;ROW(),5))))))</f>
        <v/>
      </c>
      <c r="AJ469" s="11" t="str">
        <f aca="false">IF(AI469="","",COUNTIFS($AI$2:$AI$801,"&lt;"&amp;AI469,$E$2:$E$801,"&gt;0")+1)</f>
        <v/>
      </c>
      <c r="AK469" s="11" t="str">
        <f aca="false">IF(OR(A469="",N(E469)&lt;=0),"",COUNTIFS($AH$2:$AH$801,"&lt;"&amp;AH469,$E$2:$E$801,"&gt;0")+COUNTIFS($AH$2:AH469,AH469,$E$2:E469,"&gt;0"))</f>
        <v/>
      </c>
    </row>
    <row r="470" customFormat="false" ht="15" hidden="false" customHeight="false" outlineLevel="0" collapsed="false">
      <c r="A470" s="11" t="str">
        <f aca="false">IF(INVENTÁRIO!A470="","",INVENTÁRIO!A470)</f>
        <v/>
      </c>
      <c r="B470" s="11" t="str">
        <f aca="false">IF(A470="","",INVENTÁRIO!B470)</f>
        <v/>
      </c>
      <c r="C470" s="16" t="str">
        <f aca="false">IF(A470="","",INVENTÁRIO!C470)</f>
        <v/>
      </c>
      <c r="D470" s="14" t="str">
        <f aca="false">IF(A470="","",MAX(K470:AD470))</f>
        <v/>
      </c>
      <c r="E470" s="14" t="str">
        <f aca="false">IF(A470="","",MAX(0,D470-C470))</f>
        <v/>
      </c>
      <c r="F470" s="16" t="str">
        <f aca="false">IF(A470="","",IF(D470=0,"Fora dos decks",IF(E470=0,"Completo","Falta")))</f>
        <v/>
      </c>
      <c r="G470" s="16" t="str">
        <f aca="false">IF(A470="","",COUNTIF(K470:AD470,"&gt;0"))</f>
        <v/>
      </c>
      <c r="H470" s="16" t="str">
        <f aca="false">IF(A470="","",IF(G470&gt;1,"Sim",""))</f>
        <v/>
      </c>
      <c r="I470" s="18" t="str">
        <f aca="false">IF(A470="","",SUMIFS(DECKS!$D$2:$D$1201,DECKS!$B$2:$B$1201,A470))</f>
        <v/>
      </c>
      <c r="J470" s="18" t="str">
        <f aca="false">IF(A470="","",MAX(0,I470-C470))</f>
        <v/>
      </c>
      <c r="K470" s="19" t="str">
        <f aca="false">IF(OR($A470="",INDEX(_LEITURA!$Q$2:$Q$21,1)=0),"",SUMIFS(DECKS!$D$2:$D$1201,DECKS!$A$2:$A$1201,INDEX(_LEITURA!$P$2:$P$21,1),DECKS!$B$2:$B$1201,$A470))</f>
        <v/>
      </c>
      <c r="L470" s="19" t="str">
        <f aca="false">IF(OR($A470="",INDEX(_LEITURA!$Q$2:$Q$21,2)=0),"",SUMIFS(DECKS!$D$2:$D$1201,DECKS!$A$2:$A$1201,INDEX(_LEITURA!$P$2:$P$21,2),DECKS!$B$2:$B$1201,$A470))</f>
        <v/>
      </c>
      <c r="M470" s="19" t="str">
        <f aca="false">IF(OR($A470="",INDEX(_LEITURA!$Q$2:$Q$21,3)=0),"",SUMIFS(DECKS!$D$2:$D$1201,DECKS!$A$2:$A$1201,INDEX(_LEITURA!$P$2:$P$21,3),DECKS!$B$2:$B$1201,$A470))</f>
        <v/>
      </c>
      <c r="N470" s="19" t="str">
        <f aca="false">IF(OR($A470="",INDEX(_LEITURA!$Q$2:$Q$21,4)=0),"",SUMIFS(DECKS!$D$2:$D$1201,DECKS!$A$2:$A$1201,INDEX(_LEITURA!$P$2:$P$21,4),DECKS!$B$2:$B$1201,$A470))</f>
        <v/>
      </c>
      <c r="O470" s="19" t="str">
        <f aca="false">IF(OR($A470="",INDEX(_LEITURA!$Q$2:$Q$21,5)=0),"",SUMIFS(DECKS!$D$2:$D$1201,DECKS!$A$2:$A$1201,INDEX(_LEITURA!$P$2:$P$21,5),DECKS!$B$2:$B$1201,$A470))</f>
        <v/>
      </c>
      <c r="P470" s="19" t="str">
        <f aca="false">IF(OR($A470="",INDEX(_LEITURA!$Q$2:$Q$21,6)=0),"",SUMIFS(DECKS!$D$2:$D$1201,DECKS!$A$2:$A$1201,INDEX(_LEITURA!$P$2:$P$21,6),DECKS!$B$2:$B$1201,$A470))</f>
        <v/>
      </c>
      <c r="Q470" s="19" t="str">
        <f aca="false">IF(OR($A470="",INDEX(_LEITURA!$Q$2:$Q$21,7)=0),"",SUMIFS(DECKS!$D$2:$D$1201,DECKS!$A$2:$A$1201,INDEX(_LEITURA!$P$2:$P$21,7),DECKS!$B$2:$B$1201,$A470))</f>
        <v/>
      </c>
      <c r="R470" s="19" t="str">
        <f aca="false">IF(OR($A470="",INDEX(_LEITURA!$Q$2:$Q$21,8)=0),"",SUMIFS(DECKS!$D$2:$D$1201,DECKS!$A$2:$A$1201,INDEX(_LEITURA!$P$2:$P$21,8),DECKS!$B$2:$B$1201,$A470))</f>
        <v/>
      </c>
      <c r="S470" s="19" t="str">
        <f aca="false">IF(OR($A470="",INDEX(_LEITURA!$Q$2:$Q$21,9)=0),"",SUMIFS(DECKS!$D$2:$D$1201,DECKS!$A$2:$A$1201,INDEX(_LEITURA!$P$2:$P$21,9),DECKS!$B$2:$B$1201,$A470))</f>
        <v/>
      </c>
      <c r="T470" s="19" t="str">
        <f aca="false">IF(OR($A470="",INDEX(_LEITURA!$Q$2:$Q$21,10)=0),"",SUMIFS(DECKS!$D$2:$D$1201,DECKS!$A$2:$A$1201,INDEX(_LEITURA!$P$2:$P$21,10),DECKS!$B$2:$B$1201,$A470))</f>
        <v/>
      </c>
      <c r="U470" s="19" t="str">
        <f aca="false">IF(OR($A470="",INDEX(_LEITURA!$Q$2:$Q$21,11)=0),"",SUMIFS(DECKS!$D$2:$D$1201,DECKS!$A$2:$A$1201,INDEX(_LEITURA!$P$2:$P$21,11),DECKS!$B$2:$B$1201,$A470))</f>
        <v/>
      </c>
      <c r="V470" s="19" t="str">
        <f aca="false">IF(OR($A470="",INDEX(_LEITURA!$Q$2:$Q$21,12)=0),"",SUMIFS(DECKS!$D$2:$D$1201,DECKS!$A$2:$A$1201,INDEX(_LEITURA!$P$2:$P$21,12),DECKS!$B$2:$B$1201,$A470))</f>
        <v/>
      </c>
      <c r="W470" s="19" t="str">
        <f aca="false">IF(OR($A470="",INDEX(_LEITURA!$Q$2:$Q$21,13)=0),"",SUMIFS(DECKS!$D$2:$D$1201,DECKS!$A$2:$A$1201,INDEX(_LEITURA!$P$2:$P$21,13),DECKS!$B$2:$B$1201,$A470))</f>
        <v/>
      </c>
      <c r="X470" s="19" t="str">
        <f aca="false">IF(OR($A470="",INDEX(_LEITURA!$Q$2:$Q$21,14)=0),"",SUMIFS(DECKS!$D$2:$D$1201,DECKS!$A$2:$A$1201,INDEX(_LEITURA!$P$2:$P$21,14),DECKS!$B$2:$B$1201,$A470))</f>
        <v/>
      </c>
      <c r="Y470" s="19" t="str">
        <f aca="false">IF(OR($A470="",INDEX(_LEITURA!$Q$2:$Q$21,15)=0),"",SUMIFS(DECKS!$D$2:$D$1201,DECKS!$A$2:$A$1201,INDEX(_LEITURA!$P$2:$P$21,15),DECKS!$B$2:$B$1201,$A470))</f>
        <v/>
      </c>
      <c r="Z470" s="19" t="str">
        <f aca="false">IF(OR($A470="",INDEX(_LEITURA!$Q$2:$Q$21,16)=0),"",SUMIFS(DECKS!$D$2:$D$1201,DECKS!$A$2:$A$1201,INDEX(_LEITURA!$P$2:$P$21,16),DECKS!$B$2:$B$1201,$A470))</f>
        <v/>
      </c>
      <c r="AA470" s="19" t="str">
        <f aca="false">IF(OR($A470="",INDEX(_LEITURA!$Q$2:$Q$21,17)=0),"",SUMIFS(DECKS!$D$2:$D$1201,DECKS!$A$2:$A$1201,INDEX(_LEITURA!$P$2:$P$21,17),DECKS!$B$2:$B$1201,$A470))</f>
        <v/>
      </c>
      <c r="AB470" s="19" t="str">
        <f aca="false">IF(OR($A470="",INDEX(_LEITURA!$Q$2:$Q$21,18)=0),"",SUMIFS(DECKS!$D$2:$D$1201,DECKS!$A$2:$A$1201,INDEX(_LEITURA!$P$2:$P$21,18),DECKS!$B$2:$B$1201,$A470))</f>
        <v/>
      </c>
      <c r="AC470" s="19" t="str">
        <f aca="false">IF(OR($A470="",INDEX(_LEITURA!$Q$2:$Q$21,19)=0),"",SUMIFS(DECKS!$D$2:$D$1201,DECKS!$A$2:$A$1201,INDEX(_LEITURA!$P$2:$P$21,19),DECKS!$B$2:$B$1201,$A470))</f>
        <v/>
      </c>
      <c r="AD470" s="19" t="str">
        <f aca="false">IF(OR($A470="",INDEX(_LEITURA!$Q$2:$Q$21,20)=0),"",SUMIFS(DECKS!$D$2:$D$1201,DECKS!$A$2:$A$1201,INDEX(_LEITURA!$P$2:$P$21,20),DECKS!$B$2:$B$1201,$A470))</f>
        <v/>
      </c>
      <c r="AE470" s="16" t="str">
        <f aca="false">IF(N(E470)&gt;0,MAX(AE$1:AE469)+1,"")</f>
        <v/>
      </c>
      <c r="AF470" s="11" t="str">
        <f aca="false">IF(A470="","",IFERROR(LEFT(A470,FIND("-",A470)-1),A470))</f>
        <v/>
      </c>
      <c r="AG470" s="11" t="str">
        <f aca="false">IF(AF470="","",IF(ISNUMBER(--MID(AF470,1,1)),0,IF(ISNUMBER(--MID(AF470,2,1)),1,IF(ISNUMBER(--MID(AF470,3,1)),2,IF(ISNUMBER(--MID(AF470,4,1)),3,MIN(LEN(AF470),4))))))</f>
        <v/>
      </c>
      <c r="AH470" s="11" t="str">
        <f aca="false">IF(A470="","",LEFT(AF470,AG470)&amp;REPT("0",4-AG470)&amp;RIGHT("000"&amp;IFERROR(VALUE(MID(AF470,AG470+1,9)),0),3)&amp;RIGHT("0000"&amp;IFERROR(VALUE(MID(A470,FIND("-",A470)+1,9)),0),4))</f>
        <v/>
      </c>
      <c r="AI470" s="11" t="str">
        <f aca="false">IF(OR(A470="",N(E470)&lt;=0),"",IF('FALTAS GERAL'!$M$1="Código","K"&amp;AH470&amp;RIGHT("00000"&amp;ROW(),5),IF('FALTAS GERAL'!$M$1="Nome","K"&amp;UPPER(SUBSTITUTE(SUBSTITUTE(SUBSTITUTE(B470,"*",""),"?",""),"~",""))&amp;"0"&amp;AH470&amp;RIGHT("00000"&amp;ROW(),5),IF('FALTAS GERAL'!$M$1="Falta (maior primeiro)","K"&amp;RIGHT("0000"&amp;(9999-E470),4)&amp;AH470&amp;RIGHT("00000"&amp;ROW(),5),IF('FALTAS GERAL'!$M$1="Nº de decks (maior primeiro)","K"&amp;RIGHT("00"&amp;(99-N(G470)),2)&amp;AH470&amp;RIGHT("00000"&amp;ROW(),5),"K"&amp;RIGHT("00000"&amp;ROW(),5))))))</f>
        <v/>
      </c>
      <c r="AJ470" s="11" t="str">
        <f aca="false">IF(AI470="","",COUNTIFS($AI$2:$AI$801,"&lt;"&amp;AI470,$E$2:$E$801,"&gt;0")+1)</f>
        <v/>
      </c>
      <c r="AK470" s="11" t="str">
        <f aca="false">IF(OR(A470="",N(E470)&lt;=0),"",COUNTIFS($AH$2:$AH$801,"&lt;"&amp;AH470,$E$2:$E$801,"&gt;0")+COUNTIFS($AH$2:AH470,AH470,$E$2:E470,"&gt;0"))</f>
        <v/>
      </c>
    </row>
    <row r="471" customFormat="false" ht="15" hidden="false" customHeight="false" outlineLevel="0" collapsed="false">
      <c r="A471" s="11" t="str">
        <f aca="false">IF(INVENTÁRIO!A471="","",INVENTÁRIO!A471)</f>
        <v/>
      </c>
      <c r="B471" s="11" t="str">
        <f aca="false">IF(A471="","",INVENTÁRIO!B471)</f>
        <v/>
      </c>
      <c r="C471" s="16" t="str">
        <f aca="false">IF(A471="","",INVENTÁRIO!C471)</f>
        <v/>
      </c>
      <c r="D471" s="14" t="str">
        <f aca="false">IF(A471="","",MAX(K471:AD471))</f>
        <v/>
      </c>
      <c r="E471" s="14" t="str">
        <f aca="false">IF(A471="","",MAX(0,D471-C471))</f>
        <v/>
      </c>
      <c r="F471" s="16" t="str">
        <f aca="false">IF(A471="","",IF(D471=0,"Fora dos decks",IF(E471=0,"Completo","Falta")))</f>
        <v/>
      </c>
      <c r="G471" s="16" t="str">
        <f aca="false">IF(A471="","",COUNTIF(K471:AD471,"&gt;0"))</f>
        <v/>
      </c>
      <c r="H471" s="16" t="str">
        <f aca="false">IF(A471="","",IF(G471&gt;1,"Sim",""))</f>
        <v/>
      </c>
      <c r="I471" s="18" t="str">
        <f aca="false">IF(A471="","",SUMIFS(DECKS!$D$2:$D$1201,DECKS!$B$2:$B$1201,A471))</f>
        <v/>
      </c>
      <c r="J471" s="18" t="str">
        <f aca="false">IF(A471="","",MAX(0,I471-C471))</f>
        <v/>
      </c>
      <c r="K471" s="19" t="str">
        <f aca="false">IF(OR($A471="",INDEX(_LEITURA!$Q$2:$Q$21,1)=0),"",SUMIFS(DECKS!$D$2:$D$1201,DECKS!$A$2:$A$1201,INDEX(_LEITURA!$P$2:$P$21,1),DECKS!$B$2:$B$1201,$A471))</f>
        <v/>
      </c>
      <c r="L471" s="19" t="str">
        <f aca="false">IF(OR($A471="",INDEX(_LEITURA!$Q$2:$Q$21,2)=0),"",SUMIFS(DECKS!$D$2:$D$1201,DECKS!$A$2:$A$1201,INDEX(_LEITURA!$P$2:$P$21,2),DECKS!$B$2:$B$1201,$A471))</f>
        <v/>
      </c>
      <c r="M471" s="19" t="str">
        <f aca="false">IF(OR($A471="",INDEX(_LEITURA!$Q$2:$Q$21,3)=0),"",SUMIFS(DECKS!$D$2:$D$1201,DECKS!$A$2:$A$1201,INDEX(_LEITURA!$P$2:$P$21,3),DECKS!$B$2:$B$1201,$A471))</f>
        <v/>
      </c>
      <c r="N471" s="19" t="str">
        <f aca="false">IF(OR($A471="",INDEX(_LEITURA!$Q$2:$Q$21,4)=0),"",SUMIFS(DECKS!$D$2:$D$1201,DECKS!$A$2:$A$1201,INDEX(_LEITURA!$P$2:$P$21,4),DECKS!$B$2:$B$1201,$A471))</f>
        <v/>
      </c>
      <c r="O471" s="19" t="str">
        <f aca="false">IF(OR($A471="",INDEX(_LEITURA!$Q$2:$Q$21,5)=0),"",SUMIFS(DECKS!$D$2:$D$1201,DECKS!$A$2:$A$1201,INDEX(_LEITURA!$P$2:$P$21,5),DECKS!$B$2:$B$1201,$A471))</f>
        <v/>
      </c>
      <c r="P471" s="19" t="str">
        <f aca="false">IF(OR($A471="",INDEX(_LEITURA!$Q$2:$Q$21,6)=0),"",SUMIFS(DECKS!$D$2:$D$1201,DECKS!$A$2:$A$1201,INDEX(_LEITURA!$P$2:$P$21,6),DECKS!$B$2:$B$1201,$A471))</f>
        <v/>
      </c>
      <c r="Q471" s="19" t="str">
        <f aca="false">IF(OR($A471="",INDEX(_LEITURA!$Q$2:$Q$21,7)=0),"",SUMIFS(DECKS!$D$2:$D$1201,DECKS!$A$2:$A$1201,INDEX(_LEITURA!$P$2:$P$21,7),DECKS!$B$2:$B$1201,$A471))</f>
        <v/>
      </c>
      <c r="R471" s="19" t="str">
        <f aca="false">IF(OR($A471="",INDEX(_LEITURA!$Q$2:$Q$21,8)=0),"",SUMIFS(DECKS!$D$2:$D$1201,DECKS!$A$2:$A$1201,INDEX(_LEITURA!$P$2:$P$21,8),DECKS!$B$2:$B$1201,$A471))</f>
        <v/>
      </c>
      <c r="S471" s="19" t="str">
        <f aca="false">IF(OR($A471="",INDEX(_LEITURA!$Q$2:$Q$21,9)=0),"",SUMIFS(DECKS!$D$2:$D$1201,DECKS!$A$2:$A$1201,INDEX(_LEITURA!$P$2:$P$21,9),DECKS!$B$2:$B$1201,$A471))</f>
        <v/>
      </c>
      <c r="T471" s="19" t="str">
        <f aca="false">IF(OR($A471="",INDEX(_LEITURA!$Q$2:$Q$21,10)=0),"",SUMIFS(DECKS!$D$2:$D$1201,DECKS!$A$2:$A$1201,INDEX(_LEITURA!$P$2:$P$21,10),DECKS!$B$2:$B$1201,$A471))</f>
        <v/>
      </c>
      <c r="U471" s="19" t="str">
        <f aca="false">IF(OR($A471="",INDEX(_LEITURA!$Q$2:$Q$21,11)=0),"",SUMIFS(DECKS!$D$2:$D$1201,DECKS!$A$2:$A$1201,INDEX(_LEITURA!$P$2:$P$21,11),DECKS!$B$2:$B$1201,$A471))</f>
        <v/>
      </c>
      <c r="V471" s="19" t="str">
        <f aca="false">IF(OR($A471="",INDEX(_LEITURA!$Q$2:$Q$21,12)=0),"",SUMIFS(DECKS!$D$2:$D$1201,DECKS!$A$2:$A$1201,INDEX(_LEITURA!$P$2:$P$21,12),DECKS!$B$2:$B$1201,$A471))</f>
        <v/>
      </c>
      <c r="W471" s="19" t="str">
        <f aca="false">IF(OR($A471="",INDEX(_LEITURA!$Q$2:$Q$21,13)=0),"",SUMIFS(DECKS!$D$2:$D$1201,DECKS!$A$2:$A$1201,INDEX(_LEITURA!$P$2:$P$21,13),DECKS!$B$2:$B$1201,$A471))</f>
        <v/>
      </c>
      <c r="X471" s="19" t="str">
        <f aca="false">IF(OR($A471="",INDEX(_LEITURA!$Q$2:$Q$21,14)=0),"",SUMIFS(DECKS!$D$2:$D$1201,DECKS!$A$2:$A$1201,INDEX(_LEITURA!$P$2:$P$21,14),DECKS!$B$2:$B$1201,$A471))</f>
        <v/>
      </c>
      <c r="Y471" s="19" t="str">
        <f aca="false">IF(OR($A471="",INDEX(_LEITURA!$Q$2:$Q$21,15)=0),"",SUMIFS(DECKS!$D$2:$D$1201,DECKS!$A$2:$A$1201,INDEX(_LEITURA!$P$2:$P$21,15),DECKS!$B$2:$B$1201,$A471))</f>
        <v/>
      </c>
      <c r="Z471" s="19" t="str">
        <f aca="false">IF(OR($A471="",INDEX(_LEITURA!$Q$2:$Q$21,16)=0),"",SUMIFS(DECKS!$D$2:$D$1201,DECKS!$A$2:$A$1201,INDEX(_LEITURA!$P$2:$P$21,16),DECKS!$B$2:$B$1201,$A471))</f>
        <v/>
      </c>
      <c r="AA471" s="19" t="str">
        <f aca="false">IF(OR($A471="",INDEX(_LEITURA!$Q$2:$Q$21,17)=0),"",SUMIFS(DECKS!$D$2:$D$1201,DECKS!$A$2:$A$1201,INDEX(_LEITURA!$P$2:$P$21,17),DECKS!$B$2:$B$1201,$A471))</f>
        <v/>
      </c>
      <c r="AB471" s="19" t="str">
        <f aca="false">IF(OR($A471="",INDEX(_LEITURA!$Q$2:$Q$21,18)=0),"",SUMIFS(DECKS!$D$2:$D$1201,DECKS!$A$2:$A$1201,INDEX(_LEITURA!$P$2:$P$21,18),DECKS!$B$2:$B$1201,$A471))</f>
        <v/>
      </c>
      <c r="AC471" s="19" t="str">
        <f aca="false">IF(OR($A471="",INDEX(_LEITURA!$Q$2:$Q$21,19)=0),"",SUMIFS(DECKS!$D$2:$D$1201,DECKS!$A$2:$A$1201,INDEX(_LEITURA!$P$2:$P$21,19),DECKS!$B$2:$B$1201,$A471))</f>
        <v/>
      </c>
      <c r="AD471" s="19" t="str">
        <f aca="false">IF(OR($A471="",INDEX(_LEITURA!$Q$2:$Q$21,20)=0),"",SUMIFS(DECKS!$D$2:$D$1201,DECKS!$A$2:$A$1201,INDEX(_LEITURA!$P$2:$P$21,20),DECKS!$B$2:$B$1201,$A471))</f>
        <v/>
      </c>
      <c r="AE471" s="16" t="str">
        <f aca="false">IF(N(E471)&gt;0,MAX(AE$1:AE470)+1,"")</f>
        <v/>
      </c>
      <c r="AF471" s="11" t="str">
        <f aca="false">IF(A471="","",IFERROR(LEFT(A471,FIND("-",A471)-1),A471))</f>
        <v/>
      </c>
      <c r="AG471" s="11" t="str">
        <f aca="false">IF(AF471="","",IF(ISNUMBER(--MID(AF471,1,1)),0,IF(ISNUMBER(--MID(AF471,2,1)),1,IF(ISNUMBER(--MID(AF471,3,1)),2,IF(ISNUMBER(--MID(AF471,4,1)),3,MIN(LEN(AF471),4))))))</f>
        <v/>
      </c>
      <c r="AH471" s="11" t="str">
        <f aca="false">IF(A471="","",LEFT(AF471,AG471)&amp;REPT("0",4-AG471)&amp;RIGHT("000"&amp;IFERROR(VALUE(MID(AF471,AG471+1,9)),0),3)&amp;RIGHT("0000"&amp;IFERROR(VALUE(MID(A471,FIND("-",A471)+1,9)),0),4))</f>
        <v/>
      </c>
      <c r="AI471" s="11" t="str">
        <f aca="false">IF(OR(A471="",N(E471)&lt;=0),"",IF('FALTAS GERAL'!$M$1="Código","K"&amp;AH471&amp;RIGHT("00000"&amp;ROW(),5),IF('FALTAS GERAL'!$M$1="Nome","K"&amp;UPPER(SUBSTITUTE(SUBSTITUTE(SUBSTITUTE(B471,"*",""),"?",""),"~",""))&amp;"0"&amp;AH471&amp;RIGHT("00000"&amp;ROW(),5),IF('FALTAS GERAL'!$M$1="Falta (maior primeiro)","K"&amp;RIGHT("0000"&amp;(9999-E471),4)&amp;AH471&amp;RIGHT("00000"&amp;ROW(),5),IF('FALTAS GERAL'!$M$1="Nº de decks (maior primeiro)","K"&amp;RIGHT("00"&amp;(99-N(G471)),2)&amp;AH471&amp;RIGHT("00000"&amp;ROW(),5),"K"&amp;RIGHT("00000"&amp;ROW(),5))))))</f>
        <v/>
      </c>
      <c r="AJ471" s="11" t="str">
        <f aca="false">IF(AI471="","",COUNTIFS($AI$2:$AI$801,"&lt;"&amp;AI471,$E$2:$E$801,"&gt;0")+1)</f>
        <v/>
      </c>
      <c r="AK471" s="11" t="str">
        <f aca="false">IF(OR(A471="",N(E471)&lt;=0),"",COUNTIFS($AH$2:$AH$801,"&lt;"&amp;AH471,$E$2:$E$801,"&gt;0")+COUNTIFS($AH$2:AH471,AH471,$E$2:E471,"&gt;0"))</f>
        <v/>
      </c>
    </row>
    <row r="472" customFormat="false" ht="15" hidden="false" customHeight="false" outlineLevel="0" collapsed="false">
      <c r="A472" s="11" t="str">
        <f aca="false">IF(INVENTÁRIO!A472="","",INVENTÁRIO!A472)</f>
        <v/>
      </c>
      <c r="B472" s="11" t="str">
        <f aca="false">IF(A472="","",INVENTÁRIO!B472)</f>
        <v/>
      </c>
      <c r="C472" s="16" t="str">
        <f aca="false">IF(A472="","",INVENTÁRIO!C472)</f>
        <v/>
      </c>
      <c r="D472" s="14" t="str">
        <f aca="false">IF(A472="","",MAX(K472:AD472))</f>
        <v/>
      </c>
      <c r="E472" s="14" t="str">
        <f aca="false">IF(A472="","",MAX(0,D472-C472))</f>
        <v/>
      </c>
      <c r="F472" s="16" t="str">
        <f aca="false">IF(A472="","",IF(D472=0,"Fora dos decks",IF(E472=0,"Completo","Falta")))</f>
        <v/>
      </c>
      <c r="G472" s="16" t="str">
        <f aca="false">IF(A472="","",COUNTIF(K472:AD472,"&gt;0"))</f>
        <v/>
      </c>
      <c r="H472" s="16" t="str">
        <f aca="false">IF(A472="","",IF(G472&gt;1,"Sim",""))</f>
        <v/>
      </c>
      <c r="I472" s="18" t="str">
        <f aca="false">IF(A472="","",SUMIFS(DECKS!$D$2:$D$1201,DECKS!$B$2:$B$1201,A472))</f>
        <v/>
      </c>
      <c r="J472" s="18" t="str">
        <f aca="false">IF(A472="","",MAX(0,I472-C472))</f>
        <v/>
      </c>
      <c r="K472" s="19" t="str">
        <f aca="false">IF(OR($A472="",INDEX(_LEITURA!$Q$2:$Q$21,1)=0),"",SUMIFS(DECKS!$D$2:$D$1201,DECKS!$A$2:$A$1201,INDEX(_LEITURA!$P$2:$P$21,1),DECKS!$B$2:$B$1201,$A472))</f>
        <v/>
      </c>
      <c r="L472" s="19" t="str">
        <f aca="false">IF(OR($A472="",INDEX(_LEITURA!$Q$2:$Q$21,2)=0),"",SUMIFS(DECKS!$D$2:$D$1201,DECKS!$A$2:$A$1201,INDEX(_LEITURA!$P$2:$P$21,2),DECKS!$B$2:$B$1201,$A472))</f>
        <v/>
      </c>
      <c r="M472" s="19" t="str">
        <f aca="false">IF(OR($A472="",INDEX(_LEITURA!$Q$2:$Q$21,3)=0),"",SUMIFS(DECKS!$D$2:$D$1201,DECKS!$A$2:$A$1201,INDEX(_LEITURA!$P$2:$P$21,3),DECKS!$B$2:$B$1201,$A472))</f>
        <v/>
      </c>
      <c r="N472" s="19" t="str">
        <f aca="false">IF(OR($A472="",INDEX(_LEITURA!$Q$2:$Q$21,4)=0),"",SUMIFS(DECKS!$D$2:$D$1201,DECKS!$A$2:$A$1201,INDEX(_LEITURA!$P$2:$P$21,4),DECKS!$B$2:$B$1201,$A472))</f>
        <v/>
      </c>
      <c r="O472" s="19" t="str">
        <f aca="false">IF(OR($A472="",INDEX(_LEITURA!$Q$2:$Q$21,5)=0),"",SUMIFS(DECKS!$D$2:$D$1201,DECKS!$A$2:$A$1201,INDEX(_LEITURA!$P$2:$P$21,5),DECKS!$B$2:$B$1201,$A472))</f>
        <v/>
      </c>
      <c r="P472" s="19" t="str">
        <f aca="false">IF(OR($A472="",INDEX(_LEITURA!$Q$2:$Q$21,6)=0),"",SUMIFS(DECKS!$D$2:$D$1201,DECKS!$A$2:$A$1201,INDEX(_LEITURA!$P$2:$P$21,6),DECKS!$B$2:$B$1201,$A472))</f>
        <v/>
      </c>
      <c r="Q472" s="19" t="str">
        <f aca="false">IF(OR($A472="",INDEX(_LEITURA!$Q$2:$Q$21,7)=0),"",SUMIFS(DECKS!$D$2:$D$1201,DECKS!$A$2:$A$1201,INDEX(_LEITURA!$P$2:$P$21,7),DECKS!$B$2:$B$1201,$A472))</f>
        <v/>
      </c>
      <c r="R472" s="19" t="str">
        <f aca="false">IF(OR($A472="",INDEX(_LEITURA!$Q$2:$Q$21,8)=0),"",SUMIFS(DECKS!$D$2:$D$1201,DECKS!$A$2:$A$1201,INDEX(_LEITURA!$P$2:$P$21,8),DECKS!$B$2:$B$1201,$A472))</f>
        <v/>
      </c>
      <c r="S472" s="19" t="str">
        <f aca="false">IF(OR($A472="",INDEX(_LEITURA!$Q$2:$Q$21,9)=0),"",SUMIFS(DECKS!$D$2:$D$1201,DECKS!$A$2:$A$1201,INDEX(_LEITURA!$P$2:$P$21,9),DECKS!$B$2:$B$1201,$A472))</f>
        <v/>
      </c>
      <c r="T472" s="19" t="str">
        <f aca="false">IF(OR($A472="",INDEX(_LEITURA!$Q$2:$Q$21,10)=0),"",SUMIFS(DECKS!$D$2:$D$1201,DECKS!$A$2:$A$1201,INDEX(_LEITURA!$P$2:$P$21,10),DECKS!$B$2:$B$1201,$A472))</f>
        <v/>
      </c>
      <c r="U472" s="19" t="str">
        <f aca="false">IF(OR($A472="",INDEX(_LEITURA!$Q$2:$Q$21,11)=0),"",SUMIFS(DECKS!$D$2:$D$1201,DECKS!$A$2:$A$1201,INDEX(_LEITURA!$P$2:$P$21,11),DECKS!$B$2:$B$1201,$A472))</f>
        <v/>
      </c>
      <c r="V472" s="19" t="str">
        <f aca="false">IF(OR($A472="",INDEX(_LEITURA!$Q$2:$Q$21,12)=0),"",SUMIFS(DECKS!$D$2:$D$1201,DECKS!$A$2:$A$1201,INDEX(_LEITURA!$P$2:$P$21,12),DECKS!$B$2:$B$1201,$A472))</f>
        <v/>
      </c>
      <c r="W472" s="19" t="str">
        <f aca="false">IF(OR($A472="",INDEX(_LEITURA!$Q$2:$Q$21,13)=0),"",SUMIFS(DECKS!$D$2:$D$1201,DECKS!$A$2:$A$1201,INDEX(_LEITURA!$P$2:$P$21,13),DECKS!$B$2:$B$1201,$A472))</f>
        <v/>
      </c>
      <c r="X472" s="19" t="str">
        <f aca="false">IF(OR($A472="",INDEX(_LEITURA!$Q$2:$Q$21,14)=0),"",SUMIFS(DECKS!$D$2:$D$1201,DECKS!$A$2:$A$1201,INDEX(_LEITURA!$P$2:$P$21,14),DECKS!$B$2:$B$1201,$A472))</f>
        <v/>
      </c>
      <c r="Y472" s="19" t="str">
        <f aca="false">IF(OR($A472="",INDEX(_LEITURA!$Q$2:$Q$21,15)=0),"",SUMIFS(DECKS!$D$2:$D$1201,DECKS!$A$2:$A$1201,INDEX(_LEITURA!$P$2:$P$21,15),DECKS!$B$2:$B$1201,$A472))</f>
        <v/>
      </c>
      <c r="Z472" s="19" t="str">
        <f aca="false">IF(OR($A472="",INDEX(_LEITURA!$Q$2:$Q$21,16)=0),"",SUMIFS(DECKS!$D$2:$D$1201,DECKS!$A$2:$A$1201,INDEX(_LEITURA!$P$2:$P$21,16),DECKS!$B$2:$B$1201,$A472))</f>
        <v/>
      </c>
      <c r="AA472" s="19" t="str">
        <f aca="false">IF(OR($A472="",INDEX(_LEITURA!$Q$2:$Q$21,17)=0),"",SUMIFS(DECKS!$D$2:$D$1201,DECKS!$A$2:$A$1201,INDEX(_LEITURA!$P$2:$P$21,17),DECKS!$B$2:$B$1201,$A472))</f>
        <v/>
      </c>
      <c r="AB472" s="19" t="str">
        <f aca="false">IF(OR($A472="",INDEX(_LEITURA!$Q$2:$Q$21,18)=0),"",SUMIFS(DECKS!$D$2:$D$1201,DECKS!$A$2:$A$1201,INDEX(_LEITURA!$P$2:$P$21,18),DECKS!$B$2:$B$1201,$A472))</f>
        <v/>
      </c>
      <c r="AC472" s="19" t="str">
        <f aca="false">IF(OR($A472="",INDEX(_LEITURA!$Q$2:$Q$21,19)=0),"",SUMIFS(DECKS!$D$2:$D$1201,DECKS!$A$2:$A$1201,INDEX(_LEITURA!$P$2:$P$21,19),DECKS!$B$2:$B$1201,$A472))</f>
        <v/>
      </c>
      <c r="AD472" s="19" t="str">
        <f aca="false">IF(OR($A472="",INDEX(_LEITURA!$Q$2:$Q$21,20)=0),"",SUMIFS(DECKS!$D$2:$D$1201,DECKS!$A$2:$A$1201,INDEX(_LEITURA!$P$2:$P$21,20),DECKS!$B$2:$B$1201,$A472))</f>
        <v/>
      </c>
      <c r="AE472" s="16" t="str">
        <f aca="false">IF(N(E472)&gt;0,MAX(AE$1:AE471)+1,"")</f>
        <v/>
      </c>
      <c r="AF472" s="11" t="str">
        <f aca="false">IF(A472="","",IFERROR(LEFT(A472,FIND("-",A472)-1),A472))</f>
        <v/>
      </c>
      <c r="AG472" s="11" t="str">
        <f aca="false">IF(AF472="","",IF(ISNUMBER(--MID(AF472,1,1)),0,IF(ISNUMBER(--MID(AF472,2,1)),1,IF(ISNUMBER(--MID(AF472,3,1)),2,IF(ISNUMBER(--MID(AF472,4,1)),3,MIN(LEN(AF472),4))))))</f>
        <v/>
      </c>
      <c r="AH472" s="11" t="str">
        <f aca="false">IF(A472="","",LEFT(AF472,AG472)&amp;REPT("0",4-AG472)&amp;RIGHT("000"&amp;IFERROR(VALUE(MID(AF472,AG472+1,9)),0),3)&amp;RIGHT("0000"&amp;IFERROR(VALUE(MID(A472,FIND("-",A472)+1,9)),0),4))</f>
        <v/>
      </c>
      <c r="AI472" s="11" t="str">
        <f aca="false">IF(OR(A472="",N(E472)&lt;=0),"",IF('FALTAS GERAL'!$M$1="Código","K"&amp;AH472&amp;RIGHT("00000"&amp;ROW(),5),IF('FALTAS GERAL'!$M$1="Nome","K"&amp;UPPER(SUBSTITUTE(SUBSTITUTE(SUBSTITUTE(B472,"*",""),"?",""),"~",""))&amp;"0"&amp;AH472&amp;RIGHT("00000"&amp;ROW(),5),IF('FALTAS GERAL'!$M$1="Falta (maior primeiro)","K"&amp;RIGHT("0000"&amp;(9999-E472),4)&amp;AH472&amp;RIGHT("00000"&amp;ROW(),5),IF('FALTAS GERAL'!$M$1="Nº de decks (maior primeiro)","K"&amp;RIGHT("00"&amp;(99-N(G472)),2)&amp;AH472&amp;RIGHT("00000"&amp;ROW(),5),"K"&amp;RIGHT("00000"&amp;ROW(),5))))))</f>
        <v/>
      </c>
      <c r="AJ472" s="11" t="str">
        <f aca="false">IF(AI472="","",COUNTIFS($AI$2:$AI$801,"&lt;"&amp;AI472,$E$2:$E$801,"&gt;0")+1)</f>
        <v/>
      </c>
      <c r="AK472" s="11" t="str">
        <f aca="false">IF(OR(A472="",N(E472)&lt;=0),"",COUNTIFS($AH$2:$AH$801,"&lt;"&amp;AH472,$E$2:$E$801,"&gt;0")+COUNTIFS($AH$2:AH472,AH472,$E$2:E472,"&gt;0"))</f>
        <v/>
      </c>
    </row>
    <row r="473" customFormat="false" ht="15" hidden="false" customHeight="false" outlineLevel="0" collapsed="false">
      <c r="A473" s="11" t="str">
        <f aca="false">IF(INVENTÁRIO!A473="","",INVENTÁRIO!A473)</f>
        <v/>
      </c>
      <c r="B473" s="11" t="str">
        <f aca="false">IF(A473="","",INVENTÁRIO!B473)</f>
        <v/>
      </c>
      <c r="C473" s="16" t="str">
        <f aca="false">IF(A473="","",INVENTÁRIO!C473)</f>
        <v/>
      </c>
      <c r="D473" s="14" t="str">
        <f aca="false">IF(A473="","",MAX(K473:AD473))</f>
        <v/>
      </c>
      <c r="E473" s="14" t="str">
        <f aca="false">IF(A473="","",MAX(0,D473-C473))</f>
        <v/>
      </c>
      <c r="F473" s="16" t="str">
        <f aca="false">IF(A473="","",IF(D473=0,"Fora dos decks",IF(E473=0,"Completo","Falta")))</f>
        <v/>
      </c>
      <c r="G473" s="16" t="str">
        <f aca="false">IF(A473="","",COUNTIF(K473:AD473,"&gt;0"))</f>
        <v/>
      </c>
      <c r="H473" s="16" t="str">
        <f aca="false">IF(A473="","",IF(G473&gt;1,"Sim",""))</f>
        <v/>
      </c>
      <c r="I473" s="18" t="str">
        <f aca="false">IF(A473="","",SUMIFS(DECKS!$D$2:$D$1201,DECKS!$B$2:$B$1201,A473))</f>
        <v/>
      </c>
      <c r="J473" s="18" t="str">
        <f aca="false">IF(A473="","",MAX(0,I473-C473))</f>
        <v/>
      </c>
      <c r="K473" s="19" t="str">
        <f aca="false">IF(OR($A473="",INDEX(_LEITURA!$Q$2:$Q$21,1)=0),"",SUMIFS(DECKS!$D$2:$D$1201,DECKS!$A$2:$A$1201,INDEX(_LEITURA!$P$2:$P$21,1),DECKS!$B$2:$B$1201,$A473))</f>
        <v/>
      </c>
      <c r="L473" s="19" t="str">
        <f aca="false">IF(OR($A473="",INDEX(_LEITURA!$Q$2:$Q$21,2)=0),"",SUMIFS(DECKS!$D$2:$D$1201,DECKS!$A$2:$A$1201,INDEX(_LEITURA!$P$2:$P$21,2),DECKS!$B$2:$B$1201,$A473))</f>
        <v/>
      </c>
      <c r="M473" s="19" t="str">
        <f aca="false">IF(OR($A473="",INDEX(_LEITURA!$Q$2:$Q$21,3)=0),"",SUMIFS(DECKS!$D$2:$D$1201,DECKS!$A$2:$A$1201,INDEX(_LEITURA!$P$2:$P$21,3),DECKS!$B$2:$B$1201,$A473))</f>
        <v/>
      </c>
      <c r="N473" s="19" t="str">
        <f aca="false">IF(OR($A473="",INDEX(_LEITURA!$Q$2:$Q$21,4)=0),"",SUMIFS(DECKS!$D$2:$D$1201,DECKS!$A$2:$A$1201,INDEX(_LEITURA!$P$2:$P$21,4),DECKS!$B$2:$B$1201,$A473))</f>
        <v/>
      </c>
      <c r="O473" s="19" t="str">
        <f aca="false">IF(OR($A473="",INDEX(_LEITURA!$Q$2:$Q$21,5)=0),"",SUMIFS(DECKS!$D$2:$D$1201,DECKS!$A$2:$A$1201,INDEX(_LEITURA!$P$2:$P$21,5),DECKS!$B$2:$B$1201,$A473))</f>
        <v/>
      </c>
      <c r="P473" s="19" t="str">
        <f aca="false">IF(OR($A473="",INDEX(_LEITURA!$Q$2:$Q$21,6)=0),"",SUMIFS(DECKS!$D$2:$D$1201,DECKS!$A$2:$A$1201,INDEX(_LEITURA!$P$2:$P$21,6),DECKS!$B$2:$B$1201,$A473))</f>
        <v/>
      </c>
      <c r="Q473" s="19" t="str">
        <f aca="false">IF(OR($A473="",INDEX(_LEITURA!$Q$2:$Q$21,7)=0),"",SUMIFS(DECKS!$D$2:$D$1201,DECKS!$A$2:$A$1201,INDEX(_LEITURA!$P$2:$P$21,7),DECKS!$B$2:$B$1201,$A473))</f>
        <v/>
      </c>
      <c r="R473" s="19" t="str">
        <f aca="false">IF(OR($A473="",INDEX(_LEITURA!$Q$2:$Q$21,8)=0),"",SUMIFS(DECKS!$D$2:$D$1201,DECKS!$A$2:$A$1201,INDEX(_LEITURA!$P$2:$P$21,8),DECKS!$B$2:$B$1201,$A473))</f>
        <v/>
      </c>
      <c r="S473" s="19" t="str">
        <f aca="false">IF(OR($A473="",INDEX(_LEITURA!$Q$2:$Q$21,9)=0),"",SUMIFS(DECKS!$D$2:$D$1201,DECKS!$A$2:$A$1201,INDEX(_LEITURA!$P$2:$P$21,9),DECKS!$B$2:$B$1201,$A473))</f>
        <v/>
      </c>
      <c r="T473" s="19" t="str">
        <f aca="false">IF(OR($A473="",INDEX(_LEITURA!$Q$2:$Q$21,10)=0),"",SUMIFS(DECKS!$D$2:$D$1201,DECKS!$A$2:$A$1201,INDEX(_LEITURA!$P$2:$P$21,10),DECKS!$B$2:$B$1201,$A473))</f>
        <v/>
      </c>
      <c r="U473" s="19" t="str">
        <f aca="false">IF(OR($A473="",INDEX(_LEITURA!$Q$2:$Q$21,11)=0),"",SUMIFS(DECKS!$D$2:$D$1201,DECKS!$A$2:$A$1201,INDEX(_LEITURA!$P$2:$P$21,11),DECKS!$B$2:$B$1201,$A473))</f>
        <v/>
      </c>
      <c r="V473" s="19" t="str">
        <f aca="false">IF(OR($A473="",INDEX(_LEITURA!$Q$2:$Q$21,12)=0),"",SUMIFS(DECKS!$D$2:$D$1201,DECKS!$A$2:$A$1201,INDEX(_LEITURA!$P$2:$P$21,12),DECKS!$B$2:$B$1201,$A473))</f>
        <v/>
      </c>
      <c r="W473" s="19" t="str">
        <f aca="false">IF(OR($A473="",INDEX(_LEITURA!$Q$2:$Q$21,13)=0),"",SUMIFS(DECKS!$D$2:$D$1201,DECKS!$A$2:$A$1201,INDEX(_LEITURA!$P$2:$P$21,13),DECKS!$B$2:$B$1201,$A473))</f>
        <v/>
      </c>
      <c r="X473" s="19" t="str">
        <f aca="false">IF(OR($A473="",INDEX(_LEITURA!$Q$2:$Q$21,14)=0),"",SUMIFS(DECKS!$D$2:$D$1201,DECKS!$A$2:$A$1201,INDEX(_LEITURA!$P$2:$P$21,14),DECKS!$B$2:$B$1201,$A473))</f>
        <v/>
      </c>
      <c r="Y473" s="19" t="str">
        <f aca="false">IF(OR($A473="",INDEX(_LEITURA!$Q$2:$Q$21,15)=0),"",SUMIFS(DECKS!$D$2:$D$1201,DECKS!$A$2:$A$1201,INDEX(_LEITURA!$P$2:$P$21,15),DECKS!$B$2:$B$1201,$A473))</f>
        <v/>
      </c>
      <c r="Z473" s="19" t="str">
        <f aca="false">IF(OR($A473="",INDEX(_LEITURA!$Q$2:$Q$21,16)=0),"",SUMIFS(DECKS!$D$2:$D$1201,DECKS!$A$2:$A$1201,INDEX(_LEITURA!$P$2:$P$21,16),DECKS!$B$2:$B$1201,$A473))</f>
        <v/>
      </c>
      <c r="AA473" s="19" t="str">
        <f aca="false">IF(OR($A473="",INDEX(_LEITURA!$Q$2:$Q$21,17)=0),"",SUMIFS(DECKS!$D$2:$D$1201,DECKS!$A$2:$A$1201,INDEX(_LEITURA!$P$2:$P$21,17),DECKS!$B$2:$B$1201,$A473))</f>
        <v/>
      </c>
      <c r="AB473" s="19" t="str">
        <f aca="false">IF(OR($A473="",INDEX(_LEITURA!$Q$2:$Q$21,18)=0),"",SUMIFS(DECKS!$D$2:$D$1201,DECKS!$A$2:$A$1201,INDEX(_LEITURA!$P$2:$P$21,18),DECKS!$B$2:$B$1201,$A473))</f>
        <v/>
      </c>
      <c r="AC473" s="19" t="str">
        <f aca="false">IF(OR($A473="",INDEX(_LEITURA!$Q$2:$Q$21,19)=0),"",SUMIFS(DECKS!$D$2:$D$1201,DECKS!$A$2:$A$1201,INDEX(_LEITURA!$P$2:$P$21,19),DECKS!$B$2:$B$1201,$A473))</f>
        <v/>
      </c>
      <c r="AD473" s="19" t="str">
        <f aca="false">IF(OR($A473="",INDEX(_LEITURA!$Q$2:$Q$21,20)=0),"",SUMIFS(DECKS!$D$2:$D$1201,DECKS!$A$2:$A$1201,INDEX(_LEITURA!$P$2:$P$21,20),DECKS!$B$2:$B$1201,$A473))</f>
        <v/>
      </c>
      <c r="AE473" s="16" t="str">
        <f aca="false">IF(N(E473)&gt;0,MAX(AE$1:AE472)+1,"")</f>
        <v/>
      </c>
      <c r="AF473" s="11" t="str">
        <f aca="false">IF(A473="","",IFERROR(LEFT(A473,FIND("-",A473)-1),A473))</f>
        <v/>
      </c>
      <c r="AG473" s="11" t="str">
        <f aca="false">IF(AF473="","",IF(ISNUMBER(--MID(AF473,1,1)),0,IF(ISNUMBER(--MID(AF473,2,1)),1,IF(ISNUMBER(--MID(AF473,3,1)),2,IF(ISNUMBER(--MID(AF473,4,1)),3,MIN(LEN(AF473),4))))))</f>
        <v/>
      </c>
      <c r="AH473" s="11" t="str">
        <f aca="false">IF(A473="","",LEFT(AF473,AG473)&amp;REPT("0",4-AG473)&amp;RIGHT("000"&amp;IFERROR(VALUE(MID(AF473,AG473+1,9)),0),3)&amp;RIGHT("0000"&amp;IFERROR(VALUE(MID(A473,FIND("-",A473)+1,9)),0),4))</f>
        <v/>
      </c>
      <c r="AI473" s="11" t="str">
        <f aca="false">IF(OR(A473="",N(E473)&lt;=0),"",IF('FALTAS GERAL'!$M$1="Código","K"&amp;AH473&amp;RIGHT("00000"&amp;ROW(),5),IF('FALTAS GERAL'!$M$1="Nome","K"&amp;UPPER(SUBSTITUTE(SUBSTITUTE(SUBSTITUTE(B473,"*",""),"?",""),"~",""))&amp;"0"&amp;AH473&amp;RIGHT("00000"&amp;ROW(),5),IF('FALTAS GERAL'!$M$1="Falta (maior primeiro)","K"&amp;RIGHT("0000"&amp;(9999-E473),4)&amp;AH473&amp;RIGHT("00000"&amp;ROW(),5),IF('FALTAS GERAL'!$M$1="Nº de decks (maior primeiro)","K"&amp;RIGHT("00"&amp;(99-N(G473)),2)&amp;AH473&amp;RIGHT("00000"&amp;ROW(),5),"K"&amp;RIGHT("00000"&amp;ROW(),5))))))</f>
        <v/>
      </c>
      <c r="AJ473" s="11" t="str">
        <f aca="false">IF(AI473="","",COUNTIFS($AI$2:$AI$801,"&lt;"&amp;AI473,$E$2:$E$801,"&gt;0")+1)</f>
        <v/>
      </c>
      <c r="AK473" s="11" t="str">
        <f aca="false">IF(OR(A473="",N(E473)&lt;=0),"",COUNTIFS($AH$2:$AH$801,"&lt;"&amp;AH473,$E$2:$E$801,"&gt;0")+COUNTIFS($AH$2:AH473,AH473,$E$2:E473,"&gt;0"))</f>
        <v/>
      </c>
    </row>
    <row r="474" customFormat="false" ht="15" hidden="false" customHeight="false" outlineLevel="0" collapsed="false">
      <c r="A474" s="11" t="str">
        <f aca="false">IF(INVENTÁRIO!A474="","",INVENTÁRIO!A474)</f>
        <v/>
      </c>
      <c r="B474" s="11" t="str">
        <f aca="false">IF(A474="","",INVENTÁRIO!B474)</f>
        <v/>
      </c>
      <c r="C474" s="16" t="str">
        <f aca="false">IF(A474="","",INVENTÁRIO!C474)</f>
        <v/>
      </c>
      <c r="D474" s="14" t="str">
        <f aca="false">IF(A474="","",MAX(K474:AD474))</f>
        <v/>
      </c>
      <c r="E474" s="14" t="str">
        <f aca="false">IF(A474="","",MAX(0,D474-C474))</f>
        <v/>
      </c>
      <c r="F474" s="16" t="str">
        <f aca="false">IF(A474="","",IF(D474=0,"Fora dos decks",IF(E474=0,"Completo","Falta")))</f>
        <v/>
      </c>
      <c r="G474" s="16" t="str">
        <f aca="false">IF(A474="","",COUNTIF(K474:AD474,"&gt;0"))</f>
        <v/>
      </c>
      <c r="H474" s="16" t="str">
        <f aca="false">IF(A474="","",IF(G474&gt;1,"Sim",""))</f>
        <v/>
      </c>
      <c r="I474" s="18" t="str">
        <f aca="false">IF(A474="","",SUMIFS(DECKS!$D$2:$D$1201,DECKS!$B$2:$B$1201,A474))</f>
        <v/>
      </c>
      <c r="J474" s="18" t="str">
        <f aca="false">IF(A474="","",MAX(0,I474-C474))</f>
        <v/>
      </c>
      <c r="K474" s="19" t="str">
        <f aca="false">IF(OR($A474="",INDEX(_LEITURA!$Q$2:$Q$21,1)=0),"",SUMIFS(DECKS!$D$2:$D$1201,DECKS!$A$2:$A$1201,INDEX(_LEITURA!$P$2:$P$21,1),DECKS!$B$2:$B$1201,$A474))</f>
        <v/>
      </c>
      <c r="L474" s="19" t="str">
        <f aca="false">IF(OR($A474="",INDEX(_LEITURA!$Q$2:$Q$21,2)=0),"",SUMIFS(DECKS!$D$2:$D$1201,DECKS!$A$2:$A$1201,INDEX(_LEITURA!$P$2:$P$21,2),DECKS!$B$2:$B$1201,$A474))</f>
        <v/>
      </c>
      <c r="M474" s="19" t="str">
        <f aca="false">IF(OR($A474="",INDEX(_LEITURA!$Q$2:$Q$21,3)=0),"",SUMIFS(DECKS!$D$2:$D$1201,DECKS!$A$2:$A$1201,INDEX(_LEITURA!$P$2:$P$21,3),DECKS!$B$2:$B$1201,$A474))</f>
        <v/>
      </c>
      <c r="N474" s="19" t="str">
        <f aca="false">IF(OR($A474="",INDEX(_LEITURA!$Q$2:$Q$21,4)=0),"",SUMIFS(DECKS!$D$2:$D$1201,DECKS!$A$2:$A$1201,INDEX(_LEITURA!$P$2:$P$21,4),DECKS!$B$2:$B$1201,$A474))</f>
        <v/>
      </c>
      <c r="O474" s="19" t="str">
        <f aca="false">IF(OR($A474="",INDEX(_LEITURA!$Q$2:$Q$21,5)=0),"",SUMIFS(DECKS!$D$2:$D$1201,DECKS!$A$2:$A$1201,INDEX(_LEITURA!$P$2:$P$21,5),DECKS!$B$2:$B$1201,$A474))</f>
        <v/>
      </c>
      <c r="P474" s="19" t="str">
        <f aca="false">IF(OR($A474="",INDEX(_LEITURA!$Q$2:$Q$21,6)=0),"",SUMIFS(DECKS!$D$2:$D$1201,DECKS!$A$2:$A$1201,INDEX(_LEITURA!$P$2:$P$21,6),DECKS!$B$2:$B$1201,$A474))</f>
        <v/>
      </c>
      <c r="Q474" s="19" t="str">
        <f aca="false">IF(OR($A474="",INDEX(_LEITURA!$Q$2:$Q$21,7)=0),"",SUMIFS(DECKS!$D$2:$D$1201,DECKS!$A$2:$A$1201,INDEX(_LEITURA!$P$2:$P$21,7),DECKS!$B$2:$B$1201,$A474))</f>
        <v/>
      </c>
      <c r="R474" s="19" t="str">
        <f aca="false">IF(OR($A474="",INDEX(_LEITURA!$Q$2:$Q$21,8)=0),"",SUMIFS(DECKS!$D$2:$D$1201,DECKS!$A$2:$A$1201,INDEX(_LEITURA!$P$2:$P$21,8),DECKS!$B$2:$B$1201,$A474))</f>
        <v/>
      </c>
      <c r="S474" s="19" t="str">
        <f aca="false">IF(OR($A474="",INDEX(_LEITURA!$Q$2:$Q$21,9)=0),"",SUMIFS(DECKS!$D$2:$D$1201,DECKS!$A$2:$A$1201,INDEX(_LEITURA!$P$2:$P$21,9),DECKS!$B$2:$B$1201,$A474))</f>
        <v/>
      </c>
      <c r="T474" s="19" t="str">
        <f aca="false">IF(OR($A474="",INDEX(_LEITURA!$Q$2:$Q$21,10)=0),"",SUMIFS(DECKS!$D$2:$D$1201,DECKS!$A$2:$A$1201,INDEX(_LEITURA!$P$2:$P$21,10),DECKS!$B$2:$B$1201,$A474))</f>
        <v/>
      </c>
      <c r="U474" s="19" t="str">
        <f aca="false">IF(OR($A474="",INDEX(_LEITURA!$Q$2:$Q$21,11)=0),"",SUMIFS(DECKS!$D$2:$D$1201,DECKS!$A$2:$A$1201,INDEX(_LEITURA!$P$2:$P$21,11),DECKS!$B$2:$B$1201,$A474))</f>
        <v/>
      </c>
      <c r="V474" s="19" t="str">
        <f aca="false">IF(OR($A474="",INDEX(_LEITURA!$Q$2:$Q$21,12)=0),"",SUMIFS(DECKS!$D$2:$D$1201,DECKS!$A$2:$A$1201,INDEX(_LEITURA!$P$2:$P$21,12),DECKS!$B$2:$B$1201,$A474))</f>
        <v/>
      </c>
      <c r="W474" s="19" t="str">
        <f aca="false">IF(OR($A474="",INDEX(_LEITURA!$Q$2:$Q$21,13)=0),"",SUMIFS(DECKS!$D$2:$D$1201,DECKS!$A$2:$A$1201,INDEX(_LEITURA!$P$2:$P$21,13),DECKS!$B$2:$B$1201,$A474))</f>
        <v/>
      </c>
      <c r="X474" s="19" t="str">
        <f aca="false">IF(OR($A474="",INDEX(_LEITURA!$Q$2:$Q$21,14)=0),"",SUMIFS(DECKS!$D$2:$D$1201,DECKS!$A$2:$A$1201,INDEX(_LEITURA!$P$2:$P$21,14),DECKS!$B$2:$B$1201,$A474))</f>
        <v/>
      </c>
      <c r="Y474" s="19" t="str">
        <f aca="false">IF(OR($A474="",INDEX(_LEITURA!$Q$2:$Q$21,15)=0),"",SUMIFS(DECKS!$D$2:$D$1201,DECKS!$A$2:$A$1201,INDEX(_LEITURA!$P$2:$P$21,15),DECKS!$B$2:$B$1201,$A474))</f>
        <v/>
      </c>
      <c r="Z474" s="19" t="str">
        <f aca="false">IF(OR($A474="",INDEX(_LEITURA!$Q$2:$Q$21,16)=0),"",SUMIFS(DECKS!$D$2:$D$1201,DECKS!$A$2:$A$1201,INDEX(_LEITURA!$P$2:$P$21,16),DECKS!$B$2:$B$1201,$A474))</f>
        <v/>
      </c>
      <c r="AA474" s="19" t="str">
        <f aca="false">IF(OR($A474="",INDEX(_LEITURA!$Q$2:$Q$21,17)=0),"",SUMIFS(DECKS!$D$2:$D$1201,DECKS!$A$2:$A$1201,INDEX(_LEITURA!$P$2:$P$21,17),DECKS!$B$2:$B$1201,$A474))</f>
        <v/>
      </c>
      <c r="AB474" s="19" t="str">
        <f aca="false">IF(OR($A474="",INDEX(_LEITURA!$Q$2:$Q$21,18)=0),"",SUMIFS(DECKS!$D$2:$D$1201,DECKS!$A$2:$A$1201,INDEX(_LEITURA!$P$2:$P$21,18),DECKS!$B$2:$B$1201,$A474))</f>
        <v/>
      </c>
      <c r="AC474" s="19" t="str">
        <f aca="false">IF(OR($A474="",INDEX(_LEITURA!$Q$2:$Q$21,19)=0),"",SUMIFS(DECKS!$D$2:$D$1201,DECKS!$A$2:$A$1201,INDEX(_LEITURA!$P$2:$P$21,19),DECKS!$B$2:$B$1201,$A474))</f>
        <v/>
      </c>
      <c r="AD474" s="19" t="str">
        <f aca="false">IF(OR($A474="",INDEX(_LEITURA!$Q$2:$Q$21,20)=0),"",SUMIFS(DECKS!$D$2:$D$1201,DECKS!$A$2:$A$1201,INDEX(_LEITURA!$P$2:$P$21,20),DECKS!$B$2:$B$1201,$A474))</f>
        <v/>
      </c>
      <c r="AE474" s="16" t="str">
        <f aca="false">IF(N(E474)&gt;0,MAX(AE$1:AE473)+1,"")</f>
        <v/>
      </c>
      <c r="AF474" s="11" t="str">
        <f aca="false">IF(A474="","",IFERROR(LEFT(A474,FIND("-",A474)-1),A474))</f>
        <v/>
      </c>
      <c r="AG474" s="11" t="str">
        <f aca="false">IF(AF474="","",IF(ISNUMBER(--MID(AF474,1,1)),0,IF(ISNUMBER(--MID(AF474,2,1)),1,IF(ISNUMBER(--MID(AF474,3,1)),2,IF(ISNUMBER(--MID(AF474,4,1)),3,MIN(LEN(AF474),4))))))</f>
        <v/>
      </c>
      <c r="AH474" s="11" t="str">
        <f aca="false">IF(A474="","",LEFT(AF474,AG474)&amp;REPT("0",4-AG474)&amp;RIGHT("000"&amp;IFERROR(VALUE(MID(AF474,AG474+1,9)),0),3)&amp;RIGHT("0000"&amp;IFERROR(VALUE(MID(A474,FIND("-",A474)+1,9)),0),4))</f>
        <v/>
      </c>
      <c r="AI474" s="11" t="str">
        <f aca="false">IF(OR(A474="",N(E474)&lt;=0),"",IF('FALTAS GERAL'!$M$1="Código","K"&amp;AH474&amp;RIGHT("00000"&amp;ROW(),5),IF('FALTAS GERAL'!$M$1="Nome","K"&amp;UPPER(SUBSTITUTE(SUBSTITUTE(SUBSTITUTE(B474,"*",""),"?",""),"~",""))&amp;"0"&amp;AH474&amp;RIGHT("00000"&amp;ROW(),5),IF('FALTAS GERAL'!$M$1="Falta (maior primeiro)","K"&amp;RIGHT("0000"&amp;(9999-E474),4)&amp;AH474&amp;RIGHT("00000"&amp;ROW(),5),IF('FALTAS GERAL'!$M$1="Nº de decks (maior primeiro)","K"&amp;RIGHT("00"&amp;(99-N(G474)),2)&amp;AH474&amp;RIGHT("00000"&amp;ROW(),5),"K"&amp;RIGHT("00000"&amp;ROW(),5))))))</f>
        <v/>
      </c>
      <c r="AJ474" s="11" t="str">
        <f aca="false">IF(AI474="","",COUNTIFS($AI$2:$AI$801,"&lt;"&amp;AI474,$E$2:$E$801,"&gt;0")+1)</f>
        <v/>
      </c>
      <c r="AK474" s="11" t="str">
        <f aca="false">IF(OR(A474="",N(E474)&lt;=0),"",COUNTIFS($AH$2:$AH$801,"&lt;"&amp;AH474,$E$2:$E$801,"&gt;0")+COUNTIFS($AH$2:AH474,AH474,$E$2:E474,"&gt;0"))</f>
        <v/>
      </c>
    </row>
    <row r="475" customFormat="false" ht="15" hidden="false" customHeight="false" outlineLevel="0" collapsed="false">
      <c r="A475" s="11" t="str">
        <f aca="false">IF(INVENTÁRIO!A475="","",INVENTÁRIO!A475)</f>
        <v/>
      </c>
      <c r="B475" s="11" t="str">
        <f aca="false">IF(A475="","",INVENTÁRIO!B475)</f>
        <v/>
      </c>
      <c r="C475" s="16" t="str">
        <f aca="false">IF(A475="","",INVENTÁRIO!C475)</f>
        <v/>
      </c>
      <c r="D475" s="14" t="str">
        <f aca="false">IF(A475="","",MAX(K475:AD475))</f>
        <v/>
      </c>
      <c r="E475" s="14" t="str">
        <f aca="false">IF(A475="","",MAX(0,D475-C475))</f>
        <v/>
      </c>
      <c r="F475" s="16" t="str">
        <f aca="false">IF(A475="","",IF(D475=0,"Fora dos decks",IF(E475=0,"Completo","Falta")))</f>
        <v/>
      </c>
      <c r="G475" s="16" t="str">
        <f aca="false">IF(A475="","",COUNTIF(K475:AD475,"&gt;0"))</f>
        <v/>
      </c>
      <c r="H475" s="16" t="str">
        <f aca="false">IF(A475="","",IF(G475&gt;1,"Sim",""))</f>
        <v/>
      </c>
      <c r="I475" s="18" t="str">
        <f aca="false">IF(A475="","",SUMIFS(DECKS!$D$2:$D$1201,DECKS!$B$2:$B$1201,A475))</f>
        <v/>
      </c>
      <c r="J475" s="18" t="str">
        <f aca="false">IF(A475="","",MAX(0,I475-C475))</f>
        <v/>
      </c>
      <c r="K475" s="19" t="str">
        <f aca="false">IF(OR($A475="",INDEX(_LEITURA!$Q$2:$Q$21,1)=0),"",SUMIFS(DECKS!$D$2:$D$1201,DECKS!$A$2:$A$1201,INDEX(_LEITURA!$P$2:$P$21,1),DECKS!$B$2:$B$1201,$A475))</f>
        <v/>
      </c>
      <c r="L475" s="19" t="str">
        <f aca="false">IF(OR($A475="",INDEX(_LEITURA!$Q$2:$Q$21,2)=0),"",SUMIFS(DECKS!$D$2:$D$1201,DECKS!$A$2:$A$1201,INDEX(_LEITURA!$P$2:$P$21,2),DECKS!$B$2:$B$1201,$A475))</f>
        <v/>
      </c>
      <c r="M475" s="19" t="str">
        <f aca="false">IF(OR($A475="",INDEX(_LEITURA!$Q$2:$Q$21,3)=0),"",SUMIFS(DECKS!$D$2:$D$1201,DECKS!$A$2:$A$1201,INDEX(_LEITURA!$P$2:$P$21,3),DECKS!$B$2:$B$1201,$A475))</f>
        <v/>
      </c>
      <c r="N475" s="19" t="str">
        <f aca="false">IF(OR($A475="",INDEX(_LEITURA!$Q$2:$Q$21,4)=0),"",SUMIFS(DECKS!$D$2:$D$1201,DECKS!$A$2:$A$1201,INDEX(_LEITURA!$P$2:$P$21,4),DECKS!$B$2:$B$1201,$A475))</f>
        <v/>
      </c>
      <c r="O475" s="19" t="str">
        <f aca="false">IF(OR($A475="",INDEX(_LEITURA!$Q$2:$Q$21,5)=0),"",SUMIFS(DECKS!$D$2:$D$1201,DECKS!$A$2:$A$1201,INDEX(_LEITURA!$P$2:$P$21,5),DECKS!$B$2:$B$1201,$A475))</f>
        <v/>
      </c>
      <c r="P475" s="19" t="str">
        <f aca="false">IF(OR($A475="",INDEX(_LEITURA!$Q$2:$Q$21,6)=0),"",SUMIFS(DECKS!$D$2:$D$1201,DECKS!$A$2:$A$1201,INDEX(_LEITURA!$P$2:$P$21,6),DECKS!$B$2:$B$1201,$A475))</f>
        <v/>
      </c>
      <c r="Q475" s="19" t="str">
        <f aca="false">IF(OR($A475="",INDEX(_LEITURA!$Q$2:$Q$21,7)=0),"",SUMIFS(DECKS!$D$2:$D$1201,DECKS!$A$2:$A$1201,INDEX(_LEITURA!$P$2:$P$21,7),DECKS!$B$2:$B$1201,$A475))</f>
        <v/>
      </c>
      <c r="R475" s="19" t="str">
        <f aca="false">IF(OR($A475="",INDEX(_LEITURA!$Q$2:$Q$21,8)=0),"",SUMIFS(DECKS!$D$2:$D$1201,DECKS!$A$2:$A$1201,INDEX(_LEITURA!$P$2:$P$21,8),DECKS!$B$2:$B$1201,$A475))</f>
        <v/>
      </c>
      <c r="S475" s="19" t="str">
        <f aca="false">IF(OR($A475="",INDEX(_LEITURA!$Q$2:$Q$21,9)=0),"",SUMIFS(DECKS!$D$2:$D$1201,DECKS!$A$2:$A$1201,INDEX(_LEITURA!$P$2:$P$21,9),DECKS!$B$2:$B$1201,$A475))</f>
        <v/>
      </c>
      <c r="T475" s="19" t="str">
        <f aca="false">IF(OR($A475="",INDEX(_LEITURA!$Q$2:$Q$21,10)=0),"",SUMIFS(DECKS!$D$2:$D$1201,DECKS!$A$2:$A$1201,INDEX(_LEITURA!$P$2:$P$21,10),DECKS!$B$2:$B$1201,$A475))</f>
        <v/>
      </c>
      <c r="U475" s="19" t="str">
        <f aca="false">IF(OR($A475="",INDEX(_LEITURA!$Q$2:$Q$21,11)=0),"",SUMIFS(DECKS!$D$2:$D$1201,DECKS!$A$2:$A$1201,INDEX(_LEITURA!$P$2:$P$21,11),DECKS!$B$2:$B$1201,$A475))</f>
        <v/>
      </c>
      <c r="V475" s="19" t="str">
        <f aca="false">IF(OR($A475="",INDEX(_LEITURA!$Q$2:$Q$21,12)=0),"",SUMIFS(DECKS!$D$2:$D$1201,DECKS!$A$2:$A$1201,INDEX(_LEITURA!$P$2:$P$21,12),DECKS!$B$2:$B$1201,$A475))</f>
        <v/>
      </c>
      <c r="W475" s="19" t="str">
        <f aca="false">IF(OR($A475="",INDEX(_LEITURA!$Q$2:$Q$21,13)=0),"",SUMIFS(DECKS!$D$2:$D$1201,DECKS!$A$2:$A$1201,INDEX(_LEITURA!$P$2:$P$21,13),DECKS!$B$2:$B$1201,$A475))</f>
        <v/>
      </c>
      <c r="X475" s="19" t="str">
        <f aca="false">IF(OR($A475="",INDEX(_LEITURA!$Q$2:$Q$21,14)=0),"",SUMIFS(DECKS!$D$2:$D$1201,DECKS!$A$2:$A$1201,INDEX(_LEITURA!$P$2:$P$21,14),DECKS!$B$2:$B$1201,$A475))</f>
        <v/>
      </c>
      <c r="Y475" s="19" t="str">
        <f aca="false">IF(OR($A475="",INDEX(_LEITURA!$Q$2:$Q$21,15)=0),"",SUMIFS(DECKS!$D$2:$D$1201,DECKS!$A$2:$A$1201,INDEX(_LEITURA!$P$2:$P$21,15),DECKS!$B$2:$B$1201,$A475))</f>
        <v/>
      </c>
      <c r="Z475" s="19" t="str">
        <f aca="false">IF(OR($A475="",INDEX(_LEITURA!$Q$2:$Q$21,16)=0),"",SUMIFS(DECKS!$D$2:$D$1201,DECKS!$A$2:$A$1201,INDEX(_LEITURA!$P$2:$P$21,16),DECKS!$B$2:$B$1201,$A475))</f>
        <v/>
      </c>
      <c r="AA475" s="19" t="str">
        <f aca="false">IF(OR($A475="",INDEX(_LEITURA!$Q$2:$Q$21,17)=0),"",SUMIFS(DECKS!$D$2:$D$1201,DECKS!$A$2:$A$1201,INDEX(_LEITURA!$P$2:$P$21,17),DECKS!$B$2:$B$1201,$A475))</f>
        <v/>
      </c>
      <c r="AB475" s="19" t="str">
        <f aca="false">IF(OR($A475="",INDEX(_LEITURA!$Q$2:$Q$21,18)=0),"",SUMIFS(DECKS!$D$2:$D$1201,DECKS!$A$2:$A$1201,INDEX(_LEITURA!$P$2:$P$21,18),DECKS!$B$2:$B$1201,$A475))</f>
        <v/>
      </c>
      <c r="AC475" s="19" t="str">
        <f aca="false">IF(OR($A475="",INDEX(_LEITURA!$Q$2:$Q$21,19)=0),"",SUMIFS(DECKS!$D$2:$D$1201,DECKS!$A$2:$A$1201,INDEX(_LEITURA!$P$2:$P$21,19),DECKS!$B$2:$B$1201,$A475))</f>
        <v/>
      </c>
      <c r="AD475" s="19" t="str">
        <f aca="false">IF(OR($A475="",INDEX(_LEITURA!$Q$2:$Q$21,20)=0),"",SUMIFS(DECKS!$D$2:$D$1201,DECKS!$A$2:$A$1201,INDEX(_LEITURA!$P$2:$P$21,20),DECKS!$B$2:$B$1201,$A475))</f>
        <v/>
      </c>
      <c r="AE475" s="16" t="str">
        <f aca="false">IF(N(E475)&gt;0,MAX(AE$1:AE474)+1,"")</f>
        <v/>
      </c>
      <c r="AF475" s="11" t="str">
        <f aca="false">IF(A475="","",IFERROR(LEFT(A475,FIND("-",A475)-1),A475))</f>
        <v/>
      </c>
      <c r="AG475" s="11" t="str">
        <f aca="false">IF(AF475="","",IF(ISNUMBER(--MID(AF475,1,1)),0,IF(ISNUMBER(--MID(AF475,2,1)),1,IF(ISNUMBER(--MID(AF475,3,1)),2,IF(ISNUMBER(--MID(AF475,4,1)),3,MIN(LEN(AF475),4))))))</f>
        <v/>
      </c>
      <c r="AH475" s="11" t="str">
        <f aca="false">IF(A475="","",LEFT(AF475,AG475)&amp;REPT("0",4-AG475)&amp;RIGHT("000"&amp;IFERROR(VALUE(MID(AF475,AG475+1,9)),0),3)&amp;RIGHT("0000"&amp;IFERROR(VALUE(MID(A475,FIND("-",A475)+1,9)),0),4))</f>
        <v/>
      </c>
      <c r="AI475" s="11" t="str">
        <f aca="false">IF(OR(A475="",N(E475)&lt;=0),"",IF('FALTAS GERAL'!$M$1="Código","K"&amp;AH475&amp;RIGHT("00000"&amp;ROW(),5),IF('FALTAS GERAL'!$M$1="Nome","K"&amp;UPPER(SUBSTITUTE(SUBSTITUTE(SUBSTITUTE(B475,"*",""),"?",""),"~",""))&amp;"0"&amp;AH475&amp;RIGHT("00000"&amp;ROW(),5),IF('FALTAS GERAL'!$M$1="Falta (maior primeiro)","K"&amp;RIGHT("0000"&amp;(9999-E475),4)&amp;AH475&amp;RIGHT("00000"&amp;ROW(),5),IF('FALTAS GERAL'!$M$1="Nº de decks (maior primeiro)","K"&amp;RIGHT("00"&amp;(99-N(G475)),2)&amp;AH475&amp;RIGHT("00000"&amp;ROW(),5),"K"&amp;RIGHT("00000"&amp;ROW(),5))))))</f>
        <v/>
      </c>
      <c r="AJ475" s="11" t="str">
        <f aca="false">IF(AI475="","",COUNTIFS($AI$2:$AI$801,"&lt;"&amp;AI475,$E$2:$E$801,"&gt;0")+1)</f>
        <v/>
      </c>
      <c r="AK475" s="11" t="str">
        <f aca="false">IF(OR(A475="",N(E475)&lt;=0),"",COUNTIFS($AH$2:$AH$801,"&lt;"&amp;AH475,$E$2:$E$801,"&gt;0")+COUNTIFS($AH$2:AH475,AH475,$E$2:E475,"&gt;0"))</f>
        <v/>
      </c>
    </row>
    <row r="476" customFormat="false" ht="15" hidden="false" customHeight="false" outlineLevel="0" collapsed="false">
      <c r="A476" s="11" t="str">
        <f aca="false">IF(INVENTÁRIO!A476="","",INVENTÁRIO!A476)</f>
        <v/>
      </c>
      <c r="B476" s="11" t="str">
        <f aca="false">IF(A476="","",INVENTÁRIO!B476)</f>
        <v/>
      </c>
      <c r="C476" s="16" t="str">
        <f aca="false">IF(A476="","",INVENTÁRIO!C476)</f>
        <v/>
      </c>
      <c r="D476" s="14" t="str">
        <f aca="false">IF(A476="","",MAX(K476:AD476))</f>
        <v/>
      </c>
      <c r="E476" s="14" t="str">
        <f aca="false">IF(A476="","",MAX(0,D476-C476))</f>
        <v/>
      </c>
      <c r="F476" s="16" t="str">
        <f aca="false">IF(A476="","",IF(D476=0,"Fora dos decks",IF(E476=0,"Completo","Falta")))</f>
        <v/>
      </c>
      <c r="G476" s="16" t="str">
        <f aca="false">IF(A476="","",COUNTIF(K476:AD476,"&gt;0"))</f>
        <v/>
      </c>
      <c r="H476" s="16" t="str">
        <f aca="false">IF(A476="","",IF(G476&gt;1,"Sim",""))</f>
        <v/>
      </c>
      <c r="I476" s="18" t="str">
        <f aca="false">IF(A476="","",SUMIFS(DECKS!$D$2:$D$1201,DECKS!$B$2:$B$1201,A476))</f>
        <v/>
      </c>
      <c r="J476" s="18" t="str">
        <f aca="false">IF(A476="","",MAX(0,I476-C476))</f>
        <v/>
      </c>
      <c r="K476" s="19" t="str">
        <f aca="false">IF(OR($A476="",INDEX(_LEITURA!$Q$2:$Q$21,1)=0),"",SUMIFS(DECKS!$D$2:$D$1201,DECKS!$A$2:$A$1201,INDEX(_LEITURA!$P$2:$P$21,1),DECKS!$B$2:$B$1201,$A476))</f>
        <v/>
      </c>
      <c r="L476" s="19" t="str">
        <f aca="false">IF(OR($A476="",INDEX(_LEITURA!$Q$2:$Q$21,2)=0),"",SUMIFS(DECKS!$D$2:$D$1201,DECKS!$A$2:$A$1201,INDEX(_LEITURA!$P$2:$P$21,2),DECKS!$B$2:$B$1201,$A476))</f>
        <v/>
      </c>
      <c r="M476" s="19" t="str">
        <f aca="false">IF(OR($A476="",INDEX(_LEITURA!$Q$2:$Q$21,3)=0),"",SUMIFS(DECKS!$D$2:$D$1201,DECKS!$A$2:$A$1201,INDEX(_LEITURA!$P$2:$P$21,3),DECKS!$B$2:$B$1201,$A476))</f>
        <v/>
      </c>
      <c r="N476" s="19" t="str">
        <f aca="false">IF(OR($A476="",INDEX(_LEITURA!$Q$2:$Q$21,4)=0),"",SUMIFS(DECKS!$D$2:$D$1201,DECKS!$A$2:$A$1201,INDEX(_LEITURA!$P$2:$P$21,4),DECKS!$B$2:$B$1201,$A476))</f>
        <v/>
      </c>
      <c r="O476" s="19" t="str">
        <f aca="false">IF(OR($A476="",INDEX(_LEITURA!$Q$2:$Q$21,5)=0),"",SUMIFS(DECKS!$D$2:$D$1201,DECKS!$A$2:$A$1201,INDEX(_LEITURA!$P$2:$P$21,5),DECKS!$B$2:$B$1201,$A476))</f>
        <v/>
      </c>
      <c r="P476" s="19" t="str">
        <f aca="false">IF(OR($A476="",INDEX(_LEITURA!$Q$2:$Q$21,6)=0),"",SUMIFS(DECKS!$D$2:$D$1201,DECKS!$A$2:$A$1201,INDEX(_LEITURA!$P$2:$P$21,6),DECKS!$B$2:$B$1201,$A476))</f>
        <v/>
      </c>
      <c r="Q476" s="19" t="str">
        <f aca="false">IF(OR($A476="",INDEX(_LEITURA!$Q$2:$Q$21,7)=0),"",SUMIFS(DECKS!$D$2:$D$1201,DECKS!$A$2:$A$1201,INDEX(_LEITURA!$P$2:$P$21,7),DECKS!$B$2:$B$1201,$A476))</f>
        <v/>
      </c>
      <c r="R476" s="19" t="str">
        <f aca="false">IF(OR($A476="",INDEX(_LEITURA!$Q$2:$Q$21,8)=0),"",SUMIFS(DECKS!$D$2:$D$1201,DECKS!$A$2:$A$1201,INDEX(_LEITURA!$P$2:$P$21,8),DECKS!$B$2:$B$1201,$A476))</f>
        <v/>
      </c>
      <c r="S476" s="19" t="str">
        <f aca="false">IF(OR($A476="",INDEX(_LEITURA!$Q$2:$Q$21,9)=0),"",SUMIFS(DECKS!$D$2:$D$1201,DECKS!$A$2:$A$1201,INDEX(_LEITURA!$P$2:$P$21,9),DECKS!$B$2:$B$1201,$A476))</f>
        <v/>
      </c>
      <c r="T476" s="19" t="str">
        <f aca="false">IF(OR($A476="",INDEX(_LEITURA!$Q$2:$Q$21,10)=0),"",SUMIFS(DECKS!$D$2:$D$1201,DECKS!$A$2:$A$1201,INDEX(_LEITURA!$P$2:$P$21,10),DECKS!$B$2:$B$1201,$A476))</f>
        <v/>
      </c>
      <c r="U476" s="19" t="str">
        <f aca="false">IF(OR($A476="",INDEX(_LEITURA!$Q$2:$Q$21,11)=0),"",SUMIFS(DECKS!$D$2:$D$1201,DECKS!$A$2:$A$1201,INDEX(_LEITURA!$P$2:$P$21,11),DECKS!$B$2:$B$1201,$A476))</f>
        <v/>
      </c>
      <c r="V476" s="19" t="str">
        <f aca="false">IF(OR($A476="",INDEX(_LEITURA!$Q$2:$Q$21,12)=0),"",SUMIFS(DECKS!$D$2:$D$1201,DECKS!$A$2:$A$1201,INDEX(_LEITURA!$P$2:$P$21,12),DECKS!$B$2:$B$1201,$A476))</f>
        <v/>
      </c>
      <c r="W476" s="19" t="str">
        <f aca="false">IF(OR($A476="",INDEX(_LEITURA!$Q$2:$Q$21,13)=0),"",SUMIFS(DECKS!$D$2:$D$1201,DECKS!$A$2:$A$1201,INDEX(_LEITURA!$P$2:$P$21,13),DECKS!$B$2:$B$1201,$A476))</f>
        <v/>
      </c>
      <c r="X476" s="19" t="str">
        <f aca="false">IF(OR($A476="",INDEX(_LEITURA!$Q$2:$Q$21,14)=0),"",SUMIFS(DECKS!$D$2:$D$1201,DECKS!$A$2:$A$1201,INDEX(_LEITURA!$P$2:$P$21,14),DECKS!$B$2:$B$1201,$A476))</f>
        <v/>
      </c>
      <c r="Y476" s="19" t="str">
        <f aca="false">IF(OR($A476="",INDEX(_LEITURA!$Q$2:$Q$21,15)=0),"",SUMIFS(DECKS!$D$2:$D$1201,DECKS!$A$2:$A$1201,INDEX(_LEITURA!$P$2:$P$21,15),DECKS!$B$2:$B$1201,$A476))</f>
        <v/>
      </c>
      <c r="Z476" s="19" t="str">
        <f aca="false">IF(OR($A476="",INDEX(_LEITURA!$Q$2:$Q$21,16)=0),"",SUMIFS(DECKS!$D$2:$D$1201,DECKS!$A$2:$A$1201,INDEX(_LEITURA!$P$2:$P$21,16),DECKS!$B$2:$B$1201,$A476))</f>
        <v/>
      </c>
      <c r="AA476" s="19" t="str">
        <f aca="false">IF(OR($A476="",INDEX(_LEITURA!$Q$2:$Q$21,17)=0),"",SUMIFS(DECKS!$D$2:$D$1201,DECKS!$A$2:$A$1201,INDEX(_LEITURA!$P$2:$P$21,17),DECKS!$B$2:$B$1201,$A476))</f>
        <v/>
      </c>
      <c r="AB476" s="19" t="str">
        <f aca="false">IF(OR($A476="",INDEX(_LEITURA!$Q$2:$Q$21,18)=0),"",SUMIFS(DECKS!$D$2:$D$1201,DECKS!$A$2:$A$1201,INDEX(_LEITURA!$P$2:$P$21,18),DECKS!$B$2:$B$1201,$A476))</f>
        <v/>
      </c>
      <c r="AC476" s="19" t="str">
        <f aca="false">IF(OR($A476="",INDEX(_LEITURA!$Q$2:$Q$21,19)=0),"",SUMIFS(DECKS!$D$2:$D$1201,DECKS!$A$2:$A$1201,INDEX(_LEITURA!$P$2:$P$21,19),DECKS!$B$2:$B$1201,$A476))</f>
        <v/>
      </c>
      <c r="AD476" s="19" t="str">
        <f aca="false">IF(OR($A476="",INDEX(_LEITURA!$Q$2:$Q$21,20)=0),"",SUMIFS(DECKS!$D$2:$D$1201,DECKS!$A$2:$A$1201,INDEX(_LEITURA!$P$2:$P$21,20),DECKS!$B$2:$B$1201,$A476))</f>
        <v/>
      </c>
      <c r="AE476" s="16" t="str">
        <f aca="false">IF(N(E476)&gt;0,MAX(AE$1:AE475)+1,"")</f>
        <v/>
      </c>
      <c r="AF476" s="11" t="str">
        <f aca="false">IF(A476="","",IFERROR(LEFT(A476,FIND("-",A476)-1),A476))</f>
        <v/>
      </c>
      <c r="AG476" s="11" t="str">
        <f aca="false">IF(AF476="","",IF(ISNUMBER(--MID(AF476,1,1)),0,IF(ISNUMBER(--MID(AF476,2,1)),1,IF(ISNUMBER(--MID(AF476,3,1)),2,IF(ISNUMBER(--MID(AF476,4,1)),3,MIN(LEN(AF476),4))))))</f>
        <v/>
      </c>
      <c r="AH476" s="11" t="str">
        <f aca="false">IF(A476="","",LEFT(AF476,AG476)&amp;REPT("0",4-AG476)&amp;RIGHT("000"&amp;IFERROR(VALUE(MID(AF476,AG476+1,9)),0),3)&amp;RIGHT("0000"&amp;IFERROR(VALUE(MID(A476,FIND("-",A476)+1,9)),0),4))</f>
        <v/>
      </c>
      <c r="AI476" s="11" t="str">
        <f aca="false">IF(OR(A476="",N(E476)&lt;=0),"",IF('FALTAS GERAL'!$M$1="Código","K"&amp;AH476&amp;RIGHT("00000"&amp;ROW(),5),IF('FALTAS GERAL'!$M$1="Nome","K"&amp;UPPER(SUBSTITUTE(SUBSTITUTE(SUBSTITUTE(B476,"*",""),"?",""),"~",""))&amp;"0"&amp;AH476&amp;RIGHT("00000"&amp;ROW(),5),IF('FALTAS GERAL'!$M$1="Falta (maior primeiro)","K"&amp;RIGHT("0000"&amp;(9999-E476),4)&amp;AH476&amp;RIGHT("00000"&amp;ROW(),5),IF('FALTAS GERAL'!$M$1="Nº de decks (maior primeiro)","K"&amp;RIGHT("00"&amp;(99-N(G476)),2)&amp;AH476&amp;RIGHT("00000"&amp;ROW(),5),"K"&amp;RIGHT("00000"&amp;ROW(),5))))))</f>
        <v/>
      </c>
      <c r="AJ476" s="11" t="str">
        <f aca="false">IF(AI476="","",COUNTIFS($AI$2:$AI$801,"&lt;"&amp;AI476,$E$2:$E$801,"&gt;0")+1)</f>
        <v/>
      </c>
      <c r="AK476" s="11" t="str">
        <f aca="false">IF(OR(A476="",N(E476)&lt;=0),"",COUNTIFS($AH$2:$AH$801,"&lt;"&amp;AH476,$E$2:$E$801,"&gt;0")+COUNTIFS($AH$2:AH476,AH476,$E$2:E476,"&gt;0"))</f>
        <v/>
      </c>
    </row>
    <row r="477" customFormat="false" ht="15" hidden="false" customHeight="false" outlineLevel="0" collapsed="false">
      <c r="A477" s="11" t="str">
        <f aca="false">IF(INVENTÁRIO!A477="","",INVENTÁRIO!A477)</f>
        <v/>
      </c>
      <c r="B477" s="11" t="str">
        <f aca="false">IF(A477="","",INVENTÁRIO!B477)</f>
        <v/>
      </c>
      <c r="C477" s="16" t="str">
        <f aca="false">IF(A477="","",INVENTÁRIO!C477)</f>
        <v/>
      </c>
      <c r="D477" s="14" t="str">
        <f aca="false">IF(A477="","",MAX(K477:AD477))</f>
        <v/>
      </c>
      <c r="E477" s="14" t="str">
        <f aca="false">IF(A477="","",MAX(0,D477-C477))</f>
        <v/>
      </c>
      <c r="F477" s="16" t="str">
        <f aca="false">IF(A477="","",IF(D477=0,"Fora dos decks",IF(E477=0,"Completo","Falta")))</f>
        <v/>
      </c>
      <c r="G477" s="16" t="str">
        <f aca="false">IF(A477="","",COUNTIF(K477:AD477,"&gt;0"))</f>
        <v/>
      </c>
      <c r="H477" s="16" t="str">
        <f aca="false">IF(A477="","",IF(G477&gt;1,"Sim",""))</f>
        <v/>
      </c>
      <c r="I477" s="18" t="str">
        <f aca="false">IF(A477="","",SUMIFS(DECKS!$D$2:$D$1201,DECKS!$B$2:$B$1201,A477))</f>
        <v/>
      </c>
      <c r="J477" s="18" t="str">
        <f aca="false">IF(A477="","",MAX(0,I477-C477))</f>
        <v/>
      </c>
      <c r="K477" s="19" t="str">
        <f aca="false">IF(OR($A477="",INDEX(_LEITURA!$Q$2:$Q$21,1)=0),"",SUMIFS(DECKS!$D$2:$D$1201,DECKS!$A$2:$A$1201,INDEX(_LEITURA!$P$2:$P$21,1),DECKS!$B$2:$B$1201,$A477))</f>
        <v/>
      </c>
      <c r="L477" s="19" t="str">
        <f aca="false">IF(OR($A477="",INDEX(_LEITURA!$Q$2:$Q$21,2)=0),"",SUMIFS(DECKS!$D$2:$D$1201,DECKS!$A$2:$A$1201,INDEX(_LEITURA!$P$2:$P$21,2),DECKS!$B$2:$B$1201,$A477))</f>
        <v/>
      </c>
      <c r="M477" s="19" t="str">
        <f aca="false">IF(OR($A477="",INDEX(_LEITURA!$Q$2:$Q$21,3)=0),"",SUMIFS(DECKS!$D$2:$D$1201,DECKS!$A$2:$A$1201,INDEX(_LEITURA!$P$2:$P$21,3),DECKS!$B$2:$B$1201,$A477))</f>
        <v/>
      </c>
      <c r="N477" s="19" t="str">
        <f aca="false">IF(OR($A477="",INDEX(_LEITURA!$Q$2:$Q$21,4)=0),"",SUMIFS(DECKS!$D$2:$D$1201,DECKS!$A$2:$A$1201,INDEX(_LEITURA!$P$2:$P$21,4),DECKS!$B$2:$B$1201,$A477))</f>
        <v/>
      </c>
      <c r="O477" s="19" t="str">
        <f aca="false">IF(OR($A477="",INDEX(_LEITURA!$Q$2:$Q$21,5)=0),"",SUMIFS(DECKS!$D$2:$D$1201,DECKS!$A$2:$A$1201,INDEX(_LEITURA!$P$2:$P$21,5),DECKS!$B$2:$B$1201,$A477))</f>
        <v/>
      </c>
      <c r="P477" s="19" t="str">
        <f aca="false">IF(OR($A477="",INDEX(_LEITURA!$Q$2:$Q$21,6)=0),"",SUMIFS(DECKS!$D$2:$D$1201,DECKS!$A$2:$A$1201,INDEX(_LEITURA!$P$2:$P$21,6),DECKS!$B$2:$B$1201,$A477))</f>
        <v/>
      </c>
      <c r="Q477" s="19" t="str">
        <f aca="false">IF(OR($A477="",INDEX(_LEITURA!$Q$2:$Q$21,7)=0),"",SUMIFS(DECKS!$D$2:$D$1201,DECKS!$A$2:$A$1201,INDEX(_LEITURA!$P$2:$P$21,7),DECKS!$B$2:$B$1201,$A477))</f>
        <v/>
      </c>
      <c r="R477" s="19" t="str">
        <f aca="false">IF(OR($A477="",INDEX(_LEITURA!$Q$2:$Q$21,8)=0),"",SUMIFS(DECKS!$D$2:$D$1201,DECKS!$A$2:$A$1201,INDEX(_LEITURA!$P$2:$P$21,8),DECKS!$B$2:$B$1201,$A477))</f>
        <v/>
      </c>
      <c r="S477" s="19" t="str">
        <f aca="false">IF(OR($A477="",INDEX(_LEITURA!$Q$2:$Q$21,9)=0),"",SUMIFS(DECKS!$D$2:$D$1201,DECKS!$A$2:$A$1201,INDEX(_LEITURA!$P$2:$P$21,9),DECKS!$B$2:$B$1201,$A477))</f>
        <v/>
      </c>
      <c r="T477" s="19" t="str">
        <f aca="false">IF(OR($A477="",INDEX(_LEITURA!$Q$2:$Q$21,10)=0),"",SUMIFS(DECKS!$D$2:$D$1201,DECKS!$A$2:$A$1201,INDEX(_LEITURA!$P$2:$P$21,10),DECKS!$B$2:$B$1201,$A477))</f>
        <v/>
      </c>
      <c r="U477" s="19" t="str">
        <f aca="false">IF(OR($A477="",INDEX(_LEITURA!$Q$2:$Q$21,11)=0),"",SUMIFS(DECKS!$D$2:$D$1201,DECKS!$A$2:$A$1201,INDEX(_LEITURA!$P$2:$P$21,11),DECKS!$B$2:$B$1201,$A477))</f>
        <v/>
      </c>
      <c r="V477" s="19" t="str">
        <f aca="false">IF(OR($A477="",INDEX(_LEITURA!$Q$2:$Q$21,12)=0),"",SUMIFS(DECKS!$D$2:$D$1201,DECKS!$A$2:$A$1201,INDEX(_LEITURA!$P$2:$P$21,12),DECKS!$B$2:$B$1201,$A477))</f>
        <v/>
      </c>
      <c r="W477" s="19" t="str">
        <f aca="false">IF(OR($A477="",INDEX(_LEITURA!$Q$2:$Q$21,13)=0),"",SUMIFS(DECKS!$D$2:$D$1201,DECKS!$A$2:$A$1201,INDEX(_LEITURA!$P$2:$P$21,13),DECKS!$B$2:$B$1201,$A477))</f>
        <v/>
      </c>
      <c r="X477" s="19" t="str">
        <f aca="false">IF(OR($A477="",INDEX(_LEITURA!$Q$2:$Q$21,14)=0),"",SUMIFS(DECKS!$D$2:$D$1201,DECKS!$A$2:$A$1201,INDEX(_LEITURA!$P$2:$P$21,14),DECKS!$B$2:$B$1201,$A477))</f>
        <v/>
      </c>
      <c r="Y477" s="19" t="str">
        <f aca="false">IF(OR($A477="",INDEX(_LEITURA!$Q$2:$Q$21,15)=0),"",SUMIFS(DECKS!$D$2:$D$1201,DECKS!$A$2:$A$1201,INDEX(_LEITURA!$P$2:$P$21,15),DECKS!$B$2:$B$1201,$A477))</f>
        <v/>
      </c>
      <c r="Z477" s="19" t="str">
        <f aca="false">IF(OR($A477="",INDEX(_LEITURA!$Q$2:$Q$21,16)=0),"",SUMIFS(DECKS!$D$2:$D$1201,DECKS!$A$2:$A$1201,INDEX(_LEITURA!$P$2:$P$21,16),DECKS!$B$2:$B$1201,$A477))</f>
        <v/>
      </c>
      <c r="AA477" s="19" t="str">
        <f aca="false">IF(OR($A477="",INDEX(_LEITURA!$Q$2:$Q$21,17)=0),"",SUMIFS(DECKS!$D$2:$D$1201,DECKS!$A$2:$A$1201,INDEX(_LEITURA!$P$2:$P$21,17),DECKS!$B$2:$B$1201,$A477))</f>
        <v/>
      </c>
      <c r="AB477" s="19" t="str">
        <f aca="false">IF(OR($A477="",INDEX(_LEITURA!$Q$2:$Q$21,18)=0),"",SUMIFS(DECKS!$D$2:$D$1201,DECKS!$A$2:$A$1201,INDEX(_LEITURA!$P$2:$P$21,18),DECKS!$B$2:$B$1201,$A477))</f>
        <v/>
      </c>
      <c r="AC477" s="19" t="str">
        <f aca="false">IF(OR($A477="",INDEX(_LEITURA!$Q$2:$Q$21,19)=0),"",SUMIFS(DECKS!$D$2:$D$1201,DECKS!$A$2:$A$1201,INDEX(_LEITURA!$P$2:$P$21,19),DECKS!$B$2:$B$1201,$A477))</f>
        <v/>
      </c>
      <c r="AD477" s="19" t="str">
        <f aca="false">IF(OR($A477="",INDEX(_LEITURA!$Q$2:$Q$21,20)=0),"",SUMIFS(DECKS!$D$2:$D$1201,DECKS!$A$2:$A$1201,INDEX(_LEITURA!$P$2:$P$21,20),DECKS!$B$2:$B$1201,$A477))</f>
        <v/>
      </c>
      <c r="AE477" s="16" t="str">
        <f aca="false">IF(N(E477)&gt;0,MAX(AE$1:AE476)+1,"")</f>
        <v/>
      </c>
      <c r="AF477" s="11" t="str">
        <f aca="false">IF(A477="","",IFERROR(LEFT(A477,FIND("-",A477)-1),A477))</f>
        <v/>
      </c>
      <c r="AG477" s="11" t="str">
        <f aca="false">IF(AF477="","",IF(ISNUMBER(--MID(AF477,1,1)),0,IF(ISNUMBER(--MID(AF477,2,1)),1,IF(ISNUMBER(--MID(AF477,3,1)),2,IF(ISNUMBER(--MID(AF477,4,1)),3,MIN(LEN(AF477),4))))))</f>
        <v/>
      </c>
      <c r="AH477" s="11" t="str">
        <f aca="false">IF(A477="","",LEFT(AF477,AG477)&amp;REPT("0",4-AG477)&amp;RIGHT("000"&amp;IFERROR(VALUE(MID(AF477,AG477+1,9)),0),3)&amp;RIGHT("0000"&amp;IFERROR(VALUE(MID(A477,FIND("-",A477)+1,9)),0),4))</f>
        <v/>
      </c>
      <c r="AI477" s="11" t="str">
        <f aca="false">IF(OR(A477="",N(E477)&lt;=0),"",IF('FALTAS GERAL'!$M$1="Código","K"&amp;AH477&amp;RIGHT("00000"&amp;ROW(),5),IF('FALTAS GERAL'!$M$1="Nome","K"&amp;UPPER(SUBSTITUTE(SUBSTITUTE(SUBSTITUTE(B477,"*",""),"?",""),"~",""))&amp;"0"&amp;AH477&amp;RIGHT("00000"&amp;ROW(),5),IF('FALTAS GERAL'!$M$1="Falta (maior primeiro)","K"&amp;RIGHT("0000"&amp;(9999-E477),4)&amp;AH477&amp;RIGHT("00000"&amp;ROW(),5),IF('FALTAS GERAL'!$M$1="Nº de decks (maior primeiro)","K"&amp;RIGHT("00"&amp;(99-N(G477)),2)&amp;AH477&amp;RIGHT("00000"&amp;ROW(),5),"K"&amp;RIGHT("00000"&amp;ROW(),5))))))</f>
        <v/>
      </c>
      <c r="AJ477" s="11" t="str">
        <f aca="false">IF(AI477="","",COUNTIFS($AI$2:$AI$801,"&lt;"&amp;AI477,$E$2:$E$801,"&gt;0")+1)</f>
        <v/>
      </c>
      <c r="AK477" s="11" t="str">
        <f aca="false">IF(OR(A477="",N(E477)&lt;=0),"",COUNTIFS($AH$2:$AH$801,"&lt;"&amp;AH477,$E$2:$E$801,"&gt;0")+COUNTIFS($AH$2:AH477,AH477,$E$2:E477,"&gt;0"))</f>
        <v/>
      </c>
    </row>
    <row r="478" customFormat="false" ht="15" hidden="false" customHeight="false" outlineLevel="0" collapsed="false">
      <c r="A478" s="11" t="str">
        <f aca="false">IF(INVENTÁRIO!A478="","",INVENTÁRIO!A478)</f>
        <v/>
      </c>
      <c r="B478" s="11" t="str">
        <f aca="false">IF(A478="","",INVENTÁRIO!B478)</f>
        <v/>
      </c>
      <c r="C478" s="16" t="str">
        <f aca="false">IF(A478="","",INVENTÁRIO!C478)</f>
        <v/>
      </c>
      <c r="D478" s="14" t="str">
        <f aca="false">IF(A478="","",MAX(K478:AD478))</f>
        <v/>
      </c>
      <c r="E478" s="14" t="str">
        <f aca="false">IF(A478="","",MAX(0,D478-C478))</f>
        <v/>
      </c>
      <c r="F478" s="16" t="str">
        <f aca="false">IF(A478="","",IF(D478=0,"Fora dos decks",IF(E478=0,"Completo","Falta")))</f>
        <v/>
      </c>
      <c r="G478" s="16" t="str">
        <f aca="false">IF(A478="","",COUNTIF(K478:AD478,"&gt;0"))</f>
        <v/>
      </c>
      <c r="H478" s="16" t="str">
        <f aca="false">IF(A478="","",IF(G478&gt;1,"Sim",""))</f>
        <v/>
      </c>
      <c r="I478" s="18" t="str">
        <f aca="false">IF(A478="","",SUMIFS(DECKS!$D$2:$D$1201,DECKS!$B$2:$B$1201,A478))</f>
        <v/>
      </c>
      <c r="J478" s="18" t="str">
        <f aca="false">IF(A478="","",MAX(0,I478-C478))</f>
        <v/>
      </c>
      <c r="K478" s="19" t="str">
        <f aca="false">IF(OR($A478="",INDEX(_LEITURA!$Q$2:$Q$21,1)=0),"",SUMIFS(DECKS!$D$2:$D$1201,DECKS!$A$2:$A$1201,INDEX(_LEITURA!$P$2:$P$21,1),DECKS!$B$2:$B$1201,$A478))</f>
        <v/>
      </c>
      <c r="L478" s="19" t="str">
        <f aca="false">IF(OR($A478="",INDEX(_LEITURA!$Q$2:$Q$21,2)=0),"",SUMIFS(DECKS!$D$2:$D$1201,DECKS!$A$2:$A$1201,INDEX(_LEITURA!$P$2:$P$21,2),DECKS!$B$2:$B$1201,$A478))</f>
        <v/>
      </c>
      <c r="M478" s="19" t="str">
        <f aca="false">IF(OR($A478="",INDEX(_LEITURA!$Q$2:$Q$21,3)=0),"",SUMIFS(DECKS!$D$2:$D$1201,DECKS!$A$2:$A$1201,INDEX(_LEITURA!$P$2:$P$21,3),DECKS!$B$2:$B$1201,$A478))</f>
        <v/>
      </c>
      <c r="N478" s="19" t="str">
        <f aca="false">IF(OR($A478="",INDEX(_LEITURA!$Q$2:$Q$21,4)=0),"",SUMIFS(DECKS!$D$2:$D$1201,DECKS!$A$2:$A$1201,INDEX(_LEITURA!$P$2:$P$21,4),DECKS!$B$2:$B$1201,$A478))</f>
        <v/>
      </c>
      <c r="O478" s="19" t="str">
        <f aca="false">IF(OR($A478="",INDEX(_LEITURA!$Q$2:$Q$21,5)=0),"",SUMIFS(DECKS!$D$2:$D$1201,DECKS!$A$2:$A$1201,INDEX(_LEITURA!$P$2:$P$21,5),DECKS!$B$2:$B$1201,$A478))</f>
        <v/>
      </c>
      <c r="P478" s="19" t="str">
        <f aca="false">IF(OR($A478="",INDEX(_LEITURA!$Q$2:$Q$21,6)=0),"",SUMIFS(DECKS!$D$2:$D$1201,DECKS!$A$2:$A$1201,INDEX(_LEITURA!$P$2:$P$21,6),DECKS!$B$2:$B$1201,$A478))</f>
        <v/>
      </c>
      <c r="Q478" s="19" t="str">
        <f aca="false">IF(OR($A478="",INDEX(_LEITURA!$Q$2:$Q$21,7)=0),"",SUMIFS(DECKS!$D$2:$D$1201,DECKS!$A$2:$A$1201,INDEX(_LEITURA!$P$2:$P$21,7),DECKS!$B$2:$B$1201,$A478))</f>
        <v/>
      </c>
      <c r="R478" s="19" t="str">
        <f aca="false">IF(OR($A478="",INDEX(_LEITURA!$Q$2:$Q$21,8)=0),"",SUMIFS(DECKS!$D$2:$D$1201,DECKS!$A$2:$A$1201,INDEX(_LEITURA!$P$2:$P$21,8),DECKS!$B$2:$B$1201,$A478))</f>
        <v/>
      </c>
      <c r="S478" s="19" t="str">
        <f aca="false">IF(OR($A478="",INDEX(_LEITURA!$Q$2:$Q$21,9)=0),"",SUMIFS(DECKS!$D$2:$D$1201,DECKS!$A$2:$A$1201,INDEX(_LEITURA!$P$2:$P$21,9),DECKS!$B$2:$B$1201,$A478))</f>
        <v/>
      </c>
      <c r="T478" s="19" t="str">
        <f aca="false">IF(OR($A478="",INDEX(_LEITURA!$Q$2:$Q$21,10)=0),"",SUMIFS(DECKS!$D$2:$D$1201,DECKS!$A$2:$A$1201,INDEX(_LEITURA!$P$2:$P$21,10),DECKS!$B$2:$B$1201,$A478))</f>
        <v/>
      </c>
      <c r="U478" s="19" t="str">
        <f aca="false">IF(OR($A478="",INDEX(_LEITURA!$Q$2:$Q$21,11)=0),"",SUMIFS(DECKS!$D$2:$D$1201,DECKS!$A$2:$A$1201,INDEX(_LEITURA!$P$2:$P$21,11),DECKS!$B$2:$B$1201,$A478))</f>
        <v/>
      </c>
      <c r="V478" s="19" t="str">
        <f aca="false">IF(OR($A478="",INDEX(_LEITURA!$Q$2:$Q$21,12)=0),"",SUMIFS(DECKS!$D$2:$D$1201,DECKS!$A$2:$A$1201,INDEX(_LEITURA!$P$2:$P$21,12),DECKS!$B$2:$B$1201,$A478))</f>
        <v/>
      </c>
      <c r="W478" s="19" t="str">
        <f aca="false">IF(OR($A478="",INDEX(_LEITURA!$Q$2:$Q$21,13)=0),"",SUMIFS(DECKS!$D$2:$D$1201,DECKS!$A$2:$A$1201,INDEX(_LEITURA!$P$2:$P$21,13),DECKS!$B$2:$B$1201,$A478))</f>
        <v/>
      </c>
      <c r="X478" s="19" t="str">
        <f aca="false">IF(OR($A478="",INDEX(_LEITURA!$Q$2:$Q$21,14)=0),"",SUMIFS(DECKS!$D$2:$D$1201,DECKS!$A$2:$A$1201,INDEX(_LEITURA!$P$2:$P$21,14),DECKS!$B$2:$B$1201,$A478))</f>
        <v/>
      </c>
      <c r="Y478" s="19" t="str">
        <f aca="false">IF(OR($A478="",INDEX(_LEITURA!$Q$2:$Q$21,15)=0),"",SUMIFS(DECKS!$D$2:$D$1201,DECKS!$A$2:$A$1201,INDEX(_LEITURA!$P$2:$P$21,15),DECKS!$B$2:$B$1201,$A478))</f>
        <v/>
      </c>
      <c r="Z478" s="19" t="str">
        <f aca="false">IF(OR($A478="",INDEX(_LEITURA!$Q$2:$Q$21,16)=0),"",SUMIFS(DECKS!$D$2:$D$1201,DECKS!$A$2:$A$1201,INDEX(_LEITURA!$P$2:$P$21,16),DECKS!$B$2:$B$1201,$A478))</f>
        <v/>
      </c>
      <c r="AA478" s="19" t="str">
        <f aca="false">IF(OR($A478="",INDEX(_LEITURA!$Q$2:$Q$21,17)=0),"",SUMIFS(DECKS!$D$2:$D$1201,DECKS!$A$2:$A$1201,INDEX(_LEITURA!$P$2:$P$21,17),DECKS!$B$2:$B$1201,$A478))</f>
        <v/>
      </c>
      <c r="AB478" s="19" t="str">
        <f aca="false">IF(OR($A478="",INDEX(_LEITURA!$Q$2:$Q$21,18)=0),"",SUMIFS(DECKS!$D$2:$D$1201,DECKS!$A$2:$A$1201,INDEX(_LEITURA!$P$2:$P$21,18),DECKS!$B$2:$B$1201,$A478))</f>
        <v/>
      </c>
      <c r="AC478" s="19" t="str">
        <f aca="false">IF(OR($A478="",INDEX(_LEITURA!$Q$2:$Q$21,19)=0),"",SUMIFS(DECKS!$D$2:$D$1201,DECKS!$A$2:$A$1201,INDEX(_LEITURA!$P$2:$P$21,19),DECKS!$B$2:$B$1201,$A478))</f>
        <v/>
      </c>
      <c r="AD478" s="19" t="str">
        <f aca="false">IF(OR($A478="",INDEX(_LEITURA!$Q$2:$Q$21,20)=0),"",SUMIFS(DECKS!$D$2:$D$1201,DECKS!$A$2:$A$1201,INDEX(_LEITURA!$P$2:$P$21,20),DECKS!$B$2:$B$1201,$A478))</f>
        <v/>
      </c>
      <c r="AE478" s="16" t="str">
        <f aca="false">IF(N(E478)&gt;0,MAX(AE$1:AE477)+1,"")</f>
        <v/>
      </c>
      <c r="AF478" s="11" t="str">
        <f aca="false">IF(A478="","",IFERROR(LEFT(A478,FIND("-",A478)-1),A478))</f>
        <v/>
      </c>
      <c r="AG478" s="11" t="str">
        <f aca="false">IF(AF478="","",IF(ISNUMBER(--MID(AF478,1,1)),0,IF(ISNUMBER(--MID(AF478,2,1)),1,IF(ISNUMBER(--MID(AF478,3,1)),2,IF(ISNUMBER(--MID(AF478,4,1)),3,MIN(LEN(AF478),4))))))</f>
        <v/>
      </c>
      <c r="AH478" s="11" t="str">
        <f aca="false">IF(A478="","",LEFT(AF478,AG478)&amp;REPT("0",4-AG478)&amp;RIGHT("000"&amp;IFERROR(VALUE(MID(AF478,AG478+1,9)),0),3)&amp;RIGHT("0000"&amp;IFERROR(VALUE(MID(A478,FIND("-",A478)+1,9)),0),4))</f>
        <v/>
      </c>
      <c r="AI478" s="11" t="str">
        <f aca="false">IF(OR(A478="",N(E478)&lt;=0),"",IF('FALTAS GERAL'!$M$1="Código","K"&amp;AH478&amp;RIGHT("00000"&amp;ROW(),5),IF('FALTAS GERAL'!$M$1="Nome","K"&amp;UPPER(SUBSTITUTE(SUBSTITUTE(SUBSTITUTE(B478,"*",""),"?",""),"~",""))&amp;"0"&amp;AH478&amp;RIGHT("00000"&amp;ROW(),5),IF('FALTAS GERAL'!$M$1="Falta (maior primeiro)","K"&amp;RIGHT("0000"&amp;(9999-E478),4)&amp;AH478&amp;RIGHT("00000"&amp;ROW(),5),IF('FALTAS GERAL'!$M$1="Nº de decks (maior primeiro)","K"&amp;RIGHT("00"&amp;(99-N(G478)),2)&amp;AH478&amp;RIGHT("00000"&amp;ROW(),5),"K"&amp;RIGHT("00000"&amp;ROW(),5))))))</f>
        <v/>
      </c>
      <c r="AJ478" s="11" t="str">
        <f aca="false">IF(AI478="","",COUNTIFS($AI$2:$AI$801,"&lt;"&amp;AI478,$E$2:$E$801,"&gt;0")+1)</f>
        <v/>
      </c>
      <c r="AK478" s="11" t="str">
        <f aca="false">IF(OR(A478="",N(E478)&lt;=0),"",COUNTIFS($AH$2:$AH$801,"&lt;"&amp;AH478,$E$2:$E$801,"&gt;0")+COUNTIFS($AH$2:AH478,AH478,$E$2:E478,"&gt;0"))</f>
        <v/>
      </c>
    </row>
    <row r="479" customFormat="false" ht="15" hidden="false" customHeight="false" outlineLevel="0" collapsed="false">
      <c r="A479" s="11" t="str">
        <f aca="false">IF(INVENTÁRIO!A479="","",INVENTÁRIO!A479)</f>
        <v/>
      </c>
      <c r="B479" s="11" t="str">
        <f aca="false">IF(A479="","",INVENTÁRIO!B479)</f>
        <v/>
      </c>
      <c r="C479" s="16" t="str">
        <f aca="false">IF(A479="","",INVENTÁRIO!C479)</f>
        <v/>
      </c>
      <c r="D479" s="14" t="str">
        <f aca="false">IF(A479="","",MAX(K479:AD479))</f>
        <v/>
      </c>
      <c r="E479" s="14" t="str">
        <f aca="false">IF(A479="","",MAX(0,D479-C479))</f>
        <v/>
      </c>
      <c r="F479" s="16" t="str">
        <f aca="false">IF(A479="","",IF(D479=0,"Fora dos decks",IF(E479=0,"Completo","Falta")))</f>
        <v/>
      </c>
      <c r="G479" s="16" t="str">
        <f aca="false">IF(A479="","",COUNTIF(K479:AD479,"&gt;0"))</f>
        <v/>
      </c>
      <c r="H479" s="16" t="str">
        <f aca="false">IF(A479="","",IF(G479&gt;1,"Sim",""))</f>
        <v/>
      </c>
      <c r="I479" s="18" t="str">
        <f aca="false">IF(A479="","",SUMIFS(DECKS!$D$2:$D$1201,DECKS!$B$2:$B$1201,A479))</f>
        <v/>
      </c>
      <c r="J479" s="18" t="str">
        <f aca="false">IF(A479="","",MAX(0,I479-C479))</f>
        <v/>
      </c>
      <c r="K479" s="19" t="str">
        <f aca="false">IF(OR($A479="",INDEX(_LEITURA!$Q$2:$Q$21,1)=0),"",SUMIFS(DECKS!$D$2:$D$1201,DECKS!$A$2:$A$1201,INDEX(_LEITURA!$P$2:$P$21,1),DECKS!$B$2:$B$1201,$A479))</f>
        <v/>
      </c>
      <c r="L479" s="19" t="str">
        <f aca="false">IF(OR($A479="",INDEX(_LEITURA!$Q$2:$Q$21,2)=0),"",SUMIFS(DECKS!$D$2:$D$1201,DECKS!$A$2:$A$1201,INDEX(_LEITURA!$P$2:$P$21,2),DECKS!$B$2:$B$1201,$A479))</f>
        <v/>
      </c>
      <c r="M479" s="19" t="str">
        <f aca="false">IF(OR($A479="",INDEX(_LEITURA!$Q$2:$Q$21,3)=0),"",SUMIFS(DECKS!$D$2:$D$1201,DECKS!$A$2:$A$1201,INDEX(_LEITURA!$P$2:$P$21,3),DECKS!$B$2:$B$1201,$A479))</f>
        <v/>
      </c>
      <c r="N479" s="19" t="str">
        <f aca="false">IF(OR($A479="",INDEX(_LEITURA!$Q$2:$Q$21,4)=0),"",SUMIFS(DECKS!$D$2:$D$1201,DECKS!$A$2:$A$1201,INDEX(_LEITURA!$P$2:$P$21,4),DECKS!$B$2:$B$1201,$A479))</f>
        <v/>
      </c>
      <c r="O479" s="19" t="str">
        <f aca="false">IF(OR($A479="",INDEX(_LEITURA!$Q$2:$Q$21,5)=0),"",SUMIFS(DECKS!$D$2:$D$1201,DECKS!$A$2:$A$1201,INDEX(_LEITURA!$P$2:$P$21,5),DECKS!$B$2:$B$1201,$A479))</f>
        <v/>
      </c>
      <c r="P479" s="19" t="str">
        <f aca="false">IF(OR($A479="",INDEX(_LEITURA!$Q$2:$Q$21,6)=0),"",SUMIFS(DECKS!$D$2:$D$1201,DECKS!$A$2:$A$1201,INDEX(_LEITURA!$P$2:$P$21,6),DECKS!$B$2:$B$1201,$A479))</f>
        <v/>
      </c>
      <c r="Q479" s="19" t="str">
        <f aca="false">IF(OR($A479="",INDEX(_LEITURA!$Q$2:$Q$21,7)=0),"",SUMIFS(DECKS!$D$2:$D$1201,DECKS!$A$2:$A$1201,INDEX(_LEITURA!$P$2:$P$21,7),DECKS!$B$2:$B$1201,$A479))</f>
        <v/>
      </c>
      <c r="R479" s="19" t="str">
        <f aca="false">IF(OR($A479="",INDEX(_LEITURA!$Q$2:$Q$21,8)=0),"",SUMIFS(DECKS!$D$2:$D$1201,DECKS!$A$2:$A$1201,INDEX(_LEITURA!$P$2:$P$21,8),DECKS!$B$2:$B$1201,$A479))</f>
        <v/>
      </c>
      <c r="S479" s="19" t="str">
        <f aca="false">IF(OR($A479="",INDEX(_LEITURA!$Q$2:$Q$21,9)=0),"",SUMIFS(DECKS!$D$2:$D$1201,DECKS!$A$2:$A$1201,INDEX(_LEITURA!$P$2:$P$21,9),DECKS!$B$2:$B$1201,$A479))</f>
        <v/>
      </c>
      <c r="T479" s="19" t="str">
        <f aca="false">IF(OR($A479="",INDEX(_LEITURA!$Q$2:$Q$21,10)=0),"",SUMIFS(DECKS!$D$2:$D$1201,DECKS!$A$2:$A$1201,INDEX(_LEITURA!$P$2:$P$21,10),DECKS!$B$2:$B$1201,$A479))</f>
        <v/>
      </c>
      <c r="U479" s="19" t="str">
        <f aca="false">IF(OR($A479="",INDEX(_LEITURA!$Q$2:$Q$21,11)=0),"",SUMIFS(DECKS!$D$2:$D$1201,DECKS!$A$2:$A$1201,INDEX(_LEITURA!$P$2:$P$21,11),DECKS!$B$2:$B$1201,$A479))</f>
        <v/>
      </c>
      <c r="V479" s="19" t="str">
        <f aca="false">IF(OR($A479="",INDEX(_LEITURA!$Q$2:$Q$21,12)=0),"",SUMIFS(DECKS!$D$2:$D$1201,DECKS!$A$2:$A$1201,INDEX(_LEITURA!$P$2:$P$21,12),DECKS!$B$2:$B$1201,$A479))</f>
        <v/>
      </c>
      <c r="W479" s="19" t="str">
        <f aca="false">IF(OR($A479="",INDEX(_LEITURA!$Q$2:$Q$21,13)=0),"",SUMIFS(DECKS!$D$2:$D$1201,DECKS!$A$2:$A$1201,INDEX(_LEITURA!$P$2:$P$21,13),DECKS!$B$2:$B$1201,$A479))</f>
        <v/>
      </c>
      <c r="X479" s="19" t="str">
        <f aca="false">IF(OR($A479="",INDEX(_LEITURA!$Q$2:$Q$21,14)=0),"",SUMIFS(DECKS!$D$2:$D$1201,DECKS!$A$2:$A$1201,INDEX(_LEITURA!$P$2:$P$21,14),DECKS!$B$2:$B$1201,$A479))</f>
        <v/>
      </c>
      <c r="Y479" s="19" t="str">
        <f aca="false">IF(OR($A479="",INDEX(_LEITURA!$Q$2:$Q$21,15)=0),"",SUMIFS(DECKS!$D$2:$D$1201,DECKS!$A$2:$A$1201,INDEX(_LEITURA!$P$2:$P$21,15),DECKS!$B$2:$B$1201,$A479))</f>
        <v/>
      </c>
      <c r="Z479" s="19" t="str">
        <f aca="false">IF(OR($A479="",INDEX(_LEITURA!$Q$2:$Q$21,16)=0),"",SUMIFS(DECKS!$D$2:$D$1201,DECKS!$A$2:$A$1201,INDEX(_LEITURA!$P$2:$P$21,16),DECKS!$B$2:$B$1201,$A479))</f>
        <v/>
      </c>
      <c r="AA479" s="19" t="str">
        <f aca="false">IF(OR($A479="",INDEX(_LEITURA!$Q$2:$Q$21,17)=0),"",SUMIFS(DECKS!$D$2:$D$1201,DECKS!$A$2:$A$1201,INDEX(_LEITURA!$P$2:$P$21,17),DECKS!$B$2:$B$1201,$A479))</f>
        <v/>
      </c>
      <c r="AB479" s="19" t="str">
        <f aca="false">IF(OR($A479="",INDEX(_LEITURA!$Q$2:$Q$21,18)=0),"",SUMIFS(DECKS!$D$2:$D$1201,DECKS!$A$2:$A$1201,INDEX(_LEITURA!$P$2:$P$21,18),DECKS!$B$2:$B$1201,$A479))</f>
        <v/>
      </c>
      <c r="AC479" s="19" t="str">
        <f aca="false">IF(OR($A479="",INDEX(_LEITURA!$Q$2:$Q$21,19)=0),"",SUMIFS(DECKS!$D$2:$D$1201,DECKS!$A$2:$A$1201,INDEX(_LEITURA!$P$2:$P$21,19),DECKS!$B$2:$B$1201,$A479))</f>
        <v/>
      </c>
      <c r="AD479" s="19" t="str">
        <f aca="false">IF(OR($A479="",INDEX(_LEITURA!$Q$2:$Q$21,20)=0),"",SUMIFS(DECKS!$D$2:$D$1201,DECKS!$A$2:$A$1201,INDEX(_LEITURA!$P$2:$P$21,20),DECKS!$B$2:$B$1201,$A479))</f>
        <v/>
      </c>
      <c r="AE479" s="16" t="str">
        <f aca="false">IF(N(E479)&gt;0,MAX(AE$1:AE478)+1,"")</f>
        <v/>
      </c>
      <c r="AF479" s="11" t="str">
        <f aca="false">IF(A479="","",IFERROR(LEFT(A479,FIND("-",A479)-1),A479))</f>
        <v/>
      </c>
      <c r="AG479" s="11" t="str">
        <f aca="false">IF(AF479="","",IF(ISNUMBER(--MID(AF479,1,1)),0,IF(ISNUMBER(--MID(AF479,2,1)),1,IF(ISNUMBER(--MID(AF479,3,1)),2,IF(ISNUMBER(--MID(AF479,4,1)),3,MIN(LEN(AF479),4))))))</f>
        <v/>
      </c>
      <c r="AH479" s="11" t="str">
        <f aca="false">IF(A479="","",LEFT(AF479,AG479)&amp;REPT("0",4-AG479)&amp;RIGHT("000"&amp;IFERROR(VALUE(MID(AF479,AG479+1,9)),0),3)&amp;RIGHT("0000"&amp;IFERROR(VALUE(MID(A479,FIND("-",A479)+1,9)),0),4))</f>
        <v/>
      </c>
      <c r="AI479" s="11" t="str">
        <f aca="false">IF(OR(A479="",N(E479)&lt;=0),"",IF('FALTAS GERAL'!$M$1="Código","K"&amp;AH479&amp;RIGHT("00000"&amp;ROW(),5),IF('FALTAS GERAL'!$M$1="Nome","K"&amp;UPPER(SUBSTITUTE(SUBSTITUTE(SUBSTITUTE(B479,"*",""),"?",""),"~",""))&amp;"0"&amp;AH479&amp;RIGHT("00000"&amp;ROW(),5),IF('FALTAS GERAL'!$M$1="Falta (maior primeiro)","K"&amp;RIGHT("0000"&amp;(9999-E479),4)&amp;AH479&amp;RIGHT("00000"&amp;ROW(),5),IF('FALTAS GERAL'!$M$1="Nº de decks (maior primeiro)","K"&amp;RIGHT("00"&amp;(99-N(G479)),2)&amp;AH479&amp;RIGHT("00000"&amp;ROW(),5),"K"&amp;RIGHT("00000"&amp;ROW(),5))))))</f>
        <v/>
      </c>
      <c r="AJ479" s="11" t="str">
        <f aca="false">IF(AI479="","",COUNTIFS($AI$2:$AI$801,"&lt;"&amp;AI479,$E$2:$E$801,"&gt;0")+1)</f>
        <v/>
      </c>
      <c r="AK479" s="11" t="str">
        <f aca="false">IF(OR(A479="",N(E479)&lt;=0),"",COUNTIFS($AH$2:$AH$801,"&lt;"&amp;AH479,$E$2:$E$801,"&gt;0")+COUNTIFS($AH$2:AH479,AH479,$E$2:E479,"&gt;0"))</f>
        <v/>
      </c>
    </row>
    <row r="480" customFormat="false" ht="15" hidden="false" customHeight="false" outlineLevel="0" collapsed="false">
      <c r="A480" s="11" t="str">
        <f aca="false">IF(INVENTÁRIO!A480="","",INVENTÁRIO!A480)</f>
        <v/>
      </c>
      <c r="B480" s="11" t="str">
        <f aca="false">IF(A480="","",INVENTÁRIO!B480)</f>
        <v/>
      </c>
      <c r="C480" s="16" t="str">
        <f aca="false">IF(A480="","",INVENTÁRIO!C480)</f>
        <v/>
      </c>
      <c r="D480" s="14" t="str">
        <f aca="false">IF(A480="","",MAX(K480:AD480))</f>
        <v/>
      </c>
      <c r="E480" s="14" t="str">
        <f aca="false">IF(A480="","",MAX(0,D480-C480))</f>
        <v/>
      </c>
      <c r="F480" s="16" t="str">
        <f aca="false">IF(A480="","",IF(D480=0,"Fora dos decks",IF(E480=0,"Completo","Falta")))</f>
        <v/>
      </c>
      <c r="G480" s="16" t="str">
        <f aca="false">IF(A480="","",COUNTIF(K480:AD480,"&gt;0"))</f>
        <v/>
      </c>
      <c r="H480" s="16" t="str">
        <f aca="false">IF(A480="","",IF(G480&gt;1,"Sim",""))</f>
        <v/>
      </c>
      <c r="I480" s="18" t="str">
        <f aca="false">IF(A480="","",SUMIFS(DECKS!$D$2:$D$1201,DECKS!$B$2:$B$1201,A480))</f>
        <v/>
      </c>
      <c r="J480" s="18" t="str">
        <f aca="false">IF(A480="","",MAX(0,I480-C480))</f>
        <v/>
      </c>
      <c r="K480" s="19" t="str">
        <f aca="false">IF(OR($A480="",INDEX(_LEITURA!$Q$2:$Q$21,1)=0),"",SUMIFS(DECKS!$D$2:$D$1201,DECKS!$A$2:$A$1201,INDEX(_LEITURA!$P$2:$P$21,1),DECKS!$B$2:$B$1201,$A480))</f>
        <v/>
      </c>
      <c r="L480" s="19" t="str">
        <f aca="false">IF(OR($A480="",INDEX(_LEITURA!$Q$2:$Q$21,2)=0),"",SUMIFS(DECKS!$D$2:$D$1201,DECKS!$A$2:$A$1201,INDEX(_LEITURA!$P$2:$P$21,2),DECKS!$B$2:$B$1201,$A480))</f>
        <v/>
      </c>
      <c r="M480" s="19" t="str">
        <f aca="false">IF(OR($A480="",INDEX(_LEITURA!$Q$2:$Q$21,3)=0),"",SUMIFS(DECKS!$D$2:$D$1201,DECKS!$A$2:$A$1201,INDEX(_LEITURA!$P$2:$P$21,3),DECKS!$B$2:$B$1201,$A480))</f>
        <v/>
      </c>
      <c r="N480" s="19" t="str">
        <f aca="false">IF(OR($A480="",INDEX(_LEITURA!$Q$2:$Q$21,4)=0),"",SUMIFS(DECKS!$D$2:$D$1201,DECKS!$A$2:$A$1201,INDEX(_LEITURA!$P$2:$P$21,4),DECKS!$B$2:$B$1201,$A480))</f>
        <v/>
      </c>
      <c r="O480" s="19" t="str">
        <f aca="false">IF(OR($A480="",INDEX(_LEITURA!$Q$2:$Q$21,5)=0),"",SUMIFS(DECKS!$D$2:$D$1201,DECKS!$A$2:$A$1201,INDEX(_LEITURA!$P$2:$P$21,5),DECKS!$B$2:$B$1201,$A480))</f>
        <v/>
      </c>
      <c r="P480" s="19" t="str">
        <f aca="false">IF(OR($A480="",INDEX(_LEITURA!$Q$2:$Q$21,6)=0),"",SUMIFS(DECKS!$D$2:$D$1201,DECKS!$A$2:$A$1201,INDEX(_LEITURA!$P$2:$P$21,6),DECKS!$B$2:$B$1201,$A480))</f>
        <v/>
      </c>
      <c r="Q480" s="19" t="str">
        <f aca="false">IF(OR($A480="",INDEX(_LEITURA!$Q$2:$Q$21,7)=0),"",SUMIFS(DECKS!$D$2:$D$1201,DECKS!$A$2:$A$1201,INDEX(_LEITURA!$P$2:$P$21,7),DECKS!$B$2:$B$1201,$A480))</f>
        <v/>
      </c>
      <c r="R480" s="19" t="str">
        <f aca="false">IF(OR($A480="",INDEX(_LEITURA!$Q$2:$Q$21,8)=0),"",SUMIFS(DECKS!$D$2:$D$1201,DECKS!$A$2:$A$1201,INDEX(_LEITURA!$P$2:$P$21,8),DECKS!$B$2:$B$1201,$A480))</f>
        <v/>
      </c>
      <c r="S480" s="19" t="str">
        <f aca="false">IF(OR($A480="",INDEX(_LEITURA!$Q$2:$Q$21,9)=0),"",SUMIFS(DECKS!$D$2:$D$1201,DECKS!$A$2:$A$1201,INDEX(_LEITURA!$P$2:$P$21,9),DECKS!$B$2:$B$1201,$A480))</f>
        <v/>
      </c>
      <c r="T480" s="19" t="str">
        <f aca="false">IF(OR($A480="",INDEX(_LEITURA!$Q$2:$Q$21,10)=0),"",SUMIFS(DECKS!$D$2:$D$1201,DECKS!$A$2:$A$1201,INDEX(_LEITURA!$P$2:$P$21,10),DECKS!$B$2:$B$1201,$A480))</f>
        <v/>
      </c>
      <c r="U480" s="19" t="str">
        <f aca="false">IF(OR($A480="",INDEX(_LEITURA!$Q$2:$Q$21,11)=0),"",SUMIFS(DECKS!$D$2:$D$1201,DECKS!$A$2:$A$1201,INDEX(_LEITURA!$P$2:$P$21,11),DECKS!$B$2:$B$1201,$A480))</f>
        <v/>
      </c>
      <c r="V480" s="19" t="str">
        <f aca="false">IF(OR($A480="",INDEX(_LEITURA!$Q$2:$Q$21,12)=0),"",SUMIFS(DECKS!$D$2:$D$1201,DECKS!$A$2:$A$1201,INDEX(_LEITURA!$P$2:$P$21,12),DECKS!$B$2:$B$1201,$A480))</f>
        <v/>
      </c>
      <c r="W480" s="19" t="str">
        <f aca="false">IF(OR($A480="",INDEX(_LEITURA!$Q$2:$Q$21,13)=0),"",SUMIFS(DECKS!$D$2:$D$1201,DECKS!$A$2:$A$1201,INDEX(_LEITURA!$P$2:$P$21,13),DECKS!$B$2:$B$1201,$A480))</f>
        <v/>
      </c>
      <c r="X480" s="19" t="str">
        <f aca="false">IF(OR($A480="",INDEX(_LEITURA!$Q$2:$Q$21,14)=0),"",SUMIFS(DECKS!$D$2:$D$1201,DECKS!$A$2:$A$1201,INDEX(_LEITURA!$P$2:$P$21,14),DECKS!$B$2:$B$1201,$A480))</f>
        <v/>
      </c>
      <c r="Y480" s="19" t="str">
        <f aca="false">IF(OR($A480="",INDEX(_LEITURA!$Q$2:$Q$21,15)=0),"",SUMIFS(DECKS!$D$2:$D$1201,DECKS!$A$2:$A$1201,INDEX(_LEITURA!$P$2:$P$21,15),DECKS!$B$2:$B$1201,$A480))</f>
        <v/>
      </c>
      <c r="Z480" s="19" t="str">
        <f aca="false">IF(OR($A480="",INDEX(_LEITURA!$Q$2:$Q$21,16)=0),"",SUMIFS(DECKS!$D$2:$D$1201,DECKS!$A$2:$A$1201,INDEX(_LEITURA!$P$2:$P$21,16),DECKS!$B$2:$B$1201,$A480))</f>
        <v/>
      </c>
      <c r="AA480" s="19" t="str">
        <f aca="false">IF(OR($A480="",INDEX(_LEITURA!$Q$2:$Q$21,17)=0),"",SUMIFS(DECKS!$D$2:$D$1201,DECKS!$A$2:$A$1201,INDEX(_LEITURA!$P$2:$P$21,17),DECKS!$B$2:$B$1201,$A480))</f>
        <v/>
      </c>
      <c r="AB480" s="19" t="str">
        <f aca="false">IF(OR($A480="",INDEX(_LEITURA!$Q$2:$Q$21,18)=0),"",SUMIFS(DECKS!$D$2:$D$1201,DECKS!$A$2:$A$1201,INDEX(_LEITURA!$P$2:$P$21,18),DECKS!$B$2:$B$1201,$A480))</f>
        <v/>
      </c>
      <c r="AC480" s="19" t="str">
        <f aca="false">IF(OR($A480="",INDEX(_LEITURA!$Q$2:$Q$21,19)=0),"",SUMIFS(DECKS!$D$2:$D$1201,DECKS!$A$2:$A$1201,INDEX(_LEITURA!$P$2:$P$21,19),DECKS!$B$2:$B$1201,$A480))</f>
        <v/>
      </c>
      <c r="AD480" s="19" t="str">
        <f aca="false">IF(OR($A480="",INDEX(_LEITURA!$Q$2:$Q$21,20)=0),"",SUMIFS(DECKS!$D$2:$D$1201,DECKS!$A$2:$A$1201,INDEX(_LEITURA!$P$2:$P$21,20),DECKS!$B$2:$B$1201,$A480))</f>
        <v/>
      </c>
      <c r="AE480" s="16" t="str">
        <f aca="false">IF(N(E480)&gt;0,MAX(AE$1:AE479)+1,"")</f>
        <v/>
      </c>
      <c r="AF480" s="11" t="str">
        <f aca="false">IF(A480="","",IFERROR(LEFT(A480,FIND("-",A480)-1),A480))</f>
        <v/>
      </c>
      <c r="AG480" s="11" t="str">
        <f aca="false">IF(AF480="","",IF(ISNUMBER(--MID(AF480,1,1)),0,IF(ISNUMBER(--MID(AF480,2,1)),1,IF(ISNUMBER(--MID(AF480,3,1)),2,IF(ISNUMBER(--MID(AF480,4,1)),3,MIN(LEN(AF480),4))))))</f>
        <v/>
      </c>
      <c r="AH480" s="11" t="str">
        <f aca="false">IF(A480="","",LEFT(AF480,AG480)&amp;REPT("0",4-AG480)&amp;RIGHT("000"&amp;IFERROR(VALUE(MID(AF480,AG480+1,9)),0),3)&amp;RIGHT("0000"&amp;IFERROR(VALUE(MID(A480,FIND("-",A480)+1,9)),0),4))</f>
        <v/>
      </c>
      <c r="AI480" s="11" t="str">
        <f aca="false">IF(OR(A480="",N(E480)&lt;=0),"",IF('FALTAS GERAL'!$M$1="Código","K"&amp;AH480&amp;RIGHT("00000"&amp;ROW(),5),IF('FALTAS GERAL'!$M$1="Nome","K"&amp;UPPER(SUBSTITUTE(SUBSTITUTE(SUBSTITUTE(B480,"*",""),"?",""),"~",""))&amp;"0"&amp;AH480&amp;RIGHT("00000"&amp;ROW(),5),IF('FALTAS GERAL'!$M$1="Falta (maior primeiro)","K"&amp;RIGHT("0000"&amp;(9999-E480),4)&amp;AH480&amp;RIGHT("00000"&amp;ROW(),5),IF('FALTAS GERAL'!$M$1="Nº de decks (maior primeiro)","K"&amp;RIGHT("00"&amp;(99-N(G480)),2)&amp;AH480&amp;RIGHT("00000"&amp;ROW(),5),"K"&amp;RIGHT("00000"&amp;ROW(),5))))))</f>
        <v/>
      </c>
      <c r="AJ480" s="11" t="str">
        <f aca="false">IF(AI480="","",COUNTIFS($AI$2:$AI$801,"&lt;"&amp;AI480,$E$2:$E$801,"&gt;0")+1)</f>
        <v/>
      </c>
      <c r="AK480" s="11" t="str">
        <f aca="false">IF(OR(A480="",N(E480)&lt;=0),"",COUNTIFS($AH$2:$AH$801,"&lt;"&amp;AH480,$E$2:$E$801,"&gt;0")+COUNTIFS($AH$2:AH480,AH480,$E$2:E480,"&gt;0"))</f>
        <v/>
      </c>
    </row>
    <row r="481" customFormat="false" ht="15" hidden="false" customHeight="false" outlineLevel="0" collapsed="false">
      <c r="A481" s="11" t="str">
        <f aca="false">IF(INVENTÁRIO!A481="","",INVENTÁRIO!A481)</f>
        <v/>
      </c>
      <c r="B481" s="11" t="str">
        <f aca="false">IF(A481="","",INVENTÁRIO!B481)</f>
        <v/>
      </c>
      <c r="C481" s="16" t="str">
        <f aca="false">IF(A481="","",INVENTÁRIO!C481)</f>
        <v/>
      </c>
      <c r="D481" s="14" t="str">
        <f aca="false">IF(A481="","",MAX(K481:AD481))</f>
        <v/>
      </c>
      <c r="E481" s="14" t="str">
        <f aca="false">IF(A481="","",MAX(0,D481-C481))</f>
        <v/>
      </c>
      <c r="F481" s="16" t="str">
        <f aca="false">IF(A481="","",IF(D481=0,"Fora dos decks",IF(E481=0,"Completo","Falta")))</f>
        <v/>
      </c>
      <c r="G481" s="16" t="str">
        <f aca="false">IF(A481="","",COUNTIF(K481:AD481,"&gt;0"))</f>
        <v/>
      </c>
      <c r="H481" s="16" t="str">
        <f aca="false">IF(A481="","",IF(G481&gt;1,"Sim",""))</f>
        <v/>
      </c>
      <c r="I481" s="18" t="str">
        <f aca="false">IF(A481="","",SUMIFS(DECKS!$D$2:$D$1201,DECKS!$B$2:$B$1201,A481))</f>
        <v/>
      </c>
      <c r="J481" s="18" t="str">
        <f aca="false">IF(A481="","",MAX(0,I481-C481))</f>
        <v/>
      </c>
      <c r="K481" s="19" t="str">
        <f aca="false">IF(OR($A481="",INDEX(_LEITURA!$Q$2:$Q$21,1)=0),"",SUMIFS(DECKS!$D$2:$D$1201,DECKS!$A$2:$A$1201,INDEX(_LEITURA!$P$2:$P$21,1),DECKS!$B$2:$B$1201,$A481))</f>
        <v/>
      </c>
      <c r="L481" s="19" t="str">
        <f aca="false">IF(OR($A481="",INDEX(_LEITURA!$Q$2:$Q$21,2)=0),"",SUMIFS(DECKS!$D$2:$D$1201,DECKS!$A$2:$A$1201,INDEX(_LEITURA!$P$2:$P$21,2),DECKS!$B$2:$B$1201,$A481))</f>
        <v/>
      </c>
      <c r="M481" s="19" t="str">
        <f aca="false">IF(OR($A481="",INDEX(_LEITURA!$Q$2:$Q$21,3)=0),"",SUMIFS(DECKS!$D$2:$D$1201,DECKS!$A$2:$A$1201,INDEX(_LEITURA!$P$2:$P$21,3),DECKS!$B$2:$B$1201,$A481))</f>
        <v/>
      </c>
      <c r="N481" s="19" t="str">
        <f aca="false">IF(OR($A481="",INDEX(_LEITURA!$Q$2:$Q$21,4)=0),"",SUMIFS(DECKS!$D$2:$D$1201,DECKS!$A$2:$A$1201,INDEX(_LEITURA!$P$2:$P$21,4),DECKS!$B$2:$B$1201,$A481))</f>
        <v/>
      </c>
      <c r="O481" s="19" t="str">
        <f aca="false">IF(OR($A481="",INDEX(_LEITURA!$Q$2:$Q$21,5)=0),"",SUMIFS(DECKS!$D$2:$D$1201,DECKS!$A$2:$A$1201,INDEX(_LEITURA!$P$2:$P$21,5),DECKS!$B$2:$B$1201,$A481))</f>
        <v/>
      </c>
      <c r="P481" s="19" t="str">
        <f aca="false">IF(OR($A481="",INDEX(_LEITURA!$Q$2:$Q$21,6)=0),"",SUMIFS(DECKS!$D$2:$D$1201,DECKS!$A$2:$A$1201,INDEX(_LEITURA!$P$2:$P$21,6),DECKS!$B$2:$B$1201,$A481))</f>
        <v/>
      </c>
      <c r="Q481" s="19" t="str">
        <f aca="false">IF(OR($A481="",INDEX(_LEITURA!$Q$2:$Q$21,7)=0),"",SUMIFS(DECKS!$D$2:$D$1201,DECKS!$A$2:$A$1201,INDEX(_LEITURA!$P$2:$P$21,7),DECKS!$B$2:$B$1201,$A481))</f>
        <v/>
      </c>
      <c r="R481" s="19" t="str">
        <f aca="false">IF(OR($A481="",INDEX(_LEITURA!$Q$2:$Q$21,8)=0),"",SUMIFS(DECKS!$D$2:$D$1201,DECKS!$A$2:$A$1201,INDEX(_LEITURA!$P$2:$P$21,8),DECKS!$B$2:$B$1201,$A481))</f>
        <v/>
      </c>
      <c r="S481" s="19" t="str">
        <f aca="false">IF(OR($A481="",INDEX(_LEITURA!$Q$2:$Q$21,9)=0),"",SUMIFS(DECKS!$D$2:$D$1201,DECKS!$A$2:$A$1201,INDEX(_LEITURA!$P$2:$P$21,9),DECKS!$B$2:$B$1201,$A481))</f>
        <v/>
      </c>
      <c r="T481" s="19" t="str">
        <f aca="false">IF(OR($A481="",INDEX(_LEITURA!$Q$2:$Q$21,10)=0),"",SUMIFS(DECKS!$D$2:$D$1201,DECKS!$A$2:$A$1201,INDEX(_LEITURA!$P$2:$P$21,10),DECKS!$B$2:$B$1201,$A481))</f>
        <v/>
      </c>
      <c r="U481" s="19" t="str">
        <f aca="false">IF(OR($A481="",INDEX(_LEITURA!$Q$2:$Q$21,11)=0),"",SUMIFS(DECKS!$D$2:$D$1201,DECKS!$A$2:$A$1201,INDEX(_LEITURA!$P$2:$P$21,11),DECKS!$B$2:$B$1201,$A481))</f>
        <v/>
      </c>
      <c r="V481" s="19" t="str">
        <f aca="false">IF(OR($A481="",INDEX(_LEITURA!$Q$2:$Q$21,12)=0),"",SUMIFS(DECKS!$D$2:$D$1201,DECKS!$A$2:$A$1201,INDEX(_LEITURA!$P$2:$P$21,12),DECKS!$B$2:$B$1201,$A481))</f>
        <v/>
      </c>
      <c r="W481" s="19" t="str">
        <f aca="false">IF(OR($A481="",INDEX(_LEITURA!$Q$2:$Q$21,13)=0),"",SUMIFS(DECKS!$D$2:$D$1201,DECKS!$A$2:$A$1201,INDEX(_LEITURA!$P$2:$P$21,13),DECKS!$B$2:$B$1201,$A481))</f>
        <v/>
      </c>
      <c r="X481" s="19" t="str">
        <f aca="false">IF(OR($A481="",INDEX(_LEITURA!$Q$2:$Q$21,14)=0),"",SUMIFS(DECKS!$D$2:$D$1201,DECKS!$A$2:$A$1201,INDEX(_LEITURA!$P$2:$P$21,14),DECKS!$B$2:$B$1201,$A481))</f>
        <v/>
      </c>
      <c r="Y481" s="19" t="str">
        <f aca="false">IF(OR($A481="",INDEX(_LEITURA!$Q$2:$Q$21,15)=0),"",SUMIFS(DECKS!$D$2:$D$1201,DECKS!$A$2:$A$1201,INDEX(_LEITURA!$P$2:$P$21,15),DECKS!$B$2:$B$1201,$A481))</f>
        <v/>
      </c>
      <c r="Z481" s="19" t="str">
        <f aca="false">IF(OR($A481="",INDEX(_LEITURA!$Q$2:$Q$21,16)=0),"",SUMIFS(DECKS!$D$2:$D$1201,DECKS!$A$2:$A$1201,INDEX(_LEITURA!$P$2:$P$21,16),DECKS!$B$2:$B$1201,$A481))</f>
        <v/>
      </c>
      <c r="AA481" s="19" t="str">
        <f aca="false">IF(OR($A481="",INDEX(_LEITURA!$Q$2:$Q$21,17)=0),"",SUMIFS(DECKS!$D$2:$D$1201,DECKS!$A$2:$A$1201,INDEX(_LEITURA!$P$2:$P$21,17),DECKS!$B$2:$B$1201,$A481))</f>
        <v/>
      </c>
      <c r="AB481" s="19" t="str">
        <f aca="false">IF(OR($A481="",INDEX(_LEITURA!$Q$2:$Q$21,18)=0),"",SUMIFS(DECKS!$D$2:$D$1201,DECKS!$A$2:$A$1201,INDEX(_LEITURA!$P$2:$P$21,18),DECKS!$B$2:$B$1201,$A481))</f>
        <v/>
      </c>
      <c r="AC481" s="19" t="str">
        <f aca="false">IF(OR($A481="",INDEX(_LEITURA!$Q$2:$Q$21,19)=0),"",SUMIFS(DECKS!$D$2:$D$1201,DECKS!$A$2:$A$1201,INDEX(_LEITURA!$P$2:$P$21,19),DECKS!$B$2:$B$1201,$A481))</f>
        <v/>
      </c>
      <c r="AD481" s="19" t="str">
        <f aca="false">IF(OR($A481="",INDEX(_LEITURA!$Q$2:$Q$21,20)=0),"",SUMIFS(DECKS!$D$2:$D$1201,DECKS!$A$2:$A$1201,INDEX(_LEITURA!$P$2:$P$21,20),DECKS!$B$2:$B$1201,$A481))</f>
        <v/>
      </c>
      <c r="AE481" s="16" t="str">
        <f aca="false">IF(N(E481)&gt;0,MAX(AE$1:AE480)+1,"")</f>
        <v/>
      </c>
      <c r="AF481" s="11" t="str">
        <f aca="false">IF(A481="","",IFERROR(LEFT(A481,FIND("-",A481)-1),A481))</f>
        <v/>
      </c>
      <c r="AG481" s="11" t="str">
        <f aca="false">IF(AF481="","",IF(ISNUMBER(--MID(AF481,1,1)),0,IF(ISNUMBER(--MID(AF481,2,1)),1,IF(ISNUMBER(--MID(AF481,3,1)),2,IF(ISNUMBER(--MID(AF481,4,1)),3,MIN(LEN(AF481),4))))))</f>
        <v/>
      </c>
      <c r="AH481" s="11" t="str">
        <f aca="false">IF(A481="","",LEFT(AF481,AG481)&amp;REPT("0",4-AG481)&amp;RIGHT("000"&amp;IFERROR(VALUE(MID(AF481,AG481+1,9)),0),3)&amp;RIGHT("0000"&amp;IFERROR(VALUE(MID(A481,FIND("-",A481)+1,9)),0),4))</f>
        <v/>
      </c>
      <c r="AI481" s="11" t="str">
        <f aca="false">IF(OR(A481="",N(E481)&lt;=0),"",IF('FALTAS GERAL'!$M$1="Código","K"&amp;AH481&amp;RIGHT("00000"&amp;ROW(),5),IF('FALTAS GERAL'!$M$1="Nome","K"&amp;UPPER(SUBSTITUTE(SUBSTITUTE(SUBSTITUTE(B481,"*",""),"?",""),"~",""))&amp;"0"&amp;AH481&amp;RIGHT("00000"&amp;ROW(),5),IF('FALTAS GERAL'!$M$1="Falta (maior primeiro)","K"&amp;RIGHT("0000"&amp;(9999-E481),4)&amp;AH481&amp;RIGHT("00000"&amp;ROW(),5),IF('FALTAS GERAL'!$M$1="Nº de decks (maior primeiro)","K"&amp;RIGHT("00"&amp;(99-N(G481)),2)&amp;AH481&amp;RIGHT("00000"&amp;ROW(),5),"K"&amp;RIGHT("00000"&amp;ROW(),5))))))</f>
        <v/>
      </c>
      <c r="AJ481" s="11" t="str">
        <f aca="false">IF(AI481="","",COUNTIFS($AI$2:$AI$801,"&lt;"&amp;AI481,$E$2:$E$801,"&gt;0")+1)</f>
        <v/>
      </c>
      <c r="AK481" s="11" t="str">
        <f aca="false">IF(OR(A481="",N(E481)&lt;=0),"",COUNTIFS($AH$2:$AH$801,"&lt;"&amp;AH481,$E$2:$E$801,"&gt;0")+COUNTIFS($AH$2:AH481,AH481,$E$2:E481,"&gt;0"))</f>
        <v/>
      </c>
    </row>
    <row r="482" customFormat="false" ht="15" hidden="false" customHeight="false" outlineLevel="0" collapsed="false">
      <c r="A482" s="11" t="str">
        <f aca="false">IF(INVENTÁRIO!A482="","",INVENTÁRIO!A482)</f>
        <v/>
      </c>
      <c r="B482" s="11" t="str">
        <f aca="false">IF(A482="","",INVENTÁRIO!B482)</f>
        <v/>
      </c>
      <c r="C482" s="16" t="str">
        <f aca="false">IF(A482="","",INVENTÁRIO!C482)</f>
        <v/>
      </c>
      <c r="D482" s="14" t="str">
        <f aca="false">IF(A482="","",MAX(K482:AD482))</f>
        <v/>
      </c>
      <c r="E482" s="14" t="str">
        <f aca="false">IF(A482="","",MAX(0,D482-C482))</f>
        <v/>
      </c>
      <c r="F482" s="16" t="str">
        <f aca="false">IF(A482="","",IF(D482=0,"Fora dos decks",IF(E482=0,"Completo","Falta")))</f>
        <v/>
      </c>
      <c r="G482" s="16" t="str">
        <f aca="false">IF(A482="","",COUNTIF(K482:AD482,"&gt;0"))</f>
        <v/>
      </c>
      <c r="H482" s="16" t="str">
        <f aca="false">IF(A482="","",IF(G482&gt;1,"Sim",""))</f>
        <v/>
      </c>
      <c r="I482" s="18" t="str">
        <f aca="false">IF(A482="","",SUMIFS(DECKS!$D$2:$D$1201,DECKS!$B$2:$B$1201,A482))</f>
        <v/>
      </c>
      <c r="J482" s="18" t="str">
        <f aca="false">IF(A482="","",MAX(0,I482-C482))</f>
        <v/>
      </c>
      <c r="K482" s="19" t="str">
        <f aca="false">IF(OR($A482="",INDEX(_LEITURA!$Q$2:$Q$21,1)=0),"",SUMIFS(DECKS!$D$2:$D$1201,DECKS!$A$2:$A$1201,INDEX(_LEITURA!$P$2:$P$21,1),DECKS!$B$2:$B$1201,$A482))</f>
        <v/>
      </c>
      <c r="L482" s="19" t="str">
        <f aca="false">IF(OR($A482="",INDEX(_LEITURA!$Q$2:$Q$21,2)=0),"",SUMIFS(DECKS!$D$2:$D$1201,DECKS!$A$2:$A$1201,INDEX(_LEITURA!$P$2:$P$21,2),DECKS!$B$2:$B$1201,$A482))</f>
        <v/>
      </c>
      <c r="M482" s="19" t="str">
        <f aca="false">IF(OR($A482="",INDEX(_LEITURA!$Q$2:$Q$21,3)=0),"",SUMIFS(DECKS!$D$2:$D$1201,DECKS!$A$2:$A$1201,INDEX(_LEITURA!$P$2:$P$21,3),DECKS!$B$2:$B$1201,$A482))</f>
        <v/>
      </c>
      <c r="N482" s="19" t="str">
        <f aca="false">IF(OR($A482="",INDEX(_LEITURA!$Q$2:$Q$21,4)=0),"",SUMIFS(DECKS!$D$2:$D$1201,DECKS!$A$2:$A$1201,INDEX(_LEITURA!$P$2:$P$21,4),DECKS!$B$2:$B$1201,$A482))</f>
        <v/>
      </c>
      <c r="O482" s="19" t="str">
        <f aca="false">IF(OR($A482="",INDEX(_LEITURA!$Q$2:$Q$21,5)=0),"",SUMIFS(DECKS!$D$2:$D$1201,DECKS!$A$2:$A$1201,INDEX(_LEITURA!$P$2:$P$21,5),DECKS!$B$2:$B$1201,$A482))</f>
        <v/>
      </c>
      <c r="P482" s="19" t="str">
        <f aca="false">IF(OR($A482="",INDEX(_LEITURA!$Q$2:$Q$21,6)=0),"",SUMIFS(DECKS!$D$2:$D$1201,DECKS!$A$2:$A$1201,INDEX(_LEITURA!$P$2:$P$21,6),DECKS!$B$2:$B$1201,$A482))</f>
        <v/>
      </c>
      <c r="Q482" s="19" t="str">
        <f aca="false">IF(OR($A482="",INDEX(_LEITURA!$Q$2:$Q$21,7)=0),"",SUMIFS(DECKS!$D$2:$D$1201,DECKS!$A$2:$A$1201,INDEX(_LEITURA!$P$2:$P$21,7),DECKS!$B$2:$B$1201,$A482))</f>
        <v/>
      </c>
      <c r="R482" s="19" t="str">
        <f aca="false">IF(OR($A482="",INDEX(_LEITURA!$Q$2:$Q$21,8)=0),"",SUMIFS(DECKS!$D$2:$D$1201,DECKS!$A$2:$A$1201,INDEX(_LEITURA!$P$2:$P$21,8),DECKS!$B$2:$B$1201,$A482))</f>
        <v/>
      </c>
      <c r="S482" s="19" t="str">
        <f aca="false">IF(OR($A482="",INDEX(_LEITURA!$Q$2:$Q$21,9)=0),"",SUMIFS(DECKS!$D$2:$D$1201,DECKS!$A$2:$A$1201,INDEX(_LEITURA!$P$2:$P$21,9),DECKS!$B$2:$B$1201,$A482))</f>
        <v/>
      </c>
      <c r="T482" s="19" t="str">
        <f aca="false">IF(OR($A482="",INDEX(_LEITURA!$Q$2:$Q$21,10)=0),"",SUMIFS(DECKS!$D$2:$D$1201,DECKS!$A$2:$A$1201,INDEX(_LEITURA!$P$2:$P$21,10),DECKS!$B$2:$B$1201,$A482))</f>
        <v/>
      </c>
      <c r="U482" s="19" t="str">
        <f aca="false">IF(OR($A482="",INDEX(_LEITURA!$Q$2:$Q$21,11)=0),"",SUMIFS(DECKS!$D$2:$D$1201,DECKS!$A$2:$A$1201,INDEX(_LEITURA!$P$2:$P$21,11),DECKS!$B$2:$B$1201,$A482))</f>
        <v/>
      </c>
      <c r="V482" s="19" t="str">
        <f aca="false">IF(OR($A482="",INDEX(_LEITURA!$Q$2:$Q$21,12)=0),"",SUMIFS(DECKS!$D$2:$D$1201,DECKS!$A$2:$A$1201,INDEX(_LEITURA!$P$2:$P$21,12),DECKS!$B$2:$B$1201,$A482))</f>
        <v/>
      </c>
      <c r="W482" s="19" t="str">
        <f aca="false">IF(OR($A482="",INDEX(_LEITURA!$Q$2:$Q$21,13)=0),"",SUMIFS(DECKS!$D$2:$D$1201,DECKS!$A$2:$A$1201,INDEX(_LEITURA!$P$2:$P$21,13),DECKS!$B$2:$B$1201,$A482))</f>
        <v/>
      </c>
      <c r="X482" s="19" t="str">
        <f aca="false">IF(OR($A482="",INDEX(_LEITURA!$Q$2:$Q$21,14)=0),"",SUMIFS(DECKS!$D$2:$D$1201,DECKS!$A$2:$A$1201,INDEX(_LEITURA!$P$2:$P$21,14),DECKS!$B$2:$B$1201,$A482))</f>
        <v/>
      </c>
      <c r="Y482" s="19" t="str">
        <f aca="false">IF(OR($A482="",INDEX(_LEITURA!$Q$2:$Q$21,15)=0),"",SUMIFS(DECKS!$D$2:$D$1201,DECKS!$A$2:$A$1201,INDEX(_LEITURA!$P$2:$P$21,15),DECKS!$B$2:$B$1201,$A482))</f>
        <v/>
      </c>
      <c r="Z482" s="19" t="str">
        <f aca="false">IF(OR($A482="",INDEX(_LEITURA!$Q$2:$Q$21,16)=0),"",SUMIFS(DECKS!$D$2:$D$1201,DECKS!$A$2:$A$1201,INDEX(_LEITURA!$P$2:$P$21,16),DECKS!$B$2:$B$1201,$A482))</f>
        <v/>
      </c>
      <c r="AA482" s="19" t="str">
        <f aca="false">IF(OR($A482="",INDEX(_LEITURA!$Q$2:$Q$21,17)=0),"",SUMIFS(DECKS!$D$2:$D$1201,DECKS!$A$2:$A$1201,INDEX(_LEITURA!$P$2:$P$21,17),DECKS!$B$2:$B$1201,$A482))</f>
        <v/>
      </c>
      <c r="AB482" s="19" t="str">
        <f aca="false">IF(OR($A482="",INDEX(_LEITURA!$Q$2:$Q$21,18)=0),"",SUMIFS(DECKS!$D$2:$D$1201,DECKS!$A$2:$A$1201,INDEX(_LEITURA!$P$2:$P$21,18),DECKS!$B$2:$B$1201,$A482))</f>
        <v/>
      </c>
      <c r="AC482" s="19" t="str">
        <f aca="false">IF(OR($A482="",INDEX(_LEITURA!$Q$2:$Q$21,19)=0),"",SUMIFS(DECKS!$D$2:$D$1201,DECKS!$A$2:$A$1201,INDEX(_LEITURA!$P$2:$P$21,19),DECKS!$B$2:$B$1201,$A482))</f>
        <v/>
      </c>
      <c r="AD482" s="19" t="str">
        <f aca="false">IF(OR($A482="",INDEX(_LEITURA!$Q$2:$Q$21,20)=0),"",SUMIFS(DECKS!$D$2:$D$1201,DECKS!$A$2:$A$1201,INDEX(_LEITURA!$P$2:$P$21,20),DECKS!$B$2:$B$1201,$A482))</f>
        <v/>
      </c>
      <c r="AE482" s="16" t="str">
        <f aca="false">IF(N(E482)&gt;0,MAX(AE$1:AE481)+1,"")</f>
        <v/>
      </c>
      <c r="AF482" s="11" t="str">
        <f aca="false">IF(A482="","",IFERROR(LEFT(A482,FIND("-",A482)-1),A482))</f>
        <v/>
      </c>
      <c r="AG482" s="11" t="str">
        <f aca="false">IF(AF482="","",IF(ISNUMBER(--MID(AF482,1,1)),0,IF(ISNUMBER(--MID(AF482,2,1)),1,IF(ISNUMBER(--MID(AF482,3,1)),2,IF(ISNUMBER(--MID(AF482,4,1)),3,MIN(LEN(AF482),4))))))</f>
        <v/>
      </c>
      <c r="AH482" s="11" t="str">
        <f aca="false">IF(A482="","",LEFT(AF482,AG482)&amp;REPT("0",4-AG482)&amp;RIGHT("000"&amp;IFERROR(VALUE(MID(AF482,AG482+1,9)),0),3)&amp;RIGHT("0000"&amp;IFERROR(VALUE(MID(A482,FIND("-",A482)+1,9)),0),4))</f>
        <v/>
      </c>
      <c r="AI482" s="11" t="str">
        <f aca="false">IF(OR(A482="",N(E482)&lt;=0),"",IF('FALTAS GERAL'!$M$1="Código","K"&amp;AH482&amp;RIGHT("00000"&amp;ROW(),5),IF('FALTAS GERAL'!$M$1="Nome","K"&amp;UPPER(SUBSTITUTE(SUBSTITUTE(SUBSTITUTE(B482,"*",""),"?",""),"~",""))&amp;"0"&amp;AH482&amp;RIGHT("00000"&amp;ROW(),5),IF('FALTAS GERAL'!$M$1="Falta (maior primeiro)","K"&amp;RIGHT("0000"&amp;(9999-E482),4)&amp;AH482&amp;RIGHT("00000"&amp;ROW(),5),IF('FALTAS GERAL'!$M$1="Nº de decks (maior primeiro)","K"&amp;RIGHT("00"&amp;(99-N(G482)),2)&amp;AH482&amp;RIGHT("00000"&amp;ROW(),5),"K"&amp;RIGHT("00000"&amp;ROW(),5))))))</f>
        <v/>
      </c>
      <c r="AJ482" s="11" t="str">
        <f aca="false">IF(AI482="","",COUNTIFS($AI$2:$AI$801,"&lt;"&amp;AI482,$E$2:$E$801,"&gt;0")+1)</f>
        <v/>
      </c>
      <c r="AK482" s="11" t="str">
        <f aca="false">IF(OR(A482="",N(E482)&lt;=0),"",COUNTIFS($AH$2:$AH$801,"&lt;"&amp;AH482,$E$2:$E$801,"&gt;0")+COUNTIFS($AH$2:AH482,AH482,$E$2:E482,"&gt;0"))</f>
        <v/>
      </c>
    </row>
    <row r="483" customFormat="false" ht="15" hidden="false" customHeight="false" outlineLevel="0" collapsed="false">
      <c r="A483" s="11" t="str">
        <f aca="false">IF(INVENTÁRIO!A483="","",INVENTÁRIO!A483)</f>
        <v/>
      </c>
      <c r="B483" s="11" t="str">
        <f aca="false">IF(A483="","",INVENTÁRIO!B483)</f>
        <v/>
      </c>
      <c r="C483" s="16" t="str">
        <f aca="false">IF(A483="","",INVENTÁRIO!C483)</f>
        <v/>
      </c>
      <c r="D483" s="14" t="str">
        <f aca="false">IF(A483="","",MAX(K483:AD483))</f>
        <v/>
      </c>
      <c r="E483" s="14" t="str">
        <f aca="false">IF(A483="","",MAX(0,D483-C483))</f>
        <v/>
      </c>
      <c r="F483" s="16" t="str">
        <f aca="false">IF(A483="","",IF(D483=0,"Fora dos decks",IF(E483=0,"Completo","Falta")))</f>
        <v/>
      </c>
      <c r="G483" s="16" t="str">
        <f aca="false">IF(A483="","",COUNTIF(K483:AD483,"&gt;0"))</f>
        <v/>
      </c>
      <c r="H483" s="16" t="str">
        <f aca="false">IF(A483="","",IF(G483&gt;1,"Sim",""))</f>
        <v/>
      </c>
      <c r="I483" s="18" t="str">
        <f aca="false">IF(A483="","",SUMIFS(DECKS!$D$2:$D$1201,DECKS!$B$2:$B$1201,A483))</f>
        <v/>
      </c>
      <c r="J483" s="18" t="str">
        <f aca="false">IF(A483="","",MAX(0,I483-C483))</f>
        <v/>
      </c>
      <c r="K483" s="19" t="str">
        <f aca="false">IF(OR($A483="",INDEX(_LEITURA!$Q$2:$Q$21,1)=0),"",SUMIFS(DECKS!$D$2:$D$1201,DECKS!$A$2:$A$1201,INDEX(_LEITURA!$P$2:$P$21,1),DECKS!$B$2:$B$1201,$A483))</f>
        <v/>
      </c>
      <c r="L483" s="19" t="str">
        <f aca="false">IF(OR($A483="",INDEX(_LEITURA!$Q$2:$Q$21,2)=0),"",SUMIFS(DECKS!$D$2:$D$1201,DECKS!$A$2:$A$1201,INDEX(_LEITURA!$P$2:$P$21,2),DECKS!$B$2:$B$1201,$A483))</f>
        <v/>
      </c>
      <c r="M483" s="19" t="str">
        <f aca="false">IF(OR($A483="",INDEX(_LEITURA!$Q$2:$Q$21,3)=0),"",SUMIFS(DECKS!$D$2:$D$1201,DECKS!$A$2:$A$1201,INDEX(_LEITURA!$P$2:$P$21,3),DECKS!$B$2:$B$1201,$A483))</f>
        <v/>
      </c>
      <c r="N483" s="19" t="str">
        <f aca="false">IF(OR($A483="",INDEX(_LEITURA!$Q$2:$Q$21,4)=0),"",SUMIFS(DECKS!$D$2:$D$1201,DECKS!$A$2:$A$1201,INDEX(_LEITURA!$P$2:$P$21,4),DECKS!$B$2:$B$1201,$A483))</f>
        <v/>
      </c>
      <c r="O483" s="19" t="str">
        <f aca="false">IF(OR($A483="",INDEX(_LEITURA!$Q$2:$Q$21,5)=0),"",SUMIFS(DECKS!$D$2:$D$1201,DECKS!$A$2:$A$1201,INDEX(_LEITURA!$P$2:$P$21,5),DECKS!$B$2:$B$1201,$A483))</f>
        <v/>
      </c>
      <c r="P483" s="19" t="str">
        <f aca="false">IF(OR($A483="",INDEX(_LEITURA!$Q$2:$Q$21,6)=0),"",SUMIFS(DECKS!$D$2:$D$1201,DECKS!$A$2:$A$1201,INDEX(_LEITURA!$P$2:$P$21,6),DECKS!$B$2:$B$1201,$A483))</f>
        <v/>
      </c>
      <c r="Q483" s="19" t="str">
        <f aca="false">IF(OR($A483="",INDEX(_LEITURA!$Q$2:$Q$21,7)=0),"",SUMIFS(DECKS!$D$2:$D$1201,DECKS!$A$2:$A$1201,INDEX(_LEITURA!$P$2:$P$21,7),DECKS!$B$2:$B$1201,$A483))</f>
        <v/>
      </c>
      <c r="R483" s="19" t="str">
        <f aca="false">IF(OR($A483="",INDEX(_LEITURA!$Q$2:$Q$21,8)=0),"",SUMIFS(DECKS!$D$2:$D$1201,DECKS!$A$2:$A$1201,INDEX(_LEITURA!$P$2:$P$21,8),DECKS!$B$2:$B$1201,$A483))</f>
        <v/>
      </c>
      <c r="S483" s="19" t="str">
        <f aca="false">IF(OR($A483="",INDEX(_LEITURA!$Q$2:$Q$21,9)=0),"",SUMIFS(DECKS!$D$2:$D$1201,DECKS!$A$2:$A$1201,INDEX(_LEITURA!$P$2:$P$21,9),DECKS!$B$2:$B$1201,$A483))</f>
        <v/>
      </c>
      <c r="T483" s="19" t="str">
        <f aca="false">IF(OR($A483="",INDEX(_LEITURA!$Q$2:$Q$21,10)=0),"",SUMIFS(DECKS!$D$2:$D$1201,DECKS!$A$2:$A$1201,INDEX(_LEITURA!$P$2:$P$21,10),DECKS!$B$2:$B$1201,$A483))</f>
        <v/>
      </c>
      <c r="U483" s="19" t="str">
        <f aca="false">IF(OR($A483="",INDEX(_LEITURA!$Q$2:$Q$21,11)=0),"",SUMIFS(DECKS!$D$2:$D$1201,DECKS!$A$2:$A$1201,INDEX(_LEITURA!$P$2:$P$21,11),DECKS!$B$2:$B$1201,$A483))</f>
        <v/>
      </c>
      <c r="V483" s="19" t="str">
        <f aca="false">IF(OR($A483="",INDEX(_LEITURA!$Q$2:$Q$21,12)=0),"",SUMIFS(DECKS!$D$2:$D$1201,DECKS!$A$2:$A$1201,INDEX(_LEITURA!$P$2:$P$21,12),DECKS!$B$2:$B$1201,$A483))</f>
        <v/>
      </c>
      <c r="W483" s="19" t="str">
        <f aca="false">IF(OR($A483="",INDEX(_LEITURA!$Q$2:$Q$21,13)=0),"",SUMIFS(DECKS!$D$2:$D$1201,DECKS!$A$2:$A$1201,INDEX(_LEITURA!$P$2:$P$21,13),DECKS!$B$2:$B$1201,$A483))</f>
        <v/>
      </c>
      <c r="X483" s="19" t="str">
        <f aca="false">IF(OR($A483="",INDEX(_LEITURA!$Q$2:$Q$21,14)=0),"",SUMIFS(DECKS!$D$2:$D$1201,DECKS!$A$2:$A$1201,INDEX(_LEITURA!$P$2:$P$21,14),DECKS!$B$2:$B$1201,$A483))</f>
        <v/>
      </c>
      <c r="Y483" s="19" t="str">
        <f aca="false">IF(OR($A483="",INDEX(_LEITURA!$Q$2:$Q$21,15)=0),"",SUMIFS(DECKS!$D$2:$D$1201,DECKS!$A$2:$A$1201,INDEX(_LEITURA!$P$2:$P$21,15),DECKS!$B$2:$B$1201,$A483))</f>
        <v/>
      </c>
      <c r="Z483" s="19" t="str">
        <f aca="false">IF(OR($A483="",INDEX(_LEITURA!$Q$2:$Q$21,16)=0),"",SUMIFS(DECKS!$D$2:$D$1201,DECKS!$A$2:$A$1201,INDEX(_LEITURA!$P$2:$P$21,16),DECKS!$B$2:$B$1201,$A483))</f>
        <v/>
      </c>
      <c r="AA483" s="19" t="str">
        <f aca="false">IF(OR($A483="",INDEX(_LEITURA!$Q$2:$Q$21,17)=0),"",SUMIFS(DECKS!$D$2:$D$1201,DECKS!$A$2:$A$1201,INDEX(_LEITURA!$P$2:$P$21,17),DECKS!$B$2:$B$1201,$A483))</f>
        <v/>
      </c>
      <c r="AB483" s="19" t="str">
        <f aca="false">IF(OR($A483="",INDEX(_LEITURA!$Q$2:$Q$21,18)=0),"",SUMIFS(DECKS!$D$2:$D$1201,DECKS!$A$2:$A$1201,INDEX(_LEITURA!$P$2:$P$21,18),DECKS!$B$2:$B$1201,$A483))</f>
        <v/>
      </c>
      <c r="AC483" s="19" t="str">
        <f aca="false">IF(OR($A483="",INDEX(_LEITURA!$Q$2:$Q$21,19)=0),"",SUMIFS(DECKS!$D$2:$D$1201,DECKS!$A$2:$A$1201,INDEX(_LEITURA!$P$2:$P$21,19),DECKS!$B$2:$B$1201,$A483))</f>
        <v/>
      </c>
      <c r="AD483" s="19" t="str">
        <f aca="false">IF(OR($A483="",INDEX(_LEITURA!$Q$2:$Q$21,20)=0),"",SUMIFS(DECKS!$D$2:$D$1201,DECKS!$A$2:$A$1201,INDEX(_LEITURA!$P$2:$P$21,20),DECKS!$B$2:$B$1201,$A483))</f>
        <v/>
      </c>
      <c r="AE483" s="16" t="str">
        <f aca="false">IF(N(E483)&gt;0,MAX(AE$1:AE482)+1,"")</f>
        <v/>
      </c>
      <c r="AF483" s="11" t="str">
        <f aca="false">IF(A483="","",IFERROR(LEFT(A483,FIND("-",A483)-1),A483))</f>
        <v/>
      </c>
      <c r="AG483" s="11" t="str">
        <f aca="false">IF(AF483="","",IF(ISNUMBER(--MID(AF483,1,1)),0,IF(ISNUMBER(--MID(AF483,2,1)),1,IF(ISNUMBER(--MID(AF483,3,1)),2,IF(ISNUMBER(--MID(AF483,4,1)),3,MIN(LEN(AF483),4))))))</f>
        <v/>
      </c>
      <c r="AH483" s="11" t="str">
        <f aca="false">IF(A483="","",LEFT(AF483,AG483)&amp;REPT("0",4-AG483)&amp;RIGHT("000"&amp;IFERROR(VALUE(MID(AF483,AG483+1,9)),0),3)&amp;RIGHT("0000"&amp;IFERROR(VALUE(MID(A483,FIND("-",A483)+1,9)),0),4))</f>
        <v/>
      </c>
      <c r="AI483" s="11" t="str">
        <f aca="false">IF(OR(A483="",N(E483)&lt;=0),"",IF('FALTAS GERAL'!$M$1="Código","K"&amp;AH483&amp;RIGHT("00000"&amp;ROW(),5),IF('FALTAS GERAL'!$M$1="Nome","K"&amp;UPPER(SUBSTITUTE(SUBSTITUTE(SUBSTITUTE(B483,"*",""),"?",""),"~",""))&amp;"0"&amp;AH483&amp;RIGHT("00000"&amp;ROW(),5),IF('FALTAS GERAL'!$M$1="Falta (maior primeiro)","K"&amp;RIGHT("0000"&amp;(9999-E483),4)&amp;AH483&amp;RIGHT("00000"&amp;ROW(),5),IF('FALTAS GERAL'!$M$1="Nº de decks (maior primeiro)","K"&amp;RIGHT("00"&amp;(99-N(G483)),2)&amp;AH483&amp;RIGHT("00000"&amp;ROW(),5),"K"&amp;RIGHT("00000"&amp;ROW(),5))))))</f>
        <v/>
      </c>
      <c r="AJ483" s="11" t="str">
        <f aca="false">IF(AI483="","",COUNTIFS($AI$2:$AI$801,"&lt;"&amp;AI483,$E$2:$E$801,"&gt;0")+1)</f>
        <v/>
      </c>
      <c r="AK483" s="11" t="str">
        <f aca="false">IF(OR(A483="",N(E483)&lt;=0),"",COUNTIFS($AH$2:$AH$801,"&lt;"&amp;AH483,$E$2:$E$801,"&gt;0")+COUNTIFS($AH$2:AH483,AH483,$E$2:E483,"&gt;0"))</f>
        <v/>
      </c>
    </row>
    <row r="484" customFormat="false" ht="15" hidden="false" customHeight="false" outlineLevel="0" collapsed="false">
      <c r="A484" s="11" t="str">
        <f aca="false">IF(INVENTÁRIO!A484="","",INVENTÁRIO!A484)</f>
        <v/>
      </c>
      <c r="B484" s="11" t="str">
        <f aca="false">IF(A484="","",INVENTÁRIO!B484)</f>
        <v/>
      </c>
      <c r="C484" s="16" t="str">
        <f aca="false">IF(A484="","",INVENTÁRIO!C484)</f>
        <v/>
      </c>
      <c r="D484" s="14" t="str">
        <f aca="false">IF(A484="","",MAX(K484:AD484))</f>
        <v/>
      </c>
      <c r="E484" s="14" t="str">
        <f aca="false">IF(A484="","",MAX(0,D484-C484))</f>
        <v/>
      </c>
      <c r="F484" s="16" t="str">
        <f aca="false">IF(A484="","",IF(D484=0,"Fora dos decks",IF(E484=0,"Completo","Falta")))</f>
        <v/>
      </c>
      <c r="G484" s="16" t="str">
        <f aca="false">IF(A484="","",COUNTIF(K484:AD484,"&gt;0"))</f>
        <v/>
      </c>
      <c r="H484" s="16" t="str">
        <f aca="false">IF(A484="","",IF(G484&gt;1,"Sim",""))</f>
        <v/>
      </c>
      <c r="I484" s="18" t="str">
        <f aca="false">IF(A484="","",SUMIFS(DECKS!$D$2:$D$1201,DECKS!$B$2:$B$1201,A484))</f>
        <v/>
      </c>
      <c r="J484" s="18" t="str">
        <f aca="false">IF(A484="","",MAX(0,I484-C484))</f>
        <v/>
      </c>
      <c r="K484" s="19" t="str">
        <f aca="false">IF(OR($A484="",INDEX(_LEITURA!$Q$2:$Q$21,1)=0),"",SUMIFS(DECKS!$D$2:$D$1201,DECKS!$A$2:$A$1201,INDEX(_LEITURA!$P$2:$P$21,1),DECKS!$B$2:$B$1201,$A484))</f>
        <v/>
      </c>
      <c r="L484" s="19" t="str">
        <f aca="false">IF(OR($A484="",INDEX(_LEITURA!$Q$2:$Q$21,2)=0),"",SUMIFS(DECKS!$D$2:$D$1201,DECKS!$A$2:$A$1201,INDEX(_LEITURA!$P$2:$P$21,2),DECKS!$B$2:$B$1201,$A484))</f>
        <v/>
      </c>
      <c r="M484" s="19" t="str">
        <f aca="false">IF(OR($A484="",INDEX(_LEITURA!$Q$2:$Q$21,3)=0),"",SUMIFS(DECKS!$D$2:$D$1201,DECKS!$A$2:$A$1201,INDEX(_LEITURA!$P$2:$P$21,3),DECKS!$B$2:$B$1201,$A484))</f>
        <v/>
      </c>
      <c r="N484" s="19" t="str">
        <f aca="false">IF(OR($A484="",INDEX(_LEITURA!$Q$2:$Q$21,4)=0),"",SUMIFS(DECKS!$D$2:$D$1201,DECKS!$A$2:$A$1201,INDEX(_LEITURA!$P$2:$P$21,4),DECKS!$B$2:$B$1201,$A484))</f>
        <v/>
      </c>
      <c r="O484" s="19" t="str">
        <f aca="false">IF(OR($A484="",INDEX(_LEITURA!$Q$2:$Q$21,5)=0),"",SUMIFS(DECKS!$D$2:$D$1201,DECKS!$A$2:$A$1201,INDEX(_LEITURA!$P$2:$P$21,5),DECKS!$B$2:$B$1201,$A484))</f>
        <v/>
      </c>
      <c r="P484" s="19" t="str">
        <f aca="false">IF(OR($A484="",INDEX(_LEITURA!$Q$2:$Q$21,6)=0),"",SUMIFS(DECKS!$D$2:$D$1201,DECKS!$A$2:$A$1201,INDEX(_LEITURA!$P$2:$P$21,6),DECKS!$B$2:$B$1201,$A484))</f>
        <v/>
      </c>
      <c r="Q484" s="19" t="str">
        <f aca="false">IF(OR($A484="",INDEX(_LEITURA!$Q$2:$Q$21,7)=0),"",SUMIFS(DECKS!$D$2:$D$1201,DECKS!$A$2:$A$1201,INDEX(_LEITURA!$P$2:$P$21,7),DECKS!$B$2:$B$1201,$A484))</f>
        <v/>
      </c>
      <c r="R484" s="19" t="str">
        <f aca="false">IF(OR($A484="",INDEX(_LEITURA!$Q$2:$Q$21,8)=0),"",SUMIFS(DECKS!$D$2:$D$1201,DECKS!$A$2:$A$1201,INDEX(_LEITURA!$P$2:$P$21,8),DECKS!$B$2:$B$1201,$A484))</f>
        <v/>
      </c>
      <c r="S484" s="19" t="str">
        <f aca="false">IF(OR($A484="",INDEX(_LEITURA!$Q$2:$Q$21,9)=0),"",SUMIFS(DECKS!$D$2:$D$1201,DECKS!$A$2:$A$1201,INDEX(_LEITURA!$P$2:$P$21,9),DECKS!$B$2:$B$1201,$A484))</f>
        <v/>
      </c>
      <c r="T484" s="19" t="str">
        <f aca="false">IF(OR($A484="",INDEX(_LEITURA!$Q$2:$Q$21,10)=0),"",SUMIFS(DECKS!$D$2:$D$1201,DECKS!$A$2:$A$1201,INDEX(_LEITURA!$P$2:$P$21,10),DECKS!$B$2:$B$1201,$A484))</f>
        <v/>
      </c>
      <c r="U484" s="19" t="str">
        <f aca="false">IF(OR($A484="",INDEX(_LEITURA!$Q$2:$Q$21,11)=0),"",SUMIFS(DECKS!$D$2:$D$1201,DECKS!$A$2:$A$1201,INDEX(_LEITURA!$P$2:$P$21,11),DECKS!$B$2:$B$1201,$A484))</f>
        <v/>
      </c>
      <c r="V484" s="19" t="str">
        <f aca="false">IF(OR($A484="",INDEX(_LEITURA!$Q$2:$Q$21,12)=0),"",SUMIFS(DECKS!$D$2:$D$1201,DECKS!$A$2:$A$1201,INDEX(_LEITURA!$P$2:$P$21,12),DECKS!$B$2:$B$1201,$A484))</f>
        <v/>
      </c>
      <c r="W484" s="19" t="str">
        <f aca="false">IF(OR($A484="",INDEX(_LEITURA!$Q$2:$Q$21,13)=0),"",SUMIFS(DECKS!$D$2:$D$1201,DECKS!$A$2:$A$1201,INDEX(_LEITURA!$P$2:$P$21,13),DECKS!$B$2:$B$1201,$A484))</f>
        <v/>
      </c>
      <c r="X484" s="19" t="str">
        <f aca="false">IF(OR($A484="",INDEX(_LEITURA!$Q$2:$Q$21,14)=0),"",SUMIFS(DECKS!$D$2:$D$1201,DECKS!$A$2:$A$1201,INDEX(_LEITURA!$P$2:$P$21,14),DECKS!$B$2:$B$1201,$A484))</f>
        <v/>
      </c>
      <c r="Y484" s="19" t="str">
        <f aca="false">IF(OR($A484="",INDEX(_LEITURA!$Q$2:$Q$21,15)=0),"",SUMIFS(DECKS!$D$2:$D$1201,DECKS!$A$2:$A$1201,INDEX(_LEITURA!$P$2:$P$21,15),DECKS!$B$2:$B$1201,$A484))</f>
        <v/>
      </c>
      <c r="Z484" s="19" t="str">
        <f aca="false">IF(OR($A484="",INDEX(_LEITURA!$Q$2:$Q$21,16)=0),"",SUMIFS(DECKS!$D$2:$D$1201,DECKS!$A$2:$A$1201,INDEX(_LEITURA!$P$2:$P$21,16),DECKS!$B$2:$B$1201,$A484))</f>
        <v/>
      </c>
      <c r="AA484" s="19" t="str">
        <f aca="false">IF(OR($A484="",INDEX(_LEITURA!$Q$2:$Q$21,17)=0),"",SUMIFS(DECKS!$D$2:$D$1201,DECKS!$A$2:$A$1201,INDEX(_LEITURA!$P$2:$P$21,17),DECKS!$B$2:$B$1201,$A484))</f>
        <v/>
      </c>
      <c r="AB484" s="19" t="str">
        <f aca="false">IF(OR($A484="",INDEX(_LEITURA!$Q$2:$Q$21,18)=0),"",SUMIFS(DECKS!$D$2:$D$1201,DECKS!$A$2:$A$1201,INDEX(_LEITURA!$P$2:$P$21,18),DECKS!$B$2:$B$1201,$A484))</f>
        <v/>
      </c>
      <c r="AC484" s="19" t="str">
        <f aca="false">IF(OR($A484="",INDEX(_LEITURA!$Q$2:$Q$21,19)=0),"",SUMIFS(DECKS!$D$2:$D$1201,DECKS!$A$2:$A$1201,INDEX(_LEITURA!$P$2:$P$21,19),DECKS!$B$2:$B$1201,$A484))</f>
        <v/>
      </c>
      <c r="AD484" s="19" t="str">
        <f aca="false">IF(OR($A484="",INDEX(_LEITURA!$Q$2:$Q$21,20)=0),"",SUMIFS(DECKS!$D$2:$D$1201,DECKS!$A$2:$A$1201,INDEX(_LEITURA!$P$2:$P$21,20),DECKS!$B$2:$B$1201,$A484))</f>
        <v/>
      </c>
      <c r="AE484" s="16" t="str">
        <f aca="false">IF(N(E484)&gt;0,MAX(AE$1:AE483)+1,"")</f>
        <v/>
      </c>
      <c r="AF484" s="11" t="str">
        <f aca="false">IF(A484="","",IFERROR(LEFT(A484,FIND("-",A484)-1),A484))</f>
        <v/>
      </c>
      <c r="AG484" s="11" t="str">
        <f aca="false">IF(AF484="","",IF(ISNUMBER(--MID(AF484,1,1)),0,IF(ISNUMBER(--MID(AF484,2,1)),1,IF(ISNUMBER(--MID(AF484,3,1)),2,IF(ISNUMBER(--MID(AF484,4,1)),3,MIN(LEN(AF484),4))))))</f>
        <v/>
      </c>
      <c r="AH484" s="11" t="str">
        <f aca="false">IF(A484="","",LEFT(AF484,AG484)&amp;REPT("0",4-AG484)&amp;RIGHT("000"&amp;IFERROR(VALUE(MID(AF484,AG484+1,9)),0),3)&amp;RIGHT("0000"&amp;IFERROR(VALUE(MID(A484,FIND("-",A484)+1,9)),0),4))</f>
        <v/>
      </c>
      <c r="AI484" s="11" t="str">
        <f aca="false">IF(OR(A484="",N(E484)&lt;=0),"",IF('FALTAS GERAL'!$M$1="Código","K"&amp;AH484&amp;RIGHT("00000"&amp;ROW(),5),IF('FALTAS GERAL'!$M$1="Nome","K"&amp;UPPER(SUBSTITUTE(SUBSTITUTE(SUBSTITUTE(B484,"*",""),"?",""),"~",""))&amp;"0"&amp;AH484&amp;RIGHT("00000"&amp;ROW(),5),IF('FALTAS GERAL'!$M$1="Falta (maior primeiro)","K"&amp;RIGHT("0000"&amp;(9999-E484),4)&amp;AH484&amp;RIGHT("00000"&amp;ROW(),5),IF('FALTAS GERAL'!$M$1="Nº de decks (maior primeiro)","K"&amp;RIGHT("00"&amp;(99-N(G484)),2)&amp;AH484&amp;RIGHT("00000"&amp;ROW(),5),"K"&amp;RIGHT("00000"&amp;ROW(),5))))))</f>
        <v/>
      </c>
      <c r="AJ484" s="11" t="str">
        <f aca="false">IF(AI484="","",COUNTIFS($AI$2:$AI$801,"&lt;"&amp;AI484,$E$2:$E$801,"&gt;0")+1)</f>
        <v/>
      </c>
      <c r="AK484" s="11" t="str">
        <f aca="false">IF(OR(A484="",N(E484)&lt;=0),"",COUNTIFS($AH$2:$AH$801,"&lt;"&amp;AH484,$E$2:$E$801,"&gt;0")+COUNTIFS($AH$2:AH484,AH484,$E$2:E484,"&gt;0"))</f>
        <v/>
      </c>
    </row>
    <row r="485" customFormat="false" ht="15" hidden="false" customHeight="false" outlineLevel="0" collapsed="false">
      <c r="A485" s="11" t="str">
        <f aca="false">IF(INVENTÁRIO!A485="","",INVENTÁRIO!A485)</f>
        <v/>
      </c>
      <c r="B485" s="11" t="str">
        <f aca="false">IF(A485="","",INVENTÁRIO!B485)</f>
        <v/>
      </c>
      <c r="C485" s="16" t="str">
        <f aca="false">IF(A485="","",INVENTÁRIO!C485)</f>
        <v/>
      </c>
      <c r="D485" s="14" t="str">
        <f aca="false">IF(A485="","",MAX(K485:AD485))</f>
        <v/>
      </c>
      <c r="E485" s="14" t="str">
        <f aca="false">IF(A485="","",MAX(0,D485-C485))</f>
        <v/>
      </c>
      <c r="F485" s="16" t="str">
        <f aca="false">IF(A485="","",IF(D485=0,"Fora dos decks",IF(E485=0,"Completo","Falta")))</f>
        <v/>
      </c>
      <c r="G485" s="16" t="str">
        <f aca="false">IF(A485="","",COUNTIF(K485:AD485,"&gt;0"))</f>
        <v/>
      </c>
      <c r="H485" s="16" t="str">
        <f aca="false">IF(A485="","",IF(G485&gt;1,"Sim",""))</f>
        <v/>
      </c>
      <c r="I485" s="18" t="str">
        <f aca="false">IF(A485="","",SUMIFS(DECKS!$D$2:$D$1201,DECKS!$B$2:$B$1201,A485))</f>
        <v/>
      </c>
      <c r="J485" s="18" t="str">
        <f aca="false">IF(A485="","",MAX(0,I485-C485))</f>
        <v/>
      </c>
      <c r="K485" s="19" t="str">
        <f aca="false">IF(OR($A485="",INDEX(_LEITURA!$Q$2:$Q$21,1)=0),"",SUMIFS(DECKS!$D$2:$D$1201,DECKS!$A$2:$A$1201,INDEX(_LEITURA!$P$2:$P$21,1),DECKS!$B$2:$B$1201,$A485))</f>
        <v/>
      </c>
      <c r="L485" s="19" t="str">
        <f aca="false">IF(OR($A485="",INDEX(_LEITURA!$Q$2:$Q$21,2)=0),"",SUMIFS(DECKS!$D$2:$D$1201,DECKS!$A$2:$A$1201,INDEX(_LEITURA!$P$2:$P$21,2),DECKS!$B$2:$B$1201,$A485))</f>
        <v/>
      </c>
      <c r="M485" s="19" t="str">
        <f aca="false">IF(OR($A485="",INDEX(_LEITURA!$Q$2:$Q$21,3)=0),"",SUMIFS(DECKS!$D$2:$D$1201,DECKS!$A$2:$A$1201,INDEX(_LEITURA!$P$2:$P$21,3),DECKS!$B$2:$B$1201,$A485))</f>
        <v/>
      </c>
      <c r="N485" s="19" t="str">
        <f aca="false">IF(OR($A485="",INDEX(_LEITURA!$Q$2:$Q$21,4)=0),"",SUMIFS(DECKS!$D$2:$D$1201,DECKS!$A$2:$A$1201,INDEX(_LEITURA!$P$2:$P$21,4),DECKS!$B$2:$B$1201,$A485))</f>
        <v/>
      </c>
      <c r="O485" s="19" t="str">
        <f aca="false">IF(OR($A485="",INDEX(_LEITURA!$Q$2:$Q$21,5)=0),"",SUMIFS(DECKS!$D$2:$D$1201,DECKS!$A$2:$A$1201,INDEX(_LEITURA!$P$2:$P$21,5),DECKS!$B$2:$B$1201,$A485))</f>
        <v/>
      </c>
      <c r="P485" s="19" t="str">
        <f aca="false">IF(OR($A485="",INDEX(_LEITURA!$Q$2:$Q$21,6)=0),"",SUMIFS(DECKS!$D$2:$D$1201,DECKS!$A$2:$A$1201,INDEX(_LEITURA!$P$2:$P$21,6),DECKS!$B$2:$B$1201,$A485))</f>
        <v/>
      </c>
      <c r="Q485" s="19" t="str">
        <f aca="false">IF(OR($A485="",INDEX(_LEITURA!$Q$2:$Q$21,7)=0),"",SUMIFS(DECKS!$D$2:$D$1201,DECKS!$A$2:$A$1201,INDEX(_LEITURA!$P$2:$P$21,7),DECKS!$B$2:$B$1201,$A485))</f>
        <v/>
      </c>
      <c r="R485" s="19" t="str">
        <f aca="false">IF(OR($A485="",INDEX(_LEITURA!$Q$2:$Q$21,8)=0),"",SUMIFS(DECKS!$D$2:$D$1201,DECKS!$A$2:$A$1201,INDEX(_LEITURA!$P$2:$P$21,8),DECKS!$B$2:$B$1201,$A485))</f>
        <v/>
      </c>
      <c r="S485" s="19" t="str">
        <f aca="false">IF(OR($A485="",INDEX(_LEITURA!$Q$2:$Q$21,9)=0),"",SUMIFS(DECKS!$D$2:$D$1201,DECKS!$A$2:$A$1201,INDEX(_LEITURA!$P$2:$P$21,9),DECKS!$B$2:$B$1201,$A485))</f>
        <v/>
      </c>
      <c r="T485" s="19" t="str">
        <f aca="false">IF(OR($A485="",INDEX(_LEITURA!$Q$2:$Q$21,10)=0),"",SUMIFS(DECKS!$D$2:$D$1201,DECKS!$A$2:$A$1201,INDEX(_LEITURA!$P$2:$P$21,10),DECKS!$B$2:$B$1201,$A485))</f>
        <v/>
      </c>
      <c r="U485" s="19" t="str">
        <f aca="false">IF(OR($A485="",INDEX(_LEITURA!$Q$2:$Q$21,11)=0),"",SUMIFS(DECKS!$D$2:$D$1201,DECKS!$A$2:$A$1201,INDEX(_LEITURA!$P$2:$P$21,11),DECKS!$B$2:$B$1201,$A485))</f>
        <v/>
      </c>
      <c r="V485" s="19" t="str">
        <f aca="false">IF(OR($A485="",INDEX(_LEITURA!$Q$2:$Q$21,12)=0),"",SUMIFS(DECKS!$D$2:$D$1201,DECKS!$A$2:$A$1201,INDEX(_LEITURA!$P$2:$P$21,12),DECKS!$B$2:$B$1201,$A485))</f>
        <v/>
      </c>
      <c r="W485" s="19" t="str">
        <f aca="false">IF(OR($A485="",INDEX(_LEITURA!$Q$2:$Q$21,13)=0),"",SUMIFS(DECKS!$D$2:$D$1201,DECKS!$A$2:$A$1201,INDEX(_LEITURA!$P$2:$P$21,13),DECKS!$B$2:$B$1201,$A485))</f>
        <v/>
      </c>
      <c r="X485" s="19" t="str">
        <f aca="false">IF(OR($A485="",INDEX(_LEITURA!$Q$2:$Q$21,14)=0),"",SUMIFS(DECKS!$D$2:$D$1201,DECKS!$A$2:$A$1201,INDEX(_LEITURA!$P$2:$P$21,14),DECKS!$B$2:$B$1201,$A485))</f>
        <v/>
      </c>
      <c r="Y485" s="19" t="str">
        <f aca="false">IF(OR($A485="",INDEX(_LEITURA!$Q$2:$Q$21,15)=0),"",SUMIFS(DECKS!$D$2:$D$1201,DECKS!$A$2:$A$1201,INDEX(_LEITURA!$P$2:$P$21,15),DECKS!$B$2:$B$1201,$A485))</f>
        <v/>
      </c>
      <c r="Z485" s="19" t="str">
        <f aca="false">IF(OR($A485="",INDEX(_LEITURA!$Q$2:$Q$21,16)=0),"",SUMIFS(DECKS!$D$2:$D$1201,DECKS!$A$2:$A$1201,INDEX(_LEITURA!$P$2:$P$21,16),DECKS!$B$2:$B$1201,$A485))</f>
        <v/>
      </c>
      <c r="AA485" s="19" t="str">
        <f aca="false">IF(OR($A485="",INDEX(_LEITURA!$Q$2:$Q$21,17)=0),"",SUMIFS(DECKS!$D$2:$D$1201,DECKS!$A$2:$A$1201,INDEX(_LEITURA!$P$2:$P$21,17),DECKS!$B$2:$B$1201,$A485))</f>
        <v/>
      </c>
      <c r="AB485" s="19" t="str">
        <f aca="false">IF(OR($A485="",INDEX(_LEITURA!$Q$2:$Q$21,18)=0),"",SUMIFS(DECKS!$D$2:$D$1201,DECKS!$A$2:$A$1201,INDEX(_LEITURA!$P$2:$P$21,18),DECKS!$B$2:$B$1201,$A485))</f>
        <v/>
      </c>
      <c r="AC485" s="19" t="str">
        <f aca="false">IF(OR($A485="",INDEX(_LEITURA!$Q$2:$Q$21,19)=0),"",SUMIFS(DECKS!$D$2:$D$1201,DECKS!$A$2:$A$1201,INDEX(_LEITURA!$P$2:$P$21,19),DECKS!$B$2:$B$1201,$A485))</f>
        <v/>
      </c>
      <c r="AD485" s="19" t="str">
        <f aca="false">IF(OR($A485="",INDEX(_LEITURA!$Q$2:$Q$21,20)=0),"",SUMIFS(DECKS!$D$2:$D$1201,DECKS!$A$2:$A$1201,INDEX(_LEITURA!$P$2:$P$21,20),DECKS!$B$2:$B$1201,$A485))</f>
        <v/>
      </c>
      <c r="AE485" s="16" t="str">
        <f aca="false">IF(N(E485)&gt;0,MAX(AE$1:AE484)+1,"")</f>
        <v/>
      </c>
      <c r="AF485" s="11" t="str">
        <f aca="false">IF(A485="","",IFERROR(LEFT(A485,FIND("-",A485)-1),A485))</f>
        <v/>
      </c>
      <c r="AG485" s="11" t="str">
        <f aca="false">IF(AF485="","",IF(ISNUMBER(--MID(AF485,1,1)),0,IF(ISNUMBER(--MID(AF485,2,1)),1,IF(ISNUMBER(--MID(AF485,3,1)),2,IF(ISNUMBER(--MID(AF485,4,1)),3,MIN(LEN(AF485),4))))))</f>
        <v/>
      </c>
      <c r="AH485" s="11" t="str">
        <f aca="false">IF(A485="","",LEFT(AF485,AG485)&amp;REPT("0",4-AG485)&amp;RIGHT("000"&amp;IFERROR(VALUE(MID(AF485,AG485+1,9)),0),3)&amp;RIGHT("0000"&amp;IFERROR(VALUE(MID(A485,FIND("-",A485)+1,9)),0),4))</f>
        <v/>
      </c>
      <c r="AI485" s="11" t="str">
        <f aca="false">IF(OR(A485="",N(E485)&lt;=0),"",IF('FALTAS GERAL'!$M$1="Código","K"&amp;AH485&amp;RIGHT("00000"&amp;ROW(),5),IF('FALTAS GERAL'!$M$1="Nome","K"&amp;UPPER(SUBSTITUTE(SUBSTITUTE(SUBSTITUTE(B485,"*",""),"?",""),"~",""))&amp;"0"&amp;AH485&amp;RIGHT("00000"&amp;ROW(),5),IF('FALTAS GERAL'!$M$1="Falta (maior primeiro)","K"&amp;RIGHT("0000"&amp;(9999-E485),4)&amp;AH485&amp;RIGHT("00000"&amp;ROW(),5),IF('FALTAS GERAL'!$M$1="Nº de decks (maior primeiro)","K"&amp;RIGHT("00"&amp;(99-N(G485)),2)&amp;AH485&amp;RIGHT("00000"&amp;ROW(),5),"K"&amp;RIGHT("00000"&amp;ROW(),5))))))</f>
        <v/>
      </c>
      <c r="AJ485" s="11" t="str">
        <f aca="false">IF(AI485="","",COUNTIFS($AI$2:$AI$801,"&lt;"&amp;AI485,$E$2:$E$801,"&gt;0")+1)</f>
        <v/>
      </c>
      <c r="AK485" s="11" t="str">
        <f aca="false">IF(OR(A485="",N(E485)&lt;=0),"",COUNTIFS($AH$2:$AH$801,"&lt;"&amp;AH485,$E$2:$E$801,"&gt;0")+COUNTIFS($AH$2:AH485,AH485,$E$2:E485,"&gt;0"))</f>
        <v/>
      </c>
    </row>
    <row r="486" customFormat="false" ht="15" hidden="false" customHeight="false" outlineLevel="0" collapsed="false">
      <c r="A486" s="11" t="str">
        <f aca="false">IF(INVENTÁRIO!A486="","",INVENTÁRIO!A486)</f>
        <v/>
      </c>
      <c r="B486" s="11" t="str">
        <f aca="false">IF(A486="","",INVENTÁRIO!B486)</f>
        <v/>
      </c>
      <c r="C486" s="16" t="str">
        <f aca="false">IF(A486="","",INVENTÁRIO!C486)</f>
        <v/>
      </c>
      <c r="D486" s="14" t="str">
        <f aca="false">IF(A486="","",MAX(K486:AD486))</f>
        <v/>
      </c>
      <c r="E486" s="14" t="str">
        <f aca="false">IF(A486="","",MAX(0,D486-C486))</f>
        <v/>
      </c>
      <c r="F486" s="16" t="str">
        <f aca="false">IF(A486="","",IF(D486=0,"Fora dos decks",IF(E486=0,"Completo","Falta")))</f>
        <v/>
      </c>
      <c r="G486" s="16" t="str">
        <f aca="false">IF(A486="","",COUNTIF(K486:AD486,"&gt;0"))</f>
        <v/>
      </c>
      <c r="H486" s="16" t="str">
        <f aca="false">IF(A486="","",IF(G486&gt;1,"Sim",""))</f>
        <v/>
      </c>
      <c r="I486" s="18" t="str">
        <f aca="false">IF(A486="","",SUMIFS(DECKS!$D$2:$D$1201,DECKS!$B$2:$B$1201,A486))</f>
        <v/>
      </c>
      <c r="J486" s="18" t="str">
        <f aca="false">IF(A486="","",MAX(0,I486-C486))</f>
        <v/>
      </c>
      <c r="K486" s="19" t="str">
        <f aca="false">IF(OR($A486="",INDEX(_LEITURA!$Q$2:$Q$21,1)=0),"",SUMIFS(DECKS!$D$2:$D$1201,DECKS!$A$2:$A$1201,INDEX(_LEITURA!$P$2:$P$21,1),DECKS!$B$2:$B$1201,$A486))</f>
        <v/>
      </c>
      <c r="L486" s="19" t="str">
        <f aca="false">IF(OR($A486="",INDEX(_LEITURA!$Q$2:$Q$21,2)=0),"",SUMIFS(DECKS!$D$2:$D$1201,DECKS!$A$2:$A$1201,INDEX(_LEITURA!$P$2:$P$21,2),DECKS!$B$2:$B$1201,$A486))</f>
        <v/>
      </c>
      <c r="M486" s="19" t="str">
        <f aca="false">IF(OR($A486="",INDEX(_LEITURA!$Q$2:$Q$21,3)=0),"",SUMIFS(DECKS!$D$2:$D$1201,DECKS!$A$2:$A$1201,INDEX(_LEITURA!$P$2:$P$21,3),DECKS!$B$2:$B$1201,$A486))</f>
        <v/>
      </c>
      <c r="N486" s="19" t="str">
        <f aca="false">IF(OR($A486="",INDEX(_LEITURA!$Q$2:$Q$21,4)=0),"",SUMIFS(DECKS!$D$2:$D$1201,DECKS!$A$2:$A$1201,INDEX(_LEITURA!$P$2:$P$21,4),DECKS!$B$2:$B$1201,$A486))</f>
        <v/>
      </c>
      <c r="O486" s="19" t="str">
        <f aca="false">IF(OR($A486="",INDEX(_LEITURA!$Q$2:$Q$21,5)=0),"",SUMIFS(DECKS!$D$2:$D$1201,DECKS!$A$2:$A$1201,INDEX(_LEITURA!$P$2:$P$21,5),DECKS!$B$2:$B$1201,$A486))</f>
        <v/>
      </c>
      <c r="P486" s="19" t="str">
        <f aca="false">IF(OR($A486="",INDEX(_LEITURA!$Q$2:$Q$21,6)=0),"",SUMIFS(DECKS!$D$2:$D$1201,DECKS!$A$2:$A$1201,INDEX(_LEITURA!$P$2:$P$21,6),DECKS!$B$2:$B$1201,$A486))</f>
        <v/>
      </c>
      <c r="Q486" s="19" t="str">
        <f aca="false">IF(OR($A486="",INDEX(_LEITURA!$Q$2:$Q$21,7)=0),"",SUMIFS(DECKS!$D$2:$D$1201,DECKS!$A$2:$A$1201,INDEX(_LEITURA!$P$2:$P$21,7),DECKS!$B$2:$B$1201,$A486))</f>
        <v/>
      </c>
      <c r="R486" s="19" t="str">
        <f aca="false">IF(OR($A486="",INDEX(_LEITURA!$Q$2:$Q$21,8)=0),"",SUMIFS(DECKS!$D$2:$D$1201,DECKS!$A$2:$A$1201,INDEX(_LEITURA!$P$2:$P$21,8),DECKS!$B$2:$B$1201,$A486))</f>
        <v/>
      </c>
      <c r="S486" s="19" t="str">
        <f aca="false">IF(OR($A486="",INDEX(_LEITURA!$Q$2:$Q$21,9)=0),"",SUMIFS(DECKS!$D$2:$D$1201,DECKS!$A$2:$A$1201,INDEX(_LEITURA!$P$2:$P$21,9),DECKS!$B$2:$B$1201,$A486))</f>
        <v/>
      </c>
      <c r="T486" s="19" t="str">
        <f aca="false">IF(OR($A486="",INDEX(_LEITURA!$Q$2:$Q$21,10)=0),"",SUMIFS(DECKS!$D$2:$D$1201,DECKS!$A$2:$A$1201,INDEX(_LEITURA!$P$2:$P$21,10),DECKS!$B$2:$B$1201,$A486))</f>
        <v/>
      </c>
      <c r="U486" s="19" t="str">
        <f aca="false">IF(OR($A486="",INDEX(_LEITURA!$Q$2:$Q$21,11)=0),"",SUMIFS(DECKS!$D$2:$D$1201,DECKS!$A$2:$A$1201,INDEX(_LEITURA!$P$2:$P$21,11),DECKS!$B$2:$B$1201,$A486))</f>
        <v/>
      </c>
      <c r="V486" s="19" t="str">
        <f aca="false">IF(OR($A486="",INDEX(_LEITURA!$Q$2:$Q$21,12)=0),"",SUMIFS(DECKS!$D$2:$D$1201,DECKS!$A$2:$A$1201,INDEX(_LEITURA!$P$2:$P$21,12),DECKS!$B$2:$B$1201,$A486))</f>
        <v/>
      </c>
      <c r="W486" s="19" t="str">
        <f aca="false">IF(OR($A486="",INDEX(_LEITURA!$Q$2:$Q$21,13)=0),"",SUMIFS(DECKS!$D$2:$D$1201,DECKS!$A$2:$A$1201,INDEX(_LEITURA!$P$2:$P$21,13),DECKS!$B$2:$B$1201,$A486))</f>
        <v/>
      </c>
      <c r="X486" s="19" t="str">
        <f aca="false">IF(OR($A486="",INDEX(_LEITURA!$Q$2:$Q$21,14)=0),"",SUMIFS(DECKS!$D$2:$D$1201,DECKS!$A$2:$A$1201,INDEX(_LEITURA!$P$2:$P$21,14),DECKS!$B$2:$B$1201,$A486))</f>
        <v/>
      </c>
      <c r="Y486" s="19" t="str">
        <f aca="false">IF(OR($A486="",INDEX(_LEITURA!$Q$2:$Q$21,15)=0),"",SUMIFS(DECKS!$D$2:$D$1201,DECKS!$A$2:$A$1201,INDEX(_LEITURA!$P$2:$P$21,15),DECKS!$B$2:$B$1201,$A486))</f>
        <v/>
      </c>
      <c r="Z486" s="19" t="str">
        <f aca="false">IF(OR($A486="",INDEX(_LEITURA!$Q$2:$Q$21,16)=0),"",SUMIFS(DECKS!$D$2:$D$1201,DECKS!$A$2:$A$1201,INDEX(_LEITURA!$P$2:$P$21,16),DECKS!$B$2:$B$1201,$A486))</f>
        <v/>
      </c>
      <c r="AA486" s="19" t="str">
        <f aca="false">IF(OR($A486="",INDEX(_LEITURA!$Q$2:$Q$21,17)=0),"",SUMIFS(DECKS!$D$2:$D$1201,DECKS!$A$2:$A$1201,INDEX(_LEITURA!$P$2:$P$21,17),DECKS!$B$2:$B$1201,$A486))</f>
        <v/>
      </c>
      <c r="AB486" s="19" t="str">
        <f aca="false">IF(OR($A486="",INDEX(_LEITURA!$Q$2:$Q$21,18)=0),"",SUMIFS(DECKS!$D$2:$D$1201,DECKS!$A$2:$A$1201,INDEX(_LEITURA!$P$2:$P$21,18),DECKS!$B$2:$B$1201,$A486))</f>
        <v/>
      </c>
      <c r="AC486" s="19" t="str">
        <f aca="false">IF(OR($A486="",INDEX(_LEITURA!$Q$2:$Q$21,19)=0),"",SUMIFS(DECKS!$D$2:$D$1201,DECKS!$A$2:$A$1201,INDEX(_LEITURA!$P$2:$P$21,19),DECKS!$B$2:$B$1201,$A486))</f>
        <v/>
      </c>
      <c r="AD486" s="19" t="str">
        <f aca="false">IF(OR($A486="",INDEX(_LEITURA!$Q$2:$Q$21,20)=0),"",SUMIFS(DECKS!$D$2:$D$1201,DECKS!$A$2:$A$1201,INDEX(_LEITURA!$P$2:$P$21,20),DECKS!$B$2:$B$1201,$A486))</f>
        <v/>
      </c>
      <c r="AE486" s="16" t="str">
        <f aca="false">IF(N(E486)&gt;0,MAX(AE$1:AE485)+1,"")</f>
        <v/>
      </c>
      <c r="AF486" s="11" t="str">
        <f aca="false">IF(A486="","",IFERROR(LEFT(A486,FIND("-",A486)-1),A486))</f>
        <v/>
      </c>
      <c r="AG486" s="11" t="str">
        <f aca="false">IF(AF486="","",IF(ISNUMBER(--MID(AF486,1,1)),0,IF(ISNUMBER(--MID(AF486,2,1)),1,IF(ISNUMBER(--MID(AF486,3,1)),2,IF(ISNUMBER(--MID(AF486,4,1)),3,MIN(LEN(AF486),4))))))</f>
        <v/>
      </c>
      <c r="AH486" s="11" t="str">
        <f aca="false">IF(A486="","",LEFT(AF486,AG486)&amp;REPT("0",4-AG486)&amp;RIGHT("000"&amp;IFERROR(VALUE(MID(AF486,AG486+1,9)),0),3)&amp;RIGHT("0000"&amp;IFERROR(VALUE(MID(A486,FIND("-",A486)+1,9)),0),4))</f>
        <v/>
      </c>
      <c r="AI486" s="11" t="str">
        <f aca="false">IF(OR(A486="",N(E486)&lt;=0),"",IF('FALTAS GERAL'!$M$1="Código","K"&amp;AH486&amp;RIGHT("00000"&amp;ROW(),5),IF('FALTAS GERAL'!$M$1="Nome","K"&amp;UPPER(SUBSTITUTE(SUBSTITUTE(SUBSTITUTE(B486,"*",""),"?",""),"~",""))&amp;"0"&amp;AH486&amp;RIGHT("00000"&amp;ROW(),5),IF('FALTAS GERAL'!$M$1="Falta (maior primeiro)","K"&amp;RIGHT("0000"&amp;(9999-E486),4)&amp;AH486&amp;RIGHT("00000"&amp;ROW(),5),IF('FALTAS GERAL'!$M$1="Nº de decks (maior primeiro)","K"&amp;RIGHT("00"&amp;(99-N(G486)),2)&amp;AH486&amp;RIGHT("00000"&amp;ROW(),5),"K"&amp;RIGHT("00000"&amp;ROW(),5))))))</f>
        <v/>
      </c>
      <c r="AJ486" s="11" t="str">
        <f aca="false">IF(AI486="","",COUNTIFS($AI$2:$AI$801,"&lt;"&amp;AI486,$E$2:$E$801,"&gt;0")+1)</f>
        <v/>
      </c>
      <c r="AK486" s="11" t="str">
        <f aca="false">IF(OR(A486="",N(E486)&lt;=0),"",COUNTIFS($AH$2:$AH$801,"&lt;"&amp;AH486,$E$2:$E$801,"&gt;0")+COUNTIFS($AH$2:AH486,AH486,$E$2:E486,"&gt;0"))</f>
        <v/>
      </c>
    </row>
    <row r="487" customFormat="false" ht="15" hidden="false" customHeight="false" outlineLevel="0" collapsed="false">
      <c r="A487" s="11" t="str">
        <f aca="false">IF(INVENTÁRIO!A487="","",INVENTÁRIO!A487)</f>
        <v/>
      </c>
      <c r="B487" s="11" t="str">
        <f aca="false">IF(A487="","",INVENTÁRIO!B487)</f>
        <v/>
      </c>
      <c r="C487" s="16" t="str">
        <f aca="false">IF(A487="","",INVENTÁRIO!C487)</f>
        <v/>
      </c>
      <c r="D487" s="14" t="str">
        <f aca="false">IF(A487="","",MAX(K487:AD487))</f>
        <v/>
      </c>
      <c r="E487" s="14" t="str">
        <f aca="false">IF(A487="","",MAX(0,D487-C487))</f>
        <v/>
      </c>
      <c r="F487" s="16" t="str">
        <f aca="false">IF(A487="","",IF(D487=0,"Fora dos decks",IF(E487=0,"Completo","Falta")))</f>
        <v/>
      </c>
      <c r="G487" s="16" t="str">
        <f aca="false">IF(A487="","",COUNTIF(K487:AD487,"&gt;0"))</f>
        <v/>
      </c>
      <c r="H487" s="16" t="str">
        <f aca="false">IF(A487="","",IF(G487&gt;1,"Sim",""))</f>
        <v/>
      </c>
      <c r="I487" s="18" t="str">
        <f aca="false">IF(A487="","",SUMIFS(DECKS!$D$2:$D$1201,DECKS!$B$2:$B$1201,A487))</f>
        <v/>
      </c>
      <c r="J487" s="18" t="str">
        <f aca="false">IF(A487="","",MAX(0,I487-C487))</f>
        <v/>
      </c>
      <c r="K487" s="19" t="str">
        <f aca="false">IF(OR($A487="",INDEX(_LEITURA!$Q$2:$Q$21,1)=0),"",SUMIFS(DECKS!$D$2:$D$1201,DECKS!$A$2:$A$1201,INDEX(_LEITURA!$P$2:$P$21,1),DECKS!$B$2:$B$1201,$A487))</f>
        <v/>
      </c>
      <c r="L487" s="19" t="str">
        <f aca="false">IF(OR($A487="",INDEX(_LEITURA!$Q$2:$Q$21,2)=0),"",SUMIFS(DECKS!$D$2:$D$1201,DECKS!$A$2:$A$1201,INDEX(_LEITURA!$P$2:$P$21,2),DECKS!$B$2:$B$1201,$A487))</f>
        <v/>
      </c>
      <c r="M487" s="19" t="str">
        <f aca="false">IF(OR($A487="",INDEX(_LEITURA!$Q$2:$Q$21,3)=0),"",SUMIFS(DECKS!$D$2:$D$1201,DECKS!$A$2:$A$1201,INDEX(_LEITURA!$P$2:$P$21,3),DECKS!$B$2:$B$1201,$A487))</f>
        <v/>
      </c>
      <c r="N487" s="19" t="str">
        <f aca="false">IF(OR($A487="",INDEX(_LEITURA!$Q$2:$Q$21,4)=0),"",SUMIFS(DECKS!$D$2:$D$1201,DECKS!$A$2:$A$1201,INDEX(_LEITURA!$P$2:$P$21,4),DECKS!$B$2:$B$1201,$A487))</f>
        <v/>
      </c>
      <c r="O487" s="19" t="str">
        <f aca="false">IF(OR($A487="",INDEX(_LEITURA!$Q$2:$Q$21,5)=0),"",SUMIFS(DECKS!$D$2:$D$1201,DECKS!$A$2:$A$1201,INDEX(_LEITURA!$P$2:$P$21,5),DECKS!$B$2:$B$1201,$A487))</f>
        <v/>
      </c>
      <c r="P487" s="19" t="str">
        <f aca="false">IF(OR($A487="",INDEX(_LEITURA!$Q$2:$Q$21,6)=0),"",SUMIFS(DECKS!$D$2:$D$1201,DECKS!$A$2:$A$1201,INDEX(_LEITURA!$P$2:$P$21,6),DECKS!$B$2:$B$1201,$A487))</f>
        <v/>
      </c>
      <c r="Q487" s="19" t="str">
        <f aca="false">IF(OR($A487="",INDEX(_LEITURA!$Q$2:$Q$21,7)=0),"",SUMIFS(DECKS!$D$2:$D$1201,DECKS!$A$2:$A$1201,INDEX(_LEITURA!$P$2:$P$21,7),DECKS!$B$2:$B$1201,$A487))</f>
        <v/>
      </c>
      <c r="R487" s="19" t="str">
        <f aca="false">IF(OR($A487="",INDEX(_LEITURA!$Q$2:$Q$21,8)=0),"",SUMIFS(DECKS!$D$2:$D$1201,DECKS!$A$2:$A$1201,INDEX(_LEITURA!$P$2:$P$21,8),DECKS!$B$2:$B$1201,$A487))</f>
        <v/>
      </c>
      <c r="S487" s="19" t="str">
        <f aca="false">IF(OR($A487="",INDEX(_LEITURA!$Q$2:$Q$21,9)=0),"",SUMIFS(DECKS!$D$2:$D$1201,DECKS!$A$2:$A$1201,INDEX(_LEITURA!$P$2:$P$21,9),DECKS!$B$2:$B$1201,$A487))</f>
        <v/>
      </c>
      <c r="T487" s="19" t="str">
        <f aca="false">IF(OR($A487="",INDEX(_LEITURA!$Q$2:$Q$21,10)=0),"",SUMIFS(DECKS!$D$2:$D$1201,DECKS!$A$2:$A$1201,INDEX(_LEITURA!$P$2:$P$21,10),DECKS!$B$2:$B$1201,$A487))</f>
        <v/>
      </c>
      <c r="U487" s="19" t="str">
        <f aca="false">IF(OR($A487="",INDEX(_LEITURA!$Q$2:$Q$21,11)=0),"",SUMIFS(DECKS!$D$2:$D$1201,DECKS!$A$2:$A$1201,INDEX(_LEITURA!$P$2:$P$21,11),DECKS!$B$2:$B$1201,$A487))</f>
        <v/>
      </c>
      <c r="V487" s="19" t="str">
        <f aca="false">IF(OR($A487="",INDEX(_LEITURA!$Q$2:$Q$21,12)=0),"",SUMIFS(DECKS!$D$2:$D$1201,DECKS!$A$2:$A$1201,INDEX(_LEITURA!$P$2:$P$21,12),DECKS!$B$2:$B$1201,$A487))</f>
        <v/>
      </c>
      <c r="W487" s="19" t="str">
        <f aca="false">IF(OR($A487="",INDEX(_LEITURA!$Q$2:$Q$21,13)=0),"",SUMIFS(DECKS!$D$2:$D$1201,DECKS!$A$2:$A$1201,INDEX(_LEITURA!$P$2:$P$21,13),DECKS!$B$2:$B$1201,$A487))</f>
        <v/>
      </c>
      <c r="X487" s="19" t="str">
        <f aca="false">IF(OR($A487="",INDEX(_LEITURA!$Q$2:$Q$21,14)=0),"",SUMIFS(DECKS!$D$2:$D$1201,DECKS!$A$2:$A$1201,INDEX(_LEITURA!$P$2:$P$21,14),DECKS!$B$2:$B$1201,$A487))</f>
        <v/>
      </c>
      <c r="Y487" s="19" t="str">
        <f aca="false">IF(OR($A487="",INDEX(_LEITURA!$Q$2:$Q$21,15)=0),"",SUMIFS(DECKS!$D$2:$D$1201,DECKS!$A$2:$A$1201,INDEX(_LEITURA!$P$2:$P$21,15),DECKS!$B$2:$B$1201,$A487))</f>
        <v/>
      </c>
      <c r="Z487" s="19" t="str">
        <f aca="false">IF(OR($A487="",INDEX(_LEITURA!$Q$2:$Q$21,16)=0),"",SUMIFS(DECKS!$D$2:$D$1201,DECKS!$A$2:$A$1201,INDEX(_LEITURA!$P$2:$P$21,16),DECKS!$B$2:$B$1201,$A487))</f>
        <v/>
      </c>
      <c r="AA487" s="19" t="str">
        <f aca="false">IF(OR($A487="",INDEX(_LEITURA!$Q$2:$Q$21,17)=0),"",SUMIFS(DECKS!$D$2:$D$1201,DECKS!$A$2:$A$1201,INDEX(_LEITURA!$P$2:$P$21,17),DECKS!$B$2:$B$1201,$A487))</f>
        <v/>
      </c>
      <c r="AB487" s="19" t="str">
        <f aca="false">IF(OR($A487="",INDEX(_LEITURA!$Q$2:$Q$21,18)=0),"",SUMIFS(DECKS!$D$2:$D$1201,DECKS!$A$2:$A$1201,INDEX(_LEITURA!$P$2:$P$21,18),DECKS!$B$2:$B$1201,$A487))</f>
        <v/>
      </c>
      <c r="AC487" s="19" t="str">
        <f aca="false">IF(OR($A487="",INDEX(_LEITURA!$Q$2:$Q$21,19)=0),"",SUMIFS(DECKS!$D$2:$D$1201,DECKS!$A$2:$A$1201,INDEX(_LEITURA!$P$2:$P$21,19),DECKS!$B$2:$B$1201,$A487))</f>
        <v/>
      </c>
      <c r="AD487" s="19" t="str">
        <f aca="false">IF(OR($A487="",INDEX(_LEITURA!$Q$2:$Q$21,20)=0),"",SUMIFS(DECKS!$D$2:$D$1201,DECKS!$A$2:$A$1201,INDEX(_LEITURA!$P$2:$P$21,20),DECKS!$B$2:$B$1201,$A487))</f>
        <v/>
      </c>
      <c r="AE487" s="16" t="str">
        <f aca="false">IF(N(E487)&gt;0,MAX(AE$1:AE486)+1,"")</f>
        <v/>
      </c>
      <c r="AF487" s="11" t="str">
        <f aca="false">IF(A487="","",IFERROR(LEFT(A487,FIND("-",A487)-1),A487))</f>
        <v/>
      </c>
      <c r="AG487" s="11" t="str">
        <f aca="false">IF(AF487="","",IF(ISNUMBER(--MID(AF487,1,1)),0,IF(ISNUMBER(--MID(AF487,2,1)),1,IF(ISNUMBER(--MID(AF487,3,1)),2,IF(ISNUMBER(--MID(AF487,4,1)),3,MIN(LEN(AF487),4))))))</f>
        <v/>
      </c>
      <c r="AH487" s="11" t="str">
        <f aca="false">IF(A487="","",LEFT(AF487,AG487)&amp;REPT("0",4-AG487)&amp;RIGHT("000"&amp;IFERROR(VALUE(MID(AF487,AG487+1,9)),0),3)&amp;RIGHT("0000"&amp;IFERROR(VALUE(MID(A487,FIND("-",A487)+1,9)),0),4))</f>
        <v/>
      </c>
      <c r="AI487" s="11" t="str">
        <f aca="false">IF(OR(A487="",N(E487)&lt;=0),"",IF('FALTAS GERAL'!$M$1="Código","K"&amp;AH487&amp;RIGHT("00000"&amp;ROW(),5),IF('FALTAS GERAL'!$M$1="Nome","K"&amp;UPPER(SUBSTITUTE(SUBSTITUTE(SUBSTITUTE(B487,"*",""),"?",""),"~",""))&amp;"0"&amp;AH487&amp;RIGHT("00000"&amp;ROW(),5),IF('FALTAS GERAL'!$M$1="Falta (maior primeiro)","K"&amp;RIGHT("0000"&amp;(9999-E487),4)&amp;AH487&amp;RIGHT("00000"&amp;ROW(),5),IF('FALTAS GERAL'!$M$1="Nº de decks (maior primeiro)","K"&amp;RIGHT("00"&amp;(99-N(G487)),2)&amp;AH487&amp;RIGHT("00000"&amp;ROW(),5),"K"&amp;RIGHT("00000"&amp;ROW(),5))))))</f>
        <v/>
      </c>
      <c r="AJ487" s="11" t="str">
        <f aca="false">IF(AI487="","",COUNTIFS($AI$2:$AI$801,"&lt;"&amp;AI487,$E$2:$E$801,"&gt;0")+1)</f>
        <v/>
      </c>
      <c r="AK487" s="11" t="str">
        <f aca="false">IF(OR(A487="",N(E487)&lt;=0),"",COUNTIFS($AH$2:$AH$801,"&lt;"&amp;AH487,$E$2:$E$801,"&gt;0")+COUNTIFS($AH$2:AH487,AH487,$E$2:E487,"&gt;0"))</f>
        <v/>
      </c>
    </row>
    <row r="488" customFormat="false" ht="15" hidden="false" customHeight="false" outlineLevel="0" collapsed="false">
      <c r="A488" s="11" t="str">
        <f aca="false">IF(INVENTÁRIO!A488="","",INVENTÁRIO!A488)</f>
        <v/>
      </c>
      <c r="B488" s="11" t="str">
        <f aca="false">IF(A488="","",INVENTÁRIO!B488)</f>
        <v/>
      </c>
      <c r="C488" s="16" t="str">
        <f aca="false">IF(A488="","",INVENTÁRIO!C488)</f>
        <v/>
      </c>
      <c r="D488" s="14" t="str">
        <f aca="false">IF(A488="","",MAX(K488:AD488))</f>
        <v/>
      </c>
      <c r="E488" s="14" t="str">
        <f aca="false">IF(A488="","",MAX(0,D488-C488))</f>
        <v/>
      </c>
      <c r="F488" s="16" t="str">
        <f aca="false">IF(A488="","",IF(D488=0,"Fora dos decks",IF(E488=0,"Completo","Falta")))</f>
        <v/>
      </c>
      <c r="G488" s="16" t="str">
        <f aca="false">IF(A488="","",COUNTIF(K488:AD488,"&gt;0"))</f>
        <v/>
      </c>
      <c r="H488" s="16" t="str">
        <f aca="false">IF(A488="","",IF(G488&gt;1,"Sim",""))</f>
        <v/>
      </c>
      <c r="I488" s="18" t="str">
        <f aca="false">IF(A488="","",SUMIFS(DECKS!$D$2:$D$1201,DECKS!$B$2:$B$1201,A488))</f>
        <v/>
      </c>
      <c r="J488" s="18" t="str">
        <f aca="false">IF(A488="","",MAX(0,I488-C488))</f>
        <v/>
      </c>
      <c r="K488" s="19" t="str">
        <f aca="false">IF(OR($A488="",INDEX(_LEITURA!$Q$2:$Q$21,1)=0),"",SUMIFS(DECKS!$D$2:$D$1201,DECKS!$A$2:$A$1201,INDEX(_LEITURA!$P$2:$P$21,1),DECKS!$B$2:$B$1201,$A488))</f>
        <v/>
      </c>
      <c r="L488" s="19" t="str">
        <f aca="false">IF(OR($A488="",INDEX(_LEITURA!$Q$2:$Q$21,2)=0),"",SUMIFS(DECKS!$D$2:$D$1201,DECKS!$A$2:$A$1201,INDEX(_LEITURA!$P$2:$P$21,2),DECKS!$B$2:$B$1201,$A488))</f>
        <v/>
      </c>
      <c r="M488" s="19" t="str">
        <f aca="false">IF(OR($A488="",INDEX(_LEITURA!$Q$2:$Q$21,3)=0),"",SUMIFS(DECKS!$D$2:$D$1201,DECKS!$A$2:$A$1201,INDEX(_LEITURA!$P$2:$P$21,3),DECKS!$B$2:$B$1201,$A488))</f>
        <v/>
      </c>
      <c r="N488" s="19" t="str">
        <f aca="false">IF(OR($A488="",INDEX(_LEITURA!$Q$2:$Q$21,4)=0),"",SUMIFS(DECKS!$D$2:$D$1201,DECKS!$A$2:$A$1201,INDEX(_LEITURA!$P$2:$P$21,4),DECKS!$B$2:$B$1201,$A488))</f>
        <v/>
      </c>
      <c r="O488" s="19" t="str">
        <f aca="false">IF(OR($A488="",INDEX(_LEITURA!$Q$2:$Q$21,5)=0),"",SUMIFS(DECKS!$D$2:$D$1201,DECKS!$A$2:$A$1201,INDEX(_LEITURA!$P$2:$P$21,5),DECKS!$B$2:$B$1201,$A488))</f>
        <v/>
      </c>
      <c r="P488" s="19" t="str">
        <f aca="false">IF(OR($A488="",INDEX(_LEITURA!$Q$2:$Q$21,6)=0),"",SUMIFS(DECKS!$D$2:$D$1201,DECKS!$A$2:$A$1201,INDEX(_LEITURA!$P$2:$P$21,6),DECKS!$B$2:$B$1201,$A488))</f>
        <v/>
      </c>
      <c r="Q488" s="19" t="str">
        <f aca="false">IF(OR($A488="",INDEX(_LEITURA!$Q$2:$Q$21,7)=0),"",SUMIFS(DECKS!$D$2:$D$1201,DECKS!$A$2:$A$1201,INDEX(_LEITURA!$P$2:$P$21,7),DECKS!$B$2:$B$1201,$A488))</f>
        <v/>
      </c>
      <c r="R488" s="19" t="str">
        <f aca="false">IF(OR($A488="",INDEX(_LEITURA!$Q$2:$Q$21,8)=0),"",SUMIFS(DECKS!$D$2:$D$1201,DECKS!$A$2:$A$1201,INDEX(_LEITURA!$P$2:$P$21,8),DECKS!$B$2:$B$1201,$A488))</f>
        <v/>
      </c>
      <c r="S488" s="19" t="str">
        <f aca="false">IF(OR($A488="",INDEX(_LEITURA!$Q$2:$Q$21,9)=0),"",SUMIFS(DECKS!$D$2:$D$1201,DECKS!$A$2:$A$1201,INDEX(_LEITURA!$P$2:$P$21,9),DECKS!$B$2:$B$1201,$A488))</f>
        <v/>
      </c>
      <c r="T488" s="19" t="str">
        <f aca="false">IF(OR($A488="",INDEX(_LEITURA!$Q$2:$Q$21,10)=0),"",SUMIFS(DECKS!$D$2:$D$1201,DECKS!$A$2:$A$1201,INDEX(_LEITURA!$P$2:$P$21,10),DECKS!$B$2:$B$1201,$A488))</f>
        <v/>
      </c>
      <c r="U488" s="19" t="str">
        <f aca="false">IF(OR($A488="",INDEX(_LEITURA!$Q$2:$Q$21,11)=0),"",SUMIFS(DECKS!$D$2:$D$1201,DECKS!$A$2:$A$1201,INDEX(_LEITURA!$P$2:$P$21,11),DECKS!$B$2:$B$1201,$A488))</f>
        <v/>
      </c>
      <c r="V488" s="19" t="str">
        <f aca="false">IF(OR($A488="",INDEX(_LEITURA!$Q$2:$Q$21,12)=0),"",SUMIFS(DECKS!$D$2:$D$1201,DECKS!$A$2:$A$1201,INDEX(_LEITURA!$P$2:$P$21,12),DECKS!$B$2:$B$1201,$A488))</f>
        <v/>
      </c>
      <c r="W488" s="19" t="str">
        <f aca="false">IF(OR($A488="",INDEX(_LEITURA!$Q$2:$Q$21,13)=0),"",SUMIFS(DECKS!$D$2:$D$1201,DECKS!$A$2:$A$1201,INDEX(_LEITURA!$P$2:$P$21,13),DECKS!$B$2:$B$1201,$A488))</f>
        <v/>
      </c>
      <c r="X488" s="19" t="str">
        <f aca="false">IF(OR($A488="",INDEX(_LEITURA!$Q$2:$Q$21,14)=0),"",SUMIFS(DECKS!$D$2:$D$1201,DECKS!$A$2:$A$1201,INDEX(_LEITURA!$P$2:$P$21,14),DECKS!$B$2:$B$1201,$A488))</f>
        <v/>
      </c>
      <c r="Y488" s="19" t="str">
        <f aca="false">IF(OR($A488="",INDEX(_LEITURA!$Q$2:$Q$21,15)=0),"",SUMIFS(DECKS!$D$2:$D$1201,DECKS!$A$2:$A$1201,INDEX(_LEITURA!$P$2:$P$21,15),DECKS!$B$2:$B$1201,$A488))</f>
        <v/>
      </c>
      <c r="Z488" s="19" t="str">
        <f aca="false">IF(OR($A488="",INDEX(_LEITURA!$Q$2:$Q$21,16)=0),"",SUMIFS(DECKS!$D$2:$D$1201,DECKS!$A$2:$A$1201,INDEX(_LEITURA!$P$2:$P$21,16),DECKS!$B$2:$B$1201,$A488))</f>
        <v/>
      </c>
      <c r="AA488" s="19" t="str">
        <f aca="false">IF(OR($A488="",INDEX(_LEITURA!$Q$2:$Q$21,17)=0),"",SUMIFS(DECKS!$D$2:$D$1201,DECKS!$A$2:$A$1201,INDEX(_LEITURA!$P$2:$P$21,17),DECKS!$B$2:$B$1201,$A488))</f>
        <v/>
      </c>
      <c r="AB488" s="19" t="str">
        <f aca="false">IF(OR($A488="",INDEX(_LEITURA!$Q$2:$Q$21,18)=0),"",SUMIFS(DECKS!$D$2:$D$1201,DECKS!$A$2:$A$1201,INDEX(_LEITURA!$P$2:$P$21,18),DECKS!$B$2:$B$1201,$A488))</f>
        <v/>
      </c>
      <c r="AC488" s="19" t="str">
        <f aca="false">IF(OR($A488="",INDEX(_LEITURA!$Q$2:$Q$21,19)=0),"",SUMIFS(DECKS!$D$2:$D$1201,DECKS!$A$2:$A$1201,INDEX(_LEITURA!$P$2:$P$21,19),DECKS!$B$2:$B$1201,$A488))</f>
        <v/>
      </c>
      <c r="AD488" s="19" t="str">
        <f aca="false">IF(OR($A488="",INDEX(_LEITURA!$Q$2:$Q$21,20)=0),"",SUMIFS(DECKS!$D$2:$D$1201,DECKS!$A$2:$A$1201,INDEX(_LEITURA!$P$2:$P$21,20),DECKS!$B$2:$B$1201,$A488))</f>
        <v/>
      </c>
      <c r="AE488" s="16" t="str">
        <f aca="false">IF(N(E488)&gt;0,MAX(AE$1:AE487)+1,"")</f>
        <v/>
      </c>
      <c r="AF488" s="11" t="str">
        <f aca="false">IF(A488="","",IFERROR(LEFT(A488,FIND("-",A488)-1),A488))</f>
        <v/>
      </c>
      <c r="AG488" s="11" t="str">
        <f aca="false">IF(AF488="","",IF(ISNUMBER(--MID(AF488,1,1)),0,IF(ISNUMBER(--MID(AF488,2,1)),1,IF(ISNUMBER(--MID(AF488,3,1)),2,IF(ISNUMBER(--MID(AF488,4,1)),3,MIN(LEN(AF488),4))))))</f>
        <v/>
      </c>
      <c r="AH488" s="11" t="str">
        <f aca="false">IF(A488="","",LEFT(AF488,AG488)&amp;REPT("0",4-AG488)&amp;RIGHT("000"&amp;IFERROR(VALUE(MID(AF488,AG488+1,9)),0),3)&amp;RIGHT("0000"&amp;IFERROR(VALUE(MID(A488,FIND("-",A488)+1,9)),0),4))</f>
        <v/>
      </c>
      <c r="AI488" s="11" t="str">
        <f aca="false">IF(OR(A488="",N(E488)&lt;=0),"",IF('FALTAS GERAL'!$M$1="Código","K"&amp;AH488&amp;RIGHT("00000"&amp;ROW(),5),IF('FALTAS GERAL'!$M$1="Nome","K"&amp;UPPER(SUBSTITUTE(SUBSTITUTE(SUBSTITUTE(B488,"*",""),"?",""),"~",""))&amp;"0"&amp;AH488&amp;RIGHT("00000"&amp;ROW(),5),IF('FALTAS GERAL'!$M$1="Falta (maior primeiro)","K"&amp;RIGHT("0000"&amp;(9999-E488),4)&amp;AH488&amp;RIGHT("00000"&amp;ROW(),5),IF('FALTAS GERAL'!$M$1="Nº de decks (maior primeiro)","K"&amp;RIGHT("00"&amp;(99-N(G488)),2)&amp;AH488&amp;RIGHT("00000"&amp;ROW(),5),"K"&amp;RIGHT("00000"&amp;ROW(),5))))))</f>
        <v/>
      </c>
      <c r="AJ488" s="11" t="str">
        <f aca="false">IF(AI488="","",COUNTIFS($AI$2:$AI$801,"&lt;"&amp;AI488,$E$2:$E$801,"&gt;0")+1)</f>
        <v/>
      </c>
      <c r="AK488" s="11" t="str">
        <f aca="false">IF(OR(A488="",N(E488)&lt;=0),"",COUNTIFS($AH$2:$AH$801,"&lt;"&amp;AH488,$E$2:$E$801,"&gt;0")+COUNTIFS($AH$2:AH488,AH488,$E$2:E488,"&gt;0"))</f>
        <v/>
      </c>
    </row>
    <row r="489" customFormat="false" ht="15" hidden="false" customHeight="false" outlineLevel="0" collapsed="false">
      <c r="A489" s="11" t="str">
        <f aca="false">IF(INVENTÁRIO!A489="","",INVENTÁRIO!A489)</f>
        <v/>
      </c>
      <c r="B489" s="11" t="str">
        <f aca="false">IF(A489="","",INVENTÁRIO!B489)</f>
        <v/>
      </c>
      <c r="C489" s="16" t="str">
        <f aca="false">IF(A489="","",INVENTÁRIO!C489)</f>
        <v/>
      </c>
      <c r="D489" s="14" t="str">
        <f aca="false">IF(A489="","",MAX(K489:AD489))</f>
        <v/>
      </c>
      <c r="E489" s="14" t="str">
        <f aca="false">IF(A489="","",MAX(0,D489-C489))</f>
        <v/>
      </c>
      <c r="F489" s="16" t="str">
        <f aca="false">IF(A489="","",IF(D489=0,"Fora dos decks",IF(E489=0,"Completo","Falta")))</f>
        <v/>
      </c>
      <c r="G489" s="16" t="str">
        <f aca="false">IF(A489="","",COUNTIF(K489:AD489,"&gt;0"))</f>
        <v/>
      </c>
      <c r="H489" s="16" t="str">
        <f aca="false">IF(A489="","",IF(G489&gt;1,"Sim",""))</f>
        <v/>
      </c>
      <c r="I489" s="18" t="str">
        <f aca="false">IF(A489="","",SUMIFS(DECKS!$D$2:$D$1201,DECKS!$B$2:$B$1201,A489))</f>
        <v/>
      </c>
      <c r="J489" s="18" t="str">
        <f aca="false">IF(A489="","",MAX(0,I489-C489))</f>
        <v/>
      </c>
      <c r="K489" s="19" t="str">
        <f aca="false">IF(OR($A489="",INDEX(_LEITURA!$Q$2:$Q$21,1)=0),"",SUMIFS(DECKS!$D$2:$D$1201,DECKS!$A$2:$A$1201,INDEX(_LEITURA!$P$2:$P$21,1),DECKS!$B$2:$B$1201,$A489))</f>
        <v/>
      </c>
      <c r="L489" s="19" t="str">
        <f aca="false">IF(OR($A489="",INDEX(_LEITURA!$Q$2:$Q$21,2)=0),"",SUMIFS(DECKS!$D$2:$D$1201,DECKS!$A$2:$A$1201,INDEX(_LEITURA!$P$2:$P$21,2),DECKS!$B$2:$B$1201,$A489))</f>
        <v/>
      </c>
      <c r="M489" s="19" t="str">
        <f aca="false">IF(OR($A489="",INDEX(_LEITURA!$Q$2:$Q$21,3)=0),"",SUMIFS(DECKS!$D$2:$D$1201,DECKS!$A$2:$A$1201,INDEX(_LEITURA!$P$2:$P$21,3),DECKS!$B$2:$B$1201,$A489))</f>
        <v/>
      </c>
      <c r="N489" s="19" t="str">
        <f aca="false">IF(OR($A489="",INDEX(_LEITURA!$Q$2:$Q$21,4)=0),"",SUMIFS(DECKS!$D$2:$D$1201,DECKS!$A$2:$A$1201,INDEX(_LEITURA!$P$2:$P$21,4),DECKS!$B$2:$B$1201,$A489))</f>
        <v/>
      </c>
      <c r="O489" s="19" t="str">
        <f aca="false">IF(OR($A489="",INDEX(_LEITURA!$Q$2:$Q$21,5)=0),"",SUMIFS(DECKS!$D$2:$D$1201,DECKS!$A$2:$A$1201,INDEX(_LEITURA!$P$2:$P$21,5),DECKS!$B$2:$B$1201,$A489))</f>
        <v/>
      </c>
      <c r="P489" s="19" t="str">
        <f aca="false">IF(OR($A489="",INDEX(_LEITURA!$Q$2:$Q$21,6)=0),"",SUMIFS(DECKS!$D$2:$D$1201,DECKS!$A$2:$A$1201,INDEX(_LEITURA!$P$2:$P$21,6),DECKS!$B$2:$B$1201,$A489))</f>
        <v/>
      </c>
      <c r="Q489" s="19" t="str">
        <f aca="false">IF(OR($A489="",INDEX(_LEITURA!$Q$2:$Q$21,7)=0),"",SUMIFS(DECKS!$D$2:$D$1201,DECKS!$A$2:$A$1201,INDEX(_LEITURA!$P$2:$P$21,7),DECKS!$B$2:$B$1201,$A489))</f>
        <v/>
      </c>
      <c r="R489" s="19" t="str">
        <f aca="false">IF(OR($A489="",INDEX(_LEITURA!$Q$2:$Q$21,8)=0),"",SUMIFS(DECKS!$D$2:$D$1201,DECKS!$A$2:$A$1201,INDEX(_LEITURA!$P$2:$P$21,8),DECKS!$B$2:$B$1201,$A489))</f>
        <v/>
      </c>
      <c r="S489" s="19" t="str">
        <f aca="false">IF(OR($A489="",INDEX(_LEITURA!$Q$2:$Q$21,9)=0),"",SUMIFS(DECKS!$D$2:$D$1201,DECKS!$A$2:$A$1201,INDEX(_LEITURA!$P$2:$P$21,9),DECKS!$B$2:$B$1201,$A489))</f>
        <v/>
      </c>
      <c r="T489" s="19" t="str">
        <f aca="false">IF(OR($A489="",INDEX(_LEITURA!$Q$2:$Q$21,10)=0),"",SUMIFS(DECKS!$D$2:$D$1201,DECKS!$A$2:$A$1201,INDEX(_LEITURA!$P$2:$P$21,10),DECKS!$B$2:$B$1201,$A489))</f>
        <v/>
      </c>
      <c r="U489" s="19" t="str">
        <f aca="false">IF(OR($A489="",INDEX(_LEITURA!$Q$2:$Q$21,11)=0),"",SUMIFS(DECKS!$D$2:$D$1201,DECKS!$A$2:$A$1201,INDEX(_LEITURA!$P$2:$P$21,11),DECKS!$B$2:$B$1201,$A489))</f>
        <v/>
      </c>
      <c r="V489" s="19" t="str">
        <f aca="false">IF(OR($A489="",INDEX(_LEITURA!$Q$2:$Q$21,12)=0),"",SUMIFS(DECKS!$D$2:$D$1201,DECKS!$A$2:$A$1201,INDEX(_LEITURA!$P$2:$P$21,12),DECKS!$B$2:$B$1201,$A489))</f>
        <v/>
      </c>
      <c r="W489" s="19" t="str">
        <f aca="false">IF(OR($A489="",INDEX(_LEITURA!$Q$2:$Q$21,13)=0),"",SUMIFS(DECKS!$D$2:$D$1201,DECKS!$A$2:$A$1201,INDEX(_LEITURA!$P$2:$P$21,13),DECKS!$B$2:$B$1201,$A489))</f>
        <v/>
      </c>
      <c r="X489" s="19" t="str">
        <f aca="false">IF(OR($A489="",INDEX(_LEITURA!$Q$2:$Q$21,14)=0),"",SUMIFS(DECKS!$D$2:$D$1201,DECKS!$A$2:$A$1201,INDEX(_LEITURA!$P$2:$P$21,14),DECKS!$B$2:$B$1201,$A489))</f>
        <v/>
      </c>
      <c r="Y489" s="19" t="str">
        <f aca="false">IF(OR($A489="",INDEX(_LEITURA!$Q$2:$Q$21,15)=0),"",SUMIFS(DECKS!$D$2:$D$1201,DECKS!$A$2:$A$1201,INDEX(_LEITURA!$P$2:$P$21,15),DECKS!$B$2:$B$1201,$A489))</f>
        <v/>
      </c>
      <c r="Z489" s="19" t="str">
        <f aca="false">IF(OR($A489="",INDEX(_LEITURA!$Q$2:$Q$21,16)=0),"",SUMIFS(DECKS!$D$2:$D$1201,DECKS!$A$2:$A$1201,INDEX(_LEITURA!$P$2:$P$21,16),DECKS!$B$2:$B$1201,$A489))</f>
        <v/>
      </c>
      <c r="AA489" s="19" t="str">
        <f aca="false">IF(OR($A489="",INDEX(_LEITURA!$Q$2:$Q$21,17)=0),"",SUMIFS(DECKS!$D$2:$D$1201,DECKS!$A$2:$A$1201,INDEX(_LEITURA!$P$2:$P$21,17),DECKS!$B$2:$B$1201,$A489))</f>
        <v/>
      </c>
      <c r="AB489" s="19" t="str">
        <f aca="false">IF(OR($A489="",INDEX(_LEITURA!$Q$2:$Q$21,18)=0),"",SUMIFS(DECKS!$D$2:$D$1201,DECKS!$A$2:$A$1201,INDEX(_LEITURA!$P$2:$P$21,18),DECKS!$B$2:$B$1201,$A489))</f>
        <v/>
      </c>
      <c r="AC489" s="19" t="str">
        <f aca="false">IF(OR($A489="",INDEX(_LEITURA!$Q$2:$Q$21,19)=0),"",SUMIFS(DECKS!$D$2:$D$1201,DECKS!$A$2:$A$1201,INDEX(_LEITURA!$P$2:$P$21,19),DECKS!$B$2:$B$1201,$A489))</f>
        <v/>
      </c>
      <c r="AD489" s="19" t="str">
        <f aca="false">IF(OR($A489="",INDEX(_LEITURA!$Q$2:$Q$21,20)=0),"",SUMIFS(DECKS!$D$2:$D$1201,DECKS!$A$2:$A$1201,INDEX(_LEITURA!$P$2:$P$21,20),DECKS!$B$2:$B$1201,$A489))</f>
        <v/>
      </c>
      <c r="AE489" s="16" t="str">
        <f aca="false">IF(N(E489)&gt;0,MAX(AE$1:AE488)+1,"")</f>
        <v/>
      </c>
      <c r="AF489" s="11" t="str">
        <f aca="false">IF(A489="","",IFERROR(LEFT(A489,FIND("-",A489)-1),A489))</f>
        <v/>
      </c>
      <c r="AG489" s="11" t="str">
        <f aca="false">IF(AF489="","",IF(ISNUMBER(--MID(AF489,1,1)),0,IF(ISNUMBER(--MID(AF489,2,1)),1,IF(ISNUMBER(--MID(AF489,3,1)),2,IF(ISNUMBER(--MID(AF489,4,1)),3,MIN(LEN(AF489),4))))))</f>
        <v/>
      </c>
      <c r="AH489" s="11" t="str">
        <f aca="false">IF(A489="","",LEFT(AF489,AG489)&amp;REPT("0",4-AG489)&amp;RIGHT("000"&amp;IFERROR(VALUE(MID(AF489,AG489+1,9)),0),3)&amp;RIGHT("0000"&amp;IFERROR(VALUE(MID(A489,FIND("-",A489)+1,9)),0),4))</f>
        <v/>
      </c>
      <c r="AI489" s="11" t="str">
        <f aca="false">IF(OR(A489="",N(E489)&lt;=0),"",IF('FALTAS GERAL'!$M$1="Código","K"&amp;AH489&amp;RIGHT("00000"&amp;ROW(),5),IF('FALTAS GERAL'!$M$1="Nome","K"&amp;UPPER(SUBSTITUTE(SUBSTITUTE(SUBSTITUTE(B489,"*",""),"?",""),"~",""))&amp;"0"&amp;AH489&amp;RIGHT("00000"&amp;ROW(),5),IF('FALTAS GERAL'!$M$1="Falta (maior primeiro)","K"&amp;RIGHT("0000"&amp;(9999-E489),4)&amp;AH489&amp;RIGHT("00000"&amp;ROW(),5),IF('FALTAS GERAL'!$M$1="Nº de decks (maior primeiro)","K"&amp;RIGHT("00"&amp;(99-N(G489)),2)&amp;AH489&amp;RIGHT("00000"&amp;ROW(),5),"K"&amp;RIGHT("00000"&amp;ROW(),5))))))</f>
        <v/>
      </c>
      <c r="AJ489" s="11" t="str">
        <f aca="false">IF(AI489="","",COUNTIFS($AI$2:$AI$801,"&lt;"&amp;AI489,$E$2:$E$801,"&gt;0")+1)</f>
        <v/>
      </c>
      <c r="AK489" s="11" t="str">
        <f aca="false">IF(OR(A489="",N(E489)&lt;=0),"",COUNTIFS($AH$2:$AH$801,"&lt;"&amp;AH489,$E$2:$E$801,"&gt;0")+COUNTIFS($AH$2:AH489,AH489,$E$2:E489,"&gt;0"))</f>
        <v/>
      </c>
    </row>
    <row r="490" customFormat="false" ht="15" hidden="false" customHeight="false" outlineLevel="0" collapsed="false">
      <c r="A490" s="11" t="str">
        <f aca="false">IF(INVENTÁRIO!A490="","",INVENTÁRIO!A490)</f>
        <v/>
      </c>
      <c r="B490" s="11" t="str">
        <f aca="false">IF(A490="","",INVENTÁRIO!B490)</f>
        <v/>
      </c>
      <c r="C490" s="16" t="str">
        <f aca="false">IF(A490="","",INVENTÁRIO!C490)</f>
        <v/>
      </c>
      <c r="D490" s="14" t="str">
        <f aca="false">IF(A490="","",MAX(K490:AD490))</f>
        <v/>
      </c>
      <c r="E490" s="14" t="str">
        <f aca="false">IF(A490="","",MAX(0,D490-C490))</f>
        <v/>
      </c>
      <c r="F490" s="16" t="str">
        <f aca="false">IF(A490="","",IF(D490=0,"Fora dos decks",IF(E490=0,"Completo","Falta")))</f>
        <v/>
      </c>
      <c r="G490" s="16" t="str">
        <f aca="false">IF(A490="","",COUNTIF(K490:AD490,"&gt;0"))</f>
        <v/>
      </c>
      <c r="H490" s="16" t="str">
        <f aca="false">IF(A490="","",IF(G490&gt;1,"Sim",""))</f>
        <v/>
      </c>
      <c r="I490" s="18" t="str">
        <f aca="false">IF(A490="","",SUMIFS(DECKS!$D$2:$D$1201,DECKS!$B$2:$B$1201,A490))</f>
        <v/>
      </c>
      <c r="J490" s="18" t="str">
        <f aca="false">IF(A490="","",MAX(0,I490-C490))</f>
        <v/>
      </c>
      <c r="K490" s="19" t="str">
        <f aca="false">IF(OR($A490="",INDEX(_LEITURA!$Q$2:$Q$21,1)=0),"",SUMIFS(DECKS!$D$2:$D$1201,DECKS!$A$2:$A$1201,INDEX(_LEITURA!$P$2:$P$21,1),DECKS!$B$2:$B$1201,$A490))</f>
        <v/>
      </c>
      <c r="L490" s="19" t="str">
        <f aca="false">IF(OR($A490="",INDEX(_LEITURA!$Q$2:$Q$21,2)=0),"",SUMIFS(DECKS!$D$2:$D$1201,DECKS!$A$2:$A$1201,INDEX(_LEITURA!$P$2:$P$21,2),DECKS!$B$2:$B$1201,$A490))</f>
        <v/>
      </c>
      <c r="M490" s="19" t="str">
        <f aca="false">IF(OR($A490="",INDEX(_LEITURA!$Q$2:$Q$21,3)=0),"",SUMIFS(DECKS!$D$2:$D$1201,DECKS!$A$2:$A$1201,INDEX(_LEITURA!$P$2:$P$21,3),DECKS!$B$2:$B$1201,$A490))</f>
        <v/>
      </c>
      <c r="N490" s="19" t="str">
        <f aca="false">IF(OR($A490="",INDEX(_LEITURA!$Q$2:$Q$21,4)=0),"",SUMIFS(DECKS!$D$2:$D$1201,DECKS!$A$2:$A$1201,INDEX(_LEITURA!$P$2:$P$21,4),DECKS!$B$2:$B$1201,$A490))</f>
        <v/>
      </c>
      <c r="O490" s="19" t="str">
        <f aca="false">IF(OR($A490="",INDEX(_LEITURA!$Q$2:$Q$21,5)=0),"",SUMIFS(DECKS!$D$2:$D$1201,DECKS!$A$2:$A$1201,INDEX(_LEITURA!$P$2:$P$21,5),DECKS!$B$2:$B$1201,$A490))</f>
        <v/>
      </c>
      <c r="P490" s="19" t="str">
        <f aca="false">IF(OR($A490="",INDEX(_LEITURA!$Q$2:$Q$21,6)=0),"",SUMIFS(DECKS!$D$2:$D$1201,DECKS!$A$2:$A$1201,INDEX(_LEITURA!$P$2:$P$21,6),DECKS!$B$2:$B$1201,$A490))</f>
        <v/>
      </c>
      <c r="Q490" s="19" t="str">
        <f aca="false">IF(OR($A490="",INDEX(_LEITURA!$Q$2:$Q$21,7)=0),"",SUMIFS(DECKS!$D$2:$D$1201,DECKS!$A$2:$A$1201,INDEX(_LEITURA!$P$2:$P$21,7),DECKS!$B$2:$B$1201,$A490))</f>
        <v/>
      </c>
      <c r="R490" s="19" t="str">
        <f aca="false">IF(OR($A490="",INDEX(_LEITURA!$Q$2:$Q$21,8)=0),"",SUMIFS(DECKS!$D$2:$D$1201,DECKS!$A$2:$A$1201,INDEX(_LEITURA!$P$2:$P$21,8),DECKS!$B$2:$B$1201,$A490))</f>
        <v/>
      </c>
      <c r="S490" s="19" t="str">
        <f aca="false">IF(OR($A490="",INDEX(_LEITURA!$Q$2:$Q$21,9)=0),"",SUMIFS(DECKS!$D$2:$D$1201,DECKS!$A$2:$A$1201,INDEX(_LEITURA!$P$2:$P$21,9),DECKS!$B$2:$B$1201,$A490))</f>
        <v/>
      </c>
      <c r="T490" s="19" t="str">
        <f aca="false">IF(OR($A490="",INDEX(_LEITURA!$Q$2:$Q$21,10)=0),"",SUMIFS(DECKS!$D$2:$D$1201,DECKS!$A$2:$A$1201,INDEX(_LEITURA!$P$2:$P$21,10),DECKS!$B$2:$B$1201,$A490))</f>
        <v/>
      </c>
      <c r="U490" s="19" t="str">
        <f aca="false">IF(OR($A490="",INDEX(_LEITURA!$Q$2:$Q$21,11)=0),"",SUMIFS(DECKS!$D$2:$D$1201,DECKS!$A$2:$A$1201,INDEX(_LEITURA!$P$2:$P$21,11),DECKS!$B$2:$B$1201,$A490))</f>
        <v/>
      </c>
      <c r="V490" s="19" t="str">
        <f aca="false">IF(OR($A490="",INDEX(_LEITURA!$Q$2:$Q$21,12)=0),"",SUMIFS(DECKS!$D$2:$D$1201,DECKS!$A$2:$A$1201,INDEX(_LEITURA!$P$2:$P$21,12),DECKS!$B$2:$B$1201,$A490))</f>
        <v/>
      </c>
      <c r="W490" s="19" t="str">
        <f aca="false">IF(OR($A490="",INDEX(_LEITURA!$Q$2:$Q$21,13)=0),"",SUMIFS(DECKS!$D$2:$D$1201,DECKS!$A$2:$A$1201,INDEX(_LEITURA!$P$2:$P$21,13),DECKS!$B$2:$B$1201,$A490))</f>
        <v/>
      </c>
      <c r="X490" s="19" t="str">
        <f aca="false">IF(OR($A490="",INDEX(_LEITURA!$Q$2:$Q$21,14)=0),"",SUMIFS(DECKS!$D$2:$D$1201,DECKS!$A$2:$A$1201,INDEX(_LEITURA!$P$2:$P$21,14),DECKS!$B$2:$B$1201,$A490))</f>
        <v/>
      </c>
      <c r="Y490" s="19" t="str">
        <f aca="false">IF(OR($A490="",INDEX(_LEITURA!$Q$2:$Q$21,15)=0),"",SUMIFS(DECKS!$D$2:$D$1201,DECKS!$A$2:$A$1201,INDEX(_LEITURA!$P$2:$P$21,15),DECKS!$B$2:$B$1201,$A490))</f>
        <v/>
      </c>
      <c r="Z490" s="19" t="str">
        <f aca="false">IF(OR($A490="",INDEX(_LEITURA!$Q$2:$Q$21,16)=0),"",SUMIFS(DECKS!$D$2:$D$1201,DECKS!$A$2:$A$1201,INDEX(_LEITURA!$P$2:$P$21,16),DECKS!$B$2:$B$1201,$A490))</f>
        <v/>
      </c>
      <c r="AA490" s="19" t="str">
        <f aca="false">IF(OR($A490="",INDEX(_LEITURA!$Q$2:$Q$21,17)=0),"",SUMIFS(DECKS!$D$2:$D$1201,DECKS!$A$2:$A$1201,INDEX(_LEITURA!$P$2:$P$21,17),DECKS!$B$2:$B$1201,$A490))</f>
        <v/>
      </c>
      <c r="AB490" s="19" t="str">
        <f aca="false">IF(OR($A490="",INDEX(_LEITURA!$Q$2:$Q$21,18)=0),"",SUMIFS(DECKS!$D$2:$D$1201,DECKS!$A$2:$A$1201,INDEX(_LEITURA!$P$2:$P$21,18),DECKS!$B$2:$B$1201,$A490))</f>
        <v/>
      </c>
      <c r="AC490" s="19" t="str">
        <f aca="false">IF(OR($A490="",INDEX(_LEITURA!$Q$2:$Q$21,19)=0),"",SUMIFS(DECKS!$D$2:$D$1201,DECKS!$A$2:$A$1201,INDEX(_LEITURA!$P$2:$P$21,19),DECKS!$B$2:$B$1201,$A490))</f>
        <v/>
      </c>
      <c r="AD490" s="19" t="str">
        <f aca="false">IF(OR($A490="",INDEX(_LEITURA!$Q$2:$Q$21,20)=0),"",SUMIFS(DECKS!$D$2:$D$1201,DECKS!$A$2:$A$1201,INDEX(_LEITURA!$P$2:$P$21,20),DECKS!$B$2:$B$1201,$A490))</f>
        <v/>
      </c>
      <c r="AE490" s="16" t="str">
        <f aca="false">IF(N(E490)&gt;0,MAX(AE$1:AE489)+1,"")</f>
        <v/>
      </c>
      <c r="AF490" s="11" t="str">
        <f aca="false">IF(A490="","",IFERROR(LEFT(A490,FIND("-",A490)-1),A490))</f>
        <v/>
      </c>
      <c r="AG490" s="11" t="str">
        <f aca="false">IF(AF490="","",IF(ISNUMBER(--MID(AF490,1,1)),0,IF(ISNUMBER(--MID(AF490,2,1)),1,IF(ISNUMBER(--MID(AF490,3,1)),2,IF(ISNUMBER(--MID(AF490,4,1)),3,MIN(LEN(AF490),4))))))</f>
        <v/>
      </c>
      <c r="AH490" s="11" t="str">
        <f aca="false">IF(A490="","",LEFT(AF490,AG490)&amp;REPT("0",4-AG490)&amp;RIGHT("000"&amp;IFERROR(VALUE(MID(AF490,AG490+1,9)),0),3)&amp;RIGHT("0000"&amp;IFERROR(VALUE(MID(A490,FIND("-",A490)+1,9)),0),4))</f>
        <v/>
      </c>
      <c r="AI490" s="11" t="str">
        <f aca="false">IF(OR(A490="",N(E490)&lt;=0),"",IF('FALTAS GERAL'!$M$1="Código","K"&amp;AH490&amp;RIGHT("00000"&amp;ROW(),5),IF('FALTAS GERAL'!$M$1="Nome","K"&amp;UPPER(SUBSTITUTE(SUBSTITUTE(SUBSTITUTE(B490,"*",""),"?",""),"~",""))&amp;"0"&amp;AH490&amp;RIGHT("00000"&amp;ROW(),5),IF('FALTAS GERAL'!$M$1="Falta (maior primeiro)","K"&amp;RIGHT("0000"&amp;(9999-E490),4)&amp;AH490&amp;RIGHT("00000"&amp;ROW(),5),IF('FALTAS GERAL'!$M$1="Nº de decks (maior primeiro)","K"&amp;RIGHT("00"&amp;(99-N(G490)),2)&amp;AH490&amp;RIGHT("00000"&amp;ROW(),5),"K"&amp;RIGHT("00000"&amp;ROW(),5))))))</f>
        <v/>
      </c>
      <c r="AJ490" s="11" t="str">
        <f aca="false">IF(AI490="","",COUNTIFS($AI$2:$AI$801,"&lt;"&amp;AI490,$E$2:$E$801,"&gt;0")+1)</f>
        <v/>
      </c>
      <c r="AK490" s="11" t="str">
        <f aca="false">IF(OR(A490="",N(E490)&lt;=0),"",COUNTIFS($AH$2:$AH$801,"&lt;"&amp;AH490,$E$2:$E$801,"&gt;0")+COUNTIFS($AH$2:AH490,AH490,$E$2:E490,"&gt;0"))</f>
        <v/>
      </c>
    </row>
    <row r="491" customFormat="false" ht="15" hidden="false" customHeight="false" outlineLevel="0" collapsed="false">
      <c r="A491" s="11" t="str">
        <f aca="false">IF(INVENTÁRIO!A491="","",INVENTÁRIO!A491)</f>
        <v/>
      </c>
      <c r="B491" s="11" t="str">
        <f aca="false">IF(A491="","",INVENTÁRIO!B491)</f>
        <v/>
      </c>
      <c r="C491" s="16" t="str">
        <f aca="false">IF(A491="","",INVENTÁRIO!C491)</f>
        <v/>
      </c>
      <c r="D491" s="14" t="str">
        <f aca="false">IF(A491="","",MAX(K491:AD491))</f>
        <v/>
      </c>
      <c r="E491" s="14" t="str">
        <f aca="false">IF(A491="","",MAX(0,D491-C491))</f>
        <v/>
      </c>
      <c r="F491" s="16" t="str">
        <f aca="false">IF(A491="","",IF(D491=0,"Fora dos decks",IF(E491=0,"Completo","Falta")))</f>
        <v/>
      </c>
      <c r="G491" s="16" t="str">
        <f aca="false">IF(A491="","",COUNTIF(K491:AD491,"&gt;0"))</f>
        <v/>
      </c>
      <c r="H491" s="16" t="str">
        <f aca="false">IF(A491="","",IF(G491&gt;1,"Sim",""))</f>
        <v/>
      </c>
      <c r="I491" s="18" t="str">
        <f aca="false">IF(A491="","",SUMIFS(DECKS!$D$2:$D$1201,DECKS!$B$2:$B$1201,A491))</f>
        <v/>
      </c>
      <c r="J491" s="18" t="str">
        <f aca="false">IF(A491="","",MAX(0,I491-C491))</f>
        <v/>
      </c>
      <c r="K491" s="19" t="str">
        <f aca="false">IF(OR($A491="",INDEX(_LEITURA!$Q$2:$Q$21,1)=0),"",SUMIFS(DECKS!$D$2:$D$1201,DECKS!$A$2:$A$1201,INDEX(_LEITURA!$P$2:$P$21,1),DECKS!$B$2:$B$1201,$A491))</f>
        <v/>
      </c>
      <c r="L491" s="19" t="str">
        <f aca="false">IF(OR($A491="",INDEX(_LEITURA!$Q$2:$Q$21,2)=0),"",SUMIFS(DECKS!$D$2:$D$1201,DECKS!$A$2:$A$1201,INDEX(_LEITURA!$P$2:$P$21,2),DECKS!$B$2:$B$1201,$A491))</f>
        <v/>
      </c>
      <c r="M491" s="19" t="str">
        <f aca="false">IF(OR($A491="",INDEX(_LEITURA!$Q$2:$Q$21,3)=0),"",SUMIFS(DECKS!$D$2:$D$1201,DECKS!$A$2:$A$1201,INDEX(_LEITURA!$P$2:$P$21,3),DECKS!$B$2:$B$1201,$A491))</f>
        <v/>
      </c>
      <c r="N491" s="19" t="str">
        <f aca="false">IF(OR($A491="",INDEX(_LEITURA!$Q$2:$Q$21,4)=0),"",SUMIFS(DECKS!$D$2:$D$1201,DECKS!$A$2:$A$1201,INDEX(_LEITURA!$P$2:$P$21,4),DECKS!$B$2:$B$1201,$A491))</f>
        <v/>
      </c>
      <c r="O491" s="19" t="str">
        <f aca="false">IF(OR($A491="",INDEX(_LEITURA!$Q$2:$Q$21,5)=0),"",SUMIFS(DECKS!$D$2:$D$1201,DECKS!$A$2:$A$1201,INDEX(_LEITURA!$P$2:$P$21,5),DECKS!$B$2:$B$1201,$A491))</f>
        <v/>
      </c>
      <c r="P491" s="19" t="str">
        <f aca="false">IF(OR($A491="",INDEX(_LEITURA!$Q$2:$Q$21,6)=0),"",SUMIFS(DECKS!$D$2:$D$1201,DECKS!$A$2:$A$1201,INDEX(_LEITURA!$P$2:$P$21,6),DECKS!$B$2:$B$1201,$A491))</f>
        <v/>
      </c>
      <c r="Q491" s="19" t="str">
        <f aca="false">IF(OR($A491="",INDEX(_LEITURA!$Q$2:$Q$21,7)=0),"",SUMIFS(DECKS!$D$2:$D$1201,DECKS!$A$2:$A$1201,INDEX(_LEITURA!$P$2:$P$21,7),DECKS!$B$2:$B$1201,$A491))</f>
        <v/>
      </c>
      <c r="R491" s="19" t="str">
        <f aca="false">IF(OR($A491="",INDEX(_LEITURA!$Q$2:$Q$21,8)=0),"",SUMIFS(DECKS!$D$2:$D$1201,DECKS!$A$2:$A$1201,INDEX(_LEITURA!$P$2:$P$21,8),DECKS!$B$2:$B$1201,$A491))</f>
        <v/>
      </c>
      <c r="S491" s="19" t="str">
        <f aca="false">IF(OR($A491="",INDEX(_LEITURA!$Q$2:$Q$21,9)=0),"",SUMIFS(DECKS!$D$2:$D$1201,DECKS!$A$2:$A$1201,INDEX(_LEITURA!$P$2:$P$21,9),DECKS!$B$2:$B$1201,$A491))</f>
        <v/>
      </c>
      <c r="T491" s="19" t="str">
        <f aca="false">IF(OR($A491="",INDEX(_LEITURA!$Q$2:$Q$21,10)=0),"",SUMIFS(DECKS!$D$2:$D$1201,DECKS!$A$2:$A$1201,INDEX(_LEITURA!$P$2:$P$21,10),DECKS!$B$2:$B$1201,$A491))</f>
        <v/>
      </c>
      <c r="U491" s="19" t="str">
        <f aca="false">IF(OR($A491="",INDEX(_LEITURA!$Q$2:$Q$21,11)=0),"",SUMIFS(DECKS!$D$2:$D$1201,DECKS!$A$2:$A$1201,INDEX(_LEITURA!$P$2:$P$21,11),DECKS!$B$2:$B$1201,$A491))</f>
        <v/>
      </c>
      <c r="V491" s="19" t="str">
        <f aca="false">IF(OR($A491="",INDEX(_LEITURA!$Q$2:$Q$21,12)=0),"",SUMIFS(DECKS!$D$2:$D$1201,DECKS!$A$2:$A$1201,INDEX(_LEITURA!$P$2:$P$21,12),DECKS!$B$2:$B$1201,$A491))</f>
        <v/>
      </c>
      <c r="W491" s="19" t="str">
        <f aca="false">IF(OR($A491="",INDEX(_LEITURA!$Q$2:$Q$21,13)=0),"",SUMIFS(DECKS!$D$2:$D$1201,DECKS!$A$2:$A$1201,INDEX(_LEITURA!$P$2:$P$21,13),DECKS!$B$2:$B$1201,$A491))</f>
        <v/>
      </c>
      <c r="X491" s="19" t="str">
        <f aca="false">IF(OR($A491="",INDEX(_LEITURA!$Q$2:$Q$21,14)=0),"",SUMIFS(DECKS!$D$2:$D$1201,DECKS!$A$2:$A$1201,INDEX(_LEITURA!$P$2:$P$21,14),DECKS!$B$2:$B$1201,$A491))</f>
        <v/>
      </c>
      <c r="Y491" s="19" t="str">
        <f aca="false">IF(OR($A491="",INDEX(_LEITURA!$Q$2:$Q$21,15)=0),"",SUMIFS(DECKS!$D$2:$D$1201,DECKS!$A$2:$A$1201,INDEX(_LEITURA!$P$2:$P$21,15),DECKS!$B$2:$B$1201,$A491))</f>
        <v/>
      </c>
      <c r="Z491" s="19" t="str">
        <f aca="false">IF(OR($A491="",INDEX(_LEITURA!$Q$2:$Q$21,16)=0),"",SUMIFS(DECKS!$D$2:$D$1201,DECKS!$A$2:$A$1201,INDEX(_LEITURA!$P$2:$P$21,16),DECKS!$B$2:$B$1201,$A491))</f>
        <v/>
      </c>
      <c r="AA491" s="19" t="str">
        <f aca="false">IF(OR($A491="",INDEX(_LEITURA!$Q$2:$Q$21,17)=0),"",SUMIFS(DECKS!$D$2:$D$1201,DECKS!$A$2:$A$1201,INDEX(_LEITURA!$P$2:$P$21,17),DECKS!$B$2:$B$1201,$A491))</f>
        <v/>
      </c>
      <c r="AB491" s="19" t="str">
        <f aca="false">IF(OR($A491="",INDEX(_LEITURA!$Q$2:$Q$21,18)=0),"",SUMIFS(DECKS!$D$2:$D$1201,DECKS!$A$2:$A$1201,INDEX(_LEITURA!$P$2:$P$21,18),DECKS!$B$2:$B$1201,$A491))</f>
        <v/>
      </c>
      <c r="AC491" s="19" t="str">
        <f aca="false">IF(OR($A491="",INDEX(_LEITURA!$Q$2:$Q$21,19)=0),"",SUMIFS(DECKS!$D$2:$D$1201,DECKS!$A$2:$A$1201,INDEX(_LEITURA!$P$2:$P$21,19),DECKS!$B$2:$B$1201,$A491))</f>
        <v/>
      </c>
      <c r="AD491" s="19" t="str">
        <f aca="false">IF(OR($A491="",INDEX(_LEITURA!$Q$2:$Q$21,20)=0),"",SUMIFS(DECKS!$D$2:$D$1201,DECKS!$A$2:$A$1201,INDEX(_LEITURA!$P$2:$P$21,20),DECKS!$B$2:$B$1201,$A491))</f>
        <v/>
      </c>
      <c r="AE491" s="16" t="str">
        <f aca="false">IF(N(E491)&gt;0,MAX(AE$1:AE490)+1,"")</f>
        <v/>
      </c>
      <c r="AF491" s="11" t="str">
        <f aca="false">IF(A491="","",IFERROR(LEFT(A491,FIND("-",A491)-1),A491))</f>
        <v/>
      </c>
      <c r="AG491" s="11" t="str">
        <f aca="false">IF(AF491="","",IF(ISNUMBER(--MID(AF491,1,1)),0,IF(ISNUMBER(--MID(AF491,2,1)),1,IF(ISNUMBER(--MID(AF491,3,1)),2,IF(ISNUMBER(--MID(AF491,4,1)),3,MIN(LEN(AF491),4))))))</f>
        <v/>
      </c>
      <c r="AH491" s="11" t="str">
        <f aca="false">IF(A491="","",LEFT(AF491,AG491)&amp;REPT("0",4-AG491)&amp;RIGHT("000"&amp;IFERROR(VALUE(MID(AF491,AG491+1,9)),0),3)&amp;RIGHT("0000"&amp;IFERROR(VALUE(MID(A491,FIND("-",A491)+1,9)),0),4))</f>
        <v/>
      </c>
      <c r="AI491" s="11" t="str">
        <f aca="false">IF(OR(A491="",N(E491)&lt;=0),"",IF('FALTAS GERAL'!$M$1="Código","K"&amp;AH491&amp;RIGHT("00000"&amp;ROW(),5),IF('FALTAS GERAL'!$M$1="Nome","K"&amp;UPPER(SUBSTITUTE(SUBSTITUTE(SUBSTITUTE(B491,"*",""),"?",""),"~",""))&amp;"0"&amp;AH491&amp;RIGHT("00000"&amp;ROW(),5),IF('FALTAS GERAL'!$M$1="Falta (maior primeiro)","K"&amp;RIGHT("0000"&amp;(9999-E491),4)&amp;AH491&amp;RIGHT("00000"&amp;ROW(),5),IF('FALTAS GERAL'!$M$1="Nº de decks (maior primeiro)","K"&amp;RIGHT("00"&amp;(99-N(G491)),2)&amp;AH491&amp;RIGHT("00000"&amp;ROW(),5),"K"&amp;RIGHT("00000"&amp;ROW(),5))))))</f>
        <v/>
      </c>
      <c r="AJ491" s="11" t="str">
        <f aca="false">IF(AI491="","",COUNTIFS($AI$2:$AI$801,"&lt;"&amp;AI491,$E$2:$E$801,"&gt;0")+1)</f>
        <v/>
      </c>
      <c r="AK491" s="11" t="str">
        <f aca="false">IF(OR(A491="",N(E491)&lt;=0),"",COUNTIFS($AH$2:$AH$801,"&lt;"&amp;AH491,$E$2:$E$801,"&gt;0")+COUNTIFS($AH$2:AH491,AH491,$E$2:E491,"&gt;0"))</f>
        <v/>
      </c>
    </row>
    <row r="492" customFormat="false" ht="15" hidden="false" customHeight="false" outlineLevel="0" collapsed="false">
      <c r="A492" s="11" t="str">
        <f aca="false">IF(INVENTÁRIO!A492="","",INVENTÁRIO!A492)</f>
        <v/>
      </c>
      <c r="B492" s="11" t="str">
        <f aca="false">IF(A492="","",INVENTÁRIO!B492)</f>
        <v/>
      </c>
      <c r="C492" s="16" t="str">
        <f aca="false">IF(A492="","",INVENTÁRIO!C492)</f>
        <v/>
      </c>
      <c r="D492" s="14" t="str">
        <f aca="false">IF(A492="","",MAX(K492:AD492))</f>
        <v/>
      </c>
      <c r="E492" s="14" t="str">
        <f aca="false">IF(A492="","",MAX(0,D492-C492))</f>
        <v/>
      </c>
      <c r="F492" s="16" t="str">
        <f aca="false">IF(A492="","",IF(D492=0,"Fora dos decks",IF(E492=0,"Completo","Falta")))</f>
        <v/>
      </c>
      <c r="G492" s="16" t="str">
        <f aca="false">IF(A492="","",COUNTIF(K492:AD492,"&gt;0"))</f>
        <v/>
      </c>
      <c r="H492" s="16" t="str">
        <f aca="false">IF(A492="","",IF(G492&gt;1,"Sim",""))</f>
        <v/>
      </c>
      <c r="I492" s="18" t="str">
        <f aca="false">IF(A492="","",SUMIFS(DECKS!$D$2:$D$1201,DECKS!$B$2:$B$1201,A492))</f>
        <v/>
      </c>
      <c r="J492" s="18" t="str">
        <f aca="false">IF(A492="","",MAX(0,I492-C492))</f>
        <v/>
      </c>
      <c r="K492" s="19" t="str">
        <f aca="false">IF(OR($A492="",INDEX(_LEITURA!$Q$2:$Q$21,1)=0),"",SUMIFS(DECKS!$D$2:$D$1201,DECKS!$A$2:$A$1201,INDEX(_LEITURA!$P$2:$P$21,1),DECKS!$B$2:$B$1201,$A492))</f>
        <v/>
      </c>
      <c r="L492" s="19" t="str">
        <f aca="false">IF(OR($A492="",INDEX(_LEITURA!$Q$2:$Q$21,2)=0),"",SUMIFS(DECKS!$D$2:$D$1201,DECKS!$A$2:$A$1201,INDEX(_LEITURA!$P$2:$P$21,2),DECKS!$B$2:$B$1201,$A492))</f>
        <v/>
      </c>
      <c r="M492" s="19" t="str">
        <f aca="false">IF(OR($A492="",INDEX(_LEITURA!$Q$2:$Q$21,3)=0),"",SUMIFS(DECKS!$D$2:$D$1201,DECKS!$A$2:$A$1201,INDEX(_LEITURA!$P$2:$P$21,3),DECKS!$B$2:$B$1201,$A492))</f>
        <v/>
      </c>
      <c r="N492" s="19" t="str">
        <f aca="false">IF(OR($A492="",INDEX(_LEITURA!$Q$2:$Q$21,4)=0),"",SUMIFS(DECKS!$D$2:$D$1201,DECKS!$A$2:$A$1201,INDEX(_LEITURA!$P$2:$P$21,4),DECKS!$B$2:$B$1201,$A492))</f>
        <v/>
      </c>
      <c r="O492" s="19" t="str">
        <f aca="false">IF(OR($A492="",INDEX(_LEITURA!$Q$2:$Q$21,5)=0),"",SUMIFS(DECKS!$D$2:$D$1201,DECKS!$A$2:$A$1201,INDEX(_LEITURA!$P$2:$P$21,5),DECKS!$B$2:$B$1201,$A492))</f>
        <v/>
      </c>
      <c r="P492" s="19" t="str">
        <f aca="false">IF(OR($A492="",INDEX(_LEITURA!$Q$2:$Q$21,6)=0),"",SUMIFS(DECKS!$D$2:$D$1201,DECKS!$A$2:$A$1201,INDEX(_LEITURA!$P$2:$P$21,6),DECKS!$B$2:$B$1201,$A492))</f>
        <v/>
      </c>
      <c r="Q492" s="19" t="str">
        <f aca="false">IF(OR($A492="",INDEX(_LEITURA!$Q$2:$Q$21,7)=0),"",SUMIFS(DECKS!$D$2:$D$1201,DECKS!$A$2:$A$1201,INDEX(_LEITURA!$P$2:$P$21,7),DECKS!$B$2:$B$1201,$A492))</f>
        <v/>
      </c>
      <c r="R492" s="19" t="str">
        <f aca="false">IF(OR($A492="",INDEX(_LEITURA!$Q$2:$Q$21,8)=0),"",SUMIFS(DECKS!$D$2:$D$1201,DECKS!$A$2:$A$1201,INDEX(_LEITURA!$P$2:$P$21,8),DECKS!$B$2:$B$1201,$A492))</f>
        <v/>
      </c>
      <c r="S492" s="19" t="str">
        <f aca="false">IF(OR($A492="",INDEX(_LEITURA!$Q$2:$Q$21,9)=0),"",SUMIFS(DECKS!$D$2:$D$1201,DECKS!$A$2:$A$1201,INDEX(_LEITURA!$P$2:$P$21,9),DECKS!$B$2:$B$1201,$A492))</f>
        <v/>
      </c>
      <c r="T492" s="19" t="str">
        <f aca="false">IF(OR($A492="",INDEX(_LEITURA!$Q$2:$Q$21,10)=0),"",SUMIFS(DECKS!$D$2:$D$1201,DECKS!$A$2:$A$1201,INDEX(_LEITURA!$P$2:$P$21,10),DECKS!$B$2:$B$1201,$A492))</f>
        <v/>
      </c>
      <c r="U492" s="19" t="str">
        <f aca="false">IF(OR($A492="",INDEX(_LEITURA!$Q$2:$Q$21,11)=0),"",SUMIFS(DECKS!$D$2:$D$1201,DECKS!$A$2:$A$1201,INDEX(_LEITURA!$P$2:$P$21,11),DECKS!$B$2:$B$1201,$A492))</f>
        <v/>
      </c>
      <c r="V492" s="19" t="str">
        <f aca="false">IF(OR($A492="",INDEX(_LEITURA!$Q$2:$Q$21,12)=0),"",SUMIFS(DECKS!$D$2:$D$1201,DECKS!$A$2:$A$1201,INDEX(_LEITURA!$P$2:$P$21,12),DECKS!$B$2:$B$1201,$A492))</f>
        <v/>
      </c>
      <c r="W492" s="19" t="str">
        <f aca="false">IF(OR($A492="",INDEX(_LEITURA!$Q$2:$Q$21,13)=0),"",SUMIFS(DECKS!$D$2:$D$1201,DECKS!$A$2:$A$1201,INDEX(_LEITURA!$P$2:$P$21,13),DECKS!$B$2:$B$1201,$A492))</f>
        <v/>
      </c>
      <c r="X492" s="19" t="str">
        <f aca="false">IF(OR($A492="",INDEX(_LEITURA!$Q$2:$Q$21,14)=0),"",SUMIFS(DECKS!$D$2:$D$1201,DECKS!$A$2:$A$1201,INDEX(_LEITURA!$P$2:$P$21,14),DECKS!$B$2:$B$1201,$A492))</f>
        <v/>
      </c>
      <c r="Y492" s="19" t="str">
        <f aca="false">IF(OR($A492="",INDEX(_LEITURA!$Q$2:$Q$21,15)=0),"",SUMIFS(DECKS!$D$2:$D$1201,DECKS!$A$2:$A$1201,INDEX(_LEITURA!$P$2:$P$21,15),DECKS!$B$2:$B$1201,$A492))</f>
        <v/>
      </c>
      <c r="Z492" s="19" t="str">
        <f aca="false">IF(OR($A492="",INDEX(_LEITURA!$Q$2:$Q$21,16)=0),"",SUMIFS(DECKS!$D$2:$D$1201,DECKS!$A$2:$A$1201,INDEX(_LEITURA!$P$2:$P$21,16),DECKS!$B$2:$B$1201,$A492))</f>
        <v/>
      </c>
      <c r="AA492" s="19" t="str">
        <f aca="false">IF(OR($A492="",INDEX(_LEITURA!$Q$2:$Q$21,17)=0),"",SUMIFS(DECKS!$D$2:$D$1201,DECKS!$A$2:$A$1201,INDEX(_LEITURA!$P$2:$P$21,17),DECKS!$B$2:$B$1201,$A492))</f>
        <v/>
      </c>
      <c r="AB492" s="19" t="str">
        <f aca="false">IF(OR($A492="",INDEX(_LEITURA!$Q$2:$Q$21,18)=0),"",SUMIFS(DECKS!$D$2:$D$1201,DECKS!$A$2:$A$1201,INDEX(_LEITURA!$P$2:$P$21,18),DECKS!$B$2:$B$1201,$A492))</f>
        <v/>
      </c>
      <c r="AC492" s="19" t="str">
        <f aca="false">IF(OR($A492="",INDEX(_LEITURA!$Q$2:$Q$21,19)=0),"",SUMIFS(DECKS!$D$2:$D$1201,DECKS!$A$2:$A$1201,INDEX(_LEITURA!$P$2:$P$21,19),DECKS!$B$2:$B$1201,$A492))</f>
        <v/>
      </c>
      <c r="AD492" s="19" t="str">
        <f aca="false">IF(OR($A492="",INDEX(_LEITURA!$Q$2:$Q$21,20)=0),"",SUMIFS(DECKS!$D$2:$D$1201,DECKS!$A$2:$A$1201,INDEX(_LEITURA!$P$2:$P$21,20),DECKS!$B$2:$B$1201,$A492))</f>
        <v/>
      </c>
      <c r="AE492" s="16" t="str">
        <f aca="false">IF(N(E492)&gt;0,MAX(AE$1:AE491)+1,"")</f>
        <v/>
      </c>
      <c r="AF492" s="11" t="str">
        <f aca="false">IF(A492="","",IFERROR(LEFT(A492,FIND("-",A492)-1),A492))</f>
        <v/>
      </c>
      <c r="AG492" s="11" t="str">
        <f aca="false">IF(AF492="","",IF(ISNUMBER(--MID(AF492,1,1)),0,IF(ISNUMBER(--MID(AF492,2,1)),1,IF(ISNUMBER(--MID(AF492,3,1)),2,IF(ISNUMBER(--MID(AF492,4,1)),3,MIN(LEN(AF492),4))))))</f>
        <v/>
      </c>
      <c r="AH492" s="11" t="str">
        <f aca="false">IF(A492="","",LEFT(AF492,AG492)&amp;REPT("0",4-AG492)&amp;RIGHT("000"&amp;IFERROR(VALUE(MID(AF492,AG492+1,9)),0),3)&amp;RIGHT("0000"&amp;IFERROR(VALUE(MID(A492,FIND("-",A492)+1,9)),0),4))</f>
        <v/>
      </c>
      <c r="AI492" s="11" t="str">
        <f aca="false">IF(OR(A492="",N(E492)&lt;=0),"",IF('FALTAS GERAL'!$M$1="Código","K"&amp;AH492&amp;RIGHT("00000"&amp;ROW(),5),IF('FALTAS GERAL'!$M$1="Nome","K"&amp;UPPER(SUBSTITUTE(SUBSTITUTE(SUBSTITUTE(B492,"*",""),"?",""),"~",""))&amp;"0"&amp;AH492&amp;RIGHT("00000"&amp;ROW(),5),IF('FALTAS GERAL'!$M$1="Falta (maior primeiro)","K"&amp;RIGHT("0000"&amp;(9999-E492),4)&amp;AH492&amp;RIGHT("00000"&amp;ROW(),5),IF('FALTAS GERAL'!$M$1="Nº de decks (maior primeiro)","K"&amp;RIGHT("00"&amp;(99-N(G492)),2)&amp;AH492&amp;RIGHT("00000"&amp;ROW(),5),"K"&amp;RIGHT("00000"&amp;ROW(),5))))))</f>
        <v/>
      </c>
      <c r="AJ492" s="11" t="str">
        <f aca="false">IF(AI492="","",COUNTIFS($AI$2:$AI$801,"&lt;"&amp;AI492,$E$2:$E$801,"&gt;0")+1)</f>
        <v/>
      </c>
      <c r="AK492" s="11" t="str">
        <f aca="false">IF(OR(A492="",N(E492)&lt;=0),"",COUNTIFS($AH$2:$AH$801,"&lt;"&amp;AH492,$E$2:$E$801,"&gt;0")+COUNTIFS($AH$2:AH492,AH492,$E$2:E492,"&gt;0"))</f>
        <v/>
      </c>
    </row>
    <row r="493" customFormat="false" ht="15" hidden="false" customHeight="false" outlineLevel="0" collapsed="false">
      <c r="A493" s="11" t="str">
        <f aca="false">IF(INVENTÁRIO!A493="","",INVENTÁRIO!A493)</f>
        <v/>
      </c>
      <c r="B493" s="11" t="str">
        <f aca="false">IF(A493="","",INVENTÁRIO!B493)</f>
        <v/>
      </c>
      <c r="C493" s="16" t="str">
        <f aca="false">IF(A493="","",INVENTÁRIO!C493)</f>
        <v/>
      </c>
      <c r="D493" s="14" t="str">
        <f aca="false">IF(A493="","",MAX(K493:AD493))</f>
        <v/>
      </c>
      <c r="E493" s="14" t="str">
        <f aca="false">IF(A493="","",MAX(0,D493-C493))</f>
        <v/>
      </c>
      <c r="F493" s="16" t="str">
        <f aca="false">IF(A493="","",IF(D493=0,"Fora dos decks",IF(E493=0,"Completo","Falta")))</f>
        <v/>
      </c>
      <c r="G493" s="16" t="str">
        <f aca="false">IF(A493="","",COUNTIF(K493:AD493,"&gt;0"))</f>
        <v/>
      </c>
      <c r="H493" s="16" t="str">
        <f aca="false">IF(A493="","",IF(G493&gt;1,"Sim",""))</f>
        <v/>
      </c>
      <c r="I493" s="18" t="str">
        <f aca="false">IF(A493="","",SUMIFS(DECKS!$D$2:$D$1201,DECKS!$B$2:$B$1201,A493))</f>
        <v/>
      </c>
      <c r="J493" s="18" t="str">
        <f aca="false">IF(A493="","",MAX(0,I493-C493))</f>
        <v/>
      </c>
      <c r="K493" s="19" t="str">
        <f aca="false">IF(OR($A493="",INDEX(_LEITURA!$Q$2:$Q$21,1)=0),"",SUMIFS(DECKS!$D$2:$D$1201,DECKS!$A$2:$A$1201,INDEX(_LEITURA!$P$2:$P$21,1),DECKS!$B$2:$B$1201,$A493))</f>
        <v/>
      </c>
      <c r="L493" s="19" t="str">
        <f aca="false">IF(OR($A493="",INDEX(_LEITURA!$Q$2:$Q$21,2)=0),"",SUMIFS(DECKS!$D$2:$D$1201,DECKS!$A$2:$A$1201,INDEX(_LEITURA!$P$2:$P$21,2),DECKS!$B$2:$B$1201,$A493))</f>
        <v/>
      </c>
      <c r="M493" s="19" t="str">
        <f aca="false">IF(OR($A493="",INDEX(_LEITURA!$Q$2:$Q$21,3)=0),"",SUMIFS(DECKS!$D$2:$D$1201,DECKS!$A$2:$A$1201,INDEX(_LEITURA!$P$2:$P$21,3),DECKS!$B$2:$B$1201,$A493))</f>
        <v/>
      </c>
      <c r="N493" s="19" t="str">
        <f aca="false">IF(OR($A493="",INDEX(_LEITURA!$Q$2:$Q$21,4)=0),"",SUMIFS(DECKS!$D$2:$D$1201,DECKS!$A$2:$A$1201,INDEX(_LEITURA!$P$2:$P$21,4),DECKS!$B$2:$B$1201,$A493))</f>
        <v/>
      </c>
      <c r="O493" s="19" t="str">
        <f aca="false">IF(OR($A493="",INDEX(_LEITURA!$Q$2:$Q$21,5)=0),"",SUMIFS(DECKS!$D$2:$D$1201,DECKS!$A$2:$A$1201,INDEX(_LEITURA!$P$2:$P$21,5),DECKS!$B$2:$B$1201,$A493))</f>
        <v/>
      </c>
      <c r="P493" s="19" t="str">
        <f aca="false">IF(OR($A493="",INDEX(_LEITURA!$Q$2:$Q$21,6)=0),"",SUMIFS(DECKS!$D$2:$D$1201,DECKS!$A$2:$A$1201,INDEX(_LEITURA!$P$2:$P$21,6),DECKS!$B$2:$B$1201,$A493))</f>
        <v/>
      </c>
      <c r="Q493" s="19" t="str">
        <f aca="false">IF(OR($A493="",INDEX(_LEITURA!$Q$2:$Q$21,7)=0),"",SUMIFS(DECKS!$D$2:$D$1201,DECKS!$A$2:$A$1201,INDEX(_LEITURA!$P$2:$P$21,7),DECKS!$B$2:$B$1201,$A493))</f>
        <v/>
      </c>
      <c r="R493" s="19" t="str">
        <f aca="false">IF(OR($A493="",INDEX(_LEITURA!$Q$2:$Q$21,8)=0),"",SUMIFS(DECKS!$D$2:$D$1201,DECKS!$A$2:$A$1201,INDEX(_LEITURA!$P$2:$P$21,8),DECKS!$B$2:$B$1201,$A493))</f>
        <v/>
      </c>
      <c r="S493" s="19" t="str">
        <f aca="false">IF(OR($A493="",INDEX(_LEITURA!$Q$2:$Q$21,9)=0),"",SUMIFS(DECKS!$D$2:$D$1201,DECKS!$A$2:$A$1201,INDEX(_LEITURA!$P$2:$P$21,9),DECKS!$B$2:$B$1201,$A493))</f>
        <v/>
      </c>
      <c r="T493" s="19" t="str">
        <f aca="false">IF(OR($A493="",INDEX(_LEITURA!$Q$2:$Q$21,10)=0),"",SUMIFS(DECKS!$D$2:$D$1201,DECKS!$A$2:$A$1201,INDEX(_LEITURA!$P$2:$P$21,10),DECKS!$B$2:$B$1201,$A493))</f>
        <v/>
      </c>
      <c r="U493" s="19" t="str">
        <f aca="false">IF(OR($A493="",INDEX(_LEITURA!$Q$2:$Q$21,11)=0),"",SUMIFS(DECKS!$D$2:$D$1201,DECKS!$A$2:$A$1201,INDEX(_LEITURA!$P$2:$P$21,11),DECKS!$B$2:$B$1201,$A493))</f>
        <v/>
      </c>
      <c r="V493" s="19" t="str">
        <f aca="false">IF(OR($A493="",INDEX(_LEITURA!$Q$2:$Q$21,12)=0),"",SUMIFS(DECKS!$D$2:$D$1201,DECKS!$A$2:$A$1201,INDEX(_LEITURA!$P$2:$P$21,12),DECKS!$B$2:$B$1201,$A493))</f>
        <v/>
      </c>
      <c r="W493" s="19" t="str">
        <f aca="false">IF(OR($A493="",INDEX(_LEITURA!$Q$2:$Q$21,13)=0),"",SUMIFS(DECKS!$D$2:$D$1201,DECKS!$A$2:$A$1201,INDEX(_LEITURA!$P$2:$P$21,13),DECKS!$B$2:$B$1201,$A493))</f>
        <v/>
      </c>
      <c r="X493" s="19" t="str">
        <f aca="false">IF(OR($A493="",INDEX(_LEITURA!$Q$2:$Q$21,14)=0),"",SUMIFS(DECKS!$D$2:$D$1201,DECKS!$A$2:$A$1201,INDEX(_LEITURA!$P$2:$P$21,14),DECKS!$B$2:$B$1201,$A493))</f>
        <v/>
      </c>
      <c r="Y493" s="19" t="str">
        <f aca="false">IF(OR($A493="",INDEX(_LEITURA!$Q$2:$Q$21,15)=0),"",SUMIFS(DECKS!$D$2:$D$1201,DECKS!$A$2:$A$1201,INDEX(_LEITURA!$P$2:$P$21,15),DECKS!$B$2:$B$1201,$A493))</f>
        <v/>
      </c>
      <c r="Z493" s="19" t="str">
        <f aca="false">IF(OR($A493="",INDEX(_LEITURA!$Q$2:$Q$21,16)=0),"",SUMIFS(DECKS!$D$2:$D$1201,DECKS!$A$2:$A$1201,INDEX(_LEITURA!$P$2:$P$21,16),DECKS!$B$2:$B$1201,$A493))</f>
        <v/>
      </c>
      <c r="AA493" s="19" t="str">
        <f aca="false">IF(OR($A493="",INDEX(_LEITURA!$Q$2:$Q$21,17)=0),"",SUMIFS(DECKS!$D$2:$D$1201,DECKS!$A$2:$A$1201,INDEX(_LEITURA!$P$2:$P$21,17),DECKS!$B$2:$B$1201,$A493))</f>
        <v/>
      </c>
      <c r="AB493" s="19" t="str">
        <f aca="false">IF(OR($A493="",INDEX(_LEITURA!$Q$2:$Q$21,18)=0),"",SUMIFS(DECKS!$D$2:$D$1201,DECKS!$A$2:$A$1201,INDEX(_LEITURA!$P$2:$P$21,18),DECKS!$B$2:$B$1201,$A493))</f>
        <v/>
      </c>
      <c r="AC493" s="19" t="str">
        <f aca="false">IF(OR($A493="",INDEX(_LEITURA!$Q$2:$Q$21,19)=0),"",SUMIFS(DECKS!$D$2:$D$1201,DECKS!$A$2:$A$1201,INDEX(_LEITURA!$P$2:$P$21,19),DECKS!$B$2:$B$1201,$A493))</f>
        <v/>
      </c>
      <c r="AD493" s="19" t="str">
        <f aca="false">IF(OR($A493="",INDEX(_LEITURA!$Q$2:$Q$21,20)=0),"",SUMIFS(DECKS!$D$2:$D$1201,DECKS!$A$2:$A$1201,INDEX(_LEITURA!$P$2:$P$21,20),DECKS!$B$2:$B$1201,$A493))</f>
        <v/>
      </c>
      <c r="AE493" s="16" t="str">
        <f aca="false">IF(N(E493)&gt;0,MAX(AE$1:AE492)+1,"")</f>
        <v/>
      </c>
      <c r="AF493" s="11" t="str">
        <f aca="false">IF(A493="","",IFERROR(LEFT(A493,FIND("-",A493)-1),A493))</f>
        <v/>
      </c>
      <c r="AG493" s="11" t="str">
        <f aca="false">IF(AF493="","",IF(ISNUMBER(--MID(AF493,1,1)),0,IF(ISNUMBER(--MID(AF493,2,1)),1,IF(ISNUMBER(--MID(AF493,3,1)),2,IF(ISNUMBER(--MID(AF493,4,1)),3,MIN(LEN(AF493),4))))))</f>
        <v/>
      </c>
      <c r="AH493" s="11" t="str">
        <f aca="false">IF(A493="","",LEFT(AF493,AG493)&amp;REPT("0",4-AG493)&amp;RIGHT("000"&amp;IFERROR(VALUE(MID(AF493,AG493+1,9)),0),3)&amp;RIGHT("0000"&amp;IFERROR(VALUE(MID(A493,FIND("-",A493)+1,9)),0),4))</f>
        <v/>
      </c>
      <c r="AI493" s="11" t="str">
        <f aca="false">IF(OR(A493="",N(E493)&lt;=0),"",IF('FALTAS GERAL'!$M$1="Código","K"&amp;AH493&amp;RIGHT("00000"&amp;ROW(),5),IF('FALTAS GERAL'!$M$1="Nome","K"&amp;UPPER(SUBSTITUTE(SUBSTITUTE(SUBSTITUTE(B493,"*",""),"?",""),"~",""))&amp;"0"&amp;AH493&amp;RIGHT("00000"&amp;ROW(),5),IF('FALTAS GERAL'!$M$1="Falta (maior primeiro)","K"&amp;RIGHT("0000"&amp;(9999-E493),4)&amp;AH493&amp;RIGHT("00000"&amp;ROW(),5),IF('FALTAS GERAL'!$M$1="Nº de decks (maior primeiro)","K"&amp;RIGHT("00"&amp;(99-N(G493)),2)&amp;AH493&amp;RIGHT("00000"&amp;ROW(),5),"K"&amp;RIGHT("00000"&amp;ROW(),5))))))</f>
        <v/>
      </c>
      <c r="AJ493" s="11" t="str">
        <f aca="false">IF(AI493="","",COUNTIFS($AI$2:$AI$801,"&lt;"&amp;AI493,$E$2:$E$801,"&gt;0")+1)</f>
        <v/>
      </c>
      <c r="AK493" s="11" t="str">
        <f aca="false">IF(OR(A493="",N(E493)&lt;=0),"",COUNTIFS($AH$2:$AH$801,"&lt;"&amp;AH493,$E$2:$E$801,"&gt;0")+COUNTIFS($AH$2:AH493,AH493,$E$2:E493,"&gt;0"))</f>
        <v/>
      </c>
    </row>
    <row r="494" customFormat="false" ht="15" hidden="false" customHeight="false" outlineLevel="0" collapsed="false">
      <c r="A494" s="11" t="str">
        <f aca="false">IF(INVENTÁRIO!A494="","",INVENTÁRIO!A494)</f>
        <v/>
      </c>
      <c r="B494" s="11" t="str">
        <f aca="false">IF(A494="","",INVENTÁRIO!B494)</f>
        <v/>
      </c>
      <c r="C494" s="16" t="str">
        <f aca="false">IF(A494="","",INVENTÁRIO!C494)</f>
        <v/>
      </c>
      <c r="D494" s="14" t="str">
        <f aca="false">IF(A494="","",MAX(K494:AD494))</f>
        <v/>
      </c>
      <c r="E494" s="14" t="str">
        <f aca="false">IF(A494="","",MAX(0,D494-C494))</f>
        <v/>
      </c>
      <c r="F494" s="16" t="str">
        <f aca="false">IF(A494="","",IF(D494=0,"Fora dos decks",IF(E494=0,"Completo","Falta")))</f>
        <v/>
      </c>
      <c r="G494" s="16" t="str">
        <f aca="false">IF(A494="","",COUNTIF(K494:AD494,"&gt;0"))</f>
        <v/>
      </c>
      <c r="H494" s="16" t="str">
        <f aca="false">IF(A494="","",IF(G494&gt;1,"Sim",""))</f>
        <v/>
      </c>
      <c r="I494" s="18" t="str">
        <f aca="false">IF(A494="","",SUMIFS(DECKS!$D$2:$D$1201,DECKS!$B$2:$B$1201,A494))</f>
        <v/>
      </c>
      <c r="J494" s="18" t="str">
        <f aca="false">IF(A494="","",MAX(0,I494-C494))</f>
        <v/>
      </c>
      <c r="K494" s="19" t="str">
        <f aca="false">IF(OR($A494="",INDEX(_LEITURA!$Q$2:$Q$21,1)=0),"",SUMIFS(DECKS!$D$2:$D$1201,DECKS!$A$2:$A$1201,INDEX(_LEITURA!$P$2:$P$21,1),DECKS!$B$2:$B$1201,$A494))</f>
        <v/>
      </c>
      <c r="L494" s="19" t="str">
        <f aca="false">IF(OR($A494="",INDEX(_LEITURA!$Q$2:$Q$21,2)=0),"",SUMIFS(DECKS!$D$2:$D$1201,DECKS!$A$2:$A$1201,INDEX(_LEITURA!$P$2:$P$21,2),DECKS!$B$2:$B$1201,$A494))</f>
        <v/>
      </c>
      <c r="M494" s="19" t="str">
        <f aca="false">IF(OR($A494="",INDEX(_LEITURA!$Q$2:$Q$21,3)=0),"",SUMIFS(DECKS!$D$2:$D$1201,DECKS!$A$2:$A$1201,INDEX(_LEITURA!$P$2:$P$21,3),DECKS!$B$2:$B$1201,$A494))</f>
        <v/>
      </c>
      <c r="N494" s="19" t="str">
        <f aca="false">IF(OR($A494="",INDEX(_LEITURA!$Q$2:$Q$21,4)=0),"",SUMIFS(DECKS!$D$2:$D$1201,DECKS!$A$2:$A$1201,INDEX(_LEITURA!$P$2:$P$21,4),DECKS!$B$2:$B$1201,$A494))</f>
        <v/>
      </c>
      <c r="O494" s="19" t="str">
        <f aca="false">IF(OR($A494="",INDEX(_LEITURA!$Q$2:$Q$21,5)=0),"",SUMIFS(DECKS!$D$2:$D$1201,DECKS!$A$2:$A$1201,INDEX(_LEITURA!$P$2:$P$21,5),DECKS!$B$2:$B$1201,$A494))</f>
        <v/>
      </c>
      <c r="P494" s="19" t="str">
        <f aca="false">IF(OR($A494="",INDEX(_LEITURA!$Q$2:$Q$21,6)=0),"",SUMIFS(DECKS!$D$2:$D$1201,DECKS!$A$2:$A$1201,INDEX(_LEITURA!$P$2:$P$21,6),DECKS!$B$2:$B$1201,$A494))</f>
        <v/>
      </c>
      <c r="Q494" s="19" t="str">
        <f aca="false">IF(OR($A494="",INDEX(_LEITURA!$Q$2:$Q$21,7)=0),"",SUMIFS(DECKS!$D$2:$D$1201,DECKS!$A$2:$A$1201,INDEX(_LEITURA!$P$2:$P$21,7),DECKS!$B$2:$B$1201,$A494))</f>
        <v/>
      </c>
      <c r="R494" s="19" t="str">
        <f aca="false">IF(OR($A494="",INDEX(_LEITURA!$Q$2:$Q$21,8)=0),"",SUMIFS(DECKS!$D$2:$D$1201,DECKS!$A$2:$A$1201,INDEX(_LEITURA!$P$2:$P$21,8),DECKS!$B$2:$B$1201,$A494))</f>
        <v/>
      </c>
      <c r="S494" s="19" t="str">
        <f aca="false">IF(OR($A494="",INDEX(_LEITURA!$Q$2:$Q$21,9)=0),"",SUMIFS(DECKS!$D$2:$D$1201,DECKS!$A$2:$A$1201,INDEX(_LEITURA!$P$2:$P$21,9),DECKS!$B$2:$B$1201,$A494))</f>
        <v/>
      </c>
      <c r="T494" s="19" t="str">
        <f aca="false">IF(OR($A494="",INDEX(_LEITURA!$Q$2:$Q$21,10)=0),"",SUMIFS(DECKS!$D$2:$D$1201,DECKS!$A$2:$A$1201,INDEX(_LEITURA!$P$2:$P$21,10),DECKS!$B$2:$B$1201,$A494))</f>
        <v/>
      </c>
      <c r="U494" s="19" t="str">
        <f aca="false">IF(OR($A494="",INDEX(_LEITURA!$Q$2:$Q$21,11)=0),"",SUMIFS(DECKS!$D$2:$D$1201,DECKS!$A$2:$A$1201,INDEX(_LEITURA!$P$2:$P$21,11),DECKS!$B$2:$B$1201,$A494))</f>
        <v/>
      </c>
      <c r="V494" s="19" t="str">
        <f aca="false">IF(OR($A494="",INDEX(_LEITURA!$Q$2:$Q$21,12)=0),"",SUMIFS(DECKS!$D$2:$D$1201,DECKS!$A$2:$A$1201,INDEX(_LEITURA!$P$2:$P$21,12),DECKS!$B$2:$B$1201,$A494))</f>
        <v/>
      </c>
      <c r="W494" s="19" t="str">
        <f aca="false">IF(OR($A494="",INDEX(_LEITURA!$Q$2:$Q$21,13)=0),"",SUMIFS(DECKS!$D$2:$D$1201,DECKS!$A$2:$A$1201,INDEX(_LEITURA!$P$2:$P$21,13),DECKS!$B$2:$B$1201,$A494))</f>
        <v/>
      </c>
      <c r="X494" s="19" t="str">
        <f aca="false">IF(OR($A494="",INDEX(_LEITURA!$Q$2:$Q$21,14)=0),"",SUMIFS(DECKS!$D$2:$D$1201,DECKS!$A$2:$A$1201,INDEX(_LEITURA!$P$2:$P$21,14),DECKS!$B$2:$B$1201,$A494))</f>
        <v/>
      </c>
      <c r="Y494" s="19" t="str">
        <f aca="false">IF(OR($A494="",INDEX(_LEITURA!$Q$2:$Q$21,15)=0),"",SUMIFS(DECKS!$D$2:$D$1201,DECKS!$A$2:$A$1201,INDEX(_LEITURA!$P$2:$P$21,15),DECKS!$B$2:$B$1201,$A494))</f>
        <v/>
      </c>
      <c r="Z494" s="19" t="str">
        <f aca="false">IF(OR($A494="",INDEX(_LEITURA!$Q$2:$Q$21,16)=0),"",SUMIFS(DECKS!$D$2:$D$1201,DECKS!$A$2:$A$1201,INDEX(_LEITURA!$P$2:$P$21,16),DECKS!$B$2:$B$1201,$A494))</f>
        <v/>
      </c>
      <c r="AA494" s="19" t="str">
        <f aca="false">IF(OR($A494="",INDEX(_LEITURA!$Q$2:$Q$21,17)=0),"",SUMIFS(DECKS!$D$2:$D$1201,DECKS!$A$2:$A$1201,INDEX(_LEITURA!$P$2:$P$21,17),DECKS!$B$2:$B$1201,$A494))</f>
        <v/>
      </c>
      <c r="AB494" s="19" t="str">
        <f aca="false">IF(OR($A494="",INDEX(_LEITURA!$Q$2:$Q$21,18)=0),"",SUMIFS(DECKS!$D$2:$D$1201,DECKS!$A$2:$A$1201,INDEX(_LEITURA!$P$2:$P$21,18),DECKS!$B$2:$B$1201,$A494))</f>
        <v/>
      </c>
      <c r="AC494" s="19" t="str">
        <f aca="false">IF(OR($A494="",INDEX(_LEITURA!$Q$2:$Q$21,19)=0),"",SUMIFS(DECKS!$D$2:$D$1201,DECKS!$A$2:$A$1201,INDEX(_LEITURA!$P$2:$P$21,19),DECKS!$B$2:$B$1201,$A494))</f>
        <v/>
      </c>
      <c r="AD494" s="19" t="str">
        <f aca="false">IF(OR($A494="",INDEX(_LEITURA!$Q$2:$Q$21,20)=0),"",SUMIFS(DECKS!$D$2:$D$1201,DECKS!$A$2:$A$1201,INDEX(_LEITURA!$P$2:$P$21,20),DECKS!$B$2:$B$1201,$A494))</f>
        <v/>
      </c>
      <c r="AE494" s="16" t="str">
        <f aca="false">IF(N(E494)&gt;0,MAX(AE$1:AE493)+1,"")</f>
        <v/>
      </c>
      <c r="AF494" s="11" t="str">
        <f aca="false">IF(A494="","",IFERROR(LEFT(A494,FIND("-",A494)-1),A494))</f>
        <v/>
      </c>
      <c r="AG494" s="11" t="str">
        <f aca="false">IF(AF494="","",IF(ISNUMBER(--MID(AF494,1,1)),0,IF(ISNUMBER(--MID(AF494,2,1)),1,IF(ISNUMBER(--MID(AF494,3,1)),2,IF(ISNUMBER(--MID(AF494,4,1)),3,MIN(LEN(AF494),4))))))</f>
        <v/>
      </c>
      <c r="AH494" s="11" t="str">
        <f aca="false">IF(A494="","",LEFT(AF494,AG494)&amp;REPT("0",4-AG494)&amp;RIGHT("000"&amp;IFERROR(VALUE(MID(AF494,AG494+1,9)),0),3)&amp;RIGHT("0000"&amp;IFERROR(VALUE(MID(A494,FIND("-",A494)+1,9)),0),4))</f>
        <v/>
      </c>
      <c r="AI494" s="11" t="str">
        <f aca="false">IF(OR(A494="",N(E494)&lt;=0),"",IF('FALTAS GERAL'!$M$1="Código","K"&amp;AH494&amp;RIGHT("00000"&amp;ROW(),5),IF('FALTAS GERAL'!$M$1="Nome","K"&amp;UPPER(SUBSTITUTE(SUBSTITUTE(SUBSTITUTE(B494,"*",""),"?",""),"~",""))&amp;"0"&amp;AH494&amp;RIGHT("00000"&amp;ROW(),5),IF('FALTAS GERAL'!$M$1="Falta (maior primeiro)","K"&amp;RIGHT("0000"&amp;(9999-E494),4)&amp;AH494&amp;RIGHT("00000"&amp;ROW(),5),IF('FALTAS GERAL'!$M$1="Nº de decks (maior primeiro)","K"&amp;RIGHT("00"&amp;(99-N(G494)),2)&amp;AH494&amp;RIGHT("00000"&amp;ROW(),5),"K"&amp;RIGHT("00000"&amp;ROW(),5))))))</f>
        <v/>
      </c>
      <c r="AJ494" s="11" t="str">
        <f aca="false">IF(AI494="","",COUNTIFS($AI$2:$AI$801,"&lt;"&amp;AI494,$E$2:$E$801,"&gt;0")+1)</f>
        <v/>
      </c>
      <c r="AK494" s="11" t="str">
        <f aca="false">IF(OR(A494="",N(E494)&lt;=0),"",COUNTIFS($AH$2:$AH$801,"&lt;"&amp;AH494,$E$2:$E$801,"&gt;0")+COUNTIFS($AH$2:AH494,AH494,$E$2:E494,"&gt;0"))</f>
        <v/>
      </c>
    </row>
    <row r="495" customFormat="false" ht="15" hidden="false" customHeight="false" outlineLevel="0" collapsed="false">
      <c r="A495" s="11" t="str">
        <f aca="false">IF(INVENTÁRIO!A495="","",INVENTÁRIO!A495)</f>
        <v/>
      </c>
      <c r="B495" s="11" t="str">
        <f aca="false">IF(A495="","",INVENTÁRIO!B495)</f>
        <v/>
      </c>
      <c r="C495" s="16" t="str">
        <f aca="false">IF(A495="","",INVENTÁRIO!C495)</f>
        <v/>
      </c>
      <c r="D495" s="14" t="str">
        <f aca="false">IF(A495="","",MAX(K495:AD495))</f>
        <v/>
      </c>
      <c r="E495" s="14" t="str">
        <f aca="false">IF(A495="","",MAX(0,D495-C495))</f>
        <v/>
      </c>
      <c r="F495" s="16" t="str">
        <f aca="false">IF(A495="","",IF(D495=0,"Fora dos decks",IF(E495=0,"Completo","Falta")))</f>
        <v/>
      </c>
      <c r="G495" s="16" t="str">
        <f aca="false">IF(A495="","",COUNTIF(K495:AD495,"&gt;0"))</f>
        <v/>
      </c>
      <c r="H495" s="16" t="str">
        <f aca="false">IF(A495="","",IF(G495&gt;1,"Sim",""))</f>
        <v/>
      </c>
      <c r="I495" s="18" t="str">
        <f aca="false">IF(A495="","",SUMIFS(DECKS!$D$2:$D$1201,DECKS!$B$2:$B$1201,A495))</f>
        <v/>
      </c>
      <c r="J495" s="18" t="str">
        <f aca="false">IF(A495="","",MAX(0,I495-C495))</f>
        <v/>
      </c>
      <c r="K495" s="19" t="str">
        <f aca="false">IF(OR($A495="",INDEX(_LEITURA!$Q$2:$Q$21,1)=0),"",SUMIFS(DECKS!$D$2:$D$1201,DECKS!$A$2:$A$1201,INDEX(_LEITURA!$P$2:$P$21,1),DECKS!$B$2:$B$1201,$A495))</f>
        <v/>
      </c>
      <c r="L495" s="19" t="str">
        <f aca="false">IF(OR($A495="",INDEX(_LEITURA!$Q$2:$Q$21,2)=0),"",SUMIFS(DECKS!$D$2:$D$1201,DECKS!$A$2:$A$1201,INDEX(_LEITURA!$P$2:$P$21,2),DECKS!$B$2:$B$1201,$A495))</f>
        <v/>
      </c>
      <c r="M495" s="19" t="str">
        <f aca="false">IF(OR($A495="",INDEX(_LEITURA!$Q$2:$Q$21,3)=0),"",SUMIFS(DECKS!$D$2:$D$1201,DECKS!$A$2:$A$1201,INDEX(_LEITURA!$P$2:$P$21,3),DECKS!$B$2:$B$1201,$A495))</f>
        <v/>
      </c>
      <c r="N495" s="19" t="str">
        <f aca="false">IF(OR($A495="",INDEX(_LEITURA!$Q$2:$Q$21,4)=0),"",SUMIFS(DECKS!$D$2:$D$1201,DECKS!$A$2:$A$1201,INDEX(_LEITURA!$P$2:$P$21,4),DECKS!$B$2:$B$1201,$A495))</f>
        <v/>
      </c>
      <c r="O495" s="19" t="str">
        <f aca="false">IF(OR($A495="",INDEX(_LEITURA!$Q$2:$Q$21,5)=0),"",SUMIFS(DECKS!$D$2:$D$1201,DECKS!$A$2:$A$1201,INDEX(_LEITURA!$P$2:$P$21,5),DECKS!$B$2:$B$1201,$A495))</f>
        <v/>
      </c>
      <c r="P495" s="19" t="str">
        <f aca="false">IF(OR($A495="",INDEX(_LEITURA!$Q$2:$Q$21,6)=0),"",SUMIFS(DECKS!$D$2:$D$1201,DECKS!$A$2:$A$1201,INDEX(_LEITURA!$P$2:$P$21,6),DECKS!$B$2:$B$1201,$A495))</f>
        <v/>
      </c>
      <c r="Q495" s="19" t="str">
        <f aca="false">IF(OR($A495="",INDEX(_LEITURA!$Q$2:$Q$21,7)=0),"",SUMIFS(DECKS!$D$2:$D$1201,DECKS!$A$2:$A$1201,INDEX(_LEITURA!$P$2:$P$21,7),DECKS!$B$2:$B$1201,$A495))</f>
        <v/>
      </c>
      <c r="R495" s="19" t="str">
        <f aca="false">IF(OR($A495="",INDEX(_LEITURA!$Q$2:$Q$21,8)=0),"",SUMIFS(DECKS!$D$2:$D$1201,DECKS!$A$2:$A$1201,INDEX(_LEITURA!$P$2:$P$21,8),DECKS!$B$2:$B$1201,$A495))</f>
        <v/>
      </c>
      <c r="S495" s="19" t="str">
        <f aca="false">IF(OR($A495="",INDEX(_LEITURA!$Q$2:$Q$21,9)=0),"",SUMIFS(DECKS!$D$2:$D$1201,DECKS!$A$2:$A$1201,INDEX(_LEITURA!$P$2:$P$21,9),DECKS!$B$2:$B$1201,$A495))</f>
        <v/>
      </c>
      <c r="T495" s="19" t="str">
        <f aca="false">IF(OR($A495="",INDEX(_LEITURA!$Q$2:$Q$21,10)=0),"",SUMIFS(DECKS!$D$2:$D$1201,DECKS!$A$2:$A$1201,INDEX(_LEITURA!$P$2:$P$21,10),DECKS!$B$2:$B$1201,$A495))</f>
        <v/>
      </c>
      <c r="U495" s="19" t="str">
        <f aca="false">IF(OR($A495="",INDEX(_LEITURA!$Q$2:$Q$21,11)=0),"",SUMIFS(DECKS!$D$2:$D$1201,DECKS!$A$2:$A$1201,INDEX(_LEITURA!$P$2:$P$21,11),DECKS!$B$2:$B$1201,$A495))</f>
        <v/>
      </c>
      <c r="V495" s="19" t="str">
        <f aca="false">IF(OR($A495="",INDEX(_LEITURA!$Q$2:$Q$21,12)=0),"",SUMIFS(DECKS!$D$2:$D$1201,DECKS!$A$2:$A$1201,INDEX(_LEITURA!$P$2:$P$21,12),DECKS!$B$2:$B$1201,$A495))</f>
        <v/>
      </c>
      <c r="W495" s="19" t="str">
        <f aca="false">IF(OR($A495="",INDEX(_LEITURA!$Q$2:$Q$21,13)=0),"",SUMIFS(DECKS!$D$2:$D$1201,DECKS!$A$2:$A$1201,INDEX(_LEITURA!$P$2:$P$21,13),DECKS!$B$2:$B$1201,$A495))</f>
        <v/>
      </c>
      <c r="X495" s="19" t="str">
        <f aca="false">IF(OR($A495="",INDEX(_LEITURA!$Q$2:$Q$21,14)=0),"",SUMIFS(DECKS!$D$2:$D$1201,DECKS!$A$2:$A$1201,INDEX(_LEITURA!$P$2:$P$21,14),DECKS!$B$2:$B$1201,$A495))</f>
        <v/>
      </c>
      <c r="Y495" s="19" t="str">
        <f aca="false">IF(OR($A495="",INDEX(_LEITURA!$Q$2:$Q$21,15)=0),"",SUMIFS(DECKS!$D$2:$D$1201,DECKS!$A$2:$A$1201,INDEX(_LEITURA!$P$2:$P$21,15),DECKS!$B$2:$B$1201,$A495))</f>
        <v/>
      </c>
      <c r="Z495" s="19" t="str">
        <f aca="false">IF(OR($A495="",INDEX(_LEITURA!$Q$2:$Q$21,16)=0),"",SUMIFS(DECKS!$D$2:$D$1201,DECKS!$A$2:$A$1201,INDEX(_LEITURA!$P$2:$P$21,16),DECKS!$B$2:$B$1201,$A495))</f>
        <v/>
      </c>
      <c r="AA495" s="19" t="str">
        <f aca="false">IF(OR($A495="",INDEX(_LEITURA!$Q$2:$Q$21,17)=0),"",SUMIFS(DECKS!$D$2:$D$1201,DECKS!$A$2:$A$1201,INDEX(_LEITURA!$P$2:$P$21,17),DECKS!$B$2:$B$1201,$A495))</f>
        <v/>
      </c>
      <c r="AB495" s="19" t="str">
        <f aca="false">IF(OR($A495="",INDEX(_LEITURA!$Q$2:$Q$21,18)=0),"",SUMIFS(DECKS!$D$2:$D$1201,DECKS!$A$2:$A$1201,INDEX(_LEITURA!$P$2:$P$21,18),DECKS!$B$2:$B$1201,$A495))</f>
        <v/>
      </c>
      <c r="AC495" s="19" t="str">
        <f aca="false">IF(OR($A495="",INDEX(_LEITURA!$Q$2:$Q$21,19)=0),"",SUMIFS(DECKS!$D$2:$D$1201,DECKS!$A$2:$A$1201,INDEX(_LEITURA!$P$2:$P$21,19),DECKS!$B$2:$B$1201,$A495))</f>
        <v/>
      </c>
      <c r="AD495" s="19" t="str">
        <f aca="false">IF(OR($A495="",INDEX(_LEITURA!$Q$2:$Q$21,20)=0),"",SUMIFS(DECKS!$D$2:$D$1201,DECKS!$A$2:$A$1201,INDEX(_LEITURA!$P$2:$P$21,20),DECKS!$B$2:$B$1201,$A495))</f>
        <v/>
      </c>
      <c r="AE495" s="16" t="str">
        <f aca="false">IF(N(E495)&gt;0,MAX(AE$1:AE494)+1,"")</f>
        <v/>
      </c>
      <c r="AF495" s="11" t="str">
        <f aca="false">IF(A495="","",IFERROR(LEFT(A495,FIND("-",A495)-1),A495))</f>
        <v/>
      </c>
      <c r="AG495" s="11" t="str">
        <f aca="false">IF(AF495="","",IF(ISNUMBER(--MID(AF495,1,1)),0,IF(ISNUMBER(--MID(AF495,2,1)),1,IF(ISNUMBER(--MID(AF495,3,1)),2,IF(ISNUMBER(--MID(AF495,4,1)),3,MIN(LEN(AF495),4))))))</f>
        <v/>
      </c>
      <c r="AH495" s="11" t="str">
        <f aca="false">IF(A495="","",LEFT(AF495,AG495)&amp;REPT("0",4-AG495)&amp;RIGHT("000"&amp;IFERROR(VALUE(MID(AF495,AG495+1,9)),0),3)&amp;RIGHT("0000"&amp;IFERROR(VALUE(MID(A495,FIND("-",A495)+1,9)),0),4))</f>
        <v/>
      </c>
      <c r="AI495" s="11" t="str">
        <f aca="false">IF(OR(A495="",N(E495)&lt;=0),"",IF('FALTAS GERAL'!$M$1="Código","K"&amp;AH495&amp;RIGHT("00000"&amp;ROW(),5),IF('FALTAS GERAL'!$M$1="Nome","K"&amp;UPPER(SUBSTITUTE(SUBSTITUTE(SUBSTITUTE(B495,"*",""),"?",""),"~",""))&amp;"0"&amp;AH495&amp;RIGHT("00000"&amp;ROW(),5),IF('FALTAS GERAL'!$M$1="Falta (maior primeiro)","K"&amp;RIGHT("0000"&amp;(9999-E495),4)&amp;AH495&amp;RIGHT("00000"&amp;ROW(),5),IF('FALTAS GERAL'!$M$1="Nº de decks (maior primeiro)","K"&amp;RIGHT("00"&amp;(99-N(G495)),2)&amp;AH495&amp;RIGHT("00000"&amp;ROW(),5),"K"&amp;RIGHT("00000"&amp;ROW(),5))))))</f>
        <v/>
      </c>
      <c r="AJ495" s="11" t="str">
        <f aca="false">IF(AI495="","",COUNTIFS($AI$2:$AI$801,"&lt;"&amp;AI495,$E$2:$E$801,"&gt;0")+1)</f>
        <v/>
      </c>
      <c r="AK495" s="11" t="str">
        <f aca="false">IF(OR(A495="",N(E495)&lt;=0),"",COUNTIFS($AH$2:$AH$801,"&lt;"&amp;AH495,$E$2:$E$801,"&gt;0")+COUNTIFS($AH$2:AH495,AH495,$E$2:E495,"&gt;0"))</f>
        <v/>
      </c>
    </row>
    <row r="496" customFormat="false" ht="15" hidden="false" customHeight="false" outlineLevel="0" collapsed="false">
      <c r="A496" s="11" t="str">
        <f aca="false">IF(INVENTÁRIO!A496="","",INVENTÁRIO!A496)</f>
        <v/>
      </c>
      <c r="B496" s="11" t="str">
        <f aca="false">IF(A496="","",INVENTÁRIO!B496)</f>
        <v/>
      </c>
      <c r="C496" s="16" t="str">
        <f aca="false">IF(A496="","",INVENTÁRIO!C496)</f>
        <v/>
      </c>
      <c r="D496" s="14" t="str">
        <f aca="false">IF(A496="","",MAX(K496:AD496))</f>
        <v/>
      </c>
      <c r="E496" s="14" t="str">
        <f aca="false">IF(A496="","",MAX(0,D496-C496))</f>
        <v/>
      </c>
      <c r="F496" s="16" t="str">
        <f aca="false">IF(A496="","",IF(D496=0,"Fora dos decks",IF(E496=0,"Completo","Falta")))</f>
        <v/>
      </c>
      <c r="G496" s="16" t="str">
        <f aca="false">IF(A496="","",COUNTIF(K496:AD496,"&gt;0"))</f>
        <v/>
      </c>
      <c r="H496" s="16" t="str">
        <f aca="false">IF(A496="","",IF(G496&gt;1,"Sim",""))</f>
        <v/>
      </c>
      <c r="I496" s="18" t="str">
        <f aca="false">IF(A496="","",SUMIFS(DECKS!$D$2:$D$1201,DECKS!$B$2:$B$1201,A496))</f>
        <v/>
      </c>
      <c r="J496" s="18" t="str">
        <f aca="false">IF(A496="","",MAX(0,I496-C496))</f>
        <v/>
      </c>
      <c r="K496" s="19" t="str">
        <f aca="false">IF(OR($A496="",INDEX(_LEITURA!$Q$2:$Q$21,1)=0),"",SUMIFS(DECKS!$D$2:$D$1201,DECKS!$A$2:$A$1201,INDEX(_LEITURA!$P$2:$P$21,1),DECKS!$B$2:$B$1201,$A496))</f>
        <v/>
      </c>
      <c r="L496" s="19" t="str">
        <f aca="false">IF(OR($A496="",INDEX(_LEITURA!$Q$2:$Q$21,2)=0),"",SUMIFS(DECKS!$D$2:$D$1201,DECKS!$A$2:$A$1201,INDEX(_LEITURA!$P$2:$P$21,2),DECKS!$B$2:$B$1201,$A496))</f>
        <v/>
      </c>
      <c r="M496" s="19" t="str">
        <f aca="false">IF(OR($A496="",INDEX(_LEITURA!$Q$2:$Q$21,3)=0),"",SUMIFS(DECKS!$D$2:$D$1201,DECKS!$A$2:$A$1201,INDEX(_LEITURA!$P$2:$P$21,3),DECKS!$B$2:$B$1201,$A496))</f>
        <v/>
      </c>
      <c r="N496" s="19" t="str">
        <f aca="false">IF(OR($A496="",INDEX(_LEITURA!$Q$2:$Q$21,4)=0),"",SUMIFS(DECKS!$D$2:$D$1201,DECKS!$A$2:$A$1201,INDEX(_LEITURA!$P$2:$P$21,4),DECKS!$B$2:$B$1201,$A496))</f>
        <v/>
      </c>
      <c r="O496" s="19" t="str">
        <f aca="false">IF(OR($A496="",INDEX(_LEITURA!$Q$2:$Q$21,5)=0),"",SUMIFS(DECKS!$D$2:$D$1201,DECKS!$A$2:$A$1201,INDEX(_LEITURA!$P$2:$P$21,5),DECKS!$B$2:$B$1201,$A496))</f>
        <v/>
      </c>
      <c r="P496" s="19" t="str">
        <f aca="false">IF(OR($A496="",INDEX(_LEITURA!$Q$2:$Q$21,6)=0),"",SUMIFS(DECKS!$D$2:$D$1201,DECKS!$A$2:$A$1201,INDEX(_LEITURA!$P$2:$P$21,6),DECKS!$B$2:$B$1201,$A496))</f>
        <v/>
      </c>
      <c r="Q496" s="19" t="str">
        <f aca="false">IF(OR($A496="",INDEX(_LEITURA!$Q$2:$Q$21,7)=0),"",SUMIFS(DECKS!$D$2:$D$1201,DECKS!$A$2:$A$1201,INDEX(_LEITURA!$P$2:$P$21,7),DECKS!$B$2:$B$1201,$A496))</f>
        <v/>
      </c>
      <c r="R496" s="19" t="str">
        <f aca="false">IF(OR($A496="",INDEX(_LEITURA!$Q$2:$Q$21,8)=0),"",SUMIFS(DECKS!$D$2:$D$1201,DECKS!$A$2:$A$1201,INDEX(_LEITURA!$P$2:$P$21,8),DECKS!$B$2:$B$1201,$A496))</f>
        <v/>
      </c>
      <c r="S496" s="19" t="str">
        <f aca="false">IF(OR($A496="",INDEX(_LEITURA!$Q$2:$Q$21,9)=0),"",SUMIFS(DECKS!$D$2:$D$1201,DECKS!$A$2:$A$1201,INDEX(_LEITURA!$P$2:$P$21,9),DECKS!$B$2:$B$1201,$A496))</f>
        <v/>
      </c>
      <c r="T496" s="19" t="str">
        <f aca="false">IF(OR($A496="",INDEX(_LEITURA!$Q$2:$Q$21,10)=0),"",SUMIFS(DECKS!$D$2:$D$1201,DECKS!$A$2:$A$1201,INDEX(_LEITURA!$P$2:$P$21,10),DECKS!$B$2:$B$1201,$A496))</f>
        <v/>
      </c>
      <c r="U496" s="19" t="str">
        <f aca="false">IF(OR($A496="",INDEX(_LEITURA!$Q$2:$Q$21,11)=0),"",SUMIFS(DECKS!$D$2:$D$1201,DECKS!$A$2:$A$1201,INDEX(_LEITURA!$P$2:$P$21,11),DECKS!$B$2:$B$1201,$A496))</f>
        <v/>
      </c>
      <c r="V496" s="19" t="str">
        <f aca="false">IF(OR($A496="",INDEX(_LEITURA!$Q$2:$Q$21,12)=0),"",SUMIFS(DECKS!$D$2:$D$1201,DECKS!$A$2:$A$1201,INDEX(_LEITURA!$P$2:$P$21,12),DECKS!$B$2:$B$1201,$A496))</f>
        <v/>
      </c>
      <c r="W496" s="19" t="str">
        <f aca="false">IF(OR($A496="",INDEX(_LEITURA!$Q$2:$Q$21,13)=0),"",SUMIFS(DECKS!$D$2:$D$1201,DECKS!$A$2:$A$1201,INDEX(_LEITURA!$P$2:$P$21,13),DECKS!$B$2:$B$1201,$A496))</f>
        <v/>
      </c>
      <c r="X496" s="19" t="str">
        <f aca="false">IF(OR($A496="",INDEX(_LEITURA!$Q$2:$Q$21,14)=0),"",SUMIFS(DECKS!$D$2:$D$1201,DECKS!$A$2:$A$1201,INDEX(_LEITURA!$P$2:$P$21,14),DECKS!$B$2:$B$1201,$A496))</f>
        <v/>
      </c>
      <c r="Y496" s="19" t="str">
        <f aca="false">IF(OR($A496="",INDEX(_LEITURA!$Q$2:$Q$21,15)=0),"",SUMIFS(DECKS!$D$2:$D$1201,DECKS!$A$2:$A$1201,INDEX(_LEITURA!$P$2:$P$21,15),DECKS!$B$2:$B$1201,$A496))</f>
        <v/>
      </c>
      <c r="Z496" s="19" t="str">
        <f aca="false">IF(OR($A496="",INDEX(_LEITURA!$Q$2:$Q$21,16)=0),"",SUMIFS(DECKS!$D$2:$D$1201,DECKS!$A$2:$A$1201,INDEX(_LEITURA!$P$2:$P$21,16),DECKS!$B$2:$B$1201,$A496))</f>
        <v/>
      </c>
      <c r="AA496" s="19" t="str">
        <f aca="false">IF(OR($A496="",INDEX(_LEITURA!$Q$2:$Q$21,17)=0),"",SUMIFS(DECKS!$D$2:$D$1201,DECKS!$A$2:$A$1201,INDEX(_LEITURA!$P$2:$P$21,17),DECKS!$B$2:$B$1201,$A496))</f>
        <v/>
      </c>
      <c r="AB496" s="19" t="str">
        <f aca="false">IF(OR($A496="",INDEX(_LEITURA!$Q$2:$Q$21,18)=0),"",SUMIFS(DECKS!$D$2:$D$1201,DECKS!$A$2:$A$1201,INDEX(_LEITURA!$P$2:$P$21,18),DECKS!$B$2:$B$1201,$A496))</f>
        <v/>
      </c>
      <c r="AC496" s="19" t="str">
        <f aca="false">IF(OR($A496="",INDEX(_LEITURA!$Q$2:$Q$21,19)=0),"",SUMIFS(DECKS!$D$2:$D$1201,DECKS!$A$2:$A$1201,INDEX(_LEITURA!$P$2:$P$21,19),DECKS!$B$2:$B$1201,$A496))</f>
        <v/>
      </c>
      <c r="AD496" s="19" t="str">
        <f aca="false">IF(OR($A496="",INDEX(_LEITURA!$Q$2:$Q$21,20)=0),"",SUMIFS(DECKS!$D$2:$D$1201,DECKS!$A$2:$A$1201,INDEX(_LEITURA!$P$2:$P$21,20),DECKS!$B$2:$B$1201,$A496))</f>
        <v/>
      </c>
      <c r="AE496" s="16" t="str">
        <f aca="false">IF(N(E496)&gt;0,MAX(AE$1:AE495)+1,"")</f>
        <v/>
      </c>
      <c r="AF496" s="11" t="str">
        <f aca="false">IF(A496="","",IFERROR(LEFT(A496,FIND("-",A496)-1),A496))</f>
        <v/>
      </c>
      <c r="AG496" s="11" t="str">
        <f aca="false">IF(AF496="","",IF(ISNUMBER(--MID(AF496,1,1)),0,IF(ISNUMBER(--MID(AF496,2,1)),1,IF(ISNUMBER(--MID(AF496,3,1)),2,IF(ISNUMBER(--MID(AF496,4,1)),3,MIN(LEN(AF496),4))))))</f>
        <v/>
      </c>
      <c r="AH496" s="11" t="str">
        <f aca="false">IF(A496="","",LEFT(AF496,AG496)&amp;REPT("0",4-AG496)&amp;RIGHT("000"&amp;IFERROR(VALUE(MID(AF496,AG496+1,9)),0),3)&amp;RIGHT("0000"&amp;IFERROR(VALUE(MID(A496,FIND("-",A496)+1,9)),0),4))</f>
        <v/>
      </c>
      <c r="AI496" s="11" t="str">
        <f aca="false">IF(OR(A496="",N(E496)&lt;=0),"",IF('FALTAS GERAL'!$M$1="Código","K"&amp;AH496&amp;RIGHT("00000"&amp;ROW(),5),IF('FALTAS GERAL'!$M$1="Nome","K"&amp;UPPER(SUBSTITUTE(SUBSTITUTE(SUBSTITUTE(B496,"*",""),"?",""),"~",""))&amp;"0"&amp;AH496&amp;RIGHT("00000"&amp;ROW(),5),IF('FALTAS GERAL'!$M$1="Falta (maior primeiro)","K"&amp;RIGHT("0000"&amp;(9999-E496),4)&amp;AH496&amp;RIGHT("00000"&amp;ROW(),5),IF('FALTAS GERAL'!$M$1="Nº de decks (maior primeiro)","K"&amp;RIGHT("00"&amp;(99-N(G496)),2)&amp;AH496&amp;RIGHT("00000"&amp;ROW(),5),"K"&amp;RIGHT("00000"&amp;ROW(),5))))))</f>
        <v/>
      </c>
      <c r="AJ496" s="11" t="str">
        <f aca="false">IF(AI496="","",COUNTIFS($AI$2:$AI$801,"&lt;"&amp;AI496,$E$2:$E$801,"&gt;0")+1)</f>
        <v/>
      </c>
      <c r="AK496" s="11" t="str">
        <f aca="false">IF(OR(A496="",N(E496)&lt;=0),"",COUNTIFS($AH$2:$AH$801,"&lt;"&amp;AH496,$E$2:$E$801,"&gt;0")+COUNTIFS($AH$2:AH496,AH496,$E$2:E496,"&gt;0"))</f>
        <v/>
      </c>
    </row>
    <row r="497" customFormat="false" ht="15" hidden="false" customHeight="false" outlineLevel="0" collapsed="false">
      <c r="A497" s="11" t="str">
        <f aca="false">IF(INVENTÁRIO!A497="","",INVENTÁRIO!A497)</f>
        <v/>
      </c>
      <c r="B497" s="11" t="str">
        <f aca="false">IF(A497="","",INVENTÁRIO!B497)</f>
        <v/>
      </c>
      <c r="C497" s="16" t="str">
        <f aca="false">IF(A497="","",INVENTÁRIO!C497)</f>
        <v/>
      </c>
      <c r="D497" s="14" t="str">
        <f aca="false">IF(A497="","",MAX(K497:AD497))</f>
        <v/>
      </c>
      <c r="E497" s="14" t="str">
        <f aca="false">IF(A497="","",MAX(0,D497-C497))</f>
        <v/>
      </c>
      <c r="F497" s="16" t="str">
        <f aca="false">IF(A497="","",IF(D497=0,"Fora dos decks",IF(E497=0,"Completo","Falta")))</f>
        <v/>
      </c>
      <c r="G497" s="16" t="str">
        <f aca="false">IF(A497="","",COUNTIF(K497:AD497,"&gt;0"))</f>
        <v/>
      </c>
      <c r="H497" s="16" t="str">
        <f aca="false">IF(A497="","",IF(G497&gt;1,"Sim",""))</f>
        <v/>
      </c>
      <c r="I497" s="18" t="str">
        <f aca="false">IF(A497="","",SUMIFS(DECKS!$D$2:$D$1201,DECKS!$B$2:$B$1201,A497))</f>
        <v/>
      </c>
      <c r="J497" s="18" t="str">
        <f aca="false">IF(A497="","",MAX(0,I497-C497))</f>
        <v/>
      </c>
      <c r="K497" s="19" t="str">
        <f aca="false">IF(OR($A497="",INDEX(_LEITURA!$Q$2:$Q$21,1)=0),"",SUMIFS(DECKS!$D$2:$D$1201,DECKS!$A$2:$A$1201,INDEX(_LEITURA!$P$2:$P$21,1),DECKS!$B$2:$B$1201,$A497))</f>
        <v/>
      </c>
      <c r="L497" s="19" t="str">
        <f aca="false">IF(OR($A497="",INDEX(_LEITURA!$Q$2:$Q$21,2)=0),"",SUMIFS(DECKS!$D$2:$D$1201,DECKS!$A$2:$A$1201,INDEX(_LEITURA!$P$2:$P$21,2),DECKS!$B$2:$B$1201,$A497))</f>
        <v/>
      </c>
      <c r="M497" s="19" t="str">
        <f aca="false">IF(OR($A497="",INDEX(_LEITURA!$Q$2:$Q$21,3)=0),"",SUMIFS(DECKS!$D$2:$D$1201,DECKS!$A$2:$A$1201,INDEX(_LEITURA!$P$2:$P$21,3),DECKS!$B$2:$B$1201,$A497))</f>
        <v/>
      </c>
      <c r="N497" s="19" t="str">
        <f aca="false">IF(OR($A497="",INDEX(_LEITURA!$Q$2:$Q$21,4)=0),"",SUMIFS(DECKS!$D$2:$D$1201,DECKS!$A$2:$A$1201,INDEX(_LEITURA!$P$2:$P$21,4),DECKS!$B$2:$B$1201,$A497))</f>
        <v/>
      </c>
      <c r="O497" s="19" t="str">
        <f aca="false">IF(OR($A497="",INDEX(_LEITURA!$Q$2:$Q$21,5)=0),"",SUMIFS(DECKS!$D$2:$D$1201,DECKS!$A$2:$A$1201,INDEX(_LEITURA!$P$2:$P$21,5),DECKS!$B$2:$B$1201,$A497))</f>
        <v/>
      </c>
      <c r="P497" s="19" t="str">
        <f aca="false">IF(OR($A497="",INDEX(_LEITURA!$Q$2:$Q$21,6)=0),"",SUMIFS(DECKS!$D$2:$D$1201,DECKS!$A$2:$A$1201,INDEX(_LEITURA!$P$2:$P$21,6),DECKS!$B$2:$B$1201,$A497))</f>
        <v/>
      </c>
      <c r="Q497" s="19" t="str">
        <f aca="false">IF(OR($A497="",INDEX(_LEITURA!$Q$2:$Q$21,7)=0),"",SUMIFS(DECKS!$D$2:$D$1201,DECKS!$A$2:$A$1201,INDEX(_LEITURA!$P$2:$P$21,7),DECKS!$B$2:$B$1201,$A497))</f>
        <v/>
      </c>
      <c r="R497" s="19" t="str">
        <f aca="false">IF(OR($A497="",INDEX(_LEITURA!$Q$2:$Q$21,8)=0),"",SUMIFS(DECKS!$D$2:$D$1201,DECKS!$A$2:$A$1201,INDEX(_LEITURA!$P$2:$P$21,8),DECKS!$B$2:$B$1201,$A497))</f>
        <v/>
      </c>
      <c r="S497" s="19" t="str">
        <f aca="false">IF(OR($A497="",INDEX(_LEITURA!$Q$2:$Q$21,9)=0),"",SUMIFS(DECKS!$D$2:$D$1201,DECKS!$A$2:$A$1201,INDEX(_LEITURA!$P$2:$P$21,9),DECKS!$B$2:$B$1201,$A497))</f>
        <v/>
      </c>
      <c r="T497" s="19" t="str">
        <f aca="false">IF(OR($A497="",INDEX(_LEITURA!$Q$2:$Q$21,10)=0),"",SUMIFS(DECKS!$D$2:$D$1201,DECKS!$A$2:$A$1201,INDEX(_LEITURA!$P$2:$P$21,10),DECKS!$B$2:$B$1201,$A497))</f>
        <v/>
      </c>
      <c r="U497" s="19" t="str">
        <f aca="false">IF(OR($A497="",INDEX(_LEITURA!$Q$2:$Q$21,11)=0),"",SUMIFS(DECKS!$D$2:$D$1201,DECKS!$A$2:$A$1201,INDEX(_LEITURA!$P$2:$P$21,11),DECKS!$B$2:$B$1201,$A497))</f>
        <v/>
      </c>
      <c r="V497" s="19" t="str">
        <f aca="false">IF(OR($A497="",INDEX(_LEITURA!$Q$2:$Q$21,12)=0),"",SUMIFS(DECKS!$D$2:$D$1201,DECKS!$A$2:$A$1201,INDEX(_LEITURA!$P$2:$P$21,12),DECKS!$B$2:$B$1201,$A497))</f>
        <v/>
      </c>
      <c r="W497" s="19" t="str">
        <f aca="false">IF(OR($A497="",INDEX(_LEITURA!$Q$2:$Q$21,13)=0),"",SUMIFS(DECKS!$D$2:$D$1201,DECKS!$A$2:$A$1201,INDEX(_LEITURA!$P$2:$P$21,13),DECKS!$B$2:$B$1201,$A497))</f>
        <v/>
      </c>
      <c r="X497" s="19" t="str">
        <f aca="false">IF(OR($A497="",INDEX(_LEITURA!$Q$2:$Q$21,14)=0),"",SUMIFS(DECKS!$D$2:$D$1201,DECKS!$A$2:$A$1201,INDEX(_LEITURA!$P$2:$P$21,14),DECKS!$B$2:$B$1201,$A497))</f>
        <v/>
      </c>
      <c r="Y497" s="19" t="str">
        <f aca="false">IF(OR($A497="",INDEX(_LEITURA!$Q$2:$Q$21,15)=0),"",SUMIFS(DECKS!$D$2:$D$1201,DECKS!$A$2:$A$1201,INDEX(_LEITURA!$P$2:$P$21,15),DECKS!$B$2:$B$1201,$A497))</f>
        <v/>
      </c>
      <c r="Z497" s="19" t="str">
        <f aca="false">IF(OR($A497="",INDEX(_LEITURA!$Q$2:$Q$21,16)=0),"",SUMIFS(DECKS!$D$2:$D$1201,DECKS!$A$2:$A$1201,INDEX(_LEITURA!$P$2:$P$21,16),DECKS!$B$2:$B$1201,$A497))</f>
        <v/>
      </c>
      <c r="AA497" s="19" t="str">
        <f aca="false">IF(OR($A497="",INDEX(_LEITURA!$Q$2:$Q$21,17)=0),"",SUMIFS(DECKS!$D$2:$D$1201,DECKS!$A$2:$A$1201,INDEX(_LEITURA!$P$2:$P$21,17),DECKS!$B$2:$B$1201,$A497))</f>
        <v/>
      </c>
      <c r="AB497" s="19" t="str">
        <f aca="false">IF(OR($A497="",INDEX(_LEITURA!$Q$2:$Q$21,18)=0),"",SUMIFS(DECKS!$D$2:$D$1201,DECKS!$A$2:$A$1201,INDEX(_LEITURA!$P$2:$P$21,18),DECKS!$B$2:$B$1201,$A497))</f>
        <v/>
      </c>
      <c r="AC497" s="19" t="str">
        <f aca="false">IF(OR($A497="",INDEX(_LEITURA!$Q$2:$Q$21,19)=0),"",SUMIFS(DECKS!$D$2:$D$1201,DECKS!$A$2:$A$1201,INDEX(_LEITURA!$P$2:$P$21,19),DECKS!$B$2:$B$1201,$A497))</f>
        <v/>
      </c>
      <c r="AD497" s="19" t="str">
        <f aca="false">IF(OR($A497="",INDEX(_LEITURA!$Q$2:$Q$21,20)=0),"",SUMIFS(DECKS!$D$2:$D$1201,DECKS!$A$2:$A$1201,INDEX(_LEITURA!$P$2:$P$21,20),DECKS!$B$2:$B$1201,$A497))</f>
        <v/>
      </c>
      <c r="AE497" s="16" t="str">
        <f aca="false">IF(N(E497)&gt;0,MAX(AE$1:AE496)+1,"")</f>
        <v/>
      </c>
      <c r="AF497" s="11" t="str">
        <f aca="false">IF(A497="","",IFERROR(LEFT(A497,FIND("-",A497)-1),A497))</f>
        <v/>
      </c>
      <c r="AG497" s="11" t="str">
        <f aca="false">IF(AF497="","",IF(ISNUMBER(--MID(AF497,1,1)),0,IF(ISNUMBER(--MID(AF497,2,1)),1,IF(ISNUMBER(--MID(AF497,3,1)),2,IF(ISNUMBER(--MID(AF497,4,1)),3,MIN(LEN(AF497),4))))))</f>
        <v/>
      </c>
      <c r="AH497" s="11" t="str">
        <f aca="false">IF(A497="","",LEFT(AF497,AG497)&amp;REPT("0",4-AG497)&amp;RIGHT("000"&amp;IFERROR(VALUE(MID(AF497,AG497+1,9)),0),3)&amp;RIGHT("0000"&amp;IFERROR(VALUE(MID(A497,FIND("-",A497)+1,9)),0),4))</f>
        <v/>
      </c>
      <c r="AI497" s="11" t="str">
        <f aca="false">IF(OR(A497="",N(E497)&lt;=0),"",IF('FALTAS GERAL'!$M$1="Código","K"&amp;AH497&amp;RIGHT("00000"&amp;ROW(),5),IF('FALTAS GERAL'!$M$1="Nome","K"&amp;UPPER(SUBSTITUTE(SUBSTITUTE(SUBSTITUTE(B497,"*",""),"?",""),"~",""))&amp;"0"&amp;AH497&amp;RIGHT("00000"&amp;ROW(),5),IF('FALTAS GERAL'!$M$1="Falta (maior primeiro)","K"&amp;RIGHT("0000"&amp;(9999-E497),4)&amp;AH497&amp;RIGHT("00000"&amp;ROW(),5),IF('FALTAS GERAL'!$M$1="Nº de decks (maior primeiro)","K"&amp;RIGHT("00"&amp;(99-N(G497)),2)&amp;AH497&amp;RIGHT("00000"&amp;ROW(),5),"K"&amp;RIGHT("00000"&amp;ROW(),5))))))</f>
        <v/>
      </c>
      <c r="AJ497" s="11" t="str">
        <f aca="false">IF(AI497="","",COUNTIFS($AI$2:$AI$801,"&lt;"&amp;AI497,$E$2:$E$801,"&gt;0")+1)</f>
        <v/>
      </c>
      <c r="AK497" s="11" t="str">
        <f aca="false">IF(OR(A497="",N(E497)&lt;=0),"",COUNTIFS($AH$2:$AH$801,"&lt;"&amp;AH497,$E$2:$E$801,"&gt;0")+COUNTIFS($AH$2:AH497,AH497,$E$2:E497,"&gt;0"))</f>
        <v/>
      </c>
    </row>
    <row r="498" customFormat="false" ht="15" hidden="false" customHeight="false" outlineLevel="0" collapsed="false">
      <c r="A498" s="11" t="str">
        <f aca="false">IF(INVENTÁRIO!A498="","",INVENTÁRIO!A498)</f>
        <v/>
      </c>
      <c r="B498" s="11" t="str">
        <f aca="false">IF(A498="","",INVENTÁRIO!B498)</f>
        <v/>
      </c>
      <c r="C498" s="16" t="str">
        <f aca="false">IF(A498="","",INVENTÁRIO!C498)</f>
        <v/>
      </c>
      <c r="D498" s="14" t="str">
        <f aca="false">IF(A498="","",MAX(K498:AD498))</f>
        <v/>
      </c>
      <c r="E498" s="14" t="str">
        <f aca="false">IF(A498="","",MAX(0,D498-C498))</f>
        <v/>
      </c>
      <c r="F498" s="16" t="str">
        <f aca="false">IF(A498="","",IF(D498=0,"Fora dos decks",IF(E498=0,"Completo","Falta")))</f>
        <v/>
      </c>
      <c r="G498" s="16" t="str">
        <f aca="false">IF(A498="","",COUNTIF(K498:AD498,"&gt;0"))</f>
        <v/>
      </c>
      <c r="H498" s="16" t="str">
        <f aca="false">IF(A498="","",IF(G498&gt;1,"Sim",""))</f>
        <v/>
      </c>
      <c r="I498" s="18" t="str">
        <f aca="false">IF(A498="","",SUMIFS(DECKS!$D$2:$D$1201,DECKS!$B$2:$B$1201,A498))</f>
        <v/>
      </c>
      <c r="J498" s="18" t="str">
        <f aca="false">IF(A498="","",MAX(0,I498-C498))</f>
        <v/>
      </c>
      <c r="K498" s="19" t="str">
        <f aca="false">IF(OR($A498="",INDEX(_LEITURA!$Q$2:$Q$21,1)=0),"",SUMIFS(DECKS!$D$2:$D$1201,DECKS!$A$2:$A$1201,INDEX(_LEITURA!$P$2:$P$21,1),DECKS!$B$2:$B$1201,$A498))</f>
        <v/>
      </c>
      <c r="L498" s="19" t="str">
        <f aca="false">IF(OR($A498="",INDEX(_LEITURA!$Q$2:$Q$21,2)=0),"",SUMIFS(DECKS!$D$2:$D$1201,DECKS!$A$2:$A$1201,INDEX(_LEITURA!$P$2:$P$21,2),DECKS!$B$2:$B$1201,$A498))</f>
        <v/>
      </c>
      <c r="M498" s="19" t="str">
        <f aca="false">IF(OR($A498="",INDEX(_LEITURA!$Q$2:$Q$21,3)=0),"",SUMIFS(DECKS!$D$2:$D$1201,DECKS!$A$2:$A$1201,INDEX(_LEITURA!$P$2:$P$21,3),DECKS!$B$2:$B$1201,$A498))</f>
        <v/>
      </c>
      <c r="N498" s="19" t="str">
        <f aca="false">IF(OR($A498="",INDEX(_LEITURA!$Q$2:$Q$21,4)=0),"",SUMIFS(DECKS!$D$2:$D$1201,DECKS!$A$2:$A$1201,INDEX(_LEITURA!$P$2:$P$21,4),DECKS!$B$2:$B$1201,$A498))</f>
        <v/>
      </c>
      <c r="O498" s="19" t="str">
        <f aca="false">IF(OR($A498="",INDEX(_LEITURA!$Q$2:$Q$21,5)=0),"",SUMIFS(DECKS!$D$2:$D$1201,DECKS!$A$2:$A$1201,INDEX(_LEITURA!$P$2:$P$21,5),DECKS!$B$2:$B$1201,$A498))</f>
        <v/>
      </c>
      <c r="P498" s="19" t="str">
        <f aca="false">IF(OR($A498="",INDEX(_LEITURA!$Q$2:$Q$21,6)=0),"",SUMIFS(DECKS!$D$2:$D$1201,DECKS!$A$2:$A$1201,INDEX(_LEITURA!$P$2:$P$21,6),DECKS!$B$2:$B$1201,$A498))</f>
        <v/>
      </c>
      <c r="Q498" s="19" t="str">
        <f aca="false">IF(OR($A498="",INDEX(_LEITURA!$Q$2:$Q$21,7)=0),"",SUMIFS(DECKS!$D$2:$D$1201,DECKS!$A$2:$A$1201,INDEX(_LEITURA!$P$2:$P$21,7),DECKS!$B$2:$B$1201,$A498))</f>
        <v/>
      </c>
      <c r="R498" s="19" t="str">
        <f aca="false">IF(OR($A498="",INDEX(_LEITURA!$Q$2:$Q$21,8)=0),"",SUMIFS(DECKS!$D$2:$D$1201,DECKS!$A$2:$A$1201,INDEX(_LEITURA!$P$2:$P$21,8),DECKS!$B$2:$B$1201,$A498))</f>
        <v/>
      </c>
      <c r="S498" s="19" t="str">
        <f aca="false">IF(OR($A498="",INDEX(_LEITURA!$Q$2:$Q$21,9)=0),"",SUMIFS(DECKS!$D$2:$D$1201,DECKS!$A$2:$A$1201,INDEX(_LEITURA!$P$2:$P$21,9),DECKS!$B$2:$B$1201,$A498))</f>
        <v/>
      </c>
      <c r="T498" s="19" t="str">
        <f aca="false">IF(OR($A498="",INDEX(_LEITURA!$Q$2:$Q$21,10)=0),"",SUMIFS(DECKS!$D$2:$D$1201,DECKS!$A$2:$A$1201,INDEX(_LEITURA!$P$2:$P$21,10),DECKS!$B$2:$B$1201,$A498))</f>
        <v/>
      </c>
      <c r="U498" s="19" t="str">
        <f aca="false">IF(OR($A498="",INDEX(_LEITURA!$Q$2:$Q$21,11)=0),"",SUMIFS(DECKS!$D$2:$D$1201,DECKS!$A$2:$A$1201,INDEX(_LEITURA!$P$2:$P$21,11),DECKS!$B$2:$B$1201,$A498))</f>
        <v/>
      </c>
      <c r="V498" s="19" t="str">
        <f aca="false">IF(OR($A498="",INDEX(_LEITURA!$Q$2:$Q$21,12)=0),"",SUMIFS(DECKS!$D$2:$D$1201,DECKS!$A$2:$A$1201,INDEX(_LEITURA!$P$2:$P$21,12),DECKS!$B$2:$B$1201,$A498))</f>
        <v/>
      </c>
      <c r="W498" s="19" t="str">
        <f aca="false">IF(OR($A498="",INDEX(_LEITURA!$Q$2:$Q$21,13)=0),"",SUMIFS(DECKS!$D$2:$D$1201,DECKS!$A$2:$A$1201,INDEX(_LEITURA!$P$2:$P$21,13),DECKS!$B$2:$B$1201,$A498))</f>
        <v/>
      </c>
      <c r="X498" s="19" t="str">
        <f aca="false">IF(OR($A498="",INDEX(_LEITURA!$Q$2:$Q$21,14)=0),"",SUMIFS(DECKS!$D$2:$D$1201,DECKS!$A$2:$A$1201,INDEX(_LEITURA!$P$2:$P$21,14),DECKS!$B$2:$B$1201,$A498))</f>
        <v/>
      </c>
      <c r="Y498" s="19" t="str">
        <f aca="false">IF(OR($A498="",INDEX(_LEITURA!$Q$2:$Q$21,15)=0),"",SUMIFS(DECKS!$D$2:$D$1201,DECKS!$A$2:$A$1201,INDEX(_LEITURA!$P$2:$P$21,15),DECKS!$B$2:$B$1201,$A498))</f>
        <v/>
      </c>
      <c r="Z498" s="19" t="str">
        <f aca="false">IF(OR($A498="",INDEX(_LEITURA!$Q$2:$Q$21,16)=0),"",SUMIFS(DECKS!$D$2:$D$1201,DECKS!$A$2:$A$1201,INDEX(_LEITURA!$P$2:$P$21,16),DECKS!$B$2:$B$1201,$A498))</f>
        <v/>
      </c>
      <c r="AA498" s="19" t="str">
        <f aca="false">IF(OR($A498="",INDEX(_LEITURA!$Q$2:$Q$21,17)=0),"",SUMIFS(DECKS!$D$2:$D$1201,DECKS!$A$2:$A$1201,INDEX(_LEITURA!$P$2:$P$21,17),DECKS!$B$2:$B$1201,$A498))</f>
        <v/>
      </c>
      <c r="AB498" s="19" t="str">
        <f aca="false">IF(OR($A498="",INDEX(_LEITURA!$Q$2:$Q$21,18)=0),"",SUMIFS(DECKS!$D$2:$D$1201,DECKS!$A$2:$A$1201,INDEX(_LEITURA!$P$2:$P$21,18),DECKS!$B$2:$B$1201,$A498))</f>
        <v/>
      </c>
      <c r="AC498" s="19" t="str">
        <f aca="false">IF(OR($A498="",INDEX(_LEITURA!$Q$2:$Q$21,19)=0),"",SUMIFS(DECKS!$D$2:$D$1201,DECKS!$A$2:$A$1201,INDEX(_LEITURA!$P$2:$P$21,19),DECKS!$B$2:$B$1201,$A498))</f>
        <v/>
      </c>
      <c r="AD498" s="19" t="str">
        <f aca="false">IF(OR($A498="",INDEX(_LEITURA!$Q$2:$Q$21,20)=0),"",SUMIFS(DECKS!$D$2:$D$1201,DECKS!$A$2:$A$1201,INDEX(_LEITURA!$P$2:$P$21,20),DECKS!$B$2:$B$1201,$A498))</f>
        <v/>
      </c>
      <c r="AE498" s="16" t="str">
        <f aca="false">IF(N(E498)&gt;0,MAX(AE$1:AE497)+1,"")</f>
        <v/>
      </c>
      <c r="AF498" s="11" t="str">
        <f aca="false">IF(A498="","",IFERROR(LEFT(A498,FIND("-",A498)-1),A498))</f>
        <v/>
      </c>
      <c r="AG498" s="11" t="str">
        <f aca="false">IF(AF498="","",IF(ISNUMBER(--MID(AF498,1,1)),0,IF(ISNUMBER(--MID(AF498,2,1)),1,IF(ISNUMBER(--MID(AF498,3,1)),2,IF(ISNUMBER(--MID(AF498,4,1)),3,MIN(LEN(AF498),4))))))</f>
        <v/>
      </c>
      <c r="AH498" s="11" t="str">
        <f aca="false">IF(A498="","",LEFT(AF498,AG498)&amp;REPT("0",4-AG498)&amp;RIGHT("000"&amp;IFERROR(VALUE(MID(AF498,AG498+1,9)),0),3)&amp;RIGHT("0000"&amp;IFERROR(VALUE(MID(A498,FIND("-",A498)+1,9)),0),4))</f>
        <v/>
      </c>
      <c r="AI498" s="11" t="str">
        <f aca="false">IF(OR(A498="",N(E498)&lt;=0),"",IF('FALTAS GERAL'!$M$1="Código","K"&amp;AH498&amp;RIGHT("00000"&amp;ROW(),5),IF('FALTAS GERAL'!$M$1="Nome","K"&amp;UPPER(SUBSTITUTE(SUBSTITUTE(SUBSTITUTE(B498,"*",""),"?",""),"~",""))&amp;"0"&amp;AH498&amp;RIGHT("00000"&amp;ROW(),5),IF('FALTAS GERAL'!$M$1="Falta (maior primeiro)","K"&amp;RIGHT("0000"&amp;(9999-E498),4)&amp;AH498&amp;RIGHT("00000"&amp;ROW(),5),IF('FALTAS GERAL'!$M$1="Nº de decks (maior primeiro)","K"&amp;RIGHT("00"&amp;(99-N(G498)),2)&amp;AH498&amp;RIGHT("00000"&amp;ROW(),5),"K"&amp;RIGHT("00000"&amp;ROW(),5))))))</f>
        <v/>
      </c>
      <c r="AJ498" s="11" t="str">
        <f aca="false">IF(AI498="","",COUNTIFS($AI$2:$AI$801,"&lt;"&amp;AI498,$E$2:$E$801,"&gt;0")+1)</f>
        <v/>
      </c>
      <c r="AK498" s="11" t="str">
        <f aca="false">IF(OR(A498="",N(E498)&lt;=0),"",COUNTIFS($AH$2:$AH$801,"&lt;"&amp;AH498,$E$2:$E$801,"&gt;0")+COUNTIFS($AH$2:AH498,AH498,$E$2:E498,"&gt;0"))</f>
        <v/>
      </c>
    </row>
    <row r="499" customFormat="false" ht="15" hidden="false" customHeight="false" outlineLevel="0" collapsed="false">
      <c r="A499" s="11" t="str">
        <f aca="false">IF(INVENTÁRIO!A499="","",INVENTÁRIO!A499)</f>
        <v/>
      </c>
      <c r="B499" s="11" t="str">
        <f aca="false">IF(A499="","",INVENTÁRIO!B499)</f>
        <v/>
      </c>
      <c r="C499" s="16" t="str">
        <f aca="false">IF(A499="","",INVENTÁRIO!C499)</f>
        <v/>
      </c>
      <c r="D499" s="14" t="str">
        <f aca="false">IF(A499="","",MAX(K499:AD499))</f>
        <v/>
      </c>
      <c r="E499" s="14" t="str">
        <f aca="false">IF(A499="","",MAX(0,D499-C499))</f>
        <v/>
      </c>
      <c r="F499" s="16" t="str">
        <f aca="false">IF(A499="","",IF(D499=0,"Fora dos decks",IF(E499=0,"Completo","Falta")))</f>
        <v/>
      </c>
      <c r="G499" s="16" t="str">
        <f aca="false">IF(A499="","",COUNTIF(K499:AD499,"&gt;0"))</f>
        <v/>
      </c>
      <c r="H499" s="16" t="str">
        <f aca="false">IF(A499="","",IF(G499&gt;1,"Sim",""))</f>
        <v/>
      </c>
      <c r="I499" s="18" t="str">
        <f aca="false">IF(A499="","",SUMIFS(DECKS!$D$2:$D$1201,DECKS!$B$2:$B$1201,A499))</f>
        <v/>
      </c>
      <c r="J499" s="18" t="str">
        <f aca="false">IF(A499="","",MAX(0,I499-C499))</f>
        <v/>
      </c>
      <c r="K499" s="19" t="str">
        <f aca="false">IF(OR($A499="",INDEX(_LEITURA!$Q$2:$Q$21,1)=0),"",SUMIFS(DECKS!$D$2:$D$1201,DECKS!$A$2:$A$1201,INDEX(_LEITURA!$P$2:$P$21,1),DECKS!$B$2:$B$1201,$A499))</f>
        <v/>
      </c>
      <c r="L499" s="19" t="str">
        <f aca="false">IF(OR($A499="",INDEX(_LEITURA!$Q$2:$Q$21,2)=0),"",SUMIFS(DECKS!$D$2:$D$1201,DECKS!$A$2:$A$1201,INDEX(_LEITURA!$P$2:$P$21,2),DECKS!$B$2:$B$1201,$A499))</f>
        <v/>
      </c>
      <c r="M499" s="19" t="str">
        <f aca="false">IF(OR($A499="",INDEX(_LEITURA!$Q$2:$Q$21,3)=0),"",SUMIFS(DECKS!$D$2:$D$1201,DECKS!$A$2:$A$1201,INDEX(_LEITURA!$P$2:$P$21,3),DECKS!$B$2:$B$1201,$A499))</f>
        <v/>
      </c>
      <c r="N499" s="19" t="str">
        <f aca="false">IF(OR($A499="",INDEX(_LEITURA!$Q$2:$Q$21,4)=0),"",SUMIFS(DECKS!$D$2:$D$1201,DECKS!$A$2:$A$1201,INDEX(_LEITURA!$P$2:$P$21,4),DECKS!$B$2:$B$1201,$A499))</f>
        <v/>
      </c>
      <c r="O499" s="19" t="str">
        <f aca="false">IF(OR($A499="",INDEX(_LEITURA!$Q$2:$Q$21,5)=0),"",SUMIFS(DECKS!$D$2:$D$1201,DECKS!$A$2:$A$1201,INDEX(_LEITURA!$P$2:$P$21,5),DECKS!$B$2:$B$1201,$A499))</f>
        <v/>
      </c>
      <c r="P499" s="19" t="str">
        <f aca="false">IF(OR($A499="",INDEX(_LEITURA!$Q$2:$Q$21,6)=0),"",SUMIFS(DECKS!$D$2:$D$1201,DECKS!$A$2:$A$1201,INDEX(_LEITURA!$P$2:$P$21,6),DECKS!$B$2:$B$1201,$A499))</f>
        <v/>
      </c>
      <c r="Q499" s="19" t="str">
        <f aca="false">IF(OR($A499="",INDEX(_LEITURA!$Q$2:$Q$21,7)=0),"",SUMIFS(DECKS!$D$2:$D$1201,DECKS!$A$2:$A$1201,INDEX(_LEITURA!$P$2:$P$21,7),DECKS!$B$2:$B$1201,$A499))</f>
        <v/>
      </c>
      <c r="R499" s="19" t="str">
        <f aca="false">IF(OR($A499="",INDEX(_LEITURA!$Q$2:$Q$21,8)=0),"",SUMIFS(DECKS!$D$2:$D$1201,DECKS!$A$2:$A$1201,INDEX(_LEITURA!$P$2:$P$21,8),DECKS!$B$2:$B$1201,$A499))</f>
        <v/>
      </c>
      <c r="S499" s="19" t="str">
        <f aca="false">IF(OR($A499="",INDEX(_LEITURA!$Q$2:$Q$21,9)=0),"",SUMIFS(DECKS!$D$2:$D$1201,DECKS!$A$2:$A$1201,INDEX(_LEITURA!$P$2:$P$21,9),DECKS!$B$2:$B$1201,$A499))</f>
        <v/>
      </c>
      <c r="T499" s="19" t="str">
        <f aca="false">IF(OR($A499="",INDEX(_LEITURA!$Q$2:$Q$21,10)=0),"",SUMIFS(DECKS!$D$2:$D$1201,DECKS!$A$2:$A$1201,INDEX(_LEITURA!$P$2:$P$21,10),DECKS!$B$2:$B$1201,$A499))</f>
        <v/>
      </c>
      <c r="U499" s="19" t="str">
        <f aca="false">IF(OR($A499="",INDEX(_LEITURA!$Q$2:$Q$21,11)=0),"",SUMIFS(DECKS!$D$2:$D$1201,DECKS!$A$2:$A$1201,INDEX(_LEITURA!$P$2:$P$21,11),DECKS!$B$2:$B$1201,$A499))</f>
        <v/>
      </c>
      <c r="V499" s="19" t="str">
        <f aca="false">IF(OR($A499="",INDEX(_LEITURA!$Q$2:$Q$21,12)=0),"",SUMIFS(DECKS!$D$2:$D$1201,DECKS!$A$2:$A$1201,INDEX(_LEITURA!$P$2:$P$21,12),DECKS!$B$2:$B$1201,$A499))</f>
        <v/>
      </c>
      <c r="W499" s="19" t="str">
        <f aca="false">IF(OR($A499="",INDEX(_LEITURA!$Q$2:$Q$21,13)=0),"",SUMIFS(DECKS!$D$2:$D$1201,DECKS!$A$2:$A$1201,INDEX(_LEITURA!$P$2:$P$21,13),DECKS!$B$2:$B$1201,$A499))</f>
        <v/>
      </c>
      <c r="X499" s="19" t="str">
        <f aca="false">IF(OR($A499="",INDEX(_LEITURA!$Q$2:$Q$21,14)=0),"",SUMIFS(DECKS!$D$2:$D$1201,DECKS!$A$2:$A$1201,INDEX(_LEITURA!$P$2:$P$21,14),DECKS!$B$2:$B$1201,$A499))</f>
        <v/>
      </c>
      <c r="Y499" s="19" t="str">
        <f aca="false">IF(OR($A499="",INDEX(_LEITURA!$Q$2:$Q$21,15)=0),"",SUMIFS(DECKS!$D$2:$D$1201,DECKS!$A$2:$A$1201,INDEX(_LEITURA!$P$2:$P$21,15),DECKS!$B$2:$B$1201,$A499))</f>
        <v/>
      </c>
      <c r="Z499" s="19" t="str">
        <f aca="false">IF(OR($A499="",INDEX(_LEITURA!$Q$2:$Q$21,16)=0),"",SUMIFS(DECKS!$D$2:$D$1201,DECKS!$A$2:$A$1201,INDEX(_LEITURA!$P$2:$P$21,16),DECKS!$B$2:$B$1201,$A499))</f>
        <v/>
      </c>
      <c r="AA499" s="19" t="str">
        <f aca="false">IF(OR($A499="",INDEX(_LEITURA!$Q$2:$Q$21,17)=0),"",SUMIFS(DECKS!$D$2:$D$1201,DECKS!$A$2:$A$1201,INDEX(_LEITURA!$P$2:$P$21,17),DECKS!$B$2:$B$1201,$A499))</f>
        <v/>
      </c>
      <c r="AB499" s="19" t="str">
        <f aca="false">IF(OR($A499="",INDEX(_LEITURA!$Q$2:$Q$21,18)=0),"",SUMIFS(DECKS!$D$2:$D$1201,DECKS!$A$2:$A$1201,INDEX(_LEITURA!$P$2:$P$21,18),DECKS!$B$2:$B$1201,$A499))</f>
        <v/>
      </c>
      <c r="AC499" s="19" t="str">
        <f aca="false">IF(OR($A499="",INDEX(_LEITURA!$Q$2:$Q$21,19)=0),"",SUMIFS(DECKS!$D$2:$D$1201,DECKS!$A$2:$A$1201,INDEX(_LEITURA!$P$2:$P$21,19),DECKS!$B$2:$B$1201,$A499))</f>
        <v/>
      </c>
      <c r="AD499" s="19" t="str">
        <f aca="false">IF(OR($A499="",INDEX(_LEITURA!$Q$2:$Q$21,20)=0),"",SUMIFS(DECKS!$D$2:$D$1201,DECKS!$A$2:$A$1201,INDEX(_LEITURA!$P$2:$P$21,20),DECKS!$B$2:$B$1201,$A499))</f>
        <v/>
      </c>
      <c r="AE499" s="16" t="str">
        <f aca="false">IF(N(E499)&gt;0,MAX(AE$1:AE498)+1,"")</f>
        <v/>
      </c>
      <c r="AF499" s="11" t="str">
        <f aca="false">IF(A499="","",IFERROR(LEFT(A499,FIND("-",A499)-1),A499))</f>
        <v/>
      </c>
      <c r="AG499" s="11" t="str">
        <f aca="false">IF(AF499="","",IF(ISNUMBER(--MID(AF499,1,1)),0,IF(ISNUMBER(--MID(AF499,2,1)),1,IF(ISNUMBER(--MID(AF499,3,1)),2,IF(ISNUMBER(--MID(AF499,4,1)),3,MIN(LEN(AF499),4))))))</f>
        <v/>
      </c>
      <c r="AH499" s="11" t="str">
        <f aca="false">IF(A499="","",LEFT(AF499,AG499)&amp;REPT("0",4-AG499)&amp;RIGHT("000"&amp;IFERROR(VALUE(MID(AF499,AG499+1,9)),0),3)&amp;RIGHT("0000"&amp;IFERROR(VALUE(MID(A499,FIND("-",A499)+1,9)),0),4))</f>
        <v/>
      </c>
      <c r="AI499" s="11" t="str">
        <f aca="false">IF(OR(A499="",N(E499)&lt;=0),"",IF('FALTAS GERAL'!$M$1="Código","K"&amp;AH499&amp;RIGHT("00000"&amp;ROW(),5),IF('FALTAS GERAL'!$M$1="Nome","K"&amp;UPPER(SUBSTITUTE(SUBSTITUTE(SUBSTITUTE(B499,"*",""),"?",""),"~",""))&amp;"0"&amp;AH499&amp;RIGHT("00000"&amp;ROW(),5),IF('FALTAS GERAL'!$M$1="Falta (maior primeiro)","K"&amp;RIGHT("0000"&amp;(9999-E499),4)&amp;AH499&amp;RIGHT("00000"&amp;ROW(),5),IF('FALTAS GERAL'!$M$1="Nº de decks (maior primeiro)","K"&amp;RIGHT("00"&amp;(99-N(G499)),2)&amp;AH499&amp;RIGHT("00000"&amp;ROW(),5),"K"&amp;RIGHT("00000"&amp;ROW(),5))))))</f>
        <v/>
      </c>
      <c r="AJ499" s="11" t="str">
        <f aca="false">IF(AI499="","",COUNTIFS($AI$2:$AI$801,"&lt;"&amp;AI499,$E$2:$E$801,"&gt;0")+1)</f>
        <v/>
      </c>
      <c r="AK499" s="11" t="str">
        <f aca="false">IF(OR(A499="",N(E499)&lt;=0),"",COUNTIFS($AH$2:$AH$801,"&lt;"&amp;AH499,$E$2:$E$801,"&gt;0")+COUNTIFS($AH$2:AH499,AH499,$E$2:E499,"&gt;0"))</f>
        <v/>
      </c>
    </row>
    <row r="500" customFormat="false" ht="15" hidden="false" customHeight="false" outlineLevel="0" collapsed="false">
      <c r="A500" s="11" t="str">
        <f aca="false">IF(INVENTÁRIO!A500="","",INVENTÁRIO!A500)</f>
        <v/>
      </c>
      <c r="B500" s="11" t="str">
        <f aca="false">IF(A500="","",INVENTÁRIO!B500)</f>
        <v/>
      </c>
      <c r="C500" s="16" t="str">
        <f aca="false">IF(A500="","",INVENTÁRIO!C500)</f>
        <v/>
      </c>
      <c r="D500" s="14" t="str">
        <f aca="false">IF(A500="","",MAX(K500:AD500))</f>
        <v/>
      </c>
      <c r="E500" s="14" t="str">
        <f aca="false">IF(A500="","",MAX(0,D500-C500))</f>
        <v/>
      </c>
      <c r="F500" s="16" t="str">
        <f aca="false">IF(A500="","",IF(D500=0,"Fora dos decks",IF(E500=0,"Completo","Falta")))</f>
        <v/>
      </c>
      <c r="G500" s="16" t="str">
        <f aca="false">IF(A500="","",COUNTIF(K500:AD500,"&gt;0"))</f>
        <v/>
      </c>
      <c r="H500" s="16" t="str">
        <f aca="false">IF(A500="","",IF(G500&gt;1,"Sim",""))</f>
        <v/>
      </c>
      <c r="I500" s="18" t="str">
        <f aca="false">IF(A500="","",SUMIFS(DECKS!$D$2:$D$1201,DECKS!$B$2:$B$1201,A500))</f>
        <v/>
      </c>
      <c r="J500" s="18" t="str">
        <f aca="false">IF(A500="","",MAX(0,I500-C500))</f>
        <v/>
      </c>
      <c r="K500" s="19" t="str">
        <f aca="false">IF(OR($A500="",INDEX(_LEITURA!$Q$2:$Q$21,1)=0),"",SUMIFS(DECKS!$D$2:$D$1201,DECKS!$A$2:$A$1201,INDEX(_LEITURA!$P$2:$P$21,1),DECKS!$B$2:$B$1201,$A500))</f>
        <v/>
      </c>
      <c r="L500" s="19" t="str">
        <f aca="false">IF(OR($A500="",INDEX(_LEITURA!$Q$2:$Q$21,2)=0),"",SUMIFS(DECKS!$D$2:$D$1201,DECKS!$A$2:$A$1201,INDEX(_LEITURA!$P$2:$P$21,2),DECKS!$B$2:$B$1201,$A500))</f>
        <v/>
      </c>
      <c r="M500" s="19" t="str">
        <f aca="false">IF(OR($A500="",INDEX(_LEITURA!$Q$2:$Q$21,3)=0),"",SUMIFS(DECKS!$D$2:$D$1201,DECKS!$A$2:$A$1201,INDEX(_LEITURA!$P$2:$P$21,3),DECKS!$B$2:$B$1201,$A500))</f>
        <v/>
      </c>
      <c r="N500" s="19" t="str">
        <f aca="false">IF(OR($A500="",INDEX(_LEITURA!$Q$2:$Q$21,4)=0),"",SUMIFS(DECKS!$D$2:$D$1201,DECKS!$A$2:$A$1201,INDEX(_LEITURA!$P$2:$P$21,4),DECKS!$B$2:$B$1201,$A500))</f>
        <v/>
      </c>
      <c r="O500" s="19" t="str">
        <f aca="false">IF(OR($A500="",INDEX(_LEITURA!$Q$2:$Q$21,5)=0),"",SUMIFS(DECKS!$D$2:$D$1201,DECKS!$A$2:$A$1201,INDEX(_LEITURA!$P$2:$P$21,5),DECKS!$B$2:$B$1201,$A500))</f>
        <v/>
      </c>
      <c r="P500" s="19" t="str">
        <f aca="false">IF(OR($A500="",INDEX(_LEITURA!$Q$2:$Q$21,6)=0),"",SUMIFS(DECKS!$D$2:$D$1201,DECKS!$A$2:$A$1201,INDEX(_LEITURA!$P$2:$P$21,6),DECKS!$B$2:$B$1201,$A500))</f>
        <v/>
      </c>
      <c r="Q500" s="19" t="str">
        <f aca="false">IF(OR($A500="",INDEX(_LEITURA!$Q$2:$Q$21,7)=0),"",SUMIFS(DECKS!$D$2:$D$1201,DECKS!$A$2:$A$1201,INDEX(_LEITURA!$P$2:$P$21,7),DECKS!$B$2:$B$1201,$A500))</f>
        <v/>
      </c>
      <c r="R500" s="19" t="str">
        <f aca="false">IF(OR($A500="",INDEX(_LEITURA!$Q$2:$Q$21,8)=0),"",SUMIFS(DECKS!$D$2:$D$1201,DECKS!$A$2:$A$1201,INDEX(_LEITURA!$P$2:$P$21,8),DECKS!$B$2:$B$1201,$A500))</f>
        <v/>
      </c>
      <c r="S500" s="19" t="str">
        <f aca="false">IF(OR($A500="",INDEX(_LEITURA!$Q$2:$Q$21,9)=0),"",SUMIFS(DECKS!$D$2:$D$1201,DECKS!$A$2:$A$1201,INDEX(_LEITURA!$P$2:$P$21,9),DECKS!$B$2:$B$1201,$A500))</f>
        <v/>
      </c>
      <c r="T500" s="19" t="str">
        <f aca="false">IF(OR($A500="",INDEX(_LEITURA!$Q$2:$Q$21,10)=0),"",SUMIFS(DECKS!$D$2:$D$1201,DECKS!$A$2:$A$1201,INDEX(_LEITURA!$P$2:$P$21,10),DECKS!$B$2:$B$1201,$A500))</f>
        <v/>
      </c>
      <c r="U500" s="19" t="str">
        <f aca="false">IF(OR($A500="",INDEX(_LEITURA!$Q$2:$Q$21,11)=0),"",SUMIFS(DECKS!$D$2:$D$1201,DECKS!$A$2:$A$1201,INDEX(_LEITURA!$P$2:$P$21,11),DECKS!$B$2:$B$1201,$A500))</f>
        <v/>
      </c>
      <c r="V500" s="19" t="str">
        <f aca="false">IF(OR($A500="",INDEX(_LEITURA!$Q$2:$Q$21,12)=0),"",SUMIFS(DECKS!$D$2:$D$1201,DECKS!$A$2:$A$1201,INDEX(_LEITURA!$P$2:$P$21,12),DECKS!$B$2:$B$1201,$A500))</f>
        <v/>
      </c>
      <c r="W500" s="19" t="str">
        <f aca="false">IF(OR($A500="",INDEX(_LEITURA!$Q$2:$Q$21,13)=0),"",SUMIFS(DECKS!$D$2:$D$1201,DECKS!$A$2:$A$1201,INDEX(_LEITURA!$P$2:$P$21,13),DECKS!$B$2:$B$1201,$A500))</f>
        <v/>
      </c>
      <c r="X500" s="19" t="str">
        <f aca="false">IF(OR($A500="",INDEX(_LEITURA!$Q$2:$Q$21,14)=0),"",SUMIFS(DECKS!$D$2:$D$1201,DECKS!$A$2:$A$1201,INDEX(_LEITURA!$P$2:$P$21,14),DECKS!$B$2:$B$1201,$A500))</f>
        <v/>
      </c>
      <c r="Y500" s="19" t="str">
        <f aca="false">IF(OR($A500="",INDEX(_LEITURA!$Q$2:$Q$21,15)=0),"",SUMIFS(DECKS!$D$2:$D$1201,DECKS!$A$2:$A$1201,INDEX(_LEITURA!$P$2:$P$21,15),DECKS!$B$2:$B$1201,$A500))</f>
        <v/>
      </c>
      <c r="Z500" s="19" t="str">
        <f aca="false">IF(OR($A500="",INDEX(_LEITURA!$Q$2:$Q$21,16)=0),"",SUMIFS(DECKS!$D$2:$D$1201,DECKS!$A$2:$A$1201,INDEX(_LEITURA!$P$2:$P$21,16),DECKS!$B$2:$B$1201,$A500))</f>
        <v/>
      </c>
      <c r="AA500" s="19" t="str">
        <f aca="false">IF(OR($A500="",INDEX(_LEITURA!$Q$2:$Q$21,17)=0),"",SUMIFS(DECKS!$D$2:$D$1201,DECKS!$A$2:$A$1201,INDEX(_LEITURA!$P$2:$P$21,17),DECKS!$B$2:$B$1201,$A500))</f>
        <v/>
      </c>
      <c r="AB500" s="19" t="str">
        <f aca="false">IF(OR($A500="",INDEX(_LEITURA!$Q$2:$Q$21,18)=0),"",SUMIFS(DECKS!$D$2:$D$1201,DECKS!$A$2:$A$1201,INDEX(_LEITURA!$P$2:$P$21,18),DECKS!$B$2:$B$1201,$A500))</f>
        <v/>
      </c>
      <c r="AC500" s="19" t="str">
        <f aca="false">IF(OR($A500="",INDEX(_LEITURA!$Q$2:$Q$21,19)=0),"",SUMIFS(DECKS!$D$2:$D$1201,DECKS!$A$2:$A$1201,INDEX(_LEITURA!$P$2:$P$21,19),DECKS!$B$2:$B$1201,$A500))</f>
        <v/>
      </c>
      <c r="AD500" s="19" t="str">
        <f aca="false">IF(OR($A500="",INDEX(_LEITURA!$Q$2:$Q$21,20)=0),"",SUMIFS(DECKS!$D$2:$D$1201,DECKS!$A$2:$A$1201,INDEX(_LEITURA!$P$2:$P$21,20),DECKS!$B$2:$B$1201,$A500))</f>
        <v/>
      </c>
      <c r="AE500" s="16" t="str">
        <f aca="false">IF(N(E500)&gt;0,MAX(AE$1:AE499)+1,"")</f>
        <v/>
      </c>
      <c r="AF500" s="11" t="str">
        <f aca="false">IF(A500="","",IFERROR(LEFT(A500,FIND("-",A500)-1),A500))</f>
        <v/>
      </c>
      <c r="AG500" s="11" t="str">
        <f aca="false">IF(AF500="","",IF(ISNUMBER(--MID(AF500,1,1)),0,IF(ISNUMBER(--MID(AF500,2,1)),1,IF(ISNUMBER(--MID(AF500,3,1)),2,IF(ISNUMBER(--MID(AF500,4,1)),3,MIN(LEN(AF500),4))))))</f>
        <v/>
      </c>
      <c r="AH500" s="11" t="str">
        <f aca="false">IF(A500="","",LEFT(AF500,AG500)&amp;REPT("0",4-AG500)&amp;RIGHT("000"&amp;IFERROR(VALUE(MID(AF500,AG500+1,9)),0),3)&amp;RIGHT("0000"&amp;IFERROR(VALUE(MID(A500,FIND("-",A500)+1,9)),0),4))</f>
        <v/>
      </c>
      <c r="AI500" s="11" t="str">
        <f aca="false">IF(OR(A500="",N(E500)&lt;=0),"",IF('FALTAS GERAL'!$M$1="Código","K"&amp;AH500&amp;RIGHT("00000"&amp;ROW(),5),IF('FALTAS GERAL'!$M$1="Nome","K"&amp;UPPER(SUBSTITUTE(SUBSTITUTE(SUBSTITUTE(B500,"*",""),"?",""),"~",""))&amp;"0"&amp;AH500&amp;RIGHT("00000"&amp;ROW(),5),IF('FALTAS GERAL'!$M$1="Falta (maior primeiro)","K"&amp;RIGHT("0000"&amp;(9999-E500),4)&amp;AH500&amp;RIGHT("00000"&amp;ROW(),5),IF('FALTAS GERAL'!$M$1="Nº de decks (maior primeiro)","K"&amp;RIGHT("00"&amp;(99-N(G500)),2)&amp;AH500&amp;RIGHT("00000"&amp;ROW(),5),"K"&amp;RIGHT("00000"&amp;ROW(),5))))))</f>
        <v/>
      </c>
      <c r="AJ500" s="11" t="str">
        <f aca="false">IF(AI500="","",COUNTIFS($AI$2:$AI$801,"&lt;"&amp;AI500,$E$2:$E$801,"&gt;0")+1)</f>
        <v/>
      </c>
      <c r="AK500" s="11" t="str">
        <f aca="false">IF(OR(A500="",N(E500)&lt;=0),"",COUNTIFS($AH$2:$AH$801,"&lt;"&amp;AH500,$E$2:$E$801,"&gt;0")+COUNTIFS($AH$2:AH500,AH500,$E$2:E500,"&gt;0"))</f>
        <v/>
      </c>
    </row>
    <row r="501" customFormat="false" ht="15" hidden="false" customHeight="false" outlineLevel="0" collapsed="false">
      <c r="A501" s="11" t="str">
        <f aca="false">IF(INVENTÁRIO!A501="","",INVENTÁRIO!A501)</f>
        <v/>
      </c>
      <c r="B501" s="11" t="str">
        <f aca="false">IF(A501="","",INVENTÁRIO!B501)</f>
        <v/>
      </c>
      <c r="C501" s="16" t="str">
        <f aca="false">IF(A501="","",INVENTÁRIO!C501)</f>
        <v/>
      </c>
      <c r="D501" s="14" t="str">
        <f aca="false">IF(A501="","",MAX(K501:AD501))</f>
        <v/>
      </c>
      <c r="E501" s="14" t="str">
        <f aca="false">IF(A501="","",MAX(0,D501-C501))</f>
        <v/>
      </c>
      <c r="F501" s="16" t="str">
        <f aca="false">IF(A501="","",IF(D501=0,"Fora dos decks",IF(E501=0,"Completo","Falta")))</f>
        <v/>
      </c>
      <c r="G501" s="16" t="str">
        <f aca="false">IF(A501="","",COUNTIF(K501:AD501,"&gt;0"))</f>
        <v/>
      </c>
      <c r="H501" s="16" t="str">
        <f aca="false">IF(A501="","",IF(G501&gt;1,"Sim",""))</f>
        <v/>
      </c>
      <c r="I501" s="18" t="str">
        <f aca="false">IF(A501="","",SUMIFS(DECKS!$D$2:$D$1201,DECKS!$B$2:$B$1201,A501))</f>
        <v/>
      </c>
      <c r="J501" s="18" t="str">
        <f aca="false">IF(A501="","",MAX(0,I501-C501))</f>
        <v/>
      </c>
      <c r="K501" s="19" t="str">
        <f aca="false">IF(OR($A501="",INDEX(_LEITURA!$Q$2:$Q$21,1)=0),"",SUMIFS(DECKS!$D$2:$D$1201,DECKS!$A$2:$A$1201,INDEX(_LEITURA!$P$2:$P$21,1),DECKS!$B$2:$B$1201,$A501))</f>
        <v/>
      </c>
      <c r="L501" s="19" t="str">
        <f aca="false">IF(OR($A501="",INDEX(_LEITURA!$Q$2:$Q$21,2)=0),"",SUMIFS(DECKS!$D$2:$D$1201,DECKS!$A$2:$A$1201,INDEX(_LEITURA!$P$2:$P$21,2),DECKS!$B$2:$B$1201,$A501))</f>
        <v/>
      </c>
      <c r="M501" s="19" t="str">
        <f aca="false">IF(OR($A501="",INDEX(_LEITURA!$Q$2:$Q$21,3)=0),"",SUMIFS(DECKS!$D$2:$D$1201,DECKS!$A$2:$A$1201,INDEX(_LEITURA!$P$2:$P$21,3),DECKS!$B$2:$B$1201,$A501))</f>
        <v/>
      </c>
      <c r="N501" s="19" t="str">
        <f aca="false">IF(OR($A501="",INDEX(_LEITURA!$Q$2:$Q$21,4)=0),"",SUMIFS(DECKS!$D$2:$D$1201,DECKS!$A$2:$A$1201,INDEX(_LEITURA!$P$2:$P$21,4),DECKS!$B$2:$B$1201,$A501))</f>
        <v/>
      </c>
      <c r="O501" s="19" t="str">
        <f aca="false">IF(OR($A501="",INDEX(_LEITURA!$Q$2:$Q$21,5)=0),"",SUMIFS(DECKS!$D$2:$D$1201,DECKS!$A$2:$A$1201,INDEX(_LEITURA!$P$2:$P$21,5),DECKS!$B$2:$B$1201,$A501))</f>
        <v/>
      </c>
      <c r="P501" s="19" t="str">
        <f aca="false">IF(OR($A501="",INDEX(_LEITURA!$Q$2:$Q$21,6)=0),"",SUMIFS(DECKS!$D$2:$D$1201,DECKS!$A$2:$A$1201,INDEX(_LEITURA!$P$2:$P$21,6),DECKS!$B$2:$B$1201,$A501))</f>
        <v/>
      </c>
      <c r="Q501" s="19" t="str">
        <f aca="false">IF(OR($A501="",INDEX(_LEITURA!$Q$2:$Q$21,7)=0),"",SUMIFS(DECKS!$D$2:$D$1201,DECKS!$A$2:$A$1201,INDEX(_LEITURA!$P$2:$P$21,7),DECKS!$B$2:$B$1201,$A501))</f>
        <v/>
      </c>
      <c r="R501" s="19" t="str">
        <f aca="false">IF(OR($A501="",INDEX(_LEITURA!$Q$2:$Q$21,8)=0),"",SUMIFS(DECKS!$D$2:$D$1201,DECKS!$A$2:$A$1201,INDEX(_LEITURA!$P$2:$P$21,8),DECKS!$B$2:$B$1201,$A501))</f>
        <v/>
      </c>
      <c r="S501" s="19" t="str">
        <f aca="false">IF(OR($A501="",INDEX(_LEITURA!$Q$2:$Q$21,9)=0),"",SUMIFS(DECKS!$D$2:$D$1201,DECKS!$A$2:$A$1201,INDEX(_LEITURA!$P$2:$P$21,9),DECKS!$B$2:$B$1201,$A501))</f>
        <v/>
      </c>
      <c r="T501" s="19" t="str">
        <f aca="false">IF(OR($A501="",INDEX(_LEITURA!$Q$2:$Q$21,10)=0),"",SUMIFS(DECKS!$D$2:$D$1201,DECKS!$A$2:$A$1201,INDEX(_LEITURA!$P$2:$P$21,10),DECKS!$B$2:$B$1201,$A501))</f>
        <v/>
      </c>
      <c r="U501" s="19" t="str">
        <f aca="false">IF(OR($A501="",INDEX(_LEITURA!$Q$2:$Q$21,11)=0),"",SUMIFS(DECKS!$D$2:$D$1201,DECKS!$A$2:$A$1201,INDEX(_LEITURA!$P$2:$P$21,11),DECKS!$B$2:$B$1201,$A501))</f>
        <v/>
      </c>
      <c r="V501" s="19" t="str">
        <f aca="false">IF(OR($A501="",INDEX(_LEITURA!$Q$2:$Q$21,12)=0),"",SUMIFS(DECKS!$D$2:$D$1201,DECKS!$A$2:$A$1201,INDEX(_LEITURA!$P$2:$P$21,12),DECKS!$B$2:$B$1201,$A501))</f>
        <v/>
      </c>
      <c r="W501" s="19" t="str">
        <f aca="false">IF(OR($A501="",INDEX(_LEITURA!$Q$2:$Q$21,13)=0),"",SUMIFS(DECKS!$D$2:$D$1201,DECKS!$A$2:$A$1201,INDEX(_LEITURA!$P$2:$P$21,13),DECKS!$B$2:$B$1201,$A501))</f>
        <v/>
      </c>
      <c r="X501" s="19" t="str">
        <f aca="false">IF(OR($A501="",INDEX(_LEITURA!$Q$2:$Q$21,14)=0),"",SUMIFS(DECKS!$D$2:$D$1201,DECKS!$A$2:$A$1201,INDEX(_LEITURA!$P$2:$P$21,14),DECKS!$B$2:$B$1201,$A501))</f>
        <v/>
      </c>
      <c r="Y501" s="19" t="str">
        <f aca="false">IF(OR($A501="",INDEX(_LEITURA!$Q$2:$Q$21,15)=0),"",SUMIFS(DECKS!$D$2:$D$1201,DECKS!$A$2:$A$1201,INDEX(_LEITURA!$P$2:$P$21,15),DECKS!$B$2:$B$1201,$A501))</f>
        <v/>
      </c>
      <c r="Z501" s="19" t="str">
        <f aca="false">IF(OR($A501="",INDEX(_LEITURA!$Q$2:$Q$21,16)=0),"",SUMIFS(DECKS!$D$2:$D$1201,DECKS!$A$2:$A$1201,INDEX(_LEITURA!$P$2:$P$21,16),DECKS!$B$2:$B$1201,$A501))</f>
        <v/>
      </c>
      <c r="AA501" s="19" t="str">
        <f aca="false">IF(OR($A501="",INDEX(_LEITURA!$Q$2:$Q$21,17)=0),"",SUMIFS(DECKS!$D$2:$D$1201,DECKS!$A$2:$A$1201,INDEX(_LEITURA!$P$2:$P$21,17),DECKS!$B$2:$B$1201,$A501))</f>
        <v/>
      </c>
      <c r="AB501" s="19" t="str">
        <f aca="false">IF(OR($A501="",INDEX(_LEITURA!$Q$2:$Q$21,18)=0),"",SUMIFS(DECKS!$D$2:$D$1201,DECKS!$A$2:$A$1201,INDEX(_LEITURA!$P$2:$P$21,18),DECKS!$B$2:$B$1201,$A501))</f>
        <v/>
      </c>
      <c r="AC501" s="19" t="str">
        <f aca="false">IF(OR($A501="",INDEX(_LEITURA!$Q$2:$Q$21,19)=0),"",SUMIFS(DECKS!$D$2:$D$1201,DECKS!$A$2:$A$1201,INDEX(_LEITURA!$P$2:$P$21,19),DECKS!$B$2:$B$1201,$A501))</f>
        <v/>
      </c>
      <c r="AD501" s="19" t="str">
        <f aca="false">IF(OR($A501="",INDEX(_LEITURA!$Q$2:$Q$21,20)=0),"",SUMIFS(DECKS!$D$2:$D$1201,DECKS!$A$2:$A$1201,INDEX(_LEITURA!$P$2:$P$21,20),DECKS!$B$2:$B$1201,$A501))</f>
        <v/>
      </c>
      <c r="AE501" s="16" t="str">
        <f aca="false">IF(N(E501)&gt;0,MAX(AE$1:AE500)+1,"")</f>
        <v/>
      </c>
      <c r="AF501" s="11" t="str">
        <f aca="false">IF(A501="","",IFERROR(LEFT(A501,FIND("-",A501)-1),A501))</f>
        <v/>
      </c>
      <c r="AG501" s="11" t="str">
        <f aca="false">IF(AF501="","",IF(ISNUMBER(--MID(AF501,1,1)),0,IF(ISNUMBER(--MID(AF501,2,1)),1,IF(ISNUMBER(--MID(AF501,3,1)),2,IF(ISNUMBER(--MID(AF501,4,1)),3,MIN(LEN(AF501),4))))))</f>
        <v/>
      </c>
      <c r="AH501" s="11" t="str">
        <f aca="false">IF(A501="","",LEFT(AF501,AG501)&amp;REPT("0",4-AG501)&amp;RIGHT("000"&amp;IFERROR(VALUE(MID(AF501,AG501+1,9)),0),3)&amp;RIGHT("0000"&amp;IFERROR(VALUE(MID(A501,FIND("-",A501)+1,9)),0),4))</f>
        <v/>
      </c>
      <c r="AI501" s="11" t="str">
        <f aca="false">IF(OR(A501="",N(E501)&lt;=0),"",IF('FALTAS GERAL'!$M$1="Código","K"&amp;AH501&amp;RIGHT("00000"&amp;ROW(),5),IF('FALTAS GERAL'!$M$1="Nome","K"&amp;UPPER(SUBSTITUTE(SUBSTITUTE(SUBSTITUTE(B501,"*",""),"?",""),"~",""))&amp;"0"&amp;AH501&amp;RIGHT("00000"&amp;ROW(),5),IF('FALTAS GERAL'!$M$1="Falta (maior primeiro)","K"&amp;RIGHT("0000"&amp;(9999-E501),4)&amp;AH501&amp;RIGHT("00000"&amp;ROW(),5),IF('FALTAS GERAL'!$M$1="Nº de decks (maior primeiro)","K"&amp;RIGHT("00"&amp;(99-N(G501)),2)&amp;AH501&amp;RIGHT("00000"&amp;ROW(),5),"K"&amp;RIGHT("00000"&amp;ROW(),5))))))</f>
        <v/>
      </c>
      <c r="AJ501" s="11" t="str">
        <f aca="false">IF(AI501="","",COUNTIFS($AI$2:$AI$801,"&lt;"&amp;AI501,$E$2:$E$801,"&gt;0")+1)</f>
        <v/>
      </c>
      <c r="AK501" s="11" t="str">
        <f aca="false">IF(OR(A501="",N(E501)&lt;=0),"",COUNTIFS($AH$2:$AH$801,"&lt;"&amp;AH501,$E$2:$E$801,"&gt;0")+COUNTIFS($AH$2:AH501,AH501,$E$2:E501,"&gt;0"))</f>
        <v/>
      </c>
    </row>
    <row r="502" customFormat="false" ht="15" hidden="false" customHeight="false" outlineLevel="0" collapsed="false">
      <c r="A502" s="11" t="str">
        <f aca="false">IF(INVENTÁRIO!A502="","",INVENTÁRIO!A502)</f>
        <v/>
      </c>
      <c r="B502" s="11" t="str">
        <f aca="false">IF(A502="","",INVENTÁRIO!B502)</f>
        <v/>
      </c>
      <c r="C502" s="16" t="str">
        <f aca="false">IF(A502="","",INVENTÁRIO!C502)</f>
        <v/>
      </c>
      <c r="D502" s="14" t="str">
        <f aca="false">IF(A502="","",MAX(K502:AD502))</f>
        <v/>
      </c>
      <c r="E502" s="14" t="str">
        <f aca="false">IF(A502="","",MAX(0,D502-C502))</f>
        <v/>
      </c>
      <c r="F502" s="16" t="str">
        <f aca="false">IF(A502="","",IF(D502=0,"Fora dos decks",IF(E502=0,"Completo","Falta")))</f>
        <v/>
      </c>
      <c r="G502" s="16" t="str">
        <f aca="false">IF(A502="","",COUNTIF(K502:AD502,"&gt;0"))</f>
        <v/>
      </c>
      <c r="H502" s="16" t="str">
        <f aca="false">IF(A502="","",IF(G502&gt;1,"Sim",""))</f>
        <v/>
      </c>
      <c r="I502" s="18" t="str">
        <f aca="false">IF(A502="","",SUMIFS(DECKS!$D$2:$D$1201,DECKS!$B$2:$B$1201,A502))</f>
        <v/>
      </c>
      <c r="J502" s="18" t="str">
        <f aca="false">IF(A502="","",MAX(0,I502-C502))</f>
        <v/>
      </c>
      <c r="K502" s="19" t="str">
        <f aca="false">IF(OR($A502="",INDEX(_LEITURA!$Q$2:$Q$21,1)=0),"",SUMIFS(DECKS!$D$2:$D$1201,DECKS!$A$2:$A$1201,INDEX(_LEITURA!$P$2:$P$21,1),DECKS!$B$2:$B$1201,$A502))</f>
        <v/>
      </c>
      <c r="L502" s="19" t="str">
        <f aca="false">IF(OR($A502="",INDEX(_LEITURA!$Q$2:$Q$21,2)=0),"",SUMIFS(DECKS!$D$2:$D$1201,DECKS!$A$2:$A$1201,INDEX(_LEITURA!$P$2:$P$21,2),DECKS!$B$2:$B$1201,$A502))</f>
        <v/>
      </c>
      <c r="M502" s="19" t="str">
        <f aca="false">IF(OR($A502="",INDEX(_LEITURA!$Q$2:$Q$21,3)=0),"",SUMIFS(DECKS!$D$2:$D$1201,DECKS!$A$2:$A$1201,INDEX(_LEITURA!$P$2:$P$21,3),DECKS!$B$2:$B$1201,$A502))</f>
        <v/>
      </c>
      <c r="N502" s="19" t="str">
        <f aca="false">IF(OR($A502="",INDEX(_LEITURA!$Q$2:$Q$21,4)=0),"",SUMIFS(DECKS!$D$2:$D$1201,DECKS!$A$2:$A$1201,INDEX(_LEITURA!$P$2:$P$21,4),DECKS!$B$2:$B$1201,$A502))</f>
        <v/>
      </c>
      <c r="O502" s="19" t="str">
        <f aca="false">IF(OR($A502="",INDEX(_LEITURA!$Q$2:$Q$21,5)=0),"",SUMIFS(DECKS!$D$2:$D$1201,DECKS!$A$2:$A$1201,INDEX(_LEITURA!$P$2:$P$21,5),DECKS!$B$2:$B$1201,$A502))</f>
        <v/>
      </c>
      <c r="P502" s="19" t="str">
        <f aca="false">IF(OR($A502="",INDEX(_LEITURA!$Q$2:$Q$21,6)=0),"",SUMIFS(DECKS!$D$2:$D$1201,DECKS!$A$2:$A$1201,INDEX(_LEITURA!$P$2:$P$21,6),DECKS!$B$2:$B$1201,$A502))</f>
        <v/>
      </c>
      <c r="Q502" s="19" t="str">
        <f aca="false">IF(OR($A502="",INDEX(_LEITURA!$Q$2:$Q$21,7)=0),"",SUMIFS(DECKS!$D$2:$D$1201,DECKS!$A$2:$A$1201,INDEX(_LEITURA!$P$2:$P$21,7),DECKS!$B$2:$B$1201,$A502))</f>
        <v/>
      </c>
      <c r="R502" s="19" t="str">
        <f aca="false">IF(OR($A502="",INDEX(_LEITURA!$Q$2:$Q$21,8)=0),"",SUMIFS(DECKS!$D$2:$D$1201,DECKS!$A$2:$A$1201,INDEX(_LEITURA!$P$2:$P$21,8),DECKS!$B$2:$B$1201,$A502))</f>
        <v/>
      </c>
      <c r="S502" s="19" t="str">
        <f aca="false">IF(OR($A502="",INDEX(_LEITURA!$Q$2:$Q$21,9)=0),"",SUMIFS(DECKS!$D$2:$D$1201,DECKS!$A$2:$A$1201,INDEX(_LEITURA!$P$2:$P$21,9),DECKS!$B$2:$B$1201,$A502))</f>
        <v/>
      </c>
      <c r="T502" s="19" t="str">
        <f aca="false">IF(OR($A502="",INDEX(_LEITURA!$Q$2:$Q$21,10)=0),"",SUMIFS(DECKS!$D$2:$D$1201,DECKS!$A$2:$A$1201,INDEX(_LEITURA!$P$2:$P$21,10),DECKS!$B$2:$B$1201,$A502))</f>
        <v/>
      </c>
      <c r="U502" s="19" t="str">
        <f aca="false">IF(OR($A502="",INDEX(_LEITURA!$Q$2:$Q$21,11)=0),"",SUMIFS(DECKS!$D$2:$D$1201,DECKS!$A$2:$A$1201,INDEX(_LEITURA!$P$2:$P$21,11),DECKS!$B$2:$B$1201,$A502))</f>
        <v/>
      </c>
      <c r="V502" s="19" t="str">
        <f aca="false">IF(OR($A502="",INDEX(_LEITURA!$Q$2:$Q$21,12)=0),"",SUMIFS(DECKS!$D$2:$D$1201,DECKS!$A$2:$A$1201,INDEX(_LEITURA!$P$2:$P$21,12),DECKS!$B$2:$B$1201,$A502))</f>
        <v/>
      </c>
      <c r="W502" s="19" t="str">
        <f aca="false">IF(OR($A502="",INDEX(_LEITURA!$Q$2:$Q$21,13)=0),"",SUMIFS(DECKS!$D$2:$D$1201,DECKS!$A$2:$A$1201,INDEX(_LEITURA!$P$2:$P$21,13),DECKS!$B$2:$B$1201,$A502))</f>
        <v/>
      </c>
      <c r="X502" s="19" t="str">
        <f aca="false">IF(OR($A502="",INDEX(_LEITURA!$Q$2:$Q$21,14)=0),"",SUMIFS(DECKS!$D$2:$D$1201,DECKS!$A$2:$A$1201,INDEX(_LEITURA!$P$2:$P$21,14),DECKS!$B$2:$B$1201,$A502))</f>
        <v/>
      </c>
      <c r="Y502" s="19" t="str">
        <f aca="false">IF(OR($A502="",INDEX(_LEITURA!$Q$2:$Q$21,15)=0),"",SUMIFS(DECKS!$D$2:$D$1201,DECKS!$A$2:$A$1201,INDEX(_LEITURA!$P$2:$P$21,15),DECKS!$B$2:$B$1201,$A502))</f>
        <v/>
      </c>
      <c r="Z502" s="19" t="str">
        <f aca="false">IF(OR($A502="",INDEX(_LEITURA!$Q$2:$Q$21,16)=0),"",SUMIFS(DECKS!$D$2:$D$1201,DECKS!$A$2:$A$1201,INDEX(_LEITURA!$P$2:$P$21,16),DECKS!$B$2:$B$1201,$A502))</f>
        <v/>
      </c>
      <c r="AA502" s="19" t="str">
        <f aca="false">IF(OR($A502="",INDEX(_LEITURA!$Q$2:$Q$21,17)=0),"",SUMIFS(DECKS!$D$2:$D$1201,DECKS!$A$2:$A$1201,INDEX(_LEITURA!$P$2:$P$21,17),DECKS!$B$2:$B$1201,$A502))</f>
        <v/>
      </c>
      <c r="AB502" s="19" t="str">
        <f aca="false">IF(OR($A502="",INDEX(_LEITURA!$Q$2:$Q$21,18)=0),"",SUMIFS(DECKS!$D$2:$D$1201,DECKS!$A$2:$A$1201,INDEX(_LEITURA!$P$2:$P$21,18),DECKS!$B$2:$B$1201,$A502))</f>
        <v/>
      </c>
      <c r="AC502" s="19" t="str">
        <f aca="false">IF(OR($A502="",INDEX(_LEITURA!$Q$2:$Q$21,19)=0),"",SUMIFS(DECKS!$D$2:$D$1201,DECKS!$A$2:$A$1201,INDEX(_LEITURA!$P$2:$P$21,19),DECKS!$B$2:$B$1201,$A502))</f>
        <v/>
      </c>
      <c r="AD502" s="19" t="str">
        <f aca="false">IF(OR($A502="",INDEX(_LEITURA!$Q$2:$Q$21,20)=0),"",SUMIFS(DECKS!$D$2:$D$1201,DECKS!$A$2:$A$1201,INDEX(_LEITURA!$P$2:$P$21,20),DECKS!$B$2:$B$1201,$A502))</f>
        <v/>
      </c>
      <c r="AE502" s="16" t="str">
        <f aca="false">IF(N(E502)&gt;0,MAX(AE$1:AE501)+1,"")</f>
        <v/>
      </c>
      <c r="AF502" s="11" t="str">
        <f aca="false">IF(A502="","",IFERROR(LEFT(A502,FIND("-",A502)-1),A502))</f>
        <v/>
      </c>
      <c r="AG502" s="11" t="str">
        <f aca="false">IF(AF502="","",IF(ISNUMBER(--MID(AF502,1,1)),0,IF(ISNUMBER(--MID(AF502,2,1)),1,IF(ISNUMBER(--MID(AF502,3,1)),2,IF(ISNUMBER(--MID(AF502,4,1)),3,MIN(LEN(AF502),4))))))</f>
        <v/>
      </c>
      <c r="AH502" s="11" t="str">
        <f aca="false">IF(A502="","",LEFT(AF502,AG502)&amp;REPT("0",4-AG502)&amp;RIGHT("000"&amp;IFERROR(VALUE(MID(AF502,AG502+1,9)),0),3)&amp;RIGHT("0000"&amp;IFERROR(VALUE(MID(A502,FIND("-",A502)+1,9)),0),4))</f>
        <v/>
      </c>
      <c r="AI502" s="11" t="str">
        <f aca="false">IF(OR(A502="",N(E502)&lt;=0),"",IF('FALTAS GERAL'!$M$1="Código","K"&amp;AH502&amp;RIGHT("00000"&amp;ROW(),5),IF('FALTAS GERAL'!$M$1="Nome","K"&amp;UPPER(SUBSTITUTE(SUBSTITUTE(SUBSTITUTE(B502,"*",""),"?",""),"~",""))&amp;"0"&amp;AH502&amp;RIGHT("00000"&amp;ROW(),5),IF('FALTAS GERAL'!$M$1="Falta (maior primeiro)","K"&amp;RIGHT("0000"&amp;(9999-E502),4)&amp;AH502&amp;RIGHT("00000"&amp;ROW(),5),IF('FALTAS GERAL'!$M$1="Nº de decks (maior primeiro)","K"&amp;RIGHT("00"&amp;(99-N(G502)),2)&amp;AH502&amp;RIGHT("00000"&amp;ROW(),5),"K"&amp;RIGHT("00000"&amp;ROW(),5))))))</f>
        <v/>
      </c>
      <c r="AJ502" s="11" t="str">
        <f aca="false">IF(AI502="","",COUNTIFS($AI$2:$AI$801,"&lt;"&amp;AI502,$E$2:$E$801,"&gt;0")+1)</f>
        <v/>
      </c>
      <c r="AK502" s="11" t="str">
        <f aca="false">IF(OR(A502="",N(E502)&lt;=0),"",COUNTIFS($AH$2:$AH$801,"&lt;"&amp;AH502,$E$2:$E$801,"&gt;0")+COUNTIFS($AH$2:AH502,AH502,$E$2:E502,"&gt;0"))</f>
        <v/>
      </c>
    </row>
    <row r="503" customFormat="false" ht="15" hidden="false" customHeight="false" outlineLevel="0" collapsed="false">
      <c r="A503" s="11" t="str">
        <f aca="false">IF(INVENTÁRIO!A503="","",INVENTÁRIO!A503)</f>
        <v/>
      </c>
      <c r="B503" s="11" t="str">
        <f aca="false">IF(A503="","",INVENTÁRIO!B503)</f>
        <v/>
      </c>
      <c r="C503" s="16" t="str">
        <f aca="false">IF(A503="","",INVENTÁRIO!C503)</f>
        <v/>
      </c>
      <c r="D503" s="14" t="str">
        <f aca="false">IF(A503="","",MAX(K503:AD503))</f>
        <v/>
      </c>
      <c r="E503" s="14" t="str">
        <f aca="false">IF(A503="","",MAX(0,D503-C503))</f>
        <v/>
      </c>
      <c r="F503" s="16" t="str">
        <f aca="false">IF(A503="","",IF(D503=0,"Fora dos decks",IF(E503=0,"Completo","Falta")))</f>
        <v/>
      </c>
      <c r="G503" s="16" t="str">
        <f aca="false">IF(A503="","",COUNTIF(K503:AD503,"&gt;0"))</f>
        <v/>
      </c>
      <c r="H503" s="16" t="str">
        <f aca="false">IF(A503="","",IF(G503&gt;1,"Sim",""))</f>
        <v/>
      </c>
      <c r="I503" s="18" t="str">
        <f aca="false">IF(A503="","",SUMIFS(DECKS!$D$2:$D$1201,DECKS!$B$2:$B$1201,A503))</f>
        <v/>
      </c>
      <c r="J503" s="18" t="str">
        <f aca="false">IF(A503="","",MAX(0,I503-C503))</f>
        <v/>
      </c>
      <c r="K503" s="19" t="str">
        <f aca="false">IF(OR($A503="",INDEX(_LEITURA!$Q$2:$Q$21,1)=0),"",SUMIFS(DECKS!$D$2:$D$1201,DECKS!$A$2:$A$1201,INDEX(_LEITURA!$P$2:$P$21,1),DECKS!$B$2:$B$1201,$A503))</f>
        <v/>
      </c>
      <c r="L503" s="19" t="str">
        <f aca="false">IF(OR($A503="",INDEX(_LEITURA!$Q$2:$Q$21,2)=0),"",SUMIFS(DECKS!$D$2:$D$1201,DECKS!$A$2:$A$1201,INDEX(_LEITURA!$P$2:$P$21,2),DECKS!$B$2:$B$1201,$A503))</f>
        <v/>
      </c>
      <c r="M503" s="19" t="str">
        <f aca="false">IF(OR($A503="",INDEX(_LEITURA!$Q$2:$Q$21,3)=0),"",SUMIFS(DECKS!$D$2:$D$1201,DECKS!$A$2:$A$1201,INDEX(_LEITURA!$P$2:$P$21,3),DECKS!$B$2:$B$1201,$A503))</f>
        <v/>
      </c>
      <c r="N503" s="19" t="str">
        <f aca="false">IF(OR($A503="",INDEX(_LEITURA!$Q$2:$Q$21,4)=0),"",SUMIFS(DECKS!$D$2:$D$1201,DECKS!$A$2:$A$1201,INDEX(_LEITURA!$P$2:$P$21,4),DECKS!$B$2:$B$1201,$A503))</f>
        <v/>
      </c>
      <c r="O503" s="19" t="str">
        <f aca="false">IF(OR($A503="",INDEX(_LEITURA!$Q$2:$Q$21,5)=0),"",SUMIFS(DECKS!$D$2:$D$1201,DECKS!$A$2:$A$1201,INDEX(_LEITURA!$P$2:$P$21,5),DECKS!$B$2:$B$1201,$A503))</f>
        <v/>
      </c>
      <c r="P503" s="19" t="str">
        <f aca="false">IF(OR($A503="",INDEX(_LEITURA!$Q$2:$Q$21,6)=0),"",SUMIFS(DECKS!$D$2:$D$1201,DECKS!$A$2:$A$1201,INDEX(_LEITURA!$P$2:$P$21,6),DECKS!$B$2:$B$1201,$A503))</f>
        <v/>
      </c>
      <c r="Q503" s="19" t="str">
        <f aca="false">IF(OR($A503="",INDEX(_LEITURA!$Q$2:$Q$21,7)=0),"",SUMIFS(DECKS!$D$2:$D$1201,DECKS!$A$2:$A$1201,INDEX(_LEITURA!$P$2:$P$21,7),DECKS!$B$2:$B$1201,$A503))</f>
        <v/>
      </c>
      <c r="R503" s="19" t="str">
        <f aca="false">IF(OR($A503="",INDEX(_LEITURA!$Q$2:$Q$21,8)=0),"",SUMIFS(DECKS!$D$2:$D$1201,DECKS!$A$2:$A$1201,INDEX(_LEITURA!$P$2:$P$21,8),DECKS!$B$2:$B$1201,$A503))</f>
        <v/>
      </c>
      <c r="S503" s="19" t="str">
        <f aca="false">IF(OR($A503="",INDEX(_LEITURA!$Q$2:$Q$21,9)=0),"",SUMIFS(DECKS!$D$2:$D$1201,DECKS!$A$2:$A$1201,INDEX(_LEITURA!$P$2:$P$21,9),DECKS!$B$2:$B$1201,$A503))</f>
        <v/>
      </c>
      <c r="T503" s="19" t="str">
        <f aca="false">IF(OR($A503="",INDEX(_LEITURA!$Q$2:$Q$21,10)=0),"",SUMIFS(DECKS!$D$2:$D$1201,DECKS!$A$2:$A$1201,INDEX(_LEITURA!$P$2:$P$21,10),DECKS!$B$2:$B$1201,$A503))</f>
        <v/>
      </c>
      <c r="U503" s="19" t="str">
        <f aca="false">IF(OR($A503="",INDEX(_LEITURA!$Q$2:$Q$21,11)=0),"",SUMIFS(DECKS!$D$2:$D$1201,DECKS!$A$2:$A$1201,INDEX(_LEITURA!$P$2:$P$21,11),DECKS!$B$2:$B$1201,$A503))</f>
        <v/>
      </c>
      <c r="V503" s="19" t="str">
        <f aca="false">IF(OR($A503="",INDEX(_LEITURA!$Q$2:$Q$21,12)=0),"",SUMIFS(DECKS!$D$2:$D$1201,DECKS!$A$2:$A$1201,INDEX(_LEITURA!$P$2:$P$21,12),DECKS!$B$2:$B$1201,$A503))</f>
        <v/>
      </c>
      <c r="W503" s="19" t="str">
        <f aca="false">IF(OR($A503="",INDEX(_LEITURA!$Q$2:$Q$21,13)=0),"",SUMIFS(DECKS!$D$2:$D$1201,DECKS!$A$2:$A$1201,INDEX(_LEITURA!$P$2:$P$21,13),DECKS!$B$2:$B$1201,$A503))</f>
        <v/>
      </c>
      <c r="X503" s="19" t="str">
        <f aca="false">IF(OR($A503="",INDEX(_LEITURA!$Q$2:$Q$21,14)=0),"",SUMIFS(DECKS!$D$2:$D$1201,DECKS!$A$2:$A$1201,INDEX(_LEITURA!$P$2:$P$21,14),DECKS!$B$2:$B$1201,$A503))</f>
        <v/>
      </c>
      <c r="Y503" s="19" t="str">
        <f aca="false">IF(OR($A503="",INDEX(_LEITURA!$Q$2:$Q$21,15)=0),"",SUMIFS(DECKS!$D$2:$D$1201,DECKS!$A$2:$A$1201,INDEX(_LEITURA!$P$2:$P$21,15),DECKS!$B$2:$B$1201,$A503))</f>
        <v/>
      </c>
      <c r="Z503" s="19" t="str">
        <f aca="false">IF(OR($A503="",INDEX(_LEITURA!$Q$2:$Q$21,16)=0),"",SUMIFS(DECKS!$D$2:$D$1201,DECKS!$A$2:$A$1201,INDEX(_LEITURA!$P$2:$P$21,16),DECKS!$B$2:$B$1201,$A503))</f>
        <v/>
      </c>
      <c r="AA503" s="19" t="str">
        <f aca="false">IF(OR($A503="",INDEX(_LEITURA!$Q$2:$Q$21,17)=0),"",SUMIFS(DECKS!$D$2:$D$1201,DECKS!$A$2:$A$1201,INDEX(_LEITURA!$P$2:$P$21,17),DECKS!$B$2:$B$1201,$A503))</f>
        <v/>
      </c>
      <c r="AB503" s="19" t="str">
        <f aca="false">IF(OR($A503="",INDEX(_LEITURA!$Q$2:$Q$21,18)=0),"",SUMIFS(DECKS!$D$2:$D$1201,DECKS!$A$2:$A$1201,INDEX(_LEITURA!$P$2:$P$21,18),DECKS!$B$2:$B$1201,$A503))</f>
        <v/>
      </c>
      <c r="AC503" s="19" t="str">
        <f aca="false">IF(OR($A503="",INDEX(_LEITURA!$Q$2:$Q$21,19)=0),"",SUMIFS(DECKS!$D$2:$D$1201,DECKS!$A$2:$A$1201,INDEX(_LEITURA!$P$2:$P$21,19),DECKS!$B$2:$B$1201,$A503))</f>
        <v/>
      </c>
      <c r="AD503" s="19" t="str">
        <f aca="false">IF(OR($A503="",INDEX(_LEITURA!$Q$2:$Q$21,20)=0),"",SUMIFS(DECKS!$D$2:$D$1201,DECKS!$A$2:$A$1201,INDEX(_LEITURA!$P$2:$P$21,20),DECKS!$B$2:$B$1201,$A503))</f>
        <v/>
      </c>
      <c r="AE503" s="16" t="str">
        <f aca="false">IF(N(E503)&gt;0,MAX(AE$1:AE502)+1,"")</f>
        <v/>
      </c>
      <c r="AF503" s="11" t="str">
        <f aca="false">IF(A503="","",IFERROR(LEFT(A503,FIND("-",A503)-1),A503))</f>
        <v/>
      </c>
      <c r="AG503" s="11" t="str">
        <f aca="false">IF(AF503="","",IF(ISNUMBER(--MID(AF503,1,1)),0,IF(ISNUMBER(--MID(AF503,2,1)),1,IF(ISNUMBER(--MID(AF503,3,1)),2,IF(ISNUMBER(--MID(AF503,4,1)),3,MIN(LEN(AF503),4))))))</f>
        <v/>
      </c>
      <c r="AH503" s="11" t="str">
        <f aca="false">IF(A503="","",LEFT(AF503,AG503)&amp;REPT("0",4-AG503)&amp;RIGHT("000"&amp;IFERROR(VALUE(MID(AF503,AG503+1,9)),0),3)&amp;RIGHT("0000"&amp;IFERROR(VALUE(MID(A503,FIND("-",A503)+1,9)),0),4))</f>
        <v/>
      </c>
      <c r="AI503" s="11" t="str">
        <f aca="false">IF(OR(A503="",N(E503)&lt;=0),"",IF('FALTAS GERAL'!$M$1="Código","K"&amp;AH503&amp;RIGHT("00000"&amp;ROW(),5),IF('FALTAS GERAL'!$M$1="Nome","K"&amp;UPPER(SUBSTITUTE(SUBSTITUTE(SUBSTITUTE(B503,"*",""),"?",""),"~",""))&amp;"0"&amp;AH503&amp;RIGHT("00000"&amp;ROW(),5),IF('FALTAS GERAL'!$M$1="Falta (maior primeiro)","K"&amp;RIGHT("0000"&amp;(9999-E503),4)&amp;AH503&amp;RIGHT("00000"&amp;ROW(),5),IF('FALTAS GERAL'!$M$1="Nº de decks (maior primeiro)","K"&amp;RIGHT("00"&amp;(99-N(G503)),2)&amp;AH503&amp;RIGHT("00000"&amp;ROW(),5),"K"&amp;RIGHT("00000"&amp;ROW(),5))))))</f>
        <v/>
      </c>
      <c r="AJ503" s="11" t="str">
        <f aca="false">IF(AI503="","",COUNTIFS($AI$2:$AI$801,"&lt;"&amp;AI503,$E$2:$E$801,"&gt;0")+1)</f>
        <v/>
      </c>
      <c r="AK503" s="11" t="str">
        <f aca="false">IF(OR(A503="",N(E503)&lt;=0),"",COUNTIFS($AH$2:$AH$801,"&lt;"&amp;AH503,$E$2:$E$801,"&gt;0")+COUNTIFS($AH$2:AH503,AH503,$E$2:E503,"&gt;0"))</f>
        <v/>
      </c>
    </row>
    <row r="504" customFormat="false" ht="15" hidden="false" customHeight="false" outlineLevel="0" collapsed="false">
      <c r="A504" s="11" t="str">
        <f aca="false">IF(INVENTÁRIO!A504="","",INVENTÁRIO!A504)</f>
        <v/>
      </c>
      <c r="B504" s="11" t="str">
        <f aca="false">IF(A504="","",INVENTÁRIO!B504)</f>
        <v/>
      </c>
      <c r="C504" s="16" t="str">
        <f aca="false">IF(A504="","",INVENTÁRIO!C504)</f>
        <v/>
      </c>
      <c r="D504" s="14" t="str">
        <f aca="false">IF(A504="","",MAX(K504:AD504))</f>
        <v/>
      </c>
      <c r="E504" s="14" t="str">
        <f aca="false">IF(A504="","",MAX(0,D504-C504))</f>
        <v/>
      </c>
      <c r="F504" s="16" t="str">
        <f aca="false">IF(A504="","",IF(D504=0,"Fora dos decks",IF(E504=0,"Completo","Falta")))</f>
        <v/>
      </c>
      <c r="G504" s="16" t="str">
        <f aca="false">IF(A504="","",COUNTIF(K504:AD504,"&gt;0"))</f>
        <v/>
      </c>
      <c r="H504" s="16" t="str">
        <f aca="false">IF(A504="","",IF(G504&gt;1,"Sim",""))</f>
        <v/>
      </c>
      <c r="I504" s="18" t="str">
        <f aca="false">IF(A504="","",SUMIFS(DECKS!$D$2:$D$1201,DECKS!$B$2:$B$1201,A504))</f>
        <v/>
      </c>
      <c r="J504" s="18" t="str">
        <f aca="false">IF(A504="","",MAX(0,I504-C504))</f>
        <v/>
      </c>
      <c r="K504" s="19" t="str">
        <f aca="false">IF(OR($A504="",INDEX(_LEITURA!$Q$2:$Q$21,1)=0),"",SUMIFS(DECKS!$D$2:$D$1201,DECKS!$A$2:$A$1201,INDEX(_LEITURA!$P$2:$P$21,1),DECKS!$B$2:$B$1201,$A504))</f>
        <v/>
      </c>
      <c r="L504" s="19" t="str">
        <f aca="false">IF(OR($A504="",INDEX(_LEITURA!$Q$2:$Q$21,2)=0),"",SUMIFS(DECKS!$D$2:$D$1201,DECKS!$A$2:$A$1201,INDEX(_LEITURA!$P$2:$P$21,2),DECKS!$B$2:$B$1201,$A504))</f>
        <v/>
      </c>
      <c r="M504" s="19" t="str">
        <f aca="false">IF(OR($A504="",INDEX(_LEITURA!$Q$2:$Q$21,3)=0),"",SUMIFS(DECKS!$D$2:$D$1201,DECKS!$A$2:$A$1201,INDEX(_LEITURA!$P$2:$P$21,3),DECKS!$B$2:$B$1201,$A504))</f>
        <v/>
      </c>
      <c r="N504" s="19" t="str">
        <f aca="false">IF(OR($A504="",INDEX(_LEITURA!$Q$2:$Q$21,4)=0),"",SUMIFS(DECKS!$D$2:$D$1201,DECKS!$A$2:$A$1201,INDEX(_LEITURA!$P$2:$P$21,4),DECKS!$B$2:$B$1201,$A504))</f>
        <v/>
      </c>
      <c r="O504" s="19" t="str">
        <f aca="false">IF(OR($A504="",INDEX(_LEITURA!$Q$2:$Q$21,5)=0),"",SUMIFS(DECKS!$D$2:$D$1201,DECKS!$A$2:$A$1201,INDEX(_LEITURA!$P$2:$P$21,5),DECKS!$B$2:$B$1201,$A504))</f>
        <v/>
      </c>
      <c r="P504" s="19" t="str">
        <f aca="false">IF(OR($A504="",INDEX(_LEITURA!$Q$2:$Q$21,6)=0),"",SUMIFS(DECKS!$D$2:$D$1201,DECKS!$A$2:$A$1201,INDEX(_LEITURA!$P$2:$P$21,6),DECKS!$B$2:$B$1201,$A504))</f>
        <v/>
      </c>
      <c r="Q504" s="19" t="str">
        <f aca="false">IF(OR($A504="",INDEX(_LEITURA!$Q$2:$Q$21,7)=0),"",SUMIFS(DECKS!$D$2:$D$1201,DECKS!$A$2:$A$1201,INDEX(_LEITURA!$P$2:$P$21,7),DECKS!$B$2:$B$1201,$A504))</f>
        <v/>
      </c>
      <c r="R504" s="19" t="str">
        <f aca="false">IF(OR($A504="",INDEX(_LEITURA!$Q$2:$Q$21,8)=0),"",SUMIFS(DECKS!$D$2:$D$1201,DECKS!$A$2:$A$1201,INDEX(_LEITURA!$P$2:$P$21,8),DECKS!$B$2:$B$1201,$A504))</f>
        <v/>
      </c>
      <c r="S504" s="19" t="str">
        <f aca="false">IF(OR($A504="",INDEX(_LEITURA!$Q$2:$Q$21,9)=0),"",SUMIFS(DECKS!$D$2:$D$1201,DECKS!$A$2:$A$1201,INDEX(_LEITURA!$P$2:$P$21,9),DECKS!$B$2:$B$1201,$A504))</f>
        <v/>
      </c>
      <c r="T504" s="19" t="str">
        <f aca="false">IF(OR($A504="",INDEX(_LEITURA!$Q$2:$Q$21,10)=0),"",SUMIFS(DECKS!$D$2:$D$1201,DECKS!$A$2:$A$1201,INDEX(_LEITURA!$P$2:$P$21,10),DECKS!$B$2:$B$1201,$A504))</f>
        <v/>
      </c>
      <c r="U504" s="19" t="str">
        <f aca="false">IF(OR($A504="",INDEX(_LEITURA!$Q$2:$Q$21,11)=0),"",SUMIFS(DECKS!$D$2:$D$1201,DECKS!$A$2:$A$1201,INDEX(_LEITURA!$P$2:$P$21,11),DECKS!$B$2:$B$1201,$A504))</f>
        <v/>
      </c>
      <c r="V504" s="19" t="str">
        <f aca="false">IF(OR($A504="",INDEX(_LEITURA!$Q$2:$Q$21,12)=0),"",SUMIFS(DECKS!$D$2:$D$1201,DECKS!$A$2:$A$1201,INDEX(_LEITURA!$P$2:$P$21,12),DECKS!$B$2:$B$1201,$A504))</f>
        <v/>
      </c>
      <c r="W504" s="19" t="str">
        <f aca="false">IF(OR($A504="",INDEX(_LEITURA!$Q$2:$Q$21,13)=0),"",SUMIFS(DECKS!$D$2:$D$1201,DECKS!$A$2:$A$1201,INDEX(_LEITURA!$P$2:$P$21,13),DECKS!$B$2:$B$1201,$A504))</f>
        <v/>
      </c>
      <c r="X504" s="19" t="str">
        <f aca="false">IF(OR($A504="",INDEX(_LEITURA!$Q$2:$Q$21,14)=0),"",SUMIFS(DECKS!$D$2:$D$1201,DECKS!$A$2:$A$1201,INDEX(_LEITURA!$P$2:$P$21,14),DECKS!$B$2:$B$1201,$A504))</f>
        <v/>
      </c>
      <c r="Y504" s="19" t="str">
        <f aca="false">IF(OR($A504="",INDEX(_LEITURA!$Q$2:$Q$21,15)=0),"",SUMIFS(DECKS!$D$2:$D$1201,DECKS!$A$2:$A$1201,INDEX(_LEITURA!$P$2:$P$21,15),DECKS!$B$2:$B$1201,$A504))</f>
        <v/>
      </c>
      <c r="Z504" s="19" t="str">
        <f aca="false">IF(OR($A504="",INDEX(_LEITURA!$Q$2:$Q$21,16)=0),"",SUMIFS(DECKS!$D$2:$D$1201,DECKS!$A$2:$A$1201,INDEX(_LEITURA!$P$2:$P$21,16),DECKS!$B$2:$B$1201,$A504))</f>
        <v/>
      </c>
      <c r="AA504" s="19" t="str">
        <f aca="false">IF(OR($A504="",INDEX(_LEITURA!$Q$2:$Q$21,17)=0),"",SUMIFS(DECKS!$D$2:$D$1201,DECKS!$A$2:$A$1201,INDEX(_LEITURA!$P$2:$P$21,17),DECKS!$B$2:$B$1201,$A504))</f>
        <v/>
      </c>
      <c r="AB504" s="19" t="str">
        <f aca="false">IF(OR($A504="",INDEX(_LEITURA!$Q$2:$Q$21,18)=0),"",SUMIFS(DECKS!$D$2:$D$1201,DECKS!$A$2:$A$1201,INDEX(_LEITURA!$P$2:$P$21,18),DECKS!$B$2:$B$1201,$A504))</f>
        <v/>
      </c>
      <c r="AC504" s="19" t="str">
        <f aca="false">IF(OR($A504="",INDEX(_LEITURA!$Q$2:$Q$21,19)=0),"",SUMIFS(DECKS!$D$2:$D$1201,DECKS!$A$2:$A$1201,INDEX(_LEITURA!$P$2:$P$21,19),DECKS!$B$2:$B$1201,$A504))</f>
        <v/>
      </c>
      <c r="AD504" s="19" t="str">
        <f aca="false">IF(OR($A504="",INDEX(_LEITURA!$Q$2:$Q$21,20)=0),"",SUMIFS(DECKS!$D$2:$D$1201,DECKS!$A$2:$A$1201,INDEX(_LEITURA!$P$2:$P$21,20),DECKS!$B$2:$B$1201,$A504))</f>
        <v/>
      </c>
      <c r="AE504" s="16" t="str">
        <f aca="false">IF(N(E504)&gt;0,MAX(AE$1:AE503)+1,"")</f>
        <v/>
      </c>
      <c r="AF504" s="11" t="str">
        <f aca="false">IF(A504="","",IFERROR(LEFT(A504,FIND("-",A504)-1),A504))</f>
        <v/>
      </c>
      <c r="AG504" s="11" t="str">
        <f aca="false">IF(AF504="","",IF(ISNUMBER(--MID(AF504,1,1)),0,IF(ISNUMBER(--MID(AF504,2,1)),1,IF(ISNUMBER(--MID(AF504,3,1)),2,IF(ISNUMBER(--MID(AF504,4,1)),3,MIN(LEN(AF504),4))))))</f>
        <v/>
      </c>
      <c r="AH504" s="11" t="str">
        <f aca="false">IF(A504="","",LEFT(AF504,AG504)&amp;REPT("0",4-AG504)&amp;RIGHT("000"&amp;IFERROR(VALUE(MID(AF504,AG504+1,9)),0),3)&amp;RIGHT("0000"&amp;IFERROR(VALUE(MID(A504,FIND("-",A504)+1,9)),0),4))</f>
        <v/>
      </c>
      <c r="AI504" s="11" t="str">
        <f aca="false">IF(OR(A504="",N(E504)&lt;=0),"",IF('FALTAS GERAL'!$M$1="Código","K"&amp;AH504&amp;RIGHT("00000"&amp;ROW(),5),IF('FALTAS GERAL'!$M$1="Nome","K"&amp;UPPER(SUBSTITUTE(SUBSTITUTE(SUBSTITUTE(B504,"*",""),"?",""),"~",""))&amp;"0"&amp;AH504&amp;RIGHT("00000"&amp;ROW(),5),IF('FALTAS GERAL'!$M$1="Falta (maior primeiro)","K"&amp;RIGHT("0000"&amp;(9999-E504),4)&amp;AH504&amp;RIGHT("00000"&amp;ROW(),5),IF('FALTAS GERAL'!$M$1="Nº de decks (maior primeiro)","K"&amp;RIGHT("00"&amp;(99-N(G504)),2)&amp;AH504&amp;RIGHT("00000"&amp;ROW(),5),"K"&amp;RIGHT("00000"&amp;ROW(),5))))))</f>
        <v/>
      </c>
      <c r="AJ504" s="11" t="str">
        <f aca="false">IF(AI504="","",COUNTIFS($AI$2:$AI$801,"&lt;"&amp;AI504,$E$2:$E$801,"&gt;0")+1)</f>
        <v/>
      </c>
      <c r="AK504" s="11" t="str">
        <f aca="false">IF(OR(A504="",N(E504)&lt;=0),"",COUNTIFS($AH$2:$AH$801,"&lt;"&amp;AH504,$E$2:$E$801,"&gt;0")+COUNTIFS($AH$2:AH504,AH504,$E$2:E504,"&gt;0"))</f>
        <v/>
      </c>
    </row>
    <row r="505" customFormat="false" ht="15" hidden="false" customHeight="false" outlineLevel="0" collapsed="false">
      <c r="A505" s="11" t="str">
        <f aca="false">IF(INVENTÁRIO!A505="","",INVENTÁRIO!A505)</f>
        <v/>
      </c>
      <c r="B505" s="11" t="str">
        <f aca="false">IF(A505="","",INVENTÁRIO!B505)</f>
        <v/>
      </c>
      <c r="C505" s="16" t="str">
        <f aca="false">IF(A505="","",INVENTÁRIO!C505)</f>
        <v/>
      </c>
      <c r="D505" s="14" t="str">
        <f aca="false">IF(A505="","",MAX(K505:AD505))</f>
        <v/>
      </c>
      <c r="E505" s="14" t="str">
        <f aca="false">IF(A505="","",MAX(0,D505-C505))</f>
        <v/>
      </c>
      <c r="F505" s="16" t="str">
        <f aca="false">IF(A505="","",IF(D505=0,"Fora dos decks",IF(E505=0,"Completo","Falta")))</f>
        <v/>
      </c>
      <c r="G505" s="16" t="str">
        <f aca="false">IF(A505="","",COUNTIF(K505:AD505,"&gt;0"))</f>
        <v/>
      </c>
      <c r="H505" s="16" t="str">
        <f aca="false">IF(A505="","",IF(G505&gt;1,"Sim",""))</f>
        <v/>
      </c>
      <c r="I505" s="18" t="str">
        <f aca="false">IF(A505="","",SUMIFS(DECKS!$D$2:$D$1201,DECKS!$B$2:$B$1201,A505))</f>
        <v/>
      </c>
      <c r="J505" s="18" t="str">
        <f aca="false">IF(A505="","",MAX(0,I505-C505))</f>
        <v/>
      </c>
      <c r="K505" s="19" t="str">
        <f aca="false">IF(OR($A505="",INDEX(_LEITURA!$Q$2:$Q$21,1)=0),"",SUMIFS(DECKS!$D$2:$D$1201,DECKS!$A$2:$A$1201,INDEX(_LEITURA!$P$2:$P$21,1),DECKS!$B$2:$B$1201,$A505))</f>
        <v/>
      </c>
      <c r="L505" s="19" t="str">
        <f aca="false">IF(OR($A505="",INDEX(_LEITURA!$Q$2:$Q$21,2)=0),"",SUMIFS(DECKS!$D$2:$D$1201,DECKS!$A$2:$A$1201,INDEX(_LEITURA!$P$2:$P$21,2),DECKS!$B$2:$B$1201,$A505))</f>
        <v/>
      </c>
      <c r="M505" s="19" t="str">
        <f aca="false">IF(OR($A505="",INDEX(_LEITURA!$Q$2:$Q$21,3)=0),"",SUMIFS(DECKS!$D$2:$D$1201,DECKS!$A$2:$A$1201,INDEX(_LEITURA!$P$2:$P$21,3),DECKS!$B$2:$B$1201,$A505))</f>
        <v/>
      </c>
      <c r="N505" s="19" t="str">
        <f aca="false">IF(OR($A505="",INDEX(_LEITURA!$Q$2:$Q$21,4)=0),"",SUMIFS(DECKS!$D$2:$D$1201,DECKS!$A$2:$A$1201,INDEX(_LEITURA!$P$2:$P$21,4),DECKS!$B$2:$B$1201,$A505))</f>
        <v/>
      </c>
      <c r="O505" s="19" t="str">
        <f aca="false">IF(OR($A505="",INDEX(_LEITURA!$Q$2:$Q$21,5)=0),"",SUMIFS(DECKS!$D$2:$D$1201,DECKS!$A$2:$A$1201,INDEX(_LEITURA!$P$2:$P$21,5),DECKS!$B$2:$B$1201,$A505))</f>
        <v/>
      </c>
      <c r="P505" s="19" t="str">
        <f aca="false">IF(OR($A505="",INDEX(_LEITURA!$Q$2:$Q$21,6)=0),"",SUMIFS(DECKS!$D$2:$D$1201,DECKS!$A$2:$A$1201,INDEX(_LEITURA!$P$2:$P$21,6),DECKS!$B$2:$B$1201,$A505))</f>
        <v/>
      </c>
      <c r="Q505" s="19" t="str">
        <f aca="false">IF(OR($A505="",INDEX(_LEITURA!$Q$2:$Q$21,7)=0),"",SUMIFS(DECKS!$D$2:$D$1201,DECKS!$A$2:$A$1201,INDEX(_LEITURA!$P$2:$P$21,7),DECKS!$B$2:$B$1201,$A505))</f>
        <v/>
      </c>
      <c r="R505" s="19" t="str">
        <f aca="false">IF(OR($A505="",INDEX(_LEITURA!$Q$2:$Q$21,8)=0),"",SUMIFS(DECKS!$D$2:$D$1201,DECKS!$A$2:$A$1201,INDEX(_LEITURA!$P$2:$P$21,8),DECKS!$B$2:$B$1201,$A505))</f>
        <v/>
      </c>
      <c r="S505" s="19" t="str">
        <f aca="false">IF(OR($A505="",INDEX(_LEITURA!$Q$2:$Q$21,9)=0),"",SUMIFS(DECKS!$D$2:$D$1201,DECKS!$A$2:$A$1201,INDEX(_LEITURA!$P$2:$P$21,9),DECKS!$B$2:$B$1201,$A505))</f>
        <v/>
      </c>
      <c r="T505" s="19" t="str">
        <f aca="false">IF(OR($A505="",INDEX(_LEITURA!$Q$2:$Q$21,10)=0),"",SUMIFS(DECKS!$D$2:$D$1201,DECKS!$A$2:$A$1201,INDEX(_LEITURA!$P$2:$P$21,10),DECKS!$B$2:$B$1201,$A505))</f>
        <v/>
      </c>
      <c r="U505" s="19" t="str">
        <f aca="false">IF(OR($A505="",INDEX(_LEITURA!$Q$2:$Q$21,11)=0),"",SUMIFS(DECKS!$D$2:$D$1201,DECKS!$A$2:$A$1201,INDEX(_LEITURA!$P$2:$P$21,11),DECKS!$B$2:$B$1201,$A505))</f>
        <v/>
      </c>
      <c r="V505" s="19" t="str">
        <f aca="false">IF(OR($A505="",INDEX(_LEITURA!$Q$2:$Q$21,12)=0),"",SUMIFS(DECKS!$D$2:$D$1201,DECKS!$A$2:$A$1201,INDEX(_LEITURA!$P$2:$P$21,12),DECKS!$B$2:$B$1201,$A505))</f>
        <v/>
      </c>
      <c r="W505" s="19" t="str">
        <f aca="false">IF(OR($A505="",INDEX(_LEITURA!$Q$2:$Q$21,13)=0),"",SUMIFS(DECKS!$D$2:$D$1201,DECKS!$A$2:$A$1201,INDEX(_LEITURA!$P$2:$P$21,13),DECKS!$B$2:$B$1201,$A505))</f>
        <v/>
      </c>
      <c r="X505" s="19" t="str">
        <f aca="false">IF(OR($A505="",INDEX(_LEITURA!$Q$2:$Q$21,14)=0),"",SUMIFS(DECKS!$D$2:$D$1201,DECKS!$A$2:$A$1201,INDEX(_LEITURA!$P$2:$P$21,14),DECKS!$B$2:$B$1201,$A505))</f>
        <v/>
      </c>
      <c r="Y505" s="19" t="str">
        <f aca="false">IF(OR($A505="",INDEX(_LEITURA!$Q$2:$Q$21,15)=0),"",SUMIFS(DECKS!$D$2:$D$1201,DECKS!$A$2:$A$1201,INDEX(_LEITURA!$P$2:$P$21,15),DECKS!$B$2:$B$1201,$A505))</f>
        <v/>
      </c>
      <c r="Z505" s="19" t="str">
        <f aca="false">IF(OR($A505="",INDEX(_LEITURA!$Q$2:$Q$21,16)=0),"",SUMIFS(DECKS!$D$2:$D$1201,DECKS!$A$2:$A$1201,INDEX(_LEITURA!$P$2:$P$21,16),DECKS!$B$2:$B$1201,$A505))</f>
        <v/>
      </c>
      <c r="AA505" s="19" t="str">
        <f aca="false">IF(OR($A505="",INDEX(_LEITURA!$Q$2:$Q$21,17)=0),"",SUMIFS(DECKS!$D$2:$D$1201,DECKS!$A$2:$A$1201,INDEX(_LEITURA!$P$2:$P$21,17),DECKS!$B$2:$B$1201,$A505))</f>
        <v/>
      </c>
      <c r="AB505" s="19" t="str">
        <f aca="false">IF(OR($A505="",INDEX(_LEITURA!$Q$2:$Q$21,18)=0),"",SUMIFS(DECKS!$D$2:$D$1201,DECKS!$A$2:$A$1201,INDEX(_LEITURA!$P$2:$P$21,18),DECKS!$B$2:$B$1201,$A505))</f>
        <v/>
      </c>
      <c r="AC505" s="19" t="str">
        <f aca="false">IF(OR($A505="",INDEX(_LEITURA!$Q$2:$Q$21,19)=0),"",SUMIFS(DECKS!$D$2:$D$1201,DECKS!$A$2:$A$1201,INDEX(_LEITURA!$P$2:$P$21,19),DECKS!$B$2:$B$1201,$A505))</f>
        <v/>
      </c>
      <c r="AD505" s="19" t="str">
        <f aca="false">IF(OR($A505="",INDEX(_LEITURA!$Q$2:$Q$21,20)=0),"",SUMIFS(DECKS!$D$2:$D$1201,DECKS!$A$2:$A$1201,INDEX(_LEITURA!$P$2:$P$21,20),DECKS!$B$2:$B$1201,$A505))</f>
        <v/>
      </c>
      <c r="AE505" s="16" t="str">
        <f aca="false">IF(N(E505)&gt;0,MAX(AE$1:AE504)+1,"")</f>
        <v/>
      </c>
      <c r="AF505" s="11" t="str">
        <f aca="false">IF(A505="","",IFERROR(LEFT(A505,FIND("-",A505)-1),A505))</f>
        <v/>
      </c>
      <c r="AG505" s="11" t="str">
        <f aca="false">IF(AF505="","",IF(ISNUMBER(--MID(AF505,1,1)),0,IF(ISNUMBER(--MID(AF505,2,1)),1,IF(ISNUMBER(--MID(AF505,3,1)),2,IF(ISNUMBER(--MID(AF505,4,1)),3,MIN(LEN(AF505),4))))))</f>
        <v/>
      </c>
      <c r="AH505" s="11" t="str">
        <f aca="false">IF(A505="","",LEFT(AF505,AG505)&amp;REPT("0",4-AG505)&amp;RIGHT("000"&amp;IFERROR(VALUE(MID(AF505,AG505+1,9)),0),3)&amp;RIGHT("0000"&amp;IFERROR(VALUE(MID(A505,FIND("-",A505)+1,9)),0),4))</f>
        <v/>
      </c>
      <c r="AI505" s="11" t="str">
        <f aca="false">IF(OR(A505="",N(E505)&lt;=0),"",IF('FALTAS GERAL'!$M$1="Código","K"&amp;AH505&amp;RIGHT("00000"&amp;ROW(),5),IF('FALTAS GERAL'!$M$1="Nome","K"&amp;UPPER(SUBSTITUTE(SUBSTITUTE(SUBSTITUTE(B505,"*",""),"?",""),"~",""))&amp;"0"&amp;AH505&amp;RIGHT("00000"&amp;ROW(),5),IF('FALTAS GERAL'!$M$1="Falta (maior primeiro)","K"&amp;RIGHT("0000"&amp;(9999-E505),4)&amp;AH505&amp;RIGHT("00000"&amp;ROW(),5),IF('FALTAS GERAL'!$M$1="Nº de decks (maior primeiro)","K"&amp;RIGHT("00"&amp;(99-N(G505)),2)&amp;AH505&amp;RIGHT("00000"&amp;ROW(),5),"K"&amp;RIGHT("00000"&amp;ROW(),5))))))</f>
        <v/>
      </c>
      <c r="AJ505" s="11" t="str">
        <f aca="false">IF(AI505="","",COUNTIFS($AI$2:$AI$801,"&lt;"&amp;AI505,$E$2:$E$801,"&gt;0")+1)</f>
        <v/>
      </c>
      <c r="AK505" s="11" t="str">
        <f aca="false">IF(OR(A505="",N(E505)&lt;=0),"",COUNTIFS($AH$2:$AH$801,"&lt;"&amp;AH505,$E$2:$E$801,"&gt;0")+COUNTIFS($AH$2:AH505,AH505,$E$2:E505,"&gt;0"))</f>
        <v/>
      </c>
    </row>
    <row r="506" customFormat="false" ht="15" hidden="false" customHeight="false" outlineLevel="0" collapsed="false">
      <c r="A506" s="11" t="str">
        <f aca="false">IF(INVENTÁRIO!A506="","",INVENTÁRIO!A506)</f>
        <v/>
      </c>
      <c r="B506" s="11" t="str">
        <f aca="false">IF(A506="","",INVENTÁRIO!B506)</f>
        <v/>
      </c>
      <c r="C506" s="16" t="str">
        <f aca="false">IF(A506="","",INVENTÁRIO!C506)</f>
        <v/>
      </c>
      <c r="D506" s="14" t="str">
        <f aca="false">IF(A506="","",MAX(K506:AD506))</f>
        <v/>
      </c>
      <c r="E506" s="14" t="str">
        <f aca="false">IF(A506="","",MAX(0,D506-C506))</f>
        <v/>
      </c>
      <c r="F506" s="16" t="str">
        <f aca="false">IF(A506="","",IF(D506=0,"Fora dos decks",IF(E506=0,"Completo","Falta")))</f>
        <v/>
      </c>
      <c r="G506" s="16" t="str">
        <f aca="false">IF(A506="","",COUNTIF(K506:AD506,"&gt;0"))</f>
        <v/>
      </c>
      <c r="H506" s="16" t="str">
        <f aca="false">IF(A506="","",IF(G506&gt;1,"Sim",""))</f>
        <v/>
      </c>
      <c r="I506" s="18" t="str">
        <f aca="false">IF(A506="","",SUMIFS(DECKS!$D$2:$D$1201,DECKS!$B$2:$B$1201,A506))</f>
        <v/>
      </c>
      <c r="J506" s="18" t="str">
        <f aca="false">IF(A506="","",MAX(0,I506-C506))</f>
        <v/>
      </c>
      <c r="K506" s="19" t="str">
        <f aca="false">IF(OR($A506="",INDEX(_LEITURA!$Q$2:$Q$21,1)=0),"",SUMIFS(DECKS!$D$2:$D$1201,DECKS!$A$2:$A$1201,INDEX(_LEITURA!$P$2:$P$21,1),DECKS!$B$2:$B$1201,$A506))</f>
        <v/>
      </c>
      <c r="L506" s="19" t="str">
        <f aca="false">IF(OR($A506="",INDEX(_LEITURA!$Q$2:$Q$21,2)=0),"",SUMIFS(DECKS!$D$2:$D$1201,DECKS!$A$2:$A$1201,INDEX(_LEITURA!$P$2:$P$21,2),DECKS!$B$2:$B$1201,$A506))</f>
        <v/>
      </c>
      <c r="M506" s="19" t="str">
        <f aca="false">IF(OR($A506="",INDEX(_LEITURA!$Q$2:$Q$21,3)=0),"",SUMIFS(DECKS!$D$2:$D$1201,DECKS!$A$2:$A$1201,INDEX(_LEITURA!$P$2:$P$21,3),DECKS!$B$2:$B$1201,$A506))</f>
        <v/>
      </c>
      <c r="N506" s="19" t="str">
        <f aca="false">IF(OR($A506="",INDEX(_LEITURA!$Q$2:$Q$21,4)=0),"",SUMIFS(DECKS!$D$2:$D$1201,DECKS!$A$2:$A$1201,INDEX(_LEITURA!$P$2:$P$21,4),DECKS!$B$2:$B$1201,$A506))</f>
        <v/>
      </c>
      <c r="O506" s="19" t="str">
        <f aca="false">IF(OR($A506="",INDEX(_LEITURA!$Q$2:$Q$21,5)=0),"",SUMIFS(DECKS!$D$2:$D$1201,DECKS!$A$2:$A$1201,INDEX(_LEITURA!$P$2:$P$21,5),DECKS!$B$2:$B$1201,$A506))</f>
        <v/>
      </c>
      <c r="P506" s="19" t="str">
        <f aca="false">IF(OR($A506="",INDEX(_LEITURA!$Q$2:$Q$21,6)=0),"",SUMIFS(DECKS!$D$2:$D$1201,DECKS!$A$2:$A$1201,INDEX(_LEITURA!$P$2:$P$21,6),DECKS!$B$2:$B$1201,$A506))</f>
        <v/>
      </c>
      <c r="Q506" s="19" t="str">
        <f aca="false">IF(OR($A506="",INDEX(_LEITURA!$Q$2:$Q$21,7)=0),"",SUMIFS(DECKS!$D$2:$D$1201,DECKS!$A$2:$A$1201,INDEX(_LEITURA!$P$2:$P$21,7),DECKS!$B$2:$B$1201,$A506))</f>
        <v/>
      </c>
      <c r="R506" s="19" t="str">
        <f aca="false">IF(OR($A506="",INDEX(_LEITURA!$Q$2:$Q$21,8)=0),"",SUMIFS(DECKS!$D$2:$D$1201,DECKS!$A$2:$A$1201,INDEX(_LEITURA!$P$2:$P$21,8),DECKS!$B$2:$B$1201,$A506))</f>
        <v/>
      </c>
      <c r="S506" s="19" t="str">
        <f aca="false">IF(OR($A506="",INDEX(_LEITURA!$Q$2:$Q$21,9)=0),"",SUMIFS(DECKS!$D$2:$D$1201,DECKS!$A$2:$A$1201,INDEX(_LEITURA!$P$2:$P$21,9),DECKS!$B$2:$B$1201,$A506))</f>
        <v/>
      </c>
      <c r="T506" s="19" t="str">
        <f aca="false">IF(OR($A506="",INDEX(_LEITURA!$Q$2:$Q$21,10)=0),"",SUMIFS(DECKS!$D$2:$D$1201,DECKS!$A$2:$A$1201,INDEX(_LEITURA!$P$2:$P$21,10),DECKS!$B$2:$B$1201,$A506))</f>
        <v/>
      </c>
      <c r="U506" s="19" t="str">
        <f aca="false">IF(OR($A506="",INDEX(_LEITURA!$Q$2:$Q$21,11)=0),"",SUMIFS(DECKS!$D$2:$D$1201,DECKS!$A$2:$A$1201,INDEX(_LEITURA!$P$2:$P$21,11),DECKS!$B$2:$B$1201,$A506))</f>
        <v/>
      </c>
      <c r="V506" s="19" t="str">
        <f aca="false">IF(OR($A506="",INDEX(_LEITURA!$Q$2:$Q$21,12)=0),"",SUMIFS(DECKS!$D$2:$D$1201,DECKS!$A$2:$A$1201,INDEX(_LEITURA!$P$2:$P$21,12),DECKS!$B$2:$B$1201,$A506))</f>
        <v/>
      </c>
      <c r="W506" s="19" t="str">
        <f aca="false">IF(OR($A506="",INDEX(_LEITURA!$Q$2:$Q$21,13)=0),"",SUMIFS(DECKS!$D$2:$D$1201,DECKS!$A$2:$A$1201,INDEX(_LEITURA!$P$2:$P$21,13),DECKS!$B$2:$B$1201,$A506))</f>
        <v/>
      </c>
      <c r="X506" s="19" t="str">
        <f aca="false">IF(OR($A506="",INDEX(_LEITURA!$Q$2:$Q$21,14)=0),"",SUMIFS(DECKS!$D$2:$D$1201,DECKS!$A$2:$A$1201,INDEX(_LEITURA!$P$2:$P$21,14),DECKS!$B$2:$B$1201,$A506))</f>
        <v/>
      </c>
      <c r="Y506" s="19" t="str">
        <f aca="false">IF(OR($A506="",INDEX(_LEITURA!$Q$2:$Q$21,15)=0),"",SUMIFS(DECKS!$D$2:$D$1201,DECKS!$A$2:$A$1201,INDEX(_LEITURA!$P$2:$P$21,15),DECKS!$B$2:$B$1201,$A506))</f>
        <v/>
      </c>
      <c r="Z506" s="19" t="str">
        <f aca="false">IF(OR($A506="",INDEX(_LEITURA!$Q$2:$Q$21,16)=0),"",SUMIFS(DECKS!$D$2:$D$1201,DECKS!$A$2:$A$1201,INDEX(_LEITURA!$P$2:$P$21,16),DECKS!$B$2:$B$1201,$A506))</f>
        <v/>
      </c>
      <c r="AA506" s="19" t="str">
        <f aca="false">IF(OR($A506="",INDEX(_LEITURA!$Q$2:$Q$21,17)=0),"",SUMIFS(DECKS!$D$2:$D$1201,DECKS!$A$2:$A$1201,INDEX(_LEITURA!$P$2:$P$21,17),DECKS!$B$2:$B$1201,$A506))</f>
        <v/>
      </c>
      <c r="AB506" s="19" t="str">
        <f aca="false">IF(OR($A506="",INDEX(_LEITURA!$Q$2:$Q$21,18)=0),"",SUMIFS(DECKS!$D$2:$D$1201,DECKS!$A$2:$A$1201,INDEX(_LEITURA!$P$2:$P$21,18),DECKS!$B$2:$B$1201,$A506))</f>
        <v/>
      </c>
      <c r="AC506" s="19" t="str">
        <f aca="false">IF(OR($A506="",INDEX(_LEITURA!$Q$2:$Q$21,19)=0),"",SUMIFS(DECKS!$D$2:$D$1201,DECKS!$A$2:$A$1201,INDEX(_LEITURA!$P$2:$P$21,19),DECKS!$B$2:$B$1201,$A506))</f>
        <v/>
      </c>
      <c r="AD506" s="19" t="str">
        <f aca="false">IF(OR($A506="",INDEX(_LEITURA!$Q$2:$Q$21,20)=0),"",SUMIFS(DECKS!$D$2:$D$1201,DECKS!$A$2:$A$1201,INDEX(_LEITURA!$P$2:$P$21,20),DECKS!$B$2:$B$1201,$A506))</f>
        <v/>
      </c>
      <c r="AE506" s="16" t="str">
        <f aca="false">IF(N(E506)&gt;0,MAX(AE$1:AE505)+1,"")</f>
        <v/>
      </c>
      <c r="AF506" s="11" t="str">
        <f aca="false">IF(A506="","",IFERROR(LEFT(A506,FIND("-",A506)-1),A506))</f>
        <v/>
      </c>
      <c r="AG506" s="11" t="str">
        <f aca="false">IF(AF506="","",IF(ISNUMBER(--MID(AF506,1,1)),0,IF(ISNUMBER(--MID(AF506,2,1)),1,IF(ISNUMBER(--MID(AF506,3,1)),2,IF(ISNUMBER(--MID(AF506,4,1)),3,MIN(LEN(AF506),4))))))</f>
        <v/>
      </c>
      <c r="AH506" s="11" t="str">
        <f aca="false">IF(A506="","",LEFT(AF506,AG506)&amp;REPT("0",4-AG506)&amp;RIGHT("000"&amp;IFERROR(VALUE(MID(AF506,AG506+1,9)),0),3)&amp;RIGHT("0000"&amp;IFERROR(VALUE(MID(A506,FIND("-",A506)+1,9)),0),4))</f>
        <v/>
      </c>
      <c r="AI506" s="11" t="str">
        <f aca="false">IF(OR(A506="",N(E506)&lt;=0),"",IF('FALTAS GERAL'!$M$1="Código","K"&amp;AH506&amp;RIGHT("00000"&amp;ROW(),5),IF('FALTAS GERAL'!$M$1="Nome","K"&amp;UPPER(SUBSTITUTE(SUBSTITUTE(SUBSTITUTE(B506,"*",""),"?",""),"~",""))&amp;"0"&amp;AH506&amp;RIGHT("00000"&amp;ROW(),5),IF('FALTAS GERAL'!$M$1="Falta (maior primeiro)","K"&amp;RIGHT("0000"&amp;(9999-E506),4)&amp;AH506&amp;RIGHT("00000"&amp;ROW(),5),IF('FALTAS GERAL'!$M$1="Nº de decks (maior primeiro)","K"&amp;RIGHT("00"&amp;(99-N(G506)),2)&amp;AH506&amp;RIGHT("00000"&amp;ROW(),5),"K"&amp;RIGHT("00000"&amp;ROW(),5))))))</f>
        <v/>
      </c>
      <c r="AJ506" s="11" t="str">
        <f aca="false">IF(AI506="","",COUNTIFS($AI$2:$AI$801,"&lt;"&amp;AI506,$E$2:$E$801,"&gt;0")+1)</f>
        <v/>
      </c>
      <c r="AK506" s="11" t="str">
        <f aca="false">IF(OR(A506="",N(E506)&lt;=0),"",COUNTIFS($AH$2:$AH$801,"&lt;"&amp;AH506,$E$2:$E$801,"&gt;0")+COUNTIFS($AH$2:AH506,AH506,$E$2:E506,"&gt;0"))</f>
        <v/>
      </c>
    </row>
    <row r="507" customFormat="false" ht="15" hidden="false" customHeight="false" outlineLevel="0" collapsed="false">
      <c r="A507" s="11" t="str">
        <f aca="false">IF(INVENTÁRIO!A507="","",INVENTÁRIO!A507)</f>
        <v/>
      </c>
      <c r="B507" s="11" t="str">
        <f aca="false">IF(A507="","",INVENTÁRIO!B507)</f>
        <v/>
      </c>
      <c r="C507" s="16" t="str">
        <f aca="false">IF(A507="","",INVENTÁRIO!C507)</f>
        <v/>
      </c>
      <c r="D507" s="14" t="str">
        <f aca="false">IF(A507="","",MAX(K507:AD507))</f>
        <v/>
      </c>
      <c r="E507" s="14" t="str">
        <f aca="false">IF(A507="","",MAX(0,D507-C507))</f>
        <v/>
      </c>
      <c r="F507" s="16" t="str">
        <f aca="false">IF(A507="","",IF(D507=0,"Fora dos decks",IF(E507=0,"Completo","Falta")))</f>
        <v/>
      </c>
      <c r="G507" s="16" t="str">
        <f aca="false">IF(A507="","",COUNTIF(K507:AD507,"&gt;0"))</f>
        <v/>
      </c>
      <c r="H507" s="16" t="str">
        <f aca="false">IF(A507="","",IF(G507&gt;1,"Sim",""))</f>
        <v/>
      </c>
      <c r="I507" s="18" t="str">
        <f aca="false">IF(A507="","",SUMIFS(DECKS!$D$2:$D$1201,DECKS!$B$2:$B$1201,A507))</f>
        <v/>
      </c>
      <c r="J507" s="18" t="str">
        <f aca="false">IF(A507="","",MAX(0,I507-C507))</f>
        <v/>
      </c>
      <c r="K507" s="19" t="str">
        <f aca="false">IF(OR($A507="",INDEX(_LEITURA!$Q$2:$Q$21,1)=0),"",SUMIFS(DECKS!$D$2:$D$1201,DECKS!$A$2:$A$1201,INDEX(_LEITURA!$P$2:$P$21,1),DECKS!$B$2:$B$1201,$A507))</f>
        <v/>
      </c>
      <c r="L507" s="19" t="str">
        <f aca="false">IF(OR($A507="",INDEX(_LEITURA!$Q$2:$Q$21,2)=0),"",SUMIFS(DECKS!$D$2:$D$1201,DECKS!$A$2:$A$1201,INDEX(_LEITURA!$P$2:$P$21,2),DECKS!$B$2:$B$1201,$A507))</f>
        <v/>
      </c>
      <c r="M507" s="19" t="str">
        <f aca="false">IF(OR($A507="",INDEX(_LEITURA!$Q$2:$Q$21,3)=0),"",SUMIFS(DECKS!$D$2:$D$1201,DECKS!$A$2:$A$1201,INDEX(_LEITURA!$P$2:$P$21,3),DECKS!$B$2:$B$1201,$A507))</f>
        <v/>
      </c>
      <c r="N507" s="19" t="str">
        <f aca="false">IF(OR($A507="",INDEX(_LEITURA!$Q$2:$Q$21,4)=0),"",SUMIFS(DECKS!$D$2:$D$1201,DECKS!$A$2:$A$1201,INDEX(_LEITURA!$P$2:$P$21,4),DECKS!$B$2:$B$1201,$A507))</f>
        <v/>
      </c>
      <c r="O507" s="19" t="str">
        <f aca="false">IF(OR($A507="",INDEX(_LEITURA!$Q$2:$Q$21,5)=0),"",SUMIFS(DECKS!$D$2:$D$1201,DECKS!$A$2:$A$1201,INDEX(_LEITURA!$P$2:$P$21,5),DECKS!$B$2:$B$1201,$A507))</f>
        <v/>
      </c>
      <c r="P507" s="19" t="str">
        <f aca="false">IF(OR($A507="",INDEX(_LEITURA!$Q$2:$Q$21,6)=0),"",SUMIFS(DECKS!$D$2:$D$1201,DECKS!$A$2:$A$1201,INDEX(_LEITURA!$P$2:$P$21,6),DECKS!$B$2:$B$1201,$A507))</f>
        <v/>
      </c>
      <c r="Q507" s="19" t="str">
        <f aca="false">IF(OR($A507="",INDEX(_LEITURA!$Q$2:$Q$21,7)=0),"",SUMIFS(DECKS!$D$2:$D$1201,DECKS!$A$2:$A$1201,INDEX(_LEITURA!$P$2:$P$21,7),DECKS!$B$2:$B$1201,$A507))</f>
        <v/>
      </c>
      <c r="R507" s="19" t="str">
        <f aca="false">IF(OR($A507="",INDEX(_LEITURA!$Q$2:$Q$21,8)=0),"",SUMIFS(DECKS!$D$2:$D$1201,DECKS!$A$2:$A$1201,INDEX(_LEITURA!$P$2:$P$21,8),DECKS!$B$2:$B$1201,$A507))</f>
        <v/>
      </c>
      <c r="S507" s="19" t="str">
        <f aca="false">IF(OR($A507="",INDEX(_LEITURA!$Q$2:$Q$21,9)=0),"",SUMIFS(DECKS!$D$2:$D$1201,DECKS!$A$2:$A$1201,INDEX(_LEITURA!$P$2:$P$21,9),DECKS!$B$2:$B$1201,$A507))</f>
        <v/>
      </c>
      <c r="T507" s="19" t="str">
        <f aca="false">IF(OR($A507="",INDEX(_LEITURA!$Q$2:$Q$21,10)=0),"",SUMIFS(DECKS!$D$2:$D$1201,DECKS!$A$2:$A$1201,INDEX(_LEITURA!$P$2:$P$21,10),DECKS!$B$2:$B$1201,$A507))</f>
        <v/>
      </c>
      <c r="U507" s="19" t="str">
        <f aca="false">IF(OR($A507="",INDEX(_LEITURA!$Q$2:$Q$21,11)=0),"",SUMIFS(DECKS!$D$2:$D$1201,DECKS!$A$2:$A$1201,INDEX(_LEITURA!$P$2:$P$21,11),DECKS!$B$2:$B$1201,$A507))</f>
        <v/>
      </c>
      <c r="V507" s="19" t="str">
        <f aca="false">IF(OR($A507="",INDEX(_LEITURA!$Q$2:$Q$21,12)=0),"",SUMIFS(DECKS!$D$2:$D$1201,DECKS!$A$2:$A$1201,INDEX(_LEITURA!$P$2:$P$21,12),DECKS!$B$2:$B$1201,$A507))</f>
        <v/>
      </c>
      <c r="W507" s="19" t="str">
        <f aca="false">IF(OR($A507="",INDEX(_LEITURA!$Q$2:$Q$21,13)=0),"",SUMIFS(DECKS!$D$2:$D$1201,DECKS!$A$2:$A$1201,INDEX(_LEITURA!$P$2:$P$21,13),DECKS!$B$2:$B$1201,$A507))</f>
        <v/>
      </c>
      <c r="X507" s="19" t="str">
        <f aca="false">IF(OR($A507="",INDEX(_LEITURA!$Q$2:$Q$21,14)=0),"",SUMIFS(DECKS!$D$2:$D$1201,DECKS!$A$2:$A$1201,INDEX(_LEITURA!$P$2:$P$21,14),DECKS!$B$2:$B$1201,$A507))</f>
        <v/>
      </c>
      <c r="Y507" s="19" t="str">
        <f aca="false">IF(OR($A507="",INDEX(_LEITURA!$Q$2:$Q$21,15)=0),"",SUMIFS(DECKS!$D$2:$D$1201,DECKS!$A$2:$A$1201,INDEX(_LEITURA!$P$2:$P$21,15),DECKS!$B$2:$B$1201,$A507))</f>
        <v/>
      </c>
      <c r="Z507" s="19" t="str">
        <f aca="false">IF(OR($A507="",INDEX(_LEITURA!$Q$2:$Q$21,16)=0),"",SUMIFS(DECKS!$D$2:$D$1201,DECKS!$A$2:$A$1201,INDEX(_LEITURA!$P$2:$P$21,16),DECKS!$B$2:$B$1201,$A507))</f>
        <v/>
      </c>
      <c r="AA507" s="19" t="str">
        <f aca="false">IF(OR($A507="",INDEX(_LEITURA!$Q$2:$Q$21,17)=0),"",SUMIFS(DECKS!$D$2:$D$1201,DECKS!$A$2:$A$1201,INDEX(_LEITURA!$P$2:$P$21,17),DECKS!$B$2:$B$1201,$A507))</f>
        <v/>
      </c>
      <c r="AB507" s="19" t="str">
        <f aca="false">IF(OR($A507="",INDEX(_LEITURA!$Q$2:$Q$21,18)=0),"",SUMIFS(DECKS!$D$2:$D$1201,DECKS!$A$2:$A$1201,INDEX(_LEITURA!$P$2:$P$21,18),DECKS!$B$2:$B$1201,$A507))</f>
        <v/>
      </c>
      <c r="AC507" s="19" t="str">
        <f aca="false">IF(OR($A507="",INDEX(_LEITURA!$Q$2:$Q$21,19)=0),"",SUMIFS(DECKS!$D$2:$D$1201,DECKS!$A$2:$A$1201,INDEX(_LEITURA!$P$2:$P$21,19),DECKS!$B$2:$B$1201,$A507))</f>
        <v/>
      </c>
      <c r="AD507" s="19" t="str">
        <f aca="false">IF(OR($A507="",INDEX(_LEITURA!$Q$2:$Q$21,20)=0),"",SUMIFS(DECKS!$D$2:$D$1201,DECKS!$A$2:$A$1201,INDEX(_LEITURA!$P$2:$P$21,20),DECKS!$B$2:$B$1201,$A507))</f>
        <v/>
      </c>
      <c r="AE507" s="16" t="str">
        <f aca="false">IF(N(E507)&gt;0,MAX(AE$1:AE506)+1,"")</f>
        <v/>
      </c>
      <c r="AF507" s="11" t="str">
        <f aca="false">IF(A507="","",IFERROR(LEFT(A507,FIND("-",A507)-1),A507))</f>
        <v/>
      </c>
      <c r="AG507" s="11" t="str">
        <f aca="false">IF(AF507="","",IF(ISNUMBER(--MID(AF507,1,1)),0,IF(ISNUMBER(--MID(AF507,2,1)),1,IF(ISNUMBER(--MID(AF507,3,1)),2,IF(ISNUMBER(--MID(AF507,4,1)),3,MIN(LEN(AF507),4))))))</f>
        <v/>
      </c>
      <c r="AH507" s="11" t="str">
        <f aca="false">IF(A507="","",LEFT(AF507,AG507)&amp;REPT("0",4-AG507)&amp;RIGHT("000"&amp;IFERROR(VALUE(MID(AF507,AG507+1,9)),0),3)&amp;RIGHT("0000"&amp;IFERROR(VALUE(MID(A507,FIND("-",A507)+1,9)),0),4))</f>
        <v/>
      </c>
      <c r="AI507" s="11" t="str">
        <f aca="false">IF(OR(A507="",N(E507)&lt;=0),"",IF('FALTAS GERAL'!$M$1="Código","K"&amp;AH507&amp;RIGHT("00000"&amp;ROW(),5),IF('FALTAS GERAL'!$M$1="Nome","K"&amp;UPPER(SUBSTITUTE(SUBSTITUTE(SUBSTITUTE(B507,"*",""),"?",""),"~",""))&amp;"0"&amp;AH507&amp;RIGHT("00000"&amp;ROW(),5),IF('FALTAS GERAL'!$M$1="Falta (maior primeiro)","K"&amp;RIGHT("0000"&amp;(9999-E507),4)&amp;AH507&amp;RIGHT("00000"&amp;ROW(),5),IF('FALTAS GERAL'!$M$1="Nº de decks (maior primeiro)","K"&amp;RIGHT("00"&amp;(99-N(G507)),2)&amp;AH507&amp;RIGHT("00000"&amp;ROW(),5),"K"&amp;RIGHT("00000"&amp;ROW(),5))))))</f>
        <v/>
      </c>
      <c r="AJ507" s="11" t="str">
        <f aca="false">IF(AI507="","",COUNTIFS($AI$2:$AI$801,"&lt;"&amp;AI507,$E$2:$E$801,"&gt;0")+1)</f>
        <v/>
      </c>
      <c r="AK507" s="11" t="str">
        <f aca="false">IF(OR(A507="",N(E507)&lt;=0),"",COUNTIFS($AH$2:$AH$801,"&lt;"&amp;AH507,$E$2:$E$801,"&gt;0")+COUNTIFS($AH$2:AH507,AH507,$E$2:E507,"&gt;0"))</f>
        <v/>
      </c>
    </row>
    <row r="508" customFormat="false" ht="15" hidden="false" customHeight="false" outlineLevel="0" collapsed="false">
      <c r="A508" s="11" t="str">
        <f aca="false">IF(INVENTÁRIO!A508="","",INVENTÁRIO!A508)</f>
        <v/>
      </c>
      <c r="B508" s="11" t="str">
        <f aca="false">IF(A508="","",INVENTÁRIO!B508)</f>
        <v/>
      </c>
      <c r="C508" s="16" t="str">
        <f aca="false">IF(A508="","",INVENTÁRIO!C508)</f>
        <v/>
      </c>
      <c r="D508" s="14" t="str">
        <f aca="false">IF(A508="","",MAX(K508:AD508))</f>
        <v/>
      </c>
      <c r="E508" s="14" t="str">
        <f aca="false">IF(A508="","",MAX(0,D508-C508))</f>
        <v/>
      </c>
      <c r="F508" s="16" t="str">
        <f aca="false">IF(A508="","",IF(D508=0,"Fora dos decks",IF(E508=0,"Completo","Falta")))</f>
        <v/>
      </c>
      <c r="G508" s="16" t="str">
        <f aca="false">IF(A508="","",COUNTIF(K508:AD508,"&gt;0"))</f>
        <v/>
      </c>
      <c r="H508" s="16" t="str">
        <f aca="false">IF(A508="","",IF(G508&gt;1,"Sim",""))</f>
        <v/>
      </c>
      <c r="I508" s="18" t="str">
        <f aca="false">IF(A508="","",SUMIFS(DECKS!$D$2:$D$1201,DECKS!$B$2:$B$1201,A508))</f>
        <v/>
      </c>
      <c r="J508" s="18" t="str">
        <f aca="false">IF(A508="","",MAX(0,I508-C508))</f>
        <v/>
      </c>
      <c r="K508" s="19" t="str">
        <f aca="false">IF(OR($A508="",INDEX(_LEITURA!$Q$2:$Q$21,1)=0),"",SUMIFS(DECKS!$D$2:$D$1201,DECKS!$A$2:$A$1201,INDEX(_LEITURA!$P$2:$P$21,1),DECKS!$B$2:$B$1201,$A508))</f>
        <v/>
      </c>
      <c r="L508" s="19" t="str">
        <f aca="false">IF(OR($A508="",INDEX(_LEITURA!$Q$2:$Q$21,2)=0),"",SUMIFS(DECKS!$D$2:$D$1201,DECKS!$A$2:$A$1201,INDEX(_LEITURA!$P$2:$P$21,2),DECKS!$B$2:$B$1201,$A508))</f>
        <v/>
      </c>
      <c r="M508" s="19" t="str">
        <f aca="false">IF(OR($A508="",INDEX(_LEITURA!$Q$2:$Q$21,3)=0),"",SUMIFS(DECKS!$D$2:$D$1201,DECKS!$A$2:$A$1201,INDEX(_LEITURA!$P$2:$P$21,3),DECKS!$B$2:$B$1201,$A508))</f>
        <v/>
      </c>
      <c r="N508" s="19" t="str">
        <f aca="false">IF(OR($A508="",INDEX(_LEITURA!$Q$2:$Q$21,4)=0),"",SUMIFS(DECKS!$D$2:$D$1201,DECKS!$A$2:$A$1201,INDEX(_LEITURA!$P$2:$P$21,4),DECKS!$B$2:$B$1201,$A508))</f>
        <v/>
      </c>
      <c r="O508" s="19" t="str">
        <f aca="false">IF(OR($A508="",INDEX(_LEITURA!$Q$2:$Q$21,5)=0),"",SUMIFS(DECKS!$D$2:$D$1201,DECKS!$A$2:$A$1201,INDEX(_LEITURA!$P$2:$P$21,5),DECKS!$B$2:$B$1201,$A508))</f>
        <v/>
      </c>
      <c r="P508" s="19" t="str">
        <f aca="false">IF(OR($A508="",INDEX(_LEITURA!$Q$2:$Q$21,6)=0),"",SUMIFS(DECKS!$D$2:$D$1201,DECKS!$A$2:$A$1201,INDEX(_LEITURA!$P$2:$P$21,6),DECKS!$B$2:$B$1201,$A508))</f>
        <v/>
      </c>
      <c r="Q508" s="19" t="str">
        <f aca="false">IF(OR($A508="",INDEX(_LEITURA!$Q$2:$Q$21,7)=0),"",SUMIFS(DECKS!$D$2:$D$1201,DECKS!$A$2:$A$1201,INDEX(_LEITURA!$P$2:$P$21,7),DECKS!$B$2:$B$1201,$A508))</f>
        <v/>
      </c>
      <c r="R508" s="19" t="str">
        <f aca="false">IF(OR($A508="",INDEX(_LEITURA!$Q$2:$Q$21,8)=0),"",SUMIFS(DECKS!$D$2:$D$1201,DECKS!$A$2:$A$1201,INDEX(_LEITURA!$P$2:$P$21,8),DECKS!$B$2:$B$1201,$A508))</f>
        <v/>
      </c>
      <c r="S508" s="19" t="str">
        <f aca="false">IF(OR($A508="",INDEX(_LEITURA!$Q$2:$Q$21,9)=0),"",SUMIFS(DECKS!$D$2:$D$1201,DECKS!$A$2:$A$1201,INDEX(_LEITURA!$P$2:$P$21,9),DECKS!$B$2:$B$1201,$A508))</f>
        <v/>
      </c>
      <c r="T508" s="19" t="str">
        <f aca="false">IF(OR($A508="",INDEX(_LEITURA!$Q$2:$Q$21,10)=0),"",SUMIFS(DECKS!$D$2:$D$1201,DECKS!$A$2:$A$1201,INDEX(_LEITURA!$P$2:$P$21,10),DECKS!$B$2:$B$1201,$A508))</f>
        <v/>
      </c>
      <c r="U508" s="19" t="str">
        <f aca="false">IF(OR($A508="",INDEX(_LEITURA!$Q$2:$Q$21,11)=0),"",SUMIFS(DECKS!$D$2:$D$1201,DECKS!$A$2:$A$1201,INDEX(_LEITURA!$P$2:$P$21,11),DECKS!$B$2:$B$1201,$A508))</f>
        <v/>
      </c>
      <c r="V508" s="19" t="str">
        <f aca="false">IF(OR($A508="",INDEX(_LEITURA!$Q$2:$Q$21,12)=0),"",SUMIFS(DECKS!$D$2:$D$1201,DECKS!$A$2:$A$1201,INDEX(_LEITURA!$P$2:$P$21,12),DECKS!$B$2:$B$1201,$A508))</f>
        <v/>
      </c>
      <c r="W508" s="19" t="str">
        <f aca="false">IF(OR($A508="",INDEX(_LEITURA!$Q$2:$Q$21,13)=0),"",SUMIFS(DECKS!$D$2:$D$1201,DECKS!$A$2:$A$1201,INDEX(_LEITURA!$P$2:$P$21,13),DECKS!$B$2:$B$1201,$A508))</f>
        <v/>
      </c>
      <c r="X508" s="19" t="str">
        <f aca="false">IF(OR($A508="",INDEX(_LEITURA!$Q$2:$Q$21,14)=0),"",SUMIFS(DECKS!$D$2:$D$1201,DECKS!$A$2:$A$1201,INDEX(_LEITURA!$P$2:$P$21,14),DECKS!$B$2:$B$1201,$A508))</f>
        <v/>
      </c>
      <c r="Y508" s="19" t="str">
        <f aca="false">IF(OR($A508="",INDEX(_LEITURA!$Q$2:$Q$21,15)=0),"",SUMIFS(DECKS!$D$2:$D$1201,DECKS!$A$2:$A$1201,INDEX(_LEITURA!$P$2:$P$21,15),DECKS!$B$2:$B$1201,$A508))</f>
        <v/>
      </c>
      <c r="Z508" s="19" t="str">
        <f aca="false">IF(OR($A508="",INDEX(_LEITURA!$Q$2:$Q$21,16)=0),"",SUMIFS(DECKS!$D$2:$D$1201,DECKS!$A$2:$A$1201,INDEX(_LEITURA!$P$2:$P$21,16),DECKS!$B$2:$B$1201,$A508))</f>
        <v/>
      </c>
      <c r="AA508" s="19" t="str">
        <f aca="false">IF(OR($A508="",INDEX(_LEITURA!$Q$2:$Q$21,17)=0),"",SUMIFS(DECKS!$D$2:$D$1201,DECKS!$A$2:$A$1201,INDEX(_LEITURA!$P$2:$P$21,17),DECKS!$B$2:$B$1201,$A508))</f>
        <v/>
      </c>
      <c r="AB508" s="19" t="str">
        <f aca="false">IF(OR($A508="",INDEX(_LEITURA!$Q$2:$Q$21,18)=0),"",SUMIFS(DECKS!$D$2:$D$1201,DECKS!$A$2:$A$1201,INDEX(_LEITURA!$P$2:$P$21,18),DECKS!$B$2:$B$1201,$A508))</f>
        <v/>
      </c>
      <c r="AC508" s="19" t="str">
        <f aca="false">IF(OR($A508="",INDEX(_LEITURA!$Q$2:$Q$21,19)=0),"",SUMIFS(DECKS!$D$2:$D$1201,DECKS!$A$2:$A$1201,INDEX(_LEITURA!$P$2:$P$21,19),DECKS!$B$2:$B$1201,$A508))</f>
        <v/>
      </c>
      <c r="AD508" s="19" t="str">
        <f aca="false">IF(OR($A508="",INDEX(_LEITURA!$Q$2:$Q$21,20)=0),"",SUMIFS(DECKS!$D$2:$D$1201,DECKS!$A$2:$A$1201,INDEX(_LEITURA!$P$2:$P$21,20),DECKS!$B$2:$B$1201,$A508))</f>
        <v/>
      </c>
      <c r="AE508" s="16" t="str">
        <f aca="false">IF(N(E508)&gt;0,MAX(AE$1:AE507)+1,"")</f>
        <v/>
      </c>
      <c r="AF508" s="11" t="str">
        <f aca="false">IF(A508="","",IFERROR(LEFT(A508,FIND("-",A508)-1),A508))</f>
        <v/>
      </c>
      <c r="AG508" s="11" t="str">
        <f aca="false">IF(AF508="","",IF(ISNUMBER(--MID(AF508,1,1)),0,IF(ISNUMBER(--MID(AF508,2,1)),1,IF(ISNUMBER(--MID(AF508,3,1)),2,IF(ISNUMBER(--MID(AF508,4,1)),3,MIN(LEN(AF508),4))))))</f>
        <v/>
      </c>
      <c r="AH508" s="11" t="str">
        <f aca="false">IF(A508="","",LEFT(AF508,AG508)&amp;REPT("0",4-AG508)&amp;RIGHT("000"&amp;IFERROR(VALUE(MID(AF508,AG508+1,9)),0),3)&amp;RIGHT("0000"&amp;IFERROR(VALUE(MID(A508,FIND("-",A508)+1,9)),0),4))</f>
        <v/>
      </c>
      <c r="AI508" s="11" t="str">
        <f aca="false">IF(OR(A508="",N(E508)&lt;=0),"",IF('FALTAS GERAL'!$M$1="Código","K"&amp;AH508&amp;RIGHT("00000"&amp;ROW(),5),IF('FALTAS GERAL'!$M$1="Nome","K"&amp;UPPER(SUBSTITUTE(SUBSTITUTE(SUBSTITUTE(B508,"*",""),"?",""),"~",""))&amp;"0"&amp;AH508&amp;RIGHT("00000"&amp;ROW(),5),IF('FALTAS GERAL'!$M$1="Falta (maior primeiro)","K"&amp;RIGHT("0000"&amp;(9999-E508),4)&amp;AH508&amp;RIGHT("00000"&amp;ROW(),5),IF('FALTAS GERAL'!$M$1="Nº de decks (maior primeiro)","K"&amp;RIGHT("00"&amp;(99-N(G508)),2)&amp;AH508&amp;RIGHT("00000"&amp;ROW(),5),"K"&amp;RIGHT("00000"&amp;ROW(),5))))))</f>
        <v/>
      </c>
      <c r="AJ508" s="11" t="str">
        <f aca="false">IF(AI508="","",COUNTIFS($AI$2:$AI$801,"&lt;"&amp;AI508,$E$2:$E$801,"&gt;0")+1)</f>
        <v/>
      </c>
      <c r="AK508" s="11" t="str">
        <f aca="false">IF(OR(A508="",N(E508)&lt;=0),"",COUNTIFS($AH$2:$AH$801,"&lt;"&amp;AH508,$E$2:$E$801,"&gt;0")+COUNTIFS($AH$2:AH508,AH508,$E$2:E508,"&gt;0"))</f>
        <v/>
      </c>
    </row>
    <row r="509" customFormat="false" ht="15" hidden="false" customHeight="false" outlineLevel="0" collapsed="false">
      <c r="A509" s="11" t="str">
        <f aca="false">IF(INVENTÁRIO!A509="","",INVENTÁRIO!A509)</f>
        <v/>
      </c>
      <c r="B509" s="11" t="str">
        <f aca="false">IF(A509="","",INVENTÁRIO!B509)</f>
        <v/>
      </c>
      <c r="C509" s="16" t="str">
        <f aca="false">IF(A509="","",INVENTÁRIO!C509)</f>
        <v/>
      </c>
      <c r="D509" s="14" t="str">
        <f aca="false">IF(A509="","",MAX(K509:AD509))</f>
        <v/>
      </c>
      <c r="E509" s="14" t="str">
        <f aca="false">IF(A509="","",MAX(0,D509-C509))</f>
        <v/>
      </c>
      <c r="F509" s="16" t="str">
        <f aca="false">IF(A509="","",IF(D509=0,"Fora dos decks",IF(E509=0,"Completo","Falta")))</f>
        <v/>
      </c>
      <c r="G509" s="16" t="str">
        <f aca="false">IF(A509="","",COUNTIF(K509:AD509,"&gt;0"))</f>
        <v/>
      </c>
      <c r="H509" s="16" t="str">
        <f aca="false">IF(A509="","",IF(G509&gt;1,"Sim",""))</f>
        <v/>
      </c>
      <c r="I509" s="18" t="str">
        <f aca="false">IF(A509="","",SUMIFS(DECKS!$D$2:$D$1201,DECKS!$B$2:$B$1201,A509))</f>
        <v/>
      </c>
      <c r="J509" s="18" t="str">
        <f aca="false">IF(A509="","",MAX(0,I509-C509))</f>
        <v/>
      </c>
      <c r="K509" s="19" t="str">
        <f aca="false">IF(OR($A509="",INDEX(_LEITURA!$Q$2:$Q$21,1)=0),"",SUMIFS(DECKS!$D$2:$D$1201,DECKS!$A$2:$A$1201,INDEX(_LEITURA!$P$2:$P$21,1),DECKS!$B$2:$B$1201,$A509))</f>
        <v/>
      </c>
      <c r="L509" s="19" t="str">
        <f aca="false">IF(OR($A509="",INDEX(_LEITURA!$Q$2:$Q$21,2)=0),"",SUMIFS(DECKS!$D$2:$D$1201,DECKS!$A$2:$A$1201,INDEX(_LEITURA!$P$2:$P$21,2),DECKS!$B$2:$B$1201,$A509))</f>
        <v/>
      </c>
      <c r="M509" s="19" t="str">
        <f aca="false">IF(OR($A509="",INDEX(_LEITURA!$Q$2:$Q$21,3)=0),"",SUMIFS(DECKS!$D$2:$D$1201,DECKS!$A$2:$A$1201,INDEX(_LEITURA!$P$2:$P$21,3),DECKS!$B$2:$B$1201,$A509))</f>
        <v/>
      </c>
      <c r="N509" s="19" t="str">
        <f aca="false">IF(OR($A509="",INDEX(_LEITURA!$Q$2:$Q$21,4)=0),"",SUMIFS(DECKS!$D$2:$D$1201,DECKS!$A$2:$A$1201,INDEX(_LEITURA!$P$2:$P$21,4),DECKS!$B$2:$B$1201,$A509))</f>
        <v/>
      </c>
      <c r="O509" s="19" t="str">
        <f aca="false">IF(OR($A509="",INDEX(_LEITURA!$Q$2:$Q$21,5)=0),"",SUMIFS(DECKS!$D$2:$D$1201,DECKS!$A$2:$A$1201,INDEX(_LEITURA!$P$2:$P$21,5),DECKS!$B$2:$B$1201,$A509))</f>
        <v/>
      </c>
      <c r="P509" s="19" t="str">
        <f aca="false">IF(OR($A509="",INDEX(_LEITURA!$Q$2:$Q$21,6)=0),"",SUMIFS(DECKS!$D$2:$D$1201,DECKS!$A$2:$A$1201,INDEX(_LEITURA!$P$2:$P$21,6),DECKS!$B$2:$B$1201,$A509))</f>
        <v/>
      </c>
      <c r="Q509" s="19" t="str">
        <f aca="false">IF(OR($A509="",INDEX(_LEITURA!$Q$2:$Q$21,7)=0),"",SUMIFS(DECKS!$D$2:$D$1201,DECKS!$A$2:$A$1201,INDEX(_LEITURA!$P$2:$P$21,7),DECKS!$B$2:$B$1201,$A509))</f>
        <v/>
      </c>
      <c r="R509" s="19" t="str">
        <f aca="false">IF(OR($A509="",INDEX(_LEITURA!$Q$2:$Q$21,8)=0),"",SUMIFS(DECKS!$D$2:$D$1201,DECKS!$A$2:$A$1201,INDEX(_LEITURA!$P$2:$P$21,8),DECKS!$B$2:$B$1201,$A509))</f>
        <v/>
      </c>
      <c r="S509" s="19" t="str">
        <f aca="false">IF(OR($A509="",INDEX(_LEITURA!$Q$2:$Q$21,9)=0),"",SUMIFS(DECKS!$D$2:$D$1201,DECKS!$A$2:$A$1201,INDEX(_LEITURA!$P$2:$P$21,9),DECKS!$B$2:$B$1201,$A509))</f>
        <v/>
      </c>
      <c r="T509" s="19" t="str">
        <f aca="false">IF(OR($A509="",INDEX(_LEITURA!$Q$2:$Q$21,10)=0),"",SUMIFS(DECKS!$D$2:$D$1201,DECKS!$A$2:$A$1201,INDEX(_LEITURA!$P$2:$P$21,10),DECKS!$B$2:$B$1201,$A509))</f>
        <v/>
      </c>
      <c r="U509" s="19" t="str">
        <f aca="false">IF(OR($A509="",INDEX(_LEITURA!$Q$2:$Q$21,11)=0),"",SUMIFS(DECKS!$D$2:$D$1201,DECKS!$A$2:$A$1201,INDEX(_LEITURA!$P$2:$P$21,11),DECKS!$B$2:$B$1201,$A509))</f>
        <v/>
      </c>
      <c r="V509" s="19" t="str">
        <f aca="false">IF(OR($A509="",INDEX(_LEITURA!$Q$2:$Q$21,12)=0),"",SUMIFS(DECKS!$D$2:$D$1201,DECKS!$A$2:$A$1201,INDEX(_LEITURA!$P$2:$P$21,12),DECKS!$B$2:$B$1201,$A509))</f>
        <v/>
      </c>
      <c r="W509" s="19" t="str">
        <f aca="false">IF(OR($A509="",INDEX(_LEITURA!$Q$2:$Q$21,13)=0),"",SUMIFS(DECKS!$D$2:$D$1201,DECKS!$A$2:$A$1201,INDEX(_LEITURA!$P$2:$P$21,13),DECKS!$B$2:$B$1201,$A509))</f>
        <v/>
      </c>
      <c r="X509" s="19" t="str">
        <f aca="false">IF(OR($A509="",INDEX(_LEITURA!$Q$2:$Q$21,14)=0),"",SUMIFS(DECKS!$D$2:$D$1201,DECKS!$A$2:$A$1201,INDEX(_LEITURA!$P$2:$P$21,14),DECKS!$B$2:$B$1201,$A509))</f>
        <v/>
      </c>
      <c r="Y509" s="19" t="str">
        <f aca="false">IF(OR($A509="",INDEX(_LEITURA!$Q$2:$Q$21,15)=0),"",SUMIFS(DECKS!$D$2:$D$1201,DECKS!$A$2:$A$1201,INDEX(_LEITURA!$P$2:$P$21,15),DECKS!$B$2:$B$1201,$A509))</f>
        <v/>
      </c>
      <c r="Z509" s="19" t="str">
        <f aca="false">IF(OR($A509="",INDEX(_LEITURA!$Q$2:$Q$21,16)=0),"",SUMIFS(DECKS!$D$2:$D$1201,DECKS!$A$2:$A$1201,INDEX(_LEITURA!$P$2:$P$21,16),DECKS!$B$2:$B$1201,$A509))</f>
        <v/>
      </c>
      <c r="AA509" s="19" t="str">
        <f aca="false">IF(OR($A509="",INDEX(_LEITURA!$Q$2:$Q$21,17)=0),"",SUMIFS(DECKS!$D$2:$D$1201,DECKS!$A$2:$A$1201,INDEX(_LEITURA!$P$2:$P$21,17),DECKS!$B$2:$B$1201,$A509))</f>
        <v/>
      </c>
      <c r="AB509" s="19" t="str">
        <f aca="false">IF(OR($A509="",INDEX(_LEITURA!$Q$2:$Q$21,18)=0),"",SUMIFS(DECKS!$D$2:$D$1201,DECKS!$A$2:$A$1201,INDEX(_LEITURA!$P$2:$P$21,18),DECKS!$B$2:$B$1201,$A509))</f>
        <v/>
      </c>
      <c r="AC509" s="19" t="str">
        <f aca="false">IF(OR($A509="",INDEX(_LEITURA!$Q$2:$Q$21,19)=0),"",SUMIFS(DECKS!$D$2:$D$1201,DECKS!$A$2:$A$1201,INDEX(_LEITURA!$P$2:$P$21,19),DECKS!$B$2:$B$1201,$A509))</f>
        <v/>
      </c>
      <c r="AD509" s="19" t="str">
        <f aca="false">IF(OR($A509="",INDEX(_LEITURA!$Q$2:$Q$21,20)=0),"",SUMIFS(DECKS!$D$2:$D$1201,DECKS!$A$2:$A$1201,INDEX(_LEITURA!$P$2:$P$21,20),DECKS!$B$2:$B$1201,$A509))</f>
        <v/>
      </c>
      <c r="AE509" s="16" t="str">
        <f aca="false">IF(N(E509)&gt;0,MAX(AE$1:AE508)+1,"")</f>
        <v/>
      </c>
      <c r="AF509" s="11" t="str">
        <f aca="false">IF(A509="","",IFERROR(LEFT(A509,FIND("-",A509)-1),A509))</f>
        <v/>
      </c>
      <c r="AG509" s="11" t="str">
        <f aca="false">IF(AF509="","",IF(ISNUMBER(--MID(AF509,1,1)),0,IF(ISNUMBER(--MID(AF509,2,1)),1,IF(ISNUMBER(--MID(AF509,3,1)),2,IF(ISNUMBER(--MID(AF509,4,1)),3,MIN(LEN(AF509),4))))))</f>
        <v/>
      </c>
      <c r="AH509" s="11" t="str">
        <f aca="false">IF(A509="","",LEFT(AF509,AG509)&amp;REPT("0",4-AG509)&amp;RIGHT("000"&amp;IFERROR(VALUE(MID(AF509,AG509+1,9)),0),3)&amp;RIGHT("0000"&amp;IFERROR(VALUE(MID(A509,FIND("-",A509)+1,9)),0),4))</f>
        <v/>
      </c>
      <c r="AI509" s="11" t="str">
        <f aca="false">IF(OR(A509="",N(E509)&lt;=0),"",IF('FALTAS GERAL'!$M$1="Código","K"&amp;AH509&amp;RIGHT("00000"&amp;ROW(),5),IF('FALTAS GERAL'!$M$1="Nome","K"&amp;UPPER(SUBSTITUTE(SUBSTITUTE(SUBSTITUTE(B509,"*",""),"?",""),"~",""))&amp;"0"&amp;AH509&amp;RIGHT("00000"&amp;ROW(),5),IF('FALTAS GERAL'!$M$1="Falta (maior primeiro)","K"&amp;RIGHT("0000"&amp;(9999-E509),4)&amp;AH509&amp;RIGHT("00000"&amp;ROW(),5),IF('FALTAS GERAL'!$M$1="Nº de decks (maior primeiro)","K"&amp;RIGHT("00"&amp;(99-N(G509)),2)&amp;AH509&amp;RIGHT("00000"&amp;ROW(),5),"K"&amp;RIGHT("00000"&amp;ROW(),5))))))</f>
        <v/>
      </c>
      <c r="AJ509" s="11" t="str">
        <f aca="false">IF(AI509="","",COUNTIFS($AI$2:$AI$801,"&lt;"&amp;AI509,$E$2:$E$801,"&gt;0")+1)</f>
        <v/>
      </c>
      <c r="AK509" s="11" t="str">
        <f aca="false">IF(OR(A509="",N(E509)&lt;=0),"",COUNTIFS($AH$2:$AH$801,"&lt;"&amp;AH509,$E$2:$E$801,"&gt;0")+COUNTIFS($AH$2:AH509,AH509,$E$2:E509,"&gt;0"))</f>
        <v/>
      </c>
    </row>
    <row r="510" customFormat="false" ht="15" hidden="false" customHeight="false" outlineLevel="0" collapsed="false">
      <c r="A510" s="11" t="str">
        <f aca="false">IF(INVENTÁRIO!A510="","",INVENTÁRIO!A510)</f>
        <v/>
      </c>
      <c r="B510" s="11" t="str">
        <f aca="false">IF(A510="","",INVENTÁRIO!B510)</f>
        <v/>
      </c>
      <c r="C510" s="16" t="str">
        <f aca="false">IF(A510="","",INVENTÁRIO!C510)</f>
        <v/>
      </c>
      <c r="D510" s="14" t="str">
        <f aca="false">IF(A510="","",MAX(K510:AD510))</f>
        <v/>
      </c>
      <c r="E510" s="14" t="str">
        <f aca="false">IF(A510="","",MAX(0,D510-C510))</f>
        <v/>
      </c>
      <c r="F510" s="16" t="str">
        <f aca="false">IF(A510="","",IF(D510=0,"Fora dos decks",IF(E510=0,"Completo","Falta")))</f>
        <v/>
      </c>
      <c r="G510" s="16" t="str">
        <f aca="false">IF(A510="","",COUNTIF(K510:AD510,"&gt;0"))</f>
        <v/>
      </c>
      <c r="H510" s="16" t="str">
        <f aca="false">IF(A510="","",IF(G510&gt;1,"Sim",""))</f>
        <v/>
      </c>
      <c r="I510" s="18" t="str">
        <f aca="false">IF(A510="","",SUMIFS(DECKS!$D$2:$D$1201,DECKS!$B$2:$B$1201,A510))</f>
        <v/>
      </c>
      <c r="J510" s="18" t="str">
        <f aca="false">IF(A510="","",MAX(0,I510-C510))</f>
        <v/>
      </c>
      <c r="K510" s="19" t="str">
        <f aca="false">IF(OR($A510="",INDEX(_LEITURA!$Q$2:$Q$21,1)=0),"",SUMIFS(DECKS!$D$2:$D$1201,DECKS!$A$2:$A$1201,INDEX(_LEITURA!$P$2:$P$21,1),DECKS!$B$2:$B$1201,$A510))</f>
        <v/>
      </c>
      <c r="L510" s="19" t="str">
        <f aca="false">IF(OR($A510="",INDEX(_LEITURA!$Q$2:$Q$21,2)=0),"",SUMIFS(DECKS!$D$2:$D$1201,DECKS!$A$2:$A$1201,INDEX(_LEITURA!$P$2:$P$21,2),DECKS!$B$2:$B$1201,$A510))</f>
        <v/>
      </c>
      <c r="M510" s="19" t="str">
        <f aca="false">IF(OR($A510="",INDEX(_LEITURA!$Q$2:$Q$21,3)=0),"",SUMIFS(DECKS!$D$2:$D$1201,DECKS!$A$2:$A$1201,INDEX(_LEITURA!$P$2:$P$21,3),DECKS!$B$2:$B$1201,$A510))</f>
        <v/>
      </c>
      <c r="N510" s="19" t="str">
        <f aca="false">IF(OR($A510="",INDEX(_LEITURA!$Q$2:$Q$21,4)=0),"",SUMIFS(DECKS!$D$2:$D$1201,DECKS!$A$2:$A$1201,INDEX(_LEITURA!$P$2:$P$21,4),DECKS!$B$2:$B$1201,$A510))</f>
        <v/>
      </c>
      <c r="O510" s="19" t="str">
        <f aca="false">IF(OR($A510="",INDEX(_LEITURA!$Q$2:$Q$21,5)=0),"",SUMIFS(DECKS!$D$2:$D$1201,DECKS!$A$2:$A$1201,INDEX(_LEITURA!$P$2:$P$21,5),DECKS!$B$2:$B$1201,$A510))</f>
        <v/>
      </c>
      <c r="P510" s="19" t="str">
        <f aca="false">IF(OR($A510="",INDEX(_LEITURA!$Q$2:$Q$21,6)=0),"",SUMIFS(DECKS!$D$2:$D$1201,DECKS!$A$2:$A$1201,INDEX(_LEITURA!$P$2:$P$21,6),DECKS!$B$2:$B$1201,$A510))</f>
        <v/>
      </c>
      <c r="Q510" s="19" t="str">
        <f aca="false">IF(OR($A510="",INDEX(_LEITURA!$Q$2:$Q$21,7)=0),"",SUMIFS(DECKS!$D$2:$D$1201,DECKS!$A$2:$A$1201,INDEX(_LEITURA!$P$2:$P$21,7),DECKS!$B$2:$B$1201,$A510))</f>
        <v/>
      </c>
      <c r="R510" s="19" t="str">
        <f aca="false">IF(OR($A510="",INDEX(_LEITURA!$Q$2:$Q$21,8)=0),"",SUMIFS(DECKS!$D$2:$D$1201,DECKS!$A$2:$A$1201,INDEX(_LEITURA!$P$2:$P$21,8),DECKS!$B$2:$B$1201,$A510))</f>
        <v/>
      </c>
      <c r="S510" s="19" t="str">
        <f aca="false">IF(OR($A510="",INDEX(_LEITURA!$Q$2:$Q$21,9)=0),"",SUMIFS(DECKS!$D$2:$D$1201,DECKS!$A$2:$A$1201,INDEX(_LEITURA!$P$2:$P$21,9),DECKS!$B$2:$B$1201,$A510))</f>
        <v/>
      </c>
      <c r="T510" s="19" t="str">
        <f aca="false">IF(OR($A510="",INDEX(_LEITURA!$Q$2:$Q$21,10)=0),"",SUMIFS(DECKS!$D$2:$D$1201,DECKS!$A$2:$A$1201,INDEX(_LEITURA!$P$2:$P$21,10),DECKS!$B$2:$B$1201,$A510))</f>
        <v/>
      </c>
      <c r="U510" s="19" t="str">
        <f aca="false">IF(OR($A510="",INDEX(_LEITURA!$Q$2:$Q$21,11)=0),"",SUMIFS(DECKS!$D$2:$D$1201,DECKS!$A$2:$A$1201,INDEX(_LEITURA!$P$2:$P$21,11),DECKS!$B$2:$B$1201,$A510))</f>
        <v/>
      </c>
      <c r="V510" s="19" t="str">
        <f aca="false">IF(OR($A510="",INDEX(_LEITURA!$Q$2:$Q$21,12)=0),"",SUMIFS(DECKS!$D$2:$D$1201,DECKS!$A$2:$A$1201,INDEX(_LEITURA!$P$2:$P$21,12),DECKS!$B$2:$B$1201,$A510))</f>
        <v/>
      </c>
      <c r="W510" s="19" t="str">
        <f aca="false">IF(OR($A510="",INDEX(_LEITURA!$Q$2:$Q$21,13)=0),"",SUMIFS(DECKS!$D$2:$D$1201,DECKS!$A$2:$A$1201,INDEX(_LEITURA!$P$2:$P$21,13),DECKS!$B$2:$B$1201,$A510))</f>
        <v/>
      </c>
      <c r="X510" s="19" t="str">
        <f aca="false">IF(OR($A510="",INDEX(_LEITURA!$Q$2:$Q$21,14)=0),"",SUMIFS(DECKS!$D$2:$D$1201,DECKS!$A$2:$A$1201,INDEX(_LEITURA!$P$2:$P$21,14),DECKS!$B$2:$B$1201,$A510))</f>
        <v/>
      </c>
      <c r="Y510" s="19" t="str">
        <f aca="false">IF(OR($A510="",INDEX(_LEITURA!$Q$2:$Q$21,15)=0),"",SUMIFS(DECKS!$D$2:$D$1201,DECKS!$A$2:$A$1201,INDEX(_LEITURA!$P$2:$P$21,15),DECKS!$B$2:$B$1201,$A510))</f>
        <v/>
      </c>
      <c r="Z510" s="19" t="str">
        <f aca="false">IF(OR($A510="",INDEX(_LEITURA!$Q$2:$Q$21,16)=0),"",SUMIFS(DECKS!$D$2:$D$1201,DECKS!$A$2:$A$1201,INDEX(_LEITURA!$P$2:$P$21,16),DECKS!$B$2:$B$1201,$A510))</f>
        <v/>
      </c>
      <c r="AA510" s="19" t="str">
        <f aca="false">IF(OR($A510="",INDEX(_LEITURA!$Q$2:$Q$21,17)=0),"",SUMIFS(DECKS!$D$2:$D$1201,DECKS!$A$2:$A$1201,INDEX(_LEITURA!$P$2:$P$21,17),DECKS!$B$2:$B$1201,$A510))</f>
        <v/>
      </c>
      <c r="AB510" s="19" t="str">
        <f aca="false">IF(OR($A510="",INDEX(_LEITURA!$Q$2:$Q$21,18)=0),"",SUMIFS(DECKS!$D$2:$D$1201,DECKS!$A$2:$A$1201,INDEX(_LEITURA!$P$2:$P$21,18),DECKS!$B$2:$B$1201,$A510))</f>
        <v/>
      </c>
      <c r="AC510" s="19" t="str">
        <f aca="false">IF(OR($A510="",INDEX(_LEITURA!$Q$2:$Q$21,19)=0),"",SUMIFS(DECKS!$D$2:$D$1201,DECKS!$A$2:$A$1201,INDEX(_LEITURA!$P$2:$P$21,19),DECKS!$B$2:$B$1201,$A510))</f>
        <v/>
      </c>
      <c r="AD510" s="19" t="str">
        <f aca="false">IF(OR($A510="",INDEX(_LEITURA!$Q$2:$Q$21,20)=0),"",SUMIFS(DECKS!$D$2:$D$1201,DECKS!$A$2:$A$1201,INDEX(_LEITURA!$P$2:$P$21,20),DECKS!$B$2:$B$1201,$A510))</f>
        <v/>
      </c>
      <c r="AE510" s="16" t="str">
        <f aca="false">IF(N(E510)&gt;0,MAX(AE$1:AE509)+1,"")</f>
        <v/>
      </c>
      <c r="AF510" s="11" t="str">
        <f aca="false">IF(A510="","",IFERROR(LEFT(A510,FIND("-",A510)-1),A510))</f>
        <v/>
      </c>
      <c r="AG510" s="11" t="str">
        <f aca="false">IF(AF510="","",IF(ISNUMBER(--MID(AF510,1,1)),0,IF(ISNUMBER(--MID(AF510,2,1)),1,IF(ISNUMBER(--MID(AF510,3,1)),2,IF(ISNUMBER(--MID(AF510,4,1)),3,MIN(LEN(AF510),4))))))</f>
        <v/>
      </c>
      <c r="AH510" s="11" t="str">
        <f aca="false">IF(A510="","",LEFT(AF510,AG510)&amp;REPT("0",4-AG510)&amp;RIGHT("000"&amp;IFERROR(VALUE(MID(AF510,AG510+1,9)),0),3)&amp;RIGHT("0000"&amp;IFERROR(VALUE(MID(A510,FIND("-",A510)+1,9)),0),4))</f>
        <v/>
      </c>
      <c r="AI510" s="11" t="str">
        <f aca="false">IF(OR(A510="",N(E510)&lt;=0),"",IF('FALTAS GERAL'!$M$1="Código","K"&amp;AH510&amp;RIGHT("00000"&amp;ROW(),5),IF('FALTAS GERAL'!$M$1="Nome","K"&amp;UPPER(SUBSTITUTE(SUBSTITUTE(SUBSTITUTE(B510,"*",""),"?",""),"~",""))&amp;"0"&amp;AH510&amp;RIGHT("00000"&amp;ROW(),5),IF('FALTAS GERAL'!$M$1="Falta (maior primeiro)","K"&amp;RIGHT("0000"&amp;(9999-E510),4)&amp;AH510&amp;RIGHT("00000"&amp;ROW(),5),IF('FALTAS GERAL'!$M$1="Nº de decks (maior primeiro)","K"&amp;RIGHT("00"&amp;(99-N(G510)),2)&amp;AH510&amp;RIGHT("00000"&amp;ROW(),5),"K"&amp;RIGHT("00000"&amp;ROW(),5))))))</f>
        <v/>
      </c>
      <c r="AJ510" s="11" t="str">
        <f aca="false">IF(AI510="","",COUNTIFS($AI$2:$AI$801,"&lt;"&amp;AI510,$E$2:$E$801,"&gt;0")+1)</f>
        <v/>
      </c>
      <c r="AK510" s="11" t="str">
        <f aca="false">IF(OR(A510="",N(E510)&lt;=0),"",COUNTIFS($AH$2:$AH$801,"&lt;"&amp;AH510,$E$2:$E$801,"&gt;0")+COUNTIFS($AH$2:AH510,AH510,$E$2:E510,"&gt;0"))</f>
        <v/>
      </c>
    </row>
    <row r="511" customFormat="false" ht="15" hidden="false" customHeight="false" outlineLevel="0" collapsed="false">
      <c r="A511" s="11" t="str">
        <f aca="false">IF(INVENTÁRIO!A511="","",INVENTÁRIO!A511)</f>
        <v/>
      </c>
      <c r="B511" s="11" t="str">
        <f aca="false">IF(A511="","",INVENTÁRIO!B511)</f>
        <v/>
      </c>
      <c r="C511" s="16" t="str">
        <f aca="false">IF(A511="","",INVENTÁRIO!C511)</f>
        <v/>
      </c>
      <c r="D511" s="14" t="str">
        <f aca="false">IF(A511="","",MAX(K511:AD511))</f>
        <v/>
      </c>
      <c r="E511" s="14" t="str">
        <f aca="false">IF(A511="","",MAX(0,D511-C511))</f>
        <v/>
      </c>
      <c r="F511" s="16" t="str">
        <f aca="false">IF(A511="","",IF(D511=0,"Fora dos decks",IF(E511=0,"Completo","Falta")))</f>
        <v/>
      </c>
      <c r="G511" s="16" t="str">
        <f aca="false">IF(A511="","",COUNTIF(K511:AD511,"&gt;0"))</f>
        <v/>
      </c>
      <c r="H511" s="16" t="str">
        <f aca="false">IF(A511="","",IF(G511&gt;1,"Sim",""))</f>
        <v/>
      </c>
      <c r="I511" s="18" t="str">
        <f aca="false">IF(A511="","",SUMIFS(DECKS!$D$2:$D$1201,DECKS!$B$2:$B$1201,A511))</f>
        <v/>
      </c>
      <c r="J511" s="18" t="str">
        <f aca="false">IF(A511="","",MAX(0,I511-C511))</f>
        <v/>
      </c>
      <c r="K511" s="19" t="str">
        <f aca="false">IF(OR($A511="",INDEX(_LEITURA!$Q$2:$Q$21,1)=0),"",SUMIFS(DECKS!$D$2:$D$1201,DECKS!$A$2:$A$1201,INDEX(_LEITURA!$P$2:$P$21,1),DECKS!$B$2:$B$1201,$A511))</f>
        <v/>
      </c>
      <c r="L511" s="19" t="str">
        <f aca="false">IF(OR($A511="",INDEX(_LEITURA!$Q$2:$Q$21,2)=0),"",SUMIFS(DECKS!$D$2:$D$1201,DECKS!$A$2:$A$1201,INDEX(_LEITURA!$P$2:$P$21,2),DECKS!$B$2:$B$1201,$A511))</f>
        <v/>
      </c>
      <c r="M511" s="19" t="str">
        <f aca="false">IF(OR($A511="",INDEX(_LEITURA!$Q$2:$Q$21,3)=0),"",SUMIFS(DECKS!$D$2:$D$1201,DECKS!$A$2:$A$1201,INDEX(_LEITURA!$P$2:$P$21,3),DECKS!$B$2:$B$1201,$A511))</f>
        <v/>
      </c>
      <c r="N511" s="19" t="str">
        <f aca="false">IF(OR($A511="",INDEX(_LEITURA!$Q$2:$Q$21,4)=0),"",SUMIFS(DECKS!$D$2:$D$1201,DECKS!$A$2:$A$1201,INDEX(_LEITURA!$P$2:$P$21,4),DECKS!$B$2:$B$1201,$A511))</f>
        <v/>
      </c>
      <c r="O511" s="19" t="str">
        <f aca="false">IF(OR($A511="",INDEX(_LEITURA!$Q$2:$Q$21,5)=0),"",SUMIFS(DECKS!$D$2:$D$1201,DECKS!$A$2:$A$1201,INDEX(_LEITURA!$P$2:$P$21,5),DECKS!$B$2:$B$1201,$A511))</f>
        <v/>
      </c>
      <c r="P511" s="19" t="str">
        <f aca="false">IF(OR($A511="",INDEX(_LEITURA!$Q$2:$Q$21,6)=0),"",SUMIFS(DECKS!$D$2:$D$1201,DECKS!$A$2:$A$1201,INDEX(_LEITURA!$P$2:$P$21,6),DECKS!$B$2:$B$1201,$A511))</f>
        <v/>
      </c>
      <c r="Q511" s="19" t="str">
        <f aca="false">IF(OR($A511="",INDEX(_LEITURA!$Q$2:$Q$21,7)=0),"",SUMIFS(DECKS!$D$2:$D$1201,DECKS!$A$2:$A$1201,INDEX(_LEITURA!$P$2:$P$21,7),DECKS!$B$2:$B$1201,$A511))</f>
        <v/>
      </c>
      <c r="R511" s="19" t="str">
        <f aca="false">IF(OR($A511="",INDEX(_LEITURA!$Q$2:$Q$21,8)=0),"",SUMIFS(DECKS!$D$2:$D$1201,DECKS!$A$2:$A$1201,INDEX(_LEITURA!$P$2:$P$21,8),DECKS!$B$2:$B$1201,$A511))</f>
        <v/>
      </c>
      <c r="S511" s="19" t="str">
        <f aca="false">IF(OR($A511="",INDEX(_LEITURA!$Q$2:$Q$21,9)=0),"",SUMIFS(DECKS!$D$2:$D$1201,DECKS!$A$2:$A$1201,INDEX(_LEITURA!$P$2:$P$21,9),DECKS!$B$2:$B$1201,$A511))</f>
        <v/>
      </c>
      <c r="T511" s="19" t="str">
        <f aca="false">IF(OR($A511="",INDEX(_LEITURA!$Q$2:$Q$21,10)=0),"",SUMIFS(DECKS!$D$2:$D$1201,DECKS!$A$2:$A$1201,INDEX(_LEITURA!$P$2:$P$21,10),DECKS!$B$2:$B$1201,$A511))</f>
        <v/>
      </c>
      <c r="U511" s="19" t="str">
        <f aca="false">IF(OR($A511="",INDEX(_LEITURA!$Q$2:$Q$21,11)=0),"",SUMIFS(DECKS!$D$2:$D$1201,DECKS!$A$2:$A$1201,INDEX(_LEITURA!$P$2:$P$21,11),DECKS!$B$2:$B$1201,$A511))</f>
        <v/>
      </c>
      <c r="V511" s="19" t="str">
        <f aca="false">IF(OR($A511="",INDEX(_LEITURA!$Q$2:$Q$21,12)=0),"",SUMIFS(DECKS!$D$2:$D$1201,DECKS!$A$2:$A$1201,INDEX(_LEITURA!$P$2:$P$21,12),DECKS!$B$2:$B$1201,$A511))</f>
        <v/>
      </c>
      <c r="W511" s="19" t="str">
        <f aca="false">IF(OR($A511="",INDEX(_LEITURA!$Q$2:$Q$21,13)=0),"",SUMIFS(DECKS!$D$2:$D$1201,DECKS!$A$2:$A$1201,INDEX(_LEITURA!$P$2:$P$21,13),DECKS!$B$2:$B$1201,$A511))</f>
        <v/>
      </c>
      <c r="X511" s="19" t="str">
        <f aca="false">IF(OR($A511="",INDEX(_LEITURA!$Q$2:$Q$21,14)=0),"",SUMIFS(DECKS!$D$2:$D$1201,DECKS!$A$2:$A$1201,INDEX(_LEITURA!$P$2:$P$21,14),DECKS!$B$2:$B$1201,$A511))</f>
        <v/>
      </c>
      <c r="Y511" s="19" t="str">
        <f aca="false">IF(OR($A511="",INDEX(_LEITURA!$Q$2:$Q$21,15)=0),"",SUMIFS(DECKS!$D$2:$D$1201,DECKS!$A$2:$A$1201,INDEX(_LEITURA!$P$2:$P$21,15),DECKS!$B$2:$B$1201,$A511))</f>
        <v/>
      </c>
      <c r="Z511" s="19" t="str">
        <f aca="false">IF(OR($A511="",INDEX(_LEITURA!$Q$2:$Q$21,16)=0),"",SUMIFS(DECKS!$D$2:$D$1201,DECKS!$A$2:$A$1201,INDEX(_LEITURA!$P$2:$P$21,16),DECKS!$B$2:$B$1201,$A511))</f>
        <v/>
      </c>
      <c r="AA511" s="19" t="str">
        <f aca="false">IF(OR($A511="",INDEX(_LEITURA!$Q$2:$Q$21,17)=0),"",SUMIFS(DECKS!$D$2:$D$1201,DECKS!$A$2:$A$1201,INDEX(_LEITURA!$P$2:$P$21,17),DECKS!$B$2:$B$1201,$A511))</f>
        <v/>
      </c>
      <c r="AB511" s="19" t="str">
        <f aca="false">IF(OR($A511="",INDEX(_LEITURA!$Q$2:$Q$21,18)=0),"",SUMIFS(DECKS!$D$2:$D$1201,DECKS!$A$2:$A$1201,INDEX(_LEITURA!$P$2:$P$21,18),DECKS!$B$2:$B$1201,$A511))</f>
        <v/>
      </c>
      <c r="AC511" s="19" t="str">
        <f aca="false">IF(OR($A511="",INDEX(_LEITURA!$Q$2:$Q$21,19)=0),"",SUMIFS(DECKS!$D$2:$D$1201,DECKS!$A$2:$A$1201,INDEX(_LEITURA!$P$2:$P$21,19),DECKS!$B$2:$B$1201,$A511))</f>
        <v/>
      </c>
      <c r="AD511" s="19" t="str">
        <f aca="false">IF(OR($A511="",INDEX(_LEITURA!$Q$2:$Q$21,20)=0),"",SUMIFS(DECKS!$D$2:$D$1201,DECKS!$A$2:$A$1201,INDEX(_LEITURA!$P$2:$P$21,20),DECKS!$B$2:$B$1201,$A511))</f>
        <v/>
      </c>
      <c r="AE511" s="16" t="str">
        <f aca="false">IF(N(E511)&gt;0,MAX(AE$1:AE510)+1,"")</f>
        <v/>
      </c>
      <c r="AF511" s="11" t="str">
        <f aca="false">IF(A511="","",IFERROR(LEFT(A511,FIND("-",A511)-1),A511))</f>
        <v/>
      </c>
      <c r="AG511" s="11" t="str">
        <f aca="false">IF(AF511="","",IF(ISNUMBER(--MID(AF511,1,1)),0,IF(ISNUMBER(--MID(AF511,2,1)),1,IF(ISNUMBER(--MID(AF511,3,1)),2,IF(ISNUMBER(--MID(AF511,4,1)),3,MIN(LEN(AF511),4))))))</f>
        <v/>
      </c>
      <c r="AH511" s="11" t="str">
        <f aca="false">IF(A511="","",LEFT(AF511,AG511)&amp;REPT("0",4-AG511)&amp;RIGHT("000"&amp;IFERROR(VALUE(MID(AF511,AG511+1,9)),0),3)&amp;RIGHT("0000"&amp;IFERROR(VALUE(MID(A511,FIND("-",A511)+1,9)),0),4))</f>
        <v/>
      </c>
      <c r="AI511" s="11" t="str">
        <f aca="false">IF(OR(A511="",N(E511)&lt;=0),"",IF('FALTAS GERAL'!$M$1="Código","K"&amp;AH511&amp;RIGHT("00000"&amp;ROW(),5),IF('FALTAS GERAL'!$M$1="Nome","K"&amp;UPPER(SUBSTITUTE(SUBSTITUTE(SUBSTITUTE(B511,"*",""),"?",""),"~",""))&amp;"0"&amp;AH511&amp;RIGHT("00000"&amp;ROW(),5),IF('FALTAS GERAL'!$M$1="Falta (maior primeiro)","K"&amp;RIGHT("0000"&amp;(9999-E511),4)&amp;AH511&amp;RIGHT("00000"&amp;ROW(),5),IF('FALTAS GERAL'!$M$1="Nº de decks (maior primeiro)","K"&amp;RIGHT("00"&amp;(99-N(G511)),2)&amp;AH511&amp;RIGHT("00000"&amp;ROW(),5),"K"&amp;RIGHT("00000"&amp;ROW(),5))))))</f>
        <v/>
      </c>
      <c r="AJ511" s="11" t="str">
        <f aca="false">IF(AI511="","",COUNTIFS($AI$2:$AI$801,"&lt;"&amp;AI511,$E$2:$E$801,"&gt;0")+1)</f>
        <v/>
      </c>
      <c r="AK511" s="11" t="str">
        <f aca="false">IF(OR(A511="",N(E511)&lt;=0),"",COUNTIFS($AH$2:$AH$801,"&lt;"&amp;AH511,$E$2:$E$801,"&gt;0")+COUNTIFS($AH$2:AH511,AH511,$E$2:E511,"&gt;0"))</f>
        <v/>
      </c>
    </row>
    <row r="512" customFormat="false" ht="15" hidden="false" customHeight="false" outlineLevel="0" collapsed="false">
      <c r="A512" s="11" t="str">
        <f aca="false">IF(INVENTÁRIO!A512="","",INVENTÁRIO!A512)</f>
        <v/>
      </c>
      <c r="B512" s="11" t="str">
        <f aca="false">IF(A512="","",INVENTÁRIO!B512)</f>
        <v/>
      </c>
      <c r="C512" s="16" t="str">
        <f aca="false">IF(A512="","",INVENTÁRIO!C512)</f>
        <v/>
      </c>
      <c r="D512" s="14" t="str">
        <f aca="false">IF(A512="","",MAX(K512:AD512))</f>
        <v/>
      </c>
      <c r="E512" s="14" t="str">
        <f aca="false">IF(A512="","",MAX(0,D512-C512))</f>
        <v/>
      </c>
      <c r="F512" s="16" t="str">
        <f aca="false">IF(A512="","",IF(D512=0,"Fora dos decks",IF(E512=0,"Completo","Falta")))</f>
        <v/>
      </c>
      <c r="G512" s="16" t="str">
        <f aca="false">IF(A512="","",COUNTIF(K512:AD512,"&gt;0"))</f>
        <v/>
      </c>
      <c r="H512" s="16" t="str">
        <f aca="false">IF(A512="","",IF(G512&gt;1,"Sim",""))</f>
        <v/>
      </c>
      <c r="I512" s="18" t="str">
        <f aca="false">IF(A512="","",SUMIFS(DECKS!$D$2:$D$1201,DECKS!$B$2:$B$1201,A512))</f>
        <v/>
      </c>
      <c r="J512" s="18" t="str">
        <f aca="false">IF(A512="","",MAX(0,I512-C512))</f>
        <v/>
      </c>
      <c r="K512" s="19" t="str">
        <f aca="false">IF(OR($A512="",INDEX(_LEITURA!$Q$2:$Q$21,1)=0),"",SUMIFS(DECKS!$D$2:$D$1201,DECKS!$A$2:$A$1201,INDEX(_LEITURA!$P$2:$P$21,1),DECKS!$B$2:$B$1201,$A512))</f>
        <v/>
      </c>
      <c r="L512" s="19" t="str">
        <f aca="false">IF(OR($A512="",INDEX(_LEITURA!$Q$2:$Q$21,2)=0),"",SUMIFS(DECKS!$D$2:$D$1201,DECKS!$A$2:$A$1201,INDEX(_LEITURA!$P$2:$P$21,2),DECKS!$B$2:$B$1201,$A512))</f>
        <v/>
      </c>
      <c r="M512" s="19" t="str">
        <f aca="false">IF(OR($A512="",INDEX(_LEITURA!$Q$2:$Q$21,3)=0),"",SUMIFS(DECKS!$D$2:$D$1201,DECKS!$A$2:$A$1201,INDEX(_LEITURA!$P$2:$P$21,3),DECKS!$B$2:$B$1201,$A512))</f>
        <v/>
      </c>
      <c r="N512" s="19" t="str">
        <f aca="false">IF(OR($A512="",INDEX(_LEITURA!$Q$2:$Q$21,4)=0),"",SUMIFS(DECKS!$D$2:$D$1201,DECKS!$A$2:$A$1201,INDEX(_LEITURA!$P$2:$P$21,4),DECKS!$B$2:$B$1201,$A512))</f>
        <v/>
      </c>
      <c r="O512" s="19" t="str">
        <f aca="false">IF(OR($A512="",INDEX(_LEITURA!$Q$2:$Q$21,5)=0),"",SUMIFS(DECKS!$D$2:$D$1201,DECKS!$A$2:$A$1201,INDEX(_LEITURA!$P$2:$P$21,5),DECKS!$B$2:$B$1201,$A512))</f>
        <v/>
      </c>
      <c r="P512" s="19" t="str">
        <f aca="false">IF(OR($A512="",INDEX(_LEITURA!$Q$2:$Q$21,6)=0),"",SUMIFS(DECKS!$D$2:$D$1201,DECKS!$A$2:$A$1201,INDEX(_LEITURA!$P$2:$P$21,6),DECKS!$B$2:$B$1201,$A512))</f>
        <v/>
      </c>
      <c r="Q512" s="19" t="str">
        <f aca="false">IF(OR($A512="",INDEX(_LEITURA!$Q$2:$Q$21,7)=0),"",SUMIFS(DECKS!$D$2:$D$1201,DECKS!$A$2:$A$1201,INDEX(_LEITURA!$P$2:$P$21,7),DECKS!$B$2:$B$1201,$A512))</f>
        <v/>
      </c>
      <c r="R512" s="19" t="str">
        <f aca="false">IF(OR($A512="",INDEX(_LEITURA!$Q$2:$Q$21,8)=0),"",SUMIFS(DECKS!$D$2:$D$1201,DECKS!$A$2:$A$1201,INDEX(_LEITURA!$P$2:$P$21,8),DECKS!$B$2:$B$1201,$A512))</f>
        <v/>
      </c>
      <c r="S512" s="19" t="str">
        <f aca="false">IF(OR($A512="",INDEX(_LEITURA!$Q$2:$Q$21,9)=0),"",SUMIFS(DECKS!$D$2:$D$1201,DECKS!$A$2:$A$1201,INDEX(_LEITURA!$P$2:$P$21,9),DECKS!$B$2:$B$1201,$A512))</f>
        <v/>
      </c>
      <c r="T512" s="19" t="str">
        <f aca="false">IF(OR($A512="",INDEX(_LEITURA!$Q$2:$Q$21,10)=0),"",SUMIFS(DECKS!$D$2:$D$1201,DECKS!$A$2:$A$1201,INDEX(_LEITURA!$P$2:$P$21,10),DECKS!$B$2:$B$1201,$A512))</f>
        <v/>
      </c>
      <c r="U512" s="19" t="str">
        <f aca="false">IF(OR($A512="",INDEX(_LEITURA!$Q$2:$Q$21,11)=0),"",SUMIFS(DECKS!$D$2:$D$1201,DECKS!$A$2:$A$1201,INDEX(_LEITURA!$P$2:$P$21,11),DECKS!$B$2:$B$1201,$A512))</f>
        <v/>
      </c>
      <c r="V512" s="19" t="str">
        <f aca="false">IF(OR($A512="",INDEX(_LEITURA!$Q$2:$Q$21,12)=0),"",SUMIFS(DECKS!$D$2:$D$1201,DECKS!$A$2:$A$1201,INDEX(_LEITURA!$P$2:$P$21,12),DECKS!$B$2:$B$1201,$A512))</f>
        <v/>
      </c>
      <c r="W512" s="19" t="str">
        <f aca="false">IF(OR($A512="",INDEX(_LEITURA!$Q$2:$Q$21,13)=0),"",SUMIFS(DECKS!$D$2:$D$1201,DECKS!$A$2:$A$1201,INDEX(_LEITURA!$P$2:$P$21,13),DECKS!$B$2:$B$1201,$A512))</f>
        <v/>
      </c>
      <c r="X512" s="19" t="str">
        <f aca="false">IF(OR($A512="",INDEX(_LEITURA!$Q$2:$Q$21,14)=0),"",SUMIFS(DECKS!$D$2:$D$1201,DECKS!$A$2:$A$1201,INDEX(_LEITURA!$P$2:$P$21,14),DECKS!$B$2:$B$1201,$A512))</f>
        <v/>
      </c>
      <c r="Y512" s="19" t="str">
        <f aca="false">IF(OR($A512="",INDEX(_LEITURA!$Q$2:$Q$21,15)=0),"",SUMIFS(DECKS!$D$2:$D$1201,DECKS!$A$2:$A$1201,INDEX(_LEITURA!$P$2:$P$21,15),DECKS!$B$2:$B$1201,$A512))</f>
        <v/>
      </c>
      <c r="Z512" s="19" t="str">
        <f aca="false">IF(OR($A512="",INDEX(_LEITURA!$Q$2:$Q$21,16)=0),"",SUMIFS(DECKS!$D$2:$D$1201,DECKS!$A$2:$A$1201,INDEX(_LEITURA!$P$2:$P$21,16),DECKS!$B$2:$B$1201,$A512))</f>
        <v/>
      </c>
      <c r="AA512" s="19" t="str">
        <f aca="false">IF(OR($A512="",INDEX(_LEITURA!$Q$2:$Q$21,17)=0),"",SUMIFS(DECKS!$D$2:$D$1201,DECKS!$A$2:$A$1201,INDEX(_LEITURA!$P$2:$P$21,17),DECKS!$B$2:$B$1201,$A512))</f>
        <v/>
      </c>
      <c r="AB512" s="19" t="str">
        <f aca="false">IF(OR($A512="",INDEX(_LEITURA!$Q$2:$Q$21,18)=0),"",SUMIFS(DECKS!$D$2:$D$1201,DECKS!$A$2:$A$1201,INDEX(_LEITURA!$P$2:$P$21,18),DECKS!$B$2:$B$1201,$A512))</f>
        <v/>
      </c>
      <c r="AC512" s="19" t="str">
        <f aca="false">IF(OR($A512="",INDEX(_LEITURA!$Q$2:$Q$21,19)=0),"",SUMIFS(DECKS!$D$2:$D$1201,DECKS!$A$2:$A$1201,INDEX(_LEITURA!$P$2:$P$21,19),DECKS!$B$2:$B$1201,$A512))</f>
        <v/>
      </c>
      <c r="AD512" s="19" t="str">
        <f aca="false">IF(OR($A512="",INDEX(_LEITURA!$Q$2:$Q$21,20)=0),"",SUMIFS(DECKS!$D$2:$D$1201,DECKS!$A$2:$A$1201,INDEX(_LEITURA!$P$2:$P$21,20),DECKS!$B$2:$B$1201,$A512))</f>
        <v/>
      </c>
      <c r="AE512" s="16" t="str">
        <f aca="false">IF(N(E512)&gt;0,MAX(AE$1:AE511)+1,"")</f>
        <v/>
      </c>
      <c r="AF512" s="11" t="str">
        <f aca="false">IF(A512="","",IFERROR(LEFT(A512,FIND("-",A512)-1),A512))</f>
        <v/>
      </c>
      <c r="AG512" s="11" t="str">
        <f aca="false">IF(AF512="","",IF(ISNUMBER(--MID(AF512,1,1)),0,IF(ISNUMBER(--MID(AF512,2,1)),1,IF(ISNUMBER(--MID(AF512,3,1)),2,IF(ISNUMBER(--MID(AF512,4,1)),3,MIN(LEN(AF512),4))))))</f>
        <v/>
      </c>
      <c r="AH512" s="11" t="str">
        <f aca="false">IF(A512="","",LEFT(AF512,AG512)&amp;REPT("0",4-AG512)&amp;RIGHT("000"&amp;IFERROR(VALUE(MID(AF512,AG512+1,9)),0),3)&amp;RIGHT("0000"&amp;IFERROR(VALUE(MID(A512,FIND("-",A512)+1,9)),0),4))</f>
        <v/>
      </c>
      <c r="AI512" s="11" t="str">
        <f aca="false">IF(OR(A512="",N(E512)&lt;=0),"",IF('FALTAS GERAL'!$M$1="Código","K"&amp;AH512&amp;RIGHT("00000"&amp;ROW(),5),IF('FALTAS GERAL'!$M$1="Nome","K"&amp;UPPER(SUBSTITUTE(SUBSTITUTE(SUBSTITUTE(B512,"*",""),"?",""),"~",""))&amp;"0"&amp;AH512&amp;RIGHT("00000"&amp;ROW(),5),IF('FALTAS GERAL'!$M$1="Falta (maior primeiro)","K"&amp;RIGHT("0000"&amp;(9999-E512),4)&amp;AH512&amp;RIGHT("00000"&amp;ROW(),5),IF('FALTAS GERAL'!$M$1="Nº de decks (maior primeiro)","K"&amp;RIGHT("00"&amp;(99-N(G512)),2)&amp;AH512&amp;RIGHT("00000"&amp;ROW(),5),"K"&amp;RIGHT("00000"&amp;ROW(),5))))))</f>
        <v/>
      </c>
      <c r="AJ512" s="11" t="str">
        <f aca="false">IF(AI512="","",COUNTIFS($AI$2:$AI$801,"&lt;"&amp;AI512,$E$2:$E$801,"&gt;0")+1)</f>
        <v/>
      </c>
      <c r="AK512" s="11" t="str">
        <f aca="false">IF(OR(A512="",N(E512)&lt;=0),"",COUNTIFS($AH$2:$AH$801,"&lt;"&amp;AH512,$E$2:$E$801,"&gt;0")+COUNTIFS($AH$2:AH512,AH512,$E$2:E512,"&gt;0"))</f>
        <v/>
      </c>
    </row>
    <row r="513" customFormat="false" ht="15" hidden="false" customHeight="false" outlineLevel="0" collapsed="false">
      <c r="A513" s="11" t="str">
        <f aca="false">IF(INVENTÁRIO!A513="","",INVENTÁRIO!A513)</f>
        <v/>
      </c>
      <c r="B513" s="11" t="str">
        <f aca="false">IF(A513="","",INVENTÁRIO!B513)</f>
        <v/>
      </c>
      <c r="C513" s="16" t="str">
        <f aca="false">IF(A513="","",INVENTÁRIO!C513)</f>
        <v/>
      </c>
      <c r="D513" s="14" t="str">
        <f aca="false">IF(A513="","",MAX(K513:AD513))</f>
        <v/>
      </c>
      <c r="E513" s="14" t="str">
        <f aca="false">IF(A513="","",MAX(0,D513-C513))</f>
        <v/>
      </c>
      <c r="F513" s="16" t="str">
        <f aca="false">IF(A513="","",IF(D513=0,"Fora dos decks",IF(E513=0,"Completo","Falta")))</f>
        <v/>
      </c>
      <c r="G513" s="16" t="str">
        <f aca="false">IF(A513="","",COUNTIF(K513:AD513,"&gt;0"))</f>
        <v/>
      </c>
      <c r="H513" s="16" t="str">
        <f aca="false">IF(A513="","",IF(G513&gt;1,"Sim",""))</f>
        <v/>
      </c>
      <c r="I513" s="18" t="str">
        <f aca="false">IF(A513="","",SUMIFS(DECKS!$D$2:$D$1201,DECKS!$B$2:$B$1201,A513))</f>
        <v/>
      </c>
      <c r="J513" s="18" t="str">
        <f aca="false">IF(A513="","",MAX(0,I513-C513))</f>
        <v/>
      </c>
      <c r="K513" s="19" t="str">
        <f aca="false">IF(OR($A513="",INDEX(_LEITURA!$Q$2:$Q$21,1)=0),"",SUMIFS(DECKS!$D$2:$D$1201,DECKS!$A$2:$A$1201,INDEX(_LEITURA!$P$2:$P$21,1),DECKS!$B$2:$B$1201,$A513))</f>
        <v/>
      </c>
      <c r="L513" s="19" t="str">
        <f aca="false">IF(OR($A513="",INDEX(_LEITURA!$Q$2:$Q$21,2)=0),"",SUMIFS(DECKS!$D$2:$D$1201,DECKS!$A$2:$A$1201,INDEX(_LEITURA!$P$2:$P$21,2),DECKS!$B$2:$B$1201,$A513))</f>
        <v/>
      </c>
      <c r="M513" s="19" t="str">
        <f aca="false">IF(OR($A513="",INDEX(_LEITURA!$Q$2:$Q$21,3)=0),"",SUMIFS(DECKS!$D$2:$D$1201,DECKS!$A$2:$A$1201,INDEX(_LEITURA!$P$2:$P$21,3),DECKS!$B$2:$B$1201,$A513))</f>
        <v/>
      </c>
      <c r="N513" s="19" t="str">
        <f aca="false">IF(OR($A513="",INDEX(_LEITURA!$Q$2:$Q$21,4)=0),"",SUMIFS(DECKS!$D$2:$D$1201,DECKS!$A$2:$A$1201,INDEX(_LEITURA!$P$2:$P$21,4),DECKS!$B$2:$B$1201,$A513))</f>
        <v/>
      </c>
      <c r="O513" s="19" t="str">
        <f aca="false">IF(OR($A513="",INDEX(_LEITURA!$Q$2:$Q$21,5)=0),"",SUMIFS(DECKS!$D$2:$D$1201,DECKS!$A$2:$A$1201,INDEX(_LEITURA!$P$2:$P$21,5),DECKS!$B$2:$B$1201,$A513))</f>
        <v/>
      </c>
      <c r="P513" s="19" t="str">
        <f aca="false">IF(OR($A513="",INDEX(_LEITURA!$Q$2:$Q$21,6)=0),"",SUMIFS(DECKS!$D$2:$D$1201,DECKS!$A$2:$A$1201,INDEX(_LEITURA!$P$2:$P$21,6),DECKS!$B$2:$B$1201,$A513))</f>
        <v/>
      </c>
      <c r="Q513" s="19" t="str">
        <f aca="false">IF(OR($A513="",INDEX(_LEITURA!$Q$2:$Q$21,7)=0),"",SUMIFS(DECKS!$D$2:$D$1201,DECKS!$A$2:$A$1201,INDEX(_LEITURA!$P$2:$P$21,7),DECKS!$B$2:$B$1201,$A513))</f>
        <v/>
      </c>
      <c r="R513" s="19" t="str">
        <f aca="false">IF(OR($A513="",INDEX(_LEITURA!$Q$2:$Q$21,8)=0),"",SUMIFS(DECKS!$D$2:$D$1201,DECKS!$A$2:$A$1201,INDEX(_LEITURA!$P$2:$P$21,8),DECKS!$B$2:$B$1201,$A513))</f>
        <v/>
      </c>
      <c r="S513" s="19" t="str">
        <f aca="false">IF(OR($A513="",INDEX(_LEITURA!$Q$2:$Q$21,9)=0),"",SUMIFS(DECKS!$D$2:$D$1201,DECKS!$A$2:$A$1201,INDEX(_LEITURA!$P$2:$P$21,9),DECKS!$B$2:$B$1201,$A513))</f>
        <v/>
      </c>
      <c r="T513" s="19" t="str">
        <f aca="false">IF(OR($A513="",INDEX(_LEITURA!$Q$2:$Q$21,10)=0),"",SUMIFS(DECKS!$D$2:$D$1201,DECKS!$A$2:$A$1201,INDEX(_LEITURA!$P$2:$P$21,10),DECKS!$B$2:$B$1201,$A513))</f>
        <v/>
      </c>
      <c r="U513" s="19" t="str">
        <f aca="false">IF(OR($A513="",INDEX(_LEITURA!$Q$2:$Q$21,11)=0),"",SUMIFS(DECKS!$D$2:$D$1201,DECKS!$A$2:$A$1201,INDEX(_LEITURA!$P$2:$P$21,11),DECKS!$B$2:$B$1201,$A513))</f>
        <v/>
      </c>
      <c r="V513" s="19" t="str">
        <f aca="false">IF(OR($A513="",INDEX(_LEITURA!$Q$2:$Q$21,12)=0),"",SUMIFS(DECKS!$D$2:$D$1201,DECKS!$A$2:$A$1201,INDEX(_LEITURA!$P$2:$P$21,12),DECKS!$B$2:$B$1201,$A513))</f>
        <v/>
      </c>
      <c r="W513" s="19" t="str">
        <f aca="false">IF(OR($A513="",INDEX(_LEITURA!$Q$2:$Q$21,13)=0),"",SUMIFS(DECKS!$D$2:$D$1201,DECKS!$A$2:$A$1201,INDEX(_LEITURA!$P$2:$P$21,13),DECKS!$B$2:$B$1201,$A513))</f>
        <v/>
      </c>
      <c r="X513" s="19" t="str">
        <f aca="false">IF(OR($A513="",INDEX(_LEITURA!$Q$2:$Q$21,14)=0),"",SUMIFS(DECKS!$D$2:$D$1201,DECKS!$A$2:$A$1201,INDEX(_LEITURA!$P$2:$P$21,14),DECKS!$B$2:$B$1201,$A513))</f>
        <v/>
      </c>
      <c r="Y513" s="19" t="str">
        <f aca="false">IF(OR($A513="",INDEX(_LEITURA!$Q$2:$Q$21,15)=0),"",SUMIFS(DECKS!$D$2:$D$1201,DECKS!$A$2:$A$1201,INDEX(_LEITURA!$P$2:$P$21,15),DECKS!$B$2:$B$1201,$A513))</f>
        <v/>
      </c>
      <c r="Z513" s="19" t="str">
        <f aca="false">IF(OR($A513="",INDEX(_LEITURA!$Q$2:$Q$21,16)=0),"",SUMIFS(DECKS!$D$2:$D$1201,DECKS!$A$2:$A$1201,INDEX(_LEITURA!$P$2:$P$21,16),DECKS!$B$2:$B$1201,$A513))</f>
        <v/>
      </c>
      <c r="AA513" s="19" t="str">
        <f aca="false">IF(OR($A513="",INDEX(_LEITURA!$Q$2:$Q$21,17)=0),"",SUMIFS(DECKS!$D$2:$D$1201,DECKS!$A$2:$A$1201,INDEX(_LEITURA!$P$2:$P$21,17),DECKS!$B$2:$B$1201,$A513))</f>
        <v/>
      </c>
      <c r="AB513" s="19" t="str">
        <f aca="false">IF(OR($A513="",INDEX(_LEITURA!$Q$2:$Q$21,18)=0),"",SUMIFS(DECKS!$D$2:$D$1201,DECKS!$A$2:$A$1201,INDEX(_LEITURA!$P$2:$P$21,18),DECKS!$B$2:$B$1201,$A513))</f>
        <v/>
      </c>
      <c r="AC513" s="19" t="str">
        <f aca="false">IF(OR($A513="",INDEX(_LEITURA!$Q$2:$Q$21,19)=0),"",SUMIFS(DECKS!$D$2:$D$1201,DECKS!$A$2:$A$1201,INDEX(_LEITURA!$P$2:$P$21,19),DECKS!$B$2:$B$1201,$A513))</f>
        <v/>
      </c>
      <c r="AD513" s="19" t="str">
        <f aca="false">IF(OR($A513="",INDEX(_LEITURA!$Q$2:$Q$21,20)=0),"",SUMIFS(DECKS!$D$2:$D$1201,DECKS!$A$2:$A$1201,INDEX(_LEITURA!$P$2:$P$21,20),DECKS!$B$2:$B$1201,$A513))</f>
        <v/>
      </c>
      <c r="AE513" s="16" t="str">
        <f aca="false">IF(N(E513)&gt;0,MAX(AE$1:AE512)+1,"")</f>
        <v/>
      </c>
      <c r="AF513" s="11" t="str">
        <f aca="false">IF(A513="","",IFERROR(LEFT(A513,FIND("-",A513)-1),A513))</f>
        <v/>
      </c>
      <c r="AG513" s="11" t="str">
        <f aca="false">IF(AF513="","",IF(ISNUMBER(--MID(AF513,1,1)),0,IF(ISNUMBER(--MID(AF513,2,1)),1,IF(ISNUMBER(--MID(AF513,3,1)),2,IF(ISNUMBER(--MID(AF513,4,1)),3,MIN(LEN(AF513),4))))))</f>
        <v/>
      </c>
      <c r="AH513" s="11" t="str">
        <f aca="false">IF(A513="","",LEFT(AF513,AG513)&amp;REPT("0",4-AG513)&amp;RIGHT("000"&amp;IFERROR(VALUE(MID(AF513,AG513+1,9)),0),3)&amp;RIGHT("0000"&amp;IFERROR(VALUE(MID(A513,FIND("-",A513)+1,9)),0),4))</f>
        <v/>
      </c>
      <c r="AI513" s="11" t="str">
        <f aca="false">IF(OR(A513="",N(E513)&lt;=0),"",IF('FALTAS GERAL'!$M$1="Código","K"&amp;AH513&amp;RIGHT("00000"&amp;ROW(),5),IF('FALTAS GERAL'!$M$1="Nome","K"&amp;UPPER(SUBSTITUTE(SUBSTITUTE(SUBSTITUTE(B513,"*",""),"?",""),"~",""))&amp;"0"&amp;AH513&amp;RIGHT("00000"&amp;ROW(),5),IF('FALTAS GERAL'!$M$1="Falta (maior primeiro)","K"&amp;RIGHT("0000"&amp;(9999-E513),4)&amp;AH513&amp;RIGHT("00000"&amp;ROW(),5),IF('FALTAS GERAL'!$M$1="Nº de decks (maior primeiro)","K"&amp;RIGHT("00"&amp;(99-N(G513)),2)&amp;AH513&amp;RIGHT("00000"&amp;ROW(),5),"K"&amp;RIGHT("00000"&amp;ROW(),5))))))</f>
        <v/>
      </c>
      <c r="AJ513" s="11" t="str">
        <f aca="false">IF(AI513="","",COUNTIFS($AI$2:$AI$801,"&lt;"&amp;AI513,$E$2:$E$801,"&gt;0")+1)</f>
        <v/>
      </c>
      <c r="AK513" s="11" t="str">
        <f aca="false">IF(OR(A513="",N(E513)&lt;=0),"",COUNTIFS($AH$2:$AH$801,"&lt;"&amp;AH513,$E$2:$E$801,"&gt;0")+COUNTIFS($AH$2:AH513,AH513,$E$2:E513,"&gt;0"))</f>
        <v/>
      </c>
    </row>
    <row r="514" customFormat="false" ht="15" hidden="false" customHeight="false" outlineLevel="0" collapsed="false">
      <c r="A514" s="11" t="str">
        <f aca="false">IF(INVENTÁRIO!A514="","",INVENTÁRIO!A514)</f>
        <v/>
      </c>
      <c r="B514" s="11" t="str">
        <f aca="false">IF(A514="","",INVENTÁRIO!B514)</f>
        <v/>
      </c>
      <c r="C514" s="16" t="str">
        <f aca="false">IF(A514="","",INVENTÁRIO!C514)</f>
        <v/>
      </c>
      <c r="D514" s="14" t="str">
        <f aca="false">IF(A514="","",MAX(K514:AD514))</f>
        <v/>
      </c>
      <c r="E514" s="14" t="str">
        <f aca="false">IF(A514="","",MAX(0,D514-C514))</f>
        <v/>
      </c>
      <c r="F514" s="16" t="str">
        <f aca="false">IF(A514="","",IF(D514=0,"Fora dos decks",IF(E514=0,"Completo","Falta")))</f>
        <v/>
      </c>
      <c r="G514" s="16" t="str">
        <f aca="false">IF(A514="","",COUNTIF(K514:AD514,"&gt;0"))</f>
        <v/>
      </c>
      <c r="H514" s="16" t="str">
        <f aca="false">IF(A514="","",IF(G514&gt;1,"Sim",""))</f>
        <v/>
      </c>
      <c r="I514" s="18" t="str">
        <f aca="false">IF(A514="","",SUMIFS(DECKS!$D$2:$D$1201,DECKS!$B$2:$B$1201,A514))</f>
        <v/>
      </c>
      <c r="J514" s="18" t="str">
        <f aca="false">IF(A514="","",MAX(0,I514-C514))</f>
        <v/>
      </c>
      <c r="K514" s="19" t="str">
        <f aca="false">IF(OR($A514="",INDEX(_LEITURA!$Q$2:$Q$21,1)=0),"",SUMIFS(DECKS!$D$2:$D$1201,DECKS!$A$2:$A$1201,INDEX(_LEITURA!$P$2:$P$21,1),DECKS!$B$2:$B$1201,$A514))</f>
        <v/>
      </c>
      <c r="L514" s="19" t="str">
        <f aca="false">IF(OR($A514="",INDEX(_LEITURA!$Q$2:$Q$21,2)=0),"",SUMIFS(DECKS!$D$2:$D$1201,DECKS!$A$2:$A$1201,INDEX(_LEITURA!$P$2:$P$21,2),DECKS!$B$2:$B$1201,$A514))</f>
        <v/>
      </c>
      <c r="M514" s="19" t="str">
        <f aca="false">IF(OR($A514="",INDEX(_LEITURA!$Q$2:$Q$21,3)=0),"",SUMIFS(DECKS!$D$2:$D$1201,DECKS!$A$2:$A$1201,INDEX(_LEITURA!$P$2:$P$21,3),DECKS!$B$2:$B$1201,$A514))</f>
        <v/>
      </c>
      <c r="N514" s="19" t="str">
        <f aca="false">IF(OR($A514="",INDEX(_LEITURA!$Q$2:$Q$21,4)=0),"",SUMIFS(DECKS!$D$2:$D$1201,DECKS!$A$2:$A$1201,INDEX(_LEITURA!$P$2:$P$21,4),DECKS!$B$2:$B$1201,$A514))</f>
        <v/>
      </c>
      <c r="O514" s="19" t="str">
        <f aca="false">IF(OR($A514="",INDEX(_LEITURA!$Q$2:$Q$21,5)=0),"",SUMIFS(DECKS!$D$2:$D$1201,DECKS!$A$2:$A$1201,INDEX(_LEITURA!$P$2:$P$21,5),DECKS!$B$2:$B$1201,$A514))</f>
        <v/>
      </c>
      <c r="P514" s="19" t="str">
        <f aca="false">IF(OR($A514="",INDEX(_LEITURA!$Q$2:$Q$21,6)=0),"",SUMIFS(DECKS!$D$2:$D$1201,DECKS!$A$2:$A$1201,INDEX(_LEITURA!$P$2:$P$21,6),DECKS!$B$2:$B$1201,$A514))</f>
        <v/>
      </c>
      <c r="Q514" s="19" t="str">
        <f aca="false">IF(OR($A514="",INDEX(_LEITURA!$Q$2:$Q$21,7)=0),"",SUMIFS(DECKS!$D$2:$D$1201,DECKS!$A$2:$A$1201,INDEX(_LEITURA!$P$2:$P$21,7),DECKS!$B$2:$B$1201,$A514))</f>
        <v/>
      </c>
      <c r="R514" s="19" t="str">
        <f aca="false">IF(OR($A514="",INDEX(_LEITURA!$Q$2:$Q$21,8)=0),"",SUMIFS(DECKS!$D$2:$D$1201,DECKS!$A$2:$A$1201,INDEX(_LEITURA!$P$2:$P$21,8),DECKS!$B$2:$B$1201,$A514))</f>
        <v/>
      </c>
      <c r="S514" s="19" t="str">
        <f aca="false">IF(OR($A514="",INDEX(_LEITURA!$Q$2:$Q$21,9)=0),"",SUMIFS(DECKS!$D$2:$D$1201,DECKS!$A$2:$A$1201,INDEX(_LEITURA!$P$2:$P$21,9),DECKS!$B$2:$B$1201,$A514))</f>
        <v/>
      </c>
      <c r="T514" s="19" t="str">
        <f aca="false">IF(OR($A514="",INDEX(_LEITURA!$Q$2:$Q$21,10)=0),"",SUMIFS(DECKS!$D$2:$D$1201,DECKS!$A$2:$A$1201,INDEX(_LEITURA!$P$2:$P$21,10),DECKS!$B$2:$B$1201,$A514))</f>
        <v/>
      </c>
      <c r="U514" s="19" t="str">
        <f aca="false">IF(OR($A514="",INDEX(_LEITURA!$Q$2:$Q$21,11)=0),"",SUMIFS(DECKS!$D$2:$D$1201,DECKS!$A$2:$A$1201,INDEX(_LEITURA!$P$2:$P$21,11),DECKS!$B$2:$B$1201,$A514))</f>
        <v/>
      </c>
      <c r="V514" s="19" t="str">
        <f aca="false">IF(OR($A514="",INDEX(_LEITURA!$Q$2:$Q$21,12)=0),"",SUMIFS(DECKS!$D$2:$D$1201,DECKS!$A$2:$A$1201,INDEX(_LEITURA!$P$2:$P$21,12),DECKS!$B$2:$B$1201,$A514))</f>
        <v/>
      </c>
      <c r="W514" s="19" t="str">
        <f aca="false">IF(OR($A514="",INDEX(_LEITURA!$Q$2:$Q$21,13)=0),"",SUMIFS(DECKS!$D$2:$D$1201,DECKS!$A$2:$A$1201,INDEX(_LEITURA!$P$2:$P$21,13),DECKS!$B$2:$B$1201,$A514))</f>
        <v/>
      </c>
      <c r="X514" s="19" t="str">
        <f aca="false">IF(OR($A514="",INDEX(_LEITURA!$Q$2:$Q$21,14)=0),"",SUMIFS(DECKS!$D$2:$D$1201,DECKS!$A$2:$A$1201,INDEX(_LEITURA!$P$2:$P$21,14),DECKS!$B$2:$B$1201,$A514))</f>
        <v/>
      </c>
      <c r="Y514" s="19" t="str">
        <f aca="false">IF(OR($A514="",INDEX(_LEITURA!$Q$2:$Q$21,15)=0),"",SUMIFS(DECKS!$D$2:$D$1201,DECKS!$A$2:$A$1201,INDEX(_LEITURA!$P$2:$P$21,15),DECKS!$B$2:$B$1201,$A514))</f>
        <v/>
      </c>
      <c r="Z514" s="19" t="str">
        <f aca="false">IF(OR($A514="",INDEX(_LEITURA!$Q$2:$Q$21,16)=0),"",SUMIFS(DECKS!$D$2:$D$1201,DECKS!$A$2:$A$1201,INDEX(_LEITURA!$P$2:$P$21,16),DECKS!$B$2:$B$1201,$A514))</f>
        <v/>
      </c>
      <c r="AA514" s="19" t="str">
        <f aca="false">IF(OR($A514="",INDEX(_LEITURA!$Q$2:$Q$21,17)=0),"",SUMIFS(DECKS!$D$2:$D$1201,DECKS!$A$2:$A$1201,INDEX(_LEITURA!$P$2:$P$21,17),DECKS!$B$2:$B$1201,$A514))</f>
        <v/>
      </c>
      <c r="AB514" s="19" t="str">
        <f aca="false">IF(OR($A514="",INDEX(_LEITURA!$Q$2:$Q$21,18)=0),"",SUMIFS(DECKS!$D$2:$D$1201,DECKS!$A$2:$A$1201,INDEX(_LEITURA!$P$2:$P$21,18),DECKS!$B$2:$B$1201,$A514))</f>
        <v/>
      </c>
      <c r="AC514" s="19" t="str">
        <f aca="false">IF(OR($A514="",INDEX(_LEITURA!$Q$2:$Q$21,19)=0),"",SUMIFS(DECKS!$D$2:$D$1201,DECKS!$A$2:$A$1201,INDEX(_LEITURA!$P$2:$P$21,19),DECKS!$B$2:$B$1201,$A514))</f>
        <v/>
      </c>
      <c r="AD514" s="19" t="str">
        <f aca="false">IF(OR($A514="",INDEX(_LEITURA!$Q$2:$Q$21,20)=0),"",SUMIFS(DECKS!$D$2:$D$1201,DECKS!$A$2:$A$1201,INDEX(_LEITURA!$P$2:$P$21,20),DECKS!$B$2:$B$1201,$A514))</f>
        <v/>
      </c>
      <c r="AE514" s="16" t="str">
        <f aca="false">IF(N(E514)&gt;0,MAX(AE$1:AE513)+1,"")</f>
        <v/>
      </c>
      <c r="AF514" s="11" t="str">
        <f aca="false">IF(A514="","",IFERROR(LEFT(A514,FIND("-",A514)-1),A514))</f>
        <v/>
      </c>
      <c r="AG514" s="11" t="str">
        <f aca="false">IF(AF514="","",IF(ISNUMBER(--MID(AF514,1,1)),0,IF(ISNUMBER(--MID(AF514,2,1)),1,IF(ISNUMBER(--MID(AF514,3,1)),2,IF(ISNUMBER(--MID(AF514,4,1)),3,MIN(LEN(AF514),4))))))</f>
        <v/>
      </c>
      <c r="AH514" s="11" t="str">
        <f aca="false">IF(A514="","",LEFT(AF514,AG514)&amp;REPT("0",4-AG514)&amp;RIGHT("000"&amp;IFERROR(VALUE(MID(AF514,AG514+1,9)),0),3)&amp;RIGHT("0000"&amp;IFERROR(VALUE(MID(A514,FIND("-",A514)+1,9)),0),4))</f>
        <v/>
      </c>
      <c r="AI514" s="11" t="str">
        <f aca="false">IF(OR(A514="",N(E514)&lt;=0),"",IF('FALTAS GERAL'!$M$1="Código","K"&amp;AH514&amp;RIGHT("00000"&amp;ROW(),5),IF('FALTAS GERAL'!$M$1="Nome","K"&amp;UPPER(SUBSTITUTE(SUBSTITUTE(SUBSTITUTE(B514,"*",""),"?",""),"~",""))&amp;"0"&amp;AH514&amp;RIGHT("00000"&amp;ROW(),5),IF('FALTAS GERAL'!$M$1="Falta (maior primeiro)","K"&amp;RIGHT("0000"&amp;(9999-E514),4)&amp;AH514&amp;RIGHT("00000"&amp;ROW(),5),IF('FALTAS GERAL'!$M$1="Nº de decks (maior primeiro)","K"&amp;RIGHT("00"&amp;(99-N(G514)),2)&amp;AH514&amp;RIGHT("00000"&amp;ROW(),5),"K"&amp;RIGHT("00000"&amp;ROW(),5))))))</f>
        <v/>
      </c>
      <c r="AJ514" s="11" t="str">
        <f aca="false">IF(AI514="","",COUNTIFS($AI$2:$AI$801,"&lt;"&amp;AI514,$E$2:$E$801,"&gt;0")+1)</f>
        <v/>
      </c>
      <c r="AK514" s="11" t="str">
        <f aca="false">IF(OR(A514="",N(E514)&lt;=0),"",COUNTIFS($AH$2:$AH$801,"&lt;"&amp;AH514,$E$2:$E$801,"&gt;0")+COUNTIFS($AH$2:AH514,AH514,$E$2:E514,"&gt;0"))</f>
        <v/>
      </c>
    </row>
    <row r="515" customFormat="false" ht="15" hidden="false" customHeight="false" outlineLevel="0" collapsed="false">
      <c r="A515" s="11" t="str">
        <f aca="false">IF(INVENTÁRIO!A515="","",INVENTÁRIO!A515)</f>
        <v/>
      </c>
      <c r="B515" s="11" t="str">
        <f aca="false">IF(A515="","",INVENTÁRIO!B515)</f>
        <v/>
      </c>
      <c r="C515" s="16" t="str">
        <f aca="false">IF(A515="","",INVENTÁRIO!C515)</f>
        <v/>
      </c>
      <c r="D515" s="14" t="str">
        <f aca="false">IF(A515="","",MAX(K515:AD515))</f>
        <v/>
      </c>
      <c r="E515" s="14" t="str">
        <f aca="false">IF(A515="","",MAX(0,D515-C515))</f>
        <v/>
      </c>
      <c r="F515" s="16" t="str">
        <f aca="false">IF(A515="","",IF(D515=0,"Fora dos decks",IF(E515=0,"Completo","Falta")))</f>
        <v/>
      </c>
      <c r="G515" s="16" t="str">
        <f aca="false">IF(A515="","",COUNTIF(K515:AD515,"&gt;0"))</f>
        <v/>
      </c>
      <c r="H515" s="16" t="str">
        <f aca="false">IF(A515="","",IF(G515&gt;1,"Sim",""))</f>
        <v/>
      </c>
      <c r="I515" s="18" t="str">
        <f aca="false">IF(A515="","",SUMIFS(DECKS!$D$2:$D$1201,DECKS!$B$2:$B$1201,A515))</f>
        <v/>
      </c>
      <c r="J515" s="18" t="str">
        <f aca="false">IF(A515="","",MAX(0,I515-C515))</f>
        <v/>
      </c>
      <c r="K515" s="19" t="str">
        <f aca="false">IF(OR($A515="",INDEX(_LEITURA!$Q$2:$Q$21,1)=0),"",SUMIFS(DECKS!$D$2:$D$1201,DECKS!$A$2:$A$1201,INDEX(_LEITURA!$P$2:$P$21,1),DECKS!$B$2:$B$1201,$A515))</f>
        <v/>
      </c>
      <c r="L515" s="19" t="str">
        <f aca="false">IF(OR($A515="",INDEX(_LEITURA!$Q$2:$Q$21,2)=0),"",SUMIFS(DECKS!$D$2:$D$1201,DECKS!$A$2:$A$1201,INDEX(_LEITURA!$P$2:$P$21,2),DECKS!$B$2:$B$1201,$A515))</f>
        <v/>
      </c>
      <c r="M515" s="19" t="str">
        <f aca="false">IF(OR($A515="",INDEX(_LEITURA!$Q$2:$Q$21,3)=0),"",SUMIFS(DECKS!$D$2:$D$1201,DECKS!$A$2:$A$1201,INDEX(_LEITURA!$P$2:$P$21,3),DECKS!$B$2:$B$1201,$A515))</f>
        <v/>
      </c>
      <c r="N515" s="19" t="str">
        <f aca="false">IF(OR($A515="",INDEX(_LEITURA!$Q$2:$Q$21,4)=0),"",SUMIFS(DECKS!$D$2:$D$1201,DECKS!$A$2:$A$1201,INDEX(_LEITURA!$P$2:$P$21,4),DECKS!$B$2:$B$1201,$A515))</f>
        <v/>
      </c>
      <c r="O515" s="19" t="str">
        <f aca="false">IF(OR($A515="",INDEX(_LEITURA!$Q$2:$Q$21,5)=0),"",SUMIFS(DECKS!$D$2:$D$1201,DECKS!$A$2:$A$1201,INDEX(_LEITURA!$P$2:$P$21,5),DECKS!$B$2:$B$1201,$A515))</f>
        <v/>
      </c>
      <c r="P515" s="19" t="str">
        <f aca="false">IF(OR($A515="",INDEX(_LEITURA!$Q$2:$Q$21,6)=0),"",SUMIFS(DECKS!$D$2:$D$1201,DECKS!$A$2:$A$1201,INDEX(_LEITURA!$P$2:$P$21,6),DECKS!$B$2:$B$1201,$A515))</f>
        <v/>
      </c>
      <c r="Q515" s="19" t="str">
        <f aca="false">IF(OR($A515="",INDEX(_LEITURA!$Q$2:$Q$21,7)=0),"",SUMIFS(DECKS!$D$2:$D$1201,DECKS!$A$2:$A$1201,INDEX(_LEITURA!$P$2:$P$21,7),DECKS!$B$2:$B$1201,$A515))</f>
        <v/>
      </c>
      <c r="R515" s="19" t="str">
        <f aca="false">IF(OR($A515="",INDEX(_LEITURA!$Q$2:$Q$21,8)=0),"",SUMIFS(DECKS!$D$2:$D$1201,DECKS!$A$2:$A$1201,INDEX(_LEITURA!$P$2:$P$21,8),DECKS!$B$2:$B$1201,$A515))</f>
        <v/>
      </c>
      <c r="S515" s="19" t="str">
        <f aca="false">IF(OR($A515="",INDEX(_LEITURA!$Q$2:$Q$21,9)=0),"",SUMIFS(DECKS!$D$2:$D$1201,DECKS!$A$2:$A$1201,INDEX(_LEITURA!$P$2:$P$21,9),DECKS!$B$2:$B$1201,$A515))</f>
        <v/>
      </c>
      <c r="T515" s="19" t="str">
        <f aca="false">IF(OR($A515="",INDEX(_LEITURA!$Q$2:$Q$21,10)=0),"",SUMIFS(DECKS!$D$2:$D$1201,DECKS!$A$2:$A$1201,INDEX(_LEITURA!$P$2:$P$21,10),DECKS!$B$2:$B$1201,$A515))</f>
        <v/>
      </c>
      <c r="U515" s="19" t="str">
        <f aca="false">IF(OR($A515="",INDEX(_LEITURA!$Q$2:$Q$21,11)=0),"",SUMIFS(DECKS!$D$2:$D$1201,DECKS!$A$2:$A$1201,INDEX(_LEITURA!$P$2:$P$21,11),DECKS!$B$2:$B$1201,$A515))</f>
        <v/>
      </c>
      <c r="V515" s="19" t="str">
        <f aca="false">IF(OR($A515="",INDEX(_LEITURA!$Q$2:$Q$21,12)=0),"",SUMIFS(DECKS!$D$2:$D$1201,DECKS!$A$2:$A$1201,INDEX(_LEITURA!$P$2:$P$21,12),DECKS!$B$2:$B$1201,$A515))</f>
        <v/>
      </c>
      <c r="W515" s="19" t="str">
        <f aca="false">IF(OR($A515="",INDEX(_LEITURA!$Q$2:$Q$21,13)=0),"",SUMIFS(DECKS!$D$2:$D$1201,DECKS!$A$2:$A$1201,INDEX(_LEITURA!$P$2:$P$21,13),DECKS!$B$2:$B$1201,$A515))</f>
        <v/>
      </c>
      <c r="X515" s="19" t="str">
        <f aca="false">IF(OR($A515="",INDEX(_LEITURA!$Q$2:$Q$21,14)=0),"",SUMIFS(DECKS!$D$2:$D$1201,DECKS!$A$2:$A$1201,INDEX(_LEITURA!$P$2:$P$21,14),DECKS!$B$2:$B$1201,$A515))</f>
        <v/>
      </c>
      <c r="Y515" s="19" t="str">
        <f aca="false">IF(OR($A515="",INDEX(_LEITURA!$Q$2:$Q$21,15)=0),"",SUMIFS(DECKS!$D$2:$D$1201,DECKS!$A$2:$A$1201,INDEX(_LEITURA!$P$2:$P$21,15),DECKS!$B$2:$B$1201,$A515))</f>
        <v/>
      </c>
      <c r="Z515" s="19" t="str">
        <f aca="false">IF(OR($A515="",INDEX(_LEITURA!$Q$2:$Q$21,16)=0),"",SUMIFS(DECKS!$D$2:$D$1201,DECKS!$A$2:$A$1201,INDEX(_LEITURA!$P$2:$P$21,16),DECKS!$B$2:$B$1201,$A515))</f>
        <v/>
      </c>
      <c r="AA515" s="19" t="str">
        <f aca="false">IF(OR($A515="",INDEX(_LEITURA!$Q$2:$Q$21,17)=0),"",SUMIFS(DECKS!$D$2:$D$1201,DECKS!$A$2:$A$1201,INDEX(_LEITURA!$P$2:$P$21,17),DECKS!$B$2:$B$1201,$A515))</f>
        <v/>
      </c>
      <c r="AB515" s="19" t="str">
        <f aca="false">IF(OR($A515="",INDEX(_LEITURA!$Q$2:$Q$21,18)=0),"",SUMIFS(DECKS!$D$2:$D$1201,DECKS!$A$2:$A$1201,INDEX(_LEITURA!$P$2:$P$21,18),DECKS!$B$2:$B$1201,$A515))</f>
        <v/>
      </c>
      <c r="AC515" s="19" t="str">
        <f aca="false">IF(OR($A515="",INDEX(_LEITURA!$Q$2:$Q$21,19)=0),"",SUMIFS(DECKS!$D$2:$D$1201,DECKS!$A$2:$A$1201,INDEX(_LEITURA!$P$2:$P$21,19),DECKS!$B$2:$B$1201,$A515))</f>
        <v/>
      </c>
      <c r="AD515" s="19" t="str">
        <f aca="false">IF(OR($A515="",INDEX(_LEITURA!$Q$2:$Q$21,20)=0),"",SUMIFS(DECKS!$D$2:$D$1201,DECKS!$A$2:$A$1201,INDEX(_LEITURA!$P$2:$P$21,20),DECKS!$B$2:$B$1201,$A515))</f>
        <v/>
      </c>
      <c r="AE515" s="16" t="str">
        <f aca="false">IF(N(E515)&gt;0,MAX(AE$1:AE514)+1,"")</f>
        <v/>
      </c>
      <c r="AF515" s="11" t="str">
        <f aca="false">IF(A515="","",IFERROR(LEFT(A515,FIND("-",A515)-1),A515))</f>
        <v/>
      </c>
      <c r="AG515" s="11" t="str">
        <f aca="false">IF(AF515="","",IF(ISNUMBER(--MID(AF515,1,1)),0,IF(ISNUMBER(--MID(AF515,2,1)),1,IF(ISNUMBER(--MID(AF515,3,1)),2,IF(ISNUMBER(--MID(AF515,4,1)),3,MIN(LEN(AF515),4))))))</f>
        <v/>
      </c>
      <c r="AH515" s="11" t="str">
        <f aca="false">IF(A515="","",LEFT(AF515,AG515)&amp;REPT("0",4-AG515)&amp;RIGHT("000"&amp;IFERROR(VALUE(MID(AF515,AG515+1,9)),0),3)&amp;RIGHT("0000"&amp;IFERROR(VALUE(MID(A515,FIND("-",A515)+1,9)),0),4))</f>
        <v/>
      </c>
      <c r="AI515" s="11" t="str">
        <f aca="false">IF(OR(A515="",N(E515)&lt;=0),"",IF('FALTAS GERAL'!$M$1="Código","K"&amp;AH515&amp;RIGHT("00000"&amp;ROW(),5),IF('FALTAS GERAL'!$M$1="Nome","K"&amp;UPPER(SUBSTITUTE(SUBSTITUTE(SUBSTITUTE(B515,"*",""),"?",""),"~",""))&amp;"0"&amp;AH515&amp;RIGHT("00000"&amp;ROW(),5),IF('FALTAS GERAL'!$M$1="Falta (maior primeiro)","K"&amp;RIGHT("0000"&amp;(9999-E515),4)&amp;AH515&amp;RIGHT("00000"&amp;ROW(),5),IF('FALTAS GERAL'!$M$1="Nº de decks (maior primeiro)","K"&amp;RIGHT("00"&amp;(99-N(G515)),2)&amp;AH515&amp;RIGHT("00000"&amp;ROW(),5),"K"&amp;RIGHT("00000"&amp;ROW(),5))))))</f>
        <v/>
      </c>
      <c r="AJ515" s="11" t="str">
        <f aca="false">IF(AI515="","",COUNTIFS($AI$2:$AI$801,"&lt;"&amp;AI515,$E$2:$E$801,"&gt;0")+1)</f>
        <v/>
      </c>
      <c r="AK515" s="11" t="str">
        <f aca="false">IF(OR(A515="",N(E515)&lt;=0),"",COUNTIFS($AH$2:$AH$801,"&lt;"&amp;AH515,$E$2:$E$801,"&gt;0")+COUNTIFS($AH$2:AH515,AH515,$E$2:E515,"&gt;0"))</f>
        <v/>
      </c>
    </row>
    <row r="516" customFormat="false" ht="15" hidden="false" customHeight="false" outlineLevel="0" collapsed="false">
      <c r="A516" s="11" t="str">
        <f aca="false">IF(INVENTÁRIO!A516="","",INVENTÁRIO!A516)</f>
        <v/>
      </c>
      <c r="B516" s="11" t="str">
        <f aca="false">IF(A516="","",INVENTÁRIO!B516)</f>
        <v/>
      </c>
      <c r="C516" s="16" t="str">
        <f aca="false">IF(A516="","",INVENTÁRIO!C516)</f>
        <v/>
      </c>
      <c r="D516" s="14" t="str">
        <f aca="false">IF(A516="","",MAX(K516:AD516))</f>
        <v/>
      </c>
      <c r="E516" s="14" t="str">
        <f aca="false">IF(A516="","",MAX(0,D516-C516))</f>
        <v/>
      </c>
      <c r="F516" s="16" t="str">
        <f aca="false">IF(A516="","",IF(D516=0,"Fora dos decks",IF(E516=0,"Completo","Falta")))</f>
        <v/>
      </c>
      <c r="G516" s="16" t="str">
        <f aca="false">IF(A516="","",COUNTIF(K516:AD516,"&gt;0"))</f>
        <v/>
      </c>
      <c r="H516" s="16" t="str">
        <f aca="false">IF(A516="","",IF(G516&gt;1,"Sim",""))</f>
        <v/>
      </c>
      <c r="I516" s="18" t="str">
        <f aca="false">IF(A516="","",SUMIFS(DECKS!$D$2:$D$1201,DECKS!$B$2:$B$1201,A516))</f>
        <v/>
      </c>
      <c r="J516" s="18" t="str">
        <f aca="false">IF(A516="","",MAX(0,I516-C516))</f>
        <v/>
      </c>
      <c r="K516" s="19" t="str">
        <f aca="false">IF(OR($A516="",INDEX(_LEITURA!$Q$2:$Q$21,1)=0),"",SUMIFS(DECKS!$D$2:$D$1201,DECKS!$A$2:$A$1201,INDEX(_LEITURA!$P$2:$P$21,1),DECKS!$B$2:$B$1201,$A516))</f>
        <v/>
      </c>
      <c r="L516" s="19" t="str">
        <f aca="false">IF(OR($A516="",INDEX(_LEITURA!$Q$2:$Q$21,2)=0),"",SUMIFS(DECKS!$D$2:$D$1201,DECKS!$A$2:$A$1201,INDEX(_LEITURA!$P$2:$P$21,2),DECKS!$B$2:$B$1201,$A516))</f>
        <v/>
      </c>
      <c r="M516" s="19" t="str">
        <f aca="false">IF(OR($A516="",INDEX(_LEITURA!$Q$2:$Q$21,3)=0),"",SUMIFS(DECKS!$D$2:$D$1201,DECKS!$A$2:$A$1201,INDEX(_LEITURA!$P$2:$P$21,3),DECKS!$B$2:$B$1201,$A516))</f>
        <v/>
      </c>
      <c r="N516" s="19" t="str">
        <f aca="false">IF(OR($A516="",INDEX(_LEITURA!$Q$2:$Q$21,4)=0),"",SUMIFS(DECKS!$D$2:$D$1201,DECKS!$A$2:$A$1201,INDEX(_LEITURA!$P$2:$P$21,4),DECKS!$B$2:$B$1201,$A516))</f>
        <v/>
      </c>
      <c r="O516" s="19" t="str">
        <f aca="false">IF(OR($A516="",INDEX(_LEITURA!$Q$2:$Q$21,5)=0),"",SUMIFS(DECKS!$D$2:$D$1201,DECKS!$A$2:$A$1201,INDEX(_LEITURA!$P$2:$P$21,5),DECKS!$B$2:$B$1201,$A516))</f>
        <v/>
      </c>
      <c r="P516" s="19" t="str">
        <f aca="false">IF(OR($A516="",INDEX(_LEITURA!$Q$2:$Q$21,6)=0),"",SUMIFS(DECKS!$D$2:$D$1201,DECKS!$A$2:$A$1201,INDEX(_LEITURA!$P$2:$P$21,6),DECKS!$B$2:$B$1201,$A516))</f>
        <v/>
      </c>
      <c r="Q516" s="19" t="str">
        <f aca="false">IF(OR($A516="",INDEX(_LEITURA!$Q$2:$Q$21,7)=0),"",SUMIFS(DECKS!$D$2:$D$1201,DECKS!$A$2:$A$1201,INDEX(_LEITURA!$P$2:$P$21,7),DECKS!$B$2:$B$1201,$A516))</f>
        <v/>
      </c>
      <c r="R516" s="19" t="str">
        <f aca="false">IF(OR($A516="",INDEX(_LEITURA!$Q$2:$Q$21,8)=0),"",SUMIFS(DECKS!$D$2:$D$1201,DECKS!$A$2:$A$1201,INDEX(_LEITURA!$P$2:$P$21,8),DECKS!$B$2:$B$1201,$A516))</f>
        <v/>
      </c>
      <c r="S516" s="19" t="str">
        <f aca="false">IF(OR($A516="",INDEX(_LEITURA!$Q$2:$Q$21,9)=0),"",SUMIFS(DECKS!$D$2:$D$1201,DECKS!$A$2:$A$1201,INDEX(_LEITURA!$P$2:$P$21,9),DECKS!$B$2:$B$1201,$A516))</f>
        <v/>
      </c>
      <c r="T516" s="19" t="str">
        <f aca="false">IF(OR($A516="",INDEX(_LEITURA!$Q$2:$Q$21,10)=0),"",SUMIFS(DECKS!$D$2:$D$1201,DECKS!$A$2:$A$1201,INDEX(_LEITURA!$P$2:$P$21,10),DECKS!$B$2:$B$1201,$A516))</f>
        <v/>
      </c>
      <c r="U516" s="19" t="str">
        <f aca="false">IF(OR($A516="",INDEX(_LEITURA!$Q$2:$Q$21,11)=0),"",SUMIFS(DECKS!$D$2:$D$1201,DECKS!$A$2:$A$1201,INDEX(_LEITURA!$P$2:$P$21,11),DECKS!$B$2:$B$1201,$A516))</f>
        <v/>
      </c>
      <c r="V516" s="19" t="str">
        <f aca="false">IF(OR($A516="",INDEX(_LEITURA!$Q$2:$Q$21,12)=0),"",SUMIFS(DECKS!$D$2:$D$1201,DECKS!$A$2:$A$1201,INDEX(_LEITURA!$P$2:$P$21,12),DECKS!$B$2:$B$1201,$A516))</f>
        <v/>
      </c>
      <c r="W516" s="19" t="str">
        <f aca="false">IF(OR($A516="",INDEX(_LEITURA!$Q$2:$Q$21,13)=0),"",SUMIFS(DECKS!$D$2:$D$1201,DECKS!$A$2:$A$1201,INDEX(_LEITURA!$P$2:$P$21,13),DECKS!$B$2:$B$1201,$A516))</f>
        <v/>
      </c>
      <c r="X516" s="19" t="str">
        <f aca="false">IF(OR($A516="",INDEX(_LEITURA!$Q$2:$Q$21,14)=0),"",SUMIFS(DECKS!$D$2:$D$1201,DECKS!$A$2:$A$1201,INDEX(_LEITURA!$P$2:$P$21,14),DECKS!$B$2:$B$1201,$A516))</f>
        <v/>
      </c>
      <c r="Y516" s="19" t="str">
        <f aca="false">IF(OR($A516="",INDEX(_LEITURA!$Q$2:$Q$21,15)=0),"",SUMIFS(DECKS!$D$2:$D$1201,DECKS!$A$2:$A$1201,INDEX(_LEITURA!$P$2:$P$21,15),DECKS!$B$2:$B$1201,$A516))</f>
        <v/>
      </c>
      <c r="Z516" s="19" t="str">
        <f aca="false">IF(OR($A516="",INDEX(_LEITURA!$Q$2:$Q$21,16)=0),"",SUMIFS(DECKS!$D$2:$D$1201,DECKS!$A$2:$A$1201,INDEX(_LEITURA!$P$2:$P$21,16),DECKS!$B$2:$B$1201,$A516))</f>
        <v/>
      </c>
      <c r="AA516" s="19" t="str">
        <f aca="false">IF(OR($A516="",INDEX(_LEITURA!$Q$2:$Q$21,17)=0),"",SUMIFS(DECKS!$D$2:$D$1201,DECKS!$A$2:$A$1201,INDEX(_LEITURA!$P$2:$P$21,17),DECKS!$B$2:$B$1201,$A516))</f>
        <v/>
      </c>
      <c r="AB516" s="19" t="str">
        <f aca="false">IF(OR($A516="",INDEX(_LEITURA!$Q$2:$Q$21,18)=0),"",SUMIFS(DECKS!$D$2:$D$1201,DECKS!$A$2:$A$1201,INDEX(_LEITURA!$P$2:$P$21,18),DECKS!$B$2:$B$1201,$A516))</f>
        <v/>
      </c>
      <c r="AC516" s="19" t="str">
        <f aca="false">IF(OR($A516="",INDEX(_LEITURA!$Q$2:$Q$21,19)=0),"",SUMIFS(DECKS!$D$2:$D$1201,DECKS!$A$2:$A$1201,INDEX(_LEITURA!$P$2:$P$21,19),DECKS!$B$2:$B$1201,$A516))</f>
        <v/>
      </c>
      <c r="AD516" s="19" t="str">
        <f aca="false">IF(OR($A516="",INDEX(_LEITURA!$Q$2:$Q$21,20)=0),"",SUMIFS(DECKS!$D$2:$D$1201,DECKS!$A$2:$A$1201,INDEX(_LEITURA!$P$2:$P$21,20),DECKS!$B$2:$B$1201,$A516))</f>
        <v/>
      </c>
      <c r="AE516" s="16" t="str">
        <f aca="false">IF(N(E516)&gt;0,MAX(AE$1:AE515)+1,"")</f>
        <v/>
      </c>
      <c r="AF516" s="11" t="str">
        <f aca="false">IF(A516="","",IFERROR(LEFT(A516,FIND("-",A516)-1),A516))</f>
        <v/>
      </c>
      <c r="AG516" s="11" t="str">
        <f aca="false">IF(AF516="","",IF(ISNUMBER(--MID(AF516,1,1)),0,IF(ISNUMBER(--MID(AF516,2,1)),1,IF(ISNUMBER(--MID(AF516,3,1)),2,IF(ISNUMBER(--MID(AF516,4,1)),3,MIN(LEN(AF516),4))))))</f>
        <v/>
      </c>
      <c r="AH516" s="11" t="str">
        <f aca="false">IF(A516="","",LEFT(AF516,AG516)&amp;REPT("0",4-AG516)&amp;RIGHT("000"&amp;IFERROR(VALUE(MID(AF516,AG516+1,9)),0),3)&amp;RIGHT("0000"&amp;IFERROR(VALUE(MID(A516,FIND("-",A516)+1,9)),0),4))</f>
        <v/>
      </c>
      <c r="AI516" s="11" t="str">
        <f aca="false">IF(OR(A516="",N(E516)&lt;=0),"",IF('FALTAS GERAL'!$M$1="Código","K"&amp;AH516&amp;RIGHT("00000"&amp;ROW(),5),IF('FALTAS GERAL'!$M$1="Nome","K"&amp;UPPER(SUBSTITUTE(SUBSTITUTE(SUBSTITUTE(B516,"*",""),"?",""),"~",""))&amp;"0"&amp;AH516&amp;RIGHT("00000"&amp;ROW(),5),IF('FALTAS GERAL'!$M$1="Falta (maior primeiro)","K"&amp;RIGHT("0000"&amp;(9999-E516),4)&amp;AH516&amp;RIGHT("00000"&amp;ROW(),5),IF('FALTAS GERAL'!$M$1="Nº de decks (maior primeiro)","K"&amp;RIGHT("00"&amp;(99-N(G516)),2)&amp;AH516&amp;RIGHT("00000"&amp;ROW(),5),"K"&amp;RIGHT("00000"&amp;ROW(),5))))))</f>
        <v/>
      </c>
      <c r="AJ516" s="11" t="str">
        <f aca="false">IF(AI516="","",COUNTIFS($AI$2:$AI$801,"&lt;"&amp;AI516,$E$2:$E$801,"&gt;0")+1)</f>
        <v/>
      </c>
      <c r="AK516" s="11" t="str">
        <f aca="false">IF(OR(A516="",N(E516)&lt;=0),"",COUNTIFS($AH$2:$AH$801,"&lt;"&amp;AH516,$E$2:$E$801,"&gt;0")+COUNTIFS($AH$2:AH516,AH516,$E$2:E516,"&gt;0"))</f>
        <v/>
      </c>
    </row>
    <row r="517" customFormat="false" ht="15" hidden="false" customHeight="false" outlineLevel="0" collapsed="false">
      <c r="A517" s="11" t="str">
        <f aca="false">IF(INVENTÁRIO!A517="","",INVENTÁRIO!A517)</f>
        <v/>
      </c>
      <c r="B517" s="11" t="str">
        <f aca="false">IF(A517="","",INVENTÁRIO!B517)</f>
        <v/>
      </c>
      <c r="C517" s="16" t="str">
        <f aca="false">IF(A517="","",INVENTÁRIO!C517)</f>
        <v/>
      </c>
      <c r="D517" s="14" t="str">
        <f aca="false">IF(A517="","",MAX(K517:AD517))</f>
        <v/>
      </c>
      <c r="E517" s="14" t="str">
        <f aca="false">IF(A517="","",MAX(0,D517-C517))</f>
        <v/>
      </c>
      <c r="F517" s="16" t="str">
        <f aca="false">IF(A517="","",IF(D517=0,"Fora dos decks",IF(E517=0,"Completo","Falta")))</f>
        <v/>
      </c>
      <c r="G517" s="16" t="str">
        <f aca="false">IF(A517="","",COUNTIF(K517:AD517,"&gt;0"))</f>
        <v/>
      </c>
      <c r="H517" s="16" t="str">
        <f aca="false">IF(A517="","",IF(G517&gt;1,"Sim",""))</f>
        <v/>
      </c>
      <c r="I517" s="18" t="str">
        <f aca="false">IF(A517="","",SUMIFS(DECKS!$D$2:$D$1201,DECKS!$B$2:$B$1201,A517))</f>
        <v/>
      </c>
      <c r="J517" s="18" t="str">
        <f aca="false">IF(A517="","",MAX(0,I517-C517))</f>
        <v/>
      </c>
      <c r="K517" s="19" t="str">
        <f aca="false">IF(OR($A517="",INDEX(_LEITURA!$Q$2:$Q$21,1)=0),"",SUMIFS(DECKS!$D$2:$D$1201,DECKS!$A$2:$A$1201,INDEX(_LEITURA!$P$2:$P$21,1),DECKS!$B$2:$B$1201,$A517))</f>
        <v/>
      </c>
      <c r="L517" s="19" t="str">
        <f aca="false">IF(OR($A517="",INDEX(_LEITURA!$Q$2:$Q$21,2)=0),"",SUMIFS(DECKS!$D$2:$D$1201,DECKS!$A$2:$A$1201,INDEX(_LEITURA!$P$2:$P$21,2),DECKS!$B$2:$B$1201,$A517))</f>
        <v/>
      </c>
      <c r="M517" s="19" t="str">
        <f aca="false">IF(OR($A517="",INDEX(_LEITURA!$Q$2:$Q$21,3)=0),"",SUMIFS(DECKS!$D$2:$D$1201,DECKS!$A$2:$A$1201,INDEX(_LEITURA!$P$2:$P$21,3),DECKS!$B$2:$B$1201,$A517))</f>
        <v/>
      </c>
      <c r="N517" s="19" t="str">
        <f aca="false">IF(OR($A517="",INDEX(_LEITURA!$Q$2:$Q$21,4)=0),"",SUMIFS(DECKS!$D$2:$D$1201,DECKS!$A$2:$A$1201,INDEX(_LEITURA!$P$2:$P$21,4),DECKS!$B$2:$B$1201,$A517))</f>
        <v/>
      </c>
      <c r="O517" s="19" t="str">
        <f aca="false">IF(OR($A517="",INDEX(_LEITURA!$Q$2:$Q$21,5)=0),"",SUMIFS(DECKS!$D$2:$D$1201,DECKS!$A$2:$A$1201,INDEX(_LEITURA!$P$2:$P$21,5),DECKS!$B$2:$B$1201,$A517))</f>
        <v/>
      </c>
      <c r="P517" s="19" t="str">
        <f aca="false">IF(OR($A517="",INDEX(_LEITURA!$Q$2:$Q$21,6)=0),"",SUMIFS(DECKS!$D$2:$D$1201,DECKS!$A$2:$A$1201,INDEX(_LEITURA!$P$2:$P$21,6),DECKS!$B$2:$B$1201,$A517))</f>
        <v/>
      </c>
      <c r="Q517" s="19" t="str">
        <f aca="false">IF(OR($A517="",INDEX(_LEITURA!$Q$2:$Q$21,7)=0),"",SUMIFS(DECKS!$D$2:$D$1201,DECKS!$A$2:$A$1201,INDEX(_LEITURA!$P$2:$P$21,7),DECKS!$B$2:$B$1201,$A517))</f>
        <v/>
      </c>
      <c r="R517" s="19" t="str">
        <f aca="false">IF(OR($A517="",INDEX(_LEITURA!$Q$2:$Q$21,8)=0),"",SUMIFS(DECKS!$D$2:$D$1201,DECKS!$A$2:$A$1201,INDEX(_LEITURA!$P$2:$P$21,8),DECKS!$B$2:$B$1201,$A517))</f>
        <v/>
      </c>
      <c r="S517" s="19" t="str">
        <f aca="false">IF(OR($A517="",INDEX(_LEITURA!$Q$2:$Q$21,9)=0),"",SUMIFS(DECKS!$D$2:$D$1201,DECKS!$A$2:$A$1201,INDEX(_LEITURA!$P$2:$P$21,9),DECKS!$B$2:$B$1201,$A517))</f>
        <v/>
      </c>
      <c r="T517" s="19" t="str">
        <f aca="false">IF(OR($A517="",INDEX(_LEITURA!$Q$2:$Q$21,10)=0),"",SUMIFS(DECKS!$D$2:$D$1201,DECKS!$A$2:$A$1201,INDEX(_LEITURA!$P$2:$P$21,10),DECKS!$B$2:$B$1201,$A517))</f>
        <v/>
      </c>
      <c r="U517" s="19" t="str">
        <f aca="false">IF(OR($A517="",INDEX(_LEITURA!$Q$2:$Q$21,11)=0),"",SUMIFS(DECKS!$D$2:$D$1201,DECKS!$A$2:$A$1201,INDEX(_LEITURA!$P$2:$P$21,11),DECKS!$B$2:$B$1201,$A517))</f>
        <v/>
      </c>
      <c r="V517" s="19" t="str">
        <f aca="false">IF(OR($A517="",INDEX(_LEITURA!$Q$2:$Q$21,12)=0),"",SUMIFS(DECKS!$D$2:$D$1201,DECKS!$A$2:$A$1201,INDEX(_LEITURA!$P$2:$P$21,12),DECKS!$B$2:$B$1201,$A517))</f>
        <v/>
      </c>
      <c r="W517" s="19" t="str">
        <f aca="false">IF(OR($A517="",INDEX(_LEITURA!$Q$2:$Q$21,13)=0),"",SUMIFS(DECKS!$D$2:$D$1201,DECKS!$A$2:$A$1201,INDEX(_LEITURA!$P$2:$P$21,13),DECKS!$B$2:$B$1201,$A517))</f>
        <v/>
      </c>
      <c r="X517" s="19" t="str">
        <f aca="false">IF(OR($A517="",INDEX(_LEITURA!$Q$2:$Q$21,14)=0),"",SUMIFS(DECKS!$D$2:$D$1201,DECKS!$A$2:$A$1201,INDEX(_LEITURA!$P$2:$P$21,14),DECKS!$B$2:$B$1201,$A517))</f>
        <v/>
      </c>
      <c r="Y517" s="19" t="str">
        <f aca="false">IF(OR($A517="",INDEX(_LEITURA!$Q$2:$Q$21,15)=0),"",SUMIFS(DECKS!$D$2:$D$1201,DECKS!$A$2:$A$1201,INDEX(_LEITURA!$P$2:$P$21,15),DECKS!$B$2:$B$1201,$A517))</f>
        <v/>
      </c>
      <c r="Z517" s="19" t="str">
        <f aca="false">IF(OR($A517="",INDEX(_LEITURA!$Q$2:$Q$21,16)=0),"",SUMIFS(DECKS!$D$2:$D$1201,DECKS!$A$2:$A$1201,INDEX(_LEITURA!$P$2:$P$21,16),DECKS!$B$2:$B$1201,$A517))</f>
        <v/>
      </c>
      <c r="AA517" s="19" t="str">
        <f aca="false">IF(OR($A517="",INDEX(_LEITURA!$Q$2:$Q$21,17)=0),"",SUMIFS(DECKS!$D$2:$D$1201,DECKS!$A$2:$A$1201,INDEX(_LEITURA!$P$2:$P$21,17),DECKS!$B$2:$B$1201,$A517))</f>
        <v/>
      </c>
      <c r="AB517" s="19" t="str">
        <f aca="false">IF(OR($A517="",INDEX(_LEITURA!$Q$2:$Q$21,18)=0),"",SUMIFS(DECKS!$D$2:$D$1201,DECKS!$A$2:$A$1201,INDEX(_LEITURA!$P$2:$P$21,18),DECKS!$B$2:$B$1201,$A517))</f>
        <v/>
      </c>
      <c r="AC517" s="19" t="str">
        <f aca="false">IF(OR($A517="",INDEX(_LEITURA!$Q$2:$Q$21,19)=0),"",SUMIFS(DECKS!$D$2:$D$1201,DECKS!$A$2:$A$1201,INDEX(_LEITURA!$P$2:$P$21,19),DECKS!$B$2:$B$1201,$A517))</f>
        <v/>
      </c>
      <c r="AD517" s="19" t="str">
        <f aca="false">IF(OR($A517="",INDEX(_LEITURA!$Q$2:$Q$21,20)=0),"",SUMIFS(DECKS!$D$2:$D$1201,DECKS!$A$2:$A$1201,INDEX(_LEITURA!$P$2:$P$21,20),DECKS!$B$2:$B$1201,$A517))</f>
        <v/>
      </c>
      <c r="AE517" s="16" t="str">
        <f aca="false">IF(N(E517)&gt;0,MAX(AE$1:AE516)+1,"")</f>
        <v/>
      </c>
      <c r="AF517" s="11" t="str">
        <f aca="false">IF(A517="","",IFERROR(LEFT(A517,FIND("-",A517)-1),A517))</f>
        <v/>
      </c>
      <c r="AG517" s="11" t="str">
        <f aca="false">IF(AF517="","",IF(ISNUMBER(--MID(AF517,1,1)),0,IF(ISNUMBER(--MID(AF517,2,1)),1,IF(ISNUMBER(--MID(AF517,3,1)),2,IF(ISNUMBER(--MID(AF517,4,1)),3,MIN(LEN(AF517),4))))))</f>
        <v/>
      </c>
      <c r="AH517" s="11" t="str">
        <f aca="false">IF(A517="","",LEFT(AF517,AG517)&amp;REPT("0",4-AG517)&amp;RIGHT("000"&amp;IFERROR(VALUE(MID(AF517,AG517+1,9)),0),3)&amp;RIGHT("0000"&amp;IFERROR(VALUE(MID(A517,FIND("-",A517)+1,9)),0),4))</f>
        <v/>
      </c>
      <c r="AI517" s="11" t="str">
        <f aca="false">IF(OR(A517="",N(E517)&lt;=0),"",IF('FALTAS GERAL'!$M$1="Código","K"&amp;AH517&amp;RIGHT("00000"&amp;ROW(),5),IF('FALTAS GERAL'!$M$1="Nome","K"&amp;UPPER(SUBSTITUTE(SUBSTITUTE(SUBSTITUTE(B517,"*",""),"?",""),"~",""))&amp;"0"&amp;AH517&amp;RIGHT("00000"&amp;ROW(),5),IF('FALTAS GERAL'!$M$1="Falta (maior primeiro)","K"&amp;RIGHT("0000"&amp;(9999-E517),4)&amp;AH517&amp;RIGHT("00000"&amp;ROW(),5),IF('FALTAS GERAL'!$M$1="Nº de decks (maior primeiro)","K"&amp;RIGHT("00"&amp;(99-N(G517)),2)&amp;AH517&amp;RIGHT("00000"&amp;ROW(),5),"K"&amp;RIGHT("00000"&amp;ROW(),5))))))</f>
        <v/>
      </c>
      <c r="AJ517" s="11" t="str">
        <f aca="false">IF(AI517="","",COUNTIFS($AI$2:$AI$801,"&lt;"&amp;AI517,$E$2:$E$801,"&gt;0")+1)</f>
        <v/>
      </c>
      <c r="AK517" s="11" t="str">
        <f aca="false">IF(OR(A517="",N(E517)&lt;=0),"",COUNTIFS($AH$2:$AH$801,"&lt;"&amp;AH517,$E$2:$E$801,"&gt;0")+COUNTIFS($AH$2:AH517,AH517,$E$2:E517,"&gt;0"))</f>
        <v/>
      </c>
    </row>
    <row r="518" customFormat="false" ht="15" hidden="false" customHeight="false" outlineLevel="0" collapsed="false">
      <c r="A518" s="11" t="str">
        <f aca="false">IF(INVENTÁRIO!A518="","",INVENTÁRIO!A518)</f>
        <v/>
      </c>
      <c r="B518" s="11" t="str">
        <f aca="false">IF(A518="","",INVENTÁRIO!B518)</f>
        <v/>
      </c>
      <c r="C518" s="16" t="str">
        <f aca="false">IF(A518="","",INVENTÁRIO!C518)</f>
        <v/>
      </c>
      <c r="D518" s="14" t="str">
        <f aca="false">IF(A518="","",MAX(K518:AD518))</f>
        <v/>
      </c>
      <c r="E518" s="14" t="str">
        <f aca="false">IF(A518="","",MAX(0,D518-C518))</f>
        <v/>
      </c>
      <c r="F518" s="16" t="str">
        <f aca="false">IF(A518="","",IF(D518=0,"Fora dos decks",IF(E518=0,"Completo","Falta")))</f>
        <v/>
      </c>
      <c r="G518" s="16" t="str">
        <f aca="false">IF(A518="","",COUNTIF(K518:AD518,"&gt;0"))</f>
        <v/>
      </c>
      <c r="H518" s="16" t="str">
        <f aca="false">IF(A518="","",IF(G518&gt;1,"Sim",""))</f>
        <v/>
      </c>
      <c r="I518" s="18" t="str">
        <f aca="false">IF(A518="","",SUMIFS(DECKS!$D$2:$D$1201,DECKS!$B$2:$B$1201,A518))</f>
        <v/>
      </c>
      <c r="J518" s="18" t="str">
        <f aca="false">IF(A518="","",MAX(0,I518-C518))</f>
        <v/>
      </c>
      <c r="K518" s="19" t="str">
        <f aca="false">IF(OR($A518="",INDEX(_LEITURA!$Q$2:$Q$21,1)=0),"",SUMIFS(DECKS!$D$2:$D$1201,DECKS!$A$2:$A$1201,INDEX(_LEITURA!$P$2:$P$21,1),DECKS!$B$2:$B$1201,$A518))</f>
        <v/>
      </c>
      <c r="L518" s="19" t="str">
        <f aca="false">IF(OR($A518="",INDEX(_LEITURA!$Q$2:$Q$21,2)=0),"",SUMIFS(DECKS!$D$2:$D$1201,DECKS!$A$2:$A$1201,INDEX(_LEITURA!$P$2:$P$21,2),DECKS!$B$2:$B$1201,$A518))</f>
        <v/>
      </c>
      <c r="M518" s="19" t="str">
        <f aca="false">IF(OR($A518="",INDEX(_LEITURA!$Q$2:$Q$21,3)=0),"",SUMIFS(DECKS!$D$2:$D$1201,DECKS!$A$2:$A$1201,INDEX(_LEITURA!$P$2:$P$21,3),DECKS!$B$2:$B$1201,$A518))</f>
        <v/>
      </c>
      <c r="N518" s="19" t="str">
        <f aca="false">IF(OR($A518="",INDEX(_LEITURA!$Q$2:$Q$21,4)=0),"",SUMIFS(DECKS!$D$2:$D$1201,DECKS!$A$2:$A$1201,INDEX(_LEITURA!$P$2:$P$21,4),DECKS!$B$2:$B$1201,$A518))</f>
        <v/>
      </c>
      <c r="O518" s="19" t="str">
        <f aca="false">IF(OR($A518="",INDEX(_LEITURA!$Q$2:$Q$21,5)=0),"",SUMIFS(DECKS!$D$2:$D$1201,DECKS!$A$2:$A$1201,INDEX(_LEITURA!$P$2:$P$21,5),DECKS!$B$2:$B$1201,$A518))</f>
        <v/>
      </c>
      <c r="P518" s="19" t="str">
        <f aca="false">IF(OR($A518="",INDEX(_LEITURA!$Q$2:$Q$21,6)=0),"",SUMIFS(DECKS!$D$2:$D$1201,DECKS!$A$2:$A$1201,INDEX(_LEITURA!$P$2:$P$21,6),DECKS!$B$2:$B$1201,$A518))</f>
        <v/>
      </c>
      <c r="Q518" s="19" t="str">
        <f aca="false">IF(OR($A518="",INDEX(_LEITURA!$Q$2:$Q$21,7)=0),"",SUMIFS(DECKS!$D$2:$D$1201,DECKS!$A$2:$A$1201,INDEX(_LEITURA!$P$2:$P$21,7),DECKS!$B$2:$B$1201,$A518))</f>
        <v/>
      </c>
      <c r="R518" s="19" t="str">
        <f aca="false">IF(OR($A518="",INDEX(_LEITURA!$Q$2:$Q$21,8)=0),"",SUMIFS(DECKS!$D$2:$D$1201,DECKS!$A$2:$A$1201,INDEX(_LEITURA!$P$2:$P$21,8),DECKS!$B$2:$B$1201,$A518))</f>
        <v/>
      </c>
      <c r="S518" s="19" t="str">
        <f aca="false">IF(OR($A518="",INDEX(_LEITURA!$Q$2:$Q$21,9)=0),"",SUMIFS(DECKS!$D$2:$D$1201,DECKS!$A$2:$A$1201,INDEX(_LEITURA!$P$2:$P$21,9),DECKS!$B$2:$B$1201,$A518))</f>
        <v/>
      </c>
      <c r="T518" s="19" t="str">
        <f aca="false">IF(OR($A518="",INDEX(_LEITURA!$Q$2:$Q$21,10)=0),"",SUMIFS(DECKS!$D$2:$D$1201,DECKS!$A$2:$A$1201,INDEX(_LEITURA!$P$2:$P$21,10),DECKS!$B$2:$B$1201,$A518))</f>
        <v/>
      </c>
      <c r="U518" s="19" t="str">
        <f aca="false">IF(OR($A518="",INDEX(_LEITURA!$Q$2:$Q$21,11)=0),"",SUMIFS(DECKS!$D$2:$D$1201,DECKS!$A$2:$A$1201,INDEX(_LEITURA!$P$2:$P$21,11),DECKS!$B$2:$B$1201,$A518))</f>
        <v/>
      </c>
      <c r="V518" s="19" t="str">
        <f aca="false">IF(OR($A518="",INDEX(_LEITURA!$Q$2:$Q$21,12)=0),"",SUMIFS(DECKS!$D$2:$D$1201,DECKS!$A$2:$A$1201,INDEX(_LEITURA!$P$2:$P$21,12),DECKS!$B$2:$B$1201,$A518))</f>
        <v/>
      </c>
      <c r="W518" s="19" t="str">
        <f aca="false">IF(OR($A518="",INDEX(_LEITURA!$Q$2:$Q$21,13)=0),"",SUMIFS(DECKS!$D$2:$D$1201,DECKS!$A$2:$A$1201,INDEX(_LEITURA!$P$2:$P$21,13),DECKS!$B$2:$B$1201,$A518))</f>
        <v/>
      </c>
      <c r="X518" s="19" t="str">
        <f aca="false">IF(OR($A518="",INDEX(_LEITURA!$Q$2:$Q$21,14)=0),"",SUMIFS(DECKS!$D$2:$D$1201,DECKS!$A$2:$A$1201,INDEX(_LEITURA!$P$2:$P$21,14),DECKS!$B$2:$B$1201,$A518))</f>
        <v/>
      </c>
      <c r="Y518" s="19" t="str">
        <f aca="false">IF(OR($A518="",INDEX(_LEITURA!$Q$2:$Q$21,15)=0),"",SUMIFS(DECKS!$D$2:$D$1201,DECKS!$A$2:$A$1201,INDEX(_LEITURA!$P$2:$P$21,15),DECKS!$B$2:$B$1201,$A518))</f>
        <v/>
      </c>
      <c r="Z518" s="19" t="str">
        <f aca="false">IF(OR($A518="",INDEX(_LEITURA!$Q$2:$Q$21,16)=0),"",SUMIFS(DECKS!$D$2:$D$1201,DECKS!$A$2:$A$1201,INDEX(_LEITURA!$P$2:$P$21,16),DECKS!$B$2:$B$1201,$A518))</f>
        <v/>
      </c>
      <c r="AA518" s="19" t="str">
        <f aca="false">IF(OR($A518="",INDEX(_LEITURA!$Q$2:$Q$21,17)=0),"",SUMIFS(DECKS!$D$2:$D$1201,DECKS!$A$2:$A$1201,INDEX(_LEITURA!$P$2:$P$21,17),DECKS!$B$2:$B$1201,$A518))</f>
        <v/>
      </c>
      <c r="AB518" s="19" t="str">
        <f aca="false">IF(OR($A518="",INDEX(_LEITURA!$Q$2:$Q$21,18)=0),"",SUMIFS(DECKS!$D$2:$D$1201,DECKS!$A$2:$A$1201,INDEX(_LEITURA!$P$2:$P$21,18),DECKS!$B$2:$B$1201,$A518))</f>
        <v/>
      </c>
      <c r="AC518" s="19" t="str">
        <f aca="false">IF(OR($A518="",INDEX(_LEITURA!$Q$2:$Q$21,19)=0),"",SUMIFS(DECKS!$D$2:$D$1201,DECKS!$A$2:$A$1201,INDEX(_LEITURA!$P$2:$P$21,19),DECKS!$B$2:$B$1201,$A518))</f>
        <v/>
      </c>
      <c r="AD518" s="19" t="str">
        <f aca="false">IF(OR($A518="",INDEX(_LEITURA!$Q$2:$Q$21,20)=0),"",SUMIFS(DECKS!$D$2:$D$1201,DECKS!$A$2:$A$1201,INDEX(_LEITURA!$P$2:$P$21,20),DECKS!$B$2:$B$1201,$A518))</f>
        <v/>
      </c>
      <c r="AE518" s="16" t="str">
        <f aca="false">IF(N(E518)&gt;0,MAX(AE$1:AE517)+1,"")</f>
        <v/>
      </c>
      <c r="AF518" s="11" t="str">
        <f aca="false">IF(A518="","",IFERROR(LEFT(A518,FIND("-",A518)-1),A518))</f>
        <v/>
      </c>
      <c r="AG518" s="11" t="str">
        <f aca="false">IF(AF518="","",IF(ISNUMBER(--MID(AF518,1,1)),0,IF(ISNUMBER(--MID(AF518,2,1)),1,IF(ISNUMBER(--MID(AF518,3,1)),2,IF(ISNUMBER(--MID(AF518,4,1)),3,MIN(LEN(AF518),4))))))</f>
        <v/>
      </c>
      <c r="AH518" s="11" t="str">
        <f aca="false">IF(A518="","",LEFT(AF518,AG518)&amp;REPT("0",4-AG518)&amp;RIGHT("000"&amp;IFERROR(VALUE(MID(AF518,AG518+1,9)),0),3)&amp;RIGHT("0000"&amp;IFERROR(VALUE(MID(A518,FIND("-",A518)+1,9)),0),4))</f>
        <v/>
      </c>
      <c r="AI518" s="11" t="str">
        <f aca="false">IF(OR(A518="",N(E518)&lt;=0),"",IF('FALTAS GERAL'!$M$1="Código","K"&amp;AH518&amp;RIGHT("00000"&amp;ROW(),5),IF('FALTAS GERAL'!$M$1="Nome","K"&amp;UPPER(SUBSTITUTE(SUBSTITUTE(SUBSTITUTE(B518,"*",""),"?",""),"~",""))&amp;"0"&amp;AH518&amp;RIGHT("00000"&amp;ROW(),5),IF('FALTAS GERAL'!$M$1="Falta (maior primeiro)","K"&amp;RIGHT("0000"&amp;(9999-E518),4)&amp;AH518&amp;RIGHT("00000"&amp;ROW(),5),IF('FALTAS GERAL'!$M$1="Nº de decks (maior primeiro)","K"&amp;RIGHT("00"&amp;(99-N(G518)),2)&amp;AH518&amp;RIGHT("00000"&amp;ROW(),5),"K"&amp;RIGHT("00000"&amp;ROW(),5))))))</f>
        <v/>
      </c>
      <c r="AJ518" s="11" t="str">
        <f aca="false">IF(AI518="","",COUNTIFS($AI$2:$AI$801,"&lt;"&amp;AI518,$E$2:$E$801,"&gt;0")+1)</f>
        <v/>
      </c>
      <c r="AK518" s="11" t="str">
        <f aca="false">IF(OR(A518="",N(E518)&lt;=0),"",COUNTIFS($AH$2:$AH$801,"&lt;"&amp;AH518,$E$2:$E$801,"&gt;0")+COUNTIFS($AH$2:AH518,AH518,$E$2:E518,"&gt;0"))</f>
        <v/>
      </c>
    </row>
    <row r="519" customFormat="false" ht="15" hidden="false" customHeight="false" outlineLevel="0" collapsed="false">
      <c r="A519" s="11" t="str">
        <f aca="false">IF(INVENTÁRIO!A519="","",INVENTÁRIO!A519)</f>
        <v/>
      </c>
      <c r="B519" s="11" t="str">
        <f aca="false">IF(A519="","",INVENTÁRIO!B519)</f>
        <v/>
      </c>
      <c r="C519" s="16" t="str">
        <f aca="false">IF(A519="","",INVENTÁRIO!C519)</f>
        <v/>
      </c>
      <c r="D519" s="14" t="str">
        <f aca="false">IF(A519="","",MAX(K519:AD519))</f>
        <v/>
      </c>
      <c r="E519" s="14" t="str">
        <f aca="false">IF(A519="","",MAX(0,D519-C519))</f>
        <v/>
      </c>
      <c r="F519" s="16" t="str">
        <f aca="false">IF(A519="","",IF(D519=0,"Fora dos decks",IF(E519=0,"Completo","Falta")))</f>
        <v/>
      </c>
      <c r="G519" s="16" t="str">
        <f aca="false">IF(A519="","",COUNTIF(K519:AD519,"&gt;0"))</f>
        <v/>
      </c>
      <c r="H519" s="16" t="str">
        <f aca="false">IF(A519="","",IF(G519&gt;1,"Sim",""))</f>
        <v/>
      </c>
      <c r="I519" s="18" t="str">
        <f aca="false">IF(A519="","",SUMIFS(DECKS!$D$2:$D$1201,DECKS!$B$2:$B$1201,A519))</f>
        <v/>
      </c>
      <c r="J519" s="18" t="str">
        <f aca="false">IF(A519="","",MAX(0,I519-C519))</f>
        <v/>
      </c>
      <c r="K519" s="19" t="str">
        <f aca="false">IF(OR($A519="",INDEX(_LEITURA!$Q$2:$Q$21,1)=0),"",SUMIFS(DECKS!$D$2:$D$1201,DECKS!$A$2:$A$1201,INDEX(_LEITURA!$P$2:$P$21,1),DECKS!$B$2:$B$1201,$A519))</f>
        <v/>
      </c>
      <c r="L519" s="19" t="str">
        <f aca="false">IF(OR($A519="",INDEX(_LEITURA!$Q$2:$Q$21,2)=0),"",SUMIFS(DECKS!$D$2:$D$1201,DECKS!$A$2:$A$1201,INDEX(_LEITURA!$P$2:$P$21,2),DECKS!$B$2:$B$1201,$A519))</f>
        <v/>
      </c>
      <c r="M519" s="19" t="str">
        <f aca="false">IF(OR($A519="",INDEX(_LEITURA!$Q$2:$Q$21,3)=0),"",SUMIFS(DECKS!$D$2:$D$1201,DECKS!$A$2:$A$1201,INDEX(_LEITURA!$P$2:$P$21,3),DECKS!$B$2:$B$1201,$A519))</f>
        <v/>
      </c>
      <c r="N519" s="19" t="str">
        <f aca="false">IF(OR($A519="",INDEX(_LEITURA!$Q$2:$Q$21,4)=0),"",SUMIFS(DECKS!$D$2:$D$1201,DECKS!$A$2:$A$1201,INDEX(_LEITURA!$P$2:$P$21,4),DECKS!$B$2:$B$1201,$A519))</f>
        <v/>
      </c>
      <c r="O519" s="19" t="str">
        <f aca="false">IF(OR($A519="",INDEX(_LEITURA!$Q$2:$Q$21,5)=0),"",SUMIFS(DECKS!$D$2:$D$1201,DECKS!$A$2:$A$1201,INDEX(_LEITURA!$P$2:$P$21,5),DECKS!$B$2:$B$1201,$A519))</f>
        <v/>
      </c>
      <c r="P519" s="19" t="str">
        <f aca="false">IF(OR($A519="",INDEX(_LEITURA!$Q$2:$Q$21,6)=0),"",SUMIFS(DECKS!$D$2:$D$1201,DECKS!$A$2:$A$1201,INDEX(_LEITURA!$P$2:$P$21,6),DECKS!$B$2:$B$1201,$A519))</f>
        <v/>
      </c>
      <c r="Q519" s="19" t="str">
        <f aca="false">IF(OR($A519="",INDEX(_LEITURA!$Q$2:$Q$21,7)=0),"",SUMIFS(DECKS!$D$2:$D$1201,DECKS!$A$2:$A$1201,INDEX(_LEITURA!$P$2:$P$21,7),DECKS!$B$2:$B$1201,$A519))</f>
        <v/>
      </c>
      <c r="R519" s="19" t="str">
        <f aca="false">IF(OR($A519="",INDEX(_LEITURA!$Q$2:$Q$21,8)=0),"",SUMIFS(DECKS!$D$2:$D$1201,DECKS!$A$2:$A$1201,INDEX(_LEITURA!$P$2:$P$21,8),DECKS!$B$2:$B$1201,$A519))</f>
        <v/>
      </c>
      <c r="S519" s="19" t="str">
        <f aca="false">IF(OR($A519="",INDEX(_LEITURA!$Q$2:$Q$21,9)=0),"",SUMIFS(DECKS!$D$2:$D$1201,DECKS!$A$2:$A$1201,INDEX(_LEITURA!$P$2:$P$21,9),DECKS!$B$2:$B$1201,$A519))</f>
        <v/>
      </c>
      <c r="T519" s="19" t="str">
        <f aca="false">IF(OR($A519="",INDEX(_LEITURA!$Q$2:$Q$21,10)=0),"",SUMIFS(DECKS!$D$2:$D$1201,DECKS!$A$2:$A$1201,INDEX(_LEITURA!$P$2:$P$21,10),DECKS!$B$2:$B$1201,$A519))</f>
        <v/>
      </c>
      <c r="U519" s="19" t="str">
        <f aca="false">IF(OR($A519="",INDEX(_LEITURA!$Q$2:$Q$21,11)=0),"",SUMIFS(DECKS!$D$2:$D$1201,DECKS!$A$2:$A$1201,INDEX(_LEITURA!$P$2:$P$21,11),DECKS!$B$2:$B$1201,$A519))</f>
        <v/>
      </c>
      <c r="V519" s="19" t="str">
        <f aca="false">IF(OR($A519="",INDEX(_LEITURA!$Q$2:$Q$21,12)=0),"",SUMIFS(DECKS!$D$2:$D$1201,DECKS!$A$2:$A$1201,INDEX(_LEITURA!$P$2:$P$21,12),DECKS!$B$2:$B$1201,$A519))</f>
        <v/>
      </c>
      <c r="W519" s="19" t="str">
        <f aca="false">IF(OR($A519="",INDEX(_LEITURA!$Q$2:$Q$21,13)=0),"",SUMIFS(DECKS!$D$2:$D$1201,DECKS!$A$2:$A$1201,INDEX(_LEITURA!$P$2:$P$21,13),DECKS!$B$2:$B$1201,$A519))</f>
        <v/>
      </c>
      <c r="X519" s="19" t="str">
        <f aca="false">IF(OR($A519="",INDEX(_LEITURA!$Q$2:$Q$21,14)=0),"",SUMIFS(DECKS!$D$2:$D$1201,DECKS!$A$2:$A$1201,INDEX(_LEITURA!$P$2:$P$21,14),DECKS!$B$2:$B$1201,$A519))</f>
        <v/>
      </c>
      <c r="Y519" s="19" t="str">
        <f aca="false">IF(OR($A519="",INDEX(_LEITURA!$Q$2:$Q$21,15)=0),"",SUMIFS(DECKS!$D$2:$D$1201,DECKS!$A$2:$A$1201,INDEX(_LEITURA!$P$2:$P$21,15),DECKS!$B$2:$B$1201,$A519))</f>
        <v/>
      </c>
      <c r="Z519" s="19" t="str">
        <f aca="false">IF(OR($A519="",INDEX(_LEITURA!$Q$2:$Q$21,16)=0),"",SUMIFS(DECKS!$D$2:$D$1201,DECKS!$A$2:$A$1201,INDEX(_LEITURA!$P$2:$P$21,16),DECKS!$B$2:$B$1201,$A519))</f>
        <v/>
      </c>
      <c r="AA519" s="19" t="str">
        <f aca="false">IF(OR($A519="",INDEX(_LEITURA!$Q$2:$Q$21,17)=0),"",SUMIFS(DECKS!$D$2:$D$1201,DECKS!$A$2:$A$1201,INDEX(_LEITURA!$P$2:$P$21,17),DECKS!$B$2:$B$1201,$A519))</f>
        <v/>
      </c>
      <c r="AB519" s="19" t="str">
        <f aca="false">IF(OR($A519="",INDEX(_LEITURA!$Q$2:$Q$21,18)=0),"",SUMIFS(DECKS!$D$2:$D$1201,DECKS!$A$2:$A$1201,INDEX(_LEITURA!$P$2:$P$21,18),DECKS!$B$2:$B$1201,$A519))</f>
        <v/>
      </c>
      <c r="AC519" s="19" t="str">
        <f aca="false">IF(OR($A519="",INDEX(_LEITURA!$Q$2:$Q$21,19)=0),"",SUMIFS(DECKS!$D$2:$D$1201,DECKS!$A$2:$A$1201,INDEX(_LEITURA!$P$2:$P$21,19),DECKS!$B$2:$B$1201,$A519))</f>
        <v/>
      </c>
      <c r="AD519" s="19" t="str">
        <f aca="false">IF(OR($A519="",INDEX(_LEITURA!$Q$2:$Q$21,20)=0),"",SUMIFS(DECKS!$D$2:$D$1201,DECKS!$A$2:$A$1201,INDEX(_LEITURA!$P$2:$P$21,20),DECKS!$B$2:$B$1201,$A519))</f>
        <v/>
      </c>
      <c r="AE519" s="16" t="str">
        <f aca="false">IF(N(E519)&gt;0,MAX(AE$1:AE518)+1,"")</f>
        <v/>
      </c>
      <c r="AF519" s="11" t="str">
        <f aca="false">IF(A519="","",IFERROR(LEFT(A519,FIND("-",A519)-1),A519))</f>
        <v/>
      </c>
      <c r="AG519" s="11" t="str">
        <f aca="false">IF(AF519="","",IF(ISNUMBER(--MID(AF519,1,1)),0,IF(ISNUMBER(--MID(AF519,2,1)),1,IF(ISNUMBER(--MID(AF519,3,1)),2,IF(ISNUMBER(--MID(AF519,4,1)),3,MIN(LEN(AF519),4))))))</f>
        <v/>
      </c>
      <c r="AH519" s="11" t="str">
        <f aca="false">IF(A519="","",LEFT(AF519,AG519)&amp;REPT("0",4-AG519)&amp;RIGHT("000"&amp;IFERROR(VALUE(MID(AF519,AG519+1,9)),0),3)&amp;RIGHT("0000"&amp;IFERROR(VALUE(MID(A519,FIND("-",A519)+1,9)),0),4))</f>
        <v/>
      </c>
      <c r="AI519" s="11" t="str">
        <f aca="false">IF(OR(A519="",N(E519)&lt;=0),"",IF('FALTAS GERAL'!$M$1="Código","K"&amp;AH519&amp;RIGHT("00000"&amp;ROW(),5),IF('FALTAS GERAL'!$M$1="Nome","K"&amp;UPPER(SUBSTITUTE(SUBSTITUTE(SUBSTITUTE(B519,"*",""),"?",""),"~",""))&amp;"0"&amp;AH519&amp;RIGHT("00000"&amp;ROW(),5),IF('FALTAS GERAL'!$M$1="Falta (maior primeiro)","K"&amp;RIGHT("0000"&amp;(9999-E519),4)&amp;AH519&amp;RIGHT("00000"&amp;ROW(),5),IF('FALTAS GERAL'!$M$1="Nº de decks (maior primeiro)","K"&amp;RIGHT("00"&amp;(99-N(G519)),2)&amp;AH519&amp;RIGHT("00000"&amp;ROW(),5),"K"&amp;RIGHT("00000"&amp;ROW(),5))))))</f>
        <v/>
      </c>
      <c r="AJ519" s="11" t="str">
        <f aca="false">IF(AI519="","",COUNTIFS($AI$2:$AI$801,"&lt;"&amp;AI519,$E$2:$E$801,"&gt;0")+1)</f>
        <v/>
      </c>
      <c r="AK519" s="11" t="str">
        <f aca="false">IF(OR(A519="",N(E519)&lt;=0),"",COUNTIFS($AH$2:$AH$801,"&lt;"&amp;AH519,$E$2:$E$801,"&gt;0")+COUNTIFS($AH$2:AH519,AH519,$E$2:E519,"&gt;0"))</f>
        <v/>
      </c>
    </row>
    <row r="520" customFormat="false" ht="15" hidden="false" customHeight="false" outlineLevel="0" collapsed="false">
      <c r="A520" s="11" t="str">
        <f aca="false">IF(INVENTÁRIO!A520="","",INVENTÁRIO!A520)</f>
        <v/>
      </c>
      <c r="B520" s="11" t="str">
        <f aca="false">IF(A520="","",INVENTÁRIO!B520)</f>
        <v/>
      </c>
      <c r="C520" s="16" t="str">
        <f aca="false">IF(A520="","",INVENTÁRIO!C520)</f>
        <v/>
      </c>
      <c r="D520" s="14" t="str">
        <f aca="false">IF(A520="","",MAX(K520:AD520))</f>
        <v/>
      </c>
      <c r="E520" s="14" t="str">
        <f aca="false">IF(A520="","",MAX(0,D520-C520))</f>
        <v/>
      </c>
      <c r="F520" s="16" t="str">
        <f aca="false">IF(A520="","",IF(D520=0,"Fora dos decks",IF(E520=0,"Completo","Falta")))</f>
        <v/>
      </c>
      <c r="G520" s="16" t="str">
        <f aca="false">IF(A520="","",COUNTIF(K520:AD520,"&gt;0"))</f>
        <v/>
      </c>
      <c r="H520" s="16" t="str">
        <f aca="false">IF(A520="","",IF(G520&gt;1,"Sim",""))</f>
        <v/>
      </c>
      <c r="I520" s="18" t="str">
        <f aca="false">IF(A520="","",SUMIFS(DECKS!$D$2:$D$1201,DECKS!$B$2:$B$1201,A520))</f>
        <v/>
      </c>
      <c r="J520" s="18" t="str">
        <f aca="false">IF(A520="","",MAX(0,I520-C520))</f>
        <v/>
      </c>
      <c r="K520" s="19" t="str">
        <f aca="false">IF(OR($A520="",INDEX(_LEITURA!$Q$2:$Q$21,1)=0),"",SUMIFS(DECKS!$D$2:$D$1201,DECKS!$A$2:$A$1201,INDEX(_LEITURA!$P$2:$P$21,1),DECKS!$B$2:$B$1201,$A520))</f>
        <v/>
      </c>
      <c r="L520" s="19" t="str">
        <f aca="false">IF(OR($A520="",INDEX(_LEITURA!$Q$2:$Q$21,2)=0),"",SUMIFS(DECKS!$D$2:$D$1201,DECKS!$A$2:$A$1201,INDEX(_LEITURA!$P$2:$P$21,2),DECKS!$B$2:$B$1201,$A520))</f>
        <v/>
      </c>
      <c r="M520" s="19" t="str">
        <f aca="false">IF(OR($A520="",INDEX(_LEITURA!$Q$2:$Q$21,3)=0),"",SUMIFS(DECKS!$D$2:$D$1201,DECKS!$A$2:$A$1201,INDEX(_LEITURA!$P$2:$P$21,3),DECKS!$B$2:$B$1201,$A520))</f>
        <v/>
      </c>
      <c r="N520" s="19" t="str">
        <f aca="false">IF(OR($A520="",INDEX(_LEITURA!$Q$2:$Q$21,4)=0),"",SUMIFS(DECKS!$D$2:$D$1201,DECKS!$A$2:$A$1201,INDEX(_LEITURA!$P$2:$P$21,4),DECKS!$B$2:$B$1201,$A520))</f>
        <v/>
      </c>
      <c r="O520" s="19" t="str">
        <f aca="false">IF(OR($A520="",INDEX(_LEITURA!$Q$2:$Q$21,5)=0),"",SUMIFS(DECKS!$D$2:$D$1201,DECKS!$A$2:$A$1201,INDEX(_LEITURA!$P$2:$P$21,5),DECKS!$B$2:$B$1201,$A520))</f>
        <v/>
      </c>
      <c r="P520" s="19" t="str">
        <f aca="false">IF(OR($A520="",INDEX(_LEITURA!$Q$2:$Q$21,6)=0),"",SUMIFS(DECKS!$D$2:$D$1201,DECKS!$A$2:$A$1201,INDEX(_LEITURA!$P$2:$P$21,6),DECKS!$B$2:$B$1201,$A520))</f>
        <v/>
      </c>
      <c r="Q520" s="19" t="str">
        <f aca="false">IF(OR($A520="",INDEX(_LEITURA!$Q$2:$Q$21,7)=0),"",SUMIFS(DECKS!$D$2:$D$1201,DECKS!$A$2:$A$1201,INDEX(_LEITURA!$P$2:$P$21,7),DECKS!$B$2:$B$1201,$A520))</f>
        <v/>
      </c>
      <c r="R520" s="19" t="str">
        <f aca="false">IF(OR($A520="",INDEX(_LEITURA!$Q$2:$Q$21,8)=0),"",SUMIFS(DECKS!$D$2:$D$1201,DECKS!$A$2:$A$1201,INDEX(_LEITURA!$P$2:$P$21,8),DECKS!$B$2:$B$1201,$A520))</f>
        <v/>
      </c>
      <c r="S520" s="19" t="str">
        <f aca="false">IF(OR($A520="",INDEX(_LEITURA!$Q$2:$Q$21,9)=0),"",SUMIFS(DECKS!$D$2:$D$1201,DECKS!$A$2:$A$1201,INDEX(_LEITURA!$P$2:$P$21,9),DECKS!$B$2:$B$1201,$A520))</f>
        <v/>
      </c>
      <c r="T520" s="19" t="str">
        <f aca="false">IF(OR($A520="",INDEX(_LEITURA!$Q$2:$Q$21,10)=0),"",SUMIFS(DECKS!$D$2:$D$1201,DECKS!$A$2:$A$1201,INDEX(_LEITURA!$P$2:$P$21,10),DECKS!$B$2:$B$1201,$A520))</f>
        <v/>
      </c>
      <c r="U520" s="19" t="str">
        <f aca="false">IF(OR($A520="",INDEX(_LEITURA!$Q$2:$Q$21,11)=0),"",SUMIFS(DECKS!$D$2:$D$1201,DECKS!$A$2:$A$1201,INDEX(_LEITURA!$P$2:$P$21,11),DECKS!$B$2:$B$1201,$A520))</f>
        <v/>
      </c>
      <c r="V520" s="19" t="str">
        <f aca="false">IF(OR($A520="",INDEX(_LEITURA!$Q$2:$Q$21,12)=0),"",SUMIFS(DECKS!$D$2:$D$1201,DECKS!$A$2:$A$1201,INDEX(_LEITURA!$P$2:$P$21,12),DECKS!$B$2:$B$1201,$A520))</f>
        <v/>
      </c>
      <c r="W520" s="19" t="str">
        <f aca="false">IF(OR($A520="",INDEX(_LEITURA!$Q$2:$Q$21,13)=0),"",SUMIFS(DECKS!$D$2:$D$1201,DECKS!$A$2:$A$1201,INDEX(_LEITURA!$P$2:$P$21,13),DECKS!$B$2:$B$1201,$A520))</f>
        <v/>
      </c>
      <c r="X520" s="19" t="str">
        <f aca="false">IF(OR($A520="",INDEX(_LEITURA!$Q$2:$Q$21,14)=0),"",SUMIFS(DECKS!$D$2:$D$1201,DECKS!$A$2:$A$1201,INDEX(_LEITURA!$P$2:$P$21,14),DECKS!$B$2:$B$1201,$A520))</f>
        <v/>
      </c>
      <c r="Y520" s="19" t="str">
        <f aca="false">IF(OR($A520="",INDEX(_LEITURA!$Q$2:$Q$21,15)=0),"",SUMIFS(DECKS!$D$2:$D$1201,DECKS!$A$2:$A$1201,INDEX(_LEITURA!$P$2:$P$21,15),DECKS!$B$2:$B$1201,$A520))</f>
        <v/>
      </c>
      <c r="Z520" s="19" t="str">
        <f aca="false">IF(OR($A520="",INDEX(_LEITURA!$Q$2:$Q$21,16)=0),"",SUMIFS(DECKS!$D$2:$D$1201,DECKS!$A$2:$A$1201,INDEX(_LEITURA!$P$2:$P$21,16),DECKS!$B$2:$B$1201,$A520))</f>
        <v/>
      </c>
      <c r="AA520" s="19" t="str">
        <f aca="false">IF(OR($A520="",INDEX(_LEITURA!$Q$2:$Q$21,17)=0),"",SUMIFS(DECKS!$D$2:$D$1201,DECKS!$A$2:$A$1201,INDEX(_LEITURA!$P$2:$P$21,17),DECKS!$B$2:$B$1201,$A520))</f>
        <v/>
      </c>
      <c r="AB520" s="19" t="str">
        <f aca="false">IF(OR($A520="",INDEX(_LEITURA!$Q$2:$Q$21,18)=0),"",SUMIFS(DECKS!$D$2:$D$1201,DECKS!$A$2:$A$1201,INDEX(_LEITURA!$P$2:$P$21,18),DECKS!$B$2:$B$1201,$A520))</f>
        <v/>
      </c>
      <c r="AC520" s="19" t="str">
        <f aca="false">IF(OR($A520="",INDEX(_LEITURA!$Q$2:$Q$21,19)=0),"",SUMIFS(DECKS!$D$2:$D$1201,DECKS!$A$2:$A$1201,INDEX(_LEITURA!$P$2:$P$21,19),DECKS!$B$2:$B$1201,$A520))</f>
        <v/>
      </c>
      <c r="AD520" s="19" t="str">
        <f aca="false">IF(OR($A520="",INDEX(_LEITURA!$Q$2:$Q$21,20)=0),"",SUMIFS(DECKS!$D$2:$D$1201,DECKS!$A$2:$A$1201,INDEX(_LEITURA!$P$2:$P$21,20),DECKS!$B$2:$B$1201,$A520))</f>
        <v/>
      </c>
      <c r="AE520" s="16" t="str">
        <f aca="false">IF(N(E520)&gt;0,MAX(AE$1:AE519)+1,"")</f>
        <v/>
      </c>
      <c r="AF520" s="11" t="str">
        <f aca="false">IF(A520="","",IFERROR(LEFT(A520,FIND("-",A520)-1),A520))</f>
        <v/>
      </c>
      <c r="AG520" s="11" t="str">
        <f aca="false">IF(AF520="","",IF(ISNUMBER(--MID(AF520,1,1)),0,IF(ISNUMBER(--MID(AF520,2,1)),1,IF(ISNUMBER(--MID(AF520,3,1)),2,IF(ISNUMBER(--MID(AF520,4,1)),3,MIN(LEN(AF520),4))))))</f>
        <v/>
      </c>
      <c r="AH520" s="11" t="str">
        <f aca="false">IF(A520="","",LEFT(AF520,AG520)&amp;REPT("0",4-AG520)&amp;RIGHT("000"&amp;IFERROR(VALUE(MID(AF520,AG520+1,9)),0),3)&amp;RIGHT("0000"&amp;IFERROR(VALUE(MID(A520,FIND("-",A520)+1,9)),0),4))</f>
        <v/>
      </c>
      <c r="AI520" s="11" t="str">
        <f aca="false">IF(OR(A520="",N(E520)&lt;=0),"",IF('FALTAS GERAL'!$M$1="Código","K"&amp;AH520&amp;RIGHT("00000"&amp;ROW(),5),IF('FALTAS GERAL'!$M$1="Nome","K"&amp;UPPER(SUBSTITUTE(SUBSTITUTE(SUBSTITUTE(B520,"*",""),"?",""),"~",""))&amp;"0"&amp;AH520&amp;RIGHT("00000"&amp;ROW(),5),IF('FALTAS GERAL'!$M$1="Falta (maior primeiro)","K"&amp;RIGHT("0000"&amp;(9999-E520),4)&amp;AH520&amp;RIGHT("00000"&amp;ROW(),5),IF('FALTAS GERAL'!$M$1="Nº de decks (maior primeiro)","K"&amp;RIGHT("00"&amp;(99-N(G520)),2)&amp;AH520&amp;RIGHT("00000"&amp;ROW(),5),"K"&amp;RIGHT("00000"&amp;ROW(),5))))))</f>
        <v/>
      </c>
      <c r="AJ520" s="11" t="str">
        <f aca="false">IF(AI520="","",COUNTIFS($AI$2:$AI$801,"&lt;"&amp;AI520,$E$2:$E$801,"&gt;0")+1)</f>
        <v/>
      </c>
      <c r="AK520" s="11" t="str">
        <f aca="false">IF(OR(A520="",N(E520)&lt;=0),"",COUNTIFS($AH$2:$AH$801,"&lt;"&amp;AH520,$E$2:$E$801,"&gt;0")+COUNTIFS($AH$2:AH520,AH520,$E$2:E520,"&gt;0"))</f>
        <v/>
      </c>
    </row>
    <row r="521" customFormat="false" ht="15" hidden="false" customHeight="false" outlineLevel="0" collapsed="false">
      <c r="A521" s="11" t="str">
        <f aca="false">IF(INVENTÁRIO!A521="","",INVENTÁRIO!A521)</f>
        <v/>
      </c>
      <c r="B521" s="11" t="str">
        <f aca="false">IF(A521="","",INVENTÁRIO!B521)</f>
        <v/>
      </c>
      <c r="C521" s="16" t="str">
        <f aca="false">IF(A521="","",INVENTÁRIO!C521)</f>
        <v/>
      </c>
      <c r="D521" s="14" t="str">
        <f aca="false">IF(A521="","",MAX(K521:AD521))</f>
        <v/>
      </c>
      <c r="E521" s="14" t="str">
        <f aca="false">IF(A521="","",MAX(0,D521-C521))</f>
        <v/>
      </c>
      <c r="F521" s="16" t="str">
        <f aca="false">IF(A521="","",IF(D521=0,"Fora dos decks",IF(E521=0,"Completo","Falta")))</f>
        <v/>
      </c>
      <c r="G521" s="16" t="str">
        <f aca="false">IF(A521="","",COUNTIF(K521:AD521,"&gt;0"))</f>
        <v/>
      </c>
      <c r="H521" s="16" t="str">
        <f aca="false">IF(A521="","",IF(G521&gt;1,"Sim",""))</f>
        <v/>
      </c>
      <c r="I521" s="18" t="str">
        <f aca="false">IF(A521="","",SUMIFS(DECKS!$D$2:$D$1201,DECKS!$B$2:$B$1201,A521))</f>
        <v/>
      </c>
      <c r="J521" s="18" t="str">
        <f aca="false">IF(A521="","",MAX(0,I521-C521))</f>
        <v/>
      </c>
      <c r="K521" s="19" t="str">
        <f aca="false">IF(OR($A521="",INDEX(_LEITURA!$Q$2:$Q$21,1)=0),"",SUMIFS(DECKS!$D$2:$D$1201,DECKS!$A$2:$A$1201,INDEX(_LEITURA!$P$2:$P$21,1),DECKS!$B$2:$B$1201,$A521))</f>
        <v/>
      </c>
      <c r="L521" s="19" t="str">
        <f aca="false">IF(OR($A521="",INDEX(_LEITURA!$Q$2:$Q$21,2)=0),"",SUMIFS(DECKS!$D$2:$D$1201,DECKS!$A$2:$A$1201,INDEX(_LEITURA!$P$2:$P$21,2),DECKS!$B$2:$B$1201,$A521))</f>
        <v/>
      </c>
      <c r="M521" s="19" t="str">
        <f aca="false">IF(OR($A521="",INDEX(_LEITURA!$Q$2:$Q$21,3)=0),"",SUMIFS(DECKS!$D$2:$D$1201,DECKS!$A$2:$A$1201,INDEX(_LEITURA!$P$2:$P$21,3),DECKS!$B$2:$B$1201,$A521))</f>
        <v/>
      </c>
      <c r="N521" s="19" t="str">
        <f aca="false">IF(OR($A521="",INDEX(_LEITURA!$Q$2:$Q$21,4)=0),"",SUMIFS(DECKS!$D$2:$D$1201,DECKS!$A$2:$A$1201,INDEX(_LEITURA!$P$2:$P$21,4),DECKS!$B$2:$B$1201,$A521))</f>
        <v/>
      </c>
      <c r="O521" s="19" t="str">
        <f aca="false">IF(OR($A521="",INDEX(_LEITURA!$Q$2:$Q$21,5)=0),"",SUMIFS(DECKS!$D$2:$D$1201,DECKS!$A$2:$A$1201,INDEX(_LEITURA!$P$2:$P$21,5),DECKS!$B$2:$B$1201,$A521))</f>
        <v/>
      </c>
      <c r="P521" s="19" t="str">
        <f aca="false">IF(OR($A521="",INDEX(_LEITURA!$Q$2:$Q$21,6)=0),"",SUMIFS(DECKS!$D$2:$D$1201,DECKS!$A$2:$A$1201,INDEX(_LEITURA!$P$2:$P$21,6),DECKS!$B$2:$B$1201,$A521))</f>
        <v/>
      </c>
      <c r="Q521" s="19" t="str">
        <f aca="false">IF(OR($A521="",INDEX(_LEITURA!$Q$2:$Q$21,7)=0),"",SUMIFS(DECKS!$D$2:$D$1201,DECKS!$A$2:$A$1201,INDEX(_LEITURA!$P$2:$P$21,7),DECKS!$B$2:$B$1201,$A521))</f>
        <v/>
      </c>
      <c r="R521" s="19" t="str">
        <f aca="false">IF(OR($A521="",INDEX(_LEITURA!$Q$2:$Q$21,8)=0),"",SUMIFS(DECKS!$D$2:$D$1201,DECKS!$A$2:$A$1201,INDEX(_LEITURA!$P$2:$P$21,8),DECKS!$B$2:$B$1201,$A521))</f>
        <v/>
      </c>
      <c r="S521" s="19" t="str">
        <f aca="false">IF(OR($A521="",INDEX(_LEITURA!$Q$2:$Q$21,9)=0),"",SUMIFS(DECKS!$D$2:$D$1201,DECKS!$A$2:$A$1201,INDEX(_LEITURA!$P$2:$P$21,9),DECKS!$B$2:$B$1201,$A521))</f>
        <v/>
      </c>
      <c r="T521" s="19" t="str">
        <f aca="false">IF(OR($A521="",INDEX(_LEITURA!$Q$2:$Q$21,10)=0),"",SUMIFS(DECKS!$D$2:$D$1201,DECKS!$A$2:$A$1201,INDEX(_LEITURA!$P$2:$P$21,10),DECKS!$B$2:$B$1201,$A521))</f>
        <v/>
      </c>
      <c r="U521" s="19" t="str">
        <f aca="false">IF(OR($A521="",INDEX(_LEITURA!$Q$2:$Q$21,11)=0),"",SUMIFS(DECKS!$D$2:$D$1201,DECKS!$A$2:$A$1201,INDEX(_LEITURA!$P$2:$P$21,11),DECKS!$B$2:$B$1201,$A521))</f>
        <v/>
      </c>
      <c r="V521" s="19" t="str">
        <f aca="false">IF(OR($A521="",INDEX(_LEITURA!$Q$2:$Q$21,12)=0),"",SUMIFS(DECKS!$D$2:$D$1201,DECKS!$A$2:$A$1201,INDEX(_LEITURA!$P$2:$P$21,12),DECKS!$B$2:$B$1201,$A521))</f>
        <v/>
      </c>
      <c r="W521" s="19" t="str">
        <f aca="false">IF(OR($A521="",INDEX(_LEITURA!$Q$2:$Q$21,13)=0),"",SUMIFS(DECKS!$D$2:$D$1201,DECKS!$A$2:$A$1201,INDEX(_LEITURA!$P$2:$P$21,13),DECKS!$B$2:$B$1201,$A521))</f>
        <v/>
      </c>
      <c r="X521" s="19" t="str">
        <f aca="false">IF(OR($A521="",INDEX(_LEITURA!$Q$2:$Q$21,14)=0),"",SUMIFS(DECKS!$D$2:$D$1201,DECKS!$A$2:$A$1201,INDEX(_LEITURA!$P$2:$P$21,14),DECKS!$B$2:$B$1201,$A521))</f>
        <v/>
      </c>
      <c r="Y521" s="19" t="str">
        <f aca="false">IF(OR($A521="",INDEX(_LEITURA!$Q$2:$Q$21,15)=0),"",SUMIFS(DECKS!$D$2:$D$1201,DECKS!$A$2:$A$1201,INDEX(_LEITURA!$P$2:$P$21,15),DECKS!$B$2:$B$1201,$A521))</f>
        <v/>
      </c>
      <c r="Z521" s="19" t="str">
        <f aca="false">IF(OR($A521="",INDEX(_LEITURA!$Q$2:$Q$21,16)=0),"",SUMIFS(DECKS!$D$2:$D$1201,DECKS!$A$2:$A$1201,INDEX(_LEITURA!$P$2:$P$21,16),DECKS!$B$2:$B$1201,$A521))</f>
        <v/>
      </c>
      <c r="AA521" s="19" t="str">
        <f aca="false">IF(OR($A521="",INDEX(_LEITURA!$Q$2:$Q$21,17)=0),"",SUMIFS(DECKS!$D$2:$D$1201,DECKS!$A$2:$A$1201,INDEX(_LEITURA!$P$2:$P$21,17),DECKS!$B$2:$B$1201,$A521))</f>
        <v/>
      </c>
      <c r="AB521" s="19" t="str">
        <f aca="false">IF(OR($A521="",INDEX(_LEITURA!$Q$2:$Q$21,18)=0),"",SUMIFS(DECKS!$D$2:$D$1201,DECKS!$A$2:$A$1201,INDEX(_LEITURA!$P$2:$P$21,18),DECKS!$B$2:$B$1201,$A521))</f>
        <v/>
      </c>
      <c r="AC521" s="19" t="str">
        <f aca="false">IF(OR($A521="",INDEX(_LEITURA!$Q$2:$Q$21,19)=0),"",SUMIFS(DECKS!$D$2:$D$1201,DECKS!$A$2:$A$1201,INDEX(_LEITURA!$P$2:$P$21,19),DECKS!$B$2:$B$1201,$A521))</f>
        <v/>
      </c>
      <c r="AD521" s="19" t="str">
        <f aca="false">IF(OR($A521="",INDEX(_LEITURA!$Q$2:$Q$21,20)=0),"",SUMIFS(DECKS!$D$2:$D$1201,DECKS!$A$2:$A$1201,INDEX(_LEITURA!$P$2:$P$21,20),DECKS!$B$2:$B$1201,$A521))</f>
        <v/>
      </c>
      <c r="AE521" s="16" t="str">
        <f aca="false">IF(N(E521)&gt;0,MAX(AE$1:AE520)+1,"")</f>
        <v/>
      </c>
      <c r="AF521" s="11" t="str">
        <f aca="false">IF(A521="","",IFERROR(LEFT(A521,FIND("-",A521)-1),A521))</f>
        <v/>
      </c>
      <c r="AG521" s="11" t="str">
        <f aca="false">IF(AF521="","",IF(ISNUMBER(--MID(AF521,1,1)),0,IF(ISNUMBER(--MID(AF521,2,1)),1,IF(ISNUMBER(--MID(AF521,3,1)),2,IF(ISNUMBER(--MID(AF521,4,1)),3,MIN(LEN(AF521),4))))))</f>
        <v/>
      </c>
      <c r="AH521" s="11" t="str">
        <f aca="false">IF(A521="","",LEFT(AF521,AG521)&amp;REPT("0",4-AG521)&amp;RIGHT("000"&amp;IFERROR(VALUE(MID(AF521,AG521+1,9)),0),3)&amp;RIGHT("0000"&amp;IFERROR(VALUE(MID(A521,FIND("-",A521)+1,9)),0),4))</f>
        <v/>
      </c>
      <c r="AI521" s="11" t="str">
        <f aca="false">IF(OR(A521="",N(E521)&lt;=0),"",IF('FALTAS GERAL'!$M$1="Código","K"&amp;AH521&amp;RIGHT("00000"&amp;ROW(),5),IF('FALTAS GERAL'!$M$1="Nome","K"&amp;UPPER(SUBSTITUTE(SUBSTITUTE(SUBSTITUTE(B521,"*",""),"?",""),"~",""))&amp;"0"&amp;AH521&amp;RIGHT("00000"&amp;ROW(),5),IF('FALTAS GERAL'!$M$1="Falta (maior primeiro)","K"&amp;RIGHT("0000"&amp;(9999-E521),4)&amp;AH521&amp;RIGHT("00000"&amp;ROW(),5),IF('FALTAS GERAL'!$M$1="Nº de decks (maior primeiro)","K"&amp;RIGHT("00"&amp;(99-N(G521)),2)&amp;AH521&amp;RIGHT("00000"&amp;ROW(),5),"K"&amp;RIGHT("00000"&amp;ROW(),5))))))</f>
        <v/>
      </c>
      <c r="AJ521" s="11" t="str">
        <f aca="false">IF(AI521="","",COUNTIFS($AI$2:$AI$801,"&lt;"&amp;AI521,$E$2:$E$801,"&gt;0")+1)</f>
        <v/>
      </c>
      <c r="AK521" s="11" t="str">
        <f aca="false">IF(OR(A521="",N(E521)&lt;=0),"",COUNTIFS($AH$2:$AH$801,"&lt;"&amp;AH521,$E$2:$E$801,"&gt;0")+COUNTIFS($AH$2:AH521,AH521,$E$2:E521,"&gt;0"))</f>
        <v/>
      </c>
    </row>
    <row r="522" customFormat="false" ht="15" hidden="false" customHeight="false" outlineLevel="0" collapsed="false">
      <c r="A522" s="11" t="str">
        <f aca="false">IF(INVENTÁRIO!A522="","",INVENTÁRIO!A522)</f>
        <v/>
      </c>
      <c r="B522" s="11" t="str">
        <f aca="false">IF(A522="","",INVENTÁRIO!B522)</f>
        <v/>
      </c>
      <c r="C522" s="16" t="str">
        <f aca="false">IF(A522="","",INVENTÁRIO!C522)</f>
        <v/>
      </c>
      <c r="D522" s="14" t="str">
        <f aca="false">IF(A522="","",MAX(K522:AD522))</f>
        <v/>
      </c>
      <c r="E522" s="14" t="str">
        <f aca="false">IF(A522="","",MAX(0,D522-C522))</f>
        <v/>
      </c>
      <c r="F522" s="16" t="str">
        <f aca="false">IF(A522="","",IF(D522=0,"Fora dos decks",IF(E522=0,"Completo","Falta")))</f>
        <v/>
      </c>
      <c r="G522" s="16" t="str">
        <f aca="false">IF(A522="","",COUNTIF(K522:AD522,"&gt;0"))</f>
        <v/>
      </c>
      <c r="H522" s="16" t="str">
        <f aca="false">IF(A522="","",IF(G522&gt;1,"Sim",""))</f>
        <v/>
      </c>
      <c r="I522" s="18" t="str">
        <f aca="false">IF(A522="","",SUMIFS(DECKS!$D$2:$D$1201,DECKS!$B$2:$B$1201,A522))</f>
        <v/>
      </c>
      <c r="J522" s="18" t="str">
        <f aca="false">IF(A522="","",MAX(0,I522-C522))</f>
        <v/>
      </c>
      <c r="K522" s="19" t="str">
        <f aca="false">IF(OR($A522="",INDEX(_LEITURA!$Q$2:$Q$21,1)=0),"",SUMIFS(DECKS!$D$2:$D$1201,DECKS!$A$2:$A$1201,INDEX(_LEITURA!$P$2:$P$21,1),DECKS!$B$2:$B$1201,$A522))</f>
        <v/>
      </c>
      <c r="L522" s="19" t="str">
        <f aca="false">IF(OR($A522="",INDEX(_LEITURA!$Q$2:$Q$21,2)=0),"",SUMIFS(DECKS!$D$2:$D$1201,DECKS!$A$2:$A$1201,INDEX(_LEITURA!$P$2:$P$21,2),DECKS!$B$2:$B$1201,$A522))</f>
        <v/>
      </c>
      <c r="M522" s="19" t="str">
        <f aca="false">IF(OR($A522="",INDEX(_LEITURA!$Q$2:$Q$21,3)=0),"",SUMIFS(DECKS!$D$2:$D$1201,DECKS!$A$2:$A$1201,INDEX(_LEITURA!$P$2:$P$21,3),DECKS!$B$2:$B$1201,$A522))</f>
        <v/>
      </c>
      <c r="N522" s="19" t="str">
        <f aca="false">IF(OR($A522="",INDEX(_LEITURA!$Q$2:$Q$21,4)=0),"",SUMIFS(DECKS!$D$2:$D$1201,DECKS!$A$2:$A$1201,INDEX(_LEITURA!$P$2:$P$21,4),DECKS!$B$2:$B$1201,$A522))</f>
        <v/>
      </c>
      <c r="O522" s="19" t="str">
        <f aca="false">IF(OR($A522="",INDEX(_LEITURA!$Q$2:$Q$21,5)=0),"",SUMIFS(DECKS!$D$2:$D$1201,DECKS!$A$2:$A$1201,INDEX(_LEITURA!$P$2:$P$21,5),DECKS!$B$2:$B$1201,$A522))</f>
        <v/>
      </c>
      <c r="P522" s="19" t="str">
        <f aca="false">IF(OR($A522="",INDEX(_LEITURA!$Q$2:$Q$21,6)=0),"",SUMIFS(DECKS!$D$2:$D$1201,DECKS!$A$2:$A$1201,INDEX(_LEITURA!$P$2:$P$21,6),DECKS!$B$2:$B$1201,$A522))</f>
        <v/>
      </c>
      <c r="Q522" s="19" t="str">
        <f aca="false">IF(OR($A522="",INDEX(_LEITURA!$Q$2:$Q$21,7)=0),"",SUMIFS(DECKS!$D$2:$D$1201,DECKS!$A$2:$A$1201,INDEX(_LEITURA!$P$2:$P$21,7),DECKS!$B$2:$B$1201,$A522))</f>
        <v/>
      </c>
      <c r="R522" s="19" t="str">
        <f aca="false">IF(OR($A522="",INDEX(_LEITURA!$Q$2:$Q$21,8)=0),"",SUMIFS(DECKS!$D$2:$D$1201,DECKS!$A$2:$A$1201,INDEX(_LEITURA!$P$2:$P$21,8),DECKS!$B$2:$B$1201,$A522))</f>
        <v/>
      </c>
      <c r="S522" s="19" t="str">
        <f aca="false">IF(OR($A522="",INDEX(_LEITURA!$Q$2:$Q$21,9)=0),"",SUMIFS(DECKS!$D$2:$D$1201,DECKS!$A$2:$A$1201,INDEX(_LEITURA!$P$2:$P$21,9),DECKS!$B$2:$B$1201,$A522))</f>
        <v/>
      </c>
      <c r="T522" s="19" t="str">
        <f aca="false">IF(OR($A522="",INDEX(_LEITURA!$Q$2:$Q$21,10)=0),"",SUMIFS(DECKS!$D$2:$D$1201,DECKS!$A$2:$A$1201,INDEX(_LEITURA!$P$2:$P$21,10),DECKS!$B$2:$B$1201,$A522))</f>
        <v/>
      </c>
      <c r="U522" s="19" t="str">
        <f aca="false">IF(OR($A522="",INDEX(_LEITURA!$Q$2:$Q$21,11)=0),"",SUMIFS(DECKS!$D$2:$D$1201,DECKS!$A$2:$A$1201,INDEX(_LEITURA!$P$2:$P$21,11),DECKS!$B$2:$B$1201,$A522))</f>
        <v/>
      </c>
      <c r="V522" s="19" t="str">
        <f aca="false">IF(OR($A522="",INDEX(_LEITURA!$Q$2:$Q$21,12)=0),"",SUMIFS(DECKS!$D$2:$D$1201,DECKS!$A$2:$A$1201,INDEX(_LEITURA!$P$2:$P$21,12),DECKS!$B$2:$B$1201,$A522))</f>
        <v/>
      </c>
      <c r="W522" s="19" t="str">
        <f aca="false">IF(OR($A522="",INDEX(_LEITURA!$Q$2:$Q$21,13)=0),"",SUMIFS(DECKS!$D$2:$D$1201,DECKS!$A$2:$A$1201,INDEX(_LEITURA!$P$2:$P$21,13),DECKS!$B$2:$B$1201,$A522))</f>
        <v/>
      </c>
      <c r="X522" s="19" t="str">
        <f aca="false">IF(OR($A522="",INDEX(_LEITURA!$Q$2:$Q$21,14)=0),"",SUMIFS(DECKS!$D$2:$D$1201,DECKS!$A$2:$A$1201,INDEX(_LEITURA!$P$2:$P$21,14),DECKS!$B$2:$B$1201,$A522))</f>
        <v/>
      </c>
      <c r="Y522" s="19" t="str">
        <f aca="false">IF(OR($A522="",INDEX(_LEITURA!$Q$2:$Q$21,15)=0),"",SUMIFS(DECKS!$D$2:$D$1201,DECKS!$A$2:$A$1201,INDEX(_LEITURA!$P$2:$P$21,15),DECKS!$B$2:$B$1201,$A522))</f>
        <v/>
      </c>
      <c r="Z522" s="19" t="str">
        <f aca="false">IF(OR($A522="",INDEX(_LEITURA!$Q$2:$Q$21,16)=0),"",SUMIFS(DECKS!$D$2:$D$1201,DECKS!$A$2:$A$1201,INDEX(_LEITURA!$P$2:$P$21,16),DECKS!$B$2:$B$1201,$A522))</f>
        <v/>
      </c>
      <c r="AA522" s="19" t="str">
        <f aca="false">IF(OR($A522="",INDEX(_LEITURA!$Q$2:$Q$21,17)=0),"",SUMIFS(DECKS!$D$2:$D$1201,DECKS!$A$2:$A$1201,INDEX(_LEITURA!$P$2:$P$21,17),DECKS!$B$2:$B$1201,$A522))</f>
        <v/>
      </c>
      <c r="AB522" s="19" t="str">
        <f aca="false">IF(OR($A522="",INDEX(_LEITURA!$Q$2:$Q$21,18)=0),"",SUMIFS(DECKS!$D$2:$D$1201,DECKS!$A$2:$A$1201,INDEX(_LEITURA!$P$2:$P$21,18),DECKS!$B$2:$B$1201,$A522))</f>
        <v/>
      </c>
      <c r="AC522" s="19" t="str">
        <f aca="false">IF(OR($A522="",INDEX(_LEITURA!$Q$2:$Q$21,19)=0),"",SUMIFS(DECKS!$D$2:$D$1201,DECKS!$A$2:$A$1201,INDEX(_LEITURA!$P$2:$P$21,19),DECKS!$B$2:$B$1201,$A522))</f>
        <v/>
      </c>
      <c r="AD522" s="19" t="str">
        <f aca="false">IF(OR($A522="",INDEX(_LEITURA!$Q$2:$Q$21,20)=0),"",SUMIFS(DECKS!$D$2:$D$1201,DECKS!$A$2:$A$1201,INDEX(_LEITURA!$P$2:$P$21,20),DECKS!$B$2:$B$1201,$A522))</f>
        <v/>
      </c>
      <c r="AE522" s="16" t="str">
        <f aca="false">IF(N(E522)&gt;0,MAX(AE$1:AE521)+1,"")</f>
        <v/>
      </c>
      <c r="AF522" s="11" t="str">
        <f aca="false">IF(A522="","",IFERROR(LEFT(A522,FIND("-",A522)-1),A522))</f>
        <v/>
      </c>
      <c r="AG522" s="11" t="str">
        <f aca="false">IF(AF522="","",IF(ISNUMBER(--MID(AF522,1,1)),0,IF(ISNUMBER(--MID(AF522,2,1)),1,IF(ISNUMBER(--MID(AF522,3,1)),2,IF(ISNUMBER(--MID(AF522,4,1)),3,MIN(LEN(AF522),4))))))</f>
        <v/>
      </c>
      <c r="AH522" s="11" t="str">
        <f aca="false">IF(A522="","",LEFT(AF522,AG522)&amp;REPT("0",4-AG522)&amp;RIGHT("000"&amp;IFERROR(VALUE(MID(AF522,AG522+1,9)),0),3)&amp;RIGHT("0000"&amp;IFERROR(VALUE(MID(A522,FIND("-",A522)+1,9)),0),4))</f>
        <v/>
      </c>
      <c r="AI522" s="11" t="str">
        <f aca="false">IF(OR(A522="",N(E522)&lt;=0),"",IF('FALTAS GERAL'!$M$1="Código","K"&amp;AH522&amp;RIGHT("00000"&amp;ROW(),5),IF('FALTAS GERAL'!$M$1="Nome","K"&amp;UPPER(SUBSTITUTE(SUBSTITUTE(SUBSTITUTE(B522,"*",""),"?",""),"~",""))&amp;"0"&amp;AH522&amp;RIGHT("00000"&amp;ROW(),5),IF('FALTAS GERAL'!$M$1="Falta (maior primeiro)","K"&amp;RIGHT("0000"&amp;(9999-E522),4)&amp;AH522&amp;RIGHT("00000"&amp;ROW(),5),IF('FALTAS GERAL'!$M$1="Nº de decks (maior primeiro)","K"&amp;RIGHT("00"&amp;(99-N(G522)),2)&amp;AH522&amp;RIGHT("00000"&amp;ROW(),5),"K"&amp;RIGHT("00000"&amp;ROW(),5))))))</f>
        <v/>
      </c>
      <c r="AJ522" s="11" t="str">
        <f aca="false">IF(AI522="","",COUNTIFS($AI$2:$AI$801,"&lt;"&amp;AI522,$E$2:$E$801,"&gt;0")+1)</f>
        <v/>
      </c>
      <c r="AK522" s="11" t="str">
        <f aca="false">IF(OR(A522="",N(E522)&lt;=0),"",COUNTIFS($AH$2:$AH$801,"&lt;"&amp;AH522,$E$2:$E$801,"&gt;0")+COUNTIFS($AH$2:AH522,AH522,$E$2:E522,"&gt;0"))</f>
        <v/>
      </c>
    </row>
    <row r="523" customFormat="false" ht="15" hidden="false" customHeight="false" outlineLevel="0" collapsed="false">
      <c r="A523" s="11" t="str">
        <f aca="false">IF(INVENTÁRIO!A523="","",INVENTÁRIO!A523)</f>
        <v/>
      </c>
      <c r="B523" s="11" t="str">
        <f aca="false">IF(A523="","",INVENTÁRIO!B523)</f>
        <v/>
      </c>
      <c r="C523" s="16" t="str">
        <f aca="false">IF(A523="","",INVENTÁRIO!C523)</f>
        <v/>
      </c>
      <c r="D523" s="14" t="str">
        <f aca="false">IF(A523="","",MAX(K523:AD523))</f>
        <v/>
      </c>
      <c r="E523" s="14" t="str">
        <f aca="false">IF(A523="","",MAX(0,D523-C523))</f>
        <v/>
      </c>
      <c r="F523" s="16" t="str">
        <f aca="false">IF(A523="","",IF(D523=0,"Fora dos decks",IF(E523=0,"Completo","Falta")))</f>
        <v/>
      </c>
      <c r="G523" s="16" t="str">
        <f aca="false">IF(A523="","",COUNTIF(K523:AD523,"&gt;0"))</f>
        <v/>
      </c>
      <c r="H523" s="16" t="str">
        <f aca="false">IF(A523="","",IF(G523&gt;1,"Sim",""))</f>
        <v/>
      </c>
      <c r="I523" s="18" t="str">
        <f aca="false">IF(A523="","",SUMIFS(DECKS!$D$2:$D$1201,DECKS!$B$2:$B$1201,A523))</f>
        <v/>
      </c>
      <c r="J523" s="18" t="str">
        <f aca="false">IF(A523="","",MAX(0,I523-C523))</f>
        <v/>
      </c>
      <c r="K523" s="19" t="str">
        <f aca="false">IF(OR($A523="",INDEX(_LEITURA!$Q$2:$Q$21,1)=0),"",SUMIFS(DECKS!$D$2:$D$1201,DECKS!$A$2:$A$1201,INDEX(_LEITURA!$P$2:$P$21,1),DECKS!$B$2:$B$1201,$A523))</f>
        <v/>
      </c>
      <c r="L523" s="19" t="str">
        <f aca="false">IF(OR($A523="",INDEX(_LEITURA!$Q$2:$Q$21,2)=0),"",SUMIFS(DECKS!$D$2:$D$1201,DECKS!$A$2:$A$1201,INDEX(_LEITURA!$P$2:$P$21,2),DECKS!$B$2:$B$1201,$A523))</f>
        <v/>
      </c>
      <c r="M523" s="19" t="str">
        <f aca="false">IF(OR($A523="",INDEX(_LEITURA!$Q$2:$Q$21,3)=0),"",SUMIFS(DECKS!$D$2:$D$1201,DECKS!$A$2:$A$1201,INDEX(_LEITURA!$P$2:$P$21,3),DECKS!$B$2:$B$1201,$A523))</f>
        <v/>
      </c>
      <c r="N523" s="19" t="str">
        <f aca="false">IF(OR($A523="",INDEX(_LEITURA!$Q$2:$Q$21,4)=0),"",SUMIFS(DECKS!$D$2:$D$1201,DECKS!$A$2:$A$1201,INDEX(_LEITURA!$P$2:$P$21,4),DECKS!$B$2:$B$1201,$A523))</f>
        <v/>
      </c>
      <c r="O523" s="19" t="str">
        <f aca="false">IF(OR($A523="",INDEX(_LEITURA!$Q$2:$Q$21,5)=0),"",SUMIFS(DECKS!$D$2:$D$1201,DECKS!$A$2:$A$1201,INDEX(_LEITURA!$P$2:$P$21,5),DECKS!$B$2:$B$1201,$A523))</f>
        <v/>
      </c>
      <c r="P523" s="19" t="str">
        <f aca="false">IF(OR($A523="",INDEX(_LEITURA!$Q$2:$Q$21,6)=0),"",SUMIFS(DECKS!$D$2:$D$1201,DECKS!$A$2:$A$1201,INDEX(_LEITURA!$P$2:$P$21,6),DECKS!$B$2:$B$1201,$A523))</f>
        <v/>
      </c>
      <c r="Q523" s="19" t="str">
        <f aca="false">IF(OR($A523="",INDEX(_LEITURA!$Q$2:$Q$21,7)=0),"",SUMIFS(DECKS!$D$2:$D$1201,DECKS!$A$2:$A$1201,INDEX(_LEITURA!$P$2:$P$21,7),DECKS!$B$2:$B$1201,$A523))</f>
        <v/>
      </c>
      <c r="R523" s="19" t="str">
        <f aca="false">IF(OR($A523="",INDEX(_LEITURA!$Q$2:$Q$21,8)=0),"",SUMIFS(DECKS!$D$2:$D$1201,DECKS!$A$2:$A$1201,INDEX(_LEITURA!$P$2:$P$21,8),DECKS!$B$2:$B$1201,$A523))</f>
        <v/>
      </c>
      <c r="S523" s="19" t="str">
        <f aca="false">IF(OR($A523="",INDEX(_LEITURA!$Q$2:$Q$21,9)=0),"",SUMIFS(DECKS!$D$2:$D$1201,DECKS!$A$2:$A$1201,INDEX(_LEITURA!$P$2:$P$21,9),DECKS!$B$2:$B$1201,$A523))</f>
        <v/>
      </c>
      <c r="T523" s="19" t="str">
        <f aca="false">IF(OR($A523="",INDEX(_LEITURA!$Q$2:$Q$21,10)=0),"",SUMIFS(DECKS!$D$2:$D$1201,DECKS!$A$2:$A$1201,INDEX(_LEITURA!$P$2:$P$21,10),DECKS!$B$2:$B$1201,$A523))</f>
        <v/>
      </c>
      <c r="U523" s="19" t="str">
        <f aca="false">IF(OR($A523="",INDEX(_LEITURA!$Q$2:$Q$21,11)=0),"",SUMIFS(DECKS!$D$2:$D$1201,DECKS!$A$2:$A$1201,INDEX(_LEITURA!$P$2:$P$21,11),DECKS!$B$2:$B$1201,$A523))</f>
        <v/>
      </c>
      <c r="V523" s="19" t="str">
        <f aca="false">IF(OR($A523="",INDEX(_LEITURA!$Q$2:$Q$21,12)=0),"",SUMIFS(DECKS!$D$2:$D$1201,DECKS!$A$2:$A$1201,INDEX(_LEITURA!$P$2:$P$21,12),DECKS!$B$2:$B$1201,$A523))</f>
        <v/>
      </c>
      <c r="W523" s="19" t="str">
        <f aca="false">IF(OR($A523="",INDEX(_LEITURA!$Q$2:$Q$21,13)=0),"",SUMIFS(DECKS!$D$2:$D$1201,DECKS!$A$2:$A$1201,INDEX(_LEITURA!$P$2:$P$21,13),DECKS!$B$2:$B$1201,$A523))</f>
        <v/>
      </c>
      <c r="X523" s="19" t="str">
        <f aca="false">IF(OR($A523="",INDEX(_LEITURA!$Q$2:$Q$21,14)=0),"",SUMIFS(DECKS!$D$2:$D$1201,DECKS!$A$2:$A$1201,INDEX(_LEITURA!$P$2:$P$21,14),DECKS!$B$2:$B$1201,$A523))</f>
        <v/>
      </c>
      <c r="Y523" s="19" t="str">
        <f aca="false">IF(OR($A523="",INDEX(_LEITURA!$Q$2:$Q$21,15)=0),"",SUMIFS(DECKS!$D$2:$D$1201,DECKS!$A$2:$A$1201,INDEX(_LEITURA!$P$2:$P$21,15),DECKS!$B$2:$B$1201,$A523))</f>
        <v/>
      </c>
      <c r="Z523" s="19" t="str">
        <f aca="false">IF(OR($A523="",INDEX(_LEITURA!$Q$2:$Q$21,16)=0),"",SUMIFS(DECKS!$D$2:$D$1201,DECKS!$A$2:$A$1201,INDEX(_LEITURA!$P$2:$P$21,16),DECKS!$B$2:$B$1201,$A523))</f>
        <v/>
      </c>
      <c r="AA523" s="19" t="str">
        <f aca="false">IF(OR($A523="",INDEX(_LEITURA!$Q$2:$Q$21,17)=0),"",SUMIFS(DECKS!$D$2:$D$1201,DECKS!$A$2:$A$1201,INDEX(_LEITURA!$P$2:$P$21,17),DECKS!$B$2:$B$1201,$A523))</f>
        <v/>
      </c>
      <c r="AB523" s="19" t="str">
        <f aca="false">IF(OR($A523="",INDEX(_LEITURA!$Q$2:$Q$21,18)=0),"",SUMIFS(DECKS!$D$2:$D$1201,DECKS!$A$2:$A$1201,INDEX(_LEITURA!$P$2:$P$21,18),DECKS!$B$2:$B$1201,$A523))</f>
        <v/>
      </c>
      <c r="AC523" s="19" t="str">
        <f aca="false">IF(OR($A523="",INDEX(_LEITURA!$Q$2:$Q$21,19)=0),"",SUMIFS(DECKS!$D$2:$D$1201,DECKS!$A$2:$A$1201,INDEX(_LEITURA!$P$2:$P$21,19),DECKS!$B$2:$B$1201,$A523))</f>
        <v/>
      </c>
      <c r="AD523" s="19" t="str">
        <f aca="false">IF(OR($A523="",INDEX(_LEITURA!$Q$2:$Q$21,20)=0),"",SUMIFS(DECKS!$D$2:$D$1201,DECKS!$A$2:$A$1201,INDEX(_LEITURA!$P$2:$P$21,20),DECKS!$B$2:$B$1201,$A523))</f>
        <v/>
      </c>
      <c r="AE523" s="16" t="str">
        <f aca="false">IF(N(E523)&gt;0,MAX(AE$1:AE522)+1,"")</f>
        <v/>
      </c>
      <c r="AF523" s="11" t="str">
        <f aca="false">IF(A523="","",IFERROR(LEFT(A523,FIND("-",A523)-1),A523))</f>
        <v/>
      </c>
      <c r="AG523" s="11" t="str">
        <f aca="false">IF(AF523="","",IF(ISNUMBER(--MID(AF523,1,1)),0,IF(ISNUMBER(--MID(AF523,2,1)),1,IF(ISNUMBER(--MID(AF523,3,1)),2,IF(ISNUMBER(--MID(AF523,4,1)),3,MIN(LEN(AF523),4))))))</f>
        <v/>
      </c>
      <c r="AH523" s="11" t="str">
        <f aca="false">IF(A523="","",LEFT(AF523,AG523)&amp;REPT("0",4-AG523)&amp;RIGHT("000"&amp;IFERROR(VALUE(MID(AF523,AG523+1,9)),0),3)&amp;RIGHT("0000"&amp;IFERROR(VALUE(MID(A523,FIND("-",A523)+1,9)),0),4))</f>
        <v/>
      </c>
      <c r="AI523" s="11" t="str">
        <f aca="false">IF(OR(A523="",N(E523)&lt;=0),"",IF('FALTAS GERAL'!$M$1="Código","K"&amp;AH523&amp;RIGHT("00000"&amp;ROW(),5),IF('FALTAS GERAL'!$M$1="Nome","K"&amp;UPPER(SUBSTITUTE(SUBSTITUTE(SUBSTITUTE(B523,"*",""),"?",""),"~",""))&amp;"0"&amp;AH523&amp;RIGHT("00000"&amp;ROW(),5),IF('FALTAS GERAL'!$M$1="Falta (maior primeiro)","K"&amp;RIGHT("0000"&amp;(9999-E523),4)&amp;AH523&amp;RIGHT("00000"&amp;ROW(),5),IF('FALTAS GERAL'!$M$1="Nº de decks (maior primeiro)","K"&amp;RIGHT("00"&amp;(99-N(G523)),2)&amp;AH523&amp;RIGHT("00000"&amp;ROW(),5),"K"&amp;RIGHT("00000"&amp;ROW(),5))))))</f>
        <v/>
      </c>
      <c r="AJ523" s="11" t="str">
        <f aca="false">IF(AI523="","",COUNTIFS($AI$2:$AI$801,"&lt;"&amp;AI523,$E$2:$E$801,"&gt;0")+1)</f>
        <v/>
      </c>
      <c r="AK523" s="11" t="str">
        <f aca="false">IF(OR(A523="",N(E523)&lt;=0),"",COUNTIFS($AH$2:$AH$801,"&lt;"&amp;AH523,$E$2:$E$801,"&gt;0")+COUNTIFS($AH$2:AH523,AH523,$E$2:E523,"&gt;0"))</f>
        <v/>
      </c>
    </row>
    <row r="524" customFormat="false" ht="15" hidden="false" customHeight="false" outlineLevel="0" collapsed="false">
      <c r="A524" s="11" t="str">
        <f aca="false">IF(INVENTÁRIO!A524="","",INVENTÁRIO!A524)</f>
        <v/>
      </c>
      <c r="B524" s="11" t="str">
        <f aca="false">IF(A524="","",INVENTÁRIO!B524)</f>
        <v/>
      </c>
      <c r="C524" s="16" t="str">
        <f aca="false">IF(A524="","",INVENTÁRIO!C524)</f>
        <v/>
      </c>
      <c r="D524" s="14" t="str">
        <f aca="false">IF(A524="","",MAX(K524:AD524))</f>
        <v/>
      </c>
      <c r="E524" s="14" t="str">
        <f aca="false">IF(A524="","",MAX(0,D524-C524))</f>
        <v/>
      </c>
      <c r="F524" s="16" t="str">
        <f aca="false">IF(A524="","",IF(D524=0,"Fora dos decks",IF(E524=0,"Completo","Falta")))</f>
        <v/>
      </c>
      <c r="G524" s="16" t="str">
        <f aca="false">IF(A524="","",COUNTIF(K524:AD524,"&gt;0"))</f>
        <v/>
      </c>
      <c r="H524" s="16" t="str">
        <f aca="false">IF(A524="","",IF(G524&gt;1,"Sim",""))</f>
        <v/>
      </c>
      <c r="I524" s="18" t="str">
        <f aca="false">IF(A524="","",SUMIFS(DECKS!$D$2:$D$1201,DECKS!$B$2:$B$1201,A524))</f>
        <v/>
      </c>
      <c r="J524" s="18" t="str">
        <f aca="false">IF(A524="","",MAX(0,I524-C524))</f>
        <v/>
      </c>
      <c r="K524" s="19" t="str">
        <f aca="false">IF(OR($A524="",INDEX(_LEITURA!$Q$2:$Q$21,1)=0),"",SUMIFS(DECKS!$D$2:$D$1201,DECKS!$A$2:$A$1201,INDEX(_LEITURA!$P$2:$P$21,1),DECKS!$B$2:$B$1201,$A524))</f>
        <v/>
      </c>
      <c r="L524" s="19" t="str">
        <f aca="false">IF(OR($A524="",INDEX(_LEITURA!$Q$2:$Q$21,2)=0),"",SUMIFS(DECKS!$D$2:$D$1201,DECKS!$A$2:$A$1201,INDEX(_LEITURA!$P$2:$P$21,2),DECKS!$B$2:$B$1201,$A524))</f>
        <v/>
      </c>
      <c r="M524" s="19" t="str">
        <f aca="false">IF(OR($A524="",INDEX(_LEITURA!$Q$2:$Q$21,3)=0),"",SUMIFS(DECKS!$D$2:$D$1201,DECKS!$A$2:$A$1201,INDEX(_LEITURA!$P$2:$P$21,3),DECKS!$B$2:$B$1201,$A524))</f>
        <v/>
      </c>
      <c r="N524" s="19" t="str">
        <f aca="false">IF(OR($A524="",INDEX(_LEITURA!$Q$2:$Q$21,4)=0),"",SUMIFS(DECKS!$D$2:$D$1201,DECKS!$A$2:$A$1201,INDEX(_LEITURA!$P$2:$P$21,4),DECKS!$B$2:$B$1201,$A524))</f>
        <v/>
      </c>
      <c r="O524" s="19" t="str">
        <f aca="false">IF(OR($A524="",INDEX(_LEITURA!$Q$2:$Q$21,5)=0),"",SUMIFS(DECKS!$D$2:$D$1201,DECKS!$A$2:$A$1201,INDEX(_LEITURA!$P$2:$P$21,5),DECKS!$B$2:$B$1201,$A524))</f>
        <v/>
      </c>
      <c r="P524" s="19" t="str">
        <f aca="false">IF(OR($A524="",INDEX(_LEITURA!$Q$2:$Q$21,6)=0),"",SUMIFS(DECKS!$D$2:$D$1201,DECKS!$A$2:$A$1201,INDEX(_LEITURA!$P$2:$P$21,6),DECKS!$B$2:$B$1201,$A524))</f>
        <v/>
      </c>
      <c r="Q524" s="19" t="str">
        <f aca="false">IF(OR($A524="",INDEX(_LEITURA!$Q$2:$Q$21,7)=0),"",SUMIFS(DECKS!$D$2:$D$1201,DECKS!$A$2:$A$1201,INDEX(_LEITURA!$P$2:$P$21,7),DECKS!$B$2:$B$1201,$A524))</f>
        <v/>
      </c>
      <c r="R524" s="19" t="str">
        <f aca="false">IF(OR($A524="",INDEX(_LEITURA!$Q$2:$Q$21,8)=0),"",SUMIFS(DECKS!$D$2:$D$1201,DECKS!$A$2:$A$1201,INDEX(_LEITURA!$P$2:$P$21,8),DECKS!$B$2:$B$1201,$A524))</f>
        <v/>
      </c>
      <c r="S524" s="19" t="str">
        <f aca="false">IF(OR($A524="",INDEX(_LEITURA!$Q$2:$Q$21,9)=0),"",SUMIFS(DECKS!$D$2:$D$1201,DECKS!$A$2:$A$1201,INDEX(_LEITURA!$P$2:$P$21,9),DECKS!$B$2:$B$1201,$A524))</f>
        <v/>
      </c>
      <c r="T524" s="19" t="str">
        <f aca="false">IF(OR($A524="",INDEX(_LEITURA!$Q$2:$Q$21,10)=0),"",SUMIFS(DECKS!$D$2:$D$1201,DECKS!$A$2:$A$1201,INDEX(_LEITURA!$P$2:$P$21,10),DECKS!$B$2:$B$1201,$A524))</f>
        <v/>
      </c>
      <c r="U524" s="19" t="str">
        <f aca="false">IF(OR($A524="",INDEX(_LEITURA!$Q$2:$Q$21,11)=0),"",SUMIFS(DECKS!$D$2:$D$1201,DECKS!$A$2:$A$1201,INDEX(_LEITURA!$P$2:$P$21,11),DECKS!$B$2:$B$1201,$A524))</f>
        <v/>
      </c>
      <c r="V524" s="19" t="str">
        <f aca="false">IF(OR($A524="",INDEX(_LEITURA!$Q$2:$Q$21,12)=0),"",SUMIFS(DECKS!$D$2:$D$1201,DECKS!$A$2:$A$1201,INDEX(_LEITURA!$P$2:$P$21,12),DECKS!$B$2:$B$1201,$A524))</f>
        <v/>
      </c>
      <c r="W524" s="19" t="str">
        <f aca="false">IF(OR($A524="",INDEX(_LEITURA!$Q$2:$Q$21,13)=0),"",SUMIFS(DECKS!$D$2:$D$1201,DECKS!$A$2:$A$1201,INDEX(_LEITURA!$P$2:$P$21,13),DECKS!$B$2:$B$1201,$A524))</f>
        <v/>
      </c>
      <c r="X524" s="19" t="str">
        <f aca="false">IF(OR($A524="",INDEX(_LEITURA!$Q$2:$Q$21,14)=0),"",SUMIFS(DECKS!$D$2:$D$1201,DECKS!$A$2:$A$1201,INDEX(_LEITURA!$P$2:$P$21,14),DECKS!$B$2:$B$1201,$A524))</f>
        <v/>
      </c>
      <c r="Y524" s="19" t="str">
        <f aca="false">IF(OR($A524="",INDEX(_LEITURA!$Q$2:$Q$21,15)=0),"",SUMIFS(DECKS!$D$2:$D$1201,DECKS!$A$2:$A$1201,INDEX(_LEITURA!$P$2:$P$21,15),DECKS!$B$2:$B$1201,$A524))</f>
        <v/>
      </c>
      <c r="Z524" s="19" t="str">
        <f aca="false">IF(OR($A524="",INDEX(_LEITURA!$Q$2:$Q$21,16)=0),"",SUMIFS(DECKS!$D$2:$D$1201,DECKS!$A$2:$A$1201,INDEX(_LEITURA!$P$2:$P$21,16),DECKS!$B$2:$B$1201,$A524))</f>
        <v/>
      </c>
      <c r="AA524" s="19" t="str">
        <f aca="false">IF(OR($A524="",INDEX(_LEITURA!$Q$2:$Q$21,17)=0),"",SUMIFS(DECKS!$D$2:$D$1201,DECKS!$A$2:$A$1201,INDEX(_LEITURA!$P$2:$P$21,17),DECKS!$B$2:$B$1201,$A524))</f>
        <v/>
      </c>
      <c r="AB524" s="19" t="str">
        <f aca="false">IF(OR($A524="",INDEX(_LEITURA!$Q$2:$Q$21,18)=0),"",SUMIFS(DECKS!$D$2:$D$1201,DECKS!$A$2:$A$1201,INDEX(_LEITURA!$P$2:$P$21,18),DECKS!$B$2:$B$1201,$A524))</f>
        <v/>
      </c>
      <c r="AC524" s="19" t="str">
        <f aca="false">IF(OR($A524="",INDEX(_LEITURA!$Q$2:$Q$21,19)=0),"",SUMIFS(DECKS!$D$2:$D$1201,DECKS!$A$2:$A$1201,INDEX(_LEITURA!$P$2:$P$21,19),DECKS!$B$2:$B$1201,$A524))</f>
        <v/>
      </c>
      <c r="AD524" s="19" t="str">
        <f aca="false">IF(OR($A524="",INDEX(_LEITURA!$Q$2:$Q$21,20)=0),"",SUMIFS(DECKS!$D$2:$D$1201,DECKS!$A$2:$A$1201,INDEX(_LEITURA!$P$2:$P$21,20),DECKS!$B$2:$B$1201,$A524))</f>
        <v/>
      </c>
      <c r="AE524" s="16" t="str">
        <f aca="false">IF(N(E524)&gt;0,MAX(AE$1:AE523)+1,"")</f>
        <v/>
      </c>
      <c r="AF524" s="11" t="str">
        <f aca="false">IF(A524="","",IFERROR(LEFT(A524,FIND("-",A524)-1),A524))</f>
        <v/>
      </c>
      <c r="AG524" s="11" t="str">
        <f aca="false">IF(AF524="","",IF(ISNUMBER(--MID(AF524,1,1)),0,IF(ISNUMBER(--MID(AF524,2,1)),1,IF(ISNUMBER(--MID(AF524,3,1)),2,IF(ISNUMBER(--MID(AF524,4,1)),3,MIN(LEN(AF524),4))))))</f>
        <v/>
      </c>
      <c r="AH524" s="11" t="str">
        <f aca="false">IF(A524="","",LEFT(AF524,AG524)&amp;REPT("0",4-AG524)&amp;RIGHT("000"&amp;IFERROR(VALUE(MID(AF524,AG524+1,9)),0),3)&amp;RIGHT("0000"&amp;IFERROR(VALUE(MID(A524,FIND("-",A524)+1,9)),0),4))</f>
        <v/>
      </c>
      <c r="AI524" s="11" t="str">
        <f aca="false">IF(OR(A524="",N(E524)&lt;=0),"",IF('FALTAS GERAL'!$M$1="Código","K"&amp;AH524&amp;RIGHT("00000"&amp;ROW(),5),IF('FALTAS GERAL'!$M$1="Nome","K"&amp;UPPER(SUBSTITUTE(SUBSTITUTE(SUBSTITUTE(B524,"*",""),"?",""),"~",""))&amp;"0"&amp;AH524&amp;RIGHT("00000"&amp;ROW(),5),IF('FALTAS GERAL'!$M$1="Falta (maior primeiro)","K"&amp;RIGHT("0000"&amp;(9999-E524),4)&amp;AH524&amp;RIGHT("00000"&amp;ROW(),5),IF('FALTAS GERAL'!$M$1="Nº de decks (maior primeiro)","K"&amp;RIGHT("00"&amp;(99-N(G524)),2)&amp;AH524&amp;RIGHT("00000"&amp;ROW(),5),"K"&amp;RIGHT("00000"&amp;ROW(),5))))))</f>
        <v/>
      </c>
      <c r="AJ524" s="11" t="str">
        <f aca="false">IF(AI524="","",COUNTIFS($AI$2:$AI$801,"&lt;"&amp;AI524,$E$2:$E$801,"&gt;0")+1)</f>
        <v/>
      </c>
      <c r="AK524" s="11" t="str">
        <f aca="false">IF(OR(A524="",N(E524)&lt;=0),"",COUNTIFS($AH$2:$AH$801,"&lt;"&amp;AH524,$E$2:$E$801,"&gt;0")+COUNTIFS($AH$2:AH524,AH524,$E$2:E524,"&gt;0"))</f>
        <v/>
      </c>
    </row>
    <row r="525" customFormat="false" ht="15" hidden="false" customHeight="false" outlineLevel="0" collapsed="false">
      <c r="A525" s="11" t="str">
        <f aca="false">IF(INVENTÁRIO!A525="","",INVENTÁRIO!A525)</f>
        <v/>
      </c>
      <c r="B525" s="11" t="str">
        <f aca="false">IF(A525="","",INVENTÁRIO!B525)</f>
        <v/>
      </c>
      <c r="C525" s="16" t="str">
        <f aca="false">IF(A525="","",INVENTÁRIO!C525)</f>
        <v/>
      </c>
      <c r="D525" s="14" t="str">
        <f aca="false">IF(A525="","",MAX(K525:AD525))</f>
        <v/>
      </c>
      <c r="E525" s="14" t="str">
        <f aca="false">IF(A525="","",MAX(0,D525-C525))</f>
        <v/>
      </c>
      <c r="F525" s="16" t="str">
        <f aca="false">IF(A525="","",IF(D525=0,"Fora dos decks",IF(E525=0,"Completo","Falta")))</f>
        <v/>
      </c>
      <c r="G525" s="16" t="str">
        <f aca="false">IF(A525="","",COUNTIF(K525:AD525,"&gt;0"))</f>
        <v/>
      </c>
      <c r="H525" s="16" t="str">
        <f aca="false">IF(A525="","",IF(G525&gt;1,"Sim",""))</f>
        <v/>
      </c>
      <c r="I525" s="18" t="str">
        <f aca="false">IF(A525="","",SUMIFS(DECKS!$D$2:$D$1201,DECKS!$B$2:$B$1201,A525))</f>
        <v/>
      </c>
      <c r="J525" s="18" t="str">
        <f aca="false">IF(A525="","",MAX(0,I525-C525))</f>
        <v/>
      </c>
      <c r="K525" s="19" t="str">
        <f aca="false">IF(OR($A525="",INDEX(_LEITURA!$Q$2:$Q$21,1)=0),"",SUMIFS(DECKS!$D$2:$D$1201,DECKS!$A$2:$A$1201,INDEX(_LEITURA!$P$2:$P$21,1),DECKS!$B$2:$B$1201,$A525))</f>
        <v/>
      </c>
      <c r="L525" s="19" t="str">
        <f aca="false">IF(OR($A525="",INDEX(_LEITURA!$Q$2:$Q$21,2)=0),"",SUMIFS(DECKS!$D$2:$D$1201,DECKS!$A$2:$A$1201,INDEX(_LEITURA!$P$2:$P$21,2),DECKS!$B$2:$B$1201,$A525))</f>
        <v/>
      </c>
      <c r="M525" s="19" t="str">
        <f aca="false">IF(OR($A525="",INDEX(_LEITURA!$Q$2:$Q$21,3)=0),"",SUMIFS(DECKS!$D$2:$D$1201,DECKS!$A$2:$A$1201,INDEX(_LEITURA!$P$2:$P$21,3),DECKS!$B$2:$B$1201,$A525))</f>
        <v/>
      </c>
      <c r="N525" s="19" t="str">
        <f aca="false">IF(OR($A525="",INDEX(_LEITURA!$Q$2:$Q$21,4)=0),"",SUMIFS(DECKS!$D$2:$D$1201,DECKS!$A$2:$A$1201,INDEX(_LEITURA!$P$2:$P$21,4),DECKS!$B$2:$B$1201,$A525))</f>
        <v/>
      </c>
      <c r="O525" s="19" t="str">
        <f aca="false">IF(OR($A525="",INDEX(_LEITURA!$Q$2:$Q$21,5)=0),"",SUMIFS(DECKS!$D$2:$D$1201,DECKS!$A$2:$A$1201,INDEX(_LEITURA!$P$2:$P$21,5),DECKS!$B$2:$B$1201,$A525))</f>
        <v/>
      </c>
      <c r="P525" s="19" t="str">
        <f aca="false">IF(OR($A525="",INDEX(_LEITURA!$Q$2:$Q$21,6)=0),"",SUMIFS(DECKS!$D$2:$D$1201,DECKS!$A$2:$A$1201,INDEX(_LEITURA!$P$2:$P$21,6),DECKS!$B$2:$B$1201,$A525))</f>
        <v/>
      </c>
      <c r="Q525" s="19" t="str">
        <f aca="false">IF(OR($A525="",INDEX(_LEITURA!$Q$2:$Q$21,7)=0),"",SUMIFS(DECKS!$D$2:$D$1201,DECKS!$A$2:$A$1201,INDEX(_LEITURA!$P$2:$P$21,7),DECKS!$B$2:$B$1201,$A525))</f>
        <v/>
      </c>
      <c r="R525" s="19" t="str">
        <f aca="false">IF(OR($A525="",INDEX(_LEITURA!$Q$2:$Q$21,8)=0),"",SUMIFS(DECKS!$D$2:$D$1201,DECKS!$A$2:$A$1201,INDEX(_LEITURA!$P$2:$P$21,8),DECKS!$B$2:$B$1201,$A525))</f>
        <v/>
      </c>
      <c r="S525" s="19" t="str">
        <f aca="false">IF(OR($A525="",INDEX(_LEITURA!$Q$2:$Q$21,9)=0),"",SUMIFS(DECKS!$D$2:$D$1201,DECKS!$A$2:$A$1201,INDEX(_LEITURA!$P$2:$P$21,9),DECKS!$B$2:$B$1201,$A525))</f>
        <v/>
      </c>
      <c r="T525" s="19" t="str">
        <f aca="false">IF(OR($A525="",INDEX(_LEITURA!$Q$2:$Q$21,10)=0),"",SUMIFS(DECKS!$D$2:$D$1201,DECKS!$A$2:$A$1201,INDEX(_LEITURA!$P$2:$P$21,10),DECKS!$B$2:$B$1201,$A525))</f>
        <v/>
      </c>
      <c r="U525" s="19" t="str">
        <f aca="false">IF(OR($A525="",INDEX(_LEITURA!$Q$2:$Q$21,11)=0),"",SUMIFS(DECKS!$D$2:$D$1201,DECKS!$A$2:$A$1201,INDEX(_LEITURA!$P$2:$P$21,11),DECKS!$B$2:$B$1201,$A525))</f>
        <v/>
      </c>
      <c r="V525" s="19" t="str">
        <f aca="false">IF(OR($A525="",INDEX(_LEITURA!$Q$2:$Q$21,12)=0),"",SUMIFS(DECKS!$D$2:$D$1201,DECKS!$A$2:$A$1201,INDEX(_LEITURA!$P$2:$P$21,12),DECKS!$B$2:$B$1201,$A525))</f>
        <v/>
      </c>
      <c r="W525" s="19" t="str">
        <f aca="false">IF(OR($A525="",INDEX(_LEITURA!$Q$2:$Q$21,13)=0),"",SUMIFS(DECKS!$D$2:$D$1201,DECKS!$A$2:$A$1201,INDEX(_LEITURA!$P$2:$P$21,13),DECKS!$B$2:$B$1201,$A525))</f>
        <v/>
      </c>
      <c r="X525" s="19" t="str">
        <f aca="false">IF(OR($A525="",INDEX(_LEITURA!$Q$2:$Q$21,14)=0),"",SUMIFS(DECKS!$D$2:$D$1201,DECKS!$A$2:$A$1201,INDEX(_LEITURA!$P$2:$P$21,14),DECKS!$B$2:$B$1201,$A525))</f>
        <v/>
      </c>
      <c r="Y525" s="19" t="str">
        <f aca="false">IF(OR($A525="",INDEX(_LEITURA!$Q$2:$Q$21,15)=0),"",SUMIFS(DECKS!$D$2:$D$1201,DECKS!$A$2:$A$1201,INDEX(_LEITURA!$P$2:$P$21,15),DECKS!$B$2:$B$1201,$A525))</f>
        <v/>
      </c>
      <c r="Z525" s="19" t="str">
        <f aca="false">IF(OR($A525="",INDEX(_LEITURA!$Q$2:$Q$21,16)=0),"",SUMIFS(DECKS!$D$2:$D$1201,DECKS!$A$2:$A$1201,INDEX(_LEITURA!$P$2:$P$21,16),DECKS!$B$2:$B$1201,$A525))</f>
        <v/>
      </c>
      <c r="AA525" s="19" t="str">
        <f aca="false">IF(OR($A525="",INDEX(_LEITURA!$Q$2:$Q$21,17)=0),"",SUMIFS(DECKS!$D$2:$D$1201,DECKS!$A$2:$A$1201,INDEX(_LEITURA!$P$2:$P$21,17),DECKS!$B$2:$B$1201,$A525))</f>
        <v/>
      </c>
      <c r="AB525" s="19" t="str">
        <f aca="false">IF(OR($A525="",INDEX(_LEITURA!$Q$2:$Q$21,18)=0),"",SUMIFS(DECKS!$D$2:$D$1201,DECKS!$A$2:$A$1201,INDEX(_LEITURA!$P$2:$P$21,18),DECKS!$B$2:$B$1201,$A525))</f>
        <v/>
      </c>
      <c r="AC525" s="19" t="str">
        <f aca="false">IF(OR($A525="",INDEX(_LEITURA!$Q$2:$Q$21,19)=0),"",SUMIFS(DECKS!$D$2:$D$1201,DECKS!$A$2:$A$1201,INDEX(_LEITURA!$P$2:$P$21,19),DECKS!$B$2:$B$1201,$A525))</f>
        <v/>
      </c>
      <c r="AD525" s="19" t="str">
        <f aca="false">IF(OR($A525="",INDEX(_LEITURA!$Q$2:$Q$21,20)=0),"",SUMIFS(DECKS!$D$2:$D$1201,DECKS!$A$2:$A$1201,INDEX(_LEITURA!$P$2:$P$21,20),DECKS!$B$2:$B$1201,$A525))</f>
        <v/>
      </c>
      <c r="AE525" s="16" t="str">
        <f aca="false">IF(N(E525)&gt;0,MAX(AE$1:AE524)+1,"")</f>
        <v/>
      </c>
      <c r="AF525" s="11" t="str">
        <f aca="false">IF(A525="","",IFERROR(LEFT(A525,FIND("-",A525)-1),A525))</f>
        <v/>
      </c>
      <c r="AG525" s="11" t="str">
        <f aca="false">IF(AF525="","",IF(ISNUMBER(--MID(AF525,1,1)),0,IF(ISNUMBER(--MID(AF525,2,1)),1,IF(ISNUMBER(--MID(AF525,3,1)),2,IF(ISNUMBER(--MID(AF525,4,1)),3,MIN(LEN(AF525),4))))))</f>
        <v/>
      </c>
      <c r="AH525" s="11" t="str">
        <f aca="false">IF(A525="","",LEFT(AF525,AG525)&amp;REPT("0",4-AG525)&amp;RIGHT("000"&amp;IFERROR(VALUE(MID(AF525,AG525+1,9)),0),3)&amp;RIGHT("0000"&amp;IFERROR(VALUE(MID(A525,FIND("-",A525)+1,9)),0),4))</f>
        <v/>
      </c>
      <c r="AI525" s="11" t="str">
        <f aca="false">IF(OR(A525="",N(E525)&lt;=0),"",IF('FALTAS GERAL'!$M$1="Código","K"&amp;AH525&amp;RIGHT("00000"&amp;ROW(),5),IF('FALTAS GERAL'!$M$1="Nome","K"&amp;UPPER(SUBSTITUTE(SUBSTITUTE(SUBSTITUTE(B525,"*",""),"?",""),"~",""))&amp;"0"&amp;AH525&amp;RIGHT("00000"&amp;ROW(),5),IF('FALTAS GERAL'!$M$1="Falta (maior primeiro)","K"&amp;RIGHT("0000"&amp;(9999-E525),4)&amp;AH525&amp;RIGHT("00000"&amp;ROW(),5),IF('FALTAS GERAL'!$M$1="Nº de decks (maior primeiro)","K"&amp;RIGHT("00"&amp;(99-N(G525)),2)&amp;AH525&amp;RIGHT("00000"&amp;ROW(),5),"K"&amp;RIGHT("00000"&amp;ROW(),5))))))</f>
        <v/>
      </c>
      <c r="AJ525" s="11" t="str">
        <f aca="false">IF(AI525="","",COUNTIFS($AI$2:$AI$801,"&lt;"&amp;AI525,$E$2:$E$801,"&gt;0")+1)</f>
        <v/>
      </c>
      <c r="AK525" s="11" t="str">
        <f aca="false">IF(OR(A525="",N(E525)&lt;=0),"",COUNTIFS($AH$2:$AH$801,"&lt;"&amp;AH525,$E$2:$E$801,"&gt;0")+COUNTIFS($AH$2:AH525,AH525,$E$2:E525,"&gt;0"))</f>
        <v/>
      </c>
    </row>
    <row r="526" customFormat="false" ht="15" hidden="false" customHeight="false" outlineLevel="0" collapsed="false">
      <c r="A526" s="11" t="str">
        <f aca="false">IF(INVENTÁRIO!A526="","",INVENTÁRIO!A526)</f>
        <v/>
      </c>
      <c r="B526" s="11" t="str">
        <f aca="false">IF(A526="","",INVENTÁRIO!B526)</f>
        <v/>
      </c>
      <c r="C526" s="16" t="str">
        <f aca="false">IF(A526="","",INVENTÁRIO!C526)</f>
        <v/>
      </c>
      <c r="D526" s="14" t="str">
        <f aca="false">IF(A526="","",MAX(K526:AD526))</f>
        <v/>
      </c>
      <c r="E526" s="14" t="str">
        <f aca="false">IF(A526="","",MAX(0,D526-C526))</f>
        <v/>
      </c>
      <c r="F526" s="16" t="str">
        <f aca="false">IF(A526="","",IF(D526=0,"Fora dos decks",IF(E526=0,"Completo","Falta")))</f>
        <v/>
      </c>
      <c r="G526" s="16" t="str">
        <f aca="false">IF(A526="","",COUNTIF(K526:AD526,"&gt;0"))</f>
        <v/>
      </c>
      <c r="H526" s="16" t="str">
        <f aca="false">IF(A526="","",IF(G526&gt;1,"Sim",""))</f>
        <v/>
      </c>
      <c r="I526" s="18" t="str">
        <f aca="false">IF(A526="","",SUMIFS(DECKS!$D$2:$D$1201,DECKS!$B$2:$B$1201,A526))</f>
        <v/>
      </c>
      <c r="J526" s="18" t="str">
        <f aca="false">IF(A526="","",MAX(0,I526-C526))</f>
        <v/>
      </c>
      <c r="K526" s="19" t="str">
        <f aca="false">IF(OR($A526="",INDEX(_LEITURA!$Q$2:$Q$21,1)=0),"",SUMIFS(DECKS!$D$2:$D$1201,DECKS!$A$2:$A$1201,INDEX(_LEITURA!$P$2:$P$21,1),DECKS!$B$2:$B$1201,$A526))</f>
        <v/>
      </c>
      <c r="L526" s="19" t="str">
        <f aca="false">IF(OR($A526="",INDEX(_LEITURA!$Q$2:$Q$21,2)=0),"",SUMIFS(DECKS!$D$2:$D$1201,DECKS!$A$2:$A$1201,INDEX(_LEITURA!$P$2:$P$21,2),DECKS!$B$2:$B$1201,$A526))</f>
        <v/>
      </c>
      <c r="M526" s="19" t="str">
        <f aca="false">IF(OR($A526="",INDEX(_LEITURA!$Q$2:$Q$21,3)=0),"",SUMIFS(DECKS!$D$2:$D$1201,DECKS!$A$2:$A$1201,INDEX(_LEITURA!$P$2:$P$21,3),DECKS!$B$2:$B$1201,$A526))</f>
        <v/>
      </c>
      <c r="N526" s="19" t="str">
        <f aca="false">IF(OR($A526="",INDEX(_LEITURA!$Q$2:$Q$21,4)=0),"",SUMIFS(DECKS!$D$2:$D$1201,DECKS!$A$2:$A$1201,INDEX(_LEITURA!$P$2:$P$21,4),DECKS!$B$2:$B$1201,$A526))</f>
        <v/>
      </c>
      <c r="O526" s="19" t="str">
        <f aca="false">IF(OR($A526="",INDEX(_LEITURA!$Q$2:$Q$21,5)=0),"",SUMIFS(DECKS!$D$2:$D$1201,DECKS!$A$2:$A$1201,INDEX(_LEITURA!$P$2:$P$21,5),DECKS!$B$2:$B$1201,$A526))</f>
        <v/>
      </c>
      <c r="P526" s="19" t="str">
        <f aca="false">IF(OR($A526="",INDEX(_LEITURA!$Q$2:$Q$21,6)=0),"",SUMIFS(DECKS!$D$2:$D$1201,DECKS!$A$2:$A$1201,INDEX(_LEITURA!$P$2:$P$21,6),DECKS!$B$2:$B$1201,$A526))</f>
        <v/>
      </c>
      <c r="Q526" s="19" t="str">
        <f aca="false">IF(OR($A526="",INDEX(_LEITURA!$Q$2:$Q$21,7)=0),"",SUMIFS(DECKS!$D$2:$D$1201,DECKS!$A$2:$A$1201,INDEX(_LEITURA!$P$2:$P$21,7),DECKS!$B$2:$B$1201,$A526))</f>
        <v/>
      </c>
      <c r="R526" s="19" t="str">
        <f aca="false">IF(OR($A526="",INDEX(_LEITURA!$Q$2:$Q$21,8)=0),"",SUMIFS(DECKS!$D$2:$D$1201,DECKS!$A$2:$A$1201,INDEX(_LEITURA!$P$2:$P$21,8),DECKS!$B$2:$B$1201,$A526))</f>
        <v/>
      </c>
      <c r="S526" s="19" t="str">
        <f aca="false">IF(OR($A526="",INDEX(_LEITURA!$Q$2:$Q$21,9)=0),"",SUMIFS(DECKS!$D$2:$D$1201,DECKS!$A$2:$A$1201,INDEX(_LEITURA!$P$2:$P$21,9),DECKS!$B$2:$B$1201,$A526))</f>
        <v/>
      </c>
      <c r="T526" s="19" t="str">
        <f aca="false">IF(OR($A526="",INDEX(_LEITURA!$Q$2:$Q$21,10)=0),"",SUMIFS(DECKS!$D$2:$D$1201,DECKS!$A$2:$A$1201,INDEX(_LEITURA!$P$2:$P$21,10),DECKS!$B$2:$B$1201,$A526))</f>
        <v/>
      </c>
      <c r="U526" s="19" t="str">
        <f aca="false">IF(OR($A526="",INDEX(_LEITURA!$Q$2:$Q$21,11)=0),"",SUMIFS(DECKS!$D$2:$D$1201,DECKS!$A$2:$A$1201,INDEX(_LEITURA!$P$2:$P$21,11),DECKS!$B$2:$B$1201,$A526))</f>
        <v/>
      </c>
      <c r="V526" s="19" t="str">
        <f aca="false">IF(OR($A526="",INDEX(_LEITURA!$Q$2:$Q$21,12)=0),"",SUMIFS(DECKS!$D$2:$D$1201,DECKS!$A$2:$A$1201,INDEX(_LEITURA!$P$2:$P$21,12),DECKS!$B$2:$B$1201,$A526))</f>
        <v/>
      </c>
      <c r="W526" s="19" t="str">
        <f aca="false">IF(OR($A526="",INDEX(_LEITURA!$Q$2:$Q$21,13)=0),"",SUMIFS(DECKS!$D$2:$D$1201,DECKS!$A$2:$A$1201,INDEX(_LEITURA!$P$2:$P$21,13),DECKS!$B$2:$B$1201,$A526))</f>
        <v/>
      </c>
      <c r="X526" s="19" t="str">
        <f aca="false">IF(OR($A526="",INDEX(_LEITURA!$Q$2:$Q$21,14)=0),"",SUMIFS(DECKS!$D$2:$D$1201,DECKS!$A$2:$A$1201,INDEX(_LEITURA!$P$2:$P$21,14),DECKS!$B$2:$B$1201,$A526))</f>
        <v/>
      </c>
      <c r="Y526" s="19" t="str">
        <f aca="false">IF(OR($A526="",INDEX(_LEITURA!$Q$2:$Q$21,15)=0),"",SUMIFS(DECKS!$D$2:$D$1201,DECKS!$A$2:$A$1201,INDEX(_LEITURA!$P$2:$P$21,15),DECKS!$B$2:$B$1201,$A526))</f>
        <v/>
      </c>
      <c r="Z526" s="19" t="str">
        <f aca="false">IF(OR($A526="",INDEX(_LEITURA!$Q$2:$Q$21,16)=0),"",SUMIFS(DECKS!$D$2:$D$1201,DECKS!$A$2:$A$1201,INDEX(_LEITURA!$P$2:$P$21,16),DECKS!$B$2:$B$1201,$A526))</f>
        <v/>
      </c>
      <c r="AA526" s="19" t="str">
        <f aca="false">IF(OR($A526="",INDEX(_LEITURA!$Q$2:$Q$21,17)=0),"",SUMIFS(DECKS!$D$2:$D$1201,DECKS!$A$2:$A$1201,INDEX(_LEITURA!$P$2:$P$21,17),DECKS!$B$2:$B$1201,$A526))</f>
        <v/>
      </c>
      <c r="AB526" s="19" t="str">
        <f aca="false">IF(OR($A526="",INDEX(_LEITURA!$Q$2:$Q$21,18)=0),"",SUMIFS(DECKS!$D$2:$D$1201,DECKS!$A$2:$A$1201,INDEX(_LEITURA!$P$2:$P$21,18),DECKS!$B$2:$B$1201,$A526))</f>
        <v/>
      </c>
      <c r="AC526" s="19" t="str">
        <f aca="false">IF(OR($A526="",INDEX(_LEITURA!$Q$2:$Q$21,19)=0),"",SUMIFS(DECKS!$D$2:$D$1201,DECKS!$A$2:$A$1201,INDEX(_LEITURA!$P$2:$P$21,19),DECKS!$B$2:$B$1201,$A526))</f>
        <v/>
      </c>
      <c r="AD526" s="19" t="str">
        <f aca="false">IF(OR($A526="",INDEX(_LEITURA!$Q$2:$Q$21,20)=0),"",SUMIFS(DECKS!$D$2:$D$1201,DECKS!$A$2:$A$1201,INDEX(_LEITURA!$P$2:$P$21,20),DECKS!$B$2:$B$1201,$A526))</f>
        <v/>
      </c>
      <c r="AE526" s="16" t="str">
        <f aca="false">IF(N(E526)&gt;0,MAX(AE$1:AE525)+1,"")</f>
        <v/>
      </c>
      <c r="AF526" s="11" t="str">
        <f aca="false">IF(A526="","",IFERROR(LEFT(A526,FIND("-",A526)-1),A526))</f>
        <v/>
      </c>
      <c r="AG526" s="11" t="str">
        <f aca="false">IF(AF526="","",IF(ISNUMBER(--MID(AF526,1,1)),0,IF(ISNUMBER(--MID(AF526,2,1)),1,IF(ISNUMBER(--MID(AF526,3,1)),2,IF(ISNUMBER(--MID(AF526,4,1)),3,MIN(LEN(AF526),4))))))</f>
        <v/>
      </c>
      <c r="AH526" s="11" t="str">
        <f aca="false">IF(A526="","",LEFT(AF526,AG526)&amp;REPT("0",4-AG526)&amp;RIGHT("000"&amp;IFERROR(VALUE(MID(AF526,AG526+1,9)),0),3)&amp;RIGHT("0000"&amp;IFERROR(VALUE(MID(A526,FIND("-",A526)+1,9)),0),4))</f>
        <v/>
      </c>
      <c r="AI526" s="11" t="str">
        <f aca="false">IF(OR(A526="",N(E526)&lt;=0),"",IF('FALTAS GERAL'!$M$1="Código","K"&amp;AH526&amp;RIGHT("00000"&amp;ROW(),5),IF('FALTAS GERAL'!$M$1="Nome","K"&amp;UPPER(SUBSTITUTE(SUBSTITUTE(SUBSTITUTE(B526,"*",""),"?",""),"~",""))&amp;"0"&amp;AH526&amp;RIGHT("00000"&amp;ROW(),5),IF('FALTAS GERAL'!$M$1="Falta (maior primeiro)","K"&amp;RIGHT("0000"&amp;(9999-E526),4)&amp;AH526&amp;RIGHT("00000"&amp;ROW(),5),IF('FALTAS GERAL'!$M$1="Nº de decks (maior primeiro)","K"&amp;RIGHT("00"&amp;(99-N(G526)),2)&amp;AH526&amp;RIGHT("00000"&amp;ROW(),5),"K"&amp;RIGHT("00000"&amp;ROW(),5))))))</f>
        <v/>
      </c>
      <c r="AJ526" s="11" t="str">
        <f aca="false">IF(AI526="","",COUNTIFS($AI$2:$AI$801,"&lt;"&amp;AI526,$E$2:$E$801,"&gt;0")+1)</f>
        <v/>
      </c>
      <c r="AK526" s="11" t="str">
        <f aca="false">IF(OR(A526="",N(E526)&lt;=0),"",COUNTIFS($AH$2:$AH$801,"&lt;"&amp;AH526,$E$2:$E$801,"&gt;0")+COUNTIFS($AH$2:AH526,AH526,$E$2:E526,"&gt;0"))</f>
        <v/>
      </c>
    </row>
    <row r="527" customFormat="false" ht="15" hidden="false" customHeight="false" outlineLevel="0" collapsed="false">
      <c r="A527" s="11" t="str">
        <f aca="false">IF(INVENTÁRIO!A527="","",INVENTÁRIO!A527)</f>
        <v/>
      </c>
      <c r="B527" s="11" t="str">
        <f aca="false">IF(A527="","",INVENTÁRIO!B527)</f>
        <v/>
      </c>
      <c r="C527" s="16" t="str">
        <f aca="false">IF(A527="","",INVENTÁRIO!C527)</f>
        <v/>
      </c>
      <c r="D527" s="14" t="str">
        <f aca="false">IF(A527="","",MAX(K527:AD527))</f>
        <v/>
      </c>
      <c r="E527" s="14" t="str">
        <f aca="false">IF(A527="","",MAX(0,D527-C527))</f>
        <v/>
      </c>
      <c r="F527" s="16" t="str">
        <f aca="false">IF(A527="","",IF(D527=0,"Fora dos decks",IF(E527=0,"Completo","Falta")))</f>
        <v/>
      </c>
      <c r="G527" s="16" t="str">
        <f aca="false">IF(A527="","",COUNTIF(K527:AD527,"&gt;0"))</f>
        <v/>
      </c>
      <c r="H527" s="16" t="str">
        <f aca="false">IF(A527="","",IF(G527&gt;1,"Sim",""))</f>
        <v/>
      </c>
      <c r="I527" s="18" t="str">
        <f aca="false">IF(A527="","",SUMIFS(DECKS!$D$2:$D$1201,DECKS!$B$2:$B$1201,A527))</f>
        <v/>
      </c>
      <c r="J527" s="18" t="str">
        <f aca="false">IF(A527="","",MAX(0,I527-C527))</f>
        <v/>
      </c>
      <c r="K527" s="19" t="str">
        <f aca="false">IF(OR($A527="",INDEX(_LEITURA!$Q$2:$Q$21,1)=0),"",SUMIFS(DECKS!$D$2:$D$1201,DECKS!$A$2:$A$1201,INDEX(_LEITURA!$P$2:$P$21,1),DECKS!$B$2:$B$1201,$A527))</f>
        <v/>
      </c>
      <c r="L527" s="19" t="str">
        <f aca="false">IF(OR($A527="",INDEX(_LEITURA!$Q$2:$Q$21,2)=0),"",SUMIFS(DECKS!$D$2:$D$1201,DECKS!$A$2:$A$1201,INDEX(_LEITURA!$P$2:$P$21,2),DECKS!$B$2:$B$1201,$A527))</f>
        <v/>
      </c>
      <c r="M527" s="19" t="str">
        <f aca="false">IF(OR($A527="",INDEX(_LEITURA!$Q$2:$Q$21,3)=0),"",SUMIFS(DECKS!$D$2:$D$1201,DECKS!$A$2:$A$1201,INDEX(_LEITURA!$P$2:$P$21,3),DECKS!$B$2:$B$1201,$A527))</f>
        <v/>
      </c>
      <c r="N527" s="19" t="str">
        <f aca="false">IF(OR($A527="",INDEX(_LEITURA!$Q$2:$Q$21,4)=0),"",SUMIFS(DECKS!$D$2:$D$1201,DECKS!$A$2:$A$1201,INDEX(_LEITURA!$P$2:$P$21,4),DECKS!$B$2:$B$1201,$A527))</f>
        <v/>
      </c>
      <c r="O527" s="19" t="str">
        <f aca="false">IF(OR($A527="",INDEX(_LEITURA!$Q$2:$Q$21,5)=0),"",SUMIFS(DECKS!$D$2:$D$1201,DECKS!$A$2:$A$1201,INDEX(_LEITURA!$P$2:$P$21,5),DECKS!$B$2:$B$1201,$A527))</f>
        <v/>
      </c>
      <c r="P527" s="19" t="str">
        <f aca="false">IF(OR($A527="",INDEX(_LEITURA!$Q$2:$Q$21,6)=0),"",SUMIFS(DECKS!$D$2:$D$1201,DECKS!$A$2:$A$1201,INDEX(_LEITURA!$P$2:$P$21,6),DECKS!$B$2:$B$1201,$A527))</f>
        <v/>
      </c>
      <c r="Q527" s="19" t="str">
        <f aca="false">IF(OR($A527="",INDEX(_LEITURA!$Q$2:$Q$21,7)=0),"",SUMIFS(DECKS!$D$2:$D$1201,DECKS!$A$2:$A$1201,INDEX(_LEITURA!$P$2:$P$21,7),DECKS!$B$2:$B$1201,$A527))</f>
        <v/>
      </c>
      <c r="R527" s="19" t="str">
        <f aca="false">IF(OR($A527="",INDEX(_LEITURA!$Q$2:$Q$21,8)=0),"",SUMIFS(DECKS!$D$2:$D$1201,DECKS!$A$2:$A$1201,INDEX(_LEITURA!$P$2:$P$21,8),DECKS!$B$2:$B$1201,$A527))</f>
        <v/>
      </c>
      <c r="S527" s="19" t="str">
        <f aca="false">IF(OR($A527="",INDEX(_LEITURA!$Q$2:$Q$21,9)=0),"",SUMIFS(DECKS!$D$2:$D$1201,DECKS!$A$2:$A$1201,INDEX(_LEITURA!$P$2:$P$21,9),DECKS!$B$2:$B$1201,$A527))</f>
        <v/>
      </c>
      <c r="T527" s="19" t="str">
        <f aca="false">IF(OR($A527="",INDEX(_LEITURA!$Q$2:$Q$21,10)=0),"",SUMIFS(DECKS!$D$2:$D$1201,DECKS!$A$2:$A$1201,INDEX(_LEITURA!$P$2:$P$21,10),DECKS!$B$2:$B$1201,$A527))</f>
        <v/>
      </c>
      <c r="U527" s="19" t="str">
        <f aca="false">IF(OR($A527="",INDEX(_LEITURA!$Q$2:$Q$21,11)=0),"",SUMIFS(DECKS!$D$2:$D$1201,DECKS!$A$2:$A$1201,INDEX(_LEITURA!$P$2:$P$21,11),DECKS!$B$2:$B$1201,$A527))</f>
        <v/>
      </c>
      <c r="V527" s="19" t="str">
        <f aca="false">IF(OR($A527="",INDEX(_LEITURA!$Q$2:$Q$21,12)=0),"",SUMIFS(DECKS!$D$2:$D$1201,DECKS!$A$2:$A$1201,INDEX(_LEITURA!$P$2:$P$21,12),DECKS!$B$2:$B$1201,$A527))</f>
        <v/>
      </c>
      <c r="W527" s="19" t="str">
        <f aca="false">IF(OR($A527="",INDEX(_LEITURA!$Q$2:$Q$21,13)=0),"",SUMIFS(DECKS!$D$2:$D$1201,DECKS!$A$2:$A$1201,INDEX(_LEITURA!$P$2:$P$21,13),DECKS!$B$2:$B$1201,$A527))</f>
        <v/>
      </c>
      <c r="X527" s="19" t="str">
        <f aca="false">IF(OR($A527="",INDEX(_LEITURA!$Q$2:$Q$21,14)=0),"",SUMIFS(DECKS!$D$2:$D$1201,DECKS!$A$2:$A$1201,INDEX(_LEITURA!$P$2:$P$21,14),DECKS!$B$2:$B$1201,$A527))</f>
        <v/>
      </c>
      <c r="Y527" s="19" t="str">
        <f aca="false">IF(OR($A527="",INDEX(_LEITURA!$Q$2:$Q$21,15)=0),"",SUMIFS(DECKS!$D$2:$D$1201,DECKS!$A$2:$A$1201,INDEX(_LEITURA!$P$2:$P$21,15),DECKS!$B$2:$B$1201,$A527))</f>
        <v/>
      </c>
      <c r="Z527" s="19" t="str">
        <f aca="false">IF(OR($A527="",INDEX(_LEITURA!$Q$2:$Q$21,16)=0),"",SUMIFS(DECKS!$D$2:$D$1201,DECKS!$A$2:$A$1201,INDEX(_LEITURA!$P$2:$P$21,16),DECKS!$B$2:$B$1201,$A527))</f>
        <v/>
      </c>
      <c r="AA527" s="19" t="str">
        <f aca="false">IF(OR($A527="",INDEX(_LEITURA!$Q$2:$Q$21,17)=0),"",SUMIFS(DECKS!$D$2:$D$1201,DECKS!$A$2:$A$1201,INDEX(_LEITURA!$P$2:$P$21,17),DECKS!$B$2:$B$1201,$A527))</f>
        <v/>
      </c>
      <c r="AB527" s="19" t="str">
        <f aca="false">IF(OR($A527="",INDEX(_LEITURA!$Q$2:$Q$21,18)=0),"",SUMIFS(DECKS!$D$2:$D$1201,DECKS!$A$2:$A$1201,INDEX(_LEITURA!$P$2:$P$21,18),DECKS!$B$2:$B$1201,$A527))</f>
        <v/>
      </c>
      <c r="AC527" s="19" t="str">
        <f aca="false">IF(OR($A527="",INDEX(_LEITURA!$Q$2:$Q$21,19)=0),"",SUMIFS(DECKS!$D$2:$D$1201,DECKS!$A$2:$A$1201,INDEX(_LEITURA!$P$2:$P$21,19),DECKS!$B$2:$B$1201,$A527))</f>
        <v/>
      </c>
      <c r="AD527" s="19" t="str">
        <f aca="false">IF(OR($A527="",INDEX(_LEITURA!$Q$2:$Q$21,20)=0),"",SUMIFS(DECKS!$D$2:$D$1201,DECKS!$A$2:$A$1201,INDEX(_LEITURA!$P$2:$P$21,20),DECKS!$B$2:$B$1201,$A527))</f>
        <v/>
      </c>
      <c r="AE527" s="16" t="str">
        <f aca="false">IF(N(E527)&gt;0,MAX(AE$1:AE526)+1,"")</f>
        <v/>
      </c>
      <c r="AF527" s="11" t="str">
        <f aca="false">IF(A527="","",IFERROR(LEFT(A527,FIND("-",A527)-1),A527))</f>
        <v/>
      </c>
      <c r="AG527" s="11" t="str">
        <f aca="false">IF(AF527="","",IF(ISNUMBER(--MID(AF527,1,1)),0,IF(ISNUMBER(--MID(AF527,2,1)),1,IF(ISNUMBER(--MID(AF527,3,1)),2,IF(ISNUMBER(--MID(AF527,4,1)),3,MIN(LEN(AF527),4))))))</f>
        <v/>
      </c>
      <c r="AH527" s="11" t="str">
        <f aca="false">IF(A527="","",LEFT(AF527,AG527)&amp;REPT("0",4-AG527)&amp;RIGHT("000"&amp;IFERROR(VALUE(MID(AF527,AG527+1,9)),0),3)&amp;RIGHT("0000"&amp;IFERROR(VALUE(MID(A527,FIND("-",A527)+1,9)),0),4))</f>
        <v/>
      </c>
      <c r="AI527" s="11" t="str">
        <f aca="false">IF(OR(A527="",N(E527)&lt;=0),"",IF('FALTAS GERAL'!$M$1="Código","K"&amp;AH527&amp;RIGHT("00000"&amp;ROW(),5),IF('FALTAS GERAL'!$M$1="Nome","K"&amp;UPPER(SUBSTITUTE(SUBSTITUTE(SUBSTITUTE(B527,"*",""),"?",""),"~",""))&amp;"0"&amp;AH527&amp;RIGHT("00000"&amp;ROW(),5),IF('FALTAS GERAL'!$M$1="Falta (maior primeiro)","K"&amp;RIGHT("0000"&amp;(9999-E527),4)&amp;AH527&amp;RIGHT("00000"&amp;ROW(),5),IF('FALTAS GERAL'!$M$1="Nº de decks (maior primeiro)","K"&amp;RIGHT("00"&amp;(99-N(G527)),2)&amp;AH527&amp;RIGHT("00000"&amp;ROW(),5),"K"&amp;RIGHT("00000"&amp;ROW(),5))))))</f>
        <v/>
      </c>
      <c r="AJ527" s="11" t="str">
        <f aca="false">IF(AI527="","",COUNTIFS($AI$2:$AI$801,"&lt;"&amp;AI527,$E$2:$E$801,"&gt;0")+1)</f>
        <v/>
      </c>
      <c r="AK527" s="11" t="str">
        <f aca="false">IF(OR(A527="",N(E527)&lt;=0),"",COUNTIFS($AH$2:$AH$801,"&lt;"&amp;AH527,$E$2:$E$801,"&gt;0")+COUNTIFS($AH$2:AH527,AH527,$E$2:E527,"&gt;0"))</f>
        <v/>
      </c>
    </row>
    <row r="528" customFormat="false" ht="15" hidden="false" customHeight="false" outlineLevel="0" collapsed="false">
      <c r="A528" s="11" t="str">
        <f aca="false">IF(INVENTÁRIO!A528="","",INVENTÁRIO!A528)</f>
        <v/>
      </c>
      <c r="B528" s="11" t="str">
        <f aca="false">IF(A528="","",INVENTÁRIO!B528)</f>
        <v/>
      </c>
      <c r="C528" s="16" t="str">
        <f aca="false">IF(A528="","",INVENTÁRIO!C528)</f>
        <v/>
      </c>
      <c r="D528" s="14" t="str">
        <f aca="false">IF(A528="","",MAX(K528:AD528))</f>
        <v/>
      </c>
      <c r="E528" s="14" t="str">
        <f aca="false">IF(A528="","",MAX(0,D528-C528))</f>
        <v/>
      </c>
      <c r="F528" s="16" t="str">
        <f aca="false">IF(A528="","",IF(D528=0,"Fora dos decks",IF(E528=0,"Completo","Falta")))</f>
        <v/>
      </c>
      <c r="G528" s="16" t="str">
        <f aca="false">IF(A528="","",COUNTIF(K528:AD528,"&gt;0"))</f>
        <v/>
      </c>
      <c r="H528" s="16" t="str">
        <f aca="false">IF(A528="","",IF(G528&gt;1,"Sim",""))</f>
        <v/>
      </c>
      <c r="I528" s="18" t="str">
        <f aca="false">IF(A528="","",SUMIFS(DECKS!$D$2:$D$1201,DECKS!$B$2:$B$1201,A528))</f>
        <v/>
      </c>
      <c r="J528" s="18" t="str">
        <f aca="false">IF(A528="","",MAX(0,I528-C528))</f>
        <v/>
      </c>
      <c r="K528" s="19" t="str">
        <f aca="false">IF(OR($A528="",INDEX(_LEITURA!$Q$2:$Q$21,1)=0),"",SUMIFS(DECKS!$D$2:$D$1201,DECKS!$A$2:$A$1201,INDEX(_LEITURA!$P$2:$P$21,1),DECKS!$B$2:$B$1201,$A528))</f>
        <v/>
      </c>
      <c r="L528" s="19" t="str">
        <f aca="false">IF(OR($A528="",INDEX(_LEITURA!$Q$2:$Q$21,2)=0),"",SUMIFS(DECKS!$D$2:$D$1201,DECKS!$A$2:$A$1201,INDEX(_LEITURA!$P$2:$P$21,2),DECKS!$B$2:$B$1201,$A528))</f>
        <v/>
      </c>
      <c r="M528" s="19" t="str">
        <f aca="false">IF(OR($A528="",INDEX(_LEITURA!$Q$2:$Q$21,3)=0),"",SUMIFS(DECKS!$D$2:$D$1201,DECKS!$A$2:$A$1201,INDEX(_LEITURA!$P$2:$P$21,3),DECKS!$B$2:$B$1201,$A528))</f>
        <v/>
      </c>
      <c r="N528" s="19" t="str">
        <f aca="false">IF(OR($A528="",INDEX(_LEITURA!$Q$2:$Q$21,4)=0),"",SUMIFS(DECKS!$D$2:$D$1201,DECKS!$A$2:$A$1201,INDEX(_LEITURA!$P$2:$P$21,4),DECKS!$B$2:$B$1201,$A528))</f>
        <v/>
      </c>
      <c r="O528" s="19" t="str">
        <f aca="false">IF(OR($A528="",INDEX(_LEITURA!$Q$2:$Q$21,5)=0),"",SUMIFS(DECKS!$D$2:$D$1201,DECKS!$A$2:$A$1201,INDEX(_LEITURA!$P$2:$P$21,5),DECKS!$B$2:$B$1201,$A528))</f>
        <v/>
      </c>
      <c r="P528" s="19" t="str">
        <f aca="false">IF(OR($A528="",INDEX(_LEITURA!$Q$2:$Q$21,6)=0),"",SUMIFS(DECKS!$D$2:$D$1201,DECKS!$A$2:$A$1201,INDEX(_LEITURA!$P$2:$P$21,6),DECKS!$B$2:$B$1201,$A528))</f>
        <v/>
      </c>
      <c r="Q528" s="19" t="str">
        <f aca="false">IF(OR($A528="",INDEX(_LEITURA!$Q$2:$Q$21,7)=0),"",SUMIFS(DECKS!$D$2:$D$1201,DECKS!$A$2:$A$1201,INDEX(_LEITURA!$P$2:$P$21,7),DECKS!$B$2:$B$1201,$A528))</f>
        <v/>
      </c>
      <c r="R528" s="19" t="str">
        <f aca="false">IF(OR($A528="",INDEX(_LEITURA!$Q$2:$Q$21,8)=0),"",SUMIFS(DECKS!$D$2:$D$1201,DECKS!$A$2:$A$1201,INDEX(_LEITURA!$P$2:$P$21,8),DECKS!$B$2:$B$1201,$A528))</f>
        <v/>
      </c>
      <c r="S528" s="19" t="str">
        <f aca="false">IF(OR($A528="",INDEX(_LEITURA!$Q$2:$Q$21,9)=0),"",SUMIFS(DECKS!$D$2:$D$1201,DECKS!$A$2:$A$1201,INDEX(_LEITURA!$P$2:$P$21,9),DECKS!$B$2:$B$1201,$A528))</f>
        <v/>
      </c>
      <c r="T528" s="19" t="str">
        <f aca="false">IF(OR($A528="",INDEX(_LEITURA!$Q$2:$Q$21,10)=0),"",SUMIFS(DECKS!$D$2:$D$1201,DECKS!$A$2:$A$1201,INDEX(_LEITURA!$P$2:$P$21,10),DECKS!$B$2:$B$1201,$A528))</f>
        <v/>
      </c>
      <c r="U528" s="19" t="str">
        <f aca="false">IF(OR($A528="",INDEX(_LEITURA!$Q$2:$Q$21,11)=0),"",SUMIFS(DECKS!$D$2:$D$1201,DECKS!$A$2:$A$1201,INDEX(_LEITURA!$P$2:$P$21,11),DECKS!$B$2:$B$1201,$A528))</f>
        <v/>
      </c>
      <c r="V528" s="19" t="str">
        <f aca="false">IF(OR($A528="",INDEX(_LEITURA!$Q$2:$Q$21,12)=0),"",SUMIFS(DECKS!$D$2:$D$1201,DECKS!$A$2:$A$1201,INDEX(_LEITURA!$P$2:$P$21,12),DECKS!$B$2:$B$1201,$A528))</f>
        <v/>
      </c>
      <c r="W528" s="19" t="str">
        <f aca="false">IF(OR($A528="",INDEX(_LEITURA!$Q$2:$Q$21,13)=0),"",SUMIFS(DECKS!$D$2:$D$1201,DECKS!$A$2:$A$1201,INDEX(_LEITURA!$P$2:$P$21,13),DECKS!$B$2:$B$1201,$A528))</f>
        <v/>
      </c>
      <c r="X528" s="19" t="str">
        <f aca="false">IF(OR($A528="",INDEX(_LEITURA!$Q$2:$Q$21,14)=0),"",SUMIFS(DECKS!$D$2:$D$1201,DECKS!$A$2:$A$1201,INDEX(_LEITURA!$P$2:$P$21,14),DECKS!$B$2:$B$1201,$A528))</f>
        <v/>
      </c>
      <c r="Y528" s="19" t="str">
        <f aca="false">IF(OR($A528="",INDEX(_LEITURA!$Q$2:$Q$21,15)=0),"",SUMIFS(DECKS!$D$2:$D$1201,DECKS!$A$2:$A$1201,INDEX(_LEITURA!$P$2:$P$21,15),DECKS!$B$2:$B$1201,$A528))</f>
        <v/>
      </c>
      <c r="Z528" s="19" t="str">
        <f aca="false">IF(OR($A528="",INDEX(_LEITURA!$Q$2:$Q$21,16)=0),"",SUMIFS(DECKS!$D$2:$D$1201,DECKS!$A$2:$A$1201,INDEX(_LEITURA!$P$2:$P$21,16),DECKS!$B$2:$B$1201,$A528))</f>
        <v/>
      </c>
      <c r="AA528" s="19" t="str">
        <f aca="false">IF(OR($A528="",INDEX(_LEITURA!$Q$2:$Q$21,17)=0),"",SUMIFS(DECKS!$D$2:$D$1201,DECKS!$A$2:$A$1201,INDEX(_LEITURA!$P$2:$P$21,17),DECKS!$B$2:$B$1201,$A528))</f>
        <v/>
      </c>
      <c r="AB528" s="19" t="str">
        <f aca="false">IF(OR($A528="",INDEX(_LEITURA!$Q$2:$Q$21,18)=0),"",SUMIFS(DECKS!$D$2:$D$1201,DECKS!$A$2:$A$1201,INDEX(_LEITURA!$P$2:$P$21,18),DECKS!$B$2:$B$1201,$A528))</f>
        <v/>
      </c>
      <c r="AC528" s="19" t="str">
        <f aca="false">IF(OR($A528="",INDEX(_LEITURA!$Q$2:$Q$21,19)=0),"",SUMIFS(DECKS!$D$2:$D$1201,DECKS!$A$2:$A$1201,INDEX(_LEITURA!$P$2:$P$21,19),DECKS!$B$2:$B$1201,$A528))</f>
        <v/>
      </c>
      <c r="AD528" s="19" t="str">
        <f aca="false">IF(OR($A528="",INDEX(_LEITURA!$Q$2:$Q$21,20)=0),"",SUMIFS(DECKS!$D$2:$D$1201,DECKS!$A$2:$A$1201,INDEX(_LEITURA!$P$2:$P$21,20),DECKS!$B$2:$B$1201,$A528))</f>
        <v/>
      </c>
      <c r="AE528" s="16" t="str">
        <f aca="false">IF(N(E528)&gt;0,MAX(AE$1:AE527)+1,"")</f>
        <v/>
      </c>
      <c r="AF528" s="11" t="str">
        <f aca="false">IF(A528="","",IFERROR(LEFT(A528,FIND("-",A528)-1),A528))</f>
        <v/>
      </c>
      <c r="AG528" s="11" t="str">
        <f aca="false">IF(AF528="","",IF(ISNUMBER(--MID(AF528,1,1)),0,IF(ISNUMBER(--MID(AF528,2,1)),1,IF(ISNUMBER(--MID(AF528,3,1)),2,IF(ISNUMBER(--MID(AF528,4,1)),3,MIN(LEN(AF528),4))))))</f>
        <v/>
      </c>
      <c r="AH528" s="11" t="str">
        <f aca="false">IF(A528="","",LEFT(AF528,AG528)&amp;REPT("0",4-AG528)&amp;RIGHT("000"&amp;IFERROR(VALUE(MID(AF528,AG528+1,9)),0),3)&amp;RIGHT("0000"&amp;IFERROR(VALUE(MID(A528,FIND("-",A528)+1,9)),0),4))</f>
        <v/>
      </c>
      <c r="AI528" s="11" t="str">
        <f aca="false">IF(OR(A528="",N(E528)&lt;=0),"",IF('FALTAS GERAL'!$M$1="Código","K"&amp;AH528&amp;RIGHT("00000"&amp;ROW(),5),IF('FALTAS GERAL'!$M$1="Nome","K"&amp;UPPER(SUBSTITUTE(SUBSTITUTE(SUBSTITUTE(B528,"*",""),"?",""),"~",""))&amp;"0"&amp;AH528&amp;RIGHT("00000"&amp;ROW(),5),IF('FALTAS GERAL'!$M$1="Falta (maior primeiro)","K"&amp;RIGHT("0000"&amp;(9999-E528),4)&amp;AH528&amp;RIGHT("00000"&amp;ROW(),5),IF('FALTAS GERAL'!$M$1="Nº de decks (maior primeiro)","K"&amp;RIGHT("00"&amp;(99-N(G528)),2)&amp;AH528&amp;RIGHT("00000"&amp;ROW(),5),"K"&amp;RIGHT("00000"&amp;ROW(),5))))))</f>
        <v/>
      </c>
      <c r="AJ528" s="11" t="str">
        <f aca="false">IF(AI528="","",COUNTIFS($AI$2:$AI$801,"&lt;"&amp;AI528,$E$2:$E$801,"&gt;0")+1)</f>
        <v/>
      </c>
      <c r="AK528" s="11" t="str">
        <f aca="false">IF(OR(A528="",N(E528)&lt;=0),"",COUNTIFS($AH$2:$AH$801,"&lt;"&amp;AH528,$E$2:$E$801,"&gt;0")+COUNTIFS($AH$2:AH528,AH528,$E$2:E528,"&gt;0"))</f>
        <v/>
      </c>
    </row>
    <row r="529" customFormat="false" ht="15" hidden="false" customHeight="false" outlineLevel="0" collapsed="false">
      <c r="A529" s="11" t="str">
        <f aca="false">IF(INVENTÁRIO!A529="","",INVENTÁRIO!A529)</f>
        <v/>
      </c>
      <c r="B529" s="11" t="str">
        <f aca="false">IF(A529="","",INVENTÁRIO!B529)</f>
        <v/>
      </c>
      <c r="C529" s="16" t="str">
        <f aca="false">IF(A529="","",INVENTÁRIO!C529)</f>
        <v/>
      </c>
      <c r="D529" s="14" t="str">
        <f aca="false">IF(A529="","",MAX(K529:AD529))</f>
        <v/>
      </c>
      <c r="E529" s="14" t="str">
        <f aca="false">IF(A529="","",MAX(0,D529-C529))</f>
        <v/>
      </c>
      <c r="F529" s="16" t="str">
        <f aca="false">IF(A529="","",IF(D529=0,"Fora dos decks",IF(E529=0,"Completo","Falta")))</f>
        <v/>
      </c>
      <c r="G529" s="16" t="str">
        <f aca="false">IF(A529="","",COUNTIF(K529:AD529,"&gt;0"))</f>
        <v/>
      </c>
      <c r="H529" s="16" t="str">
        <f aca="false">IF(A529="","",IF(G529&gt;1,"Sim",""))</f>
        <v/>
      </c>
      <c r="I529" s="18" t="str">
        <f aca="false">IF(A529="","",SUMIFS(DECKS!$D$2:$D$1201,DECKS!$B$2:$B$1201,A529))</f>
        <v/>
      </c>
      <c r="J529" s="18" t="str">
        <f aca="false">IF(A529="","",MAX(0,I529-C529))</f>
        <v/>
      </c>
      <c r="K529" s="19" t="str">
        <f aca="false">IF(OR($A529="",INDEX(_LEITURA!$Q$2:$Q$21,1)=0),"",SUMIFS(DECKS!$D$2:$D$1201,DECKS!$A$2:$A$1201,INDEX(_LEITURA!$P$2:$P$21,1),DECKS!$B$2:$B$1201,$A529))</f>
        <v/>
      </c>
      <c r="L529" s="19" t="str">
        <f aca="false">IF(OR($A529="",INDEX(_LEITURA!$Q$2:$Q$21,2)=0),"",SUMIFS(DECKS!$D$2:$D$1201,DECKS!$A$2:$A$1201,INDEX(_LEITURA!$P$2:$P$21,2),DECKS!$B$2:$B$1201,$A529))</f>
        <v/>
      </c>
      <c r="M529" s="19" t="str">
        <f aca="false">IF(OR($A529="",INDEX(_LEITURA!$Q$2:$Q$21,3)=0),"",SUMIFS(DECKS!$D$2:$D$1201,DECKS!$A$2:$A$1201,INDEX(_LEITURA!$P$2:$P$21,3),DECKS!$B$2:$B$1201,$A529))</f>
        <v/>
      </c>
      <c r="N529" s="19" t="str">
        <f aca="false">IF(OR($A529="",INDEX(_LEITURA!$Q$2:$Q$21,4)=0),"",SUMIFS(DECKS!$D$2:$D$1201,DECKS!$A$2:$A$1201,INDEX(_LEITURA!$P$2:$P$21,4),DECKS!$B$2:$B$1201,$A529))</f>
        <v/>
      </c>
      <c r="O529" s="19" t="str">
        <f aca="false">IF(OR($A529="",INDEX(_LEITURA!$Q$2:$Q$21,5)=0),"",SUMIFS(DECKS!$D$2:$D$1201,DECKS!$A$2:$A$1201,INDEX(_LEITURA!$P$2:$P$21,5),DECKS!$B$2:$B$1201,$A529))</f>
        <v/>
      </c>
      <c r="P529" s="19" t="str">
        <f aca="false">IF(OR($A529="",INDEX(_LEITURA!$Q$2:$Q$21,6)=0),"",SUMIFS(DECKS!$D$2:$D$1201,DECKS!$A$2:$A$1201,INDEX(_LEITURA!$P$2:$P$21,6),DECKS!$B$2:$B$1201,$A529))</f>
        <v/>
      </c>
      <c r="Q529" s="19" t="str">
        <f aca="false">IF(OR($A529="",INDEX(_LEITURA!$Q$2:$Q$21,7)=0),"",SUMIFS(DECKS!$D$2:$D$1201,DECKS!$A$2:$A$1201,INDEX(_LEITURA!$P$2:$P$21,7),DECKS!$B$2:$B$1201,$A529))</f>
        <v/>
      </c>
      <c r="R529" s="19" t="str">
        <f aca="false">IF(OR($A529="",INDEX(_LEITURA!$Q$2:$Q$21,8)=0),"",SUMIFS(DECKS!$D$2:$D$1201,DECKS!$A$2:$A$1201,INDEX(_LEITURA!$P$2:$P$21,8),DECKS!$B$2:$B$1201,$A529))</f>
        <v/>
      </c>
      <c r="S529" s="19" t="str">
        <f aca="false">IF(OR($A529="",INDEX(_LEITURA!$Q$2:$Q$21,9)=0),"",SUMIFS(DECKS!$D$2:$D$1201,DECKS!$A$2:$A$1201,INDEX(_LEITURA!$P$2:$P$21,9),DECKS!$B$2:$B$1201,$A529))</f>
        <v/>
      </c>
      <c r="T529" s="19" t="str">
        <f aca="false">IF(OR($A529="",INDEX(_LEITURA!$Q$2:$Q$21,10)=0),"",SUMIFS(DECKS!$D$2:$D$1201,DECKS!$A$2:$A$1201,INDEX(_LEITURA!$P$2:$P$21,10),DECKS!$B$2:$B$1201,$A529))</f>
        <v/>
      </c>
      <c r="U529" s="19" t="str">
        <f aca="false">IF(OR($A529="",INDEX(_LEITURA!$Q$2:$Q$21,11)=0),"",SUMIFS(DECKS!$D$2:$D$1201,DECKS!$A$2:$A$1201,INDEX(_LEITURA!$P$2:$P$21,11),DECKS!$B$2:$B$1201,$A529))</f>
        <v/>
      </c>
      <c r="V529" s="19" t="str">
        <f aca="false">IF(OR($A529="",INDEX(_LEITURA!$Q$2:$Q$21,12)=0),"",SUMIFS(DECKS!$D$2:$D$1201,DECKS!$A$2:$A$1201,INDEX(_LEITURA!$P$2:$P$21,12),DECKS!$B$2:$B$1201,$A529))</f>
        <v/>
      </c>
      <c r="W529" s="19" t="str">
        <f aca="false">IF(OR($A529="",INDEX(_LEITURA!$Q$2:$Q$21,13)=0),"",SUMIFS(DECKS!$D$2:$D$1201,DECKS!$A$2:$A$1201,INDEX(_LEITURA!$P$2:$P$21,13),DECKS!$B$2:$B$1201,$A529))</f>
        <v/>
      </c>
      <c r="X529" s="19" t="str">
        <f aca="false">IF(OR($A529="",INDEX(_LEITURA!$Q$2:$Q$21,14)=0),"",SUMIFS(DECKS!$D$2:$D$1201,DECKS!$A$2:$A$1201,INDEX(_LEITURA!$P$2:$P$21,14),DECKS!$B$2:$B$1201,$A529))</f>
        <v/>
      </c>
      <c r="Y529" s="19" t="str">
        <f aca="false">IF(OR($A529="",INDEX(_LEITURA!$Q$2:$Q$21,15)=0),"",SUMIFS(DECKS!$D$2:$D$1201,DECKS!$A$2:$A$1201,INDEX(_LEITURA!$P$2:$P$21,15),DECKS!$B$2:$B$1201,$A529))</f>
        <v/>
      </c>
      <c r="Z529" s="19" t="str">
        <f aca="false">IF(OR($A529="",INDEX(_LEITURA!$Q$2:$Q$21,16)=0),"",SUMIFS(DECKS!$D$2:$D$1201,DECKS!$A$2:$A$1201,INDEX(_LEITURA!$P$2:$P$21,16),DECKS!$B$2:$B$1201,$A529))</f>
        <v/>
      </c>
      <c r="AA529" s="19" t="str">
        <f aca="false">IF(OR($A529="",INDEX(_LEITURA!$Q$2:$Q$21,17)=0),"",SUMIFS(DECKS!$D$2:$D$1201,DECKS!$A$2:$A$1201,INDEX(_LEITURA!$P$2:$P$21,17),DECKS!$B$2:$B$1201,$A529))</f>
        <v/>
      </c>
      <c r="AB529" s="19" t="str">
        <f aca="false">IF(OR($A529="",INDEX(_LEITURA!$Q$2:$Q$21,18)=0),"",SUMIFS(DECKS!$D$2:$D$1201,DECKS!$A$2:$A$1201,INDEX(_LEITURA!$P$2:$P$21,18),DECKS!$B$2:$B$1201,$A529))</f>
        <v/>
      </c>
      <c r="AC529" s="19" t="str">
        <f aca="false">IF(OR($A529="",INDEX(_LEITURA!$Q$2:$Q$21,19)=0),"",SUMIFS(DECKS!$D$2:$D$1201,DECKS!$A$2:$A$1201,INDEX(_LEITURA!$P$2:$P$21,19),DECKS!$B$2:$B$1201,$A529))</f>
        <v/>
      </c>
      <c r="AD529" s="19" t="str">
        <f aca="false">IF(OR($A529="",INDEX(_LEITURA!$Q$2:$Q$21,20)=0),"",SUMIFS(DECKS!$D$2:$D$1201,DECKS!$A$2:$A$1201,INDEX(_LEITURA!$P$2:$P$21,20),DECKS!$B$2:$B$1201,$A529))</f>
        <v/>
      </c>
      <c r="AE529" s="16" t="str">
        <f aca="false">IF(N(E529)&gt;0,MAX(AE$1:AE528)+1,"")</f>
        <v/>
      </c>
      <c r="AF529" s="11" t="str">
        <f aca="false">IF(A529="","",IFERROR(LEFT(A529,FIND("-",A529)-1),A529))</f>
        <v/>
      </c>
      <c r="AG529" s="11" t="str">
        <f aca="false">IF(AF529="","",IF(ISNUMBER(--MID(AF529,1,1)),0,IF(ISNUMBER(--MID(AF529,2,1)),1,IF(ISNUMBER(--MID(AF529,3,1)),2,IF(ISNUMBER(--MID(AF529,4,1)),3,MIN(LEN(AF529),4))))))</f>
        <v/>
      </c>
      <c r="AH529" s="11" t="str">
        <f aca="false">IF(A529="","",LEFT(AF529,AG529)&amp;REPT("0",4-AG529)&amp;RIGHT("000"&amp;IFERROR(VALUE(MID(AF529,AG529+1,9)),0),3)&amp;RIGHT("0000"&amp;IFERROR(VALUE(MID(A529,FIND("-",A529)+1,9)),0),4))</f>
        <v/>
      </c>
      <c r="AI529" s="11" t="str">
        <f aca="false">IF(OR(A529="",N(E529)&lt;=0),"",IF('FALTAS GERAL'!$M$1="Código","K"&amp;AH529&amp;RIGHT("00000"&amp;ROW(),5),IF('FALTAS GERAL'!$M$1="Nome","K"&amp;UPPER(SUBSTITUTE(SUBSTITUTE(SUBSTITUTE(B529,"*",""),"?",""),"~",""))&amp;"0"&amp;AH529&amp;RIGHT("00000"&amp;ROW(),5),IF('FALTAS GERAL'!$M$1="Falta (maior primeiro)","K"&amp;RIGHT("0000"&amp;(9999-E529),4)&amp;AH529&amp;RIGHT("00000"&amp;ROW(),5),IF('FALTAS GERAL'!$M$1="Nº de decks (maior primeiro)","K"&amp;RIGHT("00"&amp;(99-N(G529)),2)&amp;AH529&amp;RIGHT("00000"&amp;ROW(),5),"K"&amp;RIGHT("00000"&amp;ROW(),5))))))</f>
        <v/>
      </c>
      <c r="AJ529" s="11" t="str">
        <f aca="false">IF(AI529="","",COUNTIFS($AI$2:$AI$801,"&lt;"&amp;AI529,$E$2:$E$801,"&gt;0")+1)</f>
        <v/>
      </c>
      <c r="AK529" s="11" t="str">
        <f aca="false">IF(OR(A529="",N(E529)&lt;=0),"",COUNTIFS($AH$2:$AH$801,"&lt;"&amp;AH529,$E$2:$E$801,"&gt;0")+COUNTIFS($AH$2:AH529,AH529,$E$2:E529,"&gt;0"))</f>
        <v/>
      </c>
    </row>
    <row r="530" customFormat="false" ht="15" hidden="false" customHeight="false" outlineLevel="0" collapsed="false">
      <c r="A530" s="11" t="str">
        <f aca="false">IF(INVENTÁRIO!A530="","",INVENTÁRIO!A530)</f>
        <v/>
      </c>
      <c r="B530" s="11" t="str">
        <f aca="false">IF(A530="","",INVENTÁRIO!B530)</f>
        <v/>
      </c>
      <c r="C530" s="16" t="str">
        <f aca="false">IF(A530="","",INVENTÁRIO!C530)</f>
        <v/>
      </c>
      <c r="D530" s="14" t="str">
        <f aca="false">IF(A530="","",MAX(K530:AD530))</f>
        <v/>
      </c>
      <c r="E530" s="14" t="str">
        <f aca="false">IF(A530="","",MAX(0,D530-C530))</f>
        <v/>
      </c>
      <c r="F530" s="16" t="str">
        <f aca="false">IF(A530="","",IF(D530=0,"Fora dos decks",IF(E530=0,"Completo","Falta")))</f>
        <v/>
      </c>
      <c r="G530" s="16" t="str">
        <f aca="false">IF(A530="","",COUNTIF(K530:AD530,"&gt;0"))</f>
        <v/>
      </c>
      <c r="H530" s="16" t="str">
        <f aca="false">IF(A530="","",IF(G530&gt;1,"Sim",""))</f>
        <v/>
      </c>
      <c r="I530" s="18" t="str">
        <f aca="false">IF(A530="","",SUMIFS(DECKS!$D$2:$D$1201,DECKS!$B$2:$B$1201,A530))</f>
        <v/>
      </c>
      <c r="J530" s="18" t="str">
        <f aca="false">IF(A530="","",MAX(0,I530-C530))</f>
        <v/>
      </c>
      <c r="K530" s="19" t="str">
        <f aca="false">IF(OR($A530="",INDEX(_LEITURA!$Q$2:$Q$21,1)=0),"",SUMIFS(DECKS!$D$2:$D$1201,DECKS!$A$2:$A$1201,INDEX(_LEITURA!$P$2:$P$21,1),DECKS!$B$2:$B$1201,$A530))</f>
        <v/>
      </c>
      <c r="L530" s="19" t="str">
        <f aca="false">IF(OR($A530="",INDEX(_LEITURA!$Q$2:$Q$21,2)=0),"",SUMIFS(DECKS!$D$2:$D$1201,DECKS!$A$2:$A$1201,INDEX(_LEITURA!$P$2:$P$21,2),DECKS!$B$2:$B$1201,$A530))</f>
        <v/>
      </c>
      <c r="M530" s="19" t="str">
        <f aca="false">IF(OR($A530="",INDEX(_LEITURA!$Q$2:$Q$21,3)=0),"",SUMIFS(DECKS!$D$2:$D$1201,DECKS!$A$2:$A$1201,INDEX(_LEITURA!$P$2:$P$21,3),DECKS!$B$2:$B$1201,$A530))</f>
        <v/>
      </c>
      <c r="N530" s="19" t="str">
        <f aca="false">IF(OR($A530="",INDEX(_LEITURA!$Q$2:$Q$21,4)=0),"",SUMIFS(DECKS!$D$2:$D$1201,DECKS!$A$2:$A$1201,INDEX(_LEITURA!$P$2:$P$21,4),DECKS!$B$2:$B$1201,$A530))</f>
        <v/>
      </c>
      <c r="O530" s="19" t="str">
        <f aca="false">IF(OR($A530="",INDEX(_LEITURA!$Q$2:$Q$21,5)=0),"",SUMIFS(DECKS!$D$2:$D$1201,DECKS!$A$2:$A$1201,INDEX(_LEITURA!$P$2:$P$21,5),DECKS!$B$2:$B$1201,$A530))</f>
        <v/>
      </c>
      <c r="P530" s="19" t="str">
        <f aca="false">IF(OR($A530="",INDEX(_LEITURA!$Q$2:$Q$21,6)=0),"",SUMIFS(DECKS!$D$2:$D$1201,DECKS!$A$2:$A$1201,INDEX(_LEITURA!$P$2:$P$21,6),DECKS!$B$2:$B$1201,$A530))</f>
        <v/>
      </c>
      <c r="Q530" s="19" t="str">
        <f aca="false">IF(OR($A530="",INDEX(_LEITURA!$Q$2:$Q$21,7)=0),"",SUMIFS(DECKS!$D$2:$D$1201,DECKS!$A$2:$A$1201,INDEX(_LEITURA!$P$2:$P$21,7),DECKS!$B$2:$B$1201,$A530))</f>
        <v/>
      </c>
      <c r="R530" s="19" t="str">
        <f aca="false">IF(OR($A530="",INDEX(_LEITURA!$Q$2:$Q$21,8)=0),"",SUMIFS(DECKS!$D$2:$D$1201,DECKS!$A$2:$A$1201,INDEX(_LEITURA!$P$2:$P$21,8),DECKS!$B$2:$B$1201,$A530))</f>
        <v/>
      </c>
      <c r="S530" s="19" t="str">
        <f aca="false">IF(OR($A530="",INDEX(_LEITURA!$Q$2:$Q$21,9)=0),"",SUMIFS(DECKS!$D$2:$D$1201,DECKS!$A$2:$A$1201,INDEX(_LEITURA!$P$2:$P$21,9),DECKS!$B$2:$B$1201,$A530))</f>
        <v/>
      </c>
      <c r="T530" s="19" t="str">
        <f aca="false">IF(OR($A530="",INDEX(_LEITURA!$Q$2:$Q$21,10)=0),"",SUMIFS(DECKS!$D$2:$D$1201,DECKS!$A$2:$A$1201,INDEX(_LEITURA!$P$2:$P$21,10),DECKS!$B$2:$B$1201,$A530))</f>
        <v/>
      </c>
      <c r="U530" s="19" t="str">
        <f aca="false">IF(OR($A530="",INDEX(_LEITURA!$Q$2:$Q$21,11)=0),"",SUMIFS(DECKS!$D$2:$D$1201,DECKS!$A$2:$A$1201,INDEX(_LEITURA!$P$2:$P$21,11),DECKS!$B$2:$B$1201,$A530))</f>
        <v/>
      </c>
      <c r="V530" s="19" t="str">
        <f aca="false">IF(OR($A530="",INDEX(_LEITURA!$Q$2:$Q$21,12)=0),"",SUMIFS(DECKS!$D$2:$D$1201,DECKS!$A$2:$A$1201,INDEX(_LEITURA!$P$2:$P$21,12),DECKS!$B$2:$B$1201,$A530))</f>
        <v/>
      </c>
      <c r="W530" s="19" t="str">
        <f aca="false">IF(OR($A530="",INDEX(_LEITURA!$Q$2:$Q$21,13)=0),"",SUMIFS(DECKS!$D$2:$D$1201,DECKS!$A$2:$A$1201,INDEX(_LEITURA!$P$2:$P$21,13),DECKS!$B$2:$B$1201,$A530))</f>
        <v/>
      </c>
      <c r="X530" s="19" t="str">
        <f aca="false">IF(OR($A530="",INDEX(_LEITURA!$Q$2:$Q$21,14)=0),"",SUMIFS(DECKS!$D$2:$D$1201,DECKS!$A$2:$A$1201,INDEX(_LEITURA!$P$2:$P$21,14),DECKS!$B$2:$B$1201,$A530))</f>
        <v/>
      </c>
      <c r="Y530" s="19" t="str">
        <f aca="false">IF(OR($A530="",INDEX(_LEITURA!$Q$2:$Q$21,15)=0),"",SUMIFS(DECKS!$D$2:$D$1201,DECKS!$A$2:$A$1201,INDEX(_LEITURA!$P$2:$P$21,15),DECKS!$B$2:$B$1201,$A530))</f>
        <v/>
      </c>
      <c r="Z530" s="19" t="str">
        <f aca="false">IF(OR($A530="",INDEX(_LEITURA!$Q$2:$Q$21,16)=0),"",SUMIFS(DECKS!$D$2:$D$1201,DECKS!$A$2:$A$1201,INDEX(_LEITURA!$P$2:$P$21,16),DECKS!$B$2:$B$1201,$A530))</f>
        <v/>
      </c>
      <c r="AA530" s="19" t="str">
        <f aca="false">IF(OR($A530="",INDEX(_LEITURA!$Q$2:$Q$21,17)=0),"",SUMIFS(DECKS!$D$2:$D$1201,DECKS!$A$2:$A$1201,INDEX(_LEITURA!$P$2:$P$21,17),DECKS!$B$2:$B$1201,$A530))</f>
        <v/>
      </c>
      <c r="AB530" s="19" t="str">
        <f aca="false">IF(OR($A530="",INDEX(_LEITURA!$Q$2:$Q$21,18)=0),"",SUMIFS(DECKS!$D$2:$D$1201,DECKS!$A$2:$A$1201,INDEX(_LEITURA!$P$2:$P$21,18),DECKS!$B$2:$B$1201,$A530))</f>
        <v/>
      </c>
      <c r="AC530" s="19" t="str">
        <f aca="false">IF(OR($A530="",INDEX(_LEITURA!$Q$2:$Q$21,19)=0),"",SUMIFS(DECKS!$D$2:$D$1201,DECKS!$A$2:$A$1201,INDEX(_LEITURA!$P$2:$P$21,19),DECKS!$B$2:$B$1201,$A530))</f>
        <v/>
      </c>
      <c r="AD530" s="19" t="str">
        <f aca="false">IF(OR($A530="",INDEX(_LEITURA!$Q$2:$Q$21,20)=0),"",SUMIFS(DECKS!$D$2:$D$1201,DECKS!$A$2:$A$1201,INDEX(_LEITURA!$P$2:$P$21,20),DECKS!$B$2:$B$1201,$A530))</f>
        <v/>
      </c>
      <c r="AE530" s="16" t="str">
        <f aca="false">IF(N(E530)&gt;0,MAX(AE$1:AE529)+1,"")</f>
        <v/>
      </c>
      <c r="AF530" s="11" t="str">
        <f aca="false">IF(A530="","",IFERROR(LEFT(A530,FIND("-",A530)-1),A530))</f>
        <v/>
      </c>
      <c r="AG530" s="11" t="str">
        <f aca="false">IF(AF530="","",IF(ISNUMBER(--MID(AF530,1,1)),0,IF(ISNUMBER(--MID(AF530,2,1)),1,IF(ISNUMBER(--MID(AF530,3,1)),2,IF(ISNUMBER(--MID(AF530,4,1)),3,MIN(LEN(AF530),4))))))</f>
        <v/>
      </c>
      <c r="AH530" s="11" t="str">
        <f aca="false">IF(A530="","",LEFT(AF530,AG530)&amp;REPT("0",4-AG530)&amp;RIGHT("000"&amp;IFERROR(VALUE(MID(AF530,AG530+1,9)),0),3)&amp;RIGHT("0000"&amp;IFERROR(VALUE(MID(A530,FIND("-",A530)+1,9)),0),4))</f>
        <v/>
      </c>
      <c r="AI530" s="11" t="str">
        <f aca="false">IF(OR(A530="",N(E530)&lt;=0),"",IF('FALTAS GERAL'!$M$1="Código","K"&amp;AH530&amp;RIGHT("00000"&amp;ROW(),5),IF('FALTAS GERAL'!$M$1="Nome","K"&amp;UPPER(SUBSTITUTE(SUBSTITUTE(SUBSTITUTE(B530,"*",""),"?",""),"~",""))&amp;"0"&amp;AH530&amp;RIGHT("00000"&amp;ROW(),5),IF('FALTAS GERAL'!$M$1="Falta (maior primeiro)","K"&amp;RIGHT("0000"&amp;(9999-E530),4)&amp;AH530&amp;RIGHT("00000"&amp;ROW(),5),IF('FALTAS GERAL'!$M$1="Nº de decks (maior primeiro)","K"&amp;RIGHT("00"&amp;(99-N(G530)),2)&amp;AH530&amp;RIGHT("00000"&amp;ROW(),5),"K"&amp;RIGHT("00000"&amp;ROW(),5))))))</f>
        <v/>
      </c>
      <c r="AJ530" s="11" t="str">
        <f aca="false">IF(AI530="","",COUNTIFS($AI$2:$AI$801,"&lt;"&amp;AI530,$E$2:$E$801,"&gt;0")+1)</f>
        <v/>
      </c>
      <c r="AK530" s="11" t="str">
        <f aca="false">IF(OR(A530="",N(E530)&lt;=0),"",COUNTIFS($AH$2:$AH$801,"&lt;"&amp;AH530,$E$2:$E$801,"&gt;0")+COUNTIFS($AH$2:AH530,AH530,$E$2:E530,"&gt;0"))</f>
        <v/>
      </c>
    </row>
    <row r="531" customFormat="false" ht="15" hidden="false" customHeight="false" outlineLevel="0" collapsed="false">
      <c r="A531" s="11" t="str">
        <f aca="false">IF(INVENTÁRIO!A531="","",INVENTÁRIO!A531)</f>
        <v/>
      </c>
      <c r="B531" s="11" t="str">
        <f aca="false">IF(A531="","",INVENTÁRIO!B531)</f>
        <v/>
      </c>
      <c r="C531" s="16" t="str">
        <f aca="false">IF(A531="","",INVENTÁRIO!C531)</f>
        <v/>
      </c>
      <c r="D531" s="14" t="str">
        <f aca="false">IF(A531="","",MAX(K531:AD531))</f>
        <v/>
      </c>
      <c r="E531" s="14" t="str">
        <f aca="false">IF(A531="","",MAX(0,D531-C531))</f>
        <v/>
      </c>
      <c r="F531" s="16" t="str">
        <f aca="false">IF(A531="","",IF(D531=0,"Fora dos decks",IF(E531=0,"Completo","Falta")))</f>
        <v/>
      </c>
      <c r="G531" s="16" t="str">
        <f aca="false">IF(A531="","",COUNTIF(K531:AD531,"&gt;0"))</f>
        <v/>
      </c>
      <c r="H531" s="16" t="str">
        <f aca="false">IF(A531="","",IF(G531&gt;1,"Sim",""))</f>
        <v/>
      </c>
      <c r="I531" s="18" t="str">
        <f aca="false">IF(A531="","",SUMIFS(DECKS!$D$2:$D$1201,DECKS!$B$2:$B$1201,A531))</f>
        <v/>
      </c>
      <c r="J531" s="18" t="str">
        <f aca="false">IF(A531="","",MAX(0,I531-C531))</f>
        <v/>
      </c>
      <c r="K531" s="19" t="str">
        <f aca="false">IF(OR($A531="",INDEX(_LEITURA!$Q$2:$Q$21,1)=0),"",SUMIFS(DECKS!$D$2:$D$1201,DECKS!$A$2:$A$1201,INDEX(_LEITURA!$P$2:$P$21,1),DECKS!$B$2:$B$1201,$A531))</f>
        <v/>
      </c>
      <c r="L531" s="19" t="str">
        <f aca="false">IF(OR($A531="",INDEX(_LEITURA!$Q$2:$Q$21,2)=0),"",SUMIFS(DECKS!$D$2:$D$1201,DECKS!$A$2:$A$1201,INDEX(_LEITURA!$P$2:$P$21,2),DECKS!$B$2:$B$1201,$A531))</f>
        <v/>
      </c>
      <c r="M531" s="19" t="str">
        <f aca="false">IF(OR($A531="",INDEX(_LEITURA!$Q$2:$Q$21,3)=0),"",SUMIFS(DECKS!$D$2:$D$1201,DECKS!$A$2:$A$1201,INDEX(_LEITURA!$P$2:$P$21,3),DECKS!$B$2:$B$1201,$A531))</f>
        <v/>
      </c>
      <c r="N531" s="19" t="str">
        <f aca="false">IF(OR($A531="",INDEX(_LEITURA!$Q$2:$Q$21,4)=0),"",SUMIFS(DECKS!$D$2:$D$1201,DECKS!$A$2:$A$1201,INDEX(_LEITURA!$P$2:$P$21,4),DECKS!$B$2:$B$1201,$A531))</f>
        <v/>
      </c>
      <c r="O531" s="19" t="str">
        <f aca="false">IF(OR($A531="",INDEX(_LEITURA!$Q$2:$Q$21,5)=0),"",SUMIFS(DECKS!$D$2:$D$1201,DECKS!$A$2:$A$1201,INDEX(_LEITURA!$P$2:$P$21,5),DECKS!$B$2:$B$1201,$A531))</f>
        <v/>
      </c>
      <c r="P531" s="19" t="str">
        <f aca="false">IF(OR($A531="",INDEX(_LEITURA!$Q$2:$Q$21,6)=0),"",SUMIFS(DECKS!$D$2:$D$1201,DECKS!$A$2:$A$1201,INDEX(_LEITURA!$P$2:$P$21,6),DECKS!$B$2:$B$1201,$A531))</f>
        <v/>
      </c>
      <c r="Q531" s="19" t="str">
        <f aca="false">IF(OR($A531="",INDEX(_LEITURA!$Q$2:$Q$21,7)=0),"",SUMIFS(DECKS!$D$2:$D$1201,DECKS!$A$2:$A$1201,INDEX(_LEITURA!$P$2:$P$21,7),DECKS!$B$2:$B$1201,$A531))</f>
        <v/>
      </c>
      <c r="R531" s="19" t="str">
        <f aca="false">IF(OR($A531="",INDEX(_LEITURA!$Q$2:$Q$21,8)=0),"",SUMIFS(DECKS!$D$2:$D$1201,DECKS!$A$2:$A$1201,INDEX(_LEITURA!$P$2:$P$21,8),DECKS!$B$2:$B$1201,$A531))</f>
        <v/>
      </c>
      <c r="S531" s="19" t="str">
        <f aca="false">IF(OR($A531="",INDEX(_LEITURA!$Q$2:$Q$21,9)=0),"",SUMIFS(DECKS!$D$2:$D$1201,DECKS!$A$2:$A$1201,INDEX(_LEITURA!$P$2:$P$21,9),DECKS!$B$2:$B$1201,$A531))</f>
        <v/>
      </c>
      <c r="T531" s="19" t="str">
        <f aca="false">IF(OR($A531="",INDEX(_LEITURA!$Q$2:$Q$21,10)=0),"",SUMIFS(DECKS!$D$2:$D$1201,DECKS!$A$2:$A$1201,INDEX(_LEITURA!$P$2:$P$21,10),DECKS!$B$2:$B$1201,$A531))</f>
        <v/>
      </c>
      <c r="U531" s="19" t="str">
        <f aca="false">IF(OR($A531="",INDEX(_LEITURA!$Q$2:$Q$21,11)=0),"",SUMIFS(DECKS!$D$2:$D$1201,DECKS!$A$2:$A$1201,INDEX(_LEITURA!$P$2:$P$21,11),DECKS!$B$2:$B$1201,$A531))</f>
        <v/>
      </c>
      <c r="V531" s="19" t="str">
        <f aca="false">IF(OR($A531="",INDEX(_LEITURA!$Q$2:$Q$21,12)=0),"",SUMIFS(DECKS!$D$2:$D$1201,DECKS!$A$2:$A$1201,INDEX(_LEITURA!$P$2:$P$21,12),DECKS!$B$2:$B$1201,$A531))</f>
        <v/>
      </c>
      <c r="W531" s="19" t="str">
        <f aca="false">IF(OR($A531="",INDEX(_LEITURA!$Q$2:$Q$21,13)=0),"",SUMIFS(DECKS!$D$2:$D$1201,DECKS!$A$2:$A$1201,INDEX(_LEITURA!$P$2:$P$21,13),DECKS!$B$2:$B$1201,$A531))</f>
        <v/>
      </c>
      <c r="X531" s="19" t="str">
        <f aca="false">IF(OR($A531="",INDEX(_LEITURA!$Q$2:$Q$21,14)=0),"",SUMIFS(DECKS!$D$2:$D$1201,DECKS!$A$2:$A$1201,INDEX(_LEITURA!$P$2:$P$21,14),DECKS!$B$2:$B$1201,$A531))</f>
        <v/>
      </c>
      <c r="Y531" s="19" t="str">
        <f aca="false">IF(OR($A531="",INDEX(_LEITURA!$Q$2:$Q$21,15)=0),"",SUMIFS(DECKS!$D$2:$D$1201,DECKS!$A$2:$A$1201,INDEX(_LEITURA!$P$2:$P$21,15),DECKS!$B$2:$B$1201,$A531))</f>
        <v/>
      </c>
      <c r="Z531" s="19" t="str">
        <f aca="false">IF(OR($A531="",INDEX(_LEITURA!$Q$2:$Q$21,16)=0),"",SUMIFS(DECKS!$D$2:$D$1201,DECKS!$A$2:$A$1201,INDEX(_LEITURA!$P$2:$P$21,16),DECKS!$B$2:$B$1201,$A531))</f>
        <v/>
      </c>
      <c r="AA531" s="19" t="str">
        <f aca="false">IF(OR($A531="",INDEX(_LEITURA!$Q$2:$Q$21,17)=0),"",SUMIFS(DECKS!$D$2:$D$1201,DECKS!$A$2:$A$1201,INDEX(_LEITURA!$P$2:$P$21,17),DECKS!$B$2:$B$1201,$A531))</f>
        <v/>
      </c>
      <c r="AB531" s="19" t="str">
        <f aca="false">IF(OR($A531="",INDEX(_LEITURA!$Q$2:$Q$21,18)=0),"",SUMIFS(DECKS!$D$2:$D$1201,DECKS!$A$2:$A$1201,INDEX(_LEITURA!$P$2:$P$21,18),DECKS!$B$2:$B$1201,$A531))</f>
        <v/>
      </c>
      <c r="AC531" s="19" t="str">
        <f aca="false">IF(OR($A531="",INDEX(_LEITURA!$Q$2:$Q$21,19)=0),"",SUMIFS(DECKS!$D$2:$D$1201,DECKS!$A$2:$A$1201,INDEX(_LEITURA!$P$2:$P$21,19),DECKS!$B$2:$B$1201,$A531))</f>
        <v/>
      </c>
      <c r="AD531" s="19" t="str">
        <f aca="false">IF(OR($A531="",INDEX(_LEITURA!$Q$2:$Q$21,20)=0),"",SUMIFS(DECKS!$D$2:$D$1201,DECKS!$A$2:$A$1201,INDEX(_LEITURA!$P$2:$P$21,20),DECKS!$B$2:$B$1201,$A531))</f>
        <v/>
      </c>
      <c r="AE531" s="16" t="str">
        <f aca="false">IF(N(E531)&gt;0,MAX(AE$1:AE530)+1,"")</f>
        <v/>
      </c>
      <c r="AF531" s="11" t="str">
        <f aca="false">IF(A531="","",IFERROR(LEFT(A531,FIND("-",A531)-1),A531))</f>
        <v/>
      </c>
      <c r="AG531" s="11" t="str">
        <f aca="false">IF(AF531="","",IF(ISNUMBER(--MID(AF531,1,1)),0,IF(ISNUMBER(--MID(AF531,2,1)),1,IF(ISNUMBER(--MID(AF531,3,1)),2,IF(ISNUMBER(--MID(AF531,4,1)),3,MIN(LEN(AF531),4))))))</f>
        <v/>
      </c>
      <c r="AH531" s="11" t="str">
        <f aca="false">IF(A531="","",LEFT(AF531,AG531)&amp;REPT("0",4-AG531)&amp;RIGHT("000"&amp;IFERROR(VALUE(MID(AF531,AG531+1,9)),0),3)&amp;RIGHT("0000"&amp;IFERROR(VALUE(MID(A531,FIND("-",A531)+1,9)),0),4))</f>
        <v/>
      </c>
      <c r="AI531" s="11" t="str">
        <f aca="false">IF(OR(A531="",N(E531)&lt;=0),"",IF('FALTAS GERAL'!$M$1="Código","K"&amp;AH531&amp;RIGHT("00000"&amp;ROW(),5),IF('FALTAS GERAL'!$M$1="Nome","K"&amp;UPPER(SUBSTITUTE(SUBSTITUTE(SUBSTITUTE(B531,"*",""),"?",""),"~",""))&amp;"0"&amp;AH531&amp;RIGHT("00000"&amp;ROW(),5),IF('FALTAS GERAL'!$M$1="Falta (maior primeiro)","K"&amp;RIGHT("0000"&amp;(9999-E531),4)&amp;AH531&amp;RIGHT("00000"&amp;ROW(),5),IF('FALTAS GERAL'!$M$1="Nº de decks (maior primeiro)","K"&amp;RIGHT("00"&amp;(99-N(G531)),2)&amp;AH531&amp;RIGHT("00000"&amp;ROW(),5),"K"&amp;RIGHT("00000"&amp;ROW(),5))))))</f>
        <v/>
      </c>
      <c r="AJ531" s="11" t="str">
        <f aca="false">IF(AI531="","",COUNTIFS($AI$2:$AI$801,"&lt;"&amp;AI531,$E$2:$E$801,"&gt;0")+1)</f>
        <v/>
      </c>
      <c r="AK531" s="11" t="str">
        <f aca="false">IF(OR(A531="",N(E531)&lt;=0),"",COUNTIFS($AH$2:$AH$801,"&lt;"&amp;AH531,$E$2:$E$801,"&gt;0")+COUNTIFS($AH$2:AH531,AH531,$E$2:E531,"&gt;0"))</f>
        <v/>
      </c>
    </row>
    <row r="532" customFormat="false" ht="15" hidden="false" customHeight="false" outlineLevel="0" collapsed="false">
      <c r="A532" s="11" t="str">
        <f aca="false">IF(INVENTÁRIO!A532="","",INVENTÁRIO!A532)</f>
        <v/>
      </c>
      <c r="B532" s="11" t="str">
        <f aca="false">IF(A532="","",INVENTÁRIO!B532)</f>
        <v/>
      </c>
      <c r="C532" s="16" t="str">
        <f aca="false">IF(A532="","",INVENTÁRIO!C532)</f>
        <v/>
      </c>
      <c r="D532" s="14" t="str">
        <f aca="false">IF(A532="","",MAX(K532:AD532))</f>
        <v/>
      </c>
      <c r="E532" s="14" t="str">
        <f aca="false">IF(A532="","",MAX(0,D532-C532))</f>
        <v/>
      </c>
      <c r="F532" s="16" t="str">
        <f aca="false">IF(A532="","",IF(D532=0,"Fora dos decks",IF(E532=0,"Completo","Falta")))</f>
        <v/>
      </c>
      <c r="G532" s="16" t="str">
        <f aca="false">IF(A532="","",COUNTIF(K532:AD532,"&gt;0"))</f>
        <v/>
      </c>
      <c r="H532" s="16" t="str">
        <f aca="false">IF(A532="","",IF(G532&gt;1,"Sim",""))</f>
        <v/>
      </c>
      <c r="I532" s="18" t="str">
        <f aca="false">IF(A532="","",SUMIFS(DECKS!$D$2:$D$1201,DECKS!$B$2:$B$1201,A532))</f>
        <v/>
      </c>
      <c r="J532" s="18" t="str">
        <f aca="false">IF(A532="","",MAX(0,I532-C532))</f>
        <v/>
      </c>
      <c r="K532" s="19" t="str">
        <f aca="false">IF(OR($A532="",INDEX(_LEITURA!$Q$2:$Q$21,1)=0),"",SUMIFS(DECKS!$D$2:$D$1201,DECKS!$A$2:$A$1201,INDEX(_LEITURA!$P$2:$P$21,1),DECKS!$B$2:$B$1201,$A532))</f>
        <v/>
      </c>
      <c r="L532" s="19" t="str">
        <f aca="false">IF(OR($A532="",INDEX(_LEITURA!$Q$2:$Q$21,2)=0),"",SUMIFS(DECKS!$D$2:$D$1201,DECKS!$A$2:$A$1201,INDEX(_LEITURA!$P$2:$P$21,2),DECKS!$B$2:$B$1201,$A532))</f>
        <v/>
      </c>
      <c r="M532" s="19" t="str">
        <f aca="false">IF(OR($A532="",INDEX(_LEITURA!$Q$2:$Q$21,3)=0),"",SUMIFS(DECKS!$D$2:$D$1201,DECKS!$A$2:$A$1201,INDEX(_LEITURA!$P$2:$P$21,3),DECKS!$B$2:$B$1201,$A532))</f>
        <v/>
      </c>
      <c r="N532" s="19" t="str">
        <f aca="false">IF(OR($A532="",INDEX(_LEITURA!$Q$2:$Q$21,4)=0),"",SUMIFS(DECKS!$D$2:$D$1201,DECKS!$A$2:$A$1201,INDEX(_LEITURA!$P$2:$P$21,4),DECKS!$B$2:$B$1201,$A532))</f>
        <v/>
      </c>
      <c r="O532" s="19" t="str">
        <f aca="false">IF(OR($A532="",INDEX(_LEITURA!$Q$2:$Q$21,5)=0),"",SUMIFS(DECKS!$D$2:$D$1201,DECKS!$A$2:$A$1201,INDEX(_LEITURA!$P$2:$P$21,5),DECKS!$B$2:$B$1201,$A532))</f>
        <v/>
      </c>
      <c r="P532" s="19" t="str">
        <f aca="false">IF(OR($A532="",INDEX(_LEITURA!$Q$2:$Q$21,6)=0),"",SUMIFS(DECKS!$D$2:$D$1201,DECKS!$A$2:$A$1201,INDEX(_LEITURA!$P$2:$P$21,6),DECKS!$B$2:$B$1201,$A532))</f>
        <v/>
      </c>
      <c r="Q532" s="19" t="str">
        <f aca="false">IF(OR($A532="",INDEX(_LEITURA!$Q$2:$Q$21,7)=0),"",SUMIFS(DECKS!$D$2:$D$1201,DECKS!$A$2:$A$1201,INDEX(_LEITURA!$P$2:$P$21,7),DECKS!$B$2:$B$1201,$A532))</f>
        <v/>
      </c>
      <c r="R532" s="19" t="str">
        <f aca="false">IF(OR($A532="",INDEX(_LEITURA!$Q$2:$Q$21,8)=0),"",SUMIFS(DECKS!$D$2:$D$1201,DECKS!$A$2:$A$1201,INDEX(_LEITURA!$P$2:$P$21,8),DECKS!$B$2:$B$1201,$A532))</f>
        <v/>
      </c>
      <c r="S532" s="19" t="str">
        <f aca="false">IF(OR($A532="",INDEX(_LEITURA!$Q$2:$Q$21,9)=0),"",SUMIFS(DECKS!$D$2:$D$1201,DECKS!$A$2:$A$1201,INDEX(_LEITURA!$P$2:$P$21,9),DECKS!$B$2:$B$1201,$A532))</f>
        <v/>
      </c>
      <c r="T532" s="19" t="str">
        <f aca="false">IF(OR($A532="",INDEX(_LEITURA!$Q$2:$Q$21,10)=0),"",SUMIFS(DECKS!$D$2:$D$1201,DECKS!$A$2:$A$1201,INDEX(_LEITURA!$P$2:$P$21,10),DECKS!$B$2:$B$1201,$A532))</f>
        <v/>
      </c>
      <c r="U532" s="19" t="str">
        <f aca="false">IF(OR($A532="",INDEX(_LEITURA!$Q$2:$Q$21,11)=0),"",SUMIFS(DECKS!$D$2:$D$1201,DECKS!$A$2:$A$1201,INDEX(_LEITURA!$P$2:$P$21,11),DECKS!$B$2:$B$1201,$A532))</f>
        <v/>
      </c>
      <c r="V532" s="19" t="str">
        <f aca="false">IF(OR($A532="",INDEX(_LEITURA!$Q$2:$Q$21,12)=0),"",SUMIFS(DECKS!$D$2:$D$1201,DECKS!$A$2:$A$1201,INDEX(_LEITURA!$P$2:$P$21,12),DECKS!$B$2:$B$1201,$A532))</f>
        <v/>
      </c>
      <c r="W532" s="19" t="str">
        <f aca="false">IF(OR($A532="",INDEX(_LEITURA!$Q$2:$Q$21,13)=0),"",SUMIFS(DECKS!$D$2:$D$1201,DECKS!$A$2:$A$1201,INDEX(_LEITURA!$P$2:$P$21,13),DECKS!$B$2:$B$1201,$A532))</f>
        <v/>
      </c>
      <c r="X532" s="19" t="str">
        <f aca="false">IF(OR($A532="",INDEX(_LEITURA!$Q$2:$Q$21,14)=0),"",SUMIFS(DECKS!$D$2:$D$1201,DECKS!$A$2:$A$1201,INDEX(_LEITURA!$P$2:$P$21,14),DECKS!$B$2:$B$1201,$A532))</f>
        <v/>
      </c>
      <c r="Y532" s="19" t="str">
        <f aca="false">IF(OR($A532="",INDEX(_LEITURA!$Q$2:$Q$21,15)=0),"",SUMIFS(DECKS!$D$2:$D$1201,DECKS!$A$2:$A$1201,INDEX(_LEITURA!$P$2:$P$21,15),DECKS!$B$2:$B$1201,$A532))</f>
        <v/>
      </c>
      <c r="Z532" s="19" t="str">
        <f aca="false">IF(OR($A532="",INDEX(_LEITURA!$Q$2:$Q$21,16)=0),"",SUMIFS(DECKS!$D$2:$D$1201,DECKS!$A$2:$A$1201,INDEX(_LEITURA!$P$2:$P$21,16),DECKS!$B$2:$B$1201,$A532))</f>
        <v/>
      </c>
      <c r="AA532" s="19" t="str">
        <f aca="false">IF(OR($A532="",INDEX(_LEITURA!$Q$2:$Q$21,17)=0),"",SUMIFS(DECKS!$D$2:$D$1201,DECKS!$A$2:$A$1201,INDEX(_LEITURA!$P$2:$P$21,17),DECKS!$B$2:$B$1201,$A532))</f>
        <v/>
      </c>
      <c r="AB532" s="19" t="str">
        <f aca="false">IF(OR($A532="",INDEX(_LEITURA!$Q$2:$Q$21,18)=0),"",SUMIFS(DECKS!$D$2:$D$1201,DECKS!$A$2:$A$1201,INDEX(_LEITURA!$P$2:$P$21,18),DECKS!$B$2:$B$1201,$A532))</f>
        <v/>
      </c>
      <c r="AC532" s="19" t="str">
        <f aca="false">IF(OR($A532="",INDEX(_LEITURA!$Q$2:$Q$21,19)=0),"",SUMIFS(DECKS!$D$2:$D$1201,DECKS!$A$2:$A$1201,INDEX(_LEITURA!$P$2:$P$21,19),DECKS!$B$2:$B$1201,$A532))</f>
        <v/>
      </c>
      <c r="AD532" s="19" t="str">
        <f aca="false">IF(OR($A532="",INDEX(_LEITURA!$Q$2:$Q$21,20)=0),"",SUMIFS(DECKS!$D$2:$D$1201,DECKS!$A$2:$A$1201,INDEX(_LEITURA!$P$2:$P$21,20),DECKS!$B$2:$B$1201,$A532))</f>
        <v/>
      </c>
      <c r="AE532" s="16" t="str">
        <f aca="false">IF(N(E532)&gt;0,MAX(AE$1:AE531)+1,"")</f>
        <v/>
      </c>
      <c r="AF532" s="11" t="str">
        <f aca="false">IF(A532="","",IFERROR(LEFT(A532,FIND("-",A532)-1),A532))</f>
        <v/>
      </c>
      <c r="AG532" s="11" t="str">
        <f aca="false">IF(AF532="","",IF(ISNUMBER(--MID(AF532,1,1)),0,IF(ISNUMBER(--MID(AF532,2,1)),1,IF(ISNUMBER(--MID(AF532,3,1)),2,IF(ISNUMBER(--MID(AF532,4,1)),3,MIN(LEN(AF532),4))))))</f>
        <v/>
      </c>
      <c r="AH532" s="11" t="str">
        <f aca="false">IF(A532="","",LEFT(AF532,AG532)&amp;REPT("0",4-AG532)&amp;RIGHT("000"&amp;IFERROR(VALUE(MID(AF532,AG532+1,9)),0),3)&amp;RIGHT("0000"&amp;IFERROR(VALUE(MID(A532,FIND("-",A532)+1,9)),0),4))</f>
        <v/>
      </c>
      <c r="AI532" s="11" t="str">
        <f aca="false">IF(OR(A532="",N(E532)&lt;=0),"",IF('FALTAS GERAL'!$M$1="Código","K"&amp;AH532&amp;RIGHT("00000"&amp;ROW(),5),IF('FALTAS GERAL'!$M$1="Nome","K"&amp;UPPER(SUBSTITUTE(SUBSTITUTE(SUBSTITUTE(B532,"*",""),"?",""),"~",""))&amp;"0"&amp;AH532&amp;RIGHT("00000"&amp;ROW(),5),IF('FALTAS GERAL'!$M$1="Falta (maior primeiro)","K"&amp;RIGHT("0000"&amp;(9999-E532),4)&amp;AH532&amp;RIGHT("00000"&amp;ROW(),5),IF('FALTAS GERAL'!$M$1="Nº de decks (maior primeiro)","K"&amp;RIGHT("00"&amp;(99-N(G532)),2)&amp;AH532&amp;RIGHT("00000"&amp;ROW(),5),"K"&amp;RIGHT("00000"&amp;ROW(),5))))))</f>
        <v/>
      </c>
      <c r="AJ532" s="11" t="str">
        <f aca="false">IF(AI532="","",COUNTIFS($AI$2:$AI$801,"&lt;"&amp;AI532,$E$2:$E$801,"&gt;0")+1)</f>
        <v/>
      </c>
      <c r="AK532" s="11" t="str">
        <f aca="false">IF(OR(A532="",N(E532)&lt;=0),"",COUNTIFS($AH$2:$AH$801,"&lt;"&amp;AH532,$E$2:$E$801,"&gt;0")+COUNTIFS($AH$2:AH532,AH532,$E$2:E532,"&gt;0"))</f>
        <v/>
      </c>
    </row>
    <row r="533" customFormat="false" ht="15" hidden="false" customHeight="false" outlineLevel="0" collapsed="false">
      <c r="A533" s="11" t="str">
        <f aca="false">IF(INVENTÁRIO!A533="","",INVENTÁRIO!A533)</f>
        <v/>
      </c>
      <c r="B533" s="11" t="str">
        <f aca="false">IF(A533="","",INVENTÁRIO!B533)</f>
        <v/>
      </c>
      <c r="C533" s="16" t="str">
        <f aca="false">IF(A533="","",INVENTÁRIO!C533)</f>
        <v/>
      </c>
      <c r="D533" s="14" t="str">
        <f aca="false">IF(A533="","",MAX(K533:AD533))</f>
        <v/>
      </c>
      <c r="E533" s="14" t="str">
        <f aca="false">IF(A533="","",MAX(0,D533-C533))</f>
        <v/>
      </c>
      <c r="F533" s="16" t="str">
        <f aca="false">IF(A533="","",IF(D533=0,"Fora dos decks",IF(E533=0,"Completo","Falta")))</f>
        <v/>
      </c>
      <c r="G533" s="16" t="str">
        <f aca="false">IF(A533="","",COUNTIF(K533:AD533,"&gt;0"))</f>
        <v/>
      </c>
      <c r="H533" s="16" t="str">
        <f aca="false">IF(A533="","",IF(G533&gt;1,"Sim",""))</f>
        <v/>
      </c>
      <c r="I533" s="18" t="str">
        <f aca="false">IF(A533="","",SUMIFS(DECKS!$D$2:$D$1201,DECKS!$B$2:$B$1201,A533))</f>
        <v/>
      </c>
      <c r="J533" s="18" t="str">
        <f aca="false">IF(A533="","",MAX(0,I533-C533))</f>
        <v/>
      </c>
      <c r="K533" s="19" t="str">
        <f aca="false">IF(OR($A533="",INDEX(_LEITURA!$Q$2:$Q$21,1)=0),"",SUMIFS(DECKS!$D$2:$D$1201,DECKS!$A$2:$A$1201,INDEX(_LEITURA!$P$2:$P$21,1),DECKS!$B$2:$B$1201,$A533))</f>
        <v/>
      </c>
      <c r="L533" s="19" t="str">
        <f aca="false">IF(OR($A533="",INDEX(_LEITURA!$Q$2:$Q$21,2)=0),"",SUMIFS(DECKS!$D$2:$D$1201,DECKS!$A$2:$A$1201,INDEX(_LEITURA!$P$2:$P$21,2),DECKS!$B$2:$B$1201,$A533))</f>
        <v/>
      </c>
      <c r="M533" s="19" t="str">
        <f aca="false">IF(OR($A533="",INDEX(_LEITURA!$Q$2:$Q$21,3)=0),"",SUMIFS(DECKS!$D$2:$D$1201,DECKS!$A$2:$A$1201,INDEX(_LEITURA!$P$2:$P$21,3),DECKS!$B$2:$B$1201,$A533))</f>
        <v/>
      </c>
      <c r="N533" s="19" t="str">
        <f aca="false">IF(OR($A533="",INDEX(_LEITURA!$Q$2:$Q$21,4)=0),"",SUMIFS(DECKS!$D$2:$D$1201,DECKS!$A$2:$A$1201,INDEX(_LEITURA!$P$2:$P$21,4),DECKS!$B$2:$B$1201,$A533))</f>
        <v/>
      </c>
      <c r="O533" s="19" t="str">
        <f aca="false">IF(OR($A533="",INDEX(_LEITURA!$Q$2:$Q$21,5)=0),"",SUMIFS(DECKS!$D$2:$D$1201,DECKS!$A$2:$A$1201,INDEX(_LEITURA!$P$2:$P$21,5),DECKS!$B$2:$B$1201,$A533))</f>
        <v/>
      </c>
      <c r="P533" s="19" t="str">
        <f aca="false">IF(OR($A533="",INDEX(_LEITURA!$Q$2:$Q$21,6)=0),"",SUMIFS(DECKS!$D$2:$D$1201,DECKS!$A$2:$A$1201,INDEX(_LEITURA!$P$2:$P$21,6),DECKS!$B$2:$B$1201,$A533))</f>
        <v/>
      </c>
      <c r="Q533" s="19" t="str">
        <f aca="false">IF(OR($A533="",INDEX(_LEITURA!$Q$2:$Q$21,7)=0),"",SUMIFS(DECKS!$D$2:$D$1201,DECKS!$A$2:$A$1201,INDEX(_LEITURA!$P$2:$P$21,7),DECKS!$B$2:$B$1201,$A533))</f>
        <v/>
      </c>
      <c r="R533" s="19" t="str">
        <f aca="false">IF(OR($A533="",INDEX(_LEITURA!$Q$2:$Q$21,8)=0),"",SUMIFS(DECKS!$D$2:$D$1201,DECKS!$A$2:$A$1201,INDEX(_LEITURA!$P$2:$P$21,8),DECKS!$B$2:$B$1201,$A533))</f>
        <v/>
      </c>
      <c r="S533" s="19" t="str">
        <f aca="false">IF(OR($A533="",INDEX(_LEITURA!$Q$2:$Q$21,9)=0),"",SUMIFS(DECKS!$D$2:$D$1201,DECKS!$A$2:$A$1201,INDEX(_LEITURA!$P$2:$P$21,9),DECKS!$B$2:$B$1201,$A533))</f>
        <v/>
      </c>
      <c r="T533" s="19" t="str">
        <f aca="false">IF(OR($A533="",INDEX(_LEITURA!$Q$2:$Q$21,10)=0),"",SUMIFS(DECKS!$D$2:$D$1201,DECKS!$A$2:$A$1201,INDEX(_LEITURA!$P$2:$P$21,10),DECKS!$B$2:$B$1201,$A533))</f>
        <v/>
      </c>
      <c r="U533" s="19" t="str">
        <f aca="false">IF(OR($A533="",INDEX(_LEITURA!$Q$2:$Q$21,11)=0),"",SUMIFS(DECKS!$D$2:$D$1201,DECKS!$A$2:$A$1201,INDEX(_LEITURA!$P$2:$P$21,11),DECKS!$B$2:$B$1201,$A533))</f>
        <v/>
      </c>
      <c r="V533" s="19" t="str">
        <f aca="false">IF(OR($A533="",INDEX(_LEITURA!$Q$2:$Q$21,12)=0),"",SUMIFS(DECKS!$D$2:$D$1201,DECKS!$A$2:$A$1201,INDEX(_LEITURA!$P$2:$P$21,12),DECKS!$B$2:$B$1201,$A533))</f>
        <v/>
      </c>
      <c r="W533" s="19" t="str">
        <f aca="false">IF(OR($A533="",INDEX(_LEITURA!$Q$2:$Q$21,13)=0),"",SUMIFS(DECKS!$D$2:$D$1201,DECKS!$A$2:$A$1201,INDEX(_LEITURA!$P$2:$P$21,13),DECKS!$B$2:$B$1201,$A533))</f>
        <v/>
      </c>
      <c r="X533" s="19" t="str">
        <f aca="false">IF(OR($A533="",INDEX(_LEITURA!$Q$2:$Q$21,14)=0),"",SUMIFS(DECKS!$D$2:$D$1201,DECKS!$A$2:$A$1201,INDEX(_LEITURA!$P$2:$P$21,14),DECKS!$B$2:$B$1201,$A533))</f>
        <v/>
      </c>
      <c r="Y533" s="19" t="str">
        <f aca="false">IF(OR($A533="",INDEX(_LEITURA!$Q$2:$Q$21,15)=0),"",SUMIFS(DECKS!$D$2:$D$1201,DECKS!$A$2:$A$1201,INDEX(_LEITURA!$P$2:$P$21,15),DECKS!$B$2:$B$1201,$A533))</f>
        <v/>
      </c>
      <c r="Z533" s="19" t="str">
        <f aca="false">IF(OR($A533="",INDEX(_LEITURA!$Q$2:$Q$21,16)=0),"",SUMIFS(DECKS!$D$2:$D$1201,DECKS!$A$2:$A$1201,INDEX(_LEITURA!$P$2:$P$21,16),DECKS!$B$2:$B$1201,$A533))</f>
        <v/>
      </c>
      <c r="AA533" s="19" t="str">
        <f aca="false">IF(OR($A533="",INDEX(_LEITURA!$Q$2:$Q$21,17)=0),"",SUMIFS(DECKS!$D$2:$D$1201,DECKS!$A$2:$A$1201,INDEX(_LEITURA!$P$2:$P$21,17),DECKS!$B$2:$B$1201,$A533))</f>
        <v/>
      </c>
      <c r="AB533" s="19" t="str">
        <f aca="false">IF(OR($A533="",INDEX(_LEITURA!$Q$2:$Q$21,18)=0),"",SUMIFS(DECKS!$D$2:$D$1201,DECKS!$A$2:$A$1201,INDEX(_LEITURA!$P$2:$P$21,18),DECKS!$B$2:$B$1201,$A533))</f>
        <v/>
      </c>
      <c r="AC533" s="19" t="str">
        <f aca="false">IF(OR($A533="",INDEX(_LEITURA!$Q$2:$Q$21,19)=0),"",SUMIFS(DECKS!$D$2:$D$1201,DECKS!$A$2:$A$1201,INDEX(_LEITURA!$P$2:$P$21,19),DECKS!$B$2:$B$1201,$A533))</f>
        <v/>
      </c>
      <c r="AD533" s="19" t="str">
        <f aca="false">IF(OR($A533="",INDEX(_LEITURA!$Q$2:$Q$21,20)=0),"",SUMIFS(DECKS!$D$2:$D$1201,DECKS!$A$2:$A$1201,INDEX(_LEITURA!$P$2:$P$21,20),DECKS!$B$2:$B$1201,$A533))</f>
        <v/>
      </c>
      <c r="AE533" s="16" t="str">
        <f aca="false">IF(N(E533)&gt;0,MAX(AE$1:AE532)+1,"")</f>
        <v/>
      </c>
      <c r="AF533" s="11" t="str">
        <f aca="false">IF(A533="","",IFERROR(LEFT(A533,FIND("-",A533)-1),A533))</f>
        <v/>
      </c>
      <c r="AG533" s="11" t="str">
        <f aca="false">IF(AF533="","",IF(ISNUMBER(--MID(AF533,1,1)),0,IF(ISNUMBER(--MID(AF533,2,1)),1,IF(ISNUMBER(--MID(AF533,3,1)),2,IF(ISNUMBER(--MID(AF533,4,1)),3,MIN(LEN(AF533),4))))))</f>
        <v/>
      </c>
      <c r="AH533" s="11" t="str">
        <f aca="false">IF(A533="","",LEFT(AF533,AG533)&amp;REPT("0",4-AG533)&amp;RIGHT("000"&amp;IFERROR(VALUE(MID(AF533,AG533+1,9)),0),3)&amp;RIGHT("0000"&amp;IFERROR(VALUE(MID(A533,FIND("-",A533)+1,9)),0),4))</f>
        <v/>
      </c>
      <c r="AI533" s="11" t="str">
        <f aca="false">IF(OR(A533="",N(E533)&lt;=0),"",IF('FALTAS GERAL'!$M$1="Código","K"&amp;AH533&amp;RIGHT("00000"&amp;ROW(),5),IF('FALTAS GERAL'!$M$1="Nome","K"&amp;UPPER(SUBSTITUTE(SUBSTITUTE(SUBSTITUTE(B533,"*",""),"?",""),"~",""))&amp;"0"&amp;AH533&amp;RIGHT("00000"&amp;ROW(),5),IF('FALTAS GERAL'!$M$1="Falta (maior primeiro)","K"&amp;RIGHT("0000"&amp;(9999-E533),4)&amp;AH533&amp;RIGHT("00000"&amp;ROW(),5),IF('FALTAS GERAL'!$M$1="Nº de decks (maior primeiro)","K"&amp;RIGHT("00"&amp;(99-N(G533)),2)&amp;AH533&amp;RIGHT("00000"&amp;ROW(),5),"K"&amp;RIGHT("00000"&amp;ROW(),5))))))</f>
        <v/>
      </c>
      <c r="AJ533" s="11" t="str">
        <f aca="false">IF(AI533="","",COUNTIFS($AI$2:$AI$801,"&lt;"&amp;AI533,$E$2:$E$801,"&gt;0")+1)</f>
        <v/>
      </c>
      <c r="AK533" s="11" t="str">
        <f aca="false">IF(OR(A533="",N(E533)&lt;=0),"",COUNTIFS($AH$2:$AH$801,"&lt;"&amp;AH533,$E$2:$E$801,"&gt;0")+COUNTIFS($AH$2:AH533,AH533,$E$2:E533,"&gt;0"))</f>
        <v/>
      </c>
    </row>
    <row r="534" customFormat="false" ht="15" hidden="false" customHeight="false" outlineLevel="0" collapsed="false">
      <c r="A534" s="11" t="str">
        <f aca="false">IF(INVENTÁRIO!A534="","",INVENTÁRIO!A534)</f>
        <v/>
      </c>
      <c r="B534" s="11" t="str">
        <f aca="false">IF(A534="","",INVENTÁRIO!B534)</f>
        <v/>
      </c>
      <c r="C534" s="16" t="str">
        <f aca="false">IF(A534="","",INVENTÁRIO!C534)</f>
        <v/>
      </c>
      <c r="D534" s="14" t="str">
        <f aca="false">IF(A534="","",MAX(K534:AD534))</f>
        <v/>
      </c>
      <c r="E534" s="14" t="str">
        <f aca="false">IF(A534="","",MAX(0,D534-C534))</f>
        <v/>
      </c>
      <c r="F534" s="16" t="str">
        <f aca="false">IF(A534="","",IF(D534=0,"Fora dos decks",IF(E534=0,"Completo","Falta")))</f>
        <v/>
      </c>
      <c r="G534" s="16" t="str">
        <f aca="false">IF(A534="","",COUNTIF(K534:AD534,"&gt;0"))</f>
        <v/>
      </c>
      <c r="H534" s="16" t="str">
        <f aca="false">IF(A534="","",IF(G534&gt;1,"Sim",""))</f>
        <v/>
      </c>
      <c r="I534" s="18" t="str">
        <f aca="false">IF(A534="","",SUMIFS(DECKS!$D$2:$D$1201,DECKS!$B$2:$B$1201,A534))</f>
        <v/>
      </c>
      <c r="J534" s="18" t="str">
        <f aca="false">IF(A534="","",MAX(0,I534-C534))</f>
        <v/>
      </c>
      <c r="K534" s="19" t="str">
        <f aca="false">IF(OR($A534="",INDEX(_LEITURA!$Q$2:$Q$21,1)=0),"",SUMIFS(DECKS!$D$2:$D$1201,DECKS!$A$2:$A$1201,INDEX(_LEITURA!$P$2:$P$21,1),DECKS!$B$2:$B$1201,$A534))</f>
        <v/>
      </c>
      <c r="L534" s="19" t="str">
        <f aca="false">IF(OR($A534="",INDEX(_LEITURA!$Q$2:$Q$21,2)=0),"",SUMIFS(DECKS!$D$2:$D$1201,DECKS!$A$2:$A$1201,INDEX(_LEITURA!$P$2:$P$21,2),DECKS!$B$2:$B$1201,$A534))</f>
        <v/>
      </c>
      <c r="M534" s="19" t="str">
        <f aca="false">IF(OR($A534="",INDEX(_LEITURA!$Q$2:$Q$21,3)=0),"",SUMIFS(DECKS!$D$2:$D$1201,DECKS!$A$2:$A$1201,INDEX(_LEITURA!$P$2:$P$21,3),DECKS!$B$2:$B$1201,$A534))</f>
        <v/>
      </c>
      <c r="N534" s="19" t="str">
        <f aca="false">IF(OR($A534="",INDEX(_LEITURA!$Q$2:$Q$21,4)=0),"",SUMIFS(DECKS!$D$2:$D$1201,DECKS!$A$2:$A$1201,INDEX(_LEITURA!$P$2:$P$21,4),DECKS!$B$2:$B$1201,$A534))</f>
        <v/>
      </c>
      <c r="O534" s="19" t="str">
        <f aca="false">IF(OR($A534="",INDEX(_LEITURA!$Q$2:$Q$21,5)=0),"",SUMIFS(DECKS!$D$2:$D$1201,DECKS!$A$2:$A$1201,INDEX(_LEITURA!$P$2:$P$21,5),DECKS!$B$2:$B$1201,$A534))</f>
        <v/>
      </c>
      <c r="P534" s="19" t="str">
        <f aca="false">IF(OR($A534="",INDEX(_LEITURA!$Q$2:$Q$21,6)=0),"",SUMIFS(DECKS!$D$2:$D$1201,DECKS!$A$2:$A$1201,INDEX(_LEITURA!$P$2:$P$21,6),DECKS!$B$2:$B$1201,$A534))</f>
        <v/>
      </c>
      <c r="Q534" s="19" t="str">
        <f aca="false">IF(OR($A534="",INDEX(_LEITURA!$Q$2:$Q$21,7)=0),"",SUMIFS(DECKS!$D$2:$D$1201,DECKS!$A$2:$A$1201,INDEX(_LEITURA!$P$2:$P$21,7),DECKS!$B$2:$B$1201,$A534))</f>
        <v/>
      </c>
      <c r="R534" s="19" t="str">
        <f aca="false">IF(OR($A534="",INDEX(_LEITURA!$Q$2:$Q$21,8)=0),"",SUMIFS(DECKS!$D$2:$D$1201,DECKS!$A$2:$A$1201,INDEX(_LEITURA!$P$2:$P$21,8),DECKS!$B$2:$B$1201,$A534))</f>
        <v/>
      </c>
      <c r="S534" s="19" t="str">
        <f aca="false">IF(OR($A534="",INDEX(_LEITURA!$Q$2:$Q$21,9)=0),"",SUMIFS(DECKS!$D$2:$D$1201,DECKS!$A$2:$A$1201,INDEX(_LEITURA!$P$2:$P$21,9),DECKS!$B$2:$B$1201,$A534))</f>
        <v/>
      </c>
      <c r="T534" s="19" t="str">
        <f aca="false">IF(OR($A534="",INDEX(_LEITURA!$Q$2:$Q$21,10)=0),"",SUMIFS(DECKS!$D$2:$D$1201,DECKS!$A$2:$A$1201,INDEX(_LEITURA!$P$2:$P$21,10),DECKS!$B$2:$B$1201,$A534))</f>
        <v/>
      </c>
      <c r="U534" s="19" t="str">
        <f aca="false">IF(OR($A534="",INDEX(_LEITURA!$Q$2:$Q$21,11)=0),"",SUMIFS(DECKS!$D$2:$D$1201,DECKS!$A$2:$A$1201,INDEX(_LEITURA!$P$2:$P$21,11),DECKS!$B$2:$B$1201,$A534))</f>
        <v/>
      </c>
      <c r="V534" s="19" t="str">
        <f aca="false">IF(OR($A534="",INDEX(_LEITURA!$Q$2:$Q$21,12)=0),"",SUMIFS(DECKS!$D$2:$D$1201,DECKS!$A$2:$A$1201,INDEX(_LEITURA!$P$2:$P$21,12),DECKS!$B$2:$B$1201,$A534))</f>
        <v/>
      </c>
      <c r="W534" s="19" t="str">
        <f aca="false">IF(OR($A534="",INDEX(_LEITURA!$Q$2:$Q$21,13)=0),"",SUMIFS(DECKS!$D$2:$D$1201,DECKS!$A$2:$A$1201,INDEX(_LEITURA!$P$2:$P$21,13),DECKS!$B$2:$B$1201,$A534))</f>
        <v/>
      </c>
      <c r="X534" s="19" t="str">
        <f aca="false">IF(OR($A534="",INDEX(_LEITURA!$Q$2:$Q$21,14)=0),"",SUMIFS(DECKS!$D$2:$D$1201,DECKS!$A$2:$A$1201,INDEX(_LEITURA!$P$2:$P$21,14),DECKS!$B$2:$B$1201,$A534))</f>
        <v/>
      </c>
      <c r="Y534" s="19" t="str">
        <f aca="false">IF(OR($A534="",INDEX(_LEITURA!$Q$2:$Q$21,15)=0),"",SUMIFS(DECKS!$D$2:$D$1201,DECKS!$A$2:$A$1201,INDEX(_LEITURA!$P$2:$P$21,15),DECKS!$B$2:$B$1201,$A534))</f>
        <v/>
      </c>
      <c r="Z534" s="19" t="str">
        <f aca="false">IF(OR($A534="",INDEX(_LEITURA!$Q$2:$Q$21,16)=0),"",SUMIFS(DECKS!$D$2:$D$1201,DECKS!$A$2:$A$1201,INDEX(_LEITURA!$P$2:$P$21,16),DECKS!$B$2:$B$1201,$A534))</f>
        <v/>
      </c>
      <c r="AA534" s="19" t="str">
        <f aca="false">IF(OR($A534="",INDEX(_LEITURA!$Q$2:$Q$21,17)=0),"",SUMIFS(DECKS!$D$2:$D$1201,DECKS!$A$2:$A$1201,INDEX(_LEITURA!$P$2:$P$21,17),DECKS!$B$2:$B$1201,$A534))</f>
        <v/>
      </c>
      <c r="AB534" s="19" t="str">
        <f aca="false">IF(OR($A534="",INDEX(_LEITURA!$Q$2:$Q$21,18)=0),"",SUMIFS(DECKS!$D$2:$D$1201,DECKS!$A$2:$A$1201,INDEX(_LEITURA!$P$2:$P$21,18),DECKS!$B$2:$B$1201,$A534))</f>
        <v/>
      </c>
      <c r="AC534" s="19" t="str">
        <f aca="false">IF(OR($A534="",INDEX(_LEITURA!$Q$2:$Q$21,19)=0),"",SUMIFS(DECKS!$D$2:$D$1201,DECKS!$A$2:$A$1201,INDEX(_LEITURA!$P$2:$P$21,19),DECKS!$B$2:$B$1201,$A534))</f>
        <v/>
      </c>
      <c r="AD534" s="19" t="str">
        <f aca="false">IF(OR($A534="",INDEX(_LEITURA!$Q$2:$Q$21,20)=0),"",SUMIFS(DECKS!$D$2:$D$1201,DECKS!$A$2:$A$1201,INDEX(_LEITURA!$P$2:$P$21,20),DECKS!$B$2:$B$1201,$A534))</f>
        <v/>
      </c>
      <c r="AE534" s="16" t="str">
        <f aca="false">IF(N(E534)&gt;0,MAX(AE$1:AE533)+1,"")</f>
        <v/>
      </c>
      <c r="AF534" s="11" t="str">
        <f aca="false">IF(A534="","",IFERROR(LEFT(A534,FIND("-",A534)-1),A534))</f>
        <v/>
      </c>
      <c r="AG534" s="11" t="str">
        <f aca="false">IF(AF534="","",IF(ISNUMBER(--MID(AF534,1,1)),0,IF(ISNUMBER(--MID(AF534,2,1)),1,IF(ISNUMBER(--MID(AF534,3,1)),2,IF(ISNUMBER(--MID(AF534,4,1)),3,MIN(LEN(AF534),4))))))</f>
        <v/>
      </c>
      <c r="AH534" s="11" t="str">
        <f aca="false">IF(A534="","",LEFT(AF534,AG534)&amp;REPT("0",4-AG534)&amp;RIGHT("000"&amp;IFERROR(VALUE(MID(AF534,AG534+1,9)),0),3)&amp;RIGHT("0000"&amp;IFERROR(VALUE(MID(A534,FIND("-",A534)+1,9)),0),4))</f>
        <v/>
      </c>
      <c r="AI534" s="11" t="str">
        <f aca="false">IF(OR(A534="",N(E534)&lt;=0),"",IF('FALTAS GERAL'!$M$1="Código","K"&amp;AH534&amp;RIGHT("00000"&amp;ROW(),5),IF('FALTAS GERAL'!$M$1="Nome","K"&amp;UPPER(SUBSTITUTE(SUBSTITUTE(SUBSTITUTE(B534,"*",""),"?",""),"~",""))&amp;"0"&amp;AH534&amp;RIGHT("00000"&amp;ROW(),5),IF('FALTAS GERAL'!$M$1="Falta (maior primeiro)","K"&amp;RIGHT("0000"&amp;(9999-E534),4)&amp;AH534&amp;RIGHT("00000"&amp;ROW(),5),IF('FALTAS GERAL'!$M$1="Nº de decks (maior primeiro)","K"&amp;RIGHT("00"&amp;(99-N(G534)),2)&amp;AH534&amp;RIGHT("00000"&amp;ROW(),5),"K"&amp;RIGHT("00000"&amp;ROW(),5))))))</f>
        <v/>
      </c>
      <c r="AJ534" s="11" t="str">
        <f aca="false">IF(AI534="","",COUNTIFS($AI$2:$AI$801,"&lt;"&amp;AI534,$E$2:$E$801,"&gt;0")+1)</f>
        <v/>
      </c>
      <c r="AK534" s="11" t="str">
        <f aca="false">IF(OR(A534="",N(E534)&lt;=0),"",COUNTIFS($AH$2:$AH$801,"&lt;"&amp;AH534,$E$2:$E$801,"&gt;0")+COUNTIFS($AH$2:AH534,AH534,$E$2:E534,"&gt;0"))</f>
        <v/>
      </c>
    </row>
    <row r="535" customFormat="false" ht="15" hidden="false" customHeight="false" outlineLevel="0" collapsed="false">
      <c r="A535" s="11" t="str">
        <f aca="false">IF(INVENTÁRIO!A535="","",INVENTÁRIO!A535)</f>
        <v/>
      </c>
      <c r="B535" s="11" t="str">
        <f aca="false">IF(A535="","",INVENTÁRIO!B535)</f>
        <v/>
      </c>
      <c r="C535" s="16" t="str">
        <f aca="false">IF(A535="","",INVENTÁRIO!C535)</f>
        <v/>
      </c>
      <c r="D535" s="14" t="str">
        <f aca="false">IF(A535="","",MAX(K535:AD535))</f>
        <v/>
      </c>
      <c r="E535" s="14" t="str">
        <f aca="false">IF(A535="","",MAX(0,D535-C535))</f>
        <v/>
      </c>
      <c r="F535" s="16" t="str">
        <f aca="false">IF(A535="","",IF(D535=0,"Fora dos decks",IF(E535=0,"Completo","Falta")))</f>
        <v/>
      </c>
      <c r="G535" s="16" t="str">
        <f aca="false">IF(A535="","",COUNTIF(K535:AD535,"&gt;0"))</f>
        <v/>
      </c>
      <c r="H535" s="16" t="str">
        <f aca="false">IF(A535="","",IF(G535&gt;1,"Sim",""))</f>
        <v/>
      </c>
      <c r="I535" s="18" t="str">
        <f aca="false">IF(A535="","",SUMIFS(DECKS!$D$2:$D$1201,DECKS!$B$2:$B$1201,A535))</f>
        <v/>
      </c>
      <c r="J535" s="18" t="str">
        <f aca="false">IF(A535="","",MAX(0,I535-C535))</f>
        <v/>
      </c>
      <c r="K535" s="19" t="str">
        <f aca="false">IF(OR($A535="",INDEX(_LEITURA!$Q$2:$Q$21,1)=0),"",SUMIFS(DECKS!$D$2:$D$1201,DECKS!$A$2:$A$1201,INDEX(_LEITURA!$P$2:$P$21,1),DECKS!$B$2:$B$1201,$A535))</f>
        <v/>
      </c>
      <c r="L535" s="19" t="str">
        <f aca="false">IF(OR($A535="",INDEX(_LEITURA!$Q$2:$Q$21,2)=0),"",SUMIFS(DECKS!$D$2:$D$1201,DECKS!$A$2:$A$1201,INDEX(_LEITURA!$P$2:$P$21,2),DECKS!$B$2:$B$1201,$A535))</f>
        <v/>
      </c>
      <c r="M535" s="19" t="str">
        <f aca="false">IF(OR($A535="",INDEX(_LEITURA!$Q$2:$Q$21,3)=0),"",SUMIFS(DECKS!$D$2:$D$1201,DECKS!$A$2:$A$1201,INDEX(_LEITURA!$P$2:$P$21,3),DECKS!$B$2:$B$1201,$A535))</f>
        <v/>
      </c>
      <c r="N535" s="19" t="str">
        <f aca="false">IF(OR($A535="",INDEX(_LEITURA!$Q$2:$Q$21,4)=0),"",SUMIFS(DECKS!$D$2:$D$1201,DECKS!$A$2:$A$1201,INDEX(_LEITURA!$P$2:$P$21,4),DECKS!$B$2:$B$1201,$A535))</f>
        <v/>
      </c>
      <c r="O535" s="19" t="str">
        <f aca="false">IF(OR($A535="",INDEX(_LEITURA!$Q$2:$Q$21,5)=0),"",SUMIFS(DECKS!$D$2:$D$1201,DECKS!$A$2:$A$1201,INDEX(_LEITURA!$P$2:$P$21,5),DECKS!$B$2:$B$1201,$A535))</f>
        <v/>
      </c>
      <c r="P535" s="19" t="str">
        <f aca="false">IF(OR($A535="",INDEX(_LEITURA!$Q$2:$Q$21,6)=0),"",SUMIFS(DECKS!$D$2:$D$1201,DECKS!$A$2:$A$1201,INDEX(_LEITURA!$P$2:$P$21,6),DECKS!$B$2:$B$1201,$A535))</f>
        <v/>
      </c>
      <c r="Q535" s="19" t="str">
        <f aca="false">IF(OR($A535="",INDEX(_LEITURA!$Q$2:$Q$21,7)=0),"",SUMIFS(DECKS!$D$2:$D$1201,DECKS!$A$2:$A$1201,INDEX(_LEITURA!$P$2:$P$21,7),DECKS!$B$2:$B$1201,$A535))</f>
        <v/>
      </c>
      <c r="R535" s="19" t="str">
        <f aca="false">IF(OR($A535="",INDEX(_LEITURA!$Q$2:$Q$21,8)=0),"",SUMIFS(DECKS!$D$2:$D$1201,DECKS!$A$2:$A$1201,INDEX(_LEITURA!$P$2:$P$21,8),DECKS!$B$2:$B$1201,$A535))</f>
        <v/>
      </c>
      <c r="S535" s="19" t="str">
        <f aca="false">IF(OR($A535="",INDEX(_LEITURA!$Q$2:$Q$21,9)=0),"",SUMIFS(DECKS!$D$2:$D$1201,DECKS!$A$2:$A$1201,INDEX(_LEITURA!$P$2:$P$21,9),DECKS!$B$2:$B$1201,$A535))</f>
        <v/>
      </c>
      <c r="T535" s="19" t="str">
        <f aca="false">IF(OR($A535="",INDEX(_LEITURA!$Q$2:$Q$21,10)=0),"",SUMIFS(DECKS!$D$2:$D$1201,DECKS!$A$2:$A$1201,INDEX(_LEITURA!$P$2:$P$21,10),DECKS!$B$2:$B$1201,$A535))</f>
        <v/>
      </c>
      <c r="U535" s="19" t="str">
        <f aca="false">IF(OR($A535="",INDEX(_LEITURA!$Q$2:$Q$21,11)=0),"",SUMIFS(DECKS!$D$2:$D$1201,DECKS!$A$2:$A$1201,INDEX(_LEITURA!$P$2:$P$21,11),DECKS!$B$2:$B$1201,$A535))</f>
        <v/>
      </c>
      <c r="V535" s="19" t="str">
        <f aca="false">IF(OR($A535="",INDEX(_LEITURA!$Q$2:$Q$21,12)=0),"",SUMIFS(DECKS!$D$2:$D$1201,DECKS!$A$2:$A$1201,INDEX(_LEITURA!$P$2:$P$21,12),DECKS!$B$2:$B$1201,$A535))</f>
        <v/>
      </c>
      <c r="W535" s="19" t="str">
        <f aca="false">IF(OR($A535="",INDEX(_LEITURA!$Q$2:$Q$21,13)=0),"",SUMIFS(DECKS!$D$2:$D$1201,DECKS!$A$2:$A$1201,INDEX(_LEITURA!$P$2:$P$21,13),DECKS!$B$2:$B$1201,$A535))</f>
        <v/>
      </c>
      <c r="X535" s="19" t="str">
        <f aca="false">IF(OR($A535="",INDEX(_LEITURA!$Q$2:$Q$21,14)=0),"",SUMIFS(DECKS!$D$2:$D$1201,DECKS!$A$2:$A$1201,INDEX(_LEITURA!$P$2:$P$21,14),DECKS!$B$2:$B$1201,$A535))</f>
        <v/>
      </c>
      <c r="Y535" s="19" t="str">
        <f aca="false">IF(OR($A535="",INDEX(_LEITURA!$Q$2:$Q$21,15)=0),"",SUMIFS(DECKS!$D$2:$D$1201,DECKS!$A$2:$A$1201,INDEX(_LEITURA!$P$2:$P$21,15),DECKS!$B$2:$B$1201,$A535))</f>
        <v/>
      </c>
      <c r="Z535" s="19" t="str">
        <f aca="false">IF(OR($A535="",INDEX(_LEITURA!$Q$2:$Q$21,16)=0),"",SUMIFS(DECKS!$D$2:$D$1201,DECKS!$A$2:$A$1201,INDEX(_LEITURA!$P$2:$P$21,16),DECKS!$B$2:$B$1201,$A535))</f>
        <v/>
      </c>
      <c r="AA535" s="19" t="str">
        <f aca="false">IF(OR($A535="",INDEX(_LEITURA!$Q$2:$Q$21,17)=0),"",SUMIFS(DECKS!$D$2:$D$1201,DECKS!$A$2:$A$1201,INDEX(_LEITURA!$P$2:$P$21,17),DECKS!$B$2:$B$1201,$A535))</f>
        <v/>
      </c>
      <c r="AB535" s="19" t="str">
        <f aca="false">IF(OR($A535="",INDEX(_LEITURA!$Q$2:$Q$21,18)=0),"",SUMIFS(DECKS!$D$2:$D$1201,DECKS!$A$2:$A$1201,INDEX(_LEITURA!$P$2:$P$21,18),DECKS!$B$2:$B$1201,$A535))</f>
        <v/>
      </c>
      <c r="AC535" s="19" t="str">
        <f aca="false">IF(OR($A535="",INDEX(_LEITURA!$Q$2:$Q$21,19)=0),"",SUMIFS(DECKS!$D$2:$D$1201,DECKS!$A$2:$A$1201,INDEX(_LEITURA!$P$2:$P$21,19),DECKS!$B$2:$B$1201,$A535))</f>
        <v/>
      </c>
      <c r="AD535" s="19" t="str">
        <f aca="false">IF(OR($A535="",INDEX(_LEITURA!$Q$2:$Q$21,20)=0),"",SUMIFS(DECKS!$D$2:$D$1201,DECKS!$A$2:$A$1201,INDEX(_LEITURA!$P$2:$P$21,20),DECKS!$B$2:$B$1201,$A535))</f>
        <v/>
      </c>
      <c r="AE535" s="16" t="str">
        <f aca="false">IF(N(E535)&gt;0,MAX(AE$1:AE534)+1,"")</f>
        <v/>
      </c>
      <c r="AF535" s="11" t="str">
        <f aca="false">IF(A535="","",IFERROR(LEFT(A535,FIND("-",A535)-1),A535))</f>
        <v/>
      </c>
      <c r="AG535" s="11" t="str">
        <f aca="false">IF(AF535="","",IF(ISNUMBER(--MID(AF535,1,1)),0,IF(ISNUMBER(--MID(AF535,2,1)),1,IF(ISNUMBER(--MID(AF535,3,1)),2,IF(ISNUMBER(--MID(AF535,4,1)),3,MIN(LEN(AF535),4))))))</f>
        <v/>
      </c>
      <c r="AH535" s="11" t="str">
        <f aca="false">IF(A535="","",LEFT(AF535,AG535)&amp;REPT("0",4-AG535)&amp;RIGHT("000"&amp;IFERROR(VALUE(MID(AF535,AG535+1,9)),0),3)&amp;RIGHT("0000"&amp;IFERROR(VALUE(MID(A535,FIND("-",A535)+1,9)),0),4))</f>
        <v/>
      </c>
      <c r="AI535" s="11" t="str">
        <f aca="false">IF(OR(A535="",N(E535)&lt;=0),"",IF('FALTAS GERAL'!$M$1="Código","K"&amp;AH535&amp;RIGHT("00000"&amp;ROW(),5),IF('FALTAS GERAL'!$M$1="Nome","K"&amp;UPPER(SUBSTITUTE(SUBSTITUTE(SUBSTITUTE(B535,"*",""),"?",""),"~",""))&amp;"0"&amp;AH535&amp;RIGHT("00000"&amp;ROW(),5),IF('FALTAS GERAL'!$M$1="Falta (maior primeiro)","K"&amp;RIGHT("0000"&amp;(9999-E535),4)&amp;AH535&amp;RIGHT("00000"&amp;ROW(),5),IF('FALTAS GERAL'!$M$1="Nº de decks (maior primeiro)","K"&amp;RIGHT("00"&amp;(99-N(G535)),2)&amp;AH535&amp;RIGHT("00000"&amp;ROW(),5),"K"&amp;RIGHT("00000"&amp;ROW(),5))))))</f>
        <v/>
      </c>
      <c r="AJ535" s="11" t="str">
        <f aca="false">IF(AI535="","",COUNTIFS($AI$2:$AI$801,"&lt;"&amp;AI535,$E$2:$E$801,"&gt;0")+1)</f>
        <v/>
      </c>
      <c r="AK535" s="11" t="str">
        <f aca="false">IF(OR(A535="",N(E535)&lt;=0),"",COUNTIFS($AH$2:$AH$801,"&lt;"&amp;AH535,$E$2:$E$801,"&gt;0")+COUNTIFS($AH$2:AH535,AH535,$E$2:E535,"&gt;0"))</f>
        <v/>
      </c>
    </row>
    <row r="536" customFormat="false" ht="15" hidden="false" customHeight="false" outlineLevel="0" collapsed="false">
      <c r="A536" s="11" t="str">
        <f aca="false">IF(INVENTÁRIO!A536="","",INVENTÁRIO!A536)</f>
        <v/>
      </c>
      <c r="B536" s="11" t="str">
        <f aca="false">IF(A536="","",INVENTÁRIO!B536)</f>
        <v/>
      </c>
      <c r="C536" s="16" t="str">
        <f aca="false">IF(A536="","",INVENTÁRIO!C536)</f>
        <v/>
      </c>
      <c r="D536" s="14" t="str">
        <f aca="false">IF(A536="","",MAX(K536:AD536))</f>
        <v/>
      </c>
      <c r="E536" s="14" t="str">
        <f aca="false">IF(A536="","",MAX(0,D536-C536))</f>
        <v/>
      </c>
      <c r="F536" s="16" t="str">
        <f aca="false">IF(A536="","",IF(D536=0,"Fora dos decks",IF(E536=0,"Completo","Falta")))</f>
        <v/>
      </c>
      <c r="G536" s="16" t="str">
        <f aca="false">IF(A536="","",COUNTIF(K536:AD536,"&gt;0"))</f>
        <v/>
      </c>
      <c r="H536" s="16" t="str">
        <f aca="false">IF(A536="","",IF(G536&gt;1,"Sim",""))</f>
        <v/>
      </c>
      <c r="I536" s="18" t="str">
        <f aca="false">IF(A536="","",SUMIFS(DECKS!$D$2:$D$1201,DECKS!$B$2:$B$1201,A536))</f>
        <v/>
      </c>
      <c r="J536" s="18" t="str">
        <f aca="false">IF(A536="","",MAX(0,I536-C536))</f>
        <v/>
      </c>
      <c r="K536" s="19" t="str">
        <f aca="false">IF(OR($A536="",INDEX(_LEITURA!$Q$2:$Q$21,1)=0),"",SUMIFS(DECKS!$D$2:$D$1201,DECKS!$A$2:$A$1201,INDEX(_LEITURA!$P$2:$P$21,1),DECKS!$B$2:$B$1201,$A536))</f>
        <v/>
      </c>
      <c r="L536" s="19" t="str">
        <f aca="false">IF(OR($A536="",INDEX(_LEITURA!$Q$2:$Q$21,2)=0),"",SUMIFS(DECKS!$D$2:$D$1201,DECKS!$A$2:$A$1201,INDEX(_LEITURA!$P$2:$P$21,2),DECKS!$B$2:$B$1201,$A536))</f>
        <v/>
      </c>
      <c r="M536" s="19" t="str">
        <f aca="false">IF(OR($A536="",INDEX(_LEITURA!$Q$2:$Q$21,3)=0),"",SUMIFS(DECKS!$D$2:$D$1201,DECKS!$A$2:$A$1201,INDEX(_LEITURA!$P$2:$P$21,3),DECKS!$B$2:$B$1201,$A536))</f>
        <v/>
      </c>
      <c r="N536" s="19" t="str">
        <f aca="false">IF(OR($A536="",INDEX(_LEITURA!$Q$2:$Q$21,4)=0),"",SUMIFS(DECKS!$D$2:$D$1201,DECKS!$A$2:$A$1201,INDEX(_LEITURA!$P$2:$P$21,4),DECKS!$B$2:$B$1201,$A536))</f>
        <v/>
      </c>
      <c r="O536" s="19" t="str">
        <f aca="false">IF(OR($A536="",INDEX(_LEITURA!$Q$2:$Q$21,5)=0),"",SUMIFS(DECKS!$D$2:$D$1201,DECKS!$A$2:$A$1201,INDEX(_LEITURA!$P$2:$P$21,5),DECKS!$B$2:$B$1201,$A536))</f>
        <v/>
      </c>
      <c r="P536" s="19" t="str">
        <f aca="false">IF(OR($A536="",INDEX(_LEITURA!$Q$2:$Q$21,6)=0),"",SUMIFS(DECKS!$D$2:$D$1201,DECKS!$A$2:$A$1201,INDEX(_LEITURA!$P$2:$P$21,6),DECKS!$B$2:$B$1201,$A536))</f>
        <v/>
      </c>
      <c r="Q536" s="19" t="str">
        <f aca="false">IF(OR($A536="",INDEX(_LEITURA!$Q$2:$Q$21,7)=0),"",SUMIFS(DECKS!$D$2:$D$1201,DECKS!$A$2:$A$1201,INDEX(_LEITURA!$P$2:$P$21,7),DECKS!$B$2:$B$1201,$A536))</f>
        <v/>
      </c>
      <c r="R536" s="19" t="str">
        <f aca="false">IF(OR($A536="",INDEX(_LEITURA!$Q$2:$Q$21,8)=0),"",SUMIFS(DECKS!$D$2:$D$1201,DECKS!$A$2:$A$1201,INDEX(_LEITURA!$P$2:$P$21,8),DECKS!$B$2:$B$1201,$A536))</f>
        <v/>
      </c>
      <c r="S536" s="19" t="str">
        <f aca="false">IF(OR($A536="",INDEX(_LEITURA!$Q$2:$Q$21,9)=0),"",SUMIFS(DECKS!$D$2:$D$1201,DECKS!$A$2:$A$1201,INDEX(_LEITURA!$P$2:$P$21,9),DECKS!$B$2:$B$1201,$A536))</f>
        <v/>
      </c>
      <c r="T536" s="19" t="str">
        <f aca="false">IF(OR($A536="",INDEX(_LEITURA!$Q$2:$Q$21,10)=0),"",SUMIFS(DECKS!$D$2:$D$1201,DECKS!$A$2:$A$1201,INDEX(_LEITURA!$P$2:$P$21,10),DECKS!$B$2:$B$1201,$A536))</f>
        <v/>
      </c>
      <c r="U536" s="19" t="str">
        <f aca="false">IF(OR($A536="",INDEX(_LEITURA!$Q$2:$Q$21,11)=0),"",SUMIFS(DECKS!$D$2:$D$1201,DECKS!$A$2:$A$1201,INDEX(_LEITURA!$P$2:$P$21,11),DECKS!$B$2:$B$1201,$A536))</f>
        <v/>
      </c>
      <c r="V536" s="19" t="str">
        <f aca="false">IF(OR($A536="",INDEX(_LEITURA!$Q$2:$Q$21,12)=0),"",SUMIFS(DECKS!$D$2:$D$1201,DECKS!$A$2:$A$1201,INDEX(_LEITURA!$P$2:$P$21,12),DECKS!$B$2:$B$1201,$A536))</f>
        <v/>
      </c>
      <c r="W536" s="19" t="str">
        <f aca="false">IF(OR($A536="",INDEX(_LEITURA!$Q$2:$Q$21,13)=0),"",SUMIFS(DECKS!$D$2:$D$1201,DECKS!$A$2:$A$1201,INDEX(_LEITURA!$P$2:$P$21,13),DECKS!$B$2:$B$1201,$A536))</f>
        <v/>
      </c>
      <c r="X536" s="19" t="str">
        <f aca="false">IF(OR($A536="",INDEX(_LEITURA!$Q$2:$Q$21,14)=0),"",SUMIFS(DECKS!$D$2:$D$1201,DECKS!$A$2:$A$1201,INDEX(_LEITURA!$P$2:$P$21,14),DECKS!$B$2:$B$1201,$A536))</f>
        <v/>
      </c>
      <c r="Y536" s="19" t="str">
        <f aca="false">IF(OR($A536="",INDEX(_LEITURA!$Q$2:$Q$21,15)=0),"",SUMIFS(DECKS!$D$2:$D$1201,DECKS!$A$2:$A$1201,INDEX(_LEITURA!$P$2:$P$21,15),DECKS!$B$2:$B$1201,$A536))</f>
        <v/>
      </c>
      <c r="Z536" s="19" t="str">
        <f aca="false">IF(OR($A536="",INDEX(_LEITURA!$Q$2:$Q$21,16)=0),"",SUMIFS(DECKS!$D$2:$D$1201,DECKS!$A$2:$A$1201,INDEX(_LEITURA!$P$2:$P$21,16),DECKS!$B$2:$B$1201,$A536))</f>
        <v/>
      </c>
      <c r="AA536" s="19" t="str">
        <f aca="false">IF(OR($A536="",INDEX(_LEITURA!$Q$2:$Q$21,17)=0),"",SUMIFS(DECKS!$D$2:$D$1201,DECKS!$A$2:$A$1201,INDEX(_LEITURA!$P$2:$P$21,17),DECKS!$B$2:$B$1201,$A536))</f>
        <v/>
      </c>
      <c r="AB536" s="19" t="str">
        <f aca="false">IF(OR($A536="",INDEX(_LEITURA!$Q$2:$Q$21,18)=0),"",SUMIFS(DECKS!$D$2:$D$1201,DECKS!$A$2:$A$1201,INDEX(_LEITURA!$P$2:$P$21,18),DECKS!$B$2:$B$1201,$A536))</f>
        <v/>
      </c>
      <c r="AC536" s="19" t="str">
        <f aca="false">IF(OR($A536="",INDEX(_LEITURA!$Q$2:$Q$21,19)=0),"",SUMIFS(DECKS!$D$2:$D$1201,DECKS!$A$2:$A$1201,INDEX(_LEITURA!$P$2:$P$21,19),DECKS!$B$2:$B$1201,$A536))</f>
        <v/>
      </c>
      <c r="AD536" s="19" t="str">
        <f aca="false">IF(OR($A536="",INDEX(_LEITURA!$Q$2:$Q$21,20)=0),"",SUMIFS(DECKS!$D$2:$D$1201,DECKS!$A$2:$A$1201,INDEX(_LEITURA!$P$2:$P$21,20),DECKS!$B$2:$B$1201,$A536))</f>
        <v/>
      </c>
      <c r="AE536" s="16" t="str">
        <f aca="false">IF(N(E536)&gt;0,MAX(AE$1:AE535)+1,"")</f>
        <v/>
      </c>
      <c r="AF536" s="11" t="str">
        <f aca="false">IF(A536="","",IFERROR(LEFT(A536,FIND("-",A536)-1),A536))</f>
        <v/>
      </c>
      <c r="AG536" s="11" t="str">
        <f aca="false">IF(AF536="","",IF(ISNUMBER(--MID(AF536,1,1)),0,IF(ISNUMBER(--MID(AF536,2,1)),1,IF(ISNUMBER(--MID(AF536,3,1)),2,IF(ISNUMBER(--MID(AF536,4,1)),3,MIN(LEN(AF536),4))))))</f>
        <v/>
      </c>
      <c r="AH536" s="11" t="str">
        <f aca="false">IF(A536="","",LEFT(AF536,AG536)&amp;REPT("0",4-AG536)&amp;RIGHT("000"&amp;IFERROR(VALUE(MID(AF536,AG536+1,9)),0),3)&amp;RIGHT("0000"&amp;IFERROR(VALUE(MID(A536,FIND("-",A536)+1,9)),0),4))</f>
        <v/>
      </c>
      <c r="AI536" s="11" t="str">
        <f aca="false">IF(OR(A536="",N(E536)&lt;=0),"",IF('FALTAS GERAL'!$M$1="Código","K"&amp;AH536&amp;RIGHT("00000"&amp;ROW(),5),IF('FALTAS GERAL'!$M$1="Nome","K"&amp;UPPER(SUBSTITUTE(SUBSTITUTE(SUBSTITUTE(B536,"*",""),"?",""),"~",""))&amp;"0"&amp;AH536&amp;RIGHT("00000"&amp;ROW(),5),IF('FALTAS GERAL'!$M$1="Falta (maior primeiro)","K"&amp;RIGHT("0000"&amp;(9999-E536),4)&amp;AH536&amp;RIGHT("00000"&amp;ROW(),5),IF('FALTAS GERAL'!$M$1="Nº de decks (maior primeiro)","K"&amp;RIGHT("00"&amp;(99-N(G536)),2)&amp;AH536&amp;RIGHT("00000"&amp;ROW(),5),"K"&amp;RIGHT("00000"&amp;ROW(),5))))))</f>
        <v/>
      </c>
      <c r="AJ536" s="11" t="str">
        <f aca="false">IF(AI536="","",COUNTIFS($AI$2:$AI$801,"&lt;"&amp;AI536,$E$2:$E$801,"&gt;0")+1)</f>
        <v/>
      </c>
      <c r="AK536" s="11" t="str">
        <f aca="false">IF(OR(A536="",N(E536)&lt;=0),"",COUNTIFS($AH$2:$AH$801,"&lt;"&amp;AH536,$E$2:$E$801,"&gt;0")+COUNTIFS($AH$2:AH536,AH536,$E$2:E536,"&gt;0"))</f>
        <v/>
      </c>
    </row>
    <row r="537" customFormat="false" ht="15" hidden="false" customHeight="false" outlineLevel="0" collapsed="false">
      <c r="A537" s="11" t="str">
        <f aca="false">IF(INVENTÁRIO!A537="","",INVENTÁRIO!A537)</f>
        <v/>
      </c>
      <c r="B537" s="11" t="str">
        <f aca="false">IF(A537="","",INVENTÁRIO!B537)</f>
        <v/>
      </c>
      <c r="C537" s="16" t="str">
        <f aca="false">IF(A537="","",INVENTÁRIO!C537)</f>
        <v/>
      </c>
      <c r="D537" s="14" t="str">
        <f aca="false">IF(A537="","",MAX(K537:AD537))</f>
        <v/>
      </c>
      <c r="E537" s="14" t="str">
        <f aca="false">IF(A537="","",MAX(0,D537-C537))</f>
        <v/>
      </c>
      <c r="F537" s="16" t="str">
        <f aca="false">IF(A537="","",IF(D537=0,"Fora dos decks",IF(E537=0,"Completo","Falta")))</f>
        <v/>
      </c>
      <c r="G537" s="16" t="str">
        <f aca="false">IF(A537="","",COUNTIF(K537:AD537,"&gt;0"))</f>
        <v/>
      </c>
      <c r="H537" s="16" t="str">
        <f aca="false">IF(A537="","",IF(G537&gt;1,"Sim",""))</f>
        <v/>
      </c>
      <c r="I537" s="18" t="str">
        <f aca="false">IF(A537="","",SUMIFS(DECKS!$D$2:$D$1201,DECKS!$B$2:$B$1201,A537))</f>
        <v/>
      </c>
      <c r="J537" s="18" t="str">
        <f aca="false">IF(A537="","",MAX(0,I537-C537))</f>
        <v/>
      </c>
      <c r="K537" s="19" t="str">
        <f aca="false">IF(OR($A537="",INDEX(_LEITURA!$Q$2:$Q$21,1)=0),"",SUMIFS(DECKS!$D$2:$D$1201,DECKS!$A$2:$A$1201,INDEX(_LEITURA!$P$2:$P$21,1),DECKS!$B$2:$B$1201,$A537))</f>
        <v/>
      </c>
      <c r="L537" s="19" t="str">
        <f aca="false">IF(OR($A537="",INDEX(_LEITURA!$Q$2:$Q$21,2)=0),"",SUMIFS(DECKS!$D$2:$D$1201,DECKS!$A$2:$A$1201,INDEX(_LEITURA!$P$2:$P$21,2),DECKS!$B$2:$B$1201,$A537))</f>
        <v/>
      </c>
      <c r="M537" s="19" t="str">
        <f aca="false">IF(OR($A537="",INDEX(_LEITURA!$Q$2:$Q$21,3)=0),"",SUMIFS(DECKS!$D$2:$D$1201,DECKS!$A$2:$A$1201,INDEX(_LEITURA!$P$2:$P$21,3),DECKS!$B$2:$B$1201,$A537))</f>
        <v/>
      </c>
      <c r="N537" s="19" t="str">
        <f aca="false">IF(OR($A537="",INDEX(_LEITURA!$Q$2:$Q$21,4)=0),"",SUMIFS(DECKS!$D$2:$D$1201,DECKS!$A$2:$A$1201,INDEX(_LEITURA!$P$2:$P$21,4),DECKS!$B$2:$B$1201,$A537))</f>
        <v/>
      </c>
      <c r="O537" s="19" t="str">
        <f aca="false">IF(OR($A537="",INDEX(_LEITURA!$Q$2:$Q$21,5)=0),"",SUMIFS(DECKS!$D$2:$D$1201,DECKS!$A$2:$A$1201,INDEX(_LEITURA!$P$2:$P$21,5),DECKS!$B$2:$B$1201,$A537))</f>
        <v/>
      </c>
      <c r="P537" s="19" t="str">
        <f aca="false">IF(OR($A537="",INDEX(_LEITURA!$Q$2:$Q$21,6)=0),"",SUMIFS(DECKS!$D$2:$D$1201,DECKS!$A$2:$A$1201,INDEX(_LEITURA!$P$2:$P$21,6),DECKS!$B$2:$B$1201,$A537))</f>
        <v/>
      </c>
      <c r="Q537" s="19" t="str">
        <f aca="false">IF(OR($A537="",INDEX(_LEITURA!$Q$2:$Q$21,7)=0),"",SUMIFS(DECKS!$D$2:$D$1201,DECKS!$A$2:$A$1201,INDEX(_LEITURA!$P$2:$P$21,7),DECKS!$B$2:$B$1201,$A537))</f>
        <v/>
      </c>
      <c r="R537" s="19" t="str">
        <f aca="false">IF(OR($A537="",INDEX(_LEITURA!$Q$2:$Q$21,8)=0),"",SUMIFS(DECKS!$D$2:$D$1201,DECKS!$A$2:$A$1201,INDEX(_LEITURA!$P$2:$P$21,8),DECKS!$B$2:$B$1201,$A537))</f>
        <v/>
      </c>
      <c r="S537" s="19" t="str">
        <f aca="false">IF(OR($A537="",INDEX(_LEITURA!$Q$2:$Q$21,9)=0),"",SUMIFS(DECKS!$D$2:$D$1201,DECKS!$A$2:$A$1201,INDEX(_LEITURA!$P$2:$P$21,9),DECKS!$B$2:$B$1201,$A537))</f>
        <v/>
      </c>
      <c r="T537" s="19" t="str">
        <f aca="false">IF(OR($A537="",INDEX(_LEITURA!$Q$2:$Q$21,10)=0),"",SUMIFS(DECKS!$D$2:$D$1201,DECKS!$A$2:$A$1201,INDEX(_LEITURA!$P$2:$P$21,10),DECKS!$B$2:$B$1201,$A537))</f>
        <v/>
      </c>
      <c r="U537" s="19" t="str">
        <f aca="false">IF(OR($A537="",INDEX(_LEITURA!$Q$2:$Q$21,11)=0),"",SUMIFS(DECKS!$D$2:$D$1201,DECKS!$A$2:$A$1201,INDEX(_LEITURA!$P$2:$P$21,11),DECKS!$B$2:$B$1201,$A537))</f>
        <v/>
      </c>
      <c r="V537" s="19" t="str">
        <f aca="false">IF(OR($A537="",INDEX(_LEITURA!$Q$2:$Q$21,12)=0),"",SUMIFS(DECKS!$D$2:$D$1201,DECKS!$A$2:$A$1201,INDEX(_LEITURA!$P$2:$P$21,12),DECKS!$B$2:$B$1201,$A537))</f>
        <v/>
      </c>
      <c r="W537" s="19" t="str">
        <f aca="false">IF(OR($A537="",INDEX(_LEITURA!$Q$2:$Q$21,13)=0),"",SUMIFS(DECKS!$D$2:$D$1201,DECKS!$A$2:$A$1201,INDEX(_LEITURA!$P$2:$P$21,13),DECKS!$B$2:$B$1201,$A537))</f>
        <v/>
      </c>
      <c r="X537" s="19" t="str">
        <f aca="false">IF(OR($A537="",INDEX(_LEITURA!$Q$2:$Q$21,14)=0),"",SUMIFS(DECKS!$D$2:$D$1201,DECKS!$A$2:$A$1201,INDEX(_LEITURA!$P$2:$P$21,14),DECKS!$B$2:$B$1201,$A537))</f>
        <v/>
      </c>
      <c r="Y537" s="19" t="str">
        <f aca="false">IF(OR($A537="",INDEX(_LEITURA!$Q$2:$Q$21,15)=0),"",SUMIFS(DECKS!$D$2:$D$1201,DECKS!$A$2:$A$1201,INDEX(_LEITURA!$P$2:$P$21,15),DECKS!$B$2:$B$1201,$A537))</f>
        <v/>
      </c>
      <c r="Z537" s="19" t="str">
        <f aca="false">IF(OR($A537="",INDEX(_LEITURA!$Q$2:$Q$21,16)=0),"",SUMIFS(DECKS!$D$2:$D$1201,DECKS!$A$2:$A$1201,INDEX(_LEITURA!$P$2:$P$21,16),DECKS!$B$2:$B$1201,$A537))</f>
        <v/>
      </c>
      <c r="AA537" s="19" t="str">
        <f aca="false">IF(OR($A537="",INDEX(_LEITURA!$Q$2:$Q$21,17)=0),"",SUMIFS(DECKS!$D$2:$D$1201,DECKS!$A$2:$A$1201,INDEX(_LEITURA!$P$2:$P$21,17),DECKS!$B$2:$B$1201,$A537))</f>
        <v/>
      </c>
      <c r="AB537" s="19" t="str">
        <f aca="false">IF(OR($A537="",INDEX(_LEITURA!$Q$2:$Q$21,18)=0),"",SUMIFS(DECKS!$D$2:$D$1201,DECKS!$A$2:$A$1201,INDEX(_LEITURA!$P$2:$P$21,18),DECKS!$B$2:$B$1201,$A537))</f>
        <v/>
      </c>
      <c r="AC537" s="19" t="str">
        <f aca="false">IF(OR($A537="",INDEX(_LEITURA!$Q$2:$Q$21,19)=0),"",SUMIFS(DECKS!$D$2:$D$1201,DECKS!$A$2:$A$1201,INDEX(_LEITURA!$P$2:$P$21,19),DECKS!$B$2:$B$1201,$A537))</f>
        <v/>
      </c>
      <c r="AD537" s="19" t="str">
        <f aca="false">IF(OR($A537="",INDEX(_LEITURA!$Q$2:$Q$21,20)=0),"",SUMIFS(DECKS!$D$2:$D$1201,DECKS!$A$2:$A$1201,INDEX(_LEITURA!$P$2:$P$21,20),DECKS!$B$2:$B$1201,$A537))</f>
        <v/>
      </c>
      <c r="AE537" s="16" t="str">
        <f aca="false">IF(N(E537)&gt;0,MAX(AE$1:AE536)+1,"")</f>
        <v/>
      </c>
      <c r="AF537" s="11" t="str">
        <f aca="false">IF(A537="","",IFERROR(LEFT(A537,FIND("-",A537)-1),A537))</f>
        <v/>
      </c>
      <c r="AG537" s="11" t="str">
        <f aca="false">IF(AF537="","",IF(ISNUMBER(--MID(AF537,1,1)),0,IF(ISNUMBER(--MID(AF537,2,1)),1,IF(ISNUMBER(--MID(AF537,3,1)),2,IF(ISNUMBER(--MID(AF537,4,1)),3,MIN(LEN(AF537),4))))))</f>
        <v/>
      </c>
      <c r="AH537" s="11" t="str">
        <f aca="false">IF(A537="","",LEFT(AF537,AG537)&amp;REPT("0",4-AG537)&amp;RIGHT("000"&amp;IFERROR(VALUE(MID(AF537,AG537+1,9)),0),3)&amp;RIGHT("0000"&amp;IFERROR(VALUE(MID(A537,FIND("-",A537)+1,9)),0),4))</f>
        <v/>
      </c>
      <c r="AI537" s="11" t="str">
        <f aca="false">IF(OR(A537="",N(E537)&lt;=0),"",IF('FALTAS GERAL'!$M$1="Código","K"&amp;AH537&amp;RIGHT("00000"&amp;ROW(),5),IF('FALTAS GERAL'!$M$1="Nome","K"&amp;UPPER(SUBSTITUTE(SUBSTITUTE(SUBSTITUTE(B537,"*",""),"?",""),"~",""))&amp;"0"&amp;AH537&amp;RIGHT("00000"&amp;ROW(),5),IF('FALTAS GERAL'!$M$1="Falta (maior primeiro)","K"&amp;RIGHT("0000"&amp;(9999-E537),4)&amp;AH537&amp;RIGHT("00000"&amp;ROW(),5),IF('FALTAS GERAL'!$M$1="Nº de decks (maior primeiro)","K"&amp;RIGHT("00"&amp;(99-N(G537)),2)&amp;AH537&amp;RIGHT("00000"&amp;ROW(),5),"K"&amp;RIGHT("00000"&amp;ROW(),5))))))</f>
        <v/>
      </c>
      <c r="AJ537" s="11" t="str">
        <f aca="false">IF(AI537="","",COUNTIFS($AI$2:$AI$801,"&lt;"&amp;AI537,$E$2:$E$801,"&gt;0")+1)</f>
        <v/>
      </c>
      <c r="AK537" s="11" t="str">
        <f aca="false">IF(OR(A537="",N(E537)&lt;=0),"",COUNTIFS($AH$2:$AH$801,"&lt;"&amp;AH537,$E$2:$E$801,"&gt;0")+COUNTIFS($AH$2:AH537,AH537,$E$2:E537,"&gt;0"))</f>
        <v/>
      </c>
    </row>
    <row r="538" customFormat="false" ht="15" hidden="false" customHeight="false" outlineLevel="0" collapsed="false">
      <c r="A538" s="11" t="str">
        <f aca="false">IF(INVENTÁRIO!A538="","",INVENTÁRIO!A538)</f>
        <v/>
      </c>
      <c r="B538" s="11" t="str">
        <f aca="false">IF(A538="","",INVENTÁRIO!B538)</f>
        <v/>
      </c>
      <c r="C538" s="16" t="str">
        <f aca="false">IF(A538="","",INVENTÁRIO!C538)</f>
        <v/>
      </c>
      <c r="D538" s="14" t="str">
        <f aca="false">IF(A538="","",MAX(K538:AD538))</f>
        <v/>
      </c>
      <c r="E538" s="14" t="str">
        <f aca="false">IF(A538="","",MAX(0,D538-C538))</f>
        <v/>
      </c>
      <c r="F538" s="16" t="str">
        <f aca="false">IF(A538="","",IF(D538=0,"Fora dos decks",IF(E538=0,"Completo","Falta")))</f>
        <v/>
      </c>
      <c r="G538" s="16" t="str">
        <f aca="false">IF(A538="","",COUNTIF(K538:AD538,"&gt;0"))</f>
        <v/>
      </c>
      <c r="H538" s="16" t="str">
        <f aca="false">IF(A538="","",IF(G538&gt;1,"Sim",""))</f>
        <v/>
      </c>
      <c r="I538" s="18" t="str">
        <f aca="false">IF(A538="","",SUMIFS(DECKS!$D$2:$D$1201,DECKS!$B$2:$B$1201,A538))</f>
        <v/>
      </c>
      <c r="J538" s="18" t="str">
        <f aca="false">IF(A538="","",MAX(0,I538-C538))</f>
        <v/>
      </c>
      <c r="K538" s="19" t="str">
        <f aca="false">IF(OR($A538="",INDEX(_LEITURA!$Q$2:$Q$21,1)=0),"",SUMIFS(DECKS!$D$2:$D$1201,DECKS!$A$2:$A$1201,INDEX(_LEITURA!$P$2:$P$21,1),DECKS!$B$2:$B$1201,$A538))</f>
        <v/>
      </c>
      <c r="L538" s="19" t="str">
        <f aca="false">IF(OR($A538="",INDEX(_LEITURA!$Q$2:$Q$21,2)=0),"",SUMIFS(DECKS!$D$2:$D$1201,DECKS!$A$2:$A$1201,INDEX(_LEITURA!$P$2:$P$21,2),DECKS!$B$2:$B$1201,$A538))</f>
        <v/>
      </c>
      <c r="M538" s="19" t="str">
        <f aca="false">IF(OR($A538="",INDEX(_LEITURA!$Q$2:$Q$21,3)=0),"",SUMIFS(DECKS!$D$2:$D$1201,DECKS!$A$2:$A$1201,INDEX(_LEITURA!$P$2:$P$21,3),DECKS!$B$2:$B$1201,$A538))</f>
        <v/>
      </c>
      <c r="N538" s="19" t="str">
        <f aca="false">IF(OR($A538="",INDEX(_LEITURA!$Q$2:$Q$21,4)=0),"",SUMIFS(DECKS!$D$2:$D$1201,DECKS!$A$2:$A$1201,INDEX(_LEITURA!$P$2:$P$21,4),DECKS!$B$2:$B$1201,$A538))</f>
        <v/>
      </c>
      <c r="O538" s="19" t="str">
        <f aca="false">IF(OR($A538="",INDEX(_LEITURA!$Q$2:$Q$21,5)=0),"",SUMIFS(DECKS!$D$2:$D$1201,DECKS!$A$2:$A$1201,INDEX(_LEITURA!$P$2:$P$21,5),DECKS!$B$2:$B$1201,$A538))</f>
        <v/>
      </c>
      <c r="P538" s="19" t="str">
        <f aca="false">IF(OR($A538="",INDEX(_LEITURA!$Q$2:$Q$21,6)=0),"",SUMIFS(DECKS!$D$2:$D$1201,DECKS!$A$2:$A$1201,INDEX(_LEITURA!$P$2:$P$21,6),DECKS!$B$2:$B$1201,$A538))</f>
        <v/>
      </c>
      <c r="Q538" s="19" t="str">
        <f aca="false">IF(OR($A538="",INDEX(_LEITURA!$Q$2:$Q$21,7)=0),"",SUMIFS(DECKS!$D$2:$D$1201,DECKS!$A$2:$A$1201,INDEX(_LEITURA!$P$2:$P$21,7),DECKS!$B$2:$B$1201,$A538))</f>
        <v/>
      </c>
      <c r="R538" s="19" t="str">
        <f aca="false">IF(OR($A538="",INDEX(_LEITURA!$Q$2:$Q$21,8)=0),"",SUMIFS(DECKS!$D$2:$D$1201,DECKS!$A$2:$A$1201,INDEX(_LEITURA!$P$2:$P$21,8),DECKS!$B$2:$B$1201,$A538))</f>
        <v/>
      </c>
      <c r="S538" s="19" t="str">
        <f aca="false">IF(OR($A538="",INDEX(_LEITURA!$Q$2:$Q$21,9)=0),"",SUMIFS(DECKS!$D$2:$D$1201,DECKS!$A$2:$A$1201,INDEX(_LEITURA!$P$2:$P$21,9),DECKS!$B$2:$B$1201,$A538))</f>
        <v/>
      </c>
      <c r="T538" s="19" t="str">
        <f aca="false">IF(OR($A538="",INDEX(_LEITURA!$Q$2:$Q$21,10)=0),"",SUMIFS(DECKS!$D$2:$D$1201,DECKS!$A$2:$A$1201,INDEX(_LEITURA!$P$2:$P$21,10),DECKS!$B$2:$B$1201,$A538))</f>
        <v/>
      </c>
      <c r="U538" s="19" t="str">
        <f aca="false">IF(OR($A538="",INDEX(_LEITURA!$Q$2:$Q$21,11)=0),"",SUMIFS(DECKS!$D$2:$D$1201,DECKS!$A$2:$A$1201,INDEX(_LEITURA!$P$2:$P$21,11),DECKS!$B$2:$B$1201,$A538))</f>
        <v/>
      </c>
      <c r="V538" s="19" t="str">
        <f aca="false">IF(OR($A538="",INDEX(_LEITURA!$Q$2:$Q$21,12)=0),"",SUMIFS(DECKS!$D$2:$D$1201,DECKS!$A$2:$A$1201,INDEX(_LEITURA!$P$2:$P$21,12),DECKS!$B$2:$B$1201,$A538))</f>
        <v/>
      </c>
      <c r="W538" s="19" t="str">
        <f aca="false">IF(OR($A538="",INDEX(_LEITURA!$Q$2:$Q$21,13)=0),"",SUMIFS(DECKS!$D$2:$D$1201,DECKS!$A$2:$A$1201,INDEX(_LEITURA!$P$2:$P$21,13),DECKS!$B$2:$B$1201,$A538))</f>
        <v/>
      </c>
      <c r="X538" s="19" t="str">
        <f aca="false">IF(OR($A538="",INDEX(_LEITURA!$Q$2:$Q$21,14)=0),"",SUMIFS(DECKS!$D$2:$D$1201,DECKS!$A$2:$A$1201,INDEX(_LEITURA!$P$2:$P$21,14),DECKS!$B$2:$B$1201,$A538))</f>
        <v/>
      </c>
      <c r="Y538" s="19" t="str">
        <f aca="false">IF(OR($A538="",INDEX(_LEITURA!$Q$2:$Q$21,15)=0),"",SUMIFS(DECKS!$D$2:$D$1201,DECKS!$A$2:$A$1201,INDEX(_LEITURA!$P$2:$P$21,15),DECKS!$B$2:$B$1201,$A538))</f>
        <v/>
      </c>
      <c r="Z538" s="19" t="str">
        <f aca="false">IF(OR($A538="",INDEX(_LEITURA!$Q$2:$Q$21,16)=0),"",SUMIFS(DECKS!$D$2:$D$1201,DECKS!$A$2:$A$1201,INDEX(_LEITURA!$P$2:$P$21,16),DECKS!$B$2:$B$1201,$A538))</f>
        <v/>
      </c>
      <c r="AA538" s="19" t="str">
        <f aca="false">IF(OR($A538="",INDEX(_LEITURA!$Q$2:$Q$21,17)=0),"",SUMIFS(DECKS!$D$2:$D$1201,DECKS!$A$2:$A$1201,INDEX(_LEITURA!$P$2:$P$21,17),DECKS!$B$2:$B$1201,$A538))</f>
        <v/>
      </c>
      <c r="AB538" s="19" t="str">
        <f aca="false">IF(OR($A538="",INDEX(_LEITURA!$Q$2:$Q$21,18)=0),"",SUMIFS(DECKS!$D$2:$D$1201,DECKS!$A$2:$A$1201,INDEX(_LEITURA!$P$2:$P$21,18),DECKS!$B$2:$B$1201,$A538))</f>
        <v/>
      </c>
      <c r="AC538" s="19" t="str">
        <f aca="false">IF(OR($A538="",INDEX(_LEITURA!$Q$2:$Q$21,19)=0),"",SUMIFS(DECKS!$D$2:$D$1201,DECKS!$A$2:$A$1201,INDEX(_LEITURA!$P$2:$P$21,19),DECKS!$B$2:$B$1201,$A538))</f>
        <v/>
      </c>
      <c r="AD538" s="19" t="str">
        <f aca="false">IF(OR($A538="",INDEX(_LEITURA!$Q$2:$Q$21,20)=0),"",SUMIFS(DECKS!$D$2:$D$1201,DECKS!$A$2:$A$1201,INDEX(_LEITURA!$P$2:$P$21,20),DECKS!$B$2:$B$1201,$A538))</f>
        <v/>
      </c>
      <c r="AE538" s="16" t="str">
        <f aca="false">IF(N(E538)&gt;0,MAX(AE$1:AE537)+1,"")</f>
        <v/>
      </c>
      <c r="AF538" s="11" t="str">
        <f aca="false">IF(A538="","",IFERROR(LEFT(A538,FIND("-",A538)-1),A538))</f>
        <v/>
      </c>
      <c r="AG538" s="11" t="str">
        <f aca="false">IF(AF538="","",IF(ISNUMBER(--MID(AF538,1,1)),0,IF(ISNUMBER(--MID(AF538,2,1)),1,IF(ISNUMBER(--MID(AF538,3,1)),2,IF(ISNUMBER(--MID(AF538,4,1)),3,MIN(LEN(AF538),4))))))</f>
        <v/>
      </c>
      <c r="AH538" s="11" t="str">
        <f aca="false">IF(A538="","",LEFT(AF538,AG538)&amp;REPT("0",4-AG538)&amp;RIGHT("000"&amp;IFERROR(VALUE(MID(AF538,AG538+1,9)),0),3)&amp;RIGHT("0000"&amp;IFERROR(VALUE(MID(A538,FIND("-",A538)+1,9)),0),4))</f>
        <v/>
      </c>
      <c r="AI538" s="11" t="str">
        <f aca="false">IF(OR(A538="",N(E538)&lt;=0),"",IF('FALTAS GERAL'!$M$1="Código","K"&amp;AH538&amp;RIGHT("00000"&amp;ROW(),5),IF('FALTAS GERAL'!$M$1="Nome","K"&amp;UPPER(SUBSTITUTE(SUBSTITUTE(SUBSTITUTE(B538,"*",""),"?",""),"~",""))&amp;"0"&amp;AH538&amp;RIGHT("00000"&amp;ROW(),5),IF('FALTAS GERAL'!$M$1="Falta (maior primeiro)","K"&amp;RIGHT("0000"&amp;(9999-E538),4)&amp;AH538&amp;RIGHT("00000"&amp;ROW(),5),IF('FALTAS GERAL'!$M$1="Nº de decks (maior primeiro)","K"&amp;RIGHT("00"&amp;(99-N(G538)),2)&amp;AH538&amp;RIGHT("00000"&amp;ROW(),5),"K"&amp;RIGHT("00000"&amp;ROW(),5))))))</f>
        <v/>
      </c>
      <c r="AJ538" s="11" t="str">
        <f aca="false">IF(AI538="","",COUNTIFS($AI$2:$AI$801,"&lt;"&amp;AI538,$E$2:$E$801,"&gt;0")+1)</f>
        <v/>
      </c>
      <c r="AK538" s="11" t="str">
        <f aca="false">IF(OR(A538="",N(E538)&lt;=0),"",COUNTIFS($AH$2:$AH$801,"&lt;"&amp;AH538,$E$2:$E$801,"&gt;0")+COUNTIFS($AH$2:AH538,AH538,$E$2:E538,"&gt;0"))</f>
        <v/>
      </c>
    </row>
    <row r="539" customFormat="false" ht="15" hidden="false" customHeight="false" outlineLevel="0" collapsed="false">
      <c r="A539" s="11" t="str">
        <f aca="false">IF(INVENTÁRIO!A539="","",INVENTÁRIO!A539)</f>
        <v/>
      </c>
      <c r="B539" s="11" t="str">
        <f aca="false">IF(A539="","",INVENTÁRIO!B539)</f>
        <v/>
      </c>
      <c r="C539" s="16" t="str">
        <f aca="false">IF(A539="","",INVENTÁRIO!C539)</f>
        <v/>
      </c>
      <c r="D539" s="14" t="str">
        <f aca="false">IF(A539="","",MAX(K539:AD539))</f>
        <v/>
      </c>
      <c r="E539" s="14" t="str">
        <f aca="false">IF(A539="","",MAX(0,D539-C539))</f>
        <v/>
      </c>
      <c r="F539" s="16" t="str">
        <f aca="false">IF(A539="","",IF(D539=0,"Fora dos decks",IF(E539=0,"Completo","Falta")))</f>
        <v/>
      </c>
      <c r="G539" s="16" t="str">
        <f aca="false">IF(A539="","",COUNTIF(K539:AD539,"&gt;0"))</f>
        <v/>
      </c>
      <c r="H539" s="16" t="str">
        <f aca="false">IF(A539="","",IF(G539&gt;1,"Sim",""))</f>
        <v/>
      </c>
      <c r="I539" s="18" t="str">
        <f aca="false">IF(A539="","",SUMIFS(DECKS!$D$2:$D$1201,DECKS!$B$2:$B$1201,A539))</f>
        <v/>
      </c>
      <c r="J539" s="18" t="str">
        <f aca="false">IF(A539="","",MAX(0,I539-C539))</f>
        <v/>
      </c>
      <c r="K539" s="19" t="str">
        <f aca="false">IF(OR($A539="",INDEX(_LEITURA!$Q$2:$Q$21,1)=0),"",SUMIFS(DECKS!$D$2:$D$1201,DECKS!$A$2:$A$1201,INDEX(_LEITURA!$P$2:$P$21,1),DECKS!$B$2:$B$1201,$A539))</f>
        <v/>
      </c>
      <c r="L539" s="19" t="str">
        <f aca="false">IF(OR($A539="",INDEX(_LEITURA!$Q$2:$Q$21,2)=0),"",SUMIFS(DECKS!$D$2:$D$1201,DECKS!$A$2:$A$1201,INDEX(_LEITURA!$P$2:$P$21,2),DECKS!$B$2:$B$1201,$A539))</f>
        <v/>
      </c>
      <c r="M539" s="19" t="str">
        <f aca="false">IF(OR($A539="",INDEX(_LEITURA!$Q$2:$Q$21,3)=0),"",SUMIFS(DECKS!$D$2:$D$1201,DECKS!$A$2:$A$1201,INDEX(_LEITURA!$P$2:$P$21,3),DECKS!$B$2:$B$1201,$A539))</f>
        <v/>
      </c>
      <c r="N539" s="19" t="str">
        <f aca="false">IF(OR($A539="",INDEX(_LEITURA!$Q$2:$Q$21,4)=0),"",SUMIFS(DECKS!$D$2:$D$1201,DECKS!$A$2:$A$1201,INDEX(_LEITURA!$P$2:$P$21,4),DECKS!$B$2:$B$1201,$A539))</f>
        <v/>
      </c>
      <c r="O539" s="19" t="str">
        <f aca="false">IF(OR($A539="",INDEX(_LEITURA!$Q$2:$Q$21,5)=0),"",SUMIFS(DECKS!$D$2:$D$1201,DECKS!$A$2:$A$1201,INDEX(_LEITURA!$P$2:$P$21,5),DECKS!$B$2:$B$1201,$A539))</f>
        <v/>
      </c>
      <c r="P539" s="19" t="str">
        <f aca="false">IF(OR($A539="",INDEX(_LEITURA!$Q$2:$Q$21,6)=0),"",SUMIFS(DECKS!$D$2:$D$1201,DECKS!$A$2:$A$1201,INDEX(_LEITURA!$P$2:$P$21,6),DECKS!$B$2:$B$1201,$A539))</f>
        <v/>
      </c>
      <c r="Q539" s="19" t="str">
        <f aca="false">IF(OR($A539="",INDEX(_LEITURA!$Q$2:$Q$21,7)=0),"",SUMIFS(DECKS!$D$2:$D$1201,DECKS!$A$2:$A$1201,INDEX(_LEITURA!$P$2:$P$21,7),DECKS!$B$2:$B$1201,$A539))</f>
        <v/>
      </c>
      <c r="R539" s="19" t="str">
        <f aca="false">IF(OR($A539="",INDEX(_LEITURA!$Q$2:$Q$21,8)=0),"",SUMIFS(DECKS!$D$2:$D$1201,DECKS!$A$2:$A$1201,INDEX(_LEITURA!$P$2:$P$21,8),DECKS!$B$2:$B$1201,$A539))</f>
        <v/>
      </c>
      <c r="S539" s="19" t="str">
        <f aca="false">IF(OR($A539="",INDEX(_LEITURA!$Q$2:$Q$21,9)=0),"",SUMIFS(DECKS!$D$2:$D$1201,DECKS!$A$2:$A$1201,INDEX(_LEITURA!$P$2:$P$21,9),DECKS!$B$2:$B$1201,$A539))</f>
        <v/>
      </c>
      <c r="T539" s="19" t="str">
        <f aca="false">IF(OR($A539="",INDEX(_LEITURA!$Q$2:$Q$21,10)=0),"",SUMIFS(DECKS!$D$2:$D$1201,DECKS!$A$2:$A$1201,INDEX(_LEITURA!$P$2:$P$21,10),DECKS!$B$2:$B$1201,$A539))</f>
        <v/>
      </c>
      <c r="U539" s="19" t="str">
        <f aca="false">IF(OR($A539="",INDEX(_LEITURA!$Q$2:$Q$21,11)=0),"",SUMIFS(DECKS!$D$2:$D$1201,DECKS!$A$2:$A$1201,INDEX(_LEITURA!$P$2:$P$21,11),DECKS!$B$2:$B$1201,$A539))</f>
        <v/>
      </c>
      <c r="V539" s="19" t="str">
        <f aca="false">IF(OR($A539="",INDEX(_LEITURA!$Q$2:$Q$21,12)=0),"",SUMIFS(DECKS!$D$2:$D$1201,DECKS!$A$2:$A$1201,INDEX(_LEITURA!$P$2:$P$21,12),DECKS!$B$2:$B$1201,$A539))</f>
        <v/>
      </c>
      <c r="W539" s="19" t="str">
        <f aca="false">IF(OR($A539="",INDEX(_LEITURA!$Q$2:$Q$21,13)=0),"",SUMIFS(DECKS!$D$2:$D$1201,DECKS!$A$2:$A$1201,INDEX(_LEITURA!$P$2:$P$21,13),DECKS!$B$2:$B$1201,$A539))</f>
        <v/>
      </c>
      <c r="X539" s="19" t="str">
        <f aca="false">IF(OR($A539="",INDEX(_LEITURA!$Q$2:$Q$21,14)=0),"",SUMIFS(DECKS!$D$2:$D$1201,DECKS!$A$2:$A$1201,INDEX(_LEITURA!$P$2:$P$21,14),DECKS!$B$2:$B$1201,$A539))</f>
        <v/>
      </c>
      <c r="Y539" s="19" t="str">
        <f aca="false">IF(OR($A539="",INDEX(_LEITURA!$Q$2:$Q$21,15)=0),"",SUMIFS(DECKS!$D$2:$D$1201,DECKS!$A$2:$A$1201,INDEX(_LEITURA!$P$2:$P$21,15),DECKS!$B$2:$B$1201,$A539))</f>
        <v/>
      </c>
      <c r="Z539" s="19" t="str">
        <f aca="false">IF(OR($A539="",INDEX(_LEITURA!$Q$2:$Q$21,16)=0),"",SUMIFS(DECKS!$D$2:$D$1201,DECKS!$A$2:$A$1201,INDEX(_LEITURA!$P$2:$P$21,16),DECKS!$B$2:$B$1201,$A539))</f>
        <v/>
      </c>
      <c r="AA539" s="19" t="str">
        <f aca="false">IF(OR($A539="",INDEX(_LEITURA!$Q$2:$Q$21,17)=0),"",SUMIFS(DECKS!$D$2:$D$1201,DECKS!$A$2:$A$1201,INDEX(_LEITURA!$P$2:$P$21,17),DECKS!$B$2:$B$1201,$A539))</f>
        <v/>
      </c>
      <c r="AB539" s="19" t="str">
        <f aca="false">IF(OR($A539="",INDEX(_LEITURA!$Q$2:$Q$21,18)=0),"",SUMIFS(DECKS!$D$2:$D$1201,DECKS!$A$2:$A$1201,INDEX(_LEITURA!$P$2:$P$21,18),DECKS!$B$2:$B$1201,$A539))</f>
        <v/>
      </c>
      <c r="AC539" s="19" t="str">
        <f aca="false">IF(OR($A539="",INDEX(_LEITURA!$Q$2:$Q$21,19)=0),"",SUMIFS(DECKS!$D$2:$D$1201,DECKS!$A$2:$A$1201,INDEX(_LEITURA!$P$2:$P$21,19),DECKS!$B$2:$B$1201,$A539))</f>
        <v/>
      </c>
      <c r="AD539" s="19" t="str">
        <f aca="false">IF(OR($A539="",INDEX(_LEITURA!$Q$2:$Q$21,20)=0),"",SUMIFS(DECKS!$D$2:$D$1201,DECKS!$A$2:$A$1201,INDEX(_LEITURA!$P$2:$P$21,20),DECKS!$B$2:$B$1201,$A539))</f>
        <v/>
      </c>
      <c r="AE539" s="16" t="str">
        <f aca="false">IF(N(E539)&gt;0,MAX(AE$1:AE538)+1,"")</f>
        <v/>
      </c>
      <c r="AF539" s="11" t="str">
        <f aca="false">IF(A539="","",IFERROR(LEFT(A539,FIND("-",A539)-1),A539))</f>
        <v/>
      </c>
      <c r="AG539" s="11" t="str">
        <f aca="false">IF(AF539="","",IF(ISNUMBER(--MID(AF539,1,1)),0,IF(ISNUMBER(--MID(AF539,2,1)),1,IF(ISNUMBER(--MID(AF539,3,1)),2,IF(ISNUMBER(--MID(AF539,4,1)),3,MIN(LEN(AF539),4))))))</f>
        <v/>
      </c>
      <c r="AH539" s="11" t="str">
        <f aca="false">IF(A539="","",LEFT(AF539,AG539)&amp;REPT("0",4-AG539)&amp;RIGHT("000"&amp;IFERROR(VALUE(MID(AF539,AG539+1,9)),0),3)&amp;RIGHT("0000"&amp;IFERROR(VALUE(MID(A539,FIND("-",A539)+1,9)),0),4))</f>
        <v/>
      </c>
      <c r="AI539" s="11" t="str">
        <f aca="false">IF(OR(A539="",N(E539)&lt;=0),"",IF('FALTAS GERAL'!$M$1="Código","K"&amp;AH539&amp;RIGHT("00000"&amp;ROW(),5),IF('FALTAS GERAL'!$M$1="Nome","K"&amp;UPPER(SUBSTITUTE(SUBSTITUTE(SUBSTITUTE(B539,"*",""),"?",""),"~",""))&amp;"0"&amp;AH539&amp;RIGHT("00000"&amp;ROW(),5),IF('FALTAS GERAL'!$M$1="Falta (maior primeiro)","K"&amp;RIGHT("0000"&amp;(9999-E539),4)&amp;AH539&amp;RIGHT("00000"&amp;ROW(),5),IF('FALTAS GERAL'!$M$1="Nº de decks (maior primeiro)","K"&amp;RIGHT("00"&amp;(99-N(G539)),2)&amp;AH539&amp;RIGHT("00000"&amp;ROW(),5),"K"&amp;RIGHT("00000"&amp;ROW(),5))))))</f>
        <v/>
      </c>
      <c r="AJ539" s="11" t="str">
        <f aca="false">IF(AI539="","",COUNTIFS($AI$2:$AI$801,"&lt;"&amp;AI539,$E$2:$E$801,"&gt;0")+1)</f>
        <v/>
      </c>
      <c r="AK539" s="11" t="str">
        <f aca="false">IF(OR(A539="",N(E539)&lt;=0),"",COUNTIFS($AH$2:$AH$801,"&lt;"&amp;AH539,$E$2:$E$801,"&gt;0")+COUNTIFS($AH$2:AH539,AH539,$E$2:E539,"&gt;0"))</f>
        <v/>
      </c>
    </row>
    <row r="540" customFormat="false" ht="15" hidden="false" customHeight="false" outlineLevel="0" collapsed="false">
      <c r="A540" s="11" t="str">
        <f aca="false">IF(INVENTÁRIO!A540="","",INVENTÁRIO!A540)</f>
        <v/>
      </c>
      <c r="B540" s="11" t="str">
        <f aca="false">IF(A540="","",INVENTÁRIO!B540)</f>
        <v/>
      </c>
      <c r="C540" s="16" t="str">
        <f aca="false">IF(A540="","",INVENTÁRIO!C540)</f>
        <v/>
      </c>
      <c r="D540" s="14" t="str">
        <f aca="false">IF(A540="","",MAX(K540:AD540))</f>
        <v/>
      </c>
      <c r="E540" s="14" t="str">
        <f aca="false">IF(A540="","",MAX(0,D540-C540))</f>
        <v/>
      </c>
      <c r="F540" s="16" t="str">
        <f aca="false">IF(A540="","",IF(D540=0,"Fora dos decks",IF(E540=0,"Completo","Falta")))</f>
        <v/>
      </c>
      <c r="G540" s="16" t="str">
        <f aca="false">IF(A540="","",COUNTIF(K540:AD540,"&gt;0"))</f>
        <v/>
      </c>
      <c r="H540" s="16" t="str">
        <f aca="false">IF(A540="","",IF(G540&gt;1,"Sim",""))</f>
        <v/>
      </c>
      <c r="I540" s="18" t="str">
        <f aca="false">IF(A540="","",SUMIFS(DECKS!$D$2:$D$1201,DECKS!$B$2:$B$1201,A540))</f>
        <v/>
      </c>
      <c r="J540" s="18" t="str">
        <f aca="false">IF(A540="","",MAX(0,I540-C540))</f>
        <v/>
      </c>
      <c r="K540" s="19" t="str">
        <f aca="false">IF(OR($A540="",INDEX(_LEITURA!$Q$2:$Q$21,1)=0),"",SUMIFS(DECKS!$D$2:$D$1201,DECKS!$A$2:$A$1201,INDEX(_LEITURA!$P$2:$P$21,1),DECKS!$B$2:$B$1201,$A540))</f>
        <v/>
      </c>
      <c r="L540" s="19" t="str">
        <f aca="false">IF(OR($A540="",INDEX(_LEITURA!$Q$2:$Q$21,2)=0),"",SUMIFS(DECKS!$D$2:$D$1201,DECKS!$A$2:$A$1201,INDEX(_LEITURA!$P$2:$P$21,2),DECKS!$B$2:$B$1201,$A540))</f>
        <v/>
      </c>
      <c r="M540" s="19" t="str">
        <f aca="false">IF(OR($A540="",INDEX(_LEITURA!$Q$2:$Q$21,3)=0),"",SUMIFS(DECKS!$D$2:$D$1201,DECKS!$A$2:$A$1201,INDEX(_LEITURA!$P$2:$P$21,3),DECKS!$B$2:$B$1201,$A540))</f>
        <v/>
      </c>
      <c r="N540" s="19" t="str">
        <f aca="false">IF(OR($A540="",INDEX(_LEITURA!$Q$2:$Q$21,4)=0),"",SUMIFS(DECKS!$D$2:$D$1201,DECKS!$A$2:$A$1201,INDEX(_LEITURA!$P$2:$P$21,4),DECKS!$B$2:$B$1201,$A540))</f>
        <v/>
      </c>
      <c r="O540" s="19" t="str">
        <f aca="false">IF(OR($A540="",INDEX(_LEITURA!$Q$2:$Q$21,5)=0),"",SUMIFS(DECKS!$D$2:$D$1201,DECKS!$A$2:$A$1201,INDEX(_LEITURA!$P$2:$P$21,5),DECKS!$B$2:$B$1201,$A540))</f>
        <v/>
      </c>
      <c r="P540" s="19" t="str">
        <f aca="false">IF(OR($A540="",INDEX(_LEITURA!$Q$2:$Q$21,6)=0),"",SUMIFS(DECKS!$D$2:$D$1201,DECKS!$A$2:$A$1201,INDEX(_LEITURA!$P$2:$P$21,6),DECKS!$B$2:$B$1201,$A540))</f>
        <v/>
      </c>
      <c r="Q540" s="19" t="str">
        <f aca="false">IF(OR($A540="",INDEX(_LEITURA!$Q$2:$Q$21,7)=0),"",SUMIFS(DECKS!$D$2:$D$1201,DECKS!$A$2:$A$1201,INDEX(_LEITURA!$P$2:$P$21,7),DECKS!$B$2:$B$1201,$A540))</f>
        <v/>
      </c>
      <c r="R540" s="19" t="str">
        <f aca="false">IF(OR($A540="",INDEX(_LEITURA!$Q$2:$Q$21,8)=0),"",SUMIFS(DECKS!$D$2:$D$1201,DECKS!$A$2:$A$1201,INDEX(_LEITURA!$P$2:$P$21,8),DECKS!$B$2:$B$1201,$A540))</f>
        <v/>
      </c>
      <c r="S540" s="19" t="str">
        <f aca="false">IF(OR($A540="",INDEX(_LEITURA!$Q$2:$Q$21,9)=0),"",SUMIFS(DECKS!$D$2:$D$1201,DECKS!$A$2:$A$1201,INDEX(_LEITURA!$P$2:$P$21,9),DECKS!$B$2:$B$1201,$A540))</f>
        <v/>
      </c>
      <c r="T540" s="19" t="str">
        <f aca="false">IF(OR($A540="",INDEX(_LEITURA!$Q$2:$Q$21,10)=0),"",SUMIFS(DECKS!$D$2:$D$1201,DECKS!$A$2:$A$1201,INDEX(_LEITURA!$P$2:$P$21,10),DECKS!$B$2:$B$1201,$A540))</f>
        <v/>
      </c>
      <c r="U540" s="19" t="str">
        <f aca="false">IF(OR($A540="",INDEX(_LEITURA!$Q$2:$Q$21,11)=0),"",SUMIFS(DECKS!$D$2:$D$1201,DECKS!$A$2:$A$1201,INDEX(_LEITURA!$P$2:$P$21,11),DECKS!$B$2:$B$1201,$A540))</f>
        <v/>
      </c>
      <c r="V540" s="19" t="str">
        <f aca="false">IF(OR($A540="",INDEX(_LEITURA!$Q$2:$Q$21,12)=0),"",SUMIFS(DECKS!$D$2:$D$1201,DECKS!$A$2:$A$1201,INDEX(_LEITURA!$P$2:$P$21,12),DECKS!$B$2:$B$1201,$A540))</f>
        <v/>
      </c>
      <c r="W540" s="19" t="str">
        <f aca="false">IF(OR($A540="",INDEX(_LEITURA!$Q$2:$Q$21,13)=0),"",SUMIFS(DECKS!$D$2:$D$1201,DECKS!$A$2:$A$1201,INDEX(_LEITURA!$P$2:$P$21,13),DECKS!$B$2:$B$1201,$A540))</f>
        <v/>
      </c>
      <c r="X540" s="19" t="str">
        <f aca="false">IF(OR($A540="",INDEX(_LEITURA!$Q$2:$Q$21,14)=0),"",SUMIFS(DECKS!$D$2:$D$1201,DECKS!$A$2:$A$1201,INDEX(_LEITURA!$P$2:$P$21,14),DECKS!$B$2:$B$1201,$A540))</f>
        <v/>
      </c>
      <c r="Y540" s="19" t="str">
        <f aca="false">IF(OR($A540="",INDEX(_LEITURA!$Q$2:$Q$21,15)=0),"",SUMIFS(DECKS!$D$2:$D$1201,DECKS!$A$2:$A$1201,INDEX(_LEITURA!$P$2:$P$21,15),DECKS!$B$2:$B$1201,$A540))</f>
        <v/>
      </c>
      <c r="Z540" s="19" t="str">
        <f aca="false">IF(OR($A540="",INDEX(_LEITURA!$Q$2:$Q$21,16)=0),"",SUMIFS(DECKS!$D$2:$D$1201,DECKS!$A$2:$A$1201,INDEX(_LEITURA!$P$2:$P$21,16),DECKS!$B$2:$B$1201,$A540))</f>
        <v/>
      </c>
      <c r="AA540" s="19" t="str">
        <f aca="false">IF(OR($A540="",INDEX(_LEITURA!$Q$2:$Q$21,17)=0),"",SUMIFS(DECKS!$D$2:$D$1201,DECKS!$A$2:$A$1201,INDEX(_LEITURA!$P$2:$P$21,17),DECKS!$B$2:$B$1201,$A540))</f>
        <v/>
      </c>
      <c r="AB540" s="19" t="str">
        <f aca="false">IF(OR($A540="",INDEX(_LEITURA!$Q$2:$Q$21,18)=0),"",SUMIFS(DECKS!$D$2:$D$1201,DECKS!$A$2:$A$1201,INDEX(_LEITURA!$P$2:$P$21,18),DECKS!$B$2:$B$1201,$A540))</f>
        <v/>
      </c>
      <c r="AC540" s="19" t="str">
        <f aca="false">IF(OR($A540="",INDEX(_LEITURA!$Q$2:$Q$21,19)=0),"",SUMIFS(DECKS!$D$2:$D$1201,DECKS!$A$2:$A$1201,INDEX(_LEITURA!$P$2:$P$21,19),DECKS!$B$2:$B$1201,$A540))</f>
        <v/>
      </c>
      <c r="AD540" s="19" t="str">
        <f aca="false">IF(OR($A540="",INDEX(_LEITURA!$Q$2:$Q$21,20)=0),"",SUMIFS(DECKS!$D$2:$D$1201,DECKS!$A$2:$A$1201,INDEX(_LEITURA!$P$2:$P$21,20),DECKS!$B$2:$B$1201,$A540))</f>
        <v/>
      </c>
      <c r="AE540" s="16" t="str">
        <f aca="false">IF(N(E540)&gt;0,MAX(AE$1:AE539)+1,"")</f>
        <v/>
      </c>
      <c r="AF540" s="11" t="str">
        <f aca="false">IF(A540="","",IFERROR(LEFT(A540,FIND("-",A540)-1),A540))</f>
        <v/>
      </c>
      <c r="AG540" s="11" t="str">
        <f aca="false">IF(AF540="","",IF(ISNUMBER(--MID(AF540,1,1)),0,IF(ISNUMBER(--MID(AF540,2,1)),1,IF(ISNUMBER(--MID(AF540,3,1)),2,IF(ISNUMBER(--MID(AF540,4,1)),3,MIN(LEN(AF540),4))))))</f>
        <v/>
      </c>
      <c r="AH540" s="11" t="str">
        <f aca="false">IF(A540="","",LEFT(AF540,AG540)&amp;REPT("0",4-AG540)&amp;RIGHT("000"&amp;IFERROR(VALUE(MID(AF540,AG540+1,9)),0),3)&amp;RIGHT("0000"&amp;IFERROR(VALUE(MID(A540,FIND("-",A540)+1,9)),0),4))</f>
        <v/>
      </c>
      <c r="AI540" s="11" t="str">
        <f aca="false">IF(OR(A540="",N(E540)&lt;=0),"",IF('FALTAS GERAL'!$M$1="Código","K"&amp;AH540&amp;RIGHT("00000"&amp;ROW(),5),IF('FALTAS GERAL'!$M$1="Nome","K"&amp;UPPER(SUBSTITUTE(SUBSTITUTE(SUBSTITUTE(B540,"*",""),"?",""),"~",""))&amp;"0"&amp;AH540&amp;RIGHT("00000"&amp;ROW(),5),IF('FALTAS GERAL'!$M$1="Falta (maior primeiro)","K"&amp;RIGHT("0000"&amp;(9999-E540),4)&amp;AH540&amp;RIGHT("00000"&amp;ROW(),5),IF('FALTAS GERAL'!$M$1="Nº de decks (maior primeiro)","K"&amp;RIGHT("00"&amp;(99-N(G540)),2)&amp;AH540&amp;RIGHT("00000"&amp;ROW(),5),"K"&amp;RIGHT("00000"&amp;ROW(),5))))))</f>
        <v/>
      </c>
      <c r="AJ540" s="11" t="str">
        <f aca="false">IF(AI540="","",COUNTIFS($AI$2:$AI$801,"&lt;"&amp;AI540,$E$2:$E$801,"&gt;0")+1)</f>
        <v/>
      </c>
      <c r="AK540" s="11" t="str">
        <f aca="false">IF(OR(A540="",N(E540)&lt;=0),"",COUNTIFS($AH$2:$AH$801,"&lt;"&amp;AH540,$E$2:$E$801,"&gt;0")+COUNTIFS($AH$2:AH540,AH540,$E$2:E540,"&gt;0"))</f>
        <v/>
      </c>
    </row>
    <row r="541" customFormat="false" ht="15" hidden="false" customHeight="false" outlineLevel="0" collapsed="false">
      <c r="A541" s="11" t="str">
        <f aca="false">IF(INVENTÁRIO!A541="","",INVENTÁRIO!A541)</f>
        <v/>
      </c>
      <c r="B541" s="11" t="str">
        <f aca="false">IF(A541="","",INVENTÁRIO!B541)</f>
        <v/>
      </c>
      <c r="C541" s="16" t="str">
        <f aca="false">IF(A541="","",INVENTÁRIO!C541)</f>
        <v/>
      </c>
      <c r="D541" s="14" t="str">
        <f aca="false">IF(A541="","",MAX(K541:AD541))</f>
        <v/>
      </c>
      <c r="E541" s="14" t="str">
        <f aca="false">IF(A541="","",MAX(0,D541-C541))</f>
        <v/>
      </c>
      <c r="F541" s="16" t="str">
        <f aca="false">IF(A541="","",IF(D541=0,"Fora dos decks",IF(E541=0,"Completo","Falta")))</f>
        <v/>
      </c>
      <c r="G541" s="16" t="str">
        <f aca="false">IF(A541="","",COUNTIF(K541:AD541,"&gt;0"))</f>
        <v/>
      </c>
      <c r="H541" s="16" t="str">
        <f aca="false">IF(A541="","",IF(G541&gt;1,"Sim",""))</f>
        <v/>
      </c>
      <c r="I541" s="18" t="str">
        <f aca="false">IF(A541="","",SUMIFS(DECKS!$D$2:$D$1201,DECKS!$B$2:$B$1201,A541))</f>
        <v/>
      </c>
      <c r="J541" s="18" t="str">
        <f aca="false">IF(A541="","",MAX(0,I541-C541))</f>
        <v/>
      </c>
      <c r="K541" s="19" t="str">
        <f aca="false">IF(OR($A541="",INDEX(_LEITURA!$Q$2:$Q$21,1)=0),"",SUMIFS(DECKS!$D$2:$D$1201,DECKS!$A$2:$A$1201,INDEX(_LEITURA!$P$2:$P$21,1),DECKS!$B$2:$B$1201,$A541))</f>
        <v/>
      </c>
      <c r="L541" s="19" t="str">
        <f aca="false">IF(OR($A541="",INDEX(_LEITURA!$Q$2:$Q$21,2)=0),"",SUMIFS(DECKS!$D$2:$D$1201,DECKS!$A$2:$A$1201,INDEX(_LEITURA!$P$2:$P$21,2),DECKS!$B$2:$B$1201,$A541))</f>
        <v/>
      </c>
      <c r="M541" s="19" t="str">
        <f aca="false">IF(OR($A541="",INDEX(_LEITURA!$Q$2:$Q$21,3)=0),"",SUMIFS(DECKS!$D$2:$D$1201,DECKS!$A$2:$A$1201,INDEX(_LEITURA!$P$2:$P$21,3),DECKS!$B$2:$B$1201,$A541))</f>
        <v/>
      </c>
      <c r="N541" s="19" t="str">
        <f aca="false">IF(OR($A541="",INDEX(_LEITURA!$Q$2:$Q$21,4)=0),"",SUMIFS(DECKS!$D$2:$D$1201,DECKS!$A$2:$A$1201,INDEX(_LEITURA!$P$2:$P$21,4),DECKS!$B$2:$B$1201,$A541))</f>
        <v/>
      </c>
      <c r="O541" s="19" t="str">
        <f aca="false">IF(OR($A541="",INDEX(_LEITURA!$Q$2:$Q$21,5)=0),"",SUMIFS(DECKS!$D$2:$D$1201,DECKS!$A$2:$A$1201,INDEX(_LEITURA!$P$2:$P$21,5),DECKS!$B$2:$B$1201,$A541))</f>
        <v/>
      </c>
      <c r="P541" s="19" t="str">
        <f aca="false">IF(OR($A541="",INDEX(_LEITURA!$Q$2:$Q$21,6)=0),"",SUMIFS(DECKS!$D$2:$D$1201,DECKS!$A$2:$A$1201,INDEX(_LEITURA!$P$2:$P$21,6),DECKS!$B$2:$B$1201,$A541))</f>
        <v/>
      </c>
      <c r="Q541" s="19" t="str">
        <f aca="false">IF(OR($A541="",INDEX(_LEITURA!$Q$2:$Q$21,7)=0),"",SUMIFS(DECKS!$D$2:$D$1201,DECKS!$A$2:$A$1201,INDEX(_LEITURA!$P$2:$P$21,7),DECKS!$B$2:$B$1201,$A541))</f>
        <v/>
      </c>
      <c r="R541" s="19" t="str">
        <f aca="false">IF(OR($A541="",INDEX(_LEITURA!$Q$2:$Q$21,8)=0),"",SUMIFS(DECKS!$D$2:$D$1201,DECKS!$A$2:$A$1201,INDEX(_LEITURA!$P$2:$P$21,8),DECKS!$B$2:$B$1201,$A541))</f>
        <v/>
      </c>
      <c r="S541" s="19" t="str">
        <f aca="false">IF(OR($A541="",INDEX(_LEITURA!$Q$2:$Q$21,9)=0),"",SUMIFS(DECKS!$D$2:$D$1201,DECKS!$A$2:$A$1201,INDEX(_LEITURA!$P$2:$P$21,9),DECKS!$B$2:$B$1201,$A541))</f>
        <v/>
      </c>
      <c r="T541" s="19" t="str">
        <f aca="false">IF(OR($A541="",INDEX(_LEITURA!$Q$2:$Q$21,10)=0),"",SUMIFS(DECKS!$D$2:$D$1201,DECKS!$A$2:$A$1201,INDEX(_LEITURA!$P$2:$P$21,10),DECKS!$B$2:$B$1201,$A541))</f>
        <v/>
      </c>
      <c r="U541" s="19" t="str">
        <f aca="false">IF(OR($A541="",INDEX(_LEITURA!$Q$2:$Q$21,11)=0),"",SUMIFS(DECKS!$D$2:$D$1201,DECKS!$A$2:$A$1201,INDEX(_LEITURA!$P$2:$P$21,11),DECKS!$B$2:$B$1201,$A541))</f>
        <v/>
      </c>
      <c r="V541" s="19" t="str">
        <f aca="false">IF(OR($A541="",INDEX(_LEITURA!$Q$2:$Q$21,12)=0),"",SUMIFS(DECKS!$D$2:$D$1201,DECKS!$A$2:$A$1201,INDEX(_LEITURA!$P$2:$P$21,12),DECKS!$B$2:$B$1201,$A541))</f>
        <v/>
      </c>
      <c r="W541" s="19" t="str">
        <f aca="false">IF(OR($A541="",INDEX(_LEITURA!$Q$2:$Q$21,13)=0),"",SUMIFS(DECKS!$D$2:$D$1201,DECKS!$A$2:$A$1201,INDEX(_LEITURA!$P$2:$P$21,13),DECKS!$B$2:$B$1201,$A541))</f>
        <v/>
      </c>
      <c r="X541" s="19" t="str">
        <f aca="false">IF(OR($A541="",INDEX(_LEITURA!$Q$2:$Q$21,14)=0),"",SUMIFS(DECKS!$D$2:$D$1201,DECKS!$A$2:$A$1201,INDEX(_LEITURA!$P$2:$P$21,14),DECKS!$B$2:$B$1201,$A541))</f>
        <v/>
      </c>
      <c r="Y541" s="19" t="str">
        <f aca="false">IF(OR($A541="",INDEX(_LEITURA!$Q$2:$Q$21,15)=0),"",SUMIFS(DECKS!$D$2:$D$1201,DECKS!$A$2:$A$1201,INDEX(_LEITURA!$P$2:$P$21,15),DECKS!$B$2:$B$1201,$A541))</f>
        <v/>
      </c>
      <c r="Z541" s="19" t="str">
        <f aca="false">IF(OR($A541="",INDEX(_LEITURA!$Q$2:$Q$21,16)=0),"",SUMIFS(DECKS!$D$2:$D$1201,DECKS!$A$2:$A$1201,INDEX(_LEITURA!$P$2:$P$21,16),DECKS!$B$2:$B$1201,$A541))</f>
        <v/>
      </c>
      <c r="AA541" s="19" t="str">
        <f aca="false">IF(OR($A541="",INDEX(_LEITURA!$Q$2:$Q$21,17)=0),"",SUMIFS(DECKS!$D$2:$D$1201,DECKS!$A$2:$A$1201,INDEX(_LEITURA!$P$2:$P$21,17),DECKS!$B$2:$B$1201,$A541))</f>
        <v/>
      </c>
      <c r="AB541" s="19" t="str">
        <f aca="false">IF(OR($A541="",INDEX(_LEITURA!$Q$2:$Q$21,18)=0),"",SUMIFS(DECKS!$D$2:$D$1201,DECKS!$A$2:$A$1201,INDEX(_LEITURA!$P$2:$P$21,18),DECKS!$B$2:$B$1201,$A541))</f>
        <v/>
      </c>
      <c r="AC541" s="19" t="str">
        <f aca="false">IF(OR($A541="",INDEX(_LEITURA!$Q$2:$Q$21,19)=0),"",SUMIFS(DECKS!$D$2:$D$1201,DECKS!$A$2:$A$1201,INDEX(_LEITURA!$P$2:$P$21,19),DECKS!$B$2:$B$1201,$A541))</f>
        <v/>
      </c>
      <c r="AD541" s="19" t="str">
        <f aca="false">IF(OR($A541="",INDEX(_LEITURA!$Q$2:$Q$21,20)=0),"",SUMIFS(DECKS!$D$2:$D$1201,DECKS!$A$2:$A$1201,INDEX(_LEITURA!$P$2:$P$21,20),DECKS!$B$2:$B$1201,$A541))</f>
        <v/>
      </c>
      <c r="AE541" s="16" t="str">
        <f aca="false">IF(N(E541)&gt;0,MAX(AE$1:AE540)+1,"")</f>
        <v/>
      </c>
      <c r="AF541" s="11" t="str">
        <f aca="false">IF(A541="","",IFERROR(LEFT(A541,FIND("-",A541)-1),A541))</f>
        <v/>
      </c>
      <c r="AG541" s="11" t="str">
        <f aca="false">IF(AF541="","",IF(ISNUMBER(--MID(AF541,1,1)),0,IF(ISNUMBER(--MID(AF541,2,1)),1,IF(ISNUMBER(--MID(AF541,3,1)),2,IF(ISNUMBER(--MID(AF541,4,1)),3,MIN(LEN(AF541),4))))))</f>
        <v/>
      </c>
      <c r="AH541" s="11" t="str">
        <f aca="false">IF(A541="","",LEFT(AF541,AG541)&amp;REPT("0",4-AG541)&amp;RIGHT("000"&amp;IFERROR(VALUE(MID(AF541,AG541+1,9)),0),3)&amp;RIGHT("0000"&amp;IFERROR(VALUE(MID(A541,FIND("-",A541)+1,9)),0),4))</f>
        <v/>
      </c>
      <c r="AI541" s="11" t="str">
        <f aca="false">IF(OR(A541="",N(E541)&lt;=0),"",IF('FALTAS GERAL'!$M$1="Código","K"&amp;AH541&amp;RIGHT("00000"&amp;ROW(),5),IF('FALTAS GERAL'!$M$1="Nome","K"&amp;UPPER(SUBSTITUTE(SUBSTITUTE(SUBSTITUTE(B541,"*",""),"?",""),"~",""))&amp;"0"&amp;AH541&amp;RIGHT("00000"&amp;ROW(),5),IF('FALTAS GERAL'!$M$1="Falta (maior primeiro)","K"&amp;RIGHT("0000"&amp;(9999-E541),4)&amp;AH541&amp;RIGHT("00000"&amp;ROW(),5),IF('FALTAS GERAL'!$M$1="Nº de decks (maior primeiro)","K"&amp;RIGHT("00"&amp;(99-N(G541)),2)&amp;AH541&amp;RIGHT("00000"&amp;ROW(),5),"K"&amp;RIGHT("00000"&amp;ROW(),5))))))</f>
        <v/>
      </c>
      <c r="AJ541" s="11" t="str">
        <f aca="false">IF(AI541="","",COUNTIFS($AI$2:$AI$801,"&lt;"&amp;AI541,$E$2:$E$801,"&gt;0")+1)</f>
        <v/>
      </c>
      <c r="AK541" s="11" t="str">
        <f aca="false">IF(OR(A541="",N(E541)&lt;=0),"",COUNTIFS($AH$2:$AH$801,"&lt;"&amp;AH541,$E$2:$E$801,"&gt;0")+COUNTIFS($AH$2:AH541,AH541,$E$2:E541,"&gt;0"))</f>
        <v/>
      </c>
    </row>
    <row r="542" customFormat="false" ht="15" hidden="false" customHeight="false" outlineLevel="0" collapsed="false">
      <c r="A542" s="11" t="str">
        <f aca="false">IF(INVENTÁRIO!A542="","",INVENTÁRIO!A542)</f>
        <v/>
      </c>
      <c r="B542" s="11" t="str">
        <f aca="false">IF(A542="","",INVENTÁRIO!B542)</f>
        <v/>
      </c>
      <c r="C542" s="16" t="str">
        <f aca="false">IF(A542="","",INVENTÁRIO!C542)</f>
        <v/>
      </c>
      <c r="D542" s="14" t="str">
        <f aca="false">IF(A542="","",MAX(K542:AD542))</f>
        <v/>
      </c>
      <c r="E542" s="14" t="str">
        <f aca="false">IF(A542="","",MAX(0,D542-C542))</f>
        <v/>
      </c>
      <c r="F542" s="16" t="str">
        <f aca="false">IF(A542="","",IF(D542=0,"Fora dos decks",IF(E542=0,"Completo","Falta")))</f>
        <v/>
      </c>
      <c r="G542" s="16" t="str">
        <f aca="false">IF(A542="","",COUNTIF(K542:AD542,"&gt;0"))</f>
        <v/>
      </c>
      <c r="H542" s="16" t="str">
        <f aca="false">IF(A542="","",IF(G542&gt;1,"Sim",""))</f>
        <v/>
      </c>
      <c r="I542" s="18" t="str">
        <f aca="false">IF(A542="","",SUMIFS(DECKS!$D$2:$D$1201,DECKS!$B$2:$B$1201,A542))</f>
        <v/>
      </c>
      <c r="J542" s="18" t="str">
        <f aca="false">IF(A542="","",MAX(0,I542-C542))</f>
        <v/>
      </c>
      <c r="K542" s="19" t="str">
        <f aca="false">IF(OR($A542="",INDEX(_LEITURA!$Q$2:$Q$21,1)=0),"",SUMIFS(DECKS!$D$2:$D$1201,DECKS!$A$2:$A$1201,INDEX(_LEITURA!$P$2:$P$21,1),DECKS!$B$2:$B$1201,$A542))</f>
        <v/>
      </c>
      <c r="L542" s="19" t="str">
        <f aca="false">IF(OR($A542="",INDEX(_LEITURA!$Q$2:$Q$21,2)=0),"",SUMIFS(DECKS!$D$2:$D$1201,DECKS!$A$2:$A$1201,INDEX(_LEITURA!$P$2:$P$21,2),DECKS!$B$2:$B$1201,$A542))</f>
        <v/>
      </c>
      <c r="M542" s="19" t="str">
        <f aca="false">IF(OR($A542="",INDEX(_LEITURA!$Q$2:$Q$21,3)=0),"",SUMIFS(DECKS!$D$2:$D$1201,DECKS!$A$2:$A$1201,INDEX(_LEITURA!$P$2:$P$21,3),DECKS!$B$2:$B$1201,$A542))</f>
        <v/>
      </c>
      <c r="N542" s="19" t="str">
        <f aca="false">IF(OR($A542="",INDEX(_LEITURA!$Q$2:$Q$21,4)=0),"",SUMIFS(DECKS!$D$2:$D$1201,DECKS!$A$2:$A$1201,INDEX(_LEITURA!$P$2:$P$21,4),DECKS!$B$2:$B$1201,$A542))</f>
        <v/>
      </c>
      <c r="O542" s="19" t="str">
        <f aca="false">IF(OR($A542="",INDEX(_LEITURA!$Q$2:$Q$21,5)=0),"",SUMIFS(DECKS!$D$2:$D$1201,DECKS!$A$2:$A$1201,INDEX(_LEITURA!$P$2:$P$21,5),DECKS!$B$2:$B$1201,$A542))</f>
        <v/>
      </c>
      <c r="P542" s="19" t="str">
        <f aca="false">IF(OR($A542="",INDEX(_LEITURA!$Q$2:$Q$21,6)=0),"",SUMIFS(DECKS!$D$2:$D$1201,DECKS!$A$2:$A$1201,INDEX(_LEITURA!$P$2:$P$21,6),DECKS!$B$2:$B$1201,$A542))</f>
        <v/>
      </c>
      <c r="Q542" s="19" t="str">
        <f aca="false">IF(OR($A542="",INDEX(_LEITURA!$Q$2:$Q$21,7)=0),"",SUMIFS(DECKS!$D$2:$D$1201,DECKS!$A$2:$A$1201,INDEX(_LEITURA!$P$2:$P$21,7),DECKS!$B$2:$B$1201,$A542))</f>
        <v/>
      </c>
      <c r="R542" s="19" t="str">
        <f aca="false">IF(OR($A542="",INDEX(_LEITURA!$Q$2:$Q$21,8)=0),"",SUMIFS(DECKS!$D$2:$D$1201,DECKS!$A$2:$A$1201,INDEX(_LEITURA!$P$2:$P$21,8),DECKS!$B$2:$B$1201,$A542))</f>
        <v/>
      </c>
      <c r="S542" s="19" t="str">
        <f aca="false">IF(OR($A542="",INDEX(_LEITURA!$Q$2:$Q$21,9)=0),"",SUMIFS(DECKS!$D$2:$D$1201,DECKS!$A$2:$A$1201,INDEX(_LEITURA!$P$2:$P$21,9),DECKS!$B$2:$B$1201,$A542))</f>
        <v/>
      </c>
      <c r="T542" s="19" t="str">
        <f aca="false">IF(OR($A542="",INDEX(_LEITURA!$Q$2:$Q$21,10)=0),"",SUMIFS(DECKS!$D$2:$D$1201,DECKS!$A$2:$A$1201,INDEX(_LEITURA!$P$2:$P$21,10),DECKS!$B$2:$B$1201,$A542))</f>
        <v/>
      </c>
      <c r="U542" s="19" t="str">
        <f aca="false">IF(OR($A542="",INDEX(_LEITURA!$Q$2:$Q$21,11)=0),"",SUMIFS(DECKS!$D$2:$D$1201,DECKS!$A$2:$A$1201,INDEX(_LEITURA!$P$2:$P$21,11),DECKS!$B$2:$B$1201,$A542))</f>
        <v/>
      </c>
      <c r="V542" s="19" t="str">
        <f aca="false">IF(OR($A542="",INDEX(_LEITURA!$Q$2:$Q$21,12)=0),"",SUMIFS(DECKS!$D$2:$D$1201,DECKS!$A$2:$A$1201,INDEX(_LEITURA!$P$2:$P$21,12),DECKS!$B$2:$B$1201,$A542))</f>
        <v/>
      </c>
      <c r="W542" s="19" t="str">
        <f aca="false">IF(OR($A542="",INDEX(_LEITURA!$Q$2:$Q$21,13)=0),"",SUMIFS(DECKS!$D$2:$D$1201,DECKS!$A$2:$A$1201,INDEX(_LEITURA!$P$2:$P$21,13),DECKS!$B$2:$B$1201,$A542))</f>
        <v/>
      </c>
      <c r="X542" s="19" t="str">
        <f aca="false">IF(OR($A542="",INDEX(_LEITURA!$Q$2:$Q$21,14)=0),"",SUMIFS(DECKS!$D$2:$D$1201,DECKS!$A$2:$A$1201,INDEX(_LEITURA!$P$2:$P$21,14),DECKS!$B$2:$B$1201,$A542))</f>
        <v/>
      </c>
      <c r="Y542" s="19" t="str">
        <f aca="false">IF(OR($A542="",INDEX(_LEITURA!$Q$2:$Q$21,15)=0),"",SUMIFS(DECKS!$D$2:$D$1201,DECKS!$A$2:$A$1201,INDEX(_LEITURA!$P$2:$P$21,15),DECKS!$B$2:$B$1201,$A542))</f>
        <v/>
      </c>
      <c r="Z542" s="19" t="str">
        <f aca="false">IF(OR($A542="",INDEX(_LEITURA!$Q$2:$Q$21,16)=0),"",SUMIFS(DECKS!$D$2:$D$1201,DECKS!$A$2:$A$1201,INDEX(_LEITURA!$P$2:$P$21,16),DECKS!$B$2:$B$1201,$A542))</f>
        <v/>
      </c>
      <c r="AA542" s="19" t="str">
        <f aca="false">IF(OR($A542="",INDEX(_LEITURA!$Q$2:$Q$21,17)=0),"",SUMIFS(DECKS!$D$2:$D$1201,DECKS!$A$2:$A$1201,INDEX(_LEITURA!$P$2:$P$21,17),DECKS!$B$2:$B$1201,$A542))</f>
        <v/>
      </c>
      <c r="AB542" s="19" t="str">
        <f aca="false">IF(OR($A542="",INDEX(_LEITURA!$Q$2:$Q$21,18)=0),"",SUMIFS(DECKS!$D$2:$D$1201,DECKS!$A$2:$A$1201,INDEX(_LEITURA!$P$2:$P$21,18),DECKS!$B$2:$B$1201,$A542))</f>
        <v/>
      </c>
      <c r="AC542" s="19" t="str">
        <f aca="false">IF(OR($A542="",INDEX(_LEITURA!$Q$2:$Q$21,19)=0),"",SUMIFS(DECKS!$D$2:$D$1201,DECKS!$A$2:$A$1201,INDEX(_LEITURA!$P$2:$P$21,19),DECKS!$B$2:$B$1201,$A542))</f>
        <v/>
      </c>
      <c r="AD542" s="19" t="str">
        <f aca="false">IF(OR($A542="",INDEX(_LEITURA!$Q$2:$Q$21,20)=0),"",SUMIFS(DECKS!$D$2:$D$1201,DECKS!$A$2:$A$1201,INDEX(_LEITURA!$P$2:$P$21,20),DECKS!$B$2:$B$1201,$A542))</f>
        <v/>
      </c>
      <c r="AE542" s="16" t="str">
        <f aca="false">IF(N(E542)&gt;0,MAX(AE$1:AE541)+1,"")</f>
        <v/>
      </c>
      <c r="AF542" s="11" t="str">
        <f aca="false">IF(A542="","",IFERROR(LEFT(A542,FIND("-",A542)-1),A542))</f>
        <v/>
      </c>
      <c r="AG542" s="11" t="str">
        <f aca="false">IF(AF542="","",IF(ISNUMBER(--MID(AF542,1,1)),0,IF(ISNUMBER(--MID(AF542,2,1)),1,IF(ISNUMBER(--MID(AF542,3,1)),2,IF(ISNUMBER(--MID(AF542,4,1)),3,MIN(LEN(AF542),4))))))</f>
        <v/>
      </c>
      <c r="AH542" s="11" t="str">
        <f aca="false">IF(A542="","",LEFT(AF542,AG542)&amp;REPT("0",4-AG542)&amp;RIGHT("000"&amp;IFERROR(VALUE(MID(AF542,AG542+1,9)),0),3)&amp;RIGHT("0000"&amp;IFERROR(VALUE(MID(A542,FIND("-",A542)+1,9)),0),4))</f>
        <v/>
      </c>
      <c r="AI542" s="11" t="str">
        <f aca="false">IF(OR(A542="",N(E542)&lt;=0),"",IF('FALTAS GERAL'!$M$1="Código","K"&amp;AH542&amp;RIGHT("00000"&amp;ROW(),5),IF('FALTAS GERAL'!$M$1="Nome","K"&amp;UPPER(SUBSTITUTE(SUBSTITUTE(SUBSTITUTE(B542,"*",""),"?",""),"~",""))&amp;"0"&amp;AH542&amp;RIGHT("00000"&amp;ROW(),5),IF('FALTAS GERAL'!$M$1="Falta (maior primeiro)","K"&amp;RIGHT("0000"&amp;(9999-E542),4)&amp;AH542&amp;RIGHT("00000"&amp;ROW(),5),IF('FALTAS GERAL'!$M$1="Nº de decks (maior primeiro)","K"&amp;RIGHT("00"&amp;(99-N(G542)),2)&amp;AH542&amp;RIGHT("00000"&amp;ROW(),5),"K"&amp;RIGHT("00000"&amp;ROW(),5))))))</f>
        <v/>
      </c>
      <c r="AJ542" s="11" t="str">
        <f aca="false">IF(AI542="","",COUNTIFS($AI$2:$AI$801,"&lt;"&amp;AI542,$E$2:$E$801,"&gt;0")+1)</f>
        <v/>
      </c>
      <c r="AK542" s="11" t="str">
        <f aca="false">IF(OR(A542="",N(E542)&lt;=0),"",COUNTIFS($AH$2:$AH$801,"&lt;"&amp;AH542,$E$2:$E$801,"&gt;0")+COUNTIFS($AH$2:AH542,AH542,$E$2:E542,"&gt;0"))</f>
        <v/>
      </c>
    </row>
    <row r="543" customFormat="false" ht="15" hidden="false" customHeight="false" outlineLevel="0" collapsed="false">
      <c r="A543" s="11" t="str">
        <f aca="false">IF(INVENTÁRIO!A543="","",INVENTÁRIO!A543)</f>
        <v/>
      </c>
      <c r="B543" s="11" t="str">
        <f aca="false">IF(A543="","",INVENTÁRIO!B543)</f>
        <v/>
      </c>
      <c r="C543" s="16" t="str">
        <f aca="false">IF(A543="","",INVENTÁRIO!C543)</f>
        <v/>
      </c>
      <c r="D543" s="14" t="str">
        <f aca="false">IF(A543="","",MAX(K543:AD543))</f>
        <v/>
      </c>
      <c r="E543" s="14" t="str">
        <f aca="false">IF(A543="","",MAX(0,D543-C543))</f>
        <v/>
      </c>
      <c r="F543" s="16" t="str">
        <f aca="false">IF(A543="","",IF(D543=0,"Fora dos decks",IF(E543=0,"Completo","Falta")))</f>
        <v/>
      </c>
      <c r="G543" s="16" t="str">
        <f aca="false">IF(A543="","",COUNTIF(K543:AD543,"&gt;0"))</f>
        <v/>
      </c>
      <c r="H543" s="16" t="str">
        <f aca="false">IF(A543="","",IF(G543&gt;1,"Sim",""))</f>
        <v/>
      </c>
      <c r="I543" s="18" t="str">
        <f aca="false">IF(A543="","",SUMIFS(DECKS!$D$2:$D$1201,DECKS!$B$2:$B$1201,A543))</f>
        <v/>
      </c>
      <c r="J543" s="18" t="str">
        <f aca="false">IF(A543="","",MAX(0,I543-C543))</f>
        <v/>
      </c>
      <c r="K543" s="19" t="str">
        <f aca="false">IF(OR($A543="",INDEX(_LEITURA!$Q$2:$Q$21,1)=0),"",SUMIFS(DECKS!$D$2:$D$1201,DECKS!$A$2:$A$1201,INDEX(_LEITURA!$P$2:$P$21,1),DECKS!$B$2:$B$1201,$A543))</f>
        <v/>
      </c>
      <c r="L543" s="19" t="str">
        <f aca="false">IF(OR($A543="",INDEX(_LEITURA!$Q$2:$Q$21,2)=0),"",SUMIFS(DECKS!$D$2:$D$1201,DECKS!$A$2:$A$1201,INDEX(_LEITURA!$P$2:$P$21,2),DECKS!$B$2:$B$1201,$A543))</f>
        <v/>
      </c>
      <c r="M543" s="19" t="str">
        <f aca="false">IF(OR($A543="",INDEX(_LEITURA!$Q$2:$Q$21,3)=0),"",SUMIFS(DECKS!$D$2:$D$1201,DECKS!$A$2:$A$1201,INDEX(_LEITURA!$P$2:$P$21,3),DECKS!$B$2:$B$1201,$A543))</f>
        <v/>
      </c>
      <c r="N543" s="19" t="str">
        <f aca="false">IF(OR($A543="",INDEX(_LEITURA!$Q$2:$Q$21,4)=0),"",SUMIFS(DECKS!$D$2:$D$1201,DECKS!$A$2:$A$1201,INDEX(_LEITURA!$P$2:$P$21,4),DECKS!$B$2:$B$1201,$A543))</f>
        <v/>
      </c>
      <c r="O543" s="19" t="str">
        <f aca="false">IF(OR($A543="",INDEX(_LEITURA!$Q$2:$Q$21,5)=0),"",SUMIFS(DECKS!$D$2:$D$1201,DECKS!$A$2:$A$1201,INDEX(_LEITURA!$P$2:$P$21,5),DECKS!$B$2:$B$1201,$A543))</f>
        <v/>
      </c>
      <c r="P543" s="19" t="str">
        <f aca="false">IF(OR($A543="",INDEX(_LEITURA!$Q$2:$Q$21,6)=0),"",SUMIFS(DECKS!$D$2:$D$1201,DECKS!$A$2:$A$1201,INDEX(_LEITURA!$P$2:$P$21,6),DECKS!$B$2:$B$1201,$A543))</f>
        <v/>
      </c>
      <c r="Q543" s="19" t="str">
        <f aca="false">IF(OR($A543="",INDEX(_LEITURA!$Q$2:$Q$21,7)=0),"",SUMIFS(DECKS!$D$2:$D$1201,DECKS!$A$2:$A$1201,INDEX(_LEITURA!$P$2:$P$21,7),DECKS!$B$2:$B$1201,$A543))</f>
        <v/>
      </c>
      <c r="R543" s="19" t="str">
        <f aca="false">IF(OR($A543="",INDEX(_LEITURA!$Q$2:$Q$21,8)=0),"",SUMIFS(DECKS!$D$2:$D$1201,DECKS!$A$2:$A$1201,INDEX(_LEITURA!$P$2:$P$21,8),DECKS!$B$2:$B$1201,$A543))</f>
        <v/>
      </c>
      <c r="S543" s="19" t="str">
        <f aca="false">IF(OR($A543="",INDEX(_LEITURA!$Q$2:$Q$21,9)=0),"",SUMIFS(DECKS!$D$2:$D$1201,DECKS!$A$2:$A$1201,INDEX(_LEITURA!$P$2:$P$21,9),DECKS!$B$2:$B$1201,$A543))</f>
        <v/>
      </c>
      <c r="T543" s="19" t="str">
        <f aca="false">IF(OR($A543="",INDEX(_LEITURA!$Q$2:$Q$21,10)=0),"",SUMIFS(DECKS!$D$2:$D$1201,DECKS!$A$2:$A$1201,INDEX(_LEITURA!$P$2:$P$21,10),DECKS!$B$2:$B$1201,$A543))</f>
        <v/>
      </c>
      <c r="U543" s="19" t="str">
        <f aca="false">IF(OR($A543="",INDEX(_LEITURA!$Q$2:$Q$21,11)=0),"",SUMIFS(DECKS!$D$2:$D$1201,DECKS!$A$2:$A$1201,INDEX(_LEITURA!$P$2:$P$21,11),DECKS!$B$2:$B$1201,$A543))</f>
        <v/>
      </c>
      <c r="V543" s="19" t="str">
        <f aca="false">IF(OR($A543="",INDEX(_LEITURA!$Q$2:$Q$21,12)=0),"",SUMIFS(DECKS!$D$2:$D$1201,DECKS!$A$2:$A$1201,INDEX(_LEITURA!$P$2:$P$21,12),DECKS!$B$2:$B$1201,$A543))</f>
        <v/>
      </c>
      <c r="W543" s="19" t="str">
        <f aca="false">IF(OR($A543="",INDEX(_LEITURA!$Q$2:$Q$21,13)=0),"",SUMIFS(DECKS!$D$2:$D$1201,DECKS!$A$2:$A$1201,INDEX(_LEITURA!$P$2:$P$21,13),DECKS!$B$2:$B$1201,$A543))</f>
        <v/>
      </c>
      <c r="X543" s="19" t="str">
        <f aca="false">IF(OR($A543="",INDEX(_LEITURA!$Q$2:$Q$21,14)=0),"",SUMIFS(DECKS!$D$2:$D$1201,DECKS!$A$2:$A$1201,INDEX(_LEITURA!$P$2:$P$21,14),DECKS!$B$2:$B$1201,$A543))</f>
        <v/>
      </c>
      <c r="Y543" s="19" t="str">
        <f aca="false">IF(OR($A543="",INDEX(_LEITURA!$Q$2:$Q$21,15)=0),"",SUMIFS(DECKS!$D$2:$D$1201,DECKS!$A$2:$A$1201,INDEX(_LEITURA!$P$2:$P$21,15),DECKS!$B$2:$B$1201,$A543))</f>
        <v/>
      </c>
      <c r="Z543" s="19" t="str">
        <f aca="false">IF(OR($A543="",INDEX(_LEITURA!$Q$2:$Q$21,16)=0),"",SUMIFS(DECKS!$D$2:$D$1201,DECKS!$A$2:$A$1201,INDEX(_LEITURA!$P$2:$P$21,16),DECKS!$B$2:$B$1201,$A543))</f>
        <v/>
      </c>
      <c r="AA543" s="19" t="str">
        <f aca="false">IF(OR($A543="",INDEX(_LEITURA!$Q$2:$Q$21,17)=0),"",SUMIFS(DECKS!$D$2:$D$1201,DECKS!$A$2:$A$1201,INDEX(_LEITURA!$P$2:$P$21,17),DECKS!$B$2:$B$1201,$A543))</f>
        <v/>
      </c>
      <c r="AB543" s="19" t="str">
        <f aca="false">IF(OR($A543="",INDEX(_LEITURA!$Q$2:$Q$21,18)=0),"",SUMIFS(DECKS!$D$2:$D$1201,DECKS!$A$2:$A$1201,INDEX(_LEITURA!$P$2:$P$21,18),DECKS!$B$2:$B$1201,$A543))</f>
        <v/>
      </c>
      <c r="AC543" s="19" t="str">
        <f aca="false">IF(OR($A543="",INDEX(_LEITURA!$Q$2:$Q$21,19)=0),"",SUMIFS(DECKS!$D$2:$D$1201,DECKS!$A$2:$A$1201,INDEX(_LEITURA!$P$2:$P$21,19),DECKS!$B$2:$B$1201,$A543))</f>
        <v/>
      </c>
      <c r="AD543" s="19" t="str">
        <f aca="false">IF(OR($A543="",INDEX(_LEITURA!$Q$2:$Q$21,20)=0),"",SUMIFS(DECKS!$D$2:$D$1201,DECKS!$A$2:$A$1201,INDEX(_LEITURA!$P$2:$P$21,20),DECKS!$B$2:$B$1201,$A543))</f>
        <v/>
      </c>
      <c r="AE543" s="16" t="str">
        <f aca="false">IF(N(E543)&gt;0,MAX(AE$1:AE542)+1,"")</f>
        <v/>
      </c>
      <c r="AF543" s="11" t="str">
        <f aca="false">IF(A543="","",IFERROR(LEFT(A543,FIND("-",A543)-1),A543))</f>
        <v/>
      </c>
      <c r="AG543" s="11" t="str">
        <f aca="false">IF(AF543="","",IF(ISNUMBER(--MID(AF543,1,1)),0,IF(ISNUMBER(--MID(AF543,2,1)),1,IF(ISNUMBER(--MID(AF543,3,1)),2,IF(ISNUMBER(--MID(AF543,4,1)),3,MIN(LEN(AF543),4))))))</f>
        <v/>
      </c>
      <c r="AH543" s="11" t="str">
        <f aca="false">IF(A543="","",LEFT(AF543,AG543)&amp;REPT("0",4-AG543)&amp;RIGHT("000"&amp;IFERROR(VALUE(MID(AF543,AG543+1,9)),0),3)&amp;RIGHT("0000"&amp;IFERROR(VALUE(MID(A543,FIND("-",A543)+1,9)),0),4))</f>
        <v/>
      </c>
      <c r="AI543" s="11" t="str">
        <f aca="false">IF(OR(A543="",N(E543)&lt;=0),"",IF('FALTAS GERAL'!$M$1="Código","K"&amp;AH543&amp;RIGHT("00000"&amp;ROW(),5),IF('FALTAS GERAL'!$M$1="Nome","K"&amp;UPPER(SUBSTITUTE(SUBSTITUTE(SUBSTITUTE(B543,"*",""),"?",""),"~",""))&amp;"0"&amp;AH543&amp;RIGHT("00000"&amp;ROW(),5),IF('FALTAS GERAL'!$M$1="Falta (maior primeiro)","K"&amp;RIGHT("0000"&amp;(9999-E543),4)&amp;AH543&amp;RIGHT("00000"&amp;ROW(),5),IF('FALTAS GERAL'!$M$1="Nº de decks (maior primeiro)","K"&amp;RIGHT("00"&amp;(99-N(G543)),2)&amp;AH543&amp;RIGHT("00000"&amp;ROW(),5),"K"&amp;RIGHT("00000"&amp;ROW(),5))))))</f>
        <v/>
      </c>
      <c r="AJ543" s="11" t="str">
        <f aca="false">IF(AI543="","",COUNTIFS($AI$2:$AI$801,"&lt;"&amp;AI543,$E$2:$E$801,"&gt;0")+1)</f>
        <v/>
      </c>
      <c r="AK543" s="11" t="str">
        <f aca="false">IF(OR(A543="",N(E543)&lt;=0),"",COUNTIFS($AH$2:$AH$801,"&lt;"&amp;AH543,$E$2:$E$801,"&gt;0")+COUNTIFS($AH$2:AH543,AH543,$E$2:E543,"&gt;0"))</f>
        <v/>
      </c>
    </row>
    <row r="544" customFormat="false" ht="15" hidden="false" customHeight="false" outlineLevel="0" collapsed="false">
      <c r="A544" s="11" t="str">
        <f aca="false">IF(INVENTÁRIO!A544="","",INVENTÁRIO!A544)</f>
        <v/>
      </c>
      <c r="B544" s="11" t="str">
        <f aca="false">IF(A544="","",INVENTÁRIO!B544)</f>
        <v/>
      </c>
      <c r="C544" s="16" t="str">
        <f aca="false">IF(A544="","",INVENTÁRIO!C544)</f>
        <v/>
      </c>
      <c r="D544" s="14" t="str">
        <f aca="false">IF(A544="","",MAX(K544:AD544))</f>
        <v/>
      </c>
      <c r="E544" s="14" t="str">
        <f aca="false">IF(A544="","",MAX(0,D544-C544))</f>
        <v/>
      </c>
      <c r="F544" s="16" t="str">
        <f aca="false">IF(A544="","",IF(D544=0,"Fora dos decks",IF(E544=0,"Completo","Falta")))</f>
        <v/>
      </c>
      <c r="G544" s="16" t="str">
        <f aca="false">IF(A544="","",COUNTIF(K544:AD544,"&gt;0"))</f>
        <v/>
      </c>
      <c r="H544" s="16" t="str">
        <f aca="false">IF(A544="","",IF(G544&gt;1,"Sim",""))</f>
        <v/>
      </c>
      <c r="I544" s="18" t="str">
        <f aca="false">IF(A544="","",SUMIFS(DECKS!$D$2:$D$1201,DECKS!$B$2:$B$1201,A544))</f>
        <v/>
      </c>
      <c r="J544" s="18" t="str">
        <f aca="false">IF(A544="","",MAX(0,I544-C544))</f>
        <v/>
      </c>
      <c r="K544" s="19" t="str">
        <f aca="false">IF(OR($A544="",INDEX(_LEITURA!$Q$2:$Q$21,1)=0),"",SUMIFS(DECKS!$D$2:$D$1201,DECKS!$A$2:$A$1201,INDEX(_LEITURA!$P$2:$P$21,1),DECKS!$B$2:$B$1201,$A544))</f>
        <v/>
      </c>
      <c r="L544" s="19" t="str">
        <f aca="false">IF(OR($A544="",INDEX(_LEITURA!$Q$2:$Q$21,2)=0),"",SUMIFS(DECKS!$D$2:$D$1201,DECKS!$A$2:$A$1201,INDEX(_LEITURA!$P$2:$P$21,2),DECKS!$B$2:$B$1201,$A544))</f>
        <v/>
      </c>
      <c r="M544" s="19" t="str">
        <f aca="false">IF(OR($A544="",INDEX(_LEITURA!$Q$2:$Q$21,3)=0),"",SUMIFS(DECKS!$D$2:$D$1201,DECKS!$A$2:$A$1201,INDEX(_LEITURA!$P$2:$P$21,3),DECKS!$B$2:$B$1201,$A544))</f>
        <v/>
      </c>
      <c r="N544" s="19" t="str">
        <f aca="false">IF(OR($A544="",INDEX(_LEITURA!$Q$2:$Q$21,4)=0),"",SUMIFS(DECKS!$D$2:$D$1201,DECKS!$A$2:$A$1201,INDEX(_LEITURA!$P$2:$P$21,4),DECKS!$B$2:$B$1201,$A544))</f>
        <v/>
      </c>
      <c r="O544" s="19" t="str">
        <f aca="false">IF(OR($A544="",INDEX(_LEITURA!$Q$2:$Q$21,5)=0),"",SUMIFS(DECKS!$D$2:$D$1201,DECKS!$A$2:$A$1201,INDEX(_LEITURA!$P$2:$P$21,5),DECKS!$B$2:$B$1201,$A544))</f>
        <v/>
      </c>
      <c r="P544" s="19" t="str">
        <f aca="false">IF(OR($A544="",INDEX(_LEITURA!$Q$2:$Q$21,6)=0),"",SUMIFS(DECKS!$D$2:$D$1201,DECKS!$A$2:$A$1201,INDEX(_LEITURA!$P$2:$P$21,6),DECKS!$B$2:$B$1201,$A544))</f>
        <v/>
      </c>
      <c r="Q544" s="19" t="str">
        <f aca="false">IF(OR($A544="",INDEX(_LEITURA!$Q$2:$Q$21,7)=0),"",SUMIFS(DECKS!$D$2:$D$1201,DECKS!$A$2:$A$1201,INDEX(_LEITURA!$P$2:$P$21,7),DECKS!$B$2:$B$1201,$A544))</f>
        <v/>
      </c>
      <c r="R544" s="19" t="str">
        <f aca="false">IF(OR($A544="",INDEX(_LEITURA!$Q$2:$Q$21,8)=0),"",SUMIFS(DECKS!$D$2:$D$1201,DECKS!$A$2:$A$1201,INDEX(_LEITURA!$P$2:$P$21,8),DECKS!$B$2:$B$1201,$A544))</f>
        <v/>
      </c>
      <c r="S544" s="19" t="str">
        <f aca="false">IF(OR($A544="",INDEX(_LEITURA!$Q$2:$Q$21,9)=0),"",SUMIFS(DECKS!$D$2:$D$1201,DECKS!$A$2:$A$1201,INDEX(_LEITURA!$P$2:$P$21,9),DECKS!$B$2:$B$1201,$A544))</f>
        <v/>
      </c>
      <c r="T544" s="19" t="str">
        <f aca="false">IF(OR($A544="",INDEX(_LEITURA!$Q$2:$Q$21,10)=0),"",SUMIFS(DECKS!$D$2:$D$1201,DECKS!$A$2:$A$1201,INDEX(_LEITURA!$P$2:$P$21,10),DECKS!$B$2:$B$1201,$A544))</f>
        <v/>
      </c>
      <c r="U544" s="19" t="str">
        <f aca="false">IF(OR($A544="",INDEX(_LEITURA!$Q$2:$Q$21,11)=0),"",SUMIFS(DECKS!$D$2:$D$1201,DECKS!$A$2:$A$1201,INDEX(_LEITURA!$P$2:$P$21,11),DECKS!$B$2:$B$1201,$A544))</f>
        <v/>
      </c>
      <c r="V544" s="19" t="str">
        <f aca="false">IF(OR($A544="",INDEX(_LEITURA!$Q$2:$Q$21,12)=0),"",SUMIFS(DECKS!$D$2:$D$1201,DECKS!$A$2:$A$1201,INDEX(_LEITURA!$P$2:$P$21,12),DECKS!$B$2:$B$1201,$A544))</f>
        <v/>
      </c>
      <c r="W544" s="19" t="str">
        <f aca="false">IF(OR($A544="",INDEX(_LEITURA!$Q$2:$Q$21,13)=0),"",SUMIFS(DECKS!$D$2:$D$1201,DECKS!$A$2:$A$1201,INDEX(_LEITURA!$P$2:$P$21,13),DECKS!$B$2:$B$1201,$A544))</f>
        <v/>
      </c>
      <c r="X544" s="19" t="str">
        <f aca="false">IF(OR($A544="",INDEX(_LEITURA!$Q$2:$Q$21,14)=0),"",SUMIFS(DECKS!$D$2:$D$1201,DECKS!$A$2:$A$1201,INDEX(_LEITURA!$P$2:$P$21,14),DECKS!$B$2:$B$1201,$A544))</f>
        <v/>
      </c>
      <c r="Y544" s="19" t="str">
        <f aca="false">IF(OR($A544="",INDEX(_LEITURA!$Q$2:$Q$21,15)=0),"",SUMIFS(DECKS!$D$2:$D$1201,DECKS!$A$2:$A$1201,INDEX(_LEITURA!$P$2:$P$21,15),DECKS!$B$2:$B$1201,$A544))</f>
        <v/>
      </c>
      <c r="Z544" s="19" t="str">
        <f aca="false">IF(OR($A544="",INDEX(_LEITURA!$Q$2:$Q$21,16)=0),"",SUMIFS(DECKS!$D$2:$D$1201,DECKS!$A$2:$A$1201,INDEX(_LEITURA!$P$2:$P$21,16),DECKS!$B$2:$B$1201,$A544))</f>
        <v/>
      </c>
      <c r="AA544" s="19" t="str">
        <f aca="false">IF(OR($A544="",INDEX(_LEITURA!$Q$2:$Q$21,17)=0),"",SUMIFS(DECKS!$D$2:$D$1201,DECKS!$A$2:$A$1201,INDEX(_LEITURA!$P$2:$P$21,17),DECKS!$B$2:$B$1201,$A544))</f>
        <v/>
      </c>
      <c r="AB544" s="19" t="str">
        <f aca="false">IF(OR($A544="",INDEX(_LEITURA!$Q$2:$Q$21,18)=0),"",SUMIFS(DECKS!$D$2:$D$1201,DECKS!$A$2:$A$1201,INDEX(_LEITURA!$P$2:$P$21,18),DECKS!$B$2:$B$1201,$A544))</f>
        <v/>
      </c>
      <c r="AC544" s="19" t="str">
        <f aca="false">IF(OR($A544="",INDEX(_LEITURA!$Q$2:$Q$21,19)=0),"",SUMIFS(DECKS!$D$2:$D$1201,DECKS!$A$2:$A$1201,INDEX(_LEITURA!$P$2:$P$21,19),DECKS!$B$2:$B$1201,$A544))</f>
        <v/>
      </c>
      <c r="AD544" s="19" t="str">
        <f aca="false">IF(OR($A544="",INDEX(_LEITURA!$Q$2:$Q$21,20)=0),"",SUMIFS(DECKS!$D$2:$D$1201,DECKS!$A$2:$A$1201,INDEX(_LEITURA!$P$2:$P$21,20),DECKS!$B$2:$B$1201,$A544))</f>
        <v/>
      </c>
      <c r="AE544" s="16" t="str">
        <f aca="false">IF(N(E544)&gt;0,MAX(AE$1:AE543)+1,"")</f>
        <v/>
      </c>
      <c r="AF544" s="11" t="str">
        <f aca="false">IF(A544="","",IFERROR(LEFT(A544,FIND("-",A544)-1),A544))</f>
        <v/>
      </c>
      <c r="AG544" s="11" t="str">
        <f aca="false">IF(AF544="","",IF(ISNUMBER(--MID(AF544,1,1)),0,IF(ISNUMBER(--MID(AF544,2,1)),1,IF(ISNUMBER(--MID(AF544,3,1)),2,IF(ISNUMBER(--MID(AF544,4,1)),3,MIN(LEN(AF544),4))))))</f>
        <v/>
      </c>
      <c r="AH544" s="11" t="str">
        <f aca="false">IF(A544="","",LEFT(AF544,AG544)&amp;REPT("0",4-AG544)&amp;RIGHT("000"&amp;IFERROR(VALUE(MID(AF544,AG544+1,9)),0),3)&amp;RIGHT("0000"&amp;IFERROR(VALUE(MID(A544,FIND("-",A544)+1,9)),0),4))</f>
        <v/>
      </c>
      <c r="AI544" s="11" t="str">
        <f aca="false">IF(OR(A544="",N(E544)&lt;=0),"",IF('FALTAS GERAL'!$M$1="Código","K"&amp;AH544&amp;RIGHT("00000"&amp;ROW(),5),IF('FALTAS GERAL'!$M$1="Nome","K"&amp;UPPER(SUBSTITUTE(SUBSTITUTE(SUBSTITUTE(B544,"*",""),"?",""),"~",""))&amp;"0"&amp;AH544&amp;RIGHT("00000"&amp;ROW(),5),IF('FALTAS GERAL'!$M$1="Falta (maior primeiro)","K"&amp;RIGHT("0000"&amp;(9999-E544),4)&amp;AH544&amp;RIGHT("00000"&amp;ROW(),5),IF('FALTAS GERAL'!$M$1="Nº de decks (maior primeiro)","K"&amp;RIGHT("00"&amp;(99-N(G544)),2)&amp;AH544&amp;RIGHT("00000"&amp;ROW(),5),"K"&amp;RIGHT("00000"&amp;ROW(),5))))))</f>
        <v/>
      </c>
      <c r="AJ544" s="11" t="str">
        <f aca="false">IF(AI544="","",COUNTIFS($AI$2:$AI$801,"&lt;"&amp;AI544,$E$2:$E$801,"&gt;0")+1)</f>
        <v/>
      </c>
      <c r="AK544" s="11" t="str">
        <f aca="false">IF(OR(A544="",N(E544)&lt;=0),"",COUNTIFS($AH$2:$AH$801,"&lt;"&amp;AH544,$E$2:$E$801,"&gt;0")+COUNTIFS($AH$2:AH544,AH544,$E$2:E544,"&gt;0"))</f>
        <v/>
      </c>
    </row>
    <row r="545" customFormat="false" ht="15" hidden="false" customHeight="false" outlineLevel="0" collapsed="false">
      <c r="A545" s="11" t="str">
        <f aca="false">IF(INVENTÁRIO!A545="","",INVENTÁRIO!A545)</f>
        <v/>
      </c>
      <c r="B545" s="11" t="str">
        <f aca="false">IF(A545="","",INVENTÁRIO!B545)</f>
        <v/>
      </c>
      <c r="C545" s="16" t="str">
        <f aca="false">IF(A545="","",INVENTÁRIO!C545)</f>
        <v/>
      </c>
      <c r="D545" s="14" t="str">
        <f aca="false">IF(A545="","",MAX(K545:AD545))</f>
        <v/>
      </c>
      <c r="E545" s="14" t="str">
        <f aca="false">IF(A545="","",MAX(0,D545-C545))</f>
        <v/>
      </c>
      <c r="F545" s="16" t="str">
        <f aca="false">IF(A545="","",IF(D545=0,"Fora dos decks",IF(E545=0,"Completo","Falta")))</f>
        <v/>
      </c>
      <c r="G545" s="16" t="str">
        <f aca="false">IF(A545="","",COUNTIF(K545:AD545,"&gt;0"))</f>
        <v/>
      </c>
      <c r="H545" s="16" t="str">
        <f aca="false">IF(A545="","",IF(G545&gt;1,"Sim",""))</f>
        <v/>
      </c>
      <c r="I545" s="18" t="str">
        <f aca="false">IF(A545="","",SUMIFS(DECKS!$D$2:$D$1201,DECKS!$B$2:$B$1201,A545))</f>
        <v/>
      </c>
      <c r="J545" s="18" t="str">
        <f aca="false">IF(A545="","",MAX(0,I545-C545))</f>
        <v/>
      </c>
      <c r="K545" s="19" t="str">
        <f aca="false">IF(OR($A545="",INDEX(_LEITURA!$Q$2:$Q$21,1)=0),"",SUMIFS(DECKS!$D$2:$D$1201,DECKS!$A$2:$A$1201,INDEX(_LEITURA!$P$2:$P$21,1),DECKS!$B$2:$B$1201,$A545))</f>
        <v/>
      </c>
      <c r="L545" s="19" t="str">
        <f aca="false">IF(OR($A545="",INDEX(_LEITURA!$Q$2:$Q$21,2)=0),"",SUMIFS(DECKS!$D$2:$D$1201,DECKS!$A$2:$A$1201,INDEX(_LEITURA!$P$2:$P$21,2),DECKS!$B$2:$B$1201,$A545))</f>
        <v/>
      </c>
      <c r="M545" s="19" t="str">
        <f aca="false">IF(OR($A545="",INDEX(_LEITURA!$Q$2:$Q$21,3)=0),"",SUMIFS(DECKS!$D$2:$D$1201,DECKS!$A$2:$A$1201,INDEX(_LEITURA!$P$2:$P$21,3),DECKS!$B$2:$B$1201,$A545))</f>
        <v/>
      </c>
      <c r="N545" s="19" t="str">
        <f aca="false">IF(OR($A545="",INDEX(_LEITURA!$Q$2:$Q$21,4)=0),"",SUMIFS(DECKS!$D$2:$D$1201,DECKS!$A$2:$A$1201,INDEX(_LEITURA!$P$2:$P$21,4),DECKS!$B$2:$B$1201,$A545))</f>
        <v/>
      </c>
      <c r="O545" s="19" t="str">
        <f aca="false">IF(OR($A545="",INDEX(_LEITURA!$Q$2:$Q$21,5)=0),"",SUMIFS(DECKS!$D$2:$D$1201,DECKS!$A$2:$A$1201,INDEX(_LEITURA!$P$2:$P$21,5),DECKS!$B$2:$B$1201,$A545))</f>
        <v/>
      </c>
      <c r="P545" s="19" t="str">
        <f aca="false">IF(OR($A545="",INDEX(_LEITURA!$Q$2:$Q$21,6)=0),"",SUMIFS(DECKS!$D$2:$D$1201,DECKS!$A$2:$A$1201,INDEX(_LEITURA!$P$2:$P$21,6),DECKS!$B$2:$B$1201,$A545))</f>
        <v/>
      </c>
      <c r="Q545" s="19" t="str">
        <f aca="false">IF(OR($A545="",INDEX(_LEITURA!$Q$2:$Q$21,7)=0),"",SUMIFS(DECKS!$D$2:$D$1201,DECKS!$A$2:$A$1201,INDEX(_LEITURA!$P$2:$P$21,7),DECKS!$B$2:$B$1201,$A545))</f>
        <v/>
      </c>
      <c r="R545" s="19" t="str">
        <f aca="false">IF(OR($A545="",INDEX(_LEITURA!$Q$2:$Q$21,8)=0),"",SUMIFS(DECKS!$D$2:$D$1201,DECKS!$A$2:$A$1201,INDEX(_LEITURA!$P$2:$P$21,8),DECKS!$B$2:$B$1201,$A545))</f>
        <v/>
      </c>
      <c r="S545" s="19" t="str">
        <f aca="false">IF(OR($A545="",INDEX(_LEITURA!$Q$2:$Q$21,9)=0),"",SUMIFS(DECKS!$D$2:$D$1201,DECKS!$A$2:$A$1201,INDEX(_LEITURA!$P$2:$P$21,9),DECKS!$B$2:$B$1201,$A545))</f>
        <v/>
      </c>
      <c r="T545" s="19" t="str">
        <f aca="false">IF(OR($A545="",INDEX(_LEITURA!$Q$2:$Q$21,10)=0),"",SUMIFS(DECKS!$D$2:$D$1201,DECKS!$A$2:$A$1201,INDEX(_LEITURA!$P$2:$P$21,10),DECKS!$B$2:$B$1201,$A545))</f>
        <v/>
      </c>
      <c r="U545" s="19" t="str">
        <f aca="false">IF(OR($A545="",INDEX(_LEITURA!$Q$2:$Q$21,11)=0),"",SUMIFS(DECKS!$D$2:$D$1201,DECKS!$A$2:$A$1201,INDEX(_LEITURA!$P$2:$P$21,11),DECKS!$B$2:$B$1201,$A545))</f>
        <v/>
      </c>
      <c r="V545" s="19" t="str">
        <f aca="false">IF(OR($A545="",INDEX(_LEITURA!$Q$2:$Q$21,12)=0),"",SUMIFS(DECKS!$D$2:$D$1201,DECKS!$A$2:$A$1201,INDEX(_LEITURA!$P$2:$P$21,12),DECKS!$B$2:$B$1201,$A545))</f>
        <v/>
      </c>
      <c r="W545" s="19" t="str">
        <f aca="false">IF(OR($A545="",INDEX(_LEITURA!$Q$2:$Q$21,13)=0),"",SUMIFS(DECKS!$D$2:$D$1201,DECKS!$A$2:$A$1201,INDEX(_LEITURA!$P$2:$P$21,13),DECKS!$B$2:$B$1201,$A545))</f>
        <v/>
      </c>
      <c r="X545" s="19" t="str">
        <f aca="false">IF(OR($A545="",INDEX(_LEITURA!$Q$2:$Q$21,14)=0),"",SUMIFS(DECKS!$D$2:$D$1201,DECKS!$A$2:$A$1201,INDEX(_LEITURA!$P$2:$P$21,14),DECKS!$B$2:$B$1201,$A545))</f>
        <v/>
      </c>
      <c r="Y545" s="19" t="str">
        <f aca="false">IF(OR($A545="",INDEX(_LEITURA!$Q$2:$Q$21,15)=0),"",SUMIFS(DECKS!$D$2:$D$1201,DECKS!$A$2:$A$1201,INDEX(_LEITURA!$P$2:$P$21,15),DECKS!$B$2:$B$1201,$A545))</f>
        <v/>
      </c>
      <c r="Z545" s="19" t="str">
        <f aca="false">IF(OR($A545="",INDEX(_LEITURA!$Q$2:$Q$21,16)=0),"",SUMIFS(DECKS!$D$2:$D$1201,DECKS!$A$2:$A$1201,INDEX(_LEITURA!$P$2:$P$21,16),DECKS!$B$2:$B$1201,$A545))</f>
        <v/>
      </c>
      <c r="AA545" s="19" t="str">
        <f aca="false">IF(OR($A545="",INDEX(_LEITURA!$Q$2:$Q$21,17)=0),"",SUMIFS(DECKS!$D$2:$D$1201,DECKS!$A$2:$A$1201,INDEX(_LEITURA!$P$2:$P$21,17),DECKS!$B$2:$B$1201,$A545))</f>
        <v/>
      </c>
      <c r="AB545" s="19" t="str">
        <f aca="false">IF(OR($A545="",INDEX(_LEITURA!$Q$2:$Q$21,18)=0),"",SUMIFS(DECKS!$D$2:$D$1201,DECKS!$A$2:$A$1201,INDEX(_LEITURA!$P$2:$P$21,18),DECKS!$B$2:$B$1201,$A545))</f>
        <v/>
      </c>
      <c r="AC545" s="19" t="str">
        <f aca="false">IF(OR($A545="",INDEX(_LEITURA!$Q$2:$Q$21,19)=0),"",SUMIFS(DECKS!$D$2:$D$1201,DECKS!$A$2:$A$1201,INDEX(_LEITURA!$P$2:$P$21,19),DECKS!$B$2:$B$1201,$A545))</f>
        <v/>
      </c>
      <c r="AD545" s="19" t="str">
        <f aca="false">IF(OR($A545="",INDEX(_LEITURA!$Q$2:$Q$21,20)=0),"",SUMIFS(DECKS!$D$2:$D$1201,DECKS!$A$2:$A$1201,INDEX(_LEITURA!$P$2:$P$21,20),DECKS!$B$2:$B$1201,$A545))</f>
        <v/>
      </c>
      <c r="AE545" s="16" t="str">
        <f aca="false">IF(N(E545)&gt;0,MAX(AE$1:AE544)+1,"")</f>
        <v/>
      </c>
      <c r="AF545" s="11" t="str">
        <f aca="false">IF(A545="","",IFERROR(LEFT(A545,FIND("-",A545)-1),A545))</f>
        <v/>
      </c>
      <c r="AG545" s="11" t="str">
        <f aca="false">IF(AF545="","",IF(ISNUMBER(--MID(AF545,1,1)),0,IF(ISNUMBER(--MID(AF545,2,1)),1,IF(ISNUMBER(--MID(AF545,3,1)),2,IF(ISNUMBER(--MID(AF545,4,1)),3,MIN(LEN(AF545),4))))))</f>
        <v/>
      </c>
      <c r="AH545" s="11" t="str">
        <f aca="false">IF(A545="","",LEFT(AF545,AG545)&amp;REPT("0",4-AG545)&amp;RIGHT("000"&amp;IFERROR(VALUE(MID(AF545,AG545+1,9)),0),3)&amp;RIGHT("0000"&amp;IFERROR(VALUE(MID(A545,FIND("-",A545)+1,9)),0),4))</f>
        <v/>
      </c>
      <c r="AI545" s="11" t="str">
        <f aca="false">IF(OR(A545="",N(E545)&lt;=0),"",IF('FALTAS GERAL'!$M$1="Código","K"&amp;AH545&amp;RIGHT("00000"&amp;ROW(),5),IF('FALTAS GERAL'!$M$1="Nome","K"&amp;UPPER(SUBSTITUTE(SUBSTITUTE(SUBSTITUTE(B545,"*",""),"?",""),"~",""))&amp;"0"&amp;AH545&amp;RIGHT("00000"&amp;ROW(),5),IF('FALTAS GERAL'!$M$1="Falta (maior primeiro)","K"&amp;RIGHT("0000"&amp;(9999-E545),4)&amp;AH545&amp;RIGHT("00000"&amp;ROW(),5),IF('FALTAS GERAL'!$M$1="Nº de decks (maior primeiro)","K"&amp;RIGHT("00"&amp;(99-N(G545)),2)&amp;AH545&amp;RIGHT("00000"&amp;ROW(),5),"K"&amp;RIGHT("00000"&amp;ROW(),5))))))</f>
        <v/>
      </c>
      <c r="AJ545" s="11" t="str">
        <f aca="false">IF(AI545="","",COUNTIFS($AI$2:$AI$801,"&lt;"&amp;AI545,$E$2:$E$801,"&gt;0")+1)</f>
        <v/>
      </c>
      <c r="AK545" s="11" t="str">
        <f aca="false">IF(OR(A545="",N(E545)&lt;=0),"",COUNTIFS($AH$2:$AH$801,"&lt;"&amp;AH545,$E$2:$E$801,"&gt;0")+COUNTIFS($AH$2:AH545,AH545,$E$2:E545,"&gt;0"))</f>
        <v/>
      </c>
    </row>
    <row r="546" customFormat="false" ht="15" hidden="false" customHeight="false" outlineLevel="0" collapsed="false">
      <c r="A546" s="11" t="str">
        <f aca="false">IF(INVENTÁRIO!A546="","",INVENTÁRIO!A546)</f>
        <v/>
      </c>
      <c r="B546" s="11" t="str">
        <f aca="false">IF(A546="","",INVENTÁRIO!B546)</f>
        <v/>
      </c>
      <c r="C546" s="16" t="str">
        <f aca="false">IF(A546="","",INVENTÁRIO!C546)</f>
        <v/>
      </c>
      <c r="D546" s="14" t="str">
        <f aca="false">IF(A546="","",MAX(K546:AD546))</f>
        <v/>
      </c>
      <c r="E546" s="14" t="str">
        <f aca="false">IF(A546="","",MAX(0,D546-C546))</f>
        <v/>
      </c>
      <c r="F546" s="16" t="str">
        <f aca="false">IF(A546="","",IF(D546=0,"Fora dos decks",IF(E546=0,"Completo","Falta")))</f>
        <v/>
      </c>
      <c r="G546" s="16" t="str">
        <f aca="false">IF(A546="","",COUNTIF(K546:AD546,"&gt;0"))</f>
        <v/>
      </c>
      <c r="H546" s="16" t="str">
        <f aca="false">IF(A546="","",IF(G546&gt;1,"Sim",""))</f>
        <v/>
      </c>
      <c r="I546" s="18" t="str">
        <f aca="false">IF(A546="","",SUMIFS(DECKS!$D$2:$D$1201,DECKS!$B$2:$B$1201,A546))</f>
        <v/>
      </c>
      <c r="J546" s="18" t="str">
        <f aca="false">IF(A546="","",MAX(0,I546-C546))</f>
        <v/>
      </c>
      <c r="K546" s="19" t="str">
        <f aca="false">IF(OR($A546="",INDEX(_LEITURA!$Q$2:$Q$21,1)=0),"",SUMIFS(DECKS!$D$2:$D$1201,DECKS!$A$2:$A$1201,INDEX(_LEITURA!$P$2:$P$21,1),DECKS!$B$2:$B$1201,$A546))</f>
        <v/>
      </c>
      <c r="L546" s="19" t="str">
        <f aca="false">IF(OR($A546="",INDEX(_LEITURA!$Q$2:$Q$21,2)=0),"",SUMIFS(DECKS!$D$2:$D$1201,DECKS!$A$2:$A$1201,INDEX(_LEITURA!$P$2:$P$21,2),DECKS!$B$2:$B$1201,$A546))</f>
        <v/>
      </c>
      <c r="M546" s="19" t="str">
        <f aca="false">IF(OR($A546="",INDEX(_LEITURA!$Q$2:$Q$21,3)=0),"",SUMIFS(DECKS!$D$2:$D$1201,DECKS!$A$2:$A$1201,INDEX(_LEITURA!$P$2:$P$21,3),DECKS!$B$2:$B$1201,$A546))</f>
        <v/>
      </c>
      <c r="N546" s="19" t="str">
        <f aca="false">IF(OR($A546="",INDEX(_LEITURA!$Q$2:$Q$21,4)=0),"",SUMIFS(DECKS!$D$2:$D$1201,DECKS!$A$2:$A$1201,INDEX(_LEITURA!$P$2:$P$21,4),DECKS!$B$2:$B$1201,$A546))</f>
        <v/>
      </c>
      <c r="O546" s="19" t="str">
        <f aca="false">IF(OR($A546="",INDEX(_LEITURA!$Q$2:$Q$21,5)=0),"",SUMIFS(DECKS!$D$2:$D$1201,DECKS!$A$2:$A$1201,INDEX(_LEITURA!$P$2:$P$21,5),DECKS!$B$2:$B$1201,$A546))</f>
        <v/>
      </c>
      <c r="P546" s="19" t="str">
        <f aca="false">IF(OR($A546="",INDEX(_LEITURA!$Q$2:$Q$21,6)=0),"",SUMIFS(DECKS!$D$2:$D$1201,DECKS!$A$2:$A$1201,INDEX(_LEITURA!$P$2:$P$21,6),DECKS!$B$2:$B$1201,$A546))</f>
        <v/>
      </c>
      <c r="Q546" s="19" t="str">
        <f aca="false">IF(OR($A546="",INDEX(_LEITURA!$Q$2:$Q$21,7)=0),"",SUMIFS(DECKS!$D$2:$D$1201,DECKS!$A$2:$A$1201,INDEX(_LEITURA!$P$2:$P$21,7),DECKS!$B$2:$B$1201,$A546))</f>
        <v/>
      </c>
      <c r="R546" s="19" t="str">
        <f aca="false">IF(OR($A546="",INDEX(_LEITURA!$Q$2:$Q$21,8)=0),"",SUMIFS(DECKS!$D$2:$D$1201,DECKS!$A$2:$A$1201,INDEX(_LEITURA!$P$2:$P$21,8),DECKS!$B$2:$B$1201,$A546))</f>
        <v/>
      </c>
      <c r="S546" s="19" t="str">
        <f aca="false">IF(OR($A546="",INDEX(_LEITURA!$Q$2:$Q$21,9)=0),"",SUMIFS(DECKS!$D$2:$D$1201,DECKS!$A$2:$A$1201,INDEX(_LEITURA!$P$2:$P$21,9),DECKS!$B$2:$B$1201,$A546))</f>
        <v/>
      </c>
      <c r="T546" s="19" t="str">
        <f aca="false">IF(OR($A546="",INDEX(_LEITURA!$Q$2:$Q$21,10)=0),"",SUMIFS(DECKS!$D$2:$D$1201,DECKS!$A$2:$A$1201,INDEX(_LEITURA!$P$2:$P$21,10),DECKS!$B$2:$B$1201,$A546))</f>
        <v/>
      </c>
      <c r="U546" s="19" t="str">
        <f aca="false">IF(OR($A546="",INDEX(_LEITURA!$Q$2:$Q$21,11)=0),"",SUMIFS(DECKS!$D$2:$D$1201,DECKS!$A$2:$A$1201,INDEX(_LEITURA!$P$2:$P$21,11),DECKS!$B$2:$B$1201,$A546))</f>
        <v/>
      </c>
      <c r="V546" s="19" t="str">
        <f aca="false">IF(OR($A546="",INDEX(_LEITURA!$Q$2:$Q$21,12)=0),"",SUMIFS(DECKS!$D$2:$D$1201,DECKS!$A$2:$A$1201,INDEX(_LEITURA!$P$2:$P$21,12),DECKS!$B$2:$B$1201,$A546))</f>
        <v/>
      </c>
      <c r="W546" s="19" t="str">
        <f aca="false">IF(OR($A546="",INDEX(_LEITURA!$Q$2:$Q$21,13)=0),"",SUMIFS(DECKS!$D$2:$D$1201,DECKS!$A$2:$A$1201,INDEX(_LEITURA!$P$2:$P$21,13),DECKS!$B$2:$B$1201,$A546))</f>
        <v/>
      </c>
      <c r="X546" s="19" t="str">
        <f aca="false">IF(OR($A546="",INDEX(_LEITURA!$Q$2:$Q$21,14)=0),"",SUMIFS(DECKS!$D$2:$D$1201,DECKS!$A$2:$A$1201,INDEX(_LEITURA!$P$2:$P$21,14),DECKS!$B$2:$B$1201,$A546))</f>
        <v/>
      </c>
      <c r="Y546" s="19" t="str">
        <f aca="false">IF(OR($A546="",INDEX(_LEITURA!$Q$2:$Q$21,15)=0),"",SUMIFS(DECKS!$D$2:$D$1201,DECKS!$A$2:$A$1201,INDEX(_LEITURA!$P$2:$P$21,15),DECKS!$B$2:$B$1201,$A546))</f>
        <v/>
      </c>
      <c r="Z546" s="19" t="str">
        <f aca="false">IF(OR($A546="",INDEX(_LEITURA!$Q$2:$Q$21,16)=0),"",SUMIFS(DECKS!$D$2:$D$1201,DECKS!$A$2:$A$1201,INDEX(_LEITURA!$P$2:$P$21,16),DECKS!$B$2:$B$1201,$A546))</f>
        <v/>
      </c>
      <c r="AA546" s="19" t="str">
        <f aca="false">IF(OR($A546="",INDEX(_LEITURA!$Q$2:$Q$21,17)=0),"",SUMIFS(DECKS!$D$2:$D$1201,DECKS!$A$2:$A$1201,INDEX(_LEITURA!$P$2:$P$21,17),DECKS!$B$2:$B$1201,$A546))</f>
        <v/>
      </c>
      <c r="AB546" s="19" t="str">
        <f aca="false">IF(OR($A546="",INDEX(_LEITURA!$Q$2:$Q$21,18)=0),"",SUMIFS(DECKS!$D$2:$D$1201,DECKS!$A$2:$A$1201,INDEX(_LEITURA!$P$2:$P$21,18),DECKS!$B$2:$B$1201,$A546))</f>
        <v/>
      </c>
      <c r="AC546" s="19" t="str">
        <f aca="false">IF(OR($A546="",INDEX(_LEITURA!$Q$2:$Q$21,19)=0),"",SUMIFS(DECKS!$D$2:$D$1201,DECKS!$A$2:$A$1201,INDEX(_LEITURA!$P$2:$P$21,19),DECKS!$B$2:$B$1201,$A546))</f>
        <v/>
      </c>
      <c r="AD546" s="19" t="str">
        <f aca="false">IF(OR($A546="",INDEX(_LEITURA!$Q$2:$Q$21,20)=0),"",SUMIFS(DECKS!$D$2:$D$1201,DECKS!$A$2:$A$1201,INDEX(_LEITURA!$P$2:$P$21,20),DECKS!$B$2:$B$1201,$A546))</f>
        <v/>
      </c>
      <c r="AE546" s="16" t="str">
        <f aca="false">IF(N(E546)&gt;0,MAX(AE$1:AE545)+1,"")</f>
        <v/>
      </c>
      <c r="AF546" s="11" t="str">
        <f aca="false">IF(A546="","",IFERROR(LEFT(A546,FIND("-",A546)-1),A546))</f>
        <v/>
      </c>
      <c r="AG546" s="11" t="str">
        <f aca="false">IF(AF546="","",IF(ISNUMBER(--MID(AF546,1,1)),0,IF(ISNUMBER(--MID(AF546,2,1)),1,IF(ISNUMBER(--MID(AF546,3,1)),2,IF(ISNUMBER(--MID(AF546,4,1)),3,MIN(LEN(AF546),4))))))</f>
        <v/>
      </c>
      <c r="AH546" s="11" t="str">
        <f aca="false">IF(A546="","",LEFT(AF546,AG546)&amp;REPT("0",4-AG546)&amp;RIGHT("000"&amp;IFERROR(VALUE(MID(AF546,AG546+1,9)),0),3)&amp;RIGHT("0000"&amp;IFERROR(VALUE(MID(A546,FIND("-",A546)+1,9)),0),4))</f>
        <v/>
      </c>
      <c r="AI546" s="11" t="str">
        <f aca="false">IF(OR(A546="",N(E546)&lt;=0),"",IF('FALTAS GERAL'!$M$1="Código","K"&amp;AH546&amp;RIGHT("00000"&amp;ROW(),5),IF('FALTAS GERAL'!$M$1="Nome","K"&amp;UPPER(SUBSTITUTE(SUBSTITUTE(SUBSTITUTE(B546,"*",""),"?",""),"~",""))&amp;"0"&amp;AH546&amp;RIGHT("00000"&amp;ROW(),5),IF('FALTAS GERAL'!$M$1="Falta (maior primeiro)","K"&amp;RIGHT("0000"&amp;(9999-E546),4)&amp;AH546&amp;RIGHT("00000"&amp;ROW(),5),IF('FALTAS GERAL'!$M$1="Nº de decks (maior primeiro)","K"&amp;RIGHT("00"&amp;(99-N(G546)),2)&amp;AH546&amp;RIGHT("00000"&amp;ROW(),5),"K"&amp;RIGHT("00000"&amp;ROW(),5))))))</f>
        <v/>
      </c>
      <c r="AJ546" s="11" t="str">
        <f aca="false">IF(AI546="","",COUNTIFS($AI$2:$AI$801,"&lt;"&amp;AI546,$E$2:$E$801,"&gt;0")+1)</f>
        <v/>
      </c>
      <c r="AK546" s="11" t="str">
        <f aca="false">IF(OR(A546="",N(E546)&lt;=0),"",COUNTIFS($AH$2:$AH$801,"&lt;"&amp;AH546,$E$2:$E$801,"&gt;0")+COUNTIFS($AH$2:AH546,AH546,$E$2:E546,"&gt;0"))</f>
        <v/>
      </c>
    </row>
    <row r="547" customFormat="false" ht="15" hidden="false" customHeight="false" outlineLevel="0" collapsed="false">
      <c r="A547" s="11" t="str">
        <f aca="false">IF(INVENTÁRIO!A547="","",INVENTÁRIO!A547)</f>
        <v/>
      </c>
      <c r="B547" s="11" t="str">
        <f aca="false">IF(A547="","",INVENTÁRIO!B547)</f>
        <v/>
      </c>
      <c r="C547" s="16" t="str">
        <f aca="false">IF(A547="","",INVENTÁRIO!C547)</f>
        <v/>
      </c>
      <c r="D547" s="14" t="str">
        <f aca="false">IF(A547="","",MAX(K547:AD547))</f>
        <v/>
      </c>
      <c r="E547" s="14" t="str">
        <f aca="false">IF(A547="","",MAX(0,D547-C547))</f>
        <v/>
      </c>
      <c r="F547" s="16" t="str">
        <f aca="false">IF(A547="","",IF(D547=0,"Fora dos decks",IF(E547=0,"Completo","Falta")))</f>
        <v/>
      </c>
      <c r="G547" s="16" t="str">
        <f aca="false">IF(A547="","",COUNTIF(K547:AD547,"&gt;0"))</f>
        <v/>
      </c>
      <c r="H547" s="16" t="str">
        <f aca="false">IF(A547="","",IF(G547&gt;1,"Sim",""))</f>
        <v/>
      </c>
      <c r="I547" s="18" t="str">
        <f aca="false">IF(A547="","",SUMIFS(DECKS!$D$2:$D$1201,DECKS!$B$2:$B$1201,A547))</f>
        <v/>
      </c>
      <c r="J547" s="18" t="str">
        <f aca="false">IF(A547="","",MAX(0,I547-C547))</f>
        <v/>
      </c>
      <c r="K547" s="19" t="str">
        <f aca="false">IF(OR($A547="",INDEX(_LEITURA!$Q$2:$Q$21,1)=0),"",SUMIFS(DECKS!$D$2:$D$1201,DECKS!$A$2:$A$1201,INDEX(_LEITURA!$P$2:$P$21,1),DECKS!$B$2:$B$1201,$A547))</f>
        <v/>
      </c>
      <c r="L547" s="19" t="str">
        <f aca="false">IF(OR($A547="",INDEX(_LEITURA!$Q$2:$Q$21,2)=0),"",SUMIFS(DECKS!$D$2:$D$1201,DECKS!$A$2:$A$1201,INDEX(_LEITURA!$P$2:$P$21,2),DECKS!$B$2:$B$1201,$A547))</f>
        <v/>
      </c>
      <c r="M547" s="19" t="str">
        <f aca="false">IF(OR($A547="",INDEX(_LEITURA!$Q$2:$Q$21,3)=0),"",SUMIFS(DECKS!$D$2:$D$1201,DECKS!$A$2:$A$1201,INDEX(_LEITURA!$P$2:$P$21,3),DECKS!$B$2:$B$1201,$A547))</f>
        <v/>
      </c>
      <c r="N547" s="19" t="str">
        <f aca="false">IF(OR($A547="",INDEX(_LEITURA!$Q$2:$Q$21,4)=0),"",SUMIFS(DECKS!$D$2:$D$1201,DECKS!$A$2:$A$1201,INDEX(_LEITURA!$P$2:$P$21,4),DECKS!$B$2:$B$1201,$A547))</f>
        <v/>
      </c>
      <c r="O547" s="19" t="str">
        <f aca="false">IF(OR($A547="",INDEX(_LEITURA!$Q$2:$Q$21,5)=0),"",SUMIFS(DECKS!$D$2:$D$1201,DECKS!$A$2:$A$1201,INDEX(_LEITURA!$P$2:$P$21,5),DECKS!$B$2:$B$1201,$A547))</f>
        <v/>
      </c>
      <c r="P547" s="19" t="str">
        <f aca="false">IF(OR($A547="",INDEX(_LEITURA!$Q$2:$Q$21,6)=0),"",SUMIFS(DECKS!$D$2:$D$1201,DECKS!$A$2:$A$1201,INDEX(_LEITURA!$P$2:$P$21,6),DECKS!$B$2:$B$1201,$A547))</f>
        <v/>
      </c>
      <c r="Q547" s="19" t="str">
        <f aca="false">IF(OR($A547="",INDEX(_LEITURA!$Q$2:$Q$21,7)=0),"",SUMIFS(DECKS!$D$2:$D$1201,DECKS!$A$2:$A$1201,INDEX(_LEITURA!$P$2:$P$21,7),DECKS!$B$2:$B$1201,$A547))</f>
        <v/>
      </c>
      <c r="R547" s="19" t="str">
        <f aca="false">IF(OR($A547="",INDEX(_LEITURA!$Q$2:$Q$21,8)=0),"",SUMIFS(DECKS!$D$2:$D$1201,DECKS!$A$2:$A$1201,INDEX(_LEITURA!$P$2:$P$21,8),DECKS!$B$2:$B$1201,$A547))</f>
        <v/>
      </c>
      <c r="S547" s="19" t="str">
        <f aca="false">IF(OR($A547="",INDEX(_LEITURA!$Q$2:$Q$21,9)=0),"",SUMIFS(DECKS!$D$2:$D$1201,DECKS!$A$2:$A$1201,INDEX(_LEITURA!$P$2:$P$21,9),DECKS!$B$2:$B$1201,$A547))</f>
        <v/>
      </c>
      <c r="T547" s="19" t="str">
        <f aca="false">IF(OR($A547="",INDEX(_LEITURA!$Q$2:$Q$21,10)=0),"",SUMIFS(DECKS!$D$2:$D$1201,DECKS!$A$2:$A$1201,INDEX(_LEITURA!$P$2:$P$21,10),DECKS!$B$2:$B$1201,$A547))</f>
        <v/>
      </c>
      <c r="U547" s="19" t="str">
        <f aca="false">IF(OR($A547="",INDEX(_LEITURA!$Q$2:$Q$21,11)=0),"",SUMIFS(DECKS!$D$2:$D$1201,DECKS!$A$2:$A$1201,INDEX(_LEITURA!$P$2:$P$21,11),DECKS!$B$2:$B$1201,$A547))</f>
        <v/>
      </c>
      <c r="V547" s="19" t="str">
        <f aca="false">IF(OR($A547="",INDEX(_LEITURA!$Q$2:$Q$21,12)=0),"",SUMIFS(DECKS!$D$2:$D$1201,DECKS!$A$2:$A$1201,INDEX(_LEITURA!$P$2:$P$21,12),DECKS!$B$2:$B$1201,$A547))</f>
        <v/>
      </c>
      <c r="W547" s="19" t="str">
        <f aca="false">IF(OR($A547="",INDEX(_LEITURA!$Q$2:$Q$21,13)=0),"",SUMIFS(DECKS!$D$2:$D$1201,DECKS!$A$2:$A$1201,INDEX(_LEITURA!$P$2:$P$21,13),DECKS!$B$2:$B$1201,$A547))</f>
        <v/>
      </c>
      <c r="X547" s="19" t="str">
        <f aca="false">IF(OR($A547="",INDEX(_LEITURA!$Q$2:$Q$21,14)=0),"",SUMIFS(DECKS!$D$2:$D$1201,DECKS!$A$2:$A$1201,INDEX(_LEITURA!$P$2:$P$21,14),DECKS!$B$2:$B$1201,$A547))</f>
        <v/>
      </c>
      <c r="Y547" s="19" t="str">
        <f aca="false">IF(OR($A547="",INDEX(_LEITURA!$Q$2:$Q$21,15)=0),"",SUMIFS(DECKS!$D$2:$D$1201,DECKS!$A$2:$A$1201,INDEX(_LEITURA!$P$2:$P$21,15),DECKS!$B$2:$B$1201,$A547))</f>
        <v/>
      </c>
      <c r="Z547" s="19" t="str">
        <f aca="false">IF(OR($A547="",INDEX(_LEITURA!$Q$2:$Q$21,16)=0),"",SUMIFS(DECKS!$D$2:$D$1201,DECKS!$A$2:$A$1201,INDEX(_LEITURA!$P$2:$P$21,16),DECKS!$B$2:$B$1201,$A547))</f>
        <v/>
      </c>
      <c r="AA547" s="19" t="str">
        <f aca="false">IF(OR($A547="",INDEX(_LEITURA!$Q$2:$Q$21,17)=0),"",SUMIFS(DECKS!$D$2:$D$1201,DECKS!$A$2:$A$1201,INDEX(_LEITURA!$P$2:$P$21,17),DECKS!$B$2:$B$1201,$A547))</f>
        <v/>
      </c>
      <c r="AB547" s="19" t="str">
        <f aca="false">IF(OR($A547="",INDEX(_LEITURA!$Q$2:$Q$21,18)=0),"",SUMIFS(DECKS!$D$2:$D$1201,DECKS!$A$2:$A$1201,INDEX(_LEITURA!$P$2:$P$21,18),DECKS!$B$2:$B$1201,$A547))</f>
        <v/>
      </c>
      <c r="AC547" s="19" t="str">
        <f aca="false">IF(OR($A547="",INDEX(_LEITURA!$Q$2:$Q$21,19)=0),"",SUMIFS(DECKS!$D$2:$D$1201,DECKS!$A$2:$A$1201,INDEX(_LEITURA!$P$2:$P$21,19),DECKS!$B$2:$B$1201,$A547))</f>
        <v/>
      </c>
      <c r="AD547" s="19" t="str">
        <f aca="false">IF(OR($A547="",INDEX(_LEITURA!$Q$2:$Q$21,20)=0),"",SUMIFS(DECKS!$D$2:$D$1201,DECKS!$A$2:$A$1201,INDEX(_LEITURA!$P$2:$P$21,20),DECKS!$B$2:$B$1201,$A547))</f>
        <v/>
      </c>
      <c r="AE547" s="16" t="str">
        <f aca="false">IF(N(E547)&gt;0,MAX(AE$1:AE546)+1,"")</f>
        <v/>
      </c>
      <c r="AF547" s="11" t="str">
        <f aca="false">IF(A547="","",IFERROR(LEFT(A547,FIND("-",A547)-1),A547))</f>
        <v/>
      </c>
      <c r="AG547" s="11" t="str">
        <f aca="false">IF(AF547="","",IF(ISNUMBER(--MID(AF547,1,1)),0,IF(ISNUMBER(--MID(AF547,2,1)),1,IF(ISNUMBER(--MID(AF547,3,1)),2,IF(ISNUMBER(--MID(AF547,4,1)),3,MIN(LEN(AF547),4))))))</f>
        <v/>
      </c>
      <c r="AH547" s="11" t="str">
        <f aca="false">IF(A547="","",LEFT(AF547,AG547)&amp;REPT("0",4-AG547)&amp;RIGHT("000"&amp;IFERROR(VALUE(MID(AF547,AG547+1,9)),0),3)&amp;RIGHT("0000"&amp;IFERROR(VALUE(MID(A547,FIND("-",A547)+1,9)),0),4))</f>
        <v/>
      </c>
      <c r="AI547" s="11" t="str">
        <f aca="false">IF(OR(A547="",N(E547)&lt;=0),"",IF('FALTAS GERAL'!$M$1="Código","K"&amp;AH547&amp;RIGHT("00000"&amp;ROW(),5),IF('FALTAS GERAL'!$M$1="Nome","K"&amp;UPPER(SUBSTITUTE(SUBSTITUTE(SUBSTITUTE(B547,"*",""),"?",""),"~",""))&amp;"0"&amp;AH547&amp;RIGHT("00000"&amp;ROW(),5),IF('FALTAS GERAL'!$M$1="Falta (maior primeiro)","K"&amp;RIGHT("0000"&amp;(9999-E547),4)&amp;AH547&amp;RIGHT("00000"&amp;ROW(),5),IF('FALTAS GERAL'!$M$1="Nº de decks (maior primeiro)","K"&amp;RIGHT("00"&amp;(99-N(G547)),2)&amp;AH547&amp;RIGHT("00000"&amp;ROW(),5),"K"&amp;RIGHT("00000"&amp;ROW(),5))))))</f>
        <v/>
      </c>
      <c r="AJ547" s="11" t="str">
        <f aca="false">IF(AI547="","",COUNTIFS($AI$2:$AI$801,"&lt;"&amp;AI547,$E$2:$E$801,"&gt;0")+1)</f>
        <v/>
      </c>
      <c r="AK547" s="11" t="str">
        <f aca="false">IF(OR(A547="",N(E547)&lt;=0),"",COUNTIFS($AH$2:$AH$801,"&lt;"&amp;AH547,$E$2:$E$801,"&gt;0")+COUNTIFS($AH$2:AH547,AH547,$E$2:E547,"&gt;0"))</f>
        <v/>
      </c>
    </row>
    <row r="548" customFormat="false" ht="15" hidden="false" customHeight="false" outlineLevel="0" collapsed="false">
      <c r="A548" s="11" t="str">
        <f aca="false">IF(INVENTÁRIO!A548="","",INVENTÁRIO!A548)</f>
        <v/>
      </c>
      <c r="B548" s="11" t="str">
        <f aca="false">IF(A548="","",INVENTÁRIO!B548)</f>
        <v/>
      </c>
      <c r="C548" s="16" t="str">
        <f aca="false">IF(A548="","",INVENTÁRIO!C548)</f>
        <v/>
      </c>
      <c r="D548" s="14" t="str">
        <f aca="false">IF(A548="","",MAX(K548:AD548))</f>
        <v/>
      </c>
      <c r="E548" s="14" t="str">
        <f aca="false">IF(A548="","",MAX(0,D548-C548))</f>
        <v/>
      </c>
      <c r="F548" s="16" t="str">
        <f aca="false">IF(A548="","",IF(D548=0,"Fora dos decks",IF(E548=0,"Completo","Falta")))</f>
        <v/>
      </c>
      <c r="G548" s="16" t="str">
        <f aca="false">IF(A548="","",COUNTIF(K548:AD548,"&gt;0"))</f>
        <v/>
      </c>
      <c r="H548" s="16" t="str">
        <f aca="false">IF(A548="","",IF(G548&gt;1,"Sim",""))</f>
        <v/>
      </c>
      <c r="I548" s="18" t="str">
        <f aca="false">IF(A548="","",SUMIFS(DECKS!$D$2:$D$1201,DECKS!$B$2:$B$1201,A548))</f>
        <v/>
      </c>
      <c r="J548" s="18" t="str">
        <f aca="false">IF(A548="","",MAX(0,I548-C548))</f>
        <v/>
      </c>
      <c r="K548" s="19" t="str">
        <f aca="false">IF(OR($A548="",INDEX(_LEITURA!$Q$2:$Q$21,1)=0),"",SUMIFS(DECKS!$D$2:$D$1201,DECKS!$A$2:$A$1201,INDEX(_LEITURA!$P$2:$P$21,1),DECKS!$B$2:$B$1201,$A548))</f>
        <v/>
      </c>
      <c r="L548" s="19" t="str">
        <f aca="false">IF(OR($A548="",INDEX(_LEITURA!$Q$2:$Q$21,2)=0),"",SUMIFS(DECKS!$D$2:$D$1201,DECKS!$A$2:$A$1201,INDEX(_LEITURA!$P$2:$P$21,2),DECKS!$B$2:$B$1201,$A548))</f>
        <v/>
      </c>
      <c r="M548" s="19" t="str">
        <f aca="false">IF(OR($A548="",INDEX(_LEITURA!$Q$2:$Q$21,3)=0),"",SUMIFS(DECKS!$D$2:$D$1201,DECKS!$A$2:$A$1201,INDEX(_LEITURA!$P$2:$P$21,3),DECKS!$B$2:$B$1201,$A548))</f>
        <v/>
      </c>
      <c r="N548" s="19" t="str">
        <f aca="false">IF(OR($A548="",INDEX(_LEITURA!$Q$2:$Q$21,4)=0),"",SUMIFS(DECKS!$D$2:$D$1201,DECKS!$A$2:$A$1201,INDEX(_LEITURA!$P$2:$P$21,4),DECKS!$B$2:$B$1201,$A548))</f>
        <v/>
      </c>
      <c r="O548" s="19" t="str">
        <f aca="false">IF(OR($A548="",INDEX(_LEITURA!$Q$2:$Q$21,5)=0),"",SUMIFS(DECKS!$D$2:$D$1201,DECKS!$A$2:$A$1201,INDEX(_LEITURA!$P$2:$P$21,5),DECKS!$B$2:$B$1201,$A548))</f>
        <v/>
      </c>
      <c r="P548" s="19" t="str">
        <f aca="false">IF(OR($A548="",INDEX(_LEITURA!$Q$2:$Q$21,6)=0),"",SUMIFS(DECKS!$D$2:$D$1201,DECKS!$A$2:$A$1201,INDEX(_LEITURA!$P$2:$P$21,6),DECKS!$B$2:$B$1201,$A548))</f>
        <v/>
      </c>
      <c r="Q548" s="19" t="str">
        <f aca="false">IF(OR($A548="",INDEX(_LEITURA!$Q$2:$Q$21,7)=0),"",SUMIFS(DECKS!$D$2:$D$1201,DECKS!$A$2:$A$1201,INDEX(_LEITURA!$P$2:$P$21,7),DECKS!$B$2:$B$1201,$A548))</f>
        <v/>
      </c>
      <c r="R548" s="19" t="str">
        <f aca="false">IF(OR($A548="",INDEX(_LEITURA!$Q$2:$Q$21,8)=0),"",SUMIFS(DECKS!$D$2:$D$1201,DECKS!$A$2:$A$1201,INDEX(_LEITURA!$P$2:$P$21,8),DECKS!$B$2:$B$1201,$A548))</f>
        <v/>
      </c>
      <c r="S548" s="19" t="str">
        <f aca="false">IF(OR($A548="",INDEX(_LEITURA!$Q$2:$Q$21,9)=0),"",SUMIFS(DECKS!$D$2:$D$1201,DECKS!$A$2:$A$1201,INDEX(_LEITURA!$P$2:$P$21,9),DECKS!$B$2:$B$1201,$A548))</f>
        <v/>
      </c>
      <c r="T548" s="19" t="str">
        <f aca="false">IF(OR($A548="",INDEX(_LEITURA!$Q$2:$Q$21,10)=0),"",SUMIFS(DECKS!$D$2:$D$1201,DECKS!$A$2:$A$1201,INDEX(_LEITURA!$P$2:$P$21,10),DECKS!$B$2:$B$1201,$A548))</f>
        <v/>
      </c>
      <c r="U548" s="19" t="str">
        <f aca="false">IF(OR($A548="",INDEX(_LEITURA!$Q$2:$Q$21,11)=0),"",SUMIFS(DECKS!$D$2:$D$1201,DECKS!$A$2:$A$1201,INDEX(_LEITURA!$P$2:$P$21,11),DECKS!$B$2:$B$1201,$A548))</f>
        <v/>
      </c>
      <c r="V548" s="19" t="str">
        <f aca="false">IF(OR($A548="",INDEX(_LEITURA!$Q$2:$Q$21,12)=0),"",SUMIFS(DECKS!$D$2:$D$1201,DECKS!$A$2:$A$1201,INDEX(_LEITURA!$P$2:$P$21,12),DECKS!$B$2:$B$1201,$A548))</f>
        <v/>
      </c>
      <c r="W548" s="19" t="str">
        <f aca="false">IF(OR($A548="",INDEX(_LEITURA!$Q$2:$Q$21,13)=0),"",SUMIFS(DECKS!$D$2:$D$1201,DECKS!$A$2:$A$1201,INDEX(_LEITURA!$P$2:$P$21,13),DECKS!$B$2:$B$1201,$A548))</f>
        <v/>
      </c>
      <c r="X548" s="19" t="str">
        <f aca="false">IF(OR($A548="",INDEX(_LEITURA!$Q$2:$Q$21,14)=0),"",SUMIFS(DECKS!$D$2:$D$1201,DECKS!$A$2:$A$1201,INDEX(_LEITURA!$P$2:$P$21,14),DECKS!$B$2:$B$1201,$A548))</f>
        <v/>
      </c>
      <c r="Y548" s="19" t="str">
        <f aca="false">IF(OR($A548="",INDEX(_LEITURA!$Q$2:$Q$21,15)=0),"",SUMIFS(DECKS!$D$2:$D$1201,DECKS!$A$2:$A$1201,INDEX(_LEITURA!$P$2:$P$21,15),DECKS!$B$2:$B$1201,$A548))</f>
        <v/>
      </c>
      <c r="Z548" s="19" t="str">
        <f aca="false">IF(OR($A548="",INDEX(_LEITURA!$Q$2:$Q$21,16)=0),"",SUMIFS(DECKS!$D$2:$D$1201,DECKS!$A$2:$A$1201,INDEX(_LEITURA!$P$2:$P$21,16),DECKS!$B$2:$B$1201,$A548))</f>
        <v/>
      </c>
      <c r="AA548" s="19" t="str">
        <f aca="false">IF(OR($A548="",INDEX(_LEITURA!$Q$2:$Q$21,17)=0),"",SUMIFS(DECKS!$D$2:$D$1201,DECKS!$A$2:$A$1201,INDEX(_LEITURA!$P$2:$P$21,17),DECKS!$B$2:$B$1201,$A548))</f>
        <v/>
      </c>
      <c r="AB548" s="19" t="str">
        <f aca="false">IF(OR($A548="",INDEX(_LEITURA!$Q$2:$Q$21,18)=0),"",SUMIFS(DECKS!$D$2:$D$1201,DECKS!$A$2:$A$1201,INDEX(_LEITURA!$P$2:$P$21,18),DECKS!$B$2:$B$1201,$A548))</f>
        <v/>
      </c>
      <c r="AC548" s="19" t="str">
        <f aca="false">IF(OR($A548="",INDEX(_LEITURA!$Q$2:$Q$21,19)=0),"",SUMIFS(DECKS!$D$2:$D$1201,DECKS!$A$2:$A$1201,INDEX(_LEITURA!$P$2:$P$21,19),DECKS!$B$2:$B$1201,$A548))</f>
        <v/>
      </c>
      <c r="AD548" s="19" t="str">
        <f aca="false">IF(OR($A548="",INDEX(_LEITURA!$Q$2:$Q$21,20)=0),"",SUMIFS(DECKS!$D$2:$D$1201,DECKS!$A$2:$A$1201,INDEX(_LEITURA!$P$2:$P$21,20),DECKS!$B$2:$B$1201,$A548))</f>
        <v/>
      </c>
      <c r="AE548" s="16" t="str">
        <f aca="false">IF(N(E548)&gt;0,MAX(AE$1:AE547)+1,"")</f>
        <v/>
      </c>
      <c r="AF548" s="11" t="str">
        <f aca="false">IF(A548="","",IFERROR(LEFT(A548,FIND("-",A548)-1),A548))</f>
        <v/>
      </c>
      <c r="AG548" s="11" t="str">
        <f aca="false">IF(AF548="","",IF(ISNUMBER(--MID(AF548,1,1)),0,IF(ISNUMBER(--MID(AF548,2,1)),1,IF(ISNUMBER(--MID(AF548,3,1)),2,IF(ISNUMBER(--MID(AF548,4,1)),3,MIN(LEN(AF548),4))))))</f>
        <v/>
      </c>
      <c r="AH548" s="11" t="str">
        <f aca="false">IF(A548="","",LEFT(AF548,AG548)&amp;REPT("0",4-AG548)&amp;RIGHT("000"&amp;IFERROR(VALUE(MID(AF548,AG548+1,9)),0),3)&amp;RIGHT("0000"&amp;IFERROR(VALUE(MID(A548,FIND("-",A548)+1,9)),0),4))</f>
        <v/>
      </c>
      <c r="AI548" s="11" t="str">
        <f aca="false">IF(OR(A548="",N(E548)&lt;=0),"",IF('FALTAS GERAL'!$M$1="Código","K"&amp;AH548&amp;RIGHT("00000"&amp;ROW(),5),IF('FALTAS GERAL'!$M$1="Nome","K"&amp;UPPER(SUBSTITUTE(SUBSTITUTE(SUBSTITUTE(B548,"*",""),"?",""),"~",""))&amp;"0"&amp;AH548&amp;RIGHT("00000"&amp;ROW(),5),IF('FALTAS GERAL'!$M$1="Falta (maior primeiro)","K"&amp;RIGHT("0000"&amp;(9999-E548),4)&amp;AH548&amp;RIGHT("00000"&amp;ROW(),5),IF('FALTAS GERAL'!$M$1="Nº de decks (maior primeiro)","K"&amp;RIGHT("00"&amp;(99-N(G548)),2)&amp;AH548&amp;RIGHT("00000"&amp;ROW(),5),"K"&amp;RIGHT("00000"&amp;ROW(),5))))))</f>
        <v/>
      </c>
      <c r="AJ548" s="11" t="str">
        <f aca="false">IF(AI548="","",COUNTIFS($AI$2:$AI$801,"&lt;"&amp;AI548,$E$2:$E$801,"&gt;0")+1)</f>
        <v/>
      </c>
      <c r="AK548" s="11" t="str">
        <f aca="false">IF(OR(A548="",N(E548)&lt;=0),"",COUNTIFS($AH$2:$AH$801,"&lt;"&amp;AH548,$E$2:$E$801,"&gt;0")+COUNTIFS($AH$2:AH548,AH548,$E$2:E548,"&gt;0"))</f>
        <v/>
      </c>
    </row>
    <row r="549" customFormat="false" ht="15" hidden="false" customHeight="false" outlineLevel="0" collapsed="false">
      <c r="A549" s="11" t="str">
        <f aca="false">IF(INVENTÁRIO!A549="","",INVENTÁRIO!A549)</f>
        <v/>
      </c>
      <c r="B549" s="11" t="str">
        <f aca="false">IF(A549="","",INVENTÁRIO!B549)</f>
        <v/>
      </c>
      <c r="C549" s="16" t="str">
        <f aca="false">IF(A549="","",INVENTÁRIO!C549)</f>
        <v/>
      </c>
      <c r="D549" s="14" t="str">
        <f aca="false">IF(A549="","",MAX(K549:AD549))</f>
        <v/>
      </c>
      <c r="E549" s="14" t="str">
        <f aca="false">IF(A549="","",MAX(0,D549-C549))</f>
        <v/>
      </c>
      <c r="F549" s="16" t="str">
        <f aca="false">IF(A549="","",IF(D549=0,"Fora dos decks",IF(E549=0,"Completo","Falta")))</f>
        <v/>
      </c>
      <c r="G549" s="16" t="str">
        <f aca="false">IF(A549="","",COUNTIF(K549:AD549,"&gt;0"))</f>
        <v/>
      </c>
      <c r="H549" s="16" t="str">
        <f aca="false">IF(A549="","",IF(G549&gt;1,"Sim",""))</f>
        <v/>
      </c>
      <c r="I549" s="18" t="str">
        <f aca="false">IF(A549="","",SUMIFS(DECKS!$D$2:$D$1201,DECKS!$B$2:$B$1201,A549))</f>
        <v/>
      </c>
      <c r="J549" s="18" t="str">
        <f aca="false">IF(A549="","",MAX(0,I549-C549))</f>
        <v/>
      </c>
      <c r="K549" s="19" t="str">
        <f aca="false">IF(OR($A549="",INDEX(_LEITURA!$Q$2:$Q$21,1)=0),"",SUMIFS(DECKS!$D$2:$D$1201,DECKS!$A$2:$A$1201,INDEX(_LEITURA!$P$2:$P$21,1),DECKS!$B$2:$B$1201,$A549))</f>
        <v/>
      </c>
      <c r="L549" s="19" t="str">
        <f aca="false">IF(OR($A549="",INDEX(_LEITURA!$Q$2:$Q$21,2)=0),"",SUMIFS(DECKS!$D$2:$D$1201,DECKS!$A$2:$A$1201,INDEX(_LEITURA!$P$2:$P$21,2),DECKS!$B$2:$B$1201,$A549))</f>
        <v/>
      </c>
      <c r="M549" s="19" t="str">
        <f aca="false">IF(OR($A549="",INDEX(_LEITURA!$Q$2:$Q$21,3)=0),"",SUMIFS(DECKS!$D$2:$D$1201,DECKS!$A$2:$A$1201,INDEX(_LEITURA!$P$2:$P$21,3),DECKS!$B$2:$B$1201,$A549))</f>
        <v/>
      </c>
      <c r="N549" s="19" t="str">
        <f aca="false">IF(OR($A549="",INDEX(_LEITURA!$Q$2:$Q$21,4)=0),"",SUMIFS(DECKS!$D$2:$D$1201,DECKS!$A$2:$A$1201,INDEX(_LEITURA!$P$2:$P$21,4),DECKS!$B$2:$B$1201,$A549))</f>
        <v/>
      </c>
      <c r="O549" s="19" t="str">
        <f aca="false">IF(OR($A549="",INDEX(_LEITURA!$Q$2:$Q$21,5)=0),"",SUMIFS(DECKS!$D$2:$D$1201,DECKS!$A$2:$A$1201,INDEX(_LEITURA!$P$2:$P$21,5),DECKS!$B$2:$B$1201,$A549))</f>
        <v/>
      </c>
      <c r="P549" s="19" t="str">
        <f aca="false">IF(OR($A549="",INDEX(_LEITURA!$Q$2:$Q$21,6)=0),"",SUMIFS(DECKS!$D$2:$D$1201,DECKS!$A$2:$A$1201,INDEX(_LEITURA!$P$2:$P$21,6),DECKS!$B$2:$B$1201,$A549))</f>
        <v/>
      </c>
      <c r="Q549" s="19" t="str">
        <f aca="false">IF(OR($A549="",INDEX(_LEITURA!$Q$2:$Q$21,7)=0),"",SUMIFS(DECKS!$D$2:$D$1201,DECKS!$A$2:$A$1201,INDEX(_LEITURA!$P$2:$P$21,7),DECKS!$B$2:$B$1201,$A549))</f>
        <v/>
      </c>
      <c r="R549" s="19" t="str">
        <f aca="false">IF(OR($A549="",INDEX(_LEITURA!$Q$2:$Q$21,8)=0),"",SUMIFS(DECKS!$D$2:$D$1201,DECKS!$A$2:$A$1201,INDEX(_LEITURA!$P$2:$P$21,8),DECKS!$B$2:$B$1201,$A549))</f>
        <v/>
      </c>
      <c r="S549" s="19" t="str">
        <f aca="false">IF(OR($A549="",INDEX(_LEITURA!$Q$2:$Q$21,9)=0),"",SUMIFS(DECKS!$D$2:$D$1201,DECKS!$A$2:$A$1201,INDEX(_LEITURA!$P$2:$P$21,9),DECKS!$B$2:$B$1201,$A549))</f>
        <v/>
      </c>
      <c r="T549" s="19" t="str">
        <f aca="false">IF(OR($A549="",INDEX(_LEITURA!$Q$2:$Q$21,10)=0),"",SUMIFS(DECKS!$D$2:$D$1201,DECKS!$A$2:$A$1201,INDEX(_LEITURA!$P$2:$P$21,10),DECKS!$B$2:$B$1201,$A549))</f>
        <v/>
      </c>
      <c r="U549" s="19" t="str">
        <f aca="false">IF(OR($A549="",INDEX(_LEITURA!$Q$2:$Q$21,11)=0),"",SUMIFS(DECKS!$D$2:$D$1201,DECKS!$A$2:$A$1201,INDEX(_LEITURA!$P$2:$P$21,11),DECKS!$B$2:$B$1201,$A549))</f>
        <v/>
      </c>
      <c r="V549" s="19" t="str">
        <f aca="false">IF(OR($A549="",INDEX(_LEITURA!$Q$2:$Q$21,12)=0),"",SUMIFS(DECKS!$D$2:$D$1201,DECKS!$A$2:$A$1201,INDEX(_LEITURA!$P$2:$P$21,12),DECKS!$B$2:$B$1201,$A549))</f>
        <v/>
      </c>
      <c r="W549" s="19" t="str">
        <f aca="false">IF(OR($A549="",INDEX(_LEITURA!$Q$2:$Q$21,13)=0),"",SUMIFS(DECKS!$D$2:$D$1201,DECKS!$A$2:$A$1201,INDEX(_LEITURA!$P$2:$P$21,13),DECKS!$B$2:$B$1201,$A549))</f>
        <v/>
      </c>
      <c r="X549" s="19" t="str">
        <f aca="false">IF(OR($A549="",INDEX(_LEITURA!$Q$2:$Q$21,14)=0),"",SUMIFS(DECKS!$D$2:$D$1201,DECKS!$A$2:$A$1201,INDEX(_LEITURA!$P$2:$P$21,14),DECKS!$B$2:$B$1201,$A549))</f>
        <v/>
      </c>
      <c r="Y549" s="19" t="str">
        <f aca="false">IF(OR($A549="",INDEX(_LEITURA!$Q$2:$Q$21,15)=0),"",SUMIFS(DECKS!$D$2:$D$1201,DECKS!$A$2:$A$1201,INDEX(_LEITURA!$P$2:$P$21,15),DECKS!$B$2:$B$1201,$A549))</f>
        <v/>
      </c>
      <c r="Z549" s="19" t="str">
        <f aca="false">IF(OR($A549="",INDEX(_LEITURA!$Q$2:$Q$21,16)=0),"",SUMIFS(DECKS!$D$2:$D$1201,DECKS!$A$2:$A$1201,INDEX(_LEITURA!$P$2:$P$21,16),DECKS!$B$2:$B$1201,$A549))</f>
        <v/>
      </c>
      <c r="AA549" s="19" t="str">
        <f aca="false">IF(OR($A549="",INDEX(_LEITURA!$Q$2:$Q$21,17)=0),"",SUMIFS(DECKS!$D$2:$D$1201,DECKS!$A$2:$A$1201,INDEX(_LEITURA!$P$2:$P$21,17),DECKS!$B$2:$B$1201,$A549))</f>
        <v/>
      </c>
      <c r="AB549" s="19" t="str">
        <f aca="false">IF(OR($A549="",INDEX(_LEITURA!$Q$2:$Q$21,18)=0),"",SUMIFS(DECKS!$D$2:$D$1201,DECKS!$A$2:$A$1201,INDEX(_LEITURA!$P$2:$P$21,18),DECKS!$B$2:$B$1201,$A549))</f>
        <v/>
      </c>
      <c r="AC549" s="19" t="str">
        <f aca="false">IF(OR($A549="",INDEX(_LEITURA!$Q$2:$Q$21,19)=0),"",SUMIFS(DECKS!$D$2:$D$1201,DECKS!$A$2:$A$1201,INDEX(_LEITURA!$P$2:$P$21,19),DECKS!$B$2:$B$1201,$A549))</f>
        <v/>
      </c>
      <c r="AD549" s="19" t="str">
        <f aca="false">IF(OR($A549="",INDEX(_LEITURA!$Q$2:$Q$21,20)=0),"",SUMIFS(DECKS!$D$2:$D$1201,DECKS!$A$2:$A$1201,INDEX(_LEITURA!$P$2:$P$21,20),DECKS!$B$2:$B$1201,$A549))</f>
        <v/>
      </c>
      <c r="AE549" s="16" t="str">
        <f aca="false">IF(N(E549)&gt;0,MAX(AE$1:AE548)+1,"")</f>
        <v/>
      </c>
      <c r="AF549" s="11" t="str">
        <f aca="false">IF(A549="","",IFERROR(LEFT(A549,FIND("-",A549)-1),A549))</f>
        <v/>
      </c>
      <c r="AG549" s="11" t="str">
        <f aca="false">IF(AF549="","",IF(ISNUMBER(--MID(AF549,1,1)),0,IF(ISNUMBER(--MID(AF549,2,1)),1,IF(ISNUMBER(--MID(AF549,3,1)),2,IF(ISNUMBER(--MID(AF549,4,1)),3,MIN(LEN(AF549),4))))))</f>
        <v/>
      </c>
      <c r="AH549" s="11" t="str">
        <f aca="false">IF(A549="","",LEFT(AF549,AG549)&amp;REPT("0",4-AG549)&amp;RIGHT("000"&amp;IFERROR(VALUE(MID(AF549,AG549+1,9)),0),3)&amp;RIGHT("0000"&amp;IFERROR(VALUE(MID(A549,FIND("-",A549)+1,9)),0),4))</f>
        <v/>
      </c>
      <c r="AI549" s="11" t="str">
        <f aca="false">IF(OR(A549="",N(E549)&lt;=0),"",IF('FALTAS GERAL'!$M$1="Código","K"&amp;AH549&amp;RIGHT("00000"&amp;ROW(),5),IF('FALTAS GERAL'!$M$1="Nome","K"&amp;UPPER(SUBSTITUTE(SUBSTITUTE(SUBSTITUTE(B549,"*",""),"?",""),"~",""))&amp;"0"&amp;AH549&amp;RIGHT("00000"&amp;ROW(),5),IF('FALTAS GERAL'!$M$1="Falta (maior primeiro)","K"&amp;RIGHT("0000"&amp;(9999-E549),4)&amp;AH549&amp;RIGHT("00000"&amp;ROW(),5),IF('FALTAS GERAL'!$M$1="Nº de decks (maior primeiro)","K"&amp;RIGHT("00"&amp;(99-N(G549)),2)&amp;AH549&amp;RIGHT("00000"&amp;ROW(),5),"K"&amp;RIGHT("00000"&amp;ROW(),5))))))</f>
        <v/>
      </c>
      <c r="AJ549" s="11" t="str">
        <f aca="false">IF(AI549="","",COUNTIFS($AI$2:$AI$801,"&lt;"&amp;AI549,$E$2:$E$801,"&gt;0")+1)</f>
        <v/>
      </c>
      <c r="AK549" s="11" t="str">
        <f aca="false">IF(OR(A549="",N(E549)&lt;=0),"",COUNTIFS($AH$2:$AH$801,"&lt;"&amp;AH549,$E$2:$E$801,"&gt;0")+COUNTIFS($AH$2:AH549,AH549,$E$2:E549,"&gt;0"))</f>
        <v/>
      </c>
    </row>
    <row r="550" customFormat="false" ht="15" hidden="false" customHeight="false" outlineLevel="0" collapsed="false">
      <c r="A550" s="11" t="str">
        <f aca="false">IF(INVENTÁRIO!A550="","",INVENTÁRIO!A550)</f>
        <v/>
      </c>
      <c r="B550" s="11" t="str">
        <f aca="false">IF(A550="","",INVENTÁRIO!B550)</f>
        <v/>
      </c>
      <c r="C550" s="16" t="str">
        <f aca="false">IF(A550="","",INVENTÁRIO!C550)</f>
        <v/>
      </c>
      <c r="D550" s="14" t="str">
        <f aca="false">IF(A550="","",MAX(K550:AD550))</f>
        <v/>
      </c>
      <c r="E550" s="14" t="str">
        <f aca="false">IF(A550="","",MAX(0,D550-C550))</f>
        <v/>
      </c>
      <c r="F550" s="16" t="str">
        <f aca="false">IF(A550="","",IF(D550=0,"Fora dos decks",IF(E550=0,"Completo","Falta")))</f>
        <v/>
      </c>
      <c r="G550" s="16" t="str">
        <f aca="false">IF(A550="","",COUNTIF(K550:AD550,"&gt;0"))</f>
        <v/>
      </c>
      <c r="H550" s="16" t="str">
        <f aca="false">IF(A550="","",IF(G550&gt;1,"Sim",""))</f>
        <v/>
      </c>
      <c r="I550" s="18" t="str">
        <f aca="false">IF(A550="","",SUMIFS(DECKS!$D$2:$D$1201,DECKS!$B$2:$B$1201,A550))</f>
        <v/>
      </c>
      <c r="J550" s="18" t="str">
        <f aca="false">IF(A550="","",MAX(0,I550-C550))</f>
        <v/>
      </c>
      <c r="K550" s="19" t="str">
        <f aca="false">IF(OR($A550="",INDEX(_LEITURA!$Q$2:$Q$21,1)=0),"",SUMIFS(DECKS!$D$2:$D$1201,DECKS!$A$2:$A$1201,INDEX(_LEITURA!$P$2:$P$21,1),DECKS!$B$2:$B$1201,$A550))</f>
        <v/>
      </c>
      <c r="L550" s="19" t="str">
        <f aca="false">IF(OR($A550="",INDEX(_LEITURA!$Q$2:$Q$21,2)=0),"",SUMIFS(DECKS!$D$2:$D$1201,DECKS!$A$2:$A$1201,INDEX(_LEITURA!$P$2:$P$21,2),DECKS!$B$2:$B$1201,$A550))</f>
        <v/>
      </c>
      <c r="M550" s="19" t="str">
        <f aca="false">IF(OR($A550="",INDEX(_LEITURA!$Q$2:$Q$21,3)=0),"",SUMIFS(DECKS!$D$2:$D$1201,DECKS!$A$2:$A$1201,INDEX(_LEITURA!$P$2:$P$21,3),DECKS!$B$2:$B$1201,$A550))</f>
        <v/>
      </c>
      <c r="N550" s="19" t="str">
        <f aca="false">IF(OR($A550="",INDEX(_LEITURA!$Q$2:$Q$21,4)=0),"",SUMIFS(DECKS!$D$2:$D$1201,DECKS!$A$2:$A$1201,INDEX(_LEITURA!$P$2:$P$21,4),DECKS!$B$2:$B$1201,$A550))</f>
        <v/>
      </c>
      <c r="O550" s="19" t="str">
        <f aca="false">IF(OR($A550="",INDEX(_LEITURA!$Q$2:$Q$21,5)=0),"",SUMIFS(DECKS!$D$2:$D$1201,DECKS!$A$2:$A$1201,INDEX(_LEITURA!$P$2:$P$21,5),DECKS!$B$2:$B$1201,$A550))</f>
        <v/>
      </c>
      <c r="P550" s="19" t="str">
        <f aca="false">IF(OR($A550="",INDEX(_LEITURA!$Q$2:$Q$21,6)=0),"",SUMIFS(DECKS!$D$2:$D$1201,DECKS!$A$2:$A$1201,INDEX(_LEITURA!$P$2:$P$21,6),DECKS!$B$2:$B$1201,$A550))</f>
        <v/>
      </c>
      <c r="Q550" s="19" t="str">
        <f aca="false">IF(OR($A550="",INDEX(_LEITURA!$Q$2:$Q$21,7)=0),"",SUMIFS(DECKS!$D$2:$D$1201,DECKS!$A$2:$A$1201,INDEX(_LEITURA!$P$2:$P$21,7),DECKS!$B$2:$B$1201,$A550))</f>
        <v/>
      </c>
      <c r="R550" s="19" t="str">
        <f aca="false">IF(OR($A550="",INDEX(_LEITURA!$Q$2:$Q$21,8)=0),"",SUMIFS(DECKS!$D$2:$D$1201,DECKS!$A$2:$A$1201,INDEX(_LEITURA!$P$2:$P$21,8),DECKS!$B$2:$B$1201,$A550))</f>
        <v/>
      </c>
      <c r="S550" s="19" t="str">
        <f aca="false">IF(OR($A550="",INDEX(_LEITURA!$Q$2:$Q$21,9)=0),"",SUMIFS(DECKS!$D$2:$D$1201,DECKS!$A$2:$A$1201,INDEX(_LEITURA!$P$2:$P$21,9),DECKS!$B$2:$B$1201,$A550))</f>
        <v/>
      </c>
      <c r="T550" s="19" t="str">
        <f aca="false">IF(OR($A550="",INDEX(_LEITURA!$Q$2:$Q$21,10)=0),"",SUMIFS(DECKS!$D$2:$D$1201,DECKS!$A$2:$A$1201,INDEX(_LEITURA!$P$2:$P$21,10),DECKS!$B$2:$B$1201,$A550))</f>
        <v/>
      </c>
      <c r="U550" s="19" t="str">
        <f aca="false">IF(OR($A550="",INDEX(_LEITURA!$Q$2:$Q$21,11)=0),"",SUMIFS(DECKS!$D$2:$D$1201,DECKS!$A$2:$A$1201,INDEX(_LEITURA!$P$2:$P$21,11),DECKS!$B$2:$B$1201,$A550))</f>
        <v/>
      </c>
      <c r="V550" s="19" t="str">
        <f aca="false">IF(OR($A550="",INDEX(_LEITURA!$Q$2:$Q$21,12)=0),"",SUMIFS(DECKS!$D$2:$D$1201,DECKS!$A$2:$A$1201,INDEX(_LEITURA!$P$2:$P$21,12),DECKS!$B$2:$B$1201,$A550))</f>
        <v/>
      </c>
      <c r="W550" s="19" t="str">
        <f aca="false">IF(OR($A550="",INDEX(_LEITURA!$Q$2:$Q$21,13)=0),"",SUMIFS(DECKS!$D$2:$D$1201,DECKS!$A$2:$A$1201,INDEX(_LEITURA!$P$2:$P$21,13),DECKS!$B$2:$B$1201,$A550))</f>
        <v/>
      </c>
      <c r="X550" s="19" t="str">
        <f aca="false">IF(OR($A550="",INDEX(_LEITURA!$Q$2:$Q$21,14)=0),"",SUMIFS(DECKS!$D$2:$D$1201,DECKS!$A$2:$A$1201,INDEX(_LEITURA!$P$2:$P$21,14),DECKS!$B$2:$B$1201,$A550))</f>
        <v/>
      </c>
      <c r="Y550" s="19" t="str">
        <f aca="false">IF(OR($A550="",INDEX(_LEITURA!$Q$2:$Q$21,15)=0),"",SUMIFS(DECKS!$D$2:$D$1201,DECKS!$A$2:$A$1201,INDEX(_LEITURA!$P$2:$P$21,15),DECKS!$B$2:$B$1201,$A550))</f>
        <v/>
      </c>
      <c r="Z550" s="19" t="str">
        <f aca="false">IF(OR($A550="",INDEX(_LEITURA!$Q$2:$Q$21,16)=0),"",SUMIFS(DECKS!$D$2:$D$1201,DECKS!$A$2:$A$1201,INDEX(_LEITURA!$P$2:$P$21,16),DECKS!$B$2:$B$1201,$A550))</f>
        <v/>
      </c>
      <c r="AA550" s="19" t="str">
        <f aca="false">IF(OR($A550="",INDEX(_LEITURA!$Q$2:$Q$21,17)=0),"",SUMIFS(DECKS!$D$2:$D$1201,DECKS!$A$2:$A$1201,INDEX(_LEITURA!$P$2:$P$21,17),DECKS!$B$2:$B$1201,$A550))</f>
        <v/>
      </c>
      <c r="AB550" s="19" t="str">
        <f aca="false">IF(OR($A550="",INDEX(_LEITURA!$Q$2:$Q$21,18)=0),"",SUMIFS(DECKS!$D$2:$D$1201,DECKS!$A$2:$A$1201,INDEX(_LEITURA!$P$2:$P$21,18),DECKS!$B$2:$B$1201,$A550))</f>
        <v/>
      </c>
      <c r="AC550" s="19" t="str">
        <f aca="false">IF(OR($A550="",INDEX(_LEITURA!$Q$2:$Q$21,19)=0),"",SUMIFS(DECKS!$D$2:$D$1201,DECKS!$A$2:$A$1201,INDEX(_LEITURA!$P$2:$P$21,19),DECKS!$B$2:$B$1201,$A550))</f>
        <v/>
      </c>
      <c r="AD550" s="19" t="str">
        <f aca="false">IF(OR($A550="",INDEX(_LEITURA!$Q$2:$Q$21,20)=0),"",SUMIFS(DECKS!$D$2:$D$1201,DECKS!$A$2:$A$1201,INDEX(_LEITURA!$P$2:$P$21,20),DECKS!$B$2:$B$1201,$A550))</f>
        <v/>
      </c>
      <c r="AE550" s="16" t="str">
        <f aca="false">IF(N(E550)&gt;0,MAX(AE$1:AE549)+1,"")</f>
        <v/>
      </c>
      <c r="AF550" s="11" t="str">
        <f aca="false">IF(A550="","",IFERROR(LEFT(A550,FIND("-",A550)-1),A550))</f>
        <v/>
      </c>
      <c r="AG550" s="11" t="str">
        <f aca="false">IF(AF550="","",IF(ISNUMBER(--MID(AF550,1,1)),0,IF(ISNUMBER(--MID(AF550,2,1)),1,IF(ISNUMBER(--MID(AF550,3,1)),2,IF(ISNUMBER(--MID(AF550,4,1)),3,MIN(LEN(AF550),4))))))</f>
        <v/>
      </c>
      <c r="AH550" s="11" t="str">
        <f aca="false">IF(A550="","",LEFT(AF550,AG550)&amp;REPT("0",4-AG550)&amp;RIGHT("000"&amp;IFERROR(VALUE(MID(AF550,AG550+1,9)),0),3)&amp;RIGHT("0000"&amp;IFERROR(VALUE(MID(A550,FIND("-",A550)+1,9)),0),4))</f>
        <v/>
      </c>
      <c r="AI550" s="11" t="str">
        <f aca="false">IF(OR(A550="",N(E550)&lt;=0),"",IF('FALTAS GERAL'!$M$1="Código","K"&amp;AH550&amp;RIGHT("00000"&amp;ROW(),5),IF('FALTAS GERAL'!$M$1="Nome","K"&amp;UPPER(SUBSTITUTE(SUBSTITUTE(SUBSTITUTE(B550,"*",""),"?",""),"~",""))&amp;"0"&amp;AH550&amp;RIGHT("00000"&amp;ROW(),5),IF('FALTAS GERAL'!$M$1="Falta (maior primeiro)","K"&amp;RIGHT("0000"&amp;(9999-E550),4)&amp;AH550&amp;RIGHT("00000"&amp;ROW(),5),IF('FALTAS GERAL'!$M$1="Nº de decks (maior primeiro)","K"&amp;RIGHT("00"&amp;(99-N(G550)),2)&amp;AH550&amp;RIGHT("00000"&amp;ROW(),5),"K"&amp;RIGHT("00000"&amp;ROW(),5))))))</f>
        <v/>
      </c>
      <c r="AJ550" s="11" t="str">
        <f aca="false">IF(AI550="","",COUNTIFS($AI$2:$AI$801,"&lt;"&amp;AI550,$E$2:$E$801,"&gt;0")+1)</f>
        <v/>
      </c>
      <c r="AK550" s="11" t="str">
        <f aca="false">IF(OR(A550="",N(E550)&lt;=0),"",COUNTIFS($AH$2:$AH$801,"&lt;"&amp;AH550,$E$2:$E$801,"&gt;0")+COUNTIFS($AH$2:AH550,AH550,$E$2:E550,"&gt;0"))</f>
        <v/>
      </c>
    </row>
    <row r="551" customFormat="false" ht="15" hidden="false" customHeight="false" outlineLevel="0" collapsed="false">
      <c r="A551" s="11" t="str">
        <f aca="false">IF(INVENTÁRIO!A551="","",INVENTÁRIO!A551)</f>
        <v/>
      </c>
      <c r="B551" s="11" t="str">
        <f aca="false">IF(A551="","",INVENTÁRIO!B551)</f>
        <v/>
      </c>
      <c r="C551" s="16" t="str">
        <f aca="false">IF(A551="","",INVENTÁRIO!C551)</f>
        <v/>
      </c>
      <c r="D551" s="14" t="str">
        <f aca="false">IF(A551="","",MAX(K551:AD551))</f>
        <v/>
      </c>
      <c r="E551" s="14" t="str">
        <f aca="false">IF(A551="","",MAX(0,D551-C551))</f>
        <v/>
      </c>
      <c r="F551" s="16" t="str">
        <f aca="false">IF(A551="","",IF(D551=0,"Fora dos decks",IF(E551=0,"Completo","Falta")))</f>
        <v/>
      </c>
      <c r="G551" s="16" t="str">
        <f aca="false">IF(A551="","",COUNTIF(K551:AD551,"&gt;0"))</f>
        <v/>
      </c>
      <c r="H551" s="16" t="str">
        <f aca="false">IF(A551="","",IF(G551&gt;1,"Sim",""))</f>
        <v/>
      </c>
      <c r="I551" s="18" t="str">
        <f aca="false">IF(A551="","",SUMIFS(DECKS!$D$2:$D$1201,DECKS!$B$2:$B$1201,A551))</f>
        <v/>
      </c>
      <c r="J551" s="18" t="str">
        <f aca="false">IF(A551="","",MAX(0,I551-C551))</f>
        <v/>
      </c>
      <c r="K551" s="19" t="str">
        <f aca="false">IF(OR($A551="",INDEX(_LEITURA!$Q$2:$Q$21,1)=0),"",SUMIFS(DECKS!$D$2:$D$1201,DECKS!$A$2:$A$1201,INDEX(_LEITURA!$P$2:$P$21,1),DECKS!$B$2:$B$1201,$A551))</f>
        <v/>
      </c>
      <c r="L551" s="19" t="str">
        <f aca="false">IF(OR($A551="",INDEX(_LEITURA!$Q$2:$Q$21,2)=0),"",SUMIFS(DECKS!$D$2:$D$1201,DECKS!$A$2:$A$1201,INDEX(_LEITURA!$P$2:$P$21,2),DECKS!$B$2:$B$1201,$A551))</f>
        <v/>
      </c>
      <c r="M551" s="19" t="str">
        <f aca="false">IF(OR($A551="",INDEX(_LEITURA!$Q$2:$Q$21,3)=0),"",SUMIFS(DECKS!$D$2:$D$1201,DECKS!$A$2:$A$1201,INDEX(_LEITURA!$P$2:$P$21,3),DECKS!$B$2:$B$1201,$A551))</f>
        <v/>
      </c>
      <c r="N551" s="19" t="str">
        <f aca="false">IF(OR($A551="",INDEX(_LEITURA!$Q$2:$Q$21,4)=0),"",SUMIFS(DECKS!$D$2:$D$1201,DECKS!$A$2:$A$1201,INDEX(_LEITURA!$P$2:$P$21,4),DECKS!$B$2:$B$1201,$A551))</f>
        <v/>
      </c>
      <c r="O551" s="19" t="str">
        <f aca="false">IF(OR($A551="",INDEX(_LEITURA!$Q$2:$Q$21,5)=0),"",SUMIFS(DECKS!$D$2:$D$1201,DECKS!$A$2:$A$1201,INDEX(_LEITURA!$P$2:$P$21,5),DECKS!$B$2:$B$1201,$A551))</f>
        <v/>
      </c>
      <c r="P551" s="19" t="str">
        <f aca="false">IF(OR($A551="",INDEX(_LEITURA!$Q$2:$Q$21,6)=0),"",SUMIFS(DECKS!$D$2:$D$1201,DECKS!$A$2:$A$1201,INDEX(_LEITURA!$P$2:$P$21,6),DECKS!$B$2:$B$1201,$A551))</f>
        <v/>
      </c>
      <c r="Q551" s="19" t="str">
        <f aca="false">IF(OR($A551="",INDEX(_LEITURA!$Q$2:$Q$21,7)=0),"",SUMIFS(DECKS!$D$2:$D$1201,DECKS!$A$2:$A$1201,INDEX(_LEITURA!$P$2:$P$21,7),DECKS!$B$2:$B$1201,$A551))</f>
        <v/>
      </c>
      <c r="R551" s="19" t="str">
        <f aca="false">IF(OR($A551="",INDEX(_LEITURA!$Q$2:$Q$21,8)=0),"",SUMIFS(DECKS!$D$2:$D$1201,DECKS!$A$2:$A$1201,INDEX(_LEITURA!$P$2:$P$21,8),DECKS!$B$2:$B$1201,$A551))</f>
        <v/>
      </c>
      <c r="S551" s="19" t="str">
        <f aca="false">IF(OR($A551="",INDEX(_LEITURA!$Q$2:$Q$21,9)=0),"",SUMIFS(DECKS!$D$2:$D$1201,DECKS!$A$2:$A$1201,INDEX(_LEITURA!$P$2:$P$21,9),DECKS!$B$2:$B$1201,$A551))</f>
        <v/>
      </c>
      <c r="T551" s="19" t="str">
        <f aca="false">IF(OR($A551="",INDEX(_LEITURA!$Q$2:$Q$21,10)=0),"",SUMIFS(DECKS!$D$2:$D$1201,DECKS!$A$2:$A$1201,INDEX(_LEITURA!$P$2:$P$21,10),DECKS!$B$2:$B$1201,$A551))</f>
        <v/>
      </c>
      <c r="U551" s="19" t="str">
        <f aca="false">IF(OR($A551="",INDEX(_LEITURA!$Q$2:$Q$21,11)=0),"",SUMIFS(DECKS!$D$2:$D$1201,DECKS!$A$2:$A$1201,INDEX(_LEITURA!$P$2:$P$21,11),DECKS!$B$2:$B$1201,$A551))</f>
        <v/>
      </c>
      <c r="V551" s="19" t="str">
        <f aca="false">IF(OR($A551="",INDEX(_LEITURA!$Q$2:$Q$21,12)=0),"",SUMIFS(DECKS!$D$2:$D$1201,DECKS!$A$2:$A$1201,INDEX(_LEITURA!$P$2:$P$21,12),DECKS!$B$2:$B$1201,$A551))</f>
        <v/>
      </c>
      <c r="W551" s="19" t="str">
        <f aca="false">IF(OR($A551="",INDEX(_LEITURA!$Q$2:$Q$21,13)=0),"",SUMIFS(DECKS!$D$2:$D$1201,DECKS!$A$2:$A$1201,INDEX(_LEITURA!$P$2:$P$21,13),DECKS!$B$2:$B$1201,$A551))</f>
        <v/>
      </c>
      <c r="X551" s="19" t="str">
        <f aca="false">IF(OR($A551="",INDEX(_LEITURA!$Q$2:$Q$21,14)=0),"",SUMIFS(DECKS!$D$2:$D$1201,DECKS!$A$2:$A$1201,INDEX(_LEITURA!$P$2:$P$21,14),DECKS!$B$2:$B$1201,$A551))</f>
        <v/>
      </c>
      <c r="Y551" s="19" t="str">
        <f aca="false">IF(OR($A551="",INDEX(_LEITURA!$Q$2:$Q$21,15)=0),"",SUMIFS(DECKS!$D$2:$D$1201,DECKS!$A$2:$A$1201,INDEX(_LEITURA!$P$2:$P$21,15),DECKS!$B$2:$B$1201,$A551))</f>
        <v/>
      </c>
      <c r="Z551" s="19" t="str">
        <f aca="false">IF(OR($A551="",INDEX(_LEITURA!$Q$2:$Q$21,16)=0),"",SUMIFS(DECKS!$D$2:$D$1201,DECKS!$A$2:$A$1201,INDEX(_LEITURA!$P$2:$P$21,16),DECKS!$B$2:$B$1201,$A551))</f>
        <v/>
      </c>
      <c r="AA551" s="19" t="str">
        <f aca="false">IF(OR($A551="",INDEX(_LEITURA!$Q$2:$Q$21,17)=0),"",SUMIFS(DECKS!$D$2:$D$1201,DECKS!$A$2:$A$1201,INDEX(_LEITURA!$P$2:$P$21,17),DECKS!$B$2:$B$1201,$A551))</f>
        <v/>
      </c>
      <c r="AB551" s="19" t="str">
        <f aca="false">IF(OR($A551="",INDEX(_LEITURA!$Q$2:$Q$21,18)=0),"",SUMIFS(DECKS!$D$2:$D$1201,DECKS!$A$2:$A$1201,INDEX(_LEITURA!$P$2:$P$21,18),DECKS!$B$2:$B$1201,$A551))</f>
        <v/>
      </c>
      <c r="AC551" s="19" t="str">
        <f aca="false">IF(OR($A551="",INDEX(_LEITURA!$Q$2:$Q$21,19)=0),"",SUMIFS(DECKS!$D$2:$D$1201,DECKS!$A$2:$A$1201,INDEX(_LEITURA!$P$2:$P$21,19),DECKS!$B$2:$B$1201,$A551))</f>
        <v/>
      </c>
      <c r="AD551" s="19" t="str">
        <f aca="false">IF(OR($A551="",INDEX(_LEITURA!$Q$2:$Q$21,20)=0),"",SUMIFS(DECKS!$D$2:$D$1201,DECKS!$A$2:$A$1201,INDEX(_LEITURA!$P$2:$P$21,20),DECKS!$B$2:$B$1201,$A551))</f>
        <v/>
      </c>
      <c r="AE551" s="16" t="str">
        <f aca="false">IF(N(E551)&gt;0,MAX(AE$1:AE550)+1,"")</f>
        <v/>
      </c>
      <c r="AF551" s="11" t="str">
        <f aca="false">IF(A551="","",IFERROR(LEFT(A551,FIND("-",A551)-1),A551))</f>
        <v/>
      </c>
      <c r="AG551" s="11" t="str">
        <f aca="false">IF(AF551="","",IF(ISNUMBER(--MID(AF551,1,1)),0,IF(ISNUMBER(--MID(AF551,2,1)),1,IF(ISNUMBER(--MID(AF551,3,1)),2,IF(ISNUMBER(--MID(AF551,4,1)),3,MIN(LEN(AF551),4))))))</f>
        <v/>
      </c>
      <c r="AH551" s="11" t="str">
        <f aca="false">IF(A551="","",LEFT(AF551,AG551)&amp;REPT("0",4-AG551)&amp;RIGHT("000"&amp;IFERROR(VALUE(MID(AF551,AG551+1,9)),0),3)&amp;RIGHT("0000"&amp;IFERROR(VALUE(MID(A551,FIND("-",A551)+1,9)),0),4))</f>
        <v/>
      </c>
      <c r="AI551" s="11" t="str">
        <f aca="false">IF(OR(A551="",N(E551)&lt;=0),"",IF('FALTAS GERAL'!$M$1="Código","K"&amp;AH551&amp;RIGHT("00000"&amp;ROW(),5),IF('FALTAS GERAL'!$M$1="Nome","K"&amp;UPPER(SUBSTITUTE(SUBSTITUTE(SUBSTITUTE(B551,"*",""),"?",""),"~",""))&amp;"0"&amp;AH551&amp;RIGHT("00000"&amp;ROW(),5),IF('FALTAS GERAL'!$M$1="Falta (maior primeiro)","K"&amp;RIGHT("0000"&amp;(9999-E551),4)&amp;AH551&amp;RIGHT("00000"&amp;ROW(),5),IF('FALTAS GERAL'!$M$1="Nº de decks (maior primeiro)","K"&amp;RIGHT("00"&amp;(99-N(G551)),2)&amp;AH551&amp;RIGHT("00000"&amp;ROW(),5),"K"&amp;RIGHT("00000"&amp;ROW(),5))))))</f>
        <v/>
      </c>
      <c r="AJ551" s="11" t="str">
        <f aca="false">IF(AI551="","",COUNTIFS($AI$2:$AI$801,"&lt;"&amp;AI551,$E$2:$E$801,"&gt;0")+1)</f>
        <v/>
      </c>
      <c r="AK551" s="11" t="str">
        <f aca="false">IF(OR(A551="",N(E551)&lt;=0),"",COUNTIFS($AH$2:$AH$801,"&lt;"&amp;AH551,$E$2:$E$801,"&gt;0")+COUNTIFS($AH$2:AH551,AH551,$E$2:E551,"&gt;0"))</f>
        <v/>
      </c>
    </row>
    <row r="552" customFormat="false" ht="15" hidden="false" customHeight="false" outlineLevel="0" collapsed="false">
      <c r="A552" s="11" t="str">
        <f aca="false">IF(INVENTÁRIO!A552="","",INVENTÁRIO!A552)</f>
        <v/>
      </c>
      <c r="B552" s="11" t="str">
        <f aca="false">IF(A552="","",INVENTÁRIO!B552)</f>
        <v/>
      </c>
      <c r="C552" s="16" t="str">
        <f aca="false">IF(A552="","",INVENTÁRIO!C552)</f>
        <v/>
      </c>
      <c r="D552" s="14" t="str">
        <f aca="false">IF(A552="","",MAX(K552:AD552))</f>
        <v/>
      </c>
      <c r="E552" s="14" t="str">
        <f aca="false">IF(A552="","",MAX(0,D552-C552))</f>
        <v/>
      </c>
      <c r="F552" s="16" t="str">
        <f aca="false">IF(A552="","",IF(D552=0,"Fora dos decks",IF(E552=0,"Completo","Falta")))</f>
        <v/>
      </c>
      <c r="G552" s="16" t="str">
        <f aca="false">IF(A552="","",COUNTIF(K552:AD552,"&gt;0"))</f>
        <v/>
      </c>
      <c r="H552" s="16" t="str">
        <f aca="false">IF(A552="","",IF(G552&gt;1,"Sim",""))</f>
        <v/>
      </c>
      <c r="I552" s="18" t="str">
        <f aca="false">IF(A552="","",SUMIFS(DECKS!$D$2:$D$1201,DECKS!$B$2:$B$1201,A552))</f>
        <v/>
      </c>
      <c r="J552" s="18" t="str">
        <f aca="false">IF(A552="","",MAX(0,I552-C552))</f>
        <v/>
      </c>
      <c r="K552" s="19" t="str">
        <f aca="false">IF(OR($A552="",INDEX(_LEITURA!$Q$2:$Q$21,1)=0),"",SUMIFS(DECKS!$D$2:$D$1201,DECKS!$A$2:$A$1201,INDEX(_LEITURA!$P$2:$P$21,1),DECKS!$B$2:$B$1201,$A552))</f>
        <v/>
      </c>
      <c r="L552" s="19" t="str">
        <f aca="false">IF(OR($A552="",INDEX(_LEITURA!$Q$2:$Q$21,2)=0),"",SUMIFS(DECKS!$D$2:$D$1201,DECKS!$A$2:$A$1201,INDEX(_LEITURA!$P$2:$P$21,2),DECKS!$B$2:$B$1201,$A552))</f>
        <v/>
      </c>
      <c r="M552" s="19" t="str">
        <f aca="false">IF(OR($A552="",INDEX(_LEITURA!$Q$2:$Q$21,3)=0),"",SUMIFS(DECKS!$D$2:$D$1201,DECKS!$A$2:$A$1201,INDEX(_LEITURA!$P$2:$P$21,3),DECKS!$B$2:$B$1201,$A552))</f>
        <v/>
      </c>
      <c r="N552" s="19" t="str">
        <f aca="false">IF(OR($A552="",INDEX(_LEITURA!$Q$2:$Q$21,4)=0),"",SUMIFS(DECKS!$D$2:$D$1201,DECKS!$A$2:$A$1201,INDEX(_LEITURA!$P$2:$P$21,4),DECKS!$B$2:$B$1201,$A552))</f>
        <v/>
      </c>
      <c r="O552" s="19" t="str">
        <f aca="false">IF(OR($A552="",INDEX(_LEITURA!$Q$2:$Q$21,5)=0),"",SUMIFS(DECKS!$D$2:$D$1201,DECKS!$A$2:$A$1201,INDEX(_LEITURA!$P$2:$P$21,5),DECKS!$B$2:$B$1201,$A552))</f>
        <v/>
      </c>
      <c r="P552" s="19" t="str">
        <f aca="false">IF(OR($A552="",INDEX(_LEITURA!$Q$2:$Q$21,6)=0),"",SUMIFS(DECKS!$D$2:$D$1201,DECKS!$A$2:$A$1201,INDEX(_LEITURA!$P$2:$P$21,6),DECKS!$B$2:$B$1201,$A552))</f>
        <v/>
      </c>
      <c r="Q552" s="19" t="str">
        <f aca="false">IF(OR($A552="",INDEX(_LEITURA!$Q$2:$Q$21,7)=0),"",SUMIFS(DECKS!$D$2:$D$1201,DECKS!$A$2:$A$1201,INDEX(_LEITURA!$P$2:$P$21,7),DECKS!$B$2:$B$1201,$A552))</f>
        <v/>
      </c>
      <c r="R552" s="19" t="str">
        <f aca="false">IF(OR($A552="",INDEX(_LEITURA!$Q$2:$Q$21,8)=0),"",SUMIFS(DECKS!$D$2:$D$1201,DECKS!$A$2:$A$1201,INDEX(_LEITURA!$P$2:$P$21,8),DECKS!$B$2:$B$1201,$A552))</f>
        <v/>
      </c>
      <c r="S552" s="19" t="str">
        <f aca="false">IF(OR($A552="",INDEX(_LEITURA!$Q$2:$Q$21,9)=0),"",SUMIFS(DECKS!$D$2:$D$1201,DECKS!$A$2:$A$1201,INDEX(_LEITURA!$P$2:$P$21,9),DECKS!$B$2:$B$1201,$A552))</f>
        <v/>
      </c>
      <c r="T552" s="19" t="str">
        <f aca="false">IF(OR($A552="",INDEX(_LEITURA!$Q$2:$Q$21,10)=0),"",SUMIFS(DECKS!$D$2:$D$1201,DECKS!$A$2:$A$1201,INDEX(_LEITURA!$P$2:$P$21,10),DECKS!$B$2:$B$1201,$A552))</f>
        <v/>
      </c>
      <c r="U552" s="19" t="str">
        <f aca="false">IF(OR($A552="",INDEX(_LEITURA!$Q$2:$Q$21,11)=0),"",SUMIFS(DECKS!$D$2:$D$1201,DECKS!$A$2:$A$1201,INDEX(_LEITURA!$P$2:$P$21,11),DECKS!$B$2:$B$1201,$A552))</f>
        <v/>
      </c>
      <c r="V552" s="19" t="str">
        <f aca="false">IF(OR($A552="",INDEX(_LEITURA!$Q$2:$Q$21,12)=0),"",SUMIFS(DECKS!$D$2:$D$1201,DECKS!$A$2:$A$1201,INDEX(_LEITURA!$P$2:$P$21,12),DECKS!$B$2:$B$1201,$A552))</f>
        <v/>
      </c>
      <c r="W552" s="19" t="str">
        <f aca="false">IF(OR($A552="",INDEX(_LEITURA!$Q$2:$Q$21,13)=0),"",SUMIFS(DECKS!$D$2:$D$1201,DECKS!$A$2:$A$1201,INDEX(_LEITURA!$P$2:$P$21,13),DECKS!$B$2:$B$1201,$A552))</f>
        <v/>
      </c>
      <c r="X552" s="19" t="str">
        <f aca="false">IF(OR($A552="",INDEX(_LEITURA!$Q$2:$Q$21,14)=0),"",SUMIFS(DECKS!$D$2:$D$1201,DECKS!$A$2:$A$1201,INDEX(_LEITURA!$P$2:$P$21,14),DECKS!$B$2:$B$1201,$A552))</f>
        <v/>
      </c>
      <c r="Y552" s="19" t="str">
        <f aca="false">IF(OR($A552="",INDEX(_LEITURA!$Q$2:$Q$21,15)=0),"",SUMIFS(DECKS!$D$2:$D$1201,DECKS!$A$2:$A$1201,INDEX(_LEITURA!$P$2:$P$21,15),DECKS!$B$2:$B$1201,$A552))</f>
        <v/>
      </c>
      <c r="Z552" s="19" t="str">
        <f aca="false">IF(OR($A552="",INDEX(_LEITURA!$Q$2:$Q$21,16)=0),"",SUMIFS(DECKS!$D$2:$D$1201,DECKS!$A$2:$A$1201,INDEX(_LEITURA!$P$2:$P$21,16),DECKS!$B$2:$B$1201,$A552))</f>
        <v/>
      </c>
      <c r="AA552" s="19" t="str">
        <f aca="false">IF(OR($A552="",INDEX(_LEITURA!$Q$2:$Q$21,17)=0),"",SUMIFS(DECKS!$D$2:$D$1201,DECKS!$A$2:$A$1201,INDEX(_LEITURA!$P$2:$P$21,17),DECKS!$B$2:$B$1201,$A552))</f>
        <v/>
      </c>
      <c r="AB552" s="19" t="str">
        <f aca="false">IF(OR($A552="",INDEX(_LEITURA!$Q$2:$Q$21,18)=0),"",SUMIFS(DECKS!$D$2:$D$1201,DECKS!$A$2:$A$1201,INDEX(_LEITURA!$P$2:$P$21,18),DECKS!$B$2:$B$1201,$A552))</f>
        <v/>
      </c>
      <c r="AC552" s="19" t="str">
        <f aca="false">IF(OR($A552="",INDEX(_LEITURA!$Q$2:$Q$21,19)=0),"",SUMIFS(DECKS!$D$2:$D$1201,DECKS!$A$2:$A$1201,INDEX(_LEITURA!$P$2:$P$21,19),DECKS!$B$2:$B$1201,$A552))</f>
        <v/>
      </c>
      <c r="AD552" s="19" t="str">
        <f aca="false">IF(OR($A552="",INDEX(_LEITURA!$Q$2:$Q$21,20)=0),"",SUMIFS(DECKS!$D$2:$D$1201,DECKS!$A$2:$A$1201,INDEX(_LEITURA!$P$2:$P$21,20),DECKS!$B$2:$B$1201,$A552))</f>
        <v/>
      </c>
      <c r="AE552" s="16" t="str">
        <f aca="false">IF(N(E552)&gt;0,MAX(AE$1:AE551)+1,"")</f>
        <v/>
      </c>
      <c r="AF552" s="11" t="str">
        <f aca="false">IF(A552="","",IFERROR(LEFT(A552,FIND("-",A552)-1),A552))</f>
        <v/>
      </c>
      <c r="AG552" s="11" t="str">
        <f aca="false">IF(AF552="","",IF(ISNUMBER(--MID(AF552,1,1)),0,IF(ISNUMBER(--MID(AF552,2,1)),1,IF(ISNUMBER(--MID(AF552,3,1)),2,IF(ISNUMBER(--MID(AF552,4,1)),3,MIN(LEN(AF552),4))))))</f>
        <v/>
      </c>
      <c r="AH552" s="11" t="str">
        <f aca="false">IF(A552="","",LEFT(AF552,AG552)&amp;REPT("0",4-AG552)&amp;RIGHT("000"&amp;IFERROR(VALUE(MID(AF552,AG552+1,9)),0),3)&amp;RIGHT("0000"&amp;IFERROR(VALUE(MID(A552,FIND("-",A552)+1,9)),0),4))</f>
        <v/>
      </c>
      <c r="AI552" s="11" t="str">
        <f aca="false">IF(OR(A552="",N(E552)&lt;=0),"",IF('FALTAS GERAL'!$M$1="Código","K"&amp;AH552&amp;RIGHT("00000"&amp;ROW(),5),IF('FALTAS GERAL'!$M$1="Nome","K"&amp;UPPER(SUBSTITUTE(SUBSTITUTE(SUBSTITUTE(B552,"*",""),"?",""),"~",""))&amp;"0"&amp;AH552&amp;RIGHT("00000"&amp;ROW(),5),IF('FALTAS GERAL'!$M$1="Falta (maior primeiro)","K"&amp;RIGHT("0000"&amp;(9999-E552),4)&amp;AH552&amp;RIGHT("00000"&amp;ROW(),5),IF('FALTAS GERAL'!$M$1="Nº de decks (maior primeiro)","K"&amp;RIGHT("00"&amp;(99-N(G552)),2)&amp;AH552&amp;RIGHT("00000"&amp;ROW(),5),"K"&amp;RIGHT("00000"&amp;ROW(),5))))))</f>
        <v/>
      </c>
      <c r="AJ552" s="11" t="str">
        <f aca="false">IF(AI552="","",COUNTIFS($AI$2:$AI$801,"&lt;"&amp;AI552,$E$2:$E$801,"&gt;0")+1)</f>
        <v/>
      </c>
      <c r="AK552" s="11" t="str">
        <f aca="false">IF(OR(A552="",N(E552)&lt;=0),"",COUNTIFS($AH$2:$AH$801,"&lt;"&amp;AH552,$E$2:$E$801,"&gt;0")+COUNTIFS($AH$2:AH552,AH552,$E$2:E552,"&gt;0"))</f>
        <v/>
      </c>
    </row>
    <row r="553" customFormat="false" ht="15" hidden="false" customHeight="false" outlineLevel="0" collapsed="false">
      <c r="A553" s="11" t="str">
        <f aca="false">IF(INVENTÁRIO!A553="","",INVENTÁRIO!A553)</f>
        <v/>
      </c>
      <c r="B553" s="11" t="str">
        <f aca="false">IF(A553="","",INVENTÁRIO!B553)</f>
        <v/>
      </c>
      <c r="C553" s="16" t="str">
        <f aca="false">IF(A553="","",INVENTÁRIO!C553)</f>
        <v/>
      </c>
      <c r="D553" s="14" t="str">
        <f aca="false">IF(A553="","",MAX(K553:AD553))</f>
        <v/>
      </c>
      <c r="E553" s="14" t="str">
        <f aca="false">IF(A553="","",MAX(0,D553-C553))</f>
        <v/>
      </c>
      <c r="F553" s="16" t="str">
        <f aca="false">IF(A553="","",IF(D553=0,"Fora dos decks",IF(E553=0,"Completo","Falta")))</f>
        <v/>
      </c>
      <c r="G553" s="16" t="str">
        <f aca="false">IF(A553="","",COUNTIF(K553:AD553,"&gt;0"))</f>
        <v/>
      </c>
      <c r="H553" s="16" t="str">
        <f aca="false">IF(A553="","",IF(G553&gt;1,"Sim",""))</f>
        <v/>
      </c>
      <c r="I553" s="18" t="str">
        <f aca="false">IF(A553="","",SUMIFS(DECKS!$D$2:$D$1201,DECKS!$B$2:$B$1201,A553))</f>
        <v/>
      </c>
      <c r="J553" s="18" t="str">
        <f aca="false">IF(A553="","",MAX(0,I553-C553))</f>
        <v/>
      </c>
      <c r="K553" s="19" t="str">
        <f aca="false">IF(OR($A553="",INDEX(_LEITURA!$Q$2:$Q$21,1)=0),"",SUMIFS(DECKS!$D$2:$D$1201,DECKS!$A$2:$A$1201,INDEX(_LEITURA!$P$2:$P$21,1),DECKS!$B$2:$B$1201,$A553))</f>
        <v/>
      </c>
      <c r="L553" s="19" t="str">
        <f aca="false">IF(OR($A553="",INDEX(_LEITURA!$Q$2:$Q$21,2)=0),"",SUMIFS(DECKS!$D$2:$D$1201,DECKS!$A$2:$A$1201,INDEX(_LEITURA!$P$2:$P$21,2),DECKS!$B$2:$B$1201,$A553))</f>
        <v/>
      </c>
      <c r="M553" s="19" t="str">
        <f aca="false">IF(OR($A553="",INDEX(_LEITURA!$Q$2:$Q$21,3)=0),"",SUMIFS(DECKS!$D$2:$D$1201,DECKS!$A$2:$A$1201,INDEX(_LEITURA!$P$2:$P$21,3),DECKS!$B$2:$B$1201,$A553))</f>
        <v/>
      </c>
      <c r="N553" s="19" t="str">
        <f aca="false">IF(OR($A553="",INDEX(_LEITURA!$Q$2:$Q$21,4)=0),"",SUMIFS(DECKS!$D$2:$D$1201,DECKS!$A$2:$A$1201,INDEX(_LEITURA!$P$2:$P$21,4),DECKS!$B$2:$B$1201,$A553))</f>
        <v/>
      </c>
      <c r="O553" s="19" t="str">
        <f aca="false">IF(OR($A553="",INDEX(_LEITURA!$Q$2:$Q$21,5)=0),"",SUMIFS(DECKS!$D$2:$D$1201,DECKS!$A$2:$A$1201,INDEX(_LEITURA!$P$2:$P$21,5),DECKS!$B$2:$B$1201,$A553))</f>
        <v/>
      </c>
      <c r="P553" s="19" t="str">
        <f aca="false">IF(OR($A553="",INDEX(_LEITURA!$Q$2:$Q$21,6)=0),"",SUMIFS(DECKS!$D$2:$D$1201,DECKS!$A$2:$A$1201,INDEX(_LEITURA!$P$2:$P$21,6),DECKS!$B$2:$B$1201,$A553))</f>
        <v/>
      </c>
      <c r="Q553" s="19" t="str">
        <f aca="false">IF(OR($A553="",INDEX(_LEITURA!$Q$2:$Q$21,7)=0),"",SUMIFS(DECKS!$D$2:$D$1201,DECKS!$A$2:$A$1201,INDEX(_LEITURA!$P$2:$P$21,7),DECKS!$B$2:$B$1201,$A553))</f>
        <v/>
      </c>
      <c r="R553" s="19" t="str">
        <f aca="false">IF(OR($A553="",INDEX(_LEITURA!$Q$2:$Q$21,8)=0),"",SUMIFS(DECKS!$D$2:$D$1201,DECKS!$A$2:$A$1201,INDEX(_LEITURA!$P$2:$P$21,8),DECKS!$B$2:$B$1201,$A553))</f>
        <v/>
      </c>
      <c r="S553" s="19" t="str">
        <f aca="false">IF(OR($A553="",INDEX(_LEITURA!$Q$2:$Q$21,9)=0),"",SUMIFS(DECKS!$D$2:$D$1201,DECKS!$A$2:$A$1201,INDEX(_LEITURA!$P$2:$P$21,9),DECKS!$B$2:$B$1201,$A553))</f>
        <v/>
      </c>
      <c r="T553" s="19" t="str">
        <f aca="false">IF(OR($A553="",INDEX(_LEITURA!$Q$2:$Q$21,10)=0),"",SUMIFS(DECKS!$D$2:$D$1201,DECKS!$A$2:$A$1201,INDEX(_LEITURA!$P$2:$P$21,10),DECKS!$B$2:$B$1201,$A553))</f>
        <v/>
      </c>
      <c r="U553" s="19" t="str">
        <f aca="false">IF(OR($A553="",INDEX(_LEITURA!$Q$2:$Q$21,11)=0),"",SUMIFS(DECKS!$D$2:$D$1201,DECKS!$A$2:$A$1201,INDEX(_LEITURA!$P$2:$P$21,11),DECKS!$B$2:$B$1201,$A553))</f>
        <v/>
      </c>
      <c r="V553" s="19" t="str">
        <f aca="false">IF(OR($A553="",INDEX(_LEITURA!$Q$2:$Q$21,12)=0),"",SUMIFS(DECKS!$D$2:$D$1201,DECKS!$A$2:$A$1201,INDEX(_LEITURA!$P$2:$P$21,12),DECKS!$B$2:$B$1201,$A553))</f>
        <v/>
      </c>
      <c r="W553" s="19" t="str">
        <f aca="false">IF(OR($A553="",INDEX(_LEITURA!$Q$2:$Q$21,13)=0),"",SUMIFS(DECKS!$D$2:$D$1201,DECKS!$A$2:$A$1201,INDEX(_LEITURA!$P$2:$P$21,13),DECKS!$B$2:$B$1201,$A553))</f>
        <v/>
      </c>
      <c r="X553" s="19" t="str">
        <f aca="false">IF(OR($A553="",INDEX(_LEITURA!$Q$2:$Q$21,14)=0),"",SUMIFS(DECKS!$D$2:$D$1201,DECKS!$A$2:$A$1201,INDEX(_LEITURA!$P$2:$P$21,14),DECKS!$B$2:$B$1201,$A553))</f>
        <v/>
      </c>
      <c r="Y553" s="19" t="str">
        <f aca="false">IF(OR($A553="",INDEX(_LEITURA!$Q$2:$Q$21,15)=0),"",SUMIFS(DECKS!$D$2:$D$1201,DECKS!$A$2:$A$1201,INDEX(_LEITURA!$P$2:$P$21,15),DECKS!$B$2:$B$1201,$A553))</f>
        <v/>
      </c>
      <c r="Z553" s="19" t="str">
        <f aca="false">IF(OR($A553="",INDEX(_LEITURA!$Q$2:$Q$21,16)=0),"",SUMIFS(DECKS!$D$2:$D$1201,DECKS!$A$2:$A$1201,INDEX(_LEITURA!$P$2:$P$21,16),DECKS!$B$2:$B$1201,$A553))</f>
        <v/>
      </c>
      <c r="AA553" s="19" t="str">
        <f aca="false">IF(OR($A553="",INDEX(_LEITURA!$Q$2:$Q$21,17)=0),"",SUMIFS(DECKS!$D$2:$D$1201,DECKS!$A$2:$A$1201,INDEX(_LEITURA!$P$2:$P$21,17),DECKS!$B$2:$B$1201,$A553))</f>
        <v/>
      </c>
      <c r="AB553" s="19" t="str">
        <f aca="false">IF(OR($A553="",INDEX(_LEITURA!$Q$2:$Q$21,18)=0),"",SUMIFS(DECKS!$D$2:$D$1201,DECKS!$A$2:$A$1201,INDEX(_LEITURA!$P$2:$P$21,18),DECKS!$B$2:$B$1201,$A553))</f>
        <v/>
      </c>
      <c r="AC553" s="19" t="str">
        <f aca="false">IF(OR($A553="",INDEX(_LEITURA!$Q$2:$Q$21,19)=0),"",SUMIFS(DECKS!$D$2:$D$1201,DECKS!$A$2:$A$1201,INDEX(_LEITURA!$P$2:$P$21,19),DECKS!$B$2:$B$1201,$A553))</f>
        <v/>
      </c>
      <c r="AD553" s="19" t="str">
        <f aca="false">IF(OR($A553="",INDEX(_LEITURA!$Q$2:$Q$21,20)=0),"",SUMIFS(DECKS!$D$2:$D$1201,DECKS!$A$2:$A$1201,INDEX(_LEITURA!$P$2:$P$21,20),DECKS!$B$2:$B$1201,$A553))</f>
        <v/>
      </c>
      <c r="AE553" s="16" t="str">
        <f aca="false">IF(N(E553)&gt;0,MAX(AE$1:AE552)+1,"")</f>
        <v/>
      </c>
      <c r="AF553" s="11" t="str">
        <f aca="false">IF(A553="","",IFERROR(LEFT(A553,FIND("-",A553)-1),A553))</f>
        <v/>
      </c>
      <c r="AG553" s="11" t="str">
        <f aca="false">IF(AF553="","",IF(ISNUMBER(--MID(AF553,1,1)),0,IF(ISNUMBER(--MID(AF553,2,1)),1,IF(ISNUMBER(--MID(AF553,3,1)),2,IF(ISNUMBER(--MID(AF553,4,1)),3,MIN(LEN(AF553),4))))))</f>
        <v/>
      </c>
      <c r="AH553" s="11" t="str">
        <f aca="false">IF(A553="","",LEFT(AF553,AG553)&amp;REPT("0",4-AG553)&amp;RIGHT("000"&amp;IFERROR(VALUE(MID(AF553,AG553+1,9)),0),3)&amp;RIGHT("0000"&amp;IFERROR(VALUE(MID(A553,FIND("-",A553)+1,9)),0),4))</f>
        <v/>
      </c>
      <c r="AI553" s="11" t="str">
        <f aca="false">IF(OR(A553="",N(E553)&lt;=0),"",IF('FALTAS GERAL'!$M$1="Código","K"&amp;AH553&amp;RIGHT("00000"&amp;ROW(),5),IF('FALTAS GERAL'!$M$1="Nome","K"&amp;UPPER(SUBSTITUTE(SUBSTITUTE(SUBSTITUTE(B553,"*",""),"?",""),"~",""))&amp;"0"&amp;AH553&amp;RIGHT("00000"&amp;ROW(),5),IF('FALTAS GERAL'!$M$1="Falta (maior primeiro)","K"&amp;RIGHT("0000"&amp;(9999-E553),4)&amp;AH553&amp;RIGHT("00000"&amp;ROW(),5),IF('FALTAS GERAL'!$M$1="Nº de decks (maior primeiro)","K"&amp;RIGHT("00"&amp;(99-N(G553)),2)&amp;AH553&amp;RIGHT("00000"&amp;ROW(),5),"K"&amp;RIGHT("00000"&amp;ROW(),5))))))</f>
        <v/>
      </c>
      <c r="AJ553" s="11" t="str">
        <f aca="false">IF(AI553="","",COUNTIFS($AI$2:$AI$801,"&lt;"&amp;AI553,$E$2:$E$801,"&gt;0")+1)</f>
        <v/>
      </c>
      <c r="AK553" s="11" t="str">
        <f aca="false">IF(OR(A553="",N(E553)&lt;=0),"",COUNTIFS($AH$2:$AH$801,"&lt;"&amp;AH553,$E$2:$E$801,"&gt;0")+COUNTIFS($AH$2:AH553,AH553,$E$2:E553,"&gt;0"))</f>
        <v/>
      </c>
    </row>
    <row r="554" customFormat="false" ht="15" hidden="false" customHeight="false" outlineLevel="0" collapsed="false">
      <c r="A554" s="11" t="str">
        <f aca="false">IF(INVENTÁRIO!A554="","",INVENTÁRIO!A554)</f>
        <v/>
      </c>
      <c r="B554" s="11" t="str">
        <f aca="false">IF(A554="","",INVENTÁRIO!B554)</f>
        <v/>
      </c>
      <c r="C554" s="16" t="str">
        <f aca="false">IF(A554="","",INVENTÁRIO!C554)</f>
        <v/>
      </c>
      <c r="D554" s="14" t="str">
        <f aca="false">IF(A554="","",MAX(K554:AD554))</f>
        <v/>
      </c>
      <c r="E554" s="14" t="str">
        <f aca="false">IF(A554="","",MAX(0,D554-C554))</f>
        <v/>
      </c>
      <c r="F554" s="16" t="str">
        <f aca="false">IF(A554="","",IF(D554=0,"Fora dos decks",IF(E554=0,"Completo","Falta")))</f>
        <v/>
      </c>
      <c r="G554" s="16" t="str">
        <f aca="false">IF(A554="","",COUNTIF(K554:AD554,"&gt;0"))</f>
        <v/>
      </c>
      <c r="H554" s="16" t="str">
        <f aca="false">IF(A554="","",IF(G554&gt;1,"Sim",""))</f>
        <v/>
      </c>
      <c r="I554" s="18" t="str">
        <f aca="false">IF(A554="","",SUMIFS(DECKS!$D$2:$D$1201,DECKS!$B$2:$B$1201,A554))</f>
        <v/>
      </c>
      <c r="J554" s="18" t="str">
        <f aca="false">IF(A554="","",MAX(0,I554-C554))</f>
        <v/>
      </c>
      <c r="K554" s="19" t="str">
        <f aca="false">IF(OR($A554="",INDEX(_LEITURA!$Q$2:$Q$21,1)=0),"",SUMIFS(DECKS!$D$2:$D$1201,DECKS!$A$2:$A$1201,INDEX(_LEITURA!$P$2:$P$21,1),DECKS!$B$2:$B$1201,$A554))</f>
        <v/>
      </c>
      <c r="L554" s="19" t="str">
        <f aca="false">IF(OR($A554="",INDEX(_LEITURA!$Q$2:$Q$21,2)=0),"",SUMIFS(DECKS!$D$2:$D$1201,DECKS!$A$2:$A$1201,INDEX(_LEITURA!$P$2:$P$21,2),DECKS!$B$2:$B$1201,$A554))</f>
        <v/>
      </c>
      <c r="M554" s="19" t="str">
        <f aca="false">IF(OR($A554="",INDEX(_LEITURA!$Q$2:$Q$21,3)=0),"",SUMIFS(DECKS!$D$2:$D$1201,DECKS!$A$2:$A$1201,INDEX(_LEITURA!$P$2:$P$21,3),DECKS!$B$2:$B$1201,$A554))</f>
        <v/>
      </c>
      <c r="N554" s="19" t="str">
        <f aca="false">IF(OR($A554="",INDEX(_LEITURA!$Q$2:$Q$21,4)=0),"",SUMIFS(DECKS!$D$2:$D$1201,DECKS!$A$2:$A$1201,INDEX(_LEITURA!$P$2:$P$21,4),DECKS!$B$2:$B$1201,$A554))</f>
        <v/>
      </c>
      <c r="O554" s="19" t="str">
        <f aca="false">IF(OR($A554="",INDEX(_LEITURA!$Q$2:$Q$21,5)=0),"",SUMIFS(DECKS!$D$2:$D$1201,DECKS!$A$2:$A$1201,INDEX(_LEITURA!$P$2:$P$21,5),DECKS!$B$2:$B$1201,$A554))</f>
        <v/>
      </c>
      <c r="P554" s="19" t="str">
        <f aca="false">IF(OR($A554="",INDEX(_LEITURA!$Q$2:$Q$21,6)=0),"",SUMIFS(DECKS!$D$2:$D$1201,DECKS!$A$2:$A$1201,INDEX(_LEITURA!$P$2:$P$21,6),DECKS!$B$2:$B$1201,$A554))</f>
        <v/>
      </c>
      <c r="Q554" s="19" t="str">
        <f aca="false">IF(OR($A554="",INDEX(_LEITURA!$Q$2:$Q$21,7)=0),"",SUMIFS(DECKS!$D$2:$D$1201,DECKS!$A$2:$A$1201,INDEX(_LEITURA!$P$2:$P$21,7),DECKS!$B$2:$B$1201,$A554))</f>
        <v/>
      </c>
      <c r="R554" s="19" t="str">
        <f aca="false">IF(OR($A554="",INDEX(_LEITURA!$Q$2:$Q$21,8)=0),"",SUMIFS(DECKS!$D$2:$D$1201,DECKS!$A$2:$A$1201,INDEX(_LEITURA!$P$2:$P$21,8),DECKS!$B$2:$B$1201,$A554))</f>
        <v/>
      </c>
      <c r="S554" s="19" t="str">
        <f aca="false">IF(OR($A554="",INDEX(_LEITURA!$Q$2:$Q$21,9)=0),"",SUMIFS(DECKS!$D$2:$D$1201,DECKS!$A$2:$A$1201,INDEX(_LEITURA!$P$2:$P$21,9),DECKS!$B$2:$B$1201,$A554))</f>
        <v/>
      </c>
      <c r="T554" s="19" t="str">
        <f aca="false">IF(OR($A554="",INDEX(_LEITURA!$Q$2:$Q$21,10)=0),"",SUMIFS(DECKS!$D$2:$D$1201,DECKS!$A$2:$A$1201,INDEX(_LEITURA!$P$2:$P$21,10),DECKS!$B$2:$B$1201,$A554))</f>
        <v/>
      </c>
      <c r="U554" s="19" t="str">
        <f aca="false">IF(OR($A554="",INDEX(_LEITURA!$Q$2:$Q$21,11)=0),"",SUMIFS(DECKS!$D$2:$D$1201,DECKS!$A$2:$A$1201,INDEX(_LEITURA!$P$2:$P$21,11),DECKS!$B$2:$B$1201,$A554))</f>
        <v/>
      </c>
      <c r="V554" s="19" t="str">
        <f aca="false">IF(OR($A554="",INDEX(_LEITURA!$Q$2:$Q$21,12)=0),"",SUMIFS(DECKS!$D$2:$D$1201,DECKS!$A$2:$A$1201,INDEX(_LEITURA!$P$2:$P$21,12),DECKS!$B$2:$B$1201,$A554))</f>
        <v/>
      </c>
      <c r="W554" s="19" t="str">
        <f aca="false">IF(OR($A554="",INDEX(_LEITURA!$Q$2:$Q$21,13)=0),"",SUMIFS(DECKS!$D$2:$D$1201,DECKS!$A$2:$A$1201,INDEX(_LEITURA!$P$2:$P$21,13),DECKS!$B$2:$B$1201,$A554))</f>
        <v/>
      </c>
      <c r="X554" s="19" t="str">
        <f aca="false">IF(OR($A554="",INDEX(_LEITURA!$Q$2:$Q$21,14)=0),"",SUMIFS(DECKS!$D$2:$D$1201,DECKS!$A$2:$A$1201,INDEX(_LEITURA!$P$2:$P$21,14),DECKS!$B$2:$B$1201,$A554))</f>
        <v/>
      </c>
      <c r="Y554" s="19" t="str">
        <f aca="false">IF(OR($A554="",INDEX(_LEITURA!$Q$2:$Q$21,15)=0),"",SUMIFS(DECKS!$D$2:$D$1201,DECKS!$A$2:$A$1201,INDEX(_LEITURA!$P$2:$P$21,15),DECKS!$B$2:$B$1201,$A554))</f>
        <v/>
      </c>
      <c r="Z554" s="19" t="str">
        <f aca="false">IF(OR($A554="",INDEX(_LEITURA!$Q$2:$Q$21,16)=0),"",SUMIFS(DECKS!$D$2:$D$1201,DECKS!$A$2:$A$1201,INDEX(_LEITURA!$P$2:$P$21,16),DECKS!$B$2:$B$1201,$A554))</f>
        <v/>
      </c>
      <c r="AA554" s="19" t="str">
        <f aca="false">IF(OR($A554="",INDEX(_LEITURA!$Q$2:$Q$21,17)=0),"",SUMIFS(DECKS!$D$2:$D$1201,DECKS!$A$2:$A$1201,INDEX(_LEITURA!$P$2:$P$21,17),DECKS!$B$2:$B$1201,$A554))</f>
        <v/>
      </c>
      <c r="AB554" s="19" t="str">
        <f aca="false">IF(OR($A554="",INDEX(_LEITURA!$Q$2:$Q$21,18)=0),"",SUMIFS(DECKS!$D$2:$D$1201,DECKS!$A$2:$A$1201,INDEX(_LEITURA!$P$2:$P$21,18),DECKS!$B$2:$B$1201,$A554))</f>
        <v/>
      </c>
      <c r="AC554" s="19" t="str">
        <f aca="false">IF(OR($A554="",INDEX(_LEITURA!$Q$2:$Q$21,19)=0),"",SUMIFS(DECKS!$D$2:$D$1201,DECKS!$A$2:$A$1201,INDEX(_LEITURA!$P$2:$P$21,19),DECKS!$B$2:$B$1201,$A554))</f>
        <v/>
      </c>
      <c r="AD554" s="19" t="str">
        <f aca="false">IF(OR($A554="",INDEX(_LEITURA!$Q$2:$Q$21,20)=0),"",SUMIFS(DECKS!$D$2:$D$1201,DECKS!$A$2:$A$1201,INDEX(_LEITURA!$P$2:$P$21,20),DECKS!$B$2:$B$1201,$A554))</f>
        <v/>
      </c>
      <c r="AE554" s="16" t="str">
        <f aca="false">IF(N(E554)&gt;0,MAX(AE$1:AE553)+1,"")</f>
        <v/>
      </c>
      <c r="AF554" s="11" t="str">
        <f aca="false">IF(A554="","",IFERROR(LEFT(A554,FIND("-",A554)-1),A554))</f>
        <v/>
      </c>
      <c r="AG554" s="11" t="str">
        <f aca="false">IF(AF554="","",IF(ISNUMBER(--MID(AF554,1,1)),0,IF(ISNUMBER(--MID(AF554,2,1)),1,IF(ISNUMBER(--MID(AF554,3,1)),2,IF(ISNUMBER(--MID(AF554,4,1)),3,MIN(LEN(AF554),4))))))</f>
        <v/>
      </c>
      <c r="AH554" s="11" t="str">
        <f aca="false">IF(A554="","",LEFT(AF554,AG554)&amp;REPT("0",4-AG554)&amp;RIGHT("000"&amp;IFERROR(VALUE(MID(AF554,AG554+1,9)),0),3)&amp;RIGHT("0000"&amp;IFERROR(VALUE(MID(A554,FIND("-",A554)+1,9)),0),4))</f>
        <v/>
      </c>
      <c r="AI554" s="11" t="str">
        <f aca="false">IF(OR(A554="",N(E554)&lt;=0),"",IF('FALTAS GERAL'!$M$1="Código","K"&amp;AH554&amp;RIGHT("00000"&amp;ROW(),5),IF('FALTAS GERAL'!$M$1="Nome","K"&amp;UPPER(SUBSTITUTE(SUBSTITUTE(SUBSTITUTE(B554,"*",""),"?",""),"~",""))&amp;"0"&amp;AH554&amp;RIGHT("00000"&amp;ROW(),5),IF('FALTAS GERAL'!$M$1="Falta (maior primeiro)","K"&amp;RIGHT("0000"&amp;(9999-E554),4)&amp;AH554&amp;RIGHT("00000"&amp;ROW(),5),IF('FALTAS GERAL'!$M$1="Nº de decks (maior primeiro)","K"&amp;RIGHT("00"&amp;(99-N(G554)),2)&amp;AH554&amp;RIGHT("00000"&amp;ROW(),5),"K"&amp;RIGHT("00000"&amp;ROW(),5))))))</f>
        <v/>
      </c>
      <c r="AJ554" s="11" t="str">
        <f aca="false">IF(AI554="","",COUNTIFS($AI$2:$AI$801,"&lt;"&amp;AI554,$E$2:$E$801,"&gt;0")+1)</f>
        <v/>
      </c>
      <c r="AK554" s="11" t="str">
        <f aca="false">IF(OR(A554="",N(E554)&lt;=0),"",COUNTIFS($AH$2:$AH$801,"&lt;"&amp;AH554,$E$2:$E$801,"&gt;0")+COUNTIFS($AH$2:AH554,AH554,$E$2:E554,"&gt;0"))</f>
        <v/>
      </c>
    </row>
    <row r="555" customFormat="false" ht="15" hidden="false" customHeight="false" outlineLevel="0" collapsed="false">
      <c r="A555" s="11" t="str">
        <f aca="false">IF(INVENTÁRIO!A555="","",INVENTÁRIO!A555)</f>
        <v/>
      </c>
      <c r="B555" s="11" t="str">
        <f aca="false">IF(A555="","",INVENTÁRIO!B555)</f>
        <v/>
      </c>
      <c r="C555" s="16" t="str">
        <f aca="false">IF(A555="","",INVENTÁRIO!C555)</f>
        <v/>
      </c>
      <c r="D555" s="14" t="str">
        <f aca="false">IF(A555="","",MAX(K555:AD555))</f>
        <v/>
      </c>
      <c r="E555" s="14" t="str">
        <f aca="false">IF(A555="","",MAX(0,D555-C555))</f>
        <v/>
      </c>
      <c r="F555" s="16" t="str">
        <f aca="false">IF(A555="","",IF(D555=0,"Fora dos decks",IF(E555=0,"Completo","Falta")))</f>
        <v/>
      </c>
      <c r="G555" s="16" t="str">
        <f aca="false">IF(A555="","",COUNTIF(K555:AD555,"&gt;0"))</f>
        <v/>
      </c>
      <c r="H555" s="16" t="str">
        <f aca="false">IF(A555="","",IF(G555&gt;1,"Sim",""))</f>
        <v/>
      </c>
      <c r="I555" s="18" t="str">
        <f aca="false">IF(A555="","",SUMIFS(DECKS!$D$2:$D$1201,DECKS!$B$2:$B$1201,A555))</f>
        <v/>
      </c>
      <c r="J555" s="18" t="str">
        <f aca="false">IF(A555="","",MAX(0,I555-C555))</f>
        <v/>
      </c>
      <c r="K555" s="19" t="str">
        <f aca="false">IF(OR($A555="",INDEX(_LEITURA!$Q$2:$Q$21,1)=0),"",SUMIFS(DECKS!$D$2:$D$1201,DECKS!$A$2:$A$1201,INDEX(_LEITURA!$P$2:$P$21,1),DECKS!$B$2:$B$1201,$A555))</f>
        <v/>
      </c>
      <c r="L555" s="19" t="str">
        <f aca="false">IF(OR($A555="",INDEX(_LEITURA!$Q$2:$Q$21,2)=0),"",SUMIFS(DECKS!$D$2:$D$1201,DECKS!$A$2:$A$1201,INDEX(_LEITURA!$P$2:$P$21,2),DECKS!$B$2:$B$1201,$A555))</f>
        <v/>
      </c>
      <c r="M555" s="19" t="str">
        <f aca="false">IF(OR($A555="",INDEX(_LEITURA!$Q$2:$Q$21,3)=0),"",SUMIFS(DECKS!$D$2:$D$1201,DECKS!$A$2:$A$1201,INDEX(_LEITURA!$P$2:$P$21,3),DECKS!$B$2:$B$1201,$A555))</f>
        <v/>
      </c>
      <c r="N555" s="19" t="str">
        <f aca="false">IF(OR($A555="",INDEX(_LEITURA!$Q$2:$Q$21,4)=0),"",SUMIFS(DECKS!$D$2:$D$1201,DECKS!$A$2:$A$1201,INDEX(_LEITURA!$P$2:$P$21,4),DECKS!$B$2:$B$1201,$A555))</f>
        <v/>
      </c>
      <c r="O555" s="19" t="str">
        <f aca="false">IF(OR($A555="",INDEX(_LEITURA!$Q$2:$Q$21,5)=0),"",SUMIFS(DECKS!$D$2:$D$1201,DECKS!$A$2:$A$1201,INDEX(_LEITURA!$P$2:$P$21,5),DECKS!$B$2:$B$1201,$A555))</f>
        <v/>
      </c>
      <c r="P555" s="19" t="str">
        <f aca="false">IF(OR($A555="",INDEX(_LEITURA!$Q$2:$Q$21,6)=0),"",SUMIFS(DECKS!$D$2:$D$1201,DECKS!$A$2:$A$1201,INDEX(_LEITURA!$P$2:$P$21,6),DECKS!$B$2:$B$1201,$A555))</f>
        <v/>
      </c>
      <c r="Q555" s="19" t="str">
        <f aca="false">IF(OR($A555="",INDEX(_LEITURA!$Q$2:$Q$21,7)=0),"",SUMIFS(DECKS!$D$2:$D$1201,DECKS!$A$2:$A$1201,INDEX(_LEITURA!$P$2:$P$21,7),DECKS!$B$2:$B$1201,$A555))</f>
        <v/>
      </c>
      <c r="R555" s="19" t="str">
        <f aca="false">IF(OR($A555="",INDEX(_LEITURA!$Q$2:$Q$21,8)=0),"",SUMIFS(DECKS!$D$2:$D$1201,DECKS!$A$2:$A$1201,INDEX(_LEITURA!$P$2:$P$21,8),DECKS!$B$2:$B$1201,$A555))</f>
        <v/>
      </c>
      <c r="S555" s="19" t="str">
        <f aca="false">IF(OR($A555="",INDEX(_LEITURA!$Q$2:$Q$21,9)=0),"",SUMIFS(DECKS!$D$2:$D$1201,DECKS!$A$2:$A$1201,INDEX(_LEITURA!$P$2:$P$21,9),DECKS!$B$2:$B$1201,$A555))</f>
        <v/>
      </c>
      <c r="T555" s="19" t="str">
        <f aca="false">IF(OR($A555="",INDEX(_LEITURA!$Q$2:$Q$21,10)=0),"",SUMIFS(DECKS!$D$2:$D$1201,DECKS!$A$2:$A$1201,INDEX(_LEITURA!$P$2:$P$21,10),DECKS!$B$2:$B$1201,$A555))</f>
        <v/>
      </c>
      <c r="U555" s="19" t="str">
        <f aca="false">IF(OR($A555="",INDEX(_LEITURA!$Q$2:$Q$21,11)=0),"",SUMIFS(DECKS!$D$2:$D$1201,DECKS!$A$2:$A$1201,INDEX(_LEITURA!$P$2:$P$21,11),DECKS!$B$2:$B$1201,$A555))</f>
        <v/>
      </c>
      <c r="V555" s="19" t="str">
        <f aca="false">IF(OR($A555="",INDEX(_LEITURA!$Q$2:$Q$21,12)=0),"",SUMIFS(DECKS!$D$2:$D$1201,DECKS!$A$2:$A$1201,INDEX(_LEITURA!$P$2:$P$21,12),DECKS!$B$2:$B$1201,$A555))</f>
        <v/>
      </c>
      <c r="W555" s="19" t="str">
        <f aca="false">IF(OR($A555="",INDEX(_LEITURA!$Q$2:$Q$21,13)=0),"",SUMIFS(DECKS!$D$2:$D$1201,DECKS!$A$2:$A$1201,INDEX(_LEITURA!$P$2:$P$21,13),DECKS!$B$2:$B$1201,$A555))</f>
        <v/>
      </c>
      <c r="X555" s="19" t="str">
        <f aca="false">IF(OR($A555="",INDEX(_LEITURA!$Q$2:$Q$21,14)=0),"",SUMIFS(DECKS!$D$2:$D$1201,DECKS!$A$2:$A$1201,INDEX(_LEITURA!$P$2:$P$21,14),DECKS!$B$2:$B$1201,$A555))</f>
        <v/>
      </c>
      <c r="Y555" s="19" t="str">
        <f aca="false">IF(OR($A555="",INDEX(_LEITURA!$Q$2:$Q$21,15)=0),"",SUMIFS(DECKS!$D$2:$D$1201,DECKS!$A$2:$A$1201,INDEX(_LEITURA!$P$2:$P$21,15),DECKS!$B$2:$B$1201,$A555))</f>
        <v/>
      </c>
      <c r="Z555" s="19" t="str">
        <f aca="false">IF(OR($A555="",INDEX(_LEITURA!$Q$2:$Q$21,16)=0),"",SUMIFS(DECKS!$D$2:$D$1201,DECKS!$A$2:$A$1201,INDEX(_LEITURA!$P$2:$P$21,16),DECKS!$B$2:$B$1201,$A555))</f>
        <v/>
      </c>
      <c r="AA555" s="19" t="str">
        <f aca="false">IF(OR($A555="",INDEX(_LEITURA!$Q$2:$Q$21,17)=0),"",SUMIFS(DECKS!$D$2:$D$1201,DECKS!$A$2:$A$1201,INDEX(_LEITURA!$P$2:$P$21,17),DECKS!$B$2:$B$1201,$A555))</f>
        <v/>
      </c>
      <c r="AB555" s="19" t="str">
        <f aca="false">IF(OR($A555="",INDEX(_LEITURA!$Q$2:$Q$21,18)=0),"",SUMIFS(DECKS!$D$2:$D$1201,DECKS!$A$2:$A$1201,INDEX(_LEITURA!$P$2:$P$21,18),DECKS!$B$2:$B$1201,$A555))</f>
        <v/>
      </c>
      <c r="AC555" s="19" t="str">
        <f aca="false">IF(OR($A555="",INDEX(_LEITURA!$Q$2:$Q$21,19)=0),"",SUMIFS(DECKS!$D$2:$D$1201,DECKS!$A$2:$A$1201,INDEX(_LEITURA!$P$2:$P$21,19),DECKS!$B$2:$B$1201,$A555))</f>
        <v/>
      </c>
      <c r="AD555" s="19" t="str">
        <f aca="false">IF(OR($A555="",INDEX(_LEITURA!$Q$2:$Q$21,20)=0),"",SUMIFS(DECKS!$D$2:$D$1201,DECKS!$A$2:$A$1201,INDEX(_LEITURA!$P$2:$P$21,20),DECKS!$B$2:$B$1201,$A555))</f>
        <v/>
      </c>
      <c r="AE555" s="16" t="str">
        <f aca="false">IF(N(E555)&gt;0,MAX(AE$1:AE554)+1,"")</f>
        <v/>
      </c>
      <c r="AF555" s="11" t="str">
        <f aca="false">IF(A555="","",IFERROR(LEFT(A555,FIND("-",A555)-1),A555))</f>
        <v/>
      </c>
      <c r="AG555" s="11" t="str">
        <f aca="false">IF(AF555="","",IF(ISNUMBER(--MID(AF555,1,1)),0,IF(ISNUMBER(--MID(AF555,2,1)),1,IF(ISNUMBER(--MID(AF555,3,1)),2,IF(ISNUMBER(--MID(AF555,4,1)),3,MIN(LEN(AF555),4))))))</f>
        <v/>
      </c>
      <c r="AH555" s="11" t="str">
        <f aca="false">IF(A555="","",LEFT(AF555,AG555)&amp;REPT("0",4-AG555)&amp;RIGHT("000"&amp;IFERROR(VALUE(MID(AF555,AG555+1,9)),0),3)&amp;RIGHT("0000"&amp;IFERROR(VALUE(MID(A555,FIND("-",A555)+1,9)),0),4))</f>
        <v/>
      </c>
      <c r="AI555" s="11" t="str">
        <f aca="false">IF(OR(A555="",N(E555)&lt;=0),"",IF('FALTAS GERAL'!$M$1="Código","K"&amp;AH555&amp;RIGHT("00000"&amp;ROW(),5),IF('FALTAS GERAL'!$M$1="Nome","K"&amp;UPPER(SUBSTITUTE(SUBSTITUTE(SUBSTITUTE(B555,"*",""),"?",""),"~",""))&amp;"0"&amp;AH555&amp;RIGHT("00000"&amp;ROW(),5),IF('FALTAS GERAL'!$M$1="Falta (maior primeiro)","K"&amp;RIGHT("0000"&amp;(9999-E555),4)&amp;AH555&amp;RIGHT("00000"&amp;ROW(),5),IF('FALTAS GERAL'!$M$1="Nº de decks (maior primeiro)","K"&amp;RIGHT("00"&amp;(99-N(G555)),2)&amp;AH555&amp;RIGHT("00000"&amp;ROW(),5),"K"&amp;RIGHT("00000"&amp;ROW(),5))))))</f>
        <v/>
      </c>
      <c r="AJ555" s="11" t="str">
        <f aca="false">IF(AI555="","",COUNTIFS($AI$2:$AI$801,"&lt;"&amp;AI555,$E$2:$E$801,"&gt;0")+1)</f>
        <v/>
      </c>
      <c r="AK555" s="11" t="str">
        <f aca="false">IF(OR(A555="",N(E555)&lt;=0),"",COUNTIFS($AH$2:$AH$801,"&lt;"&amp;AH555,$E$2:$E$801,"&gt;0")+COUNTIFS($AH$2:AH555,AH555,$E$2:E555,"&gt;0"))</f>
        <v/>
      </c>
    </row>
    <row r="556" customFormat="false" ht="15" hidden="false" customHeight="false" outlineLevel="0" collapsed="false">
      <c r="A556" s="11" t="str">
        <f aca="false">IF(INVENTÁRIO!A556="","",INVENTÁRIO!A556)</f>
        <v/>
      </c>
      <c r="B556" s="11" t="str">
        <f aca="false">IF(A556="","",INVENTÁRIO!B556)</f>
        <v/>
      </c>
      <c r="C556" s="16" t="str">
        <f aca="false">IF(A556="","",INVENTÁRIO!C556)</f>
        <v/>
      </c>
      <c r="D556" s="14" t="str">
        <f aca="false">IF(A556="","",MAX(K556:AD556))</f>
        <v/>
      </c>
      <c r="E556" s="14" t="str">
        <f aca="false">IF(A556="","",MAX(0,D556-C556))</f>
        <v/>
      </c>
      <c r="F556" s="16" t="str">
        <f aca="false">IF(A556="","",IF(D556=0,"Fora dos decks",IF(E556=0,"Completo","Falta")))</f>
        <v/>
      </c>
      <c r="G556" s="16" t="str">
        <f aca="false">IF(A556="","",COUNTIF(K556:AD556,"&gt;0"))</f>
        <v/>
      </c>
      <c r="H556" s="16" t="str">
        <f aca="false">IF(A556="","",IF(G556&gt;1,"Sim",""))</f>
        <v/>
      </c>
      <c r="I556" s="18" t="str">
        <f aca="false">IF(A556="","",SUMIFS(DECKS!$D$2:$D$1201,DECKS!$B$2:$B$1201,A556))</f>
        <v/>
      </c>
      <c r="J556" s="18" t="str">
        <f aca="false">IF(A556="","",MAX(0,I556-C556))</f>
        <v/>
      </c>
      <c r="K556" s="19" t="str">
        <f aca="false">IF(OR($A556="",INDEX(_LEITURA!$Q$2:$Q$21,1)=0),"",SUMIFS(DECKS!$D$2:$D$1201,DECKS!$A$2:$A$1201,INDEX(_LEITURA!$P$2:$P$21,1),DECKS!$B$2:$B$1201,$A556))</f>
        <v/>
      </c>
      <c r="L556" s="19" t="str">
        <f aca="false">IF(OR($A556="",INDEX(_LEITURA!$Q$2:$Q$21,2)=0),"",SUMIFS(DECKS!$D$2:$D$1201,DECKS!$A$2:$A$1201,INDEX(_LEITURA!$P$2:$P$21,2),DECKS!$B$2:$B$1201,$A556))</f>
        <v/>
      </c>
      <c r="M556" s="19" t="str">
        <f aca="false">IF(OR($A556="",INDEX(_LEITURA!$Q$2:$Q$21,3)=0),"",SUMIFS(DECKS!$D$2:$D$1201,DECKS!$A$2:$A$1201,INDEX(_LEITURA!$P$2:$P$21,3),DECKS!$B$2:$B$1201,$A556))</f>
        <v/>
      </c>
      <c r="N556" s="19" t="str">
        <f aca="false">IF(OR($A556="",INDEX(_LEITURA!$Q$2:$Q$21,4)=0),"",SUMIFS(DECKS!$D$2:$D$1201,DECKS!$A$2:$A$1201,INDEX(_LEITURA!$P$2:$P$21,4),DECKS!$B$2:$B$1201,$A556))</f>
        <v/>
      </c>
      <c r="O556" s="19" t="str">
        <f aca="false">IF(OR($A556="",INDEX(_LEITURA!$Q$2:$Q$21,5)=0),"",SUMIFS(DECKS!$D$2:$D$1201,DECKS!$A$2:$A$1201,INDEX(_LEITURA!$P$2:$P$21,5),DECKS!$B$2:$B$1201,$A556))</f>
        <v/>
      </c>
      <c r="P556" s="19" t="str">
        <f aca="false">IF(OR($A556="",INDEX(_LEITURA!$Q$2:$Q$21,6)=0),"",SUMIFS(DECKS!$D$2:$D$1201,DECKS!$A$2:$A$1201,INDEX(_LEITURA!$P$2:$P$21,6),DECKS!$B$2:$B$1201,$A556))</f>
        <v/>
      </c>
      <c r="Q556" s="19" t="str">
        <f aca="false">IF(OR($A556="",INDEX(_LEITURA!$Q$2:$Q$21,7)=0),"",SUMIFS(DECKS!$D$2:$D$1201,DECKS!$A$2:$A$1201,INDEX(_LEITURA!$P$2:$P$21,7),DECKS!$B$2:$B$1201,$A556))</f>
        <v/>
      </c>
      <c r="R556" s="19" t="str">
        <f aca="false">IF(OR($A556="",INDEX(_LEITURA!$Q$2:$Q$21,8)=0),"",SUMIFS(DECKS!$D$2:$D$1201,DECKS!$A$2:$A$1201,INDEX(_LEITURA!$P$2:$P$21,8),DECKS!$B$2:$B$1201,$A556))</f>
        <v/>
      </c>
      <c r="S556" s="19" t="str">
        <f aca="false">IF(OR($A556="",INDEX(_LEITURA!$Q$2:$Q$21,9)=0),"",SUMIFS(DECKS!$D$2:$D$1201,DECKS!$A$2:$A$1201,INDEX(_LEITURA!$P$2:$P$21,9),DECKS!$B$2:$B$1201,$A556))</f>
        <v/>
      </c>
      <c r="T556" s="19" t="str">
        <f aca="false">IF(OR($A556="",INDEX(_LEITURA!$Q$2:$Q$21,10)=0),"",SUMIFS(DECKS!$D$2:$D$1201,DECKS!$A$2:$A$1201,INDEX(_LEITURA!$P$2:$P$21,10),DECKS!$B$2:$B$1201,$A556))</f>
        <v/>
      </c>
      <c r="U556" s="19" t="str">
        <f aca="false">IF(OR($A556="",INDEX(_LEITURA!$Q$2:$Q$21,11)=0),"",SUMIFS(DECKS!$D$2:$D$1201,DECKS!$A$2:$A$1201,INDEX(_LEITURA!$P$2:$P$21,11),DECKS!$B$2:$B$1201,$A556))</f>
        <v/>
      </c>
      <c r="V556" s="19" t="str">
        <f aca="false">IF(OR($A556="",INDEX(_LEITURA!$Q$2:$Q$21,12)=0),"",SUMIFS(DECKS!$D$2:$D$1201,DECKS!$A$2:$A$1201,INDEX(_LEITURA!$P$2:$P$21,12),DECKS!$B$2:$B$1201,$A556))</f>
        <v/>
      </c>
      <c r="W556" s="19" t="str">
        <f aca="false">IF(OR($A556="",INDEX(_LEITURA!$Q$2:$Q$21,13)=0),"",SUMIFS(DECKS!$D$2:$D$1201,DECKS!$A$2:$A$1201,INDEX(_LEITURA!$P$2:$P$21,13),DECKS!$B$2:$B$1201,$A556))</f>
        <v/>
      </c>
      <c r="X556" s="19" t="str">
        <f aca="false">IF(OR($A556="",INDEX(_LEITURA!$Q$2:$Q$21,14)=0),"",SUMIFS(DECKS!$D$2:$D$1201,DECKS!$A$2:$A$1201,INDEX(_LEITURA!$P$2:$P$21,14),DECKS!$B$2:$B$1201,$A556))</f>
        <v/>
      </c>
      <c r="Y556" s="19" t="str">
        <f aca="false">IF(OR($A556="",INDEX(_LEITURA!$Q$2:$Q$21,15)=0),"",SUMIFS(DECKS!$D$2:$D$1201,DECKS!$A$2:$A$1201,INDEX(_LEITURA!$P$2:$P$21,15),DECKS!$B$2:$B$1201,$A556))</f>
        <v/>
      </c>
      <c r="Z556" s="19" t="str">
        <f aca="false">IF(OR($A556="",INDEX(_LEITURA!$Q$2:$Q$21,16)=0),"",SUMIFS(DECKS!$D$2:$D$1201,DECKS!$A$2:$A$1201,INDEX(_LEITURA!$P$2:$P$21,16),DECKS!$B$2:$B$1201,$A556))</f>
        <v/>
      </c>
      <c r="AA556" s="19" t="str">
        <f aca="false">IF(OR($A556="",INDEX(_LEITURA!$Q$2:$Q$21,17)=0),"",SUMIFS(DECKS!$D$2:$D$1201,DECKS!$A$2:$A$1201,INDEX(_LEITURA!$P$2:$P$21,17),DECKS!$B$2:$B$1201,$A556))</f>
        <v/>
      </c>
      <c r="AB556" s="19" t="str">
        <f aca="false">IF(OR($A556="",INDEX(_LEITURA!$Q$2:$Q$21,18)=0),"",SUMIFS(DECKS!$D$2:$D$1201,DECKS!$A$2:$A$1201,INDEX(_LEITURA!$P$2:$P$21,18),DECKS!$B$2:$B$1201,$A556))</f>
        <v/>
      </c>
      <c r="AC556" s="19" t="str">
        <f aca="false">IF(OR($A556="",INDEX(_LEITURA!$Q$2:$Q$21,19)=0),"",SUMIFS(DECKS!$D$2:$D$1201,DECKS!$A$2:$A$1201,INDEX(_LEITURA!$P$2:$P$21,19),DECKS!$B$2:$B$1201,$A556))</f>
        <v/>
      </c>
      <c r="AD556" s="19" t="str">
        <f aca="false">IF(OR($A556="",INDEX(_LEITURA!$Q$2:$Q$21,20)=0),"",SUMIFS(DECKS!$D$2:$D$1201,DECKS!$A$2:$A$1201,INDEX(_LEITURA!$P$2:$P$21,20),DECKS!$B$2:$B$1201,$A556))</f>
        <v/>
      </c>
      <c r="AE556" s="16" t="str">
        <f aca="false">IF(N(E556)&gt;0,MAX(AE$1:AE555)+1,"")</f>
        <v/>
      </c>
      <c r="AF556" s="11" t="str">
        <f aca="false">IF(A556="","",IFERROR(LEFT(A556,FIND("-",A556)-1),A556))</f>
        <v/>
      </c>
      <c r="AG556" s="11" t="str">
        <f aca="false">IF(AF556="","",IF(ISNUMBER(--MID(AF556,1,1)),0,IF(ISNUMBER(--MID(AF556,2,1)),1,IF(ISNUMBER(--MID(AF556,3,1)),2,IF(ISNUMBER(--MID(AF556,4,1)),3,MIN(LEN(AF556),4))))))</f>
        <v/>
      </c>
      <c r="AH556" s="11" t="str">
        <f aca="false">IF(A556="","",LEFT(AF556,AG556)&amp;REPT("0",4-AG556)&amp;RIGHT("000"&amp;IFERROR(VALUE(MID(AF556,AG556+1,9)),0),3)&amp;RIGHT("0000"&amp;IFERROR(VALUE(MID(A556,FIND("-",A556)+1,9)),0),4))</f>
        <v/>
      </c>
      <c r="AI556" s="11" t="str">
        <f aca="false">IF(OR(A556="",N(E556)&lt;=0),"",IF('FALTAS GERAL'!$M$1="Código","K"&amp;AH556&amp;RIGHT("00000"&amp;ROW(),5),IF('FALTAS GERAL'!$M$1="Nome","K"&amp;UPPER(SUBSTITUTE(SUBSTITUTE(SUBSTITUTE(B556,"*",""),"?",""),"~",""))&amp;"0"&amp;AH556&amp;RIGHT("00000"&amp;ROW(),5),IF('FALTAS GERAL'!$M$1="Falta (maior primeiro)","K"&amp;RIGHT("0000"&amp;(9999-E556),4)&amp;AH556&amp;RIGHT("00000"&amp;ROW(),5),IF('FALTAS GERAL'!$M$1="Nº de decks (maior primeiro)","K"&amp;RIGHT("00"&amp;(99-N(G556)),2)&amp;AH556&amp;RIGHT("00000"&amp;ROW(),5),"K"&amp;RIGHT("00000"&amp;ROW(),5))))))</f>
        <v/>
      </c>
      <c r="AJ556" s="11" t="str">
        <f aca="false">IF(AI556="","",COUNTIFS($AI$2:$AI$801,"&lt;"&amp;AI556,$E$2:$E$801,"&gt;0")+1)</f>
        <v/>
      </c>
      <c r="AK556" s="11" t="str">
        <f aca="false">IF(OR(A556="",N(E556)&lt;=0),"",COUNTIFS($AH$2:$AH$801,"&lt;"&amp;AH556,$E$2:$E$801,"&gt;0")+COUNTIFS($AH$2:AH556,AH556,$E$2:E556,"&gt;0"))</f>
        <v/>
      </c>
    </row>
    <row r="557" customFormat="false" ht="15" hidden="false" customHeight="false" outlineLevel="0" collapsed="false">
      <c r="A557" s="11" t="str">
        <f aca="false">IF(INVENTÁRIO!A557="","",INVENTÁRIO!A557)</f>
        <v/>
      </c>
      <c r="B557" s="11" t="str">
        <f aca="false">IF(A557="","",INVENTÁRIO!B557)</f>
        <v/>
      </c>
      <c r="C557" s="16" t="str">
        <f aca="false">IF(A557="","",INVENTÁRIO!C557)</f>
        <v/>
      </c>
      <c r="D557" s="14" t="str">
        <f aca="false">IF(A557="","",MAX(K557:AD557))</f>
        <v/>
      </c>
      <c r="E557" s="14" t="str">
        <f aca="false">IF(A557="","",MAX(0,D557-C557))</f>
        <v/>
      </c>
      <c r="F557" s="16" t="str">
        <f aca="false">IF(A557="","",IF(D557=0,"Fora dos decks",IF(E557=0,"Completo","Falta")))</f>
        <v/>
      </c>
      <c r="G557" s="16" t="str">
        <f aca="false">IF(A557="","",COUNTIF(K557:AD557,"&gt;0"))</f>
        <v/>
      </c>
      <c r="H557" s="16" t="str">
        <f aca="false">IF(A557="","",IF(G557&gt;1,"Sim",""))</f>
        <v/>
      </c>
      <c r="I557" s="18" t="str">
        <f aca="false">IF(A557="","",SUMIFS(DECKS!$D$2:$D$1201,DECKS!$B$2:$B$1201,A557))</f>
        <v/>
      </c>
      <c r="J557" s="18" t="str">
        <f aca="false">IF(A557="","",MAX(0,I557-C557))</f>
        <v/>
      </c>
      <c r="K557" s="19" t="str">
        <f aca="false">IF(OR($A557="",INDEX(_LEITURA!$Q$2:$Q$21,1)=0),"",SUMIFS(DECKS!$D$2:$D$1201,DECKS!$A$2:$A$1201,INDEX(_LEITURA!$P$2:$P$21,1),DECKS!$B$2:$B$1201,$A557))</f>
        <v/>
      </c>
      <c r="L557" s="19" t="str">
        <f aca="false">IF(OR($A557="",INDEX(_LEITURA!$Q$2:$Q$21,2)=0),"",SUMIFS(DECKS!$D$2:$D$1201,DECKS!$A$2:$A$1201,INDEX(_LEITURA!$P$2:$P$21,2),DECKS!$B$2:$B$1201,$A557))</f>
        <v/>
      </c>
      <c r="M557" s="19" t="str">
        <f aca="false">IF(OR($A557="",INDEX(_LEITURA!$Q$2:$Q$21,3)=0),"",SUMIFS(DECKS!$D$2:$D$1201,DECKS!$A$2:$A$1201,INDEX(_LEITURA!$P$2:$P$21,3),DECKS!$B$2:$B$1201,$A557))</f>
        <v/>
      </c>
      <c r="N557" s="19" t="str">
        <f aca="false">IF(OR($A557="",INDEX(_LEITURA!$Q$2:$Q$21,4)=0),"",SUMIFS(DECKS!$D$2:$D$1201,DECKS!$A$2:$A$1201,INDEX(_LEITURA!$P$2:$P$21,4),DECKS!$B$2:$B$1201,$A557))</f>
        <v/>
      </c>
      <c r="O557" s="19" t="str">
        <f aca="false">IF(OR($A557="",INDEX(_LEITURA!$Q$2:$Q$21,5)=0),"",SUMIFS(DECKS!$D$2:$D$1201,DECKS!$A$2:$A$1201,INDEX(_LEITURA!$P$2:$P$21,5),DECKS!$B$2:$B$1201,$A557))</f>
        <v/>
      </c>
      <c r="P557" s="19" t="str">
        <f aca="false">IF(OR($A557="",INDEX(_LEITURA!$Q$2:$Q$21,6)=0),"",SUMIFS(DECKS!$D$2:$D$1201,DECKS!$A$2:$A$1201,INDEX(_LEITURA!$P$2:$P$21,6),DECKS!$B$2:$B$1201,$A557))</f>
        <v/>
      </c>
      <c r="Q557" s="19" t="str">
        <f aca="false">IF(OR($A557="",INDEX(_LEITURA!$Q$2:$Q$21,7)=0),"",SUMIFS(DECKS!$D$2:$D$1201,DECKS!$A$2:$A$1201,INDEX(_LEITURA!$P$2:$P$21,7),DECKS!$B$2:$B$1201,$A557))</f>
        <v/>
      </c>
      <c r="R557" s="19" t="str">
        <f aca="false">IF(OR($A557="",INDEX(_LEITURA!$Q$2:$Q$21,8)=0),"",SUMIFS(DECKS!$D$2:$D$1201,DECKS!$A$2:$A$1201,INDEX(_LEITURA!$P$2:$P$21,8),DECKS!$B$2:$B$1201,$A557))</f>
        <v/>
      </c>
      <c r="S557" s="19" t="str">
        <f aca="false">IF(OR($A557="",INDEX(_LEITURA!$Q$2:$Q$21,9)=0),"",SUMIFS(DECKS!$D$2:$D$1201,DECKS!$A$2:$A$1201,INDEX(_LEITURA!$P$2:$P$21,9),DECKS!$B$2:$B$1201,$A557))</f>
        <v/>
      </c>
      <c r="T557" s="19" t="str">
        <f aca="false">IF(OR($A557="",INDEX(_LEITURA!$Q$2:$Q$21,10)=0),"",SUMIFS(DECKS!$D$2:$D$1201,DECKS!$A$2:$A$1201,INDEX(_LEITURA!$P$2:$P$21,10),DECKS!$B$2:$B$1201,$A557))</f>
        <v/>
      </c>
      <c r="U557" s="19" t="str">
        <f aca="false">IF(OR($A557="",INDEX(_LEITURA!$Q$2:$Q$21,11)=0),"",SUMIFS(DECKS!$D$2:$D$1201,DECKS!$A$2:$A$1201,INDEX(_LEITURA!$P$2:$P$21,11),DECKS!$B$2:$B$1201,$A557))</f>
        <v/>
      </c>
      <c r="V557" s="19" t="str">
        <f aca="false">IF(OR($A557="",INDEX(_LEITURA!$Q$2:$Q$21,12)=0),"",SUMIFS(DECKS!$D$2:$D$1201,DECKS!$A$2:$A$1201,INDEX(_LEITURA!$P$2:$P$21,12),DECKS!$B$2:$B$1201,$A557))</f>
        <v/>
      </c>
      <c r="W557" s="19" t="str">
        <f aca="false">IF(OR($A557="",INDEX(_LEITURA!$Q$2:$Q$21,13)=0),"",SUMIFS(DECKS!$D$2:$D$1201,DECKS!$A$2:$A$1201,INDEX(_LEITURA!$P$2:$P$21,13),DECKS!$B$2:$B$1201,$A557))</f>
        <v/>
      </c>
      <c r="X557" s="19" t="str">
        <f aca="false">IF(OR($A557="",INDEX(_LEITURA!$Q$2:$Q$21,14)=0),"",SUMIFS(DECKS!$D$2:$D$1201,DECKS!$A$2:$A$1201,INDEX(_LEITURA!$P$2:$P$21,14),DECKS!$B$2:$B$1201,$A557))</f>
        <v/>
      </c>
      <c r="Y557" s="19" t="str">
        <f aca="false">IF(OR($A557="",INDEX(_LEITURA!$Q$2:$Q$21,15)=0),"",SUMIFS(DECKS!$D$2:$D$1201,DECKS!$A$2:$A$1201,INDEX(_LEITURA!$P$2:$P$21,15),DECKS!$B$2:$B$1201,$A557))</f>
        <v/>
      </c>
      <c r="Z557" s="19" t="str">
        <f aca="false">IF(OR($A557="",INDEX(_LEITURA!$Q$2:$Q$21,16)=0),"",SUMIFS(DECKS!$D$2:$D$1201,DECKS!$A$2:$A$1201,INDEX(_LEITURA!$P$2:$P$21,16),DECKS!$B$2:$B$1201,$A557))</f>
        <v/>
      </c>
      <c r="AA557" s="19" t="str">
        <f aca="false">IF(OR($A557="",INDEX(_LEITURA!$Q$2:$Q$21,17)=0),"",SUMIFS(DECKS!$D$2:$D$1201,DECKS!$A$2:$A$1201,INDEX(_LEITURA!$P$2:$P$21,17),DECKS!$B$2:$B$1201,$A557))</f>
        <v/>
      </c>
      <c r="AB557" s="19" t="str">
        <f aca="false">IF(OR($A557="",INDEX(_LEITURA!$Q$2:$Q$21,18)=0),"",SUMIFS(DECKS!$D$2:$D$1201,DECKS!$A$2:$A$1201,INDEX(_LEITURA!$P$2:$P$21,18),DECKS!$B$2:$B$1201,$A557))</f>
        <v/>
      </c>
      <c r="AC557" s="19" t="str">
        <f aca="false">IF(OR($A557="",INDEX(_LEITURA!$Q$2:$Q$21,19)=0),"",SUMIFS(DECKS!$D$2:$D$1201,DECKS!$A$2:$A$1201,INDEX(_LEITURA!$P$2:$P$21,19),DECKS!$B$2:$B$1201,$A557))</f>
        <v/>
      </c>
      <c r="AD557" s="19" t="str">
        <f aca="false">IF(OR($A557="",INDEX(_LEITURA!$Q$2:$Q$21,20)=0),"",SUMIFS(DECKS!$D$2:$D$1201,DECKS!$A$2:$A$1201,INDEX(_LEITURA!$P$2:$P$21,20),DECKS!$B$2:$B$1201,$A557))</f>
        <v/>
      </c>
      <c r="AE557" s="16" t="str">
        <f aca="false">IF(N(E557)&gt;0,MAX(AE$1:AE556)+1,"")</f>
        <v/>
      </c>
      <c r="AF557" s="11" t="str">
        <f aca="false">IF(A557="","",IFERROR(LEFT(A557,FIND("-",A557)-1),A557))</f>
        <v/>
      </c>
      <c r="AG557" s="11" t="str">
        <f aca="false">IF(AF557="","",IF(ISNUMBER(--MID(AF557,1,1)),0,IF(ISNUMBER(--MID(AF557,2,1)),1,IF(ISNUMBER(--MID(AF557,3,1)),2,IF(ISNUMBER(--MID(AF557,4,1)),3,MIN(LEN(AF557),4))))))</f>
        <v/>
      </c>
      <c r="AH557" s="11" t="str">
        <f aca="false">IF(A557="","",LEFT(AF557,AG557)&amp;REPT("0",4-AG557)&amp;RIGHT("000"&amp;IFERROR(VALUE(MID(AF557,AG557+1,9)),0),3)&amp;RIGHT("0000"&amp;IFERROR(VALUE(MID(A557,FIND("-",A557)+1,9)),0),4))</f>
        <v/>
      </c>
      <c r="AI557" s="11" t="str">
        <f aca="false">IF(OR(A557="",N(E557)&lt;=0),"",IF('FALTAS GERAL'!$M$1="Código","K"&amp;AH557&amp;RIGHT("00000"&amp;ROW(),5),IF('FALTAS GERAL'!$M$1="Nome","K"&amp;UPPER(SUBSTITUTE(SUBSTITUTE(SUBSTITUTE(B557,"*",""),"?",""),"~",""))&amp;"0"&amp;AH557&amp;RIGHT("00000"&amp;ROW(),5),IF('FALTAS GERAL'!$M$1="Falta (maior primeiro)","K"&amp;RIGHT("0000"&amp;(9999-E557),4)&amp;AH557&amp;RIGHT("00000"&amp;ROW(),5),IF('FALTAS GERAL'!$M$1="Nº de decks (maior primeiro)","K"&amp;RIGHT("00"&amp;(99-N(G557)),2)&amp;AH557&amp;RIGHT("00000"&amp;ROW(),5),"K"&amp;RIGHT("00000"&amp;ROW(),5))))))</f>
        <v/>
      </c>
      <c r="AJ557" s="11" t="str">
        <f aca="false">IF(AI557="","",COUNTIFS($AI$2:$AI$801,"&lt;"&amp;AI557,$E$2:$E$801,"&gt;0")+1)</f>
        <v/>
      </c>
      <c r="AK557" s="11" t="str">
        <f aca="false">IF(OR(A557="",N(E557)&lt;=0),"",COUNTIFS($AH$2:$AH$801,"&lt;"&amp;AH557,$E$2:$E$801,"&gt;0")+COUNTIFS($AH$2:AH557,AH557,$E$2:E557,"&gt;0"))</f>
        <v/>
      </c>
    </row>
    <row r="558" customFormat="false" ht="15" hidden="false" customHeight="false" outlineLevel="0" collapsed="false">
      <c r="A558" s="11" t="str">
        <f aca="false">IF(INVENTÁRIO!A558="","",INVENTÁRIO!A558)</f>
        <v/>
      </c>
      <c r="B558" s="11" t="str">
        <f aca="false">IF(A558="","",INVENTÁRIO!B558)</f>
        <v/>
      </c>
      <c r="C558" s="16" t="str">
        <f aca="false">IF(A558="","",INVENTÁRIO!C558)</f>
        <v/>
      </c>
      <c r="D558" s="14" t="str">
        <f aca="false">IF(A558="","",MAX(K558:AD558))</f>
        <v/>
      </c>
      <c r="E558" s="14" t="str">
        <f aca="false">IF(A558="","",MAX(0,D558-C558))</f>
        <v/>
      </c>
      <c r="F558" s="16" t="str">
        <f aca="false">IF(A558="","",IF(D558=0,"Fora dos decks",IF(E558=0,"Completo","Falta")))</f>
        <v/>
      </c>
      <c r="G558" s="16" t="str">
        <f aca="false">IF(A558="","",COUNTIF(K558:AD558,"&gt;0"))</f>
        <v/>
      </c>
      <c r="H558" s="16" t="str">
        <f aca="false">IF(A558="","",IF(G558&gt;1,"Sim",""))</f>
        <v/>
      </c>
      <c r="I558" s="18" t="str">
        <f aca="false">IF(A558="","",SUMIFS(DECKS!$D$2:$D$1201,DECKS!$B$2:$B$1201,A558))</f>
        <v/>
      </c>
      <c r="J558" s="18" t="str">
        <f aca="false">IF(A558="","",MAX(0,I558-C558))</f>
        <v/>
      </c>
      <c r="K558" s="19" t="str">
        <f aca="false">IF(OR($A558="",INDEX(_LEITURA!$Q$2:$Q$21,1)=0),"",SUMIFS(DECKS!$D$2:$D$1201,DECKS!$A$2:$A$1201,INDEX(_LEITURA!$P$2:$P$21,1),DECKS!$B$2:$B$1201,$A558))</f>
        <v/>
      </c>
      <c r="L558" s="19" t="str">
        <f aca="false">IF(OR($A558="",INDEX(_LEITURA!$Q$2:$Q$21,2)=0),"",SUMIFS(DECKS!$D$2:$D$1201,DECKS!$A$2:$A$1201,INDEX(_LEITURA!$P$2:$P$21,2),DECKS!$B$2:$B$1201,$A558))</f>
        <v/>
      </c>
      <c r="M558" s="19" t="str">
        <f aca="false">IF(OR($A558="",INDEX(_LEITURA!$Q$2:$Q$21,3)=0),"",SUMIFS(DECKS!$D$2:$D$1201,DECKS!$A$2:$A$1201,INDEX(_LEITURA!$P$2:$P$21,3),DECKS!$B$2:$B$1201,$A558))</f>
        <v/>
      </c>
      <c r="N558" s="19" t="str">
        <f aca="false">IF(OR($A558="",INDEX(_LEITURA!$Q$2:$Q$21,4)=0),"",SUMIFS(DECKS!$D$2:$D$1201,DECKS!$A$2:$A$1201,INDEX(_LEITURA!$P$2:$P$21,4),DECKS!$B$2:$B$1201,$A558))</f>
        <v/>
      </c>
      <c r="O558" s="19" t="str">
        <f aca="false">IF(OR($A558="",INDEX(_LEITURA!$Q$2:$Q$21,5)=0),"",SUMIFS(DECKS!$D$2:$D$1201,DECKS!$A$2:$A$1201,INDEX(_LEITURA!$P$2:$P$21,5),DECKS!$B$2:$B$1201,$A558))</f>
        <v/>
      </c>
      <c r="P558" s="19" t="str">
        <f aca="false">IF(OR($A558="",INDEX(_LEITURA!$Q$2:$Q$21,6)=0),"",SUMIFS(DECKS!$D$2:$D$1201,DECKS!$A$2:$A$1201,INDEX(_LEITURA!$P$2:$P$21,6),DECKS!$B$2:$B$1201,$A558))</f>
        <v/>
      </c>
      <c r="Q558" s="19" t="str">
        <f aca="false">IF(OR($A558="",INDEX(_LEITURA!$Q$2:$Q$21,7)=0),"",SUMIFS(DECKS!$D$2:$D$1201,DECKS!$A$2:$A$1201,INDEX(_LEITURA!$P$2:$P$21,7),DECKS!$B$2:$B$1201,$A558))</f>
        <v/>
      </c>
      <c r="R558" s="19" t="str">
        <f aca="false">IF(OR($A558="",INDEX(_LEITURA!$Q$2:$Q$21,8)=0),"",SUMIFS(DECKS!$D$2:$D$1201,DECKS!$A$2:$A$1201,INDEX(_LEITURA!$P$2:$P$21,8),DECKS!$B$2:$B$1201,$A558))</f>
        <v/>
      </c>
      <c r="S558" s="19" t="str">
        <f aca="false">IF(OR($A558="",INDEX(_LEITURA!$Q$2:$Q$21,9)=0),"",SUMIFS(DECKS!$D$2:$D$1201,DECKS!$A$2:$A$1201,INDEX(_LEITURA!$P$2:$P$21,9),DECKS!$B$2:$B$1201,$A558))</f>
        <v/>
      </c>
      <c r="T558" s="19" t="str">
        <f aca="false">IF(OR($A558="",INDEX(_LEITURA!$Q$2:$Q$21,10)=0),"",SUMIFS(DECKS!$D$2:$D$1201,DECKS!$A$2:$A$1201,INDEX(_LEITURA!$P$2:$P$21,10),DECKS!$B$2:$B$1201,$A558))</f>
        <v/>
      </c>
      <c r="U558" s="19" t="str">
        <f aca="false">IF(OR($A558="",INDEX(_LEITURA!$Q$2:$Q$21,11)=0),"",SUMIFS(DECKS!$D$2:$D$1201,DECKS!$A$2:$A$1201,INDEX(_LEITURA!$P$2:$P$21,11),DECKS!$B$2:$B$1201,$A558))</f>
        <v/>
      </c>
      <c r="V558" s="19" t="str">
        <f aca="false">IF(OR($A558="",INDEX(_LEITURA!$Q$2:$Q$21,12)=0),"",SUMIFS(DECKS!$D$2:$D$1201,DECKS!$A$2:$A$1201,INDEX(_LEITURA!$P$2:$P$21,12),DECKS!$B$2:$B$1201,$A558))</f>
        <v/>
      </c>
      <c r="W558" s="19" t="str">
        <f aca="false">IF(OR($A558="",INDEX(_LEITURA!$Q$2:$Q$21,13)=0),"",SUMIFS(DECKS!$D$2:$D$1201,DECKS!$A$2:$A$1201,INDEX(_LEITURA!$P$2:$P$21,13),DECKS!$B$2:$B$1201,$A558))</f>
        <v/>
      </c>
      <c r="X558" s="19" t="str">
        <f aca="false">IF(OR($A558="",INDEX(_LEITURA!$Q$2:$Q$21,14)=0),"",SUMIFS(DECKS!$D$2:$D$1201,DECKS!$A$2:$A$1201,INDEX(_LEITURA!$P$2:$P$21,14),DECKS!$B$2:$B$1201,$A558))</f>
        <v/>
      </c>
      <c r="Y558" s="19" t="str">
        <f aca="false">IF(OR($A558="",INDEX(_LEITURA!$Q$2:$Q$21,15)=0),"",SUMIFS(DECKS!$D$2:$D$1201,DECKS!$A$2:$A$1201,INDEX(_LEITURA!$P$2:$P$21,15),DECKS!$B$2:$B$1201,$A558))</f>
        <v/>
      </c>
      <c r="Z558" s="19" t="str">
        <f aca="false">IF(OR($A558="",INDEX(_LEITURA!$Q$2:$Q$21,16)=0),"",SUMIFS(DECKS!$D$2:$D$1201,DECKS!$A$2:$A$1201,INDEX(_LEITURA!$P$2:$P$21,16),DECKS!$B$2:$B$1201,$A558))</f>
        <v/>
      </c>
      <c r="AA558" s="19" t="str">
        <f aca="false">IF(OR($A558="",INDEX(_LEITURA!$Q$2:$Q$21,17)=0),"",SUMIFS(DECKS!$D$2:$D$1201,DECKS!$A$2:$A$1201,INDEX(_LEITURA!$P$2:$P$21,17),DECKS!$B$2:$B$1201,$A558))</f>
        <v/>
      </c>
      <c r="AB558" s="19" t="str">
        <f aca="false">IF(OR($A558="",INDEX(_LEITURA!$Q$2:$Q$21,18)=0),"",SUMIFS(DECKS!$D$2:$D$1201,DECKS!$A$2:$A$1201,INDEX(_LEITURA!$P$2:$P$21,18),DECKS!$B$2:$B$1201,$A558))</f>
        <v/>
      </c>
      <c r="AC558" s="19" t="str">
        <f aca="false">IF(OR($A558="",INDEX(_LEITURA!$Q$2:$Q$21,19)=0),"",SUMIFS(DECKS!$D$2:$D$1201,DECKS!$A$2:$A$1201,INDEX(_LEITURA!$P$2:$P$21,19),DECKS!$B$2:$B$1201,$A558))</f>
        <v/>
      </c>
      <c r="AD558" s="19" t="str">
        <f aca="false">IF(OR($A558="",INDEX(_LEITURA!$Q$2:$Q$21,20)=0),"",SUMIFS(DECKS!$D$2:$D$1201,DECKS!$A$2:$A$1201,INDEX(_LEITURA!$P$2:$P$21,20),DECKS!$B$2:$B$1201,$A558))</f>
        <v/>
      </c>
      <c r="AE558" s="16" t="str">
        <f aca="false">IF(N(E558)&gt;0,MAX(AE$1:AE557)+1,"")</f>
        <v/>
      </c>
      <c r="AF558" s="11" t="str">
        <f aca="false">IF(A558="","",IFERROR(LEFT(A558,FIND("-",A558)-1),A558))</f>
        <v/>
      </c>
      <c r="AG558" s="11" t="str">
        <f aca="false">IF(AF558="","",IF(ISNUMBER(--MID(AF558,1,1)),0,IF(ISNUMBER(--MID(AF558,2,1)),1,IF(ISNUMBER(--MID(AF558,3,1)),2,IF(ISNUMBER(--MID(AF558,4,1)),3,MIN(LEN(AF558),4))))))</f>
        <v/>
      </c>
      <c r="AH558" s="11" t="str">
        <f aca="false">IF(A558="","",LEFT(AF558,AG558)&amp;REPT("0",4-AG558)&amp;RIGHT("000"&amp;IFERROR(VALUE(MID(AF558,AG558+1,9)),0),3)&amp;RIGHT("0000"&amp;IFERROR(VALUE(MID(A558,FIND("-",A558)+1,9)),0),4))</f>
        <v/>
      </c>
      <c r="AI558" s="11" t="str">
        <f aca="false">IF(OR(A558="",N(E558)&lt;=0),"",IF('FALTAS GERAL'!$M$1="Código","K"&amp;AH558&amp;RIGHT("00000"&amp;ROW(),5),IF('FALTAS GERAL'!$M$1="Nome","K"&amp;UPPER(SUBSTITUTE(SUBSTITUTE(SUBSTITUTE(B558,"*",""),"?",""),"~",""))&amp;"0"&amp;AH558&amp;RIGHT("00000"&amp;ROW(),5),IF('FALTAS GERAL'!$M$1="Falta (maior primeiro)","K"&amp;RIGHT("0000"&amp;(9999-E558),4)&amp;AH558&amp;RIGHT("00000"&amp;ROW(),5),IF('FALTAS GERAL'!$M$1="Nº de decks (maior primeiro)","K"&amp;RIGHT("00"&amp;(99-N(G558)),2)&amp;AH558&amp;RIGHT("00000"&amp;ROW(),5),"K"&amp;RIGHT("00000"&amp;ROW(),5))))))</f>
        <v/>
      </c>
      <c r="AJ558" s="11" t="str">
        <f aca="false">IF(AI558="","",COUNTIFS($AI$2:$AI$801,"&lt;"&amp;AI558,$E$2:$E$801,"&gt;0")+1)</f>
        <v/>
      </c>
      <c r="AK558" s="11" t="str">
        <f aca="false">IF(OR(A558="",N(E558)&lt;=0),"",COUNTIFS($AH$2:$AH$801,"&lt;"&amp;AH558,$E$2:$E$801,"&gt;0")+COUNTIFS($AH$2:AH558,AH558,$E$2:E558,"&gt;0"))</f>
        <v/>
      </c>
    </row>
    <row r="559" customFormat="false" ht="15" hidden="false" customHeight="false" outlineLevel="0" collapsed="false">
      <c r="A559" s="11" t="str">
        <f aca="false">IF(INVENTÁRIO!A559="","",INVENTÁRIO!A559)</f>
        <v/>
      </c>
      <c r="B559" s="11" t="str">
        <f aca="false">IF(A559="","",INVENTÁRIO!B559)</f>
        <v/>
      </c>
      <c r="C559" s="16" t="str">
        <f aca="false">IF(A559="","",INVENTÁRIO!C559)</f>
        <v/>
      </c>
      <c r="D559" s="14" t="str">
        <f aca="false">IF(A559="","",MAX(K559:AD559))</f>
        <v/>
      </c>
      <c r="E559" s="14" t="str">
        <f aca="false">IF(A559="","",MAX(0,D559-C559))</f>
        <v/>
      </c>
      <c r="F559" s="16" t="str">
        <f aca="false">IF(A559="","",IF(D559=0,"Fora dos decks",IF(E559=0,"Completo","Falta")))</f>
        <v/>
      </c>
      <c r="G559" s="16" t="str">
        <f aca="false">IF(A559="","",COUNTIF(K559:AD559,"&gt;0"))</f>
        <v/>
      </c>
      <c r="H559" s="16" t="str">
        <f aca="false">IF(A559="","",IF(G559&gt;1,"Sim",""))</f>
        <v/>
      </c>
      <c r="I559" s="18" t="str">
        <f aca="false">IF(A559="","",SUMIFS(DECKS!$D$2:$D$1201,DECKS!$B$2:$B$1201,A559))</f>
        <v/>
      </c>
      <c r="J559" s="18" t="str">
        <f aca="false">IF(A559="","",MAX(0,I559-C559))</f>
        <v/>
      </c>
      <c r="K559" s="19" t="str">
        <f aca="false">IF(OR($A559="",INDEX(_LEITURA!$Q$2:$Q$21,1)=0),"",SUMIFS(DECKS!$D$2:$D$1201,DECKS!$A$2:$A$1201,INDEX(_LEITURA!$P$2:$P$21,1),DECKS!$B$2:$B$1201,$A559))</f>
        <v/>
      </c>
      <c r="L559" s="19" t="str">
        <f aca="false">IF(OR($A559="",INDEX(_LEITURA!$Q$2:$Q$21,2)=0),"",SUMIFS(DECKS!$D$2:$D$1201,DECKS!$A$2:$A$1201,INDEX(_LEITURA!$P$2:$P$21,2),DECKS!$B$2:$B$1201,$A559))</f>
        <v/>
      </c>
      <c r="M559" s="19" t="str">
        <f aca="false">IF(OR($A559="",INDEX(_LEITURA!$Q$2:$Q$21,3)=0),"",SUMIFS(DECKS!$D$2:$D$1201,DECKS!$A$2:$A$1201,INDEX(_LEITURA!$P$2:$P$21,3),DECKS!$B$2:$B$1201,$A559))</f>
        <v/>
      </c>
      <c r="N559" s="19" t="str">
        <f aca="false">IF(OR($A559="",INDEX(_LEITURA!$Q$2:$Q$21,4)=0),"",SUMIFS(DECKS!$D$2:$D$1201,DECKS!$A$2:$A$1201,INDEX(_LEITURA!$P$2:$P$21,4),DECKS!$B$2:$B$1201,$A559))</f>
        <v/>
      </c>
      <c r="O559" s="19" t="str">
        <f aca="false">IF(OR($A559="",INDEX(_LEITURA!$Q$2:$Q$21,5)=0),"",SUMIFS(DECKS!$D$2:$D$1201,DECKS!$A$2:$A$1201,INDEX(_LEITURA!$P$2:$P$21,5),DECKS!$B$2:$B$1201,$A559))</f>
        <v/>
      </c>
      <c r="P559" s="19" t="str">
        <f aca="false">IF(OR($A559="",INDEX(_LEITURA!$Q$2:$Q$21,6)=0),"",SUMIFS(DECKS!$D$2:$D$1201,DECKS!$A$2:$A$1201,INDEX(_LEITURA!$P$2:$P$21,6),DECKS!$B$2:$B$1201,$A559))</f>
        <v/>
      </c>
      <c r="Q559" s="19" t="str">
        <f aca="false">IF(OR($A559="",INDEX(_LEITURA!$Q$2:$Q$21,7)=0),"",SUMIFS(DECKS!$D$2:$D$1201,DECKS!$A$2:$A$1201,INDEX(_LEITURA!$P$2:$P$21,7),DECKS!$B$2:$B$1201,$A559))</f>
        <v/>
      </c>
      <c r="R559" s="19" t="str">
        <f aca="false">IF(OR($A559="",INDEX(_LEITURA!$Q$2:$Q$21,8)=0),"",SUMIFS(DECKS!$D$2:$D$1201,DECKS!$A$2:$A$1201,INDEX(_LEITURA!$P$2:$P$21,8),DECKS!$B$2:$B$1201,$A559))</f>
        <v/>
      </c>
      <c r="S559" s="19" t="str">
        <f aca="false">IF(OR($A559="",INDEX(_LEITURA!$Q$2:$Q$21,9)=0),"",SUMIFS(DECKS!$D$2:$D$1201,DECKS!$A$2:$A$1201,INDEX(_LEITURA!$P$2:$P$21,9),DECKS!$B$2:$B$1201,$A559))</f>
        <v/>
      </c>
      <c r="T559" s="19" t="str">
        <f aca="false">IF(OR($A559="",INDEX(_LEITURA!$Q$2:$Q$21,10)=0),"",SUMIFS(DECKS!$D$2:$D$1201,DECKS!$A$2:$A$1201,INDEX(_LEITURA!$P$2:$P$21,10),DECKS!$B$2:$B$1201,$A559))</f>
        <v/>
      </c>
      <c r="U559" s="19" t="str">
        <f aca="false">IF(OR($A559="",INDEX(_LEITURA!$Q$2:$Q$21,11)=0),"",SUMIFS(DECKS!$D$2:$D$1201,DECKS!$A$2:$A$1201,INDEX(_LEITURA!$P$2:$P$21,11),DECKS!$B$2:$B$1201,$A559))</f>
        <v/>
      </c>
      <c r="V559" s="19" t="str">
        <f aca="false">IF(OR($A559="",INDEX(_LEITURA!$Q$2:$Q$21,12)=0),"",SUMIFS(DECKS!$D$2:$D$1201,DECKS!$A$2:$A$1201,INDEX(_LEITURA!$P$2:$P$21,12),DECKS!$B$2:$B$1201,$A559))</f>
        <v/>
      </c>
      <c r="W559" s="19" t="str">
        <f aca="false">IF(OR($A559="",INDEX(_LEITURA!$Q$2:$Q$21,13)=0),"",SUMIFS(DECKS!$D$2:$D$1201,DECKS!$A$2:$A$1201,INDEX(_LEITURA!$P$2:$P$21,13),DECKS!$B$2:$B$1201,$A559))</f>
        <v/>
      </c>
      <c r="X559" s="19" t="str">
        <f aca="false">IF(OR($A559="",INDEX(_LEITURA!$Q$2:$Q$21,14)=0),"",SUMIFS(DECKS!$D$2:$D$1201,DECKS!$A$2:$A$1201,INDEX(_LEITURA!$P$2:$P$21,14),DECKS!$B$2:$B$1201,$A559))</f>
        <v/>
      </c>
      <c r="Y559" s="19" t="str">
        <f aca="false">IF(OR($A559="",INDEX(_LEITURA!$Q$2:$Q$21,15)=0),"",SUMIFS(DECKS!$D$2:$D$1201,DECKS!$A$2:$A$1201,INDEX(_LEITURA!$P$2:$P$21,15),DECKS!$B$2:$B$1201,$A559))</f>
        <v/>
      </c>
      <c r="Z559" s="19" t="str">
        <f aca="false">IF(OR($A559="",INDEX(_LEITURA!$Q$2:$Q$21,16)=0),"",SUMIFS(DECKS!$D$2:$D$1201,DECKS!$A$2:$A$1201,INDEX(_LEITURA!$P$2:$P$21,16),DECKS!$B$2:$B$1201,$A559))</f>
        <v/>
      </c>
      <c r="AA559" s="19" t="str">
        <f aca="false">IF(OR($A559="",INDEX(_LEITURA!$Q$2:$Q$21,17)=0),"",SUMIFS(DECKS!$D$2:$D$1201,DECKS!$A$2:$A$1201,INDEX(_LEITURA!$P$2:$P$21,17),DECKS!$B$2:$B$1201,$A559))</f>
        <v/>
      </c>
      <c r="AB559" s="19" t="str">
        <f aca="false">IF(OR($A559="",INDEX(_LEITURA!$Q$2:$Q$21,18)=0),"",SUMIFS(DECKS!$D$2:$D$1201,DECKS!$A$2:$A$1201,INDEX(_LEITURA!$P$2:$P$21,18),DECKS!$B$2:$B$1201,$A559))</f>
        <v/>
      </c>
      <c r="AC559" s="19" t="str">
        <f aca="false">IF(OR($A559="",INDEX(_LEITURA!$Q$2:$Q$21,19)=0),"",SUMIFS(DECKS!$D$2:$D$1201,DECKS!$A$2:$A$1201,INDEX(_LEITURA!$P$2:$P$21,19),DECKS!$B$2:$B$1201,$A559))</f>
        <v/>
      </c>
      <c r="AD559" s="19" t="str">
        <f aca="false">IF(OR($A559="",INDEX(_LEITURA!$Q$2:$Q$21,20)=0),"",SUMIFS(DECKS!$D$2:$D$1201,DECKS!$A$2:$A$1201,INDEX(_LEITURA!$P$2:$P$21,20),DECKS!$B$2:$B$1201,$A559))</f>
        <v/>
      </c>
      <c r="AE559" s="16" t="str">
        <f aca="false">IF(N(E559)&gt;0,MAX(AE$1:AE558)+1,"")</f>
        <v/>
      </c>
      <c r="AF559" s="11" t="str">
        <f aca="false">IF(A559="","",IFERROR(LEFT(A559,FIND("-",A559)-1),A559))</f>
        <v/>
      </c>
      <c r="AG559" s="11" t="str">
        <f aca="false">IF(AF559="","",IF(ISNUMBER(--MID(AF559,1,1)),0,IF(ISNUMBER(--MID(AF559,2,1)),1,IF(ISNUMBER(--MID(AF559,3,1)),2,IF(ISNUMBER(--MID(AF559,4,1)),3,MIN(LEN(AF559),4))))))</f>
        <v/>
      </c>
      <c r="AH559" s="11" t="str">
        <f aca="false">IF(A559="","",LEFT(AF559,AG559)&amp;REPT("0",4-AG559)&amp;RIGHT("000"&amp;IFERROR(VALUE(MID(AF559,AG559+1,9)),0),3)&amp;RIGHT("0000"&amp;IFERROR(VALUE(MID(A559,FIND("-",A559)+1,9)),0),4))</f>
        <v/>
      </c>
      <c r="AI559" s="11" t="str">
        <f aca="false">IF(OR(A559="",N(E559)&lt;=0),"",IF('FALTAS GERAL'!$M$1="Código","K"&amp;AH559&amp;RIGHT("00000"&amp;ROW(),5),IF('FALTAS GERAL'!$M$1="Nome","K"&amp;UPPER(SUBSTITUTE(SUBSTITUTE(SUBSTITUTE(B559,"*",""),"?",""),"~",""))&amp;"0"&amp;AH559&amp;RIGHT("00000"&amp;ROW(),5),IF('FALTAS GERAL'!$M$1="Falta (maior primeiro)","K"&amp;RIGHT("0000"&amp;(9999-E559),4)&amp;AH559&amp;RIGHT("00000"&amp;ROW(),5),IF('FALTAS GERAL'!$M$1="Nº de decks (maior primeiro)","K"&amp;RIGHT("00"&amp;(99-N(G559)),2)&amp;AH559&amp;RIGHT("00000"&amp;ROW(),5),"K"&amp;RIGHT("00000"&amp;ROW(),5))))))</f>
        <v/>
      </c>
      <c r="AJ559" s="11" t="str">
        <f aca="false">IF(AI559="","",COUNTIFS($AI$2:$AI$801,"&lt;"&amp;AI559,$E$2:$E$801,"&gt;0")+1)</f>
        <v/>
      </c>
      <c r="AK559" s="11" t="str">
        <f aca="false">IF(OR(A559="",N(E559)&lt;=0),"",COUNTIFS($AH$2:$AH$801,"&lt;"&amp;AH559,$E$2:$E$801,"&gt;0")+COUNTIFS($AH$2:AH559,AH559,$E$2:E559,"&gt;0"))</f>
        <v/>
      </c>
    </row>
    <row r="560" customFormat="false" ht="15" hidden="false" customHeight="false" outlineLevel="0" collapsed="false">
      <c r="A560" s="11" t="str">
        <f aca="false">IF(INVENTÁRIO!A560="","",INVENTÁRIO!A560)</f>
        <v/>
      </c>
      <c r="B560" s="11" t="str">
        <f aca="false">IF(A560="","",INVENTÁRIO!B560)</f>
        <v/>
      </c>
      <c r="C560" s="16" t="str">
        <f aca="false">IF(A560="","",INVENTÁRIO!C560)</f>
        <v/>
      </c>
      <c r="D560" s="14" t="str">
        <f aca="false">IF(A560="","",MAX(K560:AD560))</f>
        <v/>
      </c>
      <c r="E560" s="14" t="str">
        <f aca="false">IF(A560="","",MAX(0,D560-C560))</f>
        <v/>
      </c>
      <c r="F560" s="16" t="str">
        <f aca="false">IF(A560="","",IF(D560=0,"Fora dos decks",IF(E560=0,"Completo","Falta")))</f>
        <v/>
      </c>
      <c r="G560" s="16" t="str">
        <f aca="false">IF(A560="","",COUNTIF(K560:AD560,"&gt;0"))</f>
        <v/>
      </c>
      <c r="H560" s="16" t="str">
        <f aca="false">IF(A560="","",IF(G560&gt;1,"Sim",""))</f>
        <v/>
      </c>
      <c r="I560" s="18" t="str">
        <f aca="false">IF(A560="","",SUMIFS(DECKS!$D$2:$D$1201,DECKS!$B$2:$B$1201,A560))</f>
        <v/>
      </c>
      <c r="J560" s="18" t="str">
        <f aca="false">IF(A560="","",MAX(0,I560-C560))</f>
        <v/>
      </c>
      <c r="K560" s="19" t="str">
        <f aca="false">IF(OR($A560="",INDEX(_LEITURA!$Q$2:$Q$21,1)=0),"",SUMIFS(DECKS!$D$2:$D$1201,DECKS!$A$2:$A$1201,INDEX(_LEITURA!$P$2:$P$21,1),DECKS!$B$2:$B$1201,$A560))</f>
        <v/>
      </c>
      <c r="L560" s="19" t="str">
        <f aca="false">IF(OR($A560="",INDEX(_LEITURA!$Q$2:$Q$21,2)=0),"",SUMIFS(DECKS!$D$2:$D$1201,DECKS!$A$2:$A$1201,INDEX(_LEITURA!$P$2:$P$21,2),DECKS!$B$2:$B$1201,$A560))</f>
        <v/>
      </c>
      <c r="M560" s="19" t="str">
        <f aca="false">IF(OR($A560="",INDEX(_LEITURA!$Q$2:$Q$21,3)=0),"",SUMIFS(DECKS!$D$2:$D$1201,DECKS!$A$2:$A$1201,INDEX(_LEITURA!$P$2:$P$21,3),DECKS!$B$2:$B$1201,$A560))</f>
        <v/>
      </c>
      <c r="N560" s="19" t="str">
        <f aca="false">IF(OR($A560="",INDEX(_LEITURA!$Q$2:$Q$21,4)=0),"",SUMIFS(DECKS!$D$2:$D$1201,DECKS!$A$2:$A$1201,INDEX(_LEITURA!$P$2:$P$21,4),DECKS!$B$2:$B$1201,$A560))</f>
        <v/>
      </c>
      <c r="O560" s="19" t="str">
        <f aca="false">IF(OR($A560="",INDEX(_LEITURA!$Q$2:$Q$21,5)=0),"",SUMIFS(DECKS!$D$2:$D$1201,DECKS!$A$2:$A$1201,INDEX(_LEITURA!$P$2:$P$21,5),DECKS!$B$2:$B$1201,$A560))</f>
        <v/>
      </c>
      <c r="P560" s="19" t="str">
        <f aca="false">IF(OR($A560="",INDEX(_LEITURA!$Q$2:$Q$21,6)=0),"",SUMIFS(DECKS!$D$2:$D$1201,DECKS!$A$2:$A$1201,INDEX(_LEITURA!$P$2:$P$21,6),DECKS!$B$2:$B$1201,$A560))</f>
        <v/>
      </c>
      <c r="Q560" s="19" t="str">
        <f aca="false">IF(OR($A560="",INDEX(_LEITURA!$Q$2:$Q$21,7)=0),"",SUMIFS(DECKS!$D$2:$D$1201,DECKS!$A$2:$A$1201,INDEX(_LEITURA!$P$2:$P$21,7),DECKS!$B$2:$B$1201,$A560))</f>
        <v/>
      </c>
      <c r="R560" s="19" t="str">
        <f aca="false">IF(OR($A560="",INDEX(_LEITURA!$Q$2:$Q$21,8)=0),"",SUMIFS(DECKS!$D$2:$D$1201,DECKS!$A$2:$A$1201,INDEX(_LEITURA!$P$2:$P$21,8),DECKS!$B$2:$B$1201,$A560))</f>
        <v/>
      </c>
      <c r="S560" s="19" t="str">
        <f aca="false">IF(OR($A560="",INDEX(_LEITURA!$Q$2:$Q$21,9)=0),"",SUMIFS(DECKS!$D$2:$D$1201,DECKS!$A$2:$A$1201,INDEX(_LEITURA!$P$2:$P$21,9),DECKS!$B$2:$B$1201,$A560))</f>
        <v/>
      </c>
      <c r="T560" s="19" t="str">
        <f aca="false">IF(OR($A560="",INDEX(_LEITURA!$Q$2:$Q$21,10)=0),"",SUMIFS(DECKS!$D$2:$D$1201,DECKS!$A$2:$A$1201,INDEX(_LEITURA!$P$2:$P$21,10),DECKS!$B$2:$B$1201,$A560))</f>
        <v/>
      </c>
      <c r="U560" s="19" t="str">
        <f aca="false">IF(OR($A560="",INDEX(_LEITURA!$Q$2:$Q$21,11)=0),"",SUMIFS(DECKS!$D$2:$D$1201,DECKS!$A$2:$A$1201,INDEX(_LEITURA!$P$2:$P$21,11),DECKS!$B$2:$B$1201,$A560))</f>
        <v/>
      </c>
      <c r="V560" s="19" t="str">
        <f aca="false">IF(OR($A560="",INDEX(_LEITURA!$Q$2:$Q$21,12)=0),"",SUMIFS(DECKS!$D$2:$D$1201,DECKS!$A$2:$A$1201,INDEX(_LEITURA!$P$2:$P$21,12),DECKS!$B$2:$B$1201,$A560))</f>
        <v/>
      </c>
      <c r="W560" s="19" t="str">
        <f aca="false">IF(OR($A560="",INDEX(_LEITURA!$Q$2:$Q$21,13)=0),"",SUMIFS(DECKS!$D$2:$D$1201,DECKS!$A$2:$A$1201,INDEX(_LEITURA!$P$2:$P$21,13),DECKS!$B$2:$B$1201,$A560))</f>
        <v/>
      </c>
      <c r="X560" s="19" t="str">
        <f aca="false">IF(OR($A560="",INDEX(_LEITURA!$Q$2:$Q$21,14)=0),"",SUMIFS(DECKS!$D$2:$D$1201,DECKS!$A$2:$A$1201,INDEX(_LEITURA!$P$2:$P$21,14),DECKS!$B$2:$B$1201,$A560))</f>
        <v/>
      </c>
      <c r="Y560" s="19" t="str">
        <f aca="false">IF(OR($A560="",INDEX(_LEITURA!$Q$2:$Q$21,15)=0),"",SUMIFS(DECKS!$D$2:$D$1201,DECKS!$A$2:$A$1201,INDEX(_LEITURA!$P$2:$P$21,15),DECKS!$B$2:$B$1201,$A560))</f>
        <v/>
      </c>
      <c r="Z560" s="19" t="str">
        <f aca="false">IF(OR($A560="",INDEX(_LEITURA!$Q$2:$Q$21,16)=0),"",SUMIFS(DECKS!$D$2:$D$1201,DECKS!$A$2:$A$1201,INDEX(_LEITURA!$P$2:$P$21,16),DECKS!$B$2:$B$1201,$A560))</f>
        <v/>
      </c>
      <c r="AA560" s="19" t="str">
        <f aca="false">IF(OR($A560="",INDEX(_LEITURA!$Q$2:$Q$21,17)=0),"",SUMIFS(DECKS!$D$2:$D$1201,DECKS!$A$2:$A$1201,INDEX(_LEITURA!$P$2:$P$21,17),DECKS!$B$2:$B$1201,$A560))</f>
        <v/>
      </c>
      <c r="AB560" s="19" t="str">
        <f aca="false">IF(OR($A560="",INDEX(_LEITURA!$Q$2:$Q$21,18)=0),"",SUMIFS(DECKS!$D$2:$D$1201,DECKS!$A$2:$A$1201,INDEX(_LEITURA!$P$2:$P$21,18),DECKS!$B$2:$B$1201,$A560))</f>
        <v/>
      </c>
      <c r="AC560" s="19" t="str">
        <f aca="false">IF(OR($A560="",INDEX(_LEITURA!$Q$2:$Q$21,19)=0),"",SUMIFS(DECKS!$D$2:$D$1201,DECKS!$A$2:$A$1201,INDEX(_LEITURA!$P$2:$P$21,19),DECKS!$B$2:$B$1201,$A560))</f>
        <v/>
      </c>
      <c r="AD560" s="19" t="str">
        <f aca="false">IF(OR($A560="",INDEX(_LEITURA!$Q$2:$Q$21,20)=0),"",SUMIFS(DECKS!$D$2:$D$1201,DECKS!$A$2:$A$1201,INDEX(_LEITURA!$P$2:$P$21,20),DECKS!$B$2:$B$1201,$A560))</f>
        <v/>
      </c>
      <c r="AE560" s="16" t="str">
        <f aca="false">IF(N(E560)&gt;0,MAX(AE$1:AE559)+1,"")</f>
        <v/>
      </c>
      <c r="AF560" s="11" t="str">
        <f aca="false">IF(A560="","",IFERROR(LEFT(A560,FIND("-",A560)-1),A560))</f>
        <v/>
      </c>
      <c r="AG560" s="11" t="str">
        <f aca="false">IF(AF560="","",IF(ISNUMBER(--MID(AF560,1,1)),0,IF(ISNUMBER(--MID(AF560,2,1)),1,IF(ISNUMBER(--MID(AF560,3,1)),2,IF(ISNUMBER(--MID(AF560,4,1)),3,MIN(LEN(AF560),4))))))</f>
        <v/>
      </c>
      <c r="AH560" s="11" t="str">
        <f aca="false">IF(A560="","",LEFT(AF560,AG560)&amp;REPT("0",4-AG560)&amp;RIGHT("000"&amp;IFERROR(VALUE(MID(AF560,AG560+1,9)),0),3)&amp;RIGHT("0000"&amp;IFERROR(VALUE(MID(A560,FIND("-",A560)+1,9)),0),4))</f>
        <v/>
      </c>
      <c r="AI560" s="11" t="str">
        <f aca="false">IF(OR(A560="",N(E560)&lt;=0),"",IF('FALTAS GERAL'!$M$1="Código","K"&amp;AH560&amp;RIGHT("00000"&amp;ROW(),5),IF('FALTAS GERAL'!$M$1="Nome","K"&amp;UPPER(SUBSTITUTE(SUBSTITUTE(SUBSTITUTE(B560,"*",""),"?",""),"~",""))&amp;"0"&amp;AH560&amp;RIGHT("00000"&amp;ROW(),5),IF('FALTAS GERAL'!$M$1="Falta (maior primeiro)","K"&amp;RIGHT("0000"&amp;(9999-E560),4)&amp;AH560&amp;RIGHT("00000"&amp;ROW(),5),IF('FALTAS GERAL'!$M$1="Nº de decks (maior primeiro)","K"&amp;RIGHT("00"&amp;(99-N(G560)),2)&amp;AH560&amp;RIGHT("00000"&amp;ROW(),5),"K"&amp;RIGHT("00000"&amp;ROW(),5))))))</f>
        <v/>
      </c>
      <c r="AJ560" s="11" t="str">
        <f aca="false">IF(AI560="","",COUNTIFS($AI$2:$AI$801,"&lt;"&amp;AI560,$E$2:$E$801,"&gt;0")+1)</f>
        <v/>
      </c>
      <c r="AK560" s="11" t="str">
        <f aca="false">IF(OR(A560="",N(E560)&lt;=0),"",COUNTIFS($AH$2:$AH$801,"&lt;"&amp;AH560,$E$2:$E$801,"&gt;0")+COUNTIFS($AH$2:AH560,AH560,$E$2:E560,"&gt;0"))</f>
        <v/>
      </c>
    </row>
    <row r="561" customFormat="false" ht="15" hidden="false" customHeight="false" outlineLevel="0" collapsed="false">
      <c r="A561" s="11" t="str">
        <f aca="false">IF(INVENTÁRIO!A561="","",INVENTÁRIO!A561)</f>
        <v/>
      </c>
      <c r="B561" s="11" t="str">
        <f aca="false">IF(A561="","",INVENTÁRIO!B561)</f>
        <v/>
      </c>
      <c r="C561" s="16" t="str">
        <f aca="false">IF(A561="","",INVENTÁRIO!C561)</f>
        <v/>
      </c>
      <c r="D561" s="14" t="str">
        <f aca="false">IF(A561="","",MAX(K561:AD561))</f>
        <v/>
      </c>
      <c r="E561" s="14" t="str">
        <f aca="false">IF(A561="","",MAX(0,D561-C561))</f>
        <v/>
      </c>
      <c r="F561" s="16" t="str">
        <f aca="false">IF(A561="","",IF(D561=0,"Fora dos decks",IF(E561=0,"Completo","Falta")))</f>
        <v/>
      </c>
      <c r="G561" s="16" t="str">
        <f aca="false">IF(A561="","",COUNTIF(K561:AD561,"&gt;0"))</f>
        <v/>
      </c>
      <c r="H561" s="16" t="str">
        <f aca="false">IF(A561="","",IF(G561&gt;1,"Sim",""))</f>
        <v/>
      </c>
      <c r="I561" s="18" t="str">
        <f aca="false">IF(A561="","",SUMIFS(DECKS!$D$2:$D$1201,DECKS!$B$2:$B$1201,A561))</f>
        <v/>
      </c>
      <c r="J561" s="18" t="str">
        <f aca="false">IF(A561="","",MAX(0,I561-C561))</f>
        <v/>
      </c>
      <c r="K561" s="19" t="str">
        <f aca="false">IF(OR($A561="",INDEX(_LEITURA!$Q$2:$Q$21,1)=0),"",SUMIFS(DECKS!$D$2:$D$1201,DECKS!$A$2:$A$1201,INDEX(_LEITURA!$P$2:$P$21,1),DECKS!$B$2:$B$1201,$A561))</f>
        <v/>
      </c>
      <c r="L561" s="19" t="str">
        <f aca="false">IF(OR($A561="",INDEX(_LEITURA!$Q$2:$Q$21,2)=0),"",SUMIFS(DECKS!$D$2:$D$1201,DECKS!$A$2:$A$1201,INDEX(_LEITURA!$P$2:$P$21,2),DECKS!$B$2:$B$1201,$A561))</f>
        <v/>
      </c>
      <c r="M561" s="19" t="str">
        <f aca="false">IF(OR($A561="",INDEX(_LEITURA!$Q$2:$Q$21,3)=0),"",SUMIFS(DECKS!$D$2:$D$1201,DECKS!$A$2:$A$1201,INDEX(_LEITURA!$P$2:$P$21,3),DECKS!$B$2:$B$1201,$A561))</f>
        <v/>
      </c>
      <c r="N561" s="19" t="str">
        <f aca="false">IF(OR($A561="",INDEX(_LEITURA!$Q$2:$Q$21,4)=0),"",SUMIFS(DECKS!$D$2:$D$1201,DECKS!$A$2:$A$1201,INDEX(_LEITURA!$P$2:$P$21,4),DECKS!$B$2:$B$1201,$A561))</f>
        <v/>
      </c>
      <c r="O561" s="19" t="str">
        <f aca="false">IF(OR($A561="",INDEX(_LEITURA!$Q$2:$Q$21,5)=0),"",SUMIFS(DECKS!$D$2:$D$1201,DECKS!$A$2:$A$1201,INDEX(_LEITURA!$P$2:$P$21,5),DECKS!$B$2:$B$1201,$A561))</f>
        <v/>
      </c>
      <c r="P561" s="19" t="str">
        <f aca="false">IF(OR($A561="",INDEX(_LEITURA!$Q$2:$Q$21,6)=0),"",SUMIFS(DECKS!$D$2:$D$1201,DECKS!$A$2:$A$1201,INDEX(_LEITURA!$P$2:$P$21,6),DECKS!$B$2:$B$1201,$A561))</f>
        <v/>
      </c>
      <c r="Q561" s="19" t="str">
        <f aca="false">IF(OR($A561="",INDEX(_LEITURA!$Q$2:$Q$21,7)=0),"",SUMIFS(DECKS!$D$2:$D$1201,DECKS!$A$2:$A$1201,INDEX(_LEITURA!$P$2:$P$21,7),DECKS!$B$2:$B$1201,$A561))</f>
        <v/>
      </c>
      <c r="R561" s="19" t="str">
        <f aca="false">IF(OR($A561="",INDEX(_LEITURA!$Q$2:$Q$21,8)=0),"",SUMIFS(DECKS!$D$2:$D$1201,DECKS!$A$2:$A$1201,INDEX(_LEITURA!$P$2:$P$21,8),DECKS!$B$2:$B$1201,$A561))</f>
        <v/>
      </c>
      <c r="S561" s="19" t="str">
        <f aca="false">IF(OR($A561="",INDEX(_LEITURA!$Q$2:$Q$21,9)=0),"",SUMIFS(DECKS!$D$2:$D$1201,DECKS!$A$2:$A$1201,INDEX(_LEITURA!$P$2:$P$21,9),DECKS!$B$2:$B$1201,$A561))</f>
        <v/>
      </c>
      <c r="T561" s="19" t="str">
        <f aca="false">IF(OR($A561="",INDEX(_LEITURA!$Q$2:$Q$21,10)=0),"",SUMIFS(DECKS!$D$2:$D$1201,DECKS!$A$2:$A$1201,INDEX(_LEITURA!$P$2:$P$21,10),DECKS!$B$2:$B$1201,$A561))</f>
        <v/>
      </c>
      <c r="U561" s="19" t="str">
        <f aca="false">IF(OR($A561="",INDEX(_LEITURA!$Q$2:$Q$21,11)=0),"",SUMIFS(DECKS!$D$2:$D$1201,DECKS!$A$2:$A$1201,INDEX(_LEITURA!$P$2:$P$21,11),DECKS!$B$2:$B$1201,$A561))</f>
        <v/>
      </c>
      <c r="V561" s="19" t="str">
        <f aca="false">IF(OR($A561="",INDEX(_LEITURA!$Q$2:$Q$21,12)=0),"",SUMIFS(DECKS!$D$2:$D$1201,DECKS!$A$2:$A$1201,INDEX(_LEITURA!$P$2:$P$21,12),DECKS!$B$2:$B$1201,$A561))</f>
        <v/>
      </c>
      <c r="W561" s="19" t="str">
        <f aca="false">IF(OR($A561="",INDEX(_LEITURA!$Q$2:$Q$21,13)=0),"",SUMIFS(DECKS!$D$2:$D$1201,DECKS!$A$2:$A$1201,INDEX(_LEITURA!$P$2:$P$21,13),DECKS!$B$2:$B$1201,$A561))</f>
        <v/>
      </c>
      <c r="X561" s="19" t="str">
        <f aca="false">IF(OR($A561="",INDEX(_LEITURA!$Q$2:$Q$21,14)=0),"",SUMIFS(DECKS!$D$2:$D$1201,DECKS!$A$2:$A$1201,INDEX(_LEITURA!$P$2:$P$21,14),DECKS!$B$2:$B$1201,$A561))</f>
        <v/>
      </c>
      <c r="Y561" s="19" t="str">
        <f aca="false">IF(OR($A561="",INDEX(_LEITURA!$Q$2:$Q$21,15)=0),"",SUMIFS(DECKS!$D$2:$D$1201,DECKS!$A$2:$A$1201,INDEX(_LEITURA!$P$2:$P$21,15),DECKS!$B$2:$B$1201,$A561))</f>
        <v/>
      </c>
      <c r="Z561" s="19" t="str">
        <f aca="false">IF(OR($A561="",INDEX(_LEITURA!$Q$2:$Q$21,16)=0),"",SUMIFS(DECKS!$D$2:$D$1201,DECKS!$A$2:$A$1201,INDEX(_LEITURA!$P$2:$P$21,16),DECKS!$B$2:$B$1201,$A561))</f>
        <v/>
      </c>
      <c r="AA561" s="19" t="str">
        <f aca="false">IF(OR($A561="",INDEX(_LEITURA!$Q$2:$Q$21,17)=0),"",SUMIFS(DECKS!$D$2:$D$1201,DECKS!$A$2:$A$1201,INDEX(_LEITURA!$P$2:$P$21,17),DECKS!$B$2:$B$1201,$A561))</f>
        <v/>
      </c>
      <c r="AB561" s="19" t="str">
        <f aca="false">IF(OR($A561="",INDEX(_LEITURA!$Q$2:$Q$21,18)=0),"",SUMIFS(DECKS!$D$2:$D$1201,DECKS!$A$2:$A$1201,INDEX(_LEITURA!$P$2:$P$21,18),DECKS!$B$2:$B$1201,$A561))</f>
        <v/>
      </c>
      <c r="AC561" s="19" t="str">
        <f aca="false">IF(OR($A561="",INDEX(_LEITURA!$Q$2:$Q$21,19)=0),"",SUMIFS(DECKS!$D$2:$D$1201,DECKS!$A$2:$A$1201,INDEX(_LEITURA!$P$2:$P$21,19),DECKS!$B$2:$B$1201,$A561))</f>
        <v/>
      </c>
      <c r="AD561" s="19" t="str">
        <f aca="false">IF(OR($A561="",INDEX(_LEITURA!$Q$2:$Q$21,20)=0),"",SUMIFS(DECKS!$D$2:$D$1201,DECKS!$A$2:$A$1201,INDEX(_LEITURA!$P$2:$P$21,20),DECKS!$B$2:$B$1201,$A561))</f>
        <v/>
      </c>
      <c r="AE561" s="16" t="str">
        <f aca="false">IF(N(E561)&gt;0,MAX(AE$1:AE560)+1,"")</f>
        <v/>
      </c>
      <c r="AF561" s="11" t="str">
        <f aca="false">IF(A561="","",IFERROR(LEFT(A561,FIND("-",A561)-1),A561))</f>
        <v/>
      </c>
      <c r="AG561" s="11" t="str">
        <f aca="false">IF(AF561="","",IF(ISNUMBER(--MID(AF561,1,1)),0,IF(ISNUMBER(--MID(AF561,2,1)),1,IF(ISNUMBER(--MID(AF561,3,1)),2,IF(ISNUMBER(--MID(AF561,4,1)),3,MIN(LEN(AF561),4))))))</f>
        <v/>
      </c>
      <c r="AH561" s="11" t="str">
        <f aca="false">IF(A561="","",LEFT(AF561,AG561)&amp;REPT("0",4-AG561)&amp;RIGHT("000"&amp;IFERROR(VALUE(MID(AF561,AG561+1,9)),0),3)&amp;RIGHT("0000"&amp;IFERROR(VALUE(MID(A561,FIND("-",A561)+1,9)),0),4))</f>
        <v/>
      </c>
      <c r="AI561" s="11" t="str">
        <f aca="false">IF(OR(A561="",N(E561)&lt;=0),"",IF('FALTAS GERAL'!$M$1="Código","K"&amp;AH561&amp;RIGHT("00000"&amp;ROW(),5),IF('FALTAS GERAL'!$M$1="Nome","K"&amp;UPPER(SUBSTITUTE(SUBSTITUTE(SUBSTITUTE(B561,"*",""),"?",""),"~",""))&amp;"0"&amp;AH561&amp;RIGHT("00000"&amp;ROW(),5),IF('FALTAS GERAL'!$M$1="Falta (maior primeiro)","K"&amp;RIGHT("0000"&amp;(9999-E561),4)&amp;AH561&amp;RIGHT("00000"&amp;ROW(),5),IF('FALTAS GERAL'!$M$1="Nº de decks (maior primeiro)","K"&amp;RIGHT("00"&amp;(99-N(G561)),2)&amp;AH561&amp;RIGHT("00000"&amp;ROW(),5),"K"&amp;RIGHT("00000"&amp;ROW(),5))))))</f>
        <v/>
      </c>
      <c r="AJ561" s="11" t="str">
        <f aca="false">IF(AI561="","",COUNTIFS($AI$2:$AI$801,"&lt;"&amp;AI561,$E$2:$E$801,"&gt;0")+1)</f>
        <v/>
      </c>
      <c r="AK561" s="11" t="str">
        <f aca="false">IF(OR(A561="",N(E561)&lt;=0),"",COUNTIFS($AH$2:$AH$801,"&lt;"&amp;AH561,$E$2:$E$801,"&gt;0")+COUNTIFS($AH$2:AH561,AH561,$E$2:E561,"&gt;0"))</f>
        <v/>
      </c>
    </row>
    <row r="562" customFormat="false" ht="15" hidden="false" customHeight="false" outlineLevel="0" collapsed="false">
      <c r="A562" s="11" t="str">
        <f aca="false">IF(INVENTÁRIO!A562="","",INVENTÁRIO!A562)</f>
        <v/>
      </c>
      <c r="B562" s="11" t="str">
        <f aca="false">IF(A562="","",INVENTÁRIO!B562)</f>
        <v/>
      </c>
      <c r="C562" s="16" t="str">
        <f aca="false">IF(A562="","",INVENTÁRIO!C562)</f>
        <v/>
      </c>
      <c r="D562" s="14" t="str">
        <f aca="false">IF(A562="","",MAX(K562:AD562))</f>
        <v/>
      </c>
      <c r="E562" s="14" t="str">
        <f aca="false">IF(A562="","",MAX(0,D562-C562))</f>
        <v/>
      </c>
      <c r="F562" s="16" t="str">
        <f aca="false">IF(A562="","",IF(D562=0,"Fora dos decks",IF(E562=0,"Completo","Falta")))</f>
        <v/>
      </c>
      <c r="G562" s="16" t="str">
        <f aca="false">IF(A562="","",COUNTIF(K562:AD562,"&gt;0"))</f>
        <v/>
      </c>
      <c r="H562" s="16" t="str">
        <f aca="false">IF(A562="","",IF(G562&gt;1,"Sim",""))</f>
        <v/>
      </c>
      <c r="I562" s="18" t="str">
        <f aca="false">IF(A562="","",SUMIFS(DECKS!$D$2:$D$1201,DECKS!$B$2:$B$1201,A562))</f>
        <v/>
      </c>
      <c r="J562" s="18" t="str">
        <f aca="false">IF(A562="","",MAX(0,I562-C562))</f>
        <v/>
      </c>
      <c r="K562" s="19" t="str">
        <f aca="false">IF(OR($A562="",INDEX(_LEITURA!$Q$2:$Q$21,1)=0),"",SUMIFS(DECKS!$D$2:$D$1201,DECKS!$A$2:$A$1201,INDEX(_LEITURA!$P$2:$P$21,1),DECKS!$B$2:$B$1201,$A562))</f>
        <v/>
      </c>
      <c r="L562" s="19" t="str">
        <f aca="false">IF(OR($A562="",INDEX(_LEITURA!$Q$2:$Q$21,2)=0),"",SUMIFS(DECKS!$D$2:$D$1201,DECKS!$A$2:$A$1201,INDEX(_LEITURA!$P$2:$P$21,2),DECKS!$B$2:$B$1201,$A562))</f>
        <v/>
      </c>
      <c r="M562" s="19" t="str">
        <f aca="false">IF(OR($A562="",INDEX(_LEITURA!$Q$2:$Q$21,3)=0),"",SUMIFS(DECKS!$D$2:$D$1201,DECKS!$A$2:$A$1201,INDEX(_LEITURA!$P$2:$P$21,3),DECKS!$B$2:$B$1201,$A562))</f>
        <v/>
      </c>
      <c r="N562" s="19" t="str">
        <f aca="false">IF(OR($A562="",INDEX(_LEITURA!$Q$2:$Q$21,4)=0),"",SUMIFS(DECKS!$D$2:$D$1201,DECKS!$A$2:$A$1201,INDEX(_LEITURA!$P$2:$P$21,4),DECKS!$B$2:$B$1201,$A562))</f>
        <v/>
      </c>
      <c r="O562" s="19" t="str">
        <f aca="false">IF(OR($A562="",INDEX(_LEITURA!$Q$2:$Q$21,5)=0),"",SUMIFS(DECKS!$D$2:$D$1201,DECKS!$A$2:$A$1201,INDEX(_LEITURA!$P$2:$P$21,5),DECKS!$B$2:$B$1201,$A562))</f>
        <v/>
      </c>
      <c r="P562" s="19" t="str">
        <f aca="false">IF(OR($A562="",INDEX(_LEITURA!$Q$2:$Q$21,6)=0),"",SUMIFS(DECKS!$D$2:$D$1201,DECKS!$A$2:$A$1201,INDEX(_LEITURA!$P$2:$P$21,6),DECKS!$B$2:$B$1201,$A562))</f>
        <v/>
      </c>
      <c r="Q562" s="19" t="str">
        <f aca="false">IF(OR($A562="",INDEX(_LEITURA!$Q$2:$Q$21,7)=0),"",SUMIFS(DECKS!$D$2:$D$1201,DECKS!$A$2:$A$1201,INDEX(_LEITURA!$P$2:$P$21,7),DECKS!$B$2:$B$1201,$A562))</f>
        <v/>
      </c>
      <c r="R562" s="19" t="str">
        <f aca="false">IF(OR($A562="",INDEX(_LEITURA!$Q$2:$Q$21,8)=0),"",SUMIFS(DECKS!$D$2:$D$1201,DECKS!$A$2:$A$1201,INDEX(_LEITURA!$P$2:$P$21,8),DECKS!$B$2:$B$1201,$A562))</f>
        <v/>
      </c>
      <c r="S562" s="19" t="str">
        <f aca="false">IF(OR($A562="",INDEX(_LEITURA!$Q$2:$Q$21,9)=0),"",SUMIFS(DECKS!$D$2:$D$1201,DECKS!$A$2:$A$1201,INDEX(_LEITURA!$P$2:$P$21,9),DECKS!$B$2:$B$1201,$A562))</f>
        <v/>
      </c>
      <c r="T562" s="19" t="str">
        <f aca="false">IF(OR($A562="",INDEX(_LEITURA!$Q$2:$Q$21,10)=0),"",SUMIFS(DECKS!$D$2:$D$1201,DECKS!$A$2:$A$1201,INDEX(_LEITURA!$P$2:$P$21,10),DECKS!$B$2:$B$1201,$A562))</f>
        <v/>
      </c>
      <c r="U562" s="19" t="str">
        <f aca="false">IF(OR($A562="",INDEX(_LEITURA!$Q$2:$Q$21,11)=0),"",SUMIFS(DECKS!$D$2:$D$1201,DECKS!$A$2:$A$1201,INDEX(_LEITURA!$P$2:$P$21,11),DECKS!$B$2:$B$1201,$A562))</f>
        <v/>
      </c>
      <c r="V562" s="19" t="str">
        <f aca="false">IF(OR($A562="",INDEX(_LEITURA!$Q$2:$Q$21,12)=0),"",SUMIFS(DECKS!$D$2:$D$1201,DECKS!$A$2:$A$1201,INDEX(_LEITURA!$P$2:$P$21,12),DECKS!$B$2:$B$1201,$A562))</f>
        <v/>
      </c>
      <c r="W562" s="19" t="str">
        <f aca="false">IF(OR($A562="",INDEX(_LEITURA!$Q$2:$Q$21,13)=0),"",SUMIFS(DECKS!$D$2:$D$1201,DECKS!$A$2:$A$1201,INDEX(_LEITURA!$P$2:$P$21,13),DECKS!$B$2:$B$1201,$A562))</f>
        <v/>
      </c>
      <c r="X562" s="19" t="str">
        <f aca="false">IF(OR($A562="",INDEX(_LEITURA!$Q$2:$Q$21,14)=0),"",SUMIFS(DECKS!$D$2:$D$1201,DECKS!$A$2:$A$1201,INDEX(_LEITURA!$P$2:$P$21,14),DECKS!$B$2:$B$1201,$A562))</f>
        <v/>
      </c>
      <c r="Y562" s="19" t="str">
        <f aca="false">IF(OR($A562="",INDEX(_LEITURA!$Q$2:$Q$21,15)=0),"",SUMIFS(DECKS!$D$2:$D$1201,DECKS!$A$2:$A$1201,INDEX(_LEITURA!$P$2:$P$21,15),DECKS!$B$2:$B$1201,$A562))</f>
        <v/>
      </c>
      <c r="Z562" s="19" t="str">
        <f aca="false">IF(OR($A562="",INDEX(_LEITURA!$Q$2:$Q$21,16)=0),"",SUMIFS(DECKS!$D$2:$D$1201,DECKS!$A$2:$A$1201,INDEX(_LEITURA!$P$2:$P$21,16),DECKS!$B$2:$B$1201,$A562))</f>
        <v/>
      </c>
      <c r="AA562" s="19" t="str">
        <f aca="false">IF(OR($A562="",INDEX(_LEITURA!$Q$2:$Q$21,17)=0),"",SUMIFS(DECKS!$D$2:$D$1201,DECKS!$A$2:$A$1201,INDEX(_LEITURA!$P$2:$P$21,17),DECKS!$B$2:$B$1201,$A562))</f>
        <v/>
      </c>
      <c r="AB562" s="19" t="str">
        <f aca="false">IF(OR($A562="",INDEX(_LEITURA!$Q$2:$Q$21,18)=0),"",SUMIFS(DECKS!$D$2:$D$1201,DECKS!$A$2:$A$1201,INDEX(_LEITURA!$P$2:$P$21,18),DECKS!$B$2:$B$1201,$A562))</f>
        <v/>
      </c>
      <c r="AC562" s="19" t="str">
        <f aca="false">IF(OR($A562="",INDEX(_LEITURA!$Q$2:$Q$21,19)=0),"",SUMIFS(DECKS!$D$2:$D$1201,DECKS!$A$2:$A$1201,INDEX(_LEITURA!$P$2:$P$21,19),DECKS!$B$2:$B$1201,$A562))</f>
        <v/>
      </c>
      <c r="AD562" s="19" t="str">
        <f aca="false">IF(OR($A562="",INDEX(_LEITURA!$Q$2:$Q$21,20)=0),"",SUMIFS(DECKS!$D$2:$D$1201,DECKS!$A$2:$A$1201,INDEX(_LEITURA!$P$2:$P$21,20),DECKS!$B$2:$B$1201,$A562))</f>
        <v/>
      </c>
      <c r="AE562" s="16" t="str">
        <f aca="false">IF(N(E562)&gt;0,MAX(AE$1:AE561)+1,"")</f>
        <v/>
      </c>
      <c r="AF562" s="11" t="str">
        <f aca="false">IF(A562="","",IFERROR(LEFT(A562,FIND("-",A562)-1),A562))</f>
        <v/>
      </c>
      <c r="AG562" s="11" t="str">
        <f aca="false">IF(AF562="","",IF(ISNUMBER(--MID(AF562,1,1)),0,IF(ISNUMBER(--MID(AF562,2,1)),1,IF(ISNUMBER(--MID(AF562,3,1)),2,IF(ISNUMBER(--MID(AF562,4,1)),3,MIN(LEN(AF562),4))))))</f>
        <v/>
      </c>
      <c r="AH562" s="11" t="str">
        <f aca="false">IF(A562="","",LEFT(AF562,AG562)&amp;REPT("0",4-AG562)&amp;RIGHT("000"&amp;IFERROR(VALUE(MID(AF562,AG562+1,9)),0),3)&amp;RIGHT("0000"&amp;IFERROR(VALUE(MID(A562,FIND("-",A562)+1,9)),0),4))</f>
        <v/>
      </c>
      <c r="AI562" s="11" t="str">
        <f aca="false">IF(OR(A562="",N(E562)&lt;=0),"",IF('FALTAS GERAL'!$M$1="Código","K"&amp;AH562&amp;RIGHT("00000"&amp;ROW(),5),IF('FALTAS GERAL'!$M$1="Nome","K"&amp;UPPER(SUBSTITUTE(SUBSTITUTE(SUBSTITUTE(B562,"*",""),"?",""),"~",""))&amp;"0"&amp;AH562&amp;RIGHT("00000"&amp;ROW(),5),IF('FALTAS GERAL'!$M$1="Falta (maior primeiro)","K"&amp;RIGHT("0000"&amp;(9999-E562),4)&amp;AH562&amp;RIGHT("00000"&amp;ROW(),5),IF('FALTAS GERAL'!$M$1="Nº de decks (maior primeiro)","K"&amp;RIGHT("00"&amp;(99-N(G562)),2)&amp;AH562&amp;RIGHT("00000"&amp;ROW(),5),"K"&amp;RIGHT("00000"&amp;ROW(),5))))))</f>
        <v/>
      </c>
      <c r="AJ562" s="11" t="str">
        <f aca="false">IF(AI562="","",COUNTIFS($AI$2:$AI$801,"&lt;"&amp;AI562,$E$2:$E$801,"&gt;0")+1)</f>
        <v/>
      </c>
      <c r="AK562" s="11" t="str">
        <f aca="false">IF(OR(A562="",N(E562)&lt;=0),"",COUNTIFS($AH$2:$AH$801,"&lt;"&amp;AH562,$E$2:$E$801,"&gt;0")+COUNTIFS($AH$2:AH562,AH562,$E$2:E562,"&gt;0"))</f>
        <v/>
      </c>
    </row>
    <row r="563" customFormat="false" ht="15" hidden="false" customHeight="false" outlineLevel="0" collapsed="false">
      <c r="A563" s="11" t="str">
        <f aca="false">IF(INVENTÁRIO!A563="","",INVENTÁRIO!A563)</f>
        <v/>
      </c>
      <c r="B563" s="11" t="str">
        <f aca="false">IF(A563="","",INVENTÁRIO!B563)</f>
        <v/>
      </c>
      <c r="C563" s="16" t="str">
        <f aca="false">IF(A563="","",INVENTÁRIO!C563)</f>
        <v/>
      </c>
      <c r="D563" s="14" t="str">
        <f aca="false">IF(A563="","",MAX(K563:AD563))</f>
        <v/>
      </c>
      <c r="E563" s="14" t="str">
        <f aca="false">IF(A563="","",MAX(0,D563-C563))</f>
        <v/>
      </c>
      <c r="F563" s="16" t="str">
        <f aca="false">IF(A563="","",IF(D563=0,"Fora dos decks",IF(E563=0,"Completo","Falta")))</f>
        <v/>
      </c>
      <c r="G563" s="16" t="str">
        <f aca="false">IF(A563="","",COUNTIF(K563:AD563,"&gt;0"))</f>
        <v/>
      </c>
      <c r="H563" s="16" t="str">
        <f aca="false">IF(A563="","",IF(G563&gt;1,"Sim",""))</f>
        <v/>
      </c>
      <c r="I563" s="18" t="str">
        <f aca="false">IF(A563="","",SUMIFS(DECKS!$D$2:$D$1201,DECKS!$B$2:$B$1201,A563))</f>
        <v/>
      </c>
      <c r="J563" s="18" t="str">
        <f aca="false">IF(A563="","",MAX(0,I563-C563))</f>
        <v/>
      </c>
      <c r="K563" s="19" t="str">
        <f aca="false">IF(OR($A563="",INDEX(_LEITURA!$Q$2:$Q$21,1)=0),"",SUMIFS(DECKS!$D$2:$D$1201,DECKS!$A$2:$A$1201,INDEX(_LEITURA!$P$2:$P$21,1),DECKS!$B$2:$B$1201,$A563))</f>
        <v/>
      </c>
      <c r="L563" s="19" t="str">
        <f aca="false">IF(OR($A563="",INDEX(_LEITURA!$Q$2:$Q$21,2)=0),"",SUMIFS(DECKS!$D$2:$D$1201,DECKS!$A$2:$A$1201,INDEX(_LEITURA!$P$2:$P$21,2),DECKS!$B$2:$B$1201,$A563))</f>
        <v/>
      </c>
      <c r="M563" s="19" t="str">
        <f aca="false">IF(OR($A563="",INDEX(_LEITURA!$Q$2:$Q$21,3)=0),"",SUMIFS(DECKS!$D$2:$D$1201,DECKS!$A$2:$A$1201,INDEX(_LEITURA!$P$2:$P$21,3),DECKS!$B$2:$B$1201,$A563))</f>
        <v/>
      </c>
      <c r="N563" s="19" t="str">
        <f aca="false">IF(OR($A563="",INDEX(_LEITURA!$Q$2:$Q$21,4)=0),"",SUMIFS(DECKS!$D$2:$D$1201,DECKS!$A$2:$A$1201,INDEX(_LEITURA!$P$2:$P$21,4),DECKS!$B$2:$B$1201,$A563))</f>
        <v/>
      </c>
      <c r="O563" s="19" t="str">
        <f aca="false">IF(OR($A563="",INDEX(_LEITURA!$Q$2:$Q$21,5)=0),"",SUMIFS(DECKS!$D$2:$D$1201,DECKS!$A$2:$A$1201,INDEX(_LEITURA!$P$2:$P$21,5),DECKS!$B$2:$B$1201,$A563))</f>
        <v/>
      </c>
      <c r="P563" s="19" t="str">
        <f aca="false">IF(OR($A563="",INDEX(_LEITURA!$Q$2:$Q$21,6)=0),"",SUMIFS(DECKS!$D$2:$D$1201,DECKS!$A$2:$A$1201,INDEX(_LEITURA!$P$2:$P$21,6),DECKS!$B$2:$B$1201,$A563))</f>
        <v/>
      </c>
      <c r="Q563" s="19" t="str">
        <f aca="false">IF(OR($A563="",INDEX(_LEITURA!$Q$2:$Q$21,7)=0),"",SUMIFS(DECKS!$D$2:$D$1201,DECKS!$A$2:$A$1201,INDEX(_LEITURA!$P$2:$P$21,7),DECKS!$B$2:$B$1201,$A563))</f>
        <v/>
      </c>
      <c r="R563" s="19" t="str">
        <f aca="false">IF(OR($A563="",INDEX(_LEITURA!$Q$2:$Q$21,8)=0),"",SUMIFS(DECKS!$D$2:$D$1201,DECKS!$A$2:$A$1201,INDEX(_LEITURA!$P$2:$P$21,8),DECKS!$B$2:$B$1201,$A563))</f>
        <v/>
      </c>
      <c r="S563" s="19" t="str">
        <f aca="false">IF(OR($A563="",INDEX(_LEITURA!$Q$2:$Q$21,9)=0),"",SUMIFS(DECKS!$D$2:$D$1201,DECKS!$A$2:$A$1201,INDEX(_LEITURA!$P$2:$P$21,9),DECKS!$B$2:$B$1201,$A563))</f>
        <v/>
      </c>
      <c r="T563" s="19" t="str">
        <f aca="false">IF(OR($A563="",INDEX(_LEITURA!$Q$2:$Q$21,10)=0),"",SUMIFS(DECKS!$D$2:$D$1201,DECKS!$A$2:$A$1201,INDEX(_LEITURA!$P$2:$P$21,10),DECKS!$B$2:$B$1201,$A563))</f>
        <v/>
      </c>
      <c r="U563" s="19" t="str">
        <f aca="false">IF(OR($A563="",INDEX(_LEITURA!$Q$2:$Q$21,11)=0),"",SUMIFS(DECKS!$D$2:$D$1201,DECKS!$A$2:$A$1201,INDEX(_LEITURA!$P$2:$P$21,11),DECKS!$B$2:$B$1201,$A563))</f>
        <v/>
      </c>
      <c r="V563" s="19" t="str">
        <f aca="false">IF(OR($A563="",INDEX(_LEITURA!$Q$2:$Q$21,12)=0),"",SUMIFS(DECKS!$D$2:$D$1201,DECKS!$A$2:$A$1201,INDEX(_LEITURA!$P$2:$P$21,12),DECKS!$B$2:$B$1201,$A563))</f>
        <v/>
      </c>
      <c r="W563" s="19" t="str">
        <f aca="false">IF(OR($A563="",INDEX(_LEITURA!$Q$2:$Q$21,13)=0),"",SUMIFS(DECKS!$D$2:$D$1201,DECKS!$A$2:$A$1201,INDEX(_LEITURA!$P$2:$P$21,13),DECKS!$B$2:$B$1201,$A563))</f>
        <v/>
      </c>
      <c r="X563" s="19" t="str">
        <f aca="false">IF(OR($A563="",INDEX(_LEITURA!$Q$2:$Q$21,14)=0),"",SUMIFS(DECKS!$D$2:$D$1201,DECKS!$A$2:$A$1201,INDEX(_LEITURA!$P$2:$P$21,14),DECKS!$B$2:$B$1201,$A563))</f>
        <v/>
      </c>
      <c r="Y563" s="19" t="str">
        <f aca="false">IF(OR($A563="",INDEX(_LEITURA!$Q$2:$Q$21,15)=0),"",SUMIFS(DECKS!$D$2:$D$1201,DECKS!$A$2:$A$1201,INDEX(_LEITURA!$P$2:$P$21,15),DECKS!$B$2:$B$1201,$A563))</f>
        <v/>
      </c>
      <c r="Z563" s="19" t="str">
        <f aca="false">IF(OR($A563="",INDEX(_LEITURA!$Q$2:$Q$21,16)=0),"",SUMIFS(DECKS!$D$2:$D$1201,DECKS!$A$2:$A$1201,INDEX(_LEITURA!$P$2:$P$21,16),DECKS!$B$2:$B$1201,$A563))</f>
        <v/>
      </c>
      <c r="AA563" s="19" t="str">
        <f aca="false">IF(OR($A563="",INDEX(_LEITURA!$Q$2:$Q$21,17)=0),"",SUMIFS(DECKS!$D$2:$D$1201,DECKS!$A$2:$A$1201,INDEX(_LEITURA!$P$2:$P$21,17),DECKS!$B$2:$B$1201,$A563))</f>
        <v/>
      </c>
      <c r="AB563" s="19" t="str">
        <f aca="false">IF(OR($A563="",INDEX(_LEITURA!$Q$2:$Q$21,18)=0),"",SUMIFS(DECKS!$D$2:$D$1201,DECKS!$A$2:$A$1201,INDEX(_LEITURA!$P$2:$P$21,18),DECKS!$B$2:$B$1201,$A563))</f>
        <v/>
      </c>
      <c r="AC563" s="19" t="str">
        <f aca="false">IF(OR($A563="",INDEX(_LEITURA!$Q$2:$Q$21,19)=0),"",SUMIFS(DECKS!$D$2:$D$1201,DECKS!$A$2:$A$1201,INDEX(_LEITURA!$P$2:$P$21,19),DECKS!$B$2:$B$1201,$A563))</f>
        <v/>
      </c>
      <c r="AD563" s="19" t="str">
        <f aca="false">IF(OR($A563="",INDEX(_LEITURA!$Q$2:$Q$21,20)=0),"",SUMIFS(DECKS!$D$2:$D$1201,DECKS!$A$2:$A$1201,INDEX(_LEITURA!$P$2:$P$21,20),DECKS!$B$2:$B$1201,$A563))</f>
        <v/>
      </c>
      <c r="AE563" s="16" t="str">
        <f aca="false">IF(N(E563)&gt;0,MAX(AE$1:AE562)+1,"")</f>
        <v/>
      </c>
      <c r="AF563" s="11" t="str">
        <f aca="false">IF(A563="","",IFERROR(LEFT(A563,FIND("-",A563)-1),A563))</f>
        <v/>
      </c>
      <c r="AG563" s="11" t="str">
        <f aca="false">IF(AF563="","",IF(ISNUMBER(--MID(AF563,1,1)),0,IF(ISNUMBER(--MID(AF563,2,1)),1,IF(ISNUMBER(--MID(AF563,3,1)),2,IF(ISNUMBER(--MID(AF563,4,1)),3,MIN(LEN(AF563),4))))))</f>
        <v/>
      </c>
      <c r="AH563" s="11" t="str">
        <f aca="false">IF(A563="","",LEFT(AF563,AG563)&amp;REPT("0",4-AG563)&amp;RIGHT("000"&amp;IFERROR(VALUE(MID(AF563,AG563+1,9)),0),3)&amp;RIGHT("0000"&amp;IFERROR(VALUE(MID(A563,FIND("-",A563)+1,9)),0),4))</f>
        <v/>
      </c>
      <c r="AI563" s="11" t="str">
        <f aca="false">IF(OR(A563="",N(E563)&lt;=0),"",IF('FALTAS GERAL'!$M$1="Código","K"&amp;AH563&amp;RIGHT("00000"&amp;ROW(),5),IF('FALTAS GERAL'!$M$1="Nome","K"&amp;UPPER(SUBSTITUTE(SUBSTITUTE(SUBSTITUTE(B563,"*",""),"?",""),"~",""))&amp;"0"&amp;AH563&amp;RIGHT("00000"&amp;ROW(),5),IF('FALTAS GERAL'!$M$1="Falta (maior primeiro)","K"&amp;RIGHT("0000"&amp;(9999-E563),4)&amp;AH563&amp;RIGHT("00000"&amp;ROW(),5),IF('FALTAS GERAL'!$M$1="Nº de decks (maior primeiro)","K"&amp;RIGHT("00"&amp;(99-N(G563)),2)&amp;AH563&amp;RIGHT("00000"&amp;ROW(),5),"K"&amp;RIGHT("00000"&amp;ROW(),5))))))</f>
        <v/>
      </c>
      <c r="AJ563" s="11" t="str">
        <f aca="false">IF(AI563="","",COUNTIFS($AI$2:$AI$801,"&lt;"&amp;AI563,$E$2:$E$801,"&gt;0")+1)</f>
        <v/>
      </c>
      <c r="AK563" s="11" t="str">
        <f aca="false">IF(OR(A563="",N(E563)&lt;=0),"",COUNTIFS($AH$2:$AH$801,"&lt;"&amp;AH563,$E$2:$E$801,"&gt;0")+COUNTIFS($AH$2:AH563,AH563,$E$2:E563,"&gt;0"))</f>
        <v/>
      </c>
    </row>
    <row r="564" customFormat="false" ht="15" hidden="false" customHeight="false" outlineLevel="0" collapsed="false">
      <c r="A564" s="11" t="str">
        <f aca="false">IF(INVENTÁRIO!A564="","",INVENTÁRIO!A564)</f>
        <v/>
      </c>
      <c r="B564" s="11" t="str">
        <f aca="false">IF(A564="","",INVENTÁRIO!B564)</f>
        <v/>
      </c>
      <c r="C564" s="16" t="str">
        <f aca="false">IF(A564="","",INVENTÁRIO!C564)</f>
        <v/>
      </c>
      <c r="D564" s="14" t="str">
        <f aca="false">IF(A564="","",MAX(K564:AD564))</f>
        <v/>
      </c>
      <c r="E564" s="14" t="str">
        <f aca="false">IF(A564="","",MAX(0,D564-C564))</f>
        <v/>
      </c>
      <c r="F564" s="16" t="str">
        <f aca="false">IF(A564="","",IF(D564=0,"Fora dos decks",IF(E564=0,"Completo","Falta")))</f>
        <v/>
      </c>
      <c r="G564" s="16" t="str">
        <f aca="false">IF(A564="","",COUNTIF(K564:AD564,"&gt;0"))</f>
        <v/>
      </c>
      <c r="H564" s="16" t="str">
        <f aca="false">IF(A564="","",IF(G564&gt;1,"Sim",""))</f>
        <v/>
      </c>
      <c r="I564" s="18" t="str">
        <f aca="false">IF(A564="","",SUMIFS(DECKS!$D$2:$D$1201,DECKS!$B$2:$B$1201,A564))</f>
        <v/>
      </c>
      <c r="J564" s="18" t="str">
        <f aca="false">IF(A564="","",MAX(0,I564-C564))</f>
        <v/>
      </c>
      <c r="K564" s="19" t="str">
        <f aca="false">IF(OR($A564="",INDEX(_LEITURA!$Q$2:$Q$21,1)=0),"",SUMIFS(DECKS!$D$2:$D$1201,DECKS!$A$2:$A$1201,INDEX(_LEITURA!$P$2:$P$21,1),DECKS!$B$2:$B$1201,$A564))</f>
        <v/>
      </c>
      <c r="L564" s="19" t="str">
        <f aca="false">IF(OR($A564="",INDEX(_LEITURA!$Q$2:$Q$21,2)=0),"",SUMIFS(DECKS!$D$2:$D$1201,DECKS!$A$2:$A$1201,INDEX(_LEITURA!$P$2:$P$21,2),DECKS!$B$2:$B$1201,$A564))</f>
        <v/>
      </c>
      <c r="M564" s="19" t="str">
        <f aca="false">IF(OR($A564="",INDEX(_LEITURA!$Q$2:$Q$21,3)=0),"",SUMIFS(DECKS!$D$2:$D$1201,DECKS!$A$2:$A$1201,INDEX(_LEITURA!$P$2:$P$21,3),DECKS!$B$2:$B$1201,$A564))</f>
        <v/>
      </c>
      <c r="N564" s="19" t="str">
        <f aca="false">IF(OR($A564="",INDEX(_LEITURA!$Q$2:$Q$21,4)=0),"",SUMIFS(DECKS!$D$2:$D$1201,DECKS!$A$2:$A$1201,INDEX(_LEITURA!$P$2:$P$21,4),DECKS!$B$2:$B$1201,$A564))</f>
        <v/>
      </c>
      <c r="O564" s="19" t="str">
        <f aca="false">IF(OR($A564="",INDEX(_LEITURA!$Q$2:$Q$21,5)=0),"",SUMIFS(DECKS!$D$2:$D$1201,DECKS!$A$2:$A$1201,INDEX(_LEITURA!$P$2:$P$21,5),DECKS!$B$2:$B$1201,$A564))</f>
        <v/>
      </c>
      <c r="P564" s="19" t="str">
        <f aca="false">IF(OR($A564="",INDEX(_LEITURA!$Q$2:$Q$21,6)=0),"",SUMIFS(DECKS!$D$2:$D$1201,DECKS!$A$2:$A$1201,INDEX(_LEITURA!$P$2:$P$21,6),DECKS!$B$2:$B$1201,$A564))</f>
        <v/>
      </c>
      <c r="Q564" s="19" t="str">
        <f aca="false">IF(OR($A564="",INDEX(_LEITURA!$Q$2:$Q$21,7)=0),"",SUMIFS(DECKS!$D$2:$D$1201,DECKS!$A$2:$A$1201,INDEX(_LEITURA!$P$2:$P$21,7),DECKS!$B$2:$B$1201,$A564))</f>
        <v/>
      </c>
      <c r="R564" s="19" t="str">
        <f aca="false">IF(OR($A564="",INDEX(_LEITURA!$Q$2:$Q$21,8)=0),"",SUMIFS(DECKS!$D$2:$D$1201,DECKS!$A$2:$A$1201,INDEX(_LEITURA!$P$2:$P$21,8),DECKS!$B$2:$B$1201,$A564))</f>
        <v/>
      </c>
      <c r="S564" s="19" t="str">
        <f aca="false">IF(OR($A564="",INDEX(_LEITURA!$Q$2:$Q$21,9)=0),"",SUMIFS(DECKS!$D$2:$D$1201,DECKS!$A$2:$A$1201,INDEX(_LEITURA!$P$2:$P$21,9),DECKS!$B$2:$B$1201,$A564))</f>
        <v/>
      </c>
      <c r="T564" s="19" t="str">
        <f aca="false">IF(OR($A564="",INDEX(_LEITURA!$Q$2:$Q$21,10)=0),"",SUMIFS(DECKS!$D$2:$D$1201,DECKS!$A$2:$A$1201,INDEX(_LEITURA!$P$2:$P$21,10),DECKS!$B$2:$B$1201,$A564))</f>
        <v/>
      </c>
      <c r="U564" s="19" t="str">
        <f aca="false">IF(OR($A564="",INDEX(_LEITURA!$Q$2:$Q$21,11)=0),"",SUMIFS(DECKS!$D$2:$D$1201,DECKS!$A$2:$A$1201,INDEX(_LEITURA!$P$2:$P$21,11),DECKS!$B$2:$B$1201,$A564))</f>
        <v/>
      </c>
      <c r="V564" s="19" t="str">
        <f aca="false">IF(OR($A564="",INDEX(_LEITURA!$Q$2:$Q$21,12)=0),"",SUMIFS(DECKS!$D$2:$D$1201,DECKS!$A$2:$A$1201,INDEX(_LEITURA!$P$2:$P$21,12),DECKS!$B$2:$B$1201,$A564))</f>
        <v/>
      </c>
      <c r="W564" s="19" t="str">
        <f aca="false">IF(OR($A564="",INDEX(_LEITURA!$Q$2:$Q$21,13)=0),"",SUMIFS(DECKS!$D$2:$D$1201,DECKS!$A$2:$A$1201,INDEX(_LEITURA!$P$2:$P$21,13),DECKS!$B$2:$B$1201,$A564))</f>
        <v/>
      </c>
      <c r="X564" s="19" t="str">
        <f aca="false">IF(OR($A564="",INDEX(_LEITURA!$Q$2:$Q$21,14)=0),"",SUMIFS(DECKS!$D$2:$D$1201,DECKS!$A$2:$A$1201,INDEX(_LEITURA!$P$2:$P$21,14),DECKS!$B$2:$B$1201,$A564))</f>
        <v/>
      </c>
      <c r="Y564" s="19" t="str">
        <f aca="false">IF(OR($A564="",INDEX(_LEITURA!$Q$2:$Q$21,15)=0),"",SUMIFS(DECKS!$D$2:$D$1201,DECKS!$A$2:$A$1201,INDEX(_LEITURA!$P$2:$P$21,15),DECKS!$B$2:$B$1201,$A564))</f>
        <v/>
      </c>
      <c r="Z564" s="19" t="str">
        <f aca="false">IF(OR($A564="",INDEX(_LEITURA!$Q$2:$Q$21,16)=0),"",SUMIFS(DECKS!$D$2:$D$1201,DECKS!$A$2:$A$1201,INDEX(_LEITURA!$P$2:$P$21,16),DECKS!$B$2:$B$1201,$A564))</f>
        <v/>
      </c>
      <c r="AA564" s="19" t="str">
        <f aca="false">IF(OR($A564="",INDEX(_LEITURA!$Q$2:$Q$21,17)=0),"",SUMIFS(DECKS!$D$2:$D$1201,DECKS!$A$2:$A$1201,INDEX(_LEITURA!$P$2:$P$21,17),DECKS!$B$2:$B$1201,$A564))</f>
        <v/>
      </c>
      <c r="AB564" s="19" t="str">
        <f aca="false">IF(OR($A564="",INDEX(_LEITURA!$Q$2:$Q$21,18)=0),"",SUMIFS(DECKS!$D$2:$D$1201,DECKS!$A$2:$A$1201,INDEX(_LEITURA!$P$2:$P$21,18),DECKS!$B$2:$B$1201,$A564))</f>
        <v/>
      </c>
      <c r="AC564" s="19" t="str">
        <f aca="false">IF(OR($A564="",INDEX(_LEITURA!$Q$2:$Q$21,19)=0),"",SUMIFS(DECKS!$D$2:$D$1201,DECKS!$A$2:$A$1201,INDEX(_LEITURA!$P$2:$P$21,19),DECKS!$B$2:$B$1201,$A564))</f>
        <v/>
      </c>
      <c r="AD564" s="19" t="str">
        <f aca="false">IF(OR($A564="",INDEX(_LEITURA!$Q$2:$Q$21,20)=0),"",SUMIFS(DECKS!$D$2:$D$1201,DECKS!$A$2:$A$1201,INDEX(_LEITURA!$P$2:$P$21,20),DECKS!$B$2:$B$1201,$A564))</f>
        <v/>
      </c>
      <c r="AE564" s="16" t="str">
        <f aca="false">IF(N(E564)&gt;0,MAX(AE$1:AE563)+1,"")</f>
        <v/>
      </c>
      <c r="AF564" s="11" t="str">
        <f aca="false">IF(A564="","",IFERROR(LEFT(A564,FIND("-",A564)-1),A564))</f>
        <v/>
      </c>
      <c r="AG564" s="11" t="str">
        <f aca="false">IF(AF564="","",IF(ISNUMBER(--MID(AF564,1,1)),0,IF(ISNUMBER(--MID(AF564,2,1)),1,IF(ISNUMBER(--MID(AF564,3,1)),2,IF(ISNUMBER(--MID(AF564,4,1)),3,MIN(LEN(AF564),4))))))</f>
        <v/>
      </c>
      <c r="AH564" s="11" t="str">
        <f aca="false">IF(A564="","",LEFT(AF564,AG564)&amp;REPT("0",4-AG564)&amp;RIGHT("000"&amp;IFERROR(VALUE(MID(AF564,AG564+1,9)),0),3)&amp;RIGHT("0000"&amp;IFERROR(VALUE(MID(A564,FIND("-",A564)+1,9)),0),4))</f>
        <v/>
      </c>
      <c r="AI564" s="11" t="str">
        <f aca="false">IF(OR(A564="",N(E564)&lt;=0),"",IF('FALTAS GERAL'!$M$1="Código","K"&amp;AH564&amp;RIGHT("00000"&amp;ROW(),5),IF('FALTAS GERAL'!$M$1="Nome","K"&amp;UPPER(SUBSTITUTE(SUBSTITUTE(SUBSTITUTE(B564,"*",""),"?",""),"~",""))&amp;"0"&amp;AH564&amp;RIGHT("00000"&amp;ROW(),5),IF('FALTAS GERAL'!$M$1="Falta (maior primeiro)","K"&amp;RIGHT("0000"&amp;(9999-E564),4)&amp;AH564&amp;RIGHT("00000"&amp;ROW(),5),IF('FALTAS GERAL'!$M$1="Nº de decks (maior primeiro)","K"&amp;RIGHT("00"&amp;(99-N(G564)),2)&amp;AH564&amp;RIGHT("00000"&amp;ROW(),5),"K"&amp;RIGHT("00000"&amp;ROW(),5))))))</f>
        <v/>
      </c>
      <c r="AJ564" s="11" t="str">
        <f aca="false">IF(AI564="","",COUNTIFS($AI$2:$AI$801,"&lt;"&amp;AI564,$E$2:$E$801,"&gt;0")+1)</f>
        <v/>
      </c>
      <c r="AK564" s="11" t="str">
        <f aca="false">IF(OR(A564="",N(E564)&lt;=0),"",COUNTIFS($AH$2:$AH$801,"&lt;"&amp;AH564,$E$2:$E$801,"&gt;0")+COUNTIFS($AH$2:AH564,AH564,$E$2:E564,"&gt;0"))</f>
        <v/>
      </c>
    </row>
    <row r="565" customFormat="false" ht="15" hidden="false" customHeight="false" outlineLevel="0" collapsed="false">
      <c r="A565" s="11" t="str">
        <f aca="false">IF(INVENTÁRIO!A565="","",INVENTÁRIO!A565)</f>
        <v/>
      </c>
      <c r="B565" s="11" t="str">
        <f aca="false">IF(A565="","",INVENTÁRIO!B565)</f>
        <v/>
      </c>
      <c r="C565" s="16" t="str">
        <f aca="false">IF(A565="","",INVENTÁRIO!C565)</f>
        <v/>
      </c>
      <c r="D565" s="14" t="str">
        <f aca="false">IF(A565="","",MAX(K565:AD565))</f>
        <v/>
      </c>
      <c r="E565" s="14" t="str">
        <f aca="false">IF(A565="","",MAX(0,D565-C565))</f>
        <v/>
      </c>
      <c r="F565" s="16" t="str">
        <f aca="false">IF(A565="","",IF(D565=0,"Fora dos decks",IF(E565=0,"Completo","Falta")))</f>
        <v/>
      </c>
      <c r="G565" s="16" t="str">
        <f aca="false">IF(A565="","",COUNTIF(K565:AD565,"&gt;0"))</f>
        <v/>
      </c>
      <c r="H565" s="16" t="str">
        <f aca="false">IF(A565="","",IF(G565&gt;1,"Sim",""))</f>
        <v/>
      </c>
      <c r="I565" s="18" t="str">
        <f aca="false">IF(A565="","",SUMIFS(DECKS!$D$2:$D$1201,DECKS!$B$2:$B$1201,A565))</f>
        <v/>
      </c>
      <c r="J565" s="18" t="str">
        <f aca="false">IF(A565="","",MAX(0,I565-C565))</f>
        <v/>
      </c>
      <c r="K565" s="19" t="str">
        <f aca="false">IF(OR($A565="",INDEX(_LEITURA!$Q$2:$Q$21,1)=0),"",SUMIFS(DECKS!$D$2:$D$1201,DECKS!$A$2:$A$1201,INDEX(_LEITURA!$P$2:$P$21,1),DECKS!$B$2:$B$1201,$A565))</f>
        <v/>
      </c>
      <c r="L565" s="19" t="str">
        <f aca="false">IF(OR($A565="",INDEX(_LEITURA!$Q$2:$Q$21,2)=0),"",SUMIFS(DECKS!$D$2:$D$1201,DECKS!$A$2:$A$1201,INDEX(_LEITURA!$P$2:$P$21,2),DECKS!$B$2:$B$1201,$A565))</f>
        <v/>
      </c>
      <c r="M565" s="19" t="str">
        <f aca="false">IF(OR($A565="",INDEX(_LEITURA!$Q$2:$Q$21,3)=0),"",SUMIFS(DECKS!$D$2:$D$1201,DECKS!$A$2:$A$1201,INDEX(_LEITURA!$P$2:$P$21,3),DECKS!$B$2:$B$1201,$A565))</f>
        <v/>
      </c>
      <c r="N565" s="19" t="str">
        <f aca="false">IF(OR($A565="",INDEX(_LEITURA!$Q$2:$Q$21,4)=0),"",SUMIFS(DECKS!$D$2:$D$1201,DECKS!$A$2:$A$1201,INDEX(_LEITURA!$P$2:$P$21,4),DECKS!$B$2:$B$1201,$A565))</f>
        <v/>
      </c>
      <c r="O565" s="19" t="str">
        <f aca="false">IF(OR($A565="",INDEX(_LEITURA!$Q$2:$Q$21,5)=0),"",SUMIFS(DECKS!$D$2:$D$1201,DECKS!$A$2:$A$1201,INDEX(_LEITURA!$P$2:$P$21,5),DECKS!$B$2:$B$1201,$A565))</f>
        <v/>
      </c>
      <c r="P565" s="19" t="str">
        <f aca="false">IF(OR($A565="",INDEX(_LEITURA!$Q$2:$Q$21,6)=0),"",SUMIFS(DECKS!$D$2:$D$1201,DECKS!$A$2:$A$1201,INDEX(_LEITURA!$P$2:$P$21,6),DECKS!$B$2:$B$1201,$A565))</f>
        <v/>
      </c>
      <c r="Q565" s="19" t="str">
        <f aca="false">IF(OR($A565="",INDEX(_LEITURA!$Q$2:$Q$21,7)=0),"",SUMIFS(DECKS!$D$2:$D$1201,DECKS!$A$2:$A$1201,INDEX(_LEITURA!$P$2:$P$21,7),DECKS!$B$2:$B$1201,$A565))</f>
        <v/>
      </c>
      <c r="R565" s="19" t="str">
        <f aca="false">IF(OR($A565="",INDEX(_LEITURA!$Q$2:$Q$21,8)=0),"",SUMIFS(DECKS!$D$2:$D$1201,DECKS!$A$2:$A$1201,INDEX(_LEITURA!$P$2:$P$21,8),DECKS!$B$2:$B$1201,$A565))</f>
        <v/>
      </c>
      <c r="S565" s="19" t="str">
        <f aca="false">IF(OR($A565="",INDEX(_LEITURA!$Q$2:$Q$21,9)=0),"",SUMIFS(DECKS!$D$2:$D$1201,DECKS!$A$2:$A$1201,INDEX(_LEITURA!$P$2:$P$21,9),DECKS!$B$2:$B$1201,$A565))</f>
        <v/>
      </c>
      <c r="T565" s="19" t="str">
        <f aca="false">IF(OR($A565="",INDEX(_LEITURA!$Q$2:$Q$21,10)=0),"",SUMIFS(DECKS!$D$2:$D$1201,DECKS!$A$2:$A$1201,INDEX(_LEITURA!$P$2:$P$21,10),DECKS!$B$2:$B$1201,$A565))</f>
        <v/>
      </c>
      <c r="U565" s="19" t="str">
        <f aca="false">IF(OR($A565="",INDEX(_LEITURA!$Q$2:$Q$21,11)=0),"",SUMIFS(DECKS!$D$2:$D$1201,DECKS!$A$2:$A$1201,INDEX(_LEITURA!$P$2:$P$21,11),DECKS!$B$2:$B$1201,$A565))</f>
        <v/>
      </c>
      <c r="V565" s="19" t="str">
        <f aca="false">IF(OR($A565="",INDEX(_LEITURA!$Q$2:$Q$21,12)=0),"",SUMIFS(DECKS!$D$2:$D$1201,DECKS!$A$2:$A$1201,INDEX(_LEITURA!$P$2:$P$21,12),DECKS!$B$2:$B$1201,$A565))</f>
        <v/>
      </c>
      <c r="W565" s="19" t="str">
        <f aca="false">IF(OR($A565="",INDEX(_LEITURA!$Q$2:$Q$21,13)=0),"",SUMIFS(DECKS!$D$2:$D$1201,DECKS!$A$2:$A$1201,INDEX(_LEITURA!$P$2:$P$21,13),DECKS!$B$2:$B$1201,$A565))</f>
        <v/>
      </c>
      <c r="X565" s="19" t="str">
        <f aca="false">IF(OR($A565="",INDEX(_LEITURA!$Q$2:$Q$21,14)=0),"",SUMIFS(DECKS!$D$2:$D$1201,DECKS!$A$2:$A$1201,INDEX(_LEITURA!$P$2:$P$21,14),DECKS!$B$2:$B$1201,$A565))</f>
        <v/>
      </c>
      <c r="Y565" s="19" t="str">
        <f aca="false">IF(OR($A565="",INDEX(_LEITURA!$Q$2:$Q$21,15)=0),"",SUMIFS(DECKS!$D$2:$D$1201,DECKS!$A$2:$A$1201,INDEX(_LEITURA!$P$2:$P$21,15),DECKS!$B$2:$B$1201,$A565))</f>
        <v/>
      </c>
      <c r="Z565" s="19" t="str">
        <f aca="false">IF(OR($A565="",INDEX(_LEITURA!$Q$2:$Q$21,16)=0),"",SUMIFS(DECKS!$D$2:$D$1201,DECKS!$A$2:$A$1201,INDEX(_LEITURA!$P$2:$P$21,16),DECKS!$B$2:$B$1201,$A565))</f>
        <v/>
      </c>
      <c r="AA565" s="19" t="str">
        <f aca="false">IF(OR($A565="",INDEX(_LEITURA!$Q$2:$Q$21,17)=0),"",SUMIFS(DECKS!$D$2:$D$1201,DECKS!$A$2:$A$1201,INDEX(_LEITURA!$P$2:$P$21,17),DECKS!$B$2:$B$1201,$A565))</f>
        <v/>
      </c>
      <c r="AB565" s="19" t="str">
        <f aca="false">IF(OR($A565="",INDEX(_LEITURA!$Q$2:$Q$21,18)=0),"",SUMIFS(DECKS!$D$2:$D$1201,DECKS!$A$2:$A$1201,INDEX(_LEITURA!$P$2:$P$21,18),DECKS!$B$2:$B$1201,$A565))</f>
        <v/>
      </c>
      <c r="AC565" s="19" t="str">
        <f aca="false">IF(OR($A565="",INDEX(_LEITURA!$Q$2:$Q$21,19)=0),"",SUMIFS(DECKS!$D$2:$D$1201,DECKS!$A$2:$A$1201,INDEX(_LEITURA!$P$2:$P$21,19),DECKS!$B$2:$B$1201,$A565))</f>
        <v/>
      </c>
      <c r="AD565" s="19" t="str">
        <f aca="false">IF(OR($A565="",INDEX(_LEITURA!$Q$2:$Q$21,20)=0),"",SUMIFS(DECKS!$D$2:$D$1201,DECKS!$A$2:$A$1201,INDEX(_LEITURA!$P$2:$P$21,20),DECKS!$B$2:$B$1201,$A565))</f>
        <v/>
      </c>
      <c r="AE565" s="16" t="str">
        <f aca="false">IF(N(E565)&gt;0,MAX(AE$1:AE564)+1,"")</f>
        <v/>
      </c>
      <c r="AF565" s="11" t="str">
        <f aca="false">IF(A565="","",IFERROR(LEFT(A565,FIND("-",A565)-1),A565))</f>
        <v/>
      </c>
      <c r="AG565" s="11" t="str">
        <f aca="false">IF(AF565="","",IF(ISNUMBER(--MID(AF565,1,1)),0,IF(ISNUMBER(--MID(AF565,2,1)),1,IF(ISNUMBER(--MID(AF565,3,1)),2,IF(ISNUMBER(--MID(AF565,4,1)),3,MIN(LEN(AF565),4))))))</f>
        <v/>
      </c>
      <c r="AH565" s="11" t="str">
        <f aca="false">IF(A565="","",LEFT(AF565,AG565)&amp;REPT("0",4-AG565)&amp;RIGHT("000"&amp;IFERROR(VALUE(MID(AF565,AG565+1,9)),0),3)&amp;RIGHT("0000"&amp;IFERROR(VALUE(MID(A565,FIND("-",A565)+1,9)),0),4))</f>
        <v/>
      </c>
      <c r="AI565" s="11" t="str">
        <f aca="false">IF(OR(A565="",N(E565)&lt;=0),"",IF('FALTAS GERAL'!$M$1="Código","K"&amp;AH565&amp;RIGHT("00000"&amp;ROW(),5),IF('FALTAS GERAL'!$M$1="Nome","K"&amp;UPPER(SUBSTITUTE(SUBSTITUTE(SUBSTITUTE(B565,"*",""),"?",""),"~",""))&amp;"0"&amp;AH565&amp;RIGHT("00000"&amp;ROW(),5),IF('FALTAS GERAL'!$M$1="Falta (maior primeiro)","K"&amp;RIGHT("0000"&amp;(9999-E565),4)&amp;AH565&amp;RIGHT("00000"&amp;ROW(),5),IF('FALTAS GERAL'!$M$1="Nº de decks (maior primeiro)","K"&amp;RIGHT("00"&amp;(99-N(G565)),2)&amp;AH565&amp;RIGHT("00000"&amp;ROW(),5),"K"&amp;RIGHT("00000"&amp;ROW(),5))))))</f>
        <v/>
      </c>
      <c r="AJ565" s="11" t="str">
        <f aca="false">IF(AI565="","",COUNTIFS($AI$2:$AI$801,"&lt;"&amp;AI565,$E$2:$E$801,"&gt;0")+1)</f>
        <v/>
      </c>
      <c r="AK565" s="11" t="str">
        <f aca="false">IF(OR(A565="",N(E565)&lt;=0),"",COUNTIFS($AH$2:$AH$801,"&lt;"&amp;AH565,$E$2:$E$801,"&gt;0")+COUNTIFS($AH$2:AH565,AH565,$E$2:E565,"&gt;0"))</f>
        <v/>
      </c>
    </row>
    <row r="566" customFormat="false" ht="15" hidden="false" customHeight="false" outlineLevel="0" collapsed="false">
      <c r="A566" s="11" t="str">
        <f aca="false">IF(INVENTÁRIO!A566="","",INVENTÁRIO!A566)</f>
        <v/>
      </c>
      <c r="B566" s="11" t="str">
        <f aca="false">IF(A566="","",INVENTÁRIO!B566)</f>
        <v/>
      </c>
      <c r="C566" s="16" t="str">
        <f aca="false">IF(A566="","",INVENTÁRIO!C566)</f>
        <v/>
      </c>
      <c r="D566" s="14" t="str">
        <f aca="false">IF(A566="","",MAX(K566:AD566))</f>
        <v/>
      </c>
      <c r="E566" s="14" t="str">
        <f aca="false">IF(A566="","",MAX(0,D566-C566))</f>
        <v/>
      </c>
      <c r="F566" s="16" t="str">
        <f aca="false">IF(A566="","",IF(D566=0,"Fora dos decks",IF(E566=0,"Completo","Falta")))</f>
        <v/>
      </c>
      <c r="G566" s="16" t="str">
        <f aca="false">IF(A566="","",COUNTIF(K566:AD566,"&gt;0"))</f>
        <v/>
      </c>
      <c r="H566" s="16" t="str">
        <f aca="false">IF(A566="","",IF(G566&gt;1,"Sim",""))</f>
        <v/>
      </c>
      <c r="I566" s="18" t="str">
        <f aca="false">IF(A566="","",SUMIFS(DECKS!$D$2:$D$1201,DECKS!$B$2:$B$1201,A566))</f>
        <v/>
      </c>
      <c r="J566" s="18" t="str">
        <f aca="false">IF(A566="","",MAX(0,I566-C566))</f>
        <v/>
      </c>
      <c r="K566" s="19" t="str">
        <f aca="false">IF(OR($A566="",INDEX(_LEITURA!$Q$2:$Q$21,1)=0),"",SUMIFS(DECKS!$D$2:$D$1201,DECKS!$A$2:$A$1201,INDEX(_LEITURA!$P$2:$P$21,1),DECKS!$B$2:$B$1201,$A566))</f>
        <v/>
      </c>
      <c r="L566" s="19" t="str">
        <f aca="false">IF(OR($A566="",INDEX(_LEITURA!$Q$2:$Q$21,2)=0),"",SUMIFS(DECKS!$D$2:$D$1201,DECKS!$A$2:$A$1201,INDEX(_LEITURA!$P$2:$P$21,2),DECKS!$B$2:$B$1201,$A566))</f>
        <v/>
      </c>
      <c r="M566" s="19" t="str">
        <f aca="false">IF(OR($A566="",INDEX(_LEITURA!$Q$2:$Q$21,3)=0),"",SUMIFS(DECKS!$D$2:$D$1201,DECKS!$A$2:$A$1201,INDEX(_LEITURA!$P$2:$P$21,3),DECKS!$B$2:$B$1201,$A566))</f>
        <v/>
      </c>
      <c r="N566" s="19" t="str">
        <f aca="false">IF(OR($A566="",INDEX(_LEITURA!$Q$2:$Q$21,4)=0),"",SUMIFS(DECKS!$D$2:$D$1201,DECKS!$A$2:$A$1201,INDEX(_LEITURA!$P$2:$P$21,4),DECKS!$B$2:$B$1201,$A566))</f>
        <v/>
      </c>
      <c r="O566" s="19" t="str">
        <f aca="false">IF(OR($A566="",INDEX(_LEITURA!$Q$2:$Q$21,5)=0),"",SUMIFS(DECKS!$D$2:$D$1201,DECKS!$A$2:$A$1201,INDEX(_LEITURA!$P$2:$P$21,5),DECKS!$B$2:$B$1201,$A566))</f>
        <v/>
      </c>
      <c r="P566" s="19" t="str">
        <f aca="false">IF(OR($A566="",INDEX(_LEITURA!$Q$2:$Q$21,6)=0),"",SUMIFS(DECKS!$D$2:$D$1201,DECKS!$A$2:$A$1201,INDEX(_LEITURA!$P$2:$P$21,6),DECKS!$B$2:$B$1201,$A566))</f>
        <v/>
      </c>
      <c r="Q566" s="19" t="str">
        <f aca="false">IF(OR($A566="",INDEX(_LEITURA!$Q$2:$Q$21,7)=0),"",SUMIFS(DECKS!$D$2:$D$1201,DECKS!$A$2:$A$1201,INDEX(_LEITURA!$P$2:$P$21,7),DECKS!$B$2:$B$1201,$A566))</f>
        <v/>
      </c>
      <c r="R566" s="19" t="str">
        <f aca="false">IF(OR($A566="",INDEX(_LEITURA!$Q$2:$Q$21,8)=0),"",SUMIFS(DECKS!$D$2:$D$1201,DECKS!$A$2:$A$1201,INDEX(_LEITURA!$P$2:$P$21,8),DECKS!$B$2:$B$1201,$A566))</f>
        <v/>
      </c>
      <c r="S566" s="19" t="str">
        <f aca="false">IF(OR($A566="",INDEX(_LEITURA!$Q$2:$Q$21,9)=0),"",SUMIFS(DECKS!$D$2:$D$1201,DECKS!$A$2:$A$1201,INDEX(_LEITURA!$P$2:$P$21,9),DECKS!$B$2:$B$1201,$A566))</f>
        <v/>
      </c>
      <c r="T566" s="19" t="str">
        <f aca="false">IF(OR($A566="",INDEX(_LEITURA!$Q$2:$Q$21,10)=0),"",SUMIFS(DECKS!$D$2:$D$1201,DECKS!$A$2:$A$1201,INDEX(_LEITURA!$P$2:$P$21,10),DECKS!$B$2:$B$1201,$A566))</f>
        <v/>
      </c>
      <c r="U566" s="19" t="str">
        <f aca="false">IF(OR($A566="",INDEX(_LEITURA!$Q$2:$Q$21,11)=0),"",SUMIFS(DECKS!$D$2:$D$1201,DECKS!$A$2:$A$1201,INDEX(_LEITURA!$P$2:$P$21,11),DECKS!$B$2:$B$1201,$A566))</f>
        <v/>
      </c>
      <c r="V566" s="19" t="str">
        <f aca="false">IF(OR($A566="",INDEX(_LEITURA!$Q$2:$Q$21,12)=0),"",SUMIFS(DECKS!$D$2:$D$1201,DECKS!$A$2:$A$1201,INDEX(_LEITURA!$P$2:$P$21,12),DECKS!$B$2:$B$1201,$A566))</f>
        <v/>
      </c>
      <c r="W566" s="19" t="str">
        <f aca="false">IF(OR($A566="",INDEX(_LEITURA!$Q$2:$Q$21,13)=0),"",SUMIFS(DECKS!$D$2:$D$1201,DECKS!$A$2:$A$1201,INDEX(_LEITURA!$P$2:$P$21,13),DECKS!$B$2:$B$1201,$A566))</f>
        <v/>
      </c>
      <c r="X566" s="19" t="str">
        <f aca="false">IF(OR($A566="",INDEX(_LEITURA!$Q$2:$Q$21,14)=0),"",SUMIFS(DECKS!$D$2:$D$1201,DECKS!$A$2:$A$1201,INDEX(_LEITURA!$P$2:$P$21,14),DECKS!$B$2:$B$1201,$A566))</f>
        <v/>
      </c>
      <c r="Y566" s="19" t="str">
        <f aca="false">IF(OR($A566="",INDEX(_LEITURA!$Q$2:$Q$21,15)=0),"",SUMIFS(DECKS!$D$2:$D$1201,DECKS!$A$2:$A$1201,INDEX(_LEITURA!$P$2:$P$21,15),DECKS!$B$2:$B$1201,$A566))</f>
        <v/>
      </c>
      <c r="Z566" s="19" t="str">
        <f aca="false">IF(OR($A566="",INDEX(_LEITURA!$Q$2:$Q$21,16)=0),"",SUMIFS(DECKS!$D$2:$D$1201,DECKS!$A$2:$A$1201,INDEX(_LEITURA!$P$2:$P$21,16),DECKS!$B$2:$B$1201,$A566))</f>
        <v/>
      </c>
      <c r="AA566" s="19" t="str">
        <f aca="false">IF(OR($A566="",INDEX(_LEITURA!$Q$2:$Q$21,17)=0),"",SUMIFS(DECKS!$D$2:$D$1201,DECKS!$A$2:$A$1201,INDEX(_LEITURA!$P$2:$P$21,17),DECKS!$B$2:$B$1201,$A566))</f>
        <v/>
      </c>
      <c r="AB566" s="19" t="str">
        <f aca="false">IF(OR($A566="",INDEX(_LEITURA!$Q$2:$Q$21,18)=0),"",SUMIFS(DECKS!$D$2:$D$1201,DECKS!$A$2:$A$1201,INDEX(_LEITURA!$P$2:$P$21,18),DECKS!$B$2:$B$1201,$A566))</f>
        <v/>
      </c>
      <c r="AC566" s="19" t="str">
        <f aca="false">IF(OR($A566="",INDEX(_LEITURA!$Q$2:$Q$21,19)=0),"",SUMIFS(DECKS!$D$2:$D$1201,DECKS!$A$2:$A$1201,INDEX(_LEITURA!$P$2:$P$21,19),DECKS!$B$2:$B$1201,$A566))</f>
        <v/>
      </c>
      <c r="AD566" s="19" t="str">
        <f aca="false">IF(OR($A566="",INDEX(_LEITURA!$Q$2:$Q$21,20)=0),"",SUMIFS(DECKS!$D$2:$D$1201,DECKS!$A$2:$A$1201,INDEX(_LEITURA!$P$2:$P$21,20),DECKS!$B$2:$B$1201,$A566))</f>
        <v/>
      </c>
      <c r="AE566" s="16" t="str">
        <f aca="false">IF(N(E566)&gt;0,MAX(AE$1:AE565)+1,"")</f>
        <v/>
      </c>
      <c r="AF566" s="11" t="str">
        <f aca="false">IF(A566="","",IFERROR(LEFT(A566,FIND("-",A566)-1),A566))</f>
        <v/>
      </c>
      <c r="AG566" s="11" t="str">
        <f aca="false">IF(AF566="","",IF(ISNUMBER(--MID(AF566,1,1)),0,IF(ISNUMBER(--MID(AF566,2,1)),1,IF(ISNUMBER(--MID(AF566,3,1)),2,IF(ISNUMBER(--MID(AF566,4,1)),3,MIN(LEN(AF566),4))))))</f>
        <v/>
      </c>
      <c r="AH566" s="11" t="str">
        <f aca="false">IF(A566="","",LEFT(AF566,AG566)&amp;REPT("0",4-AG566)&amp;RIGHT("000"&amp;IFERROR(VALUE(MID(AF566,AG566+1,9)),0),3)&amp;RIGHT("0000"&amp;IFERROR(VALUE(MID(A566,FIND("-",A566)+1,9)),0),4))</f>
        <v/>
      </c>
      <c r="AI566" s="11" t="str">
        <f aca="false">IF(OR(A566="",N(E566)&lt;=0),"",IF('FALTAS GERAL'!$M$1="Código","K"&amp;AH566&amp;RIGHT("00000"&amp;ROW(),5),IF('FALTAS GERAL'!$M$1="Nome","K"&amp;UPPER(SUBSTITUTE(SUBSTITUTE(SUBSTITUTE(B566,"*",""),"?",""),"~",""))&amp;"0"&amp;AH566&amp;RIGHT("00000"&amp;ROW(),5),IF('FALTAS GERAL'!$M$1="Falta (maior primeiro)","K"&amp;RIGHT("0000"&amp;(9999-E566),4)&amp;AH566&amp;RIGHT("00000"&amp;ROW(),5),IF('FALTAS GERAL'!$M$1="Nº de decks (maior primeiro)","K"&amp;RIGHT("00"&amp;(99-N(G566)),2)&amp;AH566&amp;RIGHT("00000"&amp;ROW(),5),"K"&amp;RIGHT("00000"&amp;ROW(),5))))))</f>
        <v/>
      </c>
      <c r="AJ566" s="11" t="str">
        <f aca="false">IF(AI566="","",COUNTIFS($AI$2:$AI$801,"&lt;"&amp;AI566,$E$2:$E$801,"&gt;0")+1)</f>
        <v/>
      </c>
      <c r="AK566" s="11" t="str">
        <f aca="false">IF(OR(A566="",N(E566)&lt;=0),"",COUNTIFS($AH$2:$AH$801,"&lt;"&amp;AH566,$E$2:$E$801,"&gt;0")+COUNTIFS($AH$2:AH566,AH566,$E$2:E566,"&gt;0"))</f>
        <v/>
      </c>
    </row>
    <row r="567" customFormat="false" ht="15" hidden="false" customHeight="false" outlineLevel="0" collapsed="false">
      <c r="A567" s="11" t="str">
        <f aca="false">IF(INVENTÁRIO!A567="","",INVENTÁRIO!A567)</f>
        <v/>
      </c>
      <c r="B567" s="11" t="str">
        <f aca="false">IF(A567="","",INVENTÁRIO!B567)</f>
        <v/>
      </c>
      <c r="C567" s="16" t="str">
        <f aca="false">IF(A567="","",INVENTÁRIO!C567)</f>
        <v/>
      </c>
      <c r="D567" s="14" t="str">
        <f aca="false">IF(A567="","",MAX(K567:AD567))</f>
        <v/>
      </c>
      <c r="E567" s="14" t="str">
        <f aca="false">IF(A567="","",MAX(0,D567-C567))</f>
        <v/>
      </c>
      <c r="F567" s="16" t="str">
        <f aca="false">IF(A567="","",IF(D567=0,"Fora dos decks",IF(E567=0,"Completo","Falta")))</f>
        <v/>
      </c>
      <c r="G567" s="16" t="str">
        <f aca="false">IF(A567="","",COUNTIF(K567:AD567,"&gt;0"))</f>
        <v/>
      </c>
      <c r="H567" s="16" t="str">
        <f aca="false">IF(A567="","",IF(G567&gt;1,"Sim",""))</f>
        <v/>
      </c>
      <c r="I567" s="18" t="str">
        <f aca="false">IF(A567="","",SUMIFS(DECKS!$D$2:$D$1201,DECKS!$B$2:$B$1201,A567))</f>
        <v/>
      </c>
      <c r="J567" s="18" t="str">
        <f aca="false">IF(A567="","",MAX(0,I567-C567))</f>
        <v/>
      </c>
      <c r="K567" s="19" t="str">
        <f aca="false">IF(OR($A567="",INDEX(_LEITURA!$Q$2:$Q$21,1)=0),"",SUMIFS(DECKS!$D$2:$D$1201,DECKS!$A$2:$A$1201,INDEX(_LEITURA!$P$2:$P$21,1),DECKS!$B$2:$B$1201,$A567))</f>
        <v/>
      </c>
      <c r="L567" s="19" t="str">
        <f aca="false">IF(OR($A567="",INDEX(_LEITURA!$Q$2:$Q$21,2)=0),"",SUMIFS(DECKS!$D$2:$D$1201,DECKS!$A$2:$A$1201,INDEX(_LEITURA!$P$2:$P$21,2),DECKS!$B$2:$B$1201,$A567))</f>
        <v/>
      </c>
      <c r="M567" s="19" t="str">
        <f aca="false">IF(OR($A567="",INDEX(_LEITURA!$Q$2:$Q$21,3)=0),"",SUMIFS(DECKS!$D$2:$D$1201,DECKS!$A$2:$A$1201,INDEX(_LEITURA!$P$2:$P$21,3),DECKS!$B$2:$B$1201,$A567))</f>
        <v/>
      </c>
      <c r="N567" s="19" t="str">
        <f aca="false">IF(OR($A567="",INDEX(_LEITURA!$Q$2:$Q$21,4)=0),"",SUMIFS(DECKS!$D$2:$D$1201,DECKS!$A$2:$A$1201,INDEX(_LEITURA!$P$2:$P$21,4),DECKS!$B$2:$B$1201,$A567))</f>
        <v/>
      </c>
      <c r="O567" s="19" t="str">
        <f aca="false">IF(OR($A567="",INDEX(_LEITURA!$Q$2:$Q$21,5)=0),"",SUMIFS(DECKS!$D$2:$D$1201,DECKS!$A$2:$A$1201,INDEX(_LEITURA!$P$2:$P$21,5),DECKS!$B$2:$B$1201,$A567))</f>
        <v/>
      </c>
      <c r="P567" s="19" t="str">
        <f aca="false">IF(OR($A567="",INDEX(_LEITURA!$Q$2:$Q$21,6)=0),"",SUMIFS(DECKS!$D$2:$D$1201,DECKS!$A$2:$A$1201,INDEX(_LEITURA!$P$2:$P$21,6),DECKS!$B$2:$B$1201,$A567))</f>
        <v/>
      </c>
      <c r="Q567" s="19" t="str">
        <f aca="false">IF(OR($A567="",INDEX(_LEITURA!$Q$2:$Q$21,7)=0),"",SUMIFS(DECKS!$D$2:$D$1201,DECKS!$A$2:$A$1201,INDEX(_LEITURA!$P$2:$P$21,7),DECKS!$B$2:$B$1201,$A567))</f>
        <v/>
      </c>
      <c r="R567" s="19" t="str">
        <f aca="false">IF(OR($A567="",INDEX(_LEITURA!$Q$2:$Q$21,8)=0),"",SUMIFS(DECKS!$D$2:$D$1201,DECKS!$A$2:$A$1201,INDEX(_LEITURA!$P$2:$P$21,8),DECKS!$B$2:$B$1201,$A567))</f>
        <v/>
      </c>
      <c r="S567" s="19" t="str">
        <f aca="false">IF(OR($A567="",INDEX(_LEITURA!$Q$2:$Q$21,9)=0),"",SUMIFS(DECKS!$D$2:$D$1201,DECKS!$A$2:$A$1201,INDEX(_LEITURA!$P$2:$P$21,9),DECKS!$B$2:$B$1201,$A567))</f>
        <v/>
      </c>
      <c r="T567" s="19" t="str">
        <f aca="false">IF(OR($A567="",INDEX(_LEITURA!$Q$2:$Q$21,10)=0),"",SUMIFS(DECKS!$D$2:$D$1201,DECKS!$A$2:$A$1201,INDEX(_LEITURA!$P$2:$P$21,10),DECKS!$B$2:$B$1201,$A567))</f>
        <v/>
      </c>
      <c r="U567" s="19" t="str">
        <f aca="false">IF(OR($A567="",INDEX(_LEITURA!$Q$2:$Q$21,11)=0),"",SUMIFS(DECKS!$D$2:$D$1201,DECKS!$A$2:$A$1201,INDEX(_LEITURA!$P$2:$P$21,11),DECKS!$B$2:$B$1201,$A567))</f>
        <v/>
      </c>
      <c r="V567" s="19" t="str">
        <f aca="false">IF(OR($A567="",INDEX(_LEITURA!$Q$2:$Q$21,12)=0),"",SUMIFS(DECKS!$D$2:$D$1201,DECKS!$A$2:$A$1201,INDEX(_LEITURA!$P$2:$P$21,12),DECKS!$B$2:$B$1201,$A567))</f>
        <v/>
      </c>
      <c r="W567" s="19" t="str">
        <f aca="false">IF(OR($A567="",INDEX(_LEITURA!$Q$2:$Q$21,13)=0),"",SUMIFS(DECKS!$D$2:$D$1201,DECKS!$A$2:$A$1201,INDEX(_LEITURA!$P$2:$P$21,13),DECKS!$B$2:$B$1201,$A567))</f>
        <v/>
      </c>
      <c r="X567" s="19" t="str">
        <f aca="false">IF(OR($A567="",INDEX(_LEITURA!$Q$2:$Q$21,14)=0),"",SUMIFS(DECKS!$D$2:$D$1201,DECKS!$A$2:$A$1201,INDEX(_LEITURA!$P$2:$P$21,14),DECKS!$B$2:$B$1201,$A567))</f>
        <v/>
      </c>
      <c r="Y567" s="19" t="str">
        <f aca="false">IF(OR($A567="",INDEX(_LEITURA!$Q$2:$Q$21,15)=0),"",SUMIFS(DECKS!$D$2:$D$1201,DECKS!$A$2:$A$1201,INDEX(_LEITURA!$P$2:$P$21,15),DECKS!$B$2:$B$1201,$A567))</f>
        <v/>
      </c>
      <c r="Z567" s="19" t="str">
        <f aca="false">IF(OR($A567="",INDEX(_LEITURA!$Q$2:$Q$21,16)=0),"",SUMIFS(DECKS!$D$2:$D$1201,DECKS!$A$2:$A$1201,INDEX(_LEITURA!$P$2:$P$21,16),DECKS!$B$2:$B$1201,$A567))</f>
        <v/>
      </c>
      <c r="AA567" s="19" t="str">
        <f aca="false">IF(OR($A567="",INDEX(_LEITURA!$Q$2:$Q$21,17)=0),"",SUMIFS(DECKS!$D$2:$D$1201,DECKS!$A$2:$A$1201,INDEX(_LEITURA!$P$2:$P$21,17),DECKS!$B$2:$B$1201,$A567))</f>
        <v/>
      </c>
      <c r="AB567" s="19" t="str">
        <f aca="false">IF(OR($A567="",INDEX(_LEITURA!$Q$2:$Q$21,18)=0),"",SUMIFS(DECKS!$D$2:$D$1201,DECKS!$A$2:$A$1201,INDEX(_LEITURA!$P$2:$P$21,18),DECKS!$B$2:$B$1201,$A567))</f>
        <v/>
      </c>
      <c r="AC567" s="19" t="str">
        <f aca="false">IF(OR($A567="",INDEX(_LEITURA!$Q$2:$Q$21,19)=0),"",SUMIFS(DECKS!$D$2:$D$1201,DECKS!$A$2:$A$1201,INDEX(_LEITURA!$P$2:$P$21,19),DECKS!$B$2:$B$1201,$A567))</f>
        <v/>
      </c>
      <c r="AD567" s="19" t="str">
        <f aca="false">IF(OR($A567="",INDEX(_LEITURA!$Q$2:$Q$21,20)=0),"",SUMIFS(DECKS!$D$2:$D$1201,DECKS!$A$2:$A$1201,INDEX(_LEITURA!$P$2:$P$21,20),DECKS!$B$2:$B$1201,$A567))</f>
        <v/>
      </c>
      <c r="AE567" s="16" t="str">
        <f aca="false">IF(N(E567)&gt;0,MAX(AE$1:AE566)+1,"")</f>
        <v/>
      </c>
      <c r="AF567" s="11" t="str">
        <f aca="false">IF(A567="","",IFERROR(LEFT(A567,FIND("-",A567)-1),A567))</f>
        <v/>
      </c>
      <c r="AG567" s="11" t="str">
        <f aca="false">IF(AF567="","",IF(ISNUMBER(--MID(AF567,1,1)),0,IF(ISNUMBER(--MID(AF567,2,1)),1,IF(ISNUMBER(--MID(AF567,3,1)),2,IF(ISNUMBER(--MID(AF567,4,1)),3,MIN(LEN(AF567),4))))))</f>
        <v/>
      </c>
      <c r="AH567" s="11" t="str">
        <f aca="false">IF(A567="","",LEFT(AF567,AG567)&amp;REPT("0",4-AG567)&amp;RIGHT("000"&amp;IFERROR(VALUE(MID(AF567,AG567+1,9)),0),3)&amp;RIGHT("0000"&amp;IFERROR(VALUE(MID(A567,FIND("-",A567)+1,9)),0),4))</f>
        <v/>
      </c>
      <c r="AI567" s="11" t="str">
        <f aca="false">IF(OR(A567="",N(E567)&lt;=0),"",IF('FALTAS GERAL'!$M$1="Código","K"&amp;AH567&amp;RIGHT("00000"&amp;ROW(),5),IF('FALTAS GERAL'!$M$1="Nome","K"&amp;UPPER(SUBSTITUTE(SUBSTITUTE(SUBSTITUTE(B567,"*",""),"?",""),"~",""))&amp;"0"&amp;AH567&amp;RIGHT("00000"&amp;ROW(),5),IF('FALTAS GERAL'!$M$1="Falta (maior primeiro)","K"&amp;RIGHT("0000"&amp;(9999-E567),4)&amp;AH567&amp;RIGHT("00000"&amp;ROW(),5),IF('FALTAS GERAL'!$M$1="Nº de decks (maior primeiro)","K"&amp;RIGHT("00"&amp;(99-N(G567)),2)&amp;AH567&amp;RIGHT("00000"&amp;ROW(),5),"K"&amp;RIGHT("00000"&amp;ROW(),5))))))</f>
        <v/>
      </c>
      <c r="AJ567" s="11" t="str">
        <f aca="false">IF(AI567="","",COUNTIFS($AI$2:$AI$801,"&lt;"&amp;AI567,$E$2:$E$801,"&gt;0")+1)</f>
        <v/>
      </c>
      <c r="AK567" s="11" t="str">
        <f aca="false">IF(OR(A567="",N(E567)&lt;=0),"",COUNTIFS($AH$2:$AH$801,"&lt;"&amp;AH567,$E$2:$E$801,"&gt;0")+COUNTIFS($AH$2:AH567,AH567,$E$2:E567,"&gt;0"))</f>
        <v/>
      </c>
    </row>
    <row r="568" customFormat="false" ht="15" hidden="false" customHeight="false" outlineLevel="0" collapsed="false">
      <c r="A568" s="11" t="str">
        <f aca="false">IF(INVENTÁRIO!A568="","",INVENTÁRIO!A568)</f>
        <v/>
      </c>
      <c r="B568" s="11" t="str">
        <f aca="false">IF(A568="","",INVENTÁRIO!B568)</f>
        <v/>
      </c>
      <c r="C568" s="16" t="str">
        <f aca="false">IF(A568="","",INVENTÁRIO!C568)</f>
        <v/>
      </c>
      <c r="D568" s="14" t="str">
        <f aca="false">IF(A568="","",MAX(K568:AD568))</f>
        <v/>
      </c>
      <c r="E568" s="14" t="str">
        <f aca="false">IF(A568="","",MAX(0,D568-C568))</f>
        <v/>
      </c>
      <c r="F568" s="16" t="str">
        <f aca="false">IF(A568="","",IF(D568=0,"Fora dos decks",IF(E568=0,"Completo","Falta")))</f>
        <v/>
      </c>
      <c r="G568" s="16" t="str">
        <f aca="false">IF(A568="","",COUNTIF(K568:AD568,"&gt;0"))</f>
        <v/>
      </c>
      <c r="H568" s="16" t="str">
        <f aca="false">IF(A568="","",IF(G568&gt;1,"Sim",""))</f>
        <v/>
      </c>
      <c r="I568" s="18" t="str">
        <f aca="false">IF(A568="","",SUMIFS(DECKS!$D$2:$D$1201,DECKS!$B$2:$B$1201,A568))</f>
        <v/>
      </c>
      <c r="J568" s="18" t="str">
        <f aca="false">IF(A568="","",MAX(0,I568-C568))</f>
        <v/>
      </c>
      <c r="K568" s="19" t="str">
        <f aca="false">IF(OR($A568="",INDEX(_LEITURA!$Q$2:$Q$21,1)=0),"",SUMIFS(DECKS!$D$2:$D$1201,DECKS!$A$2:$A$1201,INDEX(_LEITURA!$P$2:$P$21,1),DECKS!$B$2:$B$1201,$A568))</f>
        <v/>
      </c>
      <c r="L568" s="19" t="str">
        <f aca="false">IF(OR($A568="",INDEX(_LEITURA!$Q$2:$Q$21,2)=0),"",SUMIFS(DECKS!$D$2:$D$1201,DECKS!$A$2:$A$1201,INDEX(_LEITURA!$P$2:$P$21,2),DECKS!$B$2:$B$1201,$A568))</f>
        <v/>
      </c>
      <c r="M568" s="19" t="str">
        <f aca="false">IF(OR($A568="",INDEX(_LEITURA!$Q$2:$Q$21,3)=0),"",SUMIFS(DECKS!$D$2:$D$1201,DECKS!$A$2:$A$1201,INDEX(_LEITURA!$P$2:$P$21,3),DECKS!$B$2:$B$1201,$A568))</f>
        <v/>
      </c>
      <c r="N568" s="19" t="str">
        <f aca="false">IF(OR($A568="",INDEX(_LEITURA!$Q$2:$Q$21,4)=0),"",SUMIFS(DECKS!$D$2:$D$1201,DECKS!$A$2:$A$1201,INDEX(_LEITURA!$P$2:$P$21,4),DECKS!$B$2:$B$1201,$A568))</f>
        <v/>
      </c>
      <c r="O568" s="19" t="str">
        <f aca="false">IF(OR($A568="",INDEX(_LEITURA!$Q$2:$Q$21,5)=0),"",SUMIFS(DECKS!$D$2:$D$1201,DECKS!$A$2:$A$1201,INDEX(_LEITURA!$P$2:$P$21,5),DECKS!$B$2:$B$1201,$A568))</f>
        <v/>
      </c>
      <c r="P568" s="19" t="str">
        <f aca="false">IF(OR($A568="",INDEX(_LEITURA!$Q$2:$Q$21,6)=0),"",SUMIFS(DECKS!$D$2:$D$1201,DECKS!$A$2:$A$1201,INDEX(_LEITURA!$P$2:$P$21,6),DECKS!$B$2:$B$1201,$A568))</f>
        <v/>
      </c>
      <c r="Q568" s="19" t="str">
        <f aca="false">IF(OR($A568="",INDEX(_LEITURA!$Q$2:$Q$21,7)=0),"",SUMIFS(DECKS!$D$2:$D$1201,DECKS!$A$2:$A$1201,INDEX(_LEITURA!$P$2:$P$21,7),DECKS!$B$2:$B$1201,$A568))</f>
        <v/>
      </c>
      <c r="R568" s="19" t="str">
        <f aca="false">IF(OR($A568="",INDEX(_LEITURA!$Q$2:$Q$21,8)=0),"",SUMIFS(DECKS!$D$2:$D$1201,DECKS!$A$2:$A$1201,INDEX(_LEITURA!$P$2:$P$21,8),DECKS!$B$2:$B$1201,$A568))</f>
        <v/>
      </c>
      <c r="S568" s="19" t="str">
        <f aca="false">IF(OR($A568="",INDEX(_LEITURA!$Q$2:$Q$21,9)=0),"",SUMIFS(DECKS!$D$2:$D$1201,DECKS!$A$2:$A$1201,INDEX(_LEITURA!$P$2:$P$21,9),DECKS!$B$2:$B$1201,$A568))</f>
        <v/>
      </c>
      <c r="T568" s="19" t="str">
        <f aca="false">IF(OR($A568="",INDEX(_LEITURA!$Q$2:$Q$21,10)=0),"",SUMIFS(DECKS!$D$2:$D$1201,DECKS!$A$2:$A$1201,INDEX(_LEITURA!$P$2:$P$21,10),DECKS!$B$2:$B$1201,$A568))</f>
        <v/>
      </c>
      <c r="U568" s="19" t="str">
        <f aca="false">IF(OR($A568="",INDEX(_LEITURA!$Q$2:$Q$21,11)=0),"",SUMIFS(DECKS!$D$2:$D$1201,DECKS!$A$2:$A$1201,INDEX(_LEITURA!$P$2:$P$21,11),DECKS!$B$2:$B$1201,$A568))</f>
        <v/>
      </c>
      <c r="V568" s="19" t="str">
        <f aca="false">IF(OR($A568="",INDEX(_LEITURA!$Q$2:$Q$21,12)=0),"",SUMIFS(DECKS!$D$2:$D$1201,DECKS!$A$2:$A$1201,INDEX(_LEITURA!$P$2:$P$21,12),DECKS!$B$2:$B$1201,$A568))</f>
        <v/>
      </c>
      <c r="W568" s="19" t="str">
        <f aca="false">IF(OR($A568="",INDEX(_LEITURA!$Q$2:$Q$21,13)=0),"",SUMIFS(DECKS!$D$2:$D$1201,DECKS!$A$2:$A$1201,INDEX(_LEITURA!$P$2:$P$21,13),DECKS!$B$2:$B$1201,$A568))</f>
        <v/>
      </c>
      <c r="X568" s="19" t="str">
        <f aca="false">IF(OR($A568="",INDEX(_LEITURA!$Q$2:$Q$21,14)=0),"",SUMIFS(DECKS!$D$2:$D$1201,DECKS!$A$2:$A$1201,INDEX(_LEITURA!$P$2:$P$21,14),DECKS!$B$2:$B$1201,$A568))</f>
        <v/>
      </c>
      <c r="Y568" s="19" t="str">
        <f aca="false">IF(OR($A568="",INDEX(_LEITURA!$Q$2:$Q$21,15)=0),"",SUMIFS(DECKS!$D$2:$D$1201,DECKS!$A$2:$A$1201,INDEX(_LEITURA!$P$2:$P$21,15),DECKS!$B$2:$B$1201,$A568))</f>
        <v/>
      </c>
      <c r="Z568" s="19" t="str">
        <f aca="false">IF(OR($A568="",INDEX(_LEITURA!$Q$2:$Q$21,16)=0),"",SUMIFS(DECKS!$D$2:$D$1201,DECKS!$A$2:$A$1201,INDEX(_LEITURA!$P$2:$P$21,16),DECKS!$B$2:$B$1201,$A568))</f>
        <v/>
      </c>
      <c r="AA568" s="19" t="str">
        <f aca="false">IF(OR($A568="",INDEX(_LEITURA!$Q$2:$Q$21,17)=0),"",SUMIFS(DECKS!$D$2:$D$1201,DECKS!$A$2:$A$1201,INDEX(_LEITURA!$P$2:$P$21,17),DECKS!$B$2:$B$1201,$A568))</f>
        <v/>
      </c>
      <c r="AB568" s="19" t="str">
        <f aca="false">IF(OR($A568="",INDEX(_LEITURA!$Q$2:$Q$21,18)=0),"",SUMIFS(DECKS!$D$2:$D$1201,DECKS!$A$2:$A$1201,INDEX(_LEITURA!$P$2:$P$21,18),DECKS!$B$2:$B$1201,$A568))</f>
        <v/>
      </c>
      <c r="AC568" s="19" t="str">
        <f aca="false">IF(OR($A568="",INDEX(_LEITURA!$Q$2:$Q$21,19)=0),"",SUMIFS(DECKS!$D$2:$D$1201,DECKS!$A$2:$A$1201,INDEX(_LEITURA!$P$2:$P$21,19),DECKS!$B$2:$B$1201,$A568))</f>
        <v/>
      </c>
      <c r="AD568" s="19" t="str">
        <f aca="false">IF(OR($A568="",INDEX(_LEITURA!$Q$2:$Q$21,20)=0),"",SUMIFS(DECKS!$D$2:$D$1201,DECKS!$A$2:$A$1201,INDEX(_LEITURA!$P$2:$P$21,20),DECKS!$B$2:$B$1201,$A568))</f>
        <v/>
      </c>
      <c r="AE568" s="16" t="str">
        <f aca="false">IF(N(E568)&gt;0,MAX(AE$1:AE567)+1,"")</f>
        <v/>
      </c>
      <c r="AF568" s="11" t="str">
        <f aca="false">IF(A568="","",IFERROR(LEFT(A568,FIND("-",A568)-1),A568))</f>
        <v/>
      </c>
      <c r="AG568" s="11" t="str">
        <f aca="false">IF(AF568="","",IF(ISNUMBER(--MID(AF568,1,1)),0,IF(ISNUMBER(--MID(AF568,2,1)),1,IF(ISNUMBER(--MID(AF568,3,1)),2,IF(ISNUMBER(--MID(AF568,4,1)),3,MIN(LEN(AF568),4))))))</f>
        <v/>
      </c>
      <c r="AH568" s="11" t="str">
        <f aca="false">IF(A568="","",LEFT(AF568,AG568)&amp;REPT("0",4-AG568)&amp;RIGHT("000"&amp;IFERROR(VALUE(MID(AF568,AG568+1,9)),0),3)&amp;RIGHT("0000"&amp;IFERROR(VALUE(MID(A568,FIND("-",A568)+1,9)),0),4))</f>
        <v/>
      </c>
      <c r="AI568" s="11" t="str">
        <f aca="false">IF(OR(A568="",N(E568)&lt;=0),"",IF('FALTAS GERAL'!$M$1="Código","K"&amp;AH568&amp;RIGHT("00000"&amp;ROW(),5),IF('FALTAS GERAL'!$M$1="Nome","K"&amp;UPPER(SUBSTITUTE(SUBSTITUTE(SUBSTITUTE(B568,"*",""),"?",""),"~",""))&amp;"0"&amp;AH568&amp;RIGHT("00000"&amp;ROW(),5),IF('FALTAS GERAL'!$M$1="Falta (maior primeiro)","K"&amp;RIGHT("0000"&amp;(9999-E568),4)&amp;AH568&amp;RIGHT("00000"&amp;ROW(),5),IF('FALTAS GERAL'!$M$1="Nº de decks (maior primeiro)","K"&amp;RIGHT("00"&amp;(99-N(G568)),2)&amp;AH568&amp;RIGHT("00000"&amp;ROW(),5),"K"&amp;RIGHT("00000"&amp;ROW(),5))))))</f>
        <v/>
      </c>
      <c r="AJ568" s="11" t="str">
        <f aca="false">IF(AI568="","",COUNTIFS($AI$2:$AI$801,"&lt;"&amp;AI568,$E$2:$E$801,"&gt;0")+1)</f>
        <v/>
      </c>
      <c r="AK568" s="11" t="str">
        <f aca="false">IF(OR(A568="",N(E568)&lt;=0),"",COUNTIFS($AH$2:$AH$801,"&lt;"&amp;AH568,$E$2:$E$801,"&gt;0")+COUNTIFS($AH$2:AH568,AH568,$E$2:E568,"&gt;0"))</f>
        <v/>
      </c>
    </row>
    <row r="569" customFormat="false" ht="15" hidden="false" customHeight="false" outlineLevel="0" collapsed="false">
      <c r="A569" s="11" t="str">
        <f aca="false">IF(INVENTÁRIO!A569="","",INVENTÁRIO!A569)</f>
        <v/>
      </c>
      <c r="B569" s="11" t="str">
        <f aca="false">IF(A569="","",INVENTÁRIO!B569)</f>
        <v/>
      </c>
      <c r="C569" s="16" t="str">
        <f aca="false">IF(A569="","",INVENTÁRIO!C569)</f>
        <v/>
      </c>
      <c r="D569" s="14" t="str">
        <f aca="false">IF(A569="","",MAX(K569:AD569))</f>
        <v/>
      </c>
      <c r="E569" s="14" t="str">
        <f aca="false">IF(A569="","",MAX(0,D569-C569))</f>
        <v/>
      </c>
      <c r="F569" s="16" t="str">
        <f aca="false">IF(A569="","",IF(D569=0,"Fora dos decks",IF(E569=0,"Completo","Falta")))</f>
        <v/>
      </c>
      <c r="G569" s="16" t="str">
        <f aca="false">IF(A569="","",COUNTIF(K569:AD569,"&gt;0"))</f>
        <v/>
      </c>
      <c r="H569" s="16" t="str">
        <f aca="false">IF(A569="","",IF(G569&gt;1,"Sim",""))</f>
        <v/>
      </c>
      <c r="I569" s="18" t="str">
        <f aca="false">IF(A569="","",SUMIFS(DECKS!$D$2:$D$1201,DECKS!$B$2:$B$1201,A569))</f>
        <v/>
      </c>
      <c r="J569" s="18" t="str">
        <f aca="false">IF(A569="","",MAX(0,I569-C569))</f>
        <v/>
      </c>
      <c r="K569" s="19" t="str">
        <f aca="false">IF(OR($A569="",INDEX(_LEITURA!$Q$2:$Q$21,1)=0),"",SUMIFS(DECKS!$D$2:$D$1201,DECKS!$A$2:$A$1201,INDEX(_LEITURA!$P$2:$P$21,1),DECKS!$B$2:$B$1201,$A569))</f>
        <v/>
      </c>
      <c r="L569" s="19" t="str">
        <f aca="false">IF(OR($A569="",INDEX(_LEITURA!$Q$2:$Q$21,2)=0),"",SUMIFS(DECKS!$D$2:$D$1201,DECKS!$A$2:$A$1201,INDEX(_LEITURA!$P$2:$P$21,2),DECKS!$B$2:$B$1201,$A569))</f>
        <v/>
      </c>
      <c r="M569" s="19" t="str">
        <f aca="false">IF(OR($A569="",INDEX(_LEITURA!$Q$2:$Q$21,3)=0),"",SUMIFS(DECKS!$D$2:$D$1201,DECKS!$A$2:$A$1201,INDEX(_LEITURA!$P$2:$P$21,3),DECKS!$B$2:$B$1201,$A569))</f>
        <v/>
      </c>
      <c r="N569" s="19" t="str">
        <f aca="false">IF(OR($A569="",INDEX(_LEITURA!$Q$2:$Q$21,4)=0),"",SUMIFS(DECKS!$D$2:$D$1201,DECKS!$A$2:$A$1201,INDEX(_LEITURA!$P$2:$P$21,4),DECKS!$B$2:$B$1201,$A569))</f>
        <v/>
      </c>
      <c r="O569" s="19" t="str">
        <f aca="false">IF(OR($A569="",INDEX(_LEITURA!$Q$2:$Q$21,5)=0),"",SUMIFS(DECKS!$D$2:$D$1201,DECKS!$A$2:$A$1201,INDEX(_LEITURA!$P$2:$P$21,5),DECKS!$B$2:$B$1201,$A569))</f>
        <v/>
      </c>
      <c r="P569" s="19" t="str">
        <f aca="false">IF(OR($A569="",INDEX(_LEITURA!$Q$2:$Q$21,6)=0),"",SUMIFS(DECKS!$D$2:$D$1201,DECKS!$A$2:$A$1201,INDEX(_LEITURA!$P$2:$P$21,6),DECKS!$B$2:$B$1201,$A569))</f>
        <v/>
      </c>
      <c r="Q569" s="19" t="str">
        <f aca="false">IF(OR($A569="",INDEX(_LEITURA!$Q$2:$Q$21,7)=0),"",SUMIFS(DECKS!$D$2:$D$1201,DECKS!$A$2:$A$1201,INDEX(_LEITURA!$P$2:$P$21,7),DECKS!$B$2:$B$1201,$A569))</f>
        <v/>
      </c>
      <c r="R569" s="19" t="str">
        <f aca="false">IF(OR($A569="",INDEX(_LEITURA!$Q$2:$Q$21,8)=0),"",SUMIFS(DECKS!$D$2:$D$1201,DECKS!$A$2:$A$1201,INDEX(_LEITURA!$P$2:$P$21,8),DECKS!$B$2:$B$1201,$A569))</f>
        <v/>
      </c>
      <c r="S569" s="19" t="str">
        <f aca="false">IF(OR($A569="",INDEX(_LEITURA!$Q$2:$Q$21,9)=0),"",SUMIFS(DECKS!$D$2:$D$1201,DECKS!$A$2:$A$1201,INDEX(_LEITURA!$P$2:$P$21,9),DECKS!$B$2:$B$1201,$A569))</f>
        <v/>
      </c>
      <c r="T569" s="19" t="str">
        <f aca="false">IF(OR($A569="",INDEX(_LEITURA!$Q$2:$Q$21,10)=0),"",SUMIFS(DECKS!$D$2:$D$1201,DECKS!$A$2:$A$1201,INDEX(_LEITURA!$P$2:$P$21,10),DECKS!$B$2:$B$1201,$A569))</f>
        <v/>
      </c>
      <c r="U569" s="19" t="str">
        <f aca="false">IF(OR($A569="",INDEX(_LEITURA!$Q$2:$Q$21,11)=0),"",SUMIFS(DECKS!$D$2:$D$1201,DECKS!$A$2:$A$1201,INDEX(_LEITURA!$P$2:$P$21,11),DECKS!$B$2:$B$1201,$A569))</f>
        <v/>
      </c>
      <c r="V569" s="19" t="str">
        <f aca="false">IF(OR($A569="",INDEX(_LEITURA!$Q$2:$Q$21,12)=0),"",SUMIFS(DECKS!$D$2:$D$1201,DECKS!$A$2:$A$1201,INDEX(_LEITURA!$P$2:$P$21,12),DECKS!$B$2:$B$1201,$A569))</f>
        <v/>
      </c>
      <c r="W569" s="19" t="str">
        <f aca="false">IF(OR($A569="",INDEX(_LEITURA!$Q$2:$Q$21,13)=0),"",SUMIFS(DECKS!$D$2:$D$1201,DECKS!$A$2:$A$1201,INDEX(_LEITURA!$P$2:$P$21,13),DECKS!$B$2:$B$1201,$A569))</f>
        <v/>
      </c>
      <c r="X569" s="19" t="str">
        <f aca="false">IF(OR($A569="",INDEX(_LEITURA!$Q$2:$Q$21,14)=0),"",SUMIFS(DECKS!$D$2:$D$1201,DECKS!$A$2:$A$1201,INDEX(_LEITURA!$P$2:$P$21,14),DECKS!$B$2:$B$1201,$A569))</f>
        <v/>
      </c>
      <c r="Y569" s="19" t="str">
        <f aca="false">IF(OR($A569="",INDEX(_LEITURA!$Q$2:$Q$21,15)=0),"",SUMIFS(DECKS!$D$2:$D$1201,DECKS!$A$2:$A$1201,INDEX(_LEITURA!$P$2:$P$21,15),DECKS!$B$2:$B$1201,$A569))</f>
        <v/>
      </c>
      <c r="Z569" s="19" t="str">
        <f aca="false">IF(OR($A569="",INDEX(_LEITURA!$Q$2:$Q$21,16)=0),"",SUMIFS(DECKS!$D$2:$D$1201,DECKS!$A$2:$A$1201,INDEX(_LEITURA!$P$2:$P$21,16),DECKS!$B$2:$B$1201,$A569))</f>
        <v/>
      </c>
      <c r="AA569" s="19" t="str">
        <f aca="false">IF(OR($A569="",INDEX(_LEITURA!$Q$2:$Q$21,17)=0),"",SUMIFS(DECKS!$D$2:$D$1201,DECKS!$A$2:$A$1201,INDEX(_LEITURA!$P$2:$P$21,17),DECKS!$B$2:$B$1201,$A569))</f>
        <v/>
      </c>
      <c r="AB569" s="19" t="str">
        <f aca="false">IF(OR($A569="",INDEX(_LEITURA!$Q$2:$Q$21,18)=0),"",SUMIFS(DECKS!$D$2:$D$1201,DECKS!$A$2:$A$1201,INDEX(_LEITURA!$P$2:$P$21,18),DECKS!$B$2:$B$1201,$A569))</f>
        <v/>
      </c>
      <c r="AC569" s="19" t="str">
        <f aca="false">IF(OR($A569="",INDEX(_LEITURA!$Q$2:$Q$21,19)=0),"",SUMIFS(DECKS!$D$2:$D$1201,DECKS!$A$2:$A$1201,INDEX(_LEITURA!$P$2:$P$21,19),DECKS!$B$2:$B$1201,$A569))</f>
        <v/>
      </c>
      <c r="AD569" s="19" t="str">
        <f aca="false">IF(OR($A569="",INDEX(_LEITURA!$Q$2:$Q$21,20)=0),"",SUMIFS(DECKS!$D$2:$D$1201,DECKS!$A$2:$A$1201,INDEX(_LEITURA!$P$2:$P$21,20),DECKS!$B$2:$B$1201,$A569))</f>
        <v/>
      </c>
      <c r="AE569" s="16" t="str">
        <f aca="false">IF(N(E569)&gt;0,MAX(AE$1:AE568)+1,"")</f>
        <v/>
      </c>
      <c r="AF569" s="11" t="str">
        <f aca="false">IF(A569="","",IFERROR(LEFT(A569,FIND("-",A569)-1),A569))</f>
        <v/>
      </c>
      <c r="AG569" s="11" t="str">
        <f aca="false">IF(AF569="","",IF(ISNUMBER(--MID(AF569,1,1)),0,IF(ISNUMBER(--MID(AF569,2,1)),1,IF(ISNUMBER(--MID(AF569,3,1)),2,IF(ISNUMBER(--MID(AF569,4,1)),3,MIN(LEN(AF569),4))))))</f>
        <v/>
      </c>
      <c r="AH569" s="11" t="str">
        <f aca="false">IF(A569="","",LEFT(AF569,AG569)&amp;REPT("0",4-AG569)&amp;RIGHT("000"&amp;IFERROR(VALUE(MID(AF569,AG569+1,9)),0),3)&amp;RIGHT("0000"&amp;IFERROR(VALUE(MID(A569,FIND("-",A569)+1,9)),0),4))</f>
        <v/>
      </c>
      <c r="AI569" s="11" t="str">
        <f aca="false">IF(OR(A569="",N(E569)&lt;=0),"",IF('FALTAS GERAL'!$M$1="Código","K"&amp;AH569&amp;RIGHT("00000"&amp;ROW(),5),IF('FALTAS GERAL'!$M$1="Nome","K"&amp;UPPER(SUBSTITUTE(SUBSTITUTE(SUBSTITUTE(B569,"*",""),"?",""),"~",""))&amp;"0"&amp;AH569&amp;RIGHT("00000"&amp;ROW(),5),IF('FALTAS GERAL'!$M$1="Falta (maior primeiro)","K"&amp;RIGHT("0000"&amp;(9999-E569),4)&amp;AH569&amp;RIGHT("00000"&amp;ROW(),5),IF('FALTAS GERAL'!$M$1="Nº de decks (maior primeiro)","K"&amp;RIGHT("00"&amp;(99-N(G569)),2)&amp;AH569&amp;RIGHT("00000"&amp;ROW(),5),"K"&amp;RIGHT("00000"&amp;ROW(),5))))))</f>
        <v/>
      </c>
      <c r="AJ569" s="11" t="str">
        <f aca="false">IF(AI569="","",COUNTIFS($AI$2:$AI$801,"&lt;"&amp;AI569,$E$2:$E$801,"&gt;0")+1)</f>
        <v/>
      </c>
      <c r="AK569" s="11" t="str">
        <f aca="false">IF(OR(A569="",N(E569)&lt;=0),"",COUNTIFS($AH$2:$AH$801,"&lt;"&amp;AH569,$E$2:$E$801,"&gt;0")+COUNTIFS($AH$2:AH569,AH569,$E$2:E569,"&gt;0"))</f>
        <v/>
      </c>
    </row>
    <row r="570" customFormat="false" ht="15" hidden="false" customHeight="false" outlineLevel="0" collapsed="false">
      <c r="A570" s="11" t="str">
        <f aca="false">IF(INVENTÁRIO!A570="","",INVENTÁRIO!A570)</f>
        <v/>
      </c>
      <c r="B570" s="11" t="str">
        <f aca="false">IF(A570="","",INVENTÁRIO!B570)</f>
        <v/>
      </c>
      <c r="C570" s="16" t="str">
        <f aca="false">IF(A570="","",INVENTÁRIO!C570)</f>
        <v/>
      </c>
      <c r="D570" s="14" t="str">
        <f aca="false">IF(A570="","",MAX(K570:AD570))</f>
        <v/>
      </c>
      <c r="E570" s="14" t="str">
        <f aca="false">IF(A570="","",MAX(0,D570-C570))</f>
        <v/>
      </c>
      <c r="F570" s="16" t="str">
        <f aca="false">IF(A570="","",IF(D570=0,"Fora dos decks",IF(E570=0,"Completo","Falta")))</f>
        <v/>
      </c>
      <c r="G570" s="16" t="str">
        <f aca="false">IF(A570="","",COUNTIF(K570:AD570,"&gt;0"))</f>
        <v/>
      </c>
      <c r="H570" s="16" t="str">
        <f aca="false">IF(A570="","",IF(G570&gt;1,"Sim",""))</f>
        <v/>
      </c>
      <c r="I570" s="18" t="str">
        <f aca="false">IF(A570="","",SUMIFS(DECKS!$D$2:$D$1201,DECKS!$B$2:$B$1201,A570))</f>
        <v/>
      </c>
      <c r="J570" s="18" t="str">
        <f aca="false">IF(A570="","",MAX(0,I570-C570))</f>
        <v/>
      </c>
      <c r="K570" s="19" t="str">
        <f aca="false">IF(OR($A570="",INDEX(_LEITURA!$Q$2:$Q$21,1)=0),"",SUMIFS(DECKS!$D$2:$D$1201,DECKS!$A$2:$A$1201,INDEX(_LEITURA!$P$2:$P$21,1),DECKS!$B$2:$B$1201,$A570))</f>
        <v/>
      </c>
      <c r="L570" s="19" t="str">
        <f aca="false">IF(OR($A570="",INDEX(_LEITURA!$Q$2:$Q$21,2)=0),"",SUMIFS(DECKS!$D$2:$D$1201,DECKS!$A$2:$A$1201,INDEX(_LEITURA!$P$2:$P$21,2),DECKS!$B$2:$B$1201,$A570))</f>
        <v/>
      </c>
      <c r="M570" s="19" t="str">
        <f aca="false">IF(OR($A570="",INDEX(_LEITURA!$Q$2:$Q$21,3)=0),"",SUMIFS(DECKS!$D$2:$D$1201,DECKS!$A$2:$A$1201,INDEX(_LEITURA!$P$2:$P$21,3),DECKS!$B$2:$B$1201,$A570))</f>
        <v/>
      </c>
      <c r="N570" s="19" t="str">
        <f aca="false">IF(OR($A570="",INDEX(_LEITURA!$Q$2:$Q$21,4)=0),"",SUMIFS(DECKS!$D$2:$D$1201,DECKS!$A$2:$A$1201,INDEX(_LEITURA!$P$2:$P$21,4),DECKS!$B$2:$B$1201,$A570))</f>
        <v/>
      </c>
      <c r="O570" s="19" t="str">
        <f aca="false">IF(OR($A570="",INDEX(_LEITURA!$Q$2:$Q$21,5)=0),"",SUMIFS(DECKS!$D$2:$D$1201,DECKS!$A$2:$A$1201,INDEX(_LEITURA!$P$2:$P$21,5),DECKS!$B$2:$B$1201,$A570))</f>
        <v/>
      </c>
      <c r="P570" s="19" t="str">
        <f aca="false">IF(OR($A570="",INDEX(_LEITURA!$Q$2:$Q$21,6)=0),"",SUMIFS(DECKS!$D$2:$D$1201,DECKS!$A$2:$A$1201,INDEX(_LEITURA!$P$2:$P$21,6),DECKS!$B$2:$B$1201,$A570))</f>
        <v/>
      </c>
      <c r="Q570" s="19" t="str">
        <f aca="false">IF(OR($A570="",INDEX(_LEITURA!$Q$2:$Q$21,7)=0),"",SUMIFS(DECKS!$D$2:$D$1201,DECKS!$A$2:$A$1201,INDEX(_LEITURA!$P$2:$P$21,7),DECKS!$B$2:$B$1201,$A570))</f>
        <v/>
      </c>
      <c r="R570" s="19" t="str">
        <f aca="false">IF(OR($A570="",INDEX(_LEITURA!$Q$2:$Q$21,8)=0),"",SUMIFS(DECKS!$D$2:$D$1201,DECKS!$A$2:$A$1201,INDEX(_LEITURA!$P$2:$P$21,8),DECKS!$B$2:$B$1201,$A570))</f>
        <v/>
      </c>
      <c r="S570" s="19" t="str">
        <f aca="false">IF(OR($A570="",INDEX(_LEITURA!$Q$2:$Q$21,9)=0),"",SUMIFS(DECKS!$D$2:$D$1201,DECKS!$A$2:$A$1201,INDEX(_LEITURA!$P$2:$P$21,9),DECKS!$B$2:$B$1201,$A570))</f>
        <v/>
      </c>
      <c r="T570" s="19" t="str">
        <f aca="false">IF(OR($A570="",INDEX(_LEITURA!$Q$2:$Q$21,10)=0),"",SUMIFS(DECKS!$D$2:$D$1201,DECKS!$A$2:$A$1201,INDEX(_LEITURA!$P$2:$P$21,10),DECKS!$B$2:$B$1201,$A570))</f>
        <v/>
      </c>
      <c r="U570" s="19" t="str">
        <f aca="false">IF(OR($A570="",INDEX(_LEITURA!$Q$2:$Q$21,11)=0),"",SUMIFS(DECKS!$D$2:$D$1201,DECKS!$A$2:$A$1201,INDEX(_LEITURA!$P$2:$P$21,11),DECKS!$B$2:$B$1201,$A570))</f>
        <v/>
      </c>
      <c r="V570" s="19" t="str">
        <f aca="false">IF(OR($A570="",INDEX(_LEITURA!$Q$2:$Q$21,12)=0),"",SUMIFS(DECKS!$D$2:$D$1201,DECKS!$A$2:$A$1201,INDEX(_LEITURA!$P$2:$P$21,12),DECKS!$B$2:$B$1201,$A570))</f>
        <v/>
      </c>
      <c r="W570" s="19" t="str">
        <f aca="false">IF(OR($A570="",INDEX(_LEITURA!$Q$2:$Q$21,13)=0),"",SUMIFS(DECKS!$D$2:$D$1201,DECKS!$A$2:$A$1201,INDEX(_LEITURA!$P$2:$P$21,13),DECKS!$B$2:$B$1201,$A570))</f>
        <v/>
      </c>
      <c r="X570" s="19" t="str">
        <f aca="false">IF(OR($A570="",INDEX(_LEITURA!$Q$2:$Q$21,14)=0),"",SUMIFS(DECKS!$D$2:$D$1201,DECKS!$A$2:$A$1201,INDEX(_LEITURA!$P$2:$P$21,14),DECKS!$B$2:$B$1201,$A570))</f>
        <v/>
      </c>
      <c r="Y570" s="19" t="str">
        <f aca="false">IF(OR($A570="",INDEX(_LEITURA!$Q$2:$Q$21,15)=0),"",SUMIFS(DECKS!$D$2:$D$1201,DECKS!$A$2:$A$1201,INDEX(_LEITURA!$P$2:$P$21,15),DECKS!$B$2:$B$1201,$A570))</f>
        <v/>
      </c>
      <c r="Z570" s="19" t="str">
        <f aca="false">IF(OR($A570="",INDEX(_LEITURA!$Q$2:$Q$21,16)=0),"",SUMIFS(DECKS!$D$2:$D$1201,DECKS!$A$2:$A$1201,INDEX(_LEITURA!$P$2:$P$21,16),DECKS!$B$2:$B$1201,$A570))</f>
        <v/>
      </c>
      <c r="AA570" s="19" t="str">
        <f aca="false">IF(OR($A570="",INDEX(_LEITURA!$Q$2:$Q$21,17)=0),"",SUMIFS(DECKS!$D$2:$D$1201,DECKS!$A$2:$A$1201,INDEX(_LEITURA!$P$2:$P$21,17),DECKS!$B$2:$B$1201,$A570))</f>
        <v/>
      </c>
      <c r="AB570" s="19" t="str">
        <f aca="false">IF(OR($A570="",INDEX(_LEITURA!$Q$2:$Q$21,18)=0),"",SUMIFS(DECKS!$D$2:$D$1201,DECKS!$A$2:$A$1201,INDEX(_LEITURA!$P$2:$P$21,18),DECKS!$B$2:$B$1201,$A570))</f>
        <v/>
      </c>
      <c r="AC570" s="19" t="str">
        <f aca="false">IF(OR($A570="",INDEX(_LEITURA!$Q$2:$Q$21,19)=0),"",SUMIFS(DECKS!$D$2:$D$1201,DECKS!$A$2:$A$1201,INDEX(_LEITURA!$P$2:$P$21,19),DECKS!$B$2:$B$1201,$A570))</f>
        <v/>
      </c>
      <c r="AD570" s="19" t="str">
        <f aca="false">IF(OR($A570="",INDEX(_LEITURA!$Q$2:$Q$21,20)=0),"",SUMIFS(DECKS!$D$2:$D$1201,DECKS!$A$2:$A$1201,INDEX(_LEITURA!$P$2:$P$21,20),DECKS!$B$2:$B$1201,$A570))</f>
        <v/>
      </c>
      <c r="AE570" s="16" t="str">
        <f aca="false">IF(N(E570)&gt;0,MAX(AE$1:AE569)+1,"")</f>
        <v/>
      </c>
      <c r="AF570" s="11" t="str">
        <f aca="false">IF(A570="","",IFERROR(LEFT(A570,FIND("-",A570)-1),A570))</f>
        <v/>
      </c>
      <c r="AG570" s="11" t="str">
        <f aca="false">IF(AF570="","",IF(ISNUMBER(--MID(AF570,1,1)),0,IF(ISNUMBER(--MID(AF570,2,1)),1,IF(ISNUMBER(--MID(AF570,3,1)),2,IF(ISNUMBER(--MID(AF570,4,1)),3,MIN(LEN(AF570),4))))))</f>
        <v/>
      </c>
      <c r="AH570" s="11" t="str">
        <f aca="false">IF(A570="","",LEFT(AF570,AG570)&amp;REPT("0",4-AG570)&amp;RIGHT("000"&amp;IFERROR(VALUE(MID(AF570,AG570+1,9)),0),3)&amp;RIGHT("0000"&amp;IFERROR(VALUE(MID(A570,FIND("-",A570)+1,9)),0),4))</f>
        <v/>
      </c>
      <c r="AI570" s="11" t="str">
        <f aca="false">IF(OR(A570="",N(E570)&lt;=0),"",IF('FALTAS GERAL'!$M$1="Código","K"&amp;AH570&amp;RIGHT("00000"&amp;ROW(),5),IF('FALTAS GERAL'!$M$1="Nome","K"&amp;UPPER(SUBSTITUTE(SUBSTITUTE(SUBSTITUTE(B570,"*",""),"?",""),"~",""))&amp;"0"&amp;AH570&amp;RIGHT("00000"&amp;ROW(),5),IF('FALTAS GERAL'!$M$1="Falta (maior primeiro)","K"&amp;RIGHT("0000"&amp;(9999-E570),4)&amp;AH570&amp;RIGHT("00000"&amp;ROW(),5),IF('FALTAS GERAL'!$M$1="Nº de decks (maior primeiro)","K"&amp;RIGHT("00"&amp;(99-N(G570)),2)&amp;AH570&amp;RIGHT("00000"&amp;ROW(),5),"K"&amp;RIGHT("00000"&amp;ROW(),5))))))</f>
        <v/>
      </c>
      <c r="AJ570" s="11" t="str">
        <f aca="false">IF(AI570="","",COUNTIFS($AI$2:$AI$801,"&lt;"&amp;AI570,$E$2:$E$801,"&gt;0")+1)</f>
        <v/>
      </c>
      <c r="AK570" s="11" t="str">
        <f aca="false">IF(OR(A570="",N(E570)&lt;=0),"",COUNTIFS($AH$2:$AH$801,"&lt;"&amp;AH570,$E$2:$E$801,"&gt;0")+COUNTIFS($AH$2:AH570,AH570,$E$2:E570,"&gt;0"))</f>
        <v/>
      </c>
    </row>
    <row r="571" customFormat="false" ht="15" hidden="false" customHeight="false" outlineLevel="0" collapsed="false">
      <c r="A571" s="11" t="str">
        <f aca="false">IF(INVENTÁRIO!A571="","",INVENTÁRIO!A571)</f>
        <v/>
      </c>
      <c r="B571" s="11" t="str">
        <f aca="false">IF(A571="","",INVENTÁRIO!B571)</f>
        <v/>
      </c>
      <c r="C571" s="16" t="str">
        <f aca="false">IF(A571="","",INVENTÁRIO!C571)</f>
        <v/>
      </c>
      <c r="D571" s="14" t="str">
        <f aca="false">IF(A571="","",MAX(K571:AD571))</f>
        <v/>
      </c>
      <c r="E571" s="14" t="str">
        <f aca="false">IF(A571="","",MAX(0,D571-C571))</f>
        <v/>
      </c>
      <c r="F571" s="16" t="str">
        <f aca="false">IF(A571="","",IF(D571=0,"Fora dos decks",IF(E571=0,"Completo","Falta")))</f>
        <v/>
      </c>
      <c r="G571" s="16" t="str">
        <f aca="false">IF(A571="","",COUNTIF(K571:AD571,"&gt;0"))</f>
        <v/>
      </c>
      <c r="H571" s="16" t="str">
        <f aca="false">IF(A571="","",IF(G571&gt;1,"Sim",""))</f>
        <v/>
      </c>
      <c r="I571" s="18" t="str">
        <f aca="false">IF(A571="","",SUMIFS(DECKS!$D$2:$D$1201,DECKS!$B$2:$B$1201,A571))</f>
        <v/>
      </c>
      <c r="J571" s="18" t="str">
        <f aca="false">IF(A571="","",MAX(0,I571-C571))</f>
        <v/>
      </c>
      <c r="K571" s="19" t="str">
        <f aca="false">IF(OR($A571="",INDEX(_LEITURA!$Q$2:$Q$21,1)=0),"",SUMIFS(DECKS!$D$2:$D$1201,DECKS!$A$2:$A$1201,INDEX(_LEITURA!$P$2:$P$21,1),DECKS!$B$2:$B$1201,$A571))</f>
        <v/>
      </c>
      <c r="L571" s="19" t="str">
        <f aca="false">IF(OR($A571="",INDEX(_LEITURA!$Q$2:$Q$21,2)=0),"",SUMIFS(DECKS!$D$2:$D$1201,DECKS!$A$2:$A$1201,INDEX(_LEITURA!$P$2:$P$21,2),DECKS!$B$2:$B$1201,$A571))</f>
        <v/>
      </c>
      <c r="M571" s="19" t="str">
        <f aca="false">IF(OR($A571="",INDEX(_LEITURA!$Q$2:$Q$21,3)=0),"",SUMIFS(DECKS!$D$2:$D$1201,DECKS!$A$2:$A$1201,INDEX(_LEITURA!$P$2:$P$21,3),DECKS!$B$2:$B$1201,$A571))</f>
        <v/>
      </c>
      <c r="N571" s="19" t="str">
        <f aca="false">IF(OR($A571="",INDEX(_LEITURA!$Q$2:$Q$21,4)=0),"",SUMIFS(DECKS!$D$2:$D$1201,DECKS!$A$2:$A$1201,INDEX(_LEITURA!$P$2:$P$21,4),DECKS!$B$2:$B$1201,$A571))</f>
        <v/>
      </c>
      <c r="O571" s="19" t="str">
        <f aca="false">IF(OR($A571="",INDEX(_LEITURA!$Q$2:$Q$21,5)=0),"",SUMIFS(DECKS!$D$2:$D$1201,DECKS!$A$2:$A$1201,INDEX(_LEITURA!$P$2:$P$21,5),DECKS!$B$2:$B$1201,$A571))</f>
        <v/>
      </c>
      <c r="P571" s="19" t="str">
        <f aca="false">IF(OR($A571="",INDEX(_LEITURA!$Q$2:$Q$21,6)=0),"",SUMIFS(DECKS!$D$2:$D$1201,DECKS!$A$2:$A$1201,INDEX(_LEITURA!$P$2:$P$21,6),DECKS!$B$2:$B$1201,$A571))</f>
        <v/>
      </c>
      <c r="Q571" s="19" t="str">
        <f aca="false">IF(OR($A571="",INDEX(_LEITURA!$Q$2:$Q$21,7)=0),"",SUMIFS(DECKS!$D$2:$D$1201,DECKS!$A$2:$A$1201,INDEX(_LEITURA!$P$2:$P$21,7),DECKS!$B$2:$B$1201,$A571))</f>
        <v/>
      </c>
      <c r="R571" s="19" t="str">
        <f aca="false">IF(OR($A571="",INDEX(_LEITURA!$Q$2:$Q$21,8)=0),"",SUMIFS(DECKS!$D$2:$D$1201,DECKS!$A$2:$A$1201,INDEX(_LEITURA!$P$2:$P$21,8),DECKS!$B$2:$B$1201,$A571))</f>
        <v/>
      </c>
      <c r="S571" s="19" t="str">
        <f aca="false">IF(OR($A571="",INDEX(_LEITURA!$Q$2:$Q$21,9)=0),"",SUMIFS(DECKS!$D$2:$D$1201,DECKS!$A$2:$A$1201,INDEX(_LEITURA!$P$2:$P$21,9),DECKS!$B$2:$B$1201,$A571))</f>
        <v/>
      </c>
      <c r="T571" s="19" t="str">
        <f aca="false">IF(OR($A571="",INDEX(_LEITURA!$Q$2:$Q$21,10)=0),"",SUMIFS(DECKS!$D$2:$D$1201,DECKS!$A$2:$A$1201,INDEX(_LEITURA!$P$2:$P$21,10),DECKS!$B$2:$B$1201,$A571))</f>
        <v/>
      </c>
      <c r="U571" s="19" t="str">
        <f aca="false">IF(OR($A571="",INDEX(_LEITURA!$Q$2:$Q$21,11)=0),"",SUMIFS(DECKS!$D$2:$D$1201,DECKS!$A$2:$A$1201,INDEX(_LEITURA!$P$2:$P$21,11),DECKS!$B$2:$B$1201,$A571))</f>
        <v/>
      </c>
      <c r="V571" s="19" t="str">
        <f aca="false">IF(OR($A571="",INDEX(_LEITURA!$Q$2:$Q$21,12)=0),"",SUMIFS(DECKS!$D$2:$D$1201,DECKS!$A$2:$A$1201,INDEX(_LEITURA!$P$2:$P$21,12),DECKS!$B$2:$B$1201,$A571))</f>
        <v/>
      </c>
      <c r="W571" s="19" t="str">
        <f aca="false">IF(OR($A571="",INDEX(_LEITURA!$Q$2:$Q$21,13)=0),"",SUMIFS(DECKS!$D$2:$D$1201,DECKS!$A$2:$A$1201,INDEX(_LEITURA!$P$2:$P$21,13),DECKS!$B$2:$B$1201,$A571))</f>
        <v/>
      </c>
      <c r="X571" s="19" t="str">
        <f aca="false">IF(OR($A571="",INDEX(_LEITURA!$Q$2:$Q$21,14)=0),"",SUMIFS(DECKS!$D$2:$D$1201,DECKS!$A$2:$A$1201,INDEX(_LEITURA!$P$2:$P$21,14),DECKS!$B$2:$B$1201,$A571))</f>
        <v/>
      </c>
      <c r="Y571" s="19" t="str">
        <f aca="false">IF(OR($A571="",INDEX(_LEITURA!$Q$2:$Q$21,15)=0),"",SUMIFS(DECKS!$D$2:$D$1201,DECKS!$A$2:$A$1201,INDEX(_LEITURA!$P$2:$P$21,15),DECKS!$B$2:$B$1201,$A571))</f>
        <v/>
      </c>
      <c r="Z571" s="19" t="str">
        <f aca="false">IF(OR($A571="",INDEX(_LEITURA!$Q$2:$Q$21,16)=0),"",SUMIFS(DECKS!$D$2:$D$1201,DECKS!$A$2:$A$1201,INDEX(_LEITURA!$P$2:$P$21,16),DECKS!$B$2:$B$1201,$A571))</f>
        <v/>
      </c>
      <c r="AA571" s="19" t="str">
        <f aca="false">IF(OR($A571="",INDEX(_LEITURA!$Q$2:$Q$21,17)=0),"",SUMIFS(DECKS!$D$2:$D$1201,DECKS!$A$2:$A$1201,INDEX(_LEITURA!$P$2:$P$21,17),DECKS!$B$2:$B$1201,$A571))</f>
        <v/>
      </c>
      <c r="AB571" s="19" t="str">
        <f aca="false">IF(OR($A571="",INDEX(_LEITURA!$Q$2:$Q$21,18)=0),"",SUMIFS(DECKS!$D$2:$D$1201,DECKS!$A$2:$A$1201,INDEX(_LEITURA!$P$2:$P$21,18),DECKS!$B$2:$B$1201,$A571))</f>
        <v/>
      </c>
      <c r="AC571" s="19" t="str">
        <f aca="false">IF(OR($A571="",INDEX(_LEITURA!$Q$2:$Q$21,19)=0),"",SUMIFS(DECKS!$D$2:$D$1201,DECKS!$A$2:$A$1201,INDEX(_LEITURA!$P$2:$P$21,19),DECKS!$B$2:$B$1201,$A571))</f>
        <v/>
      </c>
      <c r="AD571" s="19" t="str">
        <f aca="false">IF(OR($A571="",INDEX(_LEITURA!$Q$2:$Q$21,20)=0),"",SUMIFS(DECKS!$D$2:$D$1201,DECKS!$A$2:$A$1201,INDEX(_LEITURA!$P$2:$P$21,20),DECKS!$B$2:$B$1201,$A571))</f>
        <v/>
      </c>
      <c r="AE571" s="16" t="str">
        <f aca="false">IF(N(E571)&gt;0,MAX(AE$1:AE570)+1,"")</f>
        <v/>
      </c>
      <c r="AF571" s="11" t="str">
        <f aca="false">IF(A571="","",IFERROR(LEFT(A571,FIND("-",A571)-1),A571))</f>
        <v/>
      </c>
      <c r="AG571" s="11" t="str">
        <f aca="false">IF(AF571="","",IF(ISNUMBER(--MID(AF571,1,1)),0,IF(ISNUMBER(--MID(AF571,2,1)),1,IF(ISNUMBER(--MID(AF571,3,1)),2,IF(ISNUMBER(--MID(AF571,4,1)),3,MIN(LEN(AF571),4))))))</f>
        <v/>
      </c>
      <c r="AH571" s="11" t="str">
        <f aca="false">IF(A571="","",LEFT(AF571,AG571)&amp;REPT("0",4-AG571)&amp;RIGHT("000"&amp;IFERROR(VALUE(MID(AF571,AG571+1,9)),0),3)&amp;RIGHT("0000"&amp;IFERROR(VALUE(MID(A571,FIND("-",A571)+1,9)),0),4))</f>
        <v/>
      </c>
      <c r="AI571" s="11" t="str">
        <f aca="false">IF(OR(A571="",N(E571)&lt;=0),"",IF('FALTAS GERAL'!$M$1="Código","K"&amp;AH571&amp;RIGHT("00000"&amp;ROW(),5),IF('FALTAS GERAL'!$M$1="Nome","K"&amp;UPPER(SUBSTITUTE(SUBSTITUTE(SUBSTITUTE(B571,"*",""),"?",""),"~",""))&amp;"0"&amp;AH571&amp;RIGHT("00000"&amp;ROW(),5),IF('FALTAS GERAL'!$M$1="Falta (maior primeiro)","K"&amp;RIGHT("0000"&amp;(9999-E571),4)&amp;AH571&amp;RIGHT("00000"&amp;ROW(),5),IF('FALTAS GERAL'!$M$1="Nº de decks (maior primeiro)","K"&amp;RIGHT("00"&amp;(99-N(G571)),2)&amp;AH571&amp;RIGHT("00000"&amp;ROW(),5),"K"&amp;RIGHT("00000"&amp;ROW(),5))))))</f>
        <v/>
      </c>
      <c r="AJ571" s="11" t="str">
        <f aca="false">IF(AI571="","",COUNTIFS($AI$2:$AI$801,"&lt;"&amp;AI571,$E$2:$E$801,"&gt;0")+1)</f>
        <v/>
      </c>
      <c r="AK571" s="11" t="str">
        <f aca="false">IF(OR(A571="",N(E571)&lt;=0),"",COUNTIFS($AH$2:$AH$801,"&lt;"&amp;AH571,$E$2:$E$801,"&gt;0")+COUNTIFS($AH$2:AH571,AH571,$E$2:E571,"&gt;0"))</f>
        <v/>
      </c>
    </row>
    <row r="572" customFormat="false" ht="15" hidden="false" customHeight="false" outlineLevel="0" collapsed="false">
      <c r="A572" s="11" t="str">
        <f aca="false">IF(INVENTÁRIO!A572="","",INVENTÁRIO!A572)</f>
        <v/>
      </c>
      <c r="B572" s="11" t="str">
        <f aca="false">IF(A572="","",INVENTÁRIO!B572)</f>
        <v/>
      </c>
      <c r="C572" s="16" t="str">
        <f aca="false">IF(A572="","",INVENTÁRIO!C572)</f>
        <v/>
      </c>
      <c r="D572" s="14" t="str">
        <f aca="false">IF(A572="","",MAX(K572:AD572))</f>
        <v/>
      </c>
      <c r="E572" s="14" t="str">
        <f aca="false">IF(A572="","",MAX(0,D572-C572))</f>
        <v/>
      </c>
      <c r="F572" s="16" t="str">
        <f aca="false">IF(A572="","",IF(D572=0,"Fora dos decks",IF(E572=0,"Completo","Falta")))</f>
        <v/>
      </c>
      <c r="G572" s="16" t="str">
        <f aca="false">IF(A572="","",COUNTIF(K572:AD572,"&gt;0"))</f>
        <v/>
      </c>
      <c r="H572" s="16" t="str">
        <f aca="false">IF(A572="","",IF(G572&gt;1,"Sim",""))</f>
        <v/>
      </c>
      <c r="I572" s="18" t="str">
        <f aca="false">IF(A572="","",SUMIFS(DECKS!$D$2:$D$1201,DECKS!$B$2:$B$1201,A572))</f>
        <v/>
      </c>
      <c r="J572" s="18" t="str">
        <f aca="false">IF(A572="","",MAX(0,I572-C572))</f>
        <v/>
      </c>
      <c r="K572" s="19" t="str">
        <f aca="false">IF(OR($A572="",INDEX(_LEITURA!$Q$2:$Q$21,1)=0),"",SUMIFS(DECKS!$D$2:$D$1201,DECKS!$A$2:$A$1201,INDEX(_LEITURA!$P$2:$P$21,1),DECKS!$B$2:$B$1201,$A572))</f>
        <v/>
      </c>
      <c r="L572" s="19" t="str">
        <f aca="false">IF(OR($A572="",INDEX(_LEITURA!$Q$2:$Q$21,2)=0),"",SUMIFS(DECKS!$D$2:$D$1201,DECKS!$A$2:$A$1201,INDEX(_LEITURA!$P$2:$P$21,2),DECKS!$B$2:$B$1201,$A572))</f>
        <v/>
      </c>
      <c r="M572" s="19" t="str">
        <f aca="false">IF(OR($A572="",INDEX(_LEITURA!$Q$2:$Q$21,3)=0),"",SUMIFS(DECKS!$D$2:$D$1201,DECKS!$A$2:$A$1201,INDEX(_LEITURA!$P$2:$P$21,3),DECKS!$B$2:$B$1201,$A572))</f>
        <v/>
      </c>
      <c r="N572" s="19" t="str">
        <f aca="false">IF(OR($A572="",INDEX(_LEITURA!$Q$2:$Q$21,4)=0),"",SUMIFS(DECKS!$D$2:$D$1201,DECKS!$A$2:$A$1201,INDEX(_LEITURA!$P$2:$P$21,4),DECKS!$B$2:$B$1201,$A572))</f>
        <v/>
      </c>
      <c r="O572" s="19" t="str">
        <f aca="false">IF(OR($A572="",INDEX(_LEITURA!$Q$2:$Q$21,5)=0),"",SUMIFS(DECKS!$D$2:$D$1201,DECKS!$A$2:$A$1201,INDEX(_LEITURA!$P$2:$P$21,5),DECKS!$B$2:$B$1201,$A572))</f>
        <v/>
      </c>
      <c r="P572" s="19" t="str">
        <f aca="false">IF(OR($A572="",INDEX(_LEITURA!$Q$2:$Q$21,6)=0),"",SUMIFS(DECKS!$D$2:$D$1201,DECKS!$A$2:$A$1201,INDEX(_LEITURA!$P$2:$P$21,6),DECKS!$B$2:$B$1201,$A572))</f>
        <v/>
      </c>
      <c r="Q572" s="19" t="str">
        <f aca="false">IF(OR($A572="",INDEX(_LEITURA!$Q$2:$Q$21,7)=0),"",SUMIFS(DECKS!$D$2:$D$1201,DECKS!$A$2:$A$1201,INDEX(_LEITURA!$P$2:$P$21,7),DECKS!$B$2:$B$1201,$A572))</f>
        <v/>
      </c>
      <c r="R572" s="19" t="str">
        <f aca="false">IF(OR($A572="",INDEX(_LEITURA!$Q$2:$Q$21,8)=0),"",SUMIFS(DECKS!$D$2:$D$1201,DECKS!$A$2:$A$1201,INDEX(_LEITURA!$P$2:$P$21,8),DECKS!$B$2:$B$1201,$A572))</f>
        <v/>
      </c>
      <c r="S572" s="19" t="str">
        <f aca="false">IF(OR($A572="",INDEX(_LEITURA!$Q$2:$Q$21,9)=0),"",SUMIFS(DECKS!$D$2:$D$1201,DECKS!$A$2:$A$1201,INDEX(_LEITURA!$P$2:$P$21,9),DECKS!$B$2:$B$1201,$A572))</f>
        <v/>
      </c>
      <c r="T572" s="19" t="str">
        <f aca="false">IF(OR($A572="",INDEX(_LEITURA!$Q$2:$Q$21,10)=0),"",SUMIFS(DECKS!$D$2:$D$1201,DECKS!$A$2:$A$1201,INDEX(_LEITURA!$P$2:$P$21,10),DECKS!$B$2:$B$1201,$A572))</f>
        <v/>
      </c>
      <c r="U572" s="19" t="str">
        <f aca="false">IF(OR($A572="",INDEX(_LEITURA!$Q$2:$Q$21,11)=0),"",SUMIFS(DECKS!$D$2:$D$1201,DECKS!$A$2:$A$1201,INDEX(_LEITURA!$P$2:$P$21,11),DECKS!$B$2:$B$1201,$A572))</f>
        <v/>
      </c>
      <c r="V572" s="19" t="str">
        <f aca="false">IF(OR($A572="",INDEX(_LEITURA!$Q$2:$Q$21,12)=0),"",SUMIFS(DECKS!$D$2:$D$1201,DECKS!$A$2:$A$1201,INDEX(_LEITURA!$P$2:$P$21,12),DECKS!$B$2:$B$1201,$A572))</f>
        <v/>
      </c>
      <c r="W572" s="19" t="str">
        <f aca="false">IF(OR($A572="",INDEX(_LEITURA!$Q$2:$Q$21,13)=0),"",SUMIFS(DECKS!$D$2:$D$1201,DECKS!$A$2:$A$1201,INDEX(_LEITURA!$P$2:$P$21,13),DECKS!$B$2:$B$1201,$A572))</f>
        <v/>
      </c>
      <c r="X572" s="19" t="str">
        <f aca="false">IF(OR($A572="",INDEX(_LEITURA!$Q$2:$Q$21,14)=0),"",SUMIFS(DECKS!$D$2:$D$1201,DECKS!$A$2:$A$1201,INDEX(_LEITURA!$P$2:$P$21,14),DECKS!$B$2:$B$1201,$A572))</f>
        <v/>
      </c>
      <c r="Y572" s="19" t="str">
        <f aca="false">IF(OR($A572="",INDEX(_LEITURA!$Q$2:$Q$21,15)=0),"",SUMIFS(DECKS!$D$2:$D$1201,DECKS!$A$2:$A$1201,INDEX(_LEITURA!$P$2:$P$21,15),DECKS!$B$2:$B$1201,$A572))</f>
        <v/>
      </c>
      <c r="Z572" s="19" t="str">
        <f aca="false">IF(OR($A572="",INDEX(_LEITURA!$Q$2:$Q$21,16)=0),"",SUMIFS(DECKS!$D$2:$D$1201,DECKS!$A$2:$A$1201,INDEX(_LEITURA!$P$2:$P$21,16),DECKS!$B$2:$B$1201,$A572))</f>
        <v/>
      </c>
      <c r="AA572" s="19" t="str">
        <f aca="false">IF(OR($A572="",INDEX(_LEITURA!$Q$2:$Q$21,17)=0),"",SUMIFS(DECKS!$D$2:$D$1201,DECKS!$A$2:$A$1201,INDEX(_LEITURA!$P$2:$P$21,17),DECKS!$B$2:$B$1201,$A572))</f>
        <v/>
      </c>
      <c r="AB572" s="19" t="str">
        <f aca="false">IF(OR($A572="",INDEX(_LEITURA!$Q$2:$Q$21,18)=0),"",SUMIFS(DECKS!$D$2:$D$1201,DECKS!$A$2:$A$1201,INDEX(_LEITURA!$P$2:$P$21,18),DECKS!$B$2:$B$1201,$A572))</f>
        <v/>
      </c>
      <c r="AC572" s="19" t="str">
        <f aca="false">IF(OR($A572="",INDEX(_LEITURA!$Q$2:$Q$21,19)=0),"",SUMIFS(DECKS!$D$2:$D$1201,DECKS!$A$2:$A$1201,INDEX(_LEITURA!$P$2:$P$21,19),DECKS!$B$2:$B$1201,$A572))</f>
        <v/>
      </c>
      <c r="AD572" s="19" t="str">
        <f aca="false">IF(OR($A572="",INDEX(_LEITURA!$Q$2:$Q$21,20)=0),"",SUMIFS(DECKS!$D$2:$D$1201,DECKS!$A$2:$A$1201,INDEX(_LEITURA!$P$2:$P$21,20),DECKS!$B$2:$B$1201,$A572))</f>
        <v/>
      </c>
      <c r="AE572" s="16" t="str">
        <f aca="false">IF(N(E572)&gt;0,MAX(AE$1:AE571)+1,"")</f>
        <v/>
      </c>
      <c r="AF572" s="11" t="str">
        <f aca="false">IF(A572="","",IFERROR(LEFT(A572,FIND("-",A572)-1),A572))</f>
        <v/>
      </c>
      <c r="AG572" s="11" t="str">
        <f aca="false">IF(AF572="","",IF(ISNUMBER(--MID(AF572,1,1)),0,IF(ISNUMBER(--MID(AF572,2,1)),1,IF(ISNUMBER(--MID(AF572,3,1)),2,IF(ISNUMBER(--MID(AF572,4,1)),3,MIN(LEN(AF572),4))))))</f>
        <v/>
      </c>
      <c r="AH572" s="11" t="str">
        <f aca="false">IF(A572="","",LEFT(AF572,AG572)&amp;REPT("0",4-AG572)&amp;RIGHT("000"&amp;IFERROR(VALUE(MID(AF572,AG572+1,9)),0),3)&amp;RIGHT("0000"&amp;IFERROR(VALUE(MID(A572,FIND("-",A572)+1,9)),0),4))</f>
        <v/>
      </c>
      <c r="AI572" s="11" t="str">
        <f aca="false">IF(OR(A572="",N(E572)&lt;=0),"",IF('FALTAS GERAL'!$M$1="Código","K"&amp;AH572&amp;RIGHT("00000"&amp;ROW(),5),IF('FALTAS GERAL'!$M$1="Nome","K"&amp;UPPER(SUBSTITUTE(SUBSTITUTE(SUBSTITUTE(B572,"*",""),"?",""),"~",""))&amp;"0"&amp;AH572&amp;RIGHT("00000"&amp;ROW(),5),IF('FALTAS GERAL'!$M$1="Falta (maior primeiro)","K"&amp;RIGHT("0000"&amp;(9999-E572),4)&amp;AH572&amp;RIGHT("00000"&amp;ROW(),5),IF('FALTAS GERAL'!$M$1="Nº de decks (maior primeiro)","K"&amp;RIGHT("00"&amp;(99-N(G572)),2)&amp;AH572&amp;RIGHT("00000"&amp;ROW(),5),"K"&amp;RIGHT("00000"&amp;ROW(),5))))))</f>
        <v/>
      </c>
      <c r="AJ572" s="11" t="str">
        <f aca="false">IF(AI572="","",COUNTIFS($AI$2:$AI$801,"&lt;"&amp;AI572,$E$2:$E$801,"&gt;0")+1)</f>
        <v/>
      </c>
      <c r="AK572" s="11" t="str">
        <f aca="false">IF(OR(A572="",N(E572)&lt;=0),"",COUNTIFS($AH$2:$AH$801,"&lt;"&amp;AH572,$E$2:$E$801,"&gt;0")+COUNTIFS($AH$2:AH572,AH572,$E$2:E572,"&gt;0"))</f>
        <v/>
      </c>
    </row>
    <row r="573" customFormat="false" ht="15" hidden="false" customHeight="false" outlineLevel="0" collapsed="false">
      <c r="A573" s="11" t="str">
        <f aca="false">IF(INVENTÁRIO!A573="","",INVENTÁRIO!A573)</f>
        <v/>
      </c>
      <c r="B573" s="11" t="str">
        <f aca="false">IF(A573="","",INVENTÁRIO!B573)</f>
        <v/>
      </c>
      <c r="C573" s="16" t="str">
        <f aca="false">IF(A573="","",INVENTÁRIO!C573)</f>
        <v/>
      </c>
      <c r="D573" s="14" t="str">
        <f aca="false">IF(A573="","",MAX(K573:AD573))</f>
        <v/>
      </c>
      <c r="E573" s="14" t="str">
        <f aca="false">IF(A573="","",MAX(0,D573-C573))</f>
        <v/>
      </c>
      <c r="F573" s="16" t="str">
        <f aca="false">IF(A573="","",IF(D573=0,"Fora dos decks",IF(E573=0,"Completo","Falta")))</f>
        <v/>
      </c>
      <c r="G573" s="16" t="str">
        <f aca="false">IF(A573="","",COUNTIF(K573:AD573,"&gt;0"))</f>
        <v/>
      </c>
      <c r="H573" s="16" t="str">
        <f aca="false">IF(A573="","",IF(G573&gt;1,"Sim",""))</f>
        <v/>
      </c>
      <c r="I573" s="18" t="str">
        <f aca="false">IF(A573="","",SUMIFS(DECKS!$D$2:$D$1201,DECKS!$B$2:$B$1201,A573))</f>
        <v/>
      </c>
      <c r="J573" s="18" t="str">
        <f aca="false">IF(A573="","",MAX(0,I573-C573))</f>
        <v/>
      </c>
      <c r="K573" s="19" t="str">
        <f aca="false">IF(OR($A573="",INDEX(_LEITURA!$Q$2:$Q$21,1)=0),"",SUMIFS(DECKS!$D$2:$D$1201,DECKS!$A$2:$A$1201,INDEX(_LEITURA!$P$2:$P$21,1),DECKS!$B$2:$B$1201,$A573))</f>
        <v/>
      </c>
      <c r="L573" s="19" t="str">
        <f aca="false">IF(OR($A573="",INDEX(_LEITURA!$Q$2:$Q$21,2)=0),"",SUMIFS(DECKS!$D$2:$D$1201,DECKS!$A$2:$A$1201,INDEX(_LEITURA!$P$2:$P$21,2),DECKS!$B$2:$B$1201,$A573))</f>
        <v/>
      </c>
      <c r="M573" s="19" t="str">
        <f aca="false">IF(OR($A573="",INDEX(_LEITURA!$Q$2:$Q$21,3)=0),"",SUMIFS(DECKS!$D$2:$D$1201,DECKS!$A$2:$A$1201,INDEX(_LEITURA!$P$2:$P$21,3),DECKS!$B$2:$B$1201,$A573))</f>
        <v/>
      </c>
      <c r="N573" s="19" t="str">
        <f aca="false">IF(OR($A573="",INDEX(_LEITURA!$Q$2:$Q$21,4)=0),"",SUMIFS(DECKS!$D$2:$D$1201,DECKS!$A$2:$A$1201,INDEX(_LEITURA!$P$2:$P$21,4),DECKS!$B$2:$B$1201,$A573))</f>
        <v/>
      </c>
      <c r="O573" s="19" t="str">
        <f aca="false">IF(OR($A573="",INDEX(_LEITURA!$Q$2:$Q$21,5)=0),"",SUMIFS(DECKS!$D$2:$D$1201,DECKS!$A$2:$A$1201,INDEX(_LEITURA!$P$2:$P$21,5),DECKS!$B$2:$B$1201,$A573))</f>
        <v/>
      </c>
      <c r="P573" s="19" t="str">
        <f aca="false">IF(OR($A573="",INDEX(_LEITURA!$Q$2:$Q$21,6)=0),"",SUMIFS(DECKS!$D$2:$D$1201,DECKS!$A$2:$A$1201,INDEX(_LEITURA!$P$2:$P$21,6),DECKS!$B$2:$B$1201,$A573))</f>
        <v/>
      </c>
      <c r="Q573" s="19" t="str">
        <f aca="false">IF(OR($A573="",INDEX(_LEITURA!$Q$2:$Q$21,7)=0),"",SUMIFS(DECKS!$D$2:$D$1201,DECKS!$A$2:$A$1201,INDEX(_LEITURA!$P$2:$P$21,7),DECKS!$B$2:$B$1201,$A573))</f>
        <v/>
      </c>
      <c r="R573" s="19" t="str">
        <f aca="false">IF(OR($A573="",INDEX(_LEITURA!$Q$2:$Q$21,8)=0),"",SUMIFS(DECKS!$D$2:$D$1201,DECKS!$A$2:$A$1201,INDEX(_LEITURA!$P$2:$P$21,8),DECKS!$B$2:$B$1201,$A573))</f>
        <v/>
      </c>
      <c r="S573" s="19" t="str">
        <f aca="false">IF(OR($A573="",INDEX(_LEITURA!$Q$2:$Q$21,9)=0),"",SUMIFS(DECKS!$D$2:$D$1201,DECKS!$A$2:$A$1201,INDEX(_LEITURA!$P$2:$P$21,9),DECKS!$B$2:$B$1201,$A573))</f>
        <v/>
      </c>
      <c r="T573" s="19" t="str">
        <f aca="false">IF(OR($A573="",INDEX(_LEITURA!$Q$2:$Q$21,10)=0),"",SUMIFS(DECKS!$D$2:$D$1201,DECKS!$A$2:$A$1201,INDEX(_LEITURA!$P$2:$P$21,10),DECKS!$B$2:$B$1201,$A573))</f>
        <v/>
      </c>
      <c r="U573" s="19" t="str">
        <f aca="false">IF(OR($A573="",INDEX(_LEITURA!$Q$2:$Q$21,11)=0),"",SUMIFS(DECKS!$D$2:$D$1201,DECKS!$A$2:$A$1201,INDEX(_LEITURA!$P$2:$P$21,11),DECKS!$B$2:$B$1201,$A573))</f>
        <v/>
      </c>
      <c r="V573" s="19" t="str">
        <f aca="false">IF(OR($A573="",INDEX(_LEITURA!$Q$2:$Q$21,12)=0),"",SUMIFS(DECKS!$D$2:$D$1201,DECKS!$A$2:$A$1201,INDEX(_LEITURA!$P$2:$P$21,12),DECKS!$B$2:$B$1201,$A573))</f>
        <v/>
      </c>
      <c r="W573" s="19" t="str">
        <f aca="false">IF(OR($A573="",INDEX(_LEITURA!$Q$2:$Q$21,13)=0),"",SUMIFS(DECKS!$D$2:$D$1201,DECKS!$A$2:$A$1201,INDEX(_LEITURA!$P$2:$P$21,13),DECKS!$B$2:$B$1201,$A573))</f>
        <v/>
      </c>
      <c r="X573" s="19" t="str">
        <f aca="false">IF(OR($A573="",INDEX(_LEITURA!$Q$2:$Q$21,14)=0),"",SUMIFS(DECKS!$D$2:$D$1201,DECKS!$A$2:$A$1201,INDEX(_LEITURA!$P$2:$P$21,14),DECKS!$B$2:$B$1201,$A573))</f>
        <v/>
      </c>
      <c r="Y573" s="19" t="str">
        <f aca="false">IF(OR($A573="",INDEX(_LEITURA!$Q$2:$Q$21,15)=0),"",SUMIFS(DECKS!$D$2:$D$1201,DECKS!$A$2:$A$1201,INDEX(_LEITURA!$P$2:$P$21,15),DECKS!$B$2:$B$1201,$A573))</f>
        <v/>
      </c>
      <c r="Z573" s="19" t="str">
        <f aca="false">IF(OR($A573="",INDEX(_LEITURA!$Q$2:$Q$21,16)=0),"",SUMIFS(DECKS!$D$2:$D$1201,DECKS!$A$2:$A$1201,INDEX(_LEITURA!$P$2:$P$21,16),DECKS!$B$2:$B$1201,$A573))</f>
        <v/>
      </c>
      <c r="AA573" s="19" t="str">
        <f aca="false">IF(OR($A573="",INDEX(_LEITURA!$Q$2:$Q$21,17)=0),"",SUMIFS(DECKS!$D$2:$D$1201,DECKS!$A$2:$A$1201,INDEX(_LEITURA!$P$2:$P$21,17),DECKS!$B$2:$B$1201,$A573))</f>
        <v/>
      </c>
      <c r="AB573" s="19" t="str">
        <f aca="false">IF(OR($A573="",INDEX(_LEITURA!$Q$2:$Q$21,18)=0),"",SUMIFS(DECKS!$D$2:$D$1201,DECKS!$A$2:$A$1201,INDEX(_LEITURA!$P$2:$P$21,18),DECKS!$B$2:$B$1201,$A573))</f>
        <v/>
      </c>
      <c r="AC573" s="19" t="str">
        <f aca="false">IF(OR($A573="",INDEX(_LEITURA!$Q$2:$Q$21,19)=0),"",SUMIFS(DECKS!$D$2:$D$1201,DECKS!$A$2:$A$1201,INDEX(_LEITURA!$P$2:$P$21,19),DECKS!$B$2:$B$1201,$A573))</f>
        <v/>
      </c>
      <c r="AD573" s="19" t="str">
        <f aca="false">IF(OR($A573="",INDEX(_LEITURA!$Q$2:$Q$21,20)=0),"",SUMIFS(DECKS!$D$2:$D$1201,DECKS!$A$2:$A$1201,INDEX(_LEITURA!$P$2:$P$21,20),DECKS!$B$2:$B$1201,$A573))</f>
        <v/>
      </c>
      <c r="AE573" s="16" t="str">
        <f aca="false">IF(N(E573)&gt;0,MAX(AE$1:AE572)+1,"")</f>
        <v/>
      </c>
      <c r="AF573" s="11" t="str">
        <f aca="false">IF(A573="","",IFERROR(LEFT(A573,FIND("-",A573)-1),A573))</f>
        <v/>
      </c>
      <c r="AG573" s="11" t="str">
        <f aca="false">IF(AF573="","",IF(ISNUMBER(--MID(AF573,1,1)),0,IF(ISNUMBER(--MID(AF573,2,1)),1,IF(ISNUMBER(--MID(AF573,3,1)),2,IF(ISNUMBER(--MID(AF573,4,1)),3,MIN(LEN(AF573),4))))))</f>
        <v/>
      </c>
      <c r="AH573" s="11" t="str">
        <f aca="false">IF(A573="","",LEFT(AF573,AG573)&amp;REPT("0",4-AG573)&amp;RIGHT("000"&amp;IFERROR(VALUE(MID(AF573,AG573+1,9)),0),3)&amp;RIGHT("0000"&amp;IFERROR(VALUE(MID(A573,FIND("-",A573)+1,9)),0),4))</f>
        <v/>
      </c>
      <c r="AI573" s="11" t="str">
        <f aca="false">IF(OR(A573="",N(E573)&lt;=0),"",IF('FALTAS GERAL'!$M$1="Código","K"&amp;AH573&amp;RIGHT("00000"&amp;ROW(),5),IF('FALTAS GERAL'!$M$1="Nome","K"&amp;UPPER(SUBSTITUTE(SUBSTITUTE(SUBSTITUTE(B573,"*",""),"?",""),"~",""))&amp;"0"&amp;AH573&amp;RIGHT("00000"&amp;ROW(),5),IF('FALTAS GERAL'!$M$1="Falta (maior primeiro)","K"&amp;RIGHT("0000"&amp;(9999-E573),4)&amp;AH573&amp;RIGHT("00000"&amp;ROW(),5),IF('FALTAS GERAL'!$M$1="Nº de decks (maior primeiro)","K"&amp;RIGHT("00"&amp;(99-N(G573)),2)&amp;AH573&amp;RIGHT("00000"&amp;ROW(),5),"K"&amp;RIGHT("00000"&amp;ROW(),5))))))</f>
        <v/>
      </c>
      <c r="AJ573" s="11" t="str">
        <f aca="false">IF(AI573="","",COUNTIFS($AI$2:$AI$801,"&lt;"&amp;AI573,$E$2:$E$801,"&gt;0")+1)</f>
        <v/>
      </c>
      <c r="AK573" s="11" t="str">
        <f aca="false">IF(OR(A573="",N(E573)&lt;=0),"",COUNTIFS($AH$2:$AH$801,"&lt;"&amp;AH573,$E$2:$E$801,"&gt;0")+COUNTIFS($AH$2:AH573,AH573,$E$2:E573,"&gt;0"))</f>
        <v/>
      </c>
    </row>
    <row r="574" customFormat="false" ht="15" hidden="false" customHeight="false" outlineLevel="0" collapsed="false">
      <c r="A574" s="11" t="str">
        <f aca="false">IF(INVENTÁRIO!A574="","",INVENTÁRIO!A574)</f>
        <v/>
      </c>
      <c r="B574" s="11" t="str">
        <f aca="false">IF(A574="","",INVENTÁRIO!B574)</f>
        <v/>
      </c>
      <c r="C574" s="16" t="str">
        <f aca="false">IF(A574="","",INVENTÁRIO!C574)</f>
        <v/>
      </c>
      <c r="D574" s="14" t="str">
        <f aca="false">IF(A574="","",MAX(K574:AD574))</f>
        <v/>
      </c>
      <c r="E574" s="14" t="str">
        <f aca="false">IF(A574="","",MAX(0,D574-C574))</f>
        <v/>
      </c>
      <c r="F574" s="16" t="str">
        <f aca="false">IF(A574="","",IF(D574=0,"Fora dos decks",IF(E574=0,"Completo","Falta")))</f>
        <v/>
      </c>
      <c r="G574" s="16" t="str">
        <f aca="false">IF(A574="","",COUNTIF(K574:AD574,"&gt;0"))</f>
        <v/>
      </c>
      <c r="H574" s="16" t="str">
        <f aca="false">IF(A574="","",IF(G574&gt;1,"Sim",""))</f>
        <v/>
      </c>
      <c r="I574" s="18" t="str">
        <f aca="false">IF(A574="","",SUMIFS(DECKS!$D$2:$D$1201,DECKS!$B$2:$B$1201,A574))</f>
        <v/>
      </c>
      <c r="J574" s="18" t="str">
        <f aca="false">IF(A574="","",MAX(0,I574-C574))</f>
        <v/>
      </c>
      <c r="K574" s="19" t="str">
        <f aca="false">IF(OR($A574="",INDEX(_LEITURA!$Q$2:$Q$21,1)=0),"",SUMIFS(DECKS!$D$2:$D$1201,DECKS!$A$2:$A$1201,INDEX(_LEITURA!$P$2:$P$21,1),DECKS!$B$2:$B$1201,$A574))</f>
        <v/>
      </c>
      <c r="L574" s="19" t="str">
        <f aca="false">IF(OR($A574="",INDEX(_LEITURA!$Q$2:$Q$21,2)=0),"",SUMIFS(DECKS!$D$2:$D$1201,DECKS!$A$2:$A$1201,INDEX(_LEITURA!$P$2:$P$21,2),DECKS!$B$2:$B$1201,$A574))</f>
        <v/>
      </c>
      <c r="M574" s="19" t="str">
        <f aca="false">IF(OR($A574="",INDEX(_LEITURA!$Q$2:$Q$21,3)=0),"",SUMIFS(DECKS!$D$2:$D$1201,DECKS!$A$2:$A$1201,INDEX(_LEITURA!$P$2:$P$21,3),DECKS!$B$2:$B$1201,$A574))</f>
        <v/>
      </c>
      <c r="N574" s="19" t="str">
        <f aca="false">IF(OR($A574="",INDEX(_LEITURA!$Q$2:$Q$21,4)=0),"",SUMIFS(DECKS!$D$2:$D$1201,DECKS!$A$2:$A$1201,INDEX(_LEITURA!$P$2:$P$21,4),DECKS!$B$2:$B$1201,$A574))</f>
        <v/>
      </c>
      <c r="O574" s="19" t="str">
        <f aca="false">IF(OR($A574="",INDEX(_LEITURA!$Q$2:$Q$21,5)=0),"",SUMIFS(DECKS!$D$2:$D$1201,DECKS!$A$2:$A$1201,INDEX(_LEITURA!$P$2:$P$21,5),DECKS!$B$2:$B$1201,$A574))</f>
        <v/>
      </c>
      <c r="P574" s="19" t="str">
        <f aca="false">IF(OR($A574="",INDEX(_LEITURA!$Q$2:$Q$21,6)=0),"",SUMIFS(DECKS!$D$2:$D$1201,DECKS!$A$2:$A$1201,INDEX(_LEITURA!$P$2:$P$21,6),DECKS!$B$2:$B$1201,$A574))</f>
        <v/>
      </c>
      <c r="Q574" s="19" t="str">
        <f aca="false">IF(OR($A574="",INDEX(_LEITURA!$Q$2:$Q$21,7)=0),"",SUMIFS(DECKS!$D$2:$D$1201,DECKS!$A$2:$A$1201,INDEX(_LEITURA!$P$2:$P$21,7),DECKS!$B$2:$B$1201,$A574))</f>
        <v/>
      </c>
      <c r="R574" s="19" t="str">
        <f aca="false">IF(OR($A574="",INDEX(_LEITURA!$Q$2:$Q$21,8)=0),"",SUMIFS(DECKS!$D$2:$D$1201,DECKS!$A$2:$A$1201,INDEX(_LEITURA!$P$2:$P$21,8),DECKS!$B$2:$B$1201,$A574))</f>
        <v/>
      </c>
      <c r="S574" s="19" t="str">
        <f aca="false">IF(OR($A574="",INDEX(_LEITURA!$Q$2:$Q$21,9)=0),"",SUMIFS(DECKS!$D$2:$D$1201,DECKS!$A$2:$A$1201,INDEX(_LEITURA!$P$2:$P$21,9),DECKS!$B$2:$B$1201,$A574))</f>
        <v/>
      </c>
      <c r="T574" s="19" t="str">
        <f aca="false">IF(OR($A574="",INDEX(_LEITURA!$Q$2:$Q$21,10)=0),"",SUMIFS(DECKS!$D$2:$D$1201,DECKS!$A$2:$A$1201,INDEX(_LEITURA!$P$2:$P$21,10),DECKS!$B$2:$B$1201,$A574))</f>
        <v/>
      </c>
      <c r="U574" s="19" t="str">
        <f aca="false">IF(OR($A574="",INDEX(_LEITURA!$Q$2:$Q$21,11)=0),"",SUMIFS(DECKS!$D$2:$D$1201,DECKS!$A$2:$A$1201,INDEX(_LEITURA!$P$2:$P$21,11),DECKS!$B$2:$B$1201,$A574))</f>
        <v/>
      </c>
      <c r="V574" s="19" t="str">
        <f aca="false">IF(OR($A574="",INDEX(_LEITURA!$Q$2:$Q$21,12)=0),"",SUMIFS(DECKS!$D$2:$D$1201,DECKS!$A$2:$A$1201,INDEX(_LEITURA!$P$2:$P$21,12),DECKS!$B$2:$B$1201,$A574))</f>
        <v/>
      </c>
      <c r="W574" s="19" t="str">
        <f aca="false">IF(OR($A574="",INDEX(_LEITURA!$Q$2:$Q$21,13)=0),"",SUMIFS(DECKS!$D$2:$D$1201,DECKS!$A$2:$A$1201,INDEX(_LEITURA!$P$2:$P$21,13),DECKS!$B$2:$B$1201,$A574))</f>
        <v/>
      </c>
      <c r="X574" s="19" t="str">
        <f aca="false">IF(OR($A574="",INDEX(_LEITURA!$Q$2:$Q$21,14)=0),"",SUMIFS(DECKS!$D$2:$D$1201,DECKS!$A$2:$A$1201,INDEX(_LEITURA!$P$2:$P$21,14),DECKS!$B$2:$B$1201,$A574))</f>
        <v/>
      </c>
      <c r="Y574" s="19" t="str">
        <f aca="false">IF(OR($A574="",INDEX(_LEITURA!$Q$2:$Q$21,15)=0),"",SUMIFS(DECKS!$D$2:$D$1201,DECKS!$A$2:$A$1201,INDEX(_LEITURA!$P$2:$P$21,15),DECKS!$B$2:$B$1201,$A574))</f>
        <v/>
      </c>
      <c r="Z574" s="19" t="str">
        <f aca="false">IF(OR($A574="",INDEX(_LEITURA!$Q$2:$Q$21,16)=0),"",SUMIFS(DECKS!$D$2:$D$1201,DECKS!$A$2:$A$1201,INDEX(_LEITURA!$P$2:$P$21,16),DECKS!$B$2:$B$1201,$A574))</f>
        <v/>
      </c>
      <c r="AA574" s="19" t="str">
        <f aca="false">IF(OR($A574="",INDEX(_LEITURA!$Q$2:$Q$21,17)=0),"",SUMIFS(DECKS!$D$2:$D$1201,DECKS!$A$2:$A$1201,INDEX(_LEITURA!$P$2:$P$21,17),DECKS!$B$2:$B$1201,$A574))</f>
        <v/>
      </c>
      <c r="AB574" s="19" t="str">
        <f aca="false">IF(OR($A574="",INDEX(_LEITURA!$Q$2:$Q$21,18)=0),"",SUMIFS(DECKS!$D$2:$D$1201,DECKS!$A$2:$A$1201,INDEX(_LEITURA!$P$2:$P$21,18),DECKS!$B$2:$B$1201,$A574))</f>
        <v/>
      </c>
      <c r="AC574" s="19" t="str">
        <f aca="false">IF(OR($A574="",INDEX(_LEITURA!$Q$2:$Q$21,19)=0),"",SUMIFS(DECKS!$D$2:$D$1201,DECKS!$A$2:$A$1201,INDEX(_LEITURA!$P$2:$P$21,19),DECKS!$B$2:$B$1201,$A574))</f>
        <v/>
      </c>
      <c r="AD574" s="19" t="str">
        <f aca="false">IF(OR($A574="",INDEX(_LEITURA!$Q$2:$Q$21,20)=0),"",SUMIFS(DECKS!$D$2:$D$1201,DECKS!$A$2:$A$1201,INDEX(_LEITURA!$P$2:$P$21,20),DECKS!$B$2:$B$1201,$A574))</f>
        <v/>
      </c>
      <c r="AE574" s="16" t="str">
        <f aca="false">IF(N(E574)&gt;0,MAX(AE$1:AE573)+1,"")</f>
        <v/>
      </c>
      <c r="AF574" s="11" t="str">
        <f aca="false">IF(A574="","",IFERROR(LEFT(A574,FIND("-",A574)-1),A574))</f>
        <v/>
      </c>
      <c r="AG574" s="11" t="str">
        <f aca="false">IF(AF574="","",IF(ISNUMBER(--MID(AF574,1,1)),0,IF(ISNUMBER(--MID(AF574,2,1)),1,IF(ISNUMBER(--MID(AF574,3,1)),2,IF(ISNUMBER(--MID(AF574,4,1)),3,MIN(LEN(AF574),4))))))</f>
        <v/>
      </c>
      <c r="AH574" s="11" t="str">
        <f aca="false">IF(A574="","",LEFT(AF574,AG574)&amp;REPT("0",4-AG574)&amp;RIGHT("000"&amp;IFERROR(VALUE(MID(AF574,AG574+1,9)),0),3)&amp;RIGHT("0000"&amp;IFERROR(VALUE(MID(A574,FIND("-",A574)+1,9)),0),4))</f>
        <v/>
      </c>
      <c r="AI574" s="11" t="str">
        <f aca="false">IF(OR(A574="",N(E574)&lt;=0),"",IF('FALTAS GERAL'!$M$1="Código","K"&amp;AH574&amp;RIGHT("00000"&amp;ROW(),5),IF('FALTAS GERAL'!$M$1="Nome","K"&amp;UPPER(SUBSTITUTE(SUBSTITUTE(SUBSTITUTE(B574,"*",""),"?",""),"~",""))&amp;"0"&amp;AH574&amp;RIGHT("00000"&amp;ROW(),5),IF('FALTAS GERAL'!$M$1="Falta (maior primeiro)","K"&amp;RIGHT("0000"&amp;(9999-E574),4)&amp;AH574&amp;RIGHT("00000"&amp;ROW(),5),IF('FALTAS GERAL'!$M$1="Nº de decks (maior primeiro)","K"&amp;RIGHT("00"&amp;(99-N(G574)),2)&amp;AH574&amp;RIGHT("00000"&amp;ROW(),5),"K"&amp;RIGHT("00000"&amp;ROW(),5))))))</f>
        <v/>
      </c>
      <c r="AJ574" s="11" t="str">
        <f aca="false">IF(AI574="","",COUNTIFS($AI$2:$AI$801,"&lt;"&amp;AI574,$E$2:$E$801,"&gt;0")+1)</f>
        <v/>
      </c>
      <c r="AK574" s="11" t="str">
        <f aca="false">IF(OR(A574="",N(E574)&lt;=0),"",COUNTIFS($AH$2:$AH$801,"&lt;"&amp;AH574,$E$2:$E$801,"&gt;0")+COUNTIFS($AH$2:AH574,AH574,$E$2:E574,"&gt;0"))</f>
        <v/>
      </c>
    </row>
    <row r="575" customFormat="false" ht="15" hidden="false" customHeight="false" outlineLevel="0" collapsed="false">
      <c r="A575" s="11" t="str">
        <f aca="false">IF(INVENTÁRIO!A575="","",INVENTÁRIO!A575)</f>
        <v/>
      </c>
      <c r="B575" s="11" t="str">
        <f aca="false">IF(A575="","",INVENTÁRIO!B575)</f>
        <v/>
      </c>
      <c r="C575" s="16" t="str">
        <f aca="false">IF(A575="","",INVENTÁRIO!C575)</f>
        <v/>
      </c>
      <c r="D575" s="14" t="str">
        <f aca="false">IF(A575="","",MAX(K575:AD575))</f>
        <v/>
      </c>
      <c r="E575" s="14" t="str">
        <f aca="false">IF(A575="","",MAX(0,D575-C575))</f>
        <v/>
      </c>
      <c r="F575" s="16" t="str">
        <f aca="false">IF(A575="","",IF(D575=0,"Fora dos decks",IF(E575=0,"Completo","Falta")))</f>
        <v/>
      </c>
      <c r="G575" s="16" t="str">
        <f aca="false">IF(A575="","",COUNTIF(K575:AD575,"&gt;0"))</f>
        <v/>
      </c>
      <c r="H575" s="16" t="str">
        <f aca="false">IF(A575="","",IF(G575&gt;1,"Sim",""))</f>
        <v/>
      </c>
      <c r="I575" s="18" t="str">
        <f aca="false">IF(A575="","",SUMIFS(DECKS!$D$2:$D$1201,DECKS!$B$2:$B$1201,A575))</f>
        <v/>
      </c>
      <c r="J575" s="18" t="str">
        <f aca="false">IF(A575="","",MAX(0,I575-C575))</f>
        <v/>
      </c>
      <c r="K575" s="19" t="str">
        <f aca="false">IF(OR($A575="",INDEX(_LEITURA!$Q$2:$Q$21,1)=0),"",SUMIFS(DECKS!$D$2:$D$1201,DECKS!$A$2:$A$1201,INDEX(_LEITURA!$P$2:$P$21,1),DECKS!$B$2:$B$1201,$A575))</f>
        <v/>
      </c>
      <c r="L575" s="19" t="str">
        <f aca="false">IF(OR($A575="",INDEX(_LEITURA!$Q$2:$Q$21,2)=0),"",SUMIFS(DECKS!$D$2:$D$1201,DECKS!$A$2:$A$1201,INDEX(_LEITURA!$P$2:$P$21,2),DECKS!$B$2:$B$1201,$A575))</f>
        <v/>
      </c>
      <c r="M575" s="19" t="str">
        <f aca="false">IF(OR($A575="",INDEX(_LEITURA!$Q$2:$Q$21,3)=0),"",SUMIFS(DECKS!$D$2:$D$1201,DECKS!$A$2:$A$1201,INDEX(_LEITURA!$P$2:$P$21,3),DECKS!$B$2:$B$1201,$A575))</f>
        <v/>
      </c>
      <c r="N575" s="19" t="str">
        <f aca="false">IF(OR($A575="",INDEX(_LEITURA!$Q$2:$Q$21,4)=0),"",SUMIFS(DECKS!$D$2:$D$1201,DECKS!$A$2:$A$1201,INDEX(_LEITURA!$P$2:$P$21,4),DECKS!$B$2:$B$1201,$A575))</f>
        <v/>
      </c>
      <c r="O575" s="19" t="str">
        <f aca="false">IF(OR($A575="",INDEX(_LEITURA!$Q$2:$Q$21,5)=0),"",SUMIFS(DECKS!$D$2:$D$1201,DECKS!$A$2:$A$1201,INDEX(_LEITURA!$P$2:$P$21,5),DECKS!$B$2:$B$1201,$A575))</f>
        <v/>
      </c>
      <c r="P575" s="19" t="str">
        <f aca="false">IF(OR($A575="",INDEX(_LEITURA!$Q$2:$Q$21,6)=0),"",SUMIFS(DECKS!$D$2:$D$1201,DECKS!$A$2:$A$1201,INDEX(_LEITURA!$P$2:$P$21,6),DECKS!$B$2:$B$1201,$A575))</f>
        <v/>
      </c>
      <c r="Q575" s="19" t="str">
        <f aca="false">IF(OR($A575="",INDEX(_LEITURA!$Q$2:$Q$21,7)=0),"",SUMIFS(DECKS!$D$2:$D$1201,DECKS!$A$2:$A$1201,INDEX(_LEITURA!$P$2:$P$21,7),DECKS!$B$2:$B$1201,$A575))</f>
        <v/>
      </c>
      <c r="R575" s="19" t="str">
        <f aca="false">IF(OR($A575="",INDEX(_LEITURA!$Q$2:$Q$21,8)=0),"",SUMIFS(DECKS!$D$2:$D$1201,DECKS!$A$2:$A$1201,INDEX(_LEITURA!$P$2:$P$21,8),DECKS!$B$2:$B$1201,$A575))</f>
        <v/>
      </c>
      <c r="S575" s="19" t="str">
        <f aca="false">IF(OR($A575="",INDEX(_LEITURA!$Q$2:$Q$21,9)=0),"",SUMIFS(DECKS!$D$2:$D$1201,DECKS!$A$2:$A$1201,INDEX(_LEITURA!$P$2:$P$21,9),DECKS!$B$2:$B$1201,$A575))</f>
        <v/>
      </c>
      <c r="T575" s="19" t="str">
        <f aca="false">IF(OR($A575="",INDEX(_LEITURA!$Q$2:$Q$21,10)=0),"",SUMIFS(DECKS!$D$2:$D$1201,DECKS!$A$2:$A$1201,INDEX(_LEITURA!$P$2:$P$21,10),DECKS!$B$2:$B$1201,$A575))</f>
        <v/>
      </c>
      <c r="U575" s="19" t="str">
        <f aca="false">IF(OR($A575="",INDEX(_LEITURA!$Q$2:$Q$21,11)=0),"",SUMIFS(DECKS!$D$2:$D$1201,DECKS!$A$2:$A$1201,INDEX(_LEITURA!$P$2:$P$21,11),DECKS!$B$2:$B$1201,$A575))</f>
        <v/>
      </c>
      <c r="V575" s="19" t="str">
        <f aca="false">IF(OR($A575="",INDEX(_LEITURA!$Q$2:$Q$21,12)=0),"",SUMIFS(DECKS!$D$2:$D$1201,DECKS!$A$2:$A$1201,INDEX(_LEITURA!$P$2:$P$21,12),DECKS!$B$2:$B$1201,$A575))</f>
        <v/>
      </c>
      <c r="W575" s="19" t="str">
        <f aca="false">IF(OR($A575="",INDEX(_LEITURA!$Q$2:$Q$21,13)=0),"",SUMIFS(DECKS!$D$2:$D$1201,DECKS!$A$2:$A$1201,INDEX(_LEITURA!$P$2:$P$21,13),DECKS!$B$2:$B$1201,$A575))</f>
        <v/>
      </c>
      <c r="X575" s="19" t="str">
        <f aca="false">IF(OR($A575="",INDEX(_LEITURA!$Q$2:$Q$21,14)=0),"",SUMIFS(DECKS!$D$2:$D$1201,DECKS!$A$2:$A$1201,INDEX(_LEITURA!$P$2:$P$21,14),DECKS!$B$2:$B$1201,$A575))</f>
        <v/>
      </c>
      <c r="Y575" s="19" t="str">
        <f aca="false">IF(OR($A575="",INDEX(_LEITURA!$Q$2:$Q$21,15)=0),"",SUMIFS(DECKS!$D$2:$D$1201,DECKS!$A$2:$A$1201,INDEX(_LEITURA!$P$2:$P$21,15),DECKS!$B$2:$B$1201,$A575))</f>
        <v/>
      </c>
      <c r="Z575" s="19" t="str">
        <f aca="false">IF(OR($A575="",INDEX(_LEITURA!$Q$2:$Q$21,16)=0),"",SUMIFS(DECKS!$D$2:$D$1201,DECKS!$A$2:$A$1201,INDEX(_LEITURA!$P$2:$P$21,16),DECKS!$B$2:$B$1201,$A575))</f>
        <v/>
      </c>
      <c r="AA575" s="19" t="str">
        <f aca="false">IF(OR($A575="",INDEX(_LEITURA!$Q$2:$Q$21,17)=0),"",SUMIFS(DECKS!$D$2:$D$1201,DECKS!$A$2:$A$1201,INDEX(_LEITURA!$P$2:$P$21,17),DECKS!$B$2:$B$1201,$A575))</f>
        <v/>
      </c>
      <c r="AB575" s="19" t="str">
        <f aca="false">IF(OR($A575="",INDEX(_LEITURA!$Q$2:$Q$21,18)=0),"",SUMIFS(DECKS!$D$2:$D$1201,DECKS!$A$2:$A$1201,INDEX(_LEITURA!$P$2:$P$21,18),DECKS!$B$2:$B$1201,$A575))</f>
        <v/>
      </c>
      <c r="AC575" s="19" t="str">
        <f aca="false">IF(OR($A575="",INDEX(_LEITURA!$Q$2:$Q$21,19)=0),"",SUMIFS(DECKS!$D$2:$D$1201,DECKS!$A$2:$A$1201,INDEX(_LEITURA!$P$2:$P$21,19),DECKS!$B$2:$B$1201,$A575))</f>
        <v/>
      </c>
      <c r="AD575" s="19" t="str">
        <f aca="false">IF(OR($A575="",INDEX(_LEITURA!$Q$2:$Q$21,20)=0),"",SUMIFS(DECKS!$D$2:$D$1201,DECKS!$A$2:$A$1201,INDEX(_LEITURA!$P$2:$P$21,20),DECKS!$B$2:$B$1201,$A575))</f>
        <v/>
      </c>
      <c r="AE575" s="16" t="str">
        <f aca="false">IF(N(E575)&gt;0,MAX(AE$1:AE574)+1,"")</f>
        <v/>
      </c>
      <c r="AF575" s="11" t="str">
        <f aca="false">IF(A575="","",IFERROR(LEFT(A575,FIND("-",A575)-1),A575))</f>
        <v/>
      </c>
      <c r="AG575" s="11" t="str">
        <f aca="false">IF(AF575="","",IF(ISNUMBER(--MID(AF575,1,1)),0,IF(ISNUMBER(--MID(AF575,2,1)),1,IF(ISNUMBER(--MID(AF575,3,1)),2,IF(ISNUMBER(--MID(AF575,4,1)),3,MIN(LEN(AF575),4))))))</f>
        <v/>
      </c>
      <c r="AH575" s="11" t="str">
        <f aca="false">IF(A575="","",LEFT(AF575,AG575)&amp;REPT("0",4-AG575)&amp;RIGHT("000"&amp;IFERROR(VALUE(MID(AF575,AG575+1,9)),0),3)&amp;RIGHT("0000"&amp;IFERROR(VALUE(MID(A575,FIND("-",A575)+1,9)),0),4))</f>
        <v/>
      </c>
      <c r="AI575" s="11" t="str">
        <f aca="false">IF(OR(A575="",N(E575)&lt;=0),"",IF('FALTAS GERAL'!$M$1="Código","K"&amp;AH575&amp;RIGHT("00000"&amp;ROW(),5),IF('FALTAS GERAL'!$M$1="Nome","K"&amp;UPPER(SUBSTITUTE(SUBSTITUTE(SUBSTITUTE(B575,"*",""),"?",""),"~",""))&amp;"0"&amp;AH575&amp;RIGHT("00000"&amp;ROW(),5),IF('FALTAS GERAL'!$M$1="Falta (maior primeiro)","K"&amp;RIGHT("0000"&amp;(9999-E575),4)&amp;AH575&amp;RIGHT("00000"&amp;ROW(),5),IF('FALTAS GERAL'!$M$1="Nº de decks (maior primeiro)","K"&amp;RIGHT("00"&amp;(99-N(G575)),2)&amp;AH575&amp;RIGHT("00000"&amp;ROW(),5),"K"&amp;RIGHT("00000"&amp;ROW(),5))))))</f>
        <v/>
      </c>
      <c r="AJ575" s="11" t="str">
        <f aca="false">IF(AI575="","",COUNTIFS($AI$2:$AI$801,"&lt;"&amp;AI575,$E$2:$E$801,"&gt;0")+1)</f>
        <v/>
      </c>
      <c r="AK575" s="11" t="str">
        <f aca="false">IF(OR(A575="",N(E575)&lt;=0),"",COUNTIFS($AH$2:$AH$801,"&lt;"&amp;AH575,$E$2:$E$801,"&gt;0")+COUNTIFS($AH$2:AH575,AH575,$E$2:E575,"&gt;0"))</f>
        <v/>
      </c>
    </row>
    <row r="576" customFormat="false" ht="15" hidden="false" customHeight="false" outlineLevel="0" collapsed="false">
      <c r="A576" s="11" t="str">
        <f aca="false">IF(INVENTÁRIO!A576="","",INVENTÁRIO!A576)</f>
        <v/>
      </c>
      <c r="B576" s="11" t="str">
        <f aca="false">IF(A576="","",INVENTÁRIO!B576)</f>
        <v/>
      </c>
      <c r="C576" s="16" t="str">
        <f aca="false">IF(A576="","",INVENTÁRIO!C576)</f>
        <v/>
      </c>
      <c r="D576" s="14" t="str">
        <f aca="false">IF(A576="","",MAX(K576:AD576))</f>
        <v/>
      </c>
      <c r="E576" s="14" t="str">
        <f aca="false">IF(A576="","",MAX(0,D576-C576))</f>
        <v/>
      </c>
      <c r="F576" s="16" t="str">
        <f aca="false">IF(A576="","",IF(D576=0,"Fora dos decks",IF(E576=0,"Completo","Falta")))</f>
        <v/>
      </c>
      <c r="G576" s="16" t="str">
        <f aca="false">IF(A576="","",COUNTIF(K576:AD576,"&gt;0"))</f>
        <v/>
      </c>
      <c r="H576" s="16" t="str">
        <f aca="false">IF(A576="","",IF(G576&gt;1,"Sim",""))</f>
        <v/>
      </c>
      <c r="I576" s="18" t="str">
        <f aca="false">IF(A576="","",SUMIFS(DECKS!$D$2:$D$1201,DECKS!$B$2:$B$1201,A576))</f>
        <v/>
      </c>
      <c r="J576" s="18" t="str">
        <f aca="false">IF(A576="","",MAX(0,I576-C576))</f>
        <v/>
      </c>
      <c r="K576" s="19" t="str">
        <f aca="false">IF(OR($A576="",INDEX(_LEITURA!$Q$2:$Q$21,1)=0),"",SUMIFS(DECKS!$D$2:$D$1201,DECKS!$A$2:$A$1201,INDEX(_LEITURA!$P$2:$P$21,1),DECKS!$B$2:$B$1201,$A576))</f>
        <v/>
      </c>
      <c r="L576" s="19" t="str">
        <f aca="false">IF(OR($A576="",INDEX(_LEITURA!$Q$2:$Q$21,2)=0),"",SUMIFS(DECKS!$D$2:$D$1201,DECKS!$A$2:$A$1201,INDEX(_LEITURA!$P$2:$P$21,2),DECKS!$B$2:$B$1201,$A576))</f>
        <v/>
      </c>
      <c r="M576" s="19" t="str">
        <f aca="false">IF(OR($A576="",INDEX(_LEITURA!$Q$2:$Q$21,3)=0),"",SUMIFS(DECKS!$D$2:$D$1201,DECKS!$A$2:$A$1201,INDEX(_LEITURA!$P$2:$P$21,3),DECKS!$B$2:$B$1201,$A576))</f>
        <v/>
      </c>
      <c r="N576" s="19" t="str">
        <f aca="false">IF(OR($A576="",INDEX(_LEITURA!$Q$2:$Q$21,4)=0),"",SUMIFS(DECKS!$D$2:$D$1201,DECKS!$A$2:$A$1201,INDEX(_LEITURA!$P$2:$P$21,4),DECKS!$B$2:$B$1201,$A576))</f>
        <v/>
      </c>
      <c r="O576" s="19" t="str">
        <f aca="false">IF(OR($A576="",INDEX(_LEITURA!$Q$2:$Q$21,5)=0),"",SUMIFS(DECKS!$D$2:$D$1201,DECKS!$A$2:$A$1201,INDEX(_LEITURA!$P$2:$P$21,5),DECKS!$B$2:$B$1201,$A576))</f>
        <v/>
      </c>
      <c r="P576" s="19" t="str">
        <f aca="false">IF(OR($A576="",INDEX(_LEITURA!$Q$2:$Q$21,6)=0),"",SUMIFS(DECKS!$D$2:$D$1201,DECKS!$A$2:$A$1201,INDEX(_LEITURA!$P$2:$P$21,6),DECKS!$B$2:$B$1201,$A576))</f>
        <v/>
      </c>
      <c r="Q576" s="19" t="str">
        <f aca="false">IF(OR($A576="",INDEX(_LEITURA!$Q$2:$Q$21,7)=0),"",SUMIFS(DECKS!$D$2:$D$1201,DECKS!$A$2:$A$1201,INDEX(_LEITURA!$P$2:$P$21,7),DECKS!$B$2:$B$1201,$A576))</f>
        <v/>
      </c>
      <c r="R576" s="19" t="str">
        <f aca="false">IF(OR($A576="",INDEX(_LEITURA!$Q$2:$Q$21,8)=0),"",SUMIFS(DECKS!$D$2:$D$1201,DECKS!$A$2:$A$1201,INDEX(_LEITURA!$P$2:$P$21,8),DECKS!$B$2:$B$1201,$A576))</f>
        <v/>
      </c>
      <c r="S576" s="19" t="str">
        <f aca="false">IF(OR($A576="",INDEX(_LEITURA!$Q$2:$Q$21,9)=0),"",SUMIFS(DECKS!$D$2:$D$1201,DECKS!$A$2:$A$1201,INDEX(_LEITURA!$P$2:$P$21,9),DECKS!$B$2:$B$1201,$A576))</f>
        <v/>
      </c>
      <c r="T576" s="19" t="str">
        <f aca="false">IF(OR($A576="",INDEX(_LEITURA!$Q$2:$Q$21,10)=0),"",SUMIFS(DECKS!$D$2:$D$1201,DECKS!$A$2:$A$1201,INDEX(_LEITURA!$P$2:$P$21,10),DECKS!$B$2:$B$1201,$A576))</f>
        <v/>
      </c>
      <c r="U576" s="19" t="str">
        <f aca="false">IF(OR($A576="",INDEX(_LEITURA!$Q$2:$Q$21,11)=0),"",SUMIFS(DECKS!$D$2:$D$1201,DECKS!$A$2:$A$1201,INDEX(_LEITURA!$P$2:$P$21,11),DECKS!$B$2:$B$1201,$A576))</f>
        <v/>
      </c>
      <c r="V576" s="19" t="str">
        <f aca="false">IF(OR($A576="",INDEX(_LEITURA!$Q$2:$Q$21,12)=0),"",SUMIFS(DECKS!$D$2:$D$1201,DECKS!$A$2:$A$1201,INDEX(_LEITURA!$P$2:$P$21,12),DECKS!$B$2:$B$1201,$A576))</f>
        <v/>
      </c>
      <c r="W576" s="19" t="str">
        <f aca="false">IF(OR($A576="",INDEX(_LEITURA!$Q$2:$Q$21,13)=0),"",SUMIFS(DECKS!$D$2:$D$1201,DECKS!$A$2:$A$1201,INDEX(_LEITURA!$P$2:$P$21,13),DECKS!$B$2:$B$1201,$A576))</f>
        <v/>
      </c>
      <c r="X576" s="19" t="str">
        <f aca="false">IF(OR($A576="",INDEX(_LEITURA!$Q$2:$Q$21,14)=0),"",SUMIFS(DECKS!$D$2:$D$1201,DECKS!$A$2:$A$1201,INDEX(_LEITURA!$P$2:$P$21,14),DECKS!$B$2:$B$1201,$A576))</f>
        <v/>
      </c>
      <c r="Y576" s="19" t="str">
        <f aca="false">IF(OR($A576="",INDEX(_LEITURA!$Q$2:$Q$21,15)=0),"",SUMIFS(DECKS!$D$2:$D$1201,DECKS!$A$2:$A$1201,INDEX(_LEITURA!$P$2:$P$21,15),DECKS!$B$2:$B$1201,$A576))</f>
        <v/>
      </c>
      <c r="Z576" s="19" t="str">
        <f aca="false">IF(OR($A576="",INDEX(_LEITURA!$Q$2:$Q$21,16)=0),"",SUMIFS(DECKS!$D$2:$D$1201,DECKS!$A$2:$A$1201,INDEX(_LEITURA!$P$2:$P$21,16),DECKS!$B$2:$B$1201,$A576))</f>
        <v/>
      </c>
      <c r="AA576" s="19" t="str">
        <f aca="false">IF(OR($A576="",INDEX(_LEITURA!$Q$2:$Q$21,17)=0),"",SUMIFS(DECKS!$D$2:$D$1201,DECKS!$A$2:$A$1201,INDEX(_LEITURA!$P$2:$P$21,17),DECKS!$B$2:$B$1201,$A576))</f>
        <v/>
      </c>
      <c r="AB576" s="19" t="str">
        <f aca="false">IF(OR($A576="",INDEX(_LEITURA!$Q$2:$Q$21,18)=0),"",SUMIFS(DECKS!$D$2:$D$1201,DECKS!$A$2:$A$1201,INDEX(_LEITURA!$P$2:$P$21,18),DECKS!$B$2:$B$1201,$A576))</f>
        <v/>
      </c>
      <c r="AC576" s="19" t="str">
        <f aca="false">IF(OR($A576="",INDEX(_LEITURA!$Q$2:$Q$21,19)=0),"",SUMIFS(DECKS!$D$2:$D$1201,DECKS!$A$2:$A$1201,INDEX(_LEITURA!$P$2:$P$21,19),DECKS!$B$2:$B$1201,$A576))</f>
        <v/>
      </c>
      <c r="AD576" s="19" t="str">
        <f aca="false">IF(OR($A576="",INDEX(_LEITURA!$Q$2:$Q$21,20)=0),"",SUMIFS(DECKS!$D$2:$D$1201,DECKS!$A$2:$A$1201,INDEX(_LEITURA!$P$2:$P$21,20),DECKS!$B$2:$B$1201,$A576))</f>
        <v/>
      </c>
      <c r="AE576" s="16" t="str">
        <f aca="false">IF(N(E576)&gt;0,MAX(AE$1:AE575)+1,"")</f>
        <v/>
      </c>
      <c r="AF576" s="11" t="str">
        <f aca="false">IF(A576="","",IFERROR(LEFT(A576,FIND("-",A576)-1),A576))</f>
        <v/>
      </c>
      <c r="AG576" s="11" t="str">
        <f aca="false">IF(AF576="","",IF(ISNUMBER(--MID(AF576,1,1)),0,IF(ISNUMBER(--MID(AF576,2,1)),1,IF(ISNUMBER(--MID(AF576,3,1)),2,IF(ISNUMBER(--MID(AF576,4,1)),3,MIN(LEN(AF576),4))))))</f>
        <v/>
      </c>
      <c r="AH576" s="11" t="str">
        <f aca="false">IF(A576="","",LEFT(AF576,AG576)&amp;REPT("0",4-AG576)&amp;RIGHT("000"&amp;IFERROR(VALUE(MID(AF576,AG576+1,9)),0),3)&amp;RIGHT("0000"&amp;IFERROR(VALUE(MID(A576,FIND("-",A576)+1,9)),0),4))</f>
        <v/>
      </c>
      <c r="AI576" s="11" t="str">
        <f aca="false">IF(OR(A576="",N(E576)&lt;=0),"",IF('FALTAS GERAL'!$M$1="Código","K"&amp;AH576&amp;RIGHT("00000"&amp;ROW(),5),IF('FALTAS GERAL'!$M$1="Nome","K"&amp;UPPER(SUBSTITUTE(SUBSTITUTE(SUBSTITUTE(B576,"*",""),"?",""),"~",""))&amp;"0"&amp;AH576&amp;RIGHT("00000"&amp;ROW(),5),IF('FALTAS GERAL'!$M$1="Falta (maior primeiro)","K"&amp;RIGHT("0000"&amp;(9999-E576),4)&amp;AH576&amp;RIGHT("00000"&amp;ROW(),5),IF('FALTAS GERAL'!$M$1="Nº de decks (maior primeiro)","K"&amp;RIGHT("00"&amp;(99-N(G576)),2)&amp;AH576&amp;RIGHT("00000"&amp;ROW(),5),"K"&amp;RIGHT("00000"&amp;ROW(),5))))))</f>
        <v/>
      </c>
      <c r="AJ576" s="11" t="str">
        <f aca="false">IF(AI576="","",COUNTIFS($AI$2:$AI$801,"&lt;"&amp;AI576,$E$2:$E$801,"&gt;0")+1)</f>
        <v/>
      </c>
      <c r="AK576" s="11" t="str">
        <f aca="false">IF(OR(A576="",N(E576)&lt;=0),"",COUNTIFS($AH$2:$AH$801,"&lt;"&amp;AH576,$E$2:$E$801,"&gt;0")+COUNTIFS($AH$2:AH576,AH576,$E$2:E576,"&gt;0"))</f>
        <v/>
      </c>
    </row>
    <row r="577" customFormat="false" ht="15" hidden="false" customHeight="false" outlineLevel="0" collapsed="false">
      <c r="A577" s="11" t="str">
        <f aca="false">IF(INVENTÁRIO!A577="","",INVENTÁRIO!A577)</f>
        <v/>
      </c>
      <c r="B577" s="11" t="str">
        <f aca="false">IF(A577="","",INVENTÁRIO!B577)</f>
        <v/>
      </c>
      <c r="C577" s="16" t="str">
        <f aca="false">IF(A577="","",INVENTÁRIO!C577)</f>
        <v/>
      </c>
      <c r="D577" s="14" t="str">
        <f aca="false">IF(A577="","",MAX(K577:AD577))</f>
        <v/>
      </c>
      <c r="E577" s="14" t="str">
        <f aca="false">IF(A577="","",MAX(0,D577-C577))</f>
        <v/>
      </c>
      <c r="F577" s="16" t="str">
        <f aca="false">IF(A577="","",IF(D577=0,"Fora dos decks",IF(E577=0,"Completo","Falta")))</f>
        <v/>
      </c>
      <c r="G577" s="16" t="str">
        <f aca="false">IF(A577="","",COUNTIF(K577:AD577,"&gt;0"))</f>
        <v/>
      </c>
      <c r="H577" s="16" t="str">
        <f aca="false">IF(A577="","",IF(G577&gt;1,"Sim",""))</f>
        <v/>
      </c>
      <c r="I577" s="18" t="str">
        <f aca="false">IF(A577="","",SUMIFS(DECKS!$D$2:$D$1201,DECKS!$B$2:$B$1201,A577))</f>
        <v/>
      </c>
      <c r="J577" s="18" t="str">
        <f aca="false">IF(A577="","",MAX(0,I577-C577))</f>
        <v/>
      </c>
      <c r="K577" s="19" t="str">
        <f aca="false">IF(OR($A577="",INDEX(_LEITURA!$Q$2:$Q$21,1)=0),"",SUMIFS(DECKS!$D$2:$D$1201,DECKS!$A$2:$A$1201,INDEX(_LEITURA!$P$2:$P$21,1),DECKS!$B$2:$B$1201,$A577))</f>
        <v/>
      </c>
      <c r="L577" s="19" t="str">
        <f aca="false">IF(OR($A577="",INDEX(_LEITURA!$Q$2:$Q$21,2)=0),"",SUMIFS(DECKS!$D$2:$D$1201,DECKS!$A$2:$A$1201,INDEX(_LEITURA!$P$2:$P$21,2),DECKS!$B$2:$B$1201,$A577))</f>
        <v/>
      </c>
      <c r="M577" s="19" t="str">
        <f aca="false">IF(OR($A577="",INDEX(_LEITURA!$Q$2:$Q$21,3)=0),"",SUMIFS(DECKS!$D$2:$D$1201,DECKS!$A$2:$A$1201,INDEX(_LEITURA!$P$2:$P$21,3),DECKS!$B$2:$B$1201,$A577))</f>
        <v/>
      </c>
      <c r="N577" s="19" t="str">
        <f aca="false">IF(OR($A577="",INDEX(_LEITURA!$Q$2:$Q$21,4)=0),"",SUMIFS(DECKS!$D$2:$D$1201,DECKS!$A$2:$A$1201,INDEX(_LEITURA!$P$2:$P$21,4),DECKS!$B$2:$B$1201,$A577))</f>
        <v/>
      </c>
      <c r="O577" s="19" t="str">
        <f aca="false">IF(OR($A577="",INDEX(_LEITURA!$Q$2:$Q$21,5)=0),"",SUMIFS(DECKS!$D$2:$D$1201,DECKS!$A$2:$A$1201,INDEX(_LEITURA!$P$2:$P$21,5),DECKS!$B$2:$B$1201,$A577))</f>
        <v/>
      </c>
      <c r="P577" s="19" t="str">
        <f aca="false">IF(OR($A577="",INDEX(_LEITURA!$Q$2:$Q$21,6)=0),"",SUMIFS(DECKS!$D$2:$D$1201,DECKS!$A$2:$A$1201,INDEX(_LEITURA!$P$2:$P$21,6),DECKS!$B$2:$B$1201,$A577))</f>
        <v/>
      </c>
      <c r="Q577" s="19" t="str">
        <f aca="false">IF(OR($A577="",INDEX(_LEITURA!$Q$2:$Q$21,7)=0),"",SUMIFS(DECKS!$D$2:$D$1201,DECKS!$A$2:$A$1201,INDEX(_LEITURA!$P$2:$P$21,7),DECKS!$B$2:$B$1201,$A577))</f>
        <v/>
      </c>
      <c r="R577" s="19" t="str">
        <f aca="false">IF(OR($A577="",INDEX(_LEITURA!$Q$2:$Q$21,8)=0),"",SUMIFS(DECKS!$D$2:$D$1201,DECKS!$A$2:$A$1201,INDEX(_LEITURA!$P$2:$P$21,8),DECKS!$B$2:$B$1201,$A577))</f>
        <v/>
      </c>
      <c r="S577" s="19" t="str">
        <f aca="false">IF(OR($A577="",INDEX(_LEITURA!$Q$2:$Q$21,9)=0),"",SUMIFS(DECKS!$D$2:$D$1201,DECKS!$A$2:$A$1201,INDEX(_LEITURA!$P$2:$P$21,9),DECKS!$B$2:$B$1201,$A577))</f>
        <v/>
      </c>
      <c r="T577" s="19" t="str">
        <f aca="false">IF(OR($A577="",INDEX(_LEITURA!$Q$2:$Q$21,10)=0),"",SUMIFS(DECKS!$D$2:$D$1201,DECKS!$A$2:$A$1201,INDEX(_LEITURA!$P$2:$P$21,10),DECKS!$B$2:$B$1201,$A577))</f>
        <v/>
      </c>
      <c r="U577" s="19" t="str">
        <f aca="false">IF(OR($A577="",INDEX(_LEITURA!$Q$2:$Q$21,11)=0),"",SUMIFS(DECKS!$D$2:$D$1201,DECKS!$A$2:$A$1201,INDEX(_LEITURA!$P$2:$P$21,11),DECKS!$B$2:$B$1201,$A577))</f>
        <v/>
      </c>
      <c r="V577" s="19" t="str">
        <f aca="false">IF(OR($A577="",INDEX(_LEITURA!$Q$2:$Q$21,12)=0),"",SUMIFS(DECKS!$D$2:$D$1201,DECKS!$A$2:$A$1201,INDEX(_LEITURA!$P$2:$P$21,12),DECKS!$B$2:$B$1201,$A577))</f>
        <v/>
      </c>
      <c r="W577" s="19" t="str">
        <f aca="false">IF(OR($A577="",INDEX(_LEITURA!$Q$2:$Q$21,13)=0),"",SUMIFS(DECKS!$D$2:$D$1201,DECKS!$A$2:$A$1201,INDEX(_LEITURA!$P$2:$P$21,13),DECKS!$B$2:$B$1201,$A577))</f>
        <v/>
      </c>
      <c r="X577" s="19" t="str">
        <f aca="false">IF(OR($A577="",INDEX(_LEITURA!$Q$2:$Q$21,14)=0),"",SUMIFS(DECKS!$D$2:$D$1201,DECKS!$A$2:$A$1201,INDEX(_LEITURA!$P$2:$P$21,14),DECKS!$B$2:$B$1201,$A577))</f>
        <v/>
      </c>
      <c r="Y577" s="19" t="str">
        <f aca="false">IF(OR($A577="",INDEX(_LEITURA!$Q$2:$Q$21,15)=0),"",SUMIFS(DECKS!$D$2:$D$1201,DECKS!$A$2:$A$1201,INDEX(_LEITURA!$P$2:$P$21,15),DECKS!$B$2:$B$1201,$A577))</f>
        <v/>
      </c>
      <c r="Z577" s="19" t="str">
        <f aca="false">IF(OR($A577="",INDEX(_LEITURA!$Q$2:$Q$21,16)=0),"",SUMIFS(DECKS!$D$2:$D$1201,DECKS!$A$2:$A$1201,INDEX(_LEITURA!$P$2:$P$21,16),DECKS!$B$2:$B$1201,$A577))</f>
        <v/>
      </c>
      <c r="AA577" s="19" t="str">
        <f aca="false">IF(OR($A577="",INDEX(_LEITURA!$Q$2:$Q$21,17)=0),"",SUMIFS(DECKS!$D$2:$D$1201,DECKS!$A$2:$A$1201,INDEX(_LEITURA!$P$2:$P$21,17),DECKS!$B$2:$B$1201,$A577))</f>
        <v/>
      </c>
      <c r="AB577" s="19" t="str">
        <f aca="false">IF(OR($A577="",INDEX(_LEITURA!$Q$2:$Q$21,18)=0),"",SUMIFS(DECKS!$D$2:$D$1201,DECKS!$A$2:$A$1201,INDEX(_LEITURA!$P$2:$P$21,18),DECKS!$B$2:$B$1201,$A577))</f>
        <v/>
      </c>
      <c r="AC577" s="19" t="str">
        <f aca="false">IF(OR($A577="",INDEX(_LEITURA!$Q$2:$Q$21,19)=0),"",SUMIFS(DECKS!$D$2:$D$1201,DECKS!$A$2:$A$1201,INDEX(_LEITURA!$P$2:$P$21,19),DECKS!$B$2:$B$1201,$A577))</f>
        <v/>
      </c>
      <c r="AD577" s="19" t="str">
        <f aca="false">IF(OR($A577="",INDEX(_LEITURA!$Q$2:$Q$21,20)=0),"",SUMIFS(DECKS!$D$2:$D$1201,DECKS!$A$2:$A$1201,INDEX(_LEITURA!$P$2:$P$21,20),DECKS!$B$2:$B$1201,$A577))</f>
        <v/>
      </c>
      <c r="AE577" s="16" t="str">
        <f aca="false">IF(N(E577)&gt;0,MAX(AE$1:AE576)+1,"")</f>
        <v/>
      </c>
      <c r="AF577" s="11" t="str">
        <f aca="false">IF(A577="","",IFERROR(LEFT(A577,FIND("-",A577)-1),A577))</f>
        <v/>
      </c>
      <c r="AG577" s="11" t="str">
        <f aca="false">IF(AF577="","",IF(ISNUMBER(--MID(AF577,1,1)),0,IF(ISNUMBER(--MID(AF577,2,1)),1,IF(ISNUMBER(--MID(AF577,3,1)),2,IF(ISNUMBER(--MID(AF577,4,1)),3,MIN(LEN(AF577),4))))))</f>
        <v/>
      </c>
      <c r="AH577" s="11" t="str">
        <f aca="false">IF(A577="","",LEFT(AF577,AG577)&amp;REPT("0",4-AG577)&amp;RIGHT("000"&amp;IFERROR(VALUE(MID(AF577,AG577+1,9)),0),3)&amp;RIGHT("0000"&amp;IFERROR(VALUE(MID(A577,FIND("-",A577)+1,9)),0),4))</f>
        <v/>
      </c>
      <c r="AI577" s="11" t="str">
        <f aca="false">IF(OR(A577="",N(E577)&lt;=0),"",IF('FALTAS GERAL'!$M$1="Código","K"&amp;AH577&amp;RIGHT("00000"&amp;ROW(),5),IF('FALTAS GERAL'!$M$1="Nome","K"&amp;UPPER(SUBSTITUTE(SUBSTITUTE(SUBSTITUTE(B577,"*",""),"?",""),"~",""))&amp;"0"&amp;AH577&amp;RIGHT("00000"&amp;ROW(),5),IF('FALTAS GERAL'!$M$1="Falta (maior primeiro)","K"&amp;RIGHT("0000"&amp;(9999-E577),4)&amp;AH577&amp;RIGHT("00000"&amp;ROW(),5),IF('FALTAS GERAL'!$M$1="Nº de decks (maior primeiro)","K"&amp;RIGHT("00"&amp;(99-N(G577)),2)&amp;AH577&amp;RIGHT("00000"&amp;ROW(),5),"K"&amp;RIGHT("00000"&amp;ROW(),5))))))</f>
        <v/>
      </c>
      <c r="AJ577" s="11" t="str">
        <f aca="false">IF(AI577="","",COUNTIFS($AI$2:$AI$801,"&lt;"&amp;AI577,$E$2:$E$801,"&gt;0")+1)</f>
        <v/>
      </c>
      <c r="AK577" s="11" t="str">
        <f aca="false">IF(OR(A577="",N(E577)&lt;=0),"",COUNTIFS($AH$2:$AH$801,"&lt;"&amp;AH577,$E$2:$E$801,"&gt;0")+COUNTIFS($AH$2:AH577,AH577,$E$2:E577,"&gt;0"))</f>
        <v/>
      </c>
    </row>
    <row r="578" customFormat="false" ht="15" hidden="false" customHeight="false" outlineLevel="0" collapsed="false">
      <c r="A578" s="11" t="str">
        <f aca="false">IF(INVENTÁRIO!A578="","",INVENTÁRIO!A578)</f>
        <v/>
      </c>
      <c r="B578" s="11" t="str">
        <f aca="false">IF(A578="","",INVENTÁRIO!B578)</f>
        <v/>
      </c>
      <c r="C578" s="16" t="str">
        <f aca="false">IF(A578="","",INVENTÁRIO!C578)</f>
        <v/>
      </c>
      <c r="D578" s="14" t="str">
        <f aca="false">IF(A578="","",MAX(K578:AD578))</f>
        <v/>
      </c>
      <c r="E578" s="14" t="str">
        <f aca="false">IF(A578="","",MAX(0,D578-C578))</f>
        <v/>
      </c>
      <c r="F578" s="16" t="str">
        <f aca="false">IF(A578="","",IF(D578=0,"Fora dos decks",IF(E578=0,"Completo","Falta")))</f>
        <v/>
      </c>
      <c r="G578" s="16" t="str">
        <f aca="false">IF(A578="","",COUNTIF(K578:AD578,"&gt;0"))</f>
        <v/>
      </c>
      <c r="H578" s="16" t="str">
        <f aca="false">IF(A578="","",IF(G578&gt;1,"Sim",""))</f>
        <v/>
      </c>
      <c r="I578" s="18" t="str">
        <f aca="false">IF(A578="","",SUMIFS(DECKS!$D$2:$D$1201,DECKS!$B$2:$B$1201,A578))</f>
        <v/>
      </c>
      <c r="J578" s="18" t="str">
        <f aca="false">IF(A578="","",MAX(0,I578-C578))</f>
        <v/>
      </c>
      <c r="K578" s="19" t="str">
        <f aca="false">IF(OR($A578="",INDEX(_LEITURA!$Q$2:$Q$21,1)=0),"",SUMIFS(DECKS!$D$2:$D$1201,DECKS!$A$2:$A$1201,INDEX(_LEITURA!$P$2:$P$21,1),DECKS!$B$2:$B$1201,$A578))</f>
        <v/>
      </c>
      <c r="L578" s="19" t="str">
        <f aca="false">IF(OR($A578="",INDEX(_LEITURA!$Q$2:$Q$21,2)=0),"",SUMIFS(DECKS!$D$2:$D$1201,DECKS!$A$2:$A$1201,INDEX(_LEITURA!$P$2:$P$21,2),DECKS!$B$2:$B$1201,$A578))</f>
        <v/>
      </c>
      <c r="M578" s="19" t="str">
        <f aca="false">IF(OR($A578="",INDEX(_LEITURA!$Q$2:$Q$21,3)=0),"",SUMIFS(DECKS!$D$2:$D$1201,DECKS!$A$2:$A$1201,INDEX(_LEITURA!$P$2:$P$21,3),DECKS!$B$2:$B$1201,$A578))</f>
        <v/>
      </c>
      <c r="N578" s="19" t="str">
        <f aca="false">IF(OR($A578="",INDEX(_LEITURA!$Q$2:$Q$21,4)=0),"",SUMIFS(DECKS!$D$2:$D$1201,DECKS!$A$2:$A$1201,INDEX(_LEITURA!$P$2:$P$21,4),DECKS!$B$2:$B$1201,$A578))</f>
        <v/>
      </c>
      <c r="O578" s="19" t="str">
        <f aca="false">IF(OR($A578="",INDEX(_LEITURA!$Q$2:$Q$21,5)=0),"",SUMIFS(DECKS!$D$2:$D$1201,DECKS!$A$2:$A$1201,INDEX(_LEITURA!$P$2:$P$21,5),DECKS!$B$2:$B$1201,$A578))</f>
        <v/>
      </c>
      <c r="P578" s="19" t="str">
        <f aca="false">IF(OR($A578="",INDEX(_LEITURA!$Q$2:$Q$21,6)=0),"",SUMIFS(DECKS!$D$2:$D$1201,DECKS!$A$2:$A$1201,INDEX(_LEITURA!$P$2:$P$21,6),DECKS!$B$2:$B$1201,$A578))</f>
        <v/>
      </c>
      <c r="Q578" s="19" t="str">
        <f aca="false">IF(OR($A578="",INDEX(_LEITURA!$Q$2:$Q$21,7)=0),"",SUMIFS(DECKS!$D$2:$D$1201,DECKS!$A$2:$A$1201,INDEX(_LEITURA!$P$2:$P$21,7),DECKS!$B$2:$B$1201,$A578))</f>
        <v/>
      </c>
      <c r="R578" s="19" t="str">
        <f aca="false">IF(OR($A578="",INDEX(_LEITURA!$Q$2:$Q$21,8)=0),"",SUMIFS(DECKS!$D$2:$D$1201,DECKS!$A$2:$A$1201,INDEX(_LEITURA!$P$2:$P$21,8),DECKS!$B$2:$B$1201,$A578))</f>
        <v/>
      </c>
      <c r="S578" s="19" t="str">
        <f aca="false">IF(OR($A578="",INDEX(_LEITURA!$Q$2:$Q$21,9)=0),"",SUMIFS(DECKS!$D$2:$D$1201,DECKS!$A$2:$A$1201,INDEX(_LEITURA!$P$2:$P$21,9),DECKS!$B$2:$B$1201,$A578))</f>
        <v/>
      </c>
      <c r="T578" s="19" t="str">
        <f aca="false">IF(OR($A578="",INDEX(_LEITURA!$Q$2:$Q$21,10)=0),"",SUMIFS(DECKS!$D$2:$D$1201,DECKS!$A$2:$A$1201,INDEX(_LEITURA!$P$2:$P$21,10),DECKS!$B$2:$B$1201,$A578))</f>
        <v/>
      </c>
      <c r="U578" s="19" t="str">
        <f aca="false">IF(OR($A578="",INDEX(_LEITURA!$Q$2:$Q$21,11)=0),"",SUMIFS(DECKS!$D$2:$D$1201,DECKS!$A$2:$A$1201,INDEX(_LEITURA!$P$2:$P$21,11),DECKS!$B$2:$B$1201,$A578))</f>
        <v/>
      </c>
      <c r="V578" s="19" t="str">
        <f aca="false">IF(OR($A578="",INDEX(_LEITURA!$Q$2:$Q$21,12)=0),"",SUMIFS(DECKS!$D$2:$D$1201,DECKS!$A$2:$A$1201,INDEX(_LEITURA!$P$2:$P$21,12),DECKS!$B$2:$B$1201,$A578))</f>
        <v/>
      </c>
      <c r="W578" s="19" t="str">
        <f aca="false">IF(OR($A578="",INDEX(_LEITURA!$Q$2:$Q$21,13)=0),"",SUMIFS(DECKS!$D$2:$D$1201,DECKS!$A$2:$A$1201,INDEX(_LEITURA!$P$2:$P$21,13),DECKS!$B$2:$B$1201,$A578))</f>
        <v/>
      </c>
      <c r="X578" s="19" t="str">
        <f aca="false">IF(OR($A578="",INDEX(_LEITURA!$Q$2:$Q$21,14)=0),"",SUMIFS(DECKS!$D$2:$D$1201,DECKS!$A$2:$A$1201,INDEX(_LEITURA!$P$2:$P$21,14),DECKS!$B$2:$B$1201,$A578))</f>
        <v/>
      </c>
      <c r="Y578" s="19" t="str">
        <f aca="false">IF(OR($A578="",INDEX(_LEITURA!$Q$2:$Q$21,15)=0),"",SUMIFS(DECKS!$D$2:$D$1201,DECKS!$A$2:$A$1201,INDEX(_LEITURA!$P$2:$P$21,15),DECKS!$B$2:$B$1201,$A578))</f>
        <v/>
      </c>
      <c r="Z578" s="19" t="str">
        <f aca="false">IF(OR($A578="",INDEX(_LEITURA!$Q$2:$Q$21,16)=0),"",SUMIFS(DECKS!$D$2:$D$1201,DECKS!$A$2:$A$1201,INDEX(_LEITURA!$P$2:$P$21,16),DECKS!$B$2:$B$1201,$A578))</f>
        <v/>
      </c>
      <c r="AA578" s="19" t="str">
        <f aca="false">IF(OR($A578="",INDEX(_LEITURA!$Q$2:$Q$21,17)=0),"",SUMIFS(DECKS!$D$2:$D$1201,DECKS!$A$2:$A$1201,INDEX(_LEITURA!$P$2:$P$21,17),DECKS!$B$2:$B$1201,$A578))</f>
        <v/>
      </c>
      <c r="AB578" s="19" t="str">
        <f aca="false">IF(OR($A578="",INDEX(_LEITURA!$Q$2:$Q$21,18)=0),"",SUMIFS(DECKS!$D$2:$D$1201,DECKS!$A$2:$A$1201,INDEX(_LEITURA!$P$2:$P$21,18),DECKS!$B$2:$B$1201,$A578))</f>
        <v/>
      </c>
      <c r="AC578" s="19" t="str">
        <f aca="false">IF(OR($A578="",INDEX(_LEITURA!$Q$2:$Q$21,19)=0),"",SUMIFS(DECKS!$D$2:$D$1201,DECKS!$A$2:$A$1201,INDEX(_LEITURA!$P$2:$P$21,19),DECKS!$B$2:$B$1201,$A578))</f>
        <v/>
      </c>
      <c r="AD578" s="19" t="str">
        <f aca="false">IF(OR($A578="",INDEX(_LEITURA!$Q$2:$Q$21,20)=0),"",SUMIFS(DECKS!$D$2:$D$1201,DECKS!$A$2:$A$1201,INDEX(_LEITURA!$P$2:$P$21,20),DECKS!$B$2:$B$1201,$A578))</f>
        <v/>
      </c>
      <c r="AE578" s="16" t="str">
        <f aca="false">IF(N(E578)&gt;0,MAX(AE$1:AE577)+1,"")</f>
        <v/>
      </c>
      <c r="AF578" s="11" t="str">
        <f aca="false">IF(A578="","",IFERROR(LEFT(A578,FIND("-",A578)-1),A578))</f>
        <v/>
      </c>
      <c r="AG578" s="11" t="str">
        <f aca="false">IF(AF578="","",IF(ISNUMBER(--MID(AF578,1,1)),0,IF(ISNUMBER(--MID(AF578,2,1)),1,IF(ISNUMBER(--MID(AF578,3,1)),2,IF(ISNUMBER(--MID(AF578,4,1)),3,MIN(LEN(AF578),4))))))</f>
        <v/>
      </c>
      <c r="AH578" s="11" t="str">
        <f aca="false">IF(A578="","",LEFT(AF578,AG578)&amp;REPT("0",4-AG578)&amp;RIGHT("000"&amp;IFERROR(VALUE(MID(AF578,AG578+1,9)),0),3)&amp;RIGHT("0000"&amp;IFERROR(VALUE(MID(A578,FIND("-",A578)+1,9)),0),4))</f>
        <v/>
      </c>
      <c r="AI578" s="11" t="str">
        <f aca="false">IF(OR(A578="",N(E578)&lt;=0),"",IF('FALTAS GERAL'!$M$1="Código","K"&amp;AH578&amp;RIGHT("00000"&amp;ROW(),5),IF('FALTAS GERAL'!$M$1="Nome","K"&amp;UPPER(SUBSTITUTE(SUBSTITUTE(SUBSTITUTE(B578,"*",""),"?",""),"~",""))&amp;"0"&amp;AH578&amp;RIGHT("00000"&amp;ROW(),5),IF('FALTAS GERAL'!$M$1="Falta (maior primeiro)","K"&amp;RIGHT("0000"&amp;(9999-E578),4)&amp;AH578&amp;RIGHT("00000"&amp;ROW(),5),IF('FALTAS GERAL'!$M$1="Nº de decks (maior primeiro)","K"&amp;RIGHT("00"&amp;(99-N(G578)),2)&amp;AH578&amp;RIGHT("00000"&amp;ROW(),5),"K"&amp;RIGHT("00000"&amp;ROW(),5))))))</f>
        <v/>
      </c>
      <c r="AJ578" s="11" t="str">
        <f aca="false">IF(AI578="","",COUNTIFS($AI$2:$AI$801,"&lt;"&amp;AI578,$E$2:$E$801,"&gt;0")+1)</f>
        <v/>
      </c>
      <c r="AK578" s="11" t="str">
        <f aca="false">IF(OR(A578="",N(E578)&lt;=0),"",COUNTIFS($AH$2:$AH$801,"&lt;"&amp;AH578,$E$2:$E$801,"&gt;0")+COUNTIFS($AH$2:AH578,AH578,$E$2:E578,"&gt;0"))</f>
        <v/>
      </c>
    </row>
    <row r="579" customFormat="false" ht="15" hidden="false" customHeight="false" outlineLevel="0" collapsed="false">
      <c r="A579" s="11" t="str">
        <f aca="false">IF(INVENTÁRIO!A579="","",INVENTÁRIO!A579)</f>
        <v/>
      </c>
      <c r="B579" s="11" t="str">
        <f aca="false">IF(A579="","",INVENTÁRIO!B579)</f>
        <v/>
      </c>
      <c r="C579" s="16" t="str">
        <f aca="false">IF(A579="","",INVENTÁRIO!C579)</f>
        <v/>
      </c>
      <c r="D579" s="14" t="str">
        <f aca="false">IF(A579="","",MAX(K579:AD579))</f>
        <v/>
      </c>
      <c r="E579" s="14" t="str">
        <f aca="false">IF(A579="","",MAX(0,D579-C579))</f>
        <v/>
      </c>
      <c r="F579" s="16" t="str">
        <f aca="false">IF(A579="","",IF(D579=0,"Fora dos decks",IF(E579=0,"Completo","Falta")))</f>
        <v/>
      </c>
      <c r="G579" s="16" t="str">
        <f aca="false">IF(A579="","",COUNTIF(K579:AD579,"&gt;0"))</f>
        <v/>
      </c>
      <c r="H579" s="16" t="str">
        <f aca="false">IF(A579="","",IF(G579&gt;1,"Sim",""))</f>
        <v/>
      </c>
      <c r="I579" s="18" t="str">
        <f aca="false">IF(A579="","",SUMIFS(DECKS!$D$2:$D$1201,DECKS!$B$2:$B$1201,A579))</f>
        <v/>
      </c>
      <c r="J579" s="18" t="str">
        <f aca="false">IF(A579="","",MAX(0,I579-C579))</f>
        <v/>
      </c>
      <c r="K579" s="19" t="str">
        <f aca="false">IF(OR($A579="",INDEX(_LEITURA!$Q$2:$Q$21,1)=0),"",SUMIFS(DECKS!$D$2:$D$1201,DECKS!$A$2:$A$1201,INDEX(_LEITURA!$P$2:$P$21,1),DECKS!$B$2:$B$1201,$A579))</f>
        <v/>
      </c>
      <c r="L579" s="19" t="str">
        <f aca="false">IF(OR($A579="",INDEX(_LEITURA!$Q$2:$Q$21,2)=0),"",SUMIFS(DECKS!$D$2:$D$1201,DECKS!$A$2:$A$1201,INDEX(_LEITURA!$P$2:$P$21,2),DECKS!$B$2:$B$1201,$A579))</f>
        <v/>
      </c>
      <c r="M579" s="19" t="str">
        <f aca="false">IF(OR($A579="",INDEX(_LEITURA!$Q$2:$Q$21,3)=0),"",SUMIFS(DECKS!$D$2:$D$1201,DECKS!$A$2:$A$1201,INDEX(_LEITURA!$P$2:$P$21,3),DECKS!$B$2:$B$1201,$A579))</f>
        <v/>
      </c>
      <c r="N579" s="19" t="str">
        <f aca="false">IF(OR($A579="",INDEX(_LEITURA!$Q$2:$Q$21,4)=0),"",SUMIFS(DECKS!$D$2:$D$1201,DECKS!$A$2:$A$1201,INDEX(_LEITURA!$P$2:$P$21,4),DECKS!$B$2:$B$1201,$A579))</f>
        <v/>
      </c>
      <c r="O579" s="19" t="str">
        <f aca="false">IF(OR($A579="",INDEX(_LEITURA!$Q$2:$Q$21,5)=0),"",SUMIFS(DECKS!$D$2:$D$1201,DECKS!$A$2:$A$1201,INDEX(_LEITURA!$P$2:$P$21,5),DECKS!$B$2:$B$1201,$A579))</f>
        <v/>
      </c>
      <c r="P579" s="19" t="str">
        <f aca="false">IF(OR($A579="",INDEX(_LEITURA!$Q$2:$Q$21,6)=0),"",SUMIFS(DECKS!$D$2:$D$1201,DECKS!$A$2:$A$1201,INDEX(_LEITURA!$P$2:$P$21,6),DECKS!$B$2:$B$1201,$A579))</f>
        <v/>
      </c>
      <c r="Q579" s="19" t="str">
        <f aca="false">IF(OR($A579="",INDEX(_LEITURA!$Q$2:$Q$21,7)=0),"",SUMIFS(DECKS!$D$2:$D$1201,DECKS!$A$2:$A$1201,INDEX(_LEITURA!$P$2:$P$21,7),DECKS!$B$2:$B$1201,$A579))</f>
        <v/>
      </c>
      <c r="R579" s="19" t="str">
        <f aca="false">IF(OR($A579="",INDEX(_LEITURA!$Q$2:$Q$21,8)=0),"",SUMIFS(DECKS!$D$2:$D$1201,DECKS!$A$2:$A$1201,INDEX(_LEITURA!$P$2:$P$21,8),DECKS!$B$2:$B$1201,$A579))</f>
        <v/>
      </c>
      <c r="S579" s="19" t="str">
        <f aca="false">IF(OR($A579="",INDEX(_LEITURA!$Q$2:$Q$21,9)=0),"",SUMIFS(DECKS!$D$2:$D$1201,DECKS!$A$2:$A$1201,INDEX(_LEITURA!$P$2:$P$21,9),DECKS!$B$2:$B$1201,$A579))</f>
        <v/>
      </c>
      <c r="T579" s="19" t="str">
        <f aca="false">IF(OR($A579="",INDEX(_LEITURA!$Q$2:$Q$21,10)=0),"",SUMIFS(DECKS!$D$2:$D$1201,DECKS!$A$2:$A$1201,INDEX(_LEITURA!$P$2:$P$21,10),DECKS!$B$2:$B$1201,$A579))</f>
        <v/>
      </c>
      <c r="U579" s="19" t="str">
        <f aca="false">IF(OR($A579="",INDEX(_LEITURA!$Q$2:$Q$21,11)=0),"",SUMIFS(DECKS!$D$2:$D$1201,DECKS!$A$2:$A$1201,INDEX(_LEITURA!$P$2:$P$21,11),DECKS!$B$2:$B$1201,$A579))</f>
        <v/>
      </c>
      <c r="V579" s="19" t="str">
        <f aca="false">IF(OR($A579="",INDEX(_LEITURA!$Q$2:$Q$21,12)=0),"",SUMIFS(DECKS!$D$2:$D$1201,DECKS!$A$2:$A$1201,INDEX(_LEITURA!$P$2:$P$21,12),DECKS!$B$2:$B$1201,$A579))</f>
        <v/>
      </c>
      <c r="W579" s="19" t="str">
        <f aca="false">IF(OR($A579="",INDEX(_LEITURA!$Q$2:$Q$21,13)=0),"",SUMIFS(DECKS!$D$2:$D$1201,DECKS!$A$2:$A$1201,INDEX(_LEITURA!$P$2:$P$21,13),DECKS!$B$2:$B$1201,$A579))</f>
        <v/>
      </c>
      <c r="X579" s="19" t="str">
        <f aca="false">IF(OR($A579="",INDEX(_LEITURA!$Q$2:$Q$21,14)=0),"",SUMIFS(DECKS!$D$2:$D$1201,DECKS!$A$2:$A$1201,INDEX(_LEITURA!$P$2:$P$21,14),DECKS!$B$2:$B$1201,$A579))</f>
        <v/>
      </c>
      <c r="Y579" s="19" t="str">
        <f aca="false">IF(OR($A579="",INDEX(_LEITURA!$Q$2:$Q$21,15)=0),"",SUMIFS(DECKS!$D$2:$D$1201,DECKS!$A$2:$A$1201,INDEX(_LEITURA!$P$2:$P$21,15),DECKS!$B$2:$B$1201,$A579))</f>
        <v/>
      </c>
      <c r="Z579" s="19" t="str">
        <f aca="false">IF(OR($A579="",INDEX(_LEITURA!$Q$2:$Q$21,16)=0),"",SUMIFS(DECKS!$D$2:$D$1201,DECKS!$A$2:$A$1201,INDEX(_LEITURA!$P$2:$P$21,16),DECKS!$B$2:$B$1201,$A579))</f>
        <v/>
      </c>
      <c r="AA579" s="19" t="str">
        <f aca="false">IF(OR($A579="",INDEX(_LEITURA!$Q$2:$Q$21,17)=0),"",SUMIFS(DECKS!$D$2:$D$1201,DECKS!$A$2:$A$1201,INDEX(_LEITURA!$P$2:$P$21,17),DECKS!$B$2:$B$1201,$A579))</f>
        <v/>
      </c>
      <c r="AB579" s="19" t="str">
        <f aca="false">IF(OR($A579="",INDEX(_LEITURA!$Q$2:$Q$21,18)=0),"",SUMIFS(DECKS!$D$2:$D$1201,DECKS!$A$2:$A$1201,INDEX(_LEITURA!$P$2:$P$21,18),DECKS!$B$2:$B$1201,$A579))</f>
        <v/>
      </c>
      <c r="AC579" s="19" t="str">
        <f aca="false">IF(OR($A579="",INDEX(_LEITURA!$Q$2:$Q$21,19)=0),"",SUMIFS(DECKS!$D$2:$D$1201,DECKS!$A$2:$A$1201,INDEX(_LEITURA!$P$2:$P$21,19),DECKS!$B$2:$B$1201,$A579))</f>
        <v/>
      </c>
      <c r="AD579" s="19" t="str">
        <f aca="false">IF(OR($A579="",INDEX(_LEITURA!$Q$2:$Q$21,20)=0),"",SUMIFS(DECKS!$D$2:$D$1201,DECKS!$A$2:$A$1201,INDEX(_LEITURA!$P$2:$P$21,20),DECKS!$B$2:$B$1201,$A579))</f>
        <v/>
      </c>
      <c r="AE579" s="16" t="str">
        <f aca="false">IF(N(E579)&gt;0,MAX(AE$1:AE578)+1,"")</f>
        <v/>
      </c>
      <c r="AF579" s="11" t="str">
        <f aca="false">IF(A579="","",IFERROR(LEFT(A579,FIND("-",A579)-1),A579))</f>
        <v/>
      </c>
      <c r="AG579" s="11" t="str">
        <f aca="false">IF(AF579="","",IF(ISNUMBER(--MID(AF579,1,1)),0,IF(ISNUMBER(--MID(AF579,2,1)),1,IF(ISNUMBER(--MID(AF579,3,1)),2,IF(ISNUMBER(--MID(AF579,4,1)),3,MIN(LEN(AF579),4))))))</f>
        <v/>
      </c>
      <c r="AH579" s="11" t="str">
        <f aca="false">IF(A579="","",LEFT(AF579,AG579)&amp;REPT("0",4-AG579)&amp;RIGHT("000"&amp;IFERROR(VALUE(MID(AF579,AG579+1,9)),0),3)&amp;RIGHT("0000"&amp;IFERROR(VALUE(MID(A579,FIND("-",A579)+1,9)),0),4))</f>
        <v/>
      </c>
      <c r="AI579" s="11" t="str">
        <f aca="false">IF(OR(A579="",N(E579)&lt;=0),"",IF('FALTAS GERAL'!$M$1="Código","K"&amp;AH579&amp;RIGHT("00000"&amp;ROW(),5),IF('FALTAS GERAL'!$M$1="Nome","K"&amp;UPPER(SUBSTITUTE(SUBSTITUTE(SUBSTITUTE(B579,"*",""),"?",""),"~",""))&amp;"0"&amp;AH579&amp;RIGHT("00000"&amp;ROW(),5),IF('FALTAS GERAL'!$M$1="Falta (maior primeiro)","K"&amp;RIGHT("0000"&amp;(9999-E579),4)&amp;AH579&amp;RIGHT("00000"&amp;ROW(),5),IF('FALTAS GERAL'!$M$1="Nº de decks (maior primeiro)","K"&amp;RIGHT("00"&amp;(99-N(G579)),2)&amp;AH579&amp;RIGHT("00000"&amp;ROW(),5),"K"&amp;RIGHT("00000"&amp;ROW(),5))))))</f>
        <v/>
      </c>
      <c r="AJ579" s="11" t="str">
        <f aca="false">IF(AI579="","",COUNTIFS($AI$2:$AI$801,"&lt;"&amp;AI579,$E$2:$E$801,"&gt;0")+1)</f>
        <v/>
      </c>
      <c r="AK579" s="11" t="str">
        <f aca="false">IF(OR(A579="",N(E579)&lt;=0),"",COUNTIFS($AH$2:$AH$801,"&lt;"&amp;AH579,$E$2:$E$801,"&gt;0")+COUNTIFS($AH$2:AH579,AH579,$E$2:E579,"&gt;0"))</f>
        <v/>
      </c>
    </row>
    <row r="580" customFormat="false" ht="15" hidden="false" customHeight="false" outlineLevel="0" collapsed="false">
      <c r="A580" s="11" t="str">
        <f aca="false">IF(INVENTÁRIO!A580="","",INVENTÁRIO!A580)</f>
        <v/>
      </c>
      <c r="B580" s="11" t="str">
        <f aca="false">IF(A580="","",INVENTÁRIO!B580)</f>
        <v/>
      </c>
      <c r="C580" s="16" t="str">
        <f aca="false">IF(A580="","",INVENTÁRIO!C580)</f>
        <v/>
      </c>
      <c r="D580" s="14" t="str">
        <f aca="false">IF(A580="","",MAX(K580:AD580))</f>
        <v/>
      </c>
      <c r="E580" s="14" t="str">
        <f aca="false">IF(A580="","",MAX(0,D580-C580))</f>
        <v/>
      </c>
      <c r="F580" s="16" t="str">
        <f aca="false">IF(A580="","",IF(D580=0,"Fora dos decks",IF(E580=0,"Completo","Falta")))</f>
        <v/>
      </c>
      <c r="G580" s="16" t="str">
        <f aca="false">IF(A580="","",COUNTIF(K580:AD580,"&gt;0"))</f>
        <v/>
      </c>
      <c r="H580" s="16" t="str">
        <f aca="false">IF(A580="","",IF(G580&gt;1,"Sim",""))</f>
        <v/>
      </c>
      <c r="I580" s="18" t="str">
        <f aca="false">IF(A580="","",SUMIFS(DECKS!$D$2:$D$1201,DECKS!$B$2:$B$1201,A580))</f>
        <v/>
      </c>
      <c r="J580" s="18" t="str">
        <f aca="false">IF(A580="","",MAX(0,I580-C580))</f>
        <v/>
      </c>
      <c r="K580" s="19" t="str">
        <f aca="false">IF(OR($A580="",INDEX(_LEITURA!$Q$2:$Q$21,1)=0),"",SUMIFS(DECKS!$D$2:$D$1201,DECKS!$A$2:$A$1201,INDEX(_LEITURA!$P$2:$P$21,1),DECKS!$B$2:$B$1201,$A580))</f>
        <v/>
      </c>
      <c r="L580" s="19" t="str">
        <f aca="false">IF(OR($A580="",INDEX(_LEITURA!$Q$2:$Q$21,2)=0),"",SUMIFS(DECKS!$D$2:$D$1201,DECKS!$A$2:$A$1201,INDEX(_LEITURA!$P$2:$P$21,2),DECKS!$B$2:$B$1201,$A580))</f>
        <v/>
      </c>
      <c r="M580" s="19" t="str">
        <f aca="false">IF(OR($A580="",INDEX(_LEITURA!$Q$2:$Q$21,3)=0),"",SUMIFS(DECKS!$D$2:$D$1201,DECKS!$A$2:$A$1201,INDEX(_LEITURA!$P$2:$P$21,3),DECKS!$B$2:$B$1201,$A580))</f>
        <v/>
      </c>
      <c r="N580" s="19" t="str">
        <f aca="false">IF(OR($A580="",INDEX(_LEITURA!$Q$2:$Q$21,4)=0),"",SUMIFS(DECKS!$D$2:$D$1201,DECKS!$A$2:$A$1201,INDEX(_LEITURA!$P$2:$P$21,4),DECKS!$B$2:$B$1201,$A580))</f>
        <v/>
      </c>
      <c r="O580" s="19" t="str">
        <f aca="false">IF(OR($A580="",INDEX(_LEITURA!$Q$2:$Q$21,5)=0),"",SUMIFS(DECKS!$D$2:$D$1201,DECKS!$A$2:$A$1201,INDEX(_LEITURA!$P$2:$P$21,5),DECKS!$B$2:$B$1201,$A580))</f>
        <v/>
      </c>
      <c r="P580" s="19" t="str">
        <f aca="false">IF(OR($A580="",INDEX(_LEITURA!$Q$2:$Q$21,6)=0),"",SUMIFS(DECKS!$D$2:$D$1201,DECKS!$A$2:$A$1201,INDEX(_LEITURA!$P$2:$P$21,6),DECKS!$B$2:$B$1201,$A580))</f>
        <v/>
      </c>
      <c r="Q580" s="19" t="str">
        <f aca="false">IF(OR($A580="",INDEX(_LEITURA!$Q$2:$Q$21,7)=0),"",SUMIFS(DECKS!$D$2:$D$1201,DECKS!$A$2:$A$1201,INDEX(_LEITURA!$P$2:$P$21,7),DECKS!$B$2:$B$1201,$A580))</f>
        <v/>
      </c>
      <c r="R580" s="19" t="str">
        <f aca="false">IF(OR($A580="",INDEX(_LEITURA!$Q$2:$Q$21,8)=0),"",SUMIFS(DECKS!$D$2:$D$1201,DECKS!$A$2:$A$1201,INDEX(_LEITURA!$P$2:$P$21,8),DECKS!$B$2:$B$1201,$A580))</f>
        <v/>
      </c>
      <c r="S580" s="19" t="str">
        <f aca="false">IF(OR($A580="",INDEX(_LEITURA!$Q$2:$Q$21,9)=0),"",SUMIFS(DECKS!$D$2:$D$1201,DECKS!$A$2:$A$1201,INDEX(_LEITURA!$P$2:$P$21,9),DECKS!$B$2:$B$1201,$A580))</f>
        <v/>
      </c>
      <c r="T580" s="19" t="str">
        <f aca="false">IF(OR($A580="",INDEX(_LEITURA!$Q$2:$Q$21,10)=0),"",SUMIFS(DECKS!$D$2:$D$1201,DECKS!$A$2:$A$1201,INDEX(_LEITURA!$P$2:$P$21,10),DECKS!$B$2:$B$1201,$A580))</f>
        <v/>
      </c>
      <c r="U580" s="19" t="str">
        <f aca="false">IF(OR($A580="",INDEX(_LEITURA!$Q$2:$Q$21,11)=0),"",SUMIFS(DECKS!$D$2:$D$1201,DECKS!$A$2:$A$1201,INDEX(_LEITURA!$P$2:$P$21,11),DECKS!$B$2:$B$1201,$A580))</f>
        <v/>
      </c>
      <c r="V580" s="19" t="str">
        <f aca="false">IF(OR($A580="",INDEX(_LEITURA!$Q$2:$Q$21,12)=0),"",SUMIFS(DECKS!$D$2:$D$1201,DECKS!$A$2:$A$1201,INDEX(_LEITURA!$P$2:$P$21,12),DECKS!$B$2:$B$1201,$A580))</f>
        <v/>
      </c>
      <c r="W580" s="19" t="str">
        <f aca="false">IF(OR($A580="",INDEX(_LEITURA!$Q$2:$Q$21,13)=0),"",SUMIFS(DECKS!$D$2:$D$1201,DECKS!$A$2:$A$1201,INDEX(_LEITURA!$P$2:$P$21,13),DECKS!$B$2:$B$1201,$A580))</f>
        <v/>
      </c>
      <c r="X580" s="19" t="str">
        <f aca="false">IF(OR($A580="",INDEX(_LEITURA!$Q$2:$Q$21,14)=0),"",SUMIFS(DECKS!$D$2:$D$1201,DECKS!$A$2:$A$1201,INDEX(_LEITURA!$P$2:$P$21,14),DECKS!$B$2:$B$1201,$A580))</f>
        <v/>
      </c>
      <c r="Y580" s="19" t="str">
        <f aca="false">IF(OR($A580="",INDEX(_LEITURA!$Q$2:$Q$21,15)=0),"",SUMIFS(DECKS!$D$2:$D$1201,DECKS!$A$2:$A$1201,INDEX(_LEITURA!$P$2:$P$21,15),DECKS!$B$2:$B$1201,$A580))</f>
        <v/>
      </c>
      <c r="Z580" s="19" t="str">
        <f aca="false">IF(OR($A580="",INDEX(_LEITURA!$Q$2:$Q$21,16)=0),"",SUMIFS(DECKS!$D$2:$D$1201,DECKS!$A$2:$A$1201,INDEX(_LEITURA!$P$2:$P$21,16),DECKS!$B$2:$B$1201,$A580))</f>
        <v/>
      </c>
      <c r="AA580" s="19" t="str">
        <f aca="false">IF(OR($A580="",INDEX(_LEITURA!$Q$2:$Q$21,17)=0),"",SUMIFS(DECKS!$D$2:$D$1201,DECKS!$A$2:$A$1201,INDEX(_LEITURA!$P$2:$P$21,17),DECKS!$B$2:$B$1201,$A580))</f>
        <v/>
      </c>
      <c r="AB580" s="19" t="str">
        <f aca="false">IF(OR($A580="",INDEX(_LEITURA!$Q$2:$Q$21,18)=0),"",SUMIFS(DECKS!$D$2:$D$1201,DECKS!$A$2:$A$1201,INDEX(_LEITURA!$P$2:$P$21,18),DECKS!$B$2:$B$1201,$A580))</f>
        <v/>
      </c>
      <c r="AC580" s="19" t="str">
        <f aca="false">IF(OR($A580="",INDEX(_LEITURA!$Q$2:$Q$21,19)=0),"",SUMIFS(DECKS!$D$2:$D$1201,DECKS!$A$2:$A$1201,INDEX(_LEITURA!$P$2:$P$21,19),DECKS!$B$2:$B$1201,$A580))</f>
        <v/>
      </c>
      <c r="AD580" s="19" t="str">
        <f aca="false">IF(OR($A580="",INDEX(_LEITURA!$Q$2:$Q$21,20)=0),"",SUMIFS(DECKS!$D$2:$D$1201,DECKS!$A$2:$A$1201,INDEX(_LEITURA!$P$2:$P$21,20),DECKS!$B$2:$B$1201,$A580))</f>
        <v/>
      </c>
      <c r="AE580" s="16" t="str">
        <f aca="false">IF(N(E580)&gt;0,MAX(AE$1:AE579)+1,"")</f>
        <v/>
      </c>
      <c r="AF580" s="11" t="str">
        <f aca="false">IF(A580="","",IFERROR(LEFT(A580,FIND("-",A580)-1),A580))</f>
        <v/>
      </c>
      <c r="AG580" s="11" t="str">
        <f aca="false">IF(AF580="","",IF(ISNUMBER(--MID(AF580,1,1)),0,IF(ISNUMBER(--MID(AF580,2,1)),1,IF(ISNUMBER(--MID(AF580,3,1)),2,IF(ISNUMBER(--MID(AF580,4,1)),3,MIN(LEN(AF580),4))))))</f>
        <v/>
      </c>
      <c r="AH580" s="11" t="str">
        <f aca="false">IF(A580="","",LEFT(AF580,AG580)&amp;REPT("0",4-AG580)&amp;RIGHT("000"&amp;IFERROR(VALUE(MID(AF580,AG580+1,9)),0),3)&amp;RIGHT("0000"&amp;IFERROR(VALUE(MID(A580,FIND("-",A580)+1,9)),0),4))</f>
        <v/>
      </c>
      <c r="AI580" s="11" t="str">
        <f aca="false">IF(OR(A580="",N(E580)&lt;=0),"",IF('FALTAS GERAL'!$M$1="Código","K"&amp;AH580&amp;RIGHT("00000"&amp;ROW(),5),IF('FALTAS GERAL'!$M$1="Nome","K"&amp;UPPER(SUBSTITUTE(SUBSTITUTE(SUBSTITUTE(B580,"*",""),"?",""),"~",""))&amp;"0"&amp;AH580&amp;RIGHT("00000"&amp;ROW(),5),IF('FALTAS GERAL'!$M$1="Falta (maior primeiro)","K"&amp;RIGHT("0000"&amp;(9999-E580),4)&amp;AH580&amp;RIGHT("00000"&amp;ROW(),5),IF('FALTAS GERAL'!$M$1="Nº de decks (maior primeiro)","K"&amp;RIGHT("00"&amp;(99-N(G580)),2)&amp;AH580&amp;RIGHT("00000"&amp;ROW(),5),"K"&amp;RIGHT("00000"&amp;ROW(),5))))))</f>
        <v/>
      </c>
      <c r="AJ580" s="11" t="str">
        <f aca="false">IF(AI580="","",COUNTIFS($AI$2:$AI$801,"&lt;"&amp;AI580,$E$2:$E$801,"&gt;0")+1)</f>
        <v/>
      </c>
      <c r="AK580" s="11" t="str">
        <f aca="false">IF(OR(A580="",N(E580)&lt;=0),"",COUNTIFS($AH$2:$AH$801,"&lt;"&amp;AH580,$E$2:$E$801,"&gt;0")+COUNTIFS($AH$2:AH580,AH580,$E$2:E580,"&gt;0"))</f>
        <v/>
      </c>
    </row>
    <row r="581" customFormat="false" ht="15" hidden="false" customHeight="false" outlineLevel="0" collapsed="false">
      <c r="A581" s="11" t="str">
        <f aca="false">IF(INVENTÁRIO!A581="","",INVENTÁRIO!A581)</f>
        <v/>
      </c>
      <c r="B581" s="11" t="str">
        <f aca="false">IF(A581="","",INVENTÁRIO!B581)</f>
        <v/>
      </c>
      <c r="C581" s="16" t="str">
        <f aca="false">IF(A581="","",INVENTÁRIO!C581)</f>
        <v/>
      </c>
      <c r="D581" s="14" t="str">
        <f aca="false">IF(A581="","",MAX(K581:AD581))</f>
        <v/>
      </c>
      <c r="E581" s="14" t="str">
        <f aca="false">IF(A581="","",MAX(0,D581-C581))</f>
        <v/>
      </c>
      <c r="F581" s="16" t="str">
        <f aca="false">IF(A581="","",IF(D581=0,"Fora dos decks",IF(E581=0,"Completo","Falta")))</f>
        <v/>
      </c>
      <c r="G581" s="16" t="str">
        <f aca="false">IF(A581="","",COUNTIF(K581:AD581,"&gt;0"))</f>
        <v/>
      </c>
      <c r="H581" s="16" t="str">
        <f aca="false">IF(A581="","",IF(G581&gt;1,"Sim",""))</f>
        <v/>
      </c>
      <c r="I581" s="18" t="str">
        <f aca="false">IF(A581="","",SUMIFS(DECKS!$D$2:$D$1201,DECKS!$B$2:$B$1201,A581))</f>
        <v/>
      </c>
      <c r="J581" s="18" t="str">
        <f aca="false">IF(A581="","",MAX(0,I581-C581))</f>
        <v/>
      </c>
      <c r="K581" s="19" t="str">
        <f aca="false">IF(OR($A581="",INDEX(_LEITURA!$Q$2:$Q$21,1)=0),"",SUMIFS(DECKS!$D$2:$D$1201,DECKS!$A$2:$A$1201,INDEX(_LEITURA!$P$2:$P$21,1),DECKS!$B$2:$B$1201,$A581))</f>
        <v/>
      </c>
      <c r="L581" s="19" t="str">
        <f aca="false">IF(OR($A581="",INDEX(_LEITURA!$Q$2:$Q$21,2)=0),"",SUMIFS(DECKS!$D$2:$D$1201,DECKS!$A$2:$A$1201,INDEX(_LEITURA!$P$2:$P$21,2),DECKS!$B$2:$B$1201,$A581))</f>
        <v/>
      </c>
      <c r="M581" s="19" t="str">
        <f aca="false">IF(OR($A581="",INDEX(_LEITURA!$Q$2:$Q$21,3)=0),"",SUMIFS(DECKS!$D$2:$D$1201,DECKS!$A$2:$A$1201,INDEX(_LEITURA!$P$2:$P$21,3),DECKS!$B$2:$B$1201,$A581))</f>
        <v/>
      </c>
      <c r="N581" s="19" t="str">
        <f aca="false">IF(OR($A581="",INDEX(_LEITURA!$Q$2:$Q$21,4)=0),"",SUMIFS(DECKS!$D$2:$D$1201,DECKS!$A$2:$A$1201,INDEX(_LEITURA!$P$2:$P$21,4),DECKS!$B$2:$B$1201,$A581))</f>
        <v/>
      </c>
      <c r="O581" s="19" t="str">
        <f aca="false">IF(OR($A581="",INDEX(_LEITURA!$Q$2:$Q$21,5)=0),"",SUMIFS(DECKS!$D$2:$D$1201,DECKS!$A$2:$A$1201,INDEX(_LEITURA!$P$2:$P$21,5),DECKS!$B$2:$B$1201,$A581))</f>
        <v/>
      </c>
      <c r="P581" s="19" t="str">
        <f aca="false">IF(OR($A581="",INDEX(_LEITURA!$Q$2:$Q$21,6)=0),"",SUMIFS(DECKS!$D$2:$D$1201,DECKS!$A$2:$A$1201,INDEX(_LEITURA!$P$2:$P$21,6),DECKS!$B$2:$B$1201,$A581))</f>
        <v/>
      </c>
      <c r="Q581" s="19" t="str">
        <f aca="false">IF(OR($A581="",INDEX(_LEITURA!$Q$2:$Q$21,7)=0),"",SUMIFS(DECKS!$D$2:$D$1201,DECKS!$A$2:$A$1201,INDEX(_LEITURA!$P$2:$P$21,7),DECKS!$B$2:$B$1201,$A581))</f>
        <v/>
      </c>
      <c r="R581" s="19" t="str">
        <f aca="false">IF(OR($A581="",INDEX(_LEITURA!$Q$2:$Q$21,8)=0),"",SUMIFS(DECKS!$D$2:$D$1201,DECKS!$A$2:$A$1201,INDEX(_LEITURA!$P$2:$P$21,8),DECKS!$B$2:$B$1201,$A581))</f>
        <v/>
      </c>
      <c r="S581" s="19" t="str">
        <f aca="false">IF(OR($A581="",INDEX(_LEITURA!$Q$2:$Q$21,9)=0),"",SUMIFS(DECKS!$D$2:$D$1201,DECKS!$A$2:$A$1201,INDEX(_LEITURA!$P$2:$P$21,9),DECKS!$B$2:$B$1201,$A581))</f>
        <v/>
      </c>
      <c r="T581" s="19" t="str">
        <f aca="false">IF(OR($A581="",INDEX(_LEITURA!$Q$2:$Q$21,10)=0),"",SUMIFS(DECKS!$D$2:$D$1201,DECKS!$A$2:$A$1201,INDEX(_LEITURA!$P$2:$P$21,10),DECKS!$B$2:$B$1201,$A581))</f>
        <v/>
      </c>
      <c r="U581" s="19" t="str">
        <f aca="false">IF(OR($A581="",INDEX(_LEITURA!$Q$2:$Q$21,11)=0),"",SUMIFS(DECKS!$D$2:$D$1201,DECKS!$A$2:$A$1201,INDEX(_LEITURA!$P$2:$P$21,11),DECKS!$B$2:$B$1201,$A581))</f>
        <v/>
      </c>
      <c r="V581" s="19" t="str">
        <f aca="false">IF(OR($A581="",INDEX(_LEITURA!$Q$2:$Q$21,12)=0),"",SUMIFS(DECKS!$D$2:$D$1201,DECKS!$A$2:$A$1201,INDEX(_LEITURA!$P$2:$P$21,12),DECKS!$B$2:$B$1201,$A581))</f>
        <v/>
      </c>
      <c r="W581" s="19" t="str">
        <f aca="false">IF(OR($A581="",INDEX(_LEITURA!$Q$2:$Q$21,13)=0),"",SUMIFS(DECKS!$D$2:$D$1201,DECKS!$A$2:$A$1201,INDEX(_LEITURA!$P$2:$P$21,13),DECKS!$B$2:$B$1201,$A581))</f>
        <v/>
      </c>
      <c r="X581" s="19" t="str">
        <f aca="false">IF(OR($A581="",INDEX(_LEITURA!$Q$2:$Q$21,14)=0),"",SUMIFS(DECKS!$D$2:$D$1201,DECKS!$A$2:$A$1201,INDEX(_LEITURA!$P$2:$P$21,14),DECKS!$B$2:$B$1201,$A581))</f>
        <v/>
      </c>
      <c r="Y581" s="19" t="str">
        <f aca="false">IF(OR($A581="",INDEX(_LEITURA!$Q$2:$Q$21,15)=0),"",SUMIFS(DECKS!$D$2:$D$1201,DECKS!$A$2:$A$1201,INDEX(_LEITURA!$P$2:$P$21,15),DECKS!$B$2:$B$1201,$A581))</f>
        <v/>
      </c>
      <c r="Z581" s="19" t="str">
        <f aca="false">IF(OR($A581="",INDEX(_LEITURA!$Q$2:$Q$21,16)=0),"",SUMIFS(DECKS!$D$2:$D$1201,DECKS!$A$2:$A$1201,INDEX(_LEITURA!$P$2:$P$21,16),DECKS!$B$2:$B$1201,$A581))</f>
        <v/>
      </c>
      <c r="AA581" s="19" t="str">
        <f aca="false">IF(OR($A581="",INDEX(_LEITURA!$Q$2:$Q$21,17)=0),"",SUMIFS(DECKS!$D$2:$D$1201,DECKS!$A$2:$A$1201,INDEX(_LEITURA!$P$2:$P$21,17),DECKS!$B$2:$B$1201,$A581))</f>
        <v/>
      </c>
      <c r="AB581" s="19" t="str">
        <f aca="false">IF(OR($A581="",INDEX(_LEITURA!$Q$2:$Q$21,18)=0),"",SUMIFS(DECKS!$D$2:$D$1201,DECKS!$A$2:$A$1201,INDEX(_LEITURA!$P$2:$P$21,18),DECKS!$B$2:$B$1201,$A581))</f>
        <v/>
      </c>
      <c r="AC581" s="19" t="str">
        <f aca="false">IF(OR($A581="",INDEX(_LEITURA!$Q$2:$Q$21,19)=0),"",SUMIFS(DECKS!$D$2:$D$1201,DECKS!$A$2:$A$1201,INDEX(_LEITURA!$P$2:$P$21,19),DECKS!$B$2:$B$1201,$A581))</f>
        <v/>
      </c>
      <c r="AD581" s="19" t="str">
        <f aca="false">IF(OR($A581="",INDEX(_LEITURA!$Q$2:$Q$21,20)=0),"",SUMIFS(DECKS!$D$2:$D$1201,DECKS!$A$2:$A$1201,INDEX(_LEITURA!$P$2:$P$21,20),DECKS!$B$2:$B$1201,$A581))</f>
        <v/>
      </c>
      <c r="AE581" s="16" t="str">
        <f aca="false">IF(N(E581)&gt;0,MAX(AE$1:AE580)+1,"")</f>
        <v/>
      </c>
      <c r="AF581" s="11" t="str">
        <f aca="false">IF(A581="","",IFERROR(LEFT(A581,FIND("-",A581)-1),A581))</f>
        <v/>
      </c>
      <c r="AG581" s="11" t="str">
        <f aca="false">IF(AF581="","",IF(ISNUMBER(--MID(AF581,1,1)),0,IF(ISNUMBER(--MID(AF581,2,1)),1,IF(ISNUMBER(--MID(AF581,3,1)),2,IF(ISNUMBER(--MID(AF581,4,1)),3,MIN(LEN(AF581),4))))))</f>
        <v/>
      </c>
      <c r="AH581" s="11" t="str">
        <f aca="false">IF(A581="","",LEFT(AF581,AG581)&amp;REPT("0",4-AG581)&amp;RIGHT("000"&amp;IFERROR(VALUE(MID(AF581,AG581+1,9)),0),3)&amp;RIGHT("0000"&amp;IFERROR(VALUE(MID(A581,FIND("-",A581)+1,9)),0),4))</f>
        <v/>
      </c>
      <c r="AI581" s="11" t="str">
        <f aca="false">IF(OR(A581="",N(E581)&lt;=0),"",IF('FALTAS GERAL'!$M$1="Código","K"&amp;AH581&amp;RIGHT("00000"&amp;ROW(),5),IF('FALTAS GERAL'!$M$1="Nome","K"&amp;UPPER(SUBSTITUTE(SUBSTITUTE(SUBSTITUTE(B581,"*",""),"?",""),"~",""))&amp;"0"&amp;AH581&amp;RIGHT("00000"&amp;ROW(),5),IF('FALTAS GERAL'!$M$1="Falta (maior primeiro)","K"&amp;RIGHT("0000"&amp;(9999-E581),4)&amp;AH581&amp;RIGHT("00000"&amp;ROW(),5),IF('FALTAS GERAL'!$M$1="Nº de decks (maior primeiro)","K"&amp;RIGHT("00"&amp;(99-N(G581)),2)&amp;AH581&amp;RIGHT("00000"&amp;ROW(),5),"K"&amp;RIGHT("00000"&amp;ROW(),5))))))</f>
        <v/>
      </c>
      <c r="AJ581" s="11" t="str">
        <f aca="false">IF(AI581="","",COUNTIFS($AI$2:$AI$801,"&lt;"&amp;AI581,$E$2:$E$801,"&gt;0")+1)</f>
        <v/>
      </c>
      <c r="AK581" s="11" t="str">
        <f aca="false">IF(OR(A581="",N(E581)&lt;=0),"",COUNTIFS($AH$2:$AH$801,"&lt;"&amp;AH581,$E$2:$E$801,"&gt;0")+COUNTIFS($AH$2:AH581,AH581,$E$2:E581,"&gt;0"))</f>
        <v/>
      </c>
    </row>
    <row r="582" customFormat="false" ht="15" hidden="false" customHeight="false" outlineLevel="0" collapsed="false">
      <c r="A582" s="11" t="str">
        <f aca="false">IF(INVENTÁRIO!A582="","",INVENTÁRIO!A582)</f>
        <v/>
      </c>
      <c r="B582" s="11" t="str">
        <f aca="false">IF(A582="","",INVENTÁRIO!B582)</f>
        <v/>
      </c>
      <c r="C582" s="16" t="str">
        <f aca="false">IF(A582="","",INVENTÁRIO!C582)</f>
        <v/>
      </c>
      <c r="D582" s="14" t="str">
        <f aca="false">IF(A582="","",MAX(K582:AD582))</f>
        <v/>
      </c>
      <c r="E582" s="14" t="str">
        <f aca="false">IF(A582="","",MAX(0,D582-C582))</f>
        <v/>
      </c>
      <c r="F582" s="16" t="str">
        <f aca="false">IF(A582="","",IF(D582=0,"Fora dos decks",IF(E582=0,"Completo","Falta")))</f>
        <v/>
      </c>
      <c r="G582" s="16" t="str">
        <f aca="false">IF(A582="","",COUNTIF(K582:AD582,"&gt;0"))</f>
        <v/>
      </c>
      <c r="H582" s="16" t="str">
        <f aca="false">IF(A582="","",IF(G582&gt;1,"Sim",""))</f>
        <v/>
      </c>
      <c r="I582" s="18" t="str">
        <f aca="false">IF(A582="","",SUMIFS(DECKS!$D$2:$D$1201,DECKS!$B$2:$B$1201,A582))</f>
        <v/>
      </c>
      <c r="J582" s="18" t="str">
        <f aca="false">IF(A582="","",MAX(0,I582-C582))</f>
        <v/>
      </c>
      <c r="K582" s="19" t="str">
        <f aca="false">IF(OR($A582="",INDEX(_LEITURA!$Q$2:$Q$21,1)=0),"",SUMIFS(DECKS!$D$2:$D$1201,DECKS!$A$2:$A$1201,INDEX(_LEITURA!$P$2:$P$21,1),DECKS!$B$2:$B$1201,$A582))</f>
        <v/>
      </c>
      <c r="L582" s="19" t="str">
        <f aca="false">IF(OR($A582="",INDEX(_LEITURA!$Q$2:$Q$21,2)=0),"",SUMIFS(DECKS!$D$2:$D$1201,DECKS!$A$2:$A$1201,INDEX(_LEITURA!$P$2:$P$21,2),DECKS!$B$2:$B$1201,$A582))</f>
        <v/>
      </c>
      <c r="M582" s="19" t="str">
        <f aca="false">IF(OR($A582="",INDEX(_LEITURA!$Q$2:$Q$21,3)=0),"",SUMIFS(DECKS!$D$2:$D$1201,DECKS!$A$2:$A$1201,INDEX(_LEITURA!$P$2:$P$21,3),DECKS!$B$2:$B$1201,$A582))</f>
        <v/>
      </c>
      <c r="N582" s="19" t="str">
        <f aca="false">IF(OR($A582="",INDEX(_LEITURA!$Q$2:$Q$21,4)=0),"",SUMIFS(DECKS!$D$2:$D$1201,DECKS!$A$2:$A$1201,INDEX(_LEITURA!$P$2:$P$21,4),DECKS!$B$2:$B$1201,$A582))</f>
        <v/>
      </c>
      <c r="O582" s="19" t="str">
        <f aca="false">IF(OR($A582="",INDEX(_LEITURA!$Q$2:$Q$21,5)=0),"",SUMIFS(DECKS!$D$2:$D$1201,DECKS!$A$2:$A$1201,INDEX(_LEITURA!$P$2:$P$21,5),DECKS!$B$2:$B$1201,$A582))</f>
        <v/>
      </c>
      <c r="P582" s="19" t="str">
        <f aca="false">IF(OR($A582="",INDEX(_LEITURA!$Q$2:$Q$21,6)=0),"",SUMIFS(DECKS!$D$2:$D$1201,DECKS!$A$2:$A$1201,INDEX(_LEITURA!$P$2:$P$21,6),DECKS!$B$2:$B$1201,$A582))</f>
        <v/>
      </c>
      <c r="Q582" s="19" t="str">
        <f aca="false">IF(OR($A582="",INDEX(_LEITURA!$Q$2:$Q$21,7)=0),"",SUMIFS(DECKS!$D$2:$D$1201,DECKS!$A$2:$A$1201,INDEX(_LEITURA!$P$2:$P$21,7),DECKS!$B$2:$B$1201,$A582))</f>
        <v/>
      </c>
      <c r="R582" s="19" t="str">
        <f aca="false">IF(OR($A582="",INDEX(_LEITURA!$Q$2:$Q$21,8)=0),"",SUMIFS(DECKS!$D$2:$D$1201,DECKS!$A$2:$A$1201,INDEX(_LEITURA!$P$2:$P$21,8),DECKS!$B$2:$B$1201,$A582))</f>
        <v/>
      </c>
      <c r="S582" s="19" t="str">
        <f aca="false">IF(OR($A582="",INDEX(_LEITURA!$Q$2:$Q$21,9)=0),"",SUMIFS(DECKS!$D$2:$D$1201,DECKS!$A$2:$A$1201,INDEX(_LEITURA!$P$2:$P$21,9),DECKS!$B$2:$B$1201,$A582))</f>
        <v/>
      </c>
      <c r="T582" s="19" t="str">
        <f aca="false">IF(OR($A582="",INDEX(_LEITURA!$Q$2:$Q$21,10)=0),"",SUMIFS(DECKS!$D$2:$D$1201,DECKS!$A$2:$A$1201,INDEX(_LEITURA!$P$2:$P$21,10),DECKS!$B$2:$B$1201,$A582))</f>
        <v/>
      </c>
      <c r="U582" s="19" t="str">
        <f aca="false">IF(OR($A582="",INDEX(_LEITURA!$Q$2:$Q$21,11)=0),"",SUMIFS(DECKS!$D$2:$D$1201,DECKS!$A$2:$A$1201,INDEX(_LEITURA!$P$2:$P$21,11),DECKS!$B$2:$B$1201,$A582))</f>
        <v/>
      </c>
      <c r="V582" s="19" t="str">
        <f aca="false">IF(OR($A582="",INDEX(_LEITURA!$Q$2:$Q$21,12)=0),"",SUMIFS(DECKS!$D$2:$D$1201,DECKS!$A$2:$A$1201,INDEX(_LEITURA!$P$2:$P$21,12),DECKS!$B$2:$B$1201,$A582))</f>
        <v/>
      </c>
      <c r="W582" s="19" t="str">
        <f aca="false">IF(OR($A582="",INDEX(_LEITURA!$Q$2:$Q$21,13)=0),"",SUMIFS(DECKS!$D$2:$D$1201,DECKS!$A$2:$A$1201,INDEX(_LEITURA!$P$2:$P$21,13),DECKS!$B$2:$B$1201,$A582))</f>
        <v/>
      </c>
      <c r="X582" s="19" t="str">
        <f aca="false">IF(OR($A582="",INDEX(_LEITURA!$Q$2:$Q$21,14)=0),"",SUMIFS(DECKS!$D$2:$D$1201,DECKS!$A$2:$A$1201,INDEX(_LEITURA!$P$2:$P$21,14),DECKS!$B$2:$B$1201,$A582))</f>
        <v/>
      </c>
      <c r="Y582" s="19" t="str">
        <f aca="false">IF(OR($A582="",INDEX(_LEITURA!$Q$2:$Q$21,15)=0),"",SUMIFS(DECKS!$D$2:$D$1201,DECKS!$A$2:$A$1201,INDEX(_LEITURA!$P$2:$P$21,15),DECKS!$B$2:$B$1201,$A582))</f>
        <v/>
      </c>
      <c r="Z582" s="19" t="str">
        <f aca="false">IF(OR($A582="",INDEX(_LEITURA!$Q$2:$Q$21,16)=0),"",SUMIFS(DECKS!$D$2:$D$1201,DECKS!$A$2:$A$1201,INDEX(_LEITURA!$P$2:$P$21,16),DECKS!$B$2:$B$1201,$A582))</f>
        <v/>
      </c>
      <c r="AA582" s="19" t="str">
        <f aca="false">IF(OR($A582="",INDEX(_LEITURA!$Q$2:$Q$21,17)=0),"",SUMIFS(DECKS!$D$2:$D$1201,DECKS!$A$2:$A$1201,INDEX(_LEITURA!$P$2:$P$21,17),DECKS!$B$2:$B$1201,$A582))</f>
        <v/>
      </c>
      <c r="AB582" s="19" t="str">
        <f aca="false">IF(OR($A582="",INDEX(_LEITURA!$Q$2:$Q$21,18)=0),"",SUMIFS(DECKS!$D$2:$D$1201,DECKS!$A$2:$A$1201,INDEX(_LEITURA!$P$2:$P$21,18),DECKS!$B$2:$B$1201,$A582))</f>
        <v/>
      </c>
      <c r="AC582" s="19" t="str">
        <f aca="false">IF(OR($A582="",INDEX(_LEITURA!$Q$2:$Q$21,19)=0),"",SUMIFS(DECKS!$D$2:$D$1201,DECKS!$A$2:$A$1201,INDEX(_LEITURA!$P$2:$P$21,19),DECKS!$B$2:$B$1201,$A582))</f>
        <v/>
      </c>
      <c r="AD582" s="19" t="str">
        <f aca="false">IF(OR($A582="",INDEX(_LEITURA!$Q$2:$Q$21,20)=0),"",SUMIFS(DECKS!$D$2:$D$1201,DECKS!$A$2:$A$1201,INDEX(_LEITURA!$P$2:$P$21,20),DECKS!$B$2:$B$1201,$A582))</f>
        <v/>
      </c>
      <c r="AE582" s="16" t="str">
        <f aca="false">IF(N(E582)&gt;0,MAX(AE$1:AE581)+1,"")</f>
        <v/>
      </c>
      <c r="AF582" s="11" t="str">
        <f aca="false">IF(A582="","",IFERROR(LEFT(A582,FIND("-",A582)-1),A582))</f>
        <v/>
      </c>
      <c r="AG582" s="11" t="str">
        <f aca="false">IF(AF582="","",IF(ISNUMBER(--MID(AF582,1,1)),0,IF(ISNUMBER(--MID(AF582,2,1)),1,IF(ISNUMBER(--MID(AF582,3,1)),2,IF(ISNUMBER(--MID(AF582,4,1)),3,MIN(LEN(AF582),4))))))</f>
        <v/>
      </c>
      <c r="AH582" s="11" t="str">
        <f aca="false">IF(A582="","",LEFT(AF582,AG582)&amp;REPT("0",4-AG582)&amp;RIGHT("000"&amp;IFERROR(VALUE(MID(AF582,AG582+1,9)),0),3)&amp;RIGHT("0000"&amp;IFERROR(VALUE(MID(A582,FIND("-",A582)+1,9)),0),4))</f>
        <v/>
      </c>
      <c r="AI582" s="11" t="str">
        <f aca="false">IF(OR(A582="",N(E582)&lt;=0),"",IF('FALTAS GERAL'!$M$1="Código","K"&amp;AH582&amp;RIGHT("00000"&amp;ROW(),5),IF('FALTAS GERAL'!$M$1="Nome","K"&amp;UPPER(SUBSTITUTE(SUBSTITUTE(SUBSTITUTE(B582,"*",""),"?",""),"~",""))&amp;"0"&amp;AH582&amp;RIGHT("00000"&amp;ROW(),5),IF('FALTAS GERAL'!$M$1="Falta (maior primeiro)","K"&amp;RIGHT("0000"&amp;(9999-E582),4)&amp;AH582&amp;RIGHT("00000"&amp;ROW(),5),IF('FALTAS GERAL'!$M$1="Nº de decks (maior primeiro)","K"&amp;RIGHT("00"&amp;(99-N(G582)),2)&amp;AH582&amp;RIGHT("00000"&amp;ROW(),5),"K"&amp;RIGHT("00000"&amp;ROW(),5))))))</f>
        <v/>
      </c>
      <c r="AJ582" s="11" t="str">
        <f aca="false">IF(AI582="","",COUNTIFS($AI$2:$AI$801,"&lt;"&amp;AI582,$E$2:$E$801,"&gt;0")+1)</f>
        <v/>
      </c>
      <c r="AK582" s="11" t="str">
        <f aca="false">IF(OR(A582="",N(E582)&lt;=0),"",COUNTIFS($AH$2:$AH$801,"&lt;"&amp;AH582,$E$2:$E$801,"&gt;0")+COUNTIFS($AH$2:AH582,AH582,$E$2:E582,"&gt;0"))</f>
        <v/>
      </c>
    </row>
    <row r="583" customFormat="false" ht="15" hidden="false" customHeight="false" outlineLevel="0" collapsed="false">
      <c r="A583" s="11" t="str">
        <f aca="false">IF(INVENTÁRIO!A583="","",INVENTÁRIO!A583)</f>
        <v/>
      </c>
      <c r="B583" s="11" t="str">
        <f aca="false">IF(A583="","",INVENTÁRIO!B583)</f>
        <v/>
      </c>
      <c r="C583" s="16" t="str">
        <f aca="false">IF(A583="","",INVENTÁRIO!C583)</f>
        <v/>
      </c>
      <c r="D583" s="14" t="str">
        <f aca="false">IF(A583="","",MAX(K583:AD583))</f>
        <v/>
      </c>
      <c r="E583" s="14" t="str">
        <f aca="false">IF(A583="","",MAX(0,D583-C583))</f>
        <v/>
      </c>
      <c r="F583" s="16" t="str">
        <f aca="false">IF(A583="","",IF(D583=0,"Fora dos decks",IF(E583=0,"Completo","Falta")))</f>
        <v/>
      </c>
      <c r="G583" s="16" t="str">
        <f aca="false">IF(A583="","",COUNTIF(K583:AD583,"&gt;0"))</f>
        <v/>
      </c>
      <c r="H583" s="16" t="str">
        <f aca="false">IF(A583="","",IF(G583&gt;1,"Sim",""))</f>
        <v/>
      </c>
      <c r="I583" s="18" t="str">
        <f aca="false">IF(A583="","",SUMIFS(DECKS!$D$2:$D$1201,DECKS!$B$2:$B$1201,A583))</f>
        <v/>
      </c>
      <c r="J583" s="18" t="str">
        <f aca="false">IF(A583="","",MAX(0,I583-C583))</f>
        <v/>
      </c>
      <c r="K583" s="19" t="str">
        <f aca="false">IF(OR($A583="",INDEX(_LEITURA!$Q$2:$Q$21,1)=0),"",SUMIFS(DECKS!$D$2:$D$1201,DECKS!$A$2:$A$1201,INDEX(_LEITURA!$P$2:$P$21,1),DECKS!$B$2:$B$1201,$A583))</f>
        <v/>
      </c>
      <c r="L583" s="19" t="str">
        <f aca="false">IF(OR($A583="",INDEX(_LEITURA!$Q$2:$Q$21,2)=0),"",SUMIFS(DECKS!$D$2:$D$1201,DECKS!$A$2:$A$1201,INDEX(_LEITURA!$P$2:$P$21,2),DECKS!$B$2:$B$1201,$A583))</f>
        <v/>
      </c>
      <c r="M583" s="19" t="str">
        <f aca="false">IF(OR($A583="",INDEX(_LEITURA!$Q$2:$Q$21,3)=0),"",SUMIFS(DECKS!$D$2:$D$1201,DECKS!$A$2:$A$1201,INDEX(_LEITURA!$P$2:$P$21,3),DECKS!$B$2:$B$1201,$A583))</f>
        <v/>
      </c>
      <c r="N583" s="19" t="str">
        <f aca="false">IF(OR($A583="",INDEX(_LEITURA!$Q$2:$Q$21,4)=0),"",SUMIFS(DECKS!$D$2:$D$1201,DECKS!$A$2:$A$1201,INDEX(_LEITURA!$P$2:$P$21,4),DECKS!$B$2:$B$1201,$A583))</f>
        <v/>
      </c>
      <c r="O583" s="19" t="str">
        <f aca="false">IF(OR($A583="",INDEX(_LEITURA!$Q$2:$Q$21,5)=0),"",SUMIFS(DECKS!$D$2:$D$1201,DECKS!$A$2:$A$1201,INDEX(_LEITURA!$P$2:$P$21,5),DECKS!$B$2:$B$1201,$A583))</f>
        <v/>
      </c>
      <c r="P583" s="19" t="str">
        <f aca="false">IF(OR($A583="",INDEX(_LEITURA!$Q$2:$Q$21,6)=0),"",SUMIFS(DECKS!$D$2:$D$1201,DECKS!$A$2:$A$1201,INDEX(_LEITURA!$P$2:$P$21,6),DECKS!$B$2:$B$1201,$A583))</f>
        <v/>
      </c>
      <c r="Q583" s="19" t="str">
        <f aca="false">IF(OR($A583="",INDEX(_LEITURA!$Q$2:$Q$21,7)=0),"",SUMIFS(DECKS!$D$2:$D$1201,DECKS!$A$2:$A$1201,INDEX(_LEITURA!$P$2:$P$21,7),DECKS!$B$2:$B$1201,$A583))</f>
        <v/>
      </c>
      <c r="R583" s="19" t="str">
        <f aca="false">IF(OR($A583="",INDEX(_LEITURA!$Q$2:$Q$21,8)=0),"",SUMIFS(DECKS!$D$2:$D$1201,DECKS!$A$2:$A$1201,INDEX(_LEITURA!$P$2:$P$21,8),DECKS!$B$2:$B$1201,$A583))</f>
        <v/>
      </c>
      <c r="S583" s="19" t="str">
        <f aca="false">IF(OR($A583="",INDEX(_LEITURA!$Q$2:$Q$21,9)=0),"",SUMIFS(DECKS!$D$2:$D$1201,DECKS!$A$2:$A$1201,INDEX(_LEITURA!$P$2:$P$21,9),DECKS!$B$2:$B$1201,$A583))</f>
        <v/>
      </c>
      <c r="T583" s="19" t="str">
        <f aca="false">IF(OR($A583="",INDEX(_LEITURA!$Q$2:$Q$21,10)=0),"",SUMIFS(DECKS!$D$2:$D$1201,DECKS!$A$2:$A$1201,INDEX(_LEITURA!$P$2:$P$21,10),DECKS!$B$2:$B$1201,$A583))</f>
        <v/>
      </c>
      <c r="U583" s="19" t="str">
        <f aca="false">IF(OR($A583="",INDEX(_LEITURA!$Q$2:$Q$21,11)=0),"",SUMIFS(DECKS!$D$2:$D$1201,DECKS!$A$2:$A$1201,INDEX(_LEITURA!$P$2:$P$21,11),DECKS!$B$2:$B$1201,$A583))</f>
        <v/>
      </c>
      <c r="V583" s="19" t="str">
        <f aca="false">IF(OR($A583="",INDEX(_LEITURA!$Q$2:$Q$21,12)=0),"",SUMIFS(DECKS!$D$2:$D$1201,DECKS!$A$2:$A$1201,INDEX(_LEITURA!$P$2:$P$21,12),DECKS!$B$2:$B$1201,$A583))</f>
        <v/>
      </c>
      <c r="W583" s="19" t="str">
        <f aca="false">IF(OR($A583="",INDEX(_LEITURA!$Q$2:$Q$21,13)=0),"",SUMIFS(DECKS!$D$2:$D$1201,DECKS!$A$2:$A$1201,INDEX(_LEITURA!$P$2:$P$21,13),DECKS!$B$2:$B$1201,$A583))</f>
        <v/>
      </c>
      <c r="X583" s="19" t="str">
        <f aca="false">IF(OR($A583="",INDEX(_LEITURA!$Q$2:$Q$21,14)=0),"",SUMIFS(DECKS!$D$2:$D$1201,DECKS!$A$2:$A$1201,INDEX(_LEITURA!$P$2:$P$21,14),DECKS!$B$2:$B$1201,$A583))</f>
        <v/>
      </c>
      <c r="Y583" s="19" t="str">
        <f aca="false">IF(OR($A583="",INDEX(_LEITURA!$Q$2:$Q$21,15)=0),"",SUMIFS(DECKS!$D$2:$D$1201,DECKS!$A$2:$A$1201,INDEX(_LEITURA!$P$2:$P$21,15),DECKS!$B$2:$B$1201,$A583))</f>
        <v/>
      </c>
      <c r="Z583" s="19" t="str">
        <f aca="false">IF(OR($A583="",INDEX(_LEITURA!$Q$2:$Q$21,16)=0),"",SUMIFS(DECKS!$D$2:$D$1201,DECKS!$A$2:$A$1201,INDEX(_LEITURA!$P$2:$P$21,16),DECKS!$B$2:$B$1201,$A583))</f>
        <v/>
      </c>
      <c r="AA583" s="19" t="str">
        <f aca="false">IF(OR($A583="",INDEX(_LEITURA!$Q$2:$Q$21,17)=0),"",SUMIFS(DECKS!$D$2:$D$1201,DECKS!$A$2:$A$1201,INDEX(_LEITURA!$P$2:$P$21,17),DECKS!$B$2:$B$1201,$A583))</f>
        <v/>
      </c>
      <c r="AB583" s="19" t="str">
        <f aca="false">IF(OR($A583="",INDEX(_LEITURA!$Q$2:$Q$21,18)=0),"",SUMIFS(DECKS!$D$2:$D$1201,DECKS!$A$2:$A$1201,INDEX(_LEITURA!$P$2:$P$21,18),DECKS!$B$2:$B$1201,$A583))</f>
        <v/>
      </c>
      <c r="AC583" s="19" t="str">
        <f aca="false">IF(OR($A583="",INDEX(_LEITURA!$Q$2:$Q$21,19)=0),"",SUMIFS(DECKS!$D$2:$D$1201,DECKS!$A$2:$A$1201,INDEX(_LEITURA!$P$2:$P$21,19),DECKS!$B$2:$B$1201,$A583))</f>
        <v/>
      </c>
      <c r="AD583" s="19" t="str">
        <f aca="false">IF(OR($A583="",INDEX(_LEITURA!$Q$2:$Q$21,20)=0),"",SUMIFS(DECKS!$D$2:$D$1201,DECKS!$A$2:$A$1201,INDEX(_LEITURA!$P$2:$P$21,20),DECKS!$B$2:$B$1201,$A583))</f>
        <v/>
      </c>
      <c r="AE583" s="16" t="str">
        <f aca="false">IF(N(E583)&gt;0,MAX(AE$1:AE582)+1,"")</f>
        <v/>
      </c>
      <c r="AF583" s="11" t="str">
        <f aca="false">IF(A583="","",IFERROR(LEFT(A583,FIND("-",A583)-1),A583))</f>
        <v/>
      </c>
      <c r="AG583" s="11" t="str">
        <f aca="false">IF(AF583="","",IF(ISNUMBER(--MID(AF583,1,1)),0,IF(ISNUMBER(--MID(AF583,2,1)),1,IF(ISNUMBER(--MID(AF583,3,1)),2,IF(ISNUMBER(--MID(AF583,4,1)),3,MIN(LEN(AF583),4))))))</f>
        <v/>
      </c>
      <c r="AH583" s="11" t="str">
        <f aca="false">IF(A583="","",LEFT(AF583,AG583)&amp;REPT("0",4-AG583)&amp;RIGHT("000"&amp;IFERROR(VALUE(MID(AF583,AG583+1,9)),0),3)&amp;RIGHT("0000"&amp;IFERROR(VALUE(MID(A583,FIND("-",A583)+1,9)),0),4))</f>
        <v/>
      </c>
      <c r="AI583" s="11" t="str">
        <f aca="false">IF(OR(A583="",N(E583)&lt;=0),"",IF('FALTAS GERAL'!$M$1="Código","K"&amp;AH583&amp;RIGHT("00000"&amp;ROW(),5),IF('FALTAS GERAL'!$M$1="Nome","K"&amp;UPPER(SUBSTITUTE(SUBSTITUTE(SUBSTITUTE(B583,"*",""),"?",""),"~",""))&amp;"0"&amp;AH583&amp;RIGHT("00000"&amp;ROW(),5),IF('FALTAS GERAL'!$M$1="Falta (maior primeiro)","K"&amp;RIGHT("0000"&amp;(9999-E583),4)&amp;AH583&amp;RIGHT("00000"&amp;ROW(),5),IF('FALTAS GERAL'!$M$1="Nº de decks (maior primeiro)","K"&amp;RIGHT("00"&amp;(99-N(G583)),2)&amp;AH583&amp;RIGHT("00000"&amp;ROW(),5),"K"&amp;RIGHT("00000"&amp;ROW(),5))))))</f>
        <v/>
      </c>
      <c r="AJ583" s="11" t="str">
        <f aca="false">IF(AI583="","",COUNTIFS($AI$2:$AI$801,"&lt;"&amp;AI583,$E$2:$E$801,"&gt;0")+1)</f>
        <v/>
      </c>
      <c r="AK583" s="11" t="str">
        <f aca="false">IF(OR(A583="",N(E583)&lt;=0),"",COUNTIFS($AH$2:$AH$801,"&lt;"&amp;AH583,$E$2:$E$801,"&gt;0")+COUNTIFS($AH$2:AH583,AH583,$E$2:E583,"&gt;0"))</f>
        <v/>
      </c>
    </row>
    <row r="584" customFormat="false" ht="15" hidden="false" customHeight="false" outlineLevel="0" collapsed="false">
      <c r="A584" s="11" t="str">
        <f aca="false">IF(INVENTÁRIO!A584="","",INVENTÁRIO!A584)</f>
        <v/>
      </c>
      <c r="B584" s="11" t="str">
        <f aca="false">IF(A584="","",INVENTÁRIO!B584)</f>
        <v/>
      </c>
      <c r="C584" s="16" t="str">
        <f aca="false">IF(A584="","",INVENTÁRIO!C584)</f>
        <v/>
      </c>
      <c r="D584" s="14" t="str">
        <f aca="false">IF(A584="","",MAX(K584:AD584))</f>
        <v/>
      </c>
      <c r="E584" s="14" t="str">
        <f aca="false">IF(A584="","",MAX(0,D584-C584))</f>
        <v/>
      </c>
      <c r="F584" s="16" t="str">
        <f aca="false">IF(A584="","",IF(D584=0,"Fora dos decks",IF(E584=0,"Completo","Falta")))</f>
        <v/>
      </c>
      <c r="G584" s="16" t="str">
        <f aca="false">IF(A584="","",COUNTIF(K584:AD584,"&gt;0"))</f>
        <v/>
      </c>
      <c r="H584" s="16" t="str">
        <f aca="false">IF(A584="","",IF(G584&gt;1,"Sim",""))</f>
        <v/>
      </c>
      <c r="I584" s="18" t="str">
        <f aca="false">IF(A584="","",SUMIFS(DECKS!$D$2:$D$1201,DECKS!$B$2:$B$1201,A584))</f>
        <v/>
      </c>
      <c r="J584" s="18" t="str">
        <f aca="false">IF(A584="","",MAX(0,I584-C584))</f>
        <v/>
      </c>
      <c r="K584" s="19" t="str">
        <f aca="false">IF(OR($A584="",INDEX(_LEITURA!$Q$2:$Q$21,1)=0),"",SUMIFS(DECKS!$D$2:$D$1201,DECKS!$A$2:$A$1201,INDEX(_LEITURA!$P$2:$P$21,1),DECKS!$B$2:$B$1201,$A584))</f>
        <v/>
      </c>
      <c r="L584" s="19" t="str">
        <f aca="false">IF(OR($A584="",INDEX(_LEITURA!$Q$2:$Q$21,2)=0),"",SUMIFS(DECKS!$D$2:$D$1201,DECKS!$A$2:$A$1201,INDEX(_LEITURA!$P$2:$P$21,2),DECKS!$B$2:$B$1201,$A584))</f>
        <v/>
      </c>
      <c r="M584" s="19" t="str">
        <f aca="false">IF(OR($A584="",INDEX(_LEITURA!$Q$2:$Q$21,3)=0),"",SUMIFS(DECKS!$D$2:$D$1201,DECKS!$A$2:$A$1201,INDEX(_LEITURA!$P$2:$P$21,3),DECKS!$B$2:$B$1201,$A584))</f>
        <v/>
      </c>
      <c r="N584" s="19" t="str">
        <f aca="false">IF(OR($A584="",INDEX(_LEITURA!$Q$2:$Q$21,4)=0),"",SUMIFS(DECKS!$D$2:$D$1201,DECKS!$A$2:$A$1201,INDEX(_LEITURA!$P$2:$P$21,4),DECKS!$B$2:$B$1201,$A584))</f>
        <v/>
      </c>
      <c r="O584" s="19" t="str">
        <f aca="false">IF(OR($A584="",INDEX(_LEITURA!$Q$2:$Q$21,5)=0),"",SUMIFS(DECKS!$D$2:$D$1201,DECKS!$A$2:$A$1201,INDEX(_LEITURA!$P$2:$P$21,5),DECKS!$B$2:$B$1201,$A584))</f>
        <v/>
      </c>
      <c r="P584" s="19" t="str">
        <f aca="false">IF(OR($A584="",INDEX(_LEITURA!$Q$2:$Q$21,6)=0),"",SUMIFS(DECKS!$D$2:$D$1201,DECKS!$A$2:$A$1201,INDEX(_LEITURA!$P$2:$P$21,6),DECKS!$B$2:$B$1201,$A584))</f>
        <v/>
      </c>
      <c r="Q584" s="19" t="str">
        <f aca="false">IF(OR($A584="",INDEX(_LEITURA!$Q$2:$Q$21,7)=0),"",SUMIFS(DECKS!$D$2:$D$1201,DECKS!$A$2:$A$1201,INDEX(_LEITURA!$P$2:$P$21,7),DECKS!$B$2:$B$1201,$A584))</f>
        <v/>
      </c>
      <c r="R584" s="19" t="str">
        <f aca="false">IF(OR($A584="",INDEX(_LEITURA!$Q$2:$Q$21,8)=0),"",SUMIFS(DECKS!$D$2:$D$1201,DECKS!$A$2:$A$1201,INDEX(_LEITURA!$P$2:$P$21,8),DECKS!$B$2:$B$1201,$A584))</f>
        <v/>
      </c>
      <c r="S584" s="19" t="str">
        <f aca="false">IF(OR($A584="",INDEX(_LEITURA!$Q$2:$Q$21,9)=0),"",SUMIFS(DECKS!$D$2:$D$1201,DECKS!$A$2:$A$1201,INDEX(_LEITURA!$P$2:$P$21,9),DECKS!$B$2:$B$1201,$A584))</f>
        <v/>
      </c>
      <c r="T584" s="19" t="str">
        <f aca="false">IF(OR($A584="",INDEX(_LEITURA!$Q$2:$Q$21,10)=0),"",SUMIFS(DECKS!$D$2:$D$1201,DECKS!$A$2:$A$1201,INDEX(_LEITURA!$P$2:$P$21,10),DECKS!$B$2:$B$1201,$A584))</f>
        <v/>
      </c>
      <c r="U584" s="19" t="str">
        <f aca="false">IF(OR($A584="",INDEX(_LEITURA!$Q$2:$Q$21,11)=0),"",SUMIFS(DECKS!$D$2:$D$1201,DECKS!$A$2:$A$1201,INDEX(_LEITURA!$P$2:$P$21,11),DECKS!$B$2:$B$1201,$A584))</f>
        <v/>
      </c>
      <c r="V584" s="19" t="str">
        <f aca="false">IF(OR($A584="",INDEX(_LEITURA!$Q$2:$Q$21,12)=0),"",SUMIFS(DECKS!$D$2:$D$1201,DECKS!$A$2:$A$1201,INDEX(_LEITURA!$P$2:$P$21,12),DECKS!$B$2:$B$1201,$A584))</f>
        <v/>
      </c>
      <c r="W584" s="19" t="str">
        <f aca="false">IF(OR($A584="",INDEX(_LEITURA!$Q$2:$Q$21,13)=0),"",SUMIFS(DECKS!$D$2:$D$1201,DECKS!$A$2:$A$1201,INDEX(_LEITURA!$P$2:$P$21,13),DECKS!$B$2:$B$1201,$A584))</f>
        <v/>
      </c>
      <c r="X584" s="19" t="str">
        <f aca="false">IF(OR($A584="",INDEX(_LEITURA!$Q$2:$Q$21,14)=0),"",SUMIFS(DECKS!$D$2:$D$1201,DECKS!$A$2:$A$1201,INDEX(_LEITURA!$P$2:$P$21,14),DECKS!$B$2:$B$1201,$A584))</f>
        <v/>
      </c>
      <c r="Y584" s="19" t="str">
        <f aca="false">IF(OR($A584="",INDEX(_LEITURA!$Q$2:$Q$21,15)=0),"",SUMIFS(DECKS!$D$2:$D$1201,DECKS!$A$2:$A$1201,INDEX(_LEITURA!$P$2:$P$21,15),DECKS!$B$2:$B$1201,$A584))</f>
        <v/>
      </c>
      <c r="Z584" s="19" t="str">
        <f aca="false">IF(OR($A584="",INDEX(_LEITURA!$Q$2:$Q$21,16)=0),"",SUMIFS(DECKS!$D$2:$D$1201,DECKS!$A$2:$A$1201,INDEX(_LEITURA!$P$2:$P$21,16),DECKS!$B$2:$B$1201,$A584))</f>
        <v/>
      </c>
      <c r="AA584" s="19" t="str">
        <f aca="false">IF(OR($A584="",INDEX(_LEITURA!$Q$2:$Q$21,17)=0),"",SUMIFS(DECKS!$D$2:$D$1201,DECKS!$A$2:$A$1201,INDEX(_LEITURA!$P$2:$P$21,17),DECKS!$B$2:$B$1201,$A584))</f>
        <v/>
      </c>
      <c r="AB584" s="19" t="str">
        <f aca="false">IF(OR($A584="",INDEX(_LEITURA!$Q$2:$Q$21,18)=0),"",SUMIFS(DECKS!$D$2:$D$1201,DECKS!$A$2:$A$1201,INDEX(_LEITURA!$P$2:$P$21,18),DECKS!$B$2:$B$1201,$A584))</f>
        <v/>
      </c>
      <c r="AC584" s="19" t="str">
        <f aca="false">IF(OR($A584="",INDEX(_LEITURA!$Q$2:$Q$21,19)=0),"",SUMIFS(DECKS!$D$2:$D$1201,DECKS!$A$2:$A$1201,INDEX(_LEITURA!$P$2:$P$21,19),DECKS!$B$2:$B$1201,$A584))</f>
        <v/>
      </c>
      <c r="AD584" s="19" t="str">
        <f aca="false">IF(OR($A584="",INDEX(_LEITURA!$Q$2:$Q$21,20)=0),"",SUMIFS(DECKS!$D$2:$D$1201,DECKS!$A$2:$A$1201,INDEX(_LEITURA!$P$2:$P$21,20),DECKS!$B$2:$B$1201,$A584))</f>
        <v/>
      </c>
      <c r="AE584" s="16" t="str">
        <f aca="false">IF(N(E584)&gt;0,MAX(AE$1:AE583)+1,"")</f>
        <v/>
      </c>
      <c r="AF584" s="11" t="str">
        <f aca="false">IF(A584="","",IFERROR(LEFT(A584,FIND("-",A584)-1),A584))</f>
        <v/>
      </c>
      <c r="AG584" s="11" t="str">
        <f aca="false">IF(AF584="","",IF(ISNUMBER(--MID(AF584,1,1)),0,IF(ISNUMBER(--MID(AF584,2,1)),1,IF(ISNUMBER(--MID(AF584,3,1)),2,IF(ISNUMBER(--MID(AF584,4,1)),3,MIN(LEN(AF584),4))))))</f>
        <v/>
      </c>
      <c r="AH584" s="11" t="str">
        <f aca="false">IF(A584="","",LEFT(AF584,AG584)&amp;REPT("0",4-AG584)&amp;RIGHT("000"&amp;IFERROR(VALUE(MID(AF584,AG584+1,9)),0),3)&amp;RIGHT("0000"&amp;IFERROR(VALUE(MID(A584,FIND("-",A584)+1,9)),0),4))</f>
        <v/>
      </c>
      <c r="AI584" s="11" t="str">
        <f aca="false">IF(OR(A584="",N(E584)&lt;=0),"",IF('FALTAS GERAL'!$M$1="Código","K"&amp;AH584&amp;RIGHT("00000"&amp;ROW(),5),IF('FALTAS GERAL'!$M$1="Nome","K"&amp;UPPER(SUBSTITUTE(SUBSTITUTE(SUBSTITUTE(B584,"*",""),"?",""),"~",""))&amp;"0"&amp;AH584&amp;RIGHT("00000"&amp;ROW(),5),IF('FALTAS GERAL'!$M$1="Falta (maior primeiro)","K"&amp;RIGHT("0000"&amp;(9999-E584),4)&amp;AH584&amp;RIGHT("00000"&amp;ROW(),5),IF('FALTAS GERAL'!$M$1="Nº de decks (maior primeiro)","K"&amp;RIGHT("00"&amp;(99-N(G584)),2)&amp;AH584&amp;RIGHT("00000"&amp;ROW(),5),"K"&amp;RIGHT("00000"&amp;ROW(),5))))))</f>
        <v/>
      </c>
      <c r="AJ584" s="11" t="str">
        <f aca="false">IF(AI584="","",COUNTIFS($AI$2:$AI$801,"&lt;"&amp;AI584,$E$2:$E$801,"&gt;0")+1)</f>
        <v/>
      </c>
      <c r="AK584" s="11" t="str">
        <f aca="false">IF(OR(A584="",N(E584)&lt;=0),"",COUNTIFS($AH$2:$AH$801,"&lt;"&amp;AH584,$E$2:$E$801,"&gt;0")+COUNTIFS($AH$2:AH584,AH584,$E$2:E584,"&gt;0"))</f>
        <v/>
      </c>
    </row>
    <row r="585" customFormat="false" ht="15" hidden="false" customHeight="false" outlineLevel="0" collapsed="false">
      <c r="A585" s="11" t="str">
        <f aca="false">IF(INVENTÁRIO!A585="","",INVENTÁRIO!A585)</f>
        <v/>
      </c>
      <c r="B585" s="11" t="str">
        <f aca="false">IF(A585="","",INVENTÁRIO!B585)</f>
        <v/>
      </c>
      <c r="C585" s="16" t="str">
        <f aca="false">IF(A585="","",INVENTÁRIO!C585)</f>
        <v/>
      </c>
      <c r="D585" s="14" t="str">
        <f aca="false">IF(A585="","",MAX(K585:AD585))</f>
        <v/>
      </c>
      <c r="E585" s="14" t="str">
        <f aca="false">IF(A585="","",MAX(0,D585-C585))</f>
        <v/>
      </c>
      <c r="F585" s="16" t="str">
        <f aca="false">IF(A585="","",IF(D585=0,"Fora dos decks",IF(E585=0,"Completo","Falta")))</f>
        <v/>
      </c>
      <c r="G585" s="16" t="str">
        <f aca="false">IF(A585="","",COUNTIF(K585:AD585,"&gt;0"))</f>
        <v/>
      </c>
      <c r="H585" s="16" t="str">
        <f aca="false">IF(A585="","",IF(G585&gt;1,"Sim",""))</f>
        <v/>
      </c>
      <c r="I585" s="18" t="str">
        <f aca="false">IF(A585="","",SUMIFS(DECKS!$D$2:$D$1201,DECKS!$B$2:$B$1201,A585))</f>
        <v/>
      </c>
      <c r="J585" s="18" t="str">
        <f aca="false">IF(A585="","",MAX(0,I585-C585))</f>
        <v/>
      </c>
      <c r="K585" s="19" t="str">
        <f aca="false">IF(OR($A585="",INDEX(_LEITURA!$Q$2:$Q$21,1)=0),"",SUMIFS(DECKS!$D$2:$D$1201,DECKS!$A$2:$A$1201,INDEX(_LEITURA!$P$2:$P$21,1),DECKS!$B$2:$B$1201,$A585))</f>
        <v/>
      </c>
      <c r="L585" s="19" t="str">
        <f aca="false">IF(OR($A585="",INDEX(_LEITURA!$Q$2:$Q$21,2)=0),"",SUMIFS(DECKS!$D$2:$D$1201,DECKS!$A$2:$A$1201,INDEX(_LEITURA!$P$2:$P$21,2),DECKS!$B$2:$B$1201,$A585))</f>
        <v/>
      </c>
      <c r="M585" s="19" t="str">
        <f aca="false">IF(OR($A585="",INDEX(_LEITURA!$Q$2:$Q$21,3)=0),"",SUMIFS(DECKS!$D$2:$D$1201,DECKS!$A$2:$A$1201,INDEX(_LEITURA!$P$2:$P$21,3),DECKS!$B$2:$B$1201,$A585))</f>
        <v/>
      </c>
      <c r="N585" s="19" t="str">
        <f aca="false">IF(OR($A585="",INDEX(_LEITURA!$Q$2:$Q$21,4)=0),"",SUMIFS(DECKS!$D$2:$D$1201,DECKS!$A$2:$A$1201,INDEX(_LEITURA!$P$2:$P$21,4),DECKS!$B$2:$B$1201,$A585))</f>
        <v/>
      </c>
      <c r="O585" s="19" t="str">
        <f aca="false">IF(OR($A585="",INDEX(_LEITURA!$Q$2:$Q$21,5)=0),"",SUMIFS(DECKS!$D$2:$D$1201,DECKS!$A$2:$A$1201,INDEX(_LEITURA!$P$2:$P$21,5),DECKS!$B$2:$B$1201,$A585))</f>
        <v/>
      </c>
      <c r="P585" s="19" t="str">
        <f aca="false">IF(OR($A585="",INDEX(_LEITURA!$Q$2:$Q$21,6)=0),"",SUMIFS(DECKS!$D$2:$D$1201,DECKS!$A$2:$A$1201,INDEX(_LEITURA!$P$2:$P$21,6),DECKS!$B$2:$B$1201,$A585))</f>
        <v/>
      </c>
      <c r="Q585" s="19" t="str">
        <f aca="false">IF(OR($A585="",INDEX(_LEITURA!$Q$2:$Q$21,7)=0),"",SUMIFS(DECKS!$D$2:$D$1201,DECKS!$A$2:$A$1201,INDEX(_LEITURA!$P$2:$P$21,7),DECKS!$B$2:$B$1201,$A585))</f>
        <v/>
      </c>
      <c r="R585" s="19" t="str">
        <f aca="false">IF(OR($A585="",INDEX(_LEITURA!$Q$2:$Q$21,8)=0),"",SUMIFS(DECKS!$D$2:$D$1201,DECKS!$A$2:$A$1201,INDEX(_LEITURA!$P$2:$P$21,8),DECKS!$B$2:$B$1201,$A585))</f>
        <v/>
      </c>
      <c r="S585" s="19" t="str">
        <f aca="false">IF(OR($A585="",INDEX(_LEITURA!$Q$2:$Q$21,9)=0),"",SUMIFS(DECKS!$D$2:$D$1201,DECKS!$A$2:$A$1201,INDEX(_LEITURA!$P$2:$P$21,9),DECKS!$B$2:$B$1201,$A585))</f>
        <v/>
      </c>
      <c r="T585" s="19" t="str">
        <f aca="false">IF(OR($A585="",INDEX(_LEITURA!$Q$2:$Q$21,10)=0),"",SUMIFS(DECKS!$D$2:$D$1201,DECKS!$A$2:$A$1201,INDEX(_LEITURA!$P$2:$P$21,10),DECKS!$B$2:$B$1201,$A585))</f>
        <v/>
      </c>
      <c r="U585" s="19" t="str">
        <f aca="false">IF(OR($A585="",INDEX(_LEITURA!$Q$2:$Q$21,11)=0),"",SUMIFS(DECKS!$D$2:$D$1201,DECKS!$A$2:$A$1201,INDEX(_LEITURA!$P$2:$P$21,11),DECKS!$B$2:$B$1201,$A585))</f>
        <v/>
      </c>
      <c r="V585" s="19" t="str">
        <f aca="false">IF(OR($A585="",INDEX(_LEITURA!$Q$2:$Q$21,12)=0),"",SUMIFS(DECKS!$D$2:$D$1201,DECKS!$A$2:$A$1201,INDEX(_LEITURA!$P$2:$P$21,12),DECKS!$B$2:$B$1201,$A585))</f>
        <v/>
      </c>
      <c r="W585" s="19" t="str">
        <f aca="false">IF(OR($A585="",INDEX(_LEITURA!$Q$2:$Q$21,13)=0),"",SUMIFS(DECKS!$D$2:$D$1201,DECKS!$A$2:$A$1201,INDEX(_LEITURA!$P$2:$P$21,13),DECKS!$B$2:$B$1201,$A585))</f>
        <v/>
      </c>
      <c r="X585" s="19" t="str">
        <f aca="false">IF(OR($A585="",INDEX(_LEITURA!$Q$2:$Q$21,14)=0),"",SUMIFS(DECKS!$D$2:$D$1201,DECKS!$A$2:$A$1201,INDEX(_LEITURA!$P$2:$P$21,14),DECKS!$B$2:$B$1201,$A585))</f>
        <v/>
      </c>
      <c r="Y585" s="19" t="str">
        <f aca="false">IF(OR($A585="",INDEX(_LEITURA!$Q$2:$Q$21,15)=0),"",SUMIFS(DECKS!$D$2:$D$1201,DECKS!$A$2:$A$1201,INDEX(_LEITURA!$P$2:$P$21,15),DECKS!$B$2:$B$1201,$A585))</f>
        <v/>
      </c>
      <c r="Z585" s="19" t="str">
        <f aca="false">IF(OR($A585="",INDEX(_LEITURA!$Q$2:$Q$21,16)=0),"",SUMIFS(DECKS!$D$2:$D$1201,DECKS!$A$2:$A$1201,INDEX(_LEITURA!$P$2:$P$21,16),DECKS!$B$2:$B$1201,$A585))</f>
        <v/>
      </c>
      <c r="AA585" s="19" t="str">
        <f aca="false">IF(OR($A585="",INDEX(_LEITURA!$Q$2:$Q$21,17)=0),"",SUMIFS(DECKS!$D$2:$D$1201,DECKS!$A$2:$A$1201,INDEX(_LEITURA!$P$2:$P$21,17),DECKS!$B$2:$B$1201,$A585))</f>
        <v/>
      </c>
      <c r="AB585" s="19" t="str">
        <f aca="false">IF(OR($A585="",INDEX(_LEITURA!$Q$2:$Q$21,18)=0),"",SUMIFS(DECKS!$D$2:$D$1201,DECKS!$A$2:$A$1201,INDEX(_LEITURA!$P$2:$P$21,18),DECKS!$B$2:$B$1201,$A585))</f>
        <v/>
      </c>
      <c r="AC585" s="19" t="str">
        <f aca="false">IF(OR($A585="",INDEX(_LEITURA!$Q$2:$Q$21,19)=0),"",SUMIFS(DECKS!$D$2:$D$1201,DECKS!$A$2:$A$1201,INDEX(_LEITURA!$P$2:$P$21,19),DECKS!$B$2:$B$1201,$A585))</f>
        <v/>
      </c>
      <c r="AD585" s="19" t="str">
        <f aca="false">IF(OR($A585="",INDEX(_LEITURA!$Q$2:$Q$21,20)=0),"",SUMIFS(DECKS!$D$2:$D$1201,DECKS!$A$2:$A$1201,INDEX(_LEITURA!$P$2:$P$21,20),DECKS!$B$2:$B$1201,$A585))</f>
        <v/>
      </c>
      <c r="AE585" s="16" t="str">
        <f aca="false">IF(N(E585)&gt;0,MAX(AE$1:AE584)+1,"")</f>
        <v/>
      </c>
      <c r="AF585" s="11" t="str">
        <f aca="false">IF(A585="","",IFERROR(LEFT(A585,FIND("-",A585)-1),A585))</f>
        <v/>
      </c>
      <c r="AG585" s="11" t="str">
        <f aca="false">IF(AF585="","",IF(ISNUMBER(--MID(AF585,1,1)),0,IF(ISNUMBER(--MID(AF585,2,1)),1,IF(ISNUMBER(--MID(AF585,3,1)),2,IF(ISNUMBER(--MID(AF585,4,1)),3,MIN(LEN(AF585),4))))))</f>
        <v/>
      </c>
      <c r="AH585" s="11" t="str">
        <f aca="false">IF(A585="","",LEFT(AF585,AG585)&amp;REPT("0",4-AG585)&amp;RIGHT("000"&amp;IFERROR(VALUE(MID(AF585,AG585+1,9)),0),3)&amp;RIGHT("0000"&amp;IFERROR(VALUE(MID(A585,FIND("-",A585)+1,9)),0),4))</f>
        <v/>
      </c>
      <c r="AI585" s="11" t="str">
        <f aca="false">IF(OR(A585="",N(E585)&lt;=0),"",IF('FALTAS GERAL'!$M$1="Código","K"&amp;AH585&amp;RIGHT("00000"&amp;ROW(),5),IF('FALTAS GERAL'!$M$1="Nome","K"&amp;UPPER(SUBSTITUTE(SUBSTITUTE(SUBSTITUTE(B585,"*",""),"?",""),"~",""))&amp;"0"&amp;AH585&amp;RIGHT("00000"&amp;ROW(),5),IF('FALTAS GERAL'!$M$1="Falta (maior primeiro)","K"&amp;RIGHT("0000"&amp;(9999-E585),4)&amp;AH585&amp;RIGHT("00000"&amp;ROW(),5),IF('FALTAS GERAL'!$M$1="Nº de decks (maior primeiro)","K"&amp;RIGHT("00"&amp;(99-N(G585)),2)&amp;AH585&amp;RIGHT("00000"&amp;ROW(),5),"K"&amp;RIGHT("00000"&amp;ROW(),5))))))</f>
        <v/>
      </c>
      <c r="AJ585" s="11" t="str">
        <f aca="false">IF(AI585="","",COUNTIFS($AI$2:$AI$801,"&lt;"&amp;AI585,$E$2:$E$801,"&gt;0")+1)</f>
        <v/>
      </c>
      <c r="AK585" s="11" t="str">
        <f aca="false">IF(OR(A585="",N(E585)&lt;=0),"",COUNTIFS($AH$2:$AH$801,"&lt;"&amp;AH585,$E$2:$E$801,"&gt;0")+COUNTIFS($AH$2:AH585,AH585,$E$2:E585,"&gt;0"))</f>
        <v/>
      </c>
    </row>
    <row r="586" customFormat="false" ht="15" hidden="false" customHeight="false" outlineLevel="0" collapsed="false">
      <c r="A586" s="11" t="str">
        <f aca="false">IF(INVENTÁRIO!A586="","",INVENTÁRIO!A586)</f>
        <v/>
      </c>
      <c r="B586" s="11" t="str">
        <f aca="false">IF(A586="","",INVENTÁRIO!B586)</f>
        <v/>
      </c>
      <c r="C586" s="16" t="str">
        <f aca="false">IF(A586="","",INVENTÁRIO!C586)</f>
        <v/>
      </c>
      <c r="D586" s="14" t="str">
        <f aca="false">IF(A586="","",MAX(K586:AD586))</f>
        <v/>
      </c>
      <c r="E586" s="14" t="str">
        <f aca="false">IF(A586="","",MAX(0,D586-C586))</f>
        <v/>
      </c>
      <c r="F586" s="16" t="str">
        <f aca="false">IF(A586="","",IF(D586=0,"Fora dos decks",IF(E586=0,"Completo","Falta")))</f>
        <v/>
      </c>
      <c r="G586" s="16" t="str">
        <f aca="false">IF(A586="","",COUNTIF(K586:AD586,"&gt;0"))</f>
        <v/>
      </c>
      <c r="H586" s="16" t="str">
        <f aca="false">IF(A586="","",IF(G586&gt;1,"Sim",""))</f>
        <v/>
      </c>
      <c r="I586" s="18" t="str">
        <f aca="false">IF(A586="","",SUMIFS(DECKS!$D$2:$D$1201,DECKS!$B$2:$B$1201,A586))</f>
        <v/>
      </c>
      <c r="J586" s="18" t="str">
        <f aca="false">IF(A586="","",MAX(0,I586-C586))</f>
        <v/>
      </c>
      <c r="K586" s="19" t="str">
        <f aca="false">IF(OR($A586="",INDEX(_LEITURA!$Q$2:$Q$21,1)=0),"",SUMIFS(DECKS!$D$2:$D$1201,DECKS!$A$2:$A$1201,INDEX(_LEITURA!$P$2:$P$21,1),DECKS!$B$2:$B$1201,$A586))</f>
        <v/>
      </c>
      <c r="L586" s="19" t="str">
        <f aca="false">IF(OR($A586="",INDEX(_LEITURA!$Q$2:$Q$21,2)=0),"",SUMIFS(DECKS!$D$2:$D$1201,DECKS!$A$2:$A$1201,INDEX(_LEITURA!$P$2:$P$21,2),DECKS!$B$2:$B$1201,$A586))</f>
        <v/>
      </c>
      <c r="M586" s="19" t="str">
        <f aca="false">IF(OR($A586="",INDEX(_LEITURA!$Q$2:$Q$21,3)=0),"",SUMIFS(DECKS!$D$2:$D$1201,DECKS!$A$2:$A$1201,INDEX(_LEITURA!$P$2:$P$21,3),DECKS!$B$2:$B$1201,$A586))</f>
        <v/>
      </c>
      <c r="N586" s="19" t="str">
        <f aca="false">IF(OR($A586="",INDEX(_LEITURA!$Q$2:$Q$21,4)=0),"",SUMIFS(DECKS!$D$2:$D$1201,DECKS!$A$2:$A$1201,INDEX(_LEITURA!$P$2:$P$21,4),DECKS!$B$2:$B$1201,$A586))</f>
        <v/>
      </c>
      <c r="O586" s="19" t="str">
        <f aca="false">IF(OR($A586="",INDEX(_LEITURA!$Q$2:$Q$21,5)=0),"",SUMIFS(DECKS!$D$2:$D$1201,DECKS!$A$2:$A$1201,INDEX(_LEITURA!$P$2:$P$21,5),DECKS!$B$2:$B$1201,$A586))</f>
        <v/>
      </c>
      <c r="P586" s="19" t="str">
        <f aca="false">IF(OR($A586="",INDEX(_LEITURA!$Q$2:$Q$21,6)=0),"",SUMIFS(DECKS!$D$2:$D$1201,DECKS!$A$2:$A$1201,INDEX(_LEITURA!$P$2:$P$21,6),DECKS!$B$2:$B$1201,$A586))</f>
        <v/>
      </c>
      <c r="Q586" s="19" t="str">
        <f aca="false">IF(OR($A586="",INDEX(_LEITURA!$Q$2:$Q$21,7)=0),"",SUMIFS(DECKS!$D$2:$D$1201,DECKS!$A$2:$A$1201,INDEX(_LEITURA!$P$2:$P$21,7),DECKS!$B$2:$B$1201,$A586))</f>
        <v/>
      </c>
      <c r="R586" s="19" t="str">
        <f aca="false">IF(OR($A586="",INDEX(_LEITURA!$Q$2:$Q$21,8)=0),"",SUMIFS(DECKS!$D$2:$D$1201,DECKS!$A$2:$A$1201,INDEX(_LEITURA!$P$2:$P$21,8),DECKS!$B$2:$B$1201,$A586))</f>
        <v/>
      </c>
      <c r="S586" s="19" t="str">
        <f aca="false">IF(OR($A586="",INDEX(_LEITURA!$Q$2:$Q$21,9)=0),"",SUMIFS(DECKS!$D$2:$D$1201,DECKS!$A$2:$A$1201,INDEX(_LEITURA!$P$2:$P$21,9),DECKS!$B$2:$B$1201,$A586))</f>
        <v/>
      </c>
      <c r="T586" s="19" t="str">
        <f aca="false">IF(OR($A586="",INDEX(_LEITURA!$Q$2:$Q$21,10)=0),"",SUMIFS(DECKS!$D$2:$D$1201,DECKS!$A$2:$A$1201,INDEX(_LEITURA!$P$2:$P$21,10),DECKS!$B$2:$B$1201,$A586))</f>
        <v/>
      </c>
      <c r="U586" s="19" t="str">
        <f aca="false">IF(OR($A586="",INDEX(_LEITURA!$Q$2:$Q$21,11)=0),"",SUMIFS(DECKS!$D$2:$D$1201,DECKS!$A$2:$A$1201,INDEX(_LEITURA!$P$2:$P$21,11),DECKS!$B$2:$B$1201,$A586))</f>
        <v/>
      </c>
      <c r="V586" s="19" t="str">
        <f aca="false">IF(OR($A586="",INDEX(_LEITURA!$Q$2:$Q$21,12)=0),"",SUMIFS(DECKS!$D$2:$D$1201,DECKS!$A$2:$A$1201,INDEX(_LEITURA!$P$2:$P$21,12),DECKS!$B$2:$B$1201,$A586))</f>
        <v/>
      </c>
      <c r="W586" s="19" t="str">
        <f aca="false">IF(OR($A586="",INDEX(_LEITURA!$Q$2:$Q$21,13)=0),"",SUMIFS(DECKS!$D$2:$D$1201,DECKS!$A$2:$A$1201,INDEX(_LEITURA!$P$2:$P$21,13),DECKS!$B$2:$B$1201,$A586))</f>
        <v/>
      </c>
      <c r="X586" s="19" t="str">
        <f aca="false">IF(OR($A586="",INDEX(_LEITURA!$Q$2:$Q$21,14)=0),"",SUMIFS(DECKS!$D$2:$D$1201,DECKS!$A$2:$A$1201,INDEX(_LEITURA!$P$2:$P$21,14),DECKS!$B$2:$B$1201,$A586))</f>
        <v/>
      </c>
      <c r="Y586" s="19" t="str">
        <f aca="false">IF(OR($A586="",INDEX(_LEITURA!$Q$2:$Q$21,15)=0),"",SUMIFS(DECKS!$D$2:$D$1201,DECKS!$A$2:$A$1201,INDEX(_LEITURA!$P$2:$P$21,15),DECKS!$B$2:$B$1201,$A586))</f>
        <v/>
      </c>
      <c r="Z586" s="19" t="str">
        <f aca="false">IF(OR($A586="",INDEX(_LEITURA!$Q$2:$Q$21,16)=0),"",SUMIFS(DECKS!$D$2:$D$1201,DECKS!$A$2:$A$1201,INDEX(_LEITURA!$P$2:$P$21,16),DECKS!$B$2:$B$1201,$A586))</f>
        <v/>
      </c>
      <c r="AA586" s="19" t="str">
        <f aca="false">IF(OR($A586="",INDEX(_LEITURA!$Q$2:$Q$21,17)=0),"",SUMIFS(DECKS!$D$2:$D$1201,DECKS!$A$2:$A$1201,INDEX(_LEITURA!$P$2:$P$21,17),DECKS!$B$2:$B$1201,$A586))</f>
        <v/>
      </c>
      <c r="AB586" s="19" t="str">
        <f aca="false">IF(OR($A586="",INDEX(_LEITURA!$Q$2:$Q$21,18)=0),"",SUMIFS(DECKS!$D$2:$D$1201,DECKS!$A$2:$A$1201,INDEX(_LEITURA!$P$2:$P$21,18),DECKS!$B$2:$B$1201,$A586))</f>
        <v/>
      </c>
      <c r="AC586" s="19" t="str">
        <f aca="false">IF(OR($A586="",INDEX(_LEITURA!$Q$2:$Q$21,19)=0),"",SUMIFS(DECKS!$D$2:$D$1201,DECKS!$A$2:$A$1201,INDEX(_LEITURA!$P$2:$P$21,19),DECKS!$B$2:$B$1201,$A586))</f>
        <v/>
      </c>
      <c r="AD586" s="19" t="str">
        <f aca="false">IF(OR($A586="",INDEX(_LEITURA!$Q$2:$Q$21,20)=0),"",SUMIFS(DECKS!$D$2:$D$1201,DECKS!$A$2:$A$1201,INDEX(_LEITURA!$P$2:$P$21,20),DECKS!$B$2:$B$1201,$A586))</f>
        <v/>
      </c>
      <c r="AE586" s="16" t="str">
        <f aca="false">IF(N(E586)&gt;0,MAX(AE$1:AE585)+1,"")</f>
        <v/>
      </c>
      <c r="AF586" s="11" t="str">
        <f aca="false">IF(A586="","",IFERROR(LEFT(A586,FIND("-",A586)-1),A586))</f>
        <v/>
      </c>
      <c r="AG586" s="11" t="str">
        <f aca="false">IF(AF586="","",IF(ISNUMBER(--MID(AF586,1,1)),0,IF(ISNUMBER(--MID(AF586,2,1)),1,IF(ISNUMBER(--MID(AF586,3,1)),2,IF(ISNUMBER(--MID(AF586,4,1)),3,MIN(LEN(AF586),4))))))</f>
        <v/>
      </c>
      <c r="AH586" s="11" t="str">
        <f aca="false">IF(A586="","",LEFT(AF586,AG586)&amp;REPT("0",4-AG586)&amp;RIGHT("000"&amp;IFERROR(VALUE(MID(AF586,AG586+1,9)),0),3)&amp;RIGHT("0000"&amp;IFERROR(VALUE(MID(A586,FIND("-",A586)+1,9)),0),4))</f>
        <v/>
      </c>
      <c r="AI586" s="11" t="str">
        <f aca="false">IF(OR(A586="",N(E586)&lt;=0),"",IF('FALTAS GERAL'!$M$1="Código","K"&amp;AH586&amp;RIGHT("00000"&amp;ROW(),5),IF('FALTAS GERAL'!$M$1="Nome","K"&amp;UPPER(SUBSTITUTE(SUBSTITUTE(SUBSTITUTE(B586,"*",""),"?",""),"~",""))&amp;"0"&amp;AH586&amp;RIGHT("00000"&amp;ROW(),5),IF('FALTAS GERAL'!$M$1="Falta (maior primeiro)","K"&amp;RIGHT("0000"&amp;(9999-E586),4)&amp;AH586&amp;RIGHT("00000"&amp;ROW(),5),IF('FALTAS GERAL'!$M$1="Nº de decks (maior primeiro)","K"&amp;RIGHT("00"&amp;(99-N(G586)),2)&amp;AH586&amp;RIGHT("00000"&amp;ROW(),5),"K"&amp;RIGHT("00000"&amp;ROW(),5))))))</f>
        <v/>
      </c>
      <c r="AJ586" s="11" t="str">
        <f aca="false">IF(AI586="","",COUNTIFS($AI$2:$AI$801,"&lt;"&amp;AI586,$E$2:$E$801,"&gt;0")+1)</f>
        <v/>
      </c>
      <c r="AK586" s="11" t="str">
        <f aca="false">IF(OR(A586="",N(E586)&lt;=0),"",COUNTIFS($AH$2:$AH$801,"&lt;"&amp;AH586,$E$2:$E$801,"&gt;0")+COUNTIFS($AH$2:AH586,AH586,$E$2:E586,"&gt;0"))</f>
        <v/>
      </c>
    </row>
    <row r="587" customFormat="false" ht="15" hidden="false" customHeight="false" outlineLevel="0" collapsed="false">
      <c r="A587" s="11" t="str">
        <f aca="false">IF(INVENTÁRIO!A587="","",INVENTÁRIO!A587)</f>
        <v/>
      </c>
      <c r="B587" s="11" t="str">
        <f aca="false">IF(A587="","",INVENTÁRIO!B587)</f>
        <v/>
      </c>
      <c r="C587" s="16" t="str">
        <f aca="false">IF(A587="","",INVENTÁRIO!C587)</f>
        <v/>
      </c>
      <c r="D587" s="14" t="str">
        <f aca="false">IF(A587="","",MAX(K587:AD587))</f>
        <v/>
      </c>
      <c r="E587" s="14" t="str">
        <f aca="false">IF(A587="","",MAX(0,D587-C587))</f>
        <v/>
      </c>
      <c r="F587" s="16" t="str">
        <f aca="false">IF(A587="","",IF(D587=0,"Fora dos decks",IF(E587=0,"Completo","Falta")))</f>
        <v/>
      </c>
      <c r="G587" s="16" t="str">
        <f aca="false">IF(A587="","",COUNTIF(K587:AD587,"&gt;0"))</f>
        <v/>
      </c>
      <c r="H587" s="16" t="str">
        <f aca="false">IF(A587="","",IF(G587&gt;1,"Sim",""))</f>
        <v/>
      </c>
      <c r="I587" s="18" t="str">
        <f aca="false">IF(A587="","",SUMIFS(DECKS!$D$2:$D$1201,DECKS!$B$2:$B$1201,A587))</f>
        <v/>
      </c>
      <c r="J587" s="18" t="str">
        <f aca="false">IF(A587="","",MAX(0,I587-C587))</f>
        <v/>
      </c>
      <c r="K587" s="19" t="str">
        <f aca="false">IF(OR($A587="",INDEX(_LEITURA!$Q$2:$Q$21,1)=0),"",SUMIFS(DECKS!$D$2:$D$1201,DECKS!$A$2:$A$1201,INDEX(_LEITURA!$P$2:$P$21,1),DECKS!$B$2:$B$1201,$A587))</f>
        <v/>
      </c>
      <c r="L587" s="19" t="str">
        <f aca="false">IF(OR($A587="",INDEX(_LEITURA!$Q$2:$Q$21,2)=0),"",SUMIFS(DECKS!$D$2:$D$1201,DECKS!$A$2:$A$1201,INDEX(_LEITURA!$P$2:$P$21,2),DECKS!$B$2:$B$1201,$A587))</f>
        <v/>
      </c>
      <c r="M587" s="19" t="str">
        <f aca="false">IF(OR($A587="",INDEX(_LEITURA!$Q$2:$Q$21,3)=0),"",SUMIFS(DECKS!$D$2:$D$1201,DECKS!$A$2:$A$1201,INDEX(_LEITURA!$P$2:$P$21,3),DECKS!$B$2:$B$1201,$A587))</f>
        <v/>
      </c>
      <c r="N587" s="19" t="str">
        <f aca="false">IF(OR($A587="",INDEX(_LEITURA!$Q$2:$Q$21,4)=0),"",SUMIFS(DECKS!$D$2:$D$1201,DECKS!$A$2:$A$1201,INDEX(_LEITURA!$P$2:$P$21,4),DECKS!$B$2:$B$1201,$A587))</f>
        <v/>
      </c>
      <c r="O587" s="19" t="str">
        <f aca="false">IF(OR($A587="",INDEX(_LEITURA!$Q$2:$Q$21,5)=0),"",SUMIFS(DECKS!$D$2:$D$1201,DECKS!$A$2:$A$1201,INDEX(_LEITURA!$P$2:$P$21,5),DECKS!$B$2:$B$1201,$A587))</f>
        <v/>
      </c>
      <c r="P587" s="19" t="str">
        <f aca="false">IF(OR($A587="",INDEX(_LEITURA!$Q$2:$Q$21,6)=0),"",SUMIFS(DECKS!$D$2:$D$1201,DECKS!$A$2:$A$1201,INDEX(_LEITURA!$P$2:$P$21,6),DECKS!$B$2:$B$1201,$A587))</f>
        <v/>
      </c>
      <c r="Q587" s="19" t="str">
        <f aca="false">IF(OR($A587="",INDEX(_LEITURA!$Q$2:$Q$21,7)=0),"",SUMIFS(DECKS!$D$2:$D$1201,DECKS!$A$2:$A$1201,INDEX(_LEITURA!$P$2:$P$21,7),DECKS!$B$2:$B$1201,$A587))</f>
        <v/>
      </c>
      <c r="R587" s="19" t="str">
        <f aca="false">IF(OR($A587="",INDEX(_LEITURA!$Q$2:$Q$21,8)=0),"",SUMIFS(DECKS!$D$2:$D$1201,DECKS!$A$2:$A$1201,INDEX(_LEITURA!$P$2:$P$21,8),DECKS!$B$2:$B$1201,$A587))</f>
        <v/>
      </c>
      <c r="S587" s="19" t="str">
        <f aca="false">IF(OR($A587="",INDEX(_LEITURA!$Q$2:$Q$21,9)=0),"",SUMIFS(DECKS!$D$2:$D$1201,DECKS!$A$2:$A$1201,INDEX(_LEITURA!$P$2:$P$21,9),DECKS!$B$2:$B$1201,$A587))</f>
        <v/>
      </c>
      <c r="T587" s="19" t="str">
        <f aca="false">IF(OR($A587="",INDEX(_LEITURA!$Q$2:$Q$21,10)=0),"",SUMIFS(DECKS!$D$2:$D$1201,DECKS!$A$2:$A$1201,INDEX(_LEITURA!$P$2:$P$21,10),DECKS!$B$2:$B$1201,$A587))</f>
        <v/>
      </c>
      <c r="U587" s="19" t="str">
        <f aca="false">IF(OR($A587="",INDEX(_LEITURA!$Q$2:$Q$21,11)=0),"",SUMIFS(DECKS!$D$2:$D$1201,DECKS!$A$2:$A$1201,INDEX(_LEITURA!$P$2:$P$21,11),DECKS!$B$2:$B$1201,$A587))</f>
        <v/>
      </c>
      <c r="V587" s="19" t="str">
        <f aca="false">IF(OR($A587="",INDEX(_LEITURA!$Q$2:$Q$21,12)=0),"",SUMIFS(DECKS!$D$2:$D$1201,DECKS!$A$2:$A$1201,INDEX(_LEITURA!$P$2:$P$21,12),DECKS!$B$2:$B$1201,$A587))</f>
        <v/>
      </c>
      <c r="W587" s="19" t="str">
        <f aca="false">IF(OR($A587="",INDEX(_LEITURA!$Q$2:$Q$21,13)=0),"",SUMIFS(DECKS!$D$2:$D$1201,DECKS!$A$2:$A$1201,INDEX(_LEITURA!$P$2:$P$21,13),DECKS!$B$2:$B$1201,$A587))</f>
        <v/>
      </c>
      <c r="X587" s="19" t="str">
        <f aca="false">IF(OR($A587="",INDEX(_LEITURA!$Q$2:$Q$21,14)=0),"",SUMIFS(DECKS!$D$2:$D$1201,DECKS!$A$2:$A$1201,INDEX(_LEITURA!$P$2:$P$21,14),DECKS!$B$2:$B$1201,$A587))</f>
        <v/>
      </c>
      <c r="Y587" s="19" t="str">
        <f aca="false">IF(OR($A587="",INDEX(_LEITURA!$Q$2:$Q$21,15)=0),"",SUMIFS(DECKS!$D$2:$D$1201,DECKS!$A$2:$A$1201,INDEX(_LEITURA!$P$2:$P$21,15),DECKS!$B$2:$B$1201,$A587))</f>
        <v/>
      </c>
      <c r="Z587" s="19" t="str">
        <f aca="false">IF(OR($A587="",INDEX(_LEITURA!$Q$2:$Q$21,16)=0),"",SUMIFS(DECKS!$D$2:$D$1201,DECKS!$A$2:$A$1201,INDEX(_LEITURA!$P$2:$P$21,16),DECKS!$B$2:$B$1201,$A587))</f>
        <v/>
      </c>
      <c r="AA587" s="19" t="str">
        <f aca="false">IF(OR($A587="",INDEX(_LEITURA!$Q$2:$Q$21,17)=0),"",SUMIFS(DECKS!$D$2:$D$1201,DECKS!$A$2:$A$1201,INDEX(_LEITURA!$P$2:$P$21,17),DECKS!$B$2:$B$1201,$A587))</f>
        <v/>
      </c>
      <c r="AB587" s="19" t="str">
        <f aca="false">IF(OR($A587="",INDEX(_LEITURA!$Q$2:$Q$21,18)=0),"",SUMIFS(DECKS!$D$2:$D$1201,DECKS!$A$2:$A$1201,INDEX(_LEITURA!$P$2:$P$21,18),DECKS!$B$2:$B$1201,$A587))</f>
        <v/>
      </c>
      <c r="AC587" s="19" t="str">
        <f aca="false">IF(OR($A587="",INDEX(_LEITURA!$Q$2:$Q$21,19)=0),"",SUMIFS(DECKS!$D$2:$D$1201,DECKS!$A$2:$A$1201,INDEX(_LEITURA!$P$2:$P$21,19),DECKS!$B$2:$B$1201,$A587))</f>
        <v/>
      </c>
      <c r="AD587" s="19" t="str">
        <f aca="false">IF(OR($A587="",INDEX(_LEITURA!$Q$2:$Q$21,20)=0),"",SUMIFS(DECKS!$D$2:$D$1201,DECKS!$A$2:$A$1201,INDEX(_LEITURA!$P$2:$P$21,20),DECKS!$B$2:$B$1201,$A587))</f>
        <v/>
      </c>
      <c r="AE587" s="16" t="str">
        <f aca="false">IF(N(E587)&gt;0,MAX(AE$1:AE586)+1,"")</f>
        <v/>
      </c>
      <c r="AF587" s="11" t="str">
        <f aca="false">IF(A587="","",IFERROR(LEFT(A587,FIND("-",A587)-1),A587))</f>
        <v/>
      </c>
      <c r="AG587" s="11" t="str">
        <f aca="false">IF(AF587="","",IF(ISNUMBER(--MID(AF587,1,1)),0,IF(ISNUMBER(--MID(AF587,2,1)),1,IF(ISNUMBER(--MID(AF587,3,1)),2,IF(ISNUMBER(--MID(AF587,4,1)),3,MIN(LEN(AF587),4))))))</f>
        <v/>
      </c>
      <c r="AH587" s="11" t="str">
        <f aca="false">IF(A587="","",LEFT(AF587,AG587)&amp;REPT("0",4-AG587)&amp;RIGHT("000"&amp;IFERROR(VALUE(MID(AF587,AG587+1,9)),0),3)&amp;RIGHT("0000"&amp;IFERROR(VALUE(MID(A587,FIND("-",A587)+1,9)),0),4))</f>
        <v/>
      </c>
      <c r="AI587" s="11" t="str">
        <f aca="false">IF(OR(A587="",N(E587)&lt;=0),"",IF('FALTAS GERAL'!$M$1="Código","K"&amp;AH587&amp;RIGHT("00000"&amp;ROW(),5),IF('FALTAS GERAL'!$M$1="Nome","K"&amp;UPPER(SUBSTITUTE(SUBSTITUTE(SUBSTITUTE(B587,"*",""),"?",""),"~",""))&amp;"0"&amp;AH587&amp;RIGHT("00000"&amp;ROW(),5),IF('FALTAS GERAL'!$M$1="Falta (maior primeiro)","K"&amp;RIGHT("0000"&amp;(9999-E587),4)&amp;AH587&amp;RIGHT("00000"&amp;ROW(),5),IF('FALTAS GERAL'!$M$1="Nº de decks (maior primeiro)","K"&amp;RIGHT("00"&amp;(99-N(G587)),2)&amp;AH587&amp;RIGHT("00000"&amp;ROW(),5),"K"&amp;RIGHT("00000"&amp;ROW(),5))))))</f>
        <v/>
      </c>
      <c r="AJ587" s="11" t="str">
        <f aca="false">IF(AI587="","",COUNTIFS($AI$2:$AI$801,"&lt;"&amp;AI587,$E$2:$E$801,"&gt;0")+1)</f>
        <v/>
      </c>
      <c r="AK587" s="11" t="str">
        <f aca="false">IF(OR(A587="",N(E587)&lt;=0),"",COUNTIFS($AH$2:$AH$801,"&lt;"&amp;AH587,$E$2:$E$801,"&gt;0")+COUNTIFS($AH$2:AH587,AH587,$E$2:E587,"&gt;0"))</f>
        <v/>
      </c>
    </row>
    <row r="588" customFormat="false" ht="15" hidden="false" customHeight="false" outlineLevel="0" collapsed="false">
      <c r="A588" s="11" t="str">
        <f aca="false">IF(INVENTÁRIO!A588="","",INVENTÁRIO!A588)</f>
        <v/>
      </c>
      <c r="B588" s="11" t="str">
        <f aca="false">IF(A588="","",INVENTÁRIO!B588)</f>
        <v/>
      </c>
      <c r="C588" s="16" t="str">
        <f aca="false">IF(A588="","",INVENTÁRIO!C588)</f>
        <v/>
      </c>
      <c r="D588" s="14" t="str">
        <f aca="false">IF(A588="","",MAX(K588:AD588))</f>
        <v/>
      </c>
      <c r="E588" s="14" t="str">
        <f aca="false">IF(A588="","",MAX(0,D588-C588))</f>
        <v/>
      </c>
      <c r="F588" s="16" t="str">
        <f aca="false">IF(A588="","",IF(D588=0,"Fora dos decks",IF(E588=0,"Completo","Falta")))</f>
        <v/>
      </c>
      <c r="G588" s="16" t="str">
        <f aca="false">IF(A588="","",COUNTIF(K588:AD588,"&gt;0"))</f>
        <v/>
      </c>
      <c r="H588" s="16" t="str">
        <f aca="false">IF(A588="","",IF(G588&gt;1,"Sim",""))</f>
        <v/>
      </c>
      <c r="I588" s="18" t="str">
        <f aca="false">IF(A588="","",SUMIFS(DECKS!$D$2:$D$1201,DECKS!$B$2:$B$1201,A588))</f>
        <v/>
      </c>
      <c r="J588" s="18" t="str">
        <f aca="false">IF(A588="","",MAX(0,I588-C588))</f>
        <v/>
      </c>
      <c r="K588" s="19" t="str">
        <f aca="false">IF(OR($A588="",INDEX(_LEITURA!$Q$2:$Q$21,1)=0),"",SUMIFS(DECKS!$D$2:$D$1201,DECKS!$A$2:$A$1201,INDEX(_LEITURA!$P$2:$P$21,1),DECKS!$B$2:$B$1201,$A588))</f>
        <v/>
      </c>
      <c r="L588" s="19" t="str">
        <f aca="false">IF(OR($A588="",INDEX(_LEITURA!$Q$2:$Q$21,2)=0),"",SUMIFS(DECKS!$D$2:$D$1201,DECKS!$A$2:$A$1201,INDEX(_LEITURA!$P$2:$P$21,2),DECKS!$B$2:$B$1201,$A588))</f>
        <v/>
      </c>
      <c r="M588" s="19" t="str">
        <f aca="false">IF(OR($A588="",INDEX(_LEITURA!$Q$2:$Q$21,3)=0),"",SUMIFS(DECKS!$D$2:$D$1201,DECKS!$A$2:$A$1201,INDEX(_LEITURA!$P$2:$P$21,3),DECKS!$B$2:$B$1201,$A588))</f>
        <v/>
      </c>
      <c r="N588" s="19" t="str">
        <f aca="false">IF(OR($A588="",INDEX(_LEITURA!$Q$2:$Q$21,4)=0),"",SUMIFS(DECKS!$D$2:$D$1201,DECKS!$A$2:$A$1201,INDEX(_LEITURA!$P$2:$P$21,4),DECKS!$B$2:$B$1201,$A588))</f>
        <v/>
      </c>
      <c r="O588" s="19" t="str">
        <f aca="false">IF(OR($A588="",INDEX(_LEITURA!$Q$2:$Q$21,5)=0),"",SUMIFS(DECKS!$D$2:$D$1201,DECKS!$A$2:$A$1201,INDEX(_LEITURA!$P$2:$P$21,5),DECKS!$B$2:$B$1201,$A588))</f>
        <v/>
      </c>
      <c r="P588" s="19" t="str">
        <f aca="false">IF(OR($A588="",INDEX(_LEITURA!$Q$2:$Q$21,6)=0),"",SUMIFS(DECKS!$D$2:$D$1201,DECKS!$A$2:$A$1201,INDEX(_LEITURA!$P$2:$P$21,6),DECKS!$B$2:$B$1201,$A588))</f>
        <v/>
      </c>
      <c r="Q588" s="19" t="str">
        <f aca="false">IF(OR($A588="",INDEX(_LEITURA!$Q$2:$Q$21,7)=0),"",SUMIFS(DECKS!$D$2:$D$1201,DECKS!$A$2:$A$1201,INDEX(_LEITURA!$P$2:$P$21,7),DECKS!$B$2:$B$1201,$A588))</f>
        <v/>
      </c>
      <c r="R588" s="19" t="str">
        <f aca="false">IF(OR($A588="",INDEX(_LEITURA!$Q$2:$Q$21,8)=0),"",SUMIFS(DECKS!$D$2:$D$1201,DECKS!$A$2:$A$1201,INDEX(_LEITURA!$P$2:$P$21,8),DECKS!$B$2:$B$1201,$A588))</f>
        <v/>
      </c>
      <c r="S588" s="19" t="str">
        <f aca="false">IF(OR($A588="",INDEX(_LEITURA!$Q$2:$Q$21,9)=0),"",SUMIFS(DECKS!$D$2:$D$1201,DECKS!$A$2:$A$1201,INDEX(_LEITURA!$P$2:$P$21,9),DECKS!$B$2:$B$1201,$A588))</f>
        <v/>
      </c>
      <c r="T588" s="19" t="str">
        <f aca="false">IF(OR($A588="",INDEX(_LEITURA!$Q$2:$Q$21,10)=0),"",SUMIFS(DECKS!$D$2:$D$1201,DECKS!$A$2:$A$1201,INDEX(_LEITURA!$P$2:$P$21,10),DECKS!$B$2:$B$1201,$A588))</f>
        <v/>
      </c>
      <c r="U588" s="19" t="str">
        <f aca="false">IF(OR($A588="",INDEX(_LEITURA!$Q$2:$Q$21,11)=0),"",SUMIFS(DECKS!$D$2:$D$1201,DECKS!$A$2:$A$1201,INDEX(_LEITURA!$P$2:$P$21,11),DECKS!$B$2:$B$1201,$A588))</f>
        <v/>
      </c>
      <c r="V588" s="19" t="str">
        <f aca="false">IF(OR($A588="",INDEX(_LEITURA!$Q$2:$Q$21,12)=0),"",SUMIFS(DECKS!$D$2:$D$1201,DECKS!$A$2:$A$1201,INDEX(_LEITURA!$P$2:$P$21,12),DECKS!$B$2:$B$1201,$A588))</f>
        <v/>
      </c>
      <c r="W588" s="19" t="str">
        <f aca="false">IF(OR($A588="",INDEX(_LEITURA!$Q$2:$Q$21,13)=0),"",SUMIFS(DECKS!$D$2:$D$1201,DECKS!$A$2:$A$1201,INDEX(_LEITURA!$P$2:$P$21,13),DECKS!$B$2:$B$1201,$A588))</f>
        <v/>
      </c>
      <c r="X588" s="19" t="str">
        <f aca="false">IF(OR($A588="",INDEX(_LEITURA!$Q$2:$Q$21,14)=0),"",SUMIFS(DECKS!$D$2:$D$1201,DECKS!$A$2:$A$1201,INDEX(_LEITURA!$P$2:$P$21,14),DECKS!$B$2:$B$1201,$A588))</f>
        <v/>
      </c>
      <c r="Y588" s="19" t="str">
        <f aca="false">IF(OR($A588="",INDEX(_LEITURA!$Q$2:$Q$21,15)=0),"",SUMIFS(DECKS!$D$2:$D$1201,DECKS!$A$2:$A$1201,INDEX(_LEITURA!$P$2:$P$21,15),DECKS!$B$2:$B$1201,$A588))</f>
        <v/>
      </c>
      <c r="Z588" s="19" t="str">
        <f aca="false">IF(OR($A588="",INDEX(_LEITURA!$Q$2:$Q$21,16)=0),"",SUMIFS(DECKS!$D$2:$D$1201,DECKS!$A$2:$A$1201,INDEX(_LEITURA!$P$2:$P$21,16),DECKS!$B$2:$B$1201,$A588))</f>
        <v/>
      </c>
      <c r="AA588" s="19" t="str">
        <f aca="false">IF(OR($A588="",INDEX(_LEITURA!$Q$2:$Q$21,17)=0),"",SUMIFS(DECKS!$D$2:$D$1201,DECKS!$A$2:$A$1201,INDEX(_LEITURA!$P$2:$P$21,17),DECKS!$B$2:$B$1201,$A588))</f>
        <v/>
      </c>
      <c r="AB588" s="19" t="str">
        <f aca="false">IF(OR($A588="",INDEX(_LEITURA!$Q$2:$Q$21,18)=0),"",SUMIFS(DECKS!$D$2:$D$1201,DECKS!$A$2:$A$1201,INDEX(_LEITURA!$P$2:$P$21,18),DECKS!$B$2:$B$1201,$A588))</f>
        <v/>
      </c>
      <c r="AC588" s="19" t="str">
        <f aca="false">IF(OR($A588="",INDEX(_LEITURA!$Q$2:$Q$21,19)=0),"",SUMIFS(DECKS!$D$2:$D$1201,DECKS!$A$2:$A$1201,INDEX(_LEITURA!$P$2:$P$21,19),DECKS!$B$2:$B$1201,$A588))</f>
        <v/>
      </c>
      <c r="AD588" s="19" t="str">
        <f aca="false">IF(OR($A588="",INDEX(_LEITURA!$Q$2:$Q$21,20)=0),"",SUMIFS(DECKS!$D$2:$D$1201,DECKS!$A$2:$A$1201,INDEX(_LEITURA!$P$2:$P$21,20),DECKS!$B$2:$B$1201,$A588))</f>
        <v/>
      </c>
      <c r="AE588" s="16" t="str">
        <f aca="false">IF(N(E588)&gt;0,MAX(AE$1:AE587)+1,"")</f>
        <v/>
      </c>
      <c r="AF588" s="11" t="str">
        <f aca="false">IF(A588="","",IFERROR(LEFT(A588,FIND("-",A588)-1),A588))</f>
        <v/>
      </c>
      <c r="AG588" s="11" t="str">
        <f aca="false">IF(AF588="","",IF(ISNUMBER(--MID(AF588,1,1)),0,IF(ISNUMBER(--MID(AF588,2,1)),1,IF(ISNUMBER(--MID(AF588,3,1)),2,IF(ISNUMBER(--MID(AF588,4,1)),3,MIN(LEN(AF588),4))))))</f>
        <v/>
      </c>
      <c r="AH588" s="11" t="str">
        <f aca="false">IF(A588="","",LEFT(AF588,AG588)&amp;REPT("0",4-AG588)&amp;RIGHT("000"&amp;IFERROR(VALUE(MID(AF588,AG588+1,9)),0),3)&amp;RIGHT("0000"&amp;IFERROR(VALUE(MID(A588,FIND("-",A588)+1,9)),0),4))</f>
        <v/>
      </c>
      <c r="AI588" s="11" t="str">
        <f aca="false">IF(OR(A588="",N(E588)&lt;=0),"",IF('FALTAS GERAL'!$M$1="Código","K"&amp;AH588&amp;RIGHT("00000"&amp;ROW(),5),IF('FALTAS GERAL'!$M$1="Nome","K"&amp;UPPER(SUBSTITUTE(SUBSTITUTE(SUBSTITUTE(B588,"*",""),"?",""),"~",""))&amp;"0"&amp;AH588&amp;RIGHT("00000"&amp;ROW(),5),IF('FALTAS GERAL'!$M$1="Falta (maior primeiro)","K"&amp;RIGHT("0000"&amp;(9999-E588),4)&amp;AH588&amp;RIGHT("00000"&amp;ROW(),5),IF('FALTAS GERAL'!$M$1="Nº de decks (maior primeiro)","K"&amp;RIGHT("00"&amp;(99-N(G588)),2)&amp;AH588&amp;RIGHT("00000"&amp;ROW(),5),"K"&amp;RIGHT("00000"&amp;ROW(),5))))))</f>
        <v/>
      </c>
      <c r="AJ588" s="11" t="str">
        <f aca="false">IF(AI588="","",COUNTIFS($AI$2:$AI$801,"&lt;"&amp;AI588,$E$2:$E$801,"&gt;0")+1)</f>
        <v/>
      </c>
      <c r="AK588" s="11" t="str">
        <f aca="false">IF(OR(A588="",N(E588)&lt;=0),"",COUNTIFS($AH$2:$AH$801,"&lt;"&amp;AH588,$E$2:$E$801,"&gt;0")+COUNTIFS($AH$2:AH588,AH588,$E$2:E588,"&gt;0"))</f>
        <v/>
      </c>
    </row>
    <row r="589" customFormat="false" ht="15" hidden="false" customHeight="false" outlineLevel="0" collapsed="false">
      <c r="A589" s="11" t="str">
        <f aca="false">IF(INVENTÁRIO!A589="","",INVENTÁRIO!A589)</f>
        <v/>
      </c>
      <c r="B589" s="11" t="str">
        <f aca="false">IF(A589="","",INVENTÁRIO!B589)</f>
        <v/>
      </c>
      <c r="C589" s="16" t="str">
        <f aca="false">IF(A589="","",INVENTÁRIO!C589)</f>
        <v/>
      </c>
      <c r="D589" s="14" t="str">
        <f aca="false">IF(A589="","",MAX(K589:AD589))</f>
        <v/>
      </c>
      <c r="E589" s="14" t="str">
        <f aca="false">IF(A589="","",MAX(0,D589-C589))</f>
        <v/>
      </c>
      <c r="F589" s="16" t="str">
        <f aca="false">IF(A589="","",IF(D589=0,"Fora dos decks",IF(E589=0,"Completo","Falta")))</f>
        <v/>
      </c>
      <c r="G589" s="16" t="str">
        <f aca="false">IF(A589="","",COUNTIF(K589:AD589,"&gt;0"))</f>
        <v/>
      </c>
      <c r="H589" s="16" t="str">
        <f aca="false">IF(A589="","",IF(G589&gt;1,"Sim",""))</f>
        <v/>
      </c>
      <c r="I589" s="18" t="str">
        <f aca="false">IF(A589="","",SUMIFS(DECKS!$D$2:$D$1201,DECKS!$B$2:$B$1201,A589))</f>
        <v/>
      </c>
      <c r="J589" s="18" t="str">
        <f aca="false">IF(A589="","",MAX(0,I589-C589))</f>
        <v/>
      </c>
      <c r="K589" s="19" t="str">
        <f aca="false">IF(OR($A589="",INDEX(_LEITURA!$Q$2:$Q$21,1)=0),"",SUMIFS(DECKS!$D$2:$D$1201,DECKS!$A$2:$A$1201,INDEX(_LEITURA!$P$2:$P$21,1),DECKS!$B$2:$B$1201,$A589))</f>
        <v/>
      </c>
      <c r="L589" s="19" t="str">
        <f aca="false">IF(OR($A589="",INDEX(_LEITURA!$Q$2:$Q$21,2)=0),"",SUMIFS(DECKS!$D$2:$D$1201,DECKS!$A$2:$A$1201,INDEX(_LEITURA!$P$2:$P$21,2),DECKS!$B$2:$B$1201,$A589))</f>
        <v/>
      </c>
      <c r="M589" s="19" t="str">
        <f aca="false">IF(OR($A589="",INDEX(_LEITURA!$Q$2:$Q$21,3)=0),"",SUMIFS(DECKS!$D$2:$D$1201,DECKS!$A$2:$A$1201,INDEX(_LEITURA!$P$2:$P$21,3),DECKS!$B$2:$B$1201,$A589))</f>
        <v/>
      </c>
      <c r="N589" s="19" t="str">
        <f aca="false">IF(OR($A589="",INDEX(_LEITURA!$Q$2:$Q$21,4)=0),"",SUMIFS(DECKS!$D$2:$D$1201,DECKS!$A$2:$A$1201,INDEX(_LEITURA!$P$2:$P$21,4),DECKS!$B$2:$B$1201,$A589))</f>
        <v/>
      </c>
      <c r="O589" s="19" t="str">
        <f aca="false">IF(OR($A589="",INDEX(_LEITURA!$Q$2:$Q$21,5)=0),"",SUMIFS(DECKS!$D$2:$D$1201,DECKS!$A$2:$A$1201,INDEX(_LEITURA!$P$2:$P$21,5),DECKS!$B$2:$B$1201,$A589))</f>
        <v/>
      </c>
      <c r="P589" s="19" t="str">
        <f aca="false">IF(OR($A589="",INDEX(_LEITURA!$Q$2:$Q$21,6)=0),"",SUMIFS(DECKS!$D$2:$D$1201,DECKS!$A$2:$A$1201,INDEX(_LEITURA!$P$2:$P$21,6),DECKS!$B$2:$B$1201,$A589))</f>
        <v/>
      </c>
      <c r="Q589" s="19" t="str">
        <f aca="false">IF(OR($A589="",INDEX(_LEITURA!$Q$2:$Q$21,7)=0),"",SUMIFS(DECKS!$D$2:$D$1201,DECKS!$A$2:$A$1201,INDEX(_LEITURA!$P$2:$P$21,7),DECKS!$B$2:$B$1201,$A589))</f>
        <v/>
      </c>
      <c r="R589" s="19" t="str">
        <f aca="false">IF(OR($A589="",INDEX(_LEITURA!$Q$2:$Q$21,8)=0),"",SUMIFS(DECKS!$D$2:$D$1201,DECKS!$A$2:$A$1201,INDEX(_LEITURA!$P$2:$P$21,8),DECKS!$B$2:$B$1201,$A589))</f>
        <v/>
      </c>
      <c r="S589" s="19" t="str">
        <f aca="false">IF(OR($A589="",INDEX(_LEITURA!$Q$2:$Q$21,9)=0),"",SUMIFS(DECKS!$D$2:$D$1201,DECKS!$A$2:$A$1201,INDEX(_LEITURA!$P$2:$P$21,9),DECKS!$B$2:$B$1201,$A589))</f>
        <v/>
      </c>
      <c r="T589" s="19" t="str">
        <f aca="false">IF(OR($A589="",INDEX(_LEITURA!$Q$2:$Q$21,10)=0),"",SUMIFS(DECKS!$D$2:$D$1201,DECKS!$A$2:$A$1201,INDEX(_LEITURA!$P$2:$P$21,10),DECKS!$B$2:$B$1201,$A589))</f>
        <v/>
      </c>
      <c r="U589" s="19" t="str">
        <f aca="false">IF(OR($A589="",INDEX(_LEITURA!$Q$2:$Q$21,11)=0),"",SUMIFS(DECKS!$D$2:$D$1201,DECKS!$A$2:$A$1201,INDEX(_LEITURA!$P$2:$P$21,11),DECKS!$B$2:$B$1201,$A589))</f>
        <v/>
      </c>
      <c r="V589" s="19" t="str">
        <f aca="false">IF(OR($A589="",INDEX(_LEITURA!$Q$2:$Q$21,12)=0),"",SUMIFS(DECKS!$D$2:$D$1201,DECKS!$A$2:$A$1201,INDEX(_LEITURA!$P$2:$P$21,12),DECKS!$B$2:$B$1201,$A589))</f>
        <v/>
      </c>
      <c r="W589" s="19" t="str">
        <f aca="false">IF(OR($A589="",INDEX(_LEITURA!$Q$2:$Q$21,13)=0),"",SUMIFS(DECKS!$D$2:$D$1201,DECKS!$A$2:$A$1201,INDEX(_LEITURA!$P$2:$P$21,13),DECKS!$B$2:$B$1201,$A589))</f>
        <v/>
      </c>
      <c r="X589" s="19" t="str">
        <f aca="false">IF(OR($A589="",INDEX(_LEITURA!$Q$2:$Q$21,14)=0),"",SUMIFS(DECKS!$D$2:$D$1201,DECKS!$A$2:$A$1201,INDEX(_LEITURA!$P$2:$P$21,14),DECKS!$B$2:$B$1201,$A589))</f>
        <v/>
      </c>
      <c r="Y589" s="19" t="str">
        <f aca="false">IF(OR($A589="",INDEX(_LEITURA!$Q$2:$Q$21,15)=0),"",SUMIFS(DECKS!$D$2:$D$1201,DECKS!$A$2:$A$1201,INDEX(_LEITURA!$P$2:$P$21,15),DECKS!$B$2:$B$1201,$A589))</f>
        <v/>
      </c>
      <c r="Z589" s="19" t="str">
        <f aca="false">IF(OR($A589="",INDEX(_LEITURA!$Q$2:$Q$21,16)=0),"",SUMIFS(DECKS!$D$2:$D$1201,DECKS!$A$2:$A$1201,INDEX(_LEITURA!$P$2:$P$21,16),DECKS!$B$2:$B$1201,$A589))</f>
        <v/>
      </c>
      <c r="AA589" s="19" t="str">
        <f aca="false">IF(OR($A589="",INDEX(_LEITURA!$Q$2:$Q$21,17)=0),"",SUMIFS(DECKS!$D$2:$D$1201,DECKS!$A$2:$A$1201,INDEX(_LEITURA!$P$2:$P$21,17),DECKS!$B$2:$B$1201,$A589))</f>
        <v/>
      </c>
      <c r="AB589" s="19" t="str">
        <f aca="false">IF(OR($A589="",INDEX(_LEITURA!$Q$2:$Q$21,18)=0),"",SUMIFS(DECKS!$D$2:$D$1201,DECKS!$A$2:$A$1201,INDEX(_LEITURA!$P$2:$P$21,18),DECKS!$B$2:$B$1201,$A589))</f>
        <v/>
      </c>
      <c r="AC589" s="19" t="str">
        <f aca="false">IF(OR($A589="",INDEX(_LEITURA!$Q$2:$Q$21,19)=0),"",SUMIFS(DECKS!$D$2:$D$1201,DECKS!$A$2:$A$1201,INDEX(_LEITURA!$P$2:$P$21,19),DECKS!$B$2:$B$1201,$A589))</f>
        <v/>
      </c>
      <c r="AD589" s="19" t="str">
        <f aca="false">IF(OR($A589="",INDEX(_LEITURA!$Q$2:$Q$21,20)=0),"",SUMIFS(DECKS!$D$2:$D$1201,DECKS!$A$2:$A$1201,INDEX(_LEITURA!$P$2:$P$21,20),DECKS!$B$2:$B$1201,$A589))</f>
        <v/>
      </c>
      <c r="AE589" s="16" t="str">
        <f aca="false">IF(N(E589)&gt;0,MAX(AE$1:AE588)+1,"")</f>
        <v/>
      </c>
      <c r="AF589" s="11" t="str">
        <f aca="false">IF(A589="","",IFERROR(LEFT(A589,FIND("-",A589)-1),A589))</f>
        <v/>
      </c>
      <c r="AG589" s="11" t="str">
        <f aca="false">IF(AF589="","",IF(ISNUMBER(--MID(AF589,1,1)),0,IF(ISNUMBER(--MID(AF589,2,1)),1,IF(ISNUMBER(--MID(AF589,3,1)),2,IF(ISNUMBER(--MID(AF589,4,1)),3,MIN(LEN(AF589),4))))))</f>
        <v/>
      </c>
      <c r="AH589" s="11" t="str">
        <f aca="false">IF(A589="","",LEFT(AF589,AG589)&amp;REPT("0",4-AG589)&amp;RIGHT("000"&amp;IFERROR(VALUE(MID(AF589,AG589+1,9)),0),3)&amp;RIGHT("0000"&amp;IFERROR(VALUE(MID(A589,FIND("-",A589)+1,9)),0),4))</f>
        <v/>
      </c>
      <c r="AI589" s="11" t="str">
        <f aca="false">IF(OR(A589="",N(E589)&lt;=0),"",IF('FALTAS GERAL'!$M$1="Código","K"&amp;AH589&amp;RIGHT("00000"&amp;ROW(),5),IF('FALTAS GERAL'!$M$1="Nome","K"&amp;UPPER(SUBSTITUTE(SUBSTITUTE(SUBSTITUTE(B589,"*",""),"?",""),"~",""))&amp;"0"&amp;AH589&amp;RIGHT("00000"&amp;ROW(),5),IF('FALTAS GERAL'!$M$1="Falta (maior primeiro)","K"&amp;RIGHT("0000"&amp;(9999-E589),4)&amp;AH589&amp;RIGHT("00000"&amp;ROW(),5),IF('FALTAS GERAL'!$M$1="Nº de decks (maior primeiro)","K"&amp;RIGHT("00"&amp;(99-N(G589)),2)&amp;AH589&amp;RIGHT("00000"&amp;ROW(),5),"K"&amp;RIGHT("00000"&amp;ROW(),5))))))</f>
        <v/>
      </c>
      <c r="AJ589" s="11" t="str">
        <f aca="false">IF(AI589="","",COUNTIFS($AI$2:$AI$801,"&lt;"&amp;AI589,$E$2:$E$801,"&gt;0")+1)</f>
        <v/>
      </c>
      <c r="AK589" s="11" t="str">
        <f aca="false">IF(OR(A589="",N(E589)&lt;=0),"",COUNTIFS($AH$2:$AH$801,"&lt;"&amp;AH589,$E$2:$E$801,"&gt;0")+COUNTIFS($AH$2:AH589,AH589,$E$2:E589,"&gt;0"))</f>
        <v/>
      </c>
    </row>
    <row r="590" customFormat="false" ht="15" hidden="false" customHeight="false" outlineLevel="0" collapsed="false">
      <c r="A590" s="11" t="str">
        <f aca="false">IF(INVENTÁRIO!A590="","",INVENTÁRIO!A590)</f>
        <v/>
      </c>
      <c r="B590" s="11" t="str">
        <f aca="false">IF(A590="","",INVENTÁRIO!B590)</f>
        <v/>
      </c>
      <c r="C590" s="16" t="str">
        <f aca="false">IF(A590="","",INVENTÁRIO!C590)</f>
        <v/>
      </c>
      <c r="D590" s="14" t="str">
        <f aca="false">IF(A590="","",MAX(K590:AD590))</f>
        <v/>
      </c>
      <c r="E590" s="14" t="str">
        <f aca="false">IF(A590="","",MAX(0,D590-C590))</f>
        <v/>
      </c>
      <c r="F590" s="16" t="str">
        <f aca="false">IF(A590="","",IF(D590=0,"Fora dos decks",IF(E590=0,"Completo","Falta")))</f>
        <v/>
      </c>
      <c r="G590" s="16" t="str">
        <f aca="false">IF(A590="","",COUNTIF(K590:AD590,"&gt;0"))</f>
        <v/>
      </c>
      <c r="H590" s="16" t="str">
        <f aca="false">IF(A590="","",IF(G590&gt;1,"Sim",""))</f>
        <v/>
      </c>
      <c r="I590" s="18" t="str">
        <f aca="false">IF(A590="","",SUMIFS(DECKS!$D$2:$D$1201,DECKS!$B$2:$B$1201,A590))</f>
        <v/>
      </c>
      <c r="J590" s="18" t="str">
        <f aca="false">IF(A590="","",MAX(0,I590-C590))</f>
        <v/>
      </c>
      <c r="K590" s="19" t="str">
        <f aca="false">IF(OR($A590="",INDEX(_LEITURA!$Q$2:$Q$21,1)=0),"",SUMIFS(DECKS!$D$2:$D$1201,DECKS!$A$2:$A$1201,INDEX(_LEITURA!$P$2:$P$21,1),DECKS!$B$2:$B$1201,$A590))</f>
        <v/>
      </c>
      <c r="L590" s="19" t="str">
        <f aca="false">IF(OR($A590="",INDEX(_LEITURA!$Q$2:$Q$21,2)=0),"",SUMIFS(DECKS!$D$2:$D$1201,DECKS!$A$2:$A$1201,INDEX(_LEITURA!$P$2:$P$21,2),DECKS!$B$2:$B$1201,$A590))</f>
        <v/>
      </c>
      <c r="M590" s="19" t="str">
        <f aca="false">IF(OR($A590="",INDEX(_LEITURA!$Q$2:$Q$21,3)=0),"",SUMIFS(DECKS!$D$2:$D$1201,DECKS!$A$2:$A$1201,INDEX(_LEITURA!$P$2:$P$21,3),DECKS!$B$2:$B$1201,$A590))</f>
        <v/>
      </c>
      <c r="N590" s="19" t="str">
        <f aca="false">IF(OR($A590="",INDEX(_LEITURA!$Q$2:$Q$21,4)=0),"",SUMIFS(DECKS!$D$2:$D$1201,DECKS!$A$2:$A$1201,INDEX(_LEITURA!$P$2:$P$21,4),DECKS!$B$2:$B$1201,$A590))</f>
        <v/>
      </c>
      <c r="O590" s="19" t="str">
        <f aca="false">IF(OR($A590="",INDEX(_LEITURA!$Q$2:$Q$21,5)=0),"",SUMIFS(DECKS!$D$2:$D$1201,DECKS!$A$2:$A$1201,INDEX(_LEITURA!$P$2:$P$21,5),DECKS!$B$2:$B$1201,$A590))</f>
        <v/>
      </c>
      <c r="P590" s="19" t="str">
        <f aca="false">IF(OR($A590="",INDEX(_LEITURA!$Q$2:$Q$21,6)=0),"",SUMIFS(DECKS!$D$2:$D$1201,DECKS!$A$2:$A$1201,INDEX(_LEITURA!$P$2:$P$21,6),DECKS!$B$2:$B$1201,$A590))</f>
        <v/>
      </c>
      <c r="Q590" s="19" t="str">
        <f aca="false">IF(OR($A590="",INDEX(_LEITURA!$Q$2:$Q$21,7)=0),"",SUMIFS(DECKS!$D$2:$D$1201,DECKS!$A$2:$A$1201,INDEX(_LEITURA!$P$2:$P$21,7),DECKS!$B$2:$B$1201,$A590))</f>
        <v/>
      </c>
      <c r="R590" s="19" t="str">
        <f aca="false">IF(OR($A590="",INDEX(_LEITURA!$Q$2:$Q$21,8)=0),"",SUMIFS(DECKS!$D$2:$D$1201,DECKS!$A$2:$A$1201,INDEX(_LEITURA!$P$2:$P$21,8),DECKS!$B$2:$B$1201,$A590))</f>
        <v/>
      </c>
      <c r="S590" s="19" t="str">
        <f aca="false">IF(OR($A590="",INDEX(_LEITURA!$Q$2:$Q$21,9)=0),"",SUMIFS(DECKS!$D$2:$D$1201,DECKS!$A$2:$A$1201,INDEX(_LEITURA!$P$2:$P$21,9),DECKS!$B$2:$B$1201,$A590))</f>
        <v/>
      </c>
      <c r="T590" s="19" t="str">
        <f aca="false">IF(OR($A590="",INDEX(_LEITURA!$Q$2:$Q$21,10)=0),"",SUMIFS(DECKS!$D$2:$D$1201,DECKS!$A$2:$A$1201,INDEX(_LEITURA!$P$2:$P$21,10),DECKS!$B$2:$B$1201,$A590))</f>
        <v/>
      </c>
      <c r="U590" s="19" t="str">
        <f aca="false">IF(OR($A590="",INDEX(_LEITURA!$Q$2:$Q$21,11)=0),"",SUMIFS(DECKS!$D$2:$D$1201,DECKS!$A$2:$A$1201,INDEX(_LEITURA!$P$2:$P$21,11),DECKS!$B$2:$B$1201,$A590))</f>
        <v/>
      </c>
      <c r="V590" s="19" t="str">
        <f aca="false">IF(OR($A590="",INDEX(_LEITURA!$Q$2:$Q$21,12)=0),"",SUMIFS(DECKS!$D$2:$D$1201,DECKS!$A$2:$A$1201,INDEX(_LEITURA!$P$2:$P$21,12),DECKS!$B$2:$B$1201,$A590))</f>
        <v/>
      </c>
      <c r="W590" s="19" t="str">
        <f aca="false">IF(OR($A590="",INDEX(_LEITURA!$Q$2:$Q$21,13)=0),"",SUMIFS(DECKS!$D$2:$D$1201,DECKS!$A$2:$A$1201,INDEX(_LEITURA!$P$2:$P$21,13),DECKS!$B$2:$B$1201,$A590))</f>
        <v/>
      </c>
      <c r="X590" s="19" t="str">
        <f aca="false">IF(OR($A590="",INDEX(_LEITURA!$Q$2:$Q$21,14)=0),"",SUMIFS(DECKS!$D$2:$D$1201,DECKS!$A$2:$A$1201,INDEX(_LEITURA!$P$2:$P$21,14),DECKS!$B$2:$B$1201,$A590))</f>
        <v/>
      </c>
      <c r="Y590" s="19" t="str">
        <f aca="false">IF(OR($A590="",INDEX(_LEITURA!$Q$2:$Q$21,15)=0),"",SUMIFS(DECKS!$D$2:$D$1201,DECKS!$A$2:$A$1201,INDEX(_LEITURA!$P$2:$P$21,15),DECKS!$B$2:$B$1201,$A590))</f>
        <v/>
      </c>
      <c r="Z590" s="19" t="str">
        <f aca="false">IF(OR($A590="",INDEX(_LEITURA!$Q$2:$Q$21,16)=0),"",SUMIFS(DECKS!$D$2:$D$1201,DECKS!$A$2:$A$1201,INDEX(_LEITURA!$P$2:$P$21,16),DECKS!$B$2:$B$1201,$A590))</f>
        <v/>
      </c>
      <c r="AA590" s="19" t="str">
        <f aca="false">IF(OR($A590="",INDEX(_LEITURA!$Q$2:$Q$21,17)=0),"",SUMIFS(DECKS!$D$2:$D$1201,DECKS!$A$2:$A$1201,INDEX(_LEITURA!$P$2:$P$21,17),DECKS!$B$2:$B$1201,$A590))</f>
        <v/>
      </c>
      <c r="AB590" s="19" t="str">
        <f aca="false">IF(OR($A590="",INDEX(_LEITURA!$Q$2:$Q$21,18)=0),"",SUMIFS(DECKS!$D$2:$D$1201,DECKS!$A$2:$A$1201,INDEX(_LEITURA!$P$2:$P$21,18),DECKS!$B$2:$B$1201,$A590))</f>
        <v/>
      </c>
      <c r="AC590" s="19" t="str">
        <f aca="false">IF(OR($A590="",INDEX(_LEITURA!$Q$2:$Q$21,19)=0),"",SUMIFS(DECKS!$D$2:$D$1201,DECKS!$A$2:$A$1201,INDEX(_LEITURA!$P$2:$P$21,19),DECKS!$B$2:$B$1201,$A590))</f>
        <v/>
      </c>
      <c r="AD590" s="19" t="str">
        <f aca="false">IF(OR($A590="",INDEX(_LEITURA!$Q$2:$Q$21,20)=0),"",SUMIFS(DECKS!$D$2:$D$1201,DECKS!$A$2:$A$1201,INDEX(_LEITURA!$P$2:$P$21,20),DECKS!$B$2:$B$1201,$A590))</f>
        <v/>
      </c>
      <c r="AE590" s="16" t="str">
        <f aca="false">IF(N(E590)&gt;0,MAX(AE$1:AE589)+1,"")</f>
        <v/>
      </c>
      <c r="AF590" s="11" t="str">
        <f aca="false">IF(A590="","",IFERROR(LEFT(A590,FIND("-",A590)-1),A590))</f>
        <v/>
      </c>
      <c r="AG590" s="11" t="str">
        <f aca="false">IF(AF590="","",IF(ISNUMBER(--MID(AF590,1,1)),0,IF(ISNUMBER(--MID(AF590,2,1)),1,IF(ISNUMBER(--MID(AF590,3,1)),2,IF(ISNUMBER(--MID(AF590,4,1)),3,MIN(LEN(AF590),4))))))</f>
        <v/>
      </c>
      <c r="AH590" s="11" t="str">
        <f aca="false">IF(A590="","",LEFT(AF590,AG590)&amp;REPT("0",4-AG590)&amp;RIGHT("000"&amp;IFERROR(VALUE(MID(AF590,AG590+1,9)),0),3)&amp;RIGHT("0000"&amp;IFERROR(VALUE(MID(A590,FIND("-",A590)+1,9)),0),4))</f>
        <v/>
      </c>
      <c r="AI590" s="11" t="str">
        <f aca="false">IF(OR(A590="",N(E590)&lt;=0),"",IF('FALTAS GERAL'!$M$1="Código","K"&amp;AH590&amp;RIGHT("00000"&amp;ROW(),5),IF('FALTAS GERAL'!$M$1="Nome","K"&amp;UPPER(SUBSTITUTE(SUBSTITUTE(SUBSTITUTE(B590,"*",""),"?",""),"~",""))&amp;"0"&amp;AH590&amp;RIGHT("00000"&amp;ROW(),5),IF('FALTAS GERAL'!$M$1="Falta (maior primeiro)","K"&amp;RIGHT("0000"&amp;(9999-E590),4)&amp;AH590&amp;RIGHT("00000"&amp;ROW(),5),IF('FALTAS GERAL'!$M$1="Nº de decks (maior primeiro)","K"&amp;RIGHT("00"&amp;(99-N(G590)),2)&amp;AH590&amp;RIGHT("00000"&amp;ROW(),5),"K"&amp;RIGHT("00000"&amp;ROW(),5))))))</f>
        <v/>
      </c>
      <c r="AJ590" s="11" t="str">
        <f aca="false">IF(AI590="","",COUNTIFS($AI$2:$AI$801,"&lt;"&amp;AI590,$E$2:$E$801,"&gt;0")+1)</f>
        <v/>
      </c>
      <c r="AK590" s="11" t="str">
        <f aca="false">IF(OR(A590="",N(E590)&lt;=0),"",COUNTIFS($AH$2:$AH$801,"&lt;"&amp;AH590,$E$2:$E$801,"&gt;0")+COUNTIFS($AH$2:AH590,AH590,$E$2:E590,"&gt;0"))</f>
        <v/>
      </c>
    </row>
    <row r="591" customFormat="false" ht="15" hidden="false" customHeight="false" outlineLevel="0" collapsed="false">
      <c r="A591" s="11" t="str">
        <f aca="false">IF(INVENTÁRIO!A591="","",INVENTÁRIO!A591)</f>
        <v/>
      </c>
      <c r="B591" s="11" t="str">
        <f aca="false">IF(A591="","",INVENTÁRIO!B591)</f>
        <v/>
      </c>
      <c r="C591" s="16" t="str">
        <f aca="false">IF(A591="","",INVENTÁRIO!C591)</f>
        <v/>
      </c>
      <c r="D591" s="14" t="str">
        <f aca="false">IF(A591="","",MAX(K591:AD591))</f>
        <v/>
      </c>
      <c r="E591" s="14" t="str">
        <f aca="false">IF(A591="","",MAX(0,D591-C591))</f>
        <v/>
      </c>
      <c r="F591" s="16" t="str">
        <f aca="false">IF(A591="","",IF(D591=0,"Fora dos decks",IF(E591=0,"Completo","Falta")))</f>
        <v/>
      </c>
      <c r="G591" s="16" t="str">
        <f aca="false">IF(A591="","",COUNTIF(K591:AD591,"&gt;0"))</f>
        <v/>
      </c>
      <c r="H591" s="16" t="str">
        <f aca="false">IF(A591="","",IF(G591&gt;1,"Sim",""))</f>
        <v/>
      </c>
      <c r="I591" s="18" t="str">
        <f aca="false">IF(A591="","",SUMIFS(DECKS!$D$2:$D$1201,DECKS!$B$2:$B$1201,A591))</f>
        <v/>
      </c>
      <c r="J591" s="18" t="str">
        <f aca="false">IF(A591="","",MAX(0,I591-C591))</f>
        <v/>
      </c>
      <c r="K591" s="19" t="str">
        <f aca="false">IF(OR($A591="",INDEX(_LEITURA!$Q$2:$Q$21,1)=0),"",SUMIFS(DECKS!$D$2:$D$1201,DECKS!$A$2:$A$1201,INDEX(_LEITURA!$P$2:$P$21,1),DECKS!$B$2:$B$1201,$A591))</f>
        <v/>
      </c>
      <c r="L591" s="19" t="str">
        <f aca="false">IF(OR($A591="",INDEX(_LEITURA!$Q$2:$Q$21,2)=0),"",SUMIFS(DECKS!$D$2:$D$1201,DECKS!$A$2:$A$1201,INDEX(_LEITURA!$P$2:$P$21,2),DECKS!$B$2:$B$1201,$A591))</f>
        <v/>
      </c>
      <c r="M591" s="19" t="str">
        <f aca="false">IF(OR($A591="",INDEX(_LEITURA!$Q$2:$Q$21,3)=0),"",SUMIFS(DECKS!$D$2:$D$1201,DECKS!$A$2:$A$1201,INDEX(_LEITURA!$P$2:$P$21,3),DECKS!$B$2:$B$1201,$A591))</f>
        <v/>
      </c>
      <c r="N591" s="19" t="str">
        <f aca="false">IF(OR($A591="",INDEX(_LEITURA!$Q$2:$Q$21,4)=0),"",SUMIFS(DECKS!$D$2:$D$1201,DECKS!$A$2:$A$1201,INDEX(_LEITURA!$P$2:$P$21,4),DECKS!$B$2:$B$1201,$A591))</f>
        <v/>
      </c>
      <c r="O591" s="19" t="str">
        <f aca="false">IF(OR($A591="",INDEX(_LEITURA!$Q$2:$Q$21,5)=0),"",SUMIFS(DECKS!$D$2:$D$1201,DECKS!$A$2:$A$1201,INDEX(_LEITURA!$P$2:$P$21,5),DECKS!$B$2:$B$1201,$A591))</f>
        <v/>
      </c>
      <c r="P591" s="19" t="str">
        <f aca="false">IF(OR($A591="",INDEX(_LEITURA!$Q$2:$Q$21,6)=0),"",SUMIFS(DECKS!$D$2:$D$1201,DECKS!$A$2:$A$1201,INDEX(_LEITURA!$P$2:$P$21,6),DECKS!$B$2:$B$1201,$A591))</f>
        <v/>
      </c>
      <c r="Q591" s="19" t="str">
        <f aca="false">IF(OR($A591="",INDEX(_LEITURA!$Q$2:$Q$21,7)=0),"",SUMIFS(DECKS!$D$2:$D$1201,DECKS!$A$2:$A$1201,INDEX(_LEITURA!$P$2:$P$21,7),DECKS!$B$2:$B$1201,$A591))</f>
        <v/>
      </c>
      <c r="R591" s="19" t="str">
        <f aca="false">IF(OR($A591="",INDEX(_LEITURA!$Q$2:$Q$21,8)=0),"",SUMIFS(DECKS!$D$2:$D$1201,DECKS!$A$2:$A$1201,INDEX(_LEITURA!$P$2:$P$21,8),DECKS!$B$2:$B$1201,$A591))</f>
        <v/>
      </c>
      <c r="S591" s="19" t="str">
        <f aca="false">IF(OR($A591="",INDEX(_LEITURA!$Q$2:$Q$21,9)=0),"",SUMIFS(DECKS!$D$2:$D$1201,DECKS!$A$2:$A$1201,INDEX(_LEITURA!$P$2:$P$21,9),DECKS!$B$2:$B$1201,$A591))</f>
        <v/>
      </c>
      <c r="T591" s="19" t="str">
        <f aca="false">IF(OR($A591="",INDEX(_LEITURA!$Q$2:$Q$21,10)=0),"",SUMIFS(DECKS!$D$2:$D$1201,DECKS!$A$2:$A$1201,INDEX(_LEITURA!$P$2:$P$21,10),DECKS!$B$2:$B$1201,$A591))</f>
        <v/>
      </c>
      <c r="U591" s="19" t="str">
        <f aca="false">IF(OR($A591="",INDEX(_LEITURA!$Q$2:$Q$21,11)=0),"",SUMIFS(DECKS!$D$2:$D$1201,DECKS!$A$2:$A$1201,INDEX(_LEITURA!$P$2:$P$21,11),DECKS!$B$2:$B$1201,$A591))</f>
        <v/>
      </c>
      <c r="V591" s="19" t="str">
        <f aca="false">IF(OR($A591="",INDEX(_LEITURA!$Q$2:$Q$21,12)=0),"",SUMIFS(DECKS!$D$2:$D$1201,DECKS!$A$2:$A$1201,INDEX(_LEITURA!$P$2:$P$21,12),DECKS!$B$2:$B$1201,$A591))</f>
        <v/>
      </c>
      <c r="W591" s="19" t="str">
        <f aca="false">IF(OR($A591="",INDEX(_LEITURA!$Q$2:$Q$21,13)=0),"",SUMIFS(DECKS!$D$2:$D$1201,DECKS!$A$2:$A$1201,INDEX(_LEITURA!$P$2:$P$21,13),DECKS!$B$2:$B$1201,$A591))</f>
        <v/>
      </c>
      <c r="X591" s="19" t="str">
        <f aca="false">IF(OR($A591="",INDEX(_LEITURA!$Q$2:$Q$21,14)=0),"",SUMIFS(DECKS!$D$2:$D$1201,DECKS!$A$2:$A$1201,INDEX(_LEITURA!$P$2:$P$21,14),DECKS!$B$2:$B$1201,$A591))</f>
        <v/>
      </c>
      <c r="Y591" s="19" t="str">
        <f aca="false">IF(OR($A591="",INDEX(_LEITURA!$Q$2:$Q$21,15)=0),"",SUMIFS(DECKS!$D$2:$D$1201,DECKS!$A$2:$A$1201,INDEX(_LEITURA!$P$2:$P$21,15),DECKS!$B$2:$B$1201,$A591))</f>
        <v/>
      </c>
      <c r="Z591" s="19" t="str">
        <f aca="false">IF(OR($A591="",INDEX(_LEITURA!$Q$2:$Q$21,16)=0),"",SUMIFS(DECKS!$D$2:$D$1201,DECKS!$A$2:$A$1201,INDEX(_LEITURA!$P$2:$P$21,16),DECKS!$B$2:$B$1201,$A591))</f>
        <v/>
      </c>
      <c r="AA591" s="19" t="str">
        <f aca="false">IF(OR($A591="",INDEX(_LEITURA!$Q$2:$Q$21,17)=0),"",SUMIFS(DECKS!$D$2:$D$1201,DECKS!$A$2:$A$1201,INDEX(_LEITURA!$P$2:$P$21,17),DECKS!$B$2:$B$1201,$A591))</f>
        <v/>
      </c>
      <c r="AB591" s="19" t="str">
        <f aca="false">IF(OR($A591="",INDEX(_LEITURA!$Q$2:$Q$21,18)=0),"",SUMIFS(DECKS!$D$2:$D$1201,DECKS!$A$2:$A$1201,INDEX(_LEITURA!$P$2:$P$21,18),DECKS!$B$2:$B$1201,$A591))</f>
        <v/>
      </c>
      <c r="AC591" s="19" t="str">
        <f aca="false">IF(OR($A591="",INDEX(_LEITURA!$Q$2:$Q$21,19)=0),"",SUMIFS(DECKS!$D$2:$D$1201,DECKS!$A$2:$A$1201,INDEX(_LEITURA!$P$2:$P$21,19),DECKS!$B$2:$B$1201,$A591))</f>
        <v/>
      </c>
      <c r="AD591" s="19" t="str">
        <f aca="false">IF(OR($A591="",INDEX(_LEITURA!$Q$2:$Q$21,20)=0),"",SUMIFS(DECKS!$D$2:$D$1201,DECKS!$A$2:$A$1201,INDEX(_LEITURA!$P$2:$P$21,20),DECKS!$B$2:$B$1201,$A591))</f>
        <v/>
      </c>
      <c r="AE591" s="16" t="str">
        <f aca="false">IF(N(E591)&gt;0,MAX(AE$1:AE590)+1,"")</f>
        <v/>
      </c>
      <c r="AF591" s="11" t="str">
        <f aca="false">IF(A591="","",IFERROR(LEFT(A591,FIND("-",A591)-1),A591))</f>
        <v/>
      </c>
      <c r="AG591" s="11" t="str">
        <f aca="false">IF(AF591="","",IF(ISNUMBER(--MID(AF591,1,1)),0,IF(ISNUMBER(--MID(AF591,2,1)),1,IF(ISNUMBER(--MID(AF591,3,1)),2,IF(ISNUMBER(--MID(AF591,4,1)),3,MIN(LEN(AF591),4))))))</f>
        <v/>
      </c>
      <c r="AH591" s="11" t="str">
        <f aca="false">IF(A591="","",LEFT(AF591,AG591)&amp;REPT("0",4-AG591)&amp;RIGHT("000"&amp;IFERROR(VALUE(MID(AF591,AG591+1,9)),0),3)&amp;RIGHT("0000"&amp;IFERROR(VALUE(MID(A591,FIND("-",A591)+1,9)),0),4))</f>
        <v/>
      </c>
      <c r="AI591" s="11" t="str">
        <f aca="false">IF(OR(A591="",N(E591)&lt;=0),"",IF('FALTAS GERAL'!$M$1="Código","K"&amp;AH591&amp;RIGHT("00000"&amp;ROW(),5),IF('FALTAS GERAL'!$M$1="Nome","K"&amp;UPPER(SUBSTITUTE(SUBSTITUTE(SUBSTITUTE(B591,"*",""),"?",""),"~",""))&amp;"0"&amp;AH591&amp;RIGHT("00000"&amp;ROW(),5),IF('FALTAS GERAL'!$M$1="Falta (maior primeiro)","K"&amp;RIGHT("0000"&amp;(9999-E591),4)&amp;AH591&amp;RIGHT("00000"&amp;ROW(),5),IF('FALTAS GERAL'!$M$1="Nº de decks (maior primeiro)","K"&amp;RIGHT("00"&amp;(99-N(G591)),2)&amp;AH591&amp;RIGHT("00000"&amp;ROW(),5),"K"&amp;RIGHT("00000"&amp;ROW(),5))))))</f>
        <v/>
      </c>
      <c r="AJ591" s="11" t="str">
        <f aca="false">IF(AI591="","",COUNTIFS($AI$2:$AI$801,"&lt;"&amp;AI591,$E$2:$E$801,"&gt;0")+1)</f>
        <v/>
      </c>
      <c r="AK591" s="11" t="str">
        <f aca="false">IF(OR(A591="",N(E591)&lt;=0),"",COUNTIFS($AH$2:$AH$801,"&lt;"&amp;AH591,$E$2:$E$801,"&gt;0")+COUNTIFS($AH$2:AH591,AH591,$E$2:E591,"&gt;0"))</f>
        <v/>
      </c>
    </row>
    <row r="592" customFormat="false" ht="15" hidden="false" customHeight="false" outlineLevel="0" collapsed="false">
      <c r="A592" s="11" t="str">
        <f aca="false">IF(INVENTÁRIO!A592="","",INVENTÁRIO!A592)</f>
        <v/>
      </c>
      <c r="B592" s="11" t="str">
        <f aca="false">IF(A592="","",INVENTÁRIO!B592)</f>
        <v/>
      </c>
      <c r="C592" s="16" t="str">
        <f aca="false">IF(A592="","",INVENTÁRIO!C592)</f>
        <v/>
      </c>
      <c r="D592" s="14" t="str">
        <f aca="false">IF(A592="","",MAX(K592:AD592))</f>
        <v/>
      </c>
      <c r="E592" s="14" t="str">
        <f aca="false">IF(A592="","",MAX(0,D592-C592))</f>
        <v/>
      </c>
      <c r="F592" s="16" t="str">
        <f aca="false">IF(A592="","",IF(D592=0,"Fora dos decks",IF(E592=0,"Completo","Falta")))</f>
        <v/>
      </c>
      <c r="G592" s="16" t="str">
        <f aca="false">IF(A592="","",COUNTIF(K592:AD592,"&gt;0"))</f>
        <v/>
      </c>
      <c r="H592" s="16" t="str">
        <f aca="false">IF(A592="","",IF(G592&gt;1,"Sim",""))</f>
        <v/>
      </c>
      <c r="I592" s="18" t="str">
        <f aca="false">IF(A592="","",SUMIFS(DECKS!$D$2:$D$1201,DECKS!$B$2:$B$1201,A592))</f>
        <v/>
      </c>
      <c r="J592" s="18" t="str">
        <f aca="false">IF(A592="","",MAX(0,I592-C592))</f>
        <v/>
      </c>
      <c r="K592" s="19" t="str">
        <f aca="false">IF(OR($A592="",INDEX(_LEITURA!$Q$2:$Q$21,1)=0),"",SUMIFS(DECKS!$D$2:$D$1201,DECKS!$A$2:$A$1201,INDEX(_LEITURA!$P$2:$P$21,1),DECKS!$B$2:$B$1201,$A592))</f>
        <v/>
      </c>
      <c r="L592" s="19" t="str">
        <f aca="false">IF(OR($A592="",INDEX(_LEITURA!$Q$2:$Q$21,2)=0),"",SUMIFS(DECKS!$D$2:$D$1201,DECKS!$A$2:$A$1201,INDEX(_LEITURA!$P$2:$P$21,2),DECKS!$B$2:$B$1201,$A592))</f>
        <v/>
      </c>
      <c r="M592" s="19" t="str">
        <f aca="false">IF(OR($A592="",INDEX(_LEITURA!$Q$2:$Q$21,3)=0),"",SUMIFS(DECKS!$D$2:$D$1201,DECKS!$A$2:$A$1201,INDEX(_LEITURA!$P$2:$P$21,3),DECKS!$B$2:$B$1201,$A592))</f>
        <v/>
      </c>
      <c r="N592" s="19" t="str">
        <f aca="false">IF(OR($A592="",INDEX(_LEITURA!$Q$2:$Q$21,4)=0),"",SUMIFS(DECKS!$D$2:$D$1201,DECKS!$A$2:$A$1201,INDEX(_LEITURA!$P$2:$P$21,4),DECKS!$B$2:$B$1201,$A592))</f>
        <v/>
      </c>
      <c r="O592" s="19" t="str">
        <f aca="false">IF(OR($A592="",INDEX(_LEITURA!$Q$2:$Q$21,5)=0),"",SUMIFS(DECKS!$D$2:$D$1201,DECKS!$A$2:$A$1201,INDEX(_LEITURA!$P$2:$P$21,5),DECKS!$B$2:$B$1201,$A592))</f>
        <v/>
      </c>
      <c r="P592" s="19" t="str">
        <f aca="false">IF(OR($A592="",INDEX(_LEITURA!$Q$2:$Q$21,6)=0),"",SUMIFS(DECKS!$D$2:$D$1201,DECKS!$A$2:$A$1201,INDEX(_LEITURA!$P$2:$P$21,6),DECKS!$B$2:$B$1201,$A592))</f>
        <v/>
      </c>
      <c r="Q592" s="19" t="str">
        <f aca="false">IF(OR($A592="",INDEX(_LEITURA!$Q$2:$Q$21,7)=0),"",SUMIFS(DECKS!$D$2:$D$1201,DECKS!$A$2:$A$1201,INDEX(_LEITURA!$P$2:$P$21,7),DECKS!$B$2:$B$1201,$A592))</f>
        <v/>
      </c>
      <c r="R592" s="19" t="str">
        <f aca="false">IF(OR($A592="",INDEX(_LEITURA!$Q$2:$Q$21,8)=0),"",SUMIFS(DECKS!$D$2:$D$1201,DECKS!$A$2:$A$1201,INDEX(_LEITURA!$P$2:$P$21,8),DECKS!$B$2:$B$1201,$A592))</f>
        <v/>
      </c>
      <c r="S592" s="19" t="str">
        <f aca="false">IF(OR($A592="",INDEX(_LEITURA!$Q$2:$Q$21,9)=0),"",SUMIFS(DECKS!$D$2:$D$1201,DECKS!$A$2:$A$1201,INDEX(_LEITURA!$P$2:$P$21,9),DECKS!$B$2:$B$1201,$A592))</f>
        <v/>
      </c>
      <c r="T592" s="19" t="str">
        <f aca="false">IF(OR($A592="",INDEX(_LEITURA!$Q$2:$Q$21,10)=0),"",SUMIFS(DECKS!$D$2:$D$1201,DECKS!$A$2:$A$1201,INDEX(_LEITURA!$P$2:$P$21,10),DECKS!$B$2:$B$1201,$A592))</f>
        <v/>
      </c>
      <c r="U592" s="19" t="str">
        <f aca="false">IF(OR($A592="",INDEX(_LEITURA!$Q$2:$Q$21,11)=0),"",SUMIFS(DECKS!$D$2:$D$1201,DECKS!$A$2:$A$1201,INDEX(_LEITURA!$P$2:$P$21,11),DECKS!$B$2:$B$1201,$A592))</f>
        <v/>
      </c>
      <c r="V592" s="19" t="str">
        <f aca="false">IF(OR($A592="",INDEX(_LEITURA!$Q$2:$Q$21,12)=0),"",SUMIFS(DECKS!$D$2:$D$1201,DECKS!$A$2:$A$1201,INDEX(_LEITURA!$P$2:$P$21,12),DECKS!$B$2:$B$1201,$A592))</f>
        <v/>
      </c>
      <c r="W592" s="19" t="str">
        <f aca="false">IF(OR($A592="",INDEX(_LEITURA!$Q$2:$Q$21,13)=0),"",SUMIFS(DECKS!$D$2:$D$1201,DECKS!$A$2:$A$1201,INDEX(_LEITURA!$P$2:$P$21,13),DECKS!$B$2:$B$1201,$A592))</f>
        <v/>
      </c>
      <c r="X592" s="19" t="str">
        <f aca="false">IF(OR($A592="",INDEX(_LEITURA!$Q$2:$Q$21,14)=0),"",SUMIFS(DECKS!$D$2:$D$1201,DECKS!$A$2:$A$1201,INDEX(_LEITURA!$P$2:$P$21,14),DECKS!$B$2:$B$1201,$A592))</f>
        <v/>
      </c>
      <c r="Y592" s="19" t="str">
        <f aca="false">IF(OR($A592="",INDEX(_LEITURA!$Q$2:$Q$21,15)=0),"",SUMIFS(DECKS!$D$2:$D$1201,DECKS!$A$2:$A$1201,INDEX(_LEITURA!$P$2:$P$21,15),DECKS!$B$2:$B$1201,$A592))</f>
        <v/>
      </c>
      <c r="Z592" s="19" t="str">
        <f aca="false">IF(OR($A592="",INDEX(_LEITURA!$Q$2:$Q$21,16)=0),"",SUMIFS(DECKS!$D$2:$D$1201,DECKS!$A$2:$A$1201,INDEX(_LEITURA!$P$2:$P$21,16),DECKS!$B$2:$B$1201,$A592))</f>
        <v/>
      </c>
      <c r="AA592" s="19" t="str">
        <f aca="false">IF(OR($A592="",INDEX(_LEITURA!$Q$2:$Q$21,17)=0),"",SUMIFS(DECKS!$D$2:$D$1201,DECKS!$A$2:$A$1201,INDEX(_LEITURA!$P$2:$P$21,17),DECKS!$B$2:$B$1201,$A592))</f>
        <v/>
      </c>
      <c r="AB592" s="19" t="str">
        <f aca="false">IF(OR($A592="",INDEX(_LEITURA!$Q$2:$Q$21,18)=0),"",SUMIFS(DECKS!$D$2:$D$1201,DECKS!$A$2:$A$1201,INDEX(_LEITURA!$P$2:$P$21,18),DECKS!$B$2:$B$1201,$A592))</f>
        <v/>
      </c>
      <c r="AC592" s="19" t="str">
        <f aca="false">IF(OR($A592="",INDEX(_LEITURA!$Q$2:$Q$21,19)=0),"",SUMIFS(DECKS!$D$2:$D$1201,DECKS!$A$2:$A$1201,INDEX(_LEITURA!$P$2:$P$21,19),DECKS!$B$2:$B$1201,$A592))</f>
        <v/>
      </c>
      <c r="AD592" s="19" t="str">
        <f aca="false">IF(OR($A592="",INDEX(_LEITURA!$Q$2:$Q$21,20)=0),"",SUMIFS(DECKS!$D$2:$D$1201,DECKS!$A$2:$A$1201,INDEX(_LEITURA!$P$2:$P$21,20),DECKS!$B$2:$B$1201,$A592))</f>
        <v/>
      </c>
      <c r="AE592" s="16" t="str">
        <f aca="false">IF(N(E592)&gt;0,MAX(AE$1:AE591)+1,"")</f>
        <v/>
      </c>
      <c r="AF592" s="11" t="str">
        <f aca="false">IF(A592="","",IFERROR(LEFT(A592,FIND("-",A592)-1),A592))</f>
        <v/>
      </c>
      <c r="AG592" s="11" t="str">
        <f aca="false">IF(AF592="","",IF(ISNUMBER(--MID(AF592,1,1)),0,IF(ISNUMBER(--MID(AF592,2,1)),1,IF(ISNUMBER(--MID(AF592,3,1)),2,IF(ISNUMBER(--MID(AF592,4,1)),3,MIN(LEN(AF592),4))))))</f>
        <v/>
      </c>
      <c r="AH592" s="11" t="str">
        <f aca="false">IF(A592="","",LEFT(AF592,AG592)&amp;REPT("0",4-AG592)&amp;RIGHT("000"&amp;IFERROR(VALUE(MID(AF592,AG592+1,9)),0),3)&amp;RIGHT("0000"&amp;IFERROR(VALUE(MID(A592,FIND("-",A592)+1,9)),0),4))</f>
        <v/>
      </c>
      <c r="AI592" s="11" t="str">
        <f aca="false">IF(OR(A592="",N(E592)&lt;=0),"",IF('FALTAS GERAL'!$M$1="Código","K"&amp;AH592&amp;RIGHT("00000"&amp;ROW(),5),IF('FALTAS GERAL'!$M$1="Nome","K"&amp;UPPER(SUBSTITUTE(SUBSTITUTE(SUBSTITUTE(B592,"*",""),"?",""),"~",""))&amp;"0"&amp;AH592&amp;RIGHT("00000"&amp;ROW(),5),IF('FALTAS GERAL'!$M$1="Falta (maior primeiro)","K"&amp;RIGHT("0000"&amp;(9999-E592),4)&amp;AH592&amp;RIGHT("00000"&amp;ROW(),5),IF('FALTAS GERAL'!$M$1="Nº de decks (maior primeiro)","K"&amp;RIGHT("00"&amp;(99-N(G592)),2)&amp;AH592&amp;RIGHT("00000"&amp;ROW(),5),"K"&amp;RIGHT("00000"&amp;ROW(),5))))))</f>
        <v/>
      </c>
      <c r="AJ592" s="11" t="str">
        <f aca="false">IF(AI592="","",COUNTIFS($AI$2:$AI$801,"&lt;"&amp;AI592,$E$2:$E$801,"&gt;0")+1)</f>
        <v/>
      </c>
      <c r="AK592" s="11" t="str">
        <f aca="false">IF(OR(A592="",N(E592)&lt;=0),"",COUNTIFS($AH$2:$AH$801,"&lt;"&amp;AH592,$E$2:$E$801,"&gt;0")+COUNTIFS($AH$2:AH592,AH592,$E$2:E592,"&gt;0"))</f>
        <v/>
      </c>
    </row>
    <row r="593" customFormat="false" ht="15" hidden="false" customHeight="false" outlineLevel="0" collapsed="false">
      <c r="A593" s="11" t="str">
        <f aca="false">IF(INVENTÁRIO!A593="","",INVENTÁRIO!A593)</f>
        <v/>
      </c>
      <c r="B593" s="11" t="str">
        <f aca="false">IF(A593="","",INVENTÁRIO!B593)</f>
        <v/>
      </c>
      <c r="C593" s="16" t="str">
        <f aca="false">IF(A593="","",INVENTÁRIO!C593)</f>
        <v/>
      </c>
      <c r="D593" s="14" t="str">
        <f aca="false">IF(A593="","",MAX(K593:AD593))</f>
        <v/>
      </c>
      <c r="E593" s="14" t="str">
        <f aca="false">IF(A593="","",MAX(0,D593-C593))</f>
        <v/>
      </c>
      <c r="F593" s="16" t="str">
        <f aca="false">IF(A593="","",IF(D593=0,"Fora dos decks",IF(E593=0,"Completo","Falta")))</f>
        <v/>
      </c>
      <c r="G593" s="16" t="str">
        <f aca="false">IF(A593="","",COUNTIF(K593:AD593,"&gt;0"))</f>
        <v/>
      </c>
      <c r="H593" s="16" t="str">
        <f aca="false">IF(A593="","",IF(G593&gt;1,"Sim",""))</f>
        <v/>
      </c>
      <c r="I593" s="18" t="str">
        <f aca="false">IF(A593="","",SUMIFS(DECKS!$D$2:$D$1201,DECKS!$B$2:$B$1201,A593))</f>
        <v/>
      </c>
      <c r="J593" s="18" t="str">
        <f aca="false">IF(A593="","",MAX(0,I593-C593))</f>
        <v/>
      </c>
      <c r="K593" s="19" t="str">
        <f aca="false">IF(OR($A593="",INDEX(_LEITURA!$Q$2:$Q$21,1)=0),"",SUMIFS(DECKS!$D$2:$D$1201,DECKS!$A$2:$A$1201,INDEX(_LEITURA!$P$2:$P$21,1),DECKS!$B$2:$B$1201,$A593))</f>
        <v/>
      </c>
      <c r="L593" s="19" t="str">
        <f aca="false">IF(OR($A593="",INDEX(_LEITURA!$Q$2:$Q$21,2)=0),"",SUMIFS(DECKS!$D$2:$D$1201,DECKS!$A$2:$A$1201,INDEX(_LEITURA!$P$2:$P$21,2),DECKS!$B$2:$B$1201,$A593))</f>
        <v/>
      </c>
      <c r="M593" s="19" t="str">
        <f aca="false">IF(OR($A593="",INDEX(_LEITURA!$Q$2:$Q$21,3)=0),"",SUMIFS(DECKS!$D$2:$D$1201,DECKS!$A$2:$A$1201,INDEX(_LEITURA!$P$2:$P$21,3),DECKS!$B$2:$B$1201,$A593))</f>
        <v/>
      </c>
      <c r="N593" s="19" t="str">
        <f aca="false">IF(OR($A593="",INDEX(_LEITURA!$Q$2:$Q$21,4)=0),"",SUMIFS(DECKS!$D$2:$D$1201,DECKS!$A$2:$A$1201,INDEX(_LEITURA!$P$2:$P$21,4),DECKS!$B$2:$B$1201,$A593))</f>
        <v/>
      </c>
      <c r="O593" s="19" t="str">
        <f aca="false">IF(OR($A593="",INDEX(_LEITURA!$Q$2:$Q$21,5)=0),"",SUMIFS(DECKS!$D$2:$D$1201,DECKS!$A$2:$A$1201,INDEX(_LEITURA!$P$2:$P$21,5),DECKS!$B$2:$B$1201,$A593))</f>
        <v/>
      </c>
      <c r="P593" s="19" t="str">
        <f aca="false">IF(OR($A593="",INDEX(_LEITURA!$Q$2:$Q$21,6)=0),"",SUMIFS(DECKS!$D$2:$D$1201,DECKS!$A$2:$A$1201,INDEX(_LEITURA!$P$2:$P$21,6),DECKS!$B$2:$B$1201,$A593))</f>
        <v/>
      </c>
      <c r="Q593" s="19" t="str">
        <f aca="false">IF(OR($A593="",INDEX(_LEITURA!$Q$2:$Q$21,7)=0),"",SUMIFS(DECKS!$D$2:$D$1201,DECKS!$A$2:$A$1201,INDEX(_LEITURA!$P$2:$P$21,7),DECKS!$B$2:$B$1201,$A593))</f>
        <v/>
      </c>
      <c r="R593" s="19" t="str">
        <f aca="false">IF(OR($A593="",INDEX(_LEITURA!$Q$2:$Q$21,8)=0),"",SUMIFS(DECKS!$D$2:$D$1201,DECKS!$A$2:$A$1201,INDEX(_LEITURA!$P$2:$P$21,8),DECKS!$B$2:$B$1201,$A593))</f>
        <v/>
      </c>
      <c r="S593" s="19" t="str">
        <f aca="false">IF(OR($A593="",INDEX(_LEITURA!$Q$2:$Q$21,9)=0),"",SUMIFS(DECKS!$D$2:$D$1201,DECKS!$A$2:$A$1201,INDEX(_LEITURA!$P$2:$P$21,9),DECKS!$B$2:$B$1201,$A593))</f>
        <v/>
      </c>
      <c r="T593" s="19" t="str">
        <f aca="false">IF(OR($A593="",INDEX(_LEITURA!$Q$2:$Q$21,10)=0),"",SUMIFS(DECKS!$D$2:$D$1201,DECKS!$A$2:$A$1201,INDEX(_LEITURA!$P$2:$P$21,10),DECKS!$B$2:$B$1201,$A593))</f>
        <v/>
      </c>
      <c r="U593" s="19" t="str">
        <f aca="false">IF(OR($A593="",INDEX(_LEITURA!$Q$2:$Q$21,11)=0),"",SUMIFS(DECKS!$D$2:$D$1201,DECKS!$A$2:$A$1201,INDEX(_LEITURA!$P$2:$P$21,11),DECKS!$B$2:$B$1201,$A593))</f>
        <v/>
      </c>
      <c r="V593" s="19" t="str">
        <f aca="false">IF(OR($A593="",INDEX(_LEITURA!$Q$2:$Q$21,12)=0),"",SUMIFS(DECKS!$D$2:$D$1201,DECKS!$A$2:$A$1201,INDEX(_LEITURA!$P$2:$P$21,12),DECKS!$B$2:$B$1201,$A593))</f>
        <v/>
      </c>
      <c r="W593" s="19" t="str">
        <f aca="false">IF(OR($A593="",INDEX(_LEITURA!$Q$2:$Q$21,13)=0),"",SUMIFS(DECKS!$D$2:$D$1201,DECKS!$A$2:$A$1201,INDEX(_LEITURA!$P$2:$P$21,13),DECKS!$B$2:$B$1201,$A593))</f>
        <v/>
      </c>
      <c r="X593" s="19" t="str">
        <f aca="false">IF(OR($A593="",INDEX(_LEITURA!$Q$2:$Q$21,14)=0),"",SUMIFS(DECKS!$D$2:$D$1201,DECKS!$A$2:$A$1201,INDEX(_LEITURA!$P$2:$P$21,14),DECKS!$B$2:$B$1201,$A593))</f>
        <v/>
      </c>
      <c r="Y593" s="19" t="str">
        <f aca="false">IF(OR($A593="",INDEX(_LEITURA!$Q$2:$Q$21,15)=0),"",SUMIFS(DECKS!$D$2:$D$1201,DECKS!$A$2:$A$1201,INDEX(_LEITURA!$P$2:$P$21,15),DECKS!$B$2:$B$1201,$A593))</f>
        <v/>
      </c>
      <c r="Z593" s="19" t="str">
        <f aca="false">IF(OR($A593="",INDEX(_LEITURA!$Q$2:$Q$21,16)=0),"",SUMIFS(DECKS!$D$2:$D$1201,DECKS!$A$2:$A$1201,INDEX(_LEITURA!$P$2:$P$21,16),DECKS!$B$2:$B$1201,$A593))</f>
        <v/>
      </c>
      <c r="AA593" s="19" t="str">
        <f aca="false">IF(OR($A593="",INDEX(_LEITURA!$Q$2:$Q$21,17)=0),"",SUMIFS(DECKS!$D$2:$D$1201,DECKS!$A$2:$A$1201,INDEX(_LEITURA!$P$2:$P$21,17),DECKS!$B$2:$B$1201,$A593))</f>
        <v/>
      </c>
      <c r="AB593" s="19" t="str">
        <f aca="false">IF(OR($A593="",INDEX(_LEITURA!$Q$2:$Q$21,18)=0),"",SUMIFS(DECKS!$D$2:$D$1201,DECKS!$A$2:$A$1201,INDEX(_LEITURA!$P$2:$P$21,18),DECKS!$B$2:$B$1201,$A593))</f>
        <v/>
      </c>
      <c r="AC593" s="19" t="str">
        <f aca="false">IF(OR($A593="",INDEX(_LEITURA!$Q$2:$Q$21,19)=0),"",SUMIFS(DECKS!$D$2:$D$1201,DECKS!$A$2:$A$1201,INDEX(_LEITURA!$P$2:$P$21,19),DECKS!$B$2:$B$1201,$A593))</f>
        <v/>
      </c>
      <c r="AD593" s="19" t="str">
        <f aca="false">IF(OR($A593="",INDEX(_LEITURA!$Q$2:$Q$21,20)=0),"",SUMIFS(DECKS!$D$2:$D$1201,DECKS!$A$2:$A$1201,INDEX(_LEITURA!$P$2:$P$21,20),DECKS!$B$2:$B$1201,$A593))</f>
        <v/>
      </c>
      <c r="AE593" s="16" t="str">
        <f aca="false">IF(N(E593)&gt;0,MAX(AE$1:AE592)+1,"")</f>
        <v/>
      </c>
      <c r="AF593" s="11" t="str">
        <f aca="false">IF(A593="","",IFERROR(LEFT(A593,FIND("-",A593)-1),A593))</f>
        <v/>
      </c>
      <c r="AG593" s="11" t="str">
        <f aca="false">IF(AF593="","",IF(ISNUMBER(--MID(AF593,1,1)),0,IF(ISNUMBER(--MID(AF593,2,1)),1,IF(ISNUMBER(--MID(AF593,3,1)),2,IF(ISNUMBER(--MID(AF593,4,1)),3,MIN(LEN(AF593),4))))))</f>
        <v/>
      </c>
      <c r="AH593" s="11" t="str">
        <f aca="false">IF(A593="","",LEFT(AF593,AG593)&amp;REPT("0",4-AG593)&amp;RIGHT("000"&amp;IFERROR(VALUE(MID(AF593,AG593+1,9)),0),3)&amp;RIGHT("0000"&amp;IFERROR(VALUE(MID(A593,FIND("-",A593)+1,9)),0),4))</f>
        <v/>
      </c>
      <c r="AI593" s="11" t="str">
        <f aca="false">IF(OR(A593="",N(E593)&lt;=0),"",IF('FALTAS GERAL'!$M$1="Código","K"&amp;AH593&amp;RIGHT("00000"&amp;ROW(),5),IF('FALTAS GERAL'!$M$1="Nome","K"&amp;UPPER(SUBSTITUTE(SUBSTITUTE(SUBSTITUTE(B593,"*",""),"?",""),"~",""))&amp;"0"&amp;AH593&amp;RIGHT("00000"&amp;ROW(),5),IF('FALTAS GERAL'!$M$1="Falta (maior primeiro)","K"&amp;RIGHT("0000"&amp;(9999-E593),4)&amp;AH593&amp;RIGHT("00000"&amp;ROW(),5),IF('FALTAS GERAL'!$M$1="Nº de decks (maior primeiro)","K"&amp;RIGHT("00"&amp;(99-N(G593)),2)&amp;AH593&amp;RIGHT("00000"&amp;ROW(),5),"K"&amp;RIGHT("00000"&amp;ROW(),5))))))</f>
        <v/>
      </c>
      <c r="AJ593" s="11" t="str">
        <f aca="false">IF(AI593="","",COUNTIFS($AI$2:$AI$801,"&lt;"&amp;AI593,$E$2:$E$801,"&gt;0")+1)</f>
        <v/>
      </c>
      <c r="AK593" s="11" t="str">
        <f aca="false">IF(OR(A593="",N(E593)&lt;=0),"",COUNTIFS($AH$2:$AH$801,"&lt;"&amp;AH593,$E$2:$E$801,"&gt;0")+COUNTIFS($AH$2:AH593,AH593,$E$2:E593,"&gt;0"))</f>
        <v/>
      </c>
    </row>
    <row r="594" customFormat="false" ht="15" hidden="false" customHeight="false" outlineLevel="0" collapsed="false">
      <c r="A594" s="11" t="str">
        <f aca="false">IF(INVENTÁRIO!A594="","",INVENTÁRIO!A594)</f>
        <v/>
      </c>
      <c r="B594" s="11" t="str">
        <f aca="false">IF(A594="","",INVENTÁRIO!B594)</f>
        <v/>
      </c>
      <c r="C594" s="16" t="str">
        <f aca="false">IF(A594="","",INVENTÁRIO!C594)</f>
        <v/>
      </c>
      <c r="D594" s="14" t="str">
        <f aca="false">IF(A594="","",MAX(K594:AD594))</f>
        <v/>
      </c>
      <c r="E594" s="14" t="str">
        <f aca="false">IF(A594="","",MAX(0,D594-C594))</f>
        <v/>
      </c>
      <c r="F594" s="16" t="str">
        <f aca="false">IF(A594="","",IF(D594=0,"Fora dos decks",IF(E594=0,"Completo","Falta")))</f>
        <v/>
      </c>
      <c r="G594" s="16" t="str">
        <f aca="false">IF(A594="","",COUNTIF(K594:AD594,"&gt;0"))</f>
        <v/>
      </c>
      <c r="H594" s="16" t="str">
        <f aca="false">IF(A594="","",IF(G594&gt;1,"Sim",""))</f>
        <v/>
      </c>
      <c r="I594" s="18" t="str">
        <f aca="false">IF(A594="","",SUMIFS(DECKS!$D$2:$D$1201,DECKS!$B$2:$B$1201,A594))</f>
        <v/>
      </c>
      <c r="J594" s="18" t="str">
        <f aca="false">IF(A594="","",MAX(0,I594-C594))</f>
        <v/>
      </c>
      <c r="K594" s="19" t="str">
        <f aca="false">IF(OR($A594="",INDEX(_LEITURA!$Q$2:$Q$21,1)=0),"",SUMIFS(DECKS!$D$2:$D$1201,DECKS!$A$2:$A$1201,INDEX(_LEITURA!$P$2:$P$21,1),DECKS!$B$2:$B$1201,$A594))</f>
        <v/>
      </c>
      <c r="L594" s="19" t="str">
        <f aca="false">IF(OR($A594="",INDEX(_LEITURA!$Q$2:$Q$21,2)=0),"",SUMIFS(DECKS!$D$2:$D$1201,DECKS!$A$2:$A$1201,INDEX(_LEITURA!$P$2:$P$21,2),DECKS!$B$2:$B$1201,$A594))</f>
        <v/>
      </c>
      <c r="M594" s="19" t="str">
        <f aca="false">IF(OR($A594="",INDEX(_LEITURA!$Q$2:$Q$21,3)=0),"",SUMIFS(DECKS!$D$2:$D$1201,DECKS!$A$2:$A$1201,INDEX(_LEITURA!$P$2:$P$21,3),DECKS!$B$2:$B$1201,$A594))</f>
        <v/>
      </c>
      <c r="N594" s="19" t="str">
        <f aca="false">IF(OR($A594="",INDEX(_LEITURA!$Q$2:$Q$21,4)=0),"",SUMIFS(DECKS!$D$2:$D$1201,DECKS!$A$2:$A$1201,INDEX(_LEITURA!$P$2:$P$21,4),DECKS!$B$2:$B$1201,$A594))</f>
        <v/>
      </c>
      <c r="O594" s="19" t="str">
        <f aca="false">IF(OR($A594="",INDEX(_LEITURA!$Q$2:$Q$21,5)=0),"",SUMIFS(DECKS!$D$2:$D$1201,DECKS!$A$2:$A$1201,INDEX(_LEITURA!$P$2:$P$21,5),DECKS!$B$2:$B$1201,$A594))</f>
        <v/>
      </c>
      <c r="P594" s="19" t="str">
        <f aca="false">IF(OR($A594="",INDEX(_LEITURA!$Q$2:$Q$21,6)=0),"",SUMIFS(DECKS!$D$2:$D$1201,DECKS!$A$2:$A$1201,INDEX(_LEITURA!$P$2:$P$21,6),DECKS!$B$2:$B$1201,$A594))</f>
        <v/>
      </c>
      <c r="Q594" s="19" t="str">
        <f aca="false">IF(OR($A594="",INDEX(_LEITURA!$Q$2:$Q$21,7)=0),"",SUMIFS(DECKS!$D$2:$D$1201,DECKS!$A$2:$A$1201,INDEX(_LEITURA!$P$2:$P$21,7),DECKS!$B$2:$B$1201,$A594))</f>
        <v/>
      </c>
      <c r="R594" s="19" t="str">
        <f aca="false">IF(OR($A594="",INDEX(_LEITURA!$Q$2:$Q$21,8)=0),"",SUMIFS(DECKS!$D$2:$D$1201,DECKS!$A$2:$A$1201,INDEX(_LEITURA!$P$2:$P$21,8),DECKS!$B$2:$B$1201,$A594))</f>
        <v/>
      </c>
      <c r="S594" s="19" t="str">
        <f aca="false">IF(OR($A594="",INDEX(_LEITURA!$Q$2:$Q$21,9)=0),"",SUMIFS(DECKS!$D$2:$D$1201,DECKS!$A$2:$A$1201,INDEX(_LEITURA!$P$2:$P$21,9),DECKS!$B$2:$B$1201,$A594))</f>
        <v/>
      </c>
      <c r="T594" s="19" t="str">
        <f aca="false">IF(OR($A594="",INDEX(_LEITURA!$Q$2:$Q$21,10)=0),"",SUMIFS(DECKS!$D$2:$D$1201,DECKS!$A$2:$A$1201,INDEX(_LEITURA!$P$2:$P$21,10),DECKS!$B$2:$B$1201,$A594))</f>
        <v/>
      </c>
      <c r="U594" s="19" t="str">
        <f aca="false">IF(OR($A594="",INDEX(_LEITURA!$Q$2:$Q$21,11)=0),"",SUMIFS(DECKS!$D$2:$D$1201,DECKS!$A$2:$A$1201,INDEX(_LEITURA!$P$2:$P$21,11),DECKS!$B$2:$B$1201,$A594))</f>
        <v/>
      </c>
      <c r="V594" s="19" t="str">
        <f aca="false">IF(OR($A594="",INDEX(_LEITURA!$Q$2:$Q$21,12)=0),"",SUMIFS(DECKS!$D$2:$D$1201,DECKS!$A$2:$A$1201,INDEX(_LEITURA!$P$2:$P$21,12),DECKS!$B$2:$B$1201,$A594))</f>
        <v/>
      </c>
      <c r="W594" s="19" t="str">
        <f aca="false">IF(OR($A594="",INDEX(_LEITURA!$Q$2:$Q$21,13)=0),"",SUMIFS(DECKS!$D$2:$D$1201,DECKS!$A$2:$A$1201,INDEX(_LEITURA!$P$2:$P$21,13),DECKS!$B$2:$B$1201,$A594))</f>
        <v/>
      </c>
      <c r="X594" s="19" t="str">
        <f aca="false">IF(OR($A594="",INDEX(_LEITURA!$Q$2:$Q$21,14)=0),"",SUMIFS(DECKS!$D$2:$D$1201,DECKS!$A$2:$A$1201,INDEX(_LEITURA!$P$2:$P$21,14),DECKS!$B$2:$B$1201,$A594))</f>
        <v/>
      </c>
      <c r="Y594" s="19" t="str">
        <f aca="false">IF(OR($A594="",INDEX(_LEITURA!$Q$2:$Q$21,15)=0),"",SUMIFS(DECKS!$D$2:$D$1201,DECKS!$A$2:$A$1201,INDEX(_LEITURA!$P$2:$P$21,15),DECKS!$B$2:$B$1201,$A594))</f>
        <v/>
      </c>
      <c r="Z594" s="19" t="str">
        <f aca="false">IF(OR($A594="",INDEX(_LEITURA!$Q$2:$Q$21,16)=0),"",SUMIFS(DECKS!$D$2:$D$1201,DECKS!$A$2:$A$1201,INDEX(_LEITURA!$P$2:$P$21,16),DECKS!$B$2:$B$1201,$A594))</f>
        <v/>
      </c>
      <c r="AA594" s="19" t="str">
        <f aca="false">IF(OR($A594="",INDEX(_LEITURA!$Q$2:$Q$21,17)=0),"",SUMIFS(DECKS!$D$2:$D$1201,DECKS!$A$2:$A$1201,INDEX(_LEITURA!$P$2:$P$21,17),DECKS!$B$2:$B$1201,$A594))</f>
        <v/>
      </c>
      <c r="AB594" s="19" t="str">
        <f aca="false">IF(OR($A594="",INDEX(_LEITURA!$Q$2:$Q$21,18)=0),"",SUMIFS(DECKS!$D$2:$D$1201,DECKS!$A$2:$A$1201,INDEX(_LEITURA!$P$2:$P$21,18),DECKS!$B$2:$B$1201,$A594))</f>
        <v/>
      </c>
      <c r="AC594" s="19" t="str">
        <f aca="false">IF(OR($A594="",INDEX(_LEITURA!$Q$2:$Q$21,19)=0),"",SUMIFS(DECKS!$D$2:$D$1201,DECKS!$A$2:$A$1201,INDEX(_LEITURA!$P$2:$P$21,19),DECKS!$B$2:$B$1201,$A594))</f>
        <v/>
      </c>
      <c r="AD594" s="19" t="str">
        <f aca="false">IF(OR($A594="",INDEX(_LEITURA!$Q$2:$Q$21,20)=0),"",SUMIFS(DECKS!$D$2:$D$1201,DECKS!$A$2:$A$1201,INDEX(_LEITURA!$P$2:$P$21,20),DECKS!$B$2:$B$1201,$A594))</f>
        <v/>
      </c>
      <c r="AE594" s="16" t="str">
        <f aca="false">IF(N(E594)&gt;0,MAX(AE$1:AE593)+1,"")</f>
        <v/>
      </c>
      <c r="AF594" s="11" t="str">
        <f aca="false">IF(A594="","",IFERROR(LEFT(A594,FIND("-",A594)-1),A594))</f>
        <v/>
      </c>
      <c r="AG594" s="11" t="str">
        <f aca="false">IF(AF594="","",IF(ISNUMBER(--MID(AF594,1,1)),0,IF(ISNUMBER(--MID(AF594,2,1)),1,IF(ISNUMBER(--MID(AF594,3,1)),2,IF(ISNUMBER(--MID(AF594,4,1)),3,MIN(LEN(AF594),4))))))</f>
        <v/>
      </c>
      <c r="AH594" s="11" t="str">
        <f aca="false">IF(A594="","",LEFT(AF594,AG594)&amp;REPT("0",4-AG594)&amp;RIGHT("000"&amp;IFERROR(VALUE(MID(AF594,AG594+1,9)),0),3)&amp;RIGHT("0000"&amp;IFERROR(VALUE(MID(A594,FIND("-",A594)+1,9)),0),4))</f>
        <v/>
      </c>
      <c r="AI594" s="11" t="str">
        <f aca="false">IF(OR(A594="",N(E594)&lt;=0),"",IF('FALTAS GERAL'!$M$1="Código","K"&amp;AH594&amp;RIGHT("00000"&amp;ROW(),5),IF('FALTAS GERAL'!$M$1="Nome","K"&amp;UPPER(SUBSTITUTE(SUBSTITUTE(SUBSTITUTE(B594,"*",""),"?",""),"~",""))&amp;"0"&amp;AH594&amp;RIGHT("00000"&amp;ROW(),5),IF('FALTAS GERAL'!$M$1="Falta (maior primeiro)","K"&amp;RIGHT("0000"&amp;(9999-E594),4)&amp;AH594&amp;RIGHT("00000"&amp;ROW(),5),IF('FALTAS GERAL'!$M$1="Nº de decks (maior primeiro)","K"&amp;RIGHT("00"&amp;(99-N(G594)),2)&amp;AH594&amp;RIGHT("00000"&amp;ROW(),5),"K"&amp;RIGHT("00000"&amp;ROW(),5))))))</f>
        <v/>
      </c>
      <c r="AJ594" s="11" t="str">
        <f aca="false">IF(AI594="","",COUNTIFS($AI$2:$AI$801,"&lt;"&amp;AI594,$E$2:$E$801,"&gt;0")+1)</f>
        <v/>
      </c>
      <c r="AK594" s="11" t="str">
        <f aca="false">IF(OR(A594="",N(E594)&lt;=0),"",COUNTIFS($AH$2:$AH$801,"&lt;"&amp;AH594,$E$2:$E$801,"&gt;0")+COUNTIFS($AH$2:AH594,AH594,$E$2:E594,"&gt;0"))</f>
        <v/>
      </c>
    </row>
    <row r="595" customFormat="false" ht="15" hidden="false" customHeight="false" outlineLevel="0" collapsed="false">
      <c r="A595" s="11" t="str">
        <f aca="false">IF(INVENTÁRIO!A595="","",INVENTÁRIO!A595)</f>
        <v/>
      </c>
      <c r="B595" s="11" t="str">
        <f aca="false">IF(A595="","",INVENTÁRIO!B595)</f>
        <v/>
      </c>
      <c r="C595" s="16" t="str">
        <f aca="false">IF(A595="","",INVENTÁRIO!C595)</f>
        <v/>
      </c>
      <c r="D595" s="14" t="str">
        <f aca="false">IF(A595="","",MAX(K595:AD595))</f>
        <v/>
      </c>
      <c r="E595" s="14" t="str">
        <f aca="false">IF(A595="","",MAX(0,D595-C595))</f>
        <v/>
      </c>
      <c r="F595" s="16" t="str">
        <f aca="false">IF(A595="","",IF(D595=0,"Fora dos decks",IF(E595=0,"Completo","Falta")))</f>
        <v/>
      </c>
      <c r="G595" s="16" t="str">
        <f aca="false">IF(A595="","",COUNTIF(K595:AD595,"&gt;0"))</f>
        <v/>
      </c>
      <c r="H595" s="16" t="str">
        <f aca="false">IF(A595="","",IF(G595&gt;1,"Sim",""))</f>
        <v/>
      </c>
      <c r="I595" s="18" t="str">
        <f aca="false">IF(A595="","",SUMIFS(DECKS!$D$2:$D$1201,DECKS!$B$2:$B$1201,A595))</f>
        <v/>
      </c>
      <c r="J595" s="18" t="str">
        <f aca="false">IF(A595="","",MAX(0,I595-C595))</f>
        <v/>
      </c>
      <c r="K595" s="19" t="str">
        <f aca="false">IF(OR($A595="",INDEX(_LEITURA!$Q$2:$Q$21,1)=0),"",SUMIFS(DECKS!$D$2:$D$1201,DECKS!$A$2:$A$1201,INDEX(_LEITURA!$P$2:$P$21,1),DECKS!$B$2:$B$1201,$A595))</f>
        <v/>
      </c>
      <c r="L595" s="19" t="str">
        <f aca="false">IF(OR($A595="",INDEX(_LEITURA!$Q$2:$Q$21,2)=0),"",SUMIFS(DECKS!$D$2:$D$1201,DECKS!$A$2:$A$1201,INDEX(_LEITURA!$P$2:$P$21,2),DECKS!$B$2:$B$1201,$A595))</f>
        <v/>
      </c>
      <c r="M595" s="19" t="str">
        <f aca="false">IF(OR($A595="",INDEX(_LEITURA!$Q$2:$Q$21,3)=0),"",SUMIFS(DECKS!$D$2:$D$1201,DECKS!$A$2:$A$1201,INDEX(_LEITURA!$P$2:$P$21,3),DECKS!$B$2:$B$1201,$A595))</f>
        <v/>
      </c>
      <c r="N595" s="19" t="str">
        <f aca="false">IF(OR($A595="",INDEX(_LEITURA!$Q$2:$Q$21,4)=0),"",SUMIFS(DECKS!$D$2:$D$1201,DECKS!$A$2:$A$1201,INDEX(_LEITURA!$P$2:$P$21,4),DECKS!$B$2:$B$1201,$A595))</f>
        <v/>
      </c>
      <c r="O595" s="19" t="str">
        <f aca="false">IF(OR($A595="",INDEX(_LEITURA!$Q$2:$Q$21,5)=0),"",SUMIFS(DECKS!$D$2:$D$1201,DECKS!$A$2:$A$1201,INDEX(_LEITURA!$P$2:$P$21,5),DECKS!$B$2:$B$1201,$A595))</f>
        <v/>
      </c>
      <c r="P595" s="19" t="str">
        <f aca="false">IF(OR($A595="",INDEX(_LEITURA!$Q$2:$Q$21,6)=0),"",SUMIFS(DECKS!$D$2:$D$1201,DECKS!$A$2:$A$1201,INDEX(_LEITURA!$P$2:$P$21,6),DECKS!$B$2:$B$1201,$A595))</f>
        <v/>
      </c>
      <c r="Q595" s="19" t="str">
        <f aca="false">IF(OR($A595="",INDEX(_LEITURA!$Q$2:$Q$21,7)=0),"",SUMIFS(DECKS!$D$2:$D$1201,DECKS!$A$2:$A$1201,INDEX(_LEITURA!$P$2:$P$21,7),DECKS!$B$2:$B$1201,$A595))</f>
        <v/>
      </c>
      <c r="R595" s="19" t="str">
        <f aca="false">IF(OR($A595="",INDEX(_LEITURA!$Q$2:$Q$21,8)=0),"",SUMIFS(DECKS!$D$2:$D$1201,DECKS!$A$2:$A$1201,INDEX(_LEITURA!$P$2:$P$21,8),DECKS!$B$2:$B$1201,$A595))</f>
        <v/>
      </c>
      <c r="S595" s="19" t="str">
        <f aca="false">IF(OR($A595="",INDEX(_LEITURA!$Q$2:$Q$21,9)=0),"",SUMIFS(DECKS!$D$2:$D$1201,DECKS!$A$2:$A$1201,INDEX(_LEITURA!$P$2:$P$21,9),DECKS!$B$2:$B$1201,$A595))</f>
        <v/>
      </c>
      <c r="T595" s="19" t="str">
        <f aca="false">IF(OR($A595="",INDEX(_LEITURA!$Q$2:$Q$21,10)=0),"",SUMIFS(DECKS!$D$2:$D$1201,DECKS!$A$2:$A$1201,INDEX(_LEITURA!$P$2:$P$21,10),DECKS!$B$2:$B$1201,$A595))</f>
        <v/>
      </c>
      <c r="U595" s="19" t="str">
        <f aca="false">IF(OR($A595="",INDEX(_LEITURA!$Q$2:$Q$21,11)=0),"",SUMIFS(DECKS!$D$2:$D$1201,DECKS!$A$2:$A$1201,INDEX(_LEITURA!$P$2:$P$21,11),DECKS!$B$2:$B$1201,$A595))</f>
        <v/>
      </c>
      <c r="V595" s="19" t="str">
        <f aca="false">IF(OR($A595="",INDEX(_LEITURA!$Q$2:$Q$21,12)=0),"",SUMIFS(DECKS!$D$2:$D$1201,DECKS!$A$2:$A$1201,INDEX(_LEITURA!$P$2:$P$21,12),DECKS!$B$2:$B$1201,$A595))</f>
        <v/>
      </c>
      <c r="W595" s="19" t="str">
        <f aca="false">IF(OR($A595="",INDEX(_LEITURA!$Q$2:$Q$21,13)=0),"",SUMIFS(DECKS!$D$2:$D$1201,DECKS!$A$2:$A$1201,INDEX(_LEITURA!$P$2:$P$21,13),DECKS!$B$2:$B$1201,$A595))</f>
        <v/>
      </c>
      <c r="X595" s="19" t="str">
        <f aca="false">IF(OR($A595="",INDEX(_LEITURA!$Q$2:$Q$21,14)=0),"",SUMIFS(DECKS!$D$2:$D$1201,DECKS!$A$2:$A$1201,INDEX(_LEITURA!$P$2:$P$21,14),DECKS!$B$2:$B$1201,$A595))</f>
        <v/>
      </c>
      <c r="Y595" s="19" t="str">
        <f aca="false">IF(OR($A595="",INDEX(_LEITURA!$Q$2:$Q$21,15)=0),"",SUMIFS(DECKS!$D$2:$D$1201,DECKS!$A$2:$A$1201,INDEX(_LEITURA!$P$2:$P$21,15),DECKS!$B$2:$B$1201,$A595))</f>
        <v/>
      </c>
      <c r="Z595" s="19" t="str">
        <f aca="false">IF(OR($A595="",INDEX(_LEITURA!$Q$2:$Q$21,16)=0),"",SUMIFS(DECKS!$D$2:$D$1201,DECKS!$A$2:$A$1201,INDEX(_LEITURA!$P$2:$P$21,16),DECKS!$B$2:$B$1201,$A595))</f>
        <v/>
      </c>
      <c r="AA595" s="19" t="str">
        <f aca="false">IF(OR($A595="",INDEX(_LEITURA!$Q$2:$Q$21,17)=0),"",SUMIFS(DECKS!$D$2:$D$1201,DECKS!$A$2:$A$1201,INDEX(_LEITURA!$P$2:$P$21,17),DECKS!$B$2:$B$1201,$A595))</f>
        <v/>
      </c>
      <c r="AB595" s="19" t="str">
        <f aca="false">IF(OR($A595="",INDEX(_LEITURA!$Q$2:$Q$21,18)=0),"",SUMIFS(DECKS!$D$2:$D$1201,DECKS!$A$2:$A$1201,INDEX(_LEITURA!$P$2:$P$21,18),DECKS!$B$2:$B$1201,$A595))</f>
        <v/>
      </c>
      <c r="AC595" s="19" t="str">
        <f aca="false">IF(OR($A595="",INDEX(_LEITURA!$Q$2:$Q$21,19)=0),"",SUMIFS(DECKS!$D$2:$D$1201,DECKS!$A$2:$A$1201,INDEX(_LEITURA!$P$2:$P$21,19),DECKS!$B$2:$B$1201,$A595))</f>
        <v/>
      </c>
      <c r="AD595" s="19" t="str">
        <f aca="false">IF(OR($A595="",INDEX(_LEITURA!$Q$2:$Q$21,20)=0),"",SUMIFS(DECKS!$D$2:$D$1201,DECKS!$A$2:$A$1201,INDEX(_LEITURA!$P$2:$P$21,20),DECKS!$B$2:$B$1201,$A595))</f>
        <v/>
      </c>
      <c r="AE595" s="16" t="str">
        <f aca="false">IF(N(E595)&gt;0,MAX(AE$1:AE594)+1,"")</f>
        <v/>
      </c>
      <c r="AF595" s="11" t="str">
        <f aca="false">IF(A595="","",IFERROR(LEFT(A595,FIND("-",A595)-1),A595))</f>
        <v/>
      </c>
      <c r="AG595" s="11" t="str">
        <f aca="false">IF(AF595="","",IF(ISNUMBER(--MID(AF595,1,1)),0,IF(ISNUMBER(--MID(AF595,2,1)),1,IF(ISNUMBER(--MID(AF595,3,1)),2,IF(ISNUMBER(--MID(AF595,4,1)),3,MIN(LEN(AF595),4))))))</f>
        <v/>
      </c>
      <c r="AH595" s="11" t="str">
        <f aca="false">IF(A595="","",LEFT(AF595,AG595)&amp;REPT("0",4-AG595)&amp;RIGHT("000"&amp;IFERROR(VALUE(MID(AF595,AG595+1,9)),0),3)&amp;RIGHT("0000"&amp;IFERROR(VALUE(MID(A595,FIND("-",A595)+1,9)),0),4))</f>
        <v/>
      </c>
      <c r="AI595" s="11" t="str">
        <f aca="false">IF(OR(A595="",N(E595)&lt;=0),"",IF('FALTAS GERAL'!$M$1="Código","K"&amp;AH595&amp;RIGHT("00000"&amp;ROW(),5),IF('FALTAS GERAL'!$M$1="Nome","K"&amp;UPPER(SUBSTITUTE(SUBSTITUTE(SUBSTITUTE(B595,"*",""),"?",""),"~",""))&amp;"0"&amp;AH595&amp;RIGHT("00000"&amp;ROW(),5),IF('FALTAS GERAL'!$M$1="Falta (maior primeiro)","K"&amp;RIGHT("0000"&amp;(9999-E595),4)&amp;AH595&amp;RIGHT("00000"&amp;ROW(),5),IF('FALTAS GERAL'!$M$1="Nº de decks (maior primeiro)","K"&amp;RIGHT("00"&amp;(99-N(G595)),2)&amp;AH595&amp;RIGHT("00000"&amp;ROW(),5),"K"&amp;RIGHT("00000"&amp;ROW(),5))))))</f>
        <v/>
      </c>
      <c r="AJ595" s="11" t="str">
        <f aca="false">IF(AI595="","",COUNTIFS($AI$2:$AI$801,"&lt;"&amp;AI595,$E$2:$E$801,"&gt;0")+1)</f>
        <v/>
      </c>
      <c r="AK595" s="11" t="str">
        <f aca="false">IF(OR(A595="",N(E595)&lt;=0),"",COUNTIFS($AH$2:$AH$801,"&lt;"&amp;AH595,$E$2:$E$801,"&gt;0")+COUNTIFS($AH$2:AH595,AH595,$E$2:E595,"&gt;0"))</f>
        <v/>
      </c>
    </row>
    <row r="596" customFormat="false" ht="15" hidden="false" customHeight="false" outlineLevel="0" collapsed="false">
      <c r="A596" s="11" t="str">
        <f aca="false">IF(INVENTÁRIO!A596="","",INVENTÁRIO!A596)</f>
        <v/>
      </c>
      <c r="B596" s="11" t="str">
        <f aca="false">IF(A596="","",INVENTÁRIO!B596)</f>
        <v/>
      </c>
      <c r="C596" s="16" t="str">
        <f aca="false">IF(A596="","",INVENTÁRIO!C596)</f>
        <v/>
      </c>
      <c r="D596" s="14" t="str">
        <f aca="false">IF(A596="","",MAX(K596:AD596))</f>
        <v/>
      </c>
      <c r="E596" s="14" t="str">
        <f aca="false">IF(A596="","",MAX(0,D596-C596))</f>
        <v/>
      </c>
      <c r="F596" s="16" t="str">
        <f aca="false">IF(A596="","",IF(D596=0,"Fora dos decks",IF(E596=0,"Completo","Falta")))</f>
        <v/>
      </c>
      <c r="G596" s="16" t="str">
        <f aca="false">IF(A596="","",COUNTIF(K596:AD596,"&gt;0"))</f>
        <v/>
      </c>
      <c r="H596" s="16" t="str">
        <f aca="false">IF(A596="","",IF(G596&gt;1,"Sim",""))</f>
        <v/>
      </c>
      <c r="I596" s="18" t="str">
        <f aca="false">IF(A596="","",SUMIFS(DECKS!$D$2:$D$1201,DECKS!$B$2:$B$1201,A596))</f>
        <v/>
      </c>
      <c r="J596" s="18" t="str">
        <f aca="false">IF(A596="","",MAX(0,I596-C596))</f>
        <v/>
      </c>
      <c r="K596" s="19" t="str">
        <f aca="false">IF(OR($A596="",INDEX(_LEITURA!$Q$2:$Q$21,1)=0),"",SUMIFS(DECKS!$D$2:$D$1201,DECKS!$A$2:$A$1201,INDEX(_LEITURA!$P$2:$P$21,1),DECKS!$B$2:$B$1201,$A596))</f>
        <v/>
      </c>
      <c r="L596" s="19" t="str">
        <f aca="false">IF(OR($A596="",INDEX(_LEITURA!$Q$2:$Q$21,2)=0),"",SUMIFS(DECKS!$D$2:$D$1201,DECKS!$A$2:$A$1201,INDEX(_LEITURA!$P$2:$P$21,2),DECKS!$B$2:$B$1201,$A596))</f>
        <v/>
      </c>
      <c r="M596" s="19" t="str">
        <f aca="false">IF(OR($A596="",INDEX(_LEITURA!$Q$2:$Q$21,3)=0),"",SUMIFS(DECKS!$D$2:$D$1201,DECKS!$A$2:$A$1201,INDEX(_LEITURA!$P$2:$P$21,3),DECKS!$B$2:$B$1201,$A596))</f>
        <v/>
      </c>
      <c r="N596" s="19" t="str">
        <f aca="false">IF(OR($A596="",INDEX(_LEITURA!$Q$2:$Q$21,4)=0),"",SUMIFS(DECKS!$D$2:$D$1201,DECKS!$A$2:$A$1201,INDEX(_LEITURA!$P$2:$P$21,4),DECKS!$B$2:$B$1201,$A596))</f>
        <v/>
      </c>
      <c r="O596" s="19" t="str">
        <f aca="false">IF(OR($A596="",INDEX(_LEITURA!$Q$2:$Q$21,5)=0),"",SUMIFS(DECKS!$D$2:$D$1201,DECKS!$A$2:$A$1201,INDEX(_LEITURA!$P$2:$P$21,5),DECKS!$B$2:$B$1201,$A596))</f>
        <v/>
      </c>
      <c r="P596" s="19" t="str">
        <f aca="false">IF(OR($A596="",INDEX(_LEITURA!$Q$2:$Q$21,6)=0),"",SUMIFS(DECKS!$D$2:$D$1201,DECKS!$A$2:$A$1201,INDEX(_LEITURA!$P$2:$P$21,6),DECKS!$B$2:$B$1201,$A596))</f>
        <v/>
      </c>
      <c r="Q596" s="19" t="str">
        <f aca="false">IF(OR($A596="",INDEX(_LEITURA!$Q$2:$Q$21,7)=0),"",SUMIFS(DECKS!$D$2:$D$1201,DECKS!$A$2:$A$1201,INDEX(_LEITURA!$P$2:$P$21,7),DECKS!$B$2:$B$1201,$A596))</f>
        <v/>
      </c>
      <c r="R596" s="19" t="str">
        <f aca="false">IF(OR($A596="",INDEX(_LEITURA!$Q$2:$Q$21,8)=0),"",SUMIFS(DECKS!$D$2:$D$1201,DECKS!$A$2:$A$1201,INDEX(_LEITURA!$P$2:$P$21,8),DECKS!$B$2:$B$1201,$A596))</f>
        <v/>
      </c>
      <c r="S596" s="19" t="str">
        <f aca="false">IF(OR($A596="",INDEX(_LEITURA!$Q$2:$Q$21,9)=0),"",SUMIFS(DECKS!$D$2:$D$1201,DECKS!$A$2:$A$1201,INDEX(_LEITURA!$P$2:$P$21,9),DECKS!$B$2:$B$1201,$A596))</f>
        <v/>
      </c>
      <c r="T596" s="19" t="str">
        <f aca="false">IF(OR($A596="",INDEX(_LEITURA!$Q$2:$Q$21,10)=0),"",SUMIFS(DECKS!$D$2:$D$1201,DECKS!$A$2:$A$1201,INDEX(_LEITURA!$P$2:$P$21,10),DECKS!$B$2:$B$1201,$A596))</f>
        <v/>
      </c>
      <c r="U596" s="19" t="str">
        <f aca="false">IF(OR($A596="",INDEX(_LEITURA!$Q$2:$Q$21,11)=0),"",SUMIFS(DECKS!$D$2:$D$1201,DECKS!$A$2:$A$1201,INDEX(_LEITURA!$P$2:$P$21,11),DECKS!$B$2:$B$1201,$A596))</f>
        <v/>
      </c>
      <c r="V596" s="19" t="str">
        <f aca="false">IF(OR($A596="",INDEX(_LEITURA!$Q$2:$Q$21,12)=0),"",SUMIFS(DECKS!$D$2:$D$1201,DECKS!$A$2:$A$1201,INDEX(_LEITURA!$P$2:$P$21,12),DECKS!$B$2:$B$1201,$A596))</f>
        <v/>
      </c>
      <c r="W596" s="19" t="str">
        <f aca="false">IF(OR($A596="",INDEX(_LEITURA!$Q$2:$Q$21,13)=0),"",SUMIFS(DECKS!$D$2:$D$1201,DECKS!$A$2:$A$1201,INDEX(_LEITURA!$P$2:$P$21,13),DECKS!$B$2:$B$1201,$A596))</f>
        <v/>
      </c>
      <c r="X596" s="19" t="str">
        <f aca="false">IF(OR($A596="",INDEX(_LEITURA!$Q$2:$Q$21,14)=0),"",SUMIFS(DECKS!$D$2:$D$1201,DECKS!$A$2:$A$1201,INDEX(_LEITURA!$P$2:$P$21,14),DECKS!$B$2:$B$1201,$A596))</f>
        <v/>
      </c>
      <c r="Y596" s="19" t="str">
        <f aca="false">IF(OR($A596="",INDEX(_LEITURA!$Q$2:$Q$21,15)=0),"",SUMIFS(DECKS!$D$2:$D$1201,DECKS!$A$2:$A$1201,INDEX(_LEITURA!$P$2:$P$21,15),DECKS!$B$2:$B$1201,$A596))</f>
        <v/>
      </c>
      <c r="Z596" s="19" t="str">
        <f aca="false">IF(OR($A596="",INDEX(_LEITURA!$Q$2:$Q$21,16)=0),"",SUMIFS(DECKS!$D$2:$D$1201,DECKS!$A$2:$A$1201,INDEX(_LEITURA!$P$2:$P$21,16),DECKS!$B$2:$B$1201,$A596))</f>
        <v/>
      </c>
      <c r="AA596" s="19" t="str">
        <f aca="false">IF(OR($A596="",INDEX(_LEITURA!$Q$2:$Q$21,17)=0),"",SUMIFS(DECKS!$D$2:$D$1201,DECKS!$A$2:$A$1201,INDEX(_LEITURA!$P$2:$P$21,17),DECKS!$B$2:$B$1201,$A596))</f>
        <v/>
      </c>
      <c r="AB596" s="19" t="str">
        <f aca="false">IF(OR($A596="",INDEX(_LEITURA!$Q$2:$Q$21,18)=0),"",SUMIFS(DECKS!$D$2:$D$1201,DECKS!$A$2:$A$1201,INDEX(_LEITURA!$P$2:$P$21,18),DECKS!$B$2:$B$1201,$A596))</f>
        <v/>
      </c>
      <c r="AC596" s="19" t="str">
        <f aca="false">IF(OR($A596="",INDEX(_LEITURA!$Q$2:$Q$21,19)=0),"",SUMIFS(DECKS!$D$2:$D$1201,DECKS!$A$2:$A$1201,INDEX(_LEITURA!$P$2:$P$21,19),DECKS!$B$2:$B$1201,$A596))</f>
        <v/>
      </c>
      <c r="AD596" s="19" t="str">
        <f aca="false">IF(OR($A596="",INDEX(_LEITURA!$Q$2:$Q$21,20)=0),"",SUMIFS(DECKS!$D$2:$D$1201,DECKS!$A$2:$A$1201,INDEX(_LEITURA!$P$2:$P$21,20),DECKS!$B$2:$B$1201,$A596))</f>
        <v/>
      </c>
      <c r="AE596" s="16" t="str">
        <f aca="false">IF(N(E596)&gt;0,MAX(AE$1:AE595)+1,"")</f>
        <v/>
      </c>
      <c r="AF596" s="11" t="str">
        <f aca="false">IF(A596="","",IFERROR(LEFT(A596,FIND("-",A596)-1),A596))</f>
        <v/>
      </c>
      <c r="AG596" s="11" t="str">
        <f aca="false">IF(AF596="","",IF(ISNUMBER(--MID(AF596,1,1)),0,IF(ISNUMBER(--MID(AF596,2,1)),1,IF(ISNUMBER(--MID(AF596,3,1)),2,IF(ISNUMBER(--MID(AF596,4,1)),3,MIN(LEN(AF596),4))))))</f>
        <v/>
      </c>
      <c r="AH596" s="11" t="str">
        <f aca="false">IF(A596="","",LEFT(AF596,AG596)&amp;REPT("0",4-AG596)&amp;RIGHT("000"&amp;IFERROR(VALUE(MID(AF596,AG596+1,9)),0),3)&amp;RIGHT("0000"&amp;IFERROR(VALUE(MID(A596,FIND("-",A596)+1,9)),0),4))</f>
        <v/>
      </c>
      <c r="AI596" s="11" t="str">
        <f aca="false">IF(OR(A596="",N(E596)&lt;=0),"",IF('FALTAS GERAL'!$M$1="Código","K"&amp;AH596&amp;RIGHT("00000"&amp;ROW(),5),IF('FALTAS GERAL'!$M$1="Nome","K"&amp;UPPER(SUBSTITUTE(SUBSTITUTE(SUBSTITUTE(B596,"*",""),"?",""),"~",""))&amp;"0"&amp;AH596&amp;RIGHT("00000"&amp;ROW(),5),IF('FALTAS GERAL'!$M$1="Falta (maior primeiro)","K"&amp;RIGHT("0000"&amp;(9999-E596),4)&amp;AH596&amp;RIGHT("00000"&amp;ROW(),5),IF('FALTAS GERAL'!$M$1="Nº de decks (maior primeiro)","K"&amp;RIGHT("00"&amp;(99-N(G596)),2)&amp;AH596&amp;RIGHT("00000"&amp;ROW(),5),"K"&amp;RIGHT("00000"&amp;ROW(),5))))))</f>
        <v/>
      </c>
      <c r="AJ596" s="11" t="str">
        <f aca="false">IF(AI596="","",COUNTIFS($AI$2:$AI$801,"&lt;"&amp;AI596,$E$2:$E$801,"&gt;0")+1)</f>
        <v/>
      </c>
      <c r="AK596" s="11" t="str">
        <f aca="false">IF(OR(A596="",N(E596)&lt;=0),"",COUNTIFS($AH$2:$AH$801,"&lt;"&amp;AH596,$E$2:$E$801,"&gt;0")+COUNTIFS($AH$2:AH596,AH596,$E$2:E596,"&gt;0"))</f>
        <v/>
      </c>
    </row>
    <row r="597" customFormat="false" ht="15" hidden="false" customHeight="false" outlineLevel="0" collapsed="false">
      <c r="A597" s="11" t="str">
        <f aca="false">IF(INVENTÁRIO!A597="","",INVENTÁRIO!A597)</f>
        <v/>
      </c>
      <c r="B597" s="11" t="str">
        <f aca="false">IF(A597="","",INVENTÁRIO!B597)</f>
        <v/>
      </c>
      <c r="C597" s="16" t="str">
        <f aca="false">IF(A597="","",INVENTÁRIO!C597)</f>
        <v/>
      </c>
      <c r="D597" s="14" t="str">
        <f aca="false">IF(A597="","",MAX(K597:AD597))</f>
        <v/>
      </c>
      <c r="E597" s="14" t="str">
        <f aca="false">IF(A597="","",MAX(0,D597-C597))</f>
        <v/>
      </c>
      <c r="F597" s="16" t="str">
        <f aca="false">IF(A597="","",IF(D597=0,"Fora dos decks",IF(E597=0,"Completo","Falta")))</f>
        <v/>
      </c>
      <c r="G597" s="16" t="str">
        <f aca="false">IF(A597="","",COUNTIF(K597:AD597,"&gt;0"))</f>
        <v/>
      </c>
      <c r="H597" s="16" t="str">
        <f aca="false">IF(A597="","",IF(G597&gt;1,"Sim",""))</f>
        <v/>
      </c>
      <c r="I597" s="18" t="str">
        <f aca="false">IF(A597="","",SUMIFS(DECKS!$D$2:$D$1201,DECKS!$B$2:$B$1201,A597))</f>
        <v/>
      </c>
      <c r="J597" s="18" t="str">
        <f aca="false">IF(A597="","",MAX(0,I597-C597))</f>
        <v/>
      </c>
      <c r="K597" s="19" t="str">
        <f aca="false">IF(OR($A597="",INDEX(_LEITURA!$Q$2:$Q$21,1)=0),"",SUMIFS(DECKS!$D$2:$D$1201,DECKS!$A$2:$A$1201,INDEX(_LEITURA!$P$2:$P$21,1),DECKS!$B$2:$B$1201,$A597))</f>
        <v/>
      </c>
      <c r="L597" s="19" t="str">
        <f aca="false">IF(OR($A597="",INDEX(_LEITURA!$Q$2:$Q$21,2)=0),"",SUMIFS(DECKS!$D$2:$D$1201,DECKS!$A$2:$A$1201,INDEX(_LEITURA!$P$2:$P$21,2),DECKS!$B$2:$B$1201,$A597))</f>
        <v/>
      </c>
      <c r="M597" s="19" t="str">
        <f aca="false">IF(OR($A597="",INDEX(_LEITURA!$Q$2:$Q$21,3)=0),"",SUMIFS(DECKS!$D$2:$D$1201,DECKS!$A$2:$A$1201,INDEX(_LEITURA!$P$2:$P$21,3),DECKS!$B$2:$B$1201,$A597))</f>
        <v/>
      </c>
      <c r="N597" s="19" t="str">
        <f aca="false">IF(OR($A597="",INDEX(_LEITURA!$Q$2:$Q$21,4)=0),"",SUMIFS(DECKS!$D$2:$D$1201,DECKS!$A$2:$A$1201,INDEX(_LEITURA!$P$2:$P$21,4),DECKS!$B$2:$B$1201,$A597))</f>
        <v/>
      </c>
      <c r="O597" s="19" t="str">
        <f aca="false">IF(OR($A597="",INDEX(_LEITURA!$Q$2:$Q$21,5)=0),"",SUMIFS(DECKS!$D$2:$D$1201,DECKS!$A$2:$A$1201,INDEX(_LEITURA!$P$2:$P$21,5),DECKS!$B$2:$B$1201,$A597))</f>
        <v/>
      </c>
      <c r="P597" s="19" t="str">
        <f aca="false">IF(OR($A597="",INDEX(_LEITURA!$Q$2:$Q$21,6)=0),"",SUMIFS(DECKS!$D$2:$D$1201,DECKS!$A$2:$A$1201,INDEX(_LEITURA!$P$2:$P$21,6),DECKS!$B$2:$B$1201,$A597))</f>
        <v/>
      </c>
      <c r="Q597" s="19" t="str">
        <f aca="false">IF(OR($A597="",INDEX(_LEITURA!$Q$2:$Q$21,7)=0),"",SUMIFS(DECKS!$D$2:$D$1201,DECKS!$A$2:$A$1201,INDEX(_LEITURA!$P$2:$P$21,7),DECKS!$B$2:$B$1201,$A597))</f>
        <v/>
      </c>
      <c r="R597" s="19" t="str">
        <f aca="false">IF(OR($A597="",INDEX(_LEITURA!$Q$2:$Q$21,8)=0),"",SUMIFS(DECKS!$D$2:$D$1201,DECKS!$A$2:$A$1201,INDEX(_LEITURA!$P$2:$P$21,8),DECKS!$B$2:$B$1201,$A597))</f>
        <v/>
      </c>
      <c r="S597" s="19" t="str">
        <f aca="false">IF(OR($A597="",INDEX(_LEITURA!$Q$2:$Q$21,9)=0),"",SUMIFS(DECKS!$D$2:$D$1201,DECKS!$A$2:$A$1201,INDEX(_LEITURA!$P$2:$P$21,9),DECKS!$B$2:$B$1201,$A597))</f>
        <v/>
      </c>
      <c r="T597" s="19" t="str">
        <f aca="false">IF(OR($A597="",INDEX(_LEITURA!$Q$2:$Q$21,10)=0),"",SUMIFS(DECKS!$D$2:$D$1201,DECKS!$A$2:$A$1201,INDEX(_LEITURA!$P$2:$P$21,10),DECKS!$B$2:$B$1201,$A597))</f>
        <v/>
      </c>
      <c r="U597" s="19" t="str">
        <f aca="false">IF(OR($A597="",INDEX(_LEITURA!$Q$2:$Q$21,11)=0),"",SUMIFS(DECKS!$D$2:$D$1201,DECKS!$A$2:$A$1201,INDEX(_LEITURA!$P$2:$P$21,11),DECKS!$B$2:$B$1201,$A597))</f>
        <v/>
      </c>
      <c r="V597" s="19" t="str">
        <f aca="false">IF(OR($A597="",INDEX(_LEITURA!$Q$2:$Q$21,12)=0),"",SUMIFS(DECKS!$D$2:$D$1201,DECKS!$A$2:$A$1201,INDEX(_LEITURA!$P$2:$P$21,12),DECKS!$B$2:$B$1201,$A597))</f>
        <v/>
      </c>
      <c r="W597" s="19" t="str">
        <f aca="false">IF(OR($A597="",INDEX(_LEITURA!$Q$2:$Q$21,13)=0),"",SUMIFS(DECKS!$D$2:$D$1201,DECKS!$A$2:$A$1201,INDEX(_LEITURA!$P$2:$P$21,13),DECKS!$B$2:$B$1201,$A597))</f>
        <v/>
      </c>
      <c r="X597" s="19" t="str">
        <f aca="false">IF(OR($A597="",INDEX(_LEITURA!$Q$2:$Q$21,14)=0),"",SUMIFS(DECKS!$D$2:$D$1201,DECKS!$A$2:$A$1201,INDEX(_LEITURA!$P$2:$P$21,14),DECKS!$B$2:$B$1201,$A597))</f>
        <v/>
      </c>
      <c r="Y597" s="19" t="str">
        <f aca="false">IF(OR($A597="",INDEX(_LEITURA!$Q$2:$Q$21,15)=0),"",SUMIFS(DECKS!$D$2:$D$1201,DECKS!$A$2:$A$1201,INDEX(_LEITURA!$P$2:$P$21,15),DECKS!$B$2:$B$1201,$A597))</f>
        <v/>
      </c>
      <c r="Z597" s="19" t="str">
        <f aca="false">IF(OR($A597="",INDEX(_LEITURA!$Q$2:$Q$21,16)=0),"",SUMIFS(DECKS!$D$2:$D$1201,DECKS!$A$2:$A$1201,INDEX(_LEITURA!$P$2:$P$21,16),DECKS!$B$2:$B$1201,$A597))</f>
        <v/>
      </c>
      <c r="AA597" s="19" t="str">
        <f aca="false">IF(OR($A597="",INDEX(_LEITURA!$Q$2:$Q$21,17)=0),"",SUMIFS(DECKS!$D$2:$D$1201,DECKS!$A$2:$A$1201,INDEX(_LEITURA!$P$2:$P$21,17),DECKS!$B$2:$B$1201,$A597))</f>
        <v/>
      </c>
      <c r="AB597" s="19" t="str">
        <f aca="false">IF(OR($A597="",INDEX(_LEITURA!$Q$2:$Q$21,18)=0),"",SUMIFS(DECKS!$D$2:$D$1201,DECKS!$A$2:$A$1201,INDEX(_LEITURA!$P$2:$P$21,18),DECKS!$B$2:$B$1201,$A597))</f>
        <v/>
      </c>
      <c r="AC597" s="19" t="str">
        <f aca="false">IF(OR($A597="",INDEX(_LEITURA!$Q$2:$Q$21,19)=0),"",SUMIFS(DECKS!$D$2:$D$1201,DECKS!$A$2:$A$1201,INDEX(_LEITURA!$P$2:$P$21,19),DECKS!$B$2:$B$1201,$A597))</f>
        <v/>
      </c>
      <c r="AD597" s="19" t="str">
        <f aca="false">IF(OR($A597="",INDEX(_LEITURA!$Q$2:$Q$21,20)=0),"",SUMIFS(DECKS!$D$2:$D$1201,DECKS!$A$2:$A$1201,INDEX(_LEITURA!$P$2:$P$21,20),DECKS!$B$2:$B$1201,$A597))</f>
        <v/>
      </c>
      <c r="AE597" s="16" t="str">
        <f aca="false">IF(N(E597)&gt;0,MAX(AE$1:AE596)+1,"")</f>
        <v/>
      </c>
      <c r="AF597" s="11" t="str">
        <f aca="false">IF(A597="","",IFERROR(LEFT(A597,FIND("-",A597)-1),A597))</f>
        <v/>
      </c>
      <c r="AG597" s="11" t="str">
        <f aca="false">IF(AF597="","",IF(ISNUMBER(--MID(AF597,1,1)),0,IF(ISNUMBER(--MID(AF597,2,1)),1,IF(ISNUMBER(--MID(AF597,3,1)),2,IF(ISNUMBER(--MID(AF597,4,1)),3,MIN(LEN(AF597),4))))))</f>
        <v/>
      </c>
      <c r="AH597" s="11" t="str">
        <f aca="false">IF(A597="","",LEFT(AF597,AG597)&amp;REPT("0",4-AG597)&amp;RIGHT("000"&amp;IFERROR(VALUE(MID(AF597,AG597+1,9)),0),3)&amp;RIGHT("0000"&amp;IFERROR(VALUE(MID(A597,FIND("-",A597)+1,9)),0),4))</f>
        <v/>
      </c>
      <c r="AI597" s="11" t="str">
        <f aca="false">IF(OR(A597="",N(E597)&lt;=0),"",IF('FALTAS GERAL'!$M$1="Código","K"&amp;AH597&amp;RIGHT("00000"&amp;ROW(),5),IF('FALTAS GERAL'!$M$1="Nome","K"&amp;UPPER(SUBSTITUTE(SUBSTITUTE(SUBSTITUTE(B597,"*",""),"?",""),"~",""))&amp;"0"&amp;AH597&amp;RIGHT("00000"&amp;ROW(),5),IF('FALTAS GERAL'!$M$1="Falta (maior primeiro)","K"&amp;RIGHT("0000"&amp;(9999-E597),4)&amp;AH597&amp;RIGHT("00000"&amp;ROW(),5),IF('FALTAS GERAL'!$M$1="Nº de decks (maior primeiro)","K"&amp;RIGHT("00"&amp;(99-N(G597)),2)&amp;AH597&amp;RIGHT("00000"&amp;ROW(),5),"K"&amp;RIGHT("00000"&amp;ROW(),5))))))</f>
        <v/>
      </c>
      <c r="AJ597" s="11" t="str">
        <f aca="false">IF(AI597="","",COUNTIFS($AI$2:$AI$801,"&lt;"&amp;AI597,$E$2:$E$801,"&gt;0")+1)</f>
        <v/>
      </c>
      <c r="AK597" s="11" t="str">
        <f aca="false">IF(OR(A597="",N(E597)&lt;=0),"",COUNTIFS($AH$2:$AH$801,"&lt;"&amp;AH597,$E$2:$E$801,"&gt;0")+COUNTIFS($AH$2:AH597,AH597,$E$2:E597,"&gt;0"))</f>
        <v/>
      </c>
    </row>
    <row r="598" customFormat="false" ht="15" hidden="false" customHeight="false" outlineLevel="0" collapsed="false">
      <c r="A598" s="11" t="str">
        <f aca="false">IF(INVENTÁRIO!A598="","",INVENTÁRIO!A598)</f>
        <v/>
      </c>
      <c r="B598" s="11" t="str">
        <f aca="false">IF(A598="","",INVENTÁRIO!B598)</f>
        <v/>
      </c>
      <c r="C598" s="16" t="str">
        <f aca="false">IF(A598="","",INVENTÁRIO!C598)</f>
        <v/>
      </c>
      <c r="D598" s="14" t="str">
        <f aca="false">IF(A598="","",MAX(K598:AD598))</f>
        <v/>
      </c>
      <c r="E598" s="14" t="str">
        <f aca="false">IF(A598="","",MAX(0,D598-C598))</f>
        <v/>
      </c>
      <c r="F598" s="16" t="str">
        <f aca="false">IF(A598="","",IF(D598=0,"Fora dos decks",IF(E598=0,"Completo","Falta")))</f>
        <v/>
      </c>
      <c r="G598" s="16" t="str">
        <f aca="false">IF(A598="","",COUNTIF(K598:AD598,"&gt;0"))</f>
        <v/>
      </c>
      <c r="H598" s="16" t="str">
        <f aca="false">IF(A598="","",IF(G598&gt;1,"Sim",""))</f>
        <v/>
      </c>
      <c r="I598" s="18" t="str">
        <f aca="false">IF(A598="","",SUMIFS(DECKS!$D$2:$D$1201,DECKS!$B$2:$B$1201,A598))</f>
        <v/>
      </c>
      <c r="J598" s="18" t="str">
        <f aca="false">IF(A598="","",MAX(0,I598-C598))</f>
        <v/>
      </c>
      <c r="K598" s="19" t="str">
        <f aca="false">IF(OR($A598="",INDEX(_LEITURA!$Q$2:$Q$21,1)=0),"",SUMIFS(DECKS!$D$2:$D$1201,DECKS!$A$2:$A$1201,INDEX(_LEITURA!$P$2:$P$21,1),DECKS!$B$2:$B$1201,$A598))</f>
        <v/>
      </c>
      <c r="L598" s="19" t="str">
        <f aca="false">IF(OR($A598="",INDEX(_LEITURA!$Q$2:$Q$21,2)=0),"",SUMIFS(DECKS!$D$2:$D$1201,DECKS!$A$2:$A$1201,INDEX(_LEITURA!$P$2:$P$21,2),DECKS!$B$2:$B$1201,$A598))</f>
        <v/>
      </c>
      <c r="M598" s="19" t="str">
        <f aca="false">IF(OR($A598="",INDEX(_LEITURA!$Q$2:$Q$21,3)=0),"",SUMIFS(DECKS!$D$2:$D$1201,DECKS!$A$2:$A$1201,INDEX(_LEITURA!$P$2:$P$21,3),DECKS!$B$2:$B$1201,$A598))</f>
        <v/>
      </c>
      <c r="N598" s="19" t="str">
        <f aca="false">IF(OR($A598="",INDEX(_LEITURA!$Q$2:$Q$21,4)=0),"",SUMIFS(DECKS!$D$2:$D$1201,DECKS!$A$2:$A$1201,INDEX(_LEITURA!$P$2:$P$21,4),DECKS!$B$2:$B$1201,$A598))</f>
        <v/>
      </c>
      <c r="O598" s="19" t="str">
        <f aca="false">IF(OR($A598="",INDEX(_LEITURA!$Q$2:$Q$21,5)=0),"",SUMIFS(DECKS!$D$2:$D$1201,DECKS!$A$2:$A$1201,INDEX(_LEITURA!$P$2:$P$21,5),DECKS!$B$2:$B$1201,$A598))</f>
        <v/>
      </c>
      <c r="P598" s="19" t="str">
        <f aca="false">IF(OR($A598="",INDEX(_LEITURA!$Q$2:$Q$21,6)=0),"",SUMIFS(DECKS!$D$2:$D$1201,DECKS!$A$2:$A$1201,INDEX(_LEITURA!$P$2:$P$21,6),DECKS!$B$2:$B$1201,$A598))</f>
        <v/>
      </c>
      <c r="Q598" s="19" t="str">
        <f aca="false">IF(OR($A598="",INDEX(_LEITURA!$Q$2:$Q$21,7)=0),"",SUMIFS(DECKS!$D$2:$D$1201,DECKS!$A$2:$A$1201,INDEX(_LEITURA!$P$2:$P$21,7),DECKS!$B$2:$B$1201,$A598))</f>
        <v/>
      </c>
      <c r="R598" s="19" t="str">
        <f aca="false">IF(OR($A598="",INDEX(_LEITURA!$Q$2:$Q$21,8)=0),"",SUMIFS(DECKS!$D$2:$D$1201,DECKS!$A$2:$A$1201,INDEX(_LEITURA!$P$2:$P$21,8),DECKS!$B$2:$B$1201,$A598))</f>
        <v/>
      </c>
      <c r="S598" s="19" t="str">
        <f aca="false">IF(OR($A598="",INDEX(_LEITURA!$Q$2:$Q$21,9)=0),"",SUMIFS(DECKS!$D$2:$D$1201,DECKS!$A$2:$A$1201,INDEX(_LEITURA!$P$2:$P$21,9),DECKS!$B$2:$B$1201,$A598))</f>
        <v/>
      </c>
      <c r="T598" s="19" t="str">
        <f aca="false">IF(OR($A598="",INDEX(_LEITURA!$Q$2:$Q$21,10)=0),"",SUMIFS(DECKS!$D$2:$D$1201,DECKS!$A$2:$A$1201,INDEX(_LEITURA!$P$2:$P$21,10),DECKS!$B$2:$B$1201,$A598))</f>
        <v/>
      </c>
      <c r="U598" s="19" t="str">
        <f aca="false">IF(OR($A598="",INDEX(_LEITURA!$Q$2:$Q$21,11)=0),"",SUMIFS(DECKS!$D$2:$D$1201,DECKS!$A$2:$A$1201,INDEX(_LEITURA!$P$2:$P$21,11),DECKS!$B$2:$B$1201,$A598))</f>
        <v/>
      </c>
      <c r="V598" s="19" t="str">
        <f aca="false">IF(OR($A598="",INDEX(_LEITURA!$Q$2:$Q$21,12)=0),"",SUMIFS(DECKS!$D$2:$D$1201,DECKS!$A$2:$A$1201,INDEX(_LEITURA!$P$2:$P$21,12),DECKS!$B$2:$B$1201,$A598))</f>
        <v/>
      </c>
      <c r="W598" s="19" t="str">
        <f aca="false">IF(OR($A598="",INDEX(_LEITURA!$Q$2:$Q$21,13)=0),"",SUMIFS(DECKS!$D$2:$D$1201,DECKS!$A$2:$A$1201,INDEX(_LEITURA!$P$2:$P$21,13),DECKS!$B$2:$B$1201,$A598))</f>
        <v/>
      </c>
      <c r="X598" s="19" t="str">
        <f aca="false">IF(OR($A598="",INDEX(_LEITURA!$Q$2:$Q$21,14)=0),"",SUMIFS(DECKS!$D$2:$D$1201,DECKS!$A$2:$A$1201,INDEX(_LEITURA!$P$2:$P$21,14),DECKS!$B$2:$B$1201,$A598))</f>
        <v/>
      </c>
      <c r="Y598" s="19" t="str">
        <f aca="false">IF(OR($A598="",INDEX(_LEITURA!$Q$2:$Q$21,15)=0),"",SUMIFS(DECKS!$D$2:$D$1201,DECKS!$A$2:$A$1201,INDEX(_LEITURA!$P$2:$P$21,15),DECKS!$B$2:$B$1201,$A598))</f>
        <v/>
      </c>
      <c r="Z598" s="19" t="str">
        <f aca="false">IF(OR($A598="",INDEX(_LEITURA!$Q$2:$Q$21,16)=0),"",SUMIFS(DECKS!$D$2:$D$1201,DECKS!$A$2:$A$1201,INDEX(_LEITURA!$P$2:$P$21,16),DECKS!$B$2:$B$1201,$A598))</f>
        <v/>
      </c>
      <c r="AA598" s="19" t="str">
        <f aca="false">IF(OR($A598="",INDEX(_LEITURA!$Q$2:$Q$21,17)=0),"",SUMIFS(DECKS!$D$2:$D$1201,DECKS!$A$2:$A$1201,INDEX(_LEITURA!$P$2:$P$21,17),DECKS!$B$2:$B$1201,$A598))</f>
        <v/>
      </c>
      <c r="AB598" s="19" t="str">
        <f aca="false">IF(OR($A598="",INDEX(_LEITURA!$Q$2:$Q$21,18)=0),"",SUMIFS(DECKS!$D$2:$D$1201,DECKS!$A$2:$A$1201,INDEX(_LEITURA!$P$2:$P$21,18),DECKS!$B$2:$B$1201,$A598))</f>
        <v/>
      </c>
      <c r="AC598" s="19" t="str">
        <f aca="false">IF(OR($A598="",INDEX(_LEITURA!$Q$2:$Q$21,19)=0),"",SUMIFS(DECKS!$D$2:$D$1201,DECKS!$A$2:$A$1201,INDEX(_LEITURA!$P$2:$P$21,19),DECKS!$B$2:$B$1201,$A598))</f>
        <v/>
      </c>
      <c r="AD598" s="19" t="str">
        <f aca="false">IF(OR($A598="",INDEX(_LEITURA!$Q$2:$Q$21,20)=0),"",SUMIFS(DECKS!$D$2:$D$1201,DECKS!$A$2:$A$1201,INDEX(_LEITURA!$P$2:$P$21,20),DECKS!$B$2:$B$1201,$A598))</f>
        <v/>
      </c>
      <c r="AE598" s="16" t="str">
        <f aca="false">IF(N(E598)&gt;0,MAX(AE$1:AE597)+1,"")</f>
        <v/>
      </c>
      <c r="AF598" s="11" t="str">
        <f aca="false">IF(A598="","",IFERROR(LEFT(A598,FIND("-",A598)-1),A598))</f>
        <v/>
      </c>
      <c r="AG598" s="11" t="str">
        <f aca="false">IF(AF598="","",IF(ISNUMBER(--MID(AF598,1,1)),0,IF(ISNUMBER(--MID(AF598,2,1)),1,IF(ISNUMBER(--MID(AF598,3,1)),2,IF(ISNUMBER(--MID(AF598,4,1)),3,MIN(LEN(AF598),4))))))</f>
        <v/>
      </c>
      <c r="AH598" s="11" t="str">
        <f aca="false">IF(A598="","",LEFT(AF598,AG598)&amp;REPT("0",4-AG598)&amp;RIGHT("000"&amp;IFERROR(VALUE(MID(AF598,AG598+1,9)),0),3)&amp;RIGHT("0000"&amp;IFERROR(VALUE(MID(A598,FIND("-",A598)+1,9)),0),4))</f>
        <v/>
      </c>
      <c r="AI598" s="11" t="str">
        <f aca="false">IF(OR(A598="",N(E598)&lt;=0),"",IF('FALTAS GERAL'!$M$1="Código","K"&amp;AH598&amp;RIGHT("00000"&amp;ROW(),5),IF('FALTAS GERAL'!$M$1="Nome","K"&amp;UPPER(SUBSTITUTE(SUBSTITUTE(SUBSTITUTE(B598,"*",""),"?",""),"~",""))&amp;"0"&amp;AH598&amp;RIGHT("00000"&amp;ROW(),5),IF('FALTAS GERAL'!$M$1="Falta (maior primeiro)","K"&amp;RIGHT("0000"&amp;(9999-E598),4)&amp;AH598&amp;RIGHT("00000"&amp;ROW(),5),IF('FALTAS GERAL'!$M$1="Nº de decks (maior primeiro)","K"&amp;RIGHT("00"&amp;(99-N(G598)),2)&amp;AH598&amp;RIGHT("00000"&amp;ROW(),5),"K"&amp;RIGHT("00000"&amp;ROW(),5))))))</f>
        <v/>
      </c>
      <c r="AJ598" s="11" t="str">
        <f aca="false">IF(AI598="","",COUNTIFS($AI$2:$AI$801,"&lt;"&amp;AI598,$E$2:$E$801,"&gt;0")+1)</f>
        <v/>
      </c>
      <c r="AK598" s="11" t="str">
        <f aca="false">IF(OR(A598="",N(E598)&lt;=0),"",COUNTIFS($AH$2:$AH$801,"&lt;"&amp;AH598,$E$2:$E$801,"&gt;0")+COUNTIFS($AH$2:AH598,AH598,$E$2:E598,"&gt;0"))</f>
        <v/>
      </c>
    </row>
    <row r="599" customFormat="false" ht="15" hidden="false" customHeight="false" outlineLevel="0" collapsed="false">
      <c r="A599" s="11" t="str">
        <f aca="false">IF(INVENTÁRIO!A599="","",INVENTÁRIO!A599)</f>
        <v/>
      </c>
      <c r="B599" s="11" t="str">
        <f aca="false">IF(A599="","",INVENTÁRIO!B599)</f>
        <v/>
      </c>
      <c r="C599" s="16" t="str">
        <f aca="false">IF(A599="","",INVENTÁRIO!C599)</f>
        <v/>
      </c>
      <c r="D599" s="14" t="str">
        <f aca="false">IF(A599="","",MAX(K599:AD599))</f>
        <v/>
      </c>
      <c r="E599" s="14" t="str">
        <f aca="false">IF(A599="","",MAX(0,D599-C599))</f>
        <v/>
      </c>
      <c r="F599" s="16" t="str">
        <f aca="false">IF(A599="","",IF(D599=0,"Fora dos decks",IF(E599=0,"Completo","Falta")))</f>
        <v/>
      </c>
      <c r="G599" s="16" t="str">
        <f aca="false">IF(A599="","",COUNTIF(K599:AD599,"&gt;0"))</f>
        <v/>
      </c>
      <c r="H599" s="16" t="str">
        <f aca="false">IF(A599="","",IF(G599&gt;1,"Sim",""))</f>
        <v/>
      </c>
      <c r="I599" s="18" t="str">
        <f aca="false">IF(A599="","",SUMIFS(DECKS!$D$2:$D$1201,DECKS!$B$2:$B$1201,A599))</f>
        <v/>
      </c>
      <c r="J599" s="18" t="str">
        <f aca="false">IF(A599="","",MAX(0,I599-C599))</f>
        <v/>
      </c>
      <c r="K599" s="19" t="str">
        <f aca="false">IF(OR($A599="",INDEX(_LEITURA!$Q$2:$Q$21,1)=0),"",SUMIFS(DECKS!$D$2:$D$1201,DECKS!$A$2:$A$1201,INDEX(_LEITURA!$P$2:$P$21,1),DECKS!$B$2:$B$1201,$A599))</f>
        <v/>
      </c>
      <c r="L599" s="19" t="str">
        <f aca="false">IF(OR($A599="",INDEX(_LEITURA!$Q$2:$Q$21,2)=0),"",SUMIFS(DECKS!$D$2:$D$1201,DECKS!$A$2:$A$1201,INDEX(_LEITURA!$P$2:$P$21,2),DECKS!$B$2:$B$1201,$A599))</f>
        <v/>
      </c>
      <c r="M599" s="19" t="str">
        <f aca="false">IF(OR($A599="",INDEX(_LEITURA!$Q$2:$Q$21,3)=0),"",SUMIFS(DECKS!$D$2:$D$1201,DECKS!$A$2:$A$1201,INDEX(_LEITURA!$P$2:$P$21,3),DECKS!$B$2:$B$1201,$A599))</f>
        <v/>
      </c>
      <c r="N599" s="19" t="str">
        <f aca="false">IF(OR($A599="",INDEX(_LEITURA!$Q$2:$Q$21,4)=0),"",SUMIFS(DECKS!$D$2:$D$1201,DECKS!$A$2:$A$1201,INDEX(_LEITURA!$P$2:$P$21,4),DECKS!$B$2:$B$1201,$A599))</f>
        <v/>
      </c>
      <c r="O599" s="19" t="str">
        <f aca="false">IF(OR($A599="",INDEX(_LEITURA!$Q$2:$Q$21,5)=0),"",SUMIFS(DECKS!$D$2:$D$1201,DECKS!$A$2:$A$1201,INDEX(_LEITURA!$P$2:$P$21,5),DECKS!$B$2:$B$1201,$A599))</f>
        <v/>
      </c>
      <c r="P599" s="19" t="str">
        <f aca="false">IF(OR($A599="",INDEX(_LEITURA!$Q$2:$Q$21,6)=0),"",SUMIFS(DECKS!$D$2:$D$1201,DECKS!$A$2:$A$1201,INDEX(_LEITURA!$P$2:$P$21,6),DECKS!$B$2:$B$1201,$A599))</f>
        <v/>
      </c>
      <c r="Q599" s="19" t="str">
        <f aca="false">IF(OR($A599="",INDEX(_LEITURA!$Q$2:$Q$21,7)=0),"",SUMIFS(DECKS!$D$2:$D$1201,DECKS!$A$2:$A$1201,INDEX(_LEITURA!$P$2:$P$21,7),DECKS!$B$2:$B$1201,$A599))</f>
        <v/>
      </c>
      <c r="R599" s="19" t="str">
        <f aca="false">IF(OR($A599="",INDEX(_LEITURA!$Q$2:$Q$21,8)=0),"",SUMIFS(DECKS!$D$2:$D$1201,DECKS!$A$2:$A$1201,INDEX(_LEITURA!$P$2:$P$21,8),DECKS!$B$2:$B$1201,$A599))</f>
        <v/>
      </c>
      <c r="S599" s="19" t="str">
        <f aca="false">IF(OR($A599="",INDEX(_LEITURA!$Q$2:$Q$21,9)=0),"",SUMIFS(DECKS!$D$2:$D$1201,DECKS!$A$2:$A$1201,INDEX(_LEITURA!$P$2:$P$21,9),DECKS!$B$2:$B$1201,$A599))</f>
        <v/>
      </c>
      <c r="T599" s="19" t="str">
        <f aca="false">IF(OR($A599="",INDEX(_LEITURA!$Q$2:$Q$21,10)=0),"",SUMIFS(DECKS!$D$2:$D$1201,DECKS!$A$2:$A$1201,INDEX(_LEITURA!$P$2:$P$21,10),DECKS!$B$2:$B$1201,$A599))</f>
        <v/>
      </c>
      <c r="U599" s="19" t="str">
        <f aca="false">IF(OR($A599="",INDEX(_LEITURA!$Q$2:$Q$21,11)=0),"",SUMIFS(DECKS!$D$2:$D$1201,DECKS!$A$2:$A$1201,INDEX(_LEITURA!$P$2:$P$21,11),DECKS!$B$2:$B$1201,$A599))</f>
        <v/>
      </c>
      <c r="V599" s="19" t="str">
        <f aca="false">IF(OR($A599="",INDEX(_LEITURA!$Q$2:$Q$21,12)=0),"",SUMIFS(DECKS!$D$2:$D$1201,DECKS!$A$2:$A$1201,INDEX(_LEITURA!$P$2:$P$21,12),DECKS!$B$2:$B$1201,$A599))</f>
        <v/>
      </c>
      <c r="W599" s="19" t="str">
        <f aca="false">IF(OR($A599="",INDEX(_LEITURA!$Q$2:$Q$21,13)=0),"",SUMIFS(DECKS!$D$2:$D$1201,DECKS!$A$2:$A$1201,INDEX(_LEITURA!$P$2:$P$21,13),DECKS!$B$2:$B$1201,$A599))</f>
        <v/>
      </c>
      <c r="X599" s="19" t="str">
        <f aca="false">IF(OR($A599="",INDEX(_LEITURA!$Q$2:$Q$21,14)=0),"",SUMIFS(DECKS!$D$2:$D$1201,DECKS!$A$2:$A$1201,INDEX(_LEITURA!$P$2:$P$21,14),DECKS!$B$2:$B$1201,$A599))</f>
        <v/>
      </c>
      <c r="Y599" s="19" t="str">
        <f aca="false">IF(OR($A599="",INDEX(_LEITURA!$Q$2:$Q$21,15)=0),"",SUMIFS(DECKS!$D$2:$D$1201,DECKS!$A$2:$A$1201,INDEX(_LEITURA!$P$2:$P$21,15),DECKS!$B$2:$B$1201,$A599))</f>
        <v/>
      </c>
      <c r="Z599" s="19" t="str">
        <f aca="false">IF(OR($A599="",INDEX(_LEITURA!$Q$2:$Q$21,16)=0),"",SUMIFS(DECKS!$D$2:$D$1201,DECKS!$A$2:$A$1201,INDEX(_LEITURA!$P$2:$P$21,16),DECKS!$B$2:$B$1201,$A599))</f>
        <v/>
      </c>
      <c r="AA599" s="19" t="str">
        <f aca="false">IF(OR($A599="",INDEX(_LEITURA!$Q$2:$Q$21,17)=0),"",SUMIFS(DECKS!$D$2:$D$1201,DECKS!$A$2:$A$1201,INDEX(_LEITURA!$P$2:$P$21,17),DECKS!$B$2:$B$1201,$A599))</f>
        <v/>
      </c>
      <c r="AB599" s="19" t="str">
        <f aca="false">IF(OR($A599="",INDEX(_LEITURA!$Q$2:$Q$21,18)=0),"",SUMIFS(DECKS!$D$2:$D$1201,DECKS!$A$2:$A$1201,INDEX(_LEITURA!$P$2:$P$21,18),DECKS!$B$2:$B$1201,$A599))</f>
        <v/>
      </c>
      <c r="AC599" s="19" t="str">
        <f aca="false">IF(OR($A599="",INDEX(_LEITURA!$Q$2:$Q$21,19)=0),"",SUMIFS(DECKS!$D$2:$D$1201,DECKS!$A$2:$A$1201,INDEX(_LEITURA!$P$2:$P$21,19),DECKS!$B$2:$B$1201,$A599))</f>
        <v/>
      </c>
      <c r="AD599" s="19" t="str">
        <f aca="false">IF(OR($A599="",INDEX(_LEITURA!$Q$2:$Q$21,20)=0),"",SUMIFS(DECKS!$D$2:$D$1201,DECKS!$A$2:$A$1201,INDEX(_LEITURA!$P$2:$P$21,20),DECKS!$B$2:$B$1201,$A599))</f>
        <v/>
      </c>
      <c r="AE599" s="16" t="str">
        <f aca="false">IF(N(E599)&gt;0,MAX(AE$1:AE598)+1,"")</f>
        <v/>
      </c>
      <c r="AF599" s="11" t="str">
        <f aca="false">IF(A599="","",IFERROR(LEFT(A599,FIND("-",A599)-1),A599))</f>
        <v/>
      </c>
      <c r="AG599" s="11" t="str">
        <f aca="false">IF(AF599="","",IF(ISNUMBER(--MID(AF599,1,1)),0,IF(ISNUMBER(--MID(AF599,2,1)),1,IF(ISNUMBER(--MID(AF599,3,1)),2,IF(ISNUMBER(--MID(AF599,4,1)),3,MIN(LEN(AF599),4))))))</f>
        <v/>
      </c>
      <c r="AH599" s="11" t="str">
        <f aca="false">IF(A599="","",LEFT(AF599,AG599)&amp;REPT("0",4-AG599)&amp;RIGHT("000"&amp;IFERROR(VALUE(MID(AF599,AG599+1,9)),0),3)&amp;RIGHT("0000"&amp;IFERROR(VALUE(MID(A599,FIND("-",A599)+1,9)),0),4))</f>
        <v/>
      </c>
      <c r="AI599" s="11" t="str">
        <f aca="false">IF(OR(A599="",N(E599)&lt;=0),"",IF('FALTAS GERAL'!$M$1="Código","K"&amp;AH599&amp;RIGHT("00000"&amp;ROW(),5),IF('FALTAS GERAL'!$M$1="Nome","K"&amp;UPPER(SUBSTITUTE(SUBSTITUTE(SUBSTITUTE(B599,"*",""),"?",""),"~",""))&amp;"0"&amp;AH599&amp;RIGHT("00000"&amp;ROW(),5),IF('FALTAS GERAL'!$M$1="Falta (maior primeiro)","K"&amp;RIGHT("0000"&amp;(9999-E599),4)&amp;AH599&amp;RIGHT("00000"&amp;ROW(),5),IF('FALTAS GERAL'!$M$1="Nº de decks (maior primeiro)","K"&amp;RIGHT("00"&amp;(99-N(G599)),2)&amp;AH599&amp;RIGHT("00000"&amp;ROW(),5),"K"&amp;RIGHT("00000"&amp;ROW(),5))))))</f>
        <v/>
      </c>
      <c r="AJ599" s="11" t="str">
        <f aca="false">IF(AI599="","",COUNTIFS($AI$2:$AI$801,"&lt;"&amp;AI599,$E$2:$E$801,"&gt;0")+1)</f>
        <v/>
      </c>
      <c r="AK599" s="11" t="str">
        <f aca="false">IF(OR(A599="",N(E599)&lt;=0),"",COUNTIFS($AH$2:$AH$801,"&lt;"&amp;AH599,$E$2:$E$801,"&gt;0")+COUNTIFS($AH$2:AH599,AH599,$E$2:E599,"&gt;0"))</f>
        <v/>
      </c>
    </row>
    <row r="600" customFormat="false" ht="15" hidden="false" customHeight="false" outlineLevel="0" collapsed="false">
      <c r="A600" s="11" t="str">
        <f aca="false">IF(INVENTÁRIO!A600="","",INVENTÁRIO!A600)</f>
        <v/>
      </c>
      <c r="B600" s="11" t="str">
        <f aca="false">IF(A600="","",INVENTÁRIO!B600)</f>
        <v/>
      </c>
      <c r="C600" s="16" t="str">
        <f aca="false">IF(A600="","",INVENTÁRIO!C600)</f>
        <v/>
      </c>
      <c r="D600" s="14" t="str">
        <f aca="false">IF(A600="","",MAX(K600:AD600))</f>
        <v/>
      </c>
      <c r="E600" s="14" t="str">
        <f aca="false">IF(A600="","",MAX(0,D600-C600))</f>
        <v/>
      </c>
      <c r="F600" s="16" t="str">
        <f aca="false">IF(A600="","",IF(D600=0,"Fora dos decks",IF(E600=0,"Completo","Falta")))</f>
        <v/>
      </c>
      <c r="G600" s="16" t="str">
        <f aca="false">IF(A600="","",COUNTIF(K600:AD600,"&gt;0"))</f>
        <v/>
      </c>
      <c r="H600" s="16" t="str">
        <f aca="false">IF(A600="","",IF(G600&gt;1,"Sim",""))</f>
        <v/>
      </c>
      <c r="I600" s="18" t="str">
        <f aca="false">IF(A600="","",SUMIFS(DECKS!$D$2:$D$1201,DECKS!$B$2:$B$1201,A600))</f>
        <v/>
      </c>
      <c r="J600" s="18" t="str">
        <f aca="false">IF(A600="","",MAX(0,I600-C600))</f>
        <v/>
      </c>
      <c r="K600" s="19" t="str">
        <f aca="false">IF(OR($A600="",INDEX(_LEITURA!$Q$2:$Q$21,1)=0),"",SUMIFS(DECKS!$D$2:$D$1201,DECKS!$A$2:$A$1201,INDEX(_LEITURA!$P$2:$P$21,1),DECKS!$B$2:$B$1201,$A600))</f>
        <v/>
      </c>
      <c r="L600" s="19" t="str">
        <f aca="false">IF(OR($A600="",INDEX(_LEITURA!$Q$2:$Q$21,2)=0),"",SUMIFS(DECKS!$D$2:$D$1201,DECKS!$A$2:$A$1201,INDEX(_LEITURA!$P$2:$P$21,2),DECKS!$B$2:$B$1201,$A600))</f>
        <v/>
      </c>
      <c r="M600" s="19" t="str">
        <f aca="false">IF(OR($A600="",INDEX(_LEITURA!$Q$2:$Q$21,3)=0),"",SUMIFS(DECKS!$D$2:$D$1201,DECKS!$A$2:$A$1201,INDEX(_LEITURA!$P$2:$P$21,3),DECKS!$B$2:$B$1201,$A600))</f>
        <v/>
      </c>
      <c r="N600" s="19" t="str">
        <f aca="false">IF(OR($A600="",INDEX(_LEITURA!$Q$2:$Q$21,4)=0),"",SUMIFS(DECKS!$D$2:$D$1201,DECKS!$A$2:$A$1201,INDEX(_LEITURA!$P$2:$P$21,4),DECKS!$B$2:$B$1201,$A600))</f>
        <v/>
      </c>
      <c r="O600" s="19" t="str">
        <f aca="false">IF(OR($A600="",INDEX(_LEITURA!$Q$2:$Q$21,5)=0),"",SUMIFS(DECKS!$D$2:$D$1201,DECKS!$A$2:$A$1201,INDEX(_LEITURA!$P$2:$P$21,5),DECKS!$B$2:$B$1201,$A600))</f>
        <v/>
      </c>
      <c r="P600" s="19" t="str">
        <f aca="false">IF(OR($A600="",INDEX(_LEITURA!$Q$2:$Q$21,6)=0),"",SUMIFS(DECKS!$D$2:$D$1201,DECKS!$A$2:$A$1201,INDEX(_LEITURA!$P$2:$P$21,6),DECKS!$B$2:$B$1201,$A600))</f>
        <v/>
      </c>
      <c r="Q600" s="19" t="str">
        <f aca="false">IF(OR($A600="",INDEX(_LEITURA!$Q$2:$Q$21,7)=0),"",SUMIFS(DECKS!$D$2:$D$1201,DECKS!$A$2:$A$1201,INDEX(_LEITURA!$P$2:$P$21,7),DECKS!$B$2:$B$1201,$A600))</f>
        <v/>
      </c>
      <c r="R600" s="19" t="str">
        <f aca="false">IF(OR($A600="",INDEX(_LEITURA!$Q$2:$Q$21,8)=0),"",SUMIFS(DECKS!$D$2:$D$1201,DECKS!$A$2:$A$1201,INDEX(_LEITURA!$P$2:$P$21,8),DECKS!$B$2:$B$1201,$A600))</f>
        <v/>
      </c>
      <c r="S600" s="19" t="str">
        <f aca="false">IF(OR($A600="",INDEX(_LEITURA!$Q$2:$Q$21,9)=0),"",SUMIFS(DECKS!$D$2:$D$1201,DECKS!$A$2:$A$1201,INDEX(_LEITURA!$P$2:$P$21,9),DECKS!$B$2:$B$1201,$A600))</f>
        <v/>
      </c>
      <c r="T600" s="19" t="str">
        <f aca="false">IF(OR($A600="",INDEX(_LEITURA!$Q$2:$Q$21,10)=0),"",SUMIFS(DECKS!$D$2:$D$1201,DECKS!$A$2:$A$1201,INDEX(_LEITURA!$P$2:$P$21,10),DECKS!$B$2:$B$1201,$A600))</f>
        <v/>
      </c>
      <c r="U600" s="19" t="str">
        <f aca="false">IF(OR($A600="",INDEX(_LEITURA!$Q$2:$Q$21,11)=0),"",SUMIFS(DECKS!$D$2:$D$1201,DECKS!$A$2:$A$1201,INDEX(_LEITURA!$P$2:$P$21,11),DECKS!$B$2:$B$1201,$A600))</f>
        <v/>
      </c>
      <c r="V600" s="19" t="str">
        <f aca="false">IF(OR($A600="",INDEX(_LEITURA!$Q$2:$Q$21,12)=0),"",SUMIFS(DECKS!$D$2:$D$1201,DECKS!$A$2:$A$1201,INDEX(_LEITURA!$P$2:$P$21,12),DECKS!$B$2:$B$1201,$A600))</f>
        <v/>
      </c>
      <c r="W600" s="19" t="str">
        <f aca="false">IF(OR($A600="",INDEX(_LEITURA!$Q$2:$Q$21,13)=0),"",SUMIFS(DECKS!$D$2:$D$1201,DECKS!$A$2:$A$1201,INDEX(_LEITURA!$P$2:$P$21,13),DECKS!$B$2:$B$1201,$A600))</f>
        <v/>
      </c>
      <c r="X600" s="19" t="str">
        <f aca="false">IF(OR($A600="",INDEX(_LEITURA!$Q$2:$Q$21,14)=0),"",SUMIFS(DECKS!$D$2:$D$1201,DECKS!$A$2:$A$1201,INDEX(_LEITURA!$P$2:$P$21,14),DECKS!$B$2:$B$1201,$A600))</f>
        <v/>
      </c>
      <c r="Y600" s="19" t="str">
        <f aca="false">IF(OR($A600="",INDEX(_LEITURA!$Q$2:$Q$21,15)=0),"",SUMIFS(DECKS!$D$2:$D$1201,DECKS!$A$2:$A$1201,INDEX(_LEITURA!$P$2:$P$21,15),DECKS!$B$2:$B$1201,$A600))</f>
        <v/>
      </c>
      <c r="Z600" s="19" t="str">
        <f aca="false">IF(OR($A600="",INDEX(_LEITURA!$Q$2:$Q$21,16)=0),"",SUMIFS(DECKS!$D$2:$D$1201,DECKS!$A$2:$A$1201,INDEX(_LEITURA!$P$2:$P$21,16),DECKS!$B$2:$B$1201,$A600))</f>
        <v/>
      </c>
      <c r="AA600" s="19" t="str">
        <f aca="false">IF(OR($A600="",INDEX(_LEITURA!$Q$2:$Q$21,17)=0),"",SUMIFS(DECKS!$D$2:$D$1201,DECKS!$A$2:$A$1201,INDEX(_LEITURA!$P$2:$P$21,17),DECKS!$B$2:$B$1201,$A600))</f>
        <v/>
      </c>
      <c r="AB600" s="19" t="str">
        <f aca="false">IF(OR($A600="",INDEX(_LEITURA!$Q$2:$Q$21,18)=0),"",SUMIFS(DECKS!$D$2:$D$1201,DECKS!$A$2:$A$1201,INDEX(_LEITURA!$P$2:$P$21,18),DECKS!$B$2:$B$1201,$A600))</f>
        <v/>
      </c>
      <c r="AC600" s="19" t="str">
        <f aca="false">IF(OR($A600="",INDEX(_LEITURA!$Q$2:$Q$21,19)=0),"",SUMIFS(DECKS!$D$2:$D$1201,DECKS!$A$2:$A$1201,INDEX(_LEITURA!$P$2:$P$21,19),DECKS!$B$2:$B$1201,$A600))</f>
        <v/>
      </c>
      <c r="AD600" s="19" t="str">
        <f aca="false">IF(OR($A600="",INDEX(_LEITURA!$Q$2:$Q$21,20)=0),"",SUMIFS(DECKS!$D$2:$D$1201,DECKS!$A$2:$A$1201,INDEX(_LEITURA!$P$2:$P$21,20),DECKS!$B$2:$B$1201,$A600))</f>
        <v/>
      </c>
      <c r="AE600" s="16" t="str">
        <f aca="false">IF(N(E600)&gt;0,MAX(AE$1:AE599)+1,"")</f>
        <v/>
      </c>
      <c r="AF600" s="11" t="str">
        <f aca="false">IF(A600="","",IFERROR(LEFT(A600,FIND("-",A600)-1),A600))</f>
        <v/>
      </c>
      <c r="AG600" s="11" t="str">
        <f aca="false">IF(AF600="","",IF(ISNUMBER(--MID(AF600,1,1)),0,IF(ISNUMBER(--MID(AF600,2,1)),1,IF(ISNUMBER(--MID(AF600,3,1)),2,IF(ISNUMBER(--MID(AF600,4,1)),3,MIN(LEN(AF600),4))))))</f>
        <v/>
      </c>
      <c r="AH600" s="11" t="str">
        <f aca="false">IF(A600="","",LEFT(AF600,AG600)&amp;REPT("0",4-AG600)&amp;RIGHT("000"&amp;IFERROR(VALUE(MID(AF600,AG600+1,9)),0),3)&amp;RIGHT("0000"&amp;IFERROR(VALUE(MID(A600,FIND("-",A600)+1,9)),0),4))</f>
        <v/>
      </c>
      <c r="AI600" s="11" t="str">
        <f aca="false">IF(OR(A600="",N(E600)&lt;=0),"",IF('FALTAS GERAL'!$M$1="Código","K"&amp;AH600&amp;RIGHT("00000"&amp;ROW(),5),IF('FALTAS GERAL'!$M$1="Nome","K"&amp;UPPER(SUBSTITUTE(SUBSTITUTE(SUBSTITUTE(B600,"*",""),"?",""),"~",""))&amp;"0"&amp;AH600&amp;RIGHT("00000"&amp;ROW(),5),IF('FALTAS GERAL'!$M$1="Falta (maior primeiro)","K"&amp;RIGHT("0000"&amp;(9999-E600),4)&amp;AH600&amp;RIGHT("00000"&amp;ROW(),5),IF('FALTAS GERAL'!$M$1="Nº de decks (maior primeiro)","K"&amp;RIGHT("00"&amp;(99-N(G600)),2)&amp;AH600&amp;RIGHT("00000"&amp;ROW(),5),"K"&amp;RIGHT("00000"&amp;ROW(),5))))))</f>
        <v/>
      </c>
      <c r="AJ600" s="11" t="str">
        <f aca="false">IF(AI600="","",COUNTIFS($AI$2:$AI$801,"&lt;"&amp;AI600,$E$2:$E$801,"&gt;0")+1)</f>
        <v/>
      </c>
      <c r="AK600" s="11" t="str">
        <f aca="false">IF(OR(A600="",N(E600)&lt;=0),"",COUNTIFS($AH$2:$AH$801,"&lt;"&amp;AH600,$E$2:$E$801,"&gt;0")+COUNTIFS($AH$2:AH600,AH600,$E$2:E600,"&gt;0"))</f>
        <v/>
      </c>
    </row>
    <row r="601" customFormat="false" ht="15" hidden="false" customHeight="false" outlineLevel="0" collapsed="false">
      <c r="A601" s="11" t="str">
        <f aca="false">IF(INVENTÁRIO!A601="","",INVENTÁRIO!A601)</f>
        <v/>
      </c>
      <c r="B601" s="11" t="str">
        <f aca="false">IF(A601="","",INVENTÁRIO!B601)</f>
        <v/>
      </c>
      <c r="C601" s="16" t="str">
        <f aca="false">IF(A601="","",INVENTÁRIO!C601)</f>
        <v/>
      </c>
      <c r="D601" s="14" t="str">
        <f aca="false">IF(A601="","",MAX(K601:AD601))</f>
        <v/>
      </c>
      <c r="E601" s="14" t="str">
        <f aca="false">IF(A601="","",MAX(0,D601-C601))</f>
        <v/>
      </c>
      <c r="F601" s="16" t="str">
        <f aca="false">IF(A601="","",IF(D601=0,"Fora dos decks",IF(E601=0,"Completo","Falta")))</f>
        <v/>
      </c>
      <c r="G601" s="16" t="str">
        <f aca="false">IF(A601="","",COUNTIF(K601:AD601,"&gt;0"))</f>
        <v/>
      </c>
      <c r="H601" s="16" t="str">
        <f aca="false">IF(A601="","",IF(G601&gt;1,"Sim",""))</f>
        <v/>
      </c>
      <c r="I601" s="18" t="str">
        <f aca="false">IF(A601="","",SUMIFS(DECKS!$D$2:$D$1201,DECKS!$B$2:$B$1201,A601))</f>
        <v/>
      </c>
      <c r="J601" s="18" t="str">
        <f aca="false">IF(A601="","",MAX(0,I601-C601))</f>
        <v/>
      </c>
      <c r="K601" s="19" t="str">
        <f aca="false">IF(OR($A601="",INDEX(_LEITURA!$Q$2:$Q$21,1)=0),"",SUMIFS(DECKS!$D$2:$D$1201,DECKS!$A$2:$A$1201,INDEX(_LEITURA!$P$2:$P$21,1),DECKS!$B$2:$B$1201,$A601))</f>
        <v/>
      </c>
      <c r="L601" s="19" t="str">
        <f aca="false">IF(OR($A601="",INDEX(_LEITURA!$Q$2:$Q$21,2)=0),"",SUMIFS(DECKS!$D$2:$D$1201,DECKS!$A$2:$A$1201,INDEX(_LEITURA!$P$2:$P$21,2),DECKS!$B$2:$B$1201,$A601))</f>
        <v/>
      </c>
      <c r="M601" s="19" t="str">
        <f aca="false">IF(OR($A601="",INDEX(_LEITURA!$Q$2:$Q$21,3)=0),"",SUMIFS(DECKS!$D$2:$D$1201,DECKS!$A$2:$A$1201,INDEX(_LEITURA!$P$2:$P$21,3),DECKS!$B$2:$B$1201,$A601))</f>
        <v/>
      </c>
      <c r="N601" s="19" t="str">
        <f aca="false">IF(OR($A601="",INDEX(_LEITURA!$Q$2:$Q$21,4)=0),"",SUMIFS(DECKS!$D$2:$D$1201,DECKS!$A$2:$A$1201,INDEX(_LEITURA!$P$2:$P$21,4),DECKS!$B$2:$B$1201,$A601))</f>
        <v/>
      </c>
      <c r="O601" s="19" t="str">
        <f aca="false">IF(OR($A601="",INDEX(_LEITURA!$Q$2:$Q$21,5)=0),"",SUMIFS(DECKS!$D$2:$D$1201,DECKS!$A$2:$A$1201,INDEX(_LEITURA!$P$2:$P$21,5),DECKS!$B$2:$B$1201,$A601))</f>
        <v/>
      </c>
      <c r="P601" s="19" t="str">
        <f aca="false">IF(OR($A601="",INDEX(_LEITURA!$Q$2:$Q$21,6)=0),"",SUMIFS(DECKS!$D$2:$D$1201,DECKS!$A$2:$A$1201,INDEX(_LEITURA!$P$2:$P$21,6),DECKS!$B$2:$B$1201,$A601))</f>
        <v/>
      </c>
      <c r="Q601" s="19" t="str">
        <f aca="false">IF(OR($A601="",INDEX(_LEITURA!$Q$2:$Q$21,7)=0),"",SUMIFS(DECKS!$D$2:$D$1201,DECKS!$A$2:$A$1201,INDEX(_LEITURA!$P$2:$P$21,7),DECKS!$B$2:$B$1201,$A601))</f>
        <v/>
      </c>
      <c r="R601" s="19" t="str">
        <f aca="false">IF(OR($A601="",INDEX(_LEITURA!$Q$2:$Q$21,8)=0),"",SUMIFS(DECKS!$D$2:$D$1201,DECKS!$A$2:$A$1201,INDEX(_LEITURA!$P$2:$P$21,8),DECKS!$B$2:$B$1201,$A601))</f>
        <v/>
      </c>
      <c r="S601" s="19" t="str">
        <f aca="false">IF(OR($A601="",INDEX(_LEITURA!$Q$2:$Q$21,9)=0),"",SUMIFS(DECKS!$D$2:$D$1201,DECKS!$A$2:$A$1201,INDEX(_LEITURA!$P$2:$P$21,9),DECKS!$B$2:$B$1201,$A601))</f>
        <v/>
      </c>
      <c r="T601" s="19" t="str">
        <f aca="false">IF(OR($A601="",INDEX(_LEITURA!$Q$2:$Q$21,10)=0),"",SUMIFS(DECKS!$D$2:$D$1201,DECKS!$A$2:$A$1201,INDEX(_LEITURA!$P$2:$P$21,10),DECKS!$B$2:$B$1201,$A601))</f>
        <v/>
      </c>
      <c r="U601" s="19" t="str">
        <f aca="false">IF(OR($A601="",INDEX(_LEITURA!$Q$2:$Q$21,11)=0),"",SUMIFS(DECKS!$D$2:$D$1201,DECKS!$A$2:$A$1201,INDEX(_LEITURA!$P$2:$P$21,11),DECKS!$B$2:$B$1201,$A601))</f>
        <v/>
      </c>
      <c r="V601" s="19" t="str">
        <f aca="false">IF(OR($A601="",INDEX(_LEITURA!$Q$2:$Q$21,12)=0),"",SUMIFS(DECKS!$D$2:$D$1201,DECKS!$A$2:$A$1201,INDEX(_LEITURA!$P$2:$P$21,12),DECKS!$B$2:$B$1201,$A601))</f>
        <v/>
      </c>
      <c r="W601" s="19" t="str">
        <f aca="false">IF(OR($A601="",INDEX(_LEITURA!$Q$2:$Q$21,13)=0),"",SUMIFS(DECKS!$D$2:$D$1201,DECKS!$A$2:$A$1201,INDEX(_LEITURA!$P$2:$P$21,13),DECKS!$B$2:$B$1201,$A601))</f>
        <v/>
      </c>
      <c r="X601" s="19" t="str">
        <f aca="false">IF(OR($A601="",INDEX(_LEITURA!$Q$2:$Q$21,14)=0),"",SUMIFS(DECKS!$D$2:$D$1201,DECKS!$A$2:$A$1201,INDEX(_LEITURA!$P$2:$P$21,14),DECKS!$B$2:$B$1201,$A601))</f>
        <v/>
      </c>
      <c r="Y601" s="19" t="str">
        <f aca="false">IF(OR($A601="",INDEX(_LEITURA!$Q$2:$Q$21,15)=0),"",SUMIFS(DECKS!$D$2:$D$1201,DECKS!$A$2:$A$1201,INDEX(_LEITURA!$P$2:$P$21,15),DECKS!$B$2:$B$1201,$A601))</f>
        <v/>
      </c>
      <c r="Z601" s="19" t="str">
        <f aca="false">IF(OR($A601="",INDEX(_LEITURA!$Q$2:$Q$21,16)=0),"",SUMIFS(DECKS!$D$2:$D$1201,DECKS!$A$2:$A$1201,INDEX(_LEITURA!$P$2:$P$21,16),DECKS!$B$2:$B$1201,$A601))</f>
        <v/>
      </c>
      <c r="AA601" s="19" t="str">
        <f aca="false">IF(OR($A601="",INDEX(_LEITURA!$Q$2:$Q$21,17)=0),"",SUMIFS(DECKS!$D$2:$D$1201,DECKS!$A$2:$A$1201,INDEX(_LEITURA!$P$2:$P$21,17),DECKS!$B$2:$B$1201,$A601))</f>
        <v/>
      </c>
      <c r="AB601" s="19" t="str">
        <f aca="false">IF(OR($A601="",INDEX(_LEITURA!$Q$2:$Q$21,18)=0),"",SUMIFS(DECKS!$D$2:$D$1201,DECKS!$A$2:$A$1201,INDEX(_LEITURA!$P$2:$P$21,18),DECKS!$B$2:$B$1201,$A601))</f>
        <v/>
      </c>
      <c r="AC601" s="19" t="str">
        <f aca="false">IF(OR($A601="",INDEX(_LEITURA!$Q$2:$Q$21,19)=0),"",SUMIFS(DECKS!$D$2:$D$1201,DECKS!$A$2:$A$1201,INDEX(_LEITURA!$P$2:$P$21,19),DECKS!$B$2:$B$1201,$A601))</f>
        <v/>
      </c>
      <c r="AD601" s="19" t="str">
        <f aca="false">IF(OR($A601="",INDEX(_LEITURA!$Q$2:$Q$21,20)=0),"",SUMIFS(DECKS!$D$2:$D$1201,DECKS!$A$2:$A$1201,INDEX(_LEITURA!$P$2:$P$21,20),DECKS!$B$2:$B$1201,$A601))</f>
        <v/>
      </c>
      <c r="AE601" s="16" t="str">
        <f aca="false">IF(N(E601)&gt;0,MAX(AE$1:AE600)+1,"")</f>
        <v/>
      </c>
      <c r="AF601" s="11" t="str">
        <f aca="false">IF(A601="","",IFERROR(LEFT(A601,FIND("-",A601)-1),A601))</f>
        <v/>
      </c>
      <c r="AG601" s="11" t="str">
        <f aca="false">IF(AF601="","",IF(ISNUMBER(--MID(AF601,1,1)),0,IF(ISNUMBER(--MID(AF601,2,1)),1,IF(ISNUMBER(--MID(AF601,3,1)),2,IF(ISNUMBER(--MID(AF601,4,1)),3,MIN(LEN(AF601),4))))))</f>
        <v/>
      </c>
      <c r="AH601" s="11" t="str">
        <f aca="false">IF(A601="","",LEFT(AF601,AG601)&amp;REPT("0",4-AG601)&amp;RIGHT("000"&amp;IFERROR(VALUE(MID(AF601,AG601+1,9)),0),3)&amp;RIGHT("0000"&amp;IFERROR(VALUE(MID(A601,FIND("-",A601)+1,9)),0),4))</f>
        <v/>
      </c>
      <c r="AI601" s="11" t="str">
        <f aca="false">IF(OR(A601="",N(E601)&lt;=0),"",IF('FALTAS GERAL'!$M$1="Código","K"&amp;AH601&amp;RIGHT("00000"&amp;ROW(),5),IF('FALTAS GERAL'!$M$1="Nome","K"&amp;UPPER(SUBSTITUTE(SUBSTITUTE(SUBSTITUTE(B601,"*",""),"?",""),"~",""))&amp;"0"&amp;AH601&amp;RIGHT("00000"&amp;ROW(),5),IF('FALTAS GERAL'!$M$1="Falta (maior primeiro)","K"&amp;RIGHT("0000"&amp;(9999-E601),4)&amp;AH601&amp;RIGHT("00000"&amp;ROW(),5),IF('FALTAS GERAL'!$M$1="Nº de decks (maior primeiro)","K"&amp;RIGHT("00"&amp;(99-N(G601)),2)&amp;AH601&amp;RIGHT("00000"&amp;ROW(),5),"K"&amp;RIGHT("00000"&amp;ROW(),5))))))</f>
        <v/>
      </c>
      <c r="AJ601" s="11" t="str">
        <f aca="false">IF(AI601="","",COUNTIFS($AI$2:$AI$801,"&lt;"&amp;AI601,$E$2:$E$801,"&gt;0")+1)</f>
        <v/>
      </c>
      <c r="AK601" s="11" t="str">
        <f aca="false">IF(OR(A601="",N(E601)&lt;=0),"",COUNTIFS($AH$2:$AH$801,"&lt;"&amp;AH601,$E$2:$E$801,"&gt;0")+COUNTIFS($AH$2:AH601,AH601,$E$2:E601,"&gt;0"))</f>
        <v/>
      </c>
    </row>
    <row r="602" customFormat="false" ht="15" hidden="false" customHeight="false" outlineLevel="0" collapsed="false">
      <c r="A602" s="11" t="str">
        <f aca="false">IF(INVENTÁRIO!A602="","",INVENTÁRIO!A602)</f>
        <v/>
      </c>
      <c r="B602" s="11" t="str">
        <f aca="false">IF(A602="","",INVENTÁRIO!B602)</f>
        <v/>
      </c>
      <c r="C602" s="16" t="str">
        <f aca="false">IF(A602="","",INVENTÁRIO!C602)</f>
        <v/>
      </c>
      <c r="D602" s="14" t="str">
        <f aca="false">IF(A602="","",MAX(K602:AD602))</f>
        <v/>
      </c>
      <c r="E602" s="14" t="str">
        <f aca="false">IF(A602="","",MAX(0,D602-C602))</f>
        <v/>
      </c>
      <c r="F602" s="16" t="str">
        <f aca="false">IF(A602="","",IF(D602=0,"Fora dos decks",IF(E602=0,"Completo","Falta")))</f>
        <v/>
      </c>
      <c r="G602" s="16" t="str">
        <f aca="false">IF(A602="","",COUNTIF(K602:AD602,"&gt;0"))</f>
        <v/>
      </c>
      <c r="H602" s="16" t="str">
        <f aca="false">IF(A602="","",IF(G602&gt;1,"Sim",""))</f>
        <v/>
      </c>
      <c r="I602" s="18" t="str">
        <f aca="false">IF(A602="","",SUMIFS(DECKS!$D$2:$D$1201,DECKS!$B$2:$B$1201,A602))</f>
        <v/>
      </c>
      <c r="J602" s="18" t="str">
        <f aca="false">IF(A602="","",MAX(0,I602-C602))</f>
        <v/>
      </c>
      <c r="K602" s="19" t="str">
        <f aca="false">IF(OR($A602="",INDEX(_LEITURA!$Q$2:$Q$21,1)=0),"",SUMIFS(DECKS!$D$2:$D$1201,DECKS!$A$2:$A$1201,INDEX(_LEITURA!$P$2:$P$21,1),DECKS!$B$2:$B$1201,$A602))</f>
        <v/>
      </c>
      <c r="L602" s="19" t="str">
        <f aca="false">IF(OR($A602="",INDEX(_LEITURA!$Q$2:$Q$21,2)=0),"",SUMIFS(DECKS!$D$2:$D$1201,DECKS!$A$2:$A$1201,INDEX(_LEITURA!$P$2:$P$21,2),DECKS!$B$2:$B$1201,$A602))</f>
        <v/>
      </c>
      <c r="M602" s="19" t="str">
        <f aca="false">IF(OR($A602="",INDEX(_LEITURA!$Q$2:$Q$21,3)=0),"",SUMIFS(DECKS!$D$2:$D$1201,DECKS!$A$2:$A$1201,INDEX(_LEITURA!$P$2:$P$21,3),DECKS!$B$2:$B$1201,$A602))</f>
        <v/>
      </c>
      <c r="N602" s="19" t="str">
        <f aca="false">IF(OR($A602="",INDEX(_LEITURA!$Q$2:$Q$21,4)=0),"",SUMIFS(DECKS!$D$2:$D$1201,DECKS!$A$2:$A$1201,INDEX(_LEITURA!$P$2:$P$21,4),DECKS!$B$2:$B$1201,$A602))</f>
        <v/>
      </c>
      <c r="O602" s="19" t="str">
        <f aca="false">IF(OR($A602="",INDEX(_LEITURA!$Q$2:$Q$21,5)=0),"",SUMIFS(DECKS!$D$2:$D$1201,DECKS!$A$2:$A$1201,INDEX(_LEITURA!$P$2:$P$21,5),DECKS!$B$2:$B$1201,$A602))</f>
        <v/>
      </c>
      <c r="P602" s="19" t="str">
        <f aca="false">IF(OR($A602="",INDEX(_LEITURA!$Q$2:$Q$21,6)=0),"",SUMIFS(DECKS!$D$2:$D$1201,DECKS!$A$2:$A$1201,INDEX(_LEITURA!$P$2:$P$21,6),DECKS!$B$2:$B$1201,$A602))</f>
        <v/>
      </c>
      <c r="Q602" s="19" t="str">
        <f aca="false">IF(OR($A602="",INDEX(_LEITURA!$Q$2:$Q$21,7)=0),"",SUMIFS(DECKS!$D$2:$D$1201,DECKS!$A$2:$A$1201,INDEX(_LEITURA!$P$2:$P$21,7),DECKS!$B$2:$B$1201,$A602))</f>
        <v/>
      </c>
      <c r="R602" s="19" t="str">
        <f aca="false">IF(OR($A602="",INDEX(_LEITURA!$Q$2:$Q$21,8)=0),"",SUMIFS(DECKS!$D$2:$D$1201,DECKS!$A$2:$A$1201,INDEX(_LEITURA!$P$2:$P$21,8),DECKS!$B$2:$B$1201,$A602))</f>
        <v/>
      </c>
      <c r="S602" s="19" t="str">
        <f aca="false">IF(OR($A602="",INDEX(_LEITURA!$Q$2:$Q$21,9)=0),"",SUMIFS(DECKS!$D$2:$D$1201,DECKS!$A$2:$A$1201,INDEX(_LEITURA!$P$2:$P$21,9),DECKS!$B$2:$B$1201,$A602))</f>
        <v/>
      </c>
      <c r="T602" s="19" t="str">
        <f aca="false">IF(OR($A602="",INDEX(_LEITURA!$Q$2:$Q$21,10)=0),"",SUMIFS(DECKS!$D$2:$D$1201,DECKS!$A$2:$A$1201,INDEX(_LEITURA!$P$2:$P$21,10),DECKS!$B$2:$B$1201,$A602))</f>
        <v/>
      </c>
      <c r="U602" s="19" t="str">
        <f aca="false">IF(OR($A602="",INDEX(_LEITURA!$Q$2:$Q$21,11)=0),"",SUMIFS(DECKS!$D$2:$D$1201,DECKS!$A$2:$A$1201,INDEX(_LEITURA!$P$2:$P$21,11),DECKS!$B$2:$B$1201,$A602))</f>
        <v/>
      </c>
      <c r="V602" s="19" t="str">
        <f aca="false">IF(OR($A602="",INDEX(_LEITURA!$Q$2:$Q$21,12)=0),"",SUMIFS(DECKS!$D$2:$D$1201,DECKS!$A$2:$A$1201,INDEX(_LEITURA!$P$2:$P$21,12),DECKS!$B$2:$B$1201,$A602))</f>
        <v/>
      </c>
      <c r="W602" s="19" t="str">
        <f aca="false">IF(OR($A602="",INDEX(_LEITURA!$Q$2:$Q$21,13)=0),"",SUMIFS(DECKS!$D$2:$D$1201,DECKS!$A$2:$A$1201,INDEX(_LEITURA!$P$2:$P$21,13),DECKS!$B$2:$B$1201,$A602))</f>
        <v/>
      </c>
      <c r="X602" s="19" t="str">
        <f aca="false">IF(OR($A602="",INDEX(_LEITURA!$Q$2:$Q$21,14)=0),"",SUMIFS(DECKS!$D$2:$D$1201,DECKS!$A$2:$A$1201,INDEX(_LEITURA!$P$2:$P$21,14),DECKS!$B$2:$B$1201,$A602))</f>
        <v/>
      </c>
      <c r="Y602" s="19" t="str">
        <f aca="false">IF(OR($A602="",INDEX(_LEITURA!$Q$2:$Q$21,15)=0),"",SUMIFS(DECKS!$D$2:$D$1201,DECKS!$A$2:$A$1201,INDEX(_LEITURA!$P$2:$P$21,15),DECKS!$B$2:$B$1201,$A602))</f>
        <v/>
      </c>
      <c r="Z602" s="19" t="str">
        <f aca="false">IF(OR($A602="",INDEX(_LEITURA!$Q$2:$Q$21,16)=0),"",SUMIFS(DECKS!$D$2:$D$1201,DECKS!$A$2:$A$1201,INDEX(_LEITURA!$P$2:$P$21,16),DECKS!$B$2:$B$1201,$A602))</f>
        <v/>
      </c>
      <c r="AA602" s="19" t="str">
        <f aca="false">IF(OR($A602="",INDEX(_LEITURA!$Q$2:$Q$21,17)=0),"",SUMIFS(DECKS!$D$2:$D$1201,DECKS!$A$2:$A$1201,INDEX(_LEITURA!$P$2:$P$21,17),DECKS!$B$2:$B$1201,$A602))</f>
        <v/>
      </c>
      <c r="AB602" s="19" t="str">
        <f aca="false">IF(OR($A602="",INDEX(_LEITURA!$Q$2:$Q$21,18)=0),"",SUMIFS(DECKS!$D$2:$D$1201,DECKS!$A$2:$A$1201,INDEX(_LEITURA!$P$2:$P$21,18),DECKS!$B$2:$B$1201,$A602))</f>
        <v/>
      </c>
      <c r="AC602" s="19" t="str">
        <f aca="false">IF(OR($A602="",INDEX(_LEITURA!$Q$2:$Q$21,19)=0),"",SUMIFS(DECKS!$D$2:$D$1201,DECKS!$A$2:$A$1201,INDEX(_LEITURA!$P$2:$P$21,19),DECKS!$B$2:$B$1201,$A602))</f>
        <v/>
      </c>
      <c r="AD602" s="19" t="str">
        <f aca="false">IF(OR($A602="",INDEX(_LEITURA!$Q$2:$Q$21,20)=0),"",SUMIFS(DECKS!$D$2:$D$1201,DECKS!$A$2:$A$1201,INDEX(_LEITURA!$P$2:$P$21,20),DECKS!$B$2:$B$1201,$A602))</f>
        <v/>
      </c>
      <c r="AE602" s="16" t="str">
        <f aca="false">IF(N(E602)&gt;0,MAX(AE$1:AE601)+1,"")</f>
        <v/>
      </c>
      <c r="AF602" s="11" t="str">
        <f aca="false">IF(A602="","",IFERROR(LEFT(A602,FIND("-",A602)-1),A602))</f>
        <v/>
      </c>
      <c r="AG602" s="11" t="str">
        <f aca="false">IF(AF602="","",IF(ISNUMBER(--MID(AF602,1,1)),0,IF(ISNUMBER(--MID(AF602,2,1)),1,IF(ISNUMBER(--MID(AF602,3,1)),2,IF(ISNUMBER(--MID(AF602,4,1)),3,MIN(LEN(AF602),4))))))</f>
        <v/>
      </c>
      <c r="AH602" s="11" t="str">
        <f aca="false">IF(A602="","",LEFT(AF602,AG602)&amp;REPT("0",4-AG602)&amp;RIGHT("000"&amp;IFERROR(VALUE(MID(AF602,AG602+1,9)),0),3)&amp;RIGHT("0000"&amp;IFERROR(VALUE(MID(A602,FIND("-",A602)+1,9)),0),4))</f>
        <v/>
      </c>
      <c r="AI602" s="11" t="str">
        <f aca="false">IF(OR(A602="",N(E602)&lt;=0),"",IF('FALTAS GERAL'!$M$1="Código","K"&amp;AH602&amp;RIGHT("00000"&amp;ROW(),5),IF('FALTAS GERAL'!$M$1="Nome","K"&amp;UPPER(SUBSTITUTE(SUBSTITUTE(SUBSTITUTE(B602,"*",""),"?",""),"~",""))&amp;"0"&amp;AH602&amp;RIGHT("00000"&amp;ROW(),5),IF('FALTAS GERAL'!$M$1="Falta (maior primeiro)","K"&amp;RIGHT("0000"&amp;(9999-E602),4)&amp;AH602&amp;RIGHT("00000"&amp;ROW(),5),IF('FALTAS GERAL'!$M$1="Nº de decks (maior primeiro)","K"&amp;RIGHT("00"&amp;(99-N(G602)),2)&amp;AH602&amp;RIGHT("00000"&amp;ROW(),5),"K"&amp;RIGHT("00000"&amp;ROW(),5))))))</f>
        <v/>
      </c>
      <c r="AJ602" s="11" t="str">
        <f aca="false">IF(AI602="","",COUNTIFS($AI$2:$AI$801,"&lt;"&amp;AI602,$E$2:$E$801,"&gt;0")+1)</f>
        <v/>
      </c>
      <c r="AK602" s="11" t="str">
        <f aca="false">IF(OR(A602="",N(E602)&lt;=0),"",COUNTIFS($AH$2:$AH$801,"&lt;"&amp;AH602,$E$2:$E$801,"&gt;0")+COUNTIFS($AH$2:AH602,AH602,$E$2:E602,"&gt;0"))</f>
        <v/>
      </c>
    </row>
    <row r="603" customFormat="false" ht="15" hidden="false" customHeight="false" outlineLevel="0" collapsed="false">
      <c r="A603" s="11" t="str">
        <f aca="false">IF(INVENTÁRIO!A603="","",INVENTÁRIO!A603)</f>
        <v/>
      </c>
      <c r="B603" s="11" t="str">
        <f aca="false">IF(A603="","",INVENTÁRIO!B603)</f>
        <v/>
      </c>
      <c r="C603" s="16" t="str">
        <f aca="false">IF(A603="","",INVENTÁRIO!C603)</f>
        <v/>
      </c>
      <c r="D603" s="14" t="str">
        <f aca="false">IF(A603="","",MAX(K603:AD603))</f>
        <v/>
      </c>
      <c r="E603" s="14" t="str">
        <f aca="false">IF(A603="","",MAX(0,D603-C603))</f>
        <v/>
      </c>
      <c r="F603" s="16" t="str">
        <f aca="false">IF(A603="","",IF(D603=0,"Fora dos decks",IF(E603=0,"Completo","Falta")))</f>
        <v/>
      </c>
      <c r="G603" s="16" t="str">
        <f aca="false">IF(A603="","",COUNTIF(K603:AD603,"&gt;0"))</f>
        <v/>
      </c>
      <c r="H603" s="16" t="str">
        <f aca="false">IF(A603="","",IF(G603&gt;1,"Sim",""))</f>
        <v/>
      </c>
      <c r="I603" s="18" t="str">
        <f aca="false">IF(A603="","",SUMIFS(DECKS!$D$2:$D$1201,DECKS!$B$2:$B$1201,A603))</f>
        <v/>
      </c>
      <c r="J603" s="18" t="str">
        <f aca="false">IF(A603="","",MAX(0,I603-C603))</f>
        <v/>
      </c>
      <c r="K603" s="19" t="str">
        <f aca="false">IF(OR($A603="",INDEX(_LEITURA!$Q$2:$Q$21,1)=0),"",SUMIFS(DECKS!$D$2:$D$1201,DECKS!$A$2:$A$1201,INDEX(_LEITURA!$P$2:$P$21,1),DECKS!$B$2:$B$1201,$A603))</f>
        <v/>
      </c>
      <c r="L603" s="19" t="str">
        <f aca="false">IF(OR($A603="",INDEX(_LEITURA!$Q$2:$Q$21,2)=0),"",SUMIFS(DECKS!$D$2:$D$1201,DECKS!$A$2:$A$1201,INDEX(_LEITURA!$P$2:$P$21,2),DECKS!$B$2:$B$1201,$A603))</f>
        <v/>
      </c>
      <c r="M603" s="19" t="str">
        <f aca="false">IF(OR($A603="",INDEX(_LEITURA!$Q$2:$Q$21,3)=0),"",SUMIFS(DECKS!$D$2:$D$1201,DECKS!$A$2:$A$1201,INDEX(_LEITURA!$P$2:$P$21,3),DECKS!$B$2:$B$1201,$A603))</f>
        <v/>
      </c>
      <c r="N603" s="19" t="str">
        <f aca="false">IF(OR($A603="",INDEX(_LEITURA!$Q$2:$Q$21,4)=0),"",SUMIFS(DECKS!$D$2:$D$1201,DECKS!$A$2:$A$1201,INDEX(_LEITURA!$P$2:$P$21,4),DECKS!$B$2:$B$1201,$A603))</f>
        <v/>
      </c>
      <c r="O603" s="19" t="str">
        <f aca="false">IF(OR($A603="",INDEX(_LEITURA!$Q$2:$Q$21,5)=0),"",SUMIFS(DECKS!$D$2:$D$1201,DECKS!$A$2:$A$1201,INDEX(_LEITURA!$P$2:$P$21,5),DECKS!$B$2:$B$1201,$A603))</f>
        <v/>
      </c>
      <c r="P603" s="19" t="str">
        <f aca="false">IF(OR($A603="",INDEX(_LEITURA!$Q$2:$Q$21,6)=0),"",SUMIFS(DECKS!$D$2:$D$1201,DECKS!$A$2:$A$1201,INDEX(_LEITURA!$P$2:$P$21,6),DECKS!$B$2:$B$1201,$A603))</f>
        <v/>
      </c>
      <c r="Q603" s="19" t="str">
        <f aca="false">IF(OR($A603="",INDEX(_LEITURA!$Q$2:$Q$21,7)=0),"",SUMIFS(DECKS!$D$2:$D$1201,DECKS!$A$2:$A$1201,INDEX(_LEITURA!$P$2:$P$21,7),DECKS!$B$2:$B$1201,$A603))</f>
        <v/>
      </c>
      <c r="R603" s="19" t="str">
        <f aca="false">IF(OR($A603="",INDEX(_LEITURA!$Q$2:$Q$21,8)=0),"",SUMIFS(DECKS!$D$2:$D$1201,DECKS!$A$2:$A$1201,INDEX(_LEITURA!$P$2:$P$21,8),DECKS!$B$2:$B$1201,$A603))</f>
        <v/>
      </c>
      <c r="S603" s="19" t="str">
        <f aca="false">IF(OR($A603="",INDEX(_LEITURA!$Q$2:$Q$21,9)=0),"",SUMIFS(DECKS!$D$2:$D$1201,DECKS!$A$2:$A$1201,INDEX(_LEITURA!$P$2:$P$21,9),DECKS!$B$2:$B$1201,$A603))</f>
        <v/>
      </c>
      <c r="T603" s="19" t="str">
        <f aca="false">IF(OR($A603="",INDEX(_LEITURA!$Q$2:$Q$21,10)=0),"",SUMIFS(DECKS!$D$2:$D$1201,DECKS!$A$2:$A$1201,INDEX(_LEITURA!$P$2:$P$21,10),DECKS!$B$2:$B$1201,$A603))</f>
        <v/>
      </c>
      <c r="U603" s="19" t="str">
        <f aca="false">IF(OR($A603="",INDEX(_LEITURA!$Q$2:$Q$21,11)=0),"",SUMIFS(DECKS!$D$2:$D$1201,DECKS!$A$2:$A$1201,INDEX(_LEITURA!$P$2:$P$21,11),DECKS!$B$2:$B$1201,$A603))</f>
        <v/>
      </c>
      <c r="V603" s="19" t="str">
        <f aca="false">IF(OR($A603="",INDEX(_LEITURA!$Q$2:$Q$21,12)=0),"",SUMIFS(DECKS!$D$2:$D$1201,DECKS!$A$2:$A$1201,INDEX(_LEITURA!$P$2:$P$21,12),DECKS!$B$2:$B$1201,$A603))</f>
        <v/>
      </c>
      <c r="W603" s="19" t="str">
        <f aca="false">IF(OR($A603="",INDEX(_LEITURA!$Q$2:$Q$21,13)=0),"",SUMIFS(DECKS!$D$2:$D$1201,DECKS!$A$2:$A$1201,INDEX(_LEITURA!$P$2:$P$21,13),DECKS!$B$2:$B$1201,$A603))</f>
        <v/>
      </c>
      <c r="X603" s="19" t="str">
        <f aca="false">IF(OR($A603="",INDEX(_LEITURA!$Q$2:$Q$21,14)=0),"",SUMIFS(DECKS!$D$2:$D$1201,DECKS!$A$2:$A$1201,INDEX(_LEITURA!$P$2:$P$21,14),DECKS!$B$2:$B$1201,$A603))</f>
        <v/>
      </c>
      <c r="Y603" s="19" t="str">
        <f aca="false">IF(OR($A603="",INDEX(_LEITURA!$Q$2:$Q$21,15)=0),"",SUMIFS(DECKS!$D$2:$D$1201,DECKS!$A$2:$A$1201,INDEX(_LEITURA!$P$2:$P$21,15),DECKS!$B$2:$B$1201,$A603))</f>
        <v/>
      </c>
      <c r="Z603" s="19" t="str">
        <f aca="false">IF(OR($A603="",INDEX(_LEITURA!$Q$2:$Q$21,16)=0),"",SUMIFS(DECKS!$D$2:$D$1201,DECKS!$A$2:$A$1201,INDEX(_LEITURA!$P$2:$P$21,16),DECKS!$B$2:$B$1201,$A603))</f>
        <v/>
      </c>
      <c r="AA603" s="19" t="str">
        <f aca="false">IF(OR($A603="",INDEX(_LEITURA!$Q$2:$Q$21,17)=0),"",SUMIFS(DECKS!$D$2:$D$1201,DECKS!$A$2:$A$1201,INDEX(_LEITURA!$P$2:$P$21,17),DECKS!$B$2:$B$1201,$A603))</f>
        <v/>
      </c>
      <c r="AB603" s="19" t="str">
        <f aca="false">IF(OR($A603="",INDEX(_LEITURA!$Q$2:$Q$21,18)=0),"",SUMIFS(DECKS!$D$2:$D$1201,DECKS!$A$2:$A$1201,INDEX(_LEITURA!$P$2:$P$21,18),DECKS!$B$2:$B$1201,$A603))</f>
        <v/>
      </c>
      <c r="AC603" s="19" t="str">
        <f aca="false">IF(OR($A603="",INDEX(_LEITURA!$Q$2:$Q$21,19)=0),"",SUMIFS(DECKS!$D$2:$D$1201,DECKS!$A$2:$A$1201,INDEX(_LEITURA!$P$2:$P$21,19),DECKS!$B$2:$B$1201,$A603))</f>
        <v/>
      </c>
      <c r="AD603" s="19" t="str">
        <f aca="false">IF(OR($A603="",INDEX(_LEITURA!$Q$2:$Q$21,20)=0),"",SUMIFS(DECKS!$D$2:$D$1201,DECKS!$A$2:$A$1201,INDEX(_LEITURA!$P$2:$P$21,20),DECKS!$B$2:$B$1201,$A603))</f>
        <v/>
      </c>
      <c r="AE603" s="16" t="str">
        <f aca="false">IF(N(E603)&gt;0,MAX(AE$1:AE602)+1,"")</f>
        <v/>
      </c>
      <c r="AF603" s="11" t="str">
        <f aca="false">IF(A603="","",IFERROR(LEFT(A603,FIND("-",A603)-1),A603))</f>
        <v/>
      </c>
      <c r="AG603" s="11" t="str">
        <f aca="false">IF(AF603="","",IF(ISNUMBER(--MID(AF603,1,1)),0,IF(ISNUMBER(--MID(AF603,2,1)),1,IF(ISNUMBER(--MID(AF603,3,1)),2,IF(ISNUMBER(--MID(AF603,4,1)),3,MIN(LEN(AF603),4))))))</f>
        <v/>
      </c>
      <c r="AH603" s="11" t="str">
        <f aca="false">IF(A603="","",LEFT(AF603,AG603)&amp;REPT("0",4-AG603)&amp;RIGHT("000"&amp;IFERROR(VALUE(MID(AF603,AG603+1,9)),0),3)&amp;RIGHT("0000"&amp;IFERROR(VALUE(MID(A603,FIND("-",A603)+1,9)),0),4))</f>
        <v/>
      </c>
      <c r="AI603" s="11" t="str">
        <f aca="false">IF(OR(A603="",N(E603)&lt;=0),"",IF('FALTAS GERAL'!$M$1="Código","K"&amp;AH603&amp;RIGHT("00000"&amp;ROW(),5),IF('FALTAS GERAL'!$M$1="Nome","K"&amp;UPPER(SUBSTITUTE(SUBSTITUTE(SUBSTITUTE(B603,"*",""),"?",""),"~",""))&amp;"0"&amp;AH603&amp;RIGHT("00000"&amp;ROW(),5),IF('FALTAS GERAL'!$M$1="Falta (maior primeiro)","K"&amp;RIGHT("0000"&amp;(9999-E603),4)&amp;AH603&amp;RIGHT("00000"&amp;ROW(),5),IF('FALTAS GERAL'!$M$1="Nº de decks (maior primeiro)","K"&amp;RIGHT("00"&amp;(99-N(G603)),2)&amp;AH603&amp;RIGHT("00000"&amp;ROW(),5),"K"&amp;RIGHT("00000"&amp;ROW(),5))))))</f>
        <v/>
      </c>
      <c r="AJ603" s="11" t="str">
        <f aca="false">IF(AI603="","",COUNTIFS($AI$2:$AI$801,"&lt;"&amp;AI603,$E$2:$E$801,"&gt;0")+1)</f>
        <v/>
      </c>
      <c r="AK603" s="11" t="str">
        <f aca="false">IF(OR(A603="",N(E603)&lt;=0),"",COUNTIFS($AH$2:$AH$801,"&lt;"&amp;AH603,$E$2:$E$801,"&gt;0")+COUNTIFS($AH$2:AH603,AH603,$E$2:E603,"&gt;0"))</f>
        <v/>
      </c>
    </row>
    <row r="604" customFormat="false" ht="15" hidden="false" customHeight="false" outlineLevel="0" collapsed="false">
      <c r="A604" s="11" t="str">
        <f aca="false">IF(INVENTÁRIO!A604="","",INVENTÁRIO!A604)</f>
        <v/>
      </c>
      <c r="B604" s="11" t="str">
        <f aca="false">IF(A604="","",INVENTÁRIO!B604)</f>
        <v/>
      </c>
      <c r="C604" s="16" t="str">
        <f aca="false">IF(A604="","",INVENTÁRIO!C604)</f>
        <v/>
      </c>
      <c r="D604" s="14" t="str">
        <f aca="false">IF(A604="","",MAX(K604:AD604))</f>
        <v/>
      </c>
      <c r="E604" s="14" t="str">
        <f aca="false">IF(A604="","",MAX(0,D604-C604))</f>
        <v/>
      </c>
      <c r="F604" s="16" t="str">
        <f aca="false">IF(A604="","",IF(D604=0,"Fora dos decks",IF(E604=0,"Completo","Falta")))</f>
        <v/>
      </c>
      <c r="G604" s="16" t="str">
        <f aca="false">IF(A604="","",COUNTIF(K604:AD604,"&gt;0"))</f>
        <v/>
      </c>
      <c r="H604" s="16" t="str">
        <f aca="false">IF(A604="","",IF(G604&gt;1,"Sim",""))</f>
        <v/>
      </c>
      <c r="I604" s="18" t="str">
        <f aca="false">IF(A604="","",SUMIFS(DECKS!$D$2:$D$1201,DECKS!$B$2:$B$1201,A604))</f>
        <v/>
      </c>
      <c r="J604" s="18" t="str">
        <f aca="false">IF(A604="","",MAX(0,I604-C604))</f>
        <v/>
      </c>
      <c r="K604" s="19" t="str">
        <f aca="false">IF(OR($A604="",INDEX(_LEITURA!$Q$2:$Q$21,1)=0),"",SUMIFS(DECKS!$D$2:$D$1201,DECKS!$A$2:$A$1201,INDEX(_LEITURA!$P$2:$P$21,1),DECKS!$B$2:$B$1201,$A604))</f>
        <v/>
      </c>
      <c r="L604" s="19" t="str">
        <f aca="false">IF(OR($A604="",INDEX(_LEITURA!$Q$2:$Q$21,2)=0),"",SUMIFS(DECKS!$D$2:$D$1201,DECKS!$A$2:$A$1201,INDEX(_LEITURA!$P$2:$P$21,2),DECKS!$B$2:$B$1201,$A604))</f>
        <v/>
      </c>
      <c r="M604" s="19" t="str">
        <f aca="false">IF(OR($A604="",INDEX(_LEITURA!$Q$2:$Q$21,3)=0),"",SUMIFS(DECKS!$D$2:$D$1201,DECKS!$A$2:$A$1201,INDEX(_LEITURA!$P$2:$P$21,3),DECKS!$B$2:$B$1201,$A604))</f>
        <v/>
      </c>
      <c r="N604" s="19" t="str">
        <f aca="false">IF(OR($A604="",INDEX(_LEITURA!$Q$2:$Q$21,4)=0),"",SUMIFS(DECKS!$D$2:$D$1201,DECKS!$A$2:$A$1201,INDEX(_LEITURA!$P$2:$P$21,4),DECKS!$B$2:$B$1201,$A604))</f>
        <v/>
      </c>
      <c r="O604" s="19" t="str">
        <f aca="false">IF(OR($A604="",INDEX(_LEITURA!$Q$2:$Q$21,5)=0),"",SUMIFS(DECKS!$D$2:$D$1201,DECKS!$A$2:$A$1201,INDEX(_LEITURA!$P$2:$P$21,5),DECKS!$B$2:$B$1201,$A604))</f>
        <v/>
      </c>
      <c r="P604" s="19" t="str">
        <f aca="false">IF(OR($A604="",INDEX(_LEITURA!$Q$2:$Q$21,6)=0),"",SUMIFS(DECKS!$D$2:$D$1201,DECKS!$A$2:$A$1201,INDEX(_LEITURA!$P$2:$P$21,6),DECKS!$B$2:$B$1201,$A604))</f>
        <v/>
      </c>
      <c r="Q604" s="19" t="str">
        <f aca="false">IF(OR($A604="",INDEX(_LEITURA!$Q$2:$Q$21,7)=0),"",SUMIFS(DECKS!$D$2:$D$1201,DECKS!$A$2:$A$1201,INDEX(_LEITURA!$P$2:$P$21,7),DECKS!$B$2:$B$1201,$A604))</f>
        <v/>
      </c>
      <c r="R604" s="19" t="str">
        <f aca="false">IF(OR($A604="",INDEX(_LEITURA!$Q$2:$Q$21,8)=0),"",SUMIFS(DECKS!$D$2:$D$1201,DECKS!$A$2:$A$1201,INDEX(_LEITURA!$P$2:$P$21,8),DECKS!$B$2:$B$1201,$A604))</f>
        <v/>
      </c>
      <c r="S604" s="19" t="str">
        <f aca="false">IF(OR($A604="",INDEX(_LEITURA!$Q$2:$Q$21,9)=0),"",SUMIFS(DECKS!$D$2:$D$1201,DECKS!$A$2:$A$1201,INDEX(_LEITURA!$P$2:$P$21,9),DECKS!$B$2:$B$1201,$A604))</f>
        <v/>
      </c>
      <c r="T604" s="19" t="str">
        <f aca="false">IF(OR($A604="",INDEX(_LEITURA!$Q$2:$Q$21,10)=0),"",SUMIFS(DECKS!$D$2:$D$1201,DECKS!$A$2:$A$1201,INDEX(_LEITURA!$P$2:$P$21,10),DECKS!$B$2:$B$1201,$A604))</f>
        <v/>
      </c>
      <c r="U604" s="19" t="str">
        <f aca="false">IF(OR($A604="",INDEX(_LEITURA!$Q$2:$Q$21,11)=0),"",SUMIFS(DECKS!$D$2:$D$1201,DECKS!$A$2:$A$1201,INDEX(_LEITURA!$P$2:$P$21,11),DECKS!$B$2:$B$1201,$A604))</f>
        <v/>
      </c>
      <c r="V604" s="19" t="str">
        <f aca="false">IF(OR($A604="",INDEX(_LEITURA!$Q$2:$Q$21,12)=0),"",SUMIFS(DECKS!$D$2:$D$1201,DECKS!$A$2:$A$1201,INDEX(_LEITURA!$P$2:$P$21,12),DECKS!$B$2:$B$1201,$A604))</f>
        <v/>
      </c>
      <c r="W604" s="19" t="str">
        <f aca="false">IF(OR($A604="",INDEX(_LEITURA!$Q$2:$Q$21,13)=0),"",SUMIFS(DECKS!$D$2:$D$1201,DECKS!$A$2:$A$1201,INDEX(_LEITURA!$P$2:$P$21,13),DECKS!$B$2:$B$1201,$A604))</f>
        <v/>
      </c>
      <c r="X604" s="19" t="str">
        <f aca="false">IF(OR($A604="",INDEX(_LEITURA!$Q$2:$Q$21,14)=0),"",SUMIFS(DECKS!$D$2:$D$1201,DECKS!$A$2:$A$1201,INDEX(_LEITURA!$P$2:$P$21,14),DECKS!$B$2:$B$1201,$A604))</f>
        <v/>
      </c>
      <c r="Y604" s="19" t="str">
        <f aca="false">IF(OR($A604="",INDEX(_LEITURA!$Q$2:$Q$21,15)=0),"",SUMIFS(DECKS!$D$2:$D$1201,DECKS!$A$2:$A$1201,INDEX(_LEITURA!$P$2:$P$21,15),DECKS!$B$2:$B$1201,$A604))</f>
        <v/>
      </c>
      <c r="Z604" s="19" t="str">
        <f aca="false">IF(OR($A604="",INDEX(_LEITURA!$Q$2:$Q$21,16)=0),"",SUMIFS(DECKS!$D$2:$D$1201,DECKS!$A$2:$A$1201,INDEX(_LEITURA!$P$2:$P$21,16),DECKS!$B$2:$B$1201,$A604))</f>
        <v/>
      </c>
      <c r="AA604" s="19" t="str">
        <f aca="false">IF(OR($A604="",INDEX(_LEITURA!$Q$2:$Q$21,17)=0),"",SUMIFS(DECKS!$D$2:$D$1201,DECKS!$A$2:$A$1201,INDEX(_LEITURA!$P$2:$P$21,17),DECKS!$B$2:$B$1201,$A604))</f>
        <v/>
      </c>
      <c r="AB604" s="19" t="str">
        <f aca="false">IF(OR($A604="",INDEX(_LEITURA!$Q$2:$Q$21,18)=0),"",SUMIFS(DECKS!$D$2:$D$1201,DECKS!$A$2:$A$1201,INDEX(_LEITURA!$P$2:$P$21,18),DECKS!$B$2:$B$1201,$A604))</f>
        <v/>
      </c>
      <c r="AC604" s="19" t="str">
        <f aca="false">IF(OR($A604="",INDEX(_LEITURA!$Q$2:$Q$21,19)=0),"",SUMIFS(DECKS!$D$2:$D$1201,DECKS!$A$2:$A$1201,INDEX(_LEITURA!$P$2:$P$21,19),DECKS!$B$2:$B$1201,$A604))</f>
        <v/>
      </c>
      <c r="AD604" s="19" t="str">
        <f aca="false">IF(OR($A604="",INDEX(_LEITURA!$Q$2:$Q$21,20)=0),"",SUMIFS(DECKS!$D$2:$D$1201,DECKS!$A$2:$A$1201,INDEX(_LEITURA!$P$2:$P$21,20),DECKS!$B$2:$B$1201,$A604))</f>
        <v/>
      </c>
      <c r="AE604" s="16" t="str">
        <f aca="false">IF(N(E604)&gt;0,MAX(AE$1:AE603)+1,"")</f>
        <v/>
      </c>
      <c r="AF604" s="11" t="str">
        <f aca="false">IF(A604="","",IFERROR(LEFT(A604,FIND("-",A604)-1),A604))</f>
        <v/>
      </c>
      <c r="AG604" s="11" t="str">
        <f aca="false">IF(AF604="","",IF(ISNUMBER(--MID(AF604,1,1)),0,IF(ISNUMBER(--MID(AF604,2,1)),1,IF(ISNUMBER(--MID(AF604,3,1)),2,IF(ISNUMBER(--MID(AF604,4,1)),3,MIN(LEN(AF604),4))))))</f>
        <v/>
      </c>
      <c r="AH604" s="11" t="str">
        <f aca="false">IF(A604="","",LEFT(AF604,AG604)&amp;REPT("0",4-AG604)&amp;RIGHT("000"&amp;IFERROR(VALUE(MID(AF604,AG604+1,9)),0),3)&amp;RIGHT("0000"&amp;IFERROR(VALUE(MID(A604,FIND("-",A604)+1,9)),0),4))</f>
        <v/>
      </c>
      <c r="AI604" s="11" t="str">
        <f aca="false">IF(OR(A604="",N(E604)&lt;=0),"",IF('FALTAS GERAL'!$M$1="Código","K"&amp;AH604&amp;RIGHT("00000"&amp;ROW(),5),IF('FALTAS GERAL'!$M$1="Nome","K"&amp;UPPER(SUBSTITUTE(SUBSTITUTE(SUBSTITUTE(B604,"*",""),"?",""),"~",""))&amp;"0"&amp;AH604&amp;RIGHT("00000"&amp;ROW(),5),IF('FALTAS GERAL'!$M$1="Falta (maior primeiro)","K"&amp;RIGHT("0000"&amp;(9999-E604),4)&amp;AH604&amp;RIGHT("00000"&amp;ROW(),5),IF('FALTAS GERAL'!$M$1="Nº de decks (maior primeiro)","K"&amp;RIGHT("00"&amp;(99-N(G604)),2)&amp;AH604&amp;RIGHT("00000"&amp;ROW(),5),"K"&amp;RIGHT("00000"&amp;ROW(),5))))))</f>
        <v/>
      </c>
      <c r="AJ604" s="11" t="str">
        <f aca="false">IF(AI604="","",COUNTIFS($AI$2:$AI$801,"&lt;"&amp;AI604,$E$2:$E$801,"&gt;0")+1)</f>
        <v/>
      </c>
      <c r="AK604" s="11" t="str">
        <f aca="false">IF(OR(A604="",N(E604)&lt;=0),"",COUNTIFS($AH$2:$AH$801,"&lt;"&amp;AH604,$E$2:$E$801,"&gt;0")+COUNTIFS($AH$2:AH604,AH604,$E$2:E604,"&gt;0"))</f>
        <v/>
      </c>
    </row>
    <row r="605" customFormat="false" ht="15" hidden="false" customHeight="false" outlineLevel="0" collapsed="false">
      <c r="A605" s="11" t="str">
        <f aca="false">IF(INVENTÁRIO!A605="","",INVENTÁRIO!A605)</f>
        <v/>
      </c>
      <c r="B605" s="11" t="str">
        <f aca="false">IF(A605="","",INVENTÁRIO!B605)</f>
        <v/>
      </c>
      <c r="C605" s="16" t="str">
        <f aca="false">IF(A605="","",INVENTÁRIO!C605)</f>
        <v/>
      </c>
      <c r="D605" s="14" t="str">
        <f aca="false">IF(A605="","",MAX(K605:AD605))</f>
        <v/>
      </c>
      <c r="E605" s="14" t="str">
        <f aca="false">IF(A605="","",MAX(0,D605-C605))</f>
        <v/>
      </c>
      <c r="F605" s="16" t="str">
        <f aca="false">IF(A605="","",IF(D605=0,"Fora dos decks",IF(E605=0,"Completo","Falta")))</f>
        <v/>
      </c>
      <c r="G605" s="16" t="str">
        <f aca="false">IF(A605="","",COUNTIF(K605:AD605,"&gt;0"))</f>
        <v/>
      </c>
      <c r="H605" s="16" t="str">
        <f aca="false">IF(A605="","",IF(G605&gt;1,"Sim",""))</f>
        <v/>
      </c>
      <c r="I605" s="18" t="str">
        <f aca="false">IF(A605="","",SUMIFS(DECKS!$D$2:$D$1201,DECKS!$B$2:$B$1201,A605))</f>
        <v/>
      </c>
      <c r="J605" s="18" t="str">
        <f aca="false">IF(A605="","",MAX(0,I605-C605))</f>
        <v/>
      </c>
      <c r="K605" s="19" t="str">
        <f aca="false">IF(OR($A605="",INDEX(_LEITURA!$Q$2:$Q$21,1)=0),"",SUMIFS(DECKS!$D$2:$D$1201,DECKS!$A$2:$A$1201,INDEX(_LEITURA!$P$2:$P$21,1),DECKS!$B$2:$B$1201,$A605))</f>
        <v/>
      </c>
      <c r="L605" s="19" t="str">
        <f aca="false">IF(OR($A605="",INDEX(_LEITURA!$Q$2:$Q$21,2)=0),"",SUMIFS(DECKS!$D$2:$D$1201,DECKS!$A$2:$A$1201,INDEX(_LEITURA!$P$2:$P$21,2),DECKS!$B$2:$B$1201,$A605))</f>
        <v/>
      </c>
      <c r="M605" s="19" t="str">
        <f aca="false">IF(OR($A605="",INDEX(_LEITURA!$Q$2:$Q$21,3)=0),"",SUMIFS(DECKS!$D$2:$D$1201,DECKS!$A$2:$A$1201,INDEX(_LEITURA!$P$2:$P$21,3),DECKS!$B$2:$B$1201,$A605))</f>
        <v/>
      </c>
      <c r="N605" s="19" t="str">
        <f aca="false">IF(OR($A605="",INDEX(_LEITURA!$Q$2:$Q$21,4)=0),"",SUMIFS(DECKS!$D$2:$D$1201,DECKS!$A$2:$A$1201,INDEX(_LEITURA!$P$2:$P$21,4),DECKS!$B$2:$B$1201,$A605))</f>
        <v/>
      </c>
      <c r="O605" s="19" t="str">
        <f aca="false">IF(OR($A605="",INDEX(_LEITURA!$Q$2:$Q$21,5)=0),"",SUMIFS(DECKS!$D$2:$D$1201,DECKS!$A$2:$A$1201,INDEX(_LEITURA!$P$2:$P$21,5),DECKS!$B$2:$B$1201,$A605))</f>
        <v/>
      </c>
      <c r="P605" s="19" t="str">
        <f aca="false">IF(OR($A605="",INDEX(_LEITURA!$Q$2:$Q$21,6)=0),"",SUMIFS(DECKS!$D$2:$D$1201,DECKS!$A$2:$A$1201,INDEX(_LEITURA!$P$2:$P$21,6),DECKS!$B$2:$B$1201,$A605))</f>
        <v/>
      </c>
      <c r="Q605" s="19" t="str">
        <f aca="false">IF(OR($A605="",INDEX(_LEITURA!$Q$2:$Q$21,7)=0),"",SUMIFS(DECKS!$D$2:$D$1201,DECKS!$A$2:$A$1201,INDEX(_LEITURA!$P$2:$P$21,7),DECKS!$B$2:$B$1201,$A605))</f>
        <v/>
      </c>
      <c r="R605" s="19" t="str">
        <f aca="false">IF(OR($A605="",INDEX(_LEITURA!$Q$2:$Q$21,8)=0),"",SUMIFS(DECKS!$D$2:$D$1201,DECKS!$A$2:$A$1201,INDEX(_LEITURA!$P$2:$P$21,8),DECKS!$B$2:$B$1201,$A605))</f>
        <v/>
      </c>
      <c r="S605" s="19" t="str">
        <f aca="false">IF(OR($A605="",INDEX(_LEITURA!$Q$2:$Q$21,9)=0),"",SUMIFS(DECKS!$D$2:$D$1201,DECKS!$A$2:$A$1201,INDEX(_LEITURA!$P$2:$P$21,9),DECKS!$B$2:$B$1201,$A605))</f>
        <v/>
      </c>
      <c r="T605" s="19" t="str">
        <f aca="false">IF(OR($A605="",INDEX(_LEITURA!$Q$2:$Q$21,10)=0),"",SUMIFS(DECKS!$D$2:$D$1201,DECKS!$A$2:$A$1201,INDEX(_LEITURA!$P$2:$P$21,10),DECKS!$B$2:$B$1201,$A605))</f>
        <v/>
      </c>
      <c r="U605" s="19" t="str">
        <f aca="false">IF(OR($A605="",INDEX(_LEITURA!$Q$2:$Q$21,11)=0),"",SUMIFS(DECKS!$D$2:$D$1201,DECKS!$A$2:$A$1201,INDEX(_LEITURA!$P$2:$P$21,11),DECKS!$B$2:$B$1201,$A605))</f>
        <v/>
      </c>
      <c r="V605" s="19" t="str">
        <f aca="false">IF(OR($A605="",INDEX(_LEITURA!$Q$2:$Q$21,12)=0),"",SUMIFS(DECKS!$D$2:$D$1201,DECKS!$A$2:$A$1201,INDEX(_LEITURA!$P$2:$P$21,12),DECKS!$B$2:$B$1201,$A605))</f>
        <v/>
      </c>
      <c r="W605" s="19" t="str">
        <f aca="false">IF(OR($A605="",INDEX(_LEITURA!$Q$2:$Q$21,13)=0),"",SUMIFS(DECKS!$D$2:$D$1201,DECKS!$A$2:$A$1201,INDEX(_LEITURA!$P$2:$P$21,13),DECKS!$B$2:$B$1201,$A605))</f>
        <v/>
      </c>
      <c r="X605" s="19" t="str">
        <f aca="false">IF(OR($A605="",INDEX(_LEITURA!$Q$2:$Q$21,14)=0),"",SUMIFS(DECKS!$D$2:$D$1201,DECKS!$A$2:$A$1201,INDEX(_LEITURA!$P$2:$P$21,14),DECKS!$B$2:$B$1201,$A605))</f>
        <v/>
      </c>
      <c r="Y605" s="19" t="str">
        <f aca="false">IF(OR($A605="",INDEX(_LEITURA!$Q$2:$Q$21,15)=0),"",SUMIFS(DECKS!$D$2:$D$1201,DECKS!$A$2:$A$1201,INDEX(_LEITURA!$P$2:$P$21,15),DECKS!$B$2:$B$1201,$A605))</f>
        <v/>
      </c>
      <c r="Z605" s="19" t="str">
        <f aca="false">IF(OR($A605="",INDEX(_LEITURA!$Q$2:$Q$21,16)=0),"",SUMIFS(DECKS!$D$2:$D$1201,DECKS!$A$2:$A$1201,INDEX(_LEITURA!$P$2:$P$21,16),DECKS!$B$2:$B$1201,$A605))</f>
        <v/>
      </c>
      <c r="AA605" s="19" t="str">
        <f aca="false">IF(OR($A605="",INDEX(_LEITURA!$Q$2:$Q$21,17)=0),"",SUMIFS(DECKS!$D$2:$D$1201,DECKS!$A$2:$A$1201,INDEX(_LEITURA!$P$2:$P$21,17),DECKS!$B$2:$B$1201,$A605))</f>
        <v/>
      </c>
      <c r="AB605" s="19" t="str">
        <f aca="false">IF(OR($A605="",INDEX(_LEITURA!$Q$2:$Q$21,18)=0),"",SUMIFS(DECKS!$D$2:$D$1201,DECKS!$A$2:$A$1201,INDEX(_LEITURA!$P$2:$P$21,18),DECKS!$B$2:$B$1201,$A605))</f>
        <v/>
      </c>
      <c r="AC605" s="19" t="str">
        <f aca="false">IF(OR($A605="",INDEX(_LEITURA!$Q$2:$Q$21,19)=0),"",SUMIFS(DECKS!$D$2:$D$1201,DECKS!$A$2:$A$1201,INDEX(_LEITURA!$P$2:$P$21,19),DECKS!$B$2:$B$1201,$A605))</f>
        <v/>
      </c>
      <c r="AD605" s="19" t="str">
        <f aca="false">IF(OR($A605="",INDEX(_LEITURA!$Q$2:$Q$21,20)=0),"",SUMIFS(DECKS!$D$2:$D$1201,DECKS!$A$2:$A$1201,INDEX(_LEITURA!$P$2:$P$21,20),DECKS!$B$2:$B$1201,$A605))</f>
        <v/>
      </c>
      <c r="AE605" s="16" t="str">
        <f aca="false">IF(N(E605)&gt;0,MAX(AE$1:AE604)+1,"")</f>
        <v/>
      </c>
      <c r="AF605" s="11" t="str">
        <f aca="false">IF(A605="","",IFERROR(LEFT(A605,FIND("-",A605)-1),A605))</f>
        <v/>
      </c>
      <c r="AG605" s="11" t="str">
        <f aca="false">IF(AF605="","",IF(ISNUMBER(--MID(AF605,1,1)),0,IF(ISNUMBER(--MID(AF605,2,1)),1,IF(ISNUMBER(--MID(AF605,3,1)),2,IF(ISNUMBER(--MID(AF605,4,1)),3,MIN(LEN(AF605),4))))))</f>
        <v/>
      </c>
      <c r="AH605" s="11" t="str">
        <f aca="false">IF(A605="","",LEFT(AF605,AG605)&amp;REPT("0",4-AG605)&amp;RIGHT("000"&amp;IFERROR(VALUE(MID(AF605,AG605+1,9)),0),3)&amp;RIGHT("0000"&amp;IFERROR(VALUE(MID(A605,FIND("-",A605)+1,9)),0),4))</f>
        <v/>
      </c>
      <c r="AI605" s="11" t="str">
        <f aca="false">IF(OR(A605="",N(E605)&lt;=0),"",IF('FALTAS GERAL'!$M$1="Código","K"&amp;AH605&amp;RIGHT("00000"&amp;ROW(),5),IF('FALTAS GERAL'!$M$1="Nome","K"&amp;UPPER(SUBSTITUTE(SUBSTITUTE(SUBSTITUTE(B605,"*",""),"?",""),"~",""))&amp;"0"&amp;AH605&amp;RIGHT("00000"&amp;ROW(),5),IF('FALTAS GERAL'!$M$1="Falta (maior primeiro)","K"&amp;RIGHT("0000"&amp;(9999-E605),4)&amp;AH605&amp;RIGHT("00000"&amp;ROW(),5),IF('FALTAS GERAL'!$M$1="Nº de decks (maior primeiro)","K"&amp;RIGHT("00"&amp;(99-N(G605)),2)&amp;AH605&amp;RIGHT("00000"&amp;ROW(),5),"K"&amp;RIGHT("00000"&amp;ROW(),5))))))</f>
        <v/>
      </c>
      <c r="AJ605" s="11" t="str">
        <f aca="false">IF(AI605="","",COUNTIFS($AI$2:$AI$801,"&lt;"&amp;AI605,$E$2:$E$801,"&gt;0")+1)</f>
        <v/>
      </c>
      <c r="AK605" s="11" t="str">
        <f aca="false">IF(OR(A605="",N(E605)&lt;=0),"",COUNTIFS($AH$2:$AH$801,"&lt;"&amp;AH605,$E$2:$E$801,"&gt;0")+COUNTIFS($AH$2:AH605,AH605,$E$2:E605,"&gt;0"))</f>
        <v/>
      </c>
    </row>
    <row r="606" customFormat="false" ht="15" hidden="false" customHeight="false" outlineLevel="0" collapsed="false">
      <c r="A606" s="11" t="str">
        <f aca="false">IF(INVENTÁRIO!A606="","",INVENTÁRIO!A606)</f>
        <v/>
      </c>
      <c r="B606" s="11" t="str">
        <f aca="false">IF(A606="","",INVENTÁRIO!B606)</f>
        <v/>
      </c>
      <c r="C606" s="16" t="str">
        <f aca="false">IF(A606="","",INVENTÁRIO!C606)</f>
        <v/>
      </c>
      <c r="D606" s="14" t="str">
        <f aca="false">IF(A606="","",MAX(K606:AD606))</f>
        <v/>
      </c>
      <c r="E606" s="14" t="str">
        <f aca="false">IF(A606="","",MAX(0,D606-C606))</f>
        <v/>
      </c>
      <c r="F606" s="16" t="str">
        <f aca="false">IF(A606="","",IF(D606=0,"Fora dos decks",IF(E606=0,"Completo","Falta")))</f>
        <v/>
      </c>
      <c r="G606" s="16" t="str">
        <f aca="false">IF(A606="","",COUNTIF(K606:AD606,"&gt;0"))</f>
        <v/>
      </c>
      <c r="H606" s="16" t="str">
        <f aca="false">IF(A606="","",IF(G606&gt;1,"Sim",""))</f>
        <v/>
      </c>
      <c r="I606" s="18" t="str">
        <f aca="false">IF(A606="","",SUMIFS(DECKS!$D$2:$D$1201,DECKS!$B$2:$B$1201,A606))</f>
        <v/>
      </c>
      <c r="J606" s="18" t="str">
        <f aca="false">IF(A606="","",MAX(0,I606-C606))</f>
        <v/>
      </c>
      <c r="K606" s="19" t="str">
        <f aca="false">IF(OR($A606="",INDEX(_LEITURA!$Q$2:$Q$21,1)=0),"",SUMIFS(DECKS!$D$2:$D$1201,DECKS!$A$2:$A$1201,INDEX(_LEITURA!$P$2:$P$21,1),DECKS!$B$2:$B$1201,$A606))</f>
        <v/>
      </c>
      <c r="L606" s="19" t="str">
        <f aca="false">IF(OR($A606="",INDEX(_LEITURA!$Q$2:$Q$21,2)=0),"",SUMIFS(DECKS!$D$2:$D$1201,DECKS!$A$2:$A$1201,INDEX(_LEITURA!$P$2:$P$21,2),DECKS!$B$2:$B$1201,$A606))</f>
        <v/>
      </c>
      <c r="M606" s="19" t="str">
        <f aca="false">IF(OR($A606="",INDEX(_LEITURA!$Q$2:$Q$21,3)=0),"",SUMIFS(DECKS!$D$2:$D$1201,DECKS!$A$2:$A$1201,INDEX(_LEITURA!$P$2:$P$21,3),DECKS!$B$2:$B$1201,$A606))</f>
        <v/>
      </c>
      <c r="N606" s="19" t="str">
        <f aca="false">IF(OR($A606="",INDEX(_LEITURA!$Q$2:$Q$21,4)=0),"",SUMIFS(DECKS!$D$2:$D$1201,DECKS!$A$2:$A$1201,INDEX(_LEITURA!$P$2:$P$21,4),DECKS!$B$2:$B$1201,$A606))</f>
        <v/>
      </c>
      <c r="O606" s="19" t="str">
        <f aca="false">IF(OR($A606="",INDEX(_LEITURA!$Q$2:$Q$21,5)=0),"",SUMIFS(DECKS!$D$2:$D$1201,DECKS!$A$2:$A$1201,INDEX(_LEITURA!$P$2:$P$21,5),DECKS!$B$2:$B$1201,$A606))</f>
        <v/>
      </c>
      <c r="P606" s="19" t="str">
        <f aca="false">IF(OR($A606="",INDEX(_LEITURA!$Q$2:$Q$21,6)=0),"",SUMIFS(DECKS!$D$2:$D$1201,DECKS!$A$2:$A$1201,INDEX(_LEITURA!$P$2:$P$21,6),DECKS!$B$2:$B$1201,$A606))</f>
        <v/>
      </c>
      <c r="Q606" s="19" t="str">
        <f aca="false">IF(OR($A606="",INDEX(_LEITURA!$Q$2:$Q$21,7)=0),"",SUMIFS(DECKS!$D$2:$D$1201,DECKS!$A$2:$A$1201,INDEX(_LEITURA!$P$2:$P$21,7),DECKS!$B$2:$B$1201,$A606))</f>
        <v/>
      </c>
      <c r="R606" s="19" t="str">
        <f aca="false">IF(OR($A606="",INDEX(_LEITURA!$Q$2:$Q$21,8)=0),"",SUMIFS(DECKS!$D$2:$D$1201,DECKS!$A$2:$A$1201,INDEX(_LEITURA!$P$2:$P$21,8),DECKS!$B$2:$B$1201,$A606))</f>
        <v/>
      </c>
      <c r="S606" s="19" t="str">
        <f aca="false">IF(OR($A606="",INDEX(_LEITURA!$Q$2:$Q$21,9)=0),"",SUMIFS(DECKS!$D$2:$D$1201,DECKS!$A$2:$A$1201,INDEX(_LEITURA!$P$2:$P$21,9),DECKS!$B$2:$B$1201,$A606))</f>
        <v/>
      </c>
      <c r="T606" s="19" t="str">
        <f aca="false">IF(OR($A606="",INDEX(_LEITURA!$Q$2:$Q$21,10)=0),"",SUMIFS(DECKS!$D$2:$D$1201,DECKS!$A$2:$A$1201,INDEX(_LEITURA!$P$2:$P$21,10),DECKS!$B$2:$B$1201,$A606))</f>
        <v/>
      </c>
      <c r="U606" s="19" t="str">
        <f aca="false">IF(OR($A606="",INDEX(_LEITURA!$Q$2:$Q$21,11)=0),"",SUMIFS(DECKS!$D$2:$D$1201,DECKS!$A$2:$A$1201,INDEX(_LEITURA!$P$2:$P$21,11),DECKS!$B$2:$B$1201,$A606))</f>
        <v/>
      </c>
      <c r="V606" s="19" t="str">
        <f aca="false">IF(OR($A606="",INDEX(_LEITURA!$Q$2:$Q$21,12)=0),"",SUMIFS(DECKS!$D$2:$D$1201,DECKS!$A$2:$A$1201,INDEX(_LEITURA!$P$2:$P$21,12),DECKS!$B$2:$B$1201,$A606))</f>
        <v/>
      </c>
      <c r="W606" s="19" t="str">
        <f aca="false">IF(OR($A606="",INDEX(_LEITURA!$Q$2:$Q$21,13)=0),"",SUMIFS(DECKS!$D$2:$D$1201,DECKS!$A$2:$A$1201,INDEX(_LEITURA!$P$2:$P$21,13),DECKS!$B$2:$B$1201,$A606))</f>
        <v/>
      </c>
      <c r="X606" s="19" t="str">
        <f aca="false">IF(OR($A606="",INDEX(_LEITURA!$Q$2:$Q$21,14)=0),"",SUMIFS(DECKS!$D$2:$D$1201,DECKS!$A$2:$A$1201,INDEX(_LEITURA!$P$2:$P$21,14),DECKS!$B$2:$B$1201,$A606))</f>
        <v/>
      </c>
      <c r="Y606" s="19" t="str">
        <f aca="false">IF(OR($A606="",INDEX(_LEITURA!$Q$2:$Q$21,15)=0),"",SUMIFS(DECKS!$D$2:$D$1201,DECKS!$A$2:$A$1201,INDEX(_LEITURA!$P$2:$P$21,15),DECKS!$B$2:$B$1201,$A606))</f>
        <v/>
      </c>
      <c r="Z606" s="19" t="str">
        <f aca="false">IF(OR($A606="",INDEX(_LEITURA!$Q$2:$Q$21,16)=0),"",SUMIFS(DECKS!$D$2:$D$1201,DECKS!$A$2:$A$1201,INDEX(_LEITURA!$P$2:$P$21,16),DECKS!$B$2:$B$1201,$A606))</f>
        <v/>
      </c>
      <c r="AA606" s="19" t="str">
        <f aca="false">IF(OR($A606="",INDEX(_LEITURA!$Q$2:$Q$21,17)=0),"",SUMIFS(DECKS!$D$2:$D$1201,DECKS!$A$2:$A$1201,INDEX(_LEITURA!$P$2:$P$21,17),DECKS!$B$2:$B$1201,$A606))</f>
        <v/>
      </c>
      <c r="AB606" s="19" t="str">
        <f aca="false">IF(OR($A606="",INDEX(_LEITURA!$Q$2:$Q$21,18)=0),"",SUMIFS(DECKS!$D$2:$D$1201,DECKS!$A$2:$A$1201,INDEX(_LEITURA!$P$2:$P$21,18),DECKS!$B$2:$B$1201,$A606))</f>
        <v/>
      </c>
      <c r="AC606" s="19" t="str">
        <f aca="false">IF(OR($A606="",INDEX(_LEITURA!$Q$2:$Q$21,19)=0),"",SUMIFS(DECKS!$D$2:$D$1201,DECKS!$A$2:$A$1201,INDEX(_LEITURA!$P$2:$P$21,19),DECKS!$B$2:$B$1201,$A606))</f>
        <v/>
      </c>
      <c r="AD606" s="19" t="str">
        <f aca="false">IF(OR($A606="",INDEX(_LEITURA!$Q$2:$Q$21,20)=0),"",SUMIFS(DECKS!$D$2:$D$1201,DECKS!$A$2:$A$1201,INDEX(_LEITURA!$P$2:$P$21,20),DECKS!$B$2:$B$1201,$A606))</f>
        <v/>
      </c>
      <c r="AE606" s="16" t="str">
        <f aca="false">IF(N(E606)&gt;0,MAX(AE$1:AE605)+1,"")</f>
        <v/>
      </c>
      <c r="AF606" s="11" t="str">
        <f aca="false">IF(A606="","",IFERROR(LEFT(A606,FIND("-",A606)-1),A606))</f>
        <v/>
      </c>
      <c r="AG606" s="11" t="str">
        <f aca="false">IF(AF606="","",IF(ISNUMBER(--MID(AF606,1,1)),0,IF(ISNUMBER(--MID(AF606,2,1)),1,IF(ISNUMBER(--MID(AF606,3,1)),2,IF(ISNUMBER(--MID(AF606,4,1)),3,MIN(LEN(AF606),4))))))</f>
        <v/>
      </c>
      <c r="AH606" s="11" t="str">
        <f aca="false">IF(A606="","",LEFT(AF606,AG606)&amp;REPT("0",4-AG606)&amp;RIGHT("000"&amp;IFERROR(VALUE(MID(AF606,AG606+1,9)),0),3)&amp;RIGHT("0000"&amp;IFERROR(VALUE(MID(A606,FIND("-",A606)+1,9)),0),4))</f>
        <v/>
      </c>
      <c r="AI606" s="11" t="str">
        <f aca="false">IF(OR(A606="",N(E606)&lt;=0),"",IF('FALTAS GERAL'!$M$1="Código","K"&amp;AH606&amp;RIGHT("00000"&amp;ROW(),5),IF('FALTAS GERAL'!$M$1="Nome","K"&amp;UPPER(SUBSTITUTE(SUBSTITUTE(SUBSTITUTE(B606,"*",""),"?",""),"~",""))&amp;"0"&amp;AH606&amp;RIGHT("00000"&amp;ROW(),5),IF('FALTAS GERAL'!$M$1="Falta (maior primeiro)","K"&amp;RIGHT("0000"&amp;(9999-E606),4)&amp;AH606&amp;RIGHT("00000"&amp;ROW(),5),IF('FALTAS GERAL'!$M$1="Nº de decks (maior primeiro)","K"&amp;RIGHT("00"&amp;(99-N(G606)),2)&amp;AH606&amp;RIGHT("00000"&amp;ROW(),5),"K"&amp;RIGHT("00000"&amp;ROW(),5))))))</f>
        <v/>
      </c>
      <c r="AJ606" s="11" t="str">
        <f aca="false">IF(AI606="","",COUNTIFS($AI$2:$AI$801,"&lt;"&amp;AI606,$E$2:$E$801,"&gt;0")+1)</f>
        <v/>
      </c>
      <c r="AK606" s="11" t="str">
        <f aca="false">IF(OR(A606="",N(E606)&lt;=0),"",COUNTIFS($AH$2:$AH$801,"&lt;"&amp;AH606,$E$2:$E$801,"&gt;0")+COUNTIFS($AH$2:AH606,AH606,$E$2:E606,"&gt;0"))</f>
        <v/>
      </c>
    </row>
    <row r="607" customFormat="false" ht="15" hidden="false" customHeight="false" outlineLevel="0" collapsed="false">
      <c r="A607" s="11" t="str">
        <f aca="false">IF(INVENTÁRIO!A607="","",INVENTÁRIO!A607)</f>
        <v/>
      </c>
      <c r="B607" s="11" t="str">
        <f aca="false">IF(A607="","",INVENTÁRIO!B607)</f>
        <v/>
      </c>
      <c r="C607" s="16" t="str">
        <f aca="false">IF(A607="","",INVENTÁRIO!C607)</f>
        <v/>
      </c>
      <c r="D607" s="14" t="str">
        <f aca="false">IF(A607="","",MAX(K607:AD607))</f>
        <v/>
      </c>
      <c r="E607" s="14" t="str">
        <f aca="false">IF(A607="","",MAX(0,D607-C607))</f>
        <v/>
      </c>
      <c r="F607" s="16" t="str">
        <f aca="false">IF(A607="","",IF(D607=0,"Fora dos decks",IF(E607=0,"Completo","Falta")))</f>
        <v/>
      </c>
      <c r="G607" s="16" t="str">
        <f aca="false">IF(A607="","",COUNTIF(K607:AD607,"&gt;0"))</f>
        <v/>
      </c>
      <c r="H607" s="16" t="str">
        <f aca="false">IF(A607="","",IF(G607&gt;1,"Sim",""))</f>
        <v/>
      </c>
      <c r="I607" s="18" t="str">
        <f aca="false">IF(A607="","",SUMIFS(DECKS!$D$2:$D$1201,DECKS!$B$2:$B$1201,A607))</f>
        <v/>
      </c>
      <c r="J607" s="18" t="str">
        <f aca="false">IF(A607="","",MAX(0,I607-C607))</f>
        <v/>
      </c>
      <c r="K607" s="19" t="str">
        <f aca="false">IF(OR($A607="",INDEX(_LEITURA!$Q$2:$Q$21,1)=0),"",SUMIFS(DECKS!$D$2:$D$1201,DECKS!$A$2:$A$1201,INDEX(_LEITURA!$P$2:$P$21,1),DECKS!$B$2:$B$1201,$A607))</f>
        <v/>
      </c>
      <c r="L607" s="19" t="str">
        <f aca="false">IF(OR($A607="",INDEX(_LEITURA!$Q$2:$Q$21,2)=0),"",SUMIFS(DECKS!$D$2:$D$1201,DECKS!$A$2:$A$1201,INDEX(_LEITURA!$P$2:$P$21,2),DECKS!$B$2:$B$1201,$A607))</f>
        <v/>
      </c>
      <c r="M607" s="19" t="str">
        <f aca="false">IF(OR($A607="",INDEX(_LEITURA!$Q$2:$Q$21,3)=0),"",SUMIFS(DECKS!$D$2:$D$1201,DECKS!$A$2:$A$1201,INDEX(_LEITURA!$P$2:$P$21,3),DECKS!$B$2:$B$1201,$A607))</f>
        <v/>
      </c>
      <c r="N607" s="19" t="str">
        <f aca="false">IF(OR($A607="",INDEX(_LEITURA!$Q$2:$Q$21,4)=0),"",SUMIFS(DECKS!$D$2:$D$1201,DECKS!$A$2:$A$1201,INDEX(_LEITURA!$P$2:$P$21,4),DECKS!$B$2:$B$1201,$A607))</f>
        <v/>
      </c>
      <c r="O607" s="19" t="str">
        <f aca="false">IF(OR($A607="",INDEX(_LEITURA!$Q$2:$Q$21,5)=0),"",SUMIFS(DECKS!$D$2:$D$1201,DECKS!$A$2:$A$1201,INDEX(_LEITURA!$P$2:$P$21,5),DECKS!$B$2:$B$1201,$A607))</f>
        <v/>
      </c>
      <c r="P607" s="19" t="str">
        <f aca="false">IF(OR($A607="",INDEX(_LEITURA!$Q$2:$Q$21,6)=0),"",SUMIFS(DECKS!$D$2:$D$1201,DECKS!$A$2:$A$1201,INDEX(_LEITURA!$P$2:$P$21,6),DECKS!$B$2:$B$1201,$A607))</f>
        <v/>
      </c>
      <c r="Q607" s="19" t="str">
        <f aca="false">IF(OR($A607="",INDEX(_LEITURA!$Q$2:$Q$21,7)=0),"",SUMIFS(DECKS!$D$2:$D$1201,DECKS!$A$2:$A$1201,INDEX(_LEITURA!$P$2:$P$21,7),DECKS!$B$2:$B$1201,$A607))</f>
        <v/>
      </c>
      <c r="R607" s="19" t="str">
        <f aca="false">IF(OR($A607="",INDEX(_LEITURA!$Q$2:$Q$21,8)=0),"",SUMIFS(DECKS!$D$2:$D$1201,DECKS!$A$2:$A$1201,INDEX(_LEITURA!$P$2:$P$21,8),DECKS!$B$2:$B$1201,$A607))</f>
        <v/>
      </c>
      <c r="S607" s="19" t="str">
        <f aca="false">IF(OR($A607="",INDEX(_LEITURA!$Q$2:$Q$21,9)=0),"",SUMIFS(DECKS!$D$2:$D$1201,DECKS!$A$2:$A$1201,INDEX(_LEITURA!$P$2:$P$21,9),DECKS!$B$2:$B$1201,$A607))</f>
        <v/>
      </c>
      <c r="T607" s="19" t="str">
        <f aca="false">IF(OR($A607="",INDEX(_LEITURA!$Q$2:$Q$21,10)=0),"",SUMIFS(DECKS!$D$2:$D$1201,DECKS!$A$2:$A$1201,INDEX(_LEITURA!$P$2:$P$21,10),DECKS!$B$2:$B$1201,$A607))</f>
        <v/>
      </c>
      <c r="U607" s="19" t="str">
        <f aca="false">IF(OR($A607="",INDEX(_LEITURA!$Q$2:$Q$21,11)=0),"",SUMIFS(DECKS!$D$2:$D$1201,DECKS!$A$2:$A$1201,INDEX(_LEITURA!$P$2:$P$21,11),DECKS!$B$2:$B$1201,$A607))</f>
        <v/>
      </c>
      <c r="V607" s="19" t="str">
        <f aca="false">IF(OR($A607="",INDEX(_LEITURA!$Q$2:$Q$21,12)=0),"",SUMIFS(DECKS!$D$2:$D$1201,DECKS!$A$2:$A$1201,INDEX(_LEITURA!$P$2:$P$21,12),DECKS!$B$2:$B$1201,$A607))</f>
        <v/>
      </c>
      <c r="W607" s="19" t="str">
        <f aca="false">IF(OR($A607="",INDEX(_LEITURA!$Q$2:$Q$21,13)=0),"",SUMIFS(DECKS!$D$2:$D$1201,DECKS!$A$2:$A$1201,INDEX(_LEITURA!$P$2:$P$21,13),DECKS!$B$2:$B$1201,$A607))</f>
        <v/>
      </c>
      <c r="X607" s="19" t="str">
        <f aca="false">IF(OR($A607="",INDEX(_LEITURA!$Q$2:$Q$21,14)=0),"",SUMIFS(DECKS!$D$2:$D$1201,DECKS!$A$2:$A$1201,INDEX(_LEITURA!$P$2:$P$21,14),DECKS!$B$2:$B$1201,$A607))</f>
        <v/>
      </c>
      <c r="Y607" s="19" t="str">
        <f aca="false">IF(OR($A607="",INDEX(_LEITURA!$Q$2:$Q$21,15)=0),"",SUMIFS(DECKS!$D$2:$D$1201,DECKS!$A$2:$A$1201,INDEX(_LEITURA!$P$2:$P$21,15),DECKS!$B$2:$B$1201,$A607))</f>
        <v/>
      </c>
      <c r="Z607" s="19" t="str">
        <f aca="false">IF(OR($A607="",INDEX(_LEITURA!$Q$2:$Q$21,16)=0),"",SUMIFS(DECKS!$D$2:$D$1201,DECKS!$A$2:$A$1201,INDEX(_LEITURA!$P$2:$P$21,16),DECKS!$B$2:$B$1201,$A607))</f>
        <v/>
      </c>
      <c r="AA607" s="19" t="str">
        <f aca="false">IF(OR($A607="",INDEX(_LEITURA!$Q$2:$Q$21,17)=0),"",SUMIFS(DECKS!$D$2:$D$1201,DECKS!$A$2:$A$1201,INDEX(_LEITURA!$P$2:$P$21,17),DECKS!$B$2:$B$1201,$A607))</f>
        <v/>
      </c>
      <c r="AB607" s="19" t="str">
        <f aca="false">IF(OR($A607="",INDEX(_LEITURA!$Q$2:$Q$21,18)=0),"",SUMIFS(DECKS!$D$2:$D$1201,DECKS!$A$2:$A$1201,INDEX(_LEITURA!$P$2:$P$21,18),DECKS!$B$2:$B$1201,$A607))</f>
        <v/>
      </c>
      <c r="AC607" s="19" t="str">
        <f aca="false">IF(OR($A607="",INDEX(_LEITURA!$Q$2:$Q$21,19)=0),"",SUMIFS(DECKS!$D$2:$D$1201,DECKS!$A$2:$A$1201,INDEX(_LEITURA!$P$2:$P$21,19),DECKS!$B$2:$B$1201,$A607))</f>
        <v/>
      </c>
      <c r="AD607" s="19" t="str">
        <f aca="false">IF(OR($A607="",INDEX(_LEITURA!$Q$2:$Q$21,20)=0),"",SUMIFS(DECKS!$D$2:$D$1201,DECKS!$A$2:$A$1201,INDEX(_LEITURA!$P$2:$P$21,20),DECKS!$B$2:$B$1201,$A607))</f>
        <v/>
      </c>
      <c r="AE607" s="16" t="str">
        <f aca="false">IF(N(E607)&gt;0,MAX(AE$1:AE606)+1,"")</f>
        <v/>
      </c>
      <c r="AF607" s="11" t="str">
        <f aca="false">IF(A607="","",IFERROR(LEFT(A607,FIND("-",A607)-1),A607))</f>
        <v/>
      </c>
      <c r="AG607" s="11" t="str">
        <f aca="false">IF(AF607="","",IF(ISNUMBER(--MID(AF607,1,1)),0,IF(ISNUMBER(--MID(AF607,2,1)),1,IF(ISNUMBER(--MID(AF607,3,1)),2,IF(ISNUMBER(--MID(AF607,4,1)),3,MIN(LEN(AF607),4))))))</f>
        <v/>
      </c>
      <c r="AH607" s="11" t="str">
        <f aca="false">IF(A607="","",LEFT(AF607,AG607)&amp;REPT("0",4-AG607)&amp;RIGHT("000"&amp;IFERROR(VALUE(MID(AF607,AG607+1,9)),0),3)&amp;RIGHT("0000"&amp;IFERROR(VALUE(MID(A607,FIND("-",A607)+1,9)),0),4))</f>
        <v/>
      </c>
      <c r="AI607" s="11" t="str">
        <f aca="false">IF(OR(A607="",N(E607)&lt;=0),"",IF('FALTAS GERAL'!$M$1="Código","K"&amp;AH607&amp;RIGHT("00000"&amp;ROW(),5),IF('FALTAS GERAL'!$M$1="Nome","K"&amp;UPPER(SUBSTITUTE(SUBSTITUTE(SUBSTITUTE(B607,"*",""),"?",""),"~",""))&amp;"0"&amp;AH607&amp;RIGHT("00000"&amp;ROW(),5),IF('FALTAS GERAL'!$M$1="Falta (maior primeiro)","K"&amp;RIGHT("0000"&amp;(9999-E607),4)&amp;AH607&amp;RIGHT("00000"&amp;ROW(),5),IF('FALTAS GERAL'!$M$1="Nº de decks (maior primeiro)","K"&amp;RIGHT("00"&amp;(99-N(G607)),2)&amp;AH607&amp;RIGHT("00000"&amp;ROW(),5),"K"&amp;RIGHT("00000"&amp;ROW(),5))))))</f>
        <v/>
      </c>
      <c r="AJ607" s="11" t="str">
        <f aca="false">IF(AI607="","",COUNTIFS($AI$2:$AI$801,"&lt;"&amp;AI607,$E$2:$E$801,"&gt;0")+1)</f>
        <v/>
      </c>
      <c r="AK607" s="11" t="str">
        <f aca="false">IF(OR(A607="",N(E607)&lt;=0),"",COUNTIFS($AH$2:$AH$801,"&lt;"&amp;AH607,$E$2:$E$801,"&gt;0")+COUNTIFS($AH$2:AH607,AH607,$E$2:E607,"&gt;0"))</f>
        <v/>
      </c>
    </row>
    <row r="608" customFormat="false" ht="15" hidden="false" customHeight="false" outlineLevel="0" collapsed="false">
      <c r="A608" s="11" t="str">
        <f aca="false">IF(INVENTÁRIO!A608="","",INVENTÁRIO!A608)</f>
        <v/>
      </c>
      <c r="B608" s="11" t="str">
        <f aca="false">IF(A608="","",INVENTÁRIO!B608)</f>
        <v/>
      </c>
      <c r="C608" s="16" t="str">
        <f aca="false">IF(A608="","",INVENTÁRIO!C608)</f>
        <v/>
      </c>
      <c r="D608" s="14" t="str">
        <f aca="false">IF(A608="","",MAX(K608:AD608))</f>
        <v/>
      </c>
      <c r="E608" s="14" t="str">
        <f aca="false">IF(A608="","",MAX(0,D608-C608))</f>
        <v/>
      </c>
      <c r="F608" s="16" t="str">
        <f aca="false">IF(A608="","",IF(D608=0,"Fora dos decks",IF(E608=0,"Completo","Falta")))</f>
        <v/>
      </c>
      <c r="G608" s="16" t="str">
        <f aca="false">IF(A608="","",COUNTIF(K608:AD608,"&gt;0"))</f>
        <v/>
      </c>
      <c r="H608" s="16" t="str">
        <f aca="false">IF(A608="","",IF(G608&gt;1,"Sim",""))</f>
        <v/>
      </c>
      <c r="I608" s="18" t="str">
        <f aca="false">IF(A608="","",SUMIFS(DECKS!$D$2:$D$1201,DECKS!$B$2:$B$1201,A608))</f>
        <v/>
      </c>
      <c r="J608" s="18" t="str">
        <f aca="false">IF(A608="","",MAX(0,I608-C608))</f>
        <v/>
      </c>
      <c r="K608" s="19" t="str">
        <f aca="false">IF(OR($A608="",INDEX(_LEITURA!$Q$2:$Q$21,1)=0),"",SUMIFS(DECKS!$D$2:$D$1201,DECKS!$A$2:$A$1201,INDEX(_LEITURA!$P$2:$P$21,1),DECKS!$B$2:$B$1201,$A608))</f>
        <v/>
      </c>
      <c r="L608" s="19" t="str">
        <f aca="false">IF(OR($A608="",INDEX(_LEITURA!$Q$2:$Q$21,2)=0),"",SUMIFS(DECKS!$D$2:$D$1201,DECKS!$A$2:$A$1201,INDEX(_LEITURA!$P$2:$P$21,2),DECKS!$B$2:$B$1201,$A608))</f>
        <v/>
      </c>
      <c r="M608" s="19" t="str">
        <f aca="false">IF(OR($A608="",INDEX(_LEITURA!$Q$2:$Q$21,3)=0),"",SUMIFS(DECKS!$D$2:$D$1201,DECKS!$A$2:$A$1201,INDEX(_LEITURA!$P$2:$P$21,3),DECKS!$B$2:$B$1201,$A608))</f>
        <v/>
      </c>
      <c r="N608" s="19" t="str">
        <f aca="false">IF(OR($A608="",INDEX(_LEITURA!$Q$2:$Q$21,4)=0),"",SUMIFS(DECKS!$D$2:$D$1201,DECKS!$A$2:$A$1201,INDEX(_LEITURA!$P$2:$P$21,4),DECKS!$B$2:$B$1201,$A608))</f>
        <v/>
      </c>
      <c r="O608" s="19" t="str">
        <f aca="false">IF(OR($A608="",INDEX(_LEITURA!$Q$2:$Q$21,5)=0),"",SUMIFS(DECKS!$D$2:$D$1201,DECKS!$A$2:$A$1201,INDEX(_LEITURA!$P$2:$P$21,5),DECKS!$B$2:$B$1201,$A608))</f>
        <v/>
      </c>
      <c r="P608" s="19" t="str">
        <f aca="false">IF(OR($A608="",INDEX(_LEITURA!$Q$2:$Q$21,6)=0),"",SUMIFS(DECKS!$D$2:$D$1201,DECKS!$A$2:$A$1201,INDEX(_LEITURA!$P$2:$P$21,6),DECKS!$B$2:$B$1201,$A608))</f>
        <v/>
      </c>
      <c r="Q608" s="19" t="str">
        <f aca="false">IF(OR($A608="",INDEX(_LEITURA!$Q$2:$Q$21,7)=0),"",SUMIFS(DECKS!$D$2:$D$1201,DECKS!$A$2:$A$1201,INDEX(_LEITURA!$P$2:$P$21,7),DECKS!$B$2:$B$1201,$A608))</f>
        <v/>
      </c>
      <c r="R608" s="19" t="str">
        <f aca="false">IF(OR($A608="",INDEX(_LEITURA!$Q$2:$Q$21,8)=0),"",SUMIFS(DECKS!$D$2:$D$1201,DECKS!$A$2:$A$1201,INDEX(_LEITURA!$P$2:$P$21,8),DECKS!$B$2:$B$1201,$A608))</f>
        <v/>
      </c>
      <c r="S608" s="19" t="str">
        <f aca="false">IF(OR($A608="",INDEX(_LEITURA!$Q$2:$Q$21,9)=0),"",SUMIFS(DECKS!$D$2:$D$1201,DECKS!$A$2:$A$1201,INDEX(_LEITURA!$P$2:$P$21,9),DECKS!$B$2:$B$1201,$A608))</f>
        <v/>
      </c>
      <c r="T608" s="19" t="str">
        <f aca="false">IF(OR($A608="",INDEX(_LEITURA!$Q$2:$Q$21,10)=0),"",SUMIFS(DECKS!$D$2:$D$1201,DECKS!$A$2:$A$1201,INDEX(_LEITURA!$P$2:$P$21,10),DECKS!$B$2:$B$1201,$A608))</f>
        <v/>
      </c>
      <c r="U608" s="19" t="str">
        <f aca="false">IF(OR($A608="",INDEX(_LEITURA!$Q$2:$Q$21,11)=0),"",SUMIFS(DECKS!$D$2:$D$1201,DECKS!$A$2:$A$1201,INDEX(_LEITURA!$P$2:$P$21,11),DECKS!$B$2:$B$1201,$A608))</f>
        <v/>
      </c>
      <c r="V608" s="19" t="str">
        <f aca="false">IF(OR($A608="",INDEX(_LEITURA!$Q$2:$Q$21,12)=0),"",SUMIFS(DECKS!$D$2:$D$1201,DECKS!$A$2:$A$1201,INDEX(_LEITURA!$P$2:$P$21,12),DECKS!$B$2:$B$1201,$A608))</f>
        <v/>
      </c>
      <c r="W608" s="19" t="str">
        <f aca="false">IF(OR($A608="",INDEX(_LEITURA!$Q$2:$Q$21,13)=0),"",SUMIFS(DECKS!$D$2:$D$1201,DECKS!$A$2:$A$1201,INDEX(_LEITURA!$P$2:$P$21,13),DECKS!$B$2:$B$1201,$A608))</f>
        <v/>
      </c>
      <c r="X608" s="19" t="str">
        <f aca="false">IF(OR($A608="",INDEX(_LEITURA!$Q$2:$Q$21,14)=0),"",SUMIFS(DECKS!$D$2:$D$1201,DECKS!$A$2:$A$1201,INDEX(_LEITURA!$P$2:$P$21,14),DECKS!$B$2:$B$1201,$A608))</f>
        <v/>
      </c>
      <c r="Y608" s="19" t="str">
        <f aca="false">IF(OR($A608="",INDEX(_LEITURA!$Q$2:$Q$21,15)=0),"",SUMIFS(DECKS!$D$2:$D$1201,DECKS!$A$2:$A$1201,INDEX(_LEITURA!$P$2:$P$21,15),DECKS!$B$2:$B$1201,$A608))</f>
        <v/>
      </c>
      <c r="Z608" s="19" t="str">
        <f aca="false">IF(OR($A608="",INDEX(_LEITURA!$Q$2:$Q$21,16)=0),"",SUMIFS(DECKS!$D$2:$D$1201,DECKS!$A$2:$A$1201,INDEX(_LEITURA!$P$2:$P$21,16),DECKS!$B$2:$B$1201,$A608))</f>
        <v/>
      </c>
      <c r="AA608" s="19" t="str">
        <f aca="false">IF(OR($A608="",INDEX(_LEITURA!$Q$2:$Q$21,17)=0),"",SUMIFS(DECKS!$D$2:$D$1201,DECKS!$A$2:$A$1201,INDEX(_LEITURA!$P$2:$P$21,17),DECKS!$B$2:$B$1201,$A608))</f>
        <v/>
      </c>
      <c r="AB608" s="19" t="str">
        <f aca="false">IF(OR($A608="",INDEX(_LEITURA!$Q$2:$Q$21,18)=0),"",SUMIFS(DECKS!$D$2:$D$1201,DECKS!$A$2:$A$1201,INDEX(_LEITURA!$P$2:$P$21,18),DECKS!$B$2:$B$1201,$A608))</f>
        <v/>
      </c>
      <c r="AC608" s="19" t="str">
        <f aca="false">IF(OR($A608="",INDEX(_LEITURA!$Q$2:$Q$21,19)=0),"",SUMIFS(DECKS!$D$2:$D$1201,DECKS!$A$2:$A$1201,INDEX(_LEITURA!$P$2:$P$21,19),DECKS!$B$2:$B$1201,$A608))</f>
        <v/>
      </c>
      <c r="AD608" s="19" t="str">
        <f aca="false">IF(OR($A608="",INDEX(_LEITURA!$Q$2:$Q$21,20)=0),"",SUMIFS(DECKS!$D$2:$D$1201,DECKS!$A$2:$A$1201,INDEX(_LEITURA!$P$2:$P$21,20),DECKS!$B$2:$B$1201,$A608))</f>
        <v/>
      </c>
      <c r="AE608" s="16" t="str">
        <f aca="false">IF(N(E608)&gt;0,MAX(AE$1:AE607)+1,"")</f>
        <v/>
      </c>
      <c r="AF608" s="11" t="str">
        <f aca="false">IF(A608="","",IFERROR(LEFT(A608,FIND("-",A608)-1),A608))</f>
        <v/>
      </c>
      <c r="AG608" s="11" t="str">
        <f aca="false">IF(AF608="","",IF(ISNUMBER(--MID(AF608,1,1)),0,IF(ISNUMBER(--MID(AF608,2,1)),1,IF(ISNUMBER(--MID(AF608,3,1)),2,IF(ISNUMBER(--MID(AF608,4,1)),3,MIN(LEN(AF608),4))))))</f>
        <v/>
      </c>
      <c r="AH608" s="11" t="str">
        <f aca="false">IF(A608="","",LEFT(AF608,AG608)&amp;REPT("0",4-AG608)&amp;RIGHT("000"&amp;IFERROR(VALUE(MID(AF608,AG608+1,9)),0),3)&amp;RIGHT("0000"&amp;IFERROR(VALUE(MID(A608,FIND("-",A608)+1,9)),0),4))</f>
        <v/>
      </c>
      <c r="AI608" s="11" t="str">
        <f aca="false">IF(OR(A608="",N(E608)&lt;=0),"",IF('FALTAS GERAL'!$M$1="Código","K"&amp;AH608&amp;RIGHT("00000"&amp;ROW(),5),IF('FALTAS GERAL'!$M$1="Nome","K"&amp;UPPER(SUBSTITUTE(SUBSTITUTE(SUBSTITUTE(B608,"*",""),"?",""),"~",""))&amp;"0"&amp;AH608&amp;RIGHT("00000"&amp;ROW(),5),IF('FALTAS GERAL'!$M$1="Falta (maior primeiro)","K"&amp;RIGHT("0000"&amp;(9999-E608),4)&amp;AH608&amp;RIGHT("00000"&amp;ROW(),5),IF('FALTAS GERAL'!$M$1="Nº de decks (maior primeiro)","K"&amp;RIGHT("00"&amp;(99-N(G608)),2)&amp;AH608&amp;RIGHT("00000"&amp;ROW(),5),"K"&amp;RIGHT("00000"&amp;ROW(),5))))))</f>
        <v/>
      </c>
      <c r="AJ608" s="11" t="str">
        <f aca="false">IF(AI608="","",COUNTIFS($AI$2:$AI$801,"&lt;"&amp;AI608,$E$2:$E$801,"&gt;0")+1)</f>
        <v/>
      </c>
      <c r="AK608" s="11" t="str">
        <f aca="false">IF(OR(A608="",N(E608)&lt;=0),"",COUNTIFS($AH$2:$AH$801,"&lt;"&amp;AH608,$E$2:$E$801,"&gt;0")+COUNTIFS($AH$2:AH608,AH608,$E$2:E608,"&gt;0"))</f>
        <v/>
      </c>
    </row>
    <row r="609" customFormat="false" ht="15" hidden="false" customHeight="false" outlineLevel="0" collapsed="false">
      <c r="A609" s="11" t="str">
        <f aca="false">IF(INVENTÁRIO!A609="","",INVENTÁRIO!A609)</f>
        <v/>
      </c>
      <c r="B609" s="11" t="str">
        <f aca="false">IF(A609="","",INVENTÁRIO!B609)</f>
        <v/>
      </c>
      <c r="C609" s="16" t="str">
        <f aca="false">IF(A609="","",INVENTÁRIO!C609)</f>
        <v/>
      </c>
      <c r="D609" s="14" t="str">
        <f aca="false">IF(A609="","",MAX(K609:AD609))</f>
        <v/>
      </c>
      <c r="E609" s="14" t="str">
        <f aca="false">IF(A609="","",MAX(0,D609-C609))</f>
        <v/>
      </c>
      <c r="F609" s="16" t="str">
        <f aca="false">IF(A609="","",IF(D609=0,"Fora dos decks",IF(E609=0,"Completo","Falta")))</f>
        <v/>
      </c>
      <c r="G609" s="16" t="str">
        <f aca="false">IF(A609="","",COUNTIF(K609:AD609,"&gt;0"))</f>
        <v/>
      </c>
      <c r="H609" s="16" t="str">
        <f aca="false">IF(A609="","",IF(G609&gt;1,"Sim",""))</f>
        <v/>
      </c>
      <c r="I609" s="18" t="str">
        <f aca="false">IF(A609="","",SUMIFS(DECKS!$D$2:$D$1201,DECKS!$B$2:$B$1201,A609))</f>
        <v/>
      </c>
      <c r="J609" s="18" t="str">
        <f aca="false">IF(A609="","",MAX(0,I609-C609))</f>
        <v/>
      </c>
      <c r="K609" s="19" t="str">
        <f aca="false">IF(OR($A609="",INDEX(_LEITURA!$Q$2:$Q$21,1)=0),"",SUMIFS(DECKS!$D$2:$D$1201,DECKS!$A$2:$A$1201,INDEX(_LEITURA!$P$2:$P$21,1),DECKS!$B$2:$B$1201,$A609))</f>
        <v/>
      </c>
      <c r="L609" s="19" t="str">
        <f aca="false">IF(OR($A609="",INDEX(_LEITURA!$Q$2:$Q$21,2)=0),"",SUMIFS(DECKS!$D$2:$D$1201,DECKS!$A$2:$A$1201,INDEX(_LEITURA!$P$2:$P$21,2),DECKS!$B$2:$B$1201,$A609))</f>
        <v/>
      </c>
      <c r="M609" s="19" t="str">
        <f aca="false">IF(OR($A609="",INDEX(_LEITURA!$Q$2:$Q$21,3)=0),"",SUMIFS(DECKS!$D$2:$D$1201,DECKS!$A$2:$A$1201,INDEX(_LEITURA!$P$2:$P$21,3),DECKS!$B$2:$B$1201,$A609))</f>
        <v/>
      </c>
      <c r="N609" s="19" t="str">
        <f aca="false">IF(OR($A609="",INDEX(_LEITURA!$Q$2:$Q$21,4)=0),"",SUMIFS(DECKS!$D$2:$D$1201,DECKS!$A$2:$A$1201,INDEX(_LEITURA!$P$2:$P$21,4),DECKS!$B$2:$B$1201,$A609))</f>
        <v/>
      </c>
      <c r="O609" s="19" t="str">
        <f aca="false">IF(OR($A609="",INDEX(_LEITURA!$Q$2:$Q$21,5)=0),"",SUMIFS(DECKS!$D$2:$D$1201,DECKS!$A$2:$A$1201,INDEX(_LEITURA!$P$2:$P$21,5),DECKS!$B$2:$B$1201,$A609))</f>
        <v/>
      </c>
      <c r="P609" s="19" t="str">
        <f aca="false">IF(OR($A609="",INDEX(_LEITURA!$Q$2:$Q$21,6)=0),"",SUMIFS(DECKS!$D$2:$D$1201,DECKS!$A$2:$A$1201,INDEX(_LEITURA!$P$2:$P$21,6),DECKS!$B$2:$B$1201,$A609))</f>
        <v/>
      </c>
      <c r="Q609" s="19" t="str">
        <f aca="false">IF(OR($A609="",INDEX(_LEITURA!$Q$2:$Q$21,7)=0),"",SUMIFS(DECKS!$D$2:$D$1201,DECKS!$A$2:$A$1201,INDEX(_LEITURA!$P$2:$P$21,7),DECKS!$B$2:$B$1201,$A609))</f>
        <v/>
      </c>
      <c r="R609" s="19" t="str">
        <f aca="false">IF(OR($A609="",INDEX(_LEITURA!$Q$2:$Q$21,8)=0),"",SUMIFS(DECKS!$D$2:$D$1201,DECKS!$A$2:$A$1201,INDEX(_LEITURA!$P$2:$P$21,8),DECKS!$B$2:$B$1201,$A609))</f>
        <v/>
      </c>
      <c r="S609" s="19" t="str">
        <f aca="false">IF(OR($A609="",INDEX(_LEITURA!$Q$2:$Q$21,9)=0),"",SUMIFS(DECKS!$D$2:$D$1201,DECKS!$A$2:$A$1201,INDEX(_LEITURA!$P$2:$P$21,9),DECKS!$B$2:$B$1201,$A609))</f>
        <v/>
      </c>
      <c r="T609" s="19" t="str">
        <f aca="false">IF(OR($A609="",INDEX(_LEITURA!$Q$2:$Q$21,10)=0),"",SUMIFS(DECKS!$D$2:$D$1201,DECKS!$A$2:$A$1201,INDEX(_LEITURA!$P$2:$P$21,10),DECKS!$B$2:$B$1201,$A609))</f>
        <v/>
      </c>
      <c r="U609" s="19" t="str">
        <f aca="false">IF(OR($A609="",INDEX(_LEITURA!$Q$2:$Q$21,11)=0),"",SUMIFS(DECKS!$D$2:$D$1201,DECKS!$A$2:$A$1201,INDEX(_LEITURA!$P$2:$P$21,11),DECKS!$B$2:$B$1201,$A609))</f>
        <v/>
      </c>
      <c r="V609" s="19" t="str">
        <f aca="false">IF(OR($A609="",INDEX(_LEITURA!$Q$2:$Q$21,12)=0),"",SUMIFS(DECKS!$D$2:$D$1201,DECKS!$A$2:$A$1201,INDEX(_LEITURA!$P$2:$P$21,12),DECKS!$B$2:$B$1201,$A609))</f>
        <v/>
      </c>
      <c r="W609" s="19" t="str">
        <f aca="false">IF(OR($A609="",INDEX(_LEITURA!$Q$2:$Q$21,13)=0),"",SUMIFS(DECKS!$D$2:$D$1201,DECKS!$A$2:$A$1201,INDEX(_LEITURA!$P$2:$P$21,13),DECKS!$B$2:$B$1201,$A609))</f>
        <v/>
      </c>
      <c r="X609" s="19" t="str">
        <f aca="false">IF(OR($A609="",INDEX(_LEITURA!$Q$2:$Q$21,14)=0),"",SUMIFS(DECKS!$D$2:$D$1201,DECKS!$A$2:$A$1201,INDEX(_LEITURA!$P$2:$P$21,14),DECKS!$B$2:$B$1201,$A609))</f>
        <v/>
      </c>
      <c r="Y609" s="19" t="str">
        <f aca="false">IF(OR($A609="",INDEX(_LEITURA!$Q$2:$Q$21,15)=0),"",SUMIFS(DECKS!$D$2:$D$1201,DECKS!$A$2:$A$1201,INDEX(_LEITURA!$P$2:$P$21,15),DECKS!$B$2:$B$1201,$A609))</f>
        <v/>
      </c>
      <c r="Z609" s="19" t="str">
        <f aca="false">IF(OR($A609="",INDEX(_LEITURA!$Q$2:$Q$21,16)=0),"",SUMIFS(DECKS!$D$2:$D$1201,DECKS!$A$2:$A$1201,INDEX(_LEITURA!$P$2:$P$21,16),DECKS!$B$2:$B$1201,$A609))</f>
        <v/>
      </c>
      <c r="AA609" s="19" t="str">
        <f aca="false">IF(OR($A609="",INDEX(_LEITURA!$Q$2:$Q$21,17)=0),"",SUMIFS(DECKS!$D$2:$D$1201,DECKS!$A$2:$A$1201,INDEX(_LEITURA!$P$2:$P$21,17),DECKS!$B$2:$B$1201,$A609))</f>
        <v/>
      </c>
      <c r="AB609" s="19" t="str">
        <f aca="false">IF(OR($A609="",INDEX(_LEITURA!$Q$2:$Q$21,18)=0),"",SUMIFS(DECKS!$D$2:$D$1201,DECKS!$A$2:$A$1201,INDEX(_LEITURA!$P$2:$P$21,18),DECKS!$B$2:$B$1201,$A609))</f>
        <v/>
      </c>
      <c r="AC609" s="19" t="str">
        <f aca="false">IF(OR($A609="",INDEX(_LEITURA!$Q$2:$Q$21,19)=0),"",SUMIFS(DECKS!$D$2:$D$1201,DECKS!$A$2:$A$1201,INDEX(_LEITURA!$P$2:$P$21,19),DECKS!$B$2:$B$1201,$A609))</f>
        <v/>
      </c>
      <c r="AD609" s="19" t="str">
        <f aca="false">IF(OR($A609="",INDEX(_LEITURA!$Q$2:$Q$21,20)=0),"",SUMIFS(DECKS!$D$2:$D$1201,DECKS!$A$2:$A$1201,INDEX(_LEITURA!$P$2:$P$21,20),DECKS!$B$2:$B$1201,$A609))</f>
        <v/>
      </c>
      <c r="AE609" s="16" t="str">
        <f aca="false">IF(N(E609)&gt;0,MAX(AE$1:AE608)+1,"")</f>
        <v/>
      </c>
      <c r="AF609" s="11" t="str">
        <f aca="false">IF(A609="","",IFERROR(LEFT(A609,FIND("-",A609)-1),A609))</f>
        <v/>
      </c>
      <c r="AG609" s="11" t="str">
        <f aca="false">IF(AF609="","",IF(ISNUMBER(--MID(AF609,1,1)),0,IF(ISNUMBER(--MID(AF609,2,1)),1,IF(ISNUMBER(--MID(AF609,3,1)),2,IF(ISNUMBER(--MID(AF609,4,1)),3,MIN(LEN(AF609),4))))))</f>
        <v/>
      </c>
      <c r="AH609" s="11" t="str">
        <f aca="false">IF(A609="","",LEFT(AF609,AG609)&amp;REPT("0",4-AG609)&amp;RIGHT("000"&amp;IFERROR(VALUE(MID(AF609,AG609+1,9)),0),3)&amp;RIGHT("0000"&amp;IFERROR(VALUE(MID(A609,FIND("-",A609)+1,9)),0),4))</f>
        <v/>
      </c>
      <c r="AI609" s="11" t="str">
        <f aca="false">IF(OR(A609="",N(E609)&lt;=0),"",IF('FALTAS GERAL'!$M$1="Código","K"&amp;AH609&amp;RIGHT("00000"&amp;ROW(),5),IF('FALTAS GERAL'!$M$1="Nome","K"&amp;UPPER(SUBSTITUTE(SUBSTITUTE(SUBSTITUTE(B609,"*",""),"?",""),"~",""))&amp;"0"&amp;AH609&amp;RIGHT("00000"&amp;ROW(),5),IF('FALTAS GERAL'!$M$1="Falta (maior primeiro)","K"&amp;RIGHT("0000"&amp;(9999-E609),4)&amp;AH609&amp;RIGHT("00000"&amp;ROW(),5),IF('FALTAS GERAL'!$M$1="Nº de decks (maior primeiro)","K"&amp;RIGHT("00"&amp;(99-N(G609)),2)&amp;AH609&amp;RIGHT("00000"&amp;ROW(),5),"K"&amp;RIGHT("00000"&amp;ROW(),5))))))</f>
        <v/>
      </c>
      <c r="AJ609" s="11" t="str">
        <f aca="false">IF(AI609="","",COUNTIFS($AI$2:$AI$801,"&lt;"&amp;AI609,$E$2:$E$801,"&gt;0")+1)</f>
        <v/>
      </c>
      <c r="AK609" s="11" t="str">
        <f aca="false">IF(OR(A609="",N(E609)&lt;=0),"",COUNTIFS($AH$2:$AH$801,"&lt;"&amp;AH609,$E$2:$E$801,"&gt;0")+COUNTIFS($AH$2:AH609,AH609,$E$2:E609,"&gt;0"))</f>
        <v/>
      </c>
    </row>
    <row r="610" customFormat="false" ht="15" hidden="false" customHeight="false" outlineLevel="0" collapsed="false">
      <c r="A610" s="11" t="str">
        <f aca="false">IF(INVENTÁRIO!A610="","",INVENTÁRIO!A610)</f>
        <v/>
      </c>
      <c r="B610" s="11" t="str">
        <f aca="false">IF(A610="","",INVENTÁRIO!B610)</f>
        <v/>
      </c>
      <c r="C610" s="16" t="str">
        <f aca="false">IF(A610="","",INVENTÁRIO!C610)</f>
        <v/>
      </c>
      <c r="D610" s="14" t="str">
        <f aca="false">IF(A610="","",MAX(K610:AD610))</f>
        <v/>
      </c>
      <c r="E610" s="14" t="str">
        <f aca="false">IF(A610="","",MAX(0,D610-C610))</f>
        <v/>
      </c>
      <c r="F610" s="16" t="str">
        <f aca="false">IF(A610="","",IF(D610=0,"Fora dos decks",IF(E610=0,"Completo","Falta")))</f>
        <v/>
      </c>
      <c r="G610" s="16" t="str">
        <f aca="false">IF(A610="","",COUNTIF(K610:AD610,"&gt;0"))</f>
        <v/>
      </c>
      <c r="H610" s="16" t="str">
        <f aca="false">IF(A610="","",IF(G610&gt;1,"Sim",""))</f>
        <v/>
      </c>
      <c r="I610" s="18" t="str">
        <f aca="false">IF(A610="","",SUMIFS(DECKS!$D$2:$D$1201,DECKS!$B$2:$B$1201,A610))</f>
        <v/>
      </c>
      <c r="J610" s="18" t="str">
        <f aca="false">IF(A610="","",MAX(0,I610-C610))</f>
        <v/>
      </c>
      <c r="K610" s="19" t="str">
        <f aca="false">IF(OR($A610="",INDEX(_LEITURA!$Q$2:$Q$21,1)=0),"",SUMIFS(DECKS!$D$2:$D$1201,DECKS!$A$2:$A$1201,INDEX(_LEITURA!$P$2:$P$21,1),DECKS!$B$2:$B$1201,$A610))</f>
        <v/>
      </c>
      <c r="L610" s="19" t="str">
        <f aca="false">IF(OR($A610="",INDEX(_LEITURA!$Q$2:$Q$21,2)=0),"",SUMIFS(DECKS!$D$2:$D$1201,DECKS!$A$2:$A$1201,INDEX(_LEITURA!$P$2:$P$21,2),DECKS!$B$2:$B$1201,$A610))</f>
        <v/>
      </c>
      <c r="M610" s="19" t="str">
        <f aca="false">IF(OR($A610="",INDEX(_LEITURA!$Q$2:$Q$21,3)=0),"",SUMIFS(DECKS!$D$2:$D$1201,DECKS!$A$2:$A$1201,INDEX(_LEITURA!$P$2:$P$21,3),DECKS!$B$2:$B$1201,$A610))</f>
        <v/>
      </c>
      <c r="N610" s="19" t="str">
        <f aca="false">IF(OR($A610="",INDEX(_LEITURA!$Q$2:$Q$21,4)=0),"",SUMIFS(DECKS!$D$2:$D$1201,DECKS!$A$2:$A$1201,INDEX(_LEITURA!$P$2:$P$21,4),DECKS!$B$2:$B$1201,$A610))</f>
        <v/>
      </c>
      <c r="O610" s="19" t="str">
        <f aca="false">IF(OR($A610="",INDEX(_LEITURA!$Q$2:$Q$21,5)=0),"",SUMIFS(DECKS!$D$2:$D$1201,DECKS!$A$2:$A$1201,INDEX(_LEITURA!$P$2:$P$21,5),DECKS!$B$2:$B$1201,$A610))</f>
        <v/>
      </c>
      <c r="P610" s="19" t="str">
        <f aca="false">IF(OR($A610="",INDEX(_LEITURA!$Q$2:$Q$21,6)=0),"",SUMIFS(DECKS!$D$2:$D$1201,DECKS!$A$2:$A$1201,INDEX(_LEITURA!$P$2:$P$21,6),DECKS!$B$2:$B$1201,$A610))</f>
        <v/>
      </c>
      <c r="Q610" s="19" t="str">
        <f aca="false">IF(OR($A610="",INDEX(_LEITURA!$Q$2:$Q$21,7)=0),"",SUMIFS(DECKS!$D$2:$D$1201,DECKS!$A$2:$A$1201,INDEX(_LEITURA!$P$2:$P$21,7),DECKS!$B$2:$B$1201,$A610))</f>
        <v/>
      </c>
      <c r="R610" s="19" t="str">
        <f aca="false">IF(OR($A610="",INDEX(_LEITURA!$Q$2:$Q$21,8)=0),"",SUMIFS(DECKS!$D$2:$D$1201,DECKS!$A$2:$A$1201,INDEX(_LEITURA!$P$2:$P$21,8),DECKS!$B$2:$B$1201,$A610))</f>
        <v/>
      </c>
      <c r="S610" s="19" t="str">
        <f aca="false">IF(OR($A610="",INDEX(_LEITURA!$Q$2:$Q$21,9)=0),"",SUMIFS(DECKS!$D$2:$D$1201,DECKS!$A$2:$A$1201,INDEX(_LEITURA!$P$2:$P$21,9),DECKS!$B$2:$B$1201,$A610))</f>
        <v/>
      </c>
      <c r="T610" s="19" t="str">
        <f aca="false">IF(OR($A610="",INDEX(_LEITURA!$Q$2:$Q$21,10)=0),"",SUMIFS(DECKS!$D$2:$D$1201,DECKS!$A$2:$A$1201,INDEX(_LEITURA!$P$2:$P$21,10),DECKS!$B$2:$B$1201,$A610))</f>
        <v/>
      </c>
      <c r="U610" s="19" t="str">
        <f aca="false">IF(OR($A610="",INDEX(_LEITURA!$Q$2:$Q$21,11)=0),"",SUMIFS(DECKS!$D$2:$D$1201,DECKS!$A$2:$A$1201,INDEX(_LEITURA!$P$2:$P$21,11),DECKS!$B$2:$B$1201,$A610))</f>
        <v/>
      </c>
      <c r="V610" s="19" t="str">
        <f aca="false">IF(OR($A610="",INDEX(_LEITURA!$Q$2:$Q$21,12)=0),"",SUMIFS(DECKS!$D$2:$D$1201,DECKS!$A$2:$A$1201,INDEX(_LEITURA!$P$2:$P$21,12),DECKS!$B$2:$B$1201,$A610))</f>
        <v/>
      </c>
      <c r="W610" s="19" t="str">
        <f aca="false">IF(OR($A610="",INDEX(_LEITURA!$Q$2:$Q$21,13)=0),"",SUMIFS(DECKS!$D$2:$D$1201,DECKS!$A$2:$A$1201,INDEX(_LEITURA!$P$2:$P$21,13),DECKS!$B$2:$B$1201,$A610))</f>
        <v/>
      </c>
      <c r="X610" s="19" t="str">
        <f aca="false">IF(OR($A610="",INDEX(_LEITURA!$Q$2:$Q$21,14)=0),"",SUMIFS(DECKS!$D$2:$D$1201,DECKS!$A$2:$A$1201,INDEX(_LEITURA!$P$2:$P$21,14),DECKS!$B$2:$B$1201,$A610))</f>
        <v/>
      </c>
      <c r="Y610" s="19" t="str">
        <f aca="false">IF(OR($A610="",INDEX(_LEITURA!$Q$2:$Q$21,15)=0),"",SUMIFS(DECKS!$D$2:$D$1201,DECKS!$A$2:$A$1201,INDEX(_LEITURA!$P$2:$P$21,15),DECKS!$B$2:$B$1201,$A610))</f>
        <v/>
      </c>
      <c r="Z610" s="19" t="str">
        <f aca="false">IF(OR($A610="",INDEX(_LEITURA!$Q$2:$Q$21,16)=0),"",SUMIFS(DECKS!$D$2:$D$1201,DECKS!$A$2:$A$1201,INDEX(_LEITURA!$P$2:$P$21,16),DECKS!$B$2:$B$1201,$A610))</f>
        <v/>
      </c>
      <c r="AA610" s="19" t="str">
        <f aca="false">IF(OR($A610="",INDEX(_LEITURA!$Q$2:$Q$21,17)=0),"",SUMIFS(DECKS!$D$2:$D$1201,DECKS!$A$2:$A$1201,INDEX(_LEITURA!$P$2:$P$21,17),DECKS!$B$2:$B$1201,$A610))</f>
        <v/>
      </c>
      <c r="AB610" s="19" t="str">
        <f aca="false">IF(OR($A610="",INDEX(_LEITURA!$Q$2:$Q$21,18)=0),"",SUMIFS(DECKS!$D$2:$D$1201,DECKS!$A$2:$A$1201,INDEX(_LEITURA!$P$2:$P$21,18),DECKS!$B$2:$B$1201,$A610))</f>
        <v/>
      </c>
      <c r="AC610" s="19" t="str">
        <f aca="false">IF(OR($A610="",INDEX(_LEITURA!$Q$2:$Q$21,19)=0),"",SUMIFS(DECKS!$D$2:$D$1201,DECKS!$A$2:$A$1201,INDEX(_LEITURA!$P$2:$P$21,19),DECKS!$B$2:$B$1201,$A610))</f>
        <v/>
      </c>
      <c r="AD610" s="19" t="str">
        <f aca="false">IF(OR($A610="",INDEX(_LEITURA!$Q$2:$Q$21,20)=0),"",SUMIFS(DECKS!$D$2:$D$1201,DECKS!$A$2:$A$1201,INDEX(_LEITURA!$P$2:$P$21,20),DECKS!$B$2:$B$1201,$A610))</f>
        <v/>
      </c>
      <c r="AE610" s="16" t="str">
        <f aca="false">IF(N(E610)&gt;0,MAX(AE$1:AE609)+1,"")</f>
        <v/>
      </c>
      <c r="AF610" s="11" t="str">
        <f aca="false">IF(A610="","",IFERROR(LEFT(A610,FIND("-",A610)-1),A610))</f>
        <v/>
      </c>
      <c r="AG610" s="11" t="str">
        <f aca="false">IF(AF610="","",IF(ISNUMBER(--MID(AF610,1,1)),0,IF(ISNUMBER(--MID(AF610,2,1)),1,IF(ISNUMBER(--MID(AF610,3,1)),2,IF(ISNUMBER(--MID(AF610,4,1)),3,MIN(LEN(AF610),4))))))</f>
        <v/>
      </c>
      <c r="AH610" s="11" t="str">
        <f aca="false">IF(A610="","",LEFT(AF610,AG610)&amp;REPT("0",4-AG610)&amp;RIGHT("000"&amp;IFERROR(VALUE(MID(AF610,AG610+1,9)),0),3)&amp;RIGHT("0000"&amp;IFERROR(VALUE(MID(A610,FIND("-",A610)+1,9)),0),4))</f>
        <v/>
      </c>
      <c r="AI610" s="11" t="str">
        <f aca="false">IF(OR(A610="",N(E610)&lt;=0),"",IF('FALTAS GERAL'!$M$1="Código","K"&amp;AH610&amp;RIGHT("00000"&amp;ROW(),5),IF('FALTAS GERAL'!$M$1="Nome","K"&amp;UPPER(SUBSTITUTE(SUBSTITUTE(SUBSTITUTE(B610,"*",""),"?",""),"~",""))&amp;"0"&amp;AH610&amp;RIGHT("00000"&amp;ROW(),5),IF('FALTAS GERAL'!$M$1="Falta (maior primeiro)","K"&amp;RIGHT("0000"&amp;(9999-E610),4)&amp;AH610&amp;RIGHT("00000"&amp;ROW(),5),IF('FALTAS GERAL'!$M$1="Nº de decks (maior primeiro)","K"&amp;RIGHT("00"&amp;(99-N(G610)),2)&amp;AH610&amp;RIGHT("00000"&amp;ROW(),5),"K"&amp;RIGHT("00000"&amp;ROW(),5))))))</f>
        <v/>
      </c>
      <c r="AJ610" s="11" t="str">
        <f aca="false">IF(AI610="","",COUNTIFS($AI$2:$AI$801,"&lt;"&amp;AI610,$E$2:$E$801,"&gt;0")+1)</f>
        <v/>
      </c>
      <c r="AK610" s="11" t="str">
        <f aca="false">IF(OR(A610="",N(E610)&lt;=0),"",COUNTIFS($AH$2:$AH$801,"&lt;"&amp;AH610,$E$2:$E$801,"&gt;0")+COUNTIFS($AH$2:AH610,AH610,$E$2:E610,"&gt;0"))</f>
        <v/>
      </c>
    </row>
    <row r="611" customFormat="false" ht="15" hidden="false" customHeight="false" outlineLevel="0" collapsed="false">
      <c r="A611" s="11" t="str">
        <f aca="false">IF(INVENTÁRIO!A611="","",INVENTÁRIO!A611)</f>
        <v/>
      </c>
      <c r="B611" s="11" t="str">
        <f aca="false">IF(A611="","",INVENTÁRIO!B611)</f>
        <v/>
      </c>
      <c r="C611" s="16" t="str">
        <f aca="false">IF(A611="","",INVENTÁRIO!C611)</f>
        <v/>
      </c>
      <c r="D611" s="14" t="str">
        <f aca="false">IF(A611="","",MAX(K611:AD611))</f>
        <v/>
      </c>
      <c r="E611" s="14" t="str">
        <f aca="false">IF(A611="","",MAX(0,D611-C611))</f>
        <v/>
      </c>
      <c r="F611" s="16" t="str">
        <f aca="false">IF(A611="","",IF(D611=0,"Fora dos decks",IF(E611=0,"Completo","Falta")))</f>
        <v/>
      </c>
      <c r="G611" s="16" t="str">
        <f aca="false">IF(A611="","",COUNTIF(K611:AD611,"&gt;0"))</f>
        <v/>
      </c>
      <c r="H611" s="16" t="str">
        <f aca="false">IF(A611="","",IF(G611&gt;1,"Sim",""))</f>
        <v/>
      </c>
      <c r="I611" s="18" t="str">
        <f aca="false">IF(A611="","",SUMIFS(DECKS!$D$2:$D$1201,DECKS!$B$2:$B$1201,A611))</f>
        <v/>
      </c>
      <c r="J611" s="18" t="str">
        <f aca="false">IF(A611="","",MAX(0,I611-C611))</f>
        <v/>
      </c>
      <c r="K611" s="19" t="str">
        <f aca="false">IF(OR($A611="",INDEX(_LEITURA!$Q$2:$Q$21,1)=0),"",SUMIFS(DECKS!$D$2:$D$1201,DECKS!$A$2:$A$1201,INDEX(_LEITURA!$P$2:$P$21,1),DECKS!$B$2:$B$1201,$A611))</f>
        <v/>
      </c>
      <c r="L611" s="19" t="str">
        <f aca="false">IF(OR($A611="",INDEX(_LEITURA!$Q$2:$Q$21,2)=0),"",SUMIFS(DECKS!$D$2:$D$1201,DECKS!$A$2:$A$1201,INDEX(_LEITURA!$P$2:$P$21,2),DECKS!$B$2:$B$1201,$A611))</f>
        <v/>
      </c>
      <c r="M611" s="19" t="str">
        <f aca="false">IF(OR($A611="",INDEX(_LEITURA!$Q$2:$Q$21,3)=0),"",SUMIFS(DECKS!$D$2:$D$1201,DECKS!$A$2:$A$1201,INDEX(_LEITURA!$P$2:$P$21,3),DECKS!$B$2:$B$1201,$A611))</f>
        <v/>
      </c>
      <c r="N611" s="19" t="str">
        <f aca="false">IF(OR($A611="",INDEX(_LEITURA!$Q$2:$Q$21,4)=0),"",SUMIFS(DECKS!$D$2:$D$1201,DECKS!$A$2:$A$1201,INDEX(_LEITURA!$P$2:$P$21,4),DECKS!$B$2:$B$1201,$A611))</f>
        <v/>
      </c>
      <c r="O611" s="19" t="str">
        <f aca="false">IF(OR($A611="",INDEX(_LEITURA!$Q$2:$Q$21,5)=0),"",SUMIFS(DECKS!$D$2:$D$1201,DECKS!$A$2:$A$1201,INDEX(_LEITURA!$P$2:$P$21,5),DECKS!$B$2:$B$1201,$A611))</f>
        <v/>
      </c>
      <c r="P611" s="19" t="str">
        <f aca="false">IF(OR($A611="",INDEX(_LEITURA!$Q$2:$Q$21,6)=0),"",SUMIFS(DECKS!$D$2:$D$1201,DECKS!$A$2:$A$1201,INDEX(_LEITURA!$P$2:$P$21,6),DECKS!$B$2:$B$1201,$A611))</f>
        <v/>
      </c>
      <c r="Q611" s="19" t="str">
        <f aca="false">IF(OR($A611="",INDEX(_LEITURA!$Q$2:$Q$21,7)=0),"",SUMIFS(DECKS!$D$2:$D$1201,DECKS!$A$2:$A$1201,INDEX(_LEITURA!$P$2:$P$21,7),DECKS!$B$2:$B$1201,$A611))</f>
        <v/>
      </c>
      <c r="R611" s="19" t="str">
        <f aca="false">IF(OR($A611="",INDEX(_LEITURA!$Q$2:$Q$21,8)=0),"",SUMIFS(DECKS!$D$2:$D$1201,DECKS!$A$2:$A$1201,INDEX(_LEITURA!$P$2:$P$21,8),DECKS!$B$2:$B$1201,$A611))</f>
        <v/>
      </c>
      <c r="S611" s="19" t="str">
        <f aca="false">IF(OR($A611="",INDEX(_LEITURA!$Q$2:$Q$21,9)=0),"",SUMIFS(DECKS!$D$2:$D$1201,DECKS!$A$2:$A$1201,INDEX(_LEITURA!$P$2:$P$21,9),DECKS!$B$2:$B$1201,$A611))</f>
        <v/>
      </c>
      <c r="T611" s="19" t="str">
        <f aca="false">IF(OR($A611="",INDEX(_LEITURA!$Q$2:$Q$21,10)=0),"",SUMIFS(DECKS!$D$2:$D$1201,DECKS!$A$2:$A$1201,INDEX(_LEITURA!$P$2:$P$21,10),DECKS!$B$2:$B$1201,$A611))</f>
        <v/>
      </c>
      <c r="U611" s="19" t="str">
        <f aca="false">IF(OR($A611="",INDEX(_LEITURA!$Q$2:$Q$21,11)=0),"",SUMIFS(DECKS!$D$2:$D$1201,DECKS!$A$2:$A$1201,INDEX(_LEITURA!$P$2:$P$21,11),DECKS!$B$2:$B$1201,$A611))</f>
        <v/>
      </c>
      <c r="V611" s="19" t="str">
        <f aca="false">IF(OR($A611="",INDEX(_LEITURA!$Q$2:$Q$21,12)=0),"",SUMIFS(DECKS!$D$2:$D$1201,DECKS!$A$2:$A$1201,INDEX(_LEITURA!$P$2:$P$21,12),DECKS!$B$2:$B$1201,$A611))</f>
        <v/>
      </c>
      <c r="W611" s="19" t="str">
        <f aca="false">IF(OR($A611="",INDEX(_LEITURA!$Q$2:$Q$21,13)=0),"",SUMIFS(DECKS!$D$2:$D$1201,DECKS!$A$2:$A$1201,INDEX(_LEITURA!$P$2:$P$21,13),DECKS!$B$2:$B$1201,$A611))</f>
        <v/>
      </c>
      <c r="X611" s="19" t="str">
        <f aca="false">IF(OR($A611="",INDEX(_LEITURA!$Q$2:$Q$21,14)=0),"",SUMIFS(DECKS!$D$2:$D$1201,DECKS!$A$2:$A$1201,INDEX(_LEITURA!$P$2:$P$21,14),DECKS!$B$2:$B$1201,$A611))</f>
        <v/>
      </c>
      <c r="Y611" s="19" t="str">
        <f aca="false">IF(OR($A611="",INDEX(_LEITURA!$Q$2:$Q$21,15)=0),"",SUMIFS(DECKS!$D$2:$D$1201,DECKS!$A$2:$A$1201,INDEX(_LEITURA!$P$2:$P$21,15),DECKS!$B$2:$B$1201,$A611))</f>
        <v/>
      </c>
      <c r="Z611" s="19" t="str">
        <f aca="false">IF(OR($A611="",INDEX(_LEITURA!$Q$2:$Q$21,16)=0),"",SUMIFS(DECKS!$D$2:$D$1201,DECKS!$A$2:$A$1201,INDEX(_LEITURA!$P$2:$P$21,16),DECKS!$B$2:$B$1201,$A611))</f>
        <v/>
      </c>
      <c r="AA611" s="19" t="str">
        <f aca="false">IF(OR($A611="",INDEX(_LEITURA!$Q$2:$Q$21,17)=0),"",SUMIFS(DECKS!$D$2:$D$1201,DECKS!$A$2:$A$1201,INDEX(_LEITURA!$P$2:$P$21,17),DECKS!$B$2:$B$1201,$A611))</f>
        <v/>
      </c>
      <c r="AB611" s="19" t="str">
        <f aca="false">IF(OR($A611="",INDEX(_LEITURA!$Q$2:$Q$21,18)=0),"",SUMIFS(DECKS!$D$2:$D$1201,DECKS!$A$2:$A$1201,INDEX(_LEITURA!$P$2:$P$21,18),DECKS!$B$2:$B$1201,$A611))</f>
        <v/>
      </c>
      <c r="AC611" s="19" t="str">
        <f aca="false">IF(OR($A611="",INDEX(_LEITURA!$Q$2:$Q$21,19)=0),"",SUMIFS(DECKS!$D$2:$D$1201,DECKS!$A$2:$A$1201,INDEX(_LEITURA!$P$2:$P$21,19),DECKS!$B$2:$B$1201,$A611))</f>
        <v/>
      </c>
      <c r="AD611" s="19" t="str">
        <f aca="false">IF(OR($A611="",INDEX(_LEITURA!$Q$2:$Q$21,20)=0),"",SUMIFS(DECKS!$D$2:$D$1201,DECKS!$A$2:$A$1201,INDEX(_LEITURA!$P$2:$P$21,20),DECKS!$B$2:$B$1201,$A611))</f>
        <v/>
      </c>
      <c r="AE611" s="16" t="str">
        <f aca="false">IF(N(E611)&gt;0,MAX(AE$1:AE610)+1,"")</f>
        <v/>
      </c>
      <c r="AF611" s="11" t="str">
        <f aca="false">IF(A611="","",IFERROR(LEFT(A611,FIND("-",A611)-1),A611))</f>
        <v/>
      </c>
      <c r="AG611" s="11" t="str">
        <f aca="false">IF(AF611="","",IF(ISNUMBER(--MID(AF611,1,1)),0,IF(ISNUMBER(--MID(AF611,2,1)),1,IF(ISNUMBER(--MID(AF611,3,1)),2,IF(ISNUMBER(--MID(AF611,4,1)),3,MIN(LEN(AF611),4))))))</f>
        <v/>
      </c>
      <c r="AH611" s="11" t="str">
        <f aca="false">IF(A611="","",LEFT(AF611,AG611)&amp;REPT("0",4-AG611)&amp;RIGHT("000"&amp;IFERROR(VALUE(MID(AF611,AG611+1,9)),0),3)&amp;RIGHT("0000"&amp;IFERROR(VALUE(MID(A611,FIND("-",A611)+1,9)),0),4))</f>
        <v/>
      </c>
      <c r="AI611" s="11" t="str">
        <f aca="false">IF(OR(A611="",N(E611)&lt;=0),"",IF('FALTAS GERAL'!$M$1="Código","K"&amp;AH611&amp;RIGHT("00000"&amp;ROW(),5),IF('FALTAS GERAL'!$M$1="Nome","K"&amp;UPPER(SUBSTITUTE(SUBSTITUTE(SUBSTITUTE(B611,"*",""),"?",""),"~",""))&amp;"0"&amp;AH611&amp;RIGHT("00000"&amp;ROW(),5),IF('FALTAS GERAL'!$M$1="Falta (maior primeiro)","K"&amp;RIGHT("0000"&amp;(9999-E611),4)&amp;AH611&amp;RIGHT("00000"&amp;ROW(),5),IF('FALTAS GERAL'!$M$1="Nº de decks (maior primeiro)","K"&amp;RIGHT("00"&amp;(99-N(G611)),2)&amp;AH611&amp;RIGHT("00000"&amp;ROW(),5),"K"&amp;RIGHT("00000"&amp;ROW(),5))))))</f>
        <v/>
      </c>
      <c r="AJ611" s="11" t="str">
        <f aca="false">IF(AI611="","",COUNTIFS($AI$2:$AI$801,"&lt;"&amp;AI611,$E$2:$E$801,"&gt;0")+1)</f>
        <v/>
      </c>
      <c r="AK611" s="11" t="str">
        <f aca="false">IF(OR(A611="",N(E611)&lt;=0),"",COUNTIFS($AH$2:$AH$801,"&lt;"&amp;AH611,$E$2:$E$801,"&gt;0")+COUNTIFS($AH$2:AH611,AH611,$E$2:E611,"&gt;0"))</f>
        <v/>
      </c>
    </row>
    <row r="612" customFormat="false" ht="15" hidden="false" customHeight="false" outlineLevel="0" collapsed="false">
      <c r="A612" s="11" t="str">
        <f aca="false">IF(INVENTÁRIO!A612="","",INVENTÁRIO!A612)</f>
        <v/>
      </c>
      <c r="B612" s="11" t="str">
        <f aca="false">IF(A612="","",INVENTÁRIO!B612)</f>
        <v/>
      </c>
      <c r="C612" s="16" t="str">
        <f aca="false">IF(A612="","",INVENTÁRIO!C612)</f>
        <v/>
      </c>
      <c r="D612" s="14" t="str">
        <f aca="false">IF(A612="","",MAX(K612:AD612))</f>
        <v/>
      </c>
      <c r="E612" s="14" t="str">
        <f aca="false">IF(A612="","",MAX(0,D612-C612))</f>
        <v/>
      </c>
      <c r="F612" s="16" t="str">
        <f aca="false">IF(A612="","",IF(D612=0,"Fora dos decks",IF(E612=0,"Completo","Falta")))</f>
        <v/>
      </c>
      <c r="G612" s="16" t="str">
        <f aca="false">IF(A612="","",COUNTIF(K612:AD612,"&gt;0"))</f>
        <v/>
      </c>
      <c r="H612" s="16" t="str">
        <f aca="false">IF(A612="","",IF(G612&gt;1,"Sim",""))</f>
        <v/>
      </c>
      <c r="I612" s="18" t="str">
        <f aca="false">IF(A612="","",SUMIFS(DECKS!$D$2:$D$1201,DECKS!$B$2:$B$1201,A612))</f>
        <v/>
      </c>
      <c r="J612" s="18" t="str">
        <f aca="false">IF(A612="","",MAX(0,I612-C612))</f>
        <v/>
      </c>
      <c r="K612" s="19" t="str">
        <f aca="false">IF(OR($A612="",INDEX(_LEITURA!$Q$2:$Q$21,1)=0),"",SUMIFS(DECKS!$D$2:$D$1201,DECKS!$A$2:$A$1201,INDEX(_LEITURA!$P$2:$P$21,1),DECKS!$B$2:$B$1201,$A612))</f>
        <v/>
      </c>
      <c r="L612" s="19" t="str">
        <f aca="false">IF(OR($A612="",INDEX(_LEITURA!$Q$2:$Q$21,2)=0),"",SUMIFS(DECKS!$D$2:$D$1201,DECKS!$A$2:$A$1201,INDEX(_LEITURA!$P$2:$P$21,2),DECKS!$B$2:$B$1201,$A612))</f>
        <v/>
      </c>
      <c r="M612" s="19" t="str">
        <f aca="false">IF(OR($A612="",INDEX(_LEITURA!$Q$2:$Q$21,3)=0),"",SUMIFS(DECKS!$D$2:$D$1201,DECKS!$A$2:$A$1201,INDEX(_LEITURA!$P$2:$P$21,3),DECKS!$B$2:$B$1201,$A612))</f>
        <v/>
      </c>
      <c r="N612" s="19" t="str">
        <f aca="false">IF(OR($A612="",INDEX(_LEITURA!$Q$2:$Q$21,4)=0),"",SUMIFS(DECKS!$D$2:$D$1201,DECKS!$A$2:$A$1201,INDEX(_LEITURA!$P$2:$P$21,4),DECKS!$B$2:$B$1201,$A612))</f>
        <v/>
      </c>
      <c r="O612" s="19" t="str">
        <f aca="false">IF(OR($A612="",INDEX(_LEITURA!$Q$2:$Q$21,5)=0),"",SUMIFS(DECKS!$D$2:$D$1201,DECKS!$A$2:$A$1201,INDEX(_LEITURA!$P$2:$P$21,5),DECKS!$B$2:$B$1201,$A612))</f>
        <v/>
      </c>
      <c r="P612" s="19" t="str">
        <f aca="false">IF(OR($A612="",INDEX(_LEITURA!$Q$2:$Q$21,6)=0),"",SUMIFS(DECKS!$D$2:$D$1201,DECKS!$A$2:$A$1201,INDEX(_LEITURA!$P$2:$P$21,6),DECKS!$B$2:$B$1201,$A612))</f>
        <v/>
      </c>
      <c r="Q612" s="19" t="str">
        <f aca="false">IF(OR($A612="",INDEX(_LEITURA!$Q$2:$Q$21,7)=0),"",SUMIFS(DECKS!$D$2:$D$1201,DECKS!$A$2:$A$1201,INDEX(_LEITURA!$P$2:$P$21,7),DECKS!$B$2:$B$1201,$A612))</f>
        <v/>
      </c>
      <c r="R612" s="19" t="str">
        <f aca="false">IF(OR($A612="",INDEX(_LEITURA!$Q$2:$Q$21,8)=0),"",SUMIFS(DECKS!$D$2:$D$1201,DECKS!$A$2:$A$1201,INDEX(_LEITURA!$P$2:$P$21,8),DECKS!$B$2:$B$1201,$A612))</f>
        <v/>
      </c>
      <c r="S612" s="19" t="str">
        <f aca="false">IF(OR($A612="",INDEX(_LEITURA!$Q$2:$Q$21,9)=0),"",SUMIFS(DECKS!$D$2:$D$1201,DECKS!$A$2:$A$1201,INDEX(_LEITURA!$P$2:$P$21,9),DECKS!$B$2:$B$1201,$A612))</f>
        <v/>
      </c>
      <c r="T612" s="19" t="str">
        <f aca="false">IF(OR($A612="",INDEX(_LEITURA!$Q$2:$Q$21,10)=0),"",SUMIFS(DECKS!$D$2:$D$1201,DECKS!$A$2:$A$1201,INDEX(_LEITURA!$P$2:$P$21,10),DECKS!$B$2:$B$1201,$A612))</f>
        <v/>
      </c>
      <c r="U612" s="19" t="str">
        <f aca="false">IF(OR($A612="",INDEX(_LEITURA!$Q$2:$Q$21,11)=0),"",SUMIFS(DECKS!$D$2:$D$1201,DECKS!$A$2:$A$1201,INDEX(_LEITURA!$P$2:$P$21,11),DECKS!$B$2:$B$1201,$A612))</f>
        <v/>
      </c>
      <c r="V612" s="19" t="str">
        <f aca="false">IF(OR($A612="",INDEX(_LEITURA!$Q$2:$Q$21,12)=0),"",SUMIFS(DECKS!$D$2:$D$1201,DECKS!$A$2:$A$1201,INDEX(_LEITURA!$P$2:$P$21,12),DECKS!$B$2:$B$1201,$A612))</f>
        <v/>
      </c>
      <c r="W612" s="19" t="str">
        <f aca="false">IF(OR($A612="",INDEX(_LEITURA!$Q$2:$Q$21,13)=0),"",SUMIFS(DECKS!$D$2:$D$1201,DECKS!$A$2:$A$1201,INDEX(_LEITURA!$P$2:$P$21,13),DECKS!$B$2:$B$1201,$A612))</f>
        <v/>
      </c>
      <c r="X612" s="19" t="str">
        <f aca="false">IF(OR($A612="",INDEX(_LEITURA!$Q$2:$Q$21,14)=0),"",SUMIFS(DECKS!$D$2:$D$1201,DECKS!$A$2:$A$1201,INDEX(_LEITURA!$P$2:$P$21,14),DECKS!$B$2:$B$1201,$A612))</f>
        <v/>
      </c>
      <c r="Y612" s="19" t="str">
        <f aca="false">IF(OR($A612="",INDEX(_LEITURA!$Q$2:$Q$21,15)=0),"",SUMIFS(DECKS!$D$2:$D$1201,DECKS!$A$2:$A$1201,INDEX(_LEITURA!$P$2:$P$21,15),DECKS!$B$2:$B$1201,$A612))</f>
        <v/>
      </c>
      <c r="Z612" s="19" t="str">
        <f aca="false">IF(OR($A612="",INDEX(_LEITURA!$Q$2:$Q$21,16)=0),"",SUMIFS(DECKS!$D$2:$D$1201,DECKS!$A$2:$A$1201,INDEX(_LEITURA!$P$2:$P$21,16),DECKS!$B$2:$B$1201,$A612))</f>
        <v/>
      </c>
      <c r="AA612" s="19" t="str">
        <f aca="false">IF(OR($A612="",INDEX(_LEITURA!$Q$2:$Q$21,17)=0),"",SUMIFS(DECKS!$D$2:$D$1201,DECKS!$A$2:$A$1201,INDEX(_LEITURA!$P$2:$P$21,17),DECKS!$B$2:$B$1201,$A612))</f>
        <v/>
      </c>
      <c r="AB612" s="19" t="str">
        <f aca="false">IF(OR($A612="",INDEX(_LEITURA!$Q$2:$Q$21,18)=0),"",SUMIFS(DECKS!$D$2:$D$1201,DECKS!$A$2:$A$1201,INDEX(_LEITURA!$P$2:$P$21,18),DECKS!$B$2:$B$1201,$A612))</f>
        <v/>
      </c>
      <c r="AC612" s="19" t="str">
        <f aca="false">IF(OR($A612="",INDEX(_LEITURA!$Q$2:$Q$21,19)=0),"",SUMIFS(DECKS!$D$2:$D$1201,DECKS!$A$2:$A$1201,INDEX(_LEITURA!$P$2:$P$21,19),DECKS!$B$2:$B$1201,$A612))</f>
        <v/>
      </c>
      <c r="AD612" s="19" t="str">
        <f aca="false">IF(OR($A612="",INDEX(_LEITURA!$Q$2:$Q$21,20)=0),"",SUMIFS(DECKS!$D$2:$D$1201,DECKS!$A$2:$A$1201,INDEX(_LEITURA!$P$2:$P$21,20),DECKS!$B$2:$B$1201,$A612))</f>
        <v/>
      </c>
      <c r="AE612" s="16" t="str">
        <f aca="false">IF(N(E612)&gt;0,MAX(AE$1:AE611)+1,"")</f>
        <v/>
      </c>
      <c r="AF612" s="11" t="str">
        <f aca="false">IF(A612="","",IFERROR(LEFT(A612,FIND("-",A612)-1),A612))</f>
        <v/>
      </c>
      <c r="AG612" s="11" t="str">
        <f aca="false">IF(AF612="","",IF(ISNUMBER(--MID(AF612,1,1)),0,IF(ISNUMBER(--MID(AF612,2,1)),1,IF(ISNUMBER(--MID(AF612,3,1)),2,IF(ISNUMBER(--MID(AF612,4,1)),3,MIN(LEN(AF612),4))))))</f>
        <v/>
      </c>
      <c r="AH612" s="11" t="str">
        <f aca="false">IF(A612="","",LEFT(AF612,AG612)&amp;REPT("0",4-AG612)&amp;RIGHT("000"&amp;IFERROR(VALUE(MID(AF612,AG612+1,9)),0),3)&amp;RIGHT("0000"&amp;IFERROR(VALUE(MID(A612,FIND("-",A612)+1,9)),0),4))</f>
        <v/>
      </c>
      <c r="AI612" s="11" t="str">
        <f aca="false">IF(OR(A612="",N(E612)&lt;=0),"",IF('FALTAS GERAL'!$M$1="Código","K"&amp;AH612&amp;RIGHT("00000"&amp;ROW(),5),IF('FALTAS GERAL'!$M$1="Nome","K"&amp;UPPER(SUBSTITUTE(SUBSTITUTE(SUBSTITUTE(B612,"*",""),"?",""),"~",""))&amp;"0"&amp;AH612&amp;RIGHT("00000"&amp;ROW(),5),IF('FALTAS GERAL'!$M$1="Falta (maior primeiro)","K"&amp;RIGHT("0000"&amp;(9999-E612),4)&amp;AH612&amp;RIGHT("00000"&amp;ROW(),5),IF('FALTAS GERAL'!$M$1="Nº de decks (maior primeiro)","K"&amp;RIGHT("00"&amp;(99-N(G612)),2)&amp;AH612&amp;RIGHT("00000"&amp;ROW(),5),"K"&amp;RIGHT("00000"&amp;ROW(),5))))))</f>
        <v/>
      </c>
      <c r="AJ612" s="11" t="str">
        <f aca="false">IF(AI612="","",COUNTIFS($AI$2:$AI$801,"&lt;"&amp;AI612,$E$2:$E$801,"&gt;0")+1)</f>
        <v/>
      </c>
      <c r="AK612" s="11" t="str">
        <f aca="false">IF(OR(A612="",N(E612)&lt;=0),"",COUNTIFS($AH$2:$AH$801,"&lt;"&amp;AH612,$E$2:$E$801,"&gt;0")+COUNTIFS($AH$2:AH612,AH612,$E$2:E612,"&gt;0"))</f>
        <v/>
      </c>
    </row>
    <row r="613" customFormat="false" ht="15" hidden="false" customHeight="false" outlineLevel="0" collapsed="false">
      <c r="A613" s="11" t="str">
        <f aca="false">IF(INVENTÁRIO!A613="","",INVENTÁRIO!A613)</f>
        <v/>
      </c>
      <c r="B613" s="11" t="str">
        <f aca="false">IF(A613="","",INVENTÁRIO!B613)</f>
        <v/>
      </c>
      <c r="C613" s="16" t="str">
        <f aca="false">IF(A613="","",INVENTÁRIO!C613)</f>
        <v/>
      </c>
      <c r="D613" s="14" t="str">
        <f aca="false">IF(A613="","",MAX(K613:AD613))</f>
        <v/>
      </c>
      <c r="E613" s="14" t="str">
        <f aca="false">IF(A613="","",MAX(0,D613-C613))</f>
        <v/>
      </c>
      <c r="F613" s="16" t="str">
        <f aca="false">IF(A613="","",IF(D613=0,"Fora dos decks",IF(E613=0,"Completo","Falta")))</f>
        <v/>
      </c>
      <c r="G613" s="16" t="str">
        <f aca="false">IF(A613="","",COUNTIF(K613:AD613,"&gt;0"))</f>
        <v/>
      </c>
      <c r="H613" s="16" t="str">
        <f aca="false">IF(A613="","",IF(G613&gt;1,"Sim",""))</f>
        <v/>
      </c>
      <c r="I613" s="18" t="str">
        <f aca="false">IF(A613="","",SUMIFS(DECKS!$D$2:$D$1201,DECKS!$B$2:$B$1201,A613))</f>
        <v/>
      </c>
      <c r="J613" s="18" t="str">
        <f aca="false">IF(A613="","",MAX(0,I613-C613))</f>
        <v/>
      </c>
      <c r="K613" s="19" t="str">
        <f aca="false">IF(OR($A613="",INDEX(_LEITURA!$Q$2:$Q$21,1)=0),"",SUMIFS(DECKS!$D$2:$D$1201,DECKS!$A$2:$A$1201,INDEX(_LEITURA!$P$2:$P$21,1),DECKS!$B$2:$B$1201,$A613))</f>
        <v/>
      </c>
      <c r="L613" s="19" t="str">
        <f aca="false">IF(OR($A613="",INDEX(_LEITURA!$Q$2:$Q$21,2)=0),"",SUMIFS(DECKS!$D$2:$D$1201,DECKS!$A$2:$A$1201,INDEX(_LEITURA!$P$2:$P$21,2),DECKS!$B$2:$B$1201,$A613))</f>
        <v/>
      </c>
      <c r="M613" s="19" t="str">
        <f aca="false">IF(OR($A613="",INDEX(_LEITURA!$Q$2:$Q$21,3)=0),"",SUMIFS(DECKS!$D$2:$D$1201,DECKS!$A$2:$A$1201,INDEX(_LEITURA!$P$2:$P$21,3),DECKS!$B$2:$B$1201,$A613))</f>
        <v/>
      </c>
      <c r="N613" s="19" t="str">
        <f aca="false">IF(OR($A613="",INDEX(_LEITURA!$Q$2:$Q$21,4)=0),"",SUMIFS(DECKS!$D$2:$D$1201,DECKS!$A$2:$A$1201,INDEX(_LEITURA!$P$2:$P$21,4),DECKS!$B$2:$B$1201,$A613))</f>
        <v/>
      </c>
      <c r="O613" s="19" t="str">
        <f aca="false">IF(OR($A613="",INDEX(_LEITURA!$Q$2:$Q$21,5)=0),"",SUMIFS(DECKS!$D$2:$D$1201,DECKS!$A$2:$A$1201,INDEX(_LEITURA!$P$2:$P$21,5),DECKS!$B$2:$B$1201,$A613))</f>
        <v/>
      </c>
      <c r="P613" s="19" t="str">
        <f aca="false">IF(OR($A613="",INDEX(_LEITURA!$Q$2:$Q$21,6)=0),"",SUMIFS(DECKS!$D$2:$D$1201,DECKS!$A$2:$A$1201,INDEX(_LEITURA!$P$2:$P$21,6),DECKS!$B$2:$B$1201,$A613))</f>
        <v/>
      </c>
      <c r="Q613" s="19" t="str">
        <f aca="false">IF(OR($A613="",INDEX(_LEITURA!$Q$2:$Q$21,7)=0),"",SUMIFS(DECKS!$D$2:$D$1201,DECKS!$A$2:$A$1201,INDEX(_LEITURA!$P$2:$P$21,7),DECKS!$B$2:$B$1201,$A613))</f>
        <v/>
      </c>
      <c r="R613" s="19" t="str">
        <f aca="false">IF(OR($A613="",INDEX(_LEITURA!$Q$2:$Q$21,8)=0),"",SUMIFS(DECKS!$D$2:$D$1201,DECKS!$A$2:$A$1201,INDEX(_LEITURA!$P$2:$P$21,8),DECKS!$B$2:$B$1201,$A613))</f>
        <v/>
      </c>
      <c r="S613" s="19" t="str">
        <f aca="false">IF(OR($A613="",INDEX(_LEITURA!$Q$2:$Q$21,9)=0),"",SUMIFS(DECKS!$D$2:$D$1201,DECKS!$A$2:$A$1201,INDEX(_LEITURA!$P$2:$P$21,9),DECKS!$B$2:$B$1201,$A613))</f>
        <v/>
      </c>
      <c r="T613" s="19" t="str">
        <f aca="false">IF(OR($A613="",INDEX(_LEITURA!$Q$2:$Q$21,10)=0),"",SUMIFS(DECKS!$D$2:$D$1201,DECKS!$A$2:$A$1201,INDEX(_LEITURA!$P$2:$P$21,10),DECKS!$B$2:$B$1201,$A613))</f>
        <v/>
      </c>
      <c r="U613" s="19" t="str">
        <f aca="false">IF(OR($A613="",INDEX(_LEITURA!$Q$2:$Q$21,11)=0),"",SUMIFS(DECKS!$D$2:$D$1201,DECKS!$A$2:$A$1201,INDEX(_LEITURA!$P$2:$P$21,11),DECKS!$B$2:$B$1201,$A613))</f>
        <v/>
      </c>
      <c r="V613" s="19" t="str">
        <f aca="false">IF(OR($A613="",INDEX(_LEITURA!$Q$2:$Q$21,12)=0),"",SUMIFS(DECKS!$D$2:$D$1201,DECKS!$A$2:$A$1201,INDEX(_LEITURA!$P$2:$P$21,12),DECKS!$B$2:$B$1201,$A613))</f>
        <v/>
      </c>
      <c r="W613" s="19" t="str">
        <f aca="false">IF(OR($A613="",INDEX(_LEITURA!$Q$2:$Q$21,13)=0),"",SUMIFS(DECKS!$D$2:$D$1201,DECKS!$A$2:$A$1201,INDEX(_LEITURA!$P$2:$P$21,13),DECKS!$B$2:$B$1201,$A613))</f>
        <v/>
      </c>
      <c r="X613" s="19" t="str">
        <f aca="false">IF(OR($A613="",INDEX(_LEITURA!$Q$2:$Q$21,14)=0),"",SUMIFS(DECKS!$D$2:$D$1201,DECKS!$A$2:$A$1201,INDEX(_LEITURA!$P$2:$P$21,14),DECKS!$B$2:$B$1201,$A613))</f>
        <v/>
      </c>
      <c r="Y613" s="19" t="str">
        <f aca="false">IF(OR($A613="",INDEX(_LEITURA!$Q$2:$Q$21,15)=0),"",SUMIFS(DECKS!$D$2:$D$1201,DECKS!$A$2:$A$1201,INDEX(_LEITURA!$P$2:$P$21,15),DECKS!$B$2:$B$1201,$A613))</f>
        <v/>
      </c>
      <c r="Z613" s="19" t="str">
        <f aca="false">IF(OR($A613="",INDEX(_LEITURA!$Q$2:$Q$21,16)=0),"",SUMIFS(DECKS!$D$2:$D$1201,DECKS!$A$2:$A$1201,INDEX(_LEITURA!$P$2:$P$21,16),DECKS!$B$2:$B$1201,$A613))</f>
        <v/>
      </c>
      <c r="AA613" s="19" t="str">
        <f aca="false">IF(OR($A613="",INDEX(_LEITURA!$Q$2:$Q$21,17)=0),"",SUMIFS(DECKS!$D$2:$D$1201,DECKS!$A$2:$A$1201,INDEX(_LEITURA!$P$2:$P$21,17),DECKS!$B$2:$B$1201,$A613))</f>
        <v/>
      </c>
      <c r="AB613" s="19" t="str">
        <f aca="false">IF(OR($A613="",INDEX(_LEITURA!$Q$2:$Q$21,18)=0),"",SUMIFS(DECKS!$D$2:$D$1201,DECKS!$A$2:$A$1201,INDEX(_LEITURA!$P$2:$P$21,18),DECKS!$B$2:$B$1201,$A613))</f>
        <v/>
      </c>
      <c r="AC613" s="19" t="str">
        <f aca="false">IF(OR($A613="",INDEX(_LEITURA!$Q$2:$Q$21,19)=0),"",SUMIFS(DECKS!$D$2:$D$1201,DECKS!$A$2:$A$1201,INDEX(_LEITURA!$P$2:$P$21,19),DECKS!$B$2:$B$1201,$A613))</f>
        <v/>
      </c>
      <c r="AD613" s="19" t="str">
        <f aca="false">IF(OR($A613="",INDEX(_LEITURA!$Q$2:$Q$21,20)=0),"",SUMIFS(DECKS!$D$2:$D$1201,DECKS!$A$2:$A$1201,INDEX(_LEITURA!$P$2:$P$21,20),DECKS!$B$2:$B$1201,$A613))</f>
        <v/>
      </c>
      <c r="AE613" s="16" t="str">
        <f aca="false">IF(N(E613)&gt;0,MAX(AE$1:AE612)+1,"")</f>
        <v/>
      </c>
      <c r="AF613" s="11" t="str">
        <f aca="false">IF(A613="","",IFERROR(LEFT(A613,FIND("-",A613)-1),A613))</f>
        <v/>
      </c>
      <c r="AG613" s="11" t="str">
        <f aca="false">IF(AF613="","",IF(ISNUMBER(--MID(AF613,1,1)),0,IF(ISNUMBER(--MID(AF613,2,1)),1,IF(ISNUMBER(--MID(AF613,3,1)),2,IF(ISNUMBER(--MID(AF613,4,1)),3,MIN(LEN(AF613),4))))))</f>
        <v/>
      </c>
      <c r="AH613" s="11" t="str">
        <f aca="false">IF(A613="","",LEFT(AF613,AG613)&amp;REPT("0",4-AG613)&amp;RIGHT("000"&amp;IFERROR(VALUE(MID(AF613,AG613+1,9)),0),3)&amp;RIGHT("0000"&amp;IFERROR(VALUE(MID(A613,FIND("-",A613)+1,9)),0),4))</f>
        <v/>
      </c>
      <c r="AI613" s="11" t="str">
        <f aca="false">IF(OR(A613="",N(E613)&lt;=0),"",IF('FALTAS GERAL'!$M$1="Código","K"&amp;AH613&amp;RIGHT("00000"&amp;ROW(),5),IF('FALTAS GERAL'!$M$1="Nome","K"&amp;UPPER(SUBSTITUTE(SUBSTITUTE(SUBSTITUTE(B613,"*",""),"?",""),"~",""))&amp;"0"&amp;AH613&amp;RIGHT("00000"&amp;ROW(),5),IF('FALTAS GERAL'!$M$1="Falta (maior primeiro)","K"&amp;RIGHT("0000"&amp;(9999-E613),4)&amp;AH613&amp;RIGHT("00000"&amp;ROW(),5),IF('FALTAS GERAL'!$M$1="Nº de decks (maior primeiro)","K"&amp;RIGHT("00"&amp;(99-N(G613)),2)&amp;AH613&amp;RIGHT("00000"&amp;ROW(),5),"K"&amp;RIGHT("00000"&amp;ROW(),5))))))</f>
        <v/>
      </c>
      <c r="AJ613" s="11" t="str">
        <f aca="false">IF(AI613="","",COUNTIFS($AI$2:$AI$801,"&lt;"&amp;AI613,$E$2:$E$801,"&gt;0")+1)</f>
        <v/>
      </c>
      <c r="AK613" s="11" t="str">
        <f aca="false">IF(OR(A613="",N(E613)&lt;=0),"",COUNTIFS($AH$2:$AH$801,"&lt;"&amp;AH613,$E$2:$E$801,"&gt;0")+COUNTIFS($AH$2:AH613,AH613,$E$2:E613,"&gt;0"))</f>
        <v/>
      </c>
    </row>
    <row r="614" customFormat="false" ht="15" hidden="false" customHeight="false" outlineLevel="0" collapsed="false">
      <c r="A614" s="11" t="str">
        <f aca="false">IF(INVENTÁRIO!A614="","",INVENTÁRIO!A614)</f>
        <v/>
      </c>
      <c r="B614" s="11" t="str">
        <f aca="false">IF(A614="","",INVENTÁRIO!B614)</f>
        <v/>
      </c>
      <c r="C614" s="16" t="str">
        <f aca="false">IF(A614="","",INVENTÁRIO!C614)</f>
        <v/>
      </c>
      <c r="D614" s="14" t="str">
        <f aca="false">IF(A614="","",MAX(K614:AD614))</f>
        <v/>
      </c>
      <c r="E614" s="14" t="str">
        <f aca="false">IF(A614="","",MAX(0,D614-C614))</f>
        <v/>
      </c>
      <c r="F614" s="16" t="str">
        <f aca="false">IF(A614="","",IF(D614=0,"Fora dos decks",IF(E614=0,"Completo","Falta")))</f>
        <v/>
      </c>
      <c r="G614" s="16" t="str">
        <f aca="false">IF(A614="","",COUNTIF(K614:AD614,"&gt;0"))</f>
        <v/>
      </c>
      <c r="H614" s="16" t="str">
        <f aca="false">IF(A614="","",IF(G614&gt;1,"Sim",""))</f>
        <v/>
      </c>
      <c r="I614" s="18" t="str">
        <f aca="false">IF(A614="","",SUMIFS(DECKS!$D$2:$D$1201,DECKS!$B$2:$B$1201,A614))</f>
        <v/>
      </c>
      <c r="J614" s="18" t="str">
        <f aca="false">IF(A614="","",MAX(0,I614-C614))</f>
        <v/>
      </c>
      <c r="K614" s="19" t="str">
        <f aca="false">IF(OR($A614="",INDEX(_LEITURA!$Q$2:$Q$21,1)=0),"",SUMIFS(DECKS!$D$2:$D$1201,DECKS!$A$2:$A$1201,INDEX(_LEITURA!$P$2:$P$21,1),DECKS!$B$2:$B$1201,$A614))</f>
        <v/>
      </c>
      <c r="L614" s="19" t="str">
        <f aca="false">IF(OR($A614="",INDEX(_LEITURA!$Q$2:$Q$21,2)=0),"",SUMIFS(DECKS!$D$2:$D$1201,DECKS!$A$2:$A$1201,INDEX(_LEITURA!$P$2:$P$21,2),DECKS!$B$2:$B$1201,$A614))</f>
        <v/>
      </c>
      <c r="M614" s="19" t="str">
        <f aca="false">IF(OR($A614="",INDEX(_LEITURA!$Q$2:$Q$21,3)=0),"",SUMIFS(DECKS!$D$2:$D$1201,DECKS!$A$2:$A$1201,INDEX(_LEITURA!$P$2:$P$21,3),DECKS!$B$2:$B$1201,$A614))</f>
        <v/>
      </c>
      <c r="N614" s="19" t="str">
        <f aca="false">IF(OR($A614="",INDEX(_LEITURA!$Q$2:$Q$21,4)=0),"",SUMIFS(DECKS!$D$2:$D$1201,DECKS!$A$2:$A$1201,INDEX(_LEITURA!$P$2:$P$21,4),DECKS!$B$2:$B$1201,$A614))</f>
        <v/>
      </c>
      <c r="O614" s="19" t="str">
        <f aca="false">IF(OR($A614="",INDEX(_LEITURA!$Q$2:$Q$21,5)=0),"",SUMIFS(DECKS!$D$2:$D$1201,DECKS!$A$2:$A$1201,INDEX(_LEITURA!$P$2:$P$21,5),DECKS!$B$2:$B$1201,$A614))</f>
        <v/>
      </c>
      <c r="P614" s="19" t="str">
        <f aca="false">IF(OR($A614="",INDEX(_LEITURA!$Q$2:$Q$21,6)=0),"",SUMIFS(DECKS!$D$2:$D$1201,DECKS!$A$2:$A$1201,INDEX(_LEITURA!$P$2:$P$21,6),DECKS!$B$2:$B$1201,$A614))</f>
        <v/>
      </c>
      <c r="Q614" s="19" t="str">
        <f aca="false">IF(OR($A614="",INDEX(_LEITURA!$Q$2:$Q$21,7)=0),"",SUMIFS(DECKS!$D$2:$D$1201,DECKS!$A$2:$A$1201,INDEX(_LEITURA!$P$2:$P$21,7),DECKS!$B$2:$B$1201,$A614))</f>
        <v/>
      </c>
      <c r="R614" s="19" t="str">
        <f aca="false">IF(OR($A614="",INDEX(_LEITURA!$Q$2:$Q$21,8)=0),"",SUMIFS(DECKS!$D$2:$D$1201,DECKS!$A$2:$A$1201,INDEX(_LEITURA!$P$2:$P$21,8),DECKS!$B$2:$B$1201,$A614))</f>
        <v/>
      </c>
      <c r="S614" s="19" t="str">
        <f aca="false">IF(OR($A614="",INDEX(_LEITURA!$Q$2:$Q$21,9)=0),"",SUMIFS(DECKS!$D$2:$D$1201,DECKS!$A$2:$A$1201,INDEX(_LEITURA!$P$2:$P$21,9),DECKS!$B$2:$B$1201,$A614))</f>
        <v/>
      </c>
      <c r="T614" s="19" t="str">
        <f aca="false">IF(OR($A614="",INDEX(_LEITURA!$Q$2:$Q$21,10)=0),"",SUMIFS(DECKS!$D$2:$D$1201,DECKS!$A$2:$A$1201,INDEX(_LEITURA!$P$2:$P$21,10),DECKS!$B$2:$B$1201,$A614))</f>
        <v/>
      </c>
      <c r="U614" s="19" t="str">
        <f aca="false">IF(OR($A614="",INDEX(_LEITURA!$Q$2:$Q$21,11)=0),"",SUMIFS(DECKS!$D$2:$D$1201,DECKS!$A$2:$A$1201,INDEX(_LEITURA!$P$2:$P$21,11),DECKS!$B$2:$B$1201,$A614))</f>
        <v/>
      </c>
      <c r="V614" s="19" t="str">
        <f aca="false">IF(OR($A614="",INDEX(_LEITURA!$Q$2:$Q$21,12)=0),"",SUMIFS(DECKS!$D$2:$D$1201,DECKS!$A$2:$A$1201,INDEX(_LEITURA!$P$2:$P$21,12),DECKS!$B$2:$B$1201,$A614))</f>
        <v/>
      </c>
      <c r="W614" s="19" t="str">
        <f aca="false">IF(OR($A614="",INDEX(_LEITURA!$Q$2:$Q$21,13)=0),"",SUMIFS(DECKS!$D$2:$D$1201,DECKS!$A$2:$A$1201,INDEX(_LEITURA!$P$2:$P$21,13),DECKS!$B$2:$B$1201,$A614))</f>
        <v/>
      </c>
      <c r="X614" s="19" t="str">
        <f aca="false">IF(OR($A614="",INDEX(_LEITURA!$Q$2:$Q$21,14)=0),"",SUMIFS(DECKS!$D$2:$D$1201,DECKS!$A$2:$A$1201,INDEX(_LEITURA!$P$2:$P$21,14),DECKS!$B$2:$B$1201,$A614))</f>
        <v/>
      </c>
      <c r="Y614" s="19" t="str">
        <f aca="false">IF(OR($A614="",INDEX(_LEITURA!$Q$2:$Q$21,15)=0),"",SUMIFS(DECKS!$D$2:$D$1201,DECKS!$A$2:$A$1201,INDEX(_LEITURA!$P$2:$P$21,15),DECKS!$B$2:$B$1201,$A614))</f>
        <v/>
      </c>
      <c r="Z614" s="19" t="str">
        <f aca="false">IF(OR($A614="",INDEX(_LEITURA!$Q$2:$Q$21,16)=0),"",SUMIFS(DECKS!$D$2:$D$1201,DECKS!$A$2:$A$1201,INDEX(_LEITURA!$P$2:$P$21,16),DECKS!$B$2:$B$1201,$A614))</f>
        <v/>
      </c>
      <c r="AA614" s="19" t="str">
        <f aca="false">IF(OR($A614="",INDEX(_LEITURA!$Q$2:$Q$21,17)=0),"",SUMIFS(DECKS!$D$2:$D$1201,DECKS!$A$2:$A$1201,INDEX(_LEITURA!$P$2:$P$21,17),DECKS!$B$2:$B$1201,$A614))</f>
        <v/>
      </c>
      <c r="AB614" s="19" t="str">
        <f aca="false">IF(OR($A614="",INDEX(_LEITURA!$Q$2:$Q$21,18)=0),"",SUMIFS(DECKS!$D$2:$D$1201,DECKS!$A$2:$A$1201,INDEX(_LEITURA!$P$2:$P$21,18),DECKS!$B$2:$B$1201,$A614))</f>
        <v/>
      </c>
      <c r="AC614" s="19" t="str">
        <f aca="false">IF(OR($A614="",INDEX(_LEITURA!$Q$2:$Q$21,19)=0),"",SUMIFS(DECKS!$D$2:$D$1201,DECKS!$A$2:$A$1201,INDEX(_LEITURA!$P$2:$P$21,19),DECKS!$B$2:$B$1201,$A614))</f>
        <v/>
      </c>
      <c r="AD614" s="19" t="str">
        <f aca="false">IF(OR($A614="",INDEX(_LEITURA!$Q$2:$Q$21,20)=0),"",SUMIFS(DECKS!$D$2:$D$1201,DECKS!$A$2:$A$1201,INDEX(_LEITURA!$P$2:$P$21,20),DECKS!$B$2:$B$1201,$A614))</f>
        <v/>
      </c>
      <c r="AE614" s="16" t="str">
        <f aca="false">IF(N(E614)&gt;0,MAX(AE$1:AE613)+1,"")</f>
        <v/>
      </c>
      <c r="AF614" s="11" t="str">
        <f aca="false">IF(A614="","",IFERROR(LEFT(A614,FIND("-",A614)-1),A614))</f>
        <v/>
      </c>
      <c r="AG614" s="11" t="str">
        <f aca="false">IF(AF614="","",IF(ISNUMBER(--MID(AF614,1,1)),0,IF(ISNUMBER(--MID(AF614,2,1)),1,IF(ISNUMBER(--MID(AF614,3,1)),2,IF(ISNUMBER(--MID(AF614,4,1)),3,MIN(LEN(AF614),4))))))</f>
        <v/>
      </c>
      <c r="AH614" s="11" t="str">
        <f aca="false">IF(A614="","",LEFT(AF614,AG614)&amp;REPT("0",4-AG614)&amp;RIGHT("000"&amp;IFERROR(VALUE(MID(AF614,AG614+1,9)),0),3)&amp;RIGHT("0000"&amp;IFERROR(VALUE(MID(A614,FIND("-",A614)+1,9)),0),4))</f>
        <v/>
      </c>
      <c r="AI614" s="11" t="str">
        <f aca="false">IF(OR(A614="",N(E614)&lt;=0),"",IF('FALTAS GERAL'!$M$1="Código","K"&amp;AH614&amp;RIGHT("00000"&amp;ROW(),5),IF('FALTAS GERAL'!$M$1="Nome","K"&amp;UPPER(SUBSTITUTE(SUBSTITUTE(SUBSTITUTE(B614,"*",""),"?",""),"~",""))&amp;"0"&amp;AH614&amp;RIGHT("00000"&amp;ROW(),5),IF('FALTAS GERAL'!$M$1="Falta (maior primeiro)","K"&amp;RIGHT("0000"&amp;(9999-E614),4)&amp;AH614&amp;RIGHT("00000"&amp;ROW(),5),IF('FALTAS GERAL'!$M$1="Nº de decks (maior primeiro)","K"&amp;RIGHT("00"&amp;(99-N(G614)),2)&amp;AH614&amp;RIGHT("00000"&amp;ROW(),5),"K"&amp;RIGHT("00000"&amp;ROW(),5))))))</f>
        <v/>
      </c>
      <c r="AJ614" s="11" t="str">
        <f aca="false">IF(AI614="","",COUNTIFS($AI$2:$AI$801,"&lt;"&amp;AI614,$E$2:$E$801,"&gt;0")+1)</f>
        <v/>
      </c>
      <c r="AK614" s="11" t="str">
        <f aca="false">IF(OR(A614="",N(E614)&lt;=0),"",COUNTIFS($AH$2:$AH$801,"&lt;"&amp;AH614,$E$2:$E$801,"&gt;0")+COUNTIFS($AH$2:AH614,AH614,$E$2:E614,"&gt;0"))</f>
        <v/>
      </c>
    </row>
    <row r="615" customFormat="false" ht="15" hidden="false" customHeight="false" outlineLevel="0" collapsed="false">
      <c r="A615" s="11" t="str">
        <f aca="false">IF(INVENTÁRIO!A615="","",INVENTÁRIO!A615)</f>
        <v/>
      </c>
      <c r="B615" s="11" t="str">
        <f aca="false">IF(A615="","",INVENTÁRIO!B615)</f>
        <v/>
      </c>
      <c r="C615" s="16" t="str">
        <f aca="false">IF(A615="","",INVENTÁRIO!C615)</f>
        <v/>
      </c>
      <c r="D615" s="14" t="str">
        <f aca="false">IF(A615="","",MAX(K615:AD615))</f>
        <v/>
      </c>
      <c r="E615" s="14" t="str">
        <f aca="false">IF(A615="","",MAX(0,D615-C615))</f>
        <v/>
      </c>
      <c r="F615" s="16" t="str">
        <f aca="false">IF(A615="","",IF(D615=0,"Fora dos decks",IF(E615=0,"Completo","Falta")))</f>
        <v/>
      </c>
      <c r="G615" s="16" t="str">
        <f aca="false">IF(A615="","",COUNTIF(K615:AD615,"&gt;0"))</f>
        <v/>
      </c>
      <c r="H615" s="16" t="str">
        <f aca="false">IF(A615="","",IF(G615&gt;1,"Sim",""))</f>
        <v/>
      </c>
      <c r="I615" s="18" t="str">
        <f aca="false">IF(A615="","",SUMIFS(DECKS!$D$2:$D$1201,DECKS!$B$2:$B$1201,A615))</f>
        <v/>
      </c>
      <c r="J615" s="18" t="str">
        <f aca="false">IF(A615="","",MAX(0,I615-C615))</f>
        <v/>
      </c>
      <c r="K615" s="19" t="str">
        <f aca="false">IF(OR($A615="",INDEX(_LEITURA!$Q$2:$Q$21,1)=0),"",SUMIFS(DECKS!$D$2:$D$1201,DECKS!$A$2:$A$1201,INDEX(_LEITURA!$P$2:$P$21,1),DECKS!$B$2:$B$1201,$A615))</f>
        <v/>
      </c>
      <c r="L615" s="19" t="str">
        <f aca="false">IF(OR($A615="",INDEX(_LEITURA!$Q$2:$Q$21,2)=0),"",SUMIFS(DECKS!$D$2:$D$1201,DECKS!$A$2:$A$1201,INDEX(_LEITURA!$P$2:$P$21,2),DECKS!$B$2:$B$1201,$A615))</f>
        <v/>
      </c>
      <c r="M615" s="19" t="str">
        <f aca="false">IF(OR($A615="",INDEX(_LEITURA!$Q$2:$Q$21,3)=0),"",SUMIFS(DECKS!$D$2:$D$1201,DECKS!$A$2:$A$1201,INDEX(_LEITURA!$P$2:$P$21,3),DECKS!$B$2:$B$1201,$A615))</f>
        <v/>
      </c>
      <c r="N615" s="19" t="str">
        <f aca="false">IF(OR($A615="",INDEX(_LEITURA!$Q$2:$Q$21,4)=0),"",SUMIFS(DECKS!$D$2:$D$1201,DECKS!$A$2:$A$1201,INDEX(_LEITURA!$P$2:$P$21,4),DECKS!$B$2:$B$1201,$A615))</f>
        <v/>
      </c>
      <c r="O615" s="19" t="str">
        <f aca="false">IF(OR($A615="",INDEX(_LEITURA!$Q$2:$Q$21,5)=0),"",SUMIFS(DECKS!$D$2:$D$1201,DECKS!$A$2:$A$1201,INDEX(_LEITURA!$P$2:$P$21,5),DECKS!$B$2:$B$1201,$A615))</f>
        <v/>
      </c>
      <c r="P615" s="19" t="str">
        <f aca="false">IF(OR($A615="",INDEX(_LEITURA!$Q$2:$Q$21,6)=0),"",SUMIFS(DECKS!$D$2:$D$1201,DECKS!$A$2:$A$1201,INDEX(_LEITURA!$P$2:$P$21,6),DECKS!$B$2:$B$1201,$A615))</f>
        <v/>
      </c>
      <c r="Q615" s="19" t="str">
        <f aca="false">IF(OR($A615="",INDEX(_LEITURA!$Q$2:$Q$21,7)=0),"",SUMIFS(DECKS!$D$2:$D$1201,DECKS!$A$2:$A$1201,INDEX(_LEITURA!$P$2:$P$21,7),DECKS!$B$2:$B$1201,$A615))</f>
        <v/>
      </c>
      <c r="R615" s="19" t="str">
        <f aca="false">IF(OR($A615="",INDEX(_LEITURA!$Q$2:$Q$21,8)=0),"",SUMIFS(DECKS!$D$2:$D$1201,DECKS!$A$2:$A$1201,INDEX(_LEITURA!$P$2:$P$21,8),DECKS!$B$2:$B$1201,$A615))</f>
        <v/>
      </c>
      <c r="S615" s="19" t="str">
        <f aca="false">IF(OR($A615="",INDEX(_LEITURA!$Q$2:$Q$21,9)=0),"",SUMIFS(DECKS!$D$2:$D$1201,DECKS!$A$2:$A$1201,INDEX(_LEITURA!$P$2:$P$21,9),DECKS!$B$2:$B$1201,$A615))</f>
        <v/>
      </c>
      <c r="T615" s="19" t="str">
        <f aca="false">IF(OR($A615="",INDEX(_LEITURA!$Q$2:$Q$21,10)=0),"",SUMIFS(DECKS!$D$2:$D$1201,DECKS!$A$2:$A$1201,INDEX(_LEITURA!$P$2:$P$21,10),DECKS!$B$2:$B$1201,$A615))</f>
        <v/>
      </c>
      <c r="U615" s="19" t="str">
        <f aca="false">IF(OR($A615="",INDEX(_LEITURA!$Q$2:$Q$21,11)=0),"",SUMIFS(DECKS!$D$2:$D$1201,DECKS!$A$2:$A$1201,INDEX(_LEITURA!$P$2:$P$21,11),DECKS!$B$2:$B$1201,$A615))</f>
        <v/>
      </c>
      <c r="V615" s="19" t="str">
        <f aca="false">IF(OR($A615="",INDEX(_LEITURA!$Q$2:$Q$21,12)=0),"",SUMIFS(DECKS!$D$2:$D$1201,DECKS!$A$2:$A$1201,INDEX(_LEITURA!$P$2:$P$21,12),DECKS!$B$2:$B$1201,$A615))</f>
        <v/>
      </c>
      <c r="W615" s="19" t="str">
        <f aca="false">IF(OR($A615="",INDEX(_LEITURA!$Q$2:$Q$21,13)=0),"",SUMIFS(DECKS!$D$2:$D$1201,DECKS!$A$2:$A$1201,INDEX(_LEITURA!$P$2:$P$21,13),DECKS!$B$2:$B$1201,$A615))</f>
        <v/>
      </c>
      <c r="X615" s="19" t="str">
        <f aca="false">IF(OR($A615="",INDEX(_LEITURA!$Q$2:$Q$21,14)=0),"",SUMIFS(DECKS!$D$2:$D$1201,DECKS!$A$2:$A$1201,INDEX(_LEITURA!$P$2:$P$21,14),DECKS!$B$2:$B$1201,$A615))</f>
        <v/>
      </c>
      <c r="Y615" s="19" t="str">
        <f aca="false">IF(OR($A615="",INDEX(_LEITURA!$Q$2:$Q$21,15)=0),"",SUMIFS(DECKS!$D$2:$D$1201,DECKS!$A$2:$A$1201,INDEX(_LEITURA!$P$2:$P$21,15),DECKS!$B$2:$B$1201,$A615))</f>
        <v/>
      </c>
      <c r="Z615" s="19" t="str">
        <f aca="false">IF(OR($A615="",INDEX(_LEITURA!$Q$2:$Q$21,16)=0),"",SUMIFS(DECKS!$D$2:$D$1201,DECKS!$A$2:$A$1201,INDEX(_LEITURA!$P$2:$P$21,16),DECKS!$B$2:$B$1201,$A615))</f>
        <v/>
      </c>
      <c r="AA615" s="19" t="str">
        <f aca="false">IF(OR($A615="",INDEX(_LEITURA!$Q$2:$Q$21,17)=0),"",SUMIFS(DECKS!$D$2:$D$1201,DECKS!$A$2:$A$1201,INDEX(_LEITURA!$P$2:$P$21,17),DECKS!$B$2:$B$1201,$A615))</f>
        <v/>
      </c>
      <c r="AB615" s="19" t="str">
        <f aca="false">IF(OR($A615="",INDEX(_LEITURA!$Q$2:$Q$21,18)=0),"",SUMIFS(DECKS!$D$2:$D$1201,DECKS!$A$2:$A$1201,INDEX(_LEITURA!$P$2:$P$21,18),DECKS!$B$2:$B$1201,$A615))</f>
        <v/>
      </c>
      <c r="AC615" s="19" t="str">
        <f aca="false">IF(OR($A615="",INDEX(_LEITURA!$Q$2:$Q$21,19)=0),"",SUMIFS(DECKS!$D$2:$D$1201,DECKS!$A$2:$A$1201,INDEX(_LEITURA!$P$2:$P$21,19),DECKS!$B$2:$B$1201,$A615))</f>
        <v/>
      </c>
      <c r="AD615" s="19" t="str">
        <f aca="false">IF(OR($A615="",INDEX(_LEITURA!$Q$2:$Q$21,20)=0),"",SUMIFS(DECKS!$D$2:$D$1201,DECKS!$A$2:$A$1201,INDEX(_LEITURA!$P$2:$P$21,20),DECKS!$B$2:$B$1201,$A615))</f>
        <v/>
      </c>
      <c r="AE615" s="16" t="str">
        <f aca="false">IF(N(E615)&gt;0,MAX(AE$1:AE614)+1,"")</f>
        <v/>
      </c>
      <c r="AF615" s="11" t="str">
        <f aca="false">IF(A615="","",IFERROR(LEFT(A615,FIND("-",A615)-1),A615))</f>
        <v/>
      </c>
      <c r="AG615" s="11" t="str">
        <f aca="false">IF(AF615="","",IF(ISNUMBER(--MID(AF615,1,1)),0,IF(ISNUMBER(--MID(AF615,2,1)),1,IF(ISNUMBER(--MID(AF615,3,1)),2,IF(ISNUMBER(--MID(AF615,4,1)),3,MIN(LEN(AF615),4))))))</f>
        <v/>
      </c>
      <c r="AH615" s="11" t="str">
        <f aca="false">IF(A615="","",LEFT(AF615,AG615)&amp;REPT("0",4-AG615)&amp;RIGHT("000"&amp;IFERROR(VALUE(MID(AF615,AG615+1,9)),0),3)&amp;RIGHT("0000"&amp;IFERROR(VALUE(MID(A615,FIND("-",A615)+1,9)),0),4))</f>
        <v/>
      </c>
      <c r="AI615" s="11" t="str">
        <f aca="false">IF(OR(A615="",N(E615)&lt;=0),"",IF('FALTAS GERAL'!$M$1="Código","K"&amp;AH615&amp;RIGHT("00000"&amp;ROW(),5),IF('FALTAS GERAL'!$M$1="Nome","K"&amp;UPPER(SUBSTITUTE(SUBSTITUTE(SUBSTITUTE(B615,"*",""),"?",""),"~",""))&amp;"0"&amp;AH615&amp;RIGHT("00000"&amp;ROW(),5),IF('FALTAS GERAL'!$M$1="Falta (maior primeiro)","K"&amp;RIGHT("0000"&amp;(9999-E615),4)&amp;AH615&amp;RIGHT("00000"&amp;ROW(),5),IF('FALTAS GERAL'!$M$1="Nº de decks (maior primeiro)","K"&amp;RIGHT("00"&amp;(99-N(G615)),2)&amp;AH615&amp;RIGHT("00000"&amp;ROW(),5),"K"&amp;RIGHT("00000"&amp;ROW(),5))))))</f>
        <v/>
      </c>
      <c r="AJ615" s="11" t="str">
        <f aca="false">IF(AI615="","",COUNTIFS($AI$2:$AI$801,"&lt;"&amp;AI615,$E$2:$E$801,"&gt;0")+1)</f>
        <v/>
      </c>
      <c r="AK615" s="11" t="str">
        <f aca="false">IF(OR(A615="",N(E615)&lt;=0),"",COUNTIFS($AH$2:$AH$801,"&lt;"&amp;AH615,$E$2:$E$801,"&gt;0")+COUNTIFS($AH$2:AH615,AH615,$E$2:E615,"&gt;0"))</f>
        <v/>
      </c>
    </row>
    <row r="616" customFormat="false" ht="15" hidden="false" customHeight="false" outlineLevel="0" collapsed="false">
      <c r="A616" s="11" t="str">
        <f aca="false">IF(INVENTÁRIO!A616="","",INVENTÁRIO!A616)</f>
        <v/>
      </c>
      <c r="B616" s="11" t="str">
        <f aca="false">IF(A616="","",INVENTÁRIO!B616)</f>
        <v/>
      </c>
      <c r="C616" s="16" t="str">
        <f aca="false">IF(A616="","",INVENTÁRIO!C616)</f>
        <v/>
      </c>
      <c r="D616" s="14" t="str">
        <f aca="false">IF(A616="","",MAX(K616:AD616))</f>
        <v/>
      </c>
      <c r="E616" s="14" t="str">
        <f aca="false">IF(A616="","",MAX(0,D616-C616))</f>
        <v/>
      </c>
      <c r="F616" s="16" t="str">
        <f aca="false">IF(A616="","",IF(D616=0,"Fora dos decks",IF(E616=0,"Completo","Falta")))</f>
        <v/>
      </c>
      <c r="G616" s="16" t="str">
        <f aca="false">IF(A616="","",COUNTIF(K616:AD616,"&gt;0"))</f>
        <v/>
      </c>
      <c r="H616" s="16" t="str">
        <f aca="false">IF(A616="","",IF(G616&gt;1,"Sim",""))</f>
        <v/>
      </c>
      <c r="I616" s="18" t="str">
        <f aca="false">IF(A616="","",SUMIFS(DECKS!$D$2:$D$1201,DECKS!$B$2:$B$1201,A616))</f>
        <v/>
      </c>
      <c r="J616" s="18" t="str">
        <f aca="false">IF(A616="","",MAX(0,I616-C616))</f>
        <v/>
      </c>
      <c r="K616" s="19" t="str">
        <f aca="false">IF(OR($A616="",INDEX(_LEITURA!$Q$2:$Q$21,1)=0),"",SUMIFS(DECKS!$D$2:$D$1201,DECKS!$A$2:$A$1201,INDEX(_LEITURA!$P$2:$P$21,1),DECKS!$B$2:$B$1201,$A616))</f>
        <v/>
      </c>
      <c r="L616" s="19" t="str">
        <f aca="false">IF(OR($A616="",INDEX(_LEITURA!$Q$2:$Q$21,2)=0),"",SUMIFS(DECKS!$D$2:$D$1201,DECKS!$A$2:$A$1201,INDEX(_LEITURA!$P$2:$P$21,2),DECKS!$B$2:$B$1201,$A616))</f>
        <v/>
      </c>
      <c r="M616" s="19" t="str">
        <f aca="false">IF(OR($A616="",INDEX(_LEITURA!$Q$2:$Q$21,3)=0),"",SUMIFS(DECKS!$D$2:$D$1201,DECKS!$A$2:$A$1201,INDEX(_LEITURA!$P$2:$P$21,3),DECKS!$B$2:$B$1201,$A616))</f>
        <v/>
      </c>
      <c r="N616" s="19" t="str">
        <f aca="false">IF(OR($A616="",INDEX(_LEITURA!$Q$2:$Q$21,4)=0),"",SUMIFS(DECKS!$D$2:$D$1201,DECKS!$A$2:$A$1201,INDEX(_LEITURA!$P$2:$P$21,4),DECKS!$B$2:$B$1201,$A616))</f>
        <v/>
      </c>
      <c r="O616" s="19" t="str">
        <f aca="false">IF(OR($A616="",INDEX(_LEITURA!$Q$2:$Q$21,5)=0),"",SUMIFS(DECKS!$D$2:$D$1201,DECKS!$A$2:$A$1201,INDEX(_LEITURA!$P$2:$P$21,5),DECKS!$B$2:$B$1201,$A616))</f>
        <v/>
      </c>
      <c r="P616" s="19" t="str">
        <f aca="false">IF(OR($A616="",INDEX(_LEITURA!$Q$2:$Q$21,6)=0),"",SUMIFS(DECKS!$D$2:$D$1201,DECKS!$A$2:$A$1201,INDEX(_LEITURA!$P$2:$P$21,6),DECKS!$B$2:$B$1201,$A616))</f>
        <v/>
      </c>
      <c r="Q616" s="19" t="str">
        <f aca="false">IF(OR($A616="",INDEX(_LEITURA!$Q$2:$Q$21,7)=0),"",SUMIFS(DECKS!$D$2:$D$1201,DECKS!$A$2:$A$1201,INDEX(_LEITURA!$P$2:$P$21,7),DECKS!$B$2:$B$1201,$A616))</f>
        <v/>
      </c>
      <c r="R616" s="19" t="str">
        <f aca="false">IF(OR($A616="",INDEX(_LEITURA!$Q$2:$Q$21,8)=0),"",SUMIFS(DECKS!$D$2:$D$1201,DECKS!$A$2:$A$1201,INDEX(_LEITURA!$P$2:$P$21,8),DECKS!$B$2:$B$1201,$A616))</f>
        <v/>
      </c>
      <c r="S616" s="19" t="str">
        <f aca="false">IF(OR($A616="",INDEX(_LEITURA!$Q$2:$Q$21,9)=0),"",SUMIFS(DECKS!$D$2:$D$1201,DECKS!$A$2:$A$1201,INDEX(_LEITURA!$P$2:$P$21,9),DECKS!$B$2:$B$1201,$A616))</f>
        <v/>
      </c>
      <c r="T616" s="19" t="str">
        <f aca="false">IF(OR($A616="",INDEX(_LEITURA!$Q$2:$Q$21,10)=0),"",SUMIFS(DECKS!$D$2:$D$1201,DECKS!$A$2:$A$1201,INDEX(_LEITURA!$P$2:$P$21,10),DECKS!$B$2:$B$1201,$A616))</f>
        <v/>
      </c>
      <c r="U616" s="19" t="str">
        <f aca="false">IF(OR($A616="",INDEX(_LEITURA!$Q$2:$Q$21,11)=0),"",SUMIFS(DECKS!$D$2:$D$1201,DECKS!$A$2:$A$1201,INDEX(_LEITURA!$P$2:$P$21,11),DECKS!$B$2:$B$1201,$A616))</f>
        <v/>
      </c>
      <c r="V616" s="19" t="str">
        <f aca="false">IF(OR($A616="",INDEX(_LEITURA!$Q$2:$Q$21,12)=0),"",SUMIFS(DECKS!$D$2:$D$1201,DECKS!$A$2:$A$1201,INDEX(_LEITURA!$P$2:$P$21,12),DECKS!$B$2:$B$1201,$A616))</f>
        <v/>
      </c>
      <c r="W616" s="19" t="str">
        <f aca="false">IF(OR($A616="",INDEX(_LEITURA!$Q$2:$Q$21,13)=0),"",SUMIFS(DECKS!$D$2:$D$1201,DECKS!$A$2:$A$1201,INDEX(_LEITURA!$P$2:$P$21,13),DECKS!$B$2:$B$1201,$A616))</f>
        <v/>
      </c>
      <c r="X616" s="19" t="str">
        <f aca="false">IF(OR($A616="",INDEX(_LEITURA!$Q$2:$Q$21,14)=0),"",SUMIFS(DECKS!$D$2:$D$1201,DECKS!$A$2:$A$1201,INDEX(_LEITURA!$P$2:$P$21,14),DECKS!$B$2:$B$1201,$A616))</f>
        <v/>
      </c>
      <c r="Y616" s="19" t="str">
        <f aca="false">IF(OR($A616="",INDEX(_LEITURA!$Q$2:$Q$21,15)=0),"",SUMIFS(DECKS!$D$2:$D$1201,DECKS!$A$2:$A$1201,INDEX(_LEITURA!$P$2:$P$21,15),DECKS!$B$2:$B$1201,$A616))</f>
        <v/>
      </c>
      <c r="Z616" s="19" t="str">
        <f aca="false">IF(OR($A616="",INDEX(_LEITURA!$Q$2:$Q$21,16)=0),"",SUMIFS(DECKS!$D$2:$D$1201,DECKS!$A$2:$A$1201,INDEX(_LEITURA!$P$2:$P$21,16),DECKS!$B$2:$B$1201,$A616))</f>
        <v/>
      </c>
      <c r="AA616" s="19" t="str">
        <f aca="false">IF(OR($A616="",INDEX(_LEITURA!$Q$2:$Q$21,17)=0),"",SUMIFS(DECKS!$D$2:$D$1201,DECKS!$A$2:$A$1201,INDEX(_LEITURA!$P$2:$P$21,17),DECKS!$B$2:$B$1201,$A616))</f>
        <v/>
      </c>
      <c r="AB616" s="19" t="str">
        <f aca="false">IF(OR($A616="",INDEX(_LEITURA!$Q$2:$Q$21,18)=0),"",SUMIFS(DECKS!$D$2:$D$1201,DECKS!$A$2:$A$1201,INDEX(_LEITURA!$P$2:$P$21,18),DECKS!$B$2:$B$1201,$A616))</f>
        <v/>
      </c>
      <c r="AC616" s="19" t="str">
        <f aca="false">IF(OR($A616="",INDEX(_LEITURA!$Q$2:$Q$21,19)=0),"",SUMIFS(DECKS!$D$2:$D$1201,DECKS!$A$2:$A$1201,INDEX(_LEITURA!$P$2:$P$21,19),DECKS!$B$2:$B$1201,$A616))</f>
        <v/>
      </c>
      <c r="AD616" s="19" t="str">
        <f aca="false">IF(OR($A616="",INDEX(_LEITURA!$Q$2:$Q$21,20)=0),"",SUMIFS(DECKS!$D$2:$D$1201,DECKS!$A$2:$A$1201,INDEX(_LEITURA!$P$2:$P$21,20),DECKS!$B$2:$B$1201,$A616))</f>
        <v/>
      </c>
      <c r="AE616" s="16" t="str">
        <f aca="false">IF(N(E616)&gt;0,MAX(AE$1:AE615)+1,"")</f>
        <v/>
      </c>
      <c r="AF616" s="11" t="str">
        <f aca="false">IF(A616="","",IFERROR(LEFT(A616,FIND("-",A616)-1),A616))</f>
        <v/>
      </c>
      <c r="AG616" s="11" t="str">
        <f aca="false">IF(AF616="","",IF(ISNUMBER(--MID(AF616,1,1)),0,IF(ISNUMBER(--MID(AF616,2,1)),1,IF(ISNUMBER(--MID(AF616,3,1)),2,IF(ISNUMBER(--MID(AF616,4,1)),3,MIN(LEN(AF616),4))))))</f>
        <v/>
      </c>
      <c r="AH616" s="11" t="str">
        <f aca="false">IF(A616="","",LEFT(AF616,AG616)&amp;REPT("0",4-AG616)&amp;RIGHT("000"&amp;IFERROR(VALUE(MID(AF616,AG616+1,9)),0),3)&amp;RIGHT("0000"&amp;IFERROR(VALUE(MID(A616,FIND("-",A616)+1,9)),0),4))</f>
        <v/>
      </c>
      <c r="AI616" s="11" t="str">
        <f aca="false">IF(OR(A616="",N(E616)&lt;=0),"",IF('FALTAS GERAL'!$M$1="Código","K"&amp;AH616&amp;RIGHT("00000"&amp;ROW(),5),IF('FALTAS GERAL'!$M$1="Nome","K"&amp;UPPER(SUBSTITUTE(SUBSTITUTE(SUBSTITUTE(B616,"*",""),"?",""),"~",""))&amp;"0"&amp;AH616&amp;RIGHT("00000"&amp;ROW(),5),IF('FALTAS GERAL'!$M$1="Falta (maior primeiro)","K"&amp;RIGHT("0000"&amp;(9999-E616),4)&amp;AH616&amp;RIGHT("00000"&amp;ROW(),5),IF('FALTAS GERAL'!$M$1="Nº de decks (maior primeiro)","K"&amp;RIGHT("00"&amp;(99-N(G616)),2)&amp;AH616&amp;RIGHT("00000"&amp;ROW(),5),"K"&amp;RIGHT("00000"&amp;ROW(),5))))))</f>
        <v/>
      </c>
      <c r="AJ616" s="11" t="str">
        <f aca="false">IF(AI616="","",COUNTIFS($AI$2:$AI$801,"&lt;"&amp;AI616,$E$2:$E$801,"&gt;0")+1)</f>
        <v/>
      </c>
      <c r="AK616" s="11" t="str">
        <f aca="false">IF(OR(A616="",N(E616)&lt;=0),"",COUNTIFS($AH$2:$AH$801,"&lt;"&amp;AH616,$E$2:$E$801,"&gt;0")+COUNTIFS($AH$2:AH616,AH616,$E$2:E616,"&gt;0"))</f>
        <v/>
      </c>
    </row>
    <row r="617" customFormat="false" ht="15" hidden="false" customHeight="false" outlineLevel="0" collapsed="false">
      <c r="A617" s="11" t="str">
        <f aca="false">IF(INVENTÁRIO!A617="","",INVENTÁRIO!A617)</f>
        <v/>
      </c>
      <c r="B617" s="11" t="str">
        <f aca="false">IF(A617="","",INVENTÁRIO!B617)</f>
        <v/>
      </c>
      <c r="C617" s="16" t="str">
        <f aca="false">IF(A617="","",INVENTÁRIO!C617)</f>
        <v/>
      </c>
      <c r="D617" s="14" t="str">
        <f aca="false">IF(A617="","",MAX(K617:AD617))</f>
        <v/>
      </c>
      <c r="E617" s="14" t="str">
        <f aca="false">IF(A617="","",MAX(0,D617-C617))</f>
        <v/>
      </c>
      <c r="F617" s="16" t="str">
        <f aca="false">IF(A617="","",IF(D617=0,"Fora dos decks",IF(E617=0,"Completo","Falta")))</f>
        <v/>
      </c>
      <c r="G617" s="16" t="str">
        <f aca="false">IF(A617="","",COUNTIF(K617:AD617,"&gt;0"))</f>
        <v/>
      </c>
      <c r="H617" s="16" t="str">
        <f aca="false">IF(A617="","",IF(G617&gt;1,"Sim",""))</f>
        <v/>
      </c>
      <c r="I617" s="18" t="str">
        <f aca="false">IF(A617="","",SUMIFS(DECKS!$D$2:$D$1201,DECKS!$B$2:$B$1201,A617))</f>
        <v/>
      </c>
      <c r="J617" s="18" t="str">
        <f aca="false">IF(A617="","",MAX(0,I617-C617))</f>
        <v/>
      </c>
      <c r="K617" s="19" t="str">
        <f aca="false">IF(OR($A617="",INDEX(_LEITURA!$Q$2:$Q$21,1)=0),"",SUMIFS(DECKS!$D$2:$D$1201,DECKS!$A$2:$A$1201,INDEX(_LEITURA!$P$2:$P$21,1),DECKS!$B$2:$B$1201,$A617))</f>
        <v/>
      </c>
      <c r="L617" s="19" t="str">
        <f aca="false">IF(OR($A617="",INDEX(_LEITURA!$Q$2:$Q$21,2)=0),"",SUMIFS(DECKS!$D$2:$D$1201,DECKS!$A$2:$A$1201,INDEX(_LEITURA!$P$2:$P$21,2),DECKS!$B$2:$B$1201,$A617))</f>
        <v/>
      </c>
      <c r="M617" s="19" t="str">
        <f aca="false">IF(OR($A617="",INDEX(_LEITURA!$Q$2:$Q$21,3)=0),"",SUMIFS(DECKS!$D$2:$D$1201,DECKS!$A$2:$A$1201,INDEX(_LEITURA!$P$2:$P$21,3),DECKS!$B$2:$B$1201,$A617))</f>
        <v/>
      </c>
      <c r="N617" s="19" t="str">
        <f aca="false">IF(OR($A617="",INDEX(_LEITURA!$Q$2:$Q$21,4)=0),"",SUMIFS(DECKS!$D$2:$D$1201,DECKS!$A$2:$A$1201,INDEX(_LEITURA!$P$2:$P$21,4),DECKS!$B$2:$B$1201,$A617))</f>
        <v/>
      </c>
      <c r="O617" s="19" t="str">
        <f aca="false">IF(OR($A617="",INDEX(_LEITURA!$Q$2:$Q$21,5)=0),"",SUMIFS(DECKS!$D$2:$D$1201,DECKS!$A$2:$A$1201,INDEX(_LEITURA!$P$2:$P$21,5),DECKS!$B$2:$B$1201,$A617))</f>
        <v/>
      </c>
      <c r="P617" s="19" t="str">
        <f aca="false">IF(OR($A617="",INDEX(_LEITURA!$Q$2:$Q$21,6)=0),"",SUMIFS(DECKS!$D$2:$D$1201,DECKS!$A$2:$A$1201,INDEX(_LEITURA!$P$2:$P$21,6),DECKS!$B$2:$B$1201,$A617))</f>
        <v/>
      </c>
      <c r="Q617" s="19" t="str">
        <f aca="false">IF(OR($A617="",INDEX(_LEITURA!$Q$2:$Q$21,7)=0),"",SUMIFS(DECKS!$D$2:$D$1201,DECKS!$A$2:$A$1201,INDEX(_LEITURA!$P$2:$P$21,7),DECKS!$B$2:$B$1201,$A617))</f>
        <v/>
      </c>
      <c r="R617" s="19" t="str">
        <f aca="false">IF(OR($A617="",INDEX(_LEITURA!$Q$2:$Q$21,8)=0),"",SUMIFS(DECKS!$D$2:$D$1201,DECKS!$A$2:$A$1201,INDEX(_LEITURA!$P$2:$P$21,8),DECKS!$B$2:$B$1201,$A617))</f>
        <v/>
      </c>
      <c r="S617" s="19" t="str">
        <f aca="false">IF(OR($A617="",INDEX(_LEITURA!$Q$2:$Q$21,9)=0),"",SUMIFS(DECKS!$D$2:$D$1201,DECKS!$A$2:$A$1201,INDEX(_LEITURA!$P$2:$P$21,9),DECKS!$B$2:$B$1201,$A617))</f>
        <v/>
      </c>
      <c r="T617" s="19" t="str">
        <f aca="false">IF(OR($A617="",INDEX(_LEITURA!$Q$2:$Q$21,10)=0),"",SUMIFS(DECKS!$D$2:$D$1201,DECKS!$A$2:$A$1201,INDEX(_LEITURA!$P$2:$P$21,10),DECKS!$B$2:$B$1201,$A617))</f>
        <v/>
      </c>
      <c r="U617" s="19" t="str">
        <f aca="false">IF(OR($A617="",INDEX(_LEITURA!$Q$2:$Q$21,11)=0),"",SUMIFS(DECKS!$D$2:$D$1201,DECKS!$A$2:$A$1201,INDEX(_LEITURA!$P$2:$P$21,11),DECKS!$B$2:$B$1201,$A617))</f>
        <v/>
      </c>
      <c r="V617" s="19" t="str">
        <f aca="false">IF(OR($A617="",INDEX(_LEITURA!$Q$2:$Q$21,12)=0),"",SUMIFS(DECKS!$D$2:$D$1201,DECKS!$A$2:$A$1201,INDEX(_LEITURA!$P$2:$P$21,12),DECKS!$B$2:$B$1201,$A617))</f>
        <v/>
      </c>
      <c r="W617" s="19" t="str">
        <f aca="false">IF(OR($A617="",INDEX(_LEITURA!$Q$2:$Q$21,13)=0),"",SUMIFS(DECKS!$D$2:$D$1201,DECKS!$A$2:$A$1201,INDEX(_LEITURA!$P$2:$P$21,13),DECKS!$B$2:$B$1201,$A617))</f>
        <v/>
      </c>
      <c r="X617" s="19" t="str">
        <f aca="false">IF(OR($A617="",INDEX(_LEITURA!$Q$2:$Q$21,14)=0),"",SUMIFS(DECKS!$D$2:$D$1201,DECKS!$A$2:$A$1201,INDEX(_LEITURA!$P$2:$P$21,14),DECKS!$B$2:$B$1201,$A617))</f>
        <v/>
      </c>
      <c r="Y617" s="19" t="str">
        <f aca="false">IF(OR($A617="",INDEX(_LEITURA!$Q$2:$Q$21,15)=0),"",SUMIFS(DECKS!$D$2:$D$1201,DECKS!$A$2:$A$1201,INDEX(_LEITURA!$P$2:$P$21,15),DECKS!$B$2:$B$1201,$A617))</f>
        <v/>
      </c>
      <c r="Z617" s="19" t="str">
        <f aca="false">IF(OR($A617="",INDEX(_LEITURA!$Q$2:$Q$21,16)=0),"",SUMIFS(DECKS!$D$2:$D$1201,DECKS!$A$2:$A$1201,INDEX(_LEITURA!$P$2:$P$21,16),DECKS!$B$2:$B$1201,$A617))</f>
        <v/>
      </c>
      <c r="AA617" s="19" t="str">
        <f aca="false">IF(OR($A617="",INDEX(_LEITURA!$Q$2:$Q$21,17)=0),"",SUMIFS(DECKS!$D$2:$D$1201,DECKS!$A$2:$A$1201,INDEX(_LEITURA!$P$2:$P$21,17),DECKS!$B$2:$B$1201,$A617))</f>
        <v/>
      </c>
      <c r="AB617" s="19" t="str">
        <f aca="false">IF(OR($A617="",INDEX(_LEITURA!$Q$2:$Q$21,18)=0),"",SUMIFS(DECKS!$D$2:$D$1201,DECKS!$A$2:$A$1201,INDEX(_LEITURA!$P$2:$P$21,18),DECKS!$B$2:$B$1201,$A617))</f>
        <v/>
      </c>
      <c r="AC617" s="19" t="str">
        <f aca="false">IF(OR($A617="",INDEX(_LEITURA!$Q$2:$Q$21,19)=0),"",SUMIFS(DECKS!$D$2:$D$1201,DECKS!$A$2:$A$1201,INDEX(_LEITURA!$P$2:$P$21,19),DECKS!$B$2:$B$1201,$A617))</f>
        <v/>
      </c>
      <c r="AD617" s="19" t="str">
        <f aca="false">IF(OR($A617="",INDEX(_LEITURA!$Q$2:$Q$21,20)=0),"",SUMIFS(DECKS!$D$2:$D$1201,DECKS!$A$2:$A$1201,INDEX(_LEITURA!$P$2:$P$21,20),DECKS!$B$2:$B$1201,$A617))</f>
        <v/>
      </c>
      <c r="AE617" s="16" t="str">
        <f aca="false">IF(N(E617)&gt;0,MAX(AE$1:AE616)+1,"")</f>
        <v/>
      </c>
      <c r="AF617" s="11" t="str">
        <f aca="false">IF(A617="","",IFERROR(LEFT(A617,FIND("-",A617)-1),A617))</f>
        <v/>
      </c>
      <c r="AG617" s="11" t="str">
        <f aca="false">IF(AF617="","",IF(ISNUMBER(--MID(AF617,1,1)),0,IF(ISNUMBER(--MID(AF617,2,1)),1,IF(ISNUMBER(--MID(AF617,3,1)),2,IF(ISNUMBER(--MID(AF617,4,1)),3,MIN(LEN(AF617),4))))))</f>
        <v/>
      </c>
      <c r="AH617" s="11" t="str">
        <f aca="false">IF(A617="","",LEFT(AF617,AG617)&amp;REPT("0",4-AG617)&amp;RIGHT("000"&amp;IFERROR(VALUE(MID(AF617,AG617+1,9)),0),3)&amp;RIGHT("0000"&amp;IFERROR(VALUE(MID(A617,FIND("-",A617)+1,9)),0),4))</f>
        <v/>
      </c>
      <c r="AI617" s="11" t="str">
        <f aca="false">IF(OR(A617="",N(E617)&lt;=0),"",IF('FALTAS GERAL'!$M$1="Código","K"&amp;AH617&amp;RIGHT("00000"&amp;ROW(),5),IF('FALTAS GERAL'!$M$1="Nome","K"&amp;UPPER(SUBSTITUTE(SUBSTITUTE(SUBSTITUTE(B617,"*",""),"?",""),"~",""))&amp;"0"&amp;AH617&amp;RIGHT("00000"&amp;ROW(),5),IF('FALTAS GERAL'!$M$1="Falta (maior primeiro)","K"&amp;RIGHT("0000"&amp;(9999-E617),4)&amp;AH617&amp;RIGHT("00000"&amp;ROW(),5),IF('FALTAS GERAL'!$M$1="Nº de decks (maior primeiro)","K"&amp;RIGHT("00"&amp;(99-N(G617)),2)&amp;AH617&amp;RIGHT("00000"&amp;ROW(),5),"K"&amp;RIGHT("00000"&amp;ROW(),5))))))</f>
        <v/>
      </c>
      <c r="AJ617" s="11" t="str">
        <f aca="false">IF(AI617="","",COUNTIFS($AI$2:$AI$801,"&lt;"&amp;AI617,$E$2:$E$801,"&gt;0")+1)</f>
        <v/>
      </c>
      <c r="AK617" s="11" t="str">
        <f aca="false">IF(OR(A617="",N(E617)&lt;=0),"",COUNTIFS($AH$2:$AH$801,"&lt;"&amp;AH617,$E$2:$E$801,"&gt;0")+COUNTIFS($AH$2:AH617,AH617,$E$2:E617,"&gt;0"))</f>
        <v/>
      </c>
    </row>
    <row r="618" customFormat="false" ht="15" hidden="false" customHeight="false" outlineLevel="0" collapsed="false">
      <c r="A618" s="11" t="str">
        <f aca="false">IF(INVENTÁRIO!A618="","",INVENTÁRIO!A618)</f>
        <v/>
      </c>
      <c r="B618" s="11" t="str">
        <f aca="false">IF(A618="","",INVENTÁRIO!B618)</f>
        <v/>
      </c>
      <c r="C618" s="16" t="str">
        <f aca="false">IF(A618="","",INVENTÁRIO!C618)</f>
        <v/>
      </c>
      <c r="D618" s="14" t="str">
        <f aca="false">IF(A618="","",MAX(K618:AD618))</f>
        <v/>
      </c>
      <c r="E618" s="14" t="str">
        <f aca="false">IF(A618="","",MAX(0,D618-C618))</f>
        <v/>
      </c>
      <c r="F618" s="16" t="str">
        <f aca="false">IF(A618="","",IF(D618=0,"Fora dos decks",IF(E618=0,"Completo","Falta")))</f>
        <v/>
      </c>
      <c r="G618" s="16" t="str">
        <f aca="false">IF(A618="","",COUNTIF(K618:AD618,"&gt;0"))</f>
        <v/>
      </c>
      <c r="H618" s="16" t="str">
        <f aca="false">IF(A618="","",IF(G618&gt;1,"Sim",""))</f>
        <v/>
      </c>
      <c r="I618" s="18" t="str">
        <f aca="false">IF(A618="","",SUMIFS(DECKS!$D$2:$D$1201,DECKS!$B$2:$B$1201,A618))</f>
        <v/>
      </c>
      <c r="J618" s="18" t="str">
        <f aca="false">IF(A618="","",MAX(0,I618-C618))</f>
        <v/>
      </c>
      <c r="K618" s="19" t="str">
        <f aca="false">IF(OR($A618="",INDEX(_LEITURA!$Q$2:$Q$21,1)=0),"",SUMIFS(DECKS!$D$2:$D$1201,DECKS!$A$2:$A$1201,INDEX(_LEITURA!$P$2:$P$21,1),DECKS!$B$2:$B$1201,$A618))</f>
        <v/>
      </c>
      <c r="L618" s="19" t="str">
        <f aca="false">IF(OR($A618="",INDEX(_LEITURA!$Q$2:$Q$21,2)=0),"",SUMIFS(DECKS!$D$2:$D$1201,DECKS!$A$2:$A$1201,INDEX(_LEITURA!$P$2:$P$21,2),DECKS!$B$2:$B$1201,$A618))</f>
        <v/>
      </c>
      <c r="M618" s="19" t="str">
        <f aca="false">IF(OR($A618="",INDEX(_LEITURA!$Q$2:$Q$21,3)=0),"",SUMIFS(DECKS!$D$2:$D$1201,DECKS!$A$2:$A$1201,INDEX(_LEITURA!$P$2:$P$21,3),DECKS!$B$2:$B$1201,$A618))</f>
        <v/>
      </c>
      <c r="N618" s="19" t="str">
        <f aca="false">IF(OR($A618="",INDEX(_LEITURA!$Q$2:$Q$21,4)=0),"",SUMIFS(DECKS!$D$2:$D$1201,DECKS!$A$2:$A$1201,INDEX(_LEITURA!$P$2:$P$21,4),DECKS!$B$2:$B$1201,$A618))</f>
        <v/>
      </c>
      <c r="O618" s="19" t="str">
        <f aca="false">IF(OR($A618="",INDEX(_LEITURA!$Q$2:$Q$21,5)=0),"",SUMIFS(DECKS!$D$2:$D$1201,DECKS!$A$2:$A$1201,INDEX(_LEITURA!$P$2:$P$21,5),DECKS!$B$2:$B$1201,$A618))</f>
        <v/>
      </c>
      <c r="P618" s="19" t="str">
        <f aca="false">IF(OR($A618="",INDEX(_LEITURA!$Q$2:$Q$21,6)=0),"",SUMIFS(DECKS!$D$2:$D$1201,DECKS!$A$2:$A$1201,INDEX(_LEITURA!$P$2:$P$21,6),DECKS!$B$2:$B$1201,$A618))</f>
        <v/>
      </c>
      <c r="Q618" s="19" t="str">
        <f aca="false">IF(OR($A618="",INDEX(_LEITURA!$Q$2:$Q$21,7)=0),"",SUMIFS(DECKS!$D$2:$D$1201,DECKS!$A$2:$A$1201,INDEX(_LEITURA!$P$2:$P$21,7),DECKS!$B$2:$B$1201,$A618))</f>
        <v/>
      </c>
      <c r="R618" s="19" t="str">
        <f aca="false">IF(OR($A618="",INDEX(_LEITURA!$Q$2:$Q$21,8)=0),"",SUMIFS(DECKS!$D$2:$D$1201,DECKS!$A$2:$A$1201,INDEX(_LEITURA!$P$2:$P$21,8),DECKS!$B$2:$B$1201,$A618))</f>
        <v/>
      </c>
      <c r="S618" s="19" t="str">
        <f aca="false">IF(OR($A618="",INDEX(_LEITURA!$Q$2:$Q$21,9)=0),"",SUMIFS(DECKS!$D$2:$D$1201,DECKS!$A$2:$A$1201,INDEX(_LEITURA!$P$2:$P$21,9),DECKS!$B$2:$B$1201,$A618))</f>
        <v/>
      </c>
      <c r="T618" s="19" t="str">
        <f aca="false">IF(OR($A618="",INDEX(_LEITURA!$Q$2:$Q$21,10)=0),"",SUMIFS(DECKS!$D$2:$D$1201,DECKS!$A$2:$A$1201,INDEX(_LEITURA!$P$2:$P$21,10),DECKS!$B$2:$B$1201,$A618))</f>
        <v/>
      </c>
      <c r="U618" s="19" t="str">
        <f aca="false">IF(OR($A618="",INDEX(_LEITURA!$Q$2:$Q$21,11)=0),"",SUMIFS(DECKS!$D$2:$D$1201,DECKS!$A$2:$A$1201,INDEX(_LEITURA!$P$2:$P$21,11),DECKS!$B$2:$B$1201,$A618))</f>
        <v/>
      </c>
      <c r="V618" s="19" t="str">
        <f aca="false">IF(OR($A618="",INDEX(_LEITURA!$Q$2:$Q$21,12)=0),"",SUMIFS(DECKS!$D$2:$D$1201,DECKS!$A$2:$A$1201,INDEX(_LEITURA!$P$2:$P$21,12),DECKS!$B$2:$B$1201,$A618))</f>
        <v/>
      </c>
      <c r="W618" s="19" t="str">
        <f aca="false">IF(OR($A618="",INDEX(_LEITURA!$Q$2:$Q$21,13)=0),"",SUMIFS(DECKS!$D$2:$D$1201,DECKS!$A$2:$A$1201,INDEX(_LEITURA!$P$2:$P$21,13),DECKS!$B$2:$B$1201,$A618))</f>
        <v/>
      </c>
      <c r="X618" s="19" t="str">
        <f aca="false">IF(OR($A618="",INDEX(_LEITURA!$Q$2:$Q$21,14)=0),"",SUMIFS(DECKS!$D$2:$D$1201,DECKS!$A$2:$A$1201,INDEX(_LEITURA!$P$2:$P$21,14),DECKS!$B$2:$B$1201,$A618))</f>
        <v/>
      </c>
      <c r="Y618" s="19" t="str">
        <f aca="false">IF(OR($A618="",INDEX(_LEITURA!$Q$2:$Q$21,15)=0),"",SUMIFS(DECKS!$D$2:$D$1201,DECKS!$A$2:$A$1201,INDEX(_LEITURA!$P$2:$P$21,15),DECKS!$B$2:$B$1201,$A618))</f>
        <v/>
      </c>
      <c r="Z618" s="19" t="str">
        <f aca="false">IF(OR($A618="",INDEX(_LEITURA!$Q$2:$Q$21,16)=0),"",SUMIFS(DECKS!$D$2:$D$1201,DECKS!$A$2:$A$1201,INDEX(_LEITURA!$P$2:$P$21,16),DECKS!$B$2:$B$1201,$A618))</f>
        <v/>
      </c>
      <c r="AA618" s="19" t="str">
        <f aca="false">IF(OR($A618="",INDEX(_LEITURA!$Q$2:$Q$21,17)=0),"",SUMIFS(DECKS!$D$2:$D$1201,DECKS!$A$2:$A$1201,INDEX(_LEITURA!$P$2:$P$21,17),DECKS!$B$2:$B$1201,$A618))</f>
        <v/>
      </c>
      <c r="AB618" s="19" t="str">
        <f aca="false">IF(OR($A618="",INDEX(_LEITURA!$Q$2:$Q$21,18)=0),"",SUMIFS(DECKS!$D$2:$D$1201,DECKS!$A$2:$A$1201,INDEX(_LEITURA!$P$2:$P$21,18),DECKS!$B$2:$B$1201,$A618))</f>
        <v/>
      </c>
      <c r="AC618" s="19" t="str">
        <f aca="false">IF(OR($A618="",INDEX(_LEITURA!$Q$2:$Q$21,19)=0),"",SUMIFS(DECKS!$D$2:$D$1201,DECKS!$A$2:$A$1201,INDEX(_LEITURA!$P$2:$P$21,19),DECKS!$B$2:$B$1201,$A618))</f>
        <v/>
      </c>
      <c r="AD618" s="19" t="str">
        <f aca="false">IF(OR($A618="",INDEX(_LEITURA!$Q$2:$Q$21,20)=0),"",SUMIFS(DECKS!$D$2:$D$1201,DECKS!$A$2:$A$1201,INDEX(_LEITURA!$P$2:$P$21,20),DECKS!$B$2:$B$1201,$A618))</f>
        <v/>
      </c>
      <c r="AE618" s="16" t="str">
        <f aca="false">IF(N(E618)&gt;0,MAX(AE$1:AE617)+1,"")</f>
        <v/>
      </c>
      <c r="AF618" s="11" t="str">
        <f aca="false">IF(A618="","",IFERROR(LEFT(A618,FIND("-",A618)-1),A618))</f>
        <v/>
      </c>
      <c r="AG618" s="11" t="str">
        <f aca="false">IF(AF618="","",IF(ISNUMBER(--MID(AF618,1,1)),0,IF(ISNUMBER(--MID(AF618,2,1)),1,IF(ISNUMBER(--MID(AF618,3,1)),2,IF(ISNUMBER(--MID(AF618,4,1)),3,MIN(LEN(AF618),4))))))</f>
        <v/>
      </c>
      <c r="AH618" s="11" t="str">
        <f aca="false">IF(A618="","",LEFT(AF618,AG618)&amp;REPT("0",4-AG618)&amp;RIGHT("000"&amp;IFERROR(VALUE(MID(AF618,AG618+1,9)),0),3)&amp;RIGHT("0000"&amp;IFERROR(VALUE(MID(A618,FIND("-",A618)+1,9)),0),4))</f>
        <v/>
      </c>
      <c r="AI618" s="11" t="str">
        <f aca="false">IF(OR(A618="",N(E618)&lt;=0),"",IF('FALTAS GERAL'!$M$1="Código","K"&amp;AH618&amp;RIGHT("00000"&amp;ROW(),5),IF('FALTAS GERAL'!$M$1="Nome","K"&amp;UPPER(SUBSTITUTE(SUBSTITUTE(SUBSTITUTE(B618,"*",""),"?",""),"~",""))&amp;"0"&amp;AH618&amp;RIGHT("00000"&amp;ROW(),5),IF('FALTAS GERAL'!$M$1="Falta (maior primeiro)","K"&amp;RIGHT("0000"&amp;(9999-E618),4)&amp;AH618&amp;RIGHT("00000"&amp;ROW(),5),IF('FALTAS GERAL'!$M$1="Nº de decks (maior primeiro)","K"&amp;RIGHT("00"&amp;(99-N(G618)),2)&amp;AH618&amp;RIGHT("00000"&amp;ROW(),5),"K"&amp;RIGHT("00000"&amp;ROW(),5))))))</f>
        <v/>
      </c>
      <c r="AJ618" s="11" t="str">
        <f aca="false">IF(AI618="","",COUNTIFS($AI$2:$AI$801,"&lt;"&amp;AI618,$E$2:$E$801,"&gt;0")+1)</f>
        <v/>
      </c>
      <c r="AK618" s="11" t="str">
        <f aca="false">IF(OR(A618="",N(E618)&lt;=0),"",COUNTIFS($AH$2:$AH$801,"&lt;"&amp;AH618,$E$2:$E$801,"&gt;0")+COUNTIFS($AH$2:AH618,AH618,$E$2:E618,"&gt;0"))</f>
        <v/>
      </c>
    </row>
    <row r="619" customFormat="false" ht="15" hidden="false" customHeight="false" outlineLevel="0" collapsed="false">
      <c r="A619" s="11" t="str">
        <f aca="false">IF(INVENTÁRIO!A619="","",INVENTÁRIO!A619)</f>
        <v/>
      </c>
      <c r="B619" s="11" t="str">
        <f aca="false">IF(A619="","",INVENTÁRIO!B619)</f>
        <v/>
      </c>
      <c r="C619" s="16" t="str">
        <f aca="false">IF(A619="","",INVENTÁRIO!C619)</f>
        <v/>
      </c>
      <c r="D619" s="14" t="str">
        <f aca="false">IF(A619="","",MAX(K619:AD619))</f>
        <v/>
      </c>
      <c r="E619" s="14" t="str">
        <f aca="false">IF(A619="","",MAX(0,D619-C619))</f>
        <v/>
      </c>
      <c r="F619" s="16" t="str">
        <f aca="false">IF(A619="","",IF(D619=0,"Fora dos decks",IF(E619=0,"Completo","Falta")))</f>
        <v/>
      </c>
      <c r="G619" s="16" t="str">
        <f aca="false">IF(A619="","",COUNTIF(K619:AD619,"&gt;0"))</f>
        <v/>
      </c>
      <c r="H619" s="16" t="str">
        <f aca="false">IF(A619="","",IF(G619&gt;1,"Sim",""))</f>
        <v/>
      </c>
      <c r="I619" s="18" t="str">
        <f aca="false">IF(A619="","",SUMIFS(DECKS!$D$2:$D$1201,DECKS!$B$2:$B$1201,A619))</f>
        <v/>
      </c>
      <c r="J619" s="18" t="str">
        <f aca="false">IF(A619="","",MAX(0,I619-C619))</f>
        <v/>
      </c>
      <c r="K619" s="19" t="str">
        <f aca="false">IF(OR($A619="",INDEX(_LEITURA!$Q$2:$Q$21,1)=0),"",SUMIFS(DECKS!$D$2:$D$1201,DECKS!$A$2:$A$1201,INDEX(_LEITURA!$P$2:$P$21,1),DECKS!$B$2:$B$1201,$A619))</f>
        <v/>
      </c>
      <c r="L619" s="19" t="str">
        <f aca="false">IF(OR($A619="",INDEX(_LEITURA!$Q$2:$Q$21,2)=0),"",SUMIFS(DECKS!$D$2:$D$1201,DECKS!$A$2:$A$1201,INDEX(_LEITURA!$P$2:$P$21,2),DECKS!$B$2:$B$1201,$A619))</f>
        <v/>
      </c>
      <c r="M619" s="19" t="str">
        <f aca="false">IF(OR($A619="",INDEX(_LEITURA!$Q$2:$Q$21,3)=0),"",SUMIFS(DECKS!$D$2:$D$1201,DECKS!$A$2:$A$1201,INDEX(_LEITURA!$P$2:$P$21,3),DECKS!$B$2:$B$1201,$A619))</f>
        <v/>
      </c>
      <c r="N619" s="19" t="str">
        <f aca="false">IF(OR($A619="",INDEX(_LEITURA!$Q$2:$Q$21,4)=0),"",SUMIFS(DECKS!$D$2:$D$1201,DECKS!$A$2:$A$1201,INDEX(_LEITURA!$P$2:$P$21,4),DECKS!$B$2:$B$1201,$A619))</f>
        <v/>
      </c>
      <c r="O619" s="19" t="str">
        <f aca="false">IF(OR($A619="",INDEX(_LEITURA!$Q$2:$Q$21,5)=0),"",SUMIFS(DECKS!$D$2:$D$1201,DECKS!$A$2:$A$1201,INDEX(_LEITURA!$P$2:$P$21,5),DECKS!$B$2:$B$1201,$A619))</f>
        <v/>
      </c>
      <c r="P619" s="19" t="str">
        <f aca="false">IF(OR($A619="",INDEX(_LEITURA!$Q$2:$Q$21,6)=0),"",SUMIFS(DECKS!$D$2:$D$1201,DECKS!$A$2:$A$1201,INDEX(_LEITURA!$P$2:$P$21,6),DECKS!$B$2:$B$1201,$A619))</f>
        <v/>
      </c>
      <c r="Q619" s="19" t="str">
        <f aca="false">IF(OR($A619="",INDEX(_LEITURA!$Q$2:$Q$21,7)=0),"",SUMIFS(DECKS!$D$2:$D$1201,DECKS!$A$2:$A$1201,INDEX(_LEITURA!$P$2:$P$21,7),DECKS!$B$2:$B$1201,$A619))</f>
        <v/>
      </c>
      <c r="R619" s="19" t="str">
        <f aca="false">IF(OR($A619="",INDEX(_LEITURA!$Q$2:$Q$21,8)=0),"",SUMIFS(DECKS!$D$2:$D$1201,DECKS!$A$2:$A$1201,INDEX(_LEITURA!$P$2:$P$21,8),DECKS!$B$2:$B$1201,$A619))</f>
        <v/>
      </c>
      <c r="S619" s="19" t="str">
        <f aca="false">IF(OR($A619="",INDEX(_LEITURA!$Q$2:$Q$21,9)=0),"",SUMIFS(DECKS!$D$2:$D$1201,DECKS!$A$2:$A$1201,INDEX(_LEITURA!$P$2:$P$21,9),DECKS!$B$2:$B$1201,$A619))</f>
        <v/>
      </c>
      <c r="T619" s="19" t="str">
        <f aca="false">IF(OR($A619="",INDEX(_LEITURA!$Q$2:$Q$21,10)=0),"",SUMIFS(DECKS!$D$2:$D$1201,DECKS!$A$2:$A$1201,INDEX(_LEITURA!$P$2:$P$21,10),DECKS!$B$2:$B$1201,$A619))</f>
        <v/>
      </c>
      <c r="U619" s="19" t="str">
        <f aca="false">IF(OR($A619="",INDEX(_LEITURA!$Q$2:$Q$21,11)=0),"",SUMIFS(DECKS!$D$2:$D$1201,DECKS!$A$2:$A$1201,INDEX(_LEITURA!$P$2:$P$21,11),DECKS!$B$2:$B$1201,$A619))</f>
        <v/>
      </c>
      <c r="V619" s="19" t="str">
        <f aca="false">IF(OR($A619="",INDEX(_LEITURA!$Q$2:$Q$21,12)=0),"",SUMIFS(DECKS!$D$2:$D$1201,DECKS!$A$2:$A$1201,INDEX(_LEITURA!$P$2:$P$21,12),DECKS!$B$2:$B$1201,$A619))</f>
        <v/>
      </c>
      <c r="W619" s="19" t="str">
        <f aca="false">IF(OR($A619="",INDEX(_LEITURA!$Q$2:$Q$21,13)=0),"",SUMIFS(DECKS!$D$2:$D$1201,DECKS!$A$2:$A$1201,INDEX(_LEITURA!$P$2:$P$21,13),DECKS!$B$2:$B$1201,$A619))</f>
        <v/>
      </c>
      <c r="X619" s="19" t="str">
        <f aca="false">IF(OR($A619="",INDEX(_LEITURA!$Q$2:$Q$21,14)=0),"",SUMIFS(DECKS!$D$2:$D$1201,DECKS!$A$2:$A$1201,INDEX(_LEITURA!$P$2:$P$21,14),DECKS!$B$2:$B$1201,$A619))</f>
        <v/>
      </c>
      <c r="Y619" s="19" t="str">
        <f aca="false">IF(OR($A619="",INDEX(_LEITURA!$Q$2:$Q$21,15)=0),"",SUMIFS(DECKS!$D$2:$D$1201,DECKS!$A$2:$A$1201,INDEX(_LEITURA!$P$2:$P$21,15),DECKS!$B$2:$B$1201,$A619))</f>
        <v/>
      </c>
      <c r="Z619" s="19" t="str">
        <f aca="false">IF(OR($A619="",INDEX(_LEITURA!$Q$2:$Q$21,16)=0),"",SUMIFS(DECKS!$D$2:$D$1201,DECKS!$A$2:$A$1201,INDEX(_LEITURA!$P$2:$P$21,16),DECKS!$B$2:$B$1201,$A619))</f>
        <v/>
      </c>
      <c r="AA619" s="19" t="str">
        <f aca="false">IF(OR($A619="",INDEX(_LEITURA!$Q$2:$Q$21,17)=0),"",SUMIFS(DECKS!$D$2:$D$1201,DECKS!$A$2:$A$1201,INDEX(_LEITURA!$P$2:$P$21,17),DECKS!$B$2:$B$1201,$A619))</f>
        <v/>
      </c>
      <c r="AB619" s="19" t="str">
        <f aca="false">IF(OR($A619="",INDEX(_LEITURA!$Q$2:$Q$21,18)=0),"",SUMIFS(DECKS!$D$2:$D$1201,DECKS!$A$2:$A$1201,INDEX(_LEITURA!$P$2:$P$21,18),DECKS!$B$2:$B$1201,$A619))</f>
        <v/>
      </c>
      <c r="AC619" s="19" t="str">
        <f aca="false">IF(OR($A619="",INDEX(_LEITURA!$Q$2:$Q$21,19)=0),"",SUMIFS(DECKS!$D$2:$D$1201,DECKS!$A$2:$A$1201,INDEX(_LEITURA!$P$2:$P$21,19),DECKS!$B$2:$B$1201,$A619))</f>
        <v/>
      </c>
      <c r="AD619" s="19" t="str">
        <f aca="false">IF(OR($A619="",INDEX(_LEITURA!$Q$2:$Q$21,20)=0),"",SUMIFS(DECKS!$D$2:$D$1201,DECKS!$A$2:$A$1201,INDEX(_LEITURA!$P$2:$P$21,20),DECKS!$B$2:$B$1201,$A619))</f>
        <v/>
      </c>
      <c r="AE619" s="16" t="str">
        <f aca="false">IF(N(E619)&gt;0,MAX(AE$1:AE618)+1,"")</f>
        <v/>
      </c>
      <c r="AF619" s="11" t="str">
        <f aca="false">IF(A619="","",IFERROR(LEFT(A619,FIND("-",A619)-1),A619))</f>
        <v/>
      </c>
      <c r="AG619" s="11" t="str">
        <f aca="false">IF(AF619="","",IF(ISNUMBER(--MID(AF619,1,1)),0,IF(ISNUMBER(--MID(AF619,2,1)),1,IF(ISNUMBER(--MID(AF619,3,1)),2,IF(ISNUMBER(--MID(AF619,4,1)),3,MIN(LEN(AF619),4))))))</f>
        <v/>
      </c>
      <c r="AH619" s="11" t="str">
        <f aca="false">IF(A619="","",LEFT(AF619,AG619)&amp;REPT("0",4-AG619)&amp;RIGHT("000"&amp;IFERROR(VALUE(MID(AF619,AG619+1,9)),0),3)&amp;RIGHT("0000"&amp;IFERROR(VALUE(MID(A619,FIND("-",A619)+1,9)),0),4))</f>
        <v/>
      </c>
      <c r="AI619" s="11" t="str">
        <f aca="false">IF(OR(A619="",N(E619)&lt;=0),"",IF('FALTAS GERAL'!$M$1="Código","K"&amp;AH619&amp;RIGHT("00000"&amp;ROW(),5),IF('FALTAS GERAL'!$M$1="Nome","K"&amp;UPPER(SUBSTITUTE(SUBSTITUTE(SUBSTITUTE(B619,"*",""),"?",""),"~",""))&amp;"0"&amp;AH619&amp;RIGHT("00000"&amp;ROW(),5),IF('FALTAS GERAL'!$M$1="Falta (maior primeiro)","K"&amp;RIGHT("0000"&amp;(9999-E619),4)&amp;AH619&amp;RIGHT("00000"&amp;ROW(),5),IF('FALTAS GERAL'!$M$1="Nº de decks (maior primeiro)","K"&amp;RIGHT("00"&amp;(99-N(G619)),2)&amp;AH619&amp;RIGHT("00000"&amp;ROW(),5),"K"&amp;RIGHT("00000"&amp;ROW(),5))))))</f>
        <v/>
      </c>
      <c r="AJ619" s="11" t="str">
        <f aca="false">IF(AI619="","",COUNTIFS($AI$2:$AI$801,"&lt;"&amp;AI619,$E$2:$E$801,"&gt;0")+1)</f>
        <v/>
      </c>
      <c r="AK619" s="11" t="str">
        <f aca="false">IF(OR(A619="",N(E619)&lt;=0),"",COUNTIFS($AH$2:$AH$801,"&lt;"&amp;AH619,$E$2:$E$801,"&gt;0")+COUNTIFS($AH$2:AH619,AH619,$E$2:E619,"&gt;0"))</f>
        <v/>
      </c>
    </row>
    <row r="620" customFormat="false" ht="15" hidden="false" customHeight="false" outlineLevel="0" collapsed="false">
      <c r="A620" s="11" t="str">
        <f aca="false">IF(INVENTÁRIO!A620="","",INVENTÁRIO!A620)</f>
        <v/>
      </c>
      <c r="B620" s="11" t="str">
        <f aca="false">IF(A620="","",INVENTÁRIO!B620)</f>
        <v/>
      </c>
      <c r="C620" s="16" t="str">
        <f aca="false">IF(A620="","",INVENTÁRIO!C620)</f>
        <v/>
      </c>
      <c r="D620" s="14" t="str">
        <f aca="false">IF(A620="","",MAX(K620:AD620))</f>
        <v/>
      </c>
      <c r="E620" s="14" t="str">
        <f aca="false">IF(A620="","",MAX(0,D620-C620))</f>
        <v/>
      </c>
      <c r="F620" s="16" t="str">
        <f aca="false">IF(A620="","",IF(D620=0,"Fora dos decks",IF(E620=0,"Completo","Falta")))</f>
        <v/>
      </c>
      <c r="G620" s="16" t="str">
        <f aca="false">IF(A620="","",COUNTIF(K620:AD620,"&gt;0"))</f>
        <v/>
      </c>
      <c r="H620" s="16" t="str">
        <f aca="false">IF(A620="","",IF(G620&gt;1,"Sim",""))</f>
        <v/>
      </c>
      <c r="I620" s="18" t="str">
        <f aca="false">IF(A620="","",SUMIFS(DECKS!$D$2:$D$1201,DECKS!$B$2:$B$1201,A620))</f>
        <v/>
      </c>
      <c r="J620" s="18" t="str">
        <f aca="false">IF(A620="","",MAX(0,I620-C620))</f>
        <v/>
      </c>
      <c r="K620" s="19" t="str">
        <f aca="false">IF(OR($A620="",INDEX(_LEITURA!$Q$2:$Q$21,1)=0),"",SUMIFS(DECKS!$D$2:$D$1201,DECKS!$A$2:$A$1201,INDEX(_LEITURA!$P$2:$P$21,1),DECKS!$B$2:$B$1201,$A620))</f>
        <v/>
      </c>
      <c r="L620" s="19" t="str">
        <f aca="false">IF(OR($A620="",INDEX(_LEITURA!$Q$2:$Q$21,2)=0),"",SUMIFS(DECKS!$D$2:$D$1201,DECKS!$A$2:$A$1201,INDEX(_LEITURA!$P$2:$P$21,2),DECKS!$B$2:$B$1201,$A620))</f>
        <v/>
      </c>
      <c r="M620" s="19" t="str">
        <f aca="false">IF(OR($A620="",INDEX(_LEITURA!$Q$2:$Q$21,3)=0),"",SUMIFS(DECKS!$D$2:$D$1201,DECKS!$A$2:$A$1201,INDEX(_LEITURA!$P$2:$P$21,3),DECKS!$B$2:$B$1201,$A620))</f>
        <v/>
      </c>
      <c r="N620" s="19" t="str">
        <f aca="false">IF(OR($A620="",INDEX(_LEITURA!$Q$2:$Q$21,4)=0),"",SUMIFS(DECKS!$D$2:$D$1201,DECKS!$A$2:$A$1201,INDEX(_LEITURA!$P$2:$P$21,4),DECKS!$B$2:$B$1201,$A620))</f>
        <v/>
      </c>
      <c r="O620" s="19" t="str">
        <f aca="false">IF(OR($A620="",INDEX(_LEITURA!$Q$2:$Q$21,5)=0),"",SUMIFS(DECKS!$D$2:$D$1201,DECKS!$A$2:$A$1201,INDEX(_LEITURA!$P$2:$P$21,5),DECKS!$B$2:$B$1201,$A620))</f>
        <v/>
      </c>
      <c r="P620" s="19" t="str">
        <f aca="false">IF(OR($A620="",INDEX(_LEITURA!$Q$2:$Q$21,6)=0),"",SUMIFS(DECKS!$D$2:$D$1201,DECKS!$A$2:$A$1201,INDEX(_LEITURA!$P$2:$P$21,6),DECKS!$B$2:$B$1201,$A620))</f>
        <v/>
      </c>
      <c r="Q620" s="19" t="str">
        <f aca="false">IF(OR($A620="",INDEX(_LEITURA!$Q$2:$Q$21,7)=0),"",SUMIFS(DECKS!$D$2:$D$1201,DECKS!$A$2:$A$1201,INDEX(_LEITURA!$P$2:$P$21,7),DECKS!$B$2:$B$1201,$A620))</f>
        <v/>
      </c>
      <c r="R620" s="19" t="str">
        <f aca="false">IF(OR($A620="",INDEX(_LEITURA!$Q$2:$Q$21,8)=0),"",SUMIFS(DECKS!$D$2:$D$1201,DECKS!$A$2:$A$1201,INDEX(_LEITURA!$P$2:$P$21,8),DECKS!$B$2:$B$1201,$A620))</f>
        <v/>
      </c>
      <c r="S620" s="19" t="str">
        <f aca="false">IF(OR($A620="",INDEX(_LEITURA!$Q$2:$Q$21,9)=0),"",SUMIFS(DECKS!$D$2:$D$1201,DECKS!$A$2:$A$1201,INDEX(_LEITURA!$P$2:$P$21,9),DECKS!$B$2:$B$1201,$A620))</f>
        <v/>
      </c>
      <c r="T620" s="19" t="str">
        <f aca="false">IF(OR($A620="",INDEX(_LEITURA!$Q$2:$Q$21,10)=0),"",SUMIFS(DECKS!$D$2:$D$1201,DECKS!$A$2:$A$1201,INDEX(_LEITURA!$P$2:$P$21,10),DECKS!$B$2:$B$1201,$A620))</f>
        <v/>
      </c>
      <c r="U620" s="19" t="str">
        <f aca="false">IF(OR($A620="",INDEX(_LEITURA!$Q$2:$Q$21,11)=0),"",SUMIFS(DECKS!$D$2:$D$1201,DECKS!$A$2:$A$1201,INDEX(_LEITURA!$P$2:$P$21,11),DECKS!$B$2:$B$1201,$A620))</f>
        <v/>
      </c>
      <c r="V620" s="19" t="str">
        <f aca="false">IF(OR($A620="",INDEX(_LEITURA!$Q$2:$Q$21,12)=0),"",SUMIFS(DECKS!$D$2:$D$1201,DECKS!$A$2:$A$1201,INDEX(_LEITURA!$P$2:$P$21,12),DECKS!$B$2:$B$1201,$A620))</f>
        <v/>
      </c>
      <c r="W620" s="19" t="str">
        <f aca="false">IF(OR($A620="",INDEX(_LEITURA!$Q$2:$Q$21,13)=0),"",SUMIFS(DECKS!$D$2:$D$1201,DECKS!$A$2:$A$1201,INDEX(_LEITURA!$P$2:$P$21,13),DECKS!$B$2:$B$1201,$A620))</f>
        <v/>
      </c>
      <c r="X620" s="19" t="str">
        <f aca="false">IF(OR($A620="",INDEX(_LEITURA!$Q$2:$Q$21,14)=0),"",SUMIFS(DECKS!$D$2:$D$1201,DECKS!$A$2:$A$1201,INDEX(_LEITURA!$P$2:$P$21,14),DECKS!$B$2:$B$1201,$A620))</f>
        <v/>
      </c>
      <c r="Y620" s="19" t="str">
        <f aca="false">IF(OR($A620="",INDEX(_LEITURA!$Q$2:$Q$21,15)=0),"",SUMIFS(DECKS!$D$2:$D$1201,DECKS!$A$2:$A$1201,INDEX(_LEITURA!$P$2:$P$21,15),DECKS!$B$2:$B$1201,$A620))</f>
        <v/>
      </c>
      <c r="Z620" s="19" t="str">
        <f aca="false">IF(OR($A620="",INDEX(_LEITURA!$Q$2:$Q$21,16)=0),"",SUMIFS(DECKS!$D$2:$D$1201,DECKS!$A$2:$A$1201,INDEX(_LEITURA!$P$2:$P$21,16),DECKS!$B$2:$B$1201,$A620))</f>
        <v/>
      </c>
      <c r="AA620" s="19" t="str">
        <f aca="false">IF(OR($A620="",INDEX(_LEITURA!$Q$2:$Q$21,17)=0),"",SUMIFS(DECKS!$D$2:$D$1201,DECKS!$A$2:$A$1201,INDEX(_LEITURA!$P$2:$P$21,17),DECKS!$B$2:$B$1201,$A620))</f>
        <v/>
      </c>
      <c r="AB620" s="19" t="str">
        <f aca="false">IF(OR($A620="",INDEX(_LEITURA!$Q$2:$Q$21,18)=0),"",SUMIFS(DECKS!$D$2:$D$1201,DECKS!$A$2:$A$1201,INDEX(_LEITURA!$P$2:$P$21,18),DECKS!$B$2:$B$1201,$A620))</f>
        <v/>
      </c>
      <c r="AC620" s="19" t="str">
        <f aca="false">IF(OR($A620="",INDEX(_LEITURA!$Q$2:$Q$21,19)=0),"",SUMIFS(DECKS!$D$2:$D$1201,DECKS!$A$2:$A$1201,INDEX(_LEITURA!$P$2:$P$21,19),DECKS!$B$2:$B$1201,$A620))</f>
        <v/>
      </c>
      <c r="AD620" s="19" t="str">
        <f aca="false">IF(OR($A620="",INDEX(_LEITURA!$Q$2:$Q$21,20)=0),"",SUMIFS(DECKS!$D$2:$D$1201,DECKS!$A$2:$A$1201,INDEX(_LEITURA!$P$2:$P$21,20),DECKS!$B$2:$B$1201,$A620))</f>
        <v/>
      </c>
      <c r="AE620" s="16" t="str">
        <f aca="false">IF(N(E620)&gt;0,MAX(AE$1:AE619)+1,"")</f>
        <v/>
      </c>
      <c r="AF620" s="11" t="str">
        <f aca="false">IF(A620="","",IFERROR(LEFT(A620,FIND("-",A620)-1),A620))</f>
        <v/>
      </c>
      <c r="AG620" s="11" t="str">
        <f aca="false">IF(AF620="","",IF(ISNUMBER(--MID(AF620,1,1)),0,IF(ISNUMBER(--MID(AF620,2,1)),1,IF(ISNUMBER(--MID(AF620,3,1)),2,IF(ISNUMBER(--MID(AF620,4,1)),3,MIN(LEN(AF620),4))))))</f>
        <v/>
      </c>
      <c r="AH620" s="11" t="str">
        <f aca="false">IF(A620="","",LEFT(AF620,AG620)&amp;REPT("0",4-AG620)&amp;RIGHT("000"&amp;IFERROR(VALUE(MID(AF620,AG620+1,9)),0),3)&amp;RIGHT("0000"&amp;IFERROR(VALUE(MID(A620,FIND("-",A620)+1,9)),0),4))</f>
        <v/>
      </c>
      <c r="AI620" s="11" t="str">
        <f aca="false">IF(OR(A620="",N(E620)&lt;=0),"",IF('FALTAS GERAL'!$M$1="Código","K"&amp;AH620&amp;RIGHT("00000"&amp;ROW(),5),IF('FALTAS GERAL'!$M$1="Nome","K"&amp;UPPER(SUBSTITUTE(SUBSTITUTE(SUBSTITUTE(B620,"*",""),"?",""),"~",""))&amp;"0"&amp;AH620&amp;RIGHT("00000"&amp;ROW(),5),IF('FALTAS GERAL'!$M$1="Falta (maior primeiro)","K"&amp;RIGHT("0000"&amp;(9999-E620),4)&amp;AH620&amp;RIGHT("00000"&amp;ROW(),5),IF('FALTAS GERAL'!$M$1="Nº de decks (maior primeiro)","K"&amp;RIGHT("00"&amp;(99-N(G620)),2)&amp;AH620&amp;RIGHT("00000"&amp;ROW(),5),"K"&amp;RIGHT("00000"&amp;ROW(),5))))))</f>
        <v/>
      </c>
      <c r="AJ620" s="11" t="str">
        <f aca="false">IF(AI620="","",COUNTIFS($AI$2:$AI$801,"&lt;"&amp;AI620,$E$2:$E$801,"&gt;0")+1)</f>
        <v/>
      </c>
      <c r="AK620" s="11" t="str">
        <f aca="false">IF(OR(A620="",N(E620)&lt;=0),"",COUNTIFS($AH$2:$AH$801,"&lt;"&amp;AH620,$E$2:$E$801,"&gt;0")+COUNTIFS($AH$2:AH620,AH620,$E$2:E620,"&gt;0"))</f>
        <v/>
      </c>
    </row>
    <row r="621" customFormat="false" ht="15" hidden="false" customHeight="false" outlineLevel="0" collapsed="false">
      <c r="A621" s="11" t="str">
        <f aca="false">IF(INVENTÁRIO!A621="","",INVENTÁRIO!A621)</f>
        <v/>
      </c>
      <c r="B621" s="11" t="str">
        <f aca="false">IF(A621="","",INVENTÁRIO!B621)</f>
        <v/>
      </c>
      <c r="C621" s="16" t="str">
        <f aca="false">IF(A621="","",INVENTÁRIO!C621)</f>
        <v/>
      </c>
      <c r="D621" s="14" t="str">
        <f aca="false">IF(A621="","",MAX(K621:AD621))</f>
        <v/>
      </c>
      <c r="E621" s="14" t="str">
        <f aca="false">IF(A621="","",MAX(0,D621-C621))</f>
        <v/>
      </c>
      <c r="F621" s="16" t="str">
        <f aca="false">IF(A621="","",IF(D621=0,"Fora dos decks",IF(E621=0,"Completo","Falta")))</f>
        <v/>
      </c>
      <c r="G621" s="16" t="str">
        <f aca="false">IF(A621="","",COUNTIF(K621:AD621,"&gt;0"))</f>
        <v/>
      </c>
      <c r="H621" s="16" t="str">
        <f aca="false">IF(A621="","",IF(G621&gt;1,"Sim",""))</f>
        <v/>
      </c>
      <c r="I621" s="18" t="str">
        <f aca="false">IF(A621="","",SUMIFS(DECKS!$D$2:$D$1201,DECKS!$B$2:$B$1201,A621))</f>
        <v/>
      </c>
      <c r="J621" s="18" t="str">
        <f aca="false">IF(A621="","",MAX(0,I621-C621))</f>
        <v/>
      </c>
      <c r="K621" s="19" t="str">
        <f aca="false">IF(OR($A621="",INDEX(_LEITURA!$Q$2:$Q$21,1)=0),"",SUMIFS(DECKS!$D$2:$D$1201,DECKS!$A$2:$A$1201,INDEX(_LEITURA!$P$2:$P$21,1),DECKS!$B$2:$B$1201,$A621))</f>
        <v/>
      </c>
      <c r="L621" s="19" t="str">
        <f aca="false">IF(OR($A621="",INDEX(_LEITURA!$Q$2:$Q$21,2)=0),"",SUMIFS(DECKS!$D$2:$D$1201,DECKS!$A$2:$A$1201,INDEX(_LEITURA!$P$2:$P$21,2),DECKS!$B$2:$B$1201,$A621))</f>
        <v/>
      </c>
      <c r="M621" s="19" t="str">
        <f aca="false">IF(OR($A621="",INDEX(_LEITURA!$Q$2:$Q$21,3)=0),"",SUMIFS(DECKS!$D$2:$D$1201,DECKS!$A$2:$A$1201,INDEX(_LEITURA!$P$2:$P$21,3),DECKS!$B$2:$B$1201,$A621))</f>
        <v/>
      </c>
      <c r="N621" s="19" t="str">
        <f aca="false">IF(OR($A621="",INDEX(_LEITURA!$Q$2:$Q$21,4)=0),"",SUMIFS(DECKS!$D$2:$D$1201,DECKS!$A$2:$A$1201,INDEX(_LEITURA!$P$2:$P$21,4),DECKS!$B$2:$B$1201,$A621))</f>
        <v/>
      </c>
      <c r="O621" s="19" t="str">
        <f aca="false">IF(OR($A621="",INDEX(_LEITURA!$Q$2:$Q$21,5)=0),"",SUMIFS(DECKS!$D$2:$D$1201,DECKS!$A$2:$A$1201,INDEX(_LEITURA!$P$2:$P$21,5),DECKS!$B$2:$B$1201,$A621))</f>
        <v/>
      </c>
      <c r="P621" s="19" t="str">
        <f aca="false">IF(OR($A621="",INDEX(_LEITURA!$Q$2:$Q$21,6)=0),"",SUMIFS(DECKS!$D$2:$D$1201,DECKS!$A$2:$A$1201,INDEX(_LEITURA!$P$2:$P$21,6),DECKS!$B$2:$B$1201,$A621))</f>
        <v/>
      </c>
      <c r="Q621" s="19" t="str">
        <f aca="false">IF(OR($A621="",INDEX(_LEITURA!$Q$2:$Q$21,7)=0),"",SUMIFS(DECKS!$D$2:$D$1201,DECKS!$A$2:$A$1201,INDEX(_LEITURA!$P$2:$P$21,7),DECKS!$B$2:$B$1201,$A621))</f>
        <v/>
      </c>
      <c r="R621" s="19" t="str">
        <f aca="false">IF(OR($A621="",INDEX(_LEITURA!$Q$2:$Q$21,8)=0),"",SUMIFS(DECKS!$D$2:$D$1201,DECKS!$A$2:$A$1201,INDEX(_LEITURA!$P$2:$P$21,8),DECKS!$B$2:$B$1201,$A621))</f>
        <v/>
      </c>
      <c r="S621" s="19" t="str">
        <f aca="false">IF(OR($A621="",INDEX(_LEITURA!$Q$2:$Q$21,9)=0),"",SUMIFS(DECKS!$D$2:$D$1201,DECKS!$A$2:$A$1201,INDEX(_LEITURA!$P$2:$P$21,9),DECKS!$B$2:$B$1201,$A621))</f>
        <v/>
      </c>
      <c r="T621" s="19" t="str">
        <f aca="false">IF(OR($A621="",INDEX(_LEITURA!$Q$2:$Q$21,10)=0),"",SUMIFS(DECKS!$D$2:$D$1201,DECKS!$A$2:$A$1201,INDEX(_LEITURA!$P$2:$P$21,10),DECKS!$B$2:$B$1201,$A621))</f>
        <v/>
      </c>
      <c r="U621" s="19" t="str">
        <f aca="false">IF(OR($A621="",INDEX(_LEITURA!$Q$2:$Q$21,11)=0),"",SUMIFS(DECKS!$D$2:$D$1201,DECKS!$A$2:$A$1201,INDEX(_LEITURA!$P$2:$P$21,11),DECKS!$B$2:$B$1201,$A621))</f>
        <v/>
      </c>
      <c r="V621" s="19" t="str">
        <f aca="false">IF(OR($A621="",INDEX(_LEITURA!$Q$2:$Q$21,12)=0),"",SUMIFS(DECKS!$D$2:$D$1201,DECKS!$A$2:$A$1201,INDEX(_LEITURA!$P$2:$P$21,12),DECKS!$B$2:$B$1201,$A621))</f>
        <v/>
      </c>
      <c r="W621" s="19" t="str">
        <f aca="false">IF(OR($A621="",INDEX(_LEITURA!$Q$2:$Q$21,13)=0),"",SUMIFS(DECKS!$D$2:$D$1201,DECKS!$A$2:$A$1201,INDEX(_LEITURA!$P$2:$P$21,13),DECKS!$B$2:$B$1201,$A621))</f>
        <v/>
      </c>
      <c r="X621" s="19" t="str">
        <f aca="false">IF(OR($A621="",INDEX(_LEITURA!$Q$2:$Q$21,14)=0),"",SUMIFS(DECKS!$D$2:$D$1201,DECKS!$A$2:$A$1201,INDEX(_LEITURA!$P$2:$P$21,14),DECKS!$B$2:$B$1201,$A621))</f>
        <v/>
      </c>
      <c r="Y621" s="19" t="str">
        <f aca="false">IF(OR($A621="",INDEX(_LEITURA!$Q$2:$Q$21,15)=0),"",SUMIFS(DECKS!$D$2:$D$1201,DECKS!$A$2:$A$1201,INDEX(_LEITURA!$P$2:$P$21,15),DECKS!$B$2:$B$1201,$A621))</f>
        <v/>
      </c>
      <c r="Z621" s="19" t="str">
        <f aca="false">IF(OR($A621="",INDEX(_LEITURA!$Q$2:$Q$21,16)=0),"",SUMIFS(DECKS!$D$2:$D$1201,DECKS!$A$2:$A$1201,INDEX(_LEITURA!$P$2:$P$21,16),DECKS!$B$2:$B$1201,$A621))</f>
        <v/>
      </c>
      <c r="AA621" s="19" t="str">
        <f aca="false">IF(OR($A621="",INDEX(_LEITURA!$Q$2:$Q$21,17)=0),"",SUMIFS(DECKS!$D$2:$D$1201,DECKS!$A$2:$A$1201,INDEX(_LEITURA!$P$2:$P$21,17),DECKS!$B$2:$B$1201,$A621))</f>
        <v/>
      </c>
      <c r="AB621" s="19" t="str">
        <f aca="false">IF(OR($A621="",INDEX(_LEITURA!$Q$2:$Q$21,18)=0),"",SUMIFS(DECKS!$D$2:$D$1201,DECKS!$A$2:$A$1201,INDEX(_LEITURA!$P$2:$P$21,18),DECKS!$B$2:$B$1201,$A621))</f>
        <v/>
      </c>
      <c r="AC621" s="19" t="str">
        <f aca="false">IF(OR($A621="",INDEX(_LEITURA!$Q$2:$Q$21,19)=0),"",SUMIFS(DECKS!$D$2:$D$1201,DECKS!$A$2:$A$1201,INDEX(_LEITURA!$P$2:$P$21,19),DECKS!$B$2:$B$1201,$A621))</f>
        <v/>
      </c>
      <c r="AD621" s="19" t="str">
        <f aca="false">IF(OR($A621="",INDEX(_LEITURA!$Q$2:$Q$21,20)=0),"",SUMIFS(DECKS!$D$2:$D$1201,DECKS!$A$2:$A$1201,INDEX(_LEITURA!$P$2:$P$21,20),DECKS!$B$2:$B$1201,$A621))</f>
        <v/>
      </c>
      <c r="AE621" s="16" t="str">
        <f aca="false">IF(N(E621)&gt;0,MAX(AE$1:AE620)+1,"")</f>
        <v/>
      </c>
      <c r="AF621" s="11" t="str">
        <f aca="false">IF(A621="","",IFERROR(LEFT(A621,FIND("-",A621)-1),A621))</f>
        <v/>
      </c>
      <c r="AG621" s="11" t="str">
        <f aca="false">IF(AF621="","",IF(ISNUMBER(--MID(AF621,1,1)),0,IF(ISNUMBER(--MID(AF621,2,1)),1,IF(ISNUMBER(--MID(AF621,3,1)),2,IF(ISNUMBER(--MID(AF621,4,1)),3,MIN(LEN(AF621),4))))))</f>
        <v/>
      </c>
      <c r="AH621" s="11" t="str">
        <f aca="false">IF(A621="","",LEFT(AF621,AG621)&amp;REPT("0",4-AG621)&amp;RIGHT("000"&amp;IFERROR(VALUE(MID(AF621,AG621+1,9)),0),3)&amp;RIGHT("0000"&amp;IFERROR(VALUE(MID(A621,FIND("-",A621)+1,9)),0),4))</f>
        <v/>
      </c>
      <c r="AI621" s="11" t="str">
        <f aca="false">IF(OR(A621="",N(E621)&lt;=0),"",IF('FALTAS GERAL'!$M$1="Código","K"&amp;AH621&amp;RIGHT("00000"&amp;ROW(),5),IF('FALTAS GERAL'!$M$1="Nome","K"&amp;UPPER(SUBSTITUTE(SUBSTITUTE(SUBSTITUTE(B621,"*",""),"?",""),"~",""))&amp;"0"&amp;AH621&amp;RIGHT("00000"&amp;ROW(),5),IF('FALTAS GERAL'!$M$1="Falta (maior primeiro)","K"&amp;RIGHT("0000"&amp;(9999-E621),4)&amp;AH621&amp;RIGHT("00000"&amp;ROW(),5),IF('FALTAS GERAL'!$M$1="Nº de decks (maior primeiro)","K"&amp;RIGHT("00"&amp;(99-N(G621)),2)&amp;AH621&amp;RIGHT("00000"&amp;ROW(),5),"K"&amp;RIGHT("00000"&amp;ROW(),5))))))</f>
        <v/>
      </c>
      <c r="AJ621" s="11" t="str">
        <f aca="false">IF(AI621="","",COUNTIFS($AI$2:$AI$801,"&lt;"&amp;AI621,$E$2:$E$801,"&gt;0")+1)</f>
        <v/>
      </c>
      <c r="AK621" s="11" t="str">
        <f aca="false">IF(OR(A621="",N(E621)&lt;=0),"",COUNTIFS($AH$2:$AH$801,"&lt;"&amp;AH621,$E$2:$E$801,"&gt;0")+COUNTIFS($AH$2:AH621,AH621,$E$2:E621,"&gt;0"))</f>
        <v/>
      </c>
    </row>
    <row r="622" customFormat="false" ht="15" hidden="false" customHeight="false" outlineLevel="0" collapsed="false">
      <c r="A622" s="11" t="str">
        <f aca="false">IF(INVENTÁRIO!A622="","",INVENTÁRIO!A622)</f>
        <v/>
      </c>
      <c r="B622" s="11" t="str">
        <f aca="false">IF(A622="","",INVENTÁRIO!B622)</f>
        <v/>
      </c>
      <c r="C622" s="16" t="str">
        <f aca="false">IF(A622="","",INVENTÁRIO!C622)</f>
        <v/>
      </c>
      <c r="D622" s="14" t="str">
        <f aca="false">IF(A622="","",MAX(K622:AD622))</f>
        <v/>
      </c>
      <c r="E622" s="14" t="str">
        <f aca="false">IF(A622="","",MAX(0,D622-C622))</f>
        <v/>
      </c>
      <c r="F622" s="16" t="str">
        <f aca="false">IF(A622="","",IF(D622=0,"Fora dos decks",IF(E622=0,"Completo","Falta")))</f>
        <v/>
      </c>
      <c r="G622" s="16" t="str">
        <f aca="false">IF(A622="","",COUNTIF(K622:AD622,"&gt;0"))</f>
        <v/>
      </c>
      <c r="H622" s="16" t="str">
        <f aca="false">IF(A622="","",IF(G622&gt;1,"Sim",""))</f>
        <v/>
      </c>
      <c r="I622" s="18" t="str">
        <f aca="false">IF(A622="","",SUMIFS(DECKS!$D$2:$D$1201,DECKS!$B$2:$B$1201,A622))</f>
        <v/>
      </c>
      <c r="J622" s="18" t="str">
        <f aca="false">IF(A622="","",MAX(0,I622-C622))</f>
        <v/>
      </c>
      <c r="K622" s="19" t="str">
        <f aca="false">IF(OR($A622="",INDEX(_LEITURA!$Q$2:$Q$21,1)=0),"",SUMIFS(DECKS!$D$2:$D$1201,DECKS!$A$2:$A$1201,INDEX(_LEITURA!$P$2:$P$21,1),DECKS!$B$2:$B$1201,$A622))</f>
        <v/>
      </c>
      <c r="L622" s="19" t="str">
        <f aca="false">IF(OR($A622="",INDEX(_LEITURA!$Q$2:$Q$21,2)=0),"",SUMIFS(DECKS!$D$2:$D$1201,DECKS!$A$2:$A$1201,INDEX(_LEITURA!$P$2:$P$21,2),DECKS!$B$2:$B$1201,$A622))</f>
        <v/>
      </c>
      <c r="M622" s="19" t="str">
        <f aca="false">IF(OR($A622="",INDEX(_LEITURA!$Q$2:$Q$21,3)=0),"",SUMIFS(DECKS!$D$2:$D$1201,DECKS!$A$2:$A$1201,INDEX(_LEITURA!$P$2:$P$21,3),DECKS!$B$2:$B$1201,$A622))</f>
        <v/>
      </c>
      <c r="N622" s="19" t="str">
        <f aca="false">IF(OR($A622="",INDEX(_LEITURA!$Q$2:$Q$21,4)=0),"",SUMIFS(DECKS!$D$2:$D$1201,DECKS!$A$2:$A$1201,INDEX(_LEITURA!$P$2:$P$21,4),DECKS!$B$2:$B$1201,$A622))</f>
        <v/>
      </c>
      <c r="O622" s="19" t="str">
        <f aca="false">IF(OR($A622="",INDEX(_LEITURA!$Q$2:$Q$21,5)=0),"",SUMIFS(DECKS!$D$2:$D$1201,DECKS!$A$2:$A$1201,INDEX(_LEITURA!$P$2:$P$21,5),DECKS!$B$2:$B$1201,$A622))</f>
        <v/>
      </c>
      <c r="P622" s="19" t="str">
        <f aca="false">IF(OR($A622="",INDEX(_LEITURA!$Q$2:$Q$21,6)=0),"",SUMIFS(DECKS!$D$2:$D$1201,DECKS!$A$2:$A$1201,INDEX(_LEITURA!$P$2:$P$21,6),DECKS!$B$2:$B$1201,$A622))</f>
        <v/>
      </c>
      <c r="Q622" s="19" t="str">
        <f aca="false">IF(OR($A622="",INDEX(_LEITURA!$Q$2:$Q$21,7)=0),"",SUMIFS(DECKS!$D$2:$D$1201,DECKS!$A$2:$A$1201,INDEX(_LEITURA!$P$2:$P$21,7),DECKS!$B$2:$B$1201,$A622))</f>
        <v/>
      </c>
      <c r="R622" s="19" t="str">
        <f aca="false">IF(OR($A622="",INDEX(_LEITURA!$Q$2:$Q$21,8)=0),"",SUMIFS(DECKS!$D$2:$D$1201,DECKS!$A$2:$A$1201,INDEX(_LEITURA!$P$2:$P$21,8),DECKS!$B$2:$B$1201,$A622))</f>
        <v/>
      </c>
      <c r="S622" s="19" t="str">
        <f aca="false">IF(OR($A622="",INDEX(_LEITURA!$Q$2:$Q$21,9)=0),"",SUMIFS(DECKS!$D$2:$D$1201,DECKS!$A$2:$A$1201,INDEX(_LEITURA!$P$2:$P$21,9),DECKS!$B$2:$B$1201,$A622))</f>
        <v/>
      </c>
      <c r="T622" s="19" t="str">
        <f aca="false">IF(OR($A622="",INDEX(_LEITURA!$Q$2:$Q$21,10)=0),"",SUMIFS(DECKS!$D$2:$D$1201,DECKS!$A$2:$A$1201,INDEX(_LEITURA!$P$2:$P$21,10),DECKS!$B$2:$B$1201,$A622))</f>
        <v/>
      </c>
      <c r="U622" s="19" t="str">
        <f aca="false">IF(OR($A622="",INDEX(_LEITURA!$Q$2:$Q$21,11)=0),"",SUMIFS(DECKS!$D$2:$D$1201,DECKS!$A$2:$A$1201,INDEX(_LEITURA!$P$2:$P$21,11),DECKS!$B$2:$B$1201,$A622))</f>
        <v/>
      </c>
      <c r="V622" s="19" t="str">
        <f aca="false">IF(OR($A622="",INDEX(_LEITURA!$Q$2:$Q$21,12)=0),"",SUMIFS(DECKS!$D$2:$D$1201,DECKS!$A$2:$A$1201,INDEX(_LEITURA!$P$2:$P$21,12),DECKS!$B$2:$B$1201,$A622))</f>
        <v/>
      </c>
      <c r="W622" s="19" t="str">
        <f aca="false">IF(OR($A622="",INDEX(_LEITURA!$Q$2:$Q$21,13)=0),"",SUMIFS(DECKS!$D$2:$D$1201,DECKS!$A$2:$A$1201,INDEX(_LEITURA!$P$2:$P$21,13),DECKS!$B$2:$B$1201,$A622))</f>
        <v/>
      </c>
      <c r="X622" s="19" t="str">
        <f aca="false">IF(OR($A622="",INDEX(_LEITURA!$Q$2:$Q$21,14)=0),"",SUMIFS(DECKS!$D$2:$D$1201,DECKS!$A$2:$A$1201,INDEX(_LEITURA!$P$2:$P$21,14),DECKS!$B$2:$B$1201,$A622))</f>
        <v/>
      </c>
      <c r="Y622" s="19" t="str">
        <f aca="false">IF(OR($A622="",INDEX(_LEITURA!$Q$2:$Q$21,15)=0),"",SUMIFS(DECKS!$D$2:$D$1201,DECKS!$A$2:$A$1201,INDEX(_LEITURA!$P$2:$P$21,15),DECKS!$B$2:$B$1201,$A622))</f>
        <v/>
      </c>
      <c r="Z622" s="19" t="str">
        <f aca="false">IF(OR($A622="",INDEX(_LEITURA!$Q$2:$Q$21,16)=0),"",SUMIFS(DECKS!$D$2:$D$1201,DECKS!$A$2:$A$1201,INDEX(_LEITURA!$P$2:$P$21,16),DECKS!$B$2:$B$1201,$A622))</f>
        <v/>
      </c>
      <c r="AA622" s="19" t="str">
        <f aca="false">IF(OR($A622="",INDEX(_LEITURA!$Q$2:$Q$21,17)=0),"",SUMIFS(DECKS!$D$2:$D$1201,DECKS!$A$2:$A$1201,INDEX(_LEITURA!$P$2:$P$21,17),DECKS!$B$2:$B$1201,$A622))</f>
        <v/>
      </c>
      <c r="AB622" s="19" t="str">
        <f aca="false">IF(OR($A622="",INDEX(_LEITURA!$Q$2:$Q$21,18)=0),"",SUMIFS(DECKS!$D$2:$D$1201,DECKS!$A$2:$A$1201,INDEX(_LEITURA!$P$2:$P$21,18),DECKS!$B$2:$B$1201,$A622))</f>
        <v/>
      </c>
      <c r="AC622" s="19" t="str">
        <f aca="false">IF(OR($A622="",INDEX(_LEITURA!$Q$2:$Q$21,19)=0),"",SUMIFS(DECKS!$D$2:$D$1201,DECKS!$A$2:$A$1201,INDEX(_LEITURA!$P$2:$P$21,19),DECKS!$B$2:$B$1201,$A622))</f>
        <v/>
      </c>
      <c r="AD622" s="19" t="str">
        <f aca="false">IF(OR($A622="",INDEX(_LEITURA!$Q$2:$Q$21,20)=0),"",SUMIFS(DECKS!$D$2:$D$1201,DECKS!$A$2:$A$1201,INDEX(_LEITURA!$P$2:$P$21,20),DECKS!$B$2:$B$1201,$A622))</f>
        <v/>
      </c>
      <c r="AE622" s="16" t="str">
        <f aca="false">IF(N(E622)&gt;0,MAX(AE$1:AE621)+1,"")</f>
        <v/>
      </c>
      <c r="AF622" s="11" t="str">
        <f aca="false">IF(A622="","",IFERROR(LEFT(A622,FIND("-",A622)-1),A622))</f>
        <v/>
      </c>
      <c r="AG622" s="11" t="str">
        <f aca="false">IF(AF622="","",IF(ISNUMBER(--MID(AF622,1,1)),0,IF(ISNUMBER(--MID(AF622,2,1)),1,IF(ISNUMBER(--MID(AF622,3,1)),2,IF(ISNUMBER(--MID(AF622,4,1)),3,MIN(LEN(AF622),4))))))</f>
        <v/>
      </c>
      <c r="AH622" s="11" t="str">
        <f aca="false">IF(A622="","",LEFT(AF622,AG622)&amp;REPT("0",4-AG622)&amp;RIGHT("000"&amp;IFERROR(VALUE(MID(AF622,AG622+1,9)),0),3)&amp;RIGHT("0000"&amp;IFERROR(VALUE(MID(A622,FIND("-",A622)+1,9)),0),4))</f>
        <v/>
      </c>
      <c r="AI622" s="11" t="str">
        <f aca="false">IF(OR(A622="",N(E622)&lt;=0),"",IF('FALTAS GERAL'!$M$1="Código","K"&amp;AH622&amp;RIGHT("00000"&amp;ROW(),5),IF('FALTAS GERAL'!$M$1="Nome","K"&amp;UPPER(SUBSTITUTE(SUBSTITUTE(SUBSTITUTE(B622,"*",""),"?",""),"~",""))&amp;"0"&amp;AH622&amp;RIGHT("00000"&amp;ROW(),5),IF('FALTAS GERAL'!$M$1="Falta (maior primeiro)","K"&amp;RIGHT("0000"&amp;(9999-E622),4)&amp;AH622&amp;RIGHT("00000"&amp;ROW(),5),IF('FALTAS GERAL'!$M$1="Nº de decks (maior primeiro)","K"&amp;RIGHT("00"&amp;(99-N(G622)),2)&amp;AH622&amp;RIGHT("00000"&amp;ROW(),5),"K"&amp;RIGHT("00000"&amp;ROW(),5))))))</f>
        <v/>
      </c>
      <c r="AJ622" s="11" t="str">
        <f aca="false">IF(AI622="","",COUNTIFS($AI$2:$AI$801,"&lt;"&amp;AI622,$E$2:$E$801,"&gt;0")+1)</f>
        <v/>
      </c>
      <c r="AK622" s="11" t="str">
        <f aca="false">IF(OR(A622="",N(E622)&lt;=0),"",COUNTIFS($AH$2:$AH$801,"&lt;"&amp;AH622,$E$2:$E$801,"&gt;0")+COUNTIFS($AH$2:AH622,AH622,$E$2:E622,"&gt;0"))</f>
        <v/>
      </c>
    </row>
    <row r="623" customFormat="false" ht="15" hidden="false" customHeight="false" outlineLevel="0" collapsed="false">
      <c r="A623" s="11" t="str">
        <f aca="false">IF(INVENTÁRIO!A623="","",INVENTÁRIO!A623)</f>
        <v/>
      </c>
      <c r="B623" s="11" t="str">
        <f aca="false">IF(A623="","",INVENTÁRIO!B623)</f>
        <v/>
      </c>
      <c r="C623" s="16" t="str">
        <f aca="false">IF(A623="","",INVENTÁRIO!C623)</f>
        <v/>
      </c>
      <c r="D623" s="14" t="str">
        <f aca="false">IF(A623="","",MAX(K623:AD623))</f>
        <v/>
      </c>
      <c r="E623" s="14" t="str">
        <f aca="false">IF(A623="","",MAX(0,D623-C623))</f>
        <v/>
      </c>
      <c r="F623" s="16" t="str">
        <f aca="false">IF(A623="","",IF(D623=0,"Fora dos decks",IF(E623=0,"Completo","Falta")))</f>
        <v/>
      </c>
      <c r="G623" s="16" t="str">
        <f aca="false">IF(A623="","",COUNTIF(K623:AD623,"&gt;0"))</f>
        <v/>
      </c>
      <c r="H623" s="16" t="str">
        <f aca="false">IF(A623="","",IF(G623&gt;1,"Sim",""))</f>
        <v/>
      </c>
      <c r="I623" s="18" t="str">
        <f aca="false">IF(A623="","",SUMIFS(DECKS!$D$2:$D$1201,DECKS!$B$2:$B$1201,A623))</f>
        <v/>
      </c>
      <c r="J623" s="18" t="str">
        <f aca="false">IF(A623="","",MAX(0,I623-C623))</f>
        <v/>
      </c>
      <c r="K623" s="19" t="str">
        <f aca="false">IF(OR($A623="",INDEX(_LEITURA!$Q$2:$Q$21,1)=0),"",SUMIFS(DECKS!$D$2:$D$1201,DECKS!$A$2:$A$1201,INDEX(_LEITURA!$P$2:$P$21,1),DECKS!$B$2:$B$1201,$A623))</f>
        <v/>
      </c>
      <c r="L623" s="19" t="str">
        <f aca="false">IF(OR($A623="",INDEX(_LEITURA!$Q$2:$Q$21,2)=0),"",SUMIFS(DECKS!$D$2:$D$1201,DECKS!$A$2:$A$1201,INDEX(_LEITURA!$P$2:$P$21,2),DECKS!$B$2:$B$1201,$A623))</f>
        <v/>
      </c>
      <c r="M623" s="19" t="str">
        <f aca="false">IF(OR($A623="",INDEX(_LEITURA!$Q$2:$Q$21,3)=0),"",SUMIFS(DECKS!$D$2:$D$1201,DECKS!$A$2:$A$1201,INDEX(_LEITURA!$P$2:$P$21,3),DECKS!$B$2:$B$1201,$A623))</f>
        <v/>
      </c>
      <c r="N623" s="19" t="str">
        <f aca="false">IF(OR($A623="",INDEX(_LEITURA!$Q$2:$Q$21,4)=0),"",SUMIFS(DECKS!$D$2:$D$1201,DECKS!$A$2:$A$1201,INDEX(_LEITURA!$P$2:$P$21,4),DECKS!$B$2:$B$1201,$A623))</f>
        <v/>
      </c>
      <c r="O623" s="19" t="str">
        <f aca="false">IF(OR($A623="",INDEX(_LEITURA!$Q$2:$Q$21,5)=0),"",SUMIFS(DECKS!$D$2:$D$1201,DECKS!$A$2:$A$1201,INDEX(_LEITURA!$P$2:$P$21,5),DECKS!$B$2:$B$1201,$A623))</f>
        <v/>
      </c>
      <c r="P623" s="19" t="str">
        <f aca="false">IF(OR($A623="",INDEX(_LEITURA!$Q$2:$Q$21,6)=0),"",SUMIFS(DECKS!$D$2:$D$1201,DECKS!$A$2:$A$1201,INDEX(_LEITURA!$P$2:$P$21,6),DECKS!$B$2:$B$1201,$A623))</f>
        <v/>
      </c>
      <c r="Q623" s="19" t="str">
        <f aca="false">IF(OR($A623="",INDEX(_LEITURA!$Q$2:$Q$21,7)=0),"",SUMIFS(DECKS!$D$2:$D$1201,DECKS!$A$2:$A$1201,INDEX(_LEITURA!$P$2:$P$21,7),DECKS!$B$2:$B$1201,$A623))</f>
        <v/>
      </c>
      <c r="R623" s="19" t="str">
        <f aca="false">IF(OR($A623="",INDEX(_LEITURA!$Q$2:$Q$21,8)=0),"",SUMIFS(DECKS!$D$2:$D$1201,DECKS!$A$2:$A$1201,INDEX(_LEITURA!$P$2:$P$21,8),DECKS!$B$2:$B$1201,$A623))</f>
        <v/>
      </c>
      <c r="S623" s="19" t="str">
        <f aca="false">IF(OR($A623="",INDEX(_LEITURA!$Q$2:$Q$21,9)=0),"",SUMIFS(DECKS!$D$2:$D$1201,DECKS!$A$2:$A$1201,INDEX(_LEITURA!$P$2:$P$21,9),DECKS!$B$2:$B$1201,$A623))</f>
        <v/>
      </c>
      <c r="T623" s="19" t="str">
        <f aca="false">IF(OR($A623="",INDEX(_LEITURA!$Q$2:$Q$21,10)=0),"",SUMIFS(DECKS!$D$2:$D$1201,DECKS!$A$2:$A$1201,INDEX(_LEITURA!$P$2:$P$21,10),DECKS!$B$2:$B$1201,$A623))</f>
        <v/>
      </c>
      <c r="U623" s="19" t="str">
        <f aca="false">IF(OR($A623="",INDEX(_LEITURA!$Q$2:$Q$21,11)=0),"",SUMIFS(DECKS!$D$2:$D$1201,DECKS!$A$2:$A$1201,INDEX(_LEITURA!$P$2:$P$21,11),DECKS!$B$2:$B$1201,$A623))</f>
        <v/>
      </c>
      <c r="V623" s="19" t="str">
        <f aca="false">IF(OR($A623="",INDEX(_LEITURA!$Q$2:$Q$21,12)=0),"",SUMIFS(DECKS!$D$2:$D$1201,DECKS!$A$2:$A$1201,INDEX(_LEITURA!$P$2:$P$21,12),DECKS!$B$2:$B$1201,$A623))</f>
        <v/>
      </c>
      <c r="W623" s="19" t="str">
        <f aca="false">IF(OR($A623="",INDEX(_LEITURA!$Q$2:$Q$21,13)=0),"",SUMIFS(DECKS!$D$2:$D$1201,DECKS!$A$2:$A$1201,INDEX(_LEITURA!$P$2:$P$21,13),DECKS!$B$2:$B$1201,$A623))</f>
        <v/>
      </c>
      <c r="X623" s="19" t="str">
        <f aca="false">IF(OR($A623="",INDEX(_LEITURA!$Q$2:$Q$21,14)=0),"",SUMIFS(DECKS!$D$2:$D$1201,DECKS!$A$2:$A$1201,INDEX(_LEITURA!$P$2:$P$21,14),DECKS!$B$2:$B$1201,$A623))</f>
        <v/>
      </c>
      <c r="Y623" s="19" t="str">
        <f aca="false">IF(OR($A623="",INDEX(_LEITURA!$Q$2:$Q$21,15)=0),"",SUMIFS(DECKS!$D$2:$D$1201,DECKS!$A$2:$A$1201,INDEX(_LEITURA!$P$2:$P$21,15),DECKS!$B$2:$B$1201,$A623))</f>
        <v/>
      </c>
      <c r="Z623" s="19" t="str">
        <f aca="false">IF(OR($A623="",INDEX(_LEITURA!$Q$2:$Q$21,16)=0),"",SUMIFS(DECKS!$D$2:$D$1201,DECKS!$A$2:$A$1201,INDEX(_LEITURA!$P$2:$P$21,16),DECKS!$B$2:$B$1201,$A623))</f>
        <v/>
      </c>
      <c r="AA623" s="19" t="str">
        <f aca="false">IF(OR($A623="",INDEX(_LEITURA!$Q$2:$Q$21,17)=0),"",SUMIFS(DECKS!$D$2:$D$1201,DECKS!$A$2:$A$1201,INDEX(_LEITURA!$P$2:$P$21,17),DECKS!$B$2:$B$1201,$A623))</f>
        <v/>
      </c>
      <c r="AB623" s="19" t="str">
        <f aca="false">IF(OR($A623="",INDEX(_LEITURA!$Q$2:$Q$21,18)=0),"",SUMIFS(DECKS!$D$2:$D$1201,DECKS!$A$2:$A$1201,INDEX(_LEITURA!$P$2:$P$21,18),DECKS!$B$2:$B$1201,$A623))</f>
        <v/>
      </c>
      <c r="AC623" s="19" t="str">
        <f aca="false">IF(OR($A623="",INDEX(_LEITURA!$Q$2:$Q$21,19)=0),"",SUMIFS(DECKS!$D$2:$D$1201,DECKS!$A$2:$A$1201,INDEX(_LEITURA!$P$2:$P$21,19),DECKS!$B$2:$B$1201,$A623))</f>
        <v/>
      </c>
      <c r="AD623" s="19" t="str">
        <f aca="false">IF(OR($A623="",INDEX(_LEITURA!$Q$2:$Q$21,20)=0),"",SUMIFS(DECKS!$D$2:$D$1201,DECKS!$A$2:$A$1201,INDEX(_LEITURA!$P$2:$P$21,20),DECKS!$B$2:$B$1201,$A623))</f>
        <v/>
      </c>
      <c r="AE623" s="16" t="str">
        <f aca="false">IF(N(E623)&gt;0,MAX(AE$1:AE622)+1,"")</f>
        <v/>
      </c>
      <c r="AF623" s="11" t="str">
        <f aca="false">IF(A623="","",IFERROR(LEFT(A623,FIND("-",A623)-1),A623))</f>
        <v/>
      </c>
      <c r="AG623" s="11" t="str">
        <f aca="false">IF(AF623="","",IF(ISNUMBER(--MID(AF623,1,1)),0,IF(ISNUMBER(--MID(AF623,2,1)),1,IF(ISNUMBER(--MID(AF623,3,1)),2,IF(ISNUMBER(--MID(AF623,4,1)),3,MIN(LEN(AF623),4))))))</f>
        <v/>
      </c>
      <c r="AH623" s="11" t="str">
        <f aca="false">IF(A623="","",LEFT(AF623,AG623)&amp;REPT("0",4-AG623)&amp;RIGHT("000"&amp;IFERROR(VALUE(MID(AF623,AG623+1,9)),0),3)&amp;RIGHT("0000"&amp;IFERROR(VALUE(MID(A623,FIND("-",A623)+1,9)),0),4))</f>
        <v/>
      </c>
      <c r="AI623" s="11" t="str">
        <f aca="false">IF(OR(A623="",N(E623)&lt;=0),"",IF('FALTAS GERAL'!$M$1="Código","K"&amp;AH623&amp;RIGHT("00000"&amp;ROW(),5),IF('FALTAS GERAL'!$M$1="Nome","K"&amp;UPPER(SUBSTITUTE(SUBSTITUTE(SUBSTITUTE(B623,"*",""),"?",""),"~",""))&amp;"0"&amp;AH623&amp;RIGHT("00000"&amp;ROW(),5),IF('FALTAS GERAL'!$M$1="Falta (maior primeiro)","K"&amp;RIGHT("0000"&amp;(9999-E623),4)&amp;AH623&amp;RIGHT("00000"&amp;ROW(),5),IF('FALTAS GERAL'!$M$1="Nº de decks (maior primeiro)","K"&amp;RIGHT("00"&amp;(99-N(G623)),2)&amp;AH623&amp;RIGHT("00000"&amp;ROW(),5),"K"&amp;RIGHT("00000"&amp;ROW(),5))))))</f>
        <v/>
      </c>
      <c r="AJ623" s="11" t="str">
        <f aca="false">IF(AI623="","",COUNTIFS($AI$2:$AI$801,"&lt;"&amp;AI623,$E$2:$E$801,"&gt;0")+1)</f>
        <v/>
      </c>
      <c r="AK623" s="11" t="str">
        <f aca="false">IF(OR(A623="",N(E623)&lt;=0),"",COUNTIFS($AH$2:$AH$801,"&lt;"&amp;AH623,$E$2:$E$801,"&gt;0")+COUNTIFS($AH$2:AH623,AH623,$E$2:E623,"&gt;0"))</f>
        <v/>
      </c>
    </row>
    <row r="624" customFormat="false" ht="15" hidden="false" customHeight="false" outlineLevel="0" collapsed="false">
      <c r="A624" s="11" t="str">
        <f aca="false">IF(INVENTÁRIO!A624="","",INVENTÁRIO!A624)</f>
        <v/>
      </c>
      <c r="B624" s="11" t="str">
        <f aca="false">IF(A624="","",INVENTÁRIO!B624)</f>
        <v/>
      </c>
      <c r="C624" s="16" t="str">
        <f aca="false">IF(A624="","",INVENTÁRIO!C624)</f>
        <v/>
      </c>
      <c r="D624" s="14" t="str">
        <f aca="false">IF(A624="","",MAX(K624:AD624))</f>
        <v/>
      </c>
      <c r="E624" s="14" t="str">
        <f aca="false">IF(A624="","",MAX(0,D624-C624))</f>
        <v/>
      </c>
      <c r="F624" s="16" t="str">
        <f aca="false">IF(A624="","",IF(D624=0,"Fora dos decks",IF(E624=0,"Completo","Falta")))</f>
        <v/>
      </c>
      <c r="G624" s="16" t="str">
        <f aca="false">IF(A624="","",COUNTIF(K624:AD624,"&gt;0"))</f>
        <v/>
      </c>
      <c r="H624" s="16" t="str">
        <f aca="false">IF(A624="","",IF(G624&gt;1,"Sim",""))</f>
        <v/>
      </c>
      <c r="I624" s="18" t="str">
        <f aca="false">IF(A624="","",SUMIFS(DECKS!$D$2:$D$1201,DECKS!$B$2:$B$1201,A624))</f>
        <v/>
      </c>
      <c r="J624" s="18" t="str">
        <f aca="false">IF(A624="","",MAX(0,I624-C624))</f>
        <v/>
      </c>
      <c r="K624" s="19" t="str">
        <f aca="false">IF(OR($A624="",INDEX(_LEITURA!$Q$2:$Q$21,1)=0),"",SUMIFS(DECKS!$D$2:$D$1201,DECKS!$A$2:$A$1201,INDEX(_LEITURA!$P$2:$P$21,1),DECKS!$B$2:$B$1201,$A624))</f>
        <v/>
      </c>
      <c r="L624" s="19" t="str">
        <f aca="false">IF(OR($A624="",INDEX(_LEITURA!$Q$2:$Q$21,2)=0),"",SUMIFS(DECKS!$D$2:$D$1201,DECKS!$A$2:$A$1201,INDEX(_LEITURA!$P$2:$P$21,2),DECKS!$B$2:$B$1201,$A624))</f>
        <v/>
      </c>
      <c r="M624" s="19" t="str">
        <f aca="false">IF(OR($A624="",INDEX(_LEITURA!$Q$2:$Q$21,3)=0),"",SUMIFS(DECKS!$D$2:$D$1201,DECKS!$A$2:$A$1201,INDEX(_LEITURA!$P$2:$P$21,3),DECKS!$B$2:$B$1201,$A624))</f>
        <v/>
      </c>
      <c r="N624" s="19" t="str">
        <f aca="false">IF(OR($A624="",INDEX(_LEITURA!$Q$2:$Q$21,4)=0),"",SUMIFS(DECKS!$D$2:$D$1201,DECKS!$A$2:$A$1201,INDEX(_LEITURA!$P$2:$P$21,4),DECKS!$B$2:$B$1201,$A624))</f>
        <v/>
      </c>
      <c r="O624" s="19" t="str">
        <f aca="false">IF(OR($A624="",INDEX(_LEITURA!$Q$2:$Q$21,5)=0),"",SUMIFS(DECKS!$D$2:$D$1201,DECKS!$A$2:$A$1201,INDEX(_LEITURA!$P$2:$P$21,5),DECKS!$B$2:$B$1201,$A624))</f>
        <v/>
      </c>
      <c r="P624" s="19" t="str">
        <f aca="false">IF(OR($A624="",INDEX(_LEITURA!$Q$2:$Q$21,6)=0),"",SUMIFS(DECKS!$D$2:$D$1201,DECKS!$A$2:$A$1201,INDEX(_LEITURA!$P$2:$P$21,6),DECKS!$B$2:$B$1201,$A624))</f>
        <v/>
      </c>
      <c r="Q624" s="19" t="str">
        <f aca="false">IF(OR($A624="",INDEX(_LEITURA!$Q$2:$Q$21,7)=0),"",SUMIFS(DECKS!$D$2:$D$1201,DECKS!$A$2:$A$1201,INDEX(_LEITURA!$P$2:$P$21,7),DECKS!$B$2:$B$1201,$A624))</f>
        <v/>
      </c>
      <c r="R624" s="19" t="str">
        <f aca="false">IF(OR($A624="",INDEX(_LEITURA!$Q$2:$Q$21,8)=0),"",SUMIFS(DECKS!$D$2:$D$1201,DECKS!$A$2:$A$1201,INDEX(_LEITURA!$P$2:$P$21,8),DECKS!$B$2:$B$1201,$A624))</f>
        <v/>
      </c>
      <c r="S624" s="19" t="str">
        <f aca="false">IF(OR($A624="",INDEX(_LEITURA!$Q$2:$Q$21,9)=0),"",SUMIFS(DECKS!$D$2:$D$1201,DECKS!$A$2:$A$1201,INDEX(_LEITURA!$P$2:$P$21,9),DECKS!$B$2:$B$1201,$A624))</f>
        <v/>
      </c>
      <c r="T624" s="19" t="str">
        <f aca="false">IF(OR($A624="",INDEX(_LEITURA!$Q$2:$Q$21,10)=0),"",SUMIFS(DECKS!$D$2:$D$1201,DECKS!$A$2:$A$1201,INDEX(_LEITURA!$P$2:$P$21,10),DECKS!$B$2:$B$1201,$A624))</f>
        <v/>
      </c>
      <c r="U624" s="19" t="str">
        <f aca="false">IF(OR($A624="",INDEX(_LEITURA!$Q$2:$Q$21,11)=0),"",SUMIFS(DECKS!$D$2:$D$1201,DECKS!$A$2:$A$1201,INDEX(_LEITURA!$P$2:$P$21,11),DECKS!$B$2:$B$1201,$A624))</f>
        <v/>
      </c>
      <c r="V624" s="19" t="str">
        <f aca="false">IF(OR($A624="",INDEX(_LEITURA!$Q$2:$Q$21,12)=0),"",SUMIFS(DECKS!$D$2:$D$1201,DECKS!$A$2:$A$1201,INDEX(_LEITURA!$P$2:$P$21,12),DECKS!$B$2:$B$1201,$A624))</f>
        <v/>
      </c>
      <c r="W624" s="19" t="str">
        <f aca="false">IF(OR($A624="",INDEX(_LEITURA!$Q$2:$Q$21,13)=0),"",SUMIFS(DECKS!$D$2:$D$1201,DECKS!$A$2:$A$1201,INDEX(_LEITURA!$P$2:$P$21,13),DECKS!$B$2:$B$1201,$A624))</f>
        <v/>
      </c>
      <c r="X624" s="19" t="str">
        <f aca="false">IF(OR($A624="",INDEX(_LEITURA!$Q$2:$Q$21,14)=0),"",SUMIFS(DECKS!$D$2:$D$1201,DECKS!$A$2:$A$1201,INDEX(_LEITURA!$P$2:$P$21,14),DECKS!$B$2:$B$1201,$A624))</f>
        <v/>
      </c>
      <c r="Y624" s="19" t="str">
        <f aca="false">IF(OR($A624="",INDEX(_LEITURA!$Q$2:$Q$21,15)=0),"",SUMIFS(DECKS!$D$2:$D$1201,DECKS!$A$2:$A$1201,INDEX(_LEITURA!$P$2:$P$21,15),DECKS!$B$2:$B$1201,$A624))</f>
        <v/>
      </c>
      <c r="Z624" s="19" t="str">
        <f aca="false">IF(OR($A624="",INDEX(_LEITURA!$Q$2:$Q$21,16)=0),"",SUMIFS(DECKS!$D$2:$D$1201,DECKS!$A$2:$A$1201,INDEX(_LEITURA!$P$2:$P$21,16),DECKS!$B$2:$B$1201,$A624))</f>
        <v/>
      </c>
      <c r="AA624" s="19" t="str">
        <f aca="false">IF(OR($A624="",INDEX(_LEITURA!$Q$2:$Q$21,17)=0),"",SUMIFS(DECKS!$D$2:$D$1201,DECKS!$A$2:$A$1201,INDEX(_LEITURA!$P$2:$P$21,17),DECKS!$B$2:$B$1201,$A624))</f>
        <v/>
      </c>
      <c r="AB624" s="19" t="str">
        <f aca="false">IF(OR($A624="",INDEX(_LEITURA!$Q$2:$Q$21,18)=0),"",SUMIFS(DECKS!$D$2:$D$1201,DECKS!$A$2:$A$1201,INDEX(_LEITURA!$P$2:$P$21,18),DECKS!$B$2:$B$1201,$A624))</f>
        <v/>
      </c>
      <c r="AC624" s="19" t="str">
        <f aca="false">IF(OR($A624="",INDEX(_LEITURA!$Q$2:$Q$21,19)=0),"",SUMIFS(DECKS!$D$2:$D$1201,DECKS!$A$2:$A$1201,INDEX(_LEITURA!$P$2:$P$21,19),DECKS!$B$2:$B$1201,$A624))</f>
        <v/>
      </c>
      <c r="AD624" s="19" t="str">
        <f aca="false">IF(OR($A624="",INDEX(_LEITURA!$Q$2:$Q$21,20)=0),"",SUMIFS(DECKS!$D$2:$D$1201,DECKS!$A$2:$A$1201,INDEX(_LEITURA!$P$2:$P$21,20),DECKS!$B$2:$B$1201,$A624))</f>
        <v/>
      </c>
      <c r="AE624" s="16" t="str">
        <f aca="false">IF(N(E624)&gt;0,MAX(AE$1:AE623)+1,"")</f>
        <v/>
      </c>
      <c r="AF624" s="11" t="str">
        <f aca="false">IF(A624="","",IFERROR(LEFT(A624,FIND("-",A624)-1),A624))</f>
        <v/>
      </c>
      <c r="AG624" s="11" t="str">
        <f aca="false">IF(AF624="","",IF(ISNUMBER(--MID(AF624,1,1)),0,IF(ISNUMBER(--MID(AF624,2,1)),1,IF(ISNUMBER(--MID(AF624,3,1)),2,IF(ISNUMBER(--MID(AF624,4,1)),3,MIN(LEN(AF624),4))))))</f>
        <v/>
      </c>
      <c r="AH624" s="11" t="str">
        <f aca="false">IF(A624="","",LEFT(AF624,AG624)&amp;REPT("0",4-AG624)&amp;RIGHT("000"&amp;IFERROR(VALUE(MID(AF624,AG624+1,9)),0),3)&amp;RIGHT("0000"&amp;IFERROR(VALUE(MID(A624,FIND("-",A624)+1,9)),0),4))</f>
        <v/>
      </c>
      <c r="AI624" s="11" t="str">
        <f aca="false">IF(OR(A624="",N(E624)&lt;=0),"",IF('FALTAS GERAL'!$M$1="Código","K"&amp;AH624&amp;RIGHT("00000"&amp;ROW(),5),IF('FALTAS GERAL'!$M$1="Nome","K"&amp;UPPER(SUBSTITUTE(SUBSTITUTE(SUBSTITUTE(B624,"*",""),"?",""),"~",""))&amp;"0"&amp;AH624&amp;RIGHT("00000"&amp;ROW(),5),IF('FALTAS GERAL'!$M$1="Falta (maior primeiro)","K"&amp;RIGHT("0000"&amp;(9999-E624),4)&amp;AH624&amp;RIGHT("00000"&amp;ROW(),5),IF('FALTAS GERAL'!$M$1="Nº de decks (maior primeiro)","K"&amp;RIGHT("00"&amp;(99-N(G624)),2)&amp;AH624&amp;RIGHT("00000"&amp;ROW(),5),"K"&amp;RIGHT("00000"&amp;ROW(),5))))))</f>
        <v/>
      </c>
      <c r="AJ624" s="11" t="str">
        <f aca="false">IF(AI624="","",COUNTIFS($AI$2:$AI$801,"&lt;"&amp;AI624,$E$2:$E$801,"&gt;0")+1)</f>
        <v/>
      </c>
      <c r="AK624" s="11" t="str">
        <f aca="false">IF(OR(A624="",N(E624)&lt;=0),"",COUNTIFS($AH$2:$AH$801,"&lt;"&amp;AH624,$E$2:$E$801,"&gt;0")+COUNTIFS($AH$2:AH624,AH624,$E$2:E624,"&gt;0"))</f>
        <v/>
      </c>
    </row>
    <row r="625" customFormat="false" ht="15" hidden="false" customHeight="false" outlineLevel="0" collapsed="false">
      <c r="A625" s="11" t="str">
        <f aca="false">IF(INVENTÁRIO!A625="","",INVENTÁRIO!A625)</f>
        <v/>
      </c>
      <c r="B625" s="11" t="str">
        <f aca="false">IF(A625="","",INVENTÁRIO!B625)</f>
        <v/>
      </c>
      <c r="C625" s="16" t="str">
        <f aca="false">IF(A625="","",INVENTÁRIO!C625)</f>
        <v/>
      </c>
      <c r="D625" s="14" t="str">
        <f aca="false">IF(A625="","",MAX(K625:AD625))</f>
        <v/>
      </c>
      <c r="E625" s="14" t="str">
        <f aca="false">IF(A625="","",MAX(0,D625-C625))</f>
        <v/>
      </c>
      <c r="F625" s="16" t="str">
        <f aca="false">IF(A625="","",IF(D625=0,"Fora dos decks",IF(E625=0,"Completo","Falta")))</f>
        <v/>
      </c>
      <c r="G625" s="16" t="str">
        <f aca="false">IF(A625="","",COUNTIF(K625:AD625,"&gt;0"))</f>
        <v/>
      </c>
      <c r="H625" s="16" t="str">
        <f aca="false">IF(A625="","",IF(G625&gt;1,"Sim",""))</f>
        <v/>
      </c>
      <c r="I625" s="18" t="str">
        <f aca="false">IF(A625="","",SUMIFS(DECKS!$D$2:$D$1201,DECKS!$B$2:$B$1201,A625))</f>
        <v/>
      </c>
      <c r="J625" s="18" t="str">
        <f aca="false">IF(A625="","",MAX(0,I625-C625))</f>
        <v/>
      </c>
      <c r="K625" s="19" t="str">
        <f aca="false">IF(OR($A625="",INDEX(_LEITURA!$Q$2:$Q$21,1)=0),"",SUMIFS(DECKS!$D$2:$D$1201,DECKS!$A$2:$A$1201,INDEX(_LEITURA!$P$2:$P$21,1),DECKS!$B$2:$B$1201,$A625))</f>
        <v/>
      </c>
      <c r="L625" s="19" t="str">
        <f aca="false">IF(OR($A625="",INDEX(_LEITURA!$Q$2:$Q$21,2)=0),"",SUMIFS(DECKS!$D$2:$D$1201,DECKS!$A$2:$A$1201,INDEX(_LEITURA!$P$2:$P$21,2),DECKS!$B$2:$B$1201,$A625))</f>
        <v/>
      </c>
      <c r="M625" s="19" t="str">
        <f aca="false">IF(OR($A625="",INDEX(_LEITURA!$Q$2:$Q$21,3)=0),"",SUMIFS(DECKS!$D$2:$D$1201,DECKS!$A$2:$A$1201,INDEX(_LEITURA!$P$2:$P$21,3),DECKS!$B$2:$B$1201,$A625))</f>
        <v/>
      </c>
      <c r="N625" s="19" t="str">
        <f aca="false">IF(OR($A625="",INDEX(_LEITURA!$Q$2:$Q$21,4)=0),"",SUMIFS(DECKS!$D$2:$D$1201,DECKS!$A$2:$A$1201,INDEX(_LEITURA!$P$2:$P$21,4),DECKS!$B$2:$B$1201,$A625))</f>
        <v/>
      </c>
      <c r="O625" s="19" t="str">
        <f aca="false">IF(OR($A625="",INDEX(_LEITURA!$Q$2:$Q$21,5)=0),"",SUMIFS(DECKS!$D$2:$D$1201,DECKS!$A$2:$A$1201,INDEX(_LEITURA!$P$2:$P$21,5),DECKS!$B$2:$B$1201,$A625))</f>
        <v/>
      </c>
      <c r="P625" s="19" t="str">
        <f aca="false">IF(OR($A625="",INDEX(_LEITURA!$Q$2:$Q$21,6)=0),"",SUMIFS(DECKS!$D$2:$D$1201,DECKS!$A$2:$A$1201,INDEX(_LEITURA!$P$2:$P$21,6),DECKS!$B$2:$B$1201,$A625))</f>
        <v/>
      </c>
      <c r="Q625" s="19" t="str">
        <f aca="false">IF(OR($A625="",INDEX(_LEITURA!$Q$2:$Q$21,7)=0),"",SUMIFS(DECKS!$D$2:$D$1201,DECKS!$A$2:$A$1201,INDEX(_LEITURA!$P$2:$P$21,7),DECKS!$B$2:$B$1201,$A625))</f>
        <v/>
      </c>
      <c r="R625" s="19" t="str">
        <f aca="false">IF(OR($A625="",INDEX(_LEITURA!$Q$2:$Q$21,8)=0),"",SUMIFS(DECKS!$D$2:$D$1201,DECKS!$A$2:$A$1201,INDEX(_LEITURA!$P$2:$P$21,8),DECKS!$B$2:$B$1201,$A625))</f>
        <v/>
      </c>
      <c r="S625" s="19" t="str">
        <f aca="false">IF(OR($A625="",INDEX(_LEITURA!$Q$2:$Q$21,9)=0),"",SUMIFS(DECKS!$D$2:$D$1201,DECKS!$A$2:$A$1201,INDEX(_LEITURA!$P$2:$P$21,9),DECKS!$B$2:$B$1201,$A625))</f>
        <v/>
      </c>
      <c r="T625" s="19" t="str">
        <f aca="false">IF(OR($A625="",INDEX(_LEITURA!$Q$2:$Q$21,10)=0),"",SUMIFS(DECKS!$D$2:$D$1201,DECKS!$A$2:$A$1201,INDEX(_LEITURA!$P$2:$P$21,10),DECKS!$B$2:$B$1201,$A625))</f>
        <v/>
      </c>
      <c r="U625" s="19" t="str">
        <f aca="false">IF(OR($A625="",INDEX(_LEITURA!$Q$2:$Q$21,11)=0),"",SUMIFS(DECKS!$D$2:$D$1201,DECKS!$A$2:$A$1201,INDEX(_LEITURA!$P$2:$P$21,11),DECKS!$B$2:$B$1201,$A625))</f>
        <v/>
      </c>
      <c r="V625" s="19" t="str">
        <f aca="false">IF(OR($A625="",INDEX(_LEITURA!$Q$2:$Q$21,12)=0),"",SUMIFS(DECKS!$D$2:$D$1201,DECKS!$A$2:$A$1201,INDEX(_LEITURA!$P$2:$P$21,12),DECKS!$B$2:$B$1201,$A625))</f>
        <v/>
      </c>
      <c r="W625" s="19" t="str">
        <f aca="false">IF(OR($A625="",INDEX(_LEITURA!$Q$2:$Q$21,13)=0),"",SUMIFS(DECKS!$D$2:$D$1201,DECKS!$A$2:$A$1201,INDEX(_LEITURA!$P$2:$P$21,13),DECKS!$B$2:$B$1201,$A625))</f>
        <v/>
      </c>
      <c r="X625" s="19" t="str">
        <f aca="false">IF(OR($A625="",INDEX(_LEITURA!$Q$2:$Q$21,14)=0),"",SUMIFS(DECKS!$D$2:$D$1201,DECKS!$A$2:$A$1201,INDEX(_LEITURA!$P$2:$P$21,14),DECKS!$B$2:$B$1201,$A625))</f>
        <v/>
      </c>
      <c r="Y625" s="19" t="str">
        <f aca="false">IF(OR($A625="",INDEX(_LEITURA!$Q$2:$Q$21,15)=0),"",SUMIFS(DECKS!$D$2:$D$1201,DECKS!$A$2:$A$1201,INDEX(_LEITURA!$P$2:$P$21,15),DECKS!$B$2:$B$1201,$A625))</f>
        <v/>
      </c>
      <c r="Z625" s="19" t="str">
        <f aca="false">IF(OR($A625="",INDEX(_LEITURA!$Q$2:$Q$21,16)=0),"",SUMIFS(DECKS!$D$2:$D$1201,DECKS!$A$2:$A$1201,INDEX(_LEITURA!$P$2:$P$21,16),DECKS!$B$2:$B$1201,$A625))</f>
        <v/>
      </c>
      <c r="AA625" s="19" t="str">
        <f aca="false">IF(OR($A625="",INDEX(_LEITURA!$Q$2:$Q$21,17)=0),"",SUMIFS(DECKS!$D$2:$D$1201,DECKS!$A$2:$A$1201,INDEX(_LEITURA!$P$2:$P$21,17),DECKS!$B$2:$B$1201,$A625))</f>
        <v/>
      </c>
      <c r="AB625" s="19" t="str">
        <f aca="false">IF(OR($A625="",INDEX(_LEITURA!$Q$2:$Q$21,18)=0),"",SUMIFS(DECKS!$D$2:$D$1201,DECKS!$A$2:$A$1201,INDEX(_LEITURA!$P$2:$P$21,18),DECKS!$B$2:$B$1201,$A625))</f>
        <v/>
      </c>
      <c r="AC625" s="19" t="str">
        <f aca="false">IF(OR($A625="",INDEX(_LEITURA!$Q$2:$Q$21,19)=0),"",SUMIFS(DECKS!$D$2:$D$1201,DECKS!$A$2:$A$1201,INDEX(_LEITURA!$P$2:$P$21,19),DECKS!$B$2:$B$1201,$A625))</f>
        <v/>
      </c>
      <c r="AD625" s="19" t="str">
        <f aca="false">IF(OR($A625="",INDEX(_LEITURA!$Q$2:$Q$21,20)=0),"",SUMIFS(DECKS!$D$2:$D$1201,DECKS!$A$2:$A$1201,INDEX(_LEITURA!$P$2:$P$21,20),DECKS!$B$2:$B$1201,$A625))</f>
        <v/>
      </c>
      <c r="AE625" s="16" t="str">
        <f aca="false">IF(N(E625)&gt;0,MAX(AE$1:AE624)+1,"")</f>
        <v/>
      </c>
      <c r="AF625" s="11" t="str">
        <f aca="false">IF(A625="","",IFERROR(LEFT(A625,FIND("-",A625)-1),A625))</f>
        <v/>
      </c>
      <c r="AG625" s="11" t="str">
        <f aca="false">IF(AF625="","",IF(ISNUMBER(--MID(AF625,1,1)),0,IF(ISNUMBER(--MID(AF625,2,1)),1,IF(ISNUMBER(--MID(AF625,3,1)),2,IF(ISNUMBER(--MID(AF625,4,1)),3,MIN(LEN(AF625),4))))))</f>
        <v/>
      </c>
      <c r="AH625" s="11" t="str">
        <f aca="false">IF(A625="","",LEFT(AF625,AG625)&amp;REPT("0",4-AG625)&amp;RIGHT("000"&amp;IFERROR(VALUE(MID(AF625,AG625+1,9)),0),3)&amp;RIGHT("0000"&amp;IFERROR(VALUE(MID(A625,FIND("-",A625)+1,9)),0),4))</f>
        <v/>
      </c>
      <c r="AI625" s="11" t="str">
        <f aca="false">IF(OR(A625="",N(E625)&lt;=0),"",IF('FALTAS GERAL'!$M$1="Código","K"&amp;AH625&amp;RIGHT("00000"&amp;ROW(),5),IF('FALTAS GERAL'!$M$1="Nome","K"&amp;UPPER(SUBSTITUTE(SUBSTITUTE(SUBSTITUTE(B625,"*",""),"?",""),"~",""))&amp;"0"&amp;AH625&amp;RIGHT("00000"&amp;ROW(),5),IF('FALTAS GERAL'!$M$1="Falta (maior primeiro)","K"&amp;RIGHT("0000"&amp;(9999-E625),4)&amp;AH625&amp;RIGHT("00000"&amp;ROW(),5),IF('FALTAS GERAL'!$M$1="Nº de decks (maior primeiro)","K"&amp;RIGHT("00"&amp;(99-N(G625)),2)&amp;AH625&amp;RIGHT("00000"&amp;ROW(),5),"K"&amp;RIGHT("00000"&amp;ROW(),5))))))</f>
        <v/>
      </c>
      <c r="AJ625" s="11" t="str">
        <f aca="false">IF(AI625="","",COUNTIFS($AI$2:$AI$801,"&lt;"&amp;AI625,$E$2:$E$801,"&gt;0")+1)</f>
        <v/>
      </c>
      <c r="AK625" s="11" t="str">
        <f aca="false">IF(OR(A625="",N(E625)&lt;=0),"",COUNTIFS($AH$2:$AH$801,"&lt;"&amp;AH625,$E$2:$E$801,"&gt;0")+COUNTIFS($AH$2:AH625,AH625,$E$2:E625,"&gt;0"))</f>
        <v/>
      </c>
    </row>
    <row r="626" customFormat="false" ht="15" hidden="false" customHeight="false" outlineLevel="0" collapsed="false">
      <c r="A626" s="11" t="str">
        <f aca="false">IF(INVENTÁRIO!A626="","",INVENTÁRIO!A626)</f>
        <v/>
      </c>
      <c r="B626" s="11" t="str">
        <f aca="false">IF(A626="","",INVENTÁRIO!B626)</f>
        <v/>
      </c>
      <c r="C626" s="16" t="str">
        <f aca="false">IF(A626="","",INVENTÁRIO!C626)</f>
        <v/>
      </c>
      <c r="D626" s="14" t="str">
        <f aca="false">IF(A626="","",MAX(K626:AD626))</f>
        <v/>
      </c>
      <c r="E626" s="14" t="str">
        <f aca="false">IF(A626="","",MAX(0,D626-C626))</f>
        <v/>
      </c>
      <c r="F626" s="16" t="str">
        <f aca="false">IF(A626="","",IF(D626=0,"Fora dos decks",IF(E626=0,"Completo","Falta")))</f>
        <v/>
      </c>
      <c r="G626" s="16" t="str">
        <f aca="false">IF(A626="","",COUNTIF(K626:AD626,"&gt;0"))</f>
        <v/>
      </c>
      <c r="H626" s="16" t="str">
        <f aca="false">IF(A626="","",IF(G626&gt;1,"Sim",""))</f>
        <v/>
      </c>
      <c r="I626" s="18" t="str">
        <f aca="false">IF(A626="","",SUMIFS(DECKS!$D$2:$D$1201,DECKS!$B$2:$B$1201,A626))</f>
        <v/>
      </c>
      <c r="J626" s="18" t="str">
        <f aca="false">IF(A626="","",MAX(0,I626-C626))</f>
        <v/>
      </c>
      <c r="K626" s="19" t="str">
        <f aca="false">IF(OR($A626="",INDEX(_LEITURA!$Q$2:$Q$21,1)=0),"",SUMIFS(DECKS!$D$2:$D$1201,DECKS!$A$2:$A$1201,INDEX(_LEITURA!$P$2:$P$21,1),DECKS!$B$2:$B$1201,$A626))</f>
        <v/>
      </c>
      <c r="L626" s="19" t="str">
        <f aca="false">IF(OR($A626="",INDEX(_LEITURA!$Q$2:$Q$21,2)=0),"",SUMIFS(DECKS!$D$2:$D$1201,DECKS!$A$2:$A$1201,INDEX(_LEITURA!$P$2:$P$21,2),DECKS!$B$2:$B$1201,$A626))</f>
        <v/>
      </c>
      <c r="M626" s="19" t="str">
        <f aca="false">IF(OR($A626="",INDEX(_LEITURA!$Q$2:$Q$21,3)=0),"",SUMIFS(DECKS!$D$2:$D$1201,DECKS!$A$2:$A$1201,INDEX(_LEITURA!$P$2:$P$21,3),DECKS!$B$2:$B$1201,$A626))</f>
        <v/>
      </c>
      <c r="N626" s="19" t="str">
        <f aca="false">IF(OR($A626="",INDEX(_LEITURA!$Q$2:$Q$21,4)=0),"",SUMIFS(DECKS!$D$2:$D$1201,DECKS!$A$2:$A$1201,INDEX(_LEITURA!$P$2:$P$21,4),DECKS!$B$2:$B$1201,$A626))</f>
        <v/>
      </c>
      <c r="O626" s="19" t="str">
        <f aca="false">IF(OR($A626="",INDEX(_LEITURA!$Q$2:$Q$21,5)=0),"",SUMIFS(DECKS!$D$2:$D$1201,DECKS!$A$2:$A$1201,INDEX(_LEITURA!$P$2:$P$21,5),DECKS!$B$2:$B$1201,$A626))</f>
        <v/>
      </c>
      <c r="P626" s="19" t="str">
        <f aca="false">IF(OR($A626="",INDEX(_LEITURA!$Q$2:$Q$21,6)=0),"",SUMIFS(DECKS!$D$2:$D$1201,DECKS!$A$2:$A$1201,INDEX(_LEITURA!$P$2:$P$21,6),DECKS!$B$2:$B$1201,$A626))</f>
        <v/>
      </c>
      <c r="Q626" s="19" t="str">
        <f aca="false">IF(OR($A626="",INDEX(_LEITURA!$Q$2:$Q$21,7)=0),"",SUMIFS(DECKS!$D$2:$D$1201,DECKS!$A$2:$A$1201,INDEX(_LEITURA!$P$2:$P$21,7),DECKS!$B$2:$B$1201,$A626))</f>
        <v/>
      </c>
      <c r="R626" s="19" t="str">
        <f aca="false">IF(OR($A626="",INDEX(_LEITURA!$Q$2:$Q$21,8)=0),"",SUMIFS(DECKS!$D$2:$D$1201,DECKS!$A$2:$A$1201,INDEX(_LEITURA!$P$2:$P$21,8),DECKS!$B$2:$B$1201,$A626))</f>
        <v/>
      </c>
      <c r="S626" s="19" t="str">
        <f aca="false">IF(OR($A626="",INDEX(_LEITURA!$Q$2:$Q$21,9)=0),"",SUMIFS(DECKS!$D$2:$D$1201,DECKS!$A$2:$A$1201,INDEX(_LEITURA!$P$2:$P$21,9),DECKS!$B$2:$B$1201,$A626))</f>
        <v/>
      </c>
      <c r="T626" s="19" t="str">
        <f aca="false">IF(OR($A626="",INDEX(_LEITURA!$Q$2:$Q$21,10)=0),"",SUMIFS(DECKS!$D$2:$D$1201,DECKS!$A$2:$A$1201,INDEX(_LEITURA!$P$2:$P$21,10),DECKS!$B$2:$B$1201,$A626))</f>
        <v/>
      </c>
      <c r="U626" s="19" t="str">
        <f aca="false">IF(OR($A626="",INDEX(_LEITURA!$Q$2:$Q$21,11)=0),"",SUMIFS(DECKS!$D$2:$D$1201,DECKS!$A$2:$A$1201,INDEX(_LEITURA!$P$2:$P$21,11),DECKS!$B$2:$B$1201,$A626))</f>
        <v/>
      </c>
      <c r="V626" s="19" t="str">
        <f aca="false">IF(OR($A626="",INDEX(_LEITURA!$Q$2:$Q$21,12)=0),"",SUMIFS(DECKS!$D$2:$D$1201,DECKS!$A$2:$A$1201,INDEX(_LEITURA!$P$2:$P$21,12),DECKS!$B$2:$B$1201,$A626))</f>
        <v/>
      </c>
      <c r="W626" s="19" t="str">
        <f aca="false">IF(OR($A626="",INDEX(_LEITURA!$Q$2:$Q$21,13)=0),"",SUMIFS(DECKS!$D$2:$D$1201,DECKS!$A$2:$A$1201,INDEX(_LEITURA!$P$2:$P$21,13),DECKS!$B$2:$B$1201,$A626))</f>
        <v/>
      </c>
      <c r="X626" s="19" t="str">
        <f aca="false">IF(OR($A626="",INDEX(_LEITURA!$Q$2:$Q$21,14)=0),"",SUMIFS(DECKS!$D$2:$D$1201,DECKS!$A$2:$A$1201,INDEX(_LEITURA!$P$2:$P$21,14),DECKS!$B$2:$B$1201,$A626))</f>
        <v/>
      </c>
      <c r="Y626" s="19" t="str">
        <f aca="false">IF(OR($A626="",INDEX(_LEITURA!$Q$2:$Q$21,15)=0),"",SUMIFS(DECKS!$D$2:$D$1201,DECKS!$A$2:$A$1201,INDEX(_LEITURA!$P$2:$P$21,15),DECKS!$B$2:$B$1201,$A626))</f>
        <v/>
      </c>
      <c r="Z626" s="19" t="str">
        <f aca="false">IF(OR($A626="",INDEX(_LEITURA!$Q$2:$Q$21,16)=0),"",SUMIFS(DECKS!$D$2:$D$1201,DECKS!$A$2:$A$1201,INDEX(_LEITURA!$P$2:$P$21,16),DECKS!$B$2:$B$1201,$A626))</f>
        <v/>
      </c>
      <c r="AA626" s="19" t="str">
        <f aca="false">IF(OR($A626="",INDEX(_LEITURA!$Q$2:$Q$21,17)=0),"",SUMIFS(DECKS!$D$2:$D$1201,DECKS!$A$2:$A$1201,INDEX(_LEITURA!$P$2:$P$21,17),DECKS!$B$2:$B$1201,$A626))</f>
        <v/>
      </c>
      <c r="AB626" s="19" t="str">
        <f aca="false">IF(OR($A626="",INDEX(_LEITURA!$Q$2:$Q$21,18)=0),"",SUMIFS(DECKS!$D$2:$D$1201,DECKS!$A$2:$A$1201,INDEX(_LEITURA!$P$2:$P$21,18),DECKS!$B$2:$B$1201,$A626))</f>
        <v/>
      </c>
      <c r="AC626" s="19" t="str">
        <f aca="false">IF(OR($A626="",INDEX(_LEITURA!$Q$2:$Q$21,19)=0),"",SUMIFS(DECKS!$D$2:$D$1201,DECKS!$A$2:$A$1201,INDEX(_LEITURA!$P$2:$P$21,19),DECKS!$B$2:$B$1201,$A626))</f>
        <v/>
      </c>
      <c r="AD626" s="19" t="str">
        <f aca="false">IF(OR($A626="",INDEX(_LEITURA!$Q$2:$Q$21,20)=0),"",SUMIFS(DECKS!$D$2:$D$1201,DECKS!$A$2:$A$1201,INDEX(_LEITURA!$P$2:$P$21,20),DECKS!$B$2:$B$1201,$A626))</f>
        <v/>
      </c>
      <c r="AE626" s="16" t="str">
        <f aca="false">IF(N(E626)&gt;0,MAX(AE$1:AE625)+1,"")</f>
        <v/>
      </c>
      <c r="AF626" s="11" t="str">
        <f aca="false">IF(A626="","",IFERROR(LEFT(A626,FIND("-",A626)-1),A626))</f>
        <v/>
      </c>
      <c r="AG626" s="11" t="str">
        <f aca="false">IF(AF626="","",IF(ISNUMBER(--MID(AF626,1,1)),0,IF(ISNUMBER(--MID(AF626,2,1)),1,IF(ISNUMBER(--MID(AF626,3,1)),2,IF(ISNUMBER(--MID(AF626,4,1)),3,MIN(LEN(AF626),4))))))</f>
        <v/>
      </c>
      <c r="AH626" s="11" t="str">
        <f aca="false">IF(A626="","",LEFT(AF626,AG626)&amp;REPT("0",4-AG626)&amp;RIGHT("000"&amp;IFERROR(VALUE(MID(AF626,AG626+1,9)),0),3)&amp;RIGHT("0000"&amp;IFERROR(VALUE(MID(A626,FIND("-",A626)+1,9)),0),4))</f>
        <v/>
      </c>
      <c r="AI626" s="11" t="str">
        <f aca="false">IF(OR(A626="",N(E626)&lt;=0),"",IF('FALTAS GERAL'!$M$1="Código","K"&amp;AH626&amp;RIGHT("00000"&amp;ROW(),5),IF('FALTAS GERAL'!$M$1="Nome","K"&amp;UPPER(SUBSTITUTE(SUBSTITUTE(SUBSTITUTE(B626,"*",""),"?",""),"~",""))&amp;"0"&amp;AH626&amp;RIGHT("00000"&amp;ROW(),5),IF('FALTAS GERAL'!$M$1="Falta (maior primeiro)","K"&amp;RIGHT("0000"&amp;(9999-E626),4)&amp;AH626&amp;RIGHT("00000"&amp;ROW(),5),IF('FALTAS GERAL'!$M$1="Nº de decks (maior primeiro)","K"&amp;RIGHT("00"&amp;(99-N(G626)),2)&amp;AH626&amp;RIGHT("00000"&amp;ROW(),5),"K"&amp;RIGHT("00000"&amp;ROW(),5))))))</f>
        <v/>
      </c>
      <c r="AJ626" s="11" t="str">
        <f aca="false">IF(AI626="","",COUNTIFS($AI$2:$AI$801,"&lt;"&amp;AI626,$E$2:$E$801,"&gt;0")+1)</f>
        <v/>
      </c>
      <c r="AK626" s="11" t="str">
        <f aca="false">IF(OR(A626="",N(E626)&lt;=0),"",COUNTIFS($AH$2:$AH$801,"&lt;"&amp;AH626,$E$2:$E$801,"&gt;0")+COUNTIFS($AH$2:AH626,AH626,$E$2:E626,"&gt;0"))</f>
        <v/>
      </c>
    </row>
    <row r="627" customFormat="false" ht="15" hidden="false" customHeight="false" outlineLevel="0" collapsed="false">
      <c r="A627" s="11" t="str">
        <f aca="false">IF(INVENTÁRIO!A627="","",INVENTÁRIO!A627)</f>
        <v/>
      </c>
      <c r="B627" s="11" t="str">
        <f aca="false">IF(A627="","",INVENTÁRIO!B627)</f>
        <v/>
      </c>
      <c r="C627" s="16" t="str">
        <f aca="false">IF(A627="","",INVENTÁRIO!C627)</f>
        <v/>
      </c>
      <c r="D627" s="14" t="str">
        <f aca="false">IF(A627="","",MAX(K627:AD627))</f>
        <v/>
      </c>
      <c r="E627" s="14" t="str">
        <f aca="false">IF(A627="","",MAX(0,D627-C627))</f>
        <v/>
      </c>
      <c r="F627" s="16" t="str">
        <f aca="false">IF(A627="","",IF(D627=0,"Fora dos decks",IF(E627=0,"Completo","Falta")))</f>
        <v/>
      </c>
      <c r="G627" s="16" t="str">
        <f aca="false">IF(A627="","",COUNTIF(K627:AD627,"&gt;0"))</f>
        <v/>
      </c>
      <c r="H627" s="16" t="str">
        <f aca="false">IF(A627="","",IF(G627&gt;1,"Sim",""))</f>
        <v/>
      </c>
      <c r="I627" s="18" t="str">
        <f aca="false">IF(A627="","",SUMIFS(DECKS!$D$2:$D$1201,DECKS!$B$2:$B$1201,A627))</f>
        <v/>
      </c>
      <c r="J627" s="18" t="str">
        <f aca="false">IF(A627="","",MAX(0,I627-C627))</f>
        <v/>
      </c>
      <c r="K627" s="19" t="str">
        <f aca="false">IF(OR($A627="",INDEX(_LEITURA!$Q$2:$Q$21,1)=0),"",SUMIFS(DECKS!$D$2:$D$1201,DECKS!$A$2:$A$1201,INDEX(_LEITURA!$P$2:$P$21,1),DECKS!$B$2:$B$1201,$A627))</f>
        <v/>
      </c>
      <c r="L627" s="19" t="str">
        <f aca="false">IF(OR($A627="",INDEX(_LEITURA!$Q$2:$Q$21,2)=0),"",SUMIFS(DECKS!$D$2:$D$1201,DECKS!$A$2:$A$1201,INDEX(_LEITURA!$P$2:$P$21,2),DECKS!$B$2:$B$1201,$A627))</f>
        <v/>
      </c>
      <c r="M627" s="19" t="str">
        <f aca="false">IF(OR($A627="",INDEX(_LEITURA!$Q$2:$Q$21,3)=0),"",SUMIFS(DECKS!$D$2:$D$1201,DECKS!$A$2:$A$1201,INDEX(_LEITURA!$P$2:$P$21,3),DECKS!$B$2:$B$1201,$A627))</f>
        <v/>
      </c>
      <c r="N627" s="19" t="str">
        <f aca="false">IF(OR($A627="",INDEX(_LEITURA!$Q$2:$Q$21,4)=0),"",SUMIFS(DECKS!$D$2:$D$1201,DECKS!$A$2:$A$1201,INDEX(_LEITURA!$P$2:$P$21,4),DECKS!$B$2:$B$1201,$A627))</f>
        <v/>
      </c>
      <c r="O627" s="19" t="str">
        <f aca="false">IF(OR($A627="",INDEX(_LEITURA!$Q$2:$Q$21,5)=0),"",SUMIFS(DECKS!$D$2:$D$1201,DECKS!$A$2:$A$1201,INDEX(_LEITURA!$P$2:$P$21,5),DECKS!$B$2:$B$1201,$A627))</f>
        <v/>
      </c>
      <c r="P627" s="19" t="str">
        <f aca="false">IF(OR($A627="",INDEX(_LEITURA!$Q$2:$Q$21,6)=0),"",SUMIFS(DECKS!$D$2:$D$1201,DECKS!$A$2:$A$1201,INDEX(_LEITURA!$P$2:$P$21,6),DECKS!$B$2:$B$1201,$A627))</f>
        <v/>
      </c>
      <c r="Q627" s="19" t="str">
        <f aca="false">IF(OR($A627="",INDEX(_LEITURA!$Q$2:$Q$21,7)=0),"",SUMIFS(DECKS!$D$2:$D$1201,DECKS!$A$2:$A$1201,INDEX(_LEITURA!$P$2:$P$21,7),DECKS!$B$2:$B$1201,$A627))</f>
        <v/>
      </c>
      <c r="R627" s="19" t="str">
        <f aca="false">IF(OR($A627="",INDEX(_LEITURA!$Q$2:$Q$21,8)=0),"",SUMIFS(DECKS!$D$2:$D$1201,DECKS!$A$2:$A$1201,INDEX(_LEITURA!$P$2:$P$21,8),DECKS!$B$2:$B$1201,$A627))</f>
        <v/>
      </c>
      <c r="S627" s="19" t="str">
        <f aca="false">IF(OR($A627="",INDEX(_LEITURA!$Q$2:$Q$21,9)=0),"",SUMIFS(DECKS!$D$2:$D$1201,DECKS!$A$2:$A$1201,INDEX(_LEITURA!$P$2:$P$21,9),DECKS!$B$2:$B$1201,$A627))</f>
        <v/>
      </c>
      <c r="T627" s="19" t="str">
        <f aca="false">IF(OR($A627="",INDEX(_LEITURA!$Q$2:$Q$21,10)=0),"",SUMIFS(DECKS!$D$2:$D$1201,DECKS!$A$2:$A$1201,INDEX(_LEITURA!$P$2:$P$21,10),DECKS!$B$2:$B$1201,$A627))</f>
        <v/>
      </c>
      <c r="U627" s="19" t="str">
        <f aca="false">IF(OR($A627="",INDEX(_LEITURA!$Q$2:$Q$21,11)=0),"",SUMIFS(DECKS!$D$2:$D$1201,DECKS!$A$2:$A$1201,INDEX(_LEITURA!$P$2:$P$21,11),DECKS!$B$2:$B$1201,$A627))</f>
        <v/>
      </c>
      <c r="V627" s="19" t="str">
        <f aca="false">IF(OR($A627="",INDEX(_LEITURA!$Q$2:$Q$21,12)=0),"",SUMIFS(DECKS!$D$2:$D$1201,DECKS!$A$2:$A$1201,INDEX(_LEITURA!$P$2:$P$21,12),DECKS!$B$2:$B$1201,$A627))</f>
        <v/>
      </c>
      <c r="W627" s="19" t="str">
        <f aca="false">IF(OR($A627="",INDEX(_LEITURA!$Q$2:$Q$21,13)=0),"",SUMIFS(DECKS!$D$2:$D$1201,DECKS!$A$2:$A$1201,INDEX(_LEITURA!$P$2:$P$21,13),DECKS!$B$2:$B$1201,$A627))</f>
        <v/>
      </c>
      <c r="X627" s="19" t="str">
        <f aca="false">IF(OR($A627="",INDEX(_LEITURA!$Q$2:$Q$21,14)=0),"",SUMIFS(DECKS!$D$2:$D$1201,DECKS!$A$2:$A$1201,INDEX(_LEITURA!$P$2:$P$21,14),DECKS!$B$2:$B$1201,$A627))</f>
        <v/>
      </c>
      <c r="Y627" s="19" t="str">
        <f aca="false">IF(OR($A627="",INDEX(_LEITURA!$Q$2:$Q$21,15)=0),"",SUMIFS(DECKS!$D$2:$D$1201,DECKS!$A$2:$A$1201,INDEX(_LEITURA!$P$2:$P$21,15),DECKS!$B$2:$B$1201,$A627))</f>
        <v/>
      </c>
      <c r="Z627" s="19" t="str">
        <f aca="false">IF(OR($A627="",INDEX(_LEITURA!$Q$2:$Q$21,16)=0),"",SUMIFS(DECKS!$D$2:$D$1201,DECKS!$A$2:$A$1201,INDEX(_LEITURA!$P$2:$P$21,16),DECKS!$B$2:$B$1201,$A627))</f>
        <v/>
      </c>
      <c r="AA627" s="19" t="str">
        <f aca="false">IF(OR($A627="",INDEX(_LEITURA!$Q$2:$Q$21,17)=0),"",SUMIFS(DECKS!$D$2:$D$1201,DECKS!$A$2:$A$1201,INDEX(_LEITURA!$P$2:$P$21,17),DECKS!$B$2:$B$1201,$A627))</f>
        <v/>
      </c>
      <c r="AB627" s="19" t="str">
        <f aca="false">IF(OR($A627="",INDEX(_LEITURA!$Q$2:$Q$21,18)=0),"",SUMIFS(DECKS!$D$2:$D$1201,DECKS!$A$2:$A$1201,INDEX(_LEITURA!$P$2:$P$21,18),DECKS!$B$2:$B$1201,$A627))</f>
        <v/>
      </c>
      <c r="AC627" s="19" t="str">
        <f aca="false">IF(OR($A627="",INDEX(_LEITURA!$Q$2:$Q$21,19)=0),"",SUMIFS(DECKS!$D$2:$D$1201,DECKS!$A$2:$A$1201,INDEX(_LEITURA!$P$2:$P$21,19),DECKS!$B$2:$B$1201,$A627))</f>
        <v/>
      </c>
      <c r="AD627" s="19" t="str">
        <f aca="false">IF(OR($A627="",INDEX(_LEITURA!$Q$2:$Q$21,20)=0),"",SUMIFS(DECKS!$D$2:$D$1201,DECKS!$A$2:$A$1201,INDEX(_LEITURA!$P$2:$P$21,20),DECKS!$B$2:$B$1201,$A627))</f>
        <v/>
      </c>
      <c r="AE627" s="16" t="str">
        <f aca="false">IF(N(E627)&gt;0,MAX(AE$1:AE626)+1,"")</f>
        <v/>
      </c>
      <c r="AF627" s="11" t="str">
        <f aca="false">IF(A627="","",IFERROR(LEFT(A627,FIND("-",A627)-1),A627))</f>
        <v/>
      </c>
      <c r="AG627" s="11" t="str">
        <f aca="false">IF(AF627="","",IF(ISNUMBER(--MID(AF627,1,1)),0,IF(ISNUMBER(--MID(AF627,2,1)),1,IF(ISNUMBER(--MID(AF627,3,1)),2,IF(ISNUMBER(--MID(AF627,4,1)),3,MIN(LEN(AF627),4))))))</f>
        <v/>
      </c>
      <c r="AH627" s="11" t="str">
        <f aca="false">IF(A627="","",LEFT(AF627,AG627)&amp;REPT("0",4-AG627)&amp;RIGHT("000"&amp;IFERROR(VALUE(MID(AF627,AG627+1,9)),0),3)&amp;RIGHT("0000"&amp;IFERROR(VALUE(MID(A627,FIND("-",A627)+1,9)),0),4))</f>
        <v/>
      </c>
      <c r="AI627" s="11" t="str">
        <f aca="false">IF(OR(A627="",N(E627)&lt;=0),"",IF('FALTAS GERAL'!$M$1="Código","K"&amp;AH627&amp;RIGHT("00000"&amp;ROW(),5),IF('FALTAS GERAL'!$M$1="Nome","K"&amp;UPPER(SUBSTITUTE(SUBSTITUTE(SUBSTITUTE(B627,"*",""),"?",""),"~",""))&amp;"0"&amp;AH627&amp;RIGHT("00000"&amp;ROW(),5),IF('FALTAS GERAL'!$M$1="Falta (maior primeiro)","K"&amp;RIGHT("0000"&amp;(9999-E627),4)&amp;AH627&amp;RIGHT("00000"&amp;ROW(),5),IF('FALTAS GERAL'!$M$1="Nº de decks (maior primeiro)","K"&amp;RIGHT("00"&amp;(99-N(G627)),2)&amp;AH627&amp;RIGHT("00000"&amp;ROW(),5),"K"&amp;RIGHT("00000"&amp;ROW(),5))))))</f>
        <v/>
      </c>
      <c r="AJ627" s="11" t="str">
        <f aca="false">IF(AI627="","",COUNTIFS($AI$2:$AI$801,"&lt;"&amp;AI627,$E$2:$E$801,"&gt;0")+1)</f>
        <v/>
      </c>
      <c r="AK627" s="11" t="str">
        <f aca="false">IF(OR(A627="",N(E627)&lt;=0),"",COUNTIFS($AH$2:$AH$801,"&lt;"&amp;AH627,$E$2:$E$801,"&gt;0")+COUNTIFS($AH$2:AH627,AH627,$E$2:E627,"&gt;0"))</f>
        <v/>
      </c>
    </row>
    <row r="628" customFormat="false" ht="15" hidden="false" customHeight="false" outlineLevel="0" collapsed="false">
      <c r="A628" s="11" t="str">
        <f aca="false">IF(INVENTÁRIO!A628="","",INVENTÁRIO!A628)</f>
        <v/>
      </c>
      <c r="B628" s="11" t="str">
        <f aca="false">IF(A628="","",INVENTÁRIO!B628)</f>
        <v/>
      </c>
      <c r="C628" s="16" t="str">
        <f aca="false">IF(A628="","",INVENTÁRIO!C628)</f>
        <v/>
      </c>
      <c r="D628" s="14" t="str">
        <f aca="false">IF(A628="","",MAX(K628:AD628))</f>
        <v/>
      </c>
      <c r="E628" s="14" t="str">
        <f aca="false">IF(A628="","",MAX(0,D628-C628))</f>
        <v/>
      </c>
      <c r="F628" s="16" t="str">
        <f aca="false">IF(A628="","",IF(D628=0,"Fora dos decks",IF(E628=0,"Completo","Falta")))</f>
        <v/>
      </c>
      <c r="G628" s="16" t="str">
        <f aca="false">IF(A628="","",COUNTIF(K628:AD628,"&gt;0"))</f>
        <v/>
      </c>
      <c r="H628" s="16" t="str">
        <f aca="false">IF(A628="","",IF(G628&gt;1,"Sim",""))</f>
        <v/>
      </c>
      <c r="I628" s="18" t="str">
        <f aca="false">IF(A628="","",SUMIFS(DECKS!$D$2:$D$1201,DECKS!$B$2:$B$1201,A628))</f>
        <v/>
      </c>
      <c r="J628" s="18" t="str">
        <f aca="false">IF(A628="","",MAX(0,I628-C628))</f>
        <v/>
      </c>
      <c r="K628" s="19" t="str">
        <f aca="false">IF(OR($A628="",INDEX(_LEITURA!$Q$2:$Q$21,1)=0),"",SUMIFS(DECKS!$D$2:$D$1201,DECKS!$A$2:$A$1201,INDEX(_LEITURA!$P$2:$P$21,1),DECKS!$B$2:$B$1201,$A628))</f>
        <v/>
      </c>
      <c r="L628" s="19" t="str">
        <f aca="false">IF(OR($A628="",INDEX(_LEITURA!$Q$2:$Q$21,2)=0),"",SUMIFS(DECKS!$D$2:$D$1201,DECKS!$A$2:$A$1201,INDEX(_LEITURA!$P$2:$P$21,2),DECKS!$B$2:$B$1201,$A628))</f>
        <v/>
      </c>
      <c r="M628" s="19" t="str">
        <f aca="false">IF(OR($A628="",INDEX(_LEITURA!$Q$2:$Q$21,3)=0),"",SUMIFS(DECKS!$D$2:$D$1201,DECKS!$A$2:$A$1201,INDEX(_LEITURA!$P$2:$P$21,3),DECKS!$B$2:$B$1201,$A628))</f>
        <v/>
      </c>
      <c r="N628" s="19" t="str">
        <f aca="false">IF(OR($A628="",INDEX(_LEITURA!$Q$2:$Q$21,4)=0),"",SUMIFS(DECKS!$D$2:$D$1201,DECKS!$A$2:$A$1201,INDEX(_LEITURA!$P$2:$P$21,4),DECKS!$B$2:$B$1201,$A628))</f>
        <v/>
      </c>
      <c r="O628" s="19" t="str">
        <f aca="false">IF(OR($A628="",INDEX(_LEITURA!$Q$2:$Q$21,5)=0),"",SUMIFS(DECKS!$D$2:$D$1201,DECKS!$A$2:$A$1201,INDEX(_LEITURA!$P$2:$P$21,5),DECKS!$B$2:$B$1201,$A628))</f>
        <v/>
      </c>
      <c r="P628" s="19" t="str">
        <f aca="false">IF(OR($A628="",INDEX(_LEITURA!$Q$2:$Q$21,6)=0),"",SUMIFS(DECKS!$D$2:$D$1201,DECKS!$A$2:$A$1201,INDEX(_LEITURA!$P$2:$P$21,6),DECKS!$B$2:$B$1201,$A628))</f>
        <v/>
      </c>
      <c r="Q628" s="19" t="str">
        <f aca="false">IF(OR($A628="",INDEX(_LEITURA!$Q$2:$Q$21,7)=0),"",SUMIFS(DECKS!$D$2:$D$1201,DECKS!$A$2:$A$1201,INDEX(_LEITURA!$P$2:$P$21,7),DECKS!$B$2:$B$1201,$A628))</f>
        <v/>
      </c>
      <c r="R628" s="19" t="str">
        <f aca="false">IF(OR($A628="",INDEX(_LEITURA!$Q$2:$Q$21,8)=0),"",SUMIFS(DECKS!$D$2:$D$1201,DECKS!$A$2:$A$1201,INDEX(_LEITURA!$P$2:$P$21,8),DECKS!$B$2:$B$1201,$A628))</f>
        <v/>
      </c>
      <c r="S628" s="19" t="str">
        <f aca="false">IF(OR($A628="",INDEX(_LEITURA!$Q$2:$Q$21,9)=0),"",SUMIFS(DECKS!$D$2:$D$1201,DECKS!$A$2:$A$1201,INDEX(_LEITURA!$P$2:$P$21,9),DECKS!$B$2:$B$1201,$A628))</f>
        <v/>
      </c>
      <c r="T628" s="19" t="str">
        <f aca="false">IF(OR($A628="",INDEX(_LEITURA!$Q$2:$Q$21,10)=0),"",SUMIFS(DECKS!$D$2:$D$1201,DECKS!$A$2:$A$1201,INDEX(_LEITURA!$P$2:$P$21,10),DECKS!$B$2:$B$1201,$A628))</f>
        <v/>
      </c>
      <c r="U628" s="19" t="str">
        <f aca="false">IF(OR($A628="",INDEX(_LEITURA!$Q$2:$Q$21,11)=0),"",SUMIFS(DECKS!$D$2:$D$1201,DECKS!$A$2:$A$1201,INDEX(_LEITURA!$P$2:$P$21,11),DECKS!$B$2:$B$1201,$A628))</f>
        <v/>
      </c>
      <c r="V628" s="19" t="str">
        <f aca="false">IF(OR($A628="",INDEX(_LEITURA!$Q$2:$Q$21,12)=0),"",SUMIFS(DECKS!$D$2:$D$1201,DECKS!$A$2:$A$1201,INDEX(_LEITURA!$P$2:$P$21,12),DECKS!$B$2:$B$1201,$A628))</f>
        <v/>
      </c>
      <c r="W628" s="19" t="str">
        <f aca="false">IF(OR($A628="",INDEX(_LEITURA!$Q$2:$Q$21,13)=0),"",SUMIFS(DECKS!$D$2:$D$1201,DECKS!$A$2:$A$1201,INDEX(_LEITURA!$P$2:$P$21,13),DECKS!$B$2:$B$1201,$A628))</f>
        <v/>
      </c>
      <c r="X628" s="19" t="str">
        <f aca="false">IF(OR($A628="",INDEX(_LEITURA!$Q$2:$Q$21,14)=0),"",SUMIFS(DECKS!$D$2:$D$1201,DECKS!$A$2:$A$1201,INDEX(_LEITURA!$P$2:$P$21,14),DECKS!$B$2:$B$1201,$A628))</f>
        <v/>
      </c>
      <c r="Y628" s="19" t="str">
        <f aca="false">IF(OR($A628="",INDEX(_LEITURA!$Q$2:$Q$21,15)=0),"",SUMIFS(DECKS!$D$2:$D$1201,DECKS!$A$2:$A$1201,INDEX(_LEITURA!$P$2:$P$21,15),DECKS!$B$2:$B$1201,$A628))</f>
        <v/>
      </c>
      <c r="Z628" s="19" t="str">
        <f aca="false">IF(OR($A628="",INDEX(_LEITURA!$Q$2:$Q$21,16)=0),"",SUMIFS(DECKS!$D$2:$D$1201,DECKS!$A$2:$A$1201,INDEX(_LEITURA!$P$2:$P$21,16),DECKS!$B$2:$B$1201,$A628))</f>
        <v/>
      </c>
      <c r="AA628" s="19" t="str">
        <f aca="false">IF(OR($A628="",INDEX(_LEITURA!$Q$2:$Q$21,17)=0),"",SUMIFS(DECKS!$D$2:$D$1201,DECKS!$A$2:$A$1201,INDEX(_LEITURA!$P$2:$P$21,17),DECKS!$B$2:$B$1201,$A628))</f>
        <v/>
      </c>
      <c r="AB628" s="19" t="str">
        <f aca="false">IF(OR($A628="",INDEX(_LEITURA!$Q$2:$Q$21,18)=0),"",SUMIFS(DECKS!$D$2:$D$1201,DECKS!$A$2:$A$1201,INDEX(_LEITURA!$P$2:$P$21,18),DECKS!$B$2:$B$1201,$A628))</f>
        <v/>
      </c>
      <c r="AC628" s="19" t="str">
        <f aca="false">IF(OR($A628="",INDEX(_LEITURA!$Q$2:$Q$21,19)=0),"",SUMIFS(DECKS!$D$2:$D$1201,DECKS!$A$2:$A$1201,INDEX(_LEITURA!$P$2:$P$21,19),DECKS!$B$2:$B$1201,$A628))</f>
        <v/>
      </c>
      <c r="AD628" s="19" t="str">
        <f aca="false">IF(OR($A628="",INDEX(_LEITURA!$Q$2:$Q$21,20)=0),"",SUMIFS(DECKS!$D$2:$D$1201,DECKS!$A$2:$A$1201,INDEX(_LEITURA!$P$2:$P$21,20),DECKS!$B$2:$B$1201,$A628))</f>
        <v/>
      </c>
      <c r="AE628" s="16" t="str">
        <f aca="false">IF(N(E628)&gt;0,MAX(AE$1:AE627)+1,"")</f>
        <v/>
      </c>
      <c r="AF628" s="11" t="str">
        <f aca="false">IF(A628="","",IFERROR(LEFT(A628,FIND("-",A628)-1),A628))</f>
        <v/>
      </c>
      <c r="AG628" s="11" t="str">
        <f aca="false">IF(AF628="","",IF(ISNUMBER(--MID(AF628,1,1)),0,IF(ISNUMBER(--MID(AF628,2,1)),1,IF(ISNUMBER(--MID(AF628,3,1)),2,IF(ISNUMBER(--MID(AF628,4,1)),3,MIN(LEN(AF628),4))))))</f>
        <v/>
      </c>
      <c r="AH628" s="11" t="str">
        <f aca="false">IF(A628="","",LEFT(AF628,AG628)&amp;REPT("0",4-AG628)&amp;RIGHT("000"&amp;IFERROR(VALUE(MID(AF628,AG628+1,9)),0),3)&amp;RIGHT("0000"&amp;IFERROR(VALUE(MID(A628,FIND("-",A628)+1,9)),0),4))</f>
        <v/>
      </c>
      <c r="AI628" s="11" t="str">
        <f aca="false">IF(OR(A628="",N(E628)&lt;=0),"",IF('FALTAS GERAL'!$M$1="Código","K"&amp;AH628&amp;RIGHT("00000"&amp;ROW(),5),IF('FALTAS GERAL'!$M$1="Nome","K"&amp;UPPER(SUBSTITUTE(SUBSTITUTE(SUBSTITUTE(B628,"*",""),"?",""),"~",""))&amp;"0"&amp;AH628&amp;RIGHT("00000"&amp;ROW(),5),IF('FALTAS GERAL'!$M$1="Falta (maior primeiro)","K"&amp;RIGHT("0000"&amp;(9999-E628),4)&amp;AH628&amp;RIGHT("00000"&amp;ROW(),5),IF('FALTAS GERAL'!$M$1="Nº de decks (maior primeiro)","K"&amp;RIGHT("00"&amp;(99-N(G628)),2)&amp;AH628&amp;RIGHT("00000"&amp;ROW(),5),"K"&amp;RIGHT("00000"&amp;ROW(),5))))))</f>
        <v/>
      </c>
      <c r="AJ628" s="11" t="str">
        <f aca="false">IF(AI628="","",COUNTIFS($AI$2:$AI$801,"&lt;"&amp;AI628,$E$2:$E$801,"&gt;0")+1)</f>
        <v/>
      </c>
      <c r="AK628" s="11" t="str">
        <f aca="false">IF(OR(A628="",N(E628)&lt;=0),"",COUNTIFS($AH$2:$AH$801,"&lt;"&amp;AH628,$E$2:$E$801,"&gt;0")+COUNTIFS($AH$2:AH628,AH628,$E$2:E628,"&gt;0"))</f>
        <v/>
      </c>
    </row>
    <row r="629" customFormat="false" ht="15" hidden="false" customHeight="false" outlineLevel="0" collapsed="false">
      <c r="A629" s="11" t="str">
        <f aca="false">IF(INVENTÁRIO!A629="","",INVENTÁRIO!A629)</f>
        <v/>
      </c>
      <c r="B629" s="11" t="str">
        <f aca="false">IF(A629="","",INVENTÁRIO!B629)</f>
        <v/>
      </c>
      <c r="C629" s="16" t="str">
        <f aca="false">IF(A629="","",INVENTÁRIO!C629)</f>
        <v/>
      </c>
      <c r="D629" s="14" t="str">
        <f aca="false">IF(A629="","",MAX(K629:AD629))</f>
        <v/>
      </c>
      <c r="E629" s="14" t="str">
        <f aca="false">IF(A629="","",MAX(0,D629-C629))</f>
        <v/>
      </c>
      <c r="F629" s="16" t="str">
        <f aca="false">IF(A629="","",IF(D629=0,"Fora dos decks",IF(E629=0,"Completo","Falta")))</f>
        <v/>
      </c>
      <c r="G629" s="16" t="str">
        <f aca="false">IF(A629="","",COUNTIF(K629:AD629,"&gt;0"))</f>
        <v/>
      </c>
      <c r="H629" s="16" t="str">
        <f aca="false">IF(A629="","",IF(G629&gt;1,"Sim",""))</f>
        <v/>
      </c>
      <c r="I629" s="18" t="str">
        <f aca="false">IF(A629="","",SUMIFS(DECKS!$D$2:$D$1201,DECKS!$B$2:$B$1201,A629))</f>
        <v/>
      </c>
      <c r="J629" s="18" t="str">
        <f aca="false">IF(A629="","",MAX(0,I629-C629))</f>
        <v/>
      </c>
      <c r="K629" s="19" t="str">
        <f aca="false">IF(OR($A629="",INDEX(_LEITURA!$Q$2:$Q$21,1)=0),"",SUMIFS(DECKS!$D$2:$D$1201,DECKS!$A$2:$A$1201,INDEX(_LEITURA!$P$2:$P$21,1),DECKS!$B$2:$B$1201,$A629))</f>
        <v/>
      </c>
      <c r="L629" s="19" t="str">
        <f aca="false">IF(OR($A629="",INDEX(_LEITURA!$Q$2:$Q$21,2)=0),"",SUMIFS(DECKS!$D$2:$D$1201,DECKS!$A$2:$A$1201,INDEX(_LEITURA!$P$2:$P$21,2),DECKS!$B$2:$B$1201,$A629))</f>
        <v/>
      </c>
      <c r="M629" s="19" t="str">
        <f aca="false">IF(OR($A629="",INDEX(_LEITURA!$Q$2:$Q$21,3)=0),"",SUMIFS(DECKS!$D$2:$D$1201,DECKS!$A$2:$A$1201,INDEX(_LEITURA!$P$2:$P$21,3),DECKS!$B$2:$B$1201,$A629))</f>
        <v/>
      </c>
      <c r="N629" s="19" t="str">
        <f aca="false">IF(OR($A629="",INDEX(_LEITURA!$Q$2:$Q$21,4)=0),"",SUMIFS(DECKS!$D$2:$D$1201,DECKS!$A$2:$A$1201,INDEX(_LEITURA!$P$2:$P$21,4),DECKS!$B$2:$B$1201,$A629))</f>
        <v/>
      </c>
      <c r="O629" s="19" t="str">
        <f aca="false">IF(OR($A629="",INDEX(_LEITURA!$Q$2:$Q$21,5)=0),"",SUMIFS(DECKS!$D$2:$D$1201,DECKS!$A$2:$A$1201,INDEX(_LEITURA!$P$2:$P$21,5),DECKS!$B$2:$B$1201,$A629))</f>
        <v/>
      </c>
      <c r="P629" s="19" t="str">
        <f aca="false">IF(OR($A629="",INDEX(_LEITURA!$Q$2:$Q$21,6)=0),"",SUMIFS(DECKS!$D$2:$D$1201,DECKS!$A$2:$A$1201,INDEX(_LEITURA!$P$2:$P$21,6),DECKS!$B$2:$B$1201,$A629))</f>
        <v/>
      </c>
      <c r="Q629" s="19" t="str">
        <f aca="false">IF(OR($A629="",INDEX(_LEITURA!$Q$2:$Q$21,7)=0),"",SUMIFS(DECKS!$D$2:$D$1201,DECKS!$A$2:$A$1201,INDEX(_LEITURA!$P$2:$P$21,7),DECKS!$B$2:$B$1201,$A629))</f>
        <v/>
      </c>
      <c r="R629" s="19" t="str">
        <f aca="false">IF(OR($A629="",INDEX(_LEITURA!$Q$2:$Q$21,8)=0),"",SUMIFS(DECKS!$D$2:$D$1201,DECKS!$A$2:$A$1201,INDEX(_LEITURA!$P$2:$P$21,8),DECKS!$B$2:$B$1201,$A629))</f>
        <v/>
      </c>
      <c r="S629" s="19" t="str">
        <f aca="false">IF(OR($A629="",INDEX(_LEITURA!$Q$2:$Q$21,9)=0),"",SUMIFS(DECKS!$D$2:$D$1201,DECKS!$A$2:$A$1201,INDEX(_LEITURA!$P$2:$P$21,9),DECKS!$B$2:$B$1201,$A629))</f>
        <v/>
      </c>
      <c r="T629" s="19" t="str">
        <f aca="false">IF(OR($A629="",INDEX(_LEITURA!$Q$2:$Q$21,10)=0),"",SUMIFS(DECKS!$D$2:$D$1201,DECKS!$A$2:$A$1201,INDEX(_LEITURA!$P$2:$P$21,10),DECKS!$B$2:$B$1201,$A629))</f>
        <v/>
      </c>
      <c r="U629" s="19" t="str">
        <f aca="false">IF(OR($A629="",INDEX(_LEITURA!$Q$2:$Q$21,11)=0),"",SUMIFS(DECKS!$D$2:$D$1201,DECKS!$A$2:$A$1201,INDEX(_LEITURA!$P$2:$P$21,11),DECKS!$B$2:$B$1201,$A629))</f>
        <v/>
      </c>
      <c r="V629" s="19" t="str">
        <f aca="false">IF(OR($A629="",INDEX(_LEITURA!$Q$2:$Q$21,12)=0),"",SUMIFS(DECKS!$D$2:$D$1201,DECKS!$A$2:$A$1201,INDEX(_LEITURA!$P$2:$P$21,12),DECKS!$B$2:$B$1201,$A629))</f>
        <v/>
      </c>
      <c r="W629" s="19" t="str">
        <f aca="false">IF(OR($A629="",INDEX(_LEITURA!$Q$2:$Q$21,13)=0),"",SUMIFS(DECKS!$D$2:$D$1201,DECKS!$A$2:$A$1201,INDEX(_LEITURA!$P$2:$P$21,13),DECKS!$B$2:$B$1201,$A629))</f>
        <v/>
      </c>
      <c r="X629" s="19" t="str">
        <f aca="false">IF(OR($A629="",INDEX(_LEITURA!$Q$2:$Q$21,14)=0),"",SUMIFS(DECKS!$D$2:$D$1201,DECKS!$A$2:$A$1201,INDEX(_LEITURA!$P$2:$P$21,14),DECKS!$B$2:$B$1201,$A629))</f>
        <v/>
      </c>
      <c r="Y629" s="19" t="str">
        <f aca="false">IF(OR($A629="",INDEX(_LEITURA!$Q$2:$Q$21,15)=0),"",SUMIFS(DECKS!$D$2:$D$1201,DECKS!$A$2:$A$1201,INDEX(_LEITURA!$P$2:$P$21,15),DECKS!$B$2:$B$1201,$A629))</f>
        <v/>
      </c>
      <c r="Z629" s="19" t="str">
        <f aca="false">IF(OR($A629="",INDEX(_LEITURA!$Q$2:$Q$21,16)=0),"",SUMIFS(DECKS!$D$2:$D$1201,DECKS!$A$2:$A$1201,INDEX(_LEITURA!$P$2:$P$21,16),DECKS!$B$2:$B$1201,$A629))</f>
        <v/>
      </c>
      <c r="AA629" s="19" t="str">
        <f aca="false">IF(OR($A629="",INDEX(_LEITURA!$Q$2:$Q$21,17)=0),"",SUMIFS(DECKS!$D$2:$D$1201,DECKS!$A$2:$A$1201,INDEX(_LEITURA!$P$2:$P$21,17),DECKS!$B$2:$B$1201,$A629))</f>
        <v/>
      </c>
      <c r="AB629" s="19" t="str">
        <f aca="false">IF(OR($A629="",INDEX(_LEITURA!$Q$2:$Q$21,18)=0),"",SUMIFS(DECKS!$D$2:$D$1201,DECKS!$A$2:$A$1201,INDEX(_LEITURA!$P$2:$P$21,18),DECKS!$B$2:$B$1201,$A629))</f>
        <v/>
      </c>
      <c r="AC629" s="19" t="str">
        <f aca="false">IF(OR($A629="",INDEX(_LEITURA!$Q$2:$Q$21,19)=0),"",SUMIFS(DECKS!$D$2:$D$1201,DECKS!$A$2:$A$1201,INDEX(_LEITURA!$P$2:$P$21,19),DECKS!$B$2:$B$1201,$A629))</f>
        <v/>
      </c>
      <c r="AD629" s="19" t="str">
        <f aca="false">IF(OR($A629="",INDEX(_LEITURA!$Q$2:$Q$21,20)=0),"",SUMIFS(DECKS!$D$2:$D$1201,DECKS!$A$2:$A$1201,INDEX(_LEITURA!$P$2:$P$21,20),DECKS!$B$2:$B$1201,$A629))</f>
        <v/>
      </c>
      <c r="AE629" s="16" t="str">
        <f aca="false">IF(N(E629)&gt;0,MAX(AE$1:AE628)+1,"")</f>
        <v/>
      </c>
      <c r="AF629" s="11" t="str">
        <f aca="false">IF(A629="","",IFERROR(LEFT(A629,FIND("-",A629)-1),A629))</f>
        <v/>
      </c>
      <c r="AG629" s="11" t="str">
        <f aca="false">IF(AF629="","",IF(ISNUMBER(--MID(AF629,1,1)),0,IF(ISNUMBER(--MID(AF629,2,1)),1,IF(ISNUMBER(--MID(AF629,3,1)),2,IF(ISNUMBER(--MID(AF629,4,1)),3,MIN(LEN(AF629),4))))))</f>
        <v/>
      </c>
      <c r="AH629" s="11" t="str">
        <f aca="false">IF(A629="","",LEFT(AF629,AG629)&amp;REPT("0",4-AG629)&amp;RIGHT("000"&amp;IFERROR(VALUE(MID(AF629,AG629+1,9)),0),3)&amp;RIGHT("0000"&amp;IFERROR(VALUE(MID(A629,FIND("-",A629)+1,9)),0),4))</f>
        <v/>
      </c>
      <c r="AI629" s="11" t="str">
        <f aca="false">IF(OR(A629="",N(E629)&lt;=0),"",IF('FALTAS GERAL'!$M$1="Código","K"&amp;AH629&amp;RIGHT("00000"&amp;ROW(),5),IF('FALTAS GERAL'!$M$1="Nome","K"&amp;UPPER(SUBSTITUTE(SUBSTITUTE(SUBSTITUTE(B629,"*",""),"?",""),"~",""))&amp;"0"&amp;AH629&amp;RIGHT("00000"&amp;ROW(),5),IF('FALTAS GERAL'!$M$1="Falta (maior primeiro)","K"&amp;RIGHT("0000"&amp;(9999-E629),4)&amp;AH629&amp;RIGHT("00000"&amp;ROW(),5),IF('FALTAS GERAL'!$M$1="Nº de decks (maior primeiro)","K"&amp;RIGHT("00"&amp;(99-N(G629)),2)&amp;AH629&amp;RIGHT("00000"&amp;ROW(),5),"K"&amp;RIGHT("00000"&amp;ROW(),5))))))</f>
        <v/>
      </c>
      <c r="AJ629" s="11" t="str">
        <f aca="false">IF(AI629="","",COUNTIFS($AI$2:$AI$801,"&lt;"&amp;AI629,$E$2:$E$801,"&gt;0")+1)</f>
        <v/>
      </c>
      <c r="AK629" s="11" t="str">
        <f aca="false">IF(OR(A629="",N(E629)&lt;=0),"",COUNTIFS($AH$2:$AH$801,"&lt;"&amp;AH629,$E$2:$E$801,"&gt;0")+COUNTIFS($AH$2:AH629,AH629,$E$2:E629,"&gt;0"))</f>
        <v/>
      </c>
    </row>
    <row r="630" customFormat="false" ht="15" hidden="false" customHeight="false" outlineLevel="0" collapsed="false">
      <c r="A630" s="11" t="str">
        <f aca="false">IF(INVENTÁRIO!A630="","",INVENTÁRIO!A630)</f>
        <v/>
      </c>
      <c r="B630" s="11" t="str">
        <f aca="false">IF(A630="","",INVENTÁRIO!B630)</f>
        <v/>
      </c>
      <c r="C630" s="16" t="str">
        <f aca="false">IF(A630="","",INVENTÁRIO!C630)</f>
        <v/>
      </c>
      <c r="D630" s="14" t="str">
        <f aca="false">IF(A630="","",MAX(K630:AD630))</f>
        <v/>
      </c>
      <c r="E630" s="14" t="str">
        <f aca="false">IF(A630="","",MAX(0,D630-C630))</f>
        <v/>
      </c>
      <c r="F630" s="16" t="str">
        <f aca="false">IF(A630="","",IF(D630=0,"Fora dos decks",IF(E630=0,"Completo","Falta")))</f>
        <v/>
      </c>
      <c r="G630" s="16" t="str">
        <f aca="false">IF(A630="","",COUNTIF(K630:AD630,"&gt;0"))</f>
        <v/>
      </c>
      <c r="H630" s="16" t="str">
        <f aca="false">IF(A630="","",IF(G630&gt;1,"Sim",""))</f>
        <v/>
      </c>
      <c r="I630" s="18" t="str">
        <f aca="false">IF(A630="","",SUMIFS(DECKS!$D$2:$D$1201,DECKS!$B$2:$B$1201,A630))</f>
        <v/>
      </c>
      <c r="J630" s="18" t="str">
        <f aca="false">IF(A630="","",MAX(0,I630-C630))</f>
        <v/>
      </c>
      <c r="K630" s="19" t="str">
        <f aca="false">IF(OR($A630="",INDEX(_LEITURA!$Q$2:$Q$21,1)=0),"",SUMIFS(DECKS!$D$2:$D$1201,DECKS!$A$2:$A$1201,INDEX(_LEITURA!$P$2:$P$21,1),DECKS!$B$2:$B$1201,$A630))</f>
        <v/>
      </c>
      <c r="L630" s="19" t="str">
        <f aca="false">IF(OR($A630="",INDEX(_LEITURA!$Q$2:$Q$21,2)=0),"",SUMIFS(DECKS!$D$2:$D$1201,DECKS!$A$2:$A$1201,INDEX(_LEITURA!$P$2:$P$21,2),DECKS!$B$2:$B$1201,$A630))</f>
        <v/>
      </c>
      <c r="M630" s="19" t="str">
        <f aca="false">IF(OR($A630="",INDEX(_LEITURA!$Q$2:$Q$21,3)=0),"",SUMIFS(DECKS!$D$2:$D$1201,DECKS!$A$2:$A$1201,INDEX(_LEITURA!$P$2:$P$21,3),DECKS!$B$2:$B$1201,$A630))</f>
        <v/>
      </c>
      <c r="N630" s="19" t="str">
        <f aca="false">IF(OR($A630="",INDEX(_LEITURA!$Q$2:$Q$21,4)=0),"",SUMIFS(DECKS!$D$2:$D$1201,DECKS!$A$2:$A$1201,INDEX(_LEITURA!$P$2:$P$21,4),DECKS!$B$2:$B$1201,$A630))</f>
        <v/>
      </c>
      <c r="O630" s="19" t="str">
        <f aca="false">IF(OR($A630="",INDEX(_LEITURA!$Q$2:$Q$21,5)=0),"",SUMIFS(DECKS!$D$2:$D$1201,DECKS!$A$2:$A$1201,INDEX(_LEITURA!$P$2:$P$21,5),DECKS!$B$2:$B$1201,$A630))</f>
        <v/>
      </c>
      <c r="P630" s="19" t="str">
        <f aca="false">IF(OR($A630="",INDEX(_LEITURA!$Q$2:$Q$21,6)=0),"",SUMIFS(DECKS!$D$2:$D$1201,DECKS!$A$2:$A$1201,INDEX(_LEITURA!$P$2:$P$21,6),DECKS!$B$2:$B$1201,$A630))</f>
        <v/>
      </c>
      <c r="Q630" s="19" t="str">
        <f aca="false">IF(OR($A630="",INDEX(_LEITURA!$Q$2:$Q$21,7)=0),"",SUMIFS(DECKS!$D$2:$D$1201,DECKS!$A$2:$A$1201,INDEX(_LEITURA!$P$2:$P$21,7),DECKS!$B$2:$B$1201,$A630))</f>
        <v/>
      </c>
      <c r="R630" s="19" t="str">
        <f aca="false">IF(OR($A630="",INDEX(_LEITURA!$Q$2:$Q$21,8)=0),"",SUMIFS(DECKS!$D$2:$D$1201,DECKS!$A$2:$A$1201,INDEX(_LEITURA!$P$2:$P$21,8),DECKS!$B$2:$B$1201,$A630))</f>
        <v/>
      </c>
      <c r="S630" s="19" t="str">
        <f aca="false">IF(OR($A630="",INDEX(_LEITURA!$Q$2:$Q$21,9)=0),"",SUMIFS(DECKS!$D$2:$D$1201,DECKS!$A$2:$A$1201,INDEX(_LEITURA!$P$2:$P$21,9),DECKS!$B$2:$B$1201,$A630))</f>
        <v/>
      </c>
      <c r="T630" s="19" t="str">
        <f aca="false">IF(OR($A630="",INDEX(_LEITURA!$Q$2:$Q$21,10)=0),"",SUMIFS(DECKS!$D$2:$D$1201,DECKS!$A$2:$A$1201,INDEX(_LEITURA!$P$2:$P$21,10),DECKS!$B$2:$B$1201,$A630))</f>
        <v/>
      </c>
      <c r="U630" s="19" t="str">
        <f aca="false">IF(OR($A630="",INDEX(_LEITURA!$Q$2:$Q$21,11)=0),"",SUMIFS(DECKS!$D$2:$D$1201,DECKS!$A$2:$A$1201,INDEX(_LEITURA!$P$2:$P$21,11),DECKS!$B$2:$B$1201,$A630))</f>
        <v/>
      </c>
      <c r="V630" s="19" t="str">
        <f aca="false">IF(OR($A630="",INDEX(_LEITURA!$Q$2:$Q$21,12)=0),"",SUMIFS(DECKS!$D$2:$D$1201,DECKS!$A$2:$A$1201,INDEX(_LEITURA!$P$2:$P$21,12),DECKS!$B$2:$B$1201,$A630))</f>
        <v/>
      </c>
      <c r="W630" s="19" t="str">
        <f aca="false">IF(OR($A630="",INDEX(_LEITURA!$Q$2:$Q$21,13)=0),"",SUMIFS(DECKS!$D$2:$D$1201,DECKS!$A$2:$A$1201,INDEX(_LEITURA!$P$2:$P$21,13),DECKS!$B$2:$B$1201,$A630))</f>
        <v/>
      </c>
      <c r="X630" s="19" t="str">
        <f aca="false">IF(OR($A630="",INDEX(_LEITURA!$Q$2:$Q$21,14)=0),"",SUMIFS(DECKS!$D$2:$D$1201,DECKS!$A$2:$A$1201,INDEX(_LEITURA!$P$2:$P$21,14),DECKS!$B$2:$B$1201,$A630))</f>
        <v/>
      </c>
      <c r="Y630" s="19" t="str">
        <f aca="false">IF(OR($A630="",INDEX(_LEITURA!$Q$2:$Q$21,15)=0),"",SUMIFS(DECKS!$D$2:$D$1201,DECKS!$A$2:$A$1201,INDEX(_LEITURA!$P$2:$P$21,15),DECKS!$B$2:$B$1201,$A630))</f>
        <v/>
      </c>
      <c r="Z630" s="19" t="str">
        <f aca="false">IF(OR($A630="",INDEX(_LEITURA!$Q$2:$Q$21,16)=0),"",SUMIFS(DECKS!$D$2:$D$1201,DECKS!$A$2:$A$1201,INDEX(_LEITURA!$P$2:$P$21,16),DECKS!$B$2:$B$1201,$A630))</f>
        <v/>
      </c>
      <c r="AA630" s="19" t="str">
        <f aca="false">IF(OR($A630="",INDEX(_LEITURA!$Q$2:$Q$21,17)=0),"",SUMIFS(DECKS!$D$2:$D$1201,DECKS!$A$2:$A$1201,INDEX(_LEITURA!$P$2:$P$21,17),DECKS!$B$2:$B$1201,$A630))</f>
        <v/>
      </c>
      <c r="AB630" s="19" t="str">
        <f aca="false">IF(OR($A630="",INDEX(_LEITURA!$Q$2:$Q$21,18)=0),"",SUMIFS(DECKS!$D$2:$D$1201,DECKS!$A$2:$A$1201,INDEX(_LEITURA!$P$2:$P$21,18),DECKS!$B$2:$B$1201,$A630))</f>
        <v/>
      </c>
      <c r="AC630" s="19" t="str">
        <f aca="false">IF(OR($A630="",INDEX(_LEITURA!$Q$2:$Q$21,19)=0),"",SUMIFS(DECKS!$D$2:$D$1201,DECKS!$A$2:$A$1201,INDEX(_LEITURA!$P$2:$P$21,19),DECKS!$B$2:$B$1201,$A630))</f>
        <v/>
      </c>
      <c r="AD630" s="19" t="str">
        <f aca="false">IF(OR($A630="",INDEX(_LEITURA!$Q$2:$Q$21,20)=0),"",SUMIFS(DECKS!$D$2:$D$1201,DECKS!$A$2:$A$1201,INDEX(_LEITURA!$P$2:$P$21,20),DECKS!$B$2:$B$1201,$A630))</f>
        <v/>
      </c>
      <c r="AE630" s="16" t="str">
        <f aca="false">IF(N(E630)&gt;0,MAX(AE$1:AE629)+1,"")</f>
        <v/>
      </c>
      <c r="AF630" s="11" t="str">
        <f aca="false">IF(A630="","",IFERROR(LEFT(A630,FIND("-",A630)-1),A630))</f>
        <v/>
      </c>
      <c r="AG630" s="11" t="str">
        <f aca="false">IF(AF630="","",IF(ISNUMBER(--MID(AF630,1,1)),0,IF(ISNUMBER(--MID(AF630,2,1)),1,IF(ISNUMBER(--MID(AF630,3,1)),2,IF(ISNUMBER(--MID(AF630,4,1)),3,MIN(LEN(AF630),4))))))</f>
        <v/>
      </c>
      <c r="AH630" s="11" t="str">
        <f aca="false">IF(A630="","",LEFT(AF630,AG630)&amp;REPT("0",4-AG630)&amp;RIGHT("000"&amp;IFERROR(VALUE(MID(AF630,AG630+1,9)),0),3)&amp;RIGHT("0000"&amp;IFERROR(VALUE(MID(A630,FIND("-",A630)+1,9)),0),4))</f>
        <v/>
      </c>
      <c r="AI630" s="11" t="str">
        <f aca="false">IF(OR(A630="",N(E630)&lt;=0),"",IF('FALTAS GERAL'!$M$1="Código","K"&amp;AH630&amp;RIGHT("00000"&amp;ROW(),5),IF('FALTAS GERAL'!$M$1="Nome","K"&amp;UPPER(SUBSTITUTE(SUBSTITUTE(SUBSTITUTE(B630,"*",""),"?",""),"~",""))&amp;"0"&amp;AH630&amp;RIGHT("00000"&amp;ROW(),5),IF('FALTAS GERAL'!$M$1="Falta (maior primeiro)","K"&amp;RIGHT("0000"&amp;(9999-E630),4)&amp;AH630&amp;RIGHT("00000"&amp;ROW(),5),IF('FALTAS GERAL'!$M$1="Nº de decks (maior primeiro)","K"&amp;RIGHT("00"&amp;(99-N(G630)),2)&amp;AH630&amp;RIGHT("00000"&amp;ROW(),5),"K"&amp;RIGHT("00000"&amp;ROW(),5))))))</f>
        <v/>
      </c>
      <c r="AJ630" s="11" t="str">
        <f aca="false">IF(AI630="","",COUNTIFS($AI$2:$AI$801,"&lt;"&amp;AI630,$E$2:$E$801,"&gt;0")+1)</f>
        <v/>
      </c>
      <c r="AK630" s="11" t="str">
        <f aca="false">IF(OR(A630="",N(E630)&lt;=0),"",COUNTIFS($AH$2:$AH$801,"&lt;"&amp;AH630,$E$2:$E$801,"&gt;0")+COUNTIFS($AH$2:AH630,AH630,$E$2:E630,"&gt;0"))</f>
        <v/>
      </c>
    </row>
    <row r="631" customFormat="false" ht="15" hidden="false" customHeight="false" outlineLevel="0" collapsed="false">
      <c r="A631" s="11" t="str">
        <f aca="false">IF(INVENTÁRIO!A631="","",INVENTÁRIO!A631)</f>
        <v/>
      </c>
      <c r="B631" s="11" t="str">
        <f aca="false">IF(A631="","",INVENTÁRIO!B631)</f>
        <v/>
      </c>
      <c r="C631" s="16" t="str">
        <f aca="false">IF(A631="","",INVENTÁRIO!C631)</f>
        <v/>
      </c>
      <c r="D631" s="14" t="str">
        <f aca="false">IF(A631="","",MAX(K631:AD631))</f>
        <v/>
      </c>
      <c r="E631" s="14" t="str">
        <f aca="false">IF(A631="","",MAX(0,D631-C631))</f>
        <v/>
      </c>
      <c r="F631" s="16" t="str">
        <f aca="false">IF(A631="","",IF(D631=0,"Fora dos decks",IF(E631=0,"Completo","Falta")))</f>
        <v/>
      </c>
      <c r="G631" s="16" t="str">
        <f aca="false">IF(A631="","",COUNTIF(K631:AD631,"&gt;0"))</f>
        <v/>
      </c>
      <c r="H631" s="16" t="str">
        <f aca="false">IF(A631="","",IF(G631&gt;1,"Sim",""))</f>
        <v/>
      </c>
      <c r="I631" s="18" t="str">
        <f aca="false">IF(A631="","",SUMIFS(DECKS!$D$2:$D$1201,DECKS!$B$2:$B$1201,A631))</f>
        <v/>
      </c>
      <c r="J631" s="18" t="str">
        <f aca="false">IF(A631="","",MAX(0,I631-C631))</f>
        <v/>
      </c>
      <c r="K631" s="19" t="str">
        <f aca="false">IF(OR($A631="",INDEX(_LEITURA!$Q$2:$Q$21,1)=0),"",SUMIFS(DECKS!$D$2:$D$1201,DECKS!$A$2:$A$1201,INDEX(_LEITURA!$P$2:$P$21,1),DECKS!$B$2:$B$1201,$A631))</f>
        <v/>
      </c>
      <c r="L631" s="19" t="str">
        <f aca="false">IF(OR($A631="",INDEX(_LEITURA!$Q$2:$Q$21,2)=0),"",SUMIFS(DECKS!$D$2:$D$1201,DECKS!$A$2:$A$1201,INDEX(_LEITURA!$P$2:$P$21,2),DECKS!$B$2:$B$1201,$A631))</f>
        <v/>
      </c>
      <c r="M631" s="19" t="str">
        <f aca="false">IF(OR($A631="",INDEX(_LEITURA!$Q$2:$Q$21,3)=0),"",SUMIFS(DECKS!$D$2:$D$1201,DECKS!$A$2:$A$1201,INDEX(_LEITURA!$P$2:$P$21,3),DECKS!$B$2:$B$1201,$A631))</f>
        <v/>
      </c>
      <c r="N631" s="19" t="str">
        <f aca="false">IF(OR($A631="",INDEX(_LEITURA!$Q$2:$Q$21,4)=0),"",SUMIFS(DECKS!$D$2:$D$1201,DECKS!$A$2:$A$1201,INDEX(_LEITURA!$P$2:$P$21,4),DECKS!$B$2:$B$1201,$A631))</f>
        <v/>
      </c>
      <c r="O631" s="19" t="str">
        <f aca="false">IF(OR($A631="",INDEX(_LEITURA!$Q$2:$Q$21,5)=0),"",SUMIFS(DECKS!$D$2:$D$1201,DECKS!$A$2:$A$1201,INDEX(_LEITURA!$P$2:$P$21,5),DECKS!$B$2:$B$1201,$A631))</f>
        <v/>
      </c>
      <c r="P631" s="19" t="str">
        <f aca="false">IF(OR($A631="",INDEX(_LEITURA!$Q$2:$Q$21,6)=0),"",SUMIFS(DECKS!$D$2:$D$1201,DECKS!$A$2:$A$1201,INDEX(_LEITURA!$P$2:$P$21,6),DECKS!$B$2:$B$1201,$A631))</f>
        <v/>
      </c>
      <c r="Q631" s="19" t="str">
        <f aca="false">IF(OR($A631="",INDEX(_LEITURA!$Q$2:$Q$21,7)=0),"",SUMIFS(DECKS!$D$2:$D$1201,DECKS!$A$2:$A$1201,INDEX(_LEITURA!$P$2:$P$21,7),DECKS!$B$2:$B$1201,$A631))</f>
        <v/>
      </c>
      <c r="R631" s="19" t="str">
        <f aca="false">IF(OR($A631="",INDEX(_LEITURA!$Q$2:$Q$21,8)=0),"",SUMIFS(DECKS!$D$2:$D$1201,DECKS!$A$2:$A$1201,INDEX(_LEITURA!$P$2:$P$21,8),DECKS!$B$2:$B$1201,$A631))</f>
        <v/>
      </c>
      <c r="S631" s="19" t="str">
        <f aca="false">IF(OR($A631="",INDEX(_LEITURA!$Q$2:$Q$21,9)=0),"",SUMIFS(DECKS!$D$2:$D$1201,DECKS!$A$2:$A$1201,INDEX(_LEITURA!$P$2:$P$21,9),DECKS!$B$2:$B$1201,$A631))</f>
        <v/>
      </c>
      <c r="T631" s="19" t="str">
        <f aca="false">IF(OR($A631="",INDEX(_LEITURA!$Q$2:$Q$21,10)=0),"",SUMIFS(DECKS!$D$2:$D$1201,DECKS!$A$2:$A$1201,INDEX(_LEITURA!$P$2:$P$21,10),DECKS!$B$2:$B$1201,$A631))</f>
        <v/>
      </c>
      <c r="U631" s="19" t="str">
        <f aca="false">IF(OR($A631="",INDEX(_LEITURA!$Q$2:$Q$21,11)=0),"",SUMIFS(DECKS!$D$2:$D$1201,DECKS!$A$2:$A$1201,INDEX(_LEITURA!$P$2:$P$21,11),DECKS!$B$2:$B$1201,$A631))</f>
        <v/>
      </c>
      <c r="V631" s="19" t="str">
        <f aca="false">IF(OR($A631="",INDEX(_LEITURA!$Q$2:$Q$21,12)=0),"",SUMIFS(DECKS!$D$2:$D$1201,DECKS!$A$2:$A$1201,INDEX(_LEITURA!$P$2:$P$21,12),DECKS!$B$2:$B$1201,$A631))</f>
        <v/>
      </c>
      <c r="W631" s="19" t="str">
        <f aca="false">IF(OR($A631="",INDEX(_LEITURA!$Q$2:$Q$21,13)=0),"",SUMIFS(DECKS!$D$2:$D$1201,DECKS!$A$2:$A$1201,INDEX(_LEITURA!$P$2:$P$21,13),DECKS!$B$2:$B$1201,$A631))</f>
        <v/>
      </c>
      <c r="X631" s="19" t="str">
        <f aca="false">IF(OR($A631="",INDEX(_LEITURA!$Q$2:$Q$21,14)=0),"",SUMIFS(DECKS!$D$2:$D$1201,DECKS!$A$2:$A$1201,INDEX(_LEITURA!$P$2:$P$21,14),DECKS!$B$2:$B$1201,$A631))</f>
        <v/>
      </c>
      <c r="Y631" s="19" t="str">
        <f aca="false">IF(OR($A631="",INDEX(_LEITURA!$Q$2:$Q$21,15)=0),"",SUMIFS(DECKS!$D$2:$D$1201,DECKS!$A$2:$A$1201,INDEX(_LEITURA!$P$2:$P$21,15),DECKS!$B$2:$B$1201,$A631))</f>
        <v/>
      </c>
      <c r="Z631" s="19" t="str">
        <f aca="false">IF(OR($A631="",INDEX(_LEITURA!$Q$2:$Q$21,16)=0),"",SUMIFS(DECKS!$D$2:$D$1201,DECKS!$A$2:$A$1201,INDEX(_LEITURA!$P$2:$P$21,16),DECKS!$B$2:$B$1201,$A631))</f>
        <v/>
      </c>
      <c r="AA631" s="19" t="str">
        <f aca="false">IF(OR($A631="",INDEX(_LEITURA!$Q$2:$Q$21,17)=0),"",SUMIFS(DECKS!$D$2:$D$1201,DECKS!$A$2:$A$1201,INDEX(_LEITURA!$P$2:$P$21,17),DECKS!$B$2:$B$1201,$A631))</f>
        <v/>
      </c>
      <c r="AB631" s="19" t="str">
        <f aca="false">IF(OR($A631="",INDEX(_LEITURA!$Q$2:$Q$21,18)=0),"",SUMIFS(DECKS!$D$2:$D$1201,DECKS!$A$2:$A$1201,INDEX(_LEITURA!$P$2:$P$21,18),DECKS!$B$2:$B$1201,$A631))</f>
        <v/>
      </c>
      <c r="AC631" s="19" t="str">
        <f aca="false">IF(OR($A631="",INDEX(_LEITURA!$Q$2:$Q$21,19)=0),"",SUMIFS(DECKS!$D$2:$D$1201,DECKS!$A$2:$A$1201,INDEX(_LEITURA!$P$2:$P$21,19),DECKS!$B$2:$B$1201,$A631))</f>
        <v/>
      </c>
      <c r="AD631" s="19" t="str">
        <f aca="false">IF(OR($A631="",INDEX(_LEITURA!$Q$2:$Q$21,20)=0),"",SUMIFS(DECKS!$D$2:$D$1201,DECKS!$A$2:$A$1201,INDEX(_LEITURA!$P$2:$P$21,20),DECKS!$B$2:$B$1201,$A631))</f>
        <v/>
      </c>
      <c r="AE631" s="16" t="str">
        <f aca="false">IF(N(E631)&gt;0,MAX(AE$1:AE630)+1,"")</f>
        <v/>
      </c>
      <c r="AF631" s="11" t="str">
        <f aca="false">IF(A631="","",IFERROR(LEFT(A631,FIND("-",A631)-1),A631))</f>
        <v/>
      </c>
      <c r="AG631" s="11" t="str">
        <f aca="false">IF(AF631="","",IF(ISNUMBER(--MID(AF631,1,1)),0,IF(ISNUMBER(--MID(AF631,2,1)),1,IF(ISNUMBER(--MID(AF631,3,1)),2,IF(ISNUMBER(--MID(AF631,4,1)),3,MIN(LEN(AF631),4))))))</f>
        <v/>
      </c>
      <c r="AH631" s="11" t="str">
        <f aca="false">IF(A631="","",LEFT(AF631,AG631)&amp;REPT("0",4-AG631)&amp;RIGHT("000"&amp;IFERROR(VALUE(MID(AF631,AG631+1,9)),0),3)&amp;RIGHT("0000"&amp;IFERROR(VALUE(MID(A631,FIND("-",A631)+1,9)),0),4))</f>
        <v/>
      </c>
      <c r="AI631" s="11" t="str">
        <f aca="false">IF(OR(A631="",N(E631)&lt;=0),"",IF('FALTAS GERAL'!$M$1="Código","K"&amp;AH631&amp;RIGHT("00000"&amp;ROW(),5),IF('FALTAS GERAL'!$M$1="Nome","K"&amp;UPPER(SUBSTITUTE(SUBSTITUTE(SUBSTITUTE(B631,"*",""),"?",""),"~",""))&amp;"0"&amp;AH631&amp;RIGHT("00000"&amp;ROW(),5),IF('FALTAS GERAL'!$M$1="Falta (maior primeiro)","K"&amp;RIGHT("0000"&amp;(9999-E631),4)&amp;AH631&amp;RIGHT("00000"&amp;ROW(),5),IF('FALTAS GERAL'!$M$1="Nº de decks (maior primeiro)","K"&amp;RIGHT("00"&amp;(99-N(G631)),2)&amp;AH631&amp;RIGHT("00000"&amp;ROW(),5),"K"&amp;RIGHT("00000"&amp;ROW(),5))))))</f>
        <v/>
      </c>
      <c r="AJ631" s="11" t="str">
        <f aca="false">IF(AI631="","",COUNTIFS($AI$2:$AI$801,"&lt;"&amp;AI631,$E$2:$E$801,"&gt;0")+1)</f>
        <v/>
      </c>
      <c r="AK631" s="11" t="str">
        <f aca="false">IF(OR(A631="",N(E631)&lt;=0),"",COUNTIFS($AH$2:$AH$801,"&lt;"&amp;AH631,$E$2:$E$801,"&gt;0")+COUNTIFS($AH$2:AH631,AH631,$E$2:E631,"&gt;0"))</f>
        <v/>
      </c>
    </row>
    <row r="632" customFormat="false" ht="15" hidden="false" customHeight="false" outlineLevel="0" collapsed="false">
      <c r="A632" s="11" t="str">
        <f aca="false">IF(INVENTÁRIO!A632="","",INVENTÁRIO!A632)</f>
        <v/>
      </c>
      <c r="B632" s="11" t="str">
        <f aca="false">IF(A632="","",INVENTÁRIO!B632)</f>
        <v/>
      </c>
      <c r="C632" s="16" t="str">
        <f aca="false">IF(A632="","",INVENTÁRIO!C632)</f>
        <v/>
      </c>
      <c r="D632" s="14" t="str">
        <f aca="false">IF(A632="","",MAX(K632:AD632))</f>
        <v/>
      </c>
      <c r="E632" s="14" t="str">
        <f aca="false">IF(A632="","",MAX(0,D632-C632))</f>
        <v/>
      </c>
      <c r="F632" s="16" t="str">
        <f aca="false">IF(A632="","",IF(D632=0,"Fora dos decks",IF(E632=0,"Completo","Falta")))</f>
        <v/>
      </c>
      <c r="G632" s="16" t="str">
        <f aca="false">IF(A632="","",COUNTIF(K632:AD632,"&gt;0"))</f>
        <v/>
      </c>
      <c r="H632" s="16" t="str">
        <f aca="false">IF(A632="","",IF(G632&gt;1,"Sim",""))</f>
        <v/>
      </c>
      <c r="I632" s="18" t="str">
        <f aca="false">IF(A632="","",SUMIFS(DECKS!$D$2:$D$1201,DECKS!$B$2:$B$1201,A632))</f>
        <v/>
      </c>
      <c r="J632" s="18" t="str">
        <f aca="false">IF(A632="","",MAX(0,I632-C632))</f>
        <v/>
      </c>
      <c r="K632" s="19" t="str">
        <f aca="false">IF(OR($A632="",INDEX(_LEITURA!$Q$2:$Q$21,1)=0),"",SUMIFS(DECKS!$D$2:$D$1201,DECKS!$A$2:$A$1201,INDEX(_LEITURA!$P$2:$P$21,1),DECKS!$B$2:$B$1201,$A632))</f>
        <v/>
      </c>
      <c r="L632" s="19" t="str">
        <f aca="false">IF(OR($A632="",INDEX(_LEITURA!$Q$2:$Q$21,2)=0),"",SUMIFS(DECKS!$D$2:$D$1201,DECKS!$A$2:$A$1201,INDEX(_LEITURA!$P$2:$P$21,2),DECKS!$B$2:$B$1201,$A632))</f>
        <v/>
      </c>
      <c r="M632" s="19" t="str">
        <f aca="false">IF(OR($A632="",INDEX(_LEITURA!$Q$2:$Q$21,3)=0),"",SUMIFS(DECKS!$D$2:$D$1201,DECKS!$A$2:$A$1201,INDEX(_LEITURA!$P$2:$P$21,3),DECKS!$B$2:$B$1201,$A632))</f>
        <v/>
      </c>
      <c r="N632" s="19" t="str">
        <f aca="false">IF(OR($A632="",INDEX(_LEITURA!$Q$2:$Q$21,4)=0),"",SUMIFS(DECKS!$D$2:$D$1201,DECKS!$A$2:$A$1201,INDEX(_LEITURA!$P$2:$P$21,4),DECKS!$B$2:$B$1201,$A632))</f>
        <v/>
      </c>
      <c r="O632" s="19" t="str">
        <f aca="false">IF(OR($A632="",INDEX(_LEITURA!$Q$2:$Q$21,5)=0),"",SUMIFS(DECKS!$D$2:$D$1201,DECKS!$A$2:$A$1201,INDEX(_LEITURA!$P$2:$P$21,5),DECKS!$B$2:$B$1201,$A632))</f>
        <v/>
      </c>
      <c r="P632" s="19" t="str">
        <f aca="false">IF(OR($A632="",INDEX(_LEITURA!$Q$2:$Q$21,6)=0),"",SUMIFS(DECKS!$D$2:$D$1201,DECKS!$A$2:$A$1201,INDEX(_LEITURA!$P$2:$P$21,6),DECKS!$B$2:$B$1201,$A632))</f>
        <v/>
      </c>
      <c r="Q632" s="19" t="str">
        <f aca="false">IF(OR($A632="",INDEX(_LEITURA!$Q$2:$Q$21,7)=0),"",SUMIFS(DECKS!$D$2:$D$1201,DECKS!$A$2:$A$1201,INDEX(_LEITURA!$P$2:$P$21,7),DECKS!$B$2:$B$1201,$A632))</f>
        <v/>
      </c>
      <c r="R632" s="19" t="str">
        <f aca="false">IF(OR($A632="",INDEX(_LEITURA!$Q$2:$Q$21,8)=0),"",SUMIFS(DECKS!$D$2:$D$1201,DECKS!$A$2:$A$1201,INDEX(_LEITURA!$P$2:$P$21,8),DECKS!$B$2:$B$1201,$A632))</f>
        <v/>
      </c>
      <c r="S632" s="19" t="str">
        <f aca="false">IF(OR($A632="",INDEX(_LEITURA!$Q$2:$Q$21,9)=0),"",SUMIFS(DECKS!$D$2:$D$1201,DECKS!$A$2:$A$1201,INDEX(_LEITURA!$P$2:$P$21,9),DECKS!$B$2:$B$1201,$A632))</f>
        <v/>
      </c>
      <c r="T632" s="19" t="str">
        <f aca="false">IF(OR($A632="",INDEX(_LEITURA!$Q$2:$Q$21,10)=0),"",SUMIFS(DECKS!$D$2:$D$1201,DECKS!$A$2:$A$1201,INDEX(_LEITURA!$P$2:$P$21,10),DECKS!$B$2:$B$1201,$A632))</f>
        <v/>
      </c>
      <c r="U632" s="19" t="str">
        <f aca="false">IF(OR($A632="",INDEX(_LEITURA!$Q$2:$Q$21,11)=0),"",SUMIFS(DECKS!$D$2:$D$1201,DECKS!$A$2:$A$1201,INDEX(_LEITURA!$P$2:$P$21,11),DECKS!$B$2:$B$1201,$A632))</f>
        <v/>
      </c>
      <c r="V632" s="19" t="str">
        <f aca="false">IF(OR($A632="",INDEX(_LEITURA!$Q$2:$Q$21,12)=0),"",SUMIFS(DECKS!$D$2:$D$1201,DECKS!$A$2:$A$1201,INDEX(_LEITURA!$P$2:$P$21,12),DECKS!$B$2:$B$1201,$A632))</f>
        <v/>
      </c>
      <c r="W632" s="19" t="str">
        <f aca="false">IF(OR($A632="",INDEX(_LEITURA!$Q$2:$Q$21,13)=0),"",SUMIFS(DECKS!$D$2:$D$1201,DECKS!$A$2:$A$1201,INDEX(_LEITURA!$P$2:$P$21,13),DECKS!$B$2:$B$1201,$A632))</f>
        <v/>
      </c>
      <c r="X632" s="19" t="str">
        <f aca="false">IF(OR($A632="",INDEX(_LEITURA!$Q$2:$Q$21,14)=0),"",SUMIFS(DECKS!$D$2:$D$1201,DECKS!$A$2:$A$1201,INDEX(_LEITURA!$P$2:$P$21,14),DECKS!$B$2:$B$1201,$A632))</f>
        <v/>
      </c>
      <c r="Y632" s="19" t="str">
        <f aca="false">IF(OR($A632="",INDEX(_LEITURA!$Q$2:$Q$21,15)=0),"",SUMIFS(DECKS!$D$2:$D$1201,DECKS!$A$2:$A$1201,INDEX(_LEITURA!$P$2:$P$21,15),DECKS!$B$2:$B$1201,$A632))</f>
        <v/>
      </c>
      <c r="Z632" s="19" t="str">
        <f aca="false">IF(OR($A632="",INDEX(_LEITURA!$Q$2:$Q$21,16)=0),"",SUMIFS(DECKS!$D$2:$D$1201,DECKS!$A$2:$A$1201,INDEX(_LEITURA!$P$2:$P$21,16),DECKS!$B$2:$B$1201,$A632))</f>
        <v/>
      </c>
      <c r="AA632" s="19" t="str">
        <f aca="false">IF(OR($A632="",INDEX(_LEITURA!$Q$2:$Q$21,17)=0),"",SUMIFS(DECKS!$D$2:$D$1201,DECKS!$A$2:$A$1201,INDEX(_LEITURA!$P$2:$P$21,17),DECKS!$B$2:$B$1201,$A632))</f>
        <v/>
      </c>
      <c r="AB632" s="19" t="str">
        <f aca="false">IF(OR($A632="",INDEX(_LEITURA!$Q$2:$Q$21,18)=0),"",SUMIFS(DECKS!$D$2:$D$1201,DECKS!$A$2:$A$1201,INDEX(_LEITURA!$P$2:$P$21,18),DECKS!$B$2:$B$1201,$A632))</f>
        <v/>
      </c>
      <c r="AC632" s="19" t="str">
        <f aca="false">IF(OR($A632="",INDEX(_LEITURA!$Q$2:$Q$21,19)=0),"",SUMIFS(DECKS!$D$2:$D$1201,DECKS!$A$2:$A$1201,INDEX(_LEITURA!$P$2:$P$21,19),DECKS!$B$2:$B$1201,$A632))</f>
        <v/>
      </c>
      <c r="AD632" s="19" t="str">
        <f aca="false">IF(OR($A632="",INDEX(_LEITURA!$Q$2:$Q$21,20)=0),"",SUMIFS(DECKS!$D$2:$D$1201,DECKS!$A$2:$A$1201,INDEX(_LEITURA!$P$2:$P$21,20),DECKS!$B$2:$B$1201,$A632))</f>
        <v/>
      </c>
      <c r="AE632" s="16" t="str">
        <f aca="false">IF(N(E632)&gt;0,MAX(AE$1:AE631)+1,"")</f>
        <v/>
      </c>
      <c r="AF632" s="11" t="str">
        <f aca="false">IF(A632="","",IFERROR(LEFT(A632,FIND("-",A632)-1),A632))</f>
        <v/>
      </c>
      <c r="AG632" s="11" t="str">
        <f aca="false">IF(AF632="","",IF(ISNUMBER(--MID(AF632,1,1)),0,IF(ISNUMBER(--MID(AF632,2,1)),1,IF(ISNUMBER(--MID(AF632,3,1)),2,IF(ISNUMBER(--MID(AF632,4,1)),3,MIN(LEN(AF632),4))))))</f>
        <v/>
      </c>
      <c r="AH632" s="11" t="str">
        <f aca="false">IF(A632="","",LEFT(AF632,AG632)&amp;REPT("0",4-AG632)&amp;RIGHT("000"&amp;IFERROR(VALUE(MID(AF632,AG632+1,9)),0),3)&amp;RIGHT("0000"&amp;IFERROR(VALUE(MID(A632,FIND("-",A632)+1,9)),0),4))</f>
        <v/>
      </c>
      <c r="AI632" s="11" t="str">
        <f aca="false">IF(OR(A632="",N(E632)&lt;=0),"",IF('FALTAS GERAL'!$M$1="Código","K"&amp;AH632&amp;RIGHT("00000"&amp;ROW(),5),IF('FALTAS GERAL'!$M$1="Nome","K"&amp;UPPER(SUBSTITUTE(SUBSTITUTE(SUBSTITUTE(B632,"*",""),"?",""),"~",""))&amp;"0"&amp;AH632&amp;RIGHT("00000"&amp;ROW(),5),IF('FALTAS GERAL'!$M$1="Falta (maior primeiro)","K"&amp;RIGHT("0000"&amp;(9999-E632),4)&amp;AH632&amp;RIGHT("00000"&amp;ROW(),5),IF('FALTAS GERAL'!$M$1="Nº de decks (maior primeiro)","K"&amp;RIGHT("00"&amp;(99-N(G632)),2)&amp;AH632&amp;RIGHT("00000"&amp;ROW(),5),"K"&amp;RIGHT("00000"&amp;ROW(),5))))))</f>
        <v/>
      </c>
      <c r="AJ632" s="11" t="str">
        <f aca="false">IF(AI632="","",COUNTIFS($AI$2:$AI$801,"&lt;"&amp;AI632,$E$2:$E$801,"&gt;0")+1)</f>
        <v/>
      </c>
      <c r="AK632" s="11" t="str">
        <f aca="false">IF(OR(A632="",N(E632)&lt;=0),"",COUNTIFS($AH$2:$AH$801,"&lt;"&amp;AH632,$E$2:$E$801,"&gt;0")+COUNTIFS($AH$2:AH632,AH632,$E$2:E632,"&gt;0"))</f>
        <v/>
      </c>
    </row>
    <row r="633" customFormat="false" ht="15" hidden="false" customHeight="false" outlineLevel="0" collapsed="false">
      <c r="A633" s="11" t="str">
        <f aca="false">IF(INVENTÁRIO!A633="","",INVENTÁRIO!A633)</f>
        <v/>
      </c>
      <c r="B633" s="11" t="str">
        <f aca="false">IF(A633="","",INVENTÁRIO!B633)</f>
        <v/>
      </c>
      <c r="C633" s="16" t="str">
        <f aca="false">IF(A633="","",INVENTÁRIO!C633)</f>
        <v/>
      </c>
      <c r="D633" s="14" t="str">
        <f aca="false">IF(A633="","",MAX(K633:AD633))</f>
        <v/>
      </c>
      <c r="E633" s="14" t="str">
        <f aca="false">IF(A633="","",MAX(0,D633-C633))</f>
        <v/>
      </c>
      <c r="F633" s="16" t="str">
        <f aca="false">IF(A633="","",IF(D633=0,"Fora dos decks",IF(E633=0,"Completo","Falta")))</f>
        <v/>
      </c>
      <c r="G633" s="16" t="str">
        <f aca="false">IF(A633="","",COUNTIF(K633:AD633,"&gt;0"))</f>
        <v/>
      </c>
      <c r="H633" s="16" t="str">
        <f aca="false">IF(A633="","",IF(G633&gt;1,"Sim",""))</f>
        <v/>
      </c>
      <c r="I633" s="18" t="str">
        <f aca="false">IF(A633="","",SUMIFS(DECKS!$D$2:$D$1201,DECKS!$B$2:$B$1201,A633))</f>
        <v/>
      </c>
      <c r="J633" s="18" t="str">
        <f aca="false">IF(A633="","",MAX(0,I633-C633))</f>
        <v/>
      </c>
      <c r="K633" s="19" t="str">
        <f aca="false">IF(OR($A633="",INDEX(_LEITURA!$Q$2:$Q$21,1)=0),"",SUMIFS(DECKS!$D$2:$D$1201,DECKS!$A$2:$A$1201,INDEX(_LEITURA!$P$2:$P$21,1),DECKS!$B$2:$B$1201,$A633))</f>
        <v/>
      </c>
      <c r="L633" s="19" t="str">
        <f aca="false">IF(OR($A633="",INDEX(_LEITURA!$Q$2:$Q$21,2)=0),"",SUMIFS(DECKS!$D$2:$D$1201,DECKS!$A$2:$A$1201,INDEX(_LEITURA!$P$2:$P$21,2),DECKS!$B$2:$B$1201,$A633))</f>
        <v/>
      </c>
      <c r="M633" s="19" t="str">
        <f aca="false">IF(OR($A633="",INDEX(_LEITURA!$Q$2:$Q$21,3)=0),"",SUMIFS(DECKS!$D$2:$D$1201,DECKS!$A$2:$A$1201,INDEX(_LEITURA!$P$2:$P$21,3),DECKS!$B$2:$B$1201,$A633))</f>
        <v/>
      </c>
      <c r="N633" s="19" t="str">
        <f aca="false">IF(OR($A633="",INDEX(_LEITURA!$Q$2:$Q$21,4)=0),"",SUMIFS(DECKS!$D$2:$D$1201,DECKS!$A$2:$A$1201,INDEX(_LEITURA!$P$2:$P$21,4),DECKS!$B$2:$B$1201,$A633))</f>
        <v/>
      </c>
      <c r="O633" s="19" t="str">
        <f aca="false">IF(OR($A633="",INDEX(_LEITURA!$Q$2:$Q$21,5)=0),"",SUMIFS(DECKS!$D$2:$D$1201,DECKS!$A$2:$A$1201,INDEX(_LEITURA!$P$2:$P$21,5),DECKS!$B$2:$B$1201,$A633))</f>
        <v/>
      </c>
      <c r="P633" s="19" t="str">
        <f aca="false">IF(OR($A633="",INDEX(_LEITURA!$Q$2:$Q$21,6)=0),"",SUMIFS(DECKS!$D$2:$D$1201,DECKS!$A$2:$A$1201,INDEX(_LEITURA!$P$2:$P$21,6),DECKS!$B$2:$B$1201,$A633))</f>
        <v/>
      </c>
      <c r="Q633" s="19" t="str">
        <f aca="false">IF(OR($A633="",INDEX(_LEITURA!$Q$2:$Q$21,7)=0),"",SUMIFS(DECKS!$D$2:$D$1201,DECKS!$A$2:$A$1201,INDEX(_LEITURA!$P$2:$P$21,7),DECKS!$B$2:$B$1201,$A633))</f>
        <v/>
      </c>
      <c r="R633" s="19" t="str">
        <f aca="false">IF(OR($A633="",INDEX(_LEITURA!$Q$2:$Q$21,8)=0),"",SUMIFS(DECKS!$D$2:$D$1201,DECKS!$A$2:$A$1201,INDEX(_LEITURA!$P$2:$P$21,8),DECKS!$B$2:$B$1201,$A633))</f>
        <v/>
      </c>
      <c r="S633" s="19" t="str">
        <f aca="false">IF(OR($A633="",INDEX(_LEITURA!$Q$2:$Q$21,9)=0),"",SUMIFS(DECKS!$D$2:$D$1201,DECKS!$A$2:$A$1201,INDEX(_LEITURA!$P$2:$P$21,9),DECKS!$B$2:$B$1201,$A633))</f>
        <v/>
      </c>
      <c r="T633" s="19" t="str">
        <f aca="false">IF(OR($A633="",INDEX(_LEITURA!$Q$2:$Q$21,10)=0),"",SUMIFS(DECKS!$D$2:$D$1201,DECKS!$A$2:$A$1201,INDEX(_LEITURA!$P$2:$P$21,10),DECKS!$B$2:$B$1201,$A633))</f>
        <v/>
      </c>
      <c r="U633" s="19" t="str">
        <f aca="false">IF(OR($A633="",INDEX(_LEITURA!$Q$2:$Q$21,11)=0),"",SUMIFS(DECKS!$D$2:$D$1201,DECKS!$A$2:$A$1201,INDEX(_LEITURA!$P$2:$P$21,11),DECKS!$B$2:$B$1201,$A633))</f>
        <v/>
      </c>
      <c r="V633" s="19" t="str">
        <f aca="false">IF(OR($A633="",INDEX(_LEITURA!$Q$2:$Q$21,12)=0),"",SUMIFS(DECKS!$D$2:$D$1201,DECKS!$A$2:$A$1201,INDEX(_LEITURA!$P$2:$P$21,12),DECKS!$B$2:$B$1201,$A633))</f>
        <v/>
      </c>
      <c r="W633" s="19" t="str">
        <f aca="false">IF(OR($A633="",INDEX(_LEITURA!$Q$2:$Q$21,13)=0),"",SUMIFS(DECKS!$D$2:$D$1201,DECKS!$A$2:$A$1201,INDEX(_LEITURA!$P$2:$P$21,13),DECKS!$B$2:$B$1201,$A633))</f>
        <v/>
      </c>
      <c r="X633" s="19" t="str">
        <f aca="false">IF(OR($A633="",INDEX(_LEITURA!$Q$2:$Q$21,14)=0),"",SUMIFS(DECKS!$D$2:$D$1201,DECKS!$A$2:$A$1201,INDEX(_LEITURA!$P$2:$P$21,14),DECKS!$B$2:$B$1201,$A633))</f>
        <v/>
      </c>
      <c r="Y633" s="19" t="str">
        <f aca="false">IF(OR($A633="",INDEX(_LEITURA!$Q$2:$Q$21,15)=0),"",SUMIFS(DECKS!$D$2:$D$1201,DECKS!$A$2:$A$1201,INDEX(_LEITURA!$P$2:$P$21,15),DECKS!$B$2:$B$1201,$A633))</f>
        <v/>
      </c>
      <c r="Z633" s="19" t="str">
        <f aca="false">IF(OR($A633="",INDEX(_LEITURA!$Q$2:$Q$21,16)=0),"",SUMIFS(DECKS!$D$2:$D$1201,DECKS!$A$2:$A$1201,INDEX(_LEITURA!$P$2:$P$21,16),DECKS!$B$2:$B$1201,$A633))</f>
        <v/>
      </c>
      <c r="AA633" s="19" t="str">
        <f aca="false">IF(OR($A633="",INDEX(_LEITURA!$Q$2:$Q$21,17)=0),"",SUMIFS(DECKS!$D$2:$D$1201,DECKS!$A$2:$A$1201,INDEX(_LEITURA!$P$2:$P$21,17),DECKS!$B$2:$B$1201,$A633))</f>
        <v/>
      </c>
      <c r="AB633" s="19" t="str">
        <f aca="false">IF(OR($A633="",INDEX(_LEITURA!$Q$2:$Q$21,18)=0),"",SUMIFS(DECKS!$D$2:$D$1201,DECKS!$A$2:$A$1201,INDEX(_LEITURA!$P$2:$P$21,18),DECKS!$B$2:$B$1201,$A633))</f>
        <v/>
      </c>
      <c r="AC633" s="19" t="str">
        <f aca="false">IF(OR($A633="",INDEX(_LEITURA!$Q$2:$Q$21,19)=0),"",SUMIFS(DECKS!$D$2:$D$1201,DECKS!$A$2:$A$1201,INDEX(_LEITURA!$P$2:$P$21,19),DECKS!$B$2:$B$1201,$A633))</f>
        <v/>
      </c>
      <c r="AD633" s="19" t="str">
        <f aca="false">IF(OR($A633="",INDEX(_LEITURA!$Q$2:$Q$21,20)=0),"",SUMIFS(DECKS!$D$2:$D$1201,DECKS!$A$2:$A$1201,INDEX(_LEITURA!$P$2:$P$21,20),DECKS!$B$2:$B$1201,$A633))</f>
        <v/>
      </c>
      <c r="AE633" s="16" t="str">
        <f aca="false">IF(N(E633)&gt;0,MAX(AE$1:AE632)+1,"")</f>
        <v/>
      </c>
      <c r="AF633" s="11" t="str">
        <f aca="false">IF(A633="","",IFERROR(LEFT(A633,FIND("-",A633)-1),A633))</f>
        <v/>
      </c>
      <c r="AG633" s="11" t="str">
        <f aca="false">IF(AF633="","",IF(ISNUMBER(--MID(AF633,1,1)),0,IF(ISNUMBER(--MID(AF633,2,1)),1,IF(ISNUMBER(--MID(AF633,3,1)),2,IF(ISNUMBER(--MID(AF633,4,1)),3,MIN(LEN(AF633),4))))))</f>
        <v/>
      </c>
      <c r="AH633" s="11" t="str">
        <f aca="false">IF(A633="","",LEFT(AF633,AG633)&amp;REPT("0",4-AG633)&amp;RIGHT("000"&amp;IFERROR(VALUE(MID(AF633,AG633+1,9)),0),3)&amp;RIGHT("0000"&amp;IFERROR(VALUE(MID(A633,FIND("-",A633)+1,9)),0),4))</f>
        <v/>
      </c>
      <c r="AI633" s="11" t="str">
        <f aca="false">IF(OR(A633="",N(E633)&lt;=0),"",IF('FALTAS GERAL'!$M$1="Código","K"&amp;AH633&amp;RIGHT("00000"&amp;ROW(),5),IF('FALTAS GERAL'!$M$1="Nome","K"&amp;UPPER(SUBSTITUTE(SUBSTITUTE(SUBSTITUTE(B633,"*",""),"?",""),"~",""))&amp;"0"&amp;AH633&amp;RIGHT("00000"&amp;ROW(),5),IF('FALTAS GERAL'!$M$1="Falta (maior primeiro)","K"&amp;RIGHT("0000"&amp;(9999-E633),4)&amp;AH633&amp;RIGHT("00000"&amp;ROW(),5),IF('FALTAS GERAL'!$M$1="Nº de decks (maior primeiro)","K"&amp;RIGHT("00"&amp;(99-N(G633)),2)&amp;AH633&amp;RIGHT("00000"&amp;ROW(),5),"K"&amp;RIGHT("00000"&amp;ROW(),5))))))</f>
        <v/>
      </c>
      <c r="AJ633" s="11" t="str">
        <f aca="false">IF(AI633="","",COUNTIFS($AI$2:$AI$801,"&lt;"&amp;AI633,$E$2:$E$801,"&gt;0")+1)</f>
        <v/>
      </c>
      <c r="AK633" s="11" t="str">
        <f aca="false">IF(OR(A633="",N(E633)&lt;=0),"",COUNTIFS($AH$2:$AH$801,"&lt;"&amp;AH633,$E$2:$E$801,"&gt;0")+COUNTIFS($AH$2:AH633,AH633,$E$2:E633,"&gt;0"))</f>
        <v/>
      </c>
    </row>
    <row r="634" customFormat="false" ht="15" hidden="false" customHeight="false" outlineLevel="0" collapsed="false">
      <c r="A634" s="11" t="str">
        <f aca="false">IF(INVENTÁRIO!A634="","",INVENTÁRIO!A634)</f>
        <v/>
      </c>
      <c r="B634" s="11" t="str">
        <f aca="false">IF(A634="","",INVENTÁRIO!B634)</f>
        <v/>
      </c>
      <c r="C634" s="16" t="str">
        <f aca="false">IF(A634="","",INVENTÁRIO!C634)</f>
        <v/>
      </c>
      <c r="D634" s="14" t="str">
        <f aca="false">IF(A634="","",MAX(K634:AD634))</f>
        <v/>
      </c>
      <c r="E634" s="14" t="str">
        <f aca="false">IF(A634="","",MAX(0,D634-C634))</f>
        <v/>
      </c>
      <c r="F634" s="16" t="str">
        <f aca="false">IF(A634="","",IF(D634=0,"Fora dos decks",IF(E634=0,"Completo","Falta")))</f>
        <v/>
      </c>
      <c r="G634" s="16" t="str">
        <f aca="false">IF(A634="","",COUNTIF(K634:AD634,"&gt;0"))</f>
        <v/>
      </c>
      <c r="H634" s="16" t="str">
        <f aca="false">IF(A634="","",IF(G634&gt;1,"Sim",""))</f>
        <v/>
      </c>
      <c r="I634" s="18" t="str">
        <f aca="false">IF(A634="","",SUMIFS(DECKS!$D$2:$D$1201,DECKS!$B$2:$B$1201,A634))</f>
        <v/>
      </c>
      <c r="J634" s="18" t="str">
        <f aca="false">IF(A634="","",MAX(0,I634-C634))</f>
        <v/>
      </c>
      <c r="K634" s="19" t="str">
        <f aca="false">IF(OR($A634="",INDEX(_LEITURA!$Q$2:$Q$21,1)=0),"",SUMIFS(DECKS!$D$2:$D$1201,DECKS!$A$2:$A$1201,INDEX(_LEITURA!$P$2:$P$21,1),DECKS!$B$2:$B$1201,$A634))</f>
        <v/>
      </c>
      <c r="L634" s="19" t="str">
        <f aca="false">IF(OR($A634="",INDEX(_LEITURA!$Q$2:$Q$21,2)=0),"",SUMIFS(DECKS!$D$2:$D$1201,DECKS!$A$2:$A$1201,INDEX(_LEITURA!$P$2:$P$21,2),DECKS!$B$2:$B$1201,$A634))</f>
        <v/>
      </c>
      <c r="M634" s="19" t="str">
        <f aca="false">IF(OR($A634="",INDEX(_LEITURA!$Q$2:$Q$21,3)=0),"",SUMIFS(DECKS!$D$2:$D$1201,DECKS!$A$2:$A$1201,INDEX(_LEITURA!$P$2:$P$21,3),DECKS!$B$2:$B$1201,$A634))</f>
        <v/>
      </c>
      <c r="N634" s="19" t="str">
        <f aca="false">IF(OR($A634="",INDEX(_LEITURA!$Q$2:$Q$21,4)=0),"",SUMIFS(DECKS!$D$2:$D$1201,DECKS!$A$2:$A$1201,INDEX(_LEITURA!$P$2:$P$21,4),DECKS!$B$2:$B$1201,$A634))</f>
        <v/>
      </c>
      <c r="O634" s="19" t="str">
        <f aca="false">IF(OR($A634="",INDEX(_LEITURA!$Q$2:$Q$21,5)=0),"",SUMIFS(DECKS!$D$2:$D$1201,DECKS!$A$2:$A$1201,INDEX(_LEITURA!$P$2:$P$21,5),DECKS!$B$2:$B$1201,$A634))</f>
        <v/>
      </c>
      <c r="P634" s="19" t="str">
        <f aca="false">IF(OR($A634="",INDEX(_LEITURA!$Q$2:$Q$21,6)=0),"",SUMIFS(DECKS!$D$2:$D$1201,DECKS!$A$2:$A$1201,INDEX(_LEITURA!$P$2:$P$21,6),DECKS!$B$2:$B$1201,$A634))</f>
        <v/>
      </c>
      <c r="Q634" s="19" t="str">
        <f aca="false">IF(OR($A634="",INDEX(_LEITURA!$Q$2:$Q$21,7)=0),"",SUMIFS(DECKS!$D$2:$D$1201,DECKS!$A$2:$A$1201,INDEX(_LEITURA!$P$2:$P$21,7),DECKS!$B$2:$B$1201,$A634))</f>
        <v/>
      </c>
      <c r="R634" s="19" t="str">
        <f aca="false">IF(OR($A634="",INDEX(_LEITURA!$Q$2:$Q$21,8)=0),"",SUMIFS(DECKS!$D$2:$D$1201,DECKS!$A$2:$A$1201,INDEX(_LEITURA!$P$2:$P$21,8),DECKS!$B$2:$B$1201,$A634))</f>
        <v/>
      </c>
      <c r="S634" s="19" t="str">
        <f aca="false">IF(OR($A634="",INDEX(_LEITURA!$Q$2:$Q$21,9)=0),"",SUMIFS(DECKS!$D$2:$D$1201,DECKS!$A$2:$A$1201,INDEX(_LEITURA!$P$2:$P$21,9),DECKS!$B$2:$B$1201,$A634))</f>
        <v/>
      </c>
      <c r="T634" s="19" t="str">
        <f aca="false">IF(OR($A634="",INDEX(_LEITURA!$Q$2:$Q$21,10)=0),"",SUMIFS(DECKS!$D$2:$D$1201,DECKS!$A$2:$A$1201,INDEX(_LEITURA!$P$2:$P$21,10),DECKS!$B$2:$B$1201,$A634))</f>
        <v/>
      </c>
      <c r="U634" s="19" t="str">
        <f aca="false">IF(OR($A634="",INDEX(_LEITURA!$Q$2:$Q$21,11)=0),"",SUMIFS(DECKS!$D$2:$D$1201,DECKS!$A$2:$A$1201,INDEX(_LEITURA!$P$2:$P$21,11),DECKS!$B$2:$B$1201,$A634))</f>
        <v/>
      </c>
      <c r="V634" s="19" t="str">
        <f aca="false">IF(OR($A634="",INDEX(_LEITURA!$Q$2:$Q$21,12)=0),"",SUMIFS(DECKS!$D$2:$D$1201,DECKS!$A$2:$A$1201,INDEX(_LEITURA!$P$2:$P$21,12),DECKS!$B$2:$B$1201,$A634))</f>
        <v/>
      </c>
      <c r="W634" s="19" t="str">
        <f aca="false">IF(OR($A634="",INDEX(_LEITURA!$Q$2:$Q$21,13)=0),"",SUMIFS(DECKS!$D$2:$D$1201,DECKS!$A$2:$A$1201,INDEX(_LEITURA!$P$2:$P$21,13),DECKS!$B$2:$B$1201,$A634))</f>
        <v/>
      </c>
      <c r="X634" s="19" t="str">
        <f aca="false">IF(OR($A634="",INDEX(_LEITURA!$Q$2:$Q$21,14)=0),"",SUMIFS(DECKS!$D$2:$D$1201,DECKS!$A$2:$A$1201,INDEX(_LEITURA!$P$2:$P$21,14),DECKS!$B$2:$B$1201,$A634))</f>
        <v/>
      </c>
      <c r="Y634" s="19" t="str">
        <f aca="false">IF(OR($A634="",INDEX(_LEITURA!$Q$2:$Q$21,15)=0),"",SUMIFS(DECKS!$D$2:$D$1201,DECKS!$A$2:$A$1201,INDEX(_LEITURA!$P$2:$P$21,15),DECKS!$B$2:$B$1201,$A634))</f>
        <v/>
      </c>
      <c r="Z634" s="19" t="str">
        <f aca="false">IF(OR($A634="",INDEX(_LEITURA!$Q$2:$Q$21,16)=0),"",SUMIFS(DECKS!$D$2:$D$1201,DECKS!$A$2:$A$1201,INDEX(_LEITURA!$P$2:$P$21,16),DECKS!$B$2:$B$1201,$A634))</f>
        <v/>
      </c>
      <c r="AA634" s="19" t="str">
        <f aca="false">IF(OR($A634="",INDEX(_LEITURA!$Q$2:$Q$21,17)=0),"",SUMIFS(DECKS!$D$2:$D$1201,DECKS!$A$2:$A$1201,INDEX(_LEITURA!$P$2:$P$21,17),DECKS!$B$2:$B$1201,$A634))</f>
        <v/>
      </c>
      <c r="AB634" s="19" t="str">
        <f aca="false">IF(OR($A634="",INDEX(_LEITURA!$Q$2:$Q$21,18)=0),"",SUMIFS(DECKS!$D$2:$D$1201,DECKS!$A$2:$A$1201,INDEX(_LEITURA!$P$2:$P$21,18),DECKS!$B$2:$B$1201,$A634))</f>
        <v/>
      </c>
      <c r="AC634" s="19" t="str">
        <f aca="false">IF(OR($A634="",INDEX(_LEITURA!$Q$2:$Q$21,19)=0),"",SUMIFS(DECKS!$D$2:$D$1201,DECKS!$A$2:$A$1201,INDEX(_LEITURA!$P$2:$P$21,19),DECKS!$B$2:$B$1201,$A634))</f>
        <v/>
      </c>
      <c r="AD634" s="19" t="str">
        <f aca="false">IF(OR($A634="",INDEX(_LEITURA!$Q$2:$Q$21,20)=0),"",SUMIFS(DECKS!$D$2:$D$1201,DECKS!$A$2:$A$1201,INDEX(_LEITURA!$P$2:$P$21,20),DECKS!$B$2:$B$1201,$A634))</f>
        <v/>
      </c>
      <c r="AE634" s="16" t="str">
        <f aca="false">IF(N(E634)&gt;0,MAX(AE$1:AE633)+1,"")</f>
        <v/>
      </c>
      <c r="AF634" s="11" t="str">
        <f aca="false">IF(A634="","",IFERROR(LEFT(A634,FIND("-",A634)-1),A634))</f>
        <v/>
      </c>
      <c r="AG634" s="11" t="str">
        <f aca="false">IF(AF634="","",IF(ISNUMBER(--MID(AF634,1,1)),0,IF(ISNUMBER(--MID(AF634,2,1)),1,IF(ISNUMBER(--MID(AF634,3,1)),2,IF(ISNUMBER(--MID(AF634,4,1)),3,MIN(LEN(AF634),4))))))</f>
        <v/>
      </c>
      <c r="AH634" s="11" t="str">
        <f aca="false">IF(A634="","",LEFT(AF634,AG634)&amp;REPT("0",4-AG634)&amp;RIGHT("000"&amp;IFERROR(VALUE(MID(AF634,AG634+1,9)),0),3)&amp;RIGHT("0000"&amp;IFERROR(VALUE(MID(A634,FIND("-",A634)+1,9)),0),4))</f>
        <v/>
      </c>
      <c r="AI634" s="11" t="str">
        <f aca="false">IF(OR(A634="",N(E634)&lt;=0),"",IF('FALTAS GERAL'!$M$1="Código","K"&amp;AH634&amp;RIGHT("00000"&amp;ROW(),5),IF('FALTAS GERAL'!$M$1="Nome","K"&amp;UPPER(SUBSTITUTE(SUBSTITUTE(SUBSTITUTE(B634,"*",""),"?",""),"~",""))&amp;"0"&amp;AH634&amp;RIGHT("00000"&amp;ROW(),5),IF('FALTAS GERAL'!$M$1="Falta (maior primeiro)","K"&amp;RIGHT("0000"&amp;(9999-E634),4)&amp;AH634&amp;RIGHT("00000"&amp;ROW(),5),IF('FALTAS GERAL'!$M$1="Nº de decks (maior primeiro)","K"&amp;RIGHT("00"&amp;(99-N(G634)),2)&amp;AH634&amp;RIGHT("00000"&amp;ROW(),5),"K"&amp;RIGHT("00000"&amp;ROW(),5))))))</f>
        <v/>
      </c>
      <c r="AJ634" s="11" t="str">
        <f aca="false">IF(AI634="","",COUNTIFS($AI$2:$AI$801,"&lt;"&amp;AI634,$E$2:$E$801,"&gt;0")+1)</f>
        <v/>
      </c>
      <c r="AK634" s="11" t="str">
        <f aca="false">IF(OR(A634="",N(E634)&lt;=0),"",COUNTIFS($AH$2:$AH$801,"&lt;"&amp;AH634,$E$2:$E$801,"&gt;0")+COUNTIFS($AH$2:AH634,AH634,$E$2:E634,"&gt;0"))</f>
        <v/>
      </c>
    </row>
    <row r="635" customFormat="false" ht="15" hidden="false" customHeight="false" outlineLevel="0" collapsed="false">
      <c r="A635" s="11" t="str">
        <f aca="false">IF(INVENTÁRIO!A635="","",INVENTÁRIO!A635)</f>
        <v/>
      </c>
      <c r="B635" s="11" t="str">
        <f aca="false">IF(A635="","",INVENTÁRIO!B635)</f>
        <v/>
      </c>
      <c r="C635" s="16" t="str">
        <f aca="false">IF(A635="","",INVENTÁRIO!C635)</f>
        <v/>
      </c>
      <c r="D635" s="14" t="str">
        <f aca="false">IF(A635="","",MAX(K635:AD635))</f>
        <v/>
      </c>
      <c r="E635" s="14" t="str">
        <f aca="false">IF(A635="","",MAX(0,D635-C635))</f>
        <v/>
      </c>
      <c r="F635" s="16" t="str">
        <f aca="false">IF(A635="","",IF(D635=0,"Fora dos decks",IF(E635=0,"Completo","Falta")))</f>
        <v/>
      </c>
      <c r="G635" s="16" t="str">
        <f aca="false">IF(A635="","",COUNTIF(K635:AD635,"&gt;0"))</f>
        <v/>
      </c>
      <c r="H635" s="16" t="str">
        <f aca="false">IF(A635="","",IF(G635&gt;1,"Sim",""))</f>
        <v/>
      </c>
      <c r="I635" s="18" t="str">
        <f aca="false">IF(A635="","",SUMIFS(DECKS!$D$2:$D$1201,DECKS!$B$2:$B$1201,A635))</f>
        <v/>
      </c>
      <c r="J635" s="18" t="str">
        <f aca="false">IF(A635="","",MAX(0,I635-C635))</f>
        <v/>
      </c>
      <c r="K635" s="19" t="str">
        <f aca="false">IF(OR($A635="",INDEX(_LEITURA!$Q$2:$Q$21,1)=0),"",SUMIFS(DECKS!$D$2:$D$1201,DECKS!$A$2:$A$1201,INDEX(_LEITURA!$P$2:$P$21,1),DECKS!$B$2:$B$1201,$A635))</f>
        <v/>
      </c>
      <c r="L635" s="19" t="str">
        <f aca="false">IF(OR($A635="",INDEX(_LEITURA!$Q$2:$Q$21,2)=0),"",SUMIFS(DECKS!$D$2:$D$1201,DECKS!$A$2:$A$1201,INDEX(_LEITURA!$P$2:$P$21,2),DECKS!$B$2:$B$1201,$A635))</f>
        <v/>
      </c>
      <c r="M635" s="19" t="str">
        <f aca="false">IF(OR($A635="",INDEX(_LEITURA!$Q$2:$Q$21,3)=0),"",SUMIFS(DECKS!$D$2:$D$1201,DECKS!$A$2:$A$1201,INDEX(_LEITURA!$P$2:$P$21,3),DECKS!$B$2:$B$1201,$A635))</f>
        <v/>
      </c>
      <c r="N635" s="19" t="str">
        <f aca="false">IF(OR($A635="",INDEX(_LEITURA!$Q$2:$Q$21,4)=0),"",SUMIFS(DECKS!$D$2:$D$1201,DECKS!$A$2:$A$1201,INDEX(_LEITURA!$P$2:$P$21,4),DECKS!$B$2:$B$1201,$A635))</f>
        <v/>
      </c>
      <c r="O635" s="19" t="str">
        <f aca="false">IF(OR($A635="",INDEX(_LEITURA!$Q$2:$Q$21,5)=0),"",SUMIFS(DECKS!$D$2:$D$1201,DECKS!$A$2:$A$1201,INDEX(_LEITURA!$P$2:$P$21,5),DECKS!$B$2:$B$1201,$A635))</f>
        <v/>
      </c>
      <c r="P635" s="19" t="str">
        <f aca="false">IF(OR($A635="",INDEX(_LEITURA!$Q$2:$Q$21,6)=0),"",SUMIFS(DECKS!$D$2:$D$1201,DECKS!$A$2:$A$1201,INDEX(_LEITURA!$P$2:$P$21,6),DECKS!$B$2:$B$1201,$A635))</f>
        <v/>
      </c>
      <c r="Q635" s="19" t="str">
        <f aca="false">IF(OR($A635="",INDEX(_LEITURA!$Q$2:$Q$21,7)=0),"",SUMIFS(DECKS!$D$2:$D$1201,DECKS!$A$2:$A$1201,INDEX(_LEITURA!$P$2:$P$21,7),DECKS!$B$2:$B$1201,$A635))</f>
        <v/>
      </c>
      <c r="R635" s="19" t="str">
        <f aca="false">IF(OR($A635="",INDEX(_LEITURA!$Q$2:$Q$21,8)=0),"",SUMIFS(DECKS!$D$2:$D$1201,DECKS!$A$2:$A$1201,INDEX(_LEITURA!$P$2:$P$21,8),DECKS!$B$2:$B$1201,$A635))</f>
        <v/>
      </c>
      <c r="S635" s="19" t="str">
        <f aca="false">IF(OR($A635="",INDEX(_LEITURA!$Q$2:$Q$21,9)=0),"",SUMIFS(DECKS!$D$2:$D$1201,DECKS!$A$2:$A$1201,INDEX(_LEITURA!$P$2:$P$21,9),DECKS!$B$2:$B$1201,$A635))</f>
        <v/>
      </c>
      <c r="T635" s="19" t="str">
        <f aca="false">IF(OR($A635="",INDEX(_LEITURA!$Q$2:$Q$21,10)=0),"",SUMIFS(DECKS!$D$2:$D$1201,DECKS!$A$2:$A$1201,INDEX(_LEITURA!$P$2:$P$21,10),DECKS!$B$2:$B$1201,$A635))</f>
        <v/>
      </c>
      <c r="U635" s="19" t="str">
        <f aca="false">IF(OR($A635="",INDEX(_LEITURA!$Q$2:$Q$21,11)=0),"",SUMIFS(DECKS!$D$2:$D$1201,DECKS!$A$2:$A$1201,INDEX(_LEITURA!$P$2:$P$21,11),DECKS!$B$2:$B$1201,$A635))</f>
        <v/>
      </c>
      <c r="V635" s="19" t="str">
        <f aca="false">IF(OR($A635="",INDEX(_LEITURA!$Q$2:$Q$21,12)=0),"",SUMIFS(DECKS!$D$2:$D$1201,DECKS!$A$2:$A$1201,INDEX(_LEITURA!$P$2:$P$21,12),DECKS!$B$2:$B$1201,$A635))</f>
        <v/>
      </c>
      <c r="W635" s="19" t="str">
        <f aca="false">IF(OR($A635="",INDEX(_LEITURA!$Q$2:$Q$21,13)=0),"",SUMIFS(DECKS!$D$2:$D$1201,DECKS!$A$2:$A$1201,INDEX(_LEITURA!$P$2:$P$21,13),DECKS!$B$2:$B$1201,$A635))</f>
        <v/>
      </c>
      <c r="X635" s="19" t="str">
        <f aca="false">IF(OR($A635="",INDEX(_LEITURA!$Q$2:$Q$21,14)=0),"",SUMIFS(DECKS!$D$2:$D$1201,DECKS!$A$2:$A$1201,INDEX(_LEITURA!$P$2:$P$21,14),DECKS!$B$2:$B$1201,$A635))</f>
        <v/>
      </c>
      <c r="Y635" s="19" t="str">
        <f aca="false">IF(OR($A635="",INDEX(_LEITURA!$Q$2:$Q$21,15)=0),"",SUMIFS(DECKS!$D$2:$D$1201,DECKS!$A$2:$A$1201,INDEX(_LEITURA!$P$2:$P$21,15),DECKS!$B$2:$B$1201,$A635))</f>
        <v/>
      </c>
      <c r="Z635" s="19" t="str">
        <f aca="false">IF(OR($A635="",INDEX(_LEITURA!$Q$2:$Q$21,16)=0),"",SUMIFS(DECKS!$D$2:$D$1201,DECKS!$A$2:$A$1201,INDEX(_LEITURA!$P$2:$P$21,16),DECKS!$B$2:$B$1201,$A635))</f>
        <v/>
      </c>
      <c r="AA635" s="19" t="str">
        <f aca="false">IF(OR($A635="",INDEX(_LEITURA!$Q$2:$Q$21,17)=0),"",SUMIFS(DECKS!$D$2:$D$1201,DECKS!$A$2:$A$1201,INDEX(_LEITURA!$P$2:$P$21,17),DECKS!$B$2:$B$1201,$A635))</f>
        <v/>
      </c>
      <c r="AB635" s="19" t="str">
        <f aca="false">IF(OR($A635="",INDEX(_LEITURA!$Q$2:$Q$21,18)=0),"",SUMIFS(DECKS!$D$2:$D$1201,DECKS!$A$2:$A$1201,INDEX(_LEITURA!$P$2:$P$21,18),DECKS!$B$2:$B$1201,$A635))</f>
        <v/>
      </c>
      <c r="AC635" s="19" t="str">
        <f aca="false">IF(OR($A635="",INDEX(_LEITURA!$Q$2:$Q$21,19)=0),"",SUMIFS(DECKS!$D$2:$D$1201,DECKS!$A$2:$A$1201,INDEX(_LEITURA!$P$2:$P$21,19),DECKS!$B$2:$B$1201,$A635))</f>
        <v/>
      </c>
      <c r="AD635" s="19" t="str">
        <f aca="false">IF(OR($A635="",INDEX(_LEITURA!$Q$2:$Q$21,20)=0),"",SUMIFS(DECKS!$D$2:$D$1201,DECKS!$A$2:$A$1201,INDEX(_LEITURA!$P$2:$P$21,20),DECKS!$B$2:$B$1201,$A635))</f>
        <v/>
      </c>
      <c r="AE635" s="16" t="str">
        <f aca="false">IF(N(E635)&gt;0,MAX(AE$1:AE634)+1,"")</f>
        <v/>
      </c>
      <c r="AF635" s="11" t="str">
        <f aca="false">IF(A635="","",IFERROR(LEFT(A635,FIND("-",A635)-1),A635))</f>
        <v/>
      </c>
      <c r="AG635" s="11" t="str">
        <f aca="false">IF(AF635="","",IF(ISNUMBER(--MID(AF635,1,1)),0,IF(ISNUMBER(--MID(AF635,2,1)),1,IF(ISNUMBER(--MID(AF635,3,1)),2,IF(ISNUMBER(--MID(AF635,4,1)),3,MIN(LEN(AF635),4))))))</f>
        <v/>
      </c>
      <c r="AH635" s="11" t="str">
        <f aca="false">IF(A635="","",LEFT(AF635,AG635)&amp;REPT("0",4-AG635)&amp;RIGHT("000"&amp;IFERROR(VALUE(MID(AF635,AG635+1,9)),0),3)&amp;RIGHT("0000"&amp;IFERROR(VALUE(MID(A635,FIND("-",A635)+1,9)),0),4))</f>
        <v/>
      </c>
      <c r="AI635" s="11" t="str">
        <f aca="false">IF(OR(A635="",N(E635)&lt;=0),"",IF('FALTAS GERAL'!$M$1="Código","K"&amp;AH635&amp;RIGHT("00000"&amp;ROW(),5),IF('FALTAS GERAL'!$M$1="Nome","K"&amp;UPPER(SUBSTITUTE(SUBSTITUTE(SUBSTITUTE(B635,"*",""),"?",""),"~",""))&amp;"0"&amp;AH635&amp;RIGHT("00000"&amp;ROW(),5),IF('FALTAS GERAL'!$M$1="Falta (maior primeiro)","K"&amp;RIGHT("0000"&amp;(9999-E635),4)&amp;AH635&amp;RIGHT("00000"&amp;ROW(),5),IF('FALTAS GERAL'!$M$1="Nº de decks (maior primeiro)","K"&amp;RIGHT("00"&amp;(99-N(G635)),2)&amp;AH635&amp;RIGHT("00000"&amp;ROW(),5),"K"&amp;RIGHT("00000"&amp;ROW(),5))))))</f>
        <v/>
      </c>
      <c r="AJ635" s="11" t="str">
        <f aca="false">IF(AI635="","",COUNTIFS($AI$2:$AI$801,"&lt;"&amp;AI635,$E$2:$E$801,"&gt;0")+1)</f>
        <v/>
      </c>
      <c r="AK635" s="11" t="str">
        <f aca="false">IF(OR(A635="",N(E635)&lt;=0),"",COUNTIFS($AH$2:$AH$801,"&lt;"&amp;AH635,$E$2:$E$801,"&gt;0")+COUNTIFS($AH$2:AH635,AH635,$E$2:E635,"&gt;0"))</f>
        <v/>
      </c>
    </row>
    <row r="636" customFormat="false" ht="15" hidden="false" customHeight="false" outlineLevel="0" collapsed="false">
      <c r="A636" s="11" t="str">
        <f aca="false">IF(INVENTÁRIO!A636="","",INVENTÁRIO!A636)</f>
        <v/>
      </c>
      <c r="B636" s="11" t="str">
        <f aca="false">IF(A636="","",INVENTÁRIO!B636)</f>
        <v/>
      </c>
      <c r="C636" s="16" t="str">
        <f aca="false">IF(A636="","",INVENTÁRIO!C636)</f>
        <v/>
      </c>
      <c r="D636" s="14" t="str">
        <f aca="false">IF(A636="","",MAX(K636:AD636))</f>
        <v/>
      </c>
      <c r="E636" s="14" t="str">
        <f aca="false">IF(A636="","",MAX(0,D636-C636))</f>
        <v/>
      </c>
      <c r="F636" s="16" t="str">
        <f aca="false">IF(A636="","",IF(D636=0,"Fora dos decks",IF(E636=0,"Completo","Falta")))</f>
        <v/>
      </c>
      <c r="G636" s="16" t="str">
        <f aca="false">IF(A636="","",COUNTIF(K636:AD636,"&gt;0"))</f>
        <v/>
      </c>
      <c r="H636" s="16" t="str">
        <f aca="false">IF(A636="","",IF(G636&gt;1,"Sim",""))</f>
        <v/>
      </c>
      <c r="I636" s="18" t="str">
        <f aca="false">IF(A636="","",SUMIFS(DECKS!$D$2:$D$1201,DECKS!$B$2:$B$1201,A636))</f>
        <v/>
      </c>
      <c r="J636" s="18" t="str">
        <f aca="false">IF(A636="","",MAX(0,I636-C636))</f>
        <v/>
      </c>
      <c r="K636" s="19" t="str">
        <f aca="false">IF(OR($A636="",INDEX(_LEITURA!$Q$2:$Q$21,1)=0),"",SUMIFS(DECKS!$D$2:$D$1201,DECKS!$A$2:$A$1201,INDEX(_LEITURA!$P$2:$P$21,1),DECKS!$B$2:$B$1201,$A636))</f>
        <v/>
      </c>
      <c r="L636" s="19" t="str">
        <f aca="false">IF(OR($A636="",INDEX(_LEITURA!$Q$2:$Q$21,2)=0),"",SUMIFS(DECKS!$D$2:$D$1201,DECKS!$A$2:$A$1201,INDEX(_LEITURA!$P$2:$P$21,2),DECKS!$B$2:$B$1201,$A636))</f>
        <v/>
      </c>
      <c r="M636" s="19" t="str">
        <f aca="false">IF(OR($A636="",INDEX(_LEITURA!$Q$2:$Q$21,3)=0),"",SUMIFS(DECKS!$D$2:$D$1201,DECKS!$A$2:$A$1201,INDEX(_LEITURA!$P$2:$P$21,3),DECKS!$B$2:$B$1201,$A636))</f>
        <v/>
      </c>
      <c r="N636" s="19" t="str">
        <f aca="false">IF(OR($A636="",INDEX(_LEITURA!$Q$2:$Q$21,4)=0),"",SUMIFS(DECKS!$D$2:$D$1201,DECKS!$A$2:$A$1201,INDEX(_LEITURA!$P$2:$P$21,4),DECKS!$B$2:$B$1201,$A636))</f>
        <v/>
      </c>
      <c r="O636" s="19" t="str">
        <f aca="false">IF(OR($A636="",INDEX(_LEITURA!$Q$2:$Q$21,5)=0),"",SUMIFS(DECKS!$D$2:$D$1201,DECKS!$A$2:$A$1201,INDEX(_LEITURA!$P$2:$P$21,5),DECKS!$B$2:$B$1201,$A636))</f>
        <v/>
      </c>
      <c r="P636" s="19" t="str">
        <f aca="false">IF(OR($A636="",INDEX(_LEITURA!$Q$2:$Q$21,6)=0),"",SUMIFS(DECKS!$D$2:$D$1201,DECKS!$A$2:$A$1201,INDEX(_LEITURA!$P$2:$P$21,6),DECKS!$B$2:$B$1201,$A636))</f>
        <v/>
      </c>
      <c r="Q636" s="19" t="str">
        <f aca="false">IF(OR($A636="",INDEX(_LEITURA!$Q$2:$Q$21,7)=0),"",SUMIFS(DECKS!$D$2:$D$1201,DECKS!$A$2:$A$1201,INDEX(_LEITURA!$P$2:$P$21,7),DECKS!$B$2:$B$1201,$A636))</f>
        <v/>
      </c>
      <c r="R636" s="19" t="str">
        <f aca="false">IF(OR($A636="",INDEX(_LEITURA!$Q$2:$Q$21,8)=0),"",SUMIFS(DECKS!$D$2:$D$1201,DECKS!$A$2:$A$1201,INDEX(_LEITURA!$P$2:$P$21,8),DECKS!$B$2:$B$1201,$A636))</f>
        <v/>
      </c>
      <c r="S636" s="19" t="str">
        <f aca="false">IF(OR($A636="",INDEX(_LEITURA!$Q$2:$Q$21,9)=0),"",SUMIFS(DECKS!$D$2:$D$1201,DECKS!$A$2:$A$1201,INDEX(_LEITURA!$P$2:$P$21,9),DECKS!$B$2:$B$1201,$A636))</f>
        <v/>
      </c>
      <c r="T636" s="19" t="str">
        <f aca="false">IF(OR($A636="",INDEX(_LEITURA!$Q$2:$Q$21,10)=0),"",SUMIFS(DECKS!$D$2:$D$1201,DECKS!$A$2:$A$1201,INDEX(_LEITURA!$P$2:$P$21,10),DECKS!$B$2:$B$1201,$A636))</f>
        <v/>
      </c>
      <c r="U636" s="19" t="str">
        <f aca="false">IF(OR($A636="",INDEX(_LEITURA!$Q$2:$Q$21,11)=0),"",SUMIFS(DECKS!$D$2:$D$1201,DECKS!$A$2:$A$1201,INDEX(_LEITURA!$P$2:$P$21,11),DECKS!$B$2:$B$1201,$A636))</f>
        <v/>
      </c>
      <c r="V636" s="19" t="str">
        <f aca="false">IF(OR($A636="",INDEX(_LEITURA!$Q$2:$Q$21,12)=0),"",SUMIFS(DECKS!$D$2:$D$1201,DECKS!$A$2:$A$1201,INDEX(_LEITURA!$P$2:$P$21,12),DECKS!$B$2:$B$1201,$A636))</f>
        <v/>
      </c>
      <c r="W636" s="19" t="str">
        <f aca="false">IF(OR($A636="",INDEX(_LEITURA!$Q$2:$Q$21,13)=0),"",SUMIFS(DECKS!$D$2:$D$1201,DECKS!$A$2:$A$1201,INDEX(_LEITURA!$P$2:$P$21,13),DECKS!$B$2:$B$1201,$A636))</f>
        <v/>
      </c>
      <c r="X636" s="19" t="str">
        <f aca="false">IF(OR($A636="",INDEX(_LEITURA!$Q$2:$Q$21,14)=0),"",SUMIFS(DECKS!$D$2:$D$1201,DECKS!$A$2:$A$1201,INDEX(_LEITURA!$P$2:$P$21,14),DECKS!$B$2:$B$1201,$A636))</f>
        <v/>
      </c>
      <c r="Y636" s="19" t="str">
        <f aca="false">IF(OR($A636="",INDEX(_LEITURA!$Q$2:$Q$21,15)=0),"",SUMIFS(DECKS!$D$2:$D$1201,DECKS!$A$2:$A$1201,INDEX(_LEITURA!$P$2:$P$21,15),DECKS!$B$2:$B$1201,$A636))</f>
        <v/>
      </c>
      <c r="Z636" s="19" t="str">
        <f aca="false">IF(OR($A636="",INDEX(_LEITURA!$Q$2:$Q$21,16)=0),"",SUMIFS(DECKS!$D$2:$D$1201,DECKS!$A$2:$A$1201,INDEX(_LEITURA!$P$2:$P$21,16),DECKS!$B$2:$B$1201,$A636))</f>
        <v/>
      </c>
      <c r="AA636" s="19" t="str">
        <f aca="false">IF(OR($A636="",INDEX(_LEITURA!$Q$2:$Q$21,17)=0),"",SUMIFS(DECKS!$D$2:$D$1201,DECKS!$A$2:$A$1201,INDEX(_LEITURA!$P$2:$P$21,17),DECKS!$B$2:$B$1201,$A636))</f>
        <v/>
      </c>
      <c r="AB636" s="19" t="str">
        <f aca="false">IF(OR($A636="",INDEX(_LEITURA!$Q$2:$Q$21,18)=0),"",SUMIFS(DECKS!$D$2:$D$1201,DECKS!$A$2:$A$1201,INDEX(_LEITURA!$P$2:$P$21,18),DECKS!$B$2:$B$1201,$A636))</f>
        <v/>
      </c>
      <c r="AC636" s="19" t="str">
        <f aca="false">IF(OR($A636="",INDEX(_LEITURA!$Q$2:$Q$21,19)=0),"",SUMIFS(DECKS!$D$2:$D$1201,DECKS!$A$2:$A$1201,INDEX(_LEITURA!$P$2:$P$21,19),DECKS!$B$2:$B$1201,$A636))</f>
        <v/>
      </c>
      <c r="AD636" s="19" t="str">
        <f aca="false">IF(OR($A636="",INDEX(_LEITURA!$Q$2:$Q$21,20)=0),"",SUMIFS(DECKS!$D$2:$D$1201,DECKS!$A$2:$A$1201,INDEX(_LEITURA!$P$2:$P$21,20),DECKS!$B$2:$B$1201,$A636))</f>
        <v/>
      </c>
      <c r="AE636" s="16" t="str">
        <f aca="false">IF(N(E636)&gt;0,MAX(AE$1:AE635)+1,"")</f>
        <v/>
      </c>
      <c r="AF636" s="11" t="str">
        <f aca="false">IF(A636="","",IFERROR(LEFT(A636,FIND("-",A636)-1),A636))</f>
        <v/>
      </c>
      <c r="AG636" s="11" t="str">
        <f aca="false">IF(AF636="","",IF(ISNUMBER(--MID(AF636,1,1)),0,IF(ISNUMBER(--MID(AF636,2,1)),1,IF(ISNUMBER(--MID(AF636,3,1)),2,IF(ISNUMBER(--MID(AF636,4,1)),3,MIN(LEN(AF636),4))))))</f>
        <v/>
      </c>
      <c r="AH636" s="11" t="str">
        <f aca="false">IF(A636="","",LEFT(AF636,AG636)&amp;REPT("0",4-AG636)&amp;RIGHT("000"&amp;IFERROR(VALUE(MID(AF636,AG636+1,9)),0),3)&amp;RIGHT("0000"&amp;IFERROR(VALUE(MID(A636,FIND("-",A636)+1,9)),0),4))</f>
        <v/>
      </c>
      <c r="AI636" s="11" t="str">
        <f aca="false">IF(OR(A636="",N(E636)&lt;=0),"",IF('FALTAS GERAL'!$M$1="Código","K"&amp;AH636&amp;RIGHT("00000"&amp;ROW(),5),IF('FALTAS GERAL'!$M$1="Nome","K"&amp;UPPER(SUBSTITUTE(SUBSTITUTE(SUBSTITUTE(B636,"*",""),"?",""),"~",""))&amp;"0"&amp;AH636&amp;RIGHT("00000"&amp;ROW(),5),IF('FALTAS GERAL'!$M$1="Falta (maior primeiro)","K"&amp;RIGHT("0000"&amp;(9999-E636),4)&amp;AH636&amp;RIGHT("00000"&amp;ROW(),5),IF('FALTAS GERAL'!$M$1="Nº de decks (maior primeiro)","K"&amp;RIGHT("00"&amp;(99-N(G636)),2)&amp;AH636&amp;RIGHT("00000"&amp;ROW(),5),"K"&amp;RIGHT("00000"&amp;ROW(),5))))))</f>
        <v/>
      </c>
      <c r="AJ636" s="11" t="str">
        <f aca="false">IF(AI636="","",COUNTIFS($AI$2:$AI$801,"&lt;"&amp;AI636,$E$2:$E$801,"&gt;0")+1)</f>
        <v/>
      </c>
      <c r="AK636" s="11" t="str">
        <f aca="false">IF(OR(A636="",N(E636)&lt;=0),"",COUNTIFS($AH$2:$AH$801,"&lt;"&amp;AH636,$E$2:$E$801,"&gt;0")+COUNTIFS($AH$2:AH636,AH636,$E$2:E636,"&gt;0"))</f>
        <v/>
      </c>
    </row>
    <row r="637" customFormat="false" ht="15" hidden="false" customHeight="false" outlineLevel="0" collapsed="false">
      <c r="A637" s="11" t="str">
        <f aca="false">IF(INVENTÁRIO!A637="","",INVENTÁRIO!A637)</f>
        <v/>
      </c>
      <c r="B637" s="11" t="str">
        <f aca="false">IF(A637="","",INVENTÁRIO!B637)</f>
        <v/>
      </c>
      <c r="C637" s="16" t="str">
        <f aca="false">IF(A637="","",INVENTÁRIO!C637)</f>
        <v/>
      </c>
      <c r="D637" s="14" t="str">
        <f aca="false">IF(A637="","",MAX(K637:AD637))</f>
        <v/>
      </c>
      <c r="E637" s="14" t="str">
        <f aca="false">IF(A637="","",MAX(0,D637-C637))</f>
        <v/>
      </c>
      <c r="F637" s="16" t="str">
        <f aca="false">IF(A637="","",IF(D637=0,"Fora dos decks",IF(E637=0,"Completo","Falta")))</f>
        <v/>
      </c>
      <c r="G637" s="16" t="str">
        <f aca="false">IF(A637="","",COUNTIF(K637:AD637,"&gt;0"))</f>
        <v/>
      </c>
      <c r="H637" s="16" t="str">
        <f aca="false">IF(A637="","",IF(G637&gt;1,"Sim",""))</f>
        <v/>
      </c>
      <c r="I637" s="18" t="str">
        <f aca="false">IF(A637="","",SUMIFS(DECKS!$D$2:$D$1201,DECKS!$B$2:$B$1201,A637))</f>
        <v/>
      </c>
      <c r="J637" s="18" t="str">
        <f aca="false">IF(A637="","",MAX(0,I637-C637))</f>
        <v/>
      </c>
      <c r="K637" s="19" t="str">
        <f aca="false">IF(OR($A637="",INDEX(_LEITURA!$Q$2:$Q$21,1)=0),"",SUMIFS(DECKS!$D$2:$D$1201,DECKS!$A$2:$A$1201,INDEX(_LEITURA!$P$2:$P$21,1),DECKS!$B$2:$B$1201,$A637))</f>
        <v/>
      </c>
      <c r="L637" s="19" t="str">
        <f aca="false">IF(OR($A637="",INDEX(_LEITURA!$Q$2:$Q$21,2)=0),"",SUMIFS(DECKS!$D$2:$D$1201,DECKS!$A$2:$A$1201,INDEX(_LEITURA!$P$2:$P$21,2),DECKS!$B$2:$B$1201,$A637))</f>
        <v/>
      </c>
      <c r="M637" s="19" t="str">
        <f aca="false">IF(OR($A637="",INDEX(_LEITURA!$Q$2:$Q$21,3)=0),"",SUMIFS(DECKS!$D$2:$D$1201,DECKS!$A$2:$A$1201,INDEX(_LEITURA!$P$2:$P$21,3),DECKS!$B$2:$B$1201,$A637))</f>
        <v/>
      </c>
      <c r="N637" s="19" t="str">
        <f aca="false">IF(OR($A637="",INDEX(_LEITURA!$Q$2:$Q$21,4)=0),"",SUMIFS(DECKS!$D$2:$D$1201,DECKS!$A$2:$A$1201,INDEX(_LEITURA!$P$2:$P$21,4),DECKS!$B$2:$B$1201,$A637))</f>
        <v/>
      </c>
      <c r="O637" s="19" t="str">
        <f aca="false">IF(OR($A637="",INDEX(_LEITURA!$Q$2:$Q$21,5)=0),"",SUMIFS(DECKS!$D$2:$D$1201,DECKS!$A$2:$A$1201,INDEX(_LEITURA!$P$2:$P$21,5),DECKS!$B$2:$B$1201,$A637))</f>
        <v/>
      </c>
      <c r="P637" s="19" t="str">
        <f aca="false">IF(OR($A637="",INDEX(_LEITURA!$Q$2:$Q$21,6)=0),"",SUMIFS(DECKS!$D$2:$D$1201,DECKS!$A$2:$A$1201,INDEX(_LEITURA!$P$2:$P$21,6),DECKS!$B$2:$B$1201,$A637))</f>
        <v/>
      </c>
      <c r="Q637" s="19" t="str">
        <f aca="false">IF(OR($A637="",INDEX(_LEITURA!$Q$2:$Q$21,7)=0),"",SUMIFS(DECKS!$D$2:$D$1201,DECKS!$A$2:$A$1201,INDEX(_LEITURA!$P$2:$P$21,7),DECKS!$B$2:$B$1201,$A637))</f>
        <v/>
      </c>
      <c r="R637" s="19" t="str">
        <f aca="false">IF(OR($A637="",INDEX(_LEITURA!$Q$2:$Q$21,8)=0),"",SUMIFS(DECKS!$D$2:$D$1201,DECKS!$A$2:$A$1201,INDEX(_LEITURA!$P$2:$P$21,8),DECKS!$B$2:$B$1201,$A637))</f>
        <v/>
      </c>
      <c r="S637" s="19" t="str">
        <f aca="false">IF(OR($A637="",INDEX(_LEITURA!$Q$2:$Q$21,9)=0),"",SUMIFS(DECKS!$D$2:$D$1201,DECKS!$A$2:$A$1201,INDEX(_LEITURA!$P$2:$P$21,9),DECKS!$B$2:$B$1201,$A637))</f>
        <v/>
      </c>
      <c r="T637" s="19" t="str">
        <f aca="false">IF(OR($A637="",INDEX(_LEITURA!$Q$2:$Q$21,10)=0),"",SUMIFS(DECKS!$D$2:$D$1201,DECKS!$A$2:$A$1201,INDEX(_LEITURA!$P$2:$P$21,10),DECKS!$B$2:$B$1201,$A637))</f>
        <v/>
      </c>
      <c r="U637" s="19" t="str">
        <f aca="false">IF(OR($A637="",INDEX(_LEITURA!$Q$2:$Q$21,11)=0),"",SUMIFS(DECKS!$D$2:$D$1201,DECKS!$A$2:$A$1201,INDEX(_LEITURA!$P$2:$P$21,11),DECKS!$B$2:$B$1201,$A637))</f>
        <v/>
      </c>
      <c r="V637" s="19" t="str">
        <f aca="false">IF(OR($A637="",INDEX(_LEITURA!$Q$2:$Q$21,12)=0),"",SUMIFS(DECKS!$D$2:$D$1201,DECKS!$A$2:$A$1201,INDEX(_LEITURA!$P$2:$P$21,12),DECKS!$B$2:$B$1201,$A637))</f>
        <v/>
      </c>
      <c r="W637" s="19" t="str">
        <f aca="false">IF(OR($A637="",INDEX(_LEITURA!$Q$2:$Q$21,13)=0),"",SUMIFS(DECKS!$D$2:$D$1201,DECKS!$A$2:$A$1201,INDEX(_LEITURA!$P$2:$P$21,13),DECKS!$B$2:$B$1201,$A637))</f>
        <v/>
      </c>
      <c r="X637" s="19" t="str">
        <f aca="false">IF(OR($A637="",INDEX(_LEITURA!$Q$2:$Q$21,14)=0),"",SUMIFS(DECKS!$D$2:$D$1201,DECKS!$A$2:$A$1201,INDEX(_LEITURA!$P$2:$P$21,14),DECKS!$B$2:$B$1201,$A637))</f>
        <v/>
      </c>
      <c r="Y637" s="19" t="str">
        <f aca="false">IF(OR($A637="",INDEX(_LEITURA!$Q$2:$Q$21,15)=0),"",SUMIFS(DECKS!$D$2:$D$1201,DECKS!$A$2:$A$1201,INDEX(_LEITURA!$P$2:$P$21,15),DECKS!$B$2:$B$1201,$A637))</f>
        <v/>
      </c>
      <c r="Z637" s="19" t="str">
        <f aca="false">IF(OR($A637="",INDEX(_LEITURA!$Q$2:$Q$21,16)=0),"",SUMIFS(DECKS!$D$2:$D$1201,DECKS!$A$2:$A$1201,INDEX(_LEITURA!$P$2:$P$21,16),DECKS!$B$2:$B$1201,$A637))</f>
        <v/>
      </c>
      <c r="AA637" s="19" t="str">
        <f aca="false">IF(OR($A637="",INDEX(_LEITURA!$Q$2:$Q$21,17)=0),"",SUMIFS(DECKS!$D$2:$D$1201,DECKS!$A$2:$A$1201,INDEX(_LEITURA!$P$2:$P$21,17),DECKS!$B$2:$B$1201,$A637))</f>
        <v/>
      </c>
      <c r="AB637" s="19" t="str">
        <f aca="false">IF(OR($A637="",INDEX(_LEITURA!$Q$2:$Q$21,18)=0),"",SUMIFS(DECKS!$D$2:$D$1201,DECKS!$A$2:$A$1201,INDEX(_LEITURA!$P$2:$P$21,18),DECKS!$B$2:$B$1201,$A637))</f>
        <v/>
      </c>
      <c r="AC637" s="19" t="str">
        <f aca="false">IF(OR($A637="",INDEX(_LEITURA!$Q$2:$Q$21,19)=0),"",SUMIFS(DECKS!$D$2:$D$1201,DECKS!$A$2:$A$1201,INDEX(_LEITURA!$P$2:$P$21,19),DECKS!$B$2:$B$1201,$A637))</f>
        <v/>
      </c>
      <c r="AD637" s="19" t="str">
        <f aca="false">IF(OR($A637="",INDEX(_LEITURA!$Q$2:$Q$21,20)=0),"",SUMIFS(DECKS!$D$2:$D$1201,DECKS!$A$2:$A$1201,INDEX(_LEITURA!$P$2:$P$21,20),DECKS!$B$2:$B$1201,$A637))</f>
        <v/>
      </c>
      <c r="AE637" s="16" t="str">
        <f aca="false">IF(N(E637)&gt;0,MAX(AE$1:AE636)+1,"")</f>
        <v/>
      </c>
      <c r="AF637" s="11" t="str">
        <f aca="false">IF(A637="","",IFERROR(LEFT(A637,FIND("-",A637)-1),A637))</f>
        <v/>
      </c>
      <c r="AG637" s="11" t="str">
        <f aca="false">IF(AF637="","",IF(ISNUMBER(--MID(AF637,1,1)),0,IF(ISNUMBER(--MID(AF637,2,1)),1,IF(ISNUMBER(--MID(AF637,3,1)),2,IF(ISNUMBER(--MID(AF637,4,1)),3,MIN(LEN(AF637),4))))))</f>
        <v/>
      </c>
      <c r="AH637" s="11" t="str">
        <f aca="false">IF(A637="","",LEFT(AF637,AG637)&amp;REPT("0",4-AG637)&amp;RIGHT("000"&amp;IFERROR(VALUE(MID(AF637,AG637+1,9)),0),3)&amp;RIGHT("0000"&amp;IFERROR(VALUE(MID(A637,FIND("-",A637)+1,9)),0),4))</f>
        <v/>
      </c>
      <c r="AI637" s="11" t="str">
        <f aca="false">IF(OR(A637="",N(E637)&lt;=0),"",IF('FALTAS GERAL'!$M$1="Código","K"&amp;AH637&amp;RIGHT("00000"&amp;ROW(),5),IF('FALTAS GERAL'!$M$1="Nome","K"&amp;UPPER(SUBSTITUTE(SUBSTITUTE(SUBSTITUTE(B637,"*",""),"?",""),"~",""))&amp;"0"&amp;AH637&amp;RIGHT("00000"&amp;ROW(),5),IF('FALTAS GERAL'!$M$1="Falta (maior primeiro)","K"&amp;RIGHT("0000"&amp;(9999-E637),4)&amp;AH637&amp;RIGHT("00000"&amp;ROW(),5),IF('FALTAS GERAL'!$M$1="Nº de decks (maior primeiro)","K"&amp;RIGHT("00"&amp;(99-N(G637)),2)&amp;AH637&amp;RIGHT("00000"&amp;ROW(),5),"K"&amp;RIGHT("00000"&amp;ROW(),5))))))</f>
        <v/>
      </c>
      <c r="AJ637" s="11" t="str">
        <f aca="false">IF(AI637="","",COUNTIFS($AI$2:$AI$801,"&lt;"&amp;AI637,$E$2:$E$801,"&gt;0")+1)</f>
        <v/>
      </c>
      <c r="AK637" s="11" t="str">
        <f aca="false">IF(OR(A637="",N(E637)&lt;=0),"",COUNTIFS($AH$2:$AH$801,"&lt;"&amp;AH637,$E$2:$E$801,"&gt;0")+COUNTIFS($AH$2:AH637,AH637,$E$2:E637,"&gt;0"))</f>
        <v/>
      </c>
    </row>
    <row r="638" customFormat="false" ht="15" hidden="false" customHeight="false" outlineLevel="0" collapsed="false">
      <c r="A638" s="11" t="str">
        <f aca="false">IF(INVENTÁRIO!A638="","",INVENTÁRIO!A638)</f>
        <v/>
      </c>
      <c r="B638" s="11" t="str">
        <f aca="false">IF(A638="","",INVENTÁRIO!B638)</f>
        <v/>
      </c>
      <c r="C638" s="16" t="str">
        <f aca="false">IF(A638="","",INVENTÁRIO!C638)</f>
        <v/>
      </c>
      <c r="D638" s="14" t="str">
        <f aca="false">IF(A638="","",MAX(K638:AD638))</f>
        <v/>
      </c>
      <c r="E638" s="14" t="str">
        <f aca="false">IF(A638="","",MAX(0,D638-C638))</f>
        <v/>
      </c>
      <c r="F638" s="16" t="str">
        <f aca="false">IF(A638="","",IF(D638=0,"Fora dos decks",IF(E638=0,"Completo","Falta")))</f>
        <v/>
      </c>
      <c r="G638" s="16" t="str">
        <f aca="false">IF(A638="","",COUNTIF(K638:AD638,"&gt;0"))</f>
        <v/>
      </c>
      <c r="H638" s="16" t="str">
        <f aca="false">IF(A638="","",IF(G638&gt;1,"Sim",""))</f>
        <v/>
      </c>
      <c r="I638" s="18" t="str">
        <f aca="false">IF(A638="","",SUMIFS(DECKS!$D$2:$D$1201,DECKS!$B$2:$B$1201,A638))</f>
        <v/>
      </c>
      <c r="J638" s="18" t="str">
        <f aca="false">IF(A638="","",MAX(0,I638-C638))</f>
        <v/>
      </c>
      <c r="K638" s="19" t="str">
        <f aca="false">IF(OR($A638="",INDEX(_LEITURA!$Q$2:$Q$21,1)=0),"",SUMIFS(DECKS!$D$2:$D$1201,DECKS!$A$2:$A$1201,INDEX(_LEITURA!$P$2:$P$21,1),DECKS!$B$2:$B$1201,$A638))</f>
        <v/>
      </c>
      <c r="L638" s="19" t="str">
        <f aca="false">IF(OR($A638="",INDEX(_LEITURA!$Q$2:$Q$21,2)=0),"",SUMIFS(DECKS!$D$2:$D$1201,DECKS!$A$2:$A$1201,INDEX(_LEITURA!$P$2:$P$21,2),DECKS!$B$2:$B$1201,$A638))</f>
        <v/>
      </c>
      <c r="M638" s="19" t="str">
        <f aca="false">IF(OR($A638="",INDEX(_LEITURA!$Q$2:$Q$21,3)=0),"",SUMIFS(DECKS!$D$2:$D$1201,DECKS!$A$2:$A$1201,INDEX(_LEITURA!$P$2:$P$21,3),DECKS!$B$2:$B$1201,$A638))</f>
        <v/>
      </c>
      <c r="N638" s="19" t="str">
        <f aca="false">IF(OR($A638="",INDEX(_LEITURA!$Q$2:$Q$21,4)=0),"",SUMIFS(DECKS!$D$2:$D$1201,DECKS!$A$2:$A$1201,INDEX(_LEITURA!$P$2:$P$21,4),DECKS!$B$2:$B$1201,$A638))</f>
        <v/>
      </c>
      <c r="O638" s="19" t="str">
        <f aca="false">IF(OR($A638="",INDEX(_LEITURA!$Q$2:$Q$21,5)=0),"",SUMIFS(DECKS!$D$2:$D$1201,DECKS!$A$2:$A$1201,INDEX(_LEITURA!$P$2:$P$21,5),DECKS!$B$2:$B$1201,$A638))</f>
        <v/>
      </c>
      <c r="P638" s="19" t="str">
        <f aca="false">IF(OR($A638="",INDEX(_LEITURA!$Q$2:$Q$21,6)=0),"",SUMIFS(DECKS!$D$2:$D$1201,DECKS!$A$2:$A$1201,INDEX(_LEITURA!$P$2:$P$21,6),DECKS!$B$2:$B$1201,$A638))</f>
        <v/>
      </c>
      <c r="Q638" s="19" t="str">
        <f aca="false">IF(OR($A638="",INDEX(_LEITURA!$Q$2:$Q$21,7)=0),"",SUMIFS(DECKS!$D$2:$D$1201,DECKS!$A$2:$A$1201,INDEX(_LEITURA!$P$2:$P$21,7),DECKS!$B$2:$B$1201,$A638))</f>
        <v/>
      </c>
      <c r="R638" s="19" t="str">
        <f aca="false">IF(OR($A638="",INDEX(_LEITURA!$Q$2:$Q$21,8)=0),"",SUMIFS(DECKS!$D$2:$D$1201,DECKS!$A$2:$A$1201,INDEX(_LEITURA!$P$2:$P$21,8),DECKS!$B$2:$B$1201,$A638))</f>
        <v/>
      </c>
      <c r="S638" s="19" t="str">
        <f aca="false">IF(OR($A638="",INDEX(_LEITURA!$Q$2:$Q$21,9)=0),"",SUMIFS(DECKS!$D$2:$D$1201,DECKS!$A$2:$A$1201,INDEX(_LEITURA!$P$2:$P$21,9),DECKS!$B$2:$B$1201,$A638))</f>
        <v/>
      </c>
      <c r="T638" s="19" t="str">
        <f aca="false">IF(OR($A638="",INDEX(_LEITURA!$Q$2:$Q$21,10)=0),"",SUMIFS(DECKS!$D$2:$D$1201,DECKS!$A$2:$A$1201,INDEX(_LEITURA!$P$2:$P$21,10),DECKS!$B$2:$B$1201,$A638))</f>
        <v/>
      </c>
      <c r="U638" s="19" t="str">
        <f aca="false">IF(OR($A638="",INDEX(_LEITURA!$Q$2:$Q$21,11)=0),"",SUMIFS(DECKS!$D$2:$D$1201,DECKS!$A$2:$A$1201,INDEX(_LEITURA!$P$2:$P$21,11),DECKS!$B$2:$B$1201,$A638))</f>
        <v/>
      </c>
      <c r="V638" s="19" t="str">
        <f aca="false">IF(OR($A638="",INDEX(_LEITURA!$Q$2:$Q$21,12)=0),"",SUMIFS(DECKS!$D$2:$D$1201,DECKS!$A$2:$A$1201,INDEX(_LEITURA!$P$2:$P$21,12),DECKS!$B$2:$B$1201,$A638))</f>
        <v/>
      </c>
      <c r="W638" s="19" t="str">
        <f aca="false">IF(OR($A638="",INDEX(_LEITURA!$Q$2:$Q$21,13)=0),"",SUMIFS(DECKS!$D$2:$D$1201,DECKS!$A$2:$A$1201,INDEX(_LEITURA!$P$2:$P$21,13),DECKS!$B$2:$B$1201,$A638))</f>
        <v/>
      </c>
      <c r="X638" s="19" t="str">
        <f aca="false">IF(OR($A638="",INDEX(_LEITURA!$Q$2:$Q$21,14)=0),"",SUMIFS(DECKS!$D$2:$D$1201,DECKS!$A$2:$A$1201,INDEX(_LEITURA!$P$2:$P$21,14),DECKS!$B$2:$B$1201,$A638))</f>
        <v/>
      </c>
      <c r="Y638" s="19" t="str">
        <f aca="false">IF(OR($A638="",INDEX(_LEITURA!$Q$2:$Q$21,15)=0),"",SUMIFS(DECKS!$D$2:$D$1201,DECKS!$A$2:$A$1201,INDEX(_LEITURA!$P$2:$P$21,15),DECKS!$B$2:$B$1201,$A638))</f>
        <v/>
      </c>
      <c r="Z638" s="19" t="str">
        <f aca="false">IF(OR($A638="",INDEX(_LEITURA!$Q$2:$Q$21,16)=0),"",SUMIFS(DECKS!$D$2:$D$1201,DECKS!$A$2:$A$1201,INDEX(_LEITURA!$P$2:$P$21,16),DECKS!$B$2:$B$1201,$A638))</f>
        <v/>
      </c>
      <c r="AA638" s="19" t="str">
        <f aca="false">IF(OR($A638="",INDEX(_LEITURA!$Q$2:$Q$21,17)=0),"",SUMIFS(DECKS!$D$2:$D$1201,DECKS!$A$2:$A$1201,INDEX(_LEITURA!$P$2:$P$21,17),DECKS!$B$2:$B$1201,$A638))</f>
        <v/>
      </c>
      <c r="AB638" s="19" t="str">
        <f aca="false">IF(OR($A638="",INDEX(_LEITURA!$Q$2:$Q$21,18)=0),"",SUMIFS(DECKS!$D$2:$D$1201,DECKS!$A$2:$A$1201,INDEX(_LEITURA!$P$2:$P$21,18),DECKS!$B$2:$B$1201,$A638))</f>
        <v/>
      </c>
      <c r="AC638" s="19" t="str">
        <f aca="false">IF(OR($A638="",INDEX(_LEITURA!$Q$2:$Q$21,19)=0),"",SUMIFS(DECKS!$D$2:$D$1201,DECKS!$A$2:$A$1201,INDEX(_LEITURA!$P$2:$P$21,19),DECKS!$B$2:$B$1201,$A638))</f>
        <v/>
      </c>
      <c r="AD638" s="19" t="str">
        <f aca="false">IF(OR($A638="",INDEX(_LEITURA!$Q$2:$Q$21,20)=0),"",SUMIFS(DECKS!$D$2:$D$1201,DECKS!$A$2:$A$1201,INDEX(_LEITURA!$P$2:$P$21,20),DECKS!$B$2:$B$1201,$A638))</f>
        <v/>
      </c>
      <c r="AE638" s="16" t="str">
        <f aca="false">IF(N(E638)&gt;0,MAX(AE$1:AE637)+1,"")</f>
        <v/>
      </c>
      <c r="AF638" s="11" t="str">
        <f aca="false">IF(A638="","",IFERROR(LEFT(A638,FIND("-",A638)-1),A638))</f>
        <v/>
      </c>
      <c r="AG638" s="11" t="str">
        <f aca="false">IF(AF638="","",IF(ISNUMBER(--MID(AF638,1,1)),0,IF(ISNUMBER(--MID(AF638,2,1)),1,IF(ISNUMBER(--MID(AF638,3,1)),2,IF(ISNUMBER(--MID(AF638,4,1)),3,MIN(LEN(AF638),4))))))</f>
        <v/>
      </c>
      <c r="AH638" s="11" t="str">
        <f aca="false">IF(A638="","",LEFT(AF638,AG638)&amp;REPT("0",4-AG638)&amp;RIGHT("000"&amp;IFERROR(VALUE(MID(AF638,AG638+1,9)),0),3)&amp;RIGHT("0000"&amp;IFERROR(VALUE(MID(A638,FIND("-",A638)+1,9)),0),4))</f>
        <v/>
      </c>
      <c r="AI638" s="11" t="str">
        <f aca="false">IF(OR(A638="",N(E638)&lt;=0),"",IF('FALTAS GERAL'!$M$1="Código","K"&amp;AH638&amp;RIGHT("00000"&amp;ROW(),5),IF('FALTAS GERAL'!$M$1="Nome","K"&amp;UPPER(SUBSTITUTE(SUBSTITUTE(SUBSTITUTE(B638,"*",""),"?",""),"~",""))&amp;"0"&amp;AH638&amp;RIGHT("00000"&amp;ROW(),5),IF('FALTAS GERAL'!$M$1="Falta (maior primeiro)","K"&amp;RIGHT("0000"&amp;(9999-E638),4)&amp;AH638&amp;RIGHT("00000"&amp;ROW(),5),IF('FALTAS GERAL'!$M$1="Nº de decks (maior primeiro)","K"&amp;RIGHT("00"&amp;(99-N(G638)),2)&amp;AH638&amp;RIGHT("00000"&amp;ROW(),5),"K"&amp;RIGHT("00000"&amp;ROW(),5))))))</f>
        <v/>
      </c>
      <c r="AJ638" s="11" t="str">
        <f aca="false">IF(AI638="","",COUNTIFS($AI$2:$AI$801,"&lt;"&amp;AI638,$E$2:$E$801,"&gt;0")+1)</f>
        <v/>
      </c>
      <c r="AK638" s="11" t="str">
        <f aca="false">IF(OR(A638="",N(E638)&lt;=0),"",COUNTIFS($AH$2:$AH$801,"&lt;"&amp;AH638,$E$2:$E$801,"&gt;0")+COUNTIFS($AH$2:AH638,AH638,$E$2:E638,"&gt;0"))</f>
        <v/>
      </c>
    </row>
    <row r="639" customFormat="false" ht="15" hidden="false" customHeight="false" outlineLevel="0" collapsed="false">
      <c r="A639" s="11" t="str">
        <f aca="false">IF(INVENTÁRIO!A639="","",INVENTÁRIO!A639)</f>
        <v/>
      </c>
      <c r="B639" s="11" t="str">
        <f aca="false">IF(A639="","",INVENTÁRIO!B639)</f>
        <v/>
      </c>
      <c r="C639" s="16" t="str">
        <f aca="false">IF(A639="","",INVENTÁRIO!C639)</f>
        <v/>
      </c>
      <c r="D639" s="14" t="str">
        <f aca="false">IF(A639="","",MAX(K639:AD639))</f>
        <v/>
      </c>
      <c r="E639" s="14" t="str">
        <f aca="false">IF(A639="","",MAX(0,D639-C639))</f>
        <v/>
      </c>
      <c r="F639" s="16" t="str">
        <f aca="false">IF(A639="","",IF(D639=0,"Fora dos decks",IF(E639=0,"Completo","Falta")))</f>
        <v/>
      </c>
      <c r="G639" s="16" t="str">
        <f aca="false">IF(A639="","",COUNTIF(K639:AD639,"&gt;0"))</f>
        <v/>
      </c>
      <c r="H639" s="16" t="str">
        <f aca="false">IF(A639="","",IF(G639&gt;1,"Sim",""))</f>
        <v/>
      </c>
      <c r="I639" s="18" t="str">
        <f aca="false">IF(A639="","",SUMIFS(DECKS!$D$2:$D$1201,DECKS!$B$2:$B$1201,A639))</f>
        <v/>
      </c>
      <c r="J639" s="18" t="str">
        <f aca="false">IF(A639="","",MAX(0,I639-C639))</f>
        <v/>
      </c>
      <c r="K639" s="19" t="str">
        <f aca="false">IF(OR($A639="",INDEX(_LEITURA!$Q$2:$Q$21,1)=0),"",SUMIFS(DECKS!$D$2:$D$1201,DECKS!$A$2:$A$1201,INDEX(_LEITURA!$P$2:$P$21,1),DECKS!$B$2:$B$1201,$A639))</f>
        <v/>
      </c>
      <c r="L639" s="19" t="str">
        <f aca="false">IF(OR($A639="",INDEX(_LEITURA!$Q$2:$Q$21,2)=0),"",SUMIFS(DECKS!$D$2:$D$1201,DECKS!$A$2:$A$1201,INDEX(_LEITURA!$P$2:$P$21,2),DECKS!$B$2:$B$1201,$A639))</f>
        <v/>
      </c>
      <c r="M639" s="19" t="str">
        <f aca="false">IF(OR($A639="",INDEX(_LEITURA!$Q$2:$Q$21,3)=0),"",SUMIFS(DECKS!$D$2:$D$1201,DECKS!$A$2:$A$1201,INDEX(_LEITURA!$P$2:$P$21,3),DECKS!$B$2:$B$1201,$A639))</f>
        <v/>
      </c>
      <c r="N639" s="19" t="str">
        <f aca="false">IF(OR($A639="",INDEX(_LEITURA!$Q$2:$Q$21,4)=0),"",SUMIFS(DECKS!$D$2:$D$1201,DECKS!$A$2:$A$1201,INDEX(_LEITURA!$P$2:$P$21,4),DECKS!$B$2:$B$1201,$A639))</f>
        <v/>
      </c>
      <c r="O639" s="19" t="str">
        <f aca="false">IF(OR($A639="",INDEX(_LEITURA!$Q$2:$Q$21,5)=0),"",SUMIFS(DECKS!$D$2:$D$1201,DECKS!$A$2:$A$1201,INDEX(_LEITURA!$P$2:$P$21,5),DECKS!$B$2:$B$1201,$A639))</f>
        <v/>
      </c>
      <c r="P639" s="19" t="str">
        <f aca="false">IF(OR($A639="",INDEX(_LEITURA!$Q$2:$Q$21,6)=0),"",SUMIFS(DECKS!$D$2:$D$1201,DECKS!$A$2:$A$1201,INDEX(_LEITURA!$P$2:$P$21,6),DECKS!$B$2:$B$1201,$A639))</f>
        <v/>
      </c>
      <c r="Q639" s="19" t="str">
        <f aca="false">IF(OR($A639="",INDEX(_LEITURA!$Q$2:$Q$21,7)=0),"",SUMIFS(DECKS!$D$2:$D$1201,DECKS!$A$2:$A$1201,INDEX(_LEITURA!$P$2:$P$21,7),DECKS!$B$2:$B$1201,$A639))</f>
        <v/>
      </c>
      <c r="R639" s="19" t="str">
        <f aca="false">IF(OR($A639="",INDEX(_LEITURA!$Q$2:$Q$21,8)=0),"",SUMIFS(DECKS!$D$2:$D$1201,DECKS!$A$2:$A$1201,INDEX(_LEITURA!$P$2:$P$21,8),DECKS!$B$2:$B$1201,$A639))</f>
        <v/>
      </c>
      <c r="S639" s="19" t="str">
        <f aca="false">IF(OR($A639="",INDEX(_LEITURA!$Q$2:$Q$21,9)=0),"",SUMIFS(DECKS!$D$2:$D$1201,DECKS!$A$2:$A$1201,INDEX(_LEITURA!$P$2:$P$21,9),DECKS!$B$2:$B$1201,$A639))</f>
        <v/>
      </c>
      <c r="T639" s="19" t="str">
        <f aca="false">IF(OR($A639="",INDEX(_LEITURA!$Q$2:$Q$21,10)=0),"",SUMIFS(DECKS!$D$2:$D$1201,DECKS!$A$2:$A$1201,INDEX(_LEITURA!$P$2:$P$21,10),DECKS!$B$2:$B$1201,$A639))</f>
        <v/>
      </c>
      <c r="U639" s="19" t="str">
        <f aca="false">IF(OR($A639="",INDEX(_LEITURA!$Q$2:$Q$21,11)=0),"",SUMIFS(DECKS!$D$2:$D$1201,DECKS!$A$2:$A$1201,INDEX(_LEITURA!$P$2:$P$21,11),DECKS!$B$2:$B$1201,$A639))</f>
        <v/>
      </c>
      <c r="V639" s="19" t="str">
        <f aca="false">IF(OR($A639="",INDEX(_LEITURA!$Q$2:$Q$21,12)=0),"",SUMIFS(DECKS!$D$2:$D$1201,DECKS!$A$2:$A$1201,INDEX(_LEITURA!$P$2:$P$21,12),DECKS!$B$2:$B$1201,$A639))</f>
        <v/>
      </c>
      <c r="W639" s="19" t="str">
        <f aca="false">IF(OR($A639="",INDEX(_LEITURA!$Q$2:$Q$21,13)=0),"",SUMIFS(DECKS!$D$2:$D$1201,DECKS!$A$2:$A$1201,INDEX(_LEITURA!$P$2:$P$21,13),DECKS!$B$2:$B$1201,$A639))</f>
        <v/>
      </c>
      <c r="X639" s="19" t="str">
        <f aca="false">IF(OR($A639="",INDEX(_LEITURA!$Q$2:$Q$21,14)=0),"",SUMIFS(DECKS!$D$2:$D$1201,DECKS!$A$2:$A$1201,INDEX(_LEITURA!$P$2:$P$21,14),DECKS!$B$2:$B$1201,$A639))</f>
        <v/>
      </c>
      <c r="Y639" s="19" t="str">
        <f aca="false">IF(OR($A639="",INDEX(_LEITURA!$Q$2:$Q$21,15)=0),"",SUMIFS(DECKS!$D$2:$D$1201,DECKS!$A$2:$A$1201,INDEX(_LEITURA!$P$2:$P$21,15),DECKS!$B$2:$B$1201,$A639))</f>
        <v/>
      </c>
      <c r="Z639" s="19" t="str">
        <f aca="false">IF(OR($A639="",INDEX(_LEITURA!$Q$2:$Q$21,16)=0),"",SUMIFS(DECKS!$D$2:$D$1201,DECKS!$A$2:$A$1201,INDEX(_LEITURA!$P$2:$P$21,16),DECKS!$B$2:$B$1201,$A639))</f>
        <v/>
      </c>
      <c r="AA639" s="19" t="str">
        <f aca="false">IF(OR($A639="",INDEX(_LEITURA!$Q$2:$Q$21,17)=0),"",SUMIFS(DECKS!$D$2:$D$1201,DECKS!$A$2:$A$1201,INDEX(_LEITURA!$P$2:$P$21,17),DECKS!$B$2:$B$1201,$A639))</f>
        <v/>
      </c>
      <c r="AB639" s="19" t="str">
        <f aca="false">IF(OR($A639="",INDEX(_LEITURA!$Q$2:$Q$21,18)=0),"",SUMIFS(DECKS!$D$2:$D$1201,DECKS!$A$2:$A$1201,INDEX(_LEITURA!$P$2:$P$21,18),DECKS!$B$2:$B$1201,$A639))</f>
        <v/>
      </c>
      <c r="AC639" s="19" t="str">
        <f aca="false">IF(OR($A639="",INDEX(_LEITURA!$Q$2:$Q$21,19)=0),"",SUMIFS(DECKS!$D$2:$D$1201,DECKS!$A$2:$A$1201,INDEX(_LEITURA!$P$2:$P$21,19),DECKS!$B$2:$B$1201,$A639))</f>
        <v/>
      </c>
      <c r="AD639" s="19" t="str">
        <f aca="false">IF(OR($A639="",INDEX(_LEITURA!$Q$2:$Q$21,20)=0),"",SUMIFS(DECKS!$D$2:$D$1201,DECKS!$A$2:$A$1201,INDEX(_LEITURA!$P$2:$P$21,20),DECKS!$B$2:$B$1201,$A639))</f>
        <v/>
      </c>
      <c r="AE639" s="16" t="str">
        <f aca="false">IF(N(E639)&gt;0,MAX(AE$1:AE638)+1,"")</f>
        <v/>
      </c>
      <c r="AF639" s="11" t="str">
        <f aca="false">IF(A639="","",IFERROR(LEFT(A639,FIND("-",A639)-1),A639))</f>
        <v/>
      </c>
      <c r="AG639" s="11" t="str">
        <f aca="false">IF(AF639="","",IF(ISNUMBER(--MID(AF639,1,1)),0,IF(ISNUMBER(--MID(AF639,2,1)),1,IF(ISNUMBER(--MID(AF639,3,1)),2,IF(ISNUMBER(--MID(AF639,4,1)),3,MIN(LEN(AF639),4))))))</f>
        <v/>
      </c>
      <c r="AH639" s="11" t="str">
        <f aca="false">IF(A639="","",LEFT(AF639,AG639)&amp;REPT("0",4-AG639)&amp;RIGHT("000"&amp;IFERROR(VALUE(MID(AF639,AG639+1,9)),0),3)&amp;RIGHT("0000"&amp;IFERROR(VALUE(MID(A639,FIND("-",A639)+1,9)),0),4))</f>
        <v/>
      </c>
      <c r="AI639" s="11" t="str">
        <f aca="false">IF(OR(A639="",N(E639)&lt;=0),"",IF('FALTAS GERAL'!$M$1="Código","K"&amp;AH639&amp;RIGHT("00000"&amp;ROW(),5),IF('FALTAS GERAL'!$M$1="Nome","K"&amp;UPPER(SUBSTITUTE(SUBSTITUTE(SUBSTITUTE(B639,"*",""),"?",""),"~",""))&amp;"0"&amp;AH639&amp;RIGHT("00000"&amp;ROW(),5),IF('FALTAS GERAL'!$M$1="Falta (maior primeiro)","K"&amp;RIGHT("0000"&amp;(9999-E639),4)&amp;AH639&amp;RIGHT("00000"&amp;ROW(),5),IF('FALTAS GERAL'!$M$1="Nº de decks (maior primeiro)","K"&amp;RIGHT("00"&amp;(99-N(G639)),2)&amp;AH639&amp;RIGHT("00000"&amp;ROW(),5),"K"&amp;RIGHT("00000"&amp;ROW(),5))))))</f>
        <v/>
      </c>
      <c r="AJ639" s="11" t="str">
        <f aca="false">IF(AI639="","",COUNTIFS($AI$2:$AI$801,"&lt;"&amp;AI639,$E$2:$E$801,"&gt;0")+1)</f>
        <v/>
      </c>
      <c r="AK639" s="11" t="str">
        <f aca="false">IF(OR(A639="",N(E639)&lt;=0),"",COUNTIFS($AH$2:$AH$801,"&lt;"&amp;AH639,$E$2:$E$801,"&gt;0")+COUNTIFS($AH$2:AH639,AH639,$E$2:E639,"&gt;0"))</f>
        <v/>
      </c>
    </row>
    <row r="640" customFormat="false" ht="15" hidden="false" customHeight="false" outlineLevel="0" collapsed="false">
      <c r="A640" s="11" t="str">
        <f aca="false">IF(INVENTÁRIO!A640="","",INVENTÁRIO!A640)</f>
        <v/>
      </c>
      <c r="B640" s="11" t="str">
        <f aca="false">IF(A640="","",INVENTÁRIO!B640)</f>
        <v/>
      </c>
      <c r="C640" s="16" t="str">
        <f aca="false">IF(A640="","",INVENTÁRIO!C640)</f>
        <v/>
      </c>
      <c r="D640" s="14" t="str">
        <f aca="false">IF(A640="","",MAX(K640:AD640))</f>
        <v/>
      </c>
      <c r="E640" s="14" t="str">
        <f aca="false">IF(A640="","",MAX(0,D640-C640))</f>
        <v/>
      </c>
      <c r="F640" s="16" t="str">
        <f aca="false">IF(A640="","",IF(D640=0,"Fora dos decks",IF(E640=0,"Completo","Falta")))</f>
        <v/>
      </c>
      <c r="G640" s="16" t="str">
        <f aca="false">IF(A640="","",COUNTIF(K640:AD640,"&gt;0"))</f>
        <v/>
      </c>
      <c r="H640" s="16" t="str">
        <f aca="false">IF(A640="","",IF(G640&gt;1,"Sim",""))</f>
        <v/>
      </c>
      <c r="I640" s="18" t="str">
        <f aca="false">IF(A640="","",SUMIFS(DECKS!$D$2:$D$1201,DECKS!$B$2:$B$1201,A640))</f>
        <v/>
      </c>
      <c r="J640" s="18" t="str">
        <f aca="false">IF(A640="","",MAX(0,I640-C640))</f>
        <v/>
      </c>
      <c r="K640" s="19" t="str">
        <f aca="false">IF(OR($A640="",INDEX(_LEITURA!$Q$2:$Q$21,1)=0),"",SUMIFS(DECKS!$D$2:$D$1201,DECKS!$A$2:$A$1201,INDEX(_LEITURA!$P$2:$P$21,1),DECKS!$B$2:$B$1201,$A640))</f>
        <v/>
      </c>
      <c r="L640" s="19" t="str">
        <f aca="false">IF(OR($A640="",INDEX(_LEITURA!$Q$2:$Q$21,2)=0),"",SUMIFS(DECKS!$D$2:$D$1201,DECKS!$A$2:$A$1201,INDEX(_LEITURA!$P$2:$P$21,2),DECKS!$B$2:$B$1201,$A640))</f>
        <v/>
      </c>
      <c r="M640" s="19" t="str">
        <f aca="false">IF(OR($A640="",INDEX(_LEITURA!$Q$2:$Q$21,3)=0),"",SUMIFS(DECKS!$D$2:$D$1201,DECKS!$A$2:$A$1201,INDEX(_LEITURA!$P$2:$P$21,3),DECKS!$B$2:$B$1201,$A640))</f>
        <v/>
      </c>
      <c r="N640" s="19" t="str">
        <f aca="false">IF(OR($A640="",INDEX(_LEITURA!$Q$2:$Q$21,4)=0),"",SUMIFS(DECKS!$D$2:$D$1201,DECKS!$A$2:$A$1201,INDEX(_LEITURA!$P$2:$P$21,4),DECKS!$B$2:$B$1201,$A640))</f>
        <v/>
      </c>
      <c r="O640" s="19" t="str">
        <f aca="false">IF(OR($A640="",INDEX(_LEITURA!$Q$2:$Q$21,5)=0),"",SUMIFS(DECKS!$D$2:$D$1201,DECKS!$A$2:$A$1201,INDEX(_LEITURA!$P$2:$P$21,5),DECKS!$B$2:$B$1201,$A640))</f>
        <v/>
      </c>
      <c r="P640" s="19" t="str">
        <f aca="false">IF(OR($A640="",INDEX(_LEITURA!$Q$2:$Q$21,6)=0),"",SUMIFS(DECKS!$D$2:$D$1201,DECKS!$A$2:$A$1201,INDEX(_LEITURA!$P$2:$P$21,6),DECKS!$B$2:$B$1201,$A640))</f>
        <v/>
      </c>
      <c r="Q640" s="19" t="str">
        <f aca="false">IF(OR($A640="",INDEX(_LEITURA!$Q$2:$Q$21,7)=0),"",SUMIFS(DECKS!$D$2:$D$1201,DECKS!$A$2:$A$1201,INDEX(_LEITURA!$P$2:$P$21,7),DECKS!$B$2:$B$1201,$A640))</f>
        <v/>
      </c>
      <c r="R640" s="19" t="str">
        <f aca="false">IF(OR($A640="",INDEX(_LEITURA!$Q$2:$Q$21,8)=0),"",SUMIFS(DECKS!$D$2:$D$1201,DECKS!$A$2:$A$1201,INDEX(_LEITURA!$P$2:$P$21,8),DECKS!$B$2:$B$1201,$A640))</f>
        <v/>
      </c>
      <c r="S640" s="19" t="str">
        <f aca="false">IF(OR($A640="",INDEX(_LEITURA!$Q$2:$Q$21,9)=0),"",SUMIFS(DECKS!$D$2:$D$1201,DECKS!$A$2:$A$1201,INDEX(_LEITURA!$P$2:$P$21,9),DECKS!$B$2:$B$1201,$A640))</f>
        <v/>
      </c>
      <c r="T640" s="19" t="str">
        <f aca="false">IF(OR($A640="",INDEX(_LEITURA!$Q$2:$Q$21,10)=0),"",SUMIFS(DECKS!$D$2:$D$1201,DECKS!$A$2:$A$1201,INDEX(_LEITURA!$P$2:$P$21,10),DECKS!$B$2:$B$1201,$A640))</f>
        <v/>
      </c>
      <c r="U640" s="19" t="str">
        <f aca="false">IF(OR($A640="",INDEX(_LEITURA!$Q$2:$Q$21,11)=0),"",SUMIFS(DECKS!$D$2:$D$1201,DECKS!$A$2:$A$1201,INDEX(_LEITURA!$P$2:$P$21,11),DECKS!$B$2:$B$1201,$A640))</f>
        <v/>
      </c>
      <c r="V640" s="19" t="str">
        <f aca="false">IF(OR($A640="",INDEX(_LEITURA!$Q$2:$Q$21,12)=0),"",SUMIFS(DECKS!$D$2:$D$1201,DECKS!$A$2:$A$1201,INDEX(_LEITURA!$P$2:$P$21,12),DECKS!$B$2:$B$1201,$A640))</f>
        <v/>
      </c>
      <c r="W640" s="19" t="str">
        <f aca="false">IF(OR($A640="",INDEX(_LEITURA!$Q$2:$Q$21,13)=0),"",SUMIFS(DECKS!$D$2:$D$1201,DECKS!$A$2:$A$1201,INDEX(_LEITURA!$P$2:$P$21,13),DECKS!$B$2:$B$1201,$A640))</f>
        <v/>
      </c>
      <c r="X640" s="19" t="str">
        <f aca="false">IF(OR($A640="",INDEX(_LEITURA!$Q$2:$Q$21,14)=0),"",SUMIFS(DECKS!$D$2:$D$1201,DECKS!$A$2:$A$1201,INDEX(_LEITURA!$P$2:$P$21,14),DECKS!$B$2:$B$1201,$A640))</f>
        <v/>
      </c>
      <c r="Y640" s="19" t="str">
        <f aca="false">IF(OR($A640="",INDEX(_LEITURA!$Q$2:$Q$21,15)=0),"",SUMIFS(DECKS!$D$2:$D$1201,DECKS!$A$2:$A$1201,INDEX(_LEITURA!$P$2:$P$21,15),DECKS!$B$2:$B$1201,$A640))</f>
        <v/>
      </c>
      <c r="Z640" s="19" t="str">
        <f aca="false">IF(OR($A640="",INDEX(_LEITURA!$Q$2:$Q$21,16)=0),"",SUMIFS(DECKS!$D$2:$D$1201,DECKS!$A$2:$A$1201,INDEX(_LEITURA!$P$2:$P$21,16),DECKS!$B$2:$B$1201,$A640))</f>
        <v/>
      </c>
      <c r="AA640" s="19" t="str">
        <f aca="false">IF(OR($A640="",INDEX(_LEITURA!$Q$2:$Q$21,17)=0),"",SUMIFS(DECKS!$D$2:$D$1201,DECKS!$A$2:$A$1201,INDEX(_LEITURA!$P$2:$P$21,17),DECKS!$B$2:$B$1201,$A640))</f>
        <v/>
      </c>
      <c r="AB640" s="19" t="str">
        <f aca="false">IF(OR($A640="",INDEX(_LEITURA!$Q$2:$Q$21,18)=0),"",SUMIFS(DECKS!$D$2:$D$1201,DECKS!$A$2:$A$1201,INDEX(_LEITURA!$P$2:$P$21,18),DECKS!$B$2:$B$1201,$A640))</f>
        <v/>
      </c>
      <c r="AC640" s="19" t="str">
        <f aca="false">IF(OR($A640="",INDEX(_LEITURA!$Q$2:$Q$21,19)=0),"",SUMIFS(DECKS!$D$2:$D$1201,DECKS!$A$2:$A$1201,INDEX(_LEITURA!$P$2:$P$21,19),DECKS!$B$2:$B$1201,$A640))</f>
        <v/>
      </c>
      <c r="AD640" s="19" t="str">
        <f aca="false">IF(OR($A640="",INDEX(_LEITURA!$Q$2:$Q$21,20)=0),"",SUMIFS(DECKS!$D$2:$D$1201,DECKS!$A$2:$A$1201,INDEX(_LEITURA!$P$2:$P$21,20),DECKS!$B$2:$B$1201,$A640))</f>
        <v/>
      </c>
      <c r="AE640" s="16" t="str">
        <f aca="false">IF(N(E640)&gt;0,MAX(AE$1:AE639)+1,"")</f>
        <v/>
      </c>
      <c r="AF640" s="11" t="str">
        <f aca="false">IF(A640="","",IFERROR(LEFT(A640,FIND("-",A640)-1),A640))</f>
        <v/>
      </c>
      <c r="AG640" s="11" t="str">
        <f aca="false">IF(AF640="","",IF(ISNUMBER(--MID(AF640,1,1)),0,IF(ISNUMBER(--MID(AF640,2,1)),1,IF(ISNUMBER(--MID(AF640,3,1)),2,IF(ISNUMBER(--MID(AF640,4,1)),3,MIN(LEN(AF640),4))))))</f>
        <v/>
      </c>
      <c r="AH640" s="11" t="str">
        <f aca="false">IF(A640="","",LEFT(AF640,AG640)&amp;REPT("0",4-AG640)&amp;RIGHT("000"&amp;IFERROR(VALUE(MID(AF640,AG640+1,9)),0),3)&amp;RIGHT("0000"&amp;IFERROR(VALUE(MID(A640,FIND("-",A640)+1,9)),0),4))</f>
        <v/>
      </c>
      <c r="AI640" s="11" t="str">
        <f aca="false">IF(OR(A640="",N(E640)&lt;=0),"",IF('FALTAS GERAL'!$M$1="Código","K"&amp;AH640&amp;RIGHT("00000"&amp;ROW(),5),IF('FALTAS GERAL'!$M$1="Nome","K"&amp;UPPER(SUBSTITUTE(SUBSTITUTE(SUBSTITUTE(B640,"*",""),"?",""),"~",""))&amp;"0"&amp;AH640&amp;RIGHT("00000"&amp;ROW(),5),IF('FALTAS GERAL'!$M$1="Falta (maior primeiro)","K"&amp;RIGHT("0000"&amp;(9999-E640),4)&amp;AH640&amp;RIGHT("00000"&amp;ROW(),5),IF('FALTAS GERAL'!$M$1="Nº de decks (maior primeiro)","K"&amp;RIGHT("00"&amp;(99-N(G640)),2)&amp;AH640&amp;RIGHT("00000"&amp;ROW(),5),"K"&amp;RIGHT("00000"&amp;ROW(),5))))))</f>
        <v/>
      </c>
      <c r="AJ640" s="11" t="str">
        <f aca="false">IF(AI640="","",COUNTIFS($AI$2:$AI$801,"&lt;"&amp;AI640,$E$2:$E$801,"&gt;0")+1)</f>
        <v/>
      </c>
      <c r="AK640" s="11" t="str">
        <f aca="false">IF(OR(A640="",N(E640)&lt;=0),"",COUNTIFS($AH$2:$AH$801,"&lt;"&amp;AH640,$E$2:$E$801,"&gt;0")+COUNTIFS($AH$2:AH640,AH640,$E$2:E640,"&gt;0"))</f>
        <v/>
      </c>
    </row>
    <row r="641" customFormat="false" ht="15" hidden="false" customHeight="false" outlineLevel="0" collapsed="false">
      <c r="A641" s="11" t="str">
        <f aca="false">IF(INVENTÁRIO!A641="","",INVENTÁRIO!A641)</f>
        <v/>
      </c>
      <c r="B641" s="11" t="str">
        <f aca="false">IF(A641="","",INVENTÁRIO!B641)</f>
        <v/>
      </c>
      <c r="C641" s="16" t="str">
        <f aca="false">IF(A641="","",INVENTÁRIO!C641)</f>
        <v/>
      </c>
      <c r="D641" s="14" t="str">
        <f aca="false">IF(A641="","",MAX(K641:AD641))</f>
        <v/>
      </c>
      <c r="E641" s="14" t="str">
        <f aca="false">IF(A641="","",MAX(0,D641-C641))</f>
        <v/>
      </c>
      <c r="F641" s="16" t="str">
        <f aca="false">IF(A641="","",IF(D641=0,"Fora dos decks",IF(E641=0,"Completo","Falta")))</f>
        <v/>
      </c>
      <c r="G641" s="16" t="str">
        <f aca="false">IF(A641="","",COUNTIF(K641:AD641,"&gt;0"))</f>
        <v/>
      </c>
      <c r="H641" s="16" t="str">
        <f aca="false">IF(A641="","",IF(G641&gt;1,"Sim",""))</f>
        <v/>
      </c>
      <c r="I641" s="18" t="str">
        <f aca="false">IF(A641="","",SUMIFS(DECKS!$D$2:$D$1201,DECKS!$B$2:$B$1201,A641))</f>
        <v/>
      </c>
      <c r="J641" s="18" t="str">
        <f aca="false">IF(A641="","",MAX(0,I641-C641))</f>
        <v/>
      </c>
      <c r="K641" s="19" t="str">
        <f aca="false">IF(OR($A641="",INDEX(_LEITURA!$Q$2:$Q$21,1)=0),"",SUMIFS(DECKS!$D$2:$D$1201,DECKS!$A$2:$A$1201,INDEX(_LEITURA!$P$2:$P$21,1),DECKS!$B$2:$B$1201,$A641))</f>
        <v/>
      </c>
      <c r="L641" s="19" t="str">
        <f aca="false">IF(OR($A641="",INDEX(_LEITURA!$Q$2:$Q$21,2)=0),"",SUMIFS(DECKS!$D$2:$D$1201,DECKS!$A$2:$A$1201,INDEX(_LEITURA!$P$2:$P$21,2),DECKS!$B$2:$B$1201,$A641))</f>
        <v/>
      </c>
      <c r="M641" s="19" t="str">
        <f aca="false">IF(OR($A641="",INDEX(_LEITURA!$Q$2:$Q$21,3)=0),"",SUMIFS(DECKS!$D$2:$D$1201,DECKS!$A$2:$A$1201,INDEX(_LEITURA!$P$2:$P$21,3),DECKS!$B$2:$B$1201,$A641))</f>
        <v/>
      </c>
      <c r="N641" s="19" t="str">
        <f aca="false">IF(OR($A641="",INDEX(_LEITURA!$Q$2:$Q$21,4)=0),"",SUMIFS(DECKS!$D$2:$D$1201,DECKS!$A$2:$A$1201,INDEX(_LEITURA!$P$2:$P$21,4),DECKS!$B$2:$B$1201,$A641))</f>
        <v/>
      </c>
      <c r="O641" s="19" t="str">
        <f aca="false">IF(OR($A641="",INDEX(_LEITURA!$Q$2:$Q$21,5)=0),"",SUMIFS(DECKS!$D$2:$D$1201,DECKS!$A$2:$A$1201,INDEX(_LEITURA!$P$2:$P$21,5),DECKS!$B$2:$B$1201,$A641))</f>
        <v/>
      </c>
      <c r="P641" s="19" t="str">
        <f aca="false">IF(OR($A641="",INDEX(_LEITURA!$Q$2:$Q$21,6)=0),"",SUMIFS(DECKS!$D$2:$D$1201,DECKS!$A$2:$A$1201,INDEX(_LEITURA!$P$2:$P$21,6),DECKS!$B$2:$B$1201,$A641))</f>
        <v/>
      </c>
      <c r="Q641" s="19" t="str">
        <f aca="false">IF(OR($A641="",INDEX(_LEITURA!$Q$2:$Q$21,7)=0),"",SUMIFS(DECKS!$D$2:$D$1201,DECKS!$A$2:$A$1201,INDEX(_LEITURA!$P$2:$P$21,7),DECKS!$B$2:$B$1201,$A641))</f>
        <v/>
      </c>
      <c r="R641" s="19" t="str">
        <f aca="false">IF(OR($A641="",INDEX(_LEITURA!$Q$2:$Q$21,8)=0),"",SUMIFS(DECKS!$D$2:$D$1201,DECKS!$A$2:$A$1201,INDEX(_LEITURA!$P$2:$P$21,8),DECKS!$B$2:$B$1201,$A641))</f>
        <v/>
      </c>
      <c r="S641" s="19" t="str">
        <f aca="false">IF(OR($A641="",INDEX(_LEITURA!$Q$2:$Q$21,9)=0),"",SUMIFS(DECKS!$D$2:$D$1201,DECKS!$A$2:$A$1201,INDEX(_LEITURA!$P$2:$P$21,9),DECKS!$B$2:$B$1201,$A641))</f>
        <v/>
      </c>
      <c r="T641" s="19" t="str">
        <f aca="false">IF(OR($A641="",INDEX(_LEITURA!$Q$2:$Q$21,10)=0),"",SUMIFS(DECKS!$D$2:$D$1201,DECKS!$A$2:$A$1201,INDEX(_LEITURA!$P$2:$P$21,10),DECKS!$B$2:$B$1201,$A641))</f>
        <v/>
      </c>
      <c r="U641" s="19" t="str">
        <f aca="false">IF(OR($A641="",INDEX(_LEITURA!$Q$2:$Q$21,11)=0),"",SUMIFS(DECKS!$D$2:$D$1201,DECKS!$A$2:$A$1201,INDEX(_LEITURA!$P$2:$P$21,11),DECKS!$B$2:$B$1201,$A641))</f>
        <v/>
      </c>
      <c r="V641" s="19" t="str">
        <f aca="false">IF(OR($A641="",INDEX(_LEITURA!$Q$2:$Q$21,12)=0),"",SUMIFS(DECKS!$D$2:$D$1201,DECKS!$A$2:$A$1201,INDEX(_LEITURA!$P$2:$P$21,12),DECKS!$B$2:$B$1201,$A641))</f>
        <v/>
      </c>
      <c r="W641" s="19" t="str">
        <f aca="false">IF(OR($A641="",INDEX(_LEITURA!$Q$2:$Q$21,13)=0),"",SUMIFS(DECKS!$D$2:$D$1201,DECKS!$A$2:$A$1201,INDEX(_LEITURA!$P$2:$P$21,13),DECKS!$B$2:$B$1201,$A641))</f>
        <v/>
      </c>
      <c r="X641" s="19" t="str">
        <f aca="false">IF(OR($A641="",INDEX(_LEITURA!$Q$2:$Q$21,14)=0),"",SUMIFS(DECKS!$D$2:$D$1201,DECKS!$A$2:$A$1201,INDEX(_LEITURA!$P$2:$P$21,14),DECKS!$B$2:$B$1201,$A641))</f>
        <v/>
      </c>
      <c r="Y641" s="19" t="str">
        <f aca="false">IF(OR($A641="",INDEX(_LEITURA!$Q$2:$Q$21,15)=0),"",SUMIFS(DECKS!$D$2:$D$1201,DECKS!$A$2:$A$1201,INDEX(_LEITURA!$P$2:$P$21,15),DECKS!$B$2:$B$1201,$A641))</f>
        <v/>
      </c>
      <c r="Z641" s="19" t="str">
        <f aca="false">IF(OR($A641="",INDEX(_LEITURA!$Q$2:$Q$21,16)=0),"",SUMIFS(DECKS!$D$2:$D$1201,DECKS!$A$2:$A$1201,INDEX(_LEITURA!$P$2:$P$21,16),DECKS!$B$2:$B$1201,$A641))</f>
        <v/>
      </c>
      <c r="AA641" s="19" t="str">
        <f aca="false">IF(OR($A641="",INDEX(_LEITURA!$Q$2:$Q$21,17)=0),"",SUMIFS(DECKS!$D$2:$D$1201,DECKS!$A$2:$A$1201,INDEX(_LEITURA!$P$2:$P$21,17),DECKS!$B$2:$B$1201,$A641))</f>
        <v/>
      </c>
      <c r="AB641" s="19" t="str">
        <f aca="false">IF(OR($A641="",INDEX(_LEITURA!$Q$2:$Q$21,18)=0),"",SUMIFS(DECKS!$D$2:$D$1201,DECKS!$A$2:$A$1201,INDEX(_LEITURA!$P$2:$P$21,18),DECKS!$B$2:$B$1201,$A641))</f>
        <v/>
      </c>
      <c r="AC641" s="19" t="str">
        <f aca="false">IF(OR($A641="",INDEX(_LEITURA!$Q$2:$Q$21,19)=0),"",SUMIFS(DECKS!$D$2:$D$1201,DECKS!$A$2:$A$1201,INDEX(_LEITURA!$P$2:$P$21,19),DECKS!$B$2:$B$1201,$A641))</f>
        <v/>
      </c>
      <c r="AD641" s="19" t="str">
        <f aca="false">IF(OR($A641="",INDEX(_LEITURA!$Q$2:$Q$21,20)=0),"",SUMIFS(DECKS!$D$2:$D$1201,DECKS!$A$2:$A$1201,INDEX(_LEITURA!$P$2:$P$21,20),DECKS!$B$2:$B$1201,$A641))</f>
        <v/>
      </c>
      <c r="AE641" s="16" t="str">
        <f aca="false">IF(N(E641)&gt;0,MAX(AE$1:AE640)+1,"")</f>
        <v/>
      </c>
      <c r="AF641" s="11" t="str">
        <f aca="false">IF(A641="","",IFERROR(LEFT(A641,FIND("-",A641)-1),A641))</f>
        <v/>
      </c>
      <c r="AG641" s="11" t="str">
        <f aca="false">IF(AF641="","",IF(ISNUMBER(--MID(AF641,1,1)),0,IF(ISNUMBER(--MID(AF641,2,1)),1,IF(ISNUMBER(--MID(AF641,3,1)),2,IF(ISNUMBER(--MID(AF641,4,1)),3,MIN(LEN(AF641),4))))))</f>
        <v/>
      </c>
      <c r="AH641" s="11" t="str">
        <f aca="false">IF(A641="","",LEFT(AF641,AG641)&amp;REPT("0",4-AG641)&amp;RIGHT("000"&amp;IFERROR(VALUE(MID(AF641,AG641+1,9)),0),3)&amp;RIGHT("0000"&amp;IFERROR(VALUE(MID(A641,FIND("-",A641)+1,9)),0),4))</f>
        <v/>
      </c>
      <c r="AI641" s="11" t="str">
        <f aca="false">IF(OR(A641="",N(E641)&lt;=0),"",IF('FALTAS GERAL'!$M$1="Código","K"&amp;AH641&amp;RIGHT("00000"&amp;ROW(),5),IF('FALTAS GERAL'!$M$1="Nome","K"&amp;UPPER(SUBSTITUTE(SUBSTITUTE(SUBSTITUTE(B641,"*",""),"?",""),"~",""))&amp;"0"&amp;AH641&amp;RIGHT("00000"&amp;ROW(),5),IF('FALTAS GERAL'!$M$1="Falta (maior primeiro)","K"&amp;RIGHT("0000"&amp;(9999-E641),4)&amp;AH641&amp;RIGHT("00000"&amp;ROW(),5),IF('FALTAS GERAL'!$M$1="Nº de decks (maior primeiro)","K"&amp;RIGHT("00"&amp;(99-N(G641)),2)&amp;AH641&amp;RIGHT("00000"&amp;ROW(),5),"K"&amp;RIGHT("00000"&amp;ROW(),5))))))</f>
        <v/>
      </c>
      <c r="AJ641" s="11" t="str">
        <f aca="false">IF(AI641="","",COUNTIFS($AI$2:$AI$801,"&lt;"&amp;AI641,$E$2:$E$801,"&gt;0")+1)</f>
        <v/>
      </c>
      <c r="AK641" s="11" t="str">
        <f aca="false">IF(OR(A641="",N(E641)&lt;=0),"",COUNTIFS($AH$2:$AH$801,"&lt;"&amp;AH641,$E$2:$E$801,"&gt;0")+COUNTIFS($AH$2:AH641,AH641,$E$2:E641,"&gt;0"))</f>
        <v/>
      </c>
    </row>
    <row r="642" customFormat="false" ht="15" hidden="false" customHeight="false" outlineLevel="0" collapsed="false">
      <c r="A642" s="11" t="str">
        <f aca="false">IF(INVENTÁRIO!A642="","",INVENTÁRIO!A642)</f>
        <v/>
      </c>
      <c r="B642" s="11" t="str">
        <f aca="false">IF(A642="","",INVENTÁRIO!B642)</f>
        <v/>
      </c>
      <c r="C642" s="16" t="str">
        <f aca="false">IF(A642="","",INVENTÁRIO!C642)</f>
        <v/>
      </c>
      <c r="D642" s="14" t="str">
        <f aca="false">IF(A642="","",MAX(K642:AD642))</f>
        <v/>
      </c>
      <c r="E642" s="14" t="str">
        <f aca="false">IF(A642="","",MAX(0,D642-C642))</f>
        <v/>
      </c>
      <c r="F642" s="16" t="str">
        <f aca="false">IF(A642="","",IF(D642=0,"Fora dos decks",IF(E642=0,"Completo","Falta")))</f>
        <v/>
      </c>
      <c r="G642" s="16" t="str">
        <f aca="false">IF(A642="","",COUNTIF(K642:AD642,"&gt;0"))</f>
        <v/>
      </c>
      <c r="H642" s="16" t="str">
        <f aca="false">IF(A642="","",IF(G642&gt;1,"Sim",""))</f>
        <v/>
      </c>
      <c r="I642" s="18" t="str">
        <f aca="false">IF(A642="","",SUMIFS(DECKS!$D$2:$D$1201,DECKS!$B$2:$B$1201,A642))</f>
        <v/>
      </c>
      <c r="J642" s="18" t="str">
        <f aca="false">IF(A642="","",MAX(0,I642-C642))</f>
        <v/>
      </c>
      <c r="K642" s="19" t="str">
        <f aca="false">IF(OR($A642="",INDEX(_LEITURA!$Q$2:$Q$21,1)=0),"",SUMIFS(DECKS!$D$2:$D$1201,DECKS!$A$2:$A$1201,INDEX(_LEITURA!$P$2:$P$21,1),DECKS!$B$2:$B$1201,$A642))</f>
        <v/>
      </c>
      <c r="L642" s="19" t="str">
        <f aca="false">IF(OR($A642="",INDEX(_LEITURA!$Q$2:$Q$21,2)=0),"",SUMIFS(DECKS!$D$2:$D$1201,DECKS!$A$2:$A$1201,INDEX(_LEITURA!$P$2:$P$21,2),DECKS!$B$2:$B$1201,$A642))</f>
        <v/>
      </c>
      <c r="M642" s="19" t="str">
        <f aca="false">IF(OR($A642="",INDEX(_LEITURA!$Q$2:$Q$21,3)=0),"",SUMIFS(DECKS!$D$2:$D$1201,DECKS!$A$2:$A$1201,INDEX(_LEITURA!$P$2:$P$21,3),DECKS!$B$2:$B$1201,$A642))</f>
        <v/>
      </c>
      <c r="N642" s="19" t="str">
        <f aca="false">IF(OR($A642="",INDEX(_LEITURA!$Q$2:$Q$21,4)=0),"",SUMIFS(DECKS!$D$2:$D$1201,DECKS!$A$2:$A$1201,INDEX(_LEITURA!$P$2:$P$21,4),DECKS!$B$2:$B$1201,$A642))</f>
        <v/>
      </c>
      <c r="O642" s="19" t="str">
        <f aca="false">IF(OR($A642="",INDEX(_LEITURA!$Q$2:$Q$21,5)=0),"",SUMIFS(DECKS!$D$2:$D$1201,DECKS!$A$2:$A$1201,INDEX(_LEITURA!$P$2:$P$21,5),DECKS!$B$2:$B$1201,$A642))</f>
        <v/>
      </c>
      <c r="P642" s="19" t="str">
        <f aca="false">IF(OR($A642="",INDEX(_LEITURA!$Q$2:$Q$21,6)=0),"",SUMIFS(DECKS!$D$2:$D$1201,DECKS!$A$2:$A$1201,INDEX(_LEITURA!$P$2:$P$21,6),DECKS!$B$2:$B$1201,$A642))</f>
        <v/>
      </c>
      <c r="Q642" s="19" t="str">
        <f aca="false">IF(OR($A642="",INDEX(_LEITURA!$Q$2:$Q$21,7)=0),"",SUMIFS(DECKS!$D$2:$D$1201,DECKS!$A$2:$A$1201,INDEX(_LEITURA!$P$2:$P$21,7),DECKS!$B$2:$B$1201,$A642))</f>
        <v/>
      </c>
      <c r="R642" s="19" t="str">
        <f aca="false">IF(OR($A642="",INDEX(_LEITURA!$Q$2:$Q$21,8)=0),"",SUMIFS(DECKS!$D$2:$D$1201,DECKS!$A$2:$A$1201,INDEX(_LEITURA!$P$2:$P$21,8),DECKS!$B$2:$B$1201,$A642))</f>
        <v/>
      </c>
      <c r="S642" s="19" t="str">
        <f aca="false">IF(OR($A642="",INDEX(_LEITURA!$Q$2:$Q$21,9)=0),"",SUMIFS(DECKS!$D$2:$D$1201,DECKS!$A$2:$A$1201,INDEX(_LEITURA!$P$2:$P$21,9),DECKS!$B$2:$B$1201,$A642))</f>
        <v/>
      </c>
      <c r="T642" s="19" t="str">
        <f aca="false">IF(OR($A642="",INDEX(_LEITURA!$Q$2:$Q$21,10)=0),"",SUMIFS(DECKS!$D$2:$D$1201,DECKS!$A$2:$A$1201,INDEX(_LEITURA!$P$2:$P$21,10),DECKS!$B$2:$B$1201,$A642))</f>
        <v/>
      </c>
      <c r="U642" s="19" t="str">
        <f aca="false">IF(OR($A642="",INDEX(_LEITURA!$Q$2:$Q$21,11)=0),"",SUMIFS(DECKS!$D$2:$D$1201,DECKS!$A$2:$A$1201,INDEX(_LEITURA!$P$2:$P$21,11),DECKS!$B$2:$B$1201,$A642))</f>
        <v/>
      </c>
      <c r="V642" s="19" t="str">
        <f aca="false">IF(OR($A642="",INDEX(_LEITURA!$Q$2:$Q$21,12)=0),"",SUMIFS(DECKS!$D$2:$D$1201,DECKS!$A$2:$A$1201,INDEX(_LEITURA!$P$2:$P$21,12),DECKS!$B$2:$B$1201,$A642))</f>
        <v/>
      </c>
      <c r="W642" s="19" t="str">
        <f aca="false">IF(OR($A642="",INDEX(_LEITURA!$Q$2:$Q$21,13)=0),"",SUMIFS(DECKS!$D$2:$D$1201,DECKS!$A$2:$A$1201,INDEX(_LEITURA!$P$2:$P$21,13),DECKS!$B$2:$B$1201,$A642))</f>
        <v/>
      </c>
      <c r="X642" s="19" t="str">
        <f aca="false">IF(OR($A642="",INDEX(_LEITURA!$Q$2:$Q$21,14)=0),"",SUMIFS(DECKS!$D$2:$D$1201,DECKS!$A$2:$A$1201,INDEX(_LEITURA!$P$2:$P$21,14),DECKS!$B$2:$B$1201,$A642))</f>
        <v/>
      </c>
      <c r="Y642" s="19" t="str">
        <f aca="false">IF(OR($A642="",INDEX(_LEITURA!$Q$2:$Q$21,15)=0),"",SUMIFS(DECKS!$D$2:$D$1201,DECKS!$A$2:$A$1201,INDEX(_LEITURA!$P$2:$P$21,15),DECKS!$B$2:$B$1201,$A642))</f>
        <v/>
      </c>
      <c r="Z642" s="19" t="str">
        <f aca="false">IF(OR($A642="",INDEX(_LEITURA!$Q$2:$Q$21,16)=0),"",SUMIFS(DECKS!$D$2:$D$1201,DECKS!$A$2:$A$1201,INDEX(_LEITURA!$P$2:$P$21,16),DECKS!$B$2:$B$1201,$A642))</f>
        <v/>
      </c>
      <c r="AA642" s="19" t="str">
        <f aca="false">IF(OR($A642="",INDEX(_LEITURA!$Q$2:$Q$21,17)=0),"",SUMIFS(DECKS!$D$2:$D$1201,DECKS!$A$2:$A$1201,INDEX(_LEITURA!$P$2:$P$21,17),DECKS!$B$2:$B$1201,$A642))</f>
        <v/>
      </c>
      <c r="AB642" s="19" t="str">
        <f aca="false">IF(OR($A642="",INDEX(_LEITURA!$Q$2:$Q$21,18)=0),"",SUMIFS(DECKS!$D$2:$D$1201,DECKS!$A$2:$A$1201,INDEX(_LEITURA!$P$2:$P$21,18),DECKS!$B$2:$B$1201,$A642))</f>
        <v/>
      </c>
      <c r="AC642" s="19" t="str">
        <f aca="false">IF(OR($A642="",INDEX(_LEITURA!$Q$2:$Q$21,19)=0),"",SUMIFS(DECKS!$D$2:$D$1201,DECKS!$A$2:$A$1201,INDEX(_LEITURA!$P$2:$P$21,19),DECKS!$B$2:$B$1201,$A642))</f>
        <v/>
      </c>
      <c r="AD642" s="19" t="str">
        <f aca="false">IF(OR($A642="",INDEX(_LEITURA!$Q$2:$Q$21,20)=0),"",SUMIFS(DECKS!$D$2:$D$1201,DECKS!$A$2:$A$1201,INDEX(_LEITURA!$P$2:$P$21,20),DECKS!$B$2:$B$1201,$A642))</f>
        <v/>
      </c>
      <c r="AE642" s="16" t="str">
        <f aca="false">IF(N(E642)&gt;0,MAX(AE$1:AE641)+1,"")</f>
        <v/>
      </c>
      <c r="AF642" s="11" t="str">
        <f aca="false">IF(A642="","",IFERROR(LEFT(A642,FIND("-",A642)-1),A642))</f>
        <v/>
      </c>
      <c r="AG642" s="11" t="str">
        <f aca="false">IF(AF642="","",IF(ISNUMBER(--MID(AF642,1,1)),0,IF(ISNUMBER(--MID(AF642,2,1)),1,IF(ISNUMBER(--MID(AF642,3,1)),2,IF(ISNUMBER(--MID(AF642,4,1)),3,MIN(LEN(AF642),4))))))</f>
        <v/>
      </c>
      <c r="AH642" s="11" t="str">
        <f aca="false">IF(A642="","",LEFT(AF642,AG642)&amp;REPT("0",4-AG642)&amp;RIGHT("000"&amp;IFERROR(VALUE(MID(AF642,AG642+1,9)),0),3)&amp;RIGHT("0000"&amp;IFERROR(VALUE(MID(A642,FIND("-",A642)+1,9)),0),4))</f>
        <v/>
      </c>
      <c r="AI642" s="11" t="str">
        <f aca="false">IF(OR(A642="",N(E642)&lt;=0),"",IF('FALTAS GERAL'!$M$1="Código","K"&amp;AH642&amp;RIGHT("00000"&amp;ROW(),5),IF('FALTAS GERAL'!$M$1="Nome","K"&amp;UPPER(SUBSTITUTE(SUBSTITUTE(SUBSTITUTE(B642,"*",""),"?",""),"~",""))&amp;"0"&amp;AH642&amp;RIGHT("00000"&amp;ROW(),5),IF('FALTAS GERAL'!$M$1="Falta (maior primeiro)","K"&amp;RIGHT("0000"&amp;(9999-E642),4)&amp;AH642&amp;RIGHT("00000"&amp;ROW(),5),IF('FALTAS GERAL'!$M$1="Nº de decks (maior primeiro)","K"&amp;RIGHT("00"&amp;(99-N(G642)),2)&amp;AH642&amp;RIGHT("00000"&amp;ROW(),5),"K"&amp;RIGHT("00000"&amp;ROW(),5))))))</f>
        <v/>
      </c>
      <c r="AJ642" s="11" t="str">
        <f aca="false">IF(AI642="","",COUNTIFS($AI$2:$AI$801,"&lt;"&amp;AI642,$E$2:$E$801,"&gt;0")+1)</f>
        <v/>
      </c>
      <c r="AK642" s="11" t="str">
        <f aca="false">IF(OR(A642="",N(E642)&lt;=0),"",COUNTIFS($AH$2:$AH$801,"&lt;"&amp;AH642,$E$2:$E$801,"&gt;0")+COUNTIFS($AH$2:AH642,AH642,$E$2:E642,"&gt;0"))</f>
        <v/>
      </c>
    </row>
    <row r="643" customFormat="false" ht="15" hidden="false" customHeight="false" outlineLevel="0" collapsed="false">
      <c r="A643" s="11" t="str">
        <f aca="false">IF(INVENTÁRIO!A643="","",INVENTÁRIO!A643)</f>
        <v/>
      </c>
      <c r="B643" s="11" t="str">
        <f aca="false">IF(A643="","",INVENTÁRIO!B643)</f>
        <v/>
      </c>
      <c r="C643" s="16" t="str">
        <f aca="false">IF(A643="","",INVENTÁRIO!C643)</f>
        <v/>
      </c>
      <c r="D643" s="14" t="str">
        <f aca="false">IF(A643="","",MAX(K643:AD643))</f>
        <v/>
      </c>
      <c r="E643" s="14" t="str">
        <f aca="false">IF(A643="","",MAX(0,D643-C643))</f>
        <v/>
      </c>
      <c r="F643" s="16" t="str">
        <f aca="false">IF(A643="","",IF(D643=0,"Fora dos decks",IF(E643=0,"Completo","Falta")))</f>
        <v/>
      </c>
      <c r="G643" s="16" t="str">
        <f aca="false">IF(A643="","",COUNTIF(K643:AD643,"&gt;0"))</f>
        <v/>
      </c>
      <c r="H643" s="16" t="str">
        <f aca="false">IF(A643="","",IF(G643&gt;1,"Sim",""))</f>
        <v/>
      </c>
      <c r="I643" s="18" t="str">
        <f aca="false">IF(A643="","",SUMIFS(DECKS!$D$2:$D$1201,DECKS!$B$2:$B$1201,A643))</f>
        <v/>
      </c>
      <c r="J643" s="18" t="str">
        <f aca="false">IF(A643="","",MAX(0,I643-C643))</f>
        <v/>
      </c>
      <c r="K643" s="19" t="str">
        <f aca="false">IF(OR($A643="",INDEX(_LEITURA!$Q$2:$Q$21,1)=0),"",SUMIFS(DECKS!$D$2:$D$1201,DECKS!$A$2:$A$1201,INDEX(_LEITURA!$P$2:$P$21,1),DECKS!$B$2:$B$1201,$A643))</f>
        <v/>
      </c>
      <c r="L643" s="19" t="str">
        <f aca="false">IF(OR($A643="",INDEX(_LEITURA!$Q$2:$Q$21,2)=0),"",SUMIFS(DECKS!$D$2:$D$1201,DECKS!$A$2:$A$1201,INDEX(_LEITURA!$P$2:$P$21,2),DECKS!$B$2:$B$1201,$A643))</f>
        <v/>
      </c>
      <c r="M643" s="19" t="str">
        <f aca="false">IF(OR($A643="",INDEX(_LEITURA!$Q$2:$Q$21,3)=0),"",SUMIFS(DECKS!$D$2:$D$1201,DECKS!$A$2:$A$1201,INDEX(_LEITURA!$P$2:$P$21,3),DECKS!$B$2:$B$1201,$A643))</f>
        <v/>
      </c>
      <c r="N643" s="19" t="str">
        <f aca="false">IF(OR($A643="",INDEX(_LEITURA!$Q$2:$Q$21,4)=0),"",SUMIFS(DECKS!$D$2:$D$1201,DECKS!$A$2:$A$1201,INDEX(_LEITURA!$P$2:$P$21,4),DECKS!$B$2:$B$1201,$A643))</f>
        <v/>
      </c>
      <c r="O643" s="19" t="str">
        <f aca="false">IF(OR($A643="",INDEX(_LEITURA!$Q$2:$Q$21,5)=0),"",SUMIFS(DECKS!$D$2:$D$1201,DECKS!$A$2:$A$1201,INDEX(_LEITURA!$P$2:$P$21,5),DECKS!$B$2:$B$1201,$A643))</f>
        <v/>
      </c>
      <c r="P643" s="19" t="str">
        <f aca="false">IF(OR($A643="",INDEX(_LEITURA!$Q$2:$Q$21,6)=0),"",SUMIFS(DECKS!$D$2:$D$1201,DECKS!$A$2:$A$1201,INDEX(_LEITURA!$P$2:$P$21,6),DECKS!$B$2:$B$1201,$A643))</f>
        <v/>
      </c>
      <c r="Q643" s="19" t="str">
        <f aca="false">IF(OR($A643="",INDEX(_LEITURA!$Q$2:$Q$21,7)=0),"",SUMIFS(DECKS!$D$2:$D$1201,DECKS!$A$2:$A$1201,INDEX(_LEITURA!$P$2:$P$21,7),DECKS!$B$2:$B$1201,$A643))</f>
        <v/>
      </c>
      <c r="R643" s="19" t="str">
        <f aca="false">IF(OR($A643="",INDEX(_LEITURA!$Q$2:$Q$21,8)=0),"",SUMIFS(DECKS!$D$2:$D$1201,DECKS!$A$2:$A$1201,INDEX(_LEITURA!$P$2:$P$21,8),DECKS!$B$2:$B$1201,$A643))</f>
        <v/>
      </c>
      <c r="S643" s="19" t="str">
        <f aca="false">IF(OR($A643="",INDEX(_LEITURA!$Q$2:$Q$21,9)=0),"",SUMIFS(DECKS!$D$2:$D$1201,DECKS!$A$2:$A$1201,INDEX(_LEITURA!$P$2:$P$21,9),DECKS!$B$2:$B$1201,$A643))</f>
        <v/>
      </c>
      <c r="T643" s="19" t="str">
        <f aca="false">IF(OR($A643="",INDEX(_LEITURA!$Q$2:$Q$21,10)=0),"",SUMIFS(DECKS!$D$2:$D$1201,DECKS!$A$2:$A$1201,INDEX(_LEITURA!$P$2:$P$21,10),DECKS!$B$2:$B$1201,$A643))</f>
        <v/>
      </c>
      <c r="U643" s="19" t="str">
        <f aca="false">IF(OR($A643="",INDEX(_LEITURA!$Q$2:$Q$21,11)=0),"",SUMIFS(DECKS!$D$2:$D$1201,DECKS!$A$2:$A$1201,INDEX(_LEITURA!$P$2:$P$21,11),DECKS!$B$2:$B$1201,$A643))</f>
        <v/>
      </c>
      <c r="V643" s="19" t="str">
        <f aca="false">IF(OR($A643="",INDEX(_LEITURA!$Q$2:$Q$21,12)=0),"",SUMIFS(DECKS!$D$2:$D$1201,DECKS!$A$2:$A$1201,INDEX(_LEITURA!$P$2:$P$21,12),DECKS!$B$2:$B$1201,$A643))</f>
        <v/>
      </c>
      <c r="W643" s="19" t="str">
        <f aca="false">IF(OR($A643="",INDEX(_LEITURA!$Q$2:$Q$21,13)=0),"",SUMIFS(DECKS!$D$2:$D$1201,DECKS!$A$2:$A$1201,INDEX(_LEITURA!$P$2:$P$21,13),DECKS!$B$2:$B$1201,$A643))</f>
        <v/>
      </c>
      <c r="X643" s="19" t="str">
        <f aca="false">IF(OR($A643="",INDEX(_LEITURA!$Q$2:$Q$21,14)=0),"",SUMIFS(DECKS!$D$2:$D$1201,DECKS!$A$2:$A$1201,INDEX(_LEITURA!$P$2:$P$21,14),DECKS!$B$2:$B$1201,$A643))</f>
        <v/>
      </c>
      <c r="Y643" s="19" t="str">
        <f aca="false">IF(OR($A643="",INDEX(_LEITURA!$Q$2:$Q$21,15)=0),"",SUMIFS(DECKS!$D$2:$D$1201,DECKS!$A$2:$A$1201,INDEX(_LEITURA!$P$2:$P$21,15),DECKS!$B$2:$B$1201,$A643))</f>
        <v/>
      </c>
      <c r="Z643" s="19" t="str">
        <f aca="false">IF(OR($A643="",INDEX(_LEITURA!$Q$2:$Q$21,16)=0),"",SUMIFS(DECKS!$D$2:$D$1201,DECKS!$A$2:$A$1201,INDEX(_LEITURA!$P$2:$P$21,16),DECKS!$B$2:$B$1201,$A643))</f>
        <v/>
      </c>
      <c r="AA643" s="19" t="str">
        <f aca="false">IF(OR($A643="",INDEX(_LEITURA!$Q$2:$Q$21,17)=0),"",SUMIFS(DECKS!$D$2:$D$1201,DECKS!$A$2:$A$1201,INDEX(_LEITURA!$P$2:$P$21,17),DECKS!$B$2:$B$1201,$A643))</f>
        <v/>
      </c>
      <c r="AB643" s="19" t="str">
        <f aca="false">IF(OR($A643="",INDEX(_LEITURA!$Q$2:$Q$21,18)=0),"",SUMIFS(DECKS!$D$2:$D$1201,DECKS!$A$2:$A$1201,INDEX(_LEITURA!$P$2:$P$21,18),DECKS!$B$2:$B$1201,$A643))</f>
        <v/>
      </c>
      <c r="AC643" s="19" t="str">
        <f aca="false">IF(OR($A643="",INDEX(_LEITURA!$Q$2:$Q$21,19)=0),"",SUMIFS(DECKS!$D$2:$D$1201,DECKS!$A$2:$A$1201,INDEX(_LEITURA!$P$2:$P$21,19),DECKS!$B$2:$B$1201,$A643))</f>
        <v/>
      </c>
      <c r="AD643" s="19" t="str">
        <f aca="false">IF(OR($A643="",INDEX(_LEITURA!$Q$2:$Q$21,20)=0),"",SUMIFS(DECKS!$D$2:$D$1201,DECKS!$A$2:$A$1201,INDEX(_LEITURA!$P$2:$P$21,20),DECKS!$B$2:$B$1201,$A643))</f>
        <v/>
      </c>
      <c r="AE643" s="16" t="str">
        <f aca="false">IF(N(E643)&gt;0,MAX(AE$1:AE642)+1,"")</f>
        <v/>
      </c>
      <c r="AF643" s="11" t="str">
        <f aca="false">IF(A643="","",IFERROR(LEFT(A643,FIND("-",A643)-1),A643))</f>
        <v/>
      </c>
      <c r="AG643" s="11" t="str">
        <f aca="false">IF(AF643="","",IF(ISNUMBER(--MID(AF643,1,1)),0,IF(ISNUMBER(--MID(AF643,2,1)),1,IF(ISNUMBER(--MID(AF643,3,1)),2,IF(ISNUMBER(--MID(AF643,4,1)),3,MIN(LEN(AF643),4))))))</f>
        <v/>
      </c>
      <c r="AH643" s="11" t="str">
        <f aca="false">IF(A643="","",LEFT(AF643,AG643)&amp;REPT("0",4-AG643)&amp;RIGHT("000"&amp;IFERROR(VALUE(MID(AF643,AG643+1,9)),0),3)&amp;RIGHT("0000"&amp;IFERROR(VALUE(MID(A643,FIND("-",A643)+1,9)),0),4))</f>
        <v/>
      </c>
      <c r="AI643" s="11" t="str">
        <f aca="false">IF(OR(A643="",N(E643)&lt;=0),"",IF('FALTAS GERAL'!$M$1="Código","K"&amp;AH643&amp;RIGHT("00000"&amp;ROW(),5),IF('FALTAS GERAL'!$M$1="Nome","K"&amp;UPPER(SUBSTITUTE(SUBSTITUTE(SUBSTITUTE(B643,"*",""),"?",""),"~",""))&amp;"0"&amp;AH643&amp;RIGHT("00000"&amp;ROW(),5),IF('FALTAS GERAL'!$M$1="Falta (maior primeiro)","K"&amp;RIGHT("0000"&amp;(9999-E643),4)&amp;AH643&amp;RIGHT("00000"&amp;ROW(),5),IF('FALTAS GERAL'!$M$1="Nº de decks (maior primeiro)","K"&amp;RIGHT("00"&amp;(99-N(G643)),2)&amp;AH643&amp;RIGHT("00000"&amp;ROW(),5),"K"&amp;RIGHT("00000"&amp;ROW(),5))))))</f>
        <v/>
      </c>
      <c r="AJ643" s="11" t="str">
        <f aca="false">IF(AI643="","",COUNTIFS($AI$2:$AI$801,"&lt;"&amp;AI643,$E$2:$E$801,"&gt;0")+1)</f>
        <v/>
      </c>
      <c r="AK643" s="11" t="str">
        <f aca="false">IF(OR(A643="",N(E643)&lt;=0),"",COUNTIFS($AH$2:$AH$801,"&lt;"&amp;AH643,$E$2:$E$801,"&gt;0")+COUNTIFS($AH$2:AH643,AH643,$E$2:E643,"&gt;0"))</f>
        <v/>
      </c>
    </row>
    <row r="644" customFormat="false" ht="15" hidden="false" customHeight="false" outlineLevel="0" collapsed="false">
      <c r="A644" s="11" t="str">
        <f aca="false">IF(INVENTÁRIO!A644="","",INVENTÁRIO!A644)</f>
        <v/>
      </c>
      <c r="B644" s="11" t="str">
        <f aca="false">IF(A644="","",INVENTÁRIO!B644)</f>
        <v/>
      </c>
      <c r="C644" s="16" t="str">
        <f aca="false">IF(A644="","",INVENTÁRIO!C644)</f>
        <v/>
      </c>
      <c r="D644" s="14" t="str">
        <f aca="false">IF(A644="","",MAX(K644:AD644))</f>
        <v/>
      </c>
      <c r="E644" s="14" t="str">
        <f aca="false">IF(A644="","",MAX(0,D644-C644))</f>
        <v/>
      </c>
      <c r="F644" s="16" t="str">
        <f aca="false">IF(A644="","",IF(D644=0,"Fora dos decks",IF(E644=0,"Completo","Falta")))</f>
        <v/>
      </c>
      <c r="G644" s="16" t="str">
        <f aca="false">IF(A644="","",COUNTIF(K644:AD644,"&gt;0"))</f>
        <v/>
      </c>
      <c r="H644" s="16" t="str">
        <f aca="false">IF(A644="","",IF(G644&gt;1,"Sim",""))</f>
        <v/>
      </c>
      <c r="I644" s="18" t="str">
        <f aca="false">IF(A644="","",SUMIFS(DECKS!$D$2:$D$1201,DECKS!$B$2:$B$1201,A644))</f>
        <v/>
      </c>
      <c r="J644" s="18" t="str">
        <f aca="false">IF(A644="","",MAX(0,I644-C644))</f>
        <v/>
      </c>
      <c r="K644" s="19" t="str">
        <f aca="false">IF(OR($A644="",INDEX(_LEITURA!$Q$2:$Q$21,1)=0),"",SUMIFS(DECKS!$D$2:$D$1201,DECKS!$A$2:$A$1201,INDEX(_LEITURA!$P$2:$P$21,1),DECKS!$B$2:$B$1201,$A644))</f>
        <v/>
      </c>
      <c r="L644" s="19" t="str">
        <f aca="false">IF(OR($A644="",INDEX(_LEITURA!$Q$2:$Q$21,2)=0),"",SUMIFS(DECKS!$D$2:$D$1201,DECKS!$A$2:$A$1201,INDEX(_LEITURA!$P$2:$P$21,2),DECKS!$B$2:$B$1201,$A644))</f>
        <v/>
      </c>
      <c r="M644" s="19" t="str">
        <f aca="false">IF(OR($A644="",INDEX(_LEITURA!$Q$2:$Q$21,3)=0),"",SUMIFS(DECKS!$D$2:$D$1201,DECKS!$A$2:$A$1201,INDEX(_LEITURA!$P$2:$P$21,3),DECKS!$B$2:$B$1201,$A644))</f>
        <v/>
      </c>
      <c r="N644" s="19" t="str">
        <f aca="false">IF(OR($A644="",INDEX(_LEITURA!$Q$2:$Q$21,4)=0),"",SUMIFS(DECKS!$D$2:$D$1201,DECKS!$A$2:$A$1201,INDEX(_LEITURA!$P$2:$P$21,4),DECKS!$B$2:$B$1201,$A644))</f>
        <v/>
      </c>
      <c r="O644" s="19" t="str">
        <f aca="false">IF(OR($A644="",INDEX(_LEITURA!$Q$2:$Q$21,5)=0),"",SUMIFS(DECKS!$D$2:$D$1201,DECKS!$A$2:$A$1201,INDEX(_LEITURA!$P$2:$P$21,5),DECKS!$B$2:$B$1201,$A644))</f>
        <v/>
      </c>
      <c r="P644" s="19" t="str">
        <f aca="false">IF(OR($A644="",INDEX(_LEITURA!$Q$2:$Q$21,6)=0),"",SUMIFS(DECKS!$D$2:$D$1201,DECKS!$A$2:$A$1201,INDEX(_LEITURA!$P$2:$P$21,6),DECKS!$B$2:$B$1201,$A644))</f>
        <v/>
      </c>
      <c r="Q644" s="19" t="str">
        <f aca="false">IF(OR($A644="",INDEX(_LEITURA!$Q$2:$Q$21,7)=0),"",SUMIFS(DECKS!$D$2:$D$1201,DECKS!$A$2:$A$1201,INDEX(_LEITURA!$P$2:$P$21,7),DECKS!$B$2:$B$1201,$A644))</f>
        <v/>
      </c>
      <c r="R644" s="19" t="str">
        <f aca="false">IF(OR($A644="",INDEX(_LEITURA!$Q$2:$Q$21,8)=0),"",SUMIFS(DECKS!$D$2:$D$1201,DECKS!$A$2:$A$1201,INDEX(_LEITURA!$P$2:$P$21,8),DECKS!$B$2:$B$1201,$A644))</f>
        <v/>
      </c>
      <c r="S644" s="19" t="str">
        <f aca="false">IF(OR($A644="",INDEX(_LEITURA!$Q$2:$Q$21,9)=0),"",SUMIFS(DECKS!$D$2:$D$1201,DECKS!$A$2:$A$1201,INDEX(_LEITURA!$P$2:$P$21,9),DECKS!$B$2:$B$1201,$A644))</f>
        <v/>
      </c>
      <c r="T644" s="19" t="str">
        <f aca="false">IF(OR($A644="",INDEX(_LEITURA!$Q$2:$Q$21,10)=0),"",SUMIFS(DECKS!$D$2:$D$1201,DECKS!$A$2:$A$1201,INDEX(_LEITURA!$P$2:$P$21,10),DECKS!$B$2:$B$1201,$A644))</f>
        <v/>
      </c>
      <c r="U644" s="19" t="str">
        <f aca="false">IF(OR($A644="",INDEX(_LEITURA!$Q$2:$Q$21,11)=0),"",SUMIFS(DECKS!$D$2:$D$1201,DECKS!$A$2:$A$1201,INDEX(_LEITURA!$P$2:$P$21,11),DECKS!$B$2:$B$1201,$A644))</f>
        <v/>
      </c>
      <c r="V644" s="19" t="str">
        <f aca="false">IF(OR($A644="",INDEX(_LEITURA!$Q$2:$Q$21,12)=0),"",SUMIFS(DECKS!$D$2:$D$1201,DECKS!$A$2:$A$1201,INDEX(_LEITURA!$P$2:$P$21,12),DECKS!$B$2:$B$1201,$A644))</f>
        <v/>
      </c>
      <c r="W644" s="19" t="str">
        <f aca="false">IF(OR($A644="",INDEX(_LEITURA!$Q$2:$Q$21,13)=0),"",SUMIFS(DECKS!$D$2:$D$1201,DECKS!$A$2:$A$1201,INDEX(_LEITURA!$P$2:$P$21,13),DECKS!$B$2:$B$1201,$A644))</f>
        <v/>
      </c>
      <c r="X644" s="19" t="str">
        <f aca="false">IF(OR($A644="",INDEX(_LEITURA!$Q$2:$Q$21,14)=0),"",SUMIFS(DECKS!$D$2:$D$1201,DECKS!$A$2:$A$1201,INDEX(_LEITURA!$P$2:$P$21,14),DECKS!$B$2:$B$1201,$A644))</f>
        <v/>
      </c>
      <c r="Y644" s="19" t="str">
        <f aca="false">IF(OR($A644="",INDEX(_LEITURA!$Q$2:$Q$21,15)=0),"",SUMIFS(DECKS!$D$2:$D$1201,DECKS!$A$2:$A$1201,INDEX(_LEITURA!$P$2:$P$21,15),DECKS!$B$2:$B$1201,$A644))</f>
        <v/>
      </c>
      <c r="Z644" s="19" t="str">
        <f aca="false">IF(OR($A644="",INDEX(_LEITURA!$Q$2:$Q$21,16)=0),"",SUMIFS(DECKS!$D$2:$D$1201,DECKS!$A$2:$A$1201,INDEX(_LEITURA!$P$2:$P$21,16),DECKS!$B$2:$B$1201,$A644))</f>
        <v/>
      </c>
      <c r="AA644" s="19" t="str">
        <f aca="false">IF(OR($A644="",INDEX(_LEITURA!$Q$2:$Q$21,17)=0),"",SUMIFS(DECKS!$D$2:$D$1201,DECKS!$A$2:$A$1201,INDEX(_LEITURA!$P$2:$P$21,17),DECKS!$B$2:$B$1201,$A644))</f>
        <v/>
      </c>
      <c r="AB644" s="19" t="str">
        <f aca="false">IF(OR($A644="",INDEX(_LEITURA!$Q$2:$Q$21,18)=0),"",SUMIFS(DECKS!$D$2:$D$1201,DECKS!$A$2:$A$1201,INDEX(_LEITURA!$P$2:$P$21,18),DECKS!$B$2:$B$1201,$A644))</f>
        <v/>
      </c>
      <c r="AC644" s="19" t="str">
        <f aca="false">IF(OR($A644="",INDEX(_LEITURA!$Q$2:$Q$21,19)=0),"",SUMIFS(DECKS!$D$2:$D$1201,DECKS!$A$2:$A$1201,INDEX(_LEITURA!$P$2:$P$21,19),DECKS!$B$2:$B$1201,$A644))</f>
        <v/>
      </c>
      <c r="AD644" s="19" t="str">
        <f aca="false">IF(OR($A644="",INDEX(_LEITURA!$Q$2:$Q$21,20)=0),"",SUMIFS(DECKS!$D$2:$D$1201,DECKS!$A$2:$A$1201,INDEX(_LEITURA!$P$2:$P$21,20),DECKS!$B$2:$B$1201,$A644))</f>
        <v/>
      </c>
      <c r="AE644" s="16" t="str">
        <f aca="false">IF(N(E644)&gt;0,MAX(AE$1:AE643)+1,"")</f>
        <v/>
      </c>
      <c r="AF644" s="11" t="str">
        <f aca="false">IF(A644="","",IFERROR(LEFT(A644,FIND("-",A644)-1),A644))</f>
        <v/>
      </c>
      <c r="AG644" s="11" t="str">
        <f aca="false">IF(AF644="","",IF(ISNUMBER(--MID(AF644,1,1)),0,IF(ISNUMBER(--MID(AF644,2,1)),1,IF(ISNUMBER(--MID(AF644,3,1)),2,IF(ISNUMBER(--MID(AF644,4,1)),3,MIN(LEN(AF644),4))))))</f>
        <v/>
      </c>
      <c r="AH644" s="11" t="str">
        <f aca="false">IF(A644="","",LEFT(AF644,AG644)&amp;REPT("0",4-AG644)&amp;RIGHT("000"&amp;IFERROR(VALUE(MID(AF644,AG644+1,9)),0),3)&amp;RIGHT("0000"&amp;IFERROR(VALUE(MID(A644,FIND("-",A644)+1,9)),0),4))</f>
        <v/>
      </c>
      <c r="AI644" s="11" t="str">
        <f aca="false">IF(OR(A644="",N(E644)&lt;=0),"",IF('FALTAS GERAL'!$M$1="Código","K"&amp;AH644&amp;RIGHT("00000"&amp;ROW(),5),IF('FALTAS GERAL'!$M$1="Nome","K"&amp;UPPER(SUBSTITUTE(SUBSTITUTE(SUBSTITUTE(B644,"*",""),"?",""),"~",""))&amp;"0"&amp;AH644&amp;RIGHT("00000"&amp;ROW(),5),IF('FALTAS GERAL'!$M$1="Falta (maior primeiro)","K"&amp;RIGHT("0000"&amp;(9999-E644),4)&amp;AH644&amp;RIGHT("00000"&amp;ROW(),5),IF('FALTAS GERAL'!$M$1="Nº de decks (maior primeiro)","K"&amp;RIGHT("00"&amp;(99-N(G644)),2)&amp;AH644&amp;RIGHT("00000"&amp;ROW(),5),"K"&amp;RIGHT("00000"&amp;ROW(),5))))))</f>
        <v/>
      </c>
      <c r="AJ644" s="11" t="str">
        <f aca="false">IF(AI644="","",COUNTIFS($AI$2:$AI$801,"&lt;"&amp;AI644,$E$2:$E$801,"&gt;0")+1)</f>
        <v/>
      </c>
      <c r="AK644" s="11" t="str">
        <f aca="false">IF(OR(A644="",N(E644)&lt;=0),"",COUNTIFS($AH$2:$AH$801,"&lt;"&amp;AH644,$E$2:$E$801,"&gt;0")+COUNTIFS($AH$2:AH644,AH644,$E$2:E644,"&gt;0"))</f>
        <v/>
      </c>
    </row>
    <row r="645" customFormat="false" ht="15" hidden="false" customHeight="false" outlineLevel="0" collapsed="false">
      <c r="A645" s="11" t="str">
        <f aca="false">IF(INVENTÁRIO!A645="","",INVENTÁRIO!A645)</f>
        <v/>
      </c>
      <c r="B645" s="11" t="str">
        <f aca="false">IF(A645="","",INVENTÁRIO!B645)</f>
        <v/>
      </c>
      <c r="C645" s="16" t="str">
        <f aca="false">IF(A645="","",INVENTÁRIO!C645)</f>
        <v/>
      </c>
      <c r="D645" s="14" t="str">
        <f aca="false">IF(A645="","",MAX(K645:AD645))</f>
        <v/>
      </c>
      <c r="E645" s="14" t="str">
        <f aca="false">IF(A645="","",MAX(0,D645-C645))</f>
        <v/>
      </c>
      <c r="F645" s="16" t="str">
        <f aca="false">IF(A645="","",IF(D645=0,"Fora dos decks",IF(E645=0,"Completo","Falta")))</f>
        <v/>
      </c>
      <c r="G645" s="16" t="str">
        <f aca="false">IF(A645="","",COUNTIF(K645:AD645,"&gt;0"))</f>
        <v/>
      </c>
      <c r="H645" s="16" t="str">
        <f aca="false">IF(A645="","",IF(G645&gt;1,"Sim",""))</f>
        <v/>
      </c>
      <c r="I645" s="18" t="str">
        <f aca="false">IF(A645="","",SUMIFS(DECKS!$D$2:$D$1201,DECKS!$B$2:$B$1201,A645))</f>
        <v/>
      </c>
      <c r="J645" s="18" t="str">
        <f aca="false">IF(A645="","",MAX(0,I645-C645))</f>
        <v/>
      </c>
      <c r="K645" s="19" t="str">
        <f aca="false">IF(OR($A645="",INDEX(_LEITURA!$Q$2:$Q$21,1)=0),"",SUMIFS(DECKS!$D$2:$D$1201,DECKS!$A$2:$A$1201,INDEX(_LEITURA!$P$2:$P$21,1),DECKS!$B$2:$B$1201,$A645))</f>
        <v/>
      </c>
      <c r="L645" s="19" t="str">
        <f aca="false">IF(OR($A645="",INDEX(_LEITURA!$Q$2:$Q$21,2)=0),"",SUMIFS(DECKS!$D$2:$D$1201,DECKS!$A$2:$A$1201,INDEX(_LEITURA!$P$2:$P$21,2),DECKS!$B$2:$B$1201,$A645))</f>
        <v/>
      </c>
      <c r="M645" s="19" t="str">
        <f aca="false">IF(OR($A645="",INDEX(_LEITURA!$Q$2:$Q$21,3)=0),"",SUMIFS(DECKS!$D$2:$D$1201,DECKS!$A$2:$A$1201,INDEX(_LEITURA!$P$2:$P$21,3),DECKS!$B$2:$B$1201,$A645))</f>
        <v/>
      </c>
      <c r="N645" s="19" t="str">
        <f aca="false">IF(OR($A645="",INDEX(_LEITURA!$Q$2:$Q$21,4)=0),"",SUMIFS(DECKS!$D$2:$D$1201,DECKS!$A$2:$A$1201,INDEX(_LEITURA!$P$2:$P$21,4),DECKS!$B$2:$B$1201,$A645))</f>
        <v/>
      </c>
      <c r="O645" s="19" t="str">
        <f aca="false">IF(OR($A645="",INDEX(_LEITURA!$Q$2:$Q$21,5)=0),"",SUMIFS(DECKS!$D$2:$D$1201,DECKS!$A$2:$A$1201,INDEX(_LEITURA!$P$2:$P$21,5),DECKS!$B$2:$B$1201,$A645))</f>
        <v/>
      </c>
      <c r="P645" s="19" t="str">
        <f aca="false">IF(OR($A645="",INDEX(_LEITURA!$Q$2:$Q$21,6)=0),"",SUMIFS(DECKS!$D$2:$D$1201,DECKS!$A$2:$A$1201,INDEX(_LEITURA!$P$2:$P$21,6),DECKS!$B$2:$B$1201,$A645))</f>
        <v/>
      </c>
      <c r="Q645" s="19" t="str">
        <f aca="false">IF(OR($A645="",INDEX(_LEITURA!$Q$2:$Q$21,7)=0),"",SUMIFS(DECKS!$D$2:$D$1201,DECKS!$A$2:$A$1201,INDEX(_LEITURA!$P$2:$P$21,7),DECKS!$B$2:$B$1201,$A645))</f>
        <v/>
      </c>
      <c r="R645" s="19" t="str">
        <f aca="false">IF(OR($A645="",INDEX(_LEITURA!$Q$2:$Q$21,8)=0),"",SUMIFS(DECKS!$D$2:$D$1201,DECKS!$A$2:$A$1201,INDEX(_LEITURA!$P$2:$P$21,8),DECKS!$B$2:$B$1201,$A645))</f>
        <v/>
      </c>
      <c r="S645" s="19" t="str">
        <f aca="false">IF(OR($A645="",INDEX(_LEITURA!$Q$2:$Q$21,9)=0),"",SUMIFS(DECKS!$D$2:$D$1201,DECKS!$A$2:$A$1201,INDEX(_LEITURA!$P$2:$P$21,9),DECKS!$B$2:$B$1201,$A645))</f>
        <v/>
      </c>
      <c r="T645" s="19" t="str">
        <f aca="false">IF(OR($A645="",INDEX(_LEITURA!$Q$2:$Q$21,10)=0),"",SUMIFS(DECKS!$D$2:$D$1201,DECKS!$A$2:$A$1201,INDEX(_LEITURA!$P$2:$P$21,10),DECKS!$B$2:$B$1201,$A645))</f>
        <v/>
      </c>
      <c r="U645" s="19" t="str">
        <f aca="false">IF(OR($A645="",INDEX(_LEITURA!$Q$2:$Q$21,11)=0),"",SUMIFS(DECKS!$D$2:$D$1201,DECKS!$A$2:$A$1201,INDEX(_LEITURA!$P$2:$P$21,11),DECKS!$B$2:$B$1201,$A645))</f>
        <v/>
      </c>
      <c r="V645" s="19" t="str">
        <f aca="false">IF(OR($A645="",INDEX(_LEITURA!$Q$2:$Q$21,12)=0),"",SUMIFS(DECKS!$D$2:$D$1201,DECKS!$A$2:$A$1201,INDEX(_LEITURA!$P$2:$P$21,12),DECKS!$B$2:$B$1201,$A645))</f>
        <v/>
      </c>
      <c r="W645" s="19" t="str">
        <f aca="false">IF(OR($A645="",INDEX(_LEITURA!$Q$2:$Q$21,13)=0),"",SUMIFS(DECKS!$D$2:$D$1201,DECKS!$A$2:$A$1201,INDEX(_LEITURA!$P$2:$P$21,13),DECKS!$B$2:$B$1201,$A645))</f>
        <v/>
      </c>
      <c r="X645" s="19" t="str">
        <f aca="false">IF(OR($A645="",INDEX(_LEITURA!$Q$2:$Q$21,14)=0),"",SUMIFS(DECKS!$D$2:$D$1201,DECKS!$A$2:$A$1201,INDEX(_LEITURA!$P$2:$P$21,14),DECKS!$B$2:$B$1201,$A645))</f>
        <v/>
      </c>
      <c r="Y645" s="19" t="str">
        <f aca="false">IF(OR($A645="",INDEX(_LEITURA!$Q$2:$Q$21,15)=0),"",SUMIFS(DECKS!$D$2:$D$1201,DECKS!$A$2:$A$1201,INDEX(_LEITURA!$P$2:$P$21,15),DECKS!$B$2:$B$1201,$A645))</f>
        <v/>
      </c>
      <c r="Z645" s="19" t="str">
        <f aca="false">IF(OR($A645="",INDEX(_LEITURA!$Q$2:$Q$21,16)=0),"",SUMIFS(DECKS!$D$2:$D$1201,DECKS!$A$2:$A$1201,INDEX(_LEITURA!$P$2:$P$21,16),DECKS!$B$2:$B$1201,$A645))</f>
        <v/>
      </c>
      <c r="AA645" s="19" t="str">
        <f aca="false">IF(OR($A645="",INDEX(_LEITURA!$Q$2:$Q$21,17)=0),"",SUMIFS(DECKS!$D$2:$D$1201,DECKS!$A$2:$A$1201,INDEX(_LEITURA!$P$2:$P$21,17),DECKS!$B$2:$B$1201,$A645))</f>
        <v/>
      </c>
      <c r="AB645" s="19" t="str">
        <f aca="false">IF(OR($A645="",INDEX(_LEITURA!$Q$2:$Q$21,18)=0),"",SUMIFS(DECKS!$D$2:$D$1201,DECKS!$A$2:$A$1201,INDEX(_LEITURA!$P$2:$P$21,18),DECKS!$B$2:$B$1201,$A645))</f>
        <v/>
      </c>
      <c r="AC645" s="19" t="str">
        <f aca="false">IF(OR($A645="",INDEX(_LEITURA!$Q$2:$Q$21,19)=0),"",SUMIFS(DECKS!$D$2:$D$1201,DECKS!$A$2:$A$1201,INDEX(_LEITURA!$P$2:$P$21,19),DECKS!$B$2:$B$1201,$A645))</f>
        <v/>
      </c>
      <c r="AD645" s="19" t="str">
        <f aca="false">IF(OR($A645="",INDEX(_LEITURA!$Q$2:$Q$21,20)=0),"",SUMIFS(DECKS!$D$2:$D$1201,DECKS!$A$2:$A$1201,INDEX(_LEITURA!$P$2:$P$21,20),DECKS!$B$2:$B$1201,$A645))</f>
        <v/>
      </c>
      <c r="AE645" s="16" t="str">
        <f aca="false">IF(N(E645)&gt;0,MAX(AE$1:AE644)+1,"")</f>
        <v/>
      </c>
      <c r="AF645" s="11" t="str">
        <f aca="false">IF(A645="","",IFERROR(LEFT(A645,FIND("-",A645)-1),A645))</f>
        <v/>
      </c>
      <c r="AG645" s="11" t="str">
        <f aca="false">IF(AF645="","",IF(ISNUMBER(--MID(AF645,1,1)),0,IF(ISNUMBER(--MID(AF645,2,1)),1,IF(ISNUMBER(--MID(AF645,3,1)),2,IF(ISNUMBER(--MID(AF645,4,1)),3,MIN(LEN(AF645),4))))))</f>
        <v/>
      </c>
      <c r="AH645" s="11" t="str">
        <f aca="false">IF(A645="","",LEFT(AF645,AG645)&amp;REPT("0",4-AG645)&amp;RIGHT("000"&amp;IFERROR(VALUE(MID(AF645,AG645+1,9)),0),3)&amp;RIGHT("0000"&amp;IFERROR(VALUE(MID(A645,FIND("-",A645)+1,9)),0),4))</f>
        <v/>
      </c>
      <c r="AI645" s="11" t="str">
        <f aca="false">IF(OR(A645="",N(E645)&lt;=0),"",IF('FALTAS GERAL'!$M$1="Código","K"&amp;AH645&amp;RIGHT("00000"&amp;ROW(),5),IF('FALTAS GERAL'!$M$1="Nome","K"&amp;UPPER(SUBSTITUTE(SUBSTITUTE(SUBSTITUTE(B645,"*",""),"?",""),"~",""))&amp;"0"&amp;AH645&amp;RIGHT("00000"&amp;ROW(),5),IF('FALTAS GERAL'!$M$1="Falta (maior primeiro)","K"&amp;RIGHT("0000"&amp;(9999-E645),4)&amp;AH645&amp;RIGHT("00000"&amp;ROW(),5),IF('FALTAS GERAL'!$M$1="Nº de decks (maior primeiro)","K"&amp;RIGHT("00"&amp;(99-N(G645)),2)&amp;AH645&amp;RIGHT("00000"&amp;ROW(),5),"K"&amp;RIGHT("00000"&amp;ROW(),5))))))</f>
        <v/>
      </c>
      <c r="AJ645" s="11" t="str">
        <f aca="false">IF(AI645="","",COUNTIFS($AI$2:$AI$801,"&lt;"&amp;AI645,$E$2:$E$801,"&gt;0")+1)</f>
        <v/>
      </c>
      <c r="AK645" s="11" t="str">
        <f aca="false">IF(OR(A645="",N(E645)&lt;=0),"",COUNTIFS($AH$2:$AH$801,"&lt;"&amp;AH645,$E$2:$E$801,"&gt;0")+COUNTIFS($AH$2:AH645,AH645,$E$2:E645,"&gt;0"))</f>
        <v/>
      </c>
    </row>
    <row r="646" customFormat="false" ht="15" hidden="false" customHeight="false" outlineLevel="0" collapsed="false">
      <c r="A646" s="11" t="str">
        <f aca="false">IF(INVENTÁRIO!A646="","",INVENTÁRIO!A646)</f>
        <v/>
      </c>
      <c r="B646" s="11" t="str">
        <f aca="false">IF(A646="","",INVENTÁRIO!B646)</f>
        <v/>
      </c>
      <c r="C646" s="16" t="str">
        <f aca="false">IF(A646="","",INVENTÁRIO!C646)</f>
        <v/>
      </c>
      <c r="D646" s="14" t="str">
        <f aca="false">IF(A646="","",MAX(K646:AD646))</f>
        <v/>
      </c>
      <c r="E646" s="14" t="str">
        <f aca="false">IF(A646="","",MAX(0,D646-C646))</f>
        <v/>
      </c>
      <c r="F646" s="16" t="str">
        <f aca="false">IF(A646="","",IF(D646=0,"Fora dos decks",IF(E646=0,"Completo","Falta")))</f>
        <v/>
      </c>
      <c r="G646" s="16" t="str">
        <f aca="false">IF(A646="","",COUNTIF(K646:AD646,"&gt;0"))</f>
        <v/>
      </c>
      <c r="H646" s="16" t="str">
        <f aca="false">IF(A646="","",IF(G646&gt;1,"Sim",""))</f>
        <v/>
      </c>
      <c r="I646" s="18" t="str">
        <f aca="false">IF(A646="","",SUMIFS(DECKS!$D$2:$D$1201,DECKS!$B$2:$B$1201,A646))</f>
        <v/>
      </c>
      <c r="J646" s="18" t="str">
        <f aca="false">IF(A646="","",MAX(0,I646-C646))</f>
        <v/>
      </c>
      <c r="K646" s="19" t="str">
        <f aca="false">IF(OR($A646="",INDEX(_LEITURA!$Q$2:$Q$21,1)=0),"",SUMIFS(DECKS!$D$2:$D$1201,DECKS!$A$2:$A$1201,INDEX(_LEITURA!$P$2:$P$21,1),DECKS!$B$2:$B$1201,$A646))</f>
        <v/>
      </c>
      <c r="L646" s="19" t="str">
        <f aca="false">IF(OR($A646="",INDEX(_LEITURA!$Q$2:$Q$21,2)=0),"",SUMIFS(DECKS!$D$2:$D$1201,DECKS!$A$2:$A$1201,INDEX(_LEITURA!$P$2:$P$21,2),DECKS!$B$2:$B$1201,$A646))</f>
        <v/>
      </c>
      <c r="M646" s="19" t="str">
        <f aca="false">IF(OR($A646="",INDEX(_LEITURA!$Q$2:$Q$21,3)=0),"",SUMIFS(DECKS!$D$2:$D$1201,DECKS!$A$2:$A$1201,INDEX(_LEITURA!$P$2:$P$21,3),DECKS!$B$2:$B$1201,$A646))</f>
        <v/>
      </c>
      <c r="N646" s="19" t="str">
        <f aca="false">IF(OR($A646="",INDEX(_LEITURA!$Q$2:$Q$21,4)=0),"",SUMIFS(DECKS!$D$2:$D$1201,DECKS!$A$2:$A$1201,INDEX(_LEITURA!$P$2:$P$21,4),DECKS!$B$2:$B$1201,$A646))</f>
        <v/>
      </c>
      <c r="O646" s="19" t="str">
        <f aca="false">IF(OR($A646="",INDEX(_LEITURA!$Q$2:$Q$21,5)=0),"",SUMIFS(DECKS!$D$2:$D$1201,DECKS!$A$2:$A$1201,INDEX(_LEITURA!$P$2:$P$21,5),DECKS!$B$2:$B$1201,$A646))</f>
        <v/>
      </c>
      <c r="P646" s="19" t="str">
        <f aca="false">IF(OR($A646="",INDEX(_LEITURA!$Q$2:$Q$21,6)=0),"",SUMIFS(DECKS!$D$2:$D$1201,DECKS!$A$2:$A$1201,INDEX(_LEITURA!$P$2:$P$21,6),DECKS!$B$2:$B$1201,$A646))</f>
        <v/>
      </c>
      <c r="Q646" s="19" t="str">
        <f aca="false">IF(OR($A646="",INDEX(_LEITURA!$Q$2:$Q$21,7)=0),"",SUMIFS(DECKS!$D$2:$D$1201,DECKS!$A$2:$A$1201,INDEX(_LEITURA!$P$2:$P$21,7),DECKS!$B$2:$B$1201,$A646))</f>
        <v/>
      </c>
      <c r="R646" s="19" t="str">
        <f aca="false">IF(OR($A646="",INDEX(_LEITURA!$Q$2:$Q$21,8)=0),"",SUMIFS(DECKS!$D$2:$D$1201,DECKS!$A$2:$A$1201,INDEX(_LEITURA!$P$2:$P$21,8),DECKS!$B$2:$B$1201,$A646))</f>
        <v/>
      </c>
      <c r="S646" s="19" t="str">
        <f aca="false">IF(OR($A646="",INDEX(_LEITURA!$Q$2:$Q$21,9)=0),"",SUMIFS(DECKS!$D$2:$D$1201,DECKS!$A$2:$A$1201,INDEX(_LEITURA!$P$2:$P$21,9),DECKS!$B$2:$B$1201,$A646))</f>
        <v/>
      </c>
      <c r="T646" s="19" t="str">
        <f aca="false">IF(OR($A646="",INDEX(_LEITURA!$Q$2:$Q$21,10)=0),"",SUMIFS(DECKS!$D$2:$D$1201,DECKS!$A$2:$A$1201,INDEX(_LEITURA!$P$2:$P$21,10),DECKS!$B$2:$B$1201,$A646))</f>
        <v/>
      </c>
      <c r="U646" s="19" t="str">
        <f aca="false">IF(OR($A646="",INDEX(_LEITURA!$Q$2:$Q$21,11)=0),"",SUMIFS(DECKS!$D$2:$D$1201,DECKS!$A$2:$A$1201,INDEX(_LEITURA!$P$2:$P$21,11),DECKS!$B$2:$B$1201,$A646))</f>
        <v/>
      </c>
      <c r="V646" s="19" t="str">
        <f aca="false">IF(OR($A646="",INDEX(_LEITURA!$Q$2:$Q$21,12)=0),"",SUMIFS(DECKS!$D$2:$D$1201,DECKS!$A$2:$A$1201,INDEX(_LEITURA!$P$2:$P$21,12),DECKS!$B$2:$B$1201,$A646))</f>
        <v/>
      </c>
      <c r="W646" s="19" t="str">
        <f aca="false">IF(OR($A646="",INDEX(_LEITURA!$Q$2:$Q$21,13)=0),"",SUMIFS(DECKS!$D$2:$D$1201,DECKS!$A$2:$A$1201,INDEX(_LEITURA!$P$2:$P$21,13),DECKS!$B$2:$B$1201,$A646))</f>
        <v/>
      </c>
      <c r="X646" s="19" t="str">
        <f aca="false">IF(OR($A646="",INDEX(_LEITURA!$Q$2:$Q$21,14)=0),"",SUMIFS(DECKS!$D$2:$D$1201,DECKS!$A$2:$A$1201,INDEX(_LEITURA!$P$2:$P$21,14),DECKS!$B$2:$B$1201,$A646))</f>
        <v/>
      </c>
      <c r="Y646" s="19" t="str">
        <f aca="false">IF(OR($A646="",INDEX(_LEITURA!$Q$2:$Q$21,15)=0),"",SUMIFS(DECKS!$D$2:$D$1201,DECKS!$A$2:$A$1201,INDEX(_LEITURA!$P$2:$P$21,15),DECKS!$B$2:$B$1201,$A646))</f>
        <v/>
      </c>
      <c r="Z646" s="19" t="str">
        <f aca="false">IF(OR($A646="",INDEX(_LEITURA!$Q$2:$Q$21,16)=0),"",SUMIFS(DECKS!$D$2:$D$1201,DECKS!$A$2:$A$1201,INDEX(_LEITURA!$P$2:$P$21,16),DECKS!$B$2:$B$1201,$A646))</f>
        <v/>
      </c>
      <c r="AA646" s="19" t="str">
        <f aca="false">IF(OR($A646="",INDEX(_LEITURA!$Q$2:$Q$21,17)=0),"",SUMIFS(DECKS!$D$2:$D$1201,DECKS!$A$2:$A$1201,INDEX(_LEITURA!$P$2:$P$21,17),DECKS!$B$2:$B$1201,$A646))</f>
        <v/>
      </c>
      <c r="AB646" s="19" t="str">
        <f aca="false">IF(OR($A646="",INDEX(_LEITURA!$Q$2:$Q$21,18)=0),"",SUMIFS(DECKS!$D$2:$D$1201,DECKS!$A$2:$A$1201,INDEX(_LEITURA!$P$2:$P$21,18),DECKS!$B$2:$B$1201,$A646))</f>
        <v/>
      </c>
      <c r="AC646" s="19" t="str">
        <f aca="false">IF(OR($A646="",INDEX(_LEITURA!$Q$2:$Q$21,19)=0),"",SUMIFS(DECKS!$D$2:$D$1201,DECKS!$A$2:$A$1201,INDEX(_LEITURA!$P$2:$P$21,19),DECKS!$B$2:$B$1201,$A646))</f>
        <v/>
      </c>
      <c r="AD646" s="19" t="str">
        <f aca="false">IF(OR($A646="",INDEX(_LEITURA!$Q$2:$Q$21,20)=0),"",SUMIFS(DECKS!$D$2:$D$1201,DECKS!$A$2:$A$1201,INDEX(_LEITURA!$P$2:$P$21,20),DECKS!$B$2:$B$1201,$A646))</f>
        <v/>
      </c>
      <c r="AE646" s="16" t="str">
        <f aca="false">IF(N(E646)&gt;0,MAX(AE$1:AE645)+1,"")</f>
        <v/>
      </c>
      <c r="AF646" s="11" t="str">
        <f aca="false">IF(A646="","",IFERROR(LEFT(A646,FIND("-",A646)-1),A646))</f>
        <v/>
      </c>
      <c r="AG646" s="11" t="str">
        <f aca="false">IF(AF646="","",IF(ISNUMBER(--MID(AF646,1,1)),0,IF(ISNUMBER(--MID(AF646,2,1)),1,IF(ISNUMBER(--MID(AF646,3,1)),2,IF(ISNUMBER(--MID(AF646,4,1)),3,MIN(LEN(AF646),4))))))</f>
        <v/>
      </c>
      <c r="AH646" s="11" t="str">
        <f aca="false">IF(A646="","",LEFT(AF646,AG646)&amp;REPT("0",4-AG646)&amp;RIGHT("000"&amp;IFERROR(VALUE(MID(AF646,AG646+1,9)),0),3)&amp;RIGHT("0000"&amp;IFERROR(VALUE(MID(A646,FIND("-",A646)+1,9)),0),4))</f>
        <v/>
      </c>
      <c r="AI646" s="11" t="str">
        <f aca="false">IF(OR(A646="",N(E646)&lt;=0),"",IF('FALTAS GERAL'!$M$1="Código","K"&amp;AH646&amp;RIGHT("00000"&amp;ROW(),5),IF('FALTAS GERAL'!$M$1="Nome","K"&amp;UPPER(SUBSTITUTE(SUBSTITUTE(SUBSTITUTE(B646,"*",""),"?",""),"~",""))&amp;"0"&amp;AH646&amp;RIGHT("00000"&amp;ROW(),5),IF('FALTAS GERAL'!$M$1="Falta (maior primeiro)","K"&amp;RIGHT("0000"&amp;(9999-E646),4)&amp;AH646&amp;RIGHT("00000"&amp;ROW(),5),IF('FALTAS GERAL'!$M$1="Nº de decks (maior primeiro)","K"&amp;RIGHT("00"&amp;(99-N(G646)),2)&amp;AH646&amp;RIGHT("00000"&amp;ROW(),5),"K"&amp;RIGHT("00000"&amp;ROW(),5))))))</f>
        <v/>
      </c>
      <c r="AJ646" s="11" t="str">
        <f aca="false">IF(AI646="","",COUNTIFS($AI$2:$AI$801,"&lt;"&amp;AI646,$E$2:$E$801,"&gt;0")+1)</f>
        <v/>
      </c>
      <c r="AK646" s="11" t="str">
        <f aca="false">IF(OR(A646="",N(E646)&lt;=0),"",COUNTIFS($AH$2:$AH$801,"&lt;"&amp;AH646,$E$2:$E$801,"&gt;0")+COUNTIFS($AH$2:AH646,AH646,$E$2:E646,"&gt;0"))</f>
        <v/>
      </c>
    </row>
    <row r="647" customFormat="false" ht="15" hidden="false" customHeight="false" outlineLevel="0" collapsed="false">
      <c r="A647" s="11" t="str">
        <f aca="false">IF(INVENTÁRIO!A647="","",INVENTÁRIO!A647)</f>
        <v/>
      </c>
      <c r="B647" s="11" t="str">
        <f aca="false">IF(A647="","",INVENTÁRIO!B647)</f>
        <v/>
      </c>
      <c r="C647" s="16" t="str">
        <f aca="false">IF(A647="","",INVENTÁRIO!C647)</f>
        <v/>
      </c>
      <c r="D647" s="14" t="str">
        <f aca="false">IF(A647="","",MAX(K647:AD647))</f>
        <v/>
      </c>
      <c r="E647" s="14" t="str">
        <f aca="false">IF(A647="","",MAX(0,D647-C647))</f>
        <v/>
      </c>
      <c r="F647" s="16" t="str">
        <f aca="false">IF(A647="","",IF(D647=0,"Fora dos decks",IF(E647=0,"Completo","Falta")))</f>
        <v/>
      </c>
      <c r="G647" s="16" t="str">
        <f aca="false">IF(A647="","",COUNTIF(K647:AD647,"&gt;0"))</f>
        <v/>
      </c>
      <c r="H647" s="16" t="str">
        <f aca="false">IF(A647="","",IF(G647&gt;1,"Sim",""))</f>
        <v/>
      </c>
      <c r="I647" s="18" t="str">
        <f aca="false">IF(A647="","",SUMIFS(DECKS!$D$2:$D$1201,DECKS!$B$2:$B$1201,A647))</f>
        <v/>
      </c>
      <c r="J647" s="18" t="str">
        <f aca="false">IF(A647="","",MAX(0,I647-C647))</f>
        <v/>
      </c>
      <c r="K647" s="19" t="str">
        <f aca="false">IF(OR($A647="",INDEX(_LEITURA!$Q$2:$Q$21,1)=0),"",SUMIFS(DECKS!$D$2:$D$1201,DECKS!$A$2:$A$1201,INDEX(_LEITURA!$P$2:$P$21,1),DECKS!$B$2:$B$1201,$A647))</f>
        <v/>
      </c>
      <c r="L647" s="19" t="str">
        <f aca="false">IF(OR($A647="",INDEX(_LEITURA!$Q$2:$Q$21,2)=0),"",SUMIFS(DECKS!$D$2:$D$1201,DECKS!$A$2:$A$1201,INDEX(_LEITURA!$P$2:$P$21,2),DECKS!$B$2:$B$1201,$A647))</f>
        <v/>
      </c>
      <c r="M647" s="19" t="str">
        <f aca="false">IF(OR($A647="",INDEX(_LEITURA!$Q$2:$Q$21,3)=0),"",SUMIFS(DECKS!$D$2:$D$1201,DECKS!$A$2:$A$1201,INDEX(_LEITURA!$P$2:$P$21,3),DECKS!$B$2:$B$1201,$A647))</f>
        <v/>
      </c>
      <c r="N647" s="19" t="str">
        <f aca="false">IF(OR($A647="",INDEX(_LEITURA!$Q$2:$Q$21,4)=0),"",SUMIFS(DECKS!$D$2:$D$1201,DECKS!$A$2:$A$1201,INDEX(_LEITURA!$P$2:$P$21,4),DECKS!$B$2:$B$1201,$A647))</f>
        <v/>
      </c>
      <c r="O647" s="19" t="str">
        <f aca="false">IF(OR($A647="",INDEX(_LEITURA!$Q$2:$Q$21,5)=0),"",SUMIFS(DECKS!$D$2:$D$1201,DECKS!$A$2:$A$1201,INDEX(_LEITURA!$P$2:$P$21,5),DECKS!$B$2:$B$1201,$A647))</f>
        <v/>
      </c>
      <c r="P647" s="19" t="str">
        <f aca="false">IF(OR($A647="",INDEX(_LEITURA!$Q$2:$Q$21,6)=0),"",SUMIFS(DECKS!$D$2:$D$1201,DECKS!$A$2:$A$1201,INDEX(_LEITURA!$P$2:$P$21,6),DECKS!$B$2:$B$1201,$A647))</f>
        <v/>
      </c>
      <c r="Q647" s="19" t="str">
        <f aca="false">IF(OR($A647="",INDEX(_LEITURA!$Q$2:$Q$21,7)=0),"",SUMIFS(DECKS!$D$2:$D$1201,DECKS!$A$2:$A$1201,INDEX(_LEITURA!$P$2:$P$21,7),DECKS!$B$2:$B$1201,$A647))</f>
        <v/>
      </c>
      <c r="R647" s="19" t="str">
        <f aca="false">IF(OR($A647="",INDEX(_LEITURA!$Q$2:$Q$21,8)=0),"",SUMIFS(DECKS!$D$2:$D$1201,DECKS!$A$2:$A$1201,INDEX(_LEITURA!$P$2:$P$21,8),DECKS!$B$2:$B$1201,$A647))</f>
        <v/>
      </c>
      <c r="S647" s="19" t="str">
        <f aca="false">IF(OR($A647="",INDEX(_LEITURA!$Q$2:$Q$21,9)=0),"",SUMIFS(DECKS!$D$2:$D$1201,DECKS!$A$2:$A$1201,INDEX(_LEITURA!$P$2:$P$21,9),DECKS!$B$2:$B$1201,$A647))</f>
        <v/>
      </c>
      <c r="T647" s="19" t="str">
        <f aca="false">IF(OR($A647="",INDEX(_LEITURA!$Q$2:$Q$21,10)=0),"",SUMIFS(DECKS!$D$2:$D$1201,DECKS!$A$2:$A$1201,INDEX(_LEITURA!$P$2:$P$21,10),DECKS!$B$2:$B$1201,$A647))</f>
        <v/>
      </c>
      <c r="U647" s="19" t="str">
        <f aca="false">IF(OR($A647="",INDEX(_LEITURA!$Q$2:$Q$21,11)=0),"",SUMIFS(DECKS!$D$2:$D$1201,DECKS!$A$2:$A$1201,INDEX(_LEITURA!$P$2:$P$21,11),DECKS!$B$2:$B$1201,$A647))</f>
        <v/>
      </c>
      <c r="V647" s="19" t="str">
        <f aca="false">IF(OR($A647="",INDEX(_LEITURA!$Q$2:$Q$21,12)=0),"",SUMIFS(DECKS!$D$2:$D$1201,DECKS!$A$2:$A$1201,INDEX(_LEITURA!$P$2:$P$21,12),DECKS!$B$2:$B$1201,$A647))</f>
        <v/>
      </c>
      <c r="W647" s="19" t="str">
        <f aca="false">IF(OR($A647="",INDEX(_LEITURA!$Q$2:$Q$21,13)=0),"",SUMIFS(DECKS!$D$2:$D$1201,DECKS!$A$2:$A$1201,INDEX(_LEITURA!$P$2:$P$21,13),DECKS!$B$2:$B$1201,$A647))</f>
        <v/>
      </c>
      <c r="X647" s="19" t="str">
        <f aca="false">IF(OR($A647="",INDEX(_LEITURA!$Q$2:$Q$21,14)=0),"",SUMIFS(DECKS!$D$2:$D$1201,DECKS!$A$2:$A$1201,INDEX(_LEITURA!$P$2:$P$21,14),DECKS!$B$2:$B$1201,$A647))</f>
        <v/>
      </c>
      <c r="Y647" s="19" t="str">
        <f aca="false">IF(OR($A647="",INDEX(_LEITURA!$Q$2:$Q$21,15)=0),"",SUMIFS(DECKS!$D$2:$D$1201,DECKS!$A$2:$A$1201,INDEX(_LEITURA!$P$2:$P$21,15),DECKS!$B$2:$B$1201,$A647))</f>
        <v/>
      </c>
      <c r="Z647" s="19" t="str">
        <f aca="false">IF(OR($A647="",INDEX(_LEITURA!$Q$2:$Q$21,16)=0),"",SUMIFS(DECKS!$D$2:$D$1201,DECKS!$A$2:$A$1201,INDEX(_LEITURA!$P$2:$P$21,16),DECKS!$B$2:$B$1201,$A647))</f>
        <v/>
      </c>
      <c r="AA647" s="19" t="str">
        <f aca="false">IF(OR($A647="",INDEX(_LEITURA!$Q$2:$Q$21,17)=0),"",SUMIFS(DECKS!$D$2:$D$1201,DECKS!$A$2:$A$1201,INDEX(_LEITURA!$P$2:$P$21,17),DECKS!$B$2:$B$1201,$A647))</f>
        <v/>
      </c>
      <c r="AB647" s="19" t="str">
        <f aca="false">IF(OR($A647="",INDEX(_LEITURA!$Q$2:$Q$21,18)=0),"",SUMIFS(DECKS!$D$2:$D$1201,DECKS!$A$2:$A$1201,INDEX(_LEITURA!$P$2:$P$21,18),DECKS!$B$2:$B$1201,$A647))</f>
        <v/>
      </c>
      <c r="AC647" s="19" t="str">
        <f aca="false">IF(OR($A647="",INDEX(_LEITURA!$Q$2:$Q$21,19)=0),"",SUMIFS(DECKS!$D$2:$D$1201,DECKS!$A$2:$A$1201,INDEX(_LEITURA!$P$2:$P$21,19),DECKS!$B$2:$B$1201,$A647))</f>
        <v/>
      </c>
      <c r="AD647" s="19" t="str">
        <f aca="false">IF(OR($A647="",INDEX(_LEITURA!$Q$2:$Q$21,20)=0),"",SUMIFS(DECKS!$D$2:$D$1201,DECKS!$A$2:$A$1201,INDEX(_LEITURA!$P$2:$P$21,20),DECKS!$B$2:$B$1201,$A647))</f>
        <v/>
      </c>
      <c r="AE647" s="16" t="str">
        <f aca="false">IF(N(E647)&gt;0,MAX(AE$1:AE646)+1,"")</f>
        <v/>
      </c>
      <c r="AF647" s="11" t="str">
        <f aca="false">IF(A647="","",IFERROR(LEFT(A647,FIND("-",A647)-1),A647))</f>
        <v/>
      </c>
      <c r="AG647" s="11" t="str">
        <f aca="false">IF(AF647="","",IF(ISNUMBER(--MID(AF647,1,1)),0,IF(ISNUMBER(--MID(AF647,2,1)),1,IF(ISNUMBER(--MID(AF647,3,1)),2,IF(ISNUMBER(--MID(AF647,4,1)),3,MIN(LEN(AF647),4))))))</f>
        <v/>
      </c>
      <c r="AH647" s="11" t="str">
        <f aca="false">IF(A647="","",LEFT(AF647,AG647)&amp;REPT("0",4-AG647)&amp;RIGHT("000"&amp;IFERROR(VALUE(MID(AF647,AG647+1,9)),0),3)&amp;RIGHT("0000"&amp;IFERROR(VALUE(MID(A647,FIND("-",A647)+1,9)),0),4))</f>
        <v/>
      </c>
      <c r="AI647" s="11" t="str">
        <f aca="false">IF(OR(A647="",N(E647)&lt;=0),"",IF('FALTAS GERAL'!$M$1="Código","K"&amp;AH647&amp;RIGHT("00000"&amp;ROW(),5),IF('FALTAS GERAL'!$M$1="Nome","K"&amp;UPPER(SUBSTITUTE(SUBSTITUTE(SUBSTITUTE(B647,"*",""),"?",""),"~",""))&amp;"0"&amp;AH647&amp;RIGHT("00000"&amp;ROW(),5),IF('FALTAS GERAL'!$M$1="Falta (maior primeiro)","K"&amp;RIGHT("0000"&amp;(9999-E647),4)&amp;AH647&amp;RIGHT("00000"&amp;ROW(),5),IF('FALTAS GERAL'!$M$1="Nº de decks (maior primeiro)","K"&amp;RIGHT("00"&amp;(99-N(G647)),2)&amp;AH647&amp;RIGHT("00000"&amp;ROW(),5),"K"&amp;RIGHT("00000"&amp;ROW(),5))))))</f>
        <v/>
      </c>
      <c r="AJ647" s="11" t="str">
        <f aca="false">IF(AI647="","",COUNTIFS($AI$2:$AI$801,"&lt;"&amp;AI647,$E$2:$E$801,"&gt;0")+1)</f>
        <v/>
      </c>
      <c r="AK647" s="11" t="str">
        <f aca="false">IF(OR(A647="",N(E647)&lt;=0),"",COUNTIFS($AH$2:$AH$801,"&lt;"&amp;AH647,$E$2:$E$801,"&gt;0")+COUNTIFS($AH$2:AH647,AH647,$E$2:E647,"&gt;0"))</f>
        <v/>
      </c>
    </row>
    <row r="648" customFormat="false" ht="15" hidden="false" customHeight="false" outlineLevel="0" collapsed="false">
      <c r="A648" s="11" t="str">
        <f aca="false">IF(INVENTÁRIO!A648="","",INVENTÁRIO!A648)</f>
        <v/>
      </c>
      <c r="B648" s="11" t="str">
        <f aca="false">IF(A648="","",INVENTÁRIO!B648)</f>
        <v/>
      </c>
      <c r="C648" s="16" t="str">
        <f aca="false">IF(A648="","",INVENTÁRIO!C648)</f>
        <v/>
      </c>
      <c r="D648" s="14" t="str">
        <f aca="false">IF(A648="","",MAX(K648:AD648))</f>
        <v/>
      </c>
      <c r="E648" s="14" t="str">
        <f aca="false">IF(A648="","",MAX(0,D648-C648))</f>
        <v/>
      </c>
      <c r="F648" s="16" t="str">
        <f aca="false">IF(A648="","",IF(D648=0,"Fora dos decks",IF(E648=0,"Completo","Falta")))</f>
        <v/>
      </c>
      <c r="G648" s="16" t="str">
        <f aca="false">IF(A648="","",COUNTIF(K648:AD648,"&gt;0"))</f>
        <v/>
      </c>
      <c r="H648" s="16" t="str">
        <f aca="false">IF(A648="","",IF(G648&gt;1,"Sim",""))</f>
        <v/>
      </c>
      <c r="I648" s="18" t="str">
        <f aca="false">IF(A648="","",SUMIFS(DECKS!$D$2:$D$1201,DECKS!$B$2:$B$1201,A648))</f>
        <v/>
      </c>
      <c r="J648" s="18" t="str">
        <f aca="false">IF(A648="","",MAX(0,I648-C648))</f>
        <v/>
      </c>
      <c r="K648" s="19" t="str">
        <f aca="false">IF(OR($A648="",INDEX(_LEITURA!$Q$2:$Q$21,1)=0),"",SUMIFS(DECKS!$D$2:$D$1201,DECKS!$A$2:$A$1201,INDEX(_LEITURA!$P$2:$P$21,1),DECKS!$B$2:$B$1201,$A648))</f>
        <v/>
      </c>
      <c r="L648" s="19" t="str">
        <f aca="false">IF(OR($A648="",INDEX(_LEITURA!$Q$2:$Q$21,2)=0),"",SUMIFS(DECKS!$D$2:$D$1201,DECKS!$A$2:$A$1201,INDEX(_LEITURA!$P$2:$P$21,2),DECKS!$B$2:$B$1201,$A648))</f>
        <v/>
      </c>
      <c r="M648" s="19" t="str">
        <f aca="false">IF(OR($A648="",INDEX(_LEITURA!$Q$2:$Q$21,3)=0),"",SUMIFS(DECKS!$D$2:$D$1201,DECKS!$A$2:$A$1201,INDEX(_LEITURA!$P$2:$P$21,3),DECKS!$B$2:$B$1201,$A648))</f>
        <v/>
      </c>
      <c r="N648" s="19" t="str">
        <f aca="false">IF(OR($A648="",INDEX(_LEITURA!$Q$2:$Q$21,4)=0),"",SUMIFS(DECKS!$D$2:$D$1201,DECKS!$A$2:$A$1201,INDEX(_LEITURA!$P$2:$P$21,4),DECKS!$B$2:$B$1201,$A648))</f>
        <v/>
      </c>
      <c r="O648" s="19" t="str">
        <f aca="false">IF(OR($A648="",INDEX(_LEITURA!$Q$2:$Q$21,5)=0),"",SUMIFS(DECKS!$D$2:$D$1201,DECKS!$A$2:$A$1201,INDEX(_LEITURA!$P$2:$P$21,5),DECKS!$B$2:$B$1201,$A648))</f>
        <v/>
      </c>
      <c r="P648" s="19" t="str">
        <f aca="false">IF(OR($A648="",INDEX(_LEITURA!$Q$2:$Q$21,6)=0),"",SUMIFS(DECKS!$D$2:$D$1201,DECKS!$A$2:$A$1201,INDEX(_LEITURA!$P$2:$P$21,6),DECKS!$B$2:$B$1201,$A648))</f>
        <v/>
      </c>
      <c r="Q648" s="19" t="str">
        <f aca="false">IF(OR($A648="",INDEX(_LEITURA!$Q$2:$Q$21,7)=0),"",SUMIFS(DECKS!$D$2:$D$1201,DECKS!$A$2:$A$1201,INDEX(_LEITURA!$P$2:$P$21,7),DECKS!$B$2:$B$1201,$A648))</f>
        <v/>
      </c>
      <c r="R648" s="19" t="str">
        <f aca="false">IF(OR($A648="",INDEX(_LEITURA!$Q$2:$Q$21,8)=0),"",SUMIFS(DECKS!$D$2:$D$1201,DECKS!$A$2:$A$1201,INDEX(_LEITURA!$P$2:$P$21,8),DECKS!$B$2:$B$1201,$A648))</f>
        <v/>
      </c>
      <c r="S648" s="19" t="str">
        <f aca="false">IF(OR($A648="",INDEX(_LEITURA!$Q$2:$Q$21,9)=0),"",SUMIFS(DECKS!$D$2:$D$1201,DECKS!$A$2:$A$1201,INDEX(_LEITURA!$P$2:$P$21,9),DECKS!$B$2:$B$1201,$A648))</f>
        <v/>
      </c>
      <c r="T648" s="19" t="str">
        <f aca="false">IF(OR($A648="",INDEX(_LEITURA!$Q$2:$Q$21,10)=0),"",SUMIFS(DECKS!$D$2:$D$1201,DECKS!$A$2:$A$1201,INDEX(_LEITURA!$P$2:$P$21,10),DECKS!$B$2:$B$1201,$A648))</f>
        <v/>
      </c>
      <c r="U648" s="19" t="str">
        <f aca="false">IF(OR($A648="",INDEX(_LEITURA!$Q$2:$Q$21,11)=0),"",SUMIFS(DECKS!$D$2:$D$1201,DECKS!$A$2:$A$1201,INDEX(_LEITURA!$P$2:$P$21,11),DECKS!$B$2:$B$1201,$A648))</f>
        <v/>
      </c>
      <c r="V648" s="19" t="str">
        <f aca="false">IF(OR($A648="",INDEX(_LEITURA!$Q$2:$Q$21,12)=0),"",SUMIFS(DECKS!$D$2:$D$1201,DECKS!$A$2:$A$1201,INDEX(_LEITURA!$P$2:$P$21,12),DECKS!$B$2:$B$1201,$A648))</f>
        <v/>
      </c>
      <c r="W648" s="19" t="str">
        <f aca="false">IF(OR($A648="",INDEX(_LEITURA!$Q$2:$Q$21,13)=0),"",SUMIFS(DECKS!$D$2:$D$1201,DECKS!$A$2:$A$1201,INDEX(_LEITURA!$P$2:$P$21,13),DECKS!$B$2:$B$1201,$A648))</f>
        <v/>
      </c>
      <c r="X648" s="19" t="str">
        <f aca="false">IF(OR($A648="",INDEX(_LEITURA!$Q$2:$Q$21,14)=0),"",SUMIFS(DECKS!$D$2:$D$1201,DECKS!$A$2:$A$1201,INDEX(_LEITURA!$P$2:$P$21,14),DECKS!$B$2:$B$1201,$A648))</f>
        <v/>
      </c>
      <c r="Y648" s="19" t="str">
        <f aca="false">IF(OR($A648="",INDEX(_LEITURA!$Q$2:$Q$21,15)=0),"",SUMIFS(DECKS!$D$2:$D$1201,DECKS!$A$2:$A$1201,INDEX(_LEITURA!$P$2:$P$21,15),DECKS!$B$2:$B$1201,$A648))</f>
        <v/>
      </c>
      <c r="Z648" s="19" t="str">
        <f aca="false">IF(OR($A648="",INDEX(_LEITURA!$Q$2:$Q$21,16)=0),"",SUMIFS(DECKS!$D$2:$D$1201,DECKS!$A$2:$A$1201,INDEX(_LEITURA!$P$2:$P$21,16),DECKS!$B$2:$B$1201,$A648))</f>
        <v/>
      </c>
      <c r="AA648" s="19" t="str">
        <f aca="false">IF(OR($A648="",INDEX(_LEITURA!$Q$2:$Q$21,17)=0),"",SUMIFS(DECKS!$D$2:$D$1201,DECKS!$A$2:$A$1201,INDEX(_LEITURA!$P$2:$P$21,17),DECKS!$B$2:$B$1201,$A648))</f>
        <v/>
      </c>
      <c r="AB648" s="19" t="str">
        <f aca="false">IF(OR($A648="",INDEX(_LEITURA!$Q$2:$Q$21,18)=0),"",SUMIFS(DECKS!$D$2:$D$1201,DECKS!$A$2:$A$1201,INDEX(_LEITURA!$P$2:$P$21,18),DECKS!$B$2:$B$1201,$A648))</f>
        <v/>
      </c>
      <c r="AC648" s="19" t="str">
        <f aca="false">IF(OR($A648="",INDEX(_LEITURA!$Q$2:$Q$21,19)=0),"",SUMIFS(DECKS!$D$2:$D$1201,DECKS!$A$2:$A$1201,INDEX(_LEITURA!$P$2:$P$21,19),DECKS!$B$2:$B$1201,$A648))</f>
        <v/>
      </c>
      <c r="AD648" s="19" t="str">
        <f aca="false">IF(OR($A648="",INDEX(_LEITURA!$Q$2:$Q$21,20)=0),"",SUMIFS(DECKS!$D$2:$D$1201,DECKS!$A$2:$A$1201,INDEX(_LEITURA!$P$2:$P$21,20),DECKS!$B$2:$B$1201,$A648))</f>
        <v/>
      </c>
      <c r="AE648" s="16" t="str">
        <f aca="false">IF(N(E648)&gt;0,MAX(AE$1:AE647)+1,"")</f>
        <v/>
      </c>
      <c r="AF648" s="11" t="str">
        <f aca="false">IF(A648="","",IFERROR(LEFT(A648,FIND("-",A648)-1),A648))</f>
        <v/>
      </c>
      <c r="AG648" s="11" t="str">
        <f aca="false">IF(AF648="","",IF(ISNUMBER(--MID(AF648,1,1)),0,IF(ISNUMBER(--MID(AF648,2,1)),1,IF(ISNUMBER(--MID(AF648,3,1)),2,IF(ISNUMBER(--MID(AF648,4,1)),3,MIN(LEN(AF648),4))))))</f>
        <v/>
      </c>
      <c r="AH648" s="11" t="str">
        <f aca="false">IF(A648="","",LEFT(AF648,AG648)&amp;REPT("0",4-AG648)&amp;RIGHT("000"&amp;IFERROR(VALUE(MID(AF648,AG648+1,9)),0),3)&amp;RIGHT("0000"&amp;IFERROR(VALUE(MID(A648,FIND("-",A648)+1,9)),0),4))</f>
        <v/>
      </c>
      <c r="AI648" s="11" t="str">
        <f aca="false">IF(OR(A648="",N(E648)&lt;=0),"",IF('FALTAS GERAL'!$M$1="Código","K"&amp;AH648&amp;RIGHT("00000"&amp;ROW(),5),IF('FALTAS GERAL'!$M$1="Nome","K"&amp;UPPER(SUBSTITUTE(SUBSTITUTE(SUBSTITUTE(B648,"*",""),"?",""),"~",""))&amp;"0"&amp;AH648&amp;RIGHT("00000"&amp;ROW(),5),IF('FALTAS GERAL'!$M$1="Falta (maior primeiro)","K"&amp;RIGHT("0000"&amp;(9999-E648),4)&amp;AH648&amp;RIGHT("00000"&amp;ROW(),5),IF('FALTAS GERAL'!$M$1="Nº de decks (maior primeiro)","K"&amp;RIGHT("00"&amp;(99-N(G648)),2)&amp;AH648&amp;RIGHT("00000"&amp;ROW(),5),"K"&amp;RIGHT("00000"&amp;ROW(),5))))))</f>
        <v/>
      </c>
      <c r="AJ648" s="11" t="str">
        <f aca="false">IF(AI648="","",COUNTIFS($AI$2:$AI$801,"&lt;"&amp;AI648,$E$2:$E$801,"&gt;0")+1)</f>
        <v/>
      </c>
      <c r="AK648" s="11" t="str">
        <f aca="false">IF(OR(A648="",N(E648)&lt;=0),"",COUNTIFS($AH$2:$AH$801,"&lt;"&amp;AH648,$E$2:$E$801,"&gt;0")+COUNTIFS($AH$2:AH648,AH648,$E$2:E648,"&gt;0"))</f>
        <v/>
      </c>
    </row>
    <row r="649" customFormat="false" ht="15" hidden="false" customHeight="false" outlineLevel="0" collapsed="false">
      <c r="A649" s="11" t="str">
        <f aca="false">IF(INVENTÁRIO!A649="","",INVENTÁRIO!A649)</f>
        <v/>
      </c>
      <c r="B649" s="11" t="str">
        <f aca="false">IF(A649="","",INVENTÁRIO!B649)</f>
        <v/>
      </c>
      <c r="C649" s="16" t="str">
        <f aca="false">IF(A649="","",INVENTÁRIO!C649)</f>
        <v/>
      </c>
      <c r="D649" s="14" t="str">
        <f aca="false">IF(A649="","",MAX(K649:AD649))</f>
        <v/>
      </c>
      <c r="E649" s="14" t="str">
        <f aca="false">IF(A649="","",MAX(0,D649-C649))</f>
        <v/>
      </c>
      <c r="F649" s="16" t="str">
        <f aca="false">IF(A649="","",IF(D649=0,"Fora dos decks",IF(E649=0,"Completo","Falta")))</f>
        <v/>
      </c>
      <c r="G649" s="16" t="str">
        <f aca="false">IF(A649="","",COUNTIF(K649:AD649,"&gt;0"))</f>
        <v/>
      </c>
      <c r="H649" s="16" t="str">
        <f aca="false">IF(A649="","",IF(G649&gt;1,"Sim",""))</f>
        <v/>
      </c>
      <c r="I649" s="18" t="str">
        <f aca="false">IF(A649="","",SUMIFS(DECKS!$D$2:$D$1201,DECKS!$B$2:$B$1201,A649))</f>
        <v/>
      </c>
      <c r="J649" s="18" t="str">
        <f aca="false">IF(A649="","",MAX(0,I649-C649))</f>
        <v/>
      </c>
      <c r="K649" s="19" t="str">
        <f aca="false">IF(OR($A649="",INDEX(_LEITURA!$Q$2:$Q$21,1)=0),"",SUMIFS(DECKS!$D$2:$D$1201,DECKS!$A$2:$A$1201,INDEX(_LEITURA!$P$2:$P$21,1),DECKS!$B$2:$B$1201,$A649))</f>
        <v/>
      </c>
      <c r="L649" s="19" t="str">
        <f aca="false">IF(OR($A649="",INDEX(_LEITURA!$Q$2:$Q$21,2)=0),"",SUMIFS(DECKS!$D$2:$D$1201,DECKS!$A$2:$A$1201,INDEX(_LEITURA!$P$2:$P$21,2),DECKS!$B$2:$B$1201,$A649))</f>
        <v/>
      </c>
      <c r="M649" s="19" t="str">
        <f aca="false">IF(OR($A649="",INDEX(_LEITURA!$Q$2:$Q$21,3)=0),"",SUMIFS(DECKS!$D$2:$D$1201,DECKS!$A$2:$A$1201,INDEX(_LEITURA!$P$2:$P$21,3),DECKS!$B$2:$B$1201,$A649))</f>
        <v/>
      </c>
      <c r="N649" s="19" t="str">
        <f aca="false">IF(OR($A649="",INDEX(_LEITURA!$Q$2:$Q$21,4)=0),"",SUMIFS(DECKS!$D$2:$D$1201,DECKS!$A$2:$A$1201,INDEX(_LEITURA!$P$2:$P$21,4),DECKS!$B$2:$B$1201,$A649))</f>
        <v/>
      </c>
      <c r="O649" s="19" t="str">
        <f aca="false">IF(OR($A649="",INDEX(_LEITURA!$Q$2:$Q$21,5)=0),"",SUMIFS(DECKS!$D$2:$D$1201,DECKS!$A$2:$A$1201,INDEX(_LEITURA!$P$2:$P$21,5),DECKS!$B$2:$B$1201,$A649))</f>
        <v/>
      </c>
      <c r="P649" s="19" t="str">
        <f aca="false">IF(OR($A649="",INDEX(_LEITURA!$Q$2:$Q$21,6)=0),"",SUMIFS(DECKS!$D$2:$D$1201,DECKS!$A$2:$A$1201,INDEX(_LEITURA!$P$2:$P$21,6),DECKS!$B$2:$B$1201,$A649))</f>
        <v/>
      </c>
      <c r="Q649" s="19" t="str">
        <f aca="false">IF(OR($A649="",INDEX(_LEITURA!$Q$2:$Q$21,7)=0),"",SUMIFS(DECKS!$D$2:$D$1201,DECKS!$A$2:$A$1201,INDEX(_LEITURA!$P$2:$P$21,7),DECKS!$B$2:$B$1201,$A649))</f>
        <v/>
      </c>
      <c r="R649" s="19" t="str">
        <f aca="false">IF(OR($A649="",INDEX(_LEITURA!$Q$2:$Q$21,8)=0),"",SUMIFS(DECKS!$D$2:$D$1201,DECKS!$A$2:$A$1201,INDEX(_LEITURA!$P$2:$P$21,8),DECKS!$B$2:$B$1201,$A649))</f>
        <v/>
      </c>
      <c r="S649" s="19" t="str">
        <f aca="false">IF(OR($A649="",INDEX(_LEITURA!$Q$2:$Q$21,9)=0),"",SUMIFS(DECKS!$D$2:$D$1201,DECKS!$A$2:$A$1201,INDEX(_LEITURA!$P$2:$P$21,9),DECKS!$B$2:$B$1201,$A649))</f>
        <v/>
      </c>
      <c r="T649" s="19" t="str">
        <f aca="false">IF(OR($A649="",INDEX(_LEITURA!$Q$2:$Q$21,10)=0),"",SUMIFS(DECKS!$D$2:$D$1201,DECKS!$A$2:$A$1201,INDEX(_LEITURA!$P$2:$P$21,10),DECKS!$B$2:$B$1201,$A649))</f>
        <v/>
      </c>
      <c r="U649" s="19" t="str">
        <f aca="false">IF(OR($A649="",INDEX(_LEITURA!$Q$2:$Q$21,11)=0),"",SUMIFS(DECKS!$D$2:$D$1201,DECKS!$A$2:$A$1201,INDEX(_LEITURA!$P$2:$P$21,11),DECKS!$B$2:$B$1201,$A649))</f>
        <v/>
      </c>
      <c r="V649" s="19" t="str">
        <f aca="false">IF(OR($A649="",INDEX(_LEITURA!$Q$2:$Q$21,12)=0),"",SUMIFS(DECKS!$D$2:$D$1201,DECKS!$A$2:$A$1201,INDEX(_LEITURA!$P$2:$P$21,12),DECKS!$B$2:$B$1201,$A649))</f>
        <v/>
      </c>
      <c r="W649" s="19" t="str">
        <f aca="false">IF(OR($A649="",INDEX(_LEITURA!$Q$2:$Q$21,13)=0),"",SUMIFS(DECKS!$D$2:$D$1201,DECKS!$A$2:$A$1201,INDEX(_LEITURA!$P$2:$P$21,13),DECKS!$B$2:$B$1201,$A649))</f>
        <v/>
      </c>
      <c r="X649" s="19" t="str">
        <f aca="false">IF(OR($A649="",INDEX(_LEITURA!$Q$2:$Q$21,14)=0),"",SUMIFS(DECKS!$D$2:$D$1201,DECKS!$A$2:$A$1201,INDEX(_LEITURA!$P$2:$P$21,14),DECKS!$B$2:$B$1201,$A649))</f>
        <v/>
      </c>
      <c r="Y649" s="19" t="str">
        <f aca="false">IF(OR($A649="",INDEX(_LEITURA!$Q$2:$Q$21,15)=0),"",SUMIFS(DECKS!$D$2:$D$1201,DECKS!$A$2:$A$1201,INDEX(_LEITURA!$P$2:$P$21,15),DECKS!$B$2:$B$1201,$A649))</f>
        <v/>
      </c>
      <c r="Z649" s="19" t="str">
        <f aca="false">IF(OR($A649="",INDEX(_LEITURA!$Q$2:$Q$21,16)=0),"",SUMIFS(DECKS!$D$2:$D$1201,DECKS!$A$2:$A$1201,INDEX(_LEITURA!$P$2:$P$21,16),DECKS!$B$2:$B$1201,$A649))</f>
        <v/>
      </c>
      <c r="AA649" s="19" t="str">
        <f aca="false">IF(OR($A649="",INDEX(_LEITURA!$Q$2:$Q$21,17)=0),"",SUMIFS(DECKS!$D$2:$D$1201,DECKS!$A$2:$A$1201,INDEX(_LEITURA!$P$2:$P$21,17),DECKS!$B$2:$B$1201,$A649))</f>
        <v/>
      </c>
      <c r="AB649" s="19" t="str">
        <f aca="false">IF(OR($A649="",INDEX(_LEITURA!$Q$2:$Q$21,18)=0),"",SUMIFS(DECKS!$D$2:$D$1201,DECKS!$A$2:$A$1201,INDEX(_LEITURA!$P$2:$P$21,18),DECKS!$B$2:$B$1201,$A649))</f>
        <v/>
      </c>
      <c r="AC649" s="19" t="str">
        <f aca="false">IF(OR($A649="",INDEX(_LEITURA!$Q$2:$Q$21,19)=0),"",SUMIFS(DECKS!$D$2:$D$1201,DECKS!$A$2:$A$1201,INDEX(_LEITURA!$P$2:$P$21,19),DECKS!$B$2:$B$1201,$A649))</f>
        <v/>
      </c>
      <c r="AD649" s="19" t="str">
        <f aca="false">IF(OR($A649="",INDEX(_LEITURA!$Q$2:$Q$21,20)=0),"",SUMIFS(DECKS!$D$2:$D$1201,DECKS!$A$2:$A$1201,INDEX(_LEITURA!$P$2:$P$21,20),DECKS!$B$2:$B$1201,$A649))</f>
        <v/>
      </c>
      <c r="AE649" s="16" t="str">
        <f aca="false">IF(N(E649)&gt;0,MAX(AE$1:AE648)+1,"")</f>
        <v/>
      </c>
      <c r="AF649" s="11" t="str">
        <f aca="false">IF(A649="","",IFERROR(LEFT(A649,FIND("-",A649)-1),A649))</f>
        <v/>
      </c>
      <c r="AG649" s="11" t="str">
        <f aca="false">IF(AF649="","",IF(ISNUMBER(--MID(AF649,1,1)),0,IF(ISNUMBER(--MID(AF649,2,1)),1,IF(ISNUMBER(--MID(AF649,3,1)),2,IF(ISNUMBER(--MID(AF649,4,1)),3,MIN(LEN(AF649),4))))))</f>
        <v/>
      </c>
      <c r="AH649" s="11" t="str">
        <f aca="false">IF(A649="","",LEFT(AF649,AG649)&amp;REPT("0",4-AG649)&amp;RIGHT("000"&amp;IFERROR(VALUE(MID(AF649,AG649+1,9)),0),3)&amp;RIGHT("0000"&amp;IFERROR(VALUE(MID(A649,FIND("-",A649)+1,9)),0),4))</f>
        <v/>
      </c>
      <c r="AI649" s="11" t="str">
        <f aca="false">IF(OR(A649="",N(E649)&lt;=0),"",IF('FALTAS GERAL'!$M$1="Código","K"&amp;AH649&amp;RIGHT("00000"&amp;ROW(),5),IF('FALTAS GERAL'!$M$1="Nome","K"&amp;UPPER(SUBSTITUTE(SUBSTITUTE(SUBSTITUTE(B649,"*",""),"?",""),"~",""))&amp;"0"&amp;AH649&amp;RIGHT("00000"&amp;ROW(),5),IF('FALTAS GERAL'!$M$1="Falta (maior primeiro)","K"&amp;RIGHT("0000"&amp;(9999-E649),4)&amp;AH649&amp;RIGHT("00000"&amp;ROW(),5),IF('FALTAS GERAL'!$M$1="Nº de decks (maior primeiro)","K"&amp;RIGHT("00"&amp;(99-N(G649)),2)&amp;AH649&amp;RIGHT("00000"&amp;ROW(),5),"K"&amp;RIGHT("00000"&amp;ROW(),5))))))</f>
        <v/>
      </c>
      <c r="AJ649" s="11" t="str">
        <f aca="false">IF(AI649="","",COUNTIFS($AI$2:$AI$801,"&lt;"&amp;AI649,$E$2:$E$801,"&gt;0")+1)</f>
        <v/>
      </c>
      <c r="AK649" s="11" t="str">
        <f aca="false">IF(OR(A649="",N(E649)&lt;=0),"",COUNTIFS($AH$2:$AH$801,"&lt;"&amp;AH649,$E$2:$E$801,"&gt;0")+COUNTIFS($AH$2:AH649,AH649,$E$2:E649,"&gt;0"))</f>
        <v/>
      </c>
    </row>
    <row r="650" customFormat="false" ht="15" hidden="false" customHeight="false" outlineLevel="0" collapsed="false">
      <c r="A650" s="11" t="str">
        <f aca="false">IF(INVENTÁRIO!A650="","",INVENTÁRIO!A650)</f>
        <v/>
      </c>
      <c r="B650" s="11" t="str">
        <f aca="false">IF(A650="","",INVENTÁRIO!B650)</f>
        <v/>
      </c>
      <c r="C650" s="16" t="str">
        <f aca="false">IF(A650="","",INVENTÁRIO!C650)</f>
        <v/>
      </c>
      <c r="D650" s="14" t="str">
        <f aca="false">IF(A650="","",MAX(K650:AD650))</f>
        <v/>
      </c>
      <c r="E650" s="14" t="str">
        <f aca="false">IF(A650="","",MAX(0,D650-C650))</f>
        <v/>
      </c>
      <c r="F650" s="16" t="str">
        <f aca="false">IF(A650="","",IF(D650=0,"Fora dos decks",IF(E650=0,"Completo","Falta")))</f>
        <v/>
      </c>
      <c r="G650" s="16" t="str">
        <f aca="false">IF(A650="","",COUNTIF(K650:AD650,"&gt;0"))</f>
        <v/>
      </c>
      <c r="H650" s="16" t="str">
        <f aca="false">IF(A650="","",IF(G650&gt;1,"Sim",""))</f>
        <v/>
      </c>
      <c r="I650" s="18" t="str">
        <f aca="false">IF(A650="","",SUMIFS(DECKS!$D$2:$D$1201,DECKS!$B$2:$B$1201,A650))</f>
        <v/>
      </c>
      <c r="J650" s="18" t="str">
        <f aca="false">IF(A650="","",MAX(0,I650-C650))</f>
        <v/>
      </c>
      <c r="K650" s="19" t="str">
        <f aca="false">IF(OR($A650="",INDEX(_LEITURA!$Q$2:$Q$21,1)=0),"",SUMIFS(DECKS!$D$2:$D$1201,DECKS!$A$2:$A$1201,INDEX(_LEITURA!$P$2:$P$21,1),DECKS!$B$2:$B$1201,$A650))</f>
        <v/>
      </c>
      <c r="L650" s="19" t="str">
        <f aca="false">IF(OR($A650="",INDEX(_LEITURA!$Q$2:$Q$21,2)=0),"",SUMIFS(DECKS!$D$2:$D$1201,DECKS!$A$2:$A$1201,INDEX(_LEITURA!$P$2:$P$21,2),DECKS!$B$2:$B$1201,$A650))</f>
        <v/>
      </c>
      <c r="M650" s="19" t="str">
        <f aca="false">IF(OR($A650="",INDEX(_LEITURA!$Q$2:$Q$21,3)=0),"",SUMIFS(DECKS!$D$2:$D$1201,DECKS!$A$2:$A$1201,INDEX(_LEITURA!$P$2:$P$21,3),DECKS!$B$2:$B$1201,$A650))</f>
        <v/>
      </c>
      <c r="N650" s="19" t="str">
        <f aca="false">IF(OR($A650="",INDEX(_LEITURA!$Q$2:$Q$21,4)=0),"",SUMIFS(DECKS!$D$2:$D$1201,DECKS!$A$2:$A$1201,INDEX(_LEITURA!$P$2:$P$21,4),DECKS!$B$2:$B$1201,$A650))</f>
        <v/>
      </c>
      <c r="O650" s="19" t="str">
        <f aca="false">IF(OR($A650="",INDEX(_LEITURA!$Q$2:$Q$21,5)=0),"",SUMIFS(DECKS!$D$2:$D$1201,DECKS!$A$2:$A$1201,INDEX(_LEITURA!$P$2:$P$21,5),DECKS!$B$2:$B$1201,$A650))</f>
        <v/>
      </c>
      <c r="P650" s="19" t="str">
        <f aca="false">IF(OR($A650="",INDEX(_LEITURA!$Q$2:$Q$21,6)=0),"",SUMIFS(DECKS!$D$2:$D$1201,DECKS!$A$2:$A$1201,INDEX(_LEITURA!$P$2:$P$21,6),DECKS!$B$2:$B$1201,$A650))</f>
        <v/>
      </c>
      <c r="Q650" s="19" t="str">
        <f aca="false">IF(OR($A650="",INDEX(_LEITURA!$Q$2:$Q$21,7)=0),"",SUMIFS(DECKS!$D$2:$D$1201,DECKS!$A$2:$A$1201,INDEX(_LEITURA!$P$2:$P$21,7),DECKS!$B$2:$B$1201,$A650))</f>
        <v/>
      </c>
      <c r="R650" s="19" t="str">
        <f aca="false">IF(OR($A650="",INDEX(_LEITURA!$Q$2:$Q$21,8)=0),"",SUMIFS(DECKS!$D$2:$D$1201,DECKS!$A$2:$A$1201,INDEX(_LEITURA!$P$2:$P$21,8),DECKS!$B$2:$B$1201,$A650))</f>
        <v/>
      </c>
      <c r="S650" s="19" t="str">
        <f aca="false">IF(OR($A650="",INDEX(_LEITURA!$Q$2:$Q$21,9)=0),"",SUMIFS(DECKS!$D$2:$D$1201,DECKS!$A$2:$A$1201,INDEX(_LEITURA!$P$2:$P$21,9),DECKS!$B$2:$B$1201,$A650))</f>
        <v/>
      </c>
      <c r="T650" s="19" t="str">
        <f aca="false">IF(OR($A650="",INDEX(_LEITURA!$Q$2:$Q$21,10)=0),"",SUMIFS(DECKS!$D$2:$D$1201,DECKS!$A$2:$A$1201,INDEX(_LEITURA!$P$2:$P$21,10),DECKS!$B$2:$B$1201,$A650))</f>
        <v/>
      </c>
      <c r="U650" s="19" t="str">
        <f aca="false">IF(OR($A650="",INDEX(_LEITURA!$Q$2:$Q$21,11)=0),"",SUMIFS(DECKS!$D$2:$D$1201,DECKS!$A$2:$A$1201,INDEX(_LEITURA!$P$2:$P$21,11),DECKS!$B$2:$B$1201,$A650))</f>
        <v/>
      </c>
      <c r="V650" s="19" t="str">
        <f aca="false">IF(OR($A650="",INDEX(_LEITURA!$Q$2:$Q$21,12)=0),"",SUMIFS(DECKS!$D$2:$D$1201,DECKS!$A$2:$A$1201,INDEX(_LEITURA!$P$2:$P$21,12),DECKS!$B$2:$B$1201,$A650))</f>
        <v/>
      </c>
      <c r="W650" s="19" t="str">
        <f aca="false">IF(OR($A650="",INDEX(_LEITURA!$Q$2:$Q$21,13)=0),"",SUMIFS(DECKS!$D$2:$D$1201,DECKS!$A$2:$A$1201,INDEX(_LEITURA!$P$2:$P$21,13),DECKS!$B$2:$B$1201,$A650))</f>
        <v/>
      </c>
      <c r="X650" s="19" t="str">
        <f aca="false">IF(OR($A650="",INDEX(_LEITURA!$Q$2:$Q$21,14)=0),"",SUMIFS(DECKS!$D$2:$D$1201,DECKS!$A$2:$A$1201,INDEX(_LEITURA!$P$2:$P$21,14),DECKS!$B$2:$B$1201,$A650))</f>
        <v/>
      </c>
      <c r="Y650" s="19" t="str">
        <f aca="false">IF(OR($A650="",INDEX(_LEITURA!$Q$2:$Q$21,15)=0),"",SUMIFS(DECKS!$D$2:$D$1201,DECKS!$A$2:$A$1201,INDEX(_LEITURA!$P$2:$P$21,15),DECKS!$B$2:$B$1201,$A650))</f>
        <v/>
      </c>
      <c r="Z650" s="19" t="str">
        <f aca="false">IF(OR($A650="",INDEX(_LEITURA!$Q$2:$Q$21,16)=0),"",SUMIFS(DECKS!$D$2:$D$1201,DECKS!$A$2:$A$1201,INDEX(_LEITURA!$P$2:$P$21,16),DECKS!$B$2:$B$1201,$A650))</f>
        <v/>
      </c>
      <c r="AA650" s="19" t="str">
        <f aca="false">IF(OR($A650="",INDEX(_LEITURA!$Q$2:$Q$21,17)=0),"",SUMIFS(DECKS!$D$2:$D$1201,DECKS!$A$2:$A$1201,INDEX(_LEITURA!$P$2:$P$21,17),DECKS!$B$2:$B$1201,$A650))</f>
        <v/>
      </c>
      <c r="AB650" s="19" t="str">
        <f aca="false">IF(OR($A650="",INDEX(_LEITURA!$Q$2:$Q$21,18)=0),"",SUMIFS(DECKS!$D$2:$D$1201,DECKS!$A$2:$A$1201,INDEX(_LEITURA!$P$2:$P$21,18),DECKS!$B$2:$B$1201,$A650))</f>
        <v/>
      </c>
      <c r="AC650" s="19" t="str">
        <f aca="false">IF(OR($A650="",INDEX(_LEITURA!$Q$2:$Q$21,19)=0),"",SUMIFS(DECKS!$D$2:$D$1201,DECKS!$A$2:$A$1201,INDEX(_LEITURA!$P$2:$P$21,19),DECKS!$B$2:$B$1201,$A650))</f>
        <v/>
      </c>
      <c r="AD650" s="19" t="str">
        <f aca="false">IF(OR($A650="",INDEX(_LEITURA!$Q$2:$Q$21,20)=0),"",SUMIFS(DECKS!$D$2:$D$1201,DECKS!$A$2:$A$1201,INDEX(_LEITURA!$P$2:$P$21,20),DECKS!$B$2:$B$1201,$A650))</f>
        <v/>
      </c>
      <c r="AE650" s="16" t="str">
        <f aca="false">IF(N(E650)&gt;0,MAX(AE$1:AE649)+1,"")</f>
        <v/>
      </c>
      <c r="AF650" s="11" t="str">
        <f aca="false">IF(A650="","",IFERROR(LEFT(A650,FIND("-",A650)-1),A650))</f>
        <v/>
      </c>
      <c r="AG650" s="11" t="str">
        <f aca="false">IF(AF650="","",IF(ISNUMBER(--MID(AF650,1,1)),0,IF(ISNUMBER(--MID(AF650,2,1)),1,IF(ISNUMBER(--MID(AF650,3,1)),2,IF(ISNUMBER(--MID(AF650,4,1)),3,MIN(LEN(AF650),4))))))</f>
        <v/>
      </c>
      <c r="AH650" s="11" t="str">
        <f aca="false">IF(A650="","",LEFT(AF650,AG650)&amp;REPT("0",4-AG650)&amp;RIGHT("000"&amp;IFERROR(VALUE(MID(AF650,AG650+1,9)),0),3)&amp;RIGHT("0000"&amp;IFERROR(VALUE(MID(A650,FIND("-",A650)+1,9)),0),4))</f>
        <v/>
      </c>
      <c r="AI650" s="11" t="str">
        <f aca="false">IF(OR(A650="",N(E650)&lt;=0),"",IF('FALTAS GERAL'!$M$1="Código","K"&amp;AH650&amp;RIGHT("00000"&amp;ROW(),5),IF('FALTAS GERAL'!$M$1="Nome","K"&amp;UPPER(SUBSTITUTE(SUBSTITUTE(SUBSTITUTE(B650,"*",""),"?",""),"~",""))&amp;"0"&amp;AH650&amp;RIGHT("00000"&amp;ROW(),5),IF('FALTAS GERAL'!$M$1="Falta (maior primeiro)","K"&amp;RIGHT("0000"&amp;(9999-E650),4)&amp;AH650&amp;RIGHT("00000"&amp;ROW(),5),IF('FALTAS GERAL'!$M$1="Nº de decks (maior primeiro)","K"&amp;RIGHT("00"&amp;(99-N(G650)),2)&amp;AH650&amp;RIGHT("00000"&amp;ROW(),5),"K"&amp;RIGHT("00000"&amp;ROW(),5))))))</f>
        <v/>
      </c>
      <c r="AJ650" s="11" t="str">
        <f aca="false">IF(AI650="","",COUNTIFS($AI$2:$AI$801,"&lt;"&amp;AI650,$E$2:$E$801,"&gt;0")+1)</f>
        <v/>
      </c>
      <c r="AK650" s="11" t="str">
        <f aca="false">IF(OR(A650="",N(E650)&lt;=0),"",COUNTIFS($AH$2:$AH$801,"&lt;"&amp;AH650,$E$2:$E$801,"&gt;0")+COUNTIFS($AH$2:AH650,AH650,$E$2:E650,"&gt;0"))</f>
        <v/>
      </c>
    </row>
    <row r="651" customFormat="false" ht="15" hidden="false" customHeight="false" outlineLevel="0" collapsed="false">
      <c r="A651" s="11" t="str">
        <f aca="false">IF(INVENTÁRIO!A651="","",INVENTÁRIO!A651)</f>
        <v/>
      </c>
      <c r="B651" s="11" t="str">
        <f aca="false">IF(A651="","",INVENTÁRIO!B651)</f>
        <v/>
      </c>
      <c r="C651" s="16" t="str">
        <f aca="false">IF(A651="","",INVENTÁRIO!C651)</f>
        <v/>
      </c>
      <c r="D651" s="14" t="str">
        <f aca="false">IF(A651="","",MAX(K651:AD651))</f>
        <v/>
      </c>
      <c r="E651" s="14" t="str">
        <f aca="false">IF(A651="","",MAX(0,D651-C651))</f>
        <v/>
      </c>
      <c r="F651" s="16" t="str">
        <f aca="false">IF(A651="","",IF(D651=0,"Fora dos decks",IF(E651=0,"Completo","Falta")))</f>
        <v/>
      </c>
      <c r="G651" s="16" t="str">
        <f aca="false">IF(A651="","",COUNTIF(K651:AD651,"&gt;0"))</f>
        <v/>
      </c>
      <c r="H651" s="16" t="str">
        <f aca="false">IF(A651="","",IF(G651&gt;1,"Sim",""))</f>
        <v/>
      </c>
      <c r="I651" s="18" t="str">
        <f aca="false">IF(A651="","",SUMIFS(DECKS!$D$2:$D$1201,DECKS!$B$2:$B$1201,A651))</f>
        <v/>
      </c>
      <c r="J651" s="18" t="str">
        <f aca="false">IF(A651="","",MAX(0,I651-C651))</f>
        <v/>
      </c>
      <c r="K651" s="19" t="str">
        <f aca="false">IF(OR($A651="",INDEX(_LEITURA!$Q$2:$Q$21,1)=0),"",SUMIFS(DECKS!$D$2:$D$1201,DECKS!$A$2:$A$1201,INDEX(_LEITURA!$P$2:$P$21,1),DECKS!$B$2:$B$1201,$A651))</f>
        <v/>
      </c>
      <c r="L651" s="19" t="str">
        <f aca="false">IF(OR($A651="",INDEX(_LEITURA!$Q$2:$Q$21,2)=0),"",SUMIFS(DECKS!$D$2:$D$1201,DECKS!$A$2:$A$1201,INDEX(_LEITURA!$P$2:$P$21,2),DECKS!$B$2:$B$1201,$A651))</f>
        <v/>
      </c>
      <c r="M651" s="19" t="str">
        <f aca="false">IF(OR($A651="",INDEX(_LEITURA!$Q$2:$Q$21,3)=0),"",SUMIFS(DECKS!$D$2:$D$1201,DECKS!$A$2:$A$1201,INDEX(_LEITURA!$P$2:$P$21,3),DECKS!$B$2:$B$1201,$A651))</f>
        <v/>
      </c>
      <c r="N651" s="19" t="str">
        <f aca="false">IF(OR($A651="",INDEX(_LEITURA!$Q$2:$Q$21,4)=0),"",SUMIFS(DECKS!$D$2:$D$1201,DECKS!$A$2:$A$1201,INDEX(_LEITURA!$P$2:$P$21,4),DECKS!$B$2:$B$1201,$A651))</f>
        <v/>
      </c>
      <c r="O651" s="19" t="str">
        <f aca="false">IF(OR($A651="",INDEX(_LEITURA!$Q$2:$Q$21,5)=0),"",SUMIFS(DECKS!$D$2:$D$1201,DECKS!$A$2:$A$1201,INDEX(_LEITURA!$P$2:$P$21,5),DECKS!$B$2:$B$1201,$A651))</f>
        <v/>
      </c>
      <c r="P651" s="19" t="str">
        <f aca="false">IF(OR($A651="",INDEX(_LEITURA!$Q$2:$Q$21,6)=0),"",SUMIFS(DECKS!$D$2:$D$1201,DECKS!$A$2:$A$1201,INDEX(_LEITURA!$P$2:$P$21,6),DECKS!$B$2:$B$1201,$A651))</f>
        <v/>
      </c>
      <c r="Q651" s="19" t="str">
        <f aca="false">IF(OR($A651="",INDEX(_LEITURA!$Q$2:$Q$21,7)=0),"",SUMIFS(DECKS!$D$2:$D$1201,DECKS!$A$2:$A$1201,INDEX(_LEITURA!$P$2:$P$21,7),DECKS!$B$2:$B$1201,$A651))</f>
        <v/>
      </c>
      <c r="R651" s="19" t="str">
        <f aca="false">IF(OR($A651="",INDEX(_LEITURA!$Q$2:$Q$21,8)=0),"",SUMIFS(DECKS!$D$2:$D$1201,DECKS!$A$2:$A$1201,INDEX(_LEITURA!$P$2:$P$21,8),DECKS!$B$2:$B$1201,$A651))</f>
        <v/>
      </c>
      <c r="S651" s="19" t="str">
        <f aca="false">IF(OR($A651="",INDEX(_LEITURA!$Q$2:$Q$21,9)=0),"",SUMIFS(DECKS!$D$2:$D$1201,DECKS!$A$2:$A$1201,INDEX(_LEITURA!$P$2:$P$21,9),DECKS!$B$2:$B$1201,$A651))</f>
        <v/>
      </c>
      <c r="T651" s="19" t="str">
        <f aca="false">IF(OR($A651="",INDEX(_LEITURA!$Q$2:$Q$21,10)=0),"",SUMIFS(DECKS!$D$2:$D$1201,DECKS!$A$2:$A$1201,INDEX(_LEITURA!$P$2:$P$21,10),DECKS!$B$2:$B$1201,$A651))</f>
        <v/>
      </c>
      <c r="U651" s="19" t="str">
        <f aca="false">IF(OR($A651="",INDEX(_LEITURA!$Q$2:$Q$21,11)=0),"",SUMIFS(DECKS!$D$2:$D$1201,DECKS!$A$2:$A$1201,INDEX(_LEITURA!$P$2:$P$21,11),DECKS!$B$2:$B$1201,$A651))</f>
        <v/>
      </c>
      <c r="V651" s="19" t="str">
        <f aca="false">IF(OR($A651="",INDEX(_LEITURA!$Q$2:$Q$21,12)=0),"",SUMIFS(DECKS!$D$2:$D$1201,DECKS!$A$2:$A$1201,INDEX(_LEITURA!$P$2:$P$21,12),DECKS!$B$2:$B$1201,$A651))</f>
        <v/>
      </c>
      <c r="W651" s="19" t="str">
        <f aca="false">IF(OR($A651="",INDEX(_LEITURA!$Q$2:$Q$21,13)=0),"",SUMIFS(DECKS!$D$2:$D$1201,DECKS!$A$2:$A$1201,INDEX(_LEITURA!$P$2:$P$21,13),DECKS!$B$2:$B$1201,$A651))</f>
        <v/>
      </c>
      <c r="X651" s="19" t="str">
        <f aca="false">IF(OR($A651="",INDEX(_LEITURA!$Q$2:$Q$21,14)=0),"",SUMIFS(DECKS!$D$2:$D$1201,DECKS!$A$2:$A$1201,INDEX(_LEITURA!$P$2:$P$21,14),DECKS!$B$2:$B$1201,$A651))</f>
        <v/>
      </c>
      <c r="Y651" s="19" t="str">
        <f aca="false">IF(OR($A651="",INDEX(_LEITURA!$Q$2:$Q$21,15)=0),"",SUMIFS(DECKS!$D$2:$D$1201,DECKS!$A$2:$A$1201,INDEX(_LEITURA!$P$2:$P$21,15),DECKS!$B$2:$B$1201,$A651))</f>
        <v/>
      </c>
      <c r="Z651" s="19" t="str">
        <f aca="false">IF(OR($A651="",INDEX(_LEITURA!$Q$2:$Q$21,16)=0),"",SUMIFS(DECKS!$D$2:$D$1201,DECKS!$A$2:$A$1201,INDEX(_LEITURA!$P$2:$P$21,16),DECKS!$B$2:$B$1201,$A651))</f>
        <v/>
      </c>
      <c r="AA651" s="19" t="str">
        <f aca="false">IF(OR($A651="",INDEX(_LEITURA!$Q$2:$Q$21,17)=0),"",SUMIFS(DECKS!$D$2:$D$1201,DECKS!$A$2:$A$1201,INDEX(_LEITURA!$P$2:$P$21,17),DECKS!$B$2:$B$1201,$A651))</f>
        <v/>
      </c>
      <c r="AB651" s="19" t="str">
        <f aca="false">IF(OR($A651="",INDEX(_LEITURA!$Q$2:$Q$21,18)=0),"",SUMIFS(DECKS!$D$2:$D$1201,DECKS!$A$2:$A$1201,INDEX(_LEITURA!$P$2:$P$21,18),DECKS!$B$2:$B$1201,$A651))</f>
        <v/>
      </c>
      <c r="AC651" s="19" t="str">
        <f aca="false">IF(OR($A651="",INDEX(_LEITURA!$Q$2:$Q$21,19)=0),"",SUMIFS(DECKS!$D$2:$D$1201,DECKS!$A$2:$A$1201,INDEX(_LEITURA!$P$2:$P$21,19),DECKS!$B$2:$B$1201,$A651))</f>
        <v/>
      </c>
      <c r="AD651" s="19" t="str">
        <f aca="false">IF(OR($A651="",INDEX(_LEITURA!$Q$2:$Q$21,20)=0),"",SUMIFS(DECKS!$D$2:$D$1201,DECKS!$A$2:$A$1201,INDEX(_LEITURA!$P$2:$P$21,20),DECKS!$B$2:$B$1201,$A651))</f>
        <v/>
      </c>
      <c r="AE651" s="16" t="str">
        <f aca="false">IF(N(E651)&gt;0,MAX(AE$1:AE650)+1,"")</f>
        <v/>
      </c>
      <c r="AF651" s="11" t="str">
        <f aca="false">IF(A651="","",IFERROR(LEFT(A651,FIND("-",A651)-1),A651))</f>
        <v/>
      </c>
      <c r="AG651" s="11" t="str">
        <f aca="false">IF(AF651="","",IF(ISNUMBER(--MID(AF651,1,1)),0,IF(ISNUMBER(--MID(AF651,2,1)),1,IF(ISNUMBER(--MID(AF651,3,1)),2,IF(ISNUMBER(--MID(AF651,4,1)),3,MIN(LEN(AF651),4))))))</f>
        <v/>
      </c>
      <c r="AH651" s="11" t="str">
        <f aca="false">IF(A651="","",LEFT(AF651,AG651)&amp;REPT("0",4-AG651)&amp;RIGHT("000"&amp;IFERROR(VALUE(MID(AF651,AG651+1,9)),0),3)&amp;RIGHT("0000"&amp;IFERROR(VALUE(MID(A651,FIND("-",A651)+1,9)),0),4))</f>
        <v/>
      </c>
      <c r="AI651" s="11" t="str">
        <f aca="false">IF(OR(A651="",N(E651)&lt;=0),"",IF('FALTAS GERAL'!$M$1="Código","K"&amp;AH651&amp;RIGHT("00000"&amp;ROW(),5),IF('FALTAS GERAL'!$M$1="Nome","K"&amp;UPPER(SUBSTITUTE(SUBSTITUTE(SUBSTITUTE(B651,"*",""),"?",""),"~",""))&amp;"0"&amp;AH651&amp;RIGHT("00000"&amp;ROW(),5),IF('FALTAS GERAL'!$M$1="Falta (maior primeiro)","K"&amp;RIGHT("0000"&amp;(9999-E651),4)&amp;AH651&amp;RIGHT("00000"&amp;ROW(),5),IF('FALTAS GERAL'!$M$1="Nº de decks (maior primeiro)","K"&amp;RIGHT("00"&amp;(99-N(G651)),2)&amp;AH651&amp;RIGHT("00000"&amp;ROW(),5),"K"&amp;RIGHT("00000"&amp;ROW(),5))))))</f>
        <v/>
      </c>
      <c r="AJ651" s="11" t="str">
        <f aca="false">IF(AI651="","",COUNTIFS($AI$2:$AI$801,"&lt;"&amp;AI651,$E$2:$E$801,"&gt;0")+1)</f>
        <v/>
      </c>
      <c r="AK651" s="11" t="str">
        <f aca="false">IF(OR(A651="",N(E651)&lt;=0),"",COUNTIFS($AH$2:$AH$801,"&lt;"&amp;AH651,$E$2:$E$801,"&gt;0")+COUNTIFS($AH$2:AH651,AH651,$E$2:E651,"&gt;0"))</f>
        <v/>
      </c>
    </row>
    <row r="652" customFormat="false" ht="15" hidden="false" customHeight="false" outlineLevel="0" collapsed="false">
      <c r="A652" s="11" t="str">
        <f aca="false">IF(INVENTÁRIO!A652="","",INVENTÁRIO!A652)</f>
        <v/>
      </c>
      <c r="B652" s="11" t="str">
        <f aca="false">IF(A652="","",INVENTÁRIO!B652)</f>
        <v/>
      </c>
      <c r="C652" s="16" t="str">
        <f aca="false">IF(A652="","",INVENTÁRIO!C652)</f>
        <v/>
      </c>
      <c r="D652" s="14" t="str">
        <f aca="false">IF(A652="","",MAX(K652:AD652))</f>
        <v/>
      </c>
      <c r="E652" s="14" t="str">
        <f aca="false">IF(A652="","",MAX(0,D652-C652))</f>
        <v/>
      </c>
      <c r="F652" s="16" t="str">
        <f aca="false">IF(A652="","",IF(D652=0,"Fora dos decks",IF(E652=0,"Completo","Falta")))</f>
        <v/>
      </c>
      <c r="G652" s="16" t="str">
        <f aca="false">IF(A652="","",COUNTIF(K652:AD652,"&gt;0"))</f>
        <v/>
      </c>
      <c r="H652" s="16" t="str">
        <f aca="false">IF(A652="","",IF(G652&gt;1,"Sim",""))</f>
        <v/>
      </c>
      <c r="I652" s="18" t="str">
        <f aca="false">IF(A652="","",SUMIFS(DECKS!$D$2:$D$1201,DECKS!$B$2:$B$1201,A652))</f>
        <v/>
      </c>
      <c r="J652" s="18" t="str">
        <f aca="false">IF(A652="","",MAX(0,I652-C652))</f>
        <v/>
      </c>
      <c r="K652" s="19" t="str">
        <f aca="false">IF(OR($A652="",INDEX(_LEITURA!$Q$2:$Q$21,1)=0),"",SUMIFS(DECKS!$D$2:$D$1201,DECKS!$A$2:$A$1201,INDEX(_LEITURA!$P$2:$P$21,1),DECKS!$B$2:$B$1201,$A652))</f>
        <v/>
      </c>
      <c r="L652" s="19" t="str">
        <f aca="false">IF(OR($A652="",INDEX(_LEITURA!$Q$2:$Q$21,2)=0),"",SUMIFS(DECKS!$D$2:$D$1201,DECKS!$A$2:$A$1201,INDEX(_LEITURA!$P$2:$P$21,2),DECKS!$B$2:$B$1201,$A652))</f>
        <v/>
      </c>
      <c r="M652" s="19" t="str">
        <f aca="false">IF(OR($A652="",INDEX(_LEITURA!$Q$2:$Q$21,3)=0),"",SUMIFS(DECKS!$D$2:$D$1201,DECKS!$A$2:$A$1201,INDEX(_LEITURA!$P$2:$P$21,3),DECKS!$B$2:$B$1201,$A652))</f>
        <v/>
      </c>
      <c r="N652" s="19" t="str">
        <f aca="false">IF(OR($A652="",INDEX(_LEITURA!$Q$2:$Q$21,4)=0),"",SUMIFS(DECKS!$D$2:$D$1201,DECKS!$A$2:$A$1201,INDEX(_LEITURA!$P$2:$P$21,4),DECKS!$B$2:$B$1201,$A652))</f>
        <v/>
      </c>
      <c r="O652" s="19" t="str">
        <f aca="false">IF(OR($A652="",INDEX(_LEITURA!$Q$2:$Q$21,5)=0),"",SUMIFS(DECKS!$D$2:$D$1201,DECKS!$A$2:$A$1201,INDEX(_LEITURA!$P$2:$P$21,5),DECKS!$B$2:$B$1201,$A652))</f>
        <v/>
      </c>
      <c r="P652" s="19" t="str">
        <f aca="false">IF(OR($A652="",INDEX(_LEITURA!$Q$2:$Q$21,6)=0),"",SUMIFS(DECKS!$D$2:$D$1201,DECKS!$A$2:$A$1201,INDEX(_LEITURA!$P$2:$P$21,6),DECKS!$B$2:$B$1201,$A652))</f>
        <v/>
      </c>
      <c r="Q652" s="19" t="str">
        <f aca="false">IF(OR($A652="",INDEX(_LEITURA!$Q$2:$Q$21,7)=0),"",SUMIFS(DECKS!$D$2:$D$1201,DECKS!$A$2:$A$1201,INDEX(_LEITURA!$P$2:$P$21,7),DECKS!$B$2:$B$1201,$A652))</f>
        <v/>
      </c>
      <c r="R652" s="19" t="str">
        <f aca="false">IF(OR($A652="",INDEX(_LEITURA!$Q$2:$Q$21,8)=0),"",SUMIFS(DECKS!$D$2:$D$1201,DECKS!$A$2:$A$1201,INDEX(_LEITURA!$P$2:$P$21,8),DECKS!$B$2:$B$1201,$A652))</f>
        <v/>
      </c>
      <c r="S652" s="19" t="str">
        <f aca="false">IF(OR($A652="",INDEX(_LEITURA!$Q$2:$Q$21,9)=0),"",SUMIFS(DECKS!$D$2:$D$1201,DECKS!$A$2:$A$1201,INDEX(_LEITURA!$P$2:$P$21,9),DECKS!$B$2:$B$1201,$A652))</f>
        <v/>
      </c>
      <c r="T652" s="19" t="str">
        <f aca="false">IF(OR($A652="",INDEX(_LEITURA!$Q$2:$Q$21,10)=0),"",SUMIFS(DECKS!$D$2:$D$1201,DECKS!$A$2:$A$1201,INDEX(_LEITURA!$P$2:$P$21,10),DECKS!$B$2:$B$1201,$A652))</f>
        <v/>
      </c>
      <c r="U652" s="19" t="str">
        <f aca="false">IF(OR($A652="",INDEX(_LEITURA!$Q$2:$Q$21,11)=0),"",SUMIFS(DECKS!$D$2:$D$1201,DECKS!$A$2:$A$1201,INDEX(_LEITURA!$P$2:$P$21,11),DECKS!$B$2:$B$1201,$A652))</f>
        <v/>
      </c>
      <c r="V652" s="19" t="str">
        <f aca="false">IF(OR($A652="",INDEX(_LEITURA!$Q$2:$Q$21,12)=0),"",SUMIFS(DECKS!$D$2:$D$1201,DECKS!$A$2:$A$1201,INDEX(_LEITURA!$P$2:$P$21,12),DECKS!$B$2:$B$1201,$A652))</f>
        <v/>
      </c>
      <c r="W652" s="19" t="str">
        <f aca="false">IF(OR($A652="",INDEX(_LEITURA!$Q$2:$Q$21,13)=0),"",SUMIFS(DECKS!$D$2:$D$1201,DECKS!$A$2:$A$1201,INDEX(_LEITURA!$P$2:$P$21,13),DECKS!$B$2:$B$1201,$A652))</f>
        <v/>
      </c>
      <c r="X652" s="19" t="str">
        <f aca="false">IF(OR($A652="",INDEX(_LEITURA!$Q$2:$Q$21,14)=0),"",SUMIFS(DECKS!$D$2:$D$1201,DECKS!$A$2:$A$1201,INDEX(_LEITURA!$P$2:$P$21,14),DECKS!$B$2:$B$1201,$A652))</f>
        <v/>
      </c>
      <c r="Y652" s="19" t="str">
        <f aca="false">IF(OR($A652="",INDEX(_LEITURA!$Q$2:$Q$21,15)=0),"",SUMIFS(DECKS!$D$2:$D$1201,DECKS!$A$2:$A$1201,INDEX(_LEITURA!$P$2:$P$21,15),DECKS!$B$2:$B$1201,$A652))</f>
        <v/>
      </c>
      <c r="Z652" s="19" t="str">
        <f aca="false">IF(OR($A652="",INDEX(_LEITURA!$Q$2:$Q$21,16)=0),"",SUMIFS(DECKS!$D$2:$D$1201,DECKS!$A$2:$A$1201,INDEX(_LEITURA!$P$2:$P$21,16),DECKS!$B$2:$B$1201,$A652))</f>
        <v/>
      </c>
      <c r="AA652" s="19" t="str">
        <f aca="false">IF(OR($A652="",INDEX(_LEITURA!$Q$2:$Q$21,17)=0),"",SUMIFS(DECKS!$D$2:$D$1201,DECKS!$A$2:$A$1201,INDEX(_LEITURA!$P$2:$P$21,17),DECKS!$B$2:$B$1201,$A652))</f>
        <v/>
      </c>
      <c r="AB652" s="19" t="str">
        <f aca="false">IF(OR($A652="",INDEX(_LEITURA!$Q$2:$Q$21,18)=0),"",SUMIFS(DECKS!$D$2:$D$1201,DECKS!$A$2:$A$1201,INDEX(_LEITURA!$P$2:$P$21,18),DECKS!$B$2:$B$1201,$A652))</f>
        <v/>
      </c>
      <c r="AC652" s="19" t="str">
        <f aca="false">IF(OR($A652="",INDEX(_LEITURA!$Q$2:$Q$21,19)=0),"",SUMIFS(DECKS!$D$2:$D$1201,DECKS!$A$2:$A$1201,INDEX(_LEITURA!$P$2:$P$21,19),DECKS!$B$2:$B$1201,$A652))</f>
        <v/>
      </c>
      <c r="AD652" s="19" t="str">
        <f aca="false">IF(OR($A652="",INDEX(_LEITURA!$Q$2:$Q$21,20)=0),"",SUMIFS(DECKS!$D$2:$D$1201,DECKS!$A$2:$A$1201,INDEX(_LEITURA!$P$2:$P$21,20),DECKS!$B$2:$B$1201,$A652))</f>
        <v/>
      </c>
      <c r="AE652" s="16" t="str">
        <f aca="false">IF(N(E652)&gt;0,MAX(AE$1:AE651)+1,"")</f>
        <v/>
      </c>
      <c r="AF652" s="11" t="str">
        <f aca="false">IF(A652="","",IFERROR(LEFT(A652,FIND("-",A652)-1),A652))</f>
        <v/>
      </c>
      <c r="AG652" s="11" t="str">
        <f aca="false">IF(AF652="","",IF(ISNUMBER(--MID(AF652,1,1)),0,IF(ISNUMBER(--MID(AF652,2,1)),1,IF(ISNUMBER(--MID(AF652,3,1)),2,IF(ISNUMBER(--MID(AF652,4,1)),3,MIN(LEN(AF652),4))))))</f>
        <v/>
      </c>
      <c r="AH652" s="11" t="str">
        <f aca="false">IF(A652="","",LEFT(AF652,AG652)&amp;REPT("0",4-AG652)&amp;RIGHT("000"&amp;IFERROR(VALUE(MID(AF652,AG652+1,9)),0),3)&amp;RIGHT("0000"&amp;IFERROR(VALUE(MID(A652,FIND("-",A652)+1,9)),0),4))</f>
        <v/>
      </c>
      <c r="AI652" s="11" t="str">
        <f aca="false">IF(OR(A652="",N(E652)&lt;=0),"",IF('FALTAS GERAL'!$M$1="Código","K"&amp;AH652&amp;RIGHT("00000"&amp;ROW(),5),IF('FALTAS GERAL'!$M$1="Nome","K"&amp;UPPER(SUBSTITUTE(SUBSTITUTE(SUBSTITUTE(B652,"*",""),"?",""),"~",""))&amp;"0"&amp;AH652&amp;RIGHT("00000"&amp;ROW(),5),IF('FALTAS GERAL'!$M$1="Falta (maior primeiro)","K"&amp;RIGHT("0000"&amp;(9999-E652),4)&amp;AH652&amp;RIGHT("00000"&amp;ROW(),5),IF('FALTAS GERAL'!$M$1="Nº de decks (maior primeiro)","K"&amp;RIGHT("00"&amp;(99-N(G652)),2)&amp;AH652&amp;RIGHT("00000"&amp;ROW(),5),"K"&amp;RIGHT("00000"&amp;ROW(),5))))))</f>
        <v/>
      </c>
      <c r="AJ652" s="11" t="str">
        <f aca="false">IF(AI652="","",COUNTIFS($AI$2:$AI$801,"&lt;"&amp;AI652,$E$2:$E$801,"&gt;0")+1)</f>
        <v/>
      </c>
      <c r="AK652" s="11" t="str">
        <f aca="false">IF(OR(A652="",N(E652)&lt;=0),"",COUNTIFS($AH$2:$AH$801,"&lt;"&amp;AH652,$E$2:$E$801,"&gt;0")+COUNTIFS($AH$2:AH652,AH652,$E$2:E652,"&gt;0"))</f>
        <v/>
      </c>
    </row>
    <row r="653" customFormat="false" ht="15" hidden="false" customHeight="false" outlineLevel="0" collapsed="false">
      <c r="A653" s="11" t="str">
        <f aca="false">IF(INVENTÁRIO!A653="","",INVENTÁRIO!A653)</f>
        <v/>
      </c>
      <c r="B653" s="11" t="str">
        <f aca="false">IF(A653="","",INVENTÁRIO!B653)</f>
        <v/>
      </c>
      <c r="C653" s="16" t="str">
        <f aca="false">IF(A653="","",INVENTÁRIO!C653)</f>
        <v/>
      </c>
      <c r="D653" s="14" t="str">
        <f aca="false">IF(A653="","",MAX(K653:AD653))</f>
        <v/>
      </c>
      <c r="E653" s="14" t="str">
        <f aca="false">IF(A653="","",MAX(0,D653-C653))</f>
        <v/>
      </c>
      <c r="F653" s="16" t="str">
        <f aca="false">IF(A653="","",IF(D653=0,"Fora dos decks",IF(E653=0,"Completo","Falta")))</f>
        <v/>
      </c>
      <c r="G653" s="16" t="str">
        <f aca="false">IF(A653="","",COUNTIF(K653:AD653,"&gt;0"))</f>
        <v/>
      </c>
      <c r="H653" s="16" t="str">
        <f aca="false">IF(A653="","",IF(G653&gt;1,"Sim",""))</f>
        <v/>
      </c>
      <c r="I653" s="18" t="str">
        <f aca="false">IF(A653="","",SUMIFS(DECKS!$D$2:$D$1201,DECKS!$B$2:$B$1201,A653))</f>
        <v/>
      </c>
      <c r="J653" s="18" t="str">
        <f aca="false">IF(A653="","",MAX(0,I653-C653))</f>
        <v/>
      </c>
      <c r="K653" s="19" t="str">
        <f aca="false">IF(OR($A653="",INDEX(_LEITURA!$Q$2:$Q$21,1)=0),"",SUMIFS(DECKS!$D$2:$D$1201,DECKS!$A$2:$A$1201,INDEX(_LEITURA!$P$2:$P$21,1),DECKS!$B$2:$B$1201,$A653))</f>
        <v/>
      </c>
      <c r="L653" s="19" t="str">
        <f aca="false">IF(OR($A653="",INDEX(_LEITURA!$Q$2:$Q$21,2)=0),"",SUMIFS(DECKS!$D$2:$D$1201,DECKS!$A$2:$A$1201,INDEX(_LEITURA!$P$2:$P$21,2),DECKS!$B$2:$B$1201,$A653))</f>
        <v/>
      </c>
      <c r="M653" s="19" t="str">
        <f aca="false">IF(OR($A653="",INDEX(_LEITURA!$Q$2:$Q$21,3)=0),"",SUMIFS(DECKS!$D$2:$D$1201,DECKS!$A$2:$A$1201,INDEX(_LEITURA!$P$2:$P$21,3),DECKS!$B$2:$B$1201,$A653))</f>
        <v/>
      </c>
      <c r="N653" s="19" t="str">
        <f aca="false">IF(OR($A653="",INDEX(_LEITURA!$Q$2:$Q$21,4)=0),"",SUMIFS(DECKS!$D$2:$D$1201,DECKS!$A$2:$A$1201,INDEX(_LEITURA!$P$2:$P$21,4),DECKS!$B$2:$B$1201,$A653))</f>
        <v/>
      </c>
      <c r="O653" s="19" t="str">
        <f aca="false">IF(OR($A653="",INDEX(_LEITURA!$Q$2:$Q$21,5)=0),"",SUMIFS(DECKS!$D$2:$D$1201,DECKS!$A$2:$A$1201,INDEX(_LEITURA!$P$2:$P$21,5),DECKS!$B$2:$B$1201,$A653))</f>
        <v/>
      </c>
      <c r="P653" s="19" t="str">
        <f aca="false">IF(OR($A653="",INDEX(_LEITURA!$Q$2:$Q$21,6)=0),"",SUMIFS(DECKS!$D$2:$D$1201,DECKS!$A$2:$A$1201,INDEX(_LEITURA!$P$2:$P$21,6),DECKS!$B$2:$B$1201,$A653))</f>
        <v/>
      </c>
      <c r="Q653" s="19" t="str">
        <f aca="false">IF(OR($A653="",INDEX(_LEITURA!$Q$2:$Q$21,7)=0),"",SUMIFS(DECKS!$D$2:$D$1201,DECKS!$A$2:$A$1201,INDEX(_LEITURA!$P$2:$P$21,7),DECKS!$B$2:$B$1201,$A653))</f>
        <v/>
      </c>
      <c r="R653" s="19" t="str">
        <f aca="false">IF(OR($A653="",INDEX(_LEITURA!$Q$2:$Q$21,8)=0),"",SUMIFS(DECKS!$D$2:$D$1201,DECKS!$A$2:$A$1201,INDEX(_LEITURA!$P$2:$P$21,8),DECKS!$B$2:$B$1201,$A653))</f>
        <v/>
      </c>
      <c r="S653" s="19" t="str">
        <f aca="false">IF(OR($A653="",INDEX(_LEITURA!$Q$2:$Q$21,9)=0),"",SUMIFS(DECKS!$D$2:$D$1201,DECKS!$A$2:$A$1201,INDEX(_LEITURA!$P$2:$P$21,9),DECKS!$B$2:$B$1201,$A653))</f>
        <v/>
      </c>
      <c r="T653" s="19" t="str">
        <f aca="false">IF(OR($A653="",INDEX(_LEITURA!$Q$2:$Q$21,10)=0),"",SUMIFS(DECKS!$D$2:$D$1201,DECKS!$A$2:$A$1201,INDEX(_LEITURA!$P$2:$P$21,10),DECKS!$B$2:$B$1201,$A653))</f>
        <v/>
      </c>
      <c r="U653" s="19" t="str">
        <f aca="false">IF(OR($A653="",INDEX(_LEITURA!$Q$2:$Q$21,11)=0),"",SUMIFS(DECKS!$D$2:$D$1201,DECKS!$A$2:$A$1201,INDEX(_LEITURA!$P$2:$P$21,11),DECKS!$B$2:$B$1201,$A653))</f>
        <v/>
      </c>
      <c r="V653" s="19" t="str">
        <f aca="false">IF(OR($A653="",INDEX(_LEITURA!$Q$2:$Q$21,12)=0),"",SUMIFS(DECKS!$D$2:$D$1201,DECKS!$A$2:$A$1201,INDEX(_LEITURA!$P$2:$P$21,12),DECKS!$B$2:$B$1201,$A653))</f>
        <v/>
      </c>
      <c r="W653" s="19" t="str">
        <f aca="false">IF(OR($A653="",INDEX(_LEITURA!$Q$2:$Q$21,13)=0),"",SUMIFS(DECKS!$D$2:$D$1201,DECKS!$A$2:$A$1201,INDEX(_LEITURA!$P$2:$P$21,13),DECKS!$B$2:$B$1201,$A653))</f>
        <v/>
      </c>
      <c r="X653" s="19" t="str">
        <f aca="false">IF(OR($A653="",INDEX(_LEITURA!$Q$2:$Q$21,14)=0),"",SUMIFS(DECKS!$D$2:$D$1201,DECKS!$A$2:$A$1201,INDEX(_LEITURA!$P$2:$P$21,14),DECKS!$B$2:$B$1201,$A653))</f>
        <v/>
      </c>
      <c r="Y653" s="19" t="str">
        <f aca="false">IF(OR($A653="",INDEX(_LEITURA!$Q$2:$Q$21,15)=0),"",SUMIFS(DECKS!$D$2:$D$1201,DECKS!$A$2:$A$1201,INDEX(_LEITURA!$P$2:$P$21,15),DECKS!$B$2:$B$1201,$A653))</f>
        <v/>
      </c>
      <c r="Z653" s="19" t="str">
        <f aca="false">IF(OR($A653="",INDEX(_LEITURA!$Q$2:$Q$21,16)=0),"",SUMIFS(DECKS!$D$2:$D$1201,DECKS!$A$2:$A$1201,INDEX(_LEITURA!$P$2:$P$21,16),DECKS!$B$2:$B$1201,$A653))</f>
        <v/>
      </c>
      <c r="AA653" s="19" t="str">
        <f aca="false">IF(OR($A653="",INDEX(_LEITURA!$Q$2:$Q$21,17)=0),"",SUMIFS(DECKS!$D$2:$D$1201,DECKS!$A$2:$A$1201,INDEX(_LEITURA!$P$2:$P$21,17),DECKS!$B$2:$B$1201,$A653))</f>
        <v/>
      </c>
      <c r="AB653" s="19" t="str">
        <f aca="false">IF(OR($A653="",INDEX(_LEITURA!$Q$2:$Q$21,18)=0),"",SUMIFS(DECKS!$D$2:$D$1201,DECKS!$A$2:$A$1201,INDEX(_LEITURA!$P$2:$P$21,18),DECKS!$B$2:$B$1201,$A653))</f>
        <v/>
      </c>
      <c r="AC653" s="19" t="str">
        <f aca="false">IF(OR($A653="",INDEX(_LEITURA!$Q$2:$Q$21,19)=0),"",SUMIFS(DECKS!$D$2:$D$1201,DECKS!$A$2:$A$1201,INDEX(_LEITURA!$P$2:$P$21,19),DECKS!$B$2:$B$1201,$A653))</f>
        <v/>
      </c>
      <c r="AD653" s="19" t="str">
        <f aca="false">IF(OR($A653="",INDEX(_LEITURA!$Q$2:$Q$21,20)=0),"",SUMIFS(DECKS!$D$2:$D$1201,DECKS!$A$2:$A$1201,INDEX(_LEITURA!$P$2:$P$21,20),DECKS!$B$2:$B$1201,$A653))</f>
        <v/>
      </c>
      <c r="AE653" s="16" t="str">
        <f aca="false">IF(N(E653)&gt;0,MAX(AE$1:AE652)+1,"")</f>
        <v/>
      </c>
      <c r="AF653" s="11" t="str">
        <f aca="false">IF(A653="","",IFERROR(LEFT(A653,FIND("-",A653)-1),A653))</f>
        <v/>
      </c>
      <c r="AG653" s="11" t="str">
        <f aca="false">IF(AF653="","",IF(ISNUMBER(--MID(AF653,1,1)),0,IF(ISNUMBER(--MID(AF653,2,1)),1,IF(ISNUMBER(--MID(AF653,3,1)),2,IF(ISNUMBER(--MID(AF653,4,1)),3,MIN(LEN(AF653),4))))))</f>
        <v/>
      </c>
      <c r="AH653" s="11" t="str">
        <f aca="false">IF(A653="","",LEFT(AF653,AG653)&amp;REPT("0",4-AG653)&amp;RIGHT("000"&amp;IFERROR(VALUE(MID(AF653,AG653+1,9)),0),3)&amp;RIGHT("0000"&amp;IFERROR(VALUE(MID(A653,FIND("-",A653)+1,9)),0),4))</f>
        <v/>
      </c>
      <c r="AI653" s="11" t="str">
        <f aca="false">IF(OR(A653="",N(E653)&lt;=0),"",IF('FALTAS GERAL'!$M$1="Código","K"&amp;AH653&amp;RIGHT("00000"&amp;ROW(),5),IF('FALTAS GERAL'!$M$1="Nome","K"&amp;UPPER(SUBSTITUTE(SUBSTITUTE(SUBSTITUTE(B653,"*",""),"?",""),"~",""))&amp;"0"&amp;AH653&amp;RIGHT("00000"&amp;ROW(),5),IF('FALTAS GERAL'!$M$1="Falta (maior primeiro)","K"&amp;RIGHT("0000"&amp;(9999-E653),4)&amp;AH653&amp;RIGHT("00000"&amp;ROW(),5),IF('FALTAS GERAL'!$M$1="Nº de decks (maior primeiro)","K"&amp;RIGHT("00"&amp;(99-N(G653)),2)&amp;AH653&amp;RIGHT("00000"&amp;ROW(),5),"K"&amp;RIGHT("00000"&amp;ROW(),5))))))</f>
        <v/>
      </c>
      <c r="AJ653" s="11" t="str">
        <f aca="false">IF(AI653="","",COUNTIFS($AI$2:$AI$801,"&lt;"&amp;AI653,$E$2:$E$801,"&gt;0")+1)</f>
        <v/>
      </c>
      <c r="AK653" s="11" t="str">
        <f aca="false">IF(OR(A653="",N(E653)&lt;=0),"",COUNTIFS($AH$2:$AH$801,"&lt;"&amp;AH653,$E$2:$E$801,"&gt;0")+COUNTIFS($AH$2:AH653,AH653,$E$2:E653,"&gt;0"))</f>
        <v/>
      </c>
    </row>
    <row r="654" customFormat="false" ht="15" hidden="false" customHeight="false" outlineLevel="0" collapsed="false">
      <c r="A654" s="11" t="str">
        <f aca="false">IF(INVENTÁRIO!A654="","",INVENTÁRIO!A654)</f>
        <v/>
      </c>
      <c r="B654" s="11" t="str">
        <f aca="false">IF(A654="","",INVENTÁRIO!B654)</f>
        <v/>
      </c>
      <c r="C654" s="16" t="str">
        <f aca="false">IF(A654="","",INVENTÁRIO!C654)</f>
        <v/>
      </c>
      <c r="D654" s="14" t="str">
        <f aca="false">IF(A654="","",MAX(K654:AD654))</f>
        <v/>
      </c>
      <c r="E654" s="14" t="str">
        <f aca="false">IF(A654="","",MAX(0,D654-C654))</f>
        <v/>
      </c>
      <c r="F654" s="16" t="str">
        <f aca="false">IF(A654="","",IF(D654=0,"Fora dos decks",IF(E654=0,"Completo","Falta")))</f>
        <v/>
      </c>
      <c r="G654" s="16" t="str">
        <f aca="false">IF(A654="","",COUNTIF(K654:AD654,"&gt;0"))</f>
        <v/>
      </c>
      <c r="H654" s="16" t="str">
        <f aca="false">IF(A654="","",IF(G654&gt;1,"Sim",""))</f>
        <v/>
      </c>
      <c r="I654" s="18" t="str">
        <f aca="false">IF(A654="","",SUMIFS(DECKS!$D$2:$D$1201,DECKS!$B$2:$B$1201,A654))</f>
        <v/>
      </c>
      <c r="J654" s="18" t="str">
        <f aca="false">IF(A654="","",MAX(0,I654-C654))</f>
        <v/>
      </c>
      <c r="K654" s="19" t="str">
        <f aca="false">IF(OR($A654="",INDEX(_LEITURA!$Q$2:$Q$21,1)=0),"",SUMIFS(DECKS!$D$2:$D$1201,DECKS!$A$2:$A$1201,INDEX(_LEITURA!$P$2:$P$21,1),DECKS!$B$2:$B$1201,$A654))</f>
        <v/>
      </c>
      <c r="L654" s="19" t="str">
        <f aca="false">IF(OR($A654="",INDEX(_LEITURA!$Q$2:$Q$21,2)=0),"",SUMIFS(DECKS!$D$2:$D$1201,DECKS!$A$2:$A$1201,INDEX(_LEITURA!$P$2:$P$21,2),DECKS!$B$2:$B$1201,$A654))</f>
        <v/>
      </c>
      <c r="M654" s="19" t="str">
        <f aca="false">IF(OR($A654="",INDEX(_LEITURA!$Q$2:$Q$21,3)=0),"",SUMIFS(DECKS!$D$2:$D$1201,DECKS!$A$2:$A$1201,INDEX(_LEITURA!$P$2:$P$21,3),DECKS!$B$2:$B$1201,$A654))</f>
        <v/>
      </c>
      <c r="N654" s="19" t="str">
        <f aca="false">IF(OR($A654="",INDEX(_LEITURA!$Q$2:$Q$21,4)=0),"",SUMIFS(DECKS!$D$2:$D$1201,DECKS!$A$2:$A$1201,INDEX(_LEITURA!$P$2:$P$21,4),DECKS!$B$2:$B$1201,$A654))</f>
        <v/>
      </c>
      <c r="O654" s="19" t="str">
        <f aca="false">IF(OR($A654="",INDEX(_LEITURA!$Q$2:$Q$21,5)=0),"",SUMIFS(DECKS!$D$2:$D$1201,DECKS!$A$2:$A$1201,INDEX(_LEITURA!$P$2:$P$21,5),DECKS!$B$2:$B$1201,$A654))</f>
        <v/>
      </c>
      <c r="P654" s="19" t="str">
        <f aca="false">IF(OR($A654="",INDEX(_LEITURA!$Q$2:$Q$21,6)=0),"",SUMIFS(DECKS!$D$2:$D$1201,DECKS!$A$2:$A$1201,INDEX(_LEITURA!$P$2:$P$21,6),DECKS!$B$2:$B$1201,$A654))</f>
        <v/>
      </c>
      <c r="Q654" s="19" t="str">
        <f aca="false">IF(OR($A654="",INDEX(_LEITURA!$Q$2:$Q$21,7)=0),"",SUMIFS(DECKS!$D$2:$D$1201,DECKS!$A$2:$A$1201,INDEX(_LEITURA!$P$2:$P$21,7),DECKS!$B$2:$B$1201,$A654))</f>
        <v/>
      </c>
      <c r="R654" s="19" t="str">
        <f aca="false">IF(OR($A654="",INDEX(_LEITURA!$Q$2:$Q$21,8)=0),"",SUMIFS(DECKS!$D$2:$D$1201,DECKS!$A$2:$A$1201,INDEX(_LEITURA!$P$2:$P$21,8),DECKS!$B$2:$B$1201,$A654))</f>
        <v/>
      </c>
      <c r="S654" s="19" t="str">
        <f aca="false">IF(OR($A654="",INDEX(_LEITURA!$Q$2:$Q$21,9)=0),"",SUMIFS(DECKS!$D$2:$D$1201,DECKS!$A$2:$A$1201,INDEX(_LEITURA!$P$2:$P$21,9),DECKS!$B$2:$B$1201,$A654))</f>
        <v/>
      </c>
      <c r="T654" s="19" t="str">
        <f aca="false">IF(OR($A654="",INDEX(_LEITURA!$Q$2:$Q$21,10)=0),"",SUMIFS(DECKS!$D$2:$D$1201,DECKS!$A$2:$A$1201,INDEX(_LEITURA!$P$2:$P$21,10),DECKS!$B$2:$B$1201,$A654))</f>
        <v/>
      </c>
      <c r="U654" s="19" t="str">
        <f aca="false">IF(OR($A654="",INDEX(_LEITURA!$Q$2:$Q$21,11)=0),"",SUMIFS(DECKS!$D$2:$D$1201,DECKS!$A$2:$A$1201,INDEX(_LEITURA!$P$2:$P$21,11),DECKS!$B$2:$B$1201,$A654))</f>
        <v/>
      </c>
      <c r="V654" s="19" t="str">
        <f aca="false">IF(OR($A654="",INDEX(_LEITURA!$Q$2:$Q$21,12)=0),"",SUMIFS(DECKS!$D$2:$D$1201,DECKS!$A$2:$A$1201,INDEX(_LEITURA!$P$2:$P$21,12),DECKS!$B$2:$B$1201,$A654))</f>
        <v/>
      </c>
      <c r="W654" s="19" t="str">
        <f aca="false">IF(OR($A654="",INDEX(_LEITURA!$Q$2:$Q$21,13)=0),"",SUMIFS(DECKS!$D$2:$D$1201,DECKS!$A$2:$A$1201,INDEX(_LEITURA!$P$2:$P$21,13),DECKS!$B$2:$B$1201,$A654))</f>
        <v/>
      </c>
      <c r="X654" s="19" t="str">
        <f aca="false">IF(OR($A654="",INDEX(_LEITURA!$Q$2:$Q$21,14)=0),"",SUMIFS(DECKS!$D$2:$D$1201,DECKS!$A$2:$A$1201,INDEX(_LEITURA!$P$2:$P$21,14),DECKS!$B$2:$B$1201,$A654))</f>
        <v/>
      </c>
      <c r="Y654" s="19" t="str">
        <f aca="false">IF(OR($A654="",INDEX(_LEITURA!$Q$2:$Q$21,15)=0),"",SUMIFS(DECKS!$D$2:$D$1201,DECKS!$A$2:$A$1201,INDEX(_LEITURA!$P$2:$P$21,15),DECKS!$B$2:$B$1201,$A654))</f>
        <v/>
      </c>
      <c r="Z654" s="19" t="str">
        <f aca="false">IF(OR($A654="",INDEX(_LEITURA!$Q$2:$Q$21,16)=0),"",SUMIFS(DECKS!$D$2:$D$1201,DECKS!$A$2:$A$1201,INDEX(_LEITURA!$P$2:$P$21,16),DECKS!$B$2:$B$1201,$A654))</f>
        <v/>
      </c>
      <c r="AA654" s="19" t="str">
        <f aca="false">IF(OR($A654="",INDEX(_LEITURA!$Q$2:$Q$21,17)=0),"",SUMIFS(DECKS!$D$2:$D$1201,DECKS!$A$2:$A$1201,INDEX(_LEITURA!$P$2:$P$21,17),DECKS!$B$2:$B$1201,$A654))</f>
        <v/>
      </c>
      <c r="AB654" s="19" t="str">
        <f aca="false">IF(OR($A654="",INDEX(_LEITURA!$Q$2:$Q$21,18)=0),"",SUMIFS(DECKS!$D$2:$D$1201,DECKS!$A$2:$A$1201,INDEX(_LEITURA!$P$2:$P$21,18),DECKS!$B$2:$B$1201,$A654))</f>
        <v/>
      </c>
      <c r="AC654" s="19" t="str">
        <f aca="false">IF(OR($A654="",INDEX(_LEITURA!$Q$2:$Q$21,19)=0),"",SUMIFS(DECKS!$D$2:$D$1201,DECKS!$A$2:$A$1201,INDEX(_LEITURA!$P$2:$P$21,19),DECKS!$B$2:$B$1201,$A654))</f>
        <v/>
      </c>
      <c r="AD654" s="19" t="str">
        <f aca="false">IF(OR($A654="",INDEX(_LEITURA!$Q$2:$Q$21,20)=0),"",SUMIFS(DECKS!$D$2:$D$1201,DECKS!$A$2:$A$1201,INDEX(_LEITURA!$P$2:$P$21,20),DECKS!$B$2:$B$1201,$A654))</f>
        <v/>
      </c>
      <c r="AE654" s="16" t="str">
        <f aca="false">IF(N(E654)&gt;0,MAX(AE$1:AE653)+1,"")</f>
        <v/>
      </c>
      <c r="AF654" s="11" t="str">
        <f aca="false">IF(A654="","",IFERROR(LEFT(A654,FIND("-",A654)-1),A654))</f>
        <v/>
      </c>
      <c r="AG654" s="11" t="str">
        <f aca="false">IF(AF654="","",IF(ISNUMBER(--MID(AF654,1,1)),0,IF(ISNUMBER(--MID(AF654,2,1)),1,IF(ISNUMBER(--MID(AF654,3,1)),2,IF(ISNUMBER(--MID(AF654,4,1)),3,MIN(LEN(AF654),4))))))</f>
        <v/>
      </c>
      <c r="AH654" s="11" t="str">
        <f aca="false">IF(A654="","",LEFT(AF654,AG654)&amp;REPT("0",4-AG654)&amp;RIGHT("000"&amp;IFERROR(VALUE(MID(AF654,AG654+1,9)),0),3)&amp;RIGHT("0000"&amp;IFERROR(VALUE(MID(A654,FIND("-",A654)+1,9)),0),4))</f>
        <v/>
      </c>
      <c r="AI654" s="11" t="str">
        <f aca="false">IF(OR(A654="",N(E654)&lt;=0),"",IF('FALTAS GERAL'!$M$1="Código","K"&amp;AH654&amp;RIGHT("00000"&amp;ROW(),5),IF('FALTAS GERAL'!$M$1="Nome","K"&amp;UPPER(SUBSTITUTE(SUBSTITUTE(SUBSTITUTE(B654,"*",""),"?",""),"~",""))&amp;"0"&amp;AH654&amp;RIGHT("00000"&amp;ROW(),5),IF('FALTAS GERAL'!$M$1="Falta (maior primeiro)","K"&amp;RIGHT("0000"&amp;(9999-E654),4)&amp;AH654&amp;RIGHT("00000"&amp;ROW(),5),IF('FALTAS GERAL'!$M$1="Nº de decks (maior primeiro)","K"&amp;RIGHT("00"&amp;(99-N(G654)),2)&amp;AH654&amp;RIGHT("00000"&amp;ROW(),5),"K"&amp;RIGHT("00000"&amp;ROW(),5))))))</f>
        <v/>
      </c>
      <c r="AJ654" s="11" t="str">
        <f aca="false">IF(AI654="","",COUNTIFS($AI$2:$AI$801,"&lt;"&amp;AI654,$E$2:$E$801,"&gt;0")+1)</f>
        <v/>
      </c>
      <c r="AK654" s="11" t="str">
        <f aca="false">IF(OR(A654="",N(E654)&lt;=0),"",COUNTIFS($AH$2:$AH$801,"&lt;"&amp;AH654,$E$2:$E$801,"&gt;0")+COUNTIFS($AH$2:AH654,AH654,$E$2:E654,"&gt;0"))</f>
        <v/>
      </c>
    </row>
    <row r="655" customFormat="false" ht="15" hidden="false" customHeight="false" outlineLevel="0" collapsed="false">
      <c r="A655" s="11" t="str">
        <f aca="false">IF(INVENTÁRIO!A655="","",INVENTÁRIO!A655)</f>
        <v/>
      </c>
      <c r="B655" s="11" t="str">
        <f aca="false">IF(A655="","",INVENTÁRIO!B655)</f>
        <v/>
      </c>
      <c r="C655" s="16" t="str">
        <f aca="false">IF(A655="","",INVENTÁRIO!C655)</f>
        <v/>
      </c>
      <c r="D655" s="14" t="str">
        <f aca="false">IF(A655="","",MAX(K655:AD655))</f>
        <v/>
      </c>
      <c r="E655" s="14" t="str">
        <f aca="false">IF(A655="","",MAX(0,D655-C655))</f>
        <v/>
      </c>
      <c r="F655" s="16" t="str">
        <f aca="false">IF(A655="","",IF(D655=0,"Fora dos decks",IF(E655=0,"Completo","Falta")))</f>
        <v/>
      </c>
      <c r="G655" s="16" t="str">
        <f aca="false">IF(A655="","",COUNTIF(K655:AD655,"&gt;0"))</f>
        <v/>
      </c>
      <c r="H655" s="16" t="str">
        <f aca="false">IF(A655="","",IF(G655&gt;1,"Sim",""))</f>
        <v/>
      </c>
      <c r="I655" s="18" t="str">
        <f aca="false">IF(A655="","",SUMIFS(DECKS!$D$2:$D$1201,DECKS!$B$2:$B$1201,A655))</f>
        <v/>
      </c>
      <c r="J655" s="18" t="str">
        <f aca="false">IF(A655="","",MAX(0,I655-C655))</f>
        <v/>
      </c>
      <c r="K655" s="19" t="str">
        <f aca="false">IF(OR($A655="",INDEX(_LEITURA!$Q$2:$Q$21,1)=0),"",SUMIFS(DECKS!$D$2:$D$1201,DECKS!$A$2:$A$1201,INDEX(_LEITURA!$P$2:$P$21,1),DECKS!$B$2:$B$1201,$A655))</f>
        <v/>
      </c>
      <c r="L655" s="19" t="str">
        <f aca="false">IF(OR($A655="",INDEX(_LEITURA!$Q$2:$Q$21,2)=0),"",SUMIFS(DECKS!$D$2:$D$1201,DECKS!$A$2:$A$1201,INDEX(_LEITURA!$P$2:$P$21,2),DECKS!$B$2:$B$1201,$A655))</f>
        <v/>
      </c>
      <c r="M655" s="19" t="str">
        <f aca="false">IF(OR($A655="",INDEX(_LEITURA!$Q$2:$Q$21,3)=0),"",SUMIFS(DECKS!$D$2:$D$1201,DECKS!$A$2:$A$1201,INDEX(_LEITURA!$P$2:$P$21,3),DECKS!$B$2:$B$1201,$A655))</f>
        <v/>
      </c>
      <c r="N655" s="19" t="str">
        <f aca="false">IF(OR($A655="",INDEX(_LEITURA!$Q$2:$Q$21,4)=0),"",SUMIFS(DECKS!$D$2:$D$1201,DECKS!$A$2:$A$1201,INDEX(_LEITURA!$P$2:$P$21,4),DECKS!$B$2:$B$1201,$A655))</f>
        <v/>
      </c>
      <c r="O655" s="19" t="str">
        <f aca="false">IF(OR($A655="",INDEX(_LEITURA!$Q$2:$Q$21,5)=0),"",SUMIFS(DECKS!$D$2:$D$1201,DECKS!$A$2:$A$1201,INDEX(_LEITURA!$P$2:$P$21,5),DECKS!$B$2:$B$1201,$A655))</f>
        <v/>
      </c>
      <c r="P655" s="19" t="str">
        <f aca="false">IF(OR($A655="",INDEX(_LEITURA!$Q$2:$Q$21,6)=0),"",SUMIFS(DECKS!$D$2:$D$1201,DECKS!$A$2:$A$1201,INDEX(_LEITURA!$P$2:$P$21,6),DECKS!$B$2:$B$1201,$A655))</f>
        <v/>
      </c>
      <c r="Q655" s="19" t="str">
        <f aca="false">IF(OR($A655="",INDEX(_LEITURA!$Q$2:$Q$21,7)=0),"",SUMIFS(DECKS!$D$2:$D$1201,DECKS!$A$2:$A$1201,INDEX(_LEITURA!$P$2:$P$21,7),DECKS!$B$2:$B$1201,$A655))</f>
        <v/>
      </c>
      <c r="R655" s="19" t="str">
        <f aca="false">IF(OR($A655="",INDEX(_LEITURA!$Q$2:$Q$21,8)=0),"",SUMIFS(DECKS!$D$2:$D$1201,DECKS!$A$2:$A$1201,INDEX(_LEITURA!$P$2:$P$21,8),DECKS!$B$2:$B$1201,$A655))</f>
        <v/>
      </c>
      <c r="S655" s="19" t="str">
        <f aca="false">IF(OR($A655="",INDEX(_LEITURA!$Q$2:$Q$21,9)=0),"",SUMIFS(DECKS!$D$2:$D$1201,DECKS!$A$2:$A$1201,INDEX(_LEITURA!$P$2:$P$21,9),DECKS!$B$2:$B$1201,$A655))</f>
        <v/>
      </c>
      <c r="T655" s="19" t="str">
        <f aca="false">IF(OR($A655="",INDEX(_LEITURA!$Q$2:$Q$21,10)=0),"",SUMIFS(DECKS!$D$2:$D$1201,DECKS!$A$2:$A$1201,INDEX(_LEITURA!$P$2:$P$21,10),DECKS!$B$2:$B$1201,$A655))</f>
        <v/>
      </c>
      <c r="U655" s="19" t="str">
        <f aca="false">IF(OR($A655="",INDEX(_LEITURA!$Q$2:$Q$21,11)=0),"",SUMIFS(DECKS!$D$2:$D$1201,DECKS!$A$2:$A$1201,INDEX(_LEITURA!$P$2:$P$21,11),DECKS!$B$2:$B$1201,$A655))</f>
        <v/>
      </c>
      <c r="V655" s="19" t="str">
        <f aca="false">IF(OR($A655="",INDEX(_LEITURA!$Q$2:$Q$21,12)=0),"",SUMIFS(DECKS!$D$2:$D$1201,DECKS!$A$2:$A$1201,INDEX(_LEITURA!$P$2:$P$21,12),DECKS!$B$2:$B$1201,$A655))</f>
        <v/>
      </c>
      <c r="W655" s="19" t="str">
        <f aca="false">IF(OR($A655="",INDEX(_LEITURA!$Q$2:$Q$21,13)=0),"",SUMIFS(DECKS!$D$2:$D$1201,DECKS!$A$2:$A$1201,INDEX(_LEITURA!$P$2:$P$21,13),DECKS!$B$2:$B$1201,$A655))</f>
        <v/>
      </c>
      <c r="X655" s="19" t="str">
        <f aca="false">IF(OR($A655="",INDEX(_LEITURA!$Q$2:$Q$21,14)=0),"",SUMIFS(DECKS!$D$2:$D$1201,DECKS!$A$2:$A$1201,INDEX(_LEITURA!$P$2:$P$21,14),DECKS!$B$2:$B$1201,$A655))</f>
        <v/>
      </c>
      <c r="Y655" s="19" t="str">
        <f aca="false">IF(OR($A655="",INDEX(_LEITURA!$Q$2:$Q$21,15)=0),"",SUMIFS(DECKS!$D$2:$D$1201,DECKS!$A$2:$A$1201,INDEX(_LEITURA!$P$2:$P$21,15),DECKS!$B$2:$B$1201,$A655))</f>
        <v/>
      </c>
      <c r="Z655" s="19" t="str">
        <f aca="false">IF(OR($A655="",INDEX(_LEITURA!$Q$2:$Q$21,16)=0),"",SUMIFS(DECKS!$D$2:$D$1201,DECKS!$A$2:$A$1201,INDEX(_LEITURA!$P$2:$P$21,16),DECKS!$B$2:$B$1201,$A655))</f>
        <v/>
      </c>
      <c r="AA655" s="19" t="str">
        <f aca="false">IF(OR($A655="",INDEX(_LEITURA!$Q$2:$Q$21,17)=0),"",SUMIFS(DECKS!$D$2:$D$1201,DECKS!$A$2:$A$1201,INDEX(_LEITURA!$P$2:$P$21,17),DECKS!$B$2:$B$1201,$A655))</f>
        <v/>
      </c>
      <c r="AB655" s="19" t="str">
        <f aca="false">IF(OR($A655="",INDEX(_LEITURA!$Q$2:$Q$21,18)=0),"",SUMIFS(DECKS!$D$2:$D$1201,DECKS!$A$2:$A$1201,INDEX(_LEITURA!$P$2:$P$21,18),DECKS!$B$2:$B$1201,$A655))</f>
        <v/>
      </c>
      <c r="AC655" s="19" t="str">
        <f aca="false">IF(OR($A655="",INDEX(_LEITURA!$Q$2:$Q$21,19)=0),"",SUMIFS(DECKS!$D$2:$D$1201,DECKS!$A$2:$A$1201,INDEX(_LEITURA!$P$2:$P$21,19),DECKS!$B$2:$B$1201,$A655))</f>
        <v/>
      </c>
      <c r="AD655" s="19" t="str">
        <f aca="false">IF(OR($A655="",INDEX(_LEITURA!$Q$2:$Q$21,20)=0),"",SUMIFS(DECKS!$D$2:$D$1201,DECKS!$A$2:$A$1201,INDEX(_LEITURA!$P$2:$P$21,20),DECKS!$B$2:$B$1201,$A655))</f>
        <v/>
      </c>
      <c r="AE655" s="16" t="str">
        <f aca="false">IF(N(E655)&gt;0,MAX(AE$1:AE654)+1,"")</f>
        <v/>
      </c>
      <c r="AF655" s="11" t="str">
        <f aca="false">IF(A655="","",IFERROR(LEFT(A655,FIND("-",A655)-1),A655))</f>
        <v/>
      </c>
      <c r="AG655" s="11" t="str">
        <f aca="false">IF(AF655="","",IF(ISNUMBER(--MID(AF655,1,1)),0,IF(ISNUMBER(--MID(AF655,2,1)),1,IF(ISNUMBER(--MID(AF655,3,1)),2,IF(ISNUMBER(--MID(AF655,4,1)),3,MIN(LEN(AF655),4))))))</f>
        <v/>
      </c>
      <c r="AH655" s="11" t="str">
        <f aca="false">IF(A655="","",LEFT(AF655,AG655)&amp;REPT("0",4-AG655)&amp;RIGHT("000"&amp;IFERROR(VALUE(MID(AF655,AG655+1,9)),0),3)&amp;RIGHT("0000"&amp;IFERROR(VALUE(MID(A655,FIND("-",A655)+1,9)),0),4))</f>
        <v/>
      </c>
      <c r="AI655" s="11" t="str">
        <f aca="false">IF(OR(A655="",N(E655)&lt;=0),"",IF('FALTAS GERAL'!$M$1="Código","K"&amp;AH655&amp;RIGHT("00000"&amp;ROW(),5),IF('FALTAS GERAL'!$M$1="Nome","K"&amp;UPPER(SUBSTITUTE(SUBSTITUTE(SUBSTITUTE(B655,"*",""),"?",""),"~",""))&amp;"0"&amp;AH655&amp;RIGHT("00000"&amp;ROW(),5),IF('FALTAS GERAL'!$M$1="Falta (maior primeiro)","K"&amp;RIGHT("0000"&amp;(9999-E655),4)&amp;AH655&amp;RIGHT("00000"&amp;ROW(),5),IF('FALTAS GERAL'!$M$1="Nº de decks (maior primeiro)","K"&amp;RIGHT("00"&amp;(99-N(G655)),2)&amp;AH655&amp;RIGHT("00000"&amp;ROW(),5),"K"&amp;RIGHT("00000"&amp;ROW(),5))))))</f>
        <v/>
      </c>
      <c r="AJ655" s="11" t="str">
        <f aca="false">IF(AI655="","",COUNTIFS($AI$2:$AI$801,"&lt;"&amp;AI655,$E$2:$E$801,"&gt;0")+1)</f>
        <v/>
      </c>
      <c r="AK655" s="11" t="str">
        <f aca="false">IF(OR(A655="",N(E655)&lt;=0),"",COUNTIFS($AH$2:$AH$801,"&lt;"&amp;AH655,$E$2:$E$801,"&gt;0")+COUNTIFS($AH$2:AH655,AH655,$E$2:E655,"&gt;0"))</f>
        <v/>
      </c>
    </row>
    <row r="656" customFormat="false" ht="15" hidden="false" customHeight="false" outlineLevel="0" collapsed="false">
      <c r="A656" s="11" t="str">
        <f aca="false">IF(INVENTÁRIO!A656="","",INVENTÁRIO!A656)</f>
        <v/>
      </c>
      <c r="B656" s="11" t="str">
        <f aca="false">IF(A656="","",INVENTÁRIO!B656)</f>
        <v/>
      </c>
      <c r="C656" s="16" t="str">
        <f aca="false">IF(A656="","",INVENTÁRIO!C656)</f>
        <v/>
      </c>
      <c r="D656" s="14" t="str">
        <f aca="false">IF(A656="","",MAX(K656:AD656))</f>
        <v/>
      </c>
      <c r="E656" s="14" t="str">
        <f aca="false">IF(A656="","",MAX(0,D656-C656))</f>
        <v/>
      </c>
      <c r="F656" s="16" t="str">
        <f aca="false">IF(A656="","",IF(D656=0,"Fora dos decks",IF(E656=0,"Completo","Falta")))</f>
        <v/>
      </c>
      <c r="G656" s="16" t="str">
        <f aca="false">IF(A656="","",COUNTIF(K656:AD656,"&gt;0"))</f>
        <v/>
      </c>
      <c r="H656" s="16" t="str">
        <f aca="false">IF(A656="","",IF(G656&gt;1,"Sim",""))</f>
        <v/>
      </c>
      <c r="I656" s="18" t="str">
        <f aca="false">IF(A656="","",SUMIFS(DECKS!$D$2:$D$1201,DECKS!$B$2:$B$1201,A656))</f>
        <v/>
      </c>
      <c r="J656" s="18" t="str">
        <f aca="false">IF(A656="","",MAX(0,I656-C656))</f>
        <v/>
      </c>
      <c r="K656" s="19" t="str">
        <f aca="false">IF(OR($A656="",INDEX(_LEITURA!$Q$2:$Q$21,1)=0),"",SUMIFS(DECKS!$D$2:$D$1201,DECKS!$A$2:$A$1201,INDEX(_LEITURA!$P$2:$P$21,1),DECKS!$B$2:$B$1201,$A656))</f>
        <v/>
      </c>
      <c r="L656" s="19" t="str">
        <f aca="false">IF(OR($A656="",INDEX(_LEITURA!$Q$2:$Q$21,2)=0),"",SUMIFS(DECKS!$D$2:$D$1201,DECKS!$A$2:$A$1201,INDEX(_LEITURA!$P$2:$P$21,2),DECKS!$B$2:$B$1201,$A656))</f>
        <v/>
      </c>
      <c r="M656" s="19" t="str">
        <f aca="false">IF(OR($A656="",INDEX(_LEITURA!$Q$2:$Q$21,3)=0),"",SUMIFS(DECKS!$D$2:$D$1201,DECKS!$A$2:$A$1201,INDEX(_LEITURA!$P$2:$P$21,3),DECKS!$B$2:$B$1201,$A656))</f>
        <v/>
      </c>
      <c r="N656" s="19" t="str">
        <f aca="false">IF(OR($A656="",INDEX(_LEITURA!$Q$2:$Q$21,4)=0),"",SUMIFS(DECKS!$D$2:$D$1201,DECKS!$A$2:$A$1201,INDEX(_LEITURA!$P$2:$P$21,4),DECKS!$B$2:$B$1201,$A656))</f>
        <v/>
      </c>
      <c r="O656" s="19" t="str">
        <f aca="false">IF(OR($A656="",INDEX(_LEITURA!$Q$2:$Q$21,5)=0),"",SUMIFS(DECKS!$D$2:$D$1201,DECKS!$A$2:$A$1201,INDEX(_LEITURA!$P$2:$P$21,5),DECKS!$B$2:$B$1201,$A656))</f>
        <v/>
      </c>
      <c r="P656" s="19" t="str">
        <f aca="false">IF(OR($A656="",INDEX(_LEITURA!$Q$2:$Q$21,6)=0),"",SUMIFS(DECKS!$D$2:$D$1201,DECKS!$A$2:$A$1201,INDEX(_LEITURA!$P$2:$P$21,6),DECKS!$B$2:$B$1201,$A656))</f>
        <v/>
      </c>
      <c r="Q656" s="19" t="str">
        <f aca="false">IF(OR($A656="",INDEX(_LEITURA!$Q$2:$Q$21,7)=0),"",SUMIFS(DECKS!$D$2:$D$1201,DECKS!$A$2:$A$1201,INDEX(_LEITURA!$P$2:$P$21,7),DECKS!$B$2:$B$1201,$A656))</f>
        <v/>
      </c>
      <c r="R656" s="19" t="str">
        <f aca="false">IF(OR($A656="",INDEX(_LEITURA!$Q$2:$Q$21,8)=0),"",SUMIFS(DECKS!$D$2:$D$1201,DECKS!$A$2:$A$1201,INDEX(_LEITURA!$P$2:$P$21,8),DECKS!$B$2:$B$1201,$A656))</f>
        <v/>
      </c>
      <c r="S656" s="19" t="str">
        <f aca="false">IF(OR($A656="",INDEX(_LEITURA!$Q$2:$Q$21,9)=0),"",SUMIFS(DECKS!$D$2:$D$1201,DECKS!$A$2:$A$1201,INDEX(_LEITURA!$P$2:$P$21,9),DECKS!$B$2:$B$1201,$A656))</f>
        <v/>
      </c>
      <c r="T656" s="19" t="str">
        <f aca="false">IF(OR($A656="",INDEX(_LEITURA!$Q$2:$Q$21,10)=0),"",SUMIFS(DECKS!$D$2:$D$1201,DECKS!$A$2:$A$1201,INDEX(_LEITURA!$P$2:$P$21,10),DECKS!$B$2:$B$1201,$A656))</f>
        <v/>
      </c>
      <c r="U656" s="19" t="str">
        <f aca="false">IF(OR($A656="",INDEX(_LEITURA!$Q$2:$Q$21,11)=0),"",SUMIFS(DECKS!$D$2:$D$1201,DECKS!$A$2:$A$1201,INDEX(_LEITURA!$P$2:$P$21,11),DECKS!$B$2:$B$1201,$A656))</f>
        <v/>
      </c>
      <c r="V656" s="19" t="str">
        <f aca="false">IF(OR($A656="",INDEX(_LEITURA!$Q$2:$Q$21,12)=0),"",SUMIFS(DECKS!$D$2:$D$1201,DECKS!$A$2:$A$1201,INDEX(_LEITURA!$P$2:$P$21,12),DECKS!$B$2:$B$1201,$A656))</f>
        <v/>
      </c>
      <c r="W656" s="19" t="str">
        <f aca="false">IF(OR($A656="",INDEX(_LEITURA!$Q$2:$Q$21,13)=0),"",SUMIFS(DECKS!$D$2:$D$1201,DECKS!$A$2:$A$1201,INDEX(_LEITURA!$P$2:$P$21,13),DECKS!$B$2:$B$1201,$A656))</f>
        <v/>
      </c>
      <c r="X656" s="19" t="str">
        <f aca="false">IF(OR($A656="",INDEX(_LEITURA!$Q$2:$Q$21,14)=0),"",SUMIFS(DECKS!$D$2:$D$1201,DECKS!$A$2:$A$1201,INDEX(_LEITURA!$P$2:$P$21,14),DECKS!$B$2:$B$1201,$A656))</f>
        <v/>
      </c>
      <c r="Y656" s="19" t="str">
        <f aca="false">IF(OR($A656="",INDEX(_LEITURA!$Q$2:$Q$21,15)=0),"",SUMIFS(DECKS!$D$2:$D$1201,DECKS!$A$2:$A$1201,INDEX(_LEITURA!$P$2:$P$21,15),DECKS!$B$2:$B$1201,$A656))</f>
        <v/>
      </c>
      <c r="Z656" s="19" t="str">
        <f aca="false">IF(OR($A656="",INDEX(_LEITURA!$Q$2:$Q$21,16)=0),"",SUMIFS(DECKS!$D$2:$D$1201,DECKS!$A$2:$A$1201,INDEX(_LEITURA!$P$2:$P$21,16),DECKS!$B$2:$B$1201,$A656))</f>
        <v/>
      </c>
      <c r="AA656" s="19" t="str">
        <f aca="false">IF(OR($A656="",INDEX(_LEITURA!$Q$2:$Q$21,17)=0),"",SUMIFS(DECKS!$D$2:$D$1201,DECKS!$A$2:$A$1201,INDEX(_LEITURA!$P$2:$P$21,17),DECKS!$B$2:$B$1201,$A656))</f>
        <v/>
      </c>
      <c r="AB656" s="19" t="str">
        <f aca="false">IF(OR($A656="",INDEX(_LEITURA!$Q$2:$Q$21,18)=0),"",SUMIFS(DECKS!$D$2:$D$1201,DECKS!$A$2:$A$1201,INDEX(_LEITURA!$P$2:$P$21,18),DECKS!$B$2:$B$1201,$A656))</f>
        <v/>
      </c>
      <c r="AC656" s="19" t="str">
        <f aca="false">IF(OR($A656="",INDEX(_LEITURA!$Q$2:$Q$21,19)=0),"",SUMIFS(DECKS!$D$2:$D$1201,DECKS!$A$2:$A$1201,INDEX(_LEITURA!$P$2:$P$21,19),DECKS!$B$2:$B$1201,$A656))</f>
        <v/>
      </c>
      <c r="AD656" s="19" t="str">
        <f aca="false">IF(OR($A656="",INDEX(_LEITURA!$Q$2:$Q$21,20)=0),"",SUMIFS(DECKS!$D$2:$D$1201,DECKS!$A$2:$A$1201,INDEX(_LEITURA!$P$2:$P$21,20),DECKS!$B$2:$B$1201,$A656))</f>
        <v/>
      </c>
      <c r="AE656" s="16" t="str">
        <f aca="false">IF(N(E656)&gt;0,MAX(AE$1:AE655)+1,"")</f>
        <v/>
      </c>
      <c r="AF656" s="11" t="str">
        <f aca="false">IF(A656="","",IFERROR(LEFT(A656,FIND("-",A656)-1),A656))</f>
        <v/>
      </c>
      <c r="AG656" s="11" t="str">
        <f aca="false">IF(AF656="","",IF(ISNUMBER(--MID(AF656,1,1)),0,IF(ISNUMBER(--MID(AF656,2,1)),1,IF(ISNUMBER(--MID(AF656,3,1)),2,IF(ISNUMBER(--MID(AF656,4,1)),3,MIN(LEN(AF656),4))))))</f>
        <v/>
      </c>
      <c r="AH656" s="11" t="str">
        <f aca="false">IF(A656="","",LEFT(AF656,AG656)&amp;REPT("0",4-AG656)&amp;RIGHT("000"&amp;IFERROR(VALUE(MID(AF656,AG656+1,9)),0),3)&amp;RIGHT("0000"&amp;IFERROR(VALUE(MID(A656,FIND("-",A656)+1,9)),0),4))</f>
        <v/>
      </c>
      <c r="AI656" s="11" t="str">
        <f aca="false">IF(OR(A656="",N(E656)&lt;=0),"",IF('FALTAS GERAL'!$M$1="Código","K"&amp;AH656&amp;RIGHT("00000"&amp;ROW(),5),IF('FALTAS GERAL'!$M$1="Nome","K"&amp;UPPER(SUBSTITUTE(SUBSTITUTE(SUBSTITUTE(B656,"*",""),"?",""),"~",""))&amp;"0"&amp;AH656&amp;RIGHT("00000"&amp;ROW(),5),IF('FALTAS GERAL'!$M$1="Falta (maior primeiro)","K"&amp;RIGHT("0000"&amp;(9999-E656),4)&amp;AH656&amp;RIGHT("00000"&amp;ROW(),5),IF('FALTAS GERAL'!$M$1="Nº de decks (maior primeiro)","K"&amp;RIGHT("00"&amp;(99-N(G656)),2)&amp;AH656&amp;RIGHT("00000"&amp;ROW(),5),"K"&amp;RIGHT("00000"&amp;ROW(),5))))))</f>
        <v/>
      </c>
      <c r="AJ656" s="11" t="str">
        <f aca="false">IF(AI656="","",COUNTIFS($AI$2:$AI$801,"&lt;"&amp;AI656,$E$2:$E$801,"&gt;0")+1)</f>
        <v/>
      </c>
      <c r="AK656" s="11" t="str">
        <f aca="false">IF(OR(A656="",N(E656)&lt;=0),"",COUNTIFS($AH$2:$AH$801,"&lt;"&amp;AH656,$E$2:$E$801,"&gt;0")+COUNTIFS($AH$2:AH656,AH656,$E$2:E656,"&gt;0"))</f>
        <v/>
      </c>
    </row>
    <row r="657" customFormat="false" ht="15" hidden="false" customHeight="false" outlineLevel="0" collapsed="false">
      <c r="A657" s="11" t="str">
        <f aca="false">IF(INVENTÁRIO!A657="","",INVENTÁRIO!A657)</f>
        <v/>
      </c>
      <c r="B657" s="11" t="str">
        <f aca="false">IF(A657="","",INVENTÁRIO!B657)</f>
        <v/>
      </c>
      <c r="C657" s="16" t="str">
        <f aca="false">IF(A657="","",INVENTÁRIO!C657)</f>
        <v/>
      </c>
      <c r="D657" s="14" t="str">
        <f aca="false">IF(A657="","",MAX(K657:AD657))</f>
        <v/>
      </c>
      <c r="E657" s="14" t="str">
        <f aca="false">IF(A657="","",MAX(0,D657-C657))</f>
        <v/>
      </c>
      <c r="F657" s="16" t="str">
        <f aca="false">IF(A657="","",IF(D657=0,"Fora dos decks",IF(E657=0,"Completo","Falta")))</f>
        <v/>
      </c>
      <c r="G657" s="16" t="str">
        <f aca="false">IF(A657="","",COUNTIF(K657:AD657,"&gt;0"))</f>
        <v/>
      </c>
      <c r="H657" s="16" t="str">
        <f aca="false">IF(A657="","",IF(G657&gt;1,"Sim",""))</f>
        <v/>
      </c>
      <c r="I657" s="18" t="str">
        <f aca="false">IF(A657="","",SUMIFS(DECKS!$D$2:$D$1201,DECKS!$B$2:$B$1201,A657))</f>
        <v/>
      </c>
      <c r="J657" s="18" t="str">
        <f aca="false">IF(A657="","",MAX(0,I657-C657))</f>
        <v/>
      </c>
      <c r="K657" s="19" t="str">
        <f aca="false">IF(OR($A657="",INDEX(_LEITURA!$Q$2:$Q$21,1)=0),"",SUMIFS(DECKS!$D$2:$D$1201,DECKS!$A$2:$A$1201,INDEX(_LEITURA!$P$2:$P$21,1),DECKS!$B$2:$B$1201,$A657))</f>
        <v/>
      </c>
      <c r="L657" s="19" t="str">
        <f aca="false">IF(OR($A657="",INDEX(_LEITURA!$Q$2:$Q$21,2)=0),"",SUMIFS(DECKS!$D$2:$D$1201,DECKS!$A$2:$A$1201,INDEX(_LEITURA!$P$2:$P$21,2),DECKS!$B$2:$B$1201,$A657))</f>
        <v/>
      </c>
      <c r="M657" s="19" t="str">
        <f aca="false">IF(OR($A657="",INDEX(_LEITURA!$Q$2:$Q$21,3)=0),"",SUMIFS(DECKS!$D$2:$D$1201,DECKS!$A$2:$A$1201,INDEX(_LEITURA!$P$2:$P$21,3),DECKS!$B$2:$B$1201,$A657))</f>
        <v/>
      </c>
      <c r="N657" s="19" t="str">
        <f aca="false">IF(OR($A657="",INDEX(_LEITURA!$Q$2:$Q$21,4)=0),"",SUMIFS(DECKS!$D$2:$D$1201,DECKS!$A$2:$A$1201,INDEX(_LEITURA!$P$2:$P$21,4),DECKS!$B$2:$B$1201,$A657))</f>
        <v/>
      </c>
      <c r="O657" s="19" t="str">
        <f aca="false">IF(OR($A657="",INDEX(_LEITURA!$Q$2:$Q$21,5)=0),"",SUMIFS(DECKS!$D$2:$D$1201,DECKS!$A$2:$A$1201,INDEX(_LEITURA!$P$2:$P$21,5),DECKS!$B$2:$B$1201,$A657))</f>
        <v/>
      </c>
      <c r="P657" s="19" t="str">
        <f aca="false">IF(OR($A657="",INDEX(_LEITURA!$Q$2:$Q$21,6)=0),"",SUMIFS(DECKS!$D$2:$D$1201,DECKS!$A$2:$A$1201,INDEX(_LEITURA!$P$2:$P$21,6),DECKS!$B$2:$B$1201,$A657))</f>
        <v/>
      </c>
      <c r="Q657" s="19" t="str">
        <f aca="false">IF(OR($A657="",INDEX(_LEITURA!$Q$2:$Q$21,7)=0),"",SUMIFS(DECKS!$D$2:$D$1201,DECKS!$A$2:$A$1201,INDEX(_LEITURA!$P$2:$P$21,7),DECKS!$B$2:$B$1201,$A657))</f>
        <v/>
      </c>
      <c r="R657" s="19" t="str">
        <f aca="false">IF(OR($A657="",INDEX(_LEITURA!$Q$2:$Q$21,8)=0),"",SUMIFS(DECKS!$D$2:$D$1201,DECKS!$A$2:$A$1201,INDEX(_LEITURA!$P$2:$P$21,8),DECKS!$B$2:$B$1201,$A657))</f>
        <v/>
      </c>
      <c r="S657" s="19" t="str">
        <f aca="false">IF(OR($A657="",INDEX(_LEITURA!$Q$2:$Q$21,9)=0),"",SUMIFS(DECKS!$D$2:$D$1201,DECKS!$A$2:$A$1201,INDEX(_LEITURA!$P$2:$P$21,9),DECKS!$B$2:$B$1201,$A657))</f>
        <v/>
      </c>
      <c r="T657" s="19" t="str">
        <f aca="false">IF(OR($A657="",INDEX(_LEITURA!$Q$2:$Q$21,10)=0),"",SUMIFS(DECKS!$D$2:$D$1201,DECKS!$A$2:$A$1201,INDEX(_LEITURA!$P$2:$P$21,10),DECKS!$B$2:$B$1201,$A657))</f>
        <v/>
      </c>
      <c r="U657" s="19" t="str">
        <f aca="false">IF(OR($A657="",INDEX(_LEITURA!$Q$2:$Q$21,11)=0),"",SUMIFS(DECKS!$D$2:$D$1201,DECKS!$A$2:$A$1201,INDEX(_LEITURA!$P$2:$P$21,11),DECKS!$B$2:$B$1201,$A657))</f>
        <v/>
      </c>
      <c r="V657" s="19" t="str">
        <f aca="false">IF(OR($A657="",INDEX(_LEITURA!$Q$2:$Q$21,12)=0),"",SUMIFS(DECKS!$D$2:$D$1201,DECKS!$A$2:$A$1201,INDEX(_LEITURA!$P$2:$P$21,12),DECKS!$B$2:$B$1201,$A657))</f>
        <v/>
      </c>
      <c r="W657" s="19" t="str">
        <f aca="false">IF(OR($A657="",INDEX(_LEITURA!$Q$2:$Q$21,13)=0),"",SUMIFS(DECKS!$D$2:$D$1201,DECKS!$A$2:$A$1201,INDEX(_LEITURA!$P$2:$P$21,13),DECKS!$B$2:$B$1201,$A657))</f>
        <v/>
      </c>
      <c r="X657" s="19" t="str">
        <f aca="false">IF(OR($A657="",INDEX(_LEITURA!$Q$2:$Q$21,14)=0),"",SUMIFS(DECKS!$D$2:$D$1201,DECKS!$A$2:$A$1201,INDEX(_LEITURA!$P$2:$P$21,14),DECKS!$B$2:$B$1201,$A657))</f>
        <v/>
      </c>
      <c r="Y657" s="19" t="str">
        <f aca="false">IF(OR($A657="",INDEX(_LEITURA!$Q$2:$Q$21,15)=0),"",SUMIFS(DECKS!$D$2:$D$1201,DECKS!$A$2:$A$1201,INDEX(_LEITURA!$P$2:$P$21,15),DECKS!$B$2:$B$1201,$A657))</f>
        <v/>
      </c>
      <c r="Z657" s="19" t="str">
        <f aca="false">IF(OR($A657="",INDEX(_LEITURA!$Q$2:$Q$21,16)=0),"",SUMIFS(DECKS!$D$2:$D$1201,DECKS!$A$2:$A$1201,INDEX(_LEITURA!$P$2:$P$21,16),DECKS!$B$2:$B$1201,$A657))</f>
        <v/>
      </c>
      <c r="AA657" s="19" t="str">
        <f aca="false">IF(OR($A657="",INDEX(_LEITURA!$Q$2:$Q$21,17)=0),"",SUMIFS(DECKS!$D$2:$D$1201,DECKS!$A$2:$A$1201,INDEX(_LEITURA!$P$2:$P$21,17),DECKS!$B$2:$B$1201,$A657))</f>
        <v/>
      </c>
      <c r="AB657" s="19" t="str">
        <f aca="false">IF(OR($A657="",INDEX(_LEITURA!$Q$2:$Q$21,18)=0),"",SUMIFS(DECKS!$D$2:$D$1201,DECKS!$A$2:$A$1201,INDEX(_LEITURA!$P$2:$P$21,18),DECKS!$B$2:$B$1201,$A657))</f>
        <v/>
      </c>
      <c r="AC657" s="19" t="str">
        <f aca="false">IF(OR($A657="",INDEX(_LEITURA!$Q$2:$Q$21,19)=0),"",SUMIFS(DECKS!$D$2:$D$1201,DECKS!$A$2:$A$1201,INDEX(_LEITURA!$P$2:$P$21,19),DECKS!$B$2:$B$1201,$A657))</f>
        <v/>
      </c>
      <c r="AD657" s="19" t="str">
        <f aca="false">IF(OR($A657="",INDEX(_LEITURA!$Q$2:$Q$21,20)=0),"",SUMIFS(DECKS!$D$2:$D$1201,DECKS!$A$2:$A$1201,INDEX(_LEITURA!$P$2:$P$21,20),DECKS!$B$2:$B$1201,$A657))</f>
        <v/>
      </c>
      <c r="AE657" s="16" t="str">
        <f aca="false">IF(N(E657)&gt;0,MAX(AE$1:AE656)+1,"")</f>
        <v/>
      </c>
      <c r="AF657" s="11" t="str">
        <f aca="false">IF(A657="","",IFERROR(LEFT(A657,FIND("-",A657)-1),A657))</f>
        <v/>
      </c>
      <c r="AG657" s="11" t="str">
        <f aca="false">IF(AF657="","",IF(ISNUMBER(--MID(AF657,1,1)),0,IF(ISNUMBER(--MID(AF657,2,1)),1,IF(ISNUMBER(--MID(AF657,3,1)),2,IF(ISNUMBER(--MID(AF657,4,1)),3,MIN(LEN(AF657),4))))))</f>
        <v/>
      </c>
      <c r="AH657" s="11" t="str">
        <f aca="false">IF(A657="","",LEFT(AF657,AG657)&amp;REPT("0",4-AG657)&amp;RIGHT("000"&amp;IFERROR(VALUE(MID(AF657,AG657+1,9)),0),3)&amp;RIGHT("0000"&amp;IFERROR(VALUE(MID(A657,FIND("-",A657)+1,9)),0),4))</f>
        <v/>
      </c>
      <c r="AI657" s="11" t="str">
        <f aca="false">IF(OR(A657="",N(E657)&lt;=0),"",IF('FALTAS GERAL'!$M$1="Código","K"&amp;AH657&amp;RIGHT("00000"&amp;ROW(),5),IF('FALTAS GERAL'!$M$1="Nome","K"&amp;UPPER(SUBSTITUTE(SUBSTITUTE(SUBSTITUTE(B657,"*",""),"?",""),"~",""))&amp;"0"&amp;AH657&amp;RIGHT("00000"&amp;ROW(),5),IF('FALTAS GERAL'!$M$1="Falta (maior primeiro)","K"&amp;RIGHT("0000"&amp;(9999-E657),4)&amp;AH657&amp;RIGHT("00000"&amp;ROW(),5),IF('FALTAS GERAL'!$M$1="Nº de decks (maior primeiro)","K"&amp;RIGHT("00"&amp;(99-N(G657)),2)&amp;AH657&amp;RIGHT("00000"&amp;ROW(),5),"K"&amp;RIGHT("00000"&amp;ROW(),5))))))</f>
        <v/>
      </c>
      <c r="AJ657" s="11" t="str">
        <f aca="false">IF(AI657="","",COUNTIFS($AI$2:$AI$801,"&lt;"&amp;AI657,$E$2:$E$801,"&gt;0")+1)</f>
        <v/>
      </c>
      <c r="AK657" s="11" t="str">
        <f aca="false">IF(OR(A657="",N(E657)&lt;=0),"",COUNTIFS($AH$2:$AH$801,"&lt;"&amp;AH657,$E$2:$E$801,"&gt;0")+COUNTIFS($AH$2:AH657,AH657,$E$2:E657,"&gt;0"))</f>
        <v/>
      </c>
    </row>
    <row r="658" customFormat="false" ht="15" hidden="false" customHeight="false" outlineLevel="0" collapsed="false">
      <c r="A658" s="11" t="str">
        <f aca="false">IF(INVENTÁRIO!A658="","",INVENTÁRIO!A658)</f>
        <v/>
      </c>
      <c r="B658" s="11" t="str">
        <f aca="false">IF(A658="","",INVENTÁRIO!B658)</f>
        <v/>
      </c>
      <c r="C658" s="16" t="str">
        <f aca="false">IF(A658="","",INVENTÁRIO!C658)</f>
        <v/>
      </c>
      <c r="D658" s="14" t="str">
        <f aca="false">IF(A658="","",MAX(K658:AD658))</f>
        <v/>
      </c>
      <c r="E658" s="14" t="str">
        <f aca="false">IF(A658="","",MAX(0,D658-C658))</f>
        <v/>
      </c>
      <c r="F658" s="16" t="str">
        <f aca="false">IF(A658="","",IF(D658=0,"Fora dos decks",IF(E658=0,"Completo","Falta")))</f>
        <v/>
      </c>
      <c r="G658" s="16" t="str">
        <f aca="false">IF(A658="","",COUNTIF(K658:AD658,"&gt;0"))</f>
        <v/>
      </c>
      <c r="H658" s="16" t="str">
        <f aca="false">IF(A658="","",IF(G658&gt;1,"Sim",""))</f>
        <v/>
      </c>
      <c r="I658" s="18" t="str">
        <f aca="false">IF(A658="","",SUMIFS(DECKS!$D$2:$D$1201,DECKS!$B$2:$B$1201,A658))</f>
        <v/>
      </c>
      <c r="J658" s="18" t="str">
        <f aca="false">IF(A658="","",MAX(0,I658-C658))</f>
        <v/>
      </c>
      <c r="K658" s="19" t="str">
        <f aca="false">IF(OR($A658="",INDEX(_LEITURA!$Q$2:$Q$21,1)=0),"",SUMIFS(DECKS!$D$2:$D$1201,DECKS!$A$2:$A$1201,INDEX(_LEITURA!$P$2:$P$21,1),DECKS!$B$2:$B$1201,$A658))</f>
        <v/>
      </c>
      <c r="L658" s="19" t="str">
        <f aca="false">IF(OR($A658="",INDEX(_LEITURA!$Q$2:$Q$21,2)=0),"",SUMIFS(DECKS!$D$2:$D$1201,DECKS!$A$2:$A$1201,INDEX(_LEITURA!$P$2:$P$21,2),DECKS!$B$2:$B$1201,$A658))</f>
        <v/>
      </c>
      <c r="M658" s="19" t="str">
        <f aca="false">IF(OR($A658="",INDEX(_LEITURA!$Q$2:$Q$21,3)=0),"",SUMIFS(DECKS!$D$2:$D$1201,DECKS!$A$2:$A$1201,INDEX(_LEITURA!$P$2:$P$21,3),DECKS!$B$2:$B$1201,$A658))</f>
        <v/>
      </c>
      <c r="N658" s="19" t="str">
        <f aca="false">IF(OR($A658="",INDEX(_LEITURA!$Q$2:$Q$21,4)=0),"",SUMIFS(DECKS!$D$2:$D$1201,DECKS!$A$2:$A$1201,INDEX(_LEITURA!$P$2:$P$21,4),DECKS!$B$2:$B$1201,$A658))</f>
        <v/>
      </c>
      <c r="O658" s="19" t="str">
        <f aca="false">IF(OR($A658="",INDEX(_LEITURA!$Q$2:$Q$21,5)=0),"",SUMIFS(DECKS!$D$2:$D$1201,DECKS!$A$2:$A$1201,INDEX(_LEITURA!$P$2:$P$21,5),DECKS!$B$2:$B$1201,$A658))</f>
        <v/>
      </c>
      <c r="P658" s="19" t="str">
        <f aca="false">IF(OR($A658="",INDEX(_LEITURA!$Q$2:$Q$21,6)=0),"",SUMIFS(DECKS!$D$2:$D$1201,DECKS!$A$2:$A$1201,INDEX(_LEITURA!$P$2:$P$21,6),DECKS!$B$2:$B$1201,$A658))</f>
        <v/>
      </c>
      <c r="Q658" s="19" t="str">
        <f aca="false">IF(OR($A658="",INDEX(_LEITURA!$Q$2:$Q$21,7)=0),"",SUMIFS(DECKS!$D$2:$D$1201,DECKS!$A$2:$A$1201,INDEX(_LEITURA!$P$2:$P$21,7),DECKS!$B$2:$B$1201,$A658))</f>
        <v/>
      </c>
      <c r="R658" s="19" t="str">
        <f aca="false">IF(OR($A658="",INDEX(_LEITURA!$Q$2:$Q$21,8)=0),"",SUMIFS(DECKS!$D$2:$D$1201,DECKS!$A$2:$A$1201,INDEX(_LEITURA!$P$2:$P$21,8),DECKS!$B$2:$B$1201,$A658))</f>
        <v/>
      </c>
      <c r="S658" s="19" t="str">
        <f aca="false">IF(OR($A658="",INDEX(_LEITURA!$Q$2:$Q$21,9)=0),"",SUMIFS(DECKS!$D$2:$D$1201,DECKS!$A$2:$A$1201,INDEX(_LEITURA!$P$2:$P$21,9),DECKS!$B$2:$B$1201,$A658))</f>
        <v/>
      </c>
      <c r="T658" s="19" t="str">
        <f aca="false">IF(OR($A658="",INDEX(_LEITURA!$Q$2:$Q$21,10)=0),"",SUMIFS(DECKS!$D$2:$D$1201,DECKS!$A$2:$A$1201,INDEX(_LEITURA!$P$2:$P$21,10),DECKS!$B$2:$B$1201,$A658))</f>
        <v/>
      </c>
      <c r="U658" s="19" t="str">
        <f aca="false">IF(OR($A658="",INDEX(_LEITURA!$Q$2:$Q$21,11)=0),"",SUMIFS(DECKS!$D$2:$D$1201,DECKS!$A$2:$A$1201,INDEX(_LEITURA!$P$2:$P$21,11),DECKS!$B$2:$B$1201,$A658))</f>
        <v/>
      </c>
      <c r="V658" s="19" t="str">
        <f aca="false">IF(OR($A658="",INDEX(_LEITURA!$Q$2:$Q$21,12)=0),"",SUMIFS(DECKS!$D$2:$D$1201,DECKS!$A$2:$A$1201,INDEX(_LEITURA!$P$2:$P$21,12),DECKS!$B$2:$B$1201,$A658))</f>
        <v/>
      </c>
      <c r="W658" s="19" t="str">
        <f aca="false">IF(OR($A658="",INDEX(_LEITURA!$Q$2:$Q$21,13)=0),"",SUMIFS(DECKS!$D$2:$D$1201,DECKS!$A$2:$A$1201,INDEX(_LEITURA!$P$2:$P$21,13),DECKS!$B$2:$B$1201,$A658))</f>
        <v/>
      </c>
      <c r="X658" s="19" t="str">
        <f aca="false">IF(OR($A658="",INDEX(_LEITURA!$Q$2:$Q$21,14)=0),"",SUMIFS(DECKS!$D$2:$D$1201,DECKS!$A$2:$A$1201,INDEX(_LEITURA!$P$2:$P$21,14),DECKS!$B$2:$B$1201,$A658))</f>
        <v/>
      </c>
      <c r="Y658" s="19" t="str">
        <f aca="false">IF(OR($A658="",INDEX(_LEITURA!$Q$2:$Q$21,15)=0),"",SUMIFS(DECKS!$D$2:$D$1201,DECKS!$A$2:$A$1201,INDEX(_LEITURA!$P$2:$P$21,15),DECKS!$B$2:$B$1201,$A658))</f>
        <v/>
      </c>
      <c r="Z658" s="19" t="str">
        <f aca="false">IF(OR($A658="",INDEX(_LEITURA!$Q$2:$Q$21,16)=0),"",SUMIFS(DECKS!$D$2:$D$1201,DECKS!$A$2:$A$1201,INDEX(_LEITURA!$P$2:$P$21,16),DECKS!$B$2:$B$1201,$A658))</f>
        <v/>
      </c>
      <c r="AA658" s="19" t="str">
        <f aca="false">IF(OR($A658="",INDEX(_LEITURA!$Q$2:$Q$21,17)=0),"",SUMIFS(DECKS!$D$2:$D$1201,DECKS!$A$2:$A$1201,INDEX(_LEITURA!$P$2:$P$21,17),DECKS!$B$2:$B$1201,$A658))</f>
        <v/>
      </c>
      <c r="AB658" s="19" t="str">
        <f aca="false">IF(OR($A658="",INDEX(_LEITURA!$Q$2:$Q$21,18)=0),"",SUMIFS(DECKS!$D$2:$D$1201,DECKS!$A$2:$A$1201,INDEX(_LEITURA!$P$2:$P$21,18),DECKS!$B$2:$B$1201,$A658))</f>
        <v/>
      </c>
      <c r="AC658" s="19" t="str">
        <f aca="false">IF(OR($A658="",INDEX(_LEITURA!$Q$2:$Q$21,19)=0),"",SUMIFS(DECKS!$D$2:$D$1201,DECKS!$A$2:$A$1201,INDEX(_LEITURA!$P$2:$P$21,19),DECKS!$B$2:$B$1201,$A658))</f>
        <v/>
      </c>
      <c r="AD658" s="19" t="str">
        <f aca="false">IF(OR($A658="",INDEX(_LEITURA!$Q$2:$Q$21,20)=0),"",SUMIFS(DECKS!$D$2:$D$1201,DECKS!$A$2:$A$1201,INDEX(_LEITURA!$P$2:$P$21,20),DECKS!$B$2:$B$1201,$A658))</f>
        <v/>
      </c>
      <c r="AE658" s="16" t="str">
        <f aca="false">IF(N(E658)&gt;0,MAX(AE$1:AE657)+1,"")</f>
        <v/>
      </c>
      <c r="AF658" s="11" t="str">
        <f aca="false">IF(A658="","",IFERROR(LEFT(A658,FIND("-",A658)-1),A658))</f>
        <v/>
      </c>
      <c r="AG658" s="11" t="str">
        <f aca="false">IF(AF658="","",IF(ISNUMBER(--MID(AF658,1,1)),0,IF(ISNUMBER(--MID(AF658,2,1)),1,IF(ISNUMBER(--MID(AF658,3,1)),2,IF(ISNUMBER(--MID(AF658,4,1)),3,MIN(LEN(AF658),4))))))</f>
        <v/>
      </c>
      <c r="AH658" s="11" t="str">
        <f aca="false">IF(A658="","",LEFT(AF658,AG658)&amp;REPT("0",4-AG658)&amp;RIGHT("000"&amp;IFERROR(VALUE(MID(AF658,AG658+1,9)),0),3)&amp;RIGHT("0000"&amp;IFERROR(VALUE(MID(A658,FIND("-",A658)+1,9)),0),4))</f>
        <v/>
      </c>
      <c r="AI658" s="11" t="str">
        <f aca="false">IF(OR(A658="",N(E658)&lt;=0),"",IF('FALTAS GERAL'!$M$1="Código","K"&amp;AH658&amp;RIGHT("00000"&amp;ROW(),5),IF('FALTAS GERAL'!$M$1="Nome","K"&amp;UPPER(SUBSTITUTE(SUBSTITUTE(SUBSTITUTE(B658,"*",""),"?",""),"~",""))&amp;"0"&amp;AH658&amp;RIGHT("00000"&amp;ROW(),5),IF('FALTAS GERAL'!$M$1="Falta (maior primeiro)","K"&amp;RIGHT("0000"&amp;(9999-E658),4)&amp;AH658&amp;RIGHT("00000"&amp;ROW(),5),IF('FALTAS GERAL'!$M$1="Nº de decks (maior primeiro)","K"&amp;RIGHT("00"&amp;(99-N(G658)),2)&amp;AH658&amp;RIGHT("00000"&amp;ROW(),5),"K"&amp;RIGHT("00000"&amp;ROW(),5))))))</f>
        <v/>
      </c>
      <c r="AJ658" s="11" t="str">
        <f aca="false">IF(AI658="","",COUNTIFS($AI$2:$AI$801,"&lt;"&amp;AI658,$E$2:$E$801,"&gt;0")+1)</f>
        <v/>
      </c>
      <c r="AK658" s="11" t="str">
        <f aca="false">IF(OR(A658="",N(E658)&lt;=0),"",COUNTIFS($AH$2:$AH$801,"&lt;"&amp;AH658,$E$2:$E$801,"&gt;0")+COUNTIFS($AH$2:AH658,AH658,$E$2:E658,"&gt;0"))</f>
        <v/>
      </c>
    </row>
    <row r="659" customFormat="false" ht="15" hidden="false" customHeight="false" outlineLevel="0" collapsed="false">
      <c r="A659" s="11" t="str">
        <f aca="false">IF(INVENTÁRIO!A659="","",INVENTÁRIO!A659)</f>
        <v/>
      </c>
      <c r="B659" s="11" t="str">
        <f aca="false">IF(A659="","",INVENTÁRIO!B659)</f>
        <v/>
      </c>
      <c r="C659" s="16" t="str">
        <f aca="false">IF(A659="","",INVENTÁRIO!C659)</f>
        <v/>
      </c>
      <c r="D659" s="14" t="str">
        <f aca="false">IF(A659="","",MAX(K659:AD659))</f>
        <v/>
      </c>
      <c r="E659" s="14" t="str">
        <f aca="false">IF(A659="","",MAX(0,D659-C659))</f>
        <v/>
      </c>
      <c r="F659" s="16" t="str">
        <f aca="false">IF(A659="","",IF(D659=0,"Fora dos decks",IF(E659=0,"Completo","Falta")))</f>
        <v/>
      </c>
      <c r="G659" s="16" t="str">
        <f aca="false">IF(A659="","",COUNTIF(K659:AD659,"&gt;0"))</f>
        <v/>
      </c>
      <c r="H659" s="16" t="str">
        <f aca="false">IF(A659="","",IF(G659&gt;1,"Sim",""))</f>
        <v/>
      </c>
      <c r="I659" s="18" t="str">
        <f aca="false">IF(A659="","",SUMIFS(DECKS!$D$2:$D$1201,DECKS!$B$2:$B$1201,A659))</f>
        <v/>
      </c>
      <c r="J659" s="18" t="str">
        <f aca="false">IF(A659="","",MAX(0,I659-C659))</f>
        <v/>
      </c>
      <c r="K659" s="19" t="str">
        <f aca="false">IF(OR($A659="",INDEX(_LEITURA!$Q$2:$Q$21,1)=0),"",SUMIFS(DECKS!$D$2:$D$1201,DECKS!$A$2:$A$1201,INDEX(_LEITURA!$P$2:$P$21,1),DECKS!$B$2:$B$1201,$A659))</f>
        <v/>
      </c>
      <c r="L659" s="19" t="str">
        <f aca="false">IF(OR($A659="",INDEX(_LEITURA!$Q$2:$Q$21,2)=0),"",SUMIFS(DECKS!$D$2:$D$1201,DECKS!$A$2:$A$1201,INDEX(_LEITURA!$P$2:$P$21,2),DECKS!$B$2:$B$1201,$A659))</f>
        <v/>
      </c>
      <c r="M659" s="19" t="str">
        <f aca="false">IF(OR($A659="",INDEX(_LEITURA!$Q$2:$Q$21,3)=0),"",SUMIFS(DECKS!$D$2:$D$1201,DECKS!$A$2:$A$1201,INDEX(_LEITURA!$P$2:$P$21,3),DECKS!$B$2:$B$1201,$A659))</f>
        <v/>
      </c>
      <c r="N659" s="19" t="str">
        <f aca="false">IF(OR($A659="",INDEX(_LEITURA!$Q$2:$Q$21,4)=0),"",SUMIFS(DECKS!$D$2:$D$1201,DECKS!$A$2:$A$1201,INDEX(_LEITURA!$P$2:$P$21,4),DECKS!$B$2:$B$1201,$A659))</f>
        <v/>
      </c>
      <c r="O659" s="19" t="str">
        <f aca="false">IF(OR($A659="",INDEX(_LEITURA!$Q$2:$Q$21,5)=0),"",SUMIFS(DECKS!$D$2:$D$1201,DECKS!$A$2:$A$1201,INDEX(_LEITURA!$P$2:$P$21,5),DECKS!$B$2:$B$1201,$A659))</f>
        <v/>
      </c>
      <c r="P659" s="19" t="str">
        <f aca="false">IF(OR($A659="",INDEX(_LEITURA!$Q$2:$Q$21,6)=0),"",SUMIFS(DECKS!$D$2:$D$1201,DECKS!$A$2:$A$1201,INDEX(_LEITURA!$P$2:$P$21,6),DECKS!$B$2:$B$1201,$A659))</f>
        <v/>
      </c>
      <c r="Q659" s="19" t="str">
        <f aca="false">IF(OR($A659="",INDEX(_LEITURA!$Q$2:$Q$21,7)=0),"",SUMIFS(DECKS!$D$2:$D$1201,DECKS!$A$2:$A$1201,INDEX(_LEITURA!$P$2:$P$21,7),DECKS!$B$2:$B$1201,$A659))</f>
        <v/>
      </c>
      <c r="R659" s="19" t="str">
        <f aca="false">IF(OR($A659="",INDEX(_LEITURA!$Q$2:$Q$21,8)=0),"",SUMIFS(DECKS!$D$2:$D$1201,DECKS!$A$2:$A$1201,INDEX(_LEITURA!$P$2:$P$21,8),DECKS!$B$2:$B$1201,$A659))</f>
        <v/>
      </c>
      <c r="S659" s="19" t="str">
        <f aca="false">IF(OR($A659="",INDEX(_LEITURA!$Q$2:$Q$21,9)=0),"",SUMIFS(DECKS!$D$2:$D$1201,DECKS!$A$2:$A$1201,INDEX(_LEITURA!$P$2:$P$21,9),DECKS!$B$2:$B$1201,$A659))</f>
        <v/>
      </c>
      <c r="T659" s="19" t="str">
        <f aca="false">IF(OR($A659="",INDEX(_LEITURA!$Q$2:$Q$21,10)=0),"",SUMIFS(DECKS!$D$2:$D$1201,DECKS!$A$2:$A$1201,INDEX(_LEITURA!$P$2:$P$21,10),DECKS!$B$2:$B$1201,$A659))</f>
        <v/>
      </c>
      <c r="U659" s="19" t="str">
        <f aca="false">IF(OR($A659="",INDEX(_LEITURA!$Q$2:$Q$21,11)=0),"",SUMIFS(DECKS!$D$2:$D$1201,DECKS!$A$2:$A$1201,INDEX(_LEITURA!$P$2:$P$21,11),DECKS!$B$2:$B$1201,$A659))</f>
        <v/>
      </c>
      <c r="V659" s="19" t="str">
        <f aca="false">IF(OR($A659="",INDEX(_LEITURA!$Q$2:$Q$21,12)=0),"",SUMIFS(DECKS!$D$2:$D$1201,DECKS!$A$2:$A$1201,INDEX(_LEITURA!$P$2:$P$21,12),DECKS!$B$2:$B$1201,$A659))</f>
        <v/>
      </c>
      <c r="W659" s="19" t="str">
        <f aca="false">IF(OR($A659="",INDEX(_LEITURA!$Q$2:$Q$21,13)=0),"",SUMIFS(DECKS!$D$2:$D$1201,DECKS!$A$2:$A$1201,INDEX(_LEITURA!$P$2:$P$21,13),DECKS!$B$2:$B$1201,$A659))</f>
        <v/>
      </c>
      <c r="X659" s="19" t="str">
        <f aca="false">IF(OR($A659="",INDEX(_LEITURA!$Q$2:$Q$21,14)=0),"",SUMIFS(DECKS!$D$2:$D$1201,DECKS!$A$2:$A$1201,INDEX(_LEITURA!$P$2:$P$21,14),DECKS!$B$2:$B$1201,$A659))</f>
        <v/>
      </c>
      <c r="Y659" s="19" t="str">
        <f aca="false">IF(OR($A659="",INDEX(_LEITURA!$Q$2:$Q$21,15)=0),"",SUMIFS(DECKS!$D$2:$D$1201,DECKS!$A$2:$A$1201,INDEX(_LEITURA!$P$2:$P$21,15),DECKS!$B$2:$B$1201,$A659))</f>
        <v/>
      </c>
      <c r="Z659" s="19" t="str">
        <f aca="false">IF(OR($A659="",INDEX(_LEITURA!$Q$2:$Q$21,16)=0),"",SUMIFS(DECKS!$D$2:$D$1201,DECKS!$A$2:$A$1201,INDEX(_LEITURA!$P$2:$P$21,16),DECKS!$B$2:$B$1201,$A659))</f>
        <v/>
      </c>
      <c r="AA659" s="19" t="str">
        <f aca="false">IF(OR($A659="",INDEX(_LEITURA!$Q$2:$Q$21,17)=0),"",SUMIFS(DECKS!$D$2:$D$1201,DECKS!$A$2:$A$1201,INDEX(_LEITURA!$P$2:$P$21,17),DECKS!$B$2:$B$1201,$A659))</f>
        <v/>
      </c>
      <c r="AB659" s="19" t="str">
        <f aca="false">IF(OR($A659="",INDEX(_LEITURA!$Q$2:$Q$21,18)=0),"",SUMIFS(DECKS!$D$2:$D$1201,DECKS!$A$2:$A$1201,INDEX(_LEITURA!$P$2:$P$21,18),DECKS!$B$2:$B$1201,$A659))</f>
        <v/>
      </c>
      <c r="AC659" s="19" t="str">
        <f aca="false">IF(OR($A659="",INDEX(_LEITURA!$Q$2:$Q$21,19)=0),"",SUMIFS(DECKS!$D$2:$D$1201,DECKS!$A$2:$A$1201,INDEX(_LEITURA!$P$2:$P$21,19),DECKS!$B$2:$B$1201,$A659))</f>
        <v/>
      </c>
      <c r="AD659" s="19" t="str">
        <f aca="false">IF(OR($A659="",INDEX(_LEITURA!$Q$2:$Q$21,20)=0),"",SUMIFS(DECKS!$D$2:$D$1201,DECKS!$A$2:$A$1201,INDEX(_LEITURA!$P$2:$P$21,20),DECKS!$B$2:$B$1201,$A659))</f>
        <v/>
      </c>
      <c r="AE659" s="16" t="str">
        <f aca="false">IF(N(E659)&gt;0,MAX(AE$1:AE658)+1,"")</f>
        <v/>
      </c>
      <c r="AF659" s="11" t="str">
        <f aca="false">IF(A659="","",IFERROR(LEFT(A659,FIND("-",A659)-1),A659))</f>
        <v/>
      </c>
      <c r="AG659" s="11" t="str">
        <f aca="false">IF(AF659="","",IF(ISNUMBER(--MID(AF659,1,1)),0,IF(ISNUMBER(--MID(AF659,2,1)),1,IF(ISNUMBER(--MID(AF659,3,1)),2,IF(ISNUMBER(--MID(AF659,4,1)),3,MIN(LEN(AF659),4))))))</f>
        <v/>
      </c>
      <c r="AH659" s="11" t="str">
        <f aca="false">IF(A659="","",LEFT(AF659,AG659)&amp;REPT("0",4-AG659)&amp;RIGHT("000"&amp;IFERROR(VALUE(MID(AF659,AG659+1,9)),0),3)&amp;RIGHT("0000"&amp;IFERROR(VALUE(MID(A659,FIND("-",A659)+1,9)),0),4))</f>
        <v/>
      </c>
      <c r="AI659" s="11" t="str">
        <f aca="false">IF(OR(A659="",N(E659)&lt;=0),"",IF('FALTAS GERAL'!$M$1="Código","K"&amp;AH659&amp;RIGHT("00000"&amp;ROW(),5),IF('FALTAS GERAL'!$M$1="Nome","K"&amp;UPPER(SUBSTITUTE(SUBSTITUTE(SUBSTITUTE(B659,"*",""),"?",""),"~",""))&amp;"0"&amp;AH659&amp;RIGHT("00000"&amp;ROW(),5),IF('FALTAS GERAL'!$M$1="Falta (maior primeiro)","K"&amp;RIGHT("0000"&amp;(9999-E659),4)&amp;AH659&amp;RIGHT("00000"&amp;ROW(),5),IF('FALTAS GERAL'!$M$1="Nº de decks (maior primeiro)","K"&amp;RIGHT("00"&amp;(99-N(G659)),2)&amp;AH659&amp;RIGHT("00000"&amp;ROW(),5),"K"&amp;RIGHT("00000"&amp;ROW(),5))))))</f>
        <v/>
      </c>
      <c r="AJ659" s="11" t="str">
        <f aca="false">IF(AI659="","",COUNTIFS($AI$2:$AI$801,"&lt;"&amp;AI659,$E$2:$E$801,"&gt;0")+1)</f>
        <v/>
      </c>
      <c r="AK659" s="11" t="str">
        <f aca="false">IF(OR(A659="",N(E659)&lt;=0),"",COUNTIFS($AH$2:$AH$801,"&lt;"&amp;AH659,$E$2:$E$801,"&gt;0")+COUNTIFS($AH$2:AH659,AH659,$E$2:E659,"&gt;0"))</f>
        <v/>
      </c>
    </row>
    <row r="660" customFormat="false" ht="15" hidden="false" customHeight="false" outlineLevel="0" collapsed="false">
      <c r="A660" s="11" t="str">
        <f aca="false">IF(INVENTÁRIO!A660="","",INVENTÁRIO!A660)</f>
        <v/>
      </c>
      <c r="B660" s="11" t="str">
        <f aca="false">IF(A660="","",INVENTÁRIO!B660)</f>
        <v/>
      </c>
      <c r="C660" s="16" t="str">
        <f aca="false">IF(A660="","",INVENTÁRIO!C660)</f>
        <v/>
      </c>
      <c r="D660" s="14" t="str">
        <f aca="false">IF(A660="","",MAX(K660:AD660))</f>
        <v/>
      </c>
      <c r="E660" s="14" t="str">
        <f aca="false">IF(A660="","",MAX(0,D660-C660))</f>
        <v/>
      </c>
      <c r="F660" s="16" t="str">
        <f aca="false">IF(A660="","",IF(D660=0,"Fora dos decks",IF(E660=0,"Completo","Falta")))</f>
        <v/>
      </c>
      <c r="G660" s="16" t="str">
        <f aca="false">IF(A660="","",COUNTIF(K660:AD660,"&gt;0"))</f>
        <v/>
      </c>
      <c r="H660" s="16" t="str">
        <f aca="false">IF(A660="","",IF(G660&gt;1,"Sim",""))</f>
        <v/>
      </c>
      <c r="I660" s="18" t="str">
        <f aca="false">IF(A660="","",SUMIFS(DECKS!$D$2:$D$1201,DECKS!$B$2:$B$1201,A660))</f>
        <v/>
      </c>
      <c r="J660" s="18" t="str">
        <f aca="false">IF(A660="","",MAX(0,I660-C660))</f>
        <v/>
      </c>
      <c r="K660" s="19" t="str">
        <f aca="false">IF(OR($A660="",INDEX(_LEITURA!$Q$2:$Q$21,1)=0),"",SUMIFS(DECKS!$D$2:$D$1201,DECKS!$A$2:$A$1201,INDEX(_LEITURA!$P$2:$P$21,1),DECKS!$B$2:$B$1201,$A660))</f>
        <v/>
      </c>
      <c r="L660" s="19" t="str">
        <f aca="false">IF(OR($A660="",INDEX(_LEITURA!$Q$2:$Q$21,2)=0),"",SUMIFS(DECKS!$D$2:$D$1201,DECKS!$A$2:$A$1201,INDEX(_LEITURA!$P$2:$P$21,2),DECKS!$B$2:$B$1201,$A660))</f>
        <v/>
      </c>
      <c r="M660" s="19" t="str">
        <f aca="false">IF(OR($A660="",INDEX(_LEITURA!$Q$2:$Q$21,3)=0),"",SUMIFS(DECKS!$D$2:$D$1201,DECKS!$A$2:$A$1201,INDEX(_LEITURA!$P$2:$P$21,3),DECKS!$B$2:$B$1201,$A660))</f>
        <v/>
      </c>
      <c r="N660" s="19" t="str">
        <f aca="false">IF(OR($A660="",INDEX(_LEITURA!$Q$2:$Q$21,4)=0),"",SUMIFS(DECKS!$D$2:$D$1201,DECKS!$A$2:$A$1201,INDEX(_LEITURA!$P$2:$P$21,4),DECKS!$B$2:$B$1201,$A660))</f>
        <v/>
      </c>
      <c r="O660" s="19" t="str">
        <f aca="false">IF(OR($A660="",INDEX(_LEITURA!$Q$2:$Q$21,5)=0),"",SUMIFS(DECKS!$D$2:$D$1201,DECKS!$A$2:$A$1201,INDEX(_LEITURA!$P$2:$P$21,5),DECKS!$B$2:$B$1201,$A660))</f>
        <v/>
      </c>
      <c r="P660" s="19" t="str">
        <f aca="false">IF(OR($A660="",INDEX(_LEITURA!$Q$2:$Q$21,6)=0),"",SUMIFS(DECKS!$D$2:$D$1201,DECKS!$A$2:$A$1201,INDEX(_LEITURA!$P$2:$P$21,6),DECKS!$B$2:$B$1201,$A660))</f>
        <v/>
      </c>
      <c r="Q660" s="19" t="str">
        <f aca="false">IF(OR($A660="",INDEX(_LEITURA!$Q$2:$Q$21,7)=0),"",SUMIFS(DECKS!$D$2:$D$1201,DECKS!$A$2:$A$1201,INDEX(_LEITURA!$P$2:$P$21,7),DECKS!$B$2:$B$1201,$A660))</f>
        <v/>
      </c>
      <c r="R660" s="19" t="str">
        <f aca="false">IF(OR($A660="",INDEX(_LEITURA!$Q$2:$Q$21,8)=0),"",SUMIFS(DECKS!$D$2:$D$1201,DECKS!$A$2:$A$1201,INDEX(_LEITURA!$P$2:$P$21,8),DECKS!$B$2:$B$1201,$A660))</f>
        <v/>
      </c>
      <c r="S660" s="19" t="str">
        <f aca="false">IF(OR($A660="",INDEX(_LEITURA!$Q$2:$Q$21,9)=0),"",SUMIFS(DECKS!$D$2:$D$1201,DECKS!$A$2:$A$1201,INDEX(_LEITURA!$P$2:$P$21,9),DECKS!$B$2:$B$1201,$A660))</f>
        <v/>
      </c>
      <c r="T660" s="19" t="str">
        <f aca="false">IF(OR($A660="",INDEX(_LEITURA!$Q$2:$Q$21,10)=0),"",SUMIFS(DECKS!$D$2:$D$1201,DECKS!$A$2:$A$1201,INDEX(_LEITURA!$P$2:$P$21,10),DECKS!$B$2:$B$1201,$A660))</f>
        <v/>
      </c>
      <c r="U660" s="19" t="str">
        <f aca="false">IF(OR($A660="",INDEX(_LEITURA!$Q$2:$Q$21,11)=0),"",SUMIFS(DECKS!$D$2:$D$1201,DECKS!$A$2:$A$1201,INDEX(_LEITURA!$P$2:$P$21,11),DECKS!$B$2:$B$1201,$A660))</f>
        <v/>
      </c>
      <c r="V660" s="19" t="str">
        <f aca="false">IF(OR($A660="",INDEX(_LEITURA!$Q$2:$Q$21,12)=0),"",SUMIFS(DECKS!$D$2:$D$1201,DECKS!$A$2:$A$1201,INDEX(_LEITURA!$P$2:$P$21,12),DECKS!$B$2:$B$1201,$A660))</f>
        <v/>
      </c>
      <c r="W660" s="19" t="str">
        <f aca="false">IF(OR($A660="",INDEX(_LEITURA!$Q$2:$Q$21,13)=0),"",SUMIFS(DECKS!$D$2:$D$1201,DECKS!$A$2:$A$1201,INDEX(_LEITURA!$P$2:$P$21,13),DECKS!$B$2:$B$1201,$A660))</f>
        <v/>
      </c>
      <c r="X660" s="19" t="str">
        <f aca="false">IF(OR($A660="",INDEX(_LEITURA!$Q$2:$Q$21,14)=0),"",SUMIFS(DECKS!$D$2:$D$1201,DECKS!$A$2:$A$1201,INDEX(_LEITURA!$P$2:$P$21,14),DECKS!$B$2:$B$1201,$A660))</f>
        <v/>
      </c>
      <c r="Y660" s="19" t="str">
        <f aca="false">IF(OR($A660="",INDEX(_LEITURA!$Q$2:$Q$21,15)=0),"",SUMIFS(DECKS!$D$2:$D$1201,DECKS!$A$2:$A$1201,INDEX(_LEITURA!$P$2:$P$21,15),DECKS!$B$2:$B$1201,$A660))</f>
        <v/>
      </c>
      <c r="Z660" s="19" t="str">
        <f aca="false">IF(OR($A660="",INDEX(_LEITURA!$Q$2:$Q$21,16)=0),"",SUMIFS(DECKS!$D$2:$D$1201,DECKS!$A$2:$A$1201,INDEX(_LEITURA!$P$2:$P$21,16),DECKS!$B$2:$B$1201,$A660))</f>
        <v/>
      </c>
      <c r="AA660" s="19" t="str">
        <f aca="false">IF(OR($A660="",INDEX(_LEITURA!$Q$2:$Q$21,17)=0),"",SUMIFS(DECKS!$D$2:$D$1201,DECKS!$A$2:$A$1201,INDEX(_LEITURA!$P$2:$P$21,17),DECKS!$B$2:$B$1201,$A660))</f>
        <v/>
      </c>
      <c r="AB660" s="19" t="str">
        <f aca="false">IF(OR($A660="",INDEX(_LEITURA!$Q$2:$Q$21,18)=0),"",SUMIFS(DECKS!$D$2:$D$1201,DECKS!$A$2:$A$1201,INDEX(_LEITURA!$P$2:$P$21,18),DECKS!$B$2:$B$1201,$A660))</f>
        <v/>
      </c>
      <c r="AC660" s="19" t="str">
        <f aca="false">IF(OR($A660="",INDEX(_LEITURA!$Q$2:$Q$21,19)=0),"",SUMIFS(DECKS!$D$2:$D$1201,DECKS!$A$2:$A$1201,INDEX(_LEITURA!$P$2:$P$21,19),DECKS!$B$2:$B$1201,$A660))</f>
        <v/>
      </c>
      <c r="AD660" s="19" t="str">
        <f aca="false">IF(OR($A660="",INDEX(_LEITURA!$Q$2:$Q$21,20)=0),"",SUMIFS(DECKS!$D$2:$D$1201,DECKS!$A$2:$A$1201,INDEX(_LEITURA!$P$2:$P$21,20),DECKS!$B$2:$B$1201,$A660))</f>
        <v/>
      </c>
      <c r="AE660" s="16" t="str">
        <f aca="false">IF(N(E660)&gt;0,MAX(AE$1:AE659)+1,"")</f>
        <v/>
      </c>
      <c r="AF660" s="11" t="str">
        <f aca="false">IF(A660="","",IFERROR(LEFT(A660,FIND("-",A660)-1),A660))</f>
        <v/>
      </c>
      <c r="AG660" s="11" t="str">
        <f aca="false">IF(AF660="","",IF(ISNUMBER(--MID(AF660,1,1)),0,IF(ISNUMBER(--MID(AF660,2,1)),1,IF(ISNUMBER(--MID(AF660,3,1)),2,IF(ISNUMBER(--MID(AF660,4,1)),3,MIN(LEN(AF660),4))))))</f>
        <v/>
      </c>
      <c r="AH660" s="11" t="str">
        <f aca="false">IF(A660="","",LEFT(AF660,AG660)&amp;REPT("0",4-AG660)&amp;RIGHT("000"&amp;IFERROR(VALUE(MID(AF660,AG660+1,9)),0),3)&amp;RIGHT("0000"&amp;IFERROR(VALUE(MID(A660,FIND("-",A660)+1,9)),0),4))</f>
        <v/>
      </c>
      <c r="AI660" s="11" t="str">
        <f aca="false">IF(OR(A660="",N(E660)&lt;=0),"",IF('FALTAS GERAL'!$M$1="Código","K"&amp;AH660&amp;RIGHT("00000"&amp;ROW(),5),IF('FALTAS GERAL'!$M$1="Nome","K"&amp;UPPER(SUBSTITUTE(SUBSTITUTE(SUBSTITUTE(B660,"*",""),"?",""),"~",""))&amp;"0"&amp;AH660&amp;RIGHT("00000"&amp;ROW(),5),IF('FALTAS GERAL'!$M$1="Falta (maior primeiro)","K"&amp;RIGHT("0000"&amp;(9999-E660),4)&amp;AH660&amp;RIGHT("00000"&amp;ROW(),5),IF('FALTAS GERAL'!$M$1="Nº de decks (maior primeiro)","K"&amp;RIGHT("00"&amp;(99-N(G660)),2)&amp;AH660&amp;RIGHT("00000"&amp;ROW(),5),"K"&amp;RIGHT("00000"&amp;ROW(),5))))))</f>
        <v/>
      </c>
      <c r="AJ660" s="11" t="str">
        <f aca="false">IF(AI660="","",COUNTIFS($AI$2:$AI$801,"&lt;"&amp;AI660,$E$2:$E$801,"&gt;0")+1)</f>
        <v/>
      </c>
      <c r="AK660" s="11" t="str">
        <f aca="false">IF(OR(A660="",N(E660)&lt;=0),"",COUNTIFS($AH$2:$AH$801,"&lt;"&amp;AH660,$E$2:$E$801,"&gt;0")+COUNTIFS($AH$2:AH660,AH660,$E$2:E660,"&gt;0"))</f>
        <v/>
      </c>
    </row>
    <row r="661" customFormat="false" ht="15" hidden="false" customHeight="false" outlineLevel="0" collapsed="false">
      <c r="A661" s="11" t="str">
        <f aca="false">IF(INVENTÁRIO!A661="","",INVENTÁRIO!A661)</f>
        <v/>
      </c>
      <c r="B661" s="11" t="str">
        <f aca="false">IF(A661="","",INVENTÁRIO!B661)</f>
        <v/>
      </c>
      <c r="C661" s="16" t="str">
        <f aca="false">IF(A661="","",INVENTÁRIO!C661)</f>
        <v/>
      </c>
      <c r="D661" s="14" t="str">
        <f aca="false">IF(A661="","",MAX(K661:AD661))</f>
        <v/>
      </c>
      <c r="E661" s="14" t="str">
        <f aca="false">IF(A661="","",MAX(0,D661-C661))</f>
        <v/>
      </c>
      <c r="F661" s="16" t="str">
        <f aca="false">IF(A661="","",IF(D661=0,"Fora dos decks",IF(E661=0,"Completo","Falta")))</f>
        <v/>
      </c>
      <c r="G661" s="16" t="str">
        <f aca="false">IF(A661="","",COUNTIF(K661:AD661,"&gt;0"))</f>
        <v/>
      </c>
      <c r="H661" s="16" t="str">
        <f aca="false">IF(A661="","",IF(G661&gt;1,"Sim",""))</f>
        <v/>
      </c>
      <c r="I661" s="18" t="str">
        <f aca="false">IF(A661="","",SUMIFS(DECKS!$D$2:$D$1201,DECKS!$B$2:$B$1201,A661))</f>
        <v/>
      </c>
      <c r="J661" s="18" t="str">
        <f aca="false">IF(A661="","",MAX(0,I661-C661))</f>
        <v/>
      </c>
      <c r="K661" s="19" t="str">
        <f aca="false">IF(OR($A661="",INDEX(_LEITURA!$Q$2:$Q$21,1)=0),"",SUMIFS(DECKS!$D$2:$D$1201,DECKS!$A$2:$A$1201,INDEX(_LEITURA!$P$2:$P$21,1),DECKS!$B$2:$B$1201,$A661))</f>
        <v/>
      </c>
      <c r="L661" s="19" t="str">
        <f aca="false">IF(OR($A661="",INDEX(_LEITURA!$Q$2:$Q$21,2)=0),"",SUMIFS(DECKS!$D$2:$D$1201,DECKS!$A$2:$A$1201,INDEX(_LEITURA!$P$2:$P$21,2),DECKS!$B$2:$B$1201,$A661))</f>
        <v/>
      </c>
      <c r="M661" s="19" t="str">
        <f aca="false">IF(OR($A661="",INDEX(_LEITURA!$Q$2:$Q$21,3)=0),"",SUMIFS(DECKS!$D$2:$D$1201,DECKS!$A$2:$A$1201,INDEX(_LEITURA!$P$2:$P$21,3),DECKS!$B$2:$B$1201,$A661))</f>
        <v/>
      </c>
      <c r="N661" s="19" t="str">
        <f aca="false">IF(OR($A661="",INDEX(_LEITURA!$Q$2:$Q$21,4)=0),"",SUMIFS(DECKS!$D$2:$D$1201,DECKS!$A$2:$A$1201,INDEX(_LEITURA!$P$2:$P$21,4),DECKS!$B$2:$B$1201,$A661))</f>
        <v/>
      </c>
      <c r="O661" s="19" t="str">
        <f aca="false">IF(OR($A661="",INDEX(_LEITURA!$Q$2:$Q$21,5)=0),"",SUMIFS(DECKS!$D$2:$D$1201,DECKS!$A$2:$A$1201,INDEX(_LEITURA!$P$2:$P$21,5),DECKS!$B$2:$B$1201,$A661))</f>
        <v/>
      </c>
      <c r="P661" s="19" t="str">
        <f aca="false">IF(OR($A661="",INDEX(_LEITURA!$Q$2:$Q$21,6)=0),"",SUMIFS(DECKS!$D$2:$D$1201,DECKS!$A$2:$A$1201,INDEX(_LEITURA!$P$2:$P$21,6),DECKS!$B$2:$B$1201,$A661))</f>
        <v/>
      </c>
      <c r="Q661" s="19" t="str">
        <f aca="false">IF(OR($A661="",INDEX(_LEITURA!$Q$2:$Q$21,7)=0),"",SUMIFS(DECKS!$D$2:$D$1201,DECKS!$A$2:$A$1201,INDEX(_LEITURA!$P$2:$P$21,7),DECKS!$B$2:$B$1201,$A661))</f>
        <v/>
      </c>
      <c r="R661" s="19" t="str">
        <f aca="false">IF(OR($A661="",INDEX(_LEITURA!$Q$2:$Q$21,8)=0),"",SUMIFS(DECKS!$D$2:$D$1201,DECKS!$A$2:$A$1201,INDEX(_LEITURA!$P$2:$P$21,8),DECKS!$B$2:$B$1201,$A661))</f>
        <v/>
      </c>
      <c r="S661" s="19" t="str">
        <f aca="false">IF(OR($A661="",INDEX(_LEITURA!$Q$2:$Q$21,9)=0),"",SUMIFS(DECKS!$D$2:$D$1201,DECKS!$A$2:$A$1201,INDEX(_LEITURA!$P$2:$P$21,9),DECKS!$B$2:$B$1201,$A661))</f>
        <v/>
      </c>
      <c r="T661" s="19" t="str">
        <f aca="false">IF(OR($A661="",INDEX(_LEITURA!$Q$2:$Q$21,10)=0),"",SUMIFS(DECKS!$D$2:$D$1201,DECKS!$A$2:$A$1201,INDEX(_LEITURA!$P$2:$P$21,10),DECKS!$B$2:$B$1201,$A661))</f>
        <v/>
      </c>
      <c r="U661" s="19" t="str">
        <f aca="false">IF(OR($A661="",INDEX(_LEITURA!$Q$2:$Q$21,11)=0),"",SUMIFS(DECKS!$D$2:$D$1201,DECKS!$A$2:$A$1201,INDEX(_LEITURA!$P$2:$P$21,11),DECKS!$B$2:$B$1201,$A661))</f>
        <v/>
      </c>
      <c r="V661" s="19" t="str">
        <f aca="false">IF(OR($A661="",INDEX(_LEITURA!$Q$2:$Q$21,12)=0),"",SUMIFS(DECKS!$D$2:$D$1201,DECKS!$A$2:$A$1201,INDEX(_LEITURA!$P$2:$P$21,12),DECKS!$B$2:$B$1201,$A661))</f>
        <v/>
      </c>
      <c r="W661" s="19" t="str">
        <f aca="false">IF(OR($A661="",INDEX(_LEITURA!$Q$2:$Q$21,13)=0),"",SUMIFS(DECKS!$D$2:$D$1201,DECKS!$A$2:$A$1201,INDEX(_LEITURA!$P$2:$P$21,13),DECKS!$B$2:$B$1201,$A661))</f>
        <v/>
      </c>
      <c r="X661" s="19" t="str">
        <f aca="false">IF(OR($A661="",INDEX(_LEITURA!$Q$2:$Q$21,14)=0),"",SUMIFS(DECKS!$D$2:$D$1201,DECKS!$A$2:$A$1201,INDEX(_LEITURA!$P$2:$P$21,14),DECKS!$B$2:$B$1201,$A661))</f>
        <v/>
      </c>
      <c r="Y661" s="19" t="str">
        <f aca="false">IF(OR($A661="",INDEX(_LEITURA!$Q$2:$Q$21,15)=0),"",SUMIFS(DECKS!$D$2:$D$1201,DECKS!$A$2:$A$1201,INDEX(_LEITURA!$P$2:$P$21,15),DECKS!$B$2:$B$1201,$A661))</f>
        <v/>
      </c>
      <c r="Z661" s="19" t="str">
        <f aca="false">IF(OR($A661="",INDEX(_LEITURA!$Q$2:$Q$21,16)=0),"",SUMIFS(DECKS!$D$2:$D$1201,DECKS!$A$2:$A$1201,INDEX(_LEITURA!$P$2:$P$21,16),DECKS!$B$2:$B$1201,$A661))</f>
        <v/>
      </c>
      <c r="AA661" s="19" t="str">
        <f aca="false">IF(OR($A661="",INDEX(_LEITURA!$Q$2:$Q$21,17)=0),"",SUMIFS(DECKS!$D$2:$D$1201,DECKS!$A$2:$A$1201,INDEX(_LEITURA!$P$2:$P$21,17),DECKS!$B$2:$B$1201,$A661))</f>
        <v/>
      </c>
      <c r="AB661" s="19" t="str">
        <f aca="false">IF(OR($A661="",INDEX(_LEITURA!$Q$2:$Q$21,18)=0),"",SUMIFS(DECKS!$D$2:$D$1201,DECKS!$A$2:$A$1201,INDEX(_LEITURA!$P$2:$P$21,18),DECKS!$B$2:$B$1201,$A661))</f>
        <v/>
      </c>
      <c r="AC661" s="19" t="str">
        <f aca="false">IF(OR($A661="",INDEX(_LEITURA!$Q$2:$Q$21,19)=0),"",SUMIFS(DECKS!$D$2:$D$1201,DECKS!$A$2:$A$1201,INDEX(_LEITURA!$P$2:$P$21,19),DECKS!$B$2:$B$1201,$A661))</f>
        <v/>
      </c>
      <c r="AD661" s="19" t="str">
        <f aca="false">IF(OR($A661="",INDEX(_LEITURA!$Q$2:$Q$21,20)=0),"",SUMIFS(DECKS!$D$2:$D$1201,DECKS!$A$2:$A$1201,INDEX(_LEITURA!$P$2:$P$21,20),DECKS!$B$2:$B$1201,$A661))</f>
        <v/>
      </c>
      <c r="AE661" s="16" t="str">
        <f aca="false">IF(N(E661)&gt;0,MAX(AE$1:AE660)+1,"")</f>
        <v/>
      </c>
      <c r="AF661" s="11" t="str">
        <f aca="false">IF(A661="","",IFERROR(LEFT(A661,FIND("-",A661)-1),A661))</f>
        <v/>
      </c>
      <c r="AG661" s="11" t="str">
        <f aca="false">IF(AF661="","",IF(ISNUMBER(--MID(AF661,1,1)),0,IF(ISNUMBER(--MID(AF661,2,1)),1,IF(ISNUMBER(--MID(AF661,3,1)),2,IF(ISNUMBER(--MID(AF661,4,1)),3,MIN(LEN(AF661),4))))))</f>
        <v/>
      </c>
      <c r="AH661" s="11" t="str">
        <f aca="false">IF(A661="","",LEFT(AF661,AG661)&amp;REPT("0",4-AG661)&amp;RIGHT("000"&amp;IFERROR(VALUE(MID(AF661,AG661+1,9)),0),3)&amp;RIGHT("0000"&amp;IFERROR(VALUE(MID(A661,FIND("-",A661)+1,9)),0),4))</f>
        <v/>
      </c>
      <c r="AI661" s="11" t="str">
        <f aca="false">IF(OR(A661="",N(E661)&lt;=0),"",IF('FALTAS GERAL'!$M$1="Código","K"&amp;AH661&amp;RIGHT("00000"&amp;ROW(),5),IF('FALTAS GERAL'!$M$1="Nome","K"&amp;UPPER(SUBSTITUTE(SUBSTITUTE(SUBSTITUTE(B661,"*",""),"?",""),"~",""))&amp;"0"&amp;AH661&amp;RIGHT("00000"&amp;ROW(),5),IF('FALTAS GERAL'!$M$1="Falta (maior primeiro)","K"&amp;RIGHT("0000"&amp;(9999-E661),4)&amp;AH661&amp;RIGHT("00000"&amp;ROW(),5),IF('FALTAS GERAL'!$M$1="Nº de decks (maior primeiro)","K"&amp;RIGHT("00"&amp;(99-N(G661)),2)&amp;AH661&amp;RIGHT("00000"&amp;ROW(),5),"K"&amp;RIGHT("00000"&amp;ROW(),5))))))</f>
        <v/>
      </c>
      <c r="AJ661" s="11" t="str">
        <f aca="false">IF(AI661="","",COUNTIFS($AI$2:$AI$801,"&lt;"&amp;AI661,$E$2:$E$801,"&gt;0")+1)</f>
        <v/>
      </c>
      <c r="AK661" s="11" t="str">
        <f aca="false">IF(OR(A661="",N(E661)&lt;=0),"",COUNTIFS($AH$2:$AH$801,"&lt;"&amp;AH661,$E$2:$E$801,"&gt;0")+COUNTIFS($AH$2:AH661,AH661,$E$2:E661,"&gt;0"))</f>
        <v/>
      </c>
    </row>
    <row r="662" customFormat="false" ht="15" hidden="false" customHeight="false" outlineLevel="0" collapsed="false">
      <c r="A662" s="11" t="str">
        <f aca="false">IF(INVENTÁRIO!A662="","",INVENTÁRIO!A662)</f>
        <v/>
      </c>
      <c r="B662" s="11" t="str">
        <f aca="false">IF(A662="","",INVENTÁRIO!B662)</f>
        <v/>
      </c>
      <c r="C662" s="16" t="str">
        <f aca="false">IF(A662="","",INVENTÁRIO!C662)</f>
        <v/>
      </c>
      <c r="D662" s="14" t="str">
        <f aca="false">IF(A662="","",MAX(K662:AD662))</f>
        <v/>
      </c>
      <c r="E662" s="14" t="str">
        <f aca="false">IF(A662="","",MAX(0,D662-C662))</f>
        <v/>
      </c>
      <c r="F662" s="16" t="str">
        <f aca="false">IF(A662="","",IF(D662=0,"Fora dos decks",IF(E662=0,"Completo","Falta")))</f>
        <v/>
      </c>
      <c r="G662" s="16" t="str">
        <f aca="false">IF(A662="","",COUNTIF(K662:AD662,"&gt;0"))</f>
        <v/>
      </c>
      <c r="H662" s="16" t="str">
        <f aca="false">IF(A662="","",IF(G662&gt;1,"Sim",""))</f>
        <v/>
      </c>
      <c r="I662" s="18" t="str">
        <f aca="false">IF(A662="","",SUMIFS(DECKS!$D$2:$D$1201,DECKS!$B$2:$B$1201,A662))</f>
        <v/>
      </c>
      <c r="J662" s="18" t="str">
        <f aca="false">IF(A662="","",MAX(0,I662-C662))</f>
        <v/>
      </c>
      <c r="K662" s="19" t="str">
        <f aca="false">IF(OR($A662="",INDEX(_LEITURA!$Q$2:$Q$21,1)=0),"",SUMIFS(DECKS!$D$2:$D$1201,DECKS!$A$2:$A$1201,INDEX(_LEITURA!$P$2:$P$21,1),DECKS!$B$2:$B$1201,$A662))</f>
        <v/>
      </c>
      <c r="L662" s="19" t="str">
        <f aca="false">IF(OR($A662="",INDEX(_LEITURA!$Q$2:$Q$21,2)=0),"",SUMIFS(DECKS!$D$2:$D$1201,DECKS!$A$2:$A$1201,INDEX(_LEITURA!$P$2:$P$21,2),DECKS!$B$2:$B$1201,$A662))</f>
        <v/>
      </c>
      <c r="M662" s="19" t="str">
        <f aca="false">IF(OR($A662="",INDEX(_LEITURA!$Q$2:$Q$21,3)=0),"",SUMIFS(DECKS!$D$2:$D$1201,DECKS!$A$2:$A$1201,INDEX(_LEITURA!$P$2:$P$21,3),DECKS!$B$2:$B$1201,$A662))</f>
        <v/>
      </c>
      <c r="N662" s="19" t="str">
        <f aca="false">IF(OR($A662="",INDEX(_LEITURA!$Q$2:$Q$21,4)=0),"",SUMIFS(DECKS!$D$2:$D$1201,DECKS!$A$2:$A$1201,INDEX(_LEITURA!$P$2:$P$21,4),DECKS!$B$2:$B$1201,$A662))</f>
        <v/>
      </c>
      <c r="O662" s="19" t="str">
        <f aca="false">IF(OR($A662="",INDEX(_LEITURA!$Q$2:$Q$21,5)=0),"",SUMIFS(DECKS!$D$2:$D$1201,DECKS!$A$2:$A$1201,INDEX(_LEITURA!$P$2:$P$21,5),DECKS!$B$2:$B$1201,$A662))</f>
        <v/>
      </c>
      <c r="P662" s="19" t="str">
        <f aca="false">IF(OR($A662="",INDEX(_LEITURA!$Q$2:$Q$21,6)=0),"",SUMIFS(DECKS!$D$2:$D$1201,DECKS!$A$2:$A$1201,INDEX(_LEITURA!$P$2:$P$21,6),DECKS!$B$2:$B$1201,$A662))</f>
        <v/>
      </c>
      <c r="Q662" s="19" t="str">
        <f aca="false">IF(OR($A662="",INDEX(_LEITURA!$Q$2:$Q$21,7)=0),"",SUMIFS(DECKS!$D$2:$D$1201,DECKS!$A$2:$A$1201,INDEX(_LEITURA!$P$2:$P$21,7),DECKS!$B$2:$B$1201,$A662))</f>
        <v/>
      </c>
      <c r="R662" s="19" t="str">
        <f aca="false">IF(OR($A662="",INDEX(_LEITURA!$Q$2:$Q$21,8)=0),"",SUMIFS(DECKS!$D$2:$D$1201,DECKS!$A$2:$A$1201,INDEX(_LEITURA!$P$2:$P$21,8),DECKS!$B$2:$B$1201,$A662))</f>
        <v/>
      </c>
      <c r="S662" s="19" t="str">
        <f aca="false">IF(OR($A662="",INDEX(_LEITURA!$Q$2:$Q$21,9)=0),"",SUMIFS(DECKS!$D$2:$D$1201,DECKS!$A$2:$A$1201,INDEX(_LEITURA!$P$2:$P$21,9),DECKS!$B$2:$B$1201,$A662))</f>
        <v/>
      </c>
      <c r="T662" s="19" t="str">
        <f aca="false">IF(OR($A662="",INDEX(_LEITURA!$Q$2:$Q$21,10)=0),"",SUMIFS(DECKS!$D$2:$D$1201,DECKS!$A$2:$A$1201,INDEX(_LEITURA!$P$2:$P$21,10),DECKS!$B$2:$B$1201,$A662))</f>
        <v/>
      </c>
      <c r="U662" s="19" t="str">
        <f aca="false">IF(OR($A662="",INDEX(_LEITURA!$Q$2:$Q$21,11)=0),"",SUMIFS(DECKS!$D$2:$D$1201,DECKS!$A$2:$A$1201,INDEX(_LEITURA!$P$2:$P$21,11),DECKS!$B$2:$B$1201,$A662))</f>
        <v/>
      </c>
      <c r="V662" s="19" t="str">
        <f aca="false">IF(OR($A662="",INDEX(_LEITURA!$Q$2:$Q$21,12)=0),"",SUMIFS(DECKS!$D$2:$D$1201,DECKS!$A$2:$A$1201,INDEX(_LEITURA!$P$2:$P$21,12),DECKS!$B$2:$B$1201,$A662))</f>
        <v/>
      </c>
      <c r="W662" s="19" t="str">
        <f aca="false">IF(OR($A662="",INDEX(_LEITURA!$Q$2:$Q$21,13)=0),"",SUMIFS(DECKS!$D$2:$D$1201,DECKS!$A$2:$A$1201,INDEX(_LEITURA!$P$2:$P$21,13),DECKS!$B$2:$B$1201,$A662))</f>
        <v/>
      </c>
      <c r="X662" s="19" t="str">
        <f aca="false">IF(OR($A662="",INDEX(_LEITURA!$Q$2:$Q$21,14)=0),"",SUMIFS(DECKS!$D$2:$D$1201,DECKS!$A$2:$A$1201,INDEX(_LEITURA!$P$2:$P$21,14),DECKS!$B$2:$B$1201,$A662))</f>
        <v/>
      </c>
      <c r="Y662" s="19" t="str">
        <f aca="false">IF(OR($A662="",INDEX(_LEITURA!$Q$2:$Q$21,15)=0),"",SUMIFS(DECKS!$D$2:$D$1201,DECKS!$A$2:$A$1201,INDEX(_LEITURA!$P$2:$P$21,15),DECKS!$B$2:$B$1201,$A662))</f>
        <v/>
      </c>
      <c r="Z662" s="19" t="str">
        <f aca="false">IF(OR($A662="",INDEX(_LEITURA!$Q$2:$Q$21,16)=0),"",SUMIFS(DECKS!$D$2:$D$1201,DECKS!$A$2:$A$1201,INDEX(_LEITURA!$P$2:$P$21,16),DECKS!$B$2:$B$1201,$A662))</f>
        <v/>
      </c>
      <c r="AA662" s="19" t="str">
        <f aca="false">IF(OR($A662="",INDEX(_LEITURA!$Q$2:$Q$21,17)=0),"",SUMIFS(DECKS!$D$2:$D$1201,DECKS!$A$2:$A$1201,INDEX(_LEITURA!$P$2:$P$21,17),DECKS!$B$2:$B$1201,$A662))</f>
        <v/>
      </c>
      <c r="AB662" s="19" t="str">
        <f aca="false">IF(OR($A662="",INDEX(_LEITURA!$Q$2:$Q$21,18)=0),"",SUMIFS(DECKS!$D$2:$D$1201,DECKS!$A$2:$A$1201,INDEX(_LEITURA!$P$2:$P$21,18),DECKS!$B$2:$B$1201,$A662))</f>
        <v/>
      </c>
      <c r="AC662" s="19" t="str">
        <f aca="false">IF(OR($A662="",INDEX(_LEITURA!$Q$2:$Q$21,19)=0),"",SUMIFS(DECKS!$D$2:$D$1201,DECKS!$A$2:$A$1201,INDEX(_LEITURA!$P$2:$P$21,19),DECKS!$B$2:$B$1201,$A662))</f>
        <v/>
      </c>
      <c r="AD662" s="19" t="str">
        <f aca="false">IF(OR($A662="",INDEX(_LEITURA!$Q$2:$Q$21,20)=0),"",SUMIFS(DECKS!$D$2:$D$1201,DECKS!$A$2:$A$1201,INDEX(_LEITURA!$P$2:$P$21,20),DECKS!$B$2:$B$1201,$A662))</f>
        <v/>
      </c>
      <c r="AE662" s="16" t="str">
        <f aca="false">IF(N(E662)&gt;0,MAX(AE$1:AE661)+1,"")</f>
        <v/>
      </c>
      <c r="AF662" s="11" t="str">
        <f aca="false">IF(A662="","",IFERROR(LEFT(A662,FIND("-",A662)-1),A662))</f>
        <v/>
      </c>
      <c r="AG662" s="11" t="str">
        <f aca="false">IF(AF662="","",IF(ISNUMBER(--MID(AF662,1,1)),0,IF(ISNUMBER(--MID(AF662,2,1)),1,IF(ISNUMBER(--MID(AF662,3,1)),2,IF(ISNUMBER(--MID(AF662,4,1)),3,MIN(LEN(AF662),4))))))</f>
        <v/>
      </c>
      <c r="AH662" s="11" t="str">
        <f aca="false">IF(A662="","",LEFT(AF662,AG662)&amp;REPT("0",4-AG662)&amp;RIGHT("000"&amp;IFERROR(VALUE(MID(AF662,AG662+1,9)),0),3)&amp;RIGHT("0000"&amp;IFERROR(VALUE(MID(A662,FIND("-",A662)+1,9)),0),4))</f>
        <v/>
      </c>
      <c r="AI662" s="11" t="str">
        <f aca="false">IF(OR(A662="",N(E662)&lt;=0),"",IF('FALTAS GERAL'!$M$1="Código","K"&amp;AH662&amp;RIGHT("00000"&amp;ROW(),5),IF('FALTAS GERAL'!$M$1="Nome","K"&amp;UPPER(SUBSTITUTE(SUBSTITUTE(SUBSTITUTE(B662,"*",""),"?",""),"~",""))&amp;"0"&amp;AH662&amp;RIGHT("00000"&amp;ROW(),5),IF('FALTAS GERAL'!$M$1="Falta (maior primeiro)","K"&amp;RIGHT("0000"&amp;(9999-E662),4)&amp;AH662&amp;RIGHT("00000"&amp;ROW(),5),IF('FALTAS GERAL'!$M$1="Nº de decks (maior primeiro)","K"&amp;RIGHT("00"&amp;(99-N(G662)),2)&amp;AH662&amp;RIGHT("00000"&amp;ROW(),5),"K"&amp;RIGHT("00000"&amp;ROW(),5))))))</f>
        <v/>
      </c>
      <c r="AJ662" s="11" t="str">
        <f aca="false">IF(AI662="","",COUNTIFS($AI$2:$AI$801,"&lt;"&amp;AI662,$E$2:$E$801,"&gt;0")+1)</f>
        <v/>
      </c>
      <c r="AK662" s="11" t="str">
        <f aca="false">IF(OR(A662="",N(E662)&lt;=0),"",COUNTIFS($AH$2:$AH$801,"&lt;"&amp;AH662,$E$2:$E$801,"&gt;0")+COUNTIFS($AH$2:AH662,AH662,$E$2:E662,"&gt;0"))</f>
        <v/>
      </c>
    </row>
    <row r="663" customFormat="false" ht="15" hidden="false" customHeight="false" outlineLevel="0" collapsed="false">
      <c r="A663" s="11" t="str">
        <f aca="false">IF(INVENTÁRIO!A663="","",INVENTÁRIO!A663)</f>
        <v/>
      </c>
      <c r="B663" s="11" t="str">
        <f aca="false">IF(A663="","",INVENTÁRIO!B663)</f>
        <v/>
      </c>
      <c r="C663" s="16" t="str">
        <f aca="false">IF(A663="","",INVENTÁRIO!C663)</f>
        <v/>
      </c>
      <c r="D663" s="14" t="str">
        <f aca="false">IF(A663="","",MAX(K663:AD663))</f>
        <v/>
      </c>
      <c r="E663" s="14" t="str">
        <f aca="false">IF(A663="","",MAX(0,D663-C663))</f>
        <v/>
      </c>
      <c r="F663" s="16" t="str">
        <f aca="false">IF(A663="","",IF(D663=0,"Fora dos decks",IF(E663=0,"Completo","Falta")))</f>
        <v/>
      </c>
      <c r="G663" s="16" t="str">
        <f aca="false">IF(A663="","",COUNTIF(K663:AD663,"&gt;0"))</f>
        <v/>
      </c>
      <c r="H663" s="16" t="str">
        <f aca="false">IF(A663="","",IF(G663&gt;1,"Sim",""))</f>
        <v/>
      </c>
      <c r="I663" s="18" t="str">
        <f aca="false">IF(A663="","",SUMIFS(DECKS!$D$2:$D$1201,DECKS!$B$2:$B$1201,A663))</f>
        <v/>
      </c>
      <c r="J663" s="18" t="str">
        <f aca="false">IF(A663="","",MAX(0,I663-C663))</f>
        <v/>
      </c>
      <c r="K663" s="19" t="str">
        <f aca="false">IF(OR($A663="",INDEX(_LEITURA!$Q$2:$Q$21,1)=0),"",SUMIFS(DECKS!$D$2:$D$1201,DECKS!$A$2:$A$1201,INDEX(_LEITURA!$P$2:$P$21,1),DECKS!$B$2:$B$1201,$A663))</f>
        <v/>
      </c>
      <c r="L663" s="19" t="str">
        <f aca="false">IF(OR($A663="",INDEX(_LEITURA!$Q$2:$Q$21,2)=0),"",SUMIFS(DECKS!$D$2:$D$1201,DECKS!$A$2:$A$1201,INDEX(_LEITURA!$P$2:$P$21,2),DECKS!$B$2:$B$1201,$A663))</f>
        <v/>
      </c>
      <c r="M663" s="19" t="str">
        <f aca="false">IF(OR($A663="",INDEX(_LEITURA!$Q$2:$Q$21,3)=0),"",SUMIFS(DECKS!$D$2:$D$1201,DECKS!$A$2:$A$1201,INDEX(_LEITURA!$P$2:$P$21,3),DECKS!$B$2:$B$1201,$A663))</f>
        <v/>
      </c>
      <c r="N663" s="19" t="str">
        <f aca="false">IF(OR($A663="",INDEX(_LEITURA!$Q$2:$Q$21,4)=0),"",SUMIFS(DECKS!$D$2:$D$1201,DECKS!$A$2:$A$1201,INDEX(_LEITURA!$P$2:$P$21,4),DECKS!$B$2:$B$1201,$A663))</f>
        <v/>
      </c>
      <c r="O663" s="19" t="str">
        <f aca="false">IF(OR($A663="",INDEX(_LEITURA!$Q$2:$Q$21,5)=0),"",SUMIFS(DECKS!$D$2:$D$1201,DECKS!$A$2:$A$1201,INDEX(_LEITURA!$P$2:$P$21,5),DECKS!$B$2:$B$1201,$A663))</f>
        <v/>
      </c>
      <c r="P663" s="19" t="str">
        <f aca="false">IF(OR($A663="",INDEX(_LEITURA!$Q$2:$Q$21,6)=0),"",SUMIFS(DECKS!$D$2:$D$1201,DECKS!$A$2:$A$1201,INDEX(_LEITURA!$P$2:$P$21,6),DECKS!$B$2:$B$1201,$A663))</f>
        <v/>
      </c>
      <c r="Q663" s="19" t="str">
        <f aca="false">IF(OR($A663="",INDEX(_LEITURA!$Q$2:$Q$21,7)=0),"",SUMIFS(DECKS!$D$2:$D$1201,DECKS!$A$2:$A$1201,INDEX(_LEITURA!$P$2:$P$21,7),DECKS!$B$2:$B$1201,$A663))</f>
        <v/>
      </c>
      <c r="R663" s="19" t="str">
        <f aca="false">IF(OR($A663="",INDEX(_LEITURA!$Q$2:$Q$21,8)=0),"",SUMIFS(DECKS!$D$2:$D$1201,DECKS!$A$2:$A$1201,INDEX(_LEITURA!$P$2:$P$21,8),DECKS!$B$2:$B$1201,$A663))</f>
        <v/>
      </c>
      <c r="S663" s="19" t="str">
        <f aca="false">IF(OR($A663="",INDEX(_LEITURA!$Q$2:$Q$21,9)=0),"",SUMIFS(DECKS!$D$2:$D$1201,DECKS!$A$2:$A$1201,INDEX(_LEITURA!$P$2:$P$21,9),DECKS!$B$2:$B$1201,$A663))</f>
        <v/>
      </c>
      <c r="T663" s="19" t="str">
        <f aca="false">IF(OR($A663="",INDEX(_LEITURA!$Q$2:$Q$21,10)=0),"",SUMIFS(DECKS!$D$2:$D$1201,DECKS!$A$2:$A$1201,INDEX(_LEITURA!$P$2:$P$21,10),DECKS!$B$2:$B$1201,$A663))</f>
        <v/>
      </c>
      <c r="U663" s="19" t="str">
        <f aca="false">IF(OR($A663="",INDEX(_LEITURA!$Q$2:$Q$21,11)=0),"",SUMIFS(DECKS!$D$2:$D$1201,DECKS!$A$2:$A$1201,INDEX(_LEITURA!$P$2:$P$21,11),DECKS!$B$2:$B$1201,$A663))</f>
        <v/>
      </c>
      <c r="V663" s="19" t="str">
        <f aca="false">IF(OR($A663="",INDEX(_LEITURA!$Q$2:$Q$21,12)=0),"",SUMIFS(DECKS!$D$2:$D$1201,DECKS!$A$2:$A$1201,INDEX(_LEITURA!$P$2:$P$21,12),DECKS!$B$2:$B$1201,$A663))</f>
        <v/>
      </c>
      <c r="W663" s="19" t="str">
        <f aca="false">IF(OR($A663="",INDEX(_LEITURA!$Q$2:$Q$21,13)=0),"",SUMIFS(DECKS!$D$2:$D$1201,DECKS!$A$2:$A$1201,INDEX(_LEITURA!$P$2:$P$21,13),DECKS!$B$2:$B$1201,$A663))</f>
        <v/>
      </c>
      <c r="X663" s="19" t="str">
        <f aca="false">IF(OR($A663="",INDEX(_LEITURA!$Q$2:$Q$21,14)=0),"",SUMIFS(DECKS!$D$2:$D$1201,DECKS!$A$2:$A$1201,INDEX(_LEITURA!$P$2:$P$21,14),DECKS!$B$2:$B$1201,$A663))</f>
        <v/>
      </c>
      <c r="Y663" s="19" t="str">
        <f aca="false">IF(OR($A663="",INDEX(_LEITURA!$Q$2:$Q$21,15)=0),"",SUMIFS(DECKS!$D$2:$D$1201,DECKS!$A$2:$A$1201,INDEX(_LEITURA!$P$2:$P$21,15),DECKS!$B$2:$B$1201,$A663))</f>
        <v/>
      </c>
      <c r="Z663" s="19" t="str">
        <f aca="false">IF(OR($A663="",INDEX(_LEITURA!$Q$2:$Q$21,16)=0),"",SUMIFS(DECKS!$D$2:$D$1201,DECKS!$A$2:$A$1201,INDEX(_LEITURA!$P$2:$P$21,16),DECKS!$B$2:$B$1201,$A663))</f>
        <v/>
      </c>
      <c r="AA663" s="19" t="str">
        <f aca="false">IF(OR($A663="",INDEX(_LEITURA!$Q$2:$Q$21,17)=0),"",SUMIFS(DECKS!$D$2:$D$1201,DECKS!$A$2:$A$1201,INDEX(_LEITURA!$P$2:$P$21,17),DECKS!$B$2:$B$1201,$A663))</f>
        <v/>
      </c>
      <c r="AB663" s="19" t="str">
        <f aca="false">IF(OR($A663="",INDEX(_LEITURA!$Q$2:$Q$21,18)=0),"",SUMIFS(DECKS!$D$2:$D$1201,DECKS!$A$2:$A$1201,INDEX(_LEITURA!$P$2:$P$21,18),DECKS!$B$2:$B$1201,$A663))</f>
        <v/>
      </c>
      <c r="AC663" s="19" t="str">
        <f aca="false">IF(OR($A663="",INDEX(_LEITURA!$Q$2:$Q$21,19)=0),"",SUMIFS(DECKS!$D$2:$D$1201,DECKS!$A$2:$A$1201,INDEX(_LEITURA!$P$2:$P$21,19),DECKS!$B$2:$B$1201,$A663))</f>
        <v/>
      </c>
      <c r="AD663" s="19" t="str">
        <f aca="false">IF(OR($A663="",INDEX(_LEITURA!$Q$2:$Q$21,20)=0),"",SUMIFS(DECKS!$D$2:$D$1201,DECKS!$A$2:$A$1201,INDEX(_LEITURA!$P$2:$P$21,20),DECKS!$B$2:$B$1201,$A663))</f>
        <v/>
      </c>
      <c r="AE663" s="16" t="str">
        <f aca="false">IF(N(E663)&gt;0,MAX(AE$1:AE662)+1,"")</f>
        <v/>
      </c>
      <c r="AF663" s="11" t="str">
        <f aca="false">IF(A663="","",IFERROR(LEFT(A663,FIND("-",A663)-1),A663))</f>
        <v/>
      </c>
      <c r="AG663" s="11" t="str">
        <f aca="false">IF(AF663="","",IF(ISNUMBER(--MID(AF663,1,1)),0,IF(ISNUMBER(--MID(AF663,2,1)),1,IF(ISNUMBER(--MID(AF663,3,1)),2,IF(ISNUMBER(--MID(AF663,4,1)),3,MIN(LEN(AF663),4))))))</f>
        <v/>
      </c>
      <c r="AH663" s="11" t="str">
        <f aca="false">IF(A663="","",LEFT(AF663,AG663)&amp;REPT("0",4-AG663)&amp;RIGHT("000"&amp;IFERROR(VALUE(MID(AF663,AG663+1,9)),0),3)&amp;RIGHT("0000"&amp;IFERROR(VALUE(MID(A663,FIND("-",A663)+1,9)),0),4))</f>
        <v/>
      </c>
      <c r="AI663" s="11" t="str">
        <f aca="false">IF(OR(A663="",N(E663)&lt;=0),"",IF('FALTAS GERAL'!$M$1="Código","K"&amp;AH663&amp;RIGHT("00000"&amp;ROW(),5),IF('FALTAS GERAL'!$M$1="Nome","K"&amp;UPPER(SUBSTITUTE(SUBSTITUTE(SUBSTITUTE(B663,"*",""),"?",""),"~",""))&amp;"0"&amp;AH663&amp;RIGHT("00000"&amp;ROW(),5),IF('FALTAS GERAL'!$M$1="Falta (maior primeiro)","K"&amp;RIGHT("0000"&amp;(9999-E663),4)&amp;AH663&amp;RIGHT("00000"&amp;ROW(),5),IF('FALTAS GERAL'!$M$1="Nº de decks (maior primeiro)","K"&amp;RIGHT("00"&amp;(99-N(G663)),2)&amp;AH663&amp;RIGHT("00000"&amp;ROW(),5),"K"&amp;RIGHT("00000"&amp;ROW(),5))))))</f>
        <v/>
      </c>
      <c r="AJ663" s="11" t="str">
        <f aca="false">IF(AI663="","",COUNTIFS($AI$2:$AI$801,"&lt;"&amp;AI663,$E$2:$E$801,"&gt;0")+1)</f>
        <v/>
      </c>
      <c r="AK663" s="11" t="str">
        <f aca="false">IF(OR(A663="",N(E663)&lt;=0),"",COUNTIFS($AH$2:$AH$801,"&lt;"&amp;AH663,$E$2:$E$801,"&gt;0")+COUNTIFS($AH$2:AH663,AH663,$E$2:E663,"&gt;0"))</f>
        <v/>
      </c>
    </row>
    <row r="664" customFormat="false" ht="15" hidden="false" customHeight="false" outlineLevel="0" collapsed="false">
      <c r="A664" s="11" t="str">
        <f aca="false">IF(INVENTÁRIO!A664="","",INVENTÁRIO!A664)</f>
        <v/>
      </c>
      <c r="B664" s="11" t="str">
        <f aca="false">IF(A664="","",INVENTÁRIO!B664)</f>
        <v/>
      </c>
      <c r="C664" s="16" t="str">
        <f aca="false">IF(A664="","",INVENTÁRIO!C664)</f>
        <v/>
      </c>
      <c r="D664" s="14" t="str">
        <f aca="false">IF(A664="","",MAX(K664:AD664))</f>
        <v/>
      </c>
      <c r="E664" s="14" t="str">
        <f aca="false">IF(A664="","",MAX(0,D664-C664))</f>
        <v/>
      </c>
      <c r="F664" s="16" t="str">
        <f aca="false">IF(A664="","",IF(D664=0,"Fora dos decks",IF(E664=0,"Completo","Falta")))</f>
        <v/>
      </c>
      <c r="G664" s="16" t="str">
        <f aca="false">IF(A664="","",COUNTIF(K664:AD664,"&gt;0"))</f>
        <v/>
      </c>
      <c r="H664" s="16" t="str">
        <f aca="false">IF(A664="","",IF(G664&gt;1,"Sim",""))</f>
        <v/>
      </c>
      <c r="I664" s="18" t="str">
        <f aca="false">IF(A664="","",SUMIFS(DECKS!$D$2:$D$1201,DECKS!$B$2:$B$1201,A664))</f>
        <v/>
      </c>
      <c r="J664" s="18" t="str">
        <f aca="false">IF(A664="","",MAX(0,I664-C664))</f>
        <v/>
      </c>
      <c r="K664" s="19" t="str">
        <f aca="false">IF(OR($A664="",INDEX(_LEITURA!$Q$2:$Q$21,1)=0),"",SUMIFS(DECKS!$D$2:$D$1201,DECKS!$A$2:$A$1201,INDEX(_LEITURA!$P$2:$P$21,1),DECKS!$B$2:$B$1201,$A664))</f>
        <v/>
      </c>
      <c r="L664" s="19" t="str">
        <f aca="false">IF(OR($A664="",INDEX(_LEITURA!$Q$2:$Q$21,2)=0),"",SUMIFS(DECKS!$D$2:$D$1201,DECKS!$A$2:$A$1201,INDEX(_LEITURA!$P$2:$P$21,2),DECKS!$B$2:$B$1201,$A664))</f>
        <v/>
      </c>
      <c r="M664" s="19" t="str">
        <f aca="false">IF(OR($A664="",INDEX(_LEITURA!$Q$2:$Q$21,3)=0),"",SUMIFS(DECKS!$D$2:$D$1201,DECKS!$A$2:$A$1201,INDEX(_LEITURA!$P$2:$P$21,3),DECKS!$B$2:$B$1201,$A664))</f>
        <v/>
      </c>
      <c r="N664" s="19" t="str">
        <f aca="false">IF(OR($A664="",INDEX(_LEITURA!$Q$2:$Q$21,4)=0),"",SUMIFS(DECKS!$D$2:$D$1201,DECKS!$A$2:$A$1201,INDEX(_LEITURA!$P$2:$P$21,4),DECKS!$B$2:$B$1201,$A664))</f>
        <v/>
      </c>
      <c r="O664" s="19" t="str">
        <f aca="false">IF(OR($A664="",INDEX(_LEITURA!$Q$2:$Q$21,5)=0),"",SUMIFS(DECKS!$D$2:$D$1201,DECKS!$A$2:$A$1201,INDEX(_LEITURA!$P$2:$P$21,5),DECKS!$B$2:$B$1201,$A664))</f>
        <v/>
      </c>
      <c r="P664" s="19" t="str">
        <f aca="false">IF(OR($A664="",INDEX(_LEITURA!$Q$2:$Q$21,6)=0),"",SUMIFS(DECKS!$D$2:$D$1201,DECKS!$A$2:$A$1201,INDEX(_LEITURA!$P$2:$P$21,6),DECKS!$B$2:$B$1201,$A664))</f>
        <v/>
      </c>
      <c r="Q664" s="19" t="str">
        <f aca="false">IF(OR($A664="",INDEX(_LEITURA!$Q$2:$Q$21,7)=0),"",SUMIFS(DECKS!$D$2:$D$1201,DECKS!$A$2:$A$1201,INDEX(_LEITURA!$P$2:$P$21,7),DECKS!$B$2:$B$1201,$A664))</f>
        <v/>
      </c>
      <c r="R664" s="19" t="str">
        <f aca="false">IF(OR($A664="",INDEX(_LEITURA!$Q$2:$Q$21,8)=0),"",SUMIFS(DECKS!$D$2:$D$1201,DECKS!$A$2:$A$1201,INDEX(_LEITURA!$P$2:$P$21,8),DECKS!$B$2:$B$1201,$A664))</f>
        <v/>
      </c>
      <c r="S664" s="19" t="str">
        <f aca="false">IF(OR($A664="",INDEX(_LEITURA!$Q$2:$Q$21,9)=0),"",SUMIFS(DECKS!$D$2:$D$1201,DECKS!$A$2:$A$1201,INDEX(_LEITURA!$P$2:$P$21,9),DECKS!$B$2:$B$1201,$A664))</f>
        <v/>
      </c>
      <c r="T664" s="19" t="str">
        <f aca="false">IF(OR($A664="",INDEX(_LEITURA!$Q$2:$Q$21,10)=0),"",SUMIFS(DECKS!$D$2:$D$1201,DECKS!$A$2:$A$1201,INDEX(_LEITURA!$P$2:$P$21,10),DECKS!$B$2:$B$1201,$A664))</f>
        <v/>
      </c>
      <c r="U664" s="19" t="str">
        <f aca="false">IF(OR($A664="",INDEX(_LEITURA!$Q$2:$Q$21,11)=0),"",SUMIFS(DECKS!$D$2:$D$1201,DECKS!$A$2:$A$1201,INDEX(_LEITURA!$P$2:$P$21,11),DECKS!$B$2:$B$1201,$A664))</f>
        <v/>
      </c>
      <c r="V664" s="19" t="str">
        <f aca="false">IF(OR($A664="",INDEX(_LEITURA!$Q$2:$Q$21,12)=0),"",SUMIFS(DECKS!$D$2:$D$1201,DECKS!$A$2:$A$1201,INDEX(_LEITURA!$P$2:$P$21,12),DECKS!$B$2:$B$1201,$A664))</f>
        <v/>
      </c>
      <c r="W664" s="19" t="str">
        <f aca="false">IF(OR($A664="",INDEX(_LEITURA!$Q$2:$Q$21,13)=0),"",SUMIFS(DECKS!$D$2:$D$1201,DECKS!$A$2:$A$1201,INDEX(_LEITURA!$P$2:$P$21,13),DECKS!$B$2:$B$1201,$A664))</f>
        <v/>
      </c>
      <c r="X664" s="19" t="str">
        <f aca="false">IF(OR($A664="",INDEX(_LEITURA!$Q$2:$Q$21,14)=0),"",SUMIFS(DECKS!$D$2:$D$1201,DECKS!$A$2:$A$1201,INDEX(_LEITURA!$P$2:$P$21,14),DECKS!$B$2:$B$1201,$A664))</f>
        <v/>
      </c>
      <c r="Y664" s="19" t="str">
        <f aca="false">IF(OR($A664="",INDEX(_LEITURA!$Q$2:$Q$21,15)=0),"",SUMIFS(DECKS!$D$2:$D$1201,DECKS!$A$2:$A$1201,INDEX(_LEITURA!$P$2:$P$21,15),DECKS!$B$2:$B$1201,$A664))</f>
        <v/>
      </c>
      <c r="Z664" s="19" t="str">
        <f aca="false">IF(OR($A664="",INDEX(_LEITURA!$Q$2:$Q$21,16)=0),"",SUMIFS(DECKS!$D$2:$D$1201,DECKS!$A$2:$A$1201,INDEX(_LEITURA!$P$2:$P$21,16),DECKS!$B$2:$B$1201,$A664))</f>
        <v/>
      </c>
      <c r="AA664" s="19" t="str">
        <f aca="false">IF(OR($A664="",INDEX(_LEITURA!$Q$2:$Q$21,17)=0),"",SUMIFS(DECKS!$D$2:$D$1201,DECKS!$A$2:$A$1201,INDEX(_LEITURA!$P$2:$P$21,17),DECKS!$B$2:$B$1201,$A664))</f>
        <v/>
      </c>
      <c r="AB664" s="19" t="str">
        <f aca="false">IF(OR($A664="",INDEX(_LEITURA!$Q$2:$Q$21,18)=0),"",SUMIFS(DECKS!$D$2:$D$1201,DECKS!$A$2:$A$1201,INDEX(_LEITURA!$P$2:$P$21,18),DECKS!$B$2:$B$1201,$A664))</f>
        <v/>
      </c>
      <c r="AC664" s="19" t="str">
        <f aca="false">IF(OR($A664="",INDEX(_LEITURA!$Q$2:$Q$21,19)=0),"",SUMIFS(DECKS!$D$2:$D$1201,DECKS!$A$2:$A$1201,INDEX(_LEITURA!$P$2:$P$21,19),DECKS!$B$2:$B$1201,$A664))</f>
        <v/>
      </c>
      <c r="AD664" s="19" t="str">
        <f aca="false">IF(OR($A664="",INDEX(_LEITURA!$Q$2:$Q$21,20)=0),"",SUMIFS(DECKS!$D$2:$D$1201,DECKS!$A$2:$A$1201,INDEX(_LEITURA!$P$2:$P$21,20),DECKS!$B$2:$B$1201,$A664))</f>
        <v/>
      </c>
      <c r="AE664" s="16" t="str">
        <f aca="false">IF(N(E664)&gt;0,MAX(AE$1:AE663)+1,"")</f>
        <v/>
      </c>
      <c r="AF664" s="11" t="str">
        <f aca="false">IF(A664="","",IFERROR(LEFT(A664,FIND("-",A664)-1),A664))</f>
        <v/>
      </c>
      <c r="AG664" s="11" t="str">
        <f aca="false">IF(AF664="","",IF(ISNUMBER(--MID(AF664,1,1)),0,IF(ISNUMBER(--MID(AF664,2,1)),1,IF(ISNUMBER(--MID(AF664,3,1)),2,IF(ISNUMBER(--MID(AF664,4,1)),3,MIN(LEN(AF664),4))))))</f>
        <v/>
      </c>
      <c r="AH664" s="11" t="str">
        <f aca="false">IF(A664="","",LEFT(AF664,AG664)&amp;REPT("0",4-AG664)&amp;RIGHT("000"&amp;IFERROR(VALUE(MID(AF664,AG664+1,9)),0),3)&amp;RIGHT("0000"&amp;IFERROR(VALUE(MID(A664,FIND("-",A664)+1,9)),0),4))</f>
        <v/>
      </c>
      <c r="AI664" s="11" t="str">
        <f aca="false">IF(OR(A664="",N(E664)&lt;=0),"",IF('FALTAS GERAL'!$M$1="Código","K"&amp;AH664&amp;RIGHT("00000"&amp;ROW(),5),IF('FALTAS GERAL'!$M$1="Nome","K"&amp;UPPER(SUBSTITUTE(SUBSTITUTE(SUBSTITUTE(B664,"*",""),"?",""),"~",""))&amp;"0"&amp;AH664&amp;RIGHT("00000"&amp;ROW(),5),IF('FALTAS GERAL'!$M$1="Falta (maior primeiro)","K"&amp;RIGHT("0000"&amp;(9999-E664),4)&amp;AH664&amp;RIGHT("00000"&amp;ROW(),5),IF('FALTAS GERAL'!$M$1="Nº de decks (maior primeiro)","K"&amp;RIGHT("00"&amp;(99-N(G664)),2)&amp;AH664&amp;RIGHT("00000"&amp;ROW(),5),"K"&amp;RIGHT("00000"&amp;ROW(),5))))))</f>
        <v/>
      </c>
      <c r="AJ664" s="11" t="str">
        <f aca="false">IF(AI664="","",COUNTIFS($AI$2:$AI$801,"&lt;"&amp;AI664,$E$2:$E$801,"&gt;0")+1)</f>
        <v/>
      </c>
      <c r="AK664" s="11" t="str">
        <f aca="false">IF(OR(A664="",N(E664)&lt;=0),"",COUNTIFS($AH$2:$AH$801,"&lt;"&amp;AH664,$E$2:$E$801,"&gt;0")+COUNTIFS($AH$2:AH664,AH664,$E$2:E664,"&gt;0"))</f>
        <v/>
      </c>
    </row>
    <row r="665" customFormat="false" ht="15" hidden="false" customHeight="false" outlineLevel="0" collapsed="false">
      <c r="A665" s="11" t="str">
        <f aca="false">IF(INVENTÁRIO!A665="","",INVENTÁRIO!A665)</f>
        <v/>
      </c>
      <c r="B665" s="11" t="str">
        <f aca="false">IF(A665="","",INVENTÁRIO!B665)</f>
        <v/>
      </c>
      <c r="C665" s="16" t="str">
        <f aca="false">IF(A665="","",INVENTÁRIO!C665)</f>
        <v/>
      </c>
      <c r="D665" s="14" t="str">
        <f aca="false">IF(A665="","",MAX(K665:AD665))</f>
        <v/>
      </c>
      <c r="E665" s="14" t="str">
        <f aca="false">IF(A665="","",MAX(0,D665-C665))</f>
        <v/>
      </c>
      <c r="F665" s="16" t="str">
        <f aca="false">IF(A665="","",IF(D665=0,"Fora dos decks",IF(E665=0,"Completo","Falta")))</f>
        <v/>
      </c>
      <c r="G665" s="16" t="str">
        <f aca="false">IF(A665="","",COUNTIF(K665:AD665,"&gt;0"))</f>
        <v/>
      </c>
      <c r="H665" s="16" t="str">
        <f aca="false">IF(A665="","",IF(G665&gt;1,"Sim",""))</f>
        <v/>
      </c>
      <c r="I665" s="18" t="str">
        <f aca="false">IF(A665="","",SUMIFS(DECKS!$D$2:$D$1201,DECKS!$B$2:$B$1201,A665))</f>
        <v/>
      </c>
      <c r="J665" s="18" t="str">
        <f aca="false">IF(A665="","",MAX(0,I665-C665))</f>
        <v/>
      </c>
      <c r="K665" s="19" t="str">
        <f aca="false">IF(OR($A665="",INDEX(_LEITURA!$Q$2:$Q$21,1)=0),"",SUMIFS(DECKS!$D$2:$D$1201,DECKS!$A$2:$A$1201,INDEX(_LEITURA!$P$2:$P$21,1),DECKS!$B$2:$B$1201,$A665))</f>
        <v/>
      </c>
      <c r="L665" s="19" t="str">
        <f aca="false">IF(OR($A665="",INDEX(_LEITURA!$Q$2:$Q$21,2)=0),"",SUMIFS(DECKS!$D$2:$D$1201,DECKS!$A$2:$A$1201,INDEX(_LEITURA!$P$2:$P$21,2),DECKS!$B$2:$B$1201,$A665))</f>
        <v/>
      </c>
      <c r="M665" s="19" t="str">
        <f aca="false">IF(OR($A665="",INDEX(_LEITURA!$Q$2:$Q$21,3)=0),"",SUMIFS(DECKS!$D$2:$D$1201,DECKS!$A$2:$A$1201,INDEX(_LEITURA!$P$2:$P$21,3),DECKS!$B$2:$B$1201,$A665))</f>
        <v/>
      </c>
      <c r="N665" s="19" t="str">
        <f aca="false">IF(OR($A665="",INDEX(_LEITURA!$Q$2:$Q$21,4)=0),"",SUMIFS(DECKS!$D$2:$D$1201,DECKS!$A$2:$A$1201,INDEX(_LEITURA!$P$2:$P$21,4),DECKS!$B$2:$B$1201,$A665))</f>
        <v/>
      </c>
      <c r="O665" s="19" t="str">
        <f aca="false">IF(OR($A665="",INDEX(_LEITURA!$Q$2:$Q$21,5)=0),"",SUMIFS(DECKS!$D$2:$D$1201,DECKS!$A$2:$A$1201,INDEX(_LEITURA!$P$2:$P$21,5),DECKS!$B$2:$B$1201,$A665))</f>
        <v/>
      </c>
      <c r="P665" s="19" t="str">
        <f aca="false">IF(OR($A665="",INDEX(_LEITURA!$Q$2:$Q$21,6)=0),"",SUMIFS(DECKS!$D$2:$D$1201,DECKS!$A$2:$A$1201,INDEX(_LEITURA!$P$2:$P$21,6),DECKS!$B$2:$B$1201,$A665))</f>
        <v/>
      </c>
      <c r="Q665" s="19" t="str">
        <f aca="false">IF(OR($A665="",INDEX(_LEITURA!$Q$2:$Q$21,7)=0),"",SUMIFS(DECKS!$D$2:$D$1201,DECKS!$A$2:$A$1201,INDEX(_LEITURA!$P$2:$P$21,7),DECKS!$B$2:$B$1201,$A665))</f>
        <v/>
      </c>
      <c r="R665" s="19" t="str">
        <f aca="false">IF(OR($A665="",INDEX(_LEITURA!$Q$2:$Q$21,8)=0),"",SUMIFS(DECKS!$D$2:$D$1201,DECKS!$A$2:$A$1201,INDEX(_LEITURA!$P$2:$P$21,8),DECKS!$B$2:$B$1201,$A665))</f>
        <v/>
      </c>
      <c r="S665" s="19" t="str">
        <f aca="false">IF(OR($A665="",INDEX(_LEITURA!$Q$2:$Q$21,9)=0),"",SUMIFS(DECKS!$D$2:$D$1201,DECKS!$A$2:$A$1201,INDEX(_LEITURA!$P$2:$P$21,9),DECKS!$B$2:$B$1201,$A665))</f>
        <v/>
      </c>
      <c r="T665" s="19" t="str">
        <f aca="false">IF(OR($A665="",INDEX(_LEITURA!$Q$2:$Q$21,10)=0),"",SUMIFS(DECKS!$D$2:$D$1201,DECKS!$A$2:$A$1201,INDEX(_LEITURA!$P$2:$P$21,10),DECKS!$B$2:$B$1201,$A665))</f>
        <v/>
      </c>
      <c r="U665" s="19" t="str">
        <f aca="false">IF(OR($A665="",INDEX(_LEITURA!$Q$2:$Q$21,11)=0),"",SUMIFS(DECKS!$D$2:$D$1201,DECKS!$A$2:$A$1201,INDEX(_LEITURA!$P$2:$P$21,11),DECKS!$B$2:$B$1201,$A665))</f>
        <v/>
      </c>
      <c r="V665" s="19" t="str">
        <f aca="false">IF(OR($A665="",INDEX(_LEITURA!$Q$2:$Q$21,12)=0),"",SUMIFS(DECKS!$D$2:$D$1201,DECKS!$A$2:$A$1201,INDEX(_LEITURA!$P$2:$P$21,12),DECKS!$B$2:$B$1201,$A665))</f>
        <v/>
      </c>
      <c r="W665" s="19" t="str">
        <f aca="false">IF(OR($A665="",INDEX(_LEITURA!$Q$2:$Q$21,13)=0),"",SUMIFS(DECKS!$D$2:$D$1201,DECKS!$A$2:$A$1201,INDEX(_LEITURA!$P$2:$P$21,13),DECKS!$B$2:$B$1201,$A665))</f>
        <v/>
      </c>
      <c r="X665" s="19" t="str">
        <f aca="false">IF(OR($A665="",INDEX(_LEITURA!$Q$2:$Q$21,14)=0),"",SUMIFS(DECKS!$D$2:$D$1201,DECKS!$A$2:$A$1201,INDEX(_LEITURA!$P$2:$P$21,14),DECKS!$B$2:$B$1201,$A665))</f>
        <v/>
      </c>
      <c r="Y665" s="19" t="str">
        <f aca="false">IF(OR($A665="",INDEX(_LEITURA!$Q$2:$Q$21,15)=0),"",SUMIFS(DECKS!$D$2:$D$1201,DECKS!$A$2:$A$1201,INDEX(_LEITURA!$P$2:$P$21,15),DECKS!$B$2:$B$1201,$A665))</f>
        <v/>
      </c>
      <c r="Z665" s="19" t="str">
        <f aca="false">IF(OR($A665="",INDEX(_LEITURA!$Q$2:$Q$21,16)=0),"",SUMIFS(DECKS!$D$2:$D$1201,DECKS!$A$2:$A$1201,INDEX(_LEITURA!$P$2:$P$21,16),DECKS!$B$2:$B$1201,$A665))</f>
        <v/>
      </c>
      <c r="AA665" s="19" t="str">
        <f aca="false">IF(OR($A665="",INDEX(_LEITURA!$Q$2:$Q$21,17)=0),"",SUMIFS(DECKS!$D$2:$D$1201,DECKS!$A$2:$A$1201,INDEX(_LEITURA!$P$2:$P$21,17),DECKS!$B$2:$B$1201,$A665))</f>
        <v/>
      </c>
      <c r="AB665" s="19" t="str">
        <f aca="false">IF(OR($A665="",INDEX(_LEITURA!$Q$2:$Q$21,18)=0),"",SUMIFS(DECKS!$D$2:$D$1201,DECKS!$A$2:$A$1201,INDEX(_LEITURA!$P$2:$P$21,18),DECKS!$B$2:$B$1201,$A665))</f>
        <v/>
      </c>
      <c r="AC665" s="19" t="str">
        <f aca="false">IF(OR($A665="",INDEX(_LEITURA!$Q$2:$Q$21,19)=0),"",SUMIFS(DECKS!$D$2:$D$1201,DECKS!$A$2:$A$1201,INDEX(_LEITURA!$P$2:$P$21,19),DECKS!$B$2:$B$1201,$A665))</f>
        <v/>
      </c>
      <c r="AD665" s="19" t="str">
        <f aca="false">IF(OR($A665="",INDEX(_LEITURA!$Q$2:$Q$21,20)=0),"",SUMIFS(DECKS!$D$2:$D$1201,DECKS!$A$2:$A$1201,INDEX(_LEITURA!$P$2:$P$21,20),DECKS!$B$2:$B$1201,$A665))</f>
        <v/>
      </c>
      <c r="AE665" s="16" t="str">
        <f aca="false">IF(N(E665)&gt;0,MAX(AE$1:AE664)+1,"")</f>
        <v/>
      </c>
      <c r="AF665" s="11" t="str">
        <f aca="false">IF(A665="","",IFERROR(LEFT(A665,FIND("-",A665)-1),A665))</f>
        <v/>
      </c>
      <c r="AG665" s="11" t="str">
        <f aca="false">IF(AF665="","",IF(ISNUMBER(--MID(AF665,1,1)),0,IF(ISNUMBER(--MID(AF665,2,1)),1,IF(ISNUMBER(--MID(AF665,3,1)),2,IF(ISNUMBER(--MID(AF665,4,1)),3,MIN(LEN(AF665),4))))))</f>
        <v/>
      </c>
      <c r="AH665" s="11" t="str">
        <f aca="false">IF(A665="","",LEFT(AF665,AG665)&amp;REPT("0",4-AG665)&amp;RIGHT("000"&amp;IFERROR(VALUE(MID(AF665,AG665+1,9)),0),3)&amp;RIGHT("0000"&amp;IFERROR(VALUE(MID(A665,FIND("-",A665)+1,9)),0),4))</f>
        <v/>
      </c>
      <c r="AI665" s="11" t="str">
        <f aca="false">IF(OR(A665="",N(E665)&lt;=0),"",IF('FALTAS GERAL'!$M$1="Código","K"&amp;AH665&amp;RIGHT("00000"&amp;ROW(),5),IF('FALTAS GERAL'!$M$1="Nome","K"&amp;UPPER(SUBSTITUTE(SUBSTITUTE(SUBSTITUTE(B665,"*",""),"?",""),"~",""))&amp;"0"&amp;AH665&amp;RIGHT("00000"&amp;ROW(),5),IF('FALTAS GERAL'!$M$1="Falta (maior primeiro)","K"&amp;RIGHT("0000"&amp;(9999-E665),4)&amp;AH665&amp;RIGHT("00000"&amp;ROW(),5),IF('FALTAS GERAL'!$M$1="Nº de decks (maior primeiro)","K"&amp;RIGHT("00"&amp;(99-N(G665)),2)&amp;AH665&amp;RIGHT("00000"&amp;ROW(),5),"K"&amp;RIGHT("00000"&amp;ROW(),5))))))</f>
        <v/>
      </c>
      <c r="AJ665" s="11" t="str">
        <f aca="false">IF(AI665="","",COUNTIFS($AI$2:$AI$801,"&lt;"&amp;AI665,$E$2:$E$801,"&gt;0")+1)</f>
        <v/>
      </c>
      <c r="AK665" s="11" t="str">
        <f aca="false">IF(OR(A665="",N(E665)&lt;=0),"",COUNTIFS($AH$2:$AH$801,"&lt;"&amp;AH665,$E$2:$E$801,"&gt;0")+COUNTIFS($AH$2:AH665,AH665,$E$2:E665,"&gt;0"))</f>
        <v/>
      </c>
    </row>
    <row r="666" customFormat="false" ht="15" hidden="false" customHeight="false" outlineLevel="0" collapsed="false">
      <c r="A666" s="11" t="str">
        <f aca="false">IF(INVENTÁRIO!A666="","",INVENTÁRIO!A666)</f>
        <v/>
      </c>
      <c r="B666" s="11" t="str">
        <f aca="false">IF(A666="","",INVENTÁRIO!B666)</f>
        <v/>
      </c>
      <c r="C666" s="16" t="str">
        <f aca="false">IF(A666="","",INVENTÁRIO!C666)</f>
        <v/>
      </c>
      <c r="D666" s="14" t="str">
        <f aca="false">IF(A666="","",MAX(K666:AD666))</f>
        <v/>
      </c>
      <c r="E666" s="14" t="str">
        <f aca="false">IF(A666="","",MAX(0,D666-C666))</f>
        <v/>
      </c>
      <c r="F666" s="16" t="str">
        <f aca="false">IF(A666="","",IF(D666=0,"Fora dos decks",IF(E666=0,"Completo","Falta")))</f>
        <v/>
      </c>
      <c r="G666" s="16" t="str">
        <f aca="false">IF(A666="","",COUNTIF(K666:AD666,"&gt;0"))</f>
        <v/>
      </c>
      <c r="H666" s="16" t="str">
        <f aca="false">IF(A666="","",IF(G666&gt;1,"Sim",""))</f>
        <v/>
      </c>
      <c r="I666" s="18" t="str">
        <f aca="false">IF(A666="","",SUMIFS(DECKS!$D$2:$D$1201,DECKS!$B$2:$B$1201,A666))</f>
        <v/>
      </c>
      <c r="J666" s="18" t="str">
        <f aca="false">IF(A666="","",MAX(0,I666-C666))</f>
        <v/>
      </c>
      <c r="K666" s="19" t="str">
        <f aca="false">IF(OR($A666="",INDEX(_LEITURA!$Q$2:$Q$21,1)=0),"",SUMIFS(DECKS!$D$2:$D$1201,DECKS!$A$2:$A$1201,INDEX(_LEITURA!$P$2:$P$21,1),DECKS!$B$2:$B$1201,$A666))</f>
        <v/>
      </c>
      <c r="L666" s="19" t="str">
        <f aca="false">IF(OR($A666="",INDEX(_LEITURA!$Q$2:$Q$21,2)=0),"",SUMIFS(DECKS!$D$2:$D$1201,DECKS!$A$2:$A$1201,INDEX(_LEITURA!$P$2:$P$21,2),DECKS!$B$2:$B$1201,$A666))</f>
        <v/>
      </c>
      <c r="M666" s="19" t="str">
        <f aca="false">IF(OR($A666="",INDEX(_LEITURA!$Q$2:$Q$21,3)=0),"",SUMIFS(DECKS!$D$2:$D$1201,DECKS!$A$2:$A$1201,INDEX(_LEITURA!$P$2:$P$21,3),DECKS!$B$2:$B$1201,$A666))</f>
        <v/>
      </c>
      <c r="N666" s="19" t="str">
        <f aca="false">IF(OR($A666="",INDEX(_LEITURA!$Q$2:$Q$21,4)=0),"",SUMIFS(DECKS!$D$2:$D$1201,DECKS!$A$2:$A$1201,INDEX(_LEITURA!$P$2:$P$21,4),DECKS!$B$2:$B$1201,$A666))</f>
        <v/>
      </c>
      <c r="O666" s="19" t="str">
        <f aca="false">IF(OR($A666="",INDEX(_LEITURA!$Q$2:$Q$21,5)=0),"",SUMIFS(DECKS!$D$2:$D$1201,DECKS!$A$2:$A$1201,INDEX(_LEITURA!$P$2:$P$21,5),DECKS!$B$2:$B$1201,$A666))</f>
        <v/>
      </c>
      <c r="P666" s="19" t="str">
        <f aca="false">IF(OR($A666="",INDEX(_LEITURA!$Q$2:$Q$21,6)=0),"",SUMIFS(DECKS!$D$2:$D$1201,DECKS!$A$2:$A$1201,INDEX(_LEITURA!$P$2:$P$21,6),DECKS!$B$2:$B$1201,$A666))</f>
        <v/>
      </c>
      <c r="Q666" s="19" t="str">
        <f aca="false">IF(OR($A666="",INDEX(_LEITURA!$Q$2:$Q$21,7)=0),"",SUMIFS(DECKS!$D$2:$D$1201,DECKS!$A$2:$A$1201,INDEX(_LEITURA!$P$2:$P$21,7),DECKS!$B$2:$B$1201,$A666))</f>
        <v/>
      </c>
      <c r="R666" s="19" t="str">
        <f aca="false">IF(OR($A666="",INDEX(_LEITURA!$Q$2:$Q$21,8)=0),"",SUMIFS(DECKS!$D$2:$D$1201,DECKS!$A$2:$A$1201,INDEX(_LEITURA!$P$2:$P$21,8),DECKS!$B$2:$B$1201,$A666))</f>
        <v/>
      </c>
      <c r="S666" s="19" t="str">
        <f aca="false">IF(OR($A666="",INDEX(_LEITURA!$Q$2:$Q$21,9)=0),"",SUMIFS(DECKS!$D$2:$D$1201,DECKS!$A$2:$A$1201,INDEX(_LEITURA!$P$2:$P$21,9),DECKS!$B$2:$B$1201,$A666))</f>
        <v/>
      </c>
      <c r="T666" s="19" t="str">
        <f aca="false">IF(OR($A666="",INDEX(_LEITURA!$Q$2:$Q$21,10)=0),"",SUMIFS(DECKS!$D$2:$D$1201,DECKS!$A$2:$A$1201,INDEX(_LEITURA!$P$2:$P$21,10),DECKS!$B$2:$B$1201,$A666))</f>
        <v/>
      </c>
      <c r="U666" s="19" t="str">
        <f aca="false">IF(OR($A666="",INDEX(_LEITURA!$Q$2:$Q$21,11)=0),"",SUMIFS(DECKS!$D$2:$D$1201,DECKS!$A$2:$A$1201,INDEX(_LEITURA!$P$2:$P$21,11),DECKS!$B$2:$B$1201,$A666))</f>
        <v/>
      </c>
      <c r="V666" s="19" t="str">
        <f aca="false">IF(OR($A666="",INDEX(_LEITURA!$Q$2:$Q$21,12)=0),"",SUMIFS(DECKS!$D$2:$D$1201,DECKS!$A$2:$A$1201,INDEX(_LEITURA!$P$2:$P$21,12),DECKS!$B$2:$B$1201,$A666))</f>
        <v/>
      </c>
      <c r="W666" s="19" t="str">
        <f aca="false">IF(OR($A666="",INDEX(_LEITURA!$Q$2:$Q$21,13)=0),"",SUMIFS(DECKS!$D$2:$D$1201,DECKS!$A$2:$A$1201,INDEX(_LEITURA!$P$2:$P$21,13),DECKS!$B$2:$B$1201,$A666))</f>
        <v/>
      </c>
      <c r="X666" s="19" t="str">
        <f aca="false">IF(OR($A666="",INDEX(_LEITURA!$Q$2:$Q$21,14)=0),"",SUMIFS(DECKS!$D$2:$D$1201,DECKS!$A$2:$A$1201,INDEX(_LEITURA!$P$2:$P$21,14),DECKS!$B$2:$B$1201,$A666))</f>
        <v/>
      </c>
      <c r="Y666" s="19" t="str">
        <f aca="false">IF(OR($A666="",INDEX(_LEITURA!$Q$2:$Q$21,15)=0),"",SUMIFS(DECKS!$D$2:$D$1201,DECKS!$A$2:$A$1201,INDEX(_LEITURA!$P$2:$P$21,15),DECKS!$B$2:$B$1201,$A666))</f>
        <v/>
      </c>
      <c r="Z666" s="19" t="str">
        <f aca="false">IF(OR($A666="",INDEX(_LEITURA!$Q$2:$Q$21,16)=0),"",SUMIFS(DECKS!$D$2:$D$1201,DECKS!$A$2:$A$1201,INDEX(_LEITURA!$P$2:$P$21,16),DECKS!$B$2:$B$1201,$A666))</f>
        <v/>
      </c>
      <c r="AA666" s="19" t="str">
        <f aca="false">IF(OR($A666="",INDEX(_LEITURA!$Q$2:$Q$21,17)=0),"",SUMIFS(DECKS!$D$2:$D$1201,DECKS!$A$2:$A$1201,INDEX(_LEITURA!$P$2:$P$21,17),DECKS!$B$2:$B$1201,$A666))</f>
        <v/>
      </c>
      <c r="AB666" s="19" t="str">
        <f aca="false">IF(OR($A666="",INDEX(_LEITURA!$Q$2:$Q$21,18)=0),"",SUMIFS(DECKS!$D$2:$D$1201,DECKS!$A$2:$A$1201,INDEX(_LEITURA!$P$2:$P$21,18),DECKS!$B$2:$B$1201,$A666))</f>
        <v/>
      </c>
      <c r="AC666" s="19" t="str">
        <f aca="false">IF(OR($A666="",INDEX(_LEITURA!$Q$2:$Q$21,19)=0),"",SUMIFS(DECKS!$D$2:$D$1201,DECKS!$A$2:$A$1201,INDEX(_LEITURA!$P$2:$P$21,19),DECKS!$B$2:$B$1201,$A666))</f>
        <v/>
      </c>
      <c r="AD666" s="19" t="str">
        <f aca="false">IF(OR($A666="",INDEX(_LEITURA!$Q$2:$Q$21,20)=0),"",SUMIFS(DECKS!$D$2:$D$1201,DECKS!$A$2:$A$1201,INDEX(_LEITURA!$P$2:$P$21,20),DECKS!$B$2:$B$1201,$A666))</f>
        <v/>
      </c>
      <c r="AE666" s="16" t="str">
        <f aca="false">IF(N(E666)&gt;0,MAX(AE$1:AE665)+1,"")</f>
        <v/>
      </c>
      <c r="AF666" s="11" t="str">
        <f aca="false">IF(A666="","",IFERROR(LEFT(A666,FIND("-",A666)-1),A666))</f>
        <v/>
      </c>
      <c r="AG666" s="11" t="str">
        <f aca="false">IF(AF666="","",IF(ISNUMBER(--MID(AF666,1,1)),0,IF(ISNUMBER(--MID(AF666,2,1)),1,IF(ISNUMBER(--MID(AF666,3,1)),2,IF(ISNUMBER(--MID(AF666,4,1)),3,MIN(LEN(AF666),4))))))</f>
        <v/>
      </c>
      <c r="AH666" s="11" t="str">
        <f aca="false">IF(A666="","",LEFT(AF666,AG666)&amp;REPT("0",4-AG666)&amp;RIGHT("000"&amp;IFERROR(VALUE(MID(AF666,AG666+1,9)),0),3)&amp;RIGHT("0000"&amp;IFERROR(VALUE(MID(A666,FIND("-",A666)+1,9)),0),4))</f>
        <v/>
      </c>
      <c r="AI666" s="11" t="str">
        <f aca="false">IF(OR(A666="",N(E666)&lt;=0),"",IF('FALTAS GERAL'!$M$1="Código","K"&amp;AH666&amp;RIGHT("00000"&amp;ROW(),5),IF('FALTAS GERAL'!$M$1="Nome","K"&amp;UPPER(SUBSTITUTE(SUBSTITUTE(SUBSTITUTE(B666,"*",""),"?",""),"~",""))&amp;"0"&amp;AH666&amp;RIGHT("00000"&amp;ROW(),5),IF('FALTAS GERAL'!$M$1="Falta (maior primeiro)","K"&amp;RIGHT("0000"&amp;(9999-E666),4)&amp;AH666&amp;RIGHT("00000"&amp;ROW(),5),IF('FALTAS GERAL'!$M$1="Nº de decks (maior primeiro)","K"&amp;RIGHT("00"&amp;(99-N(G666)),2)&amp;AH666&amp;RIGHT("00000"&amp;ROW(),5),"K"&amp;RIGHT("00000"&amp;ROW(),5))))))</f>
        <v/>
      </c>
      <c r="AJ666" s="11" t="str">
        <f aca="false">IF(AI666="","",COUNTIFS($AI$2:$AI$801,"&lt;"&amp;AI666,$E$2:$E$801,"&gt;0")+1)</f>
        <v/>
      </c>
      <c r="AK666" s="11" t="str">
        <f aca="false">IF(OR(A666="",N(E666)&lt;=0),"",COUNTIFS($AH$2:$AH$801,"&lt;"&amp;AH666,$E$2:$E$801,"&gt;0")+COUNTIFS($AH$2:AH666,AH666,$E$2:E666,"&gt;0"))</f>
        <v/>
      </c>
    </row>
    <row r="667" customFormat="false" ht="15" hidden="false" customHeight="false" outlineLevel="0" collapsed="false">
      <c r="A667" s="11" t="str">
        <f aca="false">IF(INVENTÁRIO!A667="","",INVENTÁRIO!A667)</f>
        <v/>
      </c>
      <c r="B667" s="11" t="str">
        <f aca="false">IF(A667="","",INVENTÁRIO!B667)</f>
        <v/>
      </c>
      <c r="C667" s="16" t="str">
        <f aca="false">IF(A667="","",INVENTÁRIO!C667)</f>
        <v/>
      </c>
      <c r="D667" s="14" t="str">
        <f aca="false">IF(A667="","",MAX(K667:AD667))</f>
        <v/>
      </c>
      <c r="E667" s="14" t="str">
        <f aca="false">IF(A667="","",MAX(0,D667-C667))</f>
        <v/>
      </c>
      <c r="F667" s="16" t="str">
        <f aca="false">IF(A667="","",IF(D667=0,"Fora dos decks",IF(E667=0,"Completo","Falta")))</f>
        <v/>
      </c>
      <c r="G667" s="16" t="str">
        <f aca="false">IF(A667="","",COUNTIF(K667:AD667,"&gt;0"))</f>
        <v/>
      </c>
      <c r="H667" s="16" t="str">
        <f aca="false">IF(A667="","",IF(G667&gt;1,"Sim",""))</f>
        <v/>
      </c>
      <c r="I667" s="18" t="str">
        <f aca="false">IF(A667="","",SUMIFS(DECKS!$D$2:$D$1201,DECKS!$B$2:$B$1201,A667))</f>
        <v/>
      </c>
      <c r="J667" s="18" t="str">
        <f aca="false">IF(A667="","",MAX(0,I667-C667))</f>
        <v/>
      </c>
      <c r="K667" s="19" t="str">
        <f aca="false">IF(OR($A667="",INDEX(_LEITURA!$Q$2:$Q$21,1)=0),"",SUMIFS(DECKS!$D$2:$D$1201,DECKS!$A$2:$A$1201,INDEX(_LEITURA!$P$2:$P$21,1),DECKS!$B$2:$B$1201,$A667))</f>
        <v/>
      </c>
      <c r="L667" s="19" t="str">
        <f aca="false">IF(OR($A667="",INDEX(_LEITURA!$Q$2:$Q$21,2)=0),"",SUMIFS(DECKS!$D$2:$D$1201,DECKS!$A$2:$A$1201,INDEX(_LEITURA!$P$2:$P$21,2),DECKS!$B$2:$B$1201,$A667))</f>
        <v/>
      </c>
      <c r="M667" s="19" t="str">
        <f aca="false">IF(OR($A667="",INDEX(_LEITURA!$Q$2:$Q$21,3)=0),"",SUMIFS(DECKS!$D$2:$D$1201,DECKS!$A$2:$A$1201,INDEX(_LEITURA!$P$2:$P$21,3),DECKS!$B$2:$B$1201,$A667))</f>
        <v/>
      </c>
      <c r="N667" s="19" t="str">
        <f aca="false">IF(OR($A667="",INDEX(_LEITURA!$Q$2:$Q$21,4)=0),"",SUMIFS(DECKS!$D$2:$D$1201,DECKS!$A$2:$A$1201,INDEX(_LEITURA!$P$2:$P$21,4),DECKS!$B$2:$B$1201,$A667))</f>
        <v/>
      </c>
      <c r="O667" s="19" t="str">
        <f aca="false">IF(OR($A667="",INDEX(_LEITURA!$Q$2:$Q$21,5)=0),"",SUMIFS(DECKS!$D$2:$D$1201,DECKS!$A$2:$A$1201,INDEX(_LEITURA!$P$2:$P$21,5),DECKS!$B$2:$B$1201,$A667))</f>
        <v/>
      </c>
      <c r="P667" s="19" t="str">
        <f aca="false">IF(OR($A667="",INDEX(_LEITURA!$Q$2:$Q$21,6)=0),"",SUMIFS(DECKS!$D$2:$D$1201,DECKS!$A$2:$A$1201,INDEX(_LEITURA!$P$2:$P$21,6),DECKS!$B$2:$B$1201,$A667))</f>
        <v/>
      </c>
      <c r="Q667" s="19" t="str">
        <f aca="false">IF(OR($A667="",INDEX(_LEITURA!$Q$2:$Q$21,7)=0),"",SUMIFS(DECKS!$D$2:$D$1201,DECKS!$A$2:$A$1201,INDEX(_LEITURA!$P$2:$P$21,7),DECKS!$B$2:$B$1201,$A667))</f>
        <v/>
      </c>
      <c r="R667" s="19" t="str">
        <f aca="false">IF(OR($A667="",INDEX(_LEITURA!$Q$2:$Q$21,8)=0),"",SUMIFS(DECKS!$D$2:$D$1201,DECKS!$A$2:$A$1201,INDEX(_LEITURA!$P$2:$P$21,8),DECKS!$B$2:$B$1201,$A667))</f>
        <v/>
      </c>
      <c r="S667" s="19" t="str">
        <f aca="false">IF(OR($A667="",INDEX(_LEITURA!$Q$2:$Q$21,9)=0),"",SUMIFS(DECKS!$D$2:$D$1201,DECKS!$A$2:$A$1201,INDEX(_LEITURA!$P$2:$P$21,9),DECKS!$B$2:$B$1201,$A667))</f>
        <v/>
      </c>
      <c r="T667" s="19" t="str">
        <f aca="false">IF(OR($A667="",INDEX(_LEITURA!$Q$2:$Q$21,10)=0),"",SUMIFS(DECKS!$D$2:$D$1201,DECKS!$A$2:$A$1201,INDEX(_LEITURA!$P$2:$P$21,10),DECKS!$B$2:$B$1201,$A667))</f>
        <v/>
      </c>
      <c r="U667" s="19" t="str">
        <f aca="false">IF(OR($A667="",INDEX(_LEITURA!$Q$2:$Q$21,11)=0),"",SUMIFS(DECKS!$D$2:$D$1201,DECKS!$A$2:$A$1201,INDEX(_LEITURA!$P$2:$P$21,11),DECKS!$B$2:$B$1201,$A667))</f>
        <v/>
      </c>
      <c r="V667" s="19" t="str">
        <f aca="false">IF(OR($A667="",INDEX(_LEITURA!$Q$2:$Q$21,12)=0),"",SUMIFS(DECKS!$D$2:$D$1201,DECKS!$A$2:$A$1201,INDEX(_LEITURA!$P$2:$P$21,12),DECKS!$B$2:$B$1201,$A667))</f>
        <v/>
      </c>
      <c r="W667" s="19" t="str">
        <f aca="false">IF(OR($A667="",INDEX(_LEITURA!$Q$2:$Q$21,13)=0),"",SUMIFS(DECKS!$D$2:$D$1201,DECKS!$A$2:$A$1201,INDEX(_LEITURA!$P$2:$P$21,13),DECKS!$B$2:$B$1201,$A667))</f>
        <v/>
      </c>
      <c r="X667" s="19" t="str">
        <f aca="false">IF(OR($A667="",INDEX(_LEITURA!$Q$2:$Q$21,14)=0),"",SUMIFS(DECKS!$D$2:$D$1201,DECKS!$A$2:$A$1201,INDEX(_LEITURA!$P$2:$P$21,14),DECKS!$B$2:$B$1201,$A667))</f>
        <v/>
      </c>
      <c r="Y667" s="19" t="str">
        <f aca="false">IF(OR($A667="",INDEX(_LEITURA!$Q$2:$Q$21,15)=0),"",SUMIFS(DECKS!$D$2:$D$1201,DECKS!$A$2:$A$1201,INDEX(_LEITURA!$P$2:$P$21,15),DECKS!$B$2:$B$1201,$A667))</f>
        <v/>
      </c>
      <c r="Z667" s="19" t="str">
        <f aca="false">IF(OR($A667="",INDEX(_LEITURA!$Q$2:$Q$21,16)=0),"",SUMIFS(DECKS!$D$2:$D$1201,DECKS!$A$2:$A$1201,INDEX(_LEITURA!$P$2:$P$21,16),DECKS!$B$2:$B$1201,$A667))</f>
        <v/>
      </c>
      <c r="AA667" s="19" t="str">
        <f aca="false">IF(OR($A667="",INDEX(_LEITURA!$Q$2:$Q$21,17)=0),"",SUMIFS(DECKS!$D$2:$D$1201,DECKS!$A$2:$A$1201,INDEX(_LEITURA!$P$2:$P$21,17),DECKS!$B$2:$B$1201,$A667))</f>
        <v/>
      </c>
      <c r="AB667" s="19" t="str">
        <f aca="false">IF(OR($A667="",INDEX(_LEITURA!$Q$2:$Q$21,18)=0),"",SUMIFS(DECKS!$D$2:$D$1201,DECKS!$A$2:$A$1201,INDEX(_LEITURA!$P$2:$P$21,18),DECKS!$B$2:$B$1201,$A667))</f>
        <v/>
      </c>
      <c r="AC667" s="19" t="str">
        <f aca="false">IF(OR($A667="",INDEX(_LEITURA!$Q$2:$Q$21,19)=0),"",SUMIFS(DECKS!$D$2:$D$1201,DECKS!$A$2:$A$1201,INDEX(_LEITURA!$P$2:$P$21,19),DECKS!$B$2:$B$1201,$A667))</f>
        <v/>
      </c>
      <c r="AD667" s="19" t="str">
        <f aca="false">IF(OR($A667="",INDEX(_LEITURA!$Q$2:$Q$21,20)=0),"",SUMIFS(DECKS!$D$2:$D$1201,DECKS!$A$2:$A$1201,INDEX(_LEITURA!$P$2:$P$21,20),DECKS!$B$2:$B$1201,$A667))</f>
        <v/>
      </c>
      <c r="AE667" s="16" t="str">
        <f aca="false">IF(N(E667)&gt;0,MAX(AE$1:AE666)+1,"")</f>
        <v/>
      </c>
      <c r="AF667" s="11" t="str">
        <f aca="false">IF(A667="","",IFERROR(LEFT(A667,FIND("-",A667)-1),A667))</f>
        <v/>
      </c>
      <c r="AG667" s="11" t="str">
        <f aca="false">IF(AF667="","",IF(ISNUMBER(--MID(AF667,1,1)),0,IF(ISNUMBER(--MID(AF667,2,1)),1,IF(ISNUMBER(--MID(AF667,3,1)),2,IF(ISNUMBER(--MID(AF667,4,1)),3,MIN(LEN(AF667),4))))))</f>
        <v/>
      </c>
      <c r="AH667" s="11" t="str">
        <f aca="false">IF(A667="","",LEFT(AF667,AG667)&amp;REPT("0",4-AG667)&amp;RIGHT("000"&amp;IFERROR(VALUE(MID(AF667,AG667+1,9)),0),3)&amp;RIGHT("0000"&amp;IFERROR(VALUE(MID(A667,FIND("-",A667)+1,9)),0),4))</f>
        <v/>
      </c>
      <c r="AI667" s="11" t="str">
        <f aca="false">IF(OR(A667="",N(E667)&lt;=0),"",IF('FALTAS GERAL'!$M$1="Código","K"&amp;AH667&amp;RIGHT("00000"&amp;ROW(),5),IF('FALTAS GERAL'!$M$1="Nome","K"&amp;UPPER(SUBSTITUTE(SUBSTITUTE(SUBSTITUTE(B667,"*",""),"?",""),"~",""))&amp;"0"&amp;AH667&amp;RIGHT("00000"&amp;ROW(),5),IF('FALTAS GERAL'!$M$1="Falta (maior primeiro)","K"&amp;RIGHT("0000"&amp;(9999-E667),4)&amp;AH667&amp;RIGHT("00000"&amp;ROW(),5),IF('FALTAS GERAL'!$M$1="Nº de decks (maior primeiro)","K"&amp;RIGHT("00"&amp;(99-N(G667)),2)&amp;AH667&amp;RIGHT("00000"&amp;ROW(),5),"K"&amp;RIGHT("00000"&amp;ROW(),5))))))</f>
        <v/>
      </c>
      <c r="AJ667" s="11" t="str">
        <f aca="false">IF(AI667="","",COUNTIFS($AI$2:$AI$801,"&lt;"&amp;AI667,$E$2:$E$801,"&gt;0")+1)</f>
        <v/>
      </c>
      <c r="AK667" s="11" t="str">
        <f aca="false">IF(OR(A667="",N(E667)&lt;=0),"",COUNTIFS($AH$2:$AH$801,"&lt;"&amp;AH667,$E$2:$E$801,"&gt;0")+COUNTIFS($AH$2:AH667,AH667,$E$2:E667,"&gt;0"))</f>
        <v/>
      </c>
    </row>
    <row r="668" customFormat="false" ht="15" hidden="false" customHeight="false" outlineLevel="0" collapsed="false">
      <c r="A668" s="11" t="str">
        <f aca="false">IF(INVENTÁRIO!A668="","",INVENTÁRIO!A668)</f>
        <v/>
      </c>
      <c r="B668" s="11" t="str">
        <f aca="false">IF(A668="","",INVENTÁRIO!B668)</f>
        <v/>
      </c>
      <c r="C668" s="16" t="str">
        <f aca="false">IF(A668="","",INVENTÁRIO!C668)</f>
        <v/>
      </c>
      <c r="D668" s="14" t="str">
        <f aca="false">IF(A668="","",MAX(K668:AD668))</f>
        <v/>
      </c>
      <c r="E668" s="14" t="str">
        <f aca="false">IF(A668="","",MAX(0,D668-C668))</f>
        <v/>
      </c>
      <c r="F668" s="16" t="str">
        <f aca="false">IF(A668="","",IF(D668=0,"Fora dos decks",IF(E668=0,"Completo","Falta")))</f>
        <v/>
      </c>
      <c r="G668" s="16" t="str">
        <f aca="false">IF(A668="","",COUNTIF(K668:AD668,"&gt;0"))</f>
        <v/>
      </c>
      <c r="H668" s="16" t="str">
        <f aca="false">IF(A668="","",IF(G668&gt;1,"Sim",""))</f>
        <v/>
      </c>
      <c r="I668" s="18" t="str">
        <f aca="false">IF(A668="","",SUMIFS(DECKS!$D$2:$D$1201,DECKS!$B$2:$B$1201,A668))</f>
        <v/>
      </c>
      <c r="J668" s="18" t="str">
        <f aca="false">IF(A668="","",MAX(0,I668-C668))</f>
        <v/>
      </c>
      <c r="K668" s="19" t="str">
        <f aca="false">IF(OR($A668="",INDEX(_LEITURA!$Q$2:$Q$21,1)=0),"",SUMIFS(DECKS!$D$2:$D$1201,DECKS!$A$2:$A$1201,INDEX(_LEITURA!$P$2:$P$21,1),DECKS!$B$2:$B$1201,$A668))</f>
        <v/>
      </c>
      <c r="L668" s="19" t="str">
        <f aca="false">IF(OR($A668="",INDEX(_LEITURA!$Q$2:$Q$21,2)=0),"",SUMIFS(DECKS!$D$2:$D$1201,DECKS!$A$2:$A$1201,INDEX(_LEITURA!$P$2:$P$21,2),DECKS!$B$2:$B$1201,$A668))</f>
        <v/>
      </c>
      <c r="M668" s="19" t="str">
        <f aca="false">IF(OR($A668="",INDEX(_LEITURA!$Q$2:$Q$21,3)=0),"",SUMIFS(DECKS!$D$2:$D$1201,DECKS!$A$2:$A$1201,INDEX(_LEITURA!$P$2:$P$21,3),DECKS!$B$2:$B$1201,$A668))</f>
        <v/>
      </c>
      <c r="N668" s="19" t="str">
        <f aca="false">IF(OR($A668="",INDEX(_LEITURA!$Q$2:$Q$21,4)=0),"",SUMIFS(DECKS!$D$2:$D$1201,DECKS!$A$2:$A$1201,INDEX(_LEITURA!$P$2:$P$21,4),DECKS!$B$2:$B$1201,$A668))</f>
        <v/>
      </c>
      <c r="O668" s="19" t="str">
        <f aca="false">IF(OR($A668="",INDEX(_LEITURA!$Q$2:$Q$21,5)=0),"",SUMIFS(DECKS!$D$2:$D$1201,DECKS!$A$2:$A$1201,INDEX(_LEITURA!$P$2:$P$21,5),DECKS!$B$2:$B$1201,$A668))</f>
        <v/>
      </c>
      <c r="P668" s="19" t="str">
        <f aca="false">IF(OR($A668="",INDEX(_LEITURA!$Q$2:$Q$21,6)=0),"",SUMIFS(DECKS!$D$2:$D$1201,DECKS!$A$2:$A$1201,INDEX(_LEITURA!$P$2:$P$21,6),DECKS!$B$2:$B$1201,$A668))</f>
        <v/>
      </c>
      <c r="Q668" s="19" t="str">
        <f aca="false">IF(OR($A668="",INDEX(_LEITURA!$Q$2:$Q$21,7)=0),"",SUMIFS(DECKS!$D$2:$D$1201,DECKS!$A$2:$A$1201,INDEX(_LEITURA!$P$2:$P$21,7),DECKS!$B$2:$B$1201,$A668))</f>
        <v/>
      </c>
      <c r="R668" s="19" t="str">
        <f aca="false">IF(OR($A668="",INDEX(_LEITURA!$Q$2:$Q$21,8)=0),"",SUMIFS(DECKS!$D$2:$D$1201,DECKS!$A$2:$A$1201,INDEX(_LEITURA!$P$2:$P$21,8),DECKS!$B$2:$B$1201,$A668))</f>
        <v/>
      </c>
      <c r="S668" s="19" t="str">
        <f aca="false">IF(OR($A668="",INDEX(_LEITURA!$Q$2:$Q$21,9)=0),"",SUMIFS(DECKS!$D$2:$D$1201,DECKS!$A$2:$A$1201,INDEX(_LEITURA!$P$2:$P$21,9),DECKS!$B$2:$B$1201,$A668))</f>
        <v/>
      </c>
      <c r="T668" s="19" t="str">
        <f aca="false">IF(OR($A668="",INDEX(_LEITURA!$Q$2:$Q$21,10)=0),"",SUMIFS(DECKS!$D$2:$D$1201,DECKS!$A$2:$A$1201,INDEX(_LEITURA!$P$2:$P$21,10),DECKS!$B$2:$B$1201,$A668))</f>
        <v/>
      </c>
      <c r="U668" s="19" t="str">
        <f aca="false">IF(OR($A668="",INDEX(_LEITURA!$Q$2:$Q$21,11)=0),"",SUMIFS(DECKS!$D$2:$D$1201,DECKS!$A$2:$A$1201,INDEX(_LEITURA!$P$2:$P$21,11),DECKS!$B$2:$B$1201,$A668))</f>
        <v/>
      </c>
      <c r="V668" s="19" t="str">
        <f aca="false">IF(OR($A668="",INDEX(_LEITURA!$Q$2:$Q$21,12)=0),"",SUMIFS(DECKS!$D$2:$D$1201,DECKS!$A$2:$A$1201,INDEX(_LEITURA!$P$2:$P$21,12),DECKS!$B$2:$B$1201,$A668))</f>
        <v/>
      </c>
      <c r="W668" s="19" t="str">
        <f aca="false">IF(OR($A668="",INDEX(_LEITURA!$Q$2:$Q$21,13)=0),"",SUMIFS(DECKS!$D$2:$D$1201,DECKS!$A$2:$A$1201,INDEX(_LEITURA!$P$2:$P$21,13),DECKS!$B$2:$B$1201,$A668))</f>
        <v/>
      </c>
      <c r="X668" s="19" t="str">
        <f aca="false">IF(OR($A668="",INDEX(_LEITURA!$Q$2:$Q$21,14)=0),"",SUMIFS(DECKS!$D$2:$D$1201,DECKS!$A$2:$A$1201,INDEX(_LEITURA!$P$2:$P$21,14),DECKS!$B$2:$B$1201,$A668))</f>
        <v/>
      </c>
      <c r="Y668" s="19" t="str">
        <f aca="false">IF(OR($A668="",INDEX(_LEITURA!$Q$2:$Q$21,15)=0),"",SUMIFS(DECKS!$D$2:$D$1201,DECKS!$A$2:$A$1201,INDEX(_LEITURA!$P$2:$P$21,15),DECKS!$B$2:$B$1201,$A668))</f>
        <v/>
      </c>
      <c r="Z668" s="19" t="str">
        <f aca="false">IF(OR($A668="",INDEX(_LEITURA!$Q$2:$Q$21,16)=0),"",SUMIFS(DECKS!$D$2:$D$1201,DECKS!$A$2:$A$1201,INDEX(_LEITURA!$P$2:$P$21,16),DECKS!$B$2:$B$1201,$A668))</f>
        <v/>
      </c>
      <c r="AA668" s="19" t="str">
        <f aca="false">IF(OR($A668="",INDEX(_LEITURA!$Q$2:$Q$21,17)=0),"",SUMIFS(DECKS!$D$2:$D$1201,DECKS!$A$2:$A$1201,INDEX(_LEITURA!$P$2:$P$21,17),DECKS!$B$2:$B$1201,$A668))</f>
        <v/>
      </c>
      <c r="AB668" s="19" t="str">
        <f aca="false">IF(OR($A668="",INDEX(_LEITURA!$Q$2:$Q$21,18)=0),"",SUMIFS(DECKS!$D$2:$D$1201,DECKS!$A$2:$A$1201,INDEX(_LEITURA!$P$2:$P$21,18),DECKS!$B$2:$B$1201,$A668))</f>
        <v/>
      </c>
      <c r="AC668" s="19" t="str">
        <f aca="false">IF(OR($A668="",INDEX(_LEITURA!$Q$2:$Q$21,19)=0),"",SUMIFS(DECKS!$D$2:$D$1201,DECKS!$A$2:$A$1201,INDEX(_LEITURA!$P$2:$P$21,19),DECKS!$B$2:$B$1201,$A668))</f>
        <v/>
      </c>
      <c r="AD668" s="19" t="str">
        <f aca="false">IF(OR($A668="",INDEX(_LEITURA!$Q$2:$Q$21,20)=0),"",SUMIFS(DECKS!$D$2:$D$1201,DECKS!$A$2:$A$1201,INDEX(_LEITURA!$P$2:$P$21,20),DECKS!$B$2:$B$1201,$A668))</f>
        <v/>
      </c>
      <c r="AE668" s="16" t="str">
        <f aca="false">IF(N(E668)&gt;0,MAX(AE$1:AE667)+1,"")</f>
        <v/>
      </c>
      <c r="AF668" s="11" t="str">
        <f aca="false">IF(A668="","",IFERROR(LEFT(A668,FIND("-",A668)-1),A668))</f>
        <v/>
      </c>
      <c r="AG668" s="11" t="str">
        <f aca="false">IF(AF668="","",IF(ISNUMBER(--MID(AF668,1,1)),0,IF(ISNUMBER(--MID(AF668,2,1)),1,IF(ISNUMBER(--MID(AF668,3,1)),2,IF(ISNUMBER(--MID(AF668,4,1)),3,MIN(LEN(AF668),4))))))</f>
        <v/>
      </c>
      <c r="AH668" s="11" t="str">
        <f aca="false">IF(A668="","",LEFT(AF668,AG668)&amp;REPT("0",4-AG668)&amp;RIGHT("000"&amp;IFERROR(VALUE(MID(AF668,AG668+1,9)),0),3)&amp;RIGHT("0000"&amp;IFERROR(VALUE(MID(A668,FIND("-",A668)+1,9)),0),4))</f>
        <v/>
      </c>
      <c r="AI668" s="11" t="str">
        <f aca="false">IF(OR(A668="",N(E668)&lt;=0),"",IF('FALTAS GERAL'!$M$1="Código","K"&amp;AH668&amp;RIGHT("00000"&amp;ROW(),5),IF('FALTAS GERAL'!$M$1="Nome","K"&amp;UPPER(SUBSTITUTE(SUBSTITUTE(SUBSTITUTE(B668,"*",""),"?",""),"~",""))&amp;"0"&amp;AH668&amp;RIGHT("00000"&amp;ROW(),5),IF('FALTAS GERAL'!$M$1="Falta (maior primeiro)","K"&amp;RIGHT("0000"&amp;(9999-E668),4)&amp;AH668&amp;RIGHT("00000"&amp;ROW(),5),IF('FALTAS GERAL'!$M$1="Nº de decks (maior primeiro)","K"&amp;RIGHT("00"&amp;(99-N(G668)),2)&amp;AH668&amp;RIGHT("00000"&amp;ROW(),5),"K"&amp;RIGHT("00000"&amp;ROW(),5))))))</f>
        <v/>
      </c>
      <c r="AJ668" s="11" t="str">
        <f aca="false">IF(AI668="","",COUNTIFS($AI$2:$AI$801,"&lt;"&amp;AI668,$E$2:$E$801,"&gt;0")+1)</f>
        <v/>
      </c>
      <c r="AK668" s="11" t="str">
        <f aca="false">IF(OR(A668="",N(E668)&lt;=0),"",COUNTIFS($AH$2:$AH$801,"&lt;"&amp;AH668,$E$2:$E$801,"&gt;0")+COUNTIFS($AH$2:AH668,AH668,$E$2:E668,"&gt;0"))</f>
        <v/>
      </c>
    </row>
    <row r="669" customFormat="false" ht="15" hidden="false" customHeight="false" outlineLevel="0" collapsed="false">
      <c r="A669" s="11" t="str">
        <f aca="false">IF(INVENTÁRIO!A669="","",INVENTÁRIO!A669)</f>
        <v/>
      </c>
      <c r="B669" s="11" t="str">
        <f aca="false">IF(A669="","",INVENTÁRIO!B669)</f>
        <v/>
      </c>
      <c r="C669" s="16" t="str">
        <f aca="false">IF(A669="","",INVENTÁRIO!C669)</f>
        <v/>
      </c>
      <c r="D669" s="14" t="str">
        <f aca="false">IF(A669="","",MAX(K669:AD669))</f>
        <v/>
      </c>
      <c r="E669" s="14" t="str">
        <f aca="false">IF(A669="","",MAX(0,D669-C669))</f>
        <v/>
      </c>
      <c r="F669" s="16" t="str">
        <f aca="false">IF(A669="","",IF(D669=0,"Fora dos decks",IF(E669=0,"Completo","Falta")))</f>
        <v/>
      </c>
      <c r="G669" s="16" t="str">
        <f aca="false">IF(A669="","",COUNTIF(K669:AD669,"&gt;0"))</f>
        <v/>
      </c>
      <c r="H669" s="16" t="str">
        <f aca="false">IF(A669="","",IF(G669&gt;1,"Sim",""))</f>
        <v/>
      </c>
      <c r="I669" s="18" t="str">
        <f aca="false">IF(A669="","",SUMIFS(DECKS!$D$2:$D$1201,DECKS!$B$2:$B$1201,A669))</f>
        <v/>
      </c>
      <c r="J669" s="18" t="str">
        <f aca="false">IF(A669="","",MAX(0,I669-C669))</f>
        <v/>
      </c>
      <c r="K669" s="19" t="str">
        <f aca="false">IF(OR($A669="",INDEX(_LEITURA!$Q$2:$Q$21,1)=0),"",SUMIFS(DECKS!$D$2:$D$1201,DECKS!$A$2:$A$1201,INDEX(_LEITURA!$P$2:$P$21,1),DECKS!$B$2:$B$1201,$A669))</f>
        <v/>
      </c>
      <c r="L669" s="19" t="str">
        <f aca="false">IF(OR($A669="",INDEX(_LEITURA!$Q$2:$Q$21,2)=0),"",SUMIFS(DECKS!$D$2:$D$1201,DECKS!$A$2:$A$1201,INDEX(_LEITURA!$P$2:$P$21,2),DECKS!$B$2:$B$1201,$A669))</f>
        <v/>
      </c>
      <c r="M669" s="19" t="str">
        <f aca="false">IF(OR($A669="",INDEX(_LEITURA!$Q$2:$Q$21,3)=0),"",SUMIFS(DECKS!$D$2:$D$1201,DECKS!$A$2:$A$1201,INDEX(_LEITURA!$P$2:$P$21,3),DECKS!$B$2:$B$1201,$A669))</f>
        <v/>
      </c>
      <c r="N669" s="19" t="str">
        <f aca="false">IF(OR($A669="",INDEX(_LEITURA!$Q$2:$Q$21,4)=0),"",SUMIFS(DECKS!$D$2:$D$1201,DECKS!$A$2:$A$1201,INDEX(_LEITURA!$P$2:$P$21,4),DECKS!$B$2:$B$1201,$A669))</f>
        <v/>
      </c>
      <c r="O669" s="19" t="str">
        <f aca="false">IF(OR($A669="",INDEX(_LEITURA!$Q$2:$Q$21,5)=0),"",SUMIFS(DECKS!$D$2:$D$1201,DECKS!$A$2:$A$1201,INDEX(_LEITURA!$P$2:$P$21,5),DECKS!$B$2:$B$1201,$A669))</f>
        <v/>
      </c>
      <c r="P669" s="19" t="str">
        <f aca="false">IF(OR($A669="",INDEX(_LEITURA!$Q$2:$Q$21,6)=0),"",SUMIFS(DECKS!$D$2:$D$1201,DECKS!$A$2:$A$1201,INDEX(_LEITURA!$P$2:$P$21,6),DECKS!$B$2:$B$1201,$A669))</f>
        <v/>
      </c>
      <c r="Q669" s="19" t="str">
        <f aca="false">IF(OR($A669="",INDEX(_LEITURA!$Q$2:$Q$21,7)=0),"",SUMIFS(DECKS!$D$2:$D$1201,DECKS!$A$2:$A$1201,INDEX(_LEITURA!$P$2:$P$21,7),DECKS!$B$2:$B$1201,$A669))</f>
        <v/>
      </c>
      <c r="R669" s="19" t="str">
        <f aca="false">IF(OR($A669="",INDEX(_LEITURA!$Q$2:$Q$21,8)=0),"",SUMIFS(DECKS!$D$2:$D$1201,DECKS!$A$2:$A$1201,INDEX(_LEITURA!$P$2:$P$21,8),DECKS!$B$2:$B$1201,$A669))</f>
        <v/>
      </c>
      <c r="S669" s="19" t="str">
        <f aca="false">IF(OR($A669="",INDEX(_LEITURA!$Q$2:$Q$21,9)=0),"",SUMIFS(DECKS!$D$2:$D$1201,DECKS!$A$2:$A$1201,INDEX(_LEITURA!$P$2:$P$21,9),DECKS!$B$2:$B$1201,$A669))</f>
        <v/>
      </c>
      <c r="T669" s="19" t="str">
        <f aca="false">IF(OR($A669="",INDEX(_LEITURA!$Q$2:$Q$21,10)=0),"",SUMIFS(DECKS!$D$2:$D$1201,DECKS!$A$2:$A$1201,INDEX(_LEITURA!$P$2:$P$21,10),DECKS!$B$2:$B$1201,$A669))</f>
        <v/>
      </c>
      <c r="U669" s="19" t="str">
        <f aca="false">IF(OR($A669="",INDEX(_LEITURA!$Q$2:$Q$21,11)=0),"",SUMIFS(DECKS!$D$2:$D$1201,DECKS!$A$2:$A$1201,INDEX(_LEITURA!$P$2:$P$21,11),DECKS!$B$2:$B$1201,$A669))</f>
        <v/>
      </c>
      <c r="V669" s="19" t="str">
        <f aca="false">IF(OR($A669="",INDEX(_LEITURA!$Q$2:$Q$21,12)=0),"",SUMIFS(DECKS!$D$2:$D$1201,DECKS!$A$2:$A$1201,INDEX(_LEITURA!$P$2:$P$21,12),DECKS!$B$2:$B$1201,$A669))</f>
        <v/>
      </c>
      <c r="W669" s="19" t="str">
        <f aca="false">IF(OR($A669="",INDEX(_LEITURA!$Q$2:$Q$21,13)=0),"",SUMIFS(DECKS!$D$2:$D$1201,DECKS!$A$2:$A$1201,INDEX(_LEITURA!$P$2:$P$21,13),DECKS!$B$2:$B$1201,$A669))</f>
        <v/>
      </c>
      <c r="X669" s="19" t="str">
        <f aca="false">IF(OR($A669="",INDEX(_LEITURA!$Q$2:$Q$21,14)=0),"",SUMIFS(DECKS!$D$2:$D$1201,DECKS!$A$2:$A$1201,INDEX(_LEITURA!$P$2:$P$21,14),DECKS!$B$2:$B$1201,$A669))</f>
        <v/>
      </c>
      <c r="Y669" s="19" t="str">
        <f aca="false">IF(OR($A669="",INDEX(_LEITURA!$Q$2:$Q$21,15)=0),"",SUMIFS(DECKS!$D$2:$D$1201,DECKS!$A$2:$A$1201,INDEX(_LEITURA!$P$2:$P$21,15),DECKS!$B$2:$B$1201,$A669))</f>
        <v/>
      </c>
      <c r="Z669" s="19" t="str">
        <f aca="false">IF(OR($A669="",INDEX(_LEITURA!$Q$2:$Q$21,16)=0),"",SUMIFS(DECKS!$D$2:$D$1201,DECKS!$A$2:$A$1201,INDEX(_LEITURA!$P$2:$P$21,16),DECKS!$B$2:$B$1201,$A669))</f>
        <v/>
      </c>
      <c r="AA669" s="19" t="str">
        <f aca="false">IF(OR($A669="",INDEX(_LEITURA!$Q$2:$Q$21,17)=0),"",SUMIFS(DECKS!$D$2:$D$1201,DECKS!$A$2:$A$1201,INDEX(_LEITURA!$P$2:$P$21,17),DECKS!$B$2:$B$1201,$A669))</f>
        <v/>
      </c>
      <c r="AB669" s="19" t="str">
        <f aca="false">IF(OR($A669="",INDEX(_LEITURA!$Q$2:$Q$21,18)=0),"",SUMIFS(DECKS!$D$2:$D$1201,DECKS!$A$2:$A$1201,INDEX(_LEITURA!$P$2:$P$21,18),DECKS!$B$2:$B$1201,$A669))</f>
        <v/>
      </c>
      <c r="AC669" s="19" t="str">
        <f aca="false">IF(OR($A669="",INDEX(_LEITURA!$Q$2:$Q$21,19)=0),"",SUMIFS(DECKS!$D$2:$D$1201,DECKS!$A$2:$A$1201,INDEX(_LEITURA!$P$2:$P$21,19),DECKS!$B$2:$B$1201,$A669))</f>
        <v/>
      </c>
      <c r="AD669" s="19" t="str">
        <f aca="false">IF(OR($A669="",INDEX(_LEITURA!$Q$2:$Q$21,20)=0),"",SUMIFS(DECKS!$D$2:$D$1201,DECKS!$A$2:$A$1201,INDEX(_LEITURA!$P$2:$P$21,20),DECKS!$B$2:$B$1201,$A669))</f>
        <v/>
      </c>
      <c r="AE669" s="16" t="str">
        <f aca="false">IF(N(E669)&gt;0,MAX(AE$1:AE668)+1,"")</f>
        <v/>
      </c>
      <c r="AF669" s="11" t="str">
        <f aca="false">IF(A669="","",IFERROR(LEFT(A669,FIND("-",A669)-1),A669))</f>
        <v/>
      </c>
      <c r="AG669" s="11" t="str">
        <f aca="false">IF(AF669="","",IF(ISNUMBER(--MID(AF669,1,1)),0,IF(ISNUMBER(--MID(AF669,2,1)),1,IF(ISNUMBER(--MID(AF669,3,1)),2,IF(ISNUMBER(--MID(AF669,4,1)),3,MIN(LEN(AF669),4))))))</f>
        <v/>
      </c>
      <c r="AH669" s="11" t="str">
        <f aca="false">IF(A669="","",LEFT(AF669,AG669)&amp;REPT("0",4-AG669)&amp;RIGHT("000"&amp;IFERROR(VALUE(MID(AF669,AG669+1,9)),0),3)&amp;RIGHT("0000"&amp;IFERROR(VALUE(MID(A669,FIND("-",A669)+1,9)),0),4))</f>
        <v/>
      </c>
      <c r="AI669" s="11" t="str">
        <f aca="false">IF(OR(A669="",N(E669)&lt;=0),"",IF('FALTAS GERAL'!$M$1="Código","K"&amp;AH669&amp;RIGHT("00000"&amp;ROW(),5),IF('FALTAS GERAL'!$M$1="Nome","K"&amp;UPPER(SUBSTITUTE(SUBSTITUTE(SUBSTITUTE(B669,"*",""),"?",""),"~",""))&amp;"0"&amp;AH669&amp;RIGHT("00000"&amp;ROW(),5),IF('FALTAS GERAL'!$M$1="Falta (maior primeiro)","K"&amp;RIGHT("0000"&amp;(9999-E669),4)&amp;AH669&amp;RIGHT("00000"&amp;ROW(),5),IF('FALTAS GERAL'!$M$1="Nº de decks (maior primeiro)","K"&amp;RIGHT("00"&amp;(99-N(G669)),2)&amp;AH669&amp;RIGHT("00000"&amp;ROW(),5),"K"&amp;RIGHT("00000"&amp;ROW(),5))))))</f>
        <v/>
      </c>
      <c r="AJ669" s="11" t="str">
        <f aca="false">IF(AI669="","",COUNTIFS($AI$2:$AI$801,"&lt;"&amp;AI669,$E$2:$E$801,"&gt;0")+1)</f>
        <v/>
      </c>
      <c r="AK669" s="11" t="str">
        <f aca="false">IF(OR(A669="",N(E669)&lt;=0),"",COUNTIFS($AH$2:$AH$801,"&lt;"&amp;AH669,$E$2:$E$801,"&gt;0")+COUNTIFS($AH$2:AH669,AH669,$E$2:E669,"&gt;0"))</f>
        <v/>
      </c>
    </row>
    <row r="670" customFormat="false" ht="15" hidden="false" customHeight="false" outlineLevel="0" collapsed="false">
      <c r="A670" s="11" t="str">
        <f aca="false">IF(INVENTÁRIO!A670="","",INVENTÁRIO!A670)</f>
        <v/>
      </c>
      <c r="B670" s="11" t="str">
        <f aca="false">IF(A670="","",INVENTÁRIO!B670)</f>
        <v/>
      </c>
      <c r="C670" s="16" t="str">
        <f aca="false">IF(A670="","",INVENTÁRIO!C670)</f>
        <v/>
      </c>
      <c r="D670" s="14" t="str">
        <f aca="false">IF(A670="","",MAX(K670:AD670))</f>
        <v/>
      </c>
      <c r="E670" s="14" t="str">
        <f aca="false">IF(A670="","",MAX(0,D670-C670))</f>
        <v/>
      </c>
      <c r="F670" s="16" t="str">
        <f aca="false">IF(A670="","",IF(D670=0,"Fora dos decks",IF(E670=0,"Completo","Falta")))</f>
        <v/>
      </c>
      <c r="G670" s="16" t="str">
        <f aca="false">IF(A670="","",COUNTIF(K670:AD670,"&gt;0"))</f>
        <v/>
      </c>
      <c r="H670" s="16" t="str">
        <f aca="false">IF(A670="","",IF(G670&gt;1,"Sim",""))</f>
        <v/>
      </c>
      <c r="I670" s="18" t="str">
        <f aca="false">IF(A670="","",SUMIFS(DECKS!$D$2:$D$1201,DECKS!$B$2:$B$1201,A670))</f>
        <v/>
      </c>
      <c r="J670" s="18" t="str">
        <f aca="false">IF(A670="","",MAX(0,I670-C670))</f>
        <v/>
      </c>
      <c r="K670" s="19" t="str">
        <f aca="false">IF(OR($A670="",INDEX(_LEITURA!$Q$2:$Q$21,1)=0),"",SUMIFS(DECKS!$D$2:$D$1201,DECKS!$A$2:$A$1201,INDEX(_LEITURA!$P$2:$P$21,1),DECKS!$B$2:$B$1201,$A670))</f>
        <v/>
      </c>
      <c r="L670" s="19" t="str">
        <f aca="false">IF(OR($A670="",INDEX(_LEITURA!$Q$2:$Q$21,2)=0),"",SUMIFS(DECKS!$D$2:$D$1201,DECKS!$A$2:$A$1201,INDEX(_LEITURA!$P$2:$P$21,2),DECKS!$B$2:$B$1201,$A670))</f>
        <v/>
      </c>
      <c r="M670" s="19" t="str">
        <f aca="false">IF(OR($A670="",INDEX(_LEITURA!$Q$2:$Q$21,3)=0),"",SUMIFS(DECKS!$D$2:$D$1201,DECKS!$A$2:$A$1201,INDEX(_LEITURA!$P$2:$P$21,3),DECKS!$B$2:$B$1201,$A670))</f>
        <v/>
      </c>
      <c r="N670" s="19" t="str">
        <f aca="false">IF(OR($A670="",INDEX(_LEITURA!$Q$2:$Q$21,4)=0),"",SUMIFS(DECKS!$D$2:$D$1201,DECKS!$A$2:$A$1201,INDEX(_LEITURA!$P$2:$P$21,4),DECKS!$B$2:$B$1201,$A670))</f>
        <v/>
      </c>
      <c r="O670" s="19" t="str">
        <f aca="false">IF(OR($A670="",INDEX(_LEITURA!$Q$2:$Q$21,5)=0),"",SUMIFS(DECKS!$D$2:$D$1201,DECKS!$A$2:$A$1201,INDEX(_LEITURA!$P$2:$P$21,5),DECKS!$B$2:$B$1201,$A670))</f>
        <v/>
      </c>
      <c r="P670" s="19" t="str">
        <f aca="false">IF(OR($A670="",INDEX(_LEITURA!$Q$2:$Q$21,6)=0),"",SUMIFS(DECKS!$D$2:$D$1201,DECKS!$A$2:$A$1201,INDEX(_LEITURA!$P$2:$P$21,6),DECKS!$B$2:$B$1201,$A670))</f>
        <v/>
      </c>
      <c r="Q670" s="19" t="str">
        <f aca="false">IF(OR($A670="",INDEX(_LEITURA!$Q$2:$Q$21,7)=0),"",SUMIFS(DECKS!$D$2:$D$1201,DECKS!$A$2:$A$1201,INDEX(_LEITURA!$P$2:$P$21,7),DECKS!$B$2:$B$1201,$A670))</f>
        <v/>
      </c>
      <c r="R670" s="19" t="str">
        <f aca="false">IF(OR($A670="",INDEX(_LEITURA!$Q$2:$Q$21,8)=0),"",SUMIFS(DECKS!$D$2:$D$1201,DECKS!$A$2:$A$1201,INDEX(_LEITURA!$P$2:$P$21,8),DECKS!$B$2:$B$1201,$A670))</f>
        <v/>
      </c>
      <c r="S670" s="19" t="str">
        <f aca="false">IF(OR($A670="",INDEX(_LEITURA!$Q$2:$Q$21,9)=0),"",SUMIFS(DECKS!$D$2:$D$1201,DECKS!$A$2:$A$1201,INDEX(_LEITURA!$P$2:$P$21,9),DECKS!$B$2:$B$1201,$A670))</f>
        <v/>
      </c>
      <c r="T670" s="19" t="str">
        <f aca="false">IF(OR($A670="",INDEX(_LEITURA!$Q$2:$Q$21,10)=0),"",SUMIFS(DECKS!$D$2:$D$1201,DECKS!$A$2:$A$1201,INDEX(_LEITURA!$P$2:$P$21,10),DECKS!$B$2:$B$1201,$A670))</f>
        <v/>
      </c>
      <c r="U670" s="19" t="str">
        <f aca="false">IF(OR($A670="",INDEX(_LEITURA!$Q$2:$Q$21,11)=0),"",SUMIFS(DECKS!$D$2:$D$1201,DECKS!$A$2:$A$1201,INDEX(_LEITURA!$P$2:$P$21,11),DECKS!$B$2:$B$1201,$A670))</f>
        <v/>
      </c>
      <c r="V670" s="19" t="str">
        <f aca="false">IF(OR($A670="",INDEX(_LEITURA!$Q$2:$Q$21,12)=0),"",SUMIFS(DECKS!$D$2:$D$1201,DECKS!$A$2:$A$1201,INDEX(_LEITURA!$P$2:$P$21,12),DECKS!$B$2:$B$1201,$A670))</f>
        <v/>
      </c>
      <c r="W670" s="19" t="str">
        <f aca="false">IF(OR($A670="",INDEX(_LEITURA!$Q$2:$Q$21,13)=0),"",SUMIFS(DECKS!$D$2:$D$1201,DECKS!$A$2:$A$1201,INDEX(_LEITURA!$P$2:$P$21,13),DECKS!$B$2:$B$1201,$A670))</f>
        <v/>
      </c>
      <c r="X670" s="19" t="str">
        <f aca="false">IF(OR($A670="",INDEX(_LEITURA!$Q$2:$Q$21,14)=0),"",SUMIFS(DECKS!$D$2:$D$1201,DECKS!$A$2:$A$1201,INDEX(_LEITURA!$P$2:$P$21,14),DECKS!$B$2:$B$1201,$A670))</f>
        <v/>
      </c>
      <c r="Y670" s="19" t="str">
        <f aca="false">IF(OR($A670="",INDEX(_LEITURA!$Q$2:$Q$21,15)=0),"",SUMIFS(DECKS!$D$2:$D$1201,DECKS!$A$2:$A$1201,INDEX(_LEITURA!$P$2:$P$21,15),DECKS!$B$2:$B$1201,$A670))</f>
        <v/>
      </c>
      <c r="Z670" s="19" t="str">
        <f aca="false">IF(OR($A670="",INDEX(_LEITURA!$Q$2:$Q$21,16)=0),"",SUMIFS(DECKS!$D$2:$D$1201,DECKS!$A$2:$A$1201,INDEX(_LEITURA!$P$2:$P$21,16),DECKS!$B$2:$B$1201,$A670))</f>
        <v/>
      </c>
      <c r="AA670" s="19" t="str">
        <f aca="false">IF(OR($A670="",INDEX(_LEITURA!$Q$2:$Q$21,17)=0),"",SUMIFS(DECKS!$D$2:$D$1201,DECKS!$A$2:$A$1201,INDEX(_LEITURA!$P$2:$P$21,17),DECKS!$B$2:$B$1201,$A670))</f>
        <v/>
      </c>
      <c r="AB670" s="19" t="str">
        <f aca="false">IF(OR($A670="",INDEX(_LEITURA!$Q$2:$Q$21,18)=0),"",SUMIFS(DECKS!$D$2:$D$1201,DECKS!$A$2:$A$1201,INDEX(_LEITURA!$P$2:$P$21,18),DECKS!$B$2:$B$1201,$A670))</f>
        <v/>
      </c>
      <c r="AC670" s="19" t="str">
        <f aca="false">IF(OR($A670="",INDEX(_LEITURA!$Q$2:$Q$21,19)=0),"",SUMIFS(DECKS!$D$2:$D$1201,DECKS!$A$2:$A$1201,INDEX(_LEITURA!$P$2:$P$21,19),DECKS!$B$2:$B$1201,$A670))</f>
        <v/>
      </c>
      <c r="AD670" s="19" t="str">
        <f aca="false">IF(OR($A670="",INDEX(_LEITURA!$Q$2:$Q$21,20)=0),"",SUMIFS(DECKS!$D$2:$D$1201,DECKS!$A$2:$A$1201,INDEX(_LEITURA!$P$2:$P$21,20),DECKS!$B$2:$B$1201,$A670))</f>
        <v/>
      </c>
      <c r="AE670" s="16" t="str">
        <f aca="false">IF(N(E670)&gt;0,MAX(AE$1:AE669)+1,"")</f>
        <v/>
      </c>
      <c r="AF670" s="11" t="str">
        <f aca="false">IF(A670="","",IFERROR(LEFT(A670,FIND("-",A670)-1),A670))</f>
        <v/>
      </c>
      <c r="AG670" s="11" t="str">
        <f aca="false">IF(AF670="","",IF(ISNUMBER(--MID(AF670,1,1)),0,IF(ISNUMBER(--MID(AF670,2,1)),1,IF(ISNUMBER(--MID(AF670,3,1)),2,IF(ISNUMBER(--MID(AF670,4,1)),3,MIN(LEN(AF670),4))))))</f>
        <v/>
      </c>
      <c r="AH670" s="11" t="str">
        <f aca="false">IF(A670="","",LEFT(AF670,AG670)&amp;REPT("0",4-AG670)&amp;RIGHT("000"&amp;IFERROR(VALUE(MID(AF670,AG670+1,9)),0),3)&amp;RIGHT("0000"&amp;IFERROR(VALUE(MID(A670,FIND("-",A670)+1,9)),0),4))</f>
        <v/>
      </c>
      <c r="AI670" s="11" t="str">
        <f aca="false">IF(OR(A670="",N(E670)&lt;=0),"",IF('FALTAS GERAL'!$M$1="Código","K"&amp;AH670&amp;RIGHT("00000"&amp;ROW(),5),IF('FALTAS GERAL'!$M$1="Nome","K"&amp;UPPER(SUBSTITUTE(SUBSTITUTE(SUBSTITUTE(B670,"*",""),"?",""),"~",""))&amp;"0"&amp;AH670&amp;RIGHT("00000"&amp;ROW(),5),IF('FALTAS GERAL'!$M$1="Falta (maior primeiro)","K"&amp;RIGHT("0000"&amp;(9999-E670),4)&amp;AH670&amp;RIGHT("00000"&amp;ROW(),5),IF('FALTAS GERAL'!$M$1="Nº de decks (maior primeiro)","K"&amp;RIGHT("00"&amp;(99-N(G670)),2)&amp;AH670&amp;RIGHT("00000"&amp;ROW(),5),"K"&amp;RIGHT("00000"&amp;ROW(),5))))))</f>
        <v/>
      </c>
      <c r="AJ670" s="11" t="str">
        <f aca="false">IF(AI670="","",COUNTIFS($AI$2:$AI$801,"&lt;"&amp;AI670,$E$2:$E$801,"&gt;0")+1)</f>
        <v/>
      </c>
      <c r="AK670" s="11" t="str">
        <f aca="false">IF(OR(A670="",N(E670)&lt;=0),"",COUNTIFS($AH$2:$AH$801,"&lt;"&amp;AH670,$E$2:$E$801,"&gt;0")+COUNTIFS($AH$2:AH670,AH670,$E$2:E670,"&gt;0"))</f>
        <v/>
      </c>
    </row>
    <row r="671" customFormat="false" ht="15" hidden="false" customHeight="false" outlineLevel="0" collapsed="false">
      <c r="A671" s="11" t="str">
        <f aca="false">IF(INVENTÁRIO!A671="","",INVENTÁRIO!A671)</f>
        <v/>
      </c>
      <c r="B671" s="11" t="str">
        <f aca="false">IF(A671="","",INVENTÁRIO!B671)</f>
        <v/>
      </c>
      <c r="C671" s="16" t="str">
        <f aca="false">IF(A671="","",INVENTÁRIO!C671)</f>
        <v/>
      </c>
      <c r="D671" s="14" t="str">
        <f aca="false">IF(A671="","",MAX(K671:AD671))</f>
        <v/>
      </c>
      <c r="E671" s="14" t="str">
        <f aca="false">IF(A671="","",MAX(0,D671-C671))</f>
        <v/>
      </c>
      <c r="F671" s="16" t="str">
        <f aca="false">IF(A671="","",IF(D671=0,"Fora dos decks",IF(E671=0,"Completo","Falta")))</f>
        <v/>
      </c>
      <c r="G671" s="16" t="str">
        <f aca="false">IF(A671="","",COUNTIF(K671:AD671,"&gt;0"))</f>
        <v/>
      </c>
      <c r="H671" s="16" t="str">
        <f aca="false">IF(A671="","",IF(G671&gt;1,"Sim",""))</f>
        <v/>
      </c>
      <c r="I671" s="18" t="str">
        <f aca="false">IF(A671="","",SUMIFS(DECKS!$D$2:$D$1201,DECKS!$B$2:$B$1201,A671))</f>
        <v/>
      </c>
      <c r="J671" s="18" t="str">
        <f aca="false">IF(A671="","",MAX(0,I671-C671))</f>
        <v/>
      </c>
      <c r="K671" s="19" t="str">
        <f aca="false">IF(OR($A671="",INDEX(_LEITURA!$Q$2:$Q$21,1)=0),"",SUMIFS(DECKS!$D$2:$D$1201,DECKS!$A$2:$A$1201,INDEX(_LEITURA!$P$2:$P$21,1),DECKS!$B$2:$B$1201,$A671))</f>
        <v/>
      </c>
      <c r="L671" s="19" t="str">
        <f aca="false">IF(OR($A671="",INDEX(_LEITURA!$Q$2:$Q$21,2)=0),"",SUMIFS(DECKS!$D$2:$D$1201,DECKS!$A$2:$A$1201,INDEX(_LEITURA!$P$2:$P$21,2),DECKS!$B$2:$B$1201,$A671))</f>
        <v/>
      </c>
      <c r="M671" s="19" t="str">
        <f aca="false">IF(OR($A671="",INDEX(_LEITURA!$Q$2:$Q$21,3)=0),"",SUMIFS(DECKS!$D$2:$D$1201,DECKS!$A$2:$A$1201,INDEX(_LEITURA!$P$2:$P$21,3),DECKS!$B$2:$B$1201,$A671))</f>
        <v/>
      </c>
      <c r="N671" s="19" t="str">
        <f aca="false">IF(OR($A671="",INDEX(_LEITURA!$Q$2:$Q$21,4)=0),"",SUMIFS(DECKS!$D$2:$D$1201,DECKS!$A$2:$A$1201,INDEX(_LEITURA!$P$2:$P$21,4),DECKS!$B$2:$B$1201,$A671))</f>
        <v/>
      </c>
      <c r="O671" s="19" t="str">
        <f aca="false">IF(OR($A671="",INDEX(_LEITURA!$Q$2:$Q$21,5)=0),"",SUMIFS(DECKS!$D$2:$D$1201,DECKS!$A$2:$A$1201,INDEX(_LEITURA!$P$2:$P$21,5),DECKS!$B$2:$B$1201,$A671))</f>
        <v/>
      </c>
      <c r="P671" s="19" t="str">
        <f aca="false">IF(OR($A671="",INDEX(_LEITURA!$Q$2:$Q$21,6)=0),"",SUMIFS(DECKS!$D$2:$D$1201,DECKS!$A$2:$A$1201,INDEX(_LEITURA!$P$2:$P$21,6),DECKS!$B$2:$B$1201,$A671))</f>
        <v/>
      </c>
      <c r="Q671" s="19" t="str">
        <f aca="false">IF(OR($A671="",INDEX(_LEITURA!$Q$2:$Q$21,7)=0),"",SUMIFS(DECKS!$D$2:$D$1201,DECKS!$A$2:$A$1201,INDEX(_LEITURA!$P$2:$P$21,7),DECKS!$B$2:$B$1201,$A671))</f>
        <v/>
      </c>
      <c r="R671" s="19" t="str">
        <f aca="false">IF(OR($A671="",INDEX(_LEITURA!$Q$2:$Q$21,8)=0),"",SUMIFS(DECKS!$D$2:$D$1201,DECKS!$A$2:$A$1201,INDEX(_LEITURA!$P$2:$P$21,8),DECKS!$B$2:$B$1201,$A671))</f>
        <v/>
      </c>
      <c r="S671" s="19" t="str">
        <f aca="false">IF(OR($A671="",INDEX(_LEITURA!$Q$2:$Q$21,9)=0),"",SUMIFS(DECKS!$D$2:$D$1201,DECKS!$A$2:$A$1201,INDEX(_LEITURA!$P$2:$P$21,9),DECKS!$B$2:$B$1201,$A671))</f>
        <v/>
      </c>
      <c r="T671" s="19" t="str">
        <f aca="false">IF(OR($A671="",INDEX(_LEITURA!$Q$2:$Q$21,10)=0),"",SUMIFS(DECKS!$D$2:$D$1201,DECKS!$A$2:$A$1201,INDEX(_LEITURA!$P$2:$P$21,10),DECKS!$B$2:$B$1201,$A671))</f>
        <v/>
      </c>
      <c r="U671" s="19" t="str">
        <f aca="false">IF(OR($A671="",INDEX(_LEITURA!$Q$2:$Q$21,11)=0),"",SUMIFS(DECKS!$D$2:$D$1201,DECKS!$A$2:$A$1201,INDEX(_LEITURA!$P$2:$P$21,11),DECKS!$B$2:$B$1201,$A671))</f>
        <v/>
      </c>
      <c r="V671" s="19" t="str">
        <f aca="false">IF(OR($A671="",INDEX(_LEITURA!$Q$2:$Q$21,12)=0),"",SUMIFS(DECKS!$D$2:$D$1201,DECKS!$A$2:$A$1201,INDEX(_LEITURA!$P$2:$P$21,12),DECKS!$B$2:$B$1201,$A671))</f>
        <v/>
      </c>
      <c r="W671" s="19" t="str">
        <f aca="false">IF(OR($A671="",INDEX(_LEITURA!$Q$2:$Q$21,13)=0),"",SUMIFS(DECKS!$D$2:$D$1201,DECKS!$A$2:$A$1201,INDEX(_LEITURA!$P$2:$P$21,13),DECKS!$B$2:$B$1201,$A671))</f>
        <v/>
      </c>
      <c r="X671" s="19" t="str">
        <f aca="false">IF(OR($A671="",INDEX(_LEITURA!$Q$2:$Q$21,14)=0),"",SUMIFS(DECKS!$D$2:$D$1201,DECKS!$A$2:$A$1201,INDEX(_LEITURA!$P$2:$P$21,14),DECKS!$B$2:$B$1201,$A671))</f>
        <v/>
      </c>
      <c r="Y671" s="19" t="str">
        <f aca="false">IF(OR($A671="",INDEX(_LEITURA!$Q$2:$Q$21,15)=0),"",SUMIFS(DECKS!$D$2:$D$1201,DECKS!$A$2:$A$1201,INDEX(_LEITURA!$P$2:$P$21,15),DECKS!$B$2:$B$1201,$A671))</f>
        <v/>
      </c>
      <c r="Z671" s="19" t="str">
        <f aca="false">IF(OR($A671="",INDEX(_LEITURA!$Q$2:$Q$21,16)=0),"",SUMIFS(DECKS!$D$2:$D$1201,DECKS!$A$2:$A$1201,INDEX(_LEITURA!$P$2:$P$21,16),DECKS!$B$2:$B$1201,$A671))</f>
        <v/>
      </c>
      <c r="AA671" s="19" t="str">
        <f aca="false">IF(OR($A671="",INDEX(_LEITURA!$Q$2:$Q$21,17)=0),"",SUMIFS(DECKS!$D$2:$D$1201,DECKS!$A$2:$A$1201,INDEX(_LEITURA!$P$2:$P$21,17),DECKS!$B$2:$B$1201,$A671))</f>
        <v/>
      </c>
      <c r="AB671" s="19" t="str">
        <f aca="false">IF(OR($A671="",INDEX(_LEITURA!$Q$2:$Q$21,18)=0),"",SUMIFS(DECKS!$D$2:$D$1201,DECKS!$A$2:$A$1201,INDEX(_LEITURA!$P$2:$P$21,18),DECKS!$B$2:$B$1201,$A671))</f>
        <v/>
      </c>
      <c r="AC671" s="19" t="str">
        <f aca="false">IF(OR($A671="",INDEX(_LEITURA!$Q$2:$Q$21,19)=0),"",SUMIFS(DECKS!$D$2:$D$1201,DECKS!$A$2:$A$1201,INDEX(_LEITURA!$P$2:$P$21,19),DECKS!$B$2:$B$1201,$A671))</f>
        <v/>
      </c>
      <c r="AD671" s="19" t="str">
        <f aca="false">IF(OR($A671="",INDEX(_LEITURA!$Q$2:$Q$21,20)=0),"",SUMIFS(DECKS!$D$2:$D$1201,DECKS!$A$2:$A$1201,INDEX(_LEITURA!$P$2:$P$21,20),DECKS!$B$2:$B$1201,$A671))</f>
        <v/>
      </c>
      <c r="AE671" s="16" t="str">
        <f aca="false">IF(N(E671)&gt;0,MAX(AE$1:AE670)+1,"")</f>
        <v/>
      </c>
      <c r="AF671" s="11" t="str">
        <f aca="false">IF(A671="","",IFERROR(LEFT(A671,FIND("-",A671)-1),A671))</f>
        <v/>
      </c>
      <c r="AG671" s="11" t="str">
        <f aca="false">IF(AF671="","",IF(ISNUMBER(--MID(AF671,1,1)),0,IF(ISNUMBER(--MID(AF671,2,1)),1,IF(ISNUMBER(--MID(AF671,3,1)),2,IF(ISNUMBER(--MID(AF671,4,1)),3,MIN(LEN(AF671),4))))))</f>
        <v/>
      </c>
      <c r="AH671" s="11" t="str">
        <f aca="false">IF(A671="","",LEFT(AF671,AG671)&amp;REPT("0",4-AG671)&amp;RIGHT("000"&amp;IFERROR(VALUE(MID(AF671,AG671+1,9)),0),3)&amp;RIGHT("0000"&amp;IFERROR(VALUE(MID(A671,FIND("-",A671)+1,9)),0),4))</f>
        <v/>
      </c>
      <c r="AI671" s="11" t="str">
        <f aca="false">IF(OR(A671="",N(E671)&lt;=0),"",IF('FALTAS GERAL'!$M$1="Código","K"&amp;AH671&amp;RIGHT("00000"&amp;ROW(),5),IF('FALTAS GERAL'!$M$1="Nome","K"&amp;UPPER(SUBSTITUTE(SUBSTITUTE(SUBSTITUTE(B671,"*",""),"?",""),"~",""))&amp;"0"&amp;AH671&amp;RIGHT("00000"&amp;ROW(),5),IF('FALTAS GERAL'!$M$1="Falta (maior primeiro)","K"&amp;RIGHT("0000"&amp;(9999-E671),4)&amp;AH671&amp;RIGHT("00000"&amp;ROW(),5),IF('FALTAS GERAL'!$M$1="Nº de decks (maior primeiro)","K"&amp;RIGHT("00"&amp;(99-N(G671)),2)&amp;AH671&amp;RIGHT("00000"&amp;ROW(),5),"K"&amp;RIGHT("00000"&amp;ROW(),5))))))</f>
        <v/>
      </c>
      <c r="AJ671" s="11" t="str">
        <f aca="false">IF(AI671="","",COUNTIFS($AI$2:$AI$801,"&lt;"&amp;AI671,$E$2:$E$801,"&gt;0")+1)</f>
        <v/>
      </c>
      <c r="AK671" s="11" t="str">
        <f aca="false">IF(OR(A671="",N(E671)&lt;=0),"",COUNTIFS($AH$2:$AH$801,"&lt;"&amp;AH671,$E$2:$E$801,"&gt;0")+COUNTIFS($AH$2:AH671,AH671,$E$2:E671,"&gt;0"))</f>
        <v/>
      </c>
    </row>
    <row r="672" customFormat="false" ht="15" hidden="false" customHeight="false" outlineLevel="0" collapsed="false">
      <c r="A672" s="11" t="str">
        <f aca="false">IF(INVENTÁRIO!A672="","",INVENTÁRIO!A672)</f>
        <v/>
      </c>
      <c r="B672" s="11" t="str">
        <f aca="false">IF(A672="","",INVENTÁRIO!B672)</f>
        <v/>
      </c>
      <c r="C672" s="16" t="str">
        <f aca="false">IF(A672="","",INVENTÁRIO!C672)</f>
        <v/>
      </c>
      <c r="D672" s="14" t="str">
        <f aca="false">IF(A672="","",MAX(K672:AD672))</f>
        <v/>
      </c>
      <c r="E672" s="14" t="str">
        <f aca="false">IF(A672="","",MAX(0,D672-C672))</f>
        <v/>
      </c>
      <c r="F672" s="16" t="str">
        <f aca="false">IF(A672="","",IF(D672=0,"Fora dos decks",IF(E672=0,"Completo","Falta")))</f>
        <v/>
      </c>
      <c r="G672" s="16" t="str">
        <f aca="false">IF(A672="","",COUNTIF(K672:AD672,"&gt;0"))</f>
        <v/>
      </c>
      <c r="H672" s="16" t="str">
        <f aca="false">IF(A672="","",IF(G672&gt;1,"Sim",""))</f>
        <v/>
      </c>
      <c r="I672" s="18" t="str">
        <f aca="false">IF(A672="","",SUMIFS(DECKS!$D$2:$D$1201,DECKS!$B$2:$B$1201,A672))</f>
        <v/>
      </c>
      <c r="J672" s="18" t="str">
        <f aca="false">IF(A672="","",MAX(0,I672-C672))</f>
        <v/>
      </c>
      <c r="K672" s="19" t="str">
        <f aca="false">IF(OR($A672="",INDEX(_LEITURA!$Q$2:$Q$21,1)=0),"",SUMIFS(DECKS!$D$2:$D$1201,DECKS!$A$2:$A$1201,INDEX(_LEITURA!$P$2:$P$21,1),DECKS!$B$2:$B$1201,$A672))</f>
        <v/>
      </c>
      <c r="L672" s="19" t="str">
        <f aca="false">IF(OR($A672="",INDEX(_LEITURA!$Q$2:$Q$21,2)=0),"",SUMIFS(DECKS!$D$2:$D$1201,DECKS!$A$2:$A$1201,INDEX(_LEITURA!$P$2:$P$21,2),DECKS!$B$2:$B$1201,$A672))</f>
        <v/>
      </c>
      <c r="M672" s="19" t="str">
        <f aca="false">IF(OR($A672="",INDEX(_LEITURA!$Q$2:$Q$21,3)=0),"",SUMIFS(DECKS!$D$2:$D$1201,DECKS!$A$2:$A$1201,INDEX(_LEITURA!$P$2:$P$21,3),DECKS!$B$2:$B$1201,$A672))</f>
        <v/>
      </c>
      <c r="N672" s="19" t="str">
        <f aca="false">IF(OR($A672="",INDEX(_LEITURA!$Q$2:$Q$21,4)=0),"",SUMIFS(DECKS!$D$2:$D$1201,DECKS!$A$2:$A$1201,INDEX(_LEITURA!$P$2:$P$21,4),DECKS!$B$2:$B$1201,$A672))</f>
        <v/>
      </c>
      <c r="O672" s="19" t="str">
        <f aca="false">IF(OR($A672="",INDEX(_LEITURA!$Q$2:$Q$21,5)=0),"",SUMIFS(DECKS!$D$2:$D$1201,DECKS!$A$2:$A$1201,INDEX(_LEITURA!$P$2:$P$21,5),DECKS!$B$2:$B$1201,$A672))</f>
        <v/>
      </c>
      <c r="P672" s="19" t="str">
        <f aca="false">IF(OR($A672="",INDEX(_LEITURA!$Q$2:$Q$21,6)=0),"",SUMIFS(DECKS!$D$2:$D$1201,DECKS!$A$2:$A$1201,INDEX(_LEITURA!$P$2:$P$21,6),DECKS!$B$2:$B$1201,$A672))</f>
        <v/>
      </c>
      <c r="Q672" s="19" t="str">
        <f aca="false">IF(OR($A672="",INDEX(_LEITURA!$Q$2:$Q$21,7)=0),"",SUMIFS(DECKS!$D$2:$D$1201,DECKS!$A$2:$A$1201,INDEX(_LEITURA!$P$2:$P$21,7),DECKS!$B$2:$B$1201,$A672))</f>
        <v/>
      </c>
      <c r="R672" s="19" t="str">
        <f aca="false">IF(OR($A672="",INDEX(_LEITURA!$Q$2:$Q$21,8)=0),"",SUMIFS(DECKS!$D$2:$D$1201,DECKS!$A$2:$A$1201,INDEX(_LEITURA!$P$2:$P$21,8),DECKS!$B$2:$B$1201,$A672))</f>
        <v/>
      </c>
      <c r="S672" s="19" t="str">
        <f aca="false">IF(OR($A672="",INDEX(_LEITURA!$Q$2:$Q$21,9)=0),"",SUMIFS(DECKS!$D$2:$D$1201,DECKS!$A$2:$A$1201,INDEX(_LEITURA!$P$2:$P$21,9),DECKS!$B$2:$B$1201,$A672))</f>
        <v/>
      </c>
      <c r="T672" s="19" t="str">
        <f aca="false">IF(OR($A672="",INDEX(_LEITURA!$Q$2:$Q$21,10)=0),"",SUMIFS(DECKS!$D$2:$D$1201,DECKS!$A$2:$A$1201,INDEX(_LEITURA!$P$2:$P$21,10),DECKS!$B$2:$B$1201,$A672))</f>
        <v/>
      </c>
      <c r="U672" s="19" t="str">
        <f aca="false">IF(OR($A672="",INDEX(_LEITURA!$Q$2:$Q$21,11)=0),"",SUMIFS(DECKS!$D$2:$D$1201,DECKS!$A$2:$A$1201,INDEX(_LEITURA!$P$2:$P$21,11),DECKS!$B$2:$B$1201,$A672))</f>
        <v/>
      </c>
      <c r="V672" s="19" t="str">
        <f aca="false">IF(OR($A672="",INDEX(_LEITURA!$Q$2:$Q$21,12)=0),"",SUMIFS(DECKS!$D$2:$D$1201,DECKS!$A$2:$A$1201,INDEX(_LEITURA!$P$2:$P$21,12),DECKS!$B$2:$B$1201,$A672))</f>
        <v/>
      </c>
      <c r="W672" s="19" t="str">
        <f aca="false">IF(OR($A672="",INDEX(_LEITURA!$Q$2:$Q$21,13)=0),"",SUMIFS(DECKS!$D$2:$D$1201,DECKS!$A$2:$A$1201,INDEX(_LEITURA!$P$2:$P$21,13),DECKS!$B$2:$B$1201,$A672))</f>
        <v/>
      </c>
      <c r="X672" s="19" t="str">
        <f aca="false">IF(OR($A672="",INDEX(_LEITURA!$Q$2:$Q$21,14)=0),"",SUMIFS(DECKS!$D$2:$D$1201,DECKS!$A$2:$A$1201,INDEX(_LEITURA!$P$2:$P$21,14),DECKS!$B$2:$B$1201,$A672))</f>
        <v/>
      </c>
      <c r="Y672" s="19" t="str">
        <f aca="false">IF(OR($A672="",INDEX(_LEITURA!$Q$2:$Q$21,15)=0),"",SUMIFS(DECKS!$D$2:$D$1201,DECKS!$A$2:$A$1201,INDEX(_LEITURA!$P$2:$P$21,15),DECKS!$B$2:$B$1201,$A672))</f>
        <v/>
      </c>
      <c r="Z672" s="19" t="str">
        <f aca="false">IF(OR($A672="",INDEX(_LEITURA!$Q$2:$Q$21,16)=0),"",SUMIFS(DECKS!$D$2:$D$1201,DECKS!$A$2:$A$1201,INDEX(_LEITURA!$P$2:$P$21,16),DECKS!$B$2:$B$1201,$A672))</f>
        <v/>
      </c>
      <c r="AA672" s="19" t="str">
        <f aca="false">IF(OR($A672="",INDEX(_LEITURA!$Q$2:$Q$21,17)=0),"",SUMIFS(DECKS!$D$2:$D$1201,DECKS!$A$2:$A$1201,INDEX(_LEITURA!$P$2:$P$21,17),DECKS!$B$2:$B$1201,$A672))</f>
        <v/>
      </c>
      <c r="AB672" s="19" t="str">
        <f aca="false">IF(OR($A672="",INDEX(_LEITURA!$Q$2:$Q$21,18)=0),"",SUMIFS(DECKS!$D$2:$D$1201,DECKS!$A$2:$A$1201,INDEX(_LEITURA!$P$2:$P$21,18),DECKS!$B$2:$B$1201,$A672))</f>
        <v/>
      </c>
      <c r="AC672" s="19" t="str">
        <f aca="false">IF(OR($A672="",INDEX(_LEITURA!$Q$2:$Q$21,19)=0),"",SUMIFS(DECKS!$D$2:$D$1201,DECKS!$A$2:$A$1201,INDEX(_LEITURA!$P$2:$P$21,19),DECKS!$B$2:$B$1201,$A672))</f>
        <v/>
      </c>
      <c r="AD672" s="19" t="str">
        <f aca="false">IF(OR($A672="",INDEX(_LEITURA!$Q$2:$Q$21,20)=0),"",SUMIFS(DECKS!$D$2:$D$1201,DECKS!$A$2:$A$1201,INDEX(_LEITURA!$P$2:$P$21,20),DECKS!$B$2:$B$1201,$A672))</f>
        <v/>
      </c>
      <c r="AE672" s="16" t="str">
        <f aca="false">IF(N(E672)&gt;0,MAX(AE$1:AE671)+1,"")</f>
        <v/>
      </c>
      <c r="AF672" s="11" t="str">
        <f aca="false">IF(A672="","",IFERROR(LEFT(A672,FIND("-",A672)-1),A672))</f>
        <v/>
      </c>
      <c r="AG672" s="11" t="str">
        <f aca="false">IF(AF672="","",IF(ISNUMBER(--MID(AF672,1,1)),0,IF(ISNUMBER(--MID(AF672,2,1)),1,IF(ISNUMBER(--MID(AF672,3,1)),2,IF(ISNUMBER(--MID(AF672,4,1)),3,MIN(LEN(AF672),4))))))</f>
        <v/>
      </c>
      <c r="AH672" s="11" t="str">
        <f aca="false">IF(A672="","",LEFT(AF672,AG672)&amp;REPT("0",4-AG672)&amp;RIGHT("000"&amp;IFERROR(VALUE(MID(AF672,AG672+1,9)),0),3)&amp;RIGHT("0000"&amp;IFERROR(VALUE(MID(A672,FIND("-",A672)+1,9)),0),4))</f>
        <v/>
      </c>
      <c r="AI672" s="11" t="str">
        <f aca="false">IF(OR(A672="",N(E672)&lt;=0),"",IF('FALTAS GERAL'!$M$1="Código","K"&amp;AH672&amp;RIGHT("00000"&amp;ROW(),5),IF('FALTAS GERAL'!$M$1="Nome","K"&amp;UPPER(SUBSTITUTE(SUBSTITUTE(SUBSTITUTE(B672,"*",""),"?",""),"~",""))&amp;"0"&amp;AH672&amp;RIGHT("00000"&amp;ROW(),5),IF('FALTAS GERAL'!$M$1="Falta (maior primeiro)","K"&amp;RIGHT("0000"&amp;(9999-E672),4)&amp;AH672&amp;RIGHT("00000"&amp;ROW(),5),IF('FALTAS GERAL'!$M$1="Nº de decks (maior primeiro)","K"&amp;RIGHT("00"&amp;(99-N(G672)),2)&amp;AH672&amp;RIGHT("00000"&amp;ROW(),5),"K"&amp;RIGHT("00000"&amp;ROW(),5))))))</f>
        <v/>
      </c>
      <c r="AJ672" s="11" t="str">
        <f aca="false">IF(AI672="","",COUNTIFS($AI$2:$AI$801,"&lt;"&amp;AI672,$E$2:$E$801,"&gt;0")+1)</f>
        <v/>
      </c>
      <c r="AK672" s="11" t="str">
        <f aca="false">IF(OR(A672="",N(E672)&lt;=0),"",COUNTIFS($AH$2:$AH$801,"&lt;"&amp;AH672,$E$2:$E$801,"&gt;0")+COUNTIFS($AH$2:AH672,AH672,$E$2:E672,"&gt;0"))</f>
        <v/>
      </c>
    </row>
    <row r="673" customFormat="false" ht="15" hidden="false" customHeight="false" outlineLevel="0" collapsed="false">
      <c r="A673" s="11" t="str">
        <f aca="false">IF(INVENTÁRIO!A673="","",INVENTÁRIO!A673)</f>
        <v/>
      </c>
      <c r="B673" s="11" t="str">
        <f aca="false">IF(A673="","",INVENTÁRIO!B673)</f>
        <v/>
      </c>
      <c r="C673" s="16" t="str">
        <f aca="false">IF(A673="","",INVENTÁRIO!C673)</f>
        <v/>
      </c>
      <c r="D673" s="14" t="str">
        <f aca="false">IF(A673="","",MAX(K673:AD673))</f>
        <v/>
      </c>
      <c r="E673" s="14" t="str">
        <f aca="false">IF(A673="","",MAX(0,D673-C673))</f>
        <v/>
      </c>
      <c r="F673" s="16" t="str">
        <f aca="false">IF(A673="","",IF(D673=0,"Fora dos decks",IF(E673=0,"Completo","Falta")))</f>
        <v/>
      </c>
      <c r="G673" s="16" t="str">
        <f aca="false">IF(A673="","",COUNTIF(K673:AD673,"&gt;0"))</f>
        <v/>
      </c>
      <c r="H673" s="16" t="str">
        <f aca="false">IF(A673="","",IF(G673&gt;1,"Sim",""))</f>
        <v/>
      </c>
      <c r="I673" s="18" t="str">
        <f aca="false">IF(A673="","",SUMIFS(DECKS!$D$2:$D$1201,DECKS!$B$2:$B$1201,A673))</f>
        <v/>
      </c>
      <c r="J673" s="18" t="str">
        <f aca="false">IF(A673="","",MAX(0,I673-C673))</f>
        <v/>
      </c>
      <c r="K673" s="19" t="str">
        <f aca="false">IF(OR($A673="",INDEX(_LEITURA!$Q$2:$Q$21,1)=0),"",SUMIFS(DECKS!$D$2:$D$1201,DECKS!$A$2:$A$1201,INDEX(_LEITURA!$P$2:$P$21,1),DECKS!$B$2:$B$1201,$A673))</f>
        <v/>
      </c>
      <c r="L673" s="19" t="str">
        <f aca="false">IF(OR($A673="",INDEX(_LEITURA!$Q$2:$Q$21,2)=0),"",SUMIFS(DECKS!$D$2:$D$1201,DECKS!$A$2:$A$1201,INDEX(_LEITURA!$P$2:$P$21,2),DECKS!$B$2:$B$1201,$A673))</f>
        <v/>
      </c>
      <c r="M673" s="19" t="str">
        <f aca="false">IF(OR($A673="",INDEX(_LEITURA!$Q$2:$Q$21,3)=0),"",SUMIFS(DECKS!$D$2:$D$1201,DECKS!$A$2:$A$1201,INDEX(_LEITURA!$P$2:$P$21,3),DECKS!$B$2:$B$1201,$A673))</f>
        <v/>
      </c>
      <c r="N673" s="19" t="str">
        <f aca="false">IF(OR($A673="",INDEX(_LEITURA!$Q$2:$Q$21,4)=0),"",SUMIFS(DECKS!$D$2:$D$1201,DECKS!$A$2:$A$1201,INDEX(_LEITURA!$P$2:$P$21,4),DECKS!$B$2:$B$1201,$A673))</f>
        <v/>
      </c>
      <c r="O673" s="19" t="str">
        <f aca="false">IF(OR($A673="",INDEX(_LEITURA!$Q$2:$Q$21,5)=0),"",SUMIFS(DECKS!$D$2:$D$1201,DECKS!$A$2:$A$1201,INDEX(_LEITURA!$P$2:$P$21,5),DECKS!$B$2:$B$1201,$A673))</f>
        <v/>
      </c>
      <c r="P673" s="19" t="str">
        <f aca="false">IF(OR($A673="",INDEX(_LEITURA!$Q$2:$Q$21,6)=0),"",SUMIFS(DECKS!$D$2:$D$1201,DECKS!$A$2:$A$1201,INDEX(_LEITURA!$P$2:$P$21,6),DECKS!$B$2:$B$1201,$A673))</f>
        <v/>
      </c>
      <c r="Q673" s="19" t="str">
        <f aca="false">IF(OR($A673="",INDEX(_LEITURA!$Q$2:$Q$21,7)=0),"",SUMIFS(DECKS!$D$2:$D$1201,DECKS!$A$2:$A$1201,INDEX(_LEITURA!$P$2:$P$21,7),DECKS!$B$2:$B$1201,$A673))</f>
        <v/>
      </c>
      <c r="R673" s="19" t="str">
        <f aca="false">IF(OR($A673="",INDEX(_LEITURA!$Q$2:$Q$21,8)=0),"",SUMIFS(DECKS!$D$2:$D$1201,DECKS!$A$2:$A$1201,INDEX(_LEITURA!$P$2:$P$21,8),DECKS!$B$2:$B$1201,$A673))</f>
        <v/>
      </c>
      <c r="S673" s="19" t="str">
        <f aca="false">IF(OR($A673="",INDEX(_LEITURA!$Q$2:$Q$21,9)=0),"",SUMIFS(DECKS!$D$2:$D$1201,DECKS!$A$2:$A$1201,INDEX(_LEITURA!$P$2:$P$21,9),DECKS!$B$2:$B$1201,$A673))</f>
        <v/>
      </c>
      <c r="T673" s="19" t="str">
        <f aca="false">IF(OR($A673="",INDEX(_LEITURA!$Q$2:$Q$21,10)=0),"",SUMIFS(DECKS!$D$2:$D$1201,DECKS!$A$2:$A$1201,INDEX(_LEITURA!$P$2:$P$21,10),DECKS!$B$2:$B$1201,$A673))</f>
        <v/>
      </c>
      <c r="U673" s="19" t="str">
        <f aca="false">IF(OR($A673="",INDEX(_LEITURA!$Q$2:$Q$21,11)=0),"",SUMIFS(DECKS!$D$2:$D$1201,DECKS!$A$2:$A$1201,INDEX(_LEITURA!$P$2:$P$21,11),DECKS!$B$2:$B$1201,$A673))</f>
        <v/>
      </c>
      <c r="V673" s="19" t="str">
        <f aca="false">IF(OR($A673="",INDEX(_LEITURA!$Q$2:$Q$21,12)=0),"",SUMIFS(DECKS!$D$2:$D$1201,DECKS!$A$2:$A$1201,INDEX(_LEITURA!$P$2:$P$21,12),DECKS!$B$2:$B$1201,$A673))</f>
        <v/>
      </c>
      <c r="W673" s="19" t="str">
        <f aca="false">IF(OR($A673="",INDEX(_LEITURA!$Q$2:$Q$21,13)=0),"",SUMIFS(DECKS!$D$2:$D$1201,DECKS!$A$2:$A$1201,INDEX(_LEITURA!$P$2:$P$21,13),DECKS!$B$2:$B$1201,$A673))</f>
        <v/>
      </c>
      <c r="X673" s="19" t="str">
        <f aca="false">IF(OR($A673="",INDEX(_LEITURA!$Q$2:$Q$21,14)=0),"",SUMIFS(DECKS!$D$2:$D$1201,DECKS!$A$2:$A$1201,INDEX(_LEITURA!$P$2:$P$21,14),DECKS!$B$2:$B$1201,$A673))</f>
        <v/>
      </c>
      <c r="Y673" s="19" t="str">
        <f aca="false">IF(OR($A673="",INDEX(_LEITURA!$Q$2:$Q$21,15)=0),"",SUMIFS(DECKS!$D$2:$D$1201,DECKS!$A$2:$A$1201,INDEX(_LEITURA!$P$2:$P$21,15),DECKS!$B$2:$B$1201,$A673))</f>
        <v/>
      </c>
      <c r="Z673" s="19" t="str">
        <f aca="false">IF(OR($A673="",INDEX(_LEITURA!$Q$2:$Q$21,16)=0),"",SUMIFS(DECKS!$D$2:$D$1201,DECKS!$A$2:$A$1201,INDEX(_LEITURA!$P$2:$P$21,16),DECKS!$B$2:$B$1201,$A673))</f>
        <v/>
      </c>
      <c r="AA673" s="19" t="str">
        <f aca="false">IF(OR($A673="",INDEX(_LEITURA!$Q$2:$Q$21,17)=0),"",SUMIFS(DECKS!$D$2:$D$1201,DECKS!$A$2:$A$1201,INDEX(_LEITURA!$P$2:$P$21,17),DECKS!$B$2:$B$1201,$A673))</f>
        <v/>
      </c>
      <c r="AB673" s="19" t="str">
        <f aca="false">IF(OR($A673="",INDEX(_LEITURA!$Q$2:$Q$21,18)=0),"",SUMIFS(DECKS!$D$2:$D$1201,DECKS!$A$2:$A$1201,INDEX(_LEITURA!$P$2:$P$21,18),DECKS!$B$2:$B$1201,$A673))</f>
        <v/>
      </c>
      <c r="AC673" s="19" t="str">
        <f aca="false">IF(OR($A673="",INDEX(_LEITURA!$Q$2:$Q$21,19)=0),"",SUMIFS(DECKS!$D$2:$D$1201,DECKS!$A$2:$A$1201,INDEX(_LEITURA!$P$2:$P$21,19),DECKS!$B$2:$B$1201,$A673))</f>
        <v/>
      </c>
      <c r="AD673" s="19" t="str">
        <f aca="false">IF(OR($A673="",INDEX(_LEITURA!$Q$2:$Q$21,20)=0),"",SUMIFS(DECKS!$D$2:$D$1201,DECKS!$A$2:$A$1201,INDEX(_LEITURA!$P$2:$P$21,20),DECKS!$B$2:$B$1201,$A673))</f>
        <v/>
      </c>
      <c r="AE673" s="16" t="str">
        <f aca="false">IF(N(E673)&gt;0,MAX(AE$1:AE672)+1,"")</f>
        <v/>
      </c>
      <c r="AF673" s="11" t="str">
        <f aca="false">IF(A673="","",IFERROR(LEFT(A673,FIND("-",A673)-1),A673))</f>
        <v/>
      </c>
      <c r="AG673" s="11" t="str">
        <f aca="false">IF(AF673="","",IF(ISNUMBER(--MID(AF673,1,1)),0,IF(ISNUMBER(--MID(AF673,2,1)),1,IF(ISNUMBER(--MID(AF673,3,1)),2,IF(ISNUMBER(--MID(AF673,4,1)),3,MIN(LEN(AF673),4))))))</f>
        <v/>
      </c>
      <c r="AH673" s="11" t="str">
        <f aca="false">IF(A673="","",LEFT(AF673,AG673)&amp;REPT("0",4-AG673)&amp;RIGHT("000"&amp;IFERROR(VALUE(MID(AF673,AG673+1,9)),0),3)&amp;RIGHT("0000"&amp;IFERROR(VALUE(MID(A673,FIND("-",A673)+1,9)),0),4))</f>
        <v/>
      </c>
      <c r="AI673" s="11" t="str">
        <f aca="false">IF(OR(A673="",N(E673)&lt;=0),"",IF('FALTAS GERAL'!$M$1="Código","K"&amp;AH673&amp;RIGHT("00000"&amp;ROW(),5),IF('FALTAS GERAL'!$M$1="Nome","K"&amp;UPPER(SUBSTITUTE(SUBSTITUTE(SUBSTITUTE(B673,"*",""),"?",""),"~",""))&amp;"0"&amp;AH673&amp;RIGHT("00000"&amp;ROW(),5),IF('FALTAS GERAL'!$M$1="Falta (maior primeiro)","K"&amp;RIGHT("0000"&amp;(9999-E673),4)&amp;AH673&amp;RIGHT("00000"&amp;ROW(),5),IF('FALTAS GERAL'!$M$1="Nº de decks (maior primeiro)","K"&amp;RIGHT("00"&amp;(99-N(G673)),2)&amp;AH673&amp;RIGHT("00000"&amp;ROW(),5),"K"&amp;RIGHT("00000"&amp;ROW(),5))))))</f>
        <v/>
      </c>
      <c r="AJ673" s="11" t="str">
        <f aca="false">IF(AI673="","",COUNTIFS($AI$2:$AI$801,"&lt;"&amp;AI673,$E$2:$E$801,"&gt;0")+1)</f>
        <v/>
      </c>
      <c r="AK673" s="11" t="str">
        <f aca="false">IF(OR(A673="",N(E673)&lt;=0),"",COUNTIFS($AH$2:$AH$801,"&lt;"&amp;AH673,$E$2:$E$801,"&gt;0")+COUNTIFS($AH$2:AH673,AH673,$E$2:E673,"&gt;0"))</f>
        <v/>
      </c>
    </row>
    <row r="674" customFormat="false" ht="15" hidden="false" customHeight="false" outlineLevel="0" collapsed="false">
      <c r="A674" s="11" t="str">
        <f aca="false">IF(INVENTÁRIO!A674="","",INVENTÁRIO!A674)</f>
        <v/>
      </c>
      <c r="B674" s="11" t="str">
        <f aca="false">IF(A674="","",INVENTÁRIO!B674)</f>
        <v/>
      </c>
      <c r="C674" s="16" t="str">
        <f aca="false">IF(A674="","",INVENTÁRIO!C674)</f>
        <v/>
      </c>
      <c r="D674" s="14" t="str">
        <f aca="false">IF(A674="","",MAX(K674:AD674))</f>
        <v/>
      </c>
      <c r="E674" s="14" t="str">
        <f aca="false">IF(A674="","",MAX(0,D674-C674))</f>
        <v/>
      </c>
      <c r="F674" s="16" t="str">
        <f aca="false">IF(A674="","",IF(D674=0,"Fora dos decks",IF(E674=0,"Completo","Falta")))</f>
        <v/>
      </c>
      <c r="G674" s="16" t="str">
        <f aca="false">IF(A674="","",COUNTIF(K674:AD674,"&gt;0"))</f>
        <v/>
      </c>
      <c r="H674" s="16" t="str">
        <f aca="false">IF(A674="","",IF(G674&gt;1,"Sim",""))</f>
        <v/>
      </c>
      <c r="I674" s="18" t="str">
        <f aca="false">IF(A674="","",SUMIFS(DECKS!$D$2:$D$1201,DECKS!$B$2:$B$1201,A674))</f>
        <v/>
      </c>
      <c r="J674" s="18" t="str">
        <f aca="false">IF(A674="","",MAX(0,I674-C674))</f>
        <v/>
      </c>
      <c r="K674" s="19" t="str">
        <f aca="false">IF(OR($A674="",INDEX(_LEITURA!$Q$2:$Q$21,1)=0),"",SUMIFS(DECKS!$D$2:$D$1201,DECKS!$A$2:$A$1201,INDEX(_LEITURA!$P$2:$P$21,1),DECKS!$B$2:$B$1201,$A674))</f>
        <v/>
      </c>
      <c r="L674" s="19" t="str">
        <f aca="false">IF(OR($A674="",INDEX(_LEITURA!$Q$2:$Q$21,2)=0),"",SUMIFS(DECKS!$D$2:$D$1201,DECKS!$A$2:$A$1201,INDEX(_LEITURA!$P$2:$P$21,2),DECKS!$B$2:$B$1201,$A674))</f>
        <v/>
      </c>
      <c r="M674" s="19" t="str">
        <f aca="false">IF(OR($A674="",INDEX(_LEITURA!$Q$2:$Q$21,3)=0),"",SUMIFS(DECKS!$D$2:$D$1201,DECKS!$A$2:$A$1201,INDEX(_LEITURA!$P$2:$P$21,3),DECKS!$B$2:$B$1201,$A674))</f>
        <v/>
      </c>
      <c r="N674" s="19" t="str">
        <f aca="false">IF(OR($A674="",INDEX(_LEITURA!$Q$2:$Q$21,4)=0),"",SUMIFS(DECKS!$D$2:$D$1201,DECKS!$A$2:$A$1201,INDEX(_LEITURA!$P$2:$P$21,4),DECKS!$B$2:$B$1201,$A674))</f>
        <v/>
      </c>
      <c r="O674" s="19" t="str">
        <f aca="false">IF(OR($A674="",INDEX(_LEITURA!$Q$2:$Q$21,5)=0),"",SUMIFS(DECKS!$D$2:$D$1201,DECKS!$A$2:$A$1201,INDEX(_LEITURA!$P$2:$P$21,5),DECKS!$B$2:$B$1201,$A674))</f>
        <v/>
      </c>
      <c r="P674" s="19" t="str">
        <f aca="false">IF(OR($A674="",INDEX(_LEITURA!$Q$2:$Q$21,6)=0),"",SUMIFS(DECKS!$D$2:$D$1201,DECKS!$A$2:$A$1201,INDEX(_LEITURA!$P$2:$P$21,6),DECKS!$B$2:$B$1201,$A674))</f>
        <v/>
      </c>
      <c r="Q674" s="19" t="str">
        <f aca="false">IF(OR($A674="",INDEX(_LEITURA!$Q$2:$Q$21,7)=0),"",SUMIFS(DECKS!$D$2:$D$1201,DECKS!$A$2:$A$1201,INDEX(_LEITURA!$P$2:$P$21,7),DECKS!$B$2:$B$1201,$A674))</f>
        <v/>
      </c>
      <c r="R674" s="19" t="str">
        <f aca="false">IF(OR($A674="",INDEX(_LEITURA!$Q$2:$Q$21,8)=0),"",SUMIFS(DECKS!$D$2:$D$1201,DECKS!$A$2:$A$1201,INDEX(_LEITURA!$P$2:$P$21,8),DECKS!$B$2:$B$1201,$A674))</f>
        <v/>
      </c>
      <c r="S674" s="19" t="str">
        <f aca="false">IF(OR($A674="",INDEX(_LEITURA!$Q$2:$Q$21,9)=0),"",SUMIFS(DECKS!$D$2:$D$1201,DECKS!$A$2:$A$1201,INDEX(_LEITURA!$P$2:$P$21,9),DECKS!$B$2:$B$1201,$A674))</f>
        <v/>
      </c>
      <c r="T674" s="19" t="str">
        <f aca="false">IF(OR($A674="",INDEX(_LEITURA!$Q$2:$Q$21,10)=0),"",SUMIFS(DECKS!$D$2:$D$1201,DECKS!$A$2:$A$1201,INDEX(_LEITURA!$P$2:$P$21,10),DECKS!$B$2:$B$1201,$A674))</f>
        <v/>
      </c>
      <c r="U674" s="19" t="str">
        <f aca="false">IF(OR($A674="",INDEX(_LEITURA!$Q$2:$Q$21,11)=0),"",SUMIFS(DECKS!$D$2:$D$1201,DECKS!$A$2:$A$1201,INDEX(_LEITURA!$P$2:$P$21,11),DECKS!$B$2:$B$1201,$A674))</f>
        <v/>
      </c>
      <c r="V674" s="19" t="str">
        <f aca="false">IF(OR($A674="",INDEX(_LEITURA!$Q$2:$Q$21,12)=0),"",SUMIFS(DECKS!$D$2:$D$1201,DECKS!$A$2:$A$1201,INDEX(_LEITURA!$P$2:$P$21,12),DECKS!$B$2:$B$1201,$A674))</f>
        <v/>
      </c>
      <c r="W674" s="19" t="str">
        <f aca="false">IF(OR($A674="",INDEX(_LEITURA!$Q$2:$Q$21,13)=0),"",SUMIFS(DECKS!$D$2:$D$1201,DECKS!$A$2:$A$1201,INDEX(_LEITURA!$P$2:$P$21,13),DECKS!$B$2:$B$1201,$A674))</f>
        <v/>
      </c>
      <c r="X674" s="19" t="str">
        <f aca="false">IF(OR($A674="",INDEX(_LEITURA!$Q$2:$Q$21,14)=0),"",SUMIFS(DECKS!$D$2:$D$1201,DECKS!$A$2:$A$1201,INDEX(_LEITURA!$P$2:$P$21,14),DECKS!$B$2:$B$1201,$A674))</f>
        <v/>
      </c>
      <c r="Y674" s="19" t="str">
        <f aca="false">IF(OR($A674="",INDEX(_LEITURA!$Q$2:$Q$21,15)=0),"",SUMIFS(DECKS!$D$2:$D$1201,DECKS!$A$2:$A$1201,INDEX(_LEITURA!$P$2:$P$21,15),DECKS!$B$2:$B$1201,$A674))</f>
        <v/>
      </c>
      <c r="Z674" s="19" t="str">
        <f aca="false">IF(OR($A674="",INDEX(_LEITURA!$Q$2:$Q$21,16)=0),"",SUMIFS(DECKS!$D$2:$D$1201,DECKS!$A$2:$A$1201,INDEX(_LEITURA!$P$2:$P$21,16),DECKS!$B$2:$B$1201,$A674))</f>
        <v/>
      </c>
      <c r="AA674" s="19" t="str">
        <f aca="false">IF(OR($A674="",INDEX(_LEITURA!$Q$2:$Q$21,17)=0),"",SUMIFS(DECKS!$D$2:$D$1201,DECKS!$A$2:$A$1201,INDEX(_LEITURA!$P$2:$P$21,17),DECKS!$B$2:$B$1201,$A674))</f>
        <v/>
      </c>
      <c r="AB674" s="19" t="str">
        <f aca="false">IF(OR($A674="",INDEX(_LEITURA!$Q$2:$Q$21,18)=0),"",SUMIFS(DECKS!$D$2:$D$1201,DECKS!$A$2:$A$1201,INDEX(_LEITURA!$P$2:$P$21,18),DECKS!$B$2:$B$1201,$A674))</f>
        <v/>
      </c>
      <c r="AC674" s="19" t="str">
        <f aca="false">IF(OR($A674="",INDEX(_LEITURA!$Q$2:$Q$21,19)=0),"",SUMIFS(DECKS!$D$2:$D$1201,DECKS!$A$2:$A$1201,INDEX(_LEITURA!$P$2:$P$21,19),DECKS!$B$2:$B$1201,$A674))</f>
        <v/>
      </c>
      <c r="AD674" s="19" t="str">
        <f aca="false">IF(OR($A674="",INDEX(_LEITURA!$Q$2:$Q$21,20)=0),"",SUMIFS(DECKS!$D$2:$D$1201,DECKS!$A$2:$A$1201,INDEX(_LEITURA!$P$2:$P$21,20),DECKS!$B$2:$B$1201,$A674))</f>
        <v/>
      </c>
      <c r="AE674" s="16" t="str">
        <f aca="false">IF(N(E674)&gt;0,MAX(AE$1:AE673)+1,"")</f>
        <v/>
      </c>
      <c r="AF674" s="11" t="str">
        <f aca="false">IF(A674="","",IFERROR(LEFT(A674,FIND("-",A674)-1),A674))</f>
        <v/>
      </c>
      <c r="AG674" s="11" t="str">
        <f aca="false">IF(AF674="","",IF(ISNUMBER(--MID(AF674,1,1)),0,IF(ISNUMBER(--MID(AF674,2,1)),1,IF(ISNUMBER(--MID(AF674,3,1)),2,IF(ISNUMBER(--MID(AF674,4,1)),3,MIN(LEN(AF674),4))))))</f>
        <v/>
      </c>
      <c r="AH674" s="11" t="str">
        <f aca="false">IF(A674="","",LEFT(AF674,AG674)&amp;REPT("0",4-AG674)&amp;RIGHT("000"&amp;IFERROR(VALUE(MID(AF674,AG674+1,9)),0),3)&amp;RIGHT("0000"&amp;IFERROR(VALUE(MID(A674,FIND("-",A674)+1,9)),0),4))</f>
        <v/>
      </c>
      <c r="AI674" s="11" t="str">
        <f aca="false">IF(OR(A674="",N(E674)&lt;=0),"",IF('FALTAS GERAL'!$M$1="Código","K"&amp;AH674&amp;RIGHT("00000"&amp;ROW(),5),IF('FALTAS GERAL'!$M$1="Nome","K"&amp;UPPER(SUBSTITUTE(SUBSTITUTE(SUBSTITUTE(B674,"*",""),"?",""),"~",""))&amp;"0"&amp;AH674&amp;RIGHT("00000"&amp;ROW(),5),IF('FALTAS GERAL'!$M$1="Falta (maior primeiro)","K"&amp;RIGHT("0000"&amp;(9999-E674),4)&amp;AH674&amp;RIGHT("00000"&amp;ROW(),5),IF('FALTAS GERAL'!$M$1="Nº de decks (maior primeiro)","K"&amp;RIGHT("00"&amp;(99-N(G674)),2)&amp;AH674&amp;RIGHT("00000"&amp;ROW(),5),"K"&amp;RIGHT("00000"&amp;ROW(),5))))))</f>
        <v/>
      </c>
      <c r="AJ674" s="11" t="str">
        <f aca="false">IF(AI674="","",COUNTIFS($AI$2:$AI$801,"&lt;"&amp;AI674,$E$2:$E$801,"&gt;0")+1)</f>
        <v/>
      </c>
      <c r="AK674" s="11" t="str">
        <f aca="false">IF(OR(A674="",N(E674)&lt;=0),"",COUNTIFS($AH$2:$AH$801,"&lt;"&amp;AH674,$E$2:$E$801,"&gt;0")+COUNTIFS($AH$2:AH674,AH674,$E$2:E674,"&gt;0"))</f>
        <v/>
      </c>
    </row>
    <row r="675" customFormat="false" ht="15" hidden="false" customHeight="false" outlineLevel="0" collapsed="false">
      <c r="A675" s="11" t="str">
        <f aca="false">IF(INVENTÁRIO!A675="","",INVENTÁRIO!A675)</f>
        <v/>
      </c>
      <c r="B675" s="11" t="str">
        <f aca="false">IF(A675="","",INVENTÁRIO!B675)</f>
        <v/>
      </c>
      <c r="C675" s="16" t="str">
        <f aca="false">IF(A675="","",INVENTÁRIO!C675)</f>
        <v/>
      </c>
      <c r="D675" s="14" t="str">
        <f aca="false">IF(A675="","",MAX(K675:AD675))</f>
        <v/>
      </c>
      <c r="E675" s="14" t="str">
        <f aca="false">IF(A675="","",MAX(0,D675-C675))</f>
        <v/>
      </c>
      <c r="F675" s="16" t="str">
        <f aca="false">IF(A675="","",IF(D675=0,"Fora dos decks",IF(E675=0,"Completo","Falta")))</f>
        <v/>
      </c>
      <c r="G675" s="16" t="str">
        <f aca="false">IF(A675="","",COUNTIF(K675:AD675,"&gt;0"))</f>
        <v/>
      </c>
      <c r="H675" s="16" t="str">
        <f aca="false">IF(A675="","",IF(G675&gt;1,"Sim",""))</f>
        <v/>
      </c>
      <c r="I675" s="18" t="str">
        <f aca="false">IF(A675="","",SUMIFS(DECKS!$D$2:$D$1201,DECKS!$B$2:$B$1201,A675))</f>
        <v/>
      </c>
      <c r="J675" s="18" t="str">
        <f aca="false">IF(A675="","",MAX(0,I675-C675))</f>
        <v/>
      </c>
      <c r="K675" s="19" t="str">
        <f aca="false">IF(OR($A675="",INDEX(_LEITURA!$Q$2:$Q$21,1)=0),"",SUMIFS(DECKS!$D$2:$D$1201,DECKS!$A$2:$A$1201,INDEX(_LEITURA!$P$2:$P$21,1),DECKS!$B$2:$B$1201,$A675))</f>
        <v/>
      </c>
      <c r="L675" s="19" t="str">
        <f aca="false">IF(OR($A675="",INDEX(_LEITURA!$Q$2:$Q$21,2)=0),"",SUMIFS(DECKS!$D$2:$D$1201,DECKS!$A$2:$A$1201,INDEX(_LEITURA!$P$2:$P$21,2),DECKS!$B$2:$B$1201,$A675))</f>
        <v/>
      </c>
      <c r="M675" s="19" t="str">
        <f aca="false">IF(OR($A675="",INDEX(_LEITURA!$Q$2:$Q$21,3)=0),"",SUMIFS(DECKS!$D$2:$D$1201,DECKS!$A$2:$A$1201,INDEX(_LEITURA!$P$2:$P$21,3),DECKS!$B$2:$B$1201,$A675))</f>
        <v/>
      </c>
      <c r="N675" s="19" t="str">
        <f aca="false">IF(OR($A675="",INDEX(_LEITURA!$Q$2:$Q$21,4)=0),"",SUMIFS(DECKS!$D$2:$D$1201,DECKS!$A$2:$A$1201,INDEX(_LEITURA!$P$2:$P$21,4),DECKS!$B$2:$B$1201,$A675))</f>
        <v/>
      </c>
      <c r="O675" s="19" t="str">
        <f aca="false">IF(OR($A675="",INDEX(_LEITURA!$Q$2:$Q$21,5)=0),"",SUMIFS(DECKS!$D$2:$D$1201,DECKS!$A$2:$A$1201,INDEX(_LEITURA!$P$2:$P$21,5),DECKS!$B$2:$B$1201,$A675))</f>
        <v/>
      </c>
      <c r="P675" s="19" t="str">
        <f aca="false">IF(OR($A675="",INDEX(_LEITURA!$Q$2:$Q$21,6)=0),"",SUMIFS(DECKS!$D$2:$D$1201,DECKS!$A$2:$A$1201,INDEX(_LEITURA!$P$2:$P$21,6),DECKS!$B$2:$B$1201,$A675))</f>
        <v/>
      </c>
      <c r="Q675" s="19" t="str">
        <f aca="false">IF(OR($A675="",INDEX(_LEITURA!$Q$2:$Q$21,7)=0),"",SUMIFS(DECKS!$D$2:$D$1201,DECKS!$A$2:$A$1201,INDEX(_LEITURA!$P$2:$P$21,7),DECKS!$B$2:$B$1201,$A675))</f>
        <v/>
      </c>
      <c r="R675" s="19" t="str">
        <f aca="false">IF(OR($A675="",INDEX(_LEITURA!$Q$2:$Q$21,8)=0),"",SUMIFS(DECKS!$D$2:$D$1201,DECKS!$A$2:$A$1201,INDEX(_LEITURA!$P$2:$P$21,8),DECKS!$B$2:$B$1201,$A675))</f>
        <v/>
      </c>
      <c r="S675" s="19" t="str">
        <f aca="false">IF(OR($A675="",INDEX(_LEITURA!$Q$2:$Q$21,9)=0),"",SUMIFS(DECKS!$D$2:$D$1201,DECKS!$A$2:$A$1201,INDEX(_LEITURA!$P$2:$P$21,9),DECKS!$B$2:$B$1201,$A675))</f>
        <v/>
      </c>
      <c r="T675" s="19" t="str">
        <f aca="false">IF(OR($A675="",INDEX(_LEITURA!$Q$2:$Q$21,10)=0),"",SUMIFS(DECKS!$D$2:$D$1201,DECKS!$A$2:$A$1201,INDEX(_LEITURA!$P$2:$P$21,10),DECKS!$B$2:$B$1201,$A675))</f>
        <v/>
      </c>
      <c r="U675" s="19" t="str">
        <f aca="false">IF(OR($A675="",INDEX(_LEITURA!$Q$2:$Q$21,11)=0),"",SUMIFS(DECKS!$D$2:$D$1201,DECKS!$A$2:$A$1201,INDEX(_LEITURA!$P$2:$P$21,11),DECKS!$B$2:$B$1201,$A675))</f>
        <v/>
      </c>
      <c r="V675" s="19" t="str">
        <f aca="false">IF(OR($A675="",INDEX(_LEITURA!$Q$2:$Q$21,12)=0),"",SUMIFS(DECKS!$D$2:$D$1201,DECKS!$A$2:$A$1201,INDEX(_LEITURA!$P$2:$P$21,12),DECKS!$B$2:$B$1201,$A675))</f>
        <v/>
      </c>
      <c r="W675" s="19" t="str">
        <f aca="false">IF(OR($A675="",INDEX(_LEITURA!$Q$2:$Q$21,13)=0),"",SUMIFS(DECKS!$D$2:$D$1201,DECKS!$A$2:$A$1201,INDEX(_LEITURA!$P$2:$P$21,13),DECKS!$B$2:$B$1201,$A675))</f>
        <v/>
      </c>
      <c r="X675" s="19" t="str">
        <f aca="false">IF(OR($A675="",INDEX(_LEITURA!$Q$2:$Q$21,14)=0),"",SUMIFS(DECKS!$D$2:$D$1201,DECKS!$A$2:$A$1201,INDEX(_LEITURA!$P$2:$P$21,14),DECKS!$B$2:$B$1201,$A675))</f>
        <v/>
      </c>
      <c r="Y675" s="19" t="str">
        <f aca="false">IF(OR($A675="",INDEX(_LEITURA!$Q$2:$Q$21,15)=0),"",SUMIFS(DECKS!$D$2:$D$1201,DECKS!$A$2:$A$1201,INDEX(_LEITURA!$P$2:$P$21,15),DECKS!$B$2:$B$1201,$A675))</f>
        <v/>
      </c>
      <c r="Z675" s="19" t="str">
        <f aca="false">IF(OR($A675="",INDEX(_LEITURA!$Q$2:$Q$21,16)=0),"",SUMIFS(DECKS!$D$2:$D$1201,DECKS!$A$2:$A$1201,INDEX(_LEITURA!$P$2:$P$21,16),DECKS!$B$2:$B$1201,$A675))</f>
        <v/>
      </c>
      <c r="AA675" s="19" t="str">
        <f aca="false">IF(OR($A675="",INDEX(_LEITURA!$Q$2:$Q$21,17)=0),"",SUMIFS(DECKS!$D$2:$D$1201,DECKS!$A$2:$A$1201,INDEX(_LEITURA!$P$2:$P$21,17),DECKS!$B$2:$B$1201,$A675))</f>
        <v/>
      </c>
      <c r="AB675" s="19" t="str">
        <f aca="false">IF(OR($A675="",INDEX(_LEITURA!$Q$2:$Q$21,18)=0),"",SUMIFS(DECKS!$D$2:$D$1201,DECKS!$A$2:$A$1201,INDEX(_LEITURA!$P$2:$P$21,18),DECKS!$B$2:$B$1201,$A675))</f>
        <v/>
      </c>
      <c r="AC675" s="19" t="str">
        <f aca="false">IF(OR($A675="",INDEX(_LEITURA!$Q$2:$Q$21,19)=0),"",SUMIFS(DECKS!$D$2:$D$1201,DECKS!$A$2:$A$1201,INDEX(_LEITURA!$P$2:$P$21,19),DECKS!$B$2:$B$1201,$A675))</f>
        <v/>
      </c>
      <c r="AD675" s="19" t="str">
        <f aca="false">IF(OR($A675="",INDEX(_LEITURA!$Q$2:$Q$21,20)=0),"",SUMIFS(DECKS!$D$2:$D$1201,DECKS!$A$2:$A$1201,INDEX(_LEITURA!$P$2:$P$21,20),DECKS!$B$2:$B$1201,$A675))</f>
        <v/>
      </c>
      <c r="AE675" s="16" t="str">
        <f aca="false">IF(N(E675)&gt;0,MAX(AE$1:AE674)+1,"")</f>
        <v/>
      </c>
      <c r="AF675" s="11" t="str">
        <f aca="false">IF(A675="","",IFERROR(LEFT(A675,FIND("-",A675)-1),A675))</f>
        <v/>
      </c>
      <c r="AG675" s="11" t="str">
        <f aca="false">IF(AF675="","",IF(ISNUMBER(--MID(AF675,1,1)),0,IF(ISNUMBER(--MID(AF675,2,1)),1,IF(ISNUMBER(--MID(AF675,3,1)),2,IF(ISNUMBER(--MID(AF675,4,1)),3,MIN(LEN(AF675),4))))))</f>
        <v/>
      </c>
      <c r="AH675" s="11" t="str">
        <f aca="false">IF(A675="","",LEFT(AF675,AG675)&amp;REPT("0",4-AG675)&amp;RIGHT("000"&amp;IFERROR(VALUE(MID(AF675,AG675+1,9)),0),3)&amp;RIGHT("0000"&amp;IFERROR(VALUE(MID(A675,FIND("-",A675)+1,9)),0),4))</f>
        <v/>
      </c>
      <c r="AI675" s="11" t="str">
        <f aca="false">IF(OR(A675="",N(E675)&lt;=0),"",IF('FALTAS GERAL'!$M$1="Código","K"&amp;AH675&amp;RIGHT("00000"&amp;ROW(),5),IF('FALTAS GERAL'!$M$1="Nome","K"&amp;UPPER(SUBSTITUTE(SUBSTITUTE(SUBSTITUTE(B675,"*",""),"?",""),"~",""))&amp;"0"&amp;AH675&amp;RIGHT("00000"&amp;ROW(),5),IF('FALTAS GERAL'!$M$1="Falta (maior primeiro)","K"&amp;RIGHT("0000"&amp;(9999-E675),4)&amp;AH675&amp;RIGHT("00000"&amp;ROW(),5),IF('FALTAS GERAL'!$M$1="Nº de decks (maior primeiro)","K"&amp;RIGHT("00"&amp;(99-N(G675)),2)&amp;AH675&amp;RIGHT("00000"&amp;ROW(),5),"K"&amp;RIGHT("00000"&amp;ROW(),5))))))</f>
        <v/>
      </c>
      <c r="AJ675" s="11" t="str">
        <f aca="false">IF(AI675="","",COUNTIFS($AI$2:$AI$801,"&lt;"&amp;AI675,$E$2:$E$801,"&gt;0")+1)</f>
        <v/>
      </c>
      <c r="AK675" s="11" t="str">
        <f aca="false">IF(OR(A675="",N(E675)&lt;=0),"",COUNTIFS($AH$2:$AH$801,"&lt;"&amp;AH675,$E$2:$E$801,"&gt;0")+COUNTIFS($AH$2:AH675,AH675,$E$2:E675,"&gt;0"))</f>
        <v/>
      </c>
    </row>
    <row r="676" customFormat="false" ht="15" hidden="false" customHeight="false" outlineLevel="0" collapsed="false">
      <c r="A676" s="11" t="str">
        <f aca="false">IF(INVENTÁRIO!A676="","",INVENTÁRIO!A676)</f>
        <v/>
      </c>
      <c r="B676" s="11" t="str">
        <f aca="false">IF(A676="","",INVENTÁRIO!B676)</f>
        <v/>
      </c>
      <c r="C676" s="16" t="str">
        <f aca="false">IF(A676="","",INVENTÁRIO!C676)</f>
        <v/>
      </c>
      <c r="D676" s="14" t="str">
        <f aca="false">IF(A676="","",MAX(K676:AD676))</f>
        <v/>
      </c>
      <c r="E676" s="14" t="str">
        <f aca="false">IF(A676="","",MAX(0,D676-C676))</f>
        <v/>
      </c>
      <c r="F676" s="16" t="str">
        <f aca="false">IF(A676="","",IF(D676=0,"Fora dos decks",IF(E676=0,"Completo","Falta")))</f>
        <v/>
      </c>
      <c r="G676" s="16" t="str">
        <f aca="false">IF(A676="","",COUNTIF(K676:AD676,"&gt;0"))</f>
        <v/>
      </c>
      <c r="H676" s="16" t="str">
        <f aca="false">IF(A676="","",IF(G676&gt;1,"Sim",""))</f>
        <v/>
      </c>
      <c r="I676" s="18" t="str">
        <f aca="false">IF(A676="","",SUMIFS(DECKS!$D$2:$D$1201,DECKS!$B$2:$B$1201,A676))</f>
        <v/>
      </c>
      <c r="J676" s="18" t="str">
        <f aca="false">IF(A676="","",MAX(0,I676-C676))</f>
        <v/>
      </c>
      <c r="K676" s="19" t="str">
        <f aca="false">IF(OR($A676="",INDEX(_LEITURA!$Q$2:$Q$21,1)=0),"",SUMIFS(DECKS!$D$2:$D$1201,DECKS!$A$2:$A$1201,INDEX(_LEITURA!$P$2:$P$21,1),DECKS!$B$2:$B$1201,$A676))</f>
        <v/>
      </c>
      <c r="L676" s="19" t="str">
        <f aca="false">IF(OR($A676="",INDEX(_LEITURA!$Q$2:$Q$21,2)=0),"",SUMIFS(DECKS!$D$2:$D$1201,DECKS!$A$2:$A$1201,INDEX(_LEITURA!$P$2:$P$21,2),DECKS!$B$2:$B$1201,$A676))</f>
        <v/>
      </c>
      <c r="M676" s="19" t="str">
        <f aca="false">IF(OR($A676="",INDEX(_LEITURA!$Q$2:$Q$21,3)=0),"",SUMIFS(DECKS!$D$2:$D$1201,DECKS!$A$2:$A$1201,INDEX(_LEITURA!$P$2:$P$21,3),DECKS!$B$2:$B$1201,$A676))</f>
        <v/>
      </c>
      <c r="N676" s="19" t="str">
        <f aca="false">IF(OR($A676="",INDEX(_LEITURA!$Q$2:$Q$21,4)=0),"",SUMIFS(DECKS!$D$2:$D$1201,DECKS!$A$2:$A$1201,INDEX(_LEITURA!$P$2:$P$21,4),DECKS!$B$2:$B$1201,$A676))</f>
        <v/>
      </c>
      <c r="O676" s="19" t="str">
        <f aca="false">IF(OR($A676="",INDEX(_LEITURA!$Q$2:$Q$21,5)=0),"",SUMIFS(DECKS!$D$2:$D$1201,DECKS!$A$2:$A$1201,INDEX(_LEITURA!$P$2:$P$21,5),DECKS!$B$2:$B$1201,$A676))</f>
        <v/>
      </c>
      <c r="P676" s="19" t="str">
        <f aca="false">IF(OR($A676="",INDEX(_LEITURA!$Q$2:$Q$21,6)=0),"",SUMIFS(DECKS!$D$2:$D$1201,DECKS!$A$2:$A$1201,INDEX(_LEITURA!$P$2:$P$21,6),DECKS!$B$2:$B$1201,$A676))</f>
        <v/>
      </c>
      <c r="Q676" s="19" t="str">
        <f aca="false">IF(OR($A676="",INDEX(_LEITURA!$Q$2:$Q$21,7)=0),"",SUMIFS(DECKS!$D$2:$D$1201,DECKS!$A$2:$A$1201,INDEX(_LEITURA!$P$2:$P$21,7),DECKS!$B$2:$B$1201,$A676))</f>
        <v/>
      </c>
      <c r="R676" s="19" t="str">
        <f aca="false">IF(OR($A676="",INDEX(_LEITURA!$Q$2:$Q$21,8)=0),"",SUMIFS(DECKS!$D$2:$D$1201,DECKS!$A$2:$A$1201,INDEX(_LEITURA!$P$2:$P$21,8),DECKS!$B$2:$B$1201,$A676))</f>
        <v/>
      </c>
      <c r="S676" s="19" t="str">
        <f aca="false">IF(OR($A676="",INDEX(_LEITURA!$Q$2:$Q$21,9)=0),"",SUMIFS(DECKS!$D$2:$D$1201,DECKS!$A$2:$A$1201,INDEX(_LEITURA!$P$2:$P$21,9),DECKS!$B$2:$B$1201,$A676))</f>
        <v/>
      </c>
      <c r="T676" s="19" t="str">
        <f aca="false">IF(OR($A676="",INDEX(_LEITURA!$Q$2:$Q$21,10)=0),"",SUMIFS(DECKS!$D$2:$D$1201,DECKS!$A$2:$A$1201,INDEX(_LEITURA!$P$2:$P$21,10),DECKS!$B$2:$B$1201,$A676))</f>
        <v/>
      </c>
      <c r="U676" s="19" t="str">
        <f aca="false">IF(OR($A676="",INDEX(_LEITURA!$Q$2:$Q$21,11)=0),"",SUMIFS(DECKS!$D$2:$D$1201,DECKS!$A$2:$A$1201,INDEX(_LEITURA!$P$2:$P$21,11),DECKS!$B$2:$B$1201,$A676))</f>
        <v/>
      </c>
      <c r="V676" s="19" t="str">
        <f aca="false">IF(OR($A676="",INDEX(_LEITURA!$Q$2:$Q$21,12)=0),"",SUMIFS(DECKS!$D$2:$D$1201,DECKS!$A$2:$A$1201,INDEX(_LEITURA!$P$2:$P$21,12),DECKS!$B$2:$B$1201,$A676))</f>
        <v/>
      </c>
      <c r="W676" s="19" t="str">
        <f aca="false">IF(OR($A676="",INDEX(_LEITURA!$Q$2:$Q$21,13)=0),"",SUMIFS(DECKS!$D$2:$D$1201,DECKS!$A$2:$A$1201,INDEX(_LEITURA!$P$2:$P$21,13),DECKS!$B$2:$B$1201,$A676))</f>
        <v/>
      </c>
      <c r="X676" s="19" t="str">
        <f aca="false">IF(OR($A676="",INDEX(_LEITURA!$Q$2:$Q$21,14)=0),"",SUMIFS(DECKS!$D$2:$D$1201,DECKS!$A$2:$A$1201,INDEX(_LEITURA!$P$2:$P$21,14),DECKS!$B$2:$B$1201,$A676))</f>
        <v/>
      </c>
      <c r="Y676" s="19" t="str">
        <f aca="false">IF(OR($A676="",INDEX(_LEITURA!$Q$2:$Q$21,15)=0),"",SUMIFS(DECKS!$D$2:$D$1201,DECKS!$A$2:$A$1201,INDEX(_LEITURA!$P$2:$P$21,15),DECKS!$B$2:$B$1201,$A676))</f>
        <v/>
      </c>
      <c r="Z676" s="19" t="str">
        <f aca="false">IF(OR($A676="",INDEX(_LEITURA!$Q$2:$Q$21,16)=0),"",SUMIFS(DECKS!$D$2:$D$1201,DECKS!$A$2:$A$1201,INDEX(_LEITURA!$P$2:$P$21,16),DECKS!$B$2:$B$1201,$A676))</f>
        <v/>
      </c>
      <c r="AA676" s="19" t="str">
        <f aca="false">IF(OR($A676="",INDEX(_LEITURA!$Q$2:$Q$21,17)=0),"",SUMIFS(DECKS!$D$2:$D$1201,DECKS!$A$2:$A$1201,INDEX(_LEITURA!$P$2:$P$21,17),DECKS!$B$2:$B$1201,$A676))</f>
        <v/>
      </c>
      <c r="AB676" s="19" t="str">
        <f aca="false">IF(OR($A676="",INDEX(_LEITURA!$Q$2:$Q$21,18)=0),"",SUMIFS(DECKS!$D$2:$D$1201,DECKS!$A$2:$A$1201,INDEX(_LEITURA!$P$2:$P$21,18),DECKS!$B$2:$B$1201,$A676))</f>
        <v/>
      </c>
      <c r="AC676" s="19" t="str">
        <f aca="false">IF(OR($A676="",INDEX(_LEITURA!$Q$2:$Q$21,19)=0),"",SUMIFS(DECKS!$D$2:$D$1201,DECKS!$A$2:$A$1201,INDEX(_LEITURA!$P$2:$P$21,19),DECKS!$B$2:$B$1201,$A676))</f>
        <v/>
      </c>
      <c r="AD676" s="19" t="str">
        <f aca="false">IF(OR($A676="",INDEX(_LEITURA!$Q$2:$Q$21,20)=0),"",SUMIFS(DECKS!$D$2:$D$1201,DECKS!$A$2:$A$1201,INDEX(_LEITURA!$P$2:$P$21,20),DECKS!$B$2:$B$1201,$A676))</f>
        <v/>
      </c>
      <c r="AE676" s="16" t="str">
        <f aca="false">IF(N(E676)&gt;0,MAX(AE$1:AE675)+1,"")</f>
        <v/>
      </c>
      <c r="AF676" s="11" t="str">
        <f aca="false">IF(A676="","",IFERROR(LEFT(A676,FIND("-",A676)-1),A676))</f>
        <v/>
      </c>
      <c r="AG676" s="11" t="str">
        <f aca="false">IF(AF676="","",IF(ISNUMBER(--MID(AF676,1,1)),0,IF(ISNUMBER(--MID(AF676,2,1)),1,IF(ISNUMBER(--MID(AF676,3,1)),2,IF(ISNUMBER(--MID(AF676,4,1)),3,MIN(LEN(AF676),4))))))</f>
        <v/>
      </c>
      <c r="AH676" s="11" t="str">
        <f aca="false">IF(A676="","",LEFT(AF676,AG676)&amp;REPT("0",4-AG676)&amp;RIGHT("000"&amp;IFERROR(VALUE(MID(AF676,AG676+1,9)),0),3)&amp;RIGHT("0000"&amp;IFERROR(VALUE(MID(A676,FIND("-",A676)+1,9)),0),4))</f>
        <v/>
      </c>
      <c r="AI676" s="11" t="str">
        <f aca="false">IF(OR(A676="",N(E676)&lt;=0),"",IF('FALTAS GERAL'!$M$1="Código","K"&amp;AH676&amp;RIGHT("00000"&amp;ROW(),5),IF('FALTAS GERAL'!$M$1="Nome","K"&amp;UPPER(SUBSTITUTE(SUBSTITUTE(SUBSTITUTE(B676,"*",""),"?",""),"~",""))&amp;"0"&amp;AH676&amp;RIGHT("00000"&amp;ROW(),5),IF('FALTAS GERAL'!$M$1="Falta (maior primeiro)","K"&amp;RIGHT("0000"&amp;(9999-E676),4)&amp;AH676&amp;RIGHT("00000"&amp;ROW(),5),IF('FALTAS GERAL'!$M$1="Nº de decks (maior primeiro)","K"&amp;RIGHT("00"&amp;(99-N(G676)),2)&amp;AH676&amp;RIGHT("00000"&amp;ROW(),5),"K"&amp;RIGHT("00000"&amp;ROW(),5))))))</f>
        <v/>
      </c>
      <c r="AJ676" s="11" t="str">
        <f aca="false">IF(AI676="","",COUNTIFS($AI$2:$AI$801,"&lt;"&amp;AI676,$E$2:$E$801,"&gt;0")+1)</f>
        <v/>
      </c>
      <c r="AK676" s="11" t="str">
        <f aca="false">IF(OR(A676="",N(E676)&lt;=0),"",COUNTIFS($AH$2:$AH$801,"&lt;"&amp;AH676,$E$2:$E$801,"&gt;0")+COUNTIFS($AH$2:AH676,AH676,$E$2:E676,"&gt;0"))</f>
        <v/>
      </c>
    </row>
    <row r="677" customFormat="false" ht="15" hidden="false" customHeight="false" outlineLevel="0" collapsed="false">
      <c r="A677" s="11" t="str">
        <f aca="false">IF(INVENTÁRIO!A677="","",INVENTÁRIO!A677)</f>
        <v/>
      </c>
      <c r="B677" s="11" t="str">
        <f aca="false">IF(A677="","",INVENTÁRIO!B677)</f>
        <v/>
      </c>
      <c r="C677" s="16" t="str">
        <f aca="false">IF(A677="","",INVENTÁRIO!C677)</f>
        <v/>
      </c>
      <c r="D677" s="14" t="str">
        <f aca="false">IF(A677="","",MAX(K677:AD677))</f>
        <v/>
      </c>
      <c r="E677" s="14" t="str">
        <f aca="false">IF(A677="","",MAX(0,D677-C677))</f>
        <v/>
      </c>
      <c r="F677" s="16" t="str">
        <f aca="false">IF(A677="","",IF(D677=0,"Fora dos decks",IF(E677=0,"Completo","Falta")))</f>
        <v/>
      </c>
      <c r="G677" s="16" t="str">
        <f aca="false">IF(A677="","",COUNTIF(K677:AD677,"&gt;0"))</f>
        <v/>
      </c>
      <c r="H677" s="16" t="str">
        <f aca="false">IF(A677="","",IF(G677&gt;1,"Sim",""))</f>
        <v/>
      </c>
      <c r="I677" s="18" t="str">
        <f aca="false">IF(A677="","",SUMIFS(DECKS!$D$2:$D$1201,DECKS!$B$2:$B$1201,A677))</f>
        <v/>
      </c>
      <c r="J677" s="18" t="str">
        <f aca="false">IF(A677="","",MAX(0,I677-C677))</f>
        <v/>
      </c>
      <c r="K677" s="19" t="str">
        <f aca="false">IF(OR($A677="",INDEX(_LEITURA!$Q$2:$Q$21,1)=0),"",SUMIFS(DECKS!$D$2:$D$1201,DECKS!$A$2:$A$1201,INDEX(_LEITURA!$P$2:$P$21,1),DECKS!$B$2:$B$1201,$A677))</f>
        <v/>
      </c>
      <c r="L677" s="19" t="str">
        <f aca="false">IF(OR($A677="",INDEX(_LEITURA!$Q$2:$Q$21,2)=0),"",SUMIFS(DECKS!$D$2:$D$1201,DECKS!$A$2:$A$1201,INDEX(_LEITURA!$P$2:$P$21,2),DECKS!$B$2:$B$1201,$A677))</f>
        <v/>
      </c>
      <c r="M677" s="19" t="str">
        <f aca="false">IF(OR($A677="",INDEX(_LEITURA!$Q$2:$Q$21,3)=0),"",SUMIFS(DECKS!$D$2:$D$1201,DECKS!$A$2:$A$1201,INDEX(_LEITURA!$P$2:$P$21,3),DECKS!$B$2:$B$1201,$A677))</f>
        <v/>
      </c>
      <c r="N677" s="19" t="str">
        <f aca="false">IF(OR($A677="",INDEX(_LEITURA!$Q$2:$Q$21,4)=0),"",SUMIFS(DECKS!$D$2:$D$1201,DECKS!$A$2:$A$1201,INDEX(_LEITURA!$P$2:$P$21,4),DECKS!$B$2:$B$1201,$A677))</f>
        <v/>
      </c>
      <c r="O677" s="19" t="str">
        <f aca="false">IF(OR($A677="",INDEX(_LEITURA!$Q$2:$Q$21,5)=0),"",SUMIFS(DECKS!$D$2:$D$1201,DECKS!$A$2:$A$1201,INDEX(_LEITURA!$P$2:$P$21,5),DECKS!$B$2:$B$1201,$A677))</f>
        <v/>
      </c>
      <c r="P677" s="19" t="str">
        <f aca="false">IF(OR($A677="",INDEX(_LEITURA!$Q$2:$Q$21,6)=0),"",SUMIFS(DECKS!$D$2:$D$1201,DECKS!$A$2:$A$1201,INDEX(_LEITURA!$P$2:$P$21,6),DECKS!$B$2:$B$1201,$A677))</f>
        <v/>
      </c>
      <c r="Q677" s="19" t="str">
        <f aca="false">IF(OR($A677="",INDEX(_LEITURA!$Q$2:$Q$21,7)=0),"",SUMIFS(DECKS!$D$2:$D$1201,DECKS!$A$2:$A$1201,INDEX(_LEITURA!$P$2:$P$21,7),DECKS!$B$2:$B$1201,$A677))</f>
        <v/>
      </c>
      <c r="R677" s="19" t="str">
        <f aca="false">IF(OR($A677="",INDEX(_LEITURA!$Q$2:$Q$21,8)=0),"",SUMIFS(DECKS!$D$2:$D$1201,DECKS!$A$2:$A$1201,INDEX(_LEITURA!$P$2:$P$21,8),DECKS!$B$2:$B$1201,$A677))</f>
        <v/>
      </c>
      <c r="S677" s="19" t="str">
        <f aca="false">IF(OR($A677="",INDEX(_LEITURA!$Q$2:$Q$21,9)=0),"",SUMIFS(DECKS!$D$2:$D$1201,DECKS!$A$2:$A$1201,INDEX(_LEITURA!$P$2:$P$21,9),DECKS!$B$2:$B$1201,$A677))</f>
        <v/>
      </c>
      <c r="T677" s="19" t="str">
        <f aca="false">IF(OR($A677="",INDEX(_LEITURA!$Q$2:$Q$21,10)=0),"",SUMIFS(DECKS!$D$2:$D$1201,DECKS!$A$2:$A$1201,INDEX(_LEITURA!$P$2:$P$21,10),DECKS!$B$2:$B$1201,$A677))</f>
        <v/>
      </c>
      <c r="U677" s="19" t="str">
        <f aca="false">IF(OR($A677="",INDEX(_LEITURA!$Q$2:$Q$21,11)=0),"",SUMIFS(DECKS!$D$2:$D$1201,DECKS!$A$2:$A$1201,INDEX(_LEITURA!$P$2:$P$21,11),DECKS!$B$2:$B$1201,$A677))</f>
        <v/>
      </c>
      <c r="V677" s="19" t="str">
        <f aca="false">IF(OR($A677="",INDEX(_LEITURA!$Q$2:$Q$21,12)=0),"",SUMIFS(DECKS!$D$2:$D$1201,DECKS!$A$2:$A$1201,INDEX(_LEITURA!$P$2:$P$21,12),DECKS!$B$2:$B$1201,$A677))</f>
        <v/>
      </c>
      <c r="W677" s="19" t="str">
        <f aca="false">IF(OR($A677="",INDEX(_LEITURA!$Q$2:$Q$21,13)=0),"",SUMIFS(DECKS!$D$2:$D$1201,DECKS!$A$2:$A$1201,INDEX(_LEITURA!$P$2:$P$21,13),DECKS!$B$2:$B$1201,$A677))</f>
        <v/>
      </c>
      <c r="X677" s="19" t="str">
        <f aca="false">IF(OR($A677="",INDEX(_LEITURA!$Q$2:$Q$21,14)=0),"",SUMIFS(DECKS!$D$2:$D$1201,DECKS!$A$2:$A$1201,INDEX(_LEITURA!$P$2:$P$21,14),DECKS!$B$2:$B$1201,$A677))</f>
        <v/>
      </c>
      <c r="Y677" s="19" t="str">
        <f aca="false">IF(OR($A677="",INDEX(_LEITURA!$Q$2:$Q$21,15)=0),"",SUMIFS(DECKS!$D$2:$D$1201,DECKS!$A$2:$A$1201,INDEX(_LEITURA!$P$2:$P$21,15),DECKS!$B$2:$B$1201,$A677))</f>
        <v/>
      </c>
      <c r="Z677" s="19" t="str">
        <f aca="false">IF(OR($A677="",INDEX(_LEITURA!$Q$2:$Q$21,16)=0),"",SUMIFS(DECKS!$D$2:$D$1201,DECKS!$A$2:$A$1201,INDEX(_LEITURA!$P$2:$P$21,16),DECKS!$B$2:$B$1201,$A677))</f>
        <v/>
      </c>
      <c r="AA677" s="19" t="str">
        <f aca="false">IF(OR($A677="",INDEX(_LEITURA!$Q$2:$Q$21,17)=0),"",SUMIFS(DECKS!$D$2:$D$1201,DECKS!$A$2:$A$1201,INDEX(_LEITURA!$P$2:$P$21,17),DECKS!$B$2:$B$1201,$A677))</f>
        <v/>
      </c>
      <c r="AB677" s="19" t="str">
        <f aca="false">IF(OR($A677="",INDEX(_LEITURA!$Q$2:$Q$21,18)=0),"",SUMIFS(DECKS!$D$2:$D$1201,DECKS!$A$2:$A$1201,INDEX(_LEITURA!$P$2:$P$21,18),DECKS!$B$2:$B$1201,$A677))</f>
        <v/>
      </c>
      <c r="AC677" s="19" t="str">
        <f aca="false">IF(OR($A677="",INDEX(_LEITURA!$Q$2:$Q$21,19)=0),"",SUMIFS(DECKS!$D$2:$D$1201,DECKS!$A$2:$A$1201,INDEX(_LEITURA!$P$2:$P$21,19),DECKS!$B$2:$B$1201,$A677))</f>
        <v/>
      </c>
      <c r="AD677" s="19" t="str">
        <f aca="false">IF(OR($A677="",INDEX(_LEITURA!$Q$2:$Q$21,20)=0),"",SUMIFS(DECKS!$D$2:$D$1201,DECKS!$A$2:$A$1201,INDEX(_LEITURA!$P$2:$P$21,20),DECKS!$B$2:$B$1201,$A677))</f>
        <v/>
      </c>
      <c r="AE677" s="16" t="str">
        <f aca="false">IF(N(E677)&gt;0,MAX(AE$1:AE676)+1,"")</f>
        <v/>
      </c>
      <c r="AF677" s="11" t="str">
        <f aca="false">IF(A677="","",IFERROR(LEFT(A677,FIND("-",A677)-1),A677))</f>
        <v/>
      </c>
      <c r="AG677" s="11" t="str">
        <f aca="false">IF(AF677="","",IF(ISNUMBER(--MID(AF677,1,1)),0,IF(ISNUMBER(--MID(AF677,2,1)),1,IF(ISNUMBER(--MID(AF677,3,1)),2,IF(ISNUMBER(--MID(AF677,4,1)),3,MIN(LEN(AF677),4))))))</f>
        <v/>
      </c>
      <c r="AH677" s="11" t="str">
        <f aca="false">IF(A677="","",LEFT(AF677,AG677)&amp;REPT("0",4-AG677)&amp;RIGHT("000"&amp;IFERROR(VALUE(MID(AF677,AG677+1,9)),0),3)&amp;RIGHT("0000"&amp;IFERROR(VALUE(MID(A677,FIND("-",A677)+1,9)),0),4))</f>
        <v/>
      </c>
      <c r="AI677" s="11" t="str">
        <f aca="false">IF(OR(A677="",N(E677)&lt;=0),"",IF('FALTAS GERAL'!$M$1="Código","K"&amp;AH677&amp;RIGHT("00000"&amp;ROW(),5),IF('FALTAS GERAL'!$M$1="Nome","K"&amp;UPPER(SUBSTITUTE(SUBSTITUTE(SUBSTITUTE(B677,"*",""),"?",""),"~",""))&amp;"0"&amp;AH677&amp;RIGHT("00000"&amp;ROW(),5),IF('FALTAS GERAL'!$M$1="Falta (maior primeiro)","K"&amp;RIGHT("0000"&amp;(9999-E677),4)&amp;AH677&amp;RIGHT("00000"&amp;ROW(),5),IF('FALTAS GERAL'!$M$1="Nº de decks (maior primeiro)","K"&amp;RIGHT("00"&amp;(99-N(G677)),2)&amp;AH677&amp;RIGHT("00000"&amp;ROW(),5),"K"&amp;RIGHT("00000"&amp;ROW(),5))))))</f>
        <v/>
      </c>
      <c r="AJ677" s="11" t="str">
        <f aca="false">IF(AI677="","",COUNTIFS($AI$2:$AI$801,"&lt;"&amp;AI677,$E$2:$E$801,"&gt;0")+1)</f>
        <v/>
      </c>
      <c r="AK677" s="11" t="str">
        <f aca="false">IF(OR(A677="",N(E677)&lt;=0),"",COUNTIFS($AH$2:$AH$801,"&lt;"&amp;AH677,$E$2:$E$801,"&gt;0")+COUNTIFS($AH$2:AH677,AH677,$E$2:E677,"&gt;0"))</f>
        <v/>
      </c>
    </row>
    <row r="678" customFormat="false" ht="15" hidden="false" customHeight="false" outlineLevel="0" collapsed="false">
      <c r="A678" s="11" t="str">
        <f aca="false">IF(INVENTÁRIO!A678="","",INVENTÁRIO!A678)</f>
        <v/>
      </c>
      <c r="B678" s="11" t="str">
        <f aca="false">IF(A678="","",INVENTÁRIO!B678)</f>
        <v/>
      </c>
      <c r="C678" s="16" t="str">
        <f aca="false">IF(A678="","",INVENTÁRIO!C678)</f>
        <v/>
      </c>
      <c r="D678" s="14" t="str">
        <f aca="false">IF(A678="","",MAX(K678:AD678))</f>
        <v/>
      </c>
      <c r="E678" s="14" t="str">
        <f aca="false">IF(A678="","",MAX(0,D678-C678))</f>
        <v/>
      </c>
      <c r="F678" s="16" t="str">
        <f aca="false">IF(A678="","",IF(D678=0,"Fora dos decks",IF(E678=0,"Completo","Falta")))</f>
        <v/>
      </c>
      <c r="G678" s="16" t="str">
        <f aca="false">IF(A678="","",COUNTIF(K678:AD678,"&gt;0"))</f>
        <v/>
      </c>
      <c r="H678" s="16" t="str">
        <f aca="false">IF(A678="","",IF(G678&gt;1,"Sim",""))</f>
        <v/>
      </c>
      <c r="I678" s="18" t="str">
        <f aca="false">IF(A678="","",SUMIFS(DECKS!$D$2:$D$1201,DECKS!$B$2:$B$1201,A678))</f>
        <v/>
      </c>
      <c r="J678" s="18" t="str">
        <f aca="false">IF(A678="","",MAX(0,I678-C678))</f>
        <v/>
      </c>
      <c r="K678" s="19" t="str">
        <f aca="false">IF(OR($A678="",INDEX(_LEITURA!$Q$2:$Q$21,1)=0),"",SUMIFS(DECKS!$D$2:$D$1201,DECKS!$A$2:$A$1201,INDEX(_LEITURA!$P$2:$P$21,1),DECKS!$B$2:$B$1201,$A678))</f>
        <v/>
      </c>
      <c r="L678" s="19" t="str">
        <f aca="false">IF(OR($A678="",INDEX(_LEITURA!$Q$2:$Q$21,2)=0),"",SUMIFS(DECKS!$D$2:$D$1201,DECKS!$A$2:$A$1201,INDEX(_LEITURA!$P$2:$P$21,2),DECKS!$B$2:$B$1201,$A678))</f>
        <v/>
      </c>
      <c r="M678" s="19" t="str">
        <f aca="false">IF(OR($A678="",INDEX(_LEITURA!$Q$2:$Q$21,3)=0),"",SUMIFS(DECKS!$D$2:$D$1201,DECKS!$A$2:$A$1201,INDEX(_LEITURA!$P$2:$P$21,3),DECKS!$B$2:$B$1201,$A678))</f>
        <v/>
      </c>
      <c r="N678" s="19" t="str">
        <f aca="false">IF(OR($A678="",INDEX(_LEITURA!$Q$2:$Q$21,4)=0),"",SUMIFS(DECKS!$D$2:$D$1201,DECKS!$A$2:$A$1201,INDEX(_LEITURA!$P$2:$P$21,4),DECKS!$B$2:$B$1201,$A678))</f>
        <v/>
      </c>
      <c r="O678" s="19" t="str">
        <f aca="false">IF(OR($A678="",INDEX(_LEITURA!$Q$2:$Q$21,5)=0),"",SUMIFS(DECKS!$D$2:$D$1201,DECKS!$A$2:$A$1201,INDEX(_LEITURA!$P$2:$P$21,5),DECKS!$B$2:$B$1201,$A678))</f>
        <v/>
      </c>
      <c r="P678" s="19" t="str">
        <f aca="false">IF(OR($A678="",INDEX(_LEITURA!$Q$2:$Q$21,6)=0),"",SUMIFS(DECKS!$D$2:$D$1201,DECKS!$A$2:$A$1201,INDEX(_LEITURA!$P$2:$P$21,6),DECKS!$B$2:$B$1201,$A678))</f>
        <v/>
      </c>
      <c r="Q678" s="19" t="str">
        <f aca="false">IF(OR($A678="",INDEX(_LEITURA!$Q$2:$Q$21,7)=0),"",SUMIFS(DECKS!$D$2:$D$1201,DECKS!$A$2:$A$1201,INDEX(_LEITURA!$P$2:$P$21,7),DECKS!$B$2:$B$1201,$A678))</f>
        <v/>
      </c>
      <c r="R678" s="19" t="str">
        <f aca="false">IF(OR($A678="",INDEX(_LEITURA!$Q$2:$Q$21,8)=0),"",SUMIFS(DECKS!$D$2:$D$1201,DECKS!$A$2:$A$1201,INDEX(_LEITURA!$P$2:$P$21,8),DECKS!$B$2:$B$1201,$A678))</f>
        <v/>
      </c>
      <c r="S678" s="19" t="str">
        <f aca="false">IF(OR($A678="",INDEX(_LEITURA!$Q$2:$Q$21,9)=0),"",SUMIFS(DECKS!$D$2:$D$1201,DECKS!$A$2:$A$1201,INDEX(_LEITURA!$P$2:$P$21,9),DECKS!$B$2:$B$1201,$A678))</f>
        <v/>
      </c>
      <c r="T678" s="19" t="str">
        <f aca="false">IF(OR($A678="",INDEX(_LEITURA!$Q$2:$Q$21,10)=0),"",SUMIFS(DECKS!$D$2:$D$1201,DECKS!$A$2:$A$1201,INDEX(_LEITURA!$P$2:$P$21,10),DECKS!$B$2:$B$1201,$A678))</f>
        <v/>
      </c>
      <c r="U678" s="19" t="str">
        <f aca="false">IF(OR($A678="",INDEX(_LEITURA!$Q$2:$Q$21,11)=0),"",SUMIFS(DECKS!$D$2:$D$1201,DECKS!$A$2:$A$1201,INDEX(_LEITURA!$P$2:$P$21,11),DECKS!$B$2:$B$1201,$A678))</f>
        <v/>
      </c>
      <c r="V678" s="19" t="str">
        <f aca="false">IF(OR($A678="",INDEX(_LEITURA!$Q$2:$Q$21,12)=0),"",SUMIFS(DECKS!$D$2:$D$1201,DECKS!$A$2:$A$1201,INDEX(_LEITURA!$P$2:$P$21,12),DECKS!$B$2:$B$1201,$A678))</f>
        <v/>
      </c>
      <c r="W678" s="19" t="str">
        <f aca="false">IF(OR($A678="",INDEX(_LEITURA!$Q$2:$Q$21,13)=0),"",SUMIFS(DECKS!$D$2:$D$1201,DECKS!$A$2:$A$1201,INDEX(_LEITURA!$P$2:$P$21,13),DECKS!$B$2:$B$1201,$A678))</f>
        <v/>
      </c>
      <c r="X678" s="19" t="str">
        <f aca="false">IF(OR($A678="",INDEX(_LEITURA!$Q$2:$Q$21,14)=0),"",SUMIFS(DECKS!$D$2:$D$1201,DECKS!$A$2:$A$1201,INDEX(_LEITURA!$P$2:$P$21,14),DECKS!$B$2:$B$1201,$A678))</f>
        <v/>
      </c>
      <c r="Y678" s="19" t="str">
        <f aca="false">IF(OR($A678="",INDEX(_LEITURA!$Q$2:$Q$21,15)=0),"",SUMIFS(DECKS!$D$2:$D$1201,DECKS!$A$2:$A$1201,INDEX(_LEITURA!$P$2:$P$21,15),DECKS!$B$2:$B$1201,$A678))</f>
        <v/>
      </c>
      <c r="Z678" s="19" t="str">
        <f aca="false">IF(OR($A678="",INDEX(_LEITURA!$Q$2:$Q$21,16)=0),"",SUMIFS(DECKS!$D$2:$D$1201,DECKS!$A$2:$A$1201,INDEX(_LEITURA!$P$2:$P$21,16),DECKS!$B$2:$B$1201,$A678))</f>
        <v/>
      </c>
      <c r="AA678" s="19" t="str">
        <f aca="false">IF(OR($A678="",INDEX(_LEITURA!$Q$2:$Q$21,17)=0),"",SUMIFS(DECKS!$D$2:$D$1201,DECKS!$A$2:$A$1201,INDEX(_LEITURA!$P$2:$P$21,17),DECKS!$B$2:$B$1201,$A678))</f>
        <v/>
      </c>
      <c r="AB678" s="19" t="str">
        <f aca="false">IF(OR($A678="",INDEX(_LEITURA!$Q$2:$Q$21,18)=0),"",SUMIFS(DECKS!$D$2:$D$1201,DECKS!$A$2:$A$1201,INDEX(_LEITURA!$P$2:$P$21,18),DECKS!$B$2:$B$1201,$A678))</f>
        <v/>
      </c>
      <c r="AC678" s="19" t="str">
        <f aca="false">IF(OR($A678="",INDEX(_LEITURA!$Q$2:$Q$21,19)=0),"",SUMIFS(DECKS!$D$2:$D$1201,DECKS!$A$2:$A$1201,INDEX(_LEITURA!$P$2:$P$21,19),DECKS!$B$2:$B$1201,$A678))</f>
        <v/>
      </c>
      <c r="AD678" s="19" t="str">
        <f aca="false">IF(OR($A678="",INDEX(_LEITURA!$Q$2:$Q$21,20)=0),"",SUMIFS(DECKS!$D$2:$D$1201,DECKS!$A$2:$A$1201,INDEX(_LEITURA!$P$2:$P$21,20),DECKS!$B$2:$B$1201,$A678))</f>
        <v/>
      </c>
      <c r="AE678" s="16" t="str">
        <f aca="false">IF(N(E678)&gt;0,MAX(AE$1:AE677)+1,"")</f>
        <v/>
      </c>
      <c r="AF678" s="11" t="str">
        <f aca="false">IF(A678="","",IFERROR(LEFT(A678,FIND("-",A678)-1),A678))</f>
        <v/>
      </c>
      <c r="AG678" s="11" t="str">
        <f aca="false">IF(AF678="","",IF(ISNUMBER(--MID(AF678,1,1)),0,IF(ISNUMBER(--MID(AF678,2,1)),1,IF(ISNUMBER(--MID(AF678,3,1)),2,IF(ISNUMBER(--MID(AF678,4,1)),3,MIN(LEN(AF678),4))))))</f>
        <v/>
      </c>
      <c r="AH678" s="11" t="str">
        <f aca="false">IF(A678="","",LEFT(AF678,AG678)&amp;REPT("0",4-AG678)&amp;RIGHT("000"&amp;IFERROR(VALUE(MID(AF678,AG678+1,9)),0),3)&amp;RIGHT("0000"&amp;IFERROR(VALUE(MID(A678,FIND("-",A678)+1,9)),0),4))</f>
        <v/>
      </c>
      <c r="AI678" s="11" t="str">
        <f aca="false">IF(OR(A678="",N(E678)&lt;=0),"",IF('FALTAS GERAL'!$M$1="Código","K"&amp;AH678&amp;RIGHT("00000"&amp;ROW(),5),IF('FALTAS GERAL'!$M$1="Nome","K"&amp;UPPER(SUBSTITUTE(SUBSTITUTE(SUBSTITUTE(B678,"*",""),"?",""),"~",""))&amp;"0"&amp;AH678&amp;RIGHT("00000"&amp;ROW(),5),IF('FALTAS GERAL'!$M$1="Falta (maior primeiro)","K"&amp;RIGHT("0000"&amp;(9999-E678),4)&amp;AH678&amp;RIGHT("00000"&amp;ROW(),5),IF('FALTAS GERAL'!$M$1="Nº de decks (maior primeiro)","K"&amp;RIGHT("00"&amp;(99-N(G678)),2)&amp;AH678&amp;RIGHT("00000"&amp;ROW(),5),"K"&amp;RIGHT("00000"&amp;ROW(),5))))))</f>
        <v/>
      </c>
      <c r="AJ678" s="11" t="str">
        <f aca="false">IF(AI678="","",COUNTIFS($AI$2:$AI$801,"&lt;"&amp;AI678,$E$2:$E$801,"&gt;0")+1)</f>
        <v/>
      </c>
      <c r="AK678" s="11" t="str">
        <f aca="false">IF(OR(A678="",N(E678)&lt;=0),"",COUNTIFS($AH$2:$AH$801,"&lt;"&amp;AH678,$E$2:$E$801,"&gt;0")+COUNTIFS($AH$2:AH678,AH678,$E$2:E678,"&gt;0"))</f>
        <v/>
      </c>
    </row>
    <row r="679" customFormat="false" ht="15" hidden="false" customHeight="false" outlineLevel="0" collapsed="false">
      <c r="A679" s="11" t="str">
        <f aca="false">IF(INVENTÁRIO!A679="","",INVENTÁRIO!A679)</f>
        <v/>
      </c>
      <c r="B679" s="11" t="str">
        <f aca="false">IF(A679="","",INVENTÁRIO!B679)</f>
        <v/>
      </c>
      <c r="C679" s="16" t="str">
        <f aca="false">IF(A679="","",INVENTÁRIO!C679)</f>
        <v/>
      </c>
      <c r="D679" s="14" t="str">
        <f aca="false">IF(A679="","",MAX(K679:AD679))</f>
        <v/>
      </c>
      <c r="E679" s="14" t="str">
        <f aca="false">IF(A679="","",MAX(0,D679-C679))</f>
        <v/>
      </c>
      <c r="F679" s="16" t="str">
        <f aca="false">IF(A679="","",IF(D679=0,"Fora dos decks",IF(E679=0,"Completo","Falta")))</f>
        <v/>
      </c>
      <c r="G679" s="16" t="str">
        <f aca="false">IF(A679="","",COUNTIF(K679:AD679,"&gt;0"))</f>
        <v/>
      </c>
      <c r="H679" s="16" t="str">
        <f aca="false">IF(A679="","",IF(G679&gt;1,"Sim",""))</f>
        <v/>
      </c>
      <c r="I679" s="18" t="str">
        <f aca="false">IF(A679="","",SUMIFS(DECKS!$D$2:$D$1201,DECKS!$B$2:$B$1201,A679))</f>
        <v/>
      </c>
      <c r="J679" s="18" t="str">
        <f aca="false">IF(A679="","",MAX(0,I679-C679))</f>
        <v/>
      </c>
      <c r="K679" s="19" t="str">
        <f aca="false">IF(OR($A679="",INDEX(_LEITURA!$Q$2:$Q$21,1)=0),"",SUMIFS(DECKS!$D$2:$D$1201,DECKS!$A$2:$A$1201,INDEX(_LEITURA!$P$2:$P$21,1),DECKS!$B$2:$B$1201,$A679))</f>
        <v/>
      </c>
      <c r="L679" s="19" t="str">
        <f aca="false">IF(OR($A679="",INDEX(_LEITURA!$Q$2:$Q$21,2)=0),"",SUMIFS(DECKS!$D$2:$D$1201,DECKS!$A$2:$A$1201,INDEX(_LEITURA!$P$2:$P$21,2),DECKS!$B$2:$B$1201,$A679))</f>
        <v/>
      </c>
      <c r="M679" s="19" t="str">
        <f aca="false">IF(OR($A679="",INDEX(_LEITURA!$Q$2:$Q$21,3)=0),"",SUMIFS(DECKS!$D$2:$D$1201,DECKS!$A$2:$A$1201,INDEX(_LEITURA!$P$2:$P$21,3),DECKS!$B$2:$B$1201,$A679))</f>
        <v/>
      </c>
      <c r="N679" s="19" t="str">
        <f aca="false">IF(OR($A679="",INDEX(_LEITURA!$Q$2:$Q$21,4)=0),"",SUMIFS(DECKS!$D$2:$D$1201,DECKS!$A$2:$A$1201,INDEX(_LEITURA!$P$2:$P$21,4),DECKS!$B$2:$B$1201,$A679))</f>
        <v/>
      </c>
      <c r="O679" s="19" t="str">
        <f aca="false">IF(OR($A679="",INDEX(_LEITURA!$Q$2:$Q$21,5)=0),"",SUMIFS(DECKS!$D$2:$D$1201,DECKS!$A$2:$A$1201,INDEX(_LEITURA!$P$2:$P$21,5),DECKS!$B$2:$B$1201,$A679))</f>
        <v/>
      </c>
      <c r="P679" s="19" t="str">
        <f aca="false">IF(OR($A679="",INDEX(_LEITURA!$Q$2:$Q$21,6)=0),"",SUMIFS(DECKS!$D$2:$D$1201,DECKS!$A$2:$A$1201,INDEX(_LEITURA!$P$2:$P$21,6),DECKS!$B$2:$B$1201,$A679))</f>
        <v/>
      </c>
      <c r="Q679" s="19" t="str">
        <f aca="false">IF(OR($A679="",INDEX(_LEITURA!$Q$2:$Q$21,7)=0),"",SUMIFS(DECKS!$D$2:$D$1201,DECKS!$A$2:$A$1201,INDEX(_LEITURA!$P$2:$P$21,7),DECKS!$B$2:$B$1201,$A679))</f>
        <v/>
      </c>
      <c r="R679" s="19" t="str">
        <f aca="false">IF(OR($A679="",INDEX(_LEITURA!$Q$2:$Q$21,8)=0),"",SUMIFS(DECKS!$D$2:$D$1201,DECKS!$A$2:$A$1201,INDEX(_LEITURA!$P$2:$P$21,8),DECKS!$B$2:$B$1201,$A679))</f>
        <v/>
      </c>
      <c r="S679" s="19" t="str">
        <f aca="false">IF(OR($A679="",INDEX(_LEITURA!$Q$2:$Q$21,9)=0),"",SUMIFS(DECKS!$D$2:$D$1201,DECKS!$A$2:$A$1201,INDEX(_LEITURA!$P$2:$P$21,9),DECKS!$B$2:$B$1201,$A679))</f>
        <v/>
      </c>
      <c r="T679" s="19" t="str">
        <f aca="false">IF(OR($A679="",INDEX(_LEITURA!$Q$2:$Q$21,10)=0),"",SUMIFS(DECKS!$D$2:$D$1201,DECKS!$A$2:$A$1201,INDEX(_LEITURA!$P$2:$P$21,10),DECKS!$B$2:$B$1201,$A679))</f>
        <v/>
      </c>
      <c r="U679" s="19" t="str">
        <f aca="false">IF(OR($A679="",INDEX(_LEITURA!$Q$2:$Q$21,11)=0),"",SUMIFS(DECKS!$D$2:$D$1201,DECKS!$A$2:$A$1201,INDEX(_LEITURA!$P$2:$P$21,11),DECKS!$B$2:$B$1201,$A679))</f>
        <v/>
      </c>
      <c r="V679" s="19" t="str">
        <f aca="false">IF(OR($A679="",INDEX(_LEITURA!$Q$2:$Q$21,12)=0),"",SUMIFS(DECKS!$D$2:$D$1201,DECKS!$A$2:$A$1201,INDEX(_LEITURA!$P$2:$P$21,12),DECKS!$B$2:$B$1201,$A679))</f>
        <v/>
      </c>
      <c r="W679" s="19" t="str">
        <f aca="false">IF(OR($A679="",INDEX(_LEITURA!$Q$2:$Q$21,13)=0),"",SUMIFS(DECKS!$D$2:$D$1201,DECKS!$A$2:$A$1201,INDEX(_LEITURA!$P$2:$P$21,13),DECKS!$B$2:$B$1201,$A679))</f>
        <v/>
      </c>
      <c r="X679" s="19" t="str">
        <f aca="false">IF(OR($A679="",INDEX(_LEITURA!$Q$2:$Q$21,14)=0),"",SUMIFS(DECKS!$D$2:$D$1201,DECKS!$A$2:$A$1201,INDEX(_LEITURA!$P$2:$P$21,14),DECKS!$B$2:$B$1201,$A679))</f>
        <v/>
      </c>
      <c r="Y679" s="19" t="str">
        <f aca="false">IF(OR($A679="",INDEX(_LEITURA!$Q$2:$Q$21,15)=0),"",SUMIFS(DECKS!$D$2:$D$1201,DECKS!$A$2:$A$1201,INDEX(_LEITURA!$P$2:$P$21,15),DECKS!$B$2:$B$1201,$A679))</f>
        <v/>
      </c>
      <c r="Z679" s="19" t="str">
        <f aca="false">IF(OR($A679="",INDEX(_LEITURA!$Q$2:$Q$21,16)=0),"",SUMIFS(DECKS!$D$2:$D$1201,DECKS!$A$2:$A$1201,INDEX(_LEITURA!$P$2:$P$21,16),DECKS!$B$2:$B$1201,$A679))</f>
        <v/>
      </c>
      <c r="AA679" s="19" t="str">
        <f aca="false">IF(OR($A679="",INDEX(_LEITURA!$Q$2:$Q$21,17)=0),"",SUMIFS(DECKS!$D$2:$D$1201,DECKS!$A$2:$A$1201,INDEX(_LEITURA!$P$2:$P$21,17),DECKS!$B$2:$B$1201,$A679))</f>
        <v/>
      </c>
      <c r="AB679" s="19" t="str">
        <f aca="false">IF(OR($A679="",INDEX(_LEITURA!$Q$2:$Q$21,18)=0),"",SUMIFS(DECKS!$D$2:$D$1201,DECKS!$A$2:$A$1201,INDEX(_LEITURA!$P$2:$P$21,18),DECKS!$B$2:$B$1201,$A679))</f>
        <v/>
      </c>
      <c r="AC679" s="19" t="str">
        <f aca="false">IF(OR($A679="",INDEX(_LEITURA!$Q$2:$Q$21,19)=0),"",SUMIFS(DECKS!$D$2:$D$1201,DECKS!$A$2:$A$1201,INDEX(_LEITURA!$P$2:$P$21,19),DECKS!$B$2:$B$1201,$A679))</f>
        <v/>
      </c>
      <c r="AD679" s="19" t="str">
        <f aca="false">IF(OR($A679="",INDEX(_LEITURA!$Q$2:$Q$21,20)=0),"",SUMIFS(DECKS!$D$2:$D$1201,DECKS!$A$2:$A$1201,INDEX(_LEITURA!$P$2:$P$21,20),DECKS!$B$2:$B$1201,$A679))</f>
        <v/>
      </c>
      <c r="AE679" s="16" t="str">
        <f aca="false">IF(N(E679)&gt;0,MAX(AE$1:AE678)+1,"")</f>
        <v/>
      </c>
      <c r="AF679" s="11" t="str">
        <f aca="false">IF(A679="","",IFERROR(LEFT(A679,FIND("-",A679)-1),A679))</f>
        <v/>
      </c>
      <c r="AG679" s="11" t="str">
        <f aca="false">IF(AF679="","",IF(ISNUMBER(--MID(AF679,1,1)),0,IF(ISNUMBER(--MID(AF679,2,1)),1,IF(ISNUMBER(--MID(AF679,3,1)),2,IF(ISNUMBER(--MID(AF679,4,1)),3,MIN(LEN(AF679),4))))))</f>
        <v/>
      </c>
      <c r="AH679" s="11" t="str">
        <f aca="false">IF(A679="","",LEFT(AF679,AG679)&amp;REPT("0",4-AG679)&amp;RIGHT("000"&amp;IFERROR(VALUE(MID(AF679,AG679+1,9)),0),3)&amp;RIGHT("0000"&amp;IFERROR(VALUE(MID(A679,FIND("-",A679)+1,9)),0),4))</f>
        <v/>
      </c>
      <c r="AI679" s="11" t="str">
        <f aca="false">IF(OR(A679="",N(E679)&lt;=0),"",IF('FALTAS GERAL'!$M$1="Código","K"&amp;AH679&amp;RIGHT("00000"&amp;ROW(),5),IF('FALTAS GERAL'!$M$1="Nome","K"&amp;UPPER(SUBSTITUTE(SUBSTITUTE(SUBSTITUTE(B679,"*",""),"?",""),"~",""))&amp;"0"&amp;AH679&amp;RIGHT("00000"&amp;ROW(),5),IF('FALTAS GERAL'!$M$1="Falta (maior primeiro)","K"&amp;RIGHT("0000"&amp;(9999-E679),4)&amp;AH679&amp;RIGHT("00000"&amp;ROW(),5),IF('FALTAS GERAL'!$M$1="Nº de decks (maior primeiro)","K"&amp;RIGHT("00"&amp;(99-N(G679)),2)&amp;AH679&amp;RIGHT("00000"&amp;ROW(),5),"K"&amp;RIGHT("00000"&amp;ROW(),5))))))</f>
        <v/>
      </c>
      <c r="AJ679" s="11" t="str">
        <f aca="false">IF(AI679="","",COUNTIFS($AI$2:$AI$801,"&lt;"&amp;AI679,$E$2:$E$801,"&gt;0")+1)</f>
        <v/>
      </c>
      <c r="AK679" s="11" t="str">
        <f aca="false">IF(OR(A679="",N(E679)&lt;=0),"",COUNTIFS($AH$2:$AH$801,"&lt;"&amp;AH679,$E$2:$E$801,"&gt;0")+COUNTIFS($AH$2:AH679,AH679,$E$2:E679,"&gt;0"))</f>
        <v/>
      </c>
    </row>
    <row r="680" customFormat="false" ht="15" hidden="false" customHeight="false" outlineLevel="0" collapsed="false">
      <c r="A680" s="11" t="str">
        <f aca="false">IF(INVENTÁRIO!A680="","",INVENTÁRIO!A680)</f>
        <v/>
      </c>
      <c r="B680" s="11" t="str">
        <f aca="false">IF(A680="","",INVENTÁRIO!B680)</f>
        <v/>
      </c>
      <c r="C680" s="16" t="str">
        <f aca="false">IF(A680="","",INVENTÁRIO!C680)</f>
        <v/>
      </c>
      <c r="D680" s="14" t="str">
        <f aca="false">IF(A680="","",MAX(K680:AD680))</f>
        <v/>
      </c>
      <c r="E680" s="14" t="str">
        <f aca="false">IF(A680="","",MAX(0,D680-C680))</f>
        <v/>
      </c>
      <c r="F680" s="16" t="str">
        <f aca="false">IF(A680="","",IF(D680=0,"Fora dos decks",IF(E680=0,"Completo","Falta")))</f>
        <v/>
      </c>
      <c r="G680" s="16" t="str">
        <f aca="false">IF(A680="","",COUNTIF(K680:AD680,"&gt;0"))</f>
        <v/>
      </c>
      <c r="H680" s="16" t="str">
        <f aca="false">IF(A680="","",IF(G680&gt;1,"Sim",""))</f>
        <v/>
      </c>
      <c r="I680" s="18" t="str">
        <f aca="false">IF(A680="","",SUMIFS(DECKS!$D$2:$D$1201,DECKS!$B$2:$B$1201,A680))</f>
        <v/>
      </c>
      <c r="J680" s="18" t="str">
        <f aca="false">IF(A680="","",MAX(0,I680-C680))</f>
        <v/>
      </c>
      <c r="K680" s="19" t="str">
        <f aca="false">IF(OR($A680="",INDEX(_LEITURA!$Q$2:$Q$21,1)=0),"",SUMIFS(DECKS!$D$2:$D$1201,DECKS!$A$2:$A$1201,INDEX(_LEITURA!$P$2:$P$21,1),DECKS!$B$2:$B$1201,$A680))</f>
        <v/>
      </c>
      <c r="L680" s="19" t="str">
        <f aca="false">IF(OR($A680="",INDEX(_LEITURA!$Q$2:$Q$21,2)=0),"",SUMIFS(DECKS!$D$2:$D$1201,DECKS!$A$2:$A$1201,INDEX(_LEITURA!$P$2:$P$21,2),DECKS!$B$2:$B$1201,$A680))</f>
        <v/>
      </c>
      <c r="M680" s="19" t="str">
        <f aca="false">IF(OR($A680="",INDEX(_LEITURA!$Q$2:$Q$21,3)=0),"",SUMIFS(DECKS!$D$2:$D$1201,DECKS!$A$2:$A$1201,INDEX(_LEITURA!$P$2:$P$21,3),DECKS!$B$2:$B$1201,$A680))</f>
        <v/>
      </c>
      <c r="N680" s="19" t="str">
        <f aca="false">IF(OR($A680="",INDEX(_LEITURA!$Q$2:$Q$21,4)=0),"",SUMIFS(DECKS!$D$2:$D$1201,DECKS!$A$2:$A$1201,INDEX(_LEITURA!$P$2:$P$21,4),DECKS!$B$2:$B$1201,$A680))</f>
        <v/>
      </c>
      <c r="O680" s="19" t="str">
        <f aca="false">IF(OR($A680="",INDEX(_LEITURA!$Q$2:$Q$21,5)=0),"",SUMIFS(DECKS!$D$2:$D$1201,DECKS!$A$2:$A$1201,INDEX(_LEITURA!$P$2:$P$21,5),DECKS!$B$2:$B$1201,$A680))</f>
        <v/>
      </c>
      <c r="P680" s="19" t="str">
        <f aca="false">IF(OR($A680="",INDEX(_LEITURA!$Q$2:$Q$21,6)=0),"",SUMIFS(DECKS!$D$2:$D$1201,DECKS!$A$2:$A$1201,INDEX(_LEITURA!$P$2:$P$21,6),DECKS!$B$2:$B$1201,$A680))</f>
        <v/>
      </c>
      <c r="Q680" s="19" t="str">
        <f aca="false">IF(OR($A680="",INDEX(_LEITURA!$Q$2:$Q$21,7)=0),"",SUMIFS(DECKS!$D$2:$D$1201,DECKS!$A$2:$A$1201,INDEX(_LEITURA!$P$2:$P$21,7),DECKS!$B$2:$B$1201,$A680))</f>
        <v/>
      </c>
      <c r="R680" s="19" t="str">
        <f aca="false">IF(OR($A680="",INDEX(_LEITURA!$Q$2:$Q$21,8)=0),"",SUMIFS(DECKS!$D$2:$D$1201,DECKS!$A$2:$A$1201,INDEX(_LEITURA!$P$2:$P$21,8),DECKS!$B$2:$B$1201,$A680))</f>
        <v/>
      </c>
      <c r="S680" s="19" t="str">
        <f aca="false">IF(OR($A680="",INDEX(_LEITURA!$Q$2:$Q$21,9)=0),"",SUMIFS(DECKS!$D$2:$D$1201,DECKS!$A$2:$A$1201,INDEX(_LEITURA!$P$2:$P$21,9),DECKS!$B$2:$B$1201,$A680))</f>
        <v/>
      </c>
      <c r="T680" s="19" t="str">
        <f aca="false">IF(OR($A680="",INDEX(_LEITURA!$Q$2:$Q$21,10)=0),"",SUMIFS(DECKS!$D$2:$D$1201,DECKS!$A$2:$A$1201,INDEX(_LEITURA!$P$2:$P$21,10),DECKS!$B$2:$B$1201,$A680))</f>
        <v/>
      </c>
      <c r="U680" s="19" t="str">
        <f aca="false">IF(OR($A680="",INDEX(_LEITURA!$Q$2:$Q$21,11)=0),"",SUMIFS(DECKS!$D$2:$D$1201,DECKS!$A$2:$A$1201,INDEX(_LEITURA!$P$2:$P$21,11),DECKS!$B$2:$B$1201,$A680))</f>
        <v/>
      </c>
      <c r="V680" s="19" t="str">
        <f aca="false">IF(OR($A680="",INDEX(_LEITURA!$Q$2:$Q$21,12)=0),"",SUMIFS(DECKS!$D$2:$D$1201,DECKS!$A$2:$A$1201,INDEX(_LEITURA!$P$2:$P$21,12),DECKS!$B$2:$B$1201,$A680))</f>
        <v/>
      </c>
      <c r="W680" s="19" t="str">
        <f aca="false">IF(OR($A680="",INDEX(_LEITURA!$Q$2:$Q$21,13)=0),"",SUMIFS(DECKS!$D$2:$D$1201,DECKS!$A$2:$A$1201,INDEX(_LEITURA!$P$2:$P$21,13),DECKS!$B$2:$B$1201,$A680))</f>
        <v/>
      </c>
      <c r="X680" s="19" t="str">
        <f aca="false">IF(OR($A680="",INDEX(_LEITURA!$Q$2:$Q$21,14)=0),"",SUMIFS(DECKS!$D$2:$D$1201,DECKS!$A$2:$A$1201,INDEX(_LEITURA!$P$2:$P$21,14),DECKS!$B$2:$B$1201,$A680))</f>
        <v/>
      </c>
      <c r="Y680" s="19" t="str">
        <f aca="false">IF(OR($A680="",INDEX(_LEITURA!$Q$2:$Q$21,15)=0),"",SUMIFS(DECKS!$D$2:$D$1201,DECKS!$A$2:$A$1201,INDEX(_LEITURA!$P$2:$P$21,15),DECKS!$B$2:$B$1201,$A680))</f>
        <v/>
      </c>
      <c r="Z680" s="19" t="str">
        <f aca="false">IF(OR($A680="",INDEX(_LEITURA!$Q$2:$Q$21,16)=0),"",SUMIFS(DECKS!$D$2:$D$1201,DECKS!$A$2:$A$1201,INDEX(_LEITURA!$P$2:$P$21,16),DECKS!$B$2:$B$1201,$A680))</f>
        <v/>
      </c>
      <c r="AA680" s="19" t="str">
        <f aca="false">IF(OR($A680="",INDEX(_LEITURA!$Q$2:$Q$21,17)=0),"",SUMIFS(DECKS!$D$2:$D$1201,DECKS!$A$2:$A$1201,INDEX(_LEITURA!$P$2:$P$21,17),DECKS!$B$2:$B$1201,$A680))</f>
        <v/>
      </c>
      <c r="AB680" s="19" t="str">
        <f aca="false">IF(OR($A680="",INDEX(_LEITURA!$Q$2:$Q$21,18)=0),"",SUMIFS(DECKS!$D$2:$D$1201,DECKS!$A$2:$A$1201,INDEX(_LEITURA!$P$2:$P$21,18),DECKS!$B$2:$B$1201,$A680))</f>
        <v/>
      </c>
      <c r="AC680" s="19" t="str">
        <f aca="false">IF(OR($A680="",INDEX(_LEITURA!$Q$2:$Q$21,19)=0),"",SUMIFS(DECKS!$D$2:$D$1201,DECKS!$A$2:$A$1201,INDEX(_LEITURA!$P$2:$P$21,19),DECKS!$B$2:$B$1201,$A680))</f>
        <v/>
      </c>
      <c r="AD680" s="19" t="str">
        <f aca="false">IF(OR($A680="",INDEX(_LEITURA!$Q$2:$Q$21,20)=0),"",SUMIFS(DECKS!$D$2:$D$1201,DECKS!$A$2:$A$1201,INDEX(_LEITURA!$P$2:$P$21,20),DECKS!$B$2:$B$1201,$A680))</f>
        <v/>
      </c>
      <c r="AE680" s="16" t="str">
        <f aca="false">IF(N(E680)&gt;0,MAX(AE$1:AE679)+1,"")</f>
        <v/>
      </c>
      <c r="AF680" s="11" t="str">
        <f aca="false">IF(A680="","",IFERROR(LEFT(A680,FIND("-",A680)-1),A680))</f>
        <v/>
      </c>
      <c r="AG680" s="11" t="str">
        <f aca="false">IF(AF680="","",IF(ISNUMBER(--MID(AF680,1,1)),0,IF(ISNUMBER(--MID(AF680,2,1)),1,IF(ISNUMBER(--MID(AF680,3,1)),2,IF(ISNUMBER(--MID(AF680,4,1)),3,MIN(LEN(AF680),4))))))</f>
        <v/>
      </c>
      <c r="AH680" s="11" t="str">
        <f aca="false">IF(A680="","",LEFT(AF680,AG680)&amp;REPT("0",4-AG680)&amp;RIGHT("000"&amp;IFERROR(VALUE(MID(AF680,AG680+1,9)),0),3)&amp;RIGHT("0000"&amp;IFERROR(VALUE(MID(A680,FIND("-",A680)+1,9)),0),4))</f>
        <v/>
      </c>
      <c r="AI680" s="11" t="str">
        <f aca="false">IF(OR(A680="",N(E680)&lt;=0),"",IF('FALTAS GERAL'!$M$1="Código","K"&amp;AH680&amp;RIGHT("00000"&amp;ROW(),5),IF('FALTAS GERAL'!$M$1="Nome","K"&amp;UPPER(SUBSTITUTE(SUBSTITUTE(SUBSTITUTE(B680,"*",""),"?",""),"~",""))&amp;"0"&amp;AH680&amp;RIGHT("00000"&amp;ROW(),5),IF('FALTAS GERAL'!$M$1="Falta (maior primeiro)","K"&amp;RIGHT("0000"&amp;(9999-E680),4)&amp;AH680&amp;RIGHT("00000"&amp;ROW(),5),IF('FALTAS GERAL'!$M$1="Nº de decks (maior primeiro)","K"&amp;RIGHT("00"&amp;(99-N(G680)),2)&amp;AH680&amp;RIGHT("00000"&amp;ROW(),5),"K"&amp;RIGHT("00000"&amp;ROW(),5))))))</f>
        <v/>
      </c>
      <c r="AJ680" s="11" t="str">
        <f aca="false">IF(AI680="","",COUNTIFS($AI$2:$AI$801,"&lt;"&amp;AI680,$E$2:$E$801,"&gt;0")+1)</f>
        <v/>
      </c>
      <c r="AK680" s="11" t="str">
        <f aca="false">IF(OR(A680="",N(E680)&lt;=0),"",COUNTIFS($AH$2:$AH$801,"&lt;"&amp;AH680,$E$2:$E$801,"&gt;0")+COUNTIFS($AH$2:AH680,AH680,$E$2:E680,"&gt;0"))</f>
        <v/>
      </c>
    </row>
    <row r="681" customFormat="false" ht="15" hidden="false" customHeight="false" outlineLevel="0" collapsed="false">
      <c r="A681" s="11" t="str">
        <f aca="false">IF(INVENTÁRIO!A681="","",INVENTÁRIO!A681)</f>
        <v/>
      </c>
      <c r="B681" s="11" t="str">
        <f aca="false">IF(A681="","",INVENTÁRIO!B681)</f>
        <v/>
      </c>
      <c r="C681" s="16" t="str">
        <f aca="false">IF(A681="","",INVENTÁRIO!C681)</f>
        <v/>
      </c>
      <c r="D681" s="14" t="str">
        <f aca="false">IF(A681="","",MAX(K681:AD681))</f>
        <v/>
      </c>
      <c r="E681" s="14" t="str">
        <f aca="false">IF(A681="","",MAX(0,D681-C681))</f>
        <v/>
      </c>
      <c r="F681" s="16" t="str">
        <f aca="false">IF(A681="","",IF(D681=0,"Fora dos decks",IF(E681=0,"Completo","Falta")))</f>
        <v/>
      </c>
      <c r="G681" s="16" t="str">
        <f aca="false">IF(A681="","",COUNTIF(K681:AD681,"&gt;0"))</f>
        <v/>
      </c>
      <c r="H681" s="16" t="str">
        <f aca="false">IF(A681="","",IF(G681&gt;1,"Sim",""))</f>
        <v/>
      </c>
      <c r="I681" s="18" t="str">
        <f aca="false">IF(A681="","",SUMIFS(DECKS!$D$2:$D$1201,DECKS!$B$2:$B$1201,A681))</f>
        <v/>
      </c>
      <c r="J681" s="18" t="str">
        <f aca="false">IF(A681="","",MAX(0,I681-C681))</f>
        <v/>
      </c>
      <c r="K681" s="19" t="str">
        <f aca="false">IF(OR($A681="",INDEX(_LEITURA!$Q$2:$Q$21,1)=0),"",SUMIFS(DECKS!$D$2:$D$1201,DECKS!$A$2:$A$1201,INDEX(_LEITURA!$P$2:$P$21,1),DECKS!$B$2:$B$1201,$A681))</f>
        <v/>
      </c>
      <c r="L681" s="19" t="str">
        <f aca="false">IF(OR($A681="",INDEX(_LEITURA!$Q$2:$Q$21,2)=0),"",SUMIFS(DECKS!$D$2:$D$1201,DECKS!$A$2:$A$1201,INDEX(_LEITURA!$P$2:$P$21,2),DECKS!$B$2:$B$1201,$A681))</f>
        <v/>
      </c>
      <c r="M681" s="19" t="str">
        <f aca="false">IF(OR($A681="",INDEX(_LEITURA!$Q$2:$Q$21,3)=0),"",SUMIFS(DECKS!$D$2:$D$1201,DECKS!$A$2:$A$1201,INDEX(_LEITURA!$P$2:$P$21,3),DECKS!$B$2:$B$1201,$A681))</f>
        <v/>
      </c>
      <c r="N681" s="19" t="str">
        <f aca="false">IF(OR($A681="",INDEX(_LEITURA!$Q$2:$Q$21,4)=0),"",SUMIFS(DECKS!$D$2:$D$1201,DECKS!$A$2:$A$1201,INDEX(_LEITURA!$P$2:$P$21,4),DECKS!$B$2:$B$1201,$A681))</f>
        <v/>
      </c>
      <c r="O681" s="19" t="str">
        <f aca="false">IF(OR($A681="",INDEX(_LEITURA!$Q$2:$Q$21,5)=0),"",SUMIFS(DECKS!$D$2:$D$1201,DECKS!$A$2:$A$1201,INDEX(_LEITURA!$P$2:$P$21,5),DECKS!$B$2:$B$1201,$A681))</f>
        <v/>
      </c>
      <c r="P681" s="19" t="str">
        <f aca="false">IF(OR($A681="",INDEX(_LEITURA!$Q$2:$Q$21,6)=0),"",SUMIFS(DECKS!$D$2:$D$1201,DECKS!$A$2:$A$1201,INDEX(_LEITURA!$P$2:$P$21,6),DECKS!$B$2:$B$1201,$A681))</f>
        <v/>
      </c>
      <c r="Q681" s="19" t="str">
        <f aca="false">IF(OR($A681="",INDEX(_LEITURA!$Q$2:$Q$21,7)=0),"",SUMIFS(DECKS!$D$2:$D$1201,DECKS!$A$2:$A$1201,INDEX(_LEITURA!$P$2:$P$21,7),DECKS!$B$2:$B$1201,$A681))</f>
        <v/>
      </c>
      <c r="R681" s="19" t="str">
        <f aca="false">IF(OR($A681="",INDEX(_LEITURA!$Q$2:$Q$21,8)=0),"",SUMIFS(DECKS!$D$2:$D$1201,DECKS!$A$2:$A$1201,INDEX(_LEITURA!$P$2:$P$21,8),DECKS!$B$2:$B$1201,$A681))</f>
        <v/>
      </c>
      <c r="S681" s="19" t="str">
        <f aca="false">IF(OR($A681="",INDEX(_LEITURA!$Q$2:$Q$21,9)=0),"",SUMIFS(DECKS!$D$2:$D$1201,DECKS!$A$2:$A$1201,INDEX(_LEITURA!$P$2:$P$21,9),DECKS!$B$2:$B$1201,$A681))</f>
        <v/>
      </c>
      <c r="T681" s="19" t="str">
        <f aca="false">IF(OR($A681="",INDEX(_LEITURA!$Q$2:$Q$21,10)=0),"",SUMIFS(DECKS!$D$2:$D$1201,DECKS!$A$2:$A$1201,INDEX(_LEITURA!$P$2:$P$21,10),DECKS!$B$2:$B$1201,$A681))</f>
        <v/>
      </c>
      <c r="U681" s="19" t="str">
        <f aca="false">IF(OR($A681="",INDEX(_LEITURA!$Q$2:$Q$21,11)=0),"",SUMIFS(DECKS!$D$2:$D$1201,DECKS!$A$2:$A$1201,INDEX(_LEITURA!$P$2:$P$21,11),DECKS!$B$2:$B$1201,$A681))</f>
        <v/>
      </c>
      <c r="V681" s="19" t="str">
        <f aca="false">IF(OR($A681="",INDEX(_LEITURA!$Q$2:$Q$21,12)=0),"",SUMIFS(DECKS!$D$2:$D$1201,DECKS!$A$2:$A$1201,INDEX(_LEITURA!$P$2:$P$21,12),DECKS!$B$2:$B$1201,$A681))</f>
        <v/>
      </c>
      <c r="W681" s="19" t="str">
        <f aca="false">IF(OR($A681="",INDEX(_LEITURA!$Q$2:$Q$21,13)=0),"",SUMIFS(DECKS!$D$2:$D$1201,DECKS!$A$2:$A$1201,INDEX(_LEITURA!$P$2:$P$21,13),DECKS!$B$2:$B$1201,$A681))</f>
        <v/>
      </c>
      <c r="X681" s="19" t="str">
        <f aca="false">IF(OR($A681="",INDEX(_LEITURA!$Q$2:$Q$21,14)=0),"",SUMIFS(DECKS!$D$2:$D$1201,DECKS!$A$2:$A$1201,INDEX(_LEITURA!$P$2:$P$21,14),DECKS!$B$2:$B$1201,$A681))</f>
        <v/>
      </c>
      <c r="Y681" s="19" t="str">
        <f aca="false">IF(OR($A681="",INDEX(_LEITURA!$Q$2:$Q$21,15)=0),"",SUMIFS(DECKS!$D$2:$D$1201,DECKS!$A$2:$A$1201,INDEX(_LEITURA!$P$2:$P$21,15),DECKS!$B$2:$B$1201,$A681))</f>
        <v/>
      </c>
      <c r="Z681" s="19" t="str">
        <f aca="false">IF(OR($A681="",INDEX(_LEITURA!$Q$2:$Q$21,16)=0),"",SUMIFS(DECKS!$D$2:$D$1201,DECKS!$A$2:$A$1201,INDEX(_LEITURA!$P$2:$P$21,16),DECKS!$B$2:$B$1201,$A681))</f>
        <v/>
      </c>
      <c r="AA681" s="19" t="str">
        <f aca="false">IF(OR($A681="",INDEX(_LEITURA!$Q$2:$Q$21,17)=0),"",SUMIFS(DECKS!$D$2:$D$1201,DECKS!$A$2:$A$1201,INDEX(_LEITURA!$P$2:$P$21,17),DECKS!$B$2:$B$1201,$A681))</f>
        <v/>
      </c>
      <c r="AB681" s="19" t="str">
        <f aca="false">IF(OR($A681="",INDEX(_LEITURA!$Q$2:$Q$21,18)=0),"",SUMIFS(DECKS!$D$2:$D$1201,DECKS!$A$2:$A$1201,INDEX(_LEITURA!$P$2:$P$21,18),DECKS!$B$2:$B$1201,$A681))</f>
        <v/>
      </c>
      <c r="AC681" s="19" t="str">
        <f aca="false">IF(OR($A681="",INDEX(_LEITURA!$Q$2:$Q$21,19)=0),"",SUMIFS(DECKS!$D$2:$D$1201,DECKS!$A$2:$A$1201,INDEX(_LEITURA!$P$2:$P$21,19),DECKS!$B$2:$B$1201,$A681))</f>
        <v/>
      </c>
      <c r="AD681" s="19" t="str">
        <f aca="false">IF(OR($A681="",INDEX(_LEITURA!$Q$2:$Q$21,20)=0),"",SUMIFS(DECKS!$D$2:$D$1201,DECKS!$A$2:$A$1201,INDEX(_LEITURA!$P$2:$P$21,20),DECKS!$B$2:$B$1201,$A681))</f>
        <v/>
      </c>
      <c r="AE681" s="16" t="str">
        <f aca="false">IF(N(E681)&gt;0,MAX(AE$1:AE680)+1,"")</f>
        <v/>
      </c>
      <c r="AF681" s="11" t="str">
        <f aca="false">IF(A681="","",IFERROR(LEFT(A681,FIND("-",A681)-1),A681))</f>
        <v/>
      </c>
      <c r="AG681" s="11" t="str">
        <f aca="false">IF(AF681="","",IF(ISNUMBER(--MID(AF681,1,1)),0,IF(ISNUMBER(--MID(AF681,2,1)),1,IF(ISNUMBER(--MID(AF681,3,1)),2,IF(ISNUMBER(--MID(AF681,4,1)),3,MIN(LEN(AF681),4))))))</f>
        <v/>
      </c>
      <c r="AH681" s="11" t="str">
        <f aca="false">IF(A681="","",LEFT(AF681,AG681)&amp;REPT("0",4-AG681)&amp;RIGHT("000"&amp;IFERROR(VALUE(MID(AF681,AG681+1,9)),0),3)&amp;RIGHT("0000"&amp;IFERROR(VALUE(MID(A681,FIND("-",A681)+1,9)),0),4))</f>
        <v/>
      </c>
      <c r="AI681" s="11" t="str">
        <f aca="false">IF(OR(A681="",N(E681)&lt;=0),"",IF('FALTAS GERAL'!$M$1="Código","K"&amp;AH681&amp;RIGHT("00000"&amp;ROW(),5),IF('FALTAS GERAL'!$M$1="Nome","K"&amp;UPPER(SUBSTITUTE(SUBSTITUTE(SUBSTITUTE(B681,"*",""),"?",""),"~",""))&amp;"0"&amp;AH681&amp;RIGHT("00000"&amp;ROW(),5),IF('FALTAS GERAL'!$M$1="Falta (maior primeiro)","K"&amp;RIGHT("0000"&amp;(9999-E681),4)&amp;AH681&amp;RIGHT("00000"&amp;ROW(),5),IF('FALTAS GERAL'!$M$1="Nº de decks (maior primeiro)","K"&amp;RIGHT("00"&amp;(99-N(G681)),2)&amp;AH681&amp;RIGHT("00000"&amp;ROW(),5),"K"&amp;RIGHT("00000"&amp;ROW(),5))))))</f>
        <v/>
      </c>
      <c r="AJ681" s="11" t="str">
        <f aca="false">IF(AI681="","",COUNTIFS($AI$2:$AI$801,"&lt;"&amp;AI681,$E$2:$E$801,"&gt;0")+1)</f>
        <v/>
      </c>
      <c r="AK681" s="11" t="str">
        <f aca="false">IF(OR(A681="",N(E681)&lt;=0),"",COUNTIFS($AH$2:$AH$801,"&lt;"&amp;AH681,$E$2:$E$801,"&gt;0")+COUNTIFS($AH$2:AH681,AH681,$E$2:E681,"&gt;0"))</f>
        <v/>
      </c>
    </row>
    <row r="682" customFormat="false" ht="15" hidden="false" customHeight="false" outlineLevel="0" collapsed="false">
      <c r="A682" s="11" t="str">
        <f aca="false">IF(INVENTÁRIO!A682="","",INVENTÁRIO!A682)</f>
        <v/>
      </c>
      <c r="B682" s="11" t="str">
        <f aca="false">IF(A682="","",INVENTÁRIO!B682)</f>
        <v/>
      </c>
      <c r="C682" s="16" t="str">
        <f aca="false">IF(A682="","",INVENTÁRIO!C682)</f>
        <v/>
      </c>
      <c r="D682" s="14" t="str">
        <f aca="false">IF(A682="","",MAX(K682:AD682))</f>
        <v/>
      </c>
      <c r="E682" s="14" t="str">
        <f aca="false">IF(A682="","",MAX(0,D682-C682))</f>
        <v/>
      </c>
      <c r="F682" s="16" t="str">
        <f aca="false">IF(A682="","",IF(D682=0,"Fora dos decks",IF(E682=0,"Completo","Falta")))</f>
        <v/>
      </c>
      <c r="G682" s="16" t="str">
        <f aca="false">IF(A682="","",COUNTIF(K682:AD682,"&gt;0"))</f>
        <v/>
      </c>
      <c r="H682" s="16" t="str">
        <f aca="false">IF(A682="","",IF(G682&gt;1,"Sim",""))</f>
        <v/>
      </c>
      <c r="I682" s="18" t="str">
        <f aca="false">IF(A682="","",SUMIFS(DECKS!$D$2:$D$1201,DECKS!$B$2:$B$1201,A682))</f>
        <v/>
      </c>
      <c r="J682" s="18" t="str">
        <f aca="false">IF(A682="","",MAX(0,I682-C682))</f>
        <v/>
      </c>
      <c r="K682" s="19" t="str">
        <f aca="false">IF(OR($A682="",INDEX(_LEITURA!$Q$2:$Q$21,1)=0),"",SUMIFS(DECKS!$D$2:$D$1201,DECKS!$A$2:$A$1201,INDEX(_LEITURA!$P$2:$P$21,1),DECKS!$B$2:$B$1201,$A682))</f>
        <v/>
      </c>
      <c r="L682" s="19" t="str">
        <f aca="false">IF(OR($A682="",INDEX(_LEITURA!$Q$2:$Q$21,2)=0),"",SUMIFS(DECKS!$D$2:$D$1201,DECKS!$A$2:$A$1201,INDEX(_LEITURA!$P$2:$P$21,2),DECKS!$B$2:$B$1201,$A682))</f>
        <v/>
      </c>
      <c r="M682" s="19" t="str">
        <f aca="false">IF(OR($A682="",INDEX(_LEITURA!$Q$2:$Q$21,3)=0),"",SUMIFS(DECKS!$D$2:$D$1201,DECKS!$A$2:$A$1201,INDEX(_LEITURA!$P$2:$P$21,3),DECKS!$B$2:$B$1201,$A682))</f>
        <v/>
      </c>
      <c r="N682" s="19" t="str">
        <f aca="false">IF(OR($A682="",INDEX(_LEITURA!$Q$2:$Q$21,4)=0),"",SUMIFS(DECKS!$D$2:$D$1201,DECKS!$A$2:$A$1201,INDEX(_LEITURA!$P$2:$P$21,4),DECKS!$B$2:$B$1201,$A682))</f>
        <v/>
      </c>
      <c r="O682" s="19" t="str">
        <f aca="false">IF(OR($A682="",INDEX(_LEITURA!$Q$2:$Q$21,5)=0),"",SUMIFS(DECKS!$D$2:$D$1201,DECKS!$A$2:$A$1201,INDEX(_LEITURA!$P$2:$P$21,5),DECKS!$B$2:$B$1201,$A682))</f>
        <v/>
      </c>
      <c r="P682" s="19" t="str">
        <f aca="false">IF(OR($A682="",INDEX(_LEITURA!$Q$2:$Q$21,6)=0),"",SUMIFS(DECKS!$D$2:$D$1201,DECKS!$A$2:$A$1201,INDEX(_LEITURA!$P$2:$P$21,6),DECKS!$B$2:$B$1201,$A682))</f>
        <v/>
      </c>
      <c r="Q682" s="19" t="str">
        <f aca="false">IF(OR($A682="",INDEX(_LEITURA!$Q$2:$Q$21,7)=0),"",SUMIFS(DECKS!$D$2:$D$1201,DECKS!$A$2:$A$1201,INDEX(_LEITURA!$P$2:$P$21,7),DECKS!$B$2:$B$1201,$A682))</f>
        <v/>
      </c>
      <c r="R682" s="19" t="str">
        <f aca="false">IF(OR($A682="",INDEX(_LEITURA!$Q$2:$Q$21,8)=0),"",SUMIFS(DECKS!$D$2:$D$1201,DECKS!$A$2:$A$1201,INDEX(_LEITURA!$P$2:$P$21,8),DECKS!$B$2:$B$1201,$A682))</f>
        <v/>
      </c>
      <c r="S682" s="19" t="str">
        <f aca="false">IF(OR($A682="",INDEX(_LEITURA!$Q$2:$Q$21,9)=0),"",SUMIFS(DECKS!$D$2:$D$1201,DECKS!$A$2:$A$1201,INDEX(_LEITURA!$P$2:$P$21,9),DECKS!$B$2:$B$1201,$A682))</f>
        <v/>
      </c>
      <c r="T682" s="19" t="str">
        <f aca="false">IF(OR($A682="",INDEX(_LEITURA!$Q$2:$Q$21,10)=0),"",SUMIFS(DECKS!$D$2:$D$1201,DECKS!$A$2:$A$1201,INDEX(_LEITURA!$P$2:$P$21,10),DECKS!$B$2:$B$1201,$A682))</f>
        <v/>
      </c>
      <c r="U682" s="19" t="str">
        <f aca="false">IF(OR($A682="",INDEX(_LEITURA!$Q$2:$Q$21,11)=0),"",SUMIFS(DECKS!$D$2:$D$1201,DECKS!$A$2:$A$1201,INDEX(_LEITURA!$P$2:$P$21,11),DECKS!$B$2:$B$1201,$A682))</f>
        <v/>
      </c>
      <c r="V682" s="19" t="str">
        <f aca="false">IF(OR($A682="",INDEX(_LEITURA!$Q$2:$Q$21,12)=0),"",SUMIFS(DECKS!$D$2:$D$1201,DECKS!$A$2:$A$1201,INDEX(_LEITURA!$P$2:$P$21,12),DECKS!$B$2:$B$1201,$A682))</f>
        <v/>
      </c>
      <c r="W682" s="19" t="str">
        <f aca="false">IF(OR($A682="",INDEX(_LEITURA!$Q$2:$Q$21,13)=0),"",SUMIFS(DECKS!$D$2:$D$1201,DECKS!$A$2:$A$1201,INDEX(_LEITURA!$P$2:$P$21,13),DECKS!$B$2:$B$1201,$A682))</f>
        <v/>
      </c>
      <c r="X682" s="19" t="str">
        <f aca="false">IF(OR($A682="",INDEX(_LEITURA!$Q$2:$Q$21,14)=0),"",SUMIFS(DECKS!$D$2:$D$1201,DECKS!$A$2:$A$1201,INDEX(_LEITURA!$P$2:$P$21,14),DECKS!$B$2:$B$1201,$A682))</f>
        <v/>
      </c>
      <c r="Y682" s="19" t="str">
        <f aca="false">IF(OR($A682="",INDEX(_LEITURA!$Q$2:$Q$21,15)=0),"",SUMIFS(DECKS!$D$2:$D$1201,DECKS!$A$2:$A$1201,INDEX(_LEITURA!$P$2:$P$21,15),DECKS!$B$2:$B$1201,$A682))</f>
        <v/>
      </c>
      <c r="Z682" s="19" t="str">
        <f aca="false">IF(OR($A682="",INDEX(_LEITURA!$Q$2:$Q$21,16)=0),"",SUMIFS(DECKS!$D$2:$D$1201,DECKS!$A$2:$A$1201,INDEX(_LEITURA!$P$2:$P$21,16),DECKS!$B$2:$B$1201,$A682))</f>
        <v/>
      </c>
      <c r="AA682" s="19" t="str">
        <f aca="false">IF(OR($A682="",INDEX(_LEITURA!$Q$2:$Q$21,17)=0),"",SUMIFS(DECKS!$D$2:$D$1201,DECKS!$A$2:$A$1201,INDEX(_LEITURA!$P$2:$P$21,17),DECKS!$B$2:$B$1201,$A682))</f>
        <v/>
      </c>
      <c r="AB682" s="19" t="str">
        <f aca="false">IF(OR($A682="",INDEX(_LEITURA!$Q$2:$Q$21,18)=0),"",SUMIFS(DECKS!$D$2:$D$1201,DECKS!$A$2:$A$1201,INDEX(_LEITURA!$P$2:$P$21,18),DECKS!$B$2:$B$1201,$A682))</f>
        <v/>
      </c>
      <c r="AC682" s="19" t="str">
        <f aca="false">IF(OR($A682="",INDEX(_LEITURA!$Q$2:$Q$21,19)=0),"",SUMIFS(DECKS!$D$2:$D$1201,DECKS!$A$2:$A$1201,INDEX(_LEITURA!$P$2:$P$21,19),DECKS!$B$2:$B$1201,$A682))</f>
        <v/>
      </c>
      <c r="AD682" s="19" t="str">
        <f aca="false">IF(OR($A682="",INDEX(_LEITURA!$Q$2:$Q$21,20)=0),"",SUMIFS(DECKS!$D$2:$D$1201,DECKS!$A$2:$A$1201,INDEX(_LEITURA!$P$2:$P$21,20),DECKS!$B$2:$B$1201,$A682))</f>
        <v/>
      </c>
      <c r="AE682" s="16" t="str">
        <f aca="false">IF(N(E682)&gt;0,MAX(AE$1:AE681)+1,"")</f>
        <v/>
      </c>
      <c r="AF682" s="11" t="str">
        <f aca="false">IF(A682="","",IFERROR(LEFT(A682,FIND("-",A682)-1),A682))</f>
        <v/>
      </c>
      <c r="AG682" s="11" t="str">
        <f aca="false">IF(AF682="","",IF(ISNUMBER(--MID(AF682,1,1)),0,IF(ISNUMBER(--MID(AF682,2,1)),1,IF(ISNUMBER(--MID(AF682,3,1)),2,IF(ISNUMBER(--MID(AF682,4,1)),3,MIN(LEN(AF682),4))))))</f>
        <v/>
      </c>
      <c r="AH682" s="11" t="str">
        <f aca="false">IF(A682="","",LEFT(AF682,AG682)&amp;REPT("0",4-AG682)&amp;RIGHT("000"&amp;IFERROR(VALUE(MID(AF682,AG682+1,9)),0),3)&amp;RIGHT("0000"&amp;IFERROR(VALUE(MID(A682,FIND("-",A682)+1,9)),0),4))</f>
        <v/>
      </c>
      <c r="AI682" s="11" t="str">
        <f aca="false">IF(OR(A682="",N(E682)&lt;=0),"",IF('FALTAS GERAL'!$M$1="Código","K"&amp;AH682&amp;RIGHT("00000"&amp;ROW(),5),IF('FALTAS GERAL'!$M$1="Nome","K"&amp;UPPER(SUBSTITUTE(SUBSTITUTE(SUBSTITUTE(B682,"*",""),"?",""),"~",""))&amp;"0"&amp;AH682&amp;RIGHT("00000"&amp;ROW(),5),IF('FALTAS GERAL'!$M$1="Falta (maior primeiro)","K"&amp;RIGHT("0000"&amp;(9999-E682),4)&amp;AH682&amp;RIGHT("00000"&amp;ROW(),5),IF('FALTAS GERAL'!$M$1="Nº de decks (maior primeiro)","K"&amp;RIGHT("00"&amp;(99-N(G682)),2)&amp;AH682&amp;RIGHT("00000"&amp;ROW(),5),"K"&amp;RIGHT("00000"&amp;ROW(),5))))))</f>
        <v/>
      </c>
      <c r="AJ682" s="11" t="str">
        <f aca="false">IF(AI682="","",COUNTIFS($AI$2:$AI$801,"&lt;"&amp;AI682,$E$2:$E$801,"&gt;0")+1)</f>
        <v/>
      </c>
      <c r="AK682" s="11" t="str">
        <f aca="false">IF(OR(A682="",N(E682)&lt;=0),"",COUNTIFS($AH$2:$AH$801,"&lt;"&amp;AH682,$E$2:$E$801,"&gt;0")+COUNTIFS($AH$2:AH682,AH682,$E$2:E682,"&gt;0"))</f>
        <v/>
      </c>
    </row>
    <row r="683" customFormat="false" ht="15" hidden="false" customHeight="false" outlineLevel="0" collapsed="false">
      <c r="A683" s="11" t="str">
        <f aca="false">IF(INVENTÁRIO!A683="","",INVENTÁRIO!A683)</f>
        <v/>
      </c>
      <c r="B683" s="11" t="str">
        <f aca="false">IF(A683="","",INVENTÁRIO!B683)</f>
        <v/>
      </c>
      <c r="C683" s="16" t="str">
        <f aca="false">IF(A683="","",INVENTÁRIO!C683)</f>
        <v/>
      </c>
      <c r="D683" s="14" t="str">
        <f aca="false">IF(A683="","",MAX(K683:AD683))</f>
        <v/>
      </c>
      <c r="E683" s="14" t="str">
        <f aca="false">IF(A683="","",MAX(0,D683-C683))</f>
        <v/>
      </c>
      <c r="F683" s="16" t="str">
        <f aca="false">IF(A683="","",IF(D683=0,"Fora dos decks",IF(E683=0,"Completo","Falta")))</f>
        <v/>
      </c>
      <c r="G683" s="16" t="str">
        <f aca="false">IF(A683="","",COUNTIF(K683:AD683,"&gt;0"))</f>
        <v/>
      </c>
      <c r="H683" s="16" t="str">
        <f aca="false">IF(A683="","",IF(G683&gt;1,"Sim",""))</f>
        <v/>
      </c>
      <c r="I683" s="18" t="str">
        <f aca="false">IF(A683="","",SUMIFS(DECKS!$D$2:$D$1201,DECKS!$B$2:$B$1201,A683))</f>
        <v/>
      </c>
      <c r="J683" s="18" t="str">
        <f aca="false">IF(A683="","",MAX(0,I683-C683))</f>
        <v/>
      </c>
      <c r="K683" s="19" t="str">
        <f aca="false">IF(OR($A683="",INDEX(_LEITURA!$Q$2:$Q$21,1)=0),"",SUMIFS(DECKS!$D$2:$D$1201,DECKS!$A$2:$A$1201,INDEX(_LEITURA!$P$2:$P$21,1),DECKS!$B$2:$B$1201,$A683))</f>
        <v/>
      </c>
      <c r="L683" s="19" t="str">
        <f aca="false">IF(OR($A683="",INDEX(_LEITURA!$Q$2:$Q$21,2)=0),"",SUMIFS(DECKS!$D$2:$D$1201,DECKS!$A$2:$A$1201,INDEX(_LEITURA!$P$2:$P$21,2),DECKS!$B$2:$B$1201,$A683))</f>
        <v/>
      </c>
      <c r="M683" s="19" t="str">
        <f aca="false">IF(OR($A683="",INDEX(_LEITURA!$Q$2:$Q$21,3)=0),"",SUMIFS(DECKS!$D$2:$D$1201,DECKS!$A$2:$A$1201,INDEX(_LEITURA!$P$2:$P$21,3),DECKS!$B$2:$B$1201,$A683))</f>
        <v/>
      </c>
      <c r="N683" s="19" t="str">
        <f aca="false">IF(OR($A683="",INDEX(_LEITURA!$Q$2:$Q$21,4)=0),"",SUMIFS(DECKS!$D$2:$D$1201,DECKS!$A$2:$A$1201,INDEX(_LEITURA!$P$2:$P$21,4),DECKS!$B$2:$B$1201,$A683))</f>
        <v/>
      </c>
      <c r="O683" s="19" t="str">
        <f aca="false">IF(OR($A683="",INDEX(_LEITURA!$Q$2:$Q$21,5)=0),"",SUMIFS(DECKS!$D$2:$D$1201,DECKS!$A$2:$A$1201,INDEX(_LEITURA!$P$2:$P$21,5),DECKS!$B$2:$B$1201,$A683))</f>
        <v/>
      </c>
      <c r="P683" s="19" t="str">
        <f aca="false">IF(OR($A683="",INDEX(_LEITURA!$Q$2:$Q$21,6)=0),"",SUMIFS(DECKS!$D$2:$D$1201,DECKS!$A$2:$A$1201,INDEX(_LEITURA!$P$2:$P$21,6),DECKS!$B$2:$B$1201,$A683))</f>
        <v/>
      </c>
      <c r="Q683" s="19" t="str">
        <f aca="false">IF(OR($A683="",INDEX(_LEITURA!$Q$2:$Q$21,7)=0),"",SUMIFS(DECKS!$D$2:$D$1201,DECKS!$A$2:$A$1201,INDEX(_LEITURA!$P$2:$P$21,7),DECKS!$B$2:$B$1201,$A683))</f>
        <v/>
      </c>
      <c r="R683" s="19" t="str">
        <f aca="false">IF(OR($A683="",INDEX(_LEITURA!$Q$2:$Q$21,8)=0),"",SUMIFS(DECKS!$D$2:$D$1201,DECKS!$A$2:$A$1201,INDEX(_LEITURA!$P$2:$P$21,8),DECKS!$B$2:$B$1201,$A683))</f>
        <v/>
      </c>
      <c r="S683" s="19" t="str">
        <f aca="false">IF(OR($A683="",INDEX(_LEITURA!$Q$2:$Q$21,9)=0),"",SUMIFS(DECKS!$D$2:$D$1201,DECKS!$A$2:$A$1201,INDEX(_LEITURA!$P$2:$P$21,9),DECKS!$B$2:$B$1201,$A683))</f>
        <v/>
      </c>
      <c r="T683" s="19" t="str">
        <f aca="false">IF(OR($A683="",INDEX(_LEITURA!$Q$2:$Q$21,10)=0),"",SUMIFS(DECKS!$D$2:$D$1201,DECKS!$A$2:$A$1201,INDEX(_LEITURA!$P$2:$P$21,10),DECKS!$B$2:$B$1201,$A683))</f>
        <v/>
      </c>
      <c r="U683" s="19" t="str">
        <f aca="false">IF(OR($A683="",INDEX(_LEITURA!$Q$2:$Q$21,11)=0),"",SUMIFS(DECKS!$D$2:$D$1201,DECKS!$A$2:$A$1201,INDEX(_LEITURA!$P$2:$P$21,11),DECKS!$B$2:$B$1201,$A683))</f>
        <v/>
      </c>
      <c r="V683" s="19" t="str">
        <f aca="false">IF(OR($A683="",INDEX(_LEITURA!$Q$2:$Q$21,12)=0),"",SUMIFS(DECKS!$D$2:$D$1201,DECKS!$A$2:$A$1201,INDEX(_LEITURA!$P$2:$P$21,12),DECKS!$B$2:$B$1201,$A683))</f>
        <v/>
      </c>
      <c r="W683" s="19" t="str">
        <f aca="false">IF(OR($A683="",INDEX(_LEITURA!$Q$2:$Q$21,13)=0),"",SUMIFS(DECKS!$D$2:$D$1201,DECKS!$A$2:$A$1201,INDEX(_LEITURA!$P$2:$P$21,13),DECKS!$B$2:$B$1201,$A683))</f>
        <v/>
      </c>
      <c r="X683" s="19" t="str">
        <f aca="false">IF(OR($A683="",INDEX(_LEITURA!$Q$2:$Q$21,14)=0),"",SUMIFS(DECKS!$D$2:$D$1201,DECKS!$A$2:$A$1201,INDEX(_LEITURA!$P$2:$P$21,14),DECKS!$B$2:$B$1201,$A683))</f>
        <v/>
      </c>
      <c r="Y683" s="19" t="str">
        <f aca="false">IF(OR($A683="",INDEX(_LEITURA!$Q$2:$Q$21,15)=0),"",SUMIFS(DECKS!$D$2:$D$1201,DECKS!$A$2:$A$1201,INDEX(_LEITURA!$P$2:$P$21,15),DECKS!$B$2:$B$1201,$A683))</f>
        <v/>
      </c>
      <c r="Z683" s="19" t="str">
        <f aca="false">IF(OR($A683="",INDEX(_LEITURA!$Q$2:$Q$21,16)=0),"",SUMIFS(DECKS!$D$2:$D$1201,DECKS!$A$2:$A$1201,INDEX(_LEITURA!$P$2:$P$21,16),DECKS!$B$2:$B$1201,$A683))</f>
        <v/>
      </c>
      <c r="AA683" s="19" t="str">
        <f aca="false">IF(OR($A683="",INDEX(_LEITURA!$Q$2:$Q$21,17)=0),"",SUMIFS(DECKS!$D$2:$D$1201,DECKS!$A$2:$A$1201,INDEX(_LEITURA!$P$2:$P$21,17),DECKS!$B$2:$B$1201,$A683))</f>
        <v/>
      </c>
      <c r="AB683" s="19" t="str">
        <f aca="false">IF(OR($A683="",INDEX(_LEITURA!$Q$2:$Q$21,18)=0),"",SUMIFS(DECKS!$D$2:$D$1201,DECKS!$A$2:$A$1201,INDEX(_LEITURA!$P$2:$P$21,18),DECKS!$B$2:$B$1201,$A683))</f>
        <v/>
      </c>
      <c r="AC683" s="19" t="str">
        <f aca="false">IF(OR($A683="",INDEX(_LEITURA!$Q$2:$Q$21,19)=0),"",SUMIFS(DECKS!$D$2:$D$1201,DECKS!$A$2:$A$1201,INDEX(_LEITURA!$P$2:$P$21,19),DECKS!$B$2:$B$1201,$A683))</f>
        <v/>
      </c>
      <c r="AD683" s="19" t="str">
        <f aca="false">IF(OR($A683="",INDEX(_LEITURA!$Q$2:$Q$21,20)=0),"",SUMIFS(DECKS!$D$2:$D$1201,DECKS!$A$2:$A$1201,INDEX(_LEITURA!$P$2:$P$21,20),DECKS!$B$2:$B$1201,$A683))</f>
        <v/>
      </c>
      <c r="AE683" s="16" t="str">
        <f aca="false">IF(N(E683)&gt;0,MAX(AE$1:AE682)+1,"")</f>
        <v/>
      </c>
      <c r="AF683" s="11" t="str">
        <f aca="false">IF(A683="","",IFERROR(LEFT(A683,FIND("-",A683)-1),A683))</f>
        <v/>
      </c>
      <c r="AG683" s="11" t="str">
        <f aca="false">IF(AF683="","",IF(ISNUMBER(--MID(AF683,1,1)),0,IF(ISNUMBER(--MID(AF683,2,1)),1,IF(ISNUMBER(--MID(AF683,3,1)),2,IF(ISNUMBER(--MID(AF683,4,1)),3,MIN(LEN(AF683),4))))))</f>
        <v/>
      </c>
      <c r="AH683" s="11" t="str">
        <f aca="false">IF(A683="","",LEFT(AF683,AG683)&amp;REPT("0",4-AG683)&amp;RIGHT("000"&amp;IFERROR(VALUE(MID(AF683,AG683+1,9)),0),3)&amp;RIGHT("0000"&amp;IFERROR(VALUE(MID(A683,FIND("-",A683)+1,9)),0),4))</f>
        <v/>
      </c>
      <c r="AI683" s="11" t="str">
        <f aca="false">IF(OR(A683="",N(E683)&lt;=0),"",IF('FALTAS GERAL'!$M$1="Código","K"&amp;AH683&amp;RIGHT("00000"&amp;ROW(),5),IF('FALTAS GERAL'!$M$1="Nome","K"&amp;UPPER(SUBSTITUTE(SUBSTITUTE(SUBSTITUTE(B683,"*",""),"?",""),"~",""))&amp;"0"&amp;AH683&amp;RIGHT("00000"&amp;ROW(),5),IF('FALTAS GERAL'!$M$1="Falta (maior primeiro)","K"&amp;RIGHT("0000"&amp;(9999-E683),4)&amp;AH683&amp;RIGHT("00000"&amp;ROW(),5),IF('FALTAS GERAL'!$M$1="Nº de decks (maior primeiro)","K"&amp;RIGHT("00"&amp;(99-N(G683)),2)&amp;AH683&amp;RIGHT("00000"&amp;ROW(),5),"K"&amp;RIGHT("00000"&amp;ROW(),5))))))</f>
        <v/>
      </c>
      <c r="AJ683" s="11" t="str">
        <f aca="false">IF(AI683="","",COUNTIFS($AI$2:$AI$801,"&lt;"&amp;AI683,$E$2:$E$801,"&gt;0")+1)</f>
        <v/>
      </c>
      <c r="AK683" s="11" t="str">
        <f aca="false">IF(OR(A683="",N(E683)&lt;=0),"",COUNTIFS($AH$2:$AH$801,"&lt;"&amp;AH683,$E$2:$E$801,"&gt;0")+COUNTIFS($AH$2:AH683,AH683,$E$2:E683,"&gt;0"))</f>
        <v/>
      </c>
    </row>
    <row r="684" customFormat="false" ht="15" hidden="false" customHeight="false" outlineLevel="0" collapsed="false">
      <c r="A684" s="11" t="str">
        <f aca="false">IF(INVENTÁRIO!A684="","",INVENTÁRIO!A684)</f>
        <v/>
      </c>
      <c r="B684" s="11" t="str">
        <f aca="false">IF(A684="","",INVENTÁRIO!B684)</f>
        <v/>
      </c>
      <c r="C684" s="16" t="str">
        <f aca="false">IF(A684="","",INVENTÁRIO!C684)</f>
        <v/>
      </c>
      <c r="D684" s="14" t="str">
        <f aca="false">IF(A684="","",MAX(K684:AD684))</f>
        <v/>
      </c>
      <c r="E684" s="14" t="str">
        <f aca="false">IF(A684="","",MAX(0,D684-C684))</f>
        <v/>
      </c>
      <c r="F684" s="16" t="str">
        <f aca="false">IF(A684="","",IF(D684=0,"Fora dos decks",IF(E684=0,"Completo","Falta")))</f>
        <v/>
      </c>
      <c r="G684" s="16" t="str">
        <f aca="false">IF(A684="","",COUNTIF(K684:AD684,"&gt;0"))</f>
        <v/>
      </c>
      <c r="H684" s="16" t="str">
        <f aca="false">IF(A684="","",IF(G684&gt;1,"Sim",""))</f>
        <v/>
      </c>
      <c r="I684" s="18" t="str">
        <f aca="false">IF(A684="","",SUMIFS(DECKS!$D$2:$D$1201,DECKS!$B$2:$B$1201,A684))</f>
        <v/>
      </c>
      <c r="J684" s="18" t="str">
        <f aca="false">IF(A684="","",MAX(0,I684-C684))</f>
        <v/>
      </c>
      <c r="K684" s="19" t="str">
        <f aca="false">IF(OR($A684="",INDEX(_LEITURA!$Q$2:$Q$21,1)=0),"",SUMIFS(DECKS!$D$2:$D$1201,DECKS!$A$2:$A$1201,INDEX(_LEITURA!$P$2:$P$21,1),DECKS!$B$2:$B$1201,$A684))</f>
        <v/>
      </c>
      <c r="L684" s="19" t="str">
        <f aca="false">IF(OR($A684="",INDEX(_LEITURA!$Q$2:$Q$21,2)=0),"",SUMIFS(DECKS!$D$2:$D$1201,DECKS!$A$2:$A$1201,INDEX(_LEITURA!$P$2:$P$21,2),DECKS!$B$2:$B$1201,$A684))</f>
        <v/>
      </c>
      <c r="M684" s="19" t="str">
        <f aca="false">IF(OR($A684="",INDEX(_LEITURA!$Q$2:$Q$21,3)=0),"",SUMIFS(DECKS!$D$2:$D$1201,DECKS!$A$2:$A$1201,INDEX(_LEITURA!$P$2:$P$21,3),DECKS!$B$2:$B$1201,$A684))</f>
        <v/>
      </c>
      <c r="N684" s="19" t="str">
        <f aca="false">IF(OR($A684="",INDEX(_LEITURA!$Q$2:$Q$21,4)=0),"",SUMIFS(DECKS!$D$2:$D$1201,DECKS!$A$2:$A$1201,INDEX(_LEITURA!$P$2:$P$21,4),DECKS!$B$2:$B$1201,$A684))</f>
        <v/>
      </c>
      <c r="O684" s="19" t="str">
        <f aca="false">IF(OR($A684="",INDEX(_LEITURA!$Q$2:$Q$21,5)=0),"",SUMIFS(DECKS!$D$2:$D$1201,DECKS!$A$2:$A$1201,INDEX(_LEITURA!$P$2:$P$21,5),DECKS!$B$2:$B$1201,$A684))</f>
        <v/>
      </c>
      <c r="P684" s="19" t="str">
        <f aca="false">IF(OR($A684="",INDEX(_LEITURA!$Q$2:$Q$21,6)=0),"",SUMIFS(DECKS!$D$2:$D$1201,DECKS!$A$2:$A$1201,INDEX(_LEITURA!$P$2:$P$21,6),DECKS!$B$2:$B$1201,$A684))</f>
        <v/>
      </c>
      <c r="Q684" s="19" t="str">
        <f aca="false">IF(OR($A684="",INDEX(_LEITURA!$Q$2:$Q$21,7)=0),"",SUMIFS(DECKS!$D$2:$D$1201,DECKS!$A$2:$A$1201,INDEX(_LEITURA!$P$2:$P$21,7),DECKS!$B$2:$B$1201,$A684))</f>
        <v/>
      </c>
      <c r="R684" s="19" t="str">
        <f aca="false">IF(OR($A684="",INDEX(_LEITURA!$Q$2:$Q$21,8)=0),"",SUMIFS(DECKS!$D$2:$D$1201,DECKS!$A$2:$A$1201,INDEX(_LEITURA!$P$2:$P$21,8),DECKS!$B$2:$B$1201,$A684))</f>
        <v/>
      </c>
      <c r="S684" s="19" t="str">
        <f aca="false">IF(OR($A684="",INDEX(_LEITURA!$Q$2:$Q$21,9)=0),"",SUMIFS(DECKS!$D$2:$D$1201,DECKS!$A$2:$A$1201,INDEX(_LEITURA!$P$2:$P$21,9),DECKS!$B$2:$B$1201,$A684))</f>
        <v/>
      </c>
      <c r="T684" s="19" t="str">
        <f aca="false">IF(OR($A684="",INDEX(_LEITURA!$Q$2:$Q$21,10)=0),"",SUMIFS(DECKS!$D$2:$D$1201,DECKS!$A$2:$A$1201,INDEX(_LEITURA!$P$2:$P$21,10),DECKS!$B$2:$B$1201,$A684))</f>
        <v/>
      </c>
      <c r="U684" s="19" t="str">
        <f aca="false">IF(OR($A684="",INDEX(_LEITURA!$Q$2:$Q$21,11)=0),"",SUMIFS(DECKS!$D$2:$D$1201,DECKS!$A$2:$A$1201,INDEX(_LEITURA!$P$2:$P$21,11),DECKS!$B$2:$B$1201,$A684))</f>
        <v/>
      </c>
      <c r="V684" s="19" t="str">
        <f aca="false">IF(OR($A684="",INDEX(_LEITURA!$Q$2:$Q$21,12)=0),"",SUMIFS(DECKS!$D$2:$D$1201,DECKS!$A$2:$A$1201,INDEX(_LEITURA!$P$2:$P$21,12),DECKS!$B$2:$B$1201,$A684))</f>
        <v/>
      </c>
      <c r="W684" s="19" t="str">
        <f aca="false">IF(OR($A684="",INDEX(_LEITURA!$Q$2:$Q$21,13)=0),"",SUMIFS(DECKS!$D$2:$D$1201,DECKS!$A$2:$A$1201,INDEX(_LEITURA!$P$2:$P$21,13),DECKS!$B$2:$B$1201,$A684))</f>
        <v/>
      </c>
      <c r="X684" s="19" t="str">
        <f aca="false">IF(OR($A684="",INDEX(_LEITURA!$Q$2:$Q$21,14)=0),"",SUMIFS(DECKS!$D$2:$D$1201,DECKS!$A$2:$A$1201,INDEX(_LEITURA!$P$2:$P$21,14),DECKS!$B$2:$B$1201,$A684))</f>
        <v/>
      </c>
      <c r="Y684" s="19" t="str">
        <f aca="false">IF(OR($A684="",INDEX(_LEITURA!$Q$2:$Q$21,15)=0),"",SUMIFS(DECKS!$D$2:$D$1201,DECKS!$A$2:$A$1201,INDEX(_LEITURA!$P$2:$P$21,15),DECKS!$B$2:$B$1201,$A684))</f>
        <v/>
      </c>
      <c r="Z684" s="19" t="str">
        <f aca="false">IF(OR($A684="",INDEX(_LEITURA!$Q$2:$Q$21,16)=0),"",SUMIFS(DECKS!$D$2:$D$1201,DECKS!$A$2:$A$1201,INDEX(_LEITURA!$P$2:$P$21,16),DECKS!$B$2:$B$1201,$A684))</f>
        <v/>
      </c>
      <c r="AA684" s="19" t="str">
        <f aca="false">IF(OR($A684="",INDEX(_LEITURA!$Q$2:$Q$21,17)=0),"",SUMIFS(DECKS!$D$2:$D$1201,DECKS!$A$2:$A$1201,INDEX(_LEITURA!$P$2:$P$21,17),DECKS!$B$2:$B$1201,$A684))</f>
        <v/>
      </c>
      <c r="AB684" s="19" t="str">
        <f aca="false">IF(OR($A684="",INDEX(_LEITURA!$Q$2:$Q$21,18)=0),"",SUMIFS(DECKS!$D$2:$D$1201,DECKS!$A$2:$A$1201,INDEX(_LEITURA!$P$2:$P$21,18),DECKS!$B$2:$B$1201,$A684))</f>
        <v/>
      </c>
      <c r="AC684" s="19" t="str">
        <f aca="false">IF(OR($A684="",INDEX(_LEITURA!$Q$2:$Q$21,19)=0),"",SUMIFS(DECKS!$D$2:$D$1201,DECKS!$A$2:$A$1201,INDEX(_LEITURA!$P$2:$P$21,19),DECKS!$B$2:$B$1201,$A684))</f>
        <v/>
      </c>
      <c r="AD684" s="19" t="str">
        <f aca="false">IF(OR($A684="",INDEX(_LEITURA!$Q$2:$Q$21,20)=0),"",SUMIFS(DECKS!$D$2:$D$1201,DECKS!$A$2:$A$1201,INDEX(_LEITURA!$P$2:$P$21,20),DECKS!$B$2:$B$1201,$A684))</f>
        <v/>
      </c>
      <c r="AE684" s="16" t="str">
        <f aca="false">IF(N(E684)&gt;0,MAX(AE$1:AE683)+1,"")</f>
        <v/>
      </c>
      <c r="AF684" s="11" t="str">
        <f aca="false">IF(A684="","",IFERROR(LEFT(A684,FIND("-",A684)-1),A684))</f>
        <v/>
      </c>
      <c r="AG684" s="11" t="str">
        <f aca="false">IF(AF684="","",IF(ISNUMBER(--MID(AF684,1,1)),0,IF(ISNUMBER(--MID(AF684,2,1)),1,IF(ISNUMBER(--MID(AF684,3,1)),2,IF(ISNUMBER(--MID(AF684,4,1)),3,MIN(LEN(AF684),4))))))</f>
        <v/>
      </c>
      <c r="AH684" s="11" t="str">
        <f aca="false">IF(A684="","",LEFT(AF684,AG684)&amp;REPT("0",4-AG684)&amp;RIGHT("000"&amp;IFERROR(VALUE(MID(AF684,AG684+1,9)),0),3)&amp;RIGHT("0000"&amp;IFERROR(VALUE(MID(A684,FIND("-",A684)+1,9)),0),4))</f>
        <v/>
      </c>
      <c r="AI684" s="11" t="str">
        <f aca="false">IF(OR(A684="",N(E684)&lt;=0),"",IF('FALTAS GERAL'!$M$1="Código","K"&amp;AH684&amp;RIGHT("00000"&amp;ROW(),5),IF('FALTAS GERAL'!$M$1="Nome","K"&amp;UPPER(SUBSTITUTE(SUBSTITUTE(SUBSTITUTE(B684,"*",""),"?",""),"~",""))&amp;"0"&amp;AH684&amp;RIGHT("00000"&amp;ROW(),5),IF('FALTAS GERAL'!$M$1="Falta (maior primeiro)","K"&amp;RIGHT("0000"&amp;(9999-E684),4)&amp;AH684&amp;RIGHT("00000"&amp;ROW(),5),IF('FALTAS GERAL'!$M$1="Nº de decks (maior primeiro)","K"&amp;RIGHT("00"&amp;(99-N(G684)),2)&amp;AH684&amp;RIGHT("00000"&amp;ROW(),5),"K"&amp;RIGHT("00000"&amp;ROW(),5))))))</f>
        <v/>
      </c>
      <c r="AJ684" s="11" t="str">
        <f aca="false">IF(AI684="","",COUNTIFS($AI$2:$AI$801,"&lt;"&amp;AI684,$E$2:$E$801,"&gt;0")+1)</f>
        <v/>
      </c>
      <c r="AK684" s="11" t="str">
        <f aca="false">IF(OR(A684="",N(E684)&lt;=0),"",COUNTIFS($AH$2:$AH$801,"&lt;"&amp;AH684,$E$2:$E$801,"&gt;0")+COUNTIFS($AH$2:AH684,AH684,$E$2:E684,"&gt;0"))</f>
        <v/>
      </c>
    </row>
    <row r="685" customFormat="false" ht="15" hidden="false" customHeight="false" outlineLevel="0" collapsed="false">
      <c r="A685" s="11" t="str">
        <f aca="false">IF(INVENTÁRIO!A685="","",INVENTÁRIO!A685)</f>
        <v/>
      </c>
      <c r="B685" s="11" t="str">
        <f aca="false">IF(A685="","",INVENTÁRIO!B685)</f>
        <v/>
      </c>
      <c r="C685" s="16" t="str">
        <f aca="false">IF(A685="","",INVENTÁRIO!C685)</f>
        <v/>
      </c>
      <c r="D685" s="14" t="str">
        <f aca="false">IF(A685="","",MAX(K685:AD685))</f>
        <v/>
      </c>
      <c r="E685" s="14" t="str">
        <f aca="false">IF(A685="","",MAX(0,D685-C685))</f>
        <v/>
      </c>
      <c r="F685" s="16" t="str">
        <f aca="false">IF(A685="","",IF(D685=0,"Fora dos decks",IF(E685=0,"Completo","Falta")))</f>
        <v/>
      </c>
      <c r="G685" s="16" t="str">
        <f aca="false">IF(A685="","",COUNTIF(K685:AD685,"&gt;0"))</f>
        <v/>
      </c>
      <c r="H685" s="16" t="str">
        <f aca="false">IF(A685="","",IF(G685&gt;1,"Sim",""))</f>
        <v/>
      </c>
      <c r="I685" s="18" t="str">
        <f aca="false">IF(A685="","",SUMIFS(DECKS!$D$2:$D$1201,DECKS!$B$2:$B$1201,A685))</f>
        <v/>
      </c>
      <c r="J685" s="18" t="str">
        <f aca="false">IF(A685="","",MAX(0,I685-C685))</f>
        <v/>
      </c>
      <c r="K685" s="19" t="str">
        <f aca="false">IF(OR($A685="",INDEX(_LEITURA!$Q$2:$Q$21,1)=0),"",SUMIFS(DECKS!$D$2:$D$1201,DECKS!$A$2:$A$1201,INDEX(_LEITURA!$P$2:$P$21,1),DECKS!$B$2:$B$1201,$A685))</f>
        <v/>
      </c>
      <c r="L685" s="19" t="str">
        <f aca="false">IF(OR($A685="",INDEX(_LEITURA!$Q$2:$Q$21,2)=0),"",SUMIFS(DECKS!$D$2:$D$1201,DECKS!$A$2:$A$1201,INDEX(_LEITURA!$P$2:$P$21,2),DECKS!$B$2:$B$1201,$A685))</f>
        <v/>
      </c>
      <c r="M685" s="19" t="str">
        <f aca="false">IF(OR($A685="",INDEX(_LEITURA!$Q$2:$Q$21,3)=0),"",SUMIFS(DECKS!$D$2:$D$1201,DECKS!$A$2:$A$1201,INDEX(_LEITURA!$P$2:$P$21,3),DECKS!$B$2:$B$1201,$A685))</f>
        <v/>
      </c>
      <c r="N685" s="19" t="str">
        <f aca="false">IF(OR($A685="",INDEX(_LEITURA!$Q$2:$Q$21,4)=0),"",SUMIFS(DECKS!$D$2:$D$1201,DECKS!$A$2:$A$1201,INDEX(_LEITURA!$P$2:$P$21,4),DECKS!$B$2:$B$1201,$A685))</f>
        <v/>
      </c>
      <c r="O685" s="19" t="str">
        <f aca="false">IF(OR($A685="",INDEX(_LEITURA!$Q$2:$Q$21,5)=0),"",SUMIFS(DECKS!$D$2:$D$1201,DECKS!$A$2:$A$1201,INDEX(_LEITURA!$P$2:$P$21,5),DECKS!$B$2:$B$1201,$A685))</f>
        <v/>
      </c>
      <c r="P685" s="19" t="str">
        <f aca="false">IF(OR($A685="",INDEX(_LEITURA!$Q$2:$Q$21,6)=0),"",SUMIFS(DECKS!$D$2:$D$1201,DECKS!$A$2:$A$1201,INDEX(_LEITURA!$P$2:$P$21,6),DECKS!$B$2:$B$1201,$A685))</f>
        <v/>
      </c>
      <c r="Q685" s="19" t="str">
        <f aca="false">IF(OR($A685="",INDEX(_LEITURA!$Q$2:$Q$21,7)=0),"",SUMIFS(DECKS!$D$2:$D$1201,DECKS!$A$2:$A$1201,INDEX(_LEITURA!$P$2:$P$21,7),DECKS!$B$2:$B$1201,$A685))</f>
        <v/>
      </c>
      <c r="R685" s="19" t="str">
        <f aca="false">IF(OR($A685="",INDEX(_LEITURA!$Q$2:$Q$21,8)=0),"",SUMIFS(DECKS!$D$2:$D$1201,DECKS!$A$2:$A$1201,INDEX(_LEITURA!$P$2:$P$21,8),DECKS!$B$2:$B$1201,$A685))</f>
        <v/>
      </c>
      <c r="S685" s="19" t="str">
        <f aca="false">IF(OR($A685="",INDEX(_LEITURA!$Q$2:$Q$21,9)=0),"",SUMIFS(DECKS!$D$2:$D$1201,DECKS!$A$2:$A$1201,INDEX(_LEITURA!$P$2:$P$21,9),DECKS!$B$2:$B$1201,$A685))</f>
        <v/>
      </c>
      <c r="T685" s="19" t="str">
        <f aca="false">IF(OR($A685="",INDEX(_LEITURA!$Q$2:$Q$21,10)=0),"",SUMIFS(DECKS!$D$2:$D$1201,DECKS!$A$2:$A$1201,INDEX(_LEITURA!$P$2:$P$21,10),DECKS!$B$2:$B$1201,$A685))</f>
        <v/>
      </c>
      <c r="U685" s="19" t="str">
        <f aca="false">IF(OR($A685="",INDEX(_LEITURA!$Q$2:$Q$21,11)=0),"",SUMIFS(DECKS!$D$2:$D$1201,DECKS!$A$2:$A$1201,INDEX(_LEITURA!$P$2:$P$21,11),DECKS!$B$2:$B$1201,$A685))</f>
        <v/>
      </c>
      <c r="V685" s="19" t="str">
        <f aca="false">IF(OR($A685="",INDEX(_LEITURA!$Q$2:$Q$21,12)=0),"",SUMIFS(DECKS!$D$2:$D$1201,DECKS!$A$2:$A$1201,INDEX(_LEITURA!$P$2:$P$21,12),DECKS!$B$2:$B$1201,$A685))</f>
        <v/>
      </c>
      <c r="W685" s="19" t="str">
        <f aca="false">IF(OR($A685="",INDEX(_LEITURA!$Q$2:$Q$21,13)=0),"",SUMIFS(DECKS!$D$2:$D$1201,DECKS!$A$2:$A$1201,INDEX(_LEITURA!$P$2:$P$21,13),DECKS!$B$2:$B$1201,$A685))</f>
        <v/>
      </c>
      <c r="X685" s="19" t="str">
        <f aca="false">IF(OR($A685="",INDEX(_LEITURA!$Q$2:$Q$21,14)=0),"",SUMIFS(DECKS!$D$2:$D$1201,DECKS!$A$2:$A$1201,INDEX(_LEITURA!$P$2:$P$21,14),DECKS!$B$2:$B$1201,$A685))</f>
        <v/>
      </c>
      <c r="Y685" s="19" t="str">
        <f aca="false">IF(OR($A685="",INDEX(_LEITURA!$Q$2:$Q$21,15)=0),"",SUMIFS(DECKS!$D$2:$D$1201,DECKS!$A$2:$A$1201,INDEX(_LEITURA!$P$2:$P$21,15),DECKS!$B$2:$B$1201,$A685))</f>
        <v/>
      </c>
      <c r="Z685" s="19" t="str">
        <f aca="false">IF(OR($A685="",INDEX(_LEITURA!$Q$2:$Q$21,16)=0),"",SUMIFS(DECKS!$D$2:$D$1201,DECKS!$A$2:$A$1201,INDEX(_LEITURA!$P$2:$P$21,16),DECKS!$B$2:$B$1201,$A685))</f>
        <v/>
      </c>
      <c r="AA685" s="19" t="str">
        <f aca="false">IF(OR($A685="",INDEX(_LEITURA!$Q$2:$Q$21,17)=0),"",SUMIFS(DECKS!$D$2:$D$1201,DECKS!$A$2:$A$1201,INDEX(_LEITURA!$P$2:$P$21,17),DECKS!$B$2:$B$1201,$A685))</f>
        <v/>
      </c>
      <c r="AB685" s="19" t="str">
        <f aca="false">IF(OR($A685="",INDEX(_LEITURA!$Q$2:$Q$21,18)=0),"",SUMIFS(DECKS!$D$2:$D$1201,DECKS!$A$2:$A$1201,INDEX(_LEITURA!$P$2:$P$21,18),DECKS!$B$2:$B$1201,$A685))</f>
        <v/>
      </c>
      <c r="AC685" s="19" t="str">
        <f aca="false">IF(OR($A685="",INDEX(_LEITURA!$Q$2:$Q$21,19)=0),"",SUMIFS(DECKS!$D$2:$D$1201,DECKS!$A$2:$A$1201,INDEX(_LEITURA!$P$2:$P$21,19),DECKS!$B$2:$B$1201,$A685))</f>
        <v/>
      </c>
      <c r="AD685" s="19" t="str">
        <f aca="false">IF(OR($A685="",INDEX(_LEITURA!$Q$2:$Q$21,20)=0),"",SUMIFS(DECKS!$D$2:$D$1201,DECKS!$A$2:$A$1201,INDEX(_LEITURA!$P$2:$P$21,20),DECKS!$B$2:$B$1201,$A685))</f>
        <v/>
      </c>
      <c r="AE685" s="16" t="str">
        <f aca="false">IF(N(E685)&gt;0,MAX(AE$1:AE684)+1,"")</f>
        <v/>
      </c>
      <c r="AF685" s="11" t="str">
        <f aca="false">IF(A685="","",IFERROR(LEFT(A685,FIND("-",A685)-1),A685))</f>
        <v/>
      </c>
      <c r="AG685" s="11" t="str">
        <f aca="false">IF(AF685="","",IF(ISNUMBER(--MID(AF685,1,1)),0,IF(ISNUMBER(--MID(AF685,2,1)),1,IF(ISNUMBER(--MID(AF685,3,1)),2,IF(ISNUMBER(--MID(AF685,4,1)),3,MIN(LEN(AF685),4))))))</f>
        <v/>
      </c>
      <c r="AH685" s="11" t="str">
        <f aca="false">IF(A685="","",LEFT(AF685,AG685)&amp;REPT("0",4-AG685)&amp;RIGHT("000"&amp;IFERROR(VALUE(MID(AF685,AG685+1,9)),0),3)&amp;RIGHT("0000"&amp;IFERROR(VALUE(MID(A685,FIND("-",A685)+1,9)),0),4))</f>
        <v/>
      </c>
      <c r="AI685" s="11" t="str">
        <f aca="false">IF(OR(A685="",N(E685)&lt;=0),"",IF('FALTAS GERAL'!$M$1="Código","K"&amp;AH685&amp;RIGHT("00000"&amp;ROW(),5),IF('FALTAS GERAL'!$M$1="Nome","K"&amp;UPPER(SUBSTITUTE(SUBSTITUTE(SUBSTITUTE(B685,"*",""),"?",""),"~",""))&amp;"0"&amp;AH685&amp;RIGHT("00000"&amp;ROW(),5),IF('FALTAS GERAL'!$M$1="Falta (maior primeiro)","K"&amp;RIGHT("0000"&amp;(9999-E685),4)&amp;AH685&amp;RIGHT("00000"&amp;ROW(),5),IF('FALTAS GERAL'!$M$1="Nº de decks (maior primeiro)","K"&amp;RIGHT("00"&amp;(99-N(G685)),2)&amp;AH685&amp;RIGHT("00000"&amp;ROW(),5),"K"&amp;RIGHT("00000"&amp;ROW(),5))))))</f>
        <v/>
      </c>
      <c r="AJ685" s="11" t="str">
        <f aca="false">IF(AI685="","",COUNTIFS($AI$2:$AI$801,"&lt;"&amp;AI685,$E$2:$E$801,"&gt;0")+1)</f>
        <v/>
      </c>
      <c r="AK685" s="11" t="str">
        <f aca="false">IF(OR(A685="",N(E685)&lt;=0),"",COUNTIFS($AH$2:$AH$801,"&lt;"&amp;AH685,$E$2:$E$801,"&gt;0")+COUNTIFS($AH$2:AH685,AH685,$E$2:E685,"&gt;0"))</f>
        <v/>
      </c>
    </row>
    <row r="686" customFormat="false" ht="15" hidden="false" customHeight="false" outlineLevel="0" collapsed="false">
      <c r="A686" s="11" t="str">
        <f aca="false">IF(INVENTÁRIO!A686="","",INVENTÁRIO!A686)</f>
        <v/>
      </c>
      <c r="B686" s="11" t="str">
        <f aca="false">IF(A686="","",INVENTÁRIO!B686)</f>
        <v/>
      </c>
      <c r="C686" s="16" t="str">
        <f aca="false">IF(A686="","",INVENTÁRIO!C686)</f>
        <v/>
      </c>
      <c r="D686" s="14" t="str">
        <f aca="false">IF(A686="","",MAX(K686:AD686))</f>
        <v/>
      </c>
      <c r="E686" s="14" t="str">
        <f aca="false">IF(A686="","",MAX(0,D686-C686))</f>
        <v/>
      </c>
      <c r="F686" s="16" t="str">
        <f aca="false">IF(A686="","",IF(D686=0,"Fora dos decks",IF(E686=0,"Completo","Falta")))</f>
        <v/>
      </c>
      <c r="G686" s="16" t="str">
        <f aca="false">IF(A686="","",COUNTIF(K686:AD686,"&gt;0"))</f>
        <v/>
      </c>
      <c r="H686" s="16" t="str">
        <f aca="false">IF(A686="","",IF(G686&gt;1,"Sim",""))</f>
        <v/>
      </c>
      <c r="I686" s="18" t="str">
        <f aca="false">IF(A686="","",SUMIFS(DECKS!$D$2:$D$1201,DECKS!$B$2:$B$1201,A686))</f>
        <v/>
      </c>
      <c r="J686" s="18" t="str">
        <f aca="false">IF(A686="","",MAX(0,I686-C686))</f>
        <v/>
      </c>
      <c r="K686" s="19" t="str">
        <f aca="false">IF(OR($A686="",INDEX(_LEITURA!$Q$2:$Q$21,1)=0),"",SUMIFS(DECKS!$D$2:$D$1201,DECKS!$A$2:$A$1201,INDEX(_LEITURA!$P$2:$P$21,1),DECKS!$B$2:$B$1201,$A686))</f>
        <v/>
      </c>
      <c r="L686" s="19" t="str">
        <f aca="false">IF(OR($A686="",INDEX(_LEITURA!$Q$2:$Q$21,2)=0),"",SUMIFS(DECKS!$D$2:$D$1201,DECKS!$A$2:$A$1201,INDEX(_LEITURA!$P$2:$P$21,2),DECKS!$B$2:$B$1201,$A686))</f>
        <v/>
      </c>
      <c r="M686" s="19" t="str">
        <f aca="false">IF(OR($A686="",INDEX(_LEITURA!$Q$2:$Q$21,3)=0),"",SUMIFS(DECKS!$D$2:$D$1201,DECKS!$A$2:$A$1201,INDEX(_LEITURA!$P$2:$P$21,3),DECKS!$B$2:$B$1201,$A686))</f>
        <v/>
      </c>
      <c r="N686" s="19" t="str">
        <f aca="false">IF(OR($A686="",INDEX(_LEITURA!$Q$2:$Q$21,4)=0),"",SUMIFS(DECKS!$D$2:$D$1201,DECKS!$A$2:$A$1201,INDEX(_LEITURA!$P$2:$P$21,4),DECKS!$B$2:$B$1201,$A686))</f>
        <v/>
      </c>
      <c r="O686" s="19" t="str">
        <f aca="false">IF(OR($A686="",INDEX(_LEITURA!$Q$2:$Q$21,5)=0),"",SUMIFS(DECKS!$D$2:$D$1201,DECKS!$A$2:$A$1201,INDEX(_LEITURA!$P$2:$P$21,5),DECKS!$B$2:$B$1201,$A686))</f>
        <v/>
      </c>
      <c r="P686" s="19" t="str">
        <f aca="false">IF(OR($A686="",INDEX(_LEITURA!$Q$2:$Q$21,6)=0),"",SUMIFS(DECKS!$D$2:$D$1201,DECKS!$A$2:$A$1201,INDEX(_LEITURA!$P$2:$P$21,6),DECKS!$B$2:$B$1201,$A686))</f>
        <v/>
      </c>
      <c r="Q686" s="19" t="str">
        <f aca="false">IF(OR($A686="",INDEX(_LEITURA!$Q$2:$Q$21,7)=0),"",SUMIFS(DECKS!$D$2:$D$1201,DECKS!$A$2:$A$1201,INDEX(_LEITURA!$P$2:$P$21,7),DECKS!$B$2:$B$1201,$A686))</f>
        <v/>
      </c>
      <c r="R686" s="19" t="str">
        <f aca="false">IF(OR($A686="",INDEX(_LEITURA!$Q$2:$Q$21,8)=0),"",SUMIFS(DECKS!$D$2:$D$1201,DECKS!$A$2:$A$1201,INDEX(_LEITURA!$P$2:$P$21,8),DECKS!$B$2:$B$1201,$A686))</f>
        <v/>
      </c>
      <c r="S686" s="19" t="str">
        <f aca="false">IF(OR($A686="",INDEX(_LEITURA!$Q$2:$Q$21,9)=0),"",SUMIFS(DECKS!$D$2:$D$1201,DECKS!$A$2:$A$1201,INDEX(_LEITURA!$P$2:$P$21,9),DECKS!$B$2:$B$1201,$A686))</f>
        <v/>
      </c>
      <c r="T686" s="19" t="str">
        <f aca="false">IF(OR($A686="",INDEX(_LEITURA!$Q$2:$Q$21,10)=0),"",SUMIFS(DECKS!$D$2:$D$1201,DECKS!$A$2:$A$1201,INDEX(_LEITURA!$P$2:$P$21,10),DECKS!$B$2:$B$1201,$A686))</f>
        <v/>
      </c>
      <c r="U686" s="19" t="str">
        <f aca="false">IF(OR($A686="",INDEX(_LEITURA!$Q$2:$Q$21,11)=0),"",SUMIFS(DECKS!$D$2:$D$1201,DECKS!$A$2:$A$1201,INDEX(_LEITURA!$P$2:$P$21,11),DECKS!$B$2:$B$1201,$A686))</f>
        <v/>
      </c>
      <c r="V686" s="19" t="str">
        <f aca="false">IF(OR($A686="",INDEX(_LEITURA!$Q$2:$Q$21,12)=0),"",SUMIFS(DECKS!$D$2:$D$1201,DECKS!$A$2:$A$1201,INDEX(_LEITURA!$P$2:$P$21,12),DECKS!$B$2:$B$1201,$A686))</f>
        <v/>
      </c>
      <c r="W686" s="19" t="str">
        <f aca="false">IF(OR($A686="",INDEX(_LEITURA!$Q$2:$Q$21,13)=0),"",SUMIFS(DECKS!$D$2:$D$1201,DECKS!$A$2:$A$1201,INDEX(_LEITURA!$P$2:$P$21,13),DECKS!$B$2:$B$1201,$A686))</f>
        <v/>
      </c>
      <c r="X686" s="19" t="str">
        <f aca="false">IF(OR($A686="",INDEX(_LEITURA!$Q$2:$Q$21,14)=0),"",SUMIFS(DECKS!$D$2:$D$1201,DECKS!$A$2:$A$1201,INDEX(_LEITURA!$P$2:$P$21,14),DECKS!$B$2:$B$1201,$A686))</f>
        <v/>
      </c>
      <c r="Y686" s="19" t="str">
        <f aca="false">IF(OR($A686="",INDEX(_LEITURA!$Q$2:$Q$21,15)=0),"",SUMIFS(DECKS!$D$2:$D$1201,DECKS!$A$2:$A$1201,INDEX(_LEITURA!$P$2:$P$21,15),DECKS!$B$2:$B$1201,$A686))</f>
        <v/>
      </c>
      <c r="Z686" s="19" t="str">
        <f aca="false">IF(OR($A686="",INDEX(_LEITURA!$Q$2:$Q$21,16)=0),"",SUMIFS(DECKS!$D$2:$D$1201,DECKS!$A$2:$A$1201,INDEX(_LEITURA!$P$2:$P$21,16),DECKS!$B$2:$B$1201,$A686))</f>
        <v/>
      </c>
      <c r="AA686" s="19" t="str">
        <f aca="false">IF(OR($A686="",INDEX(_LEITURA!$Q$2:$Q$21,17)=0),"",SUMIFS(DECKS!$D$2:$D$1201,DECKS!$A$2:$A$1201,INDEX(_LEITURA!$P$2:$P$21,17),DECKS!$B$2:$B$1201,$A686))</f>
        <v/>
      </c>
      <c r="AB686" s="19" t="str">
        <f aca="false">IF(OR($A686="",INDEX(_LEITURA!$Q$2:$Q$21,18)=0),"",SUMIFS(DECKS!$D$2:$D$1201,DECKS!$A$2:$A$1201,INDEX(_LEITURA!$P$2:$P$21,18),DECKS!$B$2:$B$1201,$A686))</f>
        <v/>
      </c>
      <c r="AC686" s="19" t="str">
        <f aca="false">IF(OR($A686="",INDEX(_LEITURA!$Q$2:$Q$21,19)=0),"",SUMIFS(DECKS!$D$2:$D$1201,DECKS!$A$2:$A$1201,INDEX(_LEITURA!$P$2:$P$21,19),DECKS!$B$2:$B$1201,$A686))</f>
        <v/>
      </c>
      <c r="AD686" s="19" t="str">
        <f aca="false">IF(OR($A686="",INDEX(_LEITURA!$Q$2:$Q$21,20)=0),"",SUMIFS(DECKS!$D$2:$D$1201,DECKS!$A$2:$A$1201,INDEX(_LEITURA!$P$2:$P$21,20),DECKS!$B$2:$B$1201,$A686))</f>
        <v/>
      </c>
      <c r="AE686" s="16" t="str">
        <f aca="false">IF(N(E686)&gt;0,MAX(AE$1:AE685)+1,"")</f>
        <v/>
      </c>
      <c r="AF686" s="11" t="str">
        <f aca="false">IF(A686="","",IFERROR(LEFT(A686,FIND("-",A686)-1),A686))</f>
        <v/>
      </c>
      <c r="AG686" s="11" t="str">
        <f aca="false">IF(AF686="","",IF(ISNUMBER(--MID(AF686,1,1)),0,IF(ISNUMBER(--MID(AF686,2,1)),1,IF(ISNUMBER(--MID(AF686,3,1)),2,IF(ISNUMBER(--MID(AF686,4,1)),3,MIN(LEN(AF686),4))))))</f>
        <v/>
      </c>
      <c r="AH686" s="11" t="str">
        <f aca="false">IF(A686="","",LEFT(AF686,AG686)&amp;REPT("0",4-AG686)&amp;RIGHT("000"&amp;IFERROR(VALUE(MID(AF686,AG686+1,9)),0),3)&amp;RIGHT("0000"&amp;IFERROR(VALUE(MID(A686,FIND("-",A686)+1,9)),0),4))</f>
        <v/>
      </c>
      <c r="AI686" s="11" t="str">
        <f aca="false">IF(OR(A686="",N(E686)&lt;=0),"",IF('FALTAS GERAL'!$M$1="Código","K"&amp;AH686&amp;RIGHT("00000"&amp;ROW(),5),IF('FALTAS GERAL'!$M$1="Nome","K"&amp;UPPER(SUBSTITUTE(SUBSTITUTE(SUBSTITUTE(B686,"*",""),"?",""),"~",""))&amp;"0"&amp;AH686&amp;RIGHT("00000"&amp;ROW(),5),IF('FALTAS GERAL'!$M$1="Falta (maior primeiro)","K"&amp;RIGHT("0000"&amp;(9999-E686),4)&amp;AH686&amp;RIGHT("00000"&amp;ROW(),5),IF('FALTAS GERAL'!$M$1="Nº de decks (maior primeiro)","K"&amp;RIGHT("00"&amp;(99-N(G686)),2)&amp;AH686&amp;RIGHT("00000"&amp;ROW(),5),"K"&amp;RIGHT("00000"&amp;ROW(),5))))))</f>
        <v/>
      </c>
      <c r="AJ686" s="11" t="str">
        <f aca="false">IF(AI686="","",COUNTIFS($AI$2:$AI$801,"&lt;"&amp;AI686,$E$2:$E$801,"&gt;0")+1)</f>
        <v/>
      </c>
      <c r="AK686" s="11" t="str">
        <f aca="false">IF(OR(A686="",N(E686)&lt;=0),"",COUNTIFS($AH$2:$AH$801,"&lt;"&amp;AH686,$E$2:$E$801,"&gt;0")+COUNTIFS($AH$2:AH686,AH686,$E$2:E686,"&gt;0"))</f>
        <v/>
      </c>
    </row>
    <row r="687" customFormat="false" ht="15" hidden="false" customHeight="false" outlineLevel="0" collapsed="false">
      <c r="A687" s="11" t="str">
        <f aca="false">IF(INVENTÁRIO!A687="","",INVENTÁRIO!A687)</f>
        <v/>
      </c>
      <c r="B687" s="11" t="str">
        <f aca="false">IF(A687="","",INVENTÁRIO!B687)</f>
        <v/>
      </c>
      <c r="C687" s="16" t="str">
        <f aca="false">IF(A687="","",INVENTÁRIO!C687)</f>
        <v/>
      </c>
      <c r="D687" s="14" t="str">
        <f aca="false">IF(A687="","",MAX(K687:AD687))</f>
        <v/>
      </c>
      <c r="E687" s="14" t="str">
        <f aca="false">IF(A687="","",MAX(0,D687-C687))</f>
        <v/>
      </c>
      <c r="F687" s="16" t="str">
        <f aca="false">IF(A687="","",IF(D687=0,"Fora dos decks",IF(E687=0,"Completo","Falta")))</f>
        <v/>
      </c>
      <c r="G687" s="16" t="str">
        <f aca="false">IF(A687="","",COUNTIF(K687:AD687,"&gt;0"))</f>
        <v/>
      </c>
      <c r="H687" s="16" t="str">
        <f aca="false">IF(A687="","",IF(G687&gt;1,"Sim",""))</f>
        <v/>
      </c>
      <c r="I687" s="18" t="str">
        <f aca="false">IF(A687="","",SUMIFS(DECKS!$D$2:$D$1201,DECKS!$B$2:$B$1201,A687))</f>
        <v/>
      </c>
      <c r="J687" s="18" t="str">
        <f aca="false">IF(A687="","",MAX(0,I687-C687))</f>
        <v/>
      </c>
      <c r="K687" s="19" t="str">
        <f aca="false">IF(OR($A687="",INDEX(_LEITURA!$Q$2:$Q$21,1)=0),"",SUMIFS(DECKS!$D$2:$D$1201,DECKS!$A$2:$A$1201,INDEX(_LEITURA!$P$2:$P$21,1),DECKS!$B$2:$B$1201,$A687))</f>
        <v/>
      </c>
      <c r="L687" s="19" t="str">
        <f aca="false">IF(OR($A687="",INDEX(_LEITURA!$Q$2:$Q$21,2)=0),"",SUMIFS(DECKS!$D$2:$D$1201,DECKS!$A$2:$A$1201,INDEX(_LEITURA!$P$2:$P$21,2),DECKS!$B$2:$B$1201,$A687))</f>
        <v/>
      </c>
      <c r="M687" s="19" t="str">
        <f aca="false">IF(OR($A687="",INDEX(_LEITURA!$Q$2:$Q$21,3)=0),"",SUMIFS(DECKS!$D$2:$D$1201,DECKS!$A$2:$A$1201,INDEX(_LEITURA!$P$2:$P$21,3),DECKS!$B$2:$B$1201,$A687))</f>
        <v/>
      </c>
      <c r="N687" s="19" t="str">
        <f aca="false">IF(OR($A687="",INDEX(_LEITURA!$Q$2:$Q$21,4)=0),"",SUMIFS(DECKS!$D$2:$D$1201,DECKS!$A$2:$A$1201,INDEX(_LEITURA!$P$2:$P$21,4),DECKS!$B$2:$B$1201,$A687))</f>
        <v/>
      </c>
      <c r="O687" s="19" t="str">
        <f aca="false">IF(OR($A687="",INDEX(_LEITURA!$Q$2:$Q$21,5)=0),"",SUMIFS(DECKS!$D$2:$D$1201,DECKS!$A$2:$A$1201,INDEX(_LEITURA!$P$2:$P$21,5),DECKS!$B$2:$B$1201,$A687))</f>
        <v/>
      </c>
      <c r="P687" s="19" t="str">
        <f aca="false">IF(OR($A687="",INDEX(_LEITURA!$Q$2:$Q$21,6)=0),"",SUMIFS(DECKS!$D$2:$D$1201,DECKS!$A$2:$A$1201,INDEX(_LEITURA!$P$2:$P$21,6),DECKS!$B$2:$B$1201,$A687))</f>
        <v/>
      </c>
      <c r="Q687" s="19" t="str">
        <f aca="false">IF(OR($A687="",INDEX(_LEITURA!$Q$2:$Q$21,7)=0),"",SUMIFS(DECKS!$D$2:$D$1201,DECKS!$A$2:$A$1201,INDEX(_LEITURA!$P$2:$P$21,7),DECKS!$B$2:$B$1201,$A687))</f>
        <v/>
      </c>
      <c r="R687" s="19" t="str">
        <f aca="false">IF(OR($A687="",INDEX(_LEITURA!$Q$2:$Q$21,8)=0),"",SUMIFS(DECKS!$D$2:$D$1201,DECKS!$A$2:$A$1201,INDEX(_LEITURA!$P$2:$P$21,8),DECKS!$B$2:$B$1201,$A687))</f>
        <v/>
      </c>
      <c r="S687" s="19" t="str">
        <f aca="false">IF(OR($A687="",INDEX(_LEITURA!$Q$2:$Q$21,9)=0),"",SUMIFS(DECKS!$D$2:$D$1201,DECKS!$A$2:$A$1201,INDEX(_LEITURA!$P$2:$P$21,9),DECKS!$B$2:$B$1201,$A687))</f>
        <v/>
      </c>
      <c r="T687" s="19" t="str">
        <f aca="false">IF(OR($A687="",INDEX(_LEITURA!$Q$2:$Q$21,10)=0),"",SUMIFS(DECKS!$D$2:$D$1201,DECKS!$A$2:$A$1201,INDEX(_LEITURA!$P$2:$P$21,10),DECKS!$B$2:$B$1201,$A687))</f>
        <v/>
      </c>
      <c r="U687" s="19" t="str">
        <f aca="false">IF(OR($A687="",INDEX(_LEITURA!$Q$2:$Q$21,11)=0),"",SUMIFS(DECKS!$D$2:$D$1201,DECKS!$A$2:$A$1201,INDEX(_LEITURA!$P$2:$P$21,11),DECKS!$B$2:$B$1201,$A687))</f>
        <v/>
      </c>
      <c r="V687" s="19" t="str">
        <f aca="false">IF(OR($A687="",INDEX(_LEITURA!$Q$2:$Q$21,12)=0),"",SUMIFS(DECKS!$D$2:$D$1201,DECKS!$A$2:$A$1201,INDEX(_LEITURA!$P$2:$P$21,12),DECKS!$B$2:$B$1201,$A687))</f>
        <v/>
      </c>
      <c r="W687" s="19" t="str">
        <f aca="false">IF(OR($A687="",INDEX(_LEITURA!$Q$2:$Q$21,13)=0),"",SUMIFS(DECKS!$D$2:$D$1201,DECKS!$A$2:$A$1201,INDEX(_LEITURA!$P$2:$P$21,13),DECKS!$B$2:$B$1201,$A687))</f>
        <v/>
      </c>
      <c r="X687" s="19" t="str">
        <f aca="false">IF(OR($A687="",INDEX(_LEITURA!$Q$2:$Q$21,14)=0),"",SUMIFS(DECKS!$D$2:$D$1201,DECKS!$A$2:$A$1201,INDEX(_LEITURA!$P$2:$P$21,14),DECKS!$B$2:$B$1201,$A687))</f>
        <v/>
      </c>
      <c r="Y687" s="19" t="str">
        <f aca="false">IF(OR($A687="",INDEX(_LEITURA!$Q$2:$Q$21,15)=0),"",SUMIFS(DECKS!$D$2:$D$1201,DECKS!$A$2:$A$1201,INDEX(_LEITURA!$P$2:$P$21,15),DECKS!$B$2:$B$1201,$A687))</f>
        <v/>
      </c>
      <c r="Z687" s="19" t="str">
        <f aca="false">IF(OR($A687="",INDEX(_LEITURA!$Q$2:$Q$21,16)=0),"",SUMIFS(DECKS!$D$2:$D$1201,DECKS!$A$2:$A$1201,INDEX(_LEITURA!$P$2:$P$21,16),DECKS!$B$2:$B$1201,$A687))</f>
        <v/>
      </c>
      <c r="AA687" s="19" t="str">
        <f aca="false">IF(OR($A687="",INDEX(_LEITURA!$Q$2:$Q$21,17)=0),"",SUMIFS(DECKS!$D$2:$D$1201,DECKS!$A$2:$A$1201,INDEX(_LEITURA!$P$2:$P$21,17),DECKS!$B$2:$B$1201,$A687))</f>
        <v/>
      </c>
      <c r="AB687" s="19" t="str">
        <f aca="false">IF(OR($A687="",INDEX(_LEITURA!$Q$2:$Q$21,18)=0),"",SUMIFS(DECKS!$D$2:$D$1201,DECKS!$A$2:$A$1201,INDEX(_LEITURA!$P$2:$P$21,18),DECKS!$B$2:$B$1201,$A687))</f>
        <v/>
      </c>
      <c r="AC687" s="19" t="str">
        <f aca="false">IF(OR($A687="",INDEX(_LEITURA!$Q$2:$Q$21,19)=0),"",SUMIFS(DECKS!$D$2:$D$1201,DECKS!$A$2:$A$1201,INDEX(_LEITURA!$P$2:$P$21,19),DECKS!$B$2:$B$1201,$A687))</f>
        <v/>
      </c>
      <c r="AD687" s="19" t="str">
        <f aca="false">IF(OR($A687="",INDEX(_LEITURA!$Q$2:$Q$21,20)=0),"",SUMIFS(DECKS!$D$2:$D$1201,DECKS!$A$2:$A$1201,INDEX(_LEITURA!$P$2:$P$21,20),DECKS!$B$2:$B$1201,$A687))</f>
        <v/>
      </c>
      <c r="AE687" s="16" t="str">
        <f aca="false">IF(N(E687)&gt;0,MAX(AE$1:AE686)+1,"")</f>
        <v/>
      </c>
      <c r="AF687" s="11" t="str">
        <f aca="false">IF(A687="","",IFERROR(LEFT(A687,FIND("-",A687)-1),A687))</f>
        <v/>
      </c>
      <c r="AG687" s="11" t="str">
        <f aca="false">IF(AF687="","",IF(ISNUMBER(--MID(AF687,1,1)),0,IF(ISNUMBER(--MID(AF687,2,1)),1,IF(ISNUMBER(--MID(AF687,3,1)),2,IF(ISNUMBER(--MID(AF687,4,1)),3,MIN(LEN(AF687),4))))))</f>
        <v/>
      </c>
      <c r="AH687" s="11" t="str">
        <f aca="false">IF(A687="","",LEFT(AF687,AG687)&amp;REPT("0",4-AG687)&amp;RIGHT("000"&amp;IFERROR(VALUE(MID(AF687,AG687+1,9)),0),3)&amp;RIGHT("0000"&amp;IFERROR(VALUE(MID(A687,FIND("-",A687)+1,9)),0),4))</f>
        <v/>
      </c>
      <c r="AI687" s="11" t="str">
        <f aca="false">IF(OR(A687="",N(E687)&lt;=0),"",IF('FALTAS GERAL'!$M$1="Código","K"&amp;AH687&amp;RIGHT("00000"&amp;ROW(),5),IF('FALTAS GERAL'!$M$1="Nome","K"&amp;UPPER(SUBSTITUTE(SUBSTITUTE(SUBSTITUTE(B687,"*",""),"?",""),"~",""))&amp;"0"&amp;AH687&amp;RIGHT("00000"&amp;ROW(),5),IF('FALTAS GERAL'!$M$1="Falta (maior primeiro)","K"&amp;RIGHT("0000"&amp;(9999-E687),4)&amp;AH687&amp;RIGHT("00000"&amp;ROW(),5),IF('FALTAS GERAL'!$M$1="Nº de decks (maior primeiro)","K"&amp;RIGHT("00"&amp;(99-N(G687)),2)&amp;AH687&amp;RIGHT("00000"&amp;ROW(),5),"K"&amp;RIGHT("00000"&amp;ROW(),5))))))</f>
        <v/>
      </c>
      <c r="AJ687" s="11" t="str">
        <f aca="false">IF(AI687="","",COUNTIFS($AI$2:$AI$801,"&lt;"&amp;AI687,$E$2:$E$801,"&gt;0")+1)</f>
        <v/>
      </c>
      <c r="AK687" s="11" t="str">
        <f aca="false">IF(OR(A687="",N(E687)&lt;=0),"",COUNTIFS($AH$2:$AH$801,"&lt;"&amp;AH687,$E$2:$E$801,"&gt;0")+COUNTIFS($AH$2:AH687,AH687,$E$2:E687,"&gt;0"))</f>
        <v/>
      </c>
    </row>
    <row r="688" customFormat="false" ht="15" hidden="false" customHeight="false" outlineLevel="0" collapsed="false">
      <c r="A688" s="11" t="str">
        <f aca="false">IF(INVENTÁRIO!A688="","",INVENTÁRIO!A688)</f>
        <v/>
      </c>
      <c r="B688" s="11" t="str">
        <f aca="false">IF(A688="","",INVENTÁRIO!B688)</f>
        <v/>
      </c>
      <c r="C688" s="16" t="str">
        <f aca="false">IF(A688="","",INVENTÁRIO!C688)</f>
        <v/>
      </c>
      <c r="D688" s="14" t="str">
        <f aca="false">IF(A688="","",MAX(K688:AD688))</f>
        <v/>
      </c>
      <c r="E688" s="14" t="str">
        <f aca="false">IF(A688="","",MAX(0,D688-C688))</f>
        <v/>
      </c>
      <c r="F688" s="16" t="str">
        <f aca="false">IF(A688="","",IF(D688=0,"Fora dos decks",IF(E688=0,"Completo","Falta")))</f>
        <v/>
      </c>
      <c r="G688" s="16" t="str">
        <f aca="false">IF(A688="","",COUNTIF(K688:AD688,"&gt;0"))</f>
        <v/>
      </c>
      <c r="H688" s="16" t="str">
        <f aca="false">IF(A688="","",IF(G688&gt;1,"Sim",""))</f>
        <v/>
      </c>
      <c r="I688" s="18" t="str">
        <f aca="false">IF(A688="","",SUMIFS(DECKS!$D$2:$D$1201,DECKS!$B$2:$B$1201,A688))</f>
        <v/>
      </c>
      <c r="J688" s="18" t="str">
        <f aca="false">IF(A688="","",MAX(0,I688-C688))</f>
        <v/>
      </c>
      <c r="K688" s="19" t="str">
        <f aca="false">IF(OR($A688="",INDEX(_LEITURA!$Q$2:$Q$21,1)=0),"",SUMIFS(DECKS!$D$2:$D$1201,DECKS!$A$2:$A$1201,INDEX(_LEITURA!$P$2:$P$21,1),DECKS!$B$2:$B$1201,$A688))</f>
        <v/>
      </c>
      <c r="L688" s="19" t="str">
        <f aca="false">IF(OR($A688="",INDEX(_LEITURA!$Q$2:$Q$21,2)=0),"",SUMIFS(DECKS!$D$2:$D$1201,DECKS!$A$2:$A$1201,INDEX(_LEITURA!$P$2:$P$21,2),DECKS!$B$2:$B$1201,$A688))</f>
        <v/>
      </c>
      <c r="M688" s="19" t="str">
        <f aca="false">IF(OR($A688="",INDEX(_LEITURA!$Q$2:$Q$21,3)=0),"",SUMIFS(DECKS!$D$2:$D$1201,DECKS!$A$2:$A$1201,INDEX(_LEITURA!$P$2:$P$21,3),DECKS!$B$2:$B$1201,$A688))</f>
        <v/>
      </c>
      <c r="N688" s="19" t="str">
        <f aca="false">IF(OR($A688="",INDEX(_LEITURA!$Q$2:$Q$21,4)=0),"",SUMIFS(DECKS!$D$2:$D$1201,DECKS!$A$2:$A$1201,INDEX(_LEITURA!$P$2:$P$21,4),DECKS!$B$2:$B$1201,$A688))</f>
        <v/>
      </c>
      <c r="O688" s="19" t="str">
        <f aca="false">IF(OR($A688="",INDEX(_LEITURA!$Q$2:$Q$21,5)=0),"",SUMIFS(DECKS!$D$2:$D$1201,DECKS!$A$2:$A$1201,INDEX(_LEITURA!$P$2:$P$21,5),DECKS!$B$2:$B$1201,$A688))</f>
        <v/>
      </c>
      <c r="P688" s="19" t="str">
        <f aca="false">IF(OR($A688="",INDEX(_LEITURA!$Q$2:$Q$21,6)=0),"",SUMIFS(DECKS!$D$2:$D$1201,DECKS!$A$2:$A$1201,INDEX(_LEITURA!$P$2:$P$21,6),DECKS!$B$2:$B$1201,$A688))</f>
        <v/>
      </c>
      <c r="Q688" s="19" t="str">
        <f aca="false">IF(OR($A688="",INDEX(_LEITURA!$Q$2:$Q$21,7)=0),"",SUMIFS(DECKS!$D$2:$D$1201,DECKS!$A$2:$A$1201,INDEX(_LEITURA!$P$2:$P$21,7),DECKS!$B$2:$B$1201,$A688))</f>
        <v/>
      </c>
      <c r="R688" s="19" t="str">
        <f aca="false">IF(OR($A688="",INDEX(_LEITURA!$Q$2:$Q$21,8)=0),"",SUMIFS(DECKS!$D$2:$D$1201,DECKS!$A$2:$A$1201,INDEX(_LEITURA!$P$2:$P$21,8),DECKS!$B$2:$B$1201,$A688))</f>
        <v/>
      </c>
      <c r="S688" s="19" t="str">
        <f aca="false">IF(OR($A688="",INDEX(_LEITURA!$Q$2:$Q$21,9)=0),"",SUMIFS(DECKS!$D$2:$D$1201,DECKS!$A$2:$A$1201,INDEX(_LEITURA!$P$2:$P$21,9),DECKS!$B$2:$B$1201,$A688))</f>
        <v/>
      </c>
      <c r="T688" s="19" t="str">
        <f aca="false">IF(OR($A688="",INDEX(_LEITURA!$Q$2:$Q$21,10)=0),"",SUMIFS(DECKS!$D$2:$D$1201,DECKS!$A$2:$A$1201,INDEX(_LEITURA!$P$2:$P$21,10),DECKS!$B$2:$B$1201,$A688))</f>
        <v/>
      </c>
      <c r="U688" s="19" t="str">
        <f aca="false">IF(OR($A688="",INDEX(_LEITURA!$Q$2:$Q$21,11)=0),"",SUMIFS(DECKS!$D$2:$D$1201,DECKS!$A$2:$A$1201,INDEX(_LEITURA!$P$2:$P$21,11),DECKS!$B$2:$B$1201,$A688))</f>
        <v/>
      </c>
      <c r="V688" s="19" t="str">
        <f aca="false">IF(OR($A688="",INDEX(_LEITURA!$Q$2:$Q$21,12)=0),"",SUMIFS(DECKS!$D$2:$D$1201,DECKS!$A$2:$A$1201,INDEX(_LEITURA!$P$2:$P$21,12),DECKS!$B$2:$B$1201,$A688))</f>
        <v/>
      </c>
      <c r="W688" s="19" t="str">
        <f aca="false">IF(OR($A688="",INDEX(_LEITURA!$Q$2:$Q$21,13)=0),"",SUMIFS(DECKS!$D$2:$D$1201,DECKS!$A$2:$A$1201,INDEX(_LEITURA!$P$2:$P$21,13),DECKS!$B$2:$B$1201,$A688))</f>
        <v/>
      </c>
      <c r="X688" s="19" t="str">
        <f aca="false">IF(OR($A688="",INDEX(_LEITURA!$Q$2:$Q$21,14)=0),"",SUMIFS(DECKS!$D$2:$D$1201,DECKS!$A$2:$A$1201,INDEX(_LEITURA!$P$2:$P$21,14),DECKS!$B$2:$B$1201,$A688))</f>
        <v/>
      </c>
      <c r="Y688" s="19" t="str">
        <f aca="false">IF(OR($A688="",INDEX(_LEITURA!$Q$2:$Q$21,15)=0),"",SUMIFS(DECKS!$D$2:$D$1201,DECKS!$A$2:$A$1201,INDEX(_LEITURA!$P$2:$P$21,15),DECKS!$B$2:$B$1201,$A688))</f>
        <v/>
      </c>
      <c r="Z688" s="19" t="str">
        <f aca="false">IF(OR($A688="",INDEX(_LEITURA!$Q$2:$Q$21,16)=0),"",SUMIFS(DECKS!$D$2:$D$1201,DECKS!$A$2:$A$1201,INDEX(_LEITURA!$P$2:$P$21,16),DECKS!$B$2:$B$1201,$A688))</f>
        <v/>
      </c>
      <c r="AA688" s="19" t="str">
        <f aca="false">IF(OR($A688="",INDEX(_LEITURA!$Q$2:$Q$21,17)=0),"",SUMIFS(DECKS!$D$2:$D$1201,DECKS!$A$2:$A$1201,INDEX(_LEITURA!$P$2:$P$21,17),DECKS!$B$2:$B$1201,$A688))</f>
        <v/>
      </c>
      <c r="AB688" s="19" t="str">
        <f aca="false">IF(OR($A688="",INDEX(_LEITURA!$Q$2:$Q$21,18)=0),"",SUMIFS(DECKS!$D$2:$D$1201,DECKS!$A$2:$A$1201,INDEX(_LEITURA!$P$2:$P$21,18),DECKS!$B$2:$B$1201,$A688))</f>
        <v/>
      </c>
      <c r="AC688" s="19" t="str">
        <f aca="false">IF(OR($A688="",INDEX(_LEITURA!$Q$2:$Q$21,19)=0),"",SUMIFS(DECKS!$D$2:$D$1201,DECKS!$A$2:$A$1201,INDEX(_LEITURA!$P$2:$P$21,19),DECKS!$B$2:$B$1201,$A688))</f>
        <v/>
      </c>
      <c r="AD688" s="19" t="str">
        <f aca="false">IF(OR($A688="",INDEX(_LEITURA!$Q$2:$Q$21,20)=0),"",SUMIFS(DECKS!$D$2:$D$1201,DECKS!$A$2:$A$1201,INDEX(_LEITURA!$P$2:$P$21,20),DECKS!$B$2:$B$1201,$A688))</f>
        <v/>
      </c>
      <c r="AE688" s="16" t="str">
        <f aca="false">IF(N(E688)&gt;0,MAX(AE$1:AE687)+1,"")</f>
        <v/>
      </c>
      <c r="AF688" s="11" t="str">
        <f aca="false">IF(A688="","",IFERROR(LEFT(A688,FIND("-",A688)-1),A688))</f>
        <v/>
      </c>
      <c r="AG688" s="11" t="str">
        <f aca="false">IF(AF688="","",IF(ISNUMBER(--MID(AF688,1,1)),0,IF(ISNUMBER(--MID(AF688,2,1)),1,IF(ISNUMBER(--MID(AF688,3,1)),2,IF(ISNUMBER(--MID(AF688,4,1)),3,MIN(LEN(AF688),4))))))</f>
        <v/>
      </c>
      <c r="AH688" s="11" t="str">
        <f aca="false">IF(A688="","",LEFT(AF688,AG688)&amp;REPT("0",4-AG688)&amp;RIGHT("000"&amp;IFERROR(VALUE(MID(AF688,AG688+1,9)),0),3)&amp;RIGHT("0000"&amp;IFERROR(VALUE(MID(A688,FIND("-",A688)+1,9)),0),4))</f>
        <v/>
      </c>
      <c r="AI688" s="11" t="str">
        <f aca="false">IF(OR(A688="",N(E688)&lt;=0),"",IF('FALTAS GERAL'!$M$1="Código","K"&amp;AH688&amp;RIGHT("00000"&amp;ROW(),5),IF('FALTAS GERAL'!$M$1="Nome","K"&amp;UPPER(SUBSTITUTE(SUBSTITUTE(SUBSTITUTE(B688,"*",""),"?",""),"~",""))&amp;"0"&amp;AH688&amp;RIGHT("00000"&amp;ROW(),5),IF('FALTAS GERAL'!$M$1="Falta (maior primeiro)","K"&amp;RIGHT("0000"&amp;(9999-E688),4)&amp;AH688&amp;RIGHT("00000"&amp;ROW(),5),IF('FALTAS GERAL'!$M$1="Nº de decks (maior primeiro)","K"&amp;RIGHT("00"&amp;(99-N(G688)),2)&amp;AH688&amp;RIGHT("00000"&amp;ROW(),5),"K"&amp;RIGHT("00000"&amp;ROW(),5))))))</f>
        <v/>
      </c>
      <c r="AJ688" s="11" t="str">
        <f aca="false">IF(AI688="","",COUNTIFS($AI$2:$AI$801,"&lt;"&amp;AI688,$E$2:$E$801,"&gt;0")+1)</f>
        <v/>
      </c>
      <c r="AK688" s="11" t="str">
        <f aca="false">IF(OR(A688="",N(E688)&lt;=0),"",COUNTIFS($AH$2:$AH$801,"&lt;"&amp;AH688,$E$2:$E$801,"&gt;0")+COUNTIFS($AH$2:AH688,AH688,$E$2:E688,"&gt;0"))</f>
        <v/>
      </c>
    </row>
    <row r="689" customFormat="false" ht="15" hidden="false" customHeight="false" outlineLevel="0" collapsed="false">
      <c r="A689" s="11" t="str">
        <f aca="false">IF(INVENTÁRIO!A689="","",INVENTÁRIO!A689)</f>
        <v/>
      </c>
      <c r="B689" s="11" t="str">
        <f aca="false">IF(A689="","",INVENTÁRIO!B689)</f>
        <v/>
      </c>
      <c r="C689" s="16" t="str">
        <f aca="false">IF(A689="","",INVENTÁRIO!C689)</f>
        <v/>
      </c>
      <c r="D689" s="14" t="str">
        <f aca="false">IF(A689="","",MAX(K689:AD689))</f>
        <v/>
      </c>
      <c r="E689" s="14" t="str">
        <f aca="false">IF(A689="","",MAX(0,D689-C689))</f>
        <v/>
      </c>
      <c r="F689" s="16" t="str">
        <f aca="false">IF(A689="","",IF(D689=0,"Fora dos decks",IF(E689=0,"Completo","Falta")))</f>
        <v/>
      </c>
      <c r="G689" s="16" t="str">
        <f aca="false">IF(A689="","",COUNTIF(K689:AD689,"&gt;0"))</f>
        <v/>
      </c>
      <c r="H689" s="16" t="str">
        <f aca="false">IF(A689="","",IF(G689&gt;1,"Sim",""))</f>
        <v/>
      </c>
      <c r="I689" s="18" t="str">
        <f aca="false">IF(A689="","",SUMIFS(DECKS!$D$2:$D$1201,DECKS!$B$2:$B$1201,A689))</f>
        <v/>
      </c>
      <c r="J689" s="18" t="str">
        <f aca="false">IF(A689="","",MAX(0,I689-C689))</f>
        <v/>
      </c>
      <c r="K689" s="19" t="str">
        <f aca="false">IF(OR($A689="",INDEX(_LEITURA!$Q$2:$Q$21,1)=0),"",SUMIFS(DECKS!$D$2:$D$1201,DECKS!$A$2:$A$1201,INDEX(_LEITURA!$P$2:$P$21,1),DECKS!$B$2:$B$1201,$A689))</f>
        <v/>
      </c>
      <c r="L689" s="19" t="str">
        <f aca="false">IF(OR($A689="",INDEX(_LEITURA!$Q$2:$Q$21,2)=0),"",SUMIFS(DECKS!$D$2:$D$1201,DECKS!$A$2:$A$1201,INDEX(_LEITURA!$P$2:$P$21,2),DECKS!$B$2:$B$1201,$A689))</f>
        <v/>
      </c>
      <c r="M689" s="19" t="str">
        <f aca="false">IF(OR($A689="",INDEX(_LEITURA!$Q$2:$Q$21,3)=0),"",SUMIFS(DECKS!$D$2:$D$1201,DECKS!$A$2:$A$1201,INDEX(_LEITURA!$P$2:$P$21,3),DECKS!$B$2:$B$1201,$A689))</f>
        <v/>
      </c>
      <c r="N689" s="19" t="str">
        <f aca="false">IF(OR($A689="",INDEX(_LEITURA!$Q$2:$Q$21,4)=0),"",SUMIFS(DECKS!$D$2:$D$1201,DECKS!$A$2:$A$1201,INDEX(_LEITURA!$P$2:$P$21,4),DECKS!$B$2:$B$1201,$A689))</f>
        <v/>
      </c>
      <c r="O689" s="19" t="str">
        <f aca="false">IF(OR($A689="",INDEX(_LEITURA!$Q$2:$Q$21,5)=0),"",SUMIFS(DECKS!$D$2:$D$1201,DECKS!$A$2:$A$1201,INDEX(_LEITURA!$P$2:$P$21,5),DECKS!$B$2:$B$1201,$A689))</f>
        <v/>
      </c>
      <c r="P689" s="19" t="str">
        <f aca="false">IF(OR($A689="",INDEX(_LEITURA!$Q$2:$Q$21,6)=0),"",SUMIFS(DECKS!$D$2:$D$1201,DECKS!$A$2:$A$1201,INDEX(_LEITURA!$P$2:$P$21,6),DECKS!$B$2:$B$1201,$A689))</f>
        <v/>
      </c>
      <c r="Q689" s="19" t="str">
        <f aca="false">IF(OR($A689="",INDEX(_LEITURA!$Q$2:$Q$21,7)=0),"",SUMIFS(DECKS!$D$2:$D$1201,DECKS!$A$2:$A$1201,INDEX(_LEITURA!$P$2:$P$21,7),DECKS!$B$2:$B$1201,$A689))</f>
        <v/>
      </c>
      <c r="R689" s="19" t="str">
        <f aca="false">IF(OR($A689="",INDEX(_LEITURA!$Q$2:$Q$21,8)=0),"",SUMIFS(DECKS!$D$2:$D$1201,DECKS!$A$2:$A$1201,INDEX(_LEITURA!$P$2:$P$21,8),DECKS!$B$2:$B$1201,$A689))</f>
        <v/>
      </c>
      <c r="S689" s="19" t="str">
        <f aca="false">IF(OR($A689="",INDEX(_LEITURA!$Q$2:$Q$21,9)=0),"",SUMIFS(DECKS!$D$2:$D$1201,DECKS!$A$2:$A$1201,INDEX(_LEITURA!$P$2:$P$21,9),DECKS!$B$2:$B$1201,$A689))</f>
        <v/>
      </c>
      <c r="T689" s="19" t="str">
        <f aca="false">IF(OR($A689="",INDEX(_LEITURA!$Q$2:$Q$21,10)=0),"",SUMIFS(DECKS!$D$2:$D$1201,DECKS!$A$2:$A$1201,INDEX(_LEITURA!$P$2:$P$21,10),DECKS!$B$2:$B$1201,$A689))</f>
        <v/>
      </c>
      <c r="U689" s="19" t="str">
        <f aca="false">IF(OR($A689="",INDEX(_LEITURA!$Q$2:$Q$21,11)=0),"",SUMIFS(DECKS!$D$2:$D$1201,DECKS!$A$2:$A$1201,INDEX(_LEITURA!$P$2:$P$21,11),DECKS!$B$2:$B$1201,$A689))</f>
        <v/>
      </c>
      <c r="V689" s="19" t="str">
        <f aca="false">IF(OR($A689="",INDEX(_LEITURA!$Q$2:$Q$21,12)=0),"",SUMIFS(DECKS!$D$2:$D$1201,DECKS!$A$2:$A$1201,INDEX(_LEITURA!$P$2:$P$21,12),DECKS!$B$2:$B$1201,$A689))</f>
        <v/>
      </c>
      <c r="W689" s="19" t="str">
        <f aca="false">IF(OR($A689="",INDEX(_LEITURA!$Q$2:$Q$21,13)=0),"",SUMIFS(DECKS!$D$2:$D$1201,DECKS!$A$2:$A$1201,INDEX(_LEITURA!$P$2:$P$21,13),DECKS!$B$2:$B$1201,$A689))</f>
        <v/>
      </c>
      <c r="X689" s="19" t="str">
        <f aca="false">IF(OR($A689="",INDEX(_LEITURA!$Q$2:$Q$21,14)=0),"",SUMIFS(DECKS!$D$2:$D$1201,DECKS!$A$2:$A$1201,INDEX(_LEITURA!$P$2:$P$21,14),DECKS!$B$2:$B$1201,$A689))</f>
        <v/>
      </c>
      <c r="Y689" s="19" t="str">
        <f aca="false">IF(OR($A689="",INDEX(_LEITURA!$Q$2:$Q$21,15)=0),"",SUMIFS(DECKS!$D$2:$D$1201,DECKS!$A$2:$A$1201,INDEX(_LEITURA!$P$2:$P$21,15),DECKS!$B$2:$B$1201,$A689))</f>
        <v/>
      </c>
      <c r="Z689" s="19" t="str">
        <f aca="false">IF(OR($A689="",INDEX(_LEITURA!$Q$2:$Q$21,16)=0),"",SUMIFS(DECKS!$D$2:$D$1201,DECKS!$A$2:$A$1201,INDEX(_LEITURA!$P$2:$P$21,16),DECKS!$B$2:$B$1201,$A689))</f>
        <v/>
      </c>
      <c r="AA689" s="19" t="str">
        <f aca="false">IF(OR($A689="",INDEX(_LEITURA!$Q$2:$Q$21,17)=0),"",SUMIFS(DECKS!$D$2:$D$1201,DECKS!$A$2:$A$1201,INDEX(_LEITURA!$P$2:$P$21,17),DECKS!$B$2:$B$1201,$A689))</f>
        <v/>
      </c>
      <c r="AB689" s="19" t="str">
        <f aca="false">IF(OR($A689="",INDEX(_LEITURA!$Q$2:$Q$21,18)=0),"",SUMIFS(DECKS!$D$2:$D$1201,DECKS!$A$2:$A$1201,INDEX(_LEITURA!$P$2:$P$21,18),DECKS!$B$2:$B$1201,$A689))</f>
        <v/>
      </c>
      <c r="AC689" s="19" t="str">
        <f aca="false">IF(OR($A689="",INDEX(_LEITURA!$Q$2:$Q$21,19)=0),"",SUMIFS(DECKS!$D$2:$D$1201,DECKS!$A$2:$A$1201,INDEX(_LEITURA!$P$2:$P$21,19),DECKS!$B$2:$B$1201,$A689))</f>
        <v/>
      </c>
      <c r="AD689" s="19" t="str">
        <f aca="false">IF(OR($A689="",INDEX(_LEITURA!$Q$2:$Q$21,20)=0),"",SUMIFS(DECKS!$D$2:$D$1201,DECKS!$A$2:$A$1201,INDEX(_LEITURA!$P$2:$P$21,20),DECKS!$B$2:$B$1201,$A689))</f>
        <v/>
      </c>
      <c r="AE689" s="16" t="str">
        <f aca="false">IF(N(E689)&gt;0,MAX(AE$1:AE688)+1,"")</f>
        <v/>
      </c>
      <c r="AF689" s="11" t="str">
        <f aca="false">IF(A689="","",IFERROR(LEFT(A689,FIND("-",A689)-1),A689))</f>
        <v/>
      </c>
      <c r="AG689" s="11" t="str">
        <f aca="false">IF(AF689="","",IF(ISNUMBER(--MID(AF689,1,1)),0,IF(ISNUMBER(--MID(AF689,2,1)),1,IF(ISNUMBER(--MID(AF689,3,1)),2,IF(ISNUMBER(--MID(AF689,4,1)),3,MIN(LEN(AF689),4))))))</f>
        <v/>
      </c>
      <c r="AH689" s="11" t="str">
        <f aca="false">IF(A689="","",LEFT(AF689,AG689)&amp;REPT("0",4-AG689)&amp;RIGHT("000"&amp;IFERROR(VALUE(MID(AF689,AG689+1,9)),0),3)&amp;RIGHT("0000"&amp;IFERROR(VALUE(MID(A689,FIND("-",A689)+1,9)),0),4))</f>
        <v/>
      </c>
      <c r="AI689" s="11" t="str">
        <f aca="false">IF(OR(A689="",N(E689)&lt;=0),"",IF('FALTAS GERAL'!$M$1="Código","K"&amp;AH689&amp;RIGHT("00000"&amp;ROW(),5),IF('FALTAS GERAL'!$M$1="Nome","K"&amp;UPPER(SUBSTITUTE(SUBSTITUTE(SUBSTITUTE(B689,"*",""),"?",""),"~",""))&amp;"0"&amp;AH689&amp;RIGHT("00000"&amp;ROW(),5),IF('FALTAS GERAL'!$M$1="Falta (maior primeiro)","K"&amp;RIGHT("0000"&amp;(9999-E689),4)&amp;AH689&amp;RIGHT("00000"&amp;ROW(),5),IF('FALTAS GERAL'!$M$1="Nº de decks (maior primeiro)","K"&amp;RIGHT("00"&amp;(99-N(G689)),2)&amp;AH689&amp;RIGHT("00000"&amp;ROW(),5),"K"&amp;RIGHT("00000"&amp;ROW(),5))))))</f>
        <v/>
      </c>
      <c r="AJ689" s="11" t="str">
        <f aca="false">IF(AI689="","",COUNTIFS($AI$2:$AI$801,"&lt;"&amp;AI689,$E$2:$E$801,"&gt;0")+1)</f>
        <v/>
      </c>
      <c r="AK689" s="11" t="str">
        <f aca="false">IF(OR(A689="",N(E689)&lt;=0),"",COUNTIFS($AH$2:$AH$801,"&lt;"&amp;AH689,$E$2:$E$801,"&gt;0")+COUNTIFS($AH$2:AH689,AH689,$E$2:E689,"&gt;0"))</f>
        <v/>
      </c>
    </row>
    <row r="690" customFormat="false" ht="15" hidden="false" customHeight="false" outlineLevel="0" collapsed="false">
      <c r="A690" s="11" t="str">
        <f aca="false">IF(INVENTÁRIO!A690="","",INVENTÁRIO!A690)</f>
        <v/>
      </c>
      <c r="B690" s="11" t="str">
        <f aca="false">IF(A690="","",INVENTÁRIO!B690)</f>
        <v/>
      </c>
      <c r="C690" s="16" t="str">
        <f aca="false">IF(A690="","",INVENTÁRIO!C690)</f>
        <v/>
      </c>
      <c r="D690" s="14" t="str">
        <f aca="false">IF(A690="","",MAX(K690:AD690))</f>
        <v/>
      </c>
      <c r="E690" s="14" t="str">
        <f aca="false">IF(A690="","",MAX(0,D690-C690))</f>
        <v/>
      </c>
      <c r="F690" s="16" t="str">
        <f aca="false">IF(A690="","",IF(D690=0,"Fora dos decks",IF(E690=0,"Completo","Falta")))</f>
        <v/>
      </c>
      <c r="G690" s="16" t="str">
        <f aca="false">IF(A690="","",COUNTIF(K690:AD690,"&gt;0"))</f>
        <v/>
      </c>
      <c r="H690" s="16" t="str">
        <f aca="false">IF(A690="","",IF(G690&gt;1,"Sim",""))</f>
        <v/>
      </c>
      <c r="I690" s="18" t="str">
        <f aca="false">IF(A690="","",SUMIFS(DECKS!$D$2:$D$1201,DECKS!$B$2:$B$1201,A690))</f>
        <v/>
      </c>
      <c r="J690" s="18" t="str">
        <f aca="false">IF(A690="","",MAX(0,I690-C690))</f>
        <v/>
      </c>
      <c r="K690" s="19" t="str">
        <f aca="false">IF(OR($A690="",INDEX(_LEITURA!$Q$2:$Q$21,1)=0),"",SUMIFS(DECKS!$D$2:$D$1201,DECKS!$A$2:$A$1201,INDEX(_LEITURA!$P$2:$P$21,1),DECKS!$B$2:$B$1201,$A690))</f>
        <v/>
      </c>
      <c r="L690" s="19" t="str">
        <f aca="false">IF(OR($A690="",INDEX(_LEITURA!$Q$2:$Q$21,2)=0),"",SUMIFS(DECKS!$D$2:$D$1201,DECKS!$A$2:$A$1201,INDEX(_LEITURA!$P$2:$P$21,2),DECKS!$B$2:$B$1201,$A690))</f>
        <v/>
      </c>
      <c r="M690" s="19" t="str">
        <f aca="false">IF(OR($A690="",INDEX(_LEITURA!$Q$2:$Q$21,3)=0),"",SUMIFS(DECKS!$D$2:$D$1201,DECKS!$A$2:$A$1201,INDEX(_LEITURA!$P$2:$P$21,3),DECKS!$B$2:$B$1201,$A690))</f>
        <v/>
      </c>
      <c r="N690" s="19" t="str">
        <f aca="false">IF(OR($A690="",INDEX(_LEITURA!$Q$2:$Q$21,4)=0),"",SUMIFS(DECKS!$D$2:$D$1201,DECKS!$A$2:$A$1201,INDEX(_LEITURA!$P$2:$P$21,4),DECKS!$B$2:$B$1201,$A690))</f>
        <v/>
      </c>
      <c r="O690" s="19" t="str">
        <f aca="false">IF(OR($A690="",INDEX(_LEITURA!$Q$2:$Q$21,5)=0),"",SUMIFS(DECKS!$D$2:$D$1201,DECKS!$A$2:$A$1201,INDEX(_LEITURA!$P$2:$P$21,5),DECKS!$B$2:$B$1201,$A690))</f>
        <v/>
      </c>
      <c r="P690" s="19" t="str">
        <f aca="false">IF(OR($A690="",INDEX(_LEITURA!$Q$2:$Q$21,6)=0),"",SUMIFS(DECKS!$D$2:$D$1201,DECKS!$A$2:$A$1201,INDEX(_LEITURA!$P$2:$P$21,6),DECKS!$B$2:$B$1201,$A690))</f>
        <v/>
      </c>
      <c r="Q690" s="19" t="str">
        <f aca="false">IF(OR($A690="",INDEX(_LEITURA!$Q$2:$Q$21,7)=0),"",SUMIFS(DECKS!$D$2:$D$1201,DECKS!$A$2:$A$1201,INDEX(_LEITURA!$P$2:$P$21,7),DECKS!$B$2:$B$1201,$A690))</f>
        <v/>
      </c>
      <c r="R690" s="19" t="str">
        <f aca="false">IF(OR($A690="",INDEX(_LEITURA!$Q$2:$Q$21,8)=0),"",SUMIFS(DECKS!$D$2:$D$1201,DECKS!$A$2:$A$1201,INDEX(_LEITURA!$P$2:$P$21,8),DECKS!$B$2:$B$1201,$A690))</f>
        <v/>
      </c>
      <c r="S690" s="19" t="str">
        <f aca="false">IF(OR($A690="",INDEX(_LEITURA!$Q$2:$Q$21,9)=0),"",SUMIFS(DECKS!$D$2:$D$1201,DECKS!$A$2:$A$1201,INDEX(_LEITURA!$P$2:$P$21,9),DECKS!$B$2:$B$1201,$A690))</f>
        <v/>
      </c>
      <c r="T690" s="19" t="str">
        <f aca="false">IF(OR($A690="",INDEX(_LEITURA!$Q$2:$Q$21,10)=0),"",SUMIFS(DECKS!$D$2:$D$1201,DECKS!$A$2:$A$1201,INDEX(_LEITURA!$P$2:$P$21,10),DECKS!$B$2:$B$1201,$A690))</f>
        <v/>
      </c>
      <c r="U690" s="19" t="str">
        <f aca="false">IF(OR($A690="",INDEX(_LEITURA!$Q$2:$Q$21,11)=0),"",SUMIFS(DECKS!$D$2:$D$1201,DECKS!$A$2:$A$1201,INDEX(_LEITURA!$P$2:$P$21,11),DECKS!$B$2:$B$1201,$A690))</f>
        <v/>
      </c>
      <c r="V690" s="19" t="str">
        <f aca="false">IF(OR($A690="",INDEX(_LEITURA!$Q$2:$Q$21,12)=0),"",SUMIFS(DECKS!$D$2:$D$1201,DECKS!$A$2:$A$1201,INDEX(_LEITURA!$P$2:$P$21,12),DECKS!$B$2:$B$1201,$A690))</f>
        <v/>
      </c>
      <c r="W690" s="19" t="str">
        <f aca="false">IF(OR($A690="",INDEX(_LEITURA!$Q$2:$Q$21,13)=0),"",SUMIFS(DECKS!$D$2:$D$1201,DECKS!$A$2:$A$1201,INDEX(_LEITURA!$P$2:$P$21,13),DECKS!$B$2:$B$1201,$A690))</f>
        <v/>
      </c>
      <c r="X690" s="19" t="str">
        <f aca="false">IF(OR($A690="",INDEX(_LEITURA!$Q$2:$Q$21,14)=0),"",SUMIFS(DECKS!$D$2:$D$1201,DECKS!$A$2:$A$1201,INDEX(_LEITURA!$P$2:$P$21,14),DECKS!$B$2:$B$1201,$A690))</f>
        <v/>
      </c>
      <c r="Y690" s="19" t="str">
        <f aca="false">IF(OR($A690="",INDEX(_LEITURA!$Q$2:$Q$21,15)=0),"",SUMIFS(DECKS!$D$2:$D$1201,DECKS!$A$2:$A$1201,INDEX(_LEITURA!$P$2:$P$21,15),DECKS!$B$2:$B$1201,$A690))</f>
        <v/>
      </c>
      <c r="Z690" s="19" t="str">
        <f aca="false">IF(OR($A690="",INDEX(_LEITURA!$Q$2:$Q$21,16)=0),"",SUMIFS(DECKS!$D$2:$D$1201,DECKS!$A$2:$A$1201,INDEX(_LEITURA!$P$2:$P$21,16),DECKS!$B$2:$B$1201,$A690))</f>
        <v/>
      </c>
      <c r="AA690" s="19" t="str">
        <f aca="false">IF(OR($A690="",INDEX(_LEITURA!$Q$2:$Q$21,17)=0),"",SUMIFS(DECKS!$D$2:$D$1201,DECKS!$A$2:$A$1201,INDEX(_LEITURA!$P$2:$P$21,17),DECKS!$B$2:$B$1201,$A690))</f>
        <v/>
      </c>
      <c r="AB690" s="19" t="str">
        <f aca="false">IF(OR($A690="",INDEX(_LEITURA!$Q$2:$Q$21,18)=0),"",SUMIFS(DECKS!$D$2:$D$1201,DECKS!$A$2:$A$1201,INDEX(_LEITURA!$P$2:$P$21,18),DECKS!$B$2:$B$1201,$A690))</f>
        <v/>
      </c>
      <c r="AC690" s="19" t="str">
        <f aca="false">IF(OR($A690="",INDEX(_LEITURA!$Q$2:$Q$21,19)=0),"",SUMIFS(DECKS!$D$2:$D$1201,DECKS!$A$2:$A$1201,INDEX(_LEITURA!$P$2:$P$21,19),DECKS!$B$2:$B$1201,$A690))</f>
        <v/>
      </c>
      <c r="AD690" s="19" t="str">
        <f aca="false">IF(OR($A690="",INDEX(_LEITURA!$Q$2:$Q$21,20)=0),"",SUMIFS(DECKS!$D$2:$D$1201,DECKS!$A$2:$A$1201,INDEX(_LEITURA!$P$2:$P$21,20),DECKS!$B$2:$B$1201,$A690))</f>
        <v/>
      </c>
      <c r="AE690" s="16" t="str">
        <f aca="false">IF(N(E690)&gt;0,MAX(AE$1:AE689)+1,"")</f>
        <v/>
      </c>
      <c r="AF690" s="11" t="str">
        <f aca="false">IF(A690="","",IFERROR(LEFT(A690,FIND("-",A690)-1),A690))</f>
        <v/>
      </c>
      <c r="AG690" s="11" t="str">
        <f aca="false">IF(AF690="","",IF(ISNUMBER(--MID(AF690,1,1)),0,IF(ISNUMBER(--MID(AF690,2,1)),1,IF(ISNUMBER(--MID(AF690,3,1)),2,IF(ISNUMBER(--MID(AF690,4,1)),3,MIN(LEN(AF690),4))))))</f>
        <v/>
      </c>
      <c r="AH690" s="11" t="str">
        <f aca="false">IF(A690="","",LEFT(AF690,AG690)&amp;REPT("0",4-AG690)&amp;RIGHT("000"&amp;IFERROR(VALUE(MID(AF690,AG690+1,9)),0),3)&amp;RIGHT("0000"&amp;IFERROR(VALUE(MID(A690,FIND("-",A690)+1,9)),0),4))</f>
        <v/>
      </c>
      <c r="AI690" s="11" t="str">
        <f aca="false">IF(OR(A690="",N(E690)&lt;=0),"",IF('FALTAS GERAL'!$M$1="Código","K"&amp;AH690&amp;RIGHT("00000"&amp;ROW(),5),IF('FALTAS GERAL'!$M$1="Nome","K"&amp;UPPER(SUBSTITUTE(SUBSTITUTE(SUBSTITUTE(B690,"*",""),"?",""),"~",""))&amp;"0"&amp;AH690&amp;RIGHT("00000"&amp;ROW(),5),IF('FALTAS GERAL'!$M$1="Falta (maior primeiro)","K"&amp;RIGHT("0000"&amp;(9999-E690),4)&amp;AH690&amp;RIGHT("00000"&amp;ROW(),5),IF('FALTAS GERAL'!$M$1="Nº de decks (maior primeiro)","K"&amp;RIGHT("00"&amp;(99-N(G690)),2)&amp;AH690&amp;RIGHT("00000"&amp;ROW(),5),"K"&amp;RIGHT("00000"&amp;ROW(),5))))))</f>
        <v/>
      </c>
      <c r="AJ690" s="11" t="str">
        <f aca="false">IF(AI690="","",COUNTIFS($AI$2:$AI$801,"&lt;"&amp;AI690,$E$2:$E$801,"&gt;0")+1)</f>
        <v/>
      </c>
      <c r="AK690" s="11" t="str">
        <f aca="false">IF(OR(A690="",N(E690)&lt;=0),"",COUNTIFS($AH$2:$AH$801,"&lt;"&amp;AH690,$E$2:$E$801,"&gt;0")+COUNTIFS($AH$2:AH690,AH690,$E$2:E690,"&gt;0"))</f>
        <v/>
      </c>
    </row>
    <row r="691" customFormat="false" ht="15" hidden="false" customHeight="false" outlineLevel="0" collapsed="false">
      <c r="A691" s="11" t="str">
        <f aca="false">IF(INVENTÁRIO!A691="","",INVENTÁRIO!A691)</f>
        <v/>
      </c>
      <c r="B691" s="11" t="str">
        <f aca="false">IF(A691="","",INVENTÁRIO!B691)</f>
        <v/>
      </c>
      <c r="C691" s="16" t="str">
        <f aca="false">IF(A691="","",INVENTÁRIO!C691)</f>
        <v/>
      </c>
      <c r="D691" s="14" t="str">
        <f aca="false">IF(A691="","",MAX(K691:AD691))</f>
        <v/>
      </c>
      <c r="E691" s="14" t="str">
        <f aca="false">IF(A691="","",MAX(0,D691-C691))</f>
        <v/>
      </c>
      <c r="F691" s="16" t="str">
        <f aca="false">IF(A691="","",IF(D691=0,"Fora dos decks",IF(E691=0,"Completo","Falta")))</f>
        <v/>
      </c>
      <c r="G691" s="16" t="str">
        <f aca="false">IF(A691="","",COUNTIF(K691:AD691,"&gt;0"))</f>
        <v/>
      </c>
      <c r="H691" s="16" t="str">
        <f aca="false">IF(A691="","",IF(G691&gt;1,"Sim",""))</f>
        <v/>
      </c>
      <c r="I691" s="18" t="str">
        <f aca="false">IF(A691="","",SUMIFS(DECKS!$D$2:$D$1201,DECKS!$B$2:$B$1201,A691))</f>
        <v/>
      </c>
      <c r="J691" s="18" t="str">
        <f aca="false">IF(A691="","",MAX(0,I691-C691))</f>
        <v/>
      </c>
      <c r="K691" s="19" t="str">
        <f aca="false">IF(OR($A691="",INDEX(_LEITURA!$Q$2:$Q$21,1)=0),"",SUMIFS(DECKS!$D$2:$D$1201,DECKS!$A$2:$A$1201,INDEX(_LEITURA!$P$2:$P$21,1),DECKS!$B$2:$B$1201,$A691))</f>
        <v/>
      </c>
      <c r="L691" s="19" t="str">
        <f aca="false">IF(OR($A691="",INDEX(_LEITURA!$Q$2:$Q$21,2)=0),"",SUMIFS(DECKS!$D$2:$D$1201,DECKS!$A$2:$A$1201,INDEX(_LEITURA!$P$2:$P$21,2),DECKS!$B$2:$B$1201,$A691))</f>
        <v/>
      </c>
      <c r="M691" s="19" t="str">
        <f aca="false">IF(OR($A691="",INDEX(_LEITURA!$Q$2:$Q$21,3)=0),"",SUMIFS(DECKS!$D$2:$D$1201,DECKS!$A$2:$A$1201,INDEX(_LEITURA!$P$2:$P$21,3),DECKS!$B$2:$B$1201,$A691))</f>
        <v/>
      </c>
      <c r="N691" s="19" t="str">
        <f aca="false">IF(OR($A691="",INDEX(_LEITURA!$Q$2:$Q$21,4)=0),"",SUMIFS(DECKS!$D$2:$D$1201,DECKS!$A$2:$A$1201,INDEX(_LEITURA!$P$2:$P$21,4),DECKS!$B$2:$B$1201,$A691))</f>
        <v/>
      </c>
      <c r="O691" s="19" t="str">
        <f aca="false">IF(OR($A691="",INDEX(_LEITURA!$Q$2:$Q$21,5)=0),"",SUMIFS(DECKS!$D$2:$D$1201,DECKS!$A$2:$A$1201,INDEX(_LEITURA!$P$2:$P$21,5),DECKS!$B$2:$B$1201,$A691))</f>
        <v/>
      </c>
      <c r="P691" s="19" t="str">
        <f aca="false">IF(OR($A691="",INDEX(_LEITURA!$Q$2:$Q$21,6)=0),"",SUMIFS(DECKS!$D$2:$D$1201,DECKS!$A$2:$A$1201,INDEX(_LEITURA!$P$2:$P$21,6),DECKS!$B$2:$B$1201,$A691))</f>
        <v/>
      </c>
      <c r="Q691" s="19" t="str">
        <f aca="false">IF(OR($A691="",INDEX(_LEITURA!$Q$2:$Q$21,7)=0),"",SUMIFS(DECKS!$D$2:$D$1201,DECKS!$A$2:$A$1201,INDEX(_LEITURA!$P$2:$P$21,7),DECKS!$B$2:$B$1201,$A691))</f>
        <v/>
      </c>
      <c r="R691" s="19" t="str">
        <f aca="false">IF(OR($A691="",INDEX(_LEITURA!$Q$2:$Q$21,8)=0),"",SUMIFS(DECKS!$D$2:$D$1201,DECKS!$A$2:$A$1201,INDEX(_LEITURA!$P$2:$P$21,8),DECKS!$B$2:$B$1201,$A691))</f>
        <v/>
      </c>
      <c r="S691" s="19" t="str">
        <f aca="false">IF(OR($A691="",INDEX(_LEITURA!$Q$2:$Q$21,9)=0),"",SUMIFS(DECKS!$D$2:$D$1201,DECKS!$A$2:$A$1201,INDEX(_LEITURA!$P$2:$P$21,9),DECKS!$B$2:$B$1201,$A691))</f>
        <v/>
      </c>
      <c r="T691" s="19" t="str">
        <f aca="false">IF(OR($A691="",INDEX(_LEITURA!$Q$2:$Q$21,10)=0),"",SUMIFS(DECKS!$D$2:$D$1201,DECKS!$A$2:$A$1201,INDEX(_LEITURA!$P$2:$P$21,10),DECKS!$B$2:$B$1201,$A691))</f>
        <v/>
      </c>
      <c r="U691" s="19" t="str">
        <f aca="false">IF(OR($A691="",INDEX(_LEITURA!$Q$2:$Q$21,11)=0),"",SUMIFS(DECKS!$D$2:$D$1201,DECKS!$A$2:$A$1201,INDEX(_LEITURA!$P$2:$P$21,11),DECKS!$B$2:$B$1201,$A691))</f>
        <v/>
      </c>
      <c r="V691" s="19" t="str">
        <f aca="false">IF(OR($A691="",INDEX(_LEITURA!$Q$2:$Q$21,12)=0),"",SUMIFS(DECKS!$D$2:$D$1201,DECKS!$A$2:$A$1201,INDEX(_LEITURA!$P$2:$P$21,12),DECKS!$B$2:$B$1201,$A691))</f>
        <v/>
      </c>
      <c r="W691" s="19" t="str">
        <f aca="false">IF(OR($A691="",INDEX(_LEITURA!$Q$2:$Q$21,13)=0),"",SUMIFS(DECKS!$D$2:$D$1201,DECKS!$A$2:$A$1201,INDEX(_LEITURA!$P$2:$P$21,13),DECKS!$B$2:$B$1201,$A691))</f>
        <v/>
      </c>
      <c r="X691" s="19" t="str">
        <f aca="false">IF(OR($A691="",INDEX(_LEITURA!$Q$2:$Q$21,14)=0),"",SUMIFS(DECKS!$D$2:$D$1201,DECKS!$A$2:$A$1201,INDEX(_LEITURA!$P$2:$P$21,14),DECKS!$B$2:$B$1201,$A691))</f>
        <v/>
      </c>
      <c r="Y691" s="19" t="str">
        <f aca="false">IF(OR($A691="",INDEX(_LEITURA!$Q$2:$Q$21,15)=0),"",SUMIFS(DECKS!$D$2:$D$1201,DECKS!$A$2:$A$1201,INDEX(_LEITURA!$P$2:$P$21,15),DECKS!$B$2:$B$1201,$A691))</f>
        <v/>
      </c>
      <c r="Z691" s="19" t="str">
        <f aca="false">IF(OR($A691="",INDEX(_LEITURA!$Q$2:$Q$21,16)=0),"",SUMIFS(DECKS!$D$2:$D$1201,DECKS!$A$2:$A$1201,INDEX(_LEITURA!$P$2:$P$21,16),DECKS!$B$2:$B$1201,$A691))</f>
        <v/>
      </c>
      <c r="AA691" s="19" t="str">
        <f aca="false">IF(OR($A691="",INDEX(_LEITURA!$Q$2:$Q$21,17)=0),"",SUMIFS(DECKS!$D$2:$D$1201,DECKS!$A$2:$A$1201,INDEX(_LEITURA!$P$2:$P$21,17),DECKS!$B$2:$B$1201,$A691))</f>
        <v/>
      </c>
      <c r="AB691" s="19" t="str">
        <f aca="false">IF(OR($A691="",INDEX(_LEITURA!$Q$2:$Q$21,18)=0),"",SUMIFS(DECKS!$D$2:$D$1201,DECKS!$A$2:$A$1201,INDEX(_LEITURA!$P$2:$P$21,18),DECKS!$B$2:$B$1201,$A691))</f>
        <v/>
      </c>
      <c r="AC691" s="19" t="str">
        <f aca="false">IF(OR($A691="",INDEX(_LEITURA!$Q$2:$Q$21,19)=0),"",SUMIFS(DECKS!$D$2:$D$1201,DECKS!$A$2:$A$1201,INDEX(_LEITURA!$P$2:$P$21,19),DECKS!$B$2:$B$1201,$A691))</f>
        <v/>
      </c>
      <c r="AD691" s="19" t="str">
        <f aca="false">IF(OR($A691="",INDEX(_LEITURA!$Q$2:$Q$21,20)=0),"",SUMIFS(DECKS!$D$2:$D$1201,DECKS!$A$2:$A$1201,INDEX(_LEITURA!$P$2:$P$21,20),DECKS!$B$2:$B$1201,$A691))</f>
        <v/>
      </c>
      <c r="AE691" s="16" t="str">
        <f aca="false">IF(N(E691)&gt;0,MAX(AE$1:AE690)+1,"")</f>
        <v/>
      </c>
      <c r="AF691" s="11" t="str">
        <f aca="false">IF(A691="","",IFERROR(LEFT(A691,FIND("-",A691)-1),A691))</f>
        <v/>
      </c>
      <c r="AG691" s="11" t="str">
        <f aca="false">IF(AF691="","",IF(ISNUMBER(--MID(AF691,1,1)),0,IF(ISNUMBER(--MID(AF691,2,1)),1,IF(ISNUMBER(--MID(AF691,3,1)),2,IF(ISNUMBER(--MID(AF691,4,1)),3,MIN(LEN(AF691),4))))))</f>
        <v/>
      </c>
      <c r="AH691" s="11" t="str">
        <f aca="false">IF(A691="","",LEFT(AF691,AG691)&amp;REPT("0",4-AG691)&amp;RIGHT("000"&amp;IFERROR(VALUE(MID(AF691,AG691+1,9)),0),3)&amp;RIGHT("0000"&amp;IFERROR(VALUE(MID(A691,FIND("-",A691)+1,9)),0),4))</f>
        <v/>
      </c>
      <c r="AI691" s="11" t="str">
        <f aca="false">IF(OR(A691="",N(E691)&lt;=0),"",IF('FALTAS GERAL'!$M$1="Código","K"&amp;AH691&amp;RIGHT("00000"&amp;ROW(),5),IF('FALTAS GERAL'!$M$1="Nome","K"&amp;UPPER(SUBSTITUTE(SUBSTITUTE(SUBSTITUTE(B691,"*",""),"?",""),"~",""))&amp;"0"&amp;AH691&amp;RIGHT("00000"&amp;ROW(),5),IF('FALTAS GERAL'!$M$1="Falta (maior primeiro)","K"&amp;RIGHT("0000"&amp;(9999-E691),4)&amp;AH691&amp;RIGHT("00000"&amp;ROW(),5),IF('FALTAS GERAL'!$M$1="Nº de decks (maior primeiro)","K"&amp;RIGHT("00"&amp;(99-N(G691)),2)&amp;AH691&amp;RIGHT("00000"&amp;ROW(),5),"K"&amp;RIGHT("00000"&amp;ROW(),5))))))</f>
        <v/>
      </c>
      <c r="AJ691" s="11" t="str">
        <f aca="false">IF(AI691="","",COUNTIFS($AI$2:$AI$801,"&lt;"&amp;AI691,$E$2:$E$801,"&gt;0")+1)</f>
        <v/>
      </c>
      <c r="AK691" s="11" t="str">
        <f aca="false">IF(OR(A691="",N(E691)&lt;=0),"",COUNTIFS($AH$2:$AH$801,"&lt;"&amp;AH691,$E$2:$E$801,"&gt;0")+COUNTIFS($AH$2:AH691,AH691,$E$2:E691,"&gt;0"))</f>
        <v/>
      </c>
    </row>
    <row r="692" customFormat="false" ht="15" hidden="false" customHeight="false" outlineLevel="0" collapsed="false">
      <c r="A692" s="11" t="str">
        <f aca="false">IF(INVENTÁRIO!A692="","",INVENTÁRIO!A692)</f>
        <v/>
      </c>
      <c r="B692" s="11" t="str">
        <f aca="false">IF(A692="","",INVENTÁRIO!B692)</f>
        <v/>
      </c>
      <c r="C692" s="16" t="str">
        <f aca="false">IF(A692="","",INVENTÁRIO!C692)</f>
        <v/>
      </c>
      <c r="D692" s="14" t="str">
        <f aca="false">IF(A692="","",MAX(K692:AD692))</f>
        <v/>
      </c>
      <c r="E692" s="14" t="str">
        <f aca="false">IF(A692="","",MAX(0,D692-C692))</f>
        <v/>
      </c>
      <c r="F692" s="16" t="str">
        <f aca="false">IF(A692="","",IF(D692=0,"Fora dos decks",IF(E692=0,"Completo","Falta")))</f>
        <v/>
      </c>
      <c r="G692" s="16" t="str">
        <f aca="false">IF(A692="","",COUNTIF(K692:AD692,"&gt;0"))</f>
        <v/>
      </c>
      <c r="H692" s="16" t="str">
        <f aca="false">IF(A692="","",IF(G692&gt;1,"Sim",""))</f>
        <v/>
      </c>
      <c r="I692" s="18" t="str">
        <f aca="false">IF(A692="","",SUMIFS(DECKS!$D$2:$D$1201,DECKS!$B$2:$B$1201,A692))</f>
        <v/>
      </c>
      <c r="J692" s="18" t="str">
        <f aca="false">IF(A692="","",MAX(0,I692-C692))</f>
        <v/>
      </c>
      <c r="K692" s="19" t="str">
        <f aca="false">IF(OR($A692="",INDEX(_LEITURA!$Q$2:$Q$21,1)=0),"",SUMIFS(DECKS!$D$2:$D$1201,DECKS!$A$2:$A$1201,INDEX(_LEITURA!$P$2:$P$21,1),DECKS!$B$2:$B$1201,$A692))</f>
        <v/>
      </c>
      <c r="L692" s="19" t="str">
        <f aca="false">IF(OR($A692="",INDEX(_LEITURA!$Q$2:$Q$21,2)=0),"",SUMIFS(DECKS!$D$2:$D$1201,DECKS!$A$2:$A$1201,INDEX(_LEITURA!$P$2:$P$21,2),DECKS!$B$2:$B$1201,$A692))</f>
        <v/>
      </c>
      <c r="M692" s="19" t="str">
        <f aca="false">IF(OR($A692="",INDEX(_LEITURA!$Q$2:$Q$21,3)=0),"",SUMIFS(DECKS!$D$2:$D$1201,DECKS!$A$2:$A$1201,INDEX(_LEITURA!$P$2:$P$21,3),DECKS!$B$2:$B$1201,$A692))</f>
        <v/>
      </c>
      <c r="N692" s="19" t="str">
        <f aca="false">IF(OR($A692="",INDEX(_LEITURA!$Q$2:$Q$21,4)=0),"",SUMIFS(DECKS!$D$2:$D$1201,DECKS!$A$2:$A$1201,INDEX(_LEITURA!$P$2:$P$21,4),DECKS!$B$2:$B$1201,$A692))</f>
        <v/>
      </c>
      <c r="O692" s="19" t="str">
        <f aca="false">IF(OR($A692="",INDEX(_LEITURA!$Q$2:$Q$21,5)=0),"",SUMIFS(DECKS!$D$2:$D$1201,DECKS!$A$2:$A$1201,INDEX(_LEITURA!$P$2:$P$21,5),DECKS!$B$2:$B$1201,$A692))</f>
        <v/>
      </c>
      <c r="P692" s="19" t="str">
        <f aca="false">IF(OR($A692="",INDEX(_LEITURA!$Q$2:$Q$21,6)=0),"",SUMIFS(DECKS!$D$2:$D$1201,DECKS!$A$2:$A$1201,INDEX(_LEITURA!$P$2:$P$21,6),DECKS!$B$2:$B$1201,$A692))</f>
        <v/>
      </c>
      <c r="Q692" s="19" t="str">
        <f aca="false">IF(OR($A692="",INDEX(_LEITURA!$Q$2:$Q$21,7)=0),"",SUMIFS(DECKS!$D$2:$D$1201,DECKS!$A$2:$A$1201,INDEX(_LEITURA!$P$2:$P$21,7),DECKS!$B$2:$B$1201,$A692))</f>
        <v/>
      </c>
      <c r="R692" s="19" t="str">
        <f aca="false">IF(OR($A692="",INDEX(_LEITURA!$Q$2:$Q$21,8)=0),"",SUMIFS(DECKS!$D$2:$D$1201,DECKS!$A$2:$A$1201,INDEX(_LEITURA!$P$2:$P$21,8),DECKS!$B$2:$B$1201,$A692))</f>
        <v/>
      </c>
      <c r="S692" s="19" t="str">
        <f aca="false">IF(OR($A692="",INDEX(_LEITURA!$Q$2:$Q$21,9)=0),"",SUMIFS(DECKS!$D$2:$D$1201,DECKS!$A$2:$A$1201,INDEX(_LEITURA!$P$2:$P$21,9),DECKS!$B$2:$B$1201,$A692))</f>
        <v/>
      </c>
      <c r="T692" s="19" t="str">
        <f aca="false">IF(OR($A692="",INDEX(_LEITURA!$Q$2:$Q$21,10)=0),"",SUMIFS(DECKS!$D$2:$D$1201,DECKS!$A$2:$A$1201,INDEX(_LEITURA!$P$2:$P$21,10),DECKS!$B$2:$B$1201,$A692))</f>
        <v/>
      </c>
      <c r="U692" s="19" t="str">
        <f aca="false">IF(OR($A692="",INDEX(_LEITURA!$Q$2:$Q$21,11)=0),"",SUMIFS(DECKS!$D$2:$D$1201,DECKS!$A$2:$A$1201,INDEX(_LEITURA!$P$2:$P$21,11),DECKS!$B$2:$B$1201,$A692))</f>
        <v/>
      </c>
      <c r="V692" s="19" t="str">
        <f aca="false">IF(OR($A692="",INDEX(_LEITURA!$Q$2:$Q$21,12)=0),"",SUMIFS(DECKS!$D$2:$D$1201,DECKS!$A$2:$A$1201,INDEX(_LEITURA!$P$2:$P$21,12),DECKS!$B$2:$B$1201,$A692))</f>
        <v/>
      </c>
      <c r="W692" s="19" t="str">
        <f aca="false">IF(OR($A692="",INDEX(_LEITURA!$Q$2:$Q$21,13)=0),"",SUMIFS(DECKS!$D$2:$D$1201,DECKS!$A$2:$A$1201,INDEX(_LEITURA!$P$2:$P$21,13),DECKS!$B$2:$B$1201,$A692))</f>
        <v/>
      </c>
      <c r="X692" s="19" t="str">
        <f aca="false">IF(OR($A692="",INDEX(_LEITURA!$Q$2:$Q$21,14)=0),"",SUMIFS(DECKS!$D$2:$D$1201,DECKS!$A$2:$A$1201,INDEX(_LEITURA!$P$2:$P$21,14),DECKS!$B$2:$B$1201,$A692))</f>
        <v/>
      </c>
      <c r="Y692" s="19" t="str">
        <f aca="false">IF(OR($A692="",INDEX(_LEITURA!$Q$2:$Q$21,15)=0),"",SUMIFS(DECKS!$D$2:$D$1201,DECKS!$A$2:$A$1201,INDEX(_LEITURA!$P$2:$P$21,15),DECKS!$B$2:$B$1201,$A692))</f>
        <v/>
      </c>
      <c r="Z692" s="19" t="str">
        <f aca="false">IF(OR($A692="",INDEX(_LEITURA!$Q$2:$Q$21,16)=0),"",SUMIFS(DECKS!$D$2:$D$1201,DECKS!$A$2:$A$1201,INDEX(_LEITURA!$P$2:$P$21,16),DECKS!$B$2:$B$1201,$A692))</f>
        <v/>
      </c>
      <c r="AA692" s="19" t="str">
        <f aca="false">IF(OR($A692="",INDEX(_LEITURA!$Q$2:$Q$21,17)=0),"",SUMIFS(DECKS!$D$2:$D$1201,DECKS!$A$2:$A$1201,INDEX(_LEITURA!$P$2:$P$21,17),DECKS!$B$2:$B$1201,$A692))</f>
        <v/>
      </c>
      <c r="AB692" s="19" t="str">
        <f aca="false">IF(OR($A692="",INDEX(_LEITURA!$Q$2:$Q$21,18)=0),"",SUMIFS(DECKS!$D$2:$D$1201,DECKS!$A$2:$A$1201,INDEX(_LEITURA!$P$2:$P$21,18),DECKS!$B$2:$B$1201,$A692))</f>
        <v/>
      </c>
      <c r="AC692" s="19" t="str">
        <f aca="false">IF(OR($A692="",INDEX(_LEITURA!$Q$2:$Q$21,19)=0),"",SUMIFS(DECKS!$D$2:$D$1201,DECKS!$A$2:$A$1201,INDEX(_LEITURA!$P$2:$P$21,19),DECKS!$B$2:$B$1201,$A692))</f>
        <v/>
      </c>
      <c r="AD692" s="19" t="str">
        <f aca="false">IF(OR($A692="",INDEX(_LEITURA!$Q$2:$Q$21,20)=0),"",SUMIFS(DECKS!$D$2:$D$1201,DECKS!$A$2:$A$1201,INDEX(_LEITURA!$P$2:$P$21,20),DECKS!$B$2:$B$1201,$A692))</f>
        <v/>
      </c>
      <c r="AE692" s="16" t="str">
        <f aca="false">IF(N(E692)&gt;0,MAX(AE$1:AE691)+1,"")</f>
        <v/>
      </c>
      <c r="AF692" s="11" t="str">
        <f aca="false">IF(A692="","",IFERROR(LEFT(A692,FIND("-",A692)-1),A692))</f>
        <v/>
      </c>
      <c r="AG692" s="11" t="str">
        <f aca="false">IF(AF692="","",IF(ISNUMBER(--MID(AF692,1,1)),0,IF(ISNUMBER(--MID(AF692,2,1)),1,IF(ISNUMBER(--MID(AF692,3,1)),2,IF(ISNUMBER(--MID(AF692,4,1)),3,MIN(LEN(AF692),4))))))</f>
        <v/>
      </c>
      <c r="AH692" s="11" t="str">
        <f aca="false">IF(A692="","",LEFT(AF692,AG692)&amp;REPT("0",4-AG692)&amp;RIGHT("000"&amp;IFERROR(VALUE(MID(AF692,AG692+1,9)),0),3)&amp;RIGHT("0000"&amp;IFERROR(VALUE(MID(A692,FIND("-",A692)+1,9)),0),4))</f>
        <v/>
      </c>
      <c r="AI692" s="11" t="str">
        <f aca="false">IF(OR(A692="",N(E692)&lt;=0),"",IF('FALTAS GERAL'!$M$1="Código","K"&amp;AH692&amp;RIGHT("00000"&amp;ROW(),5),IF('FALTAS GERAL'!$M$1="Nome","K"&amp;UPPER(SUBSTITUTE(SUBSTITUTE(SUBSTITUTE(B692,"*",""),"?",""),"~",""))&amp;"0"&amp;AH692&amp;RIGHT("00000"&amp;ROW(),5),IF('FALTAS GERAL'!$M$1="Falta (maior primeiro)","K"&amp;RIGHT("0000"&amp;(9999-E692),4)&amp;AH692&amp;RIGHT("00000"&amp;ROW(),5),IF('FALTAS GERAL'!$M$1="Nº de decks (maior primeiro)","K"&amp;RIGHT("00"&amp;(99-N(G692)),2)&amp;AH692&amp;RIGHT("00000"&amp;ROW(),5),"K"&amp;RIGHT("00000"&amp;ROW(),5))))))</f>
        <v/>
      </c>
      <c r="AJ692" s="11" t="str">
        <f aca="false">IF(AI692="","",COUNTIFS($AI$2:$AI$801,"&lt;"&amp;AI692,$E$2:$E$801,"&gt;0")+1)</f>
        <v/>
      </c>
      <c r="AK692" s="11" t="str">
        <f aca="false">IF(OR(A692="",N(E692)&lt;=0),"",COUNTIFS($AH$2:$AH$801,"&lt;"&amp;AH692,$E$2:$E$801,"&gt;0")+COUNTIFS($AH$2:AH692,AH692,$E$2:E692,"&gt;0"))</f>
        <v/>
      </c>
    </row>
    <row r="693" customFormat="false" ht="15" hidden="false" customHeight="false" outlineLevel="0" collapsed="false">
      <c r="A693" s="11" t="str">
        <f aca="false">IF(INVENTÁRIO!A693="","",INVENTÁRIO!A693)</f>
        <v/>
      </c>
      <c r="B693" s="11" t="str">
        <f aca="false">IF(A693="","",INVENTÁRIO!B693)</f>
        <v/>
      </c>
      <c r="C693" s="16" t="str">
        <f aca="false">IF(A693="","",INVENTÁRIO!C693)</f>
        <v/>
      </c>
      <c r="D693" s="14" t="str">
        <f aca="false">IF(A693="","",MAX(K693:AD693))</f>
        <v/>
      </c>
      <c r="E693" s="14" t="str">
        <f aca="false">IF(A693="","",MAX(0,D693-C693))</f>
        <v/>
      </c>
      <c r="F693" s="16" t="str">
        <f aca="false">IF(A693="","",IF(D693=0,"Fora dos decks",IF(E693=0,"Completo","Falta")))</f>
        <v/>
      </c>
      <c r="G693" s="16" t="str">
        <f aca="false">IF(A693="","",COUNTIF(K693:AD693,"&gt;0"))</f>
        <v/>
      </c>
      <c r="H693" s="16" t="str">
        <f aca="false">IF(A693="","",IF(G693&gt;1,"Sim",""))</f>
        <v/>
      </c>
      <c r="I693" s="18" t="str">
        <f aca="false">IF(A693="","",SUMIFS(DECKS!$D$2:$D$1201,DECKS!$B$2:$B$1201,A693))</f>
        <v/>
      </c>
      <c r="J693" s="18" t="str">
        <f aca="false">IF(A693="","",MAX(0,I693-C693))</f>
        <v/>
      </c>
      <c r="K693" s="19" t="str">
        <f aca="false">IF(OR($A693="",INDEX(_LEITURA!$Q$2:$Q$21,1)=0),"",SUMIFS(DECKS!$D$2:$D$1201,DECKS!$A$2:$A$1201,INDEX(_LEITURA!$P$2:$P$21,1),DECKS!$B$2:$B$1201,$A693))</f>
        <v/>
      </c>
      <c r="L693" s="19" t="str">
        <f aca="false">IF(OR($A693="",INDEX(_LEITURA!$Q$2:$Q$21,2)=0),"",SUMIFS(DECKS!$D$2:$D$1201,DECKS!$A$2:$A$1201,INDEX(_LEITURA!$P$2:$P$21,2),DECKS!$B$2:$B$1201,$A693))</f>
        <v/>
      </c>
      <c r="M693" s="19" t="str">
        <f aca="false">IF(OR($A693="",INDEX(_LEITURA!$Q$2:$Q$21,3)=0),"",SUMIFS(DECKS!$D$2:$D$1201,DECKS!$A$2:$A$1201,INDEX(_LEITURA!$P$2:$P$21,3),DECKS!$B$2:$B$1201,$A693))</f>
        <v/>
      </c>
      <c r="N693" s="19" t="str">
        <f aca="false">IF(OR($A693="",INDEX(_LEITURA!$Q$2:$Q$21,4)=0),"",SUMIFS(DECKS!$D$2:$D$1201,DECKS!$A$2:$A$1201,INDEX(_LEITURA!$P$2:$P$21,4),DECKS!$B$2:$B$1201,$A693))</f>
        <v/>
      </c>
      <c r="O693" s="19" t="str">
        <f aca="false">IF(OR($A693="",INDEX(_LEITURA!$Q$2:$Q$21,5)=0),"",SUMIFS(DECKS!$D$2:$D$1201,DECKS!$A$2:$A$1201,INDEX(_LEITURA!$P$2:$P$21,5),DECKS!$B$2:$B$1201,$A693))</f>
        <v/>
      </c>
      <c r="P693" s="19" t="str">
        <f aca="false">IF(OR($A693="",INDEX(_LEITURA!$Q$2:$Q$21,6)=0),"",SUMIFS(DECKS!$D$2:$D$1201,DECKS!$A$2:$A$1201,INDEX(_LEITURA!$P$2:$P$21,6),DECKS!$B$2:$B$1201,$A693))</f>
        <v/>
      </c>
      <c r="Q693" s="19" t="str">
        <f aca="false">IF(OR($A693="",INDEX(_LEITURA!$Q$2:$Q$21,7)=0),"",SUMIFS(DECKS!$D$2:$D$1201,DECKS!$A$2:$A$1201,INDEX(_LEITURA!$P$2:$P$21,7),DECKS!$B$2:$B$1201,$A693))</f>
        <v/>
      </c>
      <c r="R693" s="19" t="str">
        <f aca="false">IF(OR($A693="",INDEX(_LEITURA!$Q$2:$Q$21,8)=0),"",SUMIFS(DECKS!$D$2:$D$1201,DECKS!$A$2:$A$1201,INDEX(_LEITURA!$P$2:$P$21,8),DECKS!$B$2:$B$1201,$A693))</f>
        <v/>
      </c>
      <c r="S693" s="19" t="str">
        <f aca="false">IF(OR($A693="",INDEX(_LEITURA!$Q$2:$Q$21,9)=0),"",SUMIFS(DECKS!$D$2:$D$1201,DECKS!$A$2:$A$1201,INDEX(_LEITURA!$P$2:$P$21,9),DECKS!$B$2:$B$1201,$A693))</f>
        <v/>
      </c>
      <c r="T693" s="19" t="str">
        <f aca="false">IF(OR($A693="",INDEX(_LEITURA!$Q$2:$Q$21,10)=0),"",SUMIFS(DECKS!$D$2:$D$1201,DECKS!$A$2:$A$1201,INDEX(_LEITURA!$P$2:$P$21,10),DECKS!$B$2:$B$1201,$A693))</f>
        <v/>
      </c>
      <c r="U693" s="19" t="str">
        <f aca="false">IF(OR($A693="",INDEX(_LEITURA!$Q$2:$Q$21,11)=0),"",SUMIFS(DECKS!$D$2:$D$1201,DECKS!$A$2:$A$1201,INDEX(_LEITURA!$P$2:$P$21,11),DECKS!$B$2:$B$1201,$A693))</f>
        <v/>
      </c>
      <c r="V693" s="19" t="str">
        <f aca="false">IF(OR($A693="",INDEX(_LEITURA!$Q$2:$Q$21,12)=0),"",SUMIFS(DECKS!$D$2:$D$1201,DECKS!$A$2:$A$1201,INDEX(_LEITURA!$P$2:$P$21,12),DECKS!$B$2:$B$1201,$A693))</f>
        <v/>
      </c>
      <c r="W693" s="19" t="str">
        <f aca="false">IF(OR($A693="",INDEX(_LEITURA!$Q$2:$Q$21,13)=0),"",SUMIFS(DECKS!$D$2:$D$1201,DECKS!$A$2:$A$1201,INDEX(_LEITURA!$P$2:$P$21,13),DECKS!$B$2:$B$1201,$A693))</f>
        <v/>
      </c>
      <c r="X693" s="19" t="str">
        <f aca="false">IF(OR($A693="",INDEX(_LEITURA!$Q$2:$Q$21,14)=0),"",SUMIFS(DECKS!$D$2:$D$1201,DECKS!$A$2:$A$1201,INDEX(_LEITURA!$P$2:$P$21,14),DECKS!$B$2:$B$1201,$A693))</f>
        <v/>
      </c>
      <c r="Y693" s="19" t="str">
        <f aca="false">IF(OR($A693="",INDEX(_LEITURA!$Q$2:$Q$21,15)=0),"",SUMIFS(DECKS!$D$2:$D$1201,DECKS!$A$2:$A$1201,INDEX(_LEITURA!$P$2:$P$21,15),DECKS!$B$2:$B$1201,$A693))</f>
        <v/>
      </c>
      <c r="Z693" s="19" t="str">
        <f aca="false">IF(OR($A693="",INDEX(_LEITURA!$Q$2:$Q$21,16)=0),"",SUMIFS(DECKS!$D$2:$D$1201,DECKS!$A$2:$A$1201,INDEX(_LEITURA!$P$2:$P$21,16),DECKS!$B$2:$B$1201,$A693))</f>
        <v/>
      </c>
      <c r="AA693" s="19" t="str">
        <f aca="false">IF(OR($A693="",INDEX(_LEITURA!$Q$2:$Q$21,17)=0),"",SUMIFS(DECKS!$D$2:$D$1201,DECKS!$A$2:$A$1201,INDEX(_LEITURA!$P$2:$P$21,17),DECKS!$B$2:$B$1201,$A693))</f>
        <v/>
      </c>
      <c r="AB693" s="19" t="str">
        <f aca="false">IF(OR($A693="",INDEX(_LEITURA!$Q$2:$Q$21,18)=0),"",SUMIFS(DECKS!$D$2:$D$1201,DECKS!$A$2:$A$1201,INDEX(_LEITURA!$P$2:$P$21,18),DECKS!$B$2:$B$1201,$A693))</f>
        <v/>
      </c>
      <c r="AC693" s="19" t="str">
        <f aca="false">IF(OR($A693="",INDEX(_LEITURA!$Q$2:$Q$21,19)=0),"",SUMIFS(DECKS!$D$2:$D$1201,DECKS!$A$2:$A$1201,INDEX(_LEITURA!$P$2:$P$21,19),DECKS!$B$2:$B$1201,$A693))</f>
        <v/>
      </c>
      <c r="AD693" s="19" t="str">
        <f aca="false">IF(OR($A693="",INDEX(_LEITURA!$Q$2:$Q$21,20)=0),"",SUMIFS(DECKS!$D$2:$D$1201,DECKS!$A$2:$A$1201,INDEX(_LEITURA!$P$2:$P$21,20),DECKS!$B$2:$B$1201,$A693))</f>
        <v/>
      </c>
      <c r="AE693" s="16" t="str">
        <f aca="false">IF(N(E693)&gt;0,MAX(AE$1:AE692)+1,"")</f>
        <v/>
      </c>
      <c r="AF693" s="11" t="str">
        <f aca="false">IF(A693="","",IFERROR(LEFT(A693,FIND("-",A693)-1),A693))</f>
        <v/>
      </c>
      <c r="AG693" s="11" t="str">
        <f aca="false">IF(AF693="","",IF(ISNUMBER(--MID(AF693,1,1)),0,IF(ISNUMBER(--MID(AF693,2,1)),1,IF(ISNUMBER(--MID(AF693,3,1)),2,IF(ISNUMBER(--MID(AF693,4,1)),3,MIN(LEN(AF693),4))))))</f>
        <v/>
      </c>
      <c r="AH693" s="11" t="str">
        <f aca="false">IF(A693="","",LEFT(AF693,AG693)&amp;REPT("0",4-AG693)&amp;RIGHT("000"&amp;IFERROR(VALUE(MID(AF693,AG693+1,9)),0),3)&amp;RIGHT("0000"&amp;IFERROR(VALUE(MID(A693,FIND("-",A693)+1,9)),0),4))</f>
        <v/>
      </c>
      <c r="AI693" s="11" t="str">
        <f aca="false">IF(OR(A693="",N(E693)&lt;=0),"",IF('FALTAS GERAL'!$M$1="Código","K"&amp;AH693&amp;RIGHT("00000"&amp;ROW(),5),IF('FALTAS GERAL'!$M$1="Nome","K"&amp;UPPER(SUBSTITUTE(SUBSTITUTE(SUBSTITUTE(B693,"*",""),"?",""),"~",""))&amp;"0"&amp;AH693&amp;RIGHT("00000"&amp;ROW(),5),IF('FALTAS GERAL'!$M$1="Falta (maior primeiro)","K"&amp;RIGHT("0000"&amp;(9999-E693),4)&amp;AH693&amp;RIGHT("00000"&amp;ROW(),5),IF('FALTAS GERAL'!$M$1="Nº de decks (maior primeiro)","K"&amp;RIGHT("00"&amp;(99-N(G693)),2)&amp;AH693&amp;RIGHT("00000"&amp;ROW(),5),"K"&amp;RIGHT("00000"&amp;ROW(),5))))))</f>
        <v/>
      </c>
      <c r="AJ693" s="11" t="str">
        <f aca="false">IF(AI693="","",COUNTIFS($AI$2:$AI$801,"&lt;"&amp;AI693,$E$2:$E$801,"&gt;0")+1)</f>
        <v/>
      </c>
      <c r="AK693" s="11" t="str">
        <f aca="false">IF(OR(A693="",N(E693)&lt;=0),"",COUNTIFS($AH$2:$AH$801,"&lt;"&amp;AH693,$E$2:$E$801,"&gt;0")+COUNTIFS($AH$2:AH693,AH693,$E$2:E693,"&gt;0"))</f>
        <v/>
      </c>
    </row>
    <row r="694" customFormat="false" ht="15" hidden="false" customHeight="false" outlineLevel="0" collapsed="false">
      <c r="A694" s="11" t="str">
        <f aca="false">IF(INVENTÁRIO!A694="","",INVENTÁRIO!A694)</f>
        <v/>
      </c>
      <c r="B694" s="11" t="str">
        <f aca="false">IF(A694="","",INVENTÁRIO!B694)</f>
        <v/>
      </c>
      <c r="C694" s="16" t="str">
        <f aca="false">IF(A694="","",INVENTÁRIO!C694)</f>
        <v/>
      </c>
      <c r="D694" s="14" t="str">
        <f aca="false">IF(A694="","",MAX(K694:AD694))</f>
        <v/>
      </c>
      <c r="E694" s="14" t="str">
        <f aca="false">IF(A694="","",MAX(0,D694-C694))</f>
        <v/>
      </c>
      <c r="F694" s="16" t="str">
        <f aca="false">IF(A694="","",IF(D694=0,"Fora dos decks",IF(E694=0,"Completo","Falta")))</f>
        <v/>
      </c>
      <c r="G694" s="16" t="str">
        <f aca="false">IF(A694="","",COUNTIF(K694:AD694,"&gt;0"))</f>
        <v/>
      </c>
      <c r="H694" s="16" t="str">
        <f aca="false">IF(A694="","",IF(G694&gt;1,"Sim",""))</f>
        <v/>
      </c>
      <c r="I694" s="18" t="str">
        <f aca="false">IF(A694="","",SUMIFS(DECKS!$D$2:$D$1201,DECKS!$B$2:$B$1201,A694))</f>
        <v/>
      </c>
      <c r="J694" s="18" t="str">
        <f aca="false">IF(A694="","",MAX(0,I694-C694))</f>
        <v/>
      </c>
      <c r="K694" s="19" t="str">
        <f aca="false">IF(OR($A694="",INDEX(_LEITURA!$Q$2:$Q$21,1)=0),"",SUMIFS(DECKS!$D$2:$D$1201,DECKS!$A$2:$A$1201,INDEX(_LEITURA!$P$2:$P$21,1),DECKS!$B$2:$B$1201,$A694))</f>
        <v/>
      </c>
      <c r="L694" s="19" t="str">
        <f aca="false">IF(OR($A694="",INDEX(_LEITURA!$Q$2:$Q$21,2)=0),"",SUMIFS(DECKS!$D$2:$D$1201,DECKS!$A$2:$A$1201,INDEX(_LEITURA!$P$2:$P$21,2),DECKS!$B$2:$B$1201,$A694))</f>
        <v/>
      </c>
      <c r="M694" s="19" t="str">
        <f aca="false">IF(OR($A694="",INDEX(_LEITURA!$Q$2:$Q$21,3)=0),"",SUMIFS(DECKS!$D$2:$D$1201,DECKS!$A$2:$A$1201,INDEX(_LEITURA!$P$2:$P$21,3),DECKS!$B$2:$B$1201,$A694))</f>
        <v/>
      </c>
      <c r="N694" s="19" t="str">
        <f aca="false">IF(OR($A694="",INDEX(_LEITURA!$Q$2:$Q$21,4)=0),"",SUMIFS(DECKS!$D$2:$D$1201,DECKS!$A$2:$A$1201,INDEX(_LEITURA!$P$2:$P$21,4),DECKS!$B$2:$B$1201,$A694))</f>
        <v/>
      </c>
      <c r="O694" s="19" t="str">
        <f aca="false">IF(OR($A694="",INDEX(_LEITURA!$Q$2:$Q$21,5)=0),"",SUMIFS(DECKS!$D$2:$D$1201,DECKS!$A$2:$A$1201,INDEX(_LEITURA!$P$2:$P$21,5),DECKS!$B$2:$B$1201,$A694))</f>
        <v/>
      </c>
      <c r="P694" s="19" t="str">
        <f aca="false">IF(OR($A694="",INDEX(_LEITURA!$Q$2:$Q$21,6)=0),"",SUMIFS(DECKS!$D$2:$D$1201,DECKS!$A$2:$A$1201,INDEX(_LEITURA!$P$2:$P$21,6),DECKS!$B$2:$B$1201,$A694))</f>
        <v/>
      </c>
      <c r="Q694" s="19" t="str">
        <f aca="false">IF(OR($A694="",INDEX(_LEITURA!$Q$2:$Q$21,7)=0),"",SUMIFS(DECKS!$D$2:$D$1201,DECKS!$A$2:$A$1201,INDEX(_LEITURA!$P$2:$P$21,7),DECKS!$B$2:$B$1201,$A694))</f>
        <v/>
      </c>
      <c r="R694" s="19" t="str">
        <f aca="false">IF(OR($A694="",INDEX(_LEITURA!$Q$2:$Q$21,8)=0),"",SUMIFS(DECKS!$D$2:$D$1201,DECKS!$A$2:$A$1201,INDEX(_LEITURA!$P$2:$P$21,8),DECKS!$B$2:$B$1201,$A694))</f>
        <v/>
      </c>
      <c r="S694" s="19" t="str">
        <f aca="false">IF(OR($A694="",INDEX(_LEITURA!$Q$2:$Q$21,9)=0),"",SUMIFS(DECKS!$D$2:$D$1201,DECKS!$A$2:$A$1201,INDEX(_LEITURA!$P$2:$P$21,9),DECKS!$B$2:$B$1201,$A694))</f>
        <v/>
      </c>
      <c r="T694" s="19" t="str">
        <f aca="false">IF(OR($A694="",INDEX(_LEITURA!$Q$2:$Q$21,10)=0),"",SUMIFS(DECKS!$D$2:$D$1201,DECKS!$A$2:$A$1201,INDEX(_LEITURA!$P$2:$P$21,10),DECKS!$B$2:$B$1201,$A694))</f>
        <v/>
      </c>
      <c r="U694" s="19" t="str">
        <f aca="false">IF(OR($A694="",INDEX(_LEITURA!$Q$2:$Q$21,11)=0),"",SUMIFS(DECKS!$D$2:$D$1201,DECKS!$A$2:$A$1201,INDEX(_LEITURA!$P$2:$P$21,11),DECKS!$B$2:$B$1201,$A694))</f>
        <v/>
      </c>
      <c r="V694" s="19" t="str">
        <f aca="false">IF(OR($A694="",INDEX(_LEITURA!$Q$2:$Q$21,12)=0),"",SUMIFS(DECKS!$D$2:$D$1201,DECKS!$A$2:$A$1201,INDEX(_LEITURA!$P$2:$P$21,12),DECKS!$B$2:$B$1201,$A694))</f>
        <v/>
      </c>
      <c r="W694" s="19" t="str">
        <f aca="false">IF(OR($A694="",INDEX(_LEITURA!$Q$2:$Q$21,13)=0),"",SUMIFS(DECKS!$D$2:$D$1201,DECKS!$A$2:$A$1201,INDEX(_LEITURA!$P$2:$P$21,13),DECKS!$B$2:$B$1201,$A694))</f>
        <v/>
      </c>
      <c r="X694" s="19" t="str">
        <f aca="false">IF(OR($A694="",INDEX(_LEITURA!$Q$2:$Q$21,14)=0),"",SUMIFS(DECKS!$D$2:$D$1201,DECKS!$A$2:$A$1201,INDEX(_LEITURA!$P$2:$P$21,14),DECKS!$B$2:$B$1201,$A694))</f>
        <v/>
      </c>
      <c r="Y694" s="19" t="str">
        <f aca="false">IF(OR($A694="",INDEX(_LEITURA!$Q$2:$Q$21,15)=0),"",SUMIFS(DECKS!$D$2:$D$1201,DECKS!$A$2:$A$1201,INDEX(_LEITURA!$P$2:$P$21,15),DECKS!$B$2:$B$1201,$A694))</f>
        <v/>
      </c>
      <c r="Z694" s="19" t="str">
        <f aca="false">IF(OR($A694="",INDEX(_LEITURA!$Q$2:$Q$21,16)=0),"",SUMIFS(DECKS!$D$2:$D$1201,DECKS!$A$2:$A$1201,INDEX(_LEITURA!$P$2:$P$21,16),DECKS!$B$2:$B$1201,$A694))</f>
        <v/>
      </c>
      <c r="AA694" s="19" t="str">
        <f aca="false">IF(OR($A694="",INDEX(_LEITURA!$Q$2:$Q$21,17)=0),"",SUMIFS(DECKS!$D$2:$D$1201,DECKS!$A$2:$A$1201,INDEX(_LEITURA!$P$2:$P$21,17),DECKS!$B$2:$B$1201,$A694))</f>
        <v/>
      </c>
      <c r="AB694" s="19" t="str">
        <f aca="false">IF(OR($A694="",INDEX(_LEITURA!$Q$2:$Q$21,18)=0),"",SUMIFS(DECKS!$D$2:$D$1201,DECKS!$A$2:$A$1201,INDEX(_LEITURA!$P$2:$P$21,18),DECKS!$B$2:$B$1201,$A694))</f>
        <v/>
      </c>
      <c r="AC694" s="19" t="str">
        <f aca="false">IF(OR($A694="",INDEX(_LEITURA!$Q$2:$Q$21,19)=0),"",SUMIFS(DECKS!$D$2:$D$1201,DECKS!$A$2:$A$1201,INDEX(_LEITURA!$P$2:$P$21,19),DECKS!$B$2:$B$1201,$A694))</f>
        <v/>
      </c>
      <c r="AD694" s="19" t="str">
        <f aca="false">IF(OR($A694="",INDEX(_LEITURA!$Q$2:$Q$21,20)=0),"",SUMIFS(DECKS!$D$2:$D$1201,DECKS!$A$2:$A$1201,INDEX(_LEITURA!$P$2:$P$21,20),DECKS!$B$2:$B$1201,$A694))</f>
        <v/>
      </c>
      <c r="AE694" s="16" t="str">
        <f aca="false">IF(N(E694)&gt;0,MAX(AE$1:AE693)+1,"")</f>
        <v/>
      </c>
      <c r="AF694" s="11" t="str">
        <f aca="false">IF(A694="","",IFERROR(LEFT(A694,FIND("-",A694)-1),A694))</f>
        <v/>
      </c>
      <c r="AG694" s="11" t="str">
        <f aca="false">IF(AF694="","",IF(ISNUMBER(--MID(AF694,1,1)),0,IF(ISNUMBER(--MID(AF694,2,1)),1,IF(ISNUMBER(--MID(AF694,3,1)),2,IF(ISNUMBER(--MID(AF694,4,1)),3,MIN(LEN(AF694),4))))))</f>
        <v/>
      </c>
      <c r="AH694" s="11" t="str">
        <f aca="false">IF(A694="","",LEFT(AF694,AG694)&amp;REPT("0",4-AG694)&amp;RIGHT("000"&amp;IFERROR(VALUE(MID(AF694,AG694+1,9)),0),3)&amp;RIGHT("0000"&amp;IFERROR(VALUE(MID(A694,FIND("-",A694)+1,9)),0),4))</f>
        <v/>
      </c>
      <c r="AI694" s="11" t="str">
        <f aca="false">IF(OR(A694="",N(E694)&lt;=0),"",IF('FALTAS GERAL'!$M$1="Código","K"&amp;AH694&amp;RIGHT("00000"&amp;ROW(),5),IF('FALTAS GERAL'!$M$1="Nome","K"&amp;UPPER(SUBSTITUTE(SUBSTITUTE(SUBSTITUTE(B694,"*",""),"?",""),"~",""))&amp;"0"&amp;AH694&amp;RIGHT("00000"&amp;ROW(),5),IF('FALTAS GERAL'!$M$1="Falta (maior primeiro)","K"&amp;RIGHT("0000"&amp;(9999-E694),4)&amp;AH694&amp;RIGHT("00000"&amp;ROW(),5),IF('FALTAS GERAL'!$M$1="Nº de decks (maior primeiro)","K"&amp;RIGHT("00"&amp;(99-N(G694)),2)&amp;AH694&amp;RIGHT("00000"&amp;ROW(),5),"K"&amp;RIGHT("00000"&amp;ROW(),5))))))</f>
        <v/>
      </c>
      <c r="AJ694" s="11" t="str">
        <f aca="false">IF(AI694="","",COUNTIFS($AI$2:$AI$801,"&lt;"&amp;AI694,$E$2:$E$801,"&gt;0")+1)</f>
        <v/>
      </c>
      <c r="AK694" s="11" t="str">
        <f aca="false">IF(OR(A694="",N(E694)&lt;=0),"",COUNTIFS($AH$2:$AH$801,"&lt;"&amp;AH694,$E$2:$E$801,"&gt;0")+COUNTIFS($AH$2:AH694,AH694,$E$2:E694,"&gt;0"))</f>
        <v/>
      </c>
    </row>
    <row r="695" customFormat="false" ht="15" hidden="false" customHeight="false" outlineLevel="0" collapsed="false">
      <c r="A695" s="11" t="str">
        <f aca="false">IF(INVENTÁRIO!A695="","",INVENTÁRIO!A695)</f>
        <v/>
      </c>
      <c r="B695" s="11" t="str">
        <f aca="false">IF(A695="","",INVENTÁRIO!B695)</f>
        <v/>
      </c>
      <c r="C695" s="16" t="str">
        <f aca="false">IF(A695="","",INVENTÁRIO!C695)</f>
        <v/>
      </c>
      <c r="D695" s="14" t="str">
        <f aca="false">IF(A695="","",MAX(K695:AD695))</f>
        <v/>
      </c>
      <c r="E695" s="14" t="str">
        <f aca="false">IF(A695="","",MAX(0,D695-C695))</f>
        <v/>
      </c>
      <c r="F695" s="16" t="str">
        <f aca="false">IF(A695="","",IF(D695=0,"Fora dos decks",IF(E695=0,"Completo","Falta")))</f>
        <v/>
      </c>
      <c r="G695" s="16" t="str">
        <f aca="false">IF(A695="","",COUNTIF(K695:AD695,"&gt;0"))</f>
        <v/>
      </c>
      <c r="H695" s="16" t="str">
        <f aca="false">IF(A695="","",IF(G695&gt;1,"Sim",""))</f>
        <v/>
      </c>
      <c r="I695" s="18" t="str">
        <f aca="false">IF(A695="","",SUMIFS(DECKS!$D$2:$D$1201,DECKS!$B$2:$B$1201,A695))</f>
        <v/>
      </c>
      <c r="J695" s="18" t="str">
        <f aca="false">IF(A695="","",MAX(0,I695-C695))</f>
        <v/>
      </c>
      <c r="K695" s="19" t="str">
        <f aca="false">IF(OR($A695="",INDEX(_LEITURA!$Q$2:$Q$21,1)=0),"",SUMIFS(DECKS!$D$2:$D$1201,DECKS!$A$2:$A$1201,INDEX(_LEITURA!$P$2:$P$21,1),DECKS!$B$2:$B$1201,$A695))</f>
        <v/>
      </c>
      <c r="L695" s="19" t="str">
        <f aca="false">IF(OR($A695="",INDEX(_LEITURA!$Q$2:$Q$21,2)=0),"",SUMIFS(DECKS!$D$2:$D$1201,DECKS!$A$2:$A$1201,INDEX(_LEITURA!$P$2:$P$21,2),DECKS!$B$2:$B$1201,$A695))</f>
        <v/>
      </c>
      <c r="M695" s="19" t="str">
        <f aca="false">IF(OR($A695="",INDEX(_LEITURA!$Q$2:$Q$21,3)=0),"",SUMIFS(DECKS!$D$2:$D$1201,DECKS!$A$2:$A$1201,INDEX(_LEITURA!$P$2:$P$21,3),DECKS!$B$2:$B$1201,$A695))</f>
        <v/>
      </c>
      <c r="N695" s="19" t="str">
        <f aca="false">IF(OR($A695="",INDEX(_LEITURA!$Q$2:$Q$21,4)=0),"",SUMIFS(DECKS!$D$2:$D$1201,DECKS!$A$2:$A$1201,INDEX(_LEITURA!$P$2:$P$21,4),DECKS!$B$2:$B$1201,$A695))</f>
        <v/>
      </c>
      <c r="O695" s="19" t="str">
        <f aca="false">IF(OR($A695="",INDEX(_LEITURA!$Q$2:$Q$21,5)=0),"",SUMIFS(DECKS!$D$2:$D$1201,DECKS!$A$2:$A$1201,INDEX(_LEITURA!$P$2:$P$21,5),DECKS!$B$2:$B$1201,$A695))</f>
        <v/>
      </c>
      <c r="P695" s="19" t="str">
        <f aca="false">IF(OR($A695="",INDEX(_LEITURA!$Q$2:$Q$21,6)=0),"",SUMIFS(DECKS!$D$2:$D$1201,DECKS!$A$2:$A$1201,INDEX(_LEITURA!$P$2:$P$21,6),DECKS!$B$2:$B$1201,$A695))</f>
        <v/>
      </c>
      <c r="Q695" s="19" t="str">
        <f aca="false">IF(OR($A695="",INDEX(_LEITURA!$Q$2:$Q$21,7)=0),"",SUMIFS(DECKS!$D$2:$D$1201,DECKS!$A$2:$A$1201,INDEX(_LEITURA!$P$2:$P$21,7),DECKS!$B$2:$B$1201,$A695))</f>
        <v/>
      </c>
      <c r="R695" s="19" t="str">
        <f aca="false">IF(OR($A695="",INDEX(_LEITURA!$Q$2:$Q$21,8)=0),"",SUMIFS(DECKS!$D$2:$D$1201,DECKS!$A$2:$A$1201,INDEX(_LEITURA!$P$2:$P$21,8),DECKS!$B$2:$B$1201,$A695))</f>
        <v/>
      </c>
      <c r="S695" s="19" t="str">
        <f aca="false">IF(OR($A695="",INDEX(_LEITURA!$Q$2:$Q$21,9)=0),"",SUMIFS(DECKS!$D$2:$D$1201,DECKS!$A$2:$A$1201,INDEX(_LEITURA!$P$2:$P$21,9),DECKS!$B$2:$B$1201,$A695))</f>
        <v/>
      </c>
      <c r="T695" s="19" t="str">
        <f aca="false">IF(OR($A695="",INDEX(_LEITURA!$Q$2:$Q$21,10)=0),"",SUMIFS(DECKS!$D$2:$D$1201,DECKS!$A$2:$A$1201,INDEX(_LEITURA!$P$2:$P$21,10),DECKS!$B$2:$B$1201,$A695))</f>
        <v/>
      </c>
      <c r="U695" s="19" t="str">
        <f aca="false">IF(OR($A695="",INDEX(_LEITURA!$Q$2:$Q$21,11)=0),"",SUMIFS(DECKS!$D$2:$D$1201,DECKS!$A$2:$A$1201,INDEX(_LEITURA!$P$2:$P$21,11),DECKS!$B$2:$B$1201,$A695))</f>
        <v/>
      </c>
      <c r="V695" s="19" t="str">
        <f aca="false">IF(OR($A695="",INDEX(_LEITURA!$Q$2:$Q$21,12)=0),"",SUMIFS(DECKS!$D$2:$D$1201,DECKS!$A$2:$A$1201,INDEX(_LEITURA!$P$2:$P$21,12),DECKS!$B$2:$B$1201,$A695))</f>
        <v/>
      </c>
      <c r="W695" s="19" t="str">
        <f aca="false">IF(OR($A695="",INDEX(_LEITURA!$Q$2:$Q$21,13)=0),"",SUMIFS(DECKS!$D$2:$D$1201,DECKS!$A$2:$A$1201,INDEX(_LEITURA!$P$2:$P$21,13),DECKS!$B$2:$B$1201,$A695))</f>
        <v/>
      </c>
      <c r="X695" s="19" t="str">
        <f aca="false">IF(OR($A695="",INDEX(_LEITURA!$Q$2:$Q$21,14)=0),"",SUMIFS(DECKS!$D$2:$D$1201,DECKS!$A$2:$A$1201,INDEX(_LEITURA!$P$2:$P$21,14),DECKS!$B$2:$B$1201,$A695))</f>
        <v/>
      </c>
      <c r="Y695" s="19" t="str">
        <f aca="false">IF(OR($A695="",INDEX(_LEITURA!$Q$2:$Q$21,15)=0),"",SUMIFS(DECKS!$D$2:$D$1201,DECKS!$A$2:$A$1201,INDEX(_LEITURA!$P$2:$P$21,15),DECKS!$B$2:$B$1201,$A695))</f>
        <v/>
      </c>
      <c r="Z695" s="19" t="str">
        <f aca="false">IF(OR($A695="",INDEX(_LEITURA!$Q$2:$Q$21,16)=0),"",SUMIFS(DECKS!$D$2:$D$1201,DECKS!$A$2:$A$1201,INDEX(_LEITURA!$P$2:$P$21,16),DECKS!$B$2:$B$1201,$A695))</f>
        <v/>
      </c>
      <c r="AA695" s="19" t="str">
        <f aca="false">IF(OR($A695="",INDEX(_LEITURA!$Q$2:$Q$21,17)=0),"",SUMIFS(DECKS!$D$2:$D$1201,DECKS!$A$2:$A$1201,INDEX(_LEITURA!$P$2:$P$21,17),DECKS!$B$2:$B$1201,$A695))</f>
        <v/>
      </c>
      <c r="AB695" s="19" t="str">
        <f aca="false">IF(OR($A695="",INDEX(_LEITURA!$Q$2:$Q$21,18)=0),"",SUMIFS(DECKS!$D$2:$D$1201,DECKS!$A$2:$A$1201,INDEX(_LEITURA!$P$2:$P$21,18),DECKS!$B$2:$B$1201,$A695))</f>
        <v/>
      </c>
      <c r="AC695" s="19" t="str">
        <f aca="false">IF(OR($A695="",INDEX(_LEITURA!$Q$2:$Q$21,19)=0),"",SUMIFS(DECKS!$D$2:$D$1201,DECKS!$A$2:$A$1201,INDEX(_LEITURA!$P$2:$P$21,19),DECKS!$B$2:$B$1201,$A695))</f>
        <v/>
      </c>
      <c r="AD695" s="19" t="str">
        <f aca="false">IF(OR($A695="",INDEX(_LEITURA!$Q$2:$Q$21,20)=0),"",SUMIFS(DECKS!$D$2:$D$1201,DECKS!$A$2:$A$1201,INDEX(_LEITURA!$P$2:$P$21,20),DECKS!$B$2:$B$1201,$A695))</f>
        <v/>
      </c>
      <c r="AE695" s="16" t="str">
        <f aca="false">IF(N(E695)&gt;0,MAX(AE$1:AE694)+1,"")</f>
        <v/>
      </c>
      <c r="AF695" s="11" t="str">
        <f aca="false">IF(A695="","",IFERROR(LEFT(A695,FIND("-",A695)-1),A695))</f>
        <v/>
      </c>
      <c r="AG695" s="11" t="str">
        <f aca="false">IF(AF695="","",IF(ISNUMBER(--MID(AF695,1,1)),0,IF(ISNUMBER(--MID(AF695,2,1)),1,IF(ISNUMBER(--MID(AF695,3,1)),2,IF(ISNUMBER(--MID(AF695,4,1)),3,MIN(LEN(AF695),4))))))</f>
        <v/>
      </c>
      <c r="AH695" s="11" t="str">
        <f aca="false">IF(A695="","",LEFT(AF695,AG695)&amp;REPT("0",4-AG695)&amp;RIGHT("000"&amp;IFERROR(VALUE(MID(AF695,AG695+1,9)),0),3)&amp;RIGHT("0000"&amp;IFERROR(VALUE(MID(A695,FIND("-",A695)+1,9)),0),4))</f>
        <v/>
      </c>
      <c r="AI695" s="11" t="str">
        <f aca="false">IF(OR(A695="",N(E695)&lt;=0),"",IF('FALTAS GERAL'!$M$1="Código","K"&amp;AH695&amp;RIGHT("00000"&amp;ROW(),5),IF('FALTAS GERAL'!$M$1="Nome","K"&amp;UPPER(SUBSTITUTE(SUBSTITUTE(SUBSTITUTE(B695,"*",""),"?",""),"~",""))&amp;"0"&amp;AH695&amp;RIGHT("00000"&amp;ROW(),5),IF('FALTAS GERAL'!$M$1="Falta (maior primeiro)","K"&amp;RIGHT("0000"&amp;(9999-E695),4)&amp;AH695&amp;RIGHT("00000"&amp;ROW(),5),IF('FALTAS GERAL'!$M$1="Nº de decks (maior primeiro)","K"&amp;RIGHT("00"&amp;(99-N(G695)),2)&amp;AH695&amp;RIGHT("00000"&amp;ROW(),5),"K"&amp;RIGHT("00000"&amp;ROW(),5))))))</f>
        <v/>
      </c>
      <c r="AJ695" s="11" t="str">
        <f aca="false">IF(AI695="","",COUNTIFS($AI$2:$AI$801,"&lt;"&amp;AI695,$E$2:$E$801,"&gt;0")+1)</f>
        <v/>
      </c>
      <c r="AK695" s="11" t="str">
        <f aca="false">IF(OR(A695="",N(E695)&lt;=0),"",COUNTIFS($AH$2:$AH$801,"&lt;"&amp;AH695,$E$2:$E$801,"&gt;0")+COUNTIFS($AH$2:AH695,AH695,$E$2:E695,"&gt;0"))</f>
        <v/>
      </c>
    </row>
    <row r="696" customFormat="false" ht="15" hidden="false" customHeight="false" outlineLevel="0" collapsed="false">
      <c r="A696" s="11" t="str">
        <f aca="false">IF(INVENTÁRIO!A696="","",INVENTÁRIO!A696)</f>
        <v/>
      </c>
      <c r="B696" s="11" t="str">
        <f aca="false">IF(A696="","",INVENTÁRIO!B696)</f>
        <v/>
      </c>
      <c r="C696" s="16" t="str">
        <f aca="false">IF(A696="","",INVENTÁRIO!C696)</f>
        <v/>
      </c>
      <c r="D696" s="14" t="str">
        <f aca="false">IF(A696="","",MAX(K696:AD696))</f>
        <v/>
      </c>
      <c r="E696" s="14" t="str">
        <f aca="false">IF(A696="","",MAX(0,D696-C696))</f>
        <v/>
      </c>
      <c r="F696" s="16" t="str">
        <f aca="false">IF(A696="","",IF(D696=0,"Fora dos decks",IF(E696=0,"Completo","Falta")))</f>
        <v/>
      </c>
      <c r="G696" s="16" t="str">
        <f aca="false">IF(A696="","",COUNTIF(K696:AD696,"&gt;0"))</f>
        <v/>
      </c>
      <c r="H696" s="16" t="str">
        <f aca="false">IF(A696="","",IF(G696&gt;1,"Sim",""))</f>
        <v/>
      </c>
      <c r="I696" s="18" t="str">
        <f aca="false">IF(A696="","",SUMIFS(DECKS!$D$2:$D$1201,DECKS!$B$2:$B$1201,A696))</f>
        <v/>
      </c>
      <c r="J696" s="18" t="str">
        <f aca="false">IF(A696="","",MAX(0,I696-C696))</f>
        <v/>
      </c>
      <c r="K696" s="19" t="str">
        <f aca="false">IF(OR($A696="",INDEX(_LEITURA!$Q$2:$Q$21,1)=0),"",SUMIFS(DECKS!$D$2:$D$1201,DECKS!$A$2:$A$1201,INDEX(_LEITURA!$P$2:$P$21,1),DECKS!$B$2:$B$1201,$A696))</f>
        <v/>
      </c>
      <c r="L696" s="19" t="str">
        <f aca="false">IF(OR($A696="",INDEX(_LEITURA!$Q$2:$Q$21,2)=0),"",SUMIFS(DECKS!$D$2:$D$1201,DECKS!$A$2:$A$1201,INDEX(_LEITURA!$P$2:$P$21,2),DECKS!$B$2:$B$1201,$A696))</f>
        <v/>
      </c>
      <c r="M696" s="19" t="str">
        <f aca="false">IF(OR($A696="",INDEX(_LEITURA!$Q$2:$Q$21,3)=0),"",SUMIFS(DECKS!$D$2:$D$1201,DECKS!$A$2:$A$1201,INDEX(_LEITURA!$P$2:$P$21,3),DECKS!$B$2:$B$1201,$A696))</f>
        <v/>
      </c>
      <c r="N696" s="19" t="str">
        <f aca="false">IF(OR($A696="",INDEX(_LEITURA!$Q$2:$Q$21,4)=0),"",SUMIFS(DECKS!$D$2:$D$1201,DECKS!$A$2:$A$1201,INDEX(_LEITURA!$P$2:$P$21,4),DECKS!$B$2:$B$1201,$A696))</f>
        <v/>
      </c>
      <c r="O696" s="19" t="str">
        <f aca="false">IF(OR($A696="",INDEX(_LEITURA!$Q$2:$Q$21,5)=0),"",SUMIFS(DECKS!$D$2:$D$1201,DECKS!$A$2:$A$1201,INDEX(_LEITURA!$P$2:$P$21,5),DECKS!$B$2:$B$1201,$A696))</f>
        <v/>
      </c>
      <c r="P696" s="19" t="str">
        <f aca="false">IF(OR($A696="",INDEX(_LEITURA!$Q$2:$Q$21,6)=0),"",SUMIFS(DECKS!$D$2:$D$1201,DECKS!$A$2:$A$1201,INDEX(_LEITURA!$P$2:$P$21,6),DECKS!$B$2:$B$1201,$A696))</f>
        <v/>
      </c>
      <c r="Q696" s="19" t="str">
        <f aca="false">IF(OR($A696="",INDEX(_LEITURA!$Q$2:$Q$21,7)=0),"",SUMIFS(DECKS!$D$2:$D$1201,DECKS!$A$2:$A$1201,INDEX(_LEITURA!$P$2:$P$21,7),DECKS!$B$2:$B$1201,$A696))</f>
        <v/>
      </c>
      <c r="R696" s="19" t="str">
        <f aca="false">IF(OR($A696="",INDEX(_LEITURA!$Q$2:$Q$21,8)=0),"",SUMIFS(DECKS!$D$2:$D$1201,DECKS!$A$2:$A$1201,INDEX(_LEITURA!$P$2:$P$21,8),DECKS!$B$2:$B$1201,$A696))</f>
        <v/>
      </c>
      <c r="S696" s="19" t="str">
        <f aca="false">IF(OR($A696="",INDEX(_LEITURA!$Q$2:$Q$21,9)=0),"",SUMIFS(DECKS!$D$2:$D$1201,DECKS!$A$2:$A$1201,INDEX(_LEITURA!$P$2:$P$21,9),DECKS!$B$2:$B$1201,$A696))</f>
        <v/>
      </c>
      <c r="T696" s="19" t="str">
        <f aca="false">IF(OR($A696="",INDEX(_LEITURA!$Q$2:$Q$21,10)=0),"",SUMIFS(DECKS!$D$2:$D$1201,DECKS!$A$2:$A$1201,INDEX(_LEITURA!$P$2:$P$21,10),DECKS!$B$2:$B$1201,$A696))</f>
        <v/>
      </c>
      <c r="U696" s="19" t="str">
        <f aca="false">IF(OR($A696="",INDEX(_LEITURA!$Q$2:$Q$21,11)=0),"",SUMIFS(DECKS!$D$2:$D$1201,DECKS!$A$2:$A$1201,INDEX(_LEITURA!$P$2:$P$21,11),DECKS!$B$2:$B$1201,$A696))</f>
        <v/>
      </c>
      <c r="V696" s="19" t="str">
        <f aca="false">IF(OR($A696="",INDEX(_LEITURA!$Q$2:$Q$21,12)=0),"",SUMIFS(DECKS!$D$2:$D$1201,DECKS!$A$2:$A$1201,INDEX(_LEITURA!$P$2:$P$21,12),DECKS!$B$2:$B$1201,$A696))</f>
        <v/>
      </c>
      <c r="W696" s="19" t="str">
        <f aca="false">IF(OR($A696="",INDEX(_LEITURA!$Q$2:$Q$21,13)=0),"",SUMIFS(DECKS!$D$2:$D$1201,DECKS!$A$2:$A$1201,INDEX(_LEITURA!$P$2:$P$21,13),DECKS!$B$2:$B$1201,$A696))</f>
        <v/>
      </c>
      <c r="X696" s="19" t="str">
        <f aca="false">IF(OR($A696="",INDEX(_LEITURA!$Q$2:$Q$21,14)=0),"",SUMIFS(DECKS!$D$2:$D$1201,DECKS!$A$2:$A$1201,INDEX(_LEITURA!$P$2:$P$21,14),DECKS!$B$2:$B$1201,$A696))</f>
        <v/>
      </c>
      <c r="Y696" s="19" t="str">
        <f aca="false">IF(OR($A696="",INDEX(_LEITURA!$Q$2:$Q$21,15)=0),"",SUMIFS(DECKS!$D$2:$D$1201,DECKS!$A$2:$A$1201,INDEX(_LEITURA!$P$2:$P$21,15),DECKS!$B$2:$B$1201,$A696))</f>
        <v/>
      </c>
      <c r="Z696" s="19" t="str">
        <f aca="false">IF(OR($A696="",INDEX(_LEITURA!$Q$2:$Q$21,16)=0),"",SUMIFS(DECKS!$D$2:$D$1201,DECKS!$A$2:$A$1201,INDEX(_LEITURA!$P$2:$P$21,16),DECKS!$B$2:$B$1201,$A696))</f>
        <v/>
      </c>
      <c r="AA696" s="19" t="str">
        <f aca="false">IF(OR($A696="",INDEX(_LEITURA!$Q$2:$Q$21,17)=0),"",SUMIFS(DECKS!$D$2:$D$1201,DECKS!$A$2:$A$1201,INDEX(_LEITURA!$P$2:$P$21,17),DECKS!$B$2:$B$1201,$A696))</f>
        <v/>
      </c>
      <c r="AB696" s="19" t="str">
        <f aca="false">IF(OR($A696="",INDEX(_LEITURA!$Q$2:$Q$21,18)=0),"",SUMIFS(DECKS!$D$2:$D$1201,DECKS!$A$2:$A$1201,INDEX(_LEITURA!$P$2:$P$21,18),DECKS!$B$2:$B$1201,$A696))</f>
        <v/>
      </c>
      <c r="AC696" s="19" t="str">
        <f aca="false">IF(OR($A696="",INDEX(_LEITURA!$Q$2:$Q$21,19)=0),"",SUMIFS(DECKS!$D$2:$D$1201,DECKS!$A$2:$A$1201,INDEX(_LEITURA!$P$2:$P$21,19),DECKS!$B$2:$B$1201,$A696))</f>
        <v/>
      </c>
      <c r="AD696" s="19" t="str">
        <f aca="false">IF(OR($A696="",INDEX(_LEITURA!$Q$2:$Q$21,20)=0),"",SUMIFS(DECKS!$D$2:$D$1201,DECKS!$A$2:$A$1201,INDEX(_LEITURA!$P$2:$P$21,20),DECKS!$B$2:$B$1201,$A696))</f>
        <v/>
      </c>
      <c r="AE696" s="16" t="str">
        <f aca="false">IF(N(E696)&gt;0,MAX(AE$1:AE695)+1,"")</f>
        <v/>
      </c>
      <c r="AF696" s="11" t="str">
        <f aca="false">IF(A696="","",IFERROR(LEFT(A696,FIND("-",A696)-1),A696))</f>
        <v/>
      </c>
      <c r="AG696" s="11" t="str">
        <f aca="false">IF(AF696="","",IF(ISNUMBER(--MID(AF696,1,1)),0,IF(ISNUMBER(--MID(AF696,2,1)),1,IF(ISNUMBER(--MID(AF696,3,1)),2,IF(ISNUMBER(--MID(AF696,4,1)),3,MIN(LEN(AF696),4))))))</f>
        <v/>
      </c>
      <c r="AH696" s="11" t="str">
        <f aca="false">IF(A696="","",LEFT(AF696,AG696)&amp;REPT("0",4-AG696)&amp;RIGHT("000"&amp;IFERROR(VALUE(MID(AF696,AG696+1,9)),0),3)&amp;RIGHT("0000"&amp;IFERROR(VALUE(MID(A696,FIND("-",A696)+1,9)),0),4))</f>
        <v/>
      </c>
      <c r="AI696" s="11" t="str">
        <f aca="false">IF(OR(A696="",N(E696)&lt;=0),"",IF('FALTAS GERAL'!$M$1="Código","K"&amp;AH696&amp;RIGHT("00000"&amp;ROW(),5),IF('FALTAS GERAL'!$M$1="Nome","K"&amp;UPPER(SUBSTITUTE(SUBSTITUTE(SUBSTITUTE(B696,"*",""),"?",""),"~",""))&amp;"0"&amp;AH696&amp;RIGHT("00000"&amp;ROW(),5),IF('FALTAS GERAL'!$M$1="Falta (maior primeiro)","K"&amp;RIGHT("0000"&amp;(9999-E696),4)&amp;AH696&amp;RIGHT("00000"&amp;ROW(),5),IF('FALTAS GERAL'!$M$1="Nº de decks (maior primeiro)","K"&amp;RIGHT("00"&amp;(99-N(G696)),2)&amp;AH696&amp;RIGHT("00000"&amp;ROW(),5),"K"&amp;RIGHT("00000"&amp;ROW(),5))))))</f>
        <v/>
      </c>
      <c r="AJ696" s="11" t="str">
        <f aca="false">IF(AI696="","",COUNTIFS($AI$2:$AI$801,"&lt;"&amp;AI696,$E$2:$E$801,"&gt;0")+1)</f>
        <v/>
      </c>
      <c r="AK696" s="11" t="str">
        <f aca="false">IF(OR(A696="",N(E696)&lt;=0),"",COUNTIFS($AH$2:$AH$801,"&lt;"&amp;AH696,$E$2:$E$801,"&gt;0")+COUNTIFS($AH$2:AH696,AH696,$E$2:E696,"&gt;0"))</f>
        <v/>
      </c>
    </row>
    <row r="697" customFormat="false" ht="15" hidden="false" customHeight="false" outlineLevel="0" collapsed="false">
      <c r="A697" s="11" t="str">
        <f aca="false">IF(INVENTÁRIO!A697="","",INVENTÁRIO!A697)</f>
        <v/>
      </c>
      <c r="B697" s="11" t="str">
        <f aca="false">IF(A697="","",INVENTÁRIO!B697)</f>
        <v/>
      </c>
      <c r="C697" s="16" t="str">
        <f aca="false">IF(A697="","",INVENTÁRIO!C697)</f>
        <v/>
      </c>
      <c r="D697" s="14" t="str">
        <f aca="false">IF(A697="","",MAX(K697:AD697))</f>
        <v/>
      </c>
      <c r="E697" s="14" t="str">
        <f aca="false">IF(A697="","",MAX(0,D697-C697))</f>
        <v/>
      </c>
      <c r="F697" s="16" t="str">
        <f aca="false">IF(A697="","",IF(D697=0,"Fora dos decks",IF(E697=0,"Completo","Falta")))</f>
        <v/>
      </c>
      <c r="G697" s="16" t="str">
        <f aca="false">IF(A697="","",COUNTIF(K697:AD697,"&gt;0"))</f>
        <v/>
      </c>
      <c r="H697" s="16" t="str">
        <f aca="false">IF(A697="","",IF(G697&gt;1,"Sim",""))</f>
        <v/>
      </c>
      <c r="I697" s="18" t="str">
        <f aca="false">IF(A697="","",SUMIFS(DECKS!$D$2:$D$1201,DECKS!$B$2:$B$1201,A697))</f>
        <v/>
      </c>
      <c r="J697" s="18" t="str">
        <f aca="false">IF(A697="","",MAX(0,I697-C697))</f>
        <v/>
      </c>
      <c r="K697" s="19" t="str">
        <f aca="false">IF(OR($A697="",INDEX(_LEITURA!$Q$2:$Q$21,1)=0),"",SUMIFS(DECKS!$D$2:$D$1201,DECKS!$A$2:$A$1201,INDEX(_LEITURA!$P$2:$P$21,1),DECKS!$B$2:$B$1201,$A697))</f>
        <v/>
      </c>
      <c r="L697" s="19" t="str">
        <f aca="false">IF(OR($A697="",INDEX(_LEITURA!$Q$2:$Q$21,2)=0),"",SUMIFS(DECKS!$D$2:$D$1201,DECKS!$A$2:$A$1201,INDEX(_LEITURA!$P$2:$P$21,2),DECKS!$B$2:$B$1201,$A697))</f>
        <v/>
      </c>
      <c r="M697" s="19" t="str">
        <f aca="false">IF(OR($A697="",INDEX(_LEITURA!$Q$2:$Q$21,3)=0),"",SUMIFS(DECKS!$D$2:$D$1201,DECKS!$A$2:$A$1201,INDEX(_LEITURA!$P$2:$P$21,3),DECKS!$B$2:$B$1201,$A697))</f>
        <v/>
      </c>
      <c r="N697" s="19" t="str">
        <f aca="false">IF(OR($A697="",INDEX(_LEITURA!$Q$2:$Q$21,4)=0),"",SUMIFS(DECKS!$D$2:$D$1201,DECKS!$A$2:$A$1201,INDEX(_LEITURA!$P$2:$P$21,4),DECKS!$B$2:$B$1201,$A697))</f>
        <v/>
      </c>
      <c r="O697" s="19" t="str">
        <f aca="false">IF(OR($A697="",INDEX(_LEITURA!$Q$2:$Q$21,5)=0),"",SUMIFS(DECKS!$D$2:$D$1201,DECKS!$A$2:$A$1201,INDEX(_LEITURA!$P$2:$P$21,5),DECKS!$B$2:$B$1201,$A697))</f>
        <v/>
      </c>
      <c r="P697" s="19" t="str">
        <f aca="false">IF(OR($A697="",INDEX(_LEITURA!$Q$2:$Q$21,6)=0),"",SUMIFS(DECKS!$D$2:$D$1201,DECKS!$A$2:$A$1201,INDEX(_LEITURA!$P$2:$P$21,6),DECKS!$B$2:$B$1201,$A697))</f>
        <v/>
      </c>
      <c r="Q697" s="19" t="str">
        <f aca="false">IF(OR($A697="",INDEX(_LEITURA!$Q$2:$Q$21,7)=0),"",SUMIFS(DECKS!$D$2:$D$1201,DECKS!$A$2:$A$1201,INDEX(_LEITURA!$P$2:$P$21,7),DECKS!$B$2:$B$1201,$A697))</f>
        <v/>
      </c>
      <c r="R697" s="19" t="str">
        <f aca="false">IF(OR($A697="",INDEX(_LEITURA!$Q$2:$Q$21,8)=0),"",SUMIFS(DECKS!$D$2:$D$1201,DECKS!$A$2:$A$1201,INDEX(_LEITURA!$P$2:$P$21,8),DECKS!$B$2:$B$1201,$A697))</f>
        <v/>
      </c>
      <c r="S697" s="19" t="str">
        <f aca="false">IF(OR($A697="",INDEX(_LEITURA!$Q$2:$Q$21,9)=0),"",SUMIFS(DECKS!$D$2:$D$1201,DECKS!$A$2:$A$1201,INDEX(_LEITURA!$P$2:$P$21,9),DECKS!$B$2:$B$1201,$A697))</f>
        <v/>
      </c>
      <c r="T697" s="19" t="str">
        <f aca="false">IF(OR($A697="",INDEX(_LEITURA!$Q$2:$Q$21,10)=0),"",SUMIFS(DECKS!$D$2:$D$1201,DECKS!$A$2:$A$1201,INDEX(_LEITURA!$P$2:$P$21,10),DECKS!$B$2:$B$1201,$A697))</f>
        <v/>
      </c>
      <c r="U697" s="19" t="str">
        <f aca="false">IF(OR($A697="",INDEX(_LEITURA!$Q$2:$Q$21,11)=0),"",SUMIFS(DECKS!$D$2:$D$1201,DECKS!$A$2:$A$1201,INDEX(_LEITURA!$P$2:$P$21,11),DECKS!$B$2:$B$1201,$A697))</f>
        <v/>
      </c>
      <c r="V697" s="19" t="str">
        <f aca="false">IF(OR($A697="",INDEX(_LEITURA!$Q$2:$Q$21,12)=0),"",SUMIFS(DECKS!$D$2:$D$1201,DECKS!$A$2:$A$1201,INDEX(_LEITURA!$P$2:$P$21,12),DECKS!$B$2:$B$1201,$A697))</f>
        <v/>
      </c>
      <c r="W697" s="19" t="str">
        <f aca="false">IF(OR($A697="",INDEX(_LEITURA!$Q$2:$Q$21,13)=0),"",SUMIFS(DECKS!$D$2:$D$1201,DECKS!$A$2:$A$1201,INDEX(_LEITURA!$P$2:$P$21,13),DECKS!$B$2:$B$1201,$A697))</f>
        <v/>
      </c>
      <c r="X697" s="19" t="str">
        <f aca="false">IF(OR($A697="",INDEX(_LEITURA!$Q$2:$Q$21,14)=0),"",SUMIFS(DECKS!$D$2:$D$1201,DECKS!$A$2:$A$1201,INDEX(_LEITURA!$P$2:$P$21,14),DECKS!$B$2:$B$1201,$A697))</f>
        <v/>
      </c>
      <c r="Y697" s="19" t="str">
        <f aca="false">IF(OR($A697="",INDEX(_LEITURA!$Q$2:$Q$21,15)=0),"",SUMIFS(DECKS!$D$2:$D$1201,DECKS!$A$2:$A$1201,INDEX(_LEITURA!$P$2:$P$21,15),DECKS!$B$2:$B$1201,$A697))</f>
        <v/>
      </c>
      <c r="Z697" s="19" t="str">
        <f aca="false">IF(OR($A697="",INDEX(_LEITURA!$Q$2:$Q$21,16)=0),"",SUMIFS(DECKS!$D$2:$D$1201,DECKS!$A$2:$A$1201,INDEX(_LEITURA!$P$2:$P$21,16),DECKS!$B$2:$B$1201,$A697))</f>
        <v/>
      </c>
      <c r="AA697" s="19" t="str">
        <f aca="false">IF(OR($A697="",INDEX(_LEITURA!$Q$2:$Q$21,17)=0),"",SUMIFS(DECKS!$D$2:$D$1201,DECKS!$A$2:$A$1201,INDEX(_LEITURA!$P$2:$P$21,17),DECKS!$B$2:$B$1201,$A697))</f>
        <v/>
      </c>
      <c r="AB697" s="19" t="str">
        <f aca="false">IF(OR($A697="",INDEX(_LEITURA!$Q$2:$Q$21,18)=0),"",SUMIFS(DECKS!$D$2:$D$1201,DECKS!$A$2:$A$1201,INDEX(_LEITURA!$P$2:$P$21,18),DECKS!$B$2:$B$1201,$A697))</f>
        <v/>
      </c>
      <c r="AC697" s="19" t="str">
        <f aca="false">IF(OR($A697="",INDEX(_LEITURA!$Q$2:$Q$21,19)=0),"",SUMIFS(DECKS!$D$2:$D$1201,DECKS!$A$2:$A$1201,INDEX(_LEITURA!$P$2:$P$21,19),DECKS!$B$2:$B$1201,$A697))</f>
        <v/>
      </c>
      <c r="AD697" s="19" t="str">
        <f aca="false">IF(OR($A697="",INDEX(_LEITURA!$Q$2:$Q$21,20)=0),"",SUMIFS(DECKS!$D$2:$D$1201,DECKS!$A$2:$A$1201,INDEX(_LEITURA!$P$2:$P$21,20),DECKS!$B$2:$B$1201,$A697))</f>
        <v/>
      </c>
      <c r="AE697" s="16" t="str">
        <f aca="false">IF(N(E697)&gt;0,MAX(AE$1:AE696)+1,"")</f>
        <v/>
      </c>
      <c r="AF697" s="11" t="str">
        <f aca="false">IF(A697="","",IFERROR(LEFT(A697,FIND("-",A697)-1),A697))</f>
        <v/>
      </c>
      <c r="AG697" s="11" t="str">
        <f aca="false">IF(AF697="","",IF(ISNUMBER(--MID(AF697,1,1)),0,IF(ISNUMBER(--MID(AF697,2,1)),1,IF(ISNUMBER(--MID(AF697,3,1)),2,IF(ISNUMBER(--MID(AF697,4,1)),3,MIN(LEN(AF697),4))))))</f>
        <v/>
      </c>
      <c r="AH697" s="11" t="str">
        <f aca="false">IF(A697="","",LEFT(AF697,AG697)&amp;REPT("0",4-AG697)&amp;RIGHT("000"&amp;IFERROR(VALUE(MID(AF697,AG697+1,9)),0),3)&amp;RIGHT("0000"&amp;IFERROR(VALUE(MID(A697,FIND("-",A697)+1,9)),0),4))</f>
        <v/>
      </c>
      <c r="AI697" s="11" t="str">
        <f aca="false">IF(OR(A697="",N(E697)&lt;=0),"",IF('FALTAS GERAL'!$M$1="Código","K"&amp;AH697&amp;RIGHT("00000"&amp;ROW(),5),IF('FALTAS GERAL'!$M$1="Nome","K"&amp;UPPER(SUBSTITUTE(SUBSTITUTE(SUBSTITUTE(B697,"*",""),"?",""),"~",""))&amp;"0"&amp;AH697&amp;RIGHT("00000"&amp;ROW(),5),IF('FALTAS GERAL'!$M$1="Falta (maior primeiro)","K"&amp;RIGHT("0000"&amp;(9999-E697),4)&amp;AH697&amp;RIGHT("00000"&amp;ROW(),5),IF('FALTAS GERAL'!$M$1="Nº de decks (maior primeiro)","K"&amp;RIGHT("00"&amp;(99-N(G697)),2)&amp;AH697&amp;RIGHT("00000"&amp;ROW(),5),"K"&amp;RIGHT("00000"&amp;ROW(),5))))))</f>
        <v/>
      </c>
      <c r="AJ697" s="11" t="str">
        <f aca="false">IF(AI697="","",COUNTIFS($AI$2:$AI$801,"&lt;"&amp;AI697,$E$2:$E$801,"&gt;0")+1)</f>
        <v/>
      </c>
      <c r="AK697" s="11" t="str">
        <f aca="false">IF(OR(A697="",N(E697)&lt;=0),"",COUNTIFS($AH$2:$AH$801,"&lt;"&amp;AH697,$E$2:$E$801,"&gt;0")+COUNTIFS($AH$2:AH697,AH697,$E$2:E697,"&gt;0"))</f>
        <v/>
      </c>
    </row>
    <row r="698" customFormat="false" ht="15" hidden="false" customHeight="false" outlineLevel="0" collapsed="false">
      <c r="A698" s="11" t="str">
        <f aca="false">IF(INVENTÁRIO!A698="","",INVENTÁRIO!A698)</f>
        <v/>
      </c>
      <c r="B698" s="11" t="str">
        <f aca="false">IF(A698="","",INVENTÁRIO!B698)</f>
        <v/>
      </c>
      <c r="C698" s="16" t="str">
        <f aca="false">IF(A698="","",INVENTÁRIO!C698)</f>
        <v/>
      </c>
      <c r="D698" s="14" t="str">
        <f aca="false">IF(A698="","",MAX(K698:AD698))</f>
        <v/>
      </c>
      <c r="E698" s="14" t="str">
        <f aca="false">IF(A698="","",MAX(0,D698-C698))</f>
        <v/>
      </c>
      <c r="F698" s="16" t="str">
        <f aca="false">IF(A698="","",IF(D698=0,"Fora dos decks",IF(E698=0,"Completo","Falta")))</f>
        <v/>
      </c>
      <c r="G698" s="16" t="str">
        <f aca="false">IF(A698="","",COUNTIF(K698:AD698,"&gt;0"))</f>
        <v/>
      </c>
      <c r="H698" s="16" t="str">
        <f aca="false">IF(A698="","",IF(G698&gt;1,"Sim",""))</f>
        <v/>
      </c>
      <c r="I698" s="18" t="str">
        <f aca="false">IF(A698="","",SUMIFS(DECKS!$D$2:$D$1201,DECKS!$B$2:$B$1201,A698))</f>
        <v/>
      </c>
      <c r="J698" s="18" t="str">
        <f aca="false">IF(A698="","",MAX(0,I698-C698))</f>
        <v/>
      </c>
      <c r="K698" s="19" t="str">
        <f aca="false">IF(OR($A698="",INDEX(_LEITURA!$Q$2:$Q$21,1)=0),"",SUMIFS(DECKS!$D$2:$D$1201,DECKS!$A$2:$A$1201,INDEX(_LEITURA!$P$2:$P$21,1),DECKS!$B$2:$B$1201,$A698))</f>
        <v/>
      </c>
      <c r="L698" s="19" t="str">
        <f aca="false">IF(OR($A698="",INDEX(_LEITURA!$Q$2:$Q$21,2)=0),"",SUMIFS(DECKS!$D$2:$D$1201,DECKS!$A$2:$A$1201,INDEX(_LEITURA!$P$2:$P$21,2),DECKS!$B$2:$B$1201,$A698))</f>
        <v/>
      </c>
      <c r="M698" s="19" t="str">
        <f aca="false">IF(OR($A698="",INDEX(_LEITURA!$Q$2:$Q$21,3)=0),"",SUMIFS(DECKS!$D$2:$D$1201,DECKS!$A$2:$A$1201,INDEX(_LEITURA!$P$2:$P$21,3),DECKS!$B$2:$B$1201,$A698))</f>
        <v/>
      </c>
      <c r="N698" s="19" t="str">
        <f aca="false">IF(OR($A698="",INDEX(_LEITURA!$Q$2:$Q$21,4)=0),"",SUMIFS(DECKS!$D$2:$D$1201,DECKS!$A$2:$A$1201,INDEX(_LEITURA!$P$2:$P$21,4),DECKS!$B$2:$B$1201,$A698))</f>
        <v/>
      </c>
      <c r="O698" s="19" t="str">
        <f aca="false">IF(OR($A698="",INDEX(_LEITURA!$Q$2:$Q$21,5)=0),"",SUMIFS(DECKS!$D$2:$D$1201,DECKS!$A$2:$A$1201,INDEX(_LEITURA!$P$2:$P$21,5),DECKS!$B$2:$B$1201,$A698))</f>
        <v/>
      </c>
      <c r="P698" s="19" t="str">
        <f aca="false">IF(OR($A698="",INDEX(_LEITURA!$Q$2:$Q$21,6)=0),"",SUMIFS(DECKS!$D$2:$D$1201,DECKS!$A$2:$A$1201,INDEX(_LEITURA!$P$2:$P$21,6),DECKS!$B$2:$B$1201,$A698))</f>
        <v/>
      </c>
      <c r="Q698" s="19" t="str">
        <f aca="false">IF(OR($A698="",INDEX(_LEITURA!$Q$2:$Q$21,7)=0),"",SUMIFS(DECKS!$D$2:$D$1201,DECKS!$A$2:$A$1201,INDEX(_LEITURA!$P$2:$P$21,7),DECKS!$B$2:$B$1201,$A698))</f>
        <v/>
      </c>
      <c r="R698" s="19" t="str">
        <f aca="false">IF(OR($A698="",INDEX(_LEITURA!$Q$2:$Q$21,8)=0),"",SUMIFS(DECKS!$D$2:$D$1201,DECKS!$A$2:$A$1201,INDEX(_LEITURA!$P$2:$P$21,8),DECKS!$B$2:$B$1201,$A698))</f>
        <v/>
      </c>
      <c r="S698" s="19" t="str">
        <f aca="false">IF(OR($A698="",INDEX(_LEITURA!$Q$2:$Q$21,9)=0),"",SUMIFS(DECKS!$D$2:$D$1201,DECKS!$A$2:$A$1201,INDEX(_LEITURA!$P$2:$P$21,9),DECKS!$B$2:$B$1201,$A698))</f>
        <v/>
      </c>
      <c r="T698" s="19" t="str">
        <f aca="false">IF(OR($A698="",INDEX(_LEITURA!$Q$2:$Q$21,10)=0),"",SUMIFS(DECKS!$D$2:$D$1201,DECKS!$A$2:$A$1201,INDEX(_LEITURA!$P$2:$P$21,10),DECKS!$B$2:$B$1201,$A698))</f>
        <v/>
      </c>
      <c r="U698" s="19" t="str">
        <f aca="false">IF(OR($A698="",INDEX(_LEITURA!$Q$2:$Q$21,11)=0),"",SUMIFS(DECKS!$D$2:$D$1201,DECKS!$A$2:$A$1201,INDEX(_LEITURA!$P$2:$P$21,11),DECKS!$B$2:$B$1201,$A698))</f>
        <v/>
      </c>
      <c r="V698" s="19" t="str">
        <f aca="false">IF(OR($A698="",INDEX(_LEITURA!$Q$2:$Q$21,12)=0),"",SUMIFS(DECKS!$D$2:$D$1201,DECKS!$A$2:$A$1201,INDEX(_LEITURA!$P$2:$P$21,12),DECKS!$B$2:$B$1201,$A698))</f>
        <v/>
      </c>
      <c r="W698" s="19" t="str">
        <f aca="false">IF(OR($A698="",INDEX(_LEITURA!$Q$2:$Q$21,13)=0),"",SUMIFS(DECKS!$D$2:$D$1201,DECKS!$A$2:$A$1201,INDEX(_LEITURA!$P$2:$P$21,13),DECKS!$B$2:$B$1201,$A698))</f>
        <v/>
      </c>
      <c r="X698" s="19" t="str">
        <f aca="false">IF(OR($A698="",INDEX(_LEITURA!$Q$2:$Q$21,14)=0),"",SUMIFS(DECKS!$D$2:$D$1201,DECKS!$A$2:$A$1201,INDEX(_LEITURA!$P$2:$P$21,14),DECKS!$B$2:$B$1201,$A698))</f>
        <v/>
      </c>
      <c r="Y698" s="19" t="str">
        <f aca="false">IF(OR($A698="",INDEX(_LEITURA!$Q$2:$Q$21,15)=0),"",SUMIFS(DECKS!$D$2:$D$1201,DECKS!$A$2:$A$1201,INDEX(_LEITURA!$P$2:$P$21,15),DECKS!$B$2:$B$1201,$A698))</f>
        <v/>
      </c>
      <c r="Z698" s="19" t="str">
        <f aca="false">IF(OR($A698="",INDEX(_LEITURA!$Q$2:$Q$21,16)=0),"",SUMIFS(DECKS!$D$2:$D$1201,DECKS!$A$2:$A$1201,INDEX(_LEITURA!$P$2:$P$21,16),DECKS!$B$2:$B$1201,$A698))</f>
        <v/>
      </c>
      <c r="AA698" s="19" t="str">
        <f aca="false">IF(OR($A698="",INDEX(_LEITURA!$Q$2:$Q$21,17)=0),"",SUMIFS(DECKS!$D$2:$D$1201,DECKS!$A$2:$A$1201,INDEX(_LEITURA!$P$2:$P$21,17),DECKS!$B$2:$B$1201,$A698))</f>
        <v/>
      </c>
      <c r="AB698" s="19" t="str">
        <f aca="false">IF(OR($A698="",INDEX(_LEITURA!$Q$2:$Q$21,18)=0),"",SUMIFS(DECKS!$D$2:$D$1201,DECKS!$A$2:$A$1201,INDEX(_LEITURA!$P$2:$P$21,18),DECKS!$B$2:$B$1201,$A698))</f>
        <v/>
      </c>
      <c r="AC698" s="19" t="str">
        <f aca="false">IF(OR($A698="",INDEX(_LEITURA!$Q$2:$Q$21,19)=0),"",SUMIFS(DECKS!$D$2:$D$1201,DECKS!$A$2:$A$1201,INDEX(_LEITURA!$P$2:$P$21,19),DECKS!$B$2:$B$1201,$A698))</f>
        <v/>
      </c>
      <c r="AD698" s="19" t="str">
        <f aca="false">IF(OR($A698="",INDEX(_LEITURA!$Q$2:$Q$21,20)=0),"",SUMIFS(DECKS!$D$2:$D$1201,DECKS!$A$2:$A$1201,INDEX(_LEITURA!$P$2:$P$21,20),DECKS!$B$2:$B$1201,$A698))</f>
        <v/>
      </c>
      <c r="AE698" s="16" t="str">
        <f aca="false">IF(N(E698)&gt;0,MAX(AE$1:AE697)+1,"")</f>
        <v/>
      </c>
      <c r="AF698" s="11" t="str">
        <f aca="false">IF(A698="","",IFERROR(LEFT(A698,FIND("-",A698)-1),A698))</f>
        <v/>
      </c>
      <c r="AG698" s="11" t="str">
        <f aca="false">IF(AF698="","",IF(ISNUMBER(--MID(AF698,1,1)),0,IF(ISNUMBER(--MID(AF698,2,1)),1,IF(ISNUMBER(--MID(AF698,3,1)),2,IF(ISNUMBER(--MID(AF698,4,1)),3,MIN(LEN(AF698),4))))))</f>
        <v/>
      </c>
      <c r="AH698" s="11" t="str">
        <f aca="false">IF(A698="","",LEFT(AF698,AG698)&amp;REPT("0",4-AG698)&amp;RIGHT("000"&amp;IFERROR(VALUE(MID(AF698,AG698+1,9)),0),3)&amp;RIGHT("0000"&amp;IFERROR(VALUE(MID(A698,FIND("-",A698)+1,9)),0),4))</f>
        <v/>
      </c>
      <c r="AI698" s="11" t="str">
        <f aca="false">IF(OR(A698="",N(E698)&lt;=0),"",IF('FALTAS GERAL'!$M$1="Código","K"&amp;AH698&amp;RIGHT("00000"&amp;ROW(),5),IF('FALTAS GERAL'!$M$1="Nome","K"&amp;UPPER(SUBSTITUTE(SUBSTITUTE(SUBSTITUTE(B698,"*",""),"?",""),"~",""))&amp;"0"&amp;AH698&amp;RIGHT("00000"&amp;ROW(),5),IF('FALTAS GERAL'!$M$1="Falta (maior primeiro)","K"&amp;RIGHT("0000"&amp;(9999-E698),4)&amp;AH698&amp;RIGHT("00000"&amp;ROW(),5),IF('FALTAS GERAL'!$M$1="Nº de decks (maior primeiro)","K"&amp;RIGHT("00"&amp;(99-N(G698)),2)&amp;AH698&amp;RIGHT("00000"&amp;ROW(),5),"K"&amp;RIGHT("00000"&amp;ROW(),5))))))</f>
        <v/>
      </c>
      <c r="AJ698" s="11" t="str">
        <f aca="false">IF(AI698="","",COUNTIFS($AI$2:$AI$801,"&lt;"&amp;AI698,$E$2:$E$801,"&gt;0")+1)</f>
        <v/>
      </c>
      <c r="AK698" s="11" t="str">
        <f aca="false">IF(OR(A698="",N(E698)&lt;=0),"",COUNTIFS($AH$2:$AH$801,"&lt;"&amp;AH698,$E$2:$E$801,"&gt;0")+COUNTIFS($AH$2:AH698,AH698,$E$2:E698,"&gt;0"))</f>
        <v/>
      </c>
    </row>
    <row r="699" customFormat="false" ht="15" hidden="false" customHeight="false" outlineLevel="0" collapsed="false">
      <c r="A699" s="11" t="str">
        <f aca="false">IF(INVENTÁRIO!A699="","",INVENTÁRIO!A699)</f>
        <v/>
      </c>
      <c r="B699" s="11" t="str">
        <f aca="false">IF(A699="","",INVENTÁRIO!B699)</f>
        <v/>
      </c>
      <c r="C699" s="16" t="str">
        <f aca="false">IF(A699="","",INVENTÁRIO!C699)</f>
        <v/>
      </c>
      <c r="D699" s="14" t="str">
        <f aca="false">IF(A699="","",MAX(K699:AD699))</f>
        <v/>
      </c>
      <c r="E699" s="14" t="str">
        <f aca="false">IF(A699="","",MAX(0,D699-C699))</f>
        <v/>
      </c>
      <c r="F699" s="16" t="str">
        <f aca="false">IF(A699="","",IF(D699=0,"Fora dos decks",IF(E699=0,"Completo","Falta")))</f>
        <v/>
      </c>
      <c r="G699" s="16" t="str">
        <f aca="false">IF(A699="","",COUNTIF(K699:AD699,"&gt;0"))</f>
        <v/>
      </c>
      <c r="H699" s="16" t="str">
        <f aca="false">IF(A699="","",IF(G699&gt;1,"Sim",""))</f>
        <v/>
      </c>
      <c r="I699" s="18" t="str">
        <f aca="false">IF(A699="","",SUMIFS(DECKS!$D$2:$D$1201,DECKS!$B$2:$B$1201,A699))</f>
        <v/>
      </c>
      <c r="J699" s="18" t="str">
        <f aca="false">IF(A699="","",MAX(0,I699-C699))</f>
        <v/>
      </c>
      <c r="K699" s="19" t="str">
        <f aca="false">IF(OR($A699="",INDEX(_LEITURA!$Q$2:$Q$21,1)=0),"",SUMIFS(DECKS!$D$2:$D$1201,DECKS!$A$2:$A$1201,INDEX(_LEITURA!$P$2:$P$21,1),DECKS!$B$2:$B$1201,$A699))</f>
        <v/>
      </c>
      <c r="L699" s="19" t="str">
        <f aca="false">IF(OR($A699="",INDEX(_LEITURA!$Q$2:$Q$21,2)=0),"",SUMIFS(DECKS!$D$2:$D$1201,DECKS!$A$2:$A$1201,INDEX(_LEITURA!$P$2:$P$21,2),DECKS!$B$2:$B$1201,$A699))</f>
        <v/>
      </c>
      <c r="M699" s="19" t="str">
        <f aca="false">IF(OR($A699="",INDEX(_LEITURA!$Q$2:$Q$21,3)=0),"",SUMIFS(DECKS!$D$2:$D$1201,DECKS!$A$2:$A$1201,INDEX(_LEITURA!$P$2:$P$21,3),DECKS!$B$2:$B$1201,$A699))</f>
        <v/>
      </c>
      <c r="N699" s="19" t="str">
        <f aca="false">IF(OR($A699="",INDEX(_LEITURA!$Q$2:$Q$21,4)=0),"",SUMIFS(DECKS!$D$2:$D$1201,DECKS!$A$2:$A$1201,INDEX(_LEITURA!$P$2:$P$21,4),DECKS!$B$2:$B$1201,$A699))</f>
        <v/>
      </c>
      <c r="O699" s="19" t="str">
        <f aca="false">IF(OR($A699="",INDEX(_LEITURA!$Q$2:$Q$21,5)=0),"",SUMIFS(DECKS!$D$2:$D$1201,DECKS!$A$2:$A$1201,INDEX(_LEITURA!$P$2:$P$21,5),DECKS!$B$2:$B$1201,$A699))</f>
        <v/>
      </c>
      <c r="P699" s="19" t="str">
        <f aca="false">IF(OR($A699="",INDEX(_LEITURA!$Q$2:$Q$21,6)=0),"",SUMIFS(DECKS!$D$2:$D$1201,DECKS!$A$2:$A$1201,INDEX(_LEITURA!$P$2:$P$21,6),DECKS!$B$2:$B$1201,$A699))</f>
        <v/>
      </c>
      <c r="Q699" s="19" t="str">
        <f aca="false">IF(OR($A699="",INDEX(_LEITURA!$Q$2:$Q$21,7)=0),"",SUMIFS(DECKS!$D$2:$D$1201,DECKS!$A$2:$A$1201,INDEX(_LEITURA!$P$2:$P$21,7),DECKS!$B$2:$B$1201,$A699))</f>
        <v/>
      </c>
      <c r="R699" s="19" t="str">
        <f aca="false">IF(OR($A699="",INDEX(_LEITURA!$Q$2:$Q$21,8)=0),"",SUMIFS(DECKS!$D$2:$D$1201,DECKS!$A$2:$A$1201,INDEX(_LEITURA!$P$2:$P$21,8),DECKS!$B$2:$B$1201,$A699))</f>
        <v/>
      </c>
      <c r="S699" s="19" t="str">
        <f aca="false">IF(OR($A699="",INDEX(_LEITURA!$Q$2:$Q$21,9)=0),"",SUMIFS(DECKS!$D$2:$D$1201,DECKS!$A$2:$A$1201,INDEX(_LEITURA!$P$2:$P$21,9),DECKS!$B$2:$B$1201,$A699))</f>
        <v/>
      </c>
      <c r="T699" s="19" t="str">
        <f aca="false">IF(OR($A699="",INDEX(_LEITURA!$Q$2:$Q$21,10)=0),"",SUMIFS(DECKS!$D$2:$D$1201,DECKS!$A$2:$A$1201,INDEX(_LEITURA!$P$2:$P$21,10),DECKS!$B$2:$B$1201,$A699))</f>
        <v/>
      </c>
      <c r="U699" s="19" t="str">
        <f aca="false">IF(OR($A699="",INDEX(_LEITURA!$Q$2:$Q$21,11)=0),"",SUMIFS(DECKS!$D$2:$D$1201,DECKS!$A$2:$A$1201,INDEX(_LEITURA!$P$2:$P$21,11),DECKS!$B$2:$B$1201,$A699))</f>
        <v/>
      </c>
      <c r="V699" s="19" t="str">
        <f aca="false">IF(OR($A699="",INDEX(_LEITURA!$Q$2:$Q$21,12)=0),"",SUMIFS(DECKS!$D$2:$D$1201,DECKS!$A$2:$A$1201,INDEX(_LEITURA!$P$2:$P$21,12),DECKS!$B$2:$B$1201,$A699))</f>
        <v/>
      </c>
      <c r="W699" s="19" t="str">
        <f aca="false">IF(OR($A699="",INDEX(_LEITURA!$Q$2:$Q$21,13)=0),"",SUMIFS(DECKS!$D$2:$D$1201,DECKS!$A$2:$A$1201,INDEX(_LEITURA!$P$2:$P$21,13),DECKS!$B$2:$B$1201,$A699))</f>
        <v/>
      </c>
      <c r="X699" s="19" t="str">
        <f aca="false">IF(OR($A699="",INDEX(_LEITURA!$Q$2:$Q$21,14)=0),"",SUMIFS(DECKS!$D$2:$D$1201,DECKS!$A$2:$A$1201,INDEX(_LEITURA!$P$2:$P$21,14),DECKS!$B$2:$B$1201,$A699))</f>
        <v/>
      </c>
      <c r="Y699" s="19" t="str">
        <f aca="false">IF(OR($A699="",INDEX(_LEITURA!$Q$2:$Q$21,15)=0),"",SUMIFS(DECKS!$D$2:$D$1201,DECKS!$A$2:$A$1201,INDEX(_LEITURA!$P$2:$P$21,15),DECKS!$B$2:$B$1201,$A699))</f>
        <v/>
      </c>
      <c r="Z699" s="19" t="str">
        <f aca="false">IF(OR($A699="",INDEX(_LEITURA!$Q$2:$Q$21,16)=0),"",SUMIFS(DECKS!$D$2:$D$1201,DECKS!$A$2:$A$1201,INDEX(_LEITURA!$P$2:$P$21,16),DECKS!$B$2:$B$1201,$A699))</f>
        <v/>
      </c>
      <c r="AA699" s="19" t="str">
        <f aca="false">IF(OR($A699="",INDEX(_LEITURA!$Q$2:$Q$21,17)=0),"",SUMIFS(DECKS!$D$2:$D$1201,DECKS!$A$2:$A$1201,INDEX(_LEITURA!$P$2:$P$21,17),DECKS!$B$2:$B$1201,$A699))</f>
        <v/>
      </c>
      <c r="AB699" s="19" t="str">
        <f aca="false">IF(OR($A699="",INDEX(_LEITURA!$Q$2:$Q$21,18)=0),"",SUMIFS(DECKS!$D$2:$D$1201,DECKS!$A$2:$A$1201,INDEX(_LEITURA!$P$2:$P$21,18),DECKS!$B$2:$B$1201,$A699))</f>
        <v/>
      </c>
      <c r="AC699" s="19" t="str">
        <f aca="false">IF(OR($A699="",INDEX(_LEITURA!$Q$2:$Q$21,19)=0),"",SUMIFS(DECKS!$D$2:$D$1201,DECKS!$A$2:$A$1201,INDEX(_LEITURA!$P$2:$P$21,19),DECKS!$B$2:$B$1201,$A699))</f>
        <v/>
      </c>
      <c r="AD699" s="19" t="str">
        <f aca="false">IF(OR($A699="",INDEX(_LEITURA!$Q$2:$Q$21,20)=0),"",SUMIFS(DECKS!$D$2:$D$1201,DECKS!$A$2:$A$1201,INDEX(_LEITURA!$P$2:$P$21,20),DECKS!$B$2:$B$1201,$A699))</f>
        <v/>
      </c>
      <c r="AE699" s="16" t="str">
        <f aca="false">IF(N(E699)&gt;0,MAX(AE$1:AE698)+1,"")</f>
        <v/>
      </c>
      <c r="AF699" s="11" t="str">
        <f aca="false">IF(A699="","",IFERROR(LEFT(A699,FIND("-",A699)-1),A699))</f>
        <v/>
      </c>
      <c r="AG699" s="11" t="str">
        <f aca="false">IF(AF699="","",IF(ISNUMBER(--MID(AF699,1,1)),0,IF(ISNUMBER(--MID(AF699,2,1)),1,IF(ISNUMBER(--MID(AF699,3,1)),2,IF(ISNUMBER(--MID(AF699,4,1)),3,MIN(LEN(AF699),4))))))</f>
        <v/>
      </c>
      <c r="AH699" s="11" t="str">
        <f aca="false">IF(A699="","",LEFT(AF699,AG699)&amp;REPT("0",4-AG699)&amp;RIGHT("000"&amp;IFERROR(VALUE(MID(AF699,AG699+1,9)),0),3)&amp;RIGHT("0000"&amp;IFERROR(VALUE(MID(A699,FIND("-",A699)+1,9)),0),4))</f>
        <v/>
      </c>
      <c r="AI699" s="11" t="str">
        <f aca="false">IF(OR(A699="",N(E699)&lt;=0),"",IF('FALTAS GERAL'!$M$1="Código","K"&amp;AH699&amp;RIGHT("00000"&amp;ROW(),5),IF('FALTAS GERAL'!$M$1="Nome","K"&amp;UPPER(SUBSTITUTE(SUBSTITUTE(SUBSTITUTE(B699,"*",""),"?",""),"~",""))&amp;"0"&amp;AH699&amp;RIGHT("00000"&amp;ROW(),5),IF('FALTAS GERAL'!$M$1="Falta (maior primeiro)","K"&amp;RIGHT("0000"&amp;(9999-E699),4)&amp;AH699&amp;RIGHT("00000"&amp;ROW(),5),IF('FALTAS GERAL'!$M$1="Nº de decks (maior primeiro)","K"&amp;RIGHT("00"&amp;(99-N(G699)),2)&amp;AH699&amp;RIGHT("00000"&amp;ROW(),5),"K"&amp;RIGHT("00000"&amp;ROW(),5))))))</f>
        <v/>
      </c>
      <c r="AJ699" s="11" t="str">
        <f aca="false">IF(AI699="","",COUNTIFS($AI$2:$AI$801,"&lt;"&amp;AI699,$E$2:$E$801,"&gt;0")+1)</f>
        <v/>
      </c>
      <c r="AK699" s="11" t="str">
        <f aca="false">IF(OR(A699="",N(E699)&lt;=0),"",COUNTIFS($AH$2:$AH$801,"&lt;"&amp;AH699,$E$2:$E$801,"&gt;0")+COUNTIFS($AH$2:AH699,AH699,$E$2:E699,"&gt;0"))</f>
        <v/>
      </c>
    </row>
    <row r="700" customFormat="false" ht="15" hidden="false" customHeight="false" outlineLevel="0" collapsed="false">
      <c r="A700" s="11" t="str">
        <f aca="false">IF(INVENTÁRIO!A700="","",INVENTÁRIO!A700)</f>
        <v/>
      </c>
      <c r="B700" s="11" t="str">
        <f aca="false">IF(A700="","",INVENTÁRIO!B700)</f>
        <v/>
      </c>
      <c r="C700" s="16" t="str">
        <f aca="false">IF(A700="","",INVENTÁRIO!C700)</f>
        <v/>
      </c>
      <c r="D700" s="14" t="str">
        <f aca="false">IF(A700="","",MAX(K700:AD700))</f>
        <v/>
      </c>
      <c r="E700" s="14" t="str">
        <f aca="false">IF(A700="","",MAX(0,D700-C700))</f>
        <v/>
      </c>
      <c r="F700" s="16" t="str">
        <f aca="false">IF(A700="","",IF(D700=0,"Fora dos decks",IF(E700=0,"Completo","Falta")))</f>
        <v/>
      </c>
      <c r="G700" s="16" t="str">
        <f aca="false">IF(A700="","",COUNTIF(K700:AD700,"&gt;0"))</f>
        <v/>
      </c>
      <c r="H700" s="16" t="str">
        <f aca="false">IF(A700="","",IF(G700&gt;1,"Sim",""))</f>
        <v/>
      </c>
      <c r="I700" s="18" t="str">
        <f aca="false">IF(A700="","",SUMIFS(DECKS!$D$2:$D$1201,DECKS!$B$2:$B$1201,A700))</f>
        <v/>
      </c>
      <c r="J700" s="18" t="str">
        <f aca="false">IF(A700="","",MAX(0,I700-C700))</f>
        <v/>
      </c>
      <c r="K700" s="19" t="str">
        <f aca="false">IF(OR($A700="",INDEX(_LEITURA!$Q$2:$Q$21,1)=0),"",SUMIFS(DECKS!$D$2:$D$1201,DECKS!$A$2:$A$1201,INDEX(_LEITURA!$P$2:$P$21,1),DECKS!$B$2:$B$1201,$A700))</f>
        <v/>
      </c>
      <c r="L700" s="19" t="str">
        <f aca="false">IF(OR($A700="",INDEX(_LEITURA!$Q$2:$Q$21,2)=0),"",SUMIFS(DECKS!$D$2:$D$1201,DECKS!$A$2:$A$1201,INDEX(_LEITURA!$P$2:$P$21,2),DECKS!$B$2:$B$1201,$A700))</f>
        <v/>
      </c>
      <c r="M700" s="19" t="str">
        <f aca="false">IF(OR($A700="",INDEX(_LEITURA!$Q$2:$Q$21,3)=0),"",SUMIFS(DECKS!$D$2:$D$1201,DECKS!$A$2:$A$1201,INDEX(_LEITURA!$P$2:$P$21,3),DECKS!$B$2:$B$1201,$A700))</f>
        <v/>
      </c>
      <c r="N700" s="19" t="str">
        <f aca="false">IF(OR($A700="",INDEX(_LEITURA!$Q$2:$Q$21,4)=0),"",SUMIFS(DECKS!$D$2:$D$1201,DECKS!$A$2:$A$1201,INDEX(_LEITURA!$P$2:$P$21,4),DECKS!$B$2:$B$1201,$A700))</f>
        <v/>
      </c>
      <c r="O700" s="19" t="str">
        <f aca="false">IF(OR($A700="",INDEX(_LEITURA!$Q$2:$Q$21,5)=0),"",SUMIFS(DECKS!$D$2:$D$1201,DECKS!$A$2:$A$1201,INDEX(_LEITURA!$P$2:$P$21,5),DECKS!$B$2:$B$1201,$A700))</f>
        <v/>
      </c>
      <c r="P700" s="19" t="str">
        <f aca="false">IF(OR($A700="",INDEX(_LEITURA!$Q$2:$Q$21,6)=0),"",SUMIFS(DECKS!$D$2:$D$1201,DECKS!$A$2:$A$1201,INDEX(_LEITURA!$P$2:$P$21,6),DECKS!$B$2:$B$1201,$A700))</f>
        <v/>
      </c>
      <c r="Q700" s="19" t="str">
        <f aca="false">IF(OR($A700="",INDEX(_LEITURA!$Q$2:$Q$21,7)=0),"",SUMIFS(DECKS!$D$2:$D$1201,DECKS!$A$2:$A$1201,INDEX(_LEITURA!$P$2:$P$21,7),DECKS!$B$2:$B$1201,$A700))</f>
        <v/>
      </c>
      <c r="R700" s="19" t="str">
        <f aca="false">IF(OR($A700="",INDEX(_LEITURA!$Q$2:$Q$21,8)=0),"",SUMIFS(DECKS!$D$2:$D$1201,DECKS!$A$2:$A$1201,INDEX(_LEITURA!$P$2:$P$21,8),DECKS!$B$2:$B$1201,$A700))</f>
        <v/>
      </c>
      <c r="S700" s="19" t="str">
        <f aca="false">IF(OR($A700="",INDEX(_LEITURA!$Q$2:$Q$21,9)=0),"",SUMIFS(DECKS!$D$2:$D$1201,DECKS!$A$2:$A$1201,INDEX(_LEITURA!$P$2:$P$21,9),DECKS!$B$2:$B$1201,$A700))</f>
        <v/>
      </c>
      <c r="T700" s="19" t="str">
        <f aca="false">IF(OR($A700="",INDEX(_LEITURA!$Q$2:$Q$21,10)=0),"",SUMIFS(DECKS!$D$2:$D$1201,DECKS!$A$2:$A$1201,INDEX(_LEITURA!$P$2:$P$21,10),DECKS!$B$2:$B$1201,$A700))</f>
        <v/>
      </c>
      <c r="U700" s="19" t="str">
        <f aca="false">IF(OR($A700="",INDEX(_LEITURA!$Q$2:$Q$21,11)=0),"",SUMIFS(DECKS!$D$2:$D$1201,DECKS!$A$2:$A$1201,INDEX(_LEITURA!$P$2:$P$21,11),DECKS!$B$2:$B$1201,$A700))</f>
        <v/>
      </c>
      <c r="V700" s="19" t="str">
        <f aca="false">IF(OR($A700="",INDEX(_LEITURA!$Q$2:$Q$21,12)=0),"",SUMIFS(DECKS!$D$2:$D$1201,DECKS!$A$2:$A$1201,INDEX(_LEITURA!$P$2:$P$21,12),DECKS!$B$2:$B$1201,$A700))</f>
        <v/>
      </c>
      <c r="W700" s="19" t="str">
        <f aca="false">IF(OR($A700="",INDEX(_LEITURA!$Q$2:$Q$21,13)=0),"",SUMIFS(DECKS!$D$2:$D$1201,DECKS!$A$2:$A$1201,INDEX(_LEITURA!$P$2:$P$21,13),DECKS!$B$2:$B$1201,$A700))</f>
        <v/>
      </c>
      <c r="X700" s="19" t="str">
        <f aca="false">IF(OR($A700="",INDEX(_LEITURA!$Q$2:$Q$21,14)=0),"",SUMIFS(DECKS!$D$2:$D$1201,DECKS!$A$2:$A$1201,INDEX(_LEITURA!$P$2:$P$21,14),DECKS!$B$2:$B$1201,$A700))</f>
        <v/>
      </c>
      <c r="Y700" s="19" t="str">
        <f aca="false">IF(OR($A700="",INDEX(_LEITURA!$Q$2:$Q$21,15)=0),"",SUMIFS(DECKS!$D$2:$D$1201,DECKS!$A$2:$A$1201,INDEX(_LEITURA!$P$2:$P$21,15),DECKS!$B$2:$B$1201,$A700))</f>
        <v/>
      </c>
      <c r="Z700" s="19" t="str">
        <f aca="false">IF(OR($A700="",INDEX(_LEITURA!$Q$2:$Q$21,16)=0),"",SUMIFS(DECKS!$D$2:$D$1201,DECKS!$A$2:$A$1201,INDEX(_LEITURA!$P$2:$P$21,16),DECKS!$B$2:$B$1201,$A700))</f>
        <v/>
      </c>
      <c r="AA700" s="19" t="str">
        <f aca="false">IF(OR($A700="",INDEX(_LEITURA!$Q$2:$Q$21,17)=0),"",SUMIFS(DECKS!$D$2:$D$1201,DECKS!$A$2:$A$1201,INDEX(_LEITURA!$P$2:$P$21,17),DECKS!$B$2:$B$1201,$A700))</f>
        <v/>
      </c>
      <c r="AB700" s="19" t="str">
        <f aca="false">IF(OR($A700="",INDEX(_LEITURA!$Q$2:$Q$21,18)=0),"",SUMIFS(DECKS!$D$2:$D$1201,DECKS!$A$2:$A$1201,INDEX(_LEITURA!$P$2:$P$21,18),DECKS!$B$2:$B$1201,$A700))</f>
        <v/>
      </c>
      <c r="AC700" s="19" t="str">
        <f aca="false">IF(OR($A700="",INDEX(_LEITURA!$Q$2:$Q$21,19)=0),"",SUMIFS(DECKS!$D$2:$D$1201,DECKS!$A$2:$A$1201,INDEX(_LEITURA!$P$2:$P$21,19),DECKS!$B$2:$B$1201,$A700))</f>
        <v/>
      </c>
      <c r="AD700" s="19" t="str">
        <f aca="false">IF(OR($A700="",INDEX(_LEITURA!$Q$2:$Q$21,20)=0),"",SUMIFS(DECKS!$D$2:$D$1201,DECKS!$A$2:$A$1201,INDEX(_LEITURA!$P$2:$P$21,20),DECKS!$B$2:$B$1201,$A700))</f>
        <v/>
      </c>
      <c r="AE700" s="16" t="str">
        <f aca="false">IF(N(E700)&gt;0,MAX(AE$1:AE699)+1,"")</f>
        <v/>
      </c>
      <c r="AF700" s="11" t="str">
        <f aca="false">IF(A700="","",IFERROR(LEFT(A700,FIND("-",A700)-1),A700))</f>
        <v/>
      </c>
      <c r="AG700" s="11" t="str">
        <f aca="false">IF(AF700="","",IF(ISNUMBER(--MID(AF700,1,1)),0,IF(ISNUMBER(--MID(AF700,2,1)),1,IF(ISNUMBER(--MID(AF700,3,1)),2,IF(ISNUMBER(--MID(AF700,4,1)),3,MIN(LEN(AF700),4))))))</f>
        <v/>
      </c>
      <c r="AH700" s="11" t="str">
        <f aca="false">IF(A700="","",LEFT(AF700,AG700)&amp;REPT("0",4-AG700)&amp;RIGHT("000"&amp;IFERROR(VALUE(MID(AF700,AG700+1,9)),0),3)&amp;RIGHT("0000"&amp;IFERROR(VALUE(MID(A700,FIND("-",A700)+1,9)),0),4))</f>
        <v/>
      </c>
      <c r="AI700" s="11" t="str">
        <f aca="false">IF(OR(A700="",N(E700)&lt;=0),"",IF('FALTAS GERAL'!$M$1="Código","K"&amp;AH700&amp;RIGHT("00000"&amp;ROW(),5),IF('FALTAS GERAL'!$M$1="Nome","K"&amp;UPPER(SUBSTITUTE(SUBSTITUTE(SUBSTITUTE(B700,"*",""),"?",""),"~",""))&amp;"0"&amp;AH700&amp;RIGHT("00000"&amp;ROW(),5),IF('FALTAS GERAL'!$M$1="Falta (maior primeiro)","K"&amp;RIGHT("0000"&amp;(9999-E700),4)&amp;AH700&amp;RIGHT("00000"&amp;ROW(),5),IF('FALTAS GERAL'!$M$1="Nº de decks (maior primeiro)","K"&amp;RIGHT("00"&amp;(99-N(G700)),2)&amp;AH700&amp;RIGHT("00000"&amp;ROW(),5),"K"&amp;RIGHT("00000"&amp;ROW(),5))))))</f>
        <v/>
      </c>
      <c r="AJ700" s="11" t="str">
        <f aca="false">IF(AI700="","",COUNTIFS($AI$2:$AI$801,"&lt;"&amp;AI700,$E$2:$E$801,"&gt;0")+1)</f>
        <v/>
      </c>
      <c r="AK700" s="11" t="str">
        <f aca="false">IF(OR(A700="",N(E700)&lt;=0),"",COUNTIFS($AH$2:$AH$801,"&lt;"&amp;AH700,$E$2:$E$801,"&gt;0")+COUNTIFS($AH$2:AH700,AH700,$E$2:E700,"&gt;0"))</f>
        <v/>
      </c>
    </row>
    <row r="701" customFormat="false" ht="15" hidden="false" customHeight="false" outlineLevel="0" collapsed="false">
      <c r="A701" s="11" t="str">
        <f aca="false">IF(INVENTÁRIO!A701="","",INVENTÁRIO!A701)</f>
        <v/>
      </c>
      <c r="B701" s="11" t="str">
        <f aca="false">IF(A701="","",INVENTÁRIO!B701)</f>
        <v/>
      </c>
      <c r="C701" s="16" t="str">
        <f aca="false">IF(A701="","",INVENTÁRIO!C701)</f>
        <v/>
      </c>
      <c r="D701" s="14" t="str">
        <f aca="false">IF(A701="","",MAX(K701:AD701))</f>
        <v/>
      </c>
      <c r="E701" s="14" t="str">
        <f aca="false">IF(A701="","",MAX(0,D701-C701))</f>
        <v/>
      </c>
      <c r="F701" s="16" t="str">
        <f aca="false">IF(A701="","",IF(D701=0,"Fora dos decks",IF(E701=0,"Completo","Falta")))</f>
        <v/>
      </c>
      <c r="G701" s="16" t="str">
        <f aca="false">IF(A701="","",COUNTIF(K701:AD701,"&gt;0"))</f>
        <v/>
      </c>
      <c r="H701" s="16" t="str">
        <f aca="false">IF(A701="","",IF(G701&gt;1,"Sim",""))</f>
        <v/>
      </c>
      <c r="I701" s="18" t="str">
        <f aca="false">IF(A701="","",SUMIFS(DECKS!$D$2:$D$1201,DECKS!$B$2:$B$1201,A701))</f>
        <v/>
      </c>
      <c r="J701" s="18" t="str">
        <f aca="false">IF(A701="","",MAX(0,I701-C701))</f>
        <v/>
      </c>
      <c r="K701" s="19" t="str">
        <f aca="false">IF(OR($A701="",INDEX(_LEITURA!$Q$2:$Q$21,1)=0),"",SUMIFS(DECKS!$D$2:$D$1201,DECKS!$A$2:$A$1201,INDEX(_LEITURA!$P$2:$P$21,1),DECKS!$B$2:$B$1201,$A701))</f>
        <v/>
      </c>
      <c r="L701" s="19" t="str">
        <f aca="false">IF(OR($A701="",INDEX(_LEITURA!$Q$2:$Q$21,2)=0),"",SUMIFS(DECKS!$D$2:$D$1201,DECKS!$A$2:$A$1201,INDEX(_LEITURA!$P$2:$P$21,2),DECKS!$B$2:$B$1201,$A701))</f>
        <v/>
      </c>
      <c r="M701" s="19" t="str">
        <f aca="false">IF(OR($A701="",INDEX(_LEITURA!$Q$2:$Q$21,3)=0),"",SUMIFS(DECKS!$D$2:$D$1201,DECKS!$A$2:$A$1201,INDEX(_LEITURA!$P$2:$P$21,3),DECKS!$B$2:$B$1201,$A701))</f>
        <v/>
      </c>
      <c r="N701" s="19" t="str">
        <f aca="false">IF(OR($A701="",INDEX(_LEITURA!$Q$2:$Q$21,4)=0),"",SUMIFS(DECKS!$D$2:$D$1201,DECKS!$A$2:$A$1201,INDEX(_LEITURA!$P$2:$P$21,4),DECKS!$B$2:$B$1201,$A701))</f>
        <v/>
      </c>
      <c r="O701" s="19" t="str">
        <f aca="false">IF(OR($A701="",INDEX(_LEITURA!$Q$2:$Q$21,5)=0),"",SUMIFS(DECKS!$D$2:$D$1201,DECKS!$A$2:$A$1201,INDEX(_LEITURA!$P$2:$P$21,5),DECKS!$B$2:$B$1201,$A701))</f>
        <v/>
      </c>
      <c r="P701" s="19" t="str">
        <f aca="false">IF(OR($A701="",INDEX(_LEITURA!$Q$2:$Q$21,6)=0),"",SUMIFS(DECKS!$D$2:$D$1201,DECKS!$A$2:$A$1201,INDEX(_LEITURA!$P$2:$P$21,6),DECKS!$B$2:$B$1201,$A701))</f>
        <v/>
      </c>
      <c r="Q701" s="19" t="str">
        <f aca="false">IF(OR($A701="",INDEX(_LEITURA!$Q$2:$Q$21,7)=0),"",SUMIFS(DECKS!$D$2:$D$1201,DECKS!$A$2:$A$1201,INDEX(_LEITURA!$P$2:$P$21,7),DECKS!$B$2:$B$1201,$A701))</f>
        <v/>
      </c>
      <c r="R701" s="19" t="str">
        <f aca="false">IF(OR($A701="",INDEX(_LEITURA!$Q$2:$Q$21,8)=0),"",SUMIFS(DECKS!$D$2:$D$1201,DECKS!$A$2:$A$1201,INDEX(_LEITURA!$P$2:$P$21,8),DECKS!$B$2:$B$1201,$A701))</f>
        <v/>
      </c>
      <c r="S701" s="19" t="str">
        <f aca="false">IF(OR($A701="",INDEX(_LEITURA!$Q$2:$Q$21,9)=0),"",SUMIFS(DECKS!$D$2:$D$1201,DECKS!$A$2:$A$1201,INDEX(_LEITURA!$P$2:$P$21,9),DECKS!$B$2:$B$1201,$A701))</f>
        <v/>
      </c>
      <c r="T701" s="19" t="str">
        <f aca="false">IF(OR($A701="",INDEX(_LEITURA!$Q$2:$Q$21,10)=0),"",SUMIFS(DECKS!$D$2:$D$1201,DECKS!$A$2:$A$1201,INDEX(_LEITURA!$P$2:$P$21,10),DECKS!$B$2:$B$1201,$A701))</f>
        <v/>
      </c>
      <c r="U701" s="19" t="str">
        <f aca="false">IF(OR($A701="",INDEX(_LEITURA!$Q$2:$Q$21,11)=0),"",SUMIFS(DECKS!$D$2:$D$1201,DECKS!$A$2:$A$1201,INDEX(_LEITURA!$P$2:$P$21,11),DECKS!$B$2:$B$1201,$A701))</f>
        <v/>
      </c>
      <c r="V701" s="19" t="str">
        <f aca="false">IF(OR($A701="",INDEX(_LEITURA!$Q$2:$Q$21,12)=0),"",SUMIFS(DECKS!$D$2:$D$1201,DECKS!$A$2:$A$1201,INDEX(_LEITURA!$P$2:$P$21,12),DECKS!$B$2:$B$1201,$A701))</f>
        <v/>
      </c>
      <c r="W701" s="19" t="str">
        <f aca="false">IF(OR($A701="",INDEX(_LEITURA!$Q$2:$Q$21,13)=0),"",SUMIFS(DECKS!$D$2:$D$1201,DECKS!$A$2:$A$1201,INDEX(_LEITURA!$P$2:$P$21,13),DECKS!$B$2:$B$1201,$A701))</f>
        <v/>
      </c>
      <c r="X701" s="19" t="str">
        <f aca="false">IF(OR($A701="",INDEX(_LEITURA!$Q$2:$Q$21,14)=0),"",SUMIFS(DECKS!$D$2:$D$1201,DECKS!$A$2:$A$1201,INDEX(_LEITURA!$P$2:$P$21,14),DECKS!$B$2:$B$1201,$A701))</f>
        <v/>
      </c>
      <c r="Y701" s="19" t="str">
        <f aca="false">IF(OR($A701="",INDEX(_LEITURA!$Q$2:$Q$21,15)=0),"",SUMIFS(DECKS!$D$2:$D$1201,DECKS!$A$2:$A$1201,INDEX(_LEITURA!$P$2:$P$21,15),DECKS!$B$2:$B$1201,$A701))</f>
        <v/>
      </c>
      <c r="Z701" s="19" t="str">
        <f aca="false">IF(OR($A701="",INDEX(_LEITURA!$Q$2:$Q$21,16)=0),"",SUMIFS(DECKS!$D$2:$D$1201,DECKS!$A$2:$A$1201,INDEX(_LEITURA!$P$2:$P$21,16),DECKS!$B$2:$B$1201,$A701))</f>
        <v/>
      </c>
      <c r="AA701" s="19" t="str">
        <f aca="false">IF(OR($A701="",INDEX(_LEITURA!$Q$2:$Q$21,17)=0),"",SUMIFS(DECKS!$D$2:$D$1201,DECKS!$A$2:$A$1201,INDEX(_LEITURA!$P$2:$P$21,17),DECKS!$B$2:$B$1201,$A701))</f>
        <v/>
      </c>
      <c r="AB701" s="19" t="str">
        <f aca="false">IF(OR($A701="",INDEX(_LEITURA!$Q$2:$Q$21,18)=0),"",SUMIFS(DECKS!$D$2:$D$1201,DECKS!$A$2:$A$1201,INDEX(_LEITURA!$P$2:$P$21,18),DECKS!$B$2:$B$1201,$A701))</f>
        <v/>
      </c>
      <c r="AC701" s="19" t="str">
        <f aca="false">IF(OR($A701="",INDEX(_LEITURA!$Q$2:$Q$21,19)=0),"",SUMIFS(DECKS!$D$2:$D$1201,DECKS!$A$2:$A$1201,INDEX(_LEITURA!$P$2:$P$21,19),DECKS!$B$2:$B$1201,$A701))</f>
        <v/>
      </c>
      <c r="AD701" s="19" t="str">
        <f aca="false">IF(OR($A701="",INDEX(_LEITURA!$Q$2:$Q$21,20)=0),"",SUMIFS(DECKS!$D$2:$D$1201,DECKS!$A$2:$A$1201,INDEX(_LEITURA!$P$2:$P$21,20),DECKS!$B$2:$B$1201,$A701))</f>
        <v/>
      </c>
      <c r="AE701" s="16" t="str">
        <f aca="false">IF(N(E701)&gt;0,MAX(AE$1:AE700)+1,"")</f>
        <v/>
      </c>
      <c r="AF701" s="11" t="str">
        <f aca="false">IF(A701="","",IFERROR(LEFT(A701,FIND("-",A701)-1),A701))</f>
        <v/>
      </c>
      <c r="AG701" s="11" t="str">
        <f aca="false">IF(AF701="","",IF(ISNUMBER(--MID(AF701,1,1)),0,IF(ISNUMBER(--MID(AF701,2,1)),1,IF(ISNUMBER(--MID(AF701,3,1)),2,IF(ISNUMBER(--MID(AF701,4,1)),3,MIN(LEN(AF701),4))))))</f>
        <v/>
      </c>
      <c r="AH701" s="11" t="str">
        <f aca="false">IF(A701="","",LEFT(AF701,AG701)&amp;REPT("0",4-AG701)&amp;RIGHT("000"&amp;IFERROR(VALUE(MID(AF701,AG701+1,9)),0),3)&amp;RIGHT("0000"&amp;IFERROR(VALUE(MID(A701,FIND("-",A701)+1,9)),0),4))</f>
        <v/>
      </c>
      <c r="AI701" s="11" t="str">
        <f aca="false">IF(OR(A701="",N(E701)&lt;=0),"",IF('FALTAS GERAL'!$M$1="Código","K"&amp;AH701&amp;RIGHT("00000"&amp;ROW(),5),IF('FALTAS GERAL'!$M$1="Nome","K"&amp;UPPER(SUBSTITUTE(SUBSTITUTE(SUBSTITUTE(B701,"*",""),"?",""),"~",""))&amp;"0"&amp;AH701&amp;RIGHT("00000"&amp;ROW(),5),IF('FALTAS GERAL'!$M$1="Falta (maior primeiro)","K"&amp;RIGHT("0000"&amp;(9999-E701),4)&amp;AH701&amp;RIGHT("00000"&amp;ROW(),5),IF('FALTAS GERAL'!$M$1="Nº de decks (maior primeiro)","K"&amp;RIGHT("00"&amp;(99-N(G701)),2)&amp;AH701&amp;RIGHT("00000"&amp;ROW(),5),"K"&amp;RIGHT("00000"&amp;ROW(),5))))))</f>
        <v/>
      </c>
      <c r="AJ701" s="11" t="str">
        <f aca="false">IF(AI701="","",COUNTIFS($AI$2:$AI$801,"&lt;"&amp;AI701,$E$2:$E$801,"&gt;0")+1)</f>
        <v/>
      </c>
      <c r="AK701" s="11" t="str">
        <f aca="false">IF(OR(A701="",N(E701)&lt;=0),"",COUNTIFS($AH$2:$AH$801,"&lt;"&amp;AH701,$E$2:$E$801,"&gt;0")+COUNTIFS($AH$2:AH701,AH701,$E$2:E701,"&gt;0"))</f>
        <v/>
      </c>
    </row>
    <row r="702" customFormat="false" ht="15" hidden="false" customHeight="false" outlineLevel="0" collapsed="false">
      <c r="A702" s="11" t="str">
        <f aca="false">IF(INVENTÁRIO!A702="","",INVENTÁRIO!A702)</f>
        <v/>
      </c>
      <c r="B702" s="11" t="str">
        <f aca="false">IF(A702="","",INVENTÁRIO!B702)</f>
        <v/>
      </c>
      <c r="C702" s="16" t="str">
        <f aca="false">IF(A702="","",INVENTÁRIO!C702)</f>
        <v/>
      </c>
      <c r="D702" s="14" t="str">
        <f aca="false">IF(A702="","",MAX(K702:AD702))</f>
        <v/>
      </c>
      <c r="E702" s="14" t="str">
        <f aca="false">IF(A702="","",MAX(0,D702-C702))</f>
        <v/>
      </c>
      <c r="F702" s="16" t="str">
        <f aca="false">IF(A702="","",IF(D702=0,"Fora dos decks",IF(E702=0,"Completo","Falta")))</f>
        <v/>
      </c>
      <c r="G702" s="16" t="str">
        <f aca="false">IF(A702="","",COUNTIF(K702:AD702,"&gt;0"))</f>
        <v/>
      </c>
      <c r="H702" s="16" t="str">
        <f aca="false">IF(A702="","",IF(G702&gt;1,"Sim",""))</f>
        <v/>
      </c>
      <c r="I702" s="18" t="str">
        <f aca="false">IF(A702="","",SUMIFS(DECKS!$D$2:$D$1201,DECKS!$B$2:$B$1201,A702))</f>
        <v/>
      </c>
      <c r="J702" s="18" t="str">
        <f aca="false">IF(A702="","",MAX(0,I702-C702))</f>
        <v/>
      </c>
      <c r="K702" s="19" t="str">
        <f aca="false">IF(OR($A702="",INDEX(_LEITURA!$Q$2:$Q$21,1)=0),"",SUMIFS(DECKS!$D$2:$D$1201,DECKS!$A$2:$A$1201,INDEX(_LEITURA!$P$2:$P$21,1),DECKS!$B$2:$B$1201,$A702))</f>
        <v/>
      </c>
      <c r="L702" s="19" t="str">
        <f aca="false">IF(OR($A702="",INDEX(_LEITURA!$Q$2:$Q$21,2)=0),"",SUMIFS(DECKS!$D$2:$D$1201,DECKS!$A$2:$A$1201,INDEX(_LEITURA!$P$2:$P$21,2),DECKS!$B$2:$B$1201,$A702))</f>
        <v/>
      </c>
      <c r="M702" s="19" t="str">
        <f aca="false">IF(OR($A702="",INDEX(_LEITURA!$Q$2:$Q$21,3)=0),"",SUMIFS(DECKS!$D$2:$D$1201,DECKS!$A$2:$A$1201,INDEX(_LEITURA!$P$2:$P$21,3),DECKS!$B$2:$B$1201,$A702))</f>
        <v/>
      </c>
      <c r="N702" s="19" t="str">
        <f aca="false">IF(OR($A702="",INDEX(_LEITURA!$Q$2:$Q$21,4)=0),"",SUMIFS(DECKS!$D$2:$D$1201,DECKS!$A$2:$A$1201,INDEX(_LEITURA!$P$2:$P$21,4),DECKS!$B$2:$B$1201,$A702))</f>
        <v/>
      </c>
      <c r="O702" s="19" t="str">
        <f aca="false">IF(OR($A702="",INDEX(_LEITURA!$Q$2:$Q$21,5)=0),"",SUMIFS(DECKS!$D$2:$D$1201,DECKS!$A$2:$A$1201,INDEX(_LEITURA!$P$2:$P$21,5),DECKS!$B$2:$B$1201,$A702))</f>
        <v/>
      </c>
      <c r="P702" s="19" t="str">
        <f aca="false">IF(OR($A702="",INDEX(_LEITURA!$Q$2:$Q$21,6)=0),"",SUMIFS(DECKS!$D$2:$D$1201,DECKS!$A$2:$A$1201,INDEX(_LEITURA!$P$2:$P$21,6),DECKS!$B$2:$B$1201,$A702))</f>
        <v/>
      </c>
      <c r="Q702" s="19" t="str">
        <f aca="false">IF(OR($A702="",INDEX(_LEITURA!$Q$2:$Q$21,7)=0),"",SUMIFS(DECKS!$D$2:$D$1201,DECKS!$A$2:$A$1201,INDEX(_LEITURA!$P$2:$P$21,7),DECKS!$B$2:$B$1201,$A702))</f>
        <v/>
      </c>
      <c r="R702" s="19" t="str">
        <f aca="false">IF(OR($A702="",INDEX(_LEITURA!$Q$2:$Q$21,8)=0),"",SUMIFS(DECKS!$D$2:$D$1201,DECKS!$A$2:$A$1201,INDEX(_LEITURA!$P$2:$P$21,8),DECKS!$B$2:$B$1201,$A702))</f>
        <v/>
      </c>
      <c r="S702" s="19" t="str">
        <f aca="false">IF(OR($A702="",INDEX(_LEITURA!$Q$2:$Q$21,9)=0),"",SUMIFS(DECKS!$D$2:$D$1201,DECKS!$A$2:$A$1201,INDEX(_LEITURA!$P$2:$P$21,9),DECKS!$B$2:$B$1201,$A702))</f>
        <v/>
      </c>
      <c r="T702" s="19" t="str">
        <f aca="false">IF(OR($A702="",INDEX(_LEITURA!$Q$2:$Q$21,10)=0),"",SUMIFS(DECKS!$D$2:$D$1201,DECKS!$A$2:$A$1201,INDEX(_LEITURA!$P$2:$P$21,10),DECKS!$B$2:$B$1201,$A702))</f>
        <v/>
      </c>
      <c r="U702" s="19" t="str">
        <f aca="false">IF(OR($A702="",INDEX(_LEITURA!$Q$2:$Q$21,11)=0),"",SUMIFS(DECKS!$D$2:$D$1201,DECKS!$A$2:$A$1201,INDEX(_LEITURA!$P$2:$P$21,11),DECKS!$B$2:$B$1201,$A702))</f>
        <v/>
      </c>
      <c r="V702" s="19" t="str">
        <f aca="false">IF(OR($A702="",INDEX(_LEITURA!$Q$2:$Q$21,12)=0),"",SUMIFS(DECKS!$D$2:$D$1201,DECKS!$A$2:$A$1201,INDEX(_LEITURA!$P$2:$P$21,12),DECKS!$B$2:$B$1201,$A702))</f>
        <v/>
      </c>
      <c r="W702" s="19" t="str">
        <f aca="false">IF(OR($A702="",INDEX(_LEITURA!$Q$2:$Q$21,13)=0),"",SUMIFS(DECKS!$D$2:$D$1201,DECKS!$A$2:$A$1201,INDEX(_LEITURA!$P$2:$P$21,13),DECKS!$B$2:$B$1201,$A702))</f>
        <v/>
      </c>
      <c r="X702" s="19" t="str">
        <f aca="false">IF(OR($A702="",INDEX(_LEITURA!$Q$2:$Q$21,14)=0),"",SUMIFS(DECKS!$D$2:$D$1201,DECKS!$A$2:$A$1201,INDEX(_LEITURA!$P$2:$P$21,14),DECKS!$B$2:$B$1201,$A702))</f>
        <v/>
      </c>
      <c r="Y702" s="19" t="str">
        <f aca="false">IF(OR($A702="",INDEX(_LEITURA!$Q$2:$Q$21,15)=0),"",SUMIFS(DECKS!$D$2:$D$1201,DECKS!$A$2:$A$1201,INDEX(_LEITURA!$P$2:$P$21,15),DECKS!$B$2:$B$1201,$A702))</f>
        <v/>
      </c>
      <c r="Z702" s="19" t="str">
        <f aca="false">IF(OR($A702="",INDEX(_LEITURA!$Q$2:$Q$21,16)=0),"",SUMIFS(DECKS!$D$2:$D$1201,DECKS!$A$2:$A$1201,INDEX(_LEITURA!$P$2:$P$21,16),DECKS!$B$2:$B$1201,$A702))</f>
        <v/>
      </c>
      <c r="AA702" s="19" t="str">
        <f aca="false">IF(OR($A702="",INDEX(_LEITURA!$Q$2:$Q$21,17)=0),"",SUMIFS(DECKS!$D$2:$D$1201,DECKS!$A$2:$A$1201,INDEX(_LEITURA!$P$2:$P$21,17),DECKS!$B$2:$B$1201,$A702))</f>
        <v/>
      </c>
      <c r="AB702" s="19" t="str">
        <f aca="false">IF(OR($A702="",INDEX(_LEITURA!$Q$2:$Q$21,18)=0),"",SUMIFS(DECKS!$D$2:$D$1201,DECKS!$A$2:$A$1201,INDEX(_LEITURA!$P$2:$P$21,18),DECKS!$B$2:$B$1201,$A702))</f>
        <v/>
      </c>
      <c r="AC702" s="19" t="str">
        <f aca="false">IF(OR($A702="",INDEX(_LEITURA!$Q$2:$Q$21,19)=0),"",SUMIFS(DECKS!$D$2:$D$1201,DECKS!$A$2:$A$1201,INDEX(_LEITURA!$P$2:$P$21,19),DECKS!$B$2:$B$1201,$A702))</f>
        <v/>
      </c>
      <c r="AD702" s="19" t="str">
        <f aca="false">IF(OR($A702="",INDEX(_LEITURA!$Q$2:$Q$21,20)=0),"",SUMIFS(DECKS!$D$2:$D$1201,DECKS!$A$2:$A$1201,INDEX(_LEITURA!$P$2:$P$21,20),DECKS!$B$2:$B$1201,$A702))</f>
        <v/>
      </c>
      <c r="AE702" s="16" t="str">
        <f aca="false">IF(N(E702)&gt;0,MAX(AE$1:AE701)+1,"")</f>
        <v/>
      </c>
      <c r="AF702" s="11" t="str">
        <f aca="false">IF(A702="","",IFERROR(LEFT(A702,FIND("-",A702)-1),A702))</f>
        <v/>
      </c>
      <c r="AG702" s="11" t="str">
        <f aca="false">IF(AF702="","",IF(ISNUMBER(--MID(AF702,1,1)),0,IF(ISNUMBER(--MID(AF702,2,1)),1,IF(ISNUMBER(--MID(AF702,3,1)),2,IF(ISNUMBER(--MID(AF702,4,1)),3,MIN(LEN(AF702),4))))))</f>
        <v/>
      </c>
      <c r="AH702" s="11" t="str">
        <f aca="false">IF(A702="","",LEFT(AF702,AG702)&amp;REPT("0",4-AG702)&amp;RIGHT("000"&amp;IFERROR(VALUE(MID(AF702,AG702+1,9)),0),3)&amp;RIGHT("0000"&amp;IFERROR(VALUE(MID(A702,FIND("-",A702)+1,9)),0),4))</f>
        <v/>
      </c>
      <c r="AI702" s="11" t="str">
        <f aca="false">IF(OR(A702="",N(E702)&lt;=0),"",IF('FALTAS GERAL'!$M$1="Código","K"&amp;AH702&amp;RIGHT("00000"&amp;ROW(),5),IF('FALTAS GERAL'!$M$1="Nome","K"&amp;UPPER(SUBSTITUTE(SUBSTITUTE(SUBSTITUTE(B702,"*",""),"?",""),"~",""))&amp;"0"&amp;AH702&amp;RIGHT("00000"&amp;ROW(),5),IF('FALTAS GERAL'!$M$1="Falta (maior primeiro)","K"&amp;RIGHT("0000"&amp;(9999-E702),4)&amp;AH702&amp;RIGHT("00000"&amp;ROW(),5),IF('FALTAS GERAL'!$M$1="Nº de decks (maior primeiro)","K"&amp;RIGHT("00"&amp;(99-N(G702)),2)&amp;AH702&amp;RIGHT("00000"&amp;ROW(),5),"K"&amp;RIGHT("00000"&amp;ROW(),5))))))</f>
        <v/>
      </c>
      <c r="AJ702" s="11" t="str">
        <f aca="false">IF(AI702="","",COUNTIFS($AI$2:$AI$801,"&lt;"&amp;AI702,$E$2:$E$801,"&gt;0")+1)</f>
        <v/>
      </c>
      <c r="AK702" s="11" t="str">
        <f aca="false">IF(OR(A702="",N(E702)&lt;=0),"",COUNTIFS($AH$2:$AH$801,"&lt;"&amp;AH702,$E$2:$E$801,"&gt;0")+COUNTIFS($AH$2:AH702,AH702,$E$2:E702,"&gt;0"))</f>
        <v/>
      </c>
    </row>
    <row r="703" customFormat="false" ht="15" hidden="false" customHeight="false" outlineLevel="0" collapsed="false">
      <c r="A703" s="11" t="str">
        <f aca="false">IF(INVENTÁRIO!A703="","",INVENTÁRIO!A703)</f>
        <v/>
      </c>
      <c r="B703" s="11" t="str">
        <f aca="false">IF(A703="","",INVENTÁRIO!B703)</f>
        <v/>
      </c>
      <c r="C703" s="16" t="str">
        <f aca="false">IF(A703="","",INVENTÁRIO!C703)</f>
        <v/>
      </c>
      <c r="D703" s="14" t="str">
        <f aca="false">IF(A703="","",MAX(K703:AD703))</f>
        <v/>
      </c>
      <c r="E703" s="14" t="str">
        <f aca="false">IF(A703="","",MAX(0,D703-C703))</f>
        <v/>
      </c>
      <c r="F703" s="16" t="str">
        <f aca="false">IF(A703="","",IF(D703=0,"Fora dos decks",IF(E703=0,"Completo","Falta")))</f>
        <v/>
      </c>
      <c r="G703" s="16" t="str">
        <f aca="false">IF(A703="","",COUNTIF(K703:AD703,"&gt;0"))</f>
        <v/>
      </c>
      <c r="H703" s="16" t="str">
        <f aca="false">IF(A703="","",IF(G703&gt;1,"Sim",""))</f>
        <v/>
      </c>
      <c r="I703" s="18" t="str">
        <f aca="false">IF(A703="","",SUMIFS(DECKS!$D$2:$D$1201,DECKS!$B$2:$B$1201,A703))</f>
        <v/>
      </c>
      <c r="J703" s="18" t="str">
        <f aca="false">IF(A703="","",MAX(0,I703-C703))</f>
        <v/>
      </c>
      <c r="K703" s="19" t="str">
        <f aca="false">IF(OR($A703="",INDEX(_LEITURA!$Q$2:$Q$21,1)=0),"",SUMIFS(DECKS!$D$2:$D$1201,DECKS!$A$2:$A$1201,INDEX(_LEITURA!$P$2:$P$21,1),DECKS!$B$2:$B$1201,$A703))</f>
        <v/>
      </c>
      <c r="L703" s="19" t="str">
        <f aca="false">IF(OR($A703="",INDEX(_LEITURA!$Q$2:$Q$21,2)=0),"",SUMIFS(DECKS!$D$2:$D$1201,DECKS!$A$2:$A$1201,INDEX(_LEITURA!$P$2:$P$21,2),DECKS!$B$2:$B$1201,$A703))</f>
        <v/>
      </c>
      <c r="M703" s="19" t="str">
        <f aca="false">IF(OR($A703="",INDEX(_LEITURA!$Q$2:$Q$21,3)=0),"",SUMIFS(DECKS!$D$2:$D$1201,DECKS!$A$2:$A$1201,INDEX(_LEITURA!$P$2:$P$21,3),DECKS!$B$2:$B$1201,$A703))</f>
        <v/>
      </c>
      <c r="N703" s="19" t="str">
        <f aca="false">IF(OR($A703="",INDEX(_LEITURA!$Q$2:$Q$21,4)=0),"",SUMIFS(DECKS!$D$2:$D$1201,DECKS!$A$2:$A$1201,INDEX(_LEITURA!$P$2:$P$21,4),DECKS!$B$2:$B$1201,$A703))</f>
        <v/>
      </c>
      <c r="O703" s="19" t="str">
        <f aca="false">IF(OR($A703="",INDEX(_LEITURA!$Q$2:$Q$21,5)=0),"",SUMIFS(DECKS!$D$2:$D$1201,DECKS!$A$2:$A$1201,INDEX(_LEITURA!$P$2:$P$21,5),DECKS!$B$2:$B$1201,$A703))</f>
        <v/>
      </c>
      <c r="P703" s="19" t="str">
        <f aca="false">IF(OR($A703="",INDEX(_LEITURA!$Q$2:$Q$21,6)=0),"",SUMIFS(DECKS!$D$2:$D$1201,DECKS!$A$2:$A$1201,INDEX(_LEITURA!$P$2:$P$21,6),DECKS!$B$2:$B$1201,$A703))</f>
        <v/>
      </c>
      <c r="Q703" s="19" t="str">
        <f aca="false">IF(OR($A703="",INDEX(_LEITURA!$Q$2:$Q$21,7)=0),"",SUMIFS(DECKS!$D$2:$D$1201,DECKS!$A$2:$A$1201,INDEX(_LEITURA!$P$2:$P$21,7),DECKS!$B$2:$B$1201,$A703))</f>
        <v/>
      </c>
      <c r="R703" s="19" t="str">
        <f aca="false">IF(OR($A703="",INDEX(_LEITURA!$Q$2:$Q$21,8)=0),"",SUMIFS(DECKS!$D$2:$D$1201,DECKS!$A$2:$A$1201,INDEX(_LEITURA!$P$2:$P$21,8),DECKS!$B$2:$B$1201,$A703))</f>
        <v/>
      </c>
      <c r="S703" s="19" t="str">
        <f aca="false">IF(OR($A703="",INDEX(_LEITURA!$Q$2:$Q$21,9)=0),"",SUMIFS(DECKS!$D$2:$D$1201,DECKS!$A$2:$A$1201,INDEX(_LEITURA!$P$2:$P$21,9),DECKS!$B$2:$B$1201,$A703))</f>
        <v/>
      </c>
      <c r="T703" s="19" t="str">
        <f aca="false">IF(OR($A703="",INDEX(_LEITURA!$Q$2:$Q$21,10)=0),"",SUMIFS(DECKS!$D$2:$D$1201,DECKS!$A$2:$A$1201,INDEX(_LEITURA!$P$2:$P$21,10),DECKS!$B$2:$B$1201,$A703))</f>
        <v/>
      </c>
      <c r="U703" s="19" t="str">
        <f aca="false">IF(OR($A703="",INDEX(_LEITURA!$Q$2:$Q$21,11)=0),"",SUMIFS(DECKS!$D$2:$D$1201,DECKS!$A$2:$A$1201,INDEX(_LEITURA!$P$2:$P$21,11),DECKS!$B$2:$B$1201,$A703))</f>
        <v/>
      </c>
      <c r="V703" s="19" t="str">
        <f aca="false">IF(OR($A703="",INDEX(_LEITURA!$Q$2:$Q$21,12)=0),"",SUMIFS(DECKS!$D$2:$D$1201,DECKS!$A$2:$A$1201,INDEX(_LEITURA!$P$2:$P$21,12),DECKS!$B$2:$B$1201,$A703))</f>
        <v/>
      </c>
      <c r="W703" s="19" t="str">
        <f aca="false">IF(OR($A703="",INDEX(_LEITURA!$Q$2:$Q$21,13)=0),"",SUMIFS(DECKS!$D$2:$D$1201,DECKS!$A$2:$A$1201,INDEX(_LEITURA!$P$2:$P$21,13),DECKS!$B$2:$B$1201,$A703))</f>
        <v/>
      </c>
      <c r="X703" s="19" t="str">
        <f aca="false">IF(OR($A703="",INDEX(_LEITURA!$Q$2:$Q$21,14)=0),"",SUMIFS(DECKS!$D$2:$D$1201,DECKS!$A$2:$A$1201,INDEX(_LEITURA!$P$2:$P$21,14),DECKS!$B$2:$B$1201,$A703))</f>
        <v/>
      </c>
      <c r="Y703" s="19" t="str">
        <f aca="false">IF(OR($A703="",INDEX(_LEITURA!$Q$2:$Q$21,15)=0),"",SUMIFS(DECKS!$D$2:$D$1201,DECKS!$A$2:$A$1201,INDEX(_LEITURA!$P$2:$P$21,15),DECKS!$B$2:$B$1201,$A703))</f>
        <v/>
      </c>
      <c r="Z703" s="19" t="str">
        <f aca="false">IF(OR($A703="",INDEX(_LEITURA!$Q$2:$Q$21,16)=0),"",SUMIFS(DECKS!$D$2:$D$1201,DECKS!$A$2:$A$1201,INDEX(_LEITURA!$P$2:$P$21,16),DECKS!$B$2:$B$1201,$A703))</f>
        <v/>
      </c>
      <c r="AA703" s="19" t="str">
        <f aca="false">IF(OR($A703="",INDEX(_LEITURA!$Q$2:$Q$21,17)=0),"",SUMIFS(DECKS!$D$2:$D$1201,DECKS!$A$2:$A$1201,INDEX(_LEITURA!$P$2:$P$21,17),DECKS!$B$2:$B$1201,$A703))</f>
        <v/>
      </c>
      <c r="AB703" s="19" t="str">
        <f aca="false">IF(OR($A703="",INDEX(_LEITURA!$Q$2:$Q$21,18)=0),"",SUMIFS(DECKS!$D$2:$D$1201,DECKS!$A$2:$A$1201,INDEX(_LEITURA!$P$2:$P$21,18),DECKS!$B$2:$B$1201,$A703))</f>
        <v/>
      </c>
      <c r="AC703" s="19" t="str">
        <f aca="false">IF(OR($A703="",INDEX(_LEITURA!$Q$2:$Q$21,19)=0),"",SUMIFS(DECKS!$D$2:$D$1201,DECKS!$A$2:$A$1201,INDEX(_LEITURA!$P$2:$P$21,19),DECKS!$B$2:$B$1201,$A703))</f>
        <v/>
      </c>
      <c r="AD703" s="19" t="str">
        <f aca="false">IF(OR($A703="",INDEX(_LEITURA!$Q$2:$Q$21,20)=0),"",SUMIFS(DECKS!$D$2:$D$1201,DECKS!$A$2:$A$1201,INDEX(_LEITURA!$P$2:$P$21,20),DECKS!$B$2:$B$1201,$A703))</f>
        <v/>
      </c>
      <c r="AE703" s="16" t="str">
        <f aca="false">IF(N(E703)&gt;0,MAX(AE$1:AE702)+1,"")</f>
        <v/>
      </c>
      <c r="AF703" s="11" t="str">
        <f aca="false">IF(A703="","",IFERROR(LEFT(A703,FIND("-",A703)-1),A703))</f>
        <v/>
      </c>
      <c r="AG703" s="11" t="str">
        <f aca="false">IF(AF703="","",IF(ISNUMBER(--MID(AF703,1,1)),0,IF(ISNUMBER(--MID(AF703,2,1)),1,IF(ISNUMBER(--MID(AF703,3,1)),2,IF(ISNUMBER(--MID(AF703,4,1)),3,MIN(LEN(AF703),4))))))</f>
        <v/>
      </c>
      <c r="AH703" s="11" t="str">
        <f aca="false">IF(A703="","",LEFT(AF703,AG703)&amp;REPT("0",4-AG703)&amp;RIGHT("000"&amp;IFERROR(VALUE(MID(AF703,AG703+1,9)),0),3)&amp;RIGHT("0000"&amp;IFERROR(VALUE(MID(A703,FIND("-",A703)+1,9)),0),4))</f>
        <v/>
      </c>
      <c r="AI703" s="11" t="str">
        <f aca="false">IF(OR(A703="",N(E703)&lt;=0),"",IF('FALTAS GERAL'!$M$1="Código","K"&amp;AH703&amp;RIGHT("00000"&amp;ROW(),5),IF('FALTAS GERAL'!$M$1="Nome","K"&amp;UPPER(SUBSTITUTE(SUBSTITUTE(SUBSTITUTE(B703,"*",""),"?",""),"~",""))&amp;"0"&amp;AH703&amp;RIGHT("00000"&amp;ROW(),5),IF('FALTAS GERAL'!$M$1="Falta (maior primeiro)","K"&amp;RIGHT("0000"&amp;(9999-E703),4)&amp;AH703&amp;RIGHT("00000"&amp;ROW(),5),IF('FALTAS GERAL'!$M$1="Nº de decks (maior primeiro)","K"&amp;RIGHT("00"&amp;(99-N(G703)),2)&amp;AH703&amp;RIGHT("00000"&amp;ROW(),5),"K"&amp;RIGHT("00000"&amp;ROW(),5))))))</f>
        <v/>
      </c>
      <c r="AJ703" s="11" t="str">
        <f aca="false">IF(AI703="","",COUNTIFS($AI$2:$AI$801,"&lt;"&amp;AI703,$E$2:$E$801,"&gt;0")+1)</f>
        <v/>
      </c>
      <c r="AK703" s="11" t="str">
        <f aca="false">IF(OR(A703="",N(E703)&lt;=0),"",COUNTIFS($AH$2:$AH$801,"&lt;"&amp;AH703,$E$2:$E$801,"&gt;0")+COUNTIFS($AH$2:AH703,AH703,$E$2:E703,"&gt;0"))</f>
        <v/>
      </c>
    </row>
    <row r="704" customFormat="false" ht="15" hidden="false" customHeight="false" outlineLevel="0" collapsed="false">
      <c r="A704" s="11" t="str">
        <f aca="false">IF(INVENTÁRIO!A704="","",INVENTÁRIO!A704)</f>
        <v/>
      </c>
      <c r="B704" s="11" t="str">
        <f aca="false">IF(A704="","",INVENTÁRIO!B704)</f>
        <v/>
      </c>
      <c r="C704" s="16" t="str">
        <f aca="false">IF(A704="","",INVENTÁRIO!C704)</f>
        <v/>
      </c>
      <c r="D704" s="14" t="str">
        <f aca="false">IF(A704="","",MAX(K704:AD704))</f>
        <v/>
      </c>
      <c r="E704" s="14" t="str">
        <f aca="false">IF(A704="","",MAX(0,D704-C704))</f>
        <v/>
      </c>
      <c r="F704" s="16" t="str">
        <f aca="false">IF(A704="","",IF(D704=0,"Fora dos decks",IF(E704=0,"Completo","Falta")))</f>
        <v/>
      </c>
      <c r="G704" s="16" t="str">
        <f aca="false">IF(A704="","",COUNTIF(K704:AD704,"&gt;0"))</f>
        <v/>
      </c>
      <c r="H704" s="16" t="str">
        <f aca="false">IF(A704="","",IF(G704&gt;1,"Sim",""))</f>
        <v/>
      </c>
      <c r="I704" s="18" t="str">
        <f aca="false">IF(A704="","",SUMIFS(DECKS!$D$2:$D$1201,DECKS!$B$2:$B$1201,A704))</f>
        <v/>
      </c>
      <c r="J704" s="18" t="str">
        <f aca="false">IF(A704="","",MAX(0,I704-C704))</f>
        <v/>
      </c>
      <c r="K704" s="19" t="str">
        <f aca="false">IF(OR($A704="",INDEX(_LEITURA!$Q$2:$Q$21,1)=0),"",SUMIFS(DECKS!$D$2:$D$1201,DECKS!$A$2:$A$1201,INDEX(_LEITURA!$P$2:$P$21,1),DECKS!$B$2:$B$1201,$A704))</f>
        <v/>
      </c>
      <c r="L704" s="19" t="str">
        <f aca="false">IF(OR($A704="",INDEX(_LEITURA!$Q$2:$Q$21,2)=0),"",SUMIFS(DECKS!$D$2:$D$1201,DECKS!$A$2:$A$1201,INDEX(_LEITURA!$P$2:$P$21,2),DECKS!$B$2:$B$1201,$A704))</f>
        <v/>
      </c>
      <c r="M704" s="19" t="str">
        <f aca="false">IF(OR($A704="",INDEX(_LEITURA!$Q$2:$Q$21,3)=0),"",SUMIFS(DECKS!$D$2:$D$1201,DECKS!$A$2:$A$1201,INDEX(_LEITURA!$P$2:$P$21,3),DECKS!$B$2:$B$1201,$A704))</f>
        <v/>
      </c>
      <c r="N704" s="19" t="str">
        <f aca="false">IF(OR($A704="",INDEX(_LEITURA!$Q$2:$Q$21,4)=0),"",SUMIFS(DECKS!$D$2:$D$1201,DECKS!$A$2:$A$1201,INDEX(_LEITURA!$P$2:$P$21,4),DECKS!$B$2:$B$1201,$A704))</f>
        <v/>
      </c>
      <c r="O704" s="19" t="str">
        <f aca="false">IF(OR($A704="",INDEX(_LEITURA!$Q$2:$Q$21,5)=0),"",SUMIFS(DECKS!$D$2:$D$1201,DECKS!$A$2:$A$1201,INDEX(_LEITURA!$P$2:$P$21,5),DECKS!$B$2:$B$1201,$A704))</f>
        <v/>
      </c>
      <c r="P704" s="19" t="str">
        <f aca="false">IF(OR($A704="",INDEX(_LEITURA!$Q$2:$Q$21,6)=0),"",SUMIFS(DECKS!$D$2:$D$1201,DECKS!$A$2:$A$1201,INDEX(_LEITURA!$P$2:$P$21,6),DECKS!$B$2:$B$1201,$A704))</f>
        <v/>
      </c>
      <c r="Q704" s="19" t="str">
        <f aca="false">IF(OR($A704="",INDEX(_LEITURA!$Q$2:$Q$21,7)=0),"",SUMIFS(DECKS!$D$2:$D$1201,DECKS!$A$2:$A$1201,INDEX(_LEITURA!$P$2:$P$21,7),DECKS!$B$2:$B$1201,$A704))</f>
        <v/>
      </c>
      <c r="R704" s="19" t="str">
        <f aca="false">IF(OR($A704="",INDEX(_LEITURA!$Q$2:$Q$21,8)=0),"",SUMIFS(DECKS!$D$2:$D$1201,DECKS!$A$2:$A$1201,INDEX(_LEITURA!$P$2:$P$21,8),DECKS!$B$2:$B$1201,$A704))</f>
        <v/>
      </c>
      <c r="S704" s="19" t="str">
        <f aca="false">IF(OR($A704="",INDEX(_LEITURA!$Q$2:$Q$21,9)=0),"",SUMIFS(DECKS!$D$2:$D$1201,DECKS!$A$2:$A$1201,INDEX(_LEITURA!$P$2:$P$21,9),DECKS!$B$2:$B$1201,$A704))</f>
        <v/>
      </c>
      <c r="T704" s="19" t="str">
        <f aca="false">IF(OR($A704="",INDEX(_LEITURA!$Q$2:$Q$21,10)=0),"",SUMIFS(DECKS!$D$2:$D$1201,DECKS!$A$2:$A$1201,INDEX(_LEITURA!$P$2:$P$21,10),DECKS!$B$2:$B$1201,$A704))</f>
        <v/>
      </c>
      <c r="U704" s="19" t="str">
        <f aca="false">IF(OR($A704="",INDEX(_LEITURA!$Q$2:$Q$21,11)=0),"",SUMIFS(DECKS!$D$2:$D$1201,DECKS!$A$2:$A$1201,INDEX(_LEITURA!$P$2:$P$21,11),DECKS!$B$2:$B$1201,$A704))</f>
        <v/>
      </c>
      <c r="V704" s="19" t="str">
        <f aca="false">IF(OR($A704="",INDEX(_LEITURA!$Q$2:$Q$21,12)=0),"",SUMIFS(DECKS!$D$2:$D$1201,DECKS!$A$2:$A$1201,INDEX(_LEITURA!$P$2:$P$21,12),DECKS!$B$2:$B$1201,$A704))</f>
        <v/>
      </c>
      <c r="W704" s="19" t="str">
        <f aca="false">IF(OR($A704="",INDEX(_LEITURA!$Q$2:$Q$21,13)=0),"",SUMIFS(DECKS!$D$2:$D$1201,DECKS!$A$2:$A$1201,INDEX(_LEITURA!$P$2:$P$21,13),DECKS!$B$2:$B$1201,$A704))</f>
        <v/>
      </c>
      <c r="X704" s="19" t="str">
        <f aca="false">IF(OR($A704="",INDEX(_LEITURA!$Q$2:$Q$21,14)=0),"",SUMIFS(DECKS!$D$2:$D$1201,DECKS!$A$2:$A$1201,INDEX(_LEITURA!$P$2:$P$21,14),DECKS!$B$2:$B$1201,$A704))</f>
        <v/>
      </c>
      <c r="Y704" s="19" t="str">
        <f aca="false">IF(OR($A704="",INDEX(_LEITURA!$Q$2:$Q$21,15)=0),"",SUMIFS(DECKS!$D$2:$D$1201,DECKS!$A$2:$A$1201,INDEX(_LEITURA!$P$2:$P$21,15),DECKS!$B$2:$B$1201,$A704))</f>
        <v/>
      </c>
      <c r="Z704" s="19" t="str">
        <f aca="false">IF(OR($A704="",INDEX(_LEITURA!$Q$2:$Q$21,16)=0),"",SUMIFS(DECKS!$D$2:$D$1201,DECKS!$A$2:$A$1201,INDEX(_LEITURA!$P$2:$P$21,16),DECKS!$B$2:$B$1201,$A704))</f>
        <v/>
      </c>
      <c r="AA704" s="19" t="str">
        <f aca="false">IF(OR($A704="",INDEX(_LEITURA!$Q$2:$Q$21,17)=0),"",SUMIFS(DECKS!$D$2:$D$1201,DECKS!$A$2:$A$1201,INDEX(_LEITURA!$P$2:$P$21,17),DECKS!$B$2:$B$1201,$A704))</f>
        <v/>
      </c>
      <c r="AB704" s="19" t="str">
        <f aca="false">IF(OR($A704="",INDEX(_LEITURA!$Q$2:$Q$21,18)=0),"",SUMIFS(DECKS!$D$2:$D$1201,DECKS!$A$2:$A$1201,INDEX(_LEITURA!$P$2:$P$21,18),DECKS!$B$2:$B$1201,$A704))</f>
        <v/>
      </c>
      <c r="AC704" s="19" t="str">
        <f aca="false">IF(OR($A704="",INDEX(_LEITURA!$Q$2:$Q$21,19)=0),"",SUMIFS(DECKS!$D$2:$D$1201,DECKS!$A$2:$A$1201,INDEX(_LEITURA!$P$2:$P$21,19),DECKS!$B$2:$B$1201,$A704))</f>
        <v/>
      </c>
      <c r="AD704" s="19" t="str">
        <f aca="false">IF(OR($A704="",INDEX(_LEITURA!$Q$2:$Q$21,20)=0),"",SUMIFS(DECKS!$D$2:$D$1201,DECKS!$A$2:$A$1201,INDEX(_LEITURA!$P$2:$P$21,20),DECKS!$B$2:$B$1201,$A704))</f>
        <v/>
      </c>
      <c r="AE704" s="16" t="str">
        <f aca="false">IF(N(E704)&gt;0,MAX(AE$1:AE703)+1,"")</f>
        <v/>
      </c>
      <c r="AF704" s="11" t="str">
        <f aca="false">IF(A704="","",IFERROR(LEFT(A704,FIND("-",A704)-1),A704))</f>
        <v/>
      </c>
      <c r="AG704" s="11" t="str">
        <f aca="false">IF(AF704="","",IF(ISNUMBER(--MID(AF704,1,1)),0,IF(ISNUMBER(--MID(AF704,2,1)),1,IF(ISNUMBER(--MID(AF704,3,1)),2,IF(ISNUMBER(--MID(AF704,4,1)),3,MIN(LEN(AF704),4))))))</f>
        <v/>
      </c>
      <c r="AH704" s="11" t="str">
        <f aca="false">IF(A704="","",LEFT(AF704,AG704)&amp;REPT("0",4-AG704)&amp;RIGHT("000"&amp;IFERROR(VALUE(MID(AF704,AG704+1,9)),0),3)&amp;RIGHT("0000"&amp;IFERROR(VALUE(MID(A704,FIND("-",A704)+1,9)),0),4))</f>
        <v/>
      </c>
      <c r="AI704" s="11" t="str">
        <f aca="false">IF(OR(A704="",N(E704)&lt;=0),"",IF('FALTAS GERAL'!$M$1="Código","K"&amp;AH704&amp;RIGHT("00000"&amp;ROW(),5),IF('FALTAS GERAL'!$M$1="Nome","K"&amp;UPPER(SUBSTITUTE(SUBSTITUTE(SUBSTITUTE(B704,"*",""),"?",""),"~",""))&amp;"0"&amp;AH704&amp;RIGHT("00000"&amp;ROW(),5),IF('FALTAS GERAL'!$M$1="Falta (maior primeiro)","K"&amp;RIGHT("0000"&amp;(9999-E704),4)&amp;AH704&amp;RIGHT("00000"&amp;ROW(),5),IF('FALTAS GERAL'!$M$1="Nº de decks (maior primeiro)","K"&amp;RIGHT("00"&amp;(99-N(G704)),2)&amp;AH704&amp;RIGHT("00000"&amp;ROW(),5),"K"&amp;RIGHT("00000"&amp;ROW(),5))))))</f>
        <v/>
      </c>
      <c r="AJ704" s="11" t="str">
        <f aca="false">IF(AI704="","",COUNTIFS($AI$2:$AI$801,"&lt;"&amp;AI704,$E$2:$E$801,"&gt;0")+1)</f>
        <v/>
      </c>
      <c r="AK704" s="11" t="str">
        <f aca="false">IF(OR(A704="",N(E704)&lt;=0),"",COUNTIFS($AH$2:$AH$801,"&lt;"&amp;AH704,$E$2:$E$801,"&gt;0")+COUNTIFS($AH$2:AH704,AH704,$E$2:E704,"&gt;0"))</f>
        <v/>
      </c>
    </row>
    <row r="705" customFormat="false" ht="15" hidden="false" customHeight="false" outlineLevel="0" collapsed="false">
      <c r="A705" s="11" t="str">
        <f aca="false">IF(INVENTÁRIO!A705="","",INVENTÁRIO!A705)</f>
        <v/>
      </c>
      <c r="B705" s="11" t="str">
        <f aca="false">IF(A705="","",INVENTÁRIO!B705)</f>
        <v/>
      </c>
      <c r="C705" s="16" t="str">
        <f aca="false">IF(A705="","",INVENTÁRIO!C705)</f>
        <v/>
      </c>
      <c r="D705" s="14" t="str">
        <f aca="false">IF(A705="","",MAX(K705:AD705))</f>
        <v/>
      </c>
      <c r="E705" s="14" t="str">
        <f aca="false">IF(A705="","",MAX(0,D705-C705))</f>
        <v/>
      </c>
      <c r="F705" s="16" t="str">
        <f aca="false">IF(A705="","",IF(D705=0,"Fora dos decks",IF(E705=0,"Completo","Falta")))</f>
        <v/>
      </c>
      <c r="G705" s="16" t="str">
        <f aca="false">IF(A705="","",COUNTIF(K705:AD705,"&gt;0"))</f>
        <v/>
      </c>
      <c r="H705" s="16" t="str">
        <f aca="false">IF(A705="","",IF(G705&gt;1,"Sim",""))</f>
        <v/>
      </c>
      <c r="I705" s="18" t="str">
        <f aca="false">IF(A705="","",SUMIFS(DECKS!$D$2:$D$1201,DECKS!$B$2:$B$1201,A705))</f>
        <v/>
      </c>
      <c r="J705" s="18" t="str">
        <f aca="false">IF(A705="","",MAX(0,I705-C705))</f>
        <v/>
      </c>
      <c r="K705" s="19" t="str">
        <f aca="false">IF(OR($A705="",INDEX(_LEITURA!$Q$2:$Q$21,1)=0),"",SUMIFS(DECKS!$D$2:$D$1201,DECKS!$A$2:$A$1201,INDEX(_LEITURA!$P$2:$P$21,1),DECKS!$B$2:$B$1201,$A705))</f>
        <v/>
      </c>
      <c r="L705" s="19" t="str">
        <f aca="false">IF(OR($A705="",INDEX(_LEITURA!$Q$2:$Q$21,2)=0),"",SUMIFS(DECKS!$D$2:$D$1201,DECKS!$A$2:$A$1201,INDEX(_LEITURA!$P$2:$P$21,2),DECKS!$B$2:$B$1201,$A705))</f>
        <v/>
      </c>
      <c r="M705" s="19" t="str">
        <f aca="false">IF(OR($A705="",INDEX(_LEITURA!$Q$2:$Q$21,3)=0),"",SUMIFS(DECKS!$D$2:$D$1201,DECKS!$A$2:$A$1201,INDEX(_LEITURA!$P$2:$P$21,3),DECKS!$B$2:$B$1201,$A705))</f>
        <v/>
      </c>
      <c r="N705" s="19" t="str">
        <f aca="false">IF(OR($A705="",INDEX(_LEITURA!$Q$2:$Q$21,4)=0),"",SUMIFS(DECKS!$D$2:$D$1201,DECKS!$A$2:$A$1201,INDEX(_LEITURA!$P$2:$P$21,4),DECKS!$B$2:$B$1201,$A705))</f>
        <v/>
      </c>
      <c r="O705" s="19" t="str">
        <f aca="false">IF(OR($A705="",INDEX(_LEITURA!$Q$2:$Q$21,5)=0),"",SUMIFS(DECKS!$D$2:$D$1201,DECKS!$A$2:$A$1201,INDEX(_LEITURA!$P$2:$P$21,5),DECKS!$B$2:$B$1201,$A705))</f>
        <v/>
      </c>
      <c r="P705" s="19" t="str">
        <f aca="false">IF(OR($A705="",INDEX(_LEITURA!$Q$2:$Q$21,6)=0),"",SUMIFS(DECKS!$D$2:$D$1201,DECKS!$A$2:$A$1201,INDEX(_LEITURA!$P$2:$P$21,6),DECKS!$B$2:$B$1201,$A705))</f>
        <v/>
      </c>
      <c r="Q705" s="19" t="str">
        <f aca="false">IF(OR($A705="",INDEX(_LEITURA!$Q$2:$Q$21,7)=0),"",SUMIFS(DECKS!$D$2:$D$1201,DECKS!$A$2:$A$1201,INDEX(_LEITURA!$P$2:$P$21,7),DECKS!$B$2:$B$1201,$A705))</f>
        <v/>
      </c>
      <c r="R705" s="19" t="str">
        <f aca="false">IF(OR($A705="",INDEX(_LEITURA!$Q$2:$Q$21,8)=0),"",SUMIFS(DECKS!$D$2:$D$1201,DECKS!$A$2:$A$1201,INDEX(_LEITURA!$P$2:$P$21,8),DECKS!$B$2:$B$1201,$A705))</f>
        <v/>
      </c>
      <c r="S705" s="19" t="str">
        <f aca="false">IF(OR($A705="",INDEX(_LEITURA!$Q$2:$Q$21,9)=0),"",SUMIFS(DECKS!$D$2:$D$1201,DECKS!$A$2:$A$1201,INDEX(_LEITURA!$P$2:$P$21,9),DECKS!$B$2:$B$1201,$A705))</f>
        <v/>
      </c>
      <c r="T705" s="19" t="str">
        <f aca="false">IF(OR($A705="",INDEX(_LEITURA!$Q$2:$Q$21,10)=0),"",SUMIFS(DECKS!$D$2:$D$1201,DECKS!$A$2:$A$1201,INDEX(_LEITURA!$P$2:$P$21,10),DECKS!$B$2:$B$1201,$A705))</f>
        <v/>
      </c>
      <c r="U705" s="19" t="str">
        <f aca="false">IF(OR($A705="",INDEX(_LEITURA!$Q$2:$Q$21,11)=0),"",SUMIFS(DECKS!$D$2:$D$1201,DECKS!$A$2:$A$1201,INDEX(_LEITURA!$P$2:$P$21,11),DECKS!$B$2:$B$1201,$A705))</f>
        <v/>
      </c>
      <c r="V705" s="19" t="str">
        <f aca="false">IF(OR($A705="",INDEX(_LEITURA!$Q$2:$Q$21,12)=0),"",SUMIFS(DECKS!$D$2:$D$1201,DECKS!$A$2:$A$1201,INDEX(_LEITURA!$P$2:$P$21,12),DECKS!$B$2:$B$1201,$A705))</f>
        <v/>
      </c>
      <c r="W705" s="19" t="str">
        <f aca="false">IF(OR($A705="",INDEX(_LEITURA!$Q$2:$Q$21,13)=0),"",SUMIFS(DECKS!$D$2:$D$1201,DECKS!$A$2:$A$1201,INDEX(_LEITURA!$P$2:$P$21,13),DECKS!$B$2:$B$1201,$A705))</f>
        <v/>
      </c>
      <c r="X705" s="19" t="str">
        <f aca="false">IF(OR($A705="",INDEX(_LEITURA!$Q$2:$Q$21,14)=0),"",SUMIFS(DECKS!$D$2:$D$1201,DECKS!$A$2:$A$1201,INDEX(_LEITURA!$P$2:$P$21,14),DECKS!$B$2:$B$1201,$A705))</f>
        <v/>
      </c>
      <c r="Y705" s="19" t="str">
        <f aca="false">IF(OR($A705="",INDEX(_LEITURA!$Q$2:$Q$21,15)=0),"",SUMIFS(DECKS!$D$2:$D$1201,DECKS!$A$2:$A$1201,INDEX(_LEITURA!$P$2:$P$21,15),DECKS!$B$2:$B$1201,$A705))</f>
        <v/>
      </c>
      <c r="Z705" s="19" t="str">
        <f aca="false">IF(OR($A705="",INDEX(_LEITURA!$Q$2:$Q$21,16)=0),"",SUMIFS(DECKS!$D$2:$D$1201,DECKS!$A$2:$A$1201,INDEX(_LEITURA!$P$2:$P$21,16),DECKS!$B$2:$B$1201,$A705))</f>
        <v/>
      </c>
      <c r="AA705" s="19" t="str">
        <f aca="false">IF(OR($A705="",INDEX(_LEITURA!$Q$2:$Q$21,17)=0),"",SUMIFS(DECKS!$D$2:$D$1201,DECKS!$A$2:$A$1201,INDEX(_LEITURA!$P$2:$P$21,17),DECKS!$B$2:$B$1201,$A705))</f>
        <v/>
      </c>
      <c r="AB705" s="19" t="str">
        <f aca="false">IF(OR($A705="",INDEX(_LEITURA!$Q$2:$Q$21,18)=0),"",SUMIFS(DECKS!$D$2:$D$1201,DECKS!$A$2:$A$1201,INDEX(_LEITURA!$P$2:$P$21,18),DECKS!$B$2:$B$1201,$A705))</f>
        <v/>
      </c>
      <c r="AC705" s="19" t="str">
        <f aca="false">IF(OR($A705="",INDEX(_LEITURA!$Q$2:$Q$21,19)=0),"",SUMIFS(DECKS!$D$2:$D$1201,DECKS!$A$2:$A$1201,INDEX(_LEITURA!$P$2:$P$21,19),DECKS!$B$2:$B$1201,$A705))</f>
        <v/>
      </c>
      <c r="AD705" s="19" t="str">
        <f aca="false">IF(OR($A705="",INDEX(_LEITURA!$Q$2:$Q$21,20)=0),"",SUMIFS(DECKS!$D$2:$D$1201,DECKS!$A$2:$A$1201,INDEX(_LEITURA!$P$2:$P$21,20),DECKS!$B$2:$B$1201,$A705))</f>
        <v/>
      </c>
      <c r="AE705" s="16" t="str">
        <f aca="false">IF(N(E705)&gt;0,MAX(AE$1:AE704)+1,"")</f>
        <v/>
      </c>
      <c r="AF705" s="11" t="str">
        <f aca="false">IF(A705="","",IFERROR(LEFT(A705,FIND("-",A705)-1),A705))</f>
        <v/>
      </c>
      <c r="AG705" s="11" t="str">
        <f aca="false">IF(AF705="","",IF(ISNUMBER(--MID(AF705,1,1)),0,IF(ISNUMBER(--MID(AF705,2,1)),1,IF(ISNUMBER(--MID(AF705,3,1)),2,IF(ISNUMBER(--MID(AF705,4,1)),3,MIN(LEN(AF705),4))))))</f>
        <v/>
      </c>
      <c r="AH705" s="11" t="str">
        <f aca="false">IF(A705="","",LEFT(AF705,AG705)&amp;REPT("0",4-AG705)&amp;RIGHT("000"&amp;IFERROR(VALUE(MID(AF705,AG705+1,9)),0),3)&amp;RIGHT("0000"&amp;IFERROR(VALUE(MID(A705,FIND("-",A705)+1,9)),0),4))</f>
        <v/>
      </c>
      <c r="AI705" s="11" t="str">
        <f aca="false">IF(OR(A705="",N(E705)&lt;=0),"",IF('FALTAS GERAL'!$M$1="Código","K"&amp;AH705&amp;RIGHT("00000"&amp;ROW(),5),IF('FALTAS GERAL'!$M$1="Nome","K"&amp;UPPER(SUBSTITUTE(SUBSTITUTE(SUBSTITUTE(B705,"*",""),"?",""),"~",""))&amp;"0"&amp;AH705&amp;RIGHT("00000"&amp;ROW(),5),IF('FALTAS GERAL'!$M$1="Falta (maior primeiro)","K"&amp;RIGHT("0000"&amp;(9999-E705),4)&amp;AH705&amp;RIGHT("00000"&amp;ROW(),5),IF('FALTAS GERAL'!$M$1="Nº de decks (maior primeiro)","K"&amp;RIGHT("00"&amp;(99-N(G705)),2)&amp;AH705&amp;RIGHT("00000"&amp;ROW(),5),"K"&amp;RIGHT("00000"&amp;ROW(),5))))))</f>
        <v/>
      </c>
      <c r="AJ705" s="11" t="str">
        <f aca="false">IF(AI705="","",COUNTIFS($AI$2:$AI$801,"&lt;"&amp;AI705,$E$2:$E$801,"&gt;0")+1)</f>
        <v/>
      </c>
      <c r="AK705" s="11" t="str">
        <f aca="false">IF(OR(A705="",N(E705)&lt;=0),"",COUNTIFS($AH$2:$AH$801,"&lt;"&amp;AH705,$E$2:$E$801,"&gt;0")+COUNTIFS($AH$2:AH705,AH705,$E$2:E705,"&gt;0"))</f>
        <v/>
      </c>
    </row>
    <row r="706" customFormat="false" ht="15" hidden="false" customHeight="false" outlineLevel="0" collapsed="false">
      <c r="A706" s="11" t="str">
        <f aca="false">IF(INVENTÁRIO!A706="","",INVENTÁRIO!A706)</f>
        <v/>
      </c>
      <c r="B706" s="11" t="str">
        <f aca="false">IF(A706="","",INVENTÁRIO!B706)</f>
        <v/>
      </c>
      <c r="C706" s="16" t="str">
        <f aca="false">IF(A706="","",INVENTÁRIO!C706)</f>
        <v/>
      </c>
      <c r="D706" s="14" t="str">
        <f aca="false">IF(A706="","",MAX(K706:AD706))</f>
        <v/>
      </c>
      <c r="E706" s="14" t="str">
        <f aca="false">IF(A706="","",MAX(0,D706-C706))</f>
        <v/>
      </c>
      <c r="F706" s="16" t="str">
        <f aca="false">IF(A706="","",IF(D706=0,"Fora dos decks",IF(E706=0,"Completo","Falta")))</f>
        <v/>
      </c>
      <c r="G706" s="16" t="str">
        <f aca="false">IF(A706="","",COUNTIF(K706:AD706,"&gt;0"))</f>
        <v/>
      </c>
      <c r="H706" s="16" t="str">
        <f aca="false">IF(A706="","",IF(G706&gt;1,"Sim",""))</f>
        <v/>
      </c>
      <c r="I706" s="18" t="str">
        <f aca="false">IF(A706="","",SUMIFS(DECKS!$D$2:$D$1201,DECKS!$B$2:$B$1201,A706))</f>
        <v/>
      </c>
      <c r="J706" s="18" t="str">
        <f aca="false">IF(A706="","",MAX(0,I706-C706))</f>
        <v/>
      </c>
      <c r="K706" s="19" t="str">
        <f aca="false">IF(OR($A706="",INDEX(_LEITURA!$Q$2:$Q$21,1)=0),"",SUMIFS(DECKS!$D$2:$D$1201,DECKS!$A$2:$A$1201,INDEX(_LEITURA!$P$2:$P$21,1),DECKS!$B$2:$B$1201,$A706))</f>
        <v/>
      </c>
      <c r="L706" s="19" t="str">
        <f aca="false">IF(OR($A706="",INDEX(_LEITURA!$Q$2:$Q$21,2)=0),"",SUMIFS(DECKS!$D$2:$D$1201,DECKS!$A$2:$A$1201,INDEX(_LEITURA!$P$2:$P$21,2),DECKS!$B$2:$B$1201,$A706))</f>
        <v/>
      </c>
      <c r="M706" s="19" t="str">
        <f aca="false">IF(OR($A706="",INDEX(_LEITURA!$Q$2:$Q$21,3)=0),"",SUMIFS(DECKS!$D$2:$D$1201,DECKS!$A$2:$A$1201,INDEX(_LEITURA!$P$2:$P$21,3),DECKS!$B$2:$B$1201,$A706))</f>
        <v/>
      </c>
      <c r="N706" s="19" t="str">
        <f aca="false">IF(OR($A706="",INDEX(_LEITURA!$Q$2:$Q$21,4)=0),"",SUMIFS(DECKS!$D$2:$D$1201,DECKS!$A$2:$A$1201,INDEX(_LEITURA!$P$2:$P$21,4),DECKS!$B$2:$B$1201,$A706))</f>
        <v/>
      </c>
      <c r="O706" s="19" t="str">
        <f aca="false">IF(OR($A706="",INDEX(_LEITURA!$Q$2:$Q$21,5)=0),"",SUMIFS(DECKS!$D$2:$D$1201,DECKS!$A$2:$A$1201,INDEX(_LEITURA!$P$2:$P$21,5),DECKS!$B$2:$B$1201,$A706))</f>
        <v/>
      </c>
      <c r="P706" s="19" t="str">
        <f aca="false">IF(OR($A706="",INDEX(_LEITURA!$Q$2:$Q$21,6)=0),"",SUMIFS(DECKS!$D$2:$D$1201,DECKS!$A$2:$A$1201,INDEX(_LEITURA!$P$2:$P$21,6),DECKS!$B$2:$B$1201,$A706))</f>
        <v/>
      </c>
      <c r="Q706" s="19" t="str">
        <f aca="false">IF(OR($A706="",INDEX(_LEITURA!$Q$2:$Q$21,7)=0),"",SUMIFS(DECKS!$D$2:$D$1201,DECKS!$A$2:$A$1201,INDEX(_LEITURA!$P$2:$P$21,7),DECKS!$B$2:$B$1201,$A706))</f>
        <v/>
      </c>
      <c r="R706" s="19" t="str">
        <f aca="false">IF(OR($A706="",INDEX(_LEITURA!$Q$2:$Q$21,8)=0),"",SUMIFS(DECKS!$D$2:$D$1201,DECKS!$A$2:$A$1201,INDEX(_LEITURA!$P$2:$P$21,8),DECKS!$B$2:$B$1201,$A706))</f>
        <v/>
      </c>
      <c r="S706" s="19" t="str">
        <f aca="false">IF(OR($A706="",INDEX(_LEITURA!$Q$2:$Q$21,9)=0),"",SUMIFS(DECKS!$D$2:$D$1201,DECKS!$A$2:$A$1201,INDEX(_LEITURA!$P$2:$P$21,9),DECKS!$B$2:$B$1201,$A706))</f>
        <v/>
      </c>
      <c r="T706" s="19" t="str">
        <f aca="false">IF(OR($A706="",INDEX(_LEITURA!$Q$2:$Q$21,10)=0),"",SUMIFS(DECKS!$D$2:$D$1201,DECKS!$A$2:$A$1201,INDEX(_LEITURA!$P$2:$P$21,10),DECKS!$B$2:$B$1201,$A706))</f>
        <v/>
      </c>
      <c r="U706" s="19" t="str">
        <f aca="false">IF(OR($A706="",INDEX(_LEITURA!$Q$2:$Q$21,11)=0),"",SUMIFS(DECKS!$D$2:$D$1201,DECKS!$A$2:$A$1201,INDEX(_LEITURA!$P$2:$P$21,11),DECKS!$B$2:$B$1201,$A706))</f>
        <v/>
      </c>
      <c r="V706" s="19" t="str">
        <f aca="false">IF(OR($A706="",INDEX(_LEITURA!$Q$2:$Q$21,12)=0),"",SUMIFS(DECKS!$D$2:$D$1201,DECKS!$A$2:$A$1201,INDEX(_LEITURA!$P$2:$P$21,12),DECKS!$B$2:$B$1201,$A706))</f>
        <v/>
      </c>
      <c r="W706" s="19" t="str">
        <f aca="false">IF(OR($A706="",INDEX(_LEITURA!$Q$2:$Q$21,13)=0),"",SUMIFS(DECKS!$D$2:$D$1201,DECKS!$A$2:$A$1201,INDEX(_LEITURA!$P$2:$P$21,13),DECKS!$B$2:$B$1201,$A706))</f>
        <v/>
      </c>
      <c r="X706" s="19" t="str">
        <f aca="false">IF(OR($A706="",INDEX(_LEITURA!$Q$2:$Q$21,14)=0),"",SUMIFS(DECKS!$D$2:$D$1201,DECKS!$A$2:$A$1201,INDEX(_LEITURA!$P$2:$P$21,14),DECKS!$B$2:$B$1201,$A706))</f>
        <v/>
      </c>
      <c r="Y706" s="19" t="str">
        <f aca="false">IF(OR($A706="",INDEX(_LEITURA!$Q$2:$Q$21,15)=0),"",SUMIFS(DECKS!$D$2:$D$1201,DECKS!$A$2:$A$1201,INDEX(_LEITURA!$P$2:$P$21,15),DECKS!$B$2:$B$1201,$A706))</f>
        <v/>
      </c>
      <c r="Z706" s="19" t="str">
        <f aca="false">IF(OR($A706="",INDEX(_LEITURA!$Q$2:$Q$21,16)=0),"",SUMIFS(DECKS!$D$2:$D$1201,DECKS!$A$2:$A$1201,INDEX(_LEITURA!$P$2:$P$21,16),DECKS!$B$2:$B$1201,$A706))</f>
        <v/>
      </c>
      <c r="AA706" s="19" t="str">
        <f aca="false">IF(OR($A706="",INDEX(_LEITURA!$Q$2:$Q$21,17)=0),"",SUMIFS(DECKS!$D$2:$D$1201,DECKS!$A$2:$A$1201,INDEX(_LEITURA!$P$2:$P$21,17),DECKS!$B$2:$B$1201,$A706))</f>
        <v/>
      </c>
      <c r="AB706" s="19" t="str">
        <f aca="false">IF(OR($A706="",INDEX(_LEITURA!$Q$2:$Q$21,18)=0),"",SUMIFS(DECKS!$D$2:$D$1201,DECKS!$A$2:$A$1201,INDEX(_LEITURA!$P$2:$P$21,18),DECKS!$B$2:$B$1201,$A706))</f>
        <v/>
      </c>
      <c r="AC706" s="19" t="str">
        <f aca="false">IF(OR($A706="",INDEX(_LEITURA!$Q$2:$Q$21,19)=0),"",SUMIFS(DECKS!$D$2:$D$1201,DECKS!$A$2:$A$1201,INDEX(_LEITURA!$P$2:$P$21,19),DECKS!$B$2:$B$1201,$A706))</f>
        <v/>
      </c>
      <c r="AD706" s="19" t="str">
        <f aca="false">IF(OR($A706="",INDEX(_LEITURA!$Q$2:$Q$21,20)=0),"",SUMIFS(DECKS!$D$2:$D$1201,DECKS!$A$2:$A$1201,INDEX(_LEITURA!$P$2:$P$21,20),DECKS!$B$2:$B$1201,$A706))</f>
        <v/>
      </c>
      <c r="AE706" s="16" t="str">
        <f aca="false">IF(N(E706)&gt;0,MAX(AE$1:AE705)+1,"")</f>
        <v/>
      </c>
      <c r="AF706" s="11" t="str">
        <f aca="false">IF(A706="","",IFERROR(LEFT(A706,FIND("-",A706)-1),A706))</f>
        <v/>
      </c>
      <c r="AG706" s="11" t="str">
        <f aca="false">IF(AF706="","",IF(ISNUMBER(--MID(AF706,1,1)),0,IF(ISNUMBER(--MID(AF706,2,1)),1,IF(ISNUMBER(--MID(AF706,3,1)),2,IF(ISNUMBER(--MID(AF706,4,1)),3,MIN(LEN(AF706),4))))))</f>
        <v/>
      </c>
      <c r="AH706" s="11" t="str">
        <f aca="false">IF(A706="","",LEFT(AF706,AG706)&amp;REPT("0",4-AG706)&amp;RIGHT("000"&amp;IFERROR(VALUE(MID(AF706,AG706+1,9)),0),3)&amp;RIGHT("0000"&amp;IFERROR(VALUE(MID(A706,FIND("-",A706)+1,9)),0),4))</f>
        <v/>
      </c>
      <c r="AI706" s="11" t="str">
        <f aca="false">IF(OR(A706="",N(E706)&lt;=0),"",IF('FALTAS GERAL'!$M$1="Código","K"&amp;AH706&amp;RIGHT("00000"&amp;ROW(),5),IF('FALTAS GERAL'!$M$1="Nome","K"&amp;UPPER(SUBSTITUTE(SUBSTITUTE(SUBSTITUTE(B706,"*",""),"?",""),"~",""))&amp;"0"&amp;AH706&amp;RIGHT("00000"&amp;ROW(),5),IF('FALTAS GERAL'!$M$1="Falta (maior primeiro)","K"&amp;RIGHT("0000"&amp;(9999-E706),4)&amp;AH706&amp;RIGHT("00000"&amp;ROW(),5),IF('FALTAS GERAL'!$M$1="Nº de decks (maior primeiro)","K"&amp;RIGHT("00"&amp;(99-N(G706)),2)&amp;AH706&amp;RIGHT("00000"&amp;ROW(),5),"K"&amp;RIGHT("00000"&amp;ROW(),5))))))</f>
        <v/>
      </c>
      <c r="AJ706" s="11" t="str">
        <f aca="false">IF(AI706="","",COUNTIFS($AI$2:$AI$801,"&lt;"&amp;AI706,$E$2:$E$801,"&gt;0")+1)</f>
        <v/>
      </c>
      <c r="AK706" s="11" t="str">
        <f aca="false">IF(OR(A706="",N(E706)&lt;=0),"",COUNTIFS($AH$2:$AH$801,"&lt;"&amp;AH706,$E$2:$E$801,"&gt;0")+COUNTIFS($AH$2:AH706,AH706,$E$2:E706,"&gt;0"))</f>
        <v/>
      </c>
    </row>
    <row r="707" customFormat="false" ht="15" hidden="false" customHeight="false" outlineLevel="0" collapsed="false">
      <c r="A707" s="11" t="str">
        <f aca="false">IF(INVENTÁRIO!A707="","",INVENTÁRIO!A707)</f>
        <v/>
      </c>
      <c r="B707" s="11" t="str">
        <f aca="false">IF(A707="","",INVENTÁRIO!B707)</f>
        <v/>
      </c>
      <c r="C707" s="16" t="str">
        <f aca="false">IF(A707="","",INVENTÁRIO!C707)</f>
        <v/>
      </c>
      <c r="D707" s="14" t="str">
        <f aca="false">IF(A707="","",MAX(K707:AD707))</f>
        <v/>
      </c>
      <c r="E707" s="14" t="str">
        <f aca="false">IF(A707="","",MAX(0,D707-C707))</f>
        <v/>
      </c>
      <c r="F707" s="16" t="str">
        <f aca="false">IF(A707="","",IF(D707=0,"Fora dos decks",IF(E707=0,"Completo","Falta")))</f>
        <v/>
      </c>
      <c r="G707" s="16" t="str">
        <f aca="false">IF(A707="","",COUNTIF(K707:AD707,"&gt;0"))</f>
        <v/>
      </c>
      <c r="H707" s="16" t="str">
        <f aca="false">IF(A707="","",IF(G707&gt;1,"Sim",""))</f>
        <v/>
      </c>
      <c r="I707" s="18" t="str">
        <f aca="false">IF(A707="","",SUMIFS(DECKS!$D$2:$D$1201,DECKS!$B$2:$B$1201,A707))</f>
        <v/>
      </c>
      <c r="J707" s="18" t="str">
        <f aca="false">IF(A707="","",MAX(0,I707-C707))</f>
        <v/>
      </c>
      <c r="K707" s="19" t="str">
        <f aca="false">IF(OR($A707="",INDEX(_LEITURA!$Q$2:$Q$21,1)=0),"",SUMIFS(DECKS!$D$2:$D$1201,DECKS!$A$2:$A$1201,INDEX(_LEITURA!$P$2:$P$21,1),DECKS!$B$2:$B$1201,$A707))</f>
        <v/>
      </c>
      <c r="L707" s="19" t="str">
        <f aca="false">IF(OR($A707="",INDEX(_LEITURA!$Q$2:$Q$21,2)=0),"",SUMIFS(DECKS!$D$2:$D$1201,DECKS!$A$2:$A$1201,INDEX(_LEITURA!$P$2:$P$21,2),DECKS!$B$2:$B$1201,$A707))</f>
        <v/>
      </c>
      <c r="M707" s="19" t="str">
        <f aca="false">IF(OR($A707="",INDEX(_LEITURA!$Q$2:$Q$21,3)=0),"",SUMIFS(DECKS!$D$2:$D$1201,DECKS!$A$2:$A$1201,INDEX(_LEITURA!$P$2:$P$21,3),DECKS!$B$2:$B$1201,$A707))</f>
        <v/>
      </c>
      <c r="N707" s="19" t="str">
        <f aca="false">IF(OR($A707="",INDEX(_LEITURA!$Q$2:$Q$21,4)=0),"",SUMIFS(DECKS!$D$2:$D$1201,DECKS!$A$2:$A$1201,INDEX(_LEITURA!$P$2:$P$21,4),DECKS!$B$2:$B$1201,$A707))</f>
        <v/>
      </c>
      <c r="O707" s="19" t="str">
        <f aca="false">IF(OR($A707="",INDEX(_LEITURA!$Q$2:$Q$21,5)=0),"",SUMIFS(DECKS!$D$2:$D$1201,DECKS!$A$2:$A$1201,INDEX(_LEITURA!$P$2:$P$21,5),DECKS!$B$2:$B$1201,$A707))</f>
        <v/>
      </c>
      <c r="P707" s="19" t="str">
        <f aca="false">IF(OR($A707="",INDEX(_LEITURA!$Q$2:$Q$21,6)=0),"",SUMIFS(DECKS!$D$2:$D$1201,DECKS!$A$2:$A$1201,INDEX(_LEITURA!$P$2:$P$21,6),DECKS!$B$2:$B$1201,$A707))</f>
        <v/>
      </c>
      <c r="Q707" s="19" t="str">
        <f aca="false">IF(OR($A707="",INDEX(_LEITURA!$Q$2:$Q$21,7)=0),"",SUMIFS(DECKS!$D$2:$D$1201,DECKS!$A$2:$A$1201,INDEX(_LEITURA!$P$2:$P$21,7),DECKS!$B$2:$B$1201,$A707))</f>
        <v/>
      </c>
      <c r="R707" s="19" t="str">
        <f aca="false">IF(OR($A707="",INDEX(_LEITURA!$Q$2:$Q$21,8)=0),"",SUMIFS(DECKS!$D$2:$D$1201,DECKS!$A$2:$A$1201,INDEX(_LEITURA!$P$2:$P$21,8),DECKS!$B$2:$B$1201,$A707))</f>
        <v/>
      </c>
      <c r="S707" s="19" t="str">
        <f aca="false">IF(OR($A707="",INDEX(_LEITURA!$Q$2:$Q$21,9)=0),"",SUMIFS(DECKS!$D$2:$D$1201,DECKS!$A$2:$A$1201,INDEX(_LEITURA!$P$2:$P$21,9),DECKS!$B$2:$B$1201,$A707))</f>
        <v/>
      </c>
      <c r="T707" s="19" t="str">
        <f aca="false">IF(OR($A707="",INDEX(_LEITURA!$Q$2:$Q$21,10)=0),"",SUMIFS(DECKS!$D$2:$D$1201,DECKS!$A$2:$A$1201,INDEX(_LEITURA!$P$2:$P$21,10),DECKS!$B$2:$B$1201,$A707))</f>
        <v/>
      </c>
      <c r="U707" s="19" t="str">
        <f aca="false">IF(OR($A707="",INDEX(_LEITURA!$Q$2:$Q$21,11)=0),"",SUMIFS(DECKS!$D$2:$D$1201,DECKS!$A$2:$A$1201,INDEX(_LEITURA!$P$2:$P$21,11),DECKS!$B$2:$B$1201,$A707))</f>
        <v/>
      </c>
      <c r="V707" s="19" t="str">
        <f aca="false">IF(OR($A707="",INDEX(_LEITURA!$Q$2:$Q$21,12)=0),"",SUMIFS(DECKS!$D$2:$D$1201,DECKS!$A$2:$A$1201,INDEX(_LEITURA!$P$2:$P$21,12),DECKS!$B$2:$B$1201,$A707))</f>
        <v/>
      </c>
      <c r="W707" s="19" t="str">
        <f aca="false">IF(OR($A707="",INDEX(_LEITURA!$Q$2:$Q$21,13)=0),"",SUMIFS(DECKS!$D$2:$D$1201,DECKS!$A$2:$A$1201,INDEX(_LEITURA!$P$2:$P$21,13),DECKS!$B$2:$B$1201,$A707))</f>
        <v/>
      </c>
      <c r="X707" s="19" t="str">
        <f aca="false">IF(OR($A707="",INDEX(_LEITURA!$Q$2:$Q$21,14)=0),"",SUMIFS(DECKS!$D$2:$D$1201,DECKS!$A$2:$A$1201,INDEX(_LEITURA!$P$2:$P$21,14),DECKS!$B$2:$B$1201,$A707))</f>
        <v/>
      </c>
      <c r="Y707" s="19" t="str">
        <f aca="false">IF(OR($A707="",INDEX(_LEITURA!$Q$2:$Q$21,15)=0),"",SUMIFS(DECKS!$D$2:$D$1201,DECKS!$A$2:$A$1201,INDEX(_LEITURA!$P$2:$P$21,15),DECKS!$B$2:$B$1201,$A707))</f>
        <v/>
      </c>
      <c r="Z707" s="19" t="str">
        <f aca="false">IF(OR($A707="",INDEX(_LEITURA!$Q$2:$Q$21,16)=0),"",SUMIFS(DECKS!$D$2:$D$1201,DECKS!$A$2:$A$1201,INDEX(_LEITURA!$P$2:$P$21,16),DECKS!$B$2:$B$1201,$A707))</f>
        <v/>
      </c>
      <c r="AA707" s="19" t="str">
        <f aca="false">IF(OR($A707="",INDEX(_LEITURA!$Q$2:$Q$21,17)=0),"",SUMIFS(DECKS!$D$2:$D$1201,DECKS!$A$2:$A$1201,INDEX(_LEITURA!$P$2:$P$21,17),DECKS!$B$2:$B$1201,$A707))</f>
        <v/>
      </c>
      <c r="AB707" s="19" t="str">
        <f aca="false">IF(OR($A707="",INDEX(_LEITURA!$Q$2:$Q$21,18)=0),"",SUMIFS(DECKS!$D$2:$D$1201,DECKS!$A$2:$A$1201,INDEX(_LEITURA!$P$2:$P$21,18),DECKS!$B$2:$B$1201,$A707))</f>
        <v/>
      </c>
      <c r="AC707" s="19" t="str">
        <f aca="false">IF(OR($A707="",INDEX(_LEITURA!$Q$2:$Q$21,19)=0),"",SUMIFS(DECKS!$D$2:$D$1201,DECKS!$A$2:$A$1201,INDEX(_LEITURA!$P$2:$P$21,19),DECKS!$B$2:$B$1201,$A707))</f>
        <v/>
      </c>
      <c r="AD707" s="19" t="str">
        <f aca="false">IF(OR($A707="",INDEX(_LEITURA!$Q$2:$Q$21,20)=0),"",SUMIFS(DECKS!$D$2:$D$1201,DECKS!$A$2:$A$1201,INDEX(_LEITURA!$P$2:$P$21,20),DECKS!$B$2:$B$1201,$A707))</f>
        <v/>
      </c>
      <c r="AE707" s="16" t="str">
        <f aca="false">IF(N(E707)&gt;0,MAX(AE$1:AE706)+1,"")</f>
        <v/>
      </c>
      <c r="AF707" s="11" t="str">
        <f aca="false">IF(A707="","",IFERROR(LEFT(A707,FIND("-",A707)-1),A707))</f>
        <v/>
      </c>
      <c r="AG707" s="11" t="str">
        <f aca="false">IF(AF707="","",IF(ISNUMBER(--MID(AF707,1,1)),0,IF(ISNUMBER(--MID(AF707,2,1)),1,IF(ISNUMBER(--MID(AF707,3,1)),2,IF(ISNUMBER(--MID(AF707,4,1)),3,MIN(LEN(AF707),4))))))</f>
        <v/>
      </c>
      <c r="AH707" s="11" t="str">
        <f aca="false">IF(A707="","",LEFT(AF707,AG707)&amp;REPT("0",4-AG707)&amp;RIGHT("000"&amp;IFERROR(VALUE(MID(AF707,AG707+1,9)),0),3)&amp;RIGHT("0000"&amp;IFERROR(VALUE(MID(A707,FIND("-",A707)+1,9)),0),4))</f>
        <v/>
      </c>
      <c r="AI707" s="11" t="str">
        <f aca="false">IF(OR(A707="",N(E707)&lt;=0),"",IF('FALTAS GERAL'!$M$1="Código","K"&amp;AH707&amp;RIGHT("00000"&amp;ROW(),5),IF('FALTAS GERAL'!$M$1="Nome","K"&amp;UPPER(SUBSTITUTE(SUBSTITUTE(SUBSTITUTE(B707,"*",""),"?",""),"~",""))&amp;"0"&amp;AH707&amp;RIGHT("00000"&amp;ROW(),5),IF('FALTAS GERAL'!$M$1="Falta (maior primeiro)","K"&amp;RIGHT("0000"&amp;(9999-E707),4)&amp;AH707&amp;RIGHT("00000"&amp;ROW(),5),IF('FALTAS GERAL'!$M$1="Nº de decks (maior primeiro)","K"&amp;RIGHT("00"&amp;(99-N(G707)),2)&amp;AH707&amp;RIGHT("00000"&amp;ROW(),5),"K"&amp;RIGHT("00000"&amp;ROW(),5))))))</f>
        <v/>
      </c>
      <c r="AJ707" s="11" t="str">
        <f aca="false">IF(AI707="","",COUNTIFS($AI$2:$AI$801,"&lt;"&amp;AI707,$E$2:$E$801,"&gt;0")+1)</f>
        <v/>
      </c>
      <c r="AK707" s="11" t="str">
        <f aca="false">IF(OR(A707="",N(E707)&lt;=0),"",COUNTIFS($AH$2:$AH$801,"&lt;"&amp;AH707,$E$2:$E$801,"&gt;0")+COUNTIFS($AH$2:AH707,AH707,$E$2:E707,"&gt;0"))</f>
        <v/>
      </c>
    </row>
    <row r="708" customFormat="false" ht="15" hidden="false" customHeight="false" outlineLevel="0" collapsed="false">
      <c r="A708" s="11" t="str">
        <f aca="false">IF(INVENTÁRIO!A708="","",INVENTÁRIO!A708)</f>
        <v/>
      </c>
      <c r="B708" s="11" t="str">
        <f aca="false">IF(A708="","",INVENTÁRIO!B708)</f>
        <v/>
      </c>
      <c r="C708" s="16" t="str">
        <f aca="false">IF(A708="","",INVENTÁRIO!C708)</f>
        <v/>
      </c>
      <c r="D708" s="14" t="str">
        <f aca="false">IF(A708="","",MAX(K708:AD708))</f>
        <v/>
      </c>
      <c r="E708" s="14" t="str">
        <f aca="false">IF(A708="","",MAX(0,D708-C708))</f>
        <v/>
      </c>
      <c r="F708" s="16" t="str">
        <f aca="false">IF(A708="","",IF(D708=0,"Fora dos decks",IF(E708=0,"Completo","Falta")))</f>
        <v/>
      </c>
      <c r="G708" s="16" t="str">
        <f aca="false">IF(A708="","",COUNTIF(K708:AD708,"&gt;0"))</f>
        <v/>
      </c>
      <c r="H708" s="16" t="str">
        <f aca="false">IF(A708="","",IF(G708&gt;1,"Sim",""))</f>
        <v/>
      </c>
      <c r="I708" s="18" t="str">
        <f aca="false">IF(A708="","",SUMIFS(DECKS!$D$2:$D$1201,DECKS!$B$2:$B$1201,A708))</f>
        <v/>
      </c>
      <c r="J708" s="18" t="str">
        <f aca="false">IF(A708="","",MAX(0,I708-C708))</f>
        <v/>
      </c>
      <c r="K708" s="19" t="str">
        <f aca="false">IF(OR($A708="",INDEX(_LEITURA!$Q$2:$Q$21,1)=0),"",SUMIFS(DECKS!$D$2:$D$1201,DECKS!$A$2:$A$1201,INDEX(_LEITURA!$P$2:$P$21,1),DECKS!$B$2:$B$1201,$A708))</f>
        <v/>
      </c>
      <c r="L708" s="19" t="str">
        <f aca="false">IF(OR($A708="",INDEX(_LEITURA!$Q$2:$Q$21,2)=0),"",SUMIFS(DECKS!$D$2:$D$1201,DECKS!$A$2:$A$1201,INDEX(_LEITURA!$P$2:$P$21,2),DECKS!$B$2:$B$1201,$A708))</f>
        <v/>
      </c>
      <c r="M708" s="19" t="str">
        <f aca="false">IF(OR($A708="",INDEX(_LEITURA!$Q$2:$Q$21,3)=0),"",SUMIFS(DECKS!$D$2:$D$1201,DECKS!$A$2:$A$1201,INDEX(_LEITURA!$P$2:$P$21,3),DECKS!$B$2:$B$1201,$A708))</f>
        <v/>
      </c>
      <c r="N708" s="19" t="str">
        <f aca="false">IF(OR($A708="",INDEX(_LEITURA!$Q$2:$Q$21,4)=0),"",SUMIFS(DECKS!$D$2:$D$1201,DECKS!$A$2:$A$1201,INDEX(_LEITURA!$P$2:$P$21,4),DECKS!$B$2:$B$1201,$A708))</f>
        <v/>
      </c>
      <c r="O708" s="19" t="str">
        <f aca="false">IF(OR($A708="",INDEX(_LEITURA!$Q$2:$Q$21,5)=0),"",SUMIFS(DECKS!$D$2:$D$1201,DECKS!$A$2:$A$1201,INDEX(_LEITURA!$P$2:$P$21,5),DECKS!$B$2:$B$1201,$A708))</f>
        <v/>
      </c>
      <c r="P708" s="19" t="str">
        <f aca="false">IF(OR($A708="",INDEX(_LEITURA!$Q$2:$Q$21,6)=0),"",SUMIFS(DECKS!$D$2:$D$1201,DECKS!$A$2:$A$1201,INDEX(_LEITURA!$P$2:$P$21,6),DECKS!$B$2:$B$1201,$A708))</f>
        <v/>
      </c>
      <c r="Q708" s="19" t="str">
        <f aca="false">IF(OR($A708="",INDEX(_LEITURA!$Q$2:$Q$21,7)=0),"",SUMIFS(DECKS!$D$2:$D$1201,DECKS!$A$2:$A$1201,INDEX(_LEITURA!$P$2:$P$21,7),DECKS!$B$2:$B$1201,$A708))</f>
        <v/>
      </c>
      <c r="R708" s="19" t="str">
        <f aca="false">IF(OR($A708="",INDEX(_LEITURA!$Q$2:$Q$21,8)=0),"",SUMIFS(DECKS!$D$2:$D$1201,DECKS!$A$2:$A$1201,INDEX(_LEITURA!$P$2:$P$21,8),DECKS!$B$2:$B$1201,$A708))</f>
        <v/>
      </c>
      <c r="S708" s="19" t="str">
        <f aca="false">IF(OR($A708="",INDEX(_LEITURA!$Q$2:$Q$21,9)=0),"",SUMIFS(DECKS!$D$2:$D$1201,DECKS!$A$2:$A$1201,INDEX(_LEITURA!$P$2:$P$21,9),DECKS!$B$2:$B$1201,$A708))</f>
        <v/>
      </c>
      <c r="T708" s="19" t="str">
        <f aca="false">IF(OR($A708="",INDEX(_LEITURA!$Q$2:$Q$21,10)=0),"",SUMIFS(DECKS!$D$2:$D$1201,DECKS!$A$2:$A$1201,INDEX(_LEITURA!$P$2:$P$21,10),DECKS!$B$2:$B$1201,$A708))</f>
        <v/>
      </c>
      <c r="U708" s="19" t="str">
        <f aca="false">IF(OR($A708="",INDEX(_LEITURA!$Q$2:$Q$21,11)=0),"",SUMIFS(DECKS!$D$2:$D$1201,DECKS!$A$2:$A$1201,INDEX(_LEITURA!$P$2:$P$21,11),DECKS!$B$2:$B$1201,$A708))</f>
        <v/>
      </c>
      <c r="V708" s="19" t="str">
        <f aca="false">IF(OR($A708="",INDEX(_LEITURA!$Q$2:$Q$21,12)=0),"",SUMIFS(DECKS!$D$2:$D$1201,DECKS!$A$2:$A$1201,INDEX(_LEITURA!$P$2:$P$21,12),DECKS!$B$2:$B$1201,$A708))</f>
        <v/>
      </c>
      <c r="W708" s="19" t="str">
        <f aca="false">IF(OR($A708="",INDEX(_LEITURA!$Q$2:$Q$21,13)=0),"",SUMIFS(DECKS!$D$2:$D$1201,DECKS!$A$2:$A$1201,INDEX(_LEITURA!$P$2:$P$21,13),DECKS!$B$2:$B$1201,$A708))</f>
        <v/>
      </c>
      <c r="X708" s="19" t="str">
        <f aca="false">IF(OR($A708="",INDEX(_LEITURA!$Q$2:$Q$21,14)=0),"",SUMIFS(DECKS!$D$2:$D$1201,DECKS!$A$2:$A$1201,INDEX(_LEITURA!$P$2:$P$21,14),DECKS!$B$2:$B$1201,$A708))</f>
        <v/>
      </c>
      <c r="Y708" s="19" t="str">
        <f aca="false">IF(OR($A708="",INDEX(_LEITURA!$Q$2:$Q$21,15)=0),"",SUMIFS(DECKS!$D$2:$D$1201,DECKS!$A$2:$A$1201,INDEX(_LEITURA!$P$2:$P$21,15),DECKS!$B$2:$B$1201,$A708))</f>
        <v/>
      </c>
      <c r="Z708" s="19" t="str">
        <f aca="false">IF(OR($A708="",INDEX(_LEITURA!$Q$2:$Q$21,16)=0),"",SUMIFS(DECKS!$D$2:$D$1201,DECKS!$A$2:$A$1201,INDEX(_LEITURA!$P$2:$P$21,16),DECKS!$B$2:$B$1201,$A708))</f>
        <v/>
      </c>
      <c r="AA708" s="19" t="str">
        <f aca="false">IF(OR($A708="",INDEX(_LEITURA!$Q$2:$Q$21,17)=0),"",SUMIFS(DECKS!$D$2:$D$1201,DECKS!$A$2:$A$1201,INDEX(_LEITURA!$P$2:$P$21,17),DECKS!$B$2:$B$1201,$A708))</f>
        <v/>
      </c>
      <c r="AB708" s="19" t="str">
        <f aca="false">IF(OR($A708="",INDEX(_LEITURA!$Q$2:$Q$21,18)=0),"",SUMIFS(DECKS!$D$2:$D$1201,DECKS!$A$2:$A$1201,INDEX(_LEITURA!$P$2:$P$21,18),DECKS!$B$2:$B$1201,$A708))</f>
        <v/>
      </c>
      <c r="AC708" s="19" t="str">
        <f aca="false">IF(OR($A708="",INDEX(_LEITURA!$Q$2:$Q$21,19)=0),"",SUMIFS(DECKS!$D$2:$D$1201,DECKS!$A$2:$A$1201,INDEX(_LEITURA!$P$2:$P$21,19),DECKS!$B$2:$B$1201,$A708))</f>
        <v/>
      </c>
      <c r="AD708" s="19" t="str">
        <f aca="false">IF(OR($A708="",INDEX(_LEITURA!$Q$2:$Q$21,20)=0),"",SUMIFS(DECKS!$D$2:$D$1201,DECKS!$A$2:$A$1201,INDEX(_LEITURA!$P$2:$P$21,20),DECKS!$B$2:$B$1201,$A708))</f>
        <v/>
      </c>
      <c r="AE708" s="16" t="str">
        <f aca="false">IF(N(E708)&gt;0,MAX(AE$1:AE707)+1,"")</f>
        <v/>
      </c>
      <c r="AF708" s="11" t="str">
        <f aca="false">IF(A708="","",IFERROR(LEFT(A708,FIND("-",A708)-1),A708))</f>
        <v/>
      </c>
      <c r="AG708" s="11" t="str">
        <f aca="false">IF(AF708="","",IF(ISNUMBER(--MID(AF708,1,1)),0,IF(ISNUMBER(--MID(AF708,2,1)),1,IF(ISNUMBER(--MID(AF708,3,1)),2,IF(ISNUMBER(--MID(AF708,4,1)),3,MIN(LEN(AF708),4))))))</f>
        <v/>
      </c>
      <c r="AH708" s="11" t="str">
        <f aca="false">IF(A708="","",LEFT(AF708,AG708)&amp;REPT("0",4-AG708)&amp;RIGHT("000"&amp;IFERROR(VALUE(MID(AF708,AG708+1,9)),0),3)&amp;RIGHT("0000"&amp;IFERROR(VALUE(MID(A708,FIND("-",A708)+1,9)),0),4))</f>
        <v/>
      </c>
      <c r="AI708" s="11" t="str">
        <f aca="false">IF(OR(A708="",N(E708)&lt;=0),"",IF('FALTAS GERAL'!$M$1="Código","K"&amp;AH708&amp;RIGHT("00000"&amp;ROW(),5),IF('FALTAS GERAL'!$M$1="Nome","K"&amp;UPPER(SUBSTITUTE(SUBSTITUTE(SUBSTITUTE(B708,"*",""),"?",""),"~",""))&amp;"0"&amp;AH708&amp;RIGHT("00000"&amp;ROW(),5),IF('FALTAS GERAL'!$M$1="Falta (maior primeiro)","K"&amp;RIGHT("0000"&amp;(9999-E708),4)&amp;AH708&amp;RIGHT("00000"&amp;ROW(),5),IF('FALTAS GERAL'!$M$1="Nº de decks (maior primeiro)","K"&amp;RIGHT("00"&amp;(99-N(G708)),2)&amp;AH708&amp;RIGHT("00000"&amp;ROW(),5),"K"&amp;RIGHT("00000"&amp;ROW(),5))))))</f>
        <v/>
      </c>
      <c r="AJ708" s="11" t="str">
        <f aca="false">IF(AI708="","",COUNTIFS($AI$2:$AI$801,"&lt;"&amp;AI708,$E$2:$E$801,"&gt;0")+1)</f>
        <v/>
      </c>
      <c r="AK708" s="11" t="str">
        <f aca="false">IF(OR(A708="",N(E708)&lt;=0),"",COUNTIFS($AH$2:$AH$801,"&lt;"&amp;AH708,$E$2:$E$801,"&gt;0")+COUNTIFS($AH$2:AH708,AH708,$E$2:E708,"&gt;0"))</f>
        <v/>
      </c>
    </row>
    <row r="709" customFormat="false" ht="15" hidden="false" customHeight="false" outlineLevel="0" collapsed="false">
      <c r="A709" s="11" t="str">
        <f aca="false">IF(INVENTÁRIO!A709="","",INVENTÁRIO!A709)</f>
        <v/>
      </c>
      <c r="B709" s="11" t="str">
        <f aca="false">IF(A709="","",INVENTÁRIO!B709)</f>
        <v/>
      </c>
      <c r="C709" s="16" t="str">
        <f aca="false">IF(A709="","",INVENTÁRIO!C709)</f>
        <v/>
      </c>
      <c r="D709" s="14" t="str">
        <f aca="false">IF(A709="","",MAX(K709:AD709))</f>
        <v/>
      </c>
      <c r="E709" s="14" t="str">
        <f aca="false">IF(A709="","",MAX(0,D709-C709))</f>
        <v/>
      </c>
      <c r="F709" s="16" t="str">
        <f aca="false">IF(A709="","",IF(D709=0,"Fora dos decks",IF(E709=0,"Completo","Falta")))</f>
        <v/>
      </c>
      <c r="G709" s="16" t="str">
        <f aca="false">IF(A709="","",COUNTIF(K709:AD709,"&gt;0"))</f>
        <v/>
      </c>
      <c r="H709" s="16" t="str">
        <f aca="false">IF(A709="","",IF(G709&gt;1,"Sim",""))</f>
        <v/>
      </c>
      <c r="I709" s="18" t="str">
        <f aca="false">IF(A709="","",SUMIFS(DECKS!$D$2:$D$1201,DECKS!$B$2:$B$1201,A709))</f>
        <v/>
      </c>
      <c r="J709" s="18" t="str">
        <f aca="false">IF(A709="","",MAX(0,I709-C709))</f>
        <v/>
      </c>
      <c r="K709" s="19" t="str">
        <f aca="false">IF(OR($A709="",INDEX(_LEITURA!$Q$2:$Q$21,1)=0),"",SUMIFS(DECKS!$D$2:$D$1201,DECKS!$A$2:$A$1201,INDEX(_LEITURA!$P$2:$P$21,1),DECKS!$B$2:$B$1201,$A709))</f>
        <v/>
      </c>
      <c r="L709" s="19" t="str">
        <f aca="false">IF(OR($A709="",INDEX(_LEITURA!$Q$2:$Q$21,2)=0),"",SUMIFS(DECKS!$D$2:$D$1201,DECKS!$A$2:$A$1201,INDEX(_LEITURA!$P$2:$P$21,2),DECKS!$B$2:$B$1201,$A709))</f>
        <v/>
      </c>
      <c r="M709" s="19" t="str">
        <f aca="false">IF(OR($A709="",INDEX(_LEITURA!$Q$2:$Q$21,3)=0),"",SUMIFS(DECKS!$D$2:$D$1201,DECKS!$A$2:$A$1201,INDEX(_LEITURA!$P$2:$P$21,3),DECKS!$B$2:$B$1201,$A709))</f>
        <v/>
      </c>
      <c r="N709" s="19" t="str">
        <f aca="false">IF(OR($A709="",INDEX(_LEITURA!$Q$2:$Q$21,4)=0),"",SUMIFS(DECKS!$D$2:$D$1201,DECKS!$A$2:$A$1201,INDEX(_LEITURA!$P$2:$P$21,4),DECKS!$B$2:$B$1201,$A709))</f>
        <v/>
      </c>
      <c r="O709" s="19" t="str">
        <f aca="false">IF(OR($A709="",INDEX(_LEITURA!$Q$2:$Q$21,5)=0),"",SUMIFS(DECKS!$D$2:$D$1201,DECKS!$A$2:$A$1201,INDEX(_LEITURA!$P$2:$P$21,5),DECKS!$B$2:$B$1201,$A709))</f>
        <v/>
      </c>
      <c r="P709" s="19" t="str">
        <f aca="false">IF(OR($A709="",INDEX(_LEITURA!$Q$2:$Q$21,6)=0),"",SUMIFS(DECKS!$D$2:$D$1201,DECKS!$A$2:$A$1201,INDEX(_LEITURA!$P$2:$P$21,6),DECKS!$B$2:$B$1201,$A709))</f>
        <v/>
      </c>
      <c r="Q709" s="19" t="str">
        <f aca="false">IF(OR($A709="",INDEX(_LEITURA!$Q$2:$Q$21,7)=0),"",SUMIFS(DECKS!$D$2:$D$1201,DECKS!$A$2:$A$1201,INDEX(_LEITURA!$P$2:$P$21,7),DECKS!$B$2:$B$1201,$A709))</f>
        <v/>
      </c>
      <c r="R709" s="19" t="str">
        <f aca="false">IF(OR($A709="",INDEX(_LEITURA!$Q$2:$Q$21,8)=0),"",SUMIFS(DECKS!$D$2:$D$1201,DECKS!$A$2:$A$1201,INDEX(_LEITURA!$P$2:$P$21,8),DECKS!$B$2:$B$1201,$A709))</f>
        <v/>
      </c>
      <c r="S709" s="19" t="str">
        <f aca="false">IF(OR($A709="",INDEX(_LEITURA!$Q$2:$Q$21,9)=0),"",SUMIFS(DECKS!$D$2:$D$1201,DECKS!$A$2:$A$1201,INDEX(_LEITURA!$P$2:$P$21,9),DECKS!$B$2:$B$1201,$A709))</f>
        <v/>
      </c>
      <c r="T709" s="19" t="str">
        <f aca="false">IF(OR($A709="",INDEX(_LEITURA!$Q$2:$Q$21,10)=0),"",SUMIFS(DECKS!$D$2:$D$1201,DECKS!$A$2:$A$1201,INDEX(_LEITURA!$P$2:$P$21,10),DECKS!$B$2:$B$1201,$A709))</f>
        <v/>
      </c>
      <c r="U709" s="19" t="str">
        <f aca="false">IF(OR($A709="",INDEX(_LEITURA!$Q$2:$Q$21,11)=0),"",SUMIFS(DECKS!$D$2:$D$1201,DECKS!$A$2:$A$1201,INDEX(_LEITURA!$P$2:$P$21,11),DECKS!$B$2:$B$1201,$A709))</f>
        <v/>
      </c>
      <c r="V709" s="19" t="str">
        <f aca="false">IF(OR($A709="",INDEX(_LEITURA!$Q$2:$Q$21,12)=0),"",SUMIFS(DECKS!$D$2:$D$1201,DECKS!$A$2:$A$1201,INDEX(_LEITURA!$P$2:$P$21,12),DECKS!$B$2:$B$1201,$A709))</f>
        <v/>
      </c>
      <c r="W709" s="19" t="str">
        <f aca="false">IF(OR($A709="",INDEX(_LEITURA!$Q$2:$Q$21,13)=0),"",SUMIFS(DECKS!$D$2:$D$1201,DECKS!$A$2:$A$1201,INDEX(_LEITURA!$P$2:$P$21,13),DECKS!$B$2:$B$1201,$A709))</f>
        <v/>
      </c>
      <c r="X709" s="19" t="str">
        <f aca="false">IF(OR($A709="",INDEX(_LEITURA!$Q$2:$Q$21,14)=0),"",SUMIFS(DECKS!$D$2:$D$1201,DECKS!$A$2:$A$1201,INDEX(_LEITURA!$P$2:$P$21,14),DECKS!$B$2:$B$1201,$A709))</f>
        <v/>
      </c>
      <c r="Y709" s="19" t="str">
        <f aca="false">IF(OR($A709="",INDEX(_LEITURA!$Q$2:$Q$21,15)=0),"",SUMIFS(DECKS!$D$2:$D$1201,DECKS!$A$2:$A$1201,INDEX(_LEITURA!$P$2:$P$21,15),DECKS!$B$2:$B$1201,$A709))</f>
        <v/>
      </c>
      <c r="Z709" s="19" t="str">
        <f aca="false">IF(OR($A709="",INDEX(_LEITURA!$Q$2:$Q$21,16)=0),"",SUMIFS(DECKS!$D$2:$D$1201,DECKS!$A$2:$A$1201,INDEX(_LEITURA!$P$2:$P$21,16),DECKS!$B$2:$B$1201,$A709))</f>
        <v/>
      </c>
      <c r="AA709" s="19" t="str">
        <f aca="false">IF(OR($A709="",INDEX(_LEITURA!$Q$2:$Q$21,17)=0),"",SUMIFS(DECKS!$D$2:$D$1201,DECKS!$A$2:$A$1201,INDEX(_LEITURA!$P$2:$P$21,17),DECKS!$B$2:$B$1201,$A709))</f>
        <v/>
      </c>
      <c r="AB709" s="19" t="str">
        <f aca="false">IF(OR($A709="",INDEX(_LEITURA!$Q$2:$Q$21,18)=0),"",SUMIFS(DECKS!$D$2:$D$1201,DECKS!$A$2:$A$1201,INDEX(_LEITURA!$P$2:$P$21,18),DECKS!$B$2:$B$1201,$A709))</f>
        <v/>
      </c>
      <c r="AC709" s="19" t="str">
        <f aca="false">IF(OR($A709="",INDEX(_LEITURA!$Q$2:$Q$21,19)=0),"",SUMIFS(DECKS!$D$2:$D$1201,DECKS!$A$2:$A$1201,INDEX(_LEITURA!$P$2:$P$21,19),DECKS!$B$2:$B$1201,$A709))</f>
        <v/>
      </c>
      <c r="AD709" s="19" t="str">
        <f aca="false">IF(OR($A709="",INDEX(_LEITURA!$Q$2:$Q$21,20)=0),"",SUMIFS(DECKS!$D$2:$D$1201,DECKS!$A$2:$A$1201,INDEX(_LEITURA!$P$2:$P$21,20),DECKS!$B$2:$B$1201,$A709))</f>
        <v/>
      </c>
      <c r="AE709" s="16" t="str">
        <f aca="false">IF(N(E709)&gt;0,MAX(AE$1:AE708)+1,"")</f>
        <v/>
      </c>
      <c r="AF709" s="11" t="str">
        <f aca="false">IF(A709="","",IFERROR(LEFT(A709,FIND("-",A709)-1),A709))</f>
        <v/>
      </c>
      <c r="AG709" s="11" t="str">
        <f aca="false">IF(AF709="","",IF(ISNUMBER(--MID(AF709,1,1)),0,IF(ISNUMBER(--MID(AF709,2,1)),1,IF(ISNUMBER(--MID(AF709,3,1)),2,IF(ISNUMBER(--MID(AF709,4,1)),3,MIN(LEN(AF709),4))))))</f>
        <v/>
      </c>
      <c r="AH709" s="11" t="str">
        <f aca="false">IF(A709="","",LEFT(AF709,AG709)&amp;REPT("0",4-AG709)&amp;RIGHT("000"&amp;IFERROR(VALUE(MID(AF709,AG709+1,9)),0),3)&amp;RIGHT("0000"&amp;IFERROR(VALUE(MID(A709,FIND("-",A709)+1,9)),0),4))</f>
        <v/>
      </c>
      <c r="AI709" s="11" t="str">
        <f aca="false">IF(OR(A709="",N(E709)&lt;=0),"",IF('FALTAS GERAL'!$M$1="Código","K"&amp;AH709&amp;RIGHT("00000"&amp;ROW(),5),IF('FALTAS GERAL'!$M$1="Nome","K"&amp;UPPER(SUBSTITUTE(SUBSTITUTE(SUBSTITUTE(B709,"*",""),"?",""),"~",""))&amp;"0"&amp;AH709&amp;RIGHT("00000"&amp;ROW(),5),IF('FALTAS GERAL'!$M$1="Falta (maior primeiro)","K"&amp;RIGHT("0000"&amp;(9999-E709),4)&amp;AH709&amp;RIGHT("00000"&amp;ROW(),5),IF('FALTAS GERAL'!$M$1="Nº de decks (maior primeiro)","K"&amp;RIGHT("00"&amp;(99-N(G709)),2)&amp;AH709&amp;RIGHT("00000"&amp;ROW(),5),"K"&amp;RIGHT("00000"&amp;ROW(),5))))))</f>
        <v/>
      </c>
      <c r="AJ709" s="11" t="str">
        <f aca="false">IF(AI709="","",COUNTIFS($AI$2:$AI$801,"&lt;"&amp;AI709,$E$2:$E$801,"&gt;0")+1)</f>
        <v/>
      </c>
      <c r="AK709" s="11" t="str">
        <f aca="false">IF(OR(A709="",N(E709)&lt;=0),"",COUNTIFS($AH$2:$AH$801,"&lt;"&amp;AH709,$E$2:$E$801,"&gt;0")+COUNTIFS($AH$2:AH709,AH709,$E$2:E709,"&gt;0"))</f>
        <v/>
      </c>
    </row>
    <row r="710" customFormat="false" ht="15" hidden="false" customHeight="false" outlineLevel="0" collapsed="false">
      <c r="A710" s="11" t="str">
        <f aca="false">IF(INVENTÁRIO!A710="","",INVENTÁRIO!A710)</f>
        <v/>
      </c>
      <c r="B710" s="11" t="str">
        <f aca="false">IF(A710="","",INVENTÁRIO!B710)</f>
        <v/>
      </c>
      <c r="C710" s="16" t="str">
        <f aca="false">IF(A710="","",INVENTÁRIO!C710)</f>
        <v/>
      </c>
      <c r="D710" s="14" t="str">
        <f aca="false">IF(A710="","",MAX(K710:AD710))</f>
        <v/>
      </c>
      <c r="E710" s="14" t="str">
        <f aca="false">IF(A710="","",MAX(0,D710-C710))</f>
        <v/>
      </c>
      <c r="F710" s="16" t="str">
        <f aca="false">IF(A710="","",IF(D710=0,"Fora dos decks",IF(E710=0,"Completo","Falta")))</f>
        <v/>
      </c>
      <c r="G710" s="16" t="str">
        <f aca="false">IF(A710="","",COUNTIF(K710:AD710,"&gt;0"))</f>
        <v/>
      </c>
      <c r="H710" s="16" t="str">
        <f aca="false">IF(A710="","",IF(G710&gt;1,"Sim",""))</f>
        <v/>
      </c>
      <c r="I710" s="18" t="str">
        <f aca="false">IF(A710="","",SUMIFS(DECKS!$D$2:$D$1201,DECKS!$B$2:$B$1201,A710))</f>
        <v/>
      </c>
      <c r="J710" s="18" t="str">
        <f aca="false">IF(A710="","",MAX(0,I710-C710))</f>
        <v/>
      </c>
      <c r="K710" s="19" t="str">
        <f aca="false">IF(OR($A710="",INDEX(_LEITURA!$Q$2:$Q$21,1)=0),"",SUMIFS(DECKS!$D$2:$D$1201,DECKS!$A$2:$A$1201,INDEX(_LEITURA!$P$2:$P$21,1),DECKS!$B$2:$B$1201,$A710))</f>
        <v/>
      </c>
      <c r="L710" s="19" t="str">
        <f aca="false">IF(OR($A710="",INDEX(_LEITURA!$Q$2:$Q$21,2)=0),"",SUMIFS(DECKS!$D$2:$D$1201,DECKS!$A$2:$A$1201,INDEX(_LEITURA!$P$2:$P$21,2),DECKS!$B$2:$B$1201,$A710))</f>
        <v/>
      </c>
      <c r="M710" s="19" t="str">
        <f aca="false">IF(OR($A710="",INDEX(_LEITURA!$Q$2:$Q$21,3)=0),"",SUMIFS(DECKS!$D$2:$D$1201,DECKS!$A$2:$A$1201,INDEX(_LEITURA!$P$2:$P$21,3),DECKS!$B$2:$B$1201,$A710))</f>
        <v/>
      </c>
      <c r="N710" s="19" t="str">
        <f aca="false">IF(OR($A710="",INDEX(_LEITURA!$Q$2:$Q$21,4)=0),"",SUMIFS(DECKS!$D$2:$D$1201,DECKS!$A$2:$A$1201,INDEX(_LEITURA!$P$2:$P$21,4),DECKS!$B$2:$B$1201,$A710))</f>
        <v/>
      </c>
      <c r="O710" s="19" t="str">
        <f aca="false">IF(OR($A710="",INDEX(_LEITURA!$Q$2:$Q$21,5)=0),"",SUMIFS(DECKS!$D$2:$D$1201,DECKS!$A$2:$A$1201,INDEX(_LEITURA!$P$2:$P$21,5),DECKS!$B$2:$B$1201,$A710))</f>
        <v/>
      </c>
      <c r="P710" s="19" t="str">
        <f aca="false">IF(OR($A710="",INDEX(_LEITURA!$Q$2:$Q$21,6)=0),"",SUMIFS(DECKS!$D$2:$D$1201,DECKS!$A$2:$A$1201,INDEX(_LEITURA!$P$2:$P$21,6),DECKS!$B$2:$B$1201,$A710))</f>
        <v/>
      </c>
      <c r="Q710" s="19" t="str">
        <f aca="false">IF(OR($A710="",INDEX(_LEITURA!$Q$2:$Q$21,7)=0),"",SUMIFS(DECKS!$D$2:$D$1201,DECKS!$A$2:$A$1201,INDEX(_LEITURA!$P$2:$P$21,7),DECKS!$B$2:$B$1201,$A710))</f>
        <v/>
      </c>
      <c r="R710" s="19" t="str">
        <f aca="false">IF(OR($A710="",INDEX(_LEITURA!$Q$2:$Q$21,8)=0),"",SUMIFS(DECKS!$D$2:$D$1201,DECKS!$A$2:$A$1201,INDEX(_LEITURA!$P$2:$P$21,8),DECKS!$B$2:$B$1201,$A710))</f>
        <v/>
      </c>
      <c r="S710" s="19" t="str">
        <f aca="false">IF(OR($A710="",INDEX(_LEITURA!$Q$2:$Q$21,9)=0),"",SUMIFS(DECKS!$D$2:$D$1201,DECKS!$A$2:$A$1201,INDEX(_LEITURA!$P$2:$P$21,9),DECKS!$B$2:$B$1201,$A710))</f>
        <v/>
      </c>
      <c r="T710" s="19" t="str">
        <f aca="false">IF(OR($A710="",INDEX(_LEITURA!$Q$2:$Q$21,10)=0),"",SUMIFS(DECKS!$D$2:$D$1201,DECKS!$A$2:$A$1201,INDEX(_LEITURA!$P$2:$P$21,10),DECKS!$B$2:$B$1201,$A710))</f>
        <v/>
      </c>
      <c r="U710" s="19" t="str">
        <f aca="false">IF(OR($A710="",INDEX(_LEITURA!$Q$2:$Q$21,11)=0),"",SUMIFS(DECKS!$D$2:$D$1201,DECKS!$A$2:$A$1201,INDEX(_LEITURA!$P$2:$P$21,11),DECKS!$B$2:$B$1201,$A710))</f>
        <v/>
      </c>
      <c r="V710" s="19" t="str">
        <f aca="false">IF(OR($A710="",INDEX(_LEITURA!$Q$2:$Q$21,12)=0),"",SUMIFS(DECKS!$D$2:$D$1201,DECKS!$A$2:$A$1201,INDEX(_LEITURA!$P$2:$P$21,12),DECKS!$B$2:$B$1201,$A710))</f>
        <v/>
      </c>
      <c r="W710" s="19" t="str">
        <f aca="false">IF(OR($A710="",INDEX(_LEITURA!$Q$2:$Q$21,13)=0),"",SUMIFS(DECKS!$D$2:$D$1201,DECKS!$A$2:$A$1201,INDEX(_LEITURA!$P$2:$P$21,13),DECKS!$B$2:$B$1201,$A710))</f>
        <v/>
      </c>
      <c r="X710" s="19" t="str">
        <f aca="false">IF(OR($A710="",INDEX(_LEITURA!$Q$2:$Q$21,14)=0),"",SUMIFS(DECKS!$D$2:$D$1201,DECKS!$A$2:$A$1201,INDEX(_LEITURA!$P$2:$P$21,14),DECKS!$B$2:$B$1201,$A710))</f>
        <v/>
      </c>
      <c r="Y710" s="19" t="str">
        <f aca="false">IF(OR($A710="",INDEX(_LEITURA!$Q$2:$Q$21,15)=0),"",SUMIFS(DECKS!$D$2:$D$1201,DECKS!$A$2:$A$1201,INDEX(_LEITURA!$P$2:$P$21,15),DECKS!$B$2:$B$1201,$A710))</f>
        <v/>
      </c>
      <c r="Z710" s="19" t="str">
        <f aca="false">IF(OR($A710="",INDEX(_LEITURA!$Q$2:$Q$21,16)=0),"",SUMIFS(DECKS!$D$2:$D$1201,DECKS!$A$2:$A$1201,INDEX(_LEITURA!$P$2:$P$21,16),DECKS!$B$2:$B$1201,$A710))</f>
        <v/>
      </c>
      <c r="AA710" s="19" t="str">
        <f aca="false">IF(OR($A710="",INDEX(_LEITURA!$Q$2:$Q$21,17)=0),"",SUMIFS(DECKS!$D$2:$D$1201,DECKS!$A$2:$A$1201,INDEX(_LEITURA!$P$2:$P$21,17),DECKS!$B$2:$B$1201,$A710))</f>
        <v/>
      </c>
      <c r="AB710" s="19" t="str">
        <f aca="false">IF(OR($A710="",INDEX(_LEITURA!$Q$2:$Q$21,18)=0),"",SUMIFS(DECKS!$D$2:$D$1201,DECKS!$A$2:$A$1201,INDEX(_LEITURA!$P$2:$P$21,18),DECKS!$B$2:$B$1201,$A710))</f>
        <v/>
      </c>
      <c r="AC710" s="19" t="str">
        <f aca="false">IF(OR($A710="",INDEX(_LEITURA!$Q$2:$Q$21,19)=0),"",SUMIFS(DECKS!$D$2:$D$1201,DECKS!$A$2:$A$1201,INDEX(_LEITURA!$P$2:$P$21,19),DECKS!$B$2:$B$1201,$A710))</f>
        <v/>
      </c>
      <c r="AD710" s="19" t="str">
        <f aca="false">IF(OR($A710="",INDEX(_LEITURA!$Q$2:$Q$21,20)=0),"",SUMIFS(DECKS!$D$2:$D$1201,DECKS!$A$2:$A$1201,INDEX(_LEITURA!$P$2:$P$21,20),DECKS!$B$2:$B$1201,$A710))</f>
        <v/>
      </c>
      <c r="AE710" s="16" t="str">
        <f aca="false">IF(N(E710)&gt;0,MAX(AE$1:AE709)+1,"")</f>
        <v/>
      </c>
      <c r="AF710" s="11" t="str">
        <f aca="false">IF(A710="","",IFERROR(LEFT(A710,FIND("-",A710)-1),A710))</f>
        <v/>
      </c>
      <c r="AG710" s="11" t="str">
        <f aca="false">IF(AF710="","",IF(ISNUMBER(--MID(AF710,1,1)),0,IF(ISNUMBER(--MID(AF710,2,1)),1,IF(ISNUMBER(--MID(AF710,3,1)),2,IF(ISNUMBER(--MID(AF710,4,1)),3,MIN(LEN(AF710),4))))))</f>
        <v/>
      </c>
      <c r="AH710" s="11" t="str">
        <f aca="false">IF(A710="","",LEFT(AF710,AG710)&amp;REPT("0",4-AG710)&amp;RIGHT("000"&amp;IFERROR(VALUE(MID(AF710,AG710+1,9)),0),3)&amp;RIGHT("0000"&amp;IFERROR(VALUE(MID(A710,FIND("-",A710)+1,9)),0),4))</f>
        <v/>
      </c>
      <c r="AI710" s="11" t="str">
        <f aca="false">IF(OR(A710="",N(E710)&lt;=0),"",IF('FALTAS GERAL'!$M$1="Código","K"&amp;AH710&amp;RIGHT("00000"&amp;ROW(),5),IF('FALTAS GERAL'!$M$1="Nome","K"&amp;UPPER(SUBSTITUTE(SUBSTITUTE(SUBSTITUTE(B710,"*",""),"?",""),"~",""))&amp;"0"&amp;AH710&amp;RIGHT("00000"&amp;ROW(),5),IF('FALTAS GERAL'!$M$1="Falta (maior primeiro)","K"&amp;RIGHT("0000"&amp;(9999-E710),4)&amp;AH710&amp;RIGHT("00000"&amp;ROW(),5),IF('FALTAS GERAL'!$M$1="Nº de decks (maior primeiro)","K"&amp;RIGHT("00"&amp;(99-N(G710)),2)&amp;AH710&amp;RIGHT("00000"&amp;ROW(),5),"K"&amp;RIGHT("00000"&amp;ROW(),5))))))</f>
        <v/>
      </c>
      <c r="AJ710" s="11" t="str">
        <f aca="false">IF(AI710="","",COUNTIFS($AI$2:$AI$801,"&lt;"&amp;AI710,$E$2:$E$801,"&gt;0")+1)</f>
        <v/>
      </c>
      <c r="AK710" s="11" t="str">
        <f aca="false">IF(OR(A710="",N(E710)&lt;=0),"",COUNTIFS($AH$2:$AH$801,"&lt;"&amp;AH710,$E$2:$E$801,"&gt;0")+COUNTIFS($AH$2:AH710,AH710,$E$2:E710,"&gt;0"))</f>
        <v/>
      </c>
    </row>
    <row r="711" customFormat="false" ht="15" hidden="false" customHeight="false" outlineLevel="0" collapsed="false">
      <c r="A711" s="11" t="str">
        <f aca="false">IF(INVENTÁRIO!A711="","",INVENTÁRIO!A711)</f>
        <v/>
      </c>
      <c r="B711" s="11" t="str">
        <f aca="false">IF(A711="","",INVENTÁRIO!B711)</f>
        <v/>
      </c>
      <c r="C711" s="16" t="str">
        <f aca="false">IF(A711="","",INVENTÁRIO!C711)</f>
        <v/>
      </c>
      <c r="D711" s="14" t="str">
        <f aca="false">IF(A711="","",MAX(K711:AD711))</f>
        <v/>
      </c>
      <c r="E711" s="14" t="str">
        <f aca="false">IF(A711="","",MAX(0,D711-C711))</f>
        <v/>
      </c>
      <c r="F711" s="16" t="str">
        <f aca="false">IF(A711="","",IF(D711=0,"Fora dos decks",IF(E711=0,"Completo","Falta")))</f>
        <v/>
      </c>
      <c r="G711" s="16" t="str">
        <f aca="false">IF(A711="","",COUNTIF(K711:AD711,"&gt;0"))</f>
        <v/>
      </c>
      <c r="H711" s="16" t="str">
        <f aca="false">IF(A711="","",IF(G711&gt;1,"Sim",""))</f>
        <v/>
      </c>
      <c r="I711" s="18" t="str">
        <f aca="false">IF(A711="","",SUMIFS(DECKS!$D$2:$D$1201,DECKS!$B$2:$B$1201,A711))</f>
        <v/>
      </c>
      <c r="J711" s="18" t="str">
        <f aca="false">IF(A711="","",MAX(0,I711-C711))</f>
        <v/>
      </c>
      <c r="K711" s="19" t="str">
        <f aca="false">IF(OR($A711="",INDEX(_LEITURA!$Q$2:$Q$21,1)=0),"",SUMIFS(DECKS!$D$2:$D$1201,DECKS!$A$2:$A$1201,INDEX(_LEITURA!$P$2:$P$21,1),DECKS!$B$2:$B$1201,$A711))</f>
        <v/>
      </c>
      <c r="L711" s="19" t="str">
        <f aca="false">IF(OR($A711="",INDEX(_LEITURA!$Q$2:$Q$21,2)=0),"",SUMIFS(DECKS!$D$2:$D$1201,DECKS!$A$2:$A$1201,INDEX(_LEITURA!$P$2:$P$21,2),DECKS!$B$2:$B$1201,$A711))</f>
        <v/>
      </c>
      <c r="M711" s="19" t="str">
        <f aca="false">IF(OR($A711="",INDEX(_LEITURA!$Q$2:$Q$21,3)=0),"",SUMIFS(DECKS!$D$2:$D$1201,DECKS!$A$2:$A$1201,INDEX(_LEITURA!$P$2:$P$21,3),DECKS!$B$2:$B$1201,$A711))</f>
        <v/>
      </c>
      <c r="N711" s="19" t="str">
        <f aca="false">IF(OR($A711="",INDEX(_LEITURA!$Q$2:$Q$21,4)=0),"",SUMIFS(DECKS!$D$2:$D$1201,DECKS!$A$2:$A$1201,INDEX(_LEITURA!$P$2:$P$21,4),DECKS!$B$2:$B$1201,$A711))</f>
        <v/>
      </c>
      <c r="O711" s="19" t="str">
        <f aca="false">IF(OR($A711="",INDEX(_LEITURA!$Q$2:$Q$21,5)=0),"",SUMIFS(DECKS!$D$2:$D$1201,DECKS!$A$2:$A$1201,INDEX(_LEITURA!$P$2:$P$21,5),DECKS!$B$2:$B$1201,$A711))</f>
        <v/>
      </c>
      <c r="P711" s="19" t="str">
        <f aca="false">IF(OR($A711="",INDEX(_LEITURA!$Q$2:$Q$21,6)=0),"",SUMIFS(DECKS!$D$2:$D$1201,DECKS!$A$2:$A$1201,INDEX(_LEITURA!$P$2:$P$21,6),DECKS!$B$2:$B$1201,$A711))</f>
        <v/>
      </c>
      <c r="Q711" s="19" t="str">
        <f aca="false">IF(OR($A711="",INDEX(_LEITURA!$Q$2:$Q$21,7)=0),"",SUMIFS(DECKS!$D$2:$D$1201,DECKS!$A$2:$A$1201,INDEX(_LEITURA!$P$2:$P$21,7),DECKS!$B$2:$B$1201,$A711))</f>
        <v/>
      </c>
      <c r="R711" s="19" t="str">
        <f aca="false">IF(OR($A711="",INDEX(_LEITURA!$Q$2:$Q$21,8)=0),"",SUMIFS(DECKS!$D$2:$D$1201,DECKS!$A$2:$A$1201,INDEX(_LEITURA!$P$2:$P$21,8),DECKS!$B$2:$B$1201,$A711))</f>
        <v/>
      </c>
      <c r="S711" s="19" t="str">
        <f aca="false">IF(OR($A711="",INDEX(_LEITURA!$Q$2:$Q$21,9)=0),"",SUMIFS(DECKS!$D$2:$D$1201,DECKS!$A$2:$A$1201,INDEX(_LEITURA!$P$2:$P$21,9),DECKS!$B$2:$B$1201,$A711))</f>
        <v/>
      </c>
      <c r="T711" s="19" t="str">
        <f aca="false">IF(OR($A711="",INDEX(_LEITURA!$Q$2:$Q$21,10)=0),"",SUMIFS(DECKS!$D$2:$D$1201,DECKS!$A$2:$A$1201,INDEX(_LEITURA!$P$2:$P$21,10),DECKS!$B$2:$B$1201,$A711))</f>
        <v/>
      </c>
      <c r="U711" s="19" t="str">
        <f aca="false">IF(OR($A711="",INDEX(_LEITURA!$Q$2:$Q$21,11)=0),"",SUMIFS(DECKS!$D$2:$D$1201,DECKS!$A$2:$A$1201,INDEX(_LEITURA!$P$2:$P$21,11),DECKS!$B$2:$B$1201,$A711))</f>
        <v/>
      </c>
      <c r="V711" s="19" t="str">
        <f aca="false">IF(OR($A711="",INDEX(_LEITURA!$Q$2:$Q$21,12)=0),"",SUMIFS(DECKS!$D$2:$D$1201,DECKS!$A$2:$A$1201,INDEX(_LEITURA!$P$2:$P$21,12),DECKS!$B$2:$B$1201,$A711))</f>
        <v/>
      </c>
      <c r="W711" s="19" t="str">
        <f aca="false">IF(OR($A711="",INDEX(_LEITURA!$Q$2:$Q$21,13)=0),"",SUMIFS(DECKS!$D$2:$D$1201,DECKS!$A$2:$A$1201,INDEX(_LEITURA!$P$2:$P$21,13),DECKS!$B$2:$B$1201,$A711))</f>
        <v/>
      </c>
      <c r="X711" s="19" t="str">
        <f aca="false">IF(OR($A711="",INDEX(_LEITURA!$Q$2:$Q$21,14)=0),"",SUMIFS(DECKS!$D$2:$D$1201,DECKS!$A$2:$A$1201,INDEX(_LEITURA!$P$2:$P$21,14),DECKS!$B$2:$B$1201,$A711))</f>
        <v/>
      </c>
      <c r="Y711" s="19" t="str">
        <f aca="false">IF(OR($A711="",INDEX(_LEITURA!$Q$2:$Q$21,15)=0),"",SUMIFS(DECKS!$D$2:$D$1201,DECKS!$A$2:$A$1201,INDEX(_LEITURA!$P$2:$P$21,15),DECKS!$B$2:$B$1201,$A711))</f>
        <v/>
      </c>
      <c r="Z711" s="19" t="str">
        <f aca="false">IF(OR($A711="",INDEX(_LEITURA!$Q$2:$Q$21,16)=0),"",SUMIFS(DECKS!$D$2:$D$1201,DECKS!$A$2:$A$1201,INDEX(_LEITURA!$P$2:$P$21,16),DECKS!$B$2:$B$1201,$A711))</f>
        <v/>
      </c>
      <c r="AA711" s="19" t="str">
        <f aca="false">IF(OR($A711="",INDEX(_LEITURA!$Q$2:$Q$21,17)=0),"",SUMIFS(DECKS!$D$2:$D$1201,DECKS!$A$2:$A$1201,INDEX(_LEITURA!$P$2:$P$21,17),DECKS!$B$2:$B$1201,$A711))</f>
        <v/>
      </c>
      <c r="AB711" s="19" t="str">
        <f aca="false">IF(OR($A711="",INDEX(_LEITURA!$Q$2:$Q$21,18)=0),"",SUMIFS(DECKS!$D$2:$D$1201,DECKS!$A$2:$A$1201,INDEX(_LEITURA!$P$2:$P$21,18),DECKS!$B$2:$B$1201,$A711))</f>
        <v/>
      </c>
      <c r="AC711" s="19" t="str">
        <f aca="false">IF(OR($A711="",INDEX(_LEITURA!$Q$2:$Q$21,19)=0),"",SUMIFS(DECKS!$D$2:$D$1201,DECKS!$A$2:$A$1201,INDEX(_LEITURA!$P$2:$P$21,19),DECKS!$B$2:$B$1201,$A711))</f>
        <v/>
      </c>
      <c r="AD711" s="19" t="str">
        <f aca="false">IF(OR($A711="",INDEX(_LEITURA!$Q$2:$Q$21,20)=0),"",SUMIFS(DECKS!$D$2:$D$1201,DECKS!$A$2:$A$1201,INDEX(_LEITURA!$P$2:$P$21,20),DECKS!$B$2:$B$1201,$A711))</f>
        <v/>
      </c>
      <c r="AE711" s="16" t="str">
        <f aca="false">IF(N(E711)&gt;0,MAX(AE$1:AE710)+1,"")</f>
        <v/>
      </c>
      <c r="AF711" s="11" t="str">
        <f aca="false">IF(A711="","",IFERROR(LEFT(A711,FIND("-",A711)-1),A711))</f>
        <v/>
      </c>
      <c r="AG711" s="11" t="str">
        <f aca="false">IF(AF711="","",IF(ISNUMBER(--MID(AF711,1,1)),0,IF(ISNUMBER(--MID(AF711,2,1)),1,IF(ISNUMBER(--MID(AF711,3,1)),2,IF(ISNUMBER(--MID(AF711,4,1)),3,MIN(LEN(AF711),4))))))</f>
        <v/>
      </c>
      <c r="AH711" s="11" t="str">
        <f aca="false">IF(A711="","",LEFT(AF711,AG711)&amp;REPT("0",4-AG711)&amp;RIGHT("000"&amp;IFERROR(VALUE(MID(AF711,AG711+1,9)),0),3)&amp;RIGHT("0000"&amp;IFERROR(VALUE(MID(A711,FIND("-",A711)+1,9)),0),4))</f>
        <v/>
      </c>
      <c r="AI711" s="11" t="str">
        <f aca="false">IF(OR(A711="",N(E711)&lt;=0),"",IF('FALTAS GERAL'!$M$1="Código","K"&amp;AH711&amp;RIGHT("00000"&amp;ROW(),5),IF('FALTAS GERAL'!$M$1="Nome","K"&amp;UPPER(SUBSTITUTE(SUBSTITUTE(SUBSTITUTE(B711,"*",""),"?",""),"~",""))&amp;"0"&amp;AH711&amp;RIGHT("00000"&amp;ROW(),5),IF('FALTAS GERAL'!$M$1="Falta (maior primeiro)","K"&amp;RIGHT("0000"&amp;(9999-E711),4)&amp;AH711&amp;RIGHT("00000"&amp;ROW(),5),IF('FALTAS GERAL'!$M$1="Nº de decks (maior primeiro)","K"&amp;RIGHT("00"&amp;(99-N(G711)),2)&amp;AH711&amp;RIGHT("00000"&amp;ROW(),5),"K"&amp;RIGHT("00000"&amp;ROW(),5))))))</f>
        <v/>
      </c>
      <c r="AJ711" s="11" t="str">
        <f aca="false">IF(AI711="","",COUNTIFS($AI$2:$AI$801,"&lt;"&amp;AI711,$E$2:$E$801,"&gt;0")+1)</f>
        <v/>
      </c>
      <c r="AK711" s="11" t="str">
        <f aca="false">IF(OR(A711="",N(E711)&lt;=0),"",COUNTIFS($AH$2:$AH$801,"&lt;"&amp;AH711,$E$2:$E$801,"&gt;0")+COUNTIFS($AH$2:AH711,AH711,$E$2:E711,"&gt;0"))</f>
        <v/>
      </c>
    </row>
    <row r="712" customFormat="false" ht="15" hidden="false" customHeight="false" outlineLevel="0" collapsed="false">
      <c r="A712" s="11" t="str">
        <f aca="false">IF(INVENTÁRIO!A712="","",INVENTÁRIO!A712)</f>
        <v/>
      </c>
      <c r="B712" s="11" t="str">
        <f aca="false">IF(A712="","",INVENTÁRIO!B712)</f>
        <v/>
      </c>
      <c r="C712" s="16" t="str">
        <f aca="false">IF(A712="","",INVENTÁRIO!C712)</f>
        <v/>
      </c>
      <c r="D712" s="14" t="str">
        <f aca="false">IF(A712="","",MAX(K712:AD712))</f>
        <v/>
      </c>
      <c r="E712" s="14" t="str">
        <f aca="false">IF(A712="","",MAX(0,D712-C712))</f>
        <v/>
      </c>
      <c r="F712" s="16" t="str">
        <f aca="false">IF(A712="","",IF(D712=0,"Fora dos decks",IF(E712=0,"Completo","Falta")))</f>
        <v/>
      </c>
      <c r="G712" s="16" t="str">
        <f aca="false">IF(A712="","",COUNTIF(K712:AD712,"&gt;0"))</f>
        <v/>
      </c>
      <c r="H712" s="16" t="str">
        <f aca="false">IF(A712="","",IF(G712&gt;1,"Sim",""))</f>
        <v/>
      </c>
      <c r="I712" s="18" t="str">
        <f aca="false">IF(A712="","",SUMIFS(DECKS!$D$2:$D$1201,DECKS!$B$2:$B$1201,A712))</f>
        <v/>
      </c>
      <c r="J712" s="18" t="str">
        <f aca="false">IF(A712="","",MAX(0,I712-C712))</f>
        <v/>
      </c>
      <c r="K712" s="19" t="str">
        <f aca="false">IF(OR($A712="",INDEX(_LEITURA!$Q$2:$Q$21,1)=0),"",SUMIFS(DECKS!$D$2:$D$1201,DECKS!$A$2:$A$1201,INDEX(_LEITURA!$P$2:$P$21,1),DECKS!$B$2:$B$1201,$A712))</f>
        <v/>
      </c>
      <c r="L712" s="19" t="str">
        <f aca="false">IF(OR($A712="",INDEX(_LEITURA!$Q$2:$Q$21,2)=0),"",SUMIFS(DECKS!$D$2:$D$1201,DECKS!$A$2:$A$1201,INDEX(_LEITURA!$P$2:$P$21,2),DECKS!$B$2:$B$1201,$A712))</f>
        <v/>
      </c>
      <c r="M712" s="19" t="str">
        <f aca="false">IF(OR($A712="",INDEX(_LEITURA!$Q$2:$Q$21,3)=0),"",SUMIFS(DECKS!$D$2:$D$1201,DECKS!$A$2:$A$1201,INDEX(_LEITURA!$P$2:$P$21,3),DECKS!$B$2:$B$1201,$A712))</f>
        <v/>
      </c>
      <c r="N712" s="19" t="str">
        <f aca="false">IF(OR($A712="",INDEX(_LEITURA!$Q$2:$Q$21,4)=0),"",SUMIFS(DECKS!$D$2:$D$1201,DECKS!$A$2:$A$1201,INDEX(_LEITURA!$P$2:$P$21,4),DECKS!$B$2:$B$1201,$A712))</f>
        <v/>
      </c>
      <c r="O712" s="19" t="str">
        <f aca="false">IF(OR($A712="",INDEX(_LEITURA!$Q$2:$Q$21,5)=0),"",SUMIFS(DECKS!$D$2:$D$1201,DECKS!$A$2:$A$1201,INDEX(_LEITURA!$P$2:$P$21,5),DECKS!$B$2:$B$1201,$A712))</f>
        <v/>
      </c>
      <c r="P712" s="19" t="str">
        <f aca="false">IF(OR($A712="",INDEX(_LEITURA!$Q$2:$Q$21,6)=0),"",SUMIFS(DECKS!$D$2:$D$1201,DECKS!$A$2:$A$1201,INDEX(_LEITURA!$P$2:$P$21,6),DECKS!$B$2:$B$1201,$A712))</f>
        <v/>
      </c>
      <c r="Q712" s="19" t="str">
        <f aca="false">IF(OR($A712="",INDEX(_LEITURA!$Q$2:$Q$21,7)=0),"",SUMIFS(DECKS!$D$2:$D$1201,DECKS!$A$2:$A$1201,INDEX(_LEITURA!$P$2:$P$21,7),DECKS!$B$2:$B$1201,$A712))</f>
        <v/>
      </c>
      <c r="R712" s="19" t="str">
        <f aca="false">IF(OR($A712="",INDEX(_LEITURA!$Q$2:$Q$21,8)=0),"",SUMIFS(DECKS!$D$2:$D$1201,DECKS!$A$2:$A$1201,INDEX(_LEITURA!$P$2:$P$21,8),DECKS!$B$2:$B$1201,$A712))</f>
        <v/>
      </c>
      <c r="S712" s="19" t="str">
        <f aca="false">IF(OR($A712="",INDEX(_LEITURA!$Q$2:$Q$21,9)=0),"",SUMIFS(DECKS!$D$2:$D$1201,DECKS!$A$2:$A$1201,INDEX(_LEITURA!$P$2:$P$21,9),DECKS!$B$2:$B$1201,$A712))</f>
        <v/>
      </c>
      <c r="T712" s="19" t="str">
        <f aca="false">IF(OR($A712="",INDEX(_LEITURA!$Q$2:$Q$21,10)=0),"",SUMIFS(DECKS!$D$2:$D$1201,DECKS!$A$2:$A$1201,INDEX(_LEITURA!$P$2:$P$21,10),DECKS!$B$2:$B$1201,$A712))</f>
        <v/>
      </c>
      <c r="U712" s="19" t="str">
        <f aca="false">IF(OR($A712="",INDEX(_LEITURA!$Q$2:$Q$21,11)=0),"",SUMIFS(DECKS!$D$2:$D$1201,DECKS!$A$2:$A$1201,INDEX(_LEITURA!$P$2:$P$21,11),DECKS!$B$2:$B$1201,$A712))</f>
        <v/>
      </c>
      <c r="V712" s="19" t="str">
        <f aca="false">IF(OR($A712="",INDEX(_LEITURA!$Q$2:$Q$21,12)=0),"",SUMIFS(DECKS!$D$2:$D$1201,DECKS!$A$2:$A$1201,INDEX(_LEITURA!$P$2:$P$21,12),DECKS!$B$2:$B$1201,$A712))</f>
        <v/>
      </c>
      <c r="W712" s="19" t="str">
        <f aca="false">IF(OR($A712="",INDEX(_LEITURA!$Q$2:$Q$21,13)=0),"",SUMIFS(DECKS!$D$2:$D$1201,DECKS!$A$2:$A$1201,INDEX(_LEITURA!$P$2:$P$21,13),DECKS!$B$2:$B$1201,$A712))</f>
        <v/>
      </c>
      <c r="X712" s="19" t="str">
        <f aca="false">IF(OR($A712="",INDEX(_LEITURA!$Q$2:$Q$21,14)=0),"",SUMIFS(DECKS!$D$2:$D$1201,DECKS!$A$2:$A$1201,INDEX(_LEITURA!$P$2:$P$21,14),DECKS!$B$2:$B$1201,$A712))</f>
        <v/>
      </c>
      <c r="Y712" s="19" t="str">
        <f aca="false">IF(OR($A712="",INDEX(_LEITURA!$Q$2:$Q$21,15)=0),"",SUMIFS(DECKS!$D$2:$D$1201,DECKS!$A$2:$A$1201,INDEX(_LEITURA!$P$2:$P$21,15),DECKS!$B$2:$B$1201,$A712))</f>
        <v/>
      </c>
      <c r="Z712" s="19" t="str">
        <f aca="false">IF(OR($A712="",INDEX(_LEITURA!$Q$2:$Q$21,16)=0),"",SUMIFS(DECKS!$D$2:$D$1201,DECKS!$A$2:$A$1201,INDEX(_LEITURA!$P$2:$P$21,16),DECKS!$B$2:$B$1201,$A712))</f>
        <v/>
      </c>
      <c r="AA712" s="19" t="str">
        <f aca="false">IF(OR($A712="",INDEX(_LEITURA!$Q$2:$Q$21,17)=0),"",SUMIFS(DECKS!$D$2:$D$1201,DECKS!$A$2:$A$1201,INDEX(_LEITURA!$P$2:$P$21,17),DECKS!$B$2:$B$1201,$A712))</f>
        <v/>
      </c>
      <c r="AB712" s="19" t="str">
        <f aca="false">IF(OR($A712="",INDEX(_LEITURA!$Q$2:$Q$21,18)=0),"",SUMIFS(DECKS!$D$2:$D$1201,DECKS!$A$2:$A$1201,INDEX(_LEITURA!$P$2:$P$21,18),DECKS!$B$2:$B$1201,$A712))</f>
        <v/>
      </c>
      <c r="AC712" s="19" t="str">
        <f aca="false">IF(OR($A712="",INDEX(_LEITURA!$Q$2:$Q$21,19)=0),"",SUMIFS(DECKS!$D$2:$D$1201,DECKS!$A$2:$A$1201,INDEX(_LEITURA!$P$2:$P$21,19),DECKS!$B$2:$B$1201,$A712))</f>
        <v/>
      </c>
      <c r="AD712" s="19" t="str">
        <f aca="false">IF(OR($A712="",INDEX(_LEITURA!$Q$2:$Q$21,20)=0),"",SUMIFS(DECKS!$D$2:$D$1201,DECKS!$A$2:$A$1201,INDEX(_LEITURA!$P$2:$P$21,20),DECKS!$B$2:$B$1201,$A712))</f>
        <v/>
      </c>
      <c r="AE712" s="16" t="str">
        <f aca="false">IF(N(E712)&gt;0,MAX(AE$1:AE711)+1,"")</f>
        <v/>
      </c>
      <c r="AF712" s="11" t="str">
        <f aca="false">IF(A712="","",IFERROR(LEFT(A712,FIND("-",A712)-1),A712))</f>
        <v/>
      </c>
      <c r="AG712" s="11" t="str">
        <f aca="false">IF(AF712="","",IF(ISNUMBER(--MID(AF712,1,1)),0,IF(ISNUMBER(--MID(AF712,2,1)),1,IF(ISNUMBER(--MID(AF712,3,1)),2,IF(ISNUMBER(--MID(AF712,4,1)),3,MIN(LEN(AF712),4))))))</f>
        <v/>
      </c>
      <c r="AH712" s="11" t="str">
        <f aca="false">IF(A712="","",LEFT(AF712,AG712)&amp;REPT("0",4-AG712)&amp;RIGHT("000"&amp;IFERROR(VALUE(MID(AF712,AG712+1,9)),0),3)&amp;RIGHT("0000"&amp;IFERROR(VALUE(MID(A712,FIND("-",A712)+1,9)),0),4))</f>
        <v/>
      </c>
      <c r="AI712" s="11" t="str">
        <f aca="false">IF(OR(A712="",N(E712)&lt;=0),"",IF('FALTAS GERAL'!$M$1="Código","K"&amp;AH712&amp;RIGHT("00000"&amp;ROW(),5),IF('FALTAS GERAL'!$M$1="Nome","K"&amp;UPPER(SUBSTITUTE(SUBSTITUTE(SUBSTITUTE(B712,"*",""),"?",""),"~",""))&amp;"0"&amp;AH712&amp;RIGHT("00000"&amp;ROW(),5),IF('FALTAS GERAL'!$M$1="Falta (maior primeiro)","K"&amp;RIGHT("0000"&amp;(9999-E712),4)&amp;AH712&amp;RIGHT("00000"&amp;ROW(),5),IF('FALTAS GERAL'!$M$1="Nº de decks (maior primeiro)","K"&amp;RIGHT("00"&amp;(99-N(G712)),2)&amp;AH712&amp;RIGHT("00000"&amp;ROW(),5),"K"&amp;RIGHT("00000"&amp;ROW(),5))))))</f>
        <v/>
      </c>
      <c r="AJ712" s="11" t="str">
        <f aca="false">IF(AI712="","",COUNTIFS($AI$2:$AI$801,"&lt;"&amp;AI712,$E$2:$E$801,"&gt;0")+1)</f>
        <v/>
      </c>
      <c r="AK712" s="11" t="str">
        <f aca="false">IF(OR(A712="",N(E712)&lt;=0),"",COUNTIFS($AH$2:$AH$801,"&lt;"&amp;AH712,$E$2:$E$801,"&gt;0")+COUNTIFS($AH$2:AH712,AH712,$E$2:E712,"&gt;0"))</f>
        <v/>
      </c>
    </row>
    <row r="713" customFormat="false" ht="15" hidden="false" customHeight="false" outlineLevel="0" collapsed="false">
      <c r="A713" s="11" t="str">
        <f aca="false">IF(INVENTÁRIO!A713="","",INVENTÁRIO!A713)</f>
        <v/>
      </c>
      <c r="B713" s="11" t="str">
        <f aca="false">IF(A713="","",INVENTÁRIO!B713)</f>
        <v/>
      </c>
      <c r="C713" s="16" t="str">
        <f aca="false">IF(A713="","",INVENTÁRIO!C713)</f>
        <v/>
      </c>
      <c r="D713" s="14" t="str">
        <f aca="false">IF(A713="","",MAX(K713:AD713))</f>
        <v/>
      </c>
      <c r="E713" s="14" t="str">
        <f aca="false">IF(A713="","",MAX(0,D713-C713))</f>
        <v/>
      </c>
      <c r="F713" s="16" t="str">
        <f aca="false">IF(A713="","",IF(D713=0,"Fora dos decks",IF(E713=0,"Completo","Falta")))</f>
        <v/>
      </c>
      <c r="G713" s="16" t="str">
        <f aca="false">IF(A713="","",COUNTIF(K713:AD713,"&gt;0"))</f>
        <v/>
      </c>
      <c r="H713" s="16" t="str">
        <f aca="false">IF(A713="","",IF(G713&gt;1,"Sim",""))</f>
        <v/>
      </c>
      <c r="I713" s="18" t="str">
        <f aca="false">IF(A713="","",SUMIFS(DECKS!$D$2:$D$1201,DECKS!$B$2:$B$1201,A713))</f>
        <v/>
      </c>
      <c r="J713" s="18" t="str">
        <f aca="false">IF(A713="","",MAX(0,I713-C713))</f>
        <v/>
      </c>
      <c r="K713" s="19" t="str">
        <f aca="false">IF(OR($A713="",INDEX(_LEITURA!$Q$2:$Q$21,1)=0),"",SUMIFS(DECKS!$D$2:$D$1201,DECKS!$A$2:$A$1201,INDEX(_LEITURA!$P$2:$P$21,1),DECKS!$B$2:$B$1201,$A713))</f>
        <v/>
      </c>
      <c r="L713" s="19" t="str">
        <f aca="false">IF(OR($A713="",INDEX(_LEITURA!$Q$2:$Q$21,2)=0),"",SUMIFS(DECKS!$D$2:$D$1201,DECKS!$A$2:$A$1201,INDEX(_LEITURA!$P$2:$P$21,2),DECKS!$B$2:$B$1201,$A713))</f>
        <v/>
      </c>
      <c r="M713" s="19" t="str">
        <f aca="false">IF(OR($A713="",INDEX(_LEITURA!$Q$2:$Q$21,3)=0),"",SUMIFS(DECKS!$D$2:$D$1201,DECKS!$A$2:$A$1201,INDEX(_LEITURA!$P$2:$P$21,3),DECKS!$B$2:$B$1201,$A713))</f>
        <v/>
      </c>
      <c r="N713" s="19" t="str">
        <f aca="false">IF(OR($A713="",INDEX(_LEITURA!$Q$2:$Q$21,4)=0),"",SUMIFS(DECKS!$D$2:$D$1201,DECKS!$A$2:$A$1201,INDEX(_LEITURA!$P$2:$P$21,4),DECKS!$B$2:$B$1201,$A713))</f>
        <v/>
      </c>
      <c r="O713" s="19" t="str">
        <f aca="false">IF(OR($A713="",INDEX(_LEITURA!$Q$2:$Q$21,5)=0),"",SUMIFS(DECKS!$D$2:$D$1201,DECKS!$A$2:$A$1201,INDEX(_LEITURA!$P$2:$P$21,5),DECKS!$B$2:$B$1201,$A713))</f>
        <v/>
      </c>
      <c r="P713" s="19" t="str">
        <f aca="false">IF(OR($A713="",INDEX(_LEITURA!$Q$2:$Q$21,6)=0),"",SUMIFS(DECKS!$D$2:$D$1201,DECKS!$A$2:$A$1201,INDEX(_LEITURA!$P$2:$P$21,6),DECKS!$B$2:$B$1201,$A713))</f>
        <v/>
      </c>
      <c r="Q713" s="19" t="str">
        <f aca="false">IF(OR($A713="",INDEX(_LEITURA!$Q$2:$Q$21,7)=0),"",SUMIFS(DECKS!$D$2:$D$1201,DECKS!$A$2:$A$1201,INDEX(_LEITURA!$P$2:$P$21,7),DECKS!$B$2:$B$1201,$A713))</f>
        <v/>
      </c>
      <c r="R713" s="19" t="str">
        <f aca="false">IF(OR($A713="",INDEX(_LEITURA!$Q$2:$Q$21,8)=0),"",SUMIFS(DECKS!$D$2:$D$1201,DECKS!$A$2:$A$1201,INDEX(_LEITURA!$P$2:$P$21,8),DECKS!$B$2:$B$1201,$A713))</f>
        <v/>
      </c>
      <c r="S713" s="19" t="str">
        <f aca="false">IF(OR($A713="",INDEX(_LEITURA!$Q$2:$Q$21,9)=0),"",SUMIFS(DECKS!$D$2:$D$1201,DECKS!$A$2:$A$1201,INDEX(_LEITURA!$P$2:$P$21,9),DECKS!$B$2:$B$1201,$A713))</f>
        <v/>
      </c>
      <c r="T713" s="19" t="str">
        <f aca="false">IF(OR($A713="",INDEX(_LEITURA!$Q$2:$Q$21,10)=0),"",SUMIFS(DECKS!$D$2:$D$1201,DECKS!$A$2:$A$1201,INDEX(_LEITURA!$P$2:$P$21,10),DECKS!$B$2:$B$1201,$A713))</f>
        <v/>
      </c>
      <c r="U713" s="19" t="str">
        <f aca="false">IF(OR($A713="",INDEX(_LEITURA!$Q$2:$Q$21,11)=0),"",SUMIFS(DECKS!$D$2:$D$1201,DECKS!$A$2:$A$1201,INDEX(_LEITURA!$P$2:$P$21,11),DECKS!$B$2:$B$1201,$A713))</f>
        <v/>
      </c>
      <c r="V713" s="19" t="str">
        <f aca="false">IF(OR($A713="",INDEX(_LEITURA!$Q$2:$Q$21,12)=0),"",SUMIFS(DECKS!$D$2:$D$1201,DECKS!$A$2:$A$1201,INDEX(_LEITURA!$P$2:$P$21,12),DECKS!$B$2:$B$1201,$A713))</f>
        <v/>
      </c>
      <c r="W713" s="19" t="str">
        <f aca="false">IF(OR($A713="",INDEX(_LEITURA!$Q$2:$Q$21,13)=0),"",SUMIFS(DECKS!$D$2:$D$1201,DECKS!$A$2:$A$1201,INDEX(_LEITURA!$P$2:$P$21,13),DECKS!$B$2:$B$1201,$A713))</f>
        <v/>
      </c>
      <c r="X713" s="19" t="str">
        <f aca="false">IF(OR($A713="",INDEX(_LEITURA!$Q$2:$Q$21,14)=0),"",SUMIFS(DECKS!$D$2:$D$1201,DECKS!$A$2:$A$1201,INDEX(_LEITURA!$P$2:$P$21,14),DECKS!$B$2:$B$1201,$A713))</f>
        <v/>
      </c>
      <c r="Y713" s="19" t="str">
        <f aca="false">IF(OR($A713="",INDEX(_LEITURA!$Q$2:$Q$21,15)=0),"",SUMIFS(DECKS!$D$2:$D$1201,DECKS!$A$2:$A$1201,INDEX(_LEITURA!$P$2:$P$21,15),DECKS!$B$2:$B$1201,$A713))</f>
        <v/>
      </c>
      <c r="Z713" s="19" t="str">
        <f aca="false">IF(OR($A713="",INDEX(_LEITURA!$Q$2:$Q$21,16)=0),"",SUMIFS(DECKS!$D$2:$D$1201,DECKS!$A$2:$A$1201,INDEX(_LEITURA!$P$2:$P$21,16),DECKS!$B$2:$B$1201,$A713))</f>
        <v/>
      </c>
      <c r="AA713" s="19" t="str">
        <f aca="false">IF(OR($A713="",INDEX(_LEITURA!$Q$2:$Q$21,17)=0),"",SUMIFS(DECKS!$D$2:$D$1201,DECKS!$A$2:$A$1201,INDEX(_LEITURA!$P$2:$P$21,17),DECKS!$B$2:$B$1201,$A713))</f>
        <v/>
      </c>
      <c r="AB713" s="19" t="str">
        <f aca="false">IF(OR($A713="",INDEX(_LEITURA!$Q$2:$Q$21,18)=0),"",SUMIFS(DECKS!$D$2:$D$1201,DECKS!$A$2:$A$1201,INDEX(_LEITURA!$P$2:$P$21,18),DECKS!$B$2:$B$1201,$A713))</f>
        <v/>
      </c>
      <c r="AC713" s="19" t="str">
        <f aca="false">IF(OR($A713="",INDEX(_LEITURA!$Q$2:$Q$21,19)=0),"",SUMIFS(DECKS!$D$2:$D$1201,DECKS!$A$2:$A$1201,INDEX(_LEITURA!$P$2:$P$21,19),DECKS!$B$2:$B$1201,$A713))</f>
        <v/>
      </c>
      <c r="AD713" s="19" t="str">
        <f aca="false">IF(OR($A713="",INDEX(_LEITURA!$Q$2:$Q$21,20)=0),"",SUMIFS(DECKS!$D$2:$D$1201,DECKS!$A$2:$A$1201,INDEX(_LEITURA!$P$2:$P$21,20),DECKS!$B$2:$B$1201,$A713))</f>
        <v/>
      </c>
      <c r="AE713" s="16" t="str">
        <f aca="false">IF(N(E713)&gt;0,MAX(AE$1:AE712)+1,"")</f>
        <v/>
      </c>
      <c r="AF713" s="11" t="str">
        <f aca="false">IF(A713="","",IFERROR(LEFT(A713,FIND("-",A713)-1),A713))</f>
        <v/>
      </c>
      <c r="AG713" s="11" t="str">
        <f aca="false">IF(AF713="","",IF(ISNUMBER(--MID(AF713,1,1)),0,IF(ISNUMBER(--MID(AF713,2,1)),1,IF(ISNUMBER(--MID(AF713,3,1)),2,IF(ISNUMBER(--MID(AF713,4,1)),3,MIN(LEN(AF713),4))))))</f>
        <v/>
      </c>
      <c r="AH713" s="11" t="str">
        <f aca="false">IF(A713="","",LEFT(AF713,AG713)&amp;REPT("0",4-AG713)&amp;RIGHT("000"&amp;IFERROR(VALUE(MID(AF713,AG713+1,9)),0),3)&amp;RIGHT("0000"&amp;IFERROR(VALUE(MID(A713,FIND("-",A713)+1,9)),0),4))</f>
        <v/>
      </c>
      <c r="AI713" s="11" t="str">
        <f aca="false">IF(OR(A713="",N(E713)&lt;=0),"",IF('FALTAS GERAL'!$M$1="Código","K"&amp;AH713&amp;RIGHT("00000"&amp;ROW(),5),IF('FALTAS GERAL'!$M$1="Nome","K"&amp;UPPER(SUBSTITUTE(SUBSTITUTE(SUBSTITUTE(B713,"*",""),"?",""),"~",""))&amp;"0"&amp;AH713&amp;RIGHT("00000"&amp;ROW(),5),IF('FALTAS GERAL'!$M$1="Falta (maior primeiro)","K"&amp;RIGHT("0000"&amp;(9999-E713),4)&amp;AH713&amp;RIGHT("00000"&amp;ROW(),5),IF('FALTAS GERAL'!$M$1="Nº de decks (maior primeiro)","K"&amp;RIGHT("00"&amp;(99-N(G713)),2)&amp;AH713&amp;RIGHT("00000"&amp;ROW(),5),"K"&amp;RIGHT("00000"&amp;ROW(),5))))))</f>
        <v/>
      </c>
      <c r="AJ713" s="11" t="str">
        <f aca="false">IF(AI713="","",COUNTIFS($AI$2:$AI$801,"&lt;"&amp;AI713,$E$2:$E$801,"&gt;0")+1)</f>
        <v/>
      </c>
      <c r="AK713" s="11" t="str">
        <f aca="false">IF(OR(A713="",N(E713)&lt;=0),"",COUNTIFS($AH$2:$AH$801,"&lt;"&amp;AH713,$E$2:$E$801,"&gt;0")+COUNTIFS($AH$2:AH713,AH713,$E$2:E713,"&gt;0"))</f>
        <v/>
      </c>
    </row>
    <row r="714" customFormat="false" ht="15" hidden="false" customHeight="false" outlineLevel="0" collapsed="false">
      <c r="A714" s="11" t="str">
        <f aca="false">IF(INVENTÁRIO!A714="","",INVENTÁRIO!A714)</f>
        <v/>
      </c>
      <c r="B714" s="11" t="str">
        <f aca="false">IF(A714="","",INVENTÁRIO!B714)</f>
        <v/>
      </c>
      <c r="C714" s="16" t="str">
        <f aca="false">IF(A714="","",INVENTÁRIO!C714)</f>
        <v/>
      </c>
      <c r="D714" s="14" t="str">
        <f aca="false">IF(A714="","",MAX(K714:AD714))</f>
        <v/>
      </c>
      <c r="E714" s="14" t="str">
        <f aca="false">IF(A714="","",MAX(0,D714-C714))</f>
        <v/>
      </c>
      <c r="F714" s="16" t="str">
        <f aca="false">IF(A714="","",IF(D714=0,"Fora dos decks",IF(E714=0,"Completo","Falta")))</f>
        <v/>
      </c>
      <c r="G714" s="16" t="str">
        <f aca="false">IF(A714="","",COUNTIF(K714:AD714,"&gt;0"))</f>
        <v/>
      </c>
      <c r="H714" s="16" t="str">
        <f aca="false">IF(A714="","",IF(G714&gt;1,"Sim",""))</f>
        <v/>
      </c>
      <c r="I714" s="18" t="str">
        <f aca="false">IF(A714="","",SUMIFS(DECKS!$D$2:$D$1201,DECKS!$B$2:$B$1201,A714))</f>
        <v/>
      </c>
      <c r="J714" s="18" t="str">
        <f aca="false">IF(A714="","",MAX(0,I714-C714))</f>
        <v/>
      </c>
      <c r="K714" s="19" t="str">
        <f aca="false">IF(OR($A714="",INDEX(_LEITURA!$Q$2:$Q$21,1)=0),"",SUMIFS(DECKS!$D$2:$D$1201,DECKS!$A$2:$A$1201,INDEX(_LEITURA!$P$2:$P$21,1),DECKS!$B$2:$B$1201,$A714))</f>
        <v/>
      </c>
      <c r="L714" s="19" t="str">
        <f aca="false">IF(OR($A714="",INDEX(_LEITURA!$Q$2:$Q$21,2)=0),"",SUMIFS(DECKS!$D$2:$D$1201,DECKS!$A$2:$A$1201,INDEX(_LEITURA!$P$2:$P$21,2),DECKS!$B$2:$B$1201,$A714))</f>
        <v/>
      </c>
      <c r="M714" s="19" t="str">
        <f aca="false">IF(OR($A714="",INDEX(_LEITURA!$Q$2:$Q$21,3)=0),"",SUMIFS(DECKS!$D$2:$D$1201,DECKS!$A$2:$A$1201,INDEX(_LEITURA!$P$2:$P$21,3),DECKS!$B$2:$B$1201,$A714))</f>
        <v/>
      </c>
      <c r="N714" s="19" t="str">
        <f aca="false">IF(OR($A714="",INDEX(_LEITURA!$Q$2:$Q$21,4)=0),"",SUMIFS(DECKS!$D$2:$D$1201,DECKS!$A$2:$A$1201,INDEX(_LEITURA!$P$2:$P$21,4),DECKS!$B$2:$B$1201,$A714))</f>
        <v/>
      </c>
      <c r="O714" s="19" t="str">
        <f aca="false">IF(OR($A714="",INDEX(_LEITURA!$Q$2:$Q$21,5)=0),"",SUMIFS(DECKS!$D$2:$D$1201,DECKS!$A$2:$A$1201,INDEX(_LEITURA!$P$2:$P$21,5),DECKS!$B$2:$B$1201,$A714))</f>
        <v/>
      </c>
      <c r="P714" s="19" t="str">
        <f aca="false">IF(OR($A714="",INDEX(_LEITURA!$Q$2:$Q$21,6)=0),"",SUMIFS(DECKS!$D$2:$D$1201,DECKS!$A$2:$A$1201,INDEX(_LEITURA!$P$2:$P$21,6),DECKS!$B$2:$B$1201,$A714))</f>
        <v/>
      </c>
      <c r="Q714" s="19" t="str">
        <f aca="false">IF(OR($A714="",INDEX(_LEITURA!$Q$2:$Q$21,7)=0),"",SUMIFS(DECKS!$D$2:$D$1201,DECKS!$A$2:$A$1201,INDEX(_LEITURA!$P$2:$P$21,7),DECKS!$B$2:$B$1201,$A714))</f>
        <v/>
      </c>
      <c r="R714" s="19" t="str">
        <f aca="false">IF(OR($A714="",INDEX(_LEITURA!$Q$2:$Q$21,8)=0),"",SUMIFS(DECKS!$D$2:$D$1201,DECKS!$A$2:$A$1201,INDEX(_LEITURA!$P$2:$P$21,8),DECKS!$B$2:$B$1201,$A714))</f>
        <v/>
      </c>
      <c r="S714" s="19" t="str">
        <f aca="false">IF(OR($A714="",INDEX(_LEITURA!$Q$2:$Q$21,9)=0),"",SUMIFS(DECKS!$D$2:$D$1201,DECKS!$A$2:$A$1201,INDEX(_LEITURA!$P$2:$P$21,9),DECKS!$B$2:$B$1201,$A714))</f>
        <v/>
      </c>
      <c r="T714" s="19" t="str">
        <f aca="false">IF(OR($A714="",INDEX(_LEITURA!$Q$2:$Q$21,10)=0),"",SUMIFS(DECKS!$D$2:$D$1201,DECKS!$A$2:$A$1201,INDEX(_LEITURA!$P$2:$P$21,10),DECKS!$B$2:$B$1201,$A714))</f>
        <v/>
      </c>
      <c r="U714" s="19" t="str">
        <f aca="false">IF(OR($A714="",INDEX(_LEITURA!$Q$2:$Q$21,11)=0),"",SUMIFS(DECKS!$D$2:$D$1201,DECKS!$A$2:$A$1201,INDEX(_LEITURA!$P$2:$P$21,11),DECKS!$B$2:$B$1201,$A714))</f>
        <v/>
      </c>
      <c r="V714" s="19" t="str">
        <f aca="false">IF(OR($A714="",INDEX(_LEITURA!$Q$2:$Q$21,12)=0),"",SUMIFS(DECKS!$D$2:$D$1201,DECKS!$A$2:$A$1201,INDEX(_LEITURA!$P$2:$P$21,12),DECKS!$B$2:$B$1201,$A714))</f>
        <v/>
      </c>
      <c r="W714" s="19" t="str">
        <f aca="false">IF(OR($A714="",INDEX(_LEITURA!$Q$2:$Q$21,13)=0),"",SUMIFS(DECKS!$D$2:$D$1201,DECKS!$A$2:$A$1201,INDEX(_LEITURA!$P$2:$P$21,13),DECKS!$B$2:$B$1201,$A714))</f>
        <v/>
      </c>
      <c r="X714" s="19" t="str">
        <f aca="false">IF(OR($A714="",INDEX(_LEITURA!$Q$2:$Q$21,14)=0),"",SUMIFS(DECKS!$D$2:$D$1201,DECKS!$A$2:$A$1201,INDEX(_LEITURA!$P$2:$P$21,14),DECKS!$B$2:$B$1201,$A714))</f>
        <v/>
      </c>
      <c r="Y714" s="19" t="str">
        <f aca="false">IF(OR($A714="",INDEX(_LEITURA!$Q$2:$Q$21,15)=0),"",SUMIFS(DECKS!$D$2:$D$1201,DECKS!$A$2:$A$1201,INDEX(_LEITURA!$P$2:$P$21,15),DECKS!$B$2:$B$1201,$A714))</f>
        <v/>
      </c>
      <c r="Z714" s="19" t="str">
        <f aca="false">IF(OR($A714="",INDEX(_LEITURA!$Q$2:$Q$21,16)=0),"",SUMIFS(DECKS!$D$2:$D$1201,DECKS!$A$2:$A$1201,INDEX(_LEITURA!$P$2:$P$21,16),DECKS!$B$2:$B$1201,$A714))</f>
        <v/>
      </c>
      <c r="AA714" s="19" t="str">
        <f aca="false">IF(OR($A714="",INDEX(_LEITURA!$Q$2:$Q$21,17)=0),"",SUMIFS(DECKS!$D$2:$D$1201,DECKS!$A$2:$A$1201,INDEX(_LEITURA!$P$2:$P$21,17),DECKS!$B$2:$B$1201,$A714))</f>
        <v/>
      </c>
      <c r="AB714" s="19" t="str">
        <f aca="false">IF(OR($A714="",INDEX(_LEITURA!$Q$2:$Q$21,18)=0),"",SUMIFS(DECKS!$D$2:$D$1201,DECKS!$A$2:$A$1201,INDEX(_LEITURA!$P$2:$P$21,18),DECKS!$B$2:$B$1201,$A714))</f>
        <v/>
      </c>
      <c r="AC714" s="19" t="str">
        <f aca="false">IF(OR($A714="",INDEX(_LEITURA!$Q$2:$Q$21,19)=0),"",SUMIFS(DECKS!$D$2:$D$1201,DECKS!$A$2:$A$1201,INDEX(_LEITURA!$P$2:$P$21,19),DECKS!$B$2:$B$1201,$A714))</f>
        <v/>
      </c>
      <c r="AD714" s="19" t="str">
        <f aca="false">IF(OR($A714="",INDEX(_LEITURA!$Q$2:$Q$21,20)=0),"",SUMIFS(DECKS!$D$2:$D$1201,DECKS!$A$2:$A$1201,INDEX(_LEITURA!$P$2:$P$21,20),DECKS!$B$2:$B$1201,$A714))</f>
        <v/>
      </c>
      <c r="AE714" s="16" t="str">
        <f aca="false">IF(N(E714)&gt;0,MAX(AE$1:AE713)+1,"")</f>
        <v/>
      </c>
      <c r="AF714" s="11" t="str">
        <f aca="false">IF(A714="","",IFERROR(LEFT(A714,FIND("-",A714)-1),A714))</f>
        <v/>
      </c>
      <c r="AG714" s="11" t="str">
        <f aca="false">IF(AF714="","",IF(ISNUMBER(--MID(AF714,1,1)),0,IF(ISNUMBER(--MID(AF714,2,1)),1,IF(ISNUMBER(--MID(AF714,3,1)),2,IF(ISNUMBER(--MID(AF714,4,1)),3,MIN(LEN(AF714),4))))))</f>
        <v/>
      </c>
      <c r="AH714" s="11" t="str">
        <f aca="false">IF(A714="","",LEFT(AF714,AG714)&amp;REPT("0",4-AG714)&amp;RIGHT("000"&amp;IFERROR(VALUE(MID(AF714,AG714+1,9)),0),3)&amp;RIGHT("0000"&amp;IFERROR(VALUE(MID(A714,FIND("-",A714)+1,9)),0),4))</f>
        <v/>
      </c>
      <c r="AI714" s="11" t="str">
        <f aca="false">IF(OR(A714="",N(E714)&lt;=0),"",IF('FALTAS GERAL'!$M$1="Código","K"&amp;AH714&amp;RIGHT("00000"&amp;ROW(),5),IF('FALTAS GERAL'!$M$1="Nome","K"&amp;UPPER(SUBSTITUTE(SUBSTITUTE(SUBSTITUTE(B714,"*",""),"?",""),"~",""))&amp;"0"&amp;AH714&amp;RIGHT("00000"&amp;ROW(),5),IF('FALTAS GERAL'!$M$1="Falta (maior primeiro)","K"&amp;RIGHT("0000"&amp;(9999-E714),4)&amp;AH714&amp;RIGHT("00000"&amp;ROW(),5),IF('FALTAS GERAL'!$M$1="Nº de decks (maior primeiro)","K"&amp;RIGHT("00"&amp;(99-N(G714)),2)&amp;AH714&amp;RIGHT("00000"&amp;ROW(),5),"K"&amp;RIGHT("00000"&amp;ROW(),5))))))</f>
        <v/>
      </c>
      <c r="AJ714" s="11" t="str">
        <f aca="false">IF(AI714="","",COUNTIFS($AI$2:$AI$801,"&lt;"&amp;AI714,$E$2:$E$801,"&gt;0")+1)</f>
        <v/>
      </c>
      <c r="AK714" s="11" t="str">
        <f aca="false">IF(OR(A714="",N(E714)&lt;=0),"",COUNTIFS($AH$2:$AH$801,"&lt;"&amp;AH714,$E$2:$E$801,"&gt;0")+COUNTIFS($AH$2:AH714,AH714,$E$2:E714,"&gt;0"))</f>
        <v/>
      </c>
    </row>
    <row r="715" customFormat="false" ht="15" hidden="false" customHeight="false" outlineLevel="0" collapsed="false">
      <c r="A715" s="11" t="str">
        <f aca="false">IF(INVENTÁRIO!A715="","",INVENTÁRIO!A715)</f>
        <v/>
      </c>
      <c r="B715" s="11" t="str">
        <f aca="false">IF(A715="","",INVENTÁRIO!B715)</f>
        <v/>
      </c>
      <c r="C715" s="16" t="str">
        <f aca="false">IF(A715="","",INVENTÁRIO!C715)</f>
        <v/>
      </c>
      <c r="D715" s="14" t="str">
        <f aca="false">IF(A715="","",MAX(K715:AD715))</f>
        <v/>
      </c>
      <c r="E715" s="14" t="str">
        <f aca="false">IF(A715="","",MAX(0,D715-C715))</f>
        <v/>
      </c>
      <c r="F715" s="16" t="str">
        <f aca="false">IF(A715="","",IF(D715=0,"Fora dos decks",IF(E715=0,"Completo","Falta")))</f>
        <v/>
      </c>
      <c r="G715" s="16" t="str">
        <f aca="false">IF(A715="","",COUNTIF(K715:AD715,"&gt;0"))</f>
        <v/>
      </c>
      <c r="H715" s="16" t="str">
        <f aca="false">IF(A715="","",IF(G715&gt;1,"Sim",""))</f>
        <v/>
      </c>
      <c r="I715" s="18" t="str">
        <f aca="false">IF(A715="","",SUMIFS(DECKS!$D$2:$D$1201,DECKS!$B$2:$B$1201,A715))</f>
        <v/>
      </c>
      <c r="J715" s="18" t="str">
        <f aca="false">IF(A715="","",MAX(0,I715-C715))</f>
        <v/>
      </c>
      <c r="K715" s="19" t="str">
        <f aca="false">IF(OR($A715="",INDEX(_LEITURA!$Q$2:$Q$21,1)=0),"",SUMIFS(DECKS!$D$2:$D$1201,DECKS!$A$2:$A$1201,INDEX(_LEITURA!$P$2:$P$21,1),DECKS!$B$2:$B$1201,$A715))</f>
        <v/>
      </c>
      <c r="L715" s="19" t="str">
        <f aca="false">IF(OR($A715="",INDEX(_LEITURA!$Q$2:$Q$21,2)=0),"",SUMIFS(DECKS!$D$2:$D$1201,DECKS!$A$2:$A$1201,INDEX(_LEITURA!$P$2:$P$21,2),DECKS!$B$2:$B$1201,$A715))</f>
        <v/>
      </c>
      <c r="M715" s="19" t="str">
        <f aca="false">IF(OR($A715="",INDEX(_LEITURA!$Q$2:$Q$21,3)=0),"",SUMIFS(DECKS!$D$2:$D$1201,DECKS!$A$2:$A$1201,INDEX(_LEITURA!$P$2:$P$21,3),DECKS!$B$2:$B$1201,$A715))</f>
        <v/>
      </c>
      <c r="N715" s="19" t="str">
        <f aca="false">IF(OR($A715="",INDEX(_LEITURA!$Q$2:$Q$21,4)=0),"",SUMIFS(DECKS!$D$2:$D$1201,DECKS!$A$2:$A$1201,INDEX(_LEITURA!$P$2:$P$21,4),DECKS!$B$2:$B$1201,$A715))</f>
        <v/>
      </c>
      <c r="O715" s="19" t="str">
        <f aca="false">IF(OR($A715="",INDEX(_LEITURA!$Q$2:$Q$21,5)=0),"",SUMIFS(DECKS!$D$2:$D$1201,DECKS!$A$2:$A$1201,INDEX(_LEITURA!$P$2:$P$21,5),DECKS!$B$2:$B$1201,$A715))</f>
        <v/>
      </c>
      <c r="P715" s="19" t="str">
        <f aca="false">IF(OR($A715="",INDEX(_LEITURA!$Q$2:$Q$21,6)=0),"",SUMIFS(DECKS!$D$2:$D$1201,DECKS!$A$2:$A$1201,INDEX(_LEITURA!$P$2:$P$21,6),DECKS!$B$2:$B$1201,$A715))</f>
        <v/>
      </c>
      <c r="Q715" s="19" t="str">
        <f aca="false">IF(OR($A715="",INDEX(_LEITURA!$Q$2:$Q$21,7)=0),"",SUMIFS(DECKS!$D$2:$D$1201,DECKS!$A$2:$A$1201,INDEX(_LEITURA!$P$2:$P$21,7),DECKS!$B$2:$B$1201,$A715))</f>
        <v/>
      </c>
      <c r="R715" s="19" t="str">
        <f aca="false">IF(OR($A715="",INDEX(_LEITURA!$Q$2:$Q$21,8)=0),"",SUMIFS(DECKS!$D$2:$D$1201,DECKS!$A$2:$A$1201,INDEX(_LEITURA!$P$2:$P$21,8),DECKS!$B$2:$B$1201,$A715))</f>
        <v/>
      </c>
      <c r="S715" s="19" t="str">
        <f aca="false">IF(OR($A715="",INDEX(_LEITURA!$Q$2:$Q$21,9)=0),"",SUMIFS(DECKS!$D$2:$D$1201,DECKS!$A$2:$A$1201,INDEX(_LEITURA!$P$2:$P$21,9),DECKS!$B$2:$B$1201,$A715))</f>
        <v/>
      </c>
      <c r="T715" s="19" t="str">
        <f aca="false">IF(OR($A715="",INDEX(_LEITURA!$Q$2:$Q$21,10)=0),"",SUMIFS(DECKS!$D$2:$D$1201,DECKS!$A$2:$A$1201,INDEX(_LEITURA!$P$2:$P$21,10),DECKS!$B$2:$B$1201,$A715))</f>
        <v/>
      </c>
      <c r="U715" s="19" t="str">
        <f aca="false">IF(OR($A715="",INDEX(_LEITURA!$Q$2:$Q$21,11)=0),"",SUMIFS(DECKS!$D$2:$D$1201,DECKS!$A$2:$A$1201,INDEX(_LEITURA!$P$2:$P$21,11),DECKS!$B$2:$B$1201,$A715))</f>
        <v/>
      </c>
      <c r="V715" s="19" t="str">
        <f aca="false">IF(OR($A715="",INDEX(_LEITURA!$Q$2:$Q$21,12)=0),"",SUMIFS(DECKS!$D$2:$D$1201,DECKS!$A$2:$A$1201,INDEX(_LEITURA!$P$2:$P$21,12),DECKS!$B$2:$B$1201,$A715))</f>
        <v/>
      </c>
      <c r="W715" s="19" t="str">
        <f aca="false">IF(OR($A715="",INDEX(_LEITURA!$Q$2:$Q$21,13)=0),"",SUMIFS(DECKS!$D$2:$D$1201,DECKS!$A$2:$A$1201,INDEX(_LEITURA!$P$2:$P$21,13),DECKS!$B$2:$B$1201,$A715))</f>
        <v/>
      </c>
      <c r="X715" s="19" t="str">
        <f aca="false">IF(OR($A715="",INDEX(_LEITURA!$Q$2:$Q$21,14)=0),"",SUMIFS(DECKS!$D$2:$D$1201,DECKS!$A$2:$A$1201,INDEX(_LEITURA!$P$2:$P$21,14),DECKS!$B$2:$B$1201,$A715))</f>
        <v/>
      </c>
      <c r="Y715" s="19" t="str">
        <f aca="false">IF(OR($A715="",INDEX(_LEITURA!$Q$2:$Q$21,15)=0),"",SUMIFS(DECKS!$D$2:$D$1201,DECKS!$A$2:$A$1201,INDEX(_LEITURA!$P$2:$P$21,15),DECKS!$B$2:$B$1201,$A715))</f>
        <v/>
      </c>
      <c r="Z715" s="19" t="str">
        <f aca="false">IF(OR($A715="",INDEX(_LEITURA!$Q$2:$Q$21,16)=0),"",SUMIFS(DECKS!$D$2:$D$1201,DECKS!$A$2:$A$1201,INDEX(_LEITURA!$P$2:$P$21,16),DECKS!$B$2:$B$1201,$A715))</f>
        <v/>
      </c>
      <c r="AA715" s="19" t="str">
        <f aca="false">IF(OR($A715="",INDEX(_LEITURA!$Q$2:$Q$21,17)=0),"",SUMIFS(DECKS!$D$2:$D$1201,DECKS!$A$2:$A$1201,INDEX(_LEITURA!$P$2:$P$21,17),DECKS!$B$2:$B$1201,$A715))</f>
        <v/>
      </c>
      <c r="AB715" s="19" t="str">
        <f aca="false">IF(OR($A715="",INDEX(_LEITURA!$Q$2:$Q$21,18)=0),"",SUMIFS(DECKS!$D$2:$D$1201,DECKS!$A$2:$A$1201,INDEX(_LEITURA!$P$2:$P$21,18),DECKS!$B$2:$B$1201,$A715))</f>
        <v/>
      </c>
      <c r="AC715" s="19" t="str">
        <f aca="false">IF(OR($A715="",INDEX(_LEITURA!$Q$2:$Q$21,19)=0),"",SUMIFS(DECKS!$D$2:$D$1201,DECKS!$A$2:$A$1201,INDEX(_LEITURA!$P$2:$P$21,19),DECKS!$B$2:$B$1201,$A715))</f>
        <v/>
      </c>
      <c r="AD715" s="19" t="str">
        <f aca="false">IF(OR($A715="",INDEX(_LEITURA!$Q$2:$Q$21,20)=0),"",SUMIFS(DECKS!$D$2:$D$1201,DECKS!$A$2:$A$1201,INDEX(_LEITURA!$P$2:$P$21,20),DECKS!$B$2:$B$1201,$A715))</f>
        <v/>
      </c>
      <c r="AE715" s="16" t="str">
        <f aca="false">IF(N(E715)&gt;0,MAX(AE$1:AE714)+1,"")</f>
        <v/>
      </c>
      <c r="AF715" s="11" t="str">
        <f aca="false">IF(A715="","",IFERROR(LEFT(A715,FIND("-",A715)-1),A715))</f>
        <v/>
      </c>
      <c r="AG715" s="11" t="str">
        <f aca="false">IF(AF715="","",IF(ISNUMBER(--MID(AF715,1,1)),0,IF(ISNUMBER(--MID(AF715,2,1)),1,IF(ISNUMBER(--MID(AF715,3,1)),2,IF(ISNUMBER(--MID(AF715,4,1)),3,MIN(LEN(AF715),4))))))</f>
        <v/>
      </c>
      <c r="AH715" s="11" t="str">
        <f aca="false">IF(A715="","",LEFT(AF715,AG715)&amp;REPT("0",4-AG715)&amp;RIGHT("000"&amp;IFERROR(VALUE(MID(AF715,AG715+1,9)),0),3)&amp;RIGHT("0000"&amp;IFERROR(VALUE(MID(A715,FIND("-",A715)+1,9)),0),4))</f>
        <v/>
      </c>
      <c r="AI715" s="11" t="str">
        <f aca="false">IF(OR(A715="",N(E715)&lt;=0),"",IF('FALTAS GERAL'!$M$1="Código","K"&amp;AH715&amp;RIGHT("00000"&amp;ROW(),5),IF('FALTAS GERAL'!$M$1="Nome","K"&amp;UPPER(SUBSTITUTE(SUBSTITUTE(SUBSTITUTE(B715,"*",""),"?",""),"~",""))&amp;"0"&amp;AH715&amp;RIGHT("00000"&amp;ROW(),5),IF('FALTAS GERAL'!$M$1="Falta (maior primeiro)","K"&amp;RIGHT("0000"&amp;(9999-E715),4)&amp;AH715&amp;RIGHT("00000"&amp;ROW(),5),IF('FALTAS GERAL'!$M$1="Nº de decks (maior primeiro)","K"&amp;RIGHT("00"&amp;(99-N(G715)),2)&amp;AH715&amp;RIGHT("00000"&amp;ROW(),5),"K"&amp;RIGHT("00000"&amp;ROW(),5))))))</f>
        <v/>
      </c>
      <c r="AJ715" s="11" t="str">
        <f aca="false">IF(AI715="","",COUNTIFS($AI$2:$AI$801,"&lt;"&amp;AI715,$E$2:$E$801,"&gt;0")+1)</f>
        <v/>
      </c>
      <c r="AK715" s="11" t="str">
        <f aca="false">IF(OR(A715="",N(E715)&lt;=0),"",COUNTIFS($AH$2:$AH$801,"&lt;"&amp;AH715,$E$2:$E$801,"&gt;0")+COUNTIFS($AH$2:AH715,AH715,$E$2:E715,"&gt;0"))</f>
        <v/>
      </c>
    </row>
    <row r="716" customFormat="false" ht="15" hidden="false" customHeight="false" outlineLevel="0" collapsed="false">
      <c r="A716" s="11" t="str">
        <f aca="false">IF(INVENTÁRIO!A716="","",INVENTÁRIO!A716)</f>
        <v/>
      </c>
      <c r="B716" s="11" t="str">
        <f aca="false">IF(A716="","",INVENTÁRIO!B716)</f>
        <v/>
      </c>
      <c r="C716" s="16" t="str">
        <f aca="false">IF(A716="","",INVENTÁRIO!C716)</f>
        <v/>
      </c>
      <c r="D716" s="14" t="str">
        <f aca="false">IF(A716="","",MAX(K716:AD716))</f>
        <v/>
      </c>
      <c r="E716" s="14" t="str">
        <f aca="false">IF(A716="","",MAX(0,D716-C716))</f>
        <v/>
      </c>
      <c r="F716" s="16" t="str">
        <f aca="false">IF(A716="","",IF(D716=0,"Fora dos decks",IF(E716=0,"Completo","Falta")))</f>
        <v/>
      </c>
      <c r="G716" s="16" t="str">
        <f aca="false">IF(A716="","",COUNTIF(K716:AD716,"&gt;0"))</f>
        <v/>
      </c>
      <c r="H716" s="16" t="str">
        <f aca="false">IF(A716="","",IF(G716&gt;1,"Sim",""))</f>
        <v/>
      </c>
      <c r="I716" s="18" t="str">
        <f aca="false">IF(A716="","",SUMIFS(DECKS!$D$2:$D$1201,DECKS!$B$2:$B$1201,A716))</f>
        <v/>
      </c>
      <c r="J716" s="18" t="str">
        <f aca="false">IF(A716="","",MAX(0,I716-C716))</f>
        <v/>
      </c>
      <c r="K716" s="19" t="str">
        <f aca="false">IF(OR($A716="",INDEX(_LEITURA!$Q$2:$Q$21,1)=0),"",SUMIFS(DECKS!$D$2:$D$1201,DECKS!$A$2:$A$1201,INDEX(_LEITURA!$P$2:$P$21,1),DECKS!$B$2:$B$1201,$A716))</f>
        <v/>
      </c>
      <c r="L716" s="19" t="str">
        <f aca="false">IF(OR($A716="",INDEX(_LEITURA!$Q$2:$Q$21,2)=0),"",SUMIFS(DECKS!$D$2:$D$1201,DECKS!$A$2:$A$1201,INDEX(_LEITURA!$P$2:$P$21,2),DECKS!$B$2:$B$1201,$A716))</f>
        <v/>
      </c>
      <c r="M716" s="19" t="str">
        <f aca="false">IF(OR($A716="",INDEX(_LEITURA!$Q$2:$Q$21,3)=0),"",SUMIFS(DECKS!$D$2:$D$1201,DECKS!$A$2:$A$1201,INDEX(_LEITURA!$P$2:$P$21,3),DECKS!$B$2:$B$1201,$A716))</f>
        <v/>
      </c>
      <c r="N716" s="19" t="str">
        <f aca="false">IF(OR($A716="",INDEX(_LEITURA!$Q$2:$Q$21,4)=0),"",SUMIFS(DECKS!$D$2:$D$1201,DECKS!$A$2:$A$1201,INDEX(_LEITURA!$P$2:$P$21,4),DECKS!$B$2:$B$1201,$A716))</f>
        <v/>
      </c>
      <c r="O716" s="19" t="str">
        <f aca="false">IF(OR($A716="",INDEX(_LEITURA!$Q$2:$Q$21,5)=0),"",SUMIFS(DECKS!$D$2:$D$1201,DECKS!$A$2:$A$1201,INDEX(_LEITURA!$P$2:$P$21,5),DECKS!$B$2:$B$1201,$A716))</f>
        <v/>
      </c>
      <c r="P716" s="19" t="str">
        <f aca="false">IF(OR($A716="",INDEX(_LEITURA!$Q$2:$Q$21,6)=0),"",SUMIFS(DECKS!$D$2:$D$1201,DECKS!$A$2:$A$1201,INDEX(_LEITURA!$P$2:$P$21,6),DECKS!$B$2:$B$1201,$A716))</f>
        <v/>
      </c>
      <c r="Q716" s="19" t="str">
        <f aca="false">IF(OR($A716="",INDEX(_LEITURA!$Q$2:$Q$21,7)=0),"",SUMIFS(DECKS!$D$2:$D$1201,DECKS!$A$2:$A$1201,INDEX(_LEITURA!$P$2:$P$21,7),DECKS!$B$2:$B$1201,$A716))</f>
        <v/>
      </c>
      <c r="R716" s="19" t="str">
        <f aca="false">IF(OR($A716="",INDEX(_LEITURA!$Q$2:$Q$21,8)=0),"",SUMIFS(DECKS!$D$2:$D$1201,DECKS!$A$2:$A$1201,INDEX(_LEITURA!$P$2:$P$21,8),DECKS!$B$2:$B$1201,$A716))</f>
        <v/>
      </c>
      <c r="S716" s="19" t="str">
        <f aca="false">IF(OR($A716="",INDEX(_LEITURA!$Q$2:$Q$21,9)=0),"",SUMIFS(DECKS!$D$2:$D$1201,DECKS!$A$2:$A$1201,INDEX(_LEITURA!$P$2:$P$21,9),DECKS!$B$2:$B$1201,$A716))</f>
        <v/>
      </c>
      <c r="T716" s="19" t="str">
        <f aca="false">IF(OR($A716="",INDEX(_LEITURA!$Q$2:$Q$21,10)=0),"",SUMIFS(DECKS!$D$2:$D$1201,DECKS!$A$2:$A$1201,INDEX(_LEITURA!$P$2:$P$21,10),DECKS!$B$2:$B$1201,$A716))</f>
        <v/>
      </c>
      <c r="U716" s="19" t="str">
        <f aca="false">IF(OR($A716="",INDEX(_LEITURA!$Q$2:$Q$21,11)=0),"",SUMIFS(DECKS!$D$2:$D$1201,DECKS!$A$2:$A$1201,INDEX(_LEITURA!$P$2:$P$21,11),DECKS!$B$2:$B$1201,$A716))</f>
        <v/>
      </c>
      <c r="V716" s="19" t="str">
        <f aca="false">IF(OR($A716="",INDEX(_LEITURA!$Q$2:$Q$21,12)=0),"",SUMIFS(DECKS!$D$2:$D$1201,DECKS!$A$2:$A$1201,INDEX(_LEITURA!$P$2:$P$21,12),DECKS!$B$2:$B$1201,$A716))</f>
        <v/>
      </c>
      <c r="W716" s="19" t="str">
        <f aca="false">IF(OR($A716="",INDEX(_LEITURA!$Q$2:$Q$21,13)=0),"",SUMIFS(DECKS!$D$2:$D$1201,DECKS!$A$2:$A$1201,INDEX(_LEITURA!$P$2:$P$21,13),DECKS!$B$2:$B$1201,$A716))</f>
        <v/>
      </c>
      <c r="X716" s="19" t="str">
        <f aca="false">IF(OR($A716="",INDEX(_LEITURA!$Q$2:$Q$21,14)=0),"",SUMIFS(DECKS!$D$2:$D$1201,DECKS!$A$2:$A$1201,INDEX(_LEITURA!$P$2:$P$21,14),DECKS!$B$2:$B$1201,$A716))</f>
        <v/>
      </c>
      <c r="Y716" s="19" t="str">
        <f aca="false">IF(OR($A716="",INDEX(_LEITURA!$Q$2:$Q$21,15)=0),"",SUMIFS(DECKS!$D$2:$D$1201,DECKS!$A$2:$A$1201,INDEX(_LEITURA!$P$2:$P$21,15),DECKS!$B$2:$B$1201,$A716))</f>
        <v/>
      </c>
      <c r="Z716" s="19" t="str">
        <f aca="false">IF(OR($A716="",INDEX(_LEITURA!$Q$2:$Q$21,16)=0),"",SUMIFS(DECKS!$D$2:$D$1201,DECKS!$A$2:$A$1201,INDEX(_LEITURA!$P$2:$P$21,16),DECKS!$B$2:$B$1201,$A716))</f>
        <v/>
      </c>
      <c r="AA716" s="19" t="str">
        <f aca="false">IF(OR($A716="",INDEX(_LEITURA!$Q$2:$Q$21,17)=0),"",SUMIFS(DECKS!$D$2:$D$1201,DECKS!$A$2:$A$1201,INDEX(_LEITURA!$P$2:$P$21,17),DECKS!$B$2:$B$1201,$A716))</f>
        <v/>
      </c>
      <c r="AB716" s="19" t="str">
        <f aca="false">IF(OR($A716="",INDEX(_LEITURA!$Q$2:$Q$21,18)=0),"",SUMIFS(DECKS!$D$2:$D$1201,DECKS!$A$2:$A$1201,INDEX(_LEITURA!$P$2:$P$21,18),DECKS!$B$2:$B$1201,$A716))</f>
        <v/>
      </c>
      <c r="AC716" s="19" t="str">
        <f aca="false">IF(OR($A716="",INDEX(_LEITURA!$Q$2:$Q$21,19)=0),"",SUMIFS(DECKS!$D$2:$D$1201,DECKS!$A$2:$A$1201,INDEX(_LEITURA!$P$2:$P$21,19),DECKS!$B$2:$B$1201,$A716))</f>
        <v/>
      </c>
      <c r="AD716" s="19" t="str">
        <f aca="false">IF(OR($A716="",INDEX(_LEITURA!$Q$2:$Q$21,20)=0),"",SUMIFS(DECKS!$D$2:$D$1201,DECKS!$A$2:$A$1201,INDEX(_LEITURA!$P$2:$P$21,20),DECKS!$B$2:$B$1201,$A716))</f>
        <v/>
      </c>
      <c r="AE716" s="16" t="str">
        <f aca="false">IF(N(E716)&gt;0,MAX(AE$1:AE715)+1,"")</f>
        <v/>
      </c>
      <c r="AF716" s="11" t="str">
        <f aca="false">IF(A716="","",IFERROR(LEFT(A716,FIND("-",A716)-1),A716))</f>
        <v/>
      </c>
      <c r="AG716" s="11" t="str">
        <f aca="false">IF(AF716="","",IF(ISNUMBER(--MID(AF716,1,1)),0,IF(ISNUMBER(--MID(AF716,2,1)),1,IF(ISNUMBER(--MID(AF716,3,1)),2,IF(ISNUMBER(--MID(AF716,4,1)),3,MIN(LEN(AF716),4))))))</f>
        <v/>
      </c>
      <c r="AH716" s="11" t="str">
        <f aca="false">IF(A716="","",LEFT(AF716,AG716)&amp;REPT("0",4-AG716)&amp;RIGHT("000"&amp;IFERROR(VALUE(MID(AF716,AG716+1,9)),0),3)&amp;RIGHT("0000"&amp;IFERROR(VALUE(MID(A716,FIND("-",A716)+1,9)),0),4))</f>
        <v/>
      </c>
      <c r="AI716" s="11" t="str">
        <f aca="false">IF(OR(A716="",N(E716)&lt;=0),"",IF('FALTAS GERAL'!$M$1="Código","K"&amp;AH716&amp;RIGHT("00000"&amp;ROW(),5),IF('FALTAS GERAL'!$M$1="Nome","K"&amp;UPPER(SUBSTITUTE(SUBSTITUTE(SUBSTITUTE(B716,"*",""),"?",""),"~",""))&amp;"0"&amp;AH716&amp;RIGHT("00000"&amp;ROW(),5),IF('FALTAS GERAL'!$M$1="Falta (maior primeiro)","K"&amp;RIGHT("0000"&amp;(9999-E716),4)&amp;AH716&amp;RIGHT("00000"&amp;ROW(),5),IF('FALTAS GERAL'!$M$1="Nº de decks (maior primeiro)","K"&amp;RIGHT("00"&amp;(99-N(G716)),2)&amp;AH716&amp;RIGHT("00000"&amp;ROW(),5),"K"&amp;RIGHT("00000"&amp;ROW(),5))))))</f>
        <v/>
      </c>
      <c r="AJ716" s="11" t="str">
        <f aca="false">IF(AI716="","",COUNTIFS($AI$2:$AI$801,"&lt;"&amp;AI716,$E$2:$E$801,"&gt;0")+1)</f>
        <v/>
      </c>
      <c r="AK716" s="11" t="str">
        <f aca="false">IF(OR(A716="",N(E716)&lt;=0),"",COUNTIFS($AH$2:$AH$801,"&lt;"&amp;AH716,$E$2:$E$801,"&gt;0")+COUNTIFS($AH$2:AH716,AH716,$E$2:E716,"&gt;0"))</f>
        <v/>
      </c>
    </row>
    <row r="717" customFormat="false" ht="15" hidden="false" customHeight="false" outlineLevel="0" collapsed="false">
      <c r="A717" s="11" t="str">
        <f aca="false">IF(INVENTÁRIO!A717="","",INVENTÁRIO!A717)</f>
        <v/>
      </c>
      <c r="B717" s="11" t="str">
        <f aca="false">IF(A717="","",INVENTÁRIO!B717)</f>
        <v/>
      </c>
      <c r="C717" s="16" t="str">
        <f aca="false">IF(A717="","",INVENTÁRIO!C717)</f>
        <v/>
      </c>
      <c r="D717" s="14" t="str">
        <f aca="false">IF(A717="","",MAX(K717:AD717))</f>
        <v/>
      </c>
      <c r="E717" s="14" t="str">
        <f aca="false">IF(A717="","",MAX(0,D717-C717))</f>
        <v/>
      </c>
      <c r="F717" s="16" t="str">
        <f aca="false">IF(A717="","",IF(D717=0,"Fora dos decks",IF(E717=0,"Completo","Falta")))</f>
        <v/>
      </c>
      <c r="G717" s="16" t="str">
        <f aca="false">IF(A717="","",COUNTIF(K717:AD717,"&gt;0"))</f>
        <v/>
      </c>
      <c r="H717" s="16" t="str">
        <f aca="false">IF(A717="","",IF(G717&gt;1,"Sim",""))</f>
        <v/>
      </c>
      <c r="I717" s="18" t="str">
        <f aca="false">IF(A717="","",SUMIFS(DECKS!$D$2:$D$1201,DECKS!$B$2:$B$1201,A717))</f>
        <v/>
      </c>
      <c r="J717" s="18" t="str">
        <f aca="false">IF(A717="","",MAX(0,I717-C717))</f>
        <v/>
      </c>
      <c r="K717" s="19" t="str">
        <f aca="false">IF(OR($A717="",INDEX(_LEITURA!$Q$2:$Q$21,1)=0),"",SUMIFS(DECKS!$D$2:$D$1201,DECKS!$A$2:$A$1201,INDEX(_LEITURA!$P$2:$P$21,1),DECKS!$B$2:$B$1201,$A717))</f>
        <v/>
      </c>
      <c r="L717" s="19" t="str">
        <f aca="false">IF(OR($A717="",INDEX(_LEITURA!$Q$2:$Q$21,2)=0),"",SUMIFS(DECKS!$D$2:$D$1201,DECKS!$A$2:$A$1201,INDEX(_LEITURA!$P$2:$P$21,2),DECKS!$B$2:$B$1201,$A717))</f>
        <v/>
      </c>
      <c r="M717" s="19" t="str">
        <f aca="false">IF(OR($A717="",INDEX(_LEITURA!$Q$2:$Q$21,3)=0),"",SUMIFS(DECKS!$D$2:$D$1201,DECKS!$A$2:$A$1201,INDEX(_LEITURA!$P$2:$P$21,3),DECKS!$B$2:$B$1201,$A717))</f>
        <v/>
      </c>
      <c r="N717" s="19" t="str">
        <f aca="false">IF(OR($A717="",INDEX(_LEITURA!$Q$2:$Q$21,4)=0),"",SUMIFS(DECKS!$D$2:$D$1201,DECKS!$A$2:$A$1201,INDEX(_LEITURA!$P$2:$P$21,4),DECKS!$B$2:$B$1201,$A717))</f>
        <v/>
      </c>
      <c r="O717" s="19" t="str">
        <f aca="false">IF(OR($A717="",INDEX(_LEITURA!$Q$2:$Q$21,5)=0),"",SUMIFS(DECKS!$D$2:$D$1201,DECKS!$A$2:$A$1201,INDEX(_LEITURA!$P$2:$P$21,5),DECKS!$B$2:$B$1201,$A717))</f>
        <v/>
      </c>
      <c r="P717" s="19" t="str">
        <f aca="false">IF(OR($A717="",INDEX(_LEITURA!$Q$2:$Q$21,6)=0),"",SUMIFS(DECKS!$D$2:$D$1201,DECKS!$A$2:$A$1201,INDEX(_LEITURA!$P$2:$P$21,6),DECKS!$B$2:$B$1201,$A717))</f>
        <v/>
      </c>
      <c r="Q717" s="19" t="str">
        <f aca="false">IF(OR($A717="",INDEX(_LEITURA!$Q$2:$Q$21,7)=0),"",SUMIFS(DECKS!$D$2:$D$1201,DECKS!$A$2:$A$1201,INDEX(_LEITURA!$P$2:$P$21,7),DECKS!$B$2:$B$1201,$A717))</f>
        <v/>
      </c>
      <c r="R717" s="19" t="str">
        <f aca="false">IF(OR($A717="",INDEX(_LEITURA!$Q$2:$Q$21,8)=0),"",SUMIFS(DECKS!$D$2:$D$1201,DECKS!$A$2:$A$1201,INDEX(_LEITURA!$P$2:$P$21,8),DECKS!$B$2:$B$1201,$A717))</f>
        <v/>
      </c>
      <c r="S717" s="19" t="str">
        <f aca="false">IF(OR($A717="",INDEX(_LEITURA!$Q$2:$Q$21,9)=0),"",SUMIFS(DECKS!$D$2:$D$1201,DECKS!$A$2:$A$1201,INDEX(_LEITURA!$P$2:$P$21,9),DECKS!$B$2:$B$1201,$A717))</f>
        <v/>
      </c>
      <c r="T717" s="19" t="str">
        <f aca="false">IF(OR($A717="",INDEX(_LEITURA!$Q$2:$Q$21,10)=0),"",SUMIFS(DECKS!$D$2:$D$1201,DECKS!$A$2:$A$1201,INDEX(_LEITURA!$P$2:$P$21,10),DECKS!$B$2:$B$1201,$A717))</f>
        <v/>
      </c>
      <c r="U717" s="19" t="str">
        <f aca="false">IF(OR($A717="",INDEX(_LEITURA!$Q$2:$Q$21,11)=0),"",SUMIFS(DECKS!$D$2:$D$1201,DECKS!$A$2:$A$1201,INDEX(_LEITURA!$P$2:$P$21,11),DECKS!$B$2:$B$1201,$A717))</f>
        <v/>
      </c>
      <c r="V717" s="19" t="str">
        <f aca="false">IF(OR($A717="",INDEX(_LEITURA!$Q$2:$Q$21,12)=0),"",SUMIFS(DECKS!$D$2:$D$1201,DECKS!$A$2:$A$1201,INDEX(_LEITURA!$P$2:$P$21,12),DECKS!$B$2:$B$1201,$A717))</f>
        <v/>
      </c>
      <c r="W717" s="19" t="str">
        <f aca="false">IF(OR($A717="",INDEX(_LEITURA!$Q$2:$Q$21,13)=0),"",SUMIFS(DECKS!$D$2:$D$1201,DECKS!$A$2:$A$1201,INDEX(_LEITURA!$P$2:$P$21,13),DECKS!$B$2:$B$1201,$A717))</f>
        <v/>
      </c>
      <c r="X717" s="19" t="str">
        <f aca="false">IF(OR($A717="",INDEX(_LEITURA!$Q$2:$Q$21,14)=0),"",SUMIFS(DECKS!$D$2:$D$1201,DECKS!$A$2:$A$1201,INDEX(_LEITURA!$P$2:$P$21,14),DECKS!$B$2:$B$1201,$A717))</f>
        <v/>
      </c>
      <c r="Y717" s="19" t="str">
        <f aca="false">IF(OR($A717="",INDEX(_LEITURA!$Q$2:$Q$21,15)=0),"",SUMIFS(DECKS!$D$2:$D$1201,DECKS!$A$2:$A$1201,INDEX(_LEITURA!$P$2:$P$21,15),DECKS!$B$2:$B$1201,$A717))</f>
        <v/>
      </c>
      <c r="Z717" s="19" t="str">
        <f aca="false">IF(OR($A717="",INDEX(_LEITURA!$Q$2:$Q$21,16)=0),"",SUMIFS(DECKS!$D$2:$D$1201,DECKS!$A$2:$A$1201,INDEX(_LEITURA!$P$2:$P$21,16),DECKS!$B$2:$B$1201,$A717))</f>
        <v/>
      </c>
      <c r="AA717" s="19" t="str">
        <f aca="false">IF(OR($A717="",INDEX(_LEITURA!$Q$2:$Q$21,17)=0),"",SUMIFS(DECKS!$D$2:$D$1201,DECKS!$A$2:$A$1201,INDEX(_LEITURA!$P$2:$P$21,17),DECKS!$B$2:$B$1201,$A717))</f>
        <v/>
      </c>
      <c r="AB717" s="19" t="str">
        <f aca="false">IF(OR($A717="",INDEX(_LEITURA!$Q$2:$Q$21,18)=0),"",SUMIFS(DECKS!$D$2:$D$1201,DECKS!$A$2:$A$1201,INDEX(_LEITURA!$P$2:$P$21,18),DECKS!$B$2:$B$1201,$A717))</f>
        <v/>
      </c>
      <c r="AC717" s="19" t="str">
        <f aca="false">IF(OR($A717="",INDEX(_LEITURA!$Q$2:$Q$21,19)=0),"",SUMIFS(DECKS!$D$2:$D$1201,DECKS!$A$2:$A$1201,INDEX(_LEITURA!$P$2:$P$21,19),DECKS!$B$2:$B$1201,$A717))</f>
        <v/>
      </c>
      <c r="AD717" s="19" t="str">
        <f aca="false">IF(OR($A717="",INDEX(_LEITURA!$Q$2:$Q$21,20)=0),"",SUMIFS(DECKS!$D$2:$D$1201,DECKS!$A$2:$A$1201,INDEX(_LEITURA!$P$2:$P$21,20),DECKS!$B$2:$B$1201,$A717))</f>
        <v/>
      </c>
      <c r="AE717" s="16" t="str">
        <f aca="false">IF(N(E717)&gt;0,MAX(AE$1:AE716)+1,"")</f>
        <v/>
      </c>
      <c r="AF717" s="11" t="str">
        <f aca="false">IF(A717="","",IFERROR(LEFT(A717,FIND("-",A717)-1),A717))</f>
        <v/>
      </c>
      <c r="AG717" s="11" t="str">
        <f aca="false">IF(AF717="","",IF(ISNUMBER(--MID(AF717,1,1)),0,IF(ISNUMBER(--MID(AF717,2,1)),1,IF(ISNUMBER(--MID(AF717,3,1)),2,IF(ISNUMBER(--MID(AF717,4,1)),3,MIN(LEN(AF717),4))))))</f>
        <v/>
      </c>
      <c r="AH717" s="11" t="str">
        <f aca="false">IF(A717="","",LEFT(AF717,AG717)&amp;REPT("0",4-AG717)&amp;RIGHT("000"&amp;IFERROR(VALUE(MID(AF717,AG717+1,9)),0),3)&amp;RIGHT("0000"&amp;IFERROR(VALUE(MID(A717,FIND("-",A717)+1,9)),0),4))</f>
        <v/>
      </c>
      <c r="AI717" s="11" t="str">
        <f aca="false">IF(OR(A717="",N(E717)&lt;=0),"",IF('FALTAS GERAL'!$M$1="Código","K"&amp;AH717&amp;RIGHT("00000"&amp;ROW(),5),IF('FALTAS GERAL'!$M$1="Nome","K"&amp;UPPER(SUBSTITUTE(SUBSTITUTE(SUBSTITUTE(B717,"*",""),"?",""),"~",""))&amp;"0"&amp;AH717&amp;RIGHT("00000"&amp;ROW(),5),IF('FALTAS GERAL'!$M$1="Falta (maior primeiro)","K"&amp;RIGHT("0000"&amp;(9999-E717),4)&amp;AH717&amp;RIGHT("00000"&amp;ROW(),5),IF('FALTAS GERAL'!$M$1="Nº de decks (maior primeiro)","K"&amp;RIGHT("00"&amp;(99-N(G717)),2)&amp;AH717&amp;RIGHT("00000"&amp;ROW(),5),"K"&amp;RIGHT("00000"&amp;ROW(),5))))))</f>
        <v/>
      </c>
      <c r="AJ717" s="11" t="str">
        <f aca="false">IF(AI717="","",COUNTIFS($AI$2:$AI$801,"&lt;"&amp;AI717,$E$2:$E$801,"&gt;0")+1)</f>
        <v/>
      </c>
      <c r="AK717" s="11" t="str">
        <f aca="false">IF(OR(A717="",N(E717)&lt;=0),"",COUNTIFS($AH$2:$AH$801,"&lt;"&amp;AH717,$E$2:$E$801,"&gt;0")+COUNTIFS($AH$2:AH717,AH717,$E$2:E717,"&gt;0"))</f>
        <v/>
      </c>
    </row>
    <row r="718" customFormat="false" ht="15" hidden="false" customHeight="false" outlineLevel="0" collapsed="false">
      <c r="A718" s="11" t="str">
        <f aca="false">IF(INVENTÁRIO!A718="","",INVENTÁRIO!A718)</f>
        <v/>
      </c>
      <c r="B718" s="11" t="str">
        <f aca="false">IF(A718="","",INVENTÁRIO!B718)</f>
        <v/>
      </c>
      <c r="C718" s="16" t="str">
        <f aca="false">IF(A718="","",INVENTÁRIO!C718)</f>
        <v/>
      </c>
      <c r="D718" s="14" t="str">
        <f aca="false">IF(A718="","",MAX(K718:AD718))</f>
        <v/>
      </c>
      <c r="E718" s="14" t="str">
        <f aca="false">IF(A718="","",MAX(0,D718-C718))</f>
        <v/>
      </c>
      <c r="F718" s="16" t="str">
        <f aca="false">IF(A718="","",IF(D718=0,"Fora dos decks",IF(E718=0,"Completo","Falta")))</f>
        <v/>
      </c>
      <c r="G718" s="16" t="str">
        <f aca="false">IF(A718="","",COUNTIF(K718:AD718,"&gt;0"))</f>
        <v/>
      </c>
      <c r="H718" s="16" t="str">
        <f aca="false">IF(A718="","",IF(G718&gt;1,"Sim",""))</f>
        <v/>
      </c>
      <c r="I718" s="18" t="str">
        <f aca="false">IF(A718="","",SUMIFS(DECKS!$D$2:$D$1201,DECKS!$B$2:$B$1201,A718))</f>
        <v/>
      </c>
      <c r="J718" s="18" t="str">
        <f aca="false">IF(A718="","",MAX(0,I718-C718))</f>
        <v/>
      </c>
      <c r="K718" s="19" t="str">
        <f aca="false">IF(OR($A718="",INDEX(_LEITURA!$Q$2:$Q$21,1)=0),"",SUMIFS(DECKS!$D$2:$D$1201,DECKS!$A$2:$A$1201,INDEX(_LEITURA!$P$2:$P$21,1),DECKS!$B$2:$B$1201,$A718))</f>
        <v/>
      </c>
      <c r="L718" s="19" t="str">
        <f aca="false">IF(OR($A718="",INDEX(_LEITURA!$Q$2:$Q$21,2)=0),"",SUMIFS(DECKS!$D$2:$D$1201,DECKS!$A$2:$A$1201,INDEX(_LEITURA!$P$2:$P$21,2),DECKS!$B$2:$B$1201,$A718))</f>
        <v/>
      </c>
      <c r="M718" s="19" t="str">
        <f aca="false">IF(OR($A718="",INDEX(_LEITURA!$Q$2:$Q$21,3)=0),"",SUMIFS(DECKS!$D$2:$D$1201,DECKS!$A$2:$A$1201,INDEX(_LEITURA!$P$2:$P$21,3),DECKS!$B$2:$B$1201,$A718))</f>
        <v/>
      </c>
      <c r="N718" s="19" t="str">
        <f aca="false">IF(OR($A718="",INDEX(_LEITURA!$Q$2:$Q$21,4)=0),"",SUMIFS(DECKS!$D$2:$D$1201,DECKS!$A$2:$A$1201,INDEX(_LEITURA!$P$2:$P$21,4),DECKS!$B$2:$B$1201,$A718))</f>
        <v/>
      </c>
      <c r="O718" s="19" t="str">
        <f aca="false">IF(OR($A718="",INDEX(_LEITURA!$Q$2:$Q$21,5)=0),"",SUMIFS(DECKS!$D$2:$D$1201,DECKS!$A$2:$A$1201,INDEX(_LEITURA!$P$2:$P$21,5),DECKS!$B$2:$B$1201,$A718))</f>
        <v/>
      </c>
      <c r="P718" s="19" t="str">
        <f aca="false">IF(OR($A718="",INDEX(_LEITURA!$Q$2:$Q$21,6)=0),"",SUMIFS(DECKS!$D$2:$D$1201,DECKS!$A$2:$A$1201,INDEX(_LEITURA!$P$2:$P$21,6),DECKS!$B$2:$B$1201,$A718))</f>
        <v/>
      </c>
      <c r="Q718" s="19" t="str">
        <f aca="false">IF(OR($A718="",INDEX(_LEITURA!$Q$2:$Q$21,7)=0),"",SUMIFS(DECKS!$D$2:$D$1201,DECKS!$A$2:$A$1201,INDEX(_LEITURA!$P$2:$P$21,7),DECKS!$B$2:$B$1201,$A718))</f>
        <v/>
      </c>
      <c r="R718" s="19" t="str">
        <f aca="false">IF(OR($A718="",INDEX(_LEITURA!$Q$2:$Q$21,8)=0),"",SUMIFS(DECKS!$D$2:$D$1201,DECKS!$A$2:$A$1201,INDEX(_LEITURA!$P$2:$P$21,8),DECKS!$B$2:$B$1201,$A718))</f>
        <v/>
      </c>
      <c r="S718" s="19" t="str">
        <f aca="false">IF(OR($A718="",INDEX(_LEITURA!$Q$2:$Q$21,9)=0),"",SUMIFS(DECKS!$D$2:$D$1201,DECKS!$A$2:$A$1201,INDEX(_LEITURA!$P$2:$P$21,9),DECKS!$B$2:$B$1201,$A718))</f>
        <v/>
      </c>
      <c r="T718" s="19" t="str">
        <f aca="false">IF(OR($A718="",INDEX(_LEITURA!$Q$2:$Q$21,10)=0),"",SUMIFS(DECKS!$D$2:$D$1201,DECKS!$A$2:$A$1201,INDEX(_LEITURA!$P$2:$P$21,10),DECKS!$B$2:$B$1201,$A718))</f>
        <v/>
      </c>
      <c r="U718" s="19" t="str">
        <f aca="false">IF(OR($A718="",INDEX(_LEITURA!$Q$2:$Q$21,11)=0),"",SUMIFS(DECKS!$D$2:$D$1201,DECKS!$A$2:$A$1201,INDEX(_LEITURA!$P$2:$P$21,11),DECKS!$B$2:$B$1201,$A718))</f>
        <v/>
      </c>
      <c r="V718" s="19" t="str">
        <f aca="false">IF(OR($A718="",INDEX(_LEITURA!$Q$2:$Q$21,12)=0),"",SUMIFS(DECKS!$D$2:$D$1201,DECKS!$A$2:$A$1201,INDEX(_LEITURA!$P$2:$P$21,12),DECKS!$B$2:$B$1201,$A718))</f>
        <v/>
      </c>
      <c r="W718" s="19" t="str">
        <f aca="false">IF(OR($A718="",INDEX(_LEITURA!$Q$2:$Q$21,13)=0),"",SUMIFS(DECKS!$D$2:$D$1201,DECKS!$A$2:$A$1201,INDEX(_LEITURA!$P$2:$P$21,13),DECKS!$B$2:$B$1201,$A718))</f>
        <v/>
      </c>
      <c r="X718" s="19" t="str">
        <f aca="false">IF(OR($A718="",INDEX(_LEITURA!$Q$2:$Q$21,14)=0),"",SUMIFS(DECKS!$D$2:$D$1201,DECKS!$A$2:$A$1201,INDEX(_LEITURA!$P$2:$P$21,14),DECKS!$B$2:$B$1201,$A718))</f>
        <v/>
      </c>
      <c r="Y718" s="19" t="str">
        <f aca="false">IF(OR($A718="",INDEX(_LEITURA!$Q$2:$Q$21,15)=0),"",SUMIFS(DECKS!$D$2:$D$1201,DECKS!$A$2:$A$1201,INDEX(_LEITURA!$P$2:$P$21,15),DECKS!$B$2:$B$1201,$A718))</f>
        <v/>
      </c>
      <c r="Z718" s="19" t="str">
        <f aca="false">IF(OR($A718="",INDEX(_LEITURA!$Q$2:$Q$21,16)=0),"",SUMIFS(DECKS!$D$2:$D$1201,DECKS!$A$2:$A$1201,INDEX(_LEITURA!$P$2:$P$21,16),DECKS!$B$2:$B$1201,$A718))</f>
        <v/>
      </c>
      <c r="AA718" s="19" t="str">
        <f aca="false">IF(OR($A718="",INDEX(_LEITURA!$Q$2:$Q$21,17)=0),"",SUMIFS(DECKS!$D$2:$D$1201,DECKS!$A$2:$A$1201,INDEX(_LEITURA!$P$2:$P$21,17),DECKS!$B$2:$B$1201,$A718))</f>
        <v/>
      </c>
      <c r="AB718" s="19" t="str">
        <f aca="false">IF(OR($A718="",INDEX(_LEITURA!$Q$2:$Q$21,18)=0),"",SUMIFS(DECKS!$D$2:$D$1201,DECKS!$A$2:$A$1201,INDEX(_LEITURA!$P$2:$P$21,18),DECKS!$B$2:$B$1201,$A718))</f>
        <v/>
      </c>
      <c r="AC718" s="19" t="str">
        <f aca="false">IF(OR($A718="",INDEX(_LEITURA!$Q$2:$Q$21,19)=0),"",SUMIFS(DECKS!$D$2:$D$1201,DECKS!$A$2:$A$1201,INDEX(_LEITURA!$P$2:$P$21,19),DECKS!$B$2:$B$1201,$A718))</f>
        <v/>
      </c>
      <c r="AD718" s="19" t="str">
        <f aca="false">IF(OR($A718="",INDEX(_LEITURA!$Q$2:$Q$21,20)=0),"",SUMIFS(DECKS!$D$2:$D$1201,DECKS!$A$2:$A$1201,INDEX(_LEITURA!$P$2:$P$21,20),DECKS!$B$2:$B$1201,$A718))</f>
        <v/>
      </c>
      <c r="AE718" s="16" t="str">
        <f aca="false">IF(N(E718)&gt;0,MAX(AE$1:AE717)+1,"")</f>
        <v/>
      </c>
      <c r="AF718" s="11" t="str">
        <f aca="false">IF(A718="","",IFERROR(LEFT(A718,FIND("-",A718)-1),A718))</f>
        <v/>
      </c>
      <c r="AG718" s="11" t="str">
        <f aca="false">IF(AF718="","",IF(ISNUMBER(--MID(AF718,1,1)),0,IF(ISNUMBER(--MID(AF718,2,1)),1,IF(ISNUMBER(--MID(AF718,3,1)),2,IF(ISNUMBER(--MID(AF718,4,1)),3,MIN(LEN(AF718),4))))))</f>
        <v/>
      </c>
      <c r="AH718" s="11" t="str">
        <f aca="false">IF(A718="","",LEFT(AF718,AG718)&amp;REPT("0",4-AG718)&amp;RIGHT("000"&amp;IFERROR(VALUE(MID(AF718,AG718+1,9)),0),3)&amp;RIGHT("0000"&amp;IFERROR(VALUE(MID(A718,FIND("-",A718)+1,9)),0),4))</f>
        <v/>
      </c>
      <c r="AI718" s="11" t="str">
        <f aca="false">IF(OR(A718="",N(E718)&lt;=0),"",IF('FALTAS GERAL'!$M$1="Código","K"&amp;AH718&amp;RIGHT("00000"&amp;ROW(),5),IF('FALTAS GERAL'!$M$1="Nome","K"&amp;UPPER(SUBSTITUTE(SUBSTITUTE(SUBSTITUTE(B718,"*",""),"?",""),"~",""))&amp;"0"&amp;AH718&amp;RIGHT("00000"&amp;ROW(),5),IF('FALTAS GERAL'!$M$1="Falta (maior primeiro)","K"&amp;RIGHT("0000"&amp;(9999-E718),4)&amp;AH718&amp;RIGHT("00000"&amp;ROW(),5),IF('FALTAS GERAL'!$M$1="Nº de decks (maior primeiro)","K"&amp;RIGHT("00"&amp;(99-N(G718)),2)&amp;AH718&amp;RIGHT("00000"&amp;ROW(),5),"K"&amp;RIGHT("00000"&amp;ROW(),5))))))</f>
        <v/>
      </c>
      <c r="AJ718" s="11" t="str">
        <f aca="false">IF(AI718="","",COUNTIFS($AI$2:$AI$801,"&lt;"&amp;AI718,$E$2:$E$801,"&gt;0")+1)</f>
        <v/>
      </c>
      <c r="AK718" s="11" t="str">
        <f aca="false">IF(OR(A718="",N(E718)&lt;=0),"",COUNTIFS($AH$2:$AH$801,"&lt;"&amp;AH718,$E$2:$E$801,"&gt;0")+COUNTIFS($AH$2:AH718,AH718,$E$2:E718,"&gt;0"))</f>
        <v/>
      </c>
    </row>
    <row r="719" customFormat="false" ht="15" hidden="false" customHeight="false" outlineLevel="0" collapsed="false">
      <c r="A719" s="11" t="str">
        <f aca="false">IF(INVENTÁRIO!A719="","",INVENTÁRIO!A719)</f>
        <v/>
      </c>
      <c r="B719" s="11" t="str">
        <f aca="false">IF(A719="","",INVENTÁRIO!B719)</f>
        <v/>
      </c>
      <c r="C719" s="16" t="str">
        <f aca="false">IF(A719="","",INVENTÁRIO!C719)</f>
        <v/>
      </c>
      <c r="D719" s="14" t="str">
        <f aca="false">IF(A719="","",MAX(K719:AD719))</f>
        <v/>
      </c>
      <c r="E719" s="14" t="str">
        <f aca="false">IF(A719="","",MAX(0,D719-C719))</f>
        <v/>
      </c>
      <c r="F719" s="16" t="str">
        <f aca="false">IF(A719="","",IF(D719=0,"Fora dos decks",IF(E719=0,"Completo","Falta")))</f>
        <v/>
      </c>
      <c r="G719" s="16" t="str">
        <f aca="false">IF(A719="","",COUNTIF(K719:AD719,"&gt;0"))</f>
        <v/>
      </c>
      <c r="H719" s="16" t="str">
        <f aca="false">IF(A719="","",IF(G719&gt;1,"Sim",""))</f>
        <v/>
      </c>
      <c r="I719" s="18" t="str">
        <f aca="false">IF(A719="","",SUMIFS(DECKS!$D$2:$D$1201,DECKS!$B$2:$B$1201,A719))</f>
        <v/>
      </c>
      <c r="J719" s="18" t="str">
        <f aca="false">IF(A719="","",MAX(0,I719-C719))</f>
        <v/>
      </c>
      <c r="K719" s="19" t="str">
        <f aca="false">IF(OR($A719="",INDEX(_LEITURA!$Q$2:$Q$21,1)=0),"",SUMIFS(DECKS!$D$2:$D$1201,DECKS!$A$2:$A$1201,INDEX(_LEITURA!$P$2:$P$21,1),DECKS!$B$2:$B$1201,$A719))</f>
        <v/>
      </c>
      <c r="L719" s="19" t="str">
        <f aca="false">IF(OR($A719="",INDEX(_LEITURA!$Q$2:$Q$21,2)=0),"",SUMIFS(DECKS!$D$2:$D$1201,DECKS!$A$2:$A$1201,INDEX(_LEITURA!$P$2:$P$21,2),DECKS!$B$2:$B$1201,$A719))</f>
        <v/>
      </c>
      <c r="M719" s="19" t="str">
        <f aca="false">IF(OR($A719="",INDEX(_LEITURA!$Q$2:$Q$21,3)=0),"",SUMIFS(DECKS!$D$2:$D$1201,DECKS!$A$2:$A$1201,INDEX(_LEITURA!$P$2:$P$21,3),DECKS!$B$2:$B$1201,$A719))</f>
        <v/>
      </c>
      <c r="N719" s="19" t="str">
        <f aca="false">IF(OR($A719="",INDEX(_LEITURA!$Q$2:$Q$21,4)=0),"",SUMIFS(DECKS!$D$2:$D$1201,DECKS!$A$2:$A$1201,INDEX(_LEITURA!$P$2:$P$21,4),DECKS!$B$2:$B$1201,$A719))</f>
        <v/>
      </c>
      <c r="O719" s="19" t="str">
        <f aca="false">IF(OR($A719="",INDEX(_LEITURA!$Q$2:$Q$21,5)=0),"",SUMIFS(DECKS!$D$2:$D$1201,DECKS!$A$2:$A$1201,INDEX(_LEITURA!$P$2:$P$21,5),DECKS!$B$2:$B$1201,$A719))</f>
        <v/>
      </c>
      <c r="P719" s="19" t="str">
        <f aca="false">IF(OR($A719="",INDEX(_LEITURA!$Q$2:$Q$21,6)=0),"",SUMIFS(DECKS!$D$2:$D$1201,DECKS!$A$2:$A$1201,INDEX(_LEITURA!$P$2:$P$21,6),DECKS!$B$2:$B$1201,$A719))</f>
        <v/>
      </c>
      <c r="Q719" s="19" t="str">
        <f aca="false">IF(OR($A719="",INDEX(_LEITURA!$Q$2:$Q$21,7)=0),"",SUMIFS(DECKS!$D$2:$D$1201,DECKS!$A$2:$A$1201,INDEX(_LEITURA!$P$2:$P$21,7),DECKS!$B$2:$B$1201,$A719))</f>
        <v/>
      </c>
      <c r="R719" s="19" t="str">
        <f aca="false">IF(OR($A719="",INDEX(_LEITURA!$Q$2:$Q$21,8)=0),"",SUMIFS(DECKS!$D$2:$D$1201,DECKS!$A$2:$A$1201,INDEX(_LEITURA!$P$2:$P$21,8),DECKS!$B$2:$B$1201,$A719))</f>
        <v/>
      </c>
      <c r="S719" s="19" t="str">
        <f aca="false">IF(OR($A719="",INDEX(_LEITURA!$Q$2:$Q$21,9)=0),"",SUMIFS(DECKS!$D$2:$D$1201,DECKS!$A$2:$A$1201,INDEX(_LEITURA!$P$2:$P$21,9),DECKS!$B$2:$B$1201,$A719))</f>
        <v/>
      </c>
      <c r="T719" s="19" t="str">
        <f aca="false">IF(OR($A719="",INDEX(_LEITURA!$Q$2:$Q$21,10)=0),"",SUMIFS(DECKS!$D$2:$D$1201,DECKS!$A$2:$A$1201,INDEX(_LEITURA!$P$2:$P$21,10),DECKS!$B$2:$B$1201,$A719))</f>
        <v/>
      </c>
      <c r="U719" s="19" t="str">
        <f aca="false">IF(OR($A719="",INDEX(_LEITURA!$Q$2:$Q$21,11)=0),"",SUMIFS(DECKS!$D$2:$D$1201,DECKS!$A$2:$A$1201,INDEX(_LEITURA!$P$2:$P$21,11),DECKS!$B$2:$B$1201,$A719))</f>
        <v/>
      </c>
      <c r="V719" s="19" t="str">
        <f aca="false">IF(OR($A719="",INDEX(_LEITURA!$Q$2:$Q$21,12)=0),"",SUMIFS(DECKS!$D$2:$D$1201,DECKS!$A$2:$A$1201,INDEX(_LEITURA!$P$2:$P$21,12),DECKS!$B$2:$B$1201,$A719))</f>
        <v/>
      </c>
      <c r="W719" s="19" t="str">
        <f aca="false">IF(OR($A719="",INDEX(_LEITURA!$Q$2:$Q$21,13)=0),"",SUMIFS(DECKS!$D$2:$D$1201,DECKS!$A$2:$A$1201,INDEX(_LEITURA!$P$2:$P$21,13),DECKS!$B$2:$B$1201,$A719))</f>
        <v/>
      </c>
      <c r="X719" s="19" t="str">
        <f aca="false">IF(OR($A719="",INDEX(_LEITURA!$Q$2:$Q$21,14)=0),"",SUMIFS(DECKS!$D$2:$D$1201,DECKS!$A$2:$A$1201,INDEX(_LEITURA!$P$2:$P$21,14),DECKS!$B$2:$B$1201,$A719))</f>
        <v/>
      </c>
      <c r="Y719" s="19" t="str">
        <f aca="false">IF(OR($A719="",INDEX(_LEITURA!$Q$2:$Q$21,15)=0),"",SUMIFS(DECKS!$D$2:$D$1201,DECKS!$A$2:$A$1201,INDEX(_LEITURA!$P$2:$P$21,15),DECKS!$B$2:$B$1201,$A719))</f>
        <v/>
      </c>
      <c r="Z719" s="19" t="str">
        <f aca="false">IF(OR($A719="",INDEX(_LEITURA!$Q$2:$Q$21,16)=0),"",SUMIFS(DECKS!$D$2:$D$1201,DECKS!$A$2:$A$1201,INDEX(_LEITURA!$P$2:$P$21,16),DECKS!$B$2:$B$1201,$A719))</f>
        <v/>
      </c>
      <c r="AA719" s="19" t="str">
        <f aca="false">IF(OR($A719="",INDEX(_LEITURA!$Q$2:$Q$21,17)=0),"",SUMIFS(DECKS!$D$2:$D$1201,DECKS!$A$2:$A$1201,INDEX(_LEITURA!$P$2:$P$21,17),DECKS!$B$2:$B$1201,$A719))</f>
        <v/>
      </c>
      <c r="AB719" s="19" t="str">
        <f aca="false">IF(OR($A719="",INDEX(_LEITURA!$Q$2:$Q$21,18)=0),"",SUMIFS(DECKS!$D$2:$D$1201,DECKS!$A$2:$A$1201,INDEX(_LEITURA!$P$2:$P$21,18),DECKS!$B$2:$B$1201,$A719))</f>
        <v/>
      </c>
      <c r="AC719" s="19" t="str">
        <f aca="false">IF(OR($A719="",INDEX(_LEITURA!$Q$2:$Q$21,19)=0),"",SUMIFS(DECKS!$D$2:$D$1201,DECKS!$A$2:$A$1201,INDEX(_LEITURA!$P$2:$P$21,19),DECKS!$B$2:$B$1201,$A719))</f>
        <v/>
      </c>
      <c r="AD719" s="19" t="str">
        <f aca="false">IF(OR($A719="",INDEX(_LEITURA!$Q$2:$Q$21,20)=0),"",SUMIFS(DECKS!$D$2:$D$1201,DECKS!$A$2:$A$1201,INDEX(_LEITURA!$P$2:$P$21,20),DECKS!$B$2:$B$1201,$A719))</f>
        <v/>
      </c>
      <c r="AE719" s="16" t="str">
        <f aca="false">IF(N(E719)&gt;0,MAX(AE$1:AE718)+1,"")</f>
        <v/>
      </c>
      <c r="AF719" s="11" t="str">
        <f aca="false">IF(A719="","",IFERROR(LEFT(A719,FIND("-",A719)-1),A719))</f>
        <v/>
      </c>
      <c r="AG719" s="11" t="str">
        <f aca="false">IF(AF719="","",IF(ISNUMBER(--MID(AF719,1,1)),0,IF(ISNUMBER(--MID(AF719,2,1)),1,IF(ISNUMBER(--MID(AF719,3,1)),2,IF(ISNUMBER(--MID(AF719,4,1)),3,MIN(LEN(AF719),4))))))</f>
        <v/>
      </c>
      <c r="AH719" s="11" t="str">
        <f aca="false">IF(A719="","",LEFT(AF719,AG719)&amp;REPT("0",4-AG719)&amp;RIGHT("000"&amp;IFERROR(VALUE(MID(AF719,AG719+1,9)),0),3)&amp;RIGHT("0000"&amp;IFERROR(VALUE(MID(A719,FIND("-",A719)+1,9)),0),4))</f>
        <v/>
      </c>
      <c r="AI719" s="11" t="str">
        <f aca="false">IF(OR(A719="",N(E719)&lt;=0),"",IF('FALTAS GERAL'!$M$1="Código","K"&amp;AH719&amp;RIGHT("00000"&amp;ROW(),5),IF('FALTAS GERAL'!$M$1="Nome","K"&amp;UPPER(SUBSTITUTE(SUBSTITUTE(SUBSTITUTE(B719,"*",""),"?",""),"~",""))&amp;"0"&amp;AH719&amp;RIGHT("00000"&amp;ROW(),5),IF('FALTAS GERAL'!$M$1="Falta (maior primeiro)","K"&amp;RIGHT("0000"&amp;(9999-E719),4)&amp;AH719&amp;RIGHT("00000"&amp;ROW(),5),IF('FALTAS GERAL'!$M$1="Nº de decks (maior primeiro)","K"&amp;RIGHT("00"&amp;(99-N(G719)),2)&amp;AH719&amp;RIGHT("00000"&amp;ROW(),5),"K"&amp;RIGHT("00000"&amp;ROW(),5))))))</f>
        <v/>
      </c>
      <c r="AJ719" s="11" t="str">
        <f aca="false">IF(AI719="","",COUNTIFS($AI$2:$AI$801,"&lt;"&amp;AI719,$E$2:$E$801,"&gt;0")+1)</f>
        <v/>
      </c>
      <c r="AK719" s="11" t="str">
        <f aca="false">IF(OR(A719="",N(E719)&lt;=0),"",COUNTIFS($AH$2:$AH$801,"&lt;"&amp;AH719,$E$2:$E$801,"&gt;0")+COUNTIFS($AH$2:AH719,AH719,$E$2:E719,"&gt;0"))</f>
        <v/>
      </c>
    </row>
    <row r="720" customFormat="false" ht="15" hidden="false" customHeight="false" outlineLevel="0" collapsed="false">
      <c r="A720" s="11" t="str">
        <f aca="false">IF(INVENTÁRIO!A720="","",INVENTÁRIO!A720)</f>
        <v/>
      </c>
      <c r="B720" s="11" t="str">
        <f aca="false">IF(A720="","",INVENTÁRIO!B720)</f>
        <v/>
      </c>
      <c r="C720" s="16" t="str">
        <f aca="false">IF(A720="","",INVENTÁRIO!C720)</f>
        <v/>
      </c>
      <c r="D720" s="14" t="str">
        <f aca="false">IF(A720="","",MAX(K720:AD720))</f>
        <v/>
      </c>
      <c r="E720" s="14" t="str">
        <f aca="false">IF(A720="","",MAX(0,D720-C720))</f>
        <v/>
      </c>
      <c r="F720" s="16" t="str">
        <f aca="false">IF(A720="","",IF(D720=0,"Fora dos decks",IF(E720=0,"Completo","Falta")))</f>
        <v/>
      </c>
      <c r="G720" s="16" t="str">
        <f aca="false">IF(A720="","",COUNTIF(K720:AD720,"&gt;0"))</f>
        <v/>
      </c>
      <c r="H720" s="16" t="str">
        <f aca="false">IF(A720="","",IF(G720&gt;1,"Sim",""))</f>
        <v/>
      </c>
      <c r="I720" s="18" t="str">
        <f aca="false">IF(A720="","",SUMIFS(DECKS!$D$2:$D$1201,DECKS!$B$2:$B$1201,A720))</f>
        <v/>
      </c>
      <c r="J720" s="18" t="str">
        <f aca="false">IF(A720="","",MAX(0,I720-C720))</f>
        <v/>
      </c>
      <c r="K720" s="19" t="str">
        <f aca="false">IF(OR($A720="",INDEX(_LEITURA!$Q$2:$Q$21,1)=0),"",SUMIFS(DECKS!$D$2:$D$1201,DECKS!$A$2:$A$1201,INDEX(_LEITURA!$P$2:$P$21,1),DECKS!$B$2:$B$1201,$A720))</f>
        <v/>
      </c>
      <c r="L720" s="19" t="str">
        <f aca="false">IF(OR($A720="",INDEX(_LEITURA!$Q$2:$Q$21,2)=0),"",SUMIFS(DECKS!$D$2:$D$1201,DECKS!$A$2:$A$1201,INDEX(_LEITURA!$P$2:$P$21,2),DECKS!$B$2:$B$1201,$A720))</f>
        <v/>
      </c>
      <c r="M720" s="19" t="str">
        <f aca="false">IF(OR($A720="",INDEX(_LEITURA!$Q$2:$Q$21,3)=0),"",SUMIFS(DECKS!$D$2:$D$1201,DECKS!$A$2:$A$1201,INDEX(_LEITURA!$P$2:$P$21,3),DECKS!$B$2:$B$1201,$A720))</f>
        <v/>
      </c>
      <c r="N720" s="19" t="str">
        <f aca="false">IF(OR($A720="",INDEX(_LEITURA!$Q$2:$Q$21,4)=0),"",SUMIFS(DECKS!$D$2:$D$1201,DECKS!$A$2:$A$1201,INDEX(_LEITURA!$P$2:$P$21,4),DECKS!$B$2:$B$1201,$A720))</f>
        <v/>
      </c>
      <c r="O720" s="19" t="str">
        <f aca="false">IF(OR($A720="",INDEX(_LEITURA!$Q$2:$Q$21,5)=0),"",SUMIFS(DECKS!$D$2:$D$1201,DECKS!$A$2:$A$1201,INDEX(_LEITURA!$P$2:$P$21,5),DECKS!$B$2:$B$1201,$A720))</f>
        <v/>
      </c>
      <c r="P720" s="19" t="str">
        <f aca="false">IF(OR($A720="",INDEX(_LEITURA!$Q$2:$Q$21,6)=0),"",SUMIFS(DECKS!$D$2:$D$1201,DECKS!$A$2:$A$1201,INDEX(_LEITURA!$P$2:$P$21,6),DECKS!$B$2:$B$1201,$A720))</f>
        <v/>
      </c>
      <c r="Q720" s="19" t="str">
        <f aca="false">IF(OR($A720="",INDEX(_LEITURA!$Q$2:$Q$21,7)=0),"",SUMIFS(DECKS!$D$2:$D$1201,DECKS!$A$2:$A$1201,INDEX(_LEITURA!$P$2:$P$21,7),DECKS!$B$2:$B$1201,$A720))</f>
        <v/>
      </c>
      <c r="R720" s="19" t="str">
        <f aca="false">IF(OR($A720="",INDEX(_LEITURA!$Q$2:$Q$21,8)=0),"",SUMIFS(DECKS!$D$2:$D$1201,DECKS!$A$2:$A$1201,INDEX(_LEITURA!$P$2:$P$21,8),DECKS!$B$2:$B$1201,$A720))</f>
        <v/>
      </c>
      <c r="S720" s="19" t="str">
        <f aca="false">IF(OR($A720="",INDEX(_LEITURA!$Q$2:$Q$21,9)=0),"",SUMIFS(DECKS!$D$2:$D$1201,DECKS!$A$2:$A$1201,INDEX(_LEITURA!$P$2:$P$21,9),DECKS!$B$2:$B$1201,$A720))</f>
        <v/>
      </c>
      <c r="T720" s="19" t="str">
        <f aca="false">IF(OR($A720="",INDEX(_LEITURA!$Q$2:$Q$21,10)=0),"",SUMIFS(DECKS!$D$2:$D$1201,DECKS!$A$2:$A$1201,INDEX(_LEITURA!$P$2:$P$21,10),DECKS!$B$2:$B$1201,$A720))</f>
        <v/>
      </c>
      <c r="U720" s="19" t="str">
        <f aca="false">IF(OR($A720="",INDEX(_LEITURA!$Q$2:$Q$21,11)=0),"",SUMIFS(DECKS!$D$2:$D$1201,DECKS!$A$2:$A$1201,INDEX(_LEITURA!$P$2:$P$21,11),DECKS!$B$2:$B$1201,$A720))</f>
        <v/>
      </c>
      <c r="V720" s="19" t="str">
        <f aca="false">IF(OR($A720="",INDEX(_LEITURA!$Q$2:$Q$21,12)=0),"",SUMIFS(DECKS!$D$2:$D$1201,DECKS!$A$2:$A$1201,INDEX(_LEITURA!$P$2:$P$21,12),DECKS!$B$2:$B$1201,$A720))</f>
        <v/>
      </c>
      <c r="W720" s="19" t="str">
        <f aca="false">IF(OR($A720="",INDEX(_LEITURA!$Q$2:$Q$21,13)=0),"",SUMIFS(DECKS!$D$2:$D$1201,DECKS!$A$2:$A$1201,INDEX(_LEITURA!$P$2:$P$21,13),DECKS!$B$2:$B$1201,$A720))</f>
        <v/>
      </c>
      <c r="X720" s="19" t="str">
        <f aca="false">IF(OR($A720="",INDEX(_LEITURA!$Q$2:$Q$21,14)=0),"",SUMIFS(DECKS!$D$2:$D$1201,DECKS!$A$2:$A$1201,INDEX(_LEITURA!$P$2:$P$21,14),DECKS!$B$2:$B$1201,$A720))</f>
        <v/>
      </c>
      <c r="Y720" s="19" t="str">
        <f aca="false">IF(OR($A720="",INDEX(_LEITURA!$Q$2:$Q$21,15)=0),"",SUMIFS(DECKS!$D$2:$D$1201,DECKS!$A$2:$A$1201,INDEX(_LEITURA!$P$2:$P$21,15),DECKS!$B$2:$B$1201,$A720))</f>
        <v/>
      </c>
      <c r="Z720" s="19" t="str">
        <f aca="false">IF(OR($A720="",INDEX(_LEITURA!$Q$2:$Q$21,16)=0),"",SUMIFS(DECKS!$D$2:$D$1201,DECKS!$A$2:$A$1201,INDEX(_LEITURA!$P$2:$P$21,16),DECKS!$B$2:$B$1201,$A720))</f>
        <v/>
      </c>
      <c r="AA720" s="19" t="str">
        <f aca="false">IF(OR($A720="",INDEX(_LEITURA!$Q$2:$Q$21,17)=0),"",SUMIFS(DECKS!$D$2:$D$1201,DECKS!$A$2:$A$1201,INDEX(_LEITURA!$P$2:$P$21,17),DECKS!$B$2:$B$1201,$A720))</f>
        <v/>
      </c>
      <c r="AB720" s="19" t="str">
        <f aca="false">IF(OR($A720="",INDEX(_LEITURA!$Q$2:$Q$21,18)=0),"",SUMIFS(DECKS!$D$2:$D$1201,DECKS!$A$2:$A$1201,INDEX(_LEITURA!$P$2:$P$21,18),DECKS!$B$2:$B$1201,$A720))</f>
        <v/>
      </c>
      <c r="AC720" s="19" t="str">
        <f aca="false">IF(OR($A720="",INDEX(_LEITURA!$Q$2:$Q$21,19)=0),"",SUMIFS(DECKS!$D$2:$D$1201,DECKS!$A$2:$A$1201,INDEX(_LEITURA!$P$2:$P$21,19),DECKS!$B$2:$B$1201,$A720))</f>
        <v/>
      </c>
      <c r="AD720" s="19" t="str">
        <f aca="false">IF(OR($A720="",INDEX(_LEITURA!$Q$2:$Q$21,20)=0),"",SUMIFS(DECKS!$D$2:$D$1201,DECKS!$A$2:$A$1201,INDEX(_LEITURA!$P$2:$P$21,20),DECKS!$B$2:$B$1201,$A720))</f>
        <v/>
      </c>
      <c r="AE720" s="16" t="str">
        <f aca="false">IF(N(E720)&gt;0,MAX(AE$1:AE719)+1,"")</f>
        <v/>
      </c>
      <c r="AF720" s="11" t="str">
        <f aca="false">IF(A720="","",IFERROR(LEFT(A720,FIND("-",A720)-1),A720))</f>
        <v/>
      </c>
      <c r="AG720" s="11" t="str">
        <f aca="false">IF(AF720="","",IF(ISNUMBER(--MID(AF720,1,1)),0,IF(ISNUMBER(--MID(AF720,2,1)),1,IF(ISNUMBER(--MID(AF720,3,1)),2,IF(ISNUMBER(--MID(AF720,4,1)),3,MIN(LEN(AF720),4))))))</f>
        <v/>
      </c>
      <c r="AH720" s="11" t="str">
        <f aca="false">IF(A720="","",LEFT(AF720,AG720)&amp;REPT("0",4-AG720)&amp;RIGHT("000"&amp;IFERROR(VALUE(MID(AF720,AG720+1,9)),0),3)&amp;RIGHT("0000"&amp;IFERROR(VALUE(MID(A720,FIND("-",A720)+1,9)),0),4))</f>
        <v/>
      </c>
      <c r="AI720" s="11" t="str">
        <f aca="false">IF(OR(A720="",N(E720)&lt;=0),"",IF('FALTAS GERAL'!$M$1="Código","K"&amp;AH720&amp;RIGHT("00000"&amp;ROW(),5),IF('FALTAS GERAL'!$M$1="Nome","K"&amp;UPPER(SUBSTITUTE(SUBSTITUTE(SUBSTITUTE(B720,"*",""),"?",""),"~",""))&amp;"0"&amp;AH720&amp;RIGHT("00000"&amp;ROW(),5),IF('FALTAS GERAL'!$M$1="Falta (maior primeiro)","K"&amp;RIGHT("0000"&amp;(9999-E720),4)&amp;AH720&amp;RIGHT("00000"&amp;ROW(),5),IF('FALTAS GERAL'!$M$1="Nº de decks (maior primeiro)","K"&amp;RIGHT("00"&amp;(99-N(G720)),2)&amp;AH720&amp;RIGHT("00000"&amp;ROW(),5),"K"&amp;RIGHT("00000"&amp;ROW(),5))))))</f>
        <v/>
      </c>
      <c r="AJ720" s="11" t="str">
        <f aca="false">IF(AI720="","",COUNTIFS($AI$2:$AI$801,"&lt;"&amp;AI720,$E$2:$E$801,"&gt;0")+1)</f>
        <v/>
      </c>
      <c r="AK720" s="11" t="str">
        <f aca="false">IF(OR(A720="",N(E720)&lt;=0),"",COUNTIFS($AH$2:$AH$801,"&lt;"&amp;AH720,$E$2:$E$801,"&gt;0")+COUNTIFS($AH$2:AH720,AH720,$E$2:E720,"&gt;0"))</f>
        <v/>
      </c>
    </row>
    <row r="721" customFormat="false" ht="15" hidden="false" customHeight="false" outlineLevel="0" collapsed="false">
      <c r="A721" s="11" t="str">
        <f aca="false">IF(INVENTÁRIO!A721="","",INVENTÁRIO!A721)</f>
        <v/>
      </c>
      <c r="B721" s="11" t="str">
        <f aca="false">IF(A721="","",INVENTÁRIO!B721)</f>
        <v/>
      </c>
      <c r="C721" s="16" t="str">
        <f aca="false">IF(A721="","",INVENTÁRIO!C721)</f>
        <v/>
      </c>
      <c r="D721" s="14" t="str">
        <f aca="false">IF(A721="","",MAX(K721:AD721))</f>
        <v/>
      </c>
      <c r="E721" s="14" t="str">
        <f aca="false">IF(A721="","",MAX(0,D721-C721))</f>
        <v/>
      </c>
      <c r="F721" s="16" t="str">
        <f aca="false">IF(A721="","",IF(D721=0,"Fora dos decks",IF(E721=0,"Completo","Falta")))</f>
        <v/>
      </c>
      <c r="G721" s="16" t="str">
        <f aca="false">IF(A721="","",COUNTIF(K721:AD721,"&gt;0"))</f>
        <v/>
      </c>
      <c r="H721" s="16" t="str">
        <f aca="false">IF(A721="","",IF(G721&gt;1,"Sim",""))</f>
        <v/>
      </c>
      <c r="I721" s="18" t="str">
        <f aca="false">IF(A721="","",SUMIFS(DECKS!$D$2:$D$1201,DECKS!$B$2:$B$1201,A721))</f>
        <v/>
      </c>
      <c r="J721" s="18" t="str">
        <f aca="false">IF(A721="","",MAX(0,I721-C721))</f>
        <v/>
      </c>
      <c r="K721" s="19" t="str">
        <f aca="false">IF(OR($A721="",INDEX(_LEITURA!$Q$2:$Q$21,1)=0),"",SUMIFS(DECKS!$D$2:$D$1201,DECKS!$A$2:$A$1201,INDEX(_LEITURA!$P$2:$P$21,1),DECKS!$B$2:$B$1201,$A721))</f>
        <v/>
      </c>
      <c r="L721" s="19" t="str">
        <f aca="false">IF(OR($A721="",INDEX(_LEITURA!$Q$2:$Q$21,2)=0),"",SUMIFS(DECKS!$D$2:$D$1201,DECKS!$A$2:$A$1201,INDEX(_LEITURA!$P$2:$P$21,2),DECKS!$B$2:$B$1201,$A721))</f>
        <v/>
      </c>
      <c r="M721" s="19" t="str">
        <f aca="false">IF(OR($A721="",INDEX(_LEITURA!$Q$2:$Q$21,3)=0),"",SUMIFS(DECKS!$D$2:$D$1201,DECKS!$A$2:$A$1201,INDEX(_LEITURA!$P$2:$P$21,3),DECKS!$B$2:$B$1201,$A721))</f>
        <v/>
      </c>
      <c r="N721" s="19" t="str">
        <f aca="false">IF(OR($A721="",INDEX(_LEITURA!$Q$2:$Q$21,4)=0),"",SUMIFS(DECKS!$D$2:$D$1201,DECKS!$A$2:$A$1201,INDEX(_LEITURA!$P$2:$P$21,4),DECKS!$B$2:$B$1201,$A721))</f>
        <v/>
      </c>
      <c r="O721" s="19" t="str">
        <f aca="false">IF(OR($A721="",INDEX(_LEITURA!$Q$2:$Q$21,5)=0),"",SUMIFS(DECKS!$D$2:$D$1201,DECKS!$A$2:$A$1201,INDEX(_LEITURA!$P$2:$P$21,5),DECKS!$B$2:$B$1201,$A721))</f>
        <v/>
      </c>
      <c r="P721" s="19" t="str">
        <f aca="false">IF(OR($A721="",INDEX(_LEITURA!$Q$2:$Q$21,6)=0),"",SUMIFS(DECKS!$D$2:$D$1201,DECKS!$A$2:$A$1201,INDEX(_LEITURA!$P$2:$P$21,6),DECKS!$B$2:$B$1201,$A721))</f>
        <v/>
      </c>
      <c r="Q721" s="19" t="str">
        <f aca="false">IF(OR($A721="",INDEX(_LEITURA!$Q$2:$Q$21,7)=0),"",SUMIFS(DECKS!$D$2:$D$1201,DECKS!$A$2:$A$1201,INDEX(_LEITURA!$P$2:$P$21,7),DECKS!$B$2:$B$1201,$A721))</f>
        <v/>
      </c>
      <c r="R721" s="19" t="str">
        <f aca="false">IF(OR($A721="",INDEX(_LEITURA!$Q$2:$Q$21,8)=0),"",SUMIFS(DECKS!$D$2:$D$1201,DECKS!$A$2:$A$1201,INDEX(_LEITURA!$P$2:$P$21,8),DECKS!$B$2:$B$1201,$A721))</f>
        <v/>
      </c>
      <c r="S721" s="19" t="str">
        <f aca="false">IF(OR($A721="",INDEX(_LEITURA!$Q$2:$Q$21,9)=0),"",SUMIFS(DECKS!$D$2:$D$1201,DECKS!$A$2:$A$1201,INDEX(_LEITURA!$P$2:$P$21,9),DECKS!$B$2:$B$1201,$A721))</f>
        <v/>
      </c>
      <c r="T721" s="19" t="str">
        <f aca="false">IF(OR($A721="",INDEX(_LEITURA!$Q$2:$Q$21,10)=0),"",SUMIFS(DECKS!$D$2:$D$1201,DECKS!$A$2:$A$1201,INDEX(_LEITURA!$P$2:$P$21,10),DECKS!$B$2:$B$1201,$A721))</f>
        <v/>
      </c>
      <c r="U721" s="19" t="str">
        <f aca="false">IF(OR($A721="",INDEX(_LEITURA!$Q$2:$Q$21,11)=0),"",SUMIFS(DECKS!$D$2:$D$1201,DECKS!$A$2:$A$1201,INDEX(_LEITURA!$P$2:$P$21,11),DECKS!$B$2:$B$1201,$A721))</f>
        <v/>
      </c>
      <c r="V721" s="19" t="str">
        <f aca="false">IF(OR($A721="",INDEX(_LEITURA!$Q$2:$Q$21,12)=0),"",SUMIFS(DECKS!$D$2:$D$1201,DECKS!$A$2:$A$1201,INDEX(_LEITURA!$P$2:$P$21,12),DECKS!$B$2:$B$1201,$A721))</f>
        <v/>
      </c>
      <c r="W721" s="19" t="str">
        <f aca="false">IF(OR($A721="",INDEX(_LEITURA!$Q$2:$Q$21,13)=0),"",SUMIFS(DECKS!$D$2:$D$1201,DECKS!$A$2:$A$1201,INDEX(_LEITURA!$P$2:$P$21,13),DECKS!$B$2:$B$1201,$A721))</f>
        <v/>
      </c>
      <c r="X721" s="19" t="str">
        <f aca="false">IF(OR($A721="",INDEX(_LEITURA!$Q$2:$Q$21,14)=0),"",SUMIFS(DECKS!$D$2:$D$1201,DECKS!$A$2:$A$1201,INDEX(_LEITURA!$P$2:$P$21,14),DECKS!$B$2:$B$1201,$A721))</f>
        <v/>
      </c>
      <c r="Y721" s="19" t="str">
        <f aca="false">IF(OR($A721="",INDEX(_LEITURA!$Q$2:$Q$21,15)=0),"",SUMIFS(DECKS!$D$2:$D$1201,DECKS!$A$2:$A$1201,INDEX(_LEITURA!$P$2:$P$21,15),DECKS!$B$2:$B$1201,$A721))</f>
        <v/>
      </c>
      <c r="Z721" s="19" t="str">
        <f aca="false">IF(OR($A721="",INDEX(_LEITURA!$Q$2:$Q$21,16)=0),"",SUMIFS(DECKS!$D$2:$D$1201,DECKS!$A$2:$A$1201,INDEX(_LEITURA!$P$2:$P$21,16),DECKS!$B$2:$B$1201,$A721))</f>
        <v/>
      </c>
      <c r="AA721" s="19" t="str">
        <f aca="false">IF(OR($A721="",INDEX(_LEITURA!$Q$2:$Q$21,17)=0),"",SUMIFS(DECKS!$D$2:$D$1201,DECKS!$A$2:$A$1201,INDEX(_LEITURA!$P$2:$P$21,17),DECKS!$B$2:$B$1201,$A721))</f>
        <v/>
      </c>
      <c r="AB721" s="19" t="str">
        <f aca="false">IF(OR($A721="",INDEX(_LEITURA!$Q$2:$Q$21,18)=0),"",SUMIFS(DECKS!$D$2:$D$1201,DECKS!$A$2:$A$1201,INDEX(_LEITURA!$P$2:$P$21,18),DECKS!$B$2:$B$1201,$A721))</f>
        <v/>
      </c>
      <c r="AC721" s="19" t="str">
        <f aca="false">IF(OR($A721="",INDEX(_LEITURA!$Q$2:$Q$21,19)=0),"",SUMIFS(DECKS!$D$2:$D$1201,DECKS!$A$2:$A$1201,INDEX(_LEITURA!$P$2:$P$21,19),DECKS!$B$2:$B$1201,$A721))</f>
        <v/>
      </c>
      <c r="AD721" s="19" t="str">
        <f aca="false">IF(OR($A721="",INDEX(_LEITURA!$Q$2:$Q$21,20)=0),"",SUMIFS(DECKS!$D$2:$D$1201,DECKS!$A$2:$A$1201,INDEX(_LEITURA!$P$2:$P$21,20),DECKS!$B$2:$B$1201,$A721))</f>
        <v/>
      </c>
      <c r="AE721" s="16" t="str">
        <f aca="false">IF(N(E721)&gt;0,MAX(AE$1:AE720)+1,"")</f>
        <v/>
      </c>
      <c r="AF721" s="11" t="str">
        <f aca="false">IF(A721="","",IFERROR(LEFT(A721,FIND("-",A721)-1),A721))</f>
        <v/>
      </c>
      <c r="AG721" s="11" t="str">
        <f aca="false">IF(AF721="","",IF(ISNUMBER(--MID(AF721,1,1)),0,IF(ISNUMBER(--MID(AF721,2,1)),1,IF(ISNUMBER(--MID(AF721,3,1)),2,IF(ISNUMBER(--MID(AF721,4,1)),3,MIN(LEN(AF721),4))))))</f>
        <v/>
      </c>
      <c r="AH721" s="11" t="str">
        <f aca="false">IF(A721="","",LEFT(AF721,AG721)&amp;REPT("0",4-AG721)&amp;RIGHT("000"&amp;IFERROR(VALUE(MID(AF721,AG721+1,9)),0),3)&amp;RIGHT("0000"&amp;IFERROR(VALUE(MID(A721,FIND("-",A721)+1,9)),0),4))</f>
        <v/>
      </c>
      <c r="AI721" s="11" t="str">
        <f aca="false">IF(OR(A721="",N(E721)&lt;=0),"",IF('FALTAS GERAL'!$M$1="Código","K"&amp;AH721&amp;RIGHT("00000"&amp;ROW(),5),IF('FALTAS GERAL'!$M$1="Nome","K"&amp;UPPER(SUBSTITUTE(SUBSTITUTE(SUBSTITUTE(B721,"*",""),"?",""),"~",""))&amp;"0"&amp;AH721&amp;RIGHT("00000"&amp;ROW(),5),IF('FALTAS GERAL'!$M$1="Falta (maior primeiro)","K"&amp;RIGHT("0000"&amp;(9999-E721),4)&amp;AH721&amp;RIGHT("00000"&amp;ROW(),5),IF('FALTAS GERAL'!$M$1="Nº de decks (maior primeiro)","K"&amp;RIGHT("00"&amp;(99-N(G721)),2)&amp;AH721&amp;RIGHT("00000"&amp;ROW(),5),"K"&amp;RIGHT("00000"&amp;ROW(),5))))))</f>
        <v/>
      </c>
      <c r="AJ721" s="11" t="str">
        <f aca="false">IF(AI721="","",COUNTIFS($AI$2:$AI$801,"&lt;"&amp;AI721,$E$2:$E$801,"&gt;0")+1)</f>
        <v/>
      </c>
      <c r="AK721" s="11" t="str">
        <f aca="false">IF(OR(A721="",N(E721)&lt;=0),"",COUNTIFS($AH$2:$AH$801,"&lt;"&amp;AH721,$E$2:$E$801,"&gt;0")+COUNTIFS($AH$2:AH721,AH721,$E$2:E721,"&gt;0"))</f>
        <v/>
      </c>
    </row>
    <row r="722" customFormat="false" ht="15" hidden="false" customHeight="false" outlineLevel="0" collapsed="false">
      <c r="A722" s="11" t="str">
        <f aca="false">IF(INVENTÁRIO!A722="","",INVENTÁRIO!A722)</f>
        <v/>
      </c>
      <c r="B722" s="11" t="str">
        <f aca="false">IF(A722="","",INVENTÁRIO!B722)</f>
        <v/>
      </c>
      <c r="C722" s="16" t="str">
        <f aca="false">IF(A722="","",INVENTÁRIO!C722)</f>
        <v/>
      </c>
      <c r="D722" s="14" t="str">
        <f aca="false">IF(A722="","",MAX(K722:AD722))</f>
        <v/>
      </c>
      <c r="E722" s="14" t="str">
        <f aca="false">IF(A722="","",MAX(0,D722-C722))</f>
        <v/>
      </c>
      <c r="F722" s="16" t="str">
        <f aca="false">IF(A722="","",IF(D722=0,"Fora dos decks",IF(E722=0,"Completo","Falta")))</f>
        <v/>
      </c>
      <c r="G722" s="16" t="str">
        <f aca="false">IF(A722="","",COUNTIF(K722:AD722,"&gt;0"))</f>
        <v/>
      </c>
      <c r="H722" s="16" t="str">
        <f aca="false">IF(A722="","",IF(G722&gt;1,"Sim",""))</f>
        <v/>
      </c>
      <c r="I722" s="18" t="str">
        <f aca="false">IF(A722="","",SUMIFS(DECKS!$D$2:$D$1201,DECKS!$B$2:$B$1201,A722))</f>
        <v/>
      </c>
      <c r="J722" s="18" t="str">
        <f aca="false">IF(A722="","",MAX(0,I722-C722))</f>
        <v/>
      </c>
      <c r="K722" s="19" t="str">
        <f aca="false">IF(OR($A722="",INDEX(_LEITURA!$Q$2:$Q$21,1)=0),"",SUMIFS(DECKS!$D$2:$D$1201,DECKS!$A$2:$A$1201,INDEX(_LEITURA!$P$2:$P$21,1),DECKS!$B$2:$B$1201,$A722))</f>
        <v/>
      </c>
      <c r="L722" s="19" t="str">
        <f aca="false">IF(OR($A722="",INDEX(_LEITURA!$Q$2:$Q$21,2)=0),"",SUMIFS(DECKS!$D$2:$D$1201,DECKS!$A$2:$A$1201,INDEX(_LEITURA!$P$2:$P$21,2),DECKS!$B$2:$B$1201,$A722))</f>
        <v/>
      </c>
      <c r="M722" s="19" t="str">
        <f aca="false">IF(OR($A722="",INDEX(_LEITURA!$Q$2:$Q$21,3)=0),"",SUMIFS(DECKS!$D$2:$D$1201,DECKS!$A$2:$A$1201,INDEX(_LEITURA!$P$2:$P$21,3),DECKS!$B$2:$B$1201,$A722))</f>
        <v/>
      </c>
      <c r="N722" s="19" t="str">
        <f aca="false">IF(OR($A722="",INDEX(_LEITURA!$Q$2:$Q$21,4)=0),"",SUMIFS(DECKS!$D$2:$D$1201,DECKS!$A$2:$A$1201,INDEX(_LEITURA!$P$2:$P$21,4),DECKS!$B$2:$B$1201,$A722))</f>
        <v/>
      </c>
      <c r="O722" s="19" t="str">
        <f aca="false">IF(OR($A722="",INDEX(_LEITURA!$Q$2:$Q$21,5)=0),"",SUMIFS(DECKS!$D$2:$D$1201,DECKS!$A$2:$A$1201,INDEX(_LEITURA!$P$2:$P$21,5),DECKS!$B$2:$B$1201,$A722))</f>
        <v/>
      </c>
      <c r="P722" s="19" t="str">
        <f aca="false">IF(OR($A722="",INDEX(_LEITURA!$Q$2:$Q$21,6)=0),"",SUMIFS(DECKS!$D$2:$D$1201,DECKS!$A$2:$A$1201,INDEX(_LEITURA!$P$2:$P$21,6),DECKS!$B$2:$B$1201,$A722))</f>
        <v/>
      </c>
      <c r="Q722" s="19" t="str">
        <f aca="false">IF(OR($A722="",INDEX(_LEITURA!$Q$2:$Q$21,7)=0),"",SUMIFS(DECKS!$D$2:$D$1201,DECKS!$A$2:$A$1201,INDEX(_LEITURA!$P$2:$P$21,7),DECKS!$B$2:$B$1201,$A722))</f>
        <v/>
      </c>
      <c r="R722" s="19" t="str">
        <f aca="false">IF(OR($A722="",INDEX(_LEITURA!$Q$2:$Q$21,8)=0),"",SUMIFS(DECKS!$D$2:$D$1201,DECKS!$A$2:$A$1201,INDEX(_LEITURA!$P$2:$P$21,8),DECKS!$B$2:$B$1201,$A722))</f>
        <v/>
      </c>
      <c r="S722" s="19" t="str">
        <f aca="false">IF(OR($A722="",INDEX(_LEITURA!$Q$2:$Q$21,9)=0),"",SUMIFS(DECKS!$D$2:$D$1201,DECKS!$A$2:$A$1201,INDEX(_LEITURA!$P$2:$P$21,9),DECKS!$B$2:$B$1201,$A722))</f>
        <v/>
      </c>
      <c r="T722" s="19" t="str">
        <f aca="false">IF(OR($A722="",INDEX(_LEITURA!$Q$2:$Q$21,10)=0),"",SUMIFS(DECKS!$D$2:$D$1201,DECKS!$A$2:$A$1201,INDEX(_LEITURA!$P$2:$P$21,10),DECKS!$B$2:$B$1201,$A722))</f>
        <v/>
      </c>
      <c r="U722" s="19" t="str">
        <f aca="false">IF(OR($A722="",INDEX(_LEITURA!$Q$2:$Q$21,11)=0),"",SUMIFS(DECKS!$D$2:$D$1201,DECKS!$A$2:$A$1201,INDEX(_LEITURA!$P$2:$P$21,11),DECKS!$B$2:$B$1201,$A722))</f>
        <v/>
      </c>
      <c r="V722" s="19" t="str">
        <f aca="false">IF(OR($A722="",INDEX(_LEITURA!$Q$2:$Q$21,12)=0),"",SUMIFS(DECKS!$D$2:$D$1201,DECKS!$A$2:$A$1201,INDEX(_LEITURA!$P$2:$P$21,12),DECKS!$B$2:$B$1201,$A722))</f>
        <v/>
      </c>
      <c r="W722" s="19" t="str">
        <f aca="false">IF(OR($A722="",INDEX(_LEITURA!$Q$2:$Q$21,13)=0),"",SUMIFS(DECKS!$D$2:$D$1201,DECKS!$A$2:$A$1201,INDEX(_LEITURA!$P$2:$P$21,13),DECKS!$B$2:$B$1201,$A722))</f>
        <v/>
      </c>
      <c r="X722" s="19" t="str">
        <f aca="false">IF(OR($A722="",INDEX(_LEITURA!$Q$2:$Q$21,14)=0),"",SUMIFS(DECKS!$D$2:$D$1201,DECKS!$A$2:$A$1201,INDEX(_LEITURA!$P$2:$P$21,14),DECKS!$B$2:$B$1201,$A722))</f>
        <v/>
      </c>
      <c r="Y722" s="19" t="str">
        <f aca="false">IF(OR($A722="",INDEX(_LEITURA!$Q$2:$Q$21,15)=0),"",SUMIFS(DECKS!$D$2:$D$1201,DECKS!$A$2:$A$1201,INDEX(_LEITURA!$P$2:$P$21,15),DECKS!$B$2:$B$1201,$A722))</f>
        <v/>
      </c>
      <c r="Z722" s="19" t="str">
        <f aca="false">IF(OR($A722="",INDEX(_LEITURA!$Q$2:$Q$21,16)=0),"",SUMIFS(DECKS!$D$2:$D$1201,DECKS!$A$2:$A$1201,INDEX(_LEITURA!$P$2:$P$21,16),DECKS!$B$2:$B$1201,$A722))</f>
        <v/>
      </c>
      <c r="AA722" s="19" t="str">
        <f aca="false">IF(OR($A722="",INDEX(_LEITURA!$Q$2:$Q$21,17)=0),"",SUMIFS(DECKS!$D$2:$D$1201,DECKS!$A$2:$A$1201,INDEX(_LEITURA!$P$2:$P$21,17),DECKS!$B$2:$B$1201,$A722))</f>
        <v/>
      </c>
      <c r="AB722" s="19" t="str">
        <f aca="false">IF(OR($A722="",INDEX(_LEITURA!$Q$2:$Q$21,18)=0),"",SUMIFS(DECKS!$D$2:$D$1201,DECKS!$A$2:$A$1201,INDEX(_LEITURA!$P$2:$P$21,18),DECKS!$B$2:$B$1201,$A722))</f>
        <v/>
      </c>
      <c r="AC722" s="19" t="str">
        <f aca="false">IF(OR($A722="",INDEX(_LEITURA!$Q$2:$Q$21,19)=0),"",SUMIFS(DECKS!$D$2:$D$1201,DECKS!$A$2:$A$1201,INDEX(_LEITURA!$P$2:$P$21,19),DECKS!$B$2:$B$1201,$A722))</f>
        <v/>
      </c>
      <c r="AD722" s="19" t="str">
        <f aca="false">IF(OR($A722="",INDEX(_LEITURA!$Q$2:$Q$21,20)=0),"",SUMIFS(DECKS!$D$2:$D$1201,DECKS!$A$2:$A$1201,INDEX(_LEITURA!$P$2:$P$21,20),DECKS!$B$2:$B$1201,$A722))</f>
        <v/>
      </c>
      <c r="AE722" s="16" t="str">
        <f aca="false">IF(N(E722)&gt;0,MAX(AE$1:AE721)+1,"")</f>
        <v/>
      </c>
      <c r="AF722" s="11" t="str">
        <f aca="false">IF(A722="","",IFERROR(LEFT(A722,FIND("-",A722)-1),A722))</f>
        <v/>
      </c>
      <c r="AG722" s="11" t="str">
        <f aca="false">IF(AF722="","",IF(ISNUMBER(--MID(AF722,1,1)),0,IF(ISNUMBER(--MID(AF722,2,1)),1,IF(ISNUMBER(--MID(AF722,3,1)),2,IF(ISNUMBER(--MID(AF722,4,1)),3,MIN(LEN(AF722),4))))))</f>
        <v/>
      </c>
      <c r="AH722" s="11" t="str">
        <f aca="false">IF(A722="","",LEFT(AF722,AG722)&amp;REPT("0",4-AG722)&amp;RIGHT("000"&amp;IFERROR(VALUE(MID(AF722,AG722+1,9)),0),3)&amp;RIGHT("0000"&amp;IFERROR(VALUE(MID(A722,FIND("-",A722)+1,9)),0),4))</f>
        <v/>
      </c>
      <c r="AI722" s="11" t="str">
        <f aca="false">IF(OR(A722="",N(E722)&lt;=0),"",IF('FALTAS GERAL'!$M$1="Código","K"&amp;AH722&amp;RIGHT("00000"&amp;ROW(),5),IF('FALTAS GERAL'!$M$1="Nome","K"&amp;UPPER(SUBSTITUTE(SUBSTITUTE(SUBSTITUTE(B722,"*",""),"?",""),"~",""))&amp;"0"&amp;AH722&amp;RIGHT("00000"&amp;ROW(),5),IF('FALTAS GERAL'!$M$1="Falta (maior primeiro)","K"&amp;RIGHT("0000"&amp;(9999-E722),4)&amp;AH722&amp;RIGHT("00000"&amp;ROW(),5),IF('FALTAS GERAL'!$M$1="Nº de decks (maior primeiro)","K"&amp;RIGHT("00"&amp;(99-N(G722)),2)&amp;AH722&amp;RIGHT("00000"&amp;ROW(),5),"K"&amp;RIGHT("00000"&amp;ROW(),5))))))</f>
        <v/>
      </c>
      <c r="AJ722" s="11" t="str">
        <f aca="false">IF(AI722="","",COUNTIFS($AI$2:$AI$801,"&lt;"&amp;AI722,$E$2:$E$801,"&gt;0")+1)</f>
        <v/>
      </c>
      <c r="AK722" s="11" t="str">
        <f aca="false">IF(OR(A722="",N(E722)&lt;=0),"",COUNTIFS($AH$2:$AH$801,"&lt;"&amp;AH722,$E$2:$E$801,"&gt;0")+COUNTIFS($AH$2:AH722,AH722,$E$2:E722,"&gt;0"))</f>
        <v/>
      </c>
    </row>
    <row r="723" customFormat="false" ht="15" hidden="false" customHeight="false" outlineLevel="0" collapsed="false">
      <c r="A723" s="11" t="str">
        <f aca="false">IF(INVENTÁRIO!A723="","",INVENTÁRIO!A723)</f>
        <v/>
      </c>
      <c r="B723" s="11" t="str">
        <f aca="false">IF(A723="","",INVENTÁRIO!B723)</f>
        <v/>
      </c>
      <c r="C723" s="16" t="str">
        <f aca="false">IF(A723="","",INVENTÁRIO!C723)</f>
        <v/>
      </c>
      <c r="D723" s="14" t="str">
        <f aca="false">IF(A723="","",MAX(K723:AD723))</f>
        <v/>
      </c>
      <c r="E723" s="14" t="str">
        <f aca="false">IF(A723="","",MAX(0,D723-C723))</f>
        <v/>
      </c>
      <c r="F723" s="16" t="str">
        <f aca="false">IF(A723="","",IF(D723=0,"Fora dos decks",IF(E723=0,"Completo","Falta")))</f>
        <v/>
      </c>
      <c r="G723" s="16" t="str">
        <f aca="false">IF(A723="","",COUNTIF(K723:AD723,"&gt;0"))</f>
        <v/>
      </c>
      <c r="H723" s="16" t="str">
        <f aca="false">IF(A723="","",IF(G723&gt;1,"Sim",""))</f>
        <v/>
      </c>
      <c r="I723" s="18" t="str">
        <f aca="false">IF(A723="","",SUMIFS(DECKS!$D$2:$D$1201,DECKS!$B$2:$B$1201,A723))</f>
        <v/>
      </c>
      <c r="J723" s="18" t="str">
        <f aca="false">IF(A723="","",MAX(0,I723-C723))</f>
        <v/>
      </c>
      <c r="K723" s="19" t="str">
        <f aca="false">IF(OR($A723="",INDEX(_LEITURA!$Q$2:$Q$21,1)=0),"",SUMIFS(DECKS!$D$2:$D$1201,DECKS!$A$2:$A$1201,INDEX(_LEITURA!$P$2:$P$21,1),DECKS!$B$2:$B$1201,$A723))</f>
        <v/>
      </c>
      <c r="L723" s="19" t="str">
        <f aca="false">IF(OR($A723="",INDEX(_LEITURA!$Q$2:$Q$21,2)=0),"",SUMIFS(DECKS!$D$2:$D$1201,DECKS!$A$2:$A$1201,INDEX(_LEITURA!$P$2:$P$21,2),DECKS!$B$2:$B$1201,$A723))</f>
        <v/>
      </c>
      <c r="M723" s="19" t="str">
        <f aca="false">IF(OR($A723="",INDEX(_LEITURA!$Q$2:$Q$21,3)=0),"",SUMIFS(DECKS!$D$2:$D$1201,DECKS!$A$2:$A$1201,INDEX(_LEITURA!$P$2:$P$21,3),DECKS!$B$2:$B$1201,$A723))</f>
        <v/>
      </c>
      <c r="N723" s="19" t="str">
        <f aca="false">IF(OR($A723="",INDEX(_LEITURA!$Q$2:$Q$21,4)=0),"",SUMIFS(DECKS!$D$2:$D$1201,DECKS!$A$2:$A$1201,INDEX(_LEITURA!$P$2:$P$21,4),DECKS!$B$2:$B$1201,$A723))</f>
        <v/>
      </c>
      <c r="O723" s="19" t="str">
        <f aca="false">IF(OR($A723="",INDEX(_LEITURA!$Q$2:$Q$21,5)=0),"",SUMIFS(DECKS!$D$2:$D$1201,DECKS!$A$2:$A$1201,INDEX(_LEITURA!$P$2:$P$21,5),DECKS!$B$2:$B$1201,$A723))</f>
        <v/>
      </c>
      <c r="P723" s="19" t="str">
        <f aca="false">IF(OR($A723="",INDEX(_LEITURA!$Q$2:$Q$21,6)=0),"",SUMIFS(DECKS!$D$2:$D$1201,DECKS!$A$2:$A$1201,INDEX(_LEITURA!$P$2:$P$21,6),DECKS!$B$2:$B$1201,$A723))</f>
        <v/>
      </c>
      <c r="Q723" s="19" t="str">
        <f aca="false">IF(OR($A723="",INDEX(_LEITURA!$Q$2:$Q$21,7)=0),"",SUMIFS(DECKS!$D$2:$D$1201,DECKS!$A$2:$A$1201,INDEX(_LEITURA!$P$2:$P$21,7),DECKS!$B$2:$B$1201,$A723))</f>
        <v/>
      </c>
      <c r="R723" s="19" t="str">
        <f aca="false">IF(OR($A723="",INDEX(_LEITURA!$Q$2:$Q$21,8)=0),"",SUMIFS(DECKS!$D$2:$D$1201,DECKS!$A$2:$A$1201,INDEX(_LEITURA!$P$2:$P$21,8),DECKS!$B$2:$B$1201,$A723))</f>
        <v/>
      </c>
      <c r="S723" s="19" t="str">
        <f aca="false">IF(OR($A723="",INDEX(_LEITURA!$Q$2:$Q$21,9)=0),"",SUMIFS(DECKS!$D$2:$D$1201,DECKS!$A$2:$A$1201,INDEX(_LEITURA!$P$2:$P$21,9),DECKS!$B$2:$B$1201,$A723))</f>
        <v/>
      </c>
      <c r="T723" s="19" t="str">
        <f aca="false">IF(OR($A723="",INDEX(_LEITURA!$Q$2:$Q$21,10)=0),"",SUMIFS(DECKS!$D$2:$D$1201,DECKS!$A$2:$A$1201,INDEX(_LEITURA!$P$2:$P$21,10),DECKS!$B$2:$B$1201,$A723))</f>
        <v/>
      </c>
      <c r="U723" s="19" t="str">
        <f aca="false">IF(OR($A723="",INDEX(_LEITURA!$Q$2:$Q$21,11)=0),"",SUMIFS(DECKS!$D$2:$D$1201,DECKS!$A$2:$A$1201,INDEX(_LEITURA!$P$2:$P$21,11),DECKS!$B$2:$B$1201,$A723))</f>
        <v/>
      </c>
      <c r="V723" s="19" t="str">
        <f aca="false">IF(OR($A723="",INDEX(_LEITURA!$Q$2:$Q$21,12)=0),"",SUMIFS(DECKS!$D$2:$D$1201,DECKS!$A$2:$A$1201,INDEX(_LEITURA!$P$2:$P$21,12),DECKS!$B$2:$B$1201,$A723))</f>
        <v/>
      </c>
      <c r="W723" s="19" t="str">
        <f aca="false">IF(OR($A723="",INDEX(_LEITURA!$Q$2:$Q$21,13)=0),"",SUMIFS(DECKS!$D$2:$D$1201,DECKS!$A$2:$A$1201,INDEX(_LEITURA!$P$2:$P$21,13),DECKS!$B$2:$B$1201,$A723))</f>
        <v/>
      </c>
      <c r="X723" s="19" t="str">
        <f aca="false">IF(OR($A723="",INDEX(_LEITURA!$Q$2:$Q$21,14)=0),"",SUMIFS(DECKS!$D$2:$D$1201,DECKS!$A$2:$A$1201,INDEX(_LEITURA!$P$2:$P$21,14),DECKS!$B$2:$B$1201,$A723))</f>
        <v/>
      </c>
      <c r="Y723" s="19" t="str">
        <f aca="false">IF(OR($A723="",INDEX(_LEITURA!$Q$2:$Q$21,15)=0),"",SUMIFS(DECKS!$D$2:$D$1201,DECKS!$A$2:$A$1201,INDEX(_LEITURA!$P$2:$P$21,15),DECKS!$B$2:$B$1201,$A723))</f>
        <v/>
      </c>
      <c r="Z723" s="19" t="str">
        <f aca="false">IF(OR($A723="",INDEX(_LEITURA!$Q$2:$Q$21,16)=0),"",SUMIFS(DECKS!$D$2:$D$1201,DECKS!$A$2:$A$1201,INDEX(_LEITURA!$P$2:$P$21,16),DECKS!$B$2:$B$1201,$A723))</f>
        <v/>
      </c>
      <c r="AA723" s="19" t="str">
        <f aca="false">IF(OR($A723="",INDEX(_LEITURA!$Q$2:$Q$21,17)=0),"",SUMIFS(DECKS!$D$2:$D$1201,DECKS!$A$2:$A$1201,INDEX(_LEITURA!$P$2:$P$21,17),DECKS!$B$2:$B$1201,$A723))</f>
        <v/>
      </c>
      <c r="AB723" s="19" t="str">
        <f aca="false">IF(OR($A723="",INDEX(_LEITURA!$Q$2:$Q$21,18)=0),"",SUMIFS(DECKS!$D$2:$D$1201,DECKS!$A$2:$A$1201,INDEX(_LEITURA!$P$2:$P$21,18),DECKS!$B$2:$B$1201,$A723))</f>
        <v/>
      </c>
      <c r="AC723" s="19" t="str">
        <f aca="false">IF(OR($A723="",INDEX(_LEITURA!$Q$2:$Q$21,19)=0),"",SUMIFS(DECKS!$D$2:$D$1201,DECKS!$A$2:$A$1201,INDEX(_LEITURA!$P$2:$P$21,19),DECKS!$B$2:$B$1201,$A723))</f>
        <v/>
      </c>
      <c r="AD723" s="19" t="str">
        <f aca="false">IF(OR($A723="",INDEX(_LEITURA!$Q$2:$Q$21,20)=0),"",SUMIFS(DECKS!$D$2:$D$1201,DECKS!$A$2:$A$1201,INDEX(_LEITURA!$P$2:$P$21,20),DECKS!$B$2:$B$1201,$A723))</f>
        <v/>
      </c>
      <c r="AE723" s="16" t="str">
        <f aca="false">IF(N(E723)&gt;0,MAX(AE$1:AE722)+1,"")</f>
        <v/>
      </c>
      <c r="AF723" s="11" t="str">
        <f aca="false">IF(A723="","",IFERROR(LEFT(A723,FIND("-",A723)-1),A723))</f>
        <v/>
      </c>
      <c r="AG723" s="11" t="str">
        <f aca="false">IF(AF723="","",IF(ISNUMBER(--MID(AF723,1,1)),0,IF(ISNUMBER(--MID(AF723,2,1)),1,IF(ISNUMBER(--MID(AF723,3,1)),2,IF(ISNUMBER(--MID(AF723,4,1)),3,MIN(LEN(AF723),4))))))</f>
        <v/>
      </c>
      <c r="AH723" s="11" t="str">
        <f aca="false">IF(A723="","",LEFT(AF723,AG723)&amp;REPT("0",4-AG723)&amp;RIGHT("000"&amp;IFERROR(VALUE(MID(AF723,AG723+1,9)),0),3)&amp;RIGHT("0000"&amp;IFERROR(VALUE(MID(A723,FIND("-",A723)+1,9)),0),4))</f>
        <v/>
      </c>
      <c r="AI723" s="11" t="str">
        <f aca="false">IF(OR(A723="",N(E723)&lt;=0),"",IF('FALTAS GERAL'!$M$1="Código","K"&amp;AH723&amp;RIGHT("00000"&amp;ROW(),5),IF('FALTAS GERAL'!$M$1="Nome","K"&amp;UPPER(SUBSTITUTE(SUBSTITUTE(SUBSTITUTE(B723,"*",""),"?",""),"~",""))&amp;"0"&amp;AH723&amp;RIGHT("00000"&amp;ROW(),5),IF('FALTAS GERAL'!$M$1="Falta (maior primeiro)","K"&amp;RIGHT("0000"&amp;(9999-E723),4)&amp;AH723&amp;RIGHT("00000"&amp;ROW(),5),IF('FALTAS GERAL'!$M$1="Nº de decks (maior primeiro)","K"&amp;RIGHT("00"&amp;(99-N(G723)),2)&amp;AH723&amp;RIGHT("00000"&amp;ROW(),5),"K"&amp;RIGHT("00000"&amp;ROW(),5))))))</f>
        <v/>
      </c>
      <c r="AJ723" s="11" t="str">
        <f aca="false">IF(AI723="","",COUNTIFS($AI$2:$AI$801,"&lt;"&amp;AI723,$E$2:$E$801,"&gt;0")+1)</f>
        <v/>
      </c>
      <c r="AK723" s="11" t="str">
        <f aca="false">IF(OR(A723="",N(E723)&lt;=0),"",COUNTIFS($AH$2:$AH$801,"&lt;"&amp;AH723,$E$2:$E$801,"&gt;0")+COUNTIFS($AH$2:AH723,AH723,$E$2:E723,"&gt;0"))</f>
        <v/>
      </c>
    </row>
    <row r="724" customFormat="false" ht="15" hidden="false" customHeight="false" outlineLevel="0" collapsed="false">
      <c r="A724" s="11" t="str">
        <f aca="false">IF(INVENTÁRIO!A724="","",INVENTÁRIO!A724)</f>
        <v/>
      </c>
      <c r="B724" s="11" t="str">
        <f aca="false">IF(A724="","",INVENTÁRIO!B724)</f>
        <v/>
      </c>
      <c r="C724" s="16" t="str">
        <f aca="false">IF(A724="","",INVENTÁRIO!C724)</f>
        <v/>
      </c>
      <c r="D724" s="14" t="str">
        <f aca="false">IF(A724="","",MAX(K724:AD724))</f>
        <v/>
      </c>
      <c r="E724" s="14" t="str">
        <f aca="false">IF(A724="","",MAX(0,D724-C724))</f>
        <v/>
      </c>
      <c r="F724" s="16" t="str">
        <f aca="false">IF(A724="","",IF(D724=0,"Fora dos decks",IF(E724=0,"Completo","Falta")))</f>
        <v/>
      </c>
      <c r="G724" s="16" t="str">
        <f aca="false">IF(A724="","",COUNTIF(K724:AD724,"&gt;0"))</f>
        <v/>
      </c>
      <c r="H724" s="16" t="str">
        <f aca="false">IF(A724="","",IF(G724&gt;1,"Sim",""))</f>
        <v/>
      </c>
      <c r="I724" s="18" t="str">
        <f aca="false">IF(A724="","",SUMIFS(DECKS!$D$2:$D$1201,DECKS!$B$2:$B$1201,A724))</f>
        <v/>
      </c>
      <c r="J724" s="18" t="str">
        <f aca="false">IF(A724="","",MAX(0,I724-C724))</f>
        <v/>
      </c>
      <c r="K724" s="19" t="str">
        <f aca="false">IF(OR($A724="",INDEX(_LEITURA!$Q$2:$Q$21,1)=0),"",SUMIFS(DECKS!$D$2:$D$1201,DECKS!$A$2:$A$1201,INDEX(_LEITURA!$P$2:$P$21,1),DECKS!$B$2:$B$1201,$A724))</f>
        <v/>
      </c>
      <c r="L724" s="19" t="str">
        <f aca="false">IF(OR($A724="",INDEX(_LEITURA!$Q$2:$Q$21,2)=0),"",SUMIFS(DECKS!$D$2:$D$1201,DECKS!$A$2:$A$1201,INDEX(_LEITURA!$P$2:$P$21,2),DECKS!$B$2:$B$1201,$A724))</f>
        <v/>
      </c>
      <c r="M724" s="19" t="str">
        <f aca="false">IF(OR($A724="",INDEX(_LEITURA!$Q$2:$Q$21,3)=0),"",SUMIFS(DECKS!$D$2:$D$1201,DECKS!$A$2:$A$1201,INDEX(_LEITURA!$P$2:$P$21,3),DECKS!$B$2:$B$1201,$A724))</f>
        <v/>
      </c>
      <c r="N724" s="19" t="str">
        <f aca="false">IF(OR($A724="",INDEX(_LEITURA!$Q$2:$Q$21,4)=0),"",SUMIFS(DECKS!$D$2:$D$1201,DECKS!$A$2:$A$1201,INDEX(_LEITURA!$P$2:$P$21,4),DECKS!$B$2:$B$1201,$A724))</f>
        <v/>
      </c>
      <c r="O724" s="19" t="str">
        <f aca="false">IF(OR($A724="",INDEX(_LEITURA!$Q$2:$Q$21,5)=0),"",SUMIFS(DECKS!$D$2:$D$1201,DECKS!$A$2:$A$1201,INDEX(_LEITURA!$P$2:$P$21,5),DECKS!$B$2:$B$1201,$A724))</f>
        <v/>
      </c>
      <c r="P724" s="19" t="str">
        <f aca="false">IF(OR($A724="",INDEX(_LEITURA!$Q$2:$Q$21,6)=0),"",SUMIFS(DECKS!$D$2:$D$1201,DECKS!$A$2:$A$1201,INDEX(_LEITURA!$P$2:$P$21,6),DECKS!$B$2:$B$1201,$A724))</f>
        <v/>
      </c>
      <c r="Q724" s="19" t="str">
        <f aca="false">IF(OR($A724="",INDEX(_LEITURA!$Q$2:$Q$21,7)=0),"",SUMIFS(DECKS!$D$2:$D$1201,DECKS!$A$2:$A$1201,INDEX(_LEITURA!$P$2:$P$21,7),DECKS!$B$2:$B$1201,$A724))</f>
        <v/>
      </c>
      <c r="R724" s="19" t="str">
        <f aca="false">IF(OR($A724="",INDEX(_LEITURA!$Q$2:$Q$21,8)=0),"",SUMIFS(DECKS!$D$2:$D$1201,DECKS!$A$2:$A$1201,INDEX(_LEITURA!$P$2:$P$21,8),DECKS!$B$2:$B$1201,$A724))</f>
        <v/>
      </c>
      <c r="S724" s="19" t="str">
        <f aca="false">IF(OR($A724="",INDEX(_LEITURA!$Q$2:$Q$21,9)=0),"",SUMIFS(DECKS!$D$2:$D$1201,DECKS!$A$2:$A$1201,INDEX(_LEITURA!$P$2:$P$21,9),DECKS!$B$2:$B$1201,$A724))</f>
        <v/>
      </c>
      <c r="T724" s="19" t="str">
        <f aca="false">IF(OR($A724="",INDEX(_LEITURA!$Q$2:$Q$21,10)=0),"",SUMIFS(DECKS!$D$2:$D$1201,DECKS!$A$2:$A$1201,INDEX(_LEITURA!$P$2:$P$21,10),DECKS!$B$2:$B$1201,$A724))</f>
        <v/>
      </c>
      <c r="U724" s="19" t="str">
        <f aca="false">IF(OR($A724="",INDEX(_LEITURA!$Q$2:$Q$21,11)=0),"",SUMIFS(DECKS!$D$2:$D$1201,DECKS!$A$2:$A$1201,INDEX(_LEITURA!$P$2:$P$21,11),DECKS!$B$2:$B$1201,$A724))</f>
        <v/>
      </c>
      <c r="V724" s="19" t="str">
        <f aca="false">IF(OR($A724="",INDEX(_LEITURA!$Q$2:$Q$21,12)=0),"",SUMIFS(DECKS!$D$2:$D$1201,DECKS!$A$2:$A$1201,INDEX(_LEITURA!$P$2:$P$21,12),DECKS!$B$2:$B$1201,$A724))</f>
        <v/>
      </c>
      <c r="W724" s="19" t="str">
        <f aca="false">IF(OR($A724="",INDEX(_LEITURA!$Q$2:$Q$21,13)=0),"",SUMIFS(DECKS!$D$2:$D$1201,DECKS!$A$2:$A$1201,INDEX(_LEITURA!$P$2:$P$21,13),DECKS!$B$2:$B$1201,$A724))</f>
        <v/>
      </c>
      <c r="X724" s="19" t="str">
        <f aca="false">IF(OR($A724="",INDEX(_LEITURA!$Q$2:$Q$21,14)=0),"",SUMIFS(DECKS!$D$2:$D$1201,DECKS!$A$2:$A$1201,INDEX(_LEITURA!$P$2:$P$21,14),DECKS!$B$2:$B$1201,$A724))</f>
        <v/>
      </c>
      <c r="Y724" s="19" t="str">
        <f aca="false">IF(OR($A724="",INDEX(_LEITURA!$Q$2:$Q$21,15)=0),"",SUMIFS(DECKS!$D$2:$D$1201,DECKS!$A$2:$A$1201,INDEX(_LEITURA!$P$2:$P$21,15),DECKS!$B$2:$B$1201,$A724))</f>
        <v/>
      </c>
      <c r="Z724" s="19" t="str">
        <f aca="false">IF(OR($A724="",INDEX(_LEITURA!$Q$2:$Q$21,16)=0),"",SUMIFS(DECKS!$D$2:$D$1201,DECKS!$A$2:$A$1201,INDEX(_LEITURA!$P$2:$P$21,16),DECKS!$B$2:$B$1201,$A724))</f>
        <v/>
      </c>
      <c r="AA724" s="19" t="str">
        <f aca="false">IF(OR($A724="",INDEX(_LEITURA!$Q$2:$Q$21,17)=0),"",SUMIFS(DECKS!$D$2:$D$1201,DECKS!$A$2:$A$1201,INDEX(_LEITURA!$P$2:$P$21,17),DECKS!$B$2:$B$1201,$A724))</f>
        <v/>
      </c>
      <c r="AB724" s="19" t="str">
        <f aca="false">IF(OR($A724="",INDEX(_LEITURA!$Q$2:$Q$21,18)=0),"",SUMIFS(DECKS!$D$2:$D$1201,DECKS!$A$2:$A$1201,INDEX(_LEITURA!$P$2:$P$21,18),DECKS!$B$2:$B$1201,$A724))</f>
        <v/>
      </c>
      <c r="AC724" s="19" t="str">
        <f aca="false">IF(OR($A724="",INDEX(_LEITURA!$Q$2:$Q$21,19)=0),"",SUMIFS(DECKS!$D$2:$D$1201,DECKS!$A$2:$A$1201,INDEX(_LEITURA!$P$2:$P$21,19),DECKS!$B$2:$B$1201,$A724))</f>
        <v/>
      </c>
      <c r="AD724" s="19" t="str">
        <f aca="false">IF(OR($A724="",INDEX(_LEITURA!$Q$2:$Q$21,20)=0),"",SUMIFS(DECKS!$D$2:$D$1201,DECKS!$A$2:$A$1201,INDEX(_LEITURA!$P$2:$P$21,20),DECKS!$B$2:$B$1201,$A724))</f>
        <v/>
      </c>
      <c r="AE724" s="16" t="str">
        <f aca="false">IF(N(E724)&gt;0,MAX(AE$1:AE723)+1,"")</f>
        <v/>
      </c>
      <c r="AF724" s="11" t="str">
        <f aca="false">IF(A724="","",IFERROR(LEFT(A724,FIND("-",A724)-1),A724))</f>
        <v/>
      </c>
      <c r="AG724" s="11" t="str">
        <f aca="false">IF(AF724="","",IF(ISNUMBER(--MID(AF724,1,1)),0,IF(ISNUMBER(--MID(AF724,2,1)),1,IF(ISNUMBER(--MID(AF724,3,1)),2,IF(ISNUMBER(--MID(AF724,4,1)),3,MIN(LEN(AF724),4))))))</f>
        <v/>
      </c>
      <c r="AH724" s="11" t="str">
        <f aca="false">IF(A724="","",LEFT(AF724,AG724)&amp;REPT("0",4-AG724)&amp;RIGHT("000"&amp;IFERROR(VALUE(MID(AF724,AG724+1,9)),0),3)&amp;RIGHT("0000"&amp;IFERROR(VALUE(MID(A724,FIND("-",A724)+1,9)),0),4))</f>
        <v/>
      </c>
      <c r="AI724" s="11" t="str">
        <f aca="false">IF(OR(A724="",N(E724)&lt;=0),"",IF('FALTAS GERAL'!$M$1="Código","K"&amp;AH724&amp;RIGHT("00000"&amp;ROW(),5),IF('FALTAS GERAL'!$M$1="Nome","K"&amp;UPPER(SUBSTITUTE(SUBSTITUTE(SUBSTITUTE(B724,"*",""),"?",""),"~",""))&amp;"0"&amp;AH724&amp;RIGHT("00000"&amp;ROW(),5),IF('FALTAS GERAL'!$M$1="Falta (maior primeiro)","K"&amp;RIGHT("0000"&amp;(9999-E724),4)&amp;AH724&amp;RIGHT("00000"&amp;ROW(),5),IF('FALTAS GERAL'!$M$1="Nº de decks (maior primeiro)","K"&amp;RIGHT("00"&amp;(99-N(G724)),2)&amp;AH724&amp;RIGHT("00000"&amp;ROW(),5),"K"&amp;RIGHT("00000"&amp;ROW(),5))))))</f>
        <v/>
      </c>
      <c r="AJ724" s="11" t="str">
        <f aca="false">IF(AI724="","",COUNTIFS($AI$2:$AI$801,"&lt;"&amp;AI724,$E$2:$E$801,"&gt;0")+1)</f>
        <v/>
      </c>
      <c r="AK724" s="11" t="str">
        <f aca="false">IF(OR(A724="",N(E724)&lt;=0),"",COUNTIFS($AH$2:$AH$801,"&lt;"&amp;AH724,$E$2:$E$801,"&gt;0")+COUNTIFS($AH$2:AH724,AH724,$E$2:E724,"&gt;0"))</f>
        <v/>
      </c>
    </row>
    <row r="725" customFormat="false" ht="15" hidden="false" customHeight="false" outlineLevel="0" collapsed="false">
      <c r="A725" s="11" t="str">
        <f aca="false">IF(INVENTÁRIO!A725="","",INVENTÁRIO!A725)</f>
        <v/>
      </c>
      <c r="B725" s="11" t="str">
        <f aca="false">IF(A725="","",INVENTÁRIO!B725)</f>
        <v/>
      </c>
      <c r="C725" s="16" t="str">
        <f aca="false">IF(A725="","",INVENTÁRIO!C725)</f>
        <v/>
      </c>
      <c r="D725" s="14" t="str">
        <f aca="false">IF(A725="","",MAX(K725:AD725))</f>
        <v/>
      </c>
      <c r="E725" s="14" t="str">
        <f aca="false">IF(A725="","",MAX(0,D725-C725))</f>
        <v/>
      </c>
      <c r="F725" s="16" t="str">
        <f aca="false">IF(A725="","",IF(D725=0,"Fora dos decks",IF(E725=0,"Completo","Falta")))</f>
        <v/>
      </c>
      <c r="G725" s="16" t="str">
        <f aca="false">IF(A725="","",COUNTIF(K725:AD725,"&gt;0"))</f>
        <v/>
      </c>
      <c r="H725" s="16" t="str">
        <f aca="false">IF(A725="","",IF(G725&gt;1,"Sim",""))</f>
        <v/>
      </c>
      <c r="I725" s="18" t="str">
        <f aca="false">IF(A725="","",SUMIFS(DECKS!$D$2:$D$1201,DECKS!$B$2:$B$1201,A725))</f>
        <v/>
      </c>
      <c r="J725" s="18" t="str">
        <f aca="false">IF(A725="","",MAX(0,I725-C725))</f>
        <v/>
      </c>
      <c r="K725" s="19" t="str">
        <f aca="false">IF(OR($A725="",INDEX(_LEITURA!$Q$2:$Q$21,1)=0),"",SUMIFS(DECKS!$D$2:$D$1201,DECKS!$A$2:$A$1201,INDEX(_LEITURA!$P$2:$P$21,1),DECKS!$B$2:$B$1201,$A725))</f>
        <v/>
      </c>
      <c r="L725" s="19" t="str">
        <f aca="false">IF(OR($A725="",INDEX(_LEITURA!$Q$2:$Q$21,2)=0),"",SUMIFS(DECKS!$D$2:$D$1201,DECKS!$A$2:$A$1201,INDEX(_LEITURA!$P$2:$P$21,2),DECKS!$B$2:$B$1201,$A725))</f>
        <v/>
      </c>
      <c r="M725" s="19" t="str">
        <f aca="false">IF(OR($A725="",INDEX(_LEITURA!$Q$2:$Q$21,3)=0),"",SUMIFS(DECKS!$D$2:$D$1201,DECKS!$A$2:$A$1201,INDEX(_LEITURA!$P$2:$P$21,3),DECKS!$B$2:$B$1201,$A725))</f>
        <v/>
      </c>
      <c r="N725" s="19" t="str">
        <f aca="false">IF(OR($A725="",INDEX(_LEITURA!$Q$2:$Q$21,4)=0),"",SUMIFS(DECKS!$D$2:$D$1201,DECKS!$A$2:$A$1201,INDEX(_LEITURA!$P$2:$P$21,4),DECKS!$B$2:$B$1201,$A725))</f>
        <v/>
      </c>
      <c r="O725" s="19" t="str">
        <f aca="false">IF(OR($A725="",INDEX(_LEITURA!$Q$2:$Q$21,5)=0),"",SUMIFS(DECKS!$D$2:$D$1201,DECKS!$A$2:$A$1201,INDEX(_LEITURA!$P$2:$P$21,5),DECKS!$B$2:$B$1201,$A725))</f>
        <v/>
      </c>
      <c r="P725" s="19" t="str">
        <f aca="false">IF(OR($A725="",INDEX(_LEITURA!$Q$2:$Q$21,6)=0),"",SUMIFS(DECKS!$D$2:$D$1201,DECKS!$A$2:$A$1201,INDEX(_LEITURA!$P$2:$P$21,6),DECKS!$B$2:$B$1201,$A725))</f>
        <v/>
      </c>
      <c r="Q725" s="19" t="str">
        <f aca="false">IF(OR($A725="",INDEX(_LEITURA!$Q$2:$Q$21,7)=0),"",SUMIFS(DECKS!$D$2:$D$1201,DECKS!$A$2:$A$1201,INDEX(_LEITURA!$P$2:$P$21,7),DECKS!$B$2:$B$1201,$A725))</f>
        <v/>
      </c>
      <c r="R725" s="19" t="str">
        <f aca="false">IF(OR($A725="",INDEX(_LEITURA!$Q$2:$Q$21,8)=0),"",SUMIFS(DECKS!$D$2:$D$1201,DECKS!$A$2:$A$1201,INDEX(_LEITURA!$P$2:$P$21,8),DECKS!$B$2:$B$1201,$A725))</f>
        <v/>
      </c>
      <c r="S725" s="19" t="str">
        <f aca="false">IF(OR($A725="",INDEX(_LEITURA!$Q$2:$Q$21,9)=0),"",SUMIFS(DECKS!$D$2:$D$1201,DECKS!$A$2:$A$1201,INDEX(_LEITURA!$P$2:$P$21,9),DECKS!$B$2:$B$1201,$A725))</f>
        <v/>
      </c>
      <c r="T725" s="19" t="str">
        <f aca="false">IF(OR($A725="",INDEX(_LEITURA!$Q$2:$Q$21,10)=0),"",SUMIFS(DECKS!$D$2:$D$1201,DECKS!$A$2:$A$1201,INDEX(_LEITURA!$P$2:$P$21,10),DECKS!$B$2:$B$1201,$A725))</f>
        <v/>
      </c>
      <c r="U725" s="19" t="str">
        <f aca="false">IF(OR($A725="",INDEX(_LEITURA!$Q$2:$Q$21,11)=0),"",SUMIFS(DECKS!$D$2:$D$1201,DECKS!$A$2:$A$1201,INDEX(_LEITURA!$P$2:$P$21,11),DECKS!$B$2:$B$1201,$A725))</f>
        <v/>
      </c>
      <c r="V725" s="19" t="str">
        <f aca="false">IF(OR($A725="",INDEX(_LEITURA!$Q$2:$Q$21,12)=0),"",SUMIFS(DECKS!$D$2:$D$1201,DECKS!$A$2:$A$1201,INDEX(_LEITURA!$P$2:$P$21,12),DECKS!$B$2:$B$1201,$A725))</f>
        <v/>
      </c>
      <c r="W725" s="19" t="str">
        <f aca="false">IF(OR($A725="",INDEX(_LEITURA!$Q$2:$Q$21,13)=0),"",SUMIFS(DECKS!$D$2:$D$1201,DECKS!$A$2:$A$1201,INDEX(_LEITURA!$P$2:$P$21,13),DECKS!$B$2:$B$1201,$A725))</f>
        <v/>
      </c>
      <c r="X725" s="19" t="str">
        <f aca="false">IF(OR($A725="",INDEX(_LEITURA!$Q$2:$Q$21,14)=0),"",SUMIFS(DECKS!$D$2:$D$1201,DECKS!$A$2:$A$1201,INDEX(_LEITURA!$P$2:$P$21,14),DECKS!$B$2:$B$1201,$A725))</f>
        <v/>
      </c>
      <c r="Y725" s="19" t="str">
        <f aca="false">IF(OR($A725="",INDEX(_LEITURA!$Q$2:$Q$21,15)=0),"",SUMIFS(DECKS!$D$2:$D$1201,DECKS!$A$2:$A$1201,INDEX(_LEITURA!$P$2:$P$21,15),DECKS!$B$2:$B$1201,$A725))</f>
        <v/>
      </c>
      <c r="Z725" s="19" t="str">
        <f aca="false">IF(OR($A725="",INDEX(_LEITURA!$Q$2:$Q$21,16)=0),"",SUMIFS(DECKS!$D$2:$D$1201,DECKS!$A$2:$A$1201,INDEX(_LEITURA!$P$2:$P$21,16),DECKS!$B$2:$B$1201,$A725))</f>
        <v/>
      </c>
      <c r="AA725" s="19" t="str">
        <f aca="false">IF(OR($A725="",INDEX(_LEITURA!$Q$2:$Q$21,17)=0),"",SUMIFS(DECKS!$D$2:$D$1201,DECKS!$A$2:$A$1201,INDEX(_LEITURA!$P$2:$P$21,17),DECKS!$B$2:$B$1201,$A725))</f>
        <v/>
      </c>
      <c r="AB725" s="19" t="str">
        <f aca="false">IF(OR($A725="",INDEX(_LEITURA!$Q$2:$Q$21,18)=0),"",SUMIFS(DECKS!$D$2:$D$1201,DECKS!$A$2:$A$1201,INDEX(_LEITURA!$P$2:$P$21,18),DECKS!$B$2:$B$1201,$A725))</f>
        <v/>
      </c>
      <c r="AC725" s="19" t="str">
        <f aca="false">IF(OR($A725="",INDEX(_LEITURA!$Q$2:$Q$21,19)=0),"",SUMIFS(DECKS!$D$2:$D$1201,DECKS!$A$2:$A$1201,INDEX(_LEITURA!$P$2:$P$21,19),DECKS!$B$2:$B$1201,$A725))</f>
        <v/>
      </c>
      <c r="AD725" s="19" t="str">
        <f aca="false">IF(OR($A725="",INDEX(_LEITURA!$Q$2:$Q$21,20)=0),"",SUMIFS(DECKS!$D$2:$D$1201,DECKS!$A$2:$A$1201,INDEX(_LEITURA!$P$2:$P$21,20),DECKS!$B$2:$B$1201,$A725))</f>
        <v/>
      </c>
      <c r="AE725" s="16" t="str">
        <f aca="false">IF(N(E725)&gt;0,MAX(AE$1:AE724)+1,"")</f>
        <v/>
      </c>
      <c r="AF725" s="11" t="str">
        <f aca="false">IF(A725="","",IFERROR(LEFT(A725,FIND("-",A725)-1),A725))</f>
        <v/>
      </c>
      <c r="AG725" s="11" t="str">
        <f aca="false">IF(AF725="","",IF(ISNUMBER(--MID(AF725,1,1)),0,IF(ISNUMBER(--MID(AF725,2,1)),1,IF(ISNUMBER(--MID(AF725,3,1)),2,IF(ISNUMBER(--MID(AF725,4,1)),3,MIN(LEN(AF725),4))))))</f>
        <v/>
      </c>
      <c r="AH725" s="11" t="str">
        <f aca="false">IF(A725="","",LEFT(AF725,AG725)&amp;REPT("0",4-AG725)&amp;RIGHT("000"&amp;IFERROR(VALUE(MID(AF725,AG725+1,9)),0),3)&amp;RIGHT("0000"&amp;IFERROR(VALUE(MID(A725,FIND("-",A725)+1,9)),0),4))</f>
        <v/>
      </c>
      <c r="AI725" s="11" t="str">
        <f aca="false">IF(OR(A725="",N(E725)&lt;=0),"",IF('FALTAS GERAL'!$M$1="Código","K"&amp;AH725&amp;RIGHT("00000"&amp;ROW(),5),IF('FALTAS GERAL'!$M$1="Nome","K"&amp;UPPER(SUBSTITUTE(SUBSTITUTE(SUBSTITUTE(B725,"*",""),"?",""),"~",""))&amp;"0"&amp;AH725&amp;RIGHT("00000"&amp;ROW(),5),IF('FALTAS GERAL'!$M$1="Falta (maior primeiro)","K"&amp;RIGHT("0000"&amp;(9999-E725),4)&amp;AH725&amp;RIGHT("00000"&amp;ROW(),5),IF('FALTAS GERAL'!$M$1="Nº de decks (maior primeiro)","K"&amp;RIGHT("00"&amp;(99-N(G725)),2)&amp;AH725&amp;RIGHT("00000"&amp;ROW(),5),"K"&amp;RIGHT("00000"&amp;ROW(),5))))))</f>
        <v/>
      </c>
      <c r="AJ725" s="11" t="str">
        <f aca="false">IF(AI725="","",COUNTIFS($AI$2:$AI$801,"&lt;"&amp;AI725,$E$2:$E$801,"&gt;0")+1)</f>
        <v/>
      </c>
      <c r="AK725" s="11" t="str">
        <f aca="false">IF(OR(A725="",N(E725)&lt;=0),"",COUNTIFS($AH$2:$AH$801,"&lt;"&amp;AH725,$E$2:$E$801,"&gt;0")+COUNTIFS($AH$2:AH725,AH725,$E$2:E725,"&gt;0"))</f>
        <v/>
      </c>
    </row>
    <row r="726" customFormat="false" ht="15" hidden="false" customHeight="false" outlineLevel="0" collapsed="false">
      <c r="A726" s="11" t="str">
        <f aca="false">IF(INVENTÁRIO!A726="","",INVENTÁRIO!A726)</f>
        <v/>
      </c>
      <c r="B726" s="11" t="str">
        <f aca="false">IF(A726="","",INVENTÁRIO!B726)</f>
        <v/>
      </c>
      <c r="C726" s="16" t="str">
        <f aca="false">IF(A726="","",INVENTÁRIO!C726)</f>
        <v/>
      </c>
      <c r="D726" s="14" t="str">
        <f aca="false">IF(A726="","",MAX(K726:AD726))</f>
        <v/>
      </c>
      <c r="E726" s="14" t="str">
        <f aca="false">IF(A726="","",MAX(0,D726-C726))</f>
        <v/>
      </c>
      <c r="F726" s="16" t="str">
        <f aca="false">IF(A726="","",IF(D726=0,"Fora dos decks",IF(E726=0,"Completo","Falta")))</f>
        <v/>
      </c>
      <c r="G726" s="16" t="str">
        <f aca="false">IF(A726="","",COUNTIF(K726:AD726,"&gt;0"))</f>
        <v/>
      </c>
      <c r="H726" s="16" t="str">
        <f aca="false">IF(A726="","",IF(G726&gt;1,"Sim",""))</f>
        <v/>
      </c>
      <c r="I726" s="18" t="str">
        <f aca="false">IF(A726="","",SUMIFS(DECKS!$D$2:$D$1201,DECKS!$B$2:$B$1201,A726))</f>
        <v/>
      </c>
      <c r="J726" s="18" t="str">
        <f aca="false">IF(A726="","",MAX(0,I726-C726))</f>
        <v/>
      </c>
      <c r="K726" s="19" t="str">
        <f aca="false">IF(OR($A726="",INDEX(_LEITURA!$Q$2:$Q$21,1)=0),"",SUMIFS(DECKS!$D$2:$D$1201,DECKS!$A$2:$A$1201,INDEX(_LEITURA!$P$2:$P$21,1),DECKS!$B$2:$B$1201,$A726))</f>
        <v/>
      </c>
      <c r="L726" s="19" t="str">
        <f aca="false">IF(OR($A726="",INDEX(_LEITURA!$Q$2:$Q$21,2)=0),"",SUMIFS(DECKS!$D$2:$D$1201,DECKS!$A$2:$A$1201,INDEX(_LEITURA!$P$2:$P$21,2),DECKS!$B$2:$B$1201,$A726))</f>
        <v/>
      </c>
      <c r="M726" s="19" t="str">
        <f aca="false">IF(OR($A726="",INDEX(_LEITURA!$Q$2:$Q$21,3)=0),"",SUMIFS(DECKS!$D$2:$D$1201,DECKS!$A$2:$A$1201,INDEX(_LEITURA!$P$2:$P$21,3),DECKS!$B$2:$B$1201,$A726))</f>
        <v/>
      </c>
      <c r="N726" s="19" t="str">
        <f aca="false">IF(OR($A726="",INDEX(_LEITURA!$Q$2:$Q$21,4)=0),"",SUMIFS(DECKS!$D$2:$D$1201,DECKS!$A$2:$A$1201,INDEX(_LEITURA!$P$2:$P$21,4),DECKS!$B$2:$B$1201,$A726))</f>
        <v/>
      </c>
      <c r="O726" s="19" t="str">
        <f aca="false">IF(OR($A726="",INDEX(_LEITURA!$Q$2:$Q$21,5)=0),"",SUMIFS(DECKS!$D$2:$D$1201,DECKS!$A$2:$A$1201,INDEX(_LEITURA!$P$2:$P$21,5),DECKS!$B$2:$B$1201,$A726))</f>
        <v/>
      </c>
      <c r="P726" s="19" t="str">
        <f aca="false">IF(OR($A726="",INDEX(_LEITURA!$Q$2:$Q$21,6)=0),"",SUMIFS(DECKS!$D$2:$D$1201,DECKS!$A$2:$A$1201,INDEX(_LEITURA!$P$2:$P$21,6),DECKS!$B$2:$B$1201,$A726))</f>
        <v/>
      </c>
      <c r="Q726" s="19" t="str">
        <f aca="false">IF(OR($A726="",INDEX(_LEITURA!$Q$2:$Q$21,7)=0),"",SUMIFS(DECKS!$D$2:$D$1201,DECKS!$A$2:$A$1201,INDEX(_LEITURA!$P$2:$P$21,7),DECKS!$B$2:$B$1201,$A726))</f>
        <v/>
      </c>
      <c r="R726" s="19" t="str">
        <f aca="false">IF(OR($A726="",INDEX(_LEITURA!$Q$2:$Q$21,8)=0),"",SUMIFS(DECKS!$D$2:$D$1201,DECKS!$A$2:$A$1201,INDEX(_LEITURA!$P$2:$P$21,8),DECKS!$B$2:$B$1201,$A726))</f>
        <v/>
      </c>
      <c r="S726" s="19" t="str">
        <f aca="false">IF(OR($A726="",INDEX(_LEITURA!$Q$2:$Q$21,9)=0),"",SUMIFS(DECKS!$D$2:$D$1201,DECKS!$A$2:$A$1201,INDEX(_LEITURA!$P$2:$P$21,9),DECKS!$B$2:$B$1201,$A726))</f>
        <v/>
      </c>
      <c r="T726" s="19" t="str">
        <f aca="false">IF(OR($A726="",INDEX(_LEITURA!$Q$2:$Q$21,10)=0),"",SUMIFS(DECKS!$D$2:$D$1201,DECKS!$A$2:$A$1201,INDEX(_LEITURA!$P$2:$P$21,10),DECKS!$B$2:$B$1201,$A726))</f>
        <v/>
      </c>
      <c r="U726" s="19" t="str">
        <f aca="false">IF(OR($A726="",INDEX(_LEITURA!$Q$2:$Q$21,11)=0),"",SUMIFS(DECKS!$D$2:$D$1201,DECKS!$A$2:$A$1201,INDEX(_LEITURA!$P$2:$P$21,11),DECKS!$B$2:$B$1201,$A726))</f>
        <v/>
      </c>
      <c r="V726" s="19" t="str">
        <f aca="false">IF(OR($A726="",INDEX(_LEITURA!$Q$2:$Q$21,12)=0),"",SUMIFS(DECKS!$D$2:$D$1201,DECKS!$A$2:$A$1201,INDEX(_LEITURA!$P$2:$P$21,12),DECKS!$B$2:$B$1201,$A726))</f>
        <v/>
      </c>
      <c r="W726" s="19" t="str">
        <f aca="false">IF(OR($A726="",INDEX(_LEITURA!$Q$2:$Q$21,13)=0),"",SUMIFS(DECKS!$D$2:$D$1201,DECKS!$A$2:$A$1201,INDEX(_LEITURA!$P$2:$P$21,13),DECKS!$B$2:$B$1201,$A726))</f>
        <v/>
      </c>
      <c r="X726" s="19" t="str">
        <f aca="false">IF(OR($A726="",INDEX(_LEITURA!$Q$2:$Q$21,14)=0),"",SUMIFS(DECKS!$D$2:$D$1201,DECKS!$A$2:$A$1201,INDEX(_LEITURA!$P$2:$P$21,14),DECKS!$B$2:$B$1201,$A726))</f>
        <v/>
      </c>
      <c r="Y726" s="19" t="str">
        <f aca="false">IF(OR($A726="",INDEX(_LEITURA!$Q$2:$Q$21,15)=0),"",SUMIFS(DECKS!$D$2:$D$1201,DECKS!$A$2:$A$1201,INDEX(_LEITURA!$P$2:$P$21,15),DECKS!$B$2:$B$1201,$A726))</f>
        <v/>
      </c>
      <c r="Z726" s="19" t="str">
        <f aca="false">IF(OR($A726="",INDEX(_LEITURA!$Q$2:$Q$21,16)=0),"",SUMIFS(DECKS!$D$2:$D$1201,DECKS!$A$2:$A$1201,INDEX(_LEITURA!$P$2:$P$21,16),DECKS!$B$2:$B$1201,$A726))</f>
        <v/>
      </c>
      <c r="AA726" s="19" t="str">
        <f aca="false">IF(OR($A726="",INDEX(_LEITURA!$Q$2:$Q$21,17)=0),"",SUMIFS(DECKS!$D$2:$D$1201,DECKS!$A$2:$A$1201,INDEX(_LEITURA!$P$2:$P$21,17),DECKS!$B$2:$B$1201,$A726))</f>
        <v/>
      </c>
      <c r="AB726" s="19" t="str">
        <f aca="false">IF(OR($A726="",INDEX(_LEITURA!$Q$2:$Q$21,18)=0),"",SUMIFS(DECKS!$D$2:$D$1201,DECKS!$A$2:$A$1201,INDEX(_LEITURA!$P$2:$P$21,18),DECKS!$B$2:$B$1201,$A726))</f>
        <v/>
      </c>
      <c r="AC726" s="19" t="str">
        <f aca="false">IF(OR($A726="",INDEX(_LEITURA!$Q$2:$Q$21,19)=0),"",SUMIFS(DECKS!$D$2:$D$1201,DECKS!$A$2:$A$1201,INDEX(_LEITURA!$P$2:$P$21,19),DECKS!$B$2:$B$1201,$A726))</f>
        <v/>
      </c>
      <c r="AD726" s="19" t="str">
        <f aca="false">IF(OR($A726="",INDEX(_LEITURA!$Q$2:$Q$21,20)=0),"",SUMIFS(DECKS!$D$2:$D$1201,DECKS!$A$2:$A$1201,INDEX(_LEITURA!$P$2:$P$21,20),DECKS!$B$2:$B$1201,$A726))</f>
        <v/>
      </c>
      <c r="AE726" s="16" t="str">
        <f aca="false">IF(N(E726)&gt;0,MAX(AE$1:AE725)+1,"")</f>
        <v/>
      </c>
      <c r="AF726" s="11" t="str">
        <f aca="false">IF(A726="","",IFERROR(LEFT(A726,FIND("-",A726)-1),A726))</f>
        <v/>
      </c>
      <c r="AG726" s="11" t="str">
        <f aca="false">IF(AF726="","",IF(ISNUMBER(--MID(AF726,1,1)),0,IF(ISNUMBER(--MID(AF726,2,1)),1,IF(ISNUMBER(--MID(AF726,3,1)),2,IF(ISNUMBER(--MID(AF726,4,1)),3,MIN(LEN(AF726),4))))))</f>
        <v/>
      </c>
      <c r="AH726" s="11" t="str">
        <f aca="false">IF(A726="","",LEFT(AF726,AG726)&amp;REPT("0",4-AG726)&amp;RIGHT("000"&amp;IFERROR(VALUE(MID(AF726,AG726+1,9)),0),3)&amp;RIGHT("0000"&amp;IFERROR(VALUE(MID(A726,FIND("-",A726)+1,9)),0),4))</f>
        <v/>
      </c>
      <c r="AI726" s="11" t="str">
        <f aca="false">IF(OR(A726="",N(E726)&lt;=0),"",IF('FALTAS GERAL'!$M$1="Código","K"&amp;AH726&amp;RIGHT("00000"&amp;ROW(),5),IF('FALTAS GERAL'!$M$1="Nome","K"&amp;UPPER(SUBSTITUTE(SUBSTITUTE(SUBSTITUTE(B726,"*",""),"?",""),"~",""))&amp;"0"&amp;AH726&amp;RIGHT("00000"&amp;ROW(),5),IF('FALTAS GERAL'!$M$1="Falta (maior primeiro)","K"&amp;RIGHT("0000"&amp;(9999-E726),4)&amp;AH726&amp;RIGHT("00000"&amp;ROW(),5),IF('FALTAS GERAL'!$M$1="Nº de decks (maior primeiro)","K"&amp;RIGHT("00"&amp;(99-N(G726)),2)&amp;AH726&amp;RIGHT("00000"&amp;ROW(),5),"K"&amp;RIGHT("00000"&amp;ROW(),5))))))</f>
        <v/>
      </c>
      <c r="AJ726" s="11" t="str">
        <f aca="false">IF(AI726="","",COUNTIFS($AI$2:$AI$801,"&lt;"&amp;AI726,$E$2:$E$801,"&gt;0")+1)</f>
        <v/>
      </c>
      <c r="AK726" s="11" t="str">
        <f aca="false">IF(OR(A726="",N(E726)&lt;=0),"",COUNTIFS($AH$2:$AH$801,"&lt;"&amp;AH726,$E$2:$E$801,"&gt;0")+COUNTIFS($AH$2:AH726,AH726,$E$2:E726,"&gt;0"))</f>
        <v/>
      </c>
    </row>
    <row r="727" customFormat="false" ht="15" hidden="false" customHeight="false" outlineLevel="0" collapsed="false">
      <c r="A727" s="11" t="str">
        <f aca="false">IF(INVENTÁRIO!A727="","",INVENTÁRIO!A727)</f>
        <v/>
      </c>
      <c r="B727" s="11" t="str">
        <f aca="false">IF(A727="","",INVENTÁRIO!B727)</f>
        <v/>
      </c>
      <c r="C727" s="16" t="str">
        <f aca="false">IF(A727="","",INVENTÁRIO!C727)</f>
        <v/>
      </c>
      <c r="D727" s="14" t="str">
        <f aca="false">IF(A727="","",MAX(K727:AD727))</f>
        <v/>
      </c>
      <c r="E727" s="14" t="str">
        <f aca="false">IF(A727="","",MAX(0,D727-C727))</f>
        <v/>
      </c>
      <c r="F727" s="16" t="str">
        <f aca="false">IF(A727="","",IF(D727=0,"Fora dos decks",IF(E727=0,"Completo","Falta")))</f>
        <v/>
      </c>
      <c r="G727" s="16" t="str">
        <f aca="false">IF(A727="","",COUNTIF(K727:AD727,"&gt;0"))</f>
        <v/>
      </c>
      <c r="H727" s="16" t="str">
        <f aca="false">IF(A727="","",IF(G727&gt;1,"Sim",""))</f>
        <v/>
      </c>
      <c r="I727" s="18" t="str">
        <f aca="false">IF(A727="","",SUMIFS(DECKS!$D$2:$D$1201,DECKS!$B$2:$B$1201,A727))</f>
        <v/>
      </c>
      <c r="J727" s="18" t="str">
        <f aca="false">IF(A727="","",MAX(0,I727-C727))</f>
        <v/>
      </c>
      <c r="K727" s="19" t="str">
        <f aca="false">IF(OR($A727="",INDEX(_LEITURA!$Q$2:$Q$21,1)=0),"",SUMIFS(DECKS!$D$2:$D$1201,DECKS!$A$2:$A$1201,INDEX(_LEITURA!$P$2:$P$21,1),DECKS!$B$2:$B$1201,$A727))</f>
        <v/>
      </c>
      <c r="L727" s="19" t="str">
        <f aca="false">IF(OR($A727="",INDEX(_LEITURA!$Q$2:$Q$21,2)=0),"",SUMIFS(DECKS!$D$2:$D$1201,DECKS!$A$2:$A$1201,INDEX(_LEITURA!$P$2:$P$21,2),DECKS!$B$2:$B$1201,$A727))</f>
        <v/>
      </c>
      <c r="M727" s="19" t="str">
        <f aca="false">IF(OR($A727="",INDEX(_LEITURA!$Q$2:$Q$21,3)=0),"",SUMIFS(DECKS!$D$2:$D$1201,DECKS!$A$2:$A$1201,INDEX(_LEITURA!$P$2:$P$21,3),DECKS!$B$2:$B$1201,$A727))</f>
        <v/>
      </c>
      <c r="N727" s="19" t="str">
        <f aca="false">IF(OR($A727="",INDEX(_LEITURA!$Q$2:$Q$21,4)=0),"",SUMIFS(DECKS!$D$2:$D$1201,DECKS!$A$2:$A$1201,INDEX(_LEITURA!$P$2:$P$21,4),DECKS!$B$2:$B$1201,$A727))</f>
        <v/>
      </c>
      <c r="O727" s="19" t="str">
        <f aca="false">IF(OR($A727="",INDEX(_LEITURA!$Q$2:$Q$21,5)=0),"",SUMIFS(DECKS!$D$2:$D$1201,DECKS!$A$2:$A$1201,INDEX(_LEITURA!$P$2:$P$21,5),DECKS!$B$2:$B$1201,$A727))</f>
        <v/>
      </c>
      <c r="P727" s="19" t="str">
        <f aca="false">IF(OR($A727="",INDEX(_LEITURA!$Q$2:$Q$21,6)=0),"",SUMIFS(DECKS!$D$2:$D$1201,DECKS!$A$2:$A$1201,INDEX(_LEITURA!$P$2:$P$21,6),DECKS!$B$2:$B$1201,$A727))</f>
        <v/>
      </c>
      <c r="Q727" s="19" t="str">
        <f aca="false">IF(OR($A727="",INDEX(_LEITURA!$Q$2:$Q$21,7)=0),"",SUMIFS(DECKS!$D$2:$D$1201,DECKS!$A$2:$A$1201,INDEX(_LEITURA!$P$2:$P$21,7),DECKS!$B$2:$B$1201,$A727))</f>
        <v/>
      </c>
      <c r="R727" s="19" t="str">
        <f aca="false">IF(OR($A727="",INDEX(_LEITURA!$Q$2:$Q$21,8)=0),"",SUMIFS(DECKS!$D$2:$D$1201,DECKS!$A$2:$A$1201,INDEX(_LEITURA!$P$2:$P$21,8),DECKS!$B$2:$B$1201,$A727))</f>
        <v/>
      </c>
      <c r="S727" s="19" t="str">
        <f aca="false">IF(OR($A727="",INDEX(_LEITURA!$Q$2:$Q$21,9)=0),"",SUMIFS(DECKS!$D$2:$D$1201,DECKS!$A$2:$A$1201,INDEX(_LEITURA!$P$2:$P$21,9),DECKS!$B$2:$B$1201,$A727))</f>
        <v/>
      </c>
      <c r="T727" s="19" t="str">
        <f aca="false">IF(OR($A727="",INDEX(_LEITURA!$Q$2:$Q$21,10)=0),"",SUMIFS(DECKS!$D$2:$D$1201,DECKS!$A$2:$A$1201,INDEX(_LEITURA!$P$2:$P$21,10),DECKS!$B$2:$B$1201,$A727))</f>
        <v/>
      </c>
      <c r="U727" s="19" t="str">
        <f aca="false">IF(OR($A727="",INDEX(_LEITURA!$Q$2:$Q$21,11)=0),"",SUMIFS(DECKS!$D$2:$D$1201,DECKS!$A$2:$A$1201,INDEX(_LEITURA!$P$2:$P$21,11),DECKS!$B$2:$B$1201,$A727))</f>
        <v/>
      </c>
      <c r="V727" s="19" t="str">
        <f aca="false">IF(OR($A727="",INDEX(_LEITURA!$Q$2:$Q$21,12)=0),"",SUMIFS(DECKS!$D$2:$D$1201,DECKS!$A$2:$A$1201,INDEX(_LEITURA!$P$2:$P$21,12),DECKS!$B$2:$B$1201,$A727))</f>
        <v/>
      </c>
      <c r="W727" s="19" t="str">
        <f aca="false">IF(OR($A727="",INDEX(_LEITURA!$Q$2:$Q$21,13)=0),"",SUMIFS(DECKS!$D$2:$D$1201,DECKS!$A$2:$A$1201,INDEX(_LEITURA!$P$2:$P$21,13),DECKS!$B$2:$B$1201,$A727))</f>
        <v/>
      </c>
      <c r="X727" s="19" t="str">
        <f aca="false">IF(OR($A727="",INDEX(_LEITURA!$Q$2:$Q$21,14)=0),"",SUMIFS(DECKS!$D$2:$D$1201,DECKS!$A$2:$A$1201,INDEX(_LEITURA!$P$2:$P$21,14),DECKS!$B$2:$B$1201,$A727))</f>
        <v/>
      </c>
      <c r="Y727" s="19" t="str">
        <f aca="false">IF(OR($A727="",INDEX(_LEITURA!$Q$2:$Q$21,15)=0),"",SUMIFS(DECKS!$D$2:$D$1201,DECKS!$A$2:$A$1201,INDEX(_LEITURA!$P$2:$P$21,15),DECKS!$B$2:$B$1201,$A727))</f>
        <v/>
      </c>
      <c r="Z727" s="19" t="str">
        <f aca="false">IF(OR($A727="",INDEX(_LEITURA!$Q$2:$Q$21,16)=0),"",SUMIFS(DECKS!$D$2:$D$1201,DECKS!$A$2:$A$1201,INDEX(_LEITURA!$P$2:$P$21,16),DECKS!$B$2:$B$1201,$A727))</f>
        <v/>
      </c>
      <c r="AA727" s="19" t="str">
        <f aca="false">IF(OR($A727="",INDEX(_LEITURA!$Q$2:$Q$21,17)=0),"",SUMIFS(DECKS!$D$2:$D$1201,DECKS!$A$2:$A$1201,INDEX(_LEITURA!$P$2:$P$21,17),DECKS!$B$2:$B$1201,$A727))</f>
        <v/>
      </c>
      <c r="AB727" s="19" t="str">
        <f aca="false">IF(OR($A727="",INDEX(_LEITURA!$Q$2:$Q$21,18)=0),"",SUMIFS(DECKS!$D$2:$D$1201,DECKS!$A$2:$A$1201,INDEX(_LEITURA!$P$2:$P$21,18),DECKS!$B$2:$B$1201,$A727))</f>
        <v/>
      </c>
      <c r="AC727" s="19" t="str">
        <f aca="false">IF(OR($A727="",INDEX(_LEITURA!$Q$2:$Q$21,19)=0),"",SUMIFS(DECKS!$D$2:$D$1201,DECKS!$A$2:$A$1201,INDEX(_LEITURA!$P$2:$P$21,19),DECKS!$B$2:$B$1201,$A727))</f>
        <v/>
      </c>
      <c r="AD727" s="19" t="str">
        <f aca="false">IF(OR($A727="",INDEX(_LEITURA!$Q$2:$Q$21,20)=0),"",SUMIFS(DECKS!$D$2:$D$1201,DECKS!$A$2:$A$1201,INDEX(_LEITURA!$P$2:$P$21,20),DECKS!$B$2:$B$1201,$A727))</f>
        <v/>
      </c>
      <c r="AE727" s="16" t="str">
        <f aca="false">IF(N(E727)&gt;0,MAX(AE$1:AE726)+1,"")</f>
        <v/>
      </c>
      <c r="AF727" s="11" t="str">
        <f aca="false">IF(A727="","",IFERROR(LEFT(A727,FIND("-",A727)-1),A727))</f>
        <v/>
      </c>
      <c r="AG727" s="11" t="str">
        <f aca="false">IF(AF727="","",IF(ISNUMBER(--MID(AF727,1,1)),0,IF(ISNUMBER(--MID(AF727,2,1)),1,IF(ISNUMBER(--MID(AF727,3,1)),2,IF(ISNUMBER(--MID(AF727,4,1)),3,MIN(LEN(AF727),4))))))</f>
        <v/>
      </c>
      <c r="AH727" s="11" t="str">
        <f aca="false">IF(A727="","",LEFT(AF727,AG727)&amp;REPT("0",4-AG727)&amp;RIGHT("000"&amp;IFERROR(VALUE(MID(AF727,AG727+1,9)),0),3)&amp;RIGHT("0000"&amp;IFERROR(VALUE(MID(A727,FIND("-",A727)+1,9)),0),4))</f>
        <v/>
      </c>
      <c r="AI727" s="11" t="str">
        <f aca="false">IF(OR(A727="",N(E727)&lt;=0),"",IF('FALTAS GERAL'!$M$1="Código","K"&amp;AH727&amp;RIGHT("00000"&amp;ROW(),5),IF('FALTAS GERAL'!$M$1="Nome","K"&amp;UPPER(SUBSTITUTE(SUBSTITUTE(SUBSTITUTE(B727,"*",""),"?",""),"~",""))&amp;"0"&amp;AH727&amp;RIGHT("00000"&amp;ROW(),5),IF('FALTAS GERAL'!$M$1="Falta (maior primeiro)","K"&amp;RIGHT("0000"&amp;(9999-E727),4)&amp;AH727&amp;RIGHT("00000"&amp;ROW(),5),IF('FALTAS GERAL'!$M$1="Nº de decks (maior primeiro)","K"&amp;RIGHT("00"&amp;(99-N(G727)),2)&amp;AH727&amp;RIGHT("00000"&amp;ROW(),5),"K"&amp;RIGHT("00000"&amp;ROW(),5))))))</f>
        <v/>
      </c>
      <c r="AJ727" s="11" t="str">
        <f aca="false">IF(AI727="","",COUNTIFS($AI$2:$AI$801,"&lt;"&amp;AI727,$E$2:$E$801,"&gt;0")+1)</f>
        <v/>
      </c>
      <c r="AK727" s="11" t="str">
        <f aca="false">IF(OR(A727="",N(E727)&lt;=0),"",COUNTIFS($AH$2:$AH$801,"&lt;"&amp;AH727,$E$2:$E$801,"&gt;0")+COUNTIFS($AH$2:AH727,AH727,$E$2:E727,"&gt;0"))</f>
        <v/>
      </c>
    </row>
    <row r="728" customFormat="false" ht="15" hidden="false" customHeight="false" outlineLevel="0" collapsed="false">
      <c r="A728" s="11" t="str">
        <f aca="false">IF(INVENTÁRIO!A728="","",INVENTÁRIO!A728)</f>
        <v/>
      </c>
      <c r="B728" s="11" t="str">
        <f aca="false">IF(A728="","",INVENTÁRIO!B728)</f>
        <v/>
      </c>
      <c r="C728" s="16" t="str">
        <f aca="false">IF(A728="","",INVENTÁRIO!C728)</f>
        <v/>
      </c>
      <c r="D728" s="14" t="str">
        <f aca="false">IF(A728="","",MAX(K728:AD728))</f>
        <v/>
      </c>
      <c r="E728" s="14" t="str">
        <f aca="false">IF(A728="","",MAX(0,D728-C728))</f>
        <v/>
      </c>
      <c r="F728" s="16" t="str">
        <f aca="false">IF(A728="","",IF(D728=0,"Fora dos decks",IF(E728=0,"Completo","Falta")))</f>
        <v/>
      </c>
      <c r="G728" s="16" t="str">
        <f aca="false">IF(A728="","",COUNTIF(K728:AD728,"&gt;0"))</f>
        <v/>
      </c>
      <c r="H728" s="16" t="str">
        <f aca="false">IF(A728="","",IF(G728&gt;1,"Sim",""))</f>
        <v/>
      </c>
      <c r="I728" s="18" t="str">
        <f aca="false">IF(A728="","",SUMIFS(DECKS!$D$2:$D$1201,DECKS!$B$2:$B$1201,A728))</f>
        <v/>
      </c>
      <c r="J728" s="18" t="str">
        <f aca="false">IF(A728="","",MAX(0,I728-C728))</f>
        <v/>
      </c>
      <c r="K728" s="19" t="str">
        <f aca="false">IF(OR($A728="",INDEX(_LEITURA!$Q$2:$Q$21,1)=0),"",SUMIFS(DECKS!$D$2:$D$1201,DECKS!$A$2:$A$1201,INDEX(_LEITURA!$P$2:$P$21,1),DECKS!$B$2:$B$1201,$A728))</f>
        <v/>
      </c>
      <c r="L728" s="19" t="str">
        <f aca="false">IF(OR($A728="",INDEX(_LEITURA!$Q$2:$Q$21,2)=0),"",SUMIFS(DECKS!$D$2:$D$1201,DECKS!$A$2:$A$1201,INDEX(_LEITURA!$P$2:$P$21,2),DECKS!$B$2:$B$1201,$A728))</f>
        <v/>
      </c>
      <c r="M728" s="19" t="str">
        <f aca="false">IF(OR($A728="",INDEX(_LEITURA!$Q$2:$Q$21,3)=0),"",SUMIFS(DECKS!$D$2:$D$1201,DECKS!$A$2:$A$1201,INDEX(_LEITURA!$P$2:$P$21,3),DECKS!$B$2:$B$1201,$A728))</f>
        <v/>
      </c>
      <c r="N728" s="19" t="str">
        <f aca="false">IF(OR($A728="",INDEX(_LEITURA!$Q$2:$Q$21,4)=0),"",SUMIFS(DECKS!$D$2:$D$1201,DECKS!$A$2:$A$1201,INDEX(_LEITURA!$P$2:$P$21,4),DECKS!$B$2:$B$1201,$A728))</f>
        <v/>
      </c>
      <c r="O728" s="19" t="str">
        <f aca="false">IF(OR($A728="",INDEX(_LEITURA!$Q$2:$Q$21,5)=0),"",SUMIFS(DECKS!$D$2:$D$1201,DECKS!$A$2:$A$1201,INDEX(_LEITURA!$P$2:$P$21,5),DECKS!$B$2:$B$1201,$A728))</f>
        <v/>
      </c>
      <c r="P728" s="19" t="str">
        <f aca="false">IF(OR($A728="",INDEX(_LEITURA!$Q$2:$Q$21,6)=0),"",SUMIFS(DECKS!$D$2:$D$1201,DECKS!$A$2:$A$1201,INDEX(_LEITURA!$P$2:$P$21,6),DECKS!$B$2:$B$1201,$A728))</f>
        <v/>
      </c>
      <c r="Q728" s="19" t="str">
        <f aca="false">IF(OR($A728="",INDEX(_LEITURA!$Q$2:$Q$21,7)=0),"",SUMIFS(DECKS!$D$2:$D$1201,DECKS!$A$2:$A$1201,INDEX(_LEITURA!$P$2:$P$21,7),DECKS!$B$2:$B$1201,$A728))</f>
        <v/>
      </c>
      <c r="R728" s="19" t="str">
        <f aca="false">IF(OR($A728="",INDEX(_LEITURA!$Q$2:$Q$21,8)=0),"",SUMIFS(DECKS!$D$2:$D$1201,DECKS!$A$2:$A$1201,INDEX(_LEITURA!$P$2:$P$21,8),DECKS!$B$2:$B$1201,$A728))</f>
        <v/>
      </c>
      <c r="S728" s="19" t="str">
        <f aca="false">IF(OR($A728="",INDEX(_LEITURA!$Q$2:$Q$21,9)=0),"",SUMIFS(DECKS!$D$2:$D$1201,DECKS!$A$2:$A$1201,INDEX(_LEITURA!$P$2:$P$21,9),DECKS!$B$2:$B$1201,$A728))</f>
        <v/>
      </c>
      <c r="T728" s="19" t="str">
        <f aca="false">IF(OR($A728="",INDEX(_LEITURA!$Q$2:$Q$21,10)=0),"",SUMIFS(DECKS!$D$2:$D$1201,DECKS!$A$2:$A$1201,INDEX(_LEITURA!$P$2:$P$21,10),DECKS!$B$2:$B$1201,$A728))</f>
        <v/>
      </c>
      <c r="U728" s="19" t="str">
        <f aca="false">IF(OR($A728="",INDEX(_LEITURA!$Q$2:$Q$21,11)=0),"",SUMIFS(DECKS!$D$2:$D$1201,DECKS!$A$2:$A$1201,INDEX(_LEITURA!$P$2:$P$21,11),DECKS!$B$2:$B$1201,$A728))</f>
        <v/>
      </c>
      <c r="V728" s="19" t="str">
        <f aca="false">IF(OR($A728="",INDEX(_LEITURA!$Q$2:$Q$21,12)=0),"",SUMIFS(DECKS!$D$2:$D$1201,DECKS!$A$2:$A$1201,INDEX(_LEITURA!$P$2:$P$21,12),DECKS!$B$2:$B$1201,$A728))</f>
        <v/>
      </c>
      <c r="W728" s="19" t="str">
        <f aca="false">IF(OR($A728="",INDEX(_LEITURA!$Q$2:$Q$21,13)=0),"",SUMIFS(DECKS!$D$2:$D$1201,DECKS!$A$2:$A$1201,INDEX(_LEITURA!$P$2:$P$21,13),DECKS!$B$2:$B$1201,$A728))</f>
        <v/>
      </c>
      <c r="X728" s="19" t="str">
        <f aca="false">IF(OR($A728="",INDEX(_LEITURA!$Q$2:$Q$21,14)=0),"",SUMIFS(DECKS!$D$2:$D$1201,DECKS!$A$2:$A$1201,INDEX(_LEITURA!$P$2:$P$21,14),DECKS!$B$2:$B$1201,$A728))</f>
        <v/>
      </c>
      <c r="Y728" s="19" t="str">
        <f aca="false">IF(OR($A728="",INDEX(_LEITURA!$Q$2:$Q$21,15)=0),"",SUMIFS(DECKS!$D$2:$D$1201,DECKS!$A$2:$A$1201,INDEX(_LEITURA!$P$2:$P$21,15),DECKS!$B$2:$B$1201,$A728))</f>
        <v/>
      </c>
      <c r="Z728" s="19" t="str">
        <f aca="false">IF(OR($A728="",INDEX(_LEITURA!$Q$2:$Q$21,16)=0),"",SUMIFS(DECKS!$D$2:$D$1201,DECKS!$A$2:$A$1201,INDEX(_LEITURA!$P$2:$P$21,16),DECKS!$B$2:$B$1201,$A728))</f>
        <v/>
      </c>
      <c r="AA728" s="19" t="str">
        <f aca="false">IF(OR($A728="",INDEX(_LEITURA!$Q$2:$Q$21,17)=0),"",SUMIFS(DECKS!$D$2:$D$1201,DECKS!$A$2:$A$1201,INDEX(_LEITURA!$P$2:$P$21,17),DECKS!$B$2:$B$1201,$A728))</f>
        <v/>
      </c>
      <c r="AB728" s="19" t="str">
        <f aca="false">IF(OR($A728="",INDEX(_LEITURA!$Q$2:$Q$21,18)=0),"",SUMIFS(DECKS!$D$2:$D$1201,DECKS!$A$2:$A$1201,INDEX(_LEITURA!$P$2:$P$21,18),DECKS!$B$2:$B$1201,$A728))</f>
        <v/>
      </c>
      <c r="AC728" s="19" t="str">
        <f aca="false">IF(OR($A728="",INDEX(_LEITURA!$Q$2:$Q$21,19)=0),"",SUMIFS(DECKS!$D$2:$D$1201,DECKS!$A$2:$A$1201,INDEX(_LEITURA!$P$2:$P$21,19),DECKS!$B$2:$B$1201,$A728))</f>
        <v/>
      </c>
      <c r="AD728" s="19" t="str">
        <f aca="false">IF(OR($A728="",INDEX(_LEITURA!$Q$2:$Q$21,20)=0),"",SUMIFS(DECKS!$D$2:$D$1201,DECKS!$A$2:$A$1201,INDEX(_LEITURA!$P$2:$P$21,20),DECKS!$B$2:$B$1201,$A728))</f>
        <v/>
      </c>
      <c r="AE728" s="16" t="str">
        <f aca="false">IF(N(E728)&gt;0,MAX(AE$1:AE727)+1,"")</f>
        <v/>
      </c>
      <c r="AF728" s="11" t="str">
        <f aca="false">IF(A728="","",IFERROR(LEFT(A728,FIND("-",A728)-1),A728))</f>
        <v/>
      </c>
      <c r="AG728" s="11" t="str">
        <f aca="false">IF(AF728="","",IF(ISNUMBER(--MID(AF728,1,1)),0,IF(ISNUMBER(--MID(AF728,2,1)),1,IF(ISNUMBER(--MID(AF728,3,1)),2,IF(ISNUMBER(--MID(AF728,4,1)),3,MIN(LEN(AF728),4))))))</f>
        <v/>
      </c>
      <c r="AH728" s="11" t="str">
        <f aca="false">IF(A728="","",LEFT(AF728,AG728)&amp;REPT("0",4-AG728)&amp;RIGHT("000"&amp;IFERROR(VALUE(MID(AF728,AG728+1,9)),0),3)&amp;RIGHT("0000"&amp;IFERROR(VALUE(MID(A728,FIND("-",A728)+1,9)),0),4))</f>
        <v/>
      </c>
      <c r="AI728" s="11" t="str">
        <f aca="false">IF(OR(A728="",N(E728)&lt;=0),"",IF('FALTAS GERAL'!$M$1="Código","K"&amp;AH728&amp;RIGHT("00000"&amp;ROW(),5),IF('FALTAS GERAL'!$M$1="Nome","K"&amp;UPPER(SUBSTITUTE(SUBSTITUTE(SUBSTITUTE(B728,"*",""),"?",""),"~",""))&amp;"0"&amp;AH728&amp;RIGHT("00000"&amp;ROW(),5),IF('FALTAS GERAL'!$M$1="Falta (maior primeiro)","K"&amp;RIGHT("0000"&amp;(9999-E728),4)&amp;AH728&amp;RIGHT("00000"&amp;ROW(),5),IF('FALTAS GERAL'!$M$1="Nº de decks (maior primeiro)","K"&amp;RIGHT("00"&amp;(99-N(G728)),2)&amp;AH728&amp;RIGHT("00000"&amp;ROW(),5),"K"&amp;RIGHT("00000"&amp;ROW(),5))))))</f>
        <v/>
      </c>
      <c r="AJ728" s="11" t="str">
        <f aca="false">IF(AI728="","",COUNTIFS($AI$2:$AI$801,"&lt;"&amp;AI728,$E$2:$E$801,"&gt;0")+1)</f>
        <v/>
      </c>
      <c r="AK728" s="11" t="str">
        <f aca="false">IF(OR(A728="",N(E728)&lt;=0),"",COUNTIFS($AH$2:$AH$801,"&lt;"&amp;AH728,$E$2:$E$801,"&gt;0")+COUNTIFS($AH$2:AH728,AH728,$E$2:E728,"&gt;0"))</f>
        <v/>
      </c>
    </row>
    <row r="729" customFormat="false" ht="15" hidden="false" customHeight="false" outlineLevel="0" collapsed="false">
      <c r="A729" s="11" t="str">
        <f aca="false">IF(INVENTÁRIO!A729="","",INVENTÁRIO!A729)</f>
        <v/>
      </c>
      <c r="B729" s="11" t="str">
        <f aca="false">IF(A729="","",INVENTÁRIO!B729)</f>
        <v/>
      </c>
      <c r="C729" s="16" t="str">
        <f aca="false">IF(A729="","",INVENTÁRIO!C729)</f>
        <v/>
      </c>
      <c r="D729" s="14" t="str">
        <f aca="false">IF(A729="","",MAX(K729:AD729))</f>
        <v/>
      </c>
      <c r="E729" s="14" t="str">
        <f aca="false">IF(A729="","",MAX(0,D729-C729))</f>
        <v/>
      </c>
      <c r="F729" s="16" t="str">
        <f aca="false">IF(A729="","",IF(D729=0,"Fora dos decks",IF(E729=0,"Completo","Falta")))</f>
        <v/>
      </c>
      <c r="G729" s="16" t="str">
        <f aca="false">IF(A729="","",COUNTIF(K729:AD729,"&gt;0"))</f>
        <v/>
      </c>
      <c r="H729" s="16" t="str">
        <f aca="false">IF(A729="","",IF(G729&gt;1,"Sim",""))</f>
        <v/>
      </c>
      <c r="I729" s="18" t="str">
        <f aca="false">IF(A729="","",SUMIFS(DECKS!$D$2:$D$1201,DECKS!$B$2:$B$1201,A729))</f>
        <v/>
      </c>
      <c r="J729" s="18" t="str">
        <f aca="false">IF(A729="","",MAX(0,I729-C729))</f>
        <v/>
      </c>
      <c r="K729" s="19" t="str">
        <f aca="false">IF(OR($A729="",INDEX(_LEITURA!$Q$2:$Q$21,1)=0),"",SUMIFS(DECKS!$D$2:$D$1201,DECKS!$A$2:$A$1201,INDEX(_LEITURA!$P$2:$P$21,1),DECKS!$B$2:$B$1201,$A729))</f>
        <v/>
      </c>
      <c r="L729" s="19" t="str">
        <f aca="false">IF(OR($A729="",INDEX(_LEITURA!$Q$2:$Q$21,2)=0),"",SUMIFS(DECKS!$D$2:$D$1201,DECKS!$A$2:$A$1201,INDEX(_LEITURA!$P$2:$P$21,2),DECKS!$B$2:$B$1201,$A729))</f>
        <v/>
      </c>
      <c r="M729" s="19" t="str">
        <f aca="false">IF(OR($A729="",INDEX(_LEITURA!$Q$2:$Q$21,3)=0),"",SUMIFS(DECKS!$D$2:$D$1201,DECKS!$A$2:$A$1201,INDEX(_LEITURA!$P$2:$P$21,3),DECKS!$B$2:$B$1201,$A729))</f>
        <v/>
      </c>
      <c r="N729" s="19" t="str">
        <f aca="false">IF(OR($A729="",INDEX(_LEITURA!$Q$2:$Q$21,4)=0),"",SUMIFS(DECKS!$D$2:$D$1201,DECKS!$A$2:$A$1201,INDEX(_LEITURA!$P$2:$P$21,4),DECKS!$B$2:$B$1201,$A729))</f>
        <v/>
      </c>
      <c r="O729" s="19" t="str">
        <f aca="false">IF(OR($A729="",INDEX(_LEITURA!$Q$2:$Q$21,5)=0),"",SUMIFS(DECKS!$D$2:$D$1201,DECKS!$A$2:$A$1201,INDEX(_LEITURA!$P$2:$P$21,5),DECKS!$B$2:$B$1201,$A729))</f>
        <v/>
      </c>
      <c r="P729" s="19" t="str">
        <f aca="false">IF(OR($A729="",INDEX(_LEITURA!$Q$2:$Q$21,6)=0),"",SUMIFS(DECKS!$D$2:$D$1201,DECKS!$A$2:$A$1201,INDEX(_LEITURA!$P$2:$P$21,6),DECKS!$B$2:$B$1201,$A729))</f>
        <v/>
      </c>
      <c r="Q729" s="19" t="str">
        <f aca="false">IF(OR($A729="",INDEX(_LEITURA!$Q$2:$Q$21,7)=0),"",SUMIFS(DECKS!$D$2:$D$1201,DECKS!$A$2:$A$1201,INDEX(_LEITURA!$P$2:$P$21,7),DECKS!$B$2:$B$1201,$A729))</f>
        <v/>
      </c>
      <c r="R729" s="19" t="str">
        <f aca="false">IF(OR($A729="",INDEX(_LEITURA!$Q$2:$Q$21,8)=0),"",SUMIFS(DECKS!$D$2:$D$1201,DECKS!$A$2:$A$1201,INDEX(_LEITURA!$P$2:$P$21,8),DECKS!$B$2:$B$1201,$A729))</f>
        <v/>
      </c>
      <c r="S729" s="19" t="str">
        <f aca="false">IF(OR($A729="",INDEX(_LEITURA!$Q$2:$Q$21,9)=0),"",SUMIFS(DECKS!$D$2:$D$1201,DECKS!$A$2:$A$1201,INDEX(_LEITURA!$P$2:$P$21,9),DECKS!$B$2:$B$1201,$A729))</f>
        <v/>
      </c>
      <c r="T729" s="19" t="str">
        <f aca="false">IF(OR($A729="",INDEX(_LEITURA!$Q$2:$Q$21,10)=0),"",SUMIFS(DECKS!$D$2:$D$1201,DECKS!$A$2:$A$1201,INDEX(_LEITURA!$P$2:$P$21,10),DECKS!$B$2:$B$1201,$A729))</f>
        <v/>
      </c>
      <c r="U729" s="19" t="str">
        <f aca="false">IF(OR($A729="",INDEX(_LEITURA!$Q$2:$Q$21,11)=0),"",SUMIFS(DECKS!$D$2:$D$1201,DECKS!$A$2:$A$1201,INDEX(_LEITURA!$P$2:$P$21,11),DECKS!$B$2:$B$1201,$A729))</f>
        <v/>
      </c>
      <c r="V729" s="19" t="str">
        <f aca="false">IF(OR($A729="",INDEX(_LEITURA!$Q$2:$Q$21,12)=0),"",SUMIFS(DECKS!$D$2:$D$1201,DECKS!$A$2:$A$1201,INDEX(_LEITURA!$P$2:$P$21,12),DECKS!$B$2:$B$1201,$A729))</f>
        <v/>
      </c>
      <c r="W729" s="19" t="str">
        <f aca="false">IF(OR($A729="",INDEX(_LEITURA!$Q$2:$Q$21,13)=0),"",SUMIFS(DECKS!$D$2:$D$1201,DECKS!$A$2:$A$1201,INDEX(_LEITURA!$P$2:$P$21,13),DECKS!$B$2:$B$1201,$A729))</f>
        <v/>
      </c>
      <c r="X729" s="19" t="str">
        <f aca="false">IF(OR($A729="",INDEX(_LEITURA!$Q$2:$Q$21,14)=0),"",SUMIFS(DECKS!$D$2:$D$1201,DECKS!$A$2:$A$1201,INDEX(_LEITURA!$P$2:$P$21,14),DECKS!$B$2:$B$1201,$A729))</f>
        <v/>
      </c>
      <c r="Y729" s="19" t="str">
        <f aca="false">IF(OR($A729="",INDEX(_LEITURA!$Q$2:$Q$21,15)=0),"",SUMIFS(DECKS!$D$2:$D$1201,DECKS!$A$2:$A$1201,INDEX(_LEITURA!$P$2:$P$21,15),DECKS!$B$2:$B$1201,$A729))</f>
        <v/>
      </c>
      <c r="Z729" s="19" t="str">
        <f aca="false">IF(OR($A729="",INDEX(_LEITURA!$Q$2:$Q$21,16)=0),"",SUMIFS(DECKS!$D$2:$D$1201,DECKS!$A$2:$A$1201,INDEX(_LEITURA!$P$2:$P$21,16),DECKS!$B$2:$B$1201,$A729))</f>
        <v/>
      </c>
      <c r="AA729" s="19" t="str">
        <f aca="false">IF(OR($A729="",INDEX(_LEITURA!$Q$2:$Q$21,17)=0),"",SUMIFS(DECKS!$D$2:$D$1201,DECKS!$A$2:$A$1201,INDEX(_LEITURA!$P$2:$P$21,17),DECKS!$B$2:$B$1201,$A729))</f>
        <v/>
      </c>
      <c r="AB729" s="19" t="str">
        <f aca="false">IF(OR($A729="",INDEX(_LEITURA!$Q$2:$Q$21,18)=0),"",SUMIFS(DECKS!$D$2:$D$1201,DECKS!$A$2:$A$1201,INDEX(_LEITURA!$P$2:$P$21,18),DECKS!$B$2:$B$1201,$A729))</f>
        <v/>
      </c>
      <c r="AC729" s="19" t="str">
        <f aca="false">IF(OR($A729="",INDEX(_LEITURA!$Q$2:$Q$21,19)=0),"",SUMIFS(DECKS!$D$2:$D$1201,DECKS!$A$2:$A$1201,INDEX(_LEITURA!$P$2:$P$21,19),DECKS!$B$2:$B$1201,$A729))</f>
        <v/>
      </c>
      <c r="AD729" s="19" t="str">
        <f aca="false">IF(OR($A729="",INDEX(_LEITURA!$Q$2:$Q$21,20)=0),"",SUMIFS(DECKS!$D$2:$D$1201,DECKS!$A$2:$A$1201,INDEX(_LEITURA!$P$2:$P$21,20),DECKS!$B$2:$B$1201,$A729))</f>
        <v/>
      </c>
      <c r="AE729" s="16" t="str">
        <f aca="false">IF(N(E729)&gt;0,MAX(AE$1:AE728)+1,"")</f>
        <v/>
      </c>
      <c r="AF729" s="11" t="str">
        <f aca="false">IF(A729="","",IFERROR(LEFT(A729,FIND("-",A729)-1),A729))</f>
        <v/>
      </c>
      <c r="AG729" s="11" t="str">
        <f aca="false">IF(AF729="","",IF(ISNUMBER(--MID(AF729,1,1)),0,IF(ISNUMBER(--MID(AF729,2,1)),1,IF(ISNUMBER(--MID(AF729,3,1)),2,IF(ISNUMBER(--MID(AF729,4,1)),3,MIN(LEN(AF729),4))))))</f>
        <v/>
      </c>
      <c r="AH729" s="11" t="str">
        <f aca="false">IF(A729="","",LEFT(AF729,AG729)&amp;REPT("0",4-AG729)&amp;RIGHT("000"&amp;IFERROR(VALUE(MID(AF729,AG729+1,9)),0),3)&amp;RIGHT("0000"&amp;IFERROR(VALUE(MID(A729,FIND("-",A729)+1,9)),0),4))</f>
        <v/>
      </c>
      <c r="AI729" s="11" t="str">
        <f aca="false">IF(OR(A729="",N(E729)&lt;=0),"",IF('FALTAS GERAL'!$M$1="Código","K"&amp;AH729&amp;RIGHT("00000"&amp;ROW(),5),IF('FALTAS GERAL'!$M$1="Nome","K"&amp;UPPER(SUBSTITUTE(SUBSTITUTE(SUBSTITUTE(B729,"*",""),"?",""),"~",""))&amp;"0"&amp;AH729&amp;RIGHT("00000"&amp;ROW(),5),IF('FALTAS GERAL'!$M$1="Falta (maior primeiro)","K"&amp;RIGHT("0000"&amp;(9999-E729),4)&amp;AH729&amp;RIGHT("00000"&amp;ROW(),5),IF('FALTAS GERAL'!$M$1="Nº de decks (maior primeiro)","K"&amp;RIGHT("00"&amp;(99-N(G729)),2)&amp;AH729&amp;RIGHT("00000"&amp;ROW(),5),"K"&amp;RIGHT("00000"&amp;ROW(),5))))))</f>
        <v/>
      </c>
      <c r="AJ729" s="11" t="str">
        <f aca="false">IF(AI729="","",COUNTIFS($AI$2:$AI$801,"&lt;"&amp;AI729,$E$2:$E$801,"&gt;0")+1)</f>
        <v/>
      </c>
      <c r="AK729" s="11" t="str">
        <f aca="false">IF(OR(A729="",N(E729)&lt;=0),"",COUNTIFS($AH$2:$AH$801,"&lt;"&amp;AH729,$E$2:$E$801,"&gt;0")+COUNTIFS($AH$2:AH729,AH729,$E$2:E729,"&gt;0"))</f>
        <v/>
      </c>
    </row>
    <row r="730" customFormat="false" ht="15" hidden="false" customHeight="false" outlineLevel="0" collapsed="false">
      <c r="A730" s="11" t="str">
        <f aca="false">IF(INVENTÁRIO!A730="","",INVENTÁRIO!A730)</f>
        <v/>
      </c>
      <c r="B730" s="11" t="str">
        <f aca="false">IF(A730="","",INVENTÁRIO!B730)</f>
        <v/>
      </c>
      <c r="C730" s="16" t="str">
        <f aca="false">IF(A730="","",INVENTÁRIO!C730)</f>
        <v/>
      </c>
      <c r="D730" s="14" t="str">
        <f aca="false">IF(A730="","",MAX(K730:AD730))</f>
        <v/>
      </c>
      <c r="E730" s="14" t="str">
        <f aca="false">IF(A730="","",MAX(0,D730-C730))</f>
        <v/>
      </c>
      <c r="F730" s="16" t="str">
        <f aca="false">IF(A730="","",IF(D730=0,"Fora dos decks",IF(E730=0,"Completo","Falta")))</f>
        <v/>
      </c>
      <c r="G730" s="16" t="str">
        <f aca="false">IF(A730="","",COUNTIF(K730:AD730,"&gt;0"))</f>
        <v/>
      </c>
      <c r="H730" s="16" t="str">
        <f aca="false">IF(A730="","",IF(G730&gt;1,"Sim",""))</f>
        <v/>
      </c>
      <c r="I730" s="18" t="str">
        <f aca="false">IF(A730="","",SUMIFS(DECKS!$D$2:$D$1201,DECKS!$B$2:$B$1201,A730))</f>
        <v/>
      </c>
      <c r="J730" s="18" t="str">
        <f aca="false">IF(A730="","",MAX(0,I730-C730))</f>
        <v/>
      </c>
      <c r="K730" s="19" t="str">
        <f aca="false">IF(OR($A730="",INDEX(_LEITURA!$Q$2:$Q$21,1)=0),"",SUMIFS(DECKS!$D$2:$D$1201,DECKS!$A$2:$A$1201,INDEX(_LEITURA!$P$2:$P$21,1),DECKS!$B$2:$B$1201,$A730))</f>
        <v/>
      </c>
      <c r="L730" s="19" t="str">
        <f aca="false">IF(OR($A730="",INDEX(_LEITURA!$Q$2:$Q$21,2)=0),"",SUMIFS(DECKS!$D$2:$D$1201,DECKS!$A$2:$A$1201,INDEX(_LEITURA!$P$2:$P$21,2),DECKS!$B$2:$B$1201,$A730))</f>
        <v/>
      </c>
      <c r="M730" s="19" t="str">
        <f aca="false">IF(OR($A730="",INDEX(_LEITURA!$Q$2:$Q$21,3)=0),"",SUMIFS(DECKS!$D$2:$D$1201,DECKS!$A$2:$A$1201,INDEX(_LEITURA!$P$2:$P$21,3),DECKS!$B$2:$B$1201,$A730))</f>
        <v/>
      </c>
      <c r="N730" s="19" t="str">
        <f aca="false">IF(OR($A730="",INDEX(_LEITURA!$Q$2:$Q$21,4)=0),"",SUMIFS(DECKS!$D$2:$D$1201,DECKS!$A$2:$A$1201,INDEX(_LEITURA!$P$2:$P$21,4),DECKS!$B$2:$B$1201,$A730))</f>
        <v/>
      </c>
      <c r="O730" s="19" t="str">
        <f aca="false">IF(OR($A730="",INDEX(_LEITURA!$Q$2:$Q$21,5)=0),"",SUMIFS(DECKS!$D$2:$D$1201,DECKS!$A$2:$A$1201,INDEX(_LEITURA!$P$2:$P$21,5),DECKS!$B$2:$B$1201,$A730))</f>
        <v/>
      </c>
      <c r="P730" s="19" t="str">
        <f aca="false">IF(OR($A730="",INDEX(_LEITURA!$Q$2:$Q$21,6)=0),"",SUMIFS(DECKS!$D$2:$D$1201,DECKS!$A$2:$A$1201,INDEX(_LEITURA!$P$2:$P$21,6),DECKS!$B$2:$B$1201,$A730))</f>
        <v/>
      </c>
      <c r="Q730" s="19" t="str">
        <f aca="false">IF(OR($A730="",INDEX(_LEITURA!$Q$2:$Q$21,7)=0),"",SUMIFS(DECKS!$D$2:$D$1201,DECKS!$A$2:$A$1201,INDEX(_LEITURA!$P$2:$P$21,7),DECKS!$B$2:$B$1201,$A730))</f>
        <v/>
      </c>
      <c r="R730" s="19" t="str">
        <f aca="false">IF(OR($A730="",INDEX(_LEITURA!$Q$2:$Q$21,8)=0),"",SUMIFS(DECKS!$D$2:$D$1201,DECKS!$A$2:$A$1201,INDEX(_LEITURA!$P$2:$P$21,8),DECKS!$B$2:$B$1201,$A730))</f>
        <v/>
      </c>
      <c r="S730" s="19" t="str">
        <f aca="false">IF(OR($A730="",INDEX(_LEITURA!$Q$2:$Q$21,9)=0),"",SUMIFS(DECKS!$D$2:$D$1201,DECKS!$A$2:$A$1201,INDEX(_LEITURA!$P$2:$P$21,9),DECKS!$B$2:$B$1201,$A730))</f>
        <v/>
      </c>
      <c r="T730" s="19" t="str">
        <f aca="false">IF(OR($A730="",INDEX(_LEITURA!$Q$2:$Q$21,10)=0),"",SUMIFS(DECKS!$D$2:$D$1201,DECKS!$A$2:$A$1201,INDEX(_LEITURA!$P$2:$P$21,10),DECKS!$B$2:$B$1201,$A730))</f>
        <v/>
      </c>
      <c r="U730" s="19" t="str">
        <f aca="false">IF(OR($A730="",INDEX(_LEITURA!$Q$2:$Q$21,11)=0),"",SUMIFS(DECKS!$D$2:$D$1201,DECKS!$A$2:$A$1201,INDEX(_LEITURA!$P$2:$P$21,11),DECKS!$B$2:$B$1201,$A730))</f>
        <v/>
      </c>
      <c r="V730" s="19" t="str">
        <f aca="false">IF(OR($A730="",INDEX(_LEITURA!$Q$2:$Q$21,12)=0),"",SUMIFS(DECKS!$D$2:$D$1201,DECKS!$A$2:$A$1201,INDEX(_LEITURA!$P$2:$P$21,12),DECKS!$B$2:$B$1201,$A730))</f>
        <v/>
      </c>
      <c r="W730" s="19" t="str">
        <f aca="false">IF(OR($A730="",INDEX(_LEITURA!$Q$2:$Q$21,13)=0),"",SUMIFS(DECKS!$D$2:$D$1201,DECKS!$A$2:$A$1201,INDEX(_LEITURA!$P$2:$P$21,13),DECKS!$B$2:$B$1201,$A730))</f>
        <v/>
      </c>
      <c r="X730" s="19" t="str">
        <f aca="false">IF(OR($A730="",INDEX(_LEITURA!$Q$2:$Q$21,14)=0),"",SUMIFS(DECKS!$D$2:$D$1201,DECKS!$A$2:$A$1201,INDEX(_LEITURA!$P$2:$P$21,14),DECKS!$B$2:$B$1201,$A730))</f>
        <v/>
      </c>
      <c r="Y730" s="19" t="str">
        <f aca="false">IF(OR($A730="",INDEX(_LEITURA!$Q$2:$Q$21,15)=0),"",SUMIFS(DECKS!$D$2:$D$1201,DECKS!$A$2:$A$1201,INDEX(_LEITURA!$P$2:$P$21,15),DECKS!$B$2:$B$1201,$A730))</f>
        <v/>
      </c>
      <c r="Z730" s="19" t="str">
        <f aca="false">IF(OR($A730="",INDEX(_LEITURA!$Q$2:$Q$21,16)=0),"",SUMIFS(DECKS!$D$2:$D$1201,DECKS!$A$2:$A$1201,INDEX(_LEITURA!$P$2:$P$21,16),DECKS!$B$2:$B$1201,$A730))</f>
        <v/>
      </c>
      <c r="AA730" s="19" t="str">
        <f aca="false">IF(OR($A730="",INDEX(_LEITURA!$Q$2:$Q$21,17)=0),"",SUMIFS(DECKS!$D$2:$D$1201,DECKS!$A$2:$A$1201,INDEX(_LEITURA!$P$2:$P$21,17),DECKS!$B$2:$B$1201,$A730))</f>
        <v/>
      </c>
      <c r="AB730" s="19" t="str">
        <f aca="false">IF(OR($A730="",INDEX(_LEITURA!$Q$2:$Q$21,18)=0),"",SUMIFS(DECKS!$D$2:$D$1201,DECKS!$A$2:$A$1201,INDEX(_LEITURA!$P$2:$P$21,18),DECKS!$B$2:$B$1201,$A730))</f>
        <v/>
      </c>
      <c r="AC730" s="19" t="str">
        <f aca="false">IF(OR($A730="",INDEX(_LEITURA!$Q$2:$Q$21,19)=0),"",SUMIFS(DECKS!$D$2:$D$1201,DECKS!$A$2:$A$1201,INDEX(_LEITURA!$P$2:$P$21,19),DECKS!$B$2:$B$1201,$A730))</f>
        <v/>
      </c>
      <c r="AD730" s="19" t="str">
        <f aca="false">IF(OR($A730="",INDEX(_LEITURA!$Q$2:$Q$21,20)=0),"",SUMIFS(DECKS!$D$2:$D$1201,DECKS!$A$2:$A$1201,INDEX(_LEITURA!$P$2:$P$21,20),DECKS!$B$2:$B$1201,$A730))</f>
        <v/>
      </c>
      <c r="AE730" s="16" t="str">
        <f aca="false">IF(N(E730)&gt;0,MAX(AE$1:AE729)+1,"")</f>
        <v/>
      </c>
      <c r="AF730" s="11" t="str">
        <f aca="false">IF(A730="","",IFERROR(LEFT(A730,FIND("-",A730)-1),A730))</f>
        <v/>
      </c>
      <c r="AG730" s="11" t="str">
        <f aca="false">IF(AF730="","",IF(ISNUMBER(--MID(AF730,1,1)),0,IF(ISNUMBER(--MID(AF730,2,1)),1,IF(ISNUMBER(--MID(AF730,3,1)),2,IF(ISNUMBER(--MID(AF730,4,1)),3,MIN(LEN(AF730),4))))))</f>
        <v/>
      </c>
      <c r="AH730" s="11" t="str">
        <f aca="false">IF(A730="","",LEFT(AF730,AG730)&amp;REPT("0",4-AG730)&amp;RIGHT("000"&amp;IFERROR(VALUE(MID(AF730,AG730+1,9)),0),3)&amp;RIGHT("0000"&amp;IFERROR(VALUE(MID(A730,FIND("-",A730)+1,9)),0),4))</f>
        <v/>
      </c>
      <c r="AI730" s="11" t="str">
        <f aca="false">IF(OR(A730="",N(E730)&lt;=0),"",IF('FALTAS GERAL'!$M$1="Código","K"&amp;AH730&amp;RIGHT("00000"&amp;ROW(),5),IF('FALTAS GERAL'!$M$1="Nome","K"&amp;UPPER(SUBSTITUTE(SUBSTITUTE(SUBSTITUTE(B730,"*",""),"?",""),"~",""))&amp;"0"&amp;AH730&amp;RIGHT("00000"&amp;ROW(),5),IF('FALTAS GERAL'!$M$1="Falta (maior primeiro)","K"&amp;RIGHT("0000"&amp;(9999-E730),4)&amp;AH730&amp;RIGHT("00000"&amp;ROW(),5),IF('FALTAS GERAL'!$M$1="Nº de decks (maior primeiro)","K"&amp;RIGHT("00"&amp;(99-N(G730)),2)&amp;AH730&amp;RIGHT("00000"&amp;ROW(),5),"K"&amp;RIGHT("00000"&amp;ROW(),5))))))</f>
        <v/>
      </c>
      <c r="AJ730" s="11" t="str">
        <f aca="false">IF(AI730="","",COUNTIFS($AI$2:$AI$801,"&lt;"&amp;AI730,$E$2:$E$801,"&gt;0")+1)</f>
        <v/>
      </c>
      <c r="AK730" s="11" t="str">
        <f aca="false">IF(OR(A730="",N(E730)&lt;=0),"",COUNTIFS($AH$2:$AH$801,"&lt;"&amp;AH730,$E$2:$E$801,"&gt;0")+COUNTIFS($AH$2:AH730,AH730,$E$2:E730,"&gt;0"))</f>
        <v/>
      </c>
    </row>
    <row r="731" customFormat="false" ht="15" hidden="false" customHeight="false" outlineLevel="0" collapsed="false">
      <c r="A731" s="11" t="str">
        <f aca="false">IF(INVENTÁRIO!A731="","",INVENTÁRIO!A731)</f>
        <v/>
      </c>
      <c r="B731" s="11" t="str">
        <f aca="false">IF(A731="","",INVENTÁRIO!B731)</f>
        <v/>
      </c>
      <c r="C731" s="16" t="str">
        <f aca="false">IF(A731="","",INVENTÁRIO!C731)</f>
        <v/>
      </c>
      <c r="D731" s="14" t="str">
        <f aca="false">IF(A731="","",MAX(K731:AD731))</f>
        <v/>
      </c>
      <c r="E731" s="14" t="str">
        <f aca="false">IF(A731="","",MAX(0,D731-C731))</f>
        <v/>
      </c>
      <c r="F731" s="16" t="str">
        <f aca="false">IF(A731="","",IF(D731=0,"Fora dos decks",IF(E731=0,"Completo","Falta")))</f>
        <v/>
      </c>
      <c r="G731" s="16" t="str">
        <f aca="false">IF(A731="","",COUNTIF(K731:AD731,"&gt;0"))</f>
        <v/>
      </c>
      <c r="H731" s="16" t="str">
        <f aca="false">IF(A731="","",IF(G731&gt;1,"Sim",""))</f>
        <v/>
      </c>
      <c r="I731" s="18" t="str">
        <f aca="false">IF(A731="","",SUMIFS(DECKS!$D$2:$D$1201,DECKS!$B$2:$B$1201,A731))</f>
        <v/>
      </c>
      <c r="J731" s="18" t="str">
        <f aca="false">IF(A731="","",MAX(0,I731-C731))</f>
        <v/>
      </c>
      <c r="K731" s="19" t="str">
        <f aca="false">IF(OR($A731="",INDEX(_LEITURA!$Q$2:$Q$21,1)=0),"",SUMIFS(DECKS!$D$2:$D$1201,DECKS!$A$2:$A$1201,INDEX(_LEITURA!$P$2:$P$21,1),DECKS!$B$2:$B$1201,$A731))</f>
        <v/>
      </c>
      <c r="L731" s="19" t="str">
        <f aca="false">IF(OR($A731="",INDEX(_LEITURA!$Q$2:$Q$21,2)=0),"",SUMIFS(DECKS!$D$2:$D$1201,DECKS!$A$2:$A$1201,INDEX(_LEITURA!$P$2:$P$21,2),DECKS!$B$2:$B$1201,$A731))</f>
        <v/>
      </c>
      <c r="M731" s="19" t="str">
        <f aca="false">IF(OR($A731="",INDEX(_LEITURA!$Q$2:$Q$21,3)=0),"",SUMIFS(DECKS!$D$2:$D$1201,DECKS!$A$2:$A$1201,INDEX(_LEITURA!$P$2:$P$21,3),DECKS!$B$2:$B$1201,$A731))</f>
        <v/>
      </c>
      <c r="N731" s="19" t="str">
        <f aca="false">IF(OR($A731="",INDEX(_LEITURA!$Q$2:$Q$21,4)=0),"",SUMIFS(DECKS!$D$2:$D$1201,DECKS!$A$2:$A$1201,INDEX(_LEITURA!$P$2:$P$21,4),DECKS!$B$2:$B$1201,$A731))</f>
        <v/>
      </c>
      <c r="O731" s="19" t="str">
        <f aca="false">IF(OR($A731="",INDEX(_LEITURA!$Q$2:$Q$21,5)=0),"",SUMIFS(DECKS!$D$2:$D$1201,DECKS!$A$2:$A$1201,INDEX(_LEITURA!$P$2:$P$21,5),DECKS!$B$2:$B$1201,$A731))</f>
        <v/>
      </c>
      <c r="P731" s="19" t="str">
        <f aca="false">IF(OR($A731="",INDEX(_LEITURA!$Q$2:$Q$21,6)=0),"",SUMIFS(DECKS!$D$2:$D$1201,DECKS!$A$2:$A$1201,INDEX(_LEITURA!$P$2:$P$21,6),DECKS!$B$2:$B$1201,$A731))</f>
        <v/>
      </c>
      <c r="Q731" s="19" t="str">
        <f aca="false">IF(OR($A731="",INDEX(_LEITURA!$Q$2:$Q$21,7)=0),"",SUMIFS(DECKS!$D$2:$D$1201,DECKS!$A$2:$A$1201,INDEX(_LEITURA!$P$2:$P$21,7),DECKS!$B$2:$B$1201,$A731))</f>
        <v/>
      </c>
      <c r="R731" s="19" t="str">
        <f aca="false">IF(OR($A731="",INDEX(_LEITURA!$Q$2:$Q$21,8)=0),"",SUMIFS(DECKS!$D$2:$D$1201,DECKS!$A$2:$A$1201,INDEX(_LEITURA!$P$2:$P$21,8),DECKS!$B$2:$B$1201,$A731))</f>
        <v/>
      </c>
      <c r="S731" s="19" t="str">
        <f aca="false">IF(OR($A731="",INDEX(_LEITURA!$Q$2:$Q$21,9)=0),"",SUMIFS(DECKS!$D$2:$D$1201,DECKS!$A$2:$A$1201,INDEX(_LEITURA!$P$2:$P$21,9),DECKS!$B$2:$B$1201,$A731))</f>
        <v/>
      </c>
      <c r="T731" s="19" t="str">
        <f aca="false">IF(OR($A731="",INDEX(_LEITURA!$Q$2:$Q$21,10)=0),"",SUMIFS(DECKS!$D$2:$D$1201,DECKS!$A$2:$A$1201,INDEX(_LEITURA!$P$2:$P$21,10),DECKS!$B$2:$B$1201,$A731))</f>
        <v/>
      </c>
      <c r="U731" s="19" t="str">
        <f aca="false">IF(OR($A731="",INDEX(_LEITURA!$Q$2:$Q$21,11)=0),"",SUMIFS(DECKS!$D$2:$D$1201,DECKS!$A$2:$A$1201,INDEX(_LEITURA!$P$2:$P$21,11),DECKS!$B$2:$B$1201,$A731))</f>
        <v/>
      </c>
      <c r="V731" s="19" t="str">
        <f aca="false">IF(OR($A731="",INDEX(_LEITURA!$Q$2:$Q$21,12)=0),"",SUMIFS(DECKS!$D$2:$D$1201,DECKS!$A$2:$A$1201,INDEX(_LEITURA!$P$2:$P$21,12),DECKS!$B$2:$B$1201,$A731))</f>
        <v/>
      </c>
      <c r="W731" s="19" t="str">
        <f aca="false">IF(OR($A731="",INDEX(_LEITURA!$Q$2:$Q$21,13)=0),"",SUMIFS(DECKS!$D$2:$D$1201,DECKS!$A$2:$A$1201,INDEX(_LEITURA!$P$2:$P$21,13),DECKS!$B$2:$B$1201,$A731))</f>
        <v/>
      </c>
      <c r="X731" s="19" t="str">
        <f aca="false">IF(OR($A731="",INDEX(_LEITURA!$Q$2:$Q$21,14)=0),"",SUMIFS(DECKS!$D$2:$D$1201,DECKS!$A$2:$A$1201,INDEX(_LEITURA!$P$2:$P$21,14),DECKS!$B$2:$B$1201,$A731))</f>
        <v/>
      </c>
      <c r="Y731" s="19" t="str">
        <f aca="false">IF(OR($A731="",INDEX(_LEITURA!$Q$2:$Q$21,15)=0),"",SUMIFS(DECKS!$D$2:$D$1201,DECKS!$A$2:$A$1201,INDEX(_LEITURA!$P$2:$P$21,15),DECKS!$B$2:$B$1201,$A731))</f>
        <v/>
      </c>
      <c r="Z731" s="19" t="str">
        <f aca="false">IF(OR($A731="",INDEX(_LEITURA!$Q$2:$Q$21,16)=0),"",SUMIFS(DECKS!$D$2:$D$1201,DECKS!$A$2:$A$1201,INDEX(_LEITURA!$P$2:$P$21,16),DECKS!$B$2:$B$1201,$A731))</f>
        <v/>
      </c>
      <c r="AA731" s="19" t="str">
        <f aca="false">IF(OR($A731="",INDEX(_LEITURA!$Q$2:$Q$21,17)=0),"",SUMIFS(DECKS!$D$2:$D$1201,DECKS!$A$2:$A$1201,INDEX(_LEITURA!$P$2:$P$21,17),DECKS!$B$2:$B$1201,$A731))</f>
        <v/>
      </c>
      <c r="AB731" s="19" t="str">
        <f aca="false">IF(OR($A731="",INDEX(_LEITURA!$Q$2:$Q$21,18)=0),"",SUMIFS(DECKS!$D$2:$D$1201,DECKS!$A$2:$A$1201,INDEX(_LEITURA!$P$2:$P$21,18),DECKS!$B$2:$B$1201,$A731))</f>
        <v/>
      </c>
      <c r="AC731" s="19" t="str">
        <f aca="false">IF(OR($A731="",INDEX(_LEITURA!$Q$2:$Q$21,19)=0),"",SUMIFS(DECKS!$D$2:$D$1201,DECKS!$A$2:$A$1201,INDEX(_LEITURA!$P$2:$P$21,19),DECKS!$B$2:$B$1201,$A731))</f>
        <v/>
      </c>
      <c r="AD731" s="19" t="str">
        <f aca="false">IF(OR($A731="",INDEX(_LEITURA!$Q$2:$Q$21,20)=0),"",SUMIFS(DECKS!$D$2:$D$1201,DECKS!$A$2:$A$1201,INDEX(_LEITURA!$P$2:$P$21,20),DECKS!$B$2:$B$1201,$A731))</f>
        <v/>
      </c>
      <c r="AE731" s="16" t="str">
        <f aca="false">IF(N(E731)&gt;0,MAX(AE$1:AE730)+1,"")</f>
        <v/>
      </c>
      <c r="AF731" s="11" t="str">
        <f aca="false">IF(A731="","",IFERROR(LEFT(A731,FIND("-",A731)-1),A731))</f>
        <v/>
      </c>
      <c r="AG731" s="11" t="str">
        <f aca="false">IF(AF731="","",IF(ISNUMBER(--MID(AF731,1,1)),0,IF(ISNUMBER(--MID(AF731,2,1)),1,IF(ISNUMBER(--MID(AF731,3,1)),2,IF(ISNUMBER(--MID(AF731,4,1)),3,MIN(LEN(AF731),4))))))</f>
        <v/>
      </c>
      <c r="AH731" s="11" t="str">
        <f aca="false">IF(A731="","",LEFT(AF731,AG731)&amp;REPT("0",4-AG731)&amp;RIGHT("000"&amp;IFERROR(VALUE(MID(AF731,AG731+1,9)),0),3)&amp;RIGHT("0000"&amp;IFERROR(VALUE(MID(A731,FIND("-",A731)+1,9)),0),4))</f>
        <v/>
      </c>
      <c r="AI731" s="11" t="str">
        <f aca="false">IF(OR(A731="",N(E731)&lt;=0),"",IF('FALTAS GERAL'!$M$1="Código","K"&amp;AH731&amp;RIGHT("00000"&amp;ROW(),5),IF('FALTAS GERAL'!$M$1="Nome","K"&amp;UPPER(SUBSTITUTE(SUBSTITUTE(SUBSTITUTE(B731,"*",""),"?",""),"~",""))&amp;"0"&amp;AH731&amp;RIGHT("00000"&amp;ROW(),5),IF('FALTAS GERAL'!$M$1="Falta (maior primeiro)","K"&amp;RIGHT("0000"&amp;(9999-E731),4)&amp;AH731&amp;RIGHT("00000"&amp;ROW(),5),IF('FALTAS GERAL'!$M$1="Nº de decks (maior primeiro)","K"&amp;RIGHT("00"&amp;(99-N(G731)),2)&amp;AH731&amp;RIGHT("00000"&amp;ROW(),5),"K"&amp;RIGHT("00000"&amp;ROW(),5))))))</f>
        <v/>
      </c>
      <c r="AJ731" s="11" t="str">
        <f aca="false">IF(AI731="","",COUNTIFS($AI$2:$AI$801,"&lt;"&amp;AI731,$E$2:$E$801,"&gt;0")+1)</f>
        <v/>
      </c>
      <c r="AK731" s="11" t="str">
        <f aca="false">IF(OR(A731="",N(E731)&lt;=0),"",COUNTIFS($AH$2:$AH$801,"&lt;"&amp;AH731,$E$2:$E$801,"&gt;0")+COUNTIFS($AH$2:AH731,AH731,$E$2:E731,"&gt;0"))</f>
        <v/>
      </c>
    </row>
    <row r="732" customFormat="false" ht="15" hidden="false" customHeight="false" outlineLevel="0" collapsed="false">
      <c r="A732" s="11" t="str">
        <f aca="false">IF(INVENTÁRIO!A732="","",INVENTÁRIO!A732)</f>
        <v/>
      </c>
      <c r="B732" s="11" t="str">
        <f aca="false">IF(A732="","",INVENTÁRIO!B732)</f>
        <v/>
      </c>
      <c r="C732" s="16" t="str">
        <f aca="false">IF(A732="","",INVENTÁRIO!C732)</f>
        <v/>
      </c>
      <c r="D732" s="14" t="str">
        <f aca="false">IF(A732="","",MAX(K732:AD732))</f>
        <v/>
      </c>
      <c r="E732" s="14" t="str">
        <f aca="false">IF(A732="","",MAX(0,D732-C732))</f>
        <v/>
      </c>
      <c r="F732" s="16" t="str">
        <f aca="false">IF(A732="","",IF(D732=0,"Fora dos decks",IF(E732=0,"Completo","Falta")))</f>
        <v/>
      </c>
      <c r="G732" s="16" t="str">
        <f aca="false">IF(A732="","",COUNTIF(K732:AD732,"&gt;0"))</f>
        <v/>
      </c>
      <c r="H732" s="16" t="str">
        <f aca="false">IF(A732="","",IF(G732&gt;1,"Sim",""))</f>
        <v/>
      </c>
      <c r="I732" s="18" t="str">
        <f aca="false">IF(A732="","",SUMIFS(DECKS!$D$2:$D$1201,DECKS!$B$2:$B$1201,A732))</f>
        <v/>
      </c>
      <c r="J732" s="18" t="str">
        <f aca="false">IF(A732="","",MAX(0,I732-C732))</f>
        <v/>
      </c>
      <c r="K732" s="19" t="str">
        <f aca="false">IF(OR($A732="",INDEX(_LEITURA!$Q$2:$Q$21,1)=0),"",SUMIFS(DECKS!$D$2:$D$1201,DECKS!$A$2:$A$1201,INDEX(_LEITURA!$P$2:$P$21,1),DECKS!$B$2:$B$1201,$A732))</f>
        <v/>
      </c>
      <c r="L732" s="19" t="str">
        <f aca="false">IF(OR($A732="",INDEX(_LEITURA!$Q$2:$Q$21,2)=0),"",SUMIFS(DECKS!$D$2:$D$1201,DECKS!$A$2:$A$1201,INDEX(_LEITURA!$P$2:$P$21,2),DECKS!$B$2:$B$1201,$A732))</f>
        <v/>
      </c>
      <c r="M732" s="19" t="str">
        <f aca="false">IF(OR($A732="",INDEX(_LEITURA!$Q$2:$Q$21,3)=0),"",SUMIFS(DECKS!$D$2:$D$1201,DECKS!$A$2:$A$1201,INDEX(_LEITURA!$P$2:$P$21,3),DECKS!$B$2:$B$1201,$A732))</f>
        <v/>
      </c>
      <c r="N732" s="19" t="str">
        <f aca="false">IF(OR($A732="",INDEX(_LEITURA!$Q$2:$Q$21,4)=0),"",SUMIFS(DECKS!$D$2:$D$1201,DECKS!$A$2:$A$1201,INDEX(_LEITURA!$P$2:$P$21,4),DECKS!$B$2:$B$1201,$A732))</f>
        <v/>
      </c>
      <c r="O732" s="19" t="str">
        <f aca="false">IF(OR($A732="",INDEX(_LEITURA!$Q$2:$Q$21,5)=0),"",SUMIFS(DECKS!$D$2:$D$1201,DECKS!$A$2:$A$1201,INDEX(_LEITURA!$P$2:$P$21,5),DECKS!$B$2:$B$1201,$A732))</f>
        <v/>
      </c>
      <c r="P732" s="19" t="str">
        <f aca="false">IF(OR($A732="",INDEX(_LEITURA!$Q$2:$Q$21,6)=0),"",SUMIFS(DECKS!$D$2:$D$1201,DECKS!$A$2:$A$1201,INDEX(_LEITURA!$P$2:$P$21,6),DECKS!$B$2:$B$1201,$A732))</f>
        <v/>
      </c>
      <c r="Q732" s="19" t="str">
        <f aca="false">IF(OR($A732="",INDEX(_LEITURA!$Q$2:$Q$21,7)=0),"",SUMIFS(DECKS!$D$2:$D$1201,DECKS!$A$2:$A$1201,INDEX(_LEITURA!$P$2:$P$21,7),DECKS!$B$2:$B$1201,$A732))</f>
        <v/>
      </c>
      <c r="R732" s="19" t="str">
        <f aca="false">IF(OR($A732="",INDEX(_LEITURA!$Q$2:$Q$21,8)=0),"",SUMIFS(DECKS!$D$2:$D$1201,DECKS!$A$2:$A$1201,INDEX(_LEITURA!$P$2:$P$21,8),DECKS!$B$2:$B$1201,$A732))</f>
        <v/>
      </c>
      <c r="S732" s="19" t="str">
        <f aca="false">IF(OR($A732="",INDEX(_LEITURA!$Q$2:$Q$21,9)=0),"",SUMIFS(DECKS!$D$2:$D$1201,DECKS!$A$2:$A$1201,INDEX(_LEITURA!$P$2:$P$21,9),DECKS!$B$2:$B$1201,$A732))</f>
        <v/>
      </c>
      <c r="T732" s="19" t="str">
        <f aca="false">IF(OR($A732="",INDEX(_LEITURA!$Q$2:$Q$21,10)=0),"",SUMIFS(DECKS!$D$2:$D$1201,DECKS!$A$2:$A$1201,INDEX(_LEITURA!$P$2:$P$21,10),DECKS!$B$2:$B$1201,$A732))</f>
        <v/>
      </c>
      <c r="U732" s="19" t="str">
        <f aca="false">IF(OR($A732="",INDEX(_LEITURA!$Q$2:$Q$21,11)=0),"",SUMIFS(DECKS!$D$2:$D$1201,DECKS!$A$2:$A$1201,INDEX(_LEITURA!$P$2:$P$21,11),DECKS!$B$2:$B$1201,$A732))</f>
        <v/>
      </c>
      <c r="V732" s="19" t="str">
        <f aca="false">IF(OR($A732="",INDEX(_LEITURA!$Q$2:$Q$21,12)=0),"",SUMIFS(DECKS!$D$2:$D$1201,DECKS!$A$2:$A$1201,INDEX(_LEITURA!$P$2:$P$21,12),DECKS!$B$2:$B$1201,$A732))</f>
        <v/>
      </c>
      <c r="W732" s="19" t="str">
        <f aca="false">IF(OR($A732="",INDEX(_LEITURA!$Q$2:$Q$21,13)=0),"",SUMIFS(DECKS!$D$2:$D$1201,DECKS!$A$2:$A$1201,INDEX(_LEITURA!$P$2:$P$21,13),DECKS!$B$2:$B$1201,$A732))</f>
        <v/>
      </c>
      <c r="X732" s="19" t="str">
        <f aca="false">IF(OR($A732="",INDEX(_LEITURA!$Q$2:$Q$21,14)=0),"",SUMIFS(DECKS!$D$2:$D$1201,DECKS!$A$2:$A$1201,INDEX(_LEITURA!$P$2:$P$21,14),DECKS!$B$2:$B$1201,$A732))</f>
        <v/>
      </c>
      <c r="Y732" s="19" t="str">
        <f aca="false">IF(OR($A732="",INDEX(_LEITURA!$Q$2:$Q$21,15)=0),"",SUMIFS(DECKS!$D$2:$D$1201,DECKS!$A$2:$A$1201,INDEX(_LEITURA!$P$2:$P$21,15),DECKS!$B$2:$B$1201,$A732))</f>
        <v/>
      </c>
      <c r="Z732" s="19" t="str">
        <f aca="false">IF(OR($A732="",INDEX(_LEITURA!$Q$2:$Q$21,16)=0),"",SUMIFS(DECKS!$D$2:$D$1201,DECKS!$A$2:$A$1201,INDEX(_LEITURA!$P$2:$P$21,16),DECKS!$B$2:$B$1201,$A732))</f>
        <v/>
      </c>
      <c r="AA732" s="19" t="str">
        <f aca="false">IF(OR($A732="",INDEX(_LEITURA!$Q$2:$Q$21,17)=0),"",SUMIFS(DECKS!$D$2:$D$1201,DECKS!$A$2:$A$1201,INDEX(_LEITURA!$P$2:$P$21,17),DECKS!$B$2:$B$1201,$A732))</f>
        <v/>
      </c>
      <c r="AB732" s="19" t="str">
        <f aca="false">IF(OR($A732="",INDEX(_LEITURA!$Q$2:$Q$21,18)=0),"",SUMIFS(DECKS!$D$2:$D$1201,DECKS!$A$2:$A$1201,INDEX(_LEITURA!$P$2:$P$21,18),DECKS!$B$2:$B$1201,$A732))</f>
        <v/>
      </c>
      <c r="AC732" s="19" t="str">
        <f aca="false">IF(OR($A732="",INDEX(_LEITURA!$Q$2:$Q$21,19)=0),"",SUMIFS(DECKS!$D$2:$D$1201,DECKS!$A$2:$A$1201,INDEX(_LEITURA!$P$2:$P$21,19),DECKS!$B$2:$B$1201,$A732))</f>
        <v/>
      </c>
      <c r="AD732" s="19" t="str">
        <f aca="false">IF(OR($A732="",INDEX(_LEITURA!$Q$2:$Q$21,20)=0),"",SUMIFS(DECKS!$D$2:$D$1201,DECKS!$A$2:$A$1201,INDEX(_LEITURA!$P$2:$P$21,20),DECKS!$B$2:$B$1201,$A732))</f>
        <v/>
      </c>
      <c r="AE732" s="16" t="str">
        <f aca="false">IF(N(E732)&gt;0,MAX(AE$1:AE731)+1,"")</f>
        <v/>
      </c>
      <c r="AF732" s="11" t="str">
        <f aca="false">IF(A732="","",IFERROR(LEFT(A732,FIND("-",A732)-1),A732))</f>
        <v/>
      </c>
      <c r="AG732" s="11" t="str">
        <f aca="false">IF(AF732="","",IF(ISNUMBER(--MID(AF732,1,1)),0,IF(ISNUMBER(--MID(AF732,2,1)),1,IF(ISNUMBER(--MID(AF732,3,1)),2,IF(ISNUMBER(--MID(AF732,4,1)),3,MIN(LEN(AF732),4))))))</f>
        <v/>
      </c>
      <c r="AH732" s="11" t="str">
        <f aca="false">IF(A732="","",LEFT(AF732,AG732)&amp;REPT("0",4-AG732)&amp;RIGHT("000"&amp;IFERROR(VALUE(MID(AF732,AG732+1,9)),0),3)&amp;RIGHT("0000"&amp;IFERROR(VALUE(MID(A732,FIND("-",A732)+1,9)),0),4))</f>
        <v/>
      </c>
      <c r="AI732" s="11" t="str">
        <f aca="false">IF(OR(A732="",N(E732)&lt;=0),"",IF('FALTAS GERAL'!$M$1="Código","K"&amp;AH732&amp;RIGHT("00000"&amp;ROW(),5),IF('FALTAS GERAL'!$M$1="Nome","K"&amp;UPPER(SUBSTITUTE(SUBSTITUTE(SUBSTITUTE(B732,"*",""),"?",""),"~",""))&amp;"0"&amp;AH732&amp;RIGHT("00000"&amp;ROW(),5),IF('FALTAS GERAL'!$M$1="Falta (maior primeiro)","K"&amp;RIGHT("0000"&amp;(9999-E732),4)&amp;AH732&amp;RIGHT("00000"&amp;ROW(),5),IF('FALTAS GERAL'!$M$1="Nº de decks (maior primeiro)","K"&amp;RIGHT("00"&amp;(99-N(G732)),2)&amp;AH732&amp;RIGHT("00000"&amp;ROW(),5),"K"&amp;RIGHT("00000"&amp;ROW(),5))))))</f>
        <v/>
      </c>
      <c r="AJ732" s="11" t="str">
        <f aca="false">IF(AI732="","",COUNTIFS($AI$2:$AI$801,"&lt;"&amp;AI732,$E$2:$E$801,"&gt;0")+1)</f>
        <v/>
      </c>
      <c r="AK732" s="11" t="str">
        <f aca="false">IF(OR(A732="",N(E732)&lt;=0),"",COUNTIFS($AH$2:$AH$801,"&lt;"&amp;AH732,$E$2:$E$801,"&gt;0")+COUNTIFS($AH$2:AH732,AH732,$E$2:E732,"&gt;0"))</f>
        <v/>
      </c>
    </row>
    <row r="733" customFormat="false" ht="15" hidden="false" customHeight="false" outlineLevel="0" collapsed="false">
      <c r="A733" s="11" t="str">
        <f aca="false">IF(INVENTÁRIO!A733="","",INVENTÁRIO!A733)</f>
        <v/>
      </c>
      <c r="B733" s="11" t="str">
        <f aca="false">IF(A733="","",INVENTÁRIO!B733)</f>
        <v/>
      </c>
      <c r="C733" s="16" t="str">
        <f aca="false">IF(A733="","",INVENTÁRIO!C733)</f>
        <v/>
      </c>
      <c r="D733" s="14" t="str">
        <f aca="false">IF(A733="","",MAX(K733:AD733))</f>
        <v/>
      </c>
      <c r="E733" s="14" t="str">
        <f aca="false">IF(A733="","",MAX(0,D733-C733))</f>
        <v/>
      </c>
      <c r="F733" s="16" t="str">
        <f aca="false">IF(A733="","",IF(D733=0,"Fora dos decks",IF(E733=0,"Completo","Falta")))</f>
        <v/>
      </c>
      <c r="G733" s="16" t="str">
        <f aca="false">IF(A733="","",COUNTIF(K733:AD733,"&gt;0"))</f>
        <v/>
      </c>
      <c r="H733" s="16" t="str">
        <f aca="false">IF(A733="","",IF(G733&gt;1,"Sim",""))</f>
        <v/>
      </c>
      <c r="I733" s="18" t="str">
        <f aca="false">IF(A733="","",SUMIFS(DECKS!$D$2:$D$1201,DECKS!$B$2:$B$1201,A733))</f>
        <v/>
      </c>
      <c r="J733" s="18" t="str">
        <f aca="false">IF(A733="","",MAX(0,I733-C733))</f>
        <v/>
      </c>
      <c r="K733" s="19" t="str">
        <f aca="false">IF(OR($A733="",INDEX(_LEITURA!$Q$2:$Q$21,1)=0),"",SUMIFS(DECKS!$D$2:$D$1201,DECKS!$A$2:$A$1201,INDEX(_LEITURA!$P$2:$P$21,1),DECKS!$B$2:$B$1201,$A733))</f>
        <v/>
      </c>
      <c r="L733" s="19" t="str">
        <f aca="false">IF(OR($A733="",INDEX(_LEITURA!$Q$2:$Q$21,2)=0),"",SUMIFS(DECKS!$D$2:$D$1201,DECKS!$A$2:$A$1201,INDEX(_LEITURA!$P$2:$P$21,2),DECKS!$B$2:$B$1201,$A733))</f>
        <v/>
      </c>
      <c r="M733" s="19" t="str">
        <f aca="false">IF(OR($A733="",INDEX(_LEITURA!$Q$2:$Q$21,3)=0),"",SUMIFS(DECKS!$D$2:$D$1201,DECKS!$A$2:$A$1201,INDEX(_LEITURA!$P$2:$P$21,3),DECKS!$B$2:$B$1201,$A733))</f>
        <v/>
      </c>
      <c r="N733" s="19" t="str">
        <f aca="false">IF(OR($A733="",INDEX(_LEITURA!$Q$2:$Q$21,4)=0),"",SUMIFS(DECKS!$D$2:$D$1201,DECKS!$A$2:$A$1201,INDEX(_LEITURA!$P$2:$P$21,4),DECKS!$B$2:$B$1201,$A733))</f>
        <v/>
      </c>
      <c r="O733" s="19" t="str">
        <f aca="false">IF(OR($A733="",INDEX(_LEITURA!$Q$2:$Q$21,5)=0),"",SUMIFS(DECKS!$D$2:$D$1201,DECKS!$A$2:$A$1201,INDEX(_LEITURA!$P$2:$P$21,5),DECKS!$B$2:$B$1201,$A733))</f>
        <v/>
      </c>
      <c r="P733" s="19" t="str">
        <f aca="false">IF(OR($A733="",INDEX(_LEITURA!$Q$2:$Q$21,6)=0),"",SUMIFS(DECKS!$D$2:$D$1201,DECKS!$A$2:$A$1201,INDEX(_LEITURA!$P$2:$P$21,6),DECKS!$B$2:$B$1201,$A733))</f>
        <v/>
      </c>
      <c r="Q733" s="19" t="str">
        <f aca="false">IF(OR($A733="",INDEX(_LEITURA!$Q$2:$Q$21,7)=0),"",SUMIFS(DECKS!$D$2:$D$1201,DECKS!$A$2:$A$1201,INDEX(_LEITURA!$P$2:$P$21,7),DECKS!$B$2:$B$1201,$A733))</f>
        <v/>
      </c>
      <c r="R733" s="19" t="str">
        <f aca="false">IF(OR($A733="",INDEX(_LEITURA!$Q$2:$Q$21,8)=0),"",SUMIFS(DECKS!$D$2:$D$1201,DECKS!$A$2:$A$1201,INDEX(_LEITURA!$P$2:$P$21,8),DECKS!$B$2:$B$1201,$A733))</f>
        <v/>
      </c>
      <c r="S733" s="19" t="str">
        <f aca="false">IF(OR($A733="",INDEX(_LEITURA!$Q$2:$Q$21,9)=0),"",SUMIFS(DECKS!$D$2:$D$1201,DECKS!$A$2:$A$1201,INDEX(_LEITURA!$P$2:$P$21,9),DECKS!$B$2:$B$1201,$A733))</f>
        <v/>
      </c>
      <c r="T733" s="19" t="str">
        <f aca="false">IF(OR($A733="",INDEX(_LEITURA!$Q$2:$Q$21,10)=0),"",SUMIFS(DECKS!$D$2:$D$1201,DECKS!$A$2:$A$1201,INDEX(_LEITURA!$P$2:$P$21,10),DECKS!$B$2:$B$1201,$A733))</f>
        <v/>
      </c>
      <c r="U733" s="19" t="str">
        <f aca="false">IF(OR($A733="",INDEX(_LEITURA!$Q$2:$Q$21,11)=0),"",SUMIFS(DECKS!$D$2:$D$1201,DECKS!$A$2:$A$1201,INDEX(_LEITURA!$P$2:$P$21,11),DECKS!$B$2:$B$1201,$A733))</f>
        <v/>
      </c>
      <c r="V733" s="19" t="str">
        <f aca="false">IF(OR($A733="",INDEX(_LEITURA!$Q$2:$Q$21,12)=0),"",SUMIFS(DECKS!$D$2:$D$1201,DECKS!$A$2:$A$1201,INDEX(_LEITURA!$P$2:$P$21,12),DECKS!$B$2:$B$1201,$A733))</f>
        <v/>
      </c>
      <c r="W733" s="19" t="str">
        <f aca="false">IF(OR($A733="",INDEX(_LEITURA!$Q$2:$Q$21,13)=0),"",SUMIFS(DECKS!$D$2:$D$1201,DECKS!$A$2:$A$1201,INDEX(_LEITURA!$P$2:$P$21,13),DECKS!$B$2:$B$1201,$A733))</f>
        <v/>
      </c>
      <c r="X733" s="19" t="str">
        <f aca="false">IF(OR($A733="",INDEX(_LEITURA!$Q$2:$Q$21,14)=0),"",SUMIFS(DECKS!$D$2:$D$1201,DECKS!$A$2:$A$1201,INDEX(_LEITURA!$P$2:$P$21,14),DECKS!$B$2:$B$1201,$A733))</f>
        <v/>
      </c>
      <c r="Y733" s="19" t="str">
        <f aca="false">IF(OR($A733="",INDEX(_LEITURA!$Q$2:$Q$21,15)=0),"",SUMIFS(DECKS!$D$2:$D$1201,DECKS!$A$2:$A$1201,INDEX(_LEITURA!$P$2:$P$21,15),DECKS!$B$2:$B$1201,$A733))</f>
        <v/>
      </c>
      <c r="Z733" s="19" t="str">
        <f aca="false">IF(OR($A733="",INDEX(_LEITURA!$Q$2:$Q$21,16)=0),"",SUMIFS(DECKS!$D$2:$D$1201,DECKS!$A$2:$A$1201,INDEX(_LEITURA!$P$2:$P$21,16),DECKS!$B$2:$B$1201,$A733))</f>
        <v/>
      </c>
      <c r="AA733" s="19" t="str">
        <f aca="false">IF(OR($A733="",INDEX(_LEITURA!$Q$2:$Q$21,17)=0),"",SUMIFS(DECKS!$D$2:$D$1201,DECKS!$A$2:$A$1201,INDEX(_LEITURA!$P$2:$P$21,17),DECKS!$B$2:$B$1201,$A733))</f>
        <v/>
      </c>
      <c r="AB733" s="19" t="str">
        <f aca="false">IF(OR($A733="",INDEX(_LEITURA!$Q$2:$Q$21,18)=0),"",SUMIFS(DECKS!$D$2:$D$1201,DECKS!$A$2:$A$1201,INDEX(_LEITURA!$P$2:$P$21,18),DECKS!$B$2:$B$1201,$A733))</f>
        <v/>
      </c>
      <c r="AC733" s="19" t="str">
        <f aca="false">IF(OR($A733="",INDEX(_LEITURA!$Q$2:$Q$21,19)=0),"",SUMIFS(DECKS!$D$2:$D$1201,DECKS!$A$2:$A$1201,INDEX(_LEITURA!$P$2:$P$21,19),DECKS!$B$2:$B$1201,$A733))</f>
        <v/>
      </c>
      <c r="AD733" s="19" t="str">
        <f aca="false">IF(OR($A733="",INDEX(_LEITURA!$Q$2:$Q$21,20)=0),"",SUMIFS(DECKS!$D$2:$D$1201,DECKS!$A$2:$A$1201,INDEX(_LEITURA!$P$2:$P$21,20),DECKS!$B$2:$B$1201,$A733))</f>
        <v/>
      </c>
      <c r="AE733" s="16" t="str">
        <f aca="false">IF(N(E733)&gt;0,MAX(AE$1:AE732)+1,"")</f>
        <v/>
      </c>
      <c r="AF733" s="11" t="str">
        <f aca="false">IF(A733="","",IFERROR(LEFT(A733,FIND("-",A733)-1),A733))</f>
        <v/>
      </c>
      <c r="AG733" s="11" t="str">
        <f aca="false">IF(AF733="","",IF(ISNUMBER(--MID(AF733,1,1)),0,IF(ISNUMBER(--MID(AF733,2,1)),1,IF(ISNUMBER(--MID(AF733,3,1)),2,IF(ISNUMBER(--MID(AF733,4,1)),3,MIN(LEN(AF733),4))))))</f>
        <v/>
      </c>
      <c r="AH733" s="11" t="str">
        <f aca="false">IF(A733="","",LEFT(AF733,AG733)&amp;REPT("0",4-AG733)&amp;RIGHT("000"&amp;IFERROR(VALUE(MID(AF733,AG733+1,9)),0),3)&amp;RIGHT("0000"&amp;IFERROR(VALUE(MID(A733,FIND("-",A733)+1,9)),0),4))</f>
        <v/>
      </c>
      <c r="AI733" s="11" t="str">
        <f aca="false">IF(OR(A733="",N(E733)&lt;=0),"",IF('FALTAS GERAL'!$M$1="Código","K"&amp;AH733&amp;RIGHT("00000"&amp;ROW(),5),IF('FALTAS GERAL'!$M$1="Nome","K"&amp;UPPER(SUBSTITUTE(SUBSTITUTE(SUBSTITUTE(B733,"*",""),"?",""),"~",""))&amp;"0"&amp;AH733&amp;RIGHT("00000"&amp;ROW(),5),IF('FALTAS GERAL'!$M$1="Falta (maior primeiro)","K"&amp;RIGHT("0000"&amp;(9999-E733),4)&amp;AH733&amp;RIGHT("00000"&amp;ROW(),5),IF('FALTAS GERAL'!$M$1="Nº de decks (maior primeiro)","K"&amp;RIGHT("00"&amp;(99-N(G733)),2)&amp;AH733&amp;RIGHT("00000"&amp;ROW(),5),"K"&amp;RIGHT("00000"&amp;ROW(),5))))))</f>
        <v/>
      </c>
      <c r="AJ733" s="11" t="str">
        <f aca="false">IF(AI733="","",COUNTIFS($AI$2:$AI$801,"&lt;"&amp;AI733,$E$2:$E$801,"&gt;0")+1)</f>
        <v/>
      </c>
      <c r="AK733" s="11" t="str">
        <f aca="false">IF(OR(A733="",N(E733)&lt;=0),"",COUNTIFS($AH$2:$AH$801,"&lt;"&amp;AH733,$E$2:$E$801,"&gt;0")+COUNTIFS($AH$2:AH733,AH733,$E$2:E733,"&gt;0"))</f>
        <v/>
      </c>
    </row>
    <row r="734" customFormat="false" ht="15" hidden="false" customHeight="false" outlineLevel="0" collapsed="false">
      <c r="A734" s="11" t="str">
        <f aca="false">IF(INVENTÁRIO!A734="","",INVENTÁRIO!A734)</f>
        <v/>
      </c>
      <c r="B734" s="11" t="str">
        <f aca="false">IF(A734="","",INVENTÁRIO!B734)</f>
        <v/>
      </c>
      <c r="C734" s="16" t="str">
        <f aca="false">IF(A734="","",INVENTÁRIO!C734)</f>
        <v/>
      </c>
      <c r="D734" s="14" t="str">
        <f aca="false">IF(A734="","",MAX(K734:AD734))</f>
        <v/>
      </c>
      <c r="E734" s="14" t="str">
        <f aca="false">IF(A734="","",MAX(0,D734-C734))</f>
        <v/>
      </c>
      <c r="F734" s="16" t="str">
        <f aca="false">IF(A734="","",IF(D734=0,"Fora dos decks",IF(E734=0,"Completo","Falta")))</f>
        <v/>
      </c>
      <c r="G734" s="16" t="str">
        <f aca="false">IF(A734="","",COUNTIF(K734:AD734,"&gt;0"))</f>
        <v/>
      </c>
      <c r="H734" s="16" t="str">
        <f aca="false">IF(A734="","",IF(G734&gt;1,"Sim",""))</f>
        <v/>
      </c>
      <c r="I734" s="18" t="str">
        <f aca="false">IF(A734="","",SUMIFS(DECKS!$D$2:$D$1201,DECKS!$B$2:$B$1201,A734))</f>
        <v/>
      </c>
      <c r="J734" s="18" t="str">
        <f aca="false">IF(A734="","",MAX(0,I734-C734))</f>
        <v/>
      </c>
      <c r="K734" s="19" t="str">
        <f aca="false">IF(OR($A734="",INDEX(_LEITURA!$Q$2:$Q$21,1)=0),"",SUMIFS(DECKS!$D$2:$D$1201,DECKS!$A$2:$A$1201,INDEX(_LEITURA!$P$2:$P$21,1),DECKS!$B$2:$B$1201,$A734))</f>
        <v/>
      </c>
      <c r="L734" s="19" t="str">
        <f aca="false">IF(OR($A734="",INDEX(_LEITURA!$Q$2:$Q$21,2)=0),"",SUMIFS(DECKS!$D$2:$D$1201,DECKS!$A$2:$A$1201,INDEX(_LEITURA!$P$2:$P$21,2),DECKS!$B$2:$B$1201,$A734))</f>
        <v/>
      </c>
      <c r="M734" s="19" t="str">
        <f aca="false">IF(OR($A734="",INDEX(_LEITURA!$Q$2:$Q$21,3)=0),"",SUMIFS(DECKS!$D$2:$D$1201,DECKS!$A$2:$A$1201,INDEX(_LEITURA!$P$2:$P$21,3),DECKS!$B$2:$B$1201,$A734))</f>
        <v/>
      </c>
      <c r="N734" s="19" t="str">
        <f aca="false">IF(OR($A734="",INDEX(_LEITURA!$Q$2:$Q$21,4)=0),"",SUMIFS(DECKS!$D$2:$D$1201,DECKS!$A$2:$A$1201,INDEX(_LEITURA!$P$2:$P$21,4),DECKS!$B$2:$B$1201,$A734))</f>
        <v/>
      </c>
      <c r="O734" s="19" t="str">
        <f aca="false">IF(OR($A734="",INDEX(_LEITURA!$Q$2:$Q$21,5)=0),"",SUMIFS(DECKS!$D$2:$D$1201,DECKS!$A$2:$A$1201,INDEX(_LEITURA!$P$2:$P$21,5),DECKS!$B$2:$B$1201,$A734))</f>
        <v/>
      </c>
      <c r="P734" s="19" t="str">
        <f aca="false">IF(OR($A734="",INDEX(_LEITURA!$Q$2:$Q$21,6)=0),"",SUMIFS(DECKS!$D$2:$D$1201,DECKS!$A$2:$A$1201,INDEX(_LEITURA!$P$2:$P$21,6),DECKS!$B$2:$B$1201,$A734))</f>
        <v/>
      </c>
      <c r="Q734" s="19" t="str">
        <f aca="false">IF(OR($A734="",INDEX(_LEITURA!$Q$2:$Q$21,7)=0),"",SUMIFS(DECKS!$D$2:$D$1201,DECKS!$A$2:$A$1201,INDEX(_LEITURA!$P$2:$P$21,7),DECKS!$B$2:$B$1201,$A734))</f>
        <v/>
      </c>
      <c r="R734" s="19" t="str">
        <f aca="false">IF(OR($A734="",INDEX(_LEITURA!$Q$2:$Q$21,8)=0),"",SUMIFS(DECKS!$D$2:$D$1201,DECKS!$A$2:$A$1201,INDEX(_LEITURA!$P$2:$P$21,8),DECKS!$B$2:$B$1201,$A734))</f>
        <v/>
      </c>
      <c r="S734" s="19" t="str">
        <f aca="false">IF(OR($A734="",INDEX(_LEITURA!$Q$2:$Q$21,9)=0),"",SUMIFS(DECKS!$D$2:$D$1201,DECKS!$A$2:$A$1201,INDEX(_LEITURA!$P$2:$P$21,9),DECKS!$B$2:$B$1201,$A734))</f>
        <v/>
      </c>
      <c r="T734" s="19" t="str">
        <f aca="false">IF(OR($A734="",INDEX(_LEITURA!$Q$2:$Q$21,10)=0),"",SUMIFS(DECKS!$D$2:$D$1201,DECKS!$A$2:$A$1201,INDEX(_LEITURA!$P$2:$P$21,10),DECKS!$B$2:$B$1201,$A734))</f>
        <v/>
      </c>
      <c r="U734" s="19" t="str">
        <f aca="false">IF(OR($A734="",INDEX(_LEITURA!$Q$2:$Q$21,11)=0),"",SUMIFS(DECKS!$D$2:$D$1201,DECKS!$A$2:$A$1201,INDEX(_LEITURA!$P$2:$P$21,11),DECKS!$B$2:$B$1201,$A734))</f>
        <v/>
      </c>
      <c r="V734" s="19" t="str">
        <f aca="false">IF(OR($A734="",INDEX(_LEITURA!$Q$2:$Q$21,12)=0),"",SUMIFS(DECKS!$D$2:$D$1201,DECKS!$A$2:$A$1201,INDEX(_LEITURA!$P$2:$P$21,12),DECKS!$B$2:$B$1201,$A734))</f>
        <v/>
      </c>
      <c r="W734" s="19" t="str">
        <f aca="false">IF(OR($A734="",INDEX(_LEITURA!$Q$2:$Q$21,13)=0),"",SUMIFS(DECKS!$D$2:$D$1201,DECKS!$A$2:$A$1201,INDEX(_LEITURA!$P$2:$P$21,13),DECKS!$B$2:$B$1201,$A734))</f>
        <v/>
      </c>
      <c r="X734" s="19" t="str">
        <f aca="false">IF(OR($A734="",INDEX(_LEITURA!$Q$2:$Q$21,14)=0),"",SUMIFS(DECKS!$D$2:$D$1201,DECKS!$A$2:$A$1201,INDEX(_LEITURA!$P$2:$P$21,14),DECKS!$B$2:$B$1201,$A734))</f>
        <v/>
      </c>
      <c r="Y734" s="19" t="str">
        <f aca="false">IF(OR($A734="",INDEX(_LEITURA!$Q$2:$Q$21,15)=0),"",SUMIFS(DECKS!$D$2:$D$1201,DECKS!$A$2:$A$1201,INDEX(_LEITURA!$P$2:$P$21,15),DECKS!$B$2:$B$1201,$A734))</f>
        <v/>
      </c>
      <c r="Z734" s="19" t="str">
        <f aca="false">IF(OR($A734="",INDEX(_LEITURA!$Q$2:$Q$21,16)=0),"",SUMIFS(DECKS!$D$2:$D$1201,DECKS!$A$2:$A$1201,INDEX(_LEITURA!$P$2:$P$21,16),DECKS!$B$2:$B$1201,$A734))</f>
        <v/>
      </c>
      <c r="AA734" s="19" t="str">
        <f aca="false">IF(OR($A734="",INDEX(_LEITURA!$Q$2:$Q$21,17)=0),"",SUMIFS(DECKS!$D$2:$D$1201,DECKS!$A$2:$A$1201,INDEX(_LEITURA!$P$2:$P$21,17),DECKS!$B$2:$B$1201,$A734))</f>
        <v/>
      </c>
      <c r="AB734" s="19" t="str">
        <f aca="false">IF(OR($A734="",INDEX(_LEITURA!$Q$2:$Q$21,18)=0),"",SUMIFS(DECKS!$D$2:$D$1201,DECKS!$A$2:$A$1201,INDEX(_LEITURA!$P$2:$P$21,18),DECKS!$B$2:$B$1201,$A734))</f>
        <v/>
      </c>
      <c r="AC734" s="19" t="str">
        <f aca="false">IF(OR($A734="",INDEX(_LEITURA!$Q$2:$Q$21,19)=0),"",SUMIFS(DECKS!$D$2:$D$1201,DECKS!$A$2:$A$1201,INDEX(_LEITURA!$P$2:$P$21,19),DECKS!$B$2:$B$1201,$A734))</f>
        <v/>
      </c>
      <c r="AD734" s="19" t="str">
        <f aca="false">IF(OR($A734="",INDEX(_LEITURA!$Q$2:$Q$21,20)=0),"",SUMIFS(DECKS!$D$2:$D$1201,DECKS!$A$2:$A$1201,INDEX(_LEITURA!$P$2:$P$21,20),DECKS!$B$2:$B$1201,$A734))</f>
        <v/>
      </c>
      <c r="AE734" s="16" t="str">
        <f aca="false">IF(N(E734)&gt;0,MAX(AE$1:AE733)+1,"")</f>
        <v/>
      </c>
      <c r="AF734" s="11" t="str">
        <f aca="false">IF(A734="","",IFERROR(LEFT(A734,FIND("-",A734)-1),A734))</f>
        <v/>
      </c>
      <c r="AG734" s="11" t="str">
        <f aca="false">IF(AF734="","",IF(ISNUMBER(--MID(AF734,1,1)),0,IF(ISNUMBER(--MID(AF734,2,1)),1,IF(ISNUMBER(--MID(AF734,3,1)),2,IF(ISNUMBER(--MID(AF734,4,1)),3,MIN(LEN(AF734),4))))))</f>
        <v/>
      </c>
      <c r="AH734" s="11" t="str">
        <f aca="false">IF(A734="","",LEFT(AF734,AG734)&amp;REPT("0",4-AG734)&amp;RIGHT("000"&amp;IFERROR(VALUE(MID(AF734,AG734+1,9)),0),3)&amp;RIGHT("0000"&amp;IFERROR(VALUE(MID(A734,FIND("-",A734)+1,9)),0),4))</f>
        <v/>
      </c>
      <c r="AI734" s="11" t="str">
        <f aca="false">IF(OR(A734="",N(E734)&lt;=0),"",IF('FALTAS GERAL'!$M$1="Código","K"&amp;AH734&amp;RIGHT("00000"&amp;ROW(),5),IF('FALTAS GERAL'!$M$1="Nome","K"&amp;UPPER(SUBSTITUTE(SUBSTITUTE(SUBSTITUTE(B734,"*",""),"?",""),"~",""))&amp;"0"&amp;AH734&amp;RIGHT("00000"&amp;ROW(),5),IF('FALTAS GERAL'!$M$1="Falta (maior primeiro)","K"&amp;RIGHT("0000"&amp;(9999-E734),4)&amp;AH734&amp;RIGHT("00000"&amp;ROW(),5),IF('FALTAS GERAL'!$M$1="Nº de decks (maior primeiro)","K"&amp;RIGHT("00"&amp;(99-N(G734)),2)&amp;AH734&amp;RIGHT("00000"&amp;ROW(),5),"K"&amp;RIGHT("00000"&amp;ROW(),5))))))</f>
        <v/>
      </c>
      <c r="AJ734" s="11" t="str">
        <f aca="false">IF(AI734="","",COUNTIFS($AI$2:$AI$801,"&lt;"&amp;AI734,$E$2:$E$801,"&gt;0")+1)</f>
        <v/>
      </c>
      <c r="AK734" s="11" t="str">
        <f aca="false">IF(OR(A734="",N(E734)&lt;=0),"",COUNTIFS($AH$2:$AH$801,"&lt;"&amp;AH734,$E$2:$E$801,"&gt;0")+COUNTIFS($AH$2:AH734,AH734,$E$2:E734,"&gt;0"))</f>
        <v/>
      </c>
    </row>
    <row r="735" customFormat="false" ht="15" hidden="false" customHeight="false" outlineLevel="0" collapsed="false">
      <c r="A735" s="11" t="str">
        <f aca="false">IF(INVENTÁRIO!A735="","",INVENTÁRIO!A735)</f>
        <v/>
      </c>
      <c r="B735" s="11" t="str">
        <f aca="false">IF(A735="","",INVENTÁRIO!B735)</f>
        <v/>
      </c>
      <c r="C735" s="16" t="str">
        <f aca="false">IF(A735="","",INVENTÁRIO!C735)</f>
        <v/>
      </c>
      <c r="D735" s="14" t="str">
        <f aca="false">IF(A735="","",MAX(K735:AD735))</f>
        <v/>
      </c>
      <c r="E735" s="14" t="str">
        <f aca="false">IF(A735="","",MAX(0,D735-C735))</f>
        <v/>
      </c>
      <c r="F735" s="16" t="str">
        <f aca="false">IF(A735="","",IF(D735=0,"Fora dos decks",IF(E735=0,"Completo","Falta")))</f>
        <v/>
      </c>
      <c r="G735" s="16" t="str">
        <f aca="false">IF(A735="","",COUNTIF(K735:AD735,"&gt;0"))</f>
        <v/>
      </c>
      <c r="H735" s="16" t="str">
        <f aca="false">IF(A735="","",IF(G735&gt;1,"Sim",""))</f>
        <v/>
      </c>
      <c r="I735" s="18" t="str">
        <f aca="false">IF(A735="","",SUMIFS(DECKS!$D$2:$D$1201,DECKS!$B$2:$B$1201,A735))</f>
        <v/>
      </c>
      <c r="J735" s="18" t="str">
        <f aca="false">IF(A735="","",MAX(0,I735-C735))</f>
        <v/>
      </c>
      <c r="K735" s="19" t="str">
        <f aca="false">IF(OR($A735="",INDEX(_LEITURA!$Q$2:$Q$21,1)=0),"",SUMIFS(DECKS!$D$2:$D$1201,DECKS!$A$2:$A$1201,INDEX(_LEITURA!$P$2:$P$21,1),DECKS!$B$2:$B$1201,$A735))</f>
        <v/>
      </c>
      <c r="L735" s="19" t="str">
        <f aca="false">IF(OR($A735="",INDEX(_LEITURA!$Q$2:$Q$21,2)=0),"",SUMIFS(DECKS!$D$2:$D$1201,DECKS!$A$2:$A$1201,INDEX(_LEITURA!$P$2:$P$21,2),DECKS!$B$2:$B$1201,$A735))</f>
        <v/>
      </c>
      <c r="M735" s="19" t="str">
        <f aca="false">IF(OR($A735="",INDEX(_LEITURA!$Q$2:$Q$21,3)=0),"",SUMIFS(DECKS!$D$2:$D$1201,DECKS!$A$2:$A$1201,INDEX(_LEITURA!$P$2:$P$21,3),DECKS!$B$2:$B$1201,$A735))</f>
        <v/>
      </c>
      <c r="N735" s="19" t="str">
        <f aca="false">IF(OR($A735="",INDEX(_LEITURA!$Q$2:$Q$21,4)=0),"",SUMIFS(DECKS!$D$2:$D$1201,DECKS!$A$2:$A$1201,INDEX(_LEITURA!$P$2:$P$21,4),DECKS!$B$2:$B$1201,$A735))</f>
        <v/>
      </c>
      <c r="O735" s="19" t="str">
        <f aca="false">IF(OR($A735="",INDEX(_LEITURA!$Q$2:$Q$21,5)=0),"",SUMIFS(DECKS!$D$2:$D$1201,DECKS!$A$2:$A$1201,INDEX(_LEITURA!$P$2:$P$21,5),DECKS!$B$2:$B$1201,$A735))</f>
        <v/>
      </c>
      <c r="P735" s="19" t="str">
        <f aca="false">IF(OR($A735="",INDEX(_LEITURA!$Q$2:$Q$21,6)=0),"",SUMIFS(DECKS!$D$2:$D$1201,DECKS!$A$2:$A$1201,INDEX(_LEITURA!$P$2:$P$21,6),DECKS!$B$2:$B$1201,$A735))</f>
        <v/>
      </c>
      <c r="Q735" s="19" t="str">
        <f aca="false">IF(OR($A735="",INDEX(_LEITURA!$Q$2:$Q$21,7)=0),"",SUMIFS(DECKS!$D$2:$D$1201,DECKS!$A$2:$A$1201,INDEX(_LEITURA!$P$2:$P$21,7),DECKS!$B$2:$B$1201,$A735))</f>
        <v/>
      </c>
      <c r="R735" s="19" t="str">
        <f aca="false">IF(OR($A735="",INDEX(_LEITURA!$Q$2:$Q$21,8)=0),"",SUMIFS(DECKS!$D$2:$D$1201,DECKS!$A$2:$A$1201,INDEX(_LEITURA!$P$2:$P$21,8),DECKS!$B$2:$B$1201,$A735))</f>
        <v/>
      </c>
      <c r="S735" s="19" t="str">
        <f aca="false">IF(OR($A735="",INDEX(_LEITURA!$Q$2:$Q$21,9)=0),"",SUMIFS(DECKS!$D$2:$D$1201,DECKS!$A$2:$A$1201,INDEX(_LEITURA!$P$2:$P$21,9),DECKS!$B$2:$B$1201,$A735))</f>
        <v/>
      </c>
      <c r="T735" s="19" t="str">
        <f aca="false">IF(OR($A735="",INDEX(_LEITURA!$Q$2:$Q$21,10)=0),"",SUMIFS(DECKS!$D$2:$D$1201,DECKS!$A$2:$A$1201,INDEX(_LEITURA!$P$2:$P$21,10),DECKS!$B$2:$B$1201,$A735))</f>
        <v/>
      </c>
      <c r="U735" s="19" t="str">
        <f aca="false">IF(OR($A735="",INDEX(_LEITURA!$Q$2:$Q$21,11)=0),"",SUMIFS(DECKS!$D$2:$D$1201,DECKS!$A$2:$A$1201,INDEX(_LEITURA!$P$2:$P$21,11),DECKS!$B$2:$B$1201,$A735))</f>
        <v/>
      </c>
      <c r="V735" s="19" t="str">
        <f aca="false">IF(OR($A735="",INDEX(_LEITURA!$Q$2:$Q$21,12)=0),"",SUMIFS(DECKS!$D$2:$D$1201,DECKS!$A$2:$A$1201,INDEX(_LEITURA!$P$2:$P$21,12),DECKS!$B$2:$B$1201,$A735))</f>
        <v/>
      </c>
      <c r="W735" s="19" t="str">
        <f aca="false">IF(OR($A735="",INDEX(_LEITURA!$Q$2:$Q$21,13)=0),"",SUMIFS(DECKS!$D$2:$D$1201,DECKS!$A$2:$A$1201,INDEX(_LEITURA!$P$2:$P$21,13),DECKS!$B$2:$B$1201,$A735))</f>
        <v/>
      </c>
      <c r="X735" s="19" t="str">
        <f aca="false">IF(OR($A735="",INDEX(_LEITURA!$Q$2:$Q$21,14)=0),"",SUMIFS(DECKS!$D$2:$D$1201,DECKS!$A$2:$A$1201,INDEX(_LEITURA!$P$2:$P$21,14),DECKS!$B$2:$B$1201,$A735))</f>
        <v/>
      </c>
      <c r="Y735" s="19" t="str">
        <f aca="false">IF(OR($A735="",INDEX(_LEITURA!$Q$2:$Q$21,15)=0),"",SUMIFS(DECKS!$D$2:$D$1201,DECKS!$A$2:$A$1201,INDEX(_LEITURA!$P$2:$P$21,15),DECKS!$B$2:$B$1201,$A735))</f>
        <v/>
      </c>
      <c r="Z735" s="19" t="str">
        <f aca="false">IF(OR($A735="",INDEX(_LEITURA!$Q$2:$Q$21,16)=0),"",SUMIFS(DECKS!$D$2:$D$1201,DECKS!$A$2:$A$1201,INDEX(_LEITURA!$P$2:$P$21,16),DECKS!$B$2:$B$1201,$A735))</f>
        <v/>
      </c>
      <c r="AA735" s="19" t="str">
        <f aca="false">IF(OR($A735="",INDEX(_LEITURA!$Q$2:$Q$21,17)=0),"",SUMIFS(DECKS!$D$2:$D$1201,DECKS!$A$2:$A$1201,INDEX(_LEITURA!$P$2:$P$21,17),DECKS!$B$2:$B$1201,$A735))</f>
        <v/>
      </c>
      <c r="AB735" s="19" t="str">
        <f aca="false">IF(OR($A735="",INDEX(_LEITURA!$Q$2:$Q$21,18)=0),"",SUMIFS(DECKS!$D$2:$D$1201,DECKS!$A$2:$A$1201,INDEX(_LEITURA!$P$2:$P$21,18),DECKS!$B$2:$B$1201,$A735))</f>
        <v/>
      </c>
      <c r="AC735" s="19" t="str">
        <f aca="false">IF(OR($A735="",INDEX(_LEITURA!$Q$2:$Q$21,19)=0),"",SUMIFS(DECKS!$D$2:$D$1201,DECKS!$A$2:$A$1201,INDEX(_LEITURA!$P$2:$P$21,19),DECKS!$B$2:$B$1201,$A735))</f>
        <v/>
      </c>
      <c r="AD735" s="19" t="str">
        <f aca="false">IF(OR($A735="",INDEX(_LEITURA!$Q$2:$Q$21,20)=0),"",SUMIFS(DECKS!$D$2:$D$1201,DECKS!$A$2:$A$1201,INDEX(_LEITURA!$P$2:$P$21,20),DECKS!$B$2:$B$1201,$A735))</f>
        <v/>
      </c>
      <c r="AE735" s="16" t="str">
        <f aca="false">IF(N(E735)&gt;0,MAX(AE$1:AE734)+1,"")</f>
        <v/>
      </c>
      <c r="AF735" s="11" t="str">
        <f aca="false">IF(A735="","",IFERROR(LEFT(A735,FIND("-",A735)-1),A735))</f>
        <v/>
      </c>
      <c r="AG735" s="11" t="str">
        <f aca="false">IF(AF735="","",IF(ISNUMBER(--MID(AF735,1,1)),0,IF(ISNUMBER(--MID(AF735,2,1)),1,IF(ISNUMBER(--MID(AF735,3,1)),2,IF(ISNUMBER(--MID(AF735,4,1)),3,MIN(LEN(AF735),4))))))</f>
        <v/>
      </c>
      <c r="AH735" s="11" t="str">
        <f aca="false">IF(A735="","",LEFT(AF735,AG735)&amp;REPT("0",4-AG735)&amp;RIGHT("000"&amp;IFERROR(VALUE(MID(AF735,AG735+1,9)),0),3)&amp;RIGHT("0000"&amp;IFERROR(VALUE(MID(A735,FIND("-",A735)+1,9)),0),4))</f>
        <v/>
      </c>
      <c r="AI735" s="11" t="str">
        <f aca="false">IF(OR(A735="",N(E735)&lt;=0),"",IF('FALTAS GERAL'!$M$1="Código","K"&amp;AH735&amp;RIGHT("00000"&amp;ROW(),5),IF('FALTAS GERAL'!$M$1="Nome","K"&amp;UPPER(SUBSTITUTE(SUBSTITUTE(SUBSTITUTE(B735,"*",""),"?",""),"~",""))&amp;"0"&amp;AH735&amp;RIGHT("00000"&amp;ROW(),5),IF('FALTAS GERAL'!$M$1="Falta (maior primeiro)","K"&amp;RIGHT("0000"&amp;(9999-E735),4)&amp;AH735&amp;RIGHT("00000"&amp;ROW(),5),IF('FALTAS GERAL'!$M$1="Nº de decks (maior primeiro)","K"&amp;RIGHT("00"&amp;(99-N(G735)),2)&amp;AH735&amp;RIGHT("00000"&amp;ROW(),5),"K"&amp;RIGHT("00000"&amp;ROW(),5))))))</f>
        <v/>
      </c>
      <c r="AJ735" s="11" t="str">
        <f aca="false">IF(AI735="","",COUNTIFS($AI$2:$AI$801,"&lt;"&amp;AI735,$E$2:$E$801,"&gt;0")+1)</f>
        <v/>
      </c>
      <c r="AK735" s="11" t="str">
        <f aca="false">IF(OR(A735="",N(E735)&lt;=0),"",COUNTIFS($AH$2:$AH$801,"&lt;"&amp;AH735,$E$2:$E$801,"&gt;0")+COUNTIFS($AH$2:AH735,AH735,$E$2:E735,"&gt;0"))</f>
        <v/>
      </c>
    </row>
    <row r="736" customFormat="false" ht="15" hidden="false" customHeight="false" outlineLevel="0" collapsed="false">
      <c r="A736" s="11" t="str">
        <f aca="false">IF(INVENTÁRIO!A736="","",INVENTÁRIO!A736)</f>
        <v/>
      </c>
      <c r="B736" s="11" t="str">
        <f aca="false">IF(A736="","",INVENTÁRIO!B736)</f>
        <v/>
      </c>
      <c r="C736" s="16" t="str">
        <f aca="false">IF(A736="","",INVENTÁRIO!C736)</f>
        <v/>
      </c>
      <c r="D736" s="14" t="str">
        <f aca="false">IF(A736="","",MAX(K736:AD736))</f>
        <v/>
      </c>
      <c r="E736" s="14" t="str">
        <f aca="false">IF(A736="","",MAX(0,D736-C736))</f>
        <v/>
      </c>
      <c r="F736" s="16" t="str">
        <f aca="false">IF(A736="","",IF(D736=0,"Fora dos decks",IF(E736=0,"Completo","Falta")))</f>
        <v/>
      </c>
      <c r="G736" s="16" t="str">
        <f aca="false">IF(A736="","",COUNTIF(K736:AD736,"&gt;0"))</f>
        <v/>
      </c>
      <c r="H736" s="16" t="str">
        <f aca="false">IF(A736="","",IF(G736&gt;1,"Sim",""))</f>
        <v/>
      </c>
      <c r="I736" s="18" t="str">
        <f aca="false">IF(A736="","",SUMIFS(DECKS!$D$2:$D$1201,DECKS!$B$2:$B$1201,A736))</f>
        <v/>
      </c>
      <c r="J736" s="18" t="str">
        <f aca="false">IF(A736="","",MAX(0,I736-C736))</f>
        <v/>
      </c>
      <c r="K736" s="19" t="str">
        <f aca="false">IF(OR($A736="",INDEX(_LEITURA!$Q$2:$Q$21,1)=0),"",SUMIFS(DECKS!$D$2:$D$1201,DECKS!$A$2:$A$1201,INDEX(_LEITURA!$P$2:$P$21,1),DECKS!$B$2:$B$1201,$A736))</f>
        <v/>
      </c>
      <c r="L736" s="19" t="str">
        <f aca="false">IF(OR($A736="",INDEX(_LEITURA!$Q$2:$Q$21,2)=0),"",SUMIFS(DECKS!$D$2:$D$1201,DECKS!$A$2:$A$1201,INDEX(_LEITURA!$P$2:$P$21,2),DECKS!$B$2:$B$1201,$A736))</f>
        <v/>
      </c>
      <c r="M736" s="19" t="str">
        <f aca="false">IF(OR($A736="",INDEX(_LEITURA!$Q$2:$Q$21,3)=0),"",SUMIFS(DECKS!$D$2:$D$1201,DECKS!$A$2:$A$1201,INDEX(_LEITURA!$P$2:$P$21,3),DECKS!$B$2:$B$1201,$A736))</f>
        <v/>
      </c>
      <c r="N736" s="19" t="str">
        <f aca="false">IF(OR($A736="",INDEX(_LEITURA!$Q$2:$Q$21,4)=0),"",SUMIFS(DECKS!$D$2:$D$1201,DECKS!$A$2:$A$1201,INDEX(_LEITURA!$P$2:$P$21,4),DECKS!$B$2:$B$1201,$A736))</f>
        <v/>
      </c>
      <c r="O736" s="19" t="str">
        <f aca="false">IF(OR($A736="",INDEX(_LEITURA!$Q$2:$Q$21,5)=0),"",SUMIFS(DECKS!$D$2:$D$1201,DECKS!$A$2:$A$1201,INDEX(_LEITURA!$P$2:$P$21,5),DECKS!$B$2:$B$1201,$A736))</f>
        <v/>
      </c>
      <c r="P736" s="19" t="str">
        <f aca="false">IF(OR($A736="",INDEX(_LEITURA!$Q$2:$Q$21,6)=0),"",SUMIFS(DECKS!$D$2:$D$1201,DECKS!$A$2:$A$1201,INDEX(_LEITURA!$P$2:$P$21,6),DECKS!$B$2:$B$1201,$A736))</f>
        <v/>
      </c>
      <c r="Q736" s="19" t="str">
        <f aca="false">IF(OR($A736="",INDEX(_LEITURA!$Q$2:$Q$21,7)=0),"",SUMIFS(DECKS!$D$2:$D$1201,DECKS!$A$2:$A$1201,INDEX(_LEITURA!$P$2:$P$21,7),DECKS!$B$2:$B$1201,$A736))</f>
        <v/>
      </c>
      <c r="R736" s="19" t="str">
        <f aca="false">IF(OR($A736="",INDEX(_LEITURA!$Q$2:$Q$21,8)=0),"",SUMIFS(DECKS!$D$2:$D$1201,DECKS!$A$2:$A$1201,INDEX(_LEITURA!$P$2:$P$21,8),DECKS!$B$2:$B$1201,$A736))</f>
        <v/>
      </c>
      <c r="S736" s="19" t="str">
        <f aca="false">IF(OR($A736="",INDEX(_LEITURA!$Q$2:$Q$21,9)=0),"",SUMIFS(DECKS!$D$2:$D$1201,DECKS!$A$2:$A$1201,INDEX(_LEITURA!$P$2:$P$21,9),DECKS!$B$2:$B$1201,$A736))</f>
        <v/>
      </c>
      <c r="T736" s="19" t="str">
        <f aca="false">IF(OR($A736="",INDEX(_LEITURA!$Q$2:$Q$21,10)=0),"",SUMIFS(DECKS!$D$2:$D$1201,DECKS!$A$2:$A$1201,INDEX(_LEITURA!$P$2:$P$21,10),DECKS!$B$2:$B$1201,$A736))</f>
        <v/>
      </c>
      <c r="U736" s="19" t="str">
        <f aca="false">IF(OR($A736="",INDEX(_LEITURA!$Q$2:$Q$21,11)=0),"",SUMIFS(DECKS!$D$2:$D$1201,DECKS!$A$2:$A$1201,INDEX(_LEITURA!$P$2:$P$21,11),DECKS!$B$2:$B$1201,$A736))</f>
        <v/>
      </c>
      <c r="V736" s="19" t="str">
        <f aca="false">IF(OR($A736="",INDEX(_LEITURA!$Q$2:$Q$21,12)=0),"",SUMIFS(DECKS!$D$2:$D$1201,DECKS!$A$2:$A$1201,INDEX(_LEITURA!$P$2:$P$21,12),DECKS!$B$2:$B$1201,$A736))</f>
        <v/>
      </c>
      <c r="W736" s="19" t="str">
        <f aca="false">IF(OR($A736="",INDEX(_LEITURA!$Q$2:$Q$21,13)=0),"",SUMIFS(DECKS!$D$2:$D$1201,DECKS!$A$2:$A$1201,INDEX(_LEITURA!$P$2:$P$21,13),DECKS!$B$2:$B$1201,$A736))</f>
        <v/>
      </c>
      <c r="X736" s="19" t="str">
        <f aca="false">IF(OR($A736="",INDEX(_LEITURA!$Q$2:$Q$21,14)=0),"",SUMIFS(DECKS!$D$2:$D$1201,DECKS!$A$2:$A$1201,INDEX(_LEITURA!$P$2:$P$21,14),DECKS!$B$2:$B$1201,$A736))</f>
        <v/>
      </c>
      <c r="Y736" s="19" t="str">
        <f aca="false">IF(OR($A736="",INDEX(_LEITURA!$Q$2:$Q$21,15)=0),"",SUMIFS(DECKS!$D$2:$D$1201,DECKS!$A$2:$A$1201,INDEX(_LEITURA!$P$2:$P$21,15),DECKS!$B$2:$B$1201,$A736))</f>
        <v/>
      </c>
      <c r="Z736" s="19" t="str">
        <f aca="false">IF(OR($A736="",INDEX(_LEITURA!$Q$2:$Q$21,16)=0),"",SUMIFS(DECKS!$D$2:$D$1201,DECKS!$A$2:$A$1201,INDEX(_LEITURA!$P$2:$P$21,16),DECKS!$B$2:$B$1201,$A736))</f>
        <v/>
      </c>
      <c r="AA736" s="19" t="str">
        <f aca="false">IF(OR($A736="",INDEX(_LEITURA!$Q$2:$Q$21,17)=0),"",SUMIFS(DECKS!$D$2:$D$1201,DECKS!$A$2:$A$1201,INDEX(_LEITURA!$P$2:$P$21,17),DECKS!$B$2:$B$1201,$A736))</f>
        <v/>
      </c>
      <c r="AB736" s="19" t="str">
        <f aca="false">IF(OR($A736="",INDEX(_LEITURA!$Q$2:$Q$21,18)=0),"",SUMIFS(DECKS!$D$2:$D$1201,DECKS!$A$2:$A$1201,INDEX(_LEITURA!$P$2:$P$21,18),DECKS!$B$2:$B$1201,$A736))</f>
        <v/>
      </c>
      <c r="AC736" s="19" t="str">
        <f aca="false">IF(OR($A736="",INDEX(_LEITURA!$Q$2:$Q$21,19)=0),"",SUMIFS(DECKS!$D$2:$D$1201,DECKS!$A$2:$A$1201,INDEX(_LEITURA!$P$2:$P$21,19),DECKS!$B$2:$B$1201,$A736))</f>
        <v/>
      </c>
      <c r="AD736" s="19" t="str">
        <f aca="false">IF(OR($A736="",INDEX(_LEITURA!$Q$2:$Q$21,20)=0),"",SUMIFS(DECKS!$D$2:$D$1201,DECKS!$A$2:$A$1201,INDEX(_LEITURA!$P$2:$P$21,20),DECKS!$B$2:$B$1201,$A736))</f>
        <v/>
      </c>
      <c r="AE736" s="16" t="str">
        <f aca="false">IF(N(E736)&gt;0,MAX(AE$1:AE735)+1,"")</f>
        <v/>
      </c>
      <c r="AF736" s="11" t="str">
        <f aca="false">IF(A736="","",IFERROR(LEFT(A736,FIND("-",A736)-1),A736))</f>
        <v/>
      </c>
      <c r="AG736" s="11" t="str">
        <f aca="false">IF(AF736="","",IF(ISNUMBER(--MID(AF736,1,1)),0,IF(ISNUMBER(--MID(AF736,2,1)),1,IF(ISNUMBER(--MID(AF736,3,1)),2,IF(ISNUMBER(--MID(AF736,4,1)),3,MIN(LEN(AF736),4))))))</f>
        <v/>
      </c>
      <c r="AH736" s="11" t="str">
        <f aca="false">IF(A736="","",LEFT(AF736,AG736)&amp;REPT("0",4-AG736)&amp;RIGHT("000"&amp;IFERROR(VALUE(MID(AF736,AG736+1,9)),0),3)&amp;RIGHT("0000"&amp;IFERROR(VALUE(MID(A736,FIND("-",A736)+1,9)),0),4))</f>
        <v/>
      </c>
      <c r="AI736" s="11" t="str">
        <f aca="false">IF(OR(A736="",N(E736)&lt;=0),"",IF('FALTAS GERAL'!$M$1="Código","K"&amp;AH736&amp;RIGHT("00000"&amp;ROW(),5),IF('FALTAS GERAL'!$M$1="Nome","K"&amp;UPPER(SUBSTITUTE(SUBSTITUTE(SUBSTITUTE(B736,"*",""),"?",""),"~",""))&amp;"0"&amp;AH736&amp;RIGHT("00000"&amp;ROW(),5),IF('FALTAS GERAL'!$M$1="Falta (maior primeiro)","K"&amp;RIGHT("0000"&amp;(9999-E736),4)&amp;AH736&amp;RIGHT("00000"&amp;ROW(),5),IF('FALTAS GERAL'!$M$1="Nº de decks (maior primeiro)","K"&amp;RIGHT("00"&amp;(99-N(G736)),2)&amp;AH736&amp;RIGHT("00000"&amp;ROW(),5),"K"&amp;RIGHT("00000"&amp;ROW(),5))))))</f>
        <v/>
      </c>
      <c r="AJ736" s="11" t="str">
        <f aca="false">IF(AI736="","",COUNTIFS($AI$2:$AI$801,"&lt;"&amp;AI736,$E$2:$E$801,"&gt;0")+1)</f>
        <v/>
      </c>
      <c r="AK736" s="11" t="str">
        <f aca="false">IF(OR(A736="",N(E736)&lt;=0),"",COUNTIFS($AH$2:$AH$801,"&lt;"&amp;AH736,$E$2:$E$801,"&gt;0")+COUNTIFS($AH$2:AH736,AH736,$E$2:E736,"&gt;0"))</f>
        <v/>
      </c>
    </row>
    <row r="737" customFormat="false" ht="15" hidden="false" customHeight="false" outlineLevel="0" collapsed="false">
      <c r="A737" s="11" t="str">
        <f aca="false">IF(INVENTÁRIO!A737="","",INVENTÁRIO!A737)</f>
        <v/>
      </c>
      <c r="B737" s="11" t="str">
        <f aca="false">IF(A737="","",INVENTÁRIO!B737)</f>
        <v/>
      </c>
      <c r="C737" s="16" t="str">
        <f aca="false">IF(A737="","",INVENTÁRIO!C737)</f>
        <v/>
      </c>
      <c r="D737" s="14" t="str">
        <f aca="false">IF(A737="","",MAX(K737:AD737))</f>
        <v/>
      </c>
      <c r="E737" s="14" t="str">
        <f aca="false">IF(A737="","",MAX(0,D737-C737))</f>
        <v/>
      </c>
      <c r="F737" s="16" t="str">
        <f aca="false">IF(A737="","",IF(D737=0,"Fora dos decks",IF(E737=0,"Completo","Falta")))</f>
        <v/>
      </c>
      <c r="G737" s="16" t="str">
        <f aca="false">IF(A737="","",COUNTIF(K737:AD737,"&gt;0"))</f>
        <v/>
      </c>
      <c r="H737" s="16" t="str">
        <f aca="false">IF(A737="","",IF(G737&gt;1,"Sim",""))</f>
        <v/>
      </c>
      <c r="I737" s="18" t="str">
        <f aca="false">IF(A737="","",SUMIFS(DECKS!$D$2:$D$1201,DECKS!$B$2:$B$1201,A737))</f>
        <v/>
      </c>
      <c r="J737" s="18" t="str">
        <f aca="false">IF(A737="","",MAX(0,I737-C737))</f>
        <v/>
      </c>
      <c r="K737" s="19" t="str">
        <f aca="false">IF(OR($A737="",INDEX(_LEITURA!$Q$2:$Q$21,1)=0),"",SUMIFS(DECKS!$D$2:$D$1201,DECKS!$A$2:$A$1201,INDEX(_LEITURA!$P$2:$P$21,1),DECKS!$B$2:$B$1201,$A737))</f>
        <v/>
      </c>
      <c r="L737" s="19" t="str">
        <f aca="false">IF(OR($A737="",INDEX(_LEITURA!$Q$2:$Q$21,2)=0),"",SUMIFS(DECKS!$D$2:$D$1201,DECKS!$A$2:$A$1201,INDEX(_LEITURA!$P$2:$P$21,2),DECKS!$B$2:$B$1201,$A737))</f>
        <v/>
      </c>
      <c r="M737" s="19" t="str">
        <f aca="false">IF(OR($A737="",INDEX(_LEITURA!$Q$2:$Q$21,3)=0),"",SUMIFS(DECKS!$D$2:$D$1201,DECKS!$A$2:$A$1201,INDEX(_LEITURA!$P$2:$P$21,3),DECKS!$B$2:$B$1201,$A737))</f>
        <v/>
      </c>
      <c r="N737" s="19" t="str">
        <f aca="false">IF(OR($A737="",INDEX(_LEITURA!$Q$2:$Q$21,4)=0),"",SUMIFS(DECKS!$D$2:$D$1201,DECKS!$A$2:$A$1201,INDEX(_LEITURA!$P$2:$P$21,4),DECKS!$B$2:$B$1201,$A737))</f>
        <v/>
      </c>
      <c r="O737" s="19" t="str">
        <f aca="false">IF(OR($A737="",INDEX(_LEITURA!$Q$2:$Q$21,5)=0),"",SUMIFS(DECKS!$D$2:$D$1201,DECKS!$A$2:$A$1201,INDEX(_LEITURA!$P$2:$P$21,5),DECKS!$B$2:$B$1201,$A737))</f>
        <v/>
      </c>
      <c r="P737" s="19" t="str">
        <f aca="false">IF(OR($A737="",INDEX(_LEITURA!$Q$2:$Q$21,6)=0),"",SUMIFS(DECKS!$D$2:$D$1201,DECKS!$A$2:$A$1201,INDEX(_LEITURA!$P$2:$P$21,6),DECKS!$B$2:$B$1201,$A737))</f>
        <v/>
      </c>
      <c r="Q737" s="19" t="str">
        <f aca="false">IF(OR($A737="",INDEX(_LEITURA!$Q$2:$Q$21,7)=0),"",SUMIFS(DECKS!$D$2:$D$1201,DECKS!$A$2:$A$1201,INDEX(_LEITURA!$P$2:$P$21,7),DECKS!$B$2:$B$1201,$A737))</f>
        <v/>
      </c>
      <c r="R737" s="19" t="str">
        <f aca="false">IF(OR($A737="",INDEX(_LEITURA!$Q$2:$Q$21,8)=0),"",SUMIFS(DECKS!$D$2:$D$1201,DECKS!$A$2:$A$1201,INDEX(_LEITURA!$P$2:$P$21,8),DECKS!$B$2:$B$1201,$A737))</f>
        <v/>
      </c>
      <c r="S737" s="19" t="str">
        <f aca="false">IF(OR($A737="",INDEX(_LEITURA!$Q$2:$Q$21,9)=0),"",SUMIFS(DECKS!$D$2:$D$1201,DECKS!$A$2:$A$1201,INDEX(_LEITURA!$P$2:$P$21,9),DECKS!$B$2:$B$1201,$A737))</f>
        <v/>
      </c>
      <c r="T737" s="19" t="str">
        <f aca="false">IF(OR($A737="",INDEX(_LEITURA!$Q$2:$Q$21,10)=0),"",SUMIFS(DECKS!$D$2:$D$1201,DECKS!$A$2:$A$1201,INDEX(_LEITURA!$P$2:$P$21,10),DECKS!$B$2:$B$1201,$A737))</f>
        <v/>
      </c>
      <c r="U737" s="19" t="str">
        <f aca="false">IF(OR($A737="",INDEX(_LEITURA!$Q$2:$Q$21,11)=0),"",SUMIFS(DECKS!$D$2:$D$1201,DECKS!$A$2:$A$1201,INDEX(_LEITURA!$P$2:$P$21,11),DECKS!$B$2:$B$1201,$A737))</f>
        <v/>
      </c>
      <c r="V737" s="19" t="str">
        <f aca="false">IF(OR($A737="",INDEX(_LEITURA!$Q$2:$Q$21,12)=0),"",SUMIFS(DECKS!$D$2:$D$1201,DECKS!$A$2:$A$1201,INDEX(_LEITURA!$P$2:$P$21,12),DECKS!$B$2:$B$1201,$A737))</f>
        <v/>
      </c>
      <c r="W737" s="19" t="str">
        <f aca="false">IF(OR($A737="",INDEX(_LEITURA!$Q$2:$Q$21,13)=0),"",SUMIFS(DECKS!$D$2:$D$1201,DECKS!$A$2:$A$1201,INDEX(_LEITURA!$P$2:$P$21,13),DECKS!$B$2:$B$1201,$A737))</f>
        <v/>
      </c>
      <c r="X737" s="19" t="str">
        <f aca="false">IF(OR($A737="",INDEX(_LEITURA!$Q$2:$Q$21,14)=0),"",SUMIFS(DECKS!$D$2:$D$1201,DECKS!$A$2:$A$1201,INDEX(_LEITURA!$P$2:$P$21,14),DECKS!$B$2:$B$1201,$A737))</f>
        <v/>
      </c>
      <c r="Y737" s="19" t="str">
        <f aca="false">IF(OR($A737="",INDEX(_LEITURA!$Q$2:$Q$21,15)=0),"",SUMIFS(DECKS!$D$2:$D$1201,DECKS!$A$2:$A$1201,INDEX(_LEITURA!$P$2:$P$21,15),DECKS!$B$2:$B$1201,$A737))</f>
        <v/>
      </c>
      <c r="Z737" s="19" t="str">
        <f aca="false">IF(OR($A737="",INDEX(_LEITURA!$Q$2:$Q$21,16)=0),"",SUMIFS(DECKS!$D$2:$D$1201,DECKS!$A$2:$A$1201,INDEX(_LEITURA!$P$2:$P$21,16),DECKS!$B$2:$B$1201,$A737))</f>
        <v/>
      </c>
      <c r="AA737" s="19" t="str">
        <f aca="false">IF(OR($A737="",INDEX(_LEITURA!$Q$2:$Q$21,17)=0),"",SUMIFS(DECKS!$D$2:$D$1201,DECKS!$A$2:$A$1201,INDEX(_LEITURA!$P$2:$P$21,17),DECKS!$B$2:$B$1201,$A737))</f>
        <v/>
      </c>
      <c r="AB737" s="19" t="str">
        <f aca="false">IF(OR($A737="",INDEX(_LEITURA!$Q$2:$Q$21,18)=0),"",SUMIFS(DECKS!$D$2:$D$1201,DECKS!$A$2:$A$1201,INDEX(_LEITURA!$P$2:$P$21,18),DECKS!$B$2:$B$1201,$A737))</f>
        <v/>
      </c>
      <c r="AC737" s="19" t="str">
        <f aca="false">IF(OR($A737="",INDEX(_LEITURA!$Q$2:$Q$21,19)=0),"",SUMIFS(DECKS!$D$2:$D$1201,DECKS!$A$2:$A$1201,INDEX(_LEITURA!$P$2:$P$21,19),DECKS!$B$2:$B$1201,$A737))</f>
        <v/>
      </c>
      <c r="AD737" s="19" t="str">
        <f aca="false">IF(OR($A737="",INDEX(_LEITURA!$Q$2:$Q$21,20)=0),"",SUMIFS(DECKS!$D$2:$D$1201,DECKS!$A$2:$A$1201,INDEX(_LEITURA!$P$2:$P$21,20),DECKS!$B$2:$B$1201,$A737))</f>
        <v/>
      </c>
      <c r="AE737" s="16" t="str">
        <f aca="false">IF(N(E737)&gt;0,MAX(AE$1:AE736)+1,"")</f>
        <v/>
      </c>
      <c r="AF737" s="11" t="str">
        <f aca="false">IF(A737="","",IFERROR(LEFT(A737,FIND("-",A737)-1),A737))</f>
        <v/>
      </c>
      <c r="AG737" s="11" t="str">
        <f aca="false">IF(AF737="","",IF(ISNUMBER(--MID(AF737,1,1)),0,IF(ISNUMBER(--MID(AF737,2,1)),1,IF(ISNUMBER(--MID(AF737,3,1)),2,IF(ISNUMBER(--MID(AF737,4,1)),3,MIN(LEN(AF737),4))))))</f>
        <v/>
      </c>
      <c r="AH737" s="11" t="str">
        <f aca="false">IF(A737="","",LEFT(AF737,AG737)&amp;REPT("0",4-AG737)&amp;RIGHT("000"&amp;IFERROR(VALUE(MID(AF737,AG737+1,9)),0),3)&amp;RIGHT("0000"&amp;IFERROR(VALUE(MID(A737,FIND("-",A737)+1,9)),0),4))</f>
        <v/>
      </c>
      <c r="AI737" s="11" t="str">
        <f aca="false">IF(OR(A737="",N(E737)&lt;=0),"",IF('FALTAS GERAL'!$M$1="Código","K"&amp;AH737&amp;RIGHT("00000"&amp;ROW(),5),IF('FALTAS GERAL'!$M$1="Nome","K"&amp;UPPER(SUBSTITUTE(SUBSTITUTE(SUBSTITUTE(B737,"*",""),"?",""),"~",""))&amp;"0"&amp;AH737&amp;RIGHT("00000"&amp;ROW(),5),IF('FALTAS GERAL'!$M$1="Falta (maior primeiro)","K"&amp;RIGHT("0000"&amp;(9999-E737),4)&amp;AH737&amp;RIGHT("00000"&amp;ROW(),5),IF('FALTAS GERAL'!$M$1="Nº de decks (maior primeiro)","K"&amp;RIGHT("00"&amp;(99-N(G737)),2)&amp;AH737&amp;RIGHT("00000"&amp;ROW(),5),"K"&amp;RIGHT("00000"&amp;ROW(),5))))))</f>
        <v/>
      </c>
      <c r="AJ737" s="11" t="str">
        <f aca="false">IF(AI737="","",COUNTIFS($AI$2:$AI$801,"&lt;"&amp;AI737,$E$2:$E$801,"&gt;0")+1)</f>
        <v/>
      </c>
      <c r="AK737" s="11" t="str">
        <f aca="false">IF(OR(A737="",N(E737)&lt;=0),"",COUNTIFS($AH$2:$AH$801,"&lt;"&amp;AH737,$E$2:$E$801,"&gt;0")+COUNTIFS($AH$2:AH737,AH737,$E$2:E737,"&gt;0"))</f>
        <v/>
      </c>
    </row>
    <row r="738" customFormat="false" ht="15" hidden="false" customHeight="false" outlineLevel="0" collapsed="false">
      <c r="A738" s="11" t="str">
        <f aca="false">IF(INVENTÁRIO!A738="","",INVENTÁRIO!A738)</f>
        <v/>
      </c>
      <c r="B738" s="11" t="str">
        <f aca="false">IF(A738="","",INVENTÁRIO!B738)</f>
        <v/>
      </c>
      <c r="C738" s="16" t="str">
        <f aca="false">IF(A738="","",INVENTÁRIO!C738)</f>
        <v/>
      </c>
      <c r="D738" s="14" t="str">
        <f aca="false">IF(A738="","",MAX(K738:AD738))</f>
        <v/>
      </c>
      <c r="E738" s="14" t="str">
        <f aca="false">IF(A738="","",MAX(0,D738-C738))</f>
        <v/>
      </c>
      <c r="F738" s="16" t="str">
        <f aca="false">IF(A738="","",IF(D738=0,"Fora dos decks",IF(E738=0,"Completo","Falta")))</f>
        <v/>
      </c>
      <c r="G738" s="16" t="str">
        <f aca="false">IF(A738="","",COUNTIF(K738:AD738,"&gt;0"))</f>
        <v/>
      </c>
      <c r="H738" s="16" t="str">
        <f aca="false">IF(A738="","",IF(G738&gt;1,"Sim",""))</f>
        <v/>
      </c>
      <c r="I738" s="18" t="str">
        <f aca="false">IF(A738="","",SUMIFS(DECKS!$D$2:$D$1201,DECKS!$B$2:$B$1201,A738))</f>
        <v/>
      </c>
      <c r="J738" s="18" t="str">
        <f aca="false">IF(A738="","",MAX(0,I738-C738))</f>
        <v/>
      </c>
      <c r="K738" s="19" t="str">
        <f aca="false">IF(OR($A738="",INDEX(_LEITURA!$Q$2:$Q$21,1)=0),"",SUMIFS(DECKS!$D$2:$D$1201,DECKS!$A$2:$A$1201,INDEX(_LEITURA!$P$2:$P$21,1),DECKS!$B$2:$B$1201,$A738))</f>
        <v/>
      </c>
      <c r="L738" s="19" t="str">
        <f aca="false">IF(OR($A738="",INDEX(_LEITURA!$Q$2:$Q$21,2)=0),"",SUMIFS(DECKS!$D$2:$D$1201,DECKS!$A$2:$A$1201,INDEX(_LEITURA!$P$2:$P$21,2),DECKS!$B$2:$B$1201,$A738))</f>
        <v/>
      </c>
      <c r="M738" s="19" t="str">
        <f aca="false">IF(OR($A738="",INDEX(_LEITURA!$Q$2:$Q$21,3)=0),"",SUMIFS(DECKS!$D$2:$D$1201,DECKS!$A$2:$A$1201,INDEX(_LEITURA!$P$2:$P$21,3),DECKS!$B$2:$B$1201,$A738))</f>
        <v/>
      </c>
      <c r="N738" s="19" t="str">
        <f aca="false">IF(OR($A738="",INDEX(_LEITURA!$Q$2:$Q$21,4)=0),"",SUMIFS(DECKS!$D$2:$D$1201,DECKS!$A$2:$A$1201,INDEX(_LEITURA!$P$2:$P$21,4),DECKS!$B$2:$B$1201,$A738))</f>
        <v/>
      </c>
      <c r="O738" s="19" t="str">
        <f aca="false">IF(OR($A738="",INDEX(_LEITURA!$Q$2:$Q$21,5)=0),"",SUMIFS(DECKS!$D$2:$D$1201,DECKS!$A$2:$A$1201,INDEX(_LEITURA!$P$2:$P$21,5),DECKS!$B$2:$B$1201,$A738))</f>
        <v/>
      </c>
      <c r="P738" s="19" t="str">
        <f aca="false">IF(OR($A738="",INDEX(_LEITURA!$Q$2:$Q$21,6)=0),"",SUMIFS(DECKS!$D$2:$D$1201,DECKS!$A$2:$A$1201,INDEX(_LEITURA!$P$2:$P$21,6),DECKS!$B$2:$B$1201,$A738))</f>
        <v/>
      </c>
      <c r="Q738" s="19" t="str">
        <f aca="false">IF(OR($A738="",INDEX(_LEITURA!$Q$2:$Q$21,7)=0),"",SUMIFS(DECKS!$D$2:$D$1201,DECKS!$A$2:$A$1201,INDEX(_LEITURA!$P$2:$P$21,7),DECKS!$B$2:$B$1201,$A738))</f>
        <v/>
      </c>
      <c r="R738" s="19" t="str">
        <f aca="false">IF(OR($A738="",INDEX(_LEITURA!$Q$2:$Q$21,8)=0),"",SUMIFS(DECKS!$D$2:$D$1201,DECKS!$A$2:$A$1201,INDEX(_LEITURA!$P$2:$P$21,8),DECKS!$B$2:$B$1201,$A738))</f>
        <v/>
      </c>
      <c r="S738" s="19" t="str">
        <f aca="false">IF(OR($A738="",INDEX(_LEITURA!$Q$2:$Q$21,9)=0),"",SUMIFS(DECKS!$D$2:$D$1201,DECKS!$A$2:$A$1201,INDEX(_LEITURA!$P$2:$P$21,9),DECKS!$B$2:$B$1201,$A738))</f>
        <v/>
      </c>
      <c r="T738" s="19" t="str">
        <f aca="false">IF(OR($A738="",INDEX(_LEITURA!$Q$2:$Q$21,10)=0),"",SUMIFS(DECKS!$D$2:$D$1201,DECKS!$A$2:$A$1201,INDEX(_LEITURA!$P$2:$P$21,10),DECKS!$B$2:$B$1201,$A738))</f>
        <v/>
      </c>
      <c r="U738" s="19" t="str">
        <f aca="false">IF(OR($A738="",INDEX(_LEITURA!$Q$2:$Q$21,11)=0),"",SUMIFS(DECKS!$D$2:$D$1201,DECKS!$A$2:$A$1201,INDEX(_LEITURA!$P$2:$P$21,11),DECKS!$B$2:$B$1201,$A738))</f>
        <v/>
      </c>
      <c r="V738" s="19" t="str">
        <f aca="false">IF(OR($A738="",INDEX(_LEITURA!$Q$2:$Q$21,12)=0),"",SUMIFS(DECKS!$D$2:$D$1201,DECKS!$A$2:$A$1201,INDEX(_LEITURA!$P$2:$P$21,12),DECKS!$B$2:$B$1201,$A738))</f>
        <v/>
      </c>
      <c r="W738" s="19" t="str">
        <f aca="false">IF(OR($A738="",INDEX(_LEITURA!$Q$2:$Q$21,13)=0),"",SUMIFS(DECKS!$D$2:$D$1201,DECKS!$A$2:$A$1201,INDEX(_LEITURA!$P$2:$P$21,13),DECKS!$B$2:$B$1201,$A738))</f>
        <v/>
      </c>
      <c r="X738" s="19" t="str">
        <f aca="false">IF(OR($A738="",INDEX(_LEITURA!$Q$2:$Q$21,14)=0),"",SUMIFS(DECKS!$D$2:$D$1201,DECKS!$A$2:$A$1201,INDEX(_LEITURA!$P$2:$P$21,14),DECKS!$B$2:$B$1201,$A738))</f>
        <v/>
      </c>
      <c r="Y738" s="19" t="str">
        <f aca="false">IF(OR($A738="",INDEX(_LEITURA!$Q$2:$Q$21,15)=0),"",SUMIFS(DECKS!$D$2:$D$1201,DECKS!$A$2:$A$1201,INDEX(_LEITURA!$P$2:$P$21,15),DECKS!$B$2:$B$1201,$A738))</f>
        <v/>
      </c>
      <c r="Z738" s="19" t="str">
        <f aca="false">IF(OR($A738="",INDEX(_LEITURA!$Q$2:$Q$21,16)=0),"",SUMIFS(DECKS!$D$2:$D$1201,DECKS!$A$2:$A$1201,INDEX(_LEITURA!$P$2:$P$21,16),DECKS!$B$2:$B$1201,$A738))</f>
        <v/>
      </c>
      <c r="AA738" s="19" t="str">
        <f aca="false">IF(OR($A738="",INDEX(_LEITURA!$Q$2:$Q$21,17)=0),"",SUMIFS(DECKS!$D$2:$D$1201,DECKS!$A$2:$A$1201,INDEX(_LEITURA!$P$2:$P$21,17),DECKS!$B$2:$B$1201,$A738))</f>
        <v/>
      </c>
      <c r="AB738" s="19" t="str">
        <f aca="false">IF(OR($A738="",INDEX(_LEITURA!$Q$2:$Q$21,18)=0),"",SUMIFS(DECKS!$D$2:$D$1201,DECKS!$A$2:$A$1201,INDEX(_LEITURA!$P$2:$P$21,18),DECKS!$B$2:$B$1201,$A738))</f>
        <v/>
      </c>
      <c r="AC738" s="19" t="str">
        <f aca="false">IF(OR($A738="",INDEX(_LEITURA!$Q$2:$Q$21,19)=0),"",SUMIFS(DECKS!$D$2:$D$1201,DECKS!$A$2:$A$1201,INDEX(_LEITURA!$P$2:$P$21,19),DECKS!$B$2:$B$1201,$A738))</f>
        <v/>
      </c>
      <c r="AD738" s="19" t="str">
        <f aca="false">IF(OR($A738="",INDEX(_LEITURA!$Q$2:$Q$21,20)=0),"",SUMIFS(DECKS!$D$2:$D$1201,DECKS!$A$2:$A$1201,INDEX(_LEITURA!$P$2:$P$21,20),DECKS!$B$2:$B$1201,$A738))</f>
        <v/>
      </c>
      <c r="AE738" s="16" t="str">
        <f aca="false">IF(N(E738)&gt;0,MAX(AE$1:AE737)+1,"")</f>
        <v/>
      </c>
      <c r="AF738" s="11" t="str">
        <f aca="false">IF(A738="","",IFERROR(LEFT(A738,FIND("-",A738)-1),A738))</f>
        <v/>
      </c>
      <c r="AG738" s="11" t="str">
        <f aca="false">IF(AF738="","",IF(ISNUMBER(--MID(AF738,1,1)),0,IF(ISNUMBER(--MID(AF738,2,1)),1,IF(ISNUMBER(--MID(AF738,3,1)),2,IF(ISNUMBER(--MID(AF738,4,1)),3,MIN(LEN(AF738),4))))))</f>
        <v/>
      </c>
      <c r="AH738" s="11" t="str">
        <f aca="false">IF(A738="","",LEFT(AF738,AG738)&amp;REPT("0",4-AG738)&amp;RIGHT("000"&amp;IFERROR(VALUE(MID(AF738,AG738+1,9)),0),3)&amp;RIGHT("0000"&amp;IFERROR(VALUE(MID(A738,FIND("-",A738)+1,9)),0),4))</f>
        <v/>
      </c>
      <c r="AI738" s="11" t="str">
        <f aca="false">IF(OR(A738="",N(E738)&lt;=0),"",IF('FALTAS GERAL'!$M$1="Código","K"&amp;AH738&amp;RIGHT("00000"&amp;ROW(),5),IF('FALTAS GERAL'!$M$1="Nome","K"&amp;UPPER(SUBSTITUTE(SUBSTITUTE(SUBSTITUTE(B738,"*",""),"?",""),"~",""))&amp;"0"&amp;AH738&amp;RIGHT("00000"&amp;ROW(),5),IF('FALTAS GERAL'!$M$1="Falta (maior primeiro)","K"&amp;RIGHT("0000"&amp;(9999-E738),4)&amp;AH738&amp;RIGHT("00000"&amp;ROW(),5),IF('FALTAS GERAL'!$M$1="Nº de decks (maior primeiro)","K"&amp;RIGHT("00"&amp;(99-N(G738)),2)&amp;AH738&amp;RIGHT("00000"&amp;ROW(),5),"K"&amp;RIGHT("00000"&amp;ROW(),5))))))</f>
        <v/>
      </c>
      <c r="AJ738" s="11" t="str">
        <f aca="false">IF(AI738="","",COUNTIFS($AI$2:$AI$801,"&lt;"&amp;AI738,$E$2:$E$801,"&gt;0")+1)</f>
        <v/>
      </c>
      <c r="AK738" s="11" t="str">
        <f aca="false">IF(OR(A738="",N(E738)&lt;=0),"",COUNTIFS($AH$2:$AH$801,"&lt;"&amp;AH738,$E$2:$E$801,"&gt;0")+COUNTIFS($AH$2:AH738,AH738,$E$2:E738,"&gt;0"))</f>
        <v/>
      </c>
    </row>
    <row r="739" customFormat="false" ht="15" hidden="false" customHeight="false" outlineLevel="0" collapsed="false">
      <c r="A739" s="11" t="str">
        <f aca="false">IF(INVENTÁRIO!A739="","",INVENTÁRIO!A739)</f>
        <v/>
      </c>
      <c r="B739" s="11" t="str">
        <f aca="false">IF(A739="","",INVENTÁRIO!B739)</f>
        <v/>
      </c>
      <c r="C739" s="16" t="str">
        <f aca="false">IF(A739="","",INVENTÁRIO!C739)</f>
        <v/>
      </c>
      <c r="D739" s="14" t="str">
        <f aca="false">IF(A739="","",MAX(K739:AD739))</f>
        <v/>
      </c>
      <c r="E739" s="14" t="str">
        <f aca="false">IF(A739="","",MAX(0,D739-C739))</f>
        <v/>
      </c>
      <c r="F739" s="16" t="str">
        <f aca="false">IF(A739="","",IF(D739=0,"Fora dos decks",IF(E739=0,"Completo","Falta")))</f>
        <v/>
      </c>
      <c r="G739" s="16" t="str">
        <f aca="false">IF(A739="","",COUNTIF(K739:AD739,"&gt;0"))</f>
        <v/>
      </c>
      <c r="H739" s="16" t="str">
        <f aca="false">IF(A739="","",IF(G739&gt;1,"Sim",""))</f>
        <v/>
      </c>
      <c r="I739" s="18" t="str">
        <f aca="false">IF(A739="","",SUMIFS(DECKS!$D$2:$D$1201,DECKS!$B$2:$B$1201,A739))</f>
        <v/>
      </c>
      <c r="J739" s="18" t="str">
        <f aca="false">IF(A739="","",MAX(0,I739-C739))</f>
        <v/>
      </c>
      <c r="K739" s="19" t="str">
        <f aca="false">IF(OR($A739="",INDEX(_LEITURA!$Q$2:$Q$21,1)=0),"",SUMIFS(DECKS!$D$2:$D$1201,DECKS!$A$2:$A$1201,INDEX(_LEITURA!$P$2:$P$21,1),DECKS!$B$2:$B$1201,$A739))</f>
        <v/>
      </c>
      <c r="L739" s="19" t="str">
        <f aca="false">IF(OR($A739="",INDEX(_LEITURA!$Q$2:$Q$21,2)=0),"",SUMIFS(DECKS!$D$2:$D$1201,DECKS!$A$2:$A$1201,INDEX(_LEITURA!$P$2:$P$21,2),DECKS!$B$2:$B$1201,$A739))</f>
        <v/>
      </c>
      <c r="M739" s="19" t="str">
        <f aca="false">IF(OR($A739="",INDEX(_LEITURA!$Q$2:$Q$21,3)=0),"",SUMIFS(DECKS!$D$2:$D$1201,DECKS!$A$2:$A$1201,INDEX(_LEITURA!$P$2:$P$21,3),DECKS!$B$2:$B$1201,$A739))</f>
        <v/>
      </c>
      <c r="N739" s="19" t="str">
        <f aca="false">IF(OR($A739="",INDEX(_LEITURA!$Q$2:$Q$21,4)=0),"",SUMIFS(DECKS!$D$2:$D$1201,DECKS!$A$2:$A$1201,INDEX(_LEITURA!$P$2:$P$21,4),DECKS!$B$2:$B$1201,$A739))</f>
        <v/>
      </c>
      <c r="O739" s="19" t="str">
        <f aca="false">IF(OR($A739="",INDEX(_LEITURA!$Q$2:$Q$21,5)=0),"",SUMIFS(DECKS!$D$2:$D$1201,DECKS!$A$2:$A$1201,INDEX(_LEITURA!$P$2:$P$21,5),DECKS!$B$2:$B$1201,$A739))</f>
        <v/>
      </c>
      <c r="P739" s="19" t="str">
        <f aca="false">IF(OR($A739="",INDEX(_LEITURA!$Q$2:$Q$21,6)=0),"",SUMIFS(DECKS!$D$2:$D$1201,DECKS!$A$2:$A$1201,INDEX(_LEITURA!$P$2:$P$21,6),DECKS!$B$2:$B$1201,$A739))</f>
        <v/>
      </c>
      <c r="Q739" s="19" t="str">
        <f aca="false">IF(OR($A739="",INDEX(_LEITURA!$Q$2:$Q$21,7)=0),"",SUMIFS(DECKS!$D$2:$D$1201,DECKS!$A$2:$A$1201,INDEX(_LEITURA!$P$2:$P$21,7),DECKS!$B$2:$B$1201,$A739))</f>
        <v/>
      </c>
      <c r="R739" s="19" t="str">
        <f aca="false">IF(OR($A739="",INDEX(_LEITURA!$Q$2:$Q$21,8)=0),"",SUMIFS(DECKS!$D$2:$D$1201,DECKS!$A$2:$A$1201,INDEX(_LEITURA!$P$2:$P$21,8),DECKS!$B$2:$B$1201,$A739))</f>
        <v/>
      </c>
      <c r="S739" s="19" t="str">
        <f aca="false">IF(OR($A739="",INDEX(_LEITURA!$Q$2:$Q$21,9)=0),"",SUMIFS(DECKS!$D$2:$D$1201,DECKS!$A$2:$A$1201,INDEX(_LEITURA!$P$2:$P$21,9),DECKS!$B$2:$B$1201,$A739))</f>
        <v/>
      </c>
      <c r="T739" s="19" t="str">
        <f aca="false">IF(OR($A739="",INDEX(_LEITURA!$Q$2:$Q$21,10)=0),"",SUMIFS(DECKS!$D$2:$D$1201,DECKS!$A$2:$A$1201,INDEX(_LEITURA!$P$2:$P$21,10),DECKS!$B$2:$B$1201,$A739))</f>
        <v/>
      </c>
      <c r="U739" s="19" t="str">
        <f aca="false">IF(OR($A739="",INDEX(_LEITURA!$Q$2:$Q$21,11)=0),"",SUMIFS(DECKS!$D$2:$D$1201,DECKS!$A$2:$A$1201,INDEX(_LEITURA!$P$2:$P$21,11),DECKS!$B$2:$B$1201,$A739))</f>
        <v/>
      </c>
      <c r="V739" s="19" t="str">
        <f aca="false">IF(OR($A739="",INDEX(_LEITURA!$Q$2:$Q$21,12)=0),"",SUMIFS(DECKS!$D$2:$D$1201,DECKS!$A$2:$A$1201,INDEX(_LEITURA!$P$2:$P$21,12),DECKS!$B$2:$B$1201,$A739))</f>
        <v/>
      </c>
      <c r="W739" s="19" t="str">
        <f aca="false">IF(OR($A739="",INDEX(_LEITURA!$Q$2:$Q$21,13)=0),"",SUMIFS(DECKS!$D$2:$D$1201,DECKS!$A$2:$A$1201,INDEX(_LEITURA!$P$2:$P$21,13),DECKS!$B$2:$B$1201,$A739))</f>
        <v/>
      </c>
      <c r="X739" s="19" t="str">
        <f aca="false">IF(OR($A739="",INDEX(_LEITURA!$Q$2:$Q$21,14)=0),"",SUMIFS(DECKS!$D$2:$D$1201,DECKS!$A$2:$A$1201,INDEX(_LEITURA!$P$2:$P$21,14),DECKS!$B$2:$B$1201,$A739))</f>
        <v/>
      </c>
      <c r="Y739" s="19" t="str">
        <f aca="false">IF(OR($A739="",INDEX(_LEITURA!$Q$2:$Q$21,15)=0),"",SUMIFS(DECKS!$D$2:$D$1201,DECKS!$A$2:$A$1201,INDEX(_LEITURA!$P$2:$P$21,15),DECKS!$B$2:$B$1201,$A739))</f>
        <v/>
      </c>
      <c r="Z739" s="19" t="str">
        <f aca="false">IF(OR($A739="",INDEX(_LEITURA!$Q$2:$Q$21,16)=0),"",SUMIFS(DECKS!$D$2:$D$1201,DECKS!$A$2:$A$1201,INDEX(_LEITURA!$P$2:$P$21,16),DECKS!$B$2:$B$1201,$A739))</f>
        <v/>
      </c>
      <c r="AA739" s="19" t="str">
        <f aca="false">IF(OR($A739="",INDEX(_LEITURA!$Q$2:$Q$21,17)=0),"",SUMIFS(DECKS!$D$2:$D$1201,DECKS!$A$2:$A$1201,INDEX(_LEITURA!$P$2:$P$21,17),DECKS!$B$2:$B$1201,$A739))</f>
        <v/>
      </c>
      <c r="AB739" s="19" t="str">
        <f aca="false">IF(OR($A739="",INDEX(_LEITURA!$Q$2:$Q$21,18)=0),"",SUMIFS(DECKS!$D$2:$D$1201,DECKS!$A$2:$A$1201,INDEX(_LEITURA!$P$2:$P$21,18),DECKS!$B$2:$B$1201,$A739))</f>
        <v/>
      </c>
      <c r="AC739" s="19" t="str">
        <f aca="false">IF(OR($A739="",INDEX(_LEITURA!$Q$2:$Q$21,19)=0),"",SUMIFS(DECKS!$D$2:$D$1201,DECKS!$A$2:$A$1201,INDEX(_LEITURA!$P$2:$P$21,19),DECKS!$B$2:$B$1201,$A739))</f>
        <v/>
      </c>
      <c r="AD739" s="19" t="str">
        <f aca="false">IF(OR($A739="",INDEX(_LEITURA!$Q$2:$Q$21,20)=0),"",SUMIFS(DECKS!$D$2:$D$1201,DECKS!$A$2:$A$1201,INDEX(_LEITURA!$P$2:$P$21,20),DECKS!$B$2:$B$1201,$A739))</f>
        <v/>
      </c>
      <c r="AE739" s="16" t="str">
        <f aca="false">IF(N(E739)&gt;0,MAX(AE$1:AE738)+1,"")</f>
        <v/>
      </c>
      <c r="AF739" s="11" t="str">
        <f aca="false">IF(A739="","",IFERROR(LEFT(A739,FIND("-",A739)-1),A739))</f>
        <v/>
      </c>
      <c r="AG739" s="11" t="str">
        <f aca="false">IF(AF739="","",IF(ISNUMBER(--MID(AF739,1,1)),0,IF(ISNUMBER(--MID(AF739,2,1)),1,IF(ISNUMBER(--MID(AF739,3,1)),2,IF(ISNUMBER(--MID(AF739,4,1)),3,MIN(LEN(AF739),4))))))</f>
        <v/>
      </c>
      <c r="AH739" s="11" t="str">
        <f aca="false">IF(A739="","",LEFT(AF739,AG739)&amp;REPT("0",4-AG739)&amp;RIGHT("000"&amp;IFERROR(VALUE(MID(AF739,AG739+1,9)),0),3)&amp;RIGHT("0000"&amp;IFERROR(VALUE(MID(A739,FIND("-",A739)+1,9)),0),4))</f>
        <v/>
      </c>
      <c r="AI739" s="11" t="str">
        <f aca="false">IF(OR(A739="",N(E739)&lt;=0),"",IF('FALTAS GERAL'!$M$1="Código","K"&amp;AH739&amp;RIGHT("00000"&amp;ROW(),5),IF('FALTAS GERAL'!$M$1="Nome","K"&amp;UPPER(SUBSTITUTE(SUBSTITUTE(SUBSTITUTE(B739,"*",""),"?",""),"~",""))&amp;"0"&amp;AH739&amp;RIGHT("00000"&amp;ROW(),5),IF('FALTAS GERAL'!$M$1="Falta (maior primeiro)","K"&amp;RIGHT("0000"&amp;(9999-E739),4)&amp;AH739&amp;RIGHT("00000"&amp;ROW(),5),IF('FALTAS GERAL'!$M$1="Nº de decks (maior primeiro)","K"&amp;RIGHT("00"&amp;(99-N(G739)),2)&amp;AH739&amp;RIGHT("00000"&amp;ROW(),5),"K"&amp;RIGHT("00000"&amp;ROW(),5))))))</f>
        <v/>
      </c>
      <c r="AJ739" s="11" t="str">
        <f aca="false">IF(AI739="","",COUNTIFS($AI$2:$AI$801,"&lt;"&amp;AI739,$E$2:$E$801,"&gt;0")+1)</f>
        <v/>
      </c>
      <c r="AK739" s="11" t="str">
        <f aca="false">IF(OR(A739="",N(E739)&lt;=0),"",COUNTIFS($AH$2:$AH$801,"&lt;"&amp;AH739,$E$2:$E$801,"&gt;0")+COUNTIFS($AH$2:AH739,AH739,$E$2:E739,"&gt;0"))</f>
        <v/>
      </c>
    </row>
    <row r="740" customFormat="false" ht="15" hidden="false" customHeight="false" outlineLevel="0" collapsed="false">
      <c r="A740" s="11" t="str">
        <f aca="false">IF(INVENTÁRIO!A740="","",INVENTÁRIO!A740)</f>
        <v/>
      </c>
      <c r="B740" s="11" t="str">
        <f aca="false">IF(A740="","",INVENTÁRIO!B740)</f>
        <v/>
      </c>
      <c r="C740" s="16" t="str">
        <f aca="false">IF(A740="","",INVENTÁRIO!C740)</f>
        <v/>
      </c>
      <c r="D740" s="14" t="str">
        <f aca="false">IF(A740="","",MAX(K740:AD740))</f>
        <v/>
      </c>
      <c r="E740" s="14" t="str">
        <f aca="false">IF(A740="","",MAX(0,D740-C740))</f>
        <v/>
      </c>
      <c r="F740" s="16" t="str">
        <f aca="false">IF(A740="","",IF(D740=0,"Fora dos decks",IF(E740=0,"Completo","Falta")))</f>
        <v/>
      </c>
      <c r="G740" s="16" t="str">
        <f aca="false">IF(A740="","",COUNTIF(K740:AD740,"&gt;0"))</f>
        <v/>
      </c>
      <c r="H740" s="16" t="str">
        <f aca="false">IF(A740="","",IF(G740&gt;1,"Sim",""))</f>
        <v/>
      </c>
      <c r="I740" s="18" t="str">
        <f aca="false">IF(A740="","",SUMIFS(DECKS!$D$2:$D$1201,DECKS!$B$2:$B$1201,A740))</f>
        <v/>
      </c>
      <c r="J740" s="18" t="str">
        <f aca="false">IF(A740="","",MAX(0,I740-C740))</f>
        <v/>
      </c>
      <c r="K740" s="19" t="str">
        <f aca="false">IF(OR($A740="",INDEX(_LEITURA!$Q$2:$Q$21,1)=0),"",SUMIFS(DECKS!$D$2:$D$1201,DECKS!$A$2:$A$1201,INDEX(_LEITURA!$P$2:$P$21,1),DECKS!$B$2:$B$1201,$A740))</f>
        <v/>
      </c>
      <c r="L740" s="19" t="str">
        <f aca="false">IF(OR($A740="",INDEX(_LEITURA!$Q$2:$Q$21,2)=0),"",SUMIFS(DECKS!$D$2:$D$1201,DECKS!$A$2:$A$1201,INDEX(_LEITURA!$P$2:$P$21,2),DECKS!$B$2:$B$1201,$A740))</f>
        <v/>
      </c>
      <c r="M740" s="19" t="str">
        <f aca="false">IF(OR($A740="",INDEX(_LEITURA!$Q$2:$Q$21,3)=0),"",SUMIFS(DECKS!$D$2:$D$1201,DECKS!$A$2:$A$1201,INDEX(_LEITURA!$P$2:$P$21,3),DECKS!$B$2:$B$1201,$A740))</f>
        <v/>
      </c>
      <c r="N740" s="19" t="str">
        <f aca="false">IF(OR($A740="",INDEX(_LEITURA!$Q$2:$Q$21,4)=0),"",SUMIFS(DECKS!$D$2:$D$1201,DECKS!$A$2:$A$1201,INDEX(_LEITURA!$P$2:$P$21,4),DECKS!$B$2:$B$1201,$A740))</f>
        <v/>
      </c>
      <c r="O740" s="19" t="str">
        <f aca="false">IF(OR($A740="",INDEX(_LEITURA!$Q$2:$Q$21,5)=0),"",SUMIFS(DECKS!$D$2:$D$1201,DECKS!$A$2:$A$1201,INDEX(_LEITURA!$P$2:$P$21,5),DECKS!$B$2:$B$1201,$A740))</f>
        <v/>
      </c>
      <c r="P740" s="19" t="str">
        <f aca="false">IF(OR($A740="",INDEX(_LEITURA!$Q$2:$Q$21,6)=0),"",SUMIFS(DECKS!$D$2:$D$1201,DECKS!$A$2:$A$1201,INDEX(_LEITURA!$P$2:$P$21,6),DECKS!$B$2:$B$1201,$A740))</f>
        <v/>
      </c>
      <c r="Q740" s="19" t="str">
        <f aca="false">IF(OR($A740="",INDEX(_LEITURA!$Q$2:$Q$21,7)=0),"",SUMIFS(DECKS!$D$2:$D$1201,DECKS!$A$2:$A$1201,INDEX(_LEITURA!$P$2:$P$21,7),DECKS!$B$2:$B$1201,$A740))</f>
        <v/>
      </c>
      <c r="R740" s="19" t="str">
        <f aca="false">IF(OR($A740="",INDEX(_LEITURA!$Q$2:$Q$21,8)=0),"",SUMIFS(DECKS!$D$2:$D$1201,DECKS!$A$2:$A$1201,INDEX(_LEITURA!$P$2:$P$21,8),DECKS!$B$2:$B$1201,$A740))</f>
        <v/>
      </c>
      <c r="S740" s="19" t="str">
        <f aca="false">IF(OR($A740="",INDEX(_LEITURA!$Q$2:$Q$21,9)=0),"",SUMIFS(DECKS!$D$2:$D$1201,DECKS!$A$2:$A$1201,INDEX(_LEITURA!$P$2:$P$21,9),DECKS!$B$2:$B$1201,$A740))</f>
        <v/>
      </c>
      <c r="T740" s="19" t="str">
        <f aca="false">IF(OR($A740="",INDEX(_LEITURA!$Q$2:$Q$21,10)=0),"",SUMIFS(DECKS!$D$2:$D$1201,DECKS!$A$2:$A$1201,INDEX(_LEITURA!$P$2:$P$21,10),DECKS!$B$2:$B$1201,$A740))</f>
        <v/>
      </c>
      <c r="U740" s="19" t="str">
        <f aca="false">IF(OR($A740="",INDEX(_LEITURA!$Q$2:$Q$21,11)=0),"",SUMIFS(DECKS!$D$2:$D$1201,DECKS!$A$2:$A$1201,INDEX(_LEITURA!$P$2:$P$21,11),DECKS!$B$2:$B$1201,$A740))</f>
        <v/>
      </c>
      <c r="V740" s="19" t="str">
        <f aca="false">IF(OR($A740="",INDEX(_LEITURA!$Q$2:$Q$21,12)=0),"",SUMIFS(DECKS!$D$2:$D$1201,DECKS!$A$2:$A$1201,INDEX(_LEITURA!$P$2:$P$21,12),DECKS!$B$2:$B$1201,$A740))</f>
        <v/>
      </c>
      <c r="W740" s="19" t="str">
        <f aca="false">IF(OR($A740="",INDEX(_LEITURA!$Q$2:$Q$21,13)=0),"",SUMIFS(DECKS!$D$2:$D$1201,DECKS!$A$2:$A$1201,INDEX(_LEITURA!$P$2:$P$21,13),DECKS!$B$2:$B$1201,$A740))</f>
        <v/>
      </c>
      <c r="X740" s="19" t="str">
        <f aca="false">IF(OR($A740="",INDEX(_LEITURA!$Q$2:$Q$21,14)=0),"",SUMIFS(DECKS!$D$2:$D$1201,DECKS!$A$2:$A$1201,INDEX(_LEITURA!$P$2:$P$21,14),DECKS!$B$2:$B$1201,$A740))</f>
        <v/>
      </c>
      <c r="Y740" s="19" t="str">
        <f aca="false">IF(OR($A740="",INDEX(_LEITURA!$Q$2:$Q$21,15)=0),"",SUMIFS(DECKS!$D$2:$D$1201,DECKS!$A$2:$A$1201,INDEX(_LEITURA!$P$2:$P$21,15),DECKS!$B$2:$B$1201,$A740))</f>
        <v/>
      </c>
      <c r="Z740" s="19" t="str">
        <f aca="false">IF(OR($A740="",INDEX(_LEITURA!$Q$2:$Q$21,16)=0),"",SUMIFS(DECKS!$D$2:$D$1201,DECKS!$A$2:$A$1201,INDEX(_LEITURA!$P$2:$P$21,16),DECKS!$B$2:$B$1201,$A740))</f>
        <v/>
      </c>
      <c r="AA740" s="19" t="str">
        <f aca="false">IF(OR($A740="",INDEX(_LEITURA!$Q$2:$Q$21,17)=0),"",SUMIFS(DECKS!$D$2:$D$1201,DECKS!$A$2:$A$1201,INDEX(_LEITURA!$P$2:$P$21,17),DECKS!$B$2:$B$1201,$A740))</f>
        <v/>
      </c>
      <c r="AB740" s="19" t="str">
        <f aca="false">IF(OR($A740="",INDEX(_LEITURA!$Q$2:$Q$21,18)=0),"",SUMIFS(DECKS!$D$2:$D$1201,DECKS!$A$2:$A$1201,INDEX(_LEITURA!$P$2:$P$21,18),DECKS!$B$2:$B$1201,$A740))</f>
        <v/>
      </c>
      <c r="AC740" s="19" t="str">
        <f aca="false">IF(OR($A740="",INDEX(_LEITURA!$Q$2:$Q$21,19)=0),"",SUMIFS(DECKS!$D$2:$D$1201,DECKS!$A$2:$A$1201,INDEX(_LEITURA!$P$2:$P$21,19),DECKS!$B$2:$B$1201,$A740))</f>
        <v/>
      </c>
      <c r="AD740" s="19" t="str">
        <f aca="false">IF(OR($A740="",INDEX(_LEITURA!$Q$2:$Q$21,20)=0),"",SUMIFS(DECKS!$D$2:$D$1201,DECKS!$A$2:$A$1201,INDEX(_LEITURA!$P$2:$P$21,20),DECKS!$B$2:$B$1201,$A740))</f>
        <v/>
      </c>
      <c r="AE740" s="16" t="str">
        <f aca="false">IF(N(E740)&gt;0,MAX(AE$1:AE739)+1,"")</f>
        <v/>
      </c>
      <c r="AF740" s="11" t="str">
        <f aca="false">IF(A740="","",IFERROR(LEFT(A740,FIND("-",A740)-1),A740))</f>
        <v/>
      </c>
      <c r="AG740" s="11" t="str">
        <f aca="false">IF(AF740="","",IF(ISNUMBER(--MID(AF740,1,1)),0,IF(ISNUMBER(--MID(AF740,2,1)),1,IF(ISNUMBER(--MID(AF740,3,1)),2,IF(ISNUMBER(--MID(AF740,4,1)),3,MIN(LEN(AF740),4))))))</f>
        <v/>
      </c>
      <c r="AH740" s="11" t="str">
        <f aca="false">IF(A740="","",LEFT(AF740,AG740)&amp;REPT("0",4-AG740)&amp;RIGHT("000"&amp;IFERROR(VALUE(MID(AF740,AG740+1,9)),0),3)&amp;RIGHT("0000"&amp;IFERROR(VALUE(MID(A740,FIND("-",A740)+1,9)),0),4))</f>
        <v/>
      </c>
      <c r="AI740" s="11" t="str">
        <f aca="false">IF(OR(A740="",N(E740)&lt;=0),"",IF('FALTAS GERAL'!$M$1="Código","K"&amp;AH740&amp;RIGHT("00000"&amp;ROW(),5),IF('FALTAS GERAL'!$M$1="Nome","K"&amp;UPPER(SUBSTITUTE(SUBSTITUTE(SUBSTITUTE(B740,"*",""),"?",""),"~",""))&amp;"0"&amp;AH740&amp;RIGHT("00000"&amp;ROW(),5),IF('FALTAS GERAL'!$M$1="Falta (maior primeiro)","K"&amp;RIGHT("0000"&amp;(9999-E740),4)&amp;AH740&amp;RIGHT("00000"&amp;ROW(),5),IF('FALTAS GERAL'!$M$1="Nº de decks (maior primeiro)","K"&amp;RIGHT("00"&amp;(99-N(G740)),2)&amp;AH740&amp;RIGHT("00000"&amp;ROW(),5),"K"&amp;RIGHT("00000"&amp;ROW(),5))))))</f>
        <v/>
      </c>
      <c r="AJ740" s="11" t="str">
        <f aca="false">IF(AI740="","",COUNTIFS($AI$2:$AI$801,"&lt;"&amp;AI740,$E$2:$E$801,"&gt;0")+1)</f>
        <v/>
      </c>
      <c r="AK740" s="11" t="str">
        <f aca="false">IF(OR(A740="",N(E740)&lt;=0),"",COUNTIFS($AH$2:$AH$801,"&lt;"&amp;AH740,$E$2:$E$801,"&gt;0")+COUNTIFS($AH$2:AH740,AH740,$E$2:E740,"&gt;0"))</f>
        <v/>
      </c>
    </row>
    <row r="741" customFormat="false" ht="15" hidden="false" customHeight="false" outlineLevel="0" collapsed="false">
      <c r="A741" s="11" t="str">
        <f aca="false">IF(INVENTÁRIO!A741="","",INVENTÁRIO!A741)</f>
        <v/>
      </c>
      <c r="B741" s="11" t="str">
        <f aca="false">IF(A741="","",INVENTÁRIO!B741)</f>
        <v/>
      </c>
      <c r="C741" s="16" t="str">
        <f aca="false">IF(A741="","",INVENTÁRIO!C741)</f>
        <v/>
      </c>
      <c r="D741" s="14" t="str">
        <f aca="false">IF(A741="","",MAX(K741:AD741))</f>
        <v/>
      </c>
      <c r="E741" s="14" t="str">
        <f aca="false">IF(A741="","",MAX(0,D741-C741))</f>
        <v/>
      </c>
      <c r="F741" s="16" t="str">
        <f aca="false">IF(A741="","",IF(D741=0,"Fora dos decks",IF(E741=0,"Completo","Falta")))</f>
        <v/>
      </c>
      <c r="G741" s="16" t="str">
        <f aca="false">IF(A741="","",COUNTIF(K741:AD741,"&gt;0"))</f>
        <v/>
      </c>
      <c r="H741" s="16" t="str">
        <f aca="false">IF(A741="","",IF(G741&gt;1,"Sim",""))</f>
        <v/>
      </c>
      <c r="I741" s="18" t="str">
        <f aca="false">IF(A741="","",SUMIFS(DECKS!$D$2:$D$1201,DECKS!$B$2:$B$1201,A741))</f>
        <v/>
      </c>
      <c r="J741" s="18" t="str">
        <f aca="false">IF(A741="","",MAX(0,I741-C741))</f>
        <v/>
      </c>
      <c r="K741" s="19" t="str">
        <f aca="false">IF(OR($A741="",INDEX(_LEITURA!$Q$2:$Q$21,1)=0),"",SUMIFS(DECKS!$D$2:$D$1201,DECKS!$A$2:$A$1201,INDEX(_LEITURA!$P$2:$P$21,1),DECKS!$B$2:$B$1201,$A741))</f>
        <v/>
      </c>
      <c r="L741" s="19" t="str">
        <f aca="false">IF(OR($A741="",INDEX(_LEITURA!$Q$2:$Q$21,2)=0),"",SUMIFS(DECKS!$D$2:$D$1201,DECKS!$A$2:$A$1201,INDEX(_LEITURA!$P$2:$P$21,2),DECKS!$B$2:$B$1201,$A741))</f>
        <v/>
      </c>
      <c r="M741" s="19" t="str">
        <f aca="false">IF(OR($A741="",INDEX(_LEITURA!$Q$2:$Q$21,3)=0),"",SUMIFS(DECKS!$D$2:$D$1201,DECKS!$A$2:$A$1201,INDEX(_LEITURA!$P$2:$P$21,3),DECKS!$B$2:$B$1201,$A741))</f>
        <v/>
      </c>
      <c r="N741" s="19" t="str">
        <f aca="false">IF(OR($A741="",INDEX(_LEITURA!$Q$2:$Q$21,4)=0),"",SUMIFS(DECKS!$D$2:$D$1201,DECKS!$A$2:$A$1201,INDEX(_LEITURA!$P$2:$P$21,4),DECKS!$B$2:$B$1201,$A741))</f>
        <v/>
      </c>
      <c r="O741" s="19" t="str">
        <f aca="false">IF(OR($A741="",INDEX(_LEITURA!$Q$2:$Q$21,5)=0),"",SUMIFS(DECKS!$D$2:$D$1201,DECKS!$A$2:$A$1201,INDEX(_LEITURA!$P$2:$P$21,5),DECKS!$B$2:$B$1201,$A741))</f>
        <v/>
      </c>
      <c r="P741" s="19" t="str">
        <f aca="false">IF(OR($A741="",INDEX(_LEITURA!$Q$2:$Q$21,6)=0),"",SUMIFS(DECKS!$D$2:$D$1201,DECKS!$A$2:$A$1201,INDEX(_LEITURA!$P$2:$P$21,6),DECKS!$B$2:$B$1201,$A741))</f>
        <v/>
      </c>
      <c r="Q741" s="19" t="str">
        <f aca="false">IF(OR($A741="",INDEX(_LEITURA!$Q$2:$Q$21,7)=0),"",SUMIFS(DECKS!$D$2:$D$1201,DECKS!$A$2:$A$1201,INDEX(_LEITURA!$P$2:$P$21,7),DECKS!$B$2:$B$1201,$A741))</f>
        <v/>
      </c>
      <c r="R741" s="19" t="str">
        <f aca="false">IF(OR($A741="",INDEX(_LEITURA!$Q$2:$Q$21,8)=0),"",SUMIFS(DECKS!$D$2:$D$1201,DECKS!$A$2:$A$1201,INDEX(_LEITURA!$P$2:$P$21,8),DECKS!$B$2:$B$1201,$A741))</f>
        <v/>
      </c>
      <c r="S741" s="19" t="str">
        <f aca="false">IF(OR($A741="",INDEX(_LEITURA!$Q$2:$Q$21,9)=0),"",SUMIFS(DECKS!$D$2:$D$1201,DECKS!$A$2:$A$1201,INDEX(_LEITURA!$P$2:$P$21,9),DECKS!$B$2:$B$1201,$A741))</f>
        <v/>
      </c>
      <c r="T741" s="19" t="str">
        <f aca="false">IF(OR($A741="",INDEX(_LEITURA!$Q$2:$Q$21,10)=0),"",SUMIFS(DECKS!$D$2:$D$1201,DECKS!$A$2:$A$1201,INDEX(_LEITURA!$P$2:$P$21,10),DECKS!$B$2:$B$1201,$A741))</f>
        <v/>
      </c>
      <c r="U741" s="19" t="str">
        <f aca="false">IF(OR($A741="",INDEX(_LEITURA!$Q$2:$Q$21,11)=0),"",SUMIFS(DECKS!$D$2:$D$1201,DECKS!$A$2:$A$1201,INDEX(_LEITURA!$P$2:$P$21,11),DECKS!$B$2:$B$1201,$A741))</f>
        <v/>
      </c>
      <c r="V741" s="19" t="str">
        <f aca="false">IF(OR($A741="",INDEX(_LEITURA!$Q$2:$Q$21,12)=0),"",SUMIFS(DECKS!$D$2:$D$1201,DECKS!$A$2:$A$1201,INDEX(_LEITURA!$P$2:$P$21,12),DECKS!$B$2:$B$1201,$A741))</f>
        <v/>
      </c>
      <c r="W741" s="19" t="str">
        <f aca="false">IF(OR($A741="",INDEX(_LEITURA!$Q$2:$Q$21,13)=0),"",SUMIFS(DECKS!$D$2:$D$1201,DECKS!$A$2:$A$1201,INDEX(_LEITURA!$P$2:$P$21,13),DECKS!$B$2:$B$1201,$A741))</f>
        <v/>
      </c>
      <c r="X741" s="19" t="str">
        <f aca="false">IF(OR($A741="",INDEX(_LEITURA!$Q$2:$Q$21,14)=0),"",SUMIFS(DECKS!$D$2:$D$1201,DECKS!$A$2:$A$1201,INDEX(_LEITURA!$P$2:$P$21,14),DECKS!$B$2:$B$1201,$A741))</f>
        <v/>
      </c>
      <c r="Y741" s="19" t="str">
        <f aca="false">IF(OR($A741="",INDEX(_LEITURA!$Q$2:$Q$21,15)=0),"",SUMIFS(DECKS!$D$2:$D$1201,DECKS!$A$2:$A$1201,INDEX(_LEITURA!$P$2:$P$21,15),DECKS!$B$2:$B$1201,$A741))</f>
        <v/>
      </c>
      <c r="Z741" s="19" t="str">
        <f aca="false">IF(OR($A741="",INDEX(_LEITURA!$Q$2:$Q$21,16)=0),"",SUMIFS(DECKS!$D$2:$D$1201,DECKS!$A$2:$A$1201,INDEX(_LEITURA!$P$2:$P$21,16),DECKS!$B$2:$B$1201,$A741))</f>
        <v/>
      </c>
      <c r="AA741" s="19" t="str">
        <f aca="false">IF(OR($A741="",INDEX(_LEITURA!$Q$2:$Q$21,17)=0),"",SUMIFS(DECKS!$D$2:$D$1201,DECKS!$A$2:$A$1201,INDEX(_LEITURA!$P$2:$P$21,17),DECKS!$B$2:$B$1201,$A741))</f>
        <v/>
      </c>
      <c r="AB741" s="19" t="str">
        <f aca="false">IF(OR($A741="",INDEX(_LEITURA!$Q$2:$Q$21,18)=0),"",SUMIFS(DECKS!$D$2:$D$1201,DECKS!$A$2:$A$1201,INDEX(_LEITURA!$P$2:$P$21,18),DECKS!$B$2:$B$1201,$A741))</f>
        <v/>
      </c>
      <c r="AC741" s="19" t="str">
        <f aca="false">IF(OR($A741="",INDEX(_LEITURA!$Q$2:$Q$21,19)=0),"",SUMIFS(DECKS!$D$2:$D$1201,DECKS!$A$2:$A$1201,INDEX(_LEITURA!$P$2:$P$21,19),DECKS!$B$2:$B$1201,$A741))</f>
        <v/>
      </c>
      <c r="AD741" s="19" t="str">
        <f aca="false">IF(OR($A741="",INDEX(_LEITURA!$Q$2:$Q$21,20)=0),"",SUMIFS(DECKS!$D$2:$D$1201,DECKS!$A$2:$A$1201,INDEX(_LEITURA!$P$2:$P$21,20),DECKS!$B$2:$B$1201,$A741))</f>
        <v/>
      </c>
      <c r="AE741" s="16" t="str">
        <f aca="false">IF(N(E741)&gt;0,MAX(AE$1:AE740)+1,"")</f>
        <v/>
      </c>
      <c r="AF741" s="11" t="str">
        <f aca="false">IF(A741="","",IFERROR(LEFT(A741,FIND("-",A741)-1),A741))</f>
        <v/>
      </c>
      <c r="AG741" s="11" t="str">
        <f aca="false">IF(AF741="","",IF(ISNUMBER(--MID(AF741,1,1)),0,IF(ISNUMBER(--MID(AF741,2,1)),1,IF(ISNUMBER(--MID(AF741,3,1)),2,IF(ISNUMBER(--MID(AF741,4,1)),3,MIN(LEN(AF741),4))))))</f>
        <v/>
      </c>
      <c r="AH741" s="11" t="str">
        <f aca="false">IF(A741="","",LEFT(AF741,AG741)&amp;REPT("0",4-AG741)&amp;RIGHT("000"&amp;IFERROR(VALUE(MID(AF741,AG741+1,9)),0),3)&amp;RIGHT("0000"&amp;IFERROR(VALUE(MID(A741,FIND("-",A741)+1,9)),0),4))</f>
        <v/>
      </c>
      <c r="AI741" s="11" t="str">
        <f aca="false">IF(OR(A741="",N(E741)&lt;=0),"",IF('FALTAS GERAL'!$M$1="Código","K"&amp;AH741&amp;RIGHT("00000"&amp;ROW(),5),IF('FALTAS GERAL'!$M$1="Nome","K"&amp;UPPER(SUBSTITUTE(SUBSTITUTE(SUBSTITUTE(B741,"*",""),"?",""),"~",""))&amp;"0"&amp;AH741&amp;RIGHT("00000"&amp;ROW(),5),IF('FALTAS GERAL'!$M$1="Falta (maior primeiro)","K"&amp;RIGHT("0000"&amp;(9999-E741),4)&amp;AH741&amp;RIGHT("00000"&amp;ROW(),5),IF('FALTAS GERAL'!$M$1="Nº de decks (maior primeiro)","K"&amp;RIGHT("00"&amp;(99-N(G741)),2)&amp;AH741&amp;RIGHT("00000"&amp;ROW(),5),"K"&amp;RIGHT("00000"&amp;ROW(),5))))))</f>
        <v/>
      </c>
      <c r="AJ741" s="11" t="str">
        <f aca="false">IF(AI741="","",COUNTIFS($AI$2:$AI$801,"&lt;"&amp;AI741,$E$2:$E$801,"&gt;0")+1)</f>
        <v/>
      </c>
      <c r="AK741" s="11" t="str">
        <f aca="false">IF(OR(A741="",N(E741)&lt;=0),"",COUNTIFS($AH$2:$AH$801,"&lt;"&amp;AH741,$E$2:$E$801,"&gt;0")+COUNTIFS($AH$2:AH741,AH741,$E$2:E741,"&gt;0"))</f>
        <v/>
      </c>
    </row>
    <row r="742" customFormat="false" ht="15" hidden="false" customHeight="false" outlineLevel="0" collapsed="false">
      <c r="A742" s="11" t="str">
        <f aca="false">IF(INVENTÁRIO!A742="","",INVENTÁRIO!A742)</f>
        <v/>
      </c>
      <c r="B742" s="11" t="str">
        <f aca="false">IF(A742="","",INVENTÁRIO!B742)</f>
        <v/>
      </c>
      <c r="C742" s="16" t="str">
        <f aca="false">IF(A742="","",INVENTÁRIO!C742)</f>
        <v/>
      </c>
      <c r="D742" s="14" t="str">
        <f aca="false">IF(A742="","",MAX(K742:AD742))</f>
        <v/>
      </c>
      <c r="E742" s="14" t="str">
        <f aca="false">IF(A742="","",MAX(0,D742-C742))</f>
        <v/>
      </c>
      <c r="F742" s="16" t="str">
        <f aca="false">IF(A742="","",IF(D742=0,"Fora dos decks",IF(E742=0,"Completo","Falta")))</f>
        <v/>
      </c>
      <c r="G742" s="16" t="str">
        <f aca="false">IF(A742="","",COUNTIF(K742:AD742,"&gt;0"))</f>
        <v/>
      </c>
      <c r="H742" s="16" t="str">
        <f aca="false">IF(A742="","",IF(G742&gt;1,"Sim",""))</f>
        <v/>
      </c>
      <c r="I742" s="18" t="str">
        <f aca="false">IF(A742="","",SUMIFS(DECKS!$D$2:$D$1201,DECKS!$B$2:$B$1201,A742))</f>
        <v/>
      </c>
      <c r="J742" s="18" t="str">
        <f aca="false">IF(A742="","",MAX(0,I742-C742))</f>
        <v/>
      </c>
      <c r="K742" s="19" t="str">
        <f aca="false">IF(OR($A742="",INDEX(_LEITURA!$Q$2:$Q$21,1)=0),"",SUMIFS(DECKS!$D$2:$D$1201,DECKS!$A$2:$A$1201,INDEX(_LEITURA!$P$2:$P$21,1),DECKS!$B$2:$B$1201,$A742))</f>
        <v/>
      </c>
      <c r="L742" s="19" t="str">
        <f aca="false">IF(OR($A742="",INDEX(_LEITURA!$Q$2:$Q$21,2)=0),"",SUMIFS(DECKS!$D$2:$D$1201,DECKS!$A$2:$A$1201,INDEX(_LEITURA!$P$2:$P$21,2),DECKS!$B$2:$B$1201,$A742))</f>
        <v/>
      </c>
      <c r="M742" s="19" t="str">
        <f aca="false">IF(OR($A742="",INDEX(_LEITURA!$Q$2:$Q$21,3)=0),"",SUMIFS(DECKS!$D$2:$D$1201,DECKS!$A$2:$A$1201,INDEX(_LEITURA!$P$2:$P$21,3),DECKS!$B$2:$B$1201,$A742))</f>
        <v/>
      </c>
      <c r="N742" s="19" t="str">
        <f aca="false">IF(OR($A742="",INDEX(_LEITURA!$Q$2:$Q$21,4)=0),"",SUMIFS(DECKS!$D$2:$D$1201,DECKS!$A$2:$A$1201,INDEX(_LEITURA!$P$2:$P$21,4),DECKS!$B$2:$B$1201,$A742))</f>
        <v/>
      </c>
      <c r="O742" s="19" t="str">
        <f aca="false">IF(OR($A742="",INDEX(_LEITURA!$Q$2:$Q$21,5)=0),"",SUMIFS(DECKS!$D$2:$D$1201,DECKS!$A$2:$A$1201,INDEX(_LEITURA!$P$2:$P$21,5),DECKS!$B$2:$B$1201,$A742))</f>
        <v/>
      </c>
      <c r="P742" s="19" t="str">
        <f aca="false">IF(OR($A742="",INDEX(_LEITURA!$Q$2:$Q$21,6)=0),"",SUMIFS(DECKS!$D$2:$D$1201,DECKS!$A$2:$A$1201,INDEX(_LEITURA!$P$2:$P$21,6),DECKS!$B$2:$B$1201,$A742))</f>
        <v/>
      </c>
      <c r="Q742" s="19" t="str">
        <f aca="false">IF(OR($A742="",INDEX(_LEITURA!$Q$2:$Q$21,7)=0),"",SUMIFS(DECKS!$D$2:$D$1201,DECKS!$A$2:$A$1201,INDEX(_LEITURA!$P$2:$P$21,7),DECKS!$B$2:$B$1201,$A742))</f>
        <v/>
      </c>
      <c r="R742" s="19" t="str">
        <f aca="false">IF(OR($A742="",INDEX(_LEITURA!$Q$2:$Q$21,8)=0),"",SUMIFS(DECKS!$D$2:$D$1201,DECKS!$A$2:$A$1201,INDEX(_LEITURA!$P$2:$P$21,8),DECKS!$B$2:$B$1201,$A742))</f>
        <v/>
      </c>
      <c r="S742" s="19" t="str">
        <f aca="false">IF(OR($A742="",INDEX(_LEITURA!$Q$2:$Q$21,9)=0),"",SUMIFS(DECKS!$D$2:$D$1201,DECKS!$A$2:$A$1201,INDEX(_LEITURA!$P$2:$P$21,9),DECKS!$B$2:$B$1201,$A742))</f>
        <v/>
      </c>
      <c r="T742" s="19" t="str">
        <f aca="false">IF(OR($A742="",INDEX(_LEITURA!$Q$2:$Q$21,10)=0),"",SUMIFS(DECKS!$D$2:$D$1201,DECKS!$A$2:$A$1201,INDEX(_LEITURA!$P$2:$P$21,10),DECKS!$B$2:$B$1201,$A742))</f>
        <v/>
      </c>
      <c r="U742" s="19" t="str">
        <f aca="false">IF(OR($A742="",INDEX(_LEITURA!$Q$2:$Q$21,11)=0),"",SUMIFS(DECKS!$D$2:$D$1201,DECKS!$A$2:$A$1201,INDEX(_LEITURA!$P$2:$P$21,11),DECKS!$B$2:$B$1201,$A742))</f>
        <v/>
      </c>
      <c r="V742" s="19" t="str">
        <f aca="false">IF(OR($A742="",INDEX(_LEITURA!$Q$2:$Q$21,12)=0),"",SUMIFS(DECKS!$D$2:$D$1201,DECKS!$A$2:$A$1201,INDEX(_LEITURA!$P$2:$P$21,12),DECKS!$B$2:$B$1201,$A742))</f>
        <v/>
      </c>
      <c r="W742" s="19" t="str">
        <f aca="false">IF(OR($A742="",INDEX(_LEITURA!$Q$2:$Q$21,13)=0),"",SUMIFS(DECKS!$D$2:$D$1201,DECKS!$A$2:$A$1201,INDEX(_LEITURA!$P$2:$P$21,13),DECKS!$B$2:$B$1201,$A742))</f>
        <v/>
      </c>
      <c r="X742" s="19" t="str">
        <f aca="false">IF(OR($A742="",INDEX(_LEITURA!$Q$2:$Q$21,14)=0),"",SUMIFS(DECKS!$D$2:$D$1201,DECKS!$A$2:$A$1201,INDEX(_LEITURA!$P$2:$P$21,14),DECKS!$B$2:$B$1201,$A742))</f>
        <v/>
      </c>
      <c r="Y742" s="19" t="str">
        <f aca="false">IF(OR($A742="",INDEX(_LEITURA!$Q$2:$Q$21,15)=0),"",SUMIFS(DECKS!$D$2:$D$1201,DECKS!$A$2:$A$1201,INDEX(_LEITURA!$P$2:$P$21,15),DECKS!$B$2:$B$1201,$A742))</f>
        <v/>
      </c>
      <c r="Z742" s="19" t="str">
        <f aca="false">IF(OR($A742="",INDEX(_LEITURA!$Q$2:$Q$21,16)=0),"",SUMIFS(DECKS!$D$2:$D$1201,DECKS!$A$2:$A$1201,INDEX(_LEITURA!$P$2:$P$21,16),DECKS!$B$2:$B$1201,$A742))</f>
        <v/>
      </c>
      <c r="AA742" s="19" t="str">
        <f aca="false">IF(OR($A742="",INDEX(_LEITURA!$Q$2:$Q$21,17)=0),"",SUMIFS(DECKS!$D$2:$D$1201,DECKS!$A$2:$A$1201,INDEX(_LEITURA!$P$2:$P$21,17),DECKS!$B$2:$B$1201,$A742))</f>
        <v/>
      </c>
      <c r="AB742" s="19" t="str">
        <f aca="false">IF(OR($A742="",INDEX(_LEITURA!$Q$2:$Q$21,18)=0),"",SUMIFS(DECKS!$D$2:$D$1201,DECKS!$A$2:$A$1201,INDEX(_LEITURA!$P$2:$P$21,18),DECKS!$B$2:$B$1201,$A742))</f>
        <v/>
      </c>
      <c r="AC742" s="19" t="str">
        <f aca="false">IF(OR($A742="",INDEX(_LEITURA!$Q$2:$Q$21,19)=0),"",SUMIFS(DECKS!$D$2:$D$1201,DECKS!$A$2:$A$1201,INDEX(_LEITURA!$P$2:$P$21,19),DECKS!$B$2:$B$1201,$A742))</f>
        <v/>
      </c>
      <c r="AD742" s="19" t="str">
        <f aca="false">IF(OR($A742="",INDEX(_LEITURA!$Q$2:$Q$21,20)=0),"",SUMIFS(DECKS!$D$2:$D$1201,DECKS!$A$2:$A$1201,INDEX(_LEITURA!$P$2:$P$21,20),DECKS!$B$2:$B$1201,$A742))</f>
        <v/>
      </c>
      <c r="AE742" s="16" t="str">
        <f aca="false">IF(N(E742)&gt;0,MAX(AE$1:AE741)+1,"")</f>
        <v/>
      </c>
      <c r="AF742" s="11" t="str">
        <f aca="false">IF(A742="","",IFERROR(LEFT(A742,FIND("-",A742)-1),A742))</f>
        <v/>
      </c>
      <c r="AG742" s="11" t="str">
        <f aca="false">IF(AF742="","",IF(ISNUMBER(--MID(AF742,1,1)),0,IF(ISNUMBER(--MID(AF742,2,1)),1,IF(ISNUMBER(--MID(AF742,3,1)),2,IF(ISNUMBER(--MID(AF742,4,1)),3,MIN(LEN(AF742),4))))))</f>
        <v/>
      </c>
      <c r="AH742" s="11" t="str">
        <f aca="false">IF(A742="","",LEFT(AF742,AG742)&amp;REPT("0",4-AG742)&amp;RIGHT("000"&amp;IFERROR(VALUE(MID(AF742,AG742+1,9)),0),3)&amp;RIGHT("0000"&amp;IFERROR(VALUE(MID(A742,FIND("-",A742)+1,9)),0),4))</f>
        <v/>
      </c>
      <c r="AI742" s="11" t="str">
        <f aca="false">IF(OR(A742="",N(E742)&lt;=0),"",IF('FALTAS GERAL'!$M$1="Código","K"&amp;AH742&amp;RIGHT("00000"&amp;ROW(),5),IF('FALTAS GERAL'!$M$1="Nome","K"&amp;UPPER(SUBSTITUTE(SUBSTITUTE(SUBSTITUTE(B742,"*",""),"?",""),"~",""))&amp;"0"&amp;AH742&amp;RIGHT("00000"&amp;ROW(),5),IF('FALTAS GERAL'!$M$1="Falta (maior primeiro)","K"&amp;RIGHT("0000"&amp;(9999-E742),4)&amp;AH742&amp;RIGHT("00000"&amp;ROW(),5),IF('FALTAS GERAL'!$M$1="Nº de decks (maior primeiro)","K"&amp;RIGHT("00"&amp;(99-N(G742)),2)&amp;AH742&amp;RIGHT("00000"&amp;ROW(),5),"K"&amp;RIGHT("00000"&amp;ROW(),5))))))</f>
        <v/>
      </c>
      <c r="AJ742" s="11" t="str">
        <f aca="false">IF(AI742="","",COUNTIFS($AI$2:$AI$801,"&lt;"&amp;AI742,$E$2:$E$801,"&gt;0")+1)</f>
        <v/>
      </c>
      <c r="AK742" s="11" t="str">
        <f aca="false">IF(OR(A742="",N(E742)&lt;=0),"",COUNTIFS($AH$2:$AH$801,"&lt;"&amp;AH742,$E$2:$E$801,"&gt;0")+COUNTIFS($AH$2:AH742,AH742,$E$2:E742,"&gt;0"))</f>
        <v/>
      </c>
    </row>
    <row r="743" customFormat="false" ht="15" hidden="false" customHeight="false" outlineLevel="0" collapsed="false">
      <c r="A743" s="11" t="str">
        <f aca="false">IF(INVENTÁRIO!A743="","",INVENTÁRIO!A743)</f>
        <v/>
      </c>
      <c r="B743" s="11" t="str">
        <f aca="false">IF(A743="","",INVENTÁRIO!B743)</f>
        <v/>
      </c>
      <c r="C743" s="16" t="str">
        <f aca="false">IF(A743="","",INVENTÁRIO!C743)</f>
        <v/>
      </c>
      <c r="D743" s="14" t="str">
        <f aca="false">IF(A743="","",MAX(K743:AD743))</f>
        <v/>
      </c>
      <c r="E743" s="14" t="str">
        <f aca="false">IF(A743="","",MAX(0,D743-C743))</f>
        <v/>
      </c>
      <c r="F743" s="16" t="str">
        <f aca="false">IF(A743="","",IF(D743=0,"Fora dos decks",IF(E743=0,"Completo","Falta")))</f>
        <v/>
      </c>
      <c r="G743" s="16" t="str">
        <f aca="false">IF(A743="","",COUNTIF(K743:AD743,"&gt;0"))</f>
        <v/>
      </c>
      <c r="H743" s="16" t="str">
        <f aca="false">IF(A743="","",IF(G743&gt;1,"Sim",""))</f>
        <v/>
      </c>
      <c r="I743" s="18" t="str">
        <f aca="false">IF(A743="","",SUMIFS(DECKS!$D$2:$D$1201,DECKS!$B$2:$B$1201,A743))</f>
        <v/>
      </c>
      <c r="J743" s="18" t="str">
        <f aca="false">IF(A743="","",MAX(0,I743-C743))</f>
        <v/>
      </c>
      <c r="K743" s="19" t="str">
        <f aca="false">IF(OR($A743="",INDEX(_LEITURA!$Q$2:$Q$21,1)=0),"",SUMIFS(DECKS!$D$2:$D$1201,DECKS!$A$2:$A$1201,INDEX(_LEITURA!$P$2:$P$21,1),DECKS!$B$2:$B$1201,$A743))</f>
        <v/>
      </c>
      <c r="L743" s="19" t="str">
        <f aca="false">IF(OR($A743="",INDEX(_LEITURA!$Q$2:$Q$21,2)=0),"",SUMIFS(DECKS!$D$2:$D$1201,DECKS!$A$2:$A$1201,INDEX(_LEITURA!$P$2:$P$21,2),DECKS!$B$2:$B$1201,$A743))</f>
        <v/>
      </c>
      <c r="M743" s="19" t="str">
        <f aca="false">IF(OR($A743="",INDEX(_LEITURA!$Q$2:$Q$21,3)=0),"",SUMIFS(DECKS!$D$2:$D$1201,DECKS!$A$2:$A$1201,INDEX(_LEITURA!$P$2:$P$21,3),DECKS!$B$2:$B$1201,$A743))</f>
        <v/>
      </c>
      <c r="N743" s="19" t="str">
        <f aca="false">IF(OR($A743="",INDEX(_LEITURA!$Q$2:$Q$21,4)=0),"",SUMIFS(DECKS!$D$2:$D$1201,DECKS!$A$2:$A$1201,INDEX(_LEITURA!$P$2:$P$21,4),DECKS!$B$2:$B$1201,$A743))</f>
        <v/>
      </c>
      <c r="O743" s="19" t="str">
        <f aca="false">IF(OR($A743="",INDEX(_LEITURA!$Q$2:$Q$21,5)=0),"",SUMIFS(DECKS!$D$2:$D$1201,DECKS!$A$2:$A$1201,INDEX(_LEITURA!$P$2:$P$21,5),DECKS!$B$2:$B$1201,$A743))</f>
        <v/>
      </c>
      <c r="P743" s="19" t="str">
        <f aca="false">IF(OR($A743="",INDEX(_LEITURA!$Q$2:$Q$21,6)=0),"",SUMIFS(DECKS!$D$2:$D$1201,DECKS!$A$2:$A$1201,INDEX(_LEITURA!$P$2:$P$21,6),DECKS!$B$2:$B$1201,$A743))</f>
        <v/>
      </c>
      <c r="Q743" s="19" t="str">
        <f aca="false">IF(OR($A743="",INDEX(_LEITURA!$Q$2:$Q$21,7)=0),"",SUMIFS(DECKS!$D$2:$D$1201,DECKS!$A$2:$A$1201,INDEX(_LEITURA!$P$2:$P$21,7),DECKS!$B$2:$B$1201,$A743))</f>
        <v/>
      </c>
      <c r="R743" s="19" t="str">
        <f aca="false">IF(OR($A743="",INDEX(_LEITURA!$Q$2:$Q$21,8)=0),"",SUMIFS(DECKS!$D$2:$D$1201,DECKS!$A$2:$A$1201,INDEX(_LEITURA!$P$2:$P$21,8),DECKS!$B$2:$B$1201,$A743))</f>
        <v/>
      </c>
      <c r="S743" s="19" t="str">
        <f aca="false">IF(OR($A743="",INDEX(_LEITURA!$Q$2:$Q$21,9)=0),"",SUMIFS(DECKS!$D$2:$D$1201,DECKS!$A$2:$A$1201,INDEX(_LEITURA!$P$2:$P$21,9),DECKS!$B$2:$B$1201,$A743))</f>
        <v/>
      </c>
      <c r="T743" s="19" t="str">
        <f aca="false">IF(OR($A743="",INDEX(_LEITURA!$Q$2:$Q$21,10)=0),"",SUMIFS(DECKS!$D$2:$D$1201,DECKS!$A$2:$A$1201,INDEX(_LEITURA!$P$2:$P$21,10),DECKS!$B$2:$B$1201,$A743))</f>
        <v/>
      </c>
      <c r="U743" s="19" t="str">
        <f aca="false">IF(OR($A743="",INDEX(_LEITURA!$Q$2:$Q$21,11)=0),"",SUMIFS(DECKS!$D$2:$D$1201,DECKS!$A$2:$A$1201,INDEX(_LEITURA!$P$2:$P$21,11),DECKS!$B$2:$B$1201,$A743))</f>
        <v/>
      </c>
      <c r="V743" s="19" t="str">
        <f aca="false">IF(OR($A743="",INDEX(_LEITURA!$Q$2:$Q$21,12)=0),"",SUMIFS(DECKS!$D$2:$D$1201,DECKS!$A$2:$A$1201,INDEX(_LEITURA!$P$2:$P$21,12),DECKS!$B$2:$B$1201,$A743))</f>
        <v/>
      </c>
      <c r="W743" s="19" t="str">
        <f aca="false">IF(OR($A743="",INDEX(_LEITURA!$Q$2:$Q$21,13)=0),"",SUMIFS(DECKS!$D$2:$D$1201,DECKS!$A$2:$A$1201,INDEX(_LEITURA!$P$2:$P$21,13),DECKS!$B$2:$B$1201,$A743))</f>
        <v/>
      </c>
      <c r="X743" s="19" t="str">
        <f aca="false">IF(OR($A743="",INDEX(_LEITURA!$Q$2:$Q$21,14)=0),"",SUMIFS(DECKS!$D$2:$D$1201,DECKS!$A$2:$A$1201,INDEX(_LEITURA!$P$2:$P$21,14),DECKS!$B$2:$B$1201,$A743))</f>
        <v/>
      </c>
      <c r="Y743" s="19" t="str">
        <f aca="false">IF(OR($A743="",INDEX(_LEITURA!$Q$2:$Q$21,15)=0),"",SUMIFS(DECKS!$D$2:$D$1201,DECKS!$A$2:$A$1201,INDEX(_LEITURA!$P$2:$P$21,15),DECKS!$B$2:$B$1201,$A743))</f>
        <v/>
      </c>
      <c r="Z743" s="19" t="str">
        <f aca="false">IF(OR($A743="",INDEX(_LEITURA!$Q$2:$Q$21,16)=0),"",SUMIFS(DECKS!$D$2:$D$1201,DECKS!$A$2:$A$1201,INDEX(_LEITURA!$P$2:$P$21,16),DECKS!$B$2:$B$1201,$A743))</f>
        <v/>
      </c>
      <c r="AA743" s="19" t="str">
        <f aca="false">IF(OR($A743="",INDEX(_LEITURA!$Q$2:$Q$21,17)=0),"",SUMIFS(DECKS!$D$2:$D$1201,DECKS!$A$2:$A$1201,INDEX(_LEITURA!$P$2:$P$21,17),DECKS!$B$2:$B$1201,$A743))</f>
        <v/>
      </c>
      <c r="AB743" s="19" t="str">
        <f aca="false">IF(OR($A743="",INDEX(_LEITURA!$Q$2:$Q$21,18)=0),"",SUMIFS(DECKS!$D$2:$D$1201,DECKS!$A$2:$A$1201,INDEX(_LEITURA!$P$2:$P$21,18),DECKS!$B$2:$B$1201,$A743))</f>
        <v/>
      </c>
      <c r="AC743" s="19" t="str">
        <f aca="false">IF(OR($A743="",INDEX(_LEITURA!$Q$2:$Q$21,19)=0),"",SUMIFS(DECKS!$D$2:$D$1201,DECKS!$A$2:$A$1201,INDEX(_LEITURA!$P$2:$P$21,19),DECKS!$B$2:$B$1201,$A743))</f>
        <v/>
      </c>
      <c r="AD743" s="19" t="str">
        <f aca="false">IF(OR($A743="",INDEX(_LEITURA!$Q$2:$Q$21,20)=0),"",SUMIFS(DECKS!$D$2:$D$1201,DECKS!$A$2:$A$1201,INDEX(_LEITURA!$P$2:$P$21,20),DECKS!$B$2:$B$1201,$A743))</f>
        <v/>
      </c>
      <c r="AE743" s="16" t="str">
        <f aca="false">IF(N(E743)&gt;0,MAX(AE$1:AE742)+1,"")</f>
        <v/>
      </c>
      <c r="AF743" s="11" t="str">
        <f aca="false">IF(A743="","",IFERROR(LEFT(A743,FIND("-",A743)-1),A743))</f>
        <v/>
      </c>
      <c r="AG743" s="11" t="str">
        <f aca="false">IF(AF743="","",IF(ISNUMBER(--MID(AF743,1,1)),0,IF(ISNUMBER(--MID(AF743,2,1)),1,IF(ISNUMBER(--MID(AF743,3,1)),2,IF(ISNUMBER(--MID(AF743,4,1)),3,MIN(LEN(AF743),4))))))</f>
        <v/>
      </c>
      <c r="AH743" s="11" t="str">
        <f aca="false">IF(A743="","",LEFT(AF743,AG743)&amp;REPT("0",4-AG743)&amp;RIGHT("000"&amp;IFERROR(VALUE(MID(AF743,AG743+1,9)),0),3)&amp;RIGHT("0000"&amp;IFERROR(VALUE(MID(A743,FIND("-",A743)+1,9)),0),4))</f>
        <v/>
      </c>
      <c r="AI743" s="11" t="str">
        <f aca="false">IF(OR(A743="",N(E743)&lt;=0),"",IF('FALTAS GERAL'!$M$1="Código","K"&amp;AH743&amp;RIGHT("00000"&amp;ROW(),5),IF('FALTAS GERAL'!$M$1="Nome","K"&amp;UPPER(SUBSTITUTE(SUBSTITUTE(SUBSTITUTE(B743,"*",""),"?",""),"~",""))&amp;"0"&amp;AH743&amp;RIGHT("00000"&amp;ROW(),5),IF('FALTAS GERAL'!$M$1="Falta (maior primeiro)","K"&amp;RIGHT("0000"&amp;(9999-E743),4)&amp;AH743&amp;RIGHT("00000"&amp;ROW(),5),IF('FALTAS GERAL'!$M$1="Nº de decks (maior primeiro)","K"&amp;RIGHT("00"&amp;(99-N(G743)),2)&amp;AH743&amp;RIGHT("00000"&amp;ROW(),5),"K"&amp;RIGHT("00000"&amp;ROW(),5))))))</f>
        <v/>
      </c>
      <c r="AJ743" s="11" t="str">
        <f aca="false">IF(AI743="","",COUNTIFS($AI$2:$AI$801,"&lt;"&amp;AI743,$E$2:$E$801,"&gt;0")+1)</f>
        <v/>
      </c>
      <c r="AK743" s="11" t="str">
        <f aca="false">IF(OR(A743="",N(E743)&lt;=0),"",COUNTIFS($AH$2:$AH$801,"&lt;"&amp;AH743,$E$2:$E$801,"&gt;0")+COUNTIFS($AH$2:AH743,AH743,$E$2:E743,"&gt;0"))</f>
        <v/>
      </c>
    </row>
    <row r="744" customFormat="false" ht="15" hidden="false" customHeight="false" outlineLevel="0" collapsed="false">
      <c r="A744" s="11" t="str">
        <f aca="false">IF(INVENTÁRIO!A744="","",INVENTÁRIO!A744)</f>
        <v/>
      </c>
      <c r="B744" s="11" t="str">
        <f aca="false">IF(A744="","",INVENTÁRIO!B744)</f>
        <v/>
      </c>
      <c r="C744" s="16" t="str">
        <f aca="false">IF(A744="","",INVENTÁRIO!C744)</f>
        <v/>
      </c>
      <c r="D744" s="14" t="str">
        <f aca="false">IF(A744="","",MAX(K744:AD744))</f>
        <v/>
      </c>
      <c r="E744" s="14" t="str">
        <f aca="false">IF(A744="","",MAX(0,D744-C744))</f>
        <v/>
      </c>
      <c r="F744" s="16" t="str">
        <f aca="false">IF(A744="","",IF(D744=0,"Fora dos decks",IF(E744=0,"Completo","Falta")))</f>
        <v/>
      </c>
      <c r="G744" s="16" t="str">
        <f aca="false">IF(A744="","",COUNTIF(K744:AD744,"&gt;0"))</f>
        <v/>
      </c>
      <c r="H744" s="16" t="str">
        <f aca="false">IF(A744="","",IF(G744&gt;1,"Sim",""))</f>
        <v/>
      </c>
      <c r="I744" s="18" t="str">
        <f aca="false">IF(A744="","",SUMIFS(DECKS!$D$2:$D$1201,DECKS!$B$2:$B$1201,A744))</f>
        <v/>
      </c>
      <c r="J744" s="18" t="str">
        <f aca="false">IF(A744="","",MAX(0,I744-C744))</f>
        <v/>
      </c>
      <c r="K744" s="19" t="str">
        <f aca="false">IF(OR($A744="",INDEX(_LEITURA!$Q$2:$Q$21,1)=0),"",SUMIFS(DECKS!$D$2:$D$1201,DECKS!$A$2:$A$1201,INDEX(_LEITURA!$P$2:$P$21,1),DECKS!$B$2:$B$1201,$A744))</f>
        <v/>
      </c>
      <c r="L744" s="19" t="str">
        <f aca="false">IF(OR($A744="",INDEX(_LEITURA!$Q$2:$Q$21,2)=0),"",SUMIFS(DECKS!$D$2:$D$1201,DECKS!$A$2:$A$1201,INDEX(_LEITURA!$P$2:$P$21,2),DECKS!$B$2:$B$1201,$A744))</f>
        <v/>
      </c>
      <c r="M744" s="19" t="str">
        <f aca="false">IF(OR($A744="",INDEX(_LEITURA!$Q$2:$Q$21,3)=0),"",SUMIFS(DECKS!$D$2:$D$1201,DECKS!$A$2:$A$1201,INDEX(_LEITURA!$P$2:$P$21,3),DECKS!$B$2:$B$1201,$A744))</f>
        <v/>
      </c>
      <c r="N744" s="19" t="str">
        <f aca="false">IF(OR($A744="",INDEX(_LEITURA!$Q$2:$Q$21,4)=0),"",SUMIFS(DECKS!$D$2:$D$1201,DECKS!$A$2:$A$1201,INDEX(_LEITURA!$P$2:$P$21,4),DECKS!$B$2:$B$1201,$A744))</f>
        <v/>
      </c>
      <c r="O744" s="19" t="str">
        <f aca="false">IF(OR($A744="",INDEX(_LEITURA!$Q$2:$Q$21,5)=0),"",SUMIFS(DECKS!$D$2:$D$1201,DECKS!$A$2:$A$1201,INDEX(_LEITURA!$P$2:$P$21,5),DECKS!$B$2:$B$1201,$A744))</f>
        <v/>
      </c>
      <c r="P744" s="19" t="str">
        <f aca="false">IF(OR($A744="",INDEX(_LEITURA!$Q$2:$Q$21,6)=0),"",SUMIFS(DECKS!$D$2:$D$1201,DECKS!$A$2:$A$1201,INDEX(_LEITURA!$P$2:$P$21,6),DECKS!$B$2:$B$1201,$A744))</f>
        <v/>
      </c>
      <c r="Q744" s="19" t="str">
        <f aca="false">IF(OR($A744="",INDEX(_LEITURA!$Q$2:$Q$21,7)=0),"",SUMIFS(DECKS!$D$2:$D$1201,DECKS!$A$2:$A$1201,INDEX(_LEITURA!$P$2:$P$21,7),DECKS!$B$2:$B$1201,$A744))</f>
        <v/>
      </c>
      <c r="R744" s="19" t="str">
        <f aca="false">IF(OR($A744="",INDEX(_LEITURA!$Q$2:$Q$21,8)=0),"",SUMIFS(DECKS!$D$2:$D$1201,DECKS!$A$2:$A$1201,INDEX(_LEITURA!$P$2:$P$21,8),DECKS!$B$2:$B$1201,$A744))</f>
        <v/>
      </c>
      <c r="S744" s="19" t="str">
        <f aca="false">IF(OR($A744="",INDEX(_LEITURA!$Q$2:$Q$21,9)=0),"",SUMIFS(DECKS!$D$2:$D$1201,DECKS!$A$2:$A$1201,INDEX(_LEITURA!$P$2:$P$21,9),DECKS!$B$2:$B$1201,$A744))</f>
        <v/>
      </c>
      <c r="T744" s="19" t="str">
        <f aca="false">IF(OR($A744="",INDEX(_LEITURA!$Q$2:$Q$21,10)=0),"",SUMIFS(DECKS!$D$2:$D$1201,DECKS!$A$2:$A$1201,INDEX(_LEITURA!$P$2:$P$21,10),DECKS!$B$2:$B$1201,$A744))</f>
        <v/>
      </c>
      <c r="U744" s="19" t="str">
        <f aca="false">IF(OR($A744="",INDEX(_LEITURA!$Q$2:$Q$21,11)=0),"",SUMIFS(DECKS!$D$2:$D$1201,DECKS!$A$2:$A$1201,INDEX(_LEITURA!$P$2:$P$21,11),DECKS!$B$2:$B$1201,$A744))</f>
        <v/>
      </c>
      <c r="V744" s="19" t="str">
        <f aca="false">IF(OR($A744="",INDEX(_LEITURA!$Q$2:$Q$21,12)=0),"",SUMIFS(DECKS!$D$2:$D$1201,DECKS!$A$2:$A$1201,INDEX(_LEITURA!$P$2:$P$21,12),DECKS!$B$2:$B$1201,$A744))</f>
        <v/>
      </c>
      <c r="W744" s="19" t="str">
        <f aca="false">IF(OR($A744="",INDEX(_LEITURA!$Q$2:$Q$21,13)=0),"",SUMIFS(DECKS!$D$2:$D$1201,DECKS!$A$2:$A$1201,INDEX(_LEITURA!$P$2:$P$21,13),DECKS!$B$2:$B$1201,$A744))</f>
        <v/>
      </c>
      <c r="X744" s="19" t="str">
        <f aca="false">IF(OR($A744="",INDEX(_LEITURA!$Q$2:$Q$21,14)=0),"",SUMIFS(DECKS!$D$2:$D$1201,DECKS!$A$2:$A$1201,INDEX(_LEITURA!$P$2:$P$21,14),DECKS!$B$2:$B$1201,$A744))</f>
        <v/>
      </c>
      <c r="Y744" s="19" t="str">
        <f aca="false">IF(OR($A744="",INDEX(_LEITURA!$Q$2:$Q$21,15)=0),"",SUMIFS(DECKS!$D$2:$D$1201,DECKS!$A$2:$A$1201,INDEX(_LEITURA!$P$2:$P$21,15),DECKS!$B$2:$B$1201,$A744))</f>
        <v/>
      </c>
      <c r="Z744" s="19" t="str">
        <f aca="false">IF(OR($A744="",INDEX(_LEITURA!$Q$2:$Q$21,16)=0),"",SUMIFS(DECKS!$D$2:$D$1201,DECKS!$A$2:$A$1201,INDEX(_LEITURA!$P$2:$P$21,16),DECKS!$B$2:$B$1201,$A744))</f>
        <v/>
      </c>
      <c r="AA744" s="19" t="str">
        <f aca="false">IF(OR($A744="",INDEX(_LEITURA!$Q$2:$Q$21,17)=0),"",SUMIFS(DECKS!$D$2:$D$1201,DECKS!$A$2:$A$1201,INDEX(_LEITURA!$P$2:$P$21,17),DECKS!$B$2:$B$1201,$A744))</f>
        <v/>
      </c>
      <c r="AB744" s="19" t="str">
        <f aca="false">IF(OR($A744="",INDEX(_LEITURA!$Q$2:$Q$21,18)=0),"",SUMIFS(DECKS!$D$2:$D$1201,DECKS!$A$2:$A$1201,INDEX(_LEITURA!$P$2:$P$21,18),DECKS!$B$2:$B$1201,$A744))</f>
        <v/>
      </c>
      <c r="AC744" s="19" t="str">
        <f aca="false">IF(OR($A744="",INDEX(_LEITURA!$Q$2:$Q$21,19)=0),"",SUMIFS(DECKS!$D$2:$D$1201,DECKS!$A$2:$A$1201,INDEX(_LEITURA!$P$2:$P$21,19),DECKS!$B$2:$B$1201,$A744))</f>
        <v/>
      </c>
      <c r="AD744" s="19" t="str">
        <f aca="false">IF(OR($A744="",INDEX(_LEITURA!$Q$2:$Q$21,20)=0),"",SUMIFS(DECKS!$D$2:$D$1201,DECKS!$A$2:$A$1201,INDEX(_LEITURA!$P$2:$P$21,20),DECKS!$B$2:$B$1201,$A744))</f>
        <v/>
      </c>
      <c r="AE744" s="16" t="str">
        <f aca="false">IF(N(E744)&gt;0,MAX(AE$1:AE743)+1,"")</f>
        <v/>
      </c>
      <c r="AF744" s="11" t="str">
        <f aca="false">IF(A744="","",IFERROR(LEFT(A744,FIND("-",A744)-1),A744))</f>
        <v/>
      </c>
      <c r="AG744" s="11" t="str">
        <f aca="false">IF(AF744="","",IF(ISNUMBER(--MID(AF744,1,1)),0,IF(ISNUMBER(--MID(AF744,2,1)),1,IF(ISNUMBER(--MID(AF744,3,1)),2,IF(ISNUMBER(--MID(AF744,4,1)),3,MIN(LEN(AF744),4))))))</f>
        <v/>
      </c>
      <c r="AH744" s="11" t="str">
        <f aca="false">IF(A744="","",LEFT(AF744,AG744)&amp;REPT("0",4-AG744)&amp;RIGHT("000"&amp;IFERROR(VALUE(MID(AF744,AG744+1,9)),0),3)&amp;RIGHT("0000"&amp;IFERROR(VALUE(MID(A744,FIND("-",A744)+1,9)),0),4))</f>
        <v/>
      </c>
      <c r="AI744" s="11" t="str">
        <f aca="false">IF(OR(A744="",N(E744)&lt;=0),"",IF('FALTAS GERAL'!$M$1="Código","K"&amp;AH744&amp;RIGHT("00000"&amp;ROW(),5),IF('FALTAS GERAL'!$M$1="Nome","K"&amp;UPPER(SUBSTITUTE(SUBSTITUTE(SUBSTITUTE(B744,"*",""),"?",""),"~",""))&amp;"0"&amp;AH744&amp;RIGHT("00000"&amp;ROW(),5),IF('FALTAS GERAL'!$M$1="Falta (maior primeiro)","K"&amp;RIGHT("0000"&amp;(9999-E744),4)&amp;AH744&amp;RIGHT("00000"&amp;ROW(),5),IF('FALTAS GERAL'!$M$1="Nº de decks (maior primeiro)","K"&amp;RIGHT("00"&amp;(99-N(G744)),2)&amp;AH744&amp;RIGHT("00000"&amp;ROW(),5),"K"&amp;RIGHT("00000"&amp;ROW(),5))))))</f>
        <v/>
      </c>
      <c r="AJ744" s="11" t="str">
        <f aca="false">IF(AI744="","",COUNTIFS($AI$2:$AI$801,"&lt;"&amp;AI744,$E$2:$E$801,"&gt;0")+1)</f>
        <v/>
      </c>
      <c r="AK744" s="11" t="str">
        <f aca="false">IF(OR(A744="",N(E744)&lt;=0),"",COUNTIFS($AH$2:$AH$801,"&lt;"&amp;AH744,$E$2:$E$801,"&gt;0")+COUNTIFS($AH$2:AH744,AH744,$E$2:E744,"&gt;0"))</f>
        <v/>
      </c>
    </row>
    <row r="745" customFormat="false" ht="15" hidden="false" customHeight="false" outlineLevel="0" collapsed="false">
      <c r="A745" s="11" t="str">
        <f aca="false">IF(INVENTÁRIO!A745="","",INVENTÁRIO!A745)</f>
        <v/>
      </c>
      <c r="B745" s="11" t="str">
        <f aca="false">IF(A745="","",INVENTÁRIO!B745)</f>
        <v/>
      </c>
      <c r="C745" s="16" t="str">
        <f aca="false">IF(A745="","",INVENTÁRIO!C745)</f>
        <v/>
      </c>
      <c r="D745" s="14" t="str">
        <f aca="false">IF(A745="","",MAX(K745:AD745))</f>
        <v/>
      </c>
      <c r="E745" s="14" t="str">
        <f aca="false">IF(A745="","",MAX(0,D745-C745))</f>
        <v/>
      </c>
      <c r="F745" s="16" t="str">
        <f aca="false">IF(A745="","",IF(D745=0,"Fora dos decks",IF(E745=0,"Completo","Falta")))</f>
        <v/>
      </c>
      <c r="G745" s="16" t="str">
        <f aca="false">IF(A745="","",COUNTIF(K745:AD745,"&gt;0"))</f>
        <v/>
      </c>
      <c r="H745" s="16" t="str">
        <f aca="false">IF(A745="","",IF(G745&gt;1,"Sim",""))</f>
        <v/>
      </c>
      <c r="I745" s="18" t="str">
        <f aca="false">IF(A745="","",SUMIFS(DECKS!$D$2:$D$1201,DECKS!$B$2:$B$1201,A745))</f>
        <v/>
      </c>
      <c r="J745" s="18" t="str">
        <f aca="false">IF(A745="","",MAX(0,I745-C745))</f>
        <v/>
      </c>
      <c r="K745" s="19" t="str">
        <f aca="false">IF(OR($A745="",INDEX(_LEITURA!$Q$2:$Q$21,1)=0),"",SUMIFS(DECKS!$D$2:$D$1201,DECKS!$A$2:$A$1201,INDEX(_LEITURA!$P$2:$P$21,1),DECKS!$B$2:$B$1201,$A745))</f>
        <v/>
      </c>
      <c r="L745" s="19" t="str">
        <f aca="false">IF(OR($A745="",INDEX(_LEITURA!$Q$2:$Q$21,2)=0),"",SUMIFS(DECKS!$D$2:$D$1201,DECKS!$A$2:$A$1201,INDEX(_LEITURA!$P$2:$P$21,2),DECKS!$B$2:$B$1201,$A745))</f>
        <v/>
      </c>
      <c r="M745" s="19" t="str">
        <f aca="false">IF(OR($A745="",INDEX(_LEITURA!$Q$2:$Q$21,3)=0),"",SUMIFS(DECKS!$D$2:$D$1201,DECKS!$A$2:$A$1201,INDEX(_LEITURA!$P$2:$P$21,3),DECKS!$B$2:$B$1201,$A745))</f>
        <v/>
      </c>
      <c r="N745" s="19" t="str">
        <f aca="false">IF(OR($A745="",INDEX(_LEITURA!$Q$2:$Q$21,4)=0),"",SUMIFS(DECKS!$D$2:$D$1201,DECKS!$A$2:$A$1201,INDEX(_LEITURA!$P$2:$P$21,4),DECKS!$B$2:$B$1201,$A745))</f>
        <v/>
      </c>
      <c r="O745" s="19" t="str">
        <f aca="false">IF(OR($A745="",INDEX(_LEITURA!$Q$2:$Q$21,5)=0),"",SUMIFS(DECKS!$D$2:$D$1201,DECKS!$A$2:$A$1201,INDEX(_LEITURA!$P$2:$P$21,5),DECKS!$B$2:$B$1201,$A745))</f>
        <v/>
      </c>
      <c r="P745" s="19" t="str">
        <f aca="false">IF(OR($A745="",INDEX(_LEITURA!$Q$2:$Q$21,6)=0),"",SUMIFS(DECKS!$D$2:$D$1201,DECKS!$A$2:$A$1201,INDEX(_LEITURA!$P$2:$P$21,6),DECKS!$B$2:$B$1201,$A745))</f>
        <v/>
      </c>
      <c r="Q745" s="19" t="str">
        <f aca="false">IF(OR($A745="",INDEX(_LEITURA!$Q$2:$Q$21,7)=0),"",SUMIFS(DECKS!$D$2:$D$1201,DECKS!$A$2:$A$1201,INDEX(_LEITURA!$P$2:$P$21,7),DECKS!$B$2:$B$1201,$A745))</f>
        <v/>
      </c>
      <c r="R745" s="19" t="str">
        <f aca="false">IF(OR($A745="",INDEX(_LEITURA!$Q$2:$Q$21,8)=0),"",SUMIFS(DECKS!$D$2:$D$1201,DECKS!$A$2:$A$1201,INDEX(_LEITURA!$P$2:$P$21,8),DECKS!$B$2:$B$1201,$A745))</f>
        <v/>
      </c>
      <c r="S745" s="19" t="str">
        <f aca="false">IF(OR($A745="",INDEX(_LEITURA!$Q$2:$Q$21,9)=0),"",SUMIFS(DECKS!$D$2:$D$1201,DECKS!$A$2:$A$1201,INDEX(_LEITURA!$P$2:$P$21,9),DECKS!$B$2:$B$1201,$A745))</f>
        <v/>
      </c>
      <c r="T745" s="19" t="str">
        <f aca="false">IF(OR($A745="",INDEX(_LEITURA!$Q$2:$Q$21,10)=0),"",SUMIFS(DECKS!$D$2:$D$1201,DECKS!$A$2:$A$1201,INDEX(_LEITURA!$P$2:$P$21,10),DECKS!$B$2:$B$1201,$A745))</f>
        <v/>
      </c>
      <c r="U745" s="19" t="str">
        <f aca="false">IF(OR($A745="",INDEX(_LEITURA!$Q$2:$Q$21,11)=0),"",SUMIFS(DECKS!$D$2:$D$1201,DECKS!$A$2:$A$1201,INDEX(_LEITURA!$P$2:$P$21,11),DECKS!$B$2:$B$1201,$A745))</f>
        <v/>
      </c>
      <c r="V745" s="19" t="str">
        <f aca="false">IF(OR($A745="",INDEX(_LEITURA!$Q$2:$Q$21,12)=0),"",SUMIFS(DECKS!$D$2:$D$1201,DECKS!$A$2:$A$1201,INDEX(_LEITURA!$P$2:$P$21,12),DECKS!$B$2:$B$1201,$A745))</f>
        <v/>
      </c>
      <c r="W745" s="19" t="str">
        <f aca="false">IF(OR($A745="",INDEX(_LEITURA!$Q$2:$Q$21,13)=0),"",SUMIFS(DECKS!$D$2:$D$1201,DECKS!$A$2:$A$1201,INDEX(_LEITURA!$P$2:$P$21,13),DECKS!$B$2:$B$1201,$A745))</f>
        <v/>
      </c>
      <c r="X745" s="19" t="str">
        <f aca="false">IF(OR($A745="",INDEX(_LEITURA!$Q$2:$Q$21,14)=0),"",SUMIFS(DECKS!$D$2:$D$1201,DECKS!$A$2:$A$1201,INDEX(_LEITURA!$P$2:$P$21,14),DECKS!$B$2:$B$1201,$A745))</f>
        <v/>
      </c>
      <c r="Y745" s="19" t="str">
        <f aca="false">IF(OR($A745="",INDEX(_LEITURA!$Q$2:$Q$21,15)=0),"",SUMIFS(DECKS!$D$2:$D$1201,DECKS!$A$2:$A$1201,INDEX(_LEITURA!$P$2:$P$21,15),DECKS!$B$2:$B$1201,$A745))</f>
        <v/>
      </c>
      <c r="Z745" s="19" t="str">
        <f aca="false">IF(OR($A745="",INDEX(_LEITURA!$Q$2:$Q$21,16)=0),"",SUMIFS(DECKS!$D$2:$D$1201,DECKS!$A$2:$A$1201,INDEX(_LEITURA!$P$2:$P$21,16),DECKS!$B$2:$B$1201,$A745))</f>
        <v/>
      </c>
      <c r="AA745" s="19" t="str">
        <f aca="false">IF(OR($A745="",INDEX(_LEITURA!$Q$2:$Q$21,17)=0),"",SUMIFS(DECKS!$D$2:$D$1201,DECKS!$A$2:$A$1201,INDEX(_LEITURA!$P$2:$P$21,17),DECKS!$B$2:$B$1201,$A745))</f>
        <v/>
      </c>
      <c r="AB745" s="19" t="str">
        <f aca="false">IF(OR($A745="",INDEX(_LEITURA!$Q$2:$Q$21,18)=0),"",SUMIFS(DECKS!$D$2:$D$1201,DECKS!$A$2:$A$1201,INDEX(_LEITURA!$P$2:$P$21,18),DECKS!$B$2:$B$1201,$A745))</f>
        <v/>
      </c>
      <c r="AC745" s="19" t="str">
        <f aca="false">IF(OR($A745="",INDEX(_LEITURA!$Q$2:$Q$21,19)=0),"",SUMIFS(DECKS!$D$2:$D$1201,DECKS!$A$2:$A$1201,INDEX(_LEITURA!$P$2:$P$21,19),DECKS!$B$2:$B$1201,$A745))</f>
        <v/>
      </c>
      <c r="AD745" s="19" t="str">
        <f aca="false">IF(OR($A745="",INDEX(_LEITURA!$Q$2:$Q$21,20)=0),"",SUMIFS(DECKS!$D$2:$D$1201,DECKS!$A$2:$A$1201,INDEX(_LEITURA!$P$2:$P$21,20),DECKS!$B$2:$B$1201,$A745))</f>
        <v/>
      </c>
      <c r="AE745" s="16" t="str">
        <f aca="false">IF(N(E745)&gt;0,MAX(AE$1:AE744)+1,"")</f>
        <v/>
      </c>
      <c r="AF745" s="11" t="str">
        <f aca="false">IF(A745="","",IFERROR(LEFT(A745,FIND("-",A745)-1),A745))</f>
        <v/>
      </c>
      <c r="AG745" s="11" t="str">
        <f aca="false">IF(AF745="","",IF(ISNUMBER(--MID(AF745,1,1)),0,IF(ISNUMBER(--MID(AF745,2,1)),1,IF(ISNUMBER(--MID(AF745,3,1)),2,IF(ISNUMBER(--MID(AF745,4,1)),3,MIN(LEN(AF745),4))))))</f>
        <v/>
      </c>
      <c r="AH745" s="11" t="str">
        <f aca="false">IF(A745="","",LEFT(AF745,AG745)&amp;REPT("0",4-AG745)&amp;RIGHT("000"&amp;IFERROR(VALUE(MID(AF745,AG745+1,9)),0),3)&amp;RIGHT("0000"&amp;IFERROR(VALUE(MID(A745,FIND("-",A745)+1,9)),0),4))</f>
        <v/>
      </c>
      <c r="AI745" s="11" t="str">
        <f aca="false">IF(OR(A745="",N(E745)&lt;=0),"",IF('FALTAS GERAL'!$M$1="Código","K"&amp;AH745&amp;RIGHT("00000"&amp;ROW(),5),IF('FALTAS GERAL'!$M$1="Nome","K"&amp;UPPER(SUBSTITUTE(SUBSTITUTE(SUBSTITUTE(B745,"*",""),"?",""),"~",""))&amp;"0"&amp;AH745&amp;RIGHT("00000"&amp;ROW(),5),IF('FALTAS GERAL'!$M$1="Falta (maior primeiro)","K"&amp;RIGHT("0000"&amp;(9999-E745),4)&amp;AH745&amp;RIGHT("00000"&amp;ROW(),5),IF('FALTAS GERAL'!$M$1="Nº de decks (maior primeiro)","K"&amp;RIGHT("00"&amp;(99-N(G745)),2)&amp;AH745&amp;RIGHT("00000"&amp;ROW(),5),"K"&amp;RIGHT("00000"&amp;ROW(),5))))))</f>
        <v/>
      </c>
      <c r="AJ745" s="11" t="str">
        <f aca="false">IF(AI745="","",COUNTIFS($AI$2:$AI$801,"&lt;"&amp;AI745,$E$2:$E$801,"&gt;0")+1)</f>
        <v/>
      </c>
      <c r="AK745" s="11" t="str">
        <f aca="false">IF(OR(A745="",N(E745)&lt;=0),"",COUNTIFS($AH$2:$AH$801,"&lt;"&amp;AH745,$E$2:$E$801,"&gt;0")+COUNTIFS($AH$2:AH745,AH745,$E$2:E745,"&gt;0"))</f>
        <v/>
      </c>
    </row>
    <row r="746" customFormat="false" ht="15" hidden="false" customHeight="false" outlineLevel="0" collapsed="false">
      <c r="A746" s="11" t="str">
        <f aca="false">IF(INVENTÁRIO!A746="","",INVENTÁRIO!A746)</f>
        <v/>
      </c>
      <c r="B746" s="11" t="str">
        <f aca="false">IF(A746="","",INVENTÁRIO!B746)</f>
        <v/>
      </c>
      <c r="C746" s="16" t="str">
        <f aca="false">IF(A746="","",INVENTÁRIO!C746)</f>
        <v/>
      </c>
      <c r="D746" s="14" t="str">
        <f aca="false">IF(A746="","",MAX(K746:AD746))</f>
        <v/>
      </c>
      <c r="E746" s="14" t="str">
        <f aca="false">IF(A746="","",MAX(0,D746-C746))</f>
        <v/>
      </c>
      <c r="F746" s="16" t="str">
        <f aca="false">IF(A746="","",IF(D746=0,"Fora dos decks",IF(E746=0,"Completo","Falta")))</f>
        <v/>
      </c>
      <c r="G746" s="16" t="str">
        <f aca="false">IF(A746="","",COUNTIF(K746:AD746,"&gt;0"))</f>
        <v/>
      </c>
      <c r="H746" s="16" t="str">
        <f aca="false">IF(A746="","",IF(G746&gt;1,"Sim",""))</f>
        <v/>
      </c>
      <c r="I746" s="18" t="str">
        <f aca="false">IF(A746="","",SUMIFS(DECKS!$D$2:$D$1201,DECKS!$B$2:$B$1201,A746))</f>
        <v/>
      </c>
      <c r="J746" s="18" t="str">
        <f aca="false">IF(A746="","",MAX(0,I746-C746))</f>
        <v/>
      </c>
      <c r="K746" s="19" t="str">
        <f aca="false">IF(OR($A746="",INDEX(_LEITURA!$Q$2:$Q$21,1)=0),"",SUMIFS(DECKS!$D$2:$D$1201,DECKS!$A$2:$A$1201,INDEX(_LEITURA!$P$2:$P$21,1),DECKS!$B$2:$B$1201,$A746))</f>
        <v/>
      </c>
      <c r="L746" s="19" t="str">
        <f aca="false">IF(OR($A746="",INDEX(_LEITURA!$Q$2:$Q$21,2)=0),"",SUMIFS(DECKS!$D$2:$D$1201,DECKS!$A$2:$A$1201,INDEX(_LEITURA!$P$2:$P$21,2),DECKS!$B$2:$B$1201,$A746))</f>
        <v/>
      </c>
      <c r="M746" s="19" t="str">
        <f aca="false">IF(OR($A746="",INDEX(_LEITURA!$Q$2:$Q$21,3)=0),"",SUMIFS(DECKS!$D$2:$D$1201,DECKS!$A$2:$A$1201,INDEX(_LEITURA!$P$2:$P$21,3),DECKS!$B$2:$B$1201,$A746))</f>
        <v/>
      </c>
      <c r="N746" s="19" t="str">
        <f aca="false">IF(OR($A746="",INDEX(_LEITURA!$Q$2:$Q$21,4)=0),"",SUMIFS(DECKS!$D$2:$D$1201,DECKS!$A$2:$A$1201,INDEX(_LEITURA!$P$2:$P$21,4),DECKS!$B$2:$B$1201,$A746))</f>
        <v/>
      </c>
      <c r="O746" s="19" t="str">
        <f aca="false">IF(OR($A746="",INDEX(_LEITURA!$Q$2:$Q$21,5)=0),"",SUMIFS(DECKS!$D$2:$D$1201,DECKS!$A$2:$A$1201,INDEX(_LEITURA!$P$2:$P$21,5),DECKS!$B$2:$B$1201,$A746))</f>
        <v/>
      </c>
      <c r="P746" s="19" t="str">
        <f aca="false">IF(OR($A746="",INDEX(_LEITURA!$Q$2:$Q$21,6)=0),"",SUMIFS(DECKS!$D$2:$D$1201,DECKS!$A$2:$A$1201,INDEX(_LEITURA!$P$2:$P$21,6),DECKS!$B$2:$B$1201,$A746))</f>
        <v/>
      </c>
      <c r="Q746" s="19" t="str">
        <f aca="false">IF(OR($A746="",INDEX(_LEITURA!$Q$2:$Q$21,7)=0),"",SUMIFS(DECKS!$D$2:$D$1201,DECKS!$A$2:$A$1201,INDEX(_LEITURA!$P$2:$P$21,7),DECKS!$B$2:$B$1201,$A746))</f>
        <v/>
      </c>
      <c r="R746" s="19" t="str">
        <f aca="false">IF(OR($A746="",INDEX(_LEITURA!$Q$2:$Q$21,8)=0),"",SUMIFS(DECKS!$D$2:$D$1201,DECKS!$A$2:$A$1201,INDEX(_LEITURA!$P$2:$P$21,8),DECKS!$B$2:$B$1201,$A746))</f>
        <v/>
      </c>
      <c r="S746" s="19" t="str">
        <f aca="false">IF(OR($A746="",INDEX(_LEITURA!$Q$2:$Q$21,9)=0),"",SUMIFS(DECKS!$D$2:$D$1201,DECKS!$A$2:$A$1201,INDEX(_LEITURA!$P$2:$P$21,9),DECKS!$B$2:$B$1201,$A746))</f>
        <v/>
      </c>
      <c r="T746" s="19" t="str">
        <f aca="false">IF(OR($A746="",INDEX(_LEITURA!$Q$2:$Q$21,10)=0),"",SUMIFS(DECKS!$D$2:$D$1201,DECKS!$A$2:$A$1201,INDEX(_LEITURA!$P$2:$P$21,10),DECKS!$B$2:$B$1201,$A746))</f>
        <v/>
      </c>
      <c r="U746" s="19" t="str">
        <f aca="false">IF(OR($A746="",INDEX(_LEITURA!$Q$2:$Q$21,11)=0),"",SUMIFS(DECKS!$D$2:$D$1201,DECKS!$A$2:$A$1201,INDEX(_LEITURA!$P$2:$P$21,11),DECKS!$B$2:$B$1201,$A746))</f>
        <v/>
      </c>
      <c r="V746" s="19" t="str">
        <f aca="false">IF(OR($A746="",INDEX(_LEITURA!$Q$2:$Q$21,12)=0),"",SUMIFS(DECKS!$D$2:$D$1201,DECKS!$A$2:$A$1201,INDEX(_LEITURA!$P$2:$P$21,12),DECKS!$B$2:$B$1201,$A746))</f>
        <v/>
      </c>
      <c r="W746" s="19" t="str">
        <f aca="false">IF(OR($A746="",INDEX(_LEITURA!$Q$2:$Q$21,13)=0),"",SUMIFS(DECKS!$D$2:$D$1201,DECKS!$A$2:$A$1201,INDEX(_LEITURA!$P$2:$P$21,13),DECKS!$B$2:$B$1201,$A746))</f>
        <v/>
      </c>
      <c r="X746" s="19" t="str">
        <f aca="false">IF(OR($A746="",INDEX(_LEITURA!$Q$2:$Q$21,14)=0),"",SUMIFS(DECKS!$D$2:$D$1201,DECKS!$A$2:$A$1201,INDEX(_LEITURA!$P$2:$P$21,14),DECKS!$B$2:$B$1201,$A746))</f>
        <v/>
      </c>
      <c r="Y746" s="19" t="str">
        <f aca="false">IF(OR($A746="",INDEX(_LEITURA!$Q$2:$Q$21,15)=0),"",SUMIFS(DECKS!$D$2:$D$1201,DECKS!$A$2:$A$1201,INDEX(_LEITURA!$P$2:$P$21,15),DECKS!$B$2:$B$1201,$A746))</f>
        <v/>
      </c>
      <c r="Z746" s="19" t="str">
        <f aca="false">IF(OR($A746="",INDEX(_LEITURA!$Q$2:$Q$21,16)=0),"",SUMIFS(DECKS!$D$2:$D$1201,DECKS!$A$2:$A$1201,INDEX(_LEITURA!$P$2:$P$21,16),DECKS!$B$2:$B$1201,$A746))</f>
        <v/>
      </c>
      <c r="AA746" s="19" t="str">
        <f aca="false">IF(OR($A746="",INDEX(_LEITURA!$Q$2:$Q$21,17)=0),"",SUMIFS(DECKS!$D$2:$D$1201,DECKS!$A$2:$A$1201,INDEX(_LEITURA!$P$2:$P$21,17),DECKS!$B$2:$B$1201,$A746))</f>
        <v/>
      </c>
      <c r="AB746" s="19" t="str">
        <f aca="false">IF(OR($A746="",INDEX(_LEITURA!$Q$2:$Q$21,18)=0),"",SUMIFS(DECKS!$D$2:$D$1201,DECKS!$A$2:$A$1201,INDEX(_LEITURA!$P$2:$P$21,18),DECKS!$B$2:$B$1201,$A746))</f>
        <v/>
      </c>
      <c r="AC746" s="19" t="str">
        <f aca="false">IF(OR($A746="",INDEX(_LEITURA!$Q$2:$Q$21,19)=0),"",SUMIFS(DECKS!$D$2:$D$1201,DECKS!$A$2:$A$1201,INDEX(_LEITURA!$P$2:$P$21,19),DECKS!$B$2:$B$1201,$A746))</f>
        <v/>
      </c>
      <c r="AD746" s="19" t="str">
        <f aca="false">IF(OR($A746="",INDEX(_LEITURA!$Q$2:$Q$21,20)=0),"",SUMIFS(DECKS!$D$2:$D$1201,DECKS!$A$2:$A$1201,INDEX(_LEITURA!$P$2:$P$21,20),DECKS!$B$2:$B$1201,$A746))</f>
        <v/>
      </c>
      <c r="AE746" s="16" t="str">
        <f aca="false">IF(N(E746)&gt;0,MAX(AE$1:AE745)+1,"")</f>
        <v/>
      </c>
      <c r="AF746" s="11" t="str">
        <f aca="false">IF(A746="","",IFERROR(LEFT(A746,FIND("-",A746)-1),A746))</f>
        <v/>
      </c>
      <c r="AG746" s="11" t="str">
        <f aca="false">IF(AF746="","",IF(ISNUMBER(--MID(AF746,1,1)),0,IF(ISNUMBER(--MID(AF746,2,1)),1,IF(ISNUMBER(--MID(AF746,3,1)),2,IF(ISNUMBER(--MID(AF746,4,1)),3,MIN(LEN(AF746),4))))))</f>
        <v/>
      </c>
      <c r="AH746" s="11" t="str">
        <f aca="false">IF(A746="","",LEFT(AF746,AG746)&amp;REPT("0",4-AG746)&amp;RIGHT("000"&amp;IFERROR(VALUE(MID(AF746,AG746+1,9)),0),3)&amp;RIGHT("0000"&amp;IFERROR(VALUE(MID(A746,FIND("-",A746)+1,9)),0),4))</f>
        <v/>
      </c>
      <c r="AI746" s="11" t="str">
        <f aca="false">IF(OR(A746="",N(E746)&lt;=0),"",IF('FALTAS GERAL'!$M$1="Código","K"&amp;AH746&amp;RIGHT("00000"&amp;ROW(),5),IF('FALTAS GERAL'!$M$1="Nome","K"&amp;UPPER(SUBSTITUTE(SUBSTITUTE(SUBSTITUTE(B746,"*",""),"?",""),"~",""))&amp;"0"&amp;AH746&amp;RIGHT("00000"&amp;ROW(),5),IF('FALTAS GERAL'!$M$1="Falta (maior primeiro)","K"&amp;RIGHT("0000"&amp;(9999-E746),4)&amp;AH746&amp;RIGHT("00000"&amp;ROW(),5),IF('FALTAS GERAL'!$M$1="Nº de decks (maior primeiro)","K"&amp;RIGHT("00"&amp;(99-N(G746)),2)&amp;AH746&amp;RIGHT("00000"&amp;ROW(),5),"K"&amp;RIGHT("00000"&amp;ROW(),5))))))</f>
        <v/>
      </c>
      <c r="AJ746" s="11" t="str">
        <f aca="false">IF(AI746="","",COUNTIFS($AI$2:$AI$801,"&lt;"&amp;AI746,$E$2:$E$801,"&gt;0")+1)</f>
        <v/>
      </c>
      <c r="AK746" s="11" t="str">
        <f aca="false">IF(OR(A746="",N(E746)&lt;=0),"",COUNTIFS($AH$2:$AH$801,"&lt;"&amp;AH746,$E$2:$E$801,"&gt;0")+COUNTIFS($AH$2:AH746,AH746,$E$2:E746,"&gt;0"))</f>
        <v/>
      </c>
    </row>
    <row r="747" customFormat="false" ht="15" hidden="false" customHeight="false" outlineLevel="0" collapsed="false">
      <c r="A747" s="11" t="str">
        <f aca="false">IF(INVENTÁRIO!A747="","",INVENTÁRIO!A747)</f>
        <v/>
      </c>
      <c r="B747" s="11" t="str">
        <f aca="false">IF(A747="","",INVENTÁRIO!B747)</f>
        <v/>
      </c>
      <c r="C747" s="16" t="str">
        <f aca="false">IF(A747="","",INVENTÁRIO!C747)</f>
        <v/>
      </c>
      <c r="D747" s="14" t="str">
        <f aca="false">IF(A747="","",MAX(K747:AD747))</f>
        <v/>
      </c>
      <c r="E747" s="14" t="str">
        <f aca="false">IF(A747="","",MAX(0,D747-C747))</f>
        <v/>
      </c>
      <c r="F747" s="16" t="str">
        <f aca="false">IF(A747="","",IF(D747=0,"Fora dos decks",IF(E747=0,"Completo","Falta")))</f>
        <v/>
      </c>
      <c r="G747" s="16" t="str">
        <f aca="false">IF(A747="","",COUNTIF(K747:AD747,"&gt;0"))</f>
        <v/>
      </c>
      <c r="H747" s="16" t="str">
        <f aca="false">IF(A747="","",IF(G747&gt;1,"Sim",""))</f>
        <v/>
      </c>
      <c r="I747" s="18" t="str">
        <f aca="false">IF(A747="","",SUMIFS(DECKS!$D$2:$D$1201,DECKS!$B$2:$B$1201,A747))</f>
        <v/>
      </c>
      <c r="J747" s="18" t="str">
        <f aca="false">IF(A747="","",MAX(0,I747-C747))</f>
        <v/>
      </c>
      <c r="K747" s="19" t="str">
        <f aca="false">IF(OR($A747="",INDEX(_LEITURA!$Q$2:$Q$21,1)=0),"",SUMIFS(DECKS!$D$2:$D$1201,DECKS!$A$2:$A$1201,INDEX(_LEITURA!$P$2:$P$21,1),DECKS!$B$2:$B$1201,$A747))</f>
        <v/>
      </c>
      <c r="L747" s="19" t="str">
        <f aca="false">IF(OR($A747="",INDEX(_LEITURA!$Q$2:$Q$21,2)=0),"",SUMIFS(DECKS!$D$2:$D$1201,DECKS!$A$2:$A$1201,INDEX(_LEITURA!$P$2:$P$21,2),DECKS!$B$2:$B$1201,$A747))</f>
        <v/>
      </c>
      <c r="M747" s="19" t="str">
        <f aca="false">IF(OR($A747="",INDEX(_LEITURA!$Q$2:$Q$21,3)=0),"",SUMIFS(DECKS!$D$2:$D$1201,DECKS!$A$2:$A$1201,INDEX(_LEITURA!$P$2:$P$21,3),DECKS!$B$2:$B$1201,$A747))</f>
        <v/>
      </c>
      <c r="N747" s="19" t="str">
        <f aca="false">IF(OR($A747="",INDEX(_LEITURA!$Q$2:$Q$21,4)=0),"",SUMIFS(DECKS!$D$2:$D$1201,DECKS!$A$2:$A$1201,INDEX(_LEITURA!$P$2:$P$21,4),DECKS!$B$2:$B$1201,$A747))</f>
        <v/>
      </c>
      <c r="O747" s="19" t="str">
        <f aca="false">IF(OR($A747="",INDEX(_LEITURA!$Q$2:$Q$21,5)=0),"",SUMIFS(DECKS!$D$2:$D$1201,DECKS!$A$2:$A$1201,INDEX(_LEITURA!$P$2:$P$21,5),DECKS!$B$2:$B$1201,$A747))</f>
        <v/>
      </c>
      <c r="P747" s="19" t="str">
        <f aca="false">IF(OR($A747="",INDEX(_LEITURA!$Q$2:$Q$21,6)=0),"",SUMIFS(DECKS!$D$2:$D$1201,DECKS!$A$2:$A$1201,INDEX(_LEITURA!$P$2:$P$21,6),DECKS!$B$2:$B$1201,$A747))</f>
        <v/>
      </c>
      <c r="Q747" s="19" t="str">
        <f aca="false">IF(OR($A747="",INDEX(_LEITURA!$Q$2:$Q$21,7)=0),"",SUMIFS(DECKS!$D$2:$D$1201,DECKS!$A$2:$A$1201,INDEX(_LEITURA!$P$2:$P$21,7),DECKS!$B$2:$B$1201,$A747))</f>
        <v/>
      </c>
      <c r="R747" s="19" t="str">
        <f aca="false">IF(OR($A747="",INDEX(_LEITURA!$Q$2:$Q$21,8)=0),"",SUMIFS(DECKS!$D$2:$D$1201,DECKS!$A$2:$A$1201,INDEX(_LEITURA!$P$2:$P$21,8),DECKS!$B$2:$B$1201,$A747))</f>
        <v/>
      </c>
      <c r="S747" s="19" t="str">
        <f aca="false">IF(OR($A747="",INDEX(_LEITURA!$Q$2:$Q$21,9)=0),"",SUMIFS(DECKS!$D$2:$D$1201,DECKS!$A$2:$A$1201,INDEX(_LEITURA!$P$2:$P$21,9),DECKS!$B$2:$B$1201,$A747))</f>
        <v/>
      </c>
      <c r="T747" s="19" t="str">
        <f aca="false">IF(OR($A747="",INDEX(_LEITURA!$Q$2:$Q$21,10)=0),"",SUMIFS(DECKS!$D$2:$D$1201,DECKS!$A$2:$A$1201,INDEX(_LEITURA!$P$2:$P$21,10),DECKS!$B$2:$B$1201,$A747))</f>
        <v/>
      </c>
      <c r="U747" s="19" t="str">
        <f aca="false">IF(OR($A747="",INDEX(_LEITURA!$Q$2:$Q$21,11)=0),"",SUMIFS(DECKS!$D$2:$D$1201,DECKS!$A$2:$A$1201,INDEX(_LEITURA!$P$2:$P$21,11),DECKS!$B$2:$B$1201,$A747))</f>
        <v/>
      </c>
      <c r="V747" s="19" t="str">
        <f aca="false">IF(OR($A747="",INDEX(_LEITURA!$Q$2:$Q$21,12)=0),"",SUMIFS(DECKS!$D$2:$D$1201,DECKS!$A$2:$A$1201,INDEX(_LEITURA!$P$2:$P$21,12),DECKS!$B$2:$B$1201,$A747))</f>
        <v/>
      </c>
      <c r="W747" s="19" t="str">
        <f aca="false">IF(OR($A747="",INDEX(_LEITURA!$Q$2:$Q$21,13)=0),"",SUMIFS(DECKS!$D$2:$D$1201,DECKS!$A$2:$A$1201,INDEX(_LEITURA!$P$2:$P$21,13),DECKS!$B$2:$B$1201,$A747))</f>
        <v/>
      </c>
      <c r="X747" s="19" t="str">
        <f aca="false">IF(OR($A747="",INDEX(_LEITURA!$Q$2:$Q$21,14)=0),"",SUMIFS(DECKS!$D$2:$D$1201,DECKS!$A$2:$A$1201,INDEX(_LEITURA!$P$2:$P$21,14),DECKS!$B$2:$B$1201,$A747))</f>
        <v/>
      </c>
      <c r="Y747" s="19" t="str">
        <f aca="false">IF(OR($A747="",INDEX(_LEITURA!$Q$2:$Q$21,15)=0),"",SUMIFS(DECKS!$D$2:$D$1201,DECKS!$A$2:$A$1201,INDEX(_LEITURA!$P$2:$P$21,15),DECKS!$B$2:$B$1201,$A747))</f>
        <v/>
      </c>
      <c r="Z747" s="19" t="str">
        <f aca="false">IF(OR($A747="",INDEX(_LEITURA!$Q$2:$Q$21,16)=0),"",SUMIFS(DECKS!$D$2:$D$1201,DECKS!$A$2:$A$1201,INDEX(_LEITURA!$P$2:$P$21,16),DECKS!$B$2:$B$1201,$A747))</f>
        <v/>
      </c>
      <c r="AA747" s="19" t="str">
        <f aca="false">IF(OR($A747="",INDEX(_LEITURA!$Q$2:$Q$21,17)=0),"",SUMIFS(DECKS!$D$2:$D$1201,DECKS!$A$2:$A$1201,INDEX(_LEITURA!$P$2:$P$21,17),DECKS!$B$2:$B$1201,$A747))</f>
        <v/>
      </c>
      <c r="AB747" s="19" t="str">
        <f aca="false">IF(OR($A747="",INDEX(_LEITURA!$Q$2:$Q$21,18)=0),"",SUMIFS(DECKS!$D$2:$D$1201,DECKS!$A$2:$A$1201,INDEX(_LEITURA!$P$2:$P$21,18),DECKS!$B$2:$B$1201,$A747))</f>
        <v/>
      </c>
      <c r="AC747" s="19" t="str">
        <f aca="false">IF(OR($A747="",INDEX(_LEITURA!$Q$2:$Q$21,19)=0),"",SUMIFS(DECKS!$D$2:$D$1201,DECKS!$A$2:$A$1201,INDEX(_LEITURA!$P$2:$P$21,19),DECKS!$B$2:$B$1201,$A747))</f>
        <v/>
      </c>
      <c r="AD747" s="19" t="str">
        <f aca="false">IF(OR($A747="",INDEX(_LEITURA!$Q$2:$Q$21,20)=0),"",SUMIFS(DECKS!$D$2:$D$1201,DECKS!$A$2:$A$1201,INDEX(_LEITURA!$P$2:$P$21,20),DECKS!$B$2:$B$1201,$A747))</f>
        <v/>
      </c>
      <c r="AE747" s="16" t="str">
        <f aca="false">IF(N(E747)&gt;0,MAX(AE$1:AE746)+1,"")</f>
        <v/>
      </c>
      <c r="AF747" s="11" t="str">
        <f aca="false">IF(A747="","",IFERROR(LEFT(A747,FIND("-",A747)-1),A747))</f>
        <v/>
      </c>
      <c r="AG747" s="11" t="str">
        <f aca="false">IF(AF747="","",IF(ISNUMBER(--MID(AF747,1,1)),0,IF(ISNUMBER(--MID(AF747,2,1)),1,IF(ISNUMBER(--MID(AF747,3,1)),2,IF(ISNUMBER(--MID(AF747,4,1)),3,MIN(LEN(AF747),4))))))</f>
        <v/>
      </c>
      <c r="AH747" s="11" t="str">
        <f aca="false">IF(A747="","",LEFT(AF747,AG747)&amp;REPT("0",4-AG747)&amp;RIGHT("000"&amp;IFERROR(VALUE(MID(AF747,AG747+1,9)),0),3)&amp;RIGHT("0000"&amp;IFERROR(VALUE(MID(A747,FIND("-",A747)+1,9)),0),4))</f>
        <v/>
      </c>
      <c r="AI747" s="11" t="str">
        <f aca="false">IF(OR(A747="",N(E747)&lt;=0),"",IF('FALTAS GERAL'!$M$1="Código","K"&amp;AH747&amp;RIGHT("00000"&amp;ROW(),5),IF('FALTAS GERAL'!$M$1="Nome","K"&amp;UPPER(SUBSTITUTE(SUBSTITUTE(SUBSTITUTE(B747,"*",""),"?",""),"~",""))&amp;"0"&amp;AH747&amp;RIGHT("00000"&amp;ROW(),5),IF('FALTAS GERAL'!$M$1="Falta (maior primeiro)","K"&amp;RIGHT("0000"&amp;(9999-E747),4)&amp;AH747&amp;RIGHT("00000"&amp;ROW(),5),IF('FALTAS GERAL'!$M$1="Nº de decks (maior primeiro)","K"&amp;RIGHT("00"&amp;(99-N(G747)),2)&amp;AH747&amp;RIGHT("00000"&amp;ROW(),5),"K"&amp;RIGHT("00000"&amp;ROW(),5))))))</f>
        <v/>
      </c>
      <c r="AJ747" s="11" t="str">
        <f aca="false">IF(AI747="","",COUNTIFS($AI$2:$AI$801,"&lt;"&amp;AI747,$E$2:$E$801,"&gt;0")+1)</f>
        <v/>
      </c>
      <c r="AK747" s="11" t="str">
        <f aca="false">IF(OR(A747="",N(E747)&lt;=0),"",COUNTIFS($AH$2:$AH$801,"&lt;"&amp;AH747,$E$2:$E$801,"&gt;0")+COUNTIFS($AH$2:AH747,AH747,$E$2:E747,"&gt;0"))</f>
        <v/>
      </c>
    </row>
    <row r="748" customFormat="false" ht="15" hidden="false" customHeight="false" outlineLevel="0" collapsed="false">
      <c r="A748" s="11" t="str">
        <f aca="false">IF(INVENTÁRIO!A748="","",INVENTÁRIO!A748)</f>
        <v/>
      </c>
      <c r="B748" s="11" t="str">
        <f aca="false">IF(A748="","",INVENTÁRIO!B748)</f>
        <v/>
      </c>
      <c r="C748" s="16" t="str">
        <f aca="false">IF(A748="","",INVENTÁRIO!C748)</f>
        <v/>
      </c>
      <c r="D748" s="14" t="str">
        <f aca="false">IF(A748="","",MAX(K748:AD748))</f>
        <v/>
      </c>
      <c r="E748" s="14" t="str">
        <f aca="false">IF(A748="","",MAX(0,D748-C748))</f>
        <v/>
      </c>
      <c r="F748" s="16" t="str">
        <f aca="false">IF(A748="","",IF(D748=0,"Fora dos decks",IF(E748=0,"Completo","Falta")))</f>
        <v/>
      </c>
      <c r="G748" s="16" t="str">
        <f aca="false">IF(A748="","",COUNTIF(K748:AD748,"&gt;0"))</f>
        <v/>
      </c>
      <c r="H748" s="16" t="str">
        <f aca="false">IF(A748="","",IF(G748&gt;1,"Sim",""))</f>
        <v/>
      </c>
      <c r="I748" s="18" t="str">
        <f aca="false">IF(A748="","",SUMIFS(DECKS!$D$2:$D$1201,DECKS!$B$2:$B$1201,A748))</f>
        <v/>
      </c>
      <c r="J748" s="18" t="str">
        <f aca="false">IF(A748="","",MAX(0,I748-C748))</f>
        <v/>
      </c>
      <c r="K748" s="19" t="str">
        <f aca="false">IF(OR($A748="",INDEX(_LEITURA!$Q$2:$Q$21,1)=0),"",SUMIFS(DECKS!$D$2:$D$1201,DECKS!$A$2:$A$1201,INDEX(_LEITURA!$P$2:$P$21,1),DECKS!$B$2:$B$1201,$A748))</f>
        <v/>
      </c>
      <c r="L748" s="19" t="str">
        <f aca="false">IF(OR($A748="",INDEX(_LEITURA!$Q$2:$Q$21,2)=0),"",SUMIFS(DECKS!$D$2:$D$1201,DECKS!$A$2:$A$1201,INDEX(_LEITURA!$P$2:$P$21,2),DECKS!$B$2:$B$1201,$A748))</f>
        <v/>
      </c>
      <c r="M748" s="19" t="str">
        <f aca="false">IF(OR($A748="",INDEX(_LEITURA!$Q$2:$Q$21,3)=0),"",SUMIFS(DECKS!$D$2:$D$1201,DECKS!$A$2:$A$1201,INDEX(_LEITURA!$P$2:$P$21,3),DECKS!$B$2:$B$1201,$A748))</f>
        <v/>
      </c>
      <c r="N748" s="19" t="str">
        <f aca="false">IF(OR($A748="",INDEX(_LEITURA!$Q$2:$Q$21,4)=0),"",SUMIFS(DECKS!$D$2:$D$1201,DECKS!$A$2:$A$1201,INDEX(_LEITURA!$P$2:$P$21,4),DECKS!$B$2:$B$1201,$A748))</f>
        <v/>
      </c>
      <c r="O748" s="19" t="str">
        <f aca="false">IF(OR($A748="",INDEX(_LEITURA!$Q$2:$Q$21,5)=0),"",SUMIFS(DECKS!$D$2:$D$1201,DECKS!$A$2:$A$1201,INDEX(_LEITURA!$P$2:$P$21,5),DECKS!$B$2:$B$1201,$A748))</f>
        <v/>
      </c>
      <c r="P748" s="19" t="str">
        <f aca="false">IF(OR($A748="",INDEX(_LEITURA!$Q$2:$Q$21,6)=0),"",SUMIFS(DECKS!$D$2:$D$1201,DECKS!$A$2:$A$1201,INDEX(_LEITURA!$P$2:$P$21,6),DECKS!$B$2:$B$1201,$A748))</f>
        <v/>
      </c>
      <c r="Q748" s="19" t="str">
        <f aca="false">IF(OR($A748="",INDEX(_LEITURA!$Q$2:$Q$21,7)=0),"",SUMIFS(DECKS!$D$2:$D$1201,DECKS!$A$2:$A$1201,INDEX(_LEITURA!$P$2:$P$21,7),DECKS!$B$2:$B$1201,$A748))</f>
        <v/>
      </c>
      <c r="R748" s="19" t="str">
        <f aca="false">IF(OR($A748="",INDEX(_LEITURA!$Q$2:$Q$21,8)=0),"",SUMIFS(DECKS!$D$2:$D$1201,DECKS!$A$2:$A$1201,INDEX(_LEITURA!$P$2:$P$21,8),DECKS!$B$2:$B$1201,$A748))</f>
        <v/>
      </c>
      <c r="S748" s="19" t="str">
        <f aca="false">IF(OR($A748="",INDEX(_LEITURA!$Q$2:$Q$21,9)=0),"",SUMIFS(DECKS!$D$2:$D$1201,DECKS!$A$2:$A$1201,INDEX(_LEITURA!$P$2:$P$21,9),DECKS!$B$2:$B$1201,$A748))</f>
        <v/>
      </c>
      <c r="T748" s="19" t="str">
        <f aca="false">IF(OR($A748="",INDEX(_LEITURA!$Q$2:$Q$21,10)=0),"",SUMIFS(DECKS!$D$2:$D$1201,DECKS!$A$2:$A$1201,INDEX(_LEITURA!$P$2:$P$21,10),DECKS!$B$2:$B$1201,$A748))</f>
        <v/>
      </c>
      <c r="U748" s="19" t="str">
        <f aca="false">IF(OR($A748="",INDEX(_LEITURA!$Q$2:$Q$21,11)=0),"",SUMIFS(DECKS!$D$2:$D$1201,DECKS!$A$2:$A$1201,INDEX(_LEITURA!$P$2:$P$21,11),DECKS!$B$2:$B$1201,$A748))</f>
        <v/>
      </c>
      <c r="V748" s="19" t="str">
        <f aca="false">IF(OR($A748="",INDEX(_LEITURA!$Q$2:$Q$21,12)=0),"",SUMIFS(DECKS!$D$2:$D$1201,DECKS!$A$2:$A$1201,INDEX(_LEITURA!$P$2:$P$21,12),DECKS!$B$2:$B$1201,$A748))</f>
        <v/>
      </c>
      <c r="W748" s="19" t="str">
        <f aca="false">IF(OR($A748="",INDEX(_LEITURA!$Q$2:$Q$21,13)=0),"",SUMIFS(DECKS!$D$2:$D$1201,DECKS!$A$2:$A$1201,INDEX(_LEITURA!$P$2:$P$21,13),DECKS!$B$2:$B$1201,$A748))</f>
        <v/>
      </c>
      <c r="X748" s="19" t="str">
        <f aca="false">IF(OR($A748="",INDEX(_LEITURA!$Q$2:$Q$21,14)=0),"",SUMIFS(DECKS!$D$2:$D$1201,DECKS!$A$2:$A$1201,INDEX(_LEITURA!$P$2:$P$21,14),DECKS!$B$2:$B$1201,$A748))</f>
        <v/>
      </c>
      <c r="Y748" s="19" t="str">
        <f aca="false">IF(OR($A748="",INDEX(_LEITURA!$Q$2:$Q$21,15)=0),"",SUMIFS(DECKS!$D$2:$D$1201,DECKS!$A$2:$A$1201,INDEX(_LEITURA!$P$2:$P$21,15),DECKS!$B$2:$B$1201,$A748))</f>
        <v/>
      </c>
      <c r="Z748" s="19" t="str">
        <f aca="false">IF(OR($A748="",INDEX(_LEITURA!$Q$2:$Q$21,16)=0),"",SUMIFS(DECKS!$D$2:$D$1201,DECKS!$A$2:$A$1201,INDEX(_LEITURA!$P$2:$P$21,16),DECKS!$B$2:$B$1201,$A748))</f>
        <v/>
      </c>
      <c r="AA748" s="19" t="str">
        <f aca="false">IF(OR($A748="",INDEX(_LEITURA!$Q$2:$Q$21,17)=0),"",SUMIFS(DECKS!$D$2:$D$1201,DECKS!$A$2:$A$1201,INDEX(_LEITURA!$P$2:$P$21,17),DECKS!$B$2:$B$1201,$A748))</f>
        <v/>
      </c>
      <c r="AB748" s="19" t="str">
        <f aca="false">IF(OR($A748="",INDEX(_LEITURA!$Q$2:$Q$21,18)=0),"",SUMIFS(DECKS!$D$2:$D$1201,DECKS!$A$2:$A$1201,INDEX(_LEITURA!$P$2:$P$21,18),DECKS!$B$2:$B$1201,$A748))</f>
        <v/>
      </c>
      <c r="AC748" s="19" t="str">
        <f aca="false">IF(OR($A748="",INDEX(_LEITURA!$Q$2:$Q$21,19)=0),"",SUMIFS(DECKS!$D$2:$D$1201,DECKS!$A$2:$A$1201,INDEX(_LEITURA!$P$2:$P$21,19),DECKS!$B$2:$B$1201,$A748))</f>
        <v/>
      </c>
      <c r="AD748" s="19" t="str">
        <f aca="false">IF(OR($A748="",INDEX(_LEITURA!$Q$2:$Q$21,20)=0),"",SUMIFS(DECKS!$D$2:$D$1201,DECKS!$A$2:$A$1201,INDEX(_LEITURA!$P$2:$P$21,20),DECKS!$B$2:$B$1201,$A748))</f>
        <v/>
      </c>
      <c r="AE748" s="16" t="str">
        <f aca="false">IF(N(E748)&gt;0,MAX(AE$1:AE747)+1,"")</f>
        <v/>
      </c>
      <c r="AF748" s="11" t="str">
        <f aca="false">IF(A748="","",IFERROR(LEFT(A748,FIND("-",A748)-1),A748))</f>
        <v/>
      </c>
      <c r="AG748" s="11" t="str">
        <f aca="false">IF(AF748="","",IF(ISNUMBER(--MID(AF748,1,1)),0,IF(ISNUMBER(--MID(AF748,2,1)),1,IF(ISNUMBER(--MID(AF748,3,1)),2,IF(ISNUMBER(--MID(AF748,4,1)),3,MIN(LEN(AF748),4))))))</f>
        <v/>
      </c>
      <c r="AH748" s="11" t="str">
        <f aca="false">IF(A748="","",LEFT(AF748,AG748)&amp;REPT("0",4-AG748)&amp;RIGHT("000"&amp;IFERROR(VALUE(MID(AF748,AG748+1,9)),0),3)&amp;RIGHT("0000"&amp;IFERROR(VALUE(MID(A748,FIND("-",A748)+1,9)),0),4))</f>
        <v/>
      </c>
      <c r="AI748" s="11" t="str">
        <f aca="false">IF(OR(A748="",N(E748)&lt;=0),"",IF('FALTAS GERAL'!$M$1="Código","K"&amp;AH748&amp;RIGHT("00000"&amp;ROW(),5),IF('FALTAS GERAL'!$M$1="Nome","K"&amp;UPPER(SUBSTITUTE(SUBSTITUTE(SUBSTITUTE(B748,"*",""),"?",""),"~",""))&amp;"0"&amp;AH748&amp;RIGHT("00000"&amp;ROW(),5),IF('FALTAS GERAL'!$M$1="Falta (maior primeiro)","K"&amp;RIGHT("0000"&amp;(9999-E748),4)&amp;AH748&amp;RIGHT("00000"&amp;ROW(),5),IF('FALTAS GERAL'!$M$1="Nº de decks (maior primeiro)","K"&amp;RIGHT("00"&amp;(99-N(G748)),2)&amp;AH748&amp;RIGHT("00000"&amp;ROW(),5),"K"&amp;RIGHT("00000"&amp;ROW(),5))))))</f>
        <v/>
      </c>
      <c r="AJ748" s="11" t="str">
        <f aca="false">IF(AI748="","",COUNTIFS($AI$2:$AI$801,"&lt;"&amp;AI748,$E$2:$E$801,"&gt;0")+1)</f>
        <v/>
      </c>
      <c r="AK748" s="11" t="str">
        <f aca="false">IF(OR(A748="",N(E748)&lt;=0),"",COUNTIFS($AH$2:$AH$801,"&lt;"&amp;AH748,$E$2:$E$801,"&gt;0")+COUNTIFS($AH$2:AH748,AH748,$E$2:E748,"&gt;0"))</f>
        <v/>
      </c>
    </row>
    <row r="749" customFormat="false" ht="15" hidden="false" customHeight="false" outlineLevel="0" collapsed="false">
      <c r="A749" s="11" t="str">
        <f aca="false">IF(INVENTÁRIO!A749="","",INVENTÁRIO!A749)</f>
        <v/>
      </c>
      <c r="B749" s="11" t="str">
        <f aca="false">IF(A749="","",INVENTÁRIO!B749)</f>
        <v/>
      </c>
      <c r="C749" s="16" t="str">
        <f aca="false">IF(A749="","",INVENTÁRIO!C749)</f>
        <v/>
      </c>
      <c r="D749" s="14" t="str">
        <f aca="false">IF(A749="","",MAX(K749:AD749))</f>
        <v/>
      </c>
      <c r="E749" s="14" t="str">
        <f aca="false">IF(A749="","",MAX(0,D749-C749))</f>
        <v/>
      </c>
      <c r="F749" s="16" t="str">
        <f aca="false">IF(A749="","",IF(D749=0,"Fora dos decks",IF(E749=0,"Completo","Falta")))</f>
        <v/>
      </c>
      <c r="G749" s="16" t="str">
        <f aca="false">IF(A749="","",COUNTIF(K749:AD749,"&gt;0"))</f>
        <v/>
      </c>
      <c r="H749" s="16" t="str">
        <f aca="false">IF(A749="","",IF(G749&gt;1,"Sim",""))</f>
        <v/>
      </c>
      <c r="I749" s="18" t="str">
        <f aca="false">IF(A749="","",SUMIFS(DECKS!$D$2:$D$1201,DECKS!$B$2:$B$1201,A749))</f>
        <v/>
      </c>
      <c r="J749" s="18" t="str">
        <f aca="false">IF(A749="","",MAX(0,I749-C749))</f>
        <v/>
      </c>
      <c r="K749" s="19" t="str">
        <f aca="false">IF(OR($A749="",INDEX(_LEITURA!$Q$2:$Q$21,1)=0),"",SUMIFS(DECKS!$D$2:$D$1201,DECKS!$A$2:$A$1201,INDEX(_LEITURA!$P$2:$P$21,1),DECKS!$B$2:$B$1201,$A749))</f>
        <v/>
      </c>
      <c r="L749" s="19" t="str">
        <f aca="false">IF(OR($A749="",INDEX(_LEITURA!$Q$2:$Q$21,2)=0),"",SUMIFS(DECKS!$D$2:$D$1201,DECKS!$A$2:$A$1201,INDEX(_LEITURA!$P$2:$P$21,2),DECKS!$B$2:$B$1201,$A749))</f>
        <v/>
      </c>
      <c r="M749" s="19" t="str">
        <f aca="false">IF(OR($A749="",INDEX(_LEITURA!$Q$2:$Q$21,3)=0),"",SUMIFS(DECKS!$D$2:$D$1201,DECKS!$A$2:$A$1201,INDEX(_LEITURA!$P$2:$P$21,3),DECKS!$B$2:$B$1201,$A749))</f>
        <v/>
      </c>
      <c r="N749" s="19" t="str">
        <f aca="false">IF(OR($A749="",INDEX(_LEITURA!$Q$2:$Q$21,4)=0),"",SUMIFS(DECKS!$D$2:$D$1201,DECKS!$A$2:$A$1201,INDEX(_LEITURA!$P$2:$P$21,4),DECKS!$B$2:$B$1201,$A749))</f>
        <v/>
      </c>
      <c r="O749" s="19" t="str">
        <f aca="false">IF(OR($A749="",INDEX(_LEITURA!$Q$2:$Q$21,5)=0),"",SUMIFS(DECKS!$D$2:$D$1201,DECKS!$A$2:$A$1201,INDEX(_LEITURA!$P$2:$P$21,5),DECKS!$B$2:$B$1201,$A749))</f>
        <v/>
      </c>
      <c r="P749" s="19" t="str">
        <f aca="false">IF(OR($A749="",INDEX(_LEITURA!$Q$2:$Q$21,6)=0),"",SUMIFS(DECKS!$D$2:$D$1201,DECKS!$A$2:$A$1201,INDEX(_LEITURA!$P$2:$P$21,6),DECKS!$B$2:$B$1201,$A749))</f>
        <v/>
      </c>
      <c r="Q749" s="19" t="str">
        <f aca="false">IF(OR($A749="",INDEX(_LEITURA!$Q$2:$Q$21,7)=0),"",SUMIFS(DECKS!$D$2:$D$1201,DECKS!$A$2:$A$1201,INDEX(_LEITURA!$P$2:$P$21,7),DECKS!$B$2:$B$1201,$A749))</f>
        <v/>
      </c>
      <c r="R749" s="19" t="str">
        <f aca="false">IF(OR($A749="",INDEX(_LEITURA!$Q$2:$Q$21,8)=0),"",SUMIFS(DECKS!$D$2:$D$1201,DECKS!$A$2:$A$1201,INDEX(_LEITURA!$P$2:$P$21,8),DECKS!$B$2:$B$1201,$A749))</f>
        <v/>
      </c>
      <c r="S749" s="19" t="str">
        <f aca="false">IF(OR($A749="",INDEX(_LEITURA!$Q$2:$Q$21,9)=0),"",SUMIFS(DECKS!$D$2:$D$1201,DECKS!$A$2:$A$1201,INDEX(_LEITURA!$P$2:$P$21,9),DECKS!$B$2:$B$1201,$A749))</f>
        <v/>
      </c>
      <c r="T749" s="19" t="str">
        <f aca="false">IF(OR($A749="",INDEX(_LEITURA!$Q$2:$Q$21,10)=0),"",SUMIFS(DECKS!$D$2:$D$1201,DECKS!$A$2:$A$1201,INDEX(_LEITURA!$P$2:$P$21,10),DECKS!$B$2:$B$1201,$A749))</f>
        <v/>
      </c>
      <c r="U749" s="19" t="str">
        <f aca="false">IF(OR($A749="",INDEX(_LEITURA!$Q$2:$Q$21,11)=0),"",SUMIFS(DECKS!$D$2:$D$1201,DECKS!$A$2:$A$1201,INDEX(_LEITURA!$P$2:$P$21,11),DECKS!$B$2:$B$1201,$A749))</f>
        <v/>
      </c>
      <c r="V749" s="19" t="str">
        <f aca="false">IF(OR($A749="",INDEX(_LEITURA!$Q$2:$Q$21,12)=0),"",SUMIFS(DECKS!$D$2:$D$1201,DECKS!$A$2:$A$1201,INDEX(_LEITURA!$P$2:$P$21,12),DECKS!$B$2:$B$1201,$A749))</f>
        <v/>
      </c>
      <c r="W749" s="19" t="str">
        <f aca="false">IF(OR($A749="",INDEX(_LEITURA!$Q$2:$Q$21,13)=0),"",SUMIFS(DECKS!$D$2:$D$1201,DECKS!$A$2:$A$1201,INDEX(_LEITURA!$P$2:$P$21,13),DECKS!$B$2:$B$1201,$A749))</f>
        <v/>
      </c>
      <c r="X749" s="19" t="str">
        <f aca="false">IF(OR($A749="",INDEX(_LEITURA!$Q$2:$Q$21,14)=0),"",SUMIFS(DECKS!$D$2:$D$1201,DECKS!$A$2:$A$1201,INDEX(_LEITURA!$P$2:$P$21,14),DECKS!$B$2:$B$1201,$A749))</f>
        <v/>
      </c>
      <c r="Y749" s="19" t="str">
        <f aca="false">IF(OR($A749="",INDEX(_LEITURA!$Q$2:$Q$21,15)=0),"",SUMIFS(DECKS!$D$2:$D$1201,DECKS!$A$2:$A$1201,INDEX(_LEITURA!$P$2:$P$21,15),DECKS!$B$2:$B$1201,$A749))</f>
        <v/>
      </c>
      <c r="Z749" s="19" t="str">
        <f aca="false">IF(OR($A749="",INDEX(_LEITURA!$Q$2:$Q$21,16)=0),"",SUMIFS(DECKS!$D$2:$D$1201,DECKS!$A$2:$A$1201,INDEX(_LEITURA!$P$2:$P$21,16),DECKS!$B$2:$B$1201,$A749))</f>
        <v/>
      </c>
      <c r="AA749" s="19" t="str">
        <f aca="false">IF(OR($A749="",INDEX(_LEITURA!$Q$2:$Q$21,17)=0),"",SUMIFS(DECKS!$D$2:$D$1201,DECKS!$A$2:$A$1201,INDEX(_LEITURA!$P$2:$P$21,17),DECKS!$B$2:$B$1201,$A749))</f>
        <v/>
      </c>
      <c r="AB749" s="19" t="str">
        <f aca="false">IF(OR($A749="",INDEX(_LEITURA!$Q$2:$Q$21,18)=0),"",SUMIFS(DECKS!$D$2:$D$1201,DECKS!$A$2:$A$1201,INDEX(_LEITURA!$P$2:$P$21,18),DECKS!$B$2:$B$1201,$A749))</f>
        <v/>
      </c>
      <c r="AC749" s="19" t="str">
        <f aca="false">IF(OR($A749="",INDEX(_LEITURA!$Q$2:$Q$21,19)=0),"",SUMIFS(DECKS!$D$2:$D$1201,DECKS!$A$2:$A$1201,INDEX(_LEITURA!$P$2:$P$21,19),DECKS!$B$2:$B$1201,$A749))</f>
        <v/>
      </c>
      <c r="AD749" s="19" t="str">
        <f aca="false">IF(OR($A749="",INDEX(_LEITURA!$Q$2:$Q$21,20)=0),"",SUMIFS(DECKS!$D$2:$D$1201,DECKS!$A$2:$A$1201,INDEX(_LEITURA!$P$2:$P$21,20),DECKS!$B$2:$B$1201,$A749))</f>
        <v/>
      </c>
      <c r="AE749" s="16" t="str">
        <f aca="false">IF(N(E749)&gt;0,MAX(AE$1:AE748)+1,"")</f>
        <v/>
      </c>
      <c r="AF749" s="11" t="str">
        <f aca="false">IF(A749="","",IFERROR(LEFT(A749,FIND("-",A749)-1),A749))</f>
        <v/>
      </c>
      <c r="AG749" s="11" t="str">
        <f aca="false">IF(AF749="","",IF(ISNUMBER(--MID(AF749,1,1)),0,IF(ISNUMBER(--MID(AF749,2,1)),1,IF(ISNUMBER(--MID(AF749,3,1)),2,IF(ISNUMBER(--MID(AF749,4,1)),3,MIN(LEN(AF749),4))))))</f>
        <v/>
      </c>
      <c r="AH749" s="11" t="str">
        <f aca="false">IF(A749="","",LEFT(AF749,AG749)&amp;REPT("0",4-AG749)&amp;RIGHT("000"&amp;IFERROR(VALUE(MID(AF749,AG749+1,9)),0),3)&amp;RIGHT("0000"&amp;IFERROR(VALUE(MID(A749,FIND("-",A749)+1,9)),0),4))</f>
        <v/>
      </c>
      <c r="AI749" s="11" t="str">
        <f aca="false">IF(OR(A749="",N(E749)&lt;=0),"",IF('FALTAS GERAL'!$M$1="Código","K"&amp;AH749&amp;RIGHT("00000"&amp;ROW(),5),IF('FALTAS GERAL'!$M$1="Nome","K"&amp;UPPER(SUBSTITUTE(SUBSTITUTE(SUBSTITUTE(B749,"*",""),"?",""),"~",""))&amp;"0"&amp;AH749&amp;RIGHT("00000"&amp;ROW(),5),IF('FALTAS GERAL'!$M$1="Falta (maior primeiro)","K"&amp;RIGHT("0000"&amp;(9999-E749),4)&amp;AH749&amp;RIGHT("00000"&amp;ROW(),5),IF('FALTAS GERAL'!$M$1="Nº de decks (maior primeiro)","K"&amp;RIGHT("00"&amp;(99-N(G749)),2)&amp;AH749&amp;RIGHT("00000"&amp;ROW(),5),"K"&amp;RIGHT("00000"&amp;ROW(),5))))))</f>
        <v/>
      </c>
      <c r="AJ749" s="11" t="str">
        <f aca="false">IF(AI749="","",COUNTIFS($AI$2:$AI$801,"&lt;"&amp;AI749,$E$2:$E$801,"&gt;0")+1)</f>
        <v/>
      </c>
      <c r="AK749" s="11" t="str">
        <f aca="false">IF(OR(A749="",N(E749)&lt;=0),"",COUNTIFS($AH$2:$AH$801,"&lt;"&amp;AH749,$E$2:$E$801,"&gt;0")+COUNTIFS($AH$2:AH749,AH749,$E$2:E749,"&gt;0"))</f>
        <v/>
      </c>
    </row>
    <row r="750" customFormat="false" ht="15" hidden="false" customHeight="false" outlineLevel="0" collapsed="false">
      <c r="A750" s="11" t="str">
        <f aca="false">IF(INVENTÁRIO!A750="","",INVENTÁRIO!A750)</f>
        <v/>
      </c>
      <c r="B750" s="11" t="str">
        <f aca="false">IF(A750="","",INVENTÁRIO!B750)</f>
        <v/>
      </c>
      <c r="C750" s="16" t="str">
        <f aca="false">IF(A750="","",INVENTÁRIO!C750)</f>
        <v/>
      </c>
      <c r="D750" s="14" t="str">
        <f aca="false">IF(A750="","",MAX(K750:AD750))</f>
        <v/>
      </c>
      <c r="E750" s="14" t="str">
        <f aca="false">IF(A750="","",MAX(0,D750-C750))</f>
        <v/>
      </c>
      <c r="F750" s="16" t="str">
        <f aca="false">IF(A750="","",IF(D750=0,"Fora dos decks",IF(E750=0,"Completo","Falta")))</f>
        <v/>
      </c>
      <c r="G750" s="16" t="str">
        <f aca="false">IF(A750="","",COUNTIF(K750:AD750,"&gt;0"))</f>
        <v/>
      </c>
      <c r="H750" s="16" t="str">
        <f aca="false">IF(A750="","",IF(G750&gt;1,"Sim",""))</f>
        <v/>
      </c>
      <c r="I750" s="18" t="str">
        <f aca="false">IF(A750="","",SUMIFS(DECKS!$D$2:$D$1201,DECKS!$B$2:$B$1201,A750))</f>
        <v/>
      </c>
      <c r="J750" s="18" t="str">
        <f aca="false">IF(A750="","",MAX(0,I750-C750))</f>
        <v/>
      </c>
      <c r="K750" s="19" t="str">
        <f aca="false">IF(OR($A750="",INDEX(_LEITURA!$Q$2:$Q$21,1)=0),"",SUMIFS(DECKS!$D$2:$D$1201,DECKS!$A$2:$A$1201,INDEX(_LEITURA!$P$2:$P$21,1),DECKS!$B$2:$B$1201,$A750))</f>
        <v/>
      </c>
      <c r="L750" s="19" t="str">
        <f aca="false">IF(OR($A750="",INDEX(_LEITURA!$Q$2:$Q$21,2)=0),"",SUMIFS(DECKS!$D$2:$D$1201,DECKS!$A$2:$A$1201,INDEX(_LEITURA!$P$2:$P$21,2),DECKS!$B$2:$B$1201,$A750))</f>
        <v/>
      </c>
      <c r="M750" s="19" t="str">
        <f aca="false">IF(OR($A750="",INDEX(_LEITURA!$Q$2:$Q$21,3)=0),"",SUMIFS(DECKS!$D$2:$D$1201,DECKS!$A$2:$A$1201,INDEX(_LEITURA!$P$2:$P$21,3),DECKS!$B$2:$B$1201,$A750))</f>
        <v/>
      </c>
      <c r="N750" s="19" t="str">
        <f aca="false">IF(OR($A750="",INDEX(_LEITURA!$Q$2:$Q$21,4)=0),"",SUMIFS(DECKS!$D$2:$D$1201,DECKS!$A$2:$A$1201,INDEX(_LEITURA!$P$2:$P$21,4),DECKS!$B$2:$B$1201,$A750))</f>
        <v/>
      </c>
      <c r="O750" s="19" t="str">
        <f aca="false">IF(OR($A750="",INDEX(_LEITURA!$Q$2:$Q$21,5)=0),"",SUMIFS(DECKS!$D$2:$D$1201,DECKS!$A$2:$A$1201,INDEX(_LEITURA!$P$2:$P$21,5),DECKS!$B$2:$B$1201,$A750))</f>
        <v/>
      </c>
      <c r="P750" s="19" t="str">
        <f aca="false">IF(OR($A750="",INDEX(_LEITURA!$Q$2:$Q$21,6)=0),"",SUMIFS(DECKS!$D$2:$D$1201,DECKS!$A$2:$A$1201,INDEX(_LEITURA!$P$2:$P$21,6),DECKS!$B$2:$B$1201,$A750))</f>
        <v/>
      </c>
      <c r="Q750" s="19" t="str">
        <f aca="false">IF(OR($A750="",INDEX(_LEITURA!$Q$2:$Q$21,7)=0),"",SUMIFS(DECKS!$D$2:$D$1201,DECKS!$A$2:$A$1201,INDEX(_LEITURA!$P$2:$P$21,7),DECKS!$B$2:$B$1201,$A750))</f>
        <v/>
      </c>
      <c r="R750" s="19" t="str">
        <f aca="false">IF(OR($A750="",INDEX(_LEITURA!$Q$2:$Q$21,8)=0),"",SUMIFS(DECKS!$D$2:$D$1201,DECKS!$A$2:$A$1201,INDEX(_LEITURA!$P$2:$P$21,8),DECKS!$B$2:$B$1201,$A750))</f>
        <v/>
      </c>
      <c r="S750" s="19" t="str">
        <f aca="false">IF(OR($A750="",INDEX(_LEITURA!$Q$2:$Q$21,9)=0),"",SUMIFS(DECKS!$D$2:$D$1201,DECKS!$A$2:$A$1201,INDEX(_LEITURA!$P$2:$P$21,9),DECKS!$B$2:$B$1201,$A750))</f>
        <v/>
      </c>
      <c r="T750" s="19" t="str">
        <f aca="false">IF(OR($A750="",INDEX(_LEITURA!$Q$2:$Q$21,10)=0),"",SUMIFS(DECKS!$D$2:$D$1201,DECKS!$A$2:$A$1201,INDEX(_LEITURA!$P$2:$P$21,10),DECKS!$B$2:$B$1201,$A750))</f>
        <v/>
      </c>
      <c r="U750" s="19" t="str">
        <f aca="false">IF(OR($A750="",INDEX(_LEITURA!$Q$2:$Q$21,11)=0),"",SUMIFS(DECKS!$D$2:$D$1201,DECKS!$A$2:$A$1201,INDEX(_LEITURA!$P$2:$P$21,11),DECKS!$B$2:$B$1201,$A750))</f>
        <v/>
      </c>
      <c r="V750" s="19" t="str">
        <f aca="false">IF(OR($A750="",INDEX(_LEITURA!$Q$2:$Q$21,12)=0),"",SUMIFS(DECKS!$D$2:$D$1201,DECKS!$A$2:$A$1201,INDEX(_LEITURA!$P$2:$P$21,12),DECKS!$B$2:$B$1201,$A750))</f>
        <v/>
      </c>
      <c r="W750" s="19" t="str">
        <f aca="false">IF(OR($A750="",INDEX(_LEITURA!$Q$2:$Q$21,13)=0),"",SUMIFS(DECKS!$D$2:$D$1201,DECKS!$A$2:$A$1201,INDEX(_LEITURA!$P$2:$P$21,13),DECKS!$B$2:$B$1201,$A750))</f>
        <v/>
      </c>
      <c r="X750" s="19" t="str">
        <f aca="false">IF(OR($A750="",INDEX(_LEITURA!$Q$2:$Q$21,14)=0),"",SUMIFS(DECKS!$D$2:$D$1201,DECKS!$A$2:$A$1201,INDEX(_LEITURA!$P$2:$P$21,14),DECKS!$B$2:$B$1201,$A750))</f>
        <v/>
      </c>
      <c r="Y750" s="19" t="str">
        <f aca="false">IF(OR($A750="",INDEX(_LEITURA!$Q$2:$Q$21,15)=0),"",SUMIFS(DECKS!$D$2:$D$1201,DECKS!$A$2:$A$1201,INDEX(_LEITURA!$P$2:$P$21,15),DECKS!$B$2:$B$1201,$A750))</f>
        <v/>
      </c>
      <c r="Z750" s="19" t="str">
        <f aca="false">IF(OR($A750="",INDEX(_LEITURA!$Q$2:$Q$21,16)=0),"",SUMIFS(DECKS!$D$2:$D$1201,DECKS!$A$2:$A$1201,INDEX(_LEITURA!$P$2:$P$21,16),DECKS!$B$2:$B$1201,$A750))</f>
        <v/>
      </c>
      <c r="AA750" s="19" t="str">
        <f aca="false">IF(OR($A750="",INDEX(_LEITURA!$Q$2:$Q$21,17)=0),"",SUMIFS(DECKS!$D$2:$D$1201,DECKS!$A$2:$A$1201,INDEX(_LEITURA!$P$2:$P$21,17),DECKS!$B$2:$B$1201,$A750))</f>
        <v/>
      </c>
      <c r="AB750" s="19" t="str">
        <f aca="false">IF(OR($A750="",INDEX(_LEITURA!$Q$2:$Q$21,18)=0),"",SUMIFS(DECKS!$D$2:$D$1201,DECKS!$A$2:$A$1201,INDEX(_LEITURA!$P$2:$P$21,18),DECKS!$B$2:$B$1201,$A750))</f>
        <v/>
      </c>
      <c r="AC750" s="19" t="str">
        <f aca="false">IF(OR($A750="",INDEX(_LEITURA!$Q$2:$Q$21,19)=0),"",SUMIFS(DECKS!$D$2:$D$1201,DECKS!$A$2:$A$1201,INDEX(_LEITURA!$P$2:$P$21,19),DECKS!$B$2:$B$1201,$A750))</f>
        <v/>
      </c>
      <c r="AD750" s="19" t="str">
        <f aca="false">IF(OR($A750="",INDEX(_LEITURA!$Q$2:$Q$21,20)=0),"",SUMIFS(DECKS!$D$2:$D$1201,DECKS!$A$2:$A$1201,INDEX(_LEITURA!$P$2:$P$21,20),DECKS!$B$2:$B$1201,$A750))</f>
        <v/>
      </c>
      <c r="AE750" s="16" t="str">
        <f aca="false">IF(N(E750)&gt;0,MAX(AE$1:AE749)+1,"")</f>
        <v/>
      </c>
      <c r="AF750" s="11" t="str">
        <f aca="false">IF(A750="","",IFERROR(LEFT(A750,FIND("-",A750)-1),A750))</f>
        <v/>
      </c>
      <c r="AG750" s="11" t="str">
        <f aca="false">IF(AF750="","",IF(ISNUMBER(--MID(AF750,1,1)),0,IF(ISNUMBER(--MID(AF750,2,1)),1,IF(ISNUMBER(--MID(AF750,3,1)),2,IF(ISNUMBER(--MID(AF750,4,1)),3,MIN(LEN(AF750),4))))))</f>
        <v/>
      </c>
      <c r="AH750" s="11" t="str">
        <f aca="false">IF(A750="","",LEFT(AF750,AG750)&amp;REPT("0",4-AG750)&amp;RIGHT("000"&amp;IFERROR(VALUE(MID(AF750,AG750+1,9)),0),3)&amp;RIGHT("0000"&amp;IFERROR(VALUE(MID(A750,FIND("-",A750)+1,9)),0),4))</f>
        <v/>
      </c>
      <c r="AI750" s="11" t="str">
        <f aca="false">IF(OR(A750="",N(E750)&lt;=0),"",IF('FALTAS GERAL'!$M$1="Código","K"&amp;AH750&amp;RIGHT("00000"&amp;ROW(),5),IF('FALTAS GERAL'!$M$1="Nome","K"&amp;UPPER(SUBSTITUTE(SUBSTITUTE(SUBSTITUTE(B750,"*",""),"?",""),"~",""))&amp;"0"&amp;AH750&amp;RIGHT("00000"&amp;ROW(),5),IF('FALTAS GERAL'!$M$1="Falta (maior primeiro)","K"&amp;RIGHT("0000"&amp;(9999-E750),4)&amp;AH750&amp;RIGHT("00000"&amp;ROW(),5),IF('FALTAS GERAL'!$M$1="Nº de decks (maior primeiro)","K"&amp;RIGHT("00"&amp;(99-N(G750)),2)&amp;AH750&amp;RIGHT("00000"&amp;ROW(),5),"K"&amp;RIGHT("00000"&amp;ROW(),5))))))</f>
        <v/>
      </c>
      <c r="AJ750" s="11" t="str">
        <f aca="false">IF(AI750="","",COUNTIFS($AI$2:$AI$801,"&lt;"&amp;AI750,$E$2:$E$801,"&gt;0")+1)</f>
        <v/>
      </c>
      <c r="AK750" s="11" t="str">
        <f aca="false">IF(OR(A750="",N(E750)&lt;=0),"",COUNTIFS($AH$2:$AH$801,"&lt;"&amp;AH750,$E$2:$E$801,"&gt;0")+COUNTIFS($AH$2:AH750,AH750,$E$2:E750,"&gt;0"))</f>
        <v/>
      </c>
    </row>
    <row r="751" customFormat="false" ht="15" hidden="false" customHeight="false" outlineLevel="0" collapsed="false">
      <c r="A751" s="11" t="str">
        <f aca="false">IF(INVENTÁRIO!A751="","",INVENTÁRIO!A751)</f>
        <v/>
      </c>
      <c r="B751" s="11" t="str">
        <f aca="false">IF(A751="","",INVENTÁRIO!B751)</f>
        <v/>
      </c>
      <c r="C751" s="16" t="str">
        <f aca="false">IF(A751="","",INVENTÁRIO!C751)</f>
        <v/>
      </c>
      <c r="D751" s="14" t="str">
        <f aca="false">IF(A751="","",MAX(K751:AD751))</f>
        <v/>
      </c>
      <c r="E751" s="14" t="str">
        <f aca="false">IF(A751="","",MAX(0,D751-C751))</f>
        <v/>
      </c>
      <c r="F751" s="16" t="str">
        <f aca="false">IF(A751="","",IF(D751=0,"Fora dos decks",IF(E751=0,"Completo","Falta")))</f>
        <v/>
      </c>
      <c r="G751" s="16" t="str">
        <f aca="false">IF(A751="","",COUNTIF(K751:AD751,"&gt;0"))</f>
        <v/>
      </c>
      <c r="H751" s="16" t="str">
        <f aca="false">IF(A751="","",IF(G751&gt;1,"Sim",""))</f>
        <v/>
      </c>
      <c r="I751" s="18" t="str">
        <f aca="false">IF(A751="","",SUMIFS(DECKS!$D$2:$D$1201,DECKS!$B$2:$B$1201,A751))</f>
        <v/>
      </c>
      <c r="J751" s="18" t="str">
        <f aca="false">IF(A751="","",MAX(0,I751-C751))</f>
        <v/>
      </c>
      <c r="K751" s="19" t="str">
        <f aca="false">IF(OR($A751="",INDEX(_LEITURA!$Q$2:$Q$21,1)=0),"",SUMIFS(DECKS!$D$2:$D$1201,DECKS!$A$2:$A$1201,INDEX(_LEITURA!$P$2:$P$21,1),DECKS!$B$2:$B$1201,$A751))</f>
        <v/>
      </c>
      <c r="L751" s="19" t="str">
        <f aca="false">IF(OR($A751="",INDEX(_LEITURA!$Q$2:$Q$21,2)=0),"",SUMIFS(DECKS!$D$2:$D$1201,DECKS!$A$2:$A$1201,INDEX(_LEITURA!$P$2:$P$21,2),DECKS!$B$2:$B$1201,$A751))</f>
        <v/>
      </c>
      <c r="M751" s="19" t="str">
        <f aca="false">IF(OR($A751="",INDEX(_LEITURA!$Q$2:$Q$21,3)=0),"",SUMIFS(DECKS!$D$2:$D$1201,DECKS!$A$2:$A$1201,INDEX(_LEITURA!$P$2:$P$21,3),DECKS!$B$2:$B$1201,$A751))</f>
        <v/>
      </c>
      <c r="N751" s="19" t="str">
        <f aca="false">IF(OR($A751="",INDEX(_LEITURA!$Q$2:$Q$21,4)=0),"",SUMIFS(DECKS!$D$2:$D$1201,DECKS!$A$2:$A$1201,INDEX(_LEITURA!$P$2:$P$21,4),DECKS!$B$2:$B$1201,$A751))</f>
        <v/>
      </c>
      <c r="O751" s="19" t="str">
        <f aca="false">IF(OR($A751="",INDEX(_LEITURA!$Q$2:$Q$21,5)=0),"",SUMIFS(DECKS!$D$2:$D$1201,DECKS!$A$2:$A$1201,INDEX(_LEITURA!$P$2:$P$21,5),DECKS!$B$2:$B$1201,$A751))</f>
        <v/>
      </c>
      <c r="P751" s="19" t="str">
        <f aca="false">IF(OR($A751="",INDEX(_LEITURA!$Q$2:$Q$21,6)=0),"",SUMIFS(DECKS!$D$2:$D$1201,DECKS!$A$2:$A$1201,INDEX(_LEITURA!$P$2:$P$21,6),DECKS!$B$2:$B$1201,$A751))</f>
        <v/>
      </c>
      <c r="Q751" s="19" t="str">
        <f aca="false">IF(OR($A751="",INDEX(_LEITURA!$Q$2:$Q$21,7)=0),"",SUMIFS(DECKS!$D$2:$D$1201,DECKS!$A$2:$A$1201,INDEX(_LEITURA!$P$2:$P$21,7),DECKS!$B$2:$B$1201,$A751))</f>
        <v/>
      </c>
      <c r="R751" s="19" t="str">
        <f aca="false">IF(OR($A751="",INDEX(_LEITURA!$Q$2:$Q$21,8)=0),"",SUMIFS(DECKS!$D$2:$D$1201,DECKS!$A$2:$A$1201,INDEX(_LEITURA!$P$2:$P$21,8),DECKS!$B$2:$B$1201,$A751))</f>
        <v/>
      </c>
      <c r="S751" s="19" t="str">
        <f aca="false">IF(OR($A751="",INDEX(_LEITURA!$Q$2:$Q$21,9)=0),"",SUMIFS(DECKS!$D$2:$D$1201,DECKS!$A$2:$A$1201,INDEX(_LEITURA!$P$2:$P$21,9),DECKS!$B$2:$B$1201,$A751))</f>
        <v/>
      </c>
      <c r="T751" s="19" t="str">
        <f aca="false">IF(OR($A751="",INDEX(_LEITURA!$Q$2:$Q$21,10)=0),"",SUMIFS(DECKS!$D$2:$D$1201,DECKS!$A$2:$A$1201,INDEX(_LEITURA!$P$2:$P$21,10),DECKS!$B$2:$B$1201,$A751))</f>
        <v/>
      </c>
      <c r="U751" s="19" t="str">
        <f aca="false">IF(OR($A751="",INDEX(_LEITURA!$Q$2:$Q$21,11)=0),"",SUMIFS(DECKS!$D$2:$D$1201,DECKS!$A$2:$A$1201,INDEX(_LEITURA!$P$2:$P$21,11),DECKS!$B$2:$B$1201,$A751))</f>
        <v/>
      </c>
      <c r="V751" s="19" t="str">
        <f aca="false">IF(OR($A751="",INDEX(_LEITURA!$Q$2:$Q$21,12)=0),"",SUMIFS(DECKS!$D$2:$D$1201,DECKS!$A$2:$A$1201,INDEX(_LEITURA!$P$2:$P$21,12),DECKS!$B$2:$B$1201,$A751))</f>
        <v/>
      </c>
      <c r="W751" s="19" t="str">
        <f aca="false">IF(OR($A751="",INDEX(_LEITURA!$Q$2:$Q$21,13)=0),"",SUMIFS(DECKS!$D$2:$D$1201,DECKS!$A$2:$A$1201,INDEX(_LEITURA!$P$2:$P$21,13),DECKS!$B$2:$B$1201,$A751))</f>
        <v/>
      </c>
      <c r="X751" s="19" t="str">
        <f aca="false">IF(OR($A751="",INDEX(_LEITURA!$Q$2:$Q$21,14)=0),"",SUMIFS(DECKS!$D$2:$D$1201,DECKS!$A$2:$A$1201,INDEX(_LEITURA!$P$2:$P$21,14),DECKS!$B$2:$B$1201,$A751))</f>
        <v/>
      </c>
      <c r="Y751" s="19" t="str">
        <f aca="false">IF(OR($A751="",INDEX(_LEITURA!$Q$2:$Q$21,15)=0),"",SUMIFS(DECKS!$D$2:$D$1201,DECKS!$A$2:$A$1201,INDEX(_LEITURA!$P$2:$P$21,15),DECKS!$B$2:$B$1201,$A751))</f>
        <v/>
      </c>
      <c r="Z751" s="19" t="str">
        <f aca="false">IF(OR($A751="",INDEX(_LEITURA!$Q$2:$Q$21,16)=0),"",SUMIFS(DECKS!$D$2:$D$1201,DECKS!$A$2:$A$1201,INDEX(_LEITURA!$P$2:$P$21,16),DECKS!$B$2:$B$1201,$A751))</f>
        <v/>
      </c>
      <c r="AA751" s="19" t="str">
        <f aca="false">IF(OR($A751="",INDEX(_LEITURA!$Q$2:$Q$21,17)=0),"",SUMIFS(DECKS!$D$2:$D$1201,DECKS!$A$2:$A$1201,INDEX(_LEITURA!$P$2:$P$21,17),DECKS!$B$2:$B$1201,$A751))</f>
        <v/>
      </c>
      <c r="AB751" s="19" t="str">
        <f aca="false">IF(OR($A751="",INDEX(_LEITURA!$Q$2:$Q$21,18)=0),"",SUMIFS(DECKS!$D$2:$D$1201,DECKS!$A$2:$A$1201,INDEX(_LEITURA!$P$2:$P$21,18),DECKS!$B$2:$B$1201,$A751))</f>
        <v/>
      </c>
      <c r="AC751" s="19" t="str">
        <f aca="false">IF(OR($A751="",INDEX(_LEITURA!$Q$2:$Q$21,19)=0),"",SUMIFS(DECKS!$D$2:$D$1201,DECKS!$A$2:$A$1201,INDEX(_LEITURA!$P$2:$P$21,19),DECKS!$B$2:$B$1201,$A751))</f>
        <v/>
      </c>
      <c r="AD751" s="19" t="str">
        <f aca="false">IF(OR($A751="",INDEX(_LEITURA!$Q$2:$Q$21,20)=0),"",SUMIFS(DECKS!$D$2:$D$1201,DECKS!$A$2:$A$1201,INDEX(_LEITURA!$P$2:$P$21,20),DECKS!$B$2:$B$1201,$A751))</f>
        <v/>
      </c>
      <c r="AE751" s="16" t="str">
        <f aca="false">IF(N(E751)&gt;0,MAX(AE$1:AE750)+1,"")</f>
        <v/>
      </c>
      <c r="AF751" s="11" t="str">
        <f aca="false">IF(A751="","",IFERROR(LEFT(A751,FIND("-",A751)-1),A751))</f>
        <v/>
      </c>
      <c r="AG751" s="11" t="str">
        <f aca="false">IF(AF751="","",IF(ISNUMBER(--MID(AF751,1,1)),0,IF(ISNUMBER(--MID(AF751,2,1)),1,IF(ISNUMBER(--MID(AF751,3,1)),2,IF(ISNUMBER(--MID(AF751,4,1)),3,MIN(LEN(AF751),4))))))</f>
        <v/>
      </c>
      <c r="AH751" s="11" t="str">
        <f aca="false">IF(A751="","",LEFT(AF751,AG751)&amp;REPT("0",4-AG751)&amp;RIGHT("000"&amp;IFERROR(VALUE(MID(AF751,AG751+1,9)),0),3)&amp;RIGHT("0000"&amp;IFERROR(VALUE(MID(A751,FIND("-",A751)+1,9)),0),4))</f>
        <v/>
      </c>
      <c r="AI751" s="11" t="str">
        <f aca="false">IF(OR(A751="",N(E751)&lt;=0),"",IF('FALTAS GERAL'!$M$1="Código","K"&amp;AH751&amp;RIGHT("00000"&amp;ROW(),5),IF('FALTAS GERAL'!$M$1="Nome","K"&amp;UPPER(SUBSTITUTE(SUBSTITUTE(SUBSTITUTE(B751,"*",""),"?",""),"~",""))&amp;"0"&amp;AH751&amp;RIGHT("00000"&amp;ROW(),5),IF('FALTAS GERAL'!$M$1="Falta (maior primeiro)","K"&amp;RIGHT("0000"&amp;(9999-E751),4)&amp;AH751&amp;RIGHT("00000"&amp;ROW(),5),IF('FALTAS GERAL'!$M$1="Nº de decks (maior primeiro)","K"&amp;RIGHT("00"&amp;(99-N(G751)),2)&amp;AH751&amp;RIGHT("00000"&amp;ROW(),5),"K"&amp;RIGHT("00000"&amp;ROW(),5))))))</f>
        <v/>
      </c>
      <c r="AJ751" s="11" t="str">
        <f aca="false">IF(AI751="","",COUNTIFS($AI$2:$AI$801,"&lt;"&amp;AI751,$E$2:$E$801,"&gt;0")+1)</f>
        <v/>
      </c>
      <c r="AK751" s="11" t="str">
        <f aca="false">IF(OR(A751="",N(E751)&lt;=0),"",COUNTIFS($AH$2:$AH$801,"&lt;"&amp;AH751,$E$2:$E$801,"&gt;0")+COUNTIFS($AH$2:AH751,AH751,$E$2:E751,"&gt;0"))</f>
        <v/>
      </c>
    </row>
    <row r="752" customFormat="false" ht="15" hidden="false" customHeight="false" outlineLevel="0" collapsed="false">
      <c r="A752" s="11" t="str">
        <f aca="false">IF(INVENTÁRIO!A752="","",INVENTÁRIO!A752)</f>
        <v/>
      </c>
      <c r="B752" s="11" t="str">
        <f aca="false">IF(A752="","",INVENTÁRIO!B752)</f>
        <v/>
      </c>
      <c r="C752" s="16" t="str">
        <f aca="false">IF(A752="","",INVENTÁRIO!C752)</f>
        <v/>
      </c>
      <c r="D752" s="14" t="str">
        <f aca="false">IF(A752="","",MAX(K752:AD752))</f>
        <v/>
      </c>
      <c r="E752" s="14" t="str">
        <f aca="false">IF(A752="","",MAX(0,D752-C752))</f>
        <v/>
      </c>
      <c r="F752" s="16" t="str">
        <f aca="false">IF(A752="","",IF(D752=0,"Fora dos decks",IF(E752=0,"Completo","Falta")))</f>
        <v/>
      </c>
      <c r="G752" s="16" t="str">
        <f aca="false">IF(A752="","",COUNTIF(K752:AD752,"&gt;0"))</f>
        <v/>
      </c>
      <c r="H752" s="16" t="str">
        <f aca="false">IF(A752="","",IF(G752&gt;1,"Sim",""))</f>
        <v/>
      </c>
      <c r="I752" s="18" t="str">
        <f aca="false">IF(A752="","",SUMIFS(DECKS!$D$2:$D$1201,DECKS!$B$2:$B$1201,A752))</f>
        <v/>
      </c>
      <c r="J752" s="18" t="str">
        <f aca="false">IF(A752="","",MAX(0,I752-C752))</f>
        <v/>
      </c>
      <c r="K752" s="19" t="str">
        <f aca="false">IF(OR($A752="",INDEX(_LEITURA!$Q$2:$Q$21,1)=0),"",SUMIFS(DECKS!$D$2:$D$1201,DECKS!$A$2:$A$1201,INDEX(_LEITURA!$P$2:$P$21,1),DECKS!$B$2:$B$1201,$A752))</f>
        <v/>
      </c>
      <c r="L752" s="19" t="str">
        <f aca="false">IF(OR($A752="",INDEX(_LEITURA!$Q$2:$Q$21,2)=0),"",SUMIFS(DECKS!$D$2:$D$1201,DECKS!$A$2:$A$1201,INDEX(_LEITURA!$P$2:$P$21,2),DECKS!$B$2:$B$1201,$A752))</f>
        <v/>
      </c>
      <c r="M752" s="19" t="str">
        <f aca="false">IF(OR($A752="",INDEX(_LEITURA!$Q$2:$Q$21,3)=0),"",SUMIFS(DECKS!$D$2:$D$1201,DECKS!$A$2:$A$1201,INDEX(_LEITURA!$P$2:$P$21,3),DECKS!$B$2:$B$1201,$A752))</f>
        <v/>
      </c>
      <c r="N752" s="19" t="str">
        <f aca="false">IF(OR($A752="",INDEX(_LEITURA!$Q$2:$Q$21,4)=0),"",SUMIFS(DECKS!$D$2:$D$1201,DECKS!$A$2:$A$1201,INDEX(_LEITURA!$P$2:$P$21,4),DECKS!$B$2:$B$1201,$A752))</f>
        <v/>
      </c>
      <c r="O752" s="19" t="str">
        <f aca="false">IF(OR($A752="",INDEX(_LEITURA!$Q$2:$Q$21,5)=0),"",SUMIFS(DECKS!$D$2:$D$1201,DECKS!$A$2:$A$1201,INDEX(_LEITURA!$P$2:$P$21,5),DECKS!$B$2:$B$1201,$A752))</f>
        <v/>
      </c>
      <c r="P752" s="19" t="str">
        <f aca="false">IF(OR($A752="",INDEX(_LEITURA!$Q$2:$Q$21,6)=0),"",SUMIFS(DECKS!$D$2:$D$1201,DECKS!$A$2:$A$1201,INDEX(_LEITURA!$P$2:$P$21,6),DECKS!$B$2:$B$1201,$A752))</f>
        <v/>
      </c>
      <c r="Q752" s="19" t="str">
        <f aca="false">IF(OR($A752="",INDEX(_LEITURA!$Q$2:$Q$21,7)=0),"",SUMIFS(DECKS!$D$2:$D$1201,DECKS!$A$2:$A$1201,INDEX(_LEITURA!$P$2:$P$21,7),DECKS!$B$2:$B$1201,$A752))</f>
        <v/>
      </c>
      <c r="R752" s="19" t="str">
        <f aca="false">IF(OR($A752="",INDEX(_LEITURA!$Q$2:$Q$21,8)=0),"",SUMIFS(DECKS!$D$2:$D$1201,DECKS!$A$2:$A$1201,INDEX(_LEITURA!$P$2:$P$21,8),DECKS!$B$2:$B$1201,$A752))</f>
        <v/>
      </c>
      <c r="S752" s="19" t="str">
        <f aca="false">IF(OR($A752="",INDEX(_LEITURA!$Q$2:$Q$21,9)=0),"",SUMIFS(DECKS!$D$2:$D$1201,DECKS!$A$2:$A$1201,INDEX(_LEITURA!$P$2:$P$21,9),DECKS!$B$2:$B$1201,$A752))</f>
        <v/>
      </c>
      <c r="T752" s="19" t="str">
        <f aca="false">IF(OR($A752="",INDEX(_LEITURA!$Q$2:$Q$21,10)=0),"",SUMIFS(DECKS!$D$2:$D$1201,DECKS!$A$2:$A$1201,INDEX(_LEITURA!$P$2:$P$21,10),DECKS!$B$2:$B$1201,$A752))</f>
        <v/>
      </c>
      <c r="U752" s="19" t="str">
        <f aca="false">IF(OR($A752="",INDEX(_LEITURA!$Q$2:$Q$21,11)=0),"",SUMIFS(DECKS!$D$2:$D$1201,DECKS!$A$2:$A$1201,INDEX(_LEITURA!$P$2:$P$21,11),DECKS!$B$2:$B$1201,$A752))</f>
        <v/>
      </c>
      <c r="V752" s="19" t="str">
        <f aca="false">IF(OR($A752="",INDEX(_LEITURA!$Q$2:$Q$21,12)=0),"",SUMIFS(DECKS!$D$2:$D$1201,DECKS!$A$2:$A$1201,INDEX(_LEITURA!$P$2:$P$21,12),DECKS!$B$2:$B$1201,$A752))</f>
        <v/>
      </c>
      <c r="W752" s="19" t="str">
        <f aca="false">IF(OR($A752="",INDEX(_LEITURA!$Q$2:$Q$21,13)=0),"",SUMIFS(DECKS!$D$2:$D$1201,DECKS!$A$2:$A$1201,INDEX(_LEITURA!$P$2:$P$21,13),DECKS!$B$2:$B$1201,$A752))</f>
        <v/>
      </c>
      <c r="X752" s="19" t="str">
        <f aca="false">IF(OR($A752="",INDEX(_LEITURA!$Q$2:$Q$21,14)=0),"",SUMIFS(DECKS!$D$2:$D$1201,DECKS!$A$2:$A$1201,INDEX(_LEITURA!$P$2:$P$21,14),DECKS!$B$2:$B$1201,$A752))</f>
        <v/>
      </c>
      <c r="Y752" s="19" t="str">
        <f aca="false">IF(OR($A752="",INDEX(_LEITURA!$Q$2:$Q$21,15)=0),"",SUMIFS(DECKS!$D$2:$D$1201,DECKS!$A$2:$A$1201,INDEX(_LEITURA!$P$2:$P$21,15),DECKS!$B$2:$B$1201,$A752))</f>
        <v/>
      </c>
      <c r="Z752" s="19" t="str">
        <f aca="false">IF(OR($A752="",INDEX(_LEITURA!$Q$2:$Q$21,16)=0),"",SUMIFS(DECKS!$D$2:$D$1201,DECKS!$A$2:$A$1201,INDEX(_LEITURA!$P$2:$P$21,16),DECKS!$B$2:$B$1201,$A752))</f>
        <v/>
      </c>
      <c r="AA752" s="19" t="str">
        <f aca="false">IF(OR($A752="",INDEX(_LEITURA!$Q$2:$Q$21,17)=0),"",SUMIFS(DECKS!$D$2:$D$1201,DECKS!$A$2:$A$1201,INDEX(_LEITURA!$P$2:$P$21,17),DECKS!$B$2:$B$1201,$A752))</f>
        <v/>
      </c>
      <c r="AB752" s="19" t="str">
        <f aca="false">IF(OR($A752="",INDEX(_LEITURA!$Q$2:$Q$21,18)=0),"",SUMIFS(DECKS!$D$2:$D$1201,DECKS!$A$2:$A$1201,INDEX(_LEITURA!$P$2:$P$21,18),DECKS!$B$2:$B$1201,$A752))</f>
        <v/>
      </c>
      <c r="AC752" s="19" t="str">
        <f aca="false">IF(OR($A752="",INDEX(_LEITURA!$Q$2:$Q$21,19)=0),"",SUMIFS(DECKS!$D$2:$D$1201,DECKS!$A$2:$A$1201,INDEX(_LEITURA!$P$2:$P$21,19),DECKS!$B$2:$B$1201,$A752))</f>
        <v/>
      </c>
      <c r="AD752" s="19" t="str">
        <f aca="false">IF(OR($A752="",INDEX(_LEITURA!$Q$2:$Q$21,20)=0),"",SUMIFS(DECKS!$D$2:$D$1201,DECKS!$A$2:$A$1201,INDEX(_LEITURA!$P$2:$P$21,20),DECKS!$B$2:$B$1201,$A752))</f>
        <v/>
      </c>
      <c r="AE752" s="16" t="str">
        <f aca="false">IF(N(E752)&gt;0,MAX(AE$1:AE751)+1,"")</f>
        <v/>
      </c>
      <c r="AF752" s="11" t="str">
        <f aca="false">IF(A752="","",IFERROR(LEFT(A752,FIND("-",A752)-1),A752))</f>
        <v/>
      </c>
      <c r="AG752" s="11" t="str">
        <f aca="false">IF(AF752="","",IF(ISNUMBER(--MID(AF752,1,1)),0,IF(ISNUMBER(--MID(AF752,2,1)),1,IF(ISNUMBER(--MID(AF752,3,1)),2,IF(ISNUMBER(--MID(AF752,4,1)),3,MIN(LEN(AF752),4))))))</f>
        <v/>
      </c>
      <c r="AH752" s="11" t="str">
        <f aca="false">IF(A752="","",LEFT(AF752,AG752)&amp;REPT("0",4-AG752)&amp;RIGHT("000"&amp;IFERROR(VALUE(MID(AF752,AG752+1,9)),0),3)&amp;RIGHT("0000"&amp;IFERROR(VALUE(MID(A752,FIND("-",A752)+1,9)),0),4))</f>
        <v/>
      </c>
      <c r="AI752" s="11" t="str">
        <f aca="false">IF(OR(A752="",N(E752)&lt;=0),"",IF('FALTAS GERAL'!$M$1="Código","K"&amp;AH752&amp;RIGHT("00000"&amp;ROW(),5),IF('FALTAS GERAL'!$M$1="Nome","K"&amp;UPPER(SUBSTITUTE(SUBSTITUTE(SUBSTITUTE(B752,"*",""),"?",""),"~",""))&amp;"0"&amp;AH752&amp;RIGHT("00000"&amp;ROW(),5),IF('FALTAS GERAL'!$M$1="Falta (maior primeiro)","K"&amp;RIGHT("0000"&amp;(9999-E752),4)&amp;AH752&amp;RIGHT("00000"&amp;ROW(),5),IF('FALTAS GERAL'!$M$1="Nº de decks (maior primeiro)","K"&amp;RIGHT("00"&amp;(99-N(G752)),2)&amp;AH752&amp;RIGHT("00000"&amp;ROW(),5),"K"&amp;RIGHT("00000"&amp;ROW(),5))))))</f>
        <v/>
      </c>
      <c r="AJ752" s="11" t="str">
        <f aca="false">IF(AI752="","",COUNTIFS($AI$2:$AI$801,"&lt;"&amp;AI752,$E$2:$E$801,"&gt;0")+1)</f>
        <v/>
      </c>
      <c r="AK752" s="11" t="str">
        <f aca="false">IF(OR(A752="",N(E752)&lt;=0),"",COUNTIFS($AH$2:$AH$801,"&lt;"&amp;AH752,$E$2:$E$801,"&gt;0")+COUNTIFS($AH$2:AH752,AH752,$E$2:E752,"&gt;0"))</f>
        <v/>
      </c>
    </row>
    <row r="753" customFormat="false" ht="15" hidden="false" customHeight="false" outlineLevel="0" collapsed="false">
      <c r="A753" s="11" t="str">
        <f aca="false">IF(INVENTÁRIO!A753="","",INVENTÁRIO!A753)</f>
        <v/>
      </c>
      <c r="B753" s="11" t="str">
        <f aca="false">IF(A753="","",INVENTÁRIO!B753)</f>
        <v/>
      </c>
      <c r="C753" s="16" t="str">
        <f aca="false">IF(A753="","",INVENTÁRIO!C753)</f>
        <v/>
      </c>
      <c r="D753" s="14" t="str">
        <f aca="false">IF(A753="","",MAX(K753:AD753))</f>
        <v/>
      </c>
      <c r="E753" s="14" t="str">
        <f aca="false">IF(A753="","",MAX(0,D753-C753))</f>
        <v/>
      </c>
      <c r="F753" s="16" t="str">
        <f aca="false">IF(A753="","",IF(D753=0,"Fora dos decks",IF(E753=0,"Completo","Falta")))</f>
        <v/>
      </c>
      <c r="G753" s="16" t="str">
        <f aca="false">IF(A753="","",COUNTIF(K753:AD753,"&gt;0"))</f>
        <v/>
      </c>
      <c r="H753" s="16" t="str">
        <f aca="false">IF(A753="","",IF(G753&gt;1,"Sim",""))</f>
        <v/>
      </c>
      <c r="I753" s="18" t="str">
        <f aca="false">IF(A753="","",SUMIFS(DECKS!$D$2:$D$1201,DECKS!$B$2:$B$1201,A753))</f>
        <v/>
      </c>
      <c r="J753" s="18" t="str">
        <f aca="false">IF(A753="","",MAX(0,I753-C753))</f>
        <v/>
      </c>
      <c r="K753" s="19" t="str">
        <f aca="false">IF(OR($A753="",INDEX(_LEITURA!$Q$2:$Q$21,1)=0),"",SUMIFS(DECKS!$D$2:$D$1201,DECKS!$A$2:$A$1201,INDEX(_LEITURA!$P$2:$P$21,1),DECKS!$B$2:$B$1201,$A753))</f>
        <v/>
      </c>
      <c r="L753" s="19" t="str">
        <f aca="false">IF(OR($A753="",INDEX(_LEITURA!$Q$2:$Q$21,2)=0),"",SUMIFS(DECKS!$D$2:$D$1201,DECKS!$A$2:$A$1201,INDEX(_LEITURA!$P$2:$P$21,2),DECKS!$B$2:$B$1201,$A753))</f>
        <v/>
      </c>
      <c r="M753" s="19" t="str">
        <f aca="false">IF(OR($A753="",INDEX(_LEITURA!$Q$2:$Q$21,3)=0),"",SUMIFS(DECKS!$D$2:$D$1201,DECKS!$A$2:$A$1201,INDEX(_LEITURA!$P$2:$P$21,3),DECKS!$B$2:$B$1201,$A753))</f>
        <v/>
      </c>
      <c r="N753" s="19" t="str">
        <f aca="false">IF(OR($A753="",INDEX(_LEITURA!$Q$2:$Q$21,4)=0),"",SUMIFS(DECKS!$D$2:$D$1201,DECKS!$A$2:$A$1201,INDEX(_LEITURA!$P$2:$P$21,4),DECKS!$B$2:$B$1201,$A753))</f>
        <v/>
      </c>
      <c r="O753" s="19" t="str">
        <f aca="false">IF(OR($A753="",INDEX(_LEITURA!$Q$2:$Q$21,5)=0),"",SUMIFS(DECKS!$D$2:$D$1201,DECKS!$A$2:$A$1201,INDEX(_LEITURA!$P$2:$P$21,5),DECKS!$B$2:$B$1201,$A753))</f>
        <v/>
      </c>
      <c r="P753" s="19" t="str">
        <f aca="false">IF(OR($A753="",INDEX(_LEITURA!$Q$2:$Q$21,6)=0),"",SUMIFS(DECKS!$D$2:$D$1201,DECKS!$A$2:$A$1201,INDEX(_LEITURA!$P$2:$P$21,6),DECKS!$B$2:$B$1201,$A753))</f>
        <v/>
      </c>
      <c r="Q753" s="19" t="str">
        <f aca="false">IF(OR($A753="",INDEX(_LEITURA!$Q$2:$Q$21,7)=0),"",SUMIFS(DECKS!$D$2:$D$1201,DECKS!$A$2:$A$1201,INDEX(_LEITURA!$P$2:$P$21,7),DECKS!$B$2:$B$1201,$A753))</f>
        <v/>
      </c>
      <c r="R753" s="19" t="str">
        <f aca="false">IF(OR($A753="",INDEX(_LEITURA!$Q$2:$Q$21,8)=0),"",SUMIFS(DECKS!$D$2:$D$1201,DECKS!$A$2:$A$1201,INDEX(_LEITURA!$P$2:$P$21,8),DECKS!$B$2:$B$1201,$A753))</f>
        <v/>
      </c>
      <c r="S753" s="19" t="str">
        <f aca="false">IF(OR($A753="",INDEX(_LEITURA!$Q$2:$Q$21,9)=0),"",SUMIFS(DECKS!$D$2:$D$1201,DECKS!$A$2:$A$1201,INDEX(_LEITURA!$P$2:$P$21,9),DECKS!$B$2:$B$1201,$A753))</f>
        <v/>
      </c>
      <c r="T753" s="19" t="str">
        <f aca="false">IF(OR($A753="",INDEX(_LEITURA!$Q$2:$Q$21,10)=0),"",SUMIFS(DECKS!$D$2:$D$1201,DECKS!$A$2:$A$1201,INDEX(_LEITURA!$P$2:$P$21,10),DECKS!$B$2:$B$1201,$A753))</f>
        <v/>
      </c>
      <c r="U753" s="19" t="str">
        <f aca="false">IF(OR($A753="",INDEX(_LEITURA!$Q$2:$Q$21,11)=0),"",SUMIFS(DECKS!$D$2:$D$1201,DECKS!$A$2:$A$1201,INDEX(_LEITURA!$P$2:$P$21,11),DECKS!$B$2:$B$1201,$A753))</f>
        <v/>
      </c>
      <c r="V753" s="19" t="str">
        <f aca="false">IF(OR($A753="",INDEX(_LEITURA!$Q$2:$Q$21,12)=0),"",SUMIFS(DECKS!$D$2:$D$1201,DECKS!$A$2:$A$1201,INDEX(_LEITURA!$P$2:$P$21,12),DECKS!$B$2:$B$1201,$A753))</f>
        <v/>
      </c>
      <c r="W753" s="19" t="str">
        <f aca="false">IF(OR($A753="",INDEX(_LEITURA!$Q$2:$Q$21,13)=0),"",SUMIFS(DECKS!$D$2:$D$1201,DECKS!$A$2:$A$1201,INDEX(_LEITURA!$P$2:$P$21,13),DECKS!$B$2:$B$1201,$A753))</f>
        <v/>
      </c>
      <c r="X753" s="19" t="str">
        <f aca="false">IF(OR($A753="",INDEX(_LEITURA!$Q$2:$Q$21,14)=0),"",SUMIFS(DECKS!$D$2:$D$1201,DECKS!$A$2:$A$1201,INDEX(_LEITURA!$P$2:$P$21,14),DECKS!$B$2:$B$1201,$A753))</f>
        <v/>
      </c>
      <c r="Y753" s="19" t="str">
        <f aca="false">IF(OR($A753="",INDEX(_LEITURA!$Q$2:$Q$21,15)=0),"",SUMIFS(DECKS!$D$2:$D$1201,DECKS!$A$2:$A$1201,INDEX(_LEITURA!$P$2:$P$21,15),DECKS!$B$2:$B$1201,$A753))</f>
        <v/>
      </c>
      <c r="Z753" s="19" t="str">
        <f aca="false">IF(OR($A753="",INDEX(_LEITURA!$Q$2:$Q$21,16)=0),"",SUMIFS(DECKS!$D$2:$D$1201,DECKS!$A$2:$A$1201,INDEX(_LEITURA!$P$2:$P$21,16),DECKS!$B$2:$B$1201,$A753))</f>
        <v/>
      </c>
      <c r="AA753" s="19" t="str">
        <f aca="false">IF(OR($A753="",INDEX(_LEITURA!$Q$2:$Q$21,17)=0),"",SUMIFS(DECKS!$D$2:$D$1201,DECKS!$A$2:$A$1201,INDEX(_LEITURA!$P$2:$P$21,17),DECKS!$B$2:$B$1201,$A753))</f>
        <v/>
      </c>
      <c r="AB753" s="19" t="str">
        <f aca="false">IF(OR($A753="",INDEX(_LEITURA!$Q$2:$Q$21,18)=0),"",SUMIFS(DECKS!$D$2:$D$1201,DECKS!$A$2:$A$1201,INDEX(_LEITURA!$P$2:$P$21,18),DECKS!$B$2:$B$1201,$A753))</f>
        <v/>
      </c>
      <c r="AC753" s="19" t="str">
        <f aca="false">IF(OR($A753="",INDEX(_LEITURA!$Q$2:$Q$21,19)=0),"",SUMIFS(DECKS!$D$2:$D$1201,DECKS!$A$2:$A$1201,INDEX(_LEITURA!$P$2:$P$21,19),DECKS!$B$2:$B$1201,$A753))</f>
        <v/>
      </c>
      <c r="AD753" s="19" t="str">
        <f aca="false">IF(OR($A753="",INDEX(_LEITURA!$Q$2:$Q$21,20)=0),"",SUMIFS(DECKS!$D$2:$D$1201,DECKS!$A$2:$A$1201,INDEX(_LEITURA!$P$2:$P$21,20),DECKS!$B$2:$B$1201,$A753))</f>
        <v/>
      </c>
      <c r="AE753" s="16" t="str">
        <f aca="false">IF(N(E753)&gt;0,MAX(AE$1:AE752)+1,"")</f>
        <v/>
      </c>
      <c r="AF753" s="11" t="str">
        <f aca="false">IF(A753="","",IFERROR(LEFT(A753,FIND("-",A753)-1),A753))</f>
        <v/>
      </c>
      <c r="AG753" s="11" t="str">
        <f aca="false">IF(AF753="","",IF(ISNUMBER(--MID(AF753,1,1)),0,IF(ISNUMBER(--MID(AF753,2,1)),1,IF(ISNUMBER(--MID(AF753,3,1)),2,IF(ISNUMBER(--MID(AF753,4,1)),3,MIN(LEN(AF753),4))))))</f>
        <v/>
      </c>
      <c r="AH753" s="11" t="str">
        <f aca="false">IF(A753="","",LEFT(AF753,AG753)&amp;REPT("0",4-AG753)&amp;RIGHT("000"&amp;IFERROR(VALUE(MID(AF753,AG753+1,9)),0),3)&amp;RIGHT("0000"&amp;IFERROR(VALUE(MID(A753,FIND("-",A753)+1,9)),0),4))</f>
        <v/>
      </c>
      <c r="AI753" s="11" t="str">
        <f aca="false">IF(OR(A753="",N(E753)&lt;=0),"",IF('FALTAS GERAL'!$M$1="Código","K"&amp;AH753&amp;RIGHT("00000"&amp;ROW(),5),IF('FALTAS GERAL'!$M$1="Nome","K"&amp;UPPER(SUBSTITUTE(SUBSTITUTE(SUBSTITUTE(B753,"*",""),"?",""),"~",""))&amp;"0"&amp;AH753&amp;RIGHT("00000"&amp;ROW(),5),IF('FALTAS GERAL'!$M$1="Falta (maior primeiro)","K"&amp;RIGHT("0000"&amp;(9999-E753),4)&amp;AH753&amp;RIGHT("00000"&amp;ROW(),5),IF('FALTAS GERAL'!$M$1="Nº de decks (maior primeiro)","K"&amp;RIGHT("00"&amp;(99-N(G753)),2)&amp;AH753&amp;RIGHT("00000"&amp;ROW(),5),"K"&amp;RIGHT("00000"&amp;ROW(),5))))))</f>
        <v/>
      </c>
      <c r="AJ753" s="11" t="str">
        <f aca="false">IF(AI753="","",COUNTIFS($AI$2:$AI$801,"&lt;"&amp;AI753,$E$2:$E$801,"&gt;0")+1)</f>
        <v/>
      </c>
      <c r="AK753" s="11" t="str">
        <f aca="false">IF(OR(A753="",N(E753)&lt;=0),"",COUNTIFS($AH$2:$AH$801,"&lt;"&amp;AH753,$E$2:$E$801,"&gt;0")+COUNTIFS($AH$2:AH753,AH753,$E$2:E753,"&gt;0"))</f>
        <v/>
      </c>
    </row>
    <row r="754" customFormat="false" ht="15" hidden="false" customHeight="false" outlineLevel="0" collapsed="false">
      <c r="A754" s="11" t="str">
        <f aca="false">IF(INVENTÁRIO!A754="","",INVENTÁRIO!A754)</f>
        <v/>
      </c>
      <c r="B754" s="11" t="str">
        <f aca="false">IF(A754="","",INVENTÁRIO!B754)</f>
        <v/>
      </c>
      <c r="C754" s="16" t="str">
        <f aca="false">IF(A754="","",INVENTÁRIO!C754)</f>
        <v/>
      </c>
      <c r="D754" s="14" t="str">
        <f aca="false">IF(A754="","",MAX(K754:AD754))</f>
        <v/>
      </c>
      <c r="E754" s="14" t="str">
        <f aca="false">IF(A754="","",MAX(0,D754-C754))</f>
        <v/>
      </c>
      <c r="F754" s="16" t="str">
        <f aca="false">IF(A754="","",IF(D754=0,"Fora dos decks",IF(E754=0,"Completo","Falta")))</f>
        <v/>
      </c>
      <c r="G754" s="16" t="str">
        <f aca="false">IF(A754="","",COUNTIF(K754:AD754,"&gt;0"))</f>
        <v/>
      </c>
      <c r="H754" s="16" t="str">
        <f aca="false">IF(A754="","",IF(G754&gt;1,"Sim",""))</f>
        <v/>
      </c>
      <c r="I754" s="18" t="str">
        <f aca="false">IF(A754="","",SUMIFS(DECKS!$D$2:$D$1201,DECKS!$B$2:$B$1201,A754))</f>
        <v/>
      </c>
      <c r="J754" s="18" t="str">
        <f aca="false">IF(A754="","",MAX(0,I754-C754))</f>
        <v/>
      </c>
      <c r="K754" s="19" t="str">
        <f aca="false">IF(OR($A754="",INDEX(_LEITURA!$Q$2:$Q$21,1)=0),"",SUMIFS(DECKS!$D$2:$D$1201,DECKS!$A$2:$A$1201,INDEX(_LEITURA!$P$2:$P$21,1),DECKS!$B$2:$B$1201,$A754))</f>
        <v/>
      </c>
      <c r="L754" s="19" t="str">
        <f aca="false">IF(OR($A754="",INDEX(_LEITURA!$Q$2:$Q$21,2)=0),"",SUMIFS(DECKS!$D$2:$D$1201,DECKS!$A$2:$A$1201,INDEX(_LEITURA!$P$2:$P$21,2),DECKS!$B$2:$B$1201,$A754))</f>
        <v/>
      </c>
      <c r="M754" s="19" t="str">
        <f aca="false">IF(OR($A754="",INDEX(_LEITURA!$Q$2:$Q$21,3)=0),"",SUMIFS(DECKS!$D$2:$D$1201,DECKS!$A$2:$A$1201,INDEX(_LEITURA!$P$2:$P$21,3),DECKS!$B$2:$B$1201,$A754))</f>
        <v/>
      </c>
      <c r="N754" s="19" t="str">
        <f aca="false">IF(OR($A754="",INDEX(_LEITURA!$Q$2:$Q$21,4)=0),"",SUMIFS(DECKS!$D$2:$D$1201,DECKS!$A$2:$A$1201,INDEX(_LEITURA!$P$2:$P$21,4),DECKS!$B$2:$B$1201,$A754))</f>
        <v/>
      </c>
      <c r="O754" s="19" t="str">
        <f aca="false">IF(OR($A754="",INDEX(_LEITURA!$Q$2:$Q$21,5)=0),"",SUMIFS(DECKS!$D$2:$D$1201,DECKS!$A$2:$A$1201,INDEX(_LEITURA!$P$2:$P$21,5),DECKS!$B$2:$B$1201,$A754))</f>
        <v/>
      </c>
      <c r="P754" s="19" t="str">
        <f aca="false">IF(OR($A754="",INDEX(_LEITURA!$Q$2:$Q$21,6)=0),"",SUMIFS(DECKS!$D$2:$D$1201,DECKS!$A$2:$A$1201,INDEX(_LEITURA!$P$2:$P$21,6),DECKS!$B$2:$B$1201,$A754))</f>
        <v/>
      </c>
      <c r="Q754" s="19" t="str">
        <f aca="false">IF(OR($A754="",INDEX(_LEITURA!$Q$2:$Q$21,7)=0),"",SUMIFS(DECKS!$D$2:$D$1201,DECKS!$A$2:$A$1201,INDEX(_LEITURA!$P$2:$P$21,7),DECKS!$B$2:$B$1201,$A754))</f>
        <v/>
      </c>
      <c r="R754" s="19" t="str">
        <f aca="false">IF(OR($A754="",INDEX(_LEITURA!$Q$2:$Q$21,8)=0),"",SUMIFS(DECKS!$D$2:$D$1201,DECKS!$A$2:$A$1201,INDEX(_LEITURA!$P$2:$P$21,8),DECKS!$B$2:$B$1201,$A754))</f>
        <v/>
      </c>
      <c r="S754" s="19" t="str">
        <f aca="false">IF(OR($A754="",INDEX(_LEITURA!$Q$2:$Q$21,9)=0),"",SUMIFS(DECKS!$D$2:$D$1201,DECKS!$A$2:$A$1201,INDEX(_LEITURA!$P$2:$P$21,9),DECKS!$B$2:$B$1201,$A754))</f>
        <v/>
      </c>
      <c r="T754" s="19" t="str">
        <f aca="false">IF(OR($A754="",INDEX(_LEITURA!$Q$2:$Q$21,10)=0),"",SUMIFS(DECKS!$D$2:$D$1201,DECKS!$A$2:$A$1201,INDEX(_LEITURA!$P$2:$P$21,10),DECKS!$B$2:$B$1201,$A754))</f>
        <v/>
      </c>
      <c r="U754" s="19" t="str">
        <f aca="false">IF(OR($A754="",INDEX(_LEITURA!$Q$2:$Q$21,11)=0),"",SUMIFS(DECKS!$D$2:$D$1201,DECKS!$A$2:$A$1201,INDEX(_LEITURA!$P$2:$P$21,11),DECKS!$B$2:$B$1201,$A754))</f>
        <v/>
      </c>
      <c r="V754" s="19" t="str">
        <f aca="false">IF(OR($A754="",INDEX(_LEITURA!$Q$2:$Q$21,12)=0),"",SUMIFS(DECKS!$D$2:$D$1201,DECKS!$A$2:$A$1201,INDEX(_LEITURA!$P$2:$P$21,12),DECKS!$B$2:$B$1201,$A754))</f>
        <v/>
      </c>
      <c r="W754" s="19" t="str">
        <f aca="false">IF(OR($A754="",INDEX(_LEITURA!$Q$2:$Q$21,13)=0),"",SUMIFS(DECKS!$D$2:$D$1201,DECKS!$A$2:$A$1201,INDEX(_LEITURA!$P$2:$P$21,13),DECKS!$B$2:$B$1201,$A754))</f>
        <v/>
      </c>
      <c r="X754" s="19" t="str">
        <f aca="false">IF(OR($A754="",INDEX(_LEITURA!$Q$2:$Q$21,14)=0),"",SUMIFS(DECKS!$D$2:$D$1201,DECKS!$A$2:$A$1201,INDEX(_LEITURA!$P$2:$P$21,14),DECKS!$B$2:$B$1201,$A754))</f>
        <v/>
      </c>
      <c r="Y754" s="19" t="str">
        <f aca="false">IF(OR($A754="",INDEX(_LEITURA!$Q$2:$Q$21,15)=0),"",SUMIFS(DECKS!$D$2:$D$1201,DECKS!$A$2:$A$1201,INDEX(_LEITURA!$P$2:$P$21,15),DECKS!$B$2:$B$1201,$A754))</f>
        <v/>
      </c>
      <c r="Z754" s="19" t="str">
        <f aca="false">IF(OR($A754="",INDEX(_LEITURA!$Q$2:$Q$21,16)=0),"",SUMIFS(DECKS!$D$2:$D$1201,DECKS!$A$2:$A$1201,INDEX(_LEITURA!$P$2:$P$21,16),DECKS!$B$2:$B$1201,$A754))</f>
        <v/>
      </c>
      <c r="AA754" s="19" t="str">
        <f aca="false">IF(OR($A754="",INDEX(_LEITURA!$Q$2:$Q$21,17)=0),"",SUMIFS(DECKS!$D$2:$D$1201,DECKS!$A$2:$A$1201,INDEX(_LEITURA!$P$2:$P$21,17),DECKS!$B$2:$B$1201,$A754))</f>
        <v/>
      </c>
      <c r="AB754" s="19" t="str">
        <f aca="false">IF(OR($A754="",INDEX(_LEITURA!$Q$2:$Q$21,18)=0),"",SUMIFS(DECKS!$D$2:$D$1201,DECKS!$A$2:$A$1201,INDEX(_LEITURA!$P$2:$P$21,18),DECKS!$B$2:$B$1201,$A754))</f>
        <v/>
      </c>
      <c r="AC754" s="19" t="str">
        <f aca="false">IF(OR($A754="",INDEX(_LEITURA!$Q$2:$Q$21,19)=0),"",SUMIFS(DECKS!$D$2:$D$1201,DECKS!$A$2:$A$1201,INDEX(_LEITURA!$P$2:$P$21,19),DECKS!$B$2:$B$1201,$A754))</f>
        <v/>
      </c>
      <c r="AD754" s="19" t="str">
        <f aca="false">IF(OR($A754="",INDEX(_LEITURA!$Q$2:$Q$21,20)=0),"",SUMIFS(DECKS!$D$2:$D$1201,DECKS!$A$2:$A$1201,INDEX(_LEITURA!$P$2:$P$21,20),DECKS!$B$2:$B$1201,$A754))</f>
        <v/>
      </c>
      <c r="AE754" s="16" t="str">
        <f aca="false">IF(N(E754)&gt;0,MAX(AE$1:AE753)+1,"")</f>
        <v/>
      </c>
      <c r="AF754" s="11" t="str">
        <f aca="false">IF(A754="","",IFERROR(LEFT(A754,FIND("-",A754)-1),A754))</f>
        <v/>
      </c>
      <c r="AG754" s="11" t="str">
        <f aca="false">IF(AF754="","",IF(ISNUMBER(--MID(AF754,1,1)),0,IF(ISNUMBER(--MID(AF754,2,1)),1,IF(ISNUMBER(--MID(AF754,3,1)),2,IF(ISNUMBER(--MID(AF754,4,1)),3,MIN(LEN(AF754),4))))))</f>
        <v/>
      </c>
      <c r="AH754" s="11" t="str">
        <f aca="false">IF(A754="","",LEFT(AF754,AG754)&amp;REPT("0",4-AG754)&amp;RIGHT("000"&amp;IFERROR(VALUE(MID(AF754,AG754+1,9)),0),3)&amp;RIGHT("0000"&amp;IFERROR(VALUE(MID(A754,FIND("-",A754)+1,9)),0),4))</f>
        <v/>
      </c>
      <c r="AI754" s="11" t="str">
        <f aca="false">IF(OR(A754="",N(E754)&lt;=0),"",IF('FALTAS GERAL'!$M$1="Código","K"&amp;AH754&amp;RIGHT("00000"&amp;ROW(),5),IF('FALTAS GERAL'!$M$1="Nome","K"&amp;UPPER(SUBSTITUTE(SUBSTITUTE(SUBSTITUTE(B754,"*",""),"?",""),"~",""))&amp;"0"&amp;AH754&amp;RIGHT("00000"&amp;ROW(),5),IF('FALTAS GERAL'!$M$1="Falta (maior primeiro)","K"&amp;RIGHT("0000"&amp;(9999-E754),4)&amp;AH754&amp;RIGHT("00000"&amp;ROW(),5),IF('FALTAS GERAL'!$M$1="Nº de decks (maior primeiro)","K"&amp;RIGHT("00"&amp;(99-N(G754)),2)&amp;AH754&amp;RIGHT("00000"&amp;ROW(),5),"K"&amp;RIGHT("00000"&amp;ROW(),5))))))</f>
        <v/>
      </c>
      <c r="AJ754" s="11" t="str">
        <f aca="false">IF(AI754="","",COUNTIFS($AI$2:$AI$801,"&lt;"&amp;AI754,$E$2:$E$801,"&gt;0")+1)</f>
        <v/>
      </c>
      <c r="AK754" s="11" t="str">
        <f aca="false">IF(OR(A754="",N(E754)&lt;=0),"",COUNTIFS($AH$2:$AH$801,"&lt;"&amp;AH754,$E$2:$E$801,"&gt;0")+COUNTIFS($AH$2:AH754,AH754,$E$2:E754,"&gt;0"))</f>
        <v/>
      </c>
    </row>
    <row r="755" customFormat="false" ht="15" hidden="false" customHeight="false" outlineLevel="0" collapsed="false">
      <c r="A755" s="11" t="str">
        <f aca="false">IF(INVENTÁRIO!A755="","",INVENTÁRIO!A755)</f>
        <v/>
      </c>
      <c r="B755" s="11" t="str">
        <f aca="false">IF(A755="","",INVENTÁRIO!B755)</f>
        <v/>
      </c>
      <c r="C755" s="16" t="str">
        <f aca="false">IF(A755="","",INVENTÁRIO!C755)</f>
        <v/>
      </c>
      <c r="D755" s="14" t="str">
        <f aca="false">IF(A755="","",MAX(K755:AD755))</f>
        <v/>
      </c>
      <c r="E755" s="14" t="str">
        <f aca="false">IF(A755="","",MAX(0,D755-C755))</f>
        <v/>
      </c>
      <c r="F755" s="16" t="str">
        <f aca="false">IF(A755="","",IF(D755=0,"Fora dos decks",IF(E755=0,"Completo","Falta")))</f>
        <v/>
      </c>
      <c r="G755" s="16" t="str">
        <f aca="false">IF(A755="","",COUNTIF(K755:AD755,"&gt;0"))</f>
        <v/>
      </c>
      <c r="H755" s="16" t="str">
        <f aca="false">IF(A755="","",IF(G755&gt;1,"Sim",""))</f>
        <v/>
      </c>
      <c r="I755" s="18" t="str">
        <f aca="false">IF(A755="","",SUMIFS(DECKS!$D$2:$D$1201,DECKS!$B$2:$B$1201,A755))</f>
        <v/>
      </c>
      <c r="J755" s="18" t="str">
        <f aca="false">IF(A755="","",MAX(0,I755-C755))</f>
        <v/>
      </c>
      <c r="K755" s="19" t="str">
        <f aca="false">IF(OR($A755="",INDEX(_LEITURA!$Q$2:$Q$21,1)=0),"",SUMIFS(DECKS!$D$2:$D$1201,DECKS!$A$2:$A$1201,INDEX(_LEITURA!$P$2:$P$21,1),DECKS!$B$2:$B$1201,$A755))</f>
        <v/>
      </c>
      <c r="L755" s="19" t="str">
        <f aca="false">IF(OR($A755="",INDEX(_LEITURA!$Q$2:$Q$21,2)=0),"",SUMIFS(DECKS!$D$2:$D$1201,DECKS!$A$2:$A$1201,INDEX(_LEITURA!$P$2:$P$21,2),DECKS!$B$2:$B$1201,$A755))</f>
        <v/>
      </c>
      <c r="M755" s="19" t="str">
        <f aca="false">IF(OR($A755="",INDEX(_LEITURA!$Q$2:$Q$21,3)=0),"",SUMIFS(DECKS!$D$2:$D$1201,DECKS!$A$2:$A$1201,INDEX(_LEITURA!$P$2:$P$21,3),DECKS!$B$2:$B$1201,$A755))</f>
        <v/>
      </c>
      <c r="N755" s="19" t="str">
        <f aca="false">IF(OR($A755="",INDEX(_LEITURA!$Q$2:$Q$21,4)=0),"",SUMIFS(DECKS!$D$2:$D$1201,DECKS!$A$2:$A$1201,INDEX(_LEITURA!$P$2:$P$21,4),DECKS!$B$2:$B$1201,$A755))</f>
        <v/>
      </c>
      <c r="O755" s="19" t="str">
        <f aca="false">IF(OR($A755="",INDEX(_LEITURA!$Q$2:$Q$21,5)=0),"",SUMIFS(DECKS!$D$2:$D$1201,DECKS!$A$2:$A$1201,INDEX(_LEITURA!$P$2:$P$21,5),DECKS!$B$2:$B$1201,$A755))</f>
        <v/>
      </c>
      <c r="P755" s="19" t="str">
        <f aca="false">IF(OR($A755="",INDEX(_LEITURA!$Q$2:$Q$21,6)=0),"",SUMIFS(DECKS!$D$2:$D$1201,DECKS!$A$2:$A$1201,INDEX(_LEITURA!$P$2:$P$21,6),DECKS!$B$2:$B$1201,$A755))</f>
        <v/>
      </c>
      <c r="Q755" s="19" t="str">
        <f aca="false">IF(OR($A755="",INDEX(_LEITURA!$Q$2:$Q$21,7)=0),"",SUMIFS(DECKS!$D$2:$D$1201,DECKS!$A$2:$A$1201,INDEX(_LEITURA!$P$2:$P$21,7),DECKS!$B$2:$B$1201,$A755))</f>
        <v/>
      </c>
      <c r="R755" s="19" t="str">
        <f aca="false">IF(OR($A755="",INDEX(_LEITURA!$Q$2:$Q$21,8)=0),"",SUMIFS(DECKS!$D$2:$D$1201,DECKS!$A$2:$A$1201,INDEX(_LEITURA!$P$2:$P$21,8),DECKS!$B$2:$B$1201,$A755))</f>
        <v/>
      </c>
      <c r="S755" s="19" t="str">
        <f aca="false">IF(OR($A755="",INDEX(_LEITURA!$Q$2:$Q$21,9)=0),"",SUMIFS(DECKS!$D$2:$D$1201,DECKS!$A$2:$A$1201,INDEX(_LEITURA!$P$2:$P$21,9),DECKS!$B$2:$B$1201,$A755))</f>
        <v/>
      </c>
      <c r="T755" s="19" t="str">
        <f aca="false">IF(OR($A755="",INDEX(_LEITURA!$Q$2:$Q$21,10)=0),"",SUMIFS(DECKS!$D$2:$D$1201,DECKS!$A$2:$A$1201,INDEX(_LEITURA!$P$2:$P$21,10),DECKS!$B$2:$B$1201,$A755))</f>
        <v/>
      </c>
      <c r="U755" s="19" t="str">
        <f aca="false">IF(OR($A755="",INDEX(_LEITURA!$Q$2:$Q$21,11)=0),"",SUMIFS(DECKS!$D$2:$D$1201,DECKS!$A$2:$A$1201,INDEX(_LEITURA!$P$2:$P$21,11),DECKS!$B$2:$B$1201,$A755))</f>
        <v/>
      </c>
      <c r="V755" s="19" t="str">
        <f aca="false">IF(OR($A755="",INDEX(_LEITURA!$Q$2:$Q$21,12)=0),"",SUMIFS(DECKS!$D$2:$D$1201,DECKS!$A$2:$A$1201,INDEX(_LEITURA!$P$2:$P$21,12),DECKS!$B$2:$B$1201,$A755))</f>
        <v/>
      </c>
      <c r="W755" s="19" t="str">
        <f aca="false">IF(OR($A755="",INDEX(_LEITURA!$Q$2:$Q$21,13)=0),"",SUMIFS(DECKS!$D$2:$D$1201,DECKS!$A$2:$A$1201,INDEX(_LEITURA!$P$2:$P$21,13),DECKS!$B$2:$B$1201,$A755))</f>
        <v/>
      </c>
      <c r="X755" s="19" t="str">
        <f aca="false">IF(OR($A755="",INDEX(_LEITURA!$Q$2:$Q$21,14)=0),"",SUMIFS(DECKS!$D$2:$D$1201,DECKS!$A$2:$A$1201,INDEX(_LEITURA!$P$2:$P$21,14),DECKS!$B$2:$B$1201,$A755))</f>
        <v/>
      </c>
      <c r="Y755" s="19" t="str">
        <f aca="false">IF(OR($A755="",INDEX(_LEITURA!$Q$2:$Q$21,15)=0),"",SUMIFS(DECKS!$D$2:$D$1201,DECKS!$A$2:$A$1201,INDEX(_LEITURA!$P$2:$P$21,15),DECKS!$B$2:$B$1201,$A755))</f>
        <v/>
      </c>
      <c r="Z755" s="19" t="str">
        <f aca="false">IF(OR($A755="",INDEX(_LEITURA!$Q$2:$Q$21,16)=0),"",SUMIFS(DECKS!$D$2:$D$1201,DECKS!$A$2:$A$1201,INDEX(_LEITURA!$P$2:$P$21,16),DECKS!$B$2:$B$1201,$A755))</f>
        <v/>
      </c>
      <c r="AA755" s="19" t="str">
        <f aca="false">IF(OR($A755="",INDEX(_LEITURA!$Q$2:$Q$21,17)=0),"",SUMIFS(DECKS!$D$2:$D$1201,DECKS!$A$2:$A$1201,INDEX(_LEITURA!$P$2:$P$21,17),DECKS!$B$2:$B$1201,$A755))</f>
        <v/>
      </c>
      <c r="AB755" s="19" t="str">
        <f aca="false">IF(OR($A755="",INDEX(_LEITURA!$Q$2:$Q$21,18)=0),"",SUMIFS(DECKS!$D$2:$D$1201,DECKS!$A$2:$A$1201,INDEX(_LEITURA!$P$2:$P$21,18),DECKS!$B$2:$B$1201,$A755))</f>
        <v/>
      </c>
      <c r="AC755" s="19" t="str">
        <f aca="false">IF(OR($A755="",INDEX(_LEITURA!$Q$2:$Q$21,19)=0),"",SUMIFS(DECKS!$D$2:$D$1201,DECKS!$A$2:$A$1201,INDEX(_LEITURA!$P$2:$P$21,19),DECKS!$B$2:$B$1201,$A755))</f>
        <v/>
      </c>
      <c r="AD755" s="19" t="str">
        <f aca="false">IF(OR($A755="",INDEX(_LEITURA!$Q$2:$Q$21,20)=0),"",SUMIFS(DECKS!$D$2:$D$1201,DECKS!$A$2:$A$1201,INDEX(_LEITURA!$P$2:$P$21,20),DECKS!$B$2:$B$1201,$A755))</f>
        <v/>
      </c>
      <c r="AE755" s="16" t="str">
        <f aca="false">IF(N(E755)&gt;0,MAX(AE$1:AE754)+1,"")</f>
        <v/>
      </c>
      <c r="AF755" s="11" t="str">
        <f aca="false">IF(A755="","",IFERROR(LEFT(A755,FIND("-",A755)-1),A755))</f>
        <v/>
      </c>
      <c r="AG755" s="11" t="str">
        <f aca="false">IF(AF755="","",IF(ISNUMBER(--MID(AF755,1,1)),0,IF(ISNUMBER(--MID(AF755,2,1)),1,IF(ISNUMBER(--MID(AF755,3,1)),2,IF(ISNUMBER(--MID(AF755,4,1)),3,MIN(LEN(AF755),4))))))</f>
        <v/>
      </c>
      <c r="AH755" s="11" t="str">
        <f aca="false">IF(A755="","",LEFT(AF755,AG755)&amp;REPT("0",4-AG755)&amp;RIGHT("000"&amp;IFERROR(VALUE(MID(AF755,AG755+1,9)),0),3)&amp;RIGHT("0000"&amp;IFERROR(VALUE(MID(A755,FIND("-",A755)+1,9)),0),4))</f>
        <v/>
      </c>
      <c r="AI755" s="11" t="str">
        <f aca="false">IF(OR(A755="",N(E755)&lt;=0),"",IF('FALTAS GERAL'!$M$1="Código","K"&amp;AH755&amp;RIGHT("00000"&amp;ROW(),5),IF('FALTAS GERAL'!$M$1="Nome","K"&amp;UPPER(SUBSTITUTE(SUBSTITUTE(SUBSTITUTE(B755,"*",""),"?",""),"~",""))&amp;"0"&amp;AH755&amp;RIGHT("00000"&amp;ROW(),5),IF('FALTAS GERAL'!$M$1="Falta (maior primeiro)","K"&amp;RIGHT("0000"&amp;(9999-E755),4)&amp;AH755&amp;RIGHT("00000"&amp;ROW(),5),IF('FALTAS GERAL'!$M$1="Nº de decks (maior primeiro)","K"&amp;RIGHT("00"&amp;(99-N(G755)),2)&amp;AH755&amp;RIGHT("00000"&amp;ROW(),5),"K"&amp;RIGHT("00000"&amp;ROW(),5))))))</f>
        <v/>
      </c>
      <c r="AJ755" s="11" t="str">
        <f aca="false">IF(AI755="","",COUNTIFS($AI$2:$AI$801,"&lt;"&amp;AI755,$E$2:$E$801,"&gt;0")+1)</f>
        <v/>
      </c>
      <c r="AK755" s="11" t="str">
        <f aca="false">IF(OR(A755="",N(E755)&lt;=0),"",COUNTIFS($AH$2:$AH$801,"&lt;"&amp;AH755,$E$2:$E$801,"&gt;0")+COUNTIFS($AH$2:AH755,AH755,$E$2:E755,"&gt;0"))</f>
        <v/>
      </c>
    </row>
    <row r="756" customFormat="false" ht="15" hidden="false" customHeight="false" outlineLevel="0" collapsed="false">
      <c r="A756" s="11" t="str">
        <f aca="false">IF(INVENTÁRIO!A756="","",INVENTÁRIO!A756)</f>
        <v/>
      </c>
      <c r="B756" s="11" t="str">
        <f aca="false">IF(A756="","",INVENTÁRIO!B756)</f>
        <v/>
      </c>
      <c r="C756" s="16" t="str">
        <f aca="false">IF(A756="","",INVENTÁRIO!C756)</f>
        <v/>
      </c>
      <c r="D756" s="14" t="str">
        <f aca="false">IF(A756="","",MAX(K756:AD756))</f>
        <v/>
      </c>
      <c r="E756" s="14" t="str">
        <f aca="false">IF(A756="","",MAX(0,D756-C756))</f>
        <v/>
      </c>
      <c r="F756" s="16" t="str">
        <f aca="false">IF(A756="","",IF(D756=0,"Fora dos decks",IF(E756=0,"Completo","Falta")))</f>
        <v/>
      </c>
      <c r="G756" s="16" t="str">
        <f aca="false">IF(A756="","",COUNTIF(K756:AD756,"&gt;0"))</f>
        <v/>
      </c>
      <c r="H756" s="16" t="str">
        <f aca="false">IF(A756="","",IF(G756&gt;1,"Sim",""))</f>
        <v/>
      </c>
      <c r="I756" s="18" t="str">
        <f aca="false">IF(A756="","",SUMIFS(DECKS!$D$2:$D$1201,DECKS!$B$2:$B$1201,A756))</f>
        <v/>
      </c>
      <c r="J756" s="18" t="str">
        <f aca="false">IF(A756="","",MAX(0,I756-C756))</f>
        <v/>
      </c>
      <c r="K756" s="19" t="str">
        <f aca="false">IF(OR($A756="",INDEX(_LEITURA!$Q$2:$Q$21,1)=0),"",SUMIFS(DECKS!$D$2:$D$1201,DECKS!$A$2:$A$1201,INDEX(_LEITURA!$P$2:$P$21,1),DECKS!$B$2:$B$1201,$A756))</f>
        <v/>
      </c>
      <c r="L756" s="19" t="str">
        <f aca="false">IF(OR($A756="",INDEX(_LEITURA!$Q$2:$Q$21,2)=0),"",SUMIFS(DECKS!$D$2:$D$1201,DECKS!$A$2:$A$1201,INDEX(_LEITURA!$P$2:$P$21,2),DECKS!$B$2:$B$1201,$A756))</f>
        <v/>
      </c>
      <c r="M756" s="19" t="str">
        <f aca="false">IF(OR($A756="",INDEX(_LEITURA!$Q$2:$Q$21,3)=0),"",SUMIFS(DECKS!$D$2:$D$1201,DECKS!$A$2:$A$1201,INDEX(_LEITURA!$P$2:$P$21,3),DECKS!$B$2:$B$1201,$A756))</f>
        <v/>
      </c>
      <c r="N756" s="19" t="str">
        <f aca="false">IF(OR($A756="",INDEX(_LEITURA!$Q$2:$Q$21,4)=0),"",SUMIFS(DECKS!$D$2:$D$1201,DECKS!$A$2:$A$1201,INDEX(_LEITURA!$P$2:$P$21,4),DECKS!$B$2:$B$1201,$A756))</f>
        <v/>
      </c>
      <c r="O756" s="19" t="str">
        <f aca="false">IF(OR($A756="",INDEX(_LEITURA!$Q$2:$Q$21,5)=0),"",SUMIFS(DECKS!$D$2:$D$1201,DECKS!$A$2:$A$1201,INDEX(_LEITURA!$P$2:$P$21,5),DECKS!$B$2:$B$1201,$A756))</f>
        <v/>
      </c>
      <c r="P756" s="19" t="str">
        <f aca="false">IF(OR($A756="",INDEX(_LEITURA!$Q$2:$Q$21,6)=0),"",SUMIFS(DECKS!$D$2:$D$1201,DECKS!$A$2:$A$1201,INDEX(_LEITURA!$P$2:$P$21,6),DECKS!$B$2:$B$1201,$A756))</f>
        <v/>
      </c>
      <c r="Q756" s="19" t="str">
        <f aca="false">IF(OR($A756="",INDEX(_LEITURA!$Q$2:$Q$21,7)=0),"",SUMIFS(DECKS!$D$2:$D$1201,DECKS!$A$2:$A$1201,INDEX(_LEITURA!$P$2:$P$21,7),DECKS!$B$2:$B$1201,$A756))</f>
        <v/>
      </c>
      <c r="R756" s="19" t="str">
        <f aca="false">IF(OR($A756="",INDEX(_LEITURA!$Q$2:$Q$21,8)=0),"",SUMIFS(DECKS!$D$2:$D$1201,DECKS!$A$2:$A$1201,INDEX(_LEITURA!$P$2:$P$21,8),DECKS!$B$2:$B$1201,$A756))</f>
        <v/>
      </c>
      <c r="S756" s="19" t="str">
        <f aca="false">IF(OR($A756="",INDEX(_LEITURA!$Q$2:$Q$21,9)=0),"",SUMIFS(DECKS!$D$2:$D$1201,DECKS!$A$2:$A$1201,INDEX(_LEITURA!$P$2:$P$21,9),DECKS!$B$2:$B$1201,$A756))</f>
        <v/>
      </c>
      <c r="T756" s="19" t="str">
        <f aca="false">IF(OR($A756="",INDEX(_LEITURA!$Q$2:$Q$21,10)=0),"",SUMIFS(DECKS!$D$2:$D$1201,DECKS!$A$2:$A$1201,INDEX(_LEITURA!$P$2:$P$21,10),DECKS!$B$2:$B$1201,$A756))</f>
        <v/>
      </c>
      <c r="U756" s="19" t="str">
        <f aca="false">IF(OR($A756="",INDEX(_LEITURA!$Q$2:$Q$21,11)=0),"",SUMIFS(DECKS!$D$2:$D$1201,DECKS!$A$2:$A$1201,INDEX(_LEITURA!$P$2:$P$21,11),DECKS!$B$2:$B$1201,$A756))</f>
        <v/>
      </c>
      <c r="V756" s="19" t="str">
        <f aca="false">IF(OR($A756="",INDEX(_LEITURA!$Q$2:$Q$21,12)=0),"",SUMIFS(DECKS!$D$2:$D$1201,DECKS!$A$2:$A$1201,INDEX(_LEITURA!$P$2:$P$21,12),DECKS!$B$2:$B$1201,$A756))</f>
        <v/>
      </c>
      <c r="W756" s="19" t="str">
        <f aca="false">IF(OR($A756="",INDEX(_LEITURA!$Q$2:$Q$21,13)=0),"",SUMIFS(DECKS!$D$2:$D$1201,DECKS!$A$2:$A$1201,INDEX(_LEITURA!$P$2:$P$21,13),DECKS!$B$2:$B$1201,$A756))</f>
        <v/>
      </c>
      <c r="X756" s="19" t="str">
        <f aca="false">IF(OR($A756="",INDEX(_LEITURA!$Q$2:$Q$21,14)=0),"",SUMIFS(DECKS!$D$2:$D$1201,DECKS!$A$2:$A$1201,INDEX(_LEITURA!$P$2:$P$21,14),DECKS!$B$2:$B$1201,$A756))</f>
        <v/>
      </c>
      <c r="Y756" s="19" t="str">
        <f aca="false">IF(OR($A756="",INDEX(_LEITURA!$Q$2:$Q$21,15)=0),"",SUMIFS(DECKS!$D$2:$D$1201,DECKS!$A$2:$A$1201,INDEX(_LEITURA!$P$2:$P$21,15),DECKS!$B$2:$B$1201,$A756))</f>
        <v/>
      </c>
      <c r="Z756" s="19" t="str">
        <f aca="false">IF(OR($A756="",INDEX(_LEITURA!$Q$2:$Q$21,16)=0),"",SUMIFS(DECKS!$D$2:$D$1201,DECKS!$A$2:$A$1201,INDEX(_LEITURA!$P$2:$P$21,16),DECKS!$B$2:$B$1201,$A756))</f>
        <v/>
      </c>
      <c r="AA756" s="19" t="str">
        <f aca="false">IF(OR($A756="",INDEX(_LEITURA!$Q$2:$Q$21,17)=0),"",SUMIFS(DECKS!$D$2:$D$1201,DECKS!$A$2:$A$1201,INDEX(_LEITURA!$P$2:$P$21,17),DECKS!$B$2:$B$1201,$A756))</f>
        <v/>
      </c>
      <c r="AB756" s="19" t="str">
        <f aca="false">IF(OR($A756="",INDEX(_LEITURA!$Q$2:$Q$21,18)=0),"",SUMIFS(DECKS!$D$2:$D$1201,DECKS!$A$2:$A$1201,INDEX(_LEITURA!$P$2:$P$21,18),DECKS!$B$2:$B$1201,$A756))</f>
        <v/>
      </c>
      <c r="AC756" s="19" t="str">
        <f aca="false">IF(OR($A756="",INDEX(_LEITURA!$Q$2:$Q$21,19)=0),"",SUMIFS(DECKS!$D$2:$D$1201,DECKS!$A$2:$A$1201,INDEX(_LEITURA!$P$2:$P$21,19),DECKS!$B$2:$B$1201,$A756))</f>
        <v/>
      </c>
      <c r="AD756" s="19" t="str">
        <f aca="false">IF(OR($A756="",INDEX(_LEITURA!$Q$2:$Q$21,20)=0),"",SUMIFS(DECKS!$D$2:$D$1201,DECKS!$A$2:$A$1201,INDEX(_LEITURA!$P$2:$P$21,20),DECKS!$B$2:$B$1201,$A756))</f>
        <v/>
      </c>
      <c r="AE756" s="16" t="str">
        <f aca="false">IF(N(E756)&gt;0,MAX(AE$1:AE755)+1,"")</f>
        <v/>
      </c>
      <c r="AF756" s="11" t="str">
        <f aca="false">IF(A756="","",IFERROR(LEFT(A756,FIND("-",A756)-1),A756))</f>
        <v/>
      </c>
      <c r="AG756" s="11" t="str">
        <f aca="false">IF(AF756="","",IF(ISNUMBER(--MID(AF756,1,1)),0,IF(ISNUMBER(--MID(AF756,2,1)),1,IF(ISNUMBER(--MID(AF756,3,1)),2,IF(ISNUMBER(--MID(AF756,4,1)),3,MIN(LEN(AF756),4))))))</f>
        <v/>
      </c>
      <c r="AH756" s="11" t="str">
        <f aca="false">IF(A756="","",LEFT(AF756,AG756)&amp;REPT("0",4-AG756)&amp;RIGHT("000"&amp;IFERROR(VALUE(MID(AF756,AG756+1,9)),0),3)&amp;RIGHT("0000"&amp;IFERROR(VALUE(MID(A756,FIND("-",A756)+1,9)),0),4))</f>
        <v/>
      </c>
      <c r="AI756" s="11" t="str">
        <f aca="false">IF(OR(A756="",N(E756)&lt;=0),"",IF('FALTAS GERAL'!$M$1="Código","K"&amp;AH756&amp;RIGHT("00000"&amp;ROW(),5),IF('FALTAS GERAL'!$M$1="Nome","K"&amp;UPPER(SUBSTITUTE(SUBSTITUTE(SUBSTITUTE(B756,"*",""),"?",""),"~",""))&amp;"0"&amp;AH756&amp;RIGHT("00000"&amp;ROW(),5),IF('FALTAS GERAL'!$M$1="Falta (maior primeiro)","K"&amp;RIGHT("0000"&amp;(9999-E756),4)&amp;AH756&amp;RIGHT("00000"&amp;ROW(),5),IF('FALTAS GERAL'!$M$1="Nº de decks (maior primeiro)","K"&amp;RIGHT("00"&amp;(99-N(G756)),2)&amp;AH756&amp;RIGHT("00000"&amp;ROW(),5),"K"&amp;RIGHT("00000"&amp;ROW(),5))))))</f>
        <v/>
      </c>
      <c r="AJ756" s="11" t="str">
        <f aca="false">IF(AI756="","",COUNTIFS($AI$2:$AI$801,"&lt;"&amp;AI756,$E$2:$E$801,"&gt;0")+1)</f>
        <v/>
      </c>
      <c r="AK756" s="11" t="str">
        <f aca="false">IF(OR(A756="",N(E756)&lt;=0),"",COUNTIFS($AH$2:$AH$801,"&lt;"&amp;AH756,$E$2:$E$801,"&gt;0")+COUNTIFS($AH$2:AH756,AH756,$E$2:E756,"&gt;0"))</f>
        <v/>
      </c>
    </row>
    <row r="757" customFormat="false" ht="15" hidden="false" customHeight="false" outlineLevel="0" collapsed="false">
      <c r="A757" s="11" t="str">
        <f aca="false">IF(INVENTÁRIO!A757="","",INVENTÁRIO!A757)</f>
        <v/>
      </c>
      <c r="B757" s="11" t="str">
        <f aca="false">IF(A757="","",INVENTÁRIO!B757)</f>
        <v/>
      </c>
      <c r="C757" s="16" t="str">
        <f aca="false">IF(A757="","",INVENTÁRIO!C757)</f>
        <v/>
      </c>
      <c r="D757" s="14" t="str">
        <f aca="false">IF(A757="","",MAX(K757:AD757))</f>
        <v/>
      </c>
      <c r="E757" s="14" t="str">
        <f aca="false">IF(A757="","",MAX(0,D757-C757))</f>
        <v/>
      </c>
      <c r="F757" s="16" t="str">
        <f aca="false">IF(A757="","",IF(D757=0,"Fora dos decks",IF(E757=0,"Completo","Falta")))</f>
        <v/>
      </c>
      <c r="G757" s="16" t="str">
        <f aca="false">IF(A757="","",COUNTIF(K757:AD757,"&gt;0"))</f>
        <v/>
      </c>
      <c r="H757" s="16" t="str">
        <f aca="false">IF(A757="","",IF(G757&gt;1,"Sim",""))</f>
        <v/>
      </c>
      <c r="I757" s="18" t="str">
        <f aca="false">IF(A757="","",SUMIFS(DECKS!$D$2:$D$1201,DECKS!$B$2:$B$1201,A757))</f>
        <v/>
      </c>
      <c r="J757" s="18" t="str">
        <f aca="false">IF(A757="","",MAX(0,I757-C757))</f>
        <v/>
      </c>
      <c r="K757" s="19" t="str">
        <f aca="false">IF(OR($A757="",INDEX(_LEITURA!$Q$2:$Q$21,1)=0),"",SUMIFS(DECKS!$D$2:$D$1201,DECKS!$A$2:$A$1201,INDEX(_LEITURA!$P$2:$P$21,1),DECKS!$B$2:$B$1201,$A757))</f>
        <v/>
      </c>
      <c r="L757" s="19" t="str">
        <f aca="false">IF(OR($A757="",INDEX(_LEITURA!$Q$2:$Q$21,2)=0),"",SUMIFS(DECKS!$D$2:$D$1201,DECKS!$A$2:$A$1201,INDEX(_LEITURA!$P$2:$P$21,2),DECKS!$B$2:$B$1201,$A757))</f>
        <v/>
      </c>
      <c r="M757" s="19" t="str">
        <f aca="false">IF(OR($A757="",INDEX(_LEITURA!$Q$2:$Q$21,3)=0),"",SUMIFS(DECKS!$D$2:$D$1201,DECKS!$A$2:$A$1201,INDEX(_LEITURA!$P$2:$P$21,3),DECKS!$B$2:$B$1201,$A757))</f>
        <v/>
      </c>
      <c r="N757" s="19" t="str">
        <f aca="false">IF(OR($A757="",INDEX(_LEITURA!$Q$2:$Q$21,4)=0),"",SUMIFS(DECKS!$D$2:$D$1201,DECKS!$A$2:$A$1201,INDEX(_LEITURA!$P$2:$P$21,4),DECKS!$B$2:$B$1201,$A757))</f>
        <v/>
      </c>
      <c r="O757" s="19" t="str">
        <f aca="false">IF(OR($A757="",INDEX(_LEITURA!$Q$2:$Q$21,5)=0),"",SUMIFS(DECKS!$D$2:$D$1201,DECKS!$A$2:$A$1201,INDEX(_LEITURA!$P$2:$P$21,5),DECKS!$B$2:$B$1201,$A757))</f>
        <v/>
      </c>
      <c r="P757" s="19" t="str">
        <f aca="false">IF(OR($A757="",INDEX(_LEITURA!$Q$2:$Q$21,6)=0),"",SUMIFS(DECKS!$D$2:$D$1201,DECKS!$A$2:$A$1201,INDEX(_LEITURA!$P$2:$P$21,6),DECKS!$B$2:$B$1201,$A757))</f>
        <v/>
      </c>
      <c r="Q757" s="19" t="str">
        <f aca="false">IF(OR($A757="",INDEX(_LEITURA!$Q$2:$Q$21,7)=0),"",SUMIFS(DECKS!$D$2:$D$1201,DECKS!$A$2:$A$1201,INDEX(_LEITURA!$P$2:$P$21,7),DECKS!$B$2:$B$1201,$A757))</f>
        <v/>
      </c>
      <c r="R757" s="19" t="str">
        <f aca="false">IF(OR($A757="",INDEX(_LEITURA!$Q$2:$Q$21,8)=0),"",SUMIFS(DECKS!$D$2:$D$1201,DECKS!$A$2:$A$1201,INDEX(_LEITURA!$P$2:$P$21,8),DECKS!$B$2:$B$1201,$A757))</f>
        <v/>
      </c>
      <c r="S757" s="19" t="str">
        <f aca="false">IF(OR($A757="",INDEX(_LEITURA!$Q$2:$Q$21,9)=0),"",SUMIFS(DECKS!$D$2:$D$1201,DECKS!$A$2:$A$1201,INDEX(_LEITURA!$P$2:$P$21,9),DECKS!$B$2:$B$1201,$A757))</f>
        <v/>
      </c>
      <c r="T757" s="19" t="str">
        <f aca="false">IF(OR($A757="",INDEX(_LEITURA!$Q$2:$Q$21,10)=0),"",SUMIFS(DECKS!$D$2:$D$1201,DECKS!$A$2:$A$1201,INDEX(_LEITURA!$P$2:$P$21,10),DECKS!$B$2:$B$1201,$A757))</f>
        <v/>
      </c>
      <c r="U757" s="19" t="str">
        <f aca="false">IF(OR($A757="",INDEX(_LEITURA!$Q$2:$Q$21,11)=0),"",SUMIFS(DECKS!$D$2:$D$1201,DECKS!$A$2:$A$1201,INDEX(_LEITURA!$P$2:$P$21,11),DECKS!$B$2:$B$1201,$A757))</f>
        <v/>
      </c>
      <c r="V757" s="19" t="str">
        <f aca="false">IF(OR($A757="",INDEX(_LEITURA!$Q$2:$Q$21,12)=0),"",SUMIFS(DECKS!$D$2:$D$1201,DECKS!$A$2:$A$1201,INDEX(_LEITURA!$P$2:$P$21,12),DECKS!$B$2:$B$1201,$A757))</f>
        <v/>
      </c>
      <c r="W757" s="19" t="str">
        <f aca="false">IF(OR($A757="",INDEX(_LEITURA!$Q$2:$Q$21,13)=0),"",SUMIFS(DECKS!$D$2:$D$1201,DECKS!$A$2:$A$1201,INDEX(_LEITURA!$P$2:$P$21,13),DECKS!$B$2:$B$1201,$A757))</f>
        <v/>
      </c>
      <c r="X757" s="19" t="str">
        <f aca="false">IF(OR($A757="",INDEX(_LEITURA!$Q$2:$Q$21,14)=0),"",SUMIFS(DECKS!$D$2:$D$1201,DECKS!$A$2:$A$1201,INDEX(_LEITURA!$P$2:$P$21,14),DECKS!$B$2:$B$1201,$A757))</f>
        <v/>
      </c>
      <c r="Y757" s="19" t="str">
        <f aca="false">IF(OR($A757="",INDEX(_LEITURA!$Q$2:$Q$21,15)=0),"",SUMIFS(DECKS!$D$2:$D$1201,DECKS!$A$2:$A$1201,INDEX(_LEITURA!$P$2:$P$21,15),DECKS!$B$2:$B$1201,$A757))</f>
        <v/>
      </c>
      <c r="Z757" s="19" t="str">
        <f aca="false">IF(OR($A757="",INDEX(_LEITURA!$Q$2:$Q$21,16)=0),"",SUMIFS(DECKS!$D$2:$D$1201,DECKS!$A$2:$A$1201,INDEX(_LEITURA!$P$2:$P$21,16),DECKS!$B$2:$B$1201,$A757))</f>
        <v/>
      </c>
      <c r="AA757" s="19" t="str">
        <f aca="false">IF(OR($A757="",INDEX(_LEITURA!$Q$2:$Q$21,17)=0),"",SUMIFS(DECKS!$D$2:$D$1201,DECKS!$A$2:$A$1201,INDEX(_LEITURA!$P$2:$P$21,17),DECKS!$B$2:$B$1201,$A757))</f>
        <v/>
      </c>
      <c r="AB757" s="19" t="str">
        <f aca="false">IF(OR($A757="",INDEX(_LEITURA!$Q$2:$Q$21,18)=0),"",SUMIFS(DECKS!$D$2:$D$1201,DECKS!$A$2:$A$1201,INDEX(_LEITURA!$P$2:$P$21,18),DECKS!$B$2:$B$1201,$A757))</f>
        <v/>
      </c>
      <c r="AC757" s="19" t="str">
        <f aca="false">IF(OR($A757="",INDEX(_LEITURA!$Q$2:$Q$21,19)=0),"",SUMIFS(DECKS!$D$2:$D$1201,DECKS!$A$2:$A$1201,INDEX(_LEITURA!$P$2:$P$21,19),DECKS!$B$2:$B$1201,$A757))</f>
        <v/>
      </c>
      <c r="AD757" s="19" t="str">
        <f aca="false">IF(OR($A757="",INDEX(_LEITURA!$Q$2:$Q$21,20)=0),"",SUMIFS(DECKS!$D$2:$D$1201,DECKS!$A$2:$A$1201,INDEX(_LEITURA!$P$2:$P$21,20),DECKS!$B$2:$B$1201,$A757))</f>
        <v/>
      </c>
      <c r="AE757" s="16" t="str">
        <f aca="false">IF(N(E757)&gt;0,MAX(AE$1:AE756)+1,"")</f>
        <v/>
      </c>
      <c r="AF757" s="11" t="str">
        <f aca="false">IF(A757="","",IFERROR(LEFT(A757,FIND("-",A757)-1),A757))</f>
        <v/>
      </c>
      <c r="AG757" s="11" t="str">
        <f aca="false">IF(AF757="","",IF(ISNUMBER(--MID(AF757,1,1)),0,IF(ISNUMBER(--MID(AF757,2,1)),1,IF(ISNUMBER(--MID(AF757,3,1)),2,IF(ISNUMBER(--MID(AF757,4,1)),3,MIN(LEN(AF757),4))))))</f>
        <v/>
      </c>
      <c r="AH757" s="11" t="str">
        <f aca="false">IF(A757="","",LEFT(AF757,AG757)&amp;REPT("0",4-AG757)&amp;RIGHT("000"&amp;IFERROR(VALUE(MID(AF757,AG757+1,9)),0),3)&amp;RIGHT("0000"&amp;IFERROR(VALUE(MID(A757,FIND("-",A757)+1,9)),0),4))</f>
        <v/>
      </c>
      <c r="AI757" s="11" t="str">
        <f aca="false">IF(OR(A757="",N(E757)&lt;=0),"",IF('FALTAS GERAL'!$M$1="Código","K"&amp;AH757&amp;RIGHT("00000"&amp;ROW(),5),IF('FALTAS GERAL'!$M$1="Nome","K"&amp;UPPER(SUBSTITUTE(SUBSTITUTE(SUBSTITUTE(B757,"*",""),"?",""),"~",""))&amp;"0"&amp;AH757&amp;RIGHT("00000"&amp;ROW(),5),IF('FALTAS GERAL'!$M$1="Falta (maior primeiro)","K"&amp;RIGHT("0000"&amp;(9999-E757),4)&amp;AH757&amp;RIGHT("00000"&amp;ROW(),5),IF('FALTAS GERAL'!$M$1="Nº de decks (maior primeiro)","K"&amp;RIGHT("00"&amp;(99-N(G757)),2)&amp;AH757&amp;RIGHT("00000"&amp;ROW(),5),"K"&amp;RIGHT("00000"&amp;ROW(),5))))))</f>
        <v/>
      </c>
      <c r="AJ757" s="11" t="str">
        <f aca="false">IF(AI757="","",COUNTIFS($AI$2:$AI$801,"&lt;"&amp;AI757,$E$2:$E$801,"&gt;0")+1)</f>
        <v/>
      </c>
      <c r="AK757" s="11" t="str">
        <f aca="false">IF(OR(A757="",N(E757)&lt;=0),"",COUNTIFS($AH$2:$AH$801,"&lt;"&amp;AH757,$E$2:$E$801,"&gt;0")+COUNTIFS($AH$2:AH757,AH757,$E$2:E757,"&gt;0"))</f>
        <v/>
      </c>
    </row>
    <row r="758" customFormat="false" ht="15" hidden="false" customHeight="false" outlineLevel="0" collapsed="false">
      <c r="A758" s="11" t="str">
        <f aca="false">IF(INVENTÁRIO!A758="","",INVENTÁRIO!A758)</f>
        <v/>
      </c>
      <c r="B758" s="11" t="str">
        <f aca="false">IF(A758="","",INVENTÁRIO!B758)</f>
        <v/>
      </c>
      <c r="C758" s="16" t="str">
        <f aca="false">IF(A758="","",INVENTÁRIO!C758)</f>
        <v/>
      </c>
      <c r="D758" s="14" t="str">
        <f aca="false">IF(A758="","",MAX(K758:AD758))</f>
        <v/>
      </c>
      <c r="E758" s="14" t="str">
        <f aca="false">IF(A758="","",MAX(0,D758-C758))</f>
        <v/>
      </c>
      <c r="F758" s="16" t="str">
        <f aca="false">IF(A758="","",IF(D758=0,"Fora dos decks",IF(E758=0,"Completo","Falta")))</f>
        <v/>
      </c>
      <c r="G758" s="16" t="str">
        <f aca="false">IF(A758="","",COUNTIF(K758:AD758,"&gt;0"))</f>
        <v/>
      </c>
      <c r="H758" s="16" t="str">
        <f aca="false">IF(A758="","",IF(G758&gt;1,"Sim",""))</f>
        <v/>
      </c>
      <c r="I758" s="18" t="str">
        <f aca="false">IF(A758="","",SUMIFS(DECKS!$D$2:$D$1201,DECKS!$B$2:$B$1201,A758))</f>
        <v/>
      </c>
      <c r="J758" s="18" t="str">
        <f aca="false">IF(A758="","",MAX(0,I758-C758))</f>
        <v/>
      </c>
      <c r="K758" s="19" t="str">
        <f aca="false">IF(OR($A758="",INDEX(_LEITURA!$Q$2:$Q$21,1)=0),"",SUMIFS(DECKS!$D$2:$D$1201,DECKS!$A$2:$A$1201,INDEX(_LEITURA!$P$2:$P$21,1),DECKS!$B$2:$B$1201,$A758))</f>
        <v/>
      </c>
      <c r="L758" s="19" t="str">
        <f aca="false">IF(OR($A758="",INDEX(_LEITURA!$Q$2:$Q$21,2)=0),"",SUMIFS(DECKS!$D$2:$D$1201,DECKS!$A$2:$A$1201,INDEX(_LEITURA!$P$2:$P$21,2),DECKS!$B$2:$B$1201,$A758))</f>
        <v/>
      </c>
      <c r="M758" s="19" t="str">
        <f aca="false">IF(OR($A758="",INDEX(_LEITURA!$Q$2:$Q$21,3)=0),"",SUMIFS(DECKS!$D$2:$D$1201,DECKS!$A$2:$A$1201,INDEX(_LEITURA!$P$2:$P$21,3),DECKS!$B$2:$B$1201,$A758))</f>
        <v/>
      </c>
      <c r="N758" s="19" t="str">
        <f aca="false">IF(OR($A758="",INDEX(_LEITURA!$Q$2:$Q$21,4)=0),"",SUMIFS(DECKS!$D$2:$D$1201,DECKS!$A$2:$A$1201,INDEX(_LEITURA!$P$2:$P$21,4),DECKS!$B$2:$B$1201,$A758))</f>
        <v/>
      </c>
      <c r="O758" s="19" t="str">
        <f aca="false">IF(OR($A758="",INDEX(_LEITURA!$Q$2:$Q$21,5)=0),"",SUMIFS(DECKS!$D$2:$D$1201,DECKS!$A$2:$A$1201,INDEX(_LEITURA!$P$2:$P$21,5),DECKS!$B$2:$B$1201,$A758))</f>
        <v/>
      </c>
      <c r="P758" s="19" t="str">
        <f aca="false">IF(OR($A758="",INDEX(_LEITURA!$Q$2:$Q$21,6)=0),"",SUMIFS(DECKS!$D$2:$D$1201,DECKS!$A$2:$A$1201,INDEX(_LEITURA!$P$2:$P$21,6),DECKS!$B$2:$B$1201,$A758))</f>
        <v/>
      </c>
      <c r="Q758" s="19" t="str">
        <f aca="false">IF(OR($A758="",INDEX(_LEITURA!$Q$2:$Q$21,7)=0),"",SUMIFS(DECKS!$D$2:$D$1201,DECKS!$A$2:$A$1201,INDEX(_LEITURA!$P$2:$P$21,7),DECKS!$B$2:$B$1201,$A758))</f>
        <v/>
      </c>
      <c r="R758" s="19" t="str">
        <f aca="false">IF(OR($A758="",INDEX(_LEITURA!$Q$2:$Q$21,8)=0),"",SUMIFS(DECKS!$D$2:$D$1201,DECKS!$A$2:$A$1201,INDEX(_LEITURA!$P$2:$P$21,8),DECKS!$B$2:$B$1201,$A758))</f>
        <v/>
      </c>
      <c r="S758" s="19" t="str">
        <f aca="false">IF(OR($A758="",INDEX(_LEITURA!$Q$2:$Q$21,9)=0),"",SUMIFS(DECKS!$D$2:$D$1201,DECKS!$A$2:$A$1201,INDEX(_LEITURA!$P$2:$P$21,9),DECKS!$B$2:$B$1201,$A758))</f>
        <v/>
      </c>
      <c r="T758" s="19" t="str">
        <f aca="false">IF(OR($A758="",INDEX(_LEITURA!$Q$2:$Q$21,10)=0),"",SUMIFS(DECKS!$D$2:$D$1201,DECKS!$A$2:$A$1201,INDEX(_LEITURA!$P$2:$P$21,10),DECKS!$B$2:$B$1201,$A758))</f>
        <v/>
      </c>
      <c r="U758" s="19" t="str">
        <f aca="false">IF(OR($A758="",INDEX(_LEITURA!$Q$2:$Q$21,11)=0),"",SUMIFS(DECKS!$D$2:$D$1201,DECKS!$A$2:$A$1201,INDEX(_LEITURA!$P$2:$P$21,11),DECKS!$B$2:$B$1201,$A758))</f>
        <v/>
      </c>
      <c r="V758" s="19" t="str">
        <f aca="false">IF(OR($A758="",INDEX(_LEITURA!$Q$2:$Q$21,12)=0),"",SUMIFS(DECKS!$D$2:$D$1201,DECKS!$A$2:$A$1201,INDEX(_LEITURA!$P$2:$P$21,12),DECKS!$B$2:$B$1201,$A758))</f>
        <v/>
      </c>
      <c r="W758" s="19" t="str">
        <f aca="false">IF(OR($A758="",INDEX(_LEITURA!$Q$2:$Q$21,13)=0),"",SUMIFS(DECKS!$D$2:$D$1201,DECKS!$A$2:$A$1201,INDEX(_LEITURA!$P$2:$P$21,13),DECKS!$B$2:$B$1201,$A758))</f>
        <v/>
      </c>
      <c r="X758" s="19" t="str">
        <f aca="false">IF(OR($A758="",INDEX(_LEITURA!$Q$2:$Q$21,14)=0),"",SUMIFS(DECKS!$D$2:$D$1201,DECKS!$A$2:$A$1201,INDEX(_LEITURA!$P$2:$P$21,14),DECKS!$B$2:$B$1201,$A758))</f>
        <v/>
      </c>
      <c r="Y758" s="19" t="str">
        <f aca="false">IF(OR($A758="",INDEX(_LEITURA!$Q$2:$Q$21,15)=0),"",SUMIFS(DECKS!$D$2:$D$1201,DECKS!$A$2:$A$1201,INDEX(_LEITURA!$P$2:$P$21,15),DECKS!$B$2:$B$1201,$A758))</f>
        <v/>
      </c>
      <c r="Z758" s="19" t="str">
        <f aca="false">IF(OR($A758="",INDEX(_LEITURA!$Q$2:$Q$21,16)=0),"",SUMIFS(DECKS!$D$2:$D$1201,DECKS!$A$2:$A$1201,INDEX(_LEITURA!$P$2:$P$21,16),DECKS!$B$2:$B$1201,$A758))</f>
        <v/>
      </c>
      <c r="AA758" s="19" t="str">
        <f aca="false">IF(OR($A758="",INDEX(_LEITURA!$Q$2:$Q$21,17)=0),"",SUMIFS(DECKS!$D$2:$D$1201,DECKS!$A$2:$A$1201,INDEX(_LEITURA!$P$2:$P$21,17),DECKS!$B$2:$B$1201,$A758))</f>
        <v/>
      </c>
      <c r="AB758" s="19" t="str">
        <f aca="false">IF(OR($A758="",INDEX(_LEITURA!$Q$2:$Q$21,18)=0),"",SUMIFS(DECKS!$D$2:$D$1201,DECKS!$A$2:$A$1201,INDEX(_LEITURA!$P$2:$P$21,18),DECKS!$B$2:$B$1201,$A758))</f>
        <v/>
      </c>
      <c r="AC758" s="19" t="str">
        <f aca="false">IF(OR($A758="",INDEX(_LEITURA!$Q$2:$Q$21,19)=0),"",SUMIFS(DECKS!$D$2:$D$1201,DECKS!$A$2:$A$1201,INDEX(_LEITURA!$P$2:$P$21,19),DECKS!$B$2:$B$1201,$A758))</f>
        <v/>
      </c>
      <c r="AD758" s="19" t="str">
        <f aca="false">IF(OR($A758="",INDEX(_LEITURA!$Q$2:$Q$21,20)=0),"",SUMIFS(DECKS!$D$2:$D$1201,DECKS!$A$2:$A$1201,INDEX(_LEITURA!$P$2:$P$21,20),DECKS!$B$2:$B$1201,$A758))</f>
        <v/>
      </c>
      <c r="AE758" s="16" t="str">
        <f aca="false">IF(N(E758)&gt;0,MAX(AE$1:AE757)+1,"")</f>
        <v/>
      </c>
      <c r="AF758" s="11" t="str">
        <f aca="false">IF(A758="","",IFERROR(LEFT(A758,FIND("-",A758)-1),A758))</f>
        <v/>
      </c>
      <c r="AG758" s="11" t="str">
        <f aca="false">IF(AF758="","",IF(ISNUMBER(--MID(AF758,1,1)),0,IF(ISNUMBER(--MID(AF758,2,1)),1,IF(ISNUMBER(--MID(AF758,3,1)),2,IF(ISNUMBER(--MID(AF758,4,1)),3,MIN(LEN(AF758),4))))))</f>
        <v/>
      </c>
      <c r="AH758" s="11" t="str">
        <f aca="false">IF(A758="","",LEFT(AF758,AG758)&amp;REPT("0",4-AG758)&amp;RIGHT("000"&amp;IFERROR(VALUE(MID(AF758,AG758+1,9)),0),3)&amp;RIGHT("0000"&amp;IFERROR(VALUE(MID(A758,FIND("-",A758)+1,9)),0),4))</f>
        <v/>
      </c>
      <c r="AI758" s="11" t="str">
        <f aca="false">IF(OR(A758="",N(E758)&lt;=0),"",IF('FALTAS GERAL'!$M$1="Código","K"&amp;AH758&amp;RIGHT("00000"&amp;ROW(),5),IF('FALTAS GERAL'!$M$1="Nome","K"&amp;UPPER(SUBSTITUTE(SUBSTITUTE(SUBSTITUTE(B758,"*",""),"?",""),"~",""))&amp;"0"&amp;AH758&amp;RIGHT("00000"&amp;ROW(),5),IF('FALTAS GERAL'!$M$1="Falta (maior primeiro)","K"&amp;RIGHT("0000"&amp;(9999-E758),4)&amp;AH758&amp;RIGHT("00000"&amp;ROW(),5),IF('FALTAS GERAL'!$M$1="Nº de decks (maior primeiro)","K"&amp;RIGHT("00"&amp;(99-N(G758)),2)&amp;AH758&amp;RIGHT("00000"&amp;ROW(),5),"K"&amp;RIGHT("00000"&amp;ROW(),5))))))</f>
        <v/>
      </c>
      <c r="AJ758" s="11" t="str">
        <f aca="false">IF(AI758="","",COUNTIFS($AI$2:$AI$801,"&lt;"&amp;AI758,$E$2:$E$801,"&gt;0")+1)</f>
        <v/>
      </c>
      <c r="AK758" s="11" t="str">
        <f aca="false">IF(OR(A758="",N(E758)&lt;=0),"",COUNTIFS($AH$2:$AH$801,"&lt;"&amp;AH758,$E$2:$E$801,"&gt;0")+COUNTIFS($AH$2:AH758,AH758,$E$2:E758,"&gt;0"))</f>
        <v/>
      </c>
    </row>
    <row r="759" customFormat="false" ht="15" hidden="false" customHeight="false" outlineLevel="0" collapsed="false">
      <c r="A759" s="11" t="str">
        <f aca="false">IF(INVENTÁRIO!A759="","",INVENTÁRIO!A759)</f>
        <v/>
      </c>
      <c r="B759" s="11" t="str">
        <f aca="false">IF(A759="","",INVENTÁRIO!B759)</f>
        <v/>
      </c>
      <c r="C759" s="16" t="str">
        <f aca="false">IF(A759="","",INVENTÁRIO!C759)</f>
        <v/>
      </c>
      <c r="D759" s="14" t="str">
        <f aca="false">IF(A759="","",MAX(K759:AD759))</f>
        <v/>
      </c>
      <c r="E759" s="14" t="str">
        <f aca="false">IF(A759="","",MAX(0,D759-C759))</f>
        <v/>
      </c>
      <c r="F759" s="16" t="str">
        <f aca="false">IF(A759="","",IF(D759=0,"Fora dos decks",IF(E759=0,"Completo","Falta")))</f>
        <v/>
      </c>
      <c r="G759" s="16" t="str">
        <f aca="false">IF(A759="","",COUNTIF(K759:AD759,"&gt;0"))</f>
        <v/>
      </c>
      <c r="H759" s="16" t="str">
        <f aca="false">IF(A759="","",IF(G759&gt;1,"Sim",""))</f>
        <v/>
      </c>
      <c r="I759" s="18" t="str">
        <f aca="false">IF(A759="","",SUMIFS(DECKS!$D$2:$D$1201,DECKS!$B$2:$B$1201,A759))</f>
        <v/>
      </c>
      <c r="J759" s="18" t="str">
        <f aca="false">IF(A759="","",MAX(0,I759-C759))</f>
        <v/>
      </c>
      <c r="K759" s="19" t="str">
        <f aca="false">IF(OR($A759="",INDEX(_LEITURA!$Q$2:$Q$21,1)=0),"",SUMIFS(DECKS!$D$2:$D$1201,DECKS!$A$2:$A$1201,INDEX(_LEITURA!$P$2:$P$21,1),DECKS!$B$2:$B$1201,$A759))</f>
        <v/>
      </c>
      <c r="L759" s="19" t="str">
        <f aca="false">IF(OR($A759="",INDEX(_LEITURA!$Q$2:$Q$21,2)=0),"",SUMIFS(DECKS!$D$2:$D$1201,DECKS!$A$2:$A$1201,INDEX(_LEITURA!$P$2:$P$21,2),DECKS!$B$2:$B$1201,$A759))</f>
        <v/>
      </c>
      <c r="M759" s="19" t="str">
        <f aca="false">IF(OR($A759="",INDEX(_LEITURA!$Q$2:$Q$21,3)=0),"",SUMIFS(DECKS!$D$2:$D$1201,DECKS!$A$2:$A$1201,INDEX(_LEITURA!$P$2:$P$21,3),DECKS!$B$2:$B$1201,$A759))</f>
        <v/>
      </c>
      <c r="N759" s="19" t="str">
        <f aca="false">IF(OR($A759="",INDEX(_LEITURA!$Q$2:$Q$21,4)=0),"",SUMIFS(DECKS!$D$2:$D$1201,DECKS!$A$2:$A$1201,INDEX(_LEITURA!$P$2:$P$21,4),DECKS!$B$2:$B$1201,$A759))</f>
        <v/>
      </c>
      <c r="O759" s="19" t="str">
        <f aca="false">IF(OR($A759="",INDEX(_LEITURA!$Q$2:$Q$21,5)=0),"",SUMIFS(DECKS!$D$2:$D$1201,DECKS!$A$2:$A$1201,INDEX(_LEITURA!$P$2:$P$21,5),DECKS!$B$2:$B$1201,$A759))</f>
        <v/>
      </c>
      <c r="P759" s="19" t="str">
        <f aca="false">IF(OR($A759="",INDEX(_LEITURA!$Q$2:$Q$21,6)=0),"",SUMIFS(DECKS!$D$2:$D$1201,DECKS!$A$2:$A$1201,INDEX(_LEITURA!$P$2:$P$21,6),DECKS!$B$2:$B$1201,$A759))</f>
        <v/>
      </c>
      <c r="Q759" s="19" t="str">
        <f aca="false">IF(OR($A759="",INDEX(_LEITURA!$Q$2:$Q$21,7)=0),"",SUMIFS(DECKS!$D$2:$D$1201,DECKS!$A$2:$A$1201,INDEX(_LEITURA!$P$2:$P$21,7),DECKS!$B$2:$B$1201,$A759))</f>
        <v/>
      </c>
      <c r="R759" s="19" t="str">
        <f aca="false">IF(OR($A759="",INDEX(_LEITURA!$Q$2:$Q$21,8)=0),"",SUMIFS(DECKS!$D$2:$D$1201,DECKS!$A$2:$A$1201,INDEX(_LEITURA!$P$2:$P$21,8),DECKS!$B$2:$B$1201,$A759))</f>
        <v/>
      </c>
      <c r="S759" s="19" t="str">
        <f aca="false">IF(OR($A759="",INDEX(_LEITURA!$Q$2:$Q$21,9)=0),"",SUMIFS(DECKS!$D$2:$D$1201,DECKS!$A$2:$A$1201,INDEX(_LEITURA!$P$2:$P$21,9),DECKS!$B$2:$B$1201,$A759))</f>
        <v/>
      </c>
      <c r="T759" s="19" t="str">
        <f aca="false">IF(OR($A759="",INDEX(_LEITURA!$Q$2:$Q$21,10)=0),"",SUMIFS(DECKS!$D$2:$D$1201,DECKS!$A$2:$A$1201,INDEX(_LEITURA!$P$2:$P$21,10),DECKS!$B$2:$B$1201,$A759))</f>
        <v/>
      </c>
      <c r="U759" s="19" t="str">
        <f aca="false">IF(OR($A759="",INDEX(_LEITURA!$Q$2:$Q$21,11)=0),"",SUMIFS(DECKS!$D$2:$D$1201,DECKS!$A$2:$A$1201,INDEX(_LEITURA!$P$2:$P$21,11),DECKS!$B$2:$B$1201,$A759))</f>
        <v/>
      </c>
      <c r="V759" s="19" t="str">
        <f aca="false">IF(OR($A759="",INDEX(_LEITURA!$Q$2:$Q$21,12)=0),"",SUMIFS(DECKS!$D$2:$D$1201,DECKS!$A$2:$A$1201,INDEX(_LEITURA!$P$2:$P$21,12),DECKS!$B$2:$B$1201,$A759))</f>
        <v/>
      </c>
      <c r="W759" s="19" t="str">
        <f aca="false">IF(OR($A759="",INDEX(_LEITURA!$Q$2:$Q$21,13)=0),"",SUMIFS(DECKS!$D$2:$D$1201,DECKS!$A$2:$A$1201,INDEX(_LEITURA!$P$2:$P$21,13),DECKS!$B$2:$B$1201,$A759))</f>
        <v/>
      </c>
      <c r="X759" s="19" t="str">
        <f aca="false">IF(OR($A759="",INDEX(_LEITURA!$Q$2:$Q$21,14)=0),"",SUMIFS(DECKS!$D$2:$D$1201,DECKS!$A$2:$A$1201,INDEX(_LEITURA!$P$2:$P$21,14),DECKS!$B$2:$B$1201,$A759))</f>
        <v/>
      </c>
      <c r="Y759" s="19" t="str">
        <f aca="false">IF(OR($A759="",INDEX(_LEITURA!$Q$2:$Q$21,15)=0),"",SUMIFS(DECKS!$D$2:$D$1201,DECKS!$A$2:$A$1201,INDEX(_LEITURA!$P$2:$P$21,15),DECKS!$B$2:$B$1201,$A759))</f>
        <v/>
      </c>
      <c r="Z759" s="19" t="str">
        <f aca="false">IF(OR($A759="",INDEX(_LEITURA!$Q$2:$Q$21,16)=0),"",SUMIFS(DECKS!$D$2:$D$1201,DECKS!$A$2:$A$1201,INDEX(_LEITURA!$P$2:$P$21,16),DECKS!$B$2:$B$1201,$A759))</f>
        <v/>
      </c>
      <c r="AA759" s="19" t="str">
        <f aca="false">IF(OR($A759="",INDEX(_LEITURA!$Q$2:$Q$21,17)=0),"",SUMIFS(DECKS!$D$2:$D$1201,DECKS!$A$2:$A$1201,INDEX(_LEITURA!$P$2:$P$21,17),DECKS!$B$2:$B$1201,$A759))</f>
        <v/>
      </c>
      <c r="AB759" s="19" t="str">
        <f aca="false">IF(OR($A759="",INDEX(_LEITURA!$Q$2:$Q$21,18)=0),"",SUMIFS(DECKS!$D$2:$D$1201,DECKS!$A$2:$A$1201,INDEX(_LEITURA!$P$2:$P$21,18),DECKS!$B$2:$B$1201,$A759))</f>
        <v/>
      </c>
      <c r="AC759" s="19" t="str">
        <f aca="false">IF(OR($A759="",INDEX(_LEITURA!$Q$2:$Q$21,19)=0),"",SUMIFS(DECKS!$D$2:$D$1201,DECKS!$A$2:$A$1201,INDEX(_LEITURA!$P$2:$P$21,19),DECKS!$B$2:$B$1201,$A759))</f>
        <v/>
      </c>
      <c r="AD759" s="19" t="str">
        <f aca="false">IF(OR($A759="",INDEX(_LEITURA!$Q$2:$Q$21,20)=0),"",SUMIFS(DECKS!$D$2:$D$1201,DECKS!$A$2:$A$1201,INDEX(_LEITURA!$P$2:$P$21,20),DECKS!$B$2:$B$1201,$A759))</f>
        <v/>
      </c>
      <c r="AE759" s="16" t="str">
        <f aca="false">IF(N(E759)&gt;0,MAX(AE$1:AE758)+1,"")</f>
        <v/>
      </c>
      <c r="AF759" s="11" t="str">
        <f aca="false">IF(A759="","",IFERROR(LEFT(A759,FIND("-",A759)-1),A759))</f>
        <v/>
      </c>
      <c r="AG759" s="11" t="str">
        <f aca="false">IF(AF759="","",IF(ISNUMBER(--MID(AF759,1,1)),0,IF(ISNUMBER(--MID(AF759,2,1)),1,IF(ISNUMBER(--MID(AF759,3,1)),2,IF(ISNUMBER(--MID(AF759,4,1)),3,MIN(LEN(AF759),4))))))</f>
        <v/>
      </c>
      <c r="AH759" s="11" t="str">
        <f aca="false">IF(A759="","",LEFT(AF759,AG759)&amp;REPT("0",4-AG759)&amp;RIGHT("000"&amp;IFERROR(VALUE(MID(AF759,AG759+1,9)),0),3)&amp;RIGHT("0000"&amp;IFERROR(VALUE(MID(A759,FIND("-",A759)+1,9)),0),4))</f>
        <v/>
      </c>
      <c r="AI759" s="11" t="str">
        <f aca="false">IF(OR(A759="",N(E759)&lt;=0),"",IF('FALTAS GERAL'!$M$1="Código","K"&amp;AH759&amp;RIGHT("00000"&amp;ROW(),5),IF('FALTAS GERAL'!$M$1="Nome","K"&amp;UPPER(SUBSTITUTE(SUBSTITUTE(SUBSTITUTE(B759,"*",""),"?",""),"~",""))&amp;"0"&amp;AH759&amp;RIGHT("00000"&amp;ROW(),5),IF('FALTAS GERAL'!$M$1="Falta (maior primeiro)","K"&amp;RIGHT("0000"&amp;(9999-E759),4)&amp;AH759&amp;RIGHT("00000"&amp;ROW(),5),IF('FALTAS GERAL'!$M$1="Nº de decks (maior primeiro)","K"&amp;RIGHT("00"&amp;(99-N(G759)),2)&amp;AH759&amp;RIGHT("00000"&amp;ROW(),5),"K"&amp;RIGHT("00000"&amp;ROW(),5))))))</f>
        <v/>
      </c>
      <c r="AJ759" s="11" t="str">
        <f aca="false">IF(AI759="","",COUNTIFS($AI$2:$AI$801,"&lt;"&amp;AI759,$E$2:$E$801,"&gt;0")+1)</f>
        <v/>
      </c>
      <c r="AK759" s="11" t="str">
        <f aca="false">IF(OR(A759="",N(E759)&lt;=0),"",COUNTIFS($AH$2:$AH$801,"&lt;"&amp;AH759,$E$2:$E$801,"&gt;0")+COUNTIFS($AH$2:AH759,AH759,$E$2:E759,"&gt;0"))</f>
        <v/>
      </c>
    </row>
    <row r="760" customFormat="false" ht="15" hidden="false" customHeight="false" outlineLevel="0" collapsed="false">
      <c r="A760" s="11" t="str">
        <f aca="false">IF(INVENTÁRIO!A760="","",INVENTÁRIO!A760)</f>
        <v/>
      </c>
      <c r="B760" s="11" t="str">
        <f aca="false">IF(A760="","",INVENTÁRIO!B760)</f>
        <v/>
      </c>
      <c r="C760" s="16" t="str">
        <f aca="false">IF(A760="","",INVENTÁRIO!C760)</f>
        <v/>
      </c>
      <c r="D760" s="14" t="str">
        <f aca="false">IF(A760="","",MAX(K760:AD760))</f>
        <v/>
      </c>
      <c r="E760" s="14" t="str">
        <f aca="false">IF(A760="","",MAX(0,D760-C760))</f>
        <v/>
      </c>
      <c r="F760" s="16" t="str">
        <f aca="false">IF(A760="","",IF(D760=0,"Fora dos decks",IF(E760=0,"Completo","Falta")))</f>
        <v/>
      </c>
      <c r="G760" s="16" t="str">
        <f aca="false">IF(A760="","",COUNTIF(K760:AD760,"&gt;0"))</f>
        <v/>
      </c>
      <c r="H760" s="16" t="str">
        <f aca="false">IF(A760="","",IF(G760&gt;1,"Sim",""))</f>
        <v/>
      </c>
      <c r="I760" s="18" t="str">
        <f aca="false">IF(A760="","",SUMIFS(DECKS!$D$2:$D$1201,DECKS!$B$2:$B$1201,A760))</f>
        <v/>
      </c>
      <c r="J760" s="18" t="str">
        <f aca="false">IF(A760="","",MAX(0,I760-C760))</f>
        <v/>
      </c>
      <c r="K760" s="19" t="str">
        <f aca="false">IF(OR($A760="",INDEX(_LEITURA!$Q$2:$Q$21,1)=0),"",SUMIFS(DECKS!$D$2:$D$1201,DECKS!$A$2:$A$1201,INDEX(_LEITURA!$P$2:$P$21,1),DECKS!$B$2:$B$1201,$A760))</f>
        <v/>
      </c>
      <c r="L760" s="19" t="str">
        <f aca="false">IF(OR($A760="",INDEX(_LEITURA!$Q$2:$Q$21,2)=0),"",SUMIFS(DECKS!$D$2:$D$1201,DECKS!$A$2:$A$1201,INDEX(_LEITURA!$P$2:$P$21,2),DECKS!$B$2:$B$1201,$A760))</f>
        <v/>
      </c>
      <c r="M760" s="19" t="str">
        <f aca="false">IF(OR($A760="",INDEX(_LEITURA!$Q$2:$Q$21,3)=0),"",SUMIFS(DECKS!$D$2:$D$1201,DECKS!$A$2:$A$1201,INDEX(_LEITURA!$P$2:$P$21,3),DECKS!$B$2:$B$1201,$A760))</f>
        <v/>
      </c>
      <c r="N760" s="19" t="str">
        <f aca="false">IF(OR($A760="",INDEX(_LEITURA!$Q$2:$Q$21,4)=0),"",SUMIFS(DECKS!$D$2:$D$1201,DECKS!$A$2:$A$1201,INDEX(_LEITURA!$P$2:$P$21,4),DECKS!$B$2:$B$1201,$A760))</f>
        <v/>
      </c>
      <c r="O760" s="19" t="str">
        <f aca="false">IF(OR($A760="",INDEX(_LEITURA!$Q$2:$Q$21,5)=0),"",SUMIFS(DECKS!$D$2:$D$1201,DECKS!$A$2:$A$1201,INDEX(_LEITURA!$P$2:$P$21,5),DECKS!$B$2:$B$1201,$A760))</f>
        <v/>
      </c>
      <c r="P760" s="19" t="str">
        <f aca="false">IF(OR($A760="",INDEX(_LEITURA!$Q$2:$Q$21,6)=0),"",SUMIFS(DECKS!$D$2:$D$1201,DECKS!$A$2:$A$1201,INDEX(_LEITURA!$P$2:$P$21,6),DECKS!$B$2:$B$1201,$A760))</f>
        <v/>
      </c>
      <c r="Q760" s="19" t="str">
        <f aca="false">IF(OR($A760="",INDEX(_LEITURA!$Q$2:$Q$21,7)=0),"",SUMIFS(DECKS!$D$2:$D$1201,DECKS!$A$2:$A$1201,INDEX(_LEITURA!$P$2:$P$21,7),DECKS!$B$2:$B$1201,$A760))</f>
        <v/>
      </c>
      <c r="R760" s="19" t="str">
        <f aca="false">IF(OR($A760="",INDEX(_LEITURA!$Q$2:$Q$21,8)=0),"",SUMIFS(DECKS!$D$2:$D$1201,DECKS!$A$2:$A$1201,INDEX(_LEITURA!$P$2:$P$21,8),DECKS!$B$2:$B$1201,$A760))</f>
        <v/>
      </c>
      <c r="S760" s="19" t="str">
        <f aca="false">IF(OR($A760="",INDEX(_LEITURA!$Q$2:$Q$21,9)=0),"",SUMIFS(DECKS!$D$2:$D$1201,DECKS!$A$2:$A$1201,INDEX(_LEITURA!$P$2:$P$21,9),DECKS!$B$2:$B$1201,$A760))</f>
        <v/>
      </c>
      <c r="T760" s="19" t="str">
        <f aca="false">IF(OR($A760="",INDEX(_LEITURA!$Q$2:$Q$21,10)=0),"",SUMIFS(DECKS!$D$2:$D$1201,DECKS!$A$2:$A$1201,INDEX(_LEITURA!$P$2:$P$21,10),DECKS!$B$2:$B$1201,$A760))</f>
        <v/>
      </c>
      <c r="U760" s="19" t="str">
        <f aca="false">IF(OR($A760="",INDEX(_LEITURA!$Q$2:$Q$21,11)=0),"",SUMIFS(DECKS!$D$2:$D$1201,DECKS!$A$2:$A$1201,INDEX(_LEITURA!$P$2:$P$21,11),DECKS!$B$2:$B$1201,$A760))</f>
        <v/>
      </c>
      <c r="V760" s="19" t="str">
        <f aca="false">IF(OR($A760="",INDEX(_LEITURA!$Q$2:$Q$21,12)=0),"",SUMIFS(DECKS!$D$2:$D$1201,DECKS!$A$2:$A$1201,INDEX(_LEITURA!$P$2:$P$21,12),DECKS!$B$2:$B$1201,$A760))</f>
        <v/>
      </c>
      <c r="W760" s="19" t="str">
        <f aca="false">IF(OR($A760="",INDEX(_LEITURA!$Q$2:$Q$21,13)=0),"",SUMIFS(DECKS!$D$2:$D$1201,DECKS!$A$2:$A$1201,INDEX(_LEITURA!$P$2:$P$21,13),DECKS!$B$2:$B$1201,$A760))</f>
        <v/>
      </c>
      <c r="X760" s="19" t="str">
        <f aca="false">IF(OR($A760="",INDEX(_LEITURA!$Q$2:$Q$21,14)=0),"",SUMIFS(DECKS!$D$2:$D$1201,DECKS!$A$2:$A$1201,INDEX(_LEITURA!$P$2:$P$21,14),DECKS!$B$2:$B$1201,$A760))</f>
        <v/>
      </c>
      <c r="Y760" s="19" t="str">
        <f aca="false">IF(OR($A760="",INDEX(_LEITURA!$Q$2:$Q$21,15)=0),"",SUMIFS(DECKS!$D$2:$D$1201,DECKS!$A$2:$A$1201,INDEX(_LEITURA!$P$2:$P$21,15),DECKS!$B$2:$B$1201,$A760))</f>
        <v/>
      </c>
      <c r="Z760" s="19" t="str">
        <f aca="false">IF(OR($A760="",INDEX(_LEITURA!$Q$2:$Q$21,16)=0),"",SUMIFS(DECKS!$D$2:$D$1201,DECKS!$A$2:$A$1201,INDEX(_LEITURA!$P$2:$P$21,16),DECKS!$B$2:$B$1201,$A760))</f>
        <v/>
      </c>
      <c r="AA760" s="19" t="str">
        <f aca="false">IF(OR($A760="",INDEX(_LEITURA!$Q$2:$Q$21,17)=0),"",SUMIFS(DECKS!$D$2:$D$1201,DECKS!$A$2:$A$1201,INDEX(_LEITURA!$P$2:$P$21,17),DECKS!$B$2:$B$1201,$A760))</f>
        <v/>
      </c>
      <c r="AB760" s="19" t="str">
        <f aca="false">IF(OR($A760="",INDEX(_LEITURA!$Q$2:$Q$21,18)=0),"",SUMIFS(DECKS!$D$2:$D$1201,DECKS!$A$2:$A$1201,INDEX(_LEITURA!$P$2:$P$21,18),DECKS!$B$2:$B$1201,$A760))</f>
        <v/>
      </c>
      <c r="AC760" s="19" t="str">
        <f aca="false">IF(OR($A760="",INDEX(_LEITURA!$Q$2:$Q$21,19)=0),"",SUMIFS(DECKS!$D$2:$D$1201,DECKS!$A$2:$A$1201,INDEX(_LEITURA!$P$2:$P$21,19),DECKS!$B$2:$B$1201,$A760))</f>
        <v/>
      </c>
      <c r="AD760" s="19" t="str">
        <f aca="false">IF(OR($A760="",INDEX(_LEITURA!$Q$2:$Q$21,20)=0),"",SUMIFS(DECKS!$D$2:$D$1201,DECKS!$A$2:$A$1201,INDEX(_LEITURA!$P$2:$P$21,20),DECKS!$B$2:$B$1201,$A760))</f>
        <v/>
      </c>
      <c r="AE760" s="16" t="str">
        <f aca="false">IF(N(E760)&gt;0,MAX(AE$1:AE759)+1,"")</f>
        <v/>
      </c>
      <c r="AF760" s="11" t="str">
        <f aca="false">IF(A760="","",IFERROR(LEFT(A760,FIND("-",A760)-1),A760))</f>
        <v/>
      </c>
      <c r="AG760" s="11" t="str">
        <f aca="false">IF(AF760="","",IF(ISNUMBER(--MID(AF760,1,1)),0,IF(ISNUMBER(--MID(AF760,2,1)),1,IF(ISNUMBER(--MID(AF760,3,1)),2,IF(ISNUMBER(--MID(AF760,4,1)),3,MIN(LEN(AF760),4))))))</f>
        <v/>
      </c>
      <c r="AH760" s="11" t="str">
        <f aca="false">IF(A760="","",LEFT(AF760,AG760)&amp;REPT("0",4-AG760)&amp;RIGHT("000"&amp;IFERROR(VALUE(MID(AF760,AG760+1,9)),0),3)&amp;RIGHT("0000"&amp;IFERROR(VALUE(MID(A760,FIND("-",A760)+1,9)),0),4))</f>
        <v/>
      </c>
      <c r="AI760" s="11" t="str">
        <f aca="false">IF(OR(A760="",N(E760)&lt;=0),"",IF('FALTAS GERAL'!$M$1="Código","K"&amp;AH760&amp;RIGHT("00000"&amp;ROW(),5),IF('FALTAS GERAL'!$M$1="Nome","K"&amp;UPPER(SUBSTITUTE(SUBSTITUTE(SUBSTITUTE(B760,"*",""),"?",""),"~",""))&amp;"0"&amp;AH760&amp;RIGHT("00000"&amp;ROW(),5),IF('FALTAS GERAL'!$M$1="Falta (maior primeiro)","K"&amp;RIGHT("0000"&amp;(9999-E760),4)&amp;AH760&amp;RIGHT("00000"&amp;ROW(),5),IF('FALTAS GERAL'!$M$1="Nº de decks (maior primeiro)","K"&amp;RIGHT("00"&amp;(99-N(G760)),2)&amp;AH760&amp;RIGHT("00000"&amp;ROW(),5),"K"&amp;RIGHT("00000"&amp;ROW(),5))))))</f>
        <v/>
      </c>
      <c r="AJ760" s="11" t="str">
        <f aca="false">IF(AI760="","",COUNTIFS($AI$2:$AI$801,"&lt;"&amp;AI760,$E$2:$E$801,"&gt;0")+1)</f>
        <v/>
      </c>
      <c r="AK760" s="11" t="str">
        <f aca="false">IF(OR(A760="",N(E760)&lt;=0),"",COUNTIFS($AH$2:$AH$801,"&lt;"&amp;AH760,$E$2:$E$801,"&gt;0")+COUNTIFS($AH$2:AH760,AH760,$E$2:E760,"&gt;0"))</f>
        <v/>
      </c>
    </row>
    <row r="761" customFormat="false" ht="15" hidden="false" customHeight="false" outlineLevel="0" collapsed="false">
      <c r="A761" s="11" t="str">
        <f aca="false">IF(INVENTÁRIO!A761="","",INVENTÁRIO!A761)</f>
        <v/>
      </c>
      <c r="B761" s="11" t="str">
        <f aca="false">IF(A761="","",INVENTÁRIO!B761)</f>
        <v/>
      </c>
      <c r="C761" s="16" t="str">
        <f aca="false">IF(A761="","",INVENTÁRIO!C761)</f>
        <v/>
      </c>
      <c r="D761" s="14" t="str">
        <f aca="false">IF(A761="","",MAX(K761:AD761))</f>
        <v/>
      </c>
      <c r="E761" s="14" t="str">
        <f aca="false">IF(A761="","",MAX(0,D761-C761))</f>
        <v/>
      </c>
      <c r="F761" s="16" t="str">
        <f aca="false">IF(A761="","",IF(D761=0,"Fora dos decks",IF(E761=0,"Completo","Falta")))</f>
        <v/>
      </c>
      <c r="G761" s="16" t="str">
        <f aca="false">IF(A761="","",COUNTIF(K761:AD761,"&gt;0"))</f>
        <v/>
      </c>
      <c r="H761" s="16" t="str">
        <f aca="false">IF(A761="","",IF(G761&gt;1,"Sim",""))</f>
        <v/>
      </c>
      <c r="I761" s="18" t="str">
        <f aca="false">IF(A761="","",SUMIFS(DECKS!$D$2:$D$1201,DECKS!$B$2:$B$1201,A761))</f>
        <v/>
      </c>
      <c r="J761" s="18" t="str">
        <f aca="false">IF(A761="","",MAX(0,I761-C761))</f>
        <v/>
      </c>
      <c r="K761" s="19" t="str">
        <f aca="false">IF(OR($A761="",INDEX(_LEITURA!$Q$2:$Q$21,1)=0),"",SUMIFS(DECKS!$D$2:$D$1201,DECKS!$A$2:$A$1201,INDEX(_LEITURA!$P$2:$P$21,1),DECKS!$B$2:$B$1201,$A761))</f>
        <v/>
      </c>
      <c r="L761" s="19" t="str">
        <f aca="false">IF(OR($A761="",INDEX(_LEITURA!$Q$2:$Q$21,2)=0),"",SUMIFS(DECKS!$D$2:$D$1201,DECKS!$A$2:$A$1201,INDEX(_LEITURA!$P$2:$P$21,2),DECKS!$B$2:$B$1201,$A761))</f>
        <v/>
      </c>
      <c r="M761" s="19" t="str">
        <f aca="false">IF(OR($A761="",INDEX(_LEITURA!$Q$2:$Q$21,3)=0),"",SUMIFS(DECKS!$D$2:$D$1201,DECKS!$A$2:$A$1201,INDEX(_LEITURA!$P$2:$P$21,3),DECKS!$B$2:$B$1201,$A761))</f>
        <v/>
      </c>
      <c r="N761" s="19" t="str">
        <f aca="false">IF(OR($A761="",INDEX(_LEITURA!$Q$2:$Q$21,4)=0),"",SUMIFS(DECKS!$D$2:$D$1201,DECKS!$A$2:$A$1201,INDEX(_LEITURA!$P$2:$P$21,4),DECKS!$B$2:$B$1201,$A761))</f>
        <v/>
      </c>
      <c r="O761" s="19" t="str">
        <f aca="false">IF(OR($A761="",INDEX(_LEITURA!$Q$2:$Q$21,5)=0),"",SUMIFS(DECKS!$D$2:$D$1201,DECKS!$A$2:$A$1201,INDEX(_LEITURA!$P$2:$P$21,5),DECKS!$B$2:$B$1201,$A761))</f>
        <v/>
      </c>
      <c r="P761" s="19" t="str">
        <f aca="false">IF(OR($A761="",INDEX(_LEITURA!$Q$2:$Q$21,6)=0),"",SUMIFS(DECKS!$D$2:$D$1201,DECKS!$A$2:$A$1201,INDEX(_LEITURA!$P$2:$P$21,6),DECKS!$B$2:$B$1201,$A761))</f>
        <v/>
      </c>
      <c r="Q761" s="19" t="str">
        <f aca="false">IF(OR($A761="",INDEX(_LEITURA!$Q$2:$Q$21,7)=0),"",SUMIFS(DECKS!$D$2:$D$1201,DECKS!$A$2:$A$1201,INDEX(_LEITURA!$P$2:$P$21,7),DECKS!$B$2:$B$1201,$A761))</f>
        <v/>
      </c>
      <c r="R761" s="19" t="str">
        <f aca="false">IF(OR($A761="",INDEX(_LEITURA!$Q$2:$Q$21,8)=0),"",SUMIFS(DECKS!$D$2:$D$1201,DECKS!$A$2:$A$1201,INDEX(_LEITURA!$P$2:$P$21,8),DECKS!$B$2:$B$1201,$A761))</f>
        <v/>
      </c>
      <c r="S761" s="19" t="str">
        <f aca="false">IF(OR($A761="",INDEX(_LEITURA!$Q$2:$Q$21,9)=0),"",SUMIFS(DECKS!$D$2:$D$1201,DECKS!$A$2:$A$1201,INDEX(_LEITURA!$P$2:$P$21,9),DECKS!$B$2:$B$1201,$A761))</f>
        <v/>
      </c>
      <c r="T761" s="19" t="str">
        <f aca="false">IF(OR($A761="",INDEX(_LEITURA!$Q$2:$Q$21,10)=0),"",SUMIFS(DECKS!$D$2:$D$1201,DECKS!$A$2:$A$1201,INDEX(_LEITURA!$P$2:$P$21,10),DECKS!$B$2:$B$1201,$A761))</f>
        <v/>
      </c>
      <c r="U761" s="19" t="str">
        <f aca="false">IF(OR($A761="",INDEX(_LEITURA!$Q$2:$Q$21,11)=0),"",SUMIFS(DECKS!$D$2:$D$1201,DECKS!$A$2:$A$1201,INDEX(_LEITURA!$P$2:$P$21,11),DECKS!$B$2:$B$1201,$A761))</f>
        <v/>
      </c>
      <c r="V761" s="19" t="str">
        <f aca="false">IF(OR($A761="",INDEX(_LEITURA!$Q$2:$Q$21,12)=0),"",SUMIFS(DECKS!$D$2:$D$1201,DECKS!$A$2:$A$1201,INDEX(_LEITURA!$P$2:$P$21,12),DECKS!$B$2:$B$1201,$A761))</f>
        <v/>
      </c>
      <c r="W761" s="19" t="str">
        <f aca="false">IF(OR($A761="",INDEX(_LEITURA!$Q$2:$Q$21,13)=0),"",SUMIFS(DECKS!$D$2:$D$1201,DECKS!$A$2:$A$1201,INDEX(_LEITURA!$P$2:$P$21,13),DECKS!$B$2:$B$1201,$A761))</f>
        <v/>
      </c>
      <c r="X761" s="19" t="str">
        <f aca="false">IF(OR($A761="",INDEX(_LEITURA!$Q$2:$Q$21,14)=0),"",SUMIFS(DECKS!$D$2:$D$1201,DECKS!$A$2:$A$1201,INDEX(_LEITURA!$P$2:$P$21,14),DECKS!$B$2:$B$1201,$A761))</f>
        <v/>
      </c>
      <c r="Y761" s="19" t="str">
        <f aca="false">IF(OR($A761="",INDEX(_LEITURA!$Q$2:$Q$21,15)=0),"",SUMIFS(DECKS!$D$2:$D$1201,DECKS!$A$2:$A$1201,INDEX(_LEITURA!$P$2:$P$21,15),DECKS!$B$2:$B$1201,$A761))</f>
        <v/>
      </c>
      <c r="Z761" s="19" t="str">
        <f aca="false">IF(OR($A761="",INDEX(_LEITURA!$Q$2:$Q$21,16)=0),"",SUMIFS(DECKS!$D$2:$D$1201,DECKS!$A$2:$A$1201,INDEX(_LEITURA!$P$2:$P$21,16),DECKS!$B$2:$B$1201,$A761))</f>
        <v/>
      </c>
      <c r="AA761" s="19" t="str">
        <f aca="false">IF(OR($A761="",INDEX(_LEITURA!$Q$2:$Q$21,17)=0),"",SUMIFS(DECKS!$D$2:$D$1201,DECKS!$A$2:$A$1201,INDEX(_LEITURA!$P$2:$P$21,17),DECKS!$B$2:$B$1201,$A761))</f>
        <v/>
      </c>
      <c r="AB761" s="19" t="str">
        <f aca="false">IF(OR($A761="",INDEX(_LEITURA!$Q$2:$Q$21,18)=0),"",SUMIFS(DECKS!$D$2:$D$1201,DECKS!$A$2:$A$1201,INDEX(_LEITURA!$P$2:$P$21,18),DECKS!$B$2:$B$1201,$A761))</f>
        <v/>
      </c>
      <c r="AC761" s="19" t="str">
        <f aca="false">IF(OR($A761="",INDEX(_LEITURA!$Q$2:$Q$21,19)=0),"",SUMIFS(DECKS!$D$2:$D$1201,DECKS!$A$2:$A$1201,INDEX(_LEITURA!$P$2:$P$21,19),DECKS!$B$2:$B$1201,$A761))</f>
        <v/>
      </c>
      <c r="AD761" s="19" t="str">
        <f aca="false">IF(OR($A761="",INDEX(_LEITURA!$Q$2:$Q$21,20)=0),"",SUMIFS(DECKS!$D$2:$D$1201,DECKS!$A$2:$A$1201,INDEX(_LEITURA!$P$2:$P$21,20),DECKS!$B$2:$B$1201,$A761))</f>
        <v/>
      </c>
      <c r="AE761" s="16" t="str">
        <f aca="false">IF(N(E761)&gt;0,MAX(AE$1:AE760)+1,"")</f>
        <v/>
      </c>
      <c r="AF761" s="11" t="str">
        <f aca="false">IF(A761="","",IFERROR(LEFT(A761,FIND("-",A761)-1),A761))</f>
        <v/>
      </c>
      <c r="AG761" s="11" t="str">
        <f aca="false">IF(AF761="","",IF(ISNUMBER(--MID(AF761,1,1)),0,IF(ISNUMBER(--MID(AF761,2,1)),1,IF(ISNUMBER(--MID(AF761,3,1)),2,IF(ISNUMBER(--MID(AF761,4,1)),3,MIN(LEN(AF761),4))))))</f>
        <v/>
      </c>
      <c r="AH761" s="11" t="str">
        <f aca="false">IF(A761="","",LEFT(AF761,AG761)&amp;REPT("0",4-AG761)&amp;RIGHT("000"&amp;IFERROR(VALUE(MID(AF761,AG761+1,9)),0),3)&amp;RIGHT("0000"&amp;IFERROR(VALUE(MID(A761,FIND("-",A761)+1,9)),0),4))</f>
        <v/>
      </c>
      <c r="AI761" s="11" t="str">
        <f aca="false">IF(OR(A761="",N(E761)&lt;=0),"",IF('FALTAS GERAL'!$M$1="Código","K"&amp;AH761&amp;RIGHT("00000"&amp;ROW(),5),IF('FALTAS GERAL'!$M$1="Nome","K"&amp;UPPER(SUBSTITUTE(SUBSTITUTE(SUBSTITUTE(B761,"*",""),"?",""),"~",""))&amp;"0"&amp;AH761&amp;RIGHT("00000"&amp;ROW(),5),IF('FALTAS GERAL'!$M$1="Falta (maior primeiro)","K"&amp;RIGHT("0000"&amp;(9999-E761),4)&amp;AH761&amp;RIGHT("00000"&amp;ROW(),5),IF('FALTAS GERAL'!$M$1="Nº de decks (maior primeiro)","K"&amp;RIGHT("00"&amp;(99-N(G761)),2)&amp;AH761&amp;RIGHT("00000"&amp;ROW(),5),"K"&amp;RIGHT("00000"&amp;ROW(),5))))))</f>
        <v/>
      </c>
      <c r="AJ761" s="11" t="str">
        <f aca="false">IF(AI761="","",COUNTIFS($AI$2:$AI$801,"&lt;"&amp;AI761,$E$2:$E$801,"&gt;0")+1)</f>
        <v/>
      </c>
      <c r="AK761" s="11" t="str">
        <f aca="false">IF(OR(A761="",N(E761)&lt;=0),"",COUNTIFS($AH$2:$AH$801,"&lt;"&amp;AH761,$E$2:$E$801,"&gt;0")+COUNTIFS($AH$2:AH761,AH761,$E$2:E761,"&gt;0"))</f>
        <v/>
      </c>
    </row>
    <row r="762" customFormat="false" ht="15" hidden="false" customHeight="false" outlineLevel="0" collapsed="false">
      <c r="A762" s="11" t="str">
        <f aca="false">IF(INVENTÁRIO!A762="","",INVENTÁRIO!A762)</f>
        <v/>
      </c>
      <c r="B762" s="11" t="str">
        <f aca="false">IF(A762="","",INVENTÁRIO!B762)</f>
        <v/>
      </c>
      <c r="C762" s="16" t="str">
        <f aca="false">IF(A762="","",INVENTÁRIO!C762)</f>
        <v/>
      </c>
      <c r="D762" s="14" t="str">
        <f aca="false">IF(A762="","",MAX(K762:AD762))</f>
        <v/>
      </c>
      <c r="E762" s="14" t="str">
        <f aca="false">IF(A762="","",MAX(0,D762-C762))</f>
        <v/>
      </c>
      <c r="F762" s="16" t="str">
        <f aca="false">IF(A762="","",IF(D762=0,"Fora dos decks",IF(E762=0,"Completo","Falta")))</f>
        <v/>
      </c>
      <c r="G762" s="16" t="str">
        <f aca="false">IF(A762="","",COUNTIF(K762:AD762,"&gt;0"))</f>
        <v/>
      </c>
      <c r="H762" s="16" t="str">
        <f aca="false">IF(A762="","",IF(G762&gt;1,"Sim",""))</f>
        <v/>
      </c>
      <c r="I762" s="18" t="str">
        <f aca="false">IF(A762="","",SUMIFS(DECKS!$D$2:$D$1201,DECKS!$B$2:$B$1201,A762))</f>
        <v/>
      </c>
      <c r="J762" s="18" t="str">
        <f aca="false">IF(A762="","",MAX(0,I762-C762))</f>
        <v/>
      </c>
      <c r="K762" s="19" t="str">
        <f aca="false">IF(OR($A762="",INDEX(_LEITURA!$Q$2:$Q$21,1)=0),"",SUMIFS(DECKS!$D$2:$D$1201,DECKS!$A$2:$A$1201,INDEX(_LEITURA!$P$2:$P$21,1),DECKS!$B$2:$B$1201,$A762))</f>
        <v/>
      </c>
      <c r="L762" s="19" t="str">
        <f aca="false">IF(OR($A762="",INDEX(_LEITURA!$Q$2:$Q$21,2)=0),"",SUMIFS(DECKS!$D$2:$D$1201,DECKS!$A$2:$A$1201,INDEX(_LEITURA!$P$2:$P$21,2),DECKS!$B$2:$B$1201,$A762))</f>
        <v/>
      </c>
      <c r="M762" s="19" t="str">
        <f aca="false">IF(OR($A762="",INDEX(_LEITURA!$Q$2:$Q$21,3)=0),"",SUMIFS(DECKS!$D$2:$D$1201,DECKS!$A$2:$A$1201,INDEX(_LEITURA!$P$2:$P$21,3),DECKS!$B$2:$B$1201,$A762))</f>
        <v/>
      </c>
      <c r="N762" s="19" t="str">
        <f aca="false">IF(OR($A762="",INDEX(_LEITURA!$Q$2:$Q$21,4)=0),"",SUMIFS(DECKS!$D$2:$D$1201,DECKS!$A$2:$A$1201,INDEX(_LEITURA!$P$2:$P$21,4),DECKS!$B$2:$B$1201,$A762))</f>
        <v/>
      </c>
      <c r="O762" s="19" t="str">
        <f aca="false">IF(OR($A762="",INDEX(_LEITURA!$Q$2:$Q$21,5)=0),"",SUMIFS(DECKS!$D$2:$D$1201,DECKS!$A$2:$A$1201,INDEX(_LEITURA!$P$2:$P$21,5),DECKS!$B$2:$B$1201,$A762))</f>
        <v/>
      </c>
      <c r="P762" s="19" t="str">
        <f aca="false">IF(OR($A762="",INDEX(_LEITURA!$Q$2:$Q$21,6)=0),"",SUMIFS(DECKS!$D$2:$D$1201,DECKS!$A$2:$A$1201,INDEX(_LEITURA!$P$2:$P$21,6),DECKS!$B$2:$B$1201,$A762))</f>
        <v/>
      </c>
      <c r="Q762" s="19" t="str">
        <f aca="false">IF(OR($A762="",INDEX(_LEITURA!$Q$2:$Q$21,7)=0),"",SUMIFS(DECKS!$D$2:$D$1201,DECKS!$A$2:$A$1201,INDEX(_LEITURA!$P$2:$P$21,7),DECKS!$B$2:$B$1201,$A762))</f>
        <v/>
      </c>
      <c r="R762" s="19" t="str">
        <f aca="false">IF(OR($A762="",INDEX(_LEITURA!$Q$2:$Q$21,8)=0),"",SUMIFS(DECKS!$D$2:$D$1201,DECKS!$A$2:$A$1201,INDEX(_LEITURA!$P$2:$P$21,8),DECKS!$B$2:$B$1201,$A762))</f>
        <v/>
      </c>
      <c r="S762" s="19" t="str">
        <f aca="false">IF(OR($A762="",INDEX(_LEITURA!$Q$2:$Q$21,9)=0),"",SUMIFS(DECKS!$D$2:$D$1201,DECKS!$A$2:$A$1201,INDEX(_LEITURA!$P$2:$P$21,9),DECKS!$B$2:$B$1201,$A762))</f>
        <v/>
      </c>
      <c r="T762" s="19" t="str">
        <f aca="false">IF(OR($A762="",INDEX(_LEITURA!$Q$2:$Q$21,10)=0),"",SUMIFS(DECKS!$D$2:$D$1201,DECKS!$A$2:$A$1201,INDEX(_LEITURA!$P$2:$P$21,10),DECKS!$B$2:$B$1201,$A762))</f>
        <v/>
      </c>
      <c r="U762" s="19" t="str">
        <f aca="false">IF(OR($A762="",INDEX(_LEITURA!$Q$2:$Q$21,11)=0),"",SUMIFS(DECKS!$D$2:$D$1201,DECKS!$A$2:$A$1201,INDEX(_LEITURA!$P$2:$P$21,11),DECKS!$B$2:$B$1201,$A762))</f>
        <v/>
      </c>
      <c r="V762" s="19" t="str">
        <f aca="false">IF(OR($A762="",INDEX(_LEITURA!$Q$2:$Q$21,12)=0),"",SUMIFS(DECKS!$D$2:$D$1201,DECKS!$A$2:$A$1201,INDEX(_LEITURA!$P$2:$P$21,12),DECKS!$B$2:$B$1201,$A762))</f>
        <v/>
      </c>
      <c r="W762" s="19" t="str">
        <f aca="false">IF(OR($A762="",INDEX(_LEITURA!$Q$2:$Q$21,13)=0),"",SUMIFS(DECKS!$D$2:$D$1201,DECKS!$A$2:$A$1201,INDEX(_LEITURA!$P$2:$P$21,13),DECKS!$B$2:$B$1201,$A762))</f>
        <v/>
      </c>
      <c r="X762" s="19" t="str">
        <f aca="false">IF(OR($A762="",INDEX(_LEITURA!$Q$2:$Q$21,14)=0),"",SUMIFS(DECKS!$D$2:$D$1201,DECKS!$A$2:$A$1201,INDEX(_LEITURA!$P$2:$P$21,14),DECKS!$B$2:$B$1201,$A762))</f>
        <v/>
      </c>
      <c r="Y762" s="19" t="str">
        <f aca="false">IF(OR($A762="",INDEX(_LEITURA!$Q$2:$Q$21,15)=0),"",SUMIFS(DECKS!$D$2:$D$1201,DECKS!$A$2:$A$1201,INDEX(_LEITURA!$P$2:$P$21,15),DECKS!$B$2:$B$1201,$A762))</f>
        <v/>
      </c>
      <c r="Z762" s="19" t="str">
        <f aca="false">IF(OR($A762="",INDEX(_LEITURA!$Q$2:$Q$21,16)=0),"",SUMIFS(DECKS!$D$2:$D$1201,DECKS!$A$2:$A$1201,INDEX(_LEITURA!$P$2:$P$21,16),DECKS!$B$2:$B$1201,$A762))</f>
        <v/>
      </c>
      <c r="AA762" s="19" t="str">
        <f aca="false">IF(OR($A762="",INDEX(_LEITURA!$Q$2:$Q$21,17)=0),"",SUMIFS(DECKS!$D$2:$D$1201,DECKS!$A$2:$A$1201,INDEX(_LEITURA!$P$2:$P$21,17),DECKS!$B$2:$B$1201,$A762))</f>
        <v/>
      </c>
      <c r="AB762" s="19" t="str">
        <f aca="false">IF(OR($A762="",INDEX(_LEITURA!$Q$2:$Q$21,18)=0),"",SUMIFS(DECKS!$D$2:$D$1201,DECKS!$A$2:$A$1201,INDEX(_LEITURA!$P$2:$P$21,18),DECKS!$B$2:$B$1201,$A762))</f>
        <v/>
      </c>
      <c r="AC762" s="19" t="str">
        <f aca="false">IF(OR($A762="",INDEX(_LEITURA!$Q$2:$Q$21,19)=0),"",SUMIFS(DECKS!$D$2:$D$1201,DECKS!$A$2:$A$1201,INDEX(_LEITURA!$P$2:$P$21,19),DECKS!$B$2:$B$1201,$A762))</f>
        <v/>
      </c>
      <c r="AD762" s="19" t="str">
        <f aca="false">IF(OR($A762="",INDEX(_LEITURA!$Q$2:$Q$21,20)=0),"",SUMIFS(DECKS!$D$2:$D$1201,DECKS!$A$2:$A$1201,INDEX(_LEITURA!$P$2:$P$21,20),DECKS!$B$2:$B$1201,$A762))</f>
        <v/>
      </c>
      <c r="AE762" s="16" t="str">
        <f aca="false">IF(N(E762)&gt;0,MAX(AE$1:AE761)+1,"")</f>
        <v/>
      </c>
      <c r="AF762" s="11" t="str">
        <f aca="false">IF(A762="","",IFERROR(LEFT(A762,FIND("-",A762)-1),A762))</f>
        <v/>
      </c>
      <c r="AG762" s="11" t="str">
        <f aca="false">IF(AF762="","",IF(ISNUMBER(--MID(AF762,1,1)),0,IF(ISNUMBER(--MID(AF762,2,1)),1,IF(ISNUMBER(--MID(AF762,3,1)),2,IF(ISNUMBER(--MID(AF762,4,1)),3,MIN(LEN(AF762),4))))))</f>
        <v/>
      </c>
      <c r="AH762" s="11" t="str">
        <f aca="false">IF(A762="","",LEFT(AF762,AG762)&amp;REPT("0",4-AG762)&amp;RIGHT("000"&amp;IFERROR(VALUE(MID(AF762,AG762+1,9)),0),3)&amp;RIGHT("0000"&amp;IFERROR(VALUE(MID(A762,FIND("-",A762)+1,9)),0),4))</f>
        <v/>
      </c>
      <c r="AI762" s="11" t="str">
        <f aca="false">IF(OR(A762="",N(E762)&lt;=0),"",IF('FALTAS GERAL'!$M$1="Código","K"&amp;AH762&amp;RIGHT("00000"&amp;ROW(),5),IF('FALTAS GERAL'!$M$1="Nome","K"&amp;UPPER(SUBSTITUTE(SUBSTITUTE(SUBSTITUTE(B762,"*",""),"?",""),"~",""))&amp;"0"&amp;AH762&amp;RIGHT("00000"&amp;ROW(),5),IF('FALTAS GERAL'!$M$1="Falta (maior primeiro)","K"&amp;RIGHT("0000"&amp;(9999-E762),4)&amp;AH762&amp;RIGHT("00000"&amp;ROW(),5),IF('FALTAS GERAL'!$M$1="Nº de decks (maior primeiro)","K"&amp;RIGHT("00"&amp;(99-N(G762)),2)&amp;AH762&amp;RIGHT("00000"&amp;ROW(),5),"K"&amp;RIGHT("00000"&amp;ROW(),5))))))</f>
        <v/>
      </c>
      <c r="AJ762" s="11" t="str">
        <f aca="false">IF(AI762="","",COUNTIFS($AI$2:$AI$801,"&lt;"&amp;AI762,$E$2:$E$801,"&gt;0")+1)</f>
        <v/>
      </c>
      <c r="AK762" s="11" t="str">
        <f aca="false">IF(OR(A762="",N(E762)&lt;=0),"",COUNTIFS($AH$2:$AH$801,"&lt;"&amp;AH762,$E$2:$E$801,"&gt;0")+COUNTIFS($AH$2:AH762,AH762,$E$2:E762,"&gt;0"))</f>
        <v/>
      </c>
    </row>
    <row r="763" customFormat="false" ht="15" hidden="false" customHeight="false" outlineLevel="0" collapsed="false">
      <c r="A763" s="11" t="str">
        <f aca="false">IF(INVENTÁRIO!A763="","",INVENTÁRIO!A763)</f>
        <v/>
      </c>
      <c r="B763" s="11" t="str">
        <f aca="false">IF(A763="","",INVENTÁRIO!B763)</f>
        <v/>
      </c>
      <c r="C763" s="16" t="str">
        <f aca="false">IF(A763="","",INVENTÁRIO!C763)</f>
        <v/>
      </c>
      <c r="D763" s="14" t="str">
        <f aca="false">IF(A763="","",MAX(K763:AD763))</f>
        <v/>
      </c>
      <c r="E763" s="14" t="str">
        <f aca="false">IF(A763="","",MAX(0,D763-C763))</f>
        <v/>
      </c>
      <c r="F763" s="16" t="str">
        <f aca="false">IF(A763="","",IF(D763=0,"Fora dos decks",IF(E763=0,"Completo","Falta")))</f>
        <v/>
      </c>
      <c r="G763" s="16" t="str">
        <f aca="false">IF(A763="","",COUNTIF(K763:AD763,"&gt;0"))</f>
        <v/>
      </c>
      <c r="H763" s="16" t="str">
        <f aca="false">IF(A763="","",IF(G763&gt;1,"Sim",""))</f>
        <v/>
      </c>
      <c r="I763" s="18" t="str">
        <f aca="false">IF(A763="","",SUMIFS(DECKS!$D$2:$D$1201,DECKS!$B$2:$B$1201,A763))</f>
        <v/>
      </c>
      <c r="J763" s="18" t="str">
        <f aca="false">IF(A763="","",MAX(0,I763-C763))</f>
        <v/>
      </c>
      <c r="K763" s="19" t="str">
        <f aca="false">IF(OR($A763="",INDEX(_LEITURA!$Q$2:$Q$21,1)=0),"",SUMIFS(DECKS!$D$2:$D$1201,DECKS!$A$2:$A$1201,INDEX(_LEITURA!$P$2:$P$21,1),DECKS!$B$2:$B$1201,$A763))</f>
        <v/>
      </c>
      <c r="L763" s="19" t="str">
        <f aca="false">IF(OR($A763="",INDEX(_LEITURA!$Q$2:$Q$21,2)=0),"",SUMIFS(DECKS!$D$2:$D$1201,DECKS!$A$2:$A$1201,INDEX(_LEITURA!$P$2:$P$21,2),DECKS!$B$2:$B$1201,$A763))</f>
        <v/>
      </c>
      <c r="M763" s="19" t="str">
        <f aca="false">IF(OR($A763="",INDEX(_LEITURA!$Q$2:$Q$21,3)=0),"",SUMIFS(DECKS!$D$2:$D$1201,DECKS!$A$2:$A$1201,INDEX(_LEITURA!$P$2:$P$21,3),DECKS!$B$2:$B$1201,$A763))</f>
        <v/>
      </c>
      <c r="N763" s="19" t="str">
        <f aca="false">IF(OR($A763="",INDEX(_LEITURA!$Q$2:$Q$21,4)=0),"",SUMIFS(DECKS!$D$2:$D$1201,DECKS!$A$2:$A$1201,INDEX(_LEITURA!$P$2:$P$21,4),DECKS!$B$2:$B$1201,$A763))</f>
        <v/>
      </c>
      <c r="O763" s="19" t="str">
        <f aca="false">IF(OR($A763="",INDEX(_LEITURA!$Q$2:$Q$21,5)=0),"",SUMIFS(DECKS!$D$2:$D$1201,DECKS!$A$2:$A$1201,INDEX(_LEITURA!$P$2:$P$21,5),DECKS!$B$2:$B$1201,$A763))</f>
        <v/>
      </c>
      <c r="P763" s="19" t="str">
        <f aca="false">IF(OR($A763="",INDEX(_LEITURA!$Q$2:$Q$21,6)=0),"",SUMIFS(DECKS!$D$2:$D$1201,DECKS!$A$2:$A$1201,INDEX(_LEITURA!$P$2:$P$21,6),DECKS!$B$2:$B$1201,$A763))</f>
        <v/>
      </c>
      <c r="Q763" s="19" t="str">
        <f aca="false">IF(OR($A763="",INDEX(_LEITURA!$Q$2:$Q$21,7)=0),"",SUMIFS(DECKS!$D$2:$D$1201,DECKS!$A$2:$A$1201,INDEX(_LEITURA!$P$2:$P$21,7),DECKS!$B$2:$B$1201,$A763))</f>
        <v/>
      </c>
      <c r="R763" s="19" t="str">
        <f aca="false">IF(OR($A763="",INDEX(_LEITURA!$Q$2:$Q$21,8)=0),"",SUMIFS(DECKS!$D$2:$D$1201,DECKS!$A$2:$A$1201,INDEX(_LEITURA!$P$2:$P$21,8),DECKS!$B$2:$B$1201,$A763))</f>
        <v/>
      </c>
      <c r="S763" s="19" t="str">
        <f aca="false">IF(OR($A763="",INDEX(_LEITURA!$Q$2:$Q$21,9)=0),"",SUMIFS(DECKS!$D$2:$D$1201,DECKS!$A$2:$A$1201,INDEX(_LEITURA!$P$2:$P$21,9),DECKS!$B$2:$B$1201,$A763))</f>
        <v/>
      </c>
      <c r="T763" s="19" t="str">
        <f aca="false">IF(OR($A763="",INDEX(_LEITURA!$Q$2:$Q$21,10)=0),"",SUMIFS(DECKS!$D$2:$D$1201,DECKS!$A$2:$A$1201,INDEX(_LEITURA!$P$2:$P$21,10),DECKS!$B$2:$B$1201,$A763))</f>
        <v/>
      </c>
      <c r="U763" s="19" t="str">
        <f aca="false">IF(OR($A763="",INDEX(_LEITURA!$Q$2:$Q$21,11)=0),"",SUMIFS(DECKS!$D$2:$D$1201,DECKS!$A$2:$A$1201,INDEX(_LEITURA!$P$2:$P$21,11),DECKS!$B$2:$B$1201,$A763))</f>
        <v/>
      </c>
      <c r="V763" s="19" t="str">
        <f aca="false">IF(OR($A763="",INDEX(_LEITURA!$Q$2:$Q$21,12)=0),"",SUMIFS(DECKS!$D$2:$D$1201,DECKS!$A$2:$A$1201,INDEX(_LEITURA!$P$2:$P$21,12),DECKS!$B$2:$B$1201,$A763))</f>
        <v/>
      </c>
      <c r="W763" s="19" t="str">
        <f aca="false">IF(OR($A763="",INDEX(_LEITURA!$Q$2:$Q$21,13)=0),"",SUMIFS(DECKS!$D$2:$D$1201,DECKS!$A$2:$A$1201,INDEX(_LEITURA!$P$2:$P$21,13),DECKS!$B$2:$B$1201,$A763))</f>
        <v/>
      </c>
      <c r="X763" s="19" t="str">
        <f aca="false">IF(OR($A763="",INDEX(_LEITURA!$Q$2:$Q$21,14)=0),"",SUMIFS(DECKS!$D$2:$D$1201,DECKS!$A$2:$A$1201,INDEX(_LEITURA!$P$2:$P$21,14),DECKS!$B$2:$B$1201,$A763))</f>
        <v/>
      </c>
      <c r="Y763" s="19" t="str">
        <f aca="false">IF(OR($A763="",INDEX(_LEITURA!$Q$2:$Q$21,15)=0),"",SUMIFS(DECKS!$D$2:$D$1201,DECKS!$A$2:$A$1201,INDEX(_LEITURA!$P$2:$P$21,15),DECKS!$B$2:$B$1201,$A763))</f>
        <v/>
      </c>
      <c r="Z763" s="19" t="str">
        <f aca="false">IF(OR($A763="",INDEX(_LEITURA!$Q$2:$Q$21,16)=0),"",SUMIFS(DECKS!$D$2:$D$1201,DECKS!$A$2:$A$1201,INDEX(_LEITURA!$P$2:$P$21,16),DECKS!$B$2:$B$1201,$A763))</f>
        <v/>
      </c>
      <c r="AA763" s="19" t="str">
        <f aca="false">IF(OR($A763="",INDEX(_LEITURA!$Q$2:$Q$21,17)=0),"",SUMIFS(DECKS!$D$2:$D$1201,DECKS!$A$2:$A$1201,INDEX(_LEITURA!$P$2:$P$21,17),DECKS!$B$2:$B$1201,$A763))</f>
        <v/>
      </c>
      <c r="AB763" s="19" t="str">
        <f aca="false">IF(OR($A763="",INDEX(_LEITURA!$Q$2:$Q$21,18)=0),"",SUMIFS(DECKS!$D$2:$D$1201,DECKS!$A$2:$A$1201,INDEX(_LEITURA!$P$2:$P$21,18),DECKS!$B$2:$B$1201,$A763))</f>
        <v/>
      </c>
      <c r="AC763" s="19" t="str">
        <f aca="false">IF(OR($A763="",INDEX(_LEITURA!$Q$2:$Q$21,19)=0),"",SUMIFS(DECKS!$D$2:$D$1201,DECKS!$A$2:$A$1201,INDEX(_LEITURA!$P$2:$P$21,19),DECKS!$B$2:$B$1201,$A763))</f>
        <v/>
      </c>
      <c r="AD763" s="19" t="str">
        <f aca="false">IF(OR($A763="",INDEX(_LEITURA!$Q$2:$Q$21,20)=0),"",SUMIFS(DECKS!$D$2:$D$1201,DECKS!$A$2:$A$1201,INDEX(_LEITURA!$P$2:$P$21,20),DECKS!$B$2:$B$1201,$A763))</f>
        <v/>
      </c>
      <c r="AE763" s="16" t="str">
        <f aca="false">IF(N(E763)&gt;0,MAX(AE$1:AE762)+1,"")</f>
        <v/>
      </c>
      <c r="AF763" s="11" t="str">
        <f aca="false">IF(A763="","",IFERROR(LEFT(A763,FIND("-",A763)-1),A763))</f>
        <v/>
      </c>
      <c r="AG763" s="11" t="str">
        <f aca="false">IF(AF763="","",IF(ISNUMBER(--MID(AF763,1,1)),0,IF(ISNUMBER(--MID(AF763,2,1)),1,IF(ISNUMBER(--MID(AF763,3,1)),2,IF(ISNUMBER(--MID(AF763,4,1)),3,MIN(LEN(AF763),4))))))</f>
        <v/>
      </c>
      <c r="AH763" s="11" t="str">
        <f aca="false">IF(A763="","",LEFT(AF763,AG763)&amp;REPT("0",4-AG763)&amp;RIGHT("000"&amp;IFERROR(VALUE(MID(AF763,AG763+1,9)),0),3)&amp;RIGHT("0000"&amp;IFERROR(VALUE(MID(A763,FIND("-",A763)+1,9)),0),4))</f>
        <v/>
      </c>
      <c r="AI763" s="11" t="str">
        <f aca="false">IF(OR(A763="",N(E763)&lt;=0),"",IF('FALTAS GERAL'!$M$1="Código","K"&amp;AH763&amp;RIGHT("00000"&amp;ROW(),5),IF('FALTAS GERAL'!$M$1="Nome","K"&amp;UPPER(SUBSTITUTE(SUBSTITUTE(SUBSTITUTE(B763,"*",""),"?",""),"~",""))&amp;"0"&amp;AH763&amp;RIGHT("00000"&amp;ROW(),5),IF('FALTAS GERAL'!$M$1="Falta (maior primeiro)","K"&amp;RIGHT("0000"&amp;(9999-E763),4)&amp;AH763&amp;RIGHT("00000"&amp;ROW(),5),IF('FALTAS GERAL'!$M$1="Nº de decks (maior primeiro)","K"&amp;RIGHT("00"&amp;(99-N(G763)),2)&amp;AH763&amp;RIGHT("00000"&amp;ROW(),5),"K"&amp;RIGHT("00000"&amp;ROW(),5))))))</f>
        <v/>
      </c>
      <c r="AJ763" s="11" t="str">
        <f aca="false">IF(AI763="","",COUNTIFS($AI$2:$AI$801,"&lt;"&amp;AI763,$E$2:$E$801,"&gt;0")+1)</f>
        <v/>
      </c>
      <c r="AK763" s="11" t="str">
        <f aca="false">IF(OR(A763="",N(E763)&lt;=0),"",COUNTIFS($AH$2:$AH$801,"&lt;"&amp;AH763,$E$2:$E$801,"&gt;0")+COUNTIFS($AH$2:AH763,AH763,$E$2:E763,"&gt;0"))</f>
        <v/>
      </c>
    </row>
    <row r="764" customFormat="false" ht="15" hidden="false" customHeight="false" outlineLevel="0" collapsed="false">
      <c r="A764" s="11" t="str">
        <f aca="false">IF(INVENTÁRIO!A764="","",INVENTÁRIO!A764)</f>
        <v/>
      </c>
      <c r="B764" s="11" t="str">
        <f aca="false">IF(A764="","",INVENTÁRIO!B764)</f>
        <v/>
      </c>
      <c r="C764" s="16" t="str">
        <f aca="false">IF(A764="","",INVENTÁRIO!C764)</f>
        <v/>
      </c>
      <c r="D764" s="14" t="str">
        <f aca="false">IF(A764="","",MAX(K764:AD764))</f>
        <v/>
      </c>
      <c r="E764" s="14" t="str">
        <f aca="false">IF(A764="","",MAX(0,D764-C764))</f>
        <v/>
      </c>
      <c r="F764" s="16" t="str">
        <f aca="false">IF(A764="","",IF(D764=0,"Fora dos decks",IF(E764=0,"Completo","Falta")))</f>
        <v/>
      </c>
      <c r="G764" s="16" t="str">
        <f aca="false">IF(A764="","",COUNTIF(K764:AD764,"&gt;0"))</f>
        <v/>
      </c>
      <c r="H764" s="16" t="str">
        <f aca="false">IF(A764="","",IF(G764&gt;1,"Sim",""))</f>
        <v/>
      </c>
      <c r="I764" s="18" t="str">
        <f aca="false">IF(A764="","",SUMIFS(DECKS!$D$2:$D$1201,DECKS!$B$2:$B$1201,A764))</f>
        <v/>
      </c>
      <c r="J764" s="18" t="str">
        <f aca="false">IF(A764="","",MAX(0,I764-C764))</f>
        <v/>
      </c>
      <c r="K764" s="19" t="str">
        <f aca="false">IF(OR($A764="",INDEX(_LEITURA!$Q$2:$Q$21,1)=0),"",SUMIFS(DECKS!$D$2:$D$1201,DECKS!$A$2:$A$1201,INDEX(_LEITURA!$P$2:$P$21,1),DECKS!$B$2:$B$1201,$A764))</f>
        <v/>
      </c>
      <c r="L764" s="19" t="str">
        <f aca="false">IF(OR($A764="",INDEX(_LEITURA!$Q$2:$Q$21,2)=0),"",SUMIFS(DECKS!$D$2:$D$1201,DECKS!$A$2:$A$1201,INDEX(_LEITURA!$P$2:$P$21,2),DECKS!$B$2:$B$1201,$A764))</f>
        <v/>
      </c>
      <c r="M764" s="19" t="str">
        <f aca="false">IF(OR($A764="",INDEX(_LEITURA!$Q$2:$Q$21,3)=0),"",SUMIFS(DECKS!$D$2:$D$1201,DECKS!$A$2:$A$1201,INDEX(_LEITURA!$P$2:$P$21,3),DECKS!$B$2:$B$1201,$A764))</f>
        <v/>
      </c>
      <c r="N764" s="19" t="str">
        <f aca="false">IF(OR($A764="",INDEX(_LEITURA!$Q$2:$Q$21,4)=0),"",SUMIFS(DECKS!$D$2:$D$1201,DECKS!$A$2:$A$1201,INDEX(_LEITURA!$P$2:$P$21,4),DECKS!$B$2:$B$1201,$A764))</f>
        <v/>
      </c>
      <c r="O764" s="19" t="str">
        <f aca="false">IF(OR($A764="",INDEX(_LEITURA!$Q$2:$Q$21,5)=0),"",SUMIFS(DECKS!$D$2:$D$1201,DECKS!$A$2:$A$1201,INDEX(_LEITURA!$P$2:$P$21,5),DECKS!$B$2:$B$1201,$A764))</f>
        <v/>
      </c>
      <c r="P764" s="19" t="str">
        <f aca="false">IF(OR($A764="",INDEX(_LEITURA!$Q$2:$Q$21,6)=0),"",SUMIFS(DECKS!$D$2:$D$1201,DECKS!$A$2:$A$1201,INDEX(_LEITURA!$P$2:$P$21,6),DECKS!$B$2:$B$1201,$A764))</f>
        <v/>
      </c>
      <c r="Q764" s="19" t="str">
        <f aca="false">IF(OR($A764="",INDEX(_LEITURA!$Q$2:$Q$21,7)=0),"",SUMIFS(DECKS!$D$2:$D$1201,DECKS!$A$2:$A$1201,INDEX(_LEITURA!$P$2:$P$21,7),DECKS!$B$2:$B$1201,$A764))</f>
        <v/>
      </c>
      <c r="R764" s="19" t="str">
        <f aca="false">IF(OR($A764="",INDEX(_LEITURA!$Q$2:$Q$21,8)=0),"",SUMIFS(DECKS!$D$2:$D$1201,DECKS!$A$2:$A$1201,INDEX(_LEITURA!$P$2:$P$21,8),DECKS!$B$2:$B$1201,$A764))</f>
        <v/>
      </c>
      <c r="S764" s="19" t="str">
        <f aca="false">IF(OR($A764="",INDEX(_LEITURA!$Q$2:$Q$21,9)=0),"",SUMIFS(DECKS!$D$2:$D$1201,DECKS!$A$2:$A$1201,INDEX(_LEITURA!$P$2:$P$21,9),DECKS!$B$2:$B$1201,$A764))</f>
        <v/>
      </c>
      <c r="T764" s="19" t="str">
        <f aca="false">IF(OR($A764="",INDEX(_LEITURA!$Q$2:$Q$21,10)=0),"",SUMIFS(DECKS!$D$2:$D$1201,DECKS!$A$2:$A$1201,INDEX(_LEITURA!$P$2:$P$21,10),DECKS!$B$2:$B$1201,$A764))</f>
        <v/>
      </c>
      <c r="U764" s="19" t="str">
        <f aca="false">IF(OR($A764="",INDEX(_LEITURA!$Q$2:$Q$21,11)=0),"",SUMIFS(DECKS!$D$2:$D$1201,DECKS!$A$2:$A$1201,INDEX(_LEITURA!$P$2:$P$21,11),DECKS!$B$2:$B$1201,$A764))</f>
        <v/>
      </c>
      <c r="V764" s="19" t="str">
        <f aca="false">IF(OR($A764="",INDEX(_LEITURA!$Q$2:$Q$21,12)=0),"",SUMIFS(DECKS!$D$2:$D$1201,DECKS!$A$2:$A$1201,INDEX(_LEITURA!$P$2:$P$21,12),DECKS!$B$2:$B$1201,$A764))</f>
        <v/>
      </c>
      <c r="W764" s="19" t="str">
        <f aca="false">IF(OR($A764="",INDEX(_LEITURA!$Q$2:$Q$21,13)=0),"",SUMIFS(DECKS!$D$2:$D$1201,DECKS!$A$2:$A$1201,INDEX(_LEITURA!$P$2:$P$21,13),DECKS!$B$2:$B$1201,$A764))</f>
        <v/>
      </c>
      <c r="X764" s="19" t="str">
        <f aca="false">IF(OR($A764="",INDEX(_LEITURA!$Q$2:$Q$21,14)=0),"",SUMIFS(DECKS!$D$2:$D$1201,DECKS!$A$2:$A$1201,INDEX(_LEITURA!$P$2:$P$21,14),DECKS!$B$2:$B$1201,$A764))</f>
        <v/>
      </c>
      <c r="Y764" s="19" t="str">
        <f aca="false">IF(OR($A764="",INDEX(_LEITURA!$Q$2:$Q$21,15)=0),"",SUMIFS(DECKS!$D$2:$D$1201,DECKS!$A$2:$A$1201,INDEX(_LEITURA!$P$2:$P$21,15),DECKS!$B$2:$B$1201,$A764))</f>
        <v/>
      </c>
      <c r="Z764" s="19" t="str">
        <f aca="false">IF(OR($A764="",INDEX(_LEITURA!$Q$2:$Q$21,16)=0),"",SUMIFS(DECKS!$D$2:$D$1201,DECKS!$A$2:$A$1201,INDEX(_LEITURA!$P$2:$P$21,16),DECKS!$B$2:$B$1201,$A764))</f>
        <v/>
      </c>
      <c r="AA764" s="19" t="str">
        <f aca="false">IF(OR($A764="",INDEX(_LEITURA!$Q$2:$Q$21,17)=0),"",SUMIFS(DECKS!$D$2:$D$1201,DECKS!$A$2:$A$1201,INDEX(_LEITURA!$P$2:$P$21,17),DECKS!$B$2:$B$1201,$A764))</f>
        <v/>
      </c>
      <c r="AB764" s="19" t="str">
        <f aca="false">IF(OR($A764="",INDEX(_LEITURA!$Q$2:$Q$21,18)=0),"",SUMIFS(DECKS!$D$2:$D$1201,DECKS!$A$2:$A$1201,INDEX(_LEITURA!$P$2:$P$21,18),DECKS!$B$2:$B$1201,$A764))</f>
        <v/>
      </c>
      <c r="AC764" s="19" t="str">
        <f aca="false">IF(OR($A764="",INDEX(_LEITURA!$Q$2:$Q$21,19)=0),"",SUMIFS(DECKS!$D$2:$D$1201,DECKS!$A$2:$A$1201,INDEX(_LEITURA!$P$2:$P$21,19),DECKS!$B$2:$B$1201,$A764))</f>
        <v/>
      </c>
      <c r="AD764" s="19" t="str">
        <f aca="false">IF(OR($A764="",INDEX(_LEITURA!$Q$2:$Q$21,20)=0),"",SUMIFS(DECKS!$D$2:$D$1201,DECKS!$A$2:$A$1201,INDEX(_LEITURA!$P$2:$P$21,20),DECKS!$B$2:$B$1201,$A764))</f>
        <v/>
      </c>
      <c r="AE764" s="16" t="str">
        <f aca="false">IF(N(E764)&gt;0,MAX(AE$1:AE763)+1,"")</f>
        <v/>
      </c>
      <c r="AF764" s="11" t="str">
        <f aca="false">IF(A764="","",IFERROR(LEFT(A764,FIND("-",A764)-1),A764))</f>
        <v/>
      </c>
      <c r="AG764" s="11" t="str">
        <f aca="false">IF(AF764="","",IF(ISNUMBER(--MID(AF764,1,1)),0,IF(ISNUMBER(--MID(AF764,2,1)),1,IF(ISNUMBER(--MID(AF764,3,1)),2,IF(ISNUMBER(--MID(AF764,4,1)),3,MIN(LEN(AF764),4))))))</f>
        <v/>
      </c>
      <c r="AH764" s="11" t="str">
        <f aca="false">IF(A764="","",LEFT(AF764,AG764)&amp;REPT("0",4-AG764)&amp;RIGHT("000"&amp;IFERROR(VALUE(MID(AF764,AG764+1,9)),0),3)&amp;RIGHT("0000"&amp;IFERROR(VALUE(MID(A764,FIND("-",A764)+1,9)),0),4))</f>
        <v/>
      </c>
      <c r="AI764" s="11" t="str">
        <f aca="false">IF(OR(A764="",N(E764)&lt;=0),"",IF('FALTAS GERAL'!$M$1="Código","K"&amp;AH764&amp;RIGHT("00000"&amp;ROW(),5),IF('FALTAS GERAL'!$M$1="Nome","K"&amp;UPPER(SUBSTITUTE(SUBSTITUTE(SUBSTITUTE(B764,"*",""),"?",""),"~",""))&amp;"0"&amp;AH764&amp;RIGHT("00000"&amp;ROW(),5),IF('FALTAS GERAL'!$M$1="Falta (maior primeiro)","K"&amp;RIGHT("0000"&amp;(9999-E764),4)&amp;AH764&amp;RIGHT("00000"&amp;ROW(),5),IF('FALTAS GERAL'!$M$1="Nº de decks (maior primeiro)","K"&amp;RIGHT("00"&amp;(99-N(G764)),2)&amp;AH764&amp;RIGHT("00000"&amp;ROW(),5),"K"&amp;RIGHT("00000"&amp;ROW(),5))))))</f>
        <v/>
      </c>
      <c r="AJ764" s="11" t="str">
        <f aca="false">IF(AI764="","",COUNTIFS($AI$2:$AI$801,"&lt;"&amp;AI764,$E$2:$E$801,"&gt;0")+1)</f>
        <v/>
      </c>
      <c r="AK764" s="11" t="str">
        <f aca="false">IF(OR(A764="",N(E764)&lt;=0),"",COUNTIFS($AH$2:$AH$801,"&lt;"&amp;AH764,$E$2:$E$801,"&gt;0")+COUNTIFS($AH$2:AH764,AH764,$E$2:E764,"&gt;0"))</f>
        <v/>
      </c>
    </row>
    <row r="765" customFormat="false" ht="15" hidden="false" customHeight="false" outlineLevel="0" collapsed="false">
      <c r="A765" s="11" t="str">
        <f aca="false">IF(INVENTÁRIO!A765="","",INVENTÁRIO!A765)</f>
        <v/>
      </c>
      <c r="B765" s="11" t="str">
        <f aca="false">IF(A765="","",INVENTÁRIO!B765)</f>
        <v/>
      </c>
      <c r="C765" s="16" t="str">
        <f aca="false">IF(A765="","",INVENTÁRIO!C765)</f>
        <v/>
      </c>
      <c r="D765" s="14" t="str">
        <f aca="false">IF(A765="","",MAX(K765:AD765))</f>
        <v/>
      </c>
      <c r="E765" s="14" t="str">
        <f aca="false">IF(A765="","",MAX(0,D765-C765))</f>
        <v/>
      </c>
      <c r="F765" s="16" t="str">
        <f aca="false">IF(A765="","",IF(D765=0,"Fora dos decks",IF(E765=0,"Completo","Falta")))</f>
        <v/>
      </c>
      <c r="G765" s="16" t="str">
        <f aca="false">IF(A765="","",COUNTIF(K765:AD765,"&gt;0"))</f>
        <v/>
      </c>
      <c r="H765" s="16" t="str">
        <f aca="false">IF(A765="","",IF(G765&gt;1,"Sim",""))</f>
        <v/>
      </c>
      <c r="I765" s="18" t="str">
        <f aca="false">IF(A765="","",SUMIFS(DECKS!$D$2:$D$1201,DECKS!$B$2:$B$1201,A765))</f>
        <v/>
      </c>
      <c r="J765" s="18" t="str">
        <f aca="false">IF(A765="","",MAX(0,I765-C765))</f>
        <v/>
      </c>
      <c r="K765" s="19" t="str">
        <f aca="false">IF(OR($A765="",INDEX(_LEITURA!$Q$2:$Q$21,1)=0),"",SUMIFS(DECKS!$D$2:$D$1201,DECKS!$A$2:$A$1201,INDEX(_LEITURA!$P$2:$P$21,1),DECKS!$B$2:$B$1201,$A765))</f>
        <v/>
      </c>
      <c r="L765" s="19" t="str">
        <f aca="false">IF(OR($A765="",INDEX(_LEITURA!$Q$2:$Q$21,2)=0),"",SUMIFS(DECKS!$D$2:$D$1201,DECKS!$A$2:$A$1201,INDEX(_LEITURA!$P$2:$P$21,2),DECKS!$B$2:$B$1201,$A765))</f>
        <v/>
      </c>
      <c r="M765" s="19" t="str">
        <f aca="false">IF(OR($A765="",INDEX(_LEITURA!$Q$2:$Q$21,3)=0),"",SUMIFS(DECKS!$D$2:$D$1201,DECKS!$A$2:$A$1201,INDEX(_LEITURA!$P$2:$P$21,3),DECKS!$B$2:$B$1201,$A765))</f>
        <v/>
      </c>
      <c r="N765" s="19" t="str">
        <f aca="false">IF(OR($A765="",INDEX(_LEITURA!$Q$2:$Q$21,4)=0),"",SUMIFS(DECKS!$D$2:$D$1201,DECKS!$A$2:$A$1201,INDEX(_LEITURA!$P$2:$P$21,4),DECKS!$B$2:$B$1201,$A765))</f>
        <v/>
      </c>
      <c r="O765" s="19" t="str">
        <f aca="false">IF(OR($A765="",INDEX(_LEITURA!$Q$2:$Q$21,5)=0),"",SUMIFS(DECKS!$D$2:$D$1201,DECKS!$A$2:$A$1201,INDEX(_LEITURA!$P$2:$P$21,5),DECKS!$B$2:$B$1201,$A765))</f>
        <v/>
      </c>
      <c r="P765" s="19" t="str">
        <f aca="false">IF(OR($A765="",INDEX(_LEITURA!$Q$2:$Q$21,6)=0),"",SUMIFS(DECKS!$D$2:$D$1201,DECKS!$A$2:$A$1201,INDEX(_LEITURA!$P$2:$P$21,6),DECKS!$B$2:$B$1201,$A765))</f>
        <v/>
      </c>
      <c r="Q765" s="19" t="str">
        <f aca="false">IF(OR($A765="",INDEX(_LEITURA!$Q$2:$Q$21,7)=0),"",SUMIFS(DECKS!$D$2:$D$1201,DECKS!$A$2:$A$1201,INDEX(_LEITURA!$P$2:$P$21,7),DECKS!$B$2:$B$1201,$A765))</f>
        <v/>
      </c>
      <c r="R765" s="19" t="str">
        <f aca="false">IF(OR($A765="",INDEX(_LEITURA!$Q$2:$Q$21,8)=0),"",SUMIFS(DECKS!$D$2:$D$1201,DECKS!$A$2:$A$1201,INDEX(_LEITURA!$P$2:$P$21,8),DECKS!$B$2:$B$1201,$A765))</f>
        <v/>
      </c>
      <c r="S765" s="19" t="str">
        <f aca="false">IF(OR($A765="",INDEX(_LEITURA!$Q$2:$Q$21,9)=0),"",SUMIFS(DECKS!$D$2:$D$1201,DECKS!$A$2:$A$1201,INDEX(_LEITURA!$P$2:$P$21,9),DECKS!$B$2:$B$1201,$A765))</f>
        <v/>
      </c>
      <c r="T765" s="19" t="str">
        <f aca="false">IF(OR($A765="",INDEX(_LEITURA!$Q$2:$Q$21,10)=0),"",SUMIFS(DECKS!$D$2:$D$1201,DECKS!$A$2:$A$1201,INDEX(_LEITURA!$P$2:$P$21,10),DECKS!$B$2:$B$1201,$A765))</f>
        <v/>
      </c>
      <c r="U765" s="19" t="str">
        <f aca="false">IF(OR($A765="",INDEX(_LEITURA!$Q$2:$Q$21,11)=0),"",SUMIFS(DECKS!$D$2:$D$1201,DECKS!$A$2:$A$1201,INDEX(_LEITURA!$P$2:$P$21,11),DECKS!$B$2:$B$1201,$A765))</f>
        <v/>
      </c>
      <c r="V765" s="19" t="str">
        <f aca="false">IF(OR($A765="",INDEX(_LEITURA!$Q$2:$Q$21,12)=0),"",SUMIFS(DECKS!$D$2:$D$1201,DECKS!$A$2:$A$1201,INDEX(_LEITURA!$P$2:$P$21,12),DECKS!$B$2:$B$1201,$A765))</f>
        <v/>
      </c>
      <c r="W765" s="19" t="str">
        <f aca="false">IF(OR($A765="",INDEX(_LEITURA!$Q$2:$Q$21,13)=0),"",SUMIFS(DECKS!$D$2:$D$1201,DECKS!$A$2:$A$1201,INDEX(_LEITURA!$P$2:$P$21,13),DECKS!$B$2:$B$1201,$A765))</f>
        <v/>
      </c>
      <c r="X765" s="19" t="str">
        <f aca="false">IF(OR($A765="",INDEX(_LEITURA!$Q$2:$Q$21,14)=0),"",SUMIFS(DECKS!$D$2:$D$1201,DECKS!$A$2:$A$1201,INDEX(_LEITURA!$P$2:$P$21,14),DECKS!$B$2:$B$1201,$A765))</f>
        <v/>
      </c>
      <c r="Y765" s="19" t="str">
        <f aca="false">IF(OR($A765="",INDEX(_LEITURA!$Q$2:$Q$21,15)=0),"",SUMIFS(DECKS!$D$2:$D$1201,DECKS!$A$2:$A$1201,INDEX(_LEITURA!$P$2:$P$21,15),DECKS!$B$2:$B$1201,$A765))</f>
        <v/>
      </c>
      <c r="Z765" s="19" t="str">
        <f aca="false">IF(OR($A765="",INDEX(_LEITURA!$Q$2:$Q$21,16)=0),"",SUMIFS(DECKS!$D$2:$D$1201,DECKS!$A$2:$A$1201,INDEX(_LEITURA!$P$2:$P$21,16),DECKS!$B$2:$B$1201,$A765))</f>
        <v/>
      </c>
      <c r="AA765" s="19" t="str">
        <f aca="false">IF(OR($A765="",INDEX(_LEITURA!$Q$2:$Q$21,17)=0),"",SUMIFS(DECKS!$D$2:$D$1201,DECKS!$A$2:$A$1201,INDEX(_LEITURA!$P$2:$P$21,17),DECKS!$B$2:$B$1201,$A765))</f>
        <v/>
      </c>
      <c r="AB765" s="19" t="str">
        <f aca="false">IF(OR($A765="",INDEX(_LEITURA!$Q$2:$Q$21,18)=0),"",SUMIFS(DECKS!$D$2:$D$1201,DECKS!$A$2:$A$1201,INDEX(_LEITURA!$P$2:$P$21,18),DECKS!$B$2:$B$1201,$A765))</f>
        <v/>
      </c>
      <c r="AC765" s="19" t="str">
        <f aca="false">IF(OR($A765="",INDEX(_LEITURA!$Q$2:$Q$21,19)=0),"",SUMIFS(DECKS!$D$2:$D$1201,DECKS!$A$2:$A$1201,INDEX(_LEITURA!$P$2:$P$21,19),DECKS!$B$2:$B$1201,$A765))</f>
        <v/>
      </c>
      <c r="AD765" s="19" t="str">
        <f aca="false">IF(OR($A765="",INDEX(_LEITURA!$Q$2:$Q$21,20)=0),"",SUMIFS(DECKS!$D$2:$D$1201,DECKS!$A$2:$A$1201,INDEX(_LEITURA!$P$2:$P$21,20),DECKS!$B$2:$B$1201,$A765))</f>
        <v/>
      </c>
      <c r="AE765" s="16" t="str">
        <f aca="false">IF(N(E765)&gt;0,MAX(AE$1:AE764)+1,"")</f>
        <v/>
      </c>
      <c r="AF765" s="11" t="str">
        <f aca="false">IF(A765="","",IFERROR(LEFT(A765,FIND("-",A765)-1),A765))</f>
        <v/>
      </c>
      <c r="AG765" s="11" t="str">
        <f aca="false">IF(AF765="","",IF(ISNUMBER(--MID(AF765,1,1)),0,IF(ISNUMBER(--MID(AF765,2,1)),1,IF(ISNUMBER(--MID(AF765,3,1)),2,IF(ISNUMBER(--MID(AF765,4,1)),3,MIN(LEN(AF765),4))))))</f>
        <v/>
      </c>
      <c r="AH765" s="11" t="str">
        <f aca="false">IF(A765="","",LEFT(AF765,AG765)&amp;REPT("0",4-AG765)&amp;RIGHT("000"&amp;IFERROR(VALUE(MID(AF765,AG765+1,9)),0),3)&amp;RIGHT("0000"&amp;IFERROR(VALUE(MID(A765,FIND("-",A765)+1,9)),0),4))</f>
        <v/>
      </c>
      <c r="AI765" s="11" t="str">
        <f aca="false">IF(OR(A765="",N(E765)&lt;=0),"",IF('FALTAS GERAL'!$M$1="Código","K"&amp;AH765&amp;RIGHT("00000"&amp;ROW(),5),IF('FALTAS GERAL'!$M$1="Nome","K"&amp;UPPER(SUBSTITUTE(SUBSTITUTE(SUBSTITUTE(B765,"*",""),"?",""),"~",""))&amp;"0"&amp;AH765&amp;RIGHT("00000"&amp;ROW(),5),IF('FALTAS GERAL'!$M$1="Falta (maior primeiro)","K"&amp;RIGHT("0000"&amp;(9999-E765),4)&amp;AH765&amp;RIGHT("00000"&amp;ROW(),5),IF('FALTAS GERAL'!$M$1="Nº de decks (maior primeiro)","K"&amp;RIGHT("00"&amp;(99-N(G765)),2)&amp;AH765&amp;RIGHT("00000"&amp;ROW(),5),"K"&amp;RIGHT("00000"&amp;ROW(),5))))))</f>
        <v/>
      </c>
      <c r="AJ765" s="11" t="str">
        <f aca="false">IF(AI765="","",COUNTIFS($AI$2:$AI$801,"&lt;"&amp;AI765,$E$2:$E$801,"&gt;0")+1)</f>
        <v/>
      </c>
      <c r="AK765" s="11" t="str">
        <f aca="false">IF(OR(A765="",N(E765)&lt;=0),"",COUNTIFS($AH$2:$AH$801,"&lt;"&amp;AH765,$E$2:$E$801,"&gt;0")+COUNTIFS($AH$2:AH765,AH765,$E$2:E765,"&gt;0"))</f>
        <v/>
      </c>
    </row>
    <row r="766" customFormat="false" ht="15" hidden="false" customHeight="false" outlineLevel="0" collapsed="false">
      <c r="A766" s="11" t="str">
        <f aca="false">IF(INVENTÁRIO!A766="","",INVENTÁRIO!A766)</f>
        <v/>
      </c>
      <c r="B766" s="11" t="str">
        <f aca="false">IF(A766="","",INVENTÁRIO!B766)</f>
        <v/>
      </c>
      <c r="C766" s="16" t="str">
        <f aca="false">IF(A766="","",INVENTÁRIO!C766)</f>
        <v/>
      </c>
      <c r="D766" s="14" t="str">
        <f aca="false">IF(A766="","",MAX(K766:AD766))</f>
        <v/>
      </c>
      <c r="E766" s="14" t="str">
        <f aca="false">IF(A766="","",MAX(0,D766-C766))</f>
        <v/>
      </c>
      <c r="F766" s="16" t="str">
        <f aca="false">IF(A766="","",IF(D766=0,"Fora dos decks",IF(E766=0,"Completo","Falta")))</f>
        <v/>
      </c>
      <c r="G766" s="16" t="str">
        <f aca="false">IF(A766="","",COUNTIF(K766:AD766,"&gt;0"))</f>
        <v/>
      </c>
      <c r="H766" s="16" t="str">
        <f aca="false">IF(A766="","",IF(G766&gt;1,"Sim",""))</f>
        <v/>
      </c>
      <c r="I766" s="18" t="str">
        <f aca="false">IF(A766="","",SUMIFS(DECKS!$D$2:$D$1201,DECKS!$B$2:$B$1201,A766))</f>
        <v/>
      </c>
      <c r="J766" s="18" t="str">
        <f aca="false">IF(A766="","",MAX(0,I766-C766))</f>
        <v/>
      </c>
      <c r="K766" s="19" t="str">
        <f aca="false">IF(OR($A766="",INDEX(_LEITURA!$Q$2:$Q$21,1)=0),"",SUMIFS(DECKS!$D$2:$D$1201,DECKS!$A$2:$A$1201,INDEX(_LEITURA!$P$2:$P$21,1),DECKS!$B$2:$B$1201,$A766))</f>
        <v/>
      </c>
      <c r="L766" s="19" t="str">
        <f aca="false">IF(OR($A766="",INDEX(_LEITURA!$Q$2:$Q$21,2)=0),"",SUMIFS(DECKS!$D$2:$D$1201,DECKS!$A$2:$A$1201,INDEX(_LEITURA!$P$2:$P$21,2),DECKS!$B$2:$B$1201,$A766))</f>
        <v/>
      </c>
      <c r="M766" s="19" t="str">
        <f aca="false">IF(OR($A766="",INDEX(_LEITURA!$Q$2:$Q$21,3)=0),"",SUMIFS(DECKS!$D$2:$D$1201,DECKS!$A$2:$A$1201,INDEX(_LEITURA!$P$2:$P$21,3),DECKS!$B$2:$B$1201,$A766))</f>
        <v/>
      </c>
      <c r="N766" s="19" t="str">
        <f aca="false">IF(OR($A766="",INDEX(_LEITURA!$Q$2:$Q$21,4)=0),"",SUMIFS(DECKS!$D$2:$D$1201,DECKS!$A$2:$A$1201,INDEX(_LEITURA!$P$2:$P$21,4),DECKS!$B$2:$B$1201,$A766))</f>
        <v/>
      </c>
      <c r="O766" s="19" t="str">
        <f aca="false">IF(OR($A766="",INDEX(_LEITURA!$Q$2:$Q$21,5)=0),"",SUMIFS(DECKS!$D$2:$D$1201,DECKS!$A$2:$A$1201,INDEX(_LEITURA!$P$2:$P$21,5),DECKS!$B$2:$B$1201,$A766))</f>
        <v/>
      </c>
      <c r="P766" s="19" t="str">
        <f aca="false">IF(OR($A766="",INDEX(_LEITURA!$Q$2:$Q$21,6)=0),"",SUMIFS(DECKS!$D$2:$D$1201,DECKS!$A$2:$A$1201,INDEX(_LEITURA!$P$2:$P$21,6),DECKS!$B$2:$B$1201,$A766))</f>
        <v/>
      </c>
      <c r="Q766" s="19" t="str">
        <f aca="false">IF(OR($A766="",INDEX(_LEITURA!$Q$2:$Q$21,7)=0),"",SUMIFS(DECKS!$D$2:$D$1201,DECKS!$A$2:$A$1201,INDEX(_LEITURA!$P$2:$P$21,7),DECKS!$B$2:$B$1201,$A766))</f>
        <v/>
      </c>
      <c r="R766" s="19" t="str">
        <f aca="false">IF(OR($A766="",INDEX(_LEITURA!$Q$2:$Q$21,8)=0),"",SUMIFS(DECKS!$D$2:$D$1201,DECKS!$A$2:$A$1201,INDEX(_LEITURA!$P$2:$P$21,8),DECKS!$B$2:$B$1201,$A766))</f>
        <v/>
      </c>
      <c r="S766" s="19" t="str">
        <f aca="false">IF(OR($A766="",INDEX(_LEITURA!$Q$2:$Q$21,9)=0),"",SUMIFS(DECKS!$D$2:$D$1201,DECKS!$A$2:$A$1201,INDEX(_LEITURA!$P$2:$P$21,9),DECKS!$B$2:$B$1201,$A766))</f>
        <v/>
      </c>
      <c r="T766" s="19" t="str">
        <f aca="false">IF(OR($A766="",INDEX(_LEITURA!$Q$2:$Q$21,10)=0),"",SUMIFS(DECKS!$D$2:$D$1201,DECKS!$A$2:$A$1201,INDEX(_LEITURA!$P$2:$P$21,10),DECKS!$B$2:$B$1201,$A766))</f>
        <v/>
      </c>
      <c r="U766" s="19" t="str">
        <f aca="false">IF(OR($A766="",INDEX(_LEITURA!$Q$2:$Q$21,11)=0),"",SUMIFS(DECKS!$D$2:$D$1201,DECKS!$A$2:$A$1201,INDEX(_LEITURA!$P$2:$P$21,11),DECKS!$B$2:$B$1201,$A766))</f>
        <v/>
      </c>
      <c r="V766" s="19" t="str">
        <f aca="false">IF(OR($A766="",INDEX(_LEITURA!$Q$2:$Q$21,12)=0),"",SUMIFS(DECKS!$D$2:$D$1201,DECKS!$A$2:$A$1201,INDEX(_LEITURA!$P$2:$P$21,12),DECKS!$B$2:$B$1201,$A766))</f>
        <v/>
      </c>
      <c r="W766" s="19" t="str">
        <f aca="false">IF(OR($A766="",INDEX(_LEITURA!$Q$2:$Q$21,13)=0),"",SUMIFS(DECKS!$D$2:$D$1201,DECKS!$A$2:$A$1201,INDEX(_LEITURA!$P$2:$P$21,13),DECKS!$B$2:$B$1201,$A766))</f>
        <v/>
      </c>
      <c r="X766" s="19" t="str">
        <f aca="false">IF(OR($A766="",INDEX(_LEITURA!$Q$2:$Q$21,14)=0),"",SUMIFS(DECKS!$D$2:$D$1201,DECKS!$A$2:$A$1201,INDEX(_LEITURA!$P$2:$P$21,14),DECKS!$B$2:$B$1201,$A766))</f>
        <v/>
      </c>
      <c r="Y766" s="19" t="str">
        <f aca="false">IF(OR($A766="",INDEX(_LEITURA!$Q$2:$Q$21,15)=0),"",SUMIFS(DECKS!$D$2:$D$1201,DECKS!$A$2:$A$1201,INDEX(_LEITURA!$P$2:$P$21,15),DECKS!$B$2:$B$1201,$A766))</f>
        <v/>
      </c>
      <c r="Z766" s="19" t="str">
        <f aca="false">IF(OR($A766="",INDEX(_LEITURA!$Q$2:$Q$21,16)=0),"",SUMIFS(DECKS!$D$2:$D$1201,DECKS!$A$2:$A$1201,INDEX(_LEITURA!$P$2:$P$21,16),DECKS!$B$2:$B$1201,$A766))</f>
        <v/>
      </c>
      <c r="AA766" s="19" t="str">
        <f aca="false">IF(OR($A766="",INDEX(_LEITURA!$Q$2:$Q$21,17)=0),"",SUMIFS(DECKS!$D$2:$D$1201,DECKS!$A$2:$A$1201,INDEX(_LEITURA!$P$2:$P$21,17),DECKS!$B$2:$B$1201,$A766))</f>
        <v/>
      </c>
      <c r="AB766" s="19" t="str">
        <f aca="false">IF(OR($A766="",INDEX(_LEITURA!$Q$2:$Q$21,18)=0),"",SUMIFS(DECKS!$D$2:$D$1201,DECKS!$A$2:$A$1201,INDEX(_LEITURA!$P$2:$P$21,18),DECKS!$B$2:$B$1201,$A766))</f>
        <v/>
      </c>
      <c r="AC766" s="19" t="str">
        <f aca="false">IF(OR($A766="",INDEX(_LEITURA!$Q$2:$Q$21,19)=0),"",SUMIFS(DECKS!$D$2:$D$1201,DECKS!$A$2:$A$1201,INDEX(_LEITURA!$P$2:$P$21,19),DECKS!$B$2:$B$1201,$A766))</f>
        <v/>
      </c>
      <c r="AD766" s="19" t="str">
        <f aca="false">IF(OR($A766="",INDEX(_LEITURA!$Q$2:$Q$21,20)=0),"",SUMIFS(DECKS!$D$2:$D$1201,DECKS!$A$2:$A$1201,INDEX(_LEITURA!$P$2:$P$21,20),DECKS!$B$2:$B$1201,$A766))</f>
        <v/>
      </c>
      <c r="AE766" s="16" t="str">
        <f aca="false">IF(N(E766)&gt;0,MAX(AE$1:AE765)+1,"")</f>
        <v/>
      </c>
      <c r="AF766" s="11" t="str">
        <f aca="false">IF(A766="","",IFERROR(LEFT(A766,FIND("-",A766)-1),A766))</f>
        <v/>
      </c>
      <c r="AG766" s="11" t="str">
        <f aca="false">IF(AF766="","",IF(ISNUMBER(--MID(AF766,1,1)),0,IF(ISNUMBER(--MID(AF766,2,1)),1,IF(ISNUMBER(--MID(AF766,3,1)),2,IF(ISNUMBER(--MID(AF766,4,1)),3,MIN(LEN(AF766),4))))))</f>
        <v/>
      </c>
      <c r="AH766" s="11" t="str">
        <f aca="false">IF(A766="","",LEFT(AF766,AG766)&amp;REPT("0",4-AG766)&amp;RIGHT("000"&amp;IFERROR(VALUE(MID(AF766,AG766+1,9)),0),3)&amp;RIGHT("0000"&amp;IFERROR(VALUE(MID(A766,FIND("-",A766)+1,9)),0),4))</f>
        <v/>
      </c>
      <c r="AI766" s="11" t="str">
        <f aca="false">IF(OR(A766="",N(E766)&lt;=0),"",IF('FALTAS GERAL'!$M$1="Código","K"&amp;AH766&amp;RIGHT("00000"&amp;ROW(),5),IF('FALTAS GERAL'!$M$1="Nome","K"&amp;UPPER(SUBSTITUTE(SUBSTITUTE(SUBSTITUTE(B766,"*",""),"?",""),"~",""))&amp;"0"&amp;AH766&amp;RIGHT("00000"&amp;ROW(),5),IF('FALTAS GERAL'!$M$1="Falta (maior primeiro)","K"&amp;RIGHT("0000"&amp;(9999-E766),4)&amp;AH766&amp;RIGHT("00000"&amp;ROW(),5),IF('FALTAS GERAL'!$M$1="Nº de decks (maior primeiro)","K"&amp;RIGHT("00"&amp;(99-N(G766)),2)&amp;AH766&amp;RIGHT("00000"&amp;ROW(),5),"K"&amp;RIGHT("00000"&amp;ROW(),5))))))</f>
        <v/>
      </c>
      <c r="AJ766" s="11" t="str">
        <f aca="false">IF(AI766="","",COUNTIFS($AI$2:$AI$801,"&lt;"&amp;AI766,$E$2:$E$801,"&gt;0")+1)</f>
        <v/>
      </c>
      <c r="AK766" s="11" t="str">
        <f aca="false">IF(OR(A766="",N(E766)&lt;=0),"",COUNTIFS($AH$2:$AH$801,"&lt;"&amp;AH766,$E$2:$E$801,"&gt;0")+COUNTIFS($AH$2:AH766,AH766,$E$2:E766,"&gt;0"))</f>
        <v/>
      </c>
    </row>
    <row r="767" customFormat="false" ht="15" hidden="false" customHeight="false" outlineLevel="0" collapsed="false">
      <c r="A767" s="11" t="str">
        <f aca="false">IF(INVENTÁRIO!A767="","",INVENTÁRIO!A767)</f>
        <v/>
      </c>
      <c r="B767" s="11" t="str">
        <f aca="false">IF(A767="","",INVENTÁRIO!B767)</f>
        <v/>
      </c>
      <c r="C767" s="16" t="str">
        <f aca="false">IF(A767="","",INVENTÁRIO!C767)</f>
        <v/>
      </c>
      <c r="D767" s="14" t="str">
        <f aca="false">IF(A767="","",MAX(K767:AD767))</f>
        <v/>
      </c>
      <c r="E767" s="14" t="str">
        <f aca="false">IF(A767="","",MAX(0,D767-C767))</f>
        <v/>
      </c>
      <c r="F767" s="16" t="str">
        <f aca="false">IF(A767="","",IF(D767=0,"Fora dos decks",IF(E767=0,"Completo","Falta")))</f>
        <v/>
      </c>
      <c r="G767" s="16" t="str">
        <f aca="false">IF(A767="","",COUNTIF(K767:AD767,"&gt;0"))</f>
        <v/>
      </c>
      <c r="H767" s="16" t="str">
        <f aca="false">IF(A767="","",IF(G767&gt;1,"Sim",""))</f>
        <v/>
      </c>
      <c r="I767" s="18" t="str">
        <f aca="false">IF(A767="","",SUMIFS(DECKS!$D$2:$D$1201,DECKS!$B$2:$B$1201,A767))</f>
        <v/>
      </c>
      <c r="J767" s="18" t="str">
        <f aca="false">IF(A767="","",MAX(0,I767-C767))</f>
        <v/>
      </c>
      <c r="K767" s="19" t="str">
        <f aca="false">IF(OR($A767="",INDEX(_LEITURA!$Q$2:$Q$21,1)=0),"",SUMIFS(DECKS!$D$2:$D$1201,DECKS!$A$2:$A$1201,INDEX(_LEITURA!$P$2:$P$21,1),DECKS!$B$2:$B$1201,$A767))</f>
        <v/>
      </c>
      <c r="L767" s="19" t="str">
        <f aca="false">IF(OR($A767="",INDEX(_LEITURA!$Q$2:$Q$21,2)=0),"",SUMIFS(DECKS!$D$2:$D$1201,DECKS!$A$2:$A$1201,INDEX(_LEITURA!$P$2:$P$21,2),DECKS!$B$2:$B$1201,$A767))</f>
        <v/>
      </c>
      <c r="M767" s="19" t="str">
        <f aca="false">IF(OR($A767="",INDEX(_LEITURA!$Q$2:$Q$21,3)=0),"",SUMIFS(DECKS!$D$2:$D$1201,DECKS!$A$2:$A$1201,INDEX(_LEITURA!$P$2:$P$21,3),DECKS!$B$2:$B$1201,$A767))</f>
        <v/>
      </c>
      <c r="N767" s="19" t="str">
        <f aca="false">IF(OR($A767="",INDEX(_LEITURA!$Q$2:$Q$21,4)=0),"",SUMIFS(DECKS!$D$2:$D$1201,DECKS!$A$2:$A$1201,INDEX(_LEITURA!$P$2:$P$21,4),DECKS!$B$2:$B$1201,$A767))</f>
        <v/>
      </c>
      <c r="O767" s="19" t="str">
        <f aca="false">IF(OR($A767="",INDEX(_LEITURA!$Q$2:$Q$21,5)=0),"",SUMIFS(DECKS!$D$2:$D$1201,DECKS!$A$2:$A$1201,INDEX(_LEITURA!$P$2:$P$21,5),DECKS!$B$2:$B$1201,$A767))</f>
        <v/>
      </c>
      <c r="P767" s="19" t="str">
        <f aca="false">IF(OR($A767="",INDEX(_LEITURA!$Q$2:$Q$21,6)=0),"",SUMIFS(DECKS!$D$2:$D$1201,DECKS!$A$2:$A$1201,INDEX(_LEITURA!$P$2:$P$21,6),DECKS!$B$2:$B$1201,$A767))</f>
        <v/>
      </c>
      <c r="Q767" s="19" t="str">
        <f aca="false">IF(OR($A767="",INDEX(_LEITURA!$Q$2:$Q$21,7)=0),"",SUMIFS(DECKS!$D$2:$D$1201,DECKS!$A$2:$A$1201,INDEX(_LEITURA!$P$2:$P$21,7),DECKS!$B$2:$B$1201,$A767))</f>
        <v/>
      </c>
      <c r="R767" s="19" t="str">
        <f aca="false">IF(OR($A767="",INDEX(_LEITURA!$Q$2:$Q$21,8)=0),"",SUMIFS(DECKS!$D$2:$D$1201,DECKS!$A$2:$A$1201,INDEX(_LEITURA!$P$2:$P$21,8),DECKS!$B$2:$B$1201,$A767))</f>
        <v/>
      </c>
      <c r="S767" s="19" t="str">
        <f aca="false">IF(OR($A767="",INDEX(_LEITURA!$Q$2:$Q$21,9)=0),"",SUMIFS(DECKS!$D$2:$D$1201,DECKS!$A$2:$A$1201,INDEX(_LEITURA!$P$2:$P$21,9),DECKS!$B$2:$B$1201,$A767))</f>
        <v/>
      </c>
      <c r="T767" s="19" t="str">
        <f aca="false">IF(OR($A767="",INDEX(_LEITURA!$Q$2:$Q$21,10)=0),"",SUMIFS(DECKS!$D$2:$D$1201,DECKS!$A$2:$A$1201,INDEX(_LEITURA!$P$2:$P$21,10),DECKS!$B$2:$B$1201,$A767))</f>
        <v/>
      </c>
      <c r="U767" s="19" t="str">
        <f aca="false">IF(OR($A767="",INDEX(_LEITURA!$Q$2:$Q$21,11)=0),"",SUMIFS(DECKS!$D$2:$D$1201,DECKS!$A$2:$A$1201,INDEX(_LEITURA!$P$2:$P$21,11),DECKS!$B$2:$B$1201,$A767))</f>
        <v/>
      </c>
      <c r="V767" s="19" t="str">
        <f aca="false">IF(OR($A767="",INDEX(_LEITURA!$Q$2:$Q$21,12)=0),"",SUMIFS(DECKS!$D$2:$D$1201,DECKS!$A$2:$A$1201,INDEX(_LEITURA!$P$2:$P$21,12),DECKS!$B$2:$B$1201,$A767))</f>
        <v/>
      </c>
      <c r="W767" s="19" t="str">
        <f aca="false">IF(OR($A767="",INDEX(_LEITURA!$Q$2:$Q$21,13)=0),"",SUMIFS(DECKS!$D$2:$D$1201,DECKS!$A$2:$A$1201,INDEX(_LEITURA!$P$2:$P$21,13),DECKS!$B$2:$B$1201,$A767))</f>
        <v/>
      </c>
      <c r="X767" s="19" t="str">
        <f aca="false">IF(OR($A767="",INDEX(_LEITURA!$Q$2:$Q$21,14)=0),"",SUMIFS(DECKS!$D$2:$D$1201,DECKS!$A$2:$A$1201,INDEX(_LEITURA!$P$2:$P$21,14),DECKS!$B$2:$B$1201,$A767))</f>
        <v/>
      </c>
      <c r="Y767" s="19" t="str">
        <f aca="false">IF(OR($A767="",INDEX(_LEITURA!$Q$2:$Q$21,15)=0),"",SUMIFS(DECKS!$D$2:$D$1201,DECKS!$A$2:$A$1201,INDEX(_LEITURA!$P$2:$P$21,15),DECKS!$B$2:$B$1201,$A767))</f>
        <v/>
      </c>
      <c r="Z767" s="19" t="str">
        <f aca="false">IF(OR($A767="",INDEX(_LEITURA!$Q$2:$Q$21,16)=0),"",SUMIFS(DECKS!$D$2:$D$1201,DECKS!$A$2:$A$1201,INDEX(_LEITURA!$P$2:$P$21,16),DECKS!$B$2:$B$1201,$A767))</f>
        <v/>
      </c>
      <c r="AA767" s="19" t="str">
        <f aca="false">IF(OR($A767="",INDEX(_LEITURA!$Q$2:$Q$21,17)=0),"",SUMIFS(DECKS!$D$2:$D$1201,DECKS!$A$2:$A$1201,INDEX(_LEITURA!$P$2:$P$21,17),DECKS!$B$2:$B$1201,$A767))</f>
        <v/>
      </c>
      <c r="AB767" s="19" t="str">
        <f aca="false">IF(OR($A767="",INDEX(_LEITURA!$Q$2:$Q$21,18)=0),"",SUMIFS(DECKS!$D$2:$D$1201,DECKS!$A$2:$A$1201,INDEX(_LEITURA!$P$2:$P$21,18),DECKS!$B$2:$B$1201,$A767))</f>
        <v/>
      </c>
      <c r="AC767" s="19" t="str">
        <f aca="false">IF(OR($A767="",INDEX(_LEITURA!$Q$2:$Q$21,19)=0),"",SUMIFS(DECKS!$D$2:$D$1201,DECKS!$A$2:$A$1201,INDEX(_LEITURA!$P$2:$P$21,19),DECKS!$B$2:$B$1201,$A767))</f>
        <v/>
      </c>
      <c r="AD767" s="19" t="str">
        <f aca="false">IF(OR($A767="",INDEX(_LEITURA!$Q$2:$Q$21,20)=0),"",SUMIFS(DECKS!$D$2:$D$1201,DECKS!$A$2:$A$1201,INDEX(_LEITURA!$P$2:$P$21,20),DECKS!$B$2:$B$1201,$A767))</f>
        <v/>
      </c>
      <c r="AE767" s="16" t="str">
        <f aca="false">IF(N(E767)&gt;0,MAX(AE$1:AE766)+1,"")</f>
        <v/>
      </c>
      <c r="AF767" s="11" t="str">
        <f aca="false">IF(A767="","",IFERROR(LEFT(A767,FIND("-",A767)-1),A767))</f>
        <v/>
      </c>
      <c r="AG767" s="11" t="str">
        <f aca="false">IF(AF767="","",IF(ISNUMBER(--MID(AF767,1,1)),0,IF(ISNUMBER(--MID(AF767,2,1)),1,IF(ISNUMBER(--MID(AF767,3,1)),2,IF(ISNUMBER(--MID(AF767,4,1)),3,MIN(LEN(AF767),4))))))</f>
        <v/>
      </c>
      <c r="AH767" s="11" t="str">
        <f aca="false">IF(A767="","",LEFT(AF767,AG767)&amp;REPT("0",4-AG767)&amp;RIGHT("000"&amp;IFERROR(VALUE(MID(AF767,AG767+1,9)),0),3)&amp;RIGHT("0000"&amp;IFERROR(VALUE(MID(A767,FIND("-",A767)+1,9)),0),4))</f>
        <v/>
      </c>
      <c r="AI767" s="11" t="str">
        <f aca="false">IF(OR(A767="",N(E767)&lt;=0),"",IF('FALTAS GERAL'!$M$1="Código","K"&amp;AH767&amp;RIGHT("00000"&amp;ROW(),5),IF('FALTAS GERAL'!$M$1="Nome","K"&amp;UPPER(SUBSTITUTE(SUBSTITUTE(SUBSTITUTE(B767,"*",""),"?",""),"~",""))&amp;"0"&amp;AH767&amp;RIGHT("00000"&amp;ROW(),5),IF('FALTAS GERAL'!$M$1="Falta (maior primeiro)","K"&amp;RIGHT("0000"&amp;(9999-E767),4)&amp;AH767&amp;RIGHT("00000"&amp;ROW(),5),IF('FALTAS GERAL'!$M$1="Nº de decks (maior primeiro)","K"&amp;RIGHT("00"&amp;(99-N(G767)),2)&amp;AH767&amp;RIGHT("00000"&amp;ROW(),5),"K"&amp;RIGHT("00000"&amp;ROW(),5))))))</f>
        <v/>
      </c>
      <c r="AJ767" s="11" t="str">
        <f aca="false">IF(AI767="","",COUNTIFS($AI$2:$AI$801,"&lt;"&amp;AI767,$E$2:$E$801,"&gt;0")+1)</f>
        <v/>
      </c>
      <c r="AK767" s="11" t="str">
        <f aca="false">IF(OR(A767="",N(E767)&lt;=0),"",COUNTIFS($AH$2:$AH$801,"&lt;"&amp;AH767,$E$2:$E$801,"&gt;0")+COUNTIFS($AH$2:AH767,AH767,$E$2:E767,"&gt;0"))</f>
        <v/>
      </c>
    </row>
    <row r="768" customFormat="false" ht="15" hidden="false" customHeight="false" outlineLevel="0" collapsed="false">
      <c r="A768" s="11" t="str">
        <f aca="false">IF(INVENTÁRIO!A768="","",INVENTÁRIO!A768)</f>
        <v/>
      </c>
      <c r="B768" s="11" t="str">
        <f aca="false">IF(A768="","",INVENTÁRIO!B768)</f>
        <v/>
      </c>
      <c r="C768" s="16" t="str">
        <f aca="false">IF(A768="","",INVENTÁRIO!C768)</f>
        <v/>
      </c>
      <c r="D768" s="14" t="str">
        <f aca="false">IF(A768="","",MAX(K768:AD768))</f>
        <v/>
      </c>
      <c r="E768" s="14" t="str">
        <f aca="false">IF(A768="","",MAX(0,D768-C768))</f>
        <v/>
      </c>
      <c r="F768" s="16" t="str">
        <f aca="false">IF(A768="","",IF(D768=0,"Fora dos decks",IF(E768=0,"Completo","Falta")))</f>
        <v/>
      </c>
      <c r="G768" s="16" t="str">
        <f aca="false">IF(A768="","",COUNTIF(K768:AD768,"&gt;0"))</f>
        <v/>
      </c>
      <c r="H768" s="16" t="str">
        <f aca="false">IF(A768="","",IF(G768&gt;1,"Sim",""))</f>
        <v/>
      </c>
      <c r="I768" s="18" t="str">
        <f aca="false">IF(A768="","",SUMIFS(DECKS!$D$2:$D$1201,DECKS!$B$2:$B$1201,A768))</f>
        <v/>
      </c>
      <c r="J768" s="18" t="str">
        <f aca="false">IF(A768="","",MAX(0,I768-C768))</f>
        <v/>
      </c>
      <c r="K768" s="19" t="str">
        <f aca="false">IF(OR($A768="",INDEX(_LEITURA!$Q$2:$Q$21,1)=0),"",SUMIFS(DECKS!$D$2:$D$1201,DECKS!$A$2:$A$1201,INDEX(_LEITURA!$P$2:$P$21,1),DECKS!$B$2:$B$1201,$A768))</f>
        <v/>
      </c>
      <c r="L768" s="19" t="str">
        <f aca="false">IF(OR($A768="",INDEX(_LEITURA!$Q$2:$Q$21,2)=0),"",SUMIFS(DECKS!$D$2:$D$1201,DECKS!$A$2:$A$1201,INDEX(_LEITURA!$P$2:$P$21,2),DECKS!$B$2:$B$1201,$A768))</f>
        <v/>
      </c>
      <c r="M768" s="19" t="str">
        <f aca="false">IF(OR($A768="",INDEX(_LEITURA!$Q$2:$Q$21,3)=0),"",SUMIFS(DECKS!$D$2:$D$1201,DECKS!$A$2:$A$1201,INDEX(_LEITURA!$P$2:$P$21,3),DECKS!$B$2:$B$1201,$A768))</f>
        <v/>
      </c>
      <c r="N768" s="19" t="str">
        <f aca="false">IF(OR($A768="",INDEX(_LEITURA!$Q$2:$Q$21,4)=0),"",SUMIFS(DECKS!$D$2:$D$1201,DECKS!$A$2:$A$1201,INDEX(_LEITURA!$P$2:$P$21,4),DECKS!$B$2:$B$1201,$A768))</f>
        <v/>
      </c>
      <c r="O768" s="19" t="str">
        <f aca="false">IF(OR($A768="",INDEX(_LEITURA!$Q$2:$Q$21,5)=0),"",SUMIFS(DECKS!$D$2:$D$1201,DECKS!$A$2:$A$1201,INDEX(_LEITURA!$P$2:$P$21,5),DECKS!$B$2:$B$1201,$A768))</f>
        <v/>
      </c>
      <c r="P768" s="19" t="str">
        <f aca="false">IF(OR($A768="",INDEX(_LEITURA!$Q$2:$Q$21,6)=0),"",SUMIFS(DECKS!$D$2:$D$1201,DECKS!$A$2:$A$1201,INDEX(_LEITURA!$P$2:$P$21,6),DECKS!$B$2:$B$1201,$A768))</f>
        <v/>
      </c>
      <c r="Q768" s="19" t="str">
        <f aca="false">IF(OR($A768="",INDEX(_LEITURA!$Q$2:$Q$21,7)=0),"",SUMIFS(DECKS!$D$2:$D$1201,DECKS!$A$2:$A$1201,INDEX(_LEITURA!$P$2:$P$21,7),DECKS!$B$2:$B$1201,$A768))</f>
        <v/>
      </c>
      <c r="R768" s="19" t="str">
        <f aca="false">IF(OR($A768="",INDEX(_LEITURA!$Q$2:$Q$21,8)=0),"",SUMIFS(DECKS!$D$2:$D$1201,DECKS!$A$2:$A$1201,INDEX(_LEITURA!$P$2:$P$21,8),DECKS!$B$2:$B$1201,$A768))</f>
        <v/>
      </c>
      <c r="S768" s="19" t="str">
        <f aca="false">IF(OR($A768="",INDEX(_LEITURA!$Q$2:$Q$21,9)=0),"",SUMIFS(DECKS!$D$2:$D$1201,DECKS!$A$2:$A$1201,INDEX(_LEITURA!$P$2:$P$21,9),DECKS!$B$2:$B$1201,$A768))</f>
        <v/>
      </c>
      <c r="T768" s="19" t="str">
        <f aca="false">IF(OR($A768="",INDEX(_LEITURA!$Q$2:$Q$21,10)=0),"",SUMIFS(DECKS!$D$2:$D$1201,DECKS!$A$2:$A$1201,INDEX(_LEITURA!$P$2:$P$21,10),DECKS!$B$2:$B$1201,$A768))</f>
        <v/>
      </c>
      <c r="U768" s="19" t="str">
        <f aca="false">IF(OR($A768="",INDEX(_LEITURA!$Q$2:$Q$21,11)=0),"",SUMIFS(DECKS!$D$2:$D$1201,DECKS!$A$2:$A$1201,INDEX(_LEITURA!$P$2:$P$21,11),DECKS!$B$2:$B$1201,$A768))</f>
        <v/>
      </c>
      <c r="V768" s="19" t="str">
        <f aca="false">IF(OR($A768="",INDEX(_LEITURA!$Q$2:$Q$21,12)=0),"",SUMIFS(DECKS!$D$2:$D$1201,DECKS!$A$2:$A$1201,INDEX(_LEITURA!$P$2:$P$21,12),DECKS!$B$2:$B$1201,$A768))</f>
        <v/>
      </c>
      <c r="W768" s="19" t="str">
        <f aca="false">IF(OR($A768="",INDEX(_LEITURA!$Q$2:$Q$21,13)=0),"",SUMIFS(DECKS!$D$2:$D$1201,DECKS!$A$2:$A$1201,INDEX(_LEITURA!$P$2:$P$21,13),DECKS!$B$2:$B$1201,$A768))</f>
        <v/>
      </c>
      <c r="X768" s="19" t="str">
        <f aca="false">IF(OR($A768="",INDEX(_LEITURA!$Q$2:$Q$21,14)=0),"",SUMIFS(DECKS!$D$2:$D$1201,DECKS!$A$2:$A$1201,INDEX(_LEITURA!$P$2:$P$21,14),DECKS!$B$2:$B$1201,$A768))</f>
        <v/>
      </c>
      <c r="Y768" s="19" t="str">
        <f aca="false">IF(OR($A768="",INDEX(_LEITURA!$Q$2:$Q$21,15)=0),"",SUMIFS(DECKS!$D$2:$D$1201,DECKS!$A$2:$A$1201,INDEX(_LEITURA!$P$2:$P$21,15),DECKS!$B$2:$B$1201,$A768))</f>
        <v/>
      </c>
      <c r="Z768" s="19" t="str">
        <f aca="false">IF(OR($A768="",INDEX(_LEITURA!$Q$2:$Q$21,16)=0),"",SUMIFS(DECKS!$D$2:$D$1201,DECKS!$A$2:$A$1201,INDEX(_LEITURA!$P$2:$P$21,16),DECKS!$B$2:$B$1201,$A768))</f>
        <v/>
      </c>
      <c r="AA768" s="19" t="str">
        <f aca="false">IF(OR($A768="",INDEX(_LEITURA!$Q$2:$Q$21,17)=0),"",SUMIFS(DECKS!$D$2:$D$1201,DECKS!$A$2:$A$1201,INDEX(_LEITURA!$P$2:$P$21,17),DECKS!$B$2:$B$1201,$A768))</f>
        <v/>
      </c>
      <c r="AB768" s="19" t="str">
        <f aca="false">IF(OR($A768="",INDEX(_LEITURA!$Q$2:$Q$21,18)=0),"",SUMIFS(DECKS!$D$2:$D$1201,DECKS!$A$2:$A$1201,INDEX(_LEITURA!$P$2:$P$21,18),DECKS!$B$2:$B$1201,$A768))</f>
        <v/>
      </c>
      <c r="AC768" s="19" t="str">
        <f aca="false">IF(OR($A768="",INDEX(_LEITURA!$Q$2:$Q$21,19)=0),"",SUMIFS(DECKS!$D$2:$D$1201,DECKS!$A$2:$A$1201,INDEX(_LEITURA!$P$2:$P$21,19),DECKS!$B$2:$B$1201,$A768))</f>
        <v/>
      </c>
      <c r="AD768" s="19" t="str">
        <f aca="false">IF(OR($A768="",INDEX(_LEITURA!$Q$2:$Q$21,20)=0),"",SUMIFS(DECKS!$D$2:$D$1201,DECKS!$A$2:$A$1201,INDEX(_LEITURA!$P$2:$P$21,20),DECKS!$B$2:$B$1201,$A768))</f>
        <v/>
      </c>
      <c r="AE768" s="16" t="str">
        <f aca="false">IF(N(E768)&gt;0,MAX(AE$1:AE767)+1,"")</f>
        <v/>
      </c>
      <c r="AF768" s="11" t="str">
        <f aca="false">IF(A768="","",IFERROR(LEFT(A768,FIND("-",A768)-1),A768))</f>
        <v/>
      </c>
      <c r="AG768" s="11" t="str">
        <f aca="false">IF(AF768="","",IF(ISNUMBER(--MID(AF768,1,1)),0,IF(ISNUMBER(--MID(AF768,2,1)),1,IF(ISNUMBER(--MID(AF768,3,1)),2,IF(ISNUMBER(--MID(AF768,4,1)),3,MIN(LEN(AF768),4))))))</f>
        <v/>
      </c>
      <c r="AH768" s="11" t="str">
        <f aca="false">IF(A768="","",LEFT(AF768,AG768)&amp;REPT("0",4-AG768)&amp;RIGHT("000"&amp;IFERROR(VALUE(MID(AF768,AG768+1,9)),0),3)&amp;RIGHT("0000"&amp;IFERROR(VALUE(MID(A768,FIND("-",A768)+1,9)),0),4))</f>
        <v/>
      </c>
      <c r="AI768" s="11" t="str">
        <f aca="false">IF(OR(A768="",N(E768)&lt;=0),"",IF('FALTAS GERAL'!$M$1="Código","K"&amp;AH768&amp;RIGHT("00000"&amp;ROW(),5),IF('FALTAS GERAL'!$M$1="Nome","K"&amp;UPPER(SUBSTITUTE(SUBSTITUTE(SUBSTITUTE(B768,"*",""),"?",""),"~",""))&amp;"0"&amp;AH768&amp;RIGHT("00000"&amp;ROW(),5),IF('FALTAS GERAL'!$M$1="Falta (maior primeiro)","K"&amp;RIGHT("0000"&amp;(9999-E768),4)&amp;AH768&amp;RIGHT("00000"&amp;ROW(),5),IF('FALTAS GERAL'!$M$1="Nº de decks (maior primeiro)","K"&amp;RIGHT("00"&amp;(99-N(G768)),2)&amp;AH768&amp;RIGHT("00000"&amp;ROW(),5),"K"&amp;RIGHT("00000"&amp;ROW(),5))))))</f>
        <v/>
      </c>
      <c r="AJ768" s="11" t="str">
        <f aca="false">IF(AI768="","",COUNTIFS($AI$2:$AI$801,"&lt;"&amp;AI768,$E$2:$E$801,"&gt;0")+1)</f>
        <v/>
      </c>
      <c r="AK768" s="11" t="str">
        <f aca="false">IF(OR(A768="",N(E768)&lt;=0),"",COUNTIFS($AH$2:$AH$801,"&lt;"&amp;AH768,$E$2:$E$801,"&gt;0")+COUNTIFS($AH$2:AH768,AH768,$E$2:E768,"&gt;0"))</f>
        <v/>
      </c>
    </row>
    <row r="769" customFormat="false" ht="15" hidden="false" customHeight="false" outlineLevel="0" collapsed="false">
      <c r="A769" s="11" t="str">
        <f aca="false">IF(INVENTÁRIO!A769="","",INVENTÁRIO!A769)</f>
        <v/>
      </c>
      <c r="B769" s="11" t="str">
        <f aca="false">IF(A769="","",INVENTÁRIO!B769)</f>
        <v/>
      </c>
      <c r="C769" s="16" t="str">
        <f aca="false">IF(A769="","",INVENTÁRIO!C769)</f>
        <v/>
      </c>
      <c r="D769" s="14" t="str">
        <f aca="false">IF(A769="","",MAX(K769:AD769))</f>
        <v/>
      </c>
      <c r="E769" s="14" t="str">
        <f aca="false">IF(A769="","",MAX(0,D769-C769))</f>
        <v/>
      </c>
      <c r="F769" s="16" t="str">
        <f aca="false">IF(A769="","",IF(D769=0,"Fora dos decks",IF(E769=0,"Completo","Falta")))</f>
        <v/>
      </c>
      <c r="G769" s="16" t="str">
        <f aca="false">IF(A769="","",COUNTIF(K769:AD769,"&gt;0"))</f>
        <v/>
      </c>
      <c r="H769" s="16" t="str">
        <f aca="false">IF(A769="","",IF(G769&gt;1,"Sim",""))</f>
        <v/>
      </c>
      <c r="I769" s="18" t="str">
        <f aca="false">IF(A769="","",SUMIFS(DECKS!$D$2:$D$1201,DECKS!$B$2:$B$1201,A769))</f>
        <v/>
      </c>
      <c r="J769" s="18" t="str">
        <f aca="false">IF(A769="","",MAX(0,I769-C769))</f>
        <v/>
      </c>
      <c r="K769" s="19" t="str">
        <f aca="false">IF(OR($A769="",INDEX(_LEITURA!$Q$2:$Q$21,1)=0),"",SUMIFS(DECKS!$D$2:$D$1201,DECKS!$A$2:$A$1201,INDEX(_LEITURA!$P$2:$P$21,1),DECKS!$B$2:$B$1201,$A769))</f>
        <v/>
      </c>
      <c r="L769" s="19" t="str">
        <f aca="false">IF(OR($A769="",INDEX(_LEITURA!$Q$2:$Q$21,2)=0),"",SUMIFS(DECKS!$D$2:$D$1201,DECKS!$A$2:$A$1201,INDEX(_LEITURA!$P$2:$P$21,2),DECKS!$B$2:$B$1201,$A769))</f>
        <v/>
      </c>
      <c r="M769" s="19" t="str">
        <f aca="false">IF(OR($A769="",INDEX(_LEITURA!$Q$2:$Q$21,3)=0),"",SUMIFS(DECKS!$D$2:$D$1201,DECKS!$A$2:$A$1201,INDEX(_LEITURA!$P$2:$P$21,3),DECKS!$B$2:$B$1201,$A769))</f>
        <v/>
      </c>
      <c r="N769" s="19" t="str">
        <f aca="false">IF(OR($A769="",INDEX(_LEITURA!$Q$2:$Q$21,4)=0),"",SUMIFS(DECKS!$D$2:$D$1201,DECKS!$A$2:$A$1201,INDEX(_LEITURA!$P$2:$P$21,4),DECKS!$B$2:$B$1201,$A769))</f>
        <v/>
      </c>
      <c r="O769" s="19" t="str">
        <f aca="false">IF(OR($A769="",INDEX(_LEITURA!$Q$2:$Q$21,5)=0),"",SUMIFS(DECKS!$D$2:$D$1201,DECKS!$A$2:$A$1201,INDEX(_LEITURA!$P$2:$P$21,5),DECKS!$B$2:$B$1201,$A769))</f>
        <v/>
      </c>
      <c r="P769" s="19" t="str">
        <f aca="false">IF(OR($A769="",INDEX(_LEITURA!$Q$2:$Q$21,6)=0),"",SUMIFS(DECKS!$D$2:$D$1201,DECKS!$A$2:$A$1201,INDEX(_LEITURA!$P$2:$P$21,6),DECKS!$B$2:$B$1201,$A769))</f>
        <v/>
      </c>
      <c r="Q769" s="19" t="str">
        <f aca="false">IF(OR($A769="",INDEX(_LEITURA!$Q$2:$Q$21,7)=0),"",SUMIFS(DECKS!$D$2:$D$1201,DECKS!$A$2:$A$1201,INDEX(_LEITURA!$P$2:$P$21,7),DECKS!$B$2:$B$1201,$A769))</f>
        <v/>
      </c>
      <c r="R769" s="19" t="str">
        <f aca="false">IF(OR($A769="",INDEX(_LEITURA!$Q$2:$Q$21,8)=0),"",SUMIFS(DECKS!$D$2:$D$1201,DECKS!$A$2:$A$1201,INDEX(_LEITURA!$P$2:$P$21,8),DECKS!$B$2:$B$1201,$A769))</f>
        <v/>
      </c>
      <c r="S769" s="19" t="str">
        <f aca="false">IF(OR($A769="",INDEX(_LEITURA!$Q$2:$Q$21,9)=0),"",SUMIFS(DECKS!$D$2:$D$1201,DECKS!$A$2:$A$1201,INDEX(_LEITURA!$P$2:$P$21,9),DECKS!$B$2:$B$1201,$A769))</f>
        <v/>
      </c>
      <c r="T769" s="19" t="str">
        <f aca="false">IF(OR($A769="",INDEX(_LEITURA!$Q$2:$Q$21,10)=0),"",SUMIFS(DECKS!$D$2:$D$1201,DECKS!$A$2:$A$1201,INDEX(_LEITURA!$P$2:$P$21,10),DECKS!$B$2:$B$1201,$A769))</f>
        <v/>
      </c>
      <c r="U769" s="19" t="str">
        <f aca="false">IF(OR($A769="",INDEX(_LEITURA!$Q$2:$Q$21,11)=0),"",SUMIFS(DECKS!$D$2:$D$1201,DECKS!$A$2:$A$1201,INDEX(_LEITURA!$P$2:$P$21,11),DECKS!$B$2:$B$1201,$A769))</f>
        <v/>
      </c>
      <c r="V769" s="19" t="str">
        <f aca="false">IF(OR($A769="",INDEX(_LEITURA!$Q$2:$Q$21,12)=0),"",SUMIFS(DECKS!$D$2:$D$1201,DECKS!$A$2:$A$1201,INDEX(_LEITURA!$P$2:$P$21,12),DECKS!$B$2:$B$1201,$A769))</f>
        <v/>
      </c>
      <c r="W769" s="19" t="str">
        <f aca="false">IF(OR($A769="",INDEX(_LEITURA!$Q$2:$Q$21,13)=0),"",SUMIFS(DECKS!$D$2:$D$1201,DECKS!$A$2:$A$1201,INDEX(_LEITURA!$P$2:$P$21,13),DECKS!$B$2:$B$1201,$A769))</f>
        <v/>
      </c>
      <c r="X769" s="19" t="str">
        <f aca="false">IF(OR($A769="",INDEX(_LEITURA!$Q$2:$Q$21,14)=0),"",SUMIFS(DECKS!$D$2:$D$1201,DECKS!$A$2:$A$1201,INDEX(_LEITURA!$P$2:$P$21,14),DECKS!$B$2:$B$1201,$A769))</f>
        <v/>
      </c>
      <c r="Y769" s="19" t="str">
        <f aca="false">IF(OR($A769="",INDEX(_LEITURA!$Q$2:$Q$21,15)=0),"",SUMIFS(DECKS!$D$2:$D$1201,DECKS!$A$2:$A$1201,INDEX(_LEITURA!$P$2:$P$21,15),DECKS!$B$2:$B$1201,$A769))</f>
        <v/>
      </c>
      <c r="Z769" s="19" t="str">
        <f aca="false">IF(OR($A769="",INDEX(_LEITURA!$Q$2:$Q$21,16)=0),"",SUMIFS(DECKS!$D$2:$D$1201,DECKS!$A$2:$A$1201,INDEX(_LEITURA!$P$2:$P$21,16),DECKS!$B$2:$B$1201,$A769))</f>
        <v/>
      </c>
      <c r="AA769" s="19" t="str">
        <f aca="false">IF(OR($A769="",INDEX(_LEITURA!$Q$2:$Q$21,17)=0),"",SUMIFS(DECKS!$D$2:$D$1201,DECKS!$A$2:$A$1201,INDEX(_LEITURA!$P$2:$P$21,17),DECKS!$B$2:$B$1201,$A769))</f>
        <v/>
      </c>
      <c r="AB769" s="19" t="str">
        <f aca="false">IF(OR($A769="",INDEX(_LEITURA!$Q$2:$Q$21,18)=0),"",SUMIFS(DECKS!$D$2:$D$1201,DECKS!$A$2:$A$1201,INDEX(_LEITURA!$P$2:$P$21,18),DECKS!$B$2:$B$1201,$A769))</f>
        <v/>
      </c>
      <c r="AC769" s="19" t="str">
        <f aca="false">IF(OR($A769="",INDEX(_LEITURA!$Q$2:$Q$21,19)=0),"",SUMIFS(DECKS!$D$2:$D$1201,DECKS!$A$2:$A$1201,INDEX(_LEITURA!$P$2:$P$21,19),DECKS!$B$2:$B$1201,$A769))</f>
        <v/>
      </c>
      <c r="AD769" s="19" t="str">
        <f aca="false">IF(OR($A769="",INDEX(_LEITURA!$Q$2:$Q$21,20)=0),"",SUMIFS(DECKS!$D$2:$D$1201,DECKS!$A$2:$A$1201,INDEX(_LEITURA!$P$2:$P$21,20),DECKS!$B$2:$B$1201,$A769))</f>
        <v/>
      </c>
      <c r="AE769" s="16" t="str">
        <f aca="false">IF(N(E769)&gt;0,MAX(AE$1:AE768)+1,"")</f>
        <v/>
      </c>
      <c r="AF769" s="11" t="str">
        <f aca="false">IF(A769="","",IFERROR(LEFT(A769,FIND("-",A769)-1),A769))</f>
        <v/>
      </c>
      <c r="AG769" s="11" t="str">
        <f aca="false">IF(AF769="","",IF(ISNUMBER(--MID(AF769,1,1)),0,IF(ISNUMBER(--MID(AF769,2,1)),1,IF(ISNUMBER(--MID(AF769,3,1)),2,IF(ISNUMBER(--MID(AF769,4,1)),3,MIN(LEN(AF769),4))))))</f>
        <v/>
      </c>
      <c r="AH769" s="11" t="str">
        <f aca="false">IF(A769="","",LEFT(AF769,AG769)&amp;REPT("0",4-AG769)&amp;RIGHT("000"&amp;IFERROR(VALUE(MID(AF769,AG769+1,9)),0),3)&amp;RIGHT("0000"&amp;IFERROR(VALUE(MID(A769,FIND("-",A769)+1,9)),0),4))</f>
        <v/>
      </c>
      <c r="AI769" s="11" t="str">
        <f aca="false">IF(OR(A769="",N(E769)&lt;=0),"",IF('FALTAS GERAL'!$M$1="Código","K"&amp;AH769&amp;RIGHT("00000"&amp;ROW(),5),IF('FALTAS GERAL'!$M$1="Nome","K"&amp;UPPER(SUBSTITUTE(SUBSTITUTE(SUBSTITUTE(B769,"*",""),"?",""),"~",""))&amp;"0"&amp;AH769&amp;RIGHT("00000"&amp;ROW(),5),IF('FALTAS GERAL'!$M$1="Falta (maior primeiro)","K"&amp;RIGHT("0000"&amp;(9999-E769),4)&amp;AH769&amp;RIGHT("00000"&amp;ROW(),5),IF('FALTAS GERAL'!$M$1="Nº de decks (maior primeiro)","K"&amp;RIGHT("00"&amp;(99-N(G769)),2)&amp;AH769&amp;RIGHT("00000"&amp;ROW(),5),"K"&amp;RIGHT("00000"&amp;ROW(),5))))))</f>
        <v/>
      </c>
      <c r="AJ769" s="11" t="str">
        <f aca="false">IF(AI769="","",COUNTIFS($AI$2:$AI$801,"&lt;"&amp;AI769,$E$2:$E$801,"&gt;0")+1)</f>
        <v/>
      </c>
      <c r="AK769" s="11" t="str">
        <f aca="false">IF(OR(A769="",N(E769)&lt;=0),"",COUNTIFS($AH$2:$AH$801,"&lt;"&amp;AH769,$E$2:$E$801,"&gt;0")+COUNTIFS($AH$2:AH769,AH769,$E$2:E769,"&gt;0"))</f>
        <v/>
      </c>
    </row>
    <row r="770" customFormat="false" ht="15" hidden="false" customHeight="false" outlineLevel="0" collapsed="false">
      <c r="A770" s="11" t="str">
        <f aca="false">IF(INVENTÁRIO!A770="","",INVENTÁRIO!A770)</f>
        <v/>
      </c>
      <c r="B770" s="11" t="str">
        <f aca="false">IF(A770="","",INVENTÁRIO!B770)</f>
        <v/>
      </c>
      <c r="C770" s="16" t="str">
        <f aca="false">IF(A770="","",INVENTÁRIO!C770)</f>
        <v/>
      </c>
      <c r="D770" s="14" t="str">
        <f aca="false">IF(A770="","",MAX(K770:AD770))</f>
        <v/>
      </c>
      <c r="E770" s="14" t="str">
        <f aca="false">IF(A770="","",MAX(0,D770-C770))</f>
        <v/>
      </c>
      <c r="F770" s="16" t="str">
        <f aca="false">IF(A770="","",IF(D770=0,"Fora dos decks",IF(E770=0,"Completo","Falta")))</f>
        <v/>
      </c>
      <c r="G770" s="16" t="str">
        <f aca="false">IF(A770="","",COUNTIF(K770:AD770,"&gt;0"))</f>
        <v/>
      </c>
      <c r="H770" s="16" t="str">
        <f aca="false">IF(A770="","",IF(G770&gt;1,"Sim",""))</f>
        <v/>
      </c>
      <c r="I770" s="18" t="str">
        <f aca="false">IF(A770="","",SUMIFS(DECKS!$D$2:$D$1201,DECKS!$B$2:$B$1201,A770))</f>
        <v/>
      </c>
      <c r="J770" s="18" t="str">
        <f aca="false">IF(A770="","",MAX(0,I770-C770))</f>
        <v/>
      </c>
      <c r="K770" s="19" t="str">
        <f aca="false">IF(OR($A770="",INDEX(_LEITURA!$Q$2:$Q$21,1)=0),"",SUMIFS(DECKS!$D$2:$D$1201,DECKS!$A$2:$A$1201,INDEX(_LEITURA!$P$2:$P$21,1),DECKS!$B$2:$B$1201,$A770))</f>
        <v/>
      </c>
      <c r="L770" s="19" t="str">
        <f aca="false">IF(OR($A770="",INDEX(_LEITURA!$Q$2:$Q$21,2)=0),"",SUMIFS(DECKS!$D$2:$D$1201,DECKS!$A$2:$A$1201,INDEX(_LEITURA!$P$2:$P$21,2),DECKS!$B$2:$B$1201,$A770))</f>
        <v/>
      </c>
      <c r="M770" s="19" t="str">
        <f aca="false">IF(OR($A770="",INDEX(_LEITURA!$Q$2:$Q$21,3)=0),"",SUMIFS(DECKS!$D$2:$D$1201,DECKS!$A$2:$A$1201,INDEX(_LEITURA!$P$2:$P$21,3),DECKS!$B$2:$B$1201,$A770))</f>
        <v/>
      </c>
      <c r="N770" s="19" t="str">
        <f aca="false">IF(OR($A770="",INDEX(_LEITURA!$Q$2:$Q$21,4)=0),"",SUMIFS(DECKS!$D$2:$D$1201,DECKS!$A$2:$A$1201,INDEX(_LEITURA!$P$2:$P$21,4),DECKS!$B$2:$B$1201,$A770))</f>
        <v/>
      </c>
      <c r="O770" s="19" t="str">
        <f aca="false">IF(OR($A770="",INDEX(_LEITURA!$Q$2:$Q$21,5)=0),"",SUMIFS(DECKS!$D$2:$D$1201,DECKS!$A$2:$A$1201,INDEX(_LEITURA!$P$2:$P$21,5),DECKS!$B$2:$B$1201,$A770))</f>
        <v/>
      </c>
      <c r="P770" s="19" t="str">
        <f aca="false">IF(OR($A770="",INDEX(_LEITURA!$Q$2:$Q$21,6)=0),"",SUMIFS(DECKS!$D$2:$D$1201,DECKS!$A$2:$A$1201,INDEX(_LEITURA!$P$2:$P$21,6),DECKS!$B$2:$B$1201,$A770))</f>
        <v/>
      </c>
      <c r="Q770" s="19" t="str">
        <f aca="false">IF(OR($A770="",INDEX(_LEITURA!$Q$2:$Q$21,7)=0),"",SUMIFS(DECKS!$D$2:$D$1201,DECKS!$A$2:$A$1201,INDEX(_LEITURA!$P$2:$P$21,7),DECKS!$B$2:$B$1201,$A770))</f>
        <v/>
      </c>
      <c r="R770" s="19" t="str">
        <f aca="false">IF(OR($A770="",INDEX(_LEITURA!$Q$2:$Q$21,8)=0),"",SUMIFS(DECKS!$D$2:$D$1201,DECKS!$A$2:$A$1201,INDEX(_LEITURA!$P$2:$P$21,8),DECKS!$B$2:$B$1201,$A770))</f>
        <v/>
      </c>
      <c r="S770" s="19" t="str">
        <f aca="false">IF(OR($A770="",INDEX(_LEITURA!$Q$2:$Q$21,9)=0),"",SUMIFS(DECKS!$D$2:$D$1201,DECKS!$A$2:$A$1201,INDEX(_LEITURA!$P$2:$P$21,9),DECKS!$B$2:$B$1201,$A770))</f>
        <v/>
      </c>
      <c r="T770" s="19" t="str">
        <f aca="false">IF(OR($A770="",INDEX(_LEITURA!$Q$2:$Q$21,10)=0),"",SUMIFS(DECKS!$D$2:$D$1201,DECKS!$A$2:$A$1201,INDEX(_LEITURA!$P$2:$P$21,10),DECKS!$B$2:$B$1201,$A770))</f>
        <v/>
      </c>
      <c r="U770" s="19" t="str">
        <f aca="false">IF(OR($A770="",INDEX(_LEITURA!$Q$2:$Q$21,11)=0),"",SUMIFS(DECKS!$D$2:$D$1201,DECKS!$A$2:$A$1201,INDEX(_LEITURA!$P$2:$P$21,11),DECKS!$B$2:$B$1201,$A770))</f>
        <v/>
      </c>
      <c r="V770" s="19" t="str">
        <f aca="false">IF(OR($A770="",INDEX(_LEITURA!$Q$2:$Q$21,12)=0),"",SUMIFS(DECKS!$D$2:$D$1201,DECKS!$A$2:$A$1201,INDEX(_LEITURA!$P$2:$P$21,12),DECKS!$B$2:$B$1201,$A770))</f>
        <v/>
      </c>
      <c r="W770" s="19" t="str">
        <f aca="false">IF(OR($A770="",INDEX(_LEITURA!$Q$2:$Q$21,13)=0),"",SUMIFS(DECKS!$D$2:$D$1201,DECKS!$A$2:$A$1201,INDEX(_LEITURA!$P$2:$P$21,13),DECKS!$B$2:$B$1201,$A770))</f>
        <v/>
      </c>
      <c r="X770" s="19" t="str">
        <f aca="false">IF(OR($A770="",INDEX(_LEITURA!$Q$2:$Q$21,14)=0),"",SUMIFS(DECKS!$D$2:$D$1201,DECKS!$A$2:$A$1201,INDEX(_LEITURA!$P$2:$P$21,14),DECKS!$B$2:$B$1201,$A770))</f>
        <v/>
      </c>
      <c r="Y770" s="19" t="str">
        <f aca="false">IF(OR($A770="",INDEX(_LEITURA!$Q$2:$Q$21,15)=0),"",SUMIFS(DECKS!$D$2:$D$1201,DECKS!$A$2:$A$1201,INDEX(_LEITURA!$P$2:$P$21,15),DECKS!$B$2:$B$1201,$A770))</f>
        <v/>
      </c>
      <c r="Z770" s="19" t="str">
        <f aca="false">IF(OR($A770="",INDEX(_LEITURA!$Q$2:$Q$21,16)=0),"",SUMIFS(DECKS!$D$2:$D$1201,DECKS!$A$2:$A$1201,INDEX(_LEITURA!$P$2:$P$21,16),DECKS!$B$2:$B$1201,$A770))</f>
        <v/>
      </c>
      <c r="AA770" s="19" t="str">
        <f aca="false">IF(OR($A770="",INDEX(_LEITURA!$Q$2:$Q$21,17)=0),"",SUMIFS(DECKS!$D$2:$D$1201,DECKS!$A$2:$A$1201,INDEX(_LEITURA!$P$2:$P$21,17),DECKS!$B$2:$B$1201,$A770))</f>
        <v/>
      </c>
      <c r="AB770" s="19" t="str">
        <f aca="false">IF(OR($A770="",INDEX(_LEITURA!$Q$2:$Q$21,18)=0),"",SUMIFS(DECKS!$D$2:$D$1201,DECKS!$A$2:$A$1201,INDEX(_LEITURA!$P$2:$P$21,18),DECKS!$B$2:$B$1201,$A770))</f>
        <v/>
      </c>
      <c r="AC770" s="19" t="str">
        <f aca="false">IF(OR($A770="",INDEX(_LEITURA!$Q$2:$Q$21,19)=0),"",SUMIFS(DECKS!$D$2:$D$1201,DECKS!$A$2:$A$1201,INDEX(_LEITURA!$P$2:$P$21,19),DECKS!$B$2:$B$1201,$A770))</f>
        <v/>
      </c>
      <c r="AD770" s="19" t="str">
        <f aca="false">IF(OR($A770="",INDEX(_LEITURA!$Q$2:$Q$21,20)=0),"",SUMIFS(DECKS!$D$2:$D$1201,DECKS!$A$2:$A$1201,INDEX(_LEITURA!$P$2:$P$21,20),DECKS!$B$2:$B$1201,$A770))</f>
        <v/>
      </c>
      <c r="AE770" s="16" t="str">
        <f aca="false">IF(N(E770)&gt;0,MAX(AE$1:AE769)+1,"")</f>
        <v/>
      </c>
      <c r="AF770" s="11" t="str">
        <f aca="false">IF(A770="","",IFERROR(LEFT(A770,FIND("-",A770)-1),A770))</f>
        <v/>
      </c>
      <c r="AG770" s="11" t="str">
        <f aca="false">IF(AF770="","",IF(ISNUMBER(--MID(AF770,1,1)),0,IF(ISNUMBER(--MID(AF770,2,1)),1,IF(ISNUMBER(--MID(AF770,3,1)),2,IF(ISNUMBER(--MID(AF770,4,1)),3,MIN(LEN(AF770),4))))))</f>
        <v/>
      </c>
      <c r="AH770" s="11" t="str">
        <f aca="false">IF(A770="","",LEFT(AF770,AG770)&amp;REPT("0",4-AG770)&amp;RIGHT("000"&amp;IFERROR(VALUE(MID(AF770,AG770+1,9)),0),3)&amp;RIGHT("0000"&amp;IFERROR(VALUE(MID(A770,FIND("-",A770)+1,9)),0),4))</f>
        <v/>
      </c>
      <c r="AI770" s="11" t="str">
        <f aca="false">IF(OR(A770="",N(E770)&lt;=0),"",IF('FALTAS GERAL'!$M$1="Código","K"&amp;AH770&amp;RIGHT("00000"&amp;ROW(),5),IF('FALTAS GERAL'!$M$1="Nome","K"&amp;UPPER(SUBSTITUTE(SUBSTITUTE(SUBSTITUTE(B770,"*",""),"?",""),"~",""))&amp;"0"&amp;AH770&amp;RIGHT("00000"&amp;ROW(),5),IF('FALTAS GERAL'!$M$1="Falta (maior primeiro)","K"&amp;RIGHT("0000"&amp;(9999-E770),4)&amp;AH770&amp;RIGHT("00000"&amp;ROW(),5),IF('FALTAS GERAL'!$M$1="Nº de decks (maior primeiro)","K"&amp;RIGHT("00"&amp;(99-N(G770)),2)&amp;AH770&amp;RIGHT("00000"&amp;ROW(),5),"K"&amp;RIGHT("00000"&amp;ROW(),5))))))</f>
        <v/>
      </c>
      <c r="AJ770" s="11" t="str">
        <f aca="false">IF(AI770="","",COUNTIFS($AI$2:$AI$801,"&lt;"&amp;AI770,$E$2:$E$801,"&gt;0")+1)</f>
        <v/>
      </c>
      <c r="AK770" s="11" t="str">
        <f aca="false">IF(OR(A770="",N(E770)&lt;=0),"",COUNTIFS($AH$2:$AH$801,"&lt;"&amp;AH770,$E$2:$E$801,"&gt;0")+COUNTIFS($AH$2:AH770,AH770,$E$2:E770,"&gt;0"))</f>
        <v/>
      </c>
    </row>
    <row r="771" customFormat="false" ht="15" hidden="false" customHeight="false" outlineLevel="0" collapsed="false">
      <c r="A771" s="11" t="str">
        <f aca="false">IF(INVENTÁRIO!A771="","",INVENTÁRIO!A771)</f>
        <v/>
      </c>
      <c r="B771" s="11" t="str">
        <f aca="false">IF(A771="","",INVENTÁRIO!B771)</f>
        <v/>
      </c>
      <c r="C771" s="16" t="str">
        <f aca="false">IF(A771="","",INVENTÁRIO!C771)</f>
        <v/>
      </c>
      <c r="D771" s="14" t="str">
        <f aca="false">IF(A771="","",MAX(K771:AD771))</f>
        <v/>
      </c>
      <c r="E771" s="14" t="str">
        <f aca="false">IF(A771="","",MAX(0,D771-C771))</f>
        <v/>
      </c>
      <c r="F771" s="16" t="str">
        <f aca="false">IF(A771="","",IF(D771=0,"Fora dos decks",IF(E771=0,"Completo","Falta")))</f>
        <v/>
      </c>
      <c r="G771" s="16" t="str">
        <f aca="false">IF(A771="","",COUNTIF(K771:AD771,"&gt;0"))</f>
        <v/>
      </c>
      <c r="H771" s="16" t="str">
        <f aca="false">IF(A771="","",IF(G771&gt;1,"Sim",""))</f>
        <v/>
      </c>
      <c r="I771" s="18" t="str">
        <f aca="false">IF(A771="","",SUMIFS(DECKS!$D$2:$D$1201,DECKS!$B$2:$B$1201,A771))</f>
        <v/>
      </c>
      <c r="J771" s="18" t="str">
        <f aca="false">IF(A771="","",MAX(0,I771-C771))</f>
        <v/>
      </c>
      <c r="K771" s="19" t="str">
        <f aca="false">IF(OR($A771="",INDEX(_LEITURA!$Q$2:$Q$21,1)=0),"",SUMIFS(DECKS!$D$2:$D$1201,DECKS!$A$2:$A$1201,INDEX(_LEITURA!$P$2:$P$21,1),DECKS!$B$2:$B$1201,$A771))</f>
        <v/>
      </c>
      <c r="L771" s="19" t="str">
        <f aca="false">IF(OR($A771="",INDEX(_LEITURA!$Q$2:$Q$21,2)=0),"",SUMIFS(DECKS!$D$2:$D$1201,DECKS!$A$2:$A$1201,INDEX(_LEITURA!$P$2:$P$21,2),DECKS!$B$2:$B$1201,$A771))</f>
        <v/>
      </c>
      <c r="M771" s="19" t="str">
        <f aca="false">IF(OR($A771="",INDEX(_LEITURA!$Q$2:$Q$21,3)=0),"",SUMIFS(DECKS!$D$2:$D$1201,DECKS!$A$2:$A$1201,INDEX(_LEITURA!$P$2:$P$21,3),DECKS!$B$2:$B$1201,$A771))</f>
        <v/>
      </c>
      <c r="N771" s="19" t="str">
        <f aca="false">IF(OR($A771="",INDEX(_LEITURA!$Q$2:$Q$21,4)=0),"",SUMIFS(DECKS!$D$2:$D$1201,DECKS!$A$2:$A$1201,INDEX(_LEITURA!$P$2:$P$21,4),DECKS!$B$2:$B$1201,$A771))</f>
        <v/>
      </c>
      <c r="O771" s="19" t="str">
        <f aca="false">IF(OR($A771="",INDEX(_LEITURA!$Q$2:$Q$21,5)=0),"",SUMIFS(DECKS!$D$2:$D$1201,DECKS!$A$2:$A$1201,INDEX(_LEITURA!$P$2:$P$21,5),DECKS!$B$2:$B$1201,$A771))</f>
        <v/>
      </c>
      <c r="P771" s="19" t="str">
        <f aca="false">IF(OR($A771="",INDEX(_LEITURA!$Q$2:$Q$21,6)=0),"",SUMIFS(DECKS!$D$2:$D$1201,DECKS!$A$2:$A$1201,INDEX(_LEITURA!$P$2:$P$21,6),DECKS!$B$2:$B$1201,$A771))</f>
        <v/>
      </c>
      <c r="Q771" s="19" t="str">
        <f aca="false">IF(OR($A771="",INDEX(_LEITURA!$Q$2:$Q$21,7)=0),"",SUMIFS(DECKS!$D$2:$D$1201,DECKS!$A$2:$A$1201,INDEX(_LEITURA!$P$2:$P$21,7),DECKS!$B$2:$B$1201,$A771))</f>
        <v/>
      </c>
      <c r="R771" s="19" t="str">
        <f aca="false">IF(OR($A771="",INDEX(_LEITURA!$Q$2:$Q$21,8)=0),"",SUMIFS(DECKS!$D$2:$D$1201,DECKS!$A$2:$A$1201,INDEX(_LEITURA!$P$2:$P$21,8),DECKS!$B$2:$B$1201,$A771))</f>
        <v/>
      </c>
      <c r="S771" s="19" t="str">
        <f aca="false">IF(OR($A771="",INDEX(_LEITURA!$Q$2:$Q$21,9)=0),"",SUMIFS(DECKS!$D$2:$D$1201,DECKS!$A$2:$A$1201,INDEX(_LEITURA!$P$2:$P$21,9),DECKS!$B$2:$B$1201,$A771))</f>
        <v/>
      </c>
      <c r="T771" s="19" t="str">
        <f aca="false">IF(OR($A771="",INDEX(_LEITURA!$Q$2:$Q$21,10)=0),"",SUMIFS(DECKS!$D$2:$D$1201,DECKS!$A$2:$A$1201,INDEX(_LEITURA!$P$2:$P$21,10),DECKS!$B$2:$B$1201,$A771))</f>
        <v/>
      </c>
      <c r="U771" s="19" t="str">
        <f aca="false">IF(OR($A771="",INDEX(_LEITURA!$Q$2:$Q$21,11)=0),"",SUMIFS(DECKS!$D$2:$D$1201,DECKS!$A$2:$A$1201,INDEX(_LEITURA!$P$2:$P$21,11),DECKS!$B$2:$B$1201,$A771))</f>
        <v/>
      </c>
      <c r="V771" s="19" t="str">
        <f aca="false">IF(OR($A771="",INDEX(_LEITURA!$Q$2:$Q$21,12)=0),"",SUMIFS(DECKS!$D$2:$D$1201,DECKS!$A$2:$A$1201,INDEX(_LEITURA!$P$2:$P$21,12),DECKS!$B$2:$B$1201,$A771))</f>
        <v/>
      </c>
      <c r="W771" s="19" t="str">
        <f aca="false">IF(OR($A771="",INDEX(_LEITURA!$Q$2:$Q$21,13)=0),"",SUMIFS(DECKS!$D$2:$D$1201,DECKS!$A$2:$A$1201,INDEX(_LEITURA!$P$2:$P$21,13),DECKS!$B$2:$B$1201,$A771))</f>
        <v/>
      </c>
      <c r="X771" s="19" t="str">
        <f aca="false">IF(OR($A771="",INDEX(_LEITURA!$Q$2:$Q$21,14)=0),"",SUMIFS(DECKS!$D$2:$D$1201,DECKS!$A$2:$A$1201,INDEX(_LEITURA!$P$2:$P$21,14),DECKS!$B$2:$B$1201,$A771))</f>
        <v/>
      </c>
      <c r="Y771" s="19" t="str">
        <f aca="false">IF(OR($A771="",INDEX(_LEITURA!$Q$2:$Q$21,15)=0),"",SUMIFS(DECKS!$D$2:$D$1201,DECKS!$A$2:$A$1201,INDEX(_LEITURA!$P$2:$P$21,15),DECKS!$B$2:$B$1201,$A771))</f>
        <v/>
      </c>
      <c r="Z771" s="19" t="str">
        <f aca="false">IF(OR($A771="",INDEX(_LEITURA!$Q$2:$Q$21,16)=0),"",SUMIFS(DECKS!$D$2:$D$1201,DECKS!$A$2:$A$1201,INDEX(_LEITURA!$P$2:$P$21,16),DECKS!$B$2:$B$1201,$A771))</f>
        <v/>
      </c>
      <c r="AA771" s="19" t="str">
        <f aca="false">IF(OR($A771="",INDEX(_LEITURA!$Q$2:$Q$21,17)=0),"",SUMIFS(DECKS!$D$2:$D$1201,DECKS!$A$2:$A$1201,INDEX(_LEITURA!$P$2:$P$21,17),DECKS!$B$2:$B$1201,$A771))</f>
        <v/>
      </c>
      <c r="AB771" s="19" t="str">
        <f aca="false">IF(OR($A771="",INDEX(_LEITURA!$Q$2:$Q$21,18)=0),"",SUMIFS(DECKS!$D$2:$D$1201,DECKS!$A$2:$A$1201,INDEX(_LEITURA!$P$2:$P$21,18),DECKS!$B$2:$B$1201,$A771))</f>
        <v/>
      </c>
      <c r="AC771" s="19" t="str">
        <f aca="false">IF(OR($A771="",INDEX(_LEITURA!$Q$2:$Q$21,19)=0),"",SUMIFS(DECKS!$D$2:$D$1201,DECKS!$A$2:$A$1201,INDEX(_LEITURA!$P$2:$P$21,19),DECKS!$B$2:$B$1201,$A771))</f>
        <v/>
      </c>
      <c r="AD771" s="19" t="str">
        <f aca="false">IF(OR($A771="",INDEX(_LEITURA!$Q$2:$Q$21,20)=0),"",SUMIFS(DECKS!$D$2:$D$1201,DECKS!$A$2:$A$1201,INDEX(_LEITURA!$P$2:$P$21,20),DECKS!$B$2:$B$1201,$A771))</f>
        <v/>
      </c>
      <c r="AE771" s="16" t="str">
        <f aca="false">IF(N(E771)&gt;0,MAX(AE$1:AE770)+1,"")</f>
        <v/>
      </c>
      <c r="AF771" s="11" t="str">
        <f aca="false">IF(A771="","",IFERROR(LEFT(A771,FIND("-",A771)-1),A771))</f>
        <v/>
      </c>
      <c r="AG771" s="11" t="str">
        <f aca="false">IF(AF771="","",IF(ISNUMBER(--MID(AF771,1,1)),0,IF(ISNUMBER(--MID(AF771,2,1)),1,IF(ISNUMBER(--MID(AF771,3,1)),2,IF(ISNUMBER(--MID(AF771,4,1)),3,MIN(LEN(AF771),4))))))</f>
        <v/>
      </c>
      <c r="AH771" s="11" t="str">
        <f aca="false">IF(A771="","",LEFT(AF771,AG771)&amp;REPT("0",4-AG771)&amp;RIGHT("000"&amp;IFERROR(VALUE(MID(AF771,AG771+1,9)),0),3)&amp;RIGHT("0000"&amp;IFERROR(VALUE(MID(A771,FIND("-",A771)+1,9)),0),4))</f>
        <v/>
      </c>
      <c r="AI771" s="11" t="str">
        <f aca="false">IF(OR(A771="",N(E771)&lt;=0),"",IF('FALTAS GERAL'!$M$1="Código","K"&amp;AH771&amp;RIGHT("00000"&amp;ROW(),5),IF('FALTAS GERAL'!$M$1="Nome","K"&amp;UPPER(SUBSTITUTE(SUBSTITUTE(SUBSTITUTE(B771,"*",""),"?",""),"~",""))&amp;"0"&amp;AH771&amp;RIGHT("00000"&amp;ROW(),5),IF('FALTAS GERAL'!$M$1="Falta (maior primeiro)","K"&amp;RIGHT("0000"&amp;(9999-E771),4)&amp;AH771&amp;RIGHT("00000"&amp;ROW(),5),IF('FALTAS GERAL'!$M$1="Nº de decks (maior primeiro)","K"&amp;RIGHT("00"&amp;(99-N(G771)),2)&amp;AH771&amp;RIGHT("00000"&amp;ROW(),5),"K"&amp;RIGHT("00000"&amp;ROW(),5))))))</f>
        <v/>
      </c>
      <c r="AJ771" s="11" t="str">
        <f aca="false">IF(AI771="","",COUNTIFS($AI$2:$AI$801,"&lt;"&amp;AI771,$E$2:$E$801,"&gt;0")+1)</f>
        <v/>
      </c>
      <c r="AK771" s="11" t="str">
        <f aca="false">IF(OR(A771="",N(E771)&lt;=0),"",COUNTIFS($AH$2:$AH$801,"&lt;"&amp;AH771,$E$2:$E$801,"&gt;0")+COUNTIFS($AH$2:AH771,AH771,$E$2:E771,"&gt;0"))</f>
        <v/>
      </c>
    </row>
    <row r="772" customFormat="false" ht="15" hidden="false" customHeight="false" outlineLevel="0" collapsed="false">
      <c r="A772" s="11" t="str">
        <f aca="false">IF(INVENTÁRIO!A772="","",INVENTÁRIO!A772)</f>
        <v/>
      </c>
      <c r="B772" s="11" t="str">
        <f aca="false">IF(A772="","",INVENTÁRIO!B772)</f>
        <v/>
      </c>
      <c r="C772" s="16" t="str">
        <f aca="false">IF(A772="","",INVENTÁRIO!C772)</f>
        <v/>
      </c>
      <c r="D772" s="14" t="str">
        <f aca="false">IF(A772="","",MAX(K772:AD772))</f>
        <v/>
      </c>
      <c r="E772" s="14" t="str">
        <f aca="false">IF(A772="","",MAX(0,D772-C772))</f>
        <v/>
      </c>
      <c r="F772" s="16" t="str">
        <f aca="false">IF(A772="","",IF(D772=0,"Fora dos decks",IF(E772=0,"Completo","Falta")))</f>
        <v/>
      </c>
      <c r="G772" s="16" t="str">
        <f aca="false">IF(A772="","",COUNTIF(K772:AD772,"&gt;0"))</f>
        <v/>
      </c>
      <c r="H772" s="16" t="str">
        <f aca="false">IF(A772="","",IF(G772&gt;1,"Sim",""))</f>
        <v/>
      </c>
      <c r="I772" s="18" t="str">
        <f aca="false">IF(A772="","",SUMIFS(DECKS!$D$2:$D$1201,DECKS!$B$2:$B$1201,A772))</f>
        <v/>
      </c>
      <c r="J772" s="18" t="str">
        <f aca="false">IF(A772="","",MAX(0,I772-C772))</f>
        <v/>
      </c>
      <c r="K772" s="19" t="str">
        <f aca="false">IF(OR($A772="",INDEX(_LEITURA!$Q$2:$Q$21,1)=0),"",SUMIFS(DECKS!$D$2:$D$1201,DECKS!$A$2:$A$1201,INDEX(_LEITURA!$P$2:$P$21,1),DECKS!$B$2:$B$1201,$A772))</f>
        <v/>
      </c>
      <c r="L772" s="19" t="str">
        <f aca="false">IF(OR($A772="",INDEX(_LEITURA!$Q$2:$Q$21,2)=0),"",SUMIFS(DECKS!$D$2:$D$1201,DECKS!$A$2:$A$1201,INDEX(_LEITURA!$P$2:$P$21,2),DECKS!$B$2:$B$1201,$A772))</f>
        <v/>
      </c>
      <c r="M772" s="19" t="str">
        <f aca="false">IF(OR($A772="",INDEX(_LEITURA!$Q$2:$Q$21,3)=0),"",SUMIFS(DECKS!$D$2:$D$1201,DECKS!$A$2:$A$1201,INDEX(_LEITURA!$P$2:$P$21,3),DECKS!$B$2:$B$1201,$A772))</f>
        <v/>
      </c>
      <c r="N772" s="19" t="str">
        <f aca="false">IF(OR($A772="",INDEX(_LEITURA!$Q$2:$Q$21,4)=0),"",SUMIFS(DECKS!$D$2:$D$1201,DECKS!$A$2:$A$1201,INDEX(_LEITURA!$P$2:$P$21,4),DECKS!$B$2:$B$1201,$A772))</f>
        <v/>
      </c>
      <c r="O772" s="19" t="str">
        <f aca="false">IF(OR($A772="",INDEX(_LEITURA!$Q$2:$Q$21,5)=0),"",SUMIFS(DECKS!$D$2:$D$1201,DECKS!$A$2:$A$1201,INDEX(_LEITURA!$P$2:$P$21,5),DECKS!$B$2:$B$1201,$A772))</f>
        <v/>
      </c>
      <c r="P772" s="19" t="str">
        <f aca="false">IF(OR($A772="",INDEX(_LEITURA!$Q$2:$Q$21,6)=0),"",SUMIFS(DECKS!$D$2:$D$1201,DECKS!$A$2:$A$1201,INDEX(_LEITURA!$P$2:$P$21,6),DECKS!$B$2:$B$1201,$A772))</f>
        <v/>
      </c>
      <c r="Q772" s="19" t="str">
        <f aca="false">IF(OR($A772="",INDEX(_LEITURA!$Q$2:$Q$21,7)=0),"",SUMIFS(DECKS!$D$2:$D$1201,DECKS!$A$2:$A$1201,INDEX(_LEITURA!$P$2:$P$21,7),DECKS!$B$2:$B$1201,$A772))</f>
        <v/>
      </c>
      <c r="R772" s="19" t="str">
        <f aca="false">IF(OR($A772="",INDEX(_LEITURA!$Q$2:$Q$21,8)=0),"",SUMIFS(DECKS!$D$2:$D$1201,DECKS!$A$2:$A$1201,INDEX(_LEITURA!$P$2:$P$21,8),DECKS!$B$2:$B$1201,$A772))</f>
        <v/>
      </c>
      <c r="S772" s="19" t="str">
        <f aca="false">IF(OR($A772="",INDEX(_LEITURA!$Q$2:$Q$21,9)=0),"",SUMIFS(DECKS!$D$2:$D$1201,DECKS!$A$2:$A$1201,INDEX(_LEITURA!$P$2:$P$21,9),DECKS!$B$2:$B$1201,$A772))</f>
        <v/>
      </c>
      <c r="T772" s="19" t="str">
        <f aca="false">IF(OR($A772="",INDEX(_LEITURA!$Q$2:$Q$21,10)=0),"",SUMIFS(DECKS!$D$2:$D$1201,DECKS!$A$2:$A$1201,INDEX(_LEITURA!$P$2:$P$21,10),DECKS!$B$2:$B$1201,$A772))</f>
        <v/>
      </c>
      <c r="U772" s="19" t="str">
        <f aca="false">IF(OR($A772="",INDEX(_LEITURA!$Q$2:$Q$21,11)=0),"",SUMIFS(DECKS!$D$2:$D$1201,DECKS!$A$2:$A$1201,INDEX(_LEITURA!$P$2:$P$21,11),DECKS!$B$2:$B$1201,$A772))</f>
        <v/>
      </c>
      <c r="V772" s="19" t="str">
        <f aca="false">IF(OR($A772="",INDEX(_LEITURA!$Q$2:$Q$21,12)=0),"",SUMIFS(DECKS!$D$2:$D$1201,DECKS!$A$2:$A$1201,INDEX(_LEITURA!$P$2:$P$21,12),DECKS!$B$2:$B$1201,$A772))</f>
        <v/>
      </c>
      <c r="W772" s="19" t="str">
        <f aca="false">IF(OR($A772="",INDEX(_LEITURA!$Q$2:$Q$21,13)=0),"",SUMIFS(DECKS!$D$2:$D$1201,DECKS!$A$2:$A$1201,INDEX(_LEITURA!$P$2:$P$21,13),DECKS!$B$2:$B$1201,$A772))</f>
        <v/>
      </c>
      <c r="X772" s="19" t="str">
        <f aca="false">IF(OR($A772="",INDEX(_LEITURA!$Q$2:$Q$21,14)=0),"",SUMIFS(DECKS!$D$2:$D$1201,DECKS!$A$2:$A$1201,INDEX(_LEITURA!$P$2:$P$21,14),DECKS!$B$2:$B$1201,$A772))</f>
        <v/>
      </c>
      <c r="Y772" s="19" t="str">
        <f aca="false">IF(OR($A772="",INDEX(_LEITURA!$Q$2:$Q$21,15)=0),"",SUMIFS(DECKS!$D$2:$D$1201,DECKS!$A$2:$A$1201,INDEX(_LEITURA!$P$2:$P$21,15),DECKS!$B$2:$B$1201,$A772))</f>
        <v/>
      </c>
      <c r="Z772" s="19" t="str">
        <f aca="false">IF(OR($A772="",INDEX(_LEITURA!$Q$2:$Q$21,16)=0),"",SUMIFS(DECKS!$D$2:$D$1201,DECKS!$A$2:$A$1201,INDEX(_LEITURA!$P$2:$P$21,16),DECKS!$B$2:$B$1201,$A772))</f>
        <v/>
      </c>
      <c r="AA772" s="19" t="str">
        <f aca="false">IF(OR($A772="",INDEX(_LEITURA!$Q$2:$Q$21,17)=0),"",SUMIFS(DECKS!$D$2:$D$1201,DECKS!$A$2:$A$1201,INDEX(_LEITURA!$P$2:$P$21,17),DECKS!$B$2:$B$1201,$A772))</f>
        <v/>
      </c>
      <c r="AB772" s="19" t="str">
        <f aca="false">IF(OR($A772="",INDEX(_LEITURA!$Q$2:$Q$21,18)=0),"",SUMIFS(DECKS!$D$2:$D$1201,DECKS!$A$2:$A$1201,INDEX(_LEITURA!$P$2:$P$21,18),DECKS!$B$2:$B$1201,$A772))</f>
        <v/>
      </c>
      <c r="AC772" s="19" t="str">
        <f aca="false">IF(OR($A772="",INDEX(_LEITURA!$Q$2:$Q$21,19)=0),"",SUMIFS(DECKS!$D$2:$D$1201,DECKS!$A$2:$A$1201,INDEX(_LEITURA!$P$2:$P$21,19),DECKS!$B$2:$B$1201,$A772))</f>
        <v/>
      </c>
      <c r="AD772" s="19" t="str">
        <f aca="false">IF(OR($A772="",INDEX(_LEITURA!$Q$2:$Q$21,20)=0),"",SUMIFS(DECKS!$D$2:$D$1201,DECKS!$A$2:$A$1201,INDEX(_LEITURA!$P$2:$P$21,20),DECKS!$B$2:$B$1201,$A772))</f>
        <v/>
      </c>
      <c r="AE772" s="16" t="str">
        <f aca="false">IF(N(E772)&gt;0,MAX(AE$1:AE771)+1,"")</f>
        <v/>
      </c>
      <c r="AF772" s="11" t="str">
        <f aca="false">IF(A772="","",IFERROR(LEFT(A772,FIND("-",A772)-1),A772))</f>
        <v/>
      </c>
      <c r="AG772" s="11" t="str">
        <f aca="false">IF(AF772="","",IF(ISNUMBER(--MID(AF772,1,1)),0,IF(ISNUMBER(--MID(AF772,2,1)),1,IF(ISNUMBER(--MID(AF772,3,1)),2,IF(ISNUMBER(--MID(AF772,4,1)),3,MIN(LEN(AF772),4))))))</f>
        <v/>
      </c>
      <c r="AH772" s="11" t="str">
        <f aca="false">IF(A772="","",LEFT(AF772,AG772)&amp;REPT("0",4-AG772)&amp;RIGHT("000"&amp;IFERROR(VALUE(MID(AF772,AG772+1,9)),0),3)&amp;RIGHT("0000"&amp;IFERROR(VALUE(MID(A772,FIND("-",A772)+1,9)),0),4))</f>
        <v/>
      </c>
      <c r="AI772" s="11" t="str">
        <f aca="false">IF(OR(A772="",N(E772)&lt;=0),"",IF('FALTAS GERAL'!$M$1="Código","K"&amp;AH772&amp;RIGHT("00000"&amp;ROW(),5),IF('FALTAS GERAL'!$M$1="Nome","K"&amp;UPPER(SUBSTITUTE(SUBSTITUTE(SUBSTITUTE(B772,"*",""),"?",""),"~",""))&amp;"0"&amp;AH772&amp;RIGHT("00000"&amp;ROW(),5),IF('FALTAS GERAL'!$M$1="Falta (maior primeiro)","K"&amp;RIGHT("0000"&amp;(9999-E772),4)&amp;AH772&amp;RIGHT("00000"&amp;ROW(),5),IF('FALTAS GERAL'!$M$1="Nº de decks (maior primeiro)","K"&amp;RIGHT("00"&amp;(99-N(G772)),2)&amp;AH772&amp;RIGHT("00000"&amp;ROW(),5),"K"&amp;RIGHT("00000"&amp;ROW(),5))))))</f>
        <v/>
      </c>
      <c r="AJ772" s="11" t="str">
        <f aca="false">IF(AI772="","",COUNTIFS($AI$2:$AI$801,"&lt;"&amp;AI772,$E$2:$E$801,"&gt;0")+1)</f>
        <v/>
      </c>
      <c r="AK772" s="11" t="str">
        <f aca="false">IF(OR(A772="",N(E772)&lt;=0),"",COUNTIFS($AH$2:$AH$801,"&lt;"&amp;AH772,$E$2:$E$801,"&gt;0")+COUNTIFS($AH$2:AH772,AH772,$E$2:E772,"&gt;0"))</f>
        <v/>
      </c>
    </row>
    <row r="773" customFormat="false" ht="15" hidden="false" customHeight="false" outlineLevel="0" collapsed="false">
      <c r="A773" s="11" t="str">
        <f aca="false">IF(INVENTÁRIO!A773="","",INVENTÁRIO!A773)</f>
        <v/>
      </c>
      <c r="B773" s="11" t="str">
        <f aca="false">IF(A773="","",INVENTÁRIO!B773)</f>
        <v/>
      </c>
      <c r="C773" s="16" t="str">
        <f aca="false">IF(A773="","",INVENTÁRIO!C773)</f>
        <v/>
      </c>
      <c r="D773" s="14" t="str">
        <f aca="false">IF(A773="","",MAX(K773:AD773))</f>
        <v/>
      </c>
      <c r="E773" s="14" t="str">
        <f aca="false">IF(A773="","",MAX(0,D773-C773))</f>
        <v/>
      </c>
      <c r="F773" s="16" t="str">
        <f aca="false">IF(A773="","",IF(D773=0,"Fora dos decks",IF(E773=0,"Completo","Falta")))</f>
        <v/>
      </c>
      <c r="G773" s="16" t="str">
        <f aca="false">IF(A773="","",COUNTIF(K773:AD773,"&gt;0"))</f>
        <v/>
      </c>
      <c r="H773" s="16" t="str">
        <f aca="false">IF(A773="","",IF(G773&gt;1,"Sim",""))</f>
        <v/>
      </c>
      <c r="I773" s="18" t="str">
        <f aca="false">IF(A773="","",SUMIFS(DECKS!$D$2:$D$1201,DECKS!$B$2:$B$1201,A773))</f>
        <v/>
      </c>
      <c r="J773" s="18" t="str">
        <f aca="false">IF(A773="","",MAX(0,I773-C773))</f>
        <v/>
      </c>
      <c r="K773" s="19" t="str">
        <f aca="false">IF(OR($A773="",INDEX(_LEITURA!$Q$2:$Q$21,1)=0),"",SUMIFS(DECKS!$D$2:$D$1201,DECKS!$A$2:$A$1201,INDEX(_LEITURA!$P$2:$P$21,1),DECKS!$B$2:$B$1201,$A773))</f>
        <v/>
      </c>
      <c r="L773" s="19" t="str">
        <f aca="false">IF(OR($A773="",INDEX(_LEITURA!$Q$2:$Q$21,2)=0),"",SUMIFS(DECKS!$D$2:$D$1201,DECKS!$A$2:$A$1201,INDEX(_LEITURA!$P$2:$P$21,2),DECKS!$B$2:$B$1201,$A773))</f>
        <v/>
      </c>
      <c r="M773" s="19" t="str">
        <f aca="false">IF(OR($A773="",INDEX(_LEITURA!$Q$2:$Q$21,3)=0),"",SUMIFS(DECKS!$D$2:$D$1201,DECKS!$A$2:$A$1201,INDEX(_LEITURA!$P$2:$P$21,3),DECKS!$B$2:$B$1201,$A773))</f>
        <v/>
      </c>
      <c r="N773" s="19" t="str">
        <f aca="false">IF(OR($A773="",INDEX(_LEITURA!$Q$2:$Q$21,4)=0),"",SUMIFS(DECKS!$D$2:$D$1201,DECKS!$A$2:$A$1201,INDEX(_LEITURA!$P$2:$P$21,4),DECKS!$B$2:$B$1201,$A773))</f>
        <v/>
      </c>
      <c r="O773" s="19" t="str">
        <f aca="false">IF(OR($A773="",INDEX(_LEITURA!$Q$2:$Q$21,5)=0),"",SUMIFS(DECKS!$D$2:$D$1201,DECKS!$A$2:$A$1201,INDEX(_LEITURA!$P$2:$P$21,5),DECKS!$B$2:$B$1201,$A773))</f>
        <v/>
      </c>
      <c r="P773" s="19" t="str">
        <f aca="false">IF(OR($A773="",INDEX(_LEITURA!$Q$2:$Q$21,6)=0),"",SUMIFS(DECKS!$D$2:$D$1201,DECKS!$A$2:$A$1201,INDEX(_LEITURA!$P$2:$P$21,6),DECKS!$B$2:$B$1201,$A773))</f>
        <v/>
      </c>
      <c r="Q773" s="19" t="str">
        <f aca="false">IF(OR($A773="",INDEX(_LEITURA!$Q$2:$Q$21,7)=0),"",SUMIFS(DECKS!$D$2:$D$1201,DECKS!$A$2:$A$1201,INDEX(_LEITURA!$P$2:$P$21,7),DECKS!$B$2:$B$1201,$A773))</f>
        <v/>
      </c>
      <c r="R773" s="19" t="str">
        <f aca="false">IF(OR($A773="",INDEX(_LEITURA!$Q$2:$Q$21,8)=0),"",SUMIFS(DECKS!$D$2:$D$1201,DECKS!$A$2:$A$1201,INDEX(_LEITURA!$P$2:$P$21,8),DECKS!$B$2:$B$1201,$A773))</f>
        <v/>
      </c>
      <c r="S773" s="19" t="str">
        <f aca="false">IF(OR($A773="",INDEX(_LEITURA!$Q$2:$Q$21,9)=0),"",SUMIFS(DECKS!$D$2:$D$1201,DECKS!$A$2:$A$1201,INDEX(_LEITURA!$P$2:$P$21,9),DECKS!$B$2:$B$1201,$A773))</f>
        <v/>
      </c>
      <c r="T773" s="19" t="str">
        <f aca="false">IF(OR($A773="",INDEX(_LEITURA!$Q$2:$Q$21,10)=0),"",SUMIFS(DECKS!$D$2:$D$1201,DECKS!$A$2:$A$1201,INDEX(_LEITURA!$P$2:$P$21,10),DECKS!$B$2:$B$1201,$A773))</f>
        <v/>
      </c>
      <c r="U773" s="19" t="str">
        <f aca="false">IF(OR($A773="",INDEX(_LEITURA!$Q$2:$Q$21,11)=0),"",SUMIFS(DECKS!$D$2:$D$1201,DECKS!$A$2:$A$1201,INDEX(_LEITURA!$P$2:$P$21,11),DECKS!$B$2:$B$1201,$A773))</f>
        <v/>
      </c>
      <c r="V773" s="19" t="str">
        <f aca="false">IF(OR($A773="",INDEX(_LEITURA!$Q$2:$Q$21,12)=0),"",SUMIFS(DECKS!$D$2:$D$1201,DECKS!$A$2:$A$1201,INDEX(_LEITURA!$P$2:$P$21,12),DECKS!$B$2:$B$1201,$A773))</f>
        <v/>
      </c>
      <c r="W773" s="19" t="str">
        <f aca="false">IF(OR($A773="",INDEX(_LEITURA!$Q$2:$Q$21,13)=0),"",SUMIFS(DECKS!$D$2:$D$1201,DECKS!$A$2:$A$1201,INDEX(_LEITURA!$P$2:$P$21,13),DECKS!$B$2:$B$1201,$A773))</f>
        <v/>
      </c>
      <c r="X773" s="19" t="str">
        <f aca="false">IF(OR($A773="",INDEX(_LEITURA!$Q$2:$Q$21,14)=0),"",SUMIFS(DECKS!$D$2:$D$1201,DECKS!$A$2:$A$1201,INDEX(_LEITURA!$P$2:$P$21,14),DECKS!$B$2:$B$1201,$A773))</f>
        <v/>
      </c>
      <c r="Y773" s="19" t="str">
        <f aca="false">IF(OR($A773="",INDEX(_LEITURA!$Q$2:$Q$21,15)=0),"",SUMIFS(DECKS!$D$2:$D$1201,DECKS!$A$2:$A$1201,INDEX(_LEITURA!$P$2:$P$21,15),DECKS!$B$2:$B$1201,$A773))</f>
        <v/>
      </c>
      <c r="Z773" s="19" t="str">
        <f aca="false">IF(OR($A773="",INDEX(_LEITURA!$Q$2:$Q$21,16)=0),"",SUMIFS(DECKS!$D$2:$D$1201,DECKS!$A$2:$A$1201,INDEX(_LEITURA!$P$2:$P$21,16),DECKS!$B$2:$B$1201,$A773))</f>
        <v/>
      </c>
      <c r="AA773" s="19" t="str">
        <f aca="false">IF(OR($A773="",INDEX(_LEITURA!$Q$2:$Q$21,17)=0),"",SUMIFS(DECKS!$D$2:$D$1201,DECKS!$A$2:$A$1201,INDEX(_LEITURA!$P$2:$P$21,17),DECKS!$B$2:$B$1201,$A773))</f>
        <v/>
      </c>
      <c r="AB773" s="19" t="str">
        <f aca="false">IF(OR($A773="",INDEX(_LEITURA!$Q$2:$Q$21,18)=0),"",SUMIFS(DECKS!$D$2:$D$1201,DECKS!$A$2:$A$1201,INDEX(_LEITURA!$P$2:$P$21,18),DECKS!$B$2:$B$1201,$A773))</f>
        <v/>
      </c>
      <c r="AC773" s="19" t="str">
        <f aca="false">IF(OR($A773="",INDEX(_LEITURA!$Q$2:$Q$21,19)=0),"",SUMIFS(DECKS!$D$2:$D$1201,DECKS!$A$2:$A$1201,INDEX(_LEITURA!$P$2:$P$21,19),DECKS!$B$2:$B$1201,$A773))</f>
        <v/>
      </c>
      <c r="AD773" s="19" t="str">
        <f aca="false">IF(OR($A773="",INDEX(_LEITURA!$Q$2:$Q$21,20)=0),"",SUMIFS(DECKS!$D$2:$D$1201,DECKS!$A$2:$A$1201,INDEX(_LEITURA!$P$2:$P$21,20),DECKS!$B$2:$B$1201,$A773))</f>
        <v/>
      </c>
      <c r="AE773" s="16" t="str">
        <f aca="false">IF(N(E773)&gt;0,MAX(AE$1:AE772)+1,"")</f>
        <v/>
      </c>
      <c r="AF773" s="11" t="str">
        <f aca="false">IF(A773="","",IFERROR(LEFT(A773,FIND("-",A773)-1),A773))</f>
        <v/>
      </c>
      <c r="AG773" s="11" t="str">
        <f aca="false">IF(AF773="","",IF(ISNUMBER(--MID(AF773,1,1)),0,IF(ISNUMBER(--MID(AF773,2,1)),1,IF(ISNUMBER(--MID(AF773,3,1)),2,IF(ISNUMBER(--MID(AF773,4,1)),3,MIN(LEN(AF773),4))))))</f>
        <v/>
      </c>
      <c r="AH773" s="11" t="str">
        <f aca="false">IF(A773="","",LEFT(AF773,AG773)&amp;REPT("0",4-AG773)&amp;RIGHT("000"&amp;IFERROR(VALUE(MID(AF773,AG773+1,9)),0),3)&amp;RIGHT("0000"&amp;IFERROR(VALUE(MID(A773,FIND("-",A773)+1,9)),0),4))</f>
        <v/>
      </c>
      <c r="AI773" s="11" t="str">
        <f aca="false">IF(OR(A773="",N(E773)&lt;=0),"",IF('FALTAS GERAL'!$M$1="Código","K"&amp;AH773&amp;RIGHT("00000"&amp;ROW(),5),IF('FALTAS GERAL'!$M$1="Nome","K"&amp;UPPER(SUBSTITUTE(SUBSTITUTE(SUBSTITUTE(B773,"*",""),"?",""),"~",""))&amp;"0"&amp;AH773&amp;RIGHT("00000"&amp;ROW(),5),IF('FALTAS GERAL'!$M$1="Falta (maior primeiro)","K"&amp;RIGHT("0000"&amp;(9999-E773),4)&amp;AH773&amp;RIGHT("00000"&amp;ROW(),5),IF('FALTAS GERAL'!$M$1="Nº de decks (maior primeiro)","K"&amp;RIGHT("00"&amp;(99-N(G773)),2)&amp;AH773&amp;RIGHT("00000"&amp;ROW(),5),"K"&amp;RIGHT("00000"&amp;ROW(),5))))))</f>
        <v/>
      </c>
      <c r="AJ773" s="11" t="str">
        <f aca="false">IF(AI773="","",COUNTIFS($AI$2:$AI$801,"&lt;"&amp;AI773,$E$2:$E$801,"&gt;0")+1)</f>
        <v/>
      </c>
      <c r="AK773" s="11" t="str">
        <f aca="false">IF(OR(A773="",N(E773)&lt;=0),"",COUNTIFS($AH$2:$AH$801,"&lt;"&amp;AH773,$E$2:$E$801,"&gt;0")+COUNTIFS($AH$2:AH773,AH773,$E$2:E773,"&gt;0"))</f>
        <v/>
      </c>
    </row>
    <row r="774" customFormat="false" ht="15" hidden="false" customHeight="false" outlineLevel="0" collapsed="false">
      <c r="A774" s="11" t="str">
        <f aca="false">IF(INVENTÁRIO!A774="","",INVENTÁRIO!A774)</f>
        <v/>
      </c>
      <c r="B774" s="11" t="str">
        <f aca="false">IF(A774="","",INVENTÁRIO!B774)</f>
        <v/>
      </c>
      <c r="C774" s="16" t="str">
        <f aca="false">IF(A774="","",INVENTÁRIO!C774)</f>
        <v/>
      </c>
      <c r="D774" s="14" t="str">
        <f aca="false">IF(A774="","",MAX(K774:AD774))</f>
        <v/>
      </c>
      <c r="E774" s="14" t="str">
        <f aca="false">IF(A774="","",MAX(0,D774-C774))</f>
        <v/>
      </c>
      <c r="F774" s="16" t="str">
        <f aca="false">IF(A774="","",IF(D774=0,"Fora dos decks",IF(E774=0,"Completo","Falta")))</f>
        <v/>
      </c>
      <c r="G774" s="16" t="str">
        <f aca="false">IF(A774="","",COUNTIF(K774:AD774,"&gt;0"))</f>
        <v/>
      </c>
      <c r="H774" s="16" t="str">
        <f aca="false">IF(A774="","",IF(G774&gt;1,"Sim",""))</f>
        <v/>
      </c>
      <c r="I774" s="18" t="str">
        <f aca="false">IF(A774="","",SUMIFS(DECKS!$D$2:$D$1201,DECKS!$B$2:$B$1201,A774))</f>
        <v/>
      </c>
      <c r="J774" s="18" t="str">
        <f aca="false">IF(A774="","",MAX(0,I774-C774))</f>
        <v/>
      </c>
      <c r="K774" s="19" t="str">
        <f aca="false">IF(OR($A774="",INDEX(_LEITURA!$Q$2:$Q$21,1)=0),"",SUMIFS(DECKS!$D$2:$D$1201,DECKS!$A$2:$A$1201,INDEX(_LEITURA!$P$2:$P$21,1),DECKS!$B$2:$B$1201,$A774))</f>
        <v/>
      </c>
      <c r="L774" s="19" t="str">
        <f aca="false">IF(OR($A774="",INDEX(_LEITURA!$Q$2:$Q$21,2)=0),"",SUMIFS(DECKS!$D$2:$D$1201,DECKS!$A$2:$A$1201,INDEX(_LEITURA!$P$2:$P$21,2),DECKS!$B$2:$B$1201,$A774))</f>
        <v/>
      </c>
      <c r="M774" s="19" t="str">
        <f aca="false">IF(OR($A774="",INDEX(_LEITURA!$Q$2:$Q$21,3)=0),"",SUMIFS(DECKS!$D$2:$D$1201,DECKS!$A$2:$A$1201,INDEX(_LEITURA!$P$2:$P$21,3),DECKS!$B$2:$B$1201,$A774))</f>
        <v/>
      </c>
      <c r="N774" s="19" t="str">
        <f aca="false">IF(OR($A774="",INDEX(_LEITURA!$Q$2:$Q$21,4)=0),"",SUMIFS(DECKS!$D$2:$D$1201,DECKS!$A$2:$A$1201,INDEX(_LEITURA!$P$2:$P$21,4),DECKS!$B$2:$B$1201,$A774))</f>
        <v/>
      </c>
      <c r="O774" s="19" t="str">
        <f aca="false">IF(OR($A774="",INDEX(_LEITURA!$Q$2:$Q$21,5)=0),"",SUMIFS(DECKS!$D$2:$D$1201,DECKS!$A$2:$A$1201,INDEX(_LEITURA!$P$2:$P$21,5),DECKS!$B$2:$B$1201,$A774))</f>
        <v/>
      </c>
      <c r="P774" s="19" t="str">
        <f aca="false">IF(OR($A774="",INDEX(_LEITURA!$Q$2:$Q$21,6)=0),"",SUMIFS(DECKS!$D$2:$D$1201,DECKS!$A$2:$A$1201,INDEX(_LEITURA!$P$2:$P$21,6),DECKS!$B$2:$B$1201,$A774))</f>
        <v/>
      </c>
      <c r="Q774" s="19" t="str">
        <f aca="false">IF(OR($A774="",INDEX(_LEITURA!$Q$2:$Q$21,7)=0),"",SUMIFS(DECKS!$D$2:$D$1201,DECKS!$A$2:$A$1201,INDEX(_LEITURA!$P$2:$P$21,7),DECKS!$B$2:$B$1201,$A774))</f>
        <v/>
      </c>
      <c r="R774" s="19" t="str">
        <f aca="false">IF(OR($A774="",INDEX(_LEITURA!$Q$2:$Q$21,8)=0),"",SUMIFS(DECKS!$D$2:$D$1201,DECKS!$A$2:$A$1201,INDEX(_LEITURA!$P$2:$P$21,8),DECKS!$B$2:$B$1201,$A774))</f>
        <v/>
      </c>
      <c r="S774" s="19" t="str">
        <f aca="false">IF(OR($A774="",INDEX(_LEITURA!$Q$2:$Q$21,9)=0),"",SUMIFS(DECKS!$D$2:$D$1201,DECKS!$A$2:$A$1201,INDEX(_LEITURA!$P$2:$P$21,9),DECKS!$B$2:$B$1201,$A774))</f>
        <v/>
      </c>
      <c r="T774" s="19" t="str">
        <f aca="false">IF(OR($A774="",INDEX(_LEITURA!$Q$2:$Q$21,10)=0),"",SUMIFS(DECKS!$D$2:$D$1201,DECKS!$A$2:$A$1201,INDEX(_LEITURA!$P$2:$P$21,10),DECKS!$B$2:$B$1201,$A774))</f>
        <v/>
      </c>
      <c r="U774" s="19" t="str">
        <f aca="false">IF(OR($A774="",INDEX(_LEITURA!$Q$2:$Q$21,11)=0),"",SUMIFS(DECKS!$D$2:$D$1201,DECKS!$A$2:$A$1201,INDEX(_LEITURA!$P$2:$P$21,11),DECKS!$B$2:$B$1201,$A774))</f>
        <v/>
      </c>
      <c r="V774" s="19" t="str">
        <f aca="false">IF(OR($A774="",INDEX(_LEITURA!$Q$2:$Q$21,12)=0),"",SUMIFS(DECKS!$D$2:$D$1201,DECKS!$A$2:$A$1201,INDEX(_LEITURA!$P$2:$P$21,12),DECKS!$B$2:$B$1201,$A774))</f>
        <v/>
      </c>
      <c r="W774" s="19" t="str">
        <f aca="false">IF(OR($A774="",INDEX(_LEITURA!$Q$2:$Q$21,13)=0),"",SUMIFS(DECKS!$D$2:$D$1201,DECKS!$A$2:$A$1201,INDEX(_LEITURA!$P$2:$P$21,13),DECKS!$B$2:$B$1201,$A774))</f>
        <v/>
      </c>
      <c r="X774" s="19" t="str">
        <f aca="false">IF(OR($A774="",INDEX(_LEITURA!$Q$2:$Q$21,14)=0),"",SUMIFS(DECKS!$D$2:$D$1201,DECKS!$A$2:$A$1201,INDEX(_LEITURA!$P$2:$P$21,14),DECKS!$B$2:$B$1201,$A774))</f>
        <v/>
      </c>
      <c r="Y774" s="19" t="str">
        <f aca="false">IF(OR($A774="",INDEX(_LEITURA!$Q$2:$Q$21,15)=0),"",SUMIFS(DECKS!$D$2:$D$1201,DECKS!$A$2:$A$1201,INDEX(_LEITURA!$P$2:$P$21,15),DECKS!$B$2:$B$1201,$A774))</f>
        <v/>
      </c>
      <c r="Z774" s="19" t="str">
        <f aca="false">IF(OR($A774="",INDEX(_LEITURA!$Q$2:$Q$21,16)=0),"",SUMIFS(DECKS!$D$2:$D$1201,DECKS!$A$2:$A$1201,INDEX(_LEITURA!$P$2:$P$21,16),DECKS!$B$2:$B$1201,$A774))</f>
        <v/>
      </c>
      <c r="AA774" s="19" t="str">
        <f aca="false">IF(OR($A774="",INDEX(_LEITURA!$Q$2:$Q$21,17)=0),"",SUMIFS(DECKS!$D$2:$D$1201,DECKS!$A$2:$A$1201,INDEX(_LEITURA!$P$2:$P$21,17),DECKS!$B$2:$B$1201,$A774))</f>
        <v/>
      </c>
      <c r="AB774" s="19" t="str">
        <f aca="false">IF(OR($A774="",INDEX(_LEITURA!$Q$2:$Q$21,18)=0),"",SUMIFS(DECKS!$D$2:$D$1201,DECKS!$A$2:$A$1201,INDEX(_LEITURA!$P$2:$P$21,18),DECKS!$B$2:$B$1201,$A774))</f>
        <v/>
      </c>
      <c r="AC774" s="19" t="str">
        <f aca="false">IF(OR($A774="",INDEX(_LEITURA!$Q$2:$Q$21,19)=0),"",SUMIFS(DECKS!$D$2:$D$1201,DECKS!$A$2:$A$1201,INDEX(_LEITURA!$P$2:$P$21,19),DECKS!$B$2:$B$1201,$A774))</f>
        <v/>
      </c>
      <c r="AD774" s="19" t="str">
        <f aca="false">IF(OR($A774="",INDEX(_LEITURA!$Q$2:$Q$21,20)=0),"",SUMIFS(DECKS!$D$2:$D$1201,DECKS!$A$2:$A$1201,INDEX(_LEITURA!$P$2:$P$21,20),DECKS!$B$2:$B$1201,$A774))</f>
        <v/>
      </c>
      <c r="AE774" s="16" t="str">
        <f aca="false">IF(N(E774)&gt;0,MAX(AE$1:AE773)+1,"")</f>
        <v/>
      </c>
      <c r="AF774" s="11" t="str">
        <f aca="false">IF(A774="","",IFERROR(LEFT(A774,FIND("-",A774)-1),A774))</f>
        <v/>
      </c>
      <c r="AG774" s="11" t="str">
        <f aca="false">IF(AF774="","",IF(ISNUMBER(--MID(AF774,1,1)),0,IF(ISNUMBER(--MID(AF774,2,1)),1,IF(ISNUMBER(--MID(AF774,3,1)),2,IF(ISNUMBER(--MID(AF774,4,1)),3,MIN(LEN(AF774),4))))))</f>
        <v/>
      </c>
      <c r="AH774" s="11" t="str">
        <f aca="false">IF(A774="","",LEFT(AF774,AG774)&amp;REPT("0",4-AG774)&amp;RIGHT("000"&amp;IFERROR(VALUE(MID(AF774,AG774+1,9)),0),3)&amp;RIGHT("0000"&amp;IFERROR(VALUE(MID(A774,FIND("-",A774)+1,9)),0),4))</f>
        <v/>
      </c>
      <c r="AI774" s="11" t="str">
        <f aca="false">IF(OR(A774="",N(E774)&lt;=0),"",IF('FALTAS GERAL'!$M$1="Código","K"&amp;AH774&amp;RIGHT("00000"&amp;ROW(),5),IF('FALTAS GERAL'!$M$1="Nome","K"&amp;UPPER(SUBSTITUTE(SUBSTITUTE(SUBSTITUTE(B774,"*",""),"?",""),"~",""))&amp;"0"&amp;AH774&amp;RIGHT("00000"&amp;ROW(),5),IF('FALTAS GERAL'!$M$1="Falta (maior primeiro)","K"&amp;RIGHT("0000"&amp;(9999-E774),4)&amp;AH774&amp;RIGHT("00000"&amp;ROW(),5),IF('FALTAS GERAL'!$M$1="Nº de decks (maior primeiro)","K"&amp;RIGHT("00"&amp;(99-N(G774)),2)&amp;AH774&amp;RIGHT("00000"&amp;ROW(),5),"K"&amp;RIGHT("00000"&amp;ROW(),5))))))</f>
        <v/>
      </c>
      <c r="AJ774" s="11" t="str">
        <f aca="false">IF(AI774="","",COUNTIFS($AI$2:$AI$801,"&lt;"&amp;AI774,$E$2:$E$801,"&gt;0")+1)</f>
        <v/>
      </c>
      <c r="AK774" s="11" t="str">
        <f aca="false">IF(OR(A774="",N(E774)&lt;=0),"",COUNTIFS($AH$2:$AH$801,"&lt;"&amp;AH774,$E$2:$E$801,"&gt;0")+COUNTIFS($AH$2:AH774,AH774,$E$2:E774,"&gt;0"))</f>
        <v/>
      </c>
    </row>
    <row r="775" customFormat="false" ht="15" hidden="false" customHeight="false" outlineLevel="0" collapsed="false">
      <c r="A775" s="11" t="str">
        <f aca="false">IF(INVENTÁRIO!A775="","",INVENTÁRIO!A775)</f>
        <v/>
      </c>
      <c r="B775" s="11" t="str">
        <f aca="false">IF(A775="","",INVENTÁRIO!B775)</f>
        <v/>
      </c>
      <c r="C775" s="16" t="str">
        <f aca="false">IF(A775="","",INVENTÁRIO!C775)</f>
        <v/>
      </c>
      <c r="D775" s="14" t="str">
        <f aca="false">IF(A775="","",MAX(K775:AD775))</f>
        <v/>
      </c>
      <c r="E775" s="14" t="str">
        <f aca="false">IF(A775="","",MAX(0,D775-C775))</f>
        <v/>
      </c>
      <c r="F775" s="16" t="str">
        <f aca="false">IF(A775="","",IF(D775=0,"Fora dos decks",IF(E775=0,"Completo","Falta")))</f>
        <v/>
      </c>
      <c r="G775" s="16" t="str">
        <f aca="false">IF(A775="","",COUNTIF(K775:AD775,"&gt;0"))</f>
        <v/>
      </c>
      <c r="H775" s="16" t="str">
        <f aca="false">IF(A775="","",IF(G775&gt;1,"Sim",""))</f>
        <v/>
      </c>
      <c r="I775" s="18" t="str">
        <f aca="false">IF(A775="","",SUMIFS(DECKS!$D$2:$D$1201,DECKS!$B$2:$B$1201,A775))</f>
        <v/>
      </c>
      <c r="J775" s="18" t="str">
        <f aca="false">IF(A775="","",MAX(0,I775-C775))</f>
        <v/>
      </c>
      <c r="K775" s="19" t="str">
        <f aca="false">IF(OR($A775="",INDEX(_LEITURA!$Q$2:$Q$21,1)=0),"",SUMIFS(DECKS!$D$2:$D$1201,DECKS!$A$2:$A$1201,INDEX(_LEITURA!$P$2:$P$21,1),DECKS!$B$2:$B$1201,$A775))</f>
        <v/>
      </c>
      <c r="L775" s="19" t="str">
        <f aca="false">IF(OR($A775="",INDEX(_LEITURA!$Q$2:$Q$21,2)=0),"",SUMIFS(DECKS!$D$2:$D$1201,DECKS!$A$2:$A$1201,INDEX(_LEITURA!$P$2:$P$21,2),DECKS!$B$2:$B$1201,$A775))</f>
        <v/>
      </c>
      <c r="M775" s="19" t="str">
        <f aca="false">IF(OR($A775="",INDEX(_LEITURA!$Q$2:$Q$21,3)=0),"",SUMIFS(DECKS!$D$2:$D$1201,DECKS!$A$2:$A$1201,INDEX(_LEITURA!$P$2:$P$21,3),DECKS!$B$2:$B$1201,$A775))</f>
        <v/>
      </c>
      <c r="N775" s="19" t="str">
        <f aca="false">IF(OR($A775="",INDEX(_LEITURA!$Q$2:$Q$21,4)=0),"",SUMIFS(DECKS!$D$2:$D$1201,DECKS!$A$2:$A$1201,INDEX(_LEITURA!$P$2:$P$21,4),DECKS!$B$2:$B$1201,$A775))</f>
        <v/>
      </c>
      <c r="O775" s="19" t="str">
        <f aca="false">IF(OR($A775="",INDEX(_LEITURA!$Q$2:$Q$21,5)=0),"",SUMIFS(DECKS!$D$2:$D$1201,DECKS!$A$2:$A$1201,INDEX(_LEITURA!$P$2:$P$21,5),DECKS!$B$2:$B$1201,$A775))</f>
        <v/>
      </c>
      <c r="P775" s="19" t="str">
        <f aca="false">IF(OR($A775="",INDEX(_LEITURA!$Q$2:$Q$21,6)=0),"",SUMIFS(DECKS!$D$2:$D$1201,DECKS!$A$2:$A$1201,INDEX(_LEITURA!$P$2:$P$21,6),DECKS!$B$2:$B$1201,$A775))</f>
        <v/>
      </c>
      <c r="Q775" s="19" t="str">
        <f aca="false">IF(OR($A775="",INDEX(_LEITURA!$Q$2:$Q$21,7)=0),"",SUMIFS(DECKS!$D$2:$D$1201,DECKS!$A$2:$A$1201,INDEX(_LEITURA!$P$2:$P$21,7),DECKS!$B$2:$B$1201,$A775))</f>
        <v/>
      </c>
      <c r="R775" s="19" t="str">
        <f aca="false">IF(OR($A775="",INDEX(_LEITURA!$Q$2:$Q$21,8)=0),"",SUMIFS(DECKS!$D$2:$D$1201,DECKS!$A$2:$A$1201,INDEX(_LEITURA!$P$2:$P$21,8),DECKS!$B$2:$B$1201,$A775))</f>
        <v/>
      </c>
      <c r="S775" s="19" t="str">
        <f aca="false">IF(OR($A775="",INDEX(_LEITURA!$Q$2:$Q$21,9)=0),"",SUMIFS(DECKS!$D$2:$D$1201,DECKS!$A$2:$A$1201,INDEX(_LEITURA!$P$2:$P$21,9),DECKS!$B$2:$B$1201,$A775))</f>
        <v/>
      </c>
      <c r="T775" s="19" t="str">
        <f aca="false">IF(OR($A775="",INDEX(_LEITURA!$Q$2:$Q$21,10)=0),"",SUMIFS(DECKS!$D$2:$D$1201,DECKS!$A$2:$A$1201,INDEX(_LEITURA!$P$2:$P$21,10),DECKS!$B$2:$B$1201,$A775))</f>
        <v/>
      </c>
      <c r="U775" s="19" t="str">
        <f aca="false">IF(OR($A775="",INDEX(_LEITURA!$Q$2:$Q$21,11)=0),"",SUMIFS(DECKS!$D$2:$D$1201,DECKS!$A$2:$A$1201,INDEX(_LEITURA!$P$2:$P$21,11),DECKS!$B$2:$B$1201,$A775))</f>
        <v/>
      </c>
      <c r="V775" s="19" t="str">
        <f aca="false">IF(OR($A775="",INDEX(_LEITURA!$Q$2:$Q$21,12)=0),"",SUMIFS(DECKS!$D$2:$D$1201,DECKS!$A$2:$A$1201,INDEX(_LEITURA!$P$2:$P$21,12),DECKS!$B$2:$B$1201,$A775))</f>
        <v/>
      </c>
      <c r="W775" s="19" t="str">
        <f aca="false">IF(OR($A775="",INDEX(_LEITURA!$Q$2:$Q$21,13)=0),"",SUMIFS(DECKS!$D$2:$D$1201,DECKS!$A$2:$A$1201,INDEX(_LEITURA!$P$2:$P$21,13),DECKS!$B$2:$B$1201,$A775))</f>
        <v/>
      </c>
      <c r="X775" s="19" t="str">
        <f aca="false">IF(OR($A775="",INDEX(_LEITURA!$Q$2:$Q$21,14)=0),"",SUMIFS(DECKS!$D$2:$D$1201,DECKS!$A$2:$A$1201,INDEX(_LEITURA!$P$2:$P$21,14),DECKS!$B$2:$B$1201,$A775))</f>
        <v/>
      </c>
      <c r="Y775" s="19" t="str">
        <f aca="false">IF(OR($A775="",INDEX(_LEITURA!$Q$2:$Q$21,15)=0),"",SUMIFS(DECKS!$D$2:$D$1201,DECKS!$A$2:$A$1201,INDEX(_LEITURA!$P$2:$P$21,15),DECKS!$B$2:$B$1201,$A775))</f>
        <v/>
      </c>
      <c r="Z775" s="19" t="str">
        <f aca="false">IF(OR($A775="",INDEX(_LEITURA!$Q$2:$Q$21,16)=0),"",SUMIFS(DECKS!$D$2:$D$1201,DECKS!$A$2:$A$1201,INDEX(_LEITURA!$P$2:$P$21,16),DECKS!$B$2:$B$1201,$A775))</f>
        <v/>
      </c>
      <c r="AA775" s="19" t="str">
        <f aca="false">IF(OR($A775="",INDEX(_LEITURA!$Q$2:$Q$21,17)=0),"",SUMIFS(DECKS!$D$2:$D$1201,DECKS!$A$2:$A$1201,INDEX(_LEITURA!$P$2:$P$21,17),DECKS!$B$2:$B$1201,$A775))</f>
        <v/>
      </c>
      <c r="AB775" s="19" t="str">
        <f aca="false">IF(OR($A775="",INDEX(_LEITURA!$Q$2:$Q$21,18)=0),"",SUMIFS(DECKS!$D$2:$D$1201,DECKS!$A$2:$A$1201,INDEX(_LEITURA!$P$2:$P$21,18),DECKS!$B$2:$B$1201,$A775))</f>
        <v/>
      </c>
      <c r="AC775" s="19" t="str">
        <f aca="false">IF(OR($A775="",INDEX(_LEITURA!$Q$2:$Q$21,19)=0),"",SUMIFS(DECKS!$D$2:$D$1201,DECKS!$A$2:$A$1201,INDEX(_LEITURA!$P$2:$P$21,19),DECKS!$B$2:$B$1201,$A775))</f>
        <v/>
      </c>
      <c r="AD775" s="19" t="str">
        <f aca="false">IF(OR($A775="",INDEX(_LEITURA!$Q$2:$Q$21,20)=0),"",SUMIFS(DECKS!$D$2:$D$1201,DECKS!$A$2:$A$1201,INDEX(_LEITURA!$P$2:$P$21,20),DECKS!$B$2:$B$1201,$A775))</f>
        <v/>
      </c>
      <c r="AE775" s="16" t="str">
        <f aca="false">IF(N(E775)&gt;0,MAX(AE$1:AE774)+1,"")</f>
        <v/>
      </c>
      <c r="AF775" s="11" t="str">
        <f aca="false">IF(A775="","",IFERROR(LEFT(A775,FIND("-",A775)-1),A775))</f>
        <v/>
      </c>
      <c r="AG775" s="11" t="str">
        <f aca="false">IF(AF775="","",IF(ISNUMBER(--MID(AF775,1,1)),0,IF(ISNUMBER(--MID(AF775,2,1)),1,IF(ISNUMBER(--MID(AF775,3,1)),2,IF(ISNUMBER(--MID(AF775,4,1)),3,MIN(LEN(AF775),4))))))</f>
        <v/>
      </c>
      <c r="AH775" s="11" t="str">
        <f aca="false">IF(A775="","",LEFT(AF775,AG775)&amp;REPT("0",4-AG775)&amp;RIGHT("000"&amp;IFERROR(VALUE(MID(AF775,AG775+1,9)),0),3)&amp;RIGHT("0000"&amp;IFERROR(VALUE(MID(A775,FIND("-",A775)+1,9)),0),4))</f>
        <v/>
      </c>
      <c r="AI775" s="11" t="str">
        <f aca="false">IF(OR(A775="",N(E775)&lt;=0),"",IF('FALTAS GERAL'!$M$1="Código","K"&amp;AH775&amp;RIGHT("00000"&amp;ROW(),5),IF('FALTAS GERAL'!$M$1="Nome","K"&amp;UPPER(SUBSTITUTE(SUBSTITUTE(SUBSTITUTE(B775,"*",""),"?",""),"~",""))&amp;"0"&amp;AH775&amp;RIGHT("00000"&amp;ROW(),5),IF('FALTAS GERAL'!$M$1="Falta (maior primeiro)","K"&amp;RIGHT("0000"&amp;(9999-E775),4)&amp;AH775&amp;RIGHT("00000"&amp;ROW(),5),IF('FALTAS GERAL'!$M$1="Nº de decks (maior primeiro)","K"&amp;RIGHT("00"&amp;(99-N(G775)),2)&amp;AH775&amp;RIGHT("00000"&amp;ROW(),5),"K"&amp;RIGHT("00000"&amp;ROW(),5))))))</f>
        <v/>
      </c>
      <c r="AJ775" s="11" t="str">
        <f aca="false">IF(AI775="","",COUNTIFS($AI$2:$AI$801,"&lt;"&amp;AI775,$E$2:$E$801,"&gt;0")+1)</f>
        <v/>
      </c>
      <c r="AK775" s="11" t="str">
        <f aca="false">IF(OR(A775="",N(E775)&lt;=0),"",COUNTIFS($AH$2:$AH$801,"&lt;"&amp;AH775,$E$2:$E$801,"&gt;0")+COUNTIFS($AH$2:AH775,AH775,$E$2:E775,"&gt;0"))</f>
        <v/>
      </c>
    </row>
    <row r="776" customFormat="false" ht="15" hidden="false" customHeight="false" outlineLevel="0" collapsed="false">
      <c r="A776" s="11" t="str">
        <f aca="false">IF(INVENTÁRIO!A776="","",INVENTÁRIO!A776)</f>
        <v/>
      </c>
      <c r="B776" s="11" t="str">
        <f aca="false">IF(A776="","",INVENTÁRIO!B776)</f>
        <v/>
      </c>
      <c r="C776" s="16" t="str">
        <f aca="false">IF(A776="","",INVENTÁRIO!C776)</f>
        <v/>
      </c>
      <c r="D776" s="14" t="str">
        <f aca="false">IF(A776="","",MAX(K776:AD776))</f>
        <v/>
      </c>
      <c r="E776" s="14" t="str">
        <f aca="false">IF(A776="","",MAX(0,D776-C776))</f>
        <v/>
      </c>
      <c r="F776" s="16" t="str">
        <f aca="false">IF(A776="","",IF(D776=0,"Fora dos decks",IF(E776=0,"Completo","Falta")))</f>
        <v/>
      </c>
      <c r="G776" s="16" t="str">
        <f aca="false">IF(A776="","",COUNTIF(K776:AD776,"&gt;0"))</f>
        <v/>
      </c>
      <c r="H776" s="16" t="str">
        <f aca="false">IF(A776="","",IF(G776&gt;1,"Sim",""))</f>
        <v/>
      </c>
      <c r="I776" s="18" t="str">
        <f aca="false">IF(A776="","",SUMIFS(DECKS!$D$2:$D$1201,DECKS!$B$2:$B$1201,A776))</f>
        <v/>
      </c>
      <c r="J776" s="18" t="str">
        <f aca="false">IF(A776="","",MAX(0,I776-C776))</f>
        <v/>
      </c>
      <c r="K776" s="19" t="str">
        <f aca="false">IF(OR($A776="",INDEX(_LEITURA!$Q$2:$Q$21,1)=0),"",SUMIFS(DECKS!$D$2:$D$1201,DECKS!$A$2:$A$1201,INDEX(_LEITURA!$P$2:$P$21,1),DECKS!$B$2:$B$1201,$A776))</f>
        <v/>
      </c>
      <c r="L776" s="19" t="str">
        <f aca="false">IF(OR($A776="",INDEX(_LEITURA!$Q$2:$Q$21,2)=0),"",SUMIFS(DECKS!$D$2:$D$1201,DECKS!$A$2:$A$1201,INDEX(_LEITURA!$P$2:$P$21,2),DECKS!$B$2:$B$1201,$A776))</f>
        <v/>
      </c>
      <c r="M776" s="19" t="str">
        <f aca="false">IF(OR($A776="",INDEX(_LEITURA!$Q$2:$Q$21,3)=0),"",SUMIFS(DECKS!$D$2:$D$1201,DECKS!$A$2:$A$1201,INDEX(_LEITURA!$P$2:$P$21,3),DECKS!$B$2:$B$1201,$A776))</f>
        <v/>
      </c>
      <c r="N776" s="19" t="str">
        <f aca="false">IF(OR($A776="",INDEX(_LEITURA!$Q$2:$Q$21,4)=0),"",SUMIFS(DECKS!$D$2:$D$1201,DECKS!$A$2:$A$1201,INDEX(_LEITURA!$P$2:$P$21,4),DECKS!$B$2:$B$1201,$A776))</f>
        <v/>
      </c>
      <c r="O776" s="19" t="str">
        <f aca="false">IF(OR($A776="",INDEX(_LEITURA!$Q$2:$Q$21,5)=0),"",SUMIFS(DECKS!$D$2:$D$1201,DECKS!$A$2:$A$1201,INDEX(_LEITURA!$P$2:$P$21,5),DECKS!$B$2:$B$1201,$A776))</f>
        <v/>
      </c>
      <c r="P776" s="19" t="str">
        <f aca="false">IF(OR($A776="",INDEX(_LEITURA!$Q$2:$Q$21,6)=0),"",SUMIFS(DECKS!$D$2:$D$1201,DECKS!$A$2:$A$1201,INDEX(_LEITURA!$P$2:$P$21,6),DECKS!$B$2:$B$1201,$A776))</f>
        <v/>
      </c>
      <c r="Q776" s="19" t="str">
        <f aca="false">IF(OR($A776="",INDEX(_LEITURA!$Q$2:$Q$21,7)=0),"",SUMIFS(DECKS!$D$2:$D$1201,DECKS!$A$2:$A$1201,INDEX(_LEITURA!$P$2:$P$21,7),DECKS!$B$2:$B$1201,$A776))</f>
        <v/>
      </c>
      <c r="R776" s="19" t="str">
        <f aca="false">IF(OR($A776="",INDEX(_LEITURA!$Q$2:$Q$21,8)=0),"",SUMIFS(DECKS!$D$2:$D$1201,DECKS!$A$2:$A$1201,INDEX(_LEITURA!$P$2:$P$21,8),DECKS!$B$2:$B$1201,$A776))</f>
        <v/>
      </c>
      <c r="S776" s="19" t="str">
        <f aca="false">IF(OR($A776="",INDEX(_LEITURA!$Q$2:$Q$21,9)=0),"",SUMIFS(DECKS!$D$2:$D$1201,DECKS!$A$2:$A$1201,INDEX(_LEITURA!$P$2:$P$21,9),DECKS!$B$2:$B$1201,$A776))</f>
        <v/>
      </c>
      <c r="T776" s="19" t="str">
        <f aca="false">IF(OR($A776="",INDEX(_LEITURA!$Q$2:$Q$21,10)=0),"",SUMIFS(DECKS!$D$2:$D$1201,DECKS!$A$2:$A$1201,INDEX(_LEITURA!$P$2:$P$21,10),DECKS!$B$2:$B$1201,$A776))</f>
        <v/>
      </c>
      <c r="U776" s="19" t="str">
        <f aca="false">IF(OR($A776="",INDEX(_LEITURA!$Q$2:$Q$21,11)=0),"",SUMIFS(DECKS!$D$2:$D$1201,DECKS!$A$2:$A$1201,INDEX(_LEITURA!$P$2:$P$21,11),DECKS!$B$2:$B$1201,$A776))</f>
        <v/>
      </c>
      <c r="V776" s="19" t="str">
        <f aca="false">IF(OR($A776="",INDEX(_LEITURA!$Q$2:$Q$21,12)=0),"",SUMIFS(DECKS!$D$2:$D$1201,DECKS!$A$2:$A$1201,INDEX(_LEITURA!$P$2:$P$21,12),DECKS!$B$2:$B$1201,$A776))</f>
        <v/>
      </c>
      <c r="W776" s="19" t="str">
        <f aca="false">IF(OR($A776="",INDEX(_LEITURA!$Q$2:$Q$21,13)=0),"",SUMIFS(DECKS!$D$2:$D$1201,DECKS!$A$2:$A$1201,INDEX(_LEITURA!$P$2:$P$21,13),DECKS!$B$2:$B$1201,$A776))</f>
        <v/>
      </c>
      <c r="X776" s="19" t="str">
        <f aca="false">IF(OR($A776="",INDEX(_LEITURA!$Q$2:$Q$21,14)=0),"",SUMIFS(DECKS!$D$2:$D$1201,DECKS!$A$2:$A$1201,INDEX(_LEITURA!$P$2:$P$21,14),DECKS!$B$2:$B$1201,$A776))</f>
        <v/>
      </c>
      <c r="Y776" s="19" t="str">
        <f aca="false">IF(OR($A776="",INDEX(_LEITURA!$Q$2:$Q$21,15)=0),"",SUMIFS(DECKS!$D$2:$D$1201,DECKS!$A$2:$A$1201,INDEX(_LEITURA!$P$2:$P$21,15),DECKS!$B$2:$B$1201,$A776))</f>
        <v/>
      </c>
      <c r="Z776" s="19" t="str">
        <f aca="false">IF(OR($A776="",INDEX(_LEITURA!$Q$2:$Q$21,16)=0),"",SUMIFS(DECKS!$D$2:$D$1201,DECKS!$A$2:$A$1201,INDEX(_LEITURA!$P$2:$P$21,16),DECKS!$B$2:$B$1201,$A776))</f>
        <v/>
      </c>
      <c r="AA776" s="19" t="str">
        <f aca="false">IF(OR($A776="",INDEX(_LEITURA!$Q$2:$Q$21,17)=0),"",SUMIFS(DECKS!$D$2:$D$1201,DECKS!$A$2:$A$1201,INDEX(_LEITURA!$P$2:$P$21,17),DECKS!$B$2:$B$1201,$A776))</f>
        <v/>
      </c>
      <c r="AB776" s="19" t="str">
        <f aca="false">IF(OR($A776="",INDEX(_LEITURA!$Q$2:$Q$21,18)=0),"",SUMIFS(DECKS!$D$2:$D$1201,DECKS!$A$2:$A$1201,INDEX(_LEITURA!$P$2:$P$21,18),DECKS!$B$2:$B$1201,$A776))</f>
        <v/>
      </c>
      <c r="AC776" s="19" t="str">
        <f aca="false">IF(OR($A776="",INDEX(_LEITURA!$Q$2:$Q$21,19)=0),"",SUMIFS(DECKS!$D$2:$D$1201,DECKS!$A$2:$A$1201,INDEX(_LEITURA!$P$2:$P$21,19),DECKS!$B$2:$B$1201,$A776))</f>
        <v/>
      </c>
      <c r="AD776" s="19" t="str">
        <f aca="false">IF(OR($A776="",INDEX(_LEITURA!$Q$2:$Q$21,20)=0),"",SUMIFS(DECKS!$D$2:$D$1201,DECKS!$A$2:$A$1201,INDEX(_LEITURA!$P$2:$P$21,20),DECKS!$B$2:$B$1201,$A776))</f>
        <v/>
      </c>
      <c r="AE776" s="16" t="str">
        <f aca="false">IF(N(E776)&gt;0,MAX(AE$1:AE775)+1,"")</f>
        <v/>
      </c>
      <c r="AF776" s="11" t="str">
        <f aca="false">IF(A776="","",IFERROR(LEFT(A776,FIND("-",A776)-1),A776))</f>
        <v/>
      </c>
      <c r="AG776" s="11" t="str">
        <f aca="false">IF(AF776="","",IF(ISNUMBER(--MID(AF776,1,1)),0,IF(ISNUMBER(--MID(AF776,2,1)),1,IF(ISNUMBER(--MID(AF776,3,1)),2,IF(ISNUMBER(--MID(AF776,4,1)),3,MIN(LEN(AF776),4))))))</f>
        <v/>
      </c>
      <c r="AH776" s="11" t="str">
        <f aca="false">IF(A776="","",LEFT(AF776,AG776)&amp;REPT("0",4-AG776)&amp;RIGHT("000"&amp;IFERROR(VALUE(MID(AF776,AG776+1,9)),0),3)&amp;RIGHT("0000"&amp;IFERROR(VALUE(MID(A776,FIND("-",A776)+1,9)),0),4))</f>
        <v/>
      </c>
      <c r="AI776" s="11" t="str">
        <f aca="false">IF(OR(A776="",N(E776)&lt;=0),"",IF('FALTAS GERAL'!$M$1="Código","K"&amp;AH776&amp;RIGHT("00000"&amp;ROW(),5),IF('FALTAS GERAL'!$M$1="Nome","K"&amp;UPPER(SUBSTITUTE(SUBSTITUTE(SUBSTITUTE(B776,"*",""),"?",""),"~",""))&amp;"0"&amp;AH776&amp;RIGHT("00000"&amp;ROW(),5),IF('FALTAS GERAL'!$M$1="Falta (maior primeiro)","K"&amp;RIGHT("0000"&amp;(9999-E776),4)&amp;AH776&amp;RIGHT("00000"&amp;ROW(),5),IF('FALTAS GERAL'!$M$1="Nº de decks (maior primeiro)","K"&amp;RIGHT("00"&amp;(99-N(G776)),2)&amp;AH776&amp;RIGHT("00000"&amp;ROW(),5),"K"&amp;RIGHT("00000"&amp;ROW(),5))))))</f>
        <v/>
      </c>
      <c r="AJ776" s="11" t="str">
        <f aca="false">IF(AI776="","",COUNTIFS($AI$2:$AI$801,"&lt;"&amp;AI776,$E$2:$E$801,"&gt;0")+1)</f>
        <v/>
      </c>
      <c r="AK776" s="11" t="str">
        <f aca="false">IF(OR(A776="",N(E776)&lt;=0),"",COUNTIFS($AH$2:$AH$801,"&lt;"&amp;AH776,$E$2:$E$801,"&gt;0")+COUNTIFS($AH$2:AH776,AH776,$E$2:E776,"&gt;0"))</f>
        <v/>
      </c>
    </row>
    <row r="777" customFormat="false" ht="15" hidden="false" customHeight="false" outlineLevel="0" collapsed="false">
      <c r="A777" s="11" t="str">
        <f aca="false">IF(INVENTÁRIO!A777="","",INVENTÁRIO!A777)</f>
        <v/>
      </c>
      <c r="B777" s="11" t="str">
        <f aca="false">IF(A777="","",INVENTÁRIO!B777)</f>
        <v/>
      </c>
      <c r="C777" s="16" t="str">
        <f aca="false">IF(A777="","",INVENTÁRIO!C777)</f>
        <v/>
      </c>
      <c r="D777" s="14" t="str">
        <f aca="false">IF(A777="","",MAX(K777:AD777))</f>
        <v/>
      </c>
      <c r="E777" s="14" t="str">
        <f aca="false">IF(A777="","",MAX(0,D777-C777))</f>
        <v/>
      </c>
      <c r="F777" s="16" t="str">
        <f aca="false">IF(A777="","",IF(D777=0,"Fora dos decks",IF(E777=0,"Completo","Falta")))</f>
        <v/>
      </c>
      <c r="G777" s="16" t="str">
        <f aca="false">IF(A777="","",COUNTIF(K777:AD777,"&gt;0"))</f>
        <v/>
      </c>
      <c r="H777" s="16" t="str">
        <f aca="false">IF(A777="","",IF(G777&gt;1,"Sim",""))</f>
        <v/>
      </c>
      <c r="I777" s="18" t="str">
        <f aca="false">IF(A777="","",SUMIFS(DECKS!$D$2:$D$1201,DECKS!$B$2:$B$1201,A777))</f>
        <v/>
      </c>
      <c r="J777" s="18" t="str">
        <f aca="false">IF(A777="","",MAX(0,I777-C777))</f>
        <v/>
      </c>
      <c r="K777" s="19" t="str">
        <f aca="false">IF(OR($A777="",INDEX(_LEITURA!$Q$2:$Q$21,1)=0),"",SUMIFS(DECKS!$D$2:$D$1201,DECKS!$A$2:$A$1201,INDEX(_LEITURA!$P$2:$P$21,1),DECKS!$B$2:$B$1201,$A777))</f>
        <v/>
      </c>
      <c r="L777" s="19" t="str">
        <f aca="false">IF(OR($A777="",INDEX(_LEITURA!$Q$2:$Q$21,2)=0),"",SUMIFS(DECKS!$D$2:$D$1201,DECKS!$A$2:$A$1201,INDEX(_LEITURA!$P$2:$P$21,2),DECKS!$B$2:$B$1201,$A777))</f>
        <v/>
      </c>
      <c r="M777" s="19" t="str">
        <f aca="false">IF(OR($A777="",INDEX(_LEITURA!$Q$2:$Q$21,3)=0),"",SUMIFS(DECKS!$D$2:$D$1201,DECKS!$A$2:$A$1201,INDEX(_LEITURA!$P$2:$P$21,3),DECKS!$B$2:$B$1201,$A777))</f>
        <v/>
      </c>
      <c r="N777" s="19" t="str">
        <f aca="false">IF(OR($A777="",INDEX(_LEITURA!$Q$2:$Q$21,4)=0),"",SUMIFS(DECKS!$D$2:$D$1201,DECKS!$A$2:$A$1201,INDEX(_LEITURA!$P$2:$P$21,4),DECKS!$B$2:$B$1201,$A777))</f>
        <v/>
      </c>
      <c r="O777" s="19" t="str">
        <f aca="false">IF(OR($A777="",INDEX(_LEITURA!$Q$2:$Q$21,5)=0),"",SUMIFS(DECKS!$D$2:$D$1201,DECKS!$A$2:$A$1201,INDEX(_LEITURA!$P$2:$P$21,5),DECKS!$B$2:$B$1201,$A777))</f>
        <v/>
      </c>
      <c r="P777" s="19" t="str">
        <f aca="false">IF(OR($A777="",INDEX(_LEITURA!$Q$2:$Q$21,6)=0),"",SUMIFS(DECKS!$D$2:$D$1201,DECKS!$A$2:$A$1201,INDEX(_LEITURA!$P$2:$P$21,6),DECKS!$B$2:$B$1201,$A777))</f>
        <v/>
      </c>
      <c r="Q777" s="19" t="str">
        <f aca="false">IF(OR($A777="",INDEX(_LEITURA!$Q$2:$Q$21,7)=0),"",SUMIFS(DECKS!$D$2:$D$1201,DECKS!$A$2:$A$1201,INDEX(_LEITURA!$P$2:$P$21,7),DECKS!$B$2:$B$1201,$A777))</f>
        <v/>
      </c>
      <c r="R777" s="19" t="str">
        <f aca="false">IF(OR($A777="",INDEX(_LEITURA!$Q$2:$Q$21,8)=0),"",SUMIFS(DECKS!$D$2:$D$1201,DECKS!$A$2:$A$1201,INDEX(_LEITURA!$P$2:$P$21,8),DECKS!$B$2:$B$1201,$A777))</f>
        <v/>
      </c>
      <c r="S777" s="19" t="str">
        <f aca="false">IF(OR($A777="",INDEX(_LEITURA!$Q$2:$Q$21,9)=0),"",SUMIFS(DECKS!$D$2:$D$1201,DECKS!$A$2:$A$1201,INDEX(_LEITURA!$P$2:$P$21,9),DECKS!$B$2:$B$1201,$A777))</f>
        <v/>
      </c>
      <c r="T777" s="19" t="str">
        <f aca="false">IF(OR($A777="",INDEX(_LEITURA!$Q$2:$Q$21,10)=0),"",SUMIFS(DECKS!$D$2:$D$1201,DECKS!$A$2:$A$1201,INDEX(_LEITURA!$P$2:$P$21,10),DECKS!$B$2:$B$1201,$A777))</f>
        <v/>
      </c>
      <c r="U777" s="19" t="str">
        <f aca="false">IF(OR($A777="",INDEX(_LEITURA!$Q$2:$Q$21,11)=0),"",SUMIFS(DECKS!$D$2:$D$1201,DECKS!$A$2:$A$1201,INDEX(_LEITURA!$P$2:$P$21,11),DECKS!$B$2:$B$1201,$A777))</f>
        <v/>
      </c>
      <c r="V777" s="19" t="str">
        <f aca="false">IF(OR($A777="",INDEX(_LEITURA!$Q$2:$Q$21,12)=0),"",SUMIFS(DECKS!$D$2:$D$1201,DECKS!$A$2:$A$1201,INDEX(_LEITURA!$P$2:$P$21,12),DECKS!$B$2:$B$1201,$A777))</f>
        <v/>
      </c>
      <c r="W777" s="19" t="str">
        <f aca="false">IF(OR($A777="",INDEX(_LEITURA!$Q$2:$Q$21,13)=0),"",SUMIFS(DECKS!$D$2:$D$1201,DECKS!$A$2:$A$1201,INDEX(_LEITURA!$P$2:$P$21,13),DECKS!$B$2:$B$1201,$A777))</f>
        <v/>
      </c>
      <c r="X777" s="19" t="str">
        <f aca="false">IF(OR($A777="",INDEX(_LEITURA!$Q$2:$Q$21,14)=0),"",SUMIFS(DECKS!$D$2:$D$1201,DECKS!$A$2:$A$1201,INDEX(_LEITURA!$P$2:$P$21,14),DECKS!$B$2:$B$1201,$A777))</f>
        <v/>
      </c>
      <c r="Y777" s="19" t="str">
        <f aca="false">IF(OR($A777="",INDEX(_LEITURA!$Q$2:$Q$21,15)=0),"",SUMIFS(DECKS!$D$2:$D$1201,DECKS!$A$2:$A$1201,INDEX(_LEITURA!$P$2:$P$21,15),DECKS!$B$2:$B$1201,$A777))</f>
        <v/>
      </c>
      <c r="Z777" s="19" t="str">
        <f aca="false">IF(OR($A777="",INDEX(_LEITURA!$Q$2:$Q$21,16)=0),"",SUMIFS(DECKS!$D$2:$D$1201,DECKS!$A$2:$A$1201,INDEX(_LEITURA!$P$2:$P$21,16),DECKS!$B$2:$B$1201,$A777))</f>
        <v/>
      </c>
      <c r="AA777" s="19" t="str">
        <f aca="false">IF(OR($A777="",INDEX(_LEITURA!$Q$2:$Q$21,17)=0),"",SUMIFS(DECKS!$D$2:$D$1201,DECKS!$A$2:$A$1201,INDEX(_LEITURA!$P$2:$P$21,17),DECKS!$B$2:$B$1201,$A777))</f>
        <v/>
      </c>
      <c r="AB777" s="19" t="str">
        <f aca="false">IF(OR($A777="",INDEX(_LEITURA!$Q$2:$Q$21,18)=0),"",SUMIFS(DECKS!$D$2:$D$1201,DECKS!$A$2:$A$1201,INDEX(_LEITURA!$P$2:$P$21,18),DECKS!$B$2:$B$1201,$A777))</f>
        <v/>
      </c>
      <c r="AC777" s="19" t="str">
        <f aca="false">IF(OR($A777="",INDEX(_LEITURA!$Q$2:$Q$21,19)=0),"",SUMIFS(DECKS!$D$2:$D$1201,DECKS!$A$2:$A$1201,INDEX(_LEITURA!$P$2:$P$21,19),DECKS!$B$2:$B$1201,$A777))</f>
        <v/>
      </c>
      <c r="AD777" s="19" t="str">
        <f aca="false">IF(OR($A777="",INDEX(_LEITURA!$Q$2:$Q$21,20)=0),"",SUMIFS(DECKS!$D$2:$D$1201,DECKS!$A$2:$A$1201,INDEX(_LEITURA!$P$2:$P$21,20),DECKS!$B$2:$B$1201,$A777))</f>
        <v/>
      </c>
      <c r="AE777" s="16" t="str">
        <f aca="false">IF(N(E777)&gt;0,MAX(AE$1:AE776)+1,"")</f>
        <v/>
      </c>
      <c r="AF777" s="11" t="str">
        <f aca="false">IF(A777="","",IFERROR(LEFT(A777,FIND("-",A777)-1),A777))</f>
        <v/>
      </c>
      <c r="AG777" s="11" t="str">
        <f aca="false">IF(AF777="","",IF(ISNUMBER(--MID(AF777,1,1)),0,IF(ISNUMBER(--MID(AF777,2,1)),1,IF(ISNUMBER(--MID(AF777,3,1)),2,IF(ISNUMBER(--MID(AF777,4,1)),3,MIN(LEN(AF777),4))))))</f>
        <v/>
      </c>
      <c r="AH777" s="11" t="str">
        <f aca="false">IF(A777="","",LEFT(AF777,AG777)&amp;REPT("0",4-AG777)&amp;RIGHT("000"&amp;IFERROR(VALUE(MID(AF777,AG777+1,9)),0),3)&amp;RIGHT("0000"&amp;IFERROR(VALUE(MID(A777,FIND("-",A777)+1,9)),0),4))</f>
        <v/>
      </c>
      <c r="AI777" s="11" t="str">
        <f aca="false">IF(OR(A777="",N(E777)&lt;=0),"",IF('FALTAS GERAL'!$M$1="Código","K"&amp;AH777&amp;RIGHT("00000"&amp;ROW(),5),IF('FALTAS GERAL'!$M$1="Nome","K"&amp;UPPER(SUBSTITUTE(SUBSTITUTE(SUBSTITUTE(B777,"*",""),"?",""),"~",""))&amp;"0"&amp;AH777&amp;RIGHT("00000"&amp;ROW(),5),IF('FALTAS GERAL'!$M$1="Falta (maior primeiro)","K"&amp;RIGHT("0000"&amp;(9999-E777),4)&amp;AH777&amp;RIGHT("00000"&amp;ROW(),5),IF('FALTAS GERAL'!$M$1="Nº de decks (maior primeiro)","K"&amp;RIGHT("00"&amp;(99-N(G777)),2)&amp;AH777&amp;RIGHT("00000"&amp;ROW(),5),"K"&amp;RIGHT("00000"&amp;ROW(),5))))))</f>
        <v/>
      </c>
      <c r="AJ777" s="11" t="str">
        <f aca="false">IF(AI777="","",COUNTIFS($AI$2:$AI$801,"&lt;"&amp;AI777,$E$2:$E$801,"&gt;0")+1)</f>
        <v/>
      </c>
      <c r="AK777" s="11" t="str">
        <f aca="false">IF(OR(A777="",N(E777)&lt;=0),"",COUNTIFS($AH$2:$AH$801,"&lt;"&amp;AH777,$E$2:$E$801,"&gt;0")+COUNTIFS($AH$2:AH777,AH777,$E$2:E777,"&gt;0"))</f>
        <v/>
      </c>
    </row>
    <row r="778" customFormat="false" ht="15" hidden="false" customHeight="false" outlineLevel="0" collapsed="false">
      <c r="A778" s="11" t="str">
        <f aca="false">IF(INVENTÁRIO!A778="","",INVENTÁRIO!A778)</f>
        <v/>
      </c>
      <c r="B778" s="11" t="str">
        <f aca="false">IF(A778="","",INVENTÁRIO!B778)</f>
        <v/>
      </c>
      <c r="C778" s="16" t="str">
        <f aca="false">IF(A778="","",INVENTÁRIO!C778)</f>
        <v/>
      </c>
      <c r="D778" s="14" t="str">
        <f aca="false">IF(A778="","",MAX(K778:AD778))</f>
        <v/>
      </c>
      <c r="E778" s="14" t="str">
        <f aca="false">IF(A778="","",MAX(0,D778-C778))</f>
        <v/>
      </c>
      <c r="F778" s="16" t="str">
        <f aca="false">IF(A778="","",IF(D778=0,"Fora dos decks",IF(E778=0,"Completo","Falta")))</f>
        <v/>
      </c>
      <c r="G778" s="16" t="str">
        <f aca="false">IF(A778="","",COUNTIF(K778:AD778,"&gt;0"))</f>
        <v/>
      </c>
      <c r="H778" s="16" t="str">
        <f aca="false">IF(A778="","",IF(G778&gt;1,"Sim",""))</f>
        <v/>
      </c>
      <c r="I778" s="18" t="str">
        <f aca="false">IF(A778="","",SUMIFS(DECKS!$D$2:$D$1201,DECKS!$B$2:$B$1201,A778))</f>
        <v/>
      </c>
      <c r="J778" s="18" t="str">
        <f aca="false">IF(A778="","",MAX(0,I778-C778))</f>
        <v/>
      </c>
      <c r="K778" s="19" t="str">
        <f aca="false">IF(OR($A778="",INDEX(_LEITURA!$Q$2:$Q$21,1)=0),"",SUMIFS(DECKS!$D$2:$D$1201,DECKS!$A$2:$A$1201,INDEX(_LEITURA!$P$2:$P$21,1),DECKS!$B$2:$B$1201,$A778))</f>
        <v/>
      </c>
      <c r="L778" s="19" t="str">
        <f aca="false">IF(OR($A778="",INDEX(_LEITURA!$Q$2:$Q$21,2)=0),"",SUMIFS(DECKS!$D$2:$D$1201,DECKS!$A$2:$A$1201,INDEX(_LEITURA!$P$2:$P$21,2),DECKS!$B$2:$B$1201,$A778))</f>
        <v/>
      </c>
      <c r="M778" s="19" t="str">
        <f aca="false">IF(OR($A778="",INDEX(_LEITURA!$Q$2:$Q$21,3)=0),"",SUMIFS(DECKS!$D$2:$D$1201,DECKS!$A$2:$A$1201,INDEX(_LEITURA!$P$2:$P$21,3),DECKS!$B$2:$B$1201,$A778))</f>
        <v/>
      </c>
      <c r="N778" s="19" t="str">
        <f aca="false">IF(OR($A778="",INDEX(_LEITURA!$Q$2:$Q$21,4)=0),"",SUMIFS(DECKS!$D$2:$D$1201,DECKS!$A$2:$A$1201,INDEX(_LEITURA!$P$2:$P$21,4),DECKS!$B$2:$B$1201,$A778))</f>
        <v/>
      </c>
      <c r="O778" s="19" t="str">
        <f aca="false">IF(OR($A778="",INDEX(_LEITURA!$Q$2:$Q$21,5)=0),"",SUMIFS(DECKS!$D$2:$D$1201,DECKS!$A$2:$A$1201,INDEX(_LEITURA!$P$2:$P$21,5),DECKS!$B$2:$B$1201,$A778))</f>
        <v/>
      </c>
      <c r="P778" s="19" t="str">
        <f aca="false">IF(OR($A778="",INDEX(_LEITURA!$Q$2:$Q$21,6)=0),"",SUMIFS(DECKS!$D$2:$D$1201,DECKS!$A$2:$A$1201,INDEX(_LEITURA!$P$2:$P$21,6),DECKS!$B$2:$B$1201,$A778))</f>
        <v/>
      </c>
      <c r="Q778" s="19" t="str">
        <f aca="false">IF(OR($A778="",INDEX(_LEITURA!$Q$2:$Q$21,7)=0),"",SUMIFS(DECKS!$D$2:$D$1201,DECKS!$A$2:$A$1201,INDEX(_LEITURA!$P$2:$P$21,7),DECKS!$B$2:$B$1201,$A778))</f>
        <v/>
      </c>
      <c r="R778" s="19" t="str">
        <f aca="false">IF(OR($A778="",INDEX(_LEITURA!$Q$2:$Q$21,8)=0),"",SUMIFS(DECKS!$D$2:$D$1201,DECKS!$A$2:$A$1201,INDEX(_LEITURA!$P$2:$P$21,8),DECKS!$B$2:$B$1201,$A778))</f>
        <v/>
      </c>
      <c r="S778" s="19" t="str">
        <f aca="false">IF(OR($A778="",INDEX(_LEITURA!$Q$2:$Q$21,9)=0),"",SUMIFS(DECKS!$D$2:$D$1201,DECKS!$A$2:$A$1201,INDEX(_LEITURA!$P$2:$P$21,9),DECKS!$B$2:$B$1201,$A778))</f>
        <v/>
      </c>
      <c r="T778" s="19" t="str">
        <f aca="false">IF(OR($A778="",INDEX(_LEITURA!$Q$2:$Q$21,10)=0),"",SUMIFS(DECKS!$D$2:$D$1201,DECKS!$A$2:$A$1201,INDEX(_LEITURA!$P$2:$P$21,10),DECKS!$B$2:$B$1201,$A778))</f>
        <v/>
      </c>
      <c r="U778" s="19" t="str">
        <f aca="false">IF(OR($A778="",INDEX(_LEITURA!$Q$2:$Q$21,11)=0),"",SUMIFS(DECKS!$D$2:$D$1201,DECKS!$A$2:$A$1201,INDEX(_LEITURA!$P$2:$P$21,11),DECKS!$B$2:$B$1201,$A778))</f>
        <v/>
      </c>
      <c r="V778" s="19" t="str">
        <f aca="false">IF(OR($A778="",INDEX(_LEITURA!$Q$2:$Q$21,12)=0),"",SUMIFS(DECKS!$D$2:$D$1201,DECKS!$A$2:$A$1201,INDEX(_LEITURA!$P$2:$P$21,12),DECKS!$B$2:$B$1201,$A778))</f>
        <v/>
      </c>
      <c r="W778" s="19" t="str">
        <f aca="false">IF(OR($A778="",INDEX(_LEITURA!$Q$2:$Q$21,13)=0),"",SUMIFS(DECKS!$D$2:$D$1201,DECKS!$A$2:$A$1201,INDEX(_LEITURA!$P$2:$P$21,13),DECKS!$B$2:$B$1201,$A778))</f>
        <v/>
      </c>
      <c r="X778" s="19" t="str">
        <f aca="false">IF(OR($A778="",INDEX(_LEITURA!$Q$2:$Q$21,14)=0),"",SUMIFS(DECKS!$D$2:$D$1201,DECKS!$A$2:$A$1201,INDEX(_LEITURA!$P$2:$P$21,14),DECKS!$B$2:$B$1201,$A778))</f>
        <v/>
      </c>
      <c r="Y778" s="19" t="str">
        <f aca="false">IF(OR($A778="",INDEX(_LEITURA!$Q$2:$Q$21,15)=0),"",SUMIFS(DECKS!$D$2:$D$1201,DECKS!$A$2:$A$1201,INDEX(_LEITURA!$P$2:$P$21,15),DECKS!$B$2:$B$1201,$A778))</f>
        <v/>
      </c>
      <c r="Z778" s="19" t="str">
        <f aca="false">IF(OR($A778="",INDEX(_LEITURA!$Q$2:$Q$21,16)=0),"",SUMIFS(DECKS!$D$2:$D$1201,DECKS!$A$2:$A$1201,INDEX(_LEITURA!$P$2:$P$21,16),DECKS!$B$2:$B$1201,$A778))</f>
        <v/>
      </c>
      <c r="AA778" s="19" t="str">
        <f aca="false">IF(OR($A778="",INDEX(_LEITURA!$Q$2:$Q$21,17)=0),"",SUMIFS(DECKS!$D$2:$D$1201,DECKS!$A$2:$A$1201,INDEX(_LEITURA!$P$2:$P$21,17),DECKS!$B$2:$B$1201,$A778))</f>
        <v/>
      </c>
      <c r="AB778" s="19" t="str">
        <f aca="false">IF(OR($A778="",INDEX(_LEITURA!$Q$2:$Q$21,18)=0),"",SUMIFS(DECKS!$D$2:$D$1201,DECKS!$A$2:$A$1201,INDEX(_LEITURA!$P$2:$P$21,18),DECKS!$B$2:$B$1201,$A778))</f>
        <v/>
      </c>
      <c r="AC778" s="19" t="str">
        <f aca="false">IF(OR($A778="",INDEX(_LEITURA!$Q$2:$Q$21,19)=0),"",SUMIFS(DECKS!$D$2:$D$1201,DECKS!$A$2:$A$1201,INDEX(_LEITURA!$P$2:$P$21,19),DECKS!$B$2:$B$1201,$A778))</f>
        <v/>
      </c>
      <c r="AD778" s="19" t="str">
        <f aca="false">IF(OR($A778="",INDEX(_LEITURA!$Q$2:$Q$21,20)=0),"",SUMIFS(DECKS!$D$2:$D$1201,DECKS!$A$2:$A$1201,INDEX(_LEITURA!$P$2:$P$21,20),DECKS!$B$2:$B$1201,$A778))</f>
        <v/>
      </c>
      <c r="AE778" s="16" t="str">
        <f aca="false">IF(N(E778)&gt;0,MAX(AE$1:AE777)+1,"")</f>
        <v/>
      </c>
      <c r="AF778" s="11" t="str">
        <f aca="false">IF(A778="","",IFERROR(LEFT(A778,FIND("-",A778)-1),A778))</f>
        <v/>
      </c>
      <c r="AG778" s="11" t="str">
        <f aca="false">IF(AF778="","",IF(ISNUMBER(--MID(AF778,1,1)),0,IF(ISNUMBER(--MID(AF778,2,1)),1,IF(ISNUMBER(--MID(AF778,3,1)),2,IF(ISNUMBER(--MID(AF778,4,1)),3,MIN(LEN(AF778),4))))))</f>
        <v/>
      </c>
      <c r="AH778" s="11" t="str">
        <f aca="false">IF(A778="","",LEFT(AF778,AG778)&amp;REPT("0",4-AG778)&amp;RIGHT("000"&amp;IFERROR(VALUE(MID(AF778,AG778+1,9)),0),3)&amp;RIGHT("0000"&amp;IFERROR(VALUE(MID(A778,FIND("-",A778)+1,9)),0),4))</f>
        <v/>
      </c>
      <c r="AI778" s="11" t="str">
        <f aca="false">IF(OR(A778="",N(E778)&lt;=0),"",IF('FALTAS GERAL'!$M$1="Código","K"&amp;AH778&amp;RIGHT("00000"&amp;ROW(),5),IF('FALTAS GERAL'!$M$1="Nome","K"&amp;UPPER(SUBSTITUTE(SUBSTITUTE(SUBSTITUTE(B778,"*",""),"?",""),"~",""))&amp;"0"&amp;AH778&amp;RIGHT("00000"&amp;ROW(),5),IF('FALTAS GERAL'!$M$1="Falta (maior primeiro)","K"&amp;RIGHT("0000"&amp;(9999-E778),4)&amp;AH778&amp;RIGHT("00000"&amp;ROW(),5),IF('FALTAS GERAL'!$M$1="Nº de decks (maior primeiro)","K"&amp;RIGHT("00"&amp;(99-N(G778)),2)&amp;AH778&amp;RIGHT("00000"&amp;ROW(),5),"K"&amp;RIGHT("00000"&amp;ROW(),5))))))</f>
        <v/>
      </c>
      <c r="AJ778" s="11" t="str">
        <f aca="false">IF(AI778="","",COUNTIFS($AI$2:$AI$801,"&lt;"&amp;AI778,$E$2:$E$801,"&gt;0")+1)</f>
        <v/>
      </c>
      <c r="AK778" s="11" t="str">
        <f aca="false">IF(OR(A778="",N(E778)&lt;=0),"",COUNTIFS($AH$2:$AH$801,"&lt;"&amp;AH778,$E$2:$E$801,"&gt;0")+COUNTIFS($AH$2:AH778,AH778,$E$2:E778,"&gt;0"))</f>
        <v/>
      </c>
    </row>
    <row r="779" customFormat="false" ht="15" hidden="false" customHeight="false" outlineLevel="0" collapsed="false">
      <c r="A779" s="11" t="str">
        <f aca="false">IF(INVENTÁRIO!A779="","",INVENTÁRIO!A779)</f>
        <v/>
      </c>
      <c r="B779" s="11" t="str">
        <f aca="false">IF(A779="","",INVENTÁRIO!B779)</f>
        <v/>
      </c>
      <c r="C779" s="16" t="str">
        <f aca="false">IF(A779="","",INVENTÁRIO!C779)</f>
        <v/>
      </c>
      <c r="D779" s="14" t="str">
        <f aca="false">IF(A779="","",MAX(K779:AD779))</f>
        <v/>
      </c>
      <c r="E779" s="14" t="str">
        <f aca="false">IF(A779="","",MAX(0,D779-C779))</f>
        <v/>
      </c>
      <c r="F779" s="16" t="str">
        <f aca="false">IF(A779="","",IF(D779=0,"Fora dos decks",IF(E779=0,"Completo","Falta")))</f>
        <v/>
      </c>
      <c r="G779" s="16" t="str">
        <f aca="false">IF(A779="","",COUNTIF(K779:AD779,"&gt;0"))</f>
        <v/>
      </c>
      <c r="H779" s="16" t="str">
        <f aca="false">IF(A779="","",IF(G779&gt;1,"Sim",""))</f>
        <v/>
      </c>
      <c r="I779" s="18" t="str">
        <f aca="false">IF(A779="","",SUMIFS(DECKS!$D$2:$D$1201,DECKS!$B$2:$B$1201,A779))</f>
        <v/>
      </c>
      <c r="J779" s="18" t="str">
        <f aca="false">IF(A779="","",MAX(0,I779-C779))</f>
        <v/>
      </c>
      <c r="K779" s="19" t="str">
        <f aca="false">IF(OR($A779="",INDEX(_LEITURA!$Q$2:$Q$21,1)=0),"",SUMIFS(DECKS!$D$2:$D$1201,DECKS!$A$2:$A$1201,INDEX(_LEITURA!$P$2:$P$21,1),DECKS!$B$2:$B$1201,$A779))</f>
        <v/>
      </c>
      <c r="L779" s="19" t="str">
        <f aca="false">IF(OR($A779="",INDEX(_LEITURA!$Q$2:$Q$21,2)=0),"",SUMIFS(DECKS!$D$2:$D$1201,DECKS!$A$2:$A$1201,INDEX(_LEITURA!$P$2:$P$21,2),DECKS!$B$2:$B$1201,$A779))</f>
        <v/>
      </c>
      <c r="M779" s="19" t="str">
        <f aca="false">IF(OR($A779="",INDEX(_LEITURA!$Q$2:$Q$21,3)=0),"",SUMIFS(DECKS!$D$2:$D$1201,DECKS!$A$2:$A$1201,INDEX(_LEITURA!$P$2:$P$21,3),DECKS!$B$2:$B$1201,$A779))</f>
        <v/>
      </c>
      <c r="N779" s="19" t="str">
        <f aca="false">IF(OR($A779="",INDEX(_LEITURA!$Q$2:$Q$21,4)=0),"",SUMIFS(DECKS!$D$2:$D$1201,DECKS!$A$2:$A$1201,INDEX(_LEITURA!$P$2:$P$21,4),DECKS!$B$2:$B$1201,$A779))</f>
        <v/>
      </c>
      <c r="O779" s="19" t="str">
        <f aca="false">IF(OR($A779="",INDEX(_LEITURA!$Q$2:$Q$21,5)=0),"",SUMIFS(DECKS!$D$2:$D$1201,DECKS!$A$2:$A$1201,INDEX(_LEITURA!$P$2:$P$21,5),DECKS!$B$2:$B$1201,$A779))</f>
        <v/>
      </c>
      <c r="P779" s="19" t="str">
        <f aca="false">IF(OR($A779="",INDEX(_LEITURA!$Q$2:$Q$21,6)=0),"",SUMIFS(DECKS!$D$2:$D$1201,DECKS!$A$2:$A$1201,INDEX(_LEITURA!$P$2:$P$21,6),DECKS!$B$2:$B$1201,$A779))</f>
        <v/>
      </c>
      <c r="Q779" s="19" t="str">
        <f aca="false">IF(OR($A779="",INDEX(_LEITURA!$Q$2:$Q$21,7)=0),"",SUMIFS(DECKS!$D$2:$D$1201,DECKS!$A$2:$A$1201,INDEX(_LEITURA!$P$2:$P$21,7),DECKS!$B$2:$B$1201,$A779))</f>
        <v/>
      </c>
      <c r="R779" s="19" t="str">
        <f aca="false">IF(OR($A779="",INDEX(_LEITURA!$Q$2:$Q$21,8)=0),"",SUMIFS(DECKS!$D$2:$D$1201,DECKS!$A$2:$A$1201,INDEX(_LEITURA!$P$2:$P$21,8),DECKS!$B$2:$B$1201,$A779))</f>
        <v/>
      </c>
      <c r="S779" s="19" t="str">
        <f aca="false">IF(OR($A779="",INDEX(_LEITURA!$Q$2:$Q$21,9)=0),"",SUMIFS(DECKS!$D$2:$D$1201,DECKS!$A$2:$A$1201,INDEX(_LEITURA!$P$2:$P$21,9),DECKS!$B$2:$B$1201,$A779))</f>
        <v/>
      </c>
      <c r="T779" s="19" t="str">
        <f aca="false">IF(OR($A779="",INDEX(_LEITURA!$Q$2:$Q$21,10)=0),"",SUMIFS(DECKS!$D$2:$D$1201,DECKS!$A$2:$A$1201,INDEX(_LEITURA!$P$2:$P$21,10),DECKS!$B$2:$B$1201,$A779))</f>
        <v/>
      </c>
      <c r="U779" s="19" t="str">
        <f aca="false">IF(OR($A779="",INDEX(_LEITURA!$Q$2:$Q$21,11)=0),"",SUMIFS(DECKS!$D$2:$D$1201,DECKS!$A$2:$A$1201,INDEX(_LEITURA!$P$2:$P$21,11),DECKS!$B$2:$B$1201,$A779))</f>
        <v/>
      </c>
      <c r="V779" s="19" t="str">
        <f aca="false">IF(OR($A779="",INDEX(_LEITURA!$Q$2:$Q$21,12)=0),"",SUMIFS(DECKS!$D$2:$D$1201,DECKS!$A$2:$A$1201,INDEX(_LEITURA!$P$2:$P$21,12),DECKS!$B$2:$B$1201,$A779))</f>
        <v/>
      </c>
      <c r="W779" s="19" t="str">
        <f aca="false">IF(OR($A779="",INDEX(_LEITURA!$Q$2:$Q$21,13)=0),"",SUMIFS(DECKS!$D$2:$D$1201,DECKS!$A$2:$A$1201,INDEX(_LEITURA!$P$2:$P$21,13),DECKS!$B$2:$B$1201,$A779))</f>
        <v/>
      </c>
      <c r="X779" s="19" t="str">
        <f aca="false">IF(OR($A779="",INDEX(_LEITURA!$Q$2:$Q$21,14)=0),"",SUMIFS(DECKS!$D$2:$D$1201,DECKS!$A$2:$A$1201,INDEX(_LEITURA!$P$2:$P$21,14),DECKS!$B$2:$B$1201,$A779))</f>
        <v/>
      </c>
      <c r="Y779" s="19" t="str">
        <f aca="false">IF(OR($A779="",INDEX(_LEITURA!$Q$2:$Q$21,15)=0),"",SUMIFS(DECKS!$D$2:$D$1201,DECKS!$A$2:$A$1201,INDEX(_LEITURA!$P$2:$P$21,15),DECKS!$B$2:$B$1201,$A779))</f>
        <v/>
      </c>
      <c r="Z779" s="19" t="str">
        <f aca="false">IF(OR($A779="",INDEX(_LEITURA!$Q$2:$Q$21,16)=0),"",SUMIFS(DECKS!$D$2:$D$1201,DECKS!$A$2:$A$1201,INDEX(_LEITURA!$P$2:$P$21,16),DECKS!$B$2:$B$1201,$A779))</f>
        <v/>
      </c>
      <c r="AA779" s="19" t="str">
        <f aca="false">IF(OR($A779="",INDEX(_LEITURA!$Q$2:$Q$21,17)=0),"",SUMIFS(DECKS!$D$2:$D$1201,DECKS!$A$2:$A$1201,INDEX(_LEITURA!$P$2:$P$21,17),DECKS!$B$2:$B$1201,$A779))</f>
        <v/>
      </c>
      <c r="AB779" s="19" t="str">
        <f aca="false">IF(OR($A779="",INDEX(_LEITURA!$Q$2:$Q$21,18)=0),"",SUMIFS(DECKS!$D$2:$D$1201,DECKS!$A$2:$A$1201,INDEX(_LEITURA!$P$2:$P$21,18),DECKS!$B$2:$B$1201,$A779))</f>
        <v/>
      </c>
      <c r="AC779" s="19" t="str">
        <f aca="false">IF(OR($A779="",INDEX(_LEITURA!$Q$2:$Q$21,19)=0),"",SUMIFS(DECKS!$D$2:$D$1201,DECKS!$A$2:$A$1201,INDEX(_LEITURA!$P$2:$P$21,19),DECKS!$B$2:$B$1201,$A779))</f>
        <v/>
      </c>
      <c r="AD779" s="19" t="str">
        <f aca="false">IF(OR($A779="",INDEX(_LEITURA!$Q$2:$Q$21,20)=0),"",SUMIFS(DECKS!$D$2:$D$1201,DECKS!$A$2:$A$1201,INDEX(_LEITURA!$P$2:$P$21,20),DECKS!$B$2:$B$1201,$A779))</f>
        <v/>
      </c>
      <c r="AE779" s="16" t="str">
        <f aca="false">IF(N(E779)&gt;0,MAX(AE$1:AE778)+1,"")</f>
        <v/>
      </c>
      <c r="AF779" s="11" t="str">
        <f aca="false">IF(A779="","",IFERROR(LEFT(A779,FIND("-",A779)-1),A779))</f>
        <v/>
      </c>
      <c r="AG779" s="11" t="str">
        <f aca="false">IF(AF779="","",IF(ISNUMBER(--MID(AF779,1,1)),0,IF(ISNUMBER(--MID(AF779,2,1)),1,IF(ISNUMBER(--MID(AF779,3,1)),2,IF(ISNUMBER(--MID(AF779,4,1)),3,MIN(LEN(AF779),4))))))</f>
        <v/>
      </c>
      <c r="AH779" s="11" t="str">
        <f aca="false">IF(A779="","",LEFT(AF779,AG779)&amp;REPT("0",4-AG779)&amp;RIGHT("000"&amp;IFERROR(VALUE(MID(AF779,AG779+1,9)),0),3)&amp;RIGHT("0000"&amp;IFERROR(VALUE(MID(A779,FIND("-",A779)+1,9)),0),4))</f>
        <v/>
      </c>
      <c r="AI779" s="11" t="str">
        <f aca="false">IF(OR(A779="",N(E779)&lt;=0),"",IF('FALTAS GERAL'!$M$1="Código","K"&amp;AH779&amp;RIGHT("00000"&amp;ROW(),5),IF('FALTAS GERAL'!$M$1="Nome","K"&amp;UPPER(SUBSTITUTE(SUBSTITUTE(SUBSTITUTE(B779,"*",""),"?",""),"~",""))&amp;"0"&amp;AH779&amp;RIGHT("00000"&amp;ROW(),5),IF('FALTAS GERAL'!$M$1="Falta (maior primeiro)","K"&amp;RIGHT("0000"&amp;(9999-E779),4)&amp;AH779&amp;RIGHT("00000"&amp;ROW(),5),IF('FALTAS GERAL'!$M$1="Nº de decks (maior primeiro)","K"&amp;RIGHT("00"&amp;(99-N(G779)),2)&amp;AH779&amp;RIGHT("00000"&amp;ROW(),5),"K"&amp;RIGHT("00000"&amp;ROW(),5))))))</f>
        <v/>
      </c>
      <c r="AJ779" s="11" t="str">
        <f aca="false">IF(AI779="","",COUNTIFS($AI$2:$AI$801,"&lt;"&amp;AI779,$E$2:$E$801,"&gt;0")+1)</f>
        <v/>
      </c>
      <c r="AK779" s="11" t="str">
        <f aca="false">IF(OR(A779="",N(E779)&lt;=0),"",COUNTIFS($AH$2:$AH$801,"&lt;"&amp;AH779,$E$2:$E$801,"&gt;0")+COUNTIFS($AH$2:AH779,AH779,$E$2:E779,"&gt;0"))</f>
        <v/>
      </c>
    </row>
    <row r="780" customFormat="false" ht="15" hidden="false" customHeight="false" outlineLevel="0" collapsed="false">
      <c r="A780" s="11" t="str">
        <f aca="false">IF(INVENTÁRIO!A780="","",INVENTÁRIO!A780)</f>
        <v/>
      </c>
      <c r="B780" s="11" t="str">
        <f aca="false">IF(A780="","",INVENTÁRIO!B780)</f>
        <v/>
      </c>
      <c r="C780" s="16" t="str">
        <f aca="false">IF(A780="","",INVENTÁRIO!C780)</f>
        <v/>
      </c>
      <c r="D780" s="14" t="str">
        <f aca="false">IF(A780="","",MAX(K780:AD780))</f>
        <v/>
      </c>
      <c r="E780" s="14" t="str">
        <f aca="false">IF(A780="","",MAX(0,D780-C780))</f>
        <v/>
      </c>
      <c r="F780" s="16" t="str">
        <f aca="false">IF(A780="","",IF(D780=0,"Fora dos decks",IF(E780=0,"Completo","Falta")))</f>
        <v/>
      </c>
      <c r="G780" s="16" t="str">
        <f aca="false">IF(A780="","",COUNTIF(K780:AD780,"&gt;0"))</f>
        <v/>
      </c>
      <c r="H780" s="16" t="str">
        <f aca="false">IF(A780="","",IF(G780&gt;1,"Sim",""))</f>
        <v/>
      </c>
      <c r="I780" s="18" t="str">
        <f aca="false">IF(A780="","",SUMIFS(DECKS!$D$2:$D$1201,DECKS!$B$2:$B$1201,A780))</f>
        <v/>
      </c>
      <c r="J780" s="18" t="str">
        <f aca="false">IF(A780="","",MAX(0,I780-C780))</f>
        <v/>
      </c>
      <c r="K780" s="19" t="str">
        <f aca="false">IF(OR($A780="",INDEX(_LEITURA!$Q$2:$Q$21,1)=0),"",SUMIFS(DECKS!$D$2:$D$1201,DECKS!$A$2:$A$1201,INDEX(_LEITURA!$P$2:$P$21,1),DECKS!$B$2:$B$1201,$A780))</f>
        <v/>
      </c>
      <c r="L780" s="19" t="str">
        <f aca="false">IF(OR($A780="",INDEX(_LEITURA!$Q$2:$Q$21,2)=0),"",SUMIFS(DECKS!$D$2:$D$1201,DECKS!$A$2:$A$1201,INDEX(_LEITURA!$P$2:$P$21,2),DECKS!$B$2:$B$1201,$A780))</f>
        <v/>
      </c>
      <c r="M780" s="19" t="str">
        <f aca="false">IF(OR($A780="",INDEX(_LEITURA!$Q$2:$Q$21,3)=0),"",SUMIFS(DECKS!$D$2:$D$1201,DECKS!$A$2:$A$1201,INDEX(_LEITURA!$P$2:$P$21,3),DECKS!$B$2:$B$1201,$A780))</f>
        <v/>
      </c>
      <c r="N780" s="19" t="str">
        <f aca="false">IF(OR($A780="",INDEX(_LEITURA!$Q$2:$Q$21,4)=0),"",SUMIFS(DECKS!$D$2:$D$1201,DECKS!$A$2:$A$1201,INDEX(_LEITURA!$P$2:$P$21,4),DECKS!$B$2:$B$1201,$A780))</f>
        <v/>
      </c>
      <c r="O780" s="19" t="str">
        <f aca="false">IF(OR($A780="",INDEX(_LEITURA!$Q$2:$Q$21,5)=0),"",SUMIFS(DECKS!$D$2:$D$1201,DECKS!$A$2:$A$1201,INDEX(_LEITURA!$P$2:$P$21,5),DECKS!$B$2:$B$1201,$A780))</f>
        <v/>
      </c>
      <c r="P780" s="19" t="str">
        <f aca="false">IF(OR($A780="",INDEX(_LEITURA!$Q$2:$Q$21,6)=0),"",SUMIFS(DECKS!$D$2:$D$1201,DECKS!$A$2:$A$1201,INDEX(_LEITURA!$P$2:$P$21,6),DECKS!$B$2:$B$1201,$A780))</f>
        <v/>
      </c>
      <c r="Q780" s="19" t="str">
        <f aca="false">IF(OR($A780="",INDEX(_LEITURA!$Q$2:$Q$21,7)=0),"",SUMIFS(DECKS!$D$2:$D$1201,DECKS!$A$2:$A$1201,INDEX(_LEITURA!$P$2:$P$21,7),DECKS!$B$2:$B$1201,$A780))</f>
        <v/>
      </c>
      <c r="R780" s="19" t="str">
        <f aca="false">IF(OR($A780="",INDEX(_LEITURA!$Q$2:$Q$21,8)=0),"",SUMIFS(DECKS!$D$2:$D$1201,DECKS!$A$2:$A$1201,INDEX(_LEITURA!$P$2:$P$21,8),DECKS!$B$2:$B$1201,$A780))</f>
        <v/>
      </c>
      <c r="S780" s="19" t="str">
        <f aca="false">IF(OR($A780="",INDEX(_LEITURA!$Q$2:$Q$21,9)=0),"",SUMIFS(DECKS!$D$2:$D$1201,DECKS!$A$2:$A$1201,INDEX(_LEITURA!$P$2:$P$21,9),DECKS!$B$2:$B$1201,$A780))</f>
        <v/>
      </c>
      <c r="T780" s="19" t="str">
        <f aca="false">IF(OR($A780="",INDEX(_LEITURA!$Q$2:$Q$21,10)=0),"",SUMIFS(DECKS!$D$2:$D$1201,DECKS!$A$2:$A$1201,INDEX(_LEITURA!$P$2:$P$21,10),DECKS!$B$2:$B$1201,$A780))</f>
        <v/>
      </c>
      <c r="U780" s="19" t="str">
        <f aca="false">IF(OR($A780="",INDEX(_LEITURA!$Q$2:$Q$21,11)=0),"",SUMIFS(DECKS!$D$2:$D$1201,DECKS!$A$2:$A$1201,INDEX(_LEITURA!$P$2:$P$21,11),DECKS!$B$2:$B$1201,$A780))</f>
        <v/>
      </c>
      <c r="V780" s="19" t="str">
        <f aca="false">IF(OR($A780="",INDEX(_LEITURA!$Q$2:$Q$21,12)=0),"",SUMIFS(DECKS!$D$2:$D$1201,DECKS!$A$2:$A$1201,INDEX(_LEITURA!$P$2:$P$21,12),DECKS!$B$2:$B$1201,$A780))</f>
        <v/>
      </c>
      <c r="W780" s="19" t="str">
        <f aca="false">IF(OR($A780="",INDEX(_LEITURA!$Q$2:$Q$21,13)=0),"",SUMIFS(DECKS!$D$2:$D$1201,DECKS!$A$2:$A$1201,INDEX(_LEITURA!$P$2:$P$21,13),DECKS!$B$2:$B$1201,$A780))</f>
        <v/>
      </c>
      <c r="X780" s="19" t="str">
        <f aca="false">IF(OR($A780="",INDEX(_LEITURA!$Q$2:$Q$21,14)=0),"",SUMIFS(DECKS!$D$2:$D$1201,DECKS!$A$2:$A$1201,INDEX(_LEITURA!$P$2:$P$21,14),DECKS!$B$2:$B$1201,$A780))</f>
        <v/>
      </c>
      <c r="Y780" s="19" t="str">
        <f aca="false">IF(OR($A780="",INDEX(_LEITURA!$Q$2:$Q$21,15)=0),"",SUMIFS(DECKS!$D$2:$D$1201,DECKS!$A$2:$A$1201,INDEX(_LEITURA!$P$2:$P$21,15),DECKS!$B$2:$B$1201,$A780))</f>
        <v/>
      </c>
      <c r="Z780" s="19" t="str">
        <f aca="false">IF(OR($A780="",INDEX(_LEITURA!$Q$2:$Q$21,16)=0),"",SUMIFS(DECKS!$D$2:$D$1201,DECKS!$A$2:$A$1201,INDEX(_LEITURA!$P$2:$P$21,16),DECKS!$B$2:$B$1201,$A780))</f>
        <v/>
      </c>
      <c r="AA780" s="19" t="str">
        <f aca="false">IF(OR($A780="",INDEX(_LEITURA!$Q$2:$Q$21,17)=0),"",SUMIFS(DECKS!$D$2:$D$1201,DECKS!$A$2:$A$1201,INDEX(_LEITURA!$P$2:$P$21,17),DECKS!$B$2:$B$1201,$A780))</f>
        <v/>
      </c>
      <c r="AB780" s="19" t="str">
        <f aca="false">IF(OR($A780="",INDEX(_LEITURA!$Q$2:$Q$21,18)=0),"",SUMIFS(DECKS!$D$2:$D$1201,DECKS!$A$2:$A$1201,INDEX(_LEITURA!$P$2:$P$21,18),DECKS!$B$2:$B$1201,$A780))</f>
        <v/>
      </c>
      <c r="AC780" s="19" t="str">
        <f aca="false">IF(OR($A780="",INDEX(_LEITURA!$Q$2:$Q$21,19)=0),"",SUMIFS(DECKS!$D$2:$D$1201,DECKS!$A$2:$A$1201,INDEX(_LEITURA!$P$2:$P$21,19),DECKS!$B$2:$B$1201,$A780))</f>
        <v/>
      </c>
      <c r="AD780" s="19" t="str">
        <f aca="false">IF(OR($A780="",INDEX(_LEITURA!$Q$2:$Q$21,20)=0),"",SUMIFS(DECKS!$D$2:$D$1201,DECKS!$A$2:$A$1201,INDEX(_LEITURA!$P$2:$P$21,20),DECKS!$B$2:$B$1201,$A780))</f>
        <v/>
      </c>
      <c r="AE780" s="16" t="str">
        <f aca="false">IF(N(E780)&gt;0,MAX(AE$1:AE779)+1,"")</f>
        <v/>
      </c>
      <c r="AF780" s="11" t="str">
        <f aca="false">IF(A780="","",IFERROR(LEFT(A780,FIND("-",A780)-1),A780))</f>
        <v/>
      </c>
      <c r="AG780" s="11" t="str">
        <f aca="false">IF(AF780="","",IF(ISNUMBER(--MID(AF780,1,1)),0,IF(ISNUMBER(--MID(AF780,2,1)),1,IF(ISNUMBER(--MID(AF780,3,1)),2,IF(ISNUMBER(--MID(AF780,4,1)),3,MIN(LEN(AF780),4))))))</f>
        <v/>
      </c>
      <c r="AH780" s="11" t="str">
        <f aca="false">IF(A780="","",LEFT(AF780,AG780)&amp;REPT("0",4-AG780)&amp;RIGHT("000"&amp;IFERROR(VALUE(MID(AF780,AG780+1,9)),0),3)&amp;RIGHT("0000"&amp;IFERROR(VALUE(MID(A780,FIND("-",A780)+1,9)),0),4))</f>
        <v/>
      </c>
      <c r="AI780" s="11" t="str">
        <f aca="false">IF(OR(A780="",N(E780)&lt;=0),"",IF('FALTAS GERAL'!$M$1="Código","K"&amp;AH780&amp;RIGHT("00000"&amp;ROW(),5),IF('FALTAS GERAL'!$M$1="Nome","K"&amp;UPPER(SUBSTITUTE(SUBSTITUTE(SUBSTITUTE(B780,"*",""),"?",""),"~",""))&amp;"0"&amp;AH780&amp;RIGHT("00000"&amp;ROW(),5),IF('FALTAS GERAL'!$M$1="Falta (maior primeiro)","K"&amp;RIGHT("0000"&amp;(9999-E780),4)&amp;AH780&amp;RIGHT("00000"&amp;ROW(),5),IF('FALTAS GERAL'!$M$1="Nº de decks (maior primeiro)","K"&amp;RIGHT("00"&amp;(99-N(G780)),2)&amp;AH780&amp;RIGHT("00000"&amp;ROW(),5),"K"&amp;RIGHT("00000"&amp;ROW(),5))))))</f>
        <v/>
      </c>
      <c r="AJ780" s="11" t="str">
        <f aca="false">IF(AI780="","",COUNTIFS($AI$2:$AI$801,"&lt;"&amp;AI780,$E$2:$E$801,"&gt;0")+1)</f>
        <v/>
      </c>
      <c r="AK780" s="11" t="str">
        <f aca="false">IF(OR(A780="",N(E780)&lt;=0),"",COUNTIFS($AH$2:$AH$801,"&lt;"&amp;AH780,$E$2:$E$801,"&gt;0")+COUNTIFS($AH$2:AH780,AH780,$E$2:E780,"&gt;0"))</f>
        <v/>
      </c>
    </row>
    <row r="781" customFormat="false" ht="15" hidden="false" customHeight="false" outlineLevel="0" collapsed="false">
      <c r="A781" s="11" t="str">
        <f aca="false">IF(INVENTÁRIO!A781="","",INVENTÁRIO!A781)</f>
        <v/>
      </c>
      <c r="B781" s="11" t="str">
        <f aca="false">IF(A781="","",INVENTÁRIO!B781)</f>
        <v/>
      </c>
      <c r="C781" s="16" t="str">
        <f aca="false">IF(A781="","",INVENTÁRIO!C781)</f>
        <v/>
      </c>
      <c r="D781" s="14" t="str">
        <f aca="false">IF(A781="","",MAX(K781:AD781))</f>
        <v/>
      </c>
      <c r="E781" s="14" t="str">
        <f aca="false">IF(A781="","",MAX(0,D781-C781))</f>
        <v/>
      </c>
      <c r="F781" s="16" t="str">
        <f aca="false">IF(A781="","",IF(D781=0,"Fora dos decks",IF(E781=0,"Completo","Falta")))</f>
        <v/>
      </c>
      <c r="G781" s="16" t="str">
        <f aca="false">IF(A781="","",COUNTIF(K781:AD781,"&gt;0"))</f>
        <v/>
      </c>
      <c r="H781" s="16" t="str">
        <f aca="false">IF(A781="","",IF(G781&gt;1,"Sim",""))</f>
        <v/>
      </c>
      <c r="I781" s="18" t="str">
        <f aca="false">IF(A781="","",SUMIFS(DECKS!$D$2:$D$1201,DECKS!$B$2:$B$1201,A781))</f>
        <v/>
      </c>
      <c r="J781" s="18" t="str">
        <f aca="false">IF(A781="","",MAX(0,I781-C781))</f>
        <v/>
      </c>
      <c r="K781" s="19" t="str">
        <f aca="false">IF(OR($A781="",INDEX(_LEITURA!$Q$2:$Q$21,1)=0),"",SUMIFS(DECKS!$D$2:$D$1201,DECKS!$A$2:$A$1201,INDEX(_LEITURA!$P$2:$P$21,1),DECKS!$B$2:$B$1201,$A781))</f>
        <v/>
      </c>
      <c r="L781" s="19" t="str">
        <f aca="false">IF(OR($A781="",INDEX(_LEITURA!$Q$2:$Q$21,2)=0),"",SUMIFS(DECKS!$D$2:$D$1201,DECKS!$A$2:$A$1201,INDEX(_LEITURA!$P$2:$P$21,2),DECKS!$B$2:$B$1201,$A781))</f>
        <v/>
      </c>
      <c r="M781" s="19" t="str">
        <f aca="false">IF(OR($A781="",INDEX(_LEITURA!$Q$2:$Q$21,3)=0),"",SUMIFS(DECKS!$D$2:$D$1201,DECKS!$A$2:$A$1201,INDEX(_LEITURA!$P$2:$P$21,3),DECKS!$B$2:$B$1201,$A781))</f>
        <v/>
      </c>
      <c r="N781" s="19" t="str">
        <f aca="false">IF(OR($A781="",INDEX(_LEITURA!$Q$2:$Q$21,4)=0),"",SUMIFS(DECKS!$D$2:$D$1201,DECKS!$A$2:$A$1201,INDEX(_LEITURA!$P$2:$P$21,4),DECKS!$B$2:$B$1201,$A781))</f>
        <v/>
      </c>
      <c r="O781" s="19" t="str">
        <f aca="false">IF(OR($A781="",INDEX(_LEITURA!$Q$2:$Q$21,5)=0),"",SUMIFS(DECKS!$D$2:$D$1201,DECKS!$A$2:$A$1201,INDEX(_LEITURA!$P$2:$P$21,5),DECKS!$B$2:$B$1201,$A781))</f>
        <v/>
      </c>
      <c r="P781" s="19" t="str">
        <f aca="false">IF(OR($A781="",INDEX(_LEITURA!$Q$2:$Q$21,6)=0),"",SUMIFS(DECKS!$D$2:$D$1201,DECKS!$A$2:$A$1201,INDEX(_LEITURA!$P$2:$P$21,6),DECKS!$B$2:$B$1201,$A781))</f>
        <v/>
      </c>
      <c r="Q781" s="19" t="str">
        <f aca="false">IF(OR($A781="",INDEX(_LEITURA!$Q$2:$Q$21,7)=0),"",SUMIFS(DECKS!$D$2:$D$1201,DECKS!$A$2:$A$1201,INDEX(_LEITURA!$P$2:$P$21,7),DECKS!$B$2:$B$1201,$A781))</f>
        <v/>
      </c>
      <c r="R781" s="19" t="str">
        <f aca="false">IF(OR($A781="",INDEX(_LEITURA!$Q$2:$Q$21,8)=0),"",SUMIFS(DECKS!$D$2:$D$1201,DECKS!$A$2:$A$1201,INDEX(_LEITURA!$P$2:$P$21,8),DECKS!$B$2:$B$1201,$A781))</f>
        <v/>
      </c>
      <c r="S781" s="19" t="str">
        <f aca="false">IF(OR($A781="",INDEX(_LEITURA!$Q$2:$Q$21,9)=0),"",SUMIFS(DECKS!$D$2:$D$1201,DECKS!$A$2:$A$1201,INDEX(_LEITURA!$P$2:$P$21,9),DECKS!$B$2:$B$1201,$A781))</f>
        <v/>
      </c>
      <c r="T781" s="19" t="str">
        <f aca="false">IF(OR($A781="",INDEX(_LEITURA!$Q$2:$Q$21,10)=0),"",SUMIFS(DECKS!$D$2:$D$1201,DECKS!$A$2:$A$1201,INDEX(_LEITURA!$P$2:$P$21,10),DECKS!$B$2:$B$1201,$A781))</f>
        <v/>
      </c>
      <c r="U781" s="19" t="str">
        <f aca="false">IF(OR($A781="",INDEX(_LEITURA!$Q$2:$Q$21,11)=0),"",SUMIFS(DECKS!$D$2:$D$1201,DECKS!$A$2:$A$1201,INDEX(_LEITURA!$P$2:$P$21,11),DECKS!$B$2:$B$1201,$A781))</f>
        <v/>
      </c>
      <c r="V781" s="19" t="str">
        <f aca="false">IF(OR($A781="",INDEX(_LEITURA!$Q$2:$Q$21,12)=0),"",SUMIFS(DECKS!$D$2:$D$1201,DECKS!$A$2:$A$1201,INDEX(_LEITURA!$P$2:$P$21,12),DECKS!$B$2:$B$1201,$A781))</f>
        <v/>
      </c>
      <c r="W781" s="19" t="str">
        <f aca="false">IF(OR($A781="",INDEX(_LEITURA!$Q$2:$Q$21,13)=0),"",SUMIFS(DECKS!$D$2:$D$1201,DECKS!$A$2:$A$1201,INDEX(_LEITURA!$P$2:$P$21,13),DECKS!$B$2:$B$1201,$A781))</f>
        <v/>
      </c>
      <c r="X781" s="19" t="str">
        <f aca="false">IF(OR($A781="",INDEX(_LEITURA!$Q$2:$Q$21,14)=0),"",SUMIFS(DECKS!$D$2:$D$1201,DECKS!$A$2:$A$1201,INDEX(_LEITURA!$P$2:$P$21,14),DECKS!$B$2:$B$1201,$A781))</f>
        <v/>
      </c>
      <c r="Y781" s="19" t="str">
        <f aca="false">IF(OR($A781="",INDEX(_LEITURA!$Q$2:$Q$21,15)=0),"",SUMIFS(DECKS!$D$2:$D$1201,DECKS!$A$2:$A$1201,INDEX(_LEITURA!$P$2:$P$21,15),DECKS!$B$2:$B$1201,$A781))</f>
        <v/>
      </c>
      <c r="Z781" s="19" t="str">
        <f aca="false">IF(OR($A781="",INDEX(_LEITURA!$Q$2:$Q$21,16)=0),"",SUMIFS(DECKS!$D$2:$D$1201,DECKS!$A$2:$A$1201,INDEX(_LEITURA!$P$2:$P$21,16),DECKS!$B$2:$B$1201,$A781))</f>
        <v/>
      </c>
      <c r="AA781" s="19" t="str">
        <f aca="false">IF(OR($A781="",INDEX(_LEITURA!$Q$2:$Q$21,17)=0),"",SUMIFS(DECKS!$D$2:$D$1201,DECKS!$A$2:$A$1201,INDEX(_LEITURA!$P$2:$P$21,17),DECKS!$B$2:$B$1201,$A781))</f>
        <v/>
      </c>
      <c r="AB781" s="19" t="str">
        <f aca="false">IF(OR($A781="",INDEX(_LEITURA!$Q$2:$Q$21,18)=0),"",SUMIFS(DECKS!$D$2:$D$1201,DECKS!$A$2:$A$1201,INDEX(_LEITURA!$P$2:$P$21,18),DECKS!$B$2:$B$1201,$A781))</f>
        <v/>
      </c>
      <c r="AC781" s="19" t="str">
        <f aca="false">IF(OR($A781="",INDEX(_LEITURA!$Q$2:$Q$21,19)=0),"",SUMIFS(DECKS!$D$2:$D$1201,DECKS!$A$2:$A$1201,INDEX(_LEITURA!$P$2:$P$21,19),DECKS!$B$2:$B$1201,$A781))</f>
        <v/>
      </c>
      <c r="AD781" s="19" t="str">
        <f aca="false">IF(OR($A781="",INDEX(_LEITURA!$Q$2:$Q$21,20)=0),"",SUMIFS(DECKS!$D$2:$D$1201,DECKS!$A$2:$A$1201,INDEX(_LEITURA!$P$2:$P$21,20),DECKS!$B$2:$B$1201,$A781))</f>
        <v/>
      </c>
      <c r="AE781" s="16" t="str">
        <f aca="false">IF(N(E781)&gt;0,MAX(AE$1:AE780)+1,"")</f>
        <v/>
      </c>
      <c r="AF781" s="11" t="str">
        <f aca="false">IF(A781="","",IFERROR(LEFT(A781,FIND("-",A781)-1),A781))</f>
        <v/>
      </c>
      <c r="AG781" s="11" t="str">
        <f aca="false">IF(AF781="","",IF(ISNUMBER(--MID(AF781,1,1)),0,IF(ISNUMBER(--MID(AF781,2,1)),1,IF(ISNUMBER(--MID(AF781,3,1)),2,IF(ISNUMBER(--MID(AF781,4,1)),3,MIN(LEN(AF781),4))))))</f>
        <v/>
      </c>
      <c r="AH781" s="11" t="str">
        <f aca="false">IF(A781="","",LEFT(AF781,AG781)&amp;REPT("0",4-AG781)&amp;RIGHT("000"&amp;IFERROR(VALUE(MID(AF781,AG781+1,9)),0),3)&amp;RIGHT("0000"&amp;IFERROR(VALUE(MID(A781,FIND("-",A781)+1,9)),0),4))</f>
        <v/>
      </c>
      <c r="AI781" s="11" t="str">
        <f aca="false">IF(OR(A781="",N(E781)&lt;=0),"",IF('FALTAS GERAL'!$M$1="Código","K"&amp;AH781&amp;RIGHT("00000"&amp;ROW(),5),IF('FALTAS GERAL'!$M$1="Nome","K"&amp;UPPER(SUBSTITUTE(SUBSTITUTE(SUBSTITUTE(B781,"*",""),"?",""),"~",""))&amp;"0"&amp;AH781&amp;RIGHT("00000"&amp;ROW(),5),IF('FALTAS GERAL'!$M$1="Falta (maior primeiro)","K"&amp;RIGHT("0000"&amp;(9999-E781),4)&amp;AH781&amp;RIGHT("00000"&amp;ROW(),5),IF('FALTAS GERAL'!$M$1="Nº de decks (maior primeiro)","K"&amp;RIGHT("00"&amp;(99-N(G781)),2)&amp;AH781&amp;RIGHT("00000"&amp;ROW(),5),"K"&amp;RIGHT("00000"&amp;ROW(),5))))))</f>
        <v/>
      </c>
      <c r="AJ781" s="11" t="str">
        <f aca="false">IF(AI781="","",COUNTIFS($AI$2:$AI$801,"&lt;"&amp;AI781,$E$2:$E$801,"&gt;0")+1)</f>
        <v/>
      </c>
      <c r="AK781" s="11" t="str">
        <f aca="false">IF(OR(A781="",N(E781)&lt;=0),"",COUNTIFS($AH$2:$AH$801,"&lt;"&amp;AH781,$E$2:$E$801,"&gt;0")+COUNTIFS($AH$2:AH781,AH781,$E$2:E781,"&gt;0"))</f>
        <v/>
      </c>
    </row>
    <row r="782" customFormat="false" ht="15" hidden="false" customHeight="false" outlineLevel="0" collapsed="false">
      <c r="A782" s="11" t="str">
        <f aca="false">IF(INVENTÁRIO!A782="","",INVENTÁRIO!A782)</f>
        <v/>
      </c>
      <c r="B782" s="11" t="str">
        <f aca="false">IF(A782="","",INVENTÁRIO!B782)</f>
        <v/>
      </c>
      <c r="C782" s="16" t="str">
        <f aca="false">IF(A782="","",INVENTÁRIO!C782)</f>
        <v/>
      </c>
      <c r="D782" s="14" t="str">
        <f aca="false">IF(A782="","",MAX(K782:AD782))</f>
        <v/>
      </c>
      <c r="E782" s="14" t="str">
        <f aca="false">IF(A782="","",MAX(0,D782-C782))</f>
        <v/>
      </c>
      <c r="F782" s="16" t="str">
        <f aca="false">IF(A782="","",IF(D782=0,"Fora dos decks",IF(E782=0,"Completo","Falta")))</f>
        <v/>
      </c>
      <c r="G782" s="16" t="str">
        <f aca="false">IF(A782="","",COUNTIF(K782:AD782,"&gt;0"))</f>
        <v/>
      </c>
      <c r="H782" s="16" t="str">
        <f aca="false">IF(A782="","",IF(G782&gt;1,"Sim",""))</f>
        <v/>
      </c>
      <c r="I782" s="18" t="str">
        <f aca="false">IF(A782="","",SUMIFS(DECKS!$D$2:$D$1201,DECKS!$B$2:$B$1201,A782))</f>
        <v/>
      </c>
      <c r="J782" s="18" t="str">
        <f aca="false">IF(A782="","",MAX(0,I782-C782))</f>
        <v/>
      </c>
      <c r="K782" s="19" t="str">
        <f aca="false">IF(OR($A782="",INDEX(_LEITURA!$Q$2:$Q$21,1)=0),"",SUMIFS(DECKS!$D$2:$D$1201,DECKS!$A$2:$A$1201,INDEX(_LEITURA!$P$2:$P$21,1),DECKS!$B$2:$B$1201,$A782))</f>
        <v/>
      </c>
      <c r="L782" s="19" t="str">
        <f aca="false">IF(OR($A782="",INDEX(_LEITURA!$Q$2:$Q$21,2)=0),"",SUMIFS(DECKS!$D$2:$D$1201,DECKS!$A$2:$A$1201,INDEX(_LEITURA!$P$2:$P$21,2),DECKS!$B$2:$B$1201,$A782))</f>
        <v/>
      </c>
      <c r="M782" s="19" t="str">
        <f aca="false">IF(OR($A782="",INDEX(_LEITURA!$Q$2:$Q$21,3)=0),"",SUMIFS(DECKS!$D$2:$D$1201,DECKS!$A$2:$A$1201,INDEX(_LEITURA!$P$2:$P$21,3),DECKS!$B$2:$B$1201,$A782))</f>
        <v/>
      </c>
      <c r="N782" s="19" t="str">
        <f aca="false">IF(OR($A782="",INDEX(_LEITURA!$Q$2:$Q$21,4)=0),"",SUMIFS(DECKS!$D$2:$D$1201,DECKS!$A$2:$A$1201,INDEX(_LEITURA!$P$2:$P$21,4),DECKS!$B$2:$B$1201,$A782))</f>
        <v/>
      </c>
      <c r="O782" s="19" t="str">
        <f aca="false">IF(OR($A782="",INDEX(_LEITURA!$Q$2:$Q$21,5)=0),"",SUMIFS(DECKS!$D$2:$D$1201,DECKS!$A$2:$A$1201,INDEX(_LEITURA!$P$2:$P$21,5),DECKS!$B$2:$B$1201,$A782))</f>
        <v/>
      </c>
      <c r="P782" s="19" t="str">
        <f aca="false">IF(OR($A782="",INDEX(_LEITURA!$Q$2:$Q$21,6)=0),"",SUMIFS(DECKS!$D$2:$D$1201,DECKS!$A$2:$A$1201,INDEX(_LEITURA!$P$2:$P$21,6),DECKS!$B$2:$B$1201,$A782))</f>
        <v/>
      </c>
      <c r="Q782" s="19" t="str">
        <f aca="false">IF(OR($A782="",INDEX(_LEITURA!$Q$2:$Q$21,7)=0),"",SUMIFS(DECKS!$D$2:$D$1201,DECKS!$A$2:$A$1201,INDEX(_LEITURA!$P$2:$P$21,7),DECKS!$B$2:$B$1201,$A782))</f>
        <v/>
      </c>
      <c r="R782" s="19" t="str">
        <f aca="false">IF(OR($A782="",INDEX(_LEITURA!$Q$2:$Q$21,8)=0),"",SUMIFS(DECKS!$D$2:$D$1201,DECKS!$A$2:$A$1201,INDEX(_LEITURA!$P$2:$P$21,8),DECKS!$B$2:$B$1201,$A782))</f>
        <v/>
      </c>
      <c r="S782" s="19" t="str">
        <f aca="false">IF(OR($A782="",INDEX(_LEITURA!$Q$2:$Q$21,9)=0),"",SUMIFS(DECKS!$D$2:$D$1201,DECKS!$A$2:$A$1201,INDEX(_LEITURA!$P$2:$P$21,9),DECKS!$B$2:$B$1201,$A782))</f>
        <v/>
      </c>
      <c r="T782" s="19" t="str">
        <f aca="false">IF(OR($A782="",INDEX(_LEITURA!$Q$2:$Q$21,10)=0),"",SUMIFS(DECKS!$D$2:$D$1201,DECKS!$A$2:$A$1201,INDEX(_LEITURA!$P$2:$P$21,10),DECKS!$B$2:$B$1201,$A782))</f>
        <v/>
      </c>
      <c r="U782" s="19" t="str">
        <f aca="false">IF(OR($A782="",INDEX(_LEITURA!$Q$2:$Q$21,11)=0),"",SUMIFS(DECKS!$D$2:$D$1201,DECKS!$A$2:$A$1201,INDEX(_LEITURA!$P$2:$P$21,11),DECKS!$B$2:$B$1201,$A782))</f>
        <v/>
      </c>
      <c r="V782" s="19" t="str">
        <f aca="false">IF(OR($A782="",INDEX(_LEITURA!$Q$2:$Q$21,12)=0),"",SUMIFS(DECKS!$D$2:$D$1201,DECKS!$A$2:$A$1201,INDEX(_LEITURA!$P$2:$P$21,12),DECKS!$B$2:$B$1201,$A782))</f>
        <v/>
      </c>
      <c r="W782" s="19" t="str">
        <f aca="false">IF(OR($A782="",INDEX(_LEITURA!$Q$2:$Q$21,13)=0),"",SUMIFS(DECKS!$D$2:$D$1201,DECKS!$A$2:$A$1201,INDEX(_LEITURA!$P$2:$P$21,13),DECKS!$B$2:$B$1201,$A782))</f>
        <v/>
      </c>
      <c r="X782" s="19" t="str">
        <f aca="false">IF(OR($A782="",INDEX(_LEITURA!$Q$2:$Q$21,14)=0),"",SUMIFS(DECKS!$D$2:$D$1201,DECKS!$A$2:$A$1201,INDEX(_LEITURA!$P$2:$P$21,14),DECKS!$B$2:$B$1201,$A782))</f>
        <v/>
      </c>
      <c r="Y782" s="19" t="str">
        <f aca="false">IF(OR($A782="",INDEX(_LEITURA!$Q$2:$Q$21,15)=0),"",SUMIFS(DECKS!$D$2:$D$1201,DECKS!$A$2:$A$1201,INDEX(_LEITURA!$P$2:$P$21,15),DECKS!$B$2:$B$1201,$A782))</f>
        <v/>
      </c>
      <c r="Z782" s="19" t="str">
        <f aca="false">IF(OR($A782="",INDEX(_LEITURA!$Q$2:$Q$21,16)=0),"",SUMIFS(DECKS!$D$2:$D$1201,DECKS!$A$2:$A$1201,INDEX(_LEITURA!$P$2:$P$21,16),DECKS!$B$2:$B$1201,$A782))</f>
        <v/>
      </c>
      <c r="AA782" s="19" t="str">
        <f aca="false">IF(OR($A782="",INDEX(_LEITURA!$Q$2:$Q$21,17)=0),"",SUMIFS(DECKS!$D$2:$D$1201,DECKS!$A$2:$A$1201,INDEX(_LEITURA!$P$2:$P$21,17),DECKS!$B$2:$B$1201,$A782))</f>
        <v/>
      </c>
      <c r="AB782" s="19" t="str">
        <f aca="false">IF(OR($A782="",INDEX(_LEITURA!$Q$2:$Q$21,18)=0),"",SUMIFS(DECKS!$D$2:$D$1201,DECKS!$A$2:$A$1201,INDEX(_LEITURA!$P$2:$P$21,18),DECKS!$B$2:$B$1201,$A782))</f>
        <v/>
      </c>
      <c r="AC782" s="19" t="str">
        <f aca="false">IF(OR($A782="",INDEX(_LEITURA!$Q$2:$Q$21,19)=0),"",SUMIFS(DECKS!$D$2:$D$1201,DECKS!$A$2:$A$1201,INDEX(_LEITURA!$P$2:$P$21,19),DECKS!$B$2:$B$1201,$A782))</f>
        <v/>
      </c>
      <c r="AD782" s="19" t="str">
        <f aca="false">IF(OR($A782="",INDEX(_LEITURA!$Q$2:$Q$21,20)=0),"",SUMIFS(DECKS!$D$2:$D$1201,DECKS!$A$2:$A$1201,INDEX(_LEITURA!$P$2:$P$21,20),DECKS!$B$2:$B$1201,$A782))</f>
        <v/>
      </c>
      <c r="AE782" s="16" t="str">
        <f aca="false">IF(N(E782)&gt;0,MAX(AE$1:AE781)+1,"")</f>
        <v/>
      </c>
      <c r="AF782" s="11" t="str">
        <f aca="false">IF(A782="","",IFERROR(LEFT(A782,FIND("-",A782)-1),A782))</f>
        <v/>
      </c>
      <c r="AG782" s="11" t="str">
        <f aca="false">IF(AF782="","",IF(ISNUMBER(--MID(AF782,1,1)),0,IF(ISNUMBER(--MID(AF782,2,1)),1,IF(ISNUMBER(--MID(AF782,3,1)),2,IF(ISNUMBER(--MID(AF782,4,1)),3,MIN(LEN(AF782),4))))))</f>
        <v/>
      </c>
      <c r="AH782" s="11" t="str">
        <f aca="false">IF(A782="","",LEFT(AF782,AG782)&amp;REPT("0",4-AG782)&amp;RIGHT("000"&amp;IFERROR(VALUE(MID(AF782,AG782+1,9)),0),3)&amp;RIGHT("0000"&amp;IFERROR(VALUE(MID(A782,FIND("-",A782)+1,9)),0),4))</f>
        <v/>
      </c>
      <c r="AI782" s="11" t="str">
        <f aca="false">IF(OR(A782="",N(E782)&lt;=0),"",IF('FALTAS GERAL'!$M$1="Código","K"&amp;AH782&amp;RIGHT("00000"&amp;ROW(),5),IF('FALTAS GERAL'!$M$1="Nome","K"&amp;UPPER(SUBSTITUTE(SUBSTITUTE(SUBSTITUTE(B782,"*",""),"?",""),"~",""))&amp;"0"&amp;AH782&amp;RIGHT("00000"&amp;ROW(),5),IF('FALTAS GERAL'!$M$1="Falta (maior primeiro)","K"&amp;RIGHT("0000"&amp;(9999-E782),4)&amp;AH782&amp;RIGHT("00000"&amp;ROW(),5),IF('FALTAS GERAL'!$M$1="Nº de decks (maior primeiro)","K"&amp;RIGHT("00"&amp;(99-N(G782)),2)&amp;AH782&amp;RIGHT("00000"&amp;ROW(),5),"K"&amp;RIGHT("00000"&amp;ROW(),5))))))</f>
        <v/>
      </c>
      <c r="AJ782" s="11" t="str">
        <f aca="false">IF(AI782="","",COUNTIFS($AI$2:$AI$801,"&lt;"&amp;AI782,$E$2:$E$801,"&gt;0")+1)</f>
        <v/>
      </c>
      <c r="AK782" s="11" t="str">
        <f aca="false">IF(OR(A782="",N(E782)&lt;=0),"",COUNTIFS($AH$2:$AH$801,"&lt;"&amp;AH782,$E$2:$E$801,"&gt;0")+COUNTIFS($AH$2:AH782,AH782,$E$2:E782,"&gt;0"))</f>
        <v/>
      </c>
    </row>
    <row r="783" customFormat="false" ht="15" hidden="false" customHeight="false" outlineLevel="0" collapsed="false">
      <c r="A783" s="11" t="str">
        <f aca="false">IF(INVENTÁRIO!A783="","",INVENTÁRIO!A783)</f>
        <v/>
      </c>
      <c r="B783" s="11" t="str">
        <f aca="false">IF(A783="","",INVENTÁRIO!B783)</f>
        <v/>
      </c>
      <c r="C783" s="16" t="str">
        <f aca="false">IF(A783="","",INVENTÁRIO!C783)</f>
        <v/>
      </c>
      <c r="D783" s="14" t="str">
        <f aca="false">IF(A783="","",MAX(K783:AD783))</f>
        <v/>
      </c>
      <c r="E783" s="14" t="str">
        <f aca="false">IF(A783="","",MAX(0,D783-C783))</f>
        <v/>
      </c>
      <c r="F783" s="16" t="str">
        <f aca="false">IF(A783="","",IF(D783=0,"Fora dos decks",IF(E783=0,"Completo","Falta")))</f>
        <v/>
      </c>
      <c r="G783" s="16" t="str">
        <f aca="false">IF(A783="","",COUNTIF(K783:AD783,"&gt;0"))</f>
        <v/>
      </c>
      <c r="H783" s="16" t="str">
        <f aca="false">IF(A783="","",IF(G783&gt;1,"Sim",""))</f>
        <v/>
      </c>
      <c r="I783" s="18" t="str">
        <f aca="false">IF(A783="","",SUMIFS(DECKS!$D$2:$D$1201,DECKS!$B$2:$B$1201,A783))</f>
        <v/>
      </c>
      <c r="J783" s="18" t="str">
        <f aca="false">IF(A783="","",MAX(0,I783-C783))</f>
        <v/>
      </c>
      <c r="K783" s="19" t="str">
        <f aca="false">IF(OR($A783="",INDEX(_LEITURA!$Q$2:$Q$21,1)=0),"",SUMIFS(DECKS!$D$2:$D$1201,DECKS!$A$2:$A$1201,INDEX(_LEITURA!$P$2:$P$21,1),DECKS!$B$2:$B$1201,$A783))</f>
        <v/>
      </c>
      <c r="L783" s="19" t="str">
        <f aca="false">IF(OR($A783="",INDEX(_LEITURA!$Q$2:$Q$21,2)=0),"",SUMIFS(DECKS!$D$2:$D$1201,DECKS!$A$2:$A$1201,INDEX(_LEITURA!$P$2:$P$21,2),DECKS!$B$2:$B$1201,$A783))</f>
        <v/>
      </c>
      <c r="M783" s="19" t="str">
        <f aca="false">IF(OR($A783="",INDEX(_LEITURA!$Q$2:$Q$21,3)=0),"",SUMIFS(DECKS!$D$2:$D$1201,DECKS!$A$2:$A$1201,INDEX(_LEITURA!$P$2:$P$21,3),DECKS!$B$2:$B$1201,$A783))</f>
        <v/>
      </c>
      <c r="N783" s="19" t="str">
        <f aca="false">IF(OR($A783="",INDEX(_LEITURA!$Q$2:$Q$21,4)=0),"",SUMIFS(DECKS!$D$2:$D$1201,DECKS!$A$2:$A$1201,INDEX(_LEITURA!$P$2:$P$21,4),DECKS!$B$2:$B$1201,$A783))</f>
        <v/>
      </c>
      <c r="O783" s="19" t="str">
        <f aca="false">IF(OR($A783="",INDEX(_LEITURA!$Q$2:$Q$21,5)=0),"",SUMIFS(DECKS!$D$2:$D$1201,DECKS!$A$2:$A$1201,INDEX(_LEITURA!$P$2:$P$21,5),DECKS!$B$2:$B$1201,$A783))</f>
        <v/>
      </c>
      <c r="P783" s="19" t="str">
        <f aca="false">IF(OR($A783="",INDEX(_LEITURA!$Q$2:$Q$21,6)=0),"",SUMIFS(DECKS!$D$2:$D$1201,DECKS!$A$2:$A$1201,INDEX(_LEITURA!$P$2:$P$21,6),DECKS!$B$2:$B$1201,$A783))</f>
        <v/>
      </c>
      <c r="Q783" s="19" t="str">
        <f aca="false">IF(OR($A783="",INDEX(_LEITURA!$Q$2:$Q$21,7)=0),"",SUMIFS(DECKS!$D$2:$D$1201,DECKS!$A$2:$A$1201,INDEX(_LEITURA!$P$2:$P$21,7),DECKS!$B$2:$B$1201,$A783))</f>
        <v/>
      </c>
      <c r="R783" s="19" t="str">
        <f aca="false">IF(OR($A783="",INDEX(_LEITURA!$Q$2:$Q$21,8)=0),"",SUMIFS(DECKS!$D$2:$D$1201,DECKS!$A$2:$A$1201,INDEX(_LEITURA!$P$2:$P$21,8),DECKS!$B$2:$B$1201,$A783))</f>
        <v/>
      </c>
      <c r="S783" s="19" t="str">
        <f aca="false">IF(OR($A783="",INDEX(_LEITURA!$Q$2:$Q$21,9)=0),"",SUMIFS(DECKS!$D$2:$D$1201,DECKS!$A$2:$A$1201,INDEX(_LEITURA!$P$2:$P$21,9),DECKS!$B$2:$B$1201,$A783))</f>
        <v/>
      </c>
      <c r="T783" s="19" t="str">
        <f aca="false">IF(OR($A783="",INDEX(_LEITURA!$Q$2:$Q$21,10)=0),"",SUMIFS(DECKS!$D$2:$D$1201,DECKS!$A$2:$A$1201,INDEX(_LEITURA!$P$2:$P$21,10),DECKS!$B$2:$B$1201,$A783))</f>
        <v/>
      </c>
      <c r="U783" s="19" t="str">
        <f aca="false">IF(OR($A783="",INDEX(_LEITURA!$Q$2:$Q$21,11)=0),"",SUMIFS(DECKS!$D$2:$D$1201,DECKS!$A$2:$A$1201,INDEX(_LEITURA!$P$2:$P$21,11),DECKS!$B$2:$B$1201,$A783))</f>
        <v/>
      </c>
      <c r="V783" s="19" t="str">
        <f aca="false">IF(OR($A783="",INDEX(_LEITURA!$Q$2:$Q$21,12)=0),"",SUMIFS(DECKS!$D$2:$D$1201,DECKS!$A$2:$A$1201,INDEX(_LEITURA!$P$2:$P$21,12),DECKS!$B$2:$B$1201,$A783))</f>
        <v/>
      </c>
      <c r="W783" s="19" t="str">
        <f aca="false">IF(OR($A783="",INDEX(_LEITURA!$Q$2:$Q$21,13)=0),"",SUMIFS(DECKS!$D$2:$D$1201,DECKS!$A$2:$A$1201,INDEX(_LEITURA!$P$2:$P$21,13),DECKS!$B$2:$B$1201,$A783))</f>
        <v/>
      </c>
      <c r="X783" s="19" t="str">
        <f aca="false">IF(OR($A783="",INDEX(_LEITURA!$Q$2:$Q$21,14)=0),"",SUMIFS(DECKS!$D$2:$D$1201,DECKS!$A$2:$A$1201,INDEX(_LEITURA!$P$2:$P$21,14),DECKS!$B$2:$B$1201,$A783))</f>
        <v/>
      </c>
      <c r="Y783" s="19" t="str">
        <f aca="false">IF(OR($A783="",INDEX(_LEITURA!$Q$2:$Q$21,15)=0),"",SUMIFS(DECKS!$D$2:$D$1201,DECKS!$A$2:$A$1201,INDEX(_LEITURA!$P$2:$P$21,15),DECKS!$B$2:$B$1201,$A783))</f>
        <v/>
      </c>
      <c r="Z783" s="19" t="str">
        <f aca="false">IF(OR($A783="",INDEX(_LEITURA!$Q$2:$Q$21,16)=0),"",SUMIFS(DECKS!$D$2:$D$1201,DECKS!$A$2:$A$1201,INDEX(_LEITURA!$P$2:$P$21,16),DECKS!$B$2:$B$1201,$A783))</f>
        <v/>
      </c>
      <c r="AA783" s="19" t="str">
        <f aca="false">IF(OR($A783="",INDEX(_LEITURA!$Q$2:$Q$21,17)=0),"",SUMIFS(DECKS!$D$2:$D$1201,DECKS!$A$2:$A$1201,INDEX(_LEITURA!$P$2:$P$21,17),DECKS!$B$2:$B$1201,$A783))</f>
        <v/>
      </c>
      <c r="AB783" s="19" t="str">
        <f aca="false">IF(OR($A783="",INDEX(_LEITURA!$Q$2:$Q$21,18)=0),"",SUMIFS(DECKS!$D$2:$D$1201,DECKS!$A$2:$A$1201,INDEX(_LEITURA!$P$2:$P$21,18),DECKS!$B$2:$B$1201,$A783))</f>
        <v/>
      </c>
      <c r="AC783" s="19" t="str">
        <f aca="false">IF(OR($A783="",INDEX(_LEITURA!$Q$2:$Q$21,19)=0),"",SUMIFS(DECKS!$D$2:$D$1201,DECKS!$A$2:$A$1201,INDEX(_LEITURA!$P$2:$P$21,19),DECKS!$B$2:$B$1201,$A783))</f>
        <v/>
      </c>
      <c r="AD783" s="19" t="str">
        <f aca="false">IF(OR($A783="",INDEX(_LEITURA!$Q$2:$Q$21,20)=0),"",SUMIFS(DECKS!$D$2:$D$1201,DECKS!$A$2:$A$1201,INDEX(_LEITURA!$P$2:$P$21,20),DECKS!$B$2:$B$1201,$A783))</f>
        <v/>
      </c>
      <c r="AE783" s="16" t="str">
        <f aca="false">IF(N(E783)&gt;0,MAX(AE$1:AE782)+1,"")</f>
        <v/>
      </c>
      <c r="AF783" s="11" t="str">
        <f aca="false">IF(A783="","",IFERROR(LEFT(A783,FIND("-",A783)-1),A783))</f>
        <v/>
      </c>
      <c r="AG783" s="11" t="str">
        <f aca="false">IF(AF783="","",IF(ISNUMBER(--MID(AF783,1,1)),0,IF(ISNUMBER(--MID(AF783,2,1)),1,IF(ISNUMBER(--MID(AF783,3,1)),2,IF(ISNUMBER(--MID(AF783,4,1)),3,MIN(LEN(AF783),4))))))</f>
        <v/>
      </c>
      <c r="AH783" s="11" t="str">
        <f aca="false">IF(A783="","",LEFT(AF783,AG783)&amp;REPT("0",4-AG783)&amp;RIGHT("000"&amp;IFERROR(VALUE(MID(AF783,AG783+1,9)),0),3)&amp;RIGHT("0000"&amp;IFERROR(VALUE(MID(A783,FIND("-",A783)+1,9)),0),4))</f>
        <v/>
      </c>
      <c r="AI783" s="11" t="str">
        <f aca="false">IF(OR(A783="",N(E783)&lt;=0),"",IF('FALTAS GERAL'!$M$1="Código","K"&amp;AH783&amp;RIGHT("00000"&amp;ROW(),5),IF('FALTAS GERAL'!$M$1="Nome","K"&amp;UPPER(SUBSTITUTE(SUBSTITUTE(SUBSTITUTE(B783,"*",""),"?",""),"~",""))&amp;"0"&amp;AH783&amp;RIGHT("00000"&amp;ROW(),5),IF('FALTAS GERAL'!$M$1="Falta (maior primeiro)","K"&amp;RIGHT("0000"&amp;(9999-E783),4)&amp;AH783&amp;RIGHT("00000"&amp;ROW(),5),IF('FALTAS GERAL'!$M$1="Nº de decks (maior primeiro)","K"&amp;RIGHT("00"&amp;(99-N(G783)),2)&amp;AH783&amp;RIGHT("00000"&amp;ROW(),5),"K"&amp;RIGHT("00000"&amp;ROW(),5))))))</f>
        <v/>
      </c>
      <c r="AJ783" s="11" t="str">
        <f aca="false">IF(AI783="","",COUNTIFS($AI$2:$AI$801,"&lt;"&amp;AI783,$E$2:$E$801,"&gt;0")+1)</f>
        <v/>
      </c>
      <c r="AK783" s="11" t="str">
        <f aca="false">IF(OR(A783="",N(E783)&lt;=0),"",COUNTIFS($AH$2:$AH$801,"&lt;"&amp;AH783,$E$2:$E$801,"&gt;0")+COUNTIFS($AH$2:AH783,AH783,$E$2:E783,"&gt;0"))</f>
        <v/>
      </c>
    </row>
    <row r="784" customFormat="false" ht="15" hidden="false" customHeight="false" outlineLevel="0" collapsed="false">
      <c r="A784" s="11" t="str">
        <f aca="false">IF(INVENTÁRIO!A784="","",INVENTÁRIO!A784)</f>
        <v/>
      </c>
      <c r="B784" s="11" t="str">
        <f aca="false">IF(A784="","",INVENTÁRIO!B784)</f>
        <v/>
      </c>
      <c r="C784" s="16" t="str">
        <f aca="false">IF(A784="","",INVENTÁRIO!C784)</f>
        <v/>
      </c>
      <c r="D784" s="14" t="str">
        <f aca="false">IF(A784="","",MAX(K784:AD784))</f>
        <v/>
      </c>
      <c r="E784" s="14" t="str">
        <f aca="false">IF(A784="","",MAX(0,D784-C784))</f>
        <v/>
      </c>
      <c r="F784" s="16" t="str">
        <f aca="false">IF(A784="","",IF(D784=0,"Fora dos decks",IF(E784=0,"Completo","Falta")))</f>
        <v/>
      </c>
      <c r="G784" s="16" t="str">
        <f aca="false">IF(A784="","",COUNTIF(K784:AD784,"&gt;0"))</f>
        <v/>
      </c>
      <c r="H784" s="16" t="str">
        <f aca="false">IF(A784="","",IF(G784&gt;1,"Sim",""))</f>
        <v/>
      </c>
      <c r="I784" s="18" t="str">
        <f aca="false">IF(A784="","",SUMIFS(DECKS!$D$2:$D$1201,DECKS!$B$2:$B$1201,A784))</f>
        <v/>
      </c>
      <c r="J784" s="18" t="str">
        <f aca="false">IF(A784="","",MAX(0,I784-C784))</f>
        <v/>
      </c>
      <c r="K784" s="19" t="str">
        <f aca="false">IF(OR($A784="",INDEX(_LEITURA!$Q$2:$Q$21,1)=0),"",SUMIFS(DECKS!$D$2:$D$1201,DECKS!$A$2:$A$1201,INDEX(_LEITURA!$P$2:$P$21,1),DECKS!$B$2:$B$1201,$A784))</f>
        <v/>
      </c>
      <c r="L784" s="19" t="str">
        <f aca="false">IF(OR($A784="",INDEX(_LEITURA!$Q$2:$Q$21,2)=0),"",SUMIFS(DECKS!$D$2:$D$1201,DECKS!$A$2:$A$1201,INDEX(_LEITURA!$P$2:$P$21,2),DECKS!$B$2:$B$1201,$A784))</f>
        <v/>
      </c>
      <c r="M784" s="19" t="str">
        <f aca="false">IF(OR($A784="",INDEX(_LEITURA!$Q$2:$Q$21,3)=0),"",SUMIFS(DECKS!$D$2:$D$1201,DECKS!$A$2:$A$1201,INDEX(_LEITURA!$P$2:$P$21,3),DECKS!$B$2:$B$1201,$A784))</f>
        <v/>
      </c>
      <c r="N784" s="19" t="str">
        <f aca="false">IF(OR($A784="",INDEX(_LEITURA!$Q$2:$Q$21,4)=0),"",SUMIFS(DECKS!$D$2:$D$1201,DECKS!$A$2:$A$1201,INDEX(_LEITURA!$P$2:$P$21,4),DECKS!$B$2:$B$1201,$A784))</f>
        <v/>
      </c>
      <c r="O784" s="19" t="str">
        <f aca="false">IF(OR($A784="",INDEX(_LEITURA!$Q$2:$Q$21,5)=0),"",SUMIFS(DECKS!$D$2:$D$1201,DECKS!$A$2:$A$1201,INDEX(_LEITURA!$P$2:$P$21,5),DECKS!$B$2:$B$1201,$A784))</f>
        <v/>
      </c>
      <c r="P784" s="19" t="str">
        <f aca="false">IF(OR($A784="",INDEX(_LEITURA!$Q$2:$Q$21,6)=0),"",SUMIFS(DECKS!$D$2:$D$1201,DECKS!$A$2:$A$1201,INDEX(_LEITURA!$P$2:$P$21,6),DECKS!$B$2:$B$1201,$A784))</f>
        <v/>
      </c>
      <c r="Q784" s="19" t="str">
        <f aca="false">IF(OR($A784="",INDEX(_LEITURA!$Q$2:$Q$21,7)=0),"",SUMIFS(DECKS!$D$2:$D$1201,DECKS!$A$2:$A$1201,INDEX(_LEITURA!$P$2:$P$21,7),DECKS!$B$2:$B$1201,$A784))</f>
        <v/>
      </c>
      <c r="R784" s="19" t="str">
        <f aca="false">IF(OR($A784="",INDEX(_LEITURA!$Q$2:$Q$21,8)=0),"",SUMIFS(DECKS!$D$2:$D$1201,DECKS!$A$2:$A$1201,INDEX(_LEITURA!$P$2:$P$21,8),DECKS!$B$2:$B$1201,$A784))</f>
        <v/>
      </c>
      <c r="S784" s="19" t="str">
        <f aca="false">IF(OR($A784="",INDEX(_LEITURA!$Q$2:$Q$21,9)=0),"",SUMIFS(DECKS!$D$2:$D$1201,DECKS!$A$2:$A$1201,INDEX(_LEITURA!$P$2:$P$21,9),DECKS!$B$2:$B$1201,$A784))</f>
        <v/>
      </c>
      <c r="T784" s="19" t="str">
        <f aca="false">IF(OR($A784="",INDEX(_LEITURA!$Q$2:$Q$21,10)=0),"",SUMIFS(DECKS!$D$2:$D$1201,DECKS!$A$2:$A$1201,INDEX(_LEITURA!$P$2:$P$21,10),DECKS!$B$2:$B$1201,$A784))</f>
        <v/>
      </c>
      <c r="U784" s="19" t="str">
        <f aca="false">IF(OR($A784="",INDEX(_LEITURA!$Q$2:$Q$21,11)=0),"",SUMIFS(DECKS!$D$2:$D$1201,DECKS!$A$2:$A$1201,INDEX(_LEITURA!$P$2:$P$21,11),DECKS!$B$2:$B$1201,$A784))</f>
        <v/>
      </c>
      <c r="V784" s="19" t="str">
        <f aca="false">IF(OR($A784="",INDEX(_LEITURA!$Q$2:$Q$21,12)=0),"",SUMIFS(DECKS!$D$2:$D$1201,DECKS!$A$2:$A$1201,INDEX(_LEITURA!$P$2:$P$21,12),DECKS!$B$2:$B$1201,$A784))</f>
        <v/>
      </c>
      <c r="W784" s="19" t="str">
        <f aca="false">IF(OR($A784="",INDEX(_LEITURA!$Q$2:$Q$21,13)=0),"",SUMIFS(DECKS!$D$2:$D$1201,DECKS!$A$2:$A$1201,INDEX(_LEITURA!$P$2:$P$21,13),DECKS!$B$2:$B$1201,$A784))</f>
        <v/>
      </c>
      <c r="X784" s="19" t="str">
        <f aca="false">IF(OR($A784="",INDEX(_LEITURA!$Q$2:$Q$21,14)=0),"",SUMIFS(DECKS!$D$2:$D$1201,DECKS!$A$2:$A$1201,INDEX(_LEITURA!$P$2:$P$21,14),DECKS!$B$2:$B$1201,$A784))</f>
        <v/>
      </c>
      <c r="Y784" s="19" t="str">
        <f aca="false">IF(OR($A784="",INDEX(_LEITURA!$Q$2:$Q$21,15)=0),"",SUMIFS(DECKS!$D$2:$D$1201,DECKS!$A$2:$A$1201,INDEX(_LEITURA!$P$2:$P$21,15),DECKS!$B$2:$B$1201,$A784))</f>
        <v/>
      </c>
      <c r="Z784" s="19" t="str">
        <f aca="false">IF(OR($A784="",INDEX(_LEITURA!$Q$2:$Q$21,16)=0),"",SUMIFS(DECKS!$D$2:$D$1201,DECKS!$A$2:$A$1201,INDEX(_LEITURA!$P$2:$P$21,16),DECKS!$B$2:$B$1201,$A784))</f>
        <v/>
      </c>
      <c r="AA784" s="19" t="str">
        <f aca="false">IF(OR($A784="",INDEX(_LEITURA!$Q$2:$Q$21,17)=0),"",SUMIFS(DECKS!$D$2:$D$1201,DECKS!$A$2:$A$1201,INDEX(_LEITURA!$P$2:$P$21,17),DECKS!$B$2:$B$1201,$A784))</f>
        <v/>
      </c>
      <c r="AB784" s="19" t="str">
        <f aca="false">IF(OR($A784="",INDEX(_LEITURA!$Q$2:$Q$21,18)=0),"",SUMIFS(DECKS!$D$2:$D$1201,DECKS!$A$2:$A$1201,INDEX(_LEITURA!$P$2:$P$21,18),DECKS!$B$2:$B$1201,$A784))</f>
        <v/>
      </c>
      <c r="AC784" s="19" t="str">
        <f aca="false">IF(OR($A784="",INDEX(_LEITURA!$Q$2:$Q$21,19)=0),"",SUMIFS(DECKS!$D$2:$D$1201,DECKS!$A$2:$A$1201,INDEX(_LEITURA!$P$2:$P$21,19),DECKS!$B$2:$B$1201,$A784))</f>
        <v/>
      </c>
      <c r="AD784" s="19" t="str">
        <f aca="false">IF(OR($A784="",INDEX(_LEITURA!$Q$2:$Q$21,20)=0),"",SUMIFS(DECKS!$D$2:$D$1201,DECKS!$A$2:$A$1201,INDEX(_LEITURA!$P$2:$P$21,20),DECKS!$B$2:$B$1201,$A784))</f>
        <v/>
      </c>
      <c r="AE784" s="16" t="str">
        <f aca="false">IF(N(E784)&gt;0,MAX(AE$1:AE783)+1,"")</f>
        <v/>
      </c>
      <c r="AF784" s="11" t="str">
        <f aca="false">IF(A784="","",IFERROR(LEFT(A784,FIND("-",A784)-1),A784))</f>
        <v/>
      </c>
      <c r="AG784" s="11" t="str">
        <f aca="false">IF(AF784="","",IF(ISNUMBER(--MID(AF784,1,1)),0,IF(ISNUMBER(--MID(AF784,2,1)),1,IF(ISNUMBER(--MID(AF784,3,1)),2,IF(ISNUMBER(--MID(AF784,4,1)),3,MIN(LEN(AF784),4))))))</f>
        <v/>
      </c>
      <c r="AH784" s="11" t="str">
        <f aca="false">IF(A784="","",LEFT(AF784,AG784)&amp;REPT("0",4-AG784)&amp;RIGHT("000"&amp;IFERROR(VALUE(MID(AF784,AG784+1,9)),0),3)&amp;RIGHT("0000"&amp;IFERROR(VALUE(MID(A784,FIND("-",A784)+1,9)),0),4))</f>
        <v/>
      </c>
      <c r="AI784" s="11" t="str">
        <f aca="false">IF(OR(A784="",N(E784)&lt;=0),"",IF('FALTAS GERAL'!$M$1="Código","K"&amp;AH784&amp;RIGHT("00000"&amp;ROW(),5),IF('FALTAS GERAL'!$M$1="Nome","K"&amp;UPPER(SUBSTITUTE(SUBSTITUTE(SUBSTITUTE(B784,"*",""),"?",""),"~",""))&amp;"0"&amp;AH784&amp;RIGHT("00000"&amp;ROW(),5),IF('FALTAS GERAL'!$M$1="Falta (maior primeiro)","K"&amp;RIGHT("0000"&amp;(9999-E784),4)&amp;AH784&amp;RIGHT("00000"&amp;ROW(),5),IF('FALTAS GERAL'!$M$1="Nº de decks (maior primeiro)","K"&amp;RIGHT("00"&amp;(99-N(G784)),2)&amp;AH784&amp;RIGHT("00000"&amp;ROW(),5),"K"&amp;RIGHT("00000"&amp;ROW(),5))))))</f>
        <v/>
      </c>
      <c r="AJ784" s="11" t="str">
        <f aca="false">IF(AI784="","",COUNTIFS($AI$2:$AI$801,"&lt;"&amp;AI784,$E$2:$E$801,"&gt;0")+1)</f>
        <v/>
      </c>
      <c r="AK784" s="11" t="str">
        <f aca="false">IF(OR(A784="",N(E784)&lt;=0),"",COUNTIFS($AH$2:$AH$801,"&lt;"&amp;AH784,$E$2:$E$801,"&gt;0")+COUNTIFS($AH$2:AH784,AH784,$E$2:E784,"&gt;0"))</f>
        <v/>
      </c>
    </row>
    <row r="785" customFormat="false" ht="15" hidden="false" customHeight="false" outlineLevel="0" collapsed="false">
      <c r="A785" s="11" t="str">
        <f aca="false">IF(INVENTÁRIO!A785="","",INVENTÁRIO!A785)</f>
        <v/>
      </c>
      <c r="B785" s="11" t="str">
        <f aca="false">IF(A785="","",INVENTÁRIO!B785)</f>
        <v/>
      </c>
      <c r="C785" s="16" t="str">
        <f aca="false">IF(A785="","",INVENTÁRIO!C785)</f>
        <v/>
      </c>
      <c r="D785" s="14" t="str">
        <f aca="false">IF(A785="","",MAX(K785:AD785))</f>
        <v/>
      </c>
      <c r="E785" s="14" t="str">
        <f aca="false">IF(A785="","",MAX(0,D785-C785))</f>
        <v/>
      </c>
      <c r="F785" s="16" t="str">
        <f aca="false">IF(A785="","",IF(D785=0,"Fora dos decks",IF(E785=0,"Completo","Falta")))</f>
        <v/>
      </c>
      <c r="G785" s="16" t="str">
        <f aca="false">IF(A785="","",COUNTIF(K785:AD785,"&gt;0"))</f>
        <v/>
      </c>
      <c r="H785" s="16" t="str">
        <f aca="false">IF(A785="","",IF(G785&gt;1,"Sim",""))</f>
        <v/>
      </c>
      <c r="I785" s="18" t="str">
        <f aca="false">IF(A785="","",SUMIFS(DECKS!$D$2:$D$1201,DECKS!$B$2:$B$1201,A785))</f>
        <v/>
      </c>
      <c r="J785" s="18" t="str">
        <f aca="false">IF(A785="","",MAX(0,I785-C785))</f>
        <v/>
      </c>
      <c r="K785" s="19" t="str">
        <f aca="false">IF(OR($A785="",INDEX(_LEITURA!$Q$2:$Q$21,1)=0),"",SUMIFS(DECKS!$D$2:$D$1201,DECKS!$A$2:$A$1201,INDEX(_LEITURA!$P$2:$P$21,1),DECKS!$B$2:$B$1201,$A785))</f>
        <v/>
      </c>
      <c r="L785" s="19" t="str">
        <f aca="false">IF(OR($A785="",INDEX(_LEITURA!$Q$2:$Q$21,2)=0),"",SUMIFS(DECKS!$D$2:$D$1201,DECKS!$A$2:$A$1201,INDEX(_LEITURA!$P$2:$P$21,2),DECKS!$B$2:$B$1201,$A785))</f>
        <v/>
      </c>
      <c r="M785" s="19" t="str">
        <f aca="false">IF(OR($A785="",INDEX(_LEITURA!$Q$2:$Q$21,3)=0),"",SUMIFS(DECKS!$D$2:$D$1201,DECKS!$A$2:$A$1201,INDEX(_LEITURA!$P$2:$P$21,3),DECKS!$B$2:$B$1201,$A785))</f>
        <v/>
      </c>
      <c r="N785" s="19" t="str">
        <f aca="false">IF(OR($A785="",INDEX(_LEITURA!$Q$2:$Q$21,4)=0),"",SUMIFS(DECKS!$D$2:$D$1201,DECKS!$A$2:$A$1201,INDEX(_LEITURA!$P$2:$P$21,4),DECKS!$B$2:$B$1201,$A785))</f>
        <v/>
      </c>
      <c r="O785" s="19" t="str">
        <f aca="false">IF(OR($A785="",INDEX(_LEITURA!$Q$2:$Q$21,5)=0),"",SUMIFS(DECKS!$D$2:$D$1201,DECKS!$A$2:$A$1201,INDEX(_LEITURA!$P$2:$P$21,5),DECKS!$B$2:$B$1201,$A785))</f>
        <v/>
      </c>
      <c r="P785" s="19" t="str">
        <f aca="false">IF(OR($A785="",INDEX(_LEITURA!$Q$2:$Q$21,6)=0),"",SUMIFS(DECKS!$D$2:$D$1201,DECKS!$A$2:$A$1201,INDEX(_LEITURA!$P$2:$P$21,6),DECKS!$B$2:$B$1201,$A785))</f>
        <v/>
      </c>
      <c r="Q785" s="19" t="str">
        <f aca="false">IF(OR($A785="",INDEX(_LEITURA!$Q$2:$Q$21,7)=0),"",SUMIFS(DECKS!$D$2:$D$1201,DECKS!$A$2:$A$1201,INDEX(_LEITURA!$P$2:$P$21,7),DECKS!$B$2:$B$1201,$A785))</f>
        <v/>
      </c>
      <c r="R785" s="19" t="str">
        <f aca="false">IF(OR($A785="",INDEX(_LEITURA!$Q$2:$Q$21,8)=0),"",SUMIFS(DECKS!$D$2:$D$1201,DECKS!$A$2:$A$1201,INDEX(_LEITURA!$P$2:$P$21,8),DECKS!$B$2:$B$1201,$A785))</f>
        <v/>
      </c>
      <c r="S785" s="19" t="str">
        <f aca="false">IF(OR($A785="",INDEX(_LEITURA!$Q$2:$Q$21,9)=0),"",SUMIFS(DECKS!$D$2:$D$1201,DECKS!$A$2:$A$1201,INDEX(_LEITURA!$P$2:$P$21,9),DECKS!$B$2:$B$1201,$A785))</f>
        <v/>
      </c>
      <c r="T785" s="19" t="str">
        <f aca="false">IF(OR($A785="",INDEX(_LEITURA!$Q$2:$Q$21,10)=0),"",SUMIFS(DECKS!$D$2:$D$1201,DECKS!$A$2:$A$1201,INDEX(_LEITURA!$P$2:$P$21,10),DECKS!$B$2:$B$1201,$A785))</f>
        <v/>
      </c>
      <c r="U785" s="19" t="str">
        <f aca="false">IF(OR($A785="",INDEX(_LEITURA!$Q$2:$Q$21,11)=0),"",SUMIFS(DECKS!$D$2:$D$1201,DECKS!$A$2:$A$1201,INDEX(_LEITURA!$P$2:$P$21,11),DECKS!$B$2:$B$1201,$A785))</f>
        <v/>
      </c>
      <c r="V785" s="19" t="str">
        <f aca="false">IF(OR($A785="",INDEX(_LEITURA!$Q$2:$Q$21,12)=0),"",SUMIFS(DECKS!$D$2:$D$1201,DECKS!$A$2:$A$1201,INDEX(_LEITURA!$P$2:$P$21,12),DECKS!$B$2:$B$1201,$A785))</f>
        <v/>
      </c>
      <c r="W785" s="19" t="str">
        <f aca="false">IF(OR($A785="",INDEX(_LEITURA!$Q$2:$Q$21,13)=0),"",SUMIFS(DECKS!$D$2:$D$1201,DECKS!$A$2:$A$1201,INDEX(_LEITURA!$P$2:$P$21,13),DECKS!$B$2:$B$1201,$A785))</f>
        <v/>
      </c>
      <c r="X785" s="19" t="str">
        <f aca="false">IF(OR($A785="",INDEX(_LEITURA!$Q$2:$Q$21,14)=0),"",SUMIFS(DECKS!$D$2:$D$1201,DECKS!$A$2:$A$1201,INDEX(_LEITURA!$P$2:$P$21,14),DECKS!$B$2:$B$1201,$A785))</f>
        <v/>
      </c>
      <c r="Y785" s="19" t="str">
        <f aca="false">IF(OR($A785="",INDEX(_LEITURA!$Q$2:$Q$21,15)=0),"",SUMIFS(DECKS!$D$2:$D$1201,DECKS!$A$2:$A$1201,INDEX(_LEITURA!$P$2:$P$21,15),DECKS!$B$2:$B$1201,$A785))</f>
        <v/>
      </c>
      <c r="Z785" s="19" t="str">
        <f aca="false">IF(OR($A785="",INDEX(_LEITURA!$Q$2:$Q$21,16)=0),"",SUMIFS(DECKS!$D$2:$D$1201,DECKS!$A$2:$A$1201,INDEX(_LEITURA!$P$2:$P$21,16),DECKS!$B$2:$B$1201,$A785))</f>
        <v/>
      </c>
      <c r="AA785" s="19" t="str">
        <f aca="false">IF(OR($A785="",INDEX(_LEITURA!$Q$2:$Q$21,17)=0),"",SUMIFS(DECKS!$D$2:$D$1201,DECKS!$A$2:$A$1201,INDEX(_LEITURA!$P$2:$P$21,17),DECKS!$B$2:$B$1201,$A785))</f>
        <v/>
      </c>
      <c r="AB785" s="19" t="str">
        <f aca="false">IF(OR($A785="",INDEX(_LEITURA!$Q$2:$Q$21,18)=0),"",SUMIFS(DECKS!$D$2:$D$1201,DECKS!$A$2:$A$1201,INDEX(_LEITURA!$P$2:$P$21,18),DECKS!$B$2:$B$1201,$A785))</f>
        <v/>
      </c>
      <c r="AC785" s="19" t="str">
        <f aca="false">IF(OR($A785="",INDEX(_LEITURA!$Q$2:$Q$21,19)=0),"",SUMIFS(DECKS!$D$2:$D$1201,DECKS!$A$2:$A$1201,INDEX(_LEITURA!$P$2:$P$21,19),DECKS!$B$2:$B$1201,$A785))</f>
        <v/>
      </c>
      <c r="AD785" s="19" t="str">
        <f aca="false">IF(OR($A785="",INDEX(_LEITURA!$Q$2:$Q$21,20)=0),"",SUMIFS(DECKS!$D$2:$D$1201,DECKS!$A$2:$A$1201,INDEX(_LEITURA!$P$2:$P$21,20),DECKS!$B$2:$B$1201,$A785))</f>
        <v/>
      </c>
      <c r="AE785" s="16" t="str">
        <f aca="false">IF(N(E785)&gt;0,MAX(AE$1:AE784)+1,"")</f>
        <v/>
      </c>
      <c r="AF785" s="11" t="str">
        <f aca="false">IF(A785="","",IFERROR(LEFT(A785,FIND("-",A785)-1),A785))</f>
        <v/>
      </c>
      <c r="AG785" s="11" t="str">
        <f aca="false">IF(AF785="","",IF(ISNUMBER(--MID(AF785,1,1)),0,IF(ISNUMBER(--MID(AF785,2,1)),1,IF(ISNUMBER(--MID(AF785,3,1)),2,IF(ISNUMBER(--MID(AF785,4,1)),3,MIN(LEN(AF785),4))))))</f>
        <v/>
      </c>
      <c r="AH785" s="11" t="str">
        <f aca="false">IF(A785="","",LEFT(AF785,AG785)&amp;REPT("0",4-AG785)&amp;RIGHT("000"&amp;IFERROR(VALUE(MID(AF785,AG785+1,9)),0),3)&amp;RIGHT("0000"&amp;IFERROR(VALUE(MID(A785,FIND("-",A785)+1,9)),0),4))</f>
        <v/>
      </c>
      <c r="AI785" s="11" t="str">
        <f aca="false">IF(OR(A785="",N(E785)&lt;=0),"",IF('FALTAS GERAL'!$M$1="Código","K"&amp;AH785&amp;RIGHT("00000"&amp;ROW(),5),IF('FALTAS GERAL'!$M$1="Nome","K"&amp;UPPER(SUBSTITUTE(SUBSTITUTE(SUBSTITUTE(B785,"*",""),"?",""),"~",""))&amp;"0"&amp;AH785&amp;RIGHT("00000"&amp;ROW(),5),IF('FALTAS GERAL'!$M$1="Falta (maior primeiro)","K"&amp;RIGHT("0000"&amp;(9999-E785),4)&amp;AH785&amp;RIGHT("00000"&amp;ROW(),5),IF('FALTAS GERAL'!$M$1="Nº de decks (maior primeiro)","K"&amp;RIGHT("00"&amp;(99-N(G785)),2)&amp;AH785&amp;RIGHT("00000"&amp;ROW(),5),"K"&amp;RIGHT("00000"&amp;ROW(),5))))))</f>
        <v/>
      </c>
      <c r="AJ785" s="11" t="str">
        <f aca="false">IF(AI785="","",COUNTIFS($AI$2:$AI$801,"&lt;"&amp;AI785,$E$2:$E$801,"&gt;0")+1)</f>
        <v/>
      </c>
      <c r="AK785" s="11" t="str">
        <f aca="false">IF(OR(A785="",N(E785)&lt;=0),"",COUNTIFS($AH$2:$AH$801,"&lt;"&amp;AH785,$E$2:$E$801,"&gt;0")+COUNTIFS($AH$2:AH785,AH785,$E$2:E785,"&gt;0"))</f>
        <v/>
      </c>
    </row>
    <row r="786" customFormat="false" ht="15" hidden="false" customHeight="false" outlineLevel="0" collapsed="false">
      <c r="A786" s="11" t="str">
        <f aca="false">IF(INVENTÁRIO!A786="","",INVENTÁRIO!A786)</f>
        <v/>
      </c>
      <c r="B786" s="11" t="str">
        <f aca="false">IF(A786="","",INVENTÁRIO!B786)</f>
        <v/>
      </c>
      <c r="C786" s="16" t="str">
        <f aca="false">IF(A786="","",INVENTÁRIO!C786)</f>
        <v/>
      </c>
      <c r="D786" s="14" t="str">
        <f aca="false">IF(A786="","",MAX(K786:AD786))</f>
        <v/>
      </c>
      <c r="E786" s="14" t="str">
        <f aca="false">IF(A786="","",MAX(0,D786-C786))</f>
        <v/>
      </c>
      <c r="F786" s="16" t="str">
        <f aca="false">IF(A786="","",IF(D786=0,"Fora dos decks",IF(E786=0,"Completo","Falta")))</f>
        <v/>
      </c>
      <c r="G786" s="16" t="str">
        <f aca="false">IF(A786="","",COUNTIF(K786:AD786,"&gt;0"))</f>
        <v/>
      </c>
      <c r="H786" s="16" t="str">
        <f aca="false">IF(A786="","",IF(G786&gt;1,"Sim",""))</f>
        <v/>
      </c>
      <c r="I786" s="18" t="str">
        <f aca="false">IF(A786="","",SUMIFS(DECKS!$D$2:$D$1201,DECKS!$B$2:$B$1201,A786))</f>
        <v/>
      </c>
      <c r="J786" s="18" t="str">
        <f aca="false">IF(A786="","",MAX(0,I786-C786))</f>
        <v/>
      </c>
      <c r="K786" s="19" t="str">
        <f aca="false">IF(OR($A786="",INDEX(_LEITURA!$Q$2:$Q$21,1)=0),"",SUMIFS(DECKS!$D$2:$D$1201,DECKS!$A$2:$A$1201,INDEX(_LEITURA!$P$2:$P$21,1),DECKS!$B$2:$B$1201,$A786))</f>
        <v/>
      </c>
      <c r="L786" s="19" t="str">
        <f aca="false">IF(OR($A786="",INDEX(_LEITURA!$Q$2:$Q$21,2)=0),"",SUMIFS(DECKS!$D$2:$D$1201,DECKS!$A$2:$A$1201,INDEX(_LEITURA!$P$2:$P$21,2),DECKS!$B$2:$B$1201,$A786))</f>
        <v/>
      </c>
      <c r="M786" s="19" t="str">
        <f aca="false">IF(OR($A786="",INDEX(_LEITURA!$Q$2:$Q$21,3)=0),"",SUMIFS(DECKS!$D$2:$D$1201,DECKS!$A$2:$A$1201,INDEX(_LEITURA!$P$2:$P$21,3),DECKS!$B$2:$B$1201,$A786))</f>
        <v/>
      </c>
      <c r="N786" s="19" t="str">
        <f aca="false">IF(OR($A786="",INDEX(_LEITURA!$Q$2:$Q$21,4)=0),"",SUMIFS(DECKS!$D$2:$D$1201,DECKS!$A$2:$A$1201,INDEX(_LEITURA!$P$2:$P$21,4),DECKS!$B$2:$B$1201,$A786))</f>
        <v/>
      </c>
      <c r="O786" s="19" t="str">
        <f aca="false">IF(OR($A786="",INDEX(_LEITURA!$Q$2:$Q$21,5)=0),"",SUMIFS(DECKS!$D$2:$D$1201,DECKS!$A$2:$A$1201,INDEX(_LEITURA!$P$2:$P$21,5),DECKS!$B$2:$B$1201,$A786))</f>
        <v/>
      </c>
      <c r="P786" s="19" t="str">
        <f aca="false">IF(OR($A786="",INDEX(_LEITURA!$Q$2:$Q$21,6)=0),"",SUMIFS(DECKS!$D$2:$D$1201,DECKS!$A$2:$A$1201,INDEX(_LEITURA!$P$2:$P$21,6),DECKS!$B$2:$B$1201,$A786))</f>
        <v/>
      </c>
      <c r="Q786" s="19" t="str">
        <f aca="false">IF(OR($A786="",INDEX(_LEITURA!$Q$2:$Q$21,7)=0),"",SUMIFS(DECKS!$D$2:$D$1201,DECKS!$A$2:$A$1201,INDEX(_LEITURA!$P$2:$P$21,7),DECKS!$B$2:$B$1201,$A786))</f>
        <v/>
      </c>
      <c r="R786" s="19" t="str">
        <f aca="false">IF(OR($A786="",INDEX(_LEITURA!$Q$2:$Q$21,8)=0),"",SUMIFS(DECKS!$D$2:$D$1201,DECKS!$A$2:$A$1201,INDEX(_LEITURA!$P$2:$P$21,8),DECKS!$B$2:$B$1201,$A786))</f>
        <v/>
      </c>
      <c r="S786" s="19" t="str">
        <f aca="false">IF(OR($A786="",INDEX(_LEITURA!$Q$2:$Q$21,9)=0),"",SUMIFS(DECKS!$D$2:$D$1201,DECKS!$A$2:$A$1201,INDEX(_LEITURA!$P$2:$P$21,9),DECKS!$B$2:$B$1201,$A786))</f>
        <v/>
      </c>
      <c r="T786" s="19" t="str">
        <f aca="false">IF(OR($A786="",INDEX(_LEITURA!$Q$2:$Q$21,10)=0),"",SUMIFS(DECKS!$D$2:$D$1201,DECKS!$A$2:$A$1201,INDEX(_LEITURA!$P$2:$P$21,10),DECKS!$B$2:$B$1201,$A786))</f>
        <v/>
      </c>
      <c r="U786" s="19" t="str">
        <f aca="false">IF(OR($A786="",INDEX(_LEITURA!$Q$2:$Q$21,11)=0),"",SUMIFS(DECKS!$D$2:$D$1201,DECKS!$A$2:$A$1201,INDEX(_LEITURA!$P$2:$P$21,11),DECKS!$B$2:$B$1201,$A786))</f>
        <v/>
      </c>
      <c r="V786" s="19" t="str">
        <f aca="false">IF(OR($A786="",INDEX(_LEITURA!$Q$2:$Q$21,12)=0),"",SUMIFS(DECKS!$D$2:$D$1201,DECKS!$A$2:$A$1201,INDEX(_LEITURA!$P$2:$P$21,12),DECKS!$B$2:$B$1201,$A786))</f>
        <v/>
      </c>
      <c r="W786" s="19" t="str">
        <f aca="false">IF(OR($A786="",INDEX(_LEITURA!$Q$2:$Q$21,13)=0),"",SUMIFS(DECKS!$D$2:$D$1201,DECKS!$A$2:$A$1201,INDEX(_LEITURA!$P$2:$P$21,13),DECKS!$B$2:$B$1201,$A786))</f>
        <v/>
      </c>
      <c r="X786" s="19" t="str">
        <f aca="false">IF(OR($A786="",INDEX(_LEITURA!$Q$2:$Q$21,14)=0),"",SUMIFS(DECKS!$D$2:$D$1201,DECKS!$A$2:$A$1201,INDEX(_LEITURA!$P$2:$P$21,14),DECKS!$B$2:$B$1201,$A786))</f>
        <v/>
      </c>
      <c r="Y786" s="19" t="str">
        <f aca="false">IF(OR($A786="",INDEX(_LEITURA!$Q$2:$Q$21,15)=0),"",SUMIFS(DECKS!$D$2:$D$1201,DECKS!$A$2:$A$1201,INDEX(_LEITURA!$P$2:$P$21,15),DECKS!$B$2:$B$1201,$A786))</f>
        <v/>
      </c>
      <c r="Z786" s="19" t="str">
        <f aca="false">IF(OR($A786="",INDEX(_LEITURA!$Q$2:$Q$21,16)=0),"",SUMIFS(DECKS!$D$2:$D$1201,DECKS!$A$2:$A$1201,INDEX(_LEITURA!$P$2:$P$21,16),DECKS!$B$2:$B$1201,$A786))</f>
        <v/>
      </c>
      <c r="AA786" s="19" t="str">
        <f aca="false">IF(OR($A786="",INDEX(_LEITURA!$Q$2:$Q$21,17)=0),"",SUMIFS(DECKS!$D$2:$D$1201,DECKS!$A$2:$A$1201,INDEX(_LEITURA!$P$2:$P$21,17),DECKS!$B$2:$B$1201,$A786))</f>
        <v/>
      </c>
      <c r="AB786" s="19" t="str">
        <f aca="false">IF(OR($A786="",INDEX(_LEITURA!$Q$2:$Q$21,18)=0),"",SUMIFS(DECKS!$D$2:$D$1201,DECKS!$A$2:$A$1201,INDEX(_LEITURA!$P$2:$P$21,18),DECKS!$B$2:$B$1201,$A786))</f>
        <v/>
      </c>
      <c r="AC786" s="19" t="str">
        <f aca="false">IF(OR($A786="",INDEX(_LEITURA!$Q$2:$Q$21,19)=0),"",SUMIFS(DECKS!$D$2:$D$1201,DECKS!$A$2:$A$1201,INDEX(_LEITURA!$P$2:$P$21,19),DECKS!$B$2:$B$1201,$A786))</f>
        <v/>
      </c>
      <c r="AD786" s="19" t="str">
        <f aca="false">IF(OR($A786="",INDEX(_LEITURA!$Q$2:$Q$21,20)=0),"",SUMIFS(DECKS!$D$2:$D$1201,DECKS!$A$2:$A$1201,INDEX(_LEITURA!$P$2:$P$21,20),DECKS!$B$2:$B$1201,$A786))</f>
        <v/>
      </c>
      <c r="AE786" s="16" t="str">
        <f aca="false">IF(N(E786)&gt;0,MAX(AE$1:AE785)+1,"")</f>
        <v/>
      </c>
      <c r="AF786" s="11" t="str">
        <f aca="false">IF(A786="","",IFERROR(LEFT(A786,FIND("-",A786)-1),A786))</f>
        <v/>
      </c>
      <c r="AG786" s="11" t="str">
        <f aca="false">IF(AF786="","",IF(ISNUMBER(--MID(AF786,1,1)),0,IF(ISNUMBER(--MID(AF786,2,1)),1,IF(ISNUMBER(--MID(AF786,3,1)),2,IF(ISNUMBER(--MID(AF786,4,1)),3,MIN(LEN(AF786),4))))))</f>
        <v/>
      </c>
      <c r="AH786" s="11" t="str">
        <f aca="false">IF(A786="","",LEFT(AF786,AG786)&amp;REPT("0",4-AG786)&amp;RIGHT("000"&amp;IFERROR(VALUE(MID(AF786,AG786+1,9)),0),3)&amp;RIGHT("0000"&amp;IFERROR(VALUE(MID(A786,FIND("-",A786)+1,9)),0),4))</f>
        <v/>
      </c>
      <c r="AI786" s="11" t="str">
        <f aca="false">IF(OR(A786="",N(E786)&lt;=0),"",IF('FALTAS GERAL'!$M$1="Código","K"&amp;AH786&amp;RIGHT("00000"&amp;ROW(),5),IF('FALTAS GERAL'!$M$1="Nome","K"&amp;UPPER(SUBSTITUTE(SUBSTITUTE(SUBSTITUTE(B786,"*",""),"?",""),"~",""))&amp;"0"&amp;AH786&amp;RIGHT("00000"&amp;ROW(),5),IF('FALTAS GERAL'!$M$1="Falta (maior primeiro)","K"&amp;RIGHT("0000"&amp;(9999-E786),4)&amp;AH786&amp;RIGHT("00000"&amp;ROW(),5),IF('FALTAS GERAL'!$M$1="Nº de decks (maior primeiro)","K"&amp;RIGHT("00"&amp;(99-N(G786)),2)&amp;AH786&amp;RIGHT("00000"&amp;ROW(),5),"K"&amp;RIGHT("00000"&amp;ROW(),5))))))</f>
        <v/>
      </c>
      <c r="AJ786" s="11" t="str">
        <f aca="false">IF(AI786="","",COUNTIFS($AI$2:$AI$801,"&lt;"&amp;AI786,$E$2:$E$801,"&gt;0")+1)</f>
        <v/>
      </c>
      <c r="AK786" s="11" t="str">
        <f aca="false">IF(OR(A786="",N(E786)&lt;=0),"",COUNTIFS($AH$2:$AH$801,"&lt;"&amp;AH786,$E$2:$E$801,"&gt;0")+COUNTIFS($AH$2:AH786,AH786,$E$2:E786,"&gt;0"))</f>
        <v/>
      </c>
    </row>
    <row r="787" customFormat="false" ht="15" hidden="false" customHeight="false" outlineLevel="0" collapsed="false">
      <c r="A787" s="11" t="str">
        <f aca="false">IF(INVENTÁRIO!A787="","",INVENTÁRIO!A787)</f>
        <v/>
      </c>
      <c r="B787" s="11" t="str">
        <f aca="false">IF(A787="","",INVENTÁRIO!B787)</f>
        <v/>
      </c>
      <c r="C787" s="16" t="str">
        <f aca="false">IF(A787="","",INVENTÁRIO!C787)</f>
        <v/>
      </c>
      <c r="D787" s="14" t="str">
        <f aca="false">IF(A787="","",MAX(K787:AD787))</f>
        <v/>
      </c>
      <c r="E787" s="14" t="str">
        <f aca="false">IF(A787="","",MAX(0,D787-C787))</f>
        <v/>
      </c>
      <c r="F787" s="16" t="str">
        <f aca="false">IF(A787="","",IF(D787=0,"Fora dos decks",IF(E787=0,"Completo","Falta")))</f>
        <v/>
      </c>
      <c r="G787" s="16" t="str">
        <f aca="false">IF(A787="","",COUNTIF(K787:AD787,"&gt;0"))</f>
        <v/>
      </c>
      <c r="H787" s="16" t="str">
        <f aca="false">IF(A787="","",IF(G787&gt;1,"Sim",""))</f>
        <v/>
      </c>
      <c r="I787" s="18" t="str">
        <f aca="false">IF(A787="","",SUMIFS(DECKS!$D$2:$D$1201,DECKS!$B$2:$B$1201,A787))</f>
        <v/>
      </c>
      <c r="J787" s="18" t="str">
        <f aca="false">IF(A787="","",MAX(0,I787-C787))</f>
        <v/>
      </c>
      <c r="K787" s="19" t="str">
        <f aca="false">IF(OR($A787="",INDEX(_LEITURA!$Q$2:$Q$21,1)=0),"",SUMIFS(DECKS!$D$2:$D$1201,DECKS!$A$2:$A$1201,INDEX(_LEITURA!$P$2:$P$21,1),DECKS!$B$2:$B$1201,$A787))</f>
        <v/>
      </c>
      <c r="L787" s="19" t="str">
        <f aca="false">IF(OR($A787="",INDEX(_LEITURA!$Q$2:$Q$21,2)=0),"",SUMIFS(DECKS!$D$2:$D$1201,DECKS!$A$2:$A$1201,INDEX(_LEITURA!$P$2:$P$21,2),DECKS!$B$2:$B$1201,$A787))</f>
        <v/>
      </c>
      <c r="M787" s="19" t="str">
        <f aca="false">IF(OR($A787="",INDEX(_LEITURA!$Q$2:$Q$21,3)=0),"",SUMIFS(DECKS!$D$2:$D$1201,DECKS!$A$2:$A$1201,INDEX(_LEITURA!$P$2:$P$21,3),DECKS!$B$2:$B$1201,$A787))</f>
        <v/>
      </c>
      <c r="N787" s="19" t="str">
        <f aca="false">IF(OR($A787="",INDEX(_LEITURA!$Q$2:$Q$21,4)=0),"",SUMIFS(DECKS!$D$2:$D$1201,DECKS!$A$2:$A$1201,INDEX(_LEITURA!$P$2:$P$21,4),DECKS!$B$2:$B$1201,$A787))</f>
        <v/>
      </c>
      <c r="O787" s="19" t="str">
        <f aca="false">IF(OR($A787="",INDEX(_LEITURA!$Q$2:$Q$21,5)=0),"",SUMIFS(DECKS!$D$2:$D$1201,DECKS!$A$2:$A$1201,INDEX(_LEITURA!$P$2:$P$21,5),DECKS!$B$2:$B$1201,$A787))</f>
        <v/>
      </c>
      <c r="P787" s="19" t="str">
        <f aca="false">IF(OR($A787="",INDEX(_LEITURA!$Q$2:$Q$21,6)=0),"",SUMIFS(DECKS!$D$2:$D$1201,DECKS!$A$2:$A$1201,INDEX(_LEITURA!$P$2:$P$21,6),DECKS!$B$2:$B$1201,$A787))</f>
        <v/>
      </c>
      <c r="Q787" s="19" t="str">
        <f aca="false">IF(OR($A787="",INDEX(_LEITURA!$Q$2:$Q$21,7)=0),"",SUMIFS(DECKS!$D$2:$D$1201,DECKS!$A$2:$A$1201,INDEX(_LEITURA!$P$2:$P$21,7),DECKS!$B$2:$B$1201,$A787))</f>
        <v/>
      </c>
      <c r="R787" s="19" t="str">
        <f aca="false">IF(OR($A787="",INDEX(_LEITURA!$Q$2:$Q$21,8)=0),"",SUMIFS(DECKS!$D$2:$D$1201,DECKS!$A$2:$A$1201,INDEX(_LEITURA!$P$2:$P$21,8),DECKS!$B$2:$B$1201,$A787))</f>
        <v/>
      </c>
      <c r="S787" s="19" t="str">
        <f aca="false">IF(OR($A787="",INDEX(_LEITURA!$Q$2:$Q$21,9)=0),"",SUMIFS(DECKS!$D$2:$D$1201,DECKS!$A$2:$A$1201,INDEX(_LEITURA!$P$2:$P$21,9),DECKS!$B$2:$B$1201,$A787))</f>
        <v/>
      </c>
      <c r="T787" s="19" t="str">
        <f aca="false">IF(OR($A787="",INDEX(_LEITURA!$Q$2:$Q$21,10)=0),"",SUMIFS(DECKS!$D$2:$D$1201,DECKS!$A$2:$A$1201,INDEX(_LEITURA!$P$2:$P$21,10),DECKS!$B$2:$B$1201,$A787))</f>
        <v/>
      </c>
      <c r="U787" s="19" t="str">
        <f aca="false">IF(OR($A787="",INDEX(_LEITURA!$Q$2:$Q$21,11)=0),"",SUMIFS(DECKS!$D$2:$D$1201,DECKS!$A$2:$A$1201,INDEX(_LEITURA!$P$2:$P$21,11),DECKS!$B$2:$B$1201,$A787))</f>
        <v/>
      </c>
      <c r="V787" s="19" t="str">
        <f aca="false">IF(OR($A787="",INDEX(_LEITURA!$Q$2:$Q$21,12)=0),"",SUMIFS(DECKS!$D$2:$D$1201,DECKS!$A$2:$A$1201,INDEX(_LEITURA!$P$2:$P$21,12),DECKS!$B$2:$B$1201,$A787))</f>
        <v/>
      </c>
      <c r="W787" s="19" t="str">
        <f aca="false">IF(OR($A787="",INDEX(_LEITURA!$Q$2:$Q$21,13)=0),"",SUMIFS(DECKS!$D$2:$D$1201,DECKS!$A$2:$A$1201,INDEX(_LEITURA!$P$2:$P$21,13),DECKS!$B$2:$B$1201,$A787))</f>
        <v/>
      </c>
      <c r="X787" s="19" t="str">
        <f aca="false">IF(OR($A787="",INDEX(_LEITURA!$Q$2:$Q$21,14)=0),"",SUMIFS(DECKS!$D$2:$D$1201,DECKS!$A$2:$A$1201,INDEX(_LEITURA!$P$2:$P$21,14),DECKS!$B$2:$B$1201,$A787))</f>
        <v/>
      </c>
      <c r="Y787" s="19" t="str">
        <f aca="false">IF(OR($A787="",INDEX(_LEITURA!$Q$2:$Q$21,15)=0),"",SUMIFS(DECKS!$D$2:$D$1201,DECKS!$A$2:$A$1201,INDEX(_LEITURA!$P$2:$P$21,15),DECKS!$B$2:$B$1201,$A787))</f>
        <v/>
      </c>
      <c r="Z787" s="19" t="str">
        <f aca="false">IF(OR($A787="",INDEX(_LEITURA!$Q$2:$Q$21,16)=0),"",SUMIFS(DECKS!$D$2:$D$1201,DECKS!$A$2:$A$1201,INDEX(_LEITURA!$P$2:$P$21,16),DECKS!$B$2:$B$1201,$A787))</f>
        <v/>
      </c>
      <c r="AA787" s="19" t="str">
        <f aca="false">IF(OR($A787="",INDEX(_LEITURA!$Q$2:$Q$21,17)=0),"",SUMIFS(DECKS!$D$2:$D$1201,DECKS!$A$2:$A$1201,INDEX(_LEITURA!$P$2:$P$21,17),DECKS!$B$2:$B$1201,$A787))</f>
        <v/>
      </c>
      <c r="AB787" s="19" t="str">
        <f aca="false">IF(OR($A787="",INDEX(_LEITURA!$Q$2:$Q$21,18)=0),"",SUMIFS(DECKS!$D$2:$D$1201,DECKS!$A$2:$A$1201,INDEX(_LEITURA!$P$2:$P$21,18),DECKS!$B$2:$B$1201,$A787))</f>
        <v/>
      </c>
      <c r="AC787" s="19" t="str">
        <f aca="false">IF(OR($A787="",INDEX(_LEITURA!$Q$2:$Q$21,19)=0),"",SUMIFS(DECKS!$D$2:$D$1201,DECKS!$A$2:$A$1201,INDEX(_LEITURA!$P$2:$P$21,19),DECKS!$B$2:$B$1201,$A787))</f>
        <v/>
      </c>
      <c r="AD787" s="19" t="str">
        <f aca="false">IF(OR($A787="",INDEX(_LEITURA!$Q$2:$Q$21,20)=0),"",SUMIFS(DECKS!$D$2:$D$1201,DECKS!$A$2:$A$1201,INDEX(_LEITURA!$P$2:$P$21,20),DECKS!$B$2:$B$1201,$A787))</f>
        <v/>
      </c>
      <c r="AE787" s="16" t="str">
        <f aca="false">IF(N(E787)&gt;0,MAX(AE$1:AE786)+1,"")</f>
        <v/>
      </c>
      <c r="AF787" s="11" t="str">
        <f aca="false">IF(A787="","",IFERROR(LEFT(A787,FIND("-",A787)-1),A787))</f>
        <v/>
      </c>
      <c r="AG787" s="11" t="str">
        <f aca="false">IF(AF787="","",IF(ISNUMBER(--MID(AF787,1,1)),0,IF(ISNUMBER(--MID(AF787,2,1)),1,IF(ISNUMBER(--MID(AF787,3,1)),2,IF(ISNUMBER(--MID(AF787,4,1)),3,MIN(LEN(AF787),4))))))</f>
        <v/>
      </c>
      <c r="AH787" s="11" t="str">
        <f aca="false">IF(A787="","",LEFT(AF787,AG787)&amp;REPT("0",4-AG787)&amp;RIGHT("000"&amp;IFERROR(VALUE(MID(AF787,AG787+1,9)),0),3)&amp;RIGHT("0000"&amp;IFERROR(VALUE(MID(A787,FIND("-",A787)+1,9)),0),4))</f>
        <v/>
      </c>
      <c r="AI787" s="11" t="str">
        <f aca="false">IF(OR(A787="",N(E787)&lt;=0),"",IF('FALTAS GERAL'!$M$1="Código","K"&amp;AH787&amp;RIGHT("00000"&amp;ROW(),5),IF('FALTAS GERAL'!$M$1="Nome","K"&amp;UPPER(SUBSTITUTE(SUBSTITUTE(SUBSTITUTE(B787,"*",""),"?",""),"~",""))&amp;"0"&amp;AH787&amp;RIGHT("00000"&amp;ROW(),5),IF('FALTAS GERAL'!$M$1="Falta (maior primeiro)","K"&amp;RIGHT("0000"&amp;(9999-E787),4)&amp;AH787&amp;RIGHT("00000"&amp;ROW(),5),IF('FALTAS GERAL'!$M$1="Nº de decks (maior primeiro)","K"&amp;RIGHT("00"&amp;(99-N(G787)),2)&amp;AH787&amp;RIGHT("00000"&amp;ROW(),5),"K"&amp;RIGHT("00000"&amp;ROW(),5))))))</f>
        <v/>
      </c>
      <c r="AJ787" s="11" t="str">
        <f aca="false">IF(AI787="","",COUNTIFS($AI$2:$AI$801,"&lt;"&amp;AI787,$E$2:$E$801,"&gt;0")+1)</f>
        <v/>
      </c>
      <c r="AK787" s="11" t="str">
        <f aca="false">IF(OR(A787="",N(E787)&lt;=0),"",COUNTIFS($AH$2:$AH$801,"&lt;"&amp;AH787,$E$2:$E$801,"&gt;0")+COUNTIFS($AH$2:AH787,AH787,$E$2:E787,"&gt;0"))</f>
        <v/>
      </c>
    </row>
    <row r="788" customFormat="false" ht="15" hidden="false" customHeight="false" outlineLevel="0" collapsed="false">
      <c r="A788" s="11" t="str">
        <f aca="false">IF(INVENTÁRIO!A788="","",INVENTÁRIO!A788)</f>
        <v/>
      </c>
      <c r="B788" s="11" t="str">
        <f aca="false">IF(A788="","",INVENTÁRIO!B788)</f>
        <v/>
      </c>
      <c r="C788" s="16" t="str">
        <f aca="false">IF(A788="","",INVENTÁRIO!C788)</f>
        <v/>
      </c>
      <c r="D788" s="14" t="str">
        <f aca="false">IF(A788="","",MAX(K788:AD788))</f>
        <v/>
      </c>
      <c r="E788" s="14" t="str">
        <f aca="false">IF(A788="","",MAX(0,D788-C788))</f>
        <v/>
      </c>
      <c r="F788" s="16" t="str">
        <f aca="false">IF(A788="","",IF(D788=0,"Fora dos decks",IF(E788=0,"Completo","Falta")))</f>
        <v/>
      </c>
      <c r="G788" s="16" t="str">
        <f aca="false">IF(A788="","",COUNTIF(K788:AD788,"&gt;0"))</f>
        <v/>
      </c>
      <c r="H788" s="16" t="str">
        <f aca="false">IF(A788="","",IF(G788&gt;1,"Sim",""))</f>
        <v/>
      </c>
      <c r="I788" s="18" t="str">
        <f aca="false">IF(A788="","",SUMIFS(DECKS!$D$2:$D$1201,DECKS!$B$2:$B$1201,A788))</f>
        <v/>
      </c>
      <c r="J788" s="18" t="str">
        <f aca="false">IF(A788="","",MAX(0,I788-C788))</f>
        <v/>
      </c>
      <c r="K788" s="19" t="str">
        <f aca="false">IF(OR($A788="",INDEX(_LEITURA!$Q$2:$Q$21,1)=0),"",SUMIFS(DECKS!$D$2:$D$1201,DECKS!$A$2:$A$1201,INDEX(_LEITURA!$P$2:$P$21,1),DECKS!$B$2:$B$1201,$A788))</f>
        <v/>
      </c>
      <c r="L788" s="19" t="str">
        <f aca="false">IF(OR($A788="",INDEX(_LEITURA!$Q$2:$Q$21,2)=0),"",SUMIFS(DECKS!$D$2:$D$1201,DECKS!$A$2:$A$1201,INDEX(_LEITURA!$P$2:$P$21,2),DECKS!$B$2:$B$1201,$A788))</f>
        <v/>
      </c>
      <c r="M788" s="19" t="str">
        <f aca="false">IF(OR($A788="",INDEX(_LEITURA!$Q$2:$Q$21,3)=0),"",SUMIFS(DECKS!$D$2:$D$1201,DECKS!$A$2:$A$1201,INDEX(_LEITURA!$P$2:$P$21,3),DECKS!$B$2:$B$1201,$A788))</f>
        <v/>
      </c>
      <c r="N788" s="19" t="str">
        <f aca="false">IF(OR($A788="",INDEX(_LEITURA!$Q$2:$Q$21,4)=0),"",SUMIFS(DECKS!$D$2:$D$1201,DECKS!$A$2:$A$1201,INDEX(_LEITURA!$P$2:$P$21,4),DECKS!$B$2:$B$1201,$A788))</f>
        <v/>
      </c>
      <c r="O788" s="19" t="str">
        <f aca="false">IF(OR($A788="",INDEX(_LEITURA!$Q$2:$Q$21,5)=0),"",SUMIFS(DECKS!$D$2:$D$1201,DECKS!$A$2:$A$1201,INDEX(_LEITURA!$P$2:$P$21,5),DECKS!$B$2:$B$1201,$A788))</f>
        <v/>
      </c>
      <c r="P788" s="19" t="str">
        <f aca="false">IF(OR($A788="",INDEX(_LEITURA!$Q$2:$Q$21,6)=0),"",SUMIFS(DECKS!$D$2:$D$1201,DECKS!$A$2:$A$1201,INDEX(_LEITURA!$P$2:$P$21,6),DECKS!$B$2:$B$1201,$A788))</f>
        <v/>
      </c>
      <c r="Q788" s="19" t="str">
        <f aca="false">IF(OR($A788="",INDEX(_LEITURA!$Q$2:$Q$21,7)=0),"",SUMIFS(DECKS!$D$2:$D$1201,DECKS!$A$2:$A$1201,INDEX(_LEITURA!$P$2:$P$21,7),DECKS!$B$2:$B$1201,$A788))</f>
        <v/>
      </c>
      <c r="R788" s="19" t="str">
        <f aca="false">IF(OR($A788="",INDEX(_LEITURA!$Q$2:$Q$21,8)=0),"",SUMIFS(DECKS!$D$2:$D$1201,DECKS!$A$2:$A$1201,INDEX(_LEITURA!$P$2:$P$21,8),DECKS!$B$2:$B$1201,$A788))</f>
        <v/>
      </c>
      <c r="S788" s="19" t="str">
        <f aca="false">IF(OR($A788="",INDEX(_LEITURA!$Q$2:$Q$21,9)=0),"",SUMIFS(DECKS!$D$2:$D$1201,DECKS!$A$2:$A$1201,INDEX(_LEITURA!$P$2:$P$21,9),DECKS!$B$2:$B$1201,$A788))</f>
        <v/>
      </c>
      <c r="T788" s="19" t="str">
        <f aca="false">IF(OR($A788="",INDEX(_LEITURA!$Q$2:$Q$21,10)=0),"",SUMIFS(DECKS!$D$2:$D$1201,DECKS!$A$2:$A$1201,INDEX(_LEITURA!$P$2:$P$21,10),DECKS!$B$2:$B$1201,$A788))</f>
        <v/>
      </c>
      <c r="U788" s="19" t="str">
        <f aca="false">IF(OR($A788="",INDEX(_LEITURA!$Q$2:$Q$21,11)=0),"",SUMIFS(DECKS!$D$2:$D$1201,DECKS!$A$2:$A$1201,INDEX(_LEITURA!$P$2:$P$21,11),DECKS!$B$2:$B$1201,$A788))</f>
        <v/>
      </c>
      <c r="V788" s="19" t="str">
        <f aca="false">IF(OR($A788="",INDEX(_LEITURA!$Q$2:$Q$21,12)=0),"",SUMIFS(DECKS!$D$2:$D$1201,DECKS!$A$2:$A$1201,INDEX(_LEITURA!$P$2:$P$21,12),DECKS!$B$2:$B$1201,$A788))</f>
        <v/>
      </c>
      <c r="W788" s="19" t="str">
        <f aca="false">IF(OR($A788="",INDEX(_LEITURA!$Q$2:$Q$21,13)=0),"",SUMIFS(DECKS!$D$2:$D$1201,DECKS!$A$2:$A$1201,INDEX(_LEITURA!$P$2:$P$21,13),DECKS!$B$2:$B$1201,$A788))</f>
        <v/>
      </c>
      <c r="X788" s="19" t="str">
        <f aca="false">IF(OR($A788="",INDEX(_LEITURA!$Q$2:$Q$21,14)=0),"",SUMIFS(DECKS!$D$2:$D$1201,DECKS!$A$2:$A$1201,INDEX(_LEITURA!$P$2:$P$21,14),DECKS!$B$2:$B$1201,$A788))</f>
        <v/>
      </c>
      <c r="Y788" s="19" t="str">
        <f aca="false">IF(OR($A788="",INDEX(_LEITURA!$Q$2:$Q$21,15)=0),"",SUMIFS(DECKS!$D$2:$D$1201,DECKS!$A$2:$A$1201,INDEX(_LEITURA!$P$2:$P$21,15),DECKS!$B$2:$B$1201,$A788))</f>
        <v/>
      </c>
      <c r="Z788" s="19" t="str">
        <f aca="false">IF(OR($A788="",INDEX(_LEITURA!$Q$2:$Q$21,16)=0),"",SUMIFS(DECKS!$D$2:$D$1201,DECKS!$A$2:$A$1201,INDEX(_LEITURA!$P$2:$P$21,16),DECKS!$B$2:$B$1201,$A788))</f>
        <v/>
      </c>
      <c r="AA788" s="19" t="str">
        <f aca="false">IF(OR($A788="",INDEX(_LEITURA!$Q$2:$Q$21,17)=0),"",SUMIFS(DECKS!$D$2:$D$1201,DECKS!$A$2:$A$1201,INDEX(_LEITURA!$P$2:$P$21,17),DECKS!$B$2:$B$1201,$A788))</f>
        <v/>
      </c>
      <c r="AB788" s="19" t="str">
        <f aca="false">IF(OR($A788="",INDEX(_LEITURA!$Q$2:$Q$21,18)=0),"",SUMIFS(DECKS!$D$2:$D$1201,DECKS!$A$2:$A$1201,INDEX(_LEITURA!$P$2:$P$21,18),DECKS!$B$2:$B$1201,$A788))</f>
        <v/>
      </c>
      <c r="AC788" s="19" t="str">
        <f aca="false">IF(OR($A788="",INDEX(_LEITURA!$Q$2:$Q$21,19)=0),"",SUMIFS(DECKS!$D$2:$D$1201,DECKS!$A$2:$A$1201,INDEX(_LEITURA!$P$2:$P$21,19),DECKS!$B$2:$B$1201,$A788))</f>
        <v/>
      </c>
      <c r="AD788" s="19" t="str">
        <f aca="false">IF(OR($A788="",INDEX(_LEITURA!$Q$2:$Q$21,20)=0),"",SUMIFS(DECKS!$D$2:$D$1201,DECKS!$A$2:$A$1201,INDEX(_LEITURA!$P$2:$P$21,20),DECKS!$B$2:$B$1201,$A788))</f>
        <v/>
      </c>
      <c r="AE788" s="16" t="str">
        <f aca="false">IF(N(E788)&gt;0,MAX(AE$1:AE787)+1,"")</f>
        <v/>
      </c>
      <c r="AF788" s="11" t="str">
        <f aca="false">IF(A788="","",IFERROR(LEFT(A788,FIND("-",A788)-1),A788))</f>
        <v/>
      </c>
      <c r="AG788" s="11" t="str">
        <f aca="false">IF(AF788="","",IF(ISNUMBER(--MID(AF788,1,1)),0,IF(ISNUMBER(--MID(AF788,2,1)),1,IF(ISNUMBER(--MID(AF788,3,1)),2,IF(ISNUMBER(--MID(AF788,4,1)),3,MIN(LEN(AF788),4))))))</f>
        <v/>
      </c>
      <c r="AH788" s="11" t="str">
        <f aca="false">IF(A788="","",LEFT(AF788,AG788)&amp;REPT("0",4-AG788)&amp;RIGHT("000"&amp;IFERROR(VALUE(MID(AF788,AG788+1,9)),0),3)&amp;RIGHT("0000"&amp;IFERROR(VALUE(MID(A788,FIND("-",A788)+1,9)),0),4))</f>
        <v/>
      </c>
      <c r="AI788" s="11" t="str">
        <f aca="false">IF(OR(A788="",N(E788)&lt;=0),"",IF('FALTAS GERAL'!$M$1="Código","K"&amp;AH788&amp;RIGHT("00000"&amp;ROW(),5),IF('FALTAS GERAL'!$M$1="Nome","K"&amp;UPPER(SUBSTITUTE(SUBSTITUTE(SUBSTITUTE(B788,"*",""),"?",""),"~",""))&amp;"0"&amp;AH788&amp;RIGHT("00000"&amp;ROW(),5),IF('FALTAS GERAL'!$M$1="Falta (maior primeiro)","K"&amp;RIGHT("0000"&amp;(9999-E788),4)&amp;AH788&amp;RIGHT("00000"&amp;ROW(),5),IF('FALTAS GERAL'!$M$1="Nº de decks (maior primeiro)","K"&amp;RIGHT("00"&amp;(99-N(G788)),2)&amp;AH788&amp;RIGHT("00000"&amp;ROW(),5),"K"&amp;RIGHT("00000"&amp;ROW(),5))))))</f>
        <v/>
      </c>
      <c r="AJ788" s="11" t="str">
        <f aca="false">IF(AI788="","",COUNTIFS($AI$2:$AI$801,"&lt;"&amp;AI788,$E$2:$E$801,"&gt;0")+1)</f>
        <v/>
      </c>
      <c r="AK788" s="11" t="str">
        <f aca="false">IF(OR(A788="",N(E788)&lt;=0),"",COUNTIFS($AH$2:$AH$801,"&lt;"&amp;AH788,$E$2:$E$801,"&gt;0")+COUNTIFS($AH$2:AH788,AH788,$E$2:E788,"&gt;0"))</f>
        <v/>
      </c>
    </row>
    <row r="789" customFormat="false" ht="15" hidden="false" customHeight="false" outlineLevel="0" collapsed="false">
      <c r="A789" s="11" t="str">
        <f aca="false">IF(INVENTÁRIO!A789="","",INVENTÁRIO!A789)</f>
        <v/>
      </c>
      <c r="B789" s="11" t="str">
        <f aca="false">IF(A789="","",INVENTÁRIO!B789)</f>
        <v/>
      </c>
      <c r="C789" s="16" t="str">
        <f aca="false">IF(A789="","",INVENTÁRIO!C789)</f>
        <v/>
      </c>
      <c r="D789" s="14" t="str">
        <f aca="false">IF(A789="","",MAX(K789:AD789))</f>
        <v/>
      </c>
      <c r="E789" s="14" t="str">
        <f aca="false">IF(A789="","",MAX(0,D789-C789))</f>
        <v/>
      </c>
      <c r="F789" s="16" t="str">
        <f aca="false">IF(A789="","",IF(D789=0,"Fora dos decks",IF(E789=0,"Completo","Falta")))</f>
        <v/>
      </c>
      <c r="G789" s="16" t="str">
        <f aca="false">IF(A789="","",COUNTIF(K789:AD789,"&gt;0"))</f>
        <v/>
      </c>
      <c r="H789" s="16" t="str">
        <f aca="false">IF(A789="","",IF(G789&gt;1,"Sim",""))</f>
        <v/>
      </c>
      <c r="I789" s="18" t="str">
        <f aca="false">IF(A789="","",SUMIFS(DECKS!$D$2:$D$1201,DECKS!$B$2:$B$1201,A789))</f>
        <v/>
      </c>
      <c r="J789" s="18" t="str">
        <f aca="false">IF(A789="","",MAX(0,I789-C789))</f>
        <v/>
      </c>
      <c r="K789" s="19" t="str">
        <f aca="false">IF(OR($A789="",INDEX(_LEITURA!$Q$2:$Q$21,1)=0),"",SUMIFS(DECKS!$D$2:$D$1201,DECKS!$A$2:$A$1201,INDEX(_LEITURA!$P$2:$P$21,1),DECKS!$B$2:$B$1201,$A789))</f>
        <v/>
      </c>
      <c r="L789" s="19" t="str">
        <f aca="false">IF(OR($A789="",INDEX(_LEITURA!$Q$2:$Q$21,2)=0),"",SUMIFS(DECKS!$D$2:$D$1201,DECKS!$A$2:$A$1201,INDEX(_LEITURA!$P$2:$P$21,2),DECKS!$B$2:$B$1201,$A789))</f>
        <v/>
      </c>
      <c r="M789" s="19" t="str">
        <f aca="false">IF(OR($A789="",INDEX(_LEITURA!$Q$2:$Q$21,3)=0),"",SUMIFS(DECKS!$D$2:$D$1201,DECKS!$A$2:$A$1201,INDEX(_LEITURA!$P$2:$P$21,3),DECKS!$B$2:$B$1201,$A789))</f>
        <v/>
      </c>
      <c r="N789" s="19" t="str">
        <f aca="false">IF(OR($A789="",INDEX(_LEITURA!$Q$2:$Q$21,4)=0),"",SUMIFS(DECKS!$D$2:$D$1201,DECKS!$A$2:$A$1201,INDEX(_LEITURA!$P$2:$P$21,4),DECKS!$B$2:$B$1201,$A789))</f>
        <v/>
      </c>
      <c r="O789" s="19" t="str">
        <f aca="false">IF(OR($A789="",INDEX(_LEITURA!$Q$2:$Q$21,5)=0),"",SUMIFS(DECKS!$D$2:$D$1201,DECKS!$A$2:$A$1201,INDEX(_LEITURA!$P$2:$P$21,5),DECKS!$B$2:$B$1201,$A789))</f>
        <v/>
      </c>
      <c r="P789" s="19" t="str">
        <f aca="false">IF(OR($A789="",INDEX(_LEITURA!$Q$2:$Q$21,6)=0),"",SUMIFS(DECKS!$D$2:$D$1201,DECKS!$A$2:$A$1201,INDEX(_LEITURA!$P$2:$P$21,6),DECKS!$B$2:$B$1201,$A789))</f>
        <v/>
      </c>
      <c r="Q789" s="19" t="str">
        <f aca="false">IF(OR($A789="",INDEX(_LEITURA!$Q$2:$Q$21,7)=0),"",SUMIFS(DECKS!$D$2:$D$1201,DECKS!$A$2:$A$1201,INDEX(_LEITURA!$P$2:$P$21,7),DECKS!$B$2:$B$1201,$A789))</f>
        <v/>
      </c>
      <c r="R789" s="19" t="str">
        <f aca="false">IF(OR($A789="",INDEX(_LEITURA!$Q$2:$Q$21,8)=0),"",SUMIFS(DECKS!$D$2:$D$1201,DECKS!$A$2:$A$1201,INDEX(_LEITURA!$P$2:$P$21,8),DECKS!$B$2:$B$1201,$A789))</f>
        <v/>
      </c>
      <c r="S789" s="19" t="str">
        <f aca="false">IF(OR($A789="",INDEX(_LEITURA!$Q$2:$Q$21,9)=0),"",SUMIFS(DECKS!$D$2:$D$1201,DECKS!$A$2:$A$1201,INDEX(_LEITURA!$P$2:$P$21,9),DECKS!$B$2:$B$1201,$A789))</f>
        <v/>
      </c>
      <c r="T789" s="19" t="str">
        <f aca="false">IF(OR($A789="",INDEX(_LEITURA!$Q$2:$Q$21,10)=0),"",SUMIFS(DECKS!$D$2:$D$1201,DECKS!$A$2:$A$1201,INDEX(_LEITURA!$P$2:$P$21,10),DECKS!$B$2:$B$1201,$A789))</f>
        <v/>
      </c>
      <c r="U789" s="19" t="str">
        <f aca="false">IF(OR($A789="",INDEX(_LEITURA!$Q$2:$Q$21,11)=0),"",SUMIFS(DECKS!$D$2:$D$1201,DECKS!$A$2:$A$1201,INDEX(_LEITURA!$P$2:$P$21,11),DECKS!$B$2:$B$1201,$A789))</f>
        <v/>
      </c>
      <c r="V789" s="19" t="str">
        <f aca="false">IF(OR($A789="",INDEX(_LEITURA!$Q$2:$Q$21,12)=0),"",SUMIFS(DECKS!$D$2:$D$1201,DECKS!$A$2:$A$1201,INDEX(_LEITURA!$P$2:$P$21,12),DECKS!$B$2:$B$1201,$A789))</f>
        <v/>
      </c>
      <c r="W789" s="19" t="str">
        <f aca="false">IF(OR($A789="",INDEX(_LEITURA!$Q$2:$Q$21,13)=0),"",SUMIFS(DECKS!$D$2:$D$1201,DECKS!$A$2:$A$1201,INDEX(_LEITURA!$P$2:$P$21,13),DECKS!$B$2:$B$1201,$A789))</f>
        <v/>
      </c>
      <c r="X789" s="19" t="str">
        <f aca="false">IF(OR($A789="",INDEX(_LEITURA!$Q$2:$Q$21,14)=0),"",SUMIFS(DECKS!$D$2:$D$1201,DECKS!$A$2:$A$1201,INDEX(_LEITURA!$P$2:$P$21,14),DECKS!$B$2:$B$1201,$A789))</f>
        <v/>
      </c>
      <c r="Y789" s="19" t="str">
        <f aca="false">IF(OR($A789="",INDEX(_LEITURA!$Q$2:$Q$21,15)=0),"",SUMIFS(DECKS!$D$2:$D$1201,DECKS!$A$2:$A$1201,INDEX(_LEITURA!$P$2:$P$21,15),DECKS!$B$2:$B$1201,$A789))</f>
        <v/>
      </c>
      <c r="Z789" s="19" t="str">
        <f aca="false">IF(OR($A789="",INDEX(_LEITURA!$Q$2:$Q$21,16)=0),"",SUMIFS(DECKS!$D$2:$D$1201,DECKS!$A$2:$A$1201,INDEX(_LEITURA!$P$2:$P$21,16),DECKS!$B$2:$B$1201,$A789))</f>
        <v/>
      </c>
      <c r="AA789" s="19" t="str">
        <f aca="false">IF(OR($A789="",INDEX(_LEITURA!$Q$2:$Q$21,17)=0),"",SUMIFS(DECKS!$D$2:$D$1201,DECKS!$A$2:$A$1201,INDEX(_LEITURA!$P$2:$P$21,17),DECKS!$B$2:$B$1201,$A789))</f>
        <v/>
      </c>
      <c r="AB789" s="19" t="str">
        <f aca="false">IF(OR($A789="",INDEX(_LEITURA!$Q$2:$Q$21,18)=0),"",SUMIFS(DECKS!$D$2:$D$1201,DECKS!$A$2:$A$1201,INDEX(_LEITURA!$P$2:$P$21,18),DECKS!$B$2:$B$1201,$A789))</f>
        <v/>
      </c>
      <c r="AC789" s="19" t="str">
        <f aca="false">IF(OR($A789="",INDEX(_LEITURA!$Q$2:$Q$21,19)=0),"",SUMIFS(DECKS!$D$2:$D$1201,DECKS!$A$2:$A$1201,INDEX(_LEITURA!$P$2:$P$21,19),DECKS!$B$2:$B$1201,$A789))</f>
        <v/>
      </c>
      <c r="AD789" s="19" t="str">
        <f aca="false">IF(OR($A789="",INDEX(_LEITURA!$Q$2:$Q$21,20)=0),"",SUMIFS(DECKS!$D$2:$D$1201,DECKS!$A$2:$A$1201,INDEX(_LEITURA!$P$2:$P$21,20),DECKS!$B$2:$B$1201,$A789))</f>
        <v/>
      </c>
      <c r="AE789" s="16" t="str">
        <f aca="false">IF(N(E789)&gt;0,MAX(AE$1:AE788)+1,"")</f>
        <v/>
      </c>
      <c r="AF789" s="11" t="str">
        <f aca="false">IF(A789="","",IFERROR(LEFT(A789,FIND("-",A789)-1),A789))</f>
        <v/>
      </c>
      <c r="AG789" s="11" t="str">
        <f aca="false">IF(AF789="","",IF(ISNUMBER(--MID(AF789,1,1)),0,IF(ISNUMBER(--MID(AF789,2,1)),1,IF(ISNUMBER(--MID(AF789,3,1)),2,IF(ISNUMBER(--MID(AF789,4,1)),3,MIN(LEN(AF789),4))))))</f>
        <v/>
      </c>
      <c r="AH789" s="11" t="str">
        <f aca="false">IF(A789="","",LEFT(AF789,AG789)&amp;REPT("0",4-AG789)&amp;RIGHT("000"&amp;IFERROR(VALUE(MID(AF789,AG789+1,9)),0),3)&amp;RIGHT("0000"&amp;IFERROR(VALUE(MID(A789,FIND("-",A789)+1,9)),0),4))</f>
        <v/>
      </c>
      <c r="AI789" s="11" t="str">
        <f aca="false">IF(OR(A789="",N(E789)&lt;=0),"",IF('FALTAS GERAL'!$M$1="Código","K"&amp;AH789&amp;RIGHT("00000"&amp;ROW(),5),IF('FALTAS GERAL'!$M$1="Nome","K"&amp;UPPER(SUBSTITUTE(SUBSTITUTE(SUBSTITUTE(B789,"*",""),"?",""),"~",""))&amp;"0"&amp;AH789&amp;RIGHT("00000"&amp;ROW(),5),IF('FALTAS GERAL'!$M$1="Falta (maior primeiro)","K"&amp;RIGHT("0000"&amp;(9999-E789),4)&amp;AH789&amp;RIGHT("00000"&amp;ROW(),5),IF('FALTAS GERAL'!$M$1="Nº de decks (maior primeiro)","K"&amp;RIGHT("00"&amp;(99-N(G789)),2)&amp;AH789&amp;RIGHT("00000"&amp;ROW(),5),"K"&amp;RIGHT("00000"&amp;ROW(),5))))))</f>
        <v/>
      </c>
      <c r="AJ789" s="11" t="str">
        <f aca="false">IF(AI789="","",COUNTIFS($AI$2:$AI$801,"&lt;"&amp;AI789,$E$2:$E$801,"&gt;0")+1)</f>
        <v/>
      </c>
      <c r="AK789" s="11" t="str">
        <f aca="false">IF(OR(A789="",N(E789)&lt;=0),"",COUNTIFS($AH$2:$AH$801,"&lt;"&amp;AH789,$E$2:$E$801,"&gt;0")+COUNTIFS($AH$2:AH789,AH789,$E$2:E789,"&gt;0"))</f>
        <v/>
      </c>
    </row>
    <row r="790" customFormat="false" ht="15" hidden="false" customHeight="false" outlineLevel="0" collapsed="false">
      <c r="A790" s="11" t="str">
        <f aca="false">IF(INVENTÁRIO!A790="","",INVENTÁRIO!A790)</f>
        <v/>
      </c>
      <c r="B790" s="11" t="str">
        <f aca="false">IF(A790="","",INVENTÁRIO!B790)</f>
        <v/>
      </c>
      <c r="C790" s="16" t="str">
        <f aca="false">IF(A790="","",INVENTÁRIO!C790)</f>
        <v/>
      </c>
      <c r="D790" s="14" t="str">
        <f aca="false">IF(A790="","",MAX(K790:AD790))</f>
        <v/>
      </c>
      <c r="E790" s="14" t="str">
        <f aca="false">IF(A790="","",MAX(0,D790-C790))</f>
        <v/>
      </c>
      <c r="F790" s="16" t="str">
        <f aca="false">IF(A790="","",IF(D790=0,"Fora dos decks",IF(E790=0,"Completo","Falta")))</f>
        <v/>
      </c>
      <c r="G790" s="16" t="str">
        <f aca="false">IF(A790="","",COUNTIF(K790:AD790,"&gt;0"))</f>
        <v/>
      </c>
      <c r="H790" s="16" t="str">
        <f aca="false">IF(A790="","",IF(G790&gt;1,"Sim",""))</f>
        <v/>
      </c>
      <c r="I790" s="18" t="str">
        <f aca="false">IF(A790="","",SUMIFS(DECKS!$D$2:$D$1201,DECKS!$B$2:$B$1201,A790))</f>
        <v/>
      </c>
      <c r="J790" s="18" t="str">
        <f aca="false">IF(A790="","",MAX(0,I790-C790))</f>
        <v/>
      </c>
      <c r="K790" s="19" t="str">
        <f aca="false">IF(OR($A790="",INDEX(_LEITURA!$Q$2:$Q$21,1)=0),"",SUMIFS(DECKS!$D$2:$D$1201,DECKS!$A$2:$A$1201,INDEX(_LEITURA!$P$2:$P$21,1),DECKS!$B$2:$B$1201,$A790))</f>
        <v/>
      </c>
      <c r="L790" s="19" t="str">
        <f aca="false">IF(OR($A790="",INDEX(_LEITURA!$Q$2:$Q$21,2)=0),"",SUMIFS(DECKS!$D$2:$D$1201,DECKS!$A$2:$A$1201,INDEX(_LEITURA!$P$2:$P$21,2),DECKS!$B$2:$B$1201,$A790))</f>
        <v/>
      </c>
      <c r="M790" s="19" t="str">
        <f aca="false">IF(OR($A790="",INDEX(_LEITURA!$Q$2:$Q$21,3)=0),"",SUMIFS(DECKS!$D$2:$D$1201,DECKS!$A$2:$A$1201,INDEX(_LEITURA!$P$2:$P$21,3),DECKS!$B$2:$B$1201,$A790))</f>
        <v/>
      </c>
      <c r="N790" s="19" t="str">
        <f aca="false">IF(OR($A790="",INDEX(_LEITURA!$Q$2:$Q$21,4)=0),"",SUMIFS(DECKS!$D$2:$D$1201,DECKS!$A$2:$A$1201,INDEX(_LEITURA!$P$2:$P$21,4),DECKS!$B$2:$B$1201,$A790))</f>
        <v/>
      </c>
      <c r="O790" s="19" t="str">
        <f aca="false">IF(OR($A790="",INDEX(_LEITURA!$Q$2:$Q$21,5)=0),"",SUMIFS(DECKS!$D$2:$D$1201,DECKS!$A$2:$A$1201,INDEX(_LEITURA!$P$2:$P$21,5),DECKS!$B$2:$B$1201,$A790))</f>
        <v/>
      </c>
      <c r="P790" s="19" t="str">
        <f aca="false">IF(OR($A790="",INDEX(_LEITURA!$Q$2:$Q$21,6)=0),"",SUMIFS(DECKS!$D$2:$D$1201,DECKS!$A$2:$A$1201,INDEX(_LEITURA!$P$2:$P$21,6),DECKS!$B$2:$B$1201,$A790))</f>
        <v/>
      </c>
      <c r="Q790" s="19" t="str">
        <f aca="false">IF(OR($A790="",INDEX(_LEITURA!$Q$2:$Q$21,7)=0),"",SUMIFS(DECKS!$D$2:$D$1201,DECKS!$A$2:$A$1201,INDEX(_LEITURA!$P$2:$P$21,7),DECKS!$B$2:$B$1201,$A790))</f>
        <v/>
      </c>
      <c r="R790" s="19" t="str">
        <f aca="false">IF(OR($A790="",INDEX(_LEITURA!$Q$2:$Q$21,8)=0),"",SUMIFS(DECKS!$D$2:$D$1201,DECKS!$A$2:$A$1201,INDEX(_LEITURA!$P$2:$P$21,8),DECKS!$B$2:$B$1201,$A790))</f>
        <v/>
      </c>
      <c r="S790" s="19" t="str">
        <f aca="false">IF(OR($A790="",INDEX(_LEITURA!$Q$2:$Q$21,9)=0),"",SUMIFS(DECKS!$D$2:$D$1201,DECKS!$A$2:$A$1201,INDEX(_LEITURA!$P$2:$P$21,9),DECKS!$B$2:$B$1201,$A790))</f>
        <v/>
      </c>
      <c r="T790" s="19" t="str">
        <f aca="false">IF(OR($A790="",INDEX(_LEITURA!$Q$2:$Q$21,10)=0),"",SUMIFS(DECKS!$D$2:$D$1201,DECKS!$A$2:$A$1201,INDEX(_LEITURA!$P$2:$P$21,10),DECKS!$B$2:$B$1201,$A790))</f>
        <v/>
      </c>
      <c r="U790" s="19" t="str">
        <f aca="false">IF(OR($A790="",INDEX(_LEITURA!$Q$2:$Q$21,11)=0),"",SUMIFS(DECKS!$D$2:$D$1201,DECKS!$A$2:$A$1201,INDEX(_LEITURA!$P$2:$P$21,11),DECKS!$B$2:$B$1201,$A790))</f>
        <v/>
      </c>
      <c r="V790" s="19" t="str">
        <f aca="false">IF(OR($A790="",INDEX(_LEITURA!$Q$2:$Q$21,12)=0),"",SUMIFS(DECKS!$D$2:$D$1201,DECKS!$A$2:$A$1201,INDEX(_LEITURA!$P$2:$P$21,12),DECKS!$B$2:$B$1201,$A790))</f>
        <v/>
      </c>
      <c r="W790" s="19" t="str">
        <f aca="false">IF(OR($A790="",INDEX(_LEITURA!$Q$2:$Q$21,13)=0),"",SUMIFS(DECKS!$D$2:$D$1201,DECKS!$A$2:$A$1201,INDEX(_LEITURA!$P$2:$P$21,13),DECKS!$B$2:$B$1201,$A790))</f>
        <v/>
      </c>
      <c r="X790" s="19" t="str">
        <f aca="false">IF(OR($A790="",INDEX(_LEITURA!$Q$2:$Q$21,14)=0),"",SUMIFS(DECKS!$D$2:$D$1201,DECKS!$A$2:$A$1201,INDEX(_LEITURA!$P$2:$P$21,14),DECKS!$B$2:$B$1201,$A790))</f>
        <v/>
      </c>
      <c r="Y790" s="19" t="str">
        <f aca="false">IF(OR($A790="",INDEX(_LEITURA!$Q$2:$Q$21,15)=0),"",SUMIFS(DECKS!$D$2:$D$1201,DECKS!$A$2:$A$1201,INDEX(_LEITURA!$P$2:$P$21,15),DECKS!$B$2:$B$1201,$A790))</f>
        <v/>
      </c>
      <c r="Z790" s="19" t="str">
        <f aca="false">IF(OR($A790="",INDEX(_LEITURA!$Q$2:$Q$21,16)=0),"",SUMIFS(DECKS!$D$2:$D$1201,DECKS!$A$2:$A$1201,INDEX(_LEITURA!$P$2:$P$21,16),DECKS!$B$2:$B$1201,$A790))</f>
        <v/>
      </c>
      <c r="AA790" s="19" t="str">
        <f aca="false">IF(OR($A790="",INDEX(_LEITURA!$Q$2:$Q$21,17)=0),"",SUMIFS(DECKS!$D$2:$D$1201,DECKS!$A$2:$A$1201,INDEX(_LEITURA!$P$2:$P$21,17),DECKS!$B$2:$B$1201,$A790))</f>
        <v/>
      </c>
      <c r="AB790" s="19" t="str">
        <f aca="false">IF(OR($A790="",INDEX(_LEITURA!$Q$2:$Q$21,18)=0),"",SUMIFS(DECKS!$D$2:$D$1201,DECKS!$A$2:$A$1201,INDEX(_LEITURA!$P$2:$P$21,18),DECKS!$B$2:$B$1201,$A790))</f>
        <v/>
      </c>
      <c r="AC790" s="19" t="str">
        <f aca="false">IF(OR($A790="",INDEX(_LEITURA!$Q$2:$Q$21,19)=0),"",SUMIFS(DECKS!$D$2:$D$1201,DECKS!$A$2:$A$1201,INDEX(_LEITURA!$P$2:$P$21,19),DECKS!$B$2:$B$1201,$A790))</f>
        <v/>
      </c>
      <c r="AD790" s="19" t="str">
        <f aca="false">IF(OR($A790="",INDEX(_LEITURA!$Q$2:$Q$21,20)=0),"",SUMIFS(DECKS!$D$2:$D$1201,DECKS!$A$2:$A$1201,INDEX(_LEITURA!$P$2:$P$21,20),DECKS!$B$2:$B$1201,$A790))</f>
        <v/>
      </c>
      <c r="AE790" s="16" t="str">
        <f aca="false">IF(N(E790)&gt;0,MAX(AE$1:AE789)+1,"")</f>
        <v/>
      </c>
      <c r="AF790" s="11" t="str">
        <f aca="false">IF(A790="","",IFERROR(LEFT(A790,FIND("-",A790)-1),A790))</f>
        <v/>
      </c>
      <c r="AG790" s="11" t="str">
        <f aca="false">IF(AF790="","",IF(ISNUMBER(--MID(AF790,1,1)),0,IF(ISNUMBER(--MID(AF790,2,1)),1,IF(ISNUMBER(--MID(AF790,3,1)),2,IF(ISNUMBER(--MID(AF790,4,1)),3,MIN(LEN(AF790),4))))))</f>
        <v/>
      </c>
      <c r="AH790" s="11" t="str">
        <f aca="false">IF(A790="","",LEFT(AF790,AG790)&amp;REPT("0",4-AG790)&amp;RIGHT("000"&amp;IFERROR(VALUE(MID(AF790,AG790+1,9)),0),3)&amp;RIGHT("0000"&amp;IFERROR(VALUE(MID(A790,FIND("-",A790)+1,9)),0),4))</f>
        <v/>
      </c>
      <c r="AI790" s="11" t="str">
        <f aca="false">IF(OR(A790="",N(E790)&lt;=0),"",IF('FALTAS GERAL'!$M$1="Código","K"&amp;AH790&amp;RIGHT("00000"&amp;ROW(),5),IF('FALTAS GERAL'!$M$1="Nome","K"&amp;UPPER(SUBSTITUTE(SUBSTITUTE(SUBSTITUTE(B790,"*",""),"?",""),"~",""))&amp;"0"&amp;AH790&amp;RIGHT("00000"&amp;ROW(),5),IF('FALTAS GERAL'!$M$1="Falta (maior primeiro)","K"&amp;RIGHT("0000"&amp;(9999-E790),4)&amp;AH790&amp;RIGHT("00000"&amp;ROW(),5),IF('FALTAS GERAL'!$M$1="Nº de decks (maior primeiro)","K"&amp;RIGHT("00"&amp;(99-N(G790)),2)&amp;AH790&amp;RIGHT("00000"&amp;ROW(),5),"K"&amp;RIGHT("00000"&amp;ROW(),5))))))</f>
        <v/>
      </c>
      <c r="AJ790" s="11" t="str">
        <f aca="false">IF(AI790="","",COUNTIFS($AI$2:$AI$801,"&lt;"&amp;AI790,$E$2:$E$801,"&gt;0")+1)</f>
        <v/>
      </c>
      <c r="AK790" s="11" t="str">
        <f aca="false">IF(OR(A790="",N(E790)&lt;=0),"",COUNTIFS($AH$2:$AH$801,"&lt;"&amp;AH790,$E$2:$E$801,"&gt;0")+COUNTIFS($AH$2:AH790,AH790,$E$2:E790,"&gt;0"))</f>
        <v/>
      </c>
    </row>
    <row r="791" customFormat="false" ht="15" hidden="false" customHeight="false" outlineLevel="0" collapsed="false">
      <c r="A791" s="11" t="str">
        <f aca="false">IF(INVENTÁRIO!A791="","",INVENTÁRIO!A791)</f>
        <v/>
      </c>
      <c r="B791" s="11" t="str">
        <f aca="false">IF(A791="","",INVENTÁRIO!B791)</f>
        <v/>
      </c>
      <c r="C791" s="16" t="str">
        <f aca="false">IF(A791="","",INVENTÁRIO!C791)</f>
        <v/>
      </c>
      <c r="D791" s="14" t="str">
        <f aca="false">IF(A791="","",MAX(K791:AD791))</f>
        <v/>
      </c>
      <c r="E791" s="14" t="str">
        <f aca="false">IF(A791="","",MAX(0,D791-C791))</f>
        <v/>
      </c>
      <c r="F791" s="16" t="str">
        <f aca="false">IF(A791="","",IF(D791=0,"Fora dos decks",IF(E791=0,"Completo","Falta")))</f>
        <v/>
      </c>
      <c r="G791" s="16" t="str">
        <f aca="false">IF(A791="","",COUNTIF(K791:AD791,"&gt;0"))</f>
        <v/>
      </c>
      <c r="H791" s="16" t="str">
        <f aca="false">IF(A791="","",IF(G791&gt;1,"Sim",""))</f>
        <v/>
      </c>
      <c r="I791" s="18" t="str">
        <f aca="false">IF(A791="","",SUMIFS(DECKS!$D$2:$D$1201,DECKS!$B$2:$B$1201,A791))</f>
        <v/>
      </c>
      <c r="J791" s="18" t="str">
        <f aca="false">IF(A791="","",MAX(0,I791-C791))</f>
        <v/>
      </c>
      <c r="K791" s="19" t="str">
        <f aca="false">IF(OR($A791="",INDEX(_LEITURA!$Q$2:$Q$21,1)=0),"",SUMIFS(DECKS!$D$2:$D$1201,DECKS!$A$2:$A$1201,INDEX(_LEITURA!$P$2:$P$21,1),DECKS!$B$2:$B$1201,$A791))</f>
        <v/>
      </c>
      <c r="L791" s="19" t="str">
        <f aca="false">IF(OR($A791="",INDEX(_LEITURA!$Q$2:$Q$21,2)=0),"",SUMIFS(DECKS!$D$2:$D$1201,DECKS!$A$2:$A$1201,INDEX(_LEITURA!$P$2:$P$21,2),DECKS!$B$2:$B$1201,$A791))</f>
        <v/>
      </c>
      <c r="M791" s="19" t="str">
        <f aca="false">IF(OR($A791="",INDEX(_LEITURA!$Q$2:$Q$21,3)=0),"",SUMIFS(DECKS!$D$2:$D$1201,DECKS!$A$2:$A$1201,INDEX(_LEITURA!$P$2:$P$21,3),DECKS!$B$2:$B$1201,$A791))</f>
        <v/>
      </c>
      <c r="N791" s="19" t="str">
        <f aca="false">IF(OR($A791="",INDEX(_LEITURA!$Q$2:$Q$21,4)=0),"",SUMIFS(DECKS!$D$2:$D$1201,DECKS!$A$2:$A$1201,INDEX(_LEITURA!$P$2:$P$21,4),DECKS!$B$2:$B$1201,$A791))</f>
        <v/>
      </c>
      <c r="O791" s="19" t="str">
        <f aca="false">IF(OR($A791="",INDEX(_LEITURA!$Q$2:$Q$21,5)=0),"",SUMIFS(DECKS!$D$2:$D$1201,DECKS!$A$2:$A$1201,INDEX(_LEITURA!$P$2:$P$21,5),DECKS!$B$2:$B$1201,$A791))</f>
        <v/>
      </c>
      <c r="P791" s="19" t="str">
        <f aca="false">IF(OR($A791="",INDEX(_LEITURA!$Q$2:$Q$21,6)=0),"",SUMIFS(DECKS!$D$2:$D$1201,DECKS!$A$2:$A$1201,INDEX(_LEITURA!$P$2:$P$21,6),DECKS!$B$2:$B$1201,$A791))</f>
        <v/>
      </c>
      <c r="Q791" s="19" t="str">
        <f aca="false">IF(OR($A791="",INDEX(_LEITURA!$Q$2:$Q$21,7)=0),"",SUMIFS(DECKS!$D$2:$D$1201,DECKS!$A$2:$A$1201,INDEX(_LEITURA!$P$2:$P$21,7),DECKS!$B$2:$B$1201,$A791))</f>
        <v/>
      </c>
      <c r="R791" s="19" t="str">
        <f aca="false">IF(OR($A791="",INDEX(_LEITURA!$Q$2:$Q$21,8)=0),"",SUMIFS(DECKS!$D$2:$D$1201,DECKS!$A$2:$A$1201,INDEX(_LEITURA!$P$2:$P$21,8),DECKS!$B$2:$B$1201,$A791))</f>
        <v/>
      </c>
      <c r="S791" s="19" t="str">
        <f aca="false">IF(OR($A791="",INDEX(_LEITURA!$Q$2:$Q$21,9)=0),"",SUMIFS(DECKS!$D$2:$D$1201,DECKS!$A$2:$A$1201,INDEX(_LEITURA!$P$2:$P$21,9),DECKS!$B$2:$B$1201,$A791))</f>
        <v/>
      </c>
      <c r="T791" s="19" t="str">
        <f aca="false">IF(OR($A791="",INDEX(_LEITURA!$Q$2:$Q$21,10)=0),"",SUMIFS(DECKS!$D$2:$D$1201,DECKS!$A$2:$A$1201,INDEX(_LEITURA!$P$2:$P$21,10),DECKS!$B$2:$B$1201,$A791))</f>
        <v/>
      </c>
      <c r="U791" s="19" t="str">
        <f aca="false">IF(OR($A791="",INDEX(_LEITURA!$Q$2:$Q$21,11)=0),"",SUMIFS(DECKS!$D$2:$D$1201,DECKS!$A$2:$A$1201,INDEX(_LEITURA!$P$2:$P$21,11),DECKS!$B$2:$B$1201,$A791))</f>
        <v/>
      </c>
      <c r="V791" s="19" t="str">
        <f aca="false">IF(OR($A791="",INDEX(_LEITURA!$Q$2:$Q$21,12)=0),"",SUMIFS(DECKS!$D$2:$D$1201,DECKS!$A$2:$A$1201,INDEX(_LEITURA!$P$2:$P$21,12),DECKS!$B$2:$B$1201,$A791))</f>
        <v/>
      </c>
      <c r="W791" s="19" t="str">
        <f aca="false">IF(OR($A791="",INDEX(_LEITURA!$Q$2:$Q$21,13)=0),"",SUMIFS(DECKS!$D$2:$D$1201,DECKS!$A$2:$A$1201,INDEX(_LEITURA!$P$2:$P$21,13),DECKS!$B$2:$B$1201,$A791))</f>
        <v/>
      </c>
      <c r="X791" s="19" t="str">
        <f aca="false">IF(OR($A791="",INDEX(_LEITURA!$Q$2:$Q$21,14)=0),"",SUMIFS(DECKS!$D$2:$D$1201,DECKS!$A$2:$A$1201,INDEX(_LEITURA!$P$2:$P$21,14),DECKS!$B$2:$B$1201,$A791))</f>
        <v/>
      </c>
      <c r="Y791" s="19" t="str">
        <f aca="false">IF(OR($A791="",INDEX(_LEITURA!$Q$2:$Q$21,15)=0),"",SUMIFS(DECKS!$D$2:$D$1201,DECKS!$A$2:$A$1201,INDEX(_LEITURA!$P$2:$P$21,15),DECKS!$B$2:$B$1201,$A791))</f>
        <v/>
      </c>
      <c r="Z791" s="19" t="str">
        <f aca="false">IF(OR($A791="",INDEX(_LEITURA!$Q$2:$Q$21,16)=0),"",SUMIFS(DECKS!$D$2:$D$1201,DECKS!$A$2:$A$1201,INDEX(_LEITURA!$P$2:$P$21,16),DECKS!$B$2:$B$1201,$A791))</f>
        <v/>
      </c>
      <c r="AA791" s="19" t="str">
        <f aca="false">IF(OR($A791="",INDEX(_LEITURA!$Q$2:$Q$21,17)=0),"",SUMIFS(DECKS!$D$2:$D$1201,DECKS!$A$2:$A$1201,INDEX(_LEITURA!$P$2:$P$21,17),DECKS!$B$2:$B$1201,$A791))</f>
        <v/>
      </c>
      <c r="AB791" s="19" t="str">
        <f aca="false">IF(OR($A791="",INDEX(_LEITURA!$Q$2:$Q$21,18)=0),"",SUMIFS(DECKS!$D$2:$D$1201,DECKS!$A$2:$A$1201,INDEX(_LEITURA!$P$2:$P$21,18),DECKS!$B$2:$B$1201,$A791))</f>
        <v/>
      </c>
      <c r="AC791" s="19" t="str">
        <f aca="false">IF(OR($A791="",INDEX(_LEITURA!$Q$2:$Q$21,19)=0),"",SUMIFS(DECKS!$D$2:$D$1201,DECKS!$A$2:$A$1201,INDEX(_LEITURA!$P$2:$P$21,19),DECKS!$B$2:$B$1201,$A791))</f>
        <v/>
      </c>
      <c r="AD791" s="19" t="str">
        <f aca="false">IF(OR($A791="",INDEX(_LEITURA!$Q$2:$Q$21,20)=0),"",SUMIFS(DECKS!$D$2:$D$1201,DECKS!$A$2:$A$1201,INDEX(_LEITURA!$P$2:$P$21,20),DECKS!$B$2:$B$1201,$A791))</f>
        <v/>
      </c>
      <c r="AE791" s="16" t="str">
        <f aca="false">IF(N(E791)&gt;0,MAX(AE$1:AE790)+1,"")</f>
        <v/>
      </c>
      <c r="AF791" s="11" t="str">
        <f aca="false">IF(A791="","",IFERROR(LEFT(A791,FIND("-",A791)-1),A791))</f>
        <v/>
      </c>
      <c r="AG791" s="11" t="str">
        <f aca="false">IF(AF791="","",IF(ISNUMBER(--MID(AF791,1,1)),0,IF(ISNUMBER(--MID(AF791,2,1)),1,IF(ISNUMBER(--MID(AF791,3,1)),2,IF(ISNUMBER(--MID(AF791,4,1)),3,MIN(LEN(AF791),4))))))</f>
        <v/>
      </c>
      <c r="AH791" s="11" t="str">
        <f aca="false">IF(A791="","",LEFT(AF791,AG791)&amp;REPT("0",4-AG791)&amp;RIGHT("000"&amp;IFERROR(VALUE(MID(AF791,AG791+1,9)),0),3)&amp;RIGHT("0000"&amp;IFERROR(VALUE(MID(A791,FIND("-",A791)+1,9)),0),4))</f>
        <v/>
      </c>
      <c r="AI791" s="11" t="str">
        <f aca="false">IF(OR(A791="",N(E791)&lt;=0),"",IF('FALTAS GERAL'!$M$1="Código","K"&amp;AH791&amp;RIGHT("00000"&amp;ROW(),5),IF('FALTAS GERAL'!$M$1="Nome","K"&amp;UPPER(SUBSTITUTE(SUBSTITUTE(SUBSTITUTE(B791,"*",""),"?",""),"~",""))&amp;"0"&amp;AH791&amp;RIGHT("00000"&amp;ROW(),5),IF('FALTAS GERAL'!$M$1="Falta (maior primeiro)","K"&amp;RIGHT("0000"&amp;(9999-E791),4)&amp;AH791&amp;RIGHT("00000"&amp;ROW(),5),IF('FALTAS GERAL'!$M$1="Nº de decks (maior primeiro)","K"&amp;RIGHT("00"&amp;(99-N(G791)),2)&amp;AH791&amp;RIGHT("00000"&amp;ROW(),5),"K"&amp;RIGHT("00000"&amp;ROW(),5))))))</f>
        <v/>
      </c>
      <c r="AJ791" s="11" t="str">
        <f aca="false">IF(AI791="","",COUNTIFS($AI$2:$AI$801,"&lt;"&amp;AI791,$E$2:$E$801,"&gt;0")+1)</f>
        <v/>
      </c>
      <c r="AK791" s="11" t="str">
        <f aca="false">IF(OR(A791="",N(E791)&lt;=0),"",COUNTIFS($AH$2:$AH$801,"&lt;"&amp;AH791,$E$2:$E$801,"&gt;0")+COUNTIFS($AH$2:AH791,AH791,$E$2:E791,"&gt;0"))</f>
        <v/>
      </c>
    </row>
    <row r="792" customFormat="false" ht="15" hidden="false" customHeight="false" outlineLevel="0" collapsed="false">
      <c r="A792" s="11" t="str">
        <f aca="false">IF(INVENTÁRIO!A792="","",INVENTÁRIO!A792)</f>
        <v/>
      </c>
      <c r="B792" s="11" t="str">
        <f aca="false">IF(A792="","",INVENTÁRIO!B792)</f>
        <v/>
      </c>
      <c r="C792" s="16" t="str">
        <f aca="false">IF(A792="","",INVENTÁRIO!C792)</f>
        <v/>
      </c>
      <c r="D792" s="14" t="str">
        <f aca="false">IF(A792="","",MAX(K792:AD792))</f>
        <v/>
      </c>
      <c r="E792" s="14" t="str">
        <f aca="false">IF(A792="","",MAX(0,D792-C792))</f>
        <v/>
      </c>
      <c r="F792" s="16" t="str">
        <f aca="false">IF(A792="","",IF(D792=0,"Fora dos decks",IF(E792=0,"Completo","Falta")))</f>
        <v/>
      </c>
      <c r="G792" s="16" t="str">
        <f aca="false">IF(A792="","",COUNTIF(K792:AD792,"&gt;0"))</f>
        <v/>
      </c>
      <c r="H792" s="16" t="str">
        <f aca="false">IF(A792="","",IF(G792&gt;1,"Sim",""))</f>
        <v/>
      </c>
      <c r="I792" s="18" t="str">
        <f aca="false">IF(A792="","",SUMIFS(DECKS!$D$2:$D$1201,DECKS!$B$2:$B$1201,A792))</f>
        <v/>
      </c>
      <c r="J792" s="18" t="str">
        <f aca="false">IF(A792="","",MAX(0,I792-C792))</f>
        <v/>
      </c>
      <c r="K792" s="19" t="str">
        <f aca="false">IF(OR($A792="",INDEX(_LEITURA!$Q$2:$Q$21,1)=0),"",SUMIFS(DECKS!$D$2:$D$1201,DECKS!$A$2:$A$1201,INDEX(_LEITURA!$P$2:$P$21,1),DECKS!$B$2:$B$1201,$A792))</f>
        <v/>
      </c>
      <c r="L792" s="19" t="str">
        <f aca="false">IF(OR($A792="",INDEX(_LEITURA!$Q$2:$Q$21,2)=0),"",SUMIFS(DECKS!$D$2:$D$1201,DECKS!$A$2:$A$1201,INDEX(_LEITURA!$P$2:$P$21,2),DECKS!$B$2:$B$1201,$A792))</f>
        <v/>
      </c>
      <c r="M792" s="19" t="str">
        <f aca="false">IF(OR($A792="",INDEX(_LEITURA!$Q$2:$Q$21,3)=0),"",SUMIFS(DECKS!$D$2:$D$1201,DECKS!$A$2:$A$1201,INDEX(_LEITURA!$P$2:$P$21,3),DECKS!$B$2:$B$1201,$A792))</f>
        <v/>
      </c>
      <c r="N792" s="19" t="str">
        <f aca="false">IF(OR($A792="",INDEX(_LEITURA!$Q$2:$Q$21,4)=0),"",SUMIFS(DECKS!$D$2:$D$1201,DECKS!$A$2:$A$1201,INDEX(_LEITURA!$P$2:$P$21,4),DECKS!$B$2:$B$1201,$A792))</f>
        <v/>
      </c>
      <c r="O792" s="19" t="str">
        <f aca="false">IF(OR($A792="",INDEX(_LEITURA!$Q$2:$Q$21,5)=0),"",SUMIFS(DECKS!$D$2:$D$1201,DECKS!$A$2:$A$1201,INDEX(_LEITURA!$P$2:$P$21,5),DECKS!$B$2:$B$1201,$A792))</f>
        <v/>
      </c>
      <c r="P792" s="19" t="str">
        <f aca="false">IF(OR($A792="",INDEX(_LEITURA!$Q$2:$Q$21,6)=0),"",SUMIFS(DECKS!$D$2:$D$1201,DECKS!$A$2:$A$1201,INDEX(_LEITURA!$P$2:$P$21,6),DECKS!$B$2:$B$1201,$A792))</f>
        <v/>
      </c>
      <c r="Q792" s="19" t="str">
        <f aca="false">IF(OR($A792="",INDEX(_LEITURA!$Q$2:$Q$21,7)=0),"",SUMIFS(DECKS!$D$2:$D$1201,DECKS!$A$2:$A$1201,INDEX(_LEITURA!$P$2:$P$21,7),DECKS!$B$2:$B$1201,$A792))</f>
        <v/>
      </c>
      <c r="R792" s="19" t="str">
        <f aca="false">IF(OR($A792="",INDEX(_LEITURA!$Q$2:$Q$21,8)=0),"",SUMIFS(DECKS!$D$2:$D$1201,DECKS!$A$2:$A$1201,INDEX(_LEITURA!$P$2:$P$21,8),DECKS!$B$2:$B$1201,$A792))</f>
        <v/>
      </c>
      <c r="S792" s="19" t="str">
        <f aca="false">IF(OR($A792="",INDEX(_LEITURA!$Q$2:$Q$21,9)=0),"",SUMIFS(DECKS!$D$2:$D$1201,DECKS!$A$2:$A$1201,INDEX(_LEITURA!$P$2:$P$21,9),DECKS!$B$2:$B$1201,$A792))</f>
        <v/>
      </c>
      <c r="T792" s="19" t="str">
        <f aca="false">IF(OR($A792="",INDEX(_LEITURA!$Q$2:$Q$21,10)=0),"",SUMIFS(DECKS!$D$2:$D$1201,DECKS!$A$2:$A$1201,INDEX(_LEITURA!$P$2:$P$21,10),DECKS!$B$2:$B$1201,$A792))</f>
        <v/>
      </c>
      <c r="U792" s="19" t="str">
        <f aca="false">IF(OR($A792="",INDEX(_LEITURA!$Q$2:$Q$21,11)=0),"",SUMIFS(DECKS!$D$2:$D$1201,DECKS!$A$2:$A$1201,INDEX(_LEITURA!$P$2:$P$21,11),DECKS!$B$2:$B$1201,$A792))</f>
        <v/>
      </c>
      <c r="V792" s="19" t="str">
        <f aca="false">IF(OR($A792="",INDEX(_LEITURA!$Q$2:$Q$21,12)=0),"",SUMIFS(DECKS!$D$2:$D$1201,DECKS!$A$2:$A$1201,INDEX(_LEITURA!$P$2:$P$21,12),DECKS!$B$2:$B$1201,$A792))</f>
        <v/>
      </c>
      <c r="W792" s="19" t="str">
        <f aca="false">IF(OR($A792="",INDEX(_LEITURA!$Q$2:$Q$21,13)=0),"",SUMIFS(DECKS!$D$2:$D$1201,DECKS!$A$2:$A$1201,INDEX(_LEITURA!$P$2:$P$21,13),DECKS!$B$2:$B$1201,$A792))</f>
        <v/>
      </c>
      <c r="X792" s="19" t="str">
        <f aca="false">IF(OR($A792="",INDEX(_LEITURA!$Q$2:$Q$21,14)=0),"",SUMIFS(DECKS!$D$2:$D$1201,DECKS!$A$2:$A$1201,INDEX(_LEITURA!$P$2:$P$21,14),DECKS!$B$2:$B$1201,$A792))</f>
        <v/>
      </c>
      <c r="Y792" s="19" t="str">
        <f aca="false">IF(OR($A792="",INDEX(_LEITURA!$Q$2:$Q$21,15)=0),"",SUMIFS(DECKS!$D$2:$D$1201,DECKS!$A$2:$A$1201,INDEX(_LEITURA!$P$2:$P$21,15),DECKS!$B$2:$B$1201,$A792))</f>
        <v/>
      </c>
      <c r="Z792" s="19" t="str">
        <f aca="false">IF(OR($A792="",INDEX(_LEITURA!$Q$2:$Q$21,16)=0),"",SUMIFS(DECKS!$D$2:$D$1201,DECKS!$A$2:$A$1201,INDEX(_LEITURA!$P$2:$P$21,16),DECKS!$B$2:$B$1201,$A792))</f>
        <v/>
      </c>
      <c r="AA792" s="19" t="str">
        <f aca="false">IF(OR($A792="",INDEX(_LEITURA!$Q$2:$Q$21,17)=0),"",SUMIFS(DECKS!$D$2:$D$1201,DECKS!$A$2:$A$1201,INDEX(_LEITURA!$P$2:$P$21,17),DECKS!$B$2:$B$1201,$A792))</f>
        <v/>
      </c>
      <c r="AB792" s="19" t="str">
        <f aca="false">IF(OR($A792="",INDEX(_LEITURA!$Q$2:$Q$21,18)=0),"",SUMIFS(DECKS!$D$2:$D$1201,DECKS!$A$2:$A$1201,INDEX(_LEITURA!$P$2:$P$21,18),DECKS!$B$2:$B$1201,$A792))</f>
        <v/>
      </c>
      <c r="AC792" s="19" t="str">
        <f aca="false">IF(OR($A792="",INDEX(_LEITURA!$Q$2:$Q$21,19)=0),"",SUMIFS(DECKS!$D$2:$D$1201,DECKS!$A$2:$A$1201,INDEX(_LEITURA!$P$2:$P$21,19),DECKS!$B$2:$B$1201,$A792))</f>
        <v/>
      </c>
      <c r="AD792" s="19" t="str">
        <f aca="false">IF(OR($A792="",INDEX(_LEITURA!$Q$2:$Q$21,20)=0),"",SUMIFS(DECKS!$D$2:$D$1201,DECKS!$A$2:$A$1201,INDEX(_LEITURA!$P$2:$P$21,20),DECKS!$B$2:$B$1201,$A792))</f>
        <v/>
      </c>
      <c r="AE792" s="16" t="str">
        <f aca="false">IF(N(E792)&gt;0,MAX(AE$1:AE791)+1,"")</f>
        <v/>
      </c>
      <c r="AF792" s="11" t="str">
        <f aca="false">IF(A792="","",IFERROR(LEFT(A792,FIND("-",A792)-1),A792))</f>
        <v/>
      </c>
      <c r="AG792" s="11" t="str">
        <f aca="false">IF(AF792="","",IF(ISNUMBER(--MID(AF792,1,1)),0,IF(ISNUMBER(--MID(AF792,2,1)),1,IF(ISNUMBER(--MID(AF792,3,1)),2,IF(ISNUMBER(--MID(AF792,4,1)),3,MIN(LEN(AF792),4))))))</f>
        <v/>
      </c>
      <c r="AH792" s="11" t="str">
        <f aca="false">IF(A792="","",LEFT(AF792,AG792)&amp;REPT("0",4-AG792)&amp;RIGHT("000"&amp;IFERROR(VALUE(MID(AF792,AG792+1,9)),0),3)&amp;RIGHT("0000"&amp;IFERROR(VALUE(MID(A792,FIND("-",A792)+1,9)),0),4))</f>
        <v/>
      </c>
      <c r="AI792" s="11" t="str">
        <f aca="false">IF(OR(A792="",N(E792)&lt;=0),"",IF('FALTAS GERAL'!$M$1="Código","K"&amp;AH792&amp;RIGHT("00000"&amp;ROW(),5),IF('FALTAS GERAL'!$M$1="Nome","K"&amp;UPPER(SUBSTITUTE(SUBSTITUTE(SUBSTITUTE(B792,"*",""),"?",""),"~",""))&amp;"0"&amp;AH792&amp;RIGHT("00000"&amp;ROW(),5),IF('FALTAS GERAL'!$M$1="Falta (maior primeiro)","K"&amp;RIGHT("0000"&amp;(9999-E792),4)&amp;AH792&amp;RIGHT("00000"&amp;ROW(),5),IF('FALTAS GERAL'!$M$1="Nº de decks (maior primeiro)","K"&amp;RIGHT("00"&amp;(99-N(G792)),2)&amp;AH792&amp;RIGHT("00000"&amp;ROW(),5),"K"&amp;RIGHT("00000"&amp;ROW(),5))))))</f>
        <v/>
      </c>
      <c r="AJ792" s="11" t="str">
        <f aca="false">IF(AI792="","",COUNTIFS($AI$2:$AI$801,"&lt;"&amp;AI792,$E$2:$E$801,"&gt;0")+1)</f>
        <v/>
      </c>
      <c r="AK792" s="11" t="str">
        <f aca="false">IF(OR(A792="",N(E792)&lt;=0),"",COUNTIFS($AH$2:$AH$801,"&lt;"&amp;AH792,$E$2:$E$801,"&gt;0")+COUNTIFS($AH$2:AH792,AH792,$E$2:E792,"&gt;0"))</f>
        <v/>
      </c>
    </row>
    <row r="793" customFormat="false" ht="15" hidden="false" customHeight="false" outlineLevel="0" collapsed="false">
      <c r="A793" s="11" t="str">
        <f aca="false">IF(INVENTÁRIO!A793="","",INVENTÁRIO!A793)</f>
        <v/>
      </c>
      <c r="B793" s="11" t="str">
        <f aca="false">IF(A793="","",INVENTÁRIO!B793)</f>
        <v/>
      </c>
      <c r="C793" s="16" t="str">
        <f aca="false">IF(A793="","",INVENTÁRIO!C793)</f>
        <v/>
      </c>
      <c r="D793" s="14" t="str">
        <f aca="false">IF(A793="","",MAX(K793:AD793))</f>
        <v/>
      </c>
      <c r="E793" s="14" t="str">
        <f aca="false">IF(A793="","",MAX(0,D793-C793))</f>
        <v/>
      </c>
      <c r="F793" s="16" t="str">
        <f aca="false">IF(A793="","",IF(D793=0,"Fora dos decks",IF(E793=0,"Completo","Falta")))</f>
        <v/>
      </c>
      <c r="G793" s="16" t="str">
        <f aca="false">IF(A793="","",COUNTIF(K793:AD793,"&gt;0"))</f>
        <v/>
      </c>
      <c r="H793" s="16" t="str">
        <f aca="false">IF(A793="","",IF(G793&gt;1,"Sim",""))</f>
        <v/>
      </c>
      <c r="I793" s="18" t="str">
        <f aca="false">IF(A793="","",SUMIFS(DECKS!$D$2:$D$1201,DECKS!$B$2:$B$1201,A793))</f>
        <v/>
      </c>
      <c r="J793" s="18" t="str">
        <f aca="false">IF(A793="","",MAX(0,I793-C793))</f>
        <v/>
      </c>
      <c r="K793" s="19" t="str">
        <f aca="false">IF(OR($A793="",INDEX(_LEITURA!$Q$2:$Q$21,1)=0),"",SUMIFS(DECKS!$D$2:$D$1201,DECKS!$A$2:$A$1201,INDEX(_LEITURA!$P$2:$P$21,1),DECKS!$B$2:$B$1201,$A793))</f>
        <v/>
      </c>
      <c r="L793" s="19" t="str">
        <f aca="false">IF(OR($A793="",INDEX(_LEITURA!$Q$2:$Q$21,2)=0),"",SUMIFS(DECKS!$D$2:$D$1201,DECKS!$A$2:$A$1201,INDEX(_LEITURA!$P$2:$P$21,2),DECKS!$B$2:$B$1201,$A793))</f>
        <v/>
      </c>
      <c r="M793" s="19" t="str">
        <f aca="false">IF(OR($A793="",INDEX(_LEITURA!$Q$2:$Q$21,3)=0),"",SUMIFS(DECKS!$D$2:$D$1201,DECKS!$A$2:$A$1201,INDEX(_LEITURA!$P$2:$P$21,3),DECKS!$B$2:$B$1201,$A793))</f>
        <v/>
      </c>
      <c r="N793" s="19" t="str">
        <f aca="false">IF(OR($A793="",INDEX(_LEITURA!$Q$2:$Q$21,4)=0),"",SUMIFS(DECKS!$D$2:$D$1201,DECKS!$A$2:$A$1201,INDEX(_LEITURA!$P$2:$P$21,4),DECKS!$B$2:$B$1201,$A793))</f>
        <v/>
      </c>
      <c r="O793" s="19" t="str">
        <f aca="false">IF(OR($A793="",INDEX(_LEITURA!$Q$2:$Q$21,5)=0),"",SUMIFS(DECKS!$D$2:$D$1201,DECKS!$A$2:$A$1201,INDEX(_LEITURA!$P$2:$P$21,5),DECKS!$B$2:$B$1201,$A793))</f>
        <v/>
      </c>
      <c r="P793" s="19" t="str">
        <f aca="false">IF(OR($A793="",INDEX(_LEITURA!$Q$2:$Q$21,6)=0),"",SUMIFS(DECKS!$D$2:$D$1201,DECKS!$A$2:$A$1201,INDEX(_LEITURA!$P$2:$P$21,6),DECKS!$B$2:$B$1201,$A793))</f>
        <v/>
      </c>
      <c r="Q793" s="19" t="str">
        <f aca="false">IF(OR($A793="",INDEX(_LEITURA!$Q$2:$Q$21,7)=0),"",SUMIFS(DECKS!$D$2:$D$1201,DECKS!$A$2:$A$1201,INDEX(_LEITURA!$P$2:$P$21,7),DECKS!$B$2:$B$1201,$A793))</f>
        <v/>
      </c>
      <c r="R793" s="19" t="str">
        <f aca="false">IF(OR($A793="",INDEX(_LEITURA!$Q$2:$Q$21,8)=0),"",SUMIFS(DECKS!$D$2:$D$1201,DECKS!$A$2:$A$1201,INDEX(_LEITURA!$P$2:$P$21,8),DECKS!$B$2:$B$1201,$A793))</f>
        <v/>
      </c>
      <c r="S793" s="19" t="str">
        <f aca="false">IF(OR($A793="",INDEX(_LEITURA!$Q$2:$Q$21,9)=0),"",SUMIFS(DECKS!$D$2:$D$1201,DECKS!$A$2:$A$1201,INDEX(_LEITURA!$P$2:$P$21,9),DECKS!$B$2:$B$1201,$A793))</f>
        <v/>
      </c>
      <c r="T793" s="19" t="str">
        <f aca="false">IF(OR($A793="",INDEX(_LEITURA!$Q$2:$Q$21,10)=0),"",SUMIFS(DECKS!$D$2:$D$1201,DECKS!$A$2:$A$1201,INDEX(_LEITURA!$P$2:$P$21,10),DECKS!$B$2:$B$1201,$A793))</f>
        <v/>
      </c>
      <c r="U793" s="19" t="str">
        <f aca="false">IF(OR($A793="",INDEX(_LEITURA!$Q$2:$Q$21,11)=0),"",SUMIFS(DECKS!$D$2:$D$1201,DECKS!$A$2:$A$1201,INDEX(_LEITURA!$P$2:$P$21,11),DECKS!$B$2:$B$1201,$A793))</f>
        <v/>
      </c>
      <c r="V793" s="19" t="str">
        <f aca="false">IF(OR($A793="",INDEX(_LEITURA!$Q$2:$Q$21,12)=0),"",SUMIFS(DECKS!$D$2:$D$1201,DECKS!$A$2:$A$1201,INDEX(_LEITURA!$P$2:$P$21,12),DECKS!$B$2:$B$1201,$A793))</f>
        <v/>
      </c>
      <c r="W793" s="19" t="str">
        <f aca="false">IF(OR($A793="",INDEX(_LEITURA!$Q$2:$Q$21,13)=0),"",SUMIFS(DECKS!$D$2:$D$1201,DECKS!$A$2:$A$1201,INDEX(_LEITURA!$P$2:$P$21,13),DECKS!$B$2:$B$1201,$A793))</f>
        <v/>
      </c>
      <c r="X793" s="19" t="str">
        <f aca="false">IF(OR($A793="",INDEX(_LEITURA!$Q$2:$Q$21,14)=0),"",SUMIFS(DECKS!$D$2:$D$1201,DECKS!$A$2:$A$1201,INDEX(_LEITURA!$P$2:$P$21,14),DECKS!$B$2:$B$1201,$A793))</f>
        <v/>
      </c>
      <c r="Y793" s="19" t="str">
        <f aca="false">IF(OR($A793="",INDEX(_LEITURA!$Q$2:$Q$21,15)=0),"",SUMIFS(DECKS!$D$2:$D$1201,DECKS!$A$2:$A$1201,INDEX(_LEITURA!$P$2:$P$21,15),DECKS!$B$2:$B$1201,$A793))</f>
        <v/>
      </c>
      <c r="Z793" s="19" t="str">
        <f aca="false">IF(OR($A793="",INDEX(_LEITURA!$Q$2:$Q$21,16)=0),"",SUMIFS(DECKS!$D$2:$D$1201,DECKS!$A$2:$A$1201,INDEX(_LEITURA!$P$2:$P$21,16),DECKS!$B$2:$B$1201,$A793))</f>
        <v/>
      </c>
      <c r="AA793" s="19" t="str">
        <f aca="false">IF(OR($A793="",INDEX(_LEITURA!$Q$2:$Q$21,17)=0),"",SUMIFS(DECKS!$D$2:$D$1201,DECKS!$A$2:$A$1201,INDEX(_LEITURA!$P$2:$P$21,17),DECKS!$B$2:$B$1201,$A793))</f>
        <v/>
      </c>
      <c r="AB793" s="19" t="str">
        <f aca="false">IF(OR($A793="",INDEX(_LEITURA!$Q$2:$Q$21,18)=0),"",SUMIFS(DECKS!$D$2:$D$1201,DECKS!$A$2:$A$1201,INDEX(_LEITURA!$P$2:$P$21,18),DECKS!$B$2:$B$1201,$A793))</f>
        <v/>
      </c>
      <c r="AC793" s="19" t="str">
        <f aca="false">IF(OR($A793="",INDEX(_LEITURA!$Q$2:$Q$21,19)=0),"",SUMIFS(DECKS!$D$2:$D$1201,DECKS!$A$2:$A$1201,INDEX(_LEITURA!$P$2:$P$21,19),DECKS!$B$2:$B$1201,$A793))</f>
        <v/>
      </c>
      <c r="AD793" s="19" t="str">
        <f aca="false">IF(OR($A793="",INDEX(_LEITURA!$Q$2:$Q$21,20)=0),"",SUMIFS(DECKS!$D$2:$D$1201,DECKS!$A$2:$A$1201,INDEX(_LEITURA!$P$2:$P$21,20),DECKS!$B$2:$B$1201,$A793))</f>
        <v/>
      </c>
      <c r="AE793" s="16" t="str">
        <f aca="false">IF(N(E793)&gt;0,MAX(AE$1:AE792)+1,"")</f>
        <v/>
      </c>
      <c r="AF793" s="11" t="str">
        <f aca="false">IF(A793="","",IFERROR(LEFT(A793,FIND("-",A793)-1),A793))</f>
        <v/>
      </c>
      <c r="AG793" s="11" t="str">
        <f aca="false">IF(AF793="","",IF(ISNUMBER(--MID(AF793,1,1)),0,IF(ISNUMBER(--MID(AF793,2,1)),1,IF(ISNUMBER(--MID(AF793,3,1)),2,IF(ISNUMBER(--MID(AF793,4,1)),3,MIN(LEN(AF793),4))))))</f>
        <v/>
      </c>
      <c r="AH793" s="11" t="str">
        <f aca="false">IF(A793="","",LEFT(AF793,AG793)&amp;REPT("0",4-AG793)&amp;RIGHT("000"&amp;IFERROR(VALUE(MID(AF793,AG793+1,9)),0),3)&amp;RIGHT("0000"&amp;IFERROR(VALUE(MID(A793,FIND("-",A793)+1,9)),0),4))</f>
        <v/>
      </c>
      <c r="AI793" s="11" t="str">
        <f aca="false">IF(OR(A793="",N(E793)&lt;=0),"",IF('FALTAS GERAL'!$M$1="Código","K"&amp;AH793&amp;RIGHT("00000"&amp;ROW(),5),IF('FALTAS GERAL'!$M$1="Nome","K"&amp;UPPER(SUBSTITUTE(SUBSTITUTE(SUBSTITUTE(B793,"*",""),"?",""),"~",""))&amp;"0"&amp;AH793&amp;RIGHT("00000"&amp;ROW(),5),IF('FALTAS GERAL'!$M$1="Falta (maior primeiro)","K"&amp;RIGHT("0000"&amp;(9999-E793),4)&amp;AH793&amp;RIGHT("00000"&amp;ROW(),5),IF('FALTAS GERAL'!$M$1="Nº de decks (maior primeiro)","K"&amp;RIGHT("00"&amp;(99-N(G793)),2)&amp;AH793&amp;RIGHT("00000"&amp;ROW(),5),"K"&amp;RIGHT("00000"&amp;ROW(),5))))))</f>
        <v/>
      </c>
      <c r="AJ793" s="11" t="str">
        <f aca="false">IF(AI793="","",COUNTIFS($AI$2:$AI$801,"&lt;"&amp;AI793,$E$2:$E$801,"&gt;0")+1)</f>
        <v/>
      </c>
      <c r="AK793" s="11" t="str">
        <f aca="false">IF(OR(A793="",N(E793)&lt;=0),"",COUNTIFS($AH$2:$AH$801,"&lt;"&amp;AH793,$E$2:$E$801,"&gt;0")+COUNTIFS($AH$2:AH793,AH793,$E$2:E793,"&gt;0"))</f>
        <v/>
      </c>
    </row>
    <row r="794" customFormat="false" ht="15" hidden="false" customHeight="false" outlineLevel="0" collapsed="false">
      <c r="A794" s="11" t="str">
        <f aca="false">IF(INVENTÁRIO!A794="","",INVENTÁRIO!A794)</f>
        <v/>
      </c>
      <c r="B794" s="11" t="str">
        <f aca="false">IF(A794="","",INVENTÁRIO!B794)</f>
        <v/>
      </c>
      <c r="C794" s="16" t="str">
        <f aca="false">IF(A794="","",INVENTÁRIO!C794)</f>
        <v/>
      </c>
      <c r="D794" s="14" t="str">
        <f aca="false">IF(A794="","",MAX(K794:AD794))</f>
        <v/>
      </c>
      <c r="E794" s="14" t="str">
        <f aca="false">IF(A794="","",MAX(0,D794-C794))</f>
        <v/>
      </c>
      <c r="F794" s="16" t="str">
        <f aca="false">IF(A794="","",IF(D794=0,"Fora dos decks",IF(E794=0,"Completo","Falta")))</f>
        <v/>
      </c>
      <c r="G794" s="16" t="str">
        <f aca="false">IF(A794="","",COUNTIF(K794:AD794,"&gt;0"))</f>
        <v/>
      </c>
      <c r="H794" s="16" t="str">
        <f aca="false">IF(A794="","",IF(G794&gt;1,"Sim",""))</f>
        <v/>
      </c>
      <c r="I794" s="18" t="str">
        <f aca="false">IF(A794="","",SUMIFS(DECKS!$D$2:$D$1201,DECKS!$B$2:$B$1201,A794))</f>
        <v/>
      </c>
      <c r="J794" s="18" t="str">
        <f aca="false">IF(A794="","",MAX(0,I794-C794))</f>
        <v/>
      </c>
      <c r="K794" s="19" t="str">
        <f aca="false">IF(OR($A794="",INDEX(_LEITURA!$Q$2:$Q$21,1)=0),"",SUMIFS(DECKS!$D$2:$D$1201,DECKS!$A$2:$A$1201,INDEX(_LEITURA!$P$2:$P$21,1),DECKS!$B$2:$B$1201,$A794))</f>
        <v/>
      </c>
      <c r="L794" s="19" t="str">
        <f aca="false">IF(OR($A794="",INDEX(_LEITURA!$Q$2:$Q$21,2)=0),"",SUMIFS(DECKS!$D$2:$D$1201,DECKS!$A$2:$A$1201,INDEX(_LEITURA!$P$2:$P$21,2),DECKS!$B$2:$B$1201,$A794))</f>
        <v/>
      </c>
      <c r="M794" s="19" t="str">
        <f aca="false">IF(OR($A794="",INDEX(_LEITURA!$Q$2:$Q$21,3)=0),"",SUMIFS(DECKS!$D$2:$D$1201,DECKS!$A$2:$A$1201,INDEX(_LEITURA!$P$2:$P$21,3),DECKS!$B$2:$B$1201,$A794))</f>
        <v/>
      </c>
      <c r="N794" s="19" t="str">
        <f aca="false">IF(OR($A794="",INDEX(_LEITURA!$Q$2:$Q$21,4)=0),"",SUMIFS(DECKS!$D$2:$D$1201,DECKS!$A$2:$A$1201,INDEX(_LEITURA!$P$2:$P$21,4),DECKS!$B$2:$B$1201,$A794))</f>
        <v/>
      </c>
      <c r="O794" s="19" t="str">
        <f aca="false">IF(OR($A794="",INDEX(_LEITURA!$Q$2:$Q$21,5)=0),"",SUMIFS(DECKS!$D$2:$D$1201,DECKS!$A$2:$A$1201,INDEX(_LEITURA!$P$2:$P$21,5),DECKS!$B$2:$B$1201,$A794))</f>
        <v/>
      </c>
      <c r="P794" s="19" t="str">
        <f aca="false">IF(OR($A794="",INDEX(_LEITURA!$Q$2:$Q$21,6)=0),"",SUMIFS(DECKS!$D$2:$D$1201,DECKS!$A$2:$A$1201,INDEX(_LEITURA!$P$2:$P$21,6),DECKS!$B$2:$B$1201,$A794))</f>
        <v/>
      </c>
      <c r="Q794" s="19" t="str">
        <f aca="false">IF(OR($A794="",INDEX(_LEITURA!$Q$2:$Q$21,7)=0),"",SUMIFS(DECKS!$D$2:$D$1201,DECKS!$A$2:$A$1201,INDEX(_LEITURA!$P$2:$P$21,7),DECKS!$B$2:$B$1201,$A794))</f>
        <v/>
      </c>
      <c r="R794" s="19" t="str">
        <f aca="false">IF(OR($A794="",INDEX(_LEITURA!$Q$2:$Q$21,8)=0),"",SUMIFS(DECKS!$D$2:$D$1201,DECKS!$A$2:$A$1201,INDEX(_LEITURA!$P$2:$P$21,8),DECKS!$B$2:$B$1201,$A794))</f>
        <v/>
      </c>
      <c r="S794" s="19" t="str">
        <f aca="false">IF(OR($A794="",INDEX(_LEITURA!$Q$2:$Q$21,9)=0),"",SUMIFS(DECKS!$D$2:$D$1201,DECKS!$A$2:$A$1201,INDEX(_LEITURA!$P$2:$P$21,9),DECKS!$B$2:$B$1201,$A794))</f>
        <v/>
      </c>
      <c r="T794" s="19" t="str">
        <f aca="false">IF(OR($A794="",INDEX(_LEITURA!$Q$2:$Q$21,10)=0),"",SUMIFS(DECKS!$D$2:$D$1201,DECKS!$A$2:$A$1201,INDEX(_LEITURA!$P$2:$P$21,10),DECKS!$B$2:$B$1201,$A794))</f>
        <v/>
      </c>
      <c r="U794" s="19" t="str">
        <f aca="false">IF(OR($A794="",INDEX(_LEITURA!$Q$2:$Q$21,11)=0),"",SUMIFS(DECKS!$D$2:$D$1201,DECKS!$A$2:$A$1201,INDEX(_LEITURA!$P$2:$P$21,11),DECKS!$B$2:$B$1201,$A794))</f>
        <v/>
      </c>
      <c r="V794" s="19" t="str">
        <f aca="false">IF(OR($A794="",INDEX(_LEITURA!$Q$2:$Q$21,12)=0),"",SUMIFS(DECKS!$D$2:$D$1201,DECKS!$A$2:$A$1201,INDEX(_LEITURA!$P$2:$P$21,12),DECKS!$B$2:$B$1201,$A794))</f>
        <v/>
      </c>
      <c r="W794" s="19" t="str">
        <f aca="false">IF(OR($A794="",INDEX(_LEITURA!$Q$2:$Q$21,13)=0),"",SUMIFS(DECKS!$D$2:$D$1201,DECKS!$A$2:$A$1201,INDEX(_LEITURA!$P$2:$P$21,13),DECKS!$B$2:$B$1201,$A794))</f>
        <v/>
      </c>
      <c r="X794" s="19" t="str">
        <f aca="false">IF(OR($A794="",INDEX(_LEITURA!$Q$2:$Q$21,14)=0),"",SUMIFS(DECKS!$D$2:$D$1201,DECKS!$A$2:$A$1201,INDEX(_LEITURA!$P$2:$P$21,14),DECKS!$B$2:$B$1201,$A794))</f>
        <v/>
      </c>
      <c r="Y794" s="19" t="str">
        <f aca="false">IF(OR($A794="",INDEX(_LEITURA!$Q$2:$Q$21,15)=0),"",SUMIFS(DECKS!$D$2:$D$1201,DECKS!$A$2:$A$1201,INDEX(_LEITURA!$P$2:$P$21,15),DECKS!$B$2:$B$1201,$A794))</f>
        <v/>
      </c>
      <c r="Z794" s="19" t="str">
        <f aca="false">IF(OR($A794="",INDEX(_LEITURA!$Q$2:$Q$21,16)=0),"",SUMIFS(DECKS!$D$2:$D$1201,DECKS!$A$2:$A$1201,INDEX(_LEITURA!$P$2:$P$21,16),DECKS!$B$2:$B$1201,$A794))</f>
        <v/>
      </c>
      <c r="AA794" s="19" t="str">
        <f aca="false">IF(OR($A794="",INDEX(_LEITURA!$Q$2:$Q$21,17)=0),"",SUMIFS(DECKS!$D$2:$D$1201,DECKS!$A$2:$A$1201,INDEX(_LEITURA!$P$2:$P$21,17),DECKS!$B$2:$B$1201,$A794))</f>
        <v/>
      </c>
      <c r="AB794" s="19" t="str">
        <f aca="false">IF(OR($A794="",INDEX(_LEITURA!$Q$2:$Q$21,18)=0),"",SUMIFS(DECKS!$D$2:$D$1201,DECKS!$A$2:$A$1201,INDEX(_LEITURA!$P$2:$P$21,18),DECKS!$B$2:$B$1201,$A794))</f>
        <v/>
      </c>
      <c r="AC794" s="19" t="str">
        <f aca="false">IF(OR($A794="",INDEX(_LEITURA!$Q$2:$Q$21,19)=0),"",SUMIFS(DECKS!$D$2:$D$1201,DECKS!$A$2:$A$1201,INDEX(_LEITURA!$P$2:$P$21,19),DECKS!$B$2:$B$1201,$A794))</f>
        <v/>
      </c>
      <c r="AD794" s="19" t="str">
        <f aca="false">IF(OR($A794="",INDEX(_LEITURA!$Q$2:$Q$21,20)=0),"",SUMIFS(DECKS!$D$2:$D$1201,DECKS!$A$2:$A$1201,INDEX(_LEITURA!$P$2:$P$21,20),DECKS!$B$2:$B$1201,$A794))</f>
        <v/>
      </c>
      <c r="AE794" s="16" t="str">
        <f aca="false">IF(N(E794)&gt;0,MAX(AE$1:AE793)+1,"")</f>
        <v/>
      </c>
      <c r="AF794" s="11" t="str">
        <f aca="false">IF(A794="","",IFERROR(LEFT(A794,FIND("-",A794)-1),A794))</f>
        <v/>
      </c>
      <c r="AG794" s="11" t="str">
        <f aca="false">IF(AF794="","",IF(ISNUMBER(--MID(AF794,1,1)),0,IF(ISNUMBER(--MID(AF794,2,1)),1,IF(ISNUMBER(--MID(AF794,3,1)),2,IF(ISNUMBER(--MID(AF794,4,1)),3,MIN(LEN(AF794),4))))))</f>
        <v/>
      </c>
      <c r="AH794" s="11" t="str">
        <f aca="false">IF(A794="","",LEFT(AF794,AG794)&amp;REPT("0",4-AG794)&amp;RIGHT("000"&amp;IFERROR(VALUE(MID(AF794,AG794+1,9)),0),3)&amp;RIGHT("0000"&amp;IFERROR(VALUE(MID(A794,FIND("-",A794)+1,9)),0),4))</f>
        <v/>
      </c>
      <c r="AI794" s="11" t="str">
        <f aca="false">IF(OR(A794="",N(E794)&lt;=0),"",IF('FALTAS GERAL'!$M$1="Código","K"&amp;AH794&amp;RIGHT("00000"&amp;ROW(),5),IF('FALTAS GERAL'!$M$1="Nome","K"&amp;UPPER(SUBSTITUTE(SUBSTITUTE(SUBSTITUTE(B794,"*",""),"?",""),"~",""))&amp;"0"&amp;AH794&amp;RIGHT("00000"&amp;ROW(),5),IF('FALTAS GERAL'!$M$1="Falta (maior primeiro)","K"&amp;RIGHT("0000"&amp;(9999-E794),4)&amp;AH794&amp;RIGHT("00000"&amp;ROW(),5),IF('FALTAS GERAL'!$M$1="Nº de decks (maior primeiro)","K"&amp;RIGHT("00"&amp;(99-N(G794)),2)&amp;AH794&amp;RIGHT("00000"&amp;ROW(),5),"K"&amp;RIGHT("00000"&amp;ROW(),5))))))</f>
        <v/>
      </c>
      <c r="AJ794" s="11" t="str">
        <f aca="false">IF(AI794="","",COUNTIFS($AI$2:$AI$801,"&lt;"&amp;AI794,$E$2:$E$801,"&gt;0")+1)</f>
        <v/>
      </c>
      <c r="AK794" s="11" t="str">
        <f aca="false">IF(OR(A794="",N(E794)&lt;=0),"",COUNTIFS($AH$2:$AH$801,"&lt;"&amp;AH794,$E$2:$E$801,"&gt;0")+COUNTIFS($AH$2:AH794,AH794,$E$2:E794,"&gt;0"))</f>
        <v/>
      </c>
    </row>
    <row r="795" customFormat="false" ht="15" hidden="false" customHeight="false" outlineLevel="0" collapsed="false">
      <c r="A795" s="11" t="str">
        <f aca="false">IF(INVENTÁRIO!A795="","",INVENTÁRIO!A795)</f>
        <v/>
      </c>
      <c r="B795" s="11" t="str">
        <f aca="false">IF(A795="","",INVENTÁRIO!B795)</f>
        <v/>
      </c>
      <c r="C795" s="16" t="str">
        <f aca="false">IF(A795="","",INVENTÁRIO!C795)</f>
        <v/>
      </c>
      <c r="D795" s="14" t="str">
        <f aca="false">IF(A795="","",MAX(K795:AD795))</f>
        <v/>
      </c>
      <c r="E795" s="14" t="str">
        <f aca="false">IF(A795="","",MAX(0,D795-C795))</f>
        <v/>
      </c>
      <c r="F795" s="16" t="str">
        <f aca="false">IF(A795="","",IF(D795=0,"Fora dos decks",IF(E795=0,"Completo","Falta")))</f>
        <v/>
      </c>
      <c r="G795" s="16" t="str">
        <f aca="false">IF(A795="","",COUNTIF(K795:AD795,"&gt;0"))</f>
        <v/>
      </c>
      <c r="H795" s="16" t="str">
        <f aca="false">IF(A795="","",IF(G795&gt;1,"Sim",""))</f>
        <v/>
      </c>
      <c r="I795" s="18" t="str">
        <f aca="false">IF(A795="","",SUMIFS(DECKS!$D$2:$D$1201,DECKS!$B$2:$B$1201,A795))</f>
        <v/>
      </c>
      <c r="J795" s="18" t="str">
        <f aca="false">IF(A795="","",MAX(0,I795-C795))</f>
        <v/>
      </c>
      <c r="K795" s="19" t="str">
        <f aca="false">IF(OR($A795="",INDEX(_LEITURA!$Q$2:$Q$21,1)=0),"",SUMIFS(DECKS!$D$2:$D$1201,DECKS!$A$2:$A$1201,INDEX(_LEITURA!$P$2:$P$21,1),DECKS!$B$2:$B$1201,$A795))</f>
        <v/>
      </c>
      <c r="L795" s="19" t="str">
        <f aca="false">IF(OR($A795="",INDEX(_LEITURA!$Q$2:$Q$21,2)=0),"",SUMIFS(DECKS!$D$2:$D$1201,DECKS!$A$2:$A$1201,INDEX(_LEITURA!$P$2:$P$21,2),DECKS!$B$2:$B$1201,$A795))</f>
        <v/>
      </c>
      <c r="M795" s="19" t="str">
        <f aca="false">IF(OR($A795="",INDEX(_LEITURA!$Q$2:$Q$21,3)=0),"",SUMIFS(DECKS!$D$2:$D$1201,DECKS!$A$2:$A$1201,INDEX(_LEITURA!$P$2:$P$21,3),DECKS!$B$2:$B$1201,$A795))</f>
        <v/>
      </c>
      <c r="N795" s="19" t="str">
        <f aca="false">IF(OR($A795="",INDEX(_LEITURA!$Q$2:$Q$21,4)=0),"",SUMIFS(DECKS!$D$2:$D$1201,DECKS!$A$2:$A$1201,INDEX(_LEITURA!$P$2:$P$21,4),DECKS!$B$2:$B$1201,$A795))</f>
        <v/>
      </c>
      <c r="O795" s="19" t="str">
        <f aca="false">IF(OR($A795="",INDEX(_LEITURA!$Q$2:$Q$21,5)=0),"",SUMIFS(DECKS!$D$2:$D$1201,DECKS!$A$2:$A$1201,INDEX(_LEITURA!$P$2:$P$21,5),DECKS!$B$2:$B$1201,$A795))</f>
        <v/>
      </c>
      <c r="P795" s="19" t="str">
        <f aca="false">IF(OR($A795="",INDEX(_LEITURA!$Q$2:$Q$21,6)=0),"",SUMIFS(DECKS!$D$2:$D$1201,DECKS!$A$2:$A$1201,INDEX(_LEITURA!$P$2:$P$21,6),DECKS!$B$2:$B$1201,$A795))</f>
        <v/>
      </c>
      <c r="Q795" s="19" t="str">
        <f aca="false">IF(OR($A795="",INDEX(_LEITURA!$Q$2:$Q$21,7)=0),"",SUMIFS(DECKS!$D$2:$D$1201,DECKS!$A$2:$A$1201,INDEX(_LEITURA!$P$2:$P$21,7),DECKS!$B$2:$B$1201,$A795))</f>
        <v/>
      </c>
      <c r="R795" s="19" t="str">
        <f aca="false">IF(OR($A795="",INDEX(_LEITURA!$Q$2:$Q$21,8)=0),"",SUMIFS(DECKS!$D$2:$D$1201,DECKS!$A$2:$A$1201,INDEX(_LEITURA!$P$2:$P$21,8),DECKS!$B$2:$B$1201,$A795))</f>
        <v/>
      </c>
      <c r="S795" s="19" t="str">
        <f aca="false">IF(OR($A795="",INDEX(_LEITURA!$Q$2:$Q$21,9)=0),"",SUMIFS(DECKS!$D$2:$D$1201,DECKS!$A$2:$A$1201,INDEX(_LEITURA!$P$2:$P$21,9),DECKS!$B$2:$B$1201,$A795))</f>
        <v/>
      </c>
      <c r="T795" s="19" t="str">
        <f aca="false">IF(OR($A795="",INDEX(_LEITURA!$Q$2:$Q$21,10)=0),"",SUMIFS(DECKS!$D$2:$D$1201,DECKS!$A$2:$A$1201,INDEX(_LEITURA!$P$2:$P$21,10),DECKS!$B$2:$B$1201,$A795))</f>
        <v/>
      </c>
      <c r="U795" s="19" t="str">
        <f aca="false">IF(OR($A795="",INDEX(_LEITURA!$Q$2:$Q$21,11)=0),"",SUMIFS(DECKS!$D$2:$D$1201,DECKS!$A$2:$A$1201,INDEX(_LEITURA!$P$2:$P$21,11),DECKS!$B$2:$B$1201,$A795))</f>
        <v/>
      </c>
      <c r="V795" s="19" t="str">
        <f aca="false">IF(OR($A795="",INDEX(_LEITURA!$Q$2:$Q$21,12)=0),"",SUMIFS(DECKS!$D$2:$D$1201,DECKS!$A$2:$A$1201,INDEX(_LEITURA!$P$2:$P$21,12),DECKS!$B$2:$B$1201,$A795))</f>
        <v/>
      </c>
      <c r="W795" s="19" t="str">
        <f aca="false">IF(OR($A795="",INDEX(_LEITURA!$Q$2:$Q$21,13)=0),"",SUMIFS(DECKS!$D$2:$D$1201,DECKS!$A$2:$A$1201,INDEX(_LEITURA!$P$2:$P$21,13),DECKS!$B$2:$B$1201,$A795))</f>
        <v/>
      </c>
      <c r="X795" s="19" t="str">
        <f aca="false">IF(OR($A795="",INDEX(_LEITURA!$Q$2:$Q$21,14)=0),"",SUMIFS(DECKS!$D$2:$D$1201,DECKS!$A$2:$A$1201,INDEX(_LEITURA!$P$2:$P$21,14),DECKS!$B$2:$B$1201,$A795))</f>
        <v/>
      </c>
      <c r="Y795" s="19" t="str">
        <f aca="false">IF(OR($A795="",INDEX(_LEITURA!$Q$2:$Q$21,15)=0),"",SUMIFS(DECKS!$D$2:$D$1201,DECKS!$A$2:$A$1201,INDEX(_LEITURA!$P$2:$P$21,15),DECKS!$B$2:$B$1201,$A795))</f>
        <v/>
      </c>
      <c r="Z795" s="19" t="str">
        <f aca="false">IF(OR($A795="",INDEX(_LEITURA!$Q$2:$Q$21,16)=0),"",SUMIFS(DECKS!$D$2:$D$1201,DECKS!$A$2:$A$1201,INDEX(_LEITURA!$P$2:$P$21,16),DECKS!$B$2:$B$1201,$A795))</f>
        <v/>
      </c>
      <c r="AA795" s="19" t="str">
        <f aca="false">IF(OR($A795="",INDEX(_LEITURA!$Q$2:$Q$21,17)=0),"",SUMIFS(DECKS!$D$2:$D$1201,DECKS!$A$2:$A$1201,INDEX(_LEITURA!$P$2:$P$21,17),DECKS!$B$2:$B$1201,$A795))</f>
        <v/>
      </c>
      <c r="AB795" s="19" t="str">
        <f aca="false">IF(OR($A795="",INDEX(_LEITURA!$Q$2:$Q$21,18)=0),"",SUMIFS(DECKS!$D$2:$D$1201,DECKS!$A$2:$A$1201,INDEX(_LEITURA!$P$2:$P$21,18),DECKS!$B$2:$B$1201,$A795))</f>
        <v/>
      </c>
      <c r="AC795" s="19" t="str">
        <f aca="false">IF(OR($A795="",INDEX(_LEITURA!$Q$2:$Q$21,19)=0),"",SUMIFS(DECKS!$D$2:$D$1201,DECKS!$A$2:$A$1201,INDEX(_LEITURA!$P$2:$P$21,19),DECKS!$B$2:$B$1201,$A795))</f>
        <v/>
      </c>
      <c r="AD795" s="19" t="str">
        <f aca="false">IF(OR($A795="",INDEX(_LEITURA!$Q$2:$Q$21,20)=0),"",SUMIFS(DECKS!$D$2:$D$1201,DECKS!$A$2:$A$1201,INDEX(_LEITURA!$P$2:$P$21,20),DECKS!$B$2:$B$1201,$A795))</f>
        <v/>
      </c>
      <c r="AE795" s="16" t="str">
        <f aca="false">IF(N(E795)&gt;0,MAX(AE$1:AE794)+1,"")</f>
        <v/>
      </c>
      <c r="AF795" s="11" t="str">
        <f aca="false">IF(A795="","",IFERROR(LEFT(A795,FIND("-",A795)-1),A795))</f>
        <v/>
      </c>
      <c r="AG795" s="11" t="str">
        <f aca="false">IF(AF795="","",IF(ISNUMBER(--MID(AF795,1,1)),0,IF(ISNUMBER(--MID(AF795,2,1)),1,IF(ISNUMBER(--MID(AF795,3,1)),2,IF(ISNUMBER(--MID(AF795,4,1)),3,MIN(LEN(AF795),4))))))</f>
        <v/>
      </c>
      <c r="AH795" s="11" t="str">
        <f aca="false">IF(A795="","",LEFT(AF795,AG795)&amp;REPT("0",4-AG795)&amp;RIGHT("000"&amp;IFERROR(VALUE(MID(AF795,AG795+1,9)),0),3)&amp;RIGHT("0000"&amp;IFERROR(VALUE(MID(A795,FIND("-",A795)+1,9)),0),4))</f>
        <v/>
      </c>
      <c r="AI795" s="11" t="str">
        <f aca="false">IF(OR(A795="",N(E795)&lt;=0),"",IF('FALTAS GERAL'!$M$1="Código","K"&amp;AH795&amp;RIGHT("00000"&amp;ROW(),5),IF('FALTAS GERAL'!$M$1="Nome","K"&amp;UPPER(SUBSTITUTE(SUBSTITUTE(SUBSTITUTE(B795,"*",""),"?",""),"~",""))&amp;"0"&amp;AH795&amp;RIGHT("00000"&amp;ROW(),5),IF('FALTAS GERAL'!$M$1="Falta (maior primeiro)","K"&amp;RIGHT("0000"&amp;(9999-E795),4)&amp;AH795&amp;RIGHT("00000"&amp;ROW(),5),IF('FALTAS GERAL'!$M$1="Nº de decks (maior primeiro)","K"&amp;RIGHT("00"&amp;(99-N(G795)),2)&amp;AH795&amp;RIGHT("00000"&amp;ROW(),5),"K"&amp;RIGHT("00000"&amp;ROW(),5))))))</f>
        <v/>
      </c>
      <c r="AJ795" s="11" t="str">
        <f aca="false">IF(AI795="","",COUNTIFS($AI$2:$AI$801,"&lt;"&amp;AI795,$E$2:$E$801,"&gt;0")+1)</f>
        <v/>
      </c>
      <c r="AK795" s="11" t="str">
        <f aca="false">IF(OR(A795="",N(E795)&lt;=0),"",COUNTIFS($AH$2:$AH$801,"&lt;"&amp;AH795,$E$2:$E$801,"&gt;0")+COUNTIFS($AH$2:AH795,AH795,$E$2:E795,"&gt;0"))</f>
        <v/>
      </c>
    </row>
    <row r="796" customFormat="false" ht="15" hidden="false" customHeight="false" outlineLevel="0" collapsed="false">
      <c r="A796" s="11" t="str">
        <f aca="false">IF(INVENTÁRIO!A796="","",INVENTÁRIO!A796)</f>
        <v/>
      </c>
      <c r="B796" s="11" t="str">
        <f aca="false">IF(A796="","",INVENTÁRIO!B796)</f>
        <v/>
      </c>
      <c r="C796" s="16" t="str">
        <f aca="false">IF(A796="","",INVENTÁRIO!C796)</f>
        <v/>
      </c>
      <c r="D796" s="14" t="str">
        <f aca="false">IF(A796="","",MAX(K796:AD796))</f>
        <v/>
      </c>
      <c r="E796" s="14" t="str">
        <f aca="false">IF(A796="","",MAX(0,D796-C796))</f>
        <v/>
      </c>
      <c r="F796" s="16" t="str">
        <f aca="false">IF(A796="","",IF(D796=0,"Fora dos decks",IF(E796=0,"Completo","Falta")))</f>
        <v/>
      </c>
      <c r="G796" s="16" t="str">
        <f aca="false">IF(A796="","",COUNTIF(K796:AD796,"&gt;0"))</f>
        <v/>
      </c>
      <c r="H796" s="16" t="str">
        <f aca="false">IF(A796="","",IF(G796&gt;1,"Sim",""))</f>
        <v/>
      </c>
      <c r="I796" s="18" t="str">
        <f aca="false">IF(A796="","",SUMIFS(DECKS!$D$2:$D$1201,DECKS!$B$2:$B$1201,A796))</f>
        <v/>
      </c>
      <c r="J796" s="18" t="str">
        <f aca="false">IF(A796="","",MAX(0,I796-C796))</f>
        <v/>
      </c>
      <c r="K796" s="19" t="str">
        <f aca="false">IF(OR($A796="",INDEX(_LEITURA!$Q$2:$Q$21,1)=0),"",SUMIFS(DECKS!$D$2:$D$1201,DECKS!$A$2:$A$1201,INDEX(_LEITURA!$P$2:$P$21,1),DECKS!$B$2:$B$1201,$A796))</f>
        <v/>
      </c>
      <c r="L796" s="19" t="str">
        <f aca="false">IF(OR($A796="",INDEX(_LEITURA!$Q$2:$Q$21,2)=0),"",SUMIFS(DECKS!$D$2:$D$1201,DECKS!$A$2:$A$1201,INDEX(_LEITURA!$P$2:$P$21,2),DECKS!$B$2:$B$1201,$A796))</f>
        <v/>
      </c>
      <c r="M796" s="19" t="str">
        <f aca="false">IF(OR($A796="",INDEX(_LEITURA!$Q$2:$Q$21,3)=0),"",SUMIFS(DECKS!$D$2:$D$1201,DECKS!$A$2:$A$1201,INDEX(_LEITURA!$P$2:$P$21,3),DECKS!$B$2:$B$1201,$A796))</f>
        <v/>
      </c>
      <c r="N796" s="19" t="str">
        <f aca="false">IF(OR($A796="",INDEX(_LEITURA!$Q$2:$Q$21,4)=0),"",SUMIFS(DECKS!$D$2:$D$1201,DECKS!$A$2:$A$1201,INDEX(_LEITURA!$P$2:$P$21,4),DECKS!$B$2:$B$1201,$A796))</f>
        <v/>
      </c>
      <c r="O796" s="19" t="str">
        <f aca="false">IF(OR($A796="",INDEX(_LEITURA!$Q$2:$Q$21,5)=0),"",SUMIFS(DECKS!$D$2:$D$1201,DECKS!$A$2:$A$1201,INDEX(_LEITURA!$P$2:$P$21,5),DECKS!$B$2:$B$1201,$A796))</f>
        <v/>
      </c>
      <c r="P796" s="19" t="str">
        <f aca="false">IF(OR($A796="",INDEX(_LEITURA!$Q$2:$Q$21,6)=0),"",SUMIFS(DECKS!$D$2:$D$1201,DECKS!$A$2:$A$1201,INDEX(_LEITURA!$P$2:$P$21,6),DECKS!$B$2:$B$1201,$A796))</f>
        <v/>
      </c>
      <c r="Q796" s="19" t="str">
        <f aca="false">IF(OR($A796="",INDEX(_LEITURA!$Q$2:$Q$21,7)=0),"",SUMIFS(DECKS!$D$2:$D$1201,DECKS!$A$2:$A$1201,INDEX(_LEITURA!$P$2:$P$21,7),DECKS!$B$2:$B$1201,$A796))</f>
        <v/>
      </c>
      <c r="R796" s="19" t="str">
        <f aca="false">IF(OR($A796="",INDEX(_LEITURA!$Q$2:$Q$21,8)=0),"",SUMIFS(DECKS!$D$2:$D$1201,DECKS!$A$2:$A$1201,INDEX(_LEITURA!$P$2:$P$21,8),DECKS!$B$2:$B$1201,$A796))</f>
        <v/>
      </c>
      <c r="S796" s="19" t="str">
        <f aca="false">IF(OR($A796="",INDEX(_LEITURA!$Q$2:$Q$21,9)=0),"",SUMIFS(DECKS!$D$2:$D$1201,DECKS!$A$2:$A$1201,INDEX(_LEITURA!$P$2:$P$21,9),DECKS!$B$2:$B$1201,$A796))</f>
        <v/>
      </c>
      <c r="T796" s="19" t="str">
        <f aca="false">IF(OR($A796="",INDEX(_LEITURA!$Q$2:$Q$21,10)=0),"",SUMIFS(DECKS!$D$2:$D$1201,DECKS!$A$2:$A$1201,INDEX(_LEITURA!$P$2:$P$21,10),DECKS!$B$2:$B$1201,$A796))</f>
        <v/>
      </c>
      <c r="U796" s="19" t="str">
        <f aca="false">IF(OR($A796="",INDEX(_LEITURA!$Q$2:$Q$21,11)=0),"",SUMIFS(DECKS!$D$2:$D$1201,DECKS!$A$2:$A$1201,INDEX(_LEITURA!$P$2:$P$21,11),DECKS!$B$2:$B$1201,$A796))</f>
        <v/>
      </c>
      <c r="V796" s="19" t="str">
        <f aca="false">IF(OR($A796="",INDEX(_LEITURA!$Q$2:$Q$21,12)=0),"",SUMIFS(DECKS!$D$2:$D$1201,DECKS!$A$2:$A$1201,INDEX(_LEITURA!$P$2:$P$21,12),DECKS!$B$2:$B$1201,$A796))</f>
        <v/>
      </c>
      <c r="W796" s="19" t="str">
        <f aca="false">IF(OR($A796="",INDEX(_LEITURA!$Q$2:$Q$21,13)=0),"",SUMIFS(DECKS!$D$2:$D$1201,DECKS!$A$2:$A$1201,INDEX(_LEITURA!$P$2:$P$21,13),DECKS!$B$2:$B$1201,$A796))</f>
        <v/>
      </c>
      <c r="X796" s="19" t="str">
        <f aca="false">IF(OR($A796="",INDEX(_LEITURA!$Q$2:$Q$21,14)=0),"",SUMIFS(DECKS!$D$2:$D$1201,DECKS!$A$2:$A$1201,INDEX(_LEITURA!$P$2:$P$21,14),DECKS!$B$2:$B$1201,$A796))</f>
        <v/>
      </c>
      <c r="Y796" s="19" t="str">
        <f aca="false">IF(OR($A796="",INDEX(_LEITURA!$Q$2:$Q$21,15)=0),"",SUMIFS(DECKS!$D$2:$D$1201,DECKS!$A$2:$A$1201,INDEX(_LEITURA!$P$2:$P$21,15),DECKS!$B$2:$B$1201,$A796))</f>
        <v/>
      </c>
      <c r="Z796" s="19" t="str">
        <f aca="false">IF(OR($A796="",INDEX(_LEITURA!$Q$2:$Q$21,16)=0),"",SUMIFS(DECKS!$D$2:$D$1201,DECKS!$A$2:$A$1201,INDEX(_LEITURA!$P$2:$P$21,16),DECKS!$B$2:$B$1201,$A796))</f>
        <v/>
      </c>
      <c r="AA796" s="19" t="str">
        <f aca="false">IF(OR($A796="",INDEX(_LEITURA!$Q$2:$Q$21,17)=0),"",SUMIFS(DECKS!$D$2:$D$1201,DECKS!$A$2:$A$1201,INDEX(_LEITURA!$P$2:$P$21,17),DECKS!$B$2:$B$1201,$A796))</f>
        <v/>
      </c>
      <c r="AB796" s="19" t="str">
        <f aca="false">IF(OR($A796="",INDEX(_LEITURA!$Q$2:$Q$21,18)=0),"",SUMIFS(DECKS!$D$2:$D$1201,DECKS!$A$2:$A$1201,INDEX(_LEITURA!$P$2:$P$21,18),DECKS!$B$2:$B$1201,$A796))</f>
        <v/>
      </c>
      <c r="AC796" s="19" t="str">
        <f aca="false">IF(OR($A796="",INDEX(_LEITURA!$Q$2:$Q$21,19)=0),"",SUMIFS(DECKS!$D$2:$D$1201,DECKS!$A$2:$A$1201,INDEX(_LEITURA!$P$2:$P$21,19),DECKS!$B$2:$B$1201,$A796))</f>
        <v/>
      </c>
      <c r="AD796" s="19" t="str">
        <f aca="false">IF(OR($A796="",INDEX(_LEITURA!$Q$2:$Q$21,20)=0),"",SUMIFS(DECKS!$D$2:$D$1201,DECKS!$A$2:$A$1201,INDEX(_LEITURA!$P$2:$P$21,20),DECKS!$B$2:$B$1201,$A796))</f>
        <v/>
      </c>
      <c r="AE796" s="16" t="str">
        <f aca="false">IF(N(E796)&gt;0,MAX(AE$1:AE795)+1,"")</f>
        <v/>
      </c>
      <c r="AF796" s="11" t="str">
        <f aca="false">IF(A796="","",IFERROR(LEFT(A796,FIND("-",A796)-1),A796))</f>
        <v/>
      </c>
      <c r="AG796" s="11" t="str">
        <f aca="false">IF(AF796="","",IF(ISNUMBER(--MID(AF796,1,1)),0,IF(ISNUMBER(--MID(AF796,2,1)),1,IF(ISNUMBER(--MID(AF796,3,1)),2,IF(ISNUMBER(--MID(AF796,4,1)),3,MIN(LEN(AF796),4))))))</f>
        <v/>
      </c>
      <c r="AH796" s="11" t="str">
        <f aca="false">IF(A796="","",LEFT(AF796,AG796)&amp;REPT("0",4-AG796)&amp;RIGHT("000"&amp;IFERROR(VALUE(MID(AF796,AG796+1,9)),0),3)&amp;RIGHT("0000"&amp;IFERROR(VALUE(MID(A796,FIND("-",A796)+1,9)),0),4))</f>
        <v/>
      </c>
      <c r="AI796" s="11" t="str">
        <f aca="false">IF(OR(A796="",N(E796)&lt;=0),"",IF('FALTAS GERAL'!$M$1="Código","K"&amp;AH796&amp;RIGHT("00000"&amp;ROW(),5),IF('FALTAS GERAL'!$M$1="Nome","K"&amp;UPPER(SUBSTITUTE(SUBSTITUTE(SUBSTITUTE(B796,"*",""),"?",""),"~",""))&amp;"0"&amp;AH796&amp;RIGHT("00000"&amp;ROW(),5),IF('FALTAS GERAL'!$M$1="Falta (maior primeiro)","K"&amp;RIGHT("0000"&amp;(9999-E796),4)&amp;AH796&amp;RIGHT("00000"&amp;ROW(),5),IF('FALTAS GERAL'!$M$1="Nº de decks (maior primeiro)","K"&amp;RIGHT("00"&amp;(99-N(G796)),2)&amp;AH796&amp;RIGHT("00000"&amp;ROW(),5),"K"&amp;RIGHT("00000"&amp;ROW(),5))))))</f>
        <v/>
      </c>
      <c r="AJ796" s="11" t="str">
        <f aca="false">IF(AI796="","",COUNTIFS($AI$2:$AI$801,"&lt;"&amp;AI796,$E$2:$E$801,"&gt;0")+1)</f>
        <v/>
      </c>
      <c r="AK796" s="11" t="str">
        <f aca="false">IF(OR(A796="",N(E796)&lt;=0),"",COUNTIFS($AH$2:$AH$801,"&lt;"&amp;AH796,$E$2:$E$801,"&gt;0")+COUNTIFS($AH$2:AH796,AH796,$E$2:E796,"&gt;0"))</f>
        <v/>
      </c>
    </row>
    <row r="797" customFormat="false" ht="15" hidden="false" customHeight="false" outlineLevel="0" collapsed="false">
      <c r="A797" s="11" t="str">
        <f aca="false">IF(INVENTÁRIO!A797="","",INVENTÁRIO!A797)</f>
        <v/>
      </c>
      <c r="B797" s="11" t="str">
        <f aca="false">IF(A797="","",INVENTÁRIO!B797)</f>
        <v/>
      </c>
      <c r="C797" s="16" t="str">
        <f aca="false">IF(A797="","",INVENTÁRIO!C797)</f>
        <v/>
      </c>
      <c r="D797" s="14" t="str">
        <f aca="false">IF(A797="","",MAX(K797:AD797))</f>
        <v/>
      </c>
      <c r="E797" s="14" t="str">
        <f aca="false">IF(A797="","",MAX(0,D797-C797))</f>
        <v/>
      </c>
      <c r="F797" s="16" t="str">
        <f aca="false">IF(A797="","",IF(D797=0,"Fora dos decks",IF(E797=0,"Completo","Falta")))</f>
        <v/>
      </c>
      <c r="G797" s="16" t="str">
        <f aca="false">IF(A797="","",COUNTIF(K797:AD797,"&gt;0"))</f>
        <v/>
      </c>
      <c r="H797" s="16" t="str">
        <f aca="false">IF(A797="","",IF(G797&gt;1,"Sim",""))</f>
        <v/>
      </c>
      <c r="I797" s="18" t="str">
        <f aca="false">IF(A797="","",SUMIFS(DECKS!$D$2:$D$1201,DECKS!$B$2:$B$1201,A797))</f>
        <v/>
      </c>
      <c r="J797" s="18" t="str">
        <f aca="false">IF(A797="","",MAX(0,I797-C797))</f>
        <v/>
      </c>
      <c r="K797" s="19" t="str">
        <f aca="false">IF(OR($A797="",INDEX(_LEITURA!$Q$2:$Q$21,1)=0),"",SUMIFS(DECKS!$D$2:$D$1201,DECKS!$A$2:$A$1201,INDEX(_LEITURA!$P$2:$P$21,1),DECKS!$B$2:$B$1201,$A797))</f>
        <v/>
      </c>
      <c r="L797" s="19" t="str">
        <f aca="false">IF(OR($A797="",INDEX(_LEITURA!$Q$2:$Q$21,2)=0),"",SUMIFS(DECKS!$D$2:$D$1201,DECKS!$A$2:$A$1201,INDEX(_LEITURA!$P$2:$P$21,2),DECKS!$B$2:$B$1201,$A797))</f>
        <v/>
      </c>
      <c r="M797" s="19" t="str">
        <f aca="false">IF(OR($A797="",INDEX(_LEITURA!$Q$2:$Q$21,3)=0),"",SUMIFS(DECKS!$D$2:$D$1201,DECKS!$A$2:$A$1201,INDEX(_LEITURA!$P$2:$P$21,3),DECKS!$B$2:$B$1201,$A797))</f>
        <v/>
      </c>
      <c r="N797" s="19" t="str">
        <f aca="false">IF(OR($A797="",INDEX(_LEITURA!$Q$2:$Q$21,4)=0),"",SUMIFS(DECKS!$D$2:$D$1201,DECKS!$A$2:$A$1201,INDEX(_LEITURA!$P$2:$P$21,4),DECKS!$B$2:$B$1201,$A797))</f>
        <v/>
      </c>
      <c r="O797" s="19" t="str">
        <f aca="false">IF(OR($A797="",INDEX(_LEITURA!$Q$2:$Q$21,5)=0),"",SUMIFS(DECKS!$D$2:$D$1201,DECKS!$A$2:$A$1201,INDEX(_LEITURA!$P$2:$P$21,5),DECKS!$B$2:$B$1201,$A797))</f>
        <v/>
      </c>
      <c r="P797" s="19" t="str">
        <f aca="false">IF(OR($A797="",INDEX(_LEITURA!$Q$2:$Q$21,6)=0),"",SUMIFS(DECKS!$D$2:$D$1201,DECKS!$A$2:$A$1201,INDEX(_LEITURA!$P$2:$P$21,6),DECKS!$B$2:$B$1201,$A797))</f>
        <v/>
      </c>
      <c r="Q797" s="19" t="str">
        <f aca="false">IF(OR($A797="",INDEX(_LEITURA!$Q$2:$Q$21,7)=0),"",SUMIFS(DECKS!$D$2:$D$1201,DECKS!$A$2:$A$1201,INDEX(_LEITURA!$P$2:$P$21,7),DECKS!$B$2:$B$1201,$A797))</f>
        <v/>
      </c>
      <c r="R797" s="19" t="str">
        <f aca="false">IF(OR($A797="",INDEX(_LEITURA!$Q$2:$Q$21,8)=0),"",SUMIFS(DECKS!$D$2:$D$1201,DECKS!$A$2:$A$1201,INDEX(_LEITURA!$P$2:$P$21,8),DECKS!$B$2:$B$1201,$A797))</f>
        <v/>
      </c>
      <c r="S797" s="19" t="str">
        <f aca="false">IF(OR($A797="",INDEX(_LEITURA!$Q$2:$Q$21,9)=0),"",SUMIFS(DECKS!$D$2:$D$1201,DECKS!$A$2:$A$1201,INDEX(_LEITURA!$P$2:$P$21,9),DECKS!$B$2:$B$1201,$A797))</f>
        <v/>
      </c>
      <c r="T797" s="19" t="str">
        <f aca="false">IF(OR($A797="",INDEX(_LEITURA!$Q$2:$Q$21,10)=0),"",SUMIFS(DECKS!$D$2:$D$1201,DECKS!$A$2:$A$1201,INDEX(_LEITURA!$P$2:$P$21,10),DECKS!$B$2:$B$1201,$A797))</f>
        <v/>
      </c>
      <c r="U797" s="19" t="str">
        <f aca="false">IF(OR($A797="",INDEX(_LEITURA!$Q$2:$Q$21,11)=0),"",SUMIFS(DECKS!$D$2:$D$1201,DECKS!$A$2:$A$1201,INDEX(_LEITURA!$P$2:$P$21,11),DECKS!$B$2:$B$1201,$A797))</f>
        <v/>
      </c>
      <c r="V797" s="19" t="str">
        <f aca="false">IF(OR($A797="",INDEX(_LEITURA!$Q$2:$Q$21,12)=0),"",SUMIFS(DECKS!$D$2:$D$1201,DECKS!$A$2:$A$1201,INDEX(_LEITURA!$P$2:$P$21,12),DECKS!$B$2:$B$1201,$A797))</f>
        <v/>
      </c>
      <c r="W797" s="19" t="str">
        <f aca="false">IF(OR($A797="",INDEX(_LEITURA!$Q$2:$Q$21,13)=0),"",SUMIFS(DECKS!$D$2:$D$1201,DECKS!$A$2:$A$1201,INDEX(_LEITURA!$P$2:$P$21,13),DECKS!$B$2:$B$1201,$A797))</f>
        <v/>
      </c>
      <c r="X797" s="19" t="str">
        <f aca="false">IF(OR($A797="",INDEX(_LEITURA!$Q$2:$Q$21,14)=0),"",SUMIFS(DECKS!$D$2:$D$1201,DECKS!$A$2:$A$1201,INDEX(_LEITURA!$P$2:$P$21,14),DECKS!$B$2:$B$1201,$A797))</f>
        <v/>
      </c>
      <c r="Y797" s="19" t="str">
        <f aca="false">IF(OR($A797="",INDEX(_LEITURA!$Q$2:$Q$21,15)=0),"",SUMIFS(DECKS!$D$2:$D$1201,DECKS!$A$2:$A$1201,INDEX(_LEITURA!$P$2:$P$21,15),DECKS!$B$2:$B$1201,$A797))</f>
        <v/>
      </c>
      <c r="Z797" s="19" t="str">
        <f aca="false">IF(OR($A797="",INDEX(_LEITURA!$Q$2:$Q$21,16)=0),"",SUMIFS(DECKS!$D$2:$D$1201,DECKS!$A$2:$A$1201,INDEX(_LEITURA!$P$2:$P$21,16),DECKS!$B$2:$B$1201,$A797))</f>
        <v/>
      </c>
      <c r="AA797" s="19" t="str">
        <f aca="false">IF(OR($A797="",INDEX(_LEITURA!$Q$2:$Q$21,17)=0),"",SUMIFS(DECKS!$D$2:$D$1201,DECKS!$A$2:$A$1201,INDEX(_LEITURA!$P$2:$P$21,17),DECKS!$B$2:$B$1201,$A797))</f>
        <v/>
      </c>
      <c r="AB797" s="19" t="str">
        <f aca="false">IF(OR($A797="",INDEX(_LEITURA!$Q$2:$Q$21,18)=0),"",SUMIFS(DECKS!$D$2:$D$1201,DECKS!$A$2:$A$1201,INDEX(_LEITURA!$P$2:$P$21,18),DECKS!$B$2:$B$1201,$A797))</f>
        <v/>
      </c>
      <c r="AC797" s="19" t="str">
        <f aca="false">IF(OR($A797="",INDEX(_LEITURA!$Q$2:$Q$21,19)=0),"",SUMIFS(DECKS!$D$2:$D$1201,DECKS!$A$2:$A$1201,INDEX(_LEITURA!$P$2:$P$21,19),DECKS!$B$2:$B$1201,$A797))</f>
        <v/>
      </c>
      <c r="AD797" s="19" t="str">
        <f aca="false">IF(OR($A797="",INDEX(_LEITURA!$Q$2:$Q$21,20)=0),"",SUMIFS(DECKS!$D$2:$D$1201,DECKS!$A$2:$A$1201,INDEX(_LEITURA!$P$2:$P$21,20),DECKS!$B$2:$B$1201,$A797))</f>
        <v/>
      </c>
      <c r="AE797" s="16" t="str">
        <f aca="false">IF(N(E797)&gt;0,MAX(AE$1:AE796)+1,"")</f>
        <v/>
      </c>
      <c r="AF797" s="11" t="str">
        <f aca="false">IF(A797="","",IFERROR(LEFT(A797,FIND("-",A797)-1),A797))</f>
        <v/>
      </c>
      <c r="AG797" s="11" t="str">
        <f aca="false">IF(AF797="","",IF(ISNUMBER(--MID(AF797,1,1)),0,IF(ISNUMBER(--MID(AF797,2,1)),1,IF(ISNUMBER(--MID(AF797,3,1)),2,IF(ISNUMBER(--MID(AF797,4,1)),3,MIN(LEN(AF797),4))))))</f>
        <v/>
      </c>
      <c r="AH797" s="11" t="str">
        <f aca="false">IF(A797="","",LEFT(AF797,AG797)&amp;REPT("0",4-AG797)&amp;RIGHT("000"&amp;IFERROR(VALUE(MID(AF797,AG797+1,9)),0),3)&amp;RIGHT("0000"&amp;IFERROR(VALUE(MID(A797,FIND("-",A797)+1,9)),0),4))</f>
        <v/>
      </c>
      <c r="AI797" s="11" t="str">
        <f aca="false">IF(OR(A797="",N(E797)&lt;=0),"",IF('FALTAS GERAL'!$M$1="Código","K"&amp;AH797&amp;RIGHT("00000"&amp;ROW(),5),IF('FALTAS GERAL'!$M$1="Nome","K"&amp;UPPER(SUBSTITUTE(SUBSTITUTE(SUBSTITUTE(B797,"*",""),"?",""),"~",""))&amp;"0"&amp;AH797&amp;RIGHT("00000"&amp;ROW(),5),IF('FALTAS GERAL'!$M$1="Falta (maior primeiro)","K"&amp;RIGHT("0000"&amp;(9999-E797),4)&amp;AH797&amp;RIGHT("00000"&amp;ROW(),5),IF('FALTAS GERAL'!$M$1="Nº de decks (maior primeiro)","K"&amp;RIGHT("00"&amp;(99-N(G797)),2)&amp;AH797&amp;RIGHT("00000"&amp;ROW(),5),"K"&amp;RIGHT("00000"&amp;ROW(),5))))))</f>
        <v/>
      </c>
      <c r="AJ797" s="11" t="str">
        <f aca="false">IF(AI797="","",COUNTIFS($AI$2:$AI$801,"&lt;"&amp;AI797,$E$2:$E$801,"&gt;0")+1)</f>
        <v/>
      </c>
      <c r="AK797" s="11" t="str">
        <f aca="false">IF(OR(A797="",N(E797)&lt;=0),"",COUNTIFS($AH$2:$AH$801,"&lt;"&amp;AH797,$E$2:$E$801,"&gt;0")+COUNTIFS($AH$2:AH797,AH797,$E$2:E797,"&gt;0"))</f>
        <v/>
      </c>
    </row>
    <row r="798" customFormat="false" ht="15" hidden="false" customHeight="false" outlineLevel="0" collapsed="false">
      <c r="A798" s="11" t="str">
        <f aca="false">IF(INVENTÁRIO!A798="","",INVENTÁRIO!A798)</f>
        <v/>
      </c>
      <c r="B798" s="11" t="str">
        <f aca="false">IF(A798="","",INVENTÁRIO!B798)</f>
        <v/>
      </c>
      <c r="C798" s="16" t="str">
        <f aca="false">IF(A798="","",INVENTÁRIO!C798)</f>
        <v/>
      </c>
      <c r="D798" s="14" t="str">
        <f aca="false">IF(A798="","",MAX(K798:AD798))</f>
        <v/>
      </c>
      <c r="E798" s="14" t="str">
        <f aca="false">IF(A798="","",MAX(0,D798-C798))</f>
        <v/>
      </c>
      <c r="F798" s="16" t="str">
        <f aca="false">IF(A798="","",IF(D798=0,"Fora dos decks",IF(E798=0,"Completo","Falta")))</f>
        <v/>
      </c>
      <c r="G798" s="16" t="str">
        <f aca="false">IF(A798="","",COUNTIF(K798:AD798,"&gt;0"))</f>
        <v/>
      </c>
      <c r="H798" s="16" t="str">
        <f aca="false">IF(A798="","",IF(G798&gt;1,"Sim",""))</f>
        <v/>
      </c>
      <c r="I798" s="18" t="str">
        <f aca="false">IF(A798="","",SUMIFS(DECKS!$D$2:$D$1201,DECKS!$B$2:$B$1201,A798))</f>
        <v/>
      </c>
      <c r="J798" s="18" t="str">
        <f aca="false">IF(A798="","",MAX(0,I798-C798))</f>
        <v/>
      </c>
      <c r="K798" s="19" t="str">
        <f aca="false">IF(OR($A798="",INDEX(_LEITURA!$Q$2:$Q$21,1)=0),"",SUMIFS(DECKS!$D$2:$D$1201,DECKS!$A$2:$A$1201,INDEX(_LEITURA!$P$2:$P$21,1),DECKS!$B$2:$B$1201,$A798))</f>
        <v/>
      </c>
      <c r="L798" s="19" t="str">
        <f aca="false">IF(OR($A798="",INDEX(_LEITURA!$Q$2:$Q$21,2)=0),"",SUMIFS(DECKS!$D$2:$D$1201,DECKS!$A$2:$A$1201,INDEX(_LEITURA!$P$2:$P$21,2),DECKS!$B$2:$B$1201,$A798))</f>
        <v/>
      </c>
      <c r="M798" s="19" t="str">
        <f aca="false">IF(OR($A798="",INDEX(_LEITURA!$Q$2:$Q$21,3)=0),"",SUMIFS(DECKS!$D$2:$D$1201,DECKS!$A$2:$A$1201,INDEX(_LEITURA!$P$2:$P$21,3),DECKS!$B$2:$B$1201,$A798))</f>
        <v/>
      </c>
      <c r="N798" s="19" t="str">
        <f aca="false">IF(OR($A798="",INDEX(_LEITURA!$Q$2:$Q$21,4)=0),"",SUMIFS(DECKS!$D$2:$D$1201,DECKS!$A$2:$A$1201,INDEX(_LEITURA!$P$2:$P$21,4),DECKS!$B$2:$B$1201,$A798))</f>
        <v/>
      </c>
      <c r="O798" s="19" t="str">
        <f aca="false">IF(OR($A798="",INDEX(_LEITURA!$Q$2:$Q$21,5)=0),"",SUMIFS(DECKS!$D$2:$D$1201,DECKS!$A$2:$A$1201,INDEX(_LEITURA!$P$2:$P$21,5),DECKS!$B$2:$B$1201,$A798))</f>
        <v/>
      </c>
      <c r="P798" s="19" t="str">
        <f aca="false">IF(OR($A798="",INDEX(_LEITURA!$Q$2:$Q$21,6)=0),"",SUMIFS(DECKS!$D$2:$D$1201,DECKS!$A$2:$A$1201,INDEX(_LEITURA!$P$2:$P$21,6),DECKS!$B$2:$B$1201,$A798))</f>
        <v/>
      </c>
      <c r="Q798" s="19" t="str">
        <f aca="false">IF(OR($A798="",INDEX(_LEITURA!$Q$2:$Q$21,7)=0),"",SUMIFS(DECKS!$D$2:$D$1201,DECKS!$A$2:$A$1201,INDEX(_LEITURA!$P$2:$P$21,7),DECKS!$B$2:$B$1201,$A798))</f>
        <v/>
      </c>
      <c r="R798" s="19" t="str">
        <f aca="false">IF(OR($A798="",INDEX(_LEITURA!$Q$2:$Q$21,8)=0),"",SUMIFS(DECKS!$D$2:$D$1201,DECKS!$A$2:$A$1201,INDEX(_LEITURA!$P$2:$P$21,8),DECKS!$B$2:$B$1201,$A798))</f>
        <v/>
      </c>
      <c r="S798" s="19" t="str">
        <f aca="false">IF(OR($A798="",INDEX(_LEITURA!$Q$2:$Q$21,9)=0),"",SUMIFS(DECKS!$D$2:$D$1201,DECKS!$A$2:$A$1201,INDEX(_LEITURA!$P$2:$P$21,9),DECKS!$B$2:$B$1201,$A798))</f>
        <v/>
      </c>
      <c r="T798" s="19" t="str">
        <f aca="false">IF(OR($A798="",INDEX(_LEITURA!$Q$2:$Q$21,10)=0),"",SUMIFS(DECKS!$D$2:$D$1201,DECKS!$A$2:$A$1201,INDEX(_LEITURA!$P$2:$P$21,10),DECKS!$B$2:$B$1201,$A798))</f>
        <v/>
      </c>
      <c r="U798" s="19" t="str">
        <f aca="false">IF(OR($A798="",INDEX(_LEITURA!$Q$2:$Q$21,11)=0),"",SUMIFS(DECKS!$D$2:$D$1201,DECKS!$A$2:$A$1201,INDEX(_LEITURA!$P$2:$P$21,11),DECKS!$B$2:$B$1201,$A798))</f>
        <v/>
      </c>
      <c r="V798" s="19" t="str">
        <f aca="false">IF(OR($A798="",INDEX(_LEITURA!$Q$2:$Q$21,12)=0),"",SUMIFS(DECKS!$D$2:$D$1201,DECKS!$A$2:$A$1201,INDEX(_LEITURA!$P$2:$P$21,12),DECKS!$B$2:$B$1201,$A798))</f>
        <v/>
      </c>
      <c r="W798" s="19" t="str">
        <f aca="false">IF(OR($A798="",INDEX(_LEITURA!$Q$2:$Q$21,13)=0),"",SUMIFS(DECKS!$D$2:$D$1201,DECKS!$A$2:$A$1201,INDEX(_LEITURA!$P$2:$P$21,13),DECKS!$B$2:$B$1201,$A798))</f>
        <v/>
      </c>
      <c r="X798" s="19" t="str">
        <f aca="false">IF(OR($A798="",INDEX(_LEITURA!$Q$2:$Q$21,14)=0),"",SUMIFS(DECKS!$D$2:$D$1201,DECKS!$A$2:$A$1201,INDEX(_LEITURA!$P$2:$P$21,14),DECKS!$B$2:$B$1201,$A798))</f>
        <v/>
      </c>
      <c r="Y798" s="19" t="str">
        <f aca="false">IF(OR($A798="",INDEX(_LEITURA!$Q$2:$Q$21,15)=0),"",SUMIFS(DECKS!$D$2:$D$1201,DECKS!$A$2:$A$1201,INDEX(_LEITURA!$P$2:$P$21,15),DECKS!$B$2:$B$1201,$A798))</f>
        <v/>
      </c>
      <c r="Z798" s="19" t="str">
        <f aca="false">IF(OR($A798="",INDEX(_LEITURA!$Q$2:$Q$21,16)=0),"",SUMIFS(DECKS!$D$2:$D$1201,DECKS!$A$2:$A$1201,INDEX(_LEITURA!$P$2:$P$21,16),DECKS!$B$2:$B$1201,$A798))</f>
        <v/>
      </c>
      <c r="AA798" s="19" t="str">
        <f aca="false">IF(OR($A798="",INDEX(_LEITURA!$Q$2:$Q$21,17)=0),"",SUMIFS(DECKS!$D$2:$D$1201,DECKS!$A$2:$A$1201,INDEX(_LEITURA!$P$2:$P$21,17),DECKS!$B$2:$B$1201,$A798))</f>
        <v/>
      </c>
      <c r="AB798" s="19" t="str">
        <f aca="false">IF(OR($A798="",INDEX(_LEITURA!$Q$2:$Q$21,18)=0),"",SUMIFS(DECKS!$D$2:$D$1201,DECKS!$A$2:$A$1201,INDEX(_LEITURA!$P$2:$P$21,18),DECKS!$B$2:$B$1201,$A798))</f>
        <v/>
      </c>
      <c r="AC798" s="19" t="str">
        <f aca="false">IF(OR($A798="",INDEX(_LEITURA!$Q$2:$Q$21,19)=0),"",SUMIFS(DECKS!$D$2:$D$1201,DECKS!$A$2:$A$1201,INDEX(_LEITURA!$P$2:$P$21,19),DECKS!$B$2:$B$1201,$A798))</f>
        <v/>
      </c>
      <c r="AD798" s="19" t="str">
        <f aca="false">IF(OR($A798="",INDEX(_LEITURA!$Q$2:$Q$21,20)=0),"",SUMIFS(DECKS!$D$2:$D$1201,DECKS!$A$2:$A$1201,INDEX(_LEITURA!$P$2:$P$21,20),DECKS!$B$2:$B$1201,$A798))</f>
        <v/>
      </c>
      <c r="AE798" s="16" t="str">
        <f aca="false">IF(N(E798)&gt;0,MAX(AE$1:AE797)+1,"")</f>
        <v/>
      </c>
      <c r="AF798" s="11" t="str">
        <f aca="false">IF(A798="","",IFERROR(LEFT(A798,FIND("-",A798)-1),A798))</f>
        <v/>
      </c>
      <c r="AG798" s="11" t="str">
        <f aca="false">IF(AF798="","",IF(ISNUMBER(--MID(AF798,1,1)),0,IF(ISNUMBER(--MID(AF798,2,1)),1,IF(ISNUMBER(--MID(AF798,3,1)),2,IF(ISNUMBER(--MID(AF798,4,1)),3,MIN(LEN(AF798),4))))))</f>
        <v/>
      </c>
      <c r="AH798" s="11" t="str">
        <f aca="false">IF(A798="","",LEFT(AF798,AG798)&amp;REPT("0",4-AG798)&amp;RIGHT("000"&amp;IFERROR(VALUE(MID(AF798,AG798+1,9)),0),3)&amp;RIGHT("0000"&amp;IFERROR(VALUE(MID(A798,FIND("-",A798)+1,9)),0),4))</f>
        <v/>
      </c>
      <c r="AI798" s="11" t="str">
        <f aca="false">IF(OR(A798="",N(E798)&lt;=0),"",IF('FALTAS GERAL'!$M$1="Código","K"&amp;AH798&amp;RIGHT("00000"&amp;ROW(),5),IF('FALTAS GERAL'!$M$1="Nome","K"&amp;UPPER(SUBSTITUTE(SUBSTITUTE(SUBSTITUTE(B798,"*",""),"?",""),"~",""))&amp;"0"&amp;AH798&amp;RIGHT("00000"&amp;ROW(),5),IF('FALTAS GERAL'!$M$1="Falta (maior primeiro)","K"&amp;RIGHT("0000"&amp;(9999-E798),4)&amp;AH798&amp;RIGHT("00000"&amp;ROW(),5),IF('FALTAS GERAL'!$M$1="Nº de decks (maior primeiro)","K"&amp;RIGHT("00"&amp;(99-N(G798)),2)&amp;AH798&amp;RIGHT("00000"&amp;ROW(),5),"K"&amp;RIGHT("00000"&amp;ROW(),5))))))</f>
        <v/>
      </c>
      <c r="AJ798" s="11" t="str">
        <f aca="false">IF(AI798="","",COUNTIFS($AI$2:$AI$801,"&lt;"&amp;AI798,$E$2:$E$801,"&gt;0")+1)</f>
        <v/>
      </c>
      <c r="AK798" s="11" t="str">
        <f aca="false">IF(OR(A798="",N(E798)&lt;=0),"",COUNTIFS($AH$2:$AH$801,"&lt;"&amp;AH798,$E$2:$E$801,"&gt;0")+COUNTIFS($AH$2:AH798,AH798,$E$2:E798,"&gt;0"))</f>
        <v/>
      </c>
    </row>
    <row r="799" customFormat="false" ht="15" hidden="false" customHeight="false" outlineLevel="0" collapsed="false">
      <c r="A799" s="11" t="str">
        <f aca="false">IF(INVENTÁRIO!A799="","",INVENTÁRIO!A799)</f>
        <v/>
      </c>
      <c r="B799" s="11" t="str">
        <f aca="false">IF(A799="","",INVENTÁRIO!B799)</f>
        <v/>
      </c>
      <c r="C799" s="16" t="str">
        <f aca="false">IF(A799="","",INVENTÁRIO!C799)</f>
        <v/>
      </c>
      <c r="D799" s="14" t="str">
        <f aca="false">IF(A799="","",MAX(K799:AD799))</f>
        <v/>
      </c>
      <c r="E799" s="14" t="str">
        <f aca="false">IF(A799="","",MAX(0,D799-C799))</f>
        <v/>
      </c>
      <c r="F799" s="16" t="str">
        <f aca="false">IF(A799="","",IF(D799=0,"Fora dos decks",IF(E799=0,"Completo","Falta")))</f>
        <v/>
      </c>
      <c r="G799" s="16" t="str">
        <f aca="false">IF(A799="","",COUNTIF(K799:AD799,"&gt;0"))</f>
        <v/>
      </c>
      <c r="H799" s="16" t="str">
        <f aca="false">IF(A799="","",IF(G799&gt;1,"Sim",""))</f>
        <v/>
      </c>
      <c r="I799" s="18" t="str">
        <f aca="false">IF(A799="","",SUMIFS(DECKS!$D$2:$D$1201,DECKS!$B$2:$B$1201,A799))</f>
        <v/>
      </c>
      <c r="J799" s="18" t="str">
        <f aca="false">IF(A799="","",MAX(0,I799-C799))</f>
        <v/>
      </c>
      <c r="K799" s="19" t="str">
        <f aca="false">IF(OR($A799="",INDEX(_LEITURA!$Q$2:$Q$21,1)=0),"",SUMIFS(DECKS!$D$2:$D$1201,DECKS!$A$2:$A$1201,INDEX(_LEITURA!$P$2:$P$21,1),DECKS!$B$2:$B$1201,$A799))</f>
        <v/>
      </c>
      <c r="L799" s="19" t="str">
        <f aca="false">IF(OR($A799="",INDEX(_LEITURA!$Q$2:$Q$21,2)=0),"",SUMIFS(DECKS!$D$2:$D$1201,DECKS!$A$2:$A$1201,INDEX(_LEITURA!$P$2:$P$21,2),DECKS!$B$2:$B$1201,$A799))</f>
        <v/>
      </c>
      <c r="M799" s="19" t="str">
        <f aca="false">IF(OR($A799="",INDEX(_LEITURA!$Q$2:$Q$21,3)=0),"",SUMIFS(DECKS!$D$2:$D$1201,DECKS!$A$2:$A$1201,INDEX(_LEITURA!$P$2:$P$21,3),DECKS!$B$2:$B$1201,$A799))</f>
        <v/>
      </c>
      <c r="N799" s="19" t="str">
        <f aca="false">IF(OR($A799="",INDEX(_LEITURA!$Q$2:$Q$21,4)=0),"",SUMIFS(DECKS!$D$2:$D$1201,DECKS!$A$2:$A$1201,INDEX(_LEITURA!$P$2:$P$21,4),DECKS!$B$2:$B$1201,$A799))</f>
        <v/>
      </c>
      <c r="O799" s="19" t="str">
        <f aca="false">IF(OR($A799="",INDEX(_LEITURA!$Q$2:$Q$21,5)=0),"",SUMIFS(DECKS!$D$2:$D$1201,DECKS!$A$2:$A$1201,INDEX(_LEITURA!$P$2:$P$21,5),DECKS!$B$2:$B$1201,$A799))</f>
        <v/>
      </c>
      <c r="P799" s="19" t="str">
        <f aca="false">IF(OR($A799="",INDEX(_LEITURA!$Q$2:$Q$21,6)=0),"",SUMIFS(DECKS!$D$2:$D$1201,DECKS!$A$2:$A$1201,INDEX(_LEITURA!$P$2:$P$21,6),DECKS!$B$2:$B$1201,$A799))</f>
        <v/>
      </c>
      <c r="Q799" s="19" t="str">
        <f aca="false">IF(OR($A799="",INDEX(_LEITURA!$Q$2:$Q$21,7)=0),"",SUMIFS(DECKS!$D$2:$D$1201,DECKS!$A$2:$A$1201,INDEX(_LEITURA!$P$2:$P$21,7),DECKS!$B$2:$B$1201,$A799))</f>
        <v/>
      </c>
      <c r="R799" s="19" t="str">
        <f aca="false">IF(OR($A799="",INDEX(_LEITURA!$Q$2:$Q$21,8)=0),"",SUMIFS(DECKS!$D$2:$D$1201,DECKS!$A$2:$A$1201,INDEX(_LEITURA!$P$2:$P$21,8),DECKS!$B$2:$B$1201,$A799))</f>
        <v/>
      </c>
      <c r="S799" s="19" t="str">
        <f aca="false">IF(OR($A799="",INDEX(_LEITURA!$Q$2:$Q$21,9)=0),"",SUMIFS(DECKS!$D$2:$D$1201,DECKS!$A$2:$A$1201,INDEX(_LEITURA!$P$2:$P$21,9),DECKS!$B$2:$B$1201,$A799))</f>
        <v/>
      </c>
      <c r="T799" s="19" t="str">
        <f aca="false">IF(OR($A799="",INDEX(_LEITURA!$Q$2:$Q$21,10)=0),"",SUMIFS(DECKS!$D$2:$D$1201,DECKS!$A$2:$A$1201,INDEX(_LEITURA!$P$2:$P$21,10),DECKS!$B$2:$B$1201,$A799))</f>
        <v/>
      </c>
      <c r="U799" s="19" t="str">
        <f aca="false">IF(OR($A799="",INDEX(_LEITURA!$Q$2:$Q$21,11)=0),"",SUMIFS(DECKS!$D$2:$D$1201,DECKS!$A$2:$A$1201,INDEX(_LEITURA!$P$2:$P$21,11),DECKS!$B$2:$B$1201,$A799))</f>
        <v/>
      </c>
      <c r="V799" s="19" t="str">
        <f aca="false">IF(OR($A799="",INDEX(_LEITURA!$Q$2:$Q$21,12)=0),"",SUMIFS(DECKS!$D$2:$D$1201,DECKS!$A$2:$A$1201,INDEX(_LEITURA!$P$2:$P$21,12),DECKS!$B$2:$B$1201,$A799))</f>
        <v/>
      </c>
      <c r="W799" s="19" t="str">
        <f aca="false">IF(OR($A799="",INDEX(_LEITURA!$Q$2:$Q$21,13)=0),"",SUMIFS(DECKS!$D$2:$D$1201,DECKS!$A$2:$A$1201,INDEX(_LEITURA!$P$2:$P$21,13),DECKS!$B$2:$B$1201,$A799))</f>
        <v/>
      </c>
      <c r="X799" s="19" t="str">
        <f aca="false">IF(OR($A799="",INDEX(_LEITURA!$Q$2:$Q$21,14)=0),"",SUMIFS(DECKS!$D$2:$D$1201,DECKS!$A$2:$A$1201,INDEX(_LEITURA!$P$2:$P$21,14),DECKS!$B$2:$B$1201,$A799))</f>
        <v/>
      </c>
      <c r="Y799" s="19" t="str">
        <f aca="false">IF(OR($A799="",INDEX(_LEITURA!$Q$2:$Q$21,15)=0),"",SUMIFS(DECKS!$D$2:$D$1201,DECKS!$A$2:$A$1201,INDEX(_LEITURA!$P$2:$P$21,15),DECKS!$B$2:$B$1201,$A799))</f>
        <v/>
      </c>
      <c r="Z799" s="19" t="str">
        <f aca="false">IF(OR($A799="",INDEX(_LEITURA!$Q$2:$Q$21,16)=0),"",SUMIFS(DECKS!$D$2:$D$1201,DECKS!$A$2:$A$1201,INDEX(_LEITURA!$P$2:$P$21,16),DECKS!$B$2:$B$1201,$A799))</f>
        <v/>
      </c>
      <c r="AA799" s="19" t="str">
        <f aca="false">IF(OR($A799="",INDEX(_LEITURA!$Q$2:$Q$21,17)=0),"",SUMIFS(DECKS!$D$2:$D$1201,DECKS!$A$2:$A$1201,INDEX(_LEITURA!$P$2:$P$21,17),DECKS!$B$2:$B$1201,$A799))</f>
        <v/>
      </c>
      <c r="AB799" s="19" t="str">
        <f aca="false">IF(OR($A799="",INDEX(_LEITURA!$Q$2:$Q$21,18)=0),"",SUMIFS(DECKS!$D$2:$D$1201,DECKS!$A$2:$A$1201,INDEX(_LEITURA!$P$2:$P$21,18),DECKS!$B$2:$B$1201,$A799))</f>
        <v/>
      </c>
      <c r="AC799" s="19" t="str">
        <f aca="false">IF(OR($A799="",INDEX(_LEITURA!$Q$2:$Q$21,19)=0),"",SUMIFS(DECKS!$D$2:$D$1201,DECKS!$A$2:$A$1201,INDEX(_LEITURA!$P$2:$P$21,19),DECKS!$B$2:$B$1201,$A799))</f>
        <v/>
      </c>
      <c r="AD799" s="19" t="str">
        <f aca="false">IF(OR($A799="",INDEX(_LEITURA!$Q$2:$Q$21,20)=0),"",SUMIFS(DECKS!$D$2:$D$1201,DECKS!$A$2:$A$1201,INDEX(_LEITURA!$P$2:$P$21,20),DECKS!$B$2:$B$1201,$A799))</f>
        <v/>
      </c>
      <c r="AE799" s="16" t="str">
        <f aca="false">IF(N(E799)&gt;0,MAX(AE$1:AE798)+1,"")</f>
        <v/>
      </c>
      <c r="AF799" s="11" t="str">
        <f aca="false">IF(A799="","",IFERROR(LEFT(A799,FIND("-",A799)-1),A799))</f>
        <v/>
      </c>
      <c r="AG799" s="11" t="str">
        <f aca="false">IF(AF799="","",IF(ISNUMBER(--MID(AF799,1,1)),0,IF(ISNUMBER(--MID(AF799,2,1)),1,IF(ISNUMBER(--MID(AF799,3,1)),2,IF(ISNUMBER(--MID(AF799,4,1)),3,MIN(LEN(AF799),4))))))</f>
        <v/>
      </c>
      <c r="AH799" s="11" t="str">
        <f aca="false">IF(A799="","",LEFT(AF799,AG799)&amp;REPT("0",4-AG799)&amp;RIGHT("000"&amp;IFERROR(VALUE(MID(AF799,AG799+1,9)),0),3)&amp;RIGHT("0000"&amp;IFERROR(VALUE(MID(A799,FIND("-",A799)+1,9)),0),4))</f>
        <v/>
      </c>
      <c r="AI799" s="11" t="str">
        <f aca="false">IF(OR(A799="",N(E799)&lt;=0),"",IF('FALTAS GERAL'!$M$1="Código","K"&amp;AH799&amp;RIGHT("00000"&amp;ROW(),5),IF('FALTAS GERAL'!$M$1="Nome","K"&amp;UPPER(SUBSTITUTE(SUBSTITUTE(SUBSTITUTE(B799,"*",""),"?",""),"~",""))&amp;"0"&amp;AH799&amp;RIGHT("00000"&amp;ROW(),5),IF('FALTAS GERAL'!$M$1="Falta (maior primeiro)","K"&amp;RIGHT("0000"&amp;(9999-E799),4)&amp;AH799&amp;RIGHT("00000"&amp;ROW(),5),IF('FALTAS GERAL'!$M$1="Nº de decks (maior primeiro)","K"&amp;RIGHT("00"&amp;(99-N(G799)),2)&amp;AH799&amp;RIGHT("00000"&amp;ROW(),5),"K"&amp;RIGHT("00000"&amp;ROW(),5))))))</f>
        <v/>
      </c>
      <c r="AJ799" s="11" t="str">
        <f aca="false">IF(AI799="","",COUNTIFS($AI$2:$AI$801,"&lt;"&amp;AI799,$E$2:$E$801,"&gt;0")+1)</f>
        <v/>
      </c>
      <c r="AK799" s="11" t="str">
        <f aca="false">IF(OR(A799="",N(E799)&lt;=0),"",COUNTIFS($AH$2:$AH$801,"&lt;"&amp;AH799,$E$2:$E$801,"&gt;0")+COUNTIFS($AH$2:AH799,AH799,$E$2:E799,"&gt;0"))</f>
        <v/>
      </c>
    </row>
    <row r="800" customFormat="false" ht="15" hidden="false" customHeight="false" outlineLevel="0" collapsed="false">
      <c r="A800" s="11" t="str">
        <f aca="false">IF(INVENTÁRIO!A800="","",INVENTÁRIO!A800)</f>
        <v/>
      </c>
      <c r="B800" s="11" t="str">
        <f aca="false">IF(A800="","",INVENTÁRIO!B800)</f>
        <v/>
      </c>
      <c r="C800" s="16" t="str">
        <f aca="false">IF(A800="","",INVENTÁRIO!C800)</f>
        <v/>
      </c>
      <c r="D800" s="14" t="str">
        <f aca="false">IF(A800="","",MAX(K800:AD800))</f>
        <v/>
      </c>
      <c r="E800" s="14" t="str">
        <f aca="false">IF(A800="","",MAX(0,D800-C800))</f>
        <v/>
      </c>
      <c r="F800" s="16" t="str">
        <f aca="false">IF(A800="","",IF(D800=0,"Fora dos decks",IF(E800=0,"Completo","Falta")))</f>
        <v/>
      </c>
      <c r="G800" s="16" t="str">
        <f aca="false">IF(A800="","",COUNTIF(K800:AD800,"&gt;0"))</f>
        <v/>
      </c>
      <c r="H800" s="16" t="str">
        <f aca="false">IF(A800="","",IF(G800&gt;1,"Sim",""))</f>
        <v/>
      </c>
      <c r="I800" s="18" t="str">
        <f aca="false">IF(A800="","",SUMIFS(DECKS!$D$2:$D$1201,DECKS!$B$2:$B$1201,A800))</f>
        <v/>
      </c>
      <c r="J800" s="18" t="str">
        <f aca="false">IF(A800="","",MAX(0,I800-C800))</f>
        <v/>
      </c>
      <c r="K800" s="19" t="str">
        <f aca="false">IF(OR($A800="",INDEX(_LEITURA!$Q$2:$Q$21,1)=0),"",SUMIFS(DECKS!$D$2:$D$1201,DECKS!$A$2:$A$1201,INDEX(_LEITURA!$P$2:$P$21,1),DECKS!$B$2:$B$1201,$A800))</f>
        <v/>
      </c>
      <c r="L800" s="19" t="str">
        <f aca="false">IF(OR($A800="",INDEX(_LEITURA!$Q$2:$Q$21,2)=0),"",SUMIFS(DECKS!$D$2:$D$1201,DECKS!$A$2:$A$1201,INDEX(_LEITURA!$P$2:$P$21,2),DECKS!$B$2:$B$1201,$A800))</f>
        <v/>
      </c>
      <c r="M800" s="19" t="str">
        <f aca="false">IF(OR($A800="",INDEX(_LEITURA!$Q$2:$Q$21,3)=0),"",SUMIFS(DECKS!$D$2:$D$1201,DECKS!$A$2:$A$1201,INDEX(_LEITURA!$P$2:$P$21,3),DECKS!$B$2:$B$1201,$A800))</f>
        <v/>
      </c>
      <c r="N800" s="19" t="str">
        <f aca="false">IF(OR($A800="",INDEX(_LEITURA!$Q$2:$Q$21,4)=0),"",SUMIFS(DECKS!$D$2:$D$1201,DECKS!$A$2:$A$1201,INDEX(_LEITURA!$P$2:$P$21,4),DECKS!$B$2:$B$1201,$A800))</f>
        <v/>
      </c>
      <c r="O800" s="19" t="str">
        <f aca="false">IF(OR($A800="",INDEX(_LEITURA!$Q$2:$Q$21,5)=0),"",SUMIFS(DECKS!$D$2:$D$1201,DECKS!$A$2:$A$1201,INDEX(_LEITURA!$P$2:$P$21,5),DECKS!$B$2:$B$1201,$A800))</f>
        <v/>
      </c>
      <c r="P800" s="19" t="str">
        <f aca="false">IF(OR($A800="",INDEX(_LEITURA!$Q$2:$Q$21,6)=0),"",SUMIFS(DECKS!$D$2:$D$1201,DECKS!$A$2:$A$1201,INDEX(_LEITURA!$P$2:$P$21,6),DECKS!$B$2:$B$1201,$A800))</f>
        <v/>
      </c>
      <c r="Q800" s="19" t="str">
        <f aca="false">IF(OR($A800="",INDEX(_LEITURA!$Q$2:$Q$21,7)=0),"",SUMIFS(DECKS!$D$2:$D$1201,DECKS!$A$2:$A$1201,INDEX(_LEITURA!$P$2:$P$21,7),DECKS!$B$2:$B$1201,$A800))</f>
        <v/>
      </c>
      <c r="R800" s="19" t="str">
        <f aca="false">IF(OR($A800="",INDEX(_LEITURA!$Q$2:$Q$21,8)=0),"",SUMIFS(DECKS!$D$2:$D$1201,DECKS!$A$2:$A$1201,INDEX(_LEITURA!$P$2:$P$21,8),DECKS!$B$2:$B$1201,$A800))</f>
        <v/>
      </c>
      <c r="S800" s="19" t="str">
        <f aca="false">IF(OR($A800="",INDEX(_LEITURA!$Q$2:$Q$21,9)=0),"",SUMIFS(DECKS!$D$2:$D$1201,DECKS!$A$2:$A$1201,INDEX(_LEITURA!$P$2:$P$21,9),DECKS!$B$2:$B$1201,$A800))</f>
        <v/>
      </c>
      <c r="T800" s="19" t="str">
        <f aca="false">IF(OR($A800="",INDEX(_LEITURA!$Q$2:$Q$21,10)=0),"",SUMIFS(DECKS!$D$2:$D$1201,DECKS!$A$2:$A$1201,INDEX(_LEITURA!$P$2:$P$21,10),DECKS!$B$2:$B$1201,$A800))</f>
        <v/>
      </c>
      <c r="U800" s="19" t="str">
        <f aca="false">IF(OR($A800="",INDEX(_LEITURA!$Q$2:$Q$21,11)=0),"",SUMIFS(DECKS!$D$2:$D$1201,DECKS!$A$2:$A$1201,INDEX(_LEITURA!$P$2:$P$21,11),DECKS!$B$2:$B$1201,$A800))</f>
        <v/>
      </c>
      <c r="V800" s="19" t="str">
        <f aca="false">IF(OR($A800="",INDEX(_LEITURA!$Q$2:$Q$21,12)=0),"",SUMIFS(DECKS!$D$2:$D$1201,DECKS!$A$2:$A$1201,INDEX(_LEITURA!$P$2:$P$21,12),DECKS!$B$2:$B$1201,$A800))</f>
        <v/>
      </c>
      <c r="W800" s="19" t="str">
        <f aca="false">IF(OR($A800="",INDEX(_LEITURA!$Q$2:$Q$21,13)=0),"",SUMIFS(DECKS!$D$2:$D$1201,DECKS!$A$2:$A$1201,INDEX(_LEITURA!$P$2:$P$21,13),DECKS!$B$2:$B$1201,$A800))</f>
        <v/>
      </c>
      <c r="X800" s="19" t="str">
        <f aca="false">IF(OR($A800="",INDEX(_LEITURA!$Q$2:$Q$21,14)=0),"",SUMIFS(DECKS!$D$2:$D$1201,DECKS!$A$2:$A$1201,INDEX(_LEITURA!$P$2:$P$21,14),DECKS!$B$2:$B$1201,$A800))</f>
        <v/>
      </c>
      <c r="Y800" s="19" t="str">
        <f aca="false">IF(OR($A800="",INDEX(_LEITURA!$Q$2:$Q$21,15)=0),"",SUMIFS(DECKS!$D$2:$D$1201,DECKS!$A$2:$A$1201,INDEX(_LEITURA!$P$2:$P$21,15),DECKS!$B$2:$B$1201,$A800))</f>
        <v/>
      </c>
      <c r="Z800" s="19" t="str">
        <f aca="false">IF(OR($A800="",INDEX(_LEITURA!$Q$2:$Q$21,16)=0),"",SUMIFS(DECKS!$D$2:$D$1201,DECKS!$A$2:$A$1201,INDEX(_LEITURA!$P$2:$P$21,16),DECKS!$B$2:$B$1201,$A800))</f>
        <v/>
      </c>
      <c r="AA800" s="19" t="str">
        <f aca="false">IF(OR($A800="",INDEX(_LEITURA!$Q$2:$Q$21,17)=0),"",SUMIFS(DECKS!$D$2:$D$1201,DECKS!$A$2:$A$1201,INDEX(_LEITURA!$P$2:$P$21,17),DECKS!$B$2:$B$1201,$A800))</f>
        <v/>
      </c>
      <c r="AB800" s="19" t="str">
        <f aca="false">IF(OR($A800="",INDEX(_LEITURA!$Q$2:$Q$21,18)=0),"",SUMIFS(DECKS!$D$2:$D$1201,DECKS!$A$2:$A$1201,INDEX(_LEITURA!$P$2:$P$21,18),DECKS!$B$2:$B$1201,$A800))</f>
        <v/>
      </c>
      <c r="AC800" s="19" t="str">
        <f aca="false">IF(OR($A800="",INDEX(_LEITURA!$Q$2:$Q$21,19)=0),"",SUMIFS(DECKS!$D$2:$D$1201,DECKS!$A$2:$A$1201,INDEX(_LEITURA!$P$2:$P$21,19),DECKS!$B$2:$B$1201,$A800))</f>
        <v/>
      </c>
      <c r="AD800" s="19" t="str">
        <f aca="false">IF(OR($A800="",INDEX(_LEITURA!$Q$2:$Q$21,20)=0),"",SUMIFS(DECKS!$D$2:$D$1201,DECKS!$A$2:$A$1201,INDEX(_LEITURA!$P$2:$P$21,20),DECKS!$B$2:$B$1201,$A800))</f>
        <v/>
      </c>
      <c r="AE800" s="16" t="str">
        <f aca="false">IF(N(E800)&gt;0,MAX(AE$1:AE799)+1,"")</f>
        <v/>
      </c>
      <c r="AF800" s="11" t="str">
        <f aca="false">IF(A800="","",IFERROR(LEFT(A800,FIND("-",A800)-1),A800))</f>
        <v/>
      </c>
      <c r="AG800" s="11" t="str">
        <f aca="false">IF(AF800="","",IF(ISNUMBER(--MID(AF800,1,1)),0,IF(ISNUMBER(--MID(AF800,2,1)),1,IF(ISNUMBER(--MID(AF800,3,1)),2,IF(ISNUMBER(--MID(AF800,4,1)),3,MIN(LEN(AF800),4))))))</f>
        <v/>
      </c>
      <c r="AH800" s="11" t="str">
        <f aca="false">IF(A800="","",LEFT(AF800,AG800)&amp;REPT("0",4-AG800)&amp;RIGHT("000"&amp;IFERROR(VALUE(MID(AF800,AG800+1,9)),0),3)&amp;RIGHT("0000"&amp;IFERROR(VALUE(MID(A800,FIND("-",A800)+1,9)),0),4))</f>
        <v/>
      </c>
      <c r="AI800" s="11" t="str">
        <f aca="false">IF(OR(A800="",N(E800)&lt;=0),"",IF('FALTAS GERAL'!$M$1="Código","K"&amp;AH800&amp;RIGHT("00000"&amp;ROW(),5),IF('FALTAS GERAL'!$M$1="Nome","K"&amp;UPPER(SUBSTITUTE(SUBSTITUTE(SUBSTITUTE(B800,"*",""),"?",""),"~",""))&amp;"0"&amp;AH800&amp;RIGHT("00000"&amp;ROW(),5),IF('FALTAS GERAL'!$M$1="Falta (maior primeiro)","K"&amp;RIGHT("0000"&amp;(9999-E800),4)&amp;AH800&amp;RIGHT("00000"&amp;ROW(),5),IF('FALTAS GERAL'!$M$1="Nº de decks (maior primeiro)","K"&amp;RIGHT("00"&amp;(99-N(G800)),2)&amp;AH800&amp;RIGHT("00000"&amp;ROW(),5),"K"&amp;RIGHT("00000"&amp;ROW(),5))))))</f>
        <v/>
      </c>
      <c r="AJ800" s="11" t="str">
        <f aca="false">IF(AI800="","",COUNTIFS($AI$2:$AI$801,"&lt;"&amp;AI800,$E$2:$E$801,"&gt;0")+1)</f>
        <v/>
      </c>
      <c r="AK800" s="11" t="str">
        <f aca="false">IF(OR(A800="",N(E800)&lt;=0),"",COUNTIFS($AH$2:$AH$801,"&lt;"&amp;AH800,$E$2:$E$801,"&gt;0")+COUNTIFS($AH$2:AH800,AH800,$E$2:E800,"&gt;0"))</f>
        <v/>
      </c>
    </row>
    <row r="801" customFormat="false" ht="15" hidden="false" customHeight="false" outlineLevel="0" collapsed="false">
      <c r="A801" s="11" t="str">
        <f aca="false">IF(INVENTÁRIO!A801="","",INVENTÁRIO!A801)</f>
        <v/>
      </c>
      <c r="B801" s="11" t="str">
        <f aca="false">IF(A801="","",INVENTÁRIO!B801)</f>
        <v/>
      </c>
      <c r="C801" s="16" t="str">
        <f aca="false">IF(A801="","",INVENTÁRIO!C801)</f>
        <v/>
      </c>
      <c r="D801" s="14" t="str">
        <f aca="false">IF(A801="","",MAX(K801:AD801))</f>
        <v/>
      </c>
      <c r="E801" s="14" t="str">
        <f aca="false">IF(A801="","",MAX(0,D801-C801))</f>
        <v/>
      </c>
      <c r="F801" s="16" t="str">
        <f aca="false">IF(A801="","",IF(D801=0,"Fora dos decks",IF(E801=0,"Completo","Falta")))</f>
        <v/>
      </c>
      <c r="G801" s="16" t="str">
        <f aca="false">IF(A801="","",COUNTIF(K801:AD801,"&gt;0"))</f>
        <v/>
      </c>
      <c r="H801" s="16" t="str">
        <f aca="false">IF(A801="","",IF(G801&gt;1,"Sim",""))</f>
        <v/>
      </c>
      <c r="I801" s="18" t="str">
        <f aca="false">IF(A801="","",SUMIFS(DECKS!$D$2:$D$1201,DECKS!$B$2:$B$1201,A801))</f>
        <v/>
      </c>
      <c r="J801" s="18" t="str">
        <f aca="false">IF(A801="","",MAX(0,I801-C801))</f>
        <v/>
      </c>
      <c r="K801" s="19" t="str">
        <f aca="false">IF(OR($A801="",INDEX(_LEITURA!$Q$2:$Q$21,1)=0),"",SUMIFS(DECKS!$D$2:$D$1201,DECKS!$A$2:$A$1201,INDEX(_LEITURA!$P$2:$P$21,1),DECKS!$B$2:$B$1201,$A801))</f>
        <v/>
      </c>
      <c r="L801" s="19" t="str">
        <f aca="false">IF(OR($A801="",INDEX(_LEITURA!$Q$2:$Q$21,2)=0),"",SUMIFS(DECKS!$D$2:$D$1201,DECKS!$A$2:$A$1201,INDEX(_LEITURA!$P$2:$P$21,2),DECKS!$B$2:$B$1201,$A801))</f>
        <v/>
      </c>
      <c r="M801" s="19" t="str">
        <f aca="false">IF(OR($A801="",INDEX(_LEITURA!$Q$2:$Q$21,3)=0),"",SUMIFS(DECKS!$D$2:$D$1201,DECKS!$A$2:$A$1201,INDEX(_LEITURA!$P$2:$P$21,3),DECKS!$B$2:$B$1201,$A801))</f>
        <v/>
      </c>
      <c r="N801" s="19" t="str">
        <f aca="false">IF(OR($A801="",INDEX(_LEITURA!$Q$2:$Q$21,4)=0),"",SUMIFS(DECKS!$D$2:$D$1201,DECKS!$A$2:$A$1201,INDEX(_LEITURA!$P$2:$P$21,4),DECKS!$B$2:$B$1201,$A801))</f>
        <v/>
      </c>
      <c r="O801" s="19" t="str">
        <f aca="false">IF(OR($A801="",INDEX(_LEITURA!$Q$2:$Q$21,5)=0),"",SUMIFS(DECKS!$D$2:$D$1201,DECKS!$A$2:$A$1201,INDEX(_LEITURA!$P$2:$P$21,5),DECKS!$B$2:$B$1201,$A801))</f>
        <v/>
      </c>
      <c r="P801" s="19" t="str">
        <f aca="false">IF(OR($A801="",INDEX(_LEITURA!$Q$2:$Q$21,6)=0),"",SUMIFS(DECKS!$D$2:$D$1201,DECKS!$A$2:$A$1201,INDEX(_LEITURA!$P$2:$P$21,6),DECKS!$B$2:$B$1201,$A801))</f>
        <v/>
      </c>
      <c r="Q801" s="19" t="str">
        <f aca="false">IF(OR($A801="",INDEX(_LEITURA!$Q$2:$Q$21,7)=0),"",SUMIFS(DECKS!$D$2:$D$1201,DECKS!$A$2:$A$1201,INDEX(_LEITURA!$P$2:$P$21,7),DECKS!$B$2:$B$1201,$A801))</f>
        <v/>
      </c>
      <c r="R801" s="19" t="str">
        <f aca="false">IF(OR($A801="",INDEX(_LEITURA!$Q$2:$Q$21,8)=0),"",SUMIFS(DECKS!$D$2:$D$1201,DECKS!$A$2:$A$1201,INDEX(_LEITURA!$P$2:$P$21,8),DECKS!$B$2:$B$1201,$A801))</f>
        <v/>
      </c>
      <c r="S801" s="19" t="str">
        <f aca="false">IF(OR($A801="",INDEX(_LEITURA!$Q$2:$Q$21,9)=0),"",SUMIFS(DECKS!$D$2:$D$1201,DECKS!$A$2:$A$1201,INDEX(_LEITURA!$P$2:$P$21,9),DECKS!$B$2:$B$1201,$A801))</f>
        <v/>
      </c>
      <c r="T801" s="19" t="str">
        <f aca="false">IF(OR($A801="",INDEX(_LEITURA!$Q$2:$Q$21,10)=0),"",SUMIFS(DECKS!$D$2:$D$1201,DECKS!$A$2:$A$1201,INDEX(_LEITURA!$P$2:$P$21,10),DECKS!$B$2:$B$1201,$A801))</f>
        <v/>
      </c>
      <c r="U801" s="19" t="str">
        <f aca="false">IF(OR($A801="",INDEX(_LEITURA!$Q$2:$Q$21,11)=0),"",SUMIFS(DECKS!$D$2:$D$1201,DECKS!$A$2:$A$1201,INDEX(_LEITURA!$P$2:$P$21,11),DECKS!$B$2:$B$1201,$A801))</f>
        <v/>
      </c>
      <c r="V801" s="19" t="str">
        <f aca="false">IF(OR($A801="",INDEX(_LEITURA!$Q$2:$Q$21,12)=0),"",SUMIFS(DECKS!$D$2:$D$1201,DECKS!$A$2:$A$1201,INDEX(_LEITURA!$P$2:$P$21,12),DECKS!$B$2:$B$1201,$A801))</f>
        <v/>
      </c>
      <c r="W801" s="19" t="str">
        <f aca="false">IF(OR($A801="",INDEX(_LEITURA!$Q$2:$Q$21,13)=0),"",SUMIFS(DECKS!$D$2:$D$1201,DECKS!$A$2:$A$1201,INDEX(_LEITURA!$P$2:$P$21,13),DECKS!$B$2:$B$1201,$A801))</f>
        <v/>
      </c>
      <c r="X801" s="19" t="str">
        <f aca="false">IF(OR($A801="",INDEX(_LEITURA!$Q$2:$Q$21,14)=0),"",SUMIFS(DECKS!$D$2:$D$1201,DECKS!$A$2:$A$1201,INDEX(_LEITURA!$P$2:$P$21,14),DECKS!$B$2:$B$1201,$A801))</f>
        <v/>
      </c>
      <c r="Y801" s="19" t="str">
        <f aca="false">IF(OR($A801="",INDEX(_LEITURA!$Q$2:$Q$21,15)=0),"",SUMIFS(DECKS!$D$2:$D$1201,DECKS!$A$2:$A$1201,INDEX(_LEITURA!$P$2:$P$21,15),DECKS!$B$2:$B$1201,$A801))</f>
        <v/>
      </c>
      <c r="Z801" s="19" t="str">
        <f aca="false">IF(OR($A801="",INDEX(_LEITURA!$Q$2:$Q$21,16)=0),"",SUMIFS(DECKS!$D$2:$D$1201,DECKS!$A$2:$A$1201,INDEX(_LEITURA!$P$2:$P$21,16),DECKS!$B$2:$B$1201,$A801))</f>
        <v/>
      </c>
      <c r="AA801" s="19" t="str">
        <f aca="false">IF(OR($A801="",INDEX(_LEITURA!$Q$2:$Q$21,17)=0),"",SUMIFS(DECKS!$D$2:$D$1201,DECKS!$A$2:$A$1201,INDEX(_LEITURA!$P$2:$P$21,17),DECKS!$B$2:$B$1201,$A801))</f>
        <v/>
      </c>
      <c r="AB801" s="19" t="str">
        <f aca="false">IF(OR($A801="",INDEX(_LEITURA!$Q$2:$Q$21,18)=0),"",SUMIFS(DECKS!$D$2:$D$1201,DECKS!$A$2:$A$1201,INDEX(_LEITURA!$P$2:$P$21,18),DECKS!$B$2:$B$1201,$A801))</f>
        <v/>
      </c>
      <c r="AC801" s="19" t="str">
        <f aca="false">IF(OR($A801="",INDEX(_LEITURA!$Q$2:$Q$21,19)=0),"",SUMIFS(DECKS!$D$2:$D$1201,DECKS!$A$2:$A$1201,INDEX(_LEITURA!$P$2:$P$21,19),DECKS!$B$2:$B$1201,$A801))</f>
        <v/>
      </c>
      <c r="AD801" s="19" t="str">
        <f aca="false">IF(OR($A801="",INDEX(_LEITURA!$Q$2:$Q$21,20)=0),"",SUMIFS(DECKS!$D$2:$D$1201,DECKS!$A$2:$A$1201,INDEX(_LEITURA!$P$2:$P$21,20),DECKS!$B$2:$B$1201,$A801))</f>
        <v/>
      </c>
      <c r="AE801" s="16" t="str">
        <f aca="false">IF(N(E801)&gt;0,MAX(AE$1:AE800)+1,"")</f>
        <v/>
      </c>
      <c r="AF801" s="11" t="str">
        <f aca="false">IF(A801="","",IFERROR(LEFT(A801,FIND("-",A801)-1),A801))</f>
        <v/>
      </c>
      <c r="AG801" s="11" t="str">
        <f aca="false">IF(AF801="","",IF(ISNUMBER(--MID(AF801,1,1)),0,IF(ISNUMBER(--MID(AF801,2,1)),1,IF(ISNUMBER(--MID(AF801,3,1)),2,IF(ISNUMBER(--MID(AF801,4,1)),3,MIN(LEN(AF801),4))))))</f>
        <v/>
      </c>
      <c r="AH801" s="11" t="str">
        <f aca="false">IF(A801="","",LEFT(AF801,AG801)&amp;REPT("0",4-AG801)&amp;RIGHT("000"&amp;IFERROR(VALUE(MID(AF801,AG801+1,9)),0),3)&amp;RIGHT("0000"&amp;IFERROR(VALUE(MID(A801,FIND("-",A801)+1,9)),0),4))</f>
        <v/>
      </c>
      <c r="AI801" s="11" t="str">
        <f aca="false">IF(OR(A801="",N(E801)&lt;=0),"",IF('FALTAS GERAL'!$M$1="Código","K"&amp;AH801&amp;RIGHT("00000"&amp;ROW(),5),IF('FALTAS GERAL'!$M$1="Nome","K"&amp;UPPER(SUBSTITUTE(SUBSTITUTE(SUBSTITUTE(B801,"*",""),"?",""),"~",""))&amp;"0"&amp;AH801&amp;RIGHT("00000"&amp;ROW(),5),IF('FALTAS GERAL'!$M$1="Falta (maior primeiro)","K"&amp;RIGHT("0000"&amp;(9999-E801),4)&amp;AH801&amp;RIGHT("00000"&amp;ROW(),5),IF('FALTAS GERAL'!$M$1="Nº de decks (maior primeiro)","K"&amp;RIGHT("00"&amp;(99-N(G801)),2)&amp;AH801&amp;RIGHT("00000"&amp;ROW(),5),"K"&amp;RIGHT("00000"&amp;ROW(),5))))))</f>
        <v/>
      </c>
      <c r="AJ801" s="11" t="str">
        <f aca="false">IF(AI801="","",COUNTIFS($AI$2:$AI$801,"&lt;"&amp;AI801,$E$2:$E$801,"&gt;0")+1)</f>
        <v/>
      </c>
      <c r="AK801" s="11" t="str">
        <f aca="false">IF(OR(A801="",N(E801)&lt;=0),"",COUNTIFS($AH$2:$AH$801,"&lt;"&amp;AH801,$E$2:$E$801,"&gt;0")+COUNTIFS($AH$2:AH801,AH801,$E$2:E801,"&gt;0"))</f>
        <v/>
      </c>
    </row>
  </sheetData>
  <autoFilter ref="A1:J801"/>
  <conditionalFormatting sqref="F2:F801">
    <cfRule type="expression" priority="2" aboveAverage="0" equalAverage="0" bottom="0" percent="0" rank="0" text="" dxfId="7">
      <formula>$F2="Falta"</formula>
    </cfRule>
    <cfRule type="expression" priority="3" aboveAverage="0" equalAverage="0" bottom="0" percent="0" rank="0" text="" dxfId="9">
      <formula>$F2="Completo"</formula>
    </cfRule>
  </conditionalFormatting>
  <conditionalFormatting sqref="A2:B801">
    <cfRule type="expression" priority="4" aboveAverage="0" equalAverage="0" bottom="0" percent="0" rank="0" text="" dxfId="6">
      <formula>$H2="Sim"</formula>
    </cfRule>
  </conditionalFormatting>
  <conditionalFormatting sqref="G2:H801">
    <cfRule type="expression" priority="5" aboveAverage="0" equalAverage="0" bottom="0" percent="0" rank="0" text="" dxfId="6">
      <formula>$H2="Sim"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11"/>
    <col collapsed="false" customWidth="true" hidden="false" outlineLevel="0" max="7" min="6" style="0" width="9"/>
    <col collapsed="false" customWidth="true" hidden="true" outlineLevel="0" max="8" min="8" style="0" width="8"/>
    <col collapsed="false" customWidth="true" hidden="false" outlineLevel="0" max="9" min="9" style="0" width="34"/>
    <col collapsed="false" customWidth="true" hidden="false" outlineLevel="0" max="10" min="10" style="0" width="3"/>
    <col collapsed="false" customWidth="true" hidden="false" outlineLevel="0" max="11" min="11" style="0" width="20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3"/>
    <col collapsed="false" customWidth="true" hidden="false" outlineLevel="0" max="15" min="15" style="0" width="14"/>
    <col collapsed="false" customWidth="true" hidden="false" outlineLevel="0" max="16" min="16" style="0" width="26"/>
  </cols>
  <sheetData>
    <row r="1" customFormat="false" ht="33.75" hidden="false" customHeight="true" outlineLevel="0" collapsed="false">
      <c r="A1" s="8" t="s">
        <v>91</v>
      </c>
      <c r="B1" s="8" t="s">
        <v>63</v>
      </c>
      <c r="C1" s="8" t="s">
        <v>45</v>
      </c>
      <c r="D1" s="8" t="s">
        <v>60</v>
      </c>
      <c r="E1" s="8" t="s">
        <v>92</v>
      </c>
      <c r="F1" s="8" t="s">
        <v>61</v>
      </c>
      <c r="G1" s="8" t="s">
        <v>93</v>
      </c>
      <c r="H1" s="8" t="s">
        <v>94</v>
      </c>
      <c r="I1" s="8" t="s">
        <v>95</v>
      </c>
      <c r="K1" s="8" t="s">
        <v>63</v>
      </c>
      <c r="L1" s="8" t="s">
        <v>96</v>
      </c>
      <c r="M1" s="8" t="s">
        <v>97</v>
      </c>
      <c r="O1" s="8" t="s">
        <v>98</v>
      </c>
      <c r="P1" s="20" t="s">
        <v>99</v>
      </c>
    </row>
    <row r="2" customFormat="false" ht="15" hidden="false" customHeight="false" outlineLevel="0" collapsed="false">
      <c r="A2" s="16"/>
      <c r="B2" s="11" t="str">
        <f aca="false">IF($H2="","",INDEX(DECKS!$A$2:$A$1201,$H2))</f>
        <v/>
      </c>
      <c r="C2" s="11" t="str">
        <f aca="false">IF($H2="","",INDEX(DECKS!$B$2:$B$1201,$H2))</f>
        <v/>
      </c>
      <c r="D2" s="11" t="str">
        <f aca="false">IF($H2="","",INDEX(DECKS!$C$2:$C$1201,$H2))</f>
        <v/>
      </c>
      <c r="E2" s="16" t="str">
        <f aca="false">IF($H2="","",INDEX(DECKS!$D$2:$D$1201,$H2))</f>
        <v/>
      </c>
      <c r="F2" s="16" t="str">
        <f aca="false">IF($H2="","",INDEX(DECKS!$E$2:$E$1201,$H2))</f>
        <v/>
      </c>
      <c r="G2" s="21" t="str">
        <f aca="false">IF($H2="","",INDEX(DECKS!$F$2:$F$1201,$H2))</f>
        <v/>
      </c>
      <c r="H2" s="11" t="str">
        <f aca="false">IFERROR(MATCH(ROW()-1,DECKS!$O$2:$O$1201,0),"")</f>
        <v/>
      </c>
      <c r="I2" s="11" t="str">
        <f aca="false">IF(C2="","",G2&amp;" "&amp;D2&amp;" ("&amp;C2&amp;")")</f>
        <v/>
      </c>
      <c r="K2" s="11" t="str">
        <f aca="false">IF(INDEX(_LEITURA!$Q$2:$Q$21,1)=1,INDEX(_LEITURA!$P$2:$P$21,1),"")</f>
        <v/>
      </c>
      <c r="L2" s="16" t="str">
        <f aca="false">IF(K2="","",SUMIFS(DECKS!$D$2:$D$1201,DECKS!$A$2:$A$1201,K2))</f>
        <v/>
      </c>
      <c r="M2" s="16" t="str">
        <f aca="false">IF(K2="","",SUMIFS(DECKS!$F$2:$F$1201,DECKS!$A$2:$A$1201,K2))</f>
        <v/>
      </c>
      <c r="O2" s="5" t="s">
        <v>100</v>
      </c>
    </row>
    <row r="3" customFormat="false" ht="15" hidden="false" customHeight="false" outlineLevel="0" collapsed="false">
      <c r="A3" s="16"/>
      <c r="B3" s="11" t="str">
        <f aca="false">IF($H3="","",INDEX(DECKS!$A$2:$A$1201,$H3))</f>
        <v/>
      </c>
      <c r="C3" s="11" t="str">
        <f aca="false">IF($H3="","",INDEX(DECKS!$B$2:$B$1201,$H3))</f>
        <v/>
      </c>
      <c r="D3" s="11" t="str">
        <f aca="false">IF($H3="","",INDEX(DECKS!$C$2:$C$1201,$H3))</f>
        <v/>
      </c>
      <c r="E3" s="16" t="str">
        <f aca="false">IF($H3="","",INDEX(DECKS!$D$2:$D$1201,$H3))</f>
        <v/>
      </c>
      <c r="F3" s="16" t="str">
        <f aca="false">IF($H3="","",INDEX(DECKS!$E$2:$E$1201,$H3))</f>
        <v/>
      </c>
      <c r="G3" s="21" t="str">
        <f aca="false">IF($H3="","",INDEX(DECKS!$F$2:$F$1201,$H3))</f>
        <v/>
      </c>
      <c r="H3" s="11" t="str">
        <f aca="false">IFERROR(MATCH(ROW()-1,DECKS!$O$2:$O$1201,0),"")</f>
        <v/>
      </c>
      <c r="I3" s="11" t="str">
        <f aca="false">IF(C3="","",G3&amp;" "&amp;D3&amp;" ("&amp;C3&amp;")")</f>
        <v/>
      </c>
      <c r="K3" s="11" t="str">
        <f aca="false">IF(INDEX(_LEITURA!$Q$2:$Q$21,2)=1,INDEX(_LEITURA!$P$2:$P$21,2),"")</f>
        <v/>
      </c>
      <c r="L3" s="16" t="str">
        <f aca="false">IF(K3="","",SUMIFS(DECKS!$D$2:$D$1201,DECKS!$A$2:$A$1201,K3))</f>
        <v/>
      </c>
      <c r="M3" s="16" t="str">
        <f aca="false">IF(K3="","",SUMIFS(DECKS!$F$2:$F$1201,DECKS!$A$2:$A$1201,K3))</f>
        <v/>
      </c>
    </row>
    <row r="4" customFormat="false" ht="15" hidden="false" customHeight="false" outlineLevel="0" collapsed="false">
      <c r="A4" s="16"/>
      <c r="B4" s="11" t="str">
        <f aca="false">IF($H4="","",INDEX(DECKS!$A$2:$A$1201,$H4))</f>
        <v/>
      </c>
      <c r="C4" s="11" t="str">
        <f aca="false">IF($H4="","",INDEX(DECKS!$B$2:$B$1201,$H4))</f>
        <v/>
      </c>
      <c r="D4" s="11" t="str">
        <f aca="false">IF($H4="","",INDEX(DECKS!$C$2:$C$1201,$H4))</f>
        <v/>
      </c>
      <c r="E4" s="16" t="str">
        <f aca="false">IF($H4="","",INDEX(DECKS!$D$2:$D$1201,$H4))</f>
        <v/>
      </c>
      <c r="F4" s="16" t="str">
        <f aca="false">IF($H4="","",INDEX(DECKS!$E$2:$E$1201,$H4))</f>
        <v/>
      </c>
      <c r="G4" s="21" t="str">
        <f aca="false">IF($H4="","",INDEX(DECKS!$F$2:$F$1201,$H4))</f>
        <v/>
      </c>
      <c r="H4" s="11" t="str">
        <f aca="false">IFERROR(MATCH(ROW()-1,DECKS!$O$2:$O$1201,0),"")</f>
        <v/>
      </c>
      <c r="I4" s="11" t="str">
        <f aca="false">IF(C4="","",G4&amp;" "&amp;D4&amp;" ("&amp;C4&amp;")")</f>
        <v/>
      </c>
      <c r="K4" s="11" t="str">
        <f aca="false">IF(INDEX(_LEITURA!$Q$2:$Q$21,3)=1,INDEX(_LEITURA!$P$2:$P$21,3),"")</f>
        <v/>
      </c>
      <c r="L4" s="16" t="str">
        <f aca="false">IF(K4="","",SUMIFS(DECKS!$D$2:$D$1201,DECKS!$A$2:$A$1201,K4))</f>
        <v/>
      </c>
      <c r="M4" s="16" t="str">
        <f aca="false">IF(K4="","",SUMIFS(DECKS!$F$2:$F$1201,DECKS!$A$2:$A$1201,K4))</f>
        <v/>
      </c>
    </row>
    <row r="5" customFormat="false" ht="15" hidden="false" customHeight="false" outlineLevel="0" collapsed="false">
      <c r="A5" s="16"/>
      <c r="B5" s="11" t="str">
        <f aca="false">IF($H5="","",INDEX(DECKS!$A$2:$A$1201,$H5))</f>
        <v/>
      </c>
      <c r="C5" s="11" t="str">
        <f aca="false">IF($H5="","",INDEX(DECKS!$B$2:$B$1201,$H5))</f>
        <v/>
      </c>
      <c r="D5" s="11" t="str">
        <f aca="false">IF($H5="","",INDEX(DECKS!$C$2:$C$1201,$H5))</f>
        <v/>
      </c>
      <c r="E5" s="16" t="str">
        <f aca="false">IF($H5="","",INDEX(DECKS!$D$2:$D$1201,$H5))</f>
        <v/>
      </c>
      <c r="F5" s="16" t="str">
        <f aca="false">IF($H5="","",INDEX(DECKS!$E$2:$E$1201,$H5))</f>
        <v/>
      </c>
      <c r="G5" s="21" t="str">
        <f aca="false">IF($H5="","",INDEX(DECKS!$F$2:$F$1201,$H5))</f>
        <v/>
      </c>
      <c r="H5" s="11" t="str">
        <f aca="false">IFERROR(MATCH(ROW()-1,DECKS!$O$2:$O$1201,0),"")</f>
        <v/>
      </c>
      <c r="I5" s="11" t="str">
        <f aca="false">IF(C5="","",G5&amp;" "&amp;D5&amp;" ("&amp;C5&amp;")")</f>
        <v/>
      </c>
      <c r="K5" s="11" t="str">
        <f aca="false">IF(INDEX(_LEITURA!$Q$2:$Q$21,4)=1,INDEX(_LEITURA!$P$2:$P$21,4),"")</f>
        <v/>
      </c>
      <c r="L5" s="16" t="str">
        <f aca="false">IF(K5="","",SUMIFS(DECKS!$D$2:$D$1201,DECKS!$A$2:$A$1201,K5))</f>
        <v/>
      </c>
      <c r="M5" s="16" t="str">
        <f aca="false">IF(K5="","",SUMIFS(DECKS!$F$2:$F$1201,DECKS!$A$2:$A$1201,K5))</f>
        <v/>
      </c>
    </row>
    <row r="6" customFormat="false" ht="15" hidden="false" customHeight="false" outlineLevel="0" collapsed="false">
      <c r="A6" s="16"/>
      <c r="B6" s="11" t="str">
        <f aca="false">IF($H6="","",INDEX(DECKS!$A$2:$A$1201,$H6))</f>
        <v/>
      </c>
      <c r="C6" s="11" t="str">
        <f aca="false">IF($H6="","",INDEX(DECKS!$B$2:$B$1201,$H6))</f>
        <v/>
      </c>
      <c r="D6" s="11" t="str">
        <f aca="false">IF($H6="","",INDEX(DECKS!$C$2:$C$1201,$H6))</f>
        <v/>
      </c>
      <c r="E6" s="16" t="str">
        <f aca="false">IF($H6="","",INDEX(DECKS!$D$2:$D$1201,$H6))</f>
        <v/>
      </c>
      <c r="F6" s="16" t="str">
        <f aca="false">IF($H6="","",INDEX(DECKS!$E$2:$E$1201,$H6))</f>
        <v/>
      </c>
      <c r="G6" s="21" t="str">
        <f aca="false">IF($H6="","",INDEX(DECKS!$F$2:$F$1201,$H6))</f>
        <v/>
      </c>
      <c r="H6" s="11" t="str">
        <f aca="false">IFERROR(MATCH(ROW()-1,DECKS!$O$2:$O$1201,0),"")</f>
        <v/>
      </c>
      <c r="I6" s="11" t="str">
        <f aca="false">IF(C6="","",G6&amp;" "&amp;D6&amp;" ("&amp;C6&amp;")")</f>
        <v/>
      </c>
      <c r="K6" s="11" t="str">
        <f aca="false">IF(INDEX(_LEITURA!$Q$2:$Q$21,5)=1,INDEX(_LEITURA!$P$2:$P$21,5),"")</f>
        <v/>
      </c>
      <c r="L6" s="16" t="str">
        <f aca="false">IF(K6="","",SUMIFS(DECKS!$D$2:$D$1201,DECKS!$A$2:$A$1201,K6))</f>
        <v/>
      </c>
      <c r="M6" s="16" t="str">
        <f aca="false">IF(K6="","",SUMIFS(DECKS!$F$2:$F$1201,DECKS!$A$2:$A$1201,K6))</f>
        <v/>
      </c>
    </row>
    <row r="7" customFormat="false" ht="15" hidden="false" customHeight="false" outlineLevel="0" collapsed="false">
      <c r="A7" s="16"/>
      <c r="B7" s="11" t="str">
        <f aca="false">IF($H7="","",INDEX(DECKS!$A$2:$A$1201,$H7))</f>
        <v/>
      </c>
      <c r="C7" s="11" t="str">
        <f aca="false">IF($H7="","",INDEX(DECKS!$B$2:$B$1201,$H7))</f>
        <v/>
      </c>
      <c r="D7" s="11" t="str">
        <f aca="false">IF($H7="","",INDEX(DECKS!$C$2:$C$1201,$H7))</f>
        <v/>
      </c>
      <c r="E7" s="16" t="str">
        <f aca="false">IF($H7="","",INDEX(DECKS!$D$2:$D$1201,$H7))</f>
        <v/>
      </c>
      <c r="F7" s="16" t="str">
        <f aca="false">IF($H7="","",INDEX(DECKS!$E$2:$E$1201,$H7))</f>
        <v/>
      </c>
      <c r="G7" s="21" t="str">
        <f aca="false">IF($H7="","",INDEX(DECKS!$F$2:$F$1201,$H7))</f>
        <v/>
      </c>
      <c r="H7" s="11" t="str">
        <f aca="false">IFERROR(MATCH(ROW()-1,DECKS!$O$2:$O$1201,0),"")</f>
        <v/>
      </c>
      <c r="I7" s="11" t="str">
        <f aca="false">IF(C7="","",G7&amp;" "&amp;D7&amp;" ("&amp;C7&amp;")")</f>
        <v/>
      </c>
      <c r="K7" s="11" t="str">
        <f aca="false">IF(INDEX(_LEITURA!$Q$2:$Q$21,6)=1,INDEX(_LEITURA!$P$2:$P$21,6),"")</f>
        <v/>
      </c>
      <c r="L7" s="16" t="str">
        <f aca="false">IF(K7="","",SUMIFS(DECKS!$D$2:$D$1201,DECKS!$A$2:$A$1201,K7))</f>
        <v/>
      </c>
      <c r="M7" s="16" t="str">
        <f aca="false">IF(K7="","",SUMIFS(DECKS!$F$2:$F$1201,DECKS!$A$2:$A$1201,K7))</f>
        <v/>
      </c>
    </row>
    <row r="8" customFormat="false" ht="15" hidden="false" customHeight="false" outlineLevel="0" collapsed="false">
      <c r="A8" s="16"/>
      <c r="B8" s="11" t="str">
        <f aca="false">IF($H8="","",INDEX(DECKS!$A$2:$A$1201,$H8))</f>
        <v/>
      </c>
      <c r="C8" s="11" t="str">
        <f aca="false">IF($H8="","",INDEX(DECKS!$B$2:$B$1201,$H8))</f>
        <v/>
      </c>
      <c r="D8" s="11" t="str">
        <f aca="false">IF($H8="","",INDEX(DECKS!$C$2:$C$1201,$H8))</f>
        <v/>
      </c>
      <c r="E8" s="16" t="str">
        <f aca="false">IF($H8="","",INDEX(DECKS!$D$2:$D$1201,$H8))</f>
        <v/>
      </c>
      <c r="F8" s="16" t="str">
        <f aca="false">IF($H8="","",INDEX(DECKS!$E$2:$E$1201,$H8))</f>
        <v/>
      </c>
      <c r="G8" s="21" t="str">
        <f aca="false">IF($H8="","",INDEX(DECKS!$F$2:$F$1201,$H8))</f>
        <v/>
      </c>
      <c r="H8" s="11" t="str">
        <f aca="false">IFERROR(MATCH(ROW()-1,DECKS!$O$2:$O$1201,0),"")</f>
        <v/>
      </c>
      <c r="I8" s="11" t="str">
        <f aca="false">IF(C8="","",G8&amp;" "&amp;D8&amp;" ("&amp;C8&amp;")")</f>
        <v/>
      </c>
      <c r="K8" s="11" t="str">
        <f aca="false">IF(INDEX(_LEITURA!$Q$2:$Q$21,7)=1,INDEX(_LEITURA!$P$2:$P$21,7),"")</f>
        <v/>
      </c>
      <c r="L8" s="16" t="str">
        <f aca="false">IF(K8="","",SUMIFS(DECKS!$D$2:$D$1201,DECKS!$A$2:$A$1201,K8))</f>
        <v/>
      </c>
      <c r="M8" s="16" t="str">
        <f aca="false">IF(K8="","",SUMIFS(DECKS!$F$2:$F$1201,DECKS!$A$2:$A$1201,K8))</f>
        <v/>
      </c>
    </row>
    <row r="9" customFormat="false" ht="15" hidden="false" customHeight="false" outlineLevel="0" collapsed="false">
      <c r="A9" s="16"/>
      <c r="B9" s="11" t="str">
        <f aca="false">IF($H9="","",INDEX(DECKS!$A$2:$A$1201,$H9))</f>
        <v/>
      </c>
      <c r="C9" s="11" t="str">
        <f aca="false">IF($H9="","",INDEX(DECKS!$B$2:$B$1201,$H9))</f>
        <v/>
      </c>
      <c r="D9" s="11" t="str">
        <f aca="false">IF($H9="","",INDEX(DECKS!$C$2:$C$1201,$H9))</f>
        <v/>
      </c>
      <c r="E9" s="16" t="str">
        <f aca="false">IF($H9="","",INDEX(DECKS!$D$2:$D$1201,$H9))</f>
        <v/>
      </c>
      <c r="F9" s="16" t="str">
        <f aca="false">IF($H9="","",INDEX(DECKS!$E$2:$E$1201,$H9))</f>
        <v/>
      </c>
      <c r="G9" s="21" t="str">
        <f aca="false">IF($H9="","",INDEX(DECKS!$F$2:$F$1201,$H9))</f>
        <v/>
      </c>
      <c r="H9" s="11" t="str">
        <f aca="false">IFERROR(MATCH(ROW()-1,DECKS!$O$2:$O$1201,0),"")</f>
        <v/>
      </c>
      <c r="I9" s="11" t="str">
        <f aca="false">IF(C9="","",G9&amp;" "&amp;D9&amp;" ("&amp;C9&amp;")")</f>
        <v/>
      </c>
      <c r="K9" s="11" t="str">
        <f aca="false">IF(INDEX(_LEITURA!$Q$2:$Q$21,8)=1,INDEX(_LEITURA!$P$2:$P$21,8),"")</f>
        <v/>
      </c>
      <c r="L9" s="16" t="str">
        <f aca="false">IF(K9="","",SUMIFS(DECKS!$D$2:$D$1201,DECKS!$A$2:$A$1201,K9))</f>
        <v/>
      </c>
      <c r="M9" s="16" t="str">
        <f aca="false">IF(K9="","",SUMIFS(DECKS!$F$2:$F$1201,DECKS!$A$2:$A$1201,K9))</f>
        <v/>
      </c>
    </row>
    <row r="10" customFormat="false" ht="15" hidden="false" customHeight="false" outlineLevel="0" collapsed="false">
      <c r="A10" s="16"/>
      <c r="B10" s="11" t="str">
        <f aca="false">IF($H10="","",INDEX(DECKS!$A$2:$A$1201,$H10))</f>
        <v/>
      </c>
      <c r="C10" s="11" t="str">
        <f aca="false">IF($H10="","",INDEX(DECKS!$B$2:$B$1201,$H10))</f>
        <v/>
      </c>
      <c r="D10" s="11" t="str">
        <f aca="false">IF($H10="","",INDEX(DECKS!$C$2:$C$1201,$H10))</f>
        <v/>
      </c>
      <c r="E10" s="16" t="str">
        <f aca="false">IF($H10="","",INDEX(DECKS!$D$2:$D$1201,$H10))</f>
        <v/>
      </c>
      <c r="F10" s="16" t="str">
        <f aca="false">IF($H10="","",INDEX(DECKS!$E$2:$E$1201,$H10))</f>
        <v/>
      </c>
      <c r="G10" s="21" t="str">
        <f aca="false">IF($H10="","",INDEX(DECKS!$F$2:$F$1201,$H10))</f>
        <v/>
      </c>
      <c r="H10" s="11" t="str">
        <f aca="false">IFERROR(MATCH(ROW()-1,DECKS!$O$2:$O$1201,0),"")</f>
        <v/>
      </c>
      <c r="I10" s="11" t="str">
        <f aca="false">IF(C10="","",G10&amp;" "&amp;D10&amp;" ("&amp;C10&amp;")")</f>
        <v/>
      </c>
      <c r="K10" s="11" t="str">
        <f aca="false">IF(INDEX(_LEITURA!$Q$2:$Q$21,9)=1,INDEX(_LEITURA!$P$2:$P$21,9),"")</f>
        <v/>
      </c>
      <c r="L10" s="16" t="str">
        <f aca="false">IF(K10="","",SUMIFS(DECKS!$D$2:$D$1201,DECKS!$A$2:$A$1201,K10))</f>
        <v/>
      </c>
      <c r="M10" s="16" t="str">
        <f aca="false">IF(K10="","",SUMIFS(DECKS!$F$2:$F$1201,DECKS!$A$2:$A$1201,K10))</f>
        <v/>
      </c>
    </row>
    <row r="11" customFormat="false" ht="15" hidden="false" customHeight="false" outlineLevel="0" collapsed="false">
      <c r="A11" s="16"/>
      <c r="B11" s="11" t="str">
        <f aca="false">IF($H11="","",INDEX(DECKS!$A$2:$A$1201,$H11))</f>
        <v/>
      </c>
      <c r="C11" s="11" t="str">
        <f aca="false">IF($H11="","",INDEX(DECKS!$B$2:$B$1201,$H11))</f>
        <v/>
      </c>
      <c r="D11" s="11" t="str">
        <f aca="false">IF($H11="","",INDEX(DECKS!$C$2:$C$1201,$H11))</f>
        <v/>
      </c>
      <c r="E11" s="16" t="str">
        <f aca="false">IF($H11="","",INDEX(DECKS!$D$2:$D$1201,$H11))</f>
        <v/>
      </c>
      <c r="F11" s="16" t="str">
        <f aca="false">IF($H11="","",INDEX(DECKS!$E$2:$E$1201,$H11))</f>
        <v/>
      </c>
      <c r="G11" s="21" t="str">
        <f aca="false">IF($H11="","",INDEX(DECKS!$F$2:$F$1201,$H11))</f>
        <v/>
      </c>
      <c r="H11" s="11" t="str">
        <f aca="false">IFERROR(MATCH(ROW()-1,DECKS!$O$2:$O$1201,0),"")</f>
        <v/>
      </c>
      <c r="I11" s="11" t="str">
        <f aca="false">IF(C11="","",G11&amp;" "&amp;D11&amp;" ("&amp;C11&amp;")")</f>
        <v/>
      </c>
      <c r="K11" s="11" t="str">
        <f aca="false">IF(INDEX(_LEITURA!$Q$2:$Q$21,10)=1,INDEX(_LEITURA!$P$2:$P$21,10),"")</f>
        <v/>
      </c>
      <c r="L11" s="16" t="str">
        <f aca="false">IF(K11="","",SUMIFS(DECKS!$D$2:$D$1201,DECKS!$A$2:$A$1201,K11))</f>
        <v/>
      </c>
      <c r="M11" s="16" t="str">
        <f aca="false">IF(K11="","",SUMIFS(DECKS!$F$2:$F$1201,DECKS!$A$2:$A$1201,K11))</f>
        <v/>
      </c>
    </row>
    <row r="12" customFormat="false" ht="15" hidden="false" customHeight="false" outlineLevel="0" collapsed="false">
      <c r="A12" s="16"/>
      <c r="B12" s="11" t="str">
        <f aca="false">IF($H12="","",INDEX(DECKS!$A$2:$A$1201,$H12))</f>
        <v/>
      </c>
      <c r="C12" s="11" t="str">
        <f aca="false">IF($H12="","",INDEX(DECKS!$B$2:$B$1201,$H12))</f>
        <v/>
      </c>
      <c r="D12" s="11" t="str">
        <f aca="false">IF($H12="","",INDEX(DECKS!$C$2:$C$1201,$H12))</f>
        <v/>
      </c>
      <c r="E12" s="16" t="str">
        <f aca="false">IF($H12="","",INDEX(DECKS!$D$2:$D$1201,$H12))</f>
        <v/>
      </c>
      <c r="F12" s="16" t="str">
        <f aca="false">IF($H12="","",INDEX(DECKS!$E$2:$E$1201,$H12))</f>
        <v/>
      </c>
      <c r="G12" s="21" t="str">
        <f aca="false">IF($H12="","",INDEX(DECKS!$F$2:$F$1201,$H12))</f>
        <v/>
      </c>
      <c r="H12" s="11" t="str">
        <f aca="false">IFERROR(MATCH(ROW()-1,DECKS!$O$2:$O$1201,0),"")</f>
        <v/>
      </c>
      <c r="I12" s="11" t="str">
        <f aca="false">IF(C12="","",G12&amp;" "&amp;D12&amp;" ("&amp;C12&amp;")")</f>
        <v/>
      </c>
      <c r="K12" s="11" t="str">
        <f aca="false">IF(INDEX(_LEITURA!$Q$2:$Q$21,11)=1,INDEX(_LEITURA!$P$2:$P$21,11),"")</f>
        <v/>
      </c>
      <c r="L12" s="16" t="str">
        <f aca="false">IF(K12="","",SUMIFS(DECKS!$D$2:$D$1201,DECKS!$A$2:$A$1201,K12))</f>
        <v/>
      </c>
      <c r="M12" s="16" t="str">
        <f aca="false">IF(K12="","",SUMIFS(DECKS!$F$2:$F$1201,DECKS!$A$2:$A$1201,K12))</f>
        <v/>
      </c>
    </row>
    <row r="13" customFormat="false" ht="15" hidden="false" customHeight="false" outlineLevel="0" collapsed="false">
      <c r="A13" s="16"/>
      <c r="B13" s="11" t="str">
        <f aca="false">IF($H13="","",INDEX(DECKS!$A$2:$A$1201,$H13))</f>
        <v/>
      </c>
      <c r="C13" s="11" t="str">
        <f aca="false">IF($H13="","",INDEX(DECKS!$B$2:$B$1201,$H13))</f>
        <v/>
      </c>
      <c r="D13" s="11" t="str">
        <f aca="false">IF($H13="","",INDEX(DECKS!$C$2:$C$1201,$H13))</f>
        <v/>
      </c>
      <c r="E13" s="16" t="str">
        <f aca="false">IF($H13="","",INDEX(DECKS!$D$2:$D$1201,$H13))</f>
        <v/>
      </c>
      <c r="F13" s="16" t="str">
        <f aca="false">IF($H13="","",INDEX(DECKS!$E$2:$E$1201,$H13))</f>
        <v/>
      </c>
      <c r="G13" s="21" t="str">
        <f aca="false">IF($H13="","",INDEX(DECKS!$F$2:$F$1201,$H13))</f>
        <v/>
      </c>
      <c r="H13" s="11" t="str">
        <f aca="false">IFERROR(MATCH(ROW()-1,DECKS!$O$2:$O$1201,0),"")</f>
        <v/>
      </c>
      <c r="I13" s="11" t="str">
        <f aca="false">IF(C13="","",G13&amp;" "&amp;D13&amp;" ("&amp;C13&amp;")")</f>
        <v/>
      </c>
      <c r="K13" s="11" t="str">
        <f aca="false">IF(INDEX(_LEITURA!$Q$2:$Q$21,12)=1,INDEX(_LEITURA!$P$2:$P$21,12),"")</f>
        <v/>
      </c>
      <c r="L13" s="16" t="str">
        <f aca="false">IF(K13="","",SUMIFS(DECKS!$D$2:$D$1201,DECKS!$A$2:$A$1201,K13))</f>
        <v/>
      </c>
      <c r="M13" s="16" t="str">
        <f aca="false">IF(K13="","",SUMIFS(DECKS!$F$2:$F$1201,DECKS!$A$2:$A$1201,K13))</f>
        <v/>
      </c>
    </row>
    <row r="14" customFormat="false" ht="15" hidden="false" customHeight="false" outlineLevel="0" collapsed="false">
      <c r="A14" s="16"/>
      <c r="B14" s="11" t="str">
        <f aca="false">IF($H14="","",INDEX(DECKS!$A$2:$A$1201,$H14))</f>
        <v/>
      </c>
      <c r="C14" s="11" t="str">
        <f aca="false">IF($H14="","",INDEX(DECKS!$B$2:$B$1201,$H14))</f>
        <v/>
      </c>
      <c r="D14" s="11" t="str">
        <f aca="false">IF($H14="","",INDEX(DECKS!$C$2:$C$1201,$H14))</f>
        <v/>
      </c>
      <c r="E14" s="16" t="str">
        <f aca="false">IF($H14="","",INDEX(DECKS!$D$2:$D$1201,$H14))</f>
        <v/>
      </c>
      <c r="F14" s="16" t="str">
        <f aca="false">IF($H14="","",INDEX(DECKS!$E$2:$E$1201,$H14))</f>
        <v/>
      </c>
      <c r="G14" s="21" t="str">
        <f aca="false">IF($H14="","",INDEX(DECKS!$F$2:$F$1201,$H14))</f>
        <v/>
      </c>
      <c r="H14" s="11" t="str">
        <f aca="false">IFERROR(MATCH(ROW()-1,DECKS!$O$2:$O$1201,0),"")</f>
        <v/>
      </c>
      <c r="I14" s="11" t="str">
        <f aca="false">IF(C14="","",G14&amp;" "&amp;D14&amp;" ("&amp;C14&amp;")")</f>
        <v/>
      </c>
      <c r="K14" s="11" t="str">
        <f aca="false">IF(INDEX(_LEITURA!$Q$2:$Q$21,13)=1,INDEX(_LEITURA!$P$2:$P$21,13),"")</f>
        <v/>
      </c>
      <c r="L14" s="16" t="str">
        <f aca="false">IF(K14="","",SUMIFS(DECKS!$D$2:$D$1201,DECKS!$A$2:$A$1201,K14))</f>
        <v/>
      </c>
      <c r="M14" s="16" t="str">
        <f aca="false">IF(K14="","",SUMIFS(DECKS!$F$2:$F$1201,DECKS!$A$2:$A$1201,K14))</f>
        <v/>
      </c>
    </row>
    <row r="15" customFormat="false" ht="15" hidden="false" customHeight="false" outlineLevel="0" collapsed="false">
      <c r="A15" s="16"/>
      <c r="B15" s="11" t="str">
        <f aca="false">IF($H15="","",INDEX(DECKS!$A$2:$A$1201,$H15))</f>
        <v/>
      </c>
      <c r="C15" s="11" t="str">
        <f aca="false">IF($H15="","",INDEX(DECKS!$B$2:$B$1201,$H15))</f>
        <v/>
      </c>
      <c r="D15" s="11" t="str">
        <f aca="false">IF($H15="","",INDEX(DECKS!$C$2:$C$1201,$H15))</f>
        <v/>
      </c>
      <c r="E15" s="16" t="str">
        <f aca="false">IF($H15="","",INDEX(DECKS!$D$2:$D$1201,$H15))</f>
        <v/>
      </c>
      <c r="F15" s="16" t="str">
        <f aca="false">IF($H15="","",INDEX(DECKS!$E$2:$E$1201,$H15))</f>
        <v/>
      </c>
      <c r="G15" s="21" t="str">
        <f aca="false">IF($H15="","",INDEX(DECKS!$F$2:$F$1201,$H15))</f>
        <v/>
      </c>
      <c r="H15" s="11" t="str">
        <f aca="false">IFERROR(MATCH(ROW()-1,DECKS!$O$2:$O$1201,0),"")</f>
        <v/>
      </c>
      <c r="I15" s="11" t="str">
        <f aca="false">IF(C15="","",G15&amp;" "&amp;D15&amp;" ("&amp;C15&amp;")")</f>
        <v/>
      </c>
      <c r="K15" s="11" t="str">
        <f aca="false">IF(INDEX(_LEITURA!$Q$2:$Q$21,14)=1,INDEX(_LEITURA!$P$2:$P$21,14),"")</f>
        <v/>
      </c>
      <c r="L15" s="16" t="str">
        <f aca="false">IF(K15="","",SUMIFS(DECKS!$D$2:$D$1201,DECKS!$A$2:$A$1201,K15))</f>
        <v/>
      </c>
      <c r="M15" s="16" t="str">
        <f aca="false">IF(K15="","",SUMIFS(DECKS!$F$2:$F$1201,DECKS!$A$2:$A$1201,K15))</f>
        <v/>
      </c>
    </row>
    <row r="16" customFormat="false" ht="15" hidden="false" customHeight="false" outlineLevel="0" collapsed="false">
      <c r="A16" s="16"/>
      <c r="B16" s="11" t="str">
        <f aca="false">IF($H16="","",INDEX(DECKS!$A$2:$A$1201,$H16))</f>
        <v/>
      </c>
      <c r="C16" s="11" t="str">
        <f aca="false">IF($H16="","",INDEX(DECKS!$B$2:$B$1201,$H16))</f>
        <v/>
      </c>
      <c r="D16" s="11" t="str">
        <f aca="false">IF($H16="","",INDEX(DECKS!$C$2:$C$1201,$H16))</f>
        <v/>
      </c>
      <c r="E16" s="16" t="str">
        <f aca="false">IF($H16="","",INDEX(DECKS!$D$2:$D$1201,$H16))</f>
        <v/>
      </c>
      <c r="F16" s="16" t="str">
        <f aca="false">IF($H16="","",INDEX(DECKS!$E$2:$E$1201,$H16))</f>
        <v/>
      </c>
      <c r="G16" s="21" t="str">
        <f aca="false">IF($H16="","",INDEX(DECKS!$F$2:$F$1201,$H16))</f>
        <v/>
      </c>
      <c r="H16" s="11" t="str">
        <f aca="false">IFERROR(MATCH(ROW()-1,DECKS!$O$2:$O$1201,0),"")</f>
        <v/>
      </c>
      <c r="I16" s="11" t="str">
        <f aca="false">IF(C16="","",G16&amp;" "&amp;D16&amp;" ("&amp;C16&amp;")")</f>
        <v/>
      </c>
      <c r="K16" s="11" t="str">
        <f aca="false">IF(INDEX(_LEITURA!$Q$2:$Q$21,15)=1,INDEX(_LEITURA!$P$2:$P$21,15),"")</f>
        <v/>
      </c>
      <c r="L16" s="16" t="str">
        <f aca="false">IF(K16="","",SUMIFS(DECKS!$D$2:$D$1201,DECKS!$A$2:$A$1201,K16))</f>
        <v/>
      </c>
      <c r="M16" s="16" t="str">
        <f aca="false">IF(K16="","",SUMIFS(DECKS!$F$2:$F$1201,DECKS!$A$2:$A$1201,K16))</f>
        <v/>
      </c>
    </row>
    <row r="17" customFormat="false" ht="15" hidden="false" customHeight="false" outlineLevel="0" collapsed="false">
      <c r="A17" s="16"/>
      <c r="B17" s="11" t="str">
        <f aca="false">IF($H17="","",INDEX(DECKS!$A$2:$A$1201,$H17))</f>
        <v/>
      </c>
      <c r="C17" s="11" t="str">
        <f aca="false">IF($H17="","",INDEX(DECKS!$B$2:$B$1201,$H17))</f>
        <v/>
      </c>
      <c r="D17" s="11" t="str">
        <f aca="false">IF($H17="","",INDEX(DECKS!$C$2:$C$1201,$H17))</f>
        <v/>
      </c>
      <c r="E17" s="16" t="str">
        <f aca="false">IF($H17="","",INDEX(DECKS!$D$2:$D$1201,$H17))</f>
        <v/>
      </c>
      <c r="F17" s="16" t="str">
        <f aca="false">IF($H17="","",INDEX(DECKS!$E$2:$E$1201,$H17))</f>
        <v/>
      </c>
      <c r="G17" s="21" t="str">
        <f aca="false">IF($H17="","",INDEX(DECKS!$F$2:$F$1201,$H17))</f>
        <v/>
      </c>
      <c r="H17" s="11" t="str">
        <f aca="false">IFERROR(MATCH(ROW()-1,DECKS!$O$2:$O$1201,0),"")</f>
        <v/>
      </c>
      <c r="I17" s="11" t="str">
        <f aca="false">IF(C17="","",G17&amp;" "&amp;D17&amp;" ("&amp;C17&amp;")")</f>
        <v/>
      </c>
      <c r="K17" s="11" t="str">
        <f aca="false">IF(INDEX(_LEITURA!$Q$2:$Q$21,16)=1,INDEX(_LEITURA!$P$2:$P$21,16),"")</f>
        <v/>
      </c>
      <c r="L17" s="16" t="str">
        <f aca="false">IF(K17="","",SUMIFS(DECKS!$D$2:$D$1201,DECKS!$A$2:$A$1201,K17))</f>
        <v/>
      </c>
      <c r="M17" s="16" t="str">
        <f aca="false">IF(K17="","",SUMIFS(DECKS!$F$2:$F$1201,DECKS!$A$2:$A$1201,K17))</f>
        <v/>
      </c>
    </row>
    <row r="18" customFormat="false" ht="15" hidden="false" customHeight="false" outlineLevel="0" collapsed="false">
      <c r="A18" s="16"/>
      <c r="B18" s="11" t="str">
        <f aca="false">IF($H18="","",INDEX(DECKS!$A$2:$A$1201,$H18))</f>
        <v/>
      </c>
      <c r="C18" s="11" t="str">
        <f aca="false">IF($H18="","",INDEX(DECKS!$B$2:$B$1201,$H18))</f>
        <v/>
      </c>
      <c r="D18" s="11" t="str">
        <f aca="false">IF($H18="","",INDEX(DECKS!$C$2:$C$1201,$H18))</f>
        <v/>
      </c>
      <c r="E18" s="16" t="str">
        <f aca="false">IF($H18="","",INDEX(DECKS!$D$2:$D$1201,$H18))</f>
        <v/>
      </c>
      <c r="F18" s="16" t="str">
        <f aca="false">IF($H18="","",INDEX(DECKS!$E$2:$E$1201,$H18))</f>
        <v/>
      </c>
      <c r="G18" s="21" t="str">
        <f aca="false">IF($H18="","",INDEX(DECKS!$F$2:$F$1201,$H18))</f>
        <v/>
      </c>
      <c r="H18" s="11" t="str">
        <f aca="false">IFERROR(MATCH(ROW()-1,DECKS!$O$2:$O$1201,0),"")</f>
        <v/>
      </c>
      <c r="I18" s="11" t="str">
        <f aca="false">IF(C18="","",G18&amp;" "&amp;D18&amp;" ("&amp;C18&amp;")")</f>
        <v/>
      </c>
      <c r="K18" s="11" t="str">
        <f aca="false">IF(INDEX(_LEITURA!$Q$2:$Q$21,17)=1,INDEX(_LEITURA!$P$2:$P$21,17),"")</f>
        <v/>
      </c>
      <c r="L18" s="16" t="str">
        <f aca="false">IF(K18="","",SUMIFS(DECKS!$D$2:$D$1201,DECKS!$A$2:$A$1201,K18))</f>
        <v/>
      </c>
      <c r="M18" s="16" t="str">
        <f aca="false">IF(K18="","",SUMIFS(DECKS!$F$2:$F$1201,DECKS!$A$2:$A$1201,K18))</f>
        <v/>
      </c>
    </row>
    <row r="19" customFormat="false" ht="15" hidden="false" customHeight="false" outlineLevel="0" collapsed="false">
      <c r="A19" s="16"/>
      <c r="B19" s="11" t="str">
        <f aca="false">IF($H19="","",INDEX(DECKS!$A$2:$A$1201,$H19))</f>
        <v/>
      </c>
      <c r="C19" s="11" t="str">
        <f aca="false">IF($H19="","",INDEX(DECKS!$B$2:$B$1201,$H19))</f>
        <v/>
      </c>
      <c r="D19" s="11" t="str">
        <f aca="false">IF($H19="","",INDEX(DECKS!$C$2:$C$1201,$H19))</f>
        <v/>
      </c>
      <c r="E19" s="16" t="str">
        <f aca="false">IF($H19="","",INDEX(DECKS!$D$2:$D$1201,$H19))</f>
        <v/>
      </c>
      <c r="F19" s="16" t="str">
        <f aca="false">IF($H19="","",INDEX(DECKS!$E$2:$E$1201,$H19))</f>
        <v/>
      </c>
      <c r="G19" s="21" t="str">
        <f aca="false">IF($H19="","",INDEX(DECKS!$F$2:$F$1201,$H19))</f>
        <v/>
      </c>
      <c r="H19" s="11" t="str">
        <f aca="false">IFERROR(MATCH(ROW()-1,DECKS!$O$2:$O$1201,0),"")</f>
        <v/>
      </c>
      <c r="I19" s="11" t="str">
        <f aca="false">IF(C19="","",G19&amp;" "&amp;D19&amp;" ("&amp;C19&amp;")")</f>
        <v/>
      </c>
      <c r="K19" s="11" t="str">
        <f aca="false">IF(INDEX(_LEITURA!$Q$2:$Q$21,18)=1,INDEX(_LEITURA!$P$2:$P$21,18),"")</f>
        <v/>
      </c>
      <c r="L19" s="16" t="str">
        <f aca="false">IF(K19="","",SUMIFS(DECKS!$D$2:$D$1201,DECKS!$A$2:$A$1201,K19))</f>
        <v/>
      </c>
      <c r="M19" s="16" t="str">
        <f aca="false">IF(K19="","",SUMIFS(DECKS!$F$2:$F$1201,DECKS!$A$2:$A$1201,K19))</f>
        <v/>
      </c>
    </row>
    <row r="20" customFormat="false" ht="15" hidden="false" customHeight="false" outlineLevel="0" collapsed="false">
      <c r="A20" s="16"/>
      <c r="B20" s="11" t="str">
        <f aca="false">IF($H20="","",INDEX(DECKS!$A$2:$A$1201,$H20))</f>
        <v/>
      </c>
      <c r="C20" s="11" t="str">
        <f aca="false">IF($H20="","",INDEX(DECKS!$B$2:$B$1201,$H20))</f>
        <v/>
      </c>
      <c r="D20" s="11" t="str">
        <f aca="false">IF($H20="","",INDEX(DECKS!$C$2:$C$1201,$H20))</f>
        <v/>
      </c>
      <c r="E20" s="16" t="str">
        <f aca="false">IF($H20="","",INDEX(DECKS!$D$2:$D$1201,$H20))</f>
        <v/>
      </c>
      <c r="F20" s="16" t="str">
        <f aca="false">IF($H20="","",INDEX(DECKS!$E$2:$E$1201,$H20))</f>
        <v/>
      </c>
      <c r="G20" s="21" t="str">
        <f aca="false">IF($H20="","",INDEX(DECKS!$F$2:$F$1201,$H20))</f>
        <v/>
      </c>
      <c r="H20" s="11" t="str">
        <f aca="false">IFERROR(MATCH(ROW()-1,DECKS!$O$2:$O$1201,0),"")</f>
        <v/>
      </c>
      <c r="I20" s="11" t="str">
        <f aca="false">IF(C20="","",G20&amp;" "&amp;D20&amp;" ("&amp;C20&amp;")")</f>
        <v/>
      </c>
      <c r="K20" s="11" t="str">
        <f aca="false">IF(INDEX(_LEITURA!$Q$2:$Q$21,19)=1,INDEX(_LEITURA!$P$2:$P$21,19),"")</f>
        <v/>
      </c>
      <c r="L20" s="16" t="str">
        <f aca="false">IF(K20="","",SUMIFS(DECKS!$D$2:$D$1201,DECKS!$A$2:$A$1201,K20))</f>
        <v/>
      </c>
      <c r="M20" s="16" t="str">
        <f aca="false">IF(K20="","",SUMIFS(DECKS!$F$2:$F$1201,DECKS!$A$2:$A$1201,K20))</f>
        <v/>
      </c>
    </row>
    <row r="21" customFormat="false" ht="15" hidden="false" customHeight="false" outlineLevel="0" collapsed="false">
      <c r="A21" s="16"/>
      <c r="B21" s="11" t="str">
        <f aca="false">IF($H21="","",INDEX(DECKS!$A$2:$A$1201,$H21))</f>
        <v/>
      </c>
      <c r="C21" s="11" t="str">
        <f aca="false">IF($H21="","",INDEX(DECKS!$B$2:$B$1201,$H21))</f>
        <v/>
      </c>
      <c r="D21" s="11" t="str">
        <f aca="false">IF($H21="","",INDEX(DECKS!$C$2:$C$1201,$H21))</f>
        <v/>
      </c>
      <c r="E21" s="16" t="str">
        <f aca="false">IF($H21="","",INDEX(DECKS!$D$2:$D$1201,$H21))</f>
        <v/>
      </c>
      <c r="F21" s="16" t="str">
        <f aca="false">IF($H21="","",INDEX(DECKS!$E$2:$E$1201,$H21))</f>
        <v/>
      </c>
      <c r="G21" s="21" t="str">
        <f aca="false">IF($H21="","",INDEX(DECKS!$F$2:$F$1201,$H21))</f>
        <v/>
      </c>
      <c r="H21" s="11" t="str">
        <f aca="false">IFERROR(MATCH(ROW()-1,DECKS!$O$2:$O$1201,0),"")</f>
        <v/>
      </c>
      <c r="I21" s="11" t="str">
        <f aca="false">IF(C21="","",G21&amp;" "&amp;D21&amp;" ("&amp;C21&amp;")")</f>
        <v/>
      </c>
      <c r="K21" s="11" t="str">
        <f aca="false">IF(INDEX(_LEITURA!$Q$2:$Q$21,20)=1,INDEX(_LEITURA!$P$2:$P$21,20),"")</f>
        <v/>
      </c>
      <c r="L21" s="16" t="str">
        <f aca="false">IF(K21="","",SUMIFS(DECKS!$D$2:$D$1201,DECKS!$A$2:$A$1201,K21))</f>
        <v/>
      </c>
      <c r="M21" s="16" t="str">
        <f aca="false">IF(K21="","",SUMIFS(DECKS!$F$2:$F$1201,DECKS!$A$2:$A$1201,K21))</f>
        <v/>
      </c>
    </row>
    <row r="22" customFormat="false" ht="15" hidden="false" customHeight="false" outlineLevel="0" collapsed="false">
      <c r="A22" s="16"/>
      <c r="B22" s="11" t="str">
        <f aca="false">IF($H22="","",INDEX(DECKS!$A$2:$A$1201,$H22))</f>
        <v/>
      </c>
      <c r="C22" s="11" t="str">
        <f aca="false">IF($H22="","",INDEX(DECKS!$B$2:$B$1201,$H22))</f>
        <v/>
      </c>
      <c r="D22" s="11" t="str">
        <f aca="false">IF($H22="","",INDEX(DECKS!$C$2:$C$1201,$H22))</f>
        <v/>
      </c>
      <c r="E22" s="16" t="str">
        <f aca="false">IF($H22="","",INDEX(DECKS!$D$2:$D$1201,$H22))</f>
        <v/>
      </c>
      <c r="F22" s="16" t="str">
        <f aca="false">IF($H22="","",INDEX(DECKS!$E$2:$E$1201,$H22))</f>
        <v/>
      </c>
      <c r="G22" s="21" t="str">
        <f aca="false">IF($H22="","",INDEX(DECKS!$F$2:$F$1201,$H22))</f>
        <v/>
      </c>
      <c r="H22" s="11" t="str">
        <f aca="false">IFERROR(MATCH(ROW()-1,DECKS!$O$2:$O$1201,0),"")</f>
        <v/>
      </c>
      <c r="I22" s="11" t="str">
        <f aca="false">IF(C22="","",G22&amp;" "&amp;D22&amp;" ("&amp;C22&amp;")")</f>
        <v/>
      </c>
    </row>
    <row r="23" customFormat="false" ht="15" hidden="false" customHeight="false" outlineLevel="0" collapsed="false">
      <c r="A23" s="16"/>
      <c r="B23" s="11" t="str">
        <f aca="false">IF($H23="","",INDEX(DECKS!$A$2:$A$1201,$H23))</f>
        <v/>
      </c>
      <c r="C23" s="11" t="str">
        <f aca="false">IF($H23="","",INDEX(DECKS!$B$2:$B$1201,$H23))</f>
        <v/>
      </c>
      <c r="D23" s="11" t="str">
        <f aca="false">IF($H23="","",INDEX(DECKS!$C$2:$C$1201,$H23))</f>
        <v/>
      </c>
      <c r="E23" s="16" t="str">
        <f aca="false">IF($H23="","",INDEX(DECKS!$D$2:$D$1201,$H23))</f>
        <v/>
      </c>
      <c r="F23" s="16" t="str">
        <f aca="false">IF($H23="","",INDEX(DECKS!$E$2:$E$1201,$H23))</f>
        <v/>
      </c>
      <c r="G23" s="21" t="str">
        <f aca="false">IF($H23="","",INDEX(DECKS!$F$2:$F$1201,$H23))</f>
        <v/>
      </c>
      <c r="H23" s="11" t="str">
        <f aca="false">IFERROR(MATCH(ROW()-1,DECKS!$O$2:$O$1201,0),"")</f>
        <v/>
      </c>
      <c r="I23" s="11" t="str">
        <f aca="false">IF(C23="","",G23&amp;" "&amp;D23&amp;" ("&amp;C23&amp;")")</f>
        <v/>
      </c>
    </row>
    <row r="24" customFormat="false" ht="15" hidden="false" customHeight="false" outlineLevel="0" collapsed="false">
      <c r="A24" s="16"/>
      <c r="B24" s="11" t="str">
        <f aca="false">IF($H24="","",INDEX(DECKS!$A$2:$A$1201,$H24))</f>
        <v/>
      </c>
      <c r="C24" s="11" t="str">
        <f aca="false">IF($H24="","",INDEX(DECKS!$B$2:$B$1201,$H24))</f>
        <v/>
      </c>
      <c r="D24" s="11" t="str">
        <f aca="false">IF($H24="","",INDEX(DECKS!$C$2:$C$1201,$H24))</f>
        <v/>
      </c>
      <c r="E24" s="16" t="str">
        <f aca="false">IF($H24="","",INDEX(DECKS!$D$2:$D$1201,$H24))</f>
        <v/>
      </c>
      <c r="F24" s="16" t="str">
        <f aca="false">IF($H24="","",INDEX(DECKS!$E$2:$E$1201,$H24))</f>
        <v/>
      </c>
      <c r="G24" s="21" t="str">
        <f aca="false">IF($H24="","",INDEX(DECKS!$F$2:$F$1201,$H24))</f>
        <v/>
      </c>
      <c r="H24" s="11" t="str">
        <f aca="false">IFERROR(MATCH(ROW()-1,DECKS!$O$2:$O$1201,0),"")</f>
        <v/>
      </c>
      <c r="I24" s="11" t="str">
        <f aca="false">IF(C24="","",G24&amp;" "&amp;D24&amp;" ("&amp;C24&amp;")")</f>
        <v/>
      </c>
    </row>
    <row r="25" customFormat="false" ht="15" hidden="false" customHeight="false" outlineLevel="0" collapsed="false">
      <c r="A25" s="16"/>
      <c r="B25" s="11" t="str">
        <f aca="false">IF($H25="","",INDEX(DECKS!$A$2:$A$1201,$H25))</f>
        <v/>
      </c>
      <c r="C25" s="11" t="str">
        <f aca="false">IF($H25="","",INDEX(DECKS!$B$2:$B$1201,$H25))</f>
        <v/>
      </c>
      <c r="D25" s="11" t="str">
        <f aca="false">IF($H25="","",INDEX(DECKS!$C$2:$C$1201,$H25))</f>
        <v/>
      </c>
      <c r="E25" s="16" t="str">
        <f aca="false">IF($H25="","",INDEX(DECKS!$D$2:$D$1201,$H25))</f>
        <v/>
      </c>
      <c r="F25" s="16" t="str">
        <f aca="false">IF($H25="","",INDEX(DECKS!$E$2:$E$1201,$H25))</f>
        <v/>
      </c>
      <c r="G25" s="21" t="str">
        <f aca="false">IF($H25="","",INDEX(DECKS!$F$2:$F$1201,$H25))</f>
        <v/>
      </c>
      <c r="H25" s="11" t="str">
        <f aca="false">IFERROR(MATCH(ROW()-1,DECKS!$O$2:$O$1201,0),"")</f>
        <v/>
      </c>
      <c r="I25" s="11" t="str">
        <f aca="false">IF(C25="","",G25&amp;" "&amp;D25&amp;" ("&amp;C25&amp;")")</f>
        <v/>
      </c>
    </row>
    <row r="26" customFormat="false" ht="15" hidden="false" customHeight="false" outlineLevel="0" collapsed="false">
      <c r="A26" s="16"/>
      <c r="B26" s="11" t="str">
        <f aca="false">IF($H26="","",INDEX(DECKS!$A$2:$A$1201,$H26))</f>
        <v/>
      </c>
      <c r="C26" s="11" t="str">
        <f aca="false">IF($H26="","",INDEX(DECKS!$B$2:$B$1201,$H26))</f>
        <v/>
      </c>
      <c r="D26" s="11" t="str">
        <f aca="false">IF($H26="","",INDEX(DECKS!$C$2:$C$1201,$H26))</f>
        <v/>
      </c>
      <c r="E26" s="16" t="str">
        <f aca="false">IF($H26="","",INDEX(DECKS!$D$2:$D$1201,$H26))</f>
        <v/>
      </c>
      <c r="F26" s="16" t="str">
        <f aca="false">IF($H26="","",INDEX(DECKS!$E$2:$E$1201,$H26))</f>
        <v/>
      </c>
      <c r="G26" s="21" t="str">
        <f aca="false">IF($H26="","",INDEX(DECKS!$F$2:$F$1201,$H26))</f>
        <v/>
      </c>
      <c r="H26" s="11" t="str">
        <f aca="false">IFERROR(MATCH(ROW()-1,DECKS!$O$2:$O$1201,0),"")</f>
        <v/>
      </c>
      <c r="I26" s="11" t="str">
        <f aca="false">IF(C26="","",G26&amp;" "&amp;D26&amp;" ("&amp;C26&amp;")")</f>
        <v/>
      </c>
    </row>
    <row r="27" customFormat="false" ht="15" hidden="false" customHeight="false" outlineLevel="0" collapsed="false">
      <c r="A27" s="16"/>
      <c r="B27" s="11" t="str">
        <f aca="false">IF($H27="","",INDEX(DECKS!$A$2:$A$1201,$H27))</f>
        <v/>
      </c>
      <c r="C27" s="11" t="str">
        <f aca="false">IF($H27="","",INDEX(DECKS!$B$2:$B$1201,$H27))</f>
        <v/>
      </c>
      <c r="D27" s="11" t="str">
        <f aca="false">IF($H27="","",INDEX(DECKS!$C$2:$C$1201,$H27))</f>
        <v/>
      </c>
      <c r="E27" s="16" t="str">
        <f aca="false">IF($H27="","",INDEX(DECKS!$D$2:$D$1201,$H27))</f>
        <v/>
      </c>
      <c r="F27" s="16" t="str">
        <f aca="false">IF($H27="","",INDEX(DECKS!$E$2:$E$1201,$H27))</f>
        <v/>
      </c>
      <c r="G27" s="21" t="str">
        <f aca="false">IF($H27="","",INDEX(DECKS!$F$2:$F$1201,$H27))</f>
        <v/>
      </c>
      <c r="H27" s="11" t="str">
        <f aca="false">IFERROR(MATCH(ROW()-1,DECKS!$O$2:$O$1201,0),"")</f>
        <v/>
      </c>
      <c r="I27" s="11" t="str">
        <f aca="false">IF(C27="","",G27&amp;" "&amp;D27&amp;" ("&amp;C27&amp;")")</f>
        <v/>
      </c>
    </row>
    <row r="28" customFormat="false" ht="15" hidden="false" customHeight="false" outlineLevel="0" collapsed="false">
      <c r="A28" s="16"/>
      <c r="B28" s="11" t="str">
        <f aca="false">IF($H28="","",INDEX(DECKS!$A$2:$A$1201,$H28))</f>
        <v/>
      </c>
      <c r="C28" s="11" t="str">
        <f aca="false">IF($H28="","",INDEX(DECKS!$B$2:$B$1201,$H28))</f>
        <v/>
      </c>
      <c r="D28" s="11" t="str">
        <f aca="false">IF($H28="","",INDEX(DECKS!$C$2:$C$1201,$H28))</f>
        <v/>
      </c>
      <c r="E28" s="16" t="str">
        <f aca="false">IF($H28="","",INDEX(DECKS!$D$2:$D$1201,$H28))</f>
        <v/>
      </c>
      <c r="F28" s="16" t="str">
        <f aca="false">IF($H28="","",INDEX(DECKS!$E$2:$E$1201,$H28))</f>
        <v/>
      </c>
      <c r="G28" s="21" t="str">
        <f aca="false">IF($H28="","",INDEX(DECKS!$F$2:$F$1201,$H28))</f>
        <v/>
      </c>
      <c r="H28" s="11" t="str">
        <f aca="false">IFERROR(MATCH(ROW()-1,DECKS!$O$2:$O$1201,0),"")</f>
        <v/>
      </c>
      <c r="I28" s="11" t="str">
        <f aca="false">IF(C28="","",G28&amp;" "&amp;D28&amp;" ("&amp;C28&amp;")")</f>
        <v/>
      </c>
    </row>
    <row r="29" customFormat="false" ht="15" hidden="false" customHeight="false" outlineLevel="0" collapsed="false">
      <c r="A29" s="16"/>
      <c r="B29" s="11" t="str">
        <f aca="false">IF($H29="","",INDEX(DECKS!$A$2:$A$1201,$H29))</f>
        <v/>
      </c>
      <c r="C29" s="11" t="str">
        <f aca="false">IF($H29="","",INDEX(DECKS!$B$2:$B$1201,$H29))</f>
        <v/>
      </c>
      <c r="D29" s="11" t="str">
        <f aca="false">IF($H29="","",INDEX(DECKS!$C$2:$C$1201,$H29))</f>
        <v/>
      </c>
      <c r="E29" s="16" t="str">
        <f aca="false">IF($H29="","",INDEX(DECKS!$D$2:$D$1201,$H29))</f>
        <v/>
      </c>
      <c r="F29" s="16" t="str">
        <f aca="false">IF($H29="","",INDEX(DECKS!$E$2:$E$1201,$H29))</f>
        <v/>
      </c>
      <c r="G29" s="21" t="str">
        <f aca="false">IF($H29="","",INDEX(DECKS!$F$2:$F$1201,$H29))</f>
        <v/>
      </c>
      <c r="H29" s="11" t="str">
        <f aca="false">IFERROR(MATCH(ROW()-1,DECKS!$O$2:$O$1201,0),"")</f>
        <v/>
      </c>
      <c r="I29" s="11" t="str">
        <f aca="false">IF(C29="","",G29&amp;" "&amp;D29&amp;" ("&amp;C29&amp;")")</f>
        <v/>
      </c>
    </row>
    <row r="30" customFormat="false" ht="15" hidden="false" customHeight="false" outlineLevel="0" collapsed="false">
      <c r="A30" s="16"/>
      <c r="B30" s="11" t="str">
        <f aca="false">IF($H30="","",INDEX(DECKS!$A$2:$A$1201,$H30))</f>
        <v/>
      </c>
      <c r="C30" s="11" t="str">
        <f aca="false">IF($H30="","",INDEX(DECKS!$B$2:$B$1201,$H30))</f>
        <v/>
      </c>
      <c r="D30" s="11" t="str">
        <f aca="false">IF($H30="","",INDEX(DECKS!$C$2:$C$1201,$H30))</f>
        <v/>
      </c>
      <c r="E30" s="16" t="str">
        <f aca="false">IF($H30="","",INDEX(DECKS!$D$2:$D$1201,$H30))</f>
        <v/>
      </c>
      <c r="F30" s="16" t="str">
        <f aca="false">IF($H30="","",INDEX(DECKS!$E$2:$E$1201,$H30))</f>
        <v/>
      </c>
      <c r="G30" s="21" t="str">
        <f aca="false">IF($H30="","",INDEX(DECKS!$F$2:$F$1201,$H30))</f>
        <v/>
      </c>
      <c r="H30" s="11" t="str">
        <f aca="false">IFERROR(MATCH(ROW()-1,DECKS!$O$2:$O$1201,0),"")</f>
        <v/>
      </c>
      <c r="I30" s="11" t="str">
        <f aca="false">IF(C30="","",G30&amp;" "&amp;D30&amp;" ("&amp;C30&amp;")")</f>
        <v/>
      </c>
    </row>
    <row r="31" customFormat="false" ht="15" hidden="false" customHeight="false" outlineLevel="0" collapsed="false">
      <c r="A31" s="16"/>
      <c r="B31" s="11" t="str">
        <f aca="false">IF($H31="","",INDEX(DECKS!$A$2:$A$1201,$H31))</f>
        <v/>
      </c>
      <c r="C31" s="11" t="str">
        <f aca="false">IF($H31="","",INDEX(DECKS!$B$2:$B$1201,$H31))</f>
        <v/>
      </c>
      <c r="D31" s="11" t="str">
        <f aca="false">IF($H31="","",INDEX(DECKS!$C$2:$C$1201,$H31))</f>
        <v/>
      </c>
      <c r="E31" s="16" t="str">
        <f aca="false">IF($H31="","",INDEX(DECKS!$D$2:$D$1201,$H31))</f>
        <v/>
      </c>
      <c r="F31" s="16" t="str">
        <f aca="false">IF($H31="","",INDEX(DECKS!$E$2:$E$1201,$H31))</f>
        <v/>
      </c>
      <c r="G31" s="21" t="str">
        <f aca="false">IF($H31="","",INDEX(DECKS!$F$2:$F$1201,$H31))</f>
        <v/>
      </c>
      <c r="H31" s="11" t="str">
        <f aca="false">IFERROR(MATCH(ROW()-1,DECKS!$O$2:$O$1201,0),"")</f>
        <v/>
      </c>
      <c r="I31" s="11" t="str">
        <f aca="false">IF(C31="","",G31&amp;" "&amp;D31&amp;" ("&amp;C31&amp;")")</f>
        <v/>
      </c>
    </row>
    <row r="32" customFormat="false" ht="15" hidden="false" customHeight="false" outlineLevel="0" collapsed="false">
      <c r="A32" s="16"/>
      <c r="B32" s="11" t="str">
        <f aca="false">IF($H32="","",INDEX(DECKS!$A$2:$A$1201,$H32))</f>
        <v/>
      </c>
      <c r="C32" s="11" t="str">
        <f aca="false">IF($H32="","",INDEX(DECKS!$B$2:$B$1201,$H32))</f>
        <v/>
      </c>
      <c r="D32" s="11" t="str">
        <f aca="false">IF($H32="","",INDEX(DECKS!$C$2:$C$1201,$H32))</f>
        <v/>
      </c>
      <c r="E32" s="16" t="str">
        <f aca="false">IF($H32="","",INDEX(DECKS!$D$2:$D$1201,$H32))</f>
        <v/>
      </c>
      <c r="F32" s="16" t="str">
        <f aca="false">IF($H32="","",INDEX(DECKS!$E$2:$E$1201,$H32))</f>
        <v/>
      </c>
      <c r="G32" s="21" t="str">
        <f aca="false">IF($H32="","",INDEX(DECKS!$F$2:$F$1201,$H32))</f>
        <v/>
      </c>
      <c r="H32" s="11" t="str">
        <f aca="false">IFERROR(MATCH(ROW()-1,DECKS!$O$2:$O$1201,0),"")</f>
        <v/>
      </c>
      <c r="I32" s="11" t="str">
        <f aca="false">IF(C32="","",G32&amp;" "&amp;D32&amp;" ("&amp;C32&amp;")")</f>
        <v/>
      </c>
    </row>
    <row r="33" customFormat="false" ht="15" hidden="false" customHeight="false" outlineLevel="0" collapsed="false">
      <c r="A33" s="16"/>
      <c r="B33" s="11" t="str">
        <f aca="false">IF($H33="","",INDEX(DECKS!$A$2:$A$1201,$H33))</f>
        <v/>
      </c>
      <c r="C33" s="11" t="str">
        <f aca="false">IF($H33="","",INDEX(DECKS!$B$2:$B$1201,$H33))</f>
        <v/>
      </c>
      <c r="D33" s="11" t="str">
        <f aca="false">IF($H33="","",INDEX(DECKS!$C$2:$C$1201,$H33))</f>
        <v/>
      </c>
      <c r="E33" s="16" t="str">
        <f aca="false">IF($H33="","",INDEX(DECKS!$D$2:$D$1201,$H33))</f>
        <v/>
      </c>
      <c r="F33" s="16" t="str">
        <f aca="false">IF($H33="","",INDEX(DECKS!$E$2:$E$1201,$H33))</f>
        <v/>
      </c>
      <c r="G33" s="21" t="str">
        <f aca="false">IF($H33="","",INDEX(DECKS!$F$2:$F$1201,$H33))</f>
        <v/>
      </c>
      <c r="H33" s="11" t="str">
        <f aca="false">IFERROR(MATCH(ROW()-1,DECKS!$O$2:$O$1201,0),"")</f>
        <v/>
      </c>
      <c r="I33" s="11" t="str">
        <f aca="false">IF(C33="","",G33&amp;" "&amp;D33&amp;" ("&amp;C33&amp;")")</f>
        <v/>
      </c>
    </row>
    <row r="34" customFormat="false" ht="15" hidden="false" customHeight="false" outlineLevel="0" collapsed="false">
      <c r="A34" s="16"/>
      <c r="B34" s="11" t="str">
        <f aca="false">IF($H34="","",INDEX(DECKS!$A$2:$A$1201,$H34))</f>
        <v/>
      </c>
      <c r="C34" s="11" t="str">
        <f aca="false">IF($H34="","",INDEX(DECKS!$B$2:$B$1201,$H34))</f>
        <v/>
      </c>
      <c r="D34" s="11" t="str">
        <f aca="false">IF($H34="","",INDEX(DECKS!$C$2:$C$1201,$H34))</f>
        <v/>
      </c>
      <c r="E34" s="16" t="str">
        <f aca="false">IF($H34="","",INDEX(DECKS!$D$2:$D$1201,$H34))</f>
        <v/>
      </c>
      <c r="F34" s="16" t="str">
        <f aca="false">IF($H34="","",INDEX(DECKS!$E$2:$E$1201,$H34))</f>
        <v/>
      </c>
      <c r="G34" s="21" t="str">
        <f aca="false">IF($H34="","",INDEX(DECKS!$F$2:$F$1201,$H34))</f>
        <v/>
      </c>
      <c r="H34" s="11" t="str">
        <f aca="false">IFERROR(MATCH(ROW()-1,DECKS!$O$2:$O$1201,0),"")</f>
        <v/>
      </c>
      <c r="I34" s="11" t="str">
        <f aca="false">IF(C34="","",G34&amp;" "&amp;D34&amp;" ("&amp;C34&amp;")")</f>
        <v/>
      </c>
    </row>
    <row r="35" customFormat="false" ht="15" hidden="false" customHeight="false" outlineLevel="0" collapsed="false">
      <c r="A35" s="16"/>
      <c r="B35" s="11" t="str">
        <f aca="false">IF($H35="","",INDEX(DECKS!$A$2:$A$1201,$H35))</f>
        <v/>
      </c>
      <c r="C35" s="11" t="str">
        <f aca="false">IF($H35="","",INDEX(DECKS!$B$2:$B$1201,$H35))</f>
        <v/>
      </c>
      <c r="D35" s="11" t="str">
        <f aca="false">IF($H35="","",INDEX(DECKS!$C$2:$C$1201,$H35))</f>
        <v/>
      </c>
      <c r="E35" s="16" t="str">
        <f aca="false">IF($H35="","",INDEX(DECKS!$D$2:$D$1201,$H35))</f>
        <v/>
      </c>
      <c r="F35" s="16" t="str">
        <f aca="false">IF($H35="","",INDEX(DECKS!$E$2:$E$1201,$H35))</f>
        <v/>
      </c>
      <c r="G35" s="21" t="str">
        <f aca="false">IF($H35="","",INDEX(DECKS!$F$2:$F$1201,$H35))</f>
        <v/>
      </c>
      <c r="H35" s="11" t="str">
        <f aca="false">IFERROR(MATCH(ROW()-1,DECKS!$O$2:$O$1201,0),"")</f>
        <v/>
      </c>
      <c r="I35" s="11" t="str">
        <f aca="false">IF(C35="","",G35&amp;" "&amp;D35&amp;" ("&amp;C35&amp;")")</f>
        <v/>
      </c>
    </row>
    <row r="36" customFormat="false" ht="15" hidden="false" customHeight="false" outlineLevel="0" collapsed="false">
      <c r="A36" s="16"/>
      <c r="B36" s="11" t="str">
        <f aca="false">IF($H36="","",INDEX(DECKS!$A$2:$A$1201,$H36))</f>
        <v/>
      </c>
      <c r="C36" s="11" t="str">
        <f aca="false">IF($H36="","",INDEX(DECKS!$B$2:$B$1201,$H36))</f>
        <v/>
      </c>
      <c r="D36" s="11" t="str">
        <f aca="false">IF($H36="","",INDEX(DECKS!$C$2:$C$1201,$H36))</f>
        <v/>
      </c>
      <c r="E36" s="16" t="str">
        <f aca="false">IF($H36="","",INDEX(DECKS!$D$2:$D$1201,$H36))</f>
        <v/>
      </c>
      <c r="F36" s="16" t="str">
        <f aca="false">IF($H36="","",INDEX(DECKS!$E$2:$E$1201,$H36))</f>
        <v/>
      </c>
      <c r="G36" s="21" t="str">
        <f aca="false">IF($H36="","",INDEX(DECKS!$F$2:$F$1201,$H36))</f>
        <v/>
      </c>
      <c r="H36" s="11" t="str">
        <f aca="false">IFERROR(MATCH(ROW()-1,DECKS!$O$2:$O$1201,0),"")</f>
        <v/>
      </c>
      <c r="I36" s="11" t="str">
        <f aca="false">IF(C36="","",G36&amp;" "&amp;D36&amp;" ("&amp;C36&amp;")")</f>
        <v/>
      </c>
    </row>
    <row r="37" customFormat="false" ht="15" hidden="false" customHeight="false" outlineLevel="0" collapsed="false">
      <c r="A37" s="16"/>
      <c r="B37" s="11" t="str">
        <f aca="false">IF($H37="","",INDEX(DECKS!$A$2:$A$1201,$H37))</f>
        <v/>
      </c>
      <c r="C37" s="11" t="str">
        <f aca="false">IF($H37="","",INDEX(DECKS!$B$2:$B$1201,$H37))</f>
        <v/>
      </c>
      <c r="D37" s="11" t="str">
        <f aca="false">IF($H37="","",INDEX(DECKS!$C$2:$C$1201,$H37))</f>
        <v/>
      </c>
      <c r="E37" s="16" t="str">
        <f aca="false">IF($H37="","",INDEX(DECKS!$D$2:$D$1201,$H37))</f>
        <v/>
      </c>
      <c r="F37" s="16" t="str">
        <f aca="false">IF($H37="","",INDEX(DECKS!$E$2:$E$1201,$H37))</f>
        <v/>
      </c>
      <c r="G37" s="21" t="str">
        <f aca="false">IF($H37="","",INDEX(DECKS!$F$2:$F$1201,$H37))</f>
        <v/>
      </c>
      <c r="H37" s="11" t="str">
        <f aca="false">IFERROR(MATCH(ROW()-1,DECKS!$O$2:$O$1201,0),"")</f>
        <v/>
      </c>
      <c r="I37" s="11" t="str">
        <f aca="false">IF(C37="","",G37&amp;" "&amp;D37&amp;" ("&amp;C37&amp;")")</f>
        <v/>
      </c>
    </row>
    <row r="38" customFormat="false" ht="15" hidden="false" customHeight="false" outlineLevel="0" collapsed="false">
      <c r="A38" s="16"/>
      <c r="B38" s="11" t="str">
        <f aca="false">IF($H38="","",INDEX(DECKS!$A$2:$A$1201,$H38))</f>
        <v/>
      </c>
      <c r="C38" s="11" t="str">
        <f aca="false">IF($H38="","",INDEX(DECKS!$B$2:$B$1201,$H38))</f>
        <v/>
      </c>
      <c r="D38" s="11" t="str">
        <f aca="false">IF($H38="","",INDEX(DECKS!$C$2:$C$1201,$H38))</f>
        <v/>
      </c>
      <c r="E38" s="16" t="str">
        <f aca="false">IF($H38="","",INDEX(DECKS!$D$2:$D$1201,$H38))</f>
        <v/>
      </c>
      <c r="F38" s="16" t="str">
        <f aca="false">IF($H38="","",INDEX(DECKS!$E$2:$E$1201,$H38))</f>
        <v/>
      </c>
      <c r="G38" s="21" t="str">
        <f aca="false">IF($H38="","",INDEX(DECKS!$F$2:$F$1201,$H38))</f>
        <v/>
      </c>
      <c r="H38" s="11" t="str">
        <f aca="false">IFERROR(MATCH(ROW()-1,DECKS!$O$2:$O$1201,0),"")</f>
        <v/>
      </c>
      <c r="I38" s="11" t="str">
        <f aca="false">IF(C38="","",G38&amp;" "&amp;D38&amp;" ("&amp;C38&amp;")")</f>
        <v/>
      </c>
    </row>
    <row r="39" customFormat="false" ht="15" hidden="false" customHeight="false" outlineLevel="0" collapsed="false">
      <c r="A39" s="16"/>
      <c r="B39" s="11" t="str">
        <f aca="false">IF($H39="","",INDEX(DECKS!$A$2:$A$1201,$H39))</f>
        <v/>
      </c>
      <c r="C39" s="11" t="str">
        <f aca="false">IF($H39="","",INDEX(DECKS!$B$2:$B$1201,$H39))</f>
        <v/>
      </c>
      <c r="D39" s="11" t="str">
        <f aca="false">IF($H39="","",INDEX(DECKS!$C$2:$C$1201,$H39))</f>
        <v/>
      </c>
      <c r="E39" s="16" t="str">
        <f aca="false">IF($H39="","",INDEX(DECKS!$D$2:$D$1201,$H39))</f>
        <v/>
      </c>
      <c r="F39" s="16" t="str">
        <f aca="false">IF($H39="","",INDEX(DECKS!$E$2:$E$1201,$H39))</f>
        <v/>
      </c>
      <c r="G39" s="21" t="str">
        <f aca="false">IF($H39="","",INDEX(DECKS!$F$2:$F$1201,$H39))</f>
        <v/>
      </c>
      <c r="H39" s="11" t="str">
        <f aca="false">IFERROR(MATCH(ROW()-1,DECKS!$O$2:$O$1201,0),"")</f>
        <v/>
      </c>
      <c r="I39" s="11" t="str">
        <f aca="false">IF(C39="","",G39&amp;" "&amp;D39&amp;" ("&amp;C39&amp;")")</f>
        <v/>
      </c>
    </row>
    <row r="40" customFormat="false" ht="15" hidden="false" customHeight="false" outlineLevel="0" collapsed="false">
      <c r="A40" s="16"/>
      <c r="B40" s="11" t="str">
        <f aca="false">IF($H40="","",INDEX(DECKS!$A$2:$A$1201,$H40))</f>
        <v/>
      </c>
      <c r="C40" s="11" t="str">
        <f aca="false">IF($H40="","",INDEX(DECKS!$B$2:$B$1201,$H40))</f>
        <v/>
      </c>
      <c r="D40" s="11" t="str">
        <f aca="false">IF($H40="","",INDEX(DECKS!$C$2:$C$1201,$H40))</f>
        <v/>
      </c>
      <c r="E40" s="16" t="str">
        <f aca="false">IF($H40="","",INDEX(DECKS!$D$2:$D$1201,$H40))</f>
        <v/>
      </c>
      <c r="F40" s="16" t="str">
        <f aca="false">IF($H40="","",INDEX(DECKS!$E$2:$E$1201,$H40))</f>
        <v/>
      </c>
      <c r="G40" s="21" t="str">
        <f aca="false">IF($H40="","",INDEX(DECKS!$F$2:$F$1201,$H40))</f>
        <v/>
      </c>
      <c r="H40" s="11" t="str">
        <f aca="false">IFERROR(MATCH(ROW()-1,DECKS!$O$2:$O$1201,0),"")</f>
        <v/>
      </c>
      <c r="I40" s="11" t="str">
        <f aca="false">IF(C40="","",G40&amp;" "&amp;D40&amp;" ("&amp;C40&amp;")")</f>
        <v/>
      </c>
    </row>
    <row r="41" customFormat="false" ht="15" hidden="false" customHeight="false" outlineLevel="0" collapsed="false">
      <c r="A41" s="16"/>
      <c r="B41" s="11" t="str">
        <f aca="false">IF($H41="","",INDEX(DECKS!$A$2:$A$1201,$H41))</f>
        <v/>
      </c>
      <c r="C41" s="11" t="str">
        <f aca="false">IF($H41="","",INDEX(DECKS!$B$2:$B$1201,$H41))</f>
        <v/>
      </c>
      <c r="D41" s="11" t="str">
        <f aca="false">IF($H41="","",INDEX(DECKS!$C$2:$C$1201,$H41))</f>
        <v/>
      </c>
      <c r="E41" s="16" t="str">
        <f aca="false">IF($H41="","",INDEX(DECKS!$D$2:$D$1201,$H41))</f>
        <v/>
      </c>
      <c r="F41" s="16" t="str">
        <f aca="false">IF($H41="","",INDEX(DECKS!$E$2:$E$1201,$H41))</f>
        <v/>
      </c>
      <c r="G41" s="21" t="str">
        <f aca="false">IF($H41="","",INDEX(DECKS!$F$2:$F$1201,$H41))</f>
        <v/>
      </c>
      <c r="H41" s="11" t="str">
        <f aca="false">IFERROR(MATCH(ROW()-1,DECKS!$O$2:$O$1201,0),"")</f>
        <v/>
      </c>
      <c r="I41" s="11" t="str">
        <f aca="false">IF(C41="","",G41&amp;" "&amp;D41&amp;" ("&amp;C41&amp;")")</f>
        <v/>
      </c>
    </row>
    <row r="42" customFormat="false" ht="15" hidden="false" customHeight="false" outlineLevel="0" collapsed="false">
      <c r="A42" s="16"/>
      <c r="B42" s="11" t="str">
        <f aca="false">IF($H42="","",INDEX(DECKS!$A$2:$A$1201,$H42))</f>
        <v/>
      </c>
      <c r="C42" s="11" t="str">
        <f aca="false">IF($H42="","",INDEX(DECKS!$B$2:$B$1201,$H42))</f>
        <v/>
      </c>
      <c r="D42" s="11" t="str">
        <f aca="false">IF($H42="","",INDEX(DECKS!$C$2:$C$1201,$H42))</f>
        <v/>
      </c>
      <c r="E42" s="16" t="str">
        <f aca="false">IF($H42="","",INDEX(DECKS!$D$2:$D$1201,$H42))</f>
        <v/>
      </c>
      <c r="F42" s="16" t="str">
        <f aca="false">IF($H42="","",INDEX(DECKS!$E$2:$E$1201,$H42))</f>
        <v/>
      </c>
      <c r="G42" s="21" t="str">
        <f aca="false">IF($H42="","",INDEX(DECKS!$F$2:$F$1201,$H42))</f>
        <v/>
      </c>
      <c r="H42" s="11" t="str">
        <f aca="false">IFERROR(MATCH(ROW()-1,DECKS!$O$2:$O$1201,0),"")</f>
        <v/>
      </c>
      <c r="I42" s="11" t="str">
        <f aca="false">IF(C42="","",G42&amp;" "&amp;D42&amp;" ("&amp;C42&amp;")")</f>
        <v/>
      </c>
    </row>
    <row r="43" customFormat="false" ht="15" hidden="false" customHeight="false" outlineLevel="0" collapsed="false">
      <c r="A43" s="16"/>
      <c r="B43" s="11" t="str">
        <f aca="false">IF($H43="","",INDEX(DECKS!$A$2:$A$1201,$H43))</f>
        <v/>
      </c>
      <c r="C43" s="11" t="str">
        <f aca="false">IF($H43="","",INDEX(DECKS!$B$2:$B$1201,$H43))</f>
        <v/>
      </c>
      <c r="D43" s="11" t="str">
        <f aca="false">IF($H43="","",INDEX(DECKS!$C$2:$C$1201,$H43))</f>
        <v/>
      </c>
      <c r="E43" s="16" t="str">
        <f aca="false">IF($H43="","",INDEX(DECKS!$D$2:$D$1201,$H43))</f>
        <v/>
      </c>
      <c r="F43" s="16" t="str">
        <f aca="false">IF($H43="","",INDEX(DECKS!$E$2:$E$1201,$H43))</f>
        <v/>
      </c>
      <c r="G43" s="21" t="str">
        <f aca="false">IF($H43="","",INDEX(DECKS!$F$2:$F$1201,$H43))</f>
        <v/>
      </c>
      <c r="H43" s="11" t="str">
        <f aca="false">IFERROR(MATCH(ROW()-1,DECKS!$O$2:$O$1201,0),"")</f>
        <v/>
      </c>
      <c r="I43" s="11" t="str">
        <f aca="false">IF(C43="","",G43&amp;" "&amp;D43&amp;" ("&amp;C43&amp;")")</f>
        <v/>
      </c>
    </row>
    <row r="44" customFormat="false" ht="15" hidden="false" customHeight="false" outlineLevel="0" collapsed="false">
      <c r="A44" s="16"/>
      <c r="B44" s="11" t="str">
        <f aca="false">IF($H44="","",INDEX(DECKS!$A$2:$A$1201,$H44))</f>
        <v/>
      </c>
      <c r="C44" s="11" t="str">
        <f aca="false">IF($H44="","",INDEX(DECKS!$B$2:$B$1201,$H44))</f>
        <v/>
      </c>
      <c r="D44" s="11" t="str">
        <f aca="false">IF($H44="","",INDEX(DECKS!$C$2:$C$1201,$H44))</f>
        <v/>
      </c>
      <c r="E44" s="16" t="str">
        <f aca="false">IF($H44="","",INDEX(DECKS!$D$2:$D$1201,$H44))</f>
        <v/>
      </c>
      <c r="F44" s="16" t="str">
        <f aca="false">IF($H44="","",INDEX(DECKS!$E$2:$E$1201,$H44))</f>
        <v/>
      </c>
      <c r="G44" s="21" t="str">
        <f aca="false">IF($H44="","",INDEX(DECKS!$F$2:$F$1201,$H44))</f>
        <v/>
      </c>
      <c r="H44" s="11" t="str">
        <f aca="false">IFERROR(MATCH(ROW()-1,DECKS!$O$2:$O$1201,0),"")</f>
        <v/>
      </c>
      <c r="I44" s="11" t="str">
        <f aca="false">IF(C44="","",G44&amp;" "&amp;D44&amp;" ("&amp;C44&amp;")")</f>
        <v/>
      </c>
    </row>
    <row r="45" customFormat="false" ht="15" hidden="false" customHeight="false" outlineLevel="0" collapsed="false">
      <c r="A45" s="16"/>
      <c r="B45" s="11" t="str">
        <f aca="false">IF($H45="","",INDEX(DECKS!$A$2:$A$1201,$H45))</f>
        <v/>
      </c>
      <c r="C45" s="11" t="str">
        <f aca="false">IF($H45="","",INDEX(DECKS!$B$2:$B$1201,$H45))</f>
        <v/>
      </c>
      <c r="D45" s="11" t="str">
        <f aca="false">IF($H45="","",INDEX(DECKS!$C$2:$C$1201,$H45))</f>
        <v/>
      </c>
      <c r="E45" s="16" t="str">
        <f aca="false">IF($H45="","",INDEX(DECKS!$D$2:$D$1201,$H45))</f>
        <v/>
      </c>
      <c r="F45" s="16" t="str">
        <f aca="false">IF($H45="","",INDEX(DECKS!$E$2:$E$1201,$H45))</f>
        <v/>
      </c>
      <c r="G45" s="21" t="str">
        <f aca="false">IF($H45="","",INDEX(DECKS!$F$2:$F$1201,$H45))</f>
        <v/>
      </c>
      <c r="H45" s="11" t="str">
        <f aca="false">IFERROR(MATCH(ROW()-1,DECKS!$O$2:$O$1201,0),"")</f>
        <v/>
      </c>
      <c r="I45" s="11" t="str">
        <f aca="false">IF(C45="","",G45&amp;" "&amp;D45&amp;" ("&amp;C45&amp;")")</f>
        <v/>
      </c>
    </row>
    <row r="46" customFormat="false" ht="15" hidden="false" customHeight="false" outlineLevel="0" collapsed="false">
      <c r="A46" s="16"/>
      <c r="B46" s="11" t="str">
        <f aca="false">IF($H46="","",INDEX(DECKS!$A$2:$A$1201,$H46))</f>
        <v/>
      </c>
      <c r="C46" s="11" t="str">
        <f aca="false">IF($H46="","",INDEX(DECKS!$B$2:$B$1201,$H46))</f>
        <v/>
      </c>
      <c r="D46" s="11" t="str">
        <f aca="false">IF($H46="","",INDEX(DECKS!$C$2:$C$1201,$H46))</f>
        <v/>
      </c>
      <c r="E46" s="16" t="str">
        <f aca="false">IF($H46="","",INDEX(DECKS!$D$2:$D$1201,$H46))</f>
        <v/>
      </c>
      <c r="F46" s="16" t="str">
        <f aca="false">IF($H46="","",INDEX(DECKS!$E$2:$E$1201,$H46))</f>
        <v/>
      </c>
      <c r="G46" s="21" t="str">
        <f aca="false">IF($H46="","",INDEX(DECKS!$F$2:$F$1201,$H46))</f>
        <v/>
      </c>
      <c r="H46" s="11" t="str">
        <f aca="false">IFERROR(MATCH(ROW()-1,DECKS!$O$2:$O$1201,0),"")</f>
        <v/>
      </c>
      <c r="I46" s="11" t="str">
        <f aca="false">IF(C46="","",G46&amp;" "&amp;D46&amp;" ("&amp;C46&amp;")")</f>
        <v/>
      </c>
    </row>
    <row r="47" customFormat="false" ht="15" hidden="false" customHeight="false" outlineLevel="0" collapsed="false">
      <c r="A47" s="16"/>
      <c r="B47" s="11" t="str">
        <f aca="false">IF($H47="","",INDEX(DECKS!$A$2:$A$1201,$H47))</f>
        <v/>
      </c>
      <c r="C47" s="11" t="str">
        <f aca="false">IF($H47="","",INDEX(DECKS!$B$2:$B$1201,$H47))</f>
        <v/>
      </c>
      <c r="D47" s="11" t="str">
        <f aca="false">IF($H47="","",INDEX(DECKS!$C$2:$C$1201,$H47))</f>
        <v/>
      </c>
      <c r="E47" s="16" t="str">
        <f aca="false">IF($H47="","",INDEX(DECKS!$D$2:$D$1201,$H47))</f>
        <v/>
      </c>
      <c r="F47" s="16" t="str">
        <f aca="false">IF($H47="","",INDEX(DECKS!$E$2:$E$1201,$H47))</f>
        <v/>
      </c>
      <c r="G47" s="21" t="str">
        <f aca="false">IF($H47="","",INDEX(DECKS!$F$2:$F$1201,$H47))</f>
        <v/>
      </c>
      <c r="H47" s="11" t="str">
        <f aca="false">IFERROR(MATCH(ROW()-1,DECKS!$O$2:$O$1201,0),"")</f>
        <v/>
      </c>
      <c r="I47" s="11" t="str">
        <f aca="false">IF(C47="","",G47&amp;" "&amp;D47&amp;" ("&amp;C47&amp;")")</f>
        <v/>
      </c>
    </row>
    <row r="48" customFormat="false" ht="15" hidden="false" customHeight="false" outlineLevel="0" collapsed="false">
      <c r="A48" s="16"/>
      <c r="B48" s="11" t="str">
        <f aca="false">IF($H48="","",INDEX(DECKS!$A$2:$A$1201,$H48))</f>
        <v/>
      </c>
      <c r="C48" s="11" t="str">
        <f aca="false">IF($H48="","",INDEX(DECKS!$B$2:$B$1201,$H48))</f>
        <v/>
      </c>
      <c r="D48" s="11" t="str">
        <f aca="false">IF($H48="","",INDEX(DECKS!$C$2:$C$1201,$H48))</f>
        <v/>
      </c>
      <c r="E48" s="16" t="str">
        <f aca="false">IF($H48="","",INDEX(DECKS!$D$2:$D$1201,$H48))</f>
        <v/>
      </c>
      <c r="F48" s="16" t="str">
        <f aca="false">IF($H48="","",INDEX(DECKS!$E$2:$E$1201,$H48))</f>
        <v/>
      </c>
      <c r="G48" s="21" t="str">
        <f aca="false">IF($H48="","",INDEX(DECKS!$F$2:$F$1201,$H48))</f>
        <v/>
      </c>
      <c r="H48" s="11" t="str">
        <f aca="false">IFERROR(MATCH(ROW()-1,DECKS!$O$2:$O$1201,0),"")</f>
        <v/>
      </c>
      <c r="I48" s="11" t="str">
        <f aca="false">IF(C48="","",G48&amp;" "&amp;D48&amp;" ("&amp;C48&amp;")")</f>
        <v/>
      </c>
    </row>
    <row r="49" customFormat="false" ht="15" hidden="false" customHeight="false" outlineLevel="0" collapsed="false">
      <c r="A49" s="16"/>
      <c r="B49" s="11" t="str">
        <f aca="false">IF($H49="","",INDEX(DECKS!$A$2:$A$1201,$H49))</f>
        <v/>
      </c>
      <c r="C49" s="11" t="str">
        <f aca="false">IF($H49="","",INDEX(DECKS!$B$2:$B$1201,$H49))</f>
        <v/>
      </c>
      <c r="D49" s="11" t="str">
        <f aca="false">IF($H49="","",INDEX(DECKS!$C$2:$C$1201,$H49))</f>
        <v/>
      </c>
      <c r="E49" s="16" t="str">
        <f aca="false">IF($H49="","",INDEX(DECKS!$D$2:$D$1201,$H49))</f>
        <v/>
      </c>
      <c r="F49" s="16" t="str">
        <f aca="false">IF($H49="","",INDEX(DECKS!$E$2:$E$1201,$H49))</f>
        <v/>
      </c>
      <c r="G49" s="21" t="str">
        <f aca="false">IF($H49="","",INDEX(DECKS!$F$2:$F$1201,$H49))</f>
        <v/>
      </c>
      <c r="H49" s="11" t="str">
        <f aca="false">IFERROR(MATCH(ROW()-1,DECKS!$O$2:$O$1201,0),"")</f>
        <v/>
      </c>
      <c r="I49" s="11" t="str">
        <f aca="false">IF(C49="","",G49&amp;" "&amp;D49&amp;" ("&amp;C49&amp;")")</f>
        <v/>
      </c>
    </row>
    <row r="50" customFormat="false" ht="15" hidden="false" customHeight="false" outlineLevel="0" collapsed="false">
      <c r="A50" s="16"/>
      <c r="B50" s="11" t="str">
        <f aca="false">IF($H50="","",INDEX(DECKS!$A$2:$A$1201,$H50))</f>
        <v/>
      </c>
      <c r="C50" s="11" t="str">
        <f aca="false">IF($H50="","",INDEX(DECKS!$B$2:$B$1201,$H50))</f>
        <v/>
      </c>
      <c r="D50" s="11" t="str">
        <f aca="false">IF($H50="","",INDEX(DECKS!$C$2:$C$1201,$H50))</f>
        <v/>
      </c>
      <c r="E50" s="16" t="str">
        <f aca="false">IF($H50="","",INDEX(DECKS!$D$2:$D$1201,$H50))</f>
        <v/>
      </c>
      <c r="F50" s="16" t="str">
        <f aca="false">IF($H50="","",INDEX(DECKS!$E$2:$E$1201,$H50))</f>
        <v/>
      </c>
      <c r="G50" s="21" t="str">
        <f aca="false">IF($H50="","",INDEX(DECKS!$F$2:$F$1201,$H50))</f>
        <v/>
      </c>
      <c r="H50" s="11" t="str">
        <f aca="false">IFERROR(MATCH(ROW()-1,DECKS!$O$2:$O$1201,0),"")</f>
        <v/>
      </c>
      <c r="I50" s="11" t="str">
        <f aca="false">IF(C50="","",G50&amp;" "&amp;D50&amp;" ("&amp;C50&amp;")")</f>
        <v/>
      </c>
    </row>
    <row r="51" customFormat="false" ht="15" hidden="false" customHeight="false" outlineLevel="0" collapsed="false">
      <c r="A51" s="16"/>
      <c r="B51" s="11" t="str">
        <f aca="false">IF($H51="","",INDEX(DECKS!$A$2:$A$1201,$H51))</f>
        <v/>
      </c>
      <c r="C51" s="11" t="str">
        <f aca="false">IF($H51="","",INDEX(DECKS!$B$2:$B$1201,$H51))</f>
        <v/>
      </c>
      <c r="D51" s="11" t="str">
        <f aca="false">IF($H51="","",INDEX(DECKS!$C$2:$C$1201,$H51))</f>
        <v/>
      </c>
      <c r="E51" s="16" t="str">
        <f aca="false">IF($H51="","",INDEX(DECKS!$D$2:$D$1201,$H51))</f>
        <v/>
      </c>
      <c r="F51" s="16" t="str">
        <f aca="false">IF($H51="","",INDEX(DECKS!$E$2:$E$1201,$H51))</f>
        <v/>
      </c>
      <c r="G51" s="21" t="str">
        <f aca="false">IF($H51="","",INDEX(DECKS!$F$2:$F$1201,$H51))</f>
        <v/>
      </c>
      <c r="H51" s="11" t="str">
        <f aca="false">IFERROR(MATCH(ROW()-1,DECKS!$O$2:$O$1201,0),"")</f>
        <v/>
      </c>
      <c r="I51" s="11" t="str">
        <f aca="false">IF(C51="","",G51&amp;" "&amp;D51&amp;" ("&amp;C51&amp;")")</f>
        <v/>
      </c>
    </row>
    <row r="52" customFormat="false" ht="15" hidden="false" customHeight="false" outlineLevel="0" collapsed="false">
      <c r="A52" s="16"/>
      <c r="B52" s="11" t="str">
        <f aca="false">IF($H52="","",INDEX(DECKS!$A$2:$A$1201,$H52))</f>
        <v/>
      </c>
      <c r="C52" s="11" t="str">
        <f aca="false">IF($H52="","",INDEX(DECKS!$B$2:$B$1201,$H52))</f>
        <v/>
      </c>
      <c r="D52" s="11" t="str">
        <f aca="false">IF($H52="","",INDEX(DECKS!$C$2:$C$1201,$H52))</f>
        <v/>
      </c>
      <c r="E52" s="16" t="str">
        <f aca="false">IF($H52="","",INDEX(DECKS!$D$2:$D$1201,$H52))</f>
        <v/>
      </c>
      <c r="F52" s="16" t="str">
        <f aca="false">IF($H52="","",INDEX(DECKS!$E$2:$E$1201,$H52))</f>
        <v/>
      </c>
      <c r="G52" s="21" t="str">
        <f aca="false">IF($H52="","",INDEX(DECKS!$F$2:$F$1201,$H52))</f>
        <v/>
      </c>
      <c r="H52" s="11" t="str">
        <f aca="false">IFERROR(MATCH(ROW()-1,DECKS!$O$2:$O$1201,0),"")</f>
        <v/>
      </c>
      <c r="I52" s="11" t="str">
        <f aca="false">IF(C52="","",G52&amp;" "&amp;D52&amp;" ("&amp;C52&amp;")")</f>
        <v/>
      </c>
    </row>
    <row r="53" customFormat="false" ht="15" hidden="false" customHeight="false" outlineLevel="0" collapsed="false">
      <c r="A53" s="16"/>
      <c r="B53" s="11" t="str">
        <f aca="false">IF($H53="","",INDEX(DECKS!$A$2:$A$1201,$H53))</f>
        <v/>
      </c>
      <c r="C53" s="11" t="str">
        <f aca="false">IF($H53="","",INDEX(DECKS!$B$2:$B$1201,$H53))</f>
        <v/>
      </c>
      <c r="D53" s="11" t="str">
        <f aca="false">IF($H53="","",INDEX(DECKS!$C$2:$C$1201,$H53))</f>
        <v/>
      </c>
      <c r="E53" s="16" t="str">
        <f aca="false">IF($H53="","",INDEX(DECKS!$D$2:$D$1201,$H53))</f>
        <v/>
      </c>
      <c r="F53" s="16" t="str">
        <f aca="false">IF($H53="","",INDEX(DECKS!$E$2:$E$1201,$H53))</f>
        <v/>
      </c>
      <c r="G53" s="21" t="str">
        <f aca="false">IF($H53="","",INDEX(DECKS!$F$2:$F$1201,$H53))</f>
        <v/>
      </c>
      <c r="H53" s="11" t="str">
        <f aca="false">IFERROR(MATCH(ROW()-1,DECKS!$O$2:$O$1201,0),"")</f>
        <v/>
      </c>
      <c r="I53" s="11" t="str">
        <f aca="false">IF(C53="","",G53&amp;" "&amp;D53&amp;" ("&amp;C53&amp;")")</f>
        <v/>
      </c>
    </row>
    <row r="54" customFormat="false" ht="15" hidden="false" customHeight="false" outlineLevel="0" collapsed="false">
      <c r="A54" s="16"/>
      <c r="B54" s="11" t="str">
        <f aca="false">IF($H54="","",INDEX(DECKS!$A$2:$A$1201,$H54))</f>
        <v/>
      </c>
      <c r="C54" s="11" t="str">
        <f aca="false">IF($H54="","",INDEX(DECKS!$B$2:$B$1201,$H54))</f>
        <v/>
      </c>
      <c r="D54" s="11" t="str">
        <f aca="false">IF($H54="","",INDEX(DECKS!$C$2:$C$1201,$H54))</f>
        <v/>
      </c>
      <c r="E54" s="16" t="str">
        <f aca="false">IF($H54="","",INDEX(DECKS!$D$2:$D$1201,$H54))</f>
        <v/>
      </c>
      <c r="F54" s="16" t="str">
        <f aca="false">IF($H54="","",INDEX(DECKS!$E$2:$E$1201,$H54))</f>
        <v/>
      </c>
      <c r="G54" s="21" t="str">
        <f aca="false">IF($H54="","",INDEX(DECKS!$F$2:$F$1201,$H54))</f>
        <v/>
      </c>
      <c r="H54" s="11" t="str">
        <f aca="false">IFERROR(MATCH(ROW()-1,DECKS!$O$2:$O$1201,0),"")</f>
        <v/>
      </c>
      <c r="I54" s="11" t="str">
        <f aca="false">IF(C54="","",G54&amp;" "&amp;D54&amp;" ("&amp;C54&amp;")")</f>
        <v/>
      </c>
    </row>
    <row r="55" customFormat="false" ht="15" hidden="false" customHeight="false" outlineLevel="0" collapsed="false">
      <c r="A55" s="16"/>
      <c r="B55" s="11" t="str">
        <f aca="false">IF($H55="","",INDEX(DECKS!$A$2:$A$1201,$H55))</f>
        <v/>
      </c>
      <c r="C55" s="11" t="str">
        <f aca="false">IF($H55="","",INDEX(DECKS!$B$2:$B$1201,$H55))</f>
        <v/>
      </c>
      <c r="D55" s="11" t="str">
        <f aca="false">IF($H55="","",INDEX(DECKS!$C$2:$C$1201,$H55))</f>
        <v/>
      </c>
      <c r="E55" s="16" t="str">
        <f aca="false">IF($H55="","",INDEX(DECKS!$D$2:$D$1201,$H55))</f>
        <v/>
      </c>
      <c r="F55" s="16" t="str">
        <f aca="false">IF($H55="","",INDEX(DECKS!$E$2:$E$1201,$H55))</f>
        <v/>
      </c>
      <c r="G55" s="21" t="str">
        <f aca="false">IF($H55="","",INDEX(DECKS!$F$2:$F$1201,$H55))</f>
        <v/>
      </c>
      <c r="H55" s="11" t="str">
        <f aca="false">IFERROR(MATCH(ROW()-1,DECKS!$O$2:$O$1201,0),"")</f>
        <v/>
      </c>
      <c r="I55" s="11" t="str">
        <f aca="false">IF(C55="","",G55&amp;" "&amp;D55&amp;" ("&amp;C55&amp;")")</f>
        <v/>
      </c>
    </row>
    <row r="56" customFormat="false" ht="15" hidden="false" customHeight="false" outlineLevel="0" collapsed="false">
      <c r="A56" s="16"/>
      <c r="B56" s="11" t="str">
        <f aca="false">IF($H56="","",INDEX(DECKS!$A$2:$A$1201,$H56))</f>
        <v/>
      </c>
      <c r="C56" s="11" t="str">
        <f aca="false">IF($H56="","",INDEX(DECKS!$B$2:$B$1201,$H56))</f>
        <v/>
      </c>
      <c r="D56" s="11" t="str">
        <f aca="false">IF($H56="","",INDEX(DECKS!$C$2:$C$1201,$H56))</f>
        <v/>
      </c>
      <c r="E56" s="16" t="str">
        <f aca="false">IF($H56="","",INDEX(DECKS!$D$2:$D$1201,$H56))</f>
        <v/>
      </c>
      <c r="F56" s="16" t="str">
        <f aca="false">IF($H56="","",INDEX(DECKS!$E$2:$E$1201,$H56))</f>
        <v/>
      </c>
      <c r="G56" s="21" t="str">
        <f aca="false">IF($H56="","",INDEX(DECKS!$F$2:$F$1201,$H56))</f>
        <v/>
      </c>
      <c r="H56" s="11" t="str">
        <f aca="false">IFERROR(MATCH(ROW()-1,DECKS!$O$2:$O$1201,0),"")</f>
        <v/>
      </c>
      <c r="I56" s="11" t="str">
        <f aca="false">IF(C56="","",G56&amp;" "&amp;D56&amp;" ("&amp;C56&amp;")")</f>
        <v/>
      </c>
    </row>
    <row r="57" customFormat="false" ht="15" hidden="false" customHeight="false" outlineLevel="0" collapsed="false">
      <c r="A57" s="16"/>
      <c r="B57" s="11" t="str">
        <f aca="false">IF($H57="","",INDEX(DECKS!$A$2:$A$1201,$H57))</f>
        <v/>
      </c>
      <c r="C57" s="11" t="str">
        <f aca="false">IF($H57="","",INDEX(DECKS!$B$2:$B$1201,$H57))</f>
        <v/>
      </c>
      <c r="D57" s="11" t="str">
        <f aca="false">IF($H57="","",INDEX(DECKS!$C$2:$C$1201,$H57))</f>
        <v/>
      </c>
      <c r="E57" s="16" t="str">
        <f aca="false">IF($H57="","",INDEX(DECKS!$D$2:$D$1201,$H57))</f>
        <v/>
      </c>
      <c r="F57" s="16" t="str">
        <f aca="false">IF($H57="","",INDEX(DECKS!$E$2:$E$1201,$H57))</f>
        <v/>
      </c>
      <c r="G57" s="21" t="str">
        <f aca="false">IF($H57="","",INDEX(DECKS!$F$2:$F$1201,$H57))</f>
        <v/>
      </c>
      <c r="H57" s="11" t="str">
        <f aca="false">IFERROR(MATCH(ROW()-1,DECKS!$O$2:$O$1201,0),"")</f>
        <v/>
      </c>
      <c r="I57" s="11" t="str">
        <f aca="false">IF(C57="","",G57&amp;" "&amp;D57&amp;" ("&amp;C57&amp;")")</f>
        <v/>
      </c>
    </row>
    <row r="58" customFormat="false" ht="15" hidden="false" customHeight="false" outlineLevel="0" collapsed="false">
      <c r="A58" s="16"/>
      <c r="B58" s="11" t="str">
        <f aca="false">IF($H58="","",INDEX(DECKS!$A$2:$A$1201,$H58))</f>
        <v/>
      </c>
      <c r="C58" s="11" t="str">
        <f aca="false">IF($H58="","",INDEX(DECKS!$B$2:$B$1201,$H58))</f>
        <v/>
      </c>
      <c r="D58" s="11" t="str">
        <f aca="false">IF($H58="","",INDEX(DECKS!$C$2:$C$1201,$H58))</f>
        <v/>
      </c>
      <c r="E58" s="16" t="str">
        <f aca="false">IF($H58="","",INDEX(DECKS!$D$2:$D$1201,$H58))</f>
        <v/>
      </c>
      <c r="F58" s="16" t="str">
        <f aca="false">IF($H58="","",INDEX(DECKS!$E$2:$E$1201,$H58))</f>
        <v/>
      </c>
      <c r="G58" s="21" t="str">
        <f aca="false">IF($H58="","",INDEX(DECKS!$F$2:$F$1201,$H58))</f>
        <v/>
      </c>
      <c r="H58" s="11" t="str">
        <f aca="false">IFERROR(MATCH(ROW()-1,DECKS!$O$2:$O$1201,0),"")</f>
        <v/>
      </c>
      <c r="I58" s="11" t="str">
        <f aca="false">IF(C58="","",G58&amp;" "&amp;D58&amp;" ("&amp;C58&amp;")")</f>
        <v/>
      </c>
    </row>
    <row r="59" customFormat="false" ht="15" hidden="false" customHeight="false" outlineLevel="0" collapsed="false">
      <c r="A59" s="16"/>
      <c r="B59" s="11" t="str">
        <f aca="false">IF($H59="","",INDEX(DECKS!$A$2:$A$1201,$H59))</f>
        <v/>
      </c>
      <c r="C59" s="11" t="str">
        <f aca="false">IF($H59="","",INDEX(DECKS!$B$2:$B$1201,$H59))</f>
        <v/>
      </c>
      <c r="D59" s="11" t="str">
        <f aca="false">IF($H59="","",INDEX(DECKS!$C$2:$C$1201,$H59))</f>
        <v/>
      </c>
      <c r="E59" s="16" t="str">
        <f aca="false">IF($H59="","",INDEX(DECKS!$D$2:$D$1201,$H59))</f>
        <v/>
      </c>
      <c r="F59" s="16" t="str">
        <f aca="false">IF($H59="","",INDEX(DECKS!$E$2:$E$1201,$H59))</f>
        <v/>
      </c>
      <c r="G59" s="21" t="str">
        <f aca="false">IF($H59="","",INDEX(DECKS!$F$2:$F$1201,$H59))</f>
        <v/>
      </c>
      <c r="H59" s="11" t="str">
        <f aca="false">IFERROR(MATCH(ROW()-1,DECKS!$O$2:$O$1201,0),"")</f>
        <v/>
      </c>
      <c r="I59" s="11" t="str">
        <f aca="false">IF(C59="","",G59&amp;" "&amp;D59&amp;" ("&amp;C59&amp;")")</f>
        <v/>
      </c>
    </row>
    <row r="60" customFormat="false" ht="15" hidden="false" customHeight="false" outlineLevel="0" collapsed="false">
      <c r="A60" s="16"/>
      <c r="B60" s="11" t="str">
        <f aca="false">IF($H60="","",INDEX(DECKS!$A$2:$A$1201,$H60))</f>
        <v/>
      </c>
      <c r="C60" s="11" t="str">
        <f aca="false">IF($H60="","",INDEX(DECKS!$B$2:$B$1201,$H60))</f>
        <v/>
      </c>
      <c r="D60" s="11" t="str">
        <f aca="false">IF($H60="","",INDEX(DECKS!$C$2:$C$1201,$H60))</f>
        <v/>
      </c>
      <c r="E60" s="16" t="str">
        <f aca="false">IF($H60="","",INDEX(DECKS!$D$2:$D$1201,$H60))</f>
        <v/>
      </c>
      <c r="F60" s="16" t="str">
        <f aca="false">IF($H60="","",INDEX(DECKS!$E$2:$E$1201,$H60))</f>
        <v/>
      </c>
      <c r="G60" s="21" t="str">
        <f aca="false">IF($H60="","",INDEX(DECKS!$F$2:$F$1201,$H60))</f>
        <v/>
      </c>
      <c r="H60" s="11" t="str">
        <f aca="false">IFERROR(MATCH(ROW()-1,DECKS!$O$2:$O$1201,0),"")</f>
        <v/>
      </c>
      <c r="I60" s="11" t="str">
        <f aca="false">IF(C60="","",G60&amp;" "&amp;D60&amp;" ("&amp;C60&amp;")")</f>
        <v/>
      </c>
    </row>
    <row r="61" customFormat="false" ht="15" hidden="false" customHeight="false" outlineLevel="0" collapsed="false">
      <c r="A61" s="16"/>
      <c r="B61" s="11" t="str">
        <f aca="false">IF($H61="","",INDEX(DECKS!$A$2:$A$1201,$H61))</f>
        <v/>
      </c>
      <c r="C61" s="11" t="str">
        <f aca="false">IF($H61="","",INDEX(DECKS!$B$2:$B$1201,$H61))</f>
        <v/>
      </c>
      <c r="D61" s="11" t="str">
        <f aca="false">IF($H61="","",INDEX(DECKS!$C$2:$C$1201,$H61))</f>
        <v/>
      </c>
      <c r="E61" s="16" t="str">
        <f aca="false">IF($H61="","",INDEX(DECKS!$D$2:$D$1201,$H61))</f>
        <v/>
      </c>
      <c r="F61" s="16" t="str">
        <f aca="false">IF($H61="","",INDEX(DECKS!$E$2:$E$1201,$H61))</f>
        <v/>
      </c>
      <c r="G61" s="21" t="str">
        <f aca="false">IF($H61="","",INDEX(DECKS!$F$2:$F$1201,$H61))</f>
        <v/>
      </c>
      <c r="H61" s="11" t="str">
        <f aca="false">IFERROR(MATCH(ROW()-1,DECKS!$O$2:$O$1201,0),"")</f>
        <v/>
      </c>
      <c r="I61" s="11" t="str">
        <f aca="false">IF(C61="","",G61&amp;" "&amp;D61&amp;" ("&amp;C61&amp;")")</f>
        <v/>
      </c>
    </row>
    <row r="62" customFormat="false" ht="15" hidden="false" customHeight="false" outlineLevel="0" collapsed="false">
      <c r="A62" s="16"/>
      <c r="B62" s="11" t="str">
        <f aca="false">IF($H62="","",INDEX(DECKS!$A$2:$A$1201,$H62))</f>
        <v/>
      </c>
      <c r="C62" s="11" t="str">
        <f aca="false">IF($H62="","",INDEX(DECKS!$B$2:$B$1201,$H62))</f>
        <v/>
      </c>
      <c r="D62" s="11" t="str">
        <f aca="false">IF($H62="","",INDEX(DECKS!$C$2:$C$1201,$H62))</f>
        <v/>
      </c>
      <c r="E62" s="16" t="str">
        <f aca="false">IF($H62="","",INDEX(DECKS!$D$2:$D$1201,$H62))</f>
        <v/>
      </c>
      <c r="F62" s="16" t="str">
        <f aca="false">IF($H62="","",INDEX(DECKS!$E$2:$E$1201,$H62))</f>
        <v/>
      </c>
      <c r="G62" s="21" t="str">
        <f aca="false">IF($H62="","",INDEX(DECKS!$F$2:$F$1201,$H62))</f>
        <v/>
      </c>
      <c r="H62" s="11" t="str">
        <f aca="false">IFERROR(MATCH(ROW()-1,DECKS!$O$2:$O$1201,0),"")</f>
        <v/>
      </c>
      <c r="I62" s="11" t="str">
        <f aca="false">IF(C62="","",G62&amp;" "&amp;D62&amp;" ("&amp;C62&amp;")")</f>
        <v/>
      </c>
    </row>
    <row r="63" customFormat="false" ht="15" hidden="false" customHeight="false" outlineLevel="0" collapsed="false">
      <c r="A63" s="16"/>
      <c r="B63" s="11" t="str">
        <f aca="false">IF($H63="","",INDEX(DECKS!$A$2:$A$1201,$H63))</f>
        <v/>
      </c>
      <c r="C63" s="11" t="str">
        <f aca="false">IF($H63="","",INDEX(DECKS!$B$2:$B$1201,$H63))</f>
        <v/>
      </c>
      <c r="D63" s="11" t="str">
        <f aca="false">IF($H63="","",INDEX(DECKS!$C$2:$C$1201,$H63))</f>
        <v/>
      </c>
      <c r="E63" s="16" t="str">
        <f aca="false">IF($H63="","",INDEX(DECKS!$D$2:$D$1201,$H63))</f>
        <v/>
      </c>
      <c r="F63" s="16" t="str">
        <f aca="false">IF($H63="","",INDEX(DECKS!$E$2:$E$1201,$H63))</f>
        <v/>
      </c>
      <c r="G63" s="21" t="str">
        <f aca="false">IF($H63="","",INDEX(DECKS!$F$2:$F$1201,$H63))</f>
        <v/>
      </c>
      <c r="H63" s="11" t="str">
        <f aca="false">IFERROR(MATCH(ROW()-1,DECKS!$O$2:$O$1201,0),"")</f>
        <v/>
      </c>
      <c r="I63" s="11" t="str">
        <f aca="false">IF(C63="","",G63&amp;" "&amp;D63&amp;" ("&amp;C63&amp;")")</f>
        <v/>
      </c>
    </row>
    <row r="64" customFormat="false" ht="15" hidden="false" customHeight="false" outlineLevel="0" collapsed="false">
      <c r="A64" s="16"/>
      <c r="B64" s="11" t="str">
        <f aca="false">IF($H64="","",INDEX(DECKS!$A$2:$A$1201,$H64))</f>
        <v/>
      </c>
      <c r="C64" s="11" t="str">
        <f aca="false">IF($H64="","",INDEX(DECKS!$B$2:$B$1201,$H64))</f>
        <v/>
      </c>
      <c r="D64" s="11" t="str">
        <f aca="false">IF($H64="","",INDEX(DECKS!$C$2:$C$1201,$H64))</f>
        <v/>
      </c>
      <c r="E64" s="16" t="str">
        <f aca="false">IF($H64="","",INDEX(DECKS!$D$2:$D$1201,$H64))</f>
        <v/>
      </c>
      <c r="F64" s="16" t="str">
        <f aca="false">IF($H64="","",INDEX(DECKS!$E$2:$E$1201,$H64))</f>
        <v/>
      </c>
      <c r="G64" s="21" t="str">
        <f aca="false">IF($H64="","",INDEX(DECKS!$F$2:$F$1201,$H64))</f>
        <v/>
      </c>
      <c r="H64" s="11" t="str">
        <f aca="false">IFERROR(MATCH(ROW()-1,DECKS!$O$2:$O$1201,0),"")</f>
        <v/>
      </c>
      <c r="I64" s="11" t="str">
        <f aca="false">IF(C64="","",G64&amp;" "&amp;D64&amp;" ("&amp;C64&amp;")")</f>
        <v/>
      </c>
    </row>
    <row r="65" customFormat="false" ht="15" hidden="false" customHeight="false" outlineLevel="0" collapsed="false">
      <c r="A65" s="16"/>
      <c r="B65" s="11" t="str">
        <f aca="false">IF($H65="","",INDEX(DECKS!$A$2:$A$1201,$H65))</f>
        <v/>
      </c>
      <c r="C65" s="11" t="str">
        <f aca="false">IF($H65="","",INDEX(DECKS!$B$2:$B$1201,$H65))</f>
        <v/>
      </c>
      <c r="D65" s="11" t="str">
        <f aca="false">IF($H65="","",INDEX(DECKS!$C$2:$C$1201,$H65))</f>
        <v/>
      </c>
      <c r="E65" s="16" t="str">
        <f aca="false">IF($H65="","",INDEX(DECKS!$D$2:$D$1201,$H65))</f>
        <v/>
      </c>
      <c r="F65" s="16" t="str">
        <f aca="false">IF($H65="","",INDEX(DECKS!$E$2:$E$1201,$H65))</f>
        <v/>
      </c>
      <c r="G65" s="21" t="str">
        <f aca="false">IF($H65="","",INDEX(DECKS!$F$2:$F$1201,$H65))</f>
        <v/>
      </c>
      <c r="H65" s="11" t="str">
        <f aca="false">IFERROR(MATCH(ROW()-1,DECKS!$O$2:$O$1201,0),"")</f>
        <v/>
      </c>
      <c r="I65" s="11" t="str">
        <f aca="false">IF(C65="","",G65&amp;" "&amp;D65&amp;" ("&amp;C65&amp;")")</f>
        <v/>
      </c>
    </row>
    <row r="66" customFormat="false" ht="15" hidden="false" customHeight="false" outlineLevel="0" collapsed="false">
      <c r="A66" s="16"/>
      <c r="B66" s="11" t="str">
        <f aca="false">IF($H66="","",INDEX(DECKS!$A$2:$A$1201,$H66))</f>
        <v/>
      </c>
      <c r="C66" s="11" t="str">
        <f aca="false">IF($H66="","",INDEX(DECKS!$B$2:$B$1201,$H66))</f>
        <v/>
      </c>
      <c r="D66" s="11" t="str">
        <f aca="false">IF($H66="","",INDEX(DECKS!$C$2:$C$1201,$H66))</f>
        <v/>
      </c>
      <c r="E66" s="16" t="str">
        <f aca="false">IF($H66="","",INDEX(DECKS!$D$2:$D$1201,$H66))</f>
        <v/>
      </c>
      <c r="F66" s="16" t="str">
        <f aca="false">IF($H66="","",INDEX(DECKS!$E$2:$E$1201,$H66))</f>
        <v/>
      </c>
      <c r="G66" s="21" t="str">
        <f aca="false">IF($H66="","",INDEX(DECKS!$F$2:$F$1201,$H66))</f>
        <v/>
      </c>
      <c r="H66" s="11" t="str">
        <f aca="false">IFERROR(MATCH(ROW()-1,DECKS!$O$2:$O$1201,0),"")</f>
        <v/>
      </c>
      <c r="I66" s="11" t="str">
        <f aca="false">IF(C66="","",G66&amp;" "&amp;D66&amp;" ("&amp;C66&amp;")")</f>
        <v/>
      </c>
    </row>
    <row r="67" customFormat="false" ht="15" hidden="false" customHeight="false" outlineLevel="0" collapsed="false">
      <c r="A67" s="16"/>
      <c r="B67" s="11" t="str">
        <f aca="false">IF($H67="","",INDEX(DECKS!$A$2:$A$1201,$H67))</f>
        <v/>
      </c>
      <c r="C67" s="11" t="str">
        <f aca="false">IF($H67="","",INDEX(DECKS!$B$2:$B$1201,$H67))</f>
        <v/>
      </c>
      <c r="D67" s="11" t="str">
        <f aca="false">IF($H67="","",INDEX(DECKS!$C$2:$C$1201,$H67))</f>
        <v/>
      </c>
      <c r="E67" s="16" t="str">
        <f aca="false">IF($H67="","",INDEX(DECKS!$D$2:$D$1201,$H67))</f>
        <v/>
      </c>
      <c r="F67" s="16" t="str">
        <f aca="false">IF($H67="","",INDEX(DECKS!$E$2:$E$1201,$H67))</f>
        <v/>
      </c>
      <c r="G67" s="21" t="str">
        <f aca="false">IF($H67="","",INDEX(DECKS!$F$2:$F$1201,$H67))</f>
        <v/>
      </c>
      <c r="H67" s="11" t="str">
        <f aca="false">IFERROR(MATCH(ROW()-1,DECKS!$O$2:$O$1201,0),"")</f>
        <v/>
      </c>
      <c r="I67" s="11" t="str">
        <f aca="false">IF(C67="","",G67&amp;" "&amp;D67&amp;" ("&amp;C67&amp;")")</f>
        <v/>
      </c>
    </row>
    <row r="68" customFormat="false" ht="15" hidden="false" customHeight="false" outlineLevel="0" collapsed="false">
      <c r="A68" s="16"/>
      <c r="B68" s="11" t="str">
        <f aca="false">IF($H68="","",INDEX(DECKS!$A$2:$A$1201,$H68))</f>
        <v/>
      </c>
      <c r="C68" s="11" t="str">
        <f aca="false">IF($H68="","",INDEX(DECKS!$B$2:$B$1201,$H68))</f>
        <v/>
      </c>
      <c r="D68" s="11" t="str">
        <f aca="false">IF($H68="","",INDEX(DECKS!$C$2:$C$1201,$H68))</f>
        <v/>
      </c>
      <c r="E68" s="16" t="str">
        <f aca="false">IF($H68="","",INDEX(DECKS!$D$2:$D$1201,$H68))</f>
        <v/>
      </c>
      <c r="F68" s="16" t="str">
        <f aca="false">IF($H68="","",INDEX(DECKS!$E$2:$E$1201,$H68))</f>
        <v/>
      </c>
      <c r="G68" s="21" t="str">
        <f aca="false">IF($H68="","",INDEX(DECKS!$F$2:$F$1201,$H68))</f>
        <v/>
      </c>
      <c r="H68" s="11" t="str">
        <f aca="false">IFERROR(MATCH(ROW()-1,DECKS!$O$2:$O$1201,0),"")</f>
        <v/>
      </c>
      <c r="I68" s="11" t="str">
        <f aca="false">IF(C68="","",G68&amp;" "&amp;D68&amp;" ("&amp;C68&amp;")")</f>
        <v/>
      </c>
    </row>
    <row r="69" customFormat="false" ht="15" hidden="false" customHeight="false" outlineLevel="0" collapsed="false">
      <c r="A69" s="16"/>
      <c r="B69" s="11" t="str">
        <f aca="false">IF($H69="","",INDEX(DECKS!$A$2:$A$1201,$H69))</f>
        <v/>
      </c>
      <c r="C69" s="11" t="str">
        <f aca="false">IF($H69="","",INDEX(DECKS!$B$2:$B$1201,$H69))</f>
        <v/>
      </c>
      <c r="D69" s="11" t="str">
        <f aca="false">IF($H69="","",INDEX(DECKS!$C$2:$C$1201,$H69))</f>
        <v/>
      </c>
      <c r="E69" s="16" t="str">
        <f aca="false">IF($H69="","",INDEX(DECKS!$D$2:$D$1201,$H69))</f>
        <v/>
      </c>
      <c r="F69" s="16" t="str">
        <f aca="false">IF($H69="","",INDEX(DECKS!$E$2:$E$1201,$H69))</f>
        <v/>
      </c>
      <c r="G69" s="21" t="str">
        <f aca="false">IF($H69="","",INDEX(DECKS!$F$2:$F$1201,$H69))</f>
        <v/>
      </c>
      <c r="H69" s="11" t="str">
        <f aca="false">IFERROR(MATCH(ROW()-1,DECKS!$O$2:$O$1201,0),"")</f>
        <v/>
      </c>
      <c r="I69" s="11" t="str">
        <f aca="false">IF(C69="","",G69&amp;" "&amp;D69&amp;" ("&amp;C69&amp;")")</f>
        <v/>
      </c>
    </row>
    <row r="70" customFormat="false" ht="15" hidden="false" customHeight="false" outlineLevel="0" collapsed="false">
      <c r="A70" s="16"/>
      <c r="B70" s="11" t="str">
        <f aca="false">IF($H70="","",INDEX(DECKS!$A$2:$A$1201,$H70))</f>
        <v/>
      </c>
      <c r="C70" s="11" t="str">
        <f aca="false">IF($H70="","",INDEX(DECKS!$B$2:$B$1201,$H70))</f>
        <v/>
      </c>
      <c r="D70" s="11" t="str">
        <f aca="false">IF($H70="","",INDEX(DECKS!$C$2:$C$1201,$H70))</f>
        <v/>
      </c>
      <c r="E70" s="16" t="str">
        <f aca="false">IF($H70="","",INDEX(DECKS!$D$2:$D$1201,$H70))</f>
        <v/>
      </c>
      <c r="F70" s="16" t="str">
        <f aca="false">IF($H70="","",INDEX(DECKS!$E$2:$E$1201,$H70))</f>
        <v/>
      </c>
      <c r="G70" s="21" t="str">
        <f aca="false">IF($H70="","",INDEX(DECKS!$F$2:$F$1201,$H70))</f>
        <v/>
      </c>
      <c r="H70" s="11" t="str">
        <f aca="false">IFERROR(MATCH(ROW()-1,DECKS!$O$2:$O$1201,0),"")</f>
        <v/>
      </c>
      <c r="I70" s="11" t="str">
        <f aca="false">IF(C70="","",G70&amp;" "&amp;D70&amp;" ("&amp;C70&amp;")")</f>
        <v/>
      </c>
    </row>
    <row r="71" customFormat="false" ht="15" hidden="false" customHeight="false" outlineLevel="0" collapsed="false">
      <c r="A71" s="16"/>
      <c r="B71" s="11" t="str">
        <f aca="false">IF($H71="","",INDEX(DECKS!$A$2:$A$1201,$H71))</f>
        <v/>
      </c>
      <c r="C71" s="11" t="str">
        <f aca="false">IF($H71="","",INDEX(DECKS!$B$2:$B$1201,$H71))</f>
        <v/>
      </c>
      <c r="D71" s="11" t="str">
        <f aca="false">IF($H71="","",INDEX(DECKS!$C$2:$C$1201,$H71))</f>
        <v/>
      </c>
      <c r="E71" s="16" t="str">
        <f aca="false">IF($H71="","",INDEX(DECKS!$D$2:$D$1201,$H71))</f>
        <v/>
      </c>
      <c r="F71" s="16" t="str">
        <f aca="false">IF($H71="","",INDEX(DECKS!$E$2:$E$1201,$H71))</f>
        <v/>
      </c>
      <c r="G71" s="21" t="str">
        <f aca="false">IF($H71="","",INDEX(DECKS!$F$2:$F$1201,$H71))</f>
        <v/>
      </c>
      <c r="H71" s="11" t="str">
        <f aca="false">IFERROR(MATCH(ROW()-1,DECKS!$O$2:$O$1201,0),"")</f>
        <v/>
      </c>
      <c r="I71" s="11" t="str">
        <f aca="false">IF(C71="","",G71&amp;" "&amp;D71&amp;" ("&amp;C71&amp;")")</f>
        <v/>
      </c>
    </row>
    <row r="72" customFormat="false" ht="15" hidden="false" customHeight="false" outlineLevel="0" collapsed="false">
      <c r="A72" s="16"/>
      <c r="B72" s="11" t="str">
        <f aca="false">IF($H72="","",INDEX(DECKS!$A$2:$A$1201,$H72))</f>
        <v/>
      </c>
      <c r="C72" s="11" t="str">
        <f aca="false">IF($H72="","",INDEX(DECKS!$B$2:$B$1201,$H72))</f>
        <v/>
      </c>
      <c r="D72" s="11" t="str">
        <f aca="false">IF($H72="","",INDEX(DECKS!$C$2:$C$1201,$H72))</f>
        <v/>
      </c>
      <c r="E72" s="16" t="str">
        <f aca="false">IF($H72="","",INDEX(DECKS!$D$2:$D$1201,$H72))</f>
        <v/>
      </c>
      <c r="F72" s="16" t="str">
        <f aca="false">IF($H72="","",INDEX(DECKS!$E$2:$E$1201,$H72))</f>
        <v/>
      </c>
      <c r="G72" s="21" t="str">
        <f aca="false">IF($H72="","",INDEX(DECKS!$F$2:$F$1201,$H72))</f>
        <v/>
      </c>
      <c r="H72" s="11" t="str">
        <f aca="false">IFERROR(MATCH(ROW()-1,DECKS!$O$2:$O$1201,0),"")</f>
        <v/>
      </c>
      <c r="I72" s="11" t="str">
        <f aca="false">IF(C72="","",G72&amp;" "&amp;D72&amp;" ("&amp;C72&amp;")")</f>
        <v/>
      </c>
    </row>
    <row r="73" customFormat="false" ht="15" hidden="false" customHeight="false" outlineLevel="0" collapsed="false">
      <c r="A73" s="16"/>
      <c r="B73" s="11" t="str">
        <f aca="false">IF($H73="","",INDEX(DECKS!$A$2:$A$1201,$H73))</f>
        <v/>
      </c>
      <c r="C73" s="11" t="str">
        <f aca="false">IF($H73="","",INDEX(DECKS!$B$2:$B$1201,$H73))</f>
        <v/>
      </c>
      <c r="D73" s="11" t="str">
        <f aca="false">IF($H73="","",INDEX(DECKS!$C$2:$C$1201,$H73))</f>
        <v/>
      </c>
      <c r="E73" s="16" t="str">
        <f aca="false">IF($H73="","",INDEX(DECKS!$D$2:$D$1201,$H73))</f>
        <v/>
      </c>
      <c r="F73" s="16" t="str">
        <f aca="false">IF($H73="","",INDEX(DECKS!$E$2:$E$1201,$H73))</f>
        <v/>
      </c>
      <c r="G73" s="21" t="str">
        <f aca="false">IF($H73="","",INDEX(DECKS!$F$2:$F$1201,$H73))</f>
        <v/>
      </c>
      <c r="H73" s="11" t="str">
        <f aca="false">IFERROR(MATCH(ROW()-1,DECKS!$O$2:$O$1201,0),"")</f>
        <v/>
      </c>
      <c r="I73" s="11" t="str">
        <f aca="false">IF(C73="","",G73&amp;" "&amp;D73&amp;" ("&amp;C73&amp;")")</f>
        <v/>
      </c>
    </row>
    <row r="74" customFormat="false" ht="15" hidden="false" customHeight="false" outlineLevel="0" collapsed="false">
      <c r="A74" s="16"/>
      <c r="B74" s="11" t="str">
        <f aca="false">IF($H74="","",INDEX(DECKS!$A$2:$A$1201,$H74))</f>
        <v/>
      </c>
      <c r="C74" s="11" t="str">
        <f aca="false">IF($H74="","",INDEX(DECKS!$B$2:$B$1201,$H74))</f>
        <v/>
      </c>
      <c r="D74" s="11" t="str">
        <f aca="false">IF($H74="","",INDEX(DECKS!$C$2:$C$1201,$H74))</f>
        <v/>
      </c>
      <c r="E74" s="16" t="str">
        <f aca="false">IF($H74="","",INDEX(DECKS!$D$2:$D$1201,$H74))</f>
        <v/>
      </c>
      <c r="F74" s="16" t="str">
        <f aca="false">IF($H74="","",INDEX(DECKS!$E$2:$E$1201,$H74))</f>
        <v/>
      </c>
      <c r="G74" s="21" t="str">
        <f aca="false">IF($H74="","",INDEX(DECKS!$F$2:$F$1201,$H74))</f>
        <v/>
      </c>
      <c r="H74" s="11" t="str">
        <f aca="false">IFERROR(MATCH(ROW()-1,DECKS!$O$2:$O$1201,0),"")</f>
        <v/>
      </c>
      <c r="I74" s="11" t="str">
        <f aca="false">IF(C74="","",G74&amp;" "&amp;D74&amp;" ("&amp;C74&amp;")")</f>
        <v/>
      </c>
    </row>
    <row r="75" customFormat="false" ht="15" hidden="false" customHeight="false" outlineLevel="0" collapsed="false">
      <c r="A75" s="16"/>
      <c r="B75" s="11" t="str">
        <f aca="false">IF($H75="","",INDEX(DECKS!$A$2:$A$1201,$H75))</f>
        <v/>
      </c>
      <c r="C75" s="11" t="str">
        <f aca="false">IF($H75="","",INDEX(DECKS!$B$2:$B$1201,$H75))</f>
        <v/>
      </c>
      <c r="D75" s="11" t="str">
        <f aca="false">IF($H75="","",INDEX(DECKS!$C$2:$C$1201,$H75))</f>
        <v/>
      </c>
      <c r="E75" s="16" t="str">
        <f aca="false">IF($H75="","",INDEX(DECKS!$D$2:$D$1201,$H75))</f>
        <v/>
      </c>
      <c r="F75" s="16" t="str">
        <f aca="false">IF($H75="","",INDEX(DECKS!$E$2:$E$1201,$H75))</f>
        <v/>
      </c>
      <c r="G75" s="21" t="str">
        <f aca="false">IF($H75="","",INDEX(DECKS!$F$2:$F$1201,$H75))</f>
        <v/>
      </c>
      <c r="H75" s="11" t="str">
        <f aca="false">IFERROR(MATCH(ROW()-1,DECKS!$O$2:$O$1201,0),"")</f>
        <v/>
      </c>
      <c r="I75" s="11" t="str">
        <f aca="false">IF(C75="","",G75&amp;" "&amp;D75&amp;" ("&amp;C75&amp;")")</f>
        <v/>
      </c>
    </row>
    <row r="76" customFormat="false" ht="15" hidden="false" customHeight="false" outlineLevel="0" collapsed="false">
      <c r="A76" s="16"/>
      <c r="B76" s="11" t="str">
        <f aca="false">IF($H76="","",INDEX(DECKS!$A$2:$A$1201,$H76))</f>
        <v/>
      </c>
      <c r="C76" s="11" t="str">
        <f aca="false">IF($H76="","",INDEX(DECKS!$B$2:$B$1201,$H76))</f>
        <v/>
      </c>
      <c r="D76" s="11" t="str">
        <f aca="false">IF($H76="","",INDEX(DECKS!$C$2:$C$1201,$H76))</f>
        <v/>
      </c>
      <c r="E76" s="16" t="str">
        <f aca="false">IF($H76="","",INDEX(DECKS!$D$2:$D$1201,$H76))</f>
        <v/>
      </c>
      <c r="F76" s="16" t="str">
        <f aca="false">IF($H76="","",INDEX(DECKS!$E$2:$E$1201,$H76))</f>
        <v/>
      </c>
      <c r="G76" s="21" t="str">
        <f aca="false">IF($H76="","",INDEX(DECKS!$F$2:$F$1201,$H76))</f>
        <v/>
      </c>
      <c r="H76" s="11" t="str">
        <f aca="false">IFERROR(MATCH(ROW()-1,DECKS!$O$2:$O$1201,0),"")</f>
        <v/>
      </c>
      <c r="I76" s="11" t="str">
        <f aca="false">IF(C76="","",G76&amp;" "&amp;D76&amp;" ("&amp;C76&amp;")")</f>
        <v/>
      </c>
    </row>
    <row r="77" customFormat="false" ht="15" hidden="false" customHeight="false" outlineLevel="0" collapsed="false">
      <c r="A77" s="16"/>
      <c r="B77" s="11" t="str">
        <f aca="false">IF($H77="","",INDEX(DECKS!$A$2:$A$1201,$H77))</f>
        <v/>
      </c>
      <c r="C77" s="11" t="str">
        <f aca="false">IF($H77="","",INDEX(DECKS!$B$2:$B$1201,$H77))</f>
        <v/>
      </c>
      <c r="D77" s="11" t="str">
        <f aca="false">IF($H77="","",INDEX(DECKS!$C$2:$C$1201,$H77))</f>
        <v/>
      </c>
      <c r="E77" s="16" t="str">
        <f aca="false">IF($H77="","",INDEX(DECKS!$D$2:$D$1201,$H77))</f>
        <v/>
      </c>
      <c r="F77" s="16" t="str">
        <f aca="false">IF($H77="","",INDEX(DECKS!$E$2:$E$1201,$H77))</f>
        <v/>
      </c>
      <c r="G77" s="21" t="str">
        <f aca="false">IF($H77="","",INDEX(DECKS!$F$2:$F$1201,$H77))</f>
        <v/>
      </c>
      <c r="H77" s="11" t="str">
        <f aca="false">IFERROR(MATCH(ROW()-1,DECKS!$O$2:$O$1201,0),"")</f>
        <v/>
      </c>
      <c r="I77" s="11" t="str">
        <f aca="false">IF(C77="","",G77&amp;" "&amp;D77&amp;" ("&amp;C77&amp;")")</f>
        <v/>
      </c>
    </row>
    <row r="78" customFormat="false" ht="15" hidden="false" customHeight="false" outlineLevel="0" collapsed="false">
      <c r="A78" s="16"/>
      <c r="B78" s="11" t="str">
        <f aca="false">IF($H78="","",INDEX(DECKS!$A$2:$A$1201,$H78))</f>
        <v/>
      </c>
      <c r="C78" s="11" t="str">
        <f aca="false">IF($H78="","",INDEX(DECKS!$B$2:$B$1201,$H78))</f>
        <v/>
      </c>
      <c r="D78" s="11" t="str">
        <f aca="false">IF($H78="","",INDEX(DECKS!$C$2:$C$1201,$H78))</f>
        <v/>
      </c>
      <c r="E78" s="16" t="str">
        <f aca="false">IF($H78="","",INDEX(DECKS!$D$2:$D$1201,$H78))</f>
        <v/>
      </c>
      <c r="F78" s="16" t="str">
        <f aca="false">IF($H78="","",INDEX(DECKS!$E$2:$E$1201,$H78))</f>
        <v/>
      </c>
      <c r="G78" s="21" t="str">
        <f aca="false">IF($H78="","",INDEX(DECKS!$F$2:$F$1201,$H78))</f>
        <v/>
      </c>
      <c r="H78" s="11" t="str">
        <f aca="false">IFERROR(MATCH(ROW()-1,DECKS!$O$2:$O$1201,0),"")</f>
        <v/>
      </c>
      <c r="I78" s="11" t="str">
        <f aca="false">IF(C78="","",G78&amp;" "&amp;D78&amp;" ("&amp;C78&amp;")")</f>
        <v/>
      </c>
    </row>
    <row r="79" customFormat="false" ht="15" hidden="false" customHeight="false" outlineLevel="0" collapsed="false">
      <c r="A79" s="16"/>
      <c r="B79" s="11" t="str">
        <f aca="false">IF($H79="","",INDEX(DECKS!$A$2:$A$1201,$H79))</f>
        <v/>
      </c>
      <c r="C79" s="11" t="str">
        <f aca="false">IF($H79="","",INDEX(DECKS!$B$2:$B$1201,$H79))</f>
        <v/>
      </c>
      <c r="D79" s="11" t="str">
        <f aca="false">IF($H79="","",INDEX(DECKS!$C$2:$C$1201,$H79))</f>
        <v/>
      </c>
      <c r="E79" s="16" t="str">
        <f aca="false">IF($H79="","",INDEX(DECKS!$D$2:$D$1201,$H79))</f>
        <v/>
      </c>
      <c r="F79" s="16" t="str">
        <f aca="false">IF($H79="","",INDEX(DECKS!$E$2:$E$1201,$H79))</f>
        <v/>
      </c>
      <c r="G79" s="21" t="str">
        <f aca="false">IF($H79="","",INDEX(DECKS!$F$2:$F$1201,$H79))</f>
        <v/>
      </c>
      <c r="H79" s="11" t="str">
        <f aca="false">IFERROR(MATCH(ROW()-1,DECKS!$O$2:$O$1201,0),"")</f>
        <v/>
      </c>
      <c r="I79" s="11" t="str">
        <f aca="false">IF(C79="","",G79&amp;" "&amp;D79&amp;" ("&amp;C79&amp;")")</f>
        <v/>
      </c>
    </row>
    <row r="80" customFormat="false" ht="15" hidden="false" customHeight="false" outlineLevel="0" collapsed="false">
      <c r="A80" s="16"/>
      <c r="B80" s="11" t="str">
        <f aca="false">IF($H80="","",INDEX(DECKS!$A$2:$A$1201,$H80))</f>
        <v/>
      </c>
      <c r="C80" s="11" t="str">
        <f aca="false">IF($H80="","",INDEX(DECKS!$B$2:$B$1201,$H80))</f>
        <v/>
      </c>
      <c r="D80" s="11" t="str">
        <f aca="false">IF($H80="","",INDEX(DECKS!$C$2:$C$1201,$H80))</f>
        <v/>
      </c>
      <c r="E80" s="16" t="str">
        <f aca="false">IF($H80="","",INDEX(DECKS!$D$2:$D$1201,$H80))</f>
        <v/>
      </c>
      <c r="F80" s="16" t="str">
        <f aca="false">IF($H80="","",INDEX(DECKS!$E$2:$E$1201,$H80))</f>
        <v/>
      </c>
      <c r="G80" s="21" t="str">
        <f aca="false">IF($H80="","",INDEX(DECKS!$F$2:$F$1201,$H80))</f>
        <v/>
      </c>
      <c r="H80" s="11" t="str">
        <f aca="false">IFERROR(MATCH(ROW()-1,DECKS!$O$2:$O$1201,0),"")</f>
        <v/>
      </c>
      <c r="I80" s="11" t="str">
        <f aca="false">IF(C80="","",G80&amp;" "&amp;D80&amp;" ("&amp;C80&amp;")")</f>
        <v/>
      </c>
    </row>
    <row r="81" customFormat="false" ht="15" hidden="false" customHeight="false" outlineLevel="0" collapsed="false">
      <c r="A81" s="16"/>
      <c r="B81" s="11" t="str">
        <f aca="false">IF($H81="","",INDEX(DECKS!$A$2:$A$1201,$H81))</f>
        <v/>
      </c>
      <c r="C81" s="11" t="str">
        <f aca="false">IF($H81="","",INDEX(DECKS!$B$2:$B$1201,$H81))</f>
        <v/>
      </c>
      <c r="D81" s="11" t="str">
        <f aca="false">IF($H81="","",INDEX(DECKS!$C$2:$C$1201,$H81))</f>
        <v/>
      </c>
      <c r="E81" s="16" t="str">
        <f aca="false">IF($H81="","",INDEX(DECKS!$D$2:$D$1201,$H81))</f>
        <v/>
      </c>
      <c r="F81" s="16" t="str">
        <f aca="false">IF($H81="","",INDEX(DECKS!$E$2:$E$1201,$H81))</f>
        <v/>
      </c>
      <c r="G81" s="21" t="str">
        <f aca="false">IF($H81="","",INDEX(DECKS!$F$2:$F$1201,$H81))</f>
        <v/>
      </c>
      <c r="H81" s="11" t="str">
        <f aca="false">IFERROR(MATCH(ROW()-1,DECKS!$O$2:$O$1201,0),"")</f>
        <v/>
      </c>
      <c r="I81" s="11" t="str">
        <f aca="false">IF(C81="","",G81&amp;" "&amp;D81&amp;" ("&amp;C81&amp;")")</f>
        <v/>
      </c>
    </row>
    <row r="82" customFormat="false" ht="15" hidden="false" customHeight="false" outlineLevel="0" collapsed="false">
      <c r="A82" s="16"/>
      <c r="B82" s="11" t="str">
        <f aca="false">IF($H82="","",INDEX(DECKS!$A$2:$A$1201,$H82))</f>
        <v/>
      </c>
      <c r="C82" s="11" t="str">
        <f aca="false">IF($H82="","",INDEX(DECKS!$B$2:$B$1201,$H82))</f>
        <v/>
      </c>
      <c r="D82" s="11" t="str">
        <f aca="false">IF($H82="","",INDEX(DECKS!$C$2:$C$1201,$H82))</f>
        <v/>
      </c>
      <c r="E82" s="16" t="str">
        <f aca="false">IF($H82="","",INDEX(DECKS!$D$2:$D$1201,$H82))</f>
        <v/>
      </c>
      <c r="F82" s="16" t="str">
        <f aca="false">IF($H82="","",INDEX(DECKS!$E$2:$E$1201,$H82))</f>
        <v/>
      </c>
      <c r="G82" s="21" t="str">
        <f aca="false">IF($H82="","",INDEX(DECKS!$F$2:$F$1201,$H82))</f>
        <v/>
      </c>
      <c r="H82" s="11" t="str">
        <f aca="false">IFERROR(MATCH(ROW()-1,DECKS!$O$2:$O$1201,0),"")</f>
        <v/>
      </c>
      <c r="I82" s="11" t="str">
        <f aca="false">IF(C82="","",G82&amp;" "&amp;D82&amp;" ("&amp;C82&amp;")")</f>
        <v/>
      </c>
    </row>
    <row r="83" customFormat="false" ht="15" hidden="false" customHeight="false" outlineLevel="0" collapsed="false">
      <c r="A83" s="16"/>
      <c r="B83" s="11" t="str">
        <f aca="false">IF($H83="","",INDEX(DECKS!$A$2:$A$1201,$H83))</f>
        <v/>
      </c>
      <c r="C83" s="11" t="str">
        <f aca="false">IF($H83="","",INDEX(DECKS!$B$2:$B$1201,$H83))</f>
        <v/>
      </c>
      <c r="D83" s="11" t="str">
        <f aca="false">IF($H83="","",INDEX(DECKS!$C$2:$C$1201,$H83))</f>
        <v/>
      </c>
      <c r="E83" s="16" t="str">
        <f aca="false">IF($H83="","",INDEX(DECKS!$D$2:$D$1201,$H83))</f>
        <v/>
      </c>
      <c r="F83" s="16" t="str">
        <f aca="false">IF($H83="","",INDEX(DECKS!$E$2:$E$1201,$H83))</f>
        <v/>
      </c>
      <c r="G83" s="21" t="str">
        <f aca="false">IF($H83="","",INDEX(DECKS!$F$2:$F$1201,$H83))</f>
        <v/>
      </c>
      <c r="H83" s="11" t="str">
        <f aca="false">IFERROR(MATCH(ROW()-1,DECKS!$O$2:$O$1201,0),"")</f>
        <v/>
      </c>
      <c r="I83" s="11" t="str">
        <f aca="false">IF(C83="","",G83&amp;" "&amp;D83&amp;" ("&amp;C83&amp;")")</f>
        <v/>
      </c>
    </row>
    <row r="84" customFormat="false" ht="15" hidden="false" customHeight="false" outlineLevel="0" collapsed="false">
      <c r="A84" s="16"/>
      <c r="B84" s="11" t="str">
        <f aca="false">IF($H84="","",INDEX(DECKS!$A$2:$A$1201,$H84))</f>
        <v/>
      </c>
      <c r="C84" s="11" t="str">
        <f aca="false">IF($H84="","",INDEX(DECKS!$B$2:$B$1201,$H84))</f>
        <v/>
      </c>
      <c r="D84" s="11" t="str">
        <f aca="false">IF($H84="","",INDEX(DECKS!$C$2:$C$1201,$H84))</f>
        <v/>
      </c>
      <c r="E84" s="16" t="str">
        <f aca="false">IF($H84="","",INDEX(DECKS!$D$2:$D$1201,$H84))</f>
        <v/>
      </c>
      <c r="F84" s="16" t="str">
        <f aca="false">IF($H84="","",INDEX(DECKS!$E$2:$E$1201,$H84))</f>
        <v/>
      </c>
      <c r="G84" s="21" t="str">
        <f aca="false">IF($H84="","",INDEX(DECKS!$F$2:$F$1201,$H84))</f>
        <v/>
      </c>
      <c r="H84" s="11" t="str">
        <f aca="false">IFERROR(MATCH(ROW()-1,DECKS!$O$2:$O$1201,0),"")</f>
        <v/>
      </c>
      <c r="I84" s="11" t="str">
        <f aca="false">IF(C84="","",G84&amp;" "&amp;D84&amp;" ("&amp;C84&amp;")")</f>
        <v/>
      </c>
    </row>
    <row r="85" customFormat="false" ht="15" hidden="false" customHeight="false" outlineLevel="0" collapsed="false">
      <c r="A85" s="16"/>
      <c r="B85" s="11" t="str">
        <f aca="false">IF($H85="","",INDEX(DECKS!$A$2:$A$1201,$H85))</f>
        <v/>
      </c>
      <c r="C85" s="11" t="str">
        <f aca="false">IF($H85="","",INDEX(DECKS!$B$2:$B$1201,$H85))</f>
        <v/>
      </c>
      <c r="D85" s="11" t="str">
        <f aca="false">IF($H85="","",INDEX(DECKS!$C$2:$C$1201,$H85))</f>
        <v/>
      </c>
      <c r="E85" s="16" t="str">
        <f aca="false">IF($H85="","",INDEX(DECKS!$D$2:$D$1201,$H85))</f>
        <v/>
      </c>
      <c r="F85" s="16" t="str">
        <f aca="false">IF($H85="","",INDEX(DECKS!$E$2:$E$1201,$H85))</f>
        <v/>
      </c>
      <c r="G85" s="21" t="str">
        <f aca="false">IF($H85="","",INDEX(DECKS!$F$2:$F$1201,$H85))</f>
        <v/>
      </c>
      <c r="H85" s="11" t="str">
        <f aca="false">IFERROR(MATCH(ROW()-1,DECKS!$O$2:$O$1201,0),"")</f>
        <v/>
      </c>
      <c r="I85" s="11" t="str">
        <f aca="false">IF(C85="","",G85&amp;" "&amp;D85&amp;" ("&amp;C85&amp;")")</f>
        <v/>
      </c>
    </row>
    <row r="86" customFormat="false" ht="15" hidden="false" customHeight="false" outlineLevel="0" collapsed="false">
      <c r="A86" s="16"/>
      <c r="B86" s="11" t="str">
        <f aca="false">IF($H86="","",INDEX(DECKS!$A$2:$A$1201,$H86))</f>
        <v/>
      </c>
      <c r="C86" s="11" t="str">
        <f aca="false">IF($H86="","",INDEX(DECKS!$B$2:$B$1201,$H86))</f>
        <v/>
      </c>
      <c r="D86" s="11" t="str">
        <f aca="false">IF($H86="","",INDEX(DECKS!$C$2:$C$1201,$H86))</f>
        <v/>
      </c>
      <c r="E86" s="16" t="str">
        <f aca="false">IF($H86="","",INDEX(DECKS!$D$2:$D$1201,$H86))</f>
        <v/>
      </c>
      <c r="F86" s="16" t="str">
        <f aca="false">IF($H86="","",INDEX(DECKS!$E$2:$E$1201,$H86))</f>
        <v/>
      </c>
      <c r="G86" s="21" t="str">
        <f aca="false">IF($H86="","",INDEX(DECKS!$F$2:$F$1201,$H86))</f>
        <v/>
      </c>
      <c r="H86" s="11" t="str">
        <f aca="false">IFERROR(MATCH(ROW()-1,DECKS!$O$2:$O$1201,0),"")</f>
        <v/>
      </c>
      <c r="I86" s="11" t="str">
        <f aca="false">IF(C86="","",G86&amp;" "&amp;D86&amp;" ("&amp;C86&amp;")")</f>
        <v/>
      </c>
    </row>
    <row r="87" customFormat="false" ht="15" hidden="false" customHeight="false" outlineLevel="0" collapsed="false">
      <c r="A87" s="16"/>
      <c r="B87" s="11" t="str">
        <f aca="false">IF($H87="","",INDEX(DECKS!$A$2:$A$1201,$H87))</f>
        <v/>
      </c>
      <c r="C87" s="11" t="str">
        <f aca="false">IF($H87="","",INDEX(DECKS!$B$2:$B$1201,$H87))</f>
        <v/>
      </c>
      <c r="D87" s="11" t="str">
        <f aca="false">IF($H87="","",INDEX(DECKS!$C$2:$C$1201,$H87))</f>
        <v/>
      </c>
      <c r="E87" s="16" t="str">
        <f aca="false">IF($H87="","",INDEX(DECKS!$D$2:$D$1201,$H87))</f>
        <v/>
      </c>
      <c r="F87" s="16" t="str">
        <f aca="false">IF($H87="","",INDEX(DECKS!$E$2:$E$1201,$H87))</f>
        <v/>
      </c>
      <c r="G87" s="21" t="str">
        <f aca="false">IF($H87="","",INDEX(DECKS!$F$2:$F$1201,$H87))</f>
        <v/>
      </c>
      <c r="H87" s="11" t="str">
        <f aca="false">IFERROR(MATCH(ROW()-1,DECKS!$O$2:$O$1201,0),"")</f>
        <v/>
      </c>
      <c r="I87" s="11" t="str">
        <f aca="false">IF(C87="","",G87&amp;" "&amp;D87&amp;" ("&amp;C87&amp;")")</f>
        <v/>
      </c>
    </row>
    <row r="88" customFormat="false" ht="15" hidden="false" customHeight="false" outlineLevel="0" collapsed="false">
      <c r="A88" s="16"/>
      <c r="B88" s="11" t="str">
        <f aca="false">IF($H88="","",INDEX(DECKS!$A$2:$A$1201,$H88))</f>
        <v/>
      </c>
      <c r="C88" s="11" t="str">
        <f aca="false">IF($H88="","",INDEX(DECKS!$B$2:$B$1201,$H88))</f>
        <v/>
      </c>
      <c r="D88" s="11" t="str">
        <f aca="false">IF($H88="","",INDEX(DECKS!$C$2:$C$1201,$H88))</f>
        <v/>
      </c>
      <c r="E88" s="16" t="str">
        <f aca="false">IF($H88="","",INDEX(DECKS!$D$2:$D$1201,$H88))</f>
        <v/>
      </c>
      <c r="F88" s="16" t="str">
        <f aca="false">IF($H88="","",INDEX(DECKS!$E$2:$E$1201,$H88))</f>
        <v/>
      </c>
      <c r="G88" s="21" t="str">
        <f aca="false">IF($H88="","",INDEX(DECKS!$F$2:$F$1201,$H88))</f>
        <v/>
      </c>
      <c r="H88" s="11" t="str">
        <f aca="false">IFERROR(MATCH(ROW()-1,DECKS!$O$2:$O$1201,0),"")</f>
        <v/>
      </c>
      <c r="I88" s="11" t="str">
        <f aca="false">IF(C88="","",G88&amp;" "&amp;D88&amp;" ("&amp;C88&amp;")")</f>
        <v/>
      </c>
    </row>
    <row r="89" customFormat="false" ht="15" hidden="false" customHeight="false" outlineLevel="0" collapsed="false">
      <c r="A89" s="16"/>
      <c r="B89" s="11" t="str">
        <f aca="false">IF($H89="","",INDEX(DECKS!$A$2:$A$1201,$H89))</f>
        <v/>
      </c>
      <c r="C89" s="11" t="str">
        <f aca="false">IF($H89="","",INDEX(DECKS!$B$2:$B$1201,$H89))</f>
        <v/>
      </c>
      <c r="D89" s="11" t="str">
        <f aca="false">IF($H89="","",INDEX(DECKS!$C$2:$C$1201,$H89))</f>
        <v/>
      </c>
      <c r="E89" s="16" t="str">
        <f aca="false">IF($H89="","",INDEX(DECKS!$D$2:$D$1201,$H89))</f>
        <v/>
      </c>
      <c r="F89" s="16" t="str">
        <f aca="false">IF($H89="","",INDEX(DECKS!$E$2:$E$1201,$H89))</f>
        <v/>
      </c>
      <c r="G89" s="21" t="str">
        <f aca="false">IF($H89="","",INDEX(DECKS!$F$2:$F$1201,$H89))</f>
        <v/>
      </c>
      <c r="H89" s="11" t="str">
        <f aca="false">IFERROR(MATCH(ROW()-1,DECKS!$O$2:$O$1201,0),"")</f>
        <v/>
      </c>
      <c r="I89" s="11" t="str">
        <f aca="false">IF(C89="","",G89&amp;" "&amp;D89&amp;" ("&amp;C89&amp;")")</f>
        <v/>
      </c>
    </row>
    <row r="90" customFormat="false" ht="15" hidden="false" customHeight="false" outlineLevel="0" collapsed="false">
      <c r="A90" s="16"/>
      <c r="B90" s="11" t="str">
        <f aca="false">IF($H90="","",INDEX(DECKS!$A$2:$A$1201,$H90))</f>
        <v/>
      </c>
      <c r="C90" s="11" t="str">
        <f aca="false">IF($H90="","",INDEX(DECKS!$B$2:$B$1201,$H90))</f>
        <v/>
      </c>
      <c r="D90" s="11" t="str">
        <f aca="false">IF($H90="","",INDEX(DECKS!$C$2:$C$1201,$H90))</f>
        <v/>
      </c>
      <c r="E90" s="16" t="str">
        <f aca="false">IF($H90="","",INDEX(DECKS!$D$2:$D$1201,$H90))</f>
        <v/>
      </c>
      <c r="F90" s="16" t="str">
        <f aca="false">IF($H90="","",INDEX(DECKS!$E$2:$E$1201,$H90))</f>
        <v/>
      </c>
      <c r="G90" s="21" t="str">
        <f aca="false">IF($H90="","",INDEX(DECKS!$F$2:$F$1201,$H90))</f>
        <v/>
      </c>
      <c r="H90" s="11" t="str">
        <f aca="false">IFERROR(MATCH(ROW()-1,DECKS!$O$2:$O$1201,0),"")</f>
        <v/>
      </c>
      <c r="I90" s="11" t="str">
        <f aca="false">IF(C90="","",G90&amp;" "&amp;D90&amp;" ("&amp;C90&amp;")")</f>
        <v/>
      </c>
    </row>
    <row r="91" customFormat="false" ht="15" hidden="false" customHeight="false" outlineLevel="0" collapsed="false">
      <c r="A91" s="16"/>
      <c r="B91" s="11" t="str">
        <f aca="false">IF($H91="","",INDEX(DECKS!$A$2:$A$1201,$H91))</f>
        <v/>
      </c>
      <c r="C91" s="11" t="str">
        <f aca="false">IF($H91="","",INDEX(DECKS!$B$2:$B$1201,$H91))</f>
        <v/>
      </c>
      <c r="D91" s="11" t="str">
        <f aca="false">IF($H91="","",INDEX(DECKS!$C$2:$C$1201,$H91))</f>
        <v/>
      </c>
      <c r="E91" s="16" t="str">
        <f aca="false">IF($H91="","",INDEX(DECKS!$D$2:$D$1201,$H91))</f>
        <v/>
      </c>
      <c r="F91" s="16" t="str">
        <f aca="false">IF($H91="","",INDEX(DECKS!$E$2:$E$1201,$H91))</f>
        <v/>
      </c>
      <c r="G91" s="21" t="str">
        <f aca="false">IF($H91="","",INDEX(DECKS!$F$2:$F$1201,$H91))</f>
        <v/>
      </c>
      <c r="H91" s="11" t="str">
        <f aca="false">IFERROR(MATCH(ROW()-1,DECKS!$O$2:$O$1201,0),"")</f>
        <v/>
      </c>
      <c r="I91" s="11" t="str">
        <f aca="false">IF(C91="","",G91&amp;" "&amp;D91&amp;" ("&amp;C91&amp;")")</f>
        <v/>
      </c>
    </row>
    <row r="92" customFormat="false" ht="15" hidden="false" customHeight="false" outlineLevel="0" collapsed="false">
      <c r="A92" s="16"/>
      <c r="B92" s="11" t="str">
        <f aca="false">IF($H92="","",INDEX(DECKS!$A$2:$A$1201,$H92))</f>
        <v/>
      </c>
      <c r="C92" s="11" t="str">
        <f aca="false">IF($H92="","",INDEX(DECKS!$B$2:$B$1201,$H92))</f>
        <v/>
      </c>
      <c r="D92" s="11" t="str">
        <f aca="false">IF($H92="","",INDEX(DECKS!$C$2:$C$1201,$H92))</f>
        <v/>
      </c>
      <c r="E92" s="16" t="str">
        <f aca="false">IF($H92="","",INDEX(DECKS!$D$2:$D$1201,$H92))</f>
        <v/>
      </c>
      <c r="F92" s="16" t="str">
        <f aca="false">IF($H92="","",INDEX(DECKS!$E$2:$E$1201,$H92))</f>
        <v/>
      </c>
      <c r="G92" s="21" t="str">
        <f aca="false">IF($H92="","",INDEX(DECKS!$F$2:$F$1201,$H92))</f>
        <v/>
      </c>
      <c r="H92" s="11" t="str">
        <f aca="false">IFERROR(MATCH(ROW()-1,DECKS!$O$2:$O$1201,0),"")</f>
        <v/>
      </c>
      <c r="I92" s="11" t="str">
        <f aca="false">IF(C92="","",G92&amp;" "&amp;D92&amp;" ("&amp;C92&amp;")")</f>
        <v/>
      </c>
    </row>
    <row r="93" customFormat="false" ht="15" hidden="false" customHeight="false" outlineLevel="0" collapsed="false">
      <c r="A93" s="16"/>
      <c r="B93" s="11" t="str">
        <f aca="false">IF($H93="","",INDEX(DECKS!$A$2:$A$1201,$H93))</f>
        <v/>
      </c>
      <c r="C93" s="11" t="str">
        <f aca="false">IF($H93="","",INDEX(DECKS!$B$2:$B$1201,$H93))</f>
        <v/>
      </c>
      <c r="D93" s="11" t="str">
        <f aca="false">IF($H93="","",INDEX(DECKS!$C$2:$C$1201,$H93))</f>
        <v/>
      </c>
      <c r="E93" s="16" t="str">
        <f aca="false">IF($H93="","",INDEX(DECKS!$D$2:$D$1201,$H93))</f>
        <v/>
      </c>
      <c r="F93" s="16" t="str">
        <f aca="false">IF($H93="","",INDEX(DECKS!$E$2:$E$1201,$H93))</f>
        <v/>
      </c>
      <c r="G93" s="21" t="str">
        <f aca="false">IF($H93="","",INDEX(DECKS!$F$2:$F$1201,$H93))</f>
        <v/>
      </c>
      <c r="H93" s="11" t="str">
        <f aca="false">IFERROR(MATCH(ROW()-1,DECKS!$O$2:$O$1201,0),"")</f>
        <v/>
      </c>
      <c r="I93" s="11" t="str">
        <f aca="false">IF(C93="","",G93&amp;" "&amp;D93&amp;" ("&amp;C93&amp;")")</f>
        <v/>
      </c>
    </row>
    <row r="94" customFormat="false" ht="15" hidden="false" customHeight="false" outlineLevel="0" collapsed="false">
      <c r="A94" s="16"/>
      <c r="B94" s="11" t="str">
        <f aca="false">IF($H94="","",INDEX(DECKS!$A$2:$A$1201,$H94))</f>
        <v/>
      </c>
      <c r="C94" s="11" t="str">
        <f aca="false">IF($H94="","",INDEX(DECKS!$B$2:$B$1201,$H94))</f>
        <v/>
      </c>
      <c r="D94" s="11" t="str">
        <f aca="false">IF($H94="","",INDEX(DECKS!$C$2:$C$1201,$H94))</f>
        <v/>
      </c>
      <c r="E94" s="16" t="str">
        <f aca="false">IF($H94="","",INDEX(DECKS!$D$2:$D$1201,$H94))</f>
        <v/>
      </c>
      <c r="F94" s="16" t="str">
        <f aca="false">IF($H94="","",INDEX(DECKS!$E$2:$E$1201,$H94))</f>
        <v/>
      </c>
      <c r="G94" s="21" t="str">
        <f aca="false">IF($H94="","",INDEX(DECKS!$F$2:$F$1201,$H94))</f>
        <v/>
      </c>
      <c r="H94" s="11" t="str">
        <f aca="false">IFERROR(MATCH(ROW()-1,DECKS!$O$2:$O$1201,0),"")</f>
        <v/>
      </c>
      <c r="I94" s="11" t="str">
        <f aca="false">IF(C94="","",G94&amp;" "&amp;D94&amp;" ("&amp;C94&amp;")")</f>
        <v/>
      </c>
    </row>
    <row r="95" customFormat="false" ht="15" hidden="false" customHeight="false" outlineLevel="0" collapsed="false">
      <c r="A95" s="16"/>
      <c r="B95" s="11" t="str">
        <f aca="false">IF($H95="","",INDEX(DECKS!$A$2:$A$1201,$H95))</f>
        <v/>
      </c>
      <c r="C95" s="11" t="str">
        <f aca="false">IF($H95="","",INDEX(DECKS!$B$2:$B$1201,$H95))</f>
        <v/>
      </c>
      <c r="D95" s="11" t="str">
        <f aca="false">IF($H95="","",INDEX(DECKS!$C$2:$C$1201,$H95))</f>
        <v/>
      </c>
      <c r="E95" s="16" t="str">
        <f aca="false">IF($H95="","",INDEX(DECKS!$D$2:$D$1201,$H95))</f>
        <v/>
      </c>
      <c r="F95" s="16" t="str">
        <f aca="false">IF($H95="","",INDEX(DECKS!$E$2:$E$1201,$H95))</f>
        <v/>
      </c>
      <c r="G95" s="21" t="str">
        <f aca="false">IF($H95="","",INDEX(DECKS!$F$2:$F$1201,$H95))</f>
        <v/>
      </c>
      <c r="H95" s="11" t="str">
        <f aca="false">IFERROR(MATCH(ROW()-1,DECKS!$O$2:$O$1201,0),"")</f>
        <v/>
      </c>
      <c r="I95" s="11" t="str">
        <f aca="false">IF(C95="","",G95&amp;" "&amp;D95&amp;" ("&amp;C95&amp;")")</f>
        <v/>
      </c>
    </row>
    <row r="96" customFormat="false" ht="15" hidden="false" customHeight="false" outlineLevel="0" collapsed="false">
      <c r="A96" s="16"/>
      <c r="B96" s="11" t="str">
        <f aca="false">IF($H96="","",INDEX(DECKS!$A$2:$A$1201,$H96))</f>
        <v/>
      </c>
      <c r="C96" s="11" t="str">
        <f aca="false">IF($H96="","",INDEX(DECKS!$B$2:$B$1201,$H96))</f>
        <v/>
      </c>
      <c r="D96" s="11" t="str">
        <f aca="false">IF($H96="","",INDEX(DECKS!$C$2:$C$1201,$H96))</f>
        <v/>
      </c>
      <c r="E96" s="16" t="str">
        <f aca="false">IF($H96="","",INDEX(DECKS!$D$2:$D$1201,$H96))</f>
        <v/>
      </c>
      <c r="F96" s="16" t="str">
        <f aca="false">IF($H96="","",INDEX(DECKS!$E$2:$E$1201,$H96))</f>
        <v/>
      </c>
      <c r="G96" s="21" t="str">
        <f aca="false">IF($H96="","",INDEX(DECKS!$F$2:$F$1201,$H96))</f>
        <v/>
      </c>
      <c r="H96" s="11" t="str">
        <f aca="false">IFERROR(MATCH(ROW()-1,DECKS!$O$2:$O$1201,0),"")</f>
        <v/>
      </c>
      <c r="I96" s="11" t="str">
        <f aca="false">IF(C96="","",G96&amp;" "&amp;D96&amp;" ("&amp;C96&amp;")")</f>
        <v/>
      </c>
    </row>
    <row r="97" customFormat="false" ht="15" hidden="false" customHeight="false" outlineLevel="0" collapsed="false">
      <c r="A97" s="16"/>
      <c r="B97" s="11" t="str">
        <f aca="false">IF($H97="","",INDEX(DECKS!$A$2:$A$1201,$H97))</f>
        <v/>
      </c>
      <c r="C97" s="11" t="str">
        <f aca="false">IF($H97="","",INDEX(DECKS!$B$2:$B$1201,$H97))</f>
        <v/>
      </c>
      <c r="D97" s="11" t="str">
        <f aca="false">IF($H97="","",INDEX(DECKS!$C$2:$C$1201,$H97))</f>
        <v/>
      </c>
      <c r="E97" s="16" t="str">
        <f aca="false">IF($H97="","",INDEX(DECKS!$D$2:$D$1201,$H97))</f>
        <v/>
      </c>
      <c r="F97" s="16" t="str">
        <f aca="false">IF($H97="","",INDEX(DECKS!$E$2:$E$1201,$H97))</f>
        <v/>
      </c>
      <c r="G97" s="21" t="str">
        <f aca="false">IF($H97="","",INDEX(DECKS!$F$2:$F$1201,$H97))</f>
        <v/>
      </c>
      <c r="H97" s="11" t="str">
        <f aca="false">IFERROR(MATCH(ROW()-1,DECKS!$O$2:$O$1201,0),"")</f>
        <v/>
      </c>
      <c r="I97" s="11" t="str">
        <f aca="false">IF(C97="","",G97&amp;" "&amp;D97&amp;" ("&amp;C97&amp;")")</f>
        <v/>
      </c>
    </row>
    <row r="98" customFormat="false" ht="15" hidden="false" customHeight="false" outlineLevel="0" collapsed="false">
      <c r="A98" s="16"/>
      <c r="B98" s="11" t="str">
        <f aca="false">IF($H98="","",INDEX(DECKS!$A$2:$A$1201,$H98))</f>
        <v/>
      </c>
      <c r="C98" s="11" t="str">
        <f aca="false">IF($H98="","",INDEX(DECKS!$B$2:$B$1201,$H98))</f>
        <v/>
      </c>
      <c r="D98" s="11" t="str">
        <f aca="false">IF($H98="","",INDEX(DECKS!$C$2:$C$1201,$H98))</f>
        <v/>
      </c>
      <c r="E98" s="16" t="str">
        <f aca="false">IF($H98="","",INDEX(DECKS!$D$2:$D$1201,$H98))</f>
        <v/>
      </c>
      <c r="F98" s="16" t="str">
        <f aca="false">IF($H98="","",INDEX(DECKS!$E$2:$E$1201,$H98))</f>
        <v/>
      </c>
      <c r="G98" s="21" t="str">
        <f aca="false">IF($H98="","",INDEX(DECKS!$F$2:$F$1201,$H98))</f>
        <v/>
      </c>
      <c r="H98" s="11" t="str">
        <f aca="false">IFERROR(MATCH(ROW()-1,DECKS!$O$2:$O$1201,0),"")</f>
        <v/>
      </c>
      <c r="I98" s="11" t="str">
        <f aca="false">IF(C98="","",G98&amp;" "&amp;D98&amp;" ("&amp;C98&amp;")")</f>
        <v/>
      </c>
    </row>
    <row r="99" customFormat="false" ht="15" hidden="false" customHeight="false" outlineLevel="0" collapsed="false">
      <c r="A99" s="16"/>
      <c r="B99" s="11" t="str">
        <f aca="false">IF($H99="","",INDEX(DECKS!$A$2:$A$1201,$H99))</f>
        <v/>
      </c>
      <c r="C99" s="11" t="str">
        <f aca="false">IF($H99="","",INDEX(DECKS!$B$2:$B$1201,$H99))</f>
        <v/>
      </c>
      <c r="D99" s="11" t="str">
        <f aca="false">IF($H99="","",INDEX(DECKS!$C$2:$C$1201,$H99))</f>
        <v/>
      </c>
      <c r="E99" s="16" t="str">
        <f aca="false">IF($H99="","",INDEX(DECKS!$D$2:$D$1201,$H99))</f>
        <v/>
      </c>
      <c r="F99" s="16" t="str">
        <f aca="false">IF($H99="","",INDEX(DECKS!$E$2:$E$1201,$H99))</f>
        <v/>
      </c>
      <c r="G99" s="21" t="str">
        <f aca="false">IF($H99="","",INDEX(DECKS!$F$2:$F$1201,$H99))</f>
        <v/>
      </c>
      <c r="H99" s="11" t="str">
        <f aca="false">IFERROR(MATCH(ROW()-1,DECKS!$O$2:$O$1201,0),"")</f>
        <v/>
      </c>
      <c r="I99" s="11" t="str">
        <f aca="false">IF(C99="","",G99&amp;" "&amp;D99&amp;" ("&amp;C99&amp;")")</f>
        <v/>
      </c>
    </row>
    <row r="100" customFormat="false" ht="15" hidden="false" customHeight="false" outlineLevel="0" collapsed="false">
      <c r="A100" s="16"/>
      <c r="B100" s="11" t="str">
        <f aca="false">IF($H100="","",INDEX(DECKS!$A$2:$A$1201,$H100))</f>
        <v/>
      </c>
      <c r="C100" s="11" t="str">
        <f aca="false">IF($H100="","",INDEX(DECKS!$B$2:$B$1201,$H100))</f>
        <v/>
      </c>
      <c r="D100" s="11" t="str">
        <f aca="false">IF($H100="","",INDEX(DECKS!$C$2:$C$1201,$H100))</f>
        <v/>
      </c>
      <c r="E100" s="16" t="str">
        <f aca="false">IF($H100="","",INDEX(DECKS!$D$2:$D$1201,$H100))</f>
        <v/>
      </c>
      <c r="F100" s="16" t="str">
        <f aca="false">IF($H100="","",INDEX(DECKS!$E$2:$E$1201,$H100))</f>
        <v/>
      </c>
      <c r="G100" s="21" t="str">
        <f aca="false">IF($H100="","",INDEX(DECKS!$F$2:$F$1201,$H100))</f>
        <v/>
      </c>
      <c r="H100" s="11" t="str">
        <f aca="false">IFERROR(MATCH(ROW()-1,DECKS!$O$2:$O$1201,0),"")</f>
        <v/>
      </c>
      <c r="I100" s="11" t="str">
        <f aca="false">IF(C100="","",G100&amp;" "&amp;D100&amp;" ("&amp;C100&amp;")")</f>
        <v/>
      </c>
    </row>
    <row r="101" customFormat="false" ht="15" hidden="false" customHeight="false" outlineLevel="0" collapsed="false">
      <c r="A101" s="16"/>
      <c r="B101" s="11" t="str">
        <f aca="false">IF($H101="","",INDEX(DECKS!$A$2:$A$1201,$H101))</f>
        <v/>
      </c>
      <c r="C101" s="11" t="str">
        <f aca="false">IF($H101="","",INDEX(DECKS!$B$2:$B$1201,$H101))</f>
        <v/>
      </c>
      <c r="D101" s="11" t="str">
        <f aca="false">IF($H101="","",INDEX(DECKS!$C$2:$C$1201,$H101))</f>
        <v/>
      </c>
      <c r="E101" s="16" t="str">
        <f aca="false">IF($H101="","",INDEX(DECKS!$D$2:$D$1201,$H101))</f>
        <v/>
      </c>
      <c r="F101" s="16" t="str">
        <f aca="false">IF($H101="","",INDEX(DECKS!$E$2:$E$1201,$H101))</f>
        <v/>
      </c>
      <c r="G101" s="21" t="str">
        <f aca="false">IF($H101="","",INDEX(DECKS!$F$2:$F$1201,$H101))</f>
        <v/>
      </c>
      <c r="H101" s="11" t="str">
        <f aca="false">IFERROR(MATCH(ROW()-1,DECKS!$O$2:$O$1201,0),"")</f>
        <v/>
      </c>
      <c r="I101" s="11" t="str">
        <f aca="false">IF(C101="","",G101&amp;" "&amp;D101&amp;" ("&amp;C101&amp;")")</f>
        <v/>
      </c>
    </row>
    <row r="102" customFormat="false" ht="15" hidden="false" customHeight="false" outlineLevel="0" collapsed="false">
      <c r="A102" s="16"/>
      <c r="B102" s="11" t="str">
        <f aca="false">IF($H102="","",INDEX(DECKS!$A$2:$A$1201,$H102))</f>
        <v/>
      </c>
      <c r="C102" s="11" t="str">
        <f aca="false">IF($H102="","",INDEX(DECKS!$B$2:$B$1201,$H102))</f>
        <v/>
      </c>
      <c r="D102" s="11" t="str">
        <f aca="false">IF($H102="","",INDEX(DECKS!$C$2:$C$1201,$H102))</f>
        <v/>
      </c>
      <c r="E102" s="16" t="str">
        <f aca="false">IF($H102="","",INDEX(DECKS!$D$2:$D$1201,$H102))</f>
        <v/>
      </c>
      <c r="F102" s="16" t="str">
        <f aca="false">IF($H102="","",INDEX(DECKS!$E$2:$E$1201,$H102))</f>
        <v/>
      </c>
      <c r="G102" s="21" t="str">
        <f aca="false">IF($H102="","",INDEX(DECKS!$F$2:$F$1201,$H102))</f>
        <v/>
      </c>
      <c r="H102" s="11" t="str">
        <f aca="false">IFERROR(MATCH(ROW()-1,DECKS!$O$2:$O$1201,0),"")</f>
        <v/>
      </c>
      <c r="I102" s="11" t="str">
        <f aca="false">IF(C102="","",G102&amp;" "&amp;D102&amp;" ("&amp;C102&amp;")")</f>
        <v/>
      </c>
    </row>
    <row r="103" customFormat="false" ht="15" hidden="false" customHeight="false" outlineLevel="0" collapsed="false">
      <c r="A103" s="16"/>
      <c r="B103" s="11" t="str">
        <f aca="false">IF($H103="","",INDEX(DECKS!$A$2:$A$1201,$H103))</f>
        <v/>
      </c>
      <c r="C103" s="11" t="str">
        <f aca="false">IF($H103="","",INDEX(DECKS!$B$2:$B$1201,$H103))</f>
        <v/>
      </c>
      <c r="D103" s="11" t="str">
        <f aca="false">IF($H103="","",INDEX(DECKS!$C$2:$C$1201,$H103))</f>
        <v/>
      </c>
      <c r="E103" s="16" t="str">
        <f aca="false">IF($H103="","",INDEX(DECKS!$D$2:$D$1201,$H103))</f>
        <v/>
      </c>
      <c r="F103" s="16" t="str">
        <f aca="false">IF($H103="","",INDEX(DECKS!$E$2:$E$1201,$H103))</f>
        <v/>
      </c>
      <c r="G103" s="21" t="str">
        <f aca="false">IF($H103="","",INDEX(DECKS!$F$2:$F$1201,$H103))</f>
        <v/>
      </c>
      <c r="H103" s="11" t="str">
        <f aca="false">IFERROR(MATCH(ROW()-1,DECKS!$O$2:$O$1201,0),"")</f>
        <v/>
      </c>
      <c r="I103" s="11" t="str">
        <f aca="false">IF(C103="","",G103&amp;" "&amp;D103&amp;" ("&amp;C103&amp;")")</f>
        <v/>
      </c>
    </row>
    <row r="104" customFormat="false" ht="15" hidden="false" customHeight="false" outlineLevel="0" collapsed="false">
      <c r="A104" s="16"/>
      <c r="B104" s="11" t="str">
        <f aca="false">IF($H104="","",INDEX(DECKS!$A$2:$A$1201,$H104))</f>
        <v/>
      </c>
      <c r="C104" s="11" t="str">
        <f aca="false">IF($H104="","",INDEX(DECKS!$B$2:$B$1201,$H104))</f>
        <v/>
      </c>
      <c r="D104" s="11" t="str">
        <f aca="false">IF($H104="","",INDEX(DECKS!$C$2:$C$1201,$H104))</f>
        <v/>
      </c>
      <c r="E104" s="16" t="str">
        <f aca="false">IF($H104="","",INDEX(DECKS!$D$2:$D$1201,$H104))</f>
        <v/>
      </c>
      <c r="F104" s="16" t="str">
        <f aca="false">IF($H104="","",INDEX(DECKS!$E$2:$E$1201,$H104))</f>
        <v/>
      </c>
      <c r="G104" s="21" t="str">
        <f aca="false">IF($H104="","",INDEX(DECKS!$F$2:$F$1201,$H104))</f>
        <v/>
      </c>
      <c r="H104" s="11" t="str">
        <f aca="false">IFERROR(MATCH(ROW()-1,DECKS!$O$2:$O$1201,0),"")</f>
        <v/>
      </c>
      <c r="I104" s="11" t="str">
        <f aca="false">IF(C104="","",G104&amp;" "&amp;D104&amp;" ("&amp;C104&amp;")")</f>
        <v/>
      </c>
    </row>
    <row r="105" customFormat="false" ht="15" hidden="false" customHeight="false" outlineLevel="0" collapsed="false">
      <c r="A105" s="16"/>
      <c r="B105" s="11" t="str">
        <f aca="false">IF($H105="","",INDEX(DECKS!$A$2:$A$1201,$H105))</f>
        <v/>
      </c>
      <c r="C105" s="11" t="str">
        <f aca="false">IF($H105="","",INDEX(DECKS!$B$2:$B$1201,$H105))</f>
        <v/>
      </c>
      <c r="D105" s="11" t="str">
        <f aca="false">IF($H105="","",INDEX(DECKS!$C$2:$C$1201,$H105))</f>
        <v/>
      </c>
      <c r="E105" s="16" t="str">
        <f aca="false">IF($H105="","",INDEX(DECKS!$D$2:$D$1201,$H105))</f>
        <v/>
      </c>
      <c r="F105" s="16" t="str">
        <f aca="false">IF($H105="","",INDEX(DECKS!$E$2:$E$1201,$H105))</f>
        <v/>
      </c>
      <c r="G105" s="21" t="str">
        <f aca="false">IF($H105="","",INDEX(DECKS!$F$2:$F$1201,$H105))</f>
        <v/>
      </c>
      <c r="H105" s="11" t="str">
        <f aca="false">IFERROR(MATCH(ROW()-1,DECKS!$O$2:$O$1201,0),"")</f>
        <v/>
      </c>
      <c r="I105" s="11" t="str">
        <f aca="false">IF(C105="","",G105&amp;" "&amp;D105&amp;" ("&amp;C105&amp;")")</f>
        <v/>
      </c>
    </row>
    <row r="106" customFormat="false" ht="15" hidden="false" customHeight="false" outlineLevel="0" collapsed="false">
      <c r="A106" s="16"/>
      <c r="B106" s="11" t="str">
        <f aca="false">IF($H106="","",INDEX(DECKS!$A$2:$A$1201,$H106))</f>
        <v/>
      </c>
      <c r="C106" s="11" t="str">
        <f aca="false">IF($H106="","",INDEX(DECKS!$B$2:$B$1201,$H106))</f>
        <v/>
      </c>
      <c r="D106" s="11" t="str">
        <f aca="false">IF($H106="","",INDEX(DECKS!$C$2:$C$1201,$H106))</f>
        <v/>
      </c>
      <c r="E106" s="16" t="str">
        <f aca="false">IF($H106="","",INDEX(DECKS!$D$2:$D$1201,$H106))</f>
        <v/>
      </c>
      <c r="F106" s="16" t="str">
        <f aca="false">IF($H106="","",INDEX(DECKS!$E$2:$E$1201,$H106))</f>
        <v/>
      </c>
      <c r="G106" s="21" t="str">
        <f aca="false">IF($H106="","",INDEX(DECKS!$F$2:$F$1201,$H106))</f>
        <v/>
      </c>
      <c r="H106" s="11" t="str">
        <f aca="false">IFERROR(MATCH(ROW()-1,DECKS!$O$2:$O$1201,0),"")</f>
        <v/>
      </c>
      <c r="I106" s="11" t="str">
        <f aca="false">IF(C106="","",G106&amp;" "&amp;D106&amp;" ("&amp;C106&amp;")")</f>
        <v/>
      </c>
    </row>
    <row r="107" customFormat="false" ht="15" hidden="false" customHeight="false" outlineLevel="0" collapsed="false">
      <c r="A107" s="16"/>
      <c r="B107" s="11" t="str">
        <f aca="false">IF($H107="","",INDEX(DECKS!$A$2:$A$1201,$H107))</f>
        <v/>
      </c>
      <c r="C107" s="11" t="str">
        <f aca="false">IF($H107="","",INDEX(DECKS!$B$2:$B$1201,$H107))</f>
        <v/>
      </c>
      <c r="D107" s="11" t="str">
        <f aca="false">IF($H107="","",INDEX(DECKS!$C$2:$C$1201,$H107))</f>
        <v/>
      </c>
      <c r="E107" s="16" t="str">
        <f aca="false">IF($H107="","",INDEX(DECKS!$D$2:$D$1201,$H107))</f>
        <v/>
      </c>
      <c r="F107" s="16" t="str">
        <f aca="false">IF($H107="","",INDEX(DECKS!$E$2:$E$1201,$H107))</f>
        <v/>
      </c>
      <c r="G107" s="21" t="str">
        <f aca="false">IF($H107="","",INDEX(DECKS!$F$2:$F$1201,$H107))</f>
        <v/>
      </c>
      <c r="H107" s="11" t="str">
        <f aca="false">IFERROR(MATCH(ROW()-1,DECKS!$O$2:$O$1201,0),"")</f>
        <v/>
      </c>
      <c r="I107" s="11" t="str">
        <f aca="false">IF(C107="","",G107&amp;" "&amp;D107&amp;" ("&amp;C107&amp;")")</f>
        <v/>
      </c>
    </row>
    <row r="108" customFormat="false" ht="15" hidden="false" customHeight="false" outlineLevel="0" collapsed="false">
      <c r="A108" s="16"/>
      <c r="B108" s="11" t="str">
        <f aca="false">IF($H108="","",INDEX(DECKS!$A$2:$A$1201,$H108))</f>
        <v/>
      </c>
      <c r="C108" s="11" t="str">
        <f aca="false">IF($H108="","",INDEX(DECKS!$B$2:$B$1201,$H108))</f>
        <v/>
      </c>
      <c r="D108" s="11" t="str">
        <f aca="false">IF($H108="","",INDEX(DECKS!$C$2:$C$1201,$H108))</f>
        <v/>
      </c>
      <c r="E108" s="16" t="str">
        <f aca="false">IF($H108="","",INDEX(DECKS!$D$2:$D$1201,$H108))</f>
        <v/>
      </c>
      <c r="F108" s="16" t="str">
        <f aca="false">IF($H108="","",INDEX(DECKS!$E$2:$E$1201,$H108))</f>
        <v/>
      </c>
      <c r="G108" s="21" t="str">
        <f aca="false">IF($H108="","",INDEX(DECKS!$F$2:$F$1201,$H108))</f>
        <v/>
      </c>
      <c r="H108" s="11" t="str">
        <f aca="false">IFERROR(MATCH(ROW()-1,DECKS!$O$2:$O$1201,0),"")</f>
        <v/>
      </c>
      <c r="I108" s="11" t="str">
        <f aca="false">IF(C108="","",G108&amp;" "&amp;D108&amp;" ("&amp;C108&amp;")")</f>
        <v/>
      </c>
    </row>
    <row r="109" customFormat="false" ht="15" hidden="false" customHeight="false" outlineLevel="0" collapsed="false">
      <c r="A109" s="16"/>
      <c r="B109" s="11" t="str">
        <f aca="false">IF($H109="","",INDEX(DECKS!$A$2:$A$1201,$H109))</f>
        <v/>
      </c>
      <c r="C109" s="11" t="str">
        <f aca="false">IF($H109="","",INDEX(DECKS!$B$2:$B$1201,$H109))</f>
        <v/>
      </c>
      <c r="D109" s="11" t="str">
        <f aca="false">IF($H109="","",INDEX(DECKS!$C$2:$C$1201,$H109))</f>
        <v/>
      </c>
      <c r="E109" s="16" t="str">
        <f aca="false">IF($H109="","",INDEX(DECKS!$D$2:$D$1201,$H109))</f>
        <v/>
      </c>
      <c r="F109" s="16" t="str">
        <f aca="false">IF($H109="","",INDEX(DECKS!$E$2:$E$1201,$H109))</f>
        <v/>
      </c>
      <c r="G109" s="21" t="str">
        <f aca="false">IF($H109="","",INDEX(DECKS!$F$2:$F$1201,$H109))</f>
        <v/>
      </c>
      <c r="H109" s="11" t="str">
        <f aca="false">IFERROR(MATCH(ROW()-1,DECKS!$O$2:$O$1201,0),"")</f>
        <v/>
      </c>
      <c r="I109" s="11" t="str">
        <f aca="false">IF(C109="","",G109&amp;" "&amp;D109&amp;" ("&amp;C109&amp;")")</f>
        <v/>
      </c>
    </row>
    <row r="110" customFormat="false" ht="15" hidden="false" customHeight="false" outlineLevel="0" collapsed="false">
      <c r="A110" s="16"/>
      <c r="B110" s="11" t="str">
        <f aca="false">IF($H110="","",INDEX(DECKS!$A$2:$A$1201,$H110))</f>
        <v/>
      </c>
      <c r="C110" s="11" t="str">
        <f aca="false">IF($H110="","",INDEX(DECKS!$B$2:$B$1201,$H110))</f>
        <v/>
      </c>
      <c r="D110" s="11" t="str">
        <f aca="false">IF($H110="","",INDEX(DECKS!$C$2:$C$1201,$H110))</f>
        <v/>
      </c>
      <c r="E110" s="16" t="str">
        <f aca="false">IF($H110="","",INDEX(DECKS!$D$2:$D$1201,$H110))</f>
        <v/>
      </c>
      <c r="F110" s="16" t="str">
        <f aca="false">IF($H110="","",INDEX(DECKS!$E$2:$E$1201,$H110))</f>
        <v/>
      </c>
      <c r="G110" s="21" t="str">
        <f aca="false">IF($H110="","",INDEX(DECKS!$F$2:$F$1201,$H110))</f>
        <v/>
      </c>
      <c r="H110" s="11" t="str">
        <f aca="false">IFERROR(MATCH(ROW()-1,DECKS!$O$2:$O$1201,0),"")</f>
        <v/>
      </c>
      <c r="I110" s="11" t="str">
        <f aca="false">IF(C110="","",G110&amp;" "&amp;D110&amp;" ("&amp;C110&amp;")")</f>
        <v/>
      </c>
    </row>
    <row r="111" customFormat="false" ht="15" hidden="false" customHeight="false" outlineLevel="0" collapsed="false">
      <c r="A111" s="16"/>
      <c r="B111" s="11" t="str">
        <f aca="false">IF($H111="","",INDEX(DECKS!$A$2:$A$1201,$H111))</f>
        <v/>
      </c>
      <c r="C111" s="11" t="str">
        <f aca="false">IF($H111="","",INDEX(DECKS!$B$2:$B$1201,$H111))</f>
        <v/>
      </c>
      <c r="D111" s="11" t="str">
        <f aca="false">IF($H111="","",INDEX(DECKS!$C$2:$C$1201,$H111))</f>
        <v/>
      </c>
      <c r="E111" s="16" t="str">
        <f aca="false">IF($H111="","",INDEX(DECKS!$D$2:$D$1201,$H111))</f>
        <v/>
      </c>
      <c r="F111" s="16" t="str">
        <f aca="false">IF($H111="","",INDEX(DECKS!$E$2:$E$1201,$H111))</f>
        <v/>
      </c>
      <c r="G111" s="21" t="str">
        <f aca="false">IF($H111="","",INDEX(DECKS!$F$2:$F$1201,$H111))</f>
        <v/>
      </c>
      <c r="H111" s="11" t="str">
        <f aca="false">IFERROR(MATCH(ROW()-1,DECKS!$O$2:$O$1201,0),"")</f>
        <v/>
      </c>
      <c r="I111" s="11" t="str">
        <f aca="false">IF(C111="","",G111&amp;" "&amp;D111&amp;" ("&amp;C111&amp;")")</f>
        <v/>
      </c>
    </row>
    <row r="112" customFormat="false" ht="15" hidden="false" customHeight="false" outlineLevel="0" collapsed="false">
      <c r="A112" s="16"/>
      <c r="B112" s="11" t="str">
        <f aca="false">IF($H112="","",INDEX(DECKS!$A$2:$A$1201,$H112))</f>
        <v/>
      </c>
      <c r="C112" s="11" t="str">
        <f aca="false">IF($H112="","",INDEX(DECKS!$B$2:$B$1201,$H112))</f>
        <v/>
      </c>
      <c r="D112" s="11" t="str">
        <f aca="false">IF($H112="","",INDEX(DECKS!$C$2:$C$1201,$H112))</f>
        <v/>
      </c>
      <c r="E112" s="16" t="str">
        <f aca="false">IF($H112="","",INDEX(DECKS!$D$2:$D$1201,$H112))</f>
        <v/>
      </c>
      <c r="F112" s="16" t="str">
        <f aca="false">IF($H112="","",INDEX(DECKS!$E$2:$E$1201,$H112))</f>
        <v/>
      </c>
      <c r="G112" s="21" t="str">
        <f aca="false">IF($H112="","",INDEX(DECKS!$F$2:$F$1201,$H112))</f>
        <v/>
      </c>
      <c r="H112" s="11" t="str">
        <f aca="false">IFERROR(MATCH(ROW()-1,DECKS!$O$2:$O$1201,0),"")</f>
        <v/>
      </c>
      <c r="I112" s="11" t="str">
        <f aca="false">IF(C112="","",G112&amp;" "&amp;D112&amp;" ("&amp;C112&amp;")")</f>
        <v/>
      </c>
    </row>
    <row r="113" customFormat="false" ht="15" hidden="false" customHeight="false" outlineLevel="0" collapsed="false">
      <c r="A113" s="16"/>
      <c r="B113" s="11" t="str">
        <f aca="false">IF($H113="","",INDEX(DECKS!$A$2:$A$1201,$H113))</f>
        <v/>
      </c>
      <c r="C113" s="11" t="str">
        <f aca="false">IF($H113="","",INDEX(DECKS!$B$2:$B$1201,$H113))</f>
        <v/>
      </c>
      <c r="D113" s="11" t="str">
        <f aca="false">IF($H113="","",INDEX(DECKS!$C$2:$C$1201,$H113))</f>
        <v/>
      </c>
      <c r="E113" s="16" t="str">
        <f aca="false">IF($H113="","",INDEX(DECKS!$D$2:$D$1201,$H113))</f>
        <v/>
      </c>
      <c r="F113" s="16" t="str">
        <f aca="false">IF($H113="","",INDEX(DECKS!$E$2:$E$1201,$H113))</f>
        <v/>
      </c>
      <c r="G113" s="21" t="str">
        <f aca="false">IF($H113="","",INDEX(DECKS!$F$2:$F$1201,$H113))</f>
        <v/>
      </c>
      <c r="H113" s="11" t="str">
        <f aca="false">IFERROR(MATCH(ROW()-1,DECKS!$O$2:$O$1201,0),"")</f>
        <v/>
      </c>
      <c r="I113" s="11" t="str">
        <f aca="false">IF(C113="","",G113&amp;" "&amp;D113&amp;" ("&amp;C113&amp;")")</f>
        <v/>
      </c>
    </row>
    <row r="114" customFormat="false" ht="15" hidden="false" customHeight="false" outlineLevel="0" collapsed="false">
      <c r="A114" s="16"/>
      <c r="B114" s="11" t="str">
        <f aca="false">IF($H114="","",INDEX(DECKS!$A$2:$A$1201,$H114))</f>
        <v/>
      </c>
      <c r="C114" s="11" t="str">
        <f aca="false">IF($H114="","",INDEX(DECKS!$B$2:$B$1201,$H114))</f>
        <v/>
      </c>
      <c r="D114" s="11" t="str">
        <f aca="false">IF($H114="","",INDEX(DECKS!$C$2:$C$1201,$H114))</f>
        <v/>
      </c>
      <c r="E114" s="16" t="str">
        <f aca="false">IF($H114="","",INDEX(DECKS!$D$2:$D$1201,$H114))</f>
        <v/>
      </c>
      <c r="F114" s="16" t="str">
        <f aca="false">IF($H114="","",INDEX(DECKS!$E$2:$E$1201,$H114))</f>
        <v/>
      </c>
      <c r="G114" s="21" t="str">
        <f aca="false">IF($H114="","",INDEX(DECKS!$F$2:$F$1201,$H114))</f>
        <v/>
      </c>
      <c r="H114" s="11" t="str">
        <f aca="false">IFERROR(MATCH(ROW()-1,DECKS!$O$2:$O$1201,0),"")</f>
        <v/>
      </c>
      <c r="I114" s="11" t="str">
        <f aca="false">IF(C114="","",G114&amp;" "&amp;D114&amp;" ("&amp;C114&amp;")")</f>
        <v/>
      </c>
    </row>
    <row r="115" customFormat="false" ht="15" hidden="false" customHeight="false" outlineLevel="0" collapsed="false">
      <c r="A115" s="16"/>
      <c r="B115" s="11" t="str">
        <f aca="false">IF($H115="","",INDEX(DECKS!$A$2:$A$1201,$H115))</f>
        <v/>
      </c>
      <c r="C115" s="11" t="str">
        <f aca="false">IF($H115="","",INDEX(DECKS!$B$2:$B$1201,$H115))</f>
        <v/>
      </c>
      <c r="D115" s="11" t="str">
        <f aca="false">IF($H115="","",INDEX(DECKS!$C$2:$C$1201,$H115))</f>
        <v/>
      </c>
      <c r="E115" s="16" t="str">
        <f aca="false">IF($H115="","",INDEX(DECKS!$D$2:$D$1201,$H115))</f>
        <v/>
      </c>
      <c r="F115" s="16" t="str">
        <f aca="false">IF($H115="","",INDEX(DECKS!$E$2:$E$1201,$H115))</f>
        <v/>
      </c>
      <c r="G115" s="21" t="str">
        <f aca="false">IF($H115="","",INDEX(DECKS!$F$2:$F$1201,$H115))</f>
        <v/>
      </c>
      <c r="H115" s="11" t="str">
        <f aca="false">IFERROR(MATCH(ROW()-1,DECKS!$O$2:$O$1201,0),"")</f>
        <v/>
      </c>
      <c r="I115" s="11" t="str">
        <f aca="false">IF(C115="","",G115&amp;" "&amp;D115&amp;" ("&amp;C115&amp;")")</f>
        <v/>
      </c>
    </row>
    <row r="116" customFormat="false" ht="15" hidden="false" customHeight="false" outlineLevel="0" collapsed="false">
      <c r="A116" s="16"/>
      <c r="B116" s="11" t="str">
        <f aca="false">IF($H116="","",INDEX(DECKS!$A$2:$A$1201,$H116))</f>
        <v/>
      </c>
      <c r="C116" s="11" t="str">
        <f aca="false">IF($H116="","",INDEX(DECKS!$B$2:$B$1201,$H116))</f>
        <v/>
      </c>
      <c r="D116" s="11" t="str">
        <f aca="false">IF($H116="","",INDEX(DECKS!$C$2:$C$1201,$H116))</f>
        <v/>
      </c>
      <c r="E116" s="16" t="str">
        <f aca="false">IF($H116="","",INDEX(DECKS!$D$2:$D$1201,$H116))</f>
        <v/>
      </c>
      <c r="F116" s="16" t="str">
        <f aca="false">IF($H116="","",INDEX(DECKS!$E$2:$E$1201,$H116))</f>
        <v/>
      </c>
      <c r="G116" s="21" t="str">
        <f aca="false">IF($H116="","",INDEX(DECKS!$F$2:$F$1201,$H116))</f>
        <v/>
      </c>
      <c r="H116" s="11" t="str">
        <f aca="false">IFERROR(MATCH(ROW()-1,DECKS!$O$2:$O$1201,0),"")</f>
        <v/>
      </c>
      <c r="I116" s="11" t="str">
        <f aca="false">IF(C116="","",G116&amp;" "&amp;D116&amp;" ("&amp;C116&amp;")")</f>
        <v/>
      </c>
    </row>
    <row r="117" customFormat="false" ht="15" hidden="false" customHeight="false" outlineLevel="0" collapsed="false">
      <c r="A117" s="16"/>
      <c r="B117" s="11" t="str">
        <f aca="false">IF($H117="","",INDEX(DECKS!$A$2:$A$1201,$H117))</f>
        <v/>
      </c>
      <c r="C117" s="11" t="str">
        <f aca="false">IF($H117="","",INDEX(DECKS!$B$2:$B$1201,$H117))</f>
        <v/>
      </c>
      <c r="D117" s="11" t="str">
        <f aca="false">IF($H117="","",INDEX(DECKS!$C$2:$C$1201,$H117))</f>
        <v/>
      </c>
      <c r="E117" s="16" t="str">
        <f aca="false">IF($H117="","",INDEX(DECKS!$D$2:$D$1201,$H117))</f>
        <v/>
      </c>
      <c r="F117" s="16" t="str">
        <f aca="false">IF($H117="","",INDEX(DECKS!$E$2:$E$1201,$H117))</f>
        <v/>
      </c>
      <c r="G117" s="21" t="str">
        <f aca="false">IF($H117="","",INDEX(DECKS!$F$2:$F$1201,$H117))</f>
        <v/>
      </c>
      <c r="H117" s="11" t="str">
        <f aca="false">IFERROR(MATCH(ROW()-1,DECKS!$O$2:$O$1201,0),"")</f>
        <v/>
      </c>
      <c r="I117" s="11" t="str">
        <f aca="false">IF(C117="","",G117&amp;" "&amp;D117&amp;" ("&amp;C117&amp;")")</f>
        <v/>
      </c>
    </row>
    <row r="118" customFormat="false" ht="15" hidden="false" customHeight="false" outlineLevel="0" collapsed="false">
      <c r="A118" s="16"/>
      <c r="B118" s="11" t="str">
        <f aca="false">IF($H118="","",INDEX(DECKS!$A$2:$A$1201,$H118))</f>
        <v/>
      </c>
      <c r="C118" s="11" t="str">
        <f aca="false">IF($H118="","",INDEX(DECKS!$B$2:$B$1201,$H118))</f>
        <v/>
      </c>
      <c r="D118" s="11" t="str">
        <f aca="false">IF($H118="","",INDEX(DECKS!$C$2:$C$1201,$H118))</f>
        <v/>
      </c>
      <c r="E118" s="16" t="str">
        <f aca="false">IF($H118="","",INDEX(DECKS!$D$2:$D$1201,$H118))</f>
        <v/>
      </c>
      <c r="F118" s="16" t="str">
        <f aca="false">IF($H118="","",INDEX(DECKS!$E$2:$E$1201,$H118))</f>
        <v/>
      </c>
      <c r="G118" s="21" t="str">
        <f aca="false">IF($H118="","",INDEX(DECKS!$F$2:$F$1201,$H118))</f>
        <v/>
      </c>
      <c r="H118" s="11" t="str">
        <f aca="false">IFERROR(MATCH(ROW()-1,DECKS!$O$2:$O$1201,0),"")</f>
        <v/>
      </c>
      <c r="I118" s="11" t="str">
        <f aca="false">IF(C118="","",G118&amp;" "&amp;D118&amp;" ("&amp;C118&amp;")")</f>
        <v/>
      </c>
    </row>
    <row r="119" customFormat="false" ht="15" hidden="false" customHeight="false" outlineLevel="0" collapsed="false">
      <c r="A119" s="16"/>
      <c r="B119" s="11" t="str">
        <f aca="false">IF($H119="","",INDEX(DECKS!$A$2:$A$1201,$H119))</f>
        <v/>
      </c>
      <c r="C119" s="11" t="str">
        <f aca="false">IF($H119="","",INDEX(DECKS!$B$2:$B$1201,$H119))</f>
        <v/>
      </c>
      <c r="D119" s="11" t="str">
        <f aca="false">IF($H119="","",INDEX(DECKS!$C$2:$C$1201,$H119))</f>
        <v/>
      </c>
      <c r="E119" s="16" t="str">
        <f aca="false">IF($H119="","",INDEX(DECKS!$D$2:$D$1201,$H119))</f>
        <v/>
      </c>
      <c r="F119" s="16" t="str">
        <f aca="false">IF($H119="","",INDEX(DECKS!$E$2:$E$1201,$H119))</f>
        <v/>
      </c>
      <c r="G119" s="21" t="str">
        <f aca="false">IF($H119="","",INDEX(DECKS!$F$2:$F$1201,$H119))</f>
        <v/>
      </c>
      <c r="H119" s="11" t="str">
        <f aca="false">IFERROR(MATCH(ROW()-1,DECKS!$O$2:$O$1201,0),"")</f>
        <v/>
      </c>
      <c r="I119" s="11" t="str">
        <f aca="false">IF(C119="","",G119&amp;" "&amp;D119&amp;" ("&amp;C119&amp;")")</f>
        <v/>
      </c>
    </row>
    <row r="120" customFormat="false" ht="15" hidden="false" customHeight="false" outlineLevel="0" collapsed="false">
      <c r="A120" s="16"/>
      <c r="B120" s="11" t="str">
        <f aca="false">IF($H120="","",INDEX(DECKS!$A$2:$A$1201,$H120))</f>
        <v/>
      </c>
      <c r="C120" s="11" t="str">
        <f aca="false">IF($H120="","",INDEX(DECKS!$B$2:$B$1201,$H120))</f>
        <v/>
      </c>
      <c r="D120" s="11" t="str">
        <f aca="false">IF($H120="","",INDEX(DECKS!$C$2:$C$1201,$H120))</f>
        <v/>
      </c>
      <c r="E120" s="16" t="str">
        <f aca="false">IF($H120="","",INDEX(DECKS!$D$2:$D$1201,$H120))</f>
        <v/>
      </c>
      <c r="F120" s="16" t="str">
        <f aca="false">IF($H120="","",INDEX(DECKS!$E$2:$E$1201,$H120))</f>
        <v/>
      </c>
      <c r="G120" s="21" t="str">
        <f aca="false">IF($H120="","",INDEX(DECKS!$F$2:$F$1201,$H120))</f>
        <v/>
      </c>
      <c r="H120" s="11" t="str">
        <f aca="false">IFERROR(MATCH(ROW()-1,DECKS!$O$2:$O$1201,0),"")</f>
        <v/>
      </c>
      <c r="I120" s="11" t="str">
        <f aca="false">IF(C120="","",G120&amp;" "&amp;D120&amp;" ("&amp;C120&amp;")")</f>
        <v/>
      </c>
    </row>
    <row r="121" customFormat="false" ht="15" hidden="false" customHeight="false" outlineLevel="0" collapsed="false">
      <c r="A121" s="16"/>
      <c r="B121" s="11" t="str">
        <f aca="false">IF($H121="","",INDEX(DECKS!$A$2:$A$1201,$H121))</f>
        <v/>
      </c>
      <c r="C121" s="11" t="str">
        <f aca="false">IF($H121="","",INDEX(DECKS!$B$2:$B$1201,$H121))</f>
        <v/>
      </c>
      <c r="D121" s="11" t="str">
        <f aca="false">IF($H121="","",INDEX(DECKS!$C$2:$C$1201,$H121))</f>
        <v/>
      </c>
      <c r="E121" s="16" t="str">
        <f aca="false">IF($H121="","",INDEX(DECKS!$D$2:$D$1201,$H121))</f>
        <v/>
      </c>
      <c r="F121" s="16" t="str">
        <f aca="false">IF($H121="","",INDEX(DECKS!$E$2:$E$1201,$H121))</f>
        <v/>
      </c>
      <c r="G121" s="21" t="str">
        <f aca="false">IF($H121="","",INDEX(DECKS!$F$2:$F$1201,$H121))</f>
        <v/>
      </c>
      <c r="H121" s="11" t="str">
        <f aca="false">IFERROR(MATCH(ROW()-1,DECKS!$O$2:$O$1201,0),"")</f>
        <v/>
      </c>
      <c r="I121" s="11" t="str">
        <f aca="false">IF(C121="","",G121&amp;" "&amp;D121&amp;" ("&amp;C121&amp;")")</f>
        <v/>
      </c>
    </row>
    <row r="122" customFormat="false" ht="15" hidden="false" customHeight="false" outlineLevel="0" collapsed="false">
      <c r="A122" s="16"/>
      <c r="B122" s="11" t="str">
        <f aca="false">IF($H122="","",INDEX(DECKS!$A$2:$A$1201,$H122))</f>
        <v/>
      </c>
      <c r="C122" s="11" t="str">
        <f aca="false">IF($H122="","",INDEX(DECKS!$B$2:$B$1201,$H122))</f>
        <v/>
      </c>
      <c r="D122" s="11" t="str">
        <f aca="false">IF($H122="","",INDEX(DECKS!$C$2:$C$1201,$H122))</f>
        <v/>
      </c>
      <c r="E122" s="16" t="str">
        <f aca="false">IF($H122="","",INDEX(DECKS!$D$2:$D$1201,$H122))</f>
        <v/>
      </c>
      <c r="F122" s="16" t="str">
        <f aca="false">IF($H122="","",INDEX(DECKS!$E$2:$E$1201,$H122))</f>
        <v/>
      </c>
      <c r="G122" s="21" t="str">
        <f aca="false">IF($H122="","",INDEX(DECKS!$F$2:$F$1201,$H122))</f>
        <v/>
      </c>
      <c r="H122" s="11" t="str">
        <f aca="false">IFERROR(MATCH(ROW()-1,DECKS!$O$2:$O$1201,0),"")</f>
        <v/>
      </c>
      <c r="I122" s="11" t="str">
        <f aca="false">IF(C122="","",G122&amp;" "&amp;D122&amp;" ("&amp;C122&amp;")")</f>
        <v/>
      </c>
    </row>
    <row r="123" customFormat="false" ht="15" hidden="false" customHeight="false" outlineLevel="0" collapsed="false">
      <c r="A123" s="16"/>
      <c r="B123" s="11" t="str">
        <f aca="false">IF($H123="","",INDEX(DECKS!$A$2:$A$1201,$H123))</f>
        <v/>
      </c>
      <c r="C123" s="11" t="str">
        <f aca="false">IF($H123="","",INDEX(DECKS!$B$2:$B$1201,$H123))</f>
        <v/>
      </c>
      <c r="D123" s="11" t="str">
        <f aca="false">IF($H123="","",INDEX(DECKS!$C$2:$C$1201,$H123))</f>
        <v/>
      </c>
      <c r="E123" s="16" t="str">
        <f aca="false">IF($H123="","",INDEX(DECKS!$D$2:$D$1201,$H123))</f>
        <v/>
      </c>
      <c r="F123" s="16" t="str">
        <f aca="false">IF($H123="","",INDEX(DECKS!$E$2:$E$1201,$H123))</f>
        <v/>
      </c>
      <c r="G123" s="21" t="str">
        <f aca="false">IF($H123="","",INDEX(DECKS!$F$2:$F$1201,$H123))</f>
        <v/>
      </c>
      <c r="H123" s="11" t="str">
        <f aca="false">IFERROR(MATCH(ROW()-1,DECKS!$O$2:$O$1201,0),"")</f>
        <v/>
      </c>
      <c r="I123" s="11" t="str">
        <f aca="false">IF(C123="","",G123&amp;" "&amp;D123&amp;" ("&amp;C123&amp;")")</f>
        <v/>
      </c>
    </row>
    <row r="124" customFormat="false" ht="15" hidden="false" customHeight="false" outlineLevel="0" collapsed="false">
      <c r="A124" s="16"/>
      <c r="B124" s="11" t="str">
        <f aca="false">IF($H124="","",INDEX(DECKS!$A$2:$A$1201,$H124))</f>
        <v/>
      </c>
      <c r="C124" s="11" t="str">
        <f aca="false">IF($H124="","",INDEX(DECKS!$B$2:$B$1201,$H124))</f>
        <v/>
      </c>
      <c r="D124" s="11" t="str">
        <f aca="false">IF($H124="","",INDEX(DECKS!$C$2:$C$1201,$H124))</f>
        <v/>
      </c>
      <c r="E124" s="16" t="str">
        <f aca="false">IF($H124="","",INDEX(DECKS!$D$2:$D$1201,$H124))</f>
        <v/>
      </c>
      <c r="F124" s="16" t="str">
        <f aca="false">IF($H124="","",INDEX(DECKS!$E$2:$E$1201,$H124))</f>
        <v/>
      </c>
      <c r="G124" s="21" t="str">
        <f aca="false">IF($H124="","",INDEX(DECKS!$F$2:$F$1201,$H124))</f>
        <v/>
      </c>
      <c r="H124" s="11" t="str">
        <f aca="false">IFERROR(MATCH(ROW()-1,DECKS!$O$2:$O$1201,0),"")</f>
        <v/>
      </c>
      <c r="I124" s="11" t="str">
        <f aca="false">IF(C124="","",G124&amp;" "&amp;D124&amp;" ("&amp;C124&amp;")")</f>
        <v/>
      </c>
    </row>
    <row r="125" customFormat="false" ht="15" hidden="false" customHeight="false" outlineLevel="0" collapsed="false">
      <c r="A125" s="16"/>
      <c r="B125" s="11" t="str">
        <f aca="false">IF($H125="","",INDEX(DECKS!$A$2:$A$1201,$H125))</f>
        <v/>
      </c>
      <c r="C125" s="11" t="str">
        <f aca="false">IF($H125="","",INDEX(DECKS!$B$2:$B$1201,$H125))</f>
        <v/>
      </c>
      <c r="D125" s="11" t="str">
        <f aca="false">IF($H125="","",INDEX(DECKS!$C$2:$C$1201,$H125))</f>
        <v/>
      </c>
      <c r="E125" s="16" t="str">
        <f aca="false">IF($H125="","",INDEX(DECKS!$D$2:$D$1201,$H125))</f>
        <v/>
      </c>
      <c r="F125" s="16" t="str">
        <f aca="false">IF($H125="","",INDEX(DECKS!$E$2:$E$1201,$H125))</f>
        <v/>
      </c>
      <c r="G125" s="21" t="str">
        <f aca="false">IF($H125="","",INDEX(DECKS!$F$2:$F$1201,$H125))</f>
        <v/>
      </c>
      <c r="H125" s="11" t="str">
        <f aca="false">IFERROR(MATCH(ROW()-1,DECKS!$O$2:$O$1201,0),"")</f>
        <v/>
      </c>
      <c r="I125" s="11" t="str">
        <f aca="false">IF(C125="","",G125&amp;" "&amp;D125&amp;" ("&amp;C125&amp;")")</f>
        <v/>
      </c>
    </row>
    <row r="126" customFormat="false" ht="15" hidden="false" customHeight="false" outlineLevel="0" collapsed="false">
      <c r="A126" s="16"/>
      <c r="B126" s="11" t="str">
        <f aca="false">IF($H126="","",INDEX(DECKS!$A$2:$A$1201,$H126))</f>
        <v/>
      </c>
      <c r="C126" s="11" t="str">
        <f aca="false">IF($H126="","",INDEX(DECKS!$B$2:$B$1201,$H126))</f>
        <v/>
      </c>
      <c r="D126" s="11" t="str">
        <f aca="false">IF($H126="","",INDEX(DECKS!$C$2:$C$1201,$H126))</f>
        <v/>
      </c>
      <c r="E126" s="16" t="str">
        <f aca="false">IF($H126="","",INDEX(DECKS!$D$2:$D$1201,$H126))</f>
        <v/>
      </c>
      <c r="F126" s="16" t="str">
        <f aca="false">IF($H126="","",INDEX(DECKS!$E$2:$E$1201,$H126))</f>
        <v/>
      </c>
      <c r="G126" s="21" t="str">
        <f aca="false">IF($H126="","",INDEX(DECKS!$F$2:$F$1201,$H126))</f>
        <v/>
      </c>
      <c r="H126" s="11" t="str">
        <f aca="false">IFERROR(MATCH(ROW()-1,DECKS!$O$2:$O$1201,0),"")</f>
        <v/>
      </c>
      <c r="I126" s="11" t="str">
        <f aca="false">IF(C126="","",G126&amp;" "&amp;D126&amp;" ("&amp;C126&amp;")")</f>
        <v/>
      </c>
    </row>
    <row r="127" customFormat="false" ht="15" hidden="false" customHeight="false" outlineLevel="0" collapsed="false">
      <c r="A127" s="16"/>
      <c r="B127" s="11" t="str">
        <f aca="false">IF($H127="","",INDEX(DECKS!$A$2:$A$1201,$H127))</f>
        <v/>
      </c>
      <c r="C127" s="11" t="str">
        <f aca="false">IF($H127="","",INDEX(DECKS!$B$2:$B$1201,$H127))</f>
        <v/>
      </c>
      <c r="D127" s="11" t="str">
        <f aca="false">IF($H127="","",INDEX(DECKS!$C$2:$C$1201,$H127))</f>
        <v/>
      </c>
      <c r="E127" s="16" t="str">
        <f aca="false">IF($H127="","",INDEX(DECKS!$D$2:$D$1201,$H127))</f>
        <v/>
      </c>
      <c r="F127" s="16" t="str">
        <f aca="false">IF($H127="","",INDEX(DECKS!$E$2:$E$1201,$H127))</f>
        <v/>
      </c>
      <c r="G127" s="21" t="str">
        <f aca="false">IF($H127="","",INDEX(DECKS!$F$2:$F$1201,$H127))</f>
        <v/>
      </c>
      <c r="H127" s="11" t="str">
        <f aca="false">IFERROR(MATCH(ROW()-1,DECKS!$O$2:$O$1201,0),"")</f>
        <v/>
      </c>
      <c r="I127" s="11" t="str">
        <f aca="false">IF(C127="","",G127&amp;" "&amp;D127&amp;" ("&amp;C127&amp;")")</f>
        <v/>
      </c>
    </row>
    <row r="128" customFormat="false" ht="15" hidden="false" customHeight="false" outlineLevel="0" collapsed="false">
      <c r="A128" s="16"/>
      <c r="B128" s="11" t="str">
        <f aca="false">IF($H128="","",INDEX(DECKS!$A$2:$A$1201,$H128))</f>
        <v/>
      </c>
      <c r="C128" s="11" t="str">
        <f aca="false">IF($H128="","",INDEX(DECKS!$B$2:$B$1201,$H128))</f>
        <v/>
      </c>
      <c r="D128" s="11" t="str">
        <f aca="false">IF($H128="","",INDEX(DECKS!$C$2:$C$1201,$H128))</f>
        <v/>
      </c>
      <c r="E128" s="16" t="str">
        <f aca="false">IF($H128="","",INDEX(DECKS!$D$2:$D$1201,$H128))</f>
        <v/>
      </c>
      <c r="F128" s="16" t="str">
        <f aca="false">IF($H128="","",INDEX(DECKS!$E$2:$E$1201,$H128))</f>
        <v/>
      </c>
      <c r="G128" s="21" t="str">
        <f aca="false">IF($H128="","",INDEX(DECKS!$F$2:$F$1201,$H128))</f>
        <v/>
      </c>
      <c r="H128" s="11" t="str">
        <f aca="false">IFERROR(MATCH(ROW()-1,DECKS!$O$2:$O$1201,0),"")</f>
        <v/>
      </c>
      <c r="I128" s="11" t="str">
        <f aca="false">IF(C128="","",G128&amp;" "&amp;D128&amp;" ("&amp;C128&amp;")")</f>
        <v/>
      </c>
    </row>
    <row r="129" customFormat="false" ht="15" hidden="false" customHeight="false" outlineLevel="0" collapsed="false">
      <c r="A129" s="16"/>
      <c r="B129" s="11" t="str">
        <f aca="false">IF($H129="","",INDEX(DECKS!$A$2:$A$1201,$H129))</f>
        <v/>
      </c>
      <c r="C129" s="11" t="str">
        <f aca="false">IF($H129="","",INDEX(DECKS!$B$2:$B$1201,$H129))</f>
        <v/>
      </c>
      <c r="D129" s="11" t="str">
        <f aca="false">IF($H129="","",INDEX(DECKS!$C$2:$C$1201,$H129))</f>
        <v/>
      </c>
      <c r="E129" s="16" t="str">
        <f aca="false">IF($H129="","",INDEX(DECKS!$D$2:$D$1201,$H129))</f>
        <v/>
      </c>
      <c r="F129" s="16" t="str">
        <f aca="false">IF($H129="","",INDEX(DECKS!$E$2:$E$1201,$H129))</f>
        <v/>
      </c>
      <c r="G129" s="21" t="str">
        <f aca="false">IF($H129="","",INDEX(DECKS!$F$2:$F$1201,$H129))</f>
        <v/>
      </c>
      <c r="H129" s="11" t="str">
        <f aca="false">IFERROR(MATCH(ROW()-1,DECKS!$O$2:$O$1201,0),"")</f>
        <v/>
      </c>
      <c r="I129" s="11" t="str">
        <f aca="false">IF(C129="","",G129&amp;" "&amp;D129&amp;" ("&amp;C129&amp;")")</f>
        <v/>
      </c>
    </row>
    <row r="130" customFormat="false" ht="15" hidden="false" customHeight="false" outlineLevel="0" collapsed="false">
      <c r="A130" s="16"/>
      <c r="B130" s="11" t="str">
        <f aca="false">IF($H130="","",INDEX(DECKS!$A$2:$A$1201,$H130))</f>
        <v/>
      </c>
      <c r="C130" s="11" t="str">
        <f aca="false">IF($H130="","",INDEX(DECKS!$B$2:$B$1201,$H130))</f>
        <v/>
      </c>
      <c r="D130" s="11" t="str">
        <f aca="false">IF($H130="","",INDEX(DECKS!$C$2:$C$1201,$H130))</f>
        <v/>
      </c>
      <c r="E130" s="16" t="str">
        <f aca="false">IF($H130="","",INDEX(DECKS!$D$2:$D$1201,$H130))</f>
        <v/>
      </c>
      <c r="F130" s="16" t="str">
        <f aca="false">IF($H130="","",INDEX(DECKS!$E$2:$E$1201,$H130))</f>
        <v/>
      </c>
      <c r="G130" s="21" t="str">
        <f aca="false">IF($H130="","",INDEX(DECKS!$F$2:$F$1201,$H130))</f>
        <v/>
      </c>
      <c r="H130" s="11" t="str">
        <f aca="false">IFERROR(MATCH(ROW()-1,DECKS!$O$2:$O$1201,0),"")</f>
        <v/>
      </c>
      <c r="I130" s="11" t="str">
        <f aca="false">IF(C130="","",G130&amp;" "&amp;D130&amp;" ("&amp;C130&amp;")")</f>
        <v/>
      </c>
    </row>
    <row r="131" customFormat="false" ht="15" hidden="false" customHeight="false" outlineLevel="0" collapsed="false">
      <c r="A131" s="16"/>
      <c r="B131" s="11" t="str">
        <f aca="false">IF($H131="","",INDEX(DECKS!$A$2:$A$1201,$H131))</f>
        <v/>
      </c>
      <c r="C131" s="11" t="str">
        <f aca="false">IF($H131="","",INDEX(DECKS!$B$2:$B$1201,$H131))</f>
        <v/>
      </c>
      <c r="D131" s="11" t="str">
        <f aca="false">IF($H131="","",INDEX(DECKS!$C$2:$C$1201,$H131))</f>
        <v/>
      </c>
      <c r="E131" s="16" t="str">
        <f aca="false">IF($H131="","",INDEX(DECKS!$D$2:$D$1201,$H131))</f>
        <v/>
      </c>
      <c r="F131" s="16" t="str">
        <f aca="false">IF($H131="","",INDEX(DECKS!$E$2:$E$1201,$H131))</f>
        <v/>
      </c>
      <c r="G131" s="21" t="str">
        <f aca="false">IF($H131="","",INDEX(DECKS!$F$2:$F$1201,$H131))</f>
        <v/>
      </c>
      <c r="H131" s="11" t="str">
        <f aca="false">IFERROR(MATCH(ROW()-1,DECKS!$O$2:$O$1201,0),"")</f>
        <v/>
      </c>
      <c r="I131" s="11" t="str">
        <f aca="false">IF(C131="","",G131&amp;" "&amp;D131&amp;" ("&amp;C131&amp;")")</f>
        <v/>
      </c>
    </row>
    <row r="132" customFormat="false" ht="15" hidden="false" customHeight="false" outlineLevel="0" collapsed="false">
      <c r="A132" s="16"/>
      <c r="B132" s="11" t="str">
        <f aca="false">IF($H132="","",INDEX(DECKS!$A$2:$A$1201,$H132))</f>
        <v/>
      </c>
      <c r="C132" s="11" t="str">
        <f aca="false">IF($H132="","",INDEX(DECKS!$B$2:$B$1201,$H132))</f>
        <v/>
      </c>
      <c r="D132" s="11" t="str">
        <f aca="false">IF($H132="","",INDEX(DECKS!$C$2:$C$1201,$H132))</f>
        <v/>
      </c>
      <c r="E132" s="16" t="str">
        <f aca="false">IF($H132="","",INDEX(DECKS!$D$2:$D$1201,$H132))</f>
        <v/>
      </c>
      <c r="F132" s="16" t="str">
        <f aca="false">IF($H132="","",INDEX(DECKS!$E$2:$E$1201,$H132))</f>
        <v/>
      </c>
      <c r="G132" s="21" t="str">
        <f aca="false">IF($H132="","",INDEX(DECKS!$F$2:$F$1201,$H132))</f>
        <v/>
      </c>
      <c r="H132" s="11" t="str">
        <f aca="false">IFERROR(MATCH(ROW()-1,DECKS!$O$2:$O$1201,0),"")</f>
        <v/>
      </c>
      <c r="I132" s="11" t="str">
        <f aca="false">IF(C132="","",G132&amp;" "&amp;D132&amp;" ("&amp;C132&amp;")")</f>
        <v/>
      </c>
    </row>
    <row r="133" customFormat="false" ht="15" hidden="false" customHeight="false" outlineLevel="0" collapsed="false">
      <c r="A133" s="16"/>
      <c r="B133" s="11" t="str">
        <f aca="false">IF($H133="","",INDEX(DECKS!$A$2:$A$1201,$H133))</f>
        <v/>
      </c>
      <c r="C133" s="11" t="str">
        <f aca="false">IF($H133="","",INDEX(DECKS!$B$2:$B$1201,$H133))</f>
        <v/>
      </c>
      <c r="D133" s="11" t="str">
        <f aca="false">IF($H133="","",INDEX(DECKS!$C$2:$C$1201,$H133))</f>
        <v/>
      </c>
      <c r="E133" s="16" t="str">
        <f aca="false">IF($H133="","",INDEX(DECKS!$D$2:$D$1201,$H133))</f>
        <v/>
      </c>
      <c r="F133" s="16" t="str">
        <f aca="false">IF($H133="","",INDEX(DECKS!$E$2:$E$1201,$H133))</f>
        <v/>
      </c>
      <c r="G133" s="21" t="str">
        <f aca="false">IF($H133="","",INDEX(DECKS!$F$2:$F$1201,$H133))</f>
        <v/>
      </c>
      <c r="H133" s="11" t="str">
        <f aca="false">IFERROR(MATCH(ROW()-1,DECKS!$O$2:$O$1201,0),"")</f>
        <v/>
      </c>
      <c r="I133" s="11" t="str">
        <f aca="false">IF(C133="","",G133&amp;" "&amp;D133&amp;" ("&amp;C133&amp;")")</f>
        <v/>
      </c>
    </row>
    <row r="134" customFormat="false" ht="15" hidden="false" customHeight="false" outlineLevel="0" collapsed="false">
      <c r="A134" s="16"/>
      <c r="B134" s="11" t="str">
        <f aca="false">IF($H134="","",INDEX(DECKS!$A$2:$A$1201,$H134))</f>
        <v/>
      </c>
      <c r="C134" s="11" t="str">
        <f aca="false">IF($H134="","",INDEX(DECKS!$B$2:$B$1201,$H134))</f>
        <v/>
      </c>
      <c r="D134" s="11" t="str">
        <f aca="false">IF($H134="","",INDEX(DECKS!$C$2:$C$1201,$H134))</f>
        <v/>
      </c>
      <c r="E134" s="16" t="str">
        <f aca="false">IF($H134="","",INDEX(DECKS!$D$2:$D$1201,$H134))</f>
        <v/>
      </c>
      <c r="F134" s="16" t="str">
        <f aca="false">IF($H134="","",INDEX(DECKS!$E$2:$E$1201,$H134))</f>
        <v/>
      </c>
      <c r="G134" s="21" t="str">
        <f aca="false">IF($H134="","",INDEX(DECKS!$F$2:$F$1201,$H134))</f>
        <v/>
      </c>
      <c r="H134" s="11" t="str">
        <f aca="false">IFERROR(MATCH(ROW()-1,DECKS!$O$2:$O$1201,0),"")</f>
        <v/>
      </c>
      <c r="I134" s="11" t="str">
        <f aca="false">IF(C134="","",G134&amp;" "&amp;D134&amp;" ("&amp;C134&amp;")")</f>
        <v/>
      </c>
    </row>
    <row r="135" customFormat="false" ht="15" hidden="false" customHeight="false" outlineLevel="0" collapsed="false">
      <c r="A135" s="16"/>
      <c r="B135" s="11" t="str">
        <f aca="false">IF($H135="","",INDEX(DECKS!$A$2:$A$1201,$H135))</f>
        <v/>
      </c>
      <c r="C135" s="11" t="str">
        <f aca="false">IF($H135="","",INDEX(DECKS!$B$2:$B$1201,$H135))</f>
        <v/>
      </c>
      <c r="D135" s="11" t="str">
        <f aca="false">IF($H135="","",INDEX(DECKS!$C$2:$C$1201,$H135))</f>
        <v/>
      </c>
      <c r="E135" s="16" t="str">
        <f aca="false">IF($H135="","",INDEX(DECKS!$D$2:$D$1201,$H135))</f>
        <v/>
      </c>
      <c r="F135" s="16" t="str">
        <f aca="false">IF($H135="","",INDEX(DECKS!$E$2:$E$1201,$H135))</f>
        <v/>
      </c>
      <c r="G135" s="21" t="str">
        <f aca="false">IF($H135="","",INDEX(DECKS!$F$2:$F$1201,$H135))</f>
        <v/>
      </c>
      <c r="H135" s="11" t="str">
        <f aca="false">IFERROR(MATCH(ROW()-1,DECKS!$O$2:$O$1201,0),"")</f>
        <v/>
      </c>
      <c r="I135" s="11" t="str">
        <f aca="false">IF(C135="","",G135&amp;" "&amp;D135&amp;" ("&amp;C135&amp;")")</f>
        <v/>
      </c>
    </row>
    <row r="136" customFormat="false" ht="15" hidden="false" customHeight="false" outlineLevel="0" collapsed="false">
      <c r="A136" s="16"/>
      <c r="B136" s="11" t="str">
        <f aca="false">IF($H136="","",INDEX(DECKS!$A$2:$A$1201,$H136))</f>
        <v/>
      </c>
      <c r="C136" s="11" t="str">
        <f aca="false">IF($H136="","",INDEX(DECKS!$B$2:$B$1201,$H136))</f>
        <v/>
      </c>
      <c r="D136" s="11" t="str">
        <f aca="false">IF($H136="","",INDEX(DECKS!$C$2:$C$1201,$H136))</f>
        <v/>
      </c>
      <c r="E136" s="16" t="str">
        <f aca="false">IF($H136="","",INDEX(DECKS!$D$2:$D$1201,$H136))</f>
        <v/>
      </c>
      <c r="F136" s="16" t="str">
        <f aca="false">IF($H136="","",INDEX(DECKS!$E$2:$E$1201,$H136))</f>
        <v/>
      </c>
      <c r="G136" s="21" t="str">
        <f aca="false">IF($H136="","",INDEX(DECKS!$F$2:$F$1201,$H136))</f>
        <v/>
      </c>
      <c r="H136" s="11" t="str">
        <f aca="false">IFERROR(MATCH(ROW()-1,DECKS!$O$2:$O$1201,0),"")</f>
        <v/>
      </c>
      <c r="I136" s="11" t="str">
        <f aca="false">IF(C136="","",G136&amp;" "&amp;D136&amp;" ("&amp;C136&amp;")")</f>
        <v/>
      </c>
    </row>
    <row r="137" customFormat="false" ht="15" hidden="false" customHeight="false" outlineLevel="0" collapsed="false">
      <c r="A137" s="16"/>
      <c r="B137" s="11" t="str">
        <f aca="false">IF($H137="","",INDEX(DECKS!$A$2:$A$1201,$H137))</f>
        <v/>
      </c>
      <c r="C137" s="11" t="str">
        <f aca="false">IF($H137="","",INDEX(DECKS!$B$2:$B$1201,$H137))</f>
        <v/>
      </c>
      <c r="D137" s="11" t="str">
        <f aca="false">IF($H137="","",INDEX(DECKS!$C$2:$C$1201,$H137))</f>
        <v/>
      </c>
      <c r="E137" s="16" t="str">
        <f aca="false">IF($H137="","",INDEX(DECKS!$D$2:$D$1201,$H137))</f>
        <v/>
      </c>
      <c r="F137" s="16" t="str">
        <f aca="false">IF($H137="","",INDEX(DECKS!$E$2:$E$1201,$H137))</f>
        <v/>
      </c>
      <c r="G137" s="21" t="str">
        <f aca="false">IF($H137="","",INDEX(DECKS!$F$2:$F$1201,$H137))</f>
        <v/>
      </c>
      <c r="H137" s="11" t="str">
        <f aca="false">IFERROR(MATCH(ROW()-1,DECKS!$O$2:$O$1201,0),"")</f>
        <v/>
      </c>
      <c r="I137" s="11" t="str">
        <f aca="false">IF(C137="","",G137&amp;" "&amp;D137&amp;" ("&amp;C137&amp;")")</f>
        <v/>
      </c>
    </row>
    <row r="138" customFormat="false" ht="15" hidden="false" customHeight="false" outlineLevel="0" collapsed="false">
      <c r="A138" s="16"/>
      <c r="B138" s="11" t="str">
        <f aca="false">IF($H138="","",INDEX(DECKS!$A$2:$A$1201,$H138))</f>
        <v/>
      </c>
      <c r="C138" s="11" t="str">
        <f aca="false">IF($H138="","",INDEX(DECKS!$B$2:$B$1201,$H138))</f>
        <v/>
      </c>
      <c r="D138" s="11" t="str">
        <f aca="false">IF($H138="","",INDEX(DECKS!$C$2:$C$1201,$H138))</f>
        <v/>
      </c>
      <c r="E138" s="16" t="str">
        <f aca="false">IF($H138="","",INDEX(DECKS!$D$2:$D$1201,$H138))</f>
        <v/>
      </c>
      <c r="F138" s="16" t="str">
        <f aca="false">IF($H138="","",INDEX(DECKS!$E$2:$E$1201,$H138))</f>
        <v/>
      </c>
      <c r="G138" s="21" t="str">
        <f aca="false">IF($H138="","",INDEX(DECKS!$F$2:$F$1201,$H138))</f>
        <v/>
      </c>
      <c r="H138" s="11" t="str">
        <f aca="false">IFERROR(MATCH(ROW()-1,DECKS!$O$2:$O$1201,0),"")</f>
        <v/>
      </c>
      <c r="I138" s="11" t="str">
        <f aca="false">IF(C138="","",G138&amp;" "&amp;D138&amp;" ("&amp;C138&amp;")")</f>
        <v/>
      </c>
    </row>
    <row r="139" customFormat="false" ht="15" hidden="false" customHeight="false" outlineLevel="0" collapsed="false">
      <c r="A139" s="16"/>
      <c r="B139" s="11" t="str">
        <f aca="false">IF($H139="","",INDEX(DECKS!$A$2:$A$1201,$H139))</f>
        <v/>
      </c>
      <c r="C139" s="11" t="str">
        <f aca="false">IF($H139="","",INDEX(DECKS!$B$2:$B$1201,$H139))</f>
        <v/>
      </c>
      <c r="D139" s="11" t="str">
        <f aca="false">IF($H139="","",INDEX(DECKS!$C$2:$C$1201,$H139))</f>
        <v/>
      </c>
      <c r="E139" s="16" t="str">
        <f aca="false">IF($H139="","",INDEX(DECKS!$D$2:$D$1201,$H139))</f>
        <v/>
      </c>
      <c r="F139" s="16" t="str">
        <f aca="false">IF($H139="","",INDEX(DECKS!$E$2:$E$1201,$H139))</f>
        <v/>
      </c>
      <c r="G139" s="21" t="str">
        <f aca="false">IF($H139="","",INDEX(DECKS!$F$2:$F$1201,$H139))</f>
        <v/>
      </c>
      <c r="H139" s="11" t="str">
        <f aca="false">IFERROR(MATCH(ROW()-1,DECKS!$O$2:$O$1201,0),"")</f>
        <v/>
      </c>
      <c r="I139" s="11" t="str">
        <f aca="false">IF(C139="","",G139&amp;" "&amp;D139&amp;" ("&amp;C139&amp;")")</f>
        <v/>
      </c>
    </row>
    <row r="140" customFormat="false" ht="15" hidden="false" customHeight="false" outlineLevel="0" collapsed="false">
      <c r="A140" s="16"/>
      <c r="B140" s="11" t="str">
        <f aca="false">IF($H140="","",INDEX(DECKS!$A$2:$A$1201,$H140))</f>
        <v/>
      </c>
      <c r="C140" s="11" t="str">
        <f aca="false">IF($H140="","",INDEX(DECKS!$B$2:$B$1201,$H140))</f>
        <v/>
      </c>
      <c r="D140" s="11" t="str">
        <f aca="false">IF($H140="","",INDEX(DECKS!$C$2:$C$1201,$H140))</f>
        <v/>
      </c>
      <c r="E140" s="16" t="str">
        <f aca="false">IF($H140="","",INDEX(DECKS!$D$2:$D$1201,$H140))</f>
        <v/>
      </c>
      <c r="F140" s="16" t="str">
        <f aca="false">IF($H140="","",INDEX(DECKS!$E$2:$E$1201,$H140))</f>
        <v/>
      </c>
      <c r="G140" s="21" t="str">
        <f aca="false">IF($H140="","",INDEX(DECKS!$F$2:$F$1201,$H140))</f>
        <v/>
      </c>
      <c r="H140" s="11" t="str">
        <f aca="false">IFERROR(MATCH(ROW()-1,DECKS!$O$2:$O$1201,0),"")</f>
        <v/>
      </c>
      <c r="I140" s="11" t="str">
        <f aca="false">IF(C140="","",G140&amp;" "&amp;D140&amp;" ("&amp;C140&amp;")")</f>
        <v/>
      </c>
    </row>
    <row r="141" customFormat="false" ht="15" hidden="false" customHeight="false" outlineLevel="0" collapsed="false">
      <c r="A141" s="16"/>
      <c r="B141" s="11" t="str">
        <f aca="false">IF($H141="","",INDEX(DECKS!$A$2:$A$1201,$H141))</f>
        <v/>
      </c>
      <c r="C141" s="11" t="str">
        <f aca="false">IF($H141="","",INDEX(DECKS!$B$2:$B$1201,$H141))</f>
        <v/>
      </c>
      <c r="D141" s="11" t="str">
        <f aca="false">IF($H141="","",INDEX(DECKS!$C$2:$C$1201,$H141))</f>
        <v/>
      </c>
      <c r="E141" s="16" t="str">
        <f aca="false">IF($H141="","",INDEX(DECKS!$D$2:$D$1201,$H141))</f>
        <v/>
      </c>
      <c r="F141" s="16" t="str">
        <f aca="false">IF($H141="","",INDEX(DECKS!$E$2:$E$1201,$H141))</f>
        <v/>
      </c>
      <c r="G141" s="21" t="str">
        <f aca="false">IF($H141="","",INDEX(DECKS!$F$2:$F$1201,$H141))</f>
        <v/>
      </c>
      <c r="H141" s="11" t="str">
        <f aca="false">IFERROR(MATCH(ROW()-1,DECKS!$O$2:$O$1201,0),"")</f>
        <v/>
      </c>
      <c r="I141" s="11" t="str">
        <f aca="false">IF(C141="","",G141&amp;" "&amp;D141&amp;" ("&amp;C141&amp;")")</f>
        <v/>
      </c>
    </row>
    <row r="142" customFormat="false" ht="15" hidden="false" customHeight="false" outlineLevel="0" collapsed="false">
      <c r="A142" s="16"/>
      <c r="B142" s="11" t="str">
        <f aca="false">IF($H142="","",INDEX(DECKS!$A$2:$A$1201,$H142))</f>
        <v/>
      </c>
      <c r="C142" s="11" t="str">
        <f aca="false">IF($H142="","",INDEX(DECKS!$B$2:$B$1201,$H142))</f>
        <v/>
      </c>
      <c r="D142" s="11" t="str">
        <f aca="false">IF($H142="","",INDEX(DECKS!$C$2:$C$1201,$H142))</f>
        <v/>
      </c>
      <c r="E142" s="16" t="str">
        <f aca="false">IF($H142="","",INDEX(DECKS!$D$2:$D$1201,$H142))</f>
        <v/>
      </c>
      <c r="F142" s="16" t="str">
        <f aca="false">IF($H142="","",INDEX(DECKS!$E$2:$E$1201,$H142))</f>
        <v/>
      </c>
      <c r="G142" s="21" t="str">
        <f aca="false">IF($H142="","",INDEX(DECKS!$F$2:$F$1201,$H142))</f>
        <v/>
      </c>
      <c r="H142" s="11" t="str">
        <f aca="false">IFERROR(MATCH(ROW()-1,DECKS!$O$2:$O$1201,0),"")</f>
        <v/>
      </c>
      <c r="I142" s="11" t="str">
        <f aca="false">IF(C142="","",G142&amp;" "&amp;D142&amp;" ("&amp;C142&amp;")")</f>
        <v/>
      </c>
    </row>
    <row r="143" customFormat="false" ht="15" hidden="false" customHeight="false" outlineLevel="0" collapsed="false">
      <c r="A143" s="16"/>
      <c r="B143" s="11" t="str">
        <f aca="false">IF($H143="","",INDEX(DECKS!$A$2:$A$1201,$H143))</f>
        <v/>
      </c>
      <c r="C143" s="11" t="str">
        <f aca="false">IF($H143="","",INDEX(DECKS!$B$2:$B$1201,$H143))</f>
        <v/>
      </c>
      <c r="D143" s="11" t="str">
        <f aca="false">IF($H143="","",INDEX(DECKS!$C$2:$C$1201,$H143))</f>
        <v/>
      </c>
      <c r="E143" s="16" t="str">
        <f aca="false">IF($H143="","",INDEX(DECKS!$D$2:$D$1201,$H143))</f>
        <v/>
      </c>
      <c r="F143" s="16" t="str">
        <f aca="false">IF($H143="","",INDEX(DECKS!$E$2:$E$1201,$H143))</f>
        <v/>
      </c>
      <c r="G143" s="21" t="str">
        <f aca="false">IF($H143="","",INDEX(DECKS!$F$2:$F$1201,$H143))</f>
        <v/>
      </c>
      <c r="H143" s="11" t="str">
        <f aca="false">IFERROR(MATCH(ROW()-1,DECKS!$O$2:$O$1201,0),"")</f>
        <v/>
      </c>
      <c r="I143" s="11" t="str">
        <f aca="false">IF(C143="","",G143&amp;" "&amp;D143&amp;" ("&amp;C143&amp;")")</f>
        <v/>
      </c>
    </row>
    <row r="144" customFormat="false" ht="15" hidden="false" customHeight="false" outlineLevel="0" collapsed="false">
      <c r="A144" s="16"/>
      <c r="B144" s="11" t="str">
        <f aca="false">IF($H144="","",INDEX(DECKS!$A$2:$A$1201,$H144))</f>
        <v/>
      </c>
      <c r="C144" s="11" t="str">
        <f aca="false">IF($H144="","",INDEX(DECKS!$B$2:$B$1201,$H144))</f>
        <v/>
      </c>
      <c r="D144" s="11" t="str">
        <f aca="false">IF($H144="","",INDEX(DECKS!$C$2:$C$1201,$H144))</f>
        <v/>
      </c>
      <c r="E144" s="16" t="str">
        <f aca="false">IF($H144="","",INDEX(DECKS!$D$2:$D$1201,$H144))</f>
        <v/>
      </c>
      <c r="F144" s="16" t="str">
        <f aca="false">IF($H144="","",INDEX(DECKS!$E$2:$E$1201,$H144))</f>
        <v/>
      </c>
      <c r="G144" s="21" t="str">
        <f aca="false">IF($H144="","",INDEX(DECKS!$F$2:$F$1201,$H144))</f>
        <v/>
      </c>
      <c r="H144" s="11" t="str">
        <f aca="false">IFERROR(MATCH(ROW()-1,DECKS!$O$2:$O$1201,0),"")</f>
        <v/>
      </c>
      <c r="I144" s="11" t="str">
        <f aca="false">IF(C144="","",G144&amp;" "&amp;D144&amp;" ("&amp;C144&amp;")")</f>
        <v/>
      </c>
    </row>
    <row r="145" customFormat="false" ht="15" hidden="false" customHeight="false" outlineLevel="0" collapsed="false">
      <c r="A145" s="16"/>
      <c r="B145" s="11" t="str">
        <f aca="false">IF($H145="","",INDEX(DECKS!$A$2:$A$1201,$H145))</f>
        <v/>
      </c>
      <c r="C145" s="11" t="str">
        <f aca="false">IF($H145="","",INDEX(DECKS!$B$2:$B$1201,$H145))</f>
        <v/>
      </c>
      <c r="D145" s="11" t="str">
        <f aca="false">IF($H145="","",INDEX(DECKS!$C$2:$C$1201,$H145))</f>
        <v/>
      </c>
      <c r="E145" s="16" t="str">
        <f aca="false">IF($H145="","",INDEX(DECKS!$D$2:$D$1201,$H145))</f>
        <v/>
      </c>
      <c r="F145" s="16" t="str">
        <f aca="false">IF($H145="","",INDEX(DECKS!$E$2:$E$1201,$H145))</f>
        <v/>
      </c>
      <c r="G145" s="21" t="str">
        <f aca="false">IF($H145="","",INDEX(DECKS!$F$2:$F$1201,$H145))</f>
        <v/>
      </c>
      <c r="H145" s="11" t="str">
        <f aca="false">IFERROR(MATCH(ROW()-1,DECKS!$O$2:$O$1201,0),"")</f>
        <v/>
      </c>
      <c r="I145" s="11" t="str">
        <f aca="false">IF(C145="","",G145&amp;" "&amp;D145&amp;" ("&amp;C145&amp;")")</f>
        <v/>
      </c>
    </row>
    <row r="146" customFormat="false" ht="15" hidden="false" customHeight="false" outlineLevel="0" collapsed="false">
      <c r="A146" s="16"/>
      <c r="B146" s="11" t="str">
        <f aca="false">IF($H146="","",INDEX(DECKS!$A$2:$A$1201,$H146))</f>
        <v/>
      </c>
      <c r="C146" s="11" t="str">
        <f aca="false">IF($H146="","",INDEX(DECKS!$B$2:$B$1201,$H146))</f>
        <v/>
      </c>
      <c r="D146" s="11" t="str">
        <f aca="false">IF($H146="","",INDEX(DECKS!$C$2:$C$1201,$H146))</f>
        <v/>
      </c>
      <c r="E146" s="16" t="str">
        <f aca="false">IF($H146="","",INDEX(DECKS!$D$2:$D$1201,$H146))</f>
        <v/>
      </c>
      <c r="F146" s="16" t="str">
        <f aca="false">IF($H146="","",INDEX(DECKS!$E$2:$E$1201,$H146))</f>
        <v/>
      </c>
      <c r="G146" s="21" t="str">
        <f aca="false">IF($H146="","",INDEX(DECKS!$F$2:$F$1201,$H146))</f>
        <v/>
      </c>
      <c r="H146" s="11" t="str">
        <f aca="false">IFERROR(MATCH(ROW()-1,DECKS!$O$2:$O$1201,0),"")</f>
        <v/>
      </c>
      <c r="I146" s="11" t="str">
        <f aca="false">IF(C146="","",G146&amp;" "&amp;D146&amp;" ("&amp;C146&amp;")")</f>
        <v/>
      </c>
    </row>
    <row r="147" customFormat="false" ht="15" hidden="false" customHeight="false" outlineLevel="0" collapsed="false">
      <c r="A147" s="16"/>
      <c r="B147" s="11" t="str">
        <f aca="false">IF($H147="","",INDEX(DECKS!$A$2:$A$1201,$H147))</f>
        <v/>
      </c>
      <c r="C147" s="11" t="str">
        <f aca="false">IF($H147="","",INDEX(DECKS!$B$2:$B$1201,$H147))</f>
        <v/>
      </c>
      <c r="D147" s="11" t="str">
        <f aca="false">IF($H147="","",INDEX(DECKS!$C$2:$C$1201,$H147))</f>
        <v/>
      </c>
      <c r="E147" s="16" t="str">
        <f aca="false">IF($H147="","",INDEX(DECKS!$D$2:$D$1201,$H147))</f>
        <v/>
      </c>
      <c r="F147" s="16" t="str">
        <f aca="false">IF($H147="","",INDEX(DECKS!$E$2:$E$1201,$H147))</f>
        <v/>
      </c>
      <c r="G147" s="21" t="str">
        <f aca="false">IF($H147="","",INDEX(DECKS!$F$2:$F$1201,$H147))</f>
        <v/>
      </c>
      <c r="H147" s="11" t="str">
        <f aca="false">IFERROR(MATCH(ROW()-1,DECKS!$O$2:$O$1201,0),"")</f>
        <v/>
      </c>
      <c r="I147" s="11" t="str">
        <f aca="false">IF(C147="","",G147&amp;" "&amp;D147&amp;" ("&amp;C147&amp;")")</f>
        <v/>
      </c>
    </row>
    <row r="148" customFormat="false" ht="15" hidden="false" customHeight="false" outlineLevel="0" collapsed="false">
      <c r="A148" s="16"/>
      <c r="B148" s="11" t="str">
        <f aca="false">IF($H148="","",INDEX(DECKS!$A$2:$A$1201,$H148))</f>
        <v/>
      </c>
      <c r="C148" s="11" t="str">
        <f aca="false">IF($H148="","",INDEX(DECKS!$B$2:$B$1201,$H148))</f>
        <v/>
      </c>
      <c r="D148" s="11" t="str">
        <f aca="false">IF($H148="","",INDEX(DECKS!$C$2:$C$1201,$H148))</f>
        <v/>
      </c>
      <c r="E148" s="16" t="str">
        <f aca="false">IF($H148="","",INDEX(DECKS!$D$2:$D$1201,$H148))</f>
        <v/>
      </c>
      <c r="F148" s="16" t="str">
        <f aca="false">IF($H148="","",INDEX(DECKS!$E$2:$E$1201,$H148))</f>
        <v/>
      </c>
      <c r="G148" s="21" t="str">
        <f aca="false">IF($H148="","",INDEX(DECKS!$F$2:$F$1201,$H148))</f>
        <v/>
      </c>
      <c r="H148" s="11" t="str">
        <f aca="false">IFERROR(MATCH(ROW()-1,DECKS!$O$2:$O$1201,0),"")</f>
        <v/>
      </c>
      <c r="I148" s="11" t="str">
        <f aca="false">IF(C148="","",G148&amp;" "&amp;D148&amp;" ("&amp;C148&amp;")")</f>
        <v/>
      </c>
    </row>
    <row r="149" customFormat="false" ht="15" hidden="false" customHeight="false" outlineLevel="0" collapsed="false">
      <c r="A149" s="16"/>
      <c r="B149" s="11" t="str">
        <f aca="false">IF($H149="","",INDEX(DECKS!$A$2:$A$1201,$H149))</f>
        <v/>
      </c>
      <c r="C149" s="11" t="str">
        <f aca="false">IF($H149="","",INDEX(DECKS!$B$2:$B$1201,$H149))</f>
        <v/>
      </c>
      <c r="D149" s="11" t="str">
        <f aca="false">IF($H149="","",INDEX(DECKS!$C$2:$C$1201,$H149))</f>
        <v/>
      </c>
      <c r="E149" s="16" t="str">
        <f aca="false">IF($H149="","",INDEX(DECKS!$D$2:$D$1201,$H149))</f>
        <v/>
      </c>
      <c r="F149" s="16" t="str">
        <f aca="false">IF($H149="","",INDEX(DECKS!$E$2:$E$1201,$H149))</f>
        <v/>
      </c>
      <c r="G149" s="21" t="str">
        <f aca="false">IF($H149="","",INDEX(DECKS!$F$2:$F$1201,$H149))</f>
        <v/>
      </c>
      <c r="H149" s="11" t="str">
        <f aca="false">IFERROR(MATCH(ROW()-1,DECKS!$O$2:$O$1201,0),"")</f>
        <v/>
      </c>
      <c r="I149" s="11" t="str">
        <f aca="false">IF(C149="","",G149&amp;" "&amp;D149&amp;" ("&amp;C149&amp;")")</f>
        <v/>
      </c>
    </row>
    <row r="150" customFormat="false" ht="15" hidden="false" customHeight="false" outlineLevel="0" collapsed="false">
      <c r="A150" s="16"/>
      <c r="B150" s="11" t="str">
        <f aca="false">IF($H150="","",INDEX(DECKS!$A$2:$A$1201,$H150))</f>
        <v/>
      </c>
      <c r="C150" s="11" t="str">
        <f aca="false">IF($H150="","",INDEX(DECKS!$B$2:$B$1201,$H150))</f>
        <v/>
      </c>
      <c r="D150" s="11" t="str">
        <f aca="false">IF($H150="","",INDEX(DECKS!$C$2:$C$1201,$H150))</f>
        <v/>
      </c>
      <c r="E150" s="16" t="str">
        <f aca="false">IF($H150="","",INDEX(DECKS!$D$2:$D$1201,$H150))</f>
        <v/>
      </c>
      <c r="F150" s="16" t="str">
        <f aca="false">IF($H150="","",INDEX(DECKS!$E$2:$E$1201,$H150))</f>
        <v/>
      </c>
      <c r="G150" s="21" t="str">
        <f aca="false">IF($H150="","",INDEX(DECKS!$F$2:$F$1201,$H150))</f>
        <v/>
      </c>
      <c r="H150" s="11" t="str">
        <f aca="false">IFERROR(MATCH(ROW()-1,DECKS!$O$2:$O$1201,0),"")</f>
        <v/>
      </c>
      <c r="I150" s="11" t="str">
        <f aca="false">IF(C150="","",G150&amp;" "&amp;D150&amp;" ("&amp;C150&amp;")")</f>
        <v/>
      </c>
    </row>
    <row r="151" customFormat="false" ht="15" hidden="false" customHeight="false" outlineLevel="0" collapsed="false">
      <c r="A151" s="16"/>
      <c r="B151" s="11" t="str">
        <f aca="false">IF($H151="","",INDEX(DECKS!$A$2:$A$1201,$H151))</f>
        <v/>
      </c>
      <c r="C151" s="11" t="str">
        <f aca="false">IF($H151="","",INDEX(DECKS!$B$2:$B$1201,$H151))</f>
        <v/>
      </c>
      <c r="D151" s="11" t="str">
        <f aca="false">IF($H151="","",INDEX(DECKS!$C$2:$C$1201,$H151))</f>
        <v/>
      </c>
      <c r="E151" s="16" t="str">
        <f aca="false">IF($H151="","",INDEX(DECKS!$D$2:$D$1201,$H151))</f>
        <v/>
      </c>
      <c r="F151" s="16" t="str">
        <f aca="false">IF($H151="","",INDEX(DECKS!$E$2:$E$1201,$H151))</f>
        <v/>
      </c>
      <c r="G151" s="21" t="str">
        <f aca="false">IF($H151="","",INDEX(DECKS!$F$2:$F$1201,$H151))</f>
        <v/>
      </c>
      <c r="H151" s="11" t="str">
        <f aca="false">IFERROR(MATCH(ROW()-1,DECKS!$O$2:$O$1201,0),"")</f>
        <v/>
      </c>
      <c r="I151" s="11" t="str">
        <f aca="false">IF(C151="","",G151&amp;" "&amp;D151&amp;" ("&amp;C151&amp;")")</f>
        <v/>
      </c>
    </row>
    <row r="152" customFormat="false" ht="15" hidden="false" customHeight="false" outlineLevel="0" collapsed="false">
      <c r="A152" s="16"/>
      <c r="B152" s="11" t="str">
        <f aca="false">IF($H152="","",INDEX(DECKS!$A$2:$A$1201,$H152))</f>
        <v/>
      </c>
      <c r="C152" s="11" t="str">
        <f aca="false">IF($H152="","",INDEX(DECKS!$B$2:$B$1201,$H152))</f>
        <v/>
      </c>
      <c r="D152" s="11" t="str">
        <f aca="false">IF($H152="","",INDEX(DECKS!$C$2:$C$1201,$H152))</f>
        <v/>
      </c>
      <c r="E152" s="16" t="str">
        <f aca="false">IF($H152="","",INDEX(DECKS!$D$2:$D$1201,$H152))</f>
        <v/>
      </c>
      <c r="F152" s="16" t="str">
        <f aca="false">IF($H152="","",INDEX(DECKS!$E$2:$E$1201,$H152))</f>
        <v/>
      </c>
      <c r="G152" s="21" t="str">
        <f aca="false">IF($H152="","",INDEX(DECKS!$F$2:$F$1201,$H152))</f>
        <v/>
      </c>
      <c r="H152" s="11" t="str">
        <f aca="false">IFERROR(MATCH(ROW()-1,DECKS!$O$2:$O$1201,0),"")</f>
        <v/>
      </c>
      <c r="I152" s="11" t="str">
        <f aca="false">IF(C152="","",G152&amp;" "&amp;D152&amp;" ("&amp;C152&amp;")")</f>
        <v/>
      </c>
    </row>
    <row r="153" customFormat="false" ht="15" hidden="false" customHeight="false" outlineLevel="0" collapsed="false">
      <c r="A153" s="16"/>
      <c r="B153" s="11" t="str">
        <f aca="false">IF($H153="","",INDEX(DECKS!$A$2:$A$1201,$H153))</f>
        <v/>
      </c>
      <c r="C153" s="11" t="str">
        <f aca="false">IF($H153="","",INDEX(DECKS!$B$2:$B$1201,$H153))</f>
        <v/>
      </c>
      <c r="D153" s="11" t="str">
        <f aca="false">IF($H153="","",INDEX(DECKS!$C$2:$C$1201,$H153))</f>
        <v/>
      </c>
      <c r="E153" s="16" t="str">
        <f aca="false">IF($H153="","",INDEX(DECKS!$D$2:$D$1201,$H153))</f>
        <v/>
      </c>
      <c r="F153" s="16" t="str">
        <f aca="false">IF($H153="","",INDEX(DECKS!$E$2:$E$1201,$H153))</f>
        <v/>
      </c>
      <c r="G153" s="21" t="str">
        <f aca="false">IF($H153="","",INDEX(DECKS!$F$2:$F$1201,$H153))</f>
        <v/>
      </c>
      <c r="H153" s="11" t="str">
        <f aca="false">IFERROR(MATCH(ROW()-1,DECKS!$O$2:$O$1201,0),"")</f>
        <v/>
      </c>
      <c r="I153" s="11" t="str">
        <f aca="false">IF(C153="","",G153&amp;" "&amp;D153&amp;" ("&amp;C153&amp;")")</f>
        <v/>
      </c>
    </row>
    <row r="154" customFormat="false" ht="15" hidden="false" customHeight="false" outlineLevel="0" collapsed="false">
      <c r="A154" s="16"/>
      <c r="B154" s="11" t="str">
        <f aca="false">IF($H154="","",INDEX(DECKS!$A$2:$A$1201,$H154))</f>
        <v/>
      </c>
      <c r="C154" s="11" t="str">
        <f aca="false">IF($H154="","",INDEX(DECKS!$B$2:$B$1201,$H154))</f>
        <v/>
      </c>
      <c r="D154" s="11" t="str">
        <f aca="false">IF($H154="","",INDEX(DECKS!$C$2:$C$1201,$H154))</f>
        <v/>
      </c>
      <c r="E154" s="16" t="str">
        <f aca="false">IF($H154="","",INDEX(DECKS!$D$2:$D$1201,$H154))</f>
        <v/>
      </c>
      <c r="F154" s="16" t="str">
        <f aca="false">IF($H154="","",INDEX(DECKS!$E$2:$E$1201,$H154))</f>
        <v/>
      </c>
      <c r="G154" s="21" t="str">
        <f aca="false">IF($H154="","",INDEX(DECKS!$F$2:$F$1201,$H154))</f>
        <v/>
      </c>
      <c r="H154" s="11" t="str">
        <f aca="false">IFERROR(MATCH(ROW()-1,DECKS!$O$2:$O$1201,0),"")</f>
        <v/>
      </c>
      <c r="I154" s="11" t="str">
        <f aca="false">IF(C154="","",G154&amp;" "&amp;D154&amp;" ("&amp;C154&amp;")")</f>
        <v/>
      </c>
    </row>
    <row r="155" customFormat="false" ht="15" hidden="false" customHeight="false" outlineLevel="0" collapsed="false">
      <c r="A155" s="16"/>
      <c r="B155" s="11" t="str">
        <f aca="false">IF($H155="","",INDEX(DECKS!$A$2:$A$1201,$H155))</f>
        <v/>
      </c>
      <c r="C155" s="11" t="str">
        <f aca="false">IF($H155="","",INDEX(DECKS!$B$2:$B$1201,$H155))</f>
        <v/>
      </c>
      <c r="D155" s="11" t="str">
        <f aca="false">IF($H155="","",INDEX(DECKS!$C$2:$C$1201,$H155))</f>
        <v/>
      </c>
      <c r="E155" s="16" t="str">
        <f aca="false">IF($H155="","",INDEX(DECKS!$D$2:$D$1201,$H155))</f>
        <v/>
      </c>
      <c r="F155" s="16" t="str">
        <f aca="false">IF($H155="","",INDEX(DECKS!$E$2:$E$1201,$H155))</f>
        <v/>
      </c>
      <c r="G155" s="21" t="str">
        <f aca="false">IF($H155="","",INDEX(DECKS!$F$2:$F$1201,$H155))</f>
        <v/>
      </c>
      <c r="H155" s="11" t="str">
        <f aca="false">IFERROR(MATCH(ROW()-1,DECKS!$O$2:$O$1201,0),"")</f>
        <v/>
      </c>
      <c r="I155" s="11" t="str">
        <f aca="false">IF(C155="","",G155&amp;" "&amp;D155&amp;" ("&amp;C155&amp;")")</f>
        <v/>
      </c>
    </row>
    <row r="156" customFormat="false" ht="15" hidden="false" customHeight="false" outlineLevel="0" collapsed="false">
      <c r="A156" s="16"/>
      <c r="B156" s="11" t="str">
        <f aca="false">IF($H156="","",INDEX(DECKS!$A$2:$A$1201,$H156))</f>
        <v/>
      </c>
      <c r="C156" s="11" t="str">
        <f aca="false">IF($H156="","",INDEX(DECKS!$B$2:$B$1201,$H156))</f>
        <v/>
      </c>
      <c r="D156" s="11" t="str">
        <f aca="false">IF($H156="","",INDEX(DECKS!$C$2:$C$1201,$H156))</f>
        <v/>
      </c>
      <c r="E156" s="16" t="str">
        <f aca="false">IF($H156="","",INDEX(DECKS!$D$2:$D$1201,$H156))</f>
        <v/>
      </c>
      <c r="F156" s="16" t="str">
        <f aca="false">IF($H156="","",INDEX(DECKS!$E$2:$E$1201,$H156))</f>
        <v/>
      </c>
      <c r="G156" s="21" t="str">
        <f aca="false">IF($H156="","",INDEX(DECKS!$F$2:$F$1201,$H156))</f>
        <v/>
      </c>
      <c r="H156" s="11" t="str">
        <f aca="false">IFERROR(MATCH(ROW()-1,DECKS!$O$2:$O$1201,0),"")</f>
        <v/>
      </c>
      <c r="I156" s="11" t="str">
        <f aca="false">IF(C156="","",G156&amp;" "&amp;D156&amp;" ("&amp;C156&amp;")")</f>
        <v/>
      </c>
    </row>
    <row r="157" customFormat="false" ht="15" hidden="false" customHeight="false" outlineLevel="0" collapsed="false">
      <c r="A157" s="16"/>
      <c r="B157" s="11" t="str">
        <f aca="false">IF($H157="","",INDEX(DECKS!$A$2:$A$1201,$H157))</f>
        <v/>
      </c>
      <c r="C157" s="11" t="str">
        <f aca="false">IF($H157="","",INDEX(DECKS!$B$2:$B$1201,$H157))</f>
        <v/>
      </c>
      <c r="D157" s="11" t="str">
        <f aca="false">IF($H157="","",INDEX(DECKS!$C$2:$C$1201,$H157))</f>
        <v/>
      </c>
      <c r="E157" s="16" t="str">
        <f aca="false">IF($H157="","",INDEX(DECKS!$D$2:$D$1201,$H157))</f>
        <v/>
      </c>
      <c r="F157" s="16" t="str">
        <f aca="false">IF($H157="","",INDEX(DECKS!$E$2:$E$1201,$H157))</f>
        <v/>
      </c>
      <c r="G157" s="21" t="str">
        <f aca="false">IF($H157="","",INDEX(DECKS!$F$2:$F$1201,$H157))</f>
        <v/>
      </c>
      <c r="H157" s="11" t="str">
        <f aca="false">IFERROR(MATCH(ROW()-1,DECKS!$O$2:$O$1201,0),"")</f>
        <v/>
      </c>
      <c r="I157" s="11" t="str">
        <f aca="false">IF(C157="","",G157&amp;" "&amp;D157&amp;" ("&amp;C157&amp;")")</f>
        <v/>
      </c>
    </row>
    <row r="158" customFormat="false" ht="15" hidden="false" customHeight="false" outlineLevel="0" collapsed="false">
      <c r="A158" s="16"/>
      <c r="B158" s="11" t="str">
        <f aca="false">IF($H158="","",INDEX(DECKS!$A$2:$A$1201,$H158))</f>
        <v/>
      </c>
      <c r="C158" s="11" t="str">
        <f aca="false">IF($H158="","",INDEX(DECKS!$B$2:$B$1201,$H158))</f>
        <v/>
      </c>
      <c r="D158" s="11" t="str">
        <f aca="false">IF($H158="","",INDEX(DECKS!$C$2:$C$1201,$H158))</f>
        <v/>
      </c>
      <c r="E158" s="16" t="str">
        <f aca="false">IF($H158="","",INDEX(DECKS!$D$2:$D$1201,$H158))</f>
        <v/>
      </c>
      <c r="F158" s="16" t="str">
        <f aca="false">IF($H158="","",INDEX(DECKS!$E$2:$E$1201,$H158))</f>
        <v/>
      </c>
      <c r="G158" s="21" t="str">
        <f aca="false">IF($H158="","",INDEX(DECKS!$F$2:$F$1201,$H158))</f>
        <v/>
      </c>
      <c r="H158" s="11" t="str">
        <f aca="false">IFERROR(MATCH(ROW()-1,DECKS!$O$2:$O$1201,0),"")</f>
        <v/>
      </c>
      <c r="I158" s="11" t="str">
        <f aca="false">IF(C158="","",G158&amp;" "&amp;D158&amp;" ("&amp;C158&amp;")")</f>
        <v/>
      </c>
    </row>
    <row r="159" customFormat="false" ht="15" hidden="false" customHeight="false" outlineLevel="0" collapsed="false">
      <c r="A159" s="16"/>
      <c r="B159" s="11" t="str">
        <f aca="false">IF($H159="","",INDEX(DECKS!$A$2:$A$1201,$H159))</f>
        <v/>
      </c>
      <c r="C159" s="11" t="str">
        <f aca="false">IF($H159="","",INDEX(DECKS!$B$2:$B$1201,$H159))</f>
        <v/>
      </c>
      <c r="D159" s="11" t="str">
        <f aca="false">IF($H159="","",INDEX(DECKS!$C$2:$C$1201,$H159))</f>
        <v/>
      </c>
      <c r="E159" s="16" t="str">
        <f aca="false">IF($H159="","",INDEX(DECKS!$D$2:$D$1201,$H159))</f>
        <v/>
      </c>
      <c r="F159" s="16" t="str">
        <f aca="false">IF($H159="","",INDEX(DECKS!$E$2:$E$1201,$H159))</f>
        <v/>
      </c>
      <c r="G159" s="21" t="str">
        <f aca="false">IF($H159="","",INDEX(DECKS!$F$2:$F$1201,$H159))</f>
        <v/>
      </c>
      <c r="H159" s="11" t="str">
        <f aca="false">IFERROR(MATCH(ROW()-1,DECKS!$O$2:$O$1201,0),"")</f>
        <v/>
      </c>
      <c r="I159" s="11" t="str">
        <f aca="false">IF(C159="","",G159&amp;" "&amp;D159&amp;" ("&amp;C159&amp;")")</f>
        <v/>
      </c>
    </row>
    <row r="160" customFormat="false" ht="15" hidden="false" customHeight="false" outlineLevel="0" collapsed="false">
      <c r="A160" s="16"/>
      <c r="B160" s="11" t="str">
        <f aca="false">IF($H160="","",INDEX(DECKS!$A$2:$A$1201,$H160))</f>
        <v/>
      </c>
      <c r="C160" s="11" t="str">
        <f aca="false">IF($H160="","",INDEX(DECKS!$B$2:$B$1201,$H160))</f>
        <v/>
      </c>
      <c r="D160" s="11" t="str">
        <f aca="false">IF($H160="","",INDEX(DECKS!$C$2:$C$1201,$H160))</f>
        <v/>
      </c>
      <c r="E160" s="16" t="str">
        <f aca="false">IF($H160="","",INDEX(DECKS!$D$2:$D$1201,$H160))</f>
        <v/>
      </c>
      <c r="F160" s="16" t="str">
        <f aca="false">IF($H160="","",INDEX(DECKS!$E$2:$E$1201,$H160))</f>
        <v/>
      </c>
      <c r="G160" s="21" t="str">
        <f aca="false">IF($H160="","",INDEX(DECKS!$F$2:$F$1201,$H160))</f>
        <v/>
      </c>
      <c r="H160" s="11" t="str">
        <f aca="false">IFERROR(MATCH(ROW()-1,DECKS!$O$2:$O$1201,0),"")</f>
        <v/>
      </c>
      <c r="I160" s="11" t="str">
        <f aca="false">IF(C160="","",G160&amp;" "&amp;D160&amp;" ("&amp;C160&amp;")")</f>
        <v/>
      </c>
    </row>
    <row r="161" customFormat="false" ht="15" hidden="false" customHeight="false" outlineLevel="0" collapsed="false">
      <c r="A161" s="16"/>
      <c r="B161" s="11" t="str">
        <f aca="false">IF($H161="","",INDEX(DECKS!$A$2:$A$1201,$H161))</f>
        <v/>
      </c>
      <c r="C161" s="11" t="str">
        <f aca="false">IF($H161="","",INDEX(DECKS!$B$2:$B$1201,$H161))</f>
        <v/>
      </c>
      <c r="D161" s="11" t="str">
        <f aca="false">IF($H161="","",INDEX(DECKS!$C$2:$C$1201,$H161))</f>
        <v/>
      </c>
      <c r="E161" s="16" t="str">
        <f aca="false">IF($H161="","",INDEX(DECKS!$D$2:$D$1201,$H161))</f>
        <v/>
      </c>
      <c r="F161" s="16" t="str">
        <f aca="false">IF($H161="","",INDEX(DECKS!$E$2:$E$1201,$H161))</f>
        <v/>
      </c>
      <c r="G161" s="21" t="str">
        <f aca="false">IF($H161="","",INDEX(DECKS!$F$2:$F$1201,$H161))</f>
        <v/>
      </c>
      <c r="H161" s="11" t="str">
        <f aca="false">IFERROR(MATCH(ROW()-1,DECKS!$O$2:$O$1201,0),"")</f>
        <v/>
      </c>
      <c r="I161" s="11" t="str">
        <f aca="false">IF(C161="","",G161&amp;" "&amp;D161&amp;" ("&amp;C161&amp;")")</f>
        <v/>
      </c>
    </row>
    <row r="162" customFormat="false" ht="15" hidden="false" customHeight="false" outlineLevel="0" collapsed="false">
      <c r="A162" s="16"/>
      <c r="B162" s="11" t="str">
        <f aca="false">IF($H162="","",INDEX(DECKS!$A$2:$A$1201,$H162))</f>
        <v/>
      </c>
      <c r="C162" s="11" t="str">
        <f aca="false">IF($H162="","",INDEX(DECKS!$B$2:$B$1201,$H162))</f>
        <v/>
      </c>
      <c r="D162" s="11" t="str">
        <f aca="false">IF($H162="","",INDEX(DECKS!$C$2:$C$1201,$H162))</f>
        <v/>
      </c>
      <c r="E162" s="16" t="str">
        <f aca="false">IF($H162="","",INDEX(DECKS!$D$2:$D$1201,$H162))</f>
        <v/>
      </c>
      <c r="F162" s="16" t="str">
        <f aca="false">IF($H162="","",INDEX(DECKS!$E$2:$E$1201,$H162))</f>
        <v/>
      </c>
      <c r="G162" s="21" t="str">
        <f aca="false">IF($H162="","",INDEX(DECKS!$F$2:$F$1201,$H162))</f>
        <v/>
      </c>
      <c r="H162" s="11" t="str">
        <f aca="false">IFERROR(MATCH(ROW()-1,DECKS!$O$2:$O$1201,0),"")</f>
        <v/>
      </c>
      <c r="I162" s="11" t="str">
        <f aca="false">IF(C162="","",G162&amp;" "&amp;D162&amp;" ("&amp;C162&amp;")")</f>
        <v/>
      </c>
    </row>
    <row r="163" customFormat="false" ht="15" hidden="false" customHeight="false" outlineLevel="0" collapsed="false">
      <c r="A163" s="16"/>
      <c r="B163" s="11" t="str">
        <f aca="false">IF($H163="","",INDEX(DECKS!$A$2:$A$1201,$H163))</f>
        <v/>
      </c>
      <c r="C163" s="11" t="str">
        <f aca="false">IF($H163="","",INDEX(DECKS!$B$2:$B$1201,$H163))</f>
        <v/>
      </c>
      <c r="D163" s="11" t="str">
        <f aca="false">IF($H163="","",INDEX(DECKS!$C$2:$C$1201,$H163))</f>
        <v/>
      </c>
      <c r="E163" s="16" t="str">
        <f aca="false">IF($H163="","",INDEX(DECKS!$D$2:$D$1201,$H163))</f>
        <v/>
      </c>
      <c r="F163" s="16" t="str">
        <f aca="false">IF($H163="","",INDEX(DECKS!$E$2:$E$1201,$H163))</f>
        <v/>
      </c>
      <c r="G163" s="21" t="str">
        <f aca="false">IF($H163="","",INDEX(DECKS!$F$2:$F$1201,$H163))</f>
        <v/>
      </c>
      <c r="H163" s="11" t="str">
        <f aca="false">IFERROR(MATCH(ROW()-1,DECKS!$O$2:$O$1201,0),"")</f>
        <v/>
      </c>
      <c r="I163" s="11" t="str">
        <f aca="false">IF(C163="","",G163&amp;" "&amp;D163&amp;" ("&amp;C163&amp;")")</f>
        <v/>
      </c>
    </row>
    <row r="164" customFormat="false" ht="15" hidden="false" customHeight="false" outlineLevel="0" collapsed="false">
      <c r="A164" s="16"/>
      <c r="B164" s="11" t="str">
        <f aca="false">IF($H164="","",INDEX(DECKS!$A$2:$A$1201,$H164))</f>
        <v/>
      </c>
      <c r="C164" s="11" t="str">
        <f aca="false">IF($H164="","",INDEX(DECKS!$B$2:$B$1201,$H164))</f>
        <v/>
      </c>
      <c r="D164" s="11" t="str">
        <f aca="false">IF($H164="","",INDEX(DECKS!$C$2:$C$1201,$H164))</f>
        <v/>
      </c>
      <c r="E164" s="16" t="str">
        <f aca="false">IF($H164="","",INDEX(DECKS!$D$2:$D$1201,$H164))</f>
        <v/>
      </c>
      <c r="F164" s="16" t="str">
        <f aca="false">IF($H164="","",INDEX(DECKS!$E$2:$E$1201,$H164))</f>
        <v/>
      </c>
      <c r="G164" s="21" t="str">
        <f aca="false">IF($H164="","",INDEX(DECKS!$F$2:$F$1201,$H164))</f>
        <v/>
      </c>
      <c r="H164" s="11" t="str">
        <f aca="false">IFERROR(MATCH(ROW()-1,DECKS!$O$2:$O$1201,0),"")</f>
        <v/>
      </c>
      <c r="I164" s="11" t="str">
        <f aca="false">IF(C164="","",G164&amp;" "&amp;D164&amp;" ("&amp;C164&amp;")")</f>
        <v/>
      </c>
    </row>
    <row r="165" customFormat="false" ht="15" hidden="false" customHeight="false" outlineLevel="0" collapsed="false">
      <c r="A165" s="16"/>
      <c r="B165" s="11" t="str">
        <f aca="false">IF($H165="","",INDEX(DECKS!$A$2:$A$1201,$H165))</f>
        <v/>
      </c>
      <c r="C165" s="11" t="str">
        <f aca="false">IF($H165="","",INDEX(DECKS!$B$2:$B$1201,$H165))</f>
        <v/>
      </c>
      <c r="D165" s="11" t="str">
        <f aca="false">IF($H165="","",INDEX(DECKS!$C$2:$C$1201,$H165))</f>
        <v/>
      </c>
      <c r="E165" s="16" t="str">
        <f aca="false">IF($H165="","",INDEX(DECKS!$D$2:$D$1201,$H165))</f>
        <v/>
      </c>
      <c r="F165" s="16" t="str">
        <f aca="false">IF($H165="","",INDEX(DECKS!$E$2:$E$1201,$H165))</f>
        <v/>
      </c>
      <c r="G165" s="21" t="str">
        <f aca="false">IF($H165="","",INDEX(DECKS!$F$2:$F$1201,$H165))</f>
        <v/>
      </c>
      <c r="H165" s="11" t="str">
        <f aca="false">IFERROR(MATCH(ROW()-1,DECKS!$O$2:$O$1201,0),"")</f>
        <v/>
      </c>
      <c r="I165" s="11" t="str">
        <f aca="false">IF(C165="","",G165&amp;" "&amp;D165&amp;" ("&amp;C165&amp;")")</f>
        <v/>
      </c>
    </row>
    <row r="166" customFormat="false" ht="15" hidden="false" customHeight="false" outlineLevel="0" collapsed="false">
      <c r="A166" s="16"/>
      <c r="B166" s="11" t="str">
        <f aca="false">IF($H166="","",INDEX(DECKS!$A$2:$A$1201,$H166))</f>
        <v/>
      </c>
      <c r="C166" s="11" t="str">
        <f aca="false">IF($H166="","",INDEX(DECKS!$B$2:$B$1201,$H166))</f>
        <v/>
      </c>
      <c r="D166" s="11" t="str">
        <f aca="false">IF($H166="","",INDEX(DECKS!$C$2:$C$1201,$H166))</f>
        <v/>
      </c>
      <c r="E166" s="16" t="str">
        <f aca="false">IF($H166="","",INDEX(DECKS!$D$2:$D$1201,$H166))</f>
        <v/>
      </c>
      <c r="F166" s="16" t="str">
        <f aca="false">IF($H166="","",INDEX(DECKS!$E$2:$E$1201,$H166))</f>
        <v/>
      </c>
      <c r="G166" s="21" t="str">
        <f aca="false">IF($H166="","",INDEX(DECKS!$F$2:$F$1201,$H166))</f>
        <v/>
      </c>
      <c r="H166" s="11" t="str">
        <f aca="false">IFERROR(MATCH(ROW()-1,DECKS!$O$2:$O$1201,0),"")</f>
        <v/>
      </c>
      <c r="I166" s="11" t="str">
        <f aca="false">IF(C166="","",G166&amp;" "&amp;D166&amp;" ("&amp;C166&amp;")")</f>
        <v/>
      </c>
    </row>
    <row r="167" customFormat="false" ht="15" hidden="false" customHeight="false" outlineLevel="0" collapsed="false">
      <c r="A167" s="16"/>
      <c r="B167" s="11" t="str">
        <f aca="false">IF($H167="","",INDEX(DECKS!$A$2:$A$1201,$H167))</f>
        <v/>
      </c>
      <c r="C167" s="11" t="str">
        <f aca="false">IF($H167="","",INDEX(DECKS!$B$2:$B$1201,$H167))</f>
        <v/>
      </c>
      <c r="D167" s="11" t="str">
        <f aca="false">IF($H167="","",INDEX(DECKS!$C$2:$C$1201,$H167))</f>
        <v/>
      </c>
      <c r="E167" s="16" t="str">
        <f aca="false">IF($H167="","",INDEX(DECKS!$D$2:$D$1201,$H167))</f>
        <v/>
      </c>
      <c r="F167" s="16" t="str">
        <f aca="false">IF($H167="","",INDEX(DECKS!$E$2:$E$1201,$H167))</f>
        <v/>
      </c>
      <c r="G167" s="21" t="str">
        <f aca="false">IF($H167="","",INDEX(DECKS!$F$2:$F$1201,$H167))</f>
        <v/>
      </c>
      <c r="H167" s="11" t="str">
        <f aca="false">IFERROR(MATCH(ROW()-1,DECKS!$O$2:$O$1201,0),"")</f>
        <v/>
      </c>
      <c r="I167" s="11" t="str">
        <f aca="false">IF(C167="","",G167&amp;" "&amp;D167&amp;" ("&amp;C167&amp;")")</f>
        <v/>
      </c>
    </row>
    <row r="168" customFormat="false" ht="15" hidden="false" customHeight="false" outlineLevel="0" collapsed="false">
      <c r="A168" s="16"/>
      <c r="B168" s="11" t="str">
        <f aca="false">IF($H168="","",INDEX(DECKS!$A$2:$A$1201,$H168))</f>
        <v/>
      </c>
      <c r="C168" s="11" t="str">
        <f aca="false">IF($H168="","",INDEX(DECKS!$B$2:$B$1201,$H168))</f>
        <v/>
      </c>
      <c r="D168" s="11" t="str">
        <f aca="false">IF($H168="","",INDEX(DECKS!$C$2:$C$1201,$H168))</f>
        <v/>
      </c>
      <c r="E168" s="16" t="str">
        <f aca="false">IF($H168="","",INDEX(DECKS!$D$2:$D$1201,$H168))</f>
        <v/>
      </c>
      <c r="F168" s="16" t="str">
        <f aca="false">IF($H168="","",INDEX(DECKS!$E$2:$E$1201,$H168))</f>
        <v/>
      </c>
      <c r="G168" s="21" t="str">
        <f aca="false">IF($H168="","",INDEX(DECKS!$F$2:$F$1201,$H168))</f>
        <v/>
      </c>
      <c r="H168" s="11" t="str">
        <f aca="false">IFERROR(MATCH(ROW()-1,DECKS!$O$2:$O$1201,0),"")</f>
        <v/>
      </c>
      <c r="I168" s="11" t="str">
        <f aca="false">IF(C168="","",G168&amp;" "&amp;D168&amp;" ("&amp;C168&amp;")")</f>
        <v/>
      </c>
    </row>
    <row r="169" customFormat="false" ht="15" hidden="false" customHeight="false" outlineLevel="0" collapsed="false">
      <c r="A169" s="16"/>
      <c r="B169" s="11" t="str">
        <f aca="false">IF($H169="","",INDEX(DECKS!$A$2:$A$1201,$H169))</f>
        <v/>
      </c>
      <c r="C169" s="11" t="str">
        <f aca="false">IF($H169="","",INDEX(DECKS!$B$2:$B$1201,$H169))</f>
        <v/>
      </c>
      <c r="D169" s="11" t="str">
        <f aca="false">IF($H169="","",INDEX(DECKS!$C$2:$C$1201,$H169))</f>
        <v/>
      </c>
      <c r="E169" s="16" t="str">
        <f aca="false">IF($H169="","",INDEX(DECKS!$D$2:$D$1201,$H169))</f>
        <v/>
      </c>
      <c r="F169" s="16" t="str">
        <f aca="false">IF($H169="","",INDEX(DECKS!$E$2:$E$1201,$H169))</f>
        <v/>
      </c>
      <c r="G169" s="21" t="str">
        <f aca="false">IF($H169="","",INDEX(DECKS!$F$2:$F$1201,$H169))</f>
        <v/>
      </c>
      <c r="H169" s="11" t="str">
        <f aca="false">IFERROR(MATCH(ROW()-1,DECKS!$O$2:$O$1201,0),"")</f>
        <v/>
      </c>
      <c r="I169" s="11" t="str">
        <f aca="false">IF(C169="","",G169&amp;" "&amp;D169&amp;" ("&amp;C169&amp;")")</f>
        <v/>
      </c>
    </row>
    <row r="170" customFormat="false" ht="15" hidden="false" customHeight="false" outlineLevel="0" collapsed="false">
      <c r="A170" s="16"/>
      <c r="B170" s="11" t="str">
        <f aca="false">IF($H170="","",INDEX(DECKS!$A$2:$A$1201,$H170))</f>
        <v/>
      </c>
      <c r="C170" s="11" t="str">
        <f aca="false">IF($H170="","",INDEX(DECKS!$B$2:$B$1201,$H170))</f>
        <v/>
      </c>
      <c r="D170" s="11" t="str">
        <f aca="false">IF($H170="","",INDEX(DECKS!$C$2:$C$1201,$H170))</f>
        <v/>
      </c>
      <c r="E170" s="16" t="str">
        <f aca="false">IF($H170="","",INDEX(DECKS!$D$2:$D$1201,$H170))</f>
        <v/>
      </c>
      <c r="F170" s="16" t="str">
        <f aca="false">IF($H170="","",INDEX(DECKS!$E$2:$E$1201,$H170))</f>
        <v/>
      </c>
      <c r="G170" s="21" t="str">
        <f aca="false">IF($H170="","",INDEX(DECKS!$F$2:$F$1201,$H170))</f>
        <v/>
      </c>
      <c r="H170" s="11" t="str">
        <f aca="false">IFERROR(MATCH(ROW()-1,DECKS!$O$2:$O$1201,0),"")</f>
        <v/>
      </c>
      <c r="I170" s="11" t="str">
        <f aca="false">IF(C170="","",G170&amp;" "&amp;D170&amp;" ("&amp;C170&amp;")")</f>
        <v/>
      </c>
    </row>
    <row r="171" customFormat="false" ht="15" hidden="false" customHeight="false" outlineLevel="0" collapsed="false">
      <c r="A171" s="16"/>
      <c r="B171" s="11" t="str">
        <f aca="false">IF($H171="","",INDEX(DECKS!$A$2:$A$1201,$H171))</f>
        <v/>
      </c>
      <c r="C171" s="11" t="str">
        <f aca="false">IF($H171="","",INDEX(DECKS!$B$2:$B$1201,$H171))</f>
        <v/>
      </c>
      <c r="D171" s="11" t="str">
        <f aca="false">IF($H171="","",INDEX(DECKS!$C$2:$C$1201,$H171))</f>
        <v/>
      </c>
      <c r="E171" s="16" t="str">
        <f aca="false">IF($H171="","",INDEX(DECKS!$D$2:$D$1201,$H171))</f>
        <v/>
      </c>
      <c r="F171" s="16" t="str">
        <f aca="false">IF($H171="","",INDEX(DECKS!$E$2:$E$1201,$H171))</f>
        <v/>
      </c>
      <c r="G171" s="21" t="str">
        <f aca="false">IF($H171="","",INDEX(DECKS!$F$2:$F$1201,$H171))</f>
        <v/>
      </c>
      <c r="H171" s="11" t="str">
        <f aca="false">IFERROR(MATCH(ROW()-1,DECKS!$O$2:$O$1201,0),"")</f>
        <v/>
      </c>
      <c r="I171" s="11" t="str">
        <f aca="false">IF(C171="","",G171&amp;" "&amp;D171&amp;" ("&amp;C171&amp;")")</f>
        <v/>
      </c>
    </row>
    <row r="172" customFormat="false" ht="15" hidden="false" customHeight="false" outlineLevel="0" collapsed="false">
      <c r="A172" s="16"/>
      <c r="B172" s="11" t="str">
        <f aca="false">IF($H172="","",INDEX(DECKS!$A$2:$A$1201,$H172))</f>
        <v/>
      </c>
      <c r="C172" s="11" t="str">
        <f aca="false">IF($H172="","",INDEX(DECKS!$B$2:$B$1201,$H172))</f>
        <v/>
      </c>
      <c r="D172" s="11" t="str">
        <f aca="false">IF($H172="","",INDEX(DECKS!$C$2:$C$1201,$H172))</f>
        <v/>
      </c>
      <c r="E172" s="16" t="str">
        <f aca="false">IF($H172="","",INDEX(DECKS!$D$2:$D$1201,$H172))</f>
        <v/>
      </c>
      <c r="F172" s="16" t="str">
        <f aca="false">IF($H172="","",INDEX(DECKS!$E$2:$E$1201,$H172))</f>
        <v/>
      </c>
      <c r="G172" s="21" t="str">
        <f aca="false">IF($H172="","",INDEX(DECKS!$F$2:$F$1201,$H172))</f>
        <v/>
      </c>
      <c r="H172" s="11" t="str">
        <f aca="false">IFERROR(MATCH(ROW()-1,DECKS!$O$2:$O$1201,0),"")</f>
        <v/>
      </c>
      <c r="I172" s="11" t="str">
        <f aca="false">IF(C172="","",G172&amp;" "&amp;D172&amp;" ("&amp;C172&amp;")")</f>
        <v/>
      </c>
    </row>
    <row r="173" customFormat="false" ht="15" hidden="false" customHeight="false" outlineLevel="0" collapsed="false">
      <c r="A173" s="16"/>
      <c r="B173" s="11" t="str">
        <f aca="false">IF($H173="","",INDEX(DECKS!$A$2:$A$1201,$H173))</f>
        <v/>
      </c>
      <c r="C173" s="11" t="str">
        <f aca="false">IF($H173="","",INDEX(DECKS!$B$2:$B$1201,$H173))</f>
        <v/>
      </c>
      <c r="D173" s="11" t="str">
        <f aca="false">IF($H173="","",INDEX(DECKS!$C$2:$C$1201,$H173))</f>
        <v/>
      </c>
      <c r="E173" s="16" t="str">
        <f aca="false">IF($H173="","",INDEX(DECKS!$D$2:$D$1201,$H173))</f>
        <v/>
      </c>
      <c r="F173" s="16" t="str">
        <f aca="false">IF($H173="","",INDEX(DECKS!$E$2:$E$1201,$H173))</f>
        <v/>
      </c>
      <c r="G173" s="21" t="str">
        <f aca="false">IF($H173="","",INDEX(DECKS!$F$2:$F$1201,$H173))</f>
        <v/>
      </c>
      <c r="H173" s="11" t="str">
        <f aca="false">IFERROR(MATCH(ROW()-1,DECKS!$O$2:$O$1201,0),"")</f>
        <v/>
      </c>
      <c r="I173" s="11" t="str">
        <f aca="false">IF(C173="","",G173&amp;" "&amp;D173&amp;" ("&amp;C173&amp;")")</f>
        <v/>
      </c>
    </row>
    <row r="174" customFormat="false" ht="15" hidden="false" customHeight="false" outlineLevel="0" collapsed="false">
      <c r="A174" s="16"/>
      <c r="B174" s="11" t="str">
        <f aca="false">IF($H174="","",INDEX(DECKS!$A$2:$A$1201,$H174))</f>
        <v/>
      </c>
      <c r="C174" s="11" t="str">
        <f aca="false">IF($H174="","",INDEX(DECKS!$B$2:$B$1201,$H174))</f>
        <v/>
      </c>
      <c r="D174" s="11" t="str">
        <f aca="false">IF($H174="","",INDEX(DECKS!$C$2:$C$1201,$H174))</f>
        <v/>
      </c>
      <c r="E174" s="16" t="str">
        <f aca="false">IF($H174="","",INDEX(DECKS!$D$2:$D$1201,$H174))</f>
        <v/>
      </c>
      <c r="F174" s="16" t="str">
        <f aca="false">IF($H174="","",INDEX(DECKS!$E$2:$E$1201,$H174))</f>
        <v/>
      </c>
      <c r="G174" s="21" t="str">
        <f aca="false">IF($H174="","",INDEX(DECKS!$F$2:$F$1201,$H174))</f>
        <v/>
      </c>
      <c r="H174" s="11" t="str">
        <f aca="false">IFERROR(MATCH(ROW()-1,DECKS!$O$2:$O$1201,0),"")</f>
        <v/>
      </c>
      <c r="I174" s="11" t="str">
        <f aca="false">IF(C174="","",G174&amp;" "&amp;D174&amp;" ("&amp;C174&amp;")")</f>
        <v/>
      </c>
    </row>
    <row r="175" customFormat="false" ht="15" hidden="false" customHeight="false" outlineLevel="0" collapsed="false">
      <c r="A175" s="16"/>
      <c r="B175" s="11" t="str">
        <f aca="false">IF($H175="","",INDEX(DECKS!$A$2:$A$1201,$H175))</f>
        <v/>
      </c>
      <c r="C175" s="11" t="str">
        <f aca="false">IF($H175="","",INDEX(DECKS!$B$2:$B$1201,$H175))</f>
        <v/>
      </c>
      <c r="D175" s="11" t="str">
        <f aca="false">IF($H175="","",INDEX(DECKS!$C$2:$C$1201,$H175))</f>
        <v/>
      </c>
      <c r="E175" s="16" t="str">
        <f aca="false">IF($H175="","",INDEX(DECKS!$D$2:$D$1201,$H175))</f>
        <v/>
      </c>
      <c r="F175" s="16" t="str">
        <f aca="false">IF($H175="","",INDEX(DECKS!$E$2:$E$1201,$H175))</f>
        <v/>
      </c>
      <c r="G175" s="21" t="str">
        <f aca="false">IF($H175="","",INDEX(DECKS!$F$2:$F$1201,$H175))</f>
        <v/>
      </c>
      <c r="H175" s="11" t="str">
        <f aca="false">IFERROR(MATCH(ROW()-1,DECKS!$O$2:$O$1201,0),"")</f>
        <v/>
      </c>
      <c r="I175" s="11" t="str">
        <f aca="false">IF(C175="","",G175&amp;" "&amp;D175&amp;" ("&amp;C175&amp;")")</f>
        <v/>
      </c>
    </row>
    <row r="176" customFormat="false" ht="15" hidden="false" customHeight="false" outlineLevel="0" collapsed="false">
      <c r="A176" s="16"/>
      <c r="B176" s="11" t="str">
        <f aca="false">IF($H176="","",INDEX(DECKS!$A$2:$A$1201,$H176))</f>
        <v/>
      </c>
      <c r="C176" s="11" t="str">
        <f aca="false">IF($H176="","",INDEX(DECKS!$B$2:$B$1201,$H176))</f>
        <v/>
      </c>
      <c r="D176" s="11" t="str">
        <f aca="false">IF($H176="","",INDEX(DECKS!$C$2:$C$1201,$H176))</f>
        <v/>
      </c>
      <c r="E176" s="16" t="str">
        <f aca="false">IF($H176="","",INDEX(DECKS!$D$2:$D$1201,$H176))</f>
        <v/>
      </c>
      <c r="F176" s="16" t="str">
        <f aca="false">IF($H176="","",INDEX(DECKS!$E$2:$E$1201,$H176))</f>
        <v/>
      </c>
      <c r="G176" s="21" t="str">
        <f aca="false">IF($H176="","",INDEX(DECKS!$F$2:$F$1201,$H176))</f>
        <v/>
      </c>
      <c r="H176" s="11" t="str">
        <f aca="false">IFERROR(MATCH(ROW()-1,DECKS!$O$2:$O$1201,0),"")</f>
        <v/>
      </c>
      <c r="I176" s="11" t="str">
        <f aca="false">IF(C176="","",G176&amp;" "&amp;D176&amp;" ("&amp;C176&amp;")")</f>
        <v/>
      </c>
    </row>
    <row r="177" customFormat="false" ht="15" hidden="false" customHeight="false" outlineLevel="0" collapsed="false">
      <c r="A177" s="16"/>
      <c r="B177" s="11" t="str">
        <f aca="false">IF($H177="","",INDEX(DECKS!$A$2:$A$1201,$H177))</f>
        <v/>
      </c>
      <c r="C177" s="11" t="str">
        <f aca="false">IF($H177="","",INDEX(DECKS!$B$2:$B$1201,$H177))</f>
        <v/>
      </c>
      <c r="D177" s="11" t="str">
        <f aca="false">IF($H177="","",INDEX(DECKS!$C$2:$C$1201,$H177))</f>
        <v/>
      </c>
      <c r="E177" s="16" t="str">
        <f aca="false">IF($H177="","",INDEX(DECKS!$D$2:$D$1201,$H177))</f>
        <v/>
      </c>
      <c r="F177" s="16" t="str">
        <f aca="false">IF($H177="","",INDEX(DECKS!$E$2:$E$1201,$H177))</f>
        <v/>
      </c>
      <c r="G177" s="21" t="str">
        <f aca="false">IF($H177="","",INDEX(DECKS!$F$2:$F$1201,$H177))</f>
        <v/>
      </c>
      <c r="H177" s="11" t="str">
        <f aca="false">IFERROR(MATCH(ROW()-1,DECKS!$O$2:$O$1201,0),"")</f>
        <v/>
      </c>
      <c r="I177" s="11" t="str">
        <f aca="false">IF(C177="","",G177&amp;" "&amp;D177&amp;" ("&amp;C177&amp;")")</f>
        <v/>
      </c>
    </row>
    <row r="178" customFormat="false" ht="15" hidden="false" customHeight="false" outlineLevel="0" collapsed="false">
      <c r="A178" s="16"/>
      <c r="B178" s="11" t="str">
        <f aca="false">IF($H178="","",INDEX(DECKS!$A$2:$A$1201,$H178))</f>
        <v/>
      </c>
      <c r="C178" s="11" t="str">
        <f aca="false">IF($H178="","",INDEX(DECKS!$B$2:$B$1201,$H178))</f>
        <v/>
      </c>
      <c r="D178" s="11" t="str">
        <f aca="false">IF($H178="","",INDEX(DECKS!$C$2:$C$1201,$H178))</f>
        <v/>
      </c>
      <c r="E178" s="16" t="str">
        <f aca="false">IF($H178="","",INDEX(DECKS!$D$2:$D$1201,$H178))</f>
        <v/>
      </c>
      <c r="F178" s="16" t="str">
        <f aca="false">IF($H178="","",INDEX(DECKS!$E$2:$E$1201,$H178))</f>
        <v/>
      </c>
      <c r="G178" s="21" t="str">
        <f aca="false">IF($H178="","",INDEX(DECKS!$F$2:$F$1201,$H178))</f>
        <v/>
      </c>
      <c r="H178" s="11" t="str">
        <f aca="false">IFERROR(MATCH(ROW()-1,DECKS!$O$2:$O$1201,0),"")</f>
        <v/>
      </c>
      <c r="I178" s="11" t="str">
        <f aca="false">IF(C178="","",G178&amp;" "&amp;D178&amp;" ("&amp;C178&amp;")")</f>
        <v/>
      </c>
    </row>
    <row r="179" customFormat="false" ht="15" hidden="false" customHeight="false" outlineLevel="0" collapsed="false">
      <c r="A179" s="16"/>
      <c r="B179" s="11" t="str">
        <f aca="false">IF($H179="","",INDEX(DECKS!$A$2:$A$1201,$H179))</f>
        <v/>
      </c>
      <c r="C179" s="11" t="str">
        <f aca="false">IF($H179="","",INDEX(DECKS!$B$2:$B$1201,$H179))</f>
        <v/>
      </c>
      <c r="D179" s="11" t="str">
        <f aca="false">IF($H179="","",INDEX(DECKS!$C$2:$C$1201,$H179))</f>
        <v/>
      </c>
      <c r="E179" s="16" t="str">
        <f aca="false">IF($H179="","",INDEX(DECKS!$D$2:$D$1201,$H179))</f>
        <v/>
      </c>
      <c r="F179" s="16" t="str">
        <f aca="false">IF($H179="","",INDEX(DECKS!$E$2:$E$1201,$H179))</f>
        <v/>
      </c>
      <c r="G179" s="21" t="str">
        <f aca="false">IF($H179="","",INDEX(DECKS!$F$2:$F$1201,$H179))</f>
        <v/>
      </c>
      <c r="H179" s="11" t="str">
        <f aca="false">IFERROR(MATCH(ROW()-1,DECKS!$O$2:$O$1201,0),"")</f>
        <v/>
      </c>
      <c r="I179" s="11" t="str">
        <f aca="false">IF(C179="","",G179&amp;" "&amp;D179&amp;" ("&amp;C179&amp;")")</f>
        <v/>
      </c>
    </row>
    <row r="180" customFormat="false" ht="15" hidden="false" customHeight="false" outlineLevel="0" collapsed="false">
      <c r="A180" s="16"/>
      <c r="B180" s="11" t="str">
        <f aca="false">IF($H180="","",INDEX(DECKS!$A$2:$A$1201,$H180))</f>
        <v/>
      </c>
      <c r="C180" s="11" t="str">
        <f aca="false">IF($H180="","",INDEX(DECKS!$B$2:$B$1201,$H180))</f>
        <v/>
      </c>
      <c r="D180" s="11" t="str">
        <f aca="false">IF($H180="","",INDEX(DECKS!$C$2:$C$1201,$H180))</f>
        <v/>
      </c>
      <c r="E180" s="16" t="str">
        <f aca="false">IF($H180="","",INDEX(DECKS!$D$2:$D$1201,$H180))</f>
        <v/>
      </c>
      <c r="F180" s="16" t="str">
        <f aca="false">IF($H180="","",INDEX(DECKS!$E$2:$E$1201,$H180))</f>
        <v/>
      </c>
      <c r="G180" s="21" t="str">
        <f aca="false">IF($H180="","",INDEX(DECKS!$F$2:$F$1201,$H180))</f>
        <v/>
      </c>
      <c r="H180" s="11" t="str">
        <f aca="false">IFERROR(MATCH(ROW()-1,DECKS!$O$2:$O$1201,0),"")</f>
        <v/>
      </c>
      <c r="I180" s="11" t="str">
        <f aca="false">IF(C180="","",G180&amp;" "&amp;D180&amp;" ("&amp;C180&amp;")")</f>
        <v/>
      </c>
    </row>
    <row r="181" customFormat="false" ht="15" hidden="false" customHeight="false" outlineLevel="0" collapsed="false">
      <c r="A181" s="16"/>
      <c r="B181" s="11" t="str">
        <f aca="false">IF($H181="","",INDEX(DECKS!$A$2:$A$1201,$H181))</f>
        <v/>
      </c>
      <c r="C181" s="11" t="str">
        <f aca="false">IF($H181="","",INDEX(DECKS!$B$2:$B$1201,$H181))</f>
        <v/>
      </c>
      <c r="D181" s="11" t="str">
        <f aca="false">IF($H181="","",INDEX(DECKS!$C$2:$C$1201,$H181))</f>
        <v/>
      </c>
      <c r="E181" s="16" t="str">
        <f aca="false">IF($H181="","",INDEX(DECKS!$D$2:$D$1201,$H181))</f>
        <v/>
      </c>
      <c r="F181" s="16" t="str">
        <f aca="false">IF($H181="","",INDEX(DECKS!$E$2:$E$1201,$H181))</f>
        <v/>
      </c>
      <c r="G181" s="21" t="str">
        <f aca="false">IF($H181="","",INDEX(DECKS!$F$2:$F$1201,$H181))</f>
        <v/>
      </c>
      <c r="H181" s="11" t="str">
        <f aca="false">IFERROR(MATCH(ROW()-1,DECKS!$O$2:$O$1201,0),"")</f>
        <v/>
      </c>
      <c r="I181" s="11" t="str">
        <f aca="false">IF(C181="","",G181&amp;" "&amp;D181&amp;" ("&amp;C181&amp;")")</f>
        <v/>
      </c>
    </row>
    <row r="182" customFormat="false" ht="15" hidden="false" customHeight="false" outlineLevel="0" collapsed="false">
      <c r="A182" s="16"/>
      <c r="B182" s="11" t="str">
        <f aca="false">IF($H182="","",INDEX(DECKS!$A$2:$A$1201,$H182))</f>
        <v/>
      </c>
      <c r="C182" s="11" t="str">
        <f aca="false">IF($H182="","",INDEX(DECKS!$B$2:$B$1201,$H182))</f>
        <v/>
      </c>
      <c r="D182" s="11" t="str">
        <f aca="false">IF($H182="","",INDEX(DECKS!$C$2:$C$1201,$H182))</f>
        <v/>
      </c>
      <c r="E182" s="16" t="str">
        <f aca="false">IF($H182="","",INDEX(DECKS!$D$2:$D$1201,$H182))</f>
        <v/>
      </c>
      <c r="F182" s="16" t="str">
        <f aca="false">IF($H182="","",INDEX(DECKS!$E$2:$E$1201,$H182))</f>
        <v/>
      </c>
      <c r="G182" s="21" t="str">
        <f aca="false">IF($H182="","",INDEX(DECKS!$F$2:$F$1201,$H182))</f>
        <v/>
      </c>
      <c r="H182" s="11" t="str">
        <f aca="false">IFERROR(MATCH(ROW()-1,DECKS!$O$2:$O$1201,0),"")</f>
        <v/>
      </c>
      <c r="I182" s="11" t="str">
        <f aca="false">IF(C182="","",G182&amp;" "&amp;D182&amp;" ("&amp;C182&amp;")")</f>
        <v/>
      </c>
    </row>
    <row r="183" customFormat="false" ht="15" hidden="false" customHeight="false" outlineLevel="0" collapsed="false">
      <c r="A183" s="16"/>
      <c r="B183" s="11" t="str">
        <f aca="false">IF($H183="","",INDEX(DECKS!$A$2:$A$1201,$H183))</f>
        <v/>
      </c>
      <c r="C183" s="11" t="str">
        <f aca="false">IF($H183="","",INDEX(DECKS!$B$2:$B$1201,$H183))</f>
        <v/>
      </c>
      <c r="D183" s="11" t="str">
        <f aca="false">IF($H183="","",INDEX(DECKS!$C$2:$C$1201,$H183))</f>
        <v/>
      </c>
      <c r="E183" s="16" t="str">
        <f aca="false">IF($H183="","",INDEX(DECKS!$D$2:$D$1201,$H183))</f>
        <v/>
      </c>
      <c r="F183" s="16" t="str">
        <f aca="false">IF($H183="","",INDEX(DECKS!$E$2:$E$1201,$H183))</f>
        <v/>
      </c>
      <c r="G183" s="21" t="str">
        <f aca="false">IF($H183="","",INDEX(DECKS!$F$2:$F$1201,$H183))</f>
        <v/>
      </c>
      <c r="H183" s="11" t="str">
        <f aca="false">IFERROR(MATCH(ROW()-1,DECKS!$O$2:$O$1201,0),"")</f>
        <v/>
      </c>
      <c r="I183" s="11" t="str">
        <f aca="false">IF(C183="","",G183&amp;" "&amp;D183&amp;" ("&amp;C183&amp;")")</f>
        <v/>
      </c>
    </row>
    <row r="184" customFormat="false" ht="15" hidden="false" customHeight="false" outlineLevel="0" collapsed="false">
      <c r="A184" s="16"/>
      <c r="B184" s="11" t="str">
        <f aca="false">IF($H184="","",INDEX(DECKS!$A$2:$A$1201,$H184))</f>
        <v/>
      </c>
      <c r="C184" s="11" t="str">
        <f aca="false">IF($H184="","",INDEX(DECKS!$B$2:$B$1201,$H184))</f>
        <v/>
      </c>
      <c r="D184" s="11" t="str">
        <f aca="false">IF($H184="","",INDEX(DECKS!$C$2:$C$1201,$H184))</f>
        <v/>
      </c>
      <c r="E184" s="16" t="str">
        <f aca="false">IF($H184="","",INDEX(DECKS!$D$2:$D$1201,$H184))</f>
        <v/>
      </c>
      <c r="F184" s="16" t="str">
        <f aca="false">IF($H184="","",INDEX(DECKS!$E$2:$E$1201,$H184))</f>
        <v/>
      </c>
      <c r="G184" s="21" t="str">
        <f aca="false">IF($H184="","",INDEX(DECKS!$F$2:$F$1201,$H184))</f>
        <v/>
      </c>
      <c r="H184" s="11" t="str">
        <f aca="false">IFERROR(MATCH(ROW()-1,DECKS!$O$2:$O$1201,0),"")</f>
        <v/>
      </c>
      <c r="I184" s="11" t="str">
        <f aca="false">IF(C184="","",G184&amp;" "&amp;D184&amp;" ("&amp;C184&amp;")")</f>
        <v/>
      </c>
    </row>
    <row r="185" customFormat="false" ht="15" hidden="false" customHeight="false" outlineLevel="0" collapsed="false">
      <c r="A185" s="16"/>
      <c r="B185" s="11" t="str">
        <f aca="false">IF($H185="","",INDEX(DECKS!$A$2:$A$1201,$H185))</f>
        <v/>
      </c>
      <c r="C185" s="11" t="str">
        <f aca="false">IF($H185="","",INDEX(DECKS!$B$2:$B$1201,$H185))</f>
        <v/>
      </c>
      <c r="D185" s="11" t="str">
        <f aca="false">IF($H185="","",INDEX(DECKS!$C$2:$C$1201,$H185))</f>
        <v/>
      </c>
      <c r="E185" s="16" t="str">
        <f aca="false">IF($H185="","",INDEX(DECKS!$D$2:$D$1201,$H185))</f>
        <v/>
      </c>
      <c r="F185" s="16" t="str">
        <f aca="false">IF($H185="","",INDEX(DECKS!$E$2:$E$1201,$H185))</f>
        <v/>
      </c>
      <c r="G185" s="21" t="str">
        <f aca="false">IF($H185="","",INDEX(DECKS!$F$2:$F$1201,$H185))</f>
        <v/>
      </c>
      <c r="H185" s="11" t="str">
        <f aca="false">IFERROR(MATCH(ROW()-1,DECKS!$O$2:$O$1201,0),"")</f>
        <v/>
      </c>
      <c r="I185" s="11" t="str">
        <f aca="false">IF(C185="","",G185&amp;" "&amp;D185&amp;" ("&amp;C185&amp;")")</f>
        <v/>
      </c>
    </row>
    <row r="186" customFormat="false" ht="15" hidden="false" customHeight="false" outlineLevel="0" collapsed="false">
      <c r="A186" s="16"/>
      <c r="B186" s="11" t="str">
        <f aca="false">IF($H186="","",INDEX(DECKS!$A$2:$A$1201,$H186))</f>
        <v/>
      </c>
      <c r="C186" s="11" t="str">
        <f aca="false">IF($H186="","",INDEX(DECKS!$B$2:$B$1201,$H186))</f>
        <v/>
      </c>
      <c r="D186" s="11" t="str">
        <f aca="false">IF($H186="","",INDEX(DECKS!$C$2:$C$1201,$H186))</f>
        <v/>
      </c>
      <c r="E186" s="16" t="str">
        <f aca="false">IF($H186="","",INDEX(DECKS!$D$2:$D$1201,$H186))</f>
        <v/>
      </c>
      <c r="F186" s="16" t="str">
        <f aca="false">IF($H186="","",INDEX(DECKS!$E$2:$E$1201,$H186))</f>
        <v/>
      </c>
      <c r="G186" s="21" t="str">
        <f aca="false">IF($H186="","",INDEX(DECKS!$F$2:$F$1201,$H186))</f>
        <v/>
      </c>
      <c r="H186" s="11" t="str">
        <f aca="false">IFERROR(MATCH(ROW()-1,DECKS!$O$2:$O$1201,0),"")</f>
        <v/>
      </c>
      <c r="I186" s="11" t="str">
        <f aca="false">IF(C186="","",G186&amp;" "&amp;D186&amp;" ("&amp;C186&amp;")")</f>
        <v/>
      </c>
    </row>
    <row r="187" customFormat="false" ht="15" hidden="false" customHeight="false" outlineLevel="0" collapsed="false">
      <c r="A187" s="16"/>
      <c r="B187" s="11" t="str">
        <f aca="false">IF($H187="","",INDEX(DECKS!$A$2:$A$1201,$H187))</f>
        <v/>
      </c>
      <c r="C187" s="11" t="str">
        <f aca="false">IF($H187="","",INDEX(DECKS!$B$2:$B$1201,$H187))</f>
        <v/>
      </c>
      <c r="D187" s="11" t="str">
        <f aca="false">IF($H187="","",INDEX(DECKS!$C$2:$C$1201,$H187))</f>
        <v/>
      </c>
      <c r="E187" s="16" t="str">
        <f aca="false">IF($H187="","",INDEX(DECKS!$D$2:$D$1201,$H187))</f>
        <v/>
      </c>
      <c r="F187" s="16" t="str">
        <f aca="false">IF($H187="","",INDEX(DECKS!$E$2:$E$1201,$H187))</f>
        <v/>
      </c>
      <c r="G187" s="21" t="str">
        <f aca="false">IF($H187="","",INDEX(DECKS!$F$2:$F$1201,$H187))</f>
        <v/>
      </c>
      <c r="H187" s="11" t="str">
        <f aca="false">IFERROR(MATCH(ROW()-1,DECKS!$O$2:$O$1201,0),"")</f>
        <v/>
      </c>
      <c r="I187" s="11" t="str">
        <f aca="false">IF(C187="","",G187&amp;" "&amp;D187&amp;" ("&amp;C187&amp;")")</f>
        <v/>
      </c>
    </row>
    <row r="188" customFormat="false" ht="15" hidden="false" customHeight="false" outlineLevel="0" collapsed="false">
      <c r="A188" s="16"/>
      <c r="B188" s="11" t="str">
        <f aca="false">IF($H188="","",INDEX(DECKS!$A$2:$A$1201,$H188))</f>
        <v/>
      </c>
      <c r="C188" s="11" t="str">
        <f aca="false">IF($H188="","",INDEX(DECKS!$B$2:$B$1201,$H188))</f>
        <v/>
      </c>
      <c r="D188" s="11" t="str">
        <f aca="false">IF($H188="","",INDEX(DECKS!$C$2:$C$1201,$H188))</f>
        <v/>
      </c>
      <c r="E188" s="16" t="str">
        <f aca="false">IF($H188="","",INDEX(DECKS!$D$2:$D$1201,$H188))</f>
        <v/>
      </c>
      <c r="F188" s="16" t="str">
        <f aca="false">IF($H188="","",INDEX(DECKS!$E$2:$E$1201,$H188))</f>
        <v/>
      </c>
      <c r="G188" s="21" t="str">
        <f aca="false">IF($H188="","",INDEX(DECKS!$F$2:$F$1201,$H188))</f>
        <v/>
      </c>
      <c r="H188" s="11" t="str">
        <f aca="false">IFERROR(MATCH(ROW()-1,DECKS!$O$2:$O$1201,0),"")</f>
        <v/>
      </c>
      <c r="I188" s="11" t="str">
        <f aca="false">IF(C188="","",G188&amp;" "&amp;D188&amp;" ("&amp;C188&amp;")")</f>
        <v/>
      </c>
    </row>
    <row r="189" customFormat="false" ht="15" hidden="false" customHeight="false" outlineLevel="0" collapsed="false">
      <c r="A189" s="16"/>
      <c r="B189" s="11" t="str">
        <f aca="false">IF($H189="","",INDEX(DECKS!$A$2:$A$1201,$H189))</f>
        <v/>
      </c>
      <c r="C189" s="11" t="str">
        <f aca="false">IF($H189="","",INDEX(DECKS!$B$2:$B$1201,$H189))</f>
        <v/>
      </c>
      <c r="D189" s="11" t="str">
        <f aca="false">IF($H189="","",INDEX(DECKS!$C$2:$C$1201,$H189))</f>
        <v/>
      </c>
      <c r="E189" s="16" t="str">
        <f aca="false">IF($H189="","",INDEX(DECKS!$D$2:$D$1201,$H189))</f>
        <v/>
      </c>
      <c r="F189" s="16" t="str">
        <f aca="false">IF($H189="","",INDEX(DECKS!$E$2:$E$1201,$H189))</f>
        <v/>
      </c>
      <c r="G189" s="21" t="str">
        <f aca="false">IF($H189="","",INDEX(DECKS!$F$2:$F$1201,$H189))</f>
        <v/>
      </c>
      <c r="H189" s="11" t="str">
        <f aca="false">IFERROR(MATCH(ROW()-1,DECKS!$O$2:$O$1201,0),"")</f>
        <v/>
      </c>
      <c r="I189" s="11" t="str">
        <f aca="false">IF(C189="","",G189&amp;" "&amp;D189&amp;" ("&amp;C189&amp;")")</f>
        <v/>
      </c>
    </row>
    <row r="190" customFormat="false" ht="15" hidden="false" customHeight="false" outlineLevel="0" collapsed="false">
      <c r="A190" s="16"/>
      <c r="B190" s="11" t="str">
        <f aca="false">IF($H190="","",INDEX(DECKS!$A$2:$A$1201,$H190))</f>
        <v/>
      </c>
      <c r="C190" s="11" t="str">
        <f aca="false">IF($H190="","",INDEX(DECKS!$B$2:$B$1201,$H190))</f>
        <v/>
      </c>
      <c r="D190" s="11" t="str">
        <f aca="false">IF($H190="","",INDEX(DECKS!$C$2:$C$1201,$H190))</f>
        <v/>
      </c>
      <c r="E190" s="16" t="str">
        <f aca="false">IF($H190="","",INDEX(DECKS!$D$2:$D$1201,$H190))</f>
        <v/>
      </c>
      <c r="F190" s="16" t="str">
        <f aca="false">IF($H190="","",INDEX(DECKS!$E$2:$E$1201,$H190))</f>
        <v/>
      </c>
      <c r="G190" s="21" t="str">
        <f aca="false">IF($H190="","",INDEX(DECKS!$F$2:$F$1201,$H190))</f>
        <v/>
      </c>
      <c r="H190" s="11" t="str">
        <f aca="false">IFERROR(MATCH(ROW()-1,DECKS!$O$2:$O$1201,0),"")</f>
        <v/>
      </c>
      <c r="I190" s="11" t="str">
        <f aca="false">IF(C190="","",G190&amp;" "&amp;D190&amp;" ("&amp;C190&amp;")")</f>
        <v/>
      </c>
    </row>
    <row r="191" customFormat="false" ht="15" hidden="false" customHeight="false" outlineLevel="0" collapsed="false">
      <c r="A191" s="16"/>
      <c r="B191" s="11" t="str">
        <f aca="false">IF($H191="","",INDEX(DECKS!$A$2:$A$1201,$H191))</f>
        <v/>
      </c>
      <c r="C191" s="11" t="str">
        <f aca="false">IF($H191="","",INDEX(DECKS!$B$2:$B$1201,$H191))</f>
        <v/>
      </c>
      <c r="D191" s="11" t="str">
        <f aca="false">IF($H191="","",INDEX(DECKS!$C$2:$C$1201,$H191))</f>
        <v/>
      </c>
      <c r="E191" s="16" t="str">
        <f aca="false">IF($H191="","",INDEX(DECKS!$D$2:$D$1201,$H191))</f>
        <v/>
      </c>
      <c r="F191" s="16" t="str">
        <f aca="false">IF($H191="","",INDEX(DECKS!$E$2:$E$1201,$H191))</f>
        <v/>
      </c>
      <c r="G191" s="21" t="str">
        <f aca="false">IF($H191="","",INDEX(DECKS!$F$2:$F$1201,$H191))</f>
        <v/>
      </c>
      <c r="H191" s="11" t="str">
        <f aca="false">IFERROR(MATCH(ROW()-1,DECKS!$O$2:$O$1201,0),"")</f>
        <v/>
      </c>
      <c r="I191" s="11" t="str">
        <f aca="false">IF(C191="","",G191&amp;" "&amp;D191&amp;" ("&amp;C191&amp;")")</f>
        <v/>
      </c>
    </row>
    <row r="192" customFormat="false" ht="15" hidden="false" customHeight="false" outlineLevel="0" collapsed="false">
      <c r="A192" s="16"/>
      <c r="B192" s="11" t="str">
        <f aca="false">IF($H192="","",INDEX(DECKS!$A$2:$A$1201,$H192))</f>
        <v/>
      </c>
      <c r="C192" s="11" t="str">
        <f aca="false">IF($H192="","",INDEX(DECKS!$B$2:$B$1201,$H192))</f>
        <v/>
      </c>
      <c r="D192" s="11" t="str">
        <f aca="false">IF($H192="","",INDEX(DECKS!$C$2:$C$1201,$H192))</f>
        <v/>
      </c>
      <c r="E192" s="16" t="str">
        <f aca="false">IF($H192="","",INDEX(DECKS!$D$2:$D$1201,$H192))</f>
        <v/>
      </c>
      <c r="F192" s="16" t="str">
        <f aca="false">IF($H192="","",INDEX(DECKS!$E$2:$E$1201,$H192))</f>
        <v/>
      </c>
      <c r="G192" s="21" t="str">
        <f aca="false">IF($H192="","",INDEX(DECKS!$F$2:$F$1201,$H192))</f>
        <v/>
      </c>
      <c r="H192" s="11" t="str">
        <f aca="false">IFERROR(MATCH(ROW()-1,DECKS!$O$2:$O$1201,0),"")</f>
        <v/>
      </c>
      <c r="I192" s="11" t="str">
        <f aca="false">IF(C192="","",G192&amp;" "&amp;D192&amp;" ("&amp;C192&amp;")")</f>
        <v/>
      </c>
    </row>
    <row r="193" customFormat="false" ht="15" hidden="false" customHeight="false" outlineLevel="0" collapsed="false">
      <c r="A193" s="16"/>
      <c r="B193" s="11" t="str">
        <f aca="false">IF($H193="","",INDEX(DECKS!$A$2:$A$1201,$H193))</f>
        <v/>
      </c>
      <c r="C193" s="11" t="str">
        <f aca="false">IF($H193="","",INDEX(DECKS!$B$2:$B$1201,$H193))</f>
        <v/>
      </c>
      <c r="D193" s="11" t="str">
        <f aca="false">IF($H193="","",INDEX(DECKS!$C$2:$C$1201,$H193))</f>
        <v/>
      </c>
      <c r="E193" s="16" t="str">
        <f aca="false">IF($H193="","",INDEX(DECKS!$D$2:$D$1201,$H193))</f>
        <v/>
      </c>
      <c r="F193" s="16" t="str">
        <f aca="false">IF($H193="","",INDEX(DECKS!$E$2:$E$1201,$H193))</f>
        <v/>
      </c>
      <c r="G193" s="21" t="str">
        <f aca="false">IF($H193="","",INDEX(DECKS!$F$2:$F$1201,$H193))</f>
        <v/>
      </c>
      <c r="H193" s="11" t="str">
        <f aca="false">IFERROR(MATCH(ROW()-1,DECKS!$O$2:$O$1201,0),"")</f>
        <v/>
      </c>
      <c r="I193" s="11" t="str">
        <f aca="false">IF(C193="","",G193&amp;" "&amp;D193&amp;" ("&amp;C193&amp;")")</f>
        <v/>
      </c>
    </row>
    <row r="194" customFormat="false" ht="15" hidden="false" customHeight="false" outlineLevel="0" collapsed="false">
      <c r="A194" s="16"/>
      <c r="B194" s="11" t="str">
        <f aca="false">IF($H194="","",INDEX(DECKS!$A$2:$A$1201,$H194))</f>
        <v/>
      </c>
      <c r="C194" s="11" t="str">
        <f aca="false">IF($H194="","",INDEX(DECKS!$B$2:$B$1201,$H194))</f>
        <v/>
      </c>
      <c r="D194" s="11" t="str">
        <f aca="false">IF($H194="","",INDEX(DECKS!$C$2:$C$1201,$H194))</f>
        <v/>
      </c>
      <c r="E194" s="16" t="str">
        <f aca="false">IF($H194="","",INDEX(DECKS!$D$2:$D$1201,$H194))</f>
        <v/>
      </c>
      <c r="F194" s="16" t="str">
        <f aca="false">IF($H194="","",INDEX(DECKS!$E$2:$E$1201,$H194))</f>
        <v/>
      </c>
      <c r="G194" s="21" t="str">
        <f aca="false">IF($H194="","",INDEX(DECKS!$F$2:$F$1201,$H194))</f>
        <v/>
      </c>
      <c r="H194" s="11" t="str">
        <f aca="false">IFERROR(MATCH(ROW()-1,DECKS!$O$2:$O$1201,0),"")</f>
        <v/>
      </c>
      <c r="I194" s="11" t="str">
        <f aca="false">IF(C194="","",G194&amp;" "&amp;D194&amp;" ("&amp;C194&amp;")")</f>
        <v/>
      </c>
    </row>
    <row r="195" customFormat="false" ht="15" hidden="false" customHeight="false" outlineLevel="0" collapsed="false">
      <c r="A195" s="16"/>
      <c r="B195" s="11" t="str">
        <f aca="false">IF($H195="","",INDEX(DECKS!$A$2:$A$1201,$H195))</f>
        <v/>
      </c>
      <c r="C195" s="11" t="str">
        <f aca="false">IF($H195="","",INDEX(DECKS!$B$2:$B$1201,$H195))</f>
        <v/>
      </c>
      <c r="D195" s="11" t="str">
        <f aca="false">IF($H195="","",INDEX(DECKS!$C$2:$C$1201,$H195))</f>
        <v/>
      </c>
      <c r="E195" s="16" t="str">
        <f aca="false">IF($H195="","",INDEX(DECKS!$D$2:$D$1201,$H195))</f>
        <v/>
      </c>
      <c r="F195" s="16" t="str">
        <f aca="false">IF($H195="","",INDEX(DECKS!$E$2:$E$1201,$H195))</f>
        <v/>
      </c>
      <c r="G195" s="21" t="str">
        <f aca="false">IF($H195="","",INDEX(DECKS!$F$2:$F$1201,$H195))</f>
        <v/>
      </c>
      <c r="H195" s="11" t="str">
        <f aca="false">IFERROR(MATCH(ROW()-1,DECKS!$O$2:$O$1201,0),"")</f>
        <v/>
      </c>
      <c r="I195" s="11" t="str">
        <f aca="false">IF(C195="","",G195&amp;" "&amp;D195&amp;" ("&amp;C195&amp;")")</f>
        <v/>
      </c>
    </row>
    <row r="196" customFormat="false" ht="15" hidden="false" customHeight="false" outlineLevel="0" collapsed="false">
      <c r="A196" s="16"/>
      <c r="B196" s="11" t="str">
        <f aca="false">IF($H196="","",INDEX(DECKS!$A$2:$A$1201,$H196))</f>
        <v/>
      </c>
      <c r="C196" s="11" t="str">
        <f aca="false">IF($H196="","",INDEX(DECKS!$B$2:$B$1201,$H196))</f>
        <v/>
      </c>
      <c r="D196" s="11" t="str">
        <f aca="false">IF($H196="","",INDEX(DECKS!$C$2:$C$1201,$H196))</f>
        <v/>
      </c>
      <c r="E196" s="16" t="str">
        <f aca="false">IF($H196="","",INDEX(DECKS!$D$2:$D$1201,$H196))</f>
        <v/>
      </c>
      <c r="F196" s="16" t="str">
        <f aca="false">IF($H196="","",INDEX(DECKS!$E$2:$E$1201,$H196))</f>
        <v/>
      </c>
      <c r="G196" s="21" t="str">
        <f aca="false">IF($H196="","",INDEX(DECKS!$F$2:$F$1201,$H196))</f>
        <v/>
      </c>
      <c r="H196" s="11" t="str">
        <f aca="false">IFERROR(MATCH(ROW()-1,DECKS!$O$2:$O$1201,0),"")</f>
        <v/>
      </c>
      <c r="I196" s="11" t="str">
        <f aca="false">IF(C196="","",G196&amp;" "&amp;D196&amp;" ("&amp;C196&amp;")")</f>
        <v/>
      </c>
    </row>
    <row r="197" customFormat="false" ht="15" hidden="false" customHeight="false" outlineLevel="0" collapsed="false">
      <c r="A197" s="16"/>
      <c r="B197" s="11" t="str">
        <f aca="false">IF($H197="","",INDEX(DECKS!$A$2:$A$1201,$H197))</f>
        <v/>
      </c>
      <c r="C197" s="11" t="str">
        <f aca="false">IF($H197="","",INDEX(DECKS!$B$2:$B$1201,$H197))</f>
        <v/>
      </c>
      <c r="D197" s="11" t="str">
        <f aca="false">IF($H197="","",INDEX(DECKS!$C$2:$C$1201,$H197))</f>
        <v/>
      </c>
      <c r="E197" s="16" t="str">
        <f aca="false">IF($H197="","",INDEX(DECKS!$D$2:$D$1201,$H197))</f>
        <v/>
      </c>
      <c r="F197" s="16" t="str">
        <f aca="false">IF($H197="","",INDEX(DECKS!$E$2:$E$1201,$H197))</f>
        <v/>
      </c>
      <c r="G197" s="21" t="str">
        <f aca="false">IF($H197="","",INDEX(DECKS!$F$2:$F$1201,$H197))</f>
        <v/>
      </c>
      <c r="H197" s="11" t="str">
        <f aca="false">IFERROR(MATCH(ROW()-1,DECKS!$O$2:$O$1201,0),"")</f>
        <v/>
      </c>
      <c r="I197" s="11" t="str">
        <f aca="false">IF(C197="","",G197&amp;" "&amp;D197&amp;" ("&amp;C197&amp;")")</f>
        <v/>
      </c>
    </row>
    <row r="198" customFormat="false" ht="15" hidden="false" customHeight="false" outlineLevel="0" collapsed="false">
      <c r="A198" s="16"/>
      <c r="B198" s="11" t="str">
        <f aca="false">IF($H198="","",INDEX(DECKS!$A$2:$A$1201,$H198))</f>
        <v/>
      </c>
      <c r="C198" s="11" t="str">
        <f aca="false">IF($H198="","",INDEX(DECKS!$B$2:$B$1201,$H198))</f>
        <v/>
      </c>
      <c r="D198" s="11" t="str">
        <f aca="false">IF($H198="","",INDEX(DECKS!$C$2:$C$1201,$H198))</f>
        <v/>
      </c>
      <c r="E198" s="16" t="str">
        <f aca="false">IF($H198="","",INDEX(DECKS!$D$2:$D$1201,$H198))</f>
        <v/>
      </c>
      <c r="F198" s="16" t="str">
        <f aca="false">IF($H198="","",INDEX(DECKS!$E$2:$E$1201,$H198))</f>
        <v/>
      </c>
      <c r="G198" s="21" t="str">
        <f aca="false">IF($H198="","",INDEX(DECKS!$F$2:$F$1201,$H198))</f>
        <v/>
      </c>
      <c r="H198" s="11" t="str">
        <f aca="false">IFERROR(MATCH(ROW()-1,DECKS!$O$2:$O$1201,0),"")</f>
        <v/>
      </c>
      <c r="I198" s="11" t="str">
        <f aca="false">IF(C198="","",G198&amp;" "&amp;D198&amp;" ("&amp;C198&amp;")")</f>
        <v/>
      </c>
    </row>
    <row r="199" customFormat="false" ht="15" hidden="false" customHeight="false" outlineLevel="0" collapsed="false">
      <c r="A199" s="16"/>
      <c r="B199" s="11" t="str">
        <f aca="false">IF($H199="","",INDEX(DECKS!$A$2:$A$1201,$H199))</f>
        <v/>
      </c>
      <c r="C199" s="11" t="str">
        <f aca="false">IF($H199="","",INDEX(DECKS!$B$2:$B$1201,$H199))</f>
        <v/>
      </c>
      <c r="D199" s="11" t="str">
        <f aca="false">IF($H199="","",INDEX(DECKS!$C$2:$C$1201,$H199))</f>
        <v/>
      </c>
      <c r="E199" s="16" t="str">
        <f aca="false">IF($H199="","",INDEX(DECKS!$D$2:$D$1201,$H199))</f>
        <v/>
      </c>
      <c r="F199" s="16" t="str">
        <f aca="false">IF($H199="","",INDEX(DECKS!$E$2:$E$1201,$H199))</f>
        <v/>
      </c>
      <c r="G199" s="21" t="str">
        <f aca="false">IF($H199="","",INDEX(DECKS!$F$2:$F$1201,$H199))</f>
        <v/>
      </c>
      <c r="H199" s="11" t="str">
        <f aca="false">IFERROR(MATCH(ROW()-1,DECKS!$O$2:$O$1201,0),"")</f>
        <v/>
      </c>
      <c r="I199" s="11" t="str">
        <f aca="false">IF(C199="","",G199&amp;" "&amp;D199&amp;" ("&amp;C199&amp;")")</f>
        <v/>
      </c>
    </row>
    <row r="200" customFormat="false" ht="15" hidden="false" customHeight="false" outlineLevel="0" collapsed="false">
      <c r="A200" s="16"/>
      <c r="B200" s="11" t="str">
        <f aca="false">IF($H200="","",INDEX(DECKS!$A$2:$A$1201,$H200))</f>
        <v/>
      </c>
      <c r="C200" s="11" t="str">
        <f aca="false">IF($H200="","",INDEX(DECKS!$B$2:$B$1201,$H200))</f>
        <v/>
      </c>
      <c r="D200" s="11" t="str">
        <f aca="false">IF($H200="","",INDEX(DECKS!$C$2:$C$1201,$H200))</f>
        <v/>
      </c>
      <c r="E200" s="16" t="str">
        <f aca="false">IF($H200="","",INDEX(DECKS!$D$2:$D$1201,$H200))</f>
        <v/>
      </c>
      <c r="F200" s="16" t="str">
        <f aca="false">IF($H200="","",INDEX(DECKS!$E$2:$E$1201,$H200))</f>
        <v/>
      </c>
      <c r="G200" s="21" t="str">
        <f aca="false">IF($H200="","",INDEX(DECKS!$F$2:$F$1201,$H200))</f>
        <v/>
      </c>
      <c r="H200" s="11" t="str">
        <f aca="false">IFERROR(MATCH(ROW()-1,DECKS!$O$2:$O$1201,0),"")</f>
        <v/>
      </c>
      <c r="I200" s="11" t="str">
        <f aca="false">IF(C200="","",G200&amp;" "&amp;D200&amp;" ("&amp;C200&amp;")")</f>
        <v/>
      </c>
    </row>
    <row r="201" customFormat="false" ht="15" hidden="false" customHeight="false" outlineLevel="0" collapsed="false">
      <c r="A201" s="16"/>
      <c r="B201" s="11" t="str">
        <f aca="false">IF($H201="","",INDEX(DECKS!$A$2:$A$1201,$H201))</f>
        <v/>
      </c>
      <c r="C201" s="11" t="str">
        <f aca="false">IF($H201="","",INDEX(DECKS!$B$2:$B$1201,$H201))</f>
        <v/>
      </c>
      <c r="D201" s="11" t="str">
        <f aca="false">IF($H201="","",INDEX(DECKS!$C$2:$C$1201,$H201))</f>
        <v/>
      </c>
      <c r="E201" s="16" t="str">
        <f aca="false">IF($H201="","",INDEX(DECKS!$D$2:$D$1201,$H201))</f>
        <v/>
      </c>
      <c r="F201" s="16" t="str">
        <f aca="false">IF($H201="","",INDEX(DECKS!$E$2:$E$1201,$H201))</f>
        <v/>
      </c>
      <c r="G201" s="21" t="str">
        <f aca="false">IF($H201="","",INDEX(DECKS!$F$2:$F$1201,$H201))</f>
        <v/>
      </c>
      <c r="H201" s="11" t="str">
        <f aca="false">IFERROR(MATCH(ROW()-1,DECKS!$O$2:$O$1201,0),"")</f>
        <v/>
      </c>
      <c r="I201" s="11" t="str">
        <f aca="false">IF(C201="","",G201&amp;" "&amp;D201&amp;" ("&amp;C201&amp;")")</f>
        <v/>
      </c>
    </row>
    <row r="202" customFormat="false" ht="15" hidden="false" customHeight="false" outlineLevel="0" collapsed="false">
      <c r="A202" s="16"/>
      <c r="B202" s="11" t="str">
        <f aca="false">IF($H202="","",INDEX(DECKS!$A$2:$A$1201,$H202))</f>
        <v/>
      </c>
      <c r="C202" s="11" t="str">
        <f aca="false">IF($H202="","",INDEX(DECKS!$B$2:$B$1201,$H202))</f>
        <v/>
      </c>
      <c r="D202" s="11" t="str">
        <f aca="false">IF($H202="","",INDEX(DECKS!$C$2:$C$1201,$H202))</f>
        <v/>
      </c>
      <c r="E202" s="16" t="str">
        <f aca="false">IF($H202="","",INDEX(DECKS!$D$2:$D$1201,$H202))</f>
        <v/>
      </c>
      <c r="F202" s="16" t="str">
        <f aca="false">IF($H202="","",INDEX(DECKS!$E$2:$E$1201,$H202))</f>
        <v/>
      </c>
      <c r="G202" s="21" t="str">
        <f aca="false">IF($H202="","",INDEX(DECKS!$F$2:$F$1201,$H202))</f>
        <v/>
      </c>
      <c r="H202" s="11" t="str">
        <f aca="false">IFERROR(MATCH(ROW()-1,DECKS!$O$2:$O$1201,0),"")</f>
        <v/>
      </c>
      <c r="I202" s="11" t="str">
        <f aca="false">IF(C202="","",G202&amp;" "&amp;D202&amp;" ("&amp;C202&amp;")")</f>
        <v/>
      </c>
    </row>
    <row r="203" customFormat="false" ht="15" hidden="false" customHeight="false" outlineLevel="0" collapsed="false">
      <c r="A203" s="16"/>
      <c r="B203" s="11" t="str">
        <f aca="false">IF($H203="","",INDEX(DECKS!$A$2:$A$1201,$H203))</f>
        <v/>
      </c>
      <c r="C203" s="11" t="str">
        <f aca="false">IF($H203="","",INDEX(DECKS!$B$2:$B$1201,$H203))</f>
        <v/>
      </c>
      <c r="D203" s="11" t="str">
        <f aca="false">IF($H203="","",INDEX(DECKS!$C$2:$C$1201,$H203))</f>
        <v/>
      </c>
      <c r="E203" s="16" t="str">
        <f aca="false">IF($H203="","",INDEX(DECKS!$D$2:$D$1201,$H203))</f>
        <v/>
      </c>
      <c r="F203" s="16" t="str">
        <f aca="false">IF($H203="","",INDEX(DECKS!$E$2:$E$1201,$H203))</f>
        <v/>
      </c>
      <c r="G203" s="21" t="str">
        <f aca="false">IF($H203="","",INDEX(DECKS!$F$2:$F$1201,$H203))</f>
        <v/>
      </c>
      <c r="H203" s="11" t="str">
        <f aca="false">IFERROR(MATCH(ROW()-1,DECKS!$O$2:$O$1201,0),"")</f>
        <v/>
      </c>
      <c r="I203" s="11" t="str">
        <f aca="false">IF(C203="","",G203&amp;" "&amp;D203&amp;" ("&amp;C203&amp;")")</f>
        <v/>
      </c>
    </row>
    <row r="204" customFormat="false" ht="15" hidden="false" customHeight="false" outlineLevel="0" collapsed="false">
      <c r="A204" s="16"/>
      <c r="B204" s="11" t="str">
        <f aca="false">IF($H204="","",INDEX(DECKS!$A$2:$A$1201,$H204))</f>
        <v/>
      </c>
      <c r="C204" s="11" t="str">
        <f aca="false">IF($H204="","",INDEX(DECKS!$B$2:$B$1201,$H204))</f>
        <v/>
      </c>
      <c r="D204" s="11" t="str">
        <f aca="false">IF($H204="","",INDEX(DECKS!$C$2:$C$1201,$H204))</f>
        <v/>
      </c>
      <c r="E204" s="16" t="str">
        <f aca="false">IF($H204="","",INDEX(DECKS!$D$2:$D$1201,$H204))</f>
        <v/>
      </c>
      <c r="F204" s="16" t="str">
        <f aca="false">IF($H204="","",INDEX(DECKS!$E$2:$E$1201,$H204))</f>
        <v/>
      </c>
      <c r="G204" s="21" t="str">
        <f aca="false">IF($H204="","",INDEX(DECKS!$F$2:$F$1201,$H204))</f>
        <v/>
      </c>
      <c r="H204" s="11" t="str">
        <f aca="false">IFERROR(MATCH(ROW()-1,DECKS!$O$2:$O$1201,0),"")</f>
        <v/>
      </c>
      <c r="I204" s="11" t="str">
        <f aca="false">IF(C204="","",G204&amp;" "&amp;D204&amp;" ("&amp;C204&amp;")")</f>
        <v/>
      </c>
    </row>
    <row r="205" customFormat="false" ht="15" hidden="false" customHeight="false" outlineLevel="0" collapsed="false">
      <c r="A205" s="16"/>
      <c r="B205" s="11" t="str">
        <f aca="false">IF($H205="","",INDEX(DECKS!$A$2:$A$1201,$H205))</f>
        <v/>
      </c>
      <c r="C205" s="11" t="str">
        <f aca="false">IF($H205="","",INDEX(DECKS!$B$2:$B$1201,$H205))</f>
        <v/>
      </c>
      <c r="D205" s="11" t="str">
        <f aca="false">IF($H205="","",INDEX(DECKS!$C$2:$C$1201,$H205))</f>
        <v/>
      </c>
      <c r="E205" s="16" t="str">
        <f aca="false">IF($H205="","",INDEX(DECKS!$D$2:$D$1201,$H205))</f>
        <v/>
      </c>
      <c r="F205" s="16" t="str">
        <f aca="false">IF($H205="","",INDEX(DECKS!$E$2:$E$1201,$H205))</f>
        <v/>
      </c>
      <c r="G205" s="21" t="str">
        <f aca="false">IF($H205="","",INDEX(DECKS!$F$2:$F$1201,$H205))</f>
        <v/>
      </c>
      <c r="H205" s="11" t="str">
        <f aca="false">IFERROR(MATCH(ROW()-1,DECKS!$O$2:$O$1201,0),"")</f>
        <v/>
      </c>
      <c r="I205" s="11" t="str">
        <f aca="false">IF(C205="","",G205&amp;" "&amp;D205&amp;" ("&amp;C205&amp;")")</f>
        <v/>
      </c>
    </row>
    <row r="206" customFormat="false" ht="15" hidden="false" customHeight="false" outlineLevel="0" collapsed="false">
      <c r="A206" s="16"/>
      <c r="B206" s="11" t="str">
        <f aca="false">IF($H206="","",INDEX(DECKS!$A$2:$A$1201,$H206))</f>
        <v/>
      </c>
      <c r="C206" s="11" t="str">
        <f aca="false">IF($H206="","",INDEX(DECKS!$B$2:$B$1201,$H206))</f>
        <v/>
      </c>
      <c r="D206" s="11" t="str">
        <f aca="false">IF($H206="","",INDEX(DECKS!$C$2:$C$1201,$H206))</f>
        <v/>
      </c>
      <c r="E206" s="16" t="str">
        <f aca="false">IF($H206="","",INDEX(DECKS!$D$2:$D$1201,$H206))</f>
        <v/>
      </c>
      <c r="F206" s="16" t="str">
        <f aca="false">IF($H206="","",INDEX(DECKS!$E$2:$E$1201,$H206))</f>
        <v/>
      </c>
      <c r="G206" s="21" t="str">
        <f aca="false">IF($H206="","",INDEX(DECKS!$F$2:$F$1201,$H206))</f>
        <v/>
      </c>
      <c r="H206" s="11" t="str">
        <f aca="false">IFERROR(MATCH(ROW()-1,DECKS!$O$2:$O$1201,0),"")</f>
        <v/>
      </c>
      <c r="I206" s="11" t="str">
        <f aca="false">IF(C206="","",G206&amp;" "&amp;D206&amp;" ("&amp;C206&amp;")")</f>
        <v/>
      </c>
    </row>
    <row r="207" customFormat="false" ht="15" hidden="false" customHeight="false" outlineLevel="0" collapsed="false">
      <c r="A207" s="16"/>
      <c r="B207" s="11" t="str">
        <f aca="false">IF($H207="","",INDEX(DECKS!$A$2:$A$1201,$H207))</f>
        <v/>
      </c>
      <c r="C207" s="11" t="str">
        <f aca="false">IF($H207="","",INDEX(DECKS!$B$2:$B$1201,$H207))</f>
        <v/>
      </c>
      <c r="D207" s="11" t="str">
        <f aca="false">IF($H207="","",INDEX(DECKS!$C$2:$C$1201,$H207))</f>
        <v/>
      </c>
      <c r="E207" s="16" t="str">
        <f aca="false">IF($H207="","",INDEX(DECKS!$D$2:$D$1201,$H207))</f>
        <v/>
      </c>
      <c r="F207" s="16" t="str">
        <f aca="false">IF($H207="","",INDEX(DECKS!$E$2:$E$1201,$H207))</f>
        <v/>
      </c>
      <c r="G207" s="21" t="str">
        <f aca="false">IF($H207="","",INDEX(DECKS!$F$2:$F$1201,$H207))</f>
        <v/>
      </c>
      <c r="H207" s="11" t="str">
        <f aca="false">IFERROR(MATCH(ROW()-1,DECKS!$O$2:$O$1201,0),"")</f>
        <v/>
      </c>
      <c r="I207" s="11" t="str">
        <f aca="false">IF(C207="","",G207&amp;" "&amp;D207&amp;" ("&amp;C207&amp;")")</f>
        <v/>
      </c>
    </row>
    <row r="208" customFormat="false" ht="15" hidden="false" customHeight="false" outlineLevel="0" collapsed="false">
      <c r="A208" s="16"/>
      <c r="B208" s="11" t="str">
        <f aca="false">IF($H208="","",INDEX(DECKS!$A$2:$A$1201,$H208))</f>
        <v/>
      </c>
      <c r="C208" s="11" t="str">
        <f aca="false">IF($H208="","",INDEX(DECKS!$B$2:$B$1201,$H208))</f>
        <v/>
      </c>
      <c r="D208" s="11" t="str">
        <f aca="false">IF($H208="","",INDEX(DECKS!$C$2:$C$1201,$H208))</f>
        <v/>
      </c>
      <c r="E208" s="16" t="str">
        <f aca="false">IF($H208="","",INDEX(DECKS!$D$2:$D$1201,$H208))</f>
        <v/>
      </c>
      <c r="F208" s="16" t="str">
        <f aca="false">IF($H208="","",INDEX(DECKS!$E$2:$E$1201,$H208))</f>
        <v/>
      </c>
      <c r="G208" s="21" t="str">
        <f aca="false">IF($H208="","",INDEX(DECKS!$F$2:$F$1201,$H208))</f>
        <v/>
      </c>
      <c r="H208" s="11" t="str">
        <f aca="false">IFERROR(MATCH(ROW()-1,DECKS!$O$2:$O$1201,0),"")</f>
        <v/>
      </c>
      <c r="I208" s="11" t="str">
        <f aca="false">IF(C208="","",G208&amp;" "&amp;D208&amp;" ("&amp;C208&amp;")")</f>
        <v/>
      </c>
    </row>
    <row r="209" customFormat="false" ht="15" hidden="false" customHeight="false" outlineLevel="0" collapsed="false">
      <c r="A209" s="16"/>
      <c r="B209" s="11" t="str">
        <f aca="false">IF($H209="","",INDEX(DECKS!$A$2:$A$1201,$H209))</f>
        <v/>
      </c>
      <c r="C209" s="11" t="str">
        <f aca="false">IF($H209="","",INDEX(DECKS!$B$2:$B$1201,$H209))</f>
        <v/>
      </c>
      <c r="D209" s="11" t="str">
        <f aca="false">IF($H209="","",INDEX(DECKS!$C$2:$C$1201,$H209))</f>
        <v/>
      </c>
      <c r="E209" s="16" t="str">
        <f aca="false">IF($H209="","",INDEX(DECKS!$D$2:$D$1201,$H209))</f>
        <v/>
      </c>
      <c r="F209" s="16" t="str">
        <f aca="false">IF($H209="","",INDEX(DECKS!$E$2:$E$1201,$H209))</f>
        <v/>
      </c>
      <c r="G209" s="21" t="str">
        <f aca="false">IF($H209="","",INDEX(DECKS!$F$2:$F$1201,$H209))</f>
        <v/>
      </c>
      <c r="H209" s="11" t="str">
        <f aca="false">IFERROR(MATCH(ROW()-1,DECKS!$O$2:$O$1201,0),"")</f>
        <v/>
      </c>
      <c r="I209" s="11" t="str">
        <f aca="false">IF(C209="","",G209&amp;" "&amp;D209&amp;" ("&amp;C209&amp;")")</f>
        <v/>
      </c>
    </row>
    <row r="210" customFormat="false" ht="15" hidden="false" customHeight="false" outlineLevel="0" collapsed="false">
      <c r="A210" s="16"/>
      <c r="B210" s="11" t="str">
        <f aca="false">IF($H210="","",INDEX(DECKS!$A$2:$A$1201,$H210))</f>
        <v/>
      </c>
      <c r="C210" s="11" t="str">
        <f aca="false">IF($H210="","",INDEX(DECKS!$B$2:$B$1201,$H210))</f>
        <v/>
      </c>
      <c r="D210" s="11" t="str">
        <f aca="false">IF($H210="","",INDEX(DECKS!$C$2:$C$1201,$H210))</f>
        <v/>
      </c>
      <c r="E210" s="16" t="str">
        <f aca="false">IF($H210="","",INDEX(DECKS!$D$2:$D$1201,$H210))</f>
        <v/>
      </c>
      <c r="F210" s="16" t="str">
        <f aca="false">IF($H210="","",INDEX(DECKS!$E$2:$E$1201,$H210))</f>
        <v/>
      </c>
      <c r="G210" s="21" t="str">
        <f aca="false">IF($H210="","",INDEX(DECKS!$F$2:$F$1201,$H210))</f>
        <v/>
      </c>
      <c r="H210" s="11" t="str">
        <f aca="false">IFERROR(MATCH(ROW()-1,DECKS!$O$2:$O$1201,0),"")</f>
        <v/>
      </c>
      <c r="I210" s="11" t="str">
        <f aca="false">IF(C210="","",G210&amp;" "&amp;D210&amp;" ("&amp;C210&amp;")")</f>
        <v/>
      </c>
    </row>
    <row r="211" customFormat="false" ht="15" hidden="false" customHeight="false" outlineLevel="0" collapsed="false">
      <c r="A211" s="16"/>
      <c r="B211" s="11" t="str">
        <f aca="false">IF($H211="","",INDEX(DECKS!$A$2:$A$1201,$H211))</f>
        <v/>
      </c>
      <c r="C211" s="11" t="str">
        <f aca="false">IF($H211="","",INDEX(DECKS!$B$2:$B$1201,$H211))</f>
        <v/>
      </c>
      <c r="D211" s="11" t="str">
        <f aca="false">IF($H211="","",INDEX(DECKS!$C$2:$C$1201,$H211))</f>
        <v/>
      </c>
      <c r="E211" s="16" t="str">
        <f aca="false">IF($H211="","",INDEX(DECKS!$D$2:$D$1201,$H211))</f>
        <v/>
      </c>
      <c r="F211" s="16" t="str">
        <f aca="false">IF($H211="","",INDEX(DECKS!$E$2:$E$1201,$H211))</f>
        <v/>
      </c>
      <c r="G211" s="21" t="str">
        <f aca="false">IF($H211="","",INDEX(DECKS!$F$2:$F$1201,$H211))</f>
        <v/>
      </c>
      <c r="H211" s="11" t="str">
        <f aca="false">IFERROR(MATCH(ROW()-1,DECKS!$O$2:$O$1201,0),"")</f>
        <v/>
      </c>
      <c r="I211" s="11" t="str">
        <f aca="false">IF(C211="","",G211&amp;" "&amp;D211&amp;" ("&amp;C211&amp;")")</f>
        <v/>
      </c>
    </row>
    <row r="212" customFormat="false" ht="15" hidden="false" customHeight="false" outlineLevel="0" collapsed="false">
      <c r="A212" s="16"/>
      <c r="B212" s="11" t="str">
        <f aca="false">IF($H212="","",INDEX(DECKS!$A$2:$A$1201,$H212))</f>
        <v/>
      </c>
      <c r="C212" s="11" t="str">
        <f aca="false">IF($H212="","",INDEX(DECKS!$B$2:$B$1201,$H212))</f>
        <v/>
      </c>
      <c r="D212" s="11" t="str">
        <f aca="false">IF($H212="","",INDEX(DECKS!$C$2:$C$1201,$H212))</f>
        <v/>
      </c>
      <c r="E212" s="16" t="str">
        <f aca="false">IF($H212="","",INDEX(DECKS!$D$2:$D$1201,$H212))</f>
        <v/>
      </c>
      <c r="F212" s="16" t="str">
        <f aca="false">IF($H212="","",INDEX(DECKS!$E$2:$E$1201,$H212))</f>
        <v/>
      </c>
      <c r="G212" s="21" t="str">
        <f aca="false">IF($H212="","",INDEX(DECKS!$F$2:$F$1201,$H212))</f>
        <v/>
      </c>
      <c r="H212" s="11" t="str">
        <f aca="false">IFERROR(MATCH(ROW()-1,DECKS!$O$2:$O$1201,0),"")</f>
        <v/>
      </c>
      <c r="I212" s="11" t="str">
        <f aca="false">IF(C212="","",G212&amp;" "&amp;D212&amp;" ("&amp;C212&amp;")")</f>
        <v/>
      </c>
    </row>
    <row r="213" customFormat="false" ht="15" hidden="false" customHeight="false" outlineLevel="0" collapsed="false">
      <c r="A213" s="16"/>
      <c r="B213" s="11" t="str">
        <f aca="false">IF($H213="","",INDEX(DECKS!$A$2:$A$1201,$H213))</f>
        <v/>
      </c>
      <c r="C213" s="11" t="str">
        <f aca="false">IF($H213="","",INDEX(DECKS!$B$2:$B$1201,$H213))</f>
        <v/>
      </c>
      <c r="D213" s="11" t="str">
        <f aca="false">IF($H213="","",INDEX(DECKS!$C$2:$C$1201,$H213))</f>
        <v/>
      </c>
      <c r="E213" s="16" t="str">
        <f aca="false">IF($H213="","",INDEX(DECKS!$D$2:$D$1201,$H213))</f>
        <v/>
      </c>
      <c r="F213" s="16" t="str">
        <f aca="false">IF($H213="","",INDEX(DECKS!$E$2:$E$1201,$H213))</f>
        <v/>
      </c>
      <c r="G213" s="21" t="str">
        <f aca="false">IF($H213="","",INDEX(DECKS!$F$2:$F$1201,$H213))</f>
        <v/>
      </c>
      <c r="H213" s="11" t="str">
        <f aca="false">IFERROR(MATCH(ROW()-1,DECKS!$O$2:$O$1201,0),"")</f>
        <v/>
      </c>
      <c r="I213" s="11" t="str">
        <f aca="false">IF(C213="","",G213&amp;" "&amp;D213&amp;" ("&amp;C213&amp;")")</f>
        <v/>
      </c>
    </row>
    <row r="214" customFormat="false" ht="15" hidden="false" customHeight="false" outlineLevel="0" collapsed="false">
      <c r="A214" s="16"/>
      <c r="B214" s="11" t="str">
        <f aca="false">IF($H214="","",INDEX(DECKS!$A$2:$A$1201,$H214))</f>
        <v/>
      </c>
      <c r="C214" s="11" t="str">
        <f aca="false">IF($H214="","",INDEX(DECKS!$B$2:$B$1201,$H214))</f>
        <v/>
      </c>
      <c r="D214" s="11" t="str">
        <f aca="false">IF($H214="","",INDEX(DECKS!$C$2:$C$1201,$H214))</f>
        <v/>
      </c>
      <c r="E214" s="16" t="str">
        <f aca="false">IF($H214="","",INDEX(DECKS!$D$2:$D$1201,$H214))</f>
        <v/>
      </c>
      <c r="F214" s="16" t="str">
        <f aca="false">IF($H214="","",INDEX(DECKS!$E$2:$E$1201,$H214))</f>
        <v/>
      </c>
      <c r="G214" s="21" t="str">
        <f aca="false">IF($H214="","",INDEX(DECKS!$F$2:$F$1201,$H214))</f>
        <v/>
      </c>
      <c r="H214" s="11" t="str">
        <f aca="false">IFERROR(MATCH(ROW()-1,DECKS!$O$2:$O$1201,0),"")</f>
        <v/>
      </c>
      <c r="I214" s="11" t="str">
        <f aca="false">IF(C214="","",G214&amp;" "&amp;D214&amp;" ("&amp;C214&amp;")")</f>
        <v/>
      </c>
    </row>
    <row r="215" customFormat="false" ht="15" hidden="false" customHeight="false" outlineLevel="0" collapsed="false">
      <c r="A215" s="16"/>
      <c r="B215" s="11" t="str">
        <f aca="false">IF($H215="","",INDEX(DECKS!$A$2:$A$1201,$H215))</f>
        <v/>
      </c>
      <c r="C215" s="11" t="str">
        <f aca="false">IF($H215="","",INDEX(DECKS!$B$2:$B$1201,$H215))</f>
        <v/>
      </c>
      <c r="D215" s="11" t="str">
        <f aca="false">IF($H215="","",INDEX(DECKS!$C$2:$C$1201,$H215))</f>
        <v/>
      </c>
      <c r="E215" s="16" t="str">
        <f aca="false">IF($H215="","",INDEX(DECKS!$D$2:$D$1201,$H215))</f>
        <v/>
      </c>
      <c r="F215" s="16" t="str">
        <f aca="false">IF($H215="","",INDEX(DECKS!$E$2:$E$1201,$H215))</f>
        <v/>
      </c>
      <c r="G215" s="21" t="str">
        <f aca="false">IF($H215="","",INDEX(DECKS!$F$2:$F$1201,$H215))</f>
        <v/>
      </c>
      <c r="H215" s="11" t="str">
        <f aca="false">IFERROR(MATCH(ROW()-1,DECKS!$O$2:$O$1201,0),"")</f>
        <v/>
      </c>
      <c r="I215" s="11" t="str">
        <f aca="false">IF(C215="","",G215&amp;" "&amp;D215&amp;" ("&amp;C215&amp;")")</f>
        <v/>
      </c>
    </row>
    <row r="216" customFormat="false" ht="15" hidden="false" customHeight="false" outlineLevel="0" collapsed="false">
      <c r="A216" s="16"/>
      <c r="B216" s="11" t="str">
        <f aca="false">IF($H216="","",INDEX(DECKS!$A$2:$A$1201,$H216))</f>
        <v/>
      </c>
      <c r="C216" s="11" t="str">
        <f aca="false">IF($H216="","",INDEX(DECKS!$B$2:$B$1201,$H216))</f>
        <v/>
      </c>
      <c r="D216" s="11" t="str">
        <f aca="false">IF($H216="","",INDEX(DECKS!$C$2:$C$1201,$H216))</f>
        <v/>
      </c>
      <c r="E216" s="16" t="str">
        <f aca="false">IF($H216="","",INDEX(DECKS!$D$2:$D$1201,$H216))</f>
        <v/>
      </c>
      <c r="F216" s="16" t="str">
        <f aca="false">IF($H216="","",INDEX(DECKS!$E$2:$E$1201,$H216))</f>
        <v/>
      </c>
      <c r="G216" s="21" t="str">
        <f aca="false">IF($H216="","",INDEX(DECKS!$F$2:$F$1201,$H216))</f>
        <v/>
      </c>
      <c r="H216" s="11" t="str">
        <f aca="false">IFERROR(MATCH(ROW()-1,DECKS!$O$2:$O$1201,0),"")</f>
        <v/>
      </c>
      <c r="I216" s="11" t="str">
        <f aca="false">IF(C216="","",G216&amp;" "&amp;D216&amp;" ("&amp;C216&amp;")")</f>
        <v/>
      </c>
    </row>
    <row r="217" customFormat="false" ht="15" hidden="false" customHeight="false" outlineLevel="0" collapsed="false">
      <c r="A217" s="16"/>
      <c r="B217" s="11" t="str">
        <f aca="false">IF($H217="","",INDEX(DECKS!$A$2:$A$1201,$H217))</f>
        <v/>
      </c>
      <c r="C217" s="11" t="str">
        <f aca="false">IF($H217="","",INDEX(DECKS!$B$2:$B$1201,$H217))</f>
        <v/>
      </c>
      <c r="D217" s="11" t="str">
        <f aca="false">IF($H217="","",INDEX(DECKS!$C$2:$C$1201,$H217))</f>
        <v/>
      </c>
      <c r="E217" s="16" t="str">
        <f aca="false">IF($H217="","",INDEX(DECKS!$D$2:$D$1201,$H217))</f>
        <v/>
      </c>
      <c r="F217" s="16" t="str">
        <f aca="false">IF($H217="","",INDEX(DECKS!$E$2:$E$1201,$H217))</f>
        <v/>
      </c>
      <c r="G217" s="21" t="str">
        <f aca="false">IF($H217="","",INDEX(DECKS!$F$2:$F$1201,$H217))</f>
        <v/>
      </c>
      <c r="H217" s="11" t="str">
        <f aca="false">IFERROR(MATCH(ROW()-1,DECKS!$O$2:$O$1201,0),"")</f>
        <v/>
      </c>
      <c r="I217" s="11" t="str">
        <f aca="false">IF(C217="","",G217&amp;" "&amp;D217&amp;" ("&amp;C217&amp;")")</f>
        <v/>
      </c>
    </row>
    <row r="218" customFormat="false" ht="15" hidden="false" customHeight="false" outlineLevel="0" collapsed="false">
      <c r="A218" s="16"/>
      <c r="B218" s="11" t="str">
        <f aca="false">IF($H218="","",INDEX(DECKS!$A$2:$A$1201,$H218))</f>
        <v/>
      </c>
      <c r="C218" s="11" t="str">
        <f aca="false">IF($H218="","",INDEX(DECKS!$B$2:$B$1201,$H218))</f>
        <v/>
      </c>
      <c r="D218" s="11" t="str">
        <f aca="false">IF($H218="","",INDEX(DECKS!$C$2:$C$1201,$H218))</f>
        <v/>
      </c>
      <c r="E218" s="16" t="str">
        <f aca="false">IF($H218="","",INDEX(DECKS!$D$2:$D$1201,$H218))</f>
        <v/>
      </c>
      <c r="F218" s="16" t="str">
        <f aca="false">IF($H218="","",INDEX(DECKS!$E$2:$E$1201,$H218))</f>
        <v/>
      </c>
      <c r="G218" s="21" t="str">
        <f aca="false">IF($H218="","",INDEX(DECKS!$F$2:$F$1201,$H218))</f>
        <v/>
      </c>
      <c r="H218" s="11" t="str">
        <f aca="false">IFERROR(MATCH(ROW()-1,DECKS!$O$2:$O$1201,0),"")</f>
        <v/>
      </c>
      <c r="I218" s="11" t="str">
        <f aca="false">IF(C218="","",G218&amp;" "&amp;D218&amp;" ("&amp;C218&amp;")")</f>
        <v/>
      </c>
    </row>
    <row r="219" customFormat="false" ht="15" hidden="false" customHeight="false" outlineLevel="0" collapsed="false">
      <c r="A219" s="16"/>
      <c r="B219" s="11" t="str">
        <f aca="false">IF($H219="","",INDEX(DECKS!$A$2:$A$1201,$H219))</f>
        <v/>
      </c>
      <c r="C219" s="11" t="str">
        <f aca="false">IF($H219="","",INDEX(DECKS!$B$2:$B$1201,$H219))</f>
        <v/>
      </c>
      <c r="D219" s="11" t="str">
        <f aca="false">IF($H219="","",INDEX(DECKS!$C$2:$C$1201,$H219))</f>
        <v/>
      </c>
      <c r="E219" s="16" t="str">
        <f aca="false">IF($H219="","",INDEX(DECKS!$D$2:$D$1201,$H219))</f>
        <v/>
      </c>
      <c r="F219" s="16" t="str">
        <f aca="false">IF($H219="","",INDEX(DECKS!$E$2:$E$1201,$H219))</f>
        <v/>
      </c>
      <c r="G219" s="21" t="str">
        <f aca="false">IF($H219="","",INDEX(DECKS!$F$2:$F$1201,$H219))</f>
        <v/>
      </c>
      <c r="H219" s="11" t="str">
        <f aca="false">IFERROR(MATCH(ROW()-1,DECKS!$O$2:$O$1201,0),"")</f>
        <v/>
      </c>
      <c r="I219" s="11" t="str">
        <f aca="false">IF(C219="","",G219&amp;" "&amp;D219&amp;" ("&amp;C219&amp;")")</f>
        <v/>
      </c>
    </row>
    <row r="220" customFormat="false" ht="15" hidden="false" customHeight="false" outlineLevel="0" collapsed="false">
      <c r="A220" s="16"/>
      <c r="B220" s="11" t="str">
        <f aca="false">IF($H220="","",INDEX(DECKS!$A$2:$A$1201,$H220))</f>
        <v/>
      </c>
      <c r="C220" s="11" t="str">
        <f aca="false">IF($H220="","",INDEX(DECKS!$B$2:$B$1201,$H220))</f>
        <v/>
      </c>
      <c r="D220" s="11" t="str">
        <f aca="false">IF($H220="","",INDEX(DECKS!$C$2:$C$1201,$H220))</f>
        <v/>
      </c>
      <c r="E220" s="16" t="str">
        <f aca="false">IF($H220="","",INDEX(DECKS!$D$2:$D$1201,$H220))</f>
        <v/>
      </c>
      <c r="F220" s="16" t="str">
        <f aca="false">IF($H220="","",INDEX(DECKS!$E$2:$E$1201,$H220))</f>
        <v/>
      </c>
      <c r="G220" s="21" t="str">
        <f aca="false">IF($H220="","",INDEX(DECKS!$F$2:$F$1201,$H220))</f>
        <v/>
      </c>
      <c r="H220" s="11" t="str">
        <f aca="false">IFERROR(MATCH(ROW()-1,DECKS!$O$2:$O$1201,0),"")</f>
        <v/>
      </c>
      <c r="I220" s="11" t="str">
        <f aca="false">IF(C220="","",G220&amp;" "&amp;D220&amp;" ("&amp;C220&amp;")")</f>
        <v/>
      </c>
    </row>
    <row r="221" customFormat="false" ht="15" hidden="false" customHeight="false" outlineLevel="0" collapsed="false">
      <c r="A221" s="16"/>
      <c r="B221" s="11" t="str">
        <f aca="false">IF($H221="","",INDEX(DECKS!$A$2:$A$1201,$H221))</f>
        <v/>
      </c>
      <c r="C221" s="11" t="str">
        <f aca="false">IF($H221="","",INDEX(DECKS!$B$2:$B$1201,$H221))</f>
        <v/>
      </c>
      <c r="D221" s="11" t="str">
        <f aca="false">IF($H221="","",INDEX(DECKS!$C$2:$C$1201,$H221))</f>
        <v/>
      </c>
      <c r="E221" s="16" t="str">
        <f aca="false">IF($H221="","",INDEX(DECKS!$D$2:$D$1201,$H221))</f>
        <v/>
      </c>
      <c r="F221" s="16" t="str">
        <f aca="false">IF($H221="","",INDEX(DECKS!$E$2:$E$1201,$H221))</f>
        <v/>
      </c>
      <c r="G221" s="21" t="str">
        <f aca="false">IF($H221="","",INDEX(DECKS!$F$2:$F$1201,$H221))</f>
        <v/>
      </c>
      <c r="H221" s="11" t="str">
        <f aca="false">IFERROR(MATCH(ROW()-1,DECKS!$O$2:$O$1201,0),"")</f>
        <v/>
      </c>
      <c r="I221" s="11" t="str">
        <f aca="false">IF(C221="","",G221&amp;" "&amp;D221&amp;" ("&amp;C221&amp;")")</f>
        <v/>
      </c>
    </row>
    <row r="222" customFormat="false" ht="15" hidden="false" customHeight="false" outlineLevel="0" collapsed="false">
      <c r="A222" s="16"/>
      <c r="B222" s="11" t="str">
        <f aca="false">IF($H222="","",INDEX(DECKS!$A$2:$A$1201,$H222))</f>
        <v/>
      </c>
      <c r="C222" s="11" t="str">
        <f aca="false">IF($H222="","",INDEX(DECKS!$B$2:$B$1201,$H222))</f>
        <v/>
      </c>
      <c r="D222" s="11" t="str">
        <f aca="false">IF($H222="","",INDEX(DECKS!$C$2:$C$1201,$H222))</f>
        <v/>
      </c>
      <c r="E222" s="16" t="str">
        <f aca="false">IF($H222="","",INDEX(DECKS!$D$2:$D$1201,$H222))</f>
        <v/>
      </c>
      <c r="F222" s="16" t="str">
        <f aca="false">IF($H222="","",INDEX(DECKS!$E$2:$E$1201,$H222))</f>
        <v/>
      </c>
      <c r="G222" s="21" t="str">
        <f aca="false">IF($H222="","",INDEX(DECKS!$F$2:$F$1201,$H222))</f>
        <v/>
      </c>
      <c r="H222" s="11" t="str">
        <f aca="false">IFERROR(MATCH(ROW()-1,DECKS!$O$2:$O$1201,0),"")</f>
        <v/>
      </c>
      <c r="I222" s="11" t="str">
        <f aca="false">IF(C222="","",G222&amp;" "&amp;D222&amp;" ("&amp;C222&amp;")")</f>
        <v/>
      </c>
    </row>
    <row r="223" customFormat="false" ht="15" hidden="false" customHeight="false" outlineLevel="0" collapsed="false">
      <c r="A223" s="16"/>
      <c r="B223" s="11" t="str">
        <f aca="false">IF($H223="","",INDEX(DECKS!$A$2:$A$1201,$H223))</f>
        <v/>
      </c>
      <c r="C223" s="11" t="str">
        <f aca="false">IF($H223="","",INDEX(DECKS!$B$2:$B$1201,$H223))</f>
        <v/>
      </c>
      <c r="D223" s="11" t="str">
        <f aca="false">IF($H223="","",INDEX(DECKS!$C$2:$C$1201,$H223))</f>
        <v/>
      </c>
      <c r="E223" s="16" t="str">
        <f aca="false">IF($H223="","",INDEX(DECKS!$D$2:$D$1201,$H223))</f>
        <v/>
      </c>
      <c r="F223" s="16" t="str">
        <f aca="false">IF($H223="","",INDEX(DECKS!$E$2:$E$1201,$H223))</f>
        <v/>
      </c>
      <c r="G223" s="21" t="str">
        <f aca="false">IF($H223="","",INDEX(DECKS!$F$2:$F$1201,$H223))</f>
        <v/>
      </c>
      <c r="H223" s="11" t="str">
        <f aca="false">IFERROR(MATCH(ROW()-1,DECKS!$O$2:$O$1201,0),"")</f>
        <v/>
      </c>
      <c r="I223" s="11" t="str">
        <f aca="false">IF(C223="","",G223&amp;" "&amp;D223&amp;" ("&amp;C223&amp;")")</f>
        <v/>
      </c>
    </row>
    <row r="224" customFormat="false" ht="15" hidden="false" customHeight="false" outlineLevel="0" collapsed="false">
      <c r="A224" s="16"/>
      <c r="B224" s="11" t="str">
        <f aca="false">IF($H224="","",INDEX(DECKS!$A$2:$A$1201,$H224))</f>
        <v/>
      </c>
      <c r="C224" s="11" t="str">
        <f aca="false">IF($H224="","",INDEX(DECKS!$B$2:$B$1201,$H224))</f>
        <v/>
      </c>
      <c r="D224" s="11" t="str">
        <f aca="false">IF($H224="","",INDEX(DECKS!$C$2:$C$1201,$H224))</f>
        <v/>
      </c>
      <c r="E224" s="16" t="str">
        <f aca="false">IF($H224="","",INDEX(DECKS!$D$2:$D$1201,$H224))</f>
        <v/>
      </c>
      <c r="F224" s="16" t="str">
        <f aca="false">IF($H224="","",INDEX(DECKS!$E$2:$E$1201,$H224))</f>
        <v/>
      </c>
      <c r="G224" s="21" t="str">
        <f aca="false">IF($H224="","",INDEX(DECKS!$F$2:$F$1201,$H224))</f>
        <v/>
      </c>
      <c r="H224" s="11" t="str">
        <f aca="false">IFERROR(MATCH(ROW()-1,DECKS!$O$2:$O$1201,0),"")</f>
        <v/>
      </c>
      <c r="I224" s="11" t="str">
        <f aca="false">IF(C224="","",G224&amp;" "&amp;D224&amp;" ("&amp;C224&amp;")")</f>
        <v/>
      </c>
    </row>
    <row r="225" customFormat="false" ht="15" hidden="false" customHeight="false" outlineLevel="0" collapsed="false">
      <c r="A225" s="16"/>
      <c r="B225" s="11" t="str">
        <f aca="false">IF($H225="","",INDEX(DECKS!$A$2:$A$1201,$H225))</f>
        <v/>
      </c>
      <c r="C225" s="11" t="str">
        <f aca="false">IF($H225="","",INDEX(DECKS!$B$2:$B$1201,$H225))</f>
        <v/>
      </c>
      <c r="D225" s="11" t="str">
        <f aca="false">IF($H225="","",INDEX(DECKS!$C$2:$C$1201,$H225))</f>
        <v/>
      </c>
      <c r="E225" s="16" t="str">
        <f aca="false">IF($H225="","",INDEX(DECKS!$D$2:$D$1201,$H225))</f>
        <v/>
      </c>
      <c r="F225" s="16" t="str">
        <f aca="false">IF($H225="","",INDEX(DECKS!$E$2:$E$1201,$H225))</f>
        <v/>
      </c>
      <c r="G225" s="21" t="str">
        <f aca="false">IF($H225="","",INDEX(DECKS!$F$2:$F$1201,$H225))</f>
        <v/>
      </c>
      <c r="H225" s="11" t="str">
        <f aca="false">IFERROR(MATCH(ROW()-1,DECKS!$O$2:$O$1201,0),"")</f>
        <v/>
      </c>
      <c r="I225" s="11" t="str">
        <f aca="false">IF(C225="","",G225&amp;" "&amp;D225&amp;" ("&amp;C225&amp;")")</f>
        <v/>
      </c>
    </row>
    <row r="226" customFormat="false" ht="15" hidden="false" customHeight="false" outlineLevel="0" collapsed="false">
      <c r="A226" s="16"/>
      <c r="B226" s="11" t="str">
        <f aca="false">IF($H226="","",INDEX(DECKS!$A$2:$A$1201,$H226))</f>
        <v/>
      </c>
      <c r="C226" s="11" t="str">
        <f aca="false">IF($H226="","",INDEX(DECKS!$B$2:$B$1201,$H226))</f>
        <v/>
      </c>
      <c r="D226" s="11" t="str">
        <f aca="false">IF($H226="","",INDEX(DECKS!$C$2:$C$1201,$H226))</f>
        <v/>
      </c>
      <c r="E226" s="16" t="str">
        <f aca="false">IF($H226="","",INDEX(DECKS!$D$2:$D$1201,$H226))</f>
        <v/>
      </c>
      <c r="F226" s="16" t="str">
        <f aca="false">IF($H226="","",INDEX(DECKS!$E$2:$E$1201,$H226))</f>
        <v/>
      </c>
      <c r="G226" s="21" t="str">
        <f aca="false">IF($H226="","",INDEX(DECKS!$F$2:$F$1201,$H226))</f>
        <v/>
      </c>
      <c r="H226" s="11" t="str">
        <f aca="false">IFERROR(MATCH(ROW()-1,DECKS!$O$2:$O$1201,0),"")</f>
        <v/>
      </c>
      <c r="I226" s="11" t="str">
        <f aca="false">IF(C226="","",G226&amp;" "&amp;D226&amp;" ("&amp;C226&amp;")")</f>
        <v/>
      </c>
    </row>
    <row r="227" customFormat="false" ht="15" hidden="false" customHeight="false" outlineLevel="0" collapsed="false">
      <c r="A227" s="16"/>
      <c r="B227" s="11" t="str">
        <f aca="false">IF($H227="","",INDEX(DECKS!$A$2:$A$1201,$H227))</f>
        <v/>
      </c>
      <c r="C227" s="11" t="str">
        <f aca="false">IF($H227="","",INDEX(DECKS!$B$2:$B$1201,$H227))</f>
        <v/>
      </c>
      <c r="D227" s="11" t="str">
        <f aca="false">IF($H227="","",INDEX(DECKS!$C$2:$C$1201,$H227))</f>
        <v/>
      </c>
      <c r="E227" s="16" t="str">
        <f aca="false">IF($H227="","",INDEX(DECKS!$D$2:$D$1201,$H227))</f>
        <v/>
      </c>
      <c r="F227" s="16" t="str">
        <f aca="false">IF($H227="","",INDEX(DECKS!$E$2:$E$1201,$H227))</f>
        <v/>
      </c>
      <c r="G227" s="21" t="str">
        <f aca="false">IF($H227="","",INDEX(DECKS!$F$2:$F$1201,$H227))</f>
        <v/>
      </c>
      <c r="H227" s="11" t="str">
        <f aca="false">IFERROR(MATCH(ROW()-1,DECKS!$O$2:$O$1201,0),"")</f>
        <v/>
      </c>
      <c r="I227" s="11" t="str">
        <f aca="false">IF(C227="","",G227&amp;" "&amp;D227&amp;" ("&amp;C227&amp;")")</f>
        <v/>
      </c>
    </row>
    <row r="228" customFormat="false" ht="15" hidden="false" customHeight="false" outlineLevel="0" collapsed="false">
      <c r="A228" s="16"/>
      <c r="B228" s="11" t="str">
        <f aca="false">IF($H228="","",INDEX(DECKS!$A$2:$A$1201,$H228))</f>
        <v/>
      </c>
      <c r="C228" s="11" t="str">
        <f aca="false">IF($H228="","",INDEX(DECKS!$B$2:$B$1201,$H228))</f>
        <v/>
      </c>
      <c r="D228" s="11" t="str">
        <f aca="false">IF($H228="","",INDEX(DECKS!$C$2:$C$1201,$H228))</f>
        <v/>
      </c>
      <c r="E228" s="16" t="str">
        <f aca="false">IF($H228="","",INDEX(DECKS!$D$2:$D$1201,$H228))</f>
        <v/>
      </c>
      <c r="F228" s="16" t="str">
        <f aca="false">IF($H228="","",INDEX(DECKS!$E$2:$E$1201,$H228))</f>
        <v/>
      </c>
      <c r="G228" s="21" t="str">
        <f aca="false">IF($H228="","",INDEX(DECKS!$F$2:$F$1201,$H228))</f>
        <v/>
      </c>
      <c r="H228" s="11" t="str">
        <f aca="false">IFERROR(MATCH(ROW()-1,DECKS!$O$2:$O$1201,0),"")</f>
        <v/>
      </c>
      <c r="I228" s="11" t="str">
        <f aca="false">IF(C228="","",G228&amp;" "&amp;D228&amp;" ("&amp;C228&amp;")")</f>
        <v/>
      </c>
    </row>
    <row r="229" customFormat="false" ht="15" hidden="false" customHeight="false" outlineLevel="0" collapsed="false">
      <c r="A229" s="16"/>
      <c r="B229" s="11" t="str">
        <f aca="false">IF($H229="","",INDEX(DECKS!$A$2:$A$1201,$H229))</f>
        <v/>
      </c>
      <c r="C229" s="11" t="str">
        <f aca="false">IF($H229="","",INDEX(DECKS!$B$2:$B$1201,$H229))</f>
        <v/>
      </c>
      <c r="D229" s="11" t="str">
        <f aca="false">IF($H229="","",INDEX(DECKS!$C$2:$C$1201,$H229))</f>
        <v/>
      </c>
      <c r="E229" s="16" t="str">
        <f aca="false">IF($H229="","",INDEX(DECKS!$D$2:$D$1201,$H229))</f>
        <v/>
      </c>
      <c r="F229" s="16" t="str">
        <f aca="false">IF($H229="","",INDEX(DECKS!$E$2:$E$1201,$H229))</f>
        <v/>
      </c>
      <c r="G229" s="21" t="str">
        <f aca="false">IF($H229="","",INDEX(DECKS!$F$2:$F$1201,$H229))</f>
        <v/>
      </c>
      <c r="H229" s="11" t="str">
        <f aca="false">IFERROR(MATCH(ROW()-1,DECKS!$O$2:$O$1201,0),"")</f>
        <v/>
      </c>
      <c r="I229" s="11" t="str">
        <f aca="false">IF(C229="","",G229&amp;" "&amp;D229&amp;" ("&amp;C229&amp;")")</f>
        <v/>
      </c>
    </row>
    <row r="230" customFormat="false" ht="15" hidden="false" customHeight="false" outlineLevel="0" collapsed="false">
      <c r="A230" s="16"/>
      <c r="B230" s="11" t="str">
        <f aca="false">IF($H230="","",INDEX(DECKS!$A$2:$A$1201,$H230))</f>
        <v/>
      </c>
      <c r="C230" s="11" t="str">
        <f aca="false">IF($H230="","",INDEX(DECKS!$B$2:$B$1201,$H230))</f>
        <v/>
      </c>
      <c r="D230" s="11" t="str">
        <f aca="false">IF($H230="","",INDEX(DECKS!$C$2:$C$1201,$H230))</f>
        <v/>
      </c>
      <c r="E230" s="16" t="str">
        <f aca="false">IF($H230="","",INDEX(DECKS!$D$2:$D$1201,$H230))</f>
        <v/>
      </c>
      <c r="F230" s="16" t="str">
        <f aca="false">IF($H230="","",INDEX(DECKS!$E$2:$E$1201,$H230))</f>
        <v/>
      </c>
      <c r="G230" s="21" t="str">
        <f aca="false">IF($H230="","",INDEX(DECKS!$F$2:$F$1201,$H230))</f>
        <v/>
      </c>
      <c r="H230" s="11" t="str">
        <f aca="false">IFERROR(MATCH(ROW()-1,DECKS!$O$2:$O$1201,0),"")</f>
        <v/>
      </c>
      <c r="I230" s="11" t="str">
        <f aca="false">IF(C230="","",G230&amp;" "&amp;D230&amp;" ("&amp;C230&amp;")")</f>
        <v/>
      </c>
    </row>
    <row r="231" customFormat="false" ht="15" hidden="false" customHeight="false" outlineLevel="0" collapsed="false">
      <c r="A231" s="16"/>
      <c r="B231" s="11" t="str">
        <f aca="false">IF($H231="","",INDEX(DECKS!$A$2:$A$1201,$H231))</f>
        <v/>
      </c>
      <c r="C231" s="11" t="str">
        <f aca="false">IF($H231="","",INDEX(DECKS!$B$2:$B$1201,$H231))</f>
        <v/>
      </c>
      <c r="D231" s="11" t="str">
        <f aca="false">IF($H231="","",INDEX(DECKS!$C$2:$C$1201,$H231))</f>
        <v/>
      </c>
      <c r="E231" s="16" t="str">
        <f aca="false">IF($H231="","",INDEX(DECKS!$D$2:$D$1201,$H231))</f>
        <v/>
      </c>
      <c r="F231" s="16" t="str">
        <f aca="false">IF($H231="","",INDEX(DECKS!$E$2:$E$1201,$H231))</f>
        <v/>
      </c>
      <c r="G231" s="21" t="str">
        <f aca="false">IF($H231="","",INDEX(DECKS!$F$2:$F$1201,$H231))</f>
        <v/>
      </c>
      <c r="H231" s="11" t="str">
        <f aca="false">IFERROR(MATCH(ROW()-1,DECKS!$O$2:$O$1201,0),"")</f>
        <v/>
      </c>
      <c r="I231" s="11" t="str">
        <f aca="false">IF(C231="","",G231&amp;" "&amp;D231&amp;" ("&amp;C231&amp;")")</f>
        <v/>
      </c>
    </row>
    <row r="232" customFormat="false" ht="15" hidden="false" customHeight="false" outlineLevel="0" collapsed="false">
      <c r="A232" s="16"/>
      <c r="B232" s="11" t="str">
        <f aca="false">IF($H232="","",INDEX(DECKS!$A$2:$A$1201,$H232))</f>
        <v/>
      </c>
      <c r="C232" s="11" t="str">
        <f aca="false">IF($H232="","",INDEX(DECKS!$B$2:$B$1201,$H232))</f>
        <v/>
      </c>
      <c r="D232" s="11" t="str">
        <f aca="false">IF($H232="","",INDEX(DECKS!$C$2:$C$1201,$H232))</f>
        <v/>
      </c>
      <c r="E232" s="16" t="str">
        <f aca="false">IF($H232="","",INDEX(DECKS!$D$2:$D$1201,$H232))</f>
        <v/>
      </c>
      <c r="F232" s="16" t="str">
        <f aca="false">IF($H232="","",INDEX(DECKS!$E$2:$E$1201,$H232))</f>
        <v/>
      </c>
      <c r="G232" s="21" t="str">
        <f aca="false">IF($H232="","",INDEX(DECKS!$F$2:$F$1201,$H232))</f>
        <v/>
      </c>
      <c r="H232" s="11" t="str">
        <f aca="false">IFERROR(MATCH(ROW()-1,DECKS!$O$2:$O$1201,0),"")</f>
        <v/>
      </c>
      <c r="I232" s="11" t="str">
        <f aca="false">IF(C232="","",G232&amp;" "&amp;D232&amp;" ("&amp;C232&amp;")")</f>
        <v/>
      </c>
    </row>
    <row r="233" customFormat="false" ht="15" hidden="false" customHeight="false" outlineLevel="0" collapsed="false">
      <c r="A233" s="16"/>
      <c r="B233" s="11" t="str">
        <f aca="false">IF($H233="","",INDEX(DECKS!$A$2:$A$1201,$H233))</f>
        <v/>
      </c>
      <c r="C233" s="11" t="str">
        <f aca="false">IF($H233="","",INDEX(DECKS!$B$2:$B$1201,$H233))</f>
        <v/>
      </c>
      <c r="D233" s="11" t="str">
        <f aca="false">IF($H233="","",INDEX(DECKS!$C$2:$C$1201,$H233))</f>
        <v/>
      </c>
      <c r="E233" s="16" t="str">
        <f aca="false">IF($H233="","",INDEX(DECKS!$D$2:$D$1201,$H233))</f>
        <v/>
      </c>
      <c r="F233" s="16" t="str">
        <f aca="false">IF($H233="","",INDEX(DECKS!$E$2:$E$1201,$H233))</f>
        <v/>
      </c>
      <c r="G233" s="21" t="str">
        <f aca="false">IF($H233="","",INDEX(DECKS!$F$2:$F$1201,$H233))</f>
        <v/>
      </c>
      <c r="H233" s="11" t="str">
        <f aca="false">IFERROR(MATCH(ROW()-1,DECKS!$O$2:$O$1201,0),"")</f>
        <v/>
      </c>
      <c r="I233" s="11" t="str">
        <f aca="false">IF(C233="","",G233&amp;" "&amp;D233&amp;" ("&amp;C233&amp;")")</f>
        <v/>
      </c>
    </row>
    <row r="234" customFormat="false" ht="15" hidden="false" customHeight="false" outlineLevel="0" collapsed="false">
      <c r="A234" s="16"/>
      <c r="B234" s="11" t="str">
        <f aca="false">IF($H234="","",INDEX(DECKS!$A$2:$A$1201,$H234))</f>
        <v/>
      </c>
      <c r="C234" s="11" t="str">
        <f aca="false">IF($H234="","",INDEX(DECKS!$B$2:$B$1201,$H234))</f>
        <v/>
      </c>
      <c r="D234" s="11" t="str">
        <f aca="false">IF($H234="","",INDEX(DECKS!$C$2:$C$1201,$H234))</f>
        <v/>
      </c>
      <c r="E234" s="16" t="str">
        <f aca="false">IF($H234="","",INDEX(DECKS!$D$2:$D$1201,$H234))</f>
        <v/>
      </c>
      <c r="F234" s="16" t="str">
        <f aca="false">IF($H234="","",INDEX(DECKS!$E$2:$E$1201,$H234))</f>
        <v/>
      </c>
      <c r="G234" s="21" t="str">
        <f aca="false">IF($H234="","",INDEX(DECKS!$F$2:$F$1201,$H234))</f>
        <v/>
      </c>
      <c r="H234" s="11" t="str">
        <f aca="false">IFERROR(MATCH(ROW()-1,DECKS!$O$2:$O$1201,0),"")</f>
        <v/>
      </c>
      <c r="I234" s="11" t="str">
        <f aca="false">IF(C234="","",G234&amp;" "&amp;D234&amp;" ("&amp;C234&amp;")")</f>
        <v/>
      </c>
    </row>
    <row r="235" customFormat="false" ht="15" hidden="false" customHeight="false" outlineLevel="0" collapsed="false">
      <c r="A235" s="16"/>
      <c r="B235" s="11" t="str">
        <f aca="false">IF($H235="","",INDEX(DECKS!$A$2:$A$1201,$H235))</f>
        <v/>
      </c>
      <c r="C235" s="11" t="str">
        <f aca="false">IF($H235="","",INDEX(DECKS!$B$2:$B$1201,$H235))</f>
        <v/>
      </c>
      <c r="D235" s="11" t="str">
        <f aca="false">IF($H235="","",INDEX(DECKS!$C$2:$C$1201,$H235))</f>
        <v/>
      </c>
      <c r="E235" s="16" t="str">
        <f aca="false">IF($H235="","",INDEX(DECKS!$D$2:$D$1201,$H235))</f>
        <v/>
      </c>
      <c r="F235" s="16" t="str">
        <f aca="false">IF($H235="","",INDEX(DECKS!$E$2:$E$1201,$H235))</f>
        <v/>
      </c>
      <c r="G235" s="21" t="str">
        <f aca="false">IF($H235="","",INDEX(DECKS!$F$2:$F$1201,$H235))</f>
        <v/>
      </c>
      <c r="H235" s="11" t="str">
        <f aca="false">IFERROR(MATCH(ROW()-1,DECKS!$O$2:$O$1201,0),"")</f>
        <v/>
      </c>
      <c r="I235" s="11" t="str">
        <f aca="false">IF(C235="","",G235&amp;" "&amp;D235&amp;" ("&amp;C235&amp;")")</f>
        <v/>
      </c>
    </row>
    <row r="236" customFormat="false" ht="15" hidden="false" customHeight="false" outlineLevel="0" collapsed="false">
      <c r="A236" s="16"/>
      <c r="B236" s="11" t="str">
        <f aca="false">IF($H236="","",INDEX(DECKS!$A$2:$A$1201,$H236))</f>
        <v/>
      </c>
      <c r="C236" s="11" t="str">
        <f aca="false">IF($H236="","",INDEX(DECKS!$B$2:$B$1201,$H236))</f>
        <v/>
      </c>
      <c r="D236" s="11" t="str">
        <f aca="false">IF($H236="","",INDEX(DECKS!$C$2:$C$1201,$H236))</f>
        <v/>
      </c>
      <c r="E236" s="16" t="str">
        <f aca="false">IF($H236="","",INDEX(DECKS!$D$2:$D$1201,$H236))</f>
        <v/>
      </c>
      <c r="F236" s="16" t="str">
        <f aca="false">IF($H236="","",INDEX(DECKS!$E$2:$E$1201,$H236))</f>
        <v/>
      </c>
      <c r="G236" s="21" t="str">
        <f aca="false">IF($H236="","",INDEX(DECKS!$F$2:$F$1201,$H236))</f>
        <v/>
      </c>
      <c r="H236" s="11" t="str">
        <f aca="false">IFERROR(MATCH(ROW()-1,DECKS!$O$2:$O$1201,0),"")</f>
        <v/>
      </c>
      <c r="I236" s="11" t="str">
        <f aca="false">IF(C236="","",G236&amp;" "&amp;D236&amp;" ("&amp;C236&amp;")")</f>
        <v/>
      </c>
    </row>
    <row r="237" customFormat="false" ht="15" hidden="false" customHeight="false" outlineLevel="0" collapsed="false">
      <c r="A237" s="16"/>
      <c r="B237" s="11" t="str">
        <f aca="false">IF($H237="","",INDEX(DECKS!$A$2:$A$1201,$H237))</f>
        <v/>
      </c>
      <c r="C237" s="11" t="str">
        <f aca="false">IF($H237="","",INDEX(DECKS!$B$2:$B$1201,$H237))</f>
        <v/>
      </c>
      <c r="D237" s="11" t="str">
        <f aca="false">IF($H237="","",INDEX(DECKS!$C$2:$C$1201,$H237))</f>
        <v/>
      </c>
      <c r="E237" s="16" t="str">
        <f aca="false">IF($H237="","",INDEX(DECKS!$D$2:$D$1201,$H237))</f>
        <v/>
      </c>
      <c r="F237" s="16" t="str">
        <f aca="false">IF($H237="","",INDEX(DECKS!$E$2:$E$1201,$H237))</f>
        <v/>
      </c>
      <c r="G237" s="21" t="str">
        <f aca="false">IF($H237="","",INDEX(DECKS!$F$2:$F$1201,$H237))</f>
        <v/>
      </c>
      <c r="H237" s="11" t="str">
        <f aca="false">IFERROR(MATCH(ROW()-1,DECKS!$O$2:$O$1201,0),"")</f>
        <v/>
      </c>
      <c r="I237" s="11" t="str">
        <f aca="false">IF(C237="","",G237&amp;" "&amp;D237&amp;" ("&amp;C237&amp;")")</f>
        <v/>
      </c>
    </row>
    <row r="238" customFormat="false" ht="15" hidden="false" customHeight="false" outlineLevel="0" collapsed="false">
      <c r="A238" s="16"/>
      <c r="B238" s="11" t="str">
        <f aca="false">IF($H238="","",INDEX(DECKS!$A$2:$A$1201,$H238))</f>
        <v/>
      </c>
      <c r="C238" s="11" t="str">
        <f aca="false">IF($H238="","",INDEX(DECKS!$B$2:$B$1201,$H238))</f>
        <v/>
      </c>
      <c r="D238" s="11" t="str">
        <f aca="false">IF($H238="","",INDEX(DECKS!$C$2:$C$1201,$H238))</f>
        <v/>
      </c>
      <c r="E238" s="16" t="str">
        <f aca="false">IF($H238="","",INDEX(DECKS!$D$2:$D$1201,$H238))</f>
        <v/>
      </c>
      <c r="F238" s="16" t="str">
        <f aca="false">IF($H238="","",INDEX(DECKS!$E$2:$E$1201,$H238))</f>
        <v/>
      </c>
      <c r="G238" s="21" t="str">
        <f aca="false">IF($H238="","",INDEX(DECKS!$F$2:$F$1201,$H238))</f>
        <v/>
      </c>
      <c r="H238" s="11" t="str">
        <f aca="false">IFERROR(MATCH(ROW()-1,DECKS!$O$2:$O$1201,0),"")</f>
        <v/>
      </c>
      <c r="I238" s="11" t="str">
        <f aca="false">IF(C238="","",G238&amp;" "&amp;D238&amp;" ("&amp;C238&amp;")")</f>
        <v/>
      </c>
    </row>
    <row r="239" customFormat="false" ht="15" hidden="false" customHeight="false" outlineLevel="0" collapsed="false">
      <c r="A239" s="16"/>
      <c r="B239" s="11" t="str">
        <f aca="false">IF($H239="","",INDEX(DECKS!$A$2:$A$1201,$H239))</f>
        <v/>
      </c>
      <c r="C239" s="11" t="str">
        <f aca="false">IF($H239="","",INDEX(DECKS!$B$2:$B$1201,$H239))</f>
        <v/>
      </c>
      <c r="D239" s="11" t="str">
        <f aca="false">IF($H239="","",INDEX(DECKS!$C$2:$C$1201,$H239))</f>
        <v/>
      </c>
      <c r="E239" s="16" t="str">
        <f aca="false">IF($H239="","",INDEX(DECKS!$D$2:$D$1201,$H239))</f>
        <v/>
      </c>
      <c r="F239" s="16" t="str">
        <f aca="false">IF($H239="","",INDEX(DECKS!$E$2:$E$1201,$H239))</f>
        <v/>
      </c>
      <c r="G239" s="21" t="str">
        <f aca="false">IF($H239="","",INDEX(DECKS!$F$2:$F$1201,$H239))</f>
        <v/>
      </c>
      <c r="H239" s="11" t="str">
        <f aca="false">IFERROR(MATCH(ROW()-1,DECKS!$O$2:$O$1201,0),"")</f>
        <v/>
      </c>
      <c r="I239" s="11" t="str">
        <f aca="false">IF(C239="","",G239&amp;" "&amp;D239&amp;" ("&amp;C239&amp;")")</f>
        <v/>
      </c>
    </row>
    <row r="240" customFormat="false" ht="15" hidden="false" customHeight="false" outlineLevel="0" collapsed="false">
      <c r="A240" s="16"/>
      <c r="B240" s="11" t="str">
        <f aca="false">IF($H240="","",INDEX(DECKS!$A$2:$A$1201,$H240))</f>
        <v/>
      </c>
      <c r="C240" s="11" t="str">
        <f aca="false">IF($H240="","",INDEX(DECKS!$B$2:$B$1201,$H240))</f>
        <v/>
      </c>
      <c r="D240" s="11" t="str">
        <f aca="false">IF($H240="","",INDEX(DECKS!$C$2:$C$1201,$H240))</f>
        <v/>
      </c>
      <c r="E240" s="16" t="str">
        <f aca="false">IF($H240="","",INDEX(DECKS!$D$2:$D$1201,$H240))</f>
        <v/>
      </c>
      <c r="F240" s="16" t="str">
        <f aca="false">IF($H240="","",INDEX(DECKS!$E$2:$E$1201,$H240))</f>
        <v/>
      </c>
      <c r="G240" s="21" t="str">
        <f aca="false">IF($H240="","",INDEX(DECKS!$F$2:$F$1201,$H240))</f>
        <v/>
      </c>
      <c r="H240" s="11" t="str">
        <f aca="false">IFERROR(MATCH(ROW()-1,DECKS!$O$2:$O$1201,0),"")</f>
        <v/>
      </c>
      <c r="I240" s="11" t="str">
        <f aca="false">IF(C240="","",G240&amp;" "&amp;D240&amp;" ("&amp;C240&amp;")")</f>
        <v/>
      </c>
    </row>
    <row r="241" customFormat="false" ht="15" hidden="false" customHeight="false" outlineLevel="0" collapsed="false">
      <c r="A241" s="16"/>
      <c r="B241" s="11" t="str">
        <f aca="false">IF($H241="","",INDEX(DECKS!$A$2:$A$1201,$H241))</f>
        <v/>
      </c>
      <c r="C241" s="11" t="str">
        <f aca="false">IF($H241="","",INDEX(DECKS!$B$2:$B$1201,$H241))</f>
        <v/>
      </c>
      <c r="D241" s="11" t="str">
        <f aca="false">IF($H241="","",INDEX(DECKS!$C$2:$C$1201,$H241))</f>
        <v/>
      </c>
      <c r="E241" s="16" t="str">
        <f aca="false">IF($H241="","",INDEX(DECKS!$D$2:$D$1201,$H241))</f>
        <v/>
      </c>
      <c r="F241" s="16" t="str">
        <f aca="false">IF($H241="","",INDEX(DECKS!$E$2:$E$1201,$H241))</f>
        <v/>
      </c>
      <c r="G241" s="21" t="str">
        <f aca="false">IF($H241="","",INDEX(DECKS!$F$2:$F$1201,$H241))</f>
        <v/>
      </c>
      <c r="H241" s="11" t="str">
        <f aca="false">IFERROR(MATCH(ROW()-1,DECKS!$O$2:$O$1201,0),"")</f>
        <v/>
      </c>
      <c r="I241" s="11" t="str">
        <f aca="false">IF(C241="","",G241&amp;" "&amp;D241&amp;" ("&amp;C241&amp;")")</f>
        <v/>
      </c>
    </row>
    <row r="242" customFormat="false" ht="15" hidden="false" customHeight="false" outlineLevel="0" collapsed="false">
      <c r="A242" s="16"/>
      <c r="B242" s="11" t="str">
        <f aca="false">IF($H242="","",INDEX(DECKS!$A$2:$A$1201,$H242))</f>
        <v/>
      </c>
      <c r="C242" s="11" t="str">
        <f aca="false">IF($H242="","",INDEX(DECKS!$B$2:$B$1201,$H242))</f>
        <v/>
      </c>
      <c r="D242" s="11" t="str">
        <f aca="false">IF($H242="","",INDEX(DECKS!$C$2:$C$1201,$H242))</f>
        <v/>
      </c>
      <c r="E242" s="16" t="str">
        <f aca="false">IF($H242="","",INDEX(DECKS!$D$2:$D$1201,$H242))</f>
        <v/>
      </c>
      <c r="F242" s="16" t="str">
        <f aca="false">IF($H242="","",INDEX(DECKS!$E$2:$E$1201,$H242))</f>
        <v/>
      </c>
      <c r="G242" s="21" t="str">
        <f aca="false">IF($H242="","",INDEX(DECKS!$F$2:$F$1201,$H242))</f>
        <v/>
      </c>
      <c r="H242" s="11" t="str">
        <f aca="false">IFERROR(MATCH(ROW()-1,DECKS!$O$2:$O$1201,0),"")</f>
        <v/>
      </c>
      <c r="I242" s="11" t="str">
        <f aca="false">IF(C242="","",G242&amp;" "&amp;D242&amp;" ("&amp;C242&amp;")")</f>
        <v/>
      </c>
    </row>
    <row r="243" customFormat="false" ht="15" hidden="false" customHeight="false" outlineLevel="0" collapsed="false">
      <c r="A243" s="16"/>
      <c r="B243" s="11" t="str">
        <f aca="false">IF($H243="","",INDEX(DECKS!$A$2:$A$1201,$H243))</f>
        <v/>
      </c>
      <c r="C243" s="11" t="str">
        <f aca="false">IF($H243="","",INDEX(DECKS!$B$2:$B$1201,$H243))</f>
        <v/>
      </c>
      <c r="D243" s="11" t="str">
        <f aca="false">IF($H243="","",INDEX(DECKS!$C$2:$C$1201,$H243))</f>
        <v/>
      </c>
      <c r="E243" s="16" t="str">
        <f aca="false">IF($H243="","",INDEX(DECKS!$D$2:$D$1201,$H243))</f>
        <v/>
      </c>
      <c r="F243" s="16" t="str">
        <f aca="false">IF($H243="","",INDEX(DECKS!$E$2:$E$1201,$H243))</f>
        <v/>
      </c>
      <c r="G243" s="21" t="str">
        <f aca="false">IF($H243="","",INDEX(DECKS!$F$2:$F$1201,$H243))</f>
        <v/>
      </c>
      <c r="H243" s="11" t="str">
        <f aca="false">IFERROR(MATCH(ROW()-1,DECKS!$O$2:$O$1201,0),"")</f>
        <v/>
      </c>
      <c r="I243" s="11" t="str">
        <f aca="false">IF(C243="","",G243&amp;" "&amp;D243&amp;" ("&amp;C243&amp;")")</f>
        <v/>
      </c>
    </row>
    <row r="244" customFormat="false" ht="15" hidden="false" customHeight="false" outlineLevel="0" collapsed="false">
      <c r="A244" s="16"/>
      <c r="B244" s="11" t="str">
        <f aca="false">IF($H244="","",INDEX(DECKS!$A$2:$A$1201,$H244))</f>
        <v/>
      </c>
      <c r="C244" s="11" t="str">
        <f aca="false">IF($H244="","",INDEX(DECKS!$B$2:$B$1201,$H244))</f>
        <v/>
      </c>
      <c r="D244" s="11" t="str">
        <f aca="false">IF($H244="","",INDEX(DECKS!$C$2:$C$1201,$H244))</f>
        <v/>
      </c>
      <c r="E244" s="16" t="str">
        <f aca="false">IF($H244="","",INDEX(DECKS!$D$2:$D$1201,$H244))</f>
        <v/>
      </c>
      <c r="F244" s="16" t="str">
        <f aca="false">IF($H244="","",INDEX(DECKS!$E$2:$E$1201,$H244))</f>
        <v/>
      </c>
      <c r="G244" s="21" t="str">
        <f aca="false">IF($H244="","",INDEX(DECKS!$F$2:$F$1201,$H244))</f>
        <v/>
      </c>
      <c r="H244" s="11" t="str">
        <f aca="false">IFERROR(MATCH(ROW()-1,DECKS!$O$2:$O$1201,0),"")</f>
        <v/>
      </c>
      <c r="I244" s="11" t="str">
        <f aca="false">IF(C244="","",G244&amp;" "&amp;D244&amp;" ("&amp;C244&amp;")")</f>
        <v/>
      </c>
    </row>
    <row r="245" customFormat="false" ht="15" hidden="false" customHeight="false" outlineLevel="0" collapsed="false">
      <c r="A245" s="16"/>
      <c r="B245" s="11" t="str">
        <f aca="false">IF($H245="","",INDEX(DECKS!$A$2:$A$1201,$H245))</f>
        <v/>
      </c>
      <c r="C245" s="11" t="str">
        <f aca="false">IF($H245="","",INDEX(DECKS!$B$2:$B$1201,$H245))</f>
        <v/>
      </c>
      <c r="D245" s="11" t="str">
        <f aca="false">IF($H245="","",INDEX(DECKS!$C$2:$C$1201,$H245))</f>
        <v/>
      </c>
      <c r="E245" s="16" t="str">
        <f aca="false">IF($H245="","",INDEX(DECKS!$D$2:$D$1201,$H245))</f>
        <v/>
      </c>
      <c r="F245" s="16" t="str">
        <f aca="false">IF($H245="","",INDEX(DECKS!$E$2:$E$1201,$H245))</f>
        <v/>
      </c>
      <c r="G245" s="21" t="str">
        <f aca="false">IF($H245="","",INDEX(DECKS!$F$2:$F$1201,$H245))</f>
        <v/>
      </c>
      <c r="H245" s="11" t="str">
        <f aca="false">IFERROR(MATCH(ROW()-1,DECKS!$O$2:$O$1201,0),"")</f>
        <v/>
      </c>
      <c r="I245" s="11" t="str">
        <f aca="false">IF(C245="","",G245&amp;" "&amp;D245&amp;" ("&amp;C245&amp;")")</f>
        <v/>
      </c>
    </row>
    <row r="246" customFormat="false" ht="15" hidden="false" customHeight="false" outlineLevel="0" collapsed="false">
      <c r="A246" s="16"/>
      <c r="B246" s="11" t="str">
        <f aca="false">IF($H246="","",INDEX(DECKS!$A$2:$A$1201,$H246))</f>
        <v/>
      </c>
      <c r="C246" s="11" t="str">
        <f aca="false">IF($H246="","",INDEX(DECKS!$B$2:$B$1201,$H246))</f>
        <v/>
      </c>
      <c r="D246" s="11" t="str">
        <f aca="false">IF($H246="","",INDEX(DECKS!$C$2:$C$1201,$H246))</f>
        <v/>
      </c>
      <c r="E246" s="16" t="str">
        <f aca="false">IF($H246="","",INDEX(DECKS!$D$2:$D$1201,$H246))</f>
        <v/>
      </c>
      <c r="F246" s="16" t="str">
        <f aca="false">IF($H246="","",INDEX(DECKS!$E$2:$E$1201,$H246))</f>
        <v/>
      </c>
      <c r="G246" s="21" t="str">
        <f aca="false">IF($H246="","",INDEX(DECKS!$F$2:$F$1201,$H246))</f>
        <v/>
      </c>
      <c r="H246" s="11" t="str">
        <f aca="false">IFERROR(MATCH(ROW()-1,DECKS!$O$2:$O$1201,0),"")</f>
        <v/>
      </c>
      <c r="I246" s="11" t="str">
        <f aca="false">IF(C246="","",G246&amp;" "&amp;D246&amp;" ("&amp;C246&amp;")")</f>
        <v/>
      </c>
    </row>
    <row r="247" customFormat="false" ht="15" hidden="false" customHeight="false" outlineLevel="0" collapsed="false">
      <c r="A247" s="16"/>
      <c r="B247" s="11" t="str">
        <f aca="false">IF($H247="","",INDEX(DECKS!$A$2:$A$1201,$H247))</f>
        <v/>
      </c>
      <c r="C247" s="11" t="str">
        <f aca="false">IF($H247="","",INDEX(DECKS!$B$2:$B$1201,$H247))</f>
        <v/>
      </c>
      <c r="D247" s="11" t="str">
        <f aca="false">IF($H247="","",INDEX(DECKS!$C$2:$C$1201,$H247))</f>
        <v/>
      </c>
      <c r="E247" s="16" t="str">
        <f aca="false">IF($H247="","",INDEX(DECKS!$D$2:$D$1201,$H247))</f>
        <v/>
      </c>
      <c r="F247" s="16" t="str">
        <f aca="false">IF($H247="","",INDEX(DECKS!$E$2:$E$1201,$H247))</f>
        <v/>
      </c>
      <c r="G247" s="21" t="str">
        <f aca="false">IF($H247="","",INDEX(DECKS!$F$2:$F$1201,$H247))</f>
        <v/>
      </c>
      <c r="H247" s="11" t="str">
        <f aca="false">IFERROR(MATCH(ROW()-1,DECKS!$O$2:$O$1201,0),"")</f>
        <v/>
      </c>
      <c r="I247" s="11" t="str">
        <f aca="false">IF(C247="","",G247&amp;" "&amp;D247&amp;" ("&amp;C247&amp;")")</f>
        <v/>
      </c>
    </row>
    <row r="248" customFormat="false" ht="15" hidden="false" customHeight="false" outlineLevel="0" collapsed="false">
      <c r="A248" s="16"/>
      <c r="B248" s="11" t="str">
        <f aca="false">IF($H248="","",INDEX(DECKS!$A$2:$A$1201,$H248))</f>
        <v/>
      </c>
      <c r="C248" s="11" t="str">
        <f aca="false">IF($H248="","",INDEX(DECKS!$B$2:$B$1201,$H248))</f>
        <v/>
      </c>
      <c r="D248" s="11" t="str">
        <f aca="false">IF($H248="","",INDEX(DECKS!$C$2:$C$1201,$H248))</f>
        <v/>
      </c>
      <c r="E248" s="16" t="str">
        <f aca="false">IF($H248="","",INDEX(DECKS!$D$2:$D$1201,$H248))</f>
        <v/>
      </c>
      <c r="F248" s="16" t="str">
        <f aca="false">IF($H248="","",INDEX(DECKS!$E$2:$E$1201,$H248))</f>
        <v/>
      </c>
      <c r="G248" s="21" t="str">
        <f aca="false">IF($H248="","",INDEX(DECKS!$F$2:$F$1201,$H248))</f>
        <v/>
      </c>
      <c r="H248" s="11" t="str">
        <f aca="false">IFERROR(MATCH(ROW()-1,DECKS!$O$2:$O$1201,0),"")</f>
        <v/>
      </c>
      <c r="I248" s="11" t="str">
        <f aca="false">IF(C248="","",G248&amp;" "&amp;D248&amp;" ("&amp;C248&amp;")")</f>
        <v/>
      </c>
    </row>
    <row r="249" customFormat="false" ht="15" hidden="false" customHeight="false" outlineLevel="0" collapsed="false">
      <c r="A249" s="16"/>
      <c r="B249" s="11" t="str">
        <f aca="false">IF($H249="","",INDEX(DECKS!$A$2:$A$1201,$H249))</f>
        <v/>
      </c>
      <c r="C249" s="11" t="str">
        <f aca="false">IF($H249="","",INDEX(DECKS!$B$2:$B$1201,$H249))</f>
        <v/>
      </c>
      <c r="D249" s="11" t="str">
        <f aca="false">IF($H249="","",INDEX(DECKS!$C$2:$C$1201,$H249))</f>
        <v/>
      </c>
      <c r="E249" s="16" t="str">
        <f aca="false">IF($H249="","",INDEX(DECKS!$D$2:$D$1201,$H249))</f>
        <v/>
      </c>
      <c r="F249" s="16" t="str">
        <f aca="false">IF($H249="","",INDEX(DECKS!$E$2:$E$1201,$H249))</f>
        <v/>
      </c>
      <c r="G249" s="21" t="str">
        <f aca="false">IF($H249="","",INDEX(DECKS!$F$2:$F$1201,$H249))</f>
        <v/>
      </c>
      <c r="H249" s="11" t="str">
        <f aca="false">IFERROR(MATCH(ROW()-1,DECKS!$O$2:$O$1201,0),"")</f>
        <v/>
      </c>
      <c r="I249" s="11" t="str">
        <f aca="false">IF(C249="","",G249&amp;" "&amp;D249&amp;" ("&amp;C249&amp;")")</f>
        <v/>
      </c>
    </row>
    <row r="250" customFormat="false" ht="15" hidden="false" customHeight="false" outlineLevel="0" collapsed="false">
      <c r="A250" s="16"/>
      <c r="B250" s="11" t="str">
        <f aca="false">IF($H250="","",INDEX(DECKS!$A$2:$A$1201,$H250))</f>
        <v/>
      </c>
      <c r="C250" s="11" t="str">
        <f aca="false">IF($H250="","",INDEX(DECKS!$B$2:$B$1201,$H250))</f>
        <v/>
      </c>
      <c r="D250" s="11" t="str">
        <f aca="false">IF($H250="","",INDEX(DECKS!$C$2:$C$1201,$H250))</f>
        <v/>
      </c>
      <c r="E250" s="16" t="str">
        <f aca="false">IF($H250="","",INDEX(DECKS!$D$2:$D$1201,$H250))</f>
        <v/>
      </c>
      <c r="F250" s="16" t="str">
        <f aca="false">IF($H250="","",INDEX(DECKS!$E$2:$E$1201,$H250))</f>
        <v/>
      </c>
      <c r="G250" s="21" t="str">
        <f aca="false">IF($H250="","",INDEX(DECKS!$F$2:$F$1201,$H250))</f>
        <v/>
      </c>
      <c r="H250" s="11" t="str">
        <f aca="false">IFERROR(MATCH(ROW()-1,DECKS!$O$2:$O$1201,0),"")</f>
        <v/>
      </c>
      <c r="I250" s="11" t="str">
        <f aca="false">IF(C250="","",G250&amp;" "&amp;D250&amp;" ("&amp;C250&amp;")")</f>
        <v/>
      </c>
    </row>
    <row r="251" customFormat="false" ht="15" hidden="false" customHeight="false" outlineLevel="0" collapsed="false">
      <c r="A251" s="16"/>
      <c r="B251" s="11" t="str">
        <f aca="false">IF($H251="","",INDEX(DECKS!$A$2:$A$1201,$H251))</f>
        <v/>
      </c>
      <c r="C251" s="11" t="str">
        <f aca="false">IF($H251="","",INDEX(DECKS!$B$2:$B$1201,$H251))</f>
        <v/>
      </c>
      <c r="D251" s="11" t="str">
        <f aca="false">IF($H251="","",INDEX(DECKS!$C$2:$C$1201,$H251))</f>
        <v/>
      </c>
      <c r="E251" s="16" t="str">
        <f aca="false">IF($H251="","",INDEX(DECKS!$D$2:$D$1201,$H251))</f>
        <v/>
      </c>
      <c r="F251" s="16" t="str">
        <f aca="false">IF($H251="","",INDEX(DECKS!$E$2:$E$1201,$H251))</f>
        <v/>
      </c>
      <c r="G251" s="21" t="str">
        <f aca="false">IF($H251="","",INDEX(DECKS!$F$2:$F$1201,$H251))</f>
        <v/>
      </c>
      <c r="H251" s="11" t="str">
        <f aca="false">IFERROR(MATCH(ROW()-1,DECKS!$O$2:$O$1201,0),"")</f>
        <v/>
      </c>
      <c r="I251" s="11" t="str">
        <f aca="false">IF(C251="","",G251&amp;" "&amp;D251&amp;" ("&amp;C251&amp;")")</f>
        <v/>
      </c>
    </row>
    <row r="252" customFormat="false" ht="15" hidden="false" customHeight="false" outlineLevel="0" collapsed="false">
      <c r="A252" s="16"/>
      <c r="B252" s="11" t="str">
        <f aca="false">IF($H252="","",INDEX(DECKS!$A$2:$A$1201,$H252))</f>
        <v/>
      </c>
      <c r="C252" s="11" t="str">
        <f aca="false">IF($H252="","",INDEX(DECKS!$B$2:$B$1201,$H252))</f>
        <v/>
      </c>
      <c r="D252" s="11" t="str">
        <f aca="false">IF($H252="","",INDEX(DECKS!$C$2:$C$1201,$H252))</f>
        <v/>
      </c>
      <c r="E252" s="16" t="str">
        <f aca="false">IF($H252="","",INDEX(DECKS!$D$2:$D$1201,$H252))</f>
        <v/>
      </c>
      <c r="F252" s="16" t="str">
        <f aca="false">IF($H252="","",INDEX(DECKS!$E$2:$E$1201,$H252))</f>
        <v/>
      </c>
      <c r="G252" s="21" t="str">
        <f aca="false">IF($H252="","",INDEX(DECKS!$F$2:$F$1201,$H252))</f>
        <v/>
      </c>
      <c r="H252" s="11" t="str">
        <f aca="false">IFERROR(MATCH(ROW()-1,DECKS!$O$2:$O$1201,0),"")</f>
        <v/>
      </c>
      <c r="I252" s="11" t="str">
        <f aca="false">IF(C252="","",G252&amp;" "&amp;D252&amp;" ("&amp;C252&amp;")")</f>
        <v/>
      </c>
    </row>
    <row r="253" customFormat="false" ht="15" hidden="false" customHeight="false" outlineLevel="0" collapsed="false">
      <c r="A253" s="16"/>
      <c r="B253" s="11" t="str">
        <f aca="false">IF($H253="","",INDEX(DECKS!$A$2:$A$1201,$H253))</f>
        <v/>
      </c>
      <c r="C253" s="11" t="str">
        <f aca="false">IF($H253="","",INDEX(DECKS!$B$2:$B$1201,$H253))</f>
        <v/>
      </c>
      <c r="D253" s="11" t="str">
        <f aca="false">IF($H253="","",INDEX(DECKS!$C$2:$C$1201,$H253))</f>
        <v/>
      </c>
      <c r="E253" s="16" t="str">
        <f aca="false">IF($H253="","",INDEX(DECKS!$D$2:$D$1201,$H253))</f>
        <v/>
      </c>
      <c r="F253" s="16" t="str">
        <f aca="false">IF($H253="","",INDEX(DECKS!$E$2:$E$1201,$H253))</f>
        <v/>
      </c>
      <c r="G253" s="21" t="str">
        <f aca="false">IF($H253="","",INDEX(DECKS!$F$2:$F$1201,$H253))</f>
        <v/>
      </c>
      <c r="H253" s="11" t="str">
        <f aca="false">IFERROR(MATCH(ROW()-1,DECKS!$O$2:$O$1201,0),"")</f>
        <v/>
      </c>
      <c r="I253" s="11" t="str">
        <f aca="false">IF(C253="","",G253&amp;" "&amp;D253&amp;" ("&amp;C253&amp;")")</f>
        <v/>
      </c>
    </row>
    <row r="254" customFormat="false" ht="15" hidden="false" customHeight="false" outlineLevel="0" collapsed="false">
      <c r="A254" s="16"/>
      <c r="B254" s="11" t="str">
        <f aca="false">IF($H254="","",INDEX(DECKS!$A$2:$A$1201,$H254))</f>
        <v/>
      </c>
      <c r="C254" s="11" t="str">
        <f aca="false">IF($H254="","",INDEX(DECKS!$B$2:$B$1201,$H254))</f>
        <v/>
      </c>
      <c r="D254" s="11" t="str">
        <f aca="false">IF($H254="","",INDEX(DECKS!$C$2:$C$1201,$H254))</f>
        <v/>
      </c>
      <c r="E254" s="16" t="str">
        <f aca="false">IF($H254="","",INDEX(DECKS!$D$2:$D$1201,$H254))</f>
        <v/>
      </c>
      <c r="F254" s="16" t="str">
        <f aca="false">IF($H254="","",INDEX(DECKS!$E$2:$E$1201,$H254))</f>
        <v/>
      </c>
      <c r="G254" s="21" t="str">
        <f aca="false">IF($H254="","",INDEX(DECKS!$F$2:$F$1201,$H254))</f>
        <v/>
      </c>
      <c r="H254" s="11" t="str">
        <f aca="false">IFERROR(MATCH(ROW()-1,DECKS!$O$2:$O$1201,0),"")</f>
        <v/>
      </c>
      <c r="I254" s="11" t="str">
        <f aca="false">IF(C254="","",G254&amp;" "&amp;D254&amp;" ("&amp;C254&amp;")")</f>
        <v/>
      </c>
    </row>
    <row r="255" customFormat="false" ht="15" hidden="false" customHeight="false" outlineLevel="0" collapsed="false">
      <c r="A255" s="16"/>
      <c r="B255" s="11" t="str">
        <f aca="false">IF($H255="","",INDEX(DECKS!$A$2:$A$1201,$H255))</f>
        <v/>
      </c>
      <c r="C255" s="11" t="str">
        <f aca="false">IF($H255="","",INDEX(DECKS!$B$2:$B$1201,$H255))</f>
        <v/>
      </c>
      <c r="D255" s="11" t="str">
        <f aca="false">IF($H255="","",INDEX(DECKS!$C$2:$C$1201,$H255))</f>
        <v/>
      </c>
      <c r="E255" s="16" t="str">
        <f aca="false">IF($H255="","",INDEX(DECKS!$D$2:$D$1201,$H255))</f>
        <v/>
      </c>
      <c r="F255" s="16" t="str">
        <f aca="false">IF($H255="","",INDEX(DECKS!$E$2:$E$1201,$H255))</f>
        <v/>
      </c>
      <c r="G255" s="21" t="str">
        <f aca="false">IF($H255="","",INDEX(DECKS!$F$2:$F$1201,$H255))</f>
        <v/>
      </c>
      <c r="H255" s="11" t="str">
        <f aca="false">IFERROR(MATCH(ROW()-1,DECKS!$O$2:$O$1201,0),"")</f>
        <v/>
      </c>
      <c r="I255" s="11" t="str">
        <f aca="false">IF(C255="","",G255&amp;" "&amp;D255&amp;" ("&amp;C255&amp;")")</f>
        <v/>
      </c>
    </row>
    <row r="256" customFormat="false" ht="15" hidden="false" customHeight="false" outlineLevel="0" collapsed="false">
      <c r="A256" s="16"/>
      <c r="B256" s="11" t="str">
        <f aca="false">IF($H256="","",INDEX(DECKS!$A$2:$A$1201,$H256))</f>
        <v/>
      </c>
      <c r="C256" s="11" t="str">
        <f aca="false">IF($H256="","",INDEX(DECKS!$B$2:$B$1201,$H256))</f>
        <v/>
      </c>
      <c r="D256" s="11" t="str">
        <f aca="false">IF($H256="","",INDEX(DECKS!$C$2:$C$1201,$H256))</f>
        <v/>
      </c>
      <c r="E256" s="16" t="str">
        <f aca="false">IF($H256="","",INDEX(DECKS!$D$2:$D$1201,$H256))</f>
        <v/>
      </c>
      <c r="F256" s="16" t="str">
        <f aca="false">IF($H256="","",INDEX(DECKS!$E$2:$E$1201,$H256))</f>
        <v/>
      </c>
      <c r="G256" s="21" t="str">
        <f aca="false">IF($H256="","",INDEX(DECKS!$F$2:$F$1201,$H256))</f>
        <v/>
      </c>
      <c r="H256" s="11" t="str">
        <f aca="false">IFERROR(MATCH(ROW()-1,DECKS!$O$2:$O$1201,0),"")</f>
        <v/>
      </c>
      <c r="I256" s="11" t="str">
        <f aca="false">IF(C256="","",G256&amp;" "&amp;D256&amp;" ("&amp;C256&amp;")")</f>
        <v/>
      </c>
    </row>
    <row r="257" customFormat="false" ht="15" hidden="false" customHeight="false" outlineLevel="0" collapsed="false">
      <c r="A257" s="16"/>
      <c r="B257" s="11" t="str">
        <f aca="false">IF($H257="","",INDEX(DECKS!$A$2:$A$1201,$H257))</f>
        <v/>
      </c>
      <c r="C257" s="11" t="str">
        <f aca="false">IF($H257="","",INDEX(DECKS!$B$2:$B$1201,$H257))</f>
        <v/>
      </c>
      <c r="D257" s="11" t="str">
        <f aca="false">IF($H257="","",INDEX(DECKS!$C$2:$C$1201,$H257))</f>
        <v/>
      </c>
      <c r="E257" s="16" t="str">
        <f aca="false">IF($H257="","",INDEX(DECKS!$D$2:$D$1201,$H257))</f>
        <v/>
      </c>
      <c r="F257" s="16" t="str">
        <f aca="false">IF($H257="","",INDEX(DECKS!$E$2:$E$1201,$H257))</f>
        <v/>
      </c>
      <c r="G257" s="21" t="str">
        <f aca="false">IF($H257="","",INDEX(DECKS!$F$2:$F$1201,$H257))</f>
        <v/>
      </c>
      <c r="H257" s="11" t="str">
        <f aca="false">IFERROR(MATCH(ROW()-1,DECKS!$O$2:$O$1201,0),"")</f>
        <v/>
      </c>
      <c r="I257" s="11" t="str">
        <f aca="false">IF(C257="","",G257&amp;" "&amp;D257&amp;" ("&amp;C257&amp;")")</f>
        <v/>
      </c>
    </row>
    <row r="258" customFormat="false" ht="15" hidden="false" customHeight="false" outlineLevel="0" collapsed="false">
      <c r="A258" s="16"/>
      <c r="B258" s="11" t="str">
        <f aca="false">IF($H258="","",INDEX(DECKS!$A$2:$A$1201,$H258))</f>
        <v/>
      </c>
      <c r="C258" s="11" t="str">
        <f aca="false">IF($H258="","",INDEX(DECKS!$B$2:$B$1201,$H258))</f>
        <v/>
      </c>
      <c r="D258" s="11" t="str">
        <f aca="false">IF($H258="","",INDEX(DECKS!$C$2:$C$1201,$H258))</f>
        <v/>
      </c>
      <c r="E258" s="16" t="str">
        <f aca="false">IF($H258="","",INDEX(DECKS!$D$2:$D$1201,$H258))</f>
        <v/>
      </c>
      <c r="F258" s="16" t="str">
        <f aca="false">IF($H258="","",INDEX(DECKS!$E$2:$E$1201,$H258))</f>
        <v/>
      </c>
      <c r="G258" s="21" t="str">
        <f aca="false">IF($H258="","",INDEX(DECKS!$F$2:$F$1201,$H258))</f>
        <v/>
      </c>
      <c r="H258" s="11" t="str">
        <f aca="false">IFERROR(MATCH(ROW()-1,DECKS!$O$2:$O$1201,0),"")</f>
        <v/>
      </c>
      <c r="I258" s="11" t="str">
        <f aca="false">IF(C258="","",G258&amp;" "&amp;D258&amp;" ("&amp;C258&amp;")")</f>
        <v/>
      </c>
    </row>
    <row r="259" customFormat="false" ht="15" hidden="false" customHeight="false" outlineLevel="0" collapsed="false">
      <c r="A259" s="16"/>
      <c r="B259" s="11" t="str">
        <f aca="false">IF($H259="","",INDEX(DECKS!$A$2:$A$1201,$H259))</f>
        <v/>
      </c>
      <c r="C259" s="11" t="str">
        <f aca="false">IF($H259="","",INDEX(DECKS!$B$2:$B$1201,$H259))</f>
        <v/>
      </c>
      <c r="D259" s="11" t="str">
        <f aca="false">IF($H259="","",INDEX(DECKS!$C$2:$C$1201,$H259))</f>
        <v/>
      </c>
      <c r="E259" s="16" t="str">
        <f aca="false">IF($H259="","",INDEX(DECKS!$D$2:$D$1201,$H259))</f>
        <v/>
      </c>
      <c r="F259" s="16" t="str">
        <f aca="false">IF($H259="","",INDEX(DECKS!$E$2:$E$1201,$H259))</f>
        <v/>
      </c>
      <c r="G259" s="21" t="str">
        <f aca="false">IF($H259="","",INDEX(DECKS!$F$2:$F$1201,$H259))</f>
        <v/>
      </c>
      <c r="H259" s="11" t="str">
        <f aca="false">IFERROR(MATCH(ROW()-1,DECKS!$O$2:$O$1201,0),"")</f>
        <v/>
      </c>
      <c r="I259" s="11" t="str">
        <f aca="false">IF(C259="","",G259&amp;" "&amp;D259&amp;" ("&amp;C259&amp;")")</f>
        <v/>
      </c>
    </row>
    <row r="260" customFormat="false" ht="15" hidden="false" customHeight="false" outlineLevel="0" collapsed="false">
      <c r="A260" s="16"/>
      <c r="B260" s="11" t="str">
        <f aca="false">IF($H260="","",INDEX(DECKS!$A$2:$A$1201,$H260))</f>
        <v/>
      </c>
      <c r="C260" s="11" t="str">
        <f aca="false">IF($H260="","",INDEX(DECKS!$B$2:$B$1201,$H260))</f>
        <v/>
      </c>
      <c r="D260" s="11" t="str">
        <f aca="false">IF($H260="","",INDEX(DECKS!$C$2:$C$1201,$H260))</f>
        <v/>
      </c>
      <c r="E260" s="16" t="str">
        <f aca="false">IF($H260="","",INDEX(DECKS!$D$2:$D$1201,$H260))</f>
        <v/>
      </c>
      <c r="F260" s="16" t="str">
        <f aca="false">IF($H260="","",INDEX(DECKS!$E$2:$E$1201,$H260))</f>
        <v/>
      </c>
      <c r="G260" s="21" t="str">
        <f aca="false">IF($H260="","",INDEX(DECKS!$F$2:$F$1201,$H260))</f>
        <v/>
      </c>
      <c r="H260" s="11" t="str">
        <f aca="false">IFERROR(MATCH(ROW()-1,DECKS!$O$2:$O$1201,0),"")</f>
        <v/>
      </c>
      <c r="I260" s="11" t="str">
        <f aca="false">IF(C260="","",G260&amp;" "&amp;D260&amp;" ("&amp;C260&amp;")")</f>
        <v/>
      </c>
    </row>
    <row r="261" customFormat="false" ht="15" hidden="false" customHeight="false" outlineLevel="0" collapsed="false">
      <c r="A261" s="16"/>
      <c r="B261" s="11" t="str">
        <f aca="false">IF($H261="","",INDEX(DECKS!$A$2:$A$1201,$H261))</f>
        <v/>
      </c>
      <c r="C261" s="11" t="str">
        <f aca="false">IF($H261="","",INDEX(DECKS!$B$2:$B$1201,$H261))</f>
        <v/>
      </c>
      <c r="D261" s="11" t="str">
        <f aca="false">IF($H261="","",INDEX(DECKS!$C$2:$C$1201,$H261))</f>
        <v/>
      </c>
      <c r="E261" s="16" t="str">
        <f aca="false">IF($H261="","",INDEX(DECKS!$D$2:$D$1201,$H261))</f>
        <v/>
      </c>
      <c r="F261" s="16" t="str">
        <f aca="false">IF($H261="","",INDEX(DECKS!$E$2:$E$1201,$H261))</f>
        <v/>
      </c>
      <c r="G261" s="21" t="str">
        <f aca="false">IF($H261="","",INDEX(DECKS!$F$2:$F$1201,$H261))</f>
        <v/>
      </c>
      <c r="H261" s="11" t="str">
        <f aca="false">IFERROR(MATCH(ROW()-1,DECKS!$O$2:$O$1201,0),"")</f>
        <v/>
      </c>
      <c r="I261" s="11" t="str">
        <f aca="false">IF(C261="","",G261&amp;" "&amp;D261&amp;" ("&amp;C261&amp;")")</f>
        <v/>
      </c>
    </row>
    <row r="262" customFormat="false" ht="15" hidden="false" customHeight="false" outlineLevel="0" collapsed="false">
      <c r="A262" s="16"/>
      <c r="B262" s="11" t="str">
        <f aca="false">IF($H262="","",INDEX(DECKS!$A$2:$A$1201,$H262))</f>
        <v/>
      </c>
      <c r="C262" s="11" t="str">
        <f aca="false">IF($H262="","",INDEX(DECKS!$B$2:$B$1201,$H262))</f>
        <v/>
      </c>
      <c r="D262" s="11" t="str">
        <f aca="false">IF($H262="","",INDEX(DECKS!$C$2:$C$1201,$H262))</f>
        <v/>
      </c>
      <c r="E262" s="16" t="str">
        <f aca="false">IF($H262="","",INDEX(DECKS!$D$2:$D$1201,$H262))</f>
        <v/>
      </c>
      <c r="F262" s="16" t="str">
        <f aca="false">IF($H262="","",INDEX(DECKS!$E$2:$E$1201,$H262))</f>
        <v/>
      </c>
      <c r="G262" s="21" t="str">
        <f aca="false">IF($H262="","",INDEX(DECKS!$F$2:$F$1201,$H262))</f>
        <v/>
      </c>
      <c r="H262" s="11" t="str">
        <f aca="false">IFERROR(MATCH(ROW()-1,DECKS!$O$2:$O$1201,0),"")</f>
        <v/>
      </c>
      <c r="I262" s="11" t="str">
        <f aca="false">IF(C262="","",G262&amp;" "&amp;D262&amp;" ("&amp;C262&amp;")")</f>
        <v/>
      </c>
    </row>
    <row r="263" customFormat="false" ht="15" hidden="false" customHeight="false" outlineLevel="0" collapsed="false">
      <c r="A263" s="16"/>
      <c r="B263" s="11" t="str">
        <f aca="false">IF($H263="","",INDEX(DECKS!$A$2:$A$1201,$H263))</f>
        <v/>
      </c>
      <c r="C263" s="11" t="str">
        <f aca="false">IF($H263="","",INDEX(DECKS!$B$2:$B$1201,$H263))</f>
        <v/>
      </c>
      <c r="D263" s="11" t="str">
        <f aca="false">IF($H263="","",INDEX(DECKS!$C$2:$C$1201,$H263))</f>
        <v/>
      </c>
      <c r="E263" s="16" t="str">
        <f aca="false">IF($H263="","",INDEX(DECKS!$D$2:$D$1201,$H263))</f>
        <v/>
      </c>
      <c r="F263" s="16" t="str">
        <f aca="false">IF($H263="","",INDEX(DECKS!$E$2:$E$1201,$H263))</f>
        <v/>
      </c>
      <c r="G263" s="21" t="str">
        <f aca="false">IF($H263="","",INDEX(DECKS!$F$2:$F$1201,$H263))</f>
        <v/>
      </c>
      <c r="H263" s="11" t="str">
        <f aca="false">IFERROR(MATCH(ROW()-1,DECKS!$O$2:$O$1201,0),"")</f>
        <v/>
      </c>
      <c r="I263" s="11" t="str">
        <f aca="false">IF(C263="","",G263&amp;" "&amp;D263&amp;" ("&amp;C263&amp;")")</f>
        <v/>
      </c>
    </row>
    <row r="264" customFormat="false" ht="15" hidden="false" customHeight="false" outlineLevel="0" collapsed="false">
      <c r="A264" s="16"/>
      <c r="B264" s="11" t="str">
        <f aca="false">IF($H264="","",INDEX(DECKS!$A$2:$A$1201,$H264))</f>
        <v/>
      </c>
      <c r="C264" s="11" t="str">
        <f aca="false">IF($H264="","",INDEX(DECKS!$B$2:$B$1201,$H264))</f>
        <v/>
      </c>
      <c r="D264" s="11" t="str">
        <f aca="false">IF($H264="","",INDEX(DECKS!$C$2:$C$1201,$H264))</f>
        <v/>
      </c>
      <c r="E264" s="16" t="str">
        <f aca="false">IF($H264="","",INDEX(DECKS!$D$2:$D$1201,$H264))</f>
        <v/>
      </c>
      <c r="F264" s="16" t="str">
        <f aca="false">IF($H264="","",INDEX(DECKS!$E$2:$E$1201,$H264))</f>
        <v/>
      </c>
      <c r="G264" s="21" t="str">
        <f aca="false">IF($H264="","",INDEX(DECKS!$F$2:$F$1201,$H264))</f>
        <v/>
      </c>
      <c r="H264" s="11" t="str">
        <f aca="false">IFERROR(MATCH(ROW()-1,DECKS!$O$2:$O$1201,0),"")</f>
        <v/>
      </c>
      <c r="I264" s="11" t="str">
        <f aca="false">IF(C264="","",G264&amp;" "&amp;D264&amp;" ("&amp;C264&amp;")")</f>
        <v/>
      </c>
    </row>
    <row r="265" customFormat="false" ht="15" hidden="false" customHeight="false" outlineLevel="0" collapsed="false">
      <c r="A265" s="16"/>
      <c r="B265" s="11" t="str">
        <f aca="false">IF($H265="","",INDEX(DECKS!$A$2:$A$1201,$H265))</f>
        <v/>
      </c>
      <c r="C265" s="11" t="str">
        <f aca="false">IF($H265="","",INDEX(DECKS!$B$2:$B$1201,$H265))</f>
        <v/>
      </c>
      <c r="D265" s="11" t="str">
        <f aca="false">IF($H265="","",INDEX(DECKS!$C$2:$C$1201,$H265))</f>
        <v/>
      </c>
      <c r="E265" s="16" t="str">
        <f aca="false">IF($H265="","",INDEX(DECKS!$D$2:$D$1201,$H265))</f>
        <v/>
      </c>
      <c r="F265" s="16" t="str">
        <f aca="false">IF($H265="","",INDEX(DECKS!$E$2:$E$1201,$H265))</f>
        <v/>
      </c>
      <c r="G265" s="21" t="str">
        <f aca="false">IF($H265="","",INDEX(DECKS!$F$2:$F$1201,$H265))</f>
        <v/>
      </c>
      <c r="H265" s="11" t="str">
        <f aca="false">IFERROR(MATCH(ROW()-1,DECKS!$O$2:$O$1201,0),"")</f>
        <v/>
      </c>
      <c r="I265" s="11" t="str">
        <f aca="false">IF(C265="","",G265&amp;" "&amp;D265&amp;" ("&amp;C265&amp;")")</f>
        <v/>
      </c>
    </row>
    <row r="266" customFormat="false" ht="15" hidden="false" customHeight="false" outlineLevel="0" collapsed="false">
      <c r="A266" s="16"/>
      <c r="B266" s="11" t="str">
        <f aca="false">IF($H266="","",INDEX(DECKS!$A$2:$A$1201,$H266))</f>
        <v/>
      </c>
      <c r="C266" s="11" t="str">
        <f aca="false">IF($H266="","",INDEX(DECKS!$B$2:$B$1201,$H266))</f>
        <v/>
      </c>
      <c r="D266" s="11" t="str">
        <f aca="false">IF($H266="","",INDEX(DECKS!$C$2:$C$1201,$H266))</f>
        <v/>
      </c>
      <c r="E266" s="16" t="str">
        <f aca="false">IF($H266="","",INDEX(DECKS!$D$2:$D$1201,$H266))</f>
        <v/>
      </c>
      <c r="F266" s="16" t="str">
        <f aca="false">IF($H266="","",INDEX(DECKS!$E$2:$E$1201,$H266))</f>
        <v/>
      </c>
      <c r="G266" s="21" t="str">
        <f aca="false">IF($H266="","",INDEX(DECKS!$F$2:$F$1201,$H266))</f>
        <v/>
      </c>
      <c r="H266" s="11" t="str">
        <f aca="false">IFERROR(MATCH(ROW()-1,DECKS!$O$2:$O$1201,0),"")</f>
        <v/>
      </c>
      <c r="I266" s="11" t="str">
        <f aca="false">IF(C266="","",G266&amp;" "&amp;D266&amp;" ("&amp;C266&amp;")")</f>
        <v/>
      </c>
    </row>
    <row r="267" customFormat="false" ht="15" hidden="false" customHeight="false" outlineLevel="0" collapsed="false">
      <c r="A267" s="16"/>
      <c r="B267" s="11" t="str">
        <f aca="false">IF($H267="","",INDEX(DECKS!$A$2:$A$1201,$H267))</f>
        <v/>
      </c>
      <c r="C267" s="11" t="str">
        <f aca="false">IF($H267="","",INDEX(DECKS!$B$2:$B$1201,$H267))</f>
        <v/>
      </c>
      <c r="D267" s="11" t="str">
        <f aca="false">IF($H267="","",INDEX(DECKS!$C$2:$C$1201,$H267))</f>
        <v/>
      </c>
      <c r="E267" s="16" t="str">
        <f aca="false">IF($H267="","",INDEX(DECKS!$D$2:$D$1201,$H267))</f>
        <v/>
      </c>
      <c r="F267" s="16" t="str">
        <f aca="false">IF($H267="","",INDEX(DECKS!$E$2:$E$1201,$H267))</f>
        <v/>
      </c>
      <c r="G267" s="21" t="str">
        <f aca="false">IF($H267="","",INDEX(DECKS!$F$2:$F$1201,$H267))</f>
        <v/>
      </c>
      <c r="H267" s="11" t="str">
        <f aca="false">IFERROR(MATCH(ROW()-1,DECKS!$O$2:$O$1201,0),"")</f>
        <v/>
      </c>
      <c r="I267" s="11" t="str">
        <f aca="false">IF(C267="","",G267&amp;" "&amp;D267&amp;" ("&amp;C267&amp;")")</f>
        <v/>
      </c>
    </row>
    <row r="268" customFormat="false" ht="15" hidden="false" customHeight="false" outlineLevel="0" collapsed="false">
      <c r="A268" s="16"/>
      <c r="B268" s="11" t="str">
        <f aca="false">IF($H268="","",INDEX(DECKS!$A$2:$A$1201,$H268))</f>
        <v/>
      </c>
      <c r="C268" s="11" t="str">
        <f aca="false">IF($H268="","",INDEX(DECKS!$B$2:$B$1201,$H268))</f>
        <v/>
      </c>
      <c r="D268" s="11" t="str">
        <f aca="false">IF($H268="","",INDEX(DECKS!$C$2:$C$1201,$H268))</f>
        <v/>
      </c>
      <c r="E268" s="16" t="str">
        <f aca="false">IF($H268="","",INDEX(DECKS!$D$2:$D$1201,$H268))</f>
        <v/>
      </c>
      <c r="F268" s="16" t="str">
        <f aca="false">IF($H268="","",INDEX(DECKS!$E$2:$E$1201,$H268))</f>
        <v/>
      </c>
      <c r="G268" s="21" t="str">
        <f aca="false">IF($H268="","",INDEX(DECKS!$F$2:$F$1201,$H268))</f>
        <v/>
      </c>
      <c r="H268" s="11" t="str">
        <f aca="false">IFERROR(MATCH(ROW()-1,DECKS!$O$2:$O$1201,0),"")</f>
        <v/>
      </c>
      <c r="I268" s="11" t="str">
        <f aca="false">IF(C268="","",G268&amp;" "&amp;D268&amp;" ("&amp;C268&amp;")")</f>
        <v/>
      </c>
    </row>
    <row r="269" customFormat="false" ht="15" hidden="false" customHeight="false" outlineLevel="0" collapsed="false">
      <c r="A269" s="16"/>
      <c r="B269" s="11" t="str">
        <f aca="false">IF($H269="","",INDEX(DECKS!$A$2:$A$1201,$H269))</f>
        <v/>
      </c>
      <c r="C269" s="11" t="str">
        <f aca="false">IF($H269="","",INDEX(DECKS!$B$2:$B$1201,$H269))</f>
        <v/>
      </c>
      <c r="D269" s="11" t="str">
        <f aca="false">IF($H269="","",INDEX(DECKS!$C$2:$C$1201,$H269))</f>
        <v/>
      </c>
      <c r="E269" s="16" t="str">
        <f aca="false">IF($H269="","",INDEX(DECKS!$D$2:$D$1201,$H269))</f>
        <v/>
      </c>
      <c r="F269" s="16" t="str">
        <f aca="false">IF($H269="","",INDEX(DECKS!$E$2:$E$1201,$H269))</f>
        <v/>
      </c>
      <c r="G269" s="21" t="str">
        <f aca="false">IF($H269="","",INDEX(DECKS!$F$2:$F$1201,$H269))</f>
        <v/>
      </c>
      <c r="H269" s="11" t="str">
        <f aca="false">IFERROR(MATCH(ROW()-1,DECKS!$O$2:$O$1201,0),"")</f>
        <v/>
      </c>
      <c r="I269" s="11" t="str">
        <f aca="false">IF(C269="","",G269&amp;" "&amp;D269&amp;" ("&amp;C269&amp;")")</f>
        <v/>
      </c>
    </row>
    <row r="270" customFormat="false" ht="15" hidden="false" customHeight="false" outlineLevel="0" collapsed="false">
      <c r="A270" s="16"/>
      <c r="B270" s="11" t="str">
        <f aca="false">IF($H270="","",INDEX(DECKS!$A$2:$A$1201,$H270))</f>
        <v/>
      </c>
      <c r="C270" s="11" t="str">
        <f aca="false">IF($H270="","",INDEX(DECKS!$B$2:$B$1201,$H270))</f>
        <v/>
      </c>
      <c r="D270" s="11" t="str">
        <f aca="false">IF($H270="","",INDEX(DECKS!$C$2:$C$1201,$H270))</f>
        <v/>
      </c>
      <c r="E270" s="16" t="str">
        <f aca="false">IF($H270="","",INDEX(DECKS!$D$2:$D$1201,$H270))</f>
        <v/>
      </c>
      <c r="F270" s="16" t="str">
        <f aca="false">IF($H270="","",INDEX(DECKS!$E$2:$E$1201,$H270))</f>
        <v/>
      </c>
      <c r="G270" s="21" t="str">
        <f aca="false">IF($H270="","",INDEX(DECKS!$F$2:$F$1201,$H270))</f>
        <v/>
      </c>
      <c r="H270" s="11" t="str">
        <f aca="false">IFERROR(MATCH(ROW()-1,DECKS!$O$2:$O$1201,0),"")</f>
        <v/>
      </c>
      <c r="I270" s="11" t="str">
        <f aca="false">IF(C270="","",G270&amp;" "&amp;D270&amp;" ("&amp;C270&amp;")")</f>
        <v/>
      </c>
    </row>
    <row r="271" customFormat="false" ht="15" hidden="false" customHeight="false" outlineLevel="0" collapsed="false">
      <c r="A271" s="16"/>
      <c r="B271" s="11" t="str">
        <f aca="false">IF($H271="","",INDEX(DECKS!$A$2:$A$1201,$H271))</f>
        <v/>
      </c>
      <c r="C271" s="11" t="str">
        <f aca="false">IF($H271="","",INDEX(DECKS!$B$2:$B$1201,$H271))</f>
        <v/>
      </c>
      <c r="D271" s="11" t="str">
        <f aca="false">IF($H271="","",INDEX(DECKS!$C$2:$C$1201,$H271))</f>
        <v/>
      </c>
      <c r="E271" s="16" t="str">
        <f aca="false">IF($H271="","",INDEX(DECKS!$D$2:$D$1201,$H271))</f>
        <v/>
      </c>
      <c r="F271" s="16" t="str">
        <f aca="false">IF($H271="","",INDEX(DECKS!$E$2:$E$1201,$H271))</f>
        <v/>
      </c>
      <c r="G271" s="21" t="str">
        <f aca="false">IF($H271="","",INDEX(DECKS!$F$2:$F$1201,$H271))</f>
        <v/>
      </c>
      <c r="H271" s="11" t="str">
        <f aca="false">IFERROR(MATCH(ROW()-1,DECKS!$O$2:$O$1201,0),"")</f>
        <v/>
      </c>
      <c r="I271" s="11" t="str">
        <f aca="false">IF(C271="","",G271&amp;" "&amp;D271&amp;" ("&amp;C271&amp;")")</f>
        <v/>
      </c>
    </row>
    <row r="272" customFormat="false" ht="15" hidden="false" customHeight="false" outlineLevel="0" collapsed="false">
      <c r="A272" s="16"/>
      <c r="B272" s="11" t="str">
        <f aca="false">IF($H272="","",INDEX(DECKS!$A$2:$A$1201,$H272))</f>
        <v/>
      </c>
      <c r="C272" s="11" t="str">
        <f aca="false">IF($H272="","",INDEX(DECKS!$B$2:$B$1201,$H272))</f>
        <v/>
      </c>
      <c r="D272" s="11" t="str">
        <f aca="false">IF($H272="","",INDEX(DECKS!$C$2:$C$1201,$H272))</f>
        <v/>
      </c>
      <c r="E272" s="16" t="str">
        <f aca="false">IF($H272="","",INDEX(DECKS!$D$2:$D$1201,$H272))</f>
        <v/>
      </c>
      <c r="F272" s="16" t="str">
        <f aca="false">IF($H272="","",INDEX(DECKS!$E$2:$E$1201,$H272))</f>
        <v/>
      </c>
      <c r="G272" s="21" t="str">
        <f aca="false">IF($H272="","",INDEX(DECKS!$F$2:$F$1201,$H272))</f>
        <v/>
      </c>
      <c r="H272" s="11" t="str">
        <f aca="false">IFERROR(MATCH(ROW()-1,DECKS!$O$2:$O$1201,0),"")</f>
        <v/>
      </c>
      <c r="I272" s="11" t="str">
        <f aca="false">IF(C272="","",G272&amp;" "&amp;D272&amp;" ("&amp;C272&amp;")")</f>
        <v/>
      </c>
    </row>
    <row r="273" customFormat="false" ht="15" hidden="false" customHeight="false" outlineLevel="0" collapsed="false">
      <c r="A273" s="16"/>
      <c r="B273" s="11" t="str">
        <f aca="false">IF($H273="","",INDEX(DECKS!$A$2:$A$1201,$H273))</f>
        <v/>
      </c>
      <c r="C273" s="11" t="str">
        <f aca="false">IF($H273="","",INDEX(DECKS!$B$2:$B$1201,$H273))</f>
        <v/>
      </c>
      <c r="D273" s="11" t="str">
        <f aca="false">IF($H273="","",INDEX(DECKS!$C$2:$C$1201,$H273))</f>
        <v/>
      </c>
      <c r="E273" s="16" t="str">
        <f aca="false">IF($H273="","",INDEX(DECKS!$D$2:$D$1201,$H273))</f>
        <v/>
      </c>
      <c r="F273" s="16" t="str">
        <f aca="false">IF($H273="","",INDEX(DECKS!$E$2:$E$1201,$H273))</f>
        <v/>
      </c>
      <c r="G273" s="21" t="str">
        <f aca="false">IF($H273="","",INDEX(DECKS!$F$2:$F$1201,$H273))</f>
        <v/>
      </c>
      <c r="H273" s="11" t="str">
        <f aca="false">IFERROR(MATCH(ROW()-1,DECKS!$O$2:$O$1201,0),"")</f>
        <v/>
      </c>
      <c r="I273" s="11" t="str">
        <f aca="false">IF(C273="","",G273&amp;" "&amp;D273&amp;" ("&amp;C273&amp;")")</f>
        <v/>
      </c>
    </row>
    <row r="274" customFormat="false" ht="15" hidden="false" customHeight="false" outlineLevel="0" collapsed="false">
      <c r="A274" s="16"/>
      <c r="B274" s="11" t="str">
        <f aca="false">IF($H274="","",INDEX(DECKS!$A$2:$A$1201,$H274))</f>
        <v/>
      </c>
      <c r="C274" s="11" t="str">
        <f aca="false">IF($H274="","",INDEX(DECKS!$B$2:$B$1201,$H274))</f>
        <v/>
      </c>
      <c r="D274" s="11" t="str">
        <f aca="false">IF($H274="","",INDEX(DECKS!$C$2:$C$1201,$H274))</f>
        <v/>
      </c>
      <c r="E274" s="16" t="str">
        <f aca="false">IF($H274="","",INDEX(DECKS!$D$2:$D$1201,$H274))</f>
        <v/>
      </c>
      <c r="F274" s="16" t="str">
        <f aca="false">IF($H274="","",INDEX(DECKS!$E$2:$E$1201,$H274))</f>
        <v/>
      </c>
      <c r="G274" s="21" t="str">
        <f aca="false">IF($H274="","",INDEX(DECKS!$F$2:$F$1201,$H274))</f>
        <v/>
      </c>
      <c r="H274" s="11" t="str">
        <f aca="false">IFERROR(MATCH(ROW()-1,DECKS!$O$2:$O$1201,0),"")</f>
        <v/>
      </c>
      <c r="I274" s="11" t="str">
        <f aca="false">IF(C274="","",G274&amp;" "&amp;D274&amp;" ("&amp;C274&amp;")")</f>
        <v/>
      </c>
    </row>
    <row r="275" customFormat="false" ht="15" hidden="false" customHeight="false" outlineLevel="0" collapsed="false">
      <c r="A275" s="16"/>
      <c r="B275" s="11" t="str">
        <f aca="false">IF($H275="","",INDEX(DECKS!$A$2:$A$1201,$H275))</f>
        <v/>
      </c>
      <c r="C275" s="11" t="str">
        <f aca="false">IF($H275="","",INDEX(DECKS!$B$2:$B$1201,$H275))</f>
        <v/>
      </c>
      <c r="D275" s="11" t="str">
        <f aca="false">IF($H275="","",INDEX(DECKS!$C$2:$C$1201,$H275))</f>
        <v/>
      </c>
      <c r="E275" s="16" t="str">
        <f aca="false">IF($H275="","",INDEX(DECKS!$D$2:$D$1201,$H275))</f>
        <v/>
      </c>
      <c r="F275" s="16" t="str">
        <f aca="false">IF($H275="","",INDEX(DECKS!$E$2:$E$1201,$H275))</f>
        <v/>
      </c>
      <c r="G275" s="21" t="str">
        <f aca="false">IF($H275="","",INDEX(DECKS!$F$2:$F$1201,$H275))</f>
        <v/>
      </c>
      <c r="H275" s="11" t="str">
        <f aca="false">IFERROR(MATCH(ROW()-1,DECKS!$O$2:$O$1201,0),"")</f>
        <v/>
      </c>
      <c r="I275" s="11" t="str">
        <f aca="false">IF(C275="","",G275&amp;" "&amp;D275&amp;" ("&amp;C275&amp;")")</f>
        <v/>
      </c>
    </row>
    <row r="276" customFormat="false" ht="15" hidden="false" customHeight="false" outlineLevel="0" collapsed="false">
      <c r="A276" s="16"/>
      <c r="B276" s="11" t="str">
        <f aca="false">IF($H276="","",INDEX(DECKS!$A$2:$A$1201,$H276))</f>
        <v/>
      </c>
      <c r="C276" s="11" t="str">
        <f aca="false">IF($H276="","",INDEX(DECKS!$B$2:$B$1201,$H276))</f>
        <v/>
      </c>
      <c r="D276" s="11" t="str">
        <f aca="false">IF($H276="","",INDEX(DECKS!$C$2:$C$1201,$H276))</f>
        <v/>
      </c>
      <c r="E276" s="16" t="str">
        <f aca="false">IF($H276="","",INDEX(DECKS!$D$2:$D$1201,$H276))</f>
        <v/>
      </c>
      <c r="F276" s="16" t="str">
        <f aca="false">IF($H276="","",INDEX(DECKS!$E$2:$E$1201,$H276))</f>
        <v/>
      </c>
      <c r="G276" s="21" t="str">
        <f aca="false">IF($H276="","",INDEX(DECKS!$F$2:$F$1201,$H276))</f>
        <v/>
      </c>
      <c r="H276" s="11" t="str">
        <f aca="false">IFERROR(MATCH(ROW()-1,DECKS!$O$2:$O$1201,0),"")</f>
        <v/>
      </c>
      <c r="I276" s="11" t="str">
        <f aca="false">IF(C276="","",G276&amp;" "&amp;D276&amp;" ("&amp;C276&amp;")")</f>
        <v/>
      </c>
    </row>
    <row r="277" customFormat="false" ht="15" hidden="false" customHeight="false" outlineLevel="0" collapsed="false">
      <c r="A277" s="16"/>
      <c r="B277" s="11" t="str">
        <f aca="false">IF($H277="","",INDEX(DECKS!$A$2:$A$1201,$H277))</f>
        <v/>
      </c>
      <c r="C277" s="11" t="str">
        <f aca="false">IF($H277="","",INDEX(DECKS!$B$2:$B$1201,$H277))</f>
        <v/>
      </c>
      <c r="D277" s="11" t="str">
        <f aca="false">IF($H277="","",INDEX(DECKS!$C$2:$C$1201,$H277))</f>
        <v/>
      </c>
      <c r="E277" s="16" t="str">
        <f aca="false">IF($H277="","",INDEX(DECKS!$D$2:$D$1201,$H277))</f>
        <v/>
      </c>
      <c r="F277" s="16" t="str">
        <f aca="false">IF($H277="","",INDEX(DECKS!$E$2:$E$1201,$H277))</f>
        <v/>
      </c>
      <c r="G277" s="21" t="str">
        <f aca="false">IF($H277="","",INDEX(DECKS!$F$2:$F$1201,$H277))</f>
        <v/>
      </c>
      <c r="H277" s="11" t="str">
        <f aca="false">IFERROR(MATCH(ROW()-1,DECKS!$O$2:$O$1201,0),"")</f>
        <v/>
      </c>
      <c r="I277" s="11" t="str">
        <f aca="false">IF(C277="","",G277&amp;" "&amp;D277&amp;" ("&amp;C277&amp;")")</f>
        <v/>
      </c>
    </row>
    <row r="278" customFormat="false" ht="15" hidden="false" customHeight="false" outlineLevel="0" collapsed="false">
      <c r="A278" s="16"/>
      <c r="B278" s="11" t="str">
        <f aca="false">IF($H278="","",INDEX(DECKS!$A$2:$A$1201,$H278))</f>
        <v/>
      </c>
      <c r="C278" s="11" t="str">
        <f aca="false">IF($H278="","",INDEX(DECKS!$B$2:$B$1201,$H278))</f>
        <v/>
      </c>
      <c r="D278" s="11" t="str">
        <f aca="false">IF($H278="","",INDEX(DECKS!$C$2:$C$1201,$H278))</f>
        <v/>
      </c>
      <c r="E278" s="16" t="str">
        <f aca="false">IF($H278="","",INDEX(DECKS!$D$2:$D$1201,$H278))</f>
        <v/>
      </c>
      <c r="F278" s="16" t="str">
        <f aca="false">IF($H278="","",INDEX(DECKS!$E$2:$E$1201,$H278))</f>
        <v/>
      </c>
      <c r="G278" s="21" t="str">
        <f aca="false">IF($H278="","",INDEX(DECKS!$F$2:$F$1201,$H278))</f>
        <v/>
      </c>
      <c r="H278" s="11" t="str">
        <f aca="false">IFERROR(MATCH(ROW()-1,DECKS!$O$2:$O$1201,0),"")</f>
        <v/>
      </c>
      <c r="I278" s="11" t="str">
        <f aca="false">IF(C278="","",G278&amp;" "&amp;D278&amp;" ("&amp;C278&amp;")")</f>
        <v/>
      </c>
    </row>
    <row r="279" customFormat="false" ht="15" hidden="false" customHeight="false" outlineLevel="0" collapsed="false">
      <c r="A279" s="16"/>
      <c r="B279" s="11" t="str">
        <f aca="false">IF($H279="","",INDEX(DECKS!$A$2:$A$1201,$H279))</f>
        <v/>
      </c>
      <c r="C279" s="11" t="str">
        <f aca="false">IF($H279="","",INDEX(DECKS!$B$2:$B$1201,$H279))</f>
        <v/>
      </c>
      <c r="D279" s="11" t="str">
        <f aca="false">IF($H279="","",INDEX(DECKS!$C$2:$C$1201,$H279))</f>
        <v/>
      </c>
      <c r="E279" s="16" t="str">
        <f aca="false">IF($H279="","",INDEX(DECKS!$D$2:$D$1201,$H279))</f>
        <v/>
      </c>
      <c r="F279" s="16" t="str">
        <f aca="false">IF($H279="","",INDEX(DECKS!$E$2:$E$1201,$H279))</f>
        <v/>
      </c>
      <c r="G279" s="21" t="str">
        <f aca="false">IF($H279="","",INDEX(DECKS!$F$2:$F$1201,$H279))</f>
        <v/>
      </c>
      <c r="H279" s="11" t="str">
        <f aca="false">IFERROR(MATCH(ROW()-1,DECKS!$O$2:$O$1201,0),"")</f>
        <v/>
      </c>
      <c r="I279" s="11" t="str">
        <f aca="false">IF(C279="","",G279&amp;" "&amp;D279&amp;" ("&amp;C279&amp;")")</f>
        <v/>
      </c>
    </row>
    <row r="280" customFormat="false" ht="15" hidden="false" customHeight="false" outlineLevel="0" collapsed="false">
      <c r="A280" s="16"/>
      <c r="B280" s="11" t="str">
        <f aca="false">IF($H280="","",INDEX(DECKS!$A$2:$A$1201,$H280))</f>
        <v/>
      </c>
      <c r="C280" s="11" t="str">
        <f aca="false">IF($H280="","",INDEX(DECKS!$B$2:$B$1201,$H280))</f>
        <v/>
      </c>
      <c r="D280" s="11" t="str">
        <f aca="false">IF($H280="","",INDEX(DECKS!$C$2:$C$1201,$H280))</f>
        <v/>
      </c>
      <c r="E280" s="16" t="str">
        <f aca="false">IF($H280="","",INDEX(DECKS!$D$2:$D$1201,$H280))</f>
        <v/>
      </c>
      <c r="F280" s="16" t="str">
        <f aca="false">IF($H280="","",INDEX(DECKS!$E$2:$E$1201,$H280))</f>
        <v/>
      </c>
      <c r="G280" s="21" t="str">
        <f aca="false">IF($H280="","",INDEX(DECKS!$F$2:$F$1201,$H280))</f>
        <v/>
      </c>
      <c r="H280" s="11" t="str">
        <f aca="false">IFERROR(MATCH(ROW()-1,DECKS!$O$2:$O$1201,0),"")</f>
        <v/>
      </c>
      <c r="I280" s="11" t="str">
        <f aca="false">IF(C280="","",G280&amp;" "&amp;D280&amp;" ("&amp;C280&amp;")")</f>
        <v/>
      </c>
    </row>
    <row r="281" customFormat="false" ht="15" hidden="false" customHeight="false" outlineLevel="0" collapsed="false">
      <c r="A281" s="16"/>
      <c r="B281" s="11" t="str">
        <f aca="false">IF($H281="","",INDEX(DECKS!$A$2:$A$1201,$H281))</f>
        <v/>
      </c>
      <c r="C281" s="11" t="str">
        <f aca="false">IF($H281="","",INDEX(DECKS!$B$2:$B$1201,$H281))</f>
        <v/>
      </c>
      <c r="D281" s="11" t="str">
        <f aca="false">IF($H281="","",INDEX(DECKS!$C$2:$C$1201,$H281))</f>
        <v/>
      </c>
      <c r="E281" s="16" t="str">
        <f aca="false">IF($H281="","",INDEX(DECKS!$D$2:$D$1201,$H281))</f>
        <v/>
      </c>
      <c r="F281" s="16" t="str">
        <f aca="false">IF($H281="","",INDEX(DECKS!$E$2:$E$1201,$H281))</f>
        <v/>
      </c>
      <c r="G281" s="21" t="str">
        <f aca="false">IF($H281="","",INDEX(DECKS!$F$2:$F$1201,$H281))</f>
        <v/>
      </c>
      <c r="H281" s="11" t="str">
        <f aca="false">IFERROR(MATCH(ROW()-1,DECKS!$O$2:$O$1201,0),"")</f>
        <v/>
      </c>
      <c r="I281" s="11" t="str">
        <f aca="false">IF(C281="","",G281&amp;" "&amp;D281&amp;" ("&amp;C281&amp;")")</f>
        <v/>
      </c>
    </row>
    <row r="282" customFormat="false" ht="15" hidden="false" customHeight="false" outlineLevel="0" collapsed="false">
      <c r="A282" s="16"/>
      <c r="B282" s="11" t="str">
        <f aca="false">IF($H282="","",INDEX(DECKS!$A$2:$A$1201,$H282))</f>
        <v/>
      </c>
      <c r="C282" s="11" t="str">
        <f aca="false">IF($H282="","",INDEX(DECKS!$B$2:$B$1201,$H282))</f>
        <v/>
      </c>
      <c r="D282" s="11" t="str">
        <f aca="false">IF($H282="","",INDEX(DECKS!$C$2:$C$1201,$H282))</f>
        <v/>
      </c>
      <c r="E282" s="16" t="str">
        <f aca="false">IF($H282="","",INDEX(DECKS!$D$2:$D$1201,$H282))</f>
        <v/>
      </c>
      <c r="F282" s="16" t="str">
        <f aca="false">IF($H282="","",INDEX(DECKS!$E$2:$E$1201,$H282))</f>
        <v/>
      </c>
      <c r="G282" s="21" t="str">
        <f aca="false">IF($H282="","",INDEX(DECKS!$F$2:$F$1201,$H282))</f>
        <v/>
      </c>
      <c r="H282" s="11" t="str">
        <f aca="false">IFERROR(MATCH(ROW()-1,DECKS!$O$2:$O$1201,0),"")</f>
        <v/>
      </c>
      <c r="I282" s="11" t="str">
        <f aca="false">IF(C282="","",G282&amp;" "&amp;D282&amp;" ("&amp;C282&amp;")")</f>
        <v/>
      </c>
    </row>
    <row r="283" customFormat="false" ht="15" hidden="false" customHeight="false" outlineLevel="0" collapsed="false">
      <c r="A283" s="16"/>
      <c r="B283" s="11" t="str">
        <f aca="false">IF($H283="","",INDEX(DECKS!$A$2:$A$1201,$H283))</f>
        <v/>
      </c>
      <c r="C283" s="11" t="str">
        <f aca="false">IF($H283="","",INDEX(DECKS!$B$2:$B$1201,$H283))</f>
        <v/>
      </c>
      <c r="D283" s="11" t="str">
        <f aca="false">IF($H283="","",INDEX(DECKS!$C$2:$C$1201,$H283))</f>
        <v/>
      </c>
      <c r="E283" s="16" t="str">
        <f aca="false">IF($H283="","",INDEX(DECKS!$D$2:$D$1201,$H283))</f>
        <v/>
      </c>
      <c r="F283" s="16" t="str">
        <f aca="false">IF($H283="","",INDEX(DECKS!$E$2:$E$1201,$H283))</f>
        <v/>
      </c>
      <c r="G283" s="21" t="str">
        <f aca="false">IF($H283="","",INDEX(DECKS!$F$2:$F$1201,$H283))</f>
        <v/>
      </c>
      <c r="H283" s="11" t="str">
        <f aca="false">IFERROR(MATCH(ROW()-1,DECKS!$O$2:$O$1201,0),"")</f>
        <v/>
      </c>
      <c r="I283" s="11" t="str">
        <f aca="false">IF(C283="","",G283&amp;" "&amp;D283&amp;" ("&amp;C283&amp;")")</f>
        <v/>
      </c>
    </row>
    <row r="284" customFormat="false" ht="15" hidden="false" customHeight="false" outlineLevel="0" collapsed="false">
      <c r="A284" s="16"/>
      <c r="B284" s="11" t="str">
        <f aca="false">IF($H284="","",INDEX(DECKS!$A$2:$A$1201,$H284))</f>
        <v/>
      </c>
      <c r="C284" s="11" t="str">
        <f aca="false">IF($H284="","",INDEX(DECKS!$B$2:$B$1201,$H284))</f>
        <v/>
      </c>
      <c r="D284" s="11" t="str">
        <f aca="false">IF($H284="","",INDEX(DECKS!$C$2:$C$1201,$H284))</f>
        <v/>
      </c>
      <c r="E284" s="16" t="str">
        <f aca="false">IF($H284="","",INDEX(DECKS!$D$2:$D$1201,$H284))</f>
        <v/>
      </c>
      <c r="F284" s="16" t="str">
        <f aca="false">IF($H284="","",INDEX(DECKS!$E$2:$E$1201,$H284))</f>
        <v/>
      </c>
      <c r="G284" s="21" t="str">
        <f aca="false">IF($H284="","",INDEX(DECKS!$F$2:$F$1201,$H284))</f>
        <v/>
      </c>
      <c r="H284" s="11" t="str">
        <f aca="false">IFERROR(MATCH(ROW()-1,DECKS!$O$2:$O$1201,0),"")</f>
        <v/>
      </c>
      <c r="I284" s="11" t="str">
        <f aca="false">IF(C284="","",G284&amp;" "&amp;D284&amp;" ("&amp;C284&amp;")")</f>
        <v/>
      </c>
    </row>
    <row r="285" customFormat="false" ht="15" hidden="false" customHeight="false" outlineLevel="0" collapsed="false">
      <c r="A285" s="16"/>
      <c r="B285" s="11" t="str">
        <f aca="false">IF($H285="","",INDEX(DECKS!$A$2:$A$1201,$H285))</f>
        <v/>
      </c>
      <c r="C285" s="11" t="str">
        <f aca="false">IF($H285="","",INDEX(DECKS!$B$2:$B$1201,$H285))</f>
        <v/>
      </c>
      <c r="D285" s="11" t="str">
        <f aca="false">IF($H285="","",INDEX(DECKS!$C$2:$C$1201,$H285))</f>
        <v/>
      </c>
      <c r="E285" s="16" t="str">
        <f aca="false">IF($H285="","",INDEX(DECKS!$D$2:$D$1201,$H285))</f>
        <v/>
      </c>
      <c r="F285" s="16" t="str">
        <f aca="false">IF($H285="","",INDEX(DECKS!$E$2:$E$1201,$H285))</f>
        <v/>
      </c>
      <c r="G285" s="21" t="str">
        <f aca="false">IF($H285="","",INDEX(DECKS!$F$2:$F$1201,$H285))</f>
        <v/>
      </c>
      <c r="H285" s="11" t="str">
        <f aca="false">IFERROR(MATCH(ROW()-1,DECKS!$O$2:$O$1201,0),"")</f>
        <v/>
      </c>
      <c r="I285" s="11" t="str">
        <f aca="false">IF(C285="","",G285&amp;" "&amp;D285&amp;" ("&amp;C285&amp;")")</f>
        <v/>
      </c>
    </row>
    <row r="286" customFormat="false" ht="15" hidden="false" customHeight="false" outlineLevel="0" collapsed="false">
      <c r="A286" s="16"/>
      <c r="B286" s="11" t="str">
        <f aca="false">IF($H286="","",INDEX(DECKS!$A$2:$A$1201,$H286))</f>
        <v/>
      </c>
      <c r="C286" s="11" t="str">
        <f aca="false">IF($H286="","",INDEX(DECKS!$B$2:$B$1201,$H286))</f>
        <v/>
      </c>
      <c r="D286" s="11" t="str">
        <f aca="false">IF($H286="","",INDEX(DECKS!$C$2:$C$1201,$H286))</f>
        <v/>
      </c>
      <c r="E286" s="16" t="str">
        <f aca="false">IF($H286="","",INDEX(DECKS!$D$2:$D$1201,$H286))</f>
        <v/>
      </c>
      <c r="F286" s="16" t="str">
        <f aca="false">IF($H286="","",INDEX(DECKS!$E$2:$E$1201,$H286))</f>
        <v/>
      </c>
      <c r="G286" s="21" t="str">
        <f aca="false">IF($H286="","",INDEX(DECKS!$F$2:$F$1201,$H286))</f>
        <v/>
      </c>
      <c r="H286" s="11" t="str">
        <f aca="false">IFERROR(MATCH(ROW()-1,DECKS!$O$2:$O$1201,0),"")</f>
        <v/>
      </c>
      <c r="I286" s="11" t="str">
        <f aca="false">IF(C286="","",G286&amp;" "&amp;D286&amp;" ("&amp;C286&amp;")")</f>
        <v/>
      </c>
    </row>
    <row r="287" customFormat="false" ht="15" hidden="false" customHeight="false" outlineLevel="0" collapsed="false">
      <c r="A287" s="16"/>
      <c r="B287" s="11" t="str">
        <f aca="false">IF($H287="","",INDEX(DECKS!$A$2:$A$1201,$H287))</f>
        <v/>
      </c>
      <c r="C287" s="11" t="str">
        <f aca="false">IF($H287="","",INDEX(DECKS!$B$2:$B$1201,$H287))</f>
        <v/>
      </c>
      <c r="D287" s="11" t="str">
        <f aca="false">IF($H287="","",INDEX(DECKS!$C$2:$C$1201,$H287))</f>
        <v/>
      </c>
      <c r="E287" s="16" t="str">
        <f aca="false">IF($H287="","",INDEX(DECKS!$D$2:$D$1201,$H287))</f>
        <v/>
      </c>
      <c r="F287" s="16" t="str">
        <f aca="false">IF($H287="","",INDEX(DECKS!$E$2:$E$1201,$H287))</f>
        <v/>
      </c>
      <c r="G287" s="21" t="str">
        <f aca="false">IF($H287="","",INDEX(DECKS!$F$2:$F$1201,$H287))</f>
        <v/>
      </c>
      <c r="H287" s="11" t="str">
        <f aca="false">IFERROR(MATCH(ROW()-1,DECKS!$O$2:$O$1201,0),"")</f>
        <v/>
      </c>
      <c r="I287" s="11" t="str">
        <f aca="false">IF(C287="","",G287&amp;" "&amp;D287&amp;" ("&amp;C287&amp;")")</f>
        <v/>
      </c>
    </row>
    <row r="288" customFormat="false" ht="15" hidden="false" customHeight="false" outlineLevel="0" collapsed="false">
      <c r="A288" s="16"/>
      <c r="B288" s="11" t="str">
        <f aca="false">IF($H288="","",INDEX(DECKS!$A$2:$A$1201,$H288))</f>
        <v/>
      </c>
      <c r="C288" s="11" t="str">
        <f aca="false">IF($H288="","",INDEX(DECKS!$B$2:$B$1201,$H288))</f>
        <v/>
      </c>
      <c r="D288" s="11" t="str">
        <f aca="false">IF($H288="","",INDEX(DECKS!$C$2:$C$1201,$H288))</f>
        <v/>
      </c>
      <c r="E288" s="16" t="str">
        <f aca="false">IF($H288="","",INDEX(DECKS!$D$2:$D$1201,$H288))</f>
        <v/>
      </c>
      <c r="F288" s="16" t="str">
        <f aca="false">IF($H288="","",INDEX(DECKS!$E$2:$E$1201,$H288))</f>
        <v/>
      </c>
      <c r="G288" s="21" t="str">
        <f aca="false">IF($H288="","",INDEX(DECKS!$F$2:$F$1201,$H288))</f>
        <v/>
      </c>
      <c r="H288" s="11" t="str">
        <f aca="false">IFERROR(MATCH(ROW()-1,DECKS!$O$2:$O$1201,0),"")</f>
        <v/>
      </c>
      <c r="I288" s="11" t="str">
        <f aca="false">IF(C288="","",G288&amp;" "&amp;D288&amp;" ("&amp;C288&amp;")")</f>
        <v/>
      </c>
    </row>
    <row r="289" customFormat="false" ht="15" hidden="false" customHeight="false" outlineLevel="0" collapsed="false">
      <c r="A289" s="16"/>
      <c r="B289" s="11" t="str">
        <f aca="false">IF($H289="","",INDEX(DECKS!$A$2:$A$1201,$H289))</f>
        <v/>
      </c>
      <c r="C289" s="11" t="str">
        <f aca="false">IF($H289="","",INDEX(DECKS!$B$2:$B$1201,$H289))</f>
        <v/>
      </c>
      <c r="D289" s="11" t="str">
        <f aca="false">IF($H289="","",INDEX(DECKS!$C$2:$C$1201,$H289))</f>
        <v/>
      </c>
      <c r="E289" s="16" t="str">
        <f aca="false">IF($H289="","",INDEX(DECKS!$D$2:$D$1201,$H289))</f>
        <v/>
      </c>
      <c r="F289" s="16" t="str">
        <f aca="false">IF($H289="","",INDEX(DECKS!$E$2:$E$1201,$H289))</f>
        <v/>
      </c>
      <c r="G289" s="21" t="str">
        <f aca="false">IF($H289="","",INDEX(DECKS!$F$2:$F$1201,$H289))</f>
        <v/>
      </c>
      <c r="H289" s="11" t="str">
        <f aca="false">IFERROR(MATCH(ROW()-1,DECKS!$O$2:$O$1201,0),"")</f>
        <v/>
      </c>
      <c r="I289" s="11" t="str">
        <f aca="false">IF(C289="","",G289&amp;" "&amp;D289&amp;" ("&amp;C289&amp;")")</f>
        <v/>
      </c>
    </row>
    <row r="290" customFormat="false" ht="15" hidden="false" customHeight="false" outlineLevel="0" collapsed="false">
      <c r="A290" s="16"/>
      <c r="B290" s="11" t="str">
        <f aca="false">IF($H290="","",INDEX(DECKS!$A$2:$A$1201,$H290))</f>
        <v/>
      </c>
      <c r="C290" s="11" t="str">
        <f aca="false">IF($H290="","",INDEX(DECKS!$B$2:$B$1201,$H290))</f>
        <v/>
      </c>
      <c r="D290" s="11" t="str">
        <f aca="false">IF($H290="","",INDEX(DECKS!$C$2:$C$1201,$H290))</f>
        <v/>
      </c>
      <c r="E290" s="16" t="str">
        <f aca="false">IF($H290="","",INDEX(DECKS!$D$2:$D$1201,$H290))</f>
        <v/>
      </c>
      <c r="F290" s="16" t="str">
        <f aca="false">IF($H290="","",INDEX(DECKS!$E$2:$E$1201,$H290))</f>
        <v/>
      </c>
      <c r="G290" s="21" t="str">
        <f aca="false">IF($H290="","",INDEX(DECKS!$F$2:$F$1201,$H290))</f>
        <v/>
      </c>
      <c r="H290" s="11" t="str">
        <f aca="false">IFERROR(MATCH(ROW()-1,DECKS!$O$2:$O$1201,0),"")</f>
        <v/>
      </c>
      <c r="I290" s="11" t="str">
        <f aca="false">IF(C290="","",G290&amp;" "&amp;D290&amp;" ("&amp;C290&amp;")")</f>
        <v/>
      </c>
    </row>
    <row r="291" customFormat="false" ht="15" hidden="false" customHeight="false" outlineLevel="0" collapsed="false">
      <c r="A291" s="16"/>
      <c r="B291" s="11" t="str">
        <f aca="false">IF($H291="","",INDEX(DECKS!$A$2:$A$1201,$H291))</f>
        <v/>
      </c>
      <c r="C291" s="11" t="str">
        <f aca="false">IF($H291="","",INDEX(DECKS!$B$2:$B$1201,$H291))</f>
        <v/>
      </c>
      <c r="D291" s="11" t="str">
        <f aca="false">IF($H291="","",INDEX(DECKS!$C$2:$C$1201,$H291))</f>
        <v/>
      </c>
      <c r="E291" s="16" t="str">
        <f aca="false">IF($H291="","",INDEX(DECKS!$D$2:$D$1201,$H291))</f>
        <v/>
      </c>
      <c r="F291" s="16" t="str">
        <f aca="false">IF($H291="","",INDEX(DECKS!$E$2:$E$1201,$H291))</f>
        <v/>
      </c>
      <c r="G291" s="21" t="str">
        <f aca="false">IF($H291="","",INDEX(DECKS!$F$2:$F$1201,$H291))</f>
        <v/>
      </c>
      <c r="H291" s="11" t="str">
        <f aca="false">IFERROR(MATCH(ROW()-1,DECKS!$O$2:$O$1201,0),"")</f>
        <v/>
      </c>
      <c r="I291" s="11" t="str">
        <f aca="false">IF(C291="","",G291&amp;" "&amp;D291&amp;" ("&amp;C291&amp;")")</f>
        <v/>
      </c>
    </row>
    <row r="292" customFormat="false" ht="15" hidden="false" customHeight="false" outlineLevel="0" collapsed="false">
      <c r="A292" s="16"/>
      <c r="B292" s="11" t="str">
        <f aca="false">IF($H292="","",INDEX(DECKS!$A$2:$A$1201,$H292))</f>
        <v/>
      </c>
      <c r="C292" s="11" t="str">
        <f aca="false">IF($H292="","",INDEX(DECKS!$B$2:$B$1201,$H292))</f>
        <v/>
      </c>
      <c r="D292" s="11" t="str">
        <f aca="false">IF($H292="","",INDEX(DECKS!$C$2:$C$1201,$H292))</f>
        <v/>
      </c>
      <c r="E292" s="16" t="str">
        <f aca="false">IF($H292="","",INDEX(DECKS!$D$2:$D$1201,$H292))</f>
        <v/>
      </c>
      <c r="F292" s="16" t="str">
        <f aca="false">IF($H292="","",INDEX(DECKS!$E$2:$E$1201,$H292))</f>
        <v/>
      </c>
      <c r="G292" s="21" t="str">
        <f aca="false">IF($H292="","",INDEX(DECKS!$F$2:$F$1201,$H292))</f>
        <v/>
      </c>
      <c r="H292" s="11" t="str">
        <f aca="false">IFERROR(MATCH(ROW()-1,DECKS!$O$2:$O$1201,0),"")</f>
        <v/>
      </c>
      <c r="I292" s="11" t="str">
        <f aca="false">IF(C292="","",G292&amp;" "&amp;D292&amp;" ("&amp;C292&amp;")")</f>
        <v/>
      </c>
    </row>
    <row r="293" customFormat="false" ht="15" hidden="false" customHeight="false" outlineLevel="0" collapsed="false">
      <c r="A293" s="16"/>
      <c r="B293" s="11" t="str">
        <f aca="false">IF($H293="","",INDEX(DECKS!$A$2:$A$1201,$H293))</f>
        <v/>
      </c>
      <c r="C293" s="11" t="str">
        <f aca="false">IF($H293="","",INDEX(DECKS!$B$2:$B$1201,$H293))</f>
        <v/>
      </c>
      <c r="D293" s="11" t="str">
        <f aca="false">IF($H293="","",INDEX(DECKS!$C$2:$C$1201,$H293))</f>
        <v/>
      </c>
      <c r="E293" s="16" t="str">
        <f aca="false">IF($H293="","",INDEX(DECKS!$D$2:$D$1201,$H293))</f>
        <v/>
      </c>
      <c r="F293" s="16" t="str">
        <f aca="false">IF($H293="","",INDEX(DECKS!$E$2:$E$1201,$H293))</f>
        <v/>
      </c>
      <c r="G293" s="21" t="str">
        <f aca="false">IF($H293="","",INDEX(DECKS!$F$2:$F$1201,$H293))</f>
        <v/>
      </c>
      <c r="H293" s="11" t="str">
        <f aca="false">IFERROR(MATCH(ROW()-1,DECKS!$O$2:$O$1201,0),"")</f>
        <v/>
      </c>
      <c r="I293" s="11" t="str">
        <f aca="false">IF(C293="","",G293&amp;" "&amp;D293&amp;" ("&amp;C293&amp;")")</f>
        <v/>
      </c>
    </row>
    <row r="294" customFormat="false" ht="15" hidden="false" customHeight="false" outlineLevel="0" collapsed="false">
      <c r="A294" s="16"/>
      <c r="B294" s="11" t="str">
        <f aca="false">IF($H294="","",INDEX(DECKS!$A$2:$A$1201,$H294))</f>
        <v/>
      </c>
      <c r="C294" s="11" t="str">
        <f aca="false">IF($H294="","",INDEX(DECKS!$B$2:$B$1201,$H294))</f>
        <v/>
      </c>
      <c r="D294" s="11" t="str">
        <f aca="false">IF($H294="","",INDEX(DECKS!$C$2:$C$1201,$H294))</f>
        <v/>
      </c>
      <c r="E294" s="16" t="str">
        <f aca="false">IF($H294="","",INDEX(DECKS!$D$2:$D$1201,$H294))</f>
        <v/>
      </c>
      <c r="F294" s="16" t="str">
        <f aca="false">IF($H294="","",INDEX(DECKS!$E$2:$E$1201,$H294))</f>
        <v/>
      </c>
      <c r="G294" s="21" t="str">
        <f aca="false">IF($H294="","",INDEX(DECKS!$F$2:$F$1201,$H294))</f>
        <v/>
      </c>
      <c r="H294" s="11" t="str">
        <f aca="false">IFERROR(MATCH(ROW()-1,DECKS!$O$2:$O$1201,0),"")</f>
        <v/>
      </c>
      <c r="I294" s="11" t="str">
        <f aca="false">IF(C294="","",G294&amp;" "&amp;D294&amp;" ("&amp;C294&amp;")")</f>
        <v/>
      </c>
    </row>
    <row r="295" customFormat="false" ht="15" hidden="false" customHeight="false" outlineLevel="0" collapsed="false">
      <c r="A295" s="16"/>
      <c r="B295" s="11" t="str">
        <f aca="false">IF($H295="","",INDEX(DECKS!$A$2:$A$1201,$H295))</f>
        <v/>
      </c>
      <c r="C295" s="11" t="str">
        <f aca="false">IF($H295="","",INDEX(DECKS!$B$2:$B$1201,$H295))</f>
        <v/>
      </c>
      <c r="D295" s="11" t="str">
        <f aca="false">IF($H295="","",INDEX(DECKS!$C$2:$C$1201,$H295))</f>
        <v/>
      </c>
      <c r="E295" s="16" t="str">
        <f aca="false">IF($H295="","",INDEX(DECKS!$D$2:$D$1201,$H295))</f>
        <v/>
      </c>
      <c r="F295" s="16" t="str">
        <f aca="false">IF($H295="","",INDEX(DECKS!$E$2:$E$1201,$H295))</f>
        <v/>
      </c>
      <c r="G295" s="21" t="str">
        <f aca="false">IF($H295="","",INDEX(DECKS!$F$2:$F$1201,$H295))</f>
        <v/>
      </c>
      <c r="H295" s="11" t="str">
        <f aca="false">IFERROR(MATCH(ROW()-1,DECKS!$O$2:$O$1201,0),"")</f>
        <v/>
      </c>
      <c r="I295" s="11" t="str">
        <f aca="false">IF(C295="","",G295&amp;" "&amp;D295&amp;" ("&amp;C295&amp;")")</f>
        <v/>
      </c>
    </row>
    <row r="296" customFormat="false" ht="15" hidden="false" customHeight="false" outlineLevel="0" collapsed="false">
      <c r="A296" s="16"/>
      <c r="B296" s="11" t="str">
        <f aca="false">IF($H296="","",INDEX(DECKS!$A$2:$A$1201,$H296))</f>
        <v/>
      </c>
      <c r="C296" s="11" t="str">
        <f aca="false">IF($H296="","",INDEX(DECKS!$B$2:$B$1201,$H296))</f>
        <v/>
      </c>
      <c r="D296" s="11" t="str">
        <f aca="false">IF($H296="","",INDEX(DECKS!$C$2:$C$1201,$H296))</f>
        <v/>
      </c>
      <c r="E296" s="16" t="str">
        <f aca="false">IF($H296="","",INDEX(DECKS!$D$2:$D$1201,$H296))</f>
        <v/>
      </c>
      <c r="F296" s="16" t="str">
        <f aca="false">IF($H296="","",INDEX(DECKS!$E$2:$E$1201,$H296))</f>
        <v/>
      </c>
      <c r="G296" s="21" t="str">
        <f aca="false">IF($H296="","",INDEX(DECKS!$F$2:$F$1201,$H296))</f>
        <v/>
      </c>
      <c r="H296" s="11" t="str">
        <f aca="false">IFERROR(MATCH(ROW()-1,DECKS!$O$2:$O$1201,0),"")</f>
        <v/>
      </c>
      <c r="I296" s="11" t="str">
        <f aca="false">IF(C296="","",G296&amp;" "&amp;D296&amp;" ("&amp;C296&amp;")")</f>
        <v/>
      </c>
    </row>
    <row r="297" customFormat="false" ht="15" hidden="false" customHeight="false" outlineLevel="0" collapsed="false">
      <c r="A297" s="16"/>
      <c r="B297" s="11" t="str">
        <f aca="false">IF($H297="","",INDEX(DECKS!$A$2:$A$1201,$H297))</f>
        <v/>
      </c>
      <c r="C297" s="11" t="str">
        <f aca="false">IF($H297="","",INDEX(DECKS!$B$2:$B$1201,$H297))</f>
        <v/>
      </c>
      <c r="D297" s="11" t="str">
        <f aca="false">IF($H297="","",INDEX(DECKS!$C$2:$C$1201,$H297))</f>
        <v/>
      </c>
      <c r="E297" s="16" t="str">
        <f aca="false">IF($H297="","",INDEX(DECKS!$D$2:$D$1201,$H297))</f>
        <v/>
      </c>
      <c r="F297" s="16" t="str">
        <f aca="false">IF($H297="","",INDEX(DECKS!$E$2:$E$1201,$H297))</f>
        <v/>
      </c>
      <c r="G297" s="21" t="str">
        <f aca="false">IF($H297="","",INDEX(DECKS!$F$2:$F$1201,$H297))</f>
        <v/>
      </c>
      <c r="H297" s="11" t="str">
        <f aca="false">IFERROR(MATCH(ROW()-1,DECKS!$O$2:$O$1201,0),"")</f>
        <v/>
      </c>
      <c r="I297" s="11" t="str">
        <f aca="false">IF(C297="","",G297&amp;" "&amp;D297&amp;" ("&amp;C297&amp;")")</f>
        <v/>
      </c>
    </row>
    <row r="298" customFormat="false" ht="15" hidden="false" customHeight="false" outlineLevel="0" collapsed="false">
      <c r="A298" s="16"/>
      <c r="B298" s="11" t="str">
        <f aca="false">IF($H298="","",INDEX(DECKS!$A$2:$A$1201,$H298))</f>
        <v/>
      </c>
      <c r="C298" s="11" t="str">
        <f aca="false">IF($H298="","",INDEX(DECKS!$B$2:$B$1201,$H298))</f>
        <v/>
      </c>
      <c r="D298" s="11" t="str">
        <f aca="false">IF($H298="","",INDEX(DECKS!$C$2:$C$1201,$H298))</f>
        <v/>
      </c>
      <c r="E298" s="16" t="str">
        <f aca="false">IF($H298="","",INDEX(DECKS!$D$2:$D$1201,$H298))</f>
        <v/>
      </c>
      <c r="F298" s="16" t="str">
        <f aca="false">IF($H298="","",INDEX(DECKS!$E$2:$E$1201,$H298))</f>
        <v/>
      </c>
      <c r="G298" s="21" t="str">
        <f aca="false">IF($H298="","",INDEX(DECKS!$F$2:$F$1201,$H298))</f>
        <v/>
      </c>
      <c r="H298" s="11" t="str">
        <f aca="false">IFERROR(MATCH(ROW()-1,DECKS!$O$2:$O$1201,0),"")</f>
        <v/>
      </c>
      <c r="I298" s="11" t="str">
        <f aca="false">IF(C298="","",G298&amp;" "&amp;D298&amp;" ("&amp;C298&amp;")")</f>
        <v/>
      </c>
    </row>
    <row r="299" customFormat="false" ht="15" hidden="false" customHeight="false" outlineLevel="0" collapsed="false">
      <c r="A299" s="16"/>
      <c r="B299" s="11" t="str">
        <f aca="false">IF($H299="","",INDEX(DECKS!$A$2:$A$1201,$H299))</f>
        <v/>
      </c>
      <c r="C299" s="11" t="str">
        <f aca="false">IF($H299="","",INDEX(DECKS!$B$2:$B$1201,$H299))</f>
        <v/>
      </c>
      <c r="D299" s="11" t="str">
        <f aca="false">IF($H299="","",INDEX(DECKS!$C$2:$C$1201,$H299))</f>
        <v/>
      </c>
      <c r="E299" s="16" t="str">
        <f aca="false">IF($H299="","",INDEX(DECKS!$D$2:$D$1201,$H299))</f>
        <v/>
      </c>
      <c r="F299" s="16" t="str">
        <f aca="false">IF($H299="","",INDEX(DECKS!$E$2:$E$1201,$H299))</f>
        <v/>
      </c>
      <c r="G299" s="21" t="str">
        <f aca="false">IF($H299="","",INDEX(DECKS!$F$2:$F$1201,$H299))</f>
        <v/>
      </c>
      <c r="H299" s="11" t="str">
        <f aca="false">IFERROR(MATCH(ROW()-1,DECKS!$O$2:$O$1201,0),"")</f>
        <v/>
      </c>
      <c r="I299" s="11" t="str">
        <f aca="false">IF(C299="","",G299&amp;" "&amp;D299&amp;" ("&amp;C299&amp;")")</f>
        <v/>
      </c>
    </row>
    <row r="300" customFormat="false" ht="15" hidden="false" customHeight="false" outlineLevel="0" collapsed="false">
      <c r="A300" s="16"/>
      <c r="B300" s="11" t="str">
        <f aca="false">IF($H300="","",INDEX(DECKS!$A$2:$A$1201,$H300))</f>
        <v/>
      </c>
      <c r="C300" s="11" t="str">
        <f aca="false">IF($H300="","",INDEX(DECKS!$B$2:$B$1201,$H300))</f>
        <v/>
      </c>
      <c r="D300" s="11" t="str">
        <f aca="false">IF($H300="","",INDEX(DECKS!$C$2:$C$1201,$H300))</f>
        <v/>
      </c>
      <c r="E300" s="16" t="str">
        <f aca="false">IF($H300="","",INDEX(DECKS!$D$2:$D$1201,$H300))</f>
        <v/>
      </c>
      <c r="F300" s="16" t="str">
        <f aca="false">IF($H300="","",INDEX(DECKS!$E$2:$E$1201,$H300))</f>
        <v/>
      </c>
      <c r="G300" s="21" t="str">
        <f aca="false">IF($H300="","",INDEX(DECKS!$F$2:$F$1201,$H300))</f>
        <v/>
      </c>
      <c r="H300" s="11" t="str">
        <f aca="false">IFERROR(MATCH(ROW()-1,DECKS!$O$2:$O$1201,0),"")</f>
        <v/>
      </c>
      <c r="I300" s="11" t="str">
        <f aca="false">IF(C300="","",G300&amp;" "&amp;D300&amp;" ("&amp;C300&amp;")")</f>
        <v/>
      </c>
    </row>
    <row r="301" customFormat="false" ht="15" hidden="false" customHeight="false" outlineLevel="0" collapsed="false">
      <c r="A301" s="16"/>
      <c r="B301" s="11" t="str">
        <f aca="false">IF($H301="","",INDEX(DECKS!$A$2:$A$1201,$H301))</f>
        <v/>
      </c>
      <c r="C301" s="11" t="str">
        <f aca="false">IF($H301="","",INDEX(DECKS!$B$2:$B$1201,$H301))</f>
        <v/>
      </c>
      <c r="D301" s="11" t="str">
        <f aca="false">IF($H301="","",INDEX(DECKS!$C$2:$C$1201,$H301))</f>
        <v/>
      </c>
      <c r="E301" s="16" t="str">
        <f aca="false">IF($H301="","",INDEX(DECKS!$D$2:$D$1201,$H301))</f>
        <v/>
      </c>
      <c r="F301" s="16" t="str">
        <f aca="false">IF($H301="","",INDEX(DECKS!$E$2:$E$1201,$H301))</f>
        <v/>
      </c>
      <c r="G301" s="21" t="str">
        <f aca="false">IF($H301="","",INDEX(DECKS!$F$2:$F$1201,$H301))</f>
        <v/>
      </c>
      <c r="H301" s="11" t="str">
        <f aca="false">IFERROR(MATCH(ROW()-1,DECKS!$O$2:$O$1201,0),"")</f>
        <v/>
      </c>
      <c r="I301" s="11" t="str">
        <f aca="false">IF(C301="","",G301&amp;" "&amp;D301&amp;" ("&amp;C301&amp;")")</f>
        <v/>
      </c>
    </row>
    <row r="302" customFormat="false" ht="15" hidden="false" customHeight="false" outlineLevel="0" collapsed="false">
      <c r="A302" s="16"/>
      <c r="B302" s="11" t="str">
        <f aca="false">IF($H302="","",INDEX(DECKS!$A$2:$A$1201,$H302))</f>
        <v/>
      </c>
      <c r="C302" s="11" t="str">
        <f aca="false">IF($H302="","",INDEX(DECKS!$B$2:$B$1201,$H302))</f>
        <v/>
      </c>
      <c r="D302" s="11" t="str">
        <f aca="false">IF($H302="","",INDEX(DECKS!$C$2:$C$1201,$H302))</f>
        <v/>
      </c>
      <c r="E302" s="16" t="str">
        <f aca="false">IF($H302="","",INDEX(DECKS!$D$2:$D$1201,$H302))</f>
        <v/>
      </c>
      <c r="F302" s="16" t="str">
        <f aca="false">IF($H302="","",INDEX(DECKS!$E$2:$E$1201,$H302))</f>
        <v/>
      </c>
      <c r="G302" s="21" t="str">
        <f aca="false">IF($H302="","",INDEX(DECKS!$F$2:$F$1201,$H302))</f>
        <v/>
      </c>
      <c r="H302" s="11" t="str">
        <f aca="false">IFERROR(MATCH(ROW()-1,DECKS!$O$2:$O$1201,0),"")</f>
        <v/>
      </c>
      <c r="I302" s="11" t="str">
        <f aca="false">IF(C302="","",G302&amp;" "&amp;D302&amp;" ("&amp;C302&amp;")")</f>
        <v/>
      </c>
    </row>
    <row r="303" customFormat="false" ht="15" hidden="false" customHeight="false" outlineLevel="0" collapsed="false">
      <c r="A303" s="16"/>
      <c r="B303" s="11" t="str">
        <f aca="false">IF($H303="","",INDEX(DECKS!$A$2:$A$1201,$H303))</f>
        <v/>
      </c>
      <c r="C303" s="11" t="str">
        <f aca="false">IF($H303="","",INDEX(DECKS!$B$2:$B$1201,$H303))</f>
        <v/>
      </c>
      <c r="D303" s="11" t="str">
        <f aca="false">IF($H303="","",INDEX(DECKS!$C$2:$C$1201,$H303))</f>
        <v/>
      </c>
      <c r="E303" s="16" t="str">
        <f aca="false">IF($H303="","",INDEX(DECKS!$D$2:$D$1201,$H303))</f>
        <v/>
      </c>
      <c r="F303" s="16" t="str">
        <f aca="false">IF($H303="","",INDEX(DECKS!$E$2:$E$1201,$H303))</f>
        <v/>
      </c>
      <c r="G303" s="21" t="str">
        <f aca="false">IF($H303="","",INDEX(DECKS!$F$2:$F$1201,$H303))</f>
        <v/>
      </c>
      <c r="H303" s="11" t="str">
        <f aca="false">IFERROR(MATCH(ROW()-1,DECKS!$O$2:$O$1201,0),"")</f>
        <v/>
      </c>
      <c r="I303" s="11" t="str">
        <f aca="false">IF(C303="","",G303&amp;" "&amp;D303&amp;" ("&amp;C303&amp;")")</f>
        <v/>
      </c>
    </row>
    <row r="304" customFormat="false" ht="15" hidden="false" customHeight="false" outlineLevel="0" collapsed="false">
      <c r="A304" s="16"/>
      <c r="B304" s="11" t="str">
        <f aca="false">IF($H304="","",INDEX(DECKS!$A$2:$A$1201,$H304))</f>
        <v/>
      </c>
      <c r="C304" s="11" t="str">
        <f aca="false">IF($H304="","",INDEX(DECKS!$B$2:$B$1201,$H304))</f>
        <v/>
      </c>
      <c r="D304" s="11" t="str">
        <f aca="false">IF($H304="","",INDEX(DECKS!$C$2:$C$1201,$H304))</f>
        <v/>
      </c>
      <c r="E304" s="16" t="str">
        <f aca="false">IF($H304="","",INDEX(DECKS!$D$2:$D$1201,$H304))</f>
        <v/>
      </c>
      <c r="F304" s="16" t="str">
        <f aca="false">IF($H304="","",INDEX(DECKS!$E$2:$E$1201,$H304))</f>
        <v/>
      </c>
      <c r="G304" s="21" t="str">
        <f aca="false">IF($H304="","",INDEX(DECKS!$F$2:$F$1201,$H304))</f>
        <v/>
      </c>
      <c r="H304" s="11" t="str">
        <f aca="false">IFERROR(MATCH(ROW()-1,DECKS!$O$2:$O$1201,0),"")</f>
        <v/>
      </c>
      <c r="I304" s="11" t="str">
        <f aca="false">IF(C304="","",G304&amp;" "&amp;D304&amp;" ("&amp;C304&amp;")")</f>
        <v/>
      </c>
    </row>
    <row r="305" customFormat="false" ht="15" hidden="false" customHeight="false" outlineLevel="0" collapsed="false">
      <c r="A305" s="16"/>
      <c r="B305" s="11" t="str">
        <f aca="false">IF($H305="","",INDEX(DECKS!$A$2:$A$1201,$H305))</f>
        <v/>
      </c>
      <c r="C305" s="11" t="str">
        <f aca="false">IF($H305="","",INDEX(DECKS!$B$2:$B$1201,$H305))</f>
        <v/>
      </c>
      <c r="D305" s="11" t="str">
        <f aca="false">IF($H305="","",INDEX(DECKS!$C$2:$C$1201,$H305))</f>
        <v/>
      </c>
      <c r="E305" s="16" t="str">
        <f aca="false">IF($H305="","",INDEX(DECKS!$D$2:$D$1201,$H305))</f>
        <v/>
      </c>
      <c r="F305" s="16" t="str">
        <f aca="false">IF($H305="","",INDEX(DECKS!$E$2:$E$1201,$H305))</f>
        <v/>
      </c>
      <c r="G305" s="21" t="str">
        <f aca="false">IF($H305="","",INDEX(DECKS!$F$2:$F$1201,$H305))</f>
        <v/>
      </c>
      <c r="H305" s="11" t="str">
        <f aca="false">IFERROR(MATCH(ROW()-1,DECKS!$O$2:$O$1201,0),"")</f>
        <v/>
      </c>
      <c r="I305" s="11" t="str">
        <f aca="false">IF(C305="","",G305&amp;" "&amp;D305&amp;" ("&amp;C305&amp;")")</f>
        <v/>
      </c>
    </row>
    <row r="306" customFormat="false" ht="15" hidden="false" customHeight="false" outlineLevel="0" collapsed="false">
      <c r="A306" s="16"/>
      <c r="B306" s="11" t="str">
        <f aca="false">IF($H306="","",INDEX(DECKS!$A$2:$A$1201,$H306))</f>
        <v/>
      </c>
      <c r="C306" s="11" t="str">
        <f aca="false">IF($H306="","",INDEX(DECKS!$B$2:$B$1201,$H306))</f>
        <v/>
      </c>
      <c r="D306" s="11" t="str">
        <f aca="false">IF($H306="","",INDEX(DECKS!$C$2:$C$1201,$H306))</f>
        <v/>
      </c>
      <c r="E306" s="16" t="str">
        <f aca="false">IF($H306="","",INDEX(DECKS!$D$2:$D$1201,$H306))</f>
        <v/>
      </c>
      <c r="F306" s="16" t="str">
        <f aca="false">IF($H306="","",INDEX(DECKS!$E$2:$E$1201,$H306))</f>
        <v/>
      </c>
      <c r="G306" s="21" t="str">
        <f aca="false">IF($H306="","",INDEX(DECKS!$F$2:$F$1201,$H306))</f>
        <v/>
      </c>
      <c r="H306" s="11" t="str">
        <f aca="false">IFERROR(MATCH(ROW()-1,DECKS!$O$2:$O$1201,0),"")</f>
        <v/>
      </c>
      <c r="I306" s="11" t="str">
        <f aca="false">IF(C306="","",G306&amp;" "&amp;D306&amp;" ("&amp;C306&amp;")")</f>
        <v/>
      </c>
    </row>
    <row r="307" customFormat="false" ht="15" hidden="false" customHeight="false" outlineLevel="0" collapsed="false">
      <c r="A307" s="16"/>
      <c r="B307" s="11" t="str">
        <f aca="false">IF($H307="","",INDEX(DECKS!$A$2:$A$1201,$H307))</f>
        <v/>
      </c>
      <c r="C307" s="11" t="str">
        <f aca="false">IF($H307="","",INDEX(DECKS!$B$2:$B$1201,$H307))</f>
        <v/>
      </c>
      <c r="D307" s="11" t="str">
        <f aca="false">IF($H307="","",INDEX(DECKS!$C$2:$C$1201,$H307))</f>
        <v/>
      </c>
      <c r="E307" s="16" t="str">
        <f aca="false">IF($H307="","",INDEX(DECKS!$D$2:$D$1201,$H307))</f>
        <v/>
      </c>
      <c r="F307" s="16" t="str">
        <f aca="false">IF($H307="","",INDEX(DECKS!$E$2:$E$1201,$H307))</f>
        <v/>
      </c>
      <c r="G307" s="21" t="str">
        <f aca="false">IF($H307="","",INDEX(DECKS!$F$2:$F$1201,$H307))</f>
        <v/>
      </c>
      <c r="H307" s="11" t="str">
        <f aca="false">IFERROR(MATCH(ROW()-1,DECKS!$O$2:$O$1201,0),"")</f>
        <v/>
      </c>
      <c r="I307" s="11" t="str">
        <f aca="false">IF(C307="","",G307&amp;" "&amp;D307&amp;" ("&amp;C307&amp;")")</f>
        <v/>
      </c>
    </row>
    <row r="308" customFormat="false" ht="15" hidden="false" customHeight="false" outlineLevel="0" collapsed="false">
      <c r="A308" s="16"/>
      <c r="B308" s="11" t="str">
        <f aca="false">IF($H308="","",INDEX(DECKS!$A$2:$A$1201,$H308))</f>
        <v/>
      </c>
      <c r="C308" s="11" t="str">
        <f aca="false">IF($H308="","",INDEX(DECKS!$B$2:$B$1201,$H308))</f>
        <v/>
      </c>
      <c r="D308" s="11" t="str">
        <f aca="false">IF($H308="","",INDEX(DECKS!$C$2:$C$1201,$H308))</f>
        <v/>
      </c>
      <c r="E308" s="16" t="str">
        <f aca="false">IF($H308="","",INDEX(DECKS!$D$2:$D$1201,$H308))</f>
        <v/>
      </c>
      <c r="F308" s="16" t="str">
        <f aca="false">IF($H308="","",INDEX(DECKS!$E$2:$E$1201,$H308))</f>
        <v/>
      </c>
      <c r="G308" s="21" t="str">
        <f aca="false">IF($H308="","",INDEX(DECKS!$F$2:$F$1201,$H308))</f>
        <v/>
      </c>
      <c r="H308" s="11" t="str">
        <f aca="false">IFERROR(MATCH(ROW()-1,DECKS!$O$2:$O$1201,0),"")</f>
        <v/>
      </c>
      <c r="I308" s="11" t="str">
        <f aca="false">IF(C308="","",G308&amp;" "&amp;D308&amp;" ("&amp;C308&amp;")")</f>
        <v/>
      </c>
    </row>
    <row r="309" customFormat="false" ht="15" hidden="false" customHeight="false" outlineLevel="0" collapsed="false">
      <c r="A309" s="16"/>
      <c r="B309" s="11" t="str">
        <f aca="false">IF($H309="","",INDEX(DECKS!$A$2:$A$1201,$H309))</f>
        <v/>
      </c>
      <c r="C309" s="11" t="str">
        <f aca="false">IF($H309="","",INDEX(DECKS!$B$2:$B$1201,$H309))</f>
        <v/>
      </c>
      <c r="D309" s="11" t="str">
        <f aca="false">IF($H309="","",INDEX(DECKS!$C$2:$C$1201,$H309))</f>
        <v/>
      </c>
      <c r="E309" s="16" t="str">
        <f aca="false">IF($H309="","",INDEX(DECKS!$D$2:$D$1201,$H309))</f>
        <v/>
      </c>
      <c r="F309" s="16" t="str">
        <f aca="false">IF($H309="","",INDEX(DECKS!$E$2:$E$1201,$H309))</f>
        <v/>
      </c>
      <c r="G309" s="21" t="str">
        <f aca="false">IF($H309="","",INDEX(DECKS!$F$2:$F$1201,$H309))</f>
        <v/>
      </c>
      <c r="H309" s="11" t="str">
        <f aca="false">IFERROR(MATCH(ROW()-1,DECKS!$O$2:$O$1201,0),"")</f>
        <v/>
      </c>
      <c r="I309" s="11" t="str">
        <f aca="false">IF(C309="","",G309&amp;" "&amp;D309&amp;" ("&amp;C309&amp;")")</f>
        <v/>
      </c>
    </row>
    <row r="310" customFormat="false" ht="15" hidden="false" customHeight="false" outlineLevel="0" collapsed="false">
      <c r="A310" s="16"/>
      <c r="B310" s="11" t="str">
        <f aca="false">IF($H310="","",INDEX(DECKS!$A$2:$A$1201,$H310))</f>
        <v/>
      </c>
      <c r="C310" s="11" t="str">
        <f aca="false">IF($H310="","",INDEX(DECKS!$B$2:$B$1201,$H310))</f>
        <v/>
      </c>
      <c r="D310" s="11" t="str">
        <f aca="false">IF($H310="","",INDEX(DECKS!$C$2:$C$1201,$H310))</f>
        <v/>
      </c>
      <c r="E310" s="16" t="str">
        <f aca="false">IF($H310="","",INDEX(DECKS!$D$2:$D$1201,$H310))</f>
        <v/>
      </c>
      <c r="F310" s="16" t="str">
        <f aca="false">IF($H310="","",INDEX(DECKS!$E$2:$E$1201,$H310))</f>
        <v/>
      </c>
      <c r="G310" s="21" t="str">
        <f aca="false">IF($H310="","",INDEX(DECKS!$F$2:$F$1201,$H310))</f>
        <v/>
      </c>
      <c r="H310" s="11" t="str">
        <f aca="false">IFERROR(MATCH(ROW()-1,DECKS!$O$2:$O$1201,0),"")</f>
        <v/>
      </c>
      <c r="I310" s="11" t="str">
        <f aca="false">IF(C310="","",G310&amp;" "&amp;D310&amp;" ("&amp;C310&amp;")")</f>
        <v/>
      </c>
    </row>
    <row r="311" customFormat="false" ht="15" hidden="false" customHeight="false" outlineLevel="0" collapsed="false">
      <c r="A311" s="16"/>
      <c r="B311" s="11" t="str">
        <f aca="false">IF($H311="","",INDEX(DECKS!$A$2:$A$1201,$H311))</f>
        <v/>
      </c>
      <c r="C311" s="11" t="str">
        <f aca="false">IF($H311="","",INDEX(DECKS!$B$2:$B$1201,$H311))</f>
        <v/>
      </c>
      <c r="D311" s="11" t="str">
        <f aca="false">IF($H311="","",INDEX(DECKS!$C$2:$C$1201,$H311))</f>
        <v/>
      </c>
      <c r="E311" s="16" t="str">
        <f aca="false">IF($H311="","",INDEX(DECKS!$D$2:$D$1201,$H311))</f>
        <v/>
      </c>
      <c r="F311" s="16" t="str">
        <f aca="false">IF($H311="","",INDEX(DECKS!$E$2:$E$1201,$H311))</f>
        <v/>
      </c>
      <c r="G311" s="21" t="str">
        <f aca="false">IF($H311="","",INDEX(DECKS!$F$2:$F$1201,$H311))</f>
        <v/>
      </c>
      <c r="H311" s="11" t="str">
        <f aca="false">IFERROR(MATCH(ROW()-1,DECKS!$O$2:$O$1201,0),"")</f>
        <v/>
      </c>
      <c r="I311" s="11" t="str">
        <f aca="false">IF(C311="","",G311&amp;" "&amp;D311&amp;" ("&amp;C311&amp;")")</f>
        <v/>
      </c>
    </row>
    <row r="312" customFormat="false" ht="15" hidden="false" customHeight="false" outlineLevel="0" collapsed="false">
      <c r="A312" s="16"/>
      <c r="B312" s="11" t="str">
        <f aca="false">IF($H312="","",INDEX(DECKS!$A$2:$A$1201,$H312))</f>
        <v/>
      </c>
      <c r="C312" s="11" t="str">
        <f aca="false">IF($H312="","",INDEX(DECKS!$B$2:$B$1201,$H312))</f>
        <v/>
      </c>
      <c r="D312" s="11" t="str">
        <f aca="false">IF($H312="","",INDEX(DECKS!$C$2:$C$1201,$H312))</f>
        <v/>
      </c>
      <c r="E312" s="16" t="str">
        <f aca="false">IF($H312="","",INDEX(DECKS!$D$2:$D$1201,$H312))</f>
        <v/>
      </c>
      <c r="F312" s="16" t="str">
        <f aca="false">IF($H312="","",INDEX(DECKS!$E$2:$E$1201,$H312))</f>
        <v/>
      </c>
      <c r="G312" s="21" t="str">
        <f aca="false">IF($H312="","",INDEX(DECKS!$F$2:$F$1201,$H312))</f>
        <v/>
      </c>
      <c r="H312" s="11" t="str">
        <f aca="false">IFERROR(MATCH(ROW()-1,DECKS!$O$2:$O$1201,0),"")</f>
        <v/>
      </c>
      <c r="I312" s="11" t="str">
        <f aca="false">IF(C312="","",G312&amp;" "&amp;D312&amp;" ("&amp;C312&amp;")")</f>
        <v/>
      </c>
    </row>
    <row r="313" customFormat="false" ht="15" hidden="false" customHeight="false" outlineLevel="0" collapsed="false">
      <c r="A313" s="16"/>
      <c r="B313" s="11" t="str">
        <f aca="false">IF($H313="","",INDEX(DECKS!$A$2:$A$1201,$H313))</f>
        <v/>
      </c>
      <c r="C313" s="11" t="str">
        <f aca="false">IF($H313="","",INDEX(DECKS!$B$2:$B$1201,$H313))</f>
        <v/>
      </c>
      <c r="D313" s="11" t="str">
        <f aca="false">IF($H313="","",INDEX(DECKS!$C$2:$C$1201,$H313))</f>
        <v/>
      </c>
      <c r="E313" s="16" t="str">
        <f aca="false">IF($H313="","",INDEX(DECKS!$D$2:$D$1201,$H313))</f>
        <v/>
      </c>
      <c r="F313" s="16" t="str">
        <f aca="false">IF($H313="","",INDEX(DECKS!$E$2:$E$1201,$H313))</f>
        <v/>
      </c>
      <c r="G313" s="21" t="str">
        <f aca="false">IF($H313="","",INDEX(DECKS!$F$2:$F$1201,$H313))</f>
        <v/>
      </c>
      <c r="H313" s="11" t="str">
        <f aca="false">IFERROR(MATCH(ROW()-1,DECKS!$O$2:$O$1201,0),"")</f>
        <v/>
      </c>
      <c r="I313" s="11" t="str">
        <f aca="false">IF(C313="","",G313&amp;" "&amp;D313&amp;" ("&amp;C313&amp;")")</f>
        <v/>
      </c>
    </row>
    <row r="314" customFormat="false" ht="15" hidden="false" customHeight="false" outlineLevel="0" collapsed="false">
      <c r="A314" s="16"/>
      <c r="B314" s="11" t="str">
        <f aca="false">IF($H314="","",INDEX(DECKS!$A$2:$A$1201,$H314))</f>
        <v/>
      </c>
      <c r="C314" s="11" t="str">
        <f aca="false">IF($H314="","",INDEX(DECKS!$B$2:$B$1201,$H314))</f>
        <v/>
      </c>
      <c r="D314" s="11" t="str">
        <f aca="false">IF($H314="","",INDEX(DECKS!$C$2:$C$1201,$H314))</f>
        <v/>
      </c>
      <c r="E314" s="16" t="str">
        <f aca="false">IF($H314="","",INDEX(DECKS!$D$2:$D$1201,$H314))</f>
        <v/>
      </c>
      <c r="F314" s="16" t="str">
        <f aca="false">IF($H314="","",INDEX(DECKS!$E$2:$E$1201,$H314))</f>
        <v/>
      </c>
      <c r="G314" s="21" t="str">
        <f aca="false">IF($H314="","",INDEX(DECKS!$F$2:$F$1201,$H314))</f>
        <v/>
      </c>
      <c r="H314" s="11" t="str">
        <f aca="false">IFERROR(MATCH(ROW()-1,DECKS!$O$2:$O$1201,0),"")</f>
        <v/>
      </c>
      <c r="I314" s="11" t="str">
        <f aca="false">IF(C314="","",G314&amp;" "&amp;D314&amp;" ("&amp;C314&amp;")")</f>
        <v/>
      </c>
    </row>
    <row r="315" customFormat="false" ht="15" hidden="false" customHeight="false" outlineLevel="0" collapsed="false">
      <c r="A315" s="16"/>
      <c r="B315" s="11" t="str">
        <f aca="false">IF($H315="","",INDEX(DECKS!$A$2:$A$1201,$H315))</f>
        <v/>
      </c>
      <c r="C315" s="11" t="str">
        <f aca="false">IF($H315="","",INDEX(DECKS!$B$2:$B$1201,$H315))</f>
        <v/>
      </c>
      <c r="D315" s="11" t="str">
        <f aca="false">IF($H315="","",INDEX(DECKS!$C$2:$C$1201,$H315))</f>
        <v/>
      </c>
      <c r="E315" s="16" t="str">
        <f aca="false">IF($H315="","",INDEX(DECKS!$D$2:$D$1201,$H315))</f>
        <v/>
      </c>
      <c r="F315" s="16" t="str">
        <f aca="false">IF($H315="","",INDEX(DECKS!$E$2:$E$1201,$H315))</f>
        <v/>
      </c>
      <c r="G315" s="21" t="str">
        <f aca="false">IF($H315="","",INDEX(DECKS!$F$2:$F$1201,$H315))</f>
        <v/>
      </c>
      <c r="H315" s="11" t="str">
        <f aca="false">IFERROR(MATCH(ROW()-1,DECKS!$O$2:$O$1201,0),"")</f>
        <v/>
      </c>
      <c r="I315" s="11" t="str">
        <f aca="false">IF(C315="","",G315&amp;" "&amp;D315&amp;" ("&amp;C315&amp;")")</f>
        <v/>
      </c>
    </row>
    <row r="316" customFormat="false" ht="15" hidden="false" customHeight="false" outlineLevel="0" collapsed="false">
      <c r="A316" s="16"/>
      <c r="B316" s="11" t="str">
        <f aca="false">IF($H316="","",INDEX(DECKS!$A$2:$A$1201,$H316))</f>
        <v/>
      </c>
      <c r="C316" s="11" t="str">
        <f aca="false">IF($H316="","",INDEX(DECKS!$B$2:$B$1201,$H316))</f>
        <v/>
      </c>
      <c r="D316" s="11" t="str">
        <f aca="false">IF($H316="","",INDEX(DECKS!$C$2:$C$1201,$H316))</f>
        <v/>
      </c>
      <c r="E316" s="16" t="str">
        <f aca="false">IF($H316="","",INDEX(DECKS!$D$2:$D$1201,$H316))</f>
        <v/>
      </c>
      <c r="F316" s="16" t="str">
        <f aca="false">IF($H316="","",INDEX(DECKS!$E$2:$E$1201,$H316))</f>
        <v/>
      </c>
      <c r="G316" s="21" t="str">
        <f aca="false">IF($H316="","",INDEX(DECKS!$F$2:$F$1201,$H316))</f>
        <v/>
      </c>
      <c r="H316" s="11" t="str">
        <f aca="false">IFERROR(MATCH(ROW()-1,DECKS!$O$2:$O$1201,0),"")</f>
        <v/>
      </c>
      <c r="I316" s="11" t="str">
        <f aca="false">IF(C316="","",G316&amp;" "&amp;D316&amp;" ("&amp;C316&amp;")")</f>
        <v/>
      </c>
    </row>
    <row r="317" customFormat="false" ht="15" hidden="false" customHeight="false" outlineLevel="0" collapsed="false">
      <c r="A317" s="16"/>
      <c r="B317" s="11" t="str">
        <f aca="false">IF($H317="","",INDEX(DECKS!$A$2:$A$1201,$H317))</f>
        <v/>
      </c>
      <c r="C317" s="11" t="str">
        <f aca="false">IF($H317="","",INDEX(DECKS!$B$2:$B$1201,$H317))</f>
        <v/>
      </c>
      <c r="D317" s="11" t="str">
        <f aca="false">IF($H317="","",INDEX(DECKS!$C$2:$C$1201,$H317))</f>
        <v/>
      </c>
      <c r="E317" s="16" t="str">
        <f aca="false">IF($H317="","",INDEX(DECKS!$D$2:$D$1201,$H317))</f>
        <v/>
      </c>
      <c r="F317" s="16" t="str">
        <f aca="false">IF($H317="","",INDEX(DECKS!$E$2:$E$1201,$H317))</f>
        <v/>
      </c>
      <c r="G317" s="21" t="str">
        <f aca="false">IF($H317="","",INDEX(DECKS!$F$2:$F$1201,$H317))</f>
        <v/>
      </c>
      <c r="H317" s="11" t="str">
        <f aca="false">IFERROR(MATCH(ROW()-1,DECKS!$O$2:$O$1201,0),"")</f>
        <v/>
      </c>
      <c r="I317" s="11" t="str">
        <f aca="false">IF(C317="","",G317&amp;" "&amp;D317&amp;" ("&amp;C317&amp;")")</f>
        <v/>
      </c>
    </row>
    <row r="318" customFormat="false" ht="15" hidden="false" customHeight="false" outlineLevel="0" collapsed="false">
      <c r="A318" s="16"/>
      <c r="B318" s="11" t="str">
        <f aca="false">IF($H318="","",INDEX(DECKS!$A$2:$A$1201,$H318))</f>
        <v/>
      </c>
      <c r="C318" s="11" t="str">
        <f aca="false">IF($H318="","",INDEX(DECKS!$B$2:$B$1201,$H318))</f>
        <v/>
      </c>
      <c r="D318" s="11" t="str">
        <f aca="false">IF($H318="","",INDEX(DECKS!$C$2:$C$1201,$H318))</f>
        <v/>
      </c>
      <c r="E318" s="16" t="str">
        <f aca="false">IF($H318="","",INDEX(DECKS!$D$2:$D$1201,$H318))</f>
        <v/>
      </c>
      <c r="F318" s="16" t="str">
        <f aca="false">IF($H318="","",INDEX(DECKS!$E$2:$E$1201,$H318))</f>
        <v/>
      </c>
      <c r="G318" s="21" t="str">
        <f aca="false">IF($H318="","",INDEX(DECKS!$F$2:$F$1201,$H318))</f>
        <v/>
      </c>
      <c r="H318" s="11" t="str">
        <f aca="false">IFERROR(MATCH(ROW()-1,DECKS!$O$2:$O$1201,0),"")</f>
        <v/>
      </c>
      <c r="I318" s="11" t="str">
        <f aca="false">IF(C318="","",G318&amp;" "&amp;D318&amp;" ("&amp;C318&amp;")")</f>
        <v/>
      </c>
    </row>
    <row r="319" customFormat="false" ht="15" hidden="false" customHeight="false" outlineLevel="0" collapsed="false">
      <c r="A319" s="16"/>
      <c r="B319" s="11" t="str">
        <f aca="false">IF($H319="","",INDEX(DECKS!$A$2:$A$1201,$H319))</f>
        <v/>
      </c>
      <c r="C319" s="11" t="str">
        <f aca="false">IF($H319="","",INDEX(DECKS!$B$2:$B$1201,$H319))</f>
        <v/>
      </c>
      <c r="D319" s="11" t="str">
        <f aca="false">IF($H319="","",INDEX(DECKS!$C$2:$C$1201,$H319))</f>
        <v/>
      </c>
      <c r="E319" s="16" t="str">
        <f aca="false">IF($H319="","",INDEX(DECKS!$D$2:$D$1201,$H319))</f>
        <v/>
      </c>
      <c r="F319" s="16" t="str">
        <f aca="false">IF($H319="","",INDEX(DECKS!$E$2:$E$1201,$H319))</f>
        <v/>
      </c>
      <c r="G319" s="21" t="str">
        <f aca="false">IF($H319="","",INDEX(DECKS!$F$2:$F$1201,$H319))</f>
        <v/>
      </c>
      <c r="H319" s="11" t="str">
        <f aca="false">IFERROR(MATCH(ROW()-1,DECKS!$O$2:$O$1201,0),"")</f>
        <v/>
      </c>
      <c r="I319" s="11" t="str">
        <f aca="false">IF(C319="","",G319&amp;" "&amp;D319&amp;" ("&amp;C319&amp;")")</f>
        <v/>
      </c>
    </row>
    <row r="320" customFormat="false" ht="15" hidden="false" customHeight="false" outlineLevel="0" collapsed="false">
      <c r="A320" s="16"/>
      <c r="B320" s="11" t="str">
        <f aca="false">IF($H320="","",INDEX(DECKS!$A$2:$A$1201,$H320))</f>
        <v/>
      </c>
      <c r="C320" s="11" t="str">
        <f aca="false">IF($H320="","",INDEX(DECKS!$B$2:$B$1201,$H320))</f>
        <v/>
      </c>
      <c r="D320" s="11" t="str">
        <f aca="false">IF($H320="","",INDEX(DECKS!$C$2:$C$1201,$H320))</f>
        <v/>
      </c>
      <c r="E320" s="16" t="str">
        <f aca="false">IF($H320="","",INDEX(DECKS!$D$2:$D$1201,$H320))</f>
        <v/>
      </c>
      <c r="F320" s="16" t="str">
        <f aca="false">IF($H320="","",INDEX(DECKS!$E$2:$E$1201,$H320))</f>
        <v/>
      </c>
      <c r="G320" s="21" t="str">
        <f aca="false">IF($H320="","",INDEX(DECKS!$F$2:$F$1201,$H320))</f>
        <v/>
      </c>
      <c r="H320" s="11" t="str">
        <f aca="false">IFERROR(MATCH(ROW()-1,DECKS!$O$2:$O$1201,0),"")</f>
        <v/>
      </c>
      <c r="I320" s="11" t="str">
        <f aca="false">IF(C320="","",G320&amp;" "&amp;D320&amp;" ("&amp;C320&amp;")")</f>
        <v/>
      </c>
    </row>
    <row r="321" customFormat="false" ht="15" hidden="false" customHeight="false" outlineLevel="0" collapsed="false">
      <c r="A321" s="16"/>
      <c r="B321" s="11" t="str">
        <f aca="false">IF($H321="","",INDEX(DECKS!$A$2:$A$1201,$H321))</f>
        <v/>
      </c>
      <c r="C321" s="11" t="str">
        <f aca="false">IF($H321="","",INDEX(DECKS!$B$2:$B$1201,$H321))</f>
        <v/>
      </c>
      <c r="D321" s="11" t="str">
        <f aca="false">IF($H321="","",INDEX(DECKS!$C$2:$C$1201,$H321))</f>
        <v/>
      </c>
      <c r="E321" s="16" t="str">
        <f aca="false">IF($H321="","",INDEX(DECKS!$D$2:$D$1201,$H321))</f>
        <v/>
      </c>
      <c r="F321" s="16" t="str">
        <f aca="false">IF($H321="","",INDEX(DECKS!$E$2:$E$1201,$H321))</f>
        <v/>
      </c>
      <c r="G321" s="21" t="str">
        <f aca="false">IF($H321="","",INDEX(DECKS!$F$2:$F$1201,$H321))</f>
        <v/>
      </c>
      <c r="H321" s="11" t="str">
        <f aca="false">IFERROR(MATCH(ROW()-1,DECKS!$O$2:$O$1201,0),"")</f>
        <v/>
      </c>
      <c r="I321" s="11" t="str">
        <f aca="false">IF(C321="","",G321&amp;" "&amp;D321&amp;" ("&amp;C321&amp;")")</f>
        <v/>
      </c>
    </row>
    <row r="322" customFormat="false" ht="15" hidden="false" customHeight="false" outlineLevel="0" collapsed="false">
      <c r="A322" s="16"/>
      <c r="B322" s="11" t="str">
        <f aca="false">IF($H322="","",INDEX(DECKS!$A$2:$A$1201,$H322))</f>
        <v/>
      </c>
      <c r="C322" s="11" t="str">
        <f aca="false">IF($H322="","",INDEX(DECKS!$B$2:$B$1201,$H322))</f>
        <v/>
      </c>
      <c r="D322" s="11" t="str">
        <f aca="false">IF($H322="","",INDEX(DECKS!$C$2:$C$1201,$H322))</f>
        <v/>
      </c>
      <c r="E322" s="16" t="str">
        <f aca="false">IF($H322="","",INDEX(DECKS!$D$2:$D$1201,$H322))</f>
        <v/>
      </c>
      <c r="F322" s="16" t="str">
        <f aca="false">IF($H322="","",INDEX(DECKS!$E$2:$E$1201,$H322))</f>
        <v/>
      </c>
      <c r="G322" s="21" t="str">
        <f aca="false">IF($H322="","",INDEX(DECKS!$F$2:$F$1201,$H322))</f>
        <v/>
      </c>
      <c r="H322" s="11" t="str">
        <f aca="false">IFERROR(MATCH(ROW()-1,DECKS!$O$2:$O$1201,0),"")</f>
        <v/>
      </c>
      <c r="I322" s="11" t="str">
        <f aca="false">IF(C322="","",G322&amp;" "&amp;D322&amp;" ("&amp;C322&amp;")")</f>
        <v/>
      </c>
    </row>
    <row r="323" customFormat="false" ht="15" hidden="false" customHeight="false" outlineLevel="0" collapsed="false">
      <c r="A323" s="16"/>
      <c r="B323" s="11" t="str">
        <f aca="false">IF($H323="","",INDEX(DECKS!$A$2:$A$1201,$H323))</f>
        <v/>
      </c>
      <c r="C323" s="11" t="str">
        <f aca="false">IF($H323="","",INDEX(DECKS!$B$2:$B$1201,$H323))</f>
        <v/>
      </c>
      <c r="D323" s="11" t="str">
        <f aca="false">IF($H323="","",INDEX(DECKS!$C$2:$C$1201,$H323))</f>
        <v/>
      </c>
      <c r="E323" s="16" t="str">
        <f aca="false">IF($H323="","",INDEX(DECKS!$D$2:$D$1201,$H323))</f>
        <v/>
      </c>
      <c r="F323" s="16" t="str">
        <f aca="false">IF($H323="","",INDEX(DECKS!$E$2:$E$1201,$H323))</f>
        <v/>
      </c>
      <c r="G323" s="21" t="str">
        <f aca="false">IF($H323="","",INDEX(DECKS!$F$2:$F$1201,$H323))</f>
        <v/>
      </c>
      <c r="H323" s="11" t="str">
        <f aca="false">IFERROR(MATCH(ROW()-1,DECKS!$O$2:$O$1201,0),"")</f>
        <v/>
      </c>
      <c r="I323" s="11" t="str">
        <f aca="false">IF(C323="","",G323&amp;" "&amp;D323&amp;" ("&amp;C323&amp;")")</f>
        <v/>
      </c>
    </row>
    <row r="324" customFormat="false" ht="15" hidden="false" customHeight="false" outlineLevel="0" collapsed="false">
      <c r="A324" s="16"/>
      <c r="B324" s="11" t="str">
        <f aca="false">IF($H324="","",INDEX(DECKS!$A$2:$A$1201,$H324))</f>
        <v/>
      </c>
      <c r="C324" s="11" t="str">
        <f aca="false">IF($H324="","",INDEX(DECKS!$B$2:$B$1201,$H324))</f>
        <v/>
      </c>
      <c r="D324" s="11" t="str">
        <f aca="false">IF($H324="","",INDEX(DECKS!$C$2:$C$1201,$H324))</f>
        <v/>
      </c>
      <c r="E324" s="16" t="str">
        <f aca="false">IF($H324="","",INDEX(DECKS!$D$2:$D$1201,$H324))</f>
        <v/>
      </c>
      <c r="F324" s="16" t="str">
        <f aca="false">IF($H324="","",INDEX(DECKS!$E$2:$E$1201,$H324))</f>
        <v/>
      </c>
      <c r="G324" s="21" t="str">
        <f aca="false">IF($H324="","",INDEX(DECKS!$F$2:$F$1201,$H324))</f>
        <v/>
      </c>
      <c r="H324" s="11" t="str">
        <f aca="false">IFERROR(MATCH(ROW()-1,DECKS!$O$2:$O$1201,0),"")</f>
        <v/>
      </c>
      <c r="I324" s="11" t="str">
        <f aca="false">IF(C324="","",G324&amp;" "&amp;D324&amp;" ("&amp;C324&amp;")")</f>
        <v/>
      </c>
    </row>
    <row r="325" customFormat="false" ht="15" hidden="false" customHeight="false" outlineLevel="0" collapsed="false">
      <c r="A325" s="16"/>
      <c r="B325" s="11" t="str">
        <f aca="false">IF($H325="","",INDEX(DECKS!$A$2:$A$1201,$H325))</f>
        <v/>
      </c>
      <c r="C325" s="11" t="str">
        <f aca="false">IF($H325="","",INDEX(DECKS!$B$2:$B$1201,$H325))</f>
        <v/>
      </c>
      <c r="D325" s="11" t="str">
        <f aca="false">IF($H325="","",INDEX(DECKS!$C$2:$C$1201,$H325))</f>
        <v/>
      </c>
      <c r="E325" s="16" t="str">
        <f aca="false">IF($H325="","",INDEX(DECKS!$D$2:$D$1201,$H325))</f>
        <v/>
      </c>
      <c r="F325" s="16" t="str">
        <f aca="false">IF($H325="","",INDEX(DECKS!$E$2:$E$1201,$H325))</f>
        <v/>
      </c>
      <c r="G325" s="21" t="str">
        <f aca="false">IF($H325="","",INDEX(DECKS!$F$2:$F$1201,$H325))</f>
        <v/>
      </c>
      <c r="H325" s="11" t="str">
        <f aca="false">IFERROR(MATCH(ROW()-1,DECKS!$O$2:$O$1201,0),"")</f>
        <v/>
      </c>
      <c r="I325" s="11" t="str">
        <f aca="false">IF(C325="","",G325&amp;" "&amp;D325&amp;" ("&amp;C325&amp;")")</f>
        <v/>
      </c>
    </row>
    <row r="326" customFormat="false" ht="15" hidden="false" customHeight="false" outlineLevel="0" collapsed="false">
      <c r="A326" s="16"/>
      <c r="B326" s="11" t="str">
        <f aca="false">IF($H326="","",INDEX(DECKS!$A$2:$A$1201,$H326))</f>
        <v/>
      </c>
      <c r="C326" s="11" t="str">
        <f aca="false">IF($H326="","",INDEX(DECKS!$B$2:$B$1201,$H326))</f>
        <v/>
      </c>
      <c r="D326" s="11" t="str">
        <f aca="false">IF($H326="","",INDEX(DECKS!$C$2:$C$1201,$H326))</f>
        <v/>
      </c>
      <c r="E326" s="16" t="str">
        <f aca="false">IF($H326="","",INDEX(DECKS!$D$2:$D$1201,$H326))</f>
        <v/>
      </c>
      <c r="F326" s="16" t="str">
        <f aca="false">IF($H326="","",INDEX(DECKS!$E$2:$E$1201,$H326))</f>
        <v/>
      </c>
      <c r="G326" s="21" t="str">
        <f aca="false">IF($H326="","",INDEX(DECKS!$F$2:$F$1201,$H326))</f>
        <v/>
      </c>
      <c r="H326" s="11" t="str">
        <f aca="false">IFERROR(MATCH(ROW()-1,DECKS!$O$2:$O$1201,0),"")</f>
        <v/>
      </c>
      <c r="I326" s="11" t="str">
        <f aca="false">IF(C326="","",G326&amp;" "&amp;D326&amp;" ("&amp;C326&amp;")")</f>
        <v/>
      </c>
    </row>
    <row r="327" customFormat="false" ht="15" hidden="false" customHeight="false" outlineLevel="0" collapsed="false">
      <c r="A327" s="16"/>
      <c r="B327" s="11" t="str">
        <f aca="false">IF($H327="","",INDEX(DECKS!$A$2:$A$1201,$H327))</f>
        <v/>
      </c>
      <c r="C327" s="11" t="str">
        <f aca="false">IF($H327="","",INDEX(DECKS!$B$2:$B$1201,$H327))</f>
        <v/>
      </c>
      <c r="D327" s="11" t="str">
        <f aca="false">IF($H327="","",INDEX(DECKS!$C$2:$C$1201,$H327))</f>
        <v/>
      </c>
      <c r="E327" s="16" t="str">
        <f aca="false">IF($H327="","",INDEX(DECKS!$D$2:$D$1201,$H327))</f>
        <v/>
      </c>
      <c r="F327" s="16" t="str">
        <f aca="false">IF($H327="","",INDEX(DECKS!$E$2:$E$1201,$H327))</f>
        <v/>
      </c>
      <c r="G327" s="21" t="str">
        <f aca="false">IF($H327="","",INDEX(DECKS!$F$2:$F$1201,$H327))</f>
        <v/>
      </c>
      <c r="H327" s="11" t="str">
        <f aca="false">IFERROR(MATCH(ROW()-1,DECKS!$O$2:$O$1201,0),"")</f>
        <v/>
      </c>
      <c r="I327" s="11" t="str">
        <f aca="false">IF(C327="","",G327&amp;" "&amp;D327&amp;" ("&amp;C327&amp;")")</f>
        <v/>
      </c>
    </row>
    <row r="328" customFormat="false" ht="15" hidden="false" customHeight="false" outlineLevel="0" collapsed="false">
      <c r="A328" s="16"/>
      <c r="B328" s="11" t="str">
        <f aca="false">IF($H328="","",INDEX(DECKS!$A$2:$A$1201,$H328))</f>
        <v/>
      </c>
      <c r="C328" s="11" t="str">
        <f aca="false">IF($H328="","",INDEX(DECKS!$B$2:$B$1201,$H328))</f>
        <v/>
      </c>
      <c r="D328" s="11" t="str">
        <f aca="false">IF($H328="","",INDEX(DECKS!$C$2:$C$1201,$H328))</f>
        <v/>
      </c>
      <c r="E328" s="16" t="str">
        <f aca="false">IF($H328="","",INDEX(DECKS!$D$2:$D$1201,$H328))</f>
        <v/>
      </c>
      <c r="F328" s="16" t="str">
        <f aca="false">IF($H328="","",INDEX(DECKS!$E$2:$E$1201,$H328))</f>
        <v/>
      </c>
      <c r="G328" s="21" t="str">
        <f aca="false">IF($H328="","",INDEX(DECKS!$F$2:$F$1201,$H328))</f>
        <v/>
      </c>
      <c r="H328" s="11" t="str">
        <f aca="false">IFERROR(MATCH(ROW()-1,DECKS!$O$2:$O$1201,0),"")</f>
        <v/>
      </c>
      <c r="I328" s="11" t="str">
        <f aca="false">IF(C328="","",G328&amp;" "&amp;D328&amp;" ("&amp;C328&amp;")")</f>
        <v/>
      </c>
    </row>
    <row r="329" customFormat="false" ht="15" hidden="false" customHeight="false" outlineLevel="0" collapsed="false">
      <c r="A329" s="16"/>
      <c r="B329" s="11" t="str">
        <f aca="false">IF($H329="","",INDEX(DECKS!$A$2:$A$1201,$H329))</f>
        <v/>
      </c>
      <c r="C329" s="11" t="str">
        <f aca="false">IF($H329="","",INDEX(DECKS!$B$2:$B$1201,$H329))</f>
        <v/>
      </c>
      <c r="D329" s="11" t="str">
        <f aca="false">IF($H329="","",INDEX(DECKS!$C$2:$C$1201,$H329))</f>
        <v/>
      </c>
      <c r="E329" s="16" t="str">
        <f aca="false">IF($H329="","",INDEX(DECKS!$D$2:$D$1201,$H329))</f>
        <v/>
      </c>
      <c r="F329" s="16" t="str">
        <f aca="false">IF($H329="","",INDEX(DECKS!$E$2:$E$1201,$H329))</f>
        <v/>
      </c>
      <c r="G329" s="21" t="str">
        <f aca="false">IF($H329="","",INDEX(DECKS!$F$2:$F$1201,$H329))</f>
        <v/>
      </c>
      <c r="H329" s="11" t="str">
        <f aca="false">IFERROR(MATCH(ROW()-1,DECKS!$O$2:$O$1201,0),"")</f>
        <v/>
      </c>
      <c r="I329" s="11" t="str">
        <f aca="false">IF(C329="","",G329&amp;" "&amp;D329&amp;" ("&amp;C329&amp;")")</f>
        <v/>
      </c>
    </row>
    <row r="330" customFormat="false" ht="15" hidden="false" customHeight="false" outlineLevel="0" collapsed="false">
      <c r="A330" s="16"/>
      <c r="B330" s="11" t="str">
        <f aca="false">IF($H330="","",INDEX(DECKS!$A$2:$A$1201,$H330))</f>
        <v/>
      </c>
      <c r="C330" s="11" t="str">
        <f aca="false">IF($H330="","",INDEX(DECKS!$B$2:$B$1201,$H330))</f>
        <v/>
      </c>
      <c r="D330" s="11" t="str">
        <f aca="false">IF($H330="","",INDEX(DECKS!$C$2:$C$1201,$H330))</f>
        <v/>
      </c>
      <c r="E330" s="16" t="str">
        <f aca="false">IF($H330="","",INDEX(DECKS!$D$2:$D$1201,$H330))</f>
        <v/>
      </c>
      <c r="F330" s="16" t="str">
        <f aca="false">IF($H330="","",INDEX(DECKS!$E$2:$E$1201,$H330))</f>
        <v/>
      </c>
      <c r="G330" s="21" t="str">
        <f aca="false">IF($H330="","",INDEX(DECKS!$F$2:$F$1201,$H330))</f>
        <v/>
      </c>
      <c r="H330" s="11" t="str">
        <f aca="false">IFERROR(MATCH(ROW()-1,DECKS!$O$2:$O$1201,0),"")</f>
        <v/>
      </c>
      <c r="I330" s="11" t="str">
        <f aca="false">IF(C330="","",G330&amp;" "&amp;D330&amp;" ("&amp;C330&amp;")")</f>
        <v/>
      </c>
    </row>
    <row r="331" customFormat="false" ht="15" hidden="false" customHeight="false" outlineLevel="0" collapsed="false">
      <c r="A331" s="16"/>
      <c r="B331" s="11" t="str">
        <f aca="false">IF($H331="","",INDEX(DECKS!$A$2:$A$1201,$H331))</f>
        <v/>
      </c>
      <c r="C331" s="11" t="str">
        <f aca="false">IF($H331="","",INDEX(DECKS!$B$2:$B$1201,$H331))</f>
        <v/>
      </c>
      <c r="D331" s="11" t="str">
        <f aca="false">IF($H331="","",INDEX(DECKS!$C$2:$C$1201,$H331))</f>
        <v/>
      </c>
      <c r="E331" s="16" t="str">
        <f aca="false">IF($H331="","",INDEX(DECKS!$D$2:$D$1201,$H331))</f>
        <v/>
      </c>
      <c r="F331" s="16" t="str">
        <f aca="false">IF($H331="","",INDEX(DECKS!$E$2:$E$1201,$H331))</f>
        <v/>
      </c>
      <c r="G331" s="21" t="str">
        <f aca="false">IF($H331="","",INDEX(DECKS!$F$2:$F$1201,$H331))</f>
        <v/>
      </c>
      <c r="H331" s="11" t="str">
        <f aca="false">IFERROR(MATCH(ROW()-1,DECKS!$O$2:$O$1201,0),"")</f>
        <v/>
      </c>
      <c r="I331" s="11" t="str">
        <f aca="false">IF(C331="","",G331&amp;" "&amp;D331&amp;" ("&amp;C331&amp;")")</f>
        <v/>
      </c>
    </row>
    <row r="332" customFormat="false" ht="15" hidden="false" customHeight="false" outlineLevel="0" collapsed="false">
      <c r="A332" s="16"/>
      <c r="B332" s="11" t="str">
        <f aca="false">IF($H332="","",INDEX(DECKS!$A$2:$A$1201,$H332))</f>
        <v/>
      </c>
      <c r="C332" s="11" t="str">
        <f aca="false">IF($H332="","",INDEX(DECKS!$B$2:$B$1201,$H332))</f>
        <v/>
      </c>
      <c r="D332" s="11" t="str">
        <f aca="false">IF($H332="","",INDEX(DECKS!$C$2:$C$1201,$H332))</f>
        <v/>
      </c>
      <c r="E332" s="16" t="str">
        <f aca="false">IF($H332="","",INDEX(DECKS!$D$2:$D$1201,$H332))</f>
        <v/>
      </c>
      <c r="F332" s="16" t="str">
        <f aca="false">IF($H332="","",INDEX(DECKS!$E$2:$E$1201,$H332))</f>
        <v/>
      </c>
      <c r="G332" s="21" t="str">
        <f aca="false">IF($H332="","",INDEX(DECKS!$F$2:$F$1201,$H332))</f>
        <v/>
      </c>
      <c r="H332" s="11" t="str">
        <f aca="false">IFERROR(MATCH(ROW()-1,DECKS!$O$2:$O$1201,0),"")</f>
        <v/>
      </c>
      <c r="I332" s="11" t="str">
        <f aca="false">IF(C332="","",G332&amp;" "&amp;D332&amp;" ("&amp;C332&amp;")")</f>
        <v/>
      </c>
    </row>
    <row r="333" customFormat="false" ht="15" hidden="false" customHeight="false" outlineLevel="0" collapsed="false">
      <c r="A333" s="16"/>
      <c r="B333" s="11" t="str">
        <f aca="false">IF($H333="","",INDEX(DECKS!$A$2:$A$1201,$H333))</f>
        <v/>
      </c>
      <c r="C333" s="11" t="str">
        <f aca="false">IF($H333="","",INDEX(DECKS!$B$2:$B$1201,$H333))</f>
        <v/>
      </c>
      <c r="D333" s="11" t="str">
        <f aca="false">IF($H333="","",INDEX(DECKS!$C$2:$C$1201,$H333))</f>
        <v/>
      </c>
      <c r="E333" s="16" t="str">
        <f aca="false">IF($H333="","",INDEX(DECKS!$D$2:$D$1201,$H333))</f>
        <v/>
      </c>
      <c r="F333" s="16" t="str">
        <f aca="false">IF($H333="","",INDEX(DECKS!$E$2:$E$1201,$H333))</f>
        <v/>
      </c>
      <c r="G333" s="21" t="str">
        <f aca="false">IF($H333="","",INDEX(DECKS!$F$2:$F$1201,$H333))</f>
        <v/>
      </c>
      <c r="H333" s="11" t="str">
        <f aca="false">IFERROR(MATCH(ROW()-1,DECKS!$O$2:$O$1201,0),"")</f>
        <v/>
      </c>
      <c r="I333" s="11" t="str">
        <f aca="false">IF(C333="","",G333&amp;" "&amp;D333&amp;" ("&amp;C333&amp;")")</f>
        <v/>
      </c>
    </row>
    <row r="334" customFormat="false" ht="15" hidden="false" customHeight="false" outlineLevel="0" collapsed="false">
      <c r="A334" s="16"/>
      <c r="B334" s="11" t="str">
        <f aca="false">IF($H334="","",INDEX(DECKS!$A$2:$A$1201,$H334))</f>
        <v/>
      </c>
      <c r="C334" s="11" t="str">
        <f aca="false">IF($H334="","",INDEX(DECKS!$B$2:$B$1201,$H334))</f>
        <v/>
      </c>
      <c r="D334" s="11" t="str">
        <f aca="false">IF($H334="","",INDEX(DECKS!$C$2:$C$1201,$H334))</f>
        <v/>
      </c>
      <c r="E334" s="16" t="str">
        <f aca="false">IF($H334="","",INDEX(DECKS!$D$2:$D$1201,$H334))</f>
        <v/>
      </c>
      <c r="F334" s="16" t="str">
        <f aca="false">IF($H334="","",INDEX(DECKS!$E$2:$E$1201,$H334))</f>
        <v/>
      </c>
      <c r="G334" s="21" t="str">
        <f aca="false">IF($H334="","",INDEX(DECKS!$F$2:$F$1201,$H334))</f>
        <v/>
      </c>
      <c r="H334" s="11" t="str">
        <f aca="false">IFERROR(MATCH(ROW()-1,DECKS!$O$2:$O$1201,0),"")</f>
        <v/>
      </c>
      <c r="I334" s="11" t="str">
        <f aca="false">IF(C334="","",G334&amp;" "&amp;D334&amp;" ("&amp;C334&amp;")")</f>
        <v/>
      </c>
    </row>
    <row r="335" customFormat="false" ht="15" hidden="false" customHeight="false" outlineLevel="0" collapsed="false">
      <c r="A335" s="16"/>
      <c r="B335" s="11" t="str">
        <f aca="false">IF($H335="","",INDEX(DECKS!$A$2:$A$1201,$H335))</f>
        <v/>
      </c>
      <c r="C335" s="11" t="str">
        <f aca="false">IF($H335="","",INDEX(DECKS!$B$2:$B$1201,$H335))</f>
        <v/>
      </c>
      <c r="D335" s="11" t="str">
        <f aca="false">IF($H335="","",INDEX(DECKS!$C$2:$C$1201,$H335))</f>
        <v/>
      </c>
      <c r="E335" s="16" t="str">
        <f aca="false">IF($H335="","",INDEX(DECKS!$D$2:$D$1201,$H335))</f>
        <v/>
      </c>
      <c r="F335" s="16" t="str">
        <f aca="false">IF($H335="","",INDEX(DECKS!$E$2:$E$1201,$H335))</f>
        <v/>
      </c>
      <c r="G335" s="21" t="str">
        <f aca="false">IF($H335="","",INDEX(DECKS!$F$2:$F$1201,$H335))</f>
        <v/>
      </c>
      <c r="H335" s="11" t="str">
        <f aca="false">IFERROR(MATCH(ROW()-1,DECKS!$O$2:$O$1201,0),"")</f>
        <v/>
      </c>
      <c r="I335" s="11" t="str">
        <f aca="false">IF(C335="","",G335&amp;" "&amp;D335&amp;" ("&amp;C335&amp;")")</f>
        <v/>
      </c>
    </row>
    <row r="336" customFormat="false" ht="15" hidden="false" customHeight="false" outlineLevel="0" collapsed="false">
      <c r="A336" s="16"/>
      <c r="B336" s="11" t="str">
        <f aca="false">IF($H336="","",INDEX(DECKS!$A$2:$A$1201,$H336))</f>
        <v/>
      </c>
      <c r="C336" s="11" t="str">
        <f aca="false">IF($H336="","",INDEX(DECKS!$B$2:$B$1201,$H336))</f>
        <v/>
      </c>
      <c r="D336" s="11" t="str">
        <f aca="false">IF($H336="","",INDEX(DECKS!$C$2:$C$1201,$H336))</f>
        <v/>
      </c>
      <c r="E336" s="16" t="str">
        <f aca="false">IF($H336="","",INDEX(DECKS!$D$2:$D$1201,$H336))</f>
        <v/>
      </c>
      <c r="F336" s="16" t="str">
        <f aca="false">IF($H336="","",INDEX(DECKS!$E$2:$E$1201,$H336))</f>
        <v/>
      </c>
      <c r="G336" s="21" t="str">
        <f aca="false">IF($H336="","",INDEX(DECKS!$F$2:$F$1201,$H336))</f>
        <v/>
      </c>
      <c r="H336" s="11" t="str">
        <f aca="false">IFERROR(MATCH(ROW()-1,DECKS!$O$2:$O$1201,0),"")</f>
        <v/>
      </c>
      <c r="I336" s="11" t="str">
        <f aca="false">IF(C336="","",G336&amp;" "&amp;D336&amp;" ("&amp;C336&amp;")")</f>
        <v/>
      </c>
    </row>
    <row r="337" customFormat="false" ht="15" hidden="false" customHeight="false" outlineLevel="0" collapsed="false">
      <c r="A337" s="16"/>
      <c r="B337" s="11" t="str">
        <f aca="false">IF($H337="","",INDEX(DECKS!$A$2:$A$1201,$H337))</f>
        <v/>
      </c>
      <c r="C337" s="11" t="str">
        <f aca="false">IF($H337="","",INDEX(DECKS!$B$2:$B$1201,$H337))</f>
        <v/>
      </c>
      <c r="D337" s="11" t="str">
        <f aca="false">IF($H337="","",INDEX(DECKS!$C$2:$C$1201,$H337))</f>
        <v/>
      </c>
      <c r="E337" s="16" t="str">
        <f aca="false">IF($H337="","",INDEX(DECKS!$D$2:$D$1201,$H337))</f>
        <v/>
      </c>
      <c r="F337" s="16" t="str">
        <f aca="false">IF($H337="","",INDEX(DECKS!$E$2:$E$1201,$H337))</f>
        <v/>
      </c>
      <c r="G337" s="21" t="str">
        <f aca="false">IF($H337="","",INDEX(DECKS!$F$2:$F$1201,$H337))</f>
        <v/>
      </c>
      <c r="H337" s="11" t="str">
        <f aca="false">IFERROR(MATCH(ROW()-1,DECKS!$O$2:$O$1201,0),"")</f>
        <v/>
      </c>
      <c r="I337" s="11" t="str">
        <f aca="false">IF(C337="","",G337&amp;" "&amp;D337&amp;" ("&amp;C337&amp;")")</f>
        <v/>
      </c>
    </row>
    <row r="338" customFormat="false" ht="15" hidden="false" customHeight="false" outlineLevel="0" collapsed="false">
      <c r="A338" s="16"/>
      <c r="B338" s="11" t="str">
        <f aca="false">IF($H338="","",INDEX(DECKS!$A$2:$A$1201,$H338))</f>
        <v/>
      </c>
      <c r="C338" s="11" t="str">
        <f aca="false">IF($H338="","",INDEX(DECKS!$B$2:$B$1201,$H338))</f>
        <v/>
      </c>
      <c r="D338" s="11" t="str">
        <f aca="false">IF($H338="","",INDEX(DECKS!$C$2:$C$1201,$H338))</f>
        <v/>
      </c>
      <c r="E338" s="16" t="str">
        <f aca="false">IF($H338="","",INDEX(DECKS!$D$2:$D$1201,$H338))</f>
        <v/>
      </c>
      <c r="F338" s="16" t="str">
        <f aca="false">IF($H338="","",INDEX(DECKS!$E$2:$E$1201,$H338))</f>
        <v/>
      </c>
      <c r="G338" s="21" t="str">
        <f aca="false">IF($H338="","",INDEX(DECKS!$F$2:$F$1201,$H338))</f>
        <v/>
      </c>
      <c r="H338" s="11" t="str">
        <f aca="false">IFERROR(MATCH(ROW()-1,DECKS!$O$2:$O$1201,0),"")</f>
        <v/>
      </c>
      <c r="I338" s="11" t="str">
        <f aca="false">IF(C338="","",G338&amp;" "&amp;D338&amp;" ("&amp;C338&amp;")")</f>
        <v/>
      </c>
    </row>
    <row r="339" customFormat="false" ht="15" hidden="false" customHeight="false" outlineLevel="0" collapsed="false">
      <c r="A339" s="16"/>
      <c r="B339" s="11" t="str">
        <f aca="false">IF($H339="","",INDEX(DECKS!$A$2:$A$1201,$H339))</f>
        <v/>
      </c>
      <c r="C339" s="11" t="str">
        <f aca="false">IF($H339="","",INDEX(DECKS!$B$2:$B$1201,$H339))</f>
        <v/>
      </c>
      <c r="D339" s="11" t="str">
        <f aca="false">IF($H339="","",INDEX(DECKS!$C$2:$C$1201,$H339))</f>
        <v/>
      </c>
      <c r="E339" s="16" t="str">
        <f aca="false">IF($H339="","",INDEX(DECKS!$D$2:$D$1201,$H339))</f>
        <v/>
      </c>
      <c r="F339" s="16" t="str">
        <f aca="false">IF($H339="","",INDEX(DECKS!$E$2:$E$1201,$H339))</f>
        <v/>
      </c>
      <c r="G339" s="21" t="str">
        <f aca="false">IF($H339="","",INDEX(DECKS!$F$2:$F$1201,$H339))</f>
        <v/>
      </c>
      <c r="H339" s="11" t="str">
        <f aca="false">IFERROR(MATCH(ROW()-1,DECKS!$O$2:$O$1201,0),"")</f>
        <v/>
      </c>
      <c r="I339" s="11" t="str">
        <f aca="false">IF(C339="","",G339&amp;" "&amp;D339&amp;" ("&amp;C339&amp;")")</f>
        <v/>
      </c>
    </row>
    <row r="340" customFormat="false" ht="15" hidden="false" customHeight="false" outlineLevel="0" collapsed="false">
      <c r="A340" s="16"/>
      <c r="B340" s="11" t="str">
        <f aca="false">IF($H340="","",INDEX(DECKS!$A$2:$A$1201,$H340))</f>
        <v/>
      </c>
      <c r="C340" s="11" t="str">
        <f aca="false">IF($H340="","",INDEX(DECKS!$B$2:$B$1201,$H340))</f>
        <v/>
      </c>
      <c r="D340" s="11" t="str">
        <f aca="false">IF($H340="","",INDEX(DECKS!$C$2:$C$1201,$H340))</f>
        <v/>
      </c>
      <c r="E340" s="16" t="str">
        <f aca="false">IF($H340="","",INDEX(DECKS!$D$2:$D$1201,$H340))</f>
        <v/>
      </c>
      <c r="F340" s="16" t="str">
        <f aca="false">IF($H340="","",INDEX(DECKS!$E$2:$E$1201,$H340))</f>
        <v/>
      </c>
      <c r="G340" s="21" t="str">
        <f aca="false">IF($H340="","",INDEX(DECKS!$F$2:$F$1201,$H340))</f>
        <v/>
      </c>
      <c r="H340" s="11" t="str">
        <f aca="false">IFERROR(MATCH(ROW()-1,DECKS!$O$2:$O$1201,0),"")</f>
        <v/>
      </c>
      <c r="I340" s="11" t="str">
        <f aca="false">IF(C340="","",G340&amp;" "&amp;D340&amp;" ("&amp;C340&amp;")")</f>
        <v/>
      </c>
    </row>
    <row r="341" customFormat="false" ht="15" hidden="false" customHeight="false" outlineLevel="0" collapsed="false">
      <c r="A341" s="16"/>
      <c r="B341" s="11" t="str">
        <f aca="false">IF($H341="","",INDEX(DECKS!$A$2:$A$1201,$H341))</f>
        <v/>
      </c>
      <c r="C341" s="11" t="str">
        <f aca="false">IF($H341="","",INDEX(DECKS!$B$2:$B$1201,$H341))</f>
        <v/>
      </c>
      <c r="D341" s="11" t="str">
        <f aca="false">IF($H341="","",INDEX(DECKS!$C$2:$C$1201,$H341))</f>
        <v/>
      </c>
      <c r="E341" s="16" t="str">
        <f aca="false">IF($H341="","",INDEX(DECKS!$D$2:$D$1201,$H341))</f>
        <v/>
      </c>
      <c r="F341" s="16" t="str">
        <f aca="false">IF($H341="","",INDEX(DECKS!$E$2:$E$1201,$H341))</f>
        <v/>
      </c>
      <c r="G341" s="21" t="str">
        <f aca="false">IF($H341="","",INDEX(DECKS!$F$2:$F$1201,$H341))</f>
        <v/>
      </c>
      <c r="H341" s="11" t="str">
        <f aca="false">IFERROR(MATCH(ROW()-1,DECKS!$O$2:$O$1201,0),"")</f>
        <v/>
      </c>
      <c r="I341" s="11" t="str">
        <f aca="false">IF(C341="","",G341&amp;" "&amp;D341&amp;" ("&amp;C341&amp;")")</f>
        <v/>
      </c>
    </row>
    <row r="342" customFormat="false" ht="15" hidden="false" customHeight="false" outlineLevel="0" collapsed="false">
      <c r="A342" s="16"/>
      <c r="B342" s="11" t="str">
        <f aca="false">IF($H342="","",INDEX(DECKS!$A$2:$A$1201,$H342))</f>
        <v/>
      </c>
      <c r="C342" s="11" t="str">
        <f aca="false">IF($H342="","",INDEX(DECKS!$B$2:$B$1201,$H342))</f>
        <v/>
      </c>
      <c r="D342" s="11" t="str">
        <f aca="false">IF($H342="","",INDEX(DECKS!$C$2:$C$1201,$H342))</f>
        <v/>
      </c>
      <c r="E342" s="16" t="str">
        <f aca="false">IF($H342="","",INDEX(DECKS!$D$2:$D$1201,$H342))</f>
        <v/>
      </c>
      <c r="F342" s="16" t="str">
        <f aca="false">IF($H342="","",INDEX(DECKS!$E$2:$E$1201,$H342))</f>
        <v/>
      </c>
      <c r="G342" s="21" t="str">
        <f aca="false">IF($H342="","",INDEX(DECKS!$F$2:$F$1201,$H342))</f>
        <v/>
      </c>
      <c r="H342" s="11" t="str">
        <f aca="false">IFERROR(MATCH(ROW()-1,DECKS!$O$2:$O$1201,0),"")</f>
        <v/>
      </c>
      <c r="I342" s="11" t="str">
        <f aca="false">IF(C342="","",G342&amp;" "&amp;D342&amp;" ("&amp;C342&amp;")")</f>
        <v/>
      </c>
    </row>
    <row r="343" customFormat="false" ht="15" hidden="false" customHeight="false" outlineLevel="0" collapsed="false">
      <c r="A343" s="16"/>
      <c r="B343" s="11" t="str">
        <f aca="false">IF($H343="","",INDEX(DECKS!$A$2:$A$1201,$H343))</f>
        <v/>
      </c>
      <c r="C343" s="11" t="str">
        <f aca="false">IF($H343="","",INDEX(DECKS!$B$2:$B$1201,$H343))</f>
        <v/>
      </c>
      <c r="D343" s="11" t="str">
        <f aca="false">IF($H343="","",INDEX(DECKS!$C$2:$C$1201,$H343))</f>
        <v/>
      </c>
      <c r="E343" s="16" t="str">
        <f aca="false">IF($H343="","",INDEX(DECKS!$D$2:$D$1201,$H343))</f>
        <v/>
      </c>
      <c r="F343" s="16" t="str">
        <f aca="false">IF($H343="","",INDEX(DECKS!$E$2:$E$1201,$H343))</f>
        <v/>
      </c>
      <c r="G343" s="21" t="str">
        <f aca="false">IF($H343="","",INDEX(DECKS!$F$2:$F$1201,$H343))</f>
        <v/>
      </c>
      <c r="H343" s="11" t="str">
        <f aca="false">IFERROR(MATCH(ROW()-1,DECKS!$O$2:$O$1201,0),"")</f>
        <v/>
      </c>
      <c r="I343" s="11" t="str">
        <f aca="false">IF(C343="","",G343&amp;" "&amp;D343&amp;" ("&amp;C343&amp;")")</f>
        <v/>
      </c>
    </row>
    <row r="344" customFormat="false" ht="15" hidden="false" customHeight="false" outlineLevel="0" collapsed="false">
      <c r="A344" s="16"/>
      <c r="B344" s="11" t="str">
        <f aca="false">IF($H344="","",INDEX(DECKS!$A$2:$A$1201,$H344))</f>
        <v/>
      </c>
      <c r="C344" s="11" t="str">
        <f aca="false">IF($H344="","",INDEX(DECKS!$B$2:$B$1201,$H344))</f>
        <v/>
      </c>
      <c r="D344" s="11" t="str">
        <f aca="false">IF($H344="","",INDEX(DECKS!$C$2:$C$1201,$H344))</f>
        <v/>
      </c>
      <c r="E344" s="16" t="str">
        <f aca="false">IF($H344="","",INDEX(DECKS!$D$2:$D$1201,$H344))</f>
        <v/>
      </c>
      <c r="F344" s="16" t="str">
        <f aca="false">IF($H344="","",INDEX(DECKS!$E$2:$E$1201,$H344))</f>
        <v/>
      </c>
      <c r="G344" s="21" t="str">
        <f aca="false">IF($H344="","",INDEX(DECKS!$F$2:$F$1201,$H344))</f>
        <v/>
      </c>
      <c r="H344" s="11" t="str">
        <f aca="false">IFERROR(MATCH(ROW()-1,DECKS!$O$2:$O$1201,0),"")</f>
        <v/>
      </c>
      <c r="I344" s="11" t="str">
        <f aca="false">IF(C344="","",G344&amp;" "&amp;D344&amp;" ("&amp;C344&amp;")")</f>
        <v/>
      </c>
    </row>
    <row r="345" customFormat="false" ht="15" hidden="false" customHeight="false" outlineLevel="0" collapsed="false">
      <c r="A345" s="16"/>
      <c r="B345" s="11" t="str">
        <f aca="false">IF($H345="","",INDEX(DECKS!$A$2:$A$1201,$H345))</f>
        <v/>
      </c>
      <c r="C345" s="11" t="str">
        <f aca="false">IF($H345="","",INDEX(DECKS!$B$2:$B$1201,$H345))</f>
        <v/>
      </c>
      <c r="D345" s="11" t="str">
        <f aca="false">IF($H345="","",INDEX(DECKS!$C$2:$C$1201,$H345))</f>
        <v/>
      </c>
      <c r="E345" s="16" t="str">
        <f aca="false">IF($H345="","",INDEX(DECKS!$D$2:$D$1201,$H345))</f>
        <v/>
      </c>
      <c r="F345" s="16" t="str">
        <f aca="false">IF($H345="","",INDEX(DECKS!$E$2:$E$1201,$H345))</f>
        <v/>
      </c>
      <c r="G345" s="21" t="str">
        <f aca="false">IF($H345="","",INDEX(DECKS!$F$2:$F$1201,$H345))</f>
        <v/>
      </c>
      <c r="H345" s="11" t="str">
        <f aca="false">IFERROR(MATCH(ROW()-1,DECKS!$O$2:$O$1201,0),"")</f>
        <v/>
      </c>
      <c r="I345" s="11" t="str">
        <f aca="false">IF(C345="","",G345&amp;" "&amp;D345&amp;" ("&amp;C345&amp;")")</f>
        <v/>
      </c>
    </row>
    <row r="346" customFormat="false" ht="15" hidden="false" customHeight="false" outlineLevel="0" collapsed="false">
      <c r="A346" s="16"/>
      <c r="B346" s="11" t="str">
        <f aca="false">IF($H346="","",INDEX(DECKS!$A$2:$A$1201,$H346))</f>
        <v/>
      </c>
      <c r="C346" s="11" t="str">
        <f aca="false">IF($H346="","",INDEX(DECKS!$B$2:$B$1201,$H346))</f>
        <v/>
      </c>
      <c r="D346" s="11" t="str">
        <f aca="false">IF($H346="","",INDEX(DECKS!$C$2:$C$1201,$H346))</f>
        <v/>
      </c>
      <c r="E346" s="16" t="str">
        <f aca="false">IF($H346="","",INDEX(DECKS!$D$2:$D$1201,$H346))</f>
        <v/>
      </c>
      <c r="F346" s="16" t="str">
        <f aca="false">IF($H346="","",INDEX(DECKS!$E$2:$E$1201,$H346))</f>
        <v/>
      </c>
      <c r="G346" s="21" t="str">
        <f aca="false">IF($H346="","",INDEX(DECKS!$F$2:$F$1201,$H346))</f>
        <v/>
      </c>
      <c r="H346" s="11" t="str">
        <f aca="false">IFERROR(MATCH(ROW()-1,DECKS!$O$2:$O$1201,0),"")</f>
        <v/>
      </c>
      <c r="I346" s="11" t="str">
        <f aca="false">IF(C346="","",G346&amp;" "&amp;D346&amp;" ("&amp;C346&amp;")")</f>
        <v/>
      </c>
    </row>
    <row r="347" customFormat="false" ht="15" hidden="false" customHeight="false" outlineLevel="0" collapsed="false">
      <c r="A347" s="16"/>
      <c r="B347" s="11" t="str">
        <f aca="false">IF($H347="","",INDEX(DECKS!$A$2:$A$1201,$H347))</f>
        <v/>
      </c>
      <c r="C347" s="11" t="str">
        <f aca="false">IF($H347="","",INDEX(DECKS!$B$2:$B$1201,$H347))</f>
        <v/>
      </c>
      <c r="D347" s="11" t="str">
        <f aca="false">IF($H347="","",INDEX(DECKS!$C$2:$C$1201,$H347))</f>
        <v/>
      </c>
      <c r="E347" s="16" t="str">
        <f aca="false">IF($H347="","",INDEX(DECKS!$D$2:$D$1201,$H347))</f>
        <v/>
      </c>
      <c r="F347" s="16" t="str">
        <f aca="false">IF($H347="","",INDEX(DECKS!$E$2:$E$1201,$H347))</f>
        <v/>
      </c>
      <c r="G347" s="21" t="str">
        <f aca="false">IF($H347="","",INDEX(DECKS!$F$2:$F$1201,$H347))</f>
        <v/>
      </c>
      <c r="H347" s="11" t="str">
        <f aca="false">IFERROR(MATCH(ROW()-1,DECKS!$O$2:$O$1201,0),"")</f>
        <v/>
      </c>
      <c r="I347" s="11" t="str">
        <f aca="false">IF(C347="","",G347&amp;" "&amp;D347&amp;" ("&amp;C347&amp;")")</f>
        <v/>
      </c>
    </row>
    <row r="348" customFormat="false" ht="15" hidden="false" customHeight="false" outlineLevel="0" collapsed="false">
      <c r="A348" s="16"/>
      <c r="B348" s="11" t="str">
        <f aca="false">IF($H348="","",INDEX(DECKS!$A$2:$A$1201,$H348))</f>
        <v/>
      </c>
      <c r="C348" s="11" t="str">
        <f aca="false">IF($H348="","",INDEX(DECKS!$B$2:$B$1201,$H348))</f>
        <v/>
      </c>
      <c r="D348" s="11" t="str">
        <f aca="false">IF($H348="","",INDEX(DECKS!$C$2:$C$1201,$H348))</f>
        <v/>
      </c>
      <c r="E348" s="16" t="str">
        <f aca="false">IF($H348="","",INDEX(DECKS!$D$2:$D$1201,$H348))</f>
        <v/>
      </c>
      <c r="F348" s="16" t="str">
        <f aca="false">IF($H348="","",INDEX(DECKS!$E$2:$E$1201,$H348))</f>
        <v/>
      </c>
      <c r="G348" s="21" t="str">
        <f aca="false">IF($H348="","",INDEX(DECKS!$F$2:$F$1201,$H348))</f>
        <v/>
      </c>
      <c r="H348" s="11" t="str">
        <f aca="false">IFERROR(MATCH(ROW()-1,DECKS!$O$2:$O$1201,0),"")</f>
        <v/>
      </c>
      <c r="I348" s="11" t="str">
        <f aca="false">IF(C348="","",G348&amp;" "&amp;D348&amp;" ("&amp;C348&amp;")")</f>
        <v/>
      </c>
    </row>
    <row r="349" customFormat="false" ht="15" hidden="false" customHeight="false" outlineLevel="0" collapsed="false">
      <c r="A349" s="16"/>
      <c r="B349" s="11" t="str">
        <f aca="false">IF($H349="","",INDEX(DECKS!$A$2:$A$1201,$H349))</f>
        <v/>
      </c>
      <c r="C349" s="11" t="str">
        <f aca="false">IF($H349="","",INDEX(DECKS!$B$2:$B$1201,$H349))</f>
        <v/>
      </c>
      <c r="D349" s="11" t="str">
        <f aca="false">IF($H349="","",INDEX(DECKS!$C$2:$C$1201,$H349))</f>
        <v/>
      </c>
      <c r="E349" s="16" t="str">
        <f aca="false">IF($H349="","",INDEX(DECKS!$D$2:$D$1201,$H349))</f>
        <v/>
      </c>
      <c r="F349" s="16" t="str">
        <f aca="false">IF($H349="","",INDEX(DECKS!$E$2:$E$1201,$H349))</f>
        <v/>
      </c>
      <c r="G349" s="21" t="str">
        <f aca="false">IF($H349="","",INDEX(DECKS!$F$2:$F$1201,$H349))</f>
        <v/>
      </c>
      <c r="H349" s="11" t="str">
        <f aca="false">IFERROR(MATCH(ROW()-1,DECKS!$O$2:$O$1201,0),"")</f>
        <v/>
      </c>
      <c r="I349" s="11" t="str">
        <f aca="false">IF(C349="","",G349&amp;" "&amp;D349&amp;" ("&amp;C349&amp;")")</f>
        <v/>
      </c>
    </row>
    <row r="350" customFormat="false" ht="15" hidden="false" customHeight="false" outlineLevel="0" collapsed="false">
      <c r="A350" s="16"/>
      <c r="B350" s="11" t="str">
        <f aca="false">IF($H350="","",INDEX(DECKS!$A$2:$A$1201,$H350))</f>
        <v/>
      </c>
      <c r="C350" s="11" t="str">
        <f aca="false">IF($H350="","",INDEX(DECKS!$B$2:$B$1201,$H350))</f>
        <v/>
      </c>
      <c r="D350" s="11" t="str">
        <f aca="false">IF($H350="","",INDEX(DECKS!$C$2:$C$1201,$H350))</f>
        <v/>
      </c>
      <c r="E350" s="16" t="str">
        <f aca="false">IF($H350="","",INDEX(DECKS!$D$2:$D$1201,$H350))</f>
        <v/>
      </c>
      <c r="F350" s="16" t="str">
        <f aca="false">IF($H350="","",INDEX(DECKS!$E$2:$E$1201,$H350))</f>
        <v/>
      </c>
      <c r="G350" s="21" t="str">
        <f aca="false">IF($H350="","",INDEX(DECKS!$F$2:$F$1201,$H350))</f>
        <v/>
      </c>
      <c r="H350" s="11" t="str">
        <f aca="false">IFERROR(MATCH(ROW()-1,DECKS!$O$2:$O$1201,0),"")</f>
        <v/>
      </c>
      <c r="I350" s="11" t="str">
        <f aca="false">IF(C350="","",G350&amp;" "&amp;D350&amp;" ("&amp;C350&amp;")")</f>
        <v/>
      </c>
    </row>
    <row r="351" customFormat="false" ht="15" hidden="false" customHeight="false" outlineLevel="0" collapsed="false">
      <c r="A351" s="16"/>
      <c r="B351" s="11" t="str">
        <f aca="false">IF($H351="","",INDEX(DECKS!$A$2:$A$1201,$H351))</f>
        <v/>
      </c>
      <c r="C351" s="11" t="str">
        <f aca="false">IF($H351="","",INDEX(DECKS!$B$2:$B$1201,$H351))</f>
        <v/>
      </c>
      <c r="D351" s="11" t="str">
        <f aca="false">IF($H351="","",INDEX(DECKS!$C$2:$C$1201,$H351))</f>
        <v/>
      </c>
      <c r="E351" s="16" t="str">
        <f aca="false">IF($H351="","",INDEX(DECKS!$D$2:$D$1201,$H351))</f>
        <v/>
      </c>
      <c r="F351" s="16" t="str">
        <f aca="false">IF($H351="","",INDEX(DECKS!$E$2:$E$1201,$H351))</f>
        <v/>
      </c>
      <c r="G351" s="21" t="str">
        <f aca="false">IF($H351="","",INDEX(DECKS!$F$2:$F$1201,$H351))</f>
        <v/>
      </c>
      <c r="H351" s="11" t="str">
        <f aca="false">IFERROR(MATCH(ROW()-1,DECKS!$O$2:$O$1201,0),"")</f>
        <v/>
      </c>
      <c r="I351" s="11" t="str">
        <f aca="false">IF(C351="","",G351&amp;" "&amp;D351&amp;" ("&amp;C351&amp;")")</f>
        <v/>
      </c>
    </row>
    <row r="352" customFormat="false" ht="15" hidden="false" customHeight="false" outlineLevel="0" collapsed="false">
      <c r="A352" s="16"/>
      <c r="B352" s="11" t="str">
        <f aca="false">IF($H352="","",INDEX(DECKS!$A$2:$A$1201,$H352))</f>
        <v/>
      </c>
      <c r="C352" s="11" t="str">
        <f aca="false">IF($H352="","",INDEX(DECKS!$B$2:$B$1201,$H352))</f>
        <v/>
      </c>
      <c r="D352" s="11" t="str">
        <f aca="false">IF($H352="","",INDEX(DECKS!$C$2:$C$1201,$H352))</f>
        <v/>
      </c>
      <c r="E352" s="16" t="str">
        <f aca="false">IF($H352="","",INDEX(DECKS!$D$2:$D$1201,$H352))</f>
        <v/>
      </c>
      <c r="F352" s="16" t="str">
        <f aca="false">IF($H352="","",INDEX(DECKS!$E$2:$E$1201,$H352))</f>
        <v/>
      </c>
      <c r="G352" s="21" t="str">
        <f aca="false">IF($H352="","",INDEX(DECKS!$F$2:$F$1201,$H352))</f>
        <v/>
      </c>
      <c r="H352" s="11" t="str">
        <f aca="false">IFERROR(MATCH(ROW()-1,DECKS!$O$2:$O$1201,0),"")</f>
        <v/>
      </c>
      <c r="I352" s="11" t="str">
        <f aca="false">IF(C352="","",G352&amp;" "&amp;D352&amp;" ("&amp;C352&amp;")")</f>
        <v/>
      </c>
    </row>
    <row r="353" customFormat="false" ht="15" hidden="false" customHeight="false" outlineLevel="0" collapsed="false">
      <c r="A353" s="16"/>
      <c r="B353" s="11" t="str">
        <f aca="false">IF($H353="","",INDEX(DECKS!$A$2:$A$1201,$H353))</f>
        <v/>
      </c>
      <c r="C353" s="11" t="str">
        <f aca="false">IF($H353="","",INDEX(DECKS!$B$2:$B$1201,$H353))</f>
        <v/>
      </c>
      <c r="D353" s="11" t="str">
        <f aca="false">IF($H353="","",INDEX(DECKS!$C$2:$C$1201,$H353))</f>
        <v/>
      </c>
      <c r="E353" s="16" t="str">
        <f aca="false">IF($H353="","",INDEX(DECKS!$D$2:$D$1201,$H353))</f>
        <v/>
      </c>
      <c r="F353" s="16" t="str">
        <f aca="false">IF($H353="","",INDEX(DECKS!$E$2:$E$1201,$H353))</f>
        <v/>
      </c>
      <c r="G353" s="21" t="str">
        <f aca="false">IF($H353="","",INDEX(DECKS!$F$2:$F$1201,$H353))</f>
        <v/>
      </c>
      <c r="H353" s="11" t="str">
        <f aca="false">IFERROR(MATCH(ROW()-1,DECKS!$O$2:$O$1201,0),"")</f>
        <v/>
      </c>
      <c r="I353" s="11" t="str">
        <f aca="false">IF(C353="","",G353&amp;" "&amp;D353&amp;" ("&amp;C353&amp;")")</f>
        <v/>
      </c>
    </row>
    <row r="354" customFormat="false" ht="15" hidden="false" customHeight="false" outlineLevel="0" collapsed="false">
      <c r="A354" s="16"/>
      <c r="B354" s="11" t="str">
        <f aca="false">IF($H354="","",INDEX(DECKS!$A$2:$A$1201,$H354))</f>
        <v/>
      </c>
      <c r="C354" s="11" t="str">
        <f aca="false">IF($H354="","",INDEX(DECKS!$B$2:$B$1201,$H354))</f>
        <v/>
      </c>
      <c r="D354" s="11" t="str">
        <f aca="false">IF($H354="","",INDEX(DECKS!$C$2:$C$1201,$H354))</f>
        <v/>
      </c>
      <c r="E354" s="16" t="str">
        <f aca="false">IF($H354="","",INDEX(DECKS!$D$2:$D$1201,$H354))</f>
        <v/>
      </c>
      <c r="F354" s="16" t="str">
        <f aca="false">IF($H354="","",INDEX(DECKS!$E$2:$E$1201,$H354))</f>
        <v/>
      </c>
      <c r="G354" s="21" t="str">
        <f aca="false">IF($H354="","",INDEX(DECKS!$F$2:$F$1201,$H354))</f>
        <v/>
      </c>
      <c r="H354" s="11" t="str">
        <f aca="false">IFERROR(MATCH(ROW()-1,DECKS!$O$2:$O$1201,0),"")</f>
        <v/>
      </c>
      <c r="I354" s="11" t="str">
        <f aca="false">IF(C354="","",G354&amp;" "&amp;D354&amp;" ("&amp;C354&amp;")")</f>
        <v/>
      </c>
    </row>
    <row r="355" customFormat="false" ht="15" hidden="false" customHeight="false" outlineLevel="0" collapsed="false">
      <c r="A355" s="16"/>
      <c r="B355" s="11" t="str">
        <f aca="false">IF($H355="","",INDEX(DECKS!$A$2:$A$1201,$H355))</f>
        <v/>
      </c>
      <c r="C355" s="11" t="str">
        <f aca="false">IF($H355="","",INDEX(DECKS!$B$2:$B$1201,$H355))</f>
        <v/>
      </c>
      <c r="D355" s="11" t="str">
        <f aca="false">IF($H355="","",INDEX(DECKS!$C$2:$C$1201,$H355))</f>
        <v/>
      </c>
      <c r="E355" s="16" t="str">
        <f aca="false">IF($H355="","",INDEX(DECKS!$D$2:$D$1201,$H355))</f>
        <v/>
      </c>
      <c r="F355" s="16" t="str">
        <f aca="false">IF($H355="","",INDEX(DECKS!$E$2:$E$1201,$H355))</f>
        <v/>
      </c>
      <c r="G355" s="21" t="str">
        <f aca="false">IF($H355="","",INDEX(DECKS!$F$2:$F$1201,$H355))</f>
        <v/>
      </c>
      <c r="H355" s="11" t="str">
        <f aca="false">IFERROR(MATCH(ROW()-1,DECKS!$O$2:$O$1201,0),"")</f>
        <v/>
      </c>
      <c r="I355" s="11" t="str">
        <f aca="false">IF(C355="","",G355&amp;" "&amp;D355&amp;" ("&amp;C355&amp;")")</f>
        <v/>
      </c>
    </row>
    <row r="356" customFormat="false" ht="15" hidden="false" customHeight="false" outlineLevel="0" collapsed="false">
      <c r="A356" s="16"/>
      <c r="B356" s="11" t="str">
        <f aca="false">IF($H356="","",INDEX(DECKS!$A$2:$A$1201,$H356))</f>
        <v/>
      </c>
      <c r="C356" s="11" t="str">
        <f aca="false">IF($H356="","",INDEX(DECKS!$B$2:$B$1201,$H356))</f>
        <v/>
      </c>
      <c r="D356" s="11" t="str">
        <f aca="false">IF($H356="","",INDEX(DECKS!$C$2:$C$1201,$H356))</f>
        <v/>
      </c>
      <c r="E356" s="16" t="str">
        <f aca="false">IF($H356="","",INDEX(DECKS!$D$2:$D$1201,$H356))</f>
        <v/>
      </c>
      <c r="F356" s="16" t="str">
        <f aca="false">IF($H356="","",INDEX(DECKS!$E$2:$E$1201,$H356))</f>
        <v/>
      </c>
      <c r="G356" s="21" t="str">
        <f aca="false">IF($H356="","",INDEX(DECKS!$F$2:$F$1201,$H356))</f>
        <v/>
      </c>
      <c r="H356" s="11" t="str">
        <f aca="false">IFERROR(MATCH(ROW()-1,DECKS!$O$2:$O$1201,0),"")</f>
        <v/>
      </c>
      <c r="I356" s="11" t="str">
        <f aca="false">IF(C356="","",G356&amp;" "&amp;D356&amp;" ("&amp;C356&amp;")")</f>
        <v/>
      </c>
    </row>
    <row r="357" customFormat="false" ht="15" hidden="false" customHeight="false" outlineLevel="0" collapsed="false">
      <c r="A357" s="16"/>
      <c r="B357" s="11" t="str">
        <f aca="false">IF($H357="","",INDEX(DECKS!$A$2:$A$1201,$H357))</f>
        <v/>
      </c>
      <c r="C357" s="11" t="str">
        <f aca="false">IF($H357="","",INDEX(DECKS!$B$2:$B$1201,$H357))</f>
        <v/>
      </c>
      <c r="D357" s="11" t="str">
        <f aca="false">IF($H357="","",INDEX(DECKS!$C$2:$C$1201,$H357))</f>
        <v/>
      </c>
      <c r="E357" s="16" t="str">
        <f aca="false">IF($H357="","",INDEX(DECKS!$D$2:$D$1201,$H357))</f>
        <v/>
      </c>
      <c r="F357" s="16" t="str">
        <f aca="false">IF($H357="","",INDEX(DECKS!$E$2:$E$1201,$H357))</f>
        <v/>
      </c>
      <c r="G357" s="21" t="str">
        <f aca="false">IF($H357="","",INDEX(DECKS!$F$2:$F$1201,$H357))</f>
        <v/>
      </c>
      <c r="H357" s="11" t="str">
        <f aca="false">IFERROR(MATCH(ROW()-1,DECKS!$O$2:$O$1201,0),"")</f>
        <v/>
      </c>
      <c r="I357" s="11" t="str">
        <f aca="false">IF(C357="","",G357&amp;" "&amp;D357&amp;" ("&amp;C357&amp;")")</f>
        <v/>
      </c>
    </row>
    <row r="358" customFormat="false" ht="15" hidden="false" customHeight="false" outlineLevel="0" collapsed="false">
      <c r="A358" s="16"/>
      <c r="B358" s="11" t="str">
        <f aca="false">IF($H358="","",INDEX(DECKS!$A$2:$A$1201,$H358))</f>
        <v/>
      </c>
      <c r="C358" s="11" t="str">
        <f aca="false">IF($H358="","",INDEX(DECKS!$B$2:$B$1201,$H358))</f>
        <v/>
      </c>
      <c r="D358" s="11" t="str">
        <f aca="false">IF($H358="","",INDEX(DECKS!$C$2:$C$1201,$H358))</f>
        <v/>
      </c>
      <c r="E358" s="16" t="str">
        <f aca="false">IF($H358="","",INDEX(DECKS!$D$2:$D$1201,$H358))</f>
        <v/>
      </c>
      <c r="F358" s="16" t="str">
        <f aca="false">IF($H358="","",INDEX(DECKS!$E$2:$E$1201,$H358))</f>
        <v/>
      </c>
      <c r="G358" s="21" t="str">
        <f aca="false">IF($H358="","",INDEX(DECKS!$F$2:$F$1201,$H358))</f>
        <v/>
      </c>
      <c r="H358" s="11" t="str">
        <f aca="false">IFERROR(MATCH(ROW()-1,DECKS!$O$2:$O$1201,0),"")</f>
        <v/>
      </c>
      <c r="I358" s="11" t="str">
        <f aca="false">IF(C358="","",G358&amp;" "&amp;D358&amp;" ("&amp;C358&amp;")")</f>
        <v/>
      </c>
    </row>
    <row r="359" customFormat="false" ht="15" hidden="false" customHeight="false" outlineLevel="0" collapsed="false">
      <c r="A359" s="16"/>
      <c r="B359" s="11" t="str">
        <f aca="false">IF($H359="","",INDEX(DECKS!$A$2:$A$1201,$H359))</f>
        <v/>
      </c>
      <c r="C359" s="11" t="str">
        <f aca="false">IF($H359="","",INDEX(DECKS!$B$2:$B$1201,$H359))</f>
        <v/>
      </c>
      <c r="D359" s="11" t="str">
        <f aca="false">IF($H359="","",INDEX(DECKS!$C$2:$C$1201,$H359))</f>
        <v/>
      </c>
      <c r="E359" s="16" t="str">
        <f aca="false">IF($H359="","",INDEX(DECKS!$D$2:$D$1201,$H359))</f>
        <v/>
      </c>
      <c r="F359" s="16" t="str">
        <f aca="false">IF($H359="","",INDEX(DECKS!$E$2:$E$1201,$H359))</f>
        <v/>
      </c>
      <c r="G359" s="21" t="str">
        <f aca="false">IF($H359="","",INDEX(DECKS!$F$2:$F$1201,$H359))</f>
        <v/>
      </c>
      <c r="H359" s="11" t="str">
        <f aca="false">IFERROR(MATCH(ROW()-1,DECKS!$O$2:$O$1201,0),"")</f>
        <v/>
      </c>
      <c r="I359" s="11" t="str">
        <f aca="false">IF(C359="","",G359&amp;" "&amp;D359&amp;" ("&amp;C359&amp;")")</f>
        <v/>
      </c>
    </row>
    <row r="360" customFormat="false" ht="15" hidden="false" customHeight="false" outlineLevel="0" collapsed="false">
      <c r="A360" s="16"/>
      <c r="B360" s="11" t="str">
        <f aca="false">IF($H360="","",INDEX(DECKS!$A$2:$A$1201,$H360))</f>
        <v/>
      </c>
      <c r="C360" s="11" t="str">
        <f aca="false">IF($H360="","",INDEX(DECKS!$B$2:$B$1201,$H360))</f>
        <v/>
      </c>
      <c r="D360" s="11" t="str">
        <f aca="false">IF($H360="","",INDEX(DECKS!$C$2:$C$1201,$H360))</f>
        <v/>
      </c>
      <c r="E360" s="16" t="str">
        <f aca="false">IF($H360="","",INDEX(DECKS!$D$2:$D$1201,$H360))</f>
        <v/>
      </c>
      <c r="F360" s="16" t="str">
        <f aca="false">IF($H360="","",INDEX(DECKS!$E$2:$E$1201,$H360))</f>
        <v/>
      </c>
      <c r="G360" s="21" t="str">
        <f aca="false">IF($H360="","",INDEX(DECKS!$F$2:$F$1201,$H360))</f>
        <v/>
      </c>
      <c r="H360" s="11" t="str">
        <f aca="false">IFERROR(MATCH(ROW()-1,DECKS!$O$2:$O$1201,0),"")</f>
        <v/>
      </c>
      <c r="I360" s="11" t="str">
        <f aca="false">IF(C360="","",G360&amp;" "&amp;D360&amp;" ("&amp;C360&amp;")")</f>
        <v/>
      </c>
    </row>
    <row r="361" customFormat="false" ht="15" hidden="false" customHeight="false" outlineLevel="0" collapsed="false">
      <c r="A361" s="16"/>
      <c r="B361" s="11" t="str">
        <f aca="false">IF($H361="","",INDEX(DECKS!$A$2:$A$1201,$H361))</f>
        <v/>
      </c>
      <c r="C361" s="11" t="str">
        <f aca="false">IF($H361="","",INDEX(DECKS!$B$2:$B$1201,$H361))</f>
        <v/>
      </c>
      <c r="D361" s="11" t="str">
        <f aca="false">IF($H361="","",INDEX(DECKS!$C$2:$C$1201,$H361))</f>
        <v/>
      </c>
      <c r="E361" s="16" t="str">
        <f aca="false">IF($H361="","",INDEX(DECKS!$D$2:$D$1201,$H361))</f>
        <v/>
      </c>
      <c r="F361" s="16" t="str">
        <f aca="false">IF($H361="","",INDEX(DECKS!$E$2:$E$1201,$H361))</f>
        <v/>
      </c>
      <c r="G361" s="21" t="str">
        <f aca="false">IF($H361="","",INDEX(DECKS!$F$2:$F$1201,$H361))</f>
        <v/>
      </c>
      <c r="H361" s="11" t="str">
        <f aca="false">IFERROR(MATCH(ROW()-1,DECKS!$O$2:$O$1201,0),"")</f>
        <v/>
      </c>
      <c r="I361" s="11" t="str">
        <f aca="false">IF(C361="","",G361&amp;" "&amp;D361&amp;" ("&amp;C361&amp;")")</f>
        <v/>
      </c>
    </row>
    <row r="362" customFormat="false" ht="15" hidden="false" customHeight="false" outlineLevel="0" collapsed="false">
      <c r="A362" s="16"/>
      <c r="B362" s="11" t="str">
        <f aca="false">IF($H362="","",INDEX(DECKS!$A$2:$A$1201,$H362))</f>
        <v/>
      </c>
      <c r="C362" s="11" t="str">
        <f aca="false">IF($H362="","",INDEX(DECKS!$B$2:$B$1201,$H362))</f>
        <v/>
      </c>
      <c r="D362" s="11" t="str">
        <f aca="false">IF($H362="","",INDEX(DECKS!$C$2:$C$1201,$H362))</f>
        <v/>
      </c>
      <c r="E362" s="16" t="str">
        <f aca="false">IF($H362="","",INDEX(DECKS!$D$2:$D$1201,$H362))</f>
        <v/>
      </c>
      <c r="F362" s="16" t="str">
        <f aca="false">IF($H362="","",INDEX(DECKS!$E$2:$E$1201,$H362))</f>
        <v/>
      </c>
      <c r="G362" s="21" t="str">
        <f aca="false">IF($H362="","",INDEX(DECKS!$F$2:$F$1201,$H362))</f>
        <v/>
      </c>
      <c r="H362" s="11" t="str">
        <f aca="false">IFERROR(MATCH(ROW()-1,DECKS!$O$2:$O$1201,0),"")</f>
        <v/>
      </c>
      <c r="I362" s="11" t="str">
        <f aca="false">IF(C362="","",G362&amp;" "&amp;D362&amp;" ("&amp;C362&amp;")")</f>
        <v/>
      </c>
    </row>
    <row r="363" customFormat="false" ht="15" hidden="false" customHeight="false" outlineLevel="0" collapsed="false">
      <c r="A363" s="16"/>
      <c r="B363" s="11" t="str">
        <f aca="false">IF($H363="","",INDEX(DECKS!$A$2:$A$1201,$H363))</f>
        <v/>
      </c>
      <c r="C363" s="11" t="str">
        <f aca="false">IF($H363="","",INDEX(DECKS!$B$2:$B$1201,$H363))</f>
        <v/>
      </c>
      <c r="D363" s="11" t="str">
        <f aca="false">IF($H363="","",INDEX(DECKS!$C$2:$C$1201,$H363))</f>
        <v/>
      </c>
      <c r="E363" s="16" t="str">
        <f aca="false">IF($H363="","",INDEX(DECKS!$D$2:$D$1201,$H363))</f>
        <v/>
      </c>
      <c r="F363" s="16" t="str">
        <f aca="false">IF($H363="","",INDEX(DECKS!$E$2:$E$1201,$H363))</f>
        <v/>
      </c>
      <c r="G363" s="21" t="str">
        <f aca="false">IF($H363="","",INDEX(DECKS!$F$2:$F$1201,$H363))</f>
        <v/>
      </c>
      <c r="H363" s="11" t="str">
        <f aca="false">IFERROR(MATCH(ROW()-1,DECKS!$O$2:$O$1201,0),"")</f>
        <v/>
      </c>
      <c r="I363" s="11" t="str">
        <f aca="false">IF(C363="","",G363&amp;" "&amp;D363&amp;" ("&amp;C363&amp;")")</f>
        <v/>
      </c>
    </row>
    <row r="364" customFormat="false" ht="15" hidden="false" customHeight="false" outlineLevel="0" collapsed="false">
      <c r="A364" s="16"/>
      <c r="B364" s="11" t="str">
        <f aca="false">IF($H364="","",INDEX(DECKS!$A$2:$A$1201,$H364))</f>
        <v/>
      </c>
      <c r="C364" s="11" t="str">
        <f aca="false">IF($H364="","",INDEX(DECKS!$B$2:$B$1201,$H364))</f>
        <v/>
      </c>
      <c r="D364" s="11" t="str">
        <f aca="false">IF($H364="","",INDEX(DECKS!$C$2:$C$1201,$H364))</f>
        <v/>
      </c>
      <c r="E364" s="16" t="str">
        <f aca="false">IF($H364="","",INDEX(DECKS!$D$2:$D$1201,$H364))</f>
        <v/>
      </c>
      <c r="F364" s="16" t="str">
        <f aca="false">IF($H364="","",INDEX(DECKS!$E$2:$E$1201,$H364))</f>
        <v/>
      </c>
      <c r="G364" s="21" t="str">
        <f aca="false">IF($H364="","",INDEX(DECKS!$F$2:$F$1201,$H364))</f>
        <v/>
      </c>
      <c r="H364" s="11" t="str">
        <f aca="false">IFERROR(MATCH(ROW()-1,DECKS!$O$2:$O$1201,0),"")</f>
        <v/>
      </c>
      <c r="I364" s="11" t="str">
        <f aca="false">IF(C364="","",G364&amp;" "&amp;D364&amp;" ("&amp;C364&amp;")")</f>
        <v/>
      </c>
    </row>
    <row r="365" customFormat="false" ht="15" hidden="false" customHeight="false" outlineLevel="0" collapsed="false">
      <c r="A365" s="16"/>
      <c r="B365" s="11" t="str">
        <f aca="false">IF($H365="","",INDEX(DECKS!$A$2:$A$1201,$H365))</f>
        <v/>
      </c>
      <c r="C365" s="11" t="str">
        <f aca="false">IF($H365="","",INDEX(DECKS!$B$2:$B$1201,$H365))</f>
        <v/>
      </c>
      <c r="D365" s="11" t="str">
        <f aca="false">IF($H365="","",INDEX(DECKS!$C$2:$C$1201,$H365))</f>
        <v/>
      </c>
      <c r="E365" s="16" t="str">
        <f aca="false">IF($H365="","",INDEX(DECKS!$D$2:$D$1201,$H365))</f>
        <v/>
      </c>
      <c r="F365" s="16" t="str">
        <f aca="false">IF($H365="","",INDEX(DECKS!$E$2:$E$1201,$H365))</f>
        <v/>
      </c>
      <c r="G365" s="21" t="str">
        <f aca="false">IF($H365="","",INDEX(DECKS!$F$2:$F$1201,$H365))</f>
        <v/>
      </c>
      <c r="H365" s="11" t="str">
        <f aca="false">IFERROR(MATCH(ROW()-1,DECKS!$O$2:$O$1201,0),"")</f>
        <v/>
      </c>
      <c r="I365" s="11" t="str">
        <f aca="false">IF(C365="","",G365&amp;" "&amp;D365&amp;" ("&amp;C365&amp;")")</f>
        <v/>
      </c>
    </row>
    <row r="366" customFormat="false" ht="15" hidden="false" customHeight="false" outlineLevel="0" collapsed="false">
      <c r="A366" s="16"/>
      <c r="B366" s="11" t="str">
        <f aca="false">IF($H366="","",INDEX(DECKS!$A$2:$A$1201,$H366))</f>
        <v/>
      </c>
      <c r="C366" s="11" t="str">
        <f aca="false">IF($H366="","",INDEX(DECKS!$B$2:$B$1201,$H366))</f>
        <v/>
      </c>
      <c r="D366" s="11" t="str">
        <f aca="false">IF($H366="","",INDEX(DECKS!$C$2:$C$1201,$H366))</f>
        <v/>
      </c>
      <c r="E366" s="16" t="str">
        <f aca="false">IF($H366="","",INDEX(DECKS!$D$2:$D$1201,$H366))</f>
        <v/>
      </c>
      <c r="F366" s="16" t="str">
        <f aca="false">IF($H366="","",INDEX(DECKS!$E$2:$E$1201,$H366))</f>
        <v/>
      </c>
      <c r="G366" s="21" t="str">
        <f aca="false">IF($H366="","",INDEX(DECKS!$F$2:$F$1201,$H366))</f>
        <v/>
      </c>
      <c r="H366" s="11" t="str">
        <f aca="false">IFERROR(MATCH(ROW()-1,DECKS!$O$2:$O$1201,0),"")</f>
        <v/>
      </c>
      <c r="I366" s="11" t="str">
        <f aca="false">IF(C366="","",G366&amp;" "&amp;D366&amp;" ("&amp;C366&amp;")")</f>
        <v/>
      </c>
    </row>
    <row r="367" customFormat="false" ht="15" hidden="false" customHeight="false" outlineLevel="0" collapsed="false">
      <c r="A367" s="16"/>
      <c r="B367" s="11" t="str">
        <f aca="false">IF($H367="","",INDEX(DECKS!$A$2:$A$1201,$H367))</f>
        <v/>
      </c>
      <c r="C367" s="11" t="str">
        <f aca="false">IF($H367="","",INDEX(DECKS!$B$2:$B$1201,$H367))</f>
        <v/>
      </c>
      <c r="D367" s="11" t="str">
        <f aca="false">IF($H367="","",INDEX(DECKS!$C$2:$C$1201,$H367))</f>
        <v/>
      </c>
      <c r="E367" s="16" t="str">
        <f aca="false">IF($H367="","",INDEX(DECKS!$D$2:$D$1201,$H367))</f>
        <v/>
      </c>
      <c r="F367" s="16" t="str">
        <f aca="false">IF($H367="","",INDEX(DECKS!$E$2:$E$1201,$H367))</f>
        <v/>
      </c>
      <c r="G367" s="21" t="str">
        <f aca="false">IF($H367="","",INDEX(DECKS!$F$2:$F$1201,$H367))</f>
        <v/>
      </c>
      <c r="H367" s="11" t="str">
        <f aca="false">IFERROR(MATCH(ROW()-1,DECKS!$O$2:$O$1201,0),"")</f>
        <v/>
      </c>
      <c r="I367" s="11" t="str">
        <f aca="false">IF(C367="","",G367&amp;" "&amp;D367&amp;" ("&amp;C367&amp;")")</f>
        <v/>
      </c>
    </row>
    <row r="368" customFormat="false" ht="15" hidden="false" customHeight="false" outlineLevel="0" collapsed="false">
      <c r="A368" s="16"/>
      <c r="B368" s="11" t="str">
        <f aca="false">IF($H368="","",INDEX(DECKS!$A$2:$A$1201,$H368))</f>
        <v/>
      </c>
      <c r="C368" s="11" t="str">
        <f aca="false">IF($H368="","",INDEX(DECKS!$B$2:$B$1201,$H368))</f>
        <v/>
      </c>
      <c r="D368" s="11" t="str">
        <f aca="false">IF($H368="","",INDEX(DECKS!$C$2:$C$1201,$H368))</f>
        <v/>
      </c>
      <c r="E368" s="16" t="str">
        <f aca="false">IF($H368="","",INDEX(DECKS!$D$2:$D$1201,$H368))</f>
        <v/>
      </c>
      <c r="F368" s="16" t="str">
        <f aca="false">IF($H368="","",INDEX(DECKS!$E$2:$E$1201,$H368))</f>
        <v/>
      </c>
      <c r="G368" s="21" t="str">
        <f aca="false">IF($H368="","",INDEX(DECKS!$F$2:$F$1201,$H368))</f>
        <v/>
      </c>
      <c r="H368" s="11" t="str">
        <f aca="false">IFERROR(MATCH(ROW()-1,DECKS!$O$2:$O$1201,0),"")</f>
        <v/>
      </c>
      <c r="I368" s="11" t="str">
        <f aca="false">IF(C368="","",G368&amp;" "&amp;D368&amp;" ("&amp;C368&amp;")")</f>
        <v/>
      </c>
    </row>
    <row r="369" customFormat="false" ht="15" hidden="false" customHeight="false" outlineLevel="0" collapsed="false">
      <c r="A369" s="16"/>
      <c r="B369" s="11" t="str">
        <f aca="false">IF($H369="","",INDEX(DECKS!$A$2:$A$1201,$H369))</f>
        <v/>
      </c>
      <c r="C369" s="11" t="str">
        <f aca="false">IF($H369="","",INDEX(DECKS!$B$2:$B$1201,$H369))</f>
        <v/>
      </c>
      <c r="D369" s="11" t="str">
        <f aca="false">IF($H369="","",INDEX(DECKS!$C$2:$C$1201,$H369))</f>
        <v/>
      </c>
      <c r="E369" s="16" t="str">
        <f aca="false">IF($H369="","",INDEX(DECKS!$D$2:$D$1201,$H369))</f>
        <v/>
      </c>
      <c r="F369" s="16" t="str">
        <f aca="false">IF($H369="","",INDEX(DECKS!$E$2:$E$1201,$H369))</f>
        <v/>
      </c>
      <c r="G369" s="21" t="str">
        <f aca="false">IF($H369="","",INDEX(DECKS!$F$2:$F$1201,$H369))</f>
        <v/>
      </c>
      <c r="H369" s="11" t="str">
        <f aca="false">IFERROR(MATCH(ROW()-1,DECKS!$O$2:$O$1201,0),"")</f>
        <v/>
      </c>
      <c r="I369" s="11" t="str">
        <f aca="false">IF(C369="","",G369&amp;" "&amp;D369&amp;" ("&amp;C369&amp;")")</f>
        <v/>
      </c>
    </row>
    <row r="370" customFormat="false" ht="15" hidden="false" customHeight="false" outlineLevel="0" collapsed="false">
      <c r="A370" s="16"/>
      <c r="B370" s="11" t="str">
        <f aca="false">IF($H370="","",INDEX(DECKS!$A$2:$A$1201,$H370))</f>
        <v/>
      </c>
      <c r="C370" s="11" t="str">
        <f aca="false">IF($H370="","",INDEX(DECKS!$B$2:$B$1201,$H370))</f>
        <v/>
      </c>
      <c r="D370" s="11" t="str">
        <f aca="false">IF($H370="","",INDEX(DECKS!$C$2:$C$1201,$H370))</f>
        <v/>
      </c>
      <c r="E370" s="16" t="str">
        <f aca="false">IF($H370="","",INDEX(DECKS!$D$2:$D$1201,$H370))</f>
        <v/>
      </c>
      <c r="F370" s="16" t="str">
        <f aca="false">IF($H370="","",INDEX(DECKS!$E$2:$E$1201,$H370))</f>
        <v/>
      </c>
      <c r="G370" s="21" t="str">
        <f aca="false">IF($H370="","",INDEX(DECKS!$F$2:$F$1201,$H370))</f>
        <v/>
      </c>
      <c r="H370" s="11" t="str">
        <f aca="false">IFERROR(MATCH(ROW()-1,DECKS!$O$2:$O$1201,0),"")</f>
        <v/>
      </c>
      <c r="I370" s="11" t="str">
        <f aca="false">IF(C370="","",G370&amp;" "&amp;D370&amp;" ("&amp;C370&amp;")")</f>
        <v/>
      </c>
    </row>
    <row r="371" customFormat="false" ht="15" hidden="false" customHeight="false" outlineLevel="0" collapsed="false">
      <c r="A371" s="16"/>
      <c r="B371" s="11" t="str">
        <f aca="false">IF($H371="","",INDEX(DECKS!$A$2:$A$1201,$H371))</f>
        <v/>
      </c>
      <c r="C371" s="11" t="str">
        <f aca="false">IF($H371="","",INDEX(DECKS!$B$2:$B$1201,$H371))</f>
        <v/>
      </c>
      <c r="D371" s="11" t="str">
        <f aca="false">IF($H371="","",INDEX(DECKS!$C$2:$C$1201,$H371))</f>
        <v/>
      </c>
      <c r="E371" s="16" t="str">
        <f aca="false">IF($H371="","",INDEX(DECKS!$D$2:$D$1201,$H371))</f>
        <v/>
      </c>
      <c r="F371" s="16" t="str">
        <f aca="false">IF($H371="","",INDEX(DECKS!$E$2:$E$1201,$H371))</f>
        <v/>
      </c>
      <c r="G371" s="21" t="str">
        <f aca="false">IF($H371="","",INDEX(DECKS!$F$2:$F$1201,$H371))</f>
        <v/>
      </c>
      <c r="H371" s="11" t="str">
        <f aca="false">IFERROR(MATCH(ROW()-1,DECKS!$O$2:$O$1201,0),"")</f>
        <v/>
      </c>
      <c r="I371" s="11" t="str">
        <f aca="false">IF(C371="","",G371&amp;" "&amp;D371&amp;" ("&amp;C371&amp;")")</f>
        <v/>
      </c>
    </row>
    <row r="372" customFormat="false" ht="15" hidden="false" customHeight="false" outlineLevel="0" collapsed="false">
      <c r="A372" s="16"/>
      <c r="B372" s="11" t="str">
        <f aca="false">IF($H372="","",INDEX(DECKS!$A$2:$A$1201,$H372))</f>
        <v/>
      </c>
      <c r="C372" s="11" t="str">
        <f aca="false">IF($H372="","",INDEX(DECKS!$B$2:$B$1201,$H372))</f>
        <v/>
      </c>
      <c r="D372" s="11" t="str">
        <f aca="false">IF($H372="","",INDEX(DECKS!$C$2:$C$1201,$H372))</f>
        <v/>
      </c>
      <c r="E372" s="16" t="str">
        <f aca="false">IF($H372="","",INDEX(DECKS!$D$2:$D$1201,$H372))</f>
        <v/>
      </c>
      <c r="F372" s="16" t="str">
        <f aca="false">IF($H372="","",INDEX(DECKS!$E$2:$E$1201,$H372))</f>
        <v/>
      </c>
      <c r="G372" s="21" t="str">
        <f aca="false">IF($H372="","",INDEX(DECKS!$F$2:$F$1201,$H372))</f>
        <v/>
      </c>
      <c r="H372" s="11" t="str">
        <f aca="false">IFERROR(MATCH(ROW()-1,DECKS!$O$2:$O$1201,0),"")</f>
        <v/>
      </c>
      <c r="I372" s="11" t="str">
        <f aca="false">IF(C372="","",G372&amp;" "&amp;D372&amp;" ("&amp;C372&amp;")")</f>
        <v/>
      </c>
    </row>
    <row r="373" customFormat="false" ht="15" hidden="false" customHeight="false" outlineLevel="0" collapsed="false">
      <c r="A373" s="16"/>
      <c r="B373" s="11" t="str">
        <f aca="false">IF($H373="","",INDEX(DECKS!$A$2:$A$1201,$H373))</f>
        <v/>
      </c>
      <c r="C373" s="11" t="str">
        <f aca="false">IF($H373="","",INDEX(DECKS!$B$2:$B$1201,$H373))</f>
        <v/>
      </c>
      <c r="D373" s="11" t="str">
        <f aca="false">IF($H373="","",INDEX(DECKS!$C$2:$C$1201,$H373))</f>
        <v/>
      </c>
      <c r="E373" s="16" t="str">
        <f aca="false">IF($H373="","",INDEX(DECKS!$D$2:$D$1201,$H373))</f>
        <v/>
      </c>
      <c r="F373" s="16" t="str">
        <f aca="false">IF($H373="","",INDEX(DECKS!$E$2:$E$1201,$H373))</f>
        <v/>
      </c>
      <c r="G373" s="21" t="str">
        <f aca="false">IF($H373="","",INDEX(DECKS!$F$2:$F$1201,$H373))</f>
        <v/>
      </c>
      <c r="H373" s="11" t="str">
        <f aca="false">IFERROR(MATCH(ROW()-1,DECKS!$O$2:$O$1201,0),"")</f>
        <v/>
      </c>
      <c r="I373" s="11" t="str">
        <f aca="false">IF(C373="","",G373&amp;" "&amp;D373&amp;" ("&amp;C373&amp;")")</f>
        <v/>
      </c>
    </row>
    <row r="374" customFormat="false" ht="15" hidden="false" customHeight="false" outlineLevel="0" collapsed="false">
      <c r="A374" s="16"/>
      <c r="B374" s="11" t="str">
        <f aca="false">IF($H374="","",INDEX(DECKS!$A$2:$A$1201,$H374))</f>
        <v/>
      </c>
      <c r="C374" s="11" t="str">
        <f aca="false">IF($H374="","",INDEX(DECKS!$B$2:$B$1201,$H374))</f>
        <v/>
      </c>
      <c r="D374" s="11" t="str">
        <f aca="false">IF($H374="","",INDEX(DECKS!$C$2:$C$1201,$H374))</f>
        <v/>
      </c>
      <c r="E374" s="16" t="str">
        <f aca="false">IF($H374="","",INDEX(DECKS!$D$2:$D$1201,$H374))</f>
        <v/>
      </c>
      <c r="F374" s="16" t="str">
        <f aca="false">IF($H374="","",INDEX(DECKS!$E$2:$E$1201,$H374))</f>
        <v/>
      </c>
      <c r="G374" s="21" t="str">
        <f aca="false">IF($H374="","",INDEX(DECKS!$F$2:$F$1201,$H374))</f>
        <v/>
      </c>
      <c r="H374" s="11" t="str">
        <f aca="false">IFERROR(MATCH(ROW()-1,DECKS!$O$2:$O$1201,0),"")</f>
        <v/>
      </c>
      <c r="I374" s="11" t="str">
        <f aca="false">IF(C374="","",G374&amp;" "&amp;D374&amp;" ("&amp;C374&amp;")")</f>
        <v/>
      </c>
    </row>
    <row r="375" customFormat="false" ht="15" hidden="false" customHeight="false" outlineLevel="0" collapsed="false">
      <c r="A375" s="16"/>
      <c r="B375" s="11" t="str">
        <f aca="false">IF($H375="","",INDEX(DECKS!$A$2:$A$1201,$H375))</f>
        <v/>
      </c>
      <c r="C375" s="11" t="str">
        <f aca="false">IF($H375="","",INDEX(DECKS!$B$2:$B$1201,$H375))</f>
        <v/>
      </c>
      <c r="D375" s="11" t="str">
        <f aca="false">IF($H375="","",INDEX(DECKS!$C$2:$C$1201,$H375))</f>
        <v/>
      </c>
      <c r="E375" s="16" t="str">
        <f aca="false">IF($H375="","",INDEX(DECKS!$D$2:$D$1201,$H375))</f>
        <v/>
      </c>
      <c r="F375" s="16" t="str">
        <f aca="false">IF($H375="","",INDEX(DECKS!$E$2:$E$1201,$H375))</f>
        <v/>
      </c>
      <c r="G375" s="21" t="str">
        <f aca="false">IF($H375="","",INDEX(DECKS!$F$2:$F$1201,$H375))</f>
        <v/>
      </c>
      <c r="H375" s="11" t="str">
        <f aca="false">IFERROR(MATCH(ROW()-1,DECKS!$O$2:$O$1201,0),"")</f>
        <v/>
      </c>
      <c r="I375" s="11" t="str">
        <f aca="false">IF(C375="","",G375&amp;" "&amp;D375&amp;" ("&amp;C375&amp;")")</f>
        <v/>
      </c>
    </row>
    <row r="376" customFormat="false" ht="15" hidden="false" customHeight="false" outlineLevel="0" collapsed="false">
      <c r="A376" s="16"/>
      <c r="B376" s="11" t="str">
        <f aca="false">IF($H376="","",INDEX(DECKS!$A$2:$A$1201,$H376))</f>
        <v/>
      </c>
      <c r="C376" s="11" t="str">
        <f aca="false">IF($H376="","",INDEX(DECKS!$B$2:$B$1201,$H376))</f>
        <v/>
      </c>
      <c r="D376" s="11" t="str">
        <f aca="false">IF($H376="","",INDEX(DECKS!$C$2:$C$1201,$H376))</f>
        <v/>
      </c>
      <c r="E376" s="16" t="str">
        <f aca="false">IF($H376="","",INDEX(DECKS!$D$2:$D$1201,$H376))</f>
        <v/>
      </c>
      <c r="F376" s="16" t="str">
        <f aca="false">IF($H376="","",INDEX(DECKS!$E$2:$E$1201,$H376))</f>
        <v/>
      </c>
      <c r="G376" s="21" t="str">
        <f aca="false">IF($H376="","",INDEX(DECKS!$F$2:$F$1201,$H376))</f>
        <v/>
      </c>
      <c r="H376" s="11" t="str">
        <f aca="false">IFERROR(MATCH(ROW()-1,DECKS!$O$2:$O$1201,0),"")</f>
        <v/>
      </c>
      <c r="I376" s="11" t="str">
        <f aca="false">IF(C376="","",G376&amp;" "&amp;D376&amp;" ("&amp;C376&amp;")")</f>
        <v/>
      </c>
    </row>
    <row r="377" customFormat="false" ht="15" hidden="false" customHeight="false" outlineLevel="0" collapsed="false">
      <c r="A377" s="16"/>
      <c r="B377" s="11" t="str">
        <f aca="false">IF($H377="","",INDEX(DECKS!$A$2:$A$1201,$H377))</f>
        <v/>
      </c>
      <c r="C377" s="11" t="str">
        <f aca="false">IF($H377="","",INDEX(DECKS!$B$2:$B$1201,$H377))</f>
        <v/>
      </c>
      <c r="D377" s="11" t="str">
        <f aca="false">IF($H377="","",INDEX(DECKS!$C$2:$C$1201,$H377))</f>
        <v/>
      </c>
      <c r="E377" s="16" t="str">
        <f aca="false">IF($H377="","",INDEX(DECKS!$D$2:$D$1201,$H377))</f>
        <v/>
      </c>
      <c r="F377" s="16" t="str">
        <f aca="false">IF($H377="","",INDEX(DECKS!$E$2:$E$1201,$H377))</f>
        <v/>
      </c>
      <c r="G377" s="21" t="str">
        <f aca="false">IF($H377="","",INDEX(DECKS!$F$2:$F$1201,$H377))</f>
        <v/>
      </c>
      <c r="H377" s="11" t="str">
        <f aca="false">IFERROR(MATCH(ROW()-1,DECKS!$O$2:$O$1201,0),"")</f>
        <v/>
      </c>
      <c r="I377" s="11" t="str">
        <f aca="false">IF(C377="","",G377&amp;" "&amp;D377&amp;" ("&amp;C377&amp;")")</f>
        <v/>
      </c>
    </row>
    <row r="378" customFormat="false" ht="15" hidden="false" customHeight="false" outlineLevel="0" collapsed="false">
      <c r="A378" s="16"/>
      <c r="B378" s="11" t="str">
        <f aca="false">IF($H378="","",INDEX(DECKS!$A$2:$A$1201,$H378))</f>
        <v/>
      </c>
      <c r="C378" s="11" t="str">
        <f aca="false">IF($H378="","",INDEX(DECKS!$B$2:$B$1201,$H378))</f>
        <v/>
      </c>
      <c r="D378" s="11" t="str">
        <f aca="false">IF($H378="","",INDEX(DECKS!$C$2:$C$1201,$H378))</f>
        <v/>
      </c>
      <c r="E378" s="16" t="str">
        <f aca="false">IF($H378="","",INDEX(DECKS!$D$2:$D$1201,$H378))</f>
        <v/>
      </c>
      <c r="F378" s="16" t="str">
        <f aca="false">IF($H378="","",INDEX(DECKS!$E$2:$E$1201,$H378))</f>
        <v/>
      </c>
      <c r="G378" s="21" t="str">
        <f aca="false">IF($H378="","",INDEX(DECKS!$F$2:$F$1201,$H378))</f>
        <v/>
      </c>
      <c r="H378" s="11" t="str">
        <f aca="false">IFERROR(MATCH(ROW()-1,DECKS!$O$2:$O$1201,0),"")</f>
        <v/>
      </c>
      <c r="I378" s="11" t="str">
        <f aca="false">IF(C378="","",G378&amp;" "&amp;D378&amp;" ("&amp;C378&amp;")")</f>
        <v/>
      </c>
    </row>
    <row r="379" customFormat="false" ht="15" hidden="false" customHeight="false" outlineLevel="0" collapsed="false">
      <c r="A379" s="16"/>
      <c r="B379" s="11" t="str">
        <f aca="false">IF($H379="","",INDEX(DECKS!$A$2:$A$1201,$H379))</f>
        <v/>
      </c>
      <c r="C379" s="11" t="str">
        <f aca="false">IF($H379="","",INDEX(DECKS!$B$2:$B$1201,$H379))</f>
        <v/>
      </c>
      <c r="D379" s="11" t="str">
        <f aca="false">IF($H379="","",INDEX(DECKS!$C$2:$C$1201,$H379))</f>
        <v/>
      </c>
      <c r="E379" s="16" t="str">
        <f aca="false">IF($H379="","",INDEX(DECKS!$D$2:$D$1201,$H379))</f>
        <v/>
      </c>
      <c r="F379" s="16" t="str">
        <f aca="false">IF($H379="","",INDEX(DECKS!$E$2:$E$1201,$H379))</f>
        <v/>
      </c>
      <c r="G379" s="21" t="str">
        <f aca="false">IF($H379="","",INDEX(DECKS!$F$2:$F$1201,$H379))</f>
        <v/>
      </c>
      <c r="H379" s="11" t="str">
        <f aca="false">IFERROR(MATCH(ROW()-1,DECKS!$O$2:$O$1201,0),"")</f>
        <v/>
      </c>
      <c r="I379" s="11" t="str">
        <f aca="false">IF(C379="","",G379&amp;" "&amp;D379&amp;" ("&amp;C379&amp;")")</f>
        <v/>
      </c>
    </row>
    <row r="380" customFormat="false" ht="15" hidden="false" customHeight="false" outlineLevel="0" collapsed="false">
      <c r="A380" s="16"/>
      <c r="B380" s="11" t="str">
        <f aca="false">IF($H380="","",INDEX(DECKS!$A$2:$A$1201,$H380))</f>
        <v/>
      </c>
      <c r="C380" s="11" t="str">
        <f aca="false">IF($H380="","",INDEX(DECKS!$B$2:$B$1201,$H380))</f>
        <v/>
      </c>
      <c r="D380" s="11" t="str">
        <f aca="false">IF($H380="","",INDEX(DECKS!$C$2:$C$1201,$H380))</f>
        <v/>
      </c>
      <c r="E380" s="16" t="str">
        <f aca="false">IF($H380="","",INDEX(DECKS!$D$2:$D$1201,$H380))</f>
        <v/>
      </c>
      <c r="F380" s="16" t="str">
        <f aca="false">IF($H380="","",INDEX(DECKS!$E$2:$E$1201,$H380))</f>
        <v/>
      </c>
      <c r="G380" s="21" t="str">
        <f aca="false">IF($H380="","",INDEX(DECKS!$F$2:$F$1201,$H380))</f>
        <v/>
      </c>
      <c r="H380" s="11" t="str">
        <f aca="false">IFERROR(MATCH(ROW()-1,DECKS!$O$2:$O$1201,0),"")</f>
        <v/>
      </c>
      <c r="I380" s="11" t="str">
        <f aca="false">IF(C380="","",G380&amp;" "&amp;D380&amp;" ("&amp;C380&amp;")")</f>
        <v/>
      </c>
    </row>
    <row r="381" customFormat="false" ht="15" hidden="false" customHeight="false" outlineLevel="0" collapsed="false">
      <c r="A381" s="16"/>
      <c r="B381" s="11" t="str">
        <f aca="false">IF($H381="","",INDEX(DECKS!$A$2:$A$1201,$H381))</f>
        <v/>
      </c>
      <c r="C381" s="11" t="str">
        <f aca="false">IF($H381="","",INDEX(DECKS!$B$2:$B$1201,$H381))</f>
        <v/>
      </c>
      <c r="D381" s="11" t="str">
        <f aca="false">IF($H381="","",INDEX(DECKS!$C$2:$C$1201,$H381))</f>
        <v/>
      </c>
      <c r="E381" s="16" t="str">
        <f aca="false">IF($H381="","",INDEX(DECKS!$D$2:$D$1201,$H381))</f>
        <v/>
      </c>
      <c r="F381" s="16" t="str">
        <f aca="false">IF($H381="","",INDEX(DECKS!$E$2:$E$1201,$H381))</f>
        <v/>
      </c>
      <c r="G381" s="21" t="str">
        <f aca="false">IF($H381="","",INDEX(DECKS!$F$2:$F$1201,$H381))</f>
        <v/>
      </c>
      <c r="H381" s="11" t="str">
        <f aca="false">IFERROR(MATCH(ROW()-1,DECKS!$O$2:$O$1201,0),"")</f>
        <v/>
      </c>
      <c r="I381" s="11" t="str">
        <f aca="false">IF(C381="","",G381&amp;" "&amp;D381&amp;" ("&amp;C381&amp;")")</f>
        <v/>
      </c>
    </row>
    <row r="382" customFormat="false" ht="15" hidden="false" customHeight="false" outlineLevel="0" collapsed="false">
      <c r="A382" s="16"/>
      <c r="B382" s="11" t="str">
        <f aca="false">IF($H382="","",INDEX(DECKS!$A$2:$A$1201,$H382))</f>
        <v/>
      </c>
      <c r="C382" s="11" t="str">
        <f aca="false">IF($H382="","",INDEX(DECKS!$B$2:$B$1201,$H382))</f>
        <v/>
      </c>
      <c r="D382" s="11" t="str">
        <f aca="false">IF($H382="","",INDEX(DECKS!$C$2:$C$1201,$H382))</f>
        <v/>
      </c>
      <c r="E382" s="16" t="str">
        <f aca="false">IF($H382="","",INDEX(DECKS!$D$2:$D$1201,$H382))</f>
        <v/>
      </c>
      <c r="F382" s="16" t="str">
        <f aca="false">IF($H382="","",INDEX(DECKS!$E$2:$E$1201,$H382))</f>
        <v/>
      </c>
      <c r="G382" s="21" t="str">
        <f aca="false">IF($H382="","",INDEX(DECKS!$F$2:$F$1201,$H382))</f>
        <v/>
      </c>
      <c r="H382" s="11" t="str">
        <f aca="false">IFERROR(MATCH(ROW()-1,DECKS!$O$2:$O$1201,0),"")</f>
        <v/>
      </c>
      <c r="I382" s="11" t="str">
        <f aca="false">IF(C382="","",G382&amp;" "&amp;D382&amp;" ("&amp;C382&amp;")")</f>
        <v/>
      </c>
    </row>
    <row r="383" customFormat="false" ht="15" hidden="false" customHeight="false" outlineLevel="0" collapsed="false">
      <c r="A383" s="16"/>
      <c r="B383" s="11" t="str">
        <f aca="false">IF($H383="","",INDEX(DECKS!$A$2:$A$1201,$H383))</f>
        <v/>
      </c>
      <c r="C383" s="11" t="str">
        <f aca="false">IF($H383="","",INDEX(DECKS!$B$2:$B$1201,$H383))</f>
        <v/>
      </c>
      <c r="D383" s="11" t="str">
        <f aca="false">IF($H383="","",INDEX(DECKS!$C$2:$C$1201,$H383))</f>
        <v/>
      </c>
      <c r="E383" s="16" t="str">
        <f aca="false">IF($H383="","",INDEX(DECKS!$D$2:$D$1201,$H383))</f>
        <v/>
      </c>
      <c r="F383" s="16" t="str">
        <f aca="false">IF($H383="","",INDEX(DECKS!$E$2:$E$1201,$H383))</f>
        <v/>
      </c>
      <c r="G383" s="21" t="str">
        <f aca="false">IF($H383="","",INDEX(DECKS!$F$2:$F$1201,$H383))</f>
        <v/>
      </c>
      <c r="H383" s="11" t="str">
        <f aca="false">IFERROR(MATCH(ROW()-1,DECKS!$O$2:$O$1201,0),"")</f>
        <v/>
      </c>
      <c r="I383" s="11" t="str">
        <f aca="false">IF(C383="","",G383&amp;" "&amp;D383&amp;" ("&amp;C383&amp;")")</f>
        <v/>
      </c>
    </row>
    <row r="384" customFormat="false" ht="15" hidden="false" customHeight="false" outlineLevel="0" collapsed="false">
      <c r="A384" s="16"/>
      <c r="B384" s="11" t="str">
        <f aca="false">IF($H384="","",INDEX(DECKS!$A$2:$A$1201,$H384))</f>
        <v/>
      </c>
      <c r="C384" s="11" t="str">
        <f aca="false">IF($H384="","",INDEX(DECKS!$B$2:$B$1201,$H384))</f>
        <v/>
      </c>
      <c r="D384" s="11" t="str">
        <f aca="false">IF($H384="","",INDEX(DECKS!$C$2:$C$1201,$H384))</f>
        <v/>
      </c>
      <c r="E384" s="16" t="str">
        <f aca="false">IF($H384="","",INDEX(DECKS!$D$2:$D$1201,$H384))</f>
        <v/>
      </c>
      <c r="F384" s="16" t="str">
        <f aca="false">IF($H384="","",INDEX(DECKS!$E$2:$E$1201,$H384))</f>
        <v/>
      </c>
      <c r="G384" s="21" t="str">
        <f aca="false">IF($H384="","",INDEX(DECKS!$F$2:$F$1201,$H384))</f>
        <v/>
      </c>
      <c r="H384" s="11" t="str">
        <f aca="false">IFERROR(MATCH(ROW()-1,DECKS!$O$2:$O$1201,0),"")</f>
        <v/>
      </c>
      <c r="I384" s="11" t="str">
        <f aca="false">IF(C384="","",G384&amp;" "&amp;D384&amp;" ("&amp;C384&amp;")")</f>
        <v/>
      </c>
    </row>
    <row r="385" customFormat="false" ht="15" hidden="false" customHeight="false" outlineLevel="0" collapsed="false">
      <c r="A385" s="16"/>
      <c r="B385" s="11" t="str">
        <f aca="false">IF($H385="","",INDEX(DECKS!$A$2:$A$1201,$H385))</f>
        <v/>
      </c>
      <c r="C385" s="11" t="str">
        <f aca="false">IF($H385="","",INDEX(DECKS!$B$2:$B$1201,$H385))</f>
        <v/>
      </c>
      <c r="D385" s="11" t="str">
        <f aca="false">IF($H385="","",INDEX(DECKS!$C$2:$C$1201,$H385))</f>
        <v/>
      </c>
      <c r="E385" s="16" t="str">
        <f aca="false">IF($H385="","",INDEX(DECKS!$D$2:$D$1201,$H385))</f>
        <v/>
      </c>
      <c r="F385" s="16" t="str">
        <f aca="false">IF($H385="","",INDEX(DECKS!$E$2:$E$1201,$H385))</f>
        <v/>
      </c>
      <c r="G385" s="21" t="str">
        <f aca="false">IF($H385="","",INDEX(DECKS!$F$2:$F$1201,$H385))</f>
        <v/>
      </c>
      <c r="H385" s="11" t="str">
        <f aca="false">IFERROR(MATCH(ROW()-1,DECKS!$O$2:$O$1201,0),"")</f>
        <v/>
      </c>
      <c r="I385" s="11" t="str">
        <f aca="false">IF(C385="","",G385&amp;" "&amp;D385&amp;" ("&amp;C385&amp;")")</f>
        <v/>
      </c>
    </row>
    <row r="386" customFormat="false" ht="15" hidden="false" customHeight="false" outlineLevel="0" collapsed="false">
      <c r="A386" s="16"/>
      <c r="B386" s="11" t="str">
        <f aca="false">IF($H386="","",INDEX(DECKS!$A$2:$A$1201,$H386))</f>
        <v/>
      </c>
      <c r="C386" s="11" t="str">
        <f aca="false">IF($H386="","",INDEX(DECKS!$B$2:$B$1201,$H386))</f>
        <v/>
      </c>
      <c r="D386" s="11" t="str">
        <f aca="false">IF($H386="","",INDEX(DECKS!$C$2:$C$1201,$H386))</f>
        <v/>
      </c>
      <c r="E386" s="16" t="str">
        <f aca="false">IF($H386="","",INDEX(DECKS!$D$2:$D$1201,$H386))</f>
        <v/>
      </c>
      <c r="F386" s="16" t="str">
        <f aca="false">IF($H386="","",INDEX(DECKS!$E$2:$E$1201,$H386))</f>
        <v/>
      </c>
      <c r="G386" s="21" t="str">
        <f aca="false">IF($H386="","",INDEX(DECKS!$F$2:$F$1201,$H386))</f>
        <v/>
      </c>
      <c r="H386" s="11" t="str">
        <f aca="false">IFERROR(MATCH(ROW()-1,DECKS!$O$2:$O$1201,0),"")</f>
        <v/>
      </c>
      <c r="I386" s="11" t="str">
        <f aca="false">IF(C386="","",G386&amp;" "&amp;D386&amp;" ("&amp;C386&amp;")")</f>
        <v/>
      </c>
    </row>
    <row r="387" customFormat="false" ht="15" hidden="false" customHeight="false" outlineLevel="0" collapsed="false">
      <c r="A387" s="16"/>
      <c r="B387" s="11" t="str">
        <f aca="false">IF($H387="","",INDEX(DECKS!$A$2:$A$1201,$H387))</f>
        <v/>
      </c>
      <c r="C387" s="11" t="str">
        <f aca="false">IF($H387="","",INDEX(DECKS!$B$2:$B$1201,$H387))</f>
        <v/>
      </c>
      <c r="D387" s="11" t="str">
        <f aca="false">IF($H387="","",INDEX(DECKS!$C$2:$C$1201,$H387))</f>
        <v/>
      </c>
      <c r="E387" s="16" t="str">
        <f aca="false">IF($H387="","",INDEX(DECKS!$D$2:$D$1201,$H387))</f>
        <v/>
      </c>
      <c r="F387" s="16" t="str">
        <f aca="false">IF($H387="","",INDEX(DECKS!$E$2:$E$1201,$H387))</f>
        <v/>
      </c>
      <c r="G387" s="21" t="str">
        <f aca="false">IF($H387="","",INDEX(DECKS!$F$2:$F$1201,$H387))</f>
        <v/>
      </c>
      <c r="H387" s="11" t="str">
        <f aca="false">IFERROR(MATCH(ROW()-1,DECKS!$O$2:$O$1201,0),"")</f>
        <v/>
      </c>
      <c r="I387" s="11" t="str">
        <f aca="false">IF(C387="","",G387&amp;" "&amp;D387&amp;" ("&amp;C387&amp;")")</f>
        <v/>
      </c>
    </row>
    <row r="388" customFormat="false" ht="15" hidden="false" customHeight="false" outlineLevel="0" collapsed="false">
      <c r="A388" s="16"/>
      <c r="B388" s="11" t="str">
        <f aca="false">IF($H388="","",INDEX(DECKS!$A$2:$A$1201,$H388))</f>
        <v/>
      </c>
      <c r="C388" s="11" t="str">
        <f aca="false">IF($H388="","",INDEX(DECKS!$B$2:$B$1201,$H388))</f>
        <v/>
      </c>
      <c r="D388" s="11" t="str">
        <f aca="false">IF($H388="","",INDEX(DECKS!$C$2:$C$1201,$H388))</f>
        <v/>
      </c>
      <c r="E388" s="16" t="str">
        <f aca="false">IF($H388="","",INDEX(DECKS!$D$2:$D$1201,$H388))</f>
        <v/>
      </c>
      <c r="F388" s="16" t="str">
        <f aca="false">IF($H388="","",INDEX(DECKS!$E$2:$E$1201,$H388))</f>
        <v/>
      </c>
      <c r="G388" s="21" t="str">
        <f aca="false">IF($H388="","",INDEX(DECKS!$F$2:$F$1201,$H388))</f>
        <v/>
      </c>
      <c r="H388" s="11" t="str">
        <f aca="false">IFERROR(MATCH(ROW()-1,DECKS!$O$2:$O$1201,0),"")</f>
        <v/>
      </c>
      <c r="I388" s="11" t="str">
        <f aca="false">IF(C388="","",G388&amp;" "&amp;D388&amp;" ("&amp;C388&amp;")")</f>
        <v/>
      </c>
    </row>
    <row r="389" customFormat="false" ht="15" hidden="false" customHeight="false" outlineLevel="0" collapsed="false">
      <c r="A389" s="16"/>
      <c r="B389" s="11" t="str">
        <f aca="false">IF($H389="","",INDEX(DECKS!$A$2:$A$1201,$H389))</f>
        <v/>
      </c>
      <c r="C389" s="11" t="str">
        <f aca="false">IF($H389="","",INDEX(DECKS!$B$2:$B$1201,$H389))</f>
        <v/>
      </c>
      <c r="D389" s="11" t="str">
        <f aca="false">IF($H389="","",INDEX(DECKS!$C$2:$C$1201,$H389))</f>
        <v/>
      </c>
      <c r="E389" s="16" t="str">
        <f aca="false">IF($H389="","",INDEX(DECKS!$D$2:$D$1201,$H389))</f>
        <v/>
      </c>
      <c r="F389" s="16" t="str">
        <f aca="false">IF($H389="","",INDEX(DECKS!$E$2:$E$1201,$H389))</f>
        <v/>
      </c>
      <c r="G389" s="21" t="str">
        <f aca="false">IF($H389="","",INDEX(DECKS!$F$2:$F$1201,$H389))</f>
        <v/>
      </c>
      <c r="H389" s="11" t="str">
        <f aca="false">IFERROR(MATCH(ROW()-1,DECKS!$O$2:$O$1201,0),"")</f>
        <v/>
      </c>
      <c r="I389" s="11" t="str">
        <f aca="false">IF(C389="","",G389&amp;" "&amp;D389&amp;" ("&amp;C389&amp;")")</f>
        <v/>
      </c>
    </row>
    <row r="390" customFormat="false" ht="15" hidden="false" customHeight="false" outlineLevel="0" collapsed="false">
      <c r="A390" s="16"/>
      <c r="B390" s="11" t="str">
        <f aca="false">IF($H390="","",INDEX(DECKS!$A$2:$A$1201,$H390))</f>
        <v/>
      </c>
      <c r="C390" s="11" t="str">
        <f aca="false">IF($H390="","",INDEX(DECKS!$B$2:$B$1201,$H390))</f>
        <v/>
      </c>
      <c r="D390" s="11" t="str">
        <f aca="false">IF($H390="","",INDEX(DECKS!$C$2:$C$1201,$H390))</f>
        <v/>
      </c>
      <c r="E390" s="16" t="str">
        <f aca="false">IF($H390="","",INDEX(DECKS!$D$2:$D$1201,$H390))</f>
        <v/>
      </c>
      <c r="F390" s="16" t="str">
        <f aca="false">IF($H390="","",INDEX(DECKS!$E$2:$E$1201,$H390))</f>
        <v/>
      </c>
      <c r="G390" s="21" t="str">
        <f aca="false">IF($H390="","",INDEX(DECKS!$F$2:$F$1201,$H390))</f>
        <v/>
      </c>
      <c r="H390" s="11" t="str">
        <f aca="false">IFERROR(MATCH(ROW()-1,DECKS!$O$2:$O$1201,0),"")</f>
        <v/>
      </c>
      <c r="I390" s="11" t="str">
        <f aca="false">IF(C390="","",G390&amp;" "&amp;D390&amp;" ("&amp;C390&amp;")")</f>
        <v/>
      </c>
    </row>
    <row r="391" customFormat="false" ht="15" hidden="false" customHeight="false" outlineLevel="0" collapsed="false">
      <c r="A391" s="16"/>
      <c r="B391" s="11" t="str">
        <f aca="false">IF($H391="","",INDEX(DECKS!$A$2:$A$1201,$H391))</f>
        <v/>
      </c>
      <c r="C391" s="11" t="str">
        <f aca="false">IF($H391="","",INDEX(DECKS!$B$2:$B$1201,$H391))</f>
        <v/>
      </c>
      <c r="D391" s="11" t="str">
        <f aca="false">IF($H391="","",INDEX(DECKS!$C$2:$C$1201,$H391))</f>
        <v/>
      </c>
      <c r="E391" s="16" t="str">
        <f aca="false">IF($H391="","",INDEX(DECKS!$D$2:$D$1201,$H391))</f>
        <v/>
      </c>
      <c r="F391" s="16" t="str">
        <f aca="false">IF($H391="","",INDEX(DECKS!$E$2:$E$1201,$H391))</f>
        <v/>
      </c>
      <c r="G391" s="21" t="str">
        <f aca="false">IF($H391="","",INDEX(DECKS!$F$2:$F$1201,$H391))</f>
        <v/>
      </c>
      <c r="H391" s="11" t="str">
        <f aca="false">IFERROR(MATCH(ROW()-1,DECKS!$O$2:$O$1201,0),"")</f>
        <v/>
      </c>
      <c r="I391" s="11" t="str">
        <f aca="false">IF(C391="","",G391&amp;" "&amp;D391&amp;" ("&amp;C391&amp;")")</f>
        <v/>
      </c>
    </row>
    <row r="392" customFormat="false" ht="15" hidden="false" customHeight="false" outlineLevel="0" collapsed="false">
      <c r="A392" s="16"/>
      <c r="B392" s="11" t="str">
        <f aca="false">IF($H392="","",INDEX(DECKS!$A$2:$A$1201,$H392))</f>
        <v/>
      </c>
      <c r="C392" s="11" t="str">
        <f aca="false">IF($H392="","",INDEX(DECKS!$B$2:$B$1201,$H392))</f>
        <v/>
      </c>
      <c r="D392" s="11" t="str">
        <f aca="false">IF($H392="","",INDEX(DECKS!$C$2:$C$1201,$H392))</f>
        <v/>
      </c>
      <c r="E392" s="16" t="str">
        <f aca="false">IF($H392="","",INDEX(DECKS!$D$2:$D$1201,$H392))</f>
        <v/>
      </c>
      <c r="F392" s="16" t="str">
        <f aca="false">IF($H392="","",INDEX(DECKS!$E$2:$E$1201,$H392))</f>
        <v/>
      </c>
      <c r="G392" s="21" t="str">
        <f aca="false">IF($H392="","",INDEX(DECKS!$F$2:$F$1201,$H392))</f>
        <v/>
      </c>
      <c r="H392" s="11" t="str">
        <f aca="false">IFERROR(MATCH(ROW()-1,DECKS!$O$2:$O$1201,0),"")</f>
        <v/>
      </c>
      <c r="I392" s="11" t="str">
        <f aca="false">IF(C392="","",G392&amp;" "&amp;D392&amp;" ("&amp;C392&amp;")")</f>
        <v/>
      </c>
    </row>
    <row r="393" customFormat="false" ht="15" hidden="false" customHeight="false" outlineLevel="0" collapsed="false">
      <c r="A393" s="16"/>
      <c r="B393" s="11" t="str">
        <f aca="false">IF($H393="","",INDEX(DECKS!$A$2:$A$1201,$H393))</f>
        <v/>
      </c>
      <c r="C393" s="11" t="str">
        <f aca="false">IF($H393="","",INDEX(DECKS!$B$2:$B$1201,$H393))</f>
        <v/>
      </c>
      <c r="D393" s="11" t="str">
        <f aca="false">IF($H393="","",INDEX(DECKS!$C$2:$C$1201,$H393))</f>
        <v/>
      </c>
      <c r="E393" s="16" t="str">
        <f aca="false">IF($H393="","",INDEX(DECKS!$D$2:$D$1201,$H393))</f>
        <v/>
      </c>
      <c r="F393" s="16" t="str">
        <f aca="false">IF($H393="","",INDEX(DECKS!$E$2:$E$1201,$H393))</f>
        <v/>
      </c>
      <c r="G393" s="21" t="str">
        <f aca="false">IF($H393="","",INDEX(DECKS!$F$2:$F$1201,$H393))</f>
        <v/>
      </c>
      <c r="H393" s="11" t="str">
        <f aca="false">IFERROR(MATCH(ROW()-1,DECKS!$O$2:$O$1201,0),"")</f>
        <v/>
      </c>
      <c r="I393" s="11" t="str">
        <f aca="false">IF(C393="","",G393&amp;" "&amp;D393&amp;" ("&amp;C393&amp;")")</f>
        <v/>
      </c>
    </row>
    <row r="394" customFormat="false" ht="15" hidden="false" customHeight="false" outlineLevel="0" collapsed="false">
      <c r="A394" s="16"/>
      <c r="B394" s="11" t="str">
        <f aca="false">IF($H394="","",INDEX(DECKS!$A$2:$A$1201,$H394))</f>
        <v/>
      </c>
      <c r="C394" s="11" t="str">
        <f aca="false">IF($H394="","",INDEX(DECKS!$B$2:$B$1201,$H394))</f>
        <v/>
      </c>
      <c r="D394" s="11" t="str">
        <f aca="false">IF($H394="","",INDEX(DECKS!$C$2:$C$1201,$H394))</f>
        <v/>
      </c>
      <c r="E394" s="16" t="str">
        <f aca="false">IF($H394="","",INDEX(DECKS!$D$2:$D$1201,$H394))</f>
        <v/>
      </c>
      <c r="F394" s="16" t="str">
        <f aca="false">IF($H394="","",INDEX(DECKS!$E$2:$E$1201,$H394))</f>
        <v/>
      </c>
      <c r="G394" s="21" t="str">
        <f aca="false">IF($H394="","",INDEX(DECKS!$F$2:$F$1201,$H394))</f>
        <v/>
      </c>
      <c r="H394" s="11" t="str">
        <f aca="false">IFERROR(MATCH(ROW()-1,DECKS!$O$2:$O$1201,0),"")</f>
        <v/>
      </c>
      <c r="I394" s="11" t="str">
        <f aca="false">IF(C394="","",G394&amp;" "&amp;D394&amp;" ("&amp;C394&amp;")")</f>
        <v/>
      </c>
    </row>
    <row r="395" customFormat="false" ht="15" hidden="false" customHeight="false" outlineLevel="0" collapsed="false">
      <c r="A395" s="16"/>
      <c r="B395" s="11" t="str">
        <f aca="false">IF($H395="","",INDEX(DECKS!$A$2:$A$1201,$H395))</f>
        <v/>
      </c>
      <c r="C395" s="11" t="str">
        <f aca="false">IF($H395="","",INDEX(DECKS!$B$2:$B$1201,$H395))</f>
        <v/>
      </c>
      <c r="D395" s="11" t="str">
        <f aca="false">IF($H395="","",INDEX(DECKS!$C$2:$C$1201,$H395))</f>
        <v/>
      </c>
      <c r="E395" s="16" t="str">
        <f aca="false">IF($H395="","",INDEX(DECKS!$D$2:$D$1201,$H395))</f>
        <v/>
      </c>
      <c r="F395" s="16" t="str">
        <f aca="false">IF($H395="","",INDEX(DECKS!$E$2:$E$1201,$H395))</f>
        <v/>
      </c>
      <c r="G395" s="21" t="str">
        <f aca="false">IF($H395="","",INDEX(DECKS!$F$2:$F$1201,$H395))</f>
        <v/>
      </c>
      <c r="H395" s="11" t="str">
        <f aca="false">IFERROR(MATCH(ROW()-1,DECKS!$O$2:$O$1201,0),"")</f>
        <v/>
      </c>
      <c r="I395" s="11" t="str">
        <f aca="false">IF(C395="","",G395&amp;" "&amp;D395&amp;" ("&amp;C395&amp;")")</f>
        <v/>
      </c>
    </row>
    <row r="396" customFormat="false" ht="15" hidden="false" customHeight="false" outlineLevel="0" collapsed="false">
      <c r="A396" s="16"/>
      <c r="B396" s="11" t="str">
        <f aca="false">IF($H396="","",INDEX(DECKS!$A$2:$A$1201,$H396))</f>
        <v/>
      </c>
      <c r="C396" s="11" t="str">
        <f aca="false">IF($H396="","",INDEX(DECKS!$B$2:$B$1201,$H396))</f>
        <v/>
      </c>
      <c r="D396" s="11" t="str">
        <f aca="false">IF($H396="","",INDEX(DECKS!$C$2:$C$1201,$H396))</f>
        <v/>
      </c>
      <c r="E396" s="16" t="str">
        <f aca="false">IF($H396="","",INDEX(DECKS!$D$2:$D$1201,$H396))</f>
        <v/>
      </c>
      <c r="F396" s="16" t="str">
        <f aca="false">IF($H396="","",INDEX(DECKS!$E$2:$E$1201,$H396))</f>
        <v/>
      </c>
      <c r="G396" s="21" t="str">
        <f aca="false">IF($H396="","",INDEX(DECKS!$F$2:$F$1201,$H396))</f>
        <v/>
      </c>
      <c r="H396" s="11" t="str">
        <f aca="false">IFERROR(MATCH(ROW()-1,DECKS!$O$2:$O$1201,0),"")</f>
        <v/>
      </c>
      <c r="I396" s="11" t="str">
        <f aca="false">IF(C396="","",G396&amp;" "&amp;D396&amp;" ("&amp;C396&amp;")")</f>
        <v/>
      </c>
    </row>
    <row r="397" customFormat="false" ht="15" hidden="false" customHeight="false" outlineLevel="0" collapsed="false">
      <c r="A397" s="16"/>
      <c r="B397" s="11" t="str">
        <f aca="false">IF($H397="","",INDEX(DECKS!$A$2:$A$1201,$H397))</f>
        <v/>
      </c>
      <c r="C397" s="11" t="str">
        <f aca="false">IF($H397="","",INDEX(DECKS!$B$2:$B$1201,$H397))</f>
        <v/>
      </c>
      <c r="D397" s="11" t="str">
        <f aca="false">IF($H397="","",INDEX(DECKS!$C$2:$C$1201,$H397))</f>
        <v/>
      </c>
      <c r="E397" s="16" t="str">
        <f aca="false">IF($H397="","",INDEX(DECKS!$D$2:$D$1201,$H397))</f>
        <v/>
      </c>
      <c r="F397" s="16" t="str">
        <f aca="false">IF($H397="","",INDEX(DECKS!$E$2:$E$1201,$H397))</f>
        <v/>
      </c>
      <c r="G397" s="21" t="str">
        <f aca="false">IF($H397="","",INDEX(DECKS!$F$2:$F$1201,$H397))</f>
        <v/>
      </c>
      <c r="H397" s="11" t="str">
        <f aca="false">IFERROR(MATCH(ROW()-1,DECKS!$O$2:$O$1201,0),"")</f>
        <v/>
      </c>
      <c r="I397" s="11" t="str">
        <f aca="false">IF(C397="","",G397&amp;" "&amp;D397&amp;" ("&amp;C397&amp;")")</f>
        <v/>
      </c>
    </row>
    <row r="398" customFormat="false" ht="15" hidden="false" customHeight="false" outlineLevel="0" collapsed="false">
      <c r="A398" s="16"/>
      <c r="B398" s="11" t="str">
        <f aca="false">IF($H398="","",INDEX(DECKS!$A$2:$A$1201,$H398))</f>
        <v/>
      </c>
      <c r="C398" s="11" t="str">
        <f aca="false">IF($H398="","",INDEX(DECKS!$B$2:$B$1201,$H398))</f>
        <v/>
      </c>
      <c r="D398" s="11" t="str">
        <f aca="false">IF($H398="","",INDEX(DECKS!$C$2:$C$1201,$H398))</f>
        <v/>
      </c>
      <c r="E398" s="16" t="str">
        <f aca="false">IF($H398="","",INDEX(DECKS!$D$2:$D$1201,$H398))</f>
        <v/>
      </c>
      <c r="F398" s="16" t="str">
        <f aca="false">IF($H398="","",INDEX(DECKS!$E$2:$E$1201,$H398))</f>
        <v/>
      </c>
      <c r="G398" s="21" t="str">
        <f aca="false">IF($H398="","",INDEX(DECKS!$F$2:$F$1201,$H398))</f>
        <v/>
      </c>
      <c r="H398" s="11" t="str">
        <f aca="false">IFERROR(MATCH(ROW()-1,DECKS!$O$2:$O$1201,0),"")</f>
        <v/>
      </c>
      <c r="I398" s="11" t="str">
        <f aca="false">IF(C398="","",G398&amp;" "&amp;D398&amp;" ("&amp;C398&amp;")")</f>
        <v/>
      </c>
    </row>
    <row r="399" customFormat="false" ht="15" hidden="false" customHeight="false" outlineLevel="0" collapsed="false">
      <c r="A399" s="16"/>
      <c r="B399" s="11" t="str">
        <f aca="false">IF($H399="","",INDEX(DECKS!$A$2:$A$1201,$H399))</f>
        <v/>
      </c>
      <c r="C399" s="11" t="str">
        <f aca="false">IF($H399="","",INDEX(DECKS!$B$2:$B$1201,$H399))</f>
        <v/>
      </c>
      <c r="D399" s="11" t="str">
        <f aca="false">IF($H399="","",INDEX(DECKS!$C$2:$C$1201,$H399))</f>
        <v/>
      </c>
      <c r="E399" s="16" t="str">
        <f aca="false">IF($H399="","",INDEX(DECKS!$D$2:$D$1201,$H399))</f>
        <v/>
      </c>
      <c r="F399" s="16" t="str">
        <f aca="false">IF($H399="","",INDEX(DECKS!$E$2:$E$1201,$H399))</f>
        <v/>
      </c>
      <c r="G399" s="21" t="str">
        <f aca="false">IF($H399="","",INDEX(DECKS!$F$2:$F$1201,$H399))</f>
        <v/>
      </c>
      <c r="H399" s="11" t="str">
        <f aca="false">IFERROR(MATCH(ROW()-1,DECKS!$O$2:$O$1201,0),"")</f>
        <v/>
      </c>
      <c r="I399" s="11" t="str">
        <f aca="false">IF(C399="","",G399&amp;" "&amp;D399&amp;" ("&amp;C399&amp;")")</f>
        <v/>
      </c>
    </row>
    <row r="400" customFormat="false" ht="15" hidden="false" customHeight="false" outlineLevel="0" collapsed="false">
      <c r="A400" s="16"/>
      <c r="B400" s="11" t="str">
        <f aca="false">IF($H400="","",INDEX(DECKS!$A$2:$A$1201,$H400))</f>
        <v/>
      </c>
      <c r="C400" s="11" t="str">
        <f aca="false">IF($H400="","",INDEX(DECKS!$B$2:$B$1201,$H400))</f>
        <v/>
      </c>
      <c r="D400" s="11" t="str">
        <f aca="false">IF($H400="","",INDEX(DECKS!$C$2:$C$1201,$H400))</f>
        <v/>
      </c>
      <c r="E400" s="16" t="str">
        <f aca="false">IF($H400="","",INDEX(DECKS!$D$2:$D$1201,$H400))</f>
        <v/>
      </c>
      <c r="F400" s="16" t="str">
        <f aca="false">IF($H400="","",INDEX(DECKS!$E$2:$E$1201,$H400))</f>
        <v/>
      </c>
      <c r="G400" s="21" t="str">
        <f aca="false">IF($H400="","",INDEX(DECKS!$F$2:$F$1201,$H400))</f>
        <v/>
      </c>
      <c r="H400" s="11" t="str">
        <f aca="false">IFERROR(MATCH(ROW()-1,DECKS!$O$2:$O$1201,0),"")</f>
        <v/>
      </c>
      <c r="I400" s="11" t="str">
        <f aca="false">IF(C400="","",G400&amp;" "&amp;D400&amp;" ("&amp;C400&amp;")")</f>
        <v/>
      </c>
    </row>
    <row r="401" customFormat="false" ht="15" hidden="false" customHeight="false" outlineLevel="0" collapsed="false">
      <c r="A401" s="16"/>
      <c r="B401" s="11" t="str">
        <f aca="false">IF($H401="","",INDEX(DECKS!$A$2:$A$1201,$H401))</f>
        <v/>
      </c>
      <c r="C401" s="11" t="str">
        <f aca="false">IF($H401="","",INDEX(DECKS!$B$2:$B$1201,$H401))</f>
        <v/>
      </c>
      <c r="D401" s="11" t="str">
        <f aca="false">IF($H401="","",INDEX(DECKS!$C$2:$C$1201,$H401))</f>
        <v/>
      </c>
      <c r="E401" s="16" t="str">
        <f aca="false">IF($H401="","",INDEX(DECKS!$D$2:$D$1201,$H401))</f>
        <v/>
      </c>
      <c r="F401" s="16" t="str">
        <f aca="false">IF($H401="","",INDEX(DECKS!$E$2:$E$1201,$H401))</f>
        <v/>
      </c>
      <c r="G401" s="21" t="str">
        <f aca="false">IF($H401="","",INDEX(DECKS!$F$2:$F$1201,$H401))</f>
        <v/>
      </c>
      <c r="H401" s="11" t="str">
        <f aca="false">IFERROR(MATCH(ROW()-1,DECKS!$O$2:$O$1201,0),"")</f>
        <v/>
      </c>
      <c r="I401" s="11" t="str">
        <f aca="false">IF(C401="","",G401&amp;" "&amp;D401&amp;" ("&amp;C401&amp;")")</f>
        <v/>
      </c>
    </row>
    <row r="402" customFormat="false" ht="15" hidden="false" customHeight="false" outlineLevel="0" collapsed="false">
      <c r="A402" s="16"/>
      <c r="B402" s="11" t="str">
        <f aca="false">IF($H402="","",INDEX(DECKS!$A$2:$A$1201,$H402))</f>
        <v/>
      </c>
      <c r="C402" s="11" t="str">
        <f aca="false">IF($H402="","",INDEX(DECKS!$B$2:$B$1201,$H402))</f>
        <v/>
      </c>
      <c r="D402" s="11" t="str">
        <f aca="false">IF($H402="","",INDEX(DECKS!$C$2:$C$1201,$H402))</f>
        <v/>
      </c>
      <c r="E402" s="16" t="str">
        <f aca="false">IF($H402="","",INDEX(DECKS!$D$2:$D$1201,$H402))</f>
        <v/>
      </c>
      <c r="F402" s="16" t="str">
        <f aca="false">IF($H402="","",INDEX(DECKS!$E$2:$E$1201,$H402))</f>
        <v/>
      </c>
      <c r="G402" s="21" t="str">
        <f aca="false">IF($H402="","",INDEX(DECKS!$F$2:$F$1201,$H402))</f>
        <v/>
      </c>
      <c r="H402" s="11" t="str">
        <f aca="false">IFERROR(MATCH(ROW()-1,DECKS!$O$2:$O$1201,0),"")</f>
        <v/>
      </c>
      <c r="I402" s="11" t="str">
        <f aca="false">IF(C402="","",G402&amp;" "&amp;D402&amp;" ("&amp;C402&amp;")")</f>
        <v/>
      </c>
    </row>
    <row r="403" customFormat="false" ht="15" hidden="false" customHeight="false" outlineLevel="0" collapsed="false">
      <c r="A403" s="16"/>
      <c r="B403" s="11" t="str">
        <f aca="false">IF($H403="","",INDEX(DECKS!$A$2:$A$1201,$H403))</f>
        <v/>
      </c>
      <c r="C403" s="11" t="str">
        <f aca="false">IF($H403="","",INDEX(DECKS!$B$2:$B$1201,$H403))</f>
        <v/>
      </c>
      <c r="D403" s="11" t="str">
        <f aca="false">IF($H403="","",INDEX(DECKS!$C$2:$C$1201,$H403))</f>
        <v/>
      </c>
      <c r="E403" s="16" t="str">
        <f aca="false">IF($H403="","",INDEX(DECKS!$D$2:$D$1201,$H403))</f>
        <v/>
      </c>
      <c r="F403" s="16" t="str">
        <f aca="false">IF($H403="","",INDEX(DECKS!$E$2:$E$1201,$H403))</f>
        <v/>
      </c>
      <c r="G403" s="21" t="str">
        <f aca="false">IF($H403="","",INDEX(DECKS!$F$2:$F$1201,$H403))</f>
        <v/>
      </c>
      <c r="H403" s="11" t="str">
        <f aca="false">IFERROR(MATCH(ROW()-1,DECKS!$O$2:$O$1201,0),"")</f>
        <v/>
      </c>
      <c r="I403" s="11" t="str">
        <f aca="false">IF(C403="","",G403&amp;" "&amp;D403&amp;" ("&amp;C403&amp;")")</f>
        <v/>
      </c>
    </row>
    <row r="404" customFormat="false" ht="15" hidden="false" customHeight="false" outlineLevel="0" collapsed="false">
      <c r="A404" s="16"/>
      <c r="B404" s="11" t="str">
        <f aca="false">IF($H404="","",INDEX(DECKS!$A$2:$A$1201,$H404))</f>
        <v/>
      </c>
      <c r="C404" s="11" t="str">
        <f aca="false">IF($H404="","",INDEX(DECKS!$B$2:$B$1201,$H404))</f>
        <v/>
      </c>
      <c r="D404" s="11" t="str">
        <f aca="false">IF($H404="","",INDEX(DECKS!$C$2:$C$1201,$H404))</f>
        <v/>
      </c>
      <c r="E404" s="16" t="str">
        <f aca="false">IF($H404="","",INDEX(DECKS!$D$2:$D$1201,$H404))</f>
        <v/>
      </c>
      <c r="F404" s="16" t="str">
        <f aca="false">IF($H404="","",INDEX(DECKS!$E$2:$E$1201,$H404))</f>
        <v/>
      </c>
      <c r="G404" s="21" t="str">
        <f aca="false">IF($H404="","",INDEX(DECKS!$F$2:$F$1201,$H404))</f>
        <v/>
      </c>
      <c r="H404" s="11" t="str">
        <f aca="false">IFERROR(MATCH(ROW()-1,DECKS!$O$2:$O$1201,0),"")</f>
        <v/>
      </c>
      <c r="I404" s="11" t="str">
        <f aca="false">IF(C404="","",G404&amp;" "&amp;D404&amp;" ("&amp;C404&amp;")")</f>
        <v/>
      </c>
    </row>
    <row r="405" customFormat="false" ht="15" hidden="false" customHeight="false" outlineLevel="0" collapsed="false">
      <c r="A405" s="16"/>
      <c r="B405" s="11" t="str">
        <f aca="false">IF($H405="","",INDEX(DECKS!$A$2:$A$1201,$H405))</f>
        <v/>
      </c>
      <c r="C405" s="11" t="str">
        <f aca="false">IF($H405="","",INDEX(DECKS!$B$2:$B$1201,$H405))</f>
        <v/>
      </c>
      <c r="D405" s="11" t="str">
        <f aca="false">IF($H405="","",INDEX(DECKS!$C$2:$C$1201,$H405))</f>
        <v/>
      </c>
      <c r="E405" s="16" t="str">
        <f aca="false">IF($H405="","",INDEX(DECKS!$D$2:$D$1201,$H405))</f>
        <v/>
      </c>
      <c r="F405" s="16" t="str">
        <f aca="false">IF($H405="","",INDEX(DECKS!$E$2:$E$1201,$H405))</f>
        <v/>
      </c>
      <c r="G405" s="21" t="str">
        <f aca="false">IF($H405="","",INDEX(DECKS!$F$2:$F$1201,$H405))</f>
        <v/>
      </c>
      <c r="H405" s="11" t="str">
        <f aca="false">IFERROR(MATCH(ROW()-1,DECKS!$O$2:$O$1201,0),"")</f>
        <v/>
      </c>
      <c r="I405" s="11" t="str">
        <f aca="false">IF(C405="","",G405&amp;" "&amp;D405&amp;" ("&amp;C405&amp;")")</f>
        <v/>
      </c>
    </row>
    <row r="406" customFormat="false" ht="15" hidden="false" customHeight="false" outlineLevel="0" collapsed="false">
      <c r="A406" s="16"/>
      <c r="B406" s="11" t="str">
        <f aca="false">IF($H406="","",INDEX(DECKS!$A$2:$A$1201,$H406))</f>
        <v/>
      </c>
      <c r="C406" s="11" t="str">
        <f aca="false">IF($H406="","",INDEX(DECKS!$B$2:$B$1201,$H406))</f>
        <v/>
      </c>
      <c r="D406" s="11" t="str">
        <f aca="false">IF($H406="","",INDEX(DECKS!$C$2:$C$1201,$H406))</f>
        <v/>
      </c>
      <c r="E406" s="16" t="str">
        <f aca="false">IF($H406="","",INDEX(DECKS!$D$2:$D$1201,$H406))</f>
        <v/>
      </c>
      <c r="F406" s="16" t="str">
        <f aca="false">IF($H406="","",INDEX(DECKS!$E$2:$E$1201,$H406))</f>
        <v/>
      </c>
      <c r="G406" s="21" t="str">
        <f aca="false">IF($H406="","",INDEX(DECKS!$F$2:$F$1201,$H406))</f>
        <v/>
      </c>
      <c r="H406" s="11" t="str">
        <f aca="false">IFERROR(MATCH(ROW()-1,DECKS!$O$2:$O$1201,0),"")</f>
        <v/>
      </c>
      <c r="I406" s="11" t="str">
        <f aca="false">IF(C406="","",G406&amp;" "&amp;D406&amp;" ("&amp;C406&amp;")")</f>
        <v/>
      </c>
    </row>
    <row r="407" customFormat="false" ht="15" hidden="false" customHeight="false" outlineLevel="0" collapsed="false">
      <c r="A407" s="16"/>
      <c r="B407" s="11" t="str">
        <f aca="false">IF($H407="","",INDEX(DECKS!$A$2:$A$1201,$H407))</f>
        <v/>
      </c>
      <c r="C407" s="11" t="str">
        <f aca="false">IF($H407="","",INDEX(DECKS!$B$2:$B$1201,$H407))</f>
        <v/>
      </c>
      <c r="D407" s="11" t="str">
        <f aca="false">IF($H407="","",INDEX(DECKS!$C$2:$C$1201,$H407))</f>
        <v/>
      </c>
      <c r="E407" s="16" t="str">
        <f aca="false">IF($H407="","",INDEX(DECKS!$D$2:$D$1201,$H407))</f>
        <v/>
      </c>
      <c r="F407" s="16" t="str">
        <f aca="false">IF($H407="","",INDEX(DECKS!$E$2:$E$1201,$H407))</f>
        <v/>
      </c>
      <c r="G407" s="21" t="str">
        <f aca="false">IF($H407="","",INDEX(DECKS!$F$2:$F$1201,$H407))</f>
        <v/>
      </c>
      <c r="H407" s="11" t="str">
        <f aca="false">IFERROR(MATCH(ROW()-1,DECKS!$O$2:$O$1201,0),"")</f>
        <v/>
      </c>
      <c r="I407" s="11" t="str">
        <f aca="false">IF(C407="","",G407&amp;" "&amp;D407&amp;" ("&amp;C407&amp;")")</f>
        <v/>
      </c>
    </row>
    <row r="408" customFormat="false" ht="15" hidden="false" customHeight="false" outlineLevel="0" collapsed="false">
      <c r="A408" s="16"/>
      <c r="B408" s="11" t="str">
        <f aca="false">IF($H408="","",INDEX(DECKS!$A$2:$A$1201,$H408))</f>
        <v/>
      </c>
      <c r="C408" s="11" t="str">
        <f aca="false">IF($H408="","",INDEX(DECKS!$B$2:$B$1201,$H408))</f>
        <v/>
      </c>
      <c r="D408" s="11" t="str">
        <f aca="false">IF($H408="","",INDEX(DECKS!$C$2:$C$1201,$H408))</f>
        <v/>
      </c>
      <c r="E408" s="16" t="str">
        <f aca="false">IF($H408="","",INDEX(DECKS!$D$2:$D$1201,$H408))</f>
        <v/>
      </c>
      <c r="F408" s="16" t="str">
        <f aca="false">IF($H408="","",INDEX(DECKS!$E$2:$E$1201,$H408))</f>
        <v/>
      </c>
      <c r="G408" s="21" t="str">
        <f aca="false">IF($H408="","",INDEX(DECKS!$F$2:$F$1201,$H408))</f>
        <v/>
      </c>
      <c r="H408" s="11" t="str">
        <f aca="false">IFERROR(MATCH(ROW()-1,DECKS!$O$2:$O$1201,0),"")</f>
        <v/>
      </c>
      <c r="I408" s="11" t="str">
        <f aca="false">IF(C408="","",G408&amp;" "&amp;D408&amp;" ("&amp;C408&amp;")")</f>
        <v/>
      </c>
    </row>
    <row r="409" customFormat="false" ht="15" hidden="false" customHeight="false" outlineLevel="0" collapsed="false">
      <c r="A409" s="16"/>
      <c r="B409" s="11" t="str">
        <f aca="false">IF($H409="","",INDEX(DECKS!$A$2:$A$1201,$H409))</f>
        <v/>
      </c>
      <c r="C409" s="11" t="str">
        <f aca="false">IF($H409="","",INDEX(DECKS!$B$2:$B$1201,$H409))</f>
        <v/>
      </c>
      <c r="D409" s="11" t="str">
        <f aca="false">IF($H409="","",INDEX(DECKS!$C$2:$C$1201,$H409))</f>
        <v/>
      </c>
      <c r="E409" s="16" t="str">
        <f aca="false">IF($H409="","",INDEX(DECKS!$D$2:$D$1201,$H409))</f>
        <v/>
      </c>
      <c r="F409" s="16" t="str">
        <f aca="false">IF($H409="","",INDEX(DECKS!$E$2:$E$1201,$H409))</f>
        <v/>
      </c>
      <c r="G409" s="21" t="str">
        <f aca="false">IF($H409="","",INDEX(DECKS!$F$2:$F$1201,$H409))</f>
        <v/>
      </c>
      <c r="H409" s="11" t="str">
        <f aca="false">IFERROR(MATCH(ROW()-1,DECKS!$O$2:$O$1201,0),"")</f>
        <v/>
      </c>
      <c r="I409" s="11" t="str">
        <f aca="false">IF(C409="","",G409&amp;" "&amp;D409&amp;" ("&amp;C409&amp;")")</f>
        <v/>
      </c>
    </row>
    <row r="410" customFormat="false" ht="15" hidden="false" customHeight="false" outlineLevel="0" collapsed="false">
      <c r="A410" s="16"/>
      <c r="B410" s="11" t="str">
        <f aca="false">IF($H410="","",INDEX(DECKS!$A$2:$A$1201,$H410))</f>
        <v/>
      </c>
      <c r="C410" s="11" t="str">
        <f aca="false">IF($H410="","",INDEX(DECKS!$B$2:$B$1201,$H410))</f>
        <v/>
      </c>
      <c r="D410" s="11" t="str">
        <f aca="false">IF($H410="","",INDEX(DECKS!$C$2:$C$1201,$H410))</f>
        <v/>
      </c>
      <c r="E410" s="16" t="str">
        <f aca="false">IF($H410="","",INDEX(DECKS!$D$2:$D$1201,$H410))</f>
        <v/>
      </c>
      <c r="F410" s="16" t="str">
        <f aca="false">IF($H410="","",INDEX(DECKS!$E$2:$E$1201,$H410))</f>
        <v/>
      </c>
      <c r="G410" s="21" t="str">
        <f aca="false">IF($H410="","",INDEX(DECKS!$F$2:$F$1201,$H410))</f>
        <v/>
      </c>
      <c r="H410" s="11" t="str">
        <f aca="false">IFERROR(MATCH(ROW()-1,DECKS!$O$2:$O$1201,0),"")</f>
        <v/>
      </c>
      <c r="I410" s="11" t="str">
        <f aca="false">IF(C410="","",G410&amp;" "&amp;D410&amp;" ("&amp;C410&amp;")")</f>
        <v/>
      </c>
    </row>
    <row r="411" customFormat="false" ht="15" hidden="false" customHeight="false" outlineLevel="0" collapsed="false">
      <c r="A411" s="16"/>
      <c r="B411" s="11" t="str">
        <f aca="false">IF($H411="","",INDEX(DECKS!$A$2:$A$1201,$H411))</f>
        <v/>
      </c>
      <c r="C411" s="11" t="str">
        <f aca="false">IF($H411="","",INDEX(DECKS!$B$2:$B$1201,$H411))</f>
        <v/>
      </c>
      <c r="D411" s="11" t="str">
        <f aca="false">IF($H411="","",INDEX(DECKS!$C$2:$C$1201,$H411))</f>
        <v/>
      </c>
      <c r="E411" s="16" t="str">
        <f aca="false">IF($H411="","",INDEX(DECKS!$D$2:$D$1201,$H411))</f>
        <v/>
      </c>
      <c r="F411" s="16" t="str">
        <f aca="false">IF($H411="","",INDEX(DECKS!$E$2:$E$1201,$H411))</f>
        <v/>
      </c>
      <c r="G411" s="21" t="str">
        <f aca="false">IF($H411="","",INDEX(DECKS!$F$2:$F$1201,$H411))</f>
        <v/>
      </c>
      <c r="H411" s="11" t="str">
        <f aca="false">IFERROR(MATCH(ROW()-1,DECKS!$O$2:$O$1201,0),"")</f>
        <v/>
      </c>
      <c r="I411" s="11" t="str">
        <f aca="false">IF(C411="","",G411&amp;" "&amp;D411&amp;" ("&amp;C411&amp;")")</f>
        <v/>
      </c>
    </row>
    <row r="412" customFormat="false" ht="15" hidden="false" customHeight="false" outlineLevel="0" collapsed="false">
      <c r="A412" s="16"/>
      <c r="B412" s="11" t="str">
        <f aca="false">IF($H412="","",INDEX(DECKS!$A$2:$A$1201,$H412))</f>
        <v/>
      </c>
      <c r="C412" s="11" t="str">
        <f aca="false">IF($H412="","",INDEX(DECKS!$B$2:$B$1201,$H412))</f>
        <v/>
      </c>
      <c r="D412" s="11" t="str">
        <f aca="false">IF($H412="","",INDEX(DECKS!$C$2:$C$1201,$H412))</f>
        <v/>
      </c>
      <c r="E412" s="16" t="str">
        <f aca="false">IF($H412="","",INDEX(DECKS!$D$2:$D$1201,$H412))</f>
        <v/>
      </c>
      <c r="F412" s="16" t="str">
        <f aca="false">IF($H412="","",INDEX(DECKS!$E$2:$E$1201,$H412))</f>
        <v/>
      </c>
      <c r="G412" s="21" t="str">
        <f aca="false">IF($H412="","",INDEX(DECKS!$F$2:$F$1201,$H412))</f>
        <v/>
      </c>
      <c r="H412" s="11" t="str">
        <f aca="false">IFERROR(MATCH(ROW()-1,DECKS!$O$2:$O$1201,0),"")</f>
        <v/>
      </c>
      <c r="I412" s="11" t="str">
        <f aca="false">IF(C412="","",G412&amp;" "&amp;D412&amp;" ("&amp;C412&amp;")")</f>
        <v/>
      </c>
    </row>
    <row r="413" customFormat="false" ht="15" hidden="false" customHeight="false" outlineLevel="0" collapsed="false">
      <c r="A413" s="16"/>
      <c r="B413" s="11" t="str">
        <f aca="false">IF($H413="","",INDEX(DECKS!$A$2:$A$1201,$H413))</f>
        <v/>
      </c>
      <c r="C413" s="11" t="str">
        <f aca="false">IF($H413="","",INDEX(DECKS!$B$2:$B$1201,$H413))</f>
        <v/>
      </c>
      <c r="D413" s="11" t="str">
        <f aca="false">IF($H413="","",INDEX(DECKS!$C$2:$C$1201,$H413))</f>
        <v/>
      </c>
      <c r="E413" s="16" t="str">
        <f aca="false">IF($H413="","",INDEX(DECKS!$D$2:$D$1201,$H413))</f>
        <v/>
      </c>
      <c r="F413" s="16" t="str">
        <f aca="false">IF($H413="","",INDEX(DECKS!$E$2:$E$1201,$H413))</f>
        <v/>
      </c>
      <c r="G413" s="21" t="str">
        <f aca="false">IF($H413="","",INDEX(DECKS!$F$2:$F$1201,$H413))</f>
        <v/>
      </c>
      <c r="H413" s="11" t="str">
        <f aca="false">IFERROR(MATCH(ROW()-1,DECKS!$O$2:$O$1201,0),"")</f>
        <v/>
      </c>
      <c r="I413" s="11" t="str">
        <f aca="false">IF(C413="","",G413&amp;" "&amp;D413&amp;" ("&amp;C413&amp;")")</f>
        <v/>
      </c>
    </row>
    <row r="414" customFormat="false" ht="15" hidden="false" customHeight="false" outlineLevel="0" collapsed="false">
      <c r="A414" s="16"/>
      <c r="B414" s="11" t="str">
        <f aca="false">IF($H414="","",INDEX(DECKS!$A$2:$A$1201,$H414))</f>
        <v/>
      </c>
      <c r="C414" s="11" t="str">
        <f aca="false">IF($H414="","",INDEX(DECKS!$B$2:$B$1201,$H414))</f>
        <v/>
      </c>
      <c r="D414" s="11" t="str">
        <f aca="false">IF($H414="","",INDEX(DECKS!$C$2:$C$1201,$H414))</f>
        <v/>
      </c>
      <c r="E414" s="16" t="str">
        <f aca="false">IF($H414="","",INDEX(DECKS!$D$2:$D$1201,$H414))</f>
        <v/>
      </c>
      <c r="F414" s="16" t="str">
        <f aca="false">IF($H414="","",INDEX(DECKS!$E$2:$E$1201,$H414))</f>
        <v/>
      </c>
      <c r="G414" s="21" t="str">
        <f aca="false">IF($H414="","",INDEX(DECKS!$F$2:$F$1201,$H414))</f>
        <v/>
      </c>
      <c r="H414" s="11" t="str">
        <f aca="false">IFERROR(MATCH(ROW()-1,DECKS!$O$2:$O$1201,0),"")</f>
        <v/>
      </c>
      <c r="I414" s="11" t="str">
        <f aca="false">IF(C414="","",G414&amp;" "&amp;D414&amp;" ("&amp;C414&amp;")")</f>
        <v/>
      </c>
    </row>
    <row r="415" customFormat="false" ht="15" hidden="false" customHeight="false" outlineLevel="0" collapsed="false">
      <c r="A415" s="16"/>
      <c r="B415" s="11" t="str">
        <f aca="false">IF($H415="","",INDEX(DECKS!$A$2:$A$1201,$H415))</f>
        <v/>
      </c>
      <c r="C415" s="11" t="str">
        <f aca="false">IF($H415="","",INDEX(DECKS!$B$2:$B$1201,$H415))</f>
        <v/>
      </c>
      <c r="D415" s="11" t="str">
        <f aca="false">IF($H415="","",INDEX(DECKS!$C$2:$C$1201,$H415))</f>
        <v/>
      </c>
      <c r="E415" s="16" t="str">
        <f aca="false">IF($H415="","",INDEX(DECKS!$D$2:$D$1201,$H415))</f>
        <v/>
      </c>
      <c r="F415" s="16" t="str">
        <f aca="false">IF($H415="","",INDEX(DECKS!$E$2:$E$1201,$H415))</f>
        <v/>
      </c>
      <c r="G415" s="21" t="str">
        <f aca="false">IF($H415="","",INDEX(DECKS!$F$2:$F$1201,$H415))</f>
        <v/>
      </c>
      <c r="H415" s="11" t="str">
        <f aca="false">IFERROR(MATCH(ROW()-1,DECKS!$O$2:$O$1201,0),"")</f>
        <v/>
      </c>
      <c r="I415" s="11" t="str">
        <f aca="false">IF(C415="","",G415&amp;" "&amp;D415&amp;" ("&amp;C415&amp;")")</f>
        <v/>
      </c>
    </row>
    <row r="416" customFormat="false" ht="15" hidden="false" customHeight="false" outlineLevel="0" collapsed="false">
      <c r="A416" s="16"/>
      <c r="B416" s="11" t="str">
        <f aca="false">IF($H416="","",INDEX(DECKS!$A$2:$A$1201,$H416))</f>
        <v/>
      </c>
      <c r="C416" s="11" t="str">
        <f aca="false">IF($H416="","",INDEX(DECKS!$B$2:$B$1201,$H416))</f>
        <v/>
      </c>
      <c r="D416" s="11" t="str">
        <f aca="false">IF($H416="","",INDEX(DECKS!$C$2:$C$1201,$H416))</f>
        <v/>
      </c>
      <c r="E416" s="16" t="str">
        <f aca="false">IF($H416="","",INDEX(DECKS!$D$2:$D$1201,$H416))</f>
        <v/>
      </c>
      <c r="F416" s="16" t="str">
        <f aca="false">IF($H416="","",INDEX(DECKS!$E$2:$E$1201,$H416))</f>
        <v/>
      </c>
      <c r="G416" s="21" t="str">
        <f aca="false">IF($H416="","",INDEX(DECKS!$F$2:$F$1201,$H416))</f>
        <v/>
      </c>
      <c r="H416" s="11" t="str">
        <f aca="false">IFERROR(MATCH(ROW()-1,DECKS!$O$2:$O$1201,0),"")</f>
        <v/>
      </c>
      <c r="I416" s="11" t="str">
        <f aca="false">IF(C416="","",G416&amp;" "&amp;D416&amp;" ("&amp;C416&amp;")")</f>
        <v/>
      </c>
    </row>
    <row r="417" customFormat="false" ht="15" hidden="false" customHeight="false" outlineLevel="0" collapsed="false">
      <c r="A417" s="16"/>
      <c r="B417" s="11" t="str">
        <f aca="false">IF($H417="","",INDEX(DECKS!$A$2:$A$1201,$H417))</f>
        <v/>
      </c>
      <c r="C417" s="11" t="str">
        <f aca="false">IF($H417="","",INDEX(DECKS!$B$2:$B$1201,$H417))</f>
        <v/>
      </c>
      <c r="D417" s="11" t="str">
        <f aca="false">IF($H417="","",INDEX(DECKS!$C$2:$C$1201,$H417))</f>
        <v/>
      </c>
      <c r="E417" s="16" t="str">
        <f aca="false">IF($H417="","",INDEX(DECKS!$D$2:$D$1201,$H417))</f>
        <v/>
      </c>
      <c r="F417" s="16" t="str">
        <f aca="false">IF($H417="","",INDEX(DECKS!$E$2:$E$1201,$H417))</f>
        <v/>
      </c>
      <c r="G417" s="21" t="str">
        <f aca="false">IF($H417="","",INDEX(DECKS!$F$2:$F$1201,$H417))</f>
        <v/>
      </c>
      <c r="H417" s="11" t="str">
        <f aca="false">IFERROR(MATCH(ROW()-1,DECKS!$O$2:$O$1201,0),"")</f>
        <v/>
      </c>
      <c r="I417" s="11" t="str">
        <f aca="false">IF(C417="","",G417&amp;" "&amp;D417&amp;" ("&amp;C417&amp;")")</f>
        <v/>
      </c>
    </row>
    <row r="418" customFormat="false" ht="15" hidden="false" customHeight="false" outlineLevel="0" collapsed="false">
      <c r="A418" s="16"/>
      <c r="B418" s="11" t="str">
        <f aca="false">IF($H418="","",INDEX(DECKS!$A$2:$A$1201,$H418))</f>
        <v/>
      </c>
      <c r="C418" s="11" t="str">
        <f aca="false">IF($H418="","",INDEX(DECKS!$B$2:$B$1201,$H418))</f>
        <v/>
      </c>
      <c r="D418" s="11" t="str">
        <f aca="false">IF($H418="","",INDEX(DECKS!$C$2:$C$1201,$H418))</f>
        <v/>
      </c>
      <c r="E418" s="16" t="str">
        <f aca="false">IF($H418="","",INDEX(DECKS!$D$2:$D$1201,$H418))</f>
        <v/>
      </c>
      <c r="F418" s="16" t="str">
        <f aca="false">IF($H418="","",INDEX(DECKS!$E$2:$E$1201,$H418))</f>
        <v/>
      </c>
      <c r="G418" s="21" t="str">
        <f aca="false">IF($H418="","",INDEX(DECKS!$F$2:$F$1201,$H418))</f>
        <v/>
      </c>
      <c r="H418" s="11" t="str">
        <f aca="false">IFERROR(MATCH(ROW()-1,DECKS!$O$2:$O$1201,0),"")</f>
        <v/>
      </c>
      <c r="I418" s="11" t="str">
        <f aca="false">IF(C418="","",G418&amp;" "&amp;D418&amp;" ("&amp;C418&amp;")")</f>
        <v/>
      </c>
    </row>
    <row r="419" customFormat="false" ht="15" hidden="false" customHeight="false" outlineLevel="0" collapsed="false">
      <c r="A419" s="16"/>
      <c r="B419" s="11" t="str">
        <f aca="false">IF($H419="","",INDEX(DECKS!$A$2:$A$1201,$H419))</f>
        <v/>
      </c>
      <c r="C419" s="11" t="str">
        <f aca="false">IF($H419="","",INDEX(DECKS!$B$2:$B$1201,$H419))</f>
        <v/>
      </c>
      <c r="D419" s="11" t="str">
        <f aca="false">IF($H419="","",INDEX(DECKS!$C$2:$C$1201,$H419))</f>
        <v/>
      </c>
      <c r="E419" s="16" t="str">
        <f aca="false">IF($H419="","",INDEX(DECKS!$D$2:$D$1201,$H419))</f>
        <v/>
      </c>
      <c r="F419" s="16" t="str">
        <f aca="false">IF($H419="","",INDEX(DECKS!$E$2:$E$1201,$H419))</f>
        <v/>
      </c>
      <c r="G419" s="21" t="str">
        <f aca="false">IF($H419="","",INDEX(DECKS!$F$2:$F$1201,$H419))</f>
        <v/>
      </c>
      <c r="H419" s="11" t="str">
        <f aca="false">IFERROR(MATCH(ROW()-1,DECKS!$O$2:$O$1201,0),"")</f>
        <v/>
      </c>
      <c r="I419" s="11" t="str">
        <f aca="false">IF(C419="","",G419&amp;" "&amp;D419&amp;" ("&amp;C419&amp;")")</f>
        <v/>
      </c>
    </row>
    <row r="420" customFormat="false" ht="15" hidden="false" customHeight="false" outlineLevel="0" collapsed="false">
      <c r="A420" s="16"/>
      <c r="B420" s="11" t="str">
        <f aca="false">IF($H420="","",INDEX(DECKS!$A$2:$A$1201,$H420))</f>
        <v/>
      </c>
      <c r="C420" s="11" t="str">
        <f aca="false">IF($H420="","",INDEX(DECKS!$B$2:$B$1201,$H420))</f>
        <v/>
      </c>
      <c r="D420" s="11" t="str">
        <f aca="false">IF($H420="","",INDEX(DECKS!$C$2:$C$1201,$H420))</f>
        <v/>
      </c>
      <c r="E420" s="16" t="str">
        <f aca="false">IF($H420="","",INDEX(DECKS!$D$2:$D$1201,$H420))</f>
        <v/>
      </c>
      <c r="F420" s="16" t="str">
        <f aca="false">IF($H420="","",INDEX(DECKS!$E$2:$E$1201,$H420))</f>
        <v/>
      </c>
      <c r="G420" s="21" t="str">
        <f aca="false">IF($H420="","",INDEX(DECKS!$F$2:$F$1201,$H420))</f>
        <v/>
      </c>
      <c r="H420" s="11" t="str">
        <f aca="false">IFERROR(MATCH(ROW()-1,DECKS!$O$2:$O$1201,0),"")</f>
        <v/>
      </c>
      <c r="I420" s="11" t="str">
        <f aca="false">IF(C420="","",G420&amp;" "&amp;D420&amp;" ("&amp;C420&amp;")")</f>
        <v/>
      </c>
    </row>
    <row r="421" customFormat="false" ht="15" hidden="false" customHeight="false" outlineLevel="0" collapsed="false">
      <c r="A421" s="16"/>
      <c r="B421" s="11" t="str">
        <f aca="false">IF($H421="","",INDEX(DECKS!$A$2:$A$1201,$H421))</f>
        <v/>
      </c>
      <c r="C421" s="11" t="str">
        <f aca="false">IF($H421="","",INDEX(DECKS!$B$2:$B$1201,$H421))</f>
        <v/>
      </c>
      <c r="D421" s="11" t="str">
        <f aca="false">IF($H421="","",INDEX(DECKS!$C$2:$C$1201,$H421))</f>
        <v/>
      </c>
      <c r="E421" s="16" t="str">
        <f aca="false">IF($H421="","",INDEX(DECKS!$D$2:$D$1201,$H421))</f>
        <v/>
      </c>
      <c r="F421" s="16" t="str">
        <f aca="false">IF($H421="","",INDEX(DECKS!$E$2:$E$1201,$H421))</f>
        <v/>
      </c>
      <c r="G421" s="21" t="str">
        <f aca="false">IF($H421="","",INDEX(DECKS!$F$2:$F$1201,$H421))</f>
        <v/>
      </c>
      <c r="H421" s="11" t="str">
        <f aca="false">IFERROR(MATCH(ROW()-1,DECKS!$O$2:$O$1201,0),"")</f>
        <v/>
      </c>
      <c r="I421" s="11" t="str">
        <f aca="false">IF(C421="","",G421&amp;" "&amp;D421&amp;" ("&amp;C421&amp;")")</f>
        <v/>
      </c>
    </row>
    <row r="422" customFormat="false" ht="15" hidden="false" customHeight="false" outlineLevel="0" collapsed="false">
      <c r="A422" s="16"/>
      <c r="B422" s="11" t="str">
        <f aca="false">IF($H422="","",INDEX(DECKS!$A$2:$A$1201,$H422))</f>
        <v/>
      </c>
      <c r="C422" s="11" t="str">
        <f aca="false">IF($H422="","",INDEX(DECKS!$B$2:$B$1201,$H422))</f>
        <v/>
      </c>
      <c r="D422" s="11" t="str">
        <f aca="false">IF($H422="","",INDEX(DECKS!$C$2:$C$1201,$H422))</f>
        <v/>
      </c>
      <c r="E422" s="16" t="str">
        <f aca="false">IF($H422="","",INDEX(DECKS!$D$2:$D$1201,$H422))</f>
        <v/>
      </c>
      <c r="F422" s="16" t="str">
        <f aca="false">IF($H422="","",INDEX(DECKS!$E$2:$E$1201,$H422))</f>
        <v/>
      </c>
      <c r="G422" s="21" t="str">
        <f aca="false">IF($H422="","",INDEX(DECKS!$F$2:$F$1201,$H422))</f>
        <v/>
      </c>
      <c r="H422" s="11" t="str">
        <f aca="false">IFERROR(MATCH(ROW()-1,DECKS!$O$2:$O$1201,0),"")</f>
        <v/>
      </c>
      <c r="I422" s="11" t="str">
        <f aca="false">IF(C422="","",G422&amp;" "&amp;D422&amp;" ("&amp;C422&amp;")")</f>
        <v/>
      </c>
    </row>
    <row r="423" customFormat="false" ht="15" hidden="false" customHeight="false" outlineLevel="0" collapsed="false">
      <c r="A423" s="16"/>
      <c r="B423" s="11" t="str">
        <f aca="false">IF($H423="","",INDEX(DECKS!$A$2:$A$1201,$H423))</f>
        <v/>
      </c>
      <c r="C423" s="11" t="str">
        <f aca="false">IF($H423="","",INDEX(DECKS!$B$2:$B$1201,$H423))</f>
        <v/>
      </c>
      <c r="D423" s="11" t="str">
        <f aca="false">IF($H423="","",INDEX(DECKS!$C$2:$C$1201,$H423))</f>
        <v/>
      </c>
      <c r="E423" s="16" t="str">
        <f aca="false">IF($H423="","",INDEX(DECKS!$D$2:$D$1201,$H423))</f>
        <v/>
      </c>
      <c r="F423" s="16" t="str">
        <f aca="false">IF($H423="","",INDEX(DECKS!$E$2:$E$1201,$H423))</f>
        <v/>
      </c>
      <c r="G423" s="21" t="str">
        <f aca="false">IF($H423="","",INDEX(DECKS!$F$2:$F$1201,$H423))</f>
        <v/>
      </c>
      <c r="H423" s="11" t="str">
        <f aca="false">IFERROR(MATCH(ROW()-1,DECKS!$O$2:$O$1201,0),"")</f>
        <v/>
      </c>
      <c r="I423" s="11" t="str">
        <f aca="false">IF(C423="","",G423&amp;" "&amp;D423&amp;" ("&amp;C423&amp;")")</f>
        <v/>
      </c>
    </row>
    <row r="424" customFormat="false" ht="15" hidden="false" customHeight="false" outlineLevel="0" collapsed="false">
      <c r="A424" s="16"/>
      <c r="B424" s="11" t="str">
        <f aca="false">IF($H424="","",INDEX(DECKS!$A$2:$A$1201,$H424))</f>
        <v/>
      </c>
      <c r="C424" s="11" t="str">
        <f aca="false">IF($H424="","",INDEX(DECKS!$B$2:$B$1201,$H424))</f>
        <v/>
      </c>
      <c r="D424" s="11" t="str">
        <f aca="false">IF($H424="","",INDEX(DECKS!$C$2:$C$1201,$H424))</f>
        <v/>
      </c>
      <c r="E424" s="16" t="str">
        <f aca="false">IF($H424="","",INDEX(DECKS!$D$2:$D$1201,$H424))</f>
        <v/>
      </c>
      <c r="F424" s="16" t="str">
        <f aca="false">IF($H424="","",INDEX(DECKS!$E$2:$E$1201,$H424))</f>
        <v/>
      </c>
      <c r="G424" s="21" t="str">
        <f aca="false">IF($H424="","",INDEX(DECKS!$F$2:$F$1201,$H424))</f>
        <v/>
      </c>
      <c r="H424" s="11" t="str">
        <f aca="false">IFERROR(MATCH(ROW()-1,DECKS!$O$2:$O$1201,0),"")</f>
        <v/>
      </c>
      <c r="I424" s="11" t="str">
        <f aca="false">IF(C424="","",G424&amp;" "&amp;D424&amp;" ("&amp;C424&amp;")")</f>
        <v/>
      </c>
    </row>
    <row r="425" customFormat="false" ht="15" hidden="false" customHeight="false" outlineLevel="0" collapsed="false">
      <c r="A425" s="16"/>
      <c r="B425" s="11" t="str">
        <f aca="false">IF($H425="","",INDEX(DECKS!$A$2:$A$1201,$H425))</f>
        <v/>
      </c>
      <c r="C425" s="11" t="str">
        <f aca="false">IF($H425="","",INDEX(DECKS!$B$2:$B$1201,$H425))</f>
        <v/>
      </c>
      <c r="D425" s="11" t="str">
        <f aca="false">IF($H425="","",INDEX(DECKS!$C$2:$C$1201,$H425))</f>
        <v/>
      </c>
      <c r="E425" s="16" t="str">
        <f aca="false">IF($H425="","",INDEX(DECKS!$D$2:$D$1201,$H425))</f>
        <v/>
      </c>
      <c r="F425" s="16" t="str">
        <f aca="false">IF($H425="","",INDEX(DECKS!$E$2:$E$1201,$H425))</f>
        <v/>
      </c>
      <c r="G425" s="21" t="str">
        <f aca="false">IF($H425="","",INDEX(DECKS!$F$2:$F$1201,$H425))</f>
        <v/>
      </c>
      <c r="H425" s="11" t="str">
        <f aca="false">IFERROR(MATCH(ROW()-1,DECKS!$O$2:$O$1201,0),"")</f>
        <v/>
      </c>
      <c r="I425" s="11" t="str">
        <f aca="false">IF(C425="","",G425&amp;" "&amp;D425&amp;" ("&amp;C425&amp;")")</f>
        <v/>
      </c>
    </row>
    <row r="426" customFormat="false" ht="15" hidden="false" customHeight="false" outlineLevel="0" collapsed="false">
      <c r="A426" s="16"/>
      <c r="B426" s="11" t="str">
        <f aca="false">IF($H426="","",INDEX(DECKS!$A$2:$A$1201,$H426))</f>
        <v/>
      </c>
      <c r="C426" s="11" t="str">
        <f aca="false">IF($H426="","",INDEX(DECKS!$B$2:$B$1201,$H426))</f>
        <v/>
      </c>
      <c r="D426" s="11" t="str">
        <f aca="false">IF($H426="","",INDEX(DECKS!$C$2:$C$1201,$H426))</f>
        <v/>
      </c>
      <c r="E426" s="16" t="str">
        <f aca="false">IF($H426="","",INDEX(DECKS!$D$2:$D$1201,$H426))</f>
        <v/>
      </c>
      <c r="F426" s="16" t="str">
        <f aca="false">IF($H426="","",INDEX(DECKS!$E$2:$E$1201,$H426))</f>
        <v/>
      </c>
      <c r="G426" s="21" t="str">
        <f aca="false">IF($H426="","",INDEX(DECKS!$F$2:$F$1201,$H426))</f>
        <v/>
      </c>
      <c r="H426" s="11" t="str">
        <f aca="false">IFERROR(MATCH(ROW()-1,DECKS!$O$2:$O$1201,0),"")</f>
        <v/>
      </c>
      <c r="I426" s="11" t="str">
        <f aca="false">IF(C426="","",G426&amp;" "&amp;D426&amp;" ("&amp;C426&amp;")")</f>
        <v/>
      </c>
    </row>
    <row r="427" customFormat="false" ht="15" hidden="false" customHeight="false" outlineLevel="0" collapsed="false">
      <c r="A427" s="16"/>
      <c r="B427" s="11" t="str">
        <f aca="false">IF($H427="","",INDEX(DECKS!$A$2:$A$1201,$H427))</f>
        <v/>
      </c>
      <c r="C427" s="11" t="str">
        <f aca="false">IF($H427="","",INDEX(DECKS!$B$2:$B$1201,$H427))</f>
        <v/>
      </c>
      <c r="D427" s="11" t="str">
        <f aca="false">IF($H427="","",INDEX(DECKS!$C$2:$C$1201,$H427))</f>
        <v/>
      </c>
      <c r="E427" s="16" t="str">
        <f aca="false">IF($H427="","",INDEX(DECKS!$D$2:$D$1201,$H427))</f>
        <v/>
      </c>
      <c r="F427" s="16" t="str">
        <f aca="false">IF($H427="","",INDEX(DECKS!$E$2:$E$1201,$H427))</f>
        <v/>
      </c>
      <c r="G427" s="21" t="str">
        <f aca="false">IF($H427="","",INDEX(DECKS!$F$2:$F$1201,$H427))</f>
        <v/>
      </c>
      <c r="H427" s="11" t="str">
        <f aca="false">IFERROR(MATCH(ROW()-1,DECKS!$O$2:$O$1201,0),"")</f>
        <v/>
      </c>
      <c r="I427" s="11" t="str">
        <f aca="false">IF(C427="","",G427&amp;" "&amp;D427&amp;" ("&amp;C427&amp;")")</f>
        <v/>
      </c>
    </row>
    <row r="428" customFormat="false" ht="15" hidden="false" customHeight="false" outlineLevel="0" collapsed="false">
      <c r="A428" s="16"/>
      <c r="B428" s="11" t="str">
        <f aca="false">IF($H428="","",INDEX(DECKS!$A$2:$A$1201,$H428))</f>
        <v/>
      </c>
      <c r="C428" s="11" t="str">
        <f aca="false">IF($H428="","",INDEX(DECKS!$B$2:$B$1201,$H428))</f>
        <v/>
      </c>
      <c r="D428" s="11" t="str">
        <f aca="false">IF($H428="","",INDEX(DECKS!$C$2:$C$1201,$H428))</f>
        <v/>
      </c>
      <c r="E428" s="16" t="str">
        <f aca="false">IF($H428="","",INDEX(DECKS!$D$2:$D$1201,$H428))</f>
        <v/>
      </c>
      <c r="F428" s="16" t="str">
        <f aca="false">IF($H428="","",INDEX(DECKS!$E$2:$E$1201,$H428))</f>
        <v/>
      </c>
      <c r="G428" s="21" t="str">
        <f aca="false">IF($H428="","",INDEX(DECKS!$F$2:$F$1201,$H428))</f>
        <v/>
      </c>
      <c r="H428" s="11" t="str">
        <f aca="false">IFERROR(MATCH(ROW()-1,DECKS!$O$2:$O$1201,0),"")</f>
        <v/>
      </c>
      <c r="I428" s="11" t="str">
        <f aca="false">IF(C428="","",G428&amp;" "&amp;D428&amp;" ("&amp;C428&amp;")")</f>
        <v/>
      </c>
    </row>
    <row r="429" customFormat="false" ht="15" hidden="false" customHeight="false" outlineLevel="0" collapsed="false">
      <c r="A429" s="16"/>
      <c r="B429" s="11" t="str">
        <f aca="false">IF($H429="","",INDEX(DECKS!$A$2:$A$1201,$H429))</f>
        <v/>
      </c>
      <c r="C429" s="11" t="str">
        <f aca="false">IF($H429="","",INDEX(DECKS!$B$2:$B$1201,$H429))</f>
        <v/>
      </c>
      <c r="D429" s="11" t="str">
        <f aca="false">IF($H429="","",INDEX(DECKS!$C$2:$C$1201,$H429))</f>
        <v/>
      </c>
      <c r="E429" s="16" t="str">
        <f aca="false">IF($H429="","",INDEX(DECKS!$D$2:$D$1201,$H429))</f>
        <v/>
      </c>
      <c r="F429" s="16" t="str">
        <f aca="false">IF($H429="","",INDEX(DECKS!$E$2:$E$1201,$H429))</f>
        <v/>
      </c>
      <c r="G429" s="21" t="str">
        <f aca="false">IF($H429="","",INDEX(DECKS!$F$2:$F$1201,$H429))</f>
        <v/>
      </c>
      <c r="H429" s="11" t="str">
        <f aca="false">IFERROR(MATCH(ROW()-1,DECKS!$O$2:$O$1201,0),"")</f>
        <v/>
      </c>
      <c r="I429" s="11" t="str">
        <f aca="false">IF(C429="","",G429&amp;" "&amp;D429&amp;" ("&amp;C429&amp;")")</f>
        <v/>
      </c>
    </row>
    <row r="430" customFormat="false" ht="15" hidden="false" customHeight="false" outlineLevel="0" collapsed="false">
      <c r="A430" s="16"/>
      <c r="B430" s="11" t="str">
        <f aca="false">IF($H430="","",INDEX(DECKS!$A$2:$A$1201,$H430))</f>
        <v/>
      </c>
      <c r="C430" s="11" t="str">
        <f aca="false">IF($H430="","",INDEX(DECKS!$B$2:$B$1201,$H430))</f>
        <v/>
      </c>
      <c r="D430" s="11" t="str">
        <f aca="false">IF($H430="","",INDEX(DECKS!$C$2:$C$1201,$H430))</f>
        <v/>
      </c>
      <c r="E430" s="16" t="str">
        <f aca="false">IF($H430="","",INDEX(DECKS!$D$2:$D$1201,$H430))</f>
        <v/>
      </c>
      <c r="F430" s="16" t="str">
        <f aca="false">IF($H430="","",INDEX(DECKS!$E$2:$E$1201,$H430))</f>
        <v/>
      </c>
      <c r="G430" s="21" t="str">
        <f aca="false">IF($H430="","",INDEX(DECKS!$F$2:$F$1201,$H430))</f>
        <v/>
      </c>
      <c r="H430" s="11" t="str">
        <f aca="false">IFERROR(MATCH(ROW()-1,DECKS!$O$2:$O$1201,0),"")</f>
        <v/>
      </c>
      <c r="I430" s="11" t="str">
        <f aca="false">IF(C430="","",G430&amp;" "&amp;D430&amp;" ("&amp;C430&amp;")")</f>
        <v/>
      </c>
    </row>
    <row r="431" customFormat="false" ht="15" hidden="false" customHeight="false" outlineLevel="0" collapsed="false">
      <c r="A431" s="16"/>
      <c r="B431" s="11" t="str">
        <f aca="false">IF($H431="","",INDEX(DECKS!$A$2:$A$1201,$H431))</f>
        <v/>
      </c>
      <c r="C431" s="11" t="str">
        <f aca="false">IF($H431="","",INDEX(DECKS!$B$2:$B$1201,$H431))</f>
        <v/>
      </c>
      <c r="D431" s="11" t="str">
        <f aca="false">IF($H431="","",INDEX(DECKS!$C$2:$C$1201,$H431))</f>
        <v/>
      </c>
      <c r="E431" s="16" t="str">
        <f aca="false">IF($H431="","",INDEX(DECKS!$D$2:$D$1201,$H431))</f>
        <v/>
      </c>
      <c r="F431" s="16" t="str">
        <f aca="false">IF($H431="","",INDEX(DECKS!$E$2:$E$1201,$H431))</f>
        <v/>
      </c>
      <c r="G431" s="21" t="str">
        <f aca="false">IF($H431="","",INDEX(DECKS!$F$2:$F$1201,$H431))</f>
        <v/>
      </c>
      <c r="H431" s="11" t="str">
        <f aca="false">IFERROR(MATCH(ROW()-1,DECKS!$O$2:$O$1201,0),"")</f>
        <v/>
      </c>
      <c r="I431" s="11" t="str">
        <f aca="false">IF(C431="","",G431&amp;" "&amp;D431&amp;" ("&amp;C431&amp;")")</f>
        <v/>
      </c>
    </row>
    <row r="432" customFormat="false" ht="15" hidden="false" customHeight="false" outlineLevel="0" collapsed="false">
      <c r="A432" s="16"/>
      <c r="B432" s="11" t="str">
        <f aca="false">IF($H432="","",INDEX(DECKS!$A$2:$A$1201,$H432))</f>
        <v/>
      </c>
      <c r="C432" s="11" t="str">
        <f aca="false">IF($H432="","",INDEX(DECKS!$B$2:$B$1201,$H432))</f>
        <v/>
      </c>
      <c r="D432" s="11" t="str">
        <f aca="false">IF($H432="","",INDEX(DECKS!$C$2:$C$1201,$H432))</f>
        <v/>
      </c>
      <c r="E432" s="16" t="str">
        <f aca="false">IF($H432="","",INDEX(DECKS!$D$2:$D$1201,$H432))</f>
        <v/>
      </c>
      <c r="F432" s="16" t="str">
        <f aca="false">IF($H432="","",INDEX(DECKS!$E$2:$E$1201,$H432))</f>
        <v/>
      </c>
      <c r="G432" s="21" t="str">
        <f aca="false">IF($H432="","",INDEX(DECKS!$F$2:$F$1201,$H432))</f>
        <v/>
      </c>
      <c r="H432" s="11" t="str">
        <f aca="false">IFERROR(MATCH(ROW()-1,DECKS!$O$2:$O$1201,0),"")</f>
        <v/>
      </c>
      <c r="I432" s="11" t="str">
        <f aca="false">IF(C432="","",G432&amp;" "&amp;D432&amp;" ("&amp;C432&amp;")")</f>
        <v/>
      </c>
    </row>
    <row r="433" customFormat="false" ht="15" hidden="false" customHeight="false" outlineLevel="0" collapsed="false">
      <c r="A433" s="16"/>
      <c r="B433" s="11" t="str">
        <f aca="false">IF($H433="","",INDEX(DECKS!$A$2:$A$1201,$H433))</f>
        <v/>
      </c>
      <c r="C433" s="11" t="str">
        <f aca="false">IF($H433="","",INDEX(DECKS!$B$2:$B$1201,$H433))</f>
        <v/>
      </c>
      <c r="D433" s="11" t="str">
        <f aca="false">IF($H433="","",INDEX(DECKS!$C$2:$C$1201,$H433))</f>
        <v/>
      </c>
      <c r="E433" s="16" t="str">
        <f aca="false">IF($H433="","",INDEX(DECKS!$D$2:$D$1201,$H433))</f>
        <v/>
      </c>
      <c r="F433" s="16" t="str">
        <f aca="false">IF($H433="","",INDEX(DECKS!$E$2:$E$1201,$H433))</f>
        <v/>
      </c>
      <c r="G433" s="21" t="str">
        <f aca="false">IF($H433="","",INDEX(DECKS!$F$2:$F$1201,$H433))</f>
        <v/>
      </c>
      <c r="H433" s="11" t="str">
        <f aca="false">IFERROR(MATCH(ROW()-1,DECKS!$O$2:$O$1201,0),"")</f>
        <v/>
      </c>
      <c r="I433" s="11" t="str">
        <f aca="false">IF(C433="","",G433&amp;" "&amp;D433&amp;" ("&amp;C433&amp;")")</f>
        <v/>
      </c>
    </row>
    <row r="434" customFormat="false" ht="15" hidden="false" customHeight="false" outlineLevel="0" collapsed="false">
      <c r="A434" s="16"/>
      <c r="B434" s="11" t="str">
        <f aca="false">IF($H434="","",INDEX(DECKS!$A$2:$A$1201,$H434))</f>
        <v/>
      </c>
      <c r="C434" s="11" t="str">
        <f aca="false">IF($H434="","",INDEX(DECKS!$B$2:$B$1201,$H434))</f>
        <v/>
      </c>
      <c r="D434" s="11" t="str">
        <f aca="false">IF($H434="","",INDEX(DECKS!$C$2:$C$1201,$H434))</f>
        <v/>
      </c>
      <c r="E434" s="16" t="str">
        <f aca="false">IF($H434="","",INDEX(DECKS!$D$2:$D$1201,$H434))</f>
        <v/>
      </c>
      <c r="F434" s="16" t="str">
        <f aca="false">IF($H434="","",INDEX(DECKS!$E$2:$E$1201,$H434))</f>
        <v/>
      </c>
      <c r="G434" s="21" t="str">
        <f aca="false">IF($H434="","",INDEX(DECKS!$F$2:$F$1201,$H434))</f>
        <v/>
      </c>
      <c r="H434" s="11" t="str">
        <f aca="false">IFERROR(MATCH(ROW()-1,DECKS!$O$2:$O$1201,0),"")</f>
        <v/>
      </c>
      <c r="I434" s="11" t="str">
        <f aca="false">IF(C434="","",G434&amp;" "&amp;D434&amp;" ("&amp;C434&amp;")")</f>
        <v/>
      </c>
    </row>
    <row r="435" customFormat="false" ht="15" hidden="false" customHeight="false" outlineLevel="0" collapsed="false">
      <c r="A435" s="16"/>
      <c r="B435" s="11" t="str">
        <f aca="false">IF($H435="","",INDEX(DECKS!$A$2:$A$1201,$H435))</f>
        <v/>
      </c>
      <c r="C435" s="11" t="str">
        <f aca="false">IF($H435="","",INDEX(DECKS!$B$2:$B$1201,$H435))</f>
        <v/>
      </c>
      <c r="D435" s="11" t="str">
        <f aca="false">IF($H435="","",INDEX(DECKS!$C$2:$C$1201,$H435))</f>
        <v/>
      </c>
      <c r="E435" s="16" t="str">
        <f aca="false">IF($H435="","",INDEX(DECKS!$D$2:$D$1201,$H435))</f>
        <v/>
      </c>
      <c r="F435" s="16" t="str">
        <f aca="false">IF($H435="","",INDEX(DECKS!$E$2:$E$1201,$H435))</f>
        <v/>
      </c>
      <c r="G435" s="21" t="str">
        <f aca="false">IF($H435="","",INDEX(DECKS!$F$2:$F$1201,$H435))</f>
        <v/>
      </c>
      <c r="H435" s="11" t="str">
        <f aca="false">IFERROR(MATCH(ROW()-1,DECKS!$O$2:$O$1201,0),"")</f>
        <v/>
      </c>
      <c r="I435" s="11" t="str">
        <f aca="false">IF(C435="","",G435&amp;" "&amp;D435&amp;" ("&amp;C435&amp;")")</f>
        <v/>
      </c>
    </row>
    <row r="436" customFormat="false" ht="15" hidden="false" customHeight="false" outlineLevel="0" collapsed="false">
      <c r="A436" s="16"/>
      <c r="B436" s="11" t="str">
        <f aca="false">IF($H436="","",INDEX(DECKS!$A$2:$A$1201,$H436))</f>
        <v/>
      </c>
      <c r="C436" s="11" t="str">
        <f aca="false">IF($H436="","",INDEX(DECKS!$B$2:$B$1201,$H436))</f>
        <v/>
      </c>
      <c r="D436" s="11" t="str">
        <f aca="false">IF($H436="","",INDEX(DECKS!$C$2:$C$1201,$H436))</f>
        <v/>
      </c>
      <c r="E436" s="16" t="str">
        <f aca="false">IF($H436="","",INDEX(DECKS!$D$2:$D$1201,$H436))</f>
        <v/>
      </c>
      <c r="F436" s="16" t="str">
        <f aca="false">IF($H436="","",INDEX(DECKS!$E$2:$E$1201,$H436))</f>
        <v/>
      </c>
      <c r="G436" s="21" t="str">
        <f aca="false">IF($H436="","",INDEX(DECKS!$F$2:$F$1201,$H436))</f>
        <v/>
      </c>
      <c r="H436" s="11" t="str">
        <f aca="false">IFERROR(MATCH(ROW()-1,DECKS!$O$2:$O$1201,0),"")</f>
        <v/>
      </c>
      <c r="I436" s="11" t="str">
        <f aca="false">IF(C436="","",G436&amp;" "&amp;D436&amp;" ("&amp;C436&amp;")")</f>
        <v/>
      </c>
    </row>
    <row r="437" customFormat="false" ht="15" hidden="false" customHeight="false" outlineLevel="0" collapsed="false">
      <c r="A437" s="16"/>
      <c r="B437" s="11" t="str">
        <f aca="false">IF($H437="","",INDEX(DECKS!$A$2:$A$1201,$H437))</f>
        <v/>
      </c>
      <c r="C437" s="11" t="str">
        <f aca="false">IF($H437="","",INDEX(DECKS!$B$2:$B$1201,$H437))</f>
        <v/>
      </c>
      <c r="D437" s="11" t="str">
        <f aca="false">IF($H437="","",INDEX(DECKS!$C$2:$C$1201,$H437))</f>
        <v/>
      </c>
      <c r="E437" s="16" t="str">
        <f aca="false">IF($H437="","",INDEX(DECKS!$D$2:$D$1201,$H437))</f>
        <v/>
      </c>
      <c r="F437" s="16" t="str">
        <f aca="false">IF($H437="","",INDEX(DECKS!$E$2:$E$1201,$H437))</f>
        <v/>
      </c>
      <c r="G437" s="21" t="str">
        <f aca="false">IF($H437="","",INDEX(DECKS!$F$2:$F$1201,$H437))</f>
        <v/>
      </c>
      <c r="H437" s="11" t="str">
        <f aca="false">IFERROR(MATCH(ROW()-1,DECKS!$O$2:$O$1201,0),"")</f>
        <v/>
      </c>
      <c r="I437" s="11" t="str">
        <f aca="false">IF(C437="","",G437&amp;" "&amp;D437&amp;" ("&amp;C437&amp;")")</f>
        <v/>
      </c>
    </row>
    <row r="438" customFormat="false" ht="15" hidden="false" customHeight="false" outlineLevel="0" collapsed="false">
      <c r="A438" s="16"/>
      <c r="B438" s="11" t="str">
        <f aca="false">IF($H438="","",INDEX(DECKS!$A$2:$A$1201,$H438))</f>
        <v/>
      </c>
      <c r="C438" s="11" t="str">
        <f aca="false">IF($H438="","",INDEX(DECKS!$B$2:$B$1201,$H438))</f>
        <v/>
      </c>
      <c r="D438" s="11" t="str">
        <f aca="false">IF($H438="","",INDEX(DECKS!$C$2:$C$1201,$H438))</f>
        <v/>
      </c>
      <c r="E438" s="16" t="str">
        <f aca="false">IF($H438="","",INDEX(DECKS!$D$2:$D$1201,$H438))</f>
        <v/>
      </c>
      <c r="F438" s="16" t="str">
        <f aca="false">IF($H438="","",INDEX(DECKS!$E$2:$E$1201,$H438))</f>
        <v/>
      </c>
      <c r="G438" s="21" t="str">
        <f aca="false">IF($H438="","",INDEX(DECKS!$F$2:$F$1201,$H438))</f>
        <v/>
      </c>
      <c r="H438" s="11" t="str">
        <f aca="false">IFERROR(MATCH(ROW()-1,DECKS!$O$2:$O$1201,0),"")</f>
        <v/>
      </c>
      <c r="I438" s="11" t="str">
        <f aca="false">IF(C438="","",G438&amp;" "&amp;D438&amp;" ("&amp;C438&amp;")")</f>
        <v/>
      </c>
    </row>
    <row r="439" customFormat="false" ht="15" hidden="false" customHeight="false" outlineLevel="0" collapsed="false">
      <c r="A439" s="16"/>
      <c r="B439" s="11" t="str">
        <f aca="false">IF($H439="","",INDEX(DECKS!$A$2:$A$1201,$H439))</f>
        <v/>
      </c>
      <c r="C439" s="11" t="str">
        <f aca="false">IF($H439="","",INDEX(DECKS!$B$2:$B$1201,$H439))</f>
        <v/>
      </c>
      <c r="D439" s="11" t="str">
        <f aca="false">IF($H439="","",INDEX(DECKS!$C$2:$C$1201,$H439))</f>
        <v/>
      </c>
      <c r="E439" s="16" t="str">
        <f aca="false">IF($H439="","",INDEX(DECKS!$D$2:$D$1201,$H439))</f>
        <v/>
      </c>
      <c r="F439" s="16" t="str">
        <f aca="false">IF($H439="","",INDEX(DECKS!$E$2:$E$1201,$H439))</f>
        <v/>
      </c>
      <c r="G439" s="21" t="str">
        <f aca="false">IF($H439="","",INDEX(DECKS!$F$2:$F$1201,$H439))</f>
        <v/>
      </c>
      <c r="H439" s="11" t="str">
        <f aca="false">IFERROR(MATCH(ROW()-1,DECKS!$O$2:$O$1201,0),"")</f>
        <v/>
      </c>
      <c r="I439" s="11" t="str">
        <f aca="false">IF(C439="","",G439&amp;" "&amp;D439&amp;" ("&amp;C439&amp;")")</f>
        <v/>
      </c>
    </row>
    <row r="440" customFormat="false" ht="15" hidden="false" customHeight="false" outlineLevel="0" collapsed="false">
      <c r="A440" s="16"/>
      <c r="B440" s="11" t="str">
        <f aca="false">IF($H440="","",INDEX(DECKS!$A$2:$A$1201,$H440))</f>
        <v/>
      </c>
      <c r="C440" s="11" t="str">
        <f aca="false">IF($H440="","",INDEX(DECKS!$B$2:$B$1201,$H440))</f>
        <v/>
      </c>
      <c r="D440" s="11" t="str">
        <f aca="false">IF($H440="","",INDEX(DECKS!$C$2:$C$1201,$H440))</f>
        <v/>
      </c>
      <c r="E440" s="16" t="str">
        <f aca="false">IF($H440="","",INDEX(DECKS!$D$2:$D$1201,$H440))</f>
        <v/>
      </c>
      <c r="F440" s="16" t="str">
        <f aca="false">IF($H440="","",INDEX(DECKS!$E$2:$E$1201,$H440))</f>
        <v/>
      </c>
      <c r="G440" s="21" t="str">
        <f aca="false">IF($H440="","",INDEX(DECKS!$F$2:$F$1201,$H440))</f>
        <v/>
      </c>
      <c r="H440" s="11" t="str">
        <f aca="false">IFERROR(MATCH(ROW()-1,DECKS!$O$2:$O$1201,0),"")</f>
        <v/>
      </c>
      <c r="I440" s="11" t="str">
        <f aca="false">IF(C440="","",G440&amp;" "&amp;D440&amp;" ("&amp;C440&amp;")")</f>
        <v/>
      </c>
    </row>
    <row r="441" customFormat="false" ht="15" hidden="false" customHeight="false" outlineLevel="0" collapsed="false">
      <c r="A441" s="16"/>
      <c r="B441" s="11" t="str">
        <f aca="false">IF($H441="","",INDEX(DECKS!$A$2:$A$1201,$H441))</f>
        <v/>
      </c>
      <c r="C441" s="11" t="str">
        <f aca="false">IF($H441="","",INDEX(DECKS!$B$2:$B$1201,$H441))</f>
        <v/>
      </c>
      <c r="D441" s="11" t="str">
        <f aca="false">IF($H441="","",INDEX(DECKS!$C$2:$C$1201,$H441))</f>
        <v/>
      </c>
      <c r="E441" s="16" t="str">
        <f aca="false">IF($H441="","",INDEX(DECKS!$D$2:$D$1201,$H441))</f>
        <v/>
      </c>
      <c r="F441" s="16" t="str">
        <f aca="false">IF($H441="","",INDEX(DECKS!$E$2:$E$1201,$H441))</f>
        <v/>
      </c>
      <c r="G441" s="21" t="str">
        <f aca="false">IF($H441="","",INDEX(DECKS!$F$2:$F$1201,$H441))</f>
        <v/>
      </c>
      <c r="H441" s="11" t="str">
        <f aca="false">IFERROR(MATCH(ROW()-1,DECKS!$O$2:$O$1201,0),"")</f>
        <v/>
      </c>
      <c r="I441" s="11" t="str">
        <f aca="false">IF(C441="","",G441&amp;" "&amp;D441&amp;" ("&amp;C441&amp;")")</f>
        <v/>
      </c>
    </row>
    <row r="442" customFormat="false" ht="15" hidden="false" customHeight="false" outlineLevel="0" collapsed="false">
      <c r="A442" s="16"/>
      <c r="B442" s="11" t="str">
        <f aca="false">IF($H442="","",INDEX(DECKS!$A$2:$A$1201,$H442))</f>
        <v/>
      </c>
      <c r="C442" s="11" t="str">
        <f aca="false">IF($H442="","",INDEX(DECKS!$B$2:$B$1201,$H442))</f>
        <v/>
      </c>
      <c r="D442" s="11" t="str">
        <f aca="false">IF($H442="","",INDEX(DECKS!$C$2:$C$1201,$H442))</f>
        <v/>
      </c>
      <c r="E442" s="16" t="str">
        <f aca="false">IF($H442="","",INDEX(DECKS!$D$2:$D$1201,$H442))</f>
        <v/>
      </c>
      <c r="F442" s="16" t="str">
        <f aca="false">IF($H442="","",INDEX(DECKS!$E$2:$E$1201,$H442))</f>
        <v/>
      </c>
      <c r="G442" s="21" t="str">
        <f aca="false">IF($H442="","",INDEX(DECKS!$F$2:$F$1201,$H442))</f>
        <v/>
      </c>
      <c r="H442" s="11" t="str">
        <f aca="false">IFERROR(MATCH(ROW()-1,DECKS!$O$2:$O$1201,0),"")</f>
        <v/>
      </c>
      <c r="I442" s="11" t="str">
        <f aca="false">IF(C442="","",G442&amp;" "&amp;D442&amp;" ("&amp;C442&amp;")")</f>
        <v/>
      </c>
    </row>
    <row r="443" customFormat="false" ht="15" hidden="false" customHeight="false" outlineLevel="0" collapsed="false">
      <c r="A443" s="16"/>
      <c r="B443" s="11" t="str">
        <f aca="false">IF($H443="","",INDEX(DECKS!$A$2:$A$1201,$H443))</f>
        <v/>
      </c>
      <c r="C443" s="11" t="str">
        <f aca="false">IF($H443="","",INDEX(DECKS!$B$2:$B$1201,$H443))</f>
        <v/>
      </c>
      <c r="D443" s="11" t="str">
        <f aca="false">IF($H443="","",INDEX(DECKS!$C$2:$C$1201,$H443))</f>
        <v/>
      </c>
      <c r="E443" s="16" t="str">
        <f aca="false">IF($H443="","",INDEX(DECKS!$D$2:$D$1201,$H443))</f>
        <v/>
      </c>
      <c r="F443" s="16" t="str">
        <f aca="false">IF($H443="","",INDEX(DECKS!$E$2:$E$1201,$H443))</f>
        <v/>
      </c>
      <c r="G443" s="21" t="str">
        <f aca="false">IF($H443="","",INDEX(DECKS!$F$2:$F$1201,$H443))</f>
        <v/>
      </c>
      <c r="H443" s="11" t="str">
        <f aca="false">IFERROR(MATCH(ROW()-1,DECKS!$O$2:$O$1201,0),"")</f>
        <v/>
      </c>
      <c r="I443" s="11" t="str">
        <f aca="false">IF(C443="","",G443&amp;" "&amp;D443&amp;" ("&amp;C443&amp;")")</f>
        <v/>
      </c>
    </row>
    <row r="444" customFormat="false" ht="15" hidden="false" customHeight="false" outlineLevel="0" collapsed="false">
      <c r="A444" s="16"/>
      <c r="B444" s="11" t="str">
        <f aca="false">IF($H444="","",INDEX(DECKS!$A$2:$A$1201,$H444))</f>
        <v/>
      </c>
      <c r="C444" s="11" t="str">
        <f aca="false">IF($H444="","",INDEX(DECKS!$B$2:$B$1201,$H444))</f>
        <v/>
      </c>
      <c r="D444" s="11" t="str">
        <f aca="false">IF($H444="","",INDEX(DECKS!$C$2:$C$1201,$H444))</f>
        <v/>
      </c>
      <c r="E444" s="16" t="str">
        <f aca="false">IF($H444="","",INDEX(DECKS!$D$2:$D$1201,$H444))</f>
        <v/>
      </c>
      <c r="F444" s="16" t="str">
        <f aca="false">IF($H444="","",INDEX(DECKS!$E$2:$E$1201,$H444))</f>
        <v/>
      </c>
      <c r="G444" s="21" t="str">
        <f aca="false">IF($H444="","",INDEX(DECKS!$F$2:$F$1201,$H444))</f>
        <v/>
      </c>
      <c r="H444" s="11" t="str">
        <f aca="false">IFERROR(MATCH(ROW()-1,DECKS!$O$2:$O$1201,0),"")</f>
        <v/>
      </c>
      <c r="I444" s="11" t="str">
        <f aca="false">IF(C444="","",G444&amp;" "&amp;D444&amp;" ("&amp;C444&amp;")")</f>
        <v/>
      </c>
    </row>
    <row r="445" customFormat="false" ht="15" hidden="false" customHeight="false" outlineLevel="0" collapsed="false">
      <c r="A445" s="16"/>
      <c r="B445" s="11" t="str">
        <f aca="false">IF($H445="","",INDEX(DECKS!$A$2:$A$1201,$H445))</f>
        <v/>
      </c>
      <c r="C445" s="11" t="str">
        <f aca="false">IF($H445="","",INDEX(DECKS!$B$2:$B$1201,$H445))</f>
        <v/>
      </c>
      <c r="D445" s="11" t="str">
        <f aca="false">IF($H445="","",INDEX(DECKS!$C$2:$C$1201,$H445))</f>
        <v/>
      </c>
      <c r="E445" s="16" t="str">
        <f aca="false">IF($H445="","",INDEX(DECKS!$D$2:$D$1201,$H445))</f>
        <v/>
      </c>
      <c r="F445" s="16" t="str">
        <f aca="false">IF($H445="","",INDEX(DECKS!$E$2:$E$1201,$H445))</f>
        <v/>
      </c>
      <c r="G445" s="21" t="str">
        <f aca="false">IF($H445="","",INDEX(DECKS!$F$2:$F$1201,$H445))</f>
        <v/>
      </c>
      <c r="H445" s="11" t="str">
        <f aca="false">IFERROR(MATCH(ROW()-1,DECKS!$O$2:$O$1201,0),"")</f>
        <v/>
      </c>
      <c r="I445" s="11" t="str">
        <f aca="false">IF(C445="","",G445&amp;" "&amp;D445&amp;" ("&amp;C445&amp;")")</f>
        <v/>
      </c>
    </row>
    <row r="446" customFormat="false" ht="15" hidden="false" customHeight="false" outlineLevel="0" collapsed="false">
      <c r="A446" s="16"/>
      <c r="B446" s="11" t="str">
        <f aca="false">IF($H446="","",INDEX(DECKS!$A$2:$A$1201,$H446))</f>
        <v/>
      </c>
      <c r="C446" s="11" t="str">
        <f aca="false">IF($H446="","",INDEX(DECKS!$B$2:$B$1201,$H446))</f>
        <v/>
      </c>
      <c r="D446" s="11" t="str">
        <f aca="false">IF($H446="","",INDEX(DECKS!$C$2:$C$1201,$H446))</f>
        <v/>
      </c>
      <c r="E446" s="16" t="str">
        <f aca="false">IF($H446="","",INDEX(DECKS!$D$2:$D$1201,$H446))</f>
        <v/>
      </c>
      <c r="F446" s="16" t="str">
        <f aca="false">IF($H446="","",INDEX(DECKS!$E$2:$E$1201,$H446))</f>
        <v/>
      </c>
      <c r="G446" s="21" t="str">
        <f aca="false">IF($H446="","",INDEX(DECKS!$F$2:$F$1201,$H446))</f>
        <v/>
      </c>
      <c r="H446" s="11" t="str">
        <f aca="false">IFERROR(MATCH(ROW()-1,DECKS!$O$2:$O$1201,0),"")</f>
        <v/>
      </c>
      <c r="I446" s="11" t="str">
        <f aca="false">IF(C446="","",G446&amp;" "&amp;D446&amp;" ("&amp;C446&amp;")")</f>
        <v/>
      </c>
    </row>
    <row r="447" customFormat="false" ht="15" hidden="false" customHeight="false" outlineLevel="0" collapsed="false">
      <c r="A447" s="16"/>
      <c r="B447" s="11" t="str">
        <f aca="false">IF($H447="","",INDEX(DECKS!$A$2:$A$1201,$H447))</f>
        <v/>
      </c>
      <c r="C447" s="11" t="str">
        <f aca="false">IF($H447="","",INDEX(DECKS!$B$2:$B$1201,$H447))</f>
        <v/>
      </c>
      <c r="D447" s="11" t="str">
        <f aca="false">IF($H447="","",INDEX(DECKS!$C$2:$C$1201,$H447))</f>
        <v/>
      </c>
      <c r="E447" s="16" t="str">
        <f aca="false">IF($H447="","",INDEX(DECKS!$D$2:$D$1201,$H447))</f>
        <v/>
      </c>
      <c r="F447" s="16" t="str">
        <f aca="false">IF($H447="","",INDEX(DECKS!$E$2:$E$1201,$H447))</f>
        <v/>
      </c>
      <c r="G447" s="21" t="str">
        <f aca="false">IF($H447="","",INDEX(DECKS!$F$2:$F$1201,$H447))</f>
        <v/>
      </c>
      <c r="H447" s="11" t="str">
        <f aca="false">IFERROR(MATCH(ROW()-1,DECKS!$O$2:$O$1201,0),"")</f>
        <v/>
      </c>
      <c r="I447" s="11" t="str">
        <f aca="false">IF(C447="","",G447&amp;" "&amp;D447&amp;" ("&amp;C447&amp;")")</f>
        <v/>
      </c>
    </row>
    <row r="448" customFormat="false" ht="15" hidden="false" customHeight="false" outlineLevel="0" collapsed="false">
      <c r="A448" s="16"/>
      <c r="B448" s="11" t="str">
        <f aca="false">IF($H448="","",INDEX(DECKS!$A$2:$A$1201,$H448))</f>
        <v/>
      </c>
      <c r="C448" s="11" t="str">
        <f aca="false">IF($H448="","",INDEX(DECKS!$B$2:$B$1201,$H448))</f>
        <v/>
      </c>
      <c r="D448" s="11" t="str">
        <f aca="false">IF($H448="","",INDEX(DECKS!$C$2:$C$1201,$H448))</f>
        <v/>
      </c>
      <c r="E448" s="16" t="str">
        <f aca="false">IF($H448="","",INDEX(DECKS!$D$2:$D$1201,$H448))</f>
        <v/>
      </c>
      <c r="F448" s="16" t="str">
        <f aca="false">IF($H448="","",INDEX(DECKS!$E$2:$E$1201,$H448))</f>
        <v/>
      </c>
      <c r="G448" s="21" t="str">
        <f aca="false">IF($H448="","",INDEX(DECKS!$F$2:$F$1201,$H448))</f>
        <v/>
      </c>
      <c r="H448" s="11" t="str">
        <f aca="false">IFERROR(MATCH(ROW()-1,DECKS!$O$2:$O$1201,0),"")</f>
        <v/>
      </c>
      <c r="I448" s="11" t="str">
        <f aca="false">IF(C448="","",G448&amp;" "&amp;D448&amp;" ("&amp;C448&amp;")")</f>
        <v/>
      </c>
    </row>
    <row r="449" customFormat="false" ht="15" hidden="false" customHeight="false" outlineLevel="0" collapsed="false">
      <c r="A449" s="16"/>
      <c r="B449" s="11" t="str">
        <f aca="false">IF($H449="","",INDEX(DECKS!$A$2:$A$1201,$H449))</f>
        <v/>
      </c>
      <c r="C449" s="11" t="str">
        <f aca="false">IF($H449="","",INDEX(DECKS!$B$2:$B$1201,$H449))</f>
        <v/>
      </c>
      <c r="D449" s="11" t="str">
        <f aca="false">IF($H449="","",INDEX(DECKS!$C$2:$C$1201,$H449))</f>
        <v/>
      </c>
      <c r="E449" s="16" t="str">
        <f aca="false">IF($H449="","",INDEX(DECKS!$D$2:$D$1201,$H449))</f>
        <v/>
      </c>
      <c r="F449" s="16" t="str">
        <f aca="false">IF($H449="","",INDEX(DECKS!$E$2:$E$1201,$H449))</f>
        <v/>
      </c>
      <c r="G449" s="21" t="str">
        <f aca="false">IF($H449="","",INDEX(DECKS!$F$2:$F$1201,$H449))</f>
        <v/>
      </c>
      <c r="H449" s="11" t="str">
        <f aca="false">IFERROR(MATCH(ROW()-1,DECKS!$O$2:$O$1201,0),"")</f>
        <v/>
      </c>
      <c r="I449" s="11" t="str">
        <f aca="false">IF(C449="","",G449&amp;" "&amp;D449&amp;" ("&amp;C449&amp;")")</f>
        <v/>
      </c>
    </row>
    <row r="450" customFormat="false" ht="15" hidden="false" customHeight="false" outlineLevel="0" collapsed="false">
      <c r="A450" s="16"/>
      <c r="B450" s="11" t="str">
        <f aca="false">IF($H450="","",INDEX(DECKS!$A$2:$A$1201,$H450))</f>
        <v/>
      </c>
      <c r="C450" s="11" t="str">
        <f aca="false">IF($H450="","",INDEX(DECKS!$B$2:$B$1201,$H450))</f>
        <v/>
      </c>
      <c r="D450" s="11" t="str">
        <f aca="false">IF($H450="","",INDEX(DECKS!$C$2:$C$1201,$H450))</f>
        <v/>
      </c>
      <c r="E450" s="16" t="str">
        <f aca="false">IF($H450="","",INDEX(DECKS!$D$2:$D$1201,$H450))</f>
        <v/>
      </c>
      <c r="F450" s="16" t="str">
        <f aca="false">IF($H450="","",INDEX(DECKS!$E$2:$E$1201,$H450))</f>
        <v/>
      </c>
      <c r="G450" s="21" t="str">
        <f aca="false">IF($H450="","",INDEX(DECKS!$F$2:$F$1201,$H450))</f>
        <v/>
      </c>
      <c r="H450" s="11" t="str">
        <f aca="false">IFERROR(MATCH(ROW()-1,DECKS!$O$2:$O$1201,0),"")</f>
        <v/>
      </c>
      <c r="I450" s="11" t="str">
        <f aca="false">IF(C450="","",G450&amp;" "&amp;D450&amp;" ("&amp;C450&amp;")")</f>
        <v/>
      </c>
    </row>
    <row r="451" customFormat="false" ht="15" hidden="false" customHeight="false" outlineLevel="0" collapsed="false">
      <c r="A451" s="16"/>
      <c r="B451" s="11" t="str">
        <f aca="false">IF($H451="","",INDEX(DECKS!$A$2:$A$1201,$H451))</f>
        <v/>
      </c>
      <c r="C451" s="11" t="str">
        <f aca="false">IF($H451="","",INDEX(DECKS!$B$2:$B$1201,$H451))</f>
        <v/>
      </c>
      <c r="D451" s="11" t="str">
        <f aca="false">IF($H451="","",INDEX(DECKS!$C$2:$C$1201,$H451))</f>
        <v/>
      </c>
      <c r="E451" s="16" t="str">
        <f aca="false">IF($H451="","",INDEX(DECKS!$D$2:$D$1201,$H451))</f>
        <v/>
      </c>
      <c r="F451" s="16" t="str">
        <f aca="false">IF($H451="","",INDEX(DECKS!$E$2:$E$1201,$H451))</f>
        <v/>
      </c>
      <c r="G451" s="21" t="str">
        <f aca="false">IF($H451="","",INDEX(DECKS!$F$2:$F$1201,$H451))</f>
        <v/>
      </c>
      <c r="H451" s="11" t="str">
        <f aca="false">IFERROR(MATCH(ROW()-1,DECKS!$O$2:$O$1201,0),"")</f>
        <v/>
      </c>
      <c r="I451" s="11" t="str">
        <f aca="false">IF(C451="","",G451&amp;" "&amp;D451&amp;" ("&amp;C451&amp;")")</f>
        <v/>
      </c>
    </row>
    <row r="452" customFormat="false" ht="15" hidden="false" customHeight="false" outlineLevel="0" collapsed="false">
      <c r="A452" s="16"/>
      <c r="B452" s="11" t="str">
        <f aca="false">IF($H452="","",INDEX(DECKS!$A$2:$A$1201,$H452))</f>
        <v/>
      </c>
      <c r="C452" s="11" t="str">
        <f aca="false">IF($H452="","",INDEX(DECKS!$B$2:$B$1201,$H452))</f>
        <v/>
      </c>
      <c r="D452" s="11" t="str">
        <f aca="false">IF($H452="","",INDEX(DECKS!$C$2:$C$1201,$H452))</f>
        <v/>
      </c>
      <c r="E452" s="16" t="str">
        <f aca="false">IF($H452="","",INDEX(DECKS!$D$2:$D$1201,$H452))</f>
        <v/>
      </c>
      <c r="F452" s="16" t="str">
        <f aca="false">IF($H452="","",INDEX(DECKS!$E$2:$E$1201,$H452))</f>
        <v/>
      </c>
      <c r="G452" s="21" t="str">
        <f aca="false">IF($H452="","",INDEX(DECKS!$F$2:$F$1201,$H452))</f>
        <v/>
      </c>
      <c r="H452" s="11" t="str">
        <f aca="false">IFERROR(MATCH(ROW()-1,DECKS!$O$2:$O$1201,0),"")</f>
        <v/>
      </c>
      <c r="I452" s="11" t="str">
        <f aca="false">IF(C452="","",G452&amp;" "&amp;D452&amp;" ("&amp;C452&amp;")")</f>
        <v/>
      </c>
    </row>
    <row r="453" customFormat="false" ht="15" hidden="false" customHeight="false" outlineLevel="0" collapsed="false">
      <c r="A453" s="16"/>
      <c r="B453" s="11" t="str">
        <f aca="false">IF($H453="","",INDEX(DECKS!$A$2:$A$1201,$H453))</f>
        <v/>
      </c>
      <c r="C453" s="11" t="str">
        <f aca="false">IF($H453="","",INDEX(DECKS!$B$2:$B$1201,$H453))</f>
        <v/>
      </c>
      <c r="D453" s="11" t="str">
        <f aca="false">IF($H453="","",INDEX(DECKS!$C$2:$C$1201,$H453))</f>
        <v/>
      </c>
      <c r="E453" s="16" t="str">
        <f aca="false">IF($H453="","",INDEX(DECKS!$D$2:$D$1201,$H453))</f>
        <v/>
      </c>
      <c r="F453" s="16" t="str">
        <f aca="false">IF($H453="","",INDEX(DECKS!$E$2:$E$1201,$H453))</f>
        <v/>
      </c>
      <c r="G453" s="21" t="str">
        <f aca="false">IF($H453="","",INDEX(DECKS!$F$2:$F$1201,$H453))</f>
        <v/>
      </c>
      <c r="H453" s="11" t="str">
        <f aca="false">IFERROR(MATCH(ROW()-1,DECKS!$O$2:$O$1201,0),"")</f>
        <v/>
      </c>
      <c r="I453" s="11" t="str">
        <f aca="false">IF(C453="","",G453&amp;" "&amp;D453&amp;" ("&amp;C453&amp;")")</f>
        <v/>
      </c>
    </row>
    <row r="454" customFormat="false" ht="15" hidden="false" customHeight="false" outlineLevel="0" collapsed="false">
      <c r="A454" s="16"/>
      <c r="B454" s="11" t="str">
        <f aca="false">IF($H454="","",INDEX(DECKS!$A$2:$A$1201,$H454))</f>
        <v/>
      </c>
      <c r="C454" s="11" t="str">
        <f aca="false">IF($H454="","",INDEX(DECKS!$B$2:$B$1201,$H454))</f>
        <v/>
      </c>
      <c r="D454" s="11" t="str">
        <f aca="false">IF($H454="","",INDEX(DECKS!$C$2:$C$1201,$H454))</f>
        <v/>
      </c>
      <c r="E454" s="16" t="str">
        <f aca="false">IF($H454="","",INDEX(DECKS!$D$2:$D$1201,$H454))</f>
        <v/>
      </c>
      <c r="F454" s="16" t="str">
        <f aca="false">IF($H454="","",INDEX(DECKS!$E$2:$E$1201,$H454))</f>
        <v/>
      </c>
      <c r="G454" s="21" t="str">
        <f aca="false">IF($H454="","",INDEX(DECKS!$F$2:$F$1201,$H454))</f>
        <v/>
      </c>
      <c r="H454" s="11" t="str">
        <f aca="false">IFERROR(MATCH(ROW()-1,DECKS!$O$2:$O$1201,0),"")</f>
        <v/>
      </c>
      <c r="I454" s="11" t="str">
        <f aca="false">IF(C454="","",G454&amp;" "&amp;D454&amp;" ("&amp;C454&amp;")")</f>
        <v/>
      </c>
    </row>
    <row r="455" customFormat="false" ht="15" hidden="false" customHeight="false" outlineLevel="0" collapsed="false">
      <c r="A455" s="16"/>
      <c r="B455" s="11" t="str">
        <f aca="false">IF($H455="","",INDEX(DECKS!$A$2:$A$1201,$H455))</f>
        <v/>
      </c>
      <c r="C455" s="11" t="str">
        <f aca="false">IF($H455="","",INDEX(DECKS!$B$2:$B$1201,$H455))</f>
        <v/>
      </c>
      <c r="D455" s="11" t="str">
        <f aca="false">IF($H455="","",INDEX(DECKS!$C$2:$C$1201,$H455))</f>
        <v/>
      </c>
      <c r="E455" s="16" t="str">
        <f aca="false">IF($H455="","",INDEX(DECKS!$D$2:$D$1201,$H455))</f>
        <v/>
      </c>
      <c r="F455" s="16" t="str">
        <f aca="false">IF($H455="","",INDEX(DECKS!$E$2:$E$1201,$H455))</f>
        <v/>
      </c>
      <c r="G455" s="21" t="str">
        <f aca="false">IF($H455="","",INDEX(DECKS!$F$2:$F$1201,$H455))</f>
        <v/>
      </c>
      <c r="H455" s="11" t="str">
        <f aca="false">IFERROR(MATCH(ROW()-1,DECKS!$O$2:$O$1201,0),"")</f>
        <v/>
      </c>
      <c r="I455" s="11" t="str">
        <f aca="false">IF(C455="","",G455&amp;" "&amp;D455&amp;" ("&amp;C455&amp;")")</f>
        <v/>
      </c>
    </row>
    <row r="456" customFormat="false" ht="15" hidden="false" customHeight="false" outlineLevel="0" collapsed="false">
      <c r="A456" s="16"/>
      <c r="B456" s="11" t="str">
        <f aca="false">IF($H456="","",INDEX(DECKS!$A$2:$A$1201,$H456))</f>
        <v/>
      </c>
      <c r="C456" s="11" t="str">
        <f aca="false">IF($H456="","",INDEX(DECKS!$B$2:$B$1201,$H456))</f>
        <v/>
      </c>
      <c r="D456" s="11" t="str">
        <f aca="false">IF($H456="","",INDEX(DECKS!$C$2:$C$1201,$H456))</f>
        <v/>
      </c>
      <c r="E456" s="16" t="str">
        <f aca="false">IF($H456="","",INDEX(DECKS!$D$2:$D$1201,$H456))</f>
        <v/>
      </c>
      <c r="F456" s="16" t="str">
        <f aca="false">IF($H456="","",INDEX(DECKS!$E$2:$E$1201,$H456))</f>
        <v/>
      </c>
      <c r="G456" s="21" t="str">
        <f aca="false">IF($H456="","",INDEX(DECKS!$F$2:$F$1201,$H456))</f>
        <v/>
      </c>
      <c r="H456" s="11" t="str">
        <f aca="false">IFERROR(MATCH(ROW()-1,DECKS!$O$2:$O$1201,0),"")</f>
        <v/>
      </c>
      <c r="I456" s="11" t="str">
        <f aca="false">IF(C456="","",G456&amp;" "&amp;D456&amp;" ("&amp;C456&amp;")")</f>
        <v/>
      </c>
    </row>
    <row r="457" customFormat="false" ht="15" hidden="false" customHeight="false" outlineLevel="0" collapsed="false">
      <c r="A457" s="16"/>
      <c r="B457" s="11" t="str">
        <f aca="false">IF($H457="","",INDEX(DECKS!$A$2:$A$1201,$H457))</f>
        <v/>
      </c>
      <c r="C457" s="11" t="str">
        <f aca="false">IF($H457="","",INDEX(DECKS!$B$2:$B$1201,$H457))</f>
        <v/>
      </c>
      <c r="D457" s="11" t="str">
        <f aca="false">IF($H457="","",INDEX(DECKS!$C$2:$C$1201,$H457))</f>
        <v/>
      </c>
      <c r="E457" s="16" t="str">
        <f aca="false">IF($H457="","",INDEX(DECKS!$D$2:$D$1201,$H457))</f>
        <v/>
      </c>
      <c r="F457" s="16" t="str">
        <f aca="false">IF($H457="","",INDEX(DECKS!$E$2:$E$1201,$H457))</f>
        <v/>
      </c>
      <c r="G457" s="21" t="str">
        <f aca="false">IF($H457="","",INDEX(DECKS!$F$2:$F$1201,$H457))</f>
        <v/>
      </c>
      <c r="H457" s="11" t="str">
        <f aca="false">IFERROR(MATCH(ROW()-1,DECKS!$O$2:$O$1201,0),"")</f>
        <v/>
      </c>
      <c r="I457" s="11" t="str">
        <f aca="false">IF(C457="","",G457&amp;" "&amp;D457&amp;" ("&amp;C457&amp;")")</f>
        <v/>
      </c>
    </row>
    <row r="458" customFormat="false" ht="15" hidden="false" customHeight="false" outlineLevel="0" collapsed="false">
      <c r="A458" s="16"/>
      <c r="B458" s="11" t="str">
        <f aca="false">IF($H458="","",INDEX(DECKS!$A$2:$A$1201,$H458))</f>
        <v/>
      </c>
      <c r="C458" s="11" t="str">
        <f aca="false">IF($H458="","",INDEX(DECKS!$B$2:$B$1201,$H458))</f>
        <v/>
      </c>
      <c r="D458" s="11" t="str">
        <f aca="false">IF($H458="","",INDEX(DECKS!$C$2:$C$1201,$H458))</f>
        <v/>
      </c>
      <c r="E458" s="16" t="str">
        <f aca="false">IF($H458="","",INDEX(DECKS!$D$2:$D$1201,$H458))</f>
        <v/>
      </c>
      <c r="F458" s="16" t="str">
        <f aca="false">IF($H458="","",INDEX(DECKS!$E$2:$E$1201,$H458))</f>
        <v/>
      </c>
      <c r="G458" s="21" t="str">
        <f aca="false">IF($H458="","",INDEX(DECKS!$F$2:$F$1201,$H458))</f>
        <v/>
      </c>
      <c r="H458" s="11" t="str">
        <f aca="false">IFERROR(MATCH(ROW()-1,DECKS!$O$2:$O$1201,0),"")</f>
        <v/>
      </c>
      <c r="I458" s="11" t="str">
        <f aca="false">IF(C458="","",G458&amp;" "&amp;D458&amp;" ("&amp;C458&amp;")")</f>
        <v/>
      </c>
    </row>
    <row r="459" customFormat="false" ht="15" hidden="false" customHeight="false" outlineLevel="0" collapsed="false">
      <c r="A459" s="16"/>
      <c r="B459" s="11" t="str">
        <f aca="false">IF($H459="","",INDEX(DECKS!$A$2:$A$1201,$H459))</f>
        <v/>
      </c>
      <c r="C459" s="11" t="str">
        <f aca="false">IF($H459="","",INDEX(DECKS!$B$2:$B$1201,$H459))</f>
        <v/>
      </c>
      <c r="D459" s="11" t="str">
        <f aca="false">IF($H459="","",INDEX(DECKS!$C$2:$C$1201,$H459))</f>
        <v/>
      </c>
      <c r="E459" s="16" t="str">
        <f aca="false">IF($H459="","",INDEX(DECKS!$D$2:$D$1201,$H459))</f>
        <v/>
      </c>
      <c r="F459" s="16" t="str">
        <f aca="false">IF($H459="","",INDEX(DECKS!$E$2:$E$1201,$H459))</f>
        <v/>
      </c>
      <c r="G459" s="21" t="str">
        <f aca="false">IF($H459="","",INDEX(DECKS!$F$2:$F$1201,$H459))</f>
        <v/>
      </c>
      <c r="H459" s="11" t="str">
        <f aca="false">IFERROR(MATCH(ROW()-1,DECKS!$O$2:$O$1201,0),"")</f>
        <v/>
      </c>
      <c r="I459" s="11" t="str">
        <f aca="false">IF(C459="","",G459&amp;" "&amp;D459&amp;" ("&amp;C459&amp;")")</f>
        <v/>
      </c>
    </row>
    <row r="460" customFormat="false" ht="15" hidden="false" customHeight="false" outlineLevel="0" collapsed="false">
      <c r="A460" s="16"/>
      <c r="B460" s="11" t="str">
        <f aca="false">IF($H460="","",INDEX(DECKS!$A$2:$A$1201,$H460))</f>
        <v/>
      </c>
      <c r="C460" s="11" t="str">
        <f aca="false">IF($H460="","",INDEX(DECKS!$B$2:$B$1201,$H460))</f>
        <v/>
      </c>
      <c r="D460" s="11" t="str">
        <f aca="false">IF($H460="","",INDEX(DECKS!$C$2:$C$1201,$H460))</f>
        <v/>
      </c>
      <c r="E460" s="16" t="str">
        <f aca="false">IF($H460="","",INDEX(DECKS!$D$2:$D$1201,$H460))</f>
        <v/>
      </c>
      <c r="F460" s="16" t="str">
        <f aca="false">IF($H460="","",INDEX(DECKS!$E$2:$E$1201,$H460))</f>
        <v/>
      </c>
      <c r="G460" s="21" t="str">
        <f aca="false">IF($H460="","",INDEX(DECKS!$F$2:$F$1201,$H460))</f>
        <v/>
      </c>
      <c r="H460" s="11" t="str">
        <f aca="false">IFERROR(MATCH(ROW()-1,DECKS!$O$2:$O$1201,0),"")</f>
        <v/>
      </c>
      <c r="I460" s="11" t="str">
        <f aca="false">IF(C460="","",G460&amp;" "&amp;D460&amp;" ("&amp;C460&amp;")")</f>
        <v/>
      </c>
    </row>
    <row r="461" customFormat="false" ht="15" hidden="false" customHeight="false" outlineLevel="0" collapsed="false">
      <c r="A461" s="16"/>
      <c r="B461" s="11" t="str">
        <f aca="false">IF($H461="","",INDEX(DECKS!$A$2:$A$1201,$H461))</f>
        <v/>
      </c>
      <c r="C461" s="11" t="str">
        <f aca="false">IF($H461="","",INDEX(DECKS!$B$2:$B$1201,$H461))</f>
        <v/>
      </c>
      <c r="D461" s="11" t="str">
        <f aca="false">IF($H461="","",INDEX(DECKS!$C$2:$C$1201,$H461))</f>
        <v/>
      </c>
      <c r="E461" s="16" t="str">
        <f aca="false">IF($H461="","",INDEX(DECKS!$D$2:$D$1201,$H461))</f>
        <v/>
      </c>
      <c r="F461" s="16" t="str">
        <f aca="false">IF($H461="","",INDEX(DECKS!$E$2:$E$1201,$H461))</f>
        <v/>
      </c>
      <c r="G461" s="21" t="str">
        <f aca="false">IF($H461="","",INDEX(DECKS!$F$2:$F$1201,$H461))</f>
        <v/>
      </c>
      <c r="H461" s="11" t="str">
        <f aca="false">IFERROR(MATCH(ROW()-1,DECKS!$O$2:$O$1201,0),"")</f>
        <v/>
      </c>
      <c r="I461" s="11" t="str">
        <f aca="false">IF(C461="","",G461&amp;" "&amp;D461&amp;" ("&amp;C461&amp;")")</f>
        <v/>
      </c>
    </row>
    <row r="462" customFormat="false" ht="15" hidden="false" customHeight="false" outlineLevel="0" collapsed="false">
      <c r="A462" s="16"/>
      <c r="B462" s="11" t="str">
        <f aca="false">IF($H462="","",INDEX(DECKS!$A$2:$A$1201,$H462))</f>
        <v/>
      </c>
      <c r="C462" s="11" t="str">
        <f aca="false">IF($H462="","",INDEX(DECKS!$B$2:$B$1201,$H462))</f>
        <v/>
      </c>
      <c r="D462" s="11" t="str">
        <f aca="false">IF($H462="","",INDEX(DECKS!$C$2:$C$1201,$H462))</f>
        <v/>
      </c>
      <c r="E462" s="16" t="str">
        <f aca="false">IF($H462="","",INDEX(DECKS!$D$2:$D$1201,$H462))</f>
        <v/>
      </c>
      <c r="F462" s="16" t="str">
        <f aca="false">IF($H462="","",INDEX(DECKS!$E$2:$E$1201,$H462))</f>
        <v/>
      </c>
      <c r="G462" s="21" t="str">
        <f aca="false">IF($H462="","",INDEX(DECKS!$F$2:$F$1201,$H462))</f>
        <v/>
      </c>
      <c r="H462" s="11" t="str">
        <f aca="false">IFERROR(MATCH(ROW()-1,DECKS!$O$2:$O$1201,0),"")</f>
        <v/>
      </c>
      <c r="I462" s="11" t="str">
        <f aca="false">IF(C462="","",G462&amp;" "&amp;D462&amp;" ("&amp;C462&amp;")")</f>
        <v/>
      </c>
    </row>
    <row r="463" customFormat="false" ht="15" hidden="false" customHeight="false" outlineLevel="0" collapsed="false">
      <c r="A463" s="16"/>
      <c r="B463" s="11" t="str">
        <f aca="false">IF($H463="","",INDEX(DECKS!$A$2:$A$1201,$H463))</f>
        <v/>
      </c>
      <c r="C463" s="11" t="str">
        <f aca="false">IF($H463="","",INDEX(DECKS!$B$2:$B$1201,$H463))</f>
        <v/>
      </c>
      <c r="D463" s="11" t="str">
        <f aca="false">IF($H463="","",INDEX(DECKS!$C$2:$C$1201,$H463))</f>
        <v/>
      </c>
      <c r="E463" s="16" t="str">
        <f aca="false">IF($H463="","",INDEX(DECKS!$D$2:$D$1201,$H463))</f>
        <v/>
      </c>
      <c r="F463" s="16" t="str">
        <f aca="false">IF($H463="","",INDEX(DECKS!$E$2:$E$1201,$H463))</f>
        <v/>
      </c>
      <c r="G463" s="21" t="str">
        <f aca="false">IF($H463="","",INDEX(DECKS!$F$2:$F$1201,$H463))</f>
        <v/>
      </c>
      <c r="H463" s="11" t="str">
        <f aca="false">IFERROR(MATCH(ROW()-1,DECKS!$O$2:$O$1201,0),"")</f>
        <v/>
      </c>
      <c r="I463" s="11" t="str">
        <f aca="false">IF(C463="","",G463&amp;" "&amp;D463&amp;" ("&amp;C463&amp;")")</f>
        <v/>
      </c>
    </row>
    <row r="464" customFormat="false" ht="15" hidden="false" customHeight="false" outlineLevel="0" collapsed="false">
      <c r="A464" s="16"/>
      <c r="B464" s="11" t="str">
        <f aca="false">IF($H464="","",INDEX(DECKS!$A$2:$A$1201,$H464))</f>
        <v/>
      </c>
      <c r="C464" s="11" t="str">
        <f aca="false">IF($H464="","",INDEX(DECKS!$B$2:$B$1201,$H464))</f>
        <v/>
      </c>
      <c r="D464" s="11" t="str">
        <f aca="false">IF($H464="","",INDEX(DECKS!$C$2:$C$1201,$H464))</f>
        <v/>
      </c>
      <c r="E464" s="16" t="str">
        <f aca="false">IF($H464="","",INDEX(DECKS!$D$2:$D$1201,$H464))</f>
        <v/>
      </c>
      <c r="F464" s="16" t="str">
        <f aca="false">IF($H464="","",INDEX(DECKS!$E$2:$E$1201,$H464))</f>
        <v/>
      </c>
      <c r="G464" s="21" t="str">
        <f aca="false">IF($H464="","",INDEX(DECKS!$F$2:$F$1201,$H464))</f>
        <v/>
      </c>
      <c r="H464" s="11" t="str">
        <f aca="false">IFERROR(MATCH(ROW()-1,DECKS!$O$2:$O$1201,0),"")</f>
        <v/>
      </c>
      <c r="I464" s="11" t="str">
        <f aca="false">IF(C464="","",G464&amp;" "&amp;D464&amp;" ("&amp;C464&amp;")")</f>
        <v/>
      </c>
    </row>
    <row r="465" customFormat="false" ht="15" hidden="false" customHeight="false" outlineLevel="0" collapsed="false">
      <c r="A465" s="16"/>
      <c r="B465" s="11" t="str">
        <f aca="false">IF($H465="","",INDEX(DECKS!$A$2:$A$1201,$H465))</f>
        <v/>
      </c>
      <c r="C465" s="11" t="str">
        <f aca="false">IF($H465="","",INDEX(DECKS!$B$2:$B$1201,$H465))</f>
        <v/>
      </c>
      <c r="D465" s="11" t="str">
        <f aca="false">IF($H465="","",INDEX(DECKS!$C$2:$C$1201,$H465))</f>
        <v/>
      </c>
      <c r="E465" s="16" t="str">
        <f aca="false">IF($H465="","",INDEX(DECKS!$D$2:$D$1201,$H465))</f>
        <v/>
      </c>
      <c r="F465" s="16" t="str">
        <f aca="false">IF($H465="","",INDEX(DECKS!$E$2:$E$1201,$H465))</f>
        <v/>
      </c>
      <c r="G465" s="21" t="str">
        <f aca="false">IF($H465="","",INDEX(DECKS!$F$2:$F$1201,$H465))</f>
        <v/>
      </c>
      <c r="H465" s="11" t="str">
        <f aca="false">IFERROR(MATCH(ROW()-1,DECKS!$O$2:$O$1201,0),"")</f>
        <v/>
      </c>
      <c r="I465" s="11" t="str">
        <f aca="false">IF(C465="","",G465&amp;" "&amp;D465&amp;" ("&amp;C465&amp;")")</f>
        <v/>
      </c>
    </row>
    <row r="466" customFormat="false" ht="15" hidden="false" customHeight="false" outlineLevel="0" collapsed="false">
      <c r="A466" s="16"/>
      <c r="B466" s="11" t="str">
        <f aca="false">IF($H466="","",INDEX(DECKS!$A$2:$A$1201,$H466))</f>
        <v/>
      </c>
      <c r="C466" s="11" t="str">
        <f aca="false">IF($H466="","",INDEX(DECKS!$B$2:$B$1201,$H466))</f>
        <v/>
      </c>
      <c r="D466" s="11" t="str">
        <f aca="false">IF($H466="","",INDEX(DECKS!$C$2:$C$1201,$H466))</f>
        <v/>
      </c>
      <c r="E466" s="16" t="str">
        <f aca="false">IF($H466="","",INDEX(DECKS!$D$2:$D$1201,$H466))</f>
        <v/>
      </c>
      <c r="F466" s="16" t="str">
        <f aca="false">IF($H466="","",INDEX(DECKS!$E$2:$E$1201,$H466))</f>
        <v/>
      </c>
      <c r="G466" s="21" t="str">
        <f aca="false">IF($H466="","",INDEX(DECKS!$F$2:$F$1201,$H466))</f>
        <v/>
      </c>
      <c r="H466" s="11" t="str">
        <f aca="false">IFERROR(MATCH(ROW()-1,DECKS!$O$2:$O$1201,0),"")</f>
        <v/>
      </c>
      <c r="I466" s="11" t="str">
        <f aca="false">IF(C466="","",G466&amp;" "&amp;D466&amp;" ("&amp;C466&amp;")")</f>
        <v/>
      </c>
    </row>
    <row r="467" customFormat="false" ht="15" hidden="false" customHeight="false" outlineLevel="0" collapsed="false">
      <c r="A467" s="16"/>
      <c r="B467" s="11" t="str">
        <f aca="false">IF($H467="","",INDEX(DECKS!$A$2:$A$1201,$H467))</f>
        <v/>
      </c>
      <c r="C467" s="11" t="str">
        <f aca="false">IF($H467="","",INDEX(DECKS!$B$2:$B$1201,$H467))</f>
        <v/>
      </c>
      <c r="D467" s="11" t="str">
        <f aca="false">IF($H467="","",INDEX(DECKS!$C$2:$C$1201,$H467))</f>
        <v/>
      </c>
      <c r="E467" s="16" t="str">
        <f aca="false">IF($H467="","",INDEX(DECKS!$D$2:$D$1201,$H467))</f>
        <v/>
      </c>
      <c r="F467" s="16" t="str">
        <f aca="false">IF($H467="","",INDEX(DECKS!$E$2:$E$1201,$H467))</f>
        <v/>
      </c>
      <c r="G467" s="21" t="str">
        <f aca="false">IF($H467="","",INDEX(DECKS!$F$2:$F$1201,$H467))</f>
        <v/>
      </c>
      <c r="H467" s="11" t="str">
        <f aca="false">IFERROR(MATCH(ROW()-1,DECKS!$O$2:$O$1201,0),"")</f>
        <v/>
      </c>
      <c r="I467" s="11" t="str">
        <f aca="false">IF(C467="","",G467&amp;" "&amp;D467&amp;" ("&amp;C467&amp;")")</f>
        <v/>
      </c>
    </row>
    <row r="468" customFormat="false" ht="15" hidden="false" customHeight="false" outlineLevel="0" collapsed="false">
      <c r="A468" s="16"/>
      <c r="B468" s="11" t="str">
        <f aca="false">IF($H468="","",INDEX(DECKS!$A$2:$A$1201,$H468))</f>
        <v/>
      </c>
      <c r="C468" s="11" t="str">
        <f aca="false">IF($H468="","",INDEX(DECKS!$B$2:$B$1201,$H468))</f>
        <v/>
      </c>
      <c r="D468" s="11" t="str">
        <f aca="false">IF($H468="","",INDEX(DECKS!$C$2:$C$1201,$H468))</f>
        <v/>
      </c>
      <c r="E468" s="16" t="str">
        <f aca="false">IF($H468="","",INDEX(DECKS!$D$2:$D$1201,$H468))</f>
        <v/>
      </c>
      <c r="F468" s="16" t="str">
        <f aca="false">IF($H468="","",INDEX(DECKS!$E$2:$E$1201,$H468))</f>
        <v/>
      </c>
      <c r="G468" s="21" t="str">
        <f aca="false">IF($H468="","",INDEX(DECKS!$F$2:$F$1201,$H468))</f>
        <v/>
      </c>
      <c r="H468" s="11" t="str">
        <f aca="false">IFERROR(MATCH(ROW()-1,DECKS!$O$2:$O$1201,0),"")</f>
        <v/>
      </c>
      <c r="I468" s="11" t="str">
        <f aca="false">IF(C468="","",G468&amp;" "&amp;D468&amp;" ("&amp;C468&amp;")")</f>
        <v/>
      </c>
    </row>
    <row r="469" customFormat="false" ht="15" hidden="false" customHeight="false" outlineLevel="0" collapsed="false">
      <c r="A469" s="16"/>
      <c r="B469" s="11" t="str">
        <f aca="false">IF($H469="","",INDEX(DECKS!$A$2:$A$1201,$H469))</f>
        <v/>
      </c>
      <c r="C469" s="11" t="str">
        <f aca="false">IF($H469="","",INDEX(DECKS!$B$2:$B$1201,$H469))</f>
        <v/>
      </c>
      <c r="D469" s="11" t="str">
        <f aca="false">IF($H469="","",INDEX(DECKS!$C$2:$C$1201,$H469))</f>
        <v/>
      </c>
      <c r="E469" s="16" t="str">
        <f aca="false">IF($H469="","",INDEX(DECKS!$D$2:$D$1201,$H469))</f>
        <v/>
      </c>
      <c r="F469" s="16" t="str">
        <f aca="false">IF($H469="","",INDEX(DECKS!$E$2:$E$1201,$H469))</f>
        <v/>
      </c>
      <c r="G469" s="21" t="str">
        <f aca="false">IF($H469="","",INDEX(DECKS!$F$2:$F$1201,$H469))</f>
        <v/>
      </c>
      <c r="H469" s="11" t="str">
        <f aca="false">IFERROR(MATCH(ROW()-1,DECKS!$O$2:$O$1201,0),"")</f>
        <v/>
      </c>
      <c r="I469" s="11" t="str">
        <f aca="false">IF(C469="","",G469&amp;" "&amp;D469&amp;" ("&amp;C469&amp;")")</f>
        <v/>
      </c>
    </row>
    <row r="470" customFormat="false" ht="15" hidden="false" customHeight="false" outlineLevel="0" collapsed="false">
      <c r="A470" s="16"/>
      <c r="B470" s="11" t="str">
        <f aca="false">IF($H470="","",INDEX(DECKS!$A$2:$A$1201,$H470))</f>
        <v/>
      </c>
      <c r="C470" s="11" t="str">
        <f aca="false">IF($H470="","",INDEX(DECKS!$B$2:$B$1201,$H470))</f>
        <v/>
      </c>
      <c r="D470" s="11" t="str">
        <f aca="false">IF($H470="","",INDEX(DECKS!$C$2:$C$1201,$H470))</f>
        <v/>
      </c>
      <c r="E470" s="16" t="str">
        <f aca="false">IF($H470="","",INDEX(DECKS!$D$2:$D$1201,$H470))</f>
        <v/>
      </c>
      <c r="F470" s="16" t="str">
        <f aca="false">IF($H470="","",INDEX(DECKS!$E$2:$E$1201,$H470))</f>
        <v/>
      </c>
      <c r="G470" s="21" t="str">
        <f aca="false">IF($H470="","",INDEX(DECKS!$F$2:$F$1201,$H470))</f>
        <v/>
      </c>
      <c r="H470" s="11" t="str">
        <f aca="false">IFERROR(MATCH(ROW()-1,DECKS!$O$2:$O$1201,0),"")</f>
        <v/>
      </c>
      <c r="I470" s="11" t="str">
        <f aca="false">IF(C470="","",G470&amp;" "&amp;D470&amp;" ("&amp;C470&amp;")")</f>
        <v/>
      </c>
    </row>
    <row r="471" customFormat="false" ht="15" hidden="false" customHeight="false" outlineLevel="0" collapsed="false">
      <c r="A471" s="16"/>
      <c r="B471" s="11" t="str">
        <f aca="false">IF($H471="","",INDEX(DECKS!$A$2:$A$1201,$H471))</f>
        <v/>
      </c>
      <c r="C471" s="11" t="str">
        <f aca="false">IF($H471="","",INDEX(DECKS!$B$2:$B$1201,$H471))</f>
        <v/>
      </c>
      <c r="D471" s="11" t="str">
        <f aca="false">IF($H471="","",INDEX(DECKS!$C$2:$C$1201,$H471))</f>
        <v/>
      </c>
      <c r="E471" s="16" t="str">
        <f aca="false">IF($H471="","",INDEX(DECKS!$D$2:$D$1201,$H471))</f>
        <v/>
      </c>
      <c r="F471" s="16" t="str">
        <f aca="false">IF($H471="","",INDEX(DECKS!$E$2:$E$1201,$H471))</f>
        <v/>
      </c>
      <c r="G471" s="21" t="str">
        <f aca="false">IF($H471="","",INDEX(DECKS!$F$2:$F$1201,$H471))</f>
        <v/>
      </c>
      <c r="H471" s="11" t="str">
        <f aca="false">IFERROR(MATCH(ROW()-1,DECKS!$O$2:$O$1201,0),"")</f>
        <v/>
      </c>
      <c r="I471" s="11" t="str">
        <f aca="false">IF(C471="","",G471&amp;" "&amp;D471&amp;" ("&amp;C471&amp;")")</f>
        <v/>
      </c>
    </row>
    <row r="472" customFormat="false" ht="15" hidden="false" customHeight="false" outlineLevel="0" collapsed="false">
      <c r="A472" s="16"/>
      <c r="B472" s="11" t="str">
        <f aca="false">IF($H472="","",INDEX(DECKS!$A$2:$A$1201,$H472))</f>
        <v/>
      </c>
      <c r="C472" s="11" t="str">
        <f aca="false">IF($H472="","",INDEX(DECKS!$B$2:$B$1201,$H472))</f>
        <v/>
      </c>
      <c r="D472" s="11" t="str">
        <f aca="false">IF($H472="","",INDEX(DECKS!$C$2:$C$1201,$H472))</f>
        <v/>
      </c>
      <c r="E472" s="16" t="str">
        <f aca="false">IF($H472="","",INDEX(DECKS!$D$2:$D$1201,$H472))</f>
        <v/>
      </c>
      <c r="F472" s="16" t="str">
        <f aca="false">IF($H472="","",INDEX(DECKS!$E$2:$E$1201,$H472))</f>
        <v/>
      </c>
      <c r="G472" s="21" t="str">
        <f aca="false">IF($H472="","",INDEX(DECKS!$F$2:$F$1201,$H472))</f>
        <v/>
      </c>
      <c r="H472" s="11" t="str">
        <f aca="false">IFERROR(MATCH(ROW()-1,DECKS!$O$2:$O$1201,0),"")</f>
        <v/>
      </c>
      <c r="I472" s="11" t="str">
        <f aca="false">IF(C472="","",G472&amp;" "&amp;D472&amp;" ("&amp;C472&amp;")")</f>
        <v/>
      </c>
    </row>
    <row r="473" customFormat="false" ht="15" hidden="false" customHeight="false" outlineLevel="0" collapsed="false">
      <c r="A473" s="16"/>
      <c r="B473" s="11" t="str">
        <f aca="false">IF($H473="","",INDEX(DECKS!$A$2:$A$1201,$H473))</f>
        <v/>
      </c>
      <c r="C473" s="11" t="str">
        <f aca="false">IF($H473="","",INDEX(DECKS!$B$2:$B$1201,$H473))</f>
        <v/>
      </c>
      <c r="D473" s="11" t="str">
        <f aca="false">IF($H473="","",INDEX(DECKS!$C$2:$C$1201,$H473))</f>
        <v/>
      </c>
      <c r="E473" s="16" t="str">
        <f aca="false">IF($H473="","",INDEX(DECKS!$D$2:$D$1201,$H473))</f>
        <v/>
      </c>
      <c r="F473" s="16" t="str">
        <f aca="false">IF($H473="","",INDEX(DECKS!$E$2:$E$1201,$H473))</f>
        <v/>
      </c>
      <c r="G473" s="21" t="str">
        <f aca="false">IF($H473="","",INDEX(DECKS!$F$2:$F$1201,$H473))</f>
        <v/>
      </c>
      <c r="H473" s="11" t="str">
        <f aca="false">IFERROR(MATCH(ROW()-1,DECKS!$O$2:$O$1201,0),"")</f>
        <v/>
      </c>
      <c r="I473" s="11" t="str">
        <f aca="false">IF(C473="","",G473&amp;" "&amp;D473&amp;" ("&amp;C473&amp;")")</f>
        <v/>
      </c>
    </row>
    <row r="474" customFormat="false" ht="15" hidden="false" customHeight="false" outlineLevel="0" collapsed="false">
      <c r="A474" s="16"/>
      <c r="B474" s="11" t="str">
        <f aca="false">IF($H474="","",INDEX(DECKS!$A$2:$A$1201,$H474))</f>
        <v/>
      </c>
      <c r="C474" s="11" t="str">
        <f aca="false">IF($H474="","",INDEX(DECKS!$B$2:$B$1201,$H474))</f>
        <v/>
      </c>
      <c r="D474" s="11" t="str">
        <f aca="false">IF($H474="","",INDEX(DECKS!$C$2:$C$1201,$H474))</f>
        <v/>
      </c>
      <c r="E474" s="16" t="str">
        <f aca="false">IF($H474="","",INDEX(DECKS!$D$2:$D$1201,$H474))</f>
        <v/>
      </c>
      <c r="F474" s="16" t="str">
        <f aca="false">IF($H474="","",INDEX(DECKS!$E$2:$E$1201,$H474))</f>
        <v/>
      </c>
      <c r="G474" s="21" t="str">
        <f aca="false">IF($H474="","",INDEX(DECKS!$F$2:$F$1201,$H474))</f>
        <v/>
      </c>
      <c r="H474" s="11" t="str">
        <f aca="false">IFERROR(MATCH(ROW()-1,DECKS!$O$2:$O$1201,0),"")</f>
        <v/>
      </c>
      <c r="I474" s="11" t="str">
        <f aca="false">IF(C474="","",G474&amp;" "&amp;D474&amp;" ("&amp;C474&amp;")")</f>
        <v/>
      </c>
    </row>
    <row r="475" customFormat="false" ht="15" hidden="false" customHeight="false" outlineLevel="0" collapsed="false">
      <c r="A475" s="16"/>
      <c r="B475" s="11" t="str">
        <f aca="false">IF($H475="","",INDEX(DECKS!$A$2:$A$1201,$H475))</f>
        <v/>
      </c>
      <c r="C475" s="11" t="str">
        <f aca="false">IF($H475="","",INDEX(DECKS!$B$2:$B$1201,$H475))</f>
        <v/>
      </c>
      <c r="D475" s="11" t="str">
        <f aca="false">IF($H475="","",INDEX(DECKS!$C$2:$C$1201,$H475))</f>
        <v/>
      </c>
      <c r="E475" s="16" t="str">
        <f aca="false">IF($H475="","",INDEX(DECKS!$D$2:$D$1201,$H475))</f>
        <v/>
      </c>
      <c r="F475" s="16" t="str">
        <f aca="false">IF($H475="","",INDEX(DECKS!$E$2:$E$1201,$H475))</f>
        <v/>
      </c>
      <c r="G475" s="21" t="str">
        <f aca="false">IF($H475="","",INDEX(DECKS!$F$2:$F$1201,$H475))</f>
        <v/>
      </c>
      <c r="H475" s="11" t="str">
        <f aca="false">IFERROR(MATCH(ROW()-1,DECKS!$O$2:$O$1201,0),"")</f>
        <v/>
      </c>
      <c r="I475" s="11" t="str">
        <f aca="false">IF(C475="","",G475&amp;" "&amp;D475&amp;" ("&amp;C475&amp;")")</f>
        <v/>
      </c>
    </row>
    <row r="476" customFormat="false" ht="15" hidden="false" customHeight="false" outlineLevel="0" collapsed="false">
      <c r="A476" s="16"/>
      <c r="B476" s="11" t="str">
        <f aca="false">IF($H476="","",INDEX(DECKS!$A$2:$A$1201,$H476))</f>
        <v/>
      </c>
      <c r="C476" s="11" t="str">
        <f aca="false">IF($H476="","",INDEX(DECKS!$B$2:$B$1201,$H476))</f>
        <v/>
      </c>
      <c r="D476" s="11" t="str">
        <f aca="false">IF($H476="","",INDEX(DECKS!$C$2:$C$1201,$H476))</f>
        <v/>
      </c>
      <c r="E476" s="16" t="str">
        <f aca="false">IF($H476="","",INDEX(DECKS!$D$2:$D$1201,$H476))</f>
        <v/>
      </c>
      <c r="F476" s="16" t="str">
        <f aca="false">IF($H476="","",INDEX(DECKS!$E$2:$E$1201,$H476))</f>
        <v/>
      </c>
      <c r="G476" s="21" t="str">
        <f aca="false">IF($H476="","",INDEX(DECKS!$F$2:$F$1201,$H476))</f>
        <v/>
      </c>
      <c r="H476" s="11" t="str">
        <f aca="false">IFERROR(MATCH(ROW()-1,DECKS!$O$2:$O$1201,0),"")</f>
        <v/>
      </c>
      <c r="I476" s="11" t="str">
        <f aca="false">IF(C476="","",G476&amp;" "&amp;D476&amp;" ("&amp;C476&amp;")")</f>
        <v/>
      </c>
    </row>
    <row r="477" customFormat="false" ht="15" hidden="false" customHeight="false" outlineLevel="0" collapsed="false">
      <c r="A477" s="16"/>
      <c r="B477" s="11" t="str">
        <f aca="false">IF($H477="","",INDEX(DECKS!$A$2:$A$1201,$H477))</f>
        <v/>
      </c>
      <c r="C477" s="11" t="str">
        <f aca="false">IF($H477="","",INDEX(DECKS!$B$2:$B$1201,$H477))</f>
        <v/>
      </c>
      <c r="D477" s="11" t="str">
        <f aca="false">IF($H477="","",INDEX(DECKS!$C$2:$C$1201,$H477))</f>
        <v/>
      </c>
      <c r="E477" s="16" t="str">
        <f aca="false">IF($H477="","",INDEX(DECKS!$D$2:$D$1201,$H477))</f>
        <v/>
      </c>
      <c r="F477" s="16" t="str">
        <f aca="false">IF($H477="","",INDEX(DECKS!$E$2:$E$1201,$H477))</f>
        <v/>
      </c>
      <c r="G477" s="21" t="str">
        <f aca="false">IF($H477="","",INDEX(DECKS!$F$2:$F$1201,$H477))</f>
        <v/>
      </c>
      <c r="H477" s="11" t="str">
        <f aca="false">IFERROR(MATCH(ROW()-1,DECKS!$O$2:$O$1201,0),"")</f>
        <v/>
      </c>
      <c r="I477" s="11" t="str">
        <f aca="false">IF(C477="","",G477&amp;" "&amp;D477&amp;" ("&amp;C477&amp;")")</f>
        <v/>
      </c>
    </row>
    <row r="478" customFormat="false" ht="15" hidden="false" customHeight="false" outlineLevel="0" collapsed="false">
      <c r="A478" s="16"/>
      <c r="B478" s="11" t="str">
        <f aca="false">IF($H478="","",INDEX(DECKS!$A$2:$A$1201,$H478))</f>
        <v/>
      </c>
      <c r="C478" s="11" t="str">
        <f aca="false">IF($H478="","",INDEX(DECKS!$B$2:$B$1201,$H478))</f>
        <v/>
      </c>
      <c r="D478" s="11" t="str">
        <f aca="false">IF($H478="","",INDEX(DECKS!$C$2:$C$1201,$H478))</f>
        <v/>
      </c>
      <c r="E478" s="16" t="str">
        <f aca="false">IF($H478="","",INDEX(DECKS!$D$2:$D$1201,$H478))</f>
        <v/>
      </c>
      <c r="F478" s="16" t="str">
        <f aca="false">IF($H478="","",INDEX(DECKS!$E$2:$E$1201,$H478))</f>
        <v/>
      </c>
      <c r="G478" s="21" t="str">
        <f aca="false">IF($H478="","",INDEX(DECKS!$F$2:$F$1201,$H478))</f>
        <v/>
      </c>
      <c r="H478" s="11" t="str">
        <f aca="false">IFERROR(MATCH(ROW()-1,DECKS!$O$2:$O$1201,0),"")</f>
        <v/>
      </c>
      <c r="I478" s="11" t="str">
        <f aca="false">IF(C478="","",G478&amp;" "&amp;D478&amp;" ("&amp;C478&amp;")")</f>
        <v/>
      </c>
    </row>
    <row r="479" customFormat="false" ht="15" hidden="false" customHeight="false" outlineLevel="0" collapsed="false">
      <c r="A479" s="16"/>
      <c r="B479" s="11" t="str">
        <f aca="false">IF($H479="","",INDEX(DECKS!$A$2:$A$1201,$H479))</f>
        <v/>
      </c>
      <c r="C479" s="11" t="str">
        <f aca="false">IF($H479="","",INDEX(DECKS!$B$2:$B$1201,$H479))</f>
        <v/>
      </c>
      <c r="D479" s="11" t="str">
        <f aca="false">IF($H479="","",INDEX(DECKS!$C$2:$C$1201,$H479))</f>
        <v/>
      </c>
      <c r="E479" s="16" t="str">
        <f aca="false">IF($H479="","",INDEX(DECKS!$D$2:$D$1201,$H479))</f>
        <v/>
      </c>
      <c r="F479" s="16" t="str">
        <f aca="false">IF($H479="","",INDEX(DECKS!$E$2:$E$1201,$H479))</f>
        <v/>
      </c>
      <c r="G479" s="21" t="str">
        <f aca="false">IF($H479="","",INDEX(DECKS!$F$2:$F$1201,$H479))</f>
        <v/>
      </c>
      <c r="H479" s="11" t="str">
        <f aca="false">IFERROR(MATCH(ROW()-1,DECKS!$O$2:$O$1201,0),"")</f>
        <v/>
      </c>
      <c r="I479" s="11" t="str">
        <f aca="false">IF(C479="","",G479&amp;" "&amp;D479&amp;" ("&amp;C479&amp;")")</f>
        <v/>
      </c>
    </row>
    <row r="480" customFormat="false" ht="15" hidden="false" customHeight="false" outlineLevel="0" collapsed="false">
      <c r="A480" s="16"/>
      <c r="B480" s="11" t="str">
        <f aca="false">IF($H480="","",INDEX(DECKS!$A$2:$A$1201,$H480))</f>
        <v/>
      </c>
      <c r="C480" s="11" t="str">
        <f aca="false">IF($H480="","",INDEX(DECKS!$B$2:$B$1201,$H480))</f>
        <v/>
      </c>
      <c r="D480" s="11" t="str">
        <f aca="false">IF($H480="","",INDEX(DECKS!$C$2:$C$1201,$H480))</f>
        <v/>
      </c>
      <c r="E480" s="16" t="str">
        <f aca="false">IF($H480="","",INDEX(DECKS!$D$2:$D$1201,$H480))</f>
        <v/>
      </c>
      <c r="F480" s="16" t="str">
        <f aca="false">IF($H480="","",INDEX(DECKS!$E$2:$E$1201,$H480))</f>
        <v/>
      </c>
      <c r="G480" s="21" t="str">
        <f aca="false">IF($H480="","",INDEX(DECKS!$F$2:$F$1201,$H480))</f>
        <v/>
      </c>
      <c r="H480" s="11" t="str">
        <f aca="false">IFERROR(MATCH(ROW()-1,DECKS!$O$2:$O$1201,0),"")</f>
        <v/>
      </c>
      <c r="I480" s="11" t="str">
        <f aca="false">IF(C480="","",G480&amp;" "&amp;D480&amp;" ("&amp;C480&amp;")")</f>
        <v/>
      </c>
    </row>
    <row r="481" customFormat="false" ht="15" hidden="false" customHeight="false" outlineLevel="0" collapsed="false">
      <c r="A481" s="16"/>
      <c r="B481" s="11" t="str">
        <f aca="false">IF($H481="","",INDEX(DECKS!$A$2:$A$1201,$H481))</f>
        <v/>
      </c>
      <c r="C481" s="11" t="str">
        <f aca="false">IF($H481="","",INDEX(DECKS!$B$2:$B$1201,$H481))</f>
        <v/>
      </c>
      <c r="D481" s="11" t="str">
        <f aca="false">IF($H481="","",INDEX(DECKS!$C$2:$C$1201,$H481))</f>
        <v/>
      </c>
      <c r="E481" s="16" t="str">
        <f aca="false">IF($H481="","",INDEX(DECKS!$D$2:$D$1201,$H481))</f>
        <v/>
      </c>
      <c r="F481" s="16" t="str">
        <f aca="false">IF($H481="","",INDEX(DECKS!$E$2:$E$1201,$H481))</f>
        <v/>
      </c>
      <c r="G481" s="21" t="str">
        <f aca="false">IF($H481="","",INDEX(DECKS!$F$2:$F$1201,$H481))</f>
        <v/>
      </c>
      <c r="H481" s="11" t="str">
        <f aca="false">IFERROR(MATCH(ROW()-1,DECKS!$O$2:$O$1201,0),"")</f>
        <v/>
      </c>
      <c r="I481" s="11" t="str">
        <f aca="false">IF(C481="","",G481&amp;" "&amp;D481&amp;" ("&amp;C481&amp;")")</f>
        <v/>
      </c>
    </row>
    <row r="482" customFormat="false" ht="15" hidden="false" customHeight="false" outlineLevel="0" collapsed="false">
      <c r="A482" s="16"/>
      <c r="B482" s="11" t="str">
        <f aca="false">IF($H482="","",INDEX(DECKS!$A$2:$A$1201,$H482))</f>
        <v/>
      </c>
      <c r="C482" s="11" t="str">
        <f aca="false">IF($H482="","",INDEX(DECKS!$B$2:$B$1201,$H482))</f>
        <v/>
      </c>
      <c r="D482" s="11" t="str">
        <f aca="false">IF($H482="","",INDEX(DECKS!$C$2:$C$1201,$H482))</f>
        <v/>
      </c>
      <c r="E482" s="16" t="str">
        <f aca="false">IF($H482="","",INDEX(DECKS!$D$2:$D$1201,$H482))</f>
        <v/>
      </c>
      <c r="F482" s="16" t="str">
        <f aca="false">IF($H482="","",INDEX(DECKS!$E$2:$E$1201,$H482))</f>
        <v/>
      </c>
      <c r="G482" s="21" t="str">
        <f aca="false">IF($H482="","",INDEX(DECKS!$F$2:$F$1201,$H482))</f>
        <v/>
      </c>
      <c r="H482" s="11" t="str">
        <f aca="false">IFERROR(MATCH(ROW()-1,DECKS!$O$2:$O$1201,0),"")</f>
        <v/>
      </c>
      <c r="I482" s="11" t="str">
        <f aca="false">IF(C482="","",G482&amp;" "&amp;D482&amp;" ("&amp;C482&amp;")")</f>
        <v/>
      </c>
    </row>
    <row r="483" customFormat="false" ht="15" hidden="false" customHeight="false" outlineLevel="0" collapsed="false">
      <c r="A483" s="16"/>
      <c r="B483" s="11" t="str">
        <f aca="false">IF($H483="","",INDEX(DECKS!$A$2:$A$1201,$H483))</f>
        <v/>
      </c>
      <c r="C483" s="11" t="str">
        <f aca="false">IF($H483="","",INDEX(DECKS!$B$2:$B$1201,$H483))</f>
        <v/>
      </c>
      <c r="D483" s="11" t="str">
        <f aca="false">IF($H483="","",INDEX(DECKS!$C$2:$C$1201,$H483))</f>
        <v/>
      </c>
      <c r="E483" s="16" t="str">
        <f aca="false">IF($H483="","",INDEX(DECKS!$D$2:$D$1201,$H483))</f>
        <v/>
      </c>
      <c r="F483" s="16" t="str">
        <f aca="false">IF($H483="","",INDEX(DECKS!$E$2:$E$1201,$H483))</f>
        <v/>
      </c>
      <c r="G483" s="21" t="str">
        <f aca="false">IF($H483="","",INDEX(DECKS!$F$2:$F$1201,$H483))</f>
        <v/>
      </c>
      <c r="H483" s="11" t="str">
        <f aca="false">IFERROR(MATCH(ROW()-1,DECKS!$O$2:$O$1201,0),"")</f>
        <v/>
      </c>
      <c r="I483" s="11" t="str">
        <f aca="false">IF(C483="","",G483&amp;" "&amp;D483&amp;" ("&amp;C483&amp;")")</f>
        <v/>
      </c>
    </row>
    <row r="484" customFormat="false" ht="15" hidden="false" customHeight="false" outlineLevel="0" collapsed="false">
      <c r="A484" s="16"/>
      <c r="B484" s="11" t="str">
        <f aca="false">IF($H484="","",INDEX(DECKS!$A$2:$A$1201,$H484))</f>
        <v/>
      </c>
      <c r="C484" s="11" t="str">
        <f aca="false">IF($H484="","",INDEX(DECKS!$B$2:$B$1201,$H484))</f>
        <v/>
      </c>
      <c r="D484" s="11" t="str">
        <f aca="false">IF($H484="","",INDEX(DECKS!$C$2:$C$1201,$H484))</f>
        <v/>
      </c>
      <c r="E484" s="16" t="str">
        <f aca="false">IF($H484="","",INDEX(DECKS!$D$2:$D$1201,$H484))</f>
        <v/>
      </c>
      <c r="F484" s="16" t="str">
        <f aca="false">IF($H484="","",INDEX(DECKS!$E$2:$E$1201,$H484))</f>
        <v/>
      </c>
      <c r="G484" s="21" t="str">
        <f aca="false">IF($H484="","",INDEX(DECKS!$F$2:$F$1201,$H484))</f>
        <v/>
      </c>
      <c r="H484" s="11" t="str">
        <f aca="false">IFERROR(MATCH(ROW()-1,DECKS!$O$2:$O$1201,0),"")</f>
        <v/>
      </c>
      <c r="I484" s="11" t="str">
        <f aca="false">IF(C484="","",G484&amp;" "&amp;D484&amp;" ("&amp;C484&amp;")")</f>
        <v/>
      </c>
    </row>
    <row r="485" customFormat="false" ht="15" hidden="false" customHeight="false" outlineLevel="0" collapsed="false">
      <c r="A485" s="16"/>
      <c r="B485" s="11" t="str">
        <f aca="false">IF($H485="","",INDEX(DECKS!$A$2:$A$1201,$H485))</f>
        <v/>
      </c>
      <c r="C485" s="11" t="str">
        <f aca="false">IF($H485="","",INDEX(DECKS!$B$2:$B$1201,$H485))</f>
        <v/>
      </c>
      <c r="D485" s="11" t="str">
        <f aca="false">IF($H485="","",INDEX(DECKS!$C$2:$C$1201,$H485))</f>
        <v/>
      </c>
      <c r="E485" s="16" t="str">
        <f aca="false">IF($H485="","",INDEX(DECKS!$D$2:$D$1201,$H485))</f>
        <v/>
      </c>
      <c r="F485" s="16" t="str">
        <f aca="false">IF($H485="","",INDEX(DECKS!$E$2:$E$1201,$H485))</f>
        <v/>
      </c>
      <c r="G485" s="21" t="str">
        <f aca="false">IF($H485="","",INDEX(DECKS!$F$2:$F$1201,$H485))</f>
        <v/>
      </c>
      <c r="H485" s="11" t="str">
        <f aca="false">IFERROR(MATCH(ROW()-1,DECKS!$O$2:$O$1201,0),"")</f>
        <v/>
      </c>
      <c r="I485" s="11" t="str">
        <f aca="false">IF(C485="","",G485&amp;" "&amp;D485&amp;" ("&amp;C485&amp;")")</f>
        <v/>
      </c>
    </row>
    <row r="486" customFormat="false" ht="15" hidden="false" customHeight="false" outlineLevel="0" collapsed="false">
      <c r="A486" s="16"/>
      <c r="B486" s="11" t="str">
        <f aca="false">IF($H486="","",INDEX(DECKS!$A$2:$A$1201,$H486))</f>
        <v/>
      </c>
      <c r="C486" s="11" t="str">
        <f aca="false">IF($H486="","",INDEX(DECKS!$B$2:$B$1201,$H486))</f>
        <v/>
      </c>
      <c r="D486" s="11" t="str">
        <f aca="false">IF($H486="","",INDEX(DECKS!$C$2:$C$1201,$H486))</f>
        <v/>
      </c>
      <c r="E486" s="16" t="str">
        <f aca="false">IF($H486="","",INDEX(DECKS!$D$2:$D$1201,$H486))</f>
        <v/>
      </c>
      <c r="F486" s="16" t="str">
        <f aca="false">IF($H486="","",INDEX(DECKS!$E$2:$E$1201,$H486))</f>
        <v/>
      </c>
      <c r="G486" s="21" t="str">
        <f aca="false">IF($H486="","",INDEX(DECKS!$F$2:$F$1201,$H486))</f>
        <v/>
      </c>
      <c r="H486" s="11" t="str">
        <f aca="false">IFERROR(MATCH(ROW()-1,DECKS!$O$2:$O$1201,0),"")</f>
        <v/>
      </c>
      <c r="I486" s="11" t="str">
        <f aca="false">IF(C486="","",G486&amp;" "&amp;D486&amp;" ("&amp;C486&amp;")")</f>
        <v/>
      </c>
    </row>
    <row r="487" customFormat="false" ht="15" hidden="false" customHeight="false" outlineLevel="0" collapsed="false">
      <c r="A487" s="16"/>
      <c r="B487" s="11" t="str">
        <f aca="false">IF($H487="","",INDEX(DECKS!$A$2:$A$1201,$H487))</f>
        <v/>
      </c>
      <c r="C487" s="11" t="str">
        <f aca="false">IF($H487="","",INDEX(DECKS!$B$2:$B$1201,$H487))</f>
        <v/>
      </c>
      <c r="D487" s="11" t="str">
        <f aca="false">IF($H487="","",INDEX(DECKS!$C$2:$C$1201,$H487))</f>
        <v/>
      </c>
      <c r="E487" s="16" t="str">
        <f aca="false">IF($H487="","",INDEX(DECKS!$D$2:$D$1201,$H487))</f>
        <v/>
      </c>
      <c r="F487" s="16" t="str">
        <f aca="false">IF($H487="","",INDEX(DECKS!$E$2:$E$1201,$H487))</f>
        <v/>
      </c>
      <c r="G487" s="21" t="str">
        <f aca="false">IF($H487="","",INDEX(DECKS!$F$2:$F$1201,$H487))</f>
        <v/>
      </c>
      <c r="H487" s="11" t="str">
        <f aca="false">IFERROR(MATCH(ROW()-1,DECKS!$O$2:$O$1201,0),"")</f>
        <v/>
      </c>
      <c r="I487" s="11" t="str">
        <f aca="false">IF(C487="","",G487&amp;" "&amp;D487&amp;" ("&amp;C487&amp;")")</f>
        <v/>
      </c>
    </row>
    <row r="488" customFormat="false" ht="15" hidden="false" customHeight="false" outlineLevel="0" collapsed="false">
      <c r="A488" s="16"/>
      <c r="B488" s="11" t="str">
        <f aca="false">IF($H488="","",INDEX(DECKS!$A$2:$A$1201,$H488))</f>
        <v/>
      </c>
      <c r="C488" s="11" t="str">
        <f aca="false">IF($H488="","",INDEX(DECKS!$B$2:$B$1201,$H488))</f>
        <v/>
      </c>
      <c r="D488" s="11" t="str">
        <f aca="false">IF($H488="","",INDEX(DECKS!$C$2:$C$1201,$H488))</f>
        <v/>
      </c>
      <c r="E488" s="16" t="str">
        <f aca="false">IF($H488="","",INDEX(DECKS!$D$2:$D$1201,$H488))</f>
        <v/>
      </c>
      <c r="F488" s="16" t="str">
        <f aca="false">IF($H488="","",INDEX(DECKS!$E$2:$E$1201,$H488))</f>
        <v/>
      </c>
      <c r="G488" s="21" t="str">
        <f aca="false">IF($H488="","",INDEX(DECKS!$F$2:$F$1201,$H488))</f>
        <v/>
      </c>
      <c r="H488" s="11" t="str">
        <f aca="false">IFERROR(MATCH(ROW()-1,DECKS!$O$2:$O$1201,0),"")</f>
        <v/>
      </c>
      <c r="I488" s="11" t="str">
        <f aca="false">IF(C488="","",G488&amp;" "&amp;D488&amp;" ("&amp;C488&amp;")")</f>
        <v/>
      </c>
    </row>
    <row r="489" customFormat="false" ht="15" hidden="false" customHeight="false" outlineLevel="0" collapsed="false">
      <c r="A489" s="16"/>
      <c r="B489" s="11" t="str">
        <f aca="false">IF($H489="","",INDEX(DECKS!$A$2:$A$1201,$H489))</f>
        <v/>
      </c>
      <c r="C489" s="11" t="str">
        <f aca="false">IF($H489="","",INDEX(DECKS!$B$2:$B$1201,$H489))</f>
        <v/>
      </c>
      <c r="D489" s="11" t="str">
        <f aca="false">IF($H489="","",INDEX(DECKS!$C$2:$C$1201,$H489))</f>
        <v/>
      </c>
      <c r="E489" s="16" t="str">
        <f aca="false">IF($H489="","",INDEX(DECKS!$D$2:$D$1201,$H489))</f>
        <v/>
      </c>
      <c r="F489" s="16" t="str">
        <f aca="false">IF($H489="","",INDEX(DECKS!$E$2:$E$1201,$H489))</f>
        <v/>
      </c>
      <c r="G489" s="21" t="str">
        <f aca="false">IF($H489="","",INDEX(DECKS!$F$2:$F$1201,$H489))</f>
        <v/>
      </c>
      <c r="H489" s="11" t="str">
        <f aca="false">IFERROR(MATCH(ROW()-1,DECKS!$O$2:$O$1201,0),"")</f>
        <v/>
      </c>
      <c r="I489" s="11" t="str">
        <f aca="false">IF(C489="","",G489&amp;" "&amp;D489&amp;" ("&amp;C489&amp;")")</f>
        <v/>
      </c>
    </row>
    <row r="490" customFormat="false" ht="15" hidden="false" customHeight="false" outlineLevel="0" collapsed="false">
      <c r="A490" s="16"/>
      <c r="B490" s="11" t="str">
        <f aca="false">IF($H490="","",INDEX(DECKS!$A$2:$A$1201,$H490))</f>
        <v/>
      </c>
      <c r="C490" s="11" t="str">
        <f aca="false">IF($H490="","",INDEX(DECKS!$B$2:$B$1201,$H490))</f>
        <v/>
      </c>
      <c r="D490" s="11" t="str">
        <f aca="false">IF($H490="","",INDEX(DECKS!$C$2:$C$1201,$H490))</f>
        <v/>
      </c>
      <c r="E490" s="16" t="str">
        <f aca="false">IF($H490="","",INDEX(DECKS!$D$2:$D$1201,$H490))</f>
        <v/>
      </c>
      <c r="F490" s="16" t="str">
        <f aca="false">IF($H490="","",INDEX(DECKS!$E$2:$E$1201,$H490))</f>
        <v/>
      </c>
      <c r="G490" s="21" t="str">
        <f aca="false">IF($H490="","",INDEX(DECKS!$F$2:$F$1201,$H490))</f>
        <v/>
      </c>
      <c r="H490" s="11" t="str">
        <f aca="false">IFERROR(MATCH(ROW()-1,DECKS!$O$2:$O$1201,0),"")</f>
        <v/>
      </c>
      <c r="I490" s="11" t="str">
        <f aca="false">IF(C490="","",G490&amp;" "&amp;D490&amp;" ("&amp;C490&amp;")")</f>
        <v/>
      </c>
    </row>
    <row r="491" customFormat="false" ht="15" hidden="false" customHeight="false" outlineLevel="0" collapsed="false">
      <c r="A491" s="16"/>
      <c r="B491" s="11" t="str">
        <f aca="false">IF($H491="","",INDEX(DECKS!$A$2:$A$1201,$H491))</f>
        <v/>
      </c>
      <c r="C491" s="11" t="str">
        <f aca="false">IF($H491="","",INDEX(DECKS!$B$2:$B$1201,$H491))</f>
        <v/>
      </c>
      <c r="D491" s="11" t="str">
        <f aca="false">IF($H491="","",INDEX(DECKS!$C$2:$C$1201,$H491))</f>
        <v/>
      </c>
      <c r="E491" s="16" t="str">
        <f aca="false">IF($H491="","",INDEX(DECKS!$D$2:$D$1201,$H491))</f>
        <v/>
      </c>
      <c r="F491" s="16" t="str">
        <f aca="false">IF($H491="","",INDEX(DECKS!$E$2:$E$1201,$H491))</f>
        <v/>
      </c>
      <c r="G491" s="21" t="str">
        <f aca="false">IF($H491="","",INDEX(DECKS!$F$2:$F$1201,$H491))</f>
        <v/>
      </c>
      <c r="H491" s="11" t="str">
        <f aca="false">IFERROR(MATCH(ROW()-1,DECKS!$O$2:$O$1201,0),"")</f>
        <v/>
      </c>
      <c r="I491" s="11" t="str">
        <f aca="false">IF(C491="","",G491&amp;" "&amp;D491&amp;" ("&amp;C491&amp;")")</f>
        <v/>
      </c>
    </row>
    <row r="492" customFormat="false" ht="15" hidden="false" customHeight="false" outlineLevel="0" collapsed="false">
      <c r="A492" s="16"/>
      <c r="B492" s="11" t="str">
        <f aca="false">IF($H492="","",INDEX(DECKS!$A$2:$A$1201,$H492))</f>
        <v/>
      </c>
      <c r="C492" s="11" t="str">
        <f aca="false">IF($H492="","",INDEX(DECKS!$B$2:$B$1201,$H492))</f>
        <v/>
      </c>
      <c r="D492" s="11" t="str">
        <f aca="false">IF($H492="","",INDEX(DECKS!$C$2:$C$1201,$H492))</f>
        <v/>
      </c>
      <c r="E492" s="16" t="str">
        <f aca="false">IF($H492="","",INDEX(DECKS!$D$2:$D$1201,$H492))</f>
        <v/>
      </c>
      <c r="F492" s="16" t="str">
        <f aca="false">IF($H492="","",INDEX(DECKS!$E$2:$E$1201,$H492))</f>
        <v/>
      </c>
      <c r="G492" s="21" t="str">
        <f aca="false">IF($H492="","",INDEX(DECKS!$F$2:$F$1201,$H492))</f>
        <v/>
      </c>
      <c r="H492" s="11" t="str">
        <f aca="false">IFERROR(MATCH(ROW()-1,DECKS!$O$2:$O$1201,0),"")</f>
        <v/>
      </c>
      <c r="I492" s="11" t="str">
        <f aca="false">IF(C492="","",G492&amp;" "&amp;D492&amp;" ("&amp;C492&amp;")")</f>
        <v/>
      </c>
    </row>
    <row r="493" customFormat="false" ht="15" hidden="false" customHeight="false" outlineLevel="0" collapsed="false">
      <c r="A493" s="16"/>
      <c r="B493" s="11" t="str">
        <f aca="false">IF($H493="","",INDEX(DECKS!$A$2:$A$1201,$H493))</f>
        <v/>
      </c>
      <c r="C493" s="11" t="str">
        <f aca="false">IF($H493="","",INDEX(DECKS!$B$2:$B$1201,$H493))</f>
        <v/>
      </c>
      <c r="D493" s="11" t="str">
        <f aca="false">IF($H493="","",INDEX(DECKS!$C$2:$C$1201,$H493))</f>
        <v/>
      </c>
      <c r="E493" s="16" t="str">
        <f aca="false">IF($H493="","",INDEX(DECKS!$D$2:$D$1201,$H493))</f>
        <v/>
      </c>
      <c r="F493" s="16" t="str">
        <f aca="false">IF($H493="","",INDEX(DECKS!$E$2:$E$1201,$H493))</f>
        <v/>
      </c>
      <c r="G493" s="21" t="str">
        <f aca="false">IF($H493="","",INDEX(DECKS!$F$2:$F$1201,$H493))</f>
        <v/>
      </c>
      <c r="H493" s="11" t="str">
        <f aca="false">IFERROR(MATCH(ROW()-1,DECKS!$O$2:$O$1201,0),"")</f>
        <v/>
      </c>
      <c r="I493" s="11" t="str">
        <f aca="false">IF(C493="","",G493&amp;" "&amp;D493&amp;" ("&amp;C493&amp;")")</f>
        <v/>
      </c>
    </row>
    <row r="494" customFormat="false" ht="15" hidden="false" customHeight="false" outlineLevel="0" collapsed="false">
      <c r="A494" s="16"/>
      <c r="B494" s="11" t="str">
        <f aca="false">IF($H494="","",INDEX(DECKS!$A$2:$A$1201,$H494))</f>
        <v/>
      </c>
      <c r="C494" s="11" t="str">
        <f aca="false">IF($H494="","",INDEX(DECKS!$B$2:$B$1201,$H494))</f>
        <v/>
      </c>
      <c r="D494" s="11" t="str">
        <f aca="false">IF($H494="","",INDEX(DECKS!$C$2:$C$1201,$H494))</f>
        <v/>
      </c>
      <c r="E494" s="16" t="str">
        <f aca="false">IF($H494="","",INDEX(DECKS!$D$2:$D$1201,$H494))</f>
        <v/>
      </c>
      <c r="F494" s="16" t="str">
        <f aca="false">IF($H494="","",INDEX(DECKS!$E$2:$E$1201,$H494))</f>
        <v/>
      </c>
      <c r="G494" s="21" t="str">
        <f aca="false">IF($H494="","",INDEX(DECKS!$F$2:$F$1201,$H494))</f>
        <v/>
      </c>
      <c r="H494" s="11" t="str">
        <f aca="false">IFERROR(MATCH(ROW()-1,DECKS!$O$2:$O$1201,0),"")</f>
        <v/>
      </c>
      <c r="I494" s="11" t="str">
        <f aca="false">IF(C494="","",G494&amp;" "&amp;D494&amp;" ("&amp;C494&amp;")")</f>
        <v/>
      </c>
    </row>
    <row r="495" customFormat="false" ht="15" hidden="false" customHeight="false" outlineLevel="0" collapsed="false">
      <c r="A495" s="16"/>
      <c r="B495" s="11" t="str">
        <f aca="false">IF($H495="","",INDEX(DECKS!$A$2:$A$1201,$H495))</f>
        <v/>
      </c>
      <c r="C495" s="11" t="str">
        <f aca="false">IF($H495="","",INDEX(DECKS!$B$2:$B$1201,$H495))</f>
        <v/>
      </c>
      <c r="D495" s="11" t="str">
        <f aca="false">IF($H495="","",INDEX(DECKS!$C$2:$C$1201,$H495))</f>
        <v/>
      </c>
      <c r="E495" s="16" t="str">
        <f aca="false">IF($H495="","",INDEX(DECKS!$D$2:$D$1201,$H495))</f>
        <v/>
      </c>
      <c r="F495" s="16" t="str">
        <f aca="false">IF($H495="","",INDEX(DECKS!$E$2:$E$1201,$H495))</f>
        <v/>
      </c>
      <c r="G495" s="21" t="str">
        <f aca="false">IF($H495="","",INDEX(DECKS!$F$2:$F$1201,$H495))</f>
        <v/>
      </c>
      <c r="H495" s="11" t="str">
        <f aca="false">IFERROR(MATCH(ROW()-1,DECKS!$O$2:$O$1201,0),"")</f>
        <v/>
      </c>
      <c r="I495" s="11" t="str">
        <f aca="false">IF(C495="","",G495&amp;" "&amp;D495&amp;" ("&amp;C495&amp;")")</f>
        <v/>
      </c>
    </row>
    <row r="496" customFormat="false" ht="15" hidden="false" customHeight="false" outlineLevel="0" collapsed="false">
      <c r="A496" s="16"/>
      <c r="B496" s="11" t="str">
        <f aca="false">IF($H496="","",INDEX(DECKS!$A$2:$A$1201,$H496))</f>
        <v/>
      </c>
      <c r="C496" s="11" t="str">
        <f aca="false">IF($H496="","",INDEX(DECKS!$B$2:$B$1201,$H496))</f>
        <v/>
      </c>
      <c r="D496" s="11" t="str">
        <f aca="false">IF($H496="","",INDEX(DECKS!$C$2:$C$1201,$H496))</f>
        <v/>
      </c>
      <c r="E496" s="16" t="str">
        <f aca="false">IF($H496="","",INDEX(DECKS!$D$2:$D$1201,$H496))</f>
        <v/>
      </c>
      <c r="F496" s="16" t="str">
        <f aca="false">IF($H496="","",INDEX(DECKS!$E$2:$E$1201,$H496))</f>
        <v/>
      </c>
      <c r="G496" s="21" t="str">
        <f aca="false">IF($H496="","",INDEX(DECKS!$F$2:$F$1201,$H496))</f>
        <v/>
      </c>
      <c r="H496" s="11" t="str">
        <f aca="false">IFERROR(MATCH(ROW()-1,DECKS!$O$2:$O$1201,0),"")</f>
        <v/>
      </c>
      <c r="I496" s="11" t="str">
        <f aca="false">IF(C496="","",G496&amp;" "&amp;D496&amp;" ("&amp;C496&amp;")")</f>
        <v/>
      </c>
    </row>
    <row r="497" customFormat="false" ht="15" hidden="false" customHeight="false" outlineLevel="0" collapsed="false">
      <c r="A497" s="16"/>
      <c r="B497" s="11" t="str">
        <f aca="false">IF($H497="","",INDEX(DECKS!$A$2:$A$1201,$H497))</f>
        <v/>
      </c>
      <c r="C497" s="11" t="str">
        <f aca="false">IF($H497="","",INDEX(DECKS!$B$2:$B$1201,$H497))</f>
        <v/>
      </c>
      <c r="D497" s="11" t="str">
        <f aca="false">IF($H497="","",INDEX(DECKS!$C$2:$C$1201,$H497))</f>
        <v/>
      </c>
      <c r="E497" s="16" t="str">
        <f aca="false">IF($H497="","",INDEX(DECKS!$D$2:$D$1201,$H497))</f>
        <v/>
      </c>
      <c r="F497" s="16" t="str">
        <f aca="false">IF($H497="","",INDEX(DECKS!$E$2:$E$1201,$H497))</f>
        <v/>
      </c>
      <c r="G497" s="21" t="str">
        <f aca="false">IF($H497="","",INDEX(DECKS!$F$2:$F$1201,$H497))</f>
        <v/>
      </c>
      <c r="H497" s="11" t="str">
        <f aca="false">IFERROR(MATCH(ROW()-1,DECKS!$O$2:$O$1201,0),"")</f>
        <v/>
      </c>
      <c r="I497" s="11" t="str">
        <f aca="false">IF(C497="","",G497&amp;" "&amp;D497&amp;" ("&amp;C497&amp;")")</f>
        <v/>
      </c>
    </row>
    <row r="498" customFormat="false" ht="15" hidden="false" customHeight="false" outlineLevel="0" collapsed="false">
      <c r="A498" s="16"/>
      <c r="B498" s="11" t="str">
        <f aca="false">IF($H498="","",INDEX(DECKS!$A$2:$A$1201,$H498))</f>
        <v/>
      </c>
      <c r="C498" s="11" t="str">
        <f aca="false">IF($H498="","",INDEX(DECKS!$B$2:$B$1201,$H498))</f>
        <v/>
      </c>
      <c r="D498" s="11" t="str">
        <f aca="false">IF($H498="","",INDEX(DECKS!$C$2:$C$1201,$H498))</f>
        <v/>
      </c>
      <c r="E498" s="16" t="str">
        <f aca="false">IF($H498="","",INDEX(DECKS!$D$2:$D$1201,$H498))</f>
        <v/>
      </c>
      <c r="F498" s="16" t="str">
        <f aca="false">IF($H498="","",INDEX(DECKS!$E$2:$E$1201,$H498))</f>
        <v/>
      </c>
      <c r="G498" s="21" t="str">
        <f aca="false">IF($H498="","",INDEX(DECKS!$F$2:$F$1201,$H498))</f>
        <v/>
      </c>
      <c r="H498" s="11" t="str">
        <f aca="false">IFERROR(MATCH(ROW()-1,DECKS!$O$2:$O$1201,0),"")</f>
        <v/>
      </c>
      <c r="I498" s="11" t="str">
        <f aca="false">IF(C498="","",G498&amp;" "&amp;D498&amp;" ("&amp;C498&amp;")")</f>
        <v/>
      </c>
    </row>
    <row r="499" customFormat="false" ht="15" hidden="false" customHeight="false" outlineLevel="0" collapsed="false">
      <c r="A499" s="16"/>
      <c r="B499" s="11" t="str">
        <f aca="false">IF($H499="","",INDEX(DECKS!$A$2:$A$1201,$H499))</f>
        <v/>
      </c>
      <c r="C499" s="11" t="str">
        <f aca="false">IF($H499="","",INDEX(DECKS!$B$2:$B$1201,$H499))</f>
        <v/>
      </c>
      <c r="D499" s="11" t="str">
        <f aca="false">IF($H499="","",INDEX(DECKS!$C$2:$C$1201,$H499))</f>
        <v/>
      </c>
      <c r="E499" s="16" t="str">
        <f aca="false">IF($H499="","",INDEX(DECKS!$D$2:$D$1201,$H499))</f>
        <v/>
      </c>
      <c r="F499" s="16" t="str">
        <f aca="false">IF($H499="","",INDEX(DECKS!$E$2:$E$1201,$H499))</f>
        <v/>
      </c>
      <c r="G499" s="21" t="str">
        <f aca="false">IF($H499="","",INDEX(DECKS!$F$2:$F$1201,$H499))</f>
        <v/>
      </c>
      <c r="H499" s="11" t="str">
        <f aca="false">IFERROR(MATCH(ROW()-1,DECKS!$O$2:$O$1201,0),"")</f>
        <v/>
      </c>
      <c r="I499" s="11" t="str">
        <f aca="false">IF(C499="","",G499&amp;" "&amp;D499&amp;" ("&amp;C499&amp;")")</f>
        <v/>
      </c>
    </row>
    <row r="500" customFormat="false" ht="15" hidden="false" customHeight="false" outlineLevel="0" collapsed="false">
      <c r="A500" s="16"/>
      <c r="B500" s="11" t="str">
        <f aca="false">IF($H500="","",INDEX(DECKS!$A$2:$A$1201,$H500))</f>
        <v/>
      </c>
      <c r="C500" s="11" t="str">
        <f aca="false">IF($H500="","",INDEX(DECKS!$B$2:$B$1201,$H500))</f>
        <v/>
      </c>
      <c r="D500" s="11" t="str">
        <f aca="false">IF($H500="","",INDEX(DECKS!$C$2:$C$1201,$H500))</f>
        <v/>
      </c>
      <c r="E500" s="16" t="str">
        <f aca="false">IF($H500="","",INDEX(DECKS!$D$2:$D$1201,$H500))</f>
        <v/>
      </c>
      <c r="F500" s="16" t="str">
        <f aca="false">IF($H500="","",INDEX(DECKS!$E$2:$E$1201,$H500))</f>
        <v/>
      </c>
      <c r="G500" s="21" t="str">
        <f aca="false">IF($H500="","",INDEX(DECKS!$F$2:$F$1201,$H500))</f>
        <v/>
      </c>
      <c r="H500" s="11" t="str">
        <f aca="false">IFERROR(MATCH(ROW()-1,DECKS!$O$2:$O$1201,0),"")</f>
        <v/>
      </c>
      <c r="I500" s="11" t="str">
        <f aca="false">IF(C500="","",G500&amp;" "&amp;D500&amp;" ("&amp;C500&amp;")")</f>
        <v/>
      </c>
    </row>
    <row r="501" customFormat="false" ht="15" hidden="false" customHeight="false" outlineLevel="0" collapsed="false">
      <c r="A501" s="16"/>
      <c r="B501" s="11" t="str">
        <f aca="false">IF($H501="","",INDEX(DECKS!$A$2:$A$1201,$H501))</f>
        <v/>
      </c>
      <c r="C501" s="11" t="str">
        <f aca="false">IF($H501="","",INDEX(DECKS!$B$2:$B$1201,$H501))</f>
        <v/>
      </c>
      <c r="D501" s="11" t="str">
        <f aca="false">IF($H501="","",INDEX(DECKS!$C$2:$C$1201,$H501))</f>
        <v/>
      </c>
      <c r="E501" s="16" t="str">
        <f aca="false">IF($H501="","",INDEX(DECKS!$D$2:$D$1201,$H501))</f>
        <v/>
      </c>
      <c r="F501" s="16" t="str">
        <f aca="false">IF($H501="","",INDEX(DECKS!$E$2:$E$1201,$H501))</f>
        <v/>
      </c>
      <c r="G501" s="21" t="str">
        <f aca="false">IF($H501="","",INDEX(DECKS!$F$2:$F$1201,$H501))</f>
        <v/>
      </c>
      <c r="H501" s="11" t="str">
        <f aca="false">IFERROR(MATCH(ROW()-1,DECKS!$O$2:$O$1201,0),"")</f>
        <v/>
      </c>
      <c r="I501" s="11" t="str">
        <f aca="false">IF(C501="","",G501&amp;" "&amp;D501&amp;" ("&amp;C501&amp;")")</f>
        <v/>
      </c>
    </row>
    <row r="502" customFormat="false" ht="15" hidden="false" customHeight="false" outlineLevel="0" collapsed="false">
      <c r="A502" s="16"/>
      <c r="B502" s="11" t="str">
        <f aca="false">IF($H502="","",INDEX(DECKS!$A$2:$A$1201,$H502))</f>
        <v/>
      </c>
      <c r="C502" s="11" t="str">
        <f aca="false">IF($H502="","",INDEX(DECKS!$B$2:$B$1201,$H502))</f>
        <v/>
      </c>
      <c r="D502" s="11" t="str">
        <f aca="false">IF($H502="","",INDEX(DECKS!$C$2:$C$1201,$H502))</f>
        <v/>
      </c>
      <c r="E502" s="16" t="str">
        <f aca="false">IF($H502="","",INDEX(DECKS!$D$2:$D$1201,$H502))</f>
        <v/>
      </c>
      <c r="F502" s="16" t="str">
        <f aca="false">IF($H502="","",INDEX(DECKS!$E$2:$E$1201,$H502))</f>
        <v/>
      </c>
      <c r="G502" s="21" t="str">
        <f aca="false">IF($H502="","",INDEX(DECKS!$F$2:$F$1201,$H502))</f>
        <v/>
      </c>
      <c r="H502" s="11" t="str">
        <f aca="false">IFERROR(MATCH(ROW()-1,DECKS!$O$2:$O$1201,0),"")</f>
        <v/>
      </c>
      <c r="I502" s="11" t="str">
        <f aca="false">IF(C502="","",G502&amp;" "&amp;D502&amp;" ("&amp;C502&amp;")")</f>
        <v/>
      </c>
    </row>
    <row r="503" customFormat="false" ht="15" hidden="false" customHeight="false" outlineLevel="0" collapsed="false">
      <c r="A503" s="16"/>
      <c r="B503" s="11" t="str">
        <f aca="false">IF($H503="","",INDEX(DECKS!$A$2:$A$1201,$H503))</f>
        <v/>
      </c>
      <c r="C503" s="11" t="str">
        <f aca="false">IF($H503="","",INDEX(DECKS!$B$2:$B$1201,$H503))</f>
        <v/>
      </c>
      <c r="D503" s="11" t="str">
        <f aca="false">IF($H503="","",INDEX(DECKS!$C$2:$C$1201,$H503))</f>
        <v/>
      </c>
      <c r="E503" s="16" t="str">
        <f aca="false">IF($H503="","",INDEX(DECKS!$D$2:$D$1201,$H503))</f>
        <v/>
      </c>
      <c r="F503" s="16" t="str">
        <f aca="false">IF($H503="","",INDEX(DECKS!$E$2:$E$1201,$H503))</f>
        <v/>
      </c>
      <c r="G503" s="21" t="str">
        <f aca="false">IF($H503="","",INDEX(DECKS!$F$2:$F$1201,$H503))</f>
        <v/>
      </c>
      <c r="H503" s="11" t="str">
        <f aca="false">IFERROR(MATCH(ROW()-1,DECKS!$O$2:$O$1201,0),"")</f>
        <v/>
      </c>
      <c r="I503" s="11" t="str">
        <f aca="false">IF(C503="","",G503&amp;" "&amp;D503&amp;" ("&amp;C503&amp;")")</f>
        <v/>
      </c>
    </row>
    <row r="504" customFormat="false" ht="15" hidden="false" customHeight="false" outlineLevel="0" collapsed="false">
      <c r="A504" s="16"/>
      <c r="B504" s="11" t="str">
        <f aca="false">IF($H504="","",INDEX(DECKS!$A$2:$A$1201,$H504))</f>
        <v/>
      </c>
      <c r="C504" s="11" t="str">
        <f aca="false">IF($H504="","",INDEX(DECKS!$B$2:$B$1201,$H504))</f>
        <v/>
      </c>
      <c r="D504" s="11" t="str">
        <f aca="false">IF($H504="","",INDEX(DECKS!$C$2:$C$1201,$H504))</f>
        <v/>
      </c>
      <c r="E504" s="16" t="str">
        <f aca="false">IF($H504="","",INDEX(DECKS!$D$2:$D$1201,$H504))</f>
        <v/>
      </c>
      <c r="F504" s="16" t="str">
        <f aca="false">IF($H504="","",INDEX(DECKS!$E$2:$E$1201,$H504))</f>
        <v/>
      </c>
      <c r="G504" s="21" t="str">
        <f aca="false">IF($H504="","",INDEX(DECKS!$F$2:$F$1201,$H504))</f>
        <v/>
      </c>
      <c r="H504" s="11" t="str">
        <f aca="false">IFERROR(MATCH(ROW()-1,DECKS!$O$2:$O$1201,0),"")</f>
        <v/>
      </c>
      <c r="I504" s="11" t="str">
        <f aca="false">IF(C504="","",G504&amp;" "&amp;D504&amp;" ("&amp;C504&amp;")")</f>
        <v/>
      </c>
    </row>
    <row r="505" customFormat="false" ht="15" hidden="false" customHeight="false" outlineLevel="0" collapsed="false">
      <c r="A505" s="16"/>
      <c r="B505" s="11" t="str">
        <f aca="false">IF($H505="","",INDEX(DECKS!$A$2:$A$1201,$H505))</f>
        <v/>
      </c>
      <c r="C505" s="11" t="str">
        <f aca="false">IF($H505="","",INDEX(DECKS!$B$2:$B$1201,$H505))</f>
        <v/>
      </c>
      <c r="D505" s="11" t="str">
        <f aca="false">IF($H505="","",INDEX(DECKS!$C$2:$C$1201,$H505))</f>
        <v/>
      </c>
      <c r="E505" s="16" t="str">
        <f aca="false">IF($H505="","",INDEX(DECKS!$D$2:$D$1201,$H505))</f>
        <v/>
      </c>
      <c r="F505" s="16" t="str">
        <f aca="false">IF($H505="","",INDEX(DECKS!$E$2:$E$1201,$H505))</f>
        <v/>
      </c>
      <c r="G505" s="21" t="str">
        <f aca="false">IF($H505="","",INDEX(DECKS!$F$2:$F$1201,$H505))</f>
        <v/>
      </c>
      <c r="H505" s="11" t="str">
        <f aca="false">IFERROR(MATCH(ROW()-1,DECKS!$O$2:$O$1201,0),"")</f>
        <v/>
      </c>
      <c r="I505" s="11" t="str">
        <f aca="false">IF(C505="","",G505&amp;" "&amp;D505&amp;" ("&amp;C505&amp;")")</f>
        <v/>
      </c>
    </row>
    <row r="506" customFormat="false" ht="15" hidden="false" customHeight="false" outlineLevel="0" collapsed="false">
      <c r="A506" s="16"/>
      <c r="B506" s="11" t="str">
        <f aca="false">IF($H506="","",INDEX(DECKS!$A$2:$A$1201,$H506))</f>
        <v/>
      </c>
      <c r="C506" s="11" t="str">
        <f aca="false">IF($H506="","",INDEX(DECKS!$B$2:$B$1201,$H506))</f>
        <v/>
      </c>
      <c r="D506" s="11" t="str">
        <f aca="false">IF($H506="","",INDEX(DECKS!$C$2:$C$1201,$H506))</f>
        <v/>
      </c>
      <c r="E506" s="16" t="str">
        <f aca="false">IF($H506="","",INDEX(DECKS!$D$2:$D$1201,$H506))</f>
        <v/>
      </c>
      <c r="F506" s="16" t="str">
        <f aca="false">IF($H506="","",INDEX(DECKS!$E$2:$E$1201,$H506))</f>
        <v/>
      </c>
      <c r="G506" s="21" t="str">
        <f aca="false">IF($H506="","",INDEX(DECKS!$F$2:$F$1201,$H506))</f>
        <v/>
      </c>
      <c r="H506" s="11" t="str">
        <f aca="false">IFERROR(MATCH(ROW()-1,DECKS!$O$2:$O$1201,0),"")</f>
        <v/>
      </c>
      <c r="I506" s="11" t="str">
        <f aca="false">IF(C506="","",G506&amp;" "&amp;D506&amp;" ("&amp;C506&amp;")")</f>
        <v/>
      </c>
    </row>
    <row r="507" customFormat="false" ht="15" hidden="false" customHeight="false" outlineLevel="0" collapsed="false">
      <c r="A507" s="16"/>
      <c r="B507" s="11" t="str">
        <f aca="false">IF($H507="","",INDEX(DECKS!$A$2:$A$1201,$H507))</f>
        <v/>
      </c>
      <c r="C507" s="11" t="str">
        <f aca="false">IF($H507="","",INDEX(DECKS!$B$2:$B$1201,$H507))</f>
        <v/>
      </c>
      <c r="D507" s="11" t="str">
        <f aca="false">IF($H507="","",INDEX(DECKS!$C$2:$C$1201,$H507))</f>
        <v/>
      </c>
      <c r="E507" s="16" t="str">
        <f aca="false">IF($H507="","",INDEX(DECKS!$D$2:$D$1201,$H507))</f>
        <v/>
      </c>
      <c r="F507" s="16" t="str">
        <f aca="false">IF($H507="","",INDEX(DECKS!$E$2:$E$1201,$H507))</f>
        <v/>
      </c>
      <c r="G507" s="21" t="str">
        <f aca="false">IF($H507="","",INDEX(DECKS!$F$2:$F$1201,$H507))</f>
        <v/>
      </c>
      <c r="H507" s="11" t="str">
        <f aca="false">IFERROR(MATCH(ROW()-1,DECKS!$O$2:$O$1201,0),"")</f>
        <v/>
      </c>
      <c r="I507" s="11" t="str">
        <f aca="false">IF(C507="","",G507&amp;" "&amp;D507&amp;" ("&amp;C507&amp;")")</f>
        <v/>
      </c>
    </row>
    <row r="508" customFormat="false" ht="15" hidden="false" customHeight="false" outlineLevel="0" collapsed="false">
      <c r="A508" s="16"/>
      <c r="B508" s="11" t="str">
        <f aca="false">IF($H508="","",INDEX(DECKS!$A$2:$A$1201,$H508))</f>
        <v/>
      </c>
      <c r="C508" s="11" t="str">
        <f aca="false">IF($H508="","",INDEX(DECKS!$B$2:$B$1201,$H508))</f>
        <v/>
      </c>
      <c r="D508" s="11" t="str">
        <f aca="false">IF($H508="","",INDEX(DECKS!$C$2:$C$1201,$H508))</f>
        <v/>
      </c>
      <c r="E508" s="16" t="str">
        <f aca="false">IF($H508="","",INDEX(DECKS!$D$2:$D$1201,$H508))</f>
        <v/>
      </c>
      <c r="F508" s="16" t="str">
        <f aca="false">IF($H508="","",INDEX(DECKS!$E$2:$E$1201,$H508))</f>
        <v/>
      </c>
      <c r="G508" s="21" t="str">
        <f aca="false">IF($H508="","",INDEX(DECKS!$F$2:$F$1201,$H508))</f>
        <v/>
      </c>
      <c r="H508" s="11" t="str">
        <f aca="false">IFERROR(MATCH(ROW()-1,DECKS!$O$2:$O$1201,0),"")</f>
        <v/>
      </c>
      <c r="I508" s="11" t="str">
        <f aca="false">IF(C508="","",G508&amp;" "&amp;D508&amp;" ("&amp;C508&amp;")")</f>
        <v/>
      </c>
    </row>
    <row r="509" customFormat="false" ht="15" hidden="false" customHeight="false" outlineLevel="0" collapsed="false">
      <c r="A509" s="16"/>
      <c r="B509" s="11" t="str">
        <f aca="false">IF($H509="","",INDEX(DECKS!$A$2:$A$1201,$H509))</f>
        <v/>
      </c>
      <c r="C509" s="11" t="str">
        <f aca="false">IF($H509="","",INDEX(DECKS!$B$2:$B$1201,$H509))</f>
        <v/>
      </c>
      <c r="D509" s="11" t="str">
        <f aca="false">IF($H509="","",INDEX(DECKS!$C$2:$C$1201,$H509))</f>
        <v/>
      </c>
      <c r="E509" s="16" t="str">
        <f aca="false">IF($H509="","",INDEX(DECKS!$D$2:$D$1201,$H509))</f>
        <v/>
      </c>
      <c r="F509" s="16" t="str">
        <f aca="false">IF($H509="","",INDEX(DECKS!$E$2:$E$1201,$H509))</f>
        <v/>
      </c>
      <c r="G509" s="21" t="str">
        <f aca="false">IF($H509="","",INDEX(DECKS!$F$2:$F$1201,$H509))</f>
        <v/>
      </c>
      <c r="H509" s="11" t="str">
        <f aca="false">IFERROR(MATCH(ROW()-1,DECKS!$O$2:$O$1201,0),"")</f>
        <v/>
      </c>
      <c r="I509" s="11" t="str">
        <f aca="false">IF(C509="","",G509&amp;" "&amp;D509&amp;" ("&amp;C509&amp;")")</f>
        <v/>
      </c>
    </row>
    <row r="510" customFormat="false" ht="15" hidden="false" customHeight="false" outlineLevel="0" collapsed="false">
      <c r="A510" s="16"/>
      <c r="B510" s="11" t="str">
        <f aca="false">IF($H510="","",INDEX(DECKS!$A$2:$A$1201,$H510))</f>
        <v/>
      </c>
      <c r="C510" s="11" t="str">
        <f aca="false">IF($H510="","",INDEX(DECKS!$B$2:$B$1201,$H510))</f>
        <v/>
      </c>
      <c r="D510" s="11" t="str">
        <f aca="false">IF($H510="","",INDEX(DECKS!$C$2:$C$1201,$H510))</f>
        <v/>
      </c>
      <c r="E510" s="16" t="str">
        <f aca="false">IF($H510="","",INDEX(DECKS!$D$2:$D$1201,$H510))</f>
        <v/>
      </c>
      <c r="F510" s="16" t="str">
        <f aca="false">IF($H510="","",INDEX(DECKS!$E$2:$E$1201,$H510))</f>
        <v/>
      </c>
      <c r="G510" s="21" t="str">
        <f aca="false">IF($H510="","",INDEX(DECKS!$F$2:$F$1201,$H510))</f>
        <v/>
      </c>
      <c r="H510" s="11" t="str">
        <f aca="false">IFERROR(MATCH(ROW()-1,DECKS!$O$2:$O$1201,0),"")</f>
        <v/>
      </c>
      <c r="I510" s="11" t="str">
        <f aca="false">IF(C510="","",G510&amp;" "&amp;D510&amp;" ("&amp;C510&amp;")")</f>
        <v/>
      </c>
    </row>
    <row r="511" customFormat="false" ht="15" hidden="false" customHeight="false" outlineLevel="0" collapsed="false">
      <c r="A511" s="16"/>
      <c r="B511" s="11" t="str">
        <f aca="false">IF($H511="","",INDEX(DECKS!$A$2:$A$1201,$H511))</f>
        <v/>
      </c>
      <c r="C511" s="11" t="str">
        <f aca="false">IF($H511="","",INDEX(DECKS!$B$2:$B$1201,$H511))</f>
        <v/>
      </c>
      <c r="D511" s="11" t="str">
        <f aca="false">IF($H511="","",INDEX(DECKS!$C$2:$C$1201,$H511))</f>
        <v/>
      </c>
      <c r="E511" s="16" t="str">
        <f aca="false">IF($H511="","",INDEX(DECKS!$D$2:$D$1201,$H511))</f>
        <v/>
      </c>
      <c r="F511" s="16" t="str">
        <f aca="false">IF($H511="","",INDEX(DECKS!$E$2:$E$1201,$H511))</f>
        <v/>
      </c>
      <c r="G511" s="21" t="str">
        <f aca="false">IF($H511="","",INDEX(DECKS!$F$2:$F$1201,$H511))</f>
        <v/>
      </c>
      <c r="H511" s="11" t="str">
        <f aca="false">IFERROR(MATCH(ROW()-1,DECKS!$O$2:$O$1201,0),"")</f>
        <v/>
      </c>
      <c r="I511" s="11" t="str">
        <f aca="false">IF(C511="","",G511&amp;" "&amp;D511&amp;" ("&amp;C511&amp;")")</f>
        <v/>
      </c>
    </row>
    <row r="512" customFormat="false" ht="15" hidden="false" customHeight="false" outlineLevel="0" collapsed="false">
      <c r="A512" s="16"/>
      <c r="B512" s="11" t="str">
        <f aca="false">IF($H512="","",INDEX(DECKS!$A$2:$A$1201,$H512))</f>
        <v/>
      </c>
      <c r="C512" s="11" t="str">
        <f aca="false">IF($H512="","",INDEX(DECKS!$B$2:$B$1201,$H512))</f>
        <v/>
      </c>
      <c r="D512" s="11" t="str">
        <f aca="false">IF($H512="","",INDEX(DECKS!$C$2:$C$1201,$H512))</f>
        <v/>
      </c>
      <c r="E512" s="16" t="str">
        <f aca="false">IF($H512="","",INDEX(DECKS!$D$2:$D$1201,$H512))</f>
        <v/>
      </c>
      <c r="F512" s="16" t="str">
        <f aca="false">IF($H512="","",INDEX(DECKS!$E$2:$E$1201,$H512))</f>
        <v/>
      </c>
      <c r="G512" s="21" t="str">
        <f aca="false">IF($H512="","",INDEX(DECKS!$F$2:$F$1201,$H512))</f>
        <v/>
      </c>
      <c r="H512" s="11" t="str">
        <f aca="false">IFERROR(MATCH(ROW()-1,DECKS!$O$2:$O$1201,0),"")</f>
        <v/>
      </c>
      <c r="I512" s="11" t="str">
        <f aca="false">IF(C512="","",G512&amp;" "&amp;D512&amp;" ("&amp;C512&amp;")")</f>
        <v/>
      </c>
    </row>
    <row r="513" customFormat="false" ht="15" hidden="false" customHeight="false" outlineLevel="0" collapsed="false">
      <c r="A513" s="16"/>
      <c r="B513" s="11" t="str">
        <f aca="false">IF($H513="","",INDEX(DECKS!$A$2:$A$1201,$H513))</f>
        <v/>
      </c>
      <c r="C513" s="11" t="str">
        <f aca="false">IF($H513="","",INDEX(DECKS!$B$2:$B$1201,$H513))</f>
        <v/>
      </c>
      <c r="D513" s="11" t="str">
        <f aca="false">IF($H513="","",INDEX(DECKS!$C$2:$C$1201,$H513))</f>
        <v/>
      </c>
      <c r="E513" s="16" t="str">
        <f aca="false">IF($H513="","",INDEX(DECKS!$D$2:$D$1201,$H513))</f>
        <v/>
      </c>
      <c r="F513" s="16" t="str">
        <f aca="false">IF($H513="","",INDEX(DECKS!$E$2:$E$1201,$H513))</f>
        <v/>
      </c>
      <c r="G513" s="21" t="str">
        <f aca="false">IF($H513="","",INDEX(DECKS!$F$2:$F$1201,$H513))</f>
        <v/>
      </c>
      <c r="H513" s="11" t="str">
        <f aca="false">IFERROR(MATCH(ROW()-1,DECKS!$O$2:$O$1201,0),"")</f>
        <v/>
      </c>
      <c r="I513" s="11" t="str">
        <f aca="false">IF(C513="","",G513&amp;" "&amp;D513&amp;" ("&amp;C513&amp;")")</f>
        <v/>
      </c>
    </row>
    <row r="514" customFormat="false" ht="15" hidden="false" customHeight="false" outlineLevel="0" collapsed="false">
      <c r="A514" s="16"/>
      <c r="B514" s="11" t="str">
        <f aca="false">IF($H514="","",INDEX(DECKS!$A$2:$A$1201,$H514))</f>
        <v/>
      </c>
      <c r="C514" s="11" t="str">
        <f aca="false">IF($H514="","",INDEX(DECKS!$B$2:$B$1201,$H514))</f>
        <v/>
      </c>
      <c r="D514" s="11" t="str">
        <f aca="false">IF($H514="","",INDEX(DECKS!$C$2:$C$1201,$H514))</f>
        <v/>
      </c>
      <c r="E514" s="16" t="str">
        <f aca="false">IF($H514="","",INDEX(DECKS!$D$2:$D$1201,$H514))</f>
        <v/>
      </c>
      <c r="F514" s="16" t="str">
        <f aca="false">IF($H514="","",INDEX(DECKS!$E$2:$E$1201,$H514))</f>
        <v/>
      </c>
      <c r="G514" s="21" t="str">
        <f aca="false">IF($H514="","",INDEX(DECKS!$F$2:$F$1201,$H514))</f>
        <v/>
      </c>
      <c r="H514" s="11" t="str">
        <f aca="false">IFERROR(MATCH(ROW()-1,DECKS!$O$2:$O$1201,0),"")</f>
        <v/>
      </c>
      <c r="I514" s="11" t="str">
        <f aca="false">IF(C514="","",G514&amp;" "&amp;D514&amp;" ("&amp;C514&amp;")")</f>
        <v/>
      </c>
    </row>
    <row r="515" customFormat="false" ht="15" hidden="false" customHeight="false" outlineLevel="0" collapsed="false">
      <c r="A515" s="16"/>
      <c r="B515" s="11" t="str">
        <f aca="false">IF($H515="","",INDEX(DECKS!$A$2:$A$1201,$H515))</f>
        <v/>
      </c>
      <c r="C515" s="11" t="str">
        <f aca="false">IF($H515="","",INDEX(DECKS!$B$2:$B$1201,$H515))</f>
        <v/>
      </c>
      <c r="D515" s="11" t="str">
        <f aca="false">IF($H515="","",INDEX(DECKS!$C$2:$C$1201,$H515))</f>
        <v/>
      </c>
      <c r="E515" s="16" t="str">
        <f aca="false">IF($H515="","",INDEX(DECKS!$D$2:$D$1201,$H515))</f>
        <v/>
      </c>
      <c r="F515" s="16" t="str">
        <f aca="false">IF($H515="","",INDEX(DECKS!$E$2:$E$1201,$H515))</f>
        <v/>
      </c>
      <c r="G515" s="21" t="str">
        <f aca="false">IF($H515="","",INDEX(DECKS!$F$2:$F$1201,$H515))</f>
        <v/>
      </c>
      <c r="H515" s="11" t="str">
        <f aca="false">IFERROR(MATCH(ROW()-1,DECKS!$O$2:$O$1201,0),"")</f>
        <v/>
      </c>
      <c r="I515" s="11" t="str">
        <f aca="false">IF(C515="","",G515&amp;" "&amp;D515&amp;" ("&amp;C515&amp;")")</f>
        <v/>
      </c>
    </row>
    <row r="516" customFormat="false" ht="15" hidden="false" customHeight="false" outlineLevel="0" collapsed="false">
      <c r="A516" s="16"/>
      <c r="B516" s="11" t="str">
        <f aca="false">IF($H516="","",INDEX(DECKS!$A$2:$A$1201,$H516))</f>
        <v/>
      </c>
      <c r="C516" s="11" t="str">
        <f aca="false">IF($H516="","",INDEX(DECKS!$B$2:$B$1201,$H516))</f>
        <v/>
      </c>
      <c r="D516" s="11" t="str">
        <f aca="false">IF($H516="","",INDEX(DECKS!$C$2:$C$1201,$H516))</f>
        <v/>
      </c>
      <c r="E516" s="16" t="str">
        <f aca="false">IF($H516="","",INDEX(DECKS!$D$2:$D$1201,$H516))</f>
        <v/>
      </c>
      <c r="F516" s="16" t="str">
        <f aca="false">IF($H516="","",INDEX(DECKS!$E$2:$E$1201,$H516))</f>
        <v/>
      </c>
      <c r="G516" s="21" t="str">
        <f aca="false">IF($H516="","",INDEX(DECKS!$F$2:$F$1201,$H516))</f>
        <v/>
      </c>
      <c r="H516" s="11" t="str">
        <f aca="false">IFERROR(MATCH(ROW()-1,DECKS!$O$2:$O$1201,0),"")</f>
        <v/>
      </c>
      <c r="I516" s="11" t="str">
        <f aca="false">IF(C516="","",G516&amp;" "&amp;D516&amp;" ("&amp;C516&amp;")")</f>
        <v/>
      </c>
    </row>
    <row r="517" customFormat="false" ht="15" hidden="false" customHeight="false" outlineLevel="0" collapsed="false">
      <c r="A517" s="16"/>
      <c r="B517" s="11" t="str">
        <f aca="false">IF($H517="","",INDEX(DECKS!$A$2:$A$1201,$H517))</f>
        <v/>
      </c>
      <c r="C517" s="11" t="str">
        <f aca="false">IF($H517="","",INDEX(DECKS!$B$2:$B$1201,$H517))</f>
        <v/>
      </c>
      <c r="D517" s="11" t="str">
        <f aca="false">IF($H517="","",INDEX(DECKS!$C$2:$C$1201,$H517))</f>
        <v/>
      </c>
      <c r="E517" s="16" t="str">
        <f aca="false">IF($H517="","",INDEX(DECKS!$D$2:$D$1201,$H517))</f>
        <v/>
      </c>
      <c r="F517" s="16" t="str">
        <f aca="false">IF($H517="","",INDEX(DECKS!$E$2:$E$1201,$H517))</f>
        <v/>
      </c>
      <c r="G517" s="21" t="str">
        <f aca="false">IF($H517="","",INDEX(DECKS!$F$2:$F$1201,$H517))</f>
        <v/>
      </c>
      <c r="H517" s="11" t="str">
        <f aca="false">IFERROR(MATCH(ROW()-1,DECKS!$O$2:$O$1201,0),"")</f>
        <v/>
      </c>
      <c r="I517" s="11" t="str">
        <f aca="false">IF(C517="","",G517&amp;" "&amp;D517&amp;" ("&amp;C517&amp;")")</f>
        <v/>
      </c>
    </row>
    <row r="518" customFormat="false" ht="15" hidden="false" customHeight="false" outlineLevel="0" collapsed="false">
      <c r="A518" s="16"/>
      <c r="B518" s="11" t="str">
        <f aca="false">IF($H518="","",INDEX(DECKS!$A$2:$A$1201,$H518))</f>
        <v/>
      </c>
      <c r="C518" s="11" t="str">
        <f aca="false">IF($H518="","",INDEX(DECKS!$B$2:$B$1201,$H518))</f>
        <v/>
      </c>
      <c r="D518" s="11" t="str">
        <f aca="false">IF($H518="","",INDEX(DECKS!$C$2:$C$1201,$H518))</f>
        <v/>
      </c>
      <c r="E518" s="16" t="str">
        <f aca="false">IF($H518="","",INDEX(DECKS!$D$2:$D$1201,$H518))</f>
        <v/>
      </c>
      <c r="F518" s="16" t="str">
        <f aca="false">IF($H518="","",INDEX(DECKS!$E$2:$E$1201,$H518))</f>
        <v/>
      </c>
      <c r="G518" s="21" t="str">
        <f aca="false">IF($H518="","",INDEX(DECKS!$F$2:$F$1201,$H518))</f>
        <v/>
      </c>
      <c r="H518" s="11" t="str">
        <f aca="false">IFERROR(MATCH(ROW()-1,DECKS!$O$2:$O$1201,0),"")</f>
        <v/>
      </c>
      <c r="I518" s="11" t="str">
        <f aca="false">IF(C518="","",G518&amp;" "&amp;D518&amp;" ("&amp;C518&amp;")")</f>
        <v/>
      </c>
    </row>
    <row r="519" customFormat="false" ht="15" hidden="false" customHeight="false" outlineLevel="0" collapsed="false">
      <c r="A519" s="16"/>
      <c r="B519" s="11" t="str">
        <f aca="false">IF($H519="","",INDEX(DECKS!$A$2:$A$1201,$H519))</f>
        <v/>
      </c>
      <c r="C519" s="11" t="str">
        <f aca="false">IF($H519="","",INDEX(DECKS!$B$2:$B$1201,$H519))</f>
        <v/>
      </c>
      <c r="D519" s="11" t="str">
        <f aca="false">IF($H519="","",INDEX(DECKS!$C$2:$C$1201,$H519))</f>
        <v/>
      </c>
      <c r="E519" s="16" t="str">
        <f aca="false">IF($H519="","",INDEX(DECKS!$D$2:$D$1201,$H519))</f>
        <v/>
      </c>
      <c r="F519" s="16" t="str">
        <f aca="false">IF($H519="","",INDEX(DECKS!$E$2:$E$1201,$H519))</f>
        <v/>
      </c>
      <c r="G519" s="21" t="str">
        <f aca="false">IF($H519="","",INDEX(DECKS!$F$2:$F$1201,$H519))</f>
        <v/>
      </c>
      <c r="H519" s="11" t="str">
        <f aca="false">IFERROR(MATCH(ROW()-1,DECKS!$O$2:$O$1201,0),"")</f>
        <v/>
      </c>
      <c r="I519" s="11" t="str">
        <f aca="false">IF(C519="","",G519&amp;" "&amp;D519&amp;" ("&amp;C519&amp;")")</f>
        <v/>
      </c>
    </row>
    <row r="520" customFormat="false" ht="15" hidden="false" customHeight="false" outlineLevel="0" collapsed="false">
      <c r="A520" s="16"/>
      <c r="B520" s="11" t="str">
        <f aca="false">IF($H520="","",INDEX(DECKS!$A$2:$A$1201,$H520))</f>
        <v/>
      </c>
      <c r="C520" s="11" t="str">
        <f aca="false">IF($H520="","",INDEX(DECKS!$B$2:$B$1201,$H520))</f>
        <v/>
      </c>
      <c r="D520" s="11" t="str">
        <f aca="false">IF($H520="","",INDEX(DECKS!$C$2:$C$1201,$H520))</f>
        <v/>
      </c>
      <c r="E520" s="16" t="str">
        <f aca="false">IF($H520="","",INDEX(DECKS!$D$2:$D$1201,$H520))</f>
        <v/>
      </c>
      <c r="F520" s="16" t="str">
        <f aca="false">IF($H520="","",INDEX(DECKS!$E$2:$E$1201,$H520))</f>
        <v/>
      </c>
      <c r="G520" s="21" t="str">
        <f aca="false">IF($H520="","",INDEX(DECKS!$F$2:$F$1201,$H520))</f>
        <v/>
      </c>
      <c r="H520" s="11" t="str">
        <f aca="false">IFERROR(MATCH(ROW()-1,DECKS!$O$2:$O$1201,0),"")</f>
        <v/>
      </c>
      <c r="I520" s="11" t="str">
        <f aca="false">IF(C520="","",G520&amp;" "&amp;D520&amp;" ("&amp;C520&amp;")")</f>
        <v/>
      </c>
    </row>
    <row r="521" customFormat="false" ht="15" hidden="false" customHeight="false" outlineLevel="0" collapsed="false">
      <c r="A521" s="16"/>
      <c r="B521" s="11" t="str">
        <f aca="false">IF($H521="","",INDEX(DECKS!$A$2:$A$1201,$H521))</f>
        <v/>
      </c>
      <c r="C521" s="11" t="str">
        <f aca="false">IF($H521="","",INDEX(DECKS!$B$2:$B$1201,$H521))</f>
        <v/>
      </c>
      <c r="D521" s="11" t="str">
        <f aca="false">IF($H521="","",INDEX(DECKS!$C$2:$C$1201,$H521))</f>
        <v/>
      </c>
      <c r="E521" s="16" t="str">
        <f aca="false">IF($H521="","",INDEX(DECKS!$D$2:$D$1201,$H521))</f>
        <v/>
      </c>
      <c r="F521" s="16" t="str">
        <f aca="false">IF($H521="","",INDEX(DECKS!$E$2:$E$1201,$H521))</f>
        <v/>
      </c>
      <c r="G521" s="21" t="str">
        <f aca="false">IF($H521="","",INDEX(DECKS!$F$2:$F$1201,$H521))</f>
        <v/>
      </c>
      <c r="H521" s="11" t="str">
        <f aca="false">IFERROR(MATCH(ROW()-1,DECKS!$O$2:$O$1201,0),"")</f>
        <v/>
      </c>
      <c r="I521" s="11" t="str">
        <f aca="false">IF(C521="","",G521&amp;" "&amp;D521&amp;" ("&amp;C521&amp;")")</f>
        <v/>
      </c>
    </row>
    <row r="522" customFormat="false" ht="15" hidden="false" customHeight="false" outlineLevel="0" collapsed="false">
      <c r="A522" s="16"/>
      <c r="B522" s="11" t="str">
        <f aca="false">IF($H522="","",INDEX(DECKS!$A$2:$A$1201,$H522))</f>
        <v/>
      </c>
      <c r="C522" s="11" t="str">
        <f aca="false">IF($H522="","",INDEX(DECKS!$B$2:$B$1201,$H522))</f>
        <v/>
      </c>
      <c r="D522" s="11" t="str">
        <f aca="false">IF($H522="","",INDEX(DECKS!$C$2:$C$1201,$H522))</f>
        <v/>
      </c>
      <c r="E522" s="16" t="str">
        <f aca="false">IF($H522="","",INDEX(DECKS!$D$2:$D$1201,$H522))</f>
        <v/>
      </c>
      <c r="F522" s="16" t="str">
        <f aca="false">IF($H522="","",INDEX(DECKS!$E$2:$E$1201,$H522))</f>
        <v/>
      </c>
      <c r="G522" s="21" t="str">
        <f aca="false">IF($H522="","",INDEX(DECKS!$F$2:$F$1201,$H522))</f>
        <v/>
      </c>
      <c r="H522" s="11" t="str">
        <f aca="false">IFERROR(MATCH(ROW()-1,DECKS!$O$2:$O$1201,0),"")</f>
        <v/>
      </c>
      <c r="I522" s="11" t="str">
        <f aca="false">IF(C522="","",G522&amp;" "&amp;D522&amp;" ("&amp;C522&amp;")")</f>
        <v/>
      </c>
    </row>
    <row r="523" customFormat="false" ht="15" hidden="false" customHeight="false" outlineLevel="0" collapsed="false">
      <c r="A523" s="16"/>
      <c r="B523" s="11" t="str">
        <f aca="false">IF($H523="","",INDEX(DECKS!$A$2:$A$1201,$H523))</f>
        <v/>
      </c>
      <c r="C523" s="11" t="str">
        <f aca="false">IF($H523="","",INDEX(DECKS!$B$2:$B$1201,$H523))</f>
        <v/>
      </c>
      <c r="D523" s="11" t="str">
        <f aca="false">IF($H523="","",INDEX(DECKS!$C$2:$C$1201,$H523))</f>
        <v/>
      </c>
      <c r="E523" s="16" t="str">
        <f aca="false">IF($H523="","",INDEX(DECKS!$D$2:$D$1201,$H523))</f>
        <v/>
      </c>
      <c r="F523" s="16" t="str">
        <f aca="false">IF($H523="","",INDEX(DECKS!$E$2:$E$1201,$H523))</f>
        <v/>
      </c>
      <c r="G523" s="21" t="str">
        <f aca="false">IF($H523="","",INDEX(DECKS!$F$2:$F$1201,$H523))</f>
        <v/>
      </c>
      <c r="H523" s="11" t="str">
        <f aca="false">IFERROR(MATCH(ROW()-1,DECKS!$O$2:$O$1201,0),"")</f>
        <v/>
      </c>
      <c r="I523" s="11" t="str">
        <f aca="false">IF(C523="","",G523&amp;" "&amp;D523&amp;" ("&amp;C523&amp;")")</f>
        <v/>
      </c>
    </row>
    <row r="524" customFormat="false" ht="15" hidden="false" customHeight="false" outlineLevel="0" collapsed="false">
      <c r="A524" s="16"/>
      <c r="B524" s="11" t="str">
        <f aca="false">IF($H524="","",INDEX(DECKS!$A$2:$A$1201,$H524))</f>
        <v/>
      </c>
      <c r="C524" s="11" t="str">
        <f aca="false">IF($H524="","",INDEX(DECKS!$B$2:$B$1201,$H524))</f>
        <v/>
      </c>
      <c r="D524" s="11" t="str">
        <f aca="false">IF($H524="","",INDEX(DECKS!$C$2:$C$1201,$H524))</f>
        <v/>
      </c>
      <c r="E524" s="16" t="str">
        <f aca="false">IF($H524="","",INDEX(DECKS!$D$2:$D$1201,$H524))</f>
        <v/>
      </c>
      <c r="F524" s="16" t="str">
        <f aca="false">IF($H524="","",INDEX(DECKS!$E$2:$E$1201,$H524))</f>
        <v/>
      </c>
      <c r="G524" s="21" t="str">
        <f aca="false">IF($H524="","",INDEX(DECKS!$F$2:$F$1201,$H524))</f>
        <v/>
      </c>
      <c r="H524" s="11" t="str">
        <f aca="false">IFERROR(MATCH(ROW()-1,DECKS!$O$2:$O$1201,0),"")</f>
        <v/>
      </c>
      <c r="I524" s="11" t="str">
        <f aca="false">IF(C524="","",G524&amp;" "&amp;D524&amp;" ("&amp;C524&amp;")")</f>
        <v/>
      </c>
    </row>
    <row r="525" customFormat="false" ht="15" hidden="false" customHeight="false" outlineLevel="0" collapsed="false">
      <c r="A525" s="16"/>
      <c r="B525" s="11" t="str">
        <f aca="false">IF($H525="","",INDEX(DECKS!$A$2:$A$1201,$H525))</f>
        <v/>
      </c>
      <c r="C525" s="11" t="str">
        <f aca="false">IF($H525="","",INDEX(DECKS!$B$2:$B$1201,$H525))</f>
        <v/>
      </c>
      <c r="D525" s="11" t="str">
        <f aca="false">IF($H525="","",INDEX(DECKS!$C$2:$C$1201,$H525))</f>
        <v/>
      </c>
      <c r="E525" s="16" t="str">
        <f aca="false">IF($H525="","",INDEX(DECKS!$D$2:$D$1201,$H525))</f>
        <v/>
      </c>
      <c r="F525" s="16" t="str">
        <f aca="false">IF($H525="","",INDEX(DECKS!$E$2:$E$1201,$H525))</f>
        <v/>
      </c>
      <c r="G525" s="21" t="str">
        <f aca="false">IF($H525="","",INDEX(DECKS!$F$2:$F$1201,$H525))</f>
        <v/>
      </c>
      <c r="H525" s="11" t="str">
        <f aca="false">IFERROR(MATCH(ROW()-1,DECKS!$O$2:$O$1201,0),"")</f>
        <v/>
      </c>
      <c r="I525" s="11" t="str">
        <f aca="false">IF(C525="","",G525&amp;" "&amp;D525&amp;" ("&amp;C525&amp;")")</f>
        <v/>
      </c>
    </row>
    <row r="526" customFormat="false" ht="15" hidden="false" customHeight="false" outlineLevel="0" collapsed="false">
      <c r="A526" s="16"/>
      <c r="B526" s="11" t="str">
        <f aca="false">IF($H526="","",INDEX(DECKS!$A$2:$A$1201,$H526))</f>
        <v/>
      </c>
      <c r="C526" s="11" t="str">
        <f aca="false">IF($H526="","",INDEX(DECKS!$B$2:$B$1201,$H526))</f>
        <v/>
      </c>
      <c r="D526" s="11" t="str">
        <f aca="false">IF($H526="","",INDEX(DECKS!$C$2:$C$1201,$H526))</f>
        <v/>
      </c>
      <c r="E526" s="16" t="str">
        <f aca="false">IF($H526="","",INDEX(DECKS!$D$2:$D$1201,$H526))</f>
        <v/>
      </c>
      <c r="F526" s="16" t="str">
        <f aca="false">IF($H526="","",INDEX(DECKS!$E$2:$E$1201,$H526))</f>
        <v/>
      </c>
      <c r="G526" s="21" t="str">
        <f aca="false">IF($H526="","",INDEX(DECKS!$F$2:$F$1201,$H526))</f>
        <v/>
      </c>
      <c r="H526" s="11" t="str">
        <f aca="false">IFERROR(MATCH(ROW()-1,DECKS!$O$2:$O$1201,0),"")</f>
        <v/>
      </c>
      <c r="I526" s="11" t="str">
        <f aca="false">IF(C526="","",G526&amp;" "&amp;D526&amp;" ("&amp;C526&amp;")")</f>
        <v/>
      </c>
    </row>
    <row r="527" customFormat="false" ht="15" hidden="false" customHeight="false" outlineLevel="0" collapsed="false">
      <c r="A527" s="16"/>
      <c r="B527" s="11" t="str">
        <f aca="false">IF($H527="","",INDEX(DECKS!$A$2:$A$1201,$H527))</f>
        <v/>
      </c>
      <c r="C527" s="11" t="str">
        <f aca="false">IF($H527="","",INDEX(DECKS!$B$2:$B$1201,$H527))</f>
        <v/>
      </c>
      <c r="D527" s="11" t="str">
        <f aca="false">IF($H527="","",INDEX(DECKS!$C$2:$C$1201,$H527))</f>
        <v/>
      </c>
      <c r="E527" s="16" t="str">
        <f aca="false">IF($H527="","",INDEX(DECKS!$D$2:$D$1201,$H527))</f>
        <v/>
      </c>
      <c r="F527" s="16" t="str">
        <f aca="false">IF($H527="","",INDEX(DECKS!$E$2:$E$1201,$H527))</f>
        <v/>
      </c>
      <c r="G527" s="21" t="str">
        <f aca="false">IF($H527="","",INDEX(DECKS!$F$2:$F$1201,$H527))</f>
        <v/>
      </c>
      <c r="H527" s="11" t="str">
        <f aca="false">IFERROR(MATCH(ROW()-1,DECKS!$O$2:$O$1201,0),"")</f>
        <v/>
      </c>
      <c r="I527" s="11" t="str">
        <f aca="false">IF(C527="","",G527&amp;" "&amp;D527&amp;" ("&amp;C527&amp;")")</f>
        <v/>
      </c>
    </row>
    <row r="528" customFormat="false" ht="15" hidden="false" customHeight="false" outlineLevel="0" collapsed="false">
      <c r="A528" s="16"/>
      <c r="B528" s="11" t="str">
        <f aca="false">IF($H528="","",INDEX(DECKS!$A$2:$A$1201,$H528))</f>
        <v/>
      </c>
      <c r="C528" s="11" t="str">
        <f aca="false">IF($H528="","",INDEX(DECKS!$B$2:$B$1201,$H528))</f>
        <v/>
      </c>
      <c r="D528" s="11" t="str">
        <f aca="false">IF($H528="","",INDEX(DECKS!$C$2:$C$1201,$H528))</f>
        <v/>
      </c>
      <c r="E528" s="16" t="str">
        <f aca="false">IF($H528="","",INDEX(DECKS!$D$2:$D$1201,$H528))</f>
        <v/>
      </c>
      <c r="F528" s="16" t="str">
        <f aca="false">IF($H528="","",INDEX(DECKS!$E$2:$E$1201,$H528))</f>
        <v/>
      </c>
      <c r="G528" s="21" t="str">
        <f aca="false">IF($H528="","",INDEX(DECKS!$F$2:$F$1201,$H528))</f>
        <v/>
      </c>
      <c r="H528" s="11" t="str">
        <f aca="false">IFERROR(MATCH(ROW()-1,DECKS!$O$2:$O$1201,0),"")</f>
        <v/>
      </c>
      <c r="I528" s="11" t="str">
        <f aca="false">IF(C528="","",G528&amp;" "&amp;D528&amp;" ("&amp;C528&amp;")")</f>
        <v/>
      </c>
    </row>
    <row r="529" customFormat="false" ht="15" hidden="false" customHeight="false" outlineLevel="0" collapsed="false">
      <c r="A529" s="16"/>
      <c r="B529" s="11" t="str">
        <f aca="false">IF($H529="","",INDEX(DECKS!$A$2:$A$1201,$H529))</f>
        <v/>
      </c>
      <c r="C529" s="11" t="str">
        <f aca="false">IF($H529="","",INDEX(DECKS!$B$2:$B$1201,$H529))</f>
        <v/>
      </c>
      <c r="D529" s="11" t="str">
        <f aca="false">IF($H529="","",INDEX(DECKS!$C$2:$C$1201,$H529))</f>
        <v/>
      </c>
      <c r="E529" s="16" t="str">
        <f aca="false">IF($H529="","",INDEX(DECKS!$D$2:$D$1201,$H529))</f>
        <v/>
      </c>
      <c r="F529" s="16" t="str">
        <f aca="false">IF($H529="","",INDEX(DECKS!$E$2:$E$1201,$H529))</f>
        <v/>
      </c>
      <c r="G529" s="21" t="str">
        <f aca="false">IF($H529="","",INDEX(DECKS!$F$2:$F$1201,$H529))</f>
        <v/>
      </c>
      <c r="H529" s="11" t="str">
        <f aca="false">IFERROR(MATCH(ROW()-1,DECKS!$O$2:$O$1201,0),"")</f>
        <v/>
      </c>
      <c r="I529" s="11" t="str">
        <f aca="false">IF(C529="","",G529&amp;" "&amp;D529&amp;" ("&amp;C529&amp;")")</f>
        <v/>
      </c>
    </row>
    <row r="530" customFormat="false" ht="15" hidden="false" customHeight="false" outlineLevel="0" collapsed="false">
      <c r="A530" s="16"/>
      <c r="B530" s="11" t="str">
        <f aca="false">IF($H530="","",INDEX(DECKS!$A$2:$A$1201,$H530))</f>
        <v/>
      </c>
      <c r="C530" s="11" t="str">
        <f aca="false">IF($H530="","",INDEX(DECKS!$B$2:$B$1201,$H530))</f>
        <v/>
      </c>
      <c r="D530" s="11" t="str">
        <f aca="false">IF($H530="","",INDEX(DECKS!$C$2:$C$1201,$H530))</f>
        <v/>
      </c>
      <c r="E530" s="16" t="str">
        <f aca="false">IF($H530="","",INDEX(DECKS!$D$2:$D$1201,$H530))</f>
        <v/>
      </c>
      <c r="F530" s="16" t="str">
        <f aca="false">IF($H530="","",INDEX(DECKS!$E$2:$E$1201,$H530))</f>
        <v/>
      </c>
      <c r="G530" s="21" t="str">
        <f aca="false">IF($H530="","",INDEX(DECKS!$F$2:$F$1201,$H530))</f>
        <v/>
      </c>
      <c r="H530" s="11" t="str">
        <f aca="false">IFERROR(MATCH(ROW()-1,DECKS!$O$2:$O$1201,0),"")</f>
        <v/>
      </c>
      <c r="I530" s="11" t="str">
        <f aca="false">IF(C530="","",G530&amp;" "&amp;D530&amp;" ("&amp;C530&amp;")")</f>
        <v/>
      </c>
    </row>
    <row r="531" customFormat="false" ht="15" hidden="false" customHeight="false" outlineLevel="0" collapsed="false">
      <c r="A531" s="16"/>
      <c r="B531" s="11" t="str">
        <f aca="false">IF($H531="","",INDEX(DECKS!$A$2:$A$1201,$H531))</f>
        <v/>
      </c>
      <c r="C531" s="11" t="str">
        <f aca="false">IF($H531="","",INDEX(DECKS!$B$2:$B$1201,$H531))</f>
        <v/>
      </c>
      <c r="D531" s="11" t="str">
        <f aca="false">IF($H531="","",INDEX(DECKS!$C$2:$C$1201,$H531))</f>
        <v/>
      </c>
      <c r="E531" s="16" t="str">
        <f aca="false">IF($H531="","",INDEX(DECKS!$D$2:$D$1201,$H531))</f>
        <v/>
      </c>
      <c r="F531" s="16" t="str">
        <f aca="false">IF($H531="","",INDEX(DECKS!$E$2:$E$1201,$H531))</f>
        <v/>
      </c>
      <c r="G531" s="21" t="str">
        <f aca="false">IF($H531="","",INDEX(DECKS!$F$2:$F$1201,$H531))</f>
        <v/>
      </c>
      <c r="H531" s="11" t="str">
        <f aca="false">IFERROR(MATCH(ROW()-1,DECKS!$O$2:$O$1201,0),"")</f>
        <v/>
      </c>
      <c r="I531" s="11" t="str">
        <f aca="false">IF(C531="","",G531&amp;" "&amp;D531&amp;" ("&amp;C531&amp;")")</f>
        <v/>
      </c>
    </row>
    <row r="532" customFormat="false" ht="15" hidden="false" customHeight="false" outlineLevel="0" collapsed="false">
      <c r="A532" s="16"/>
      <c r="B532" s="11" t="str">
        <f aca="false">IF($H532="","",INDEX(DECKS!$A$2:$A$1201,$H532))</f>
        <v/>
      </c>
      <c r="C532" s="11" t="str">
        <f aca="false">IF($H532="","",INDEX(DECKS!$B$2:$B$1201,$H532))</f>
        <v/>
      </c>
      <c r="D532" s="11" t="str">
        <f aca="false">IF($H532="","",INDEX(DECKS!$C$2:$C$1201,$H532))</f>
        <v/>
      </c>
      <c r="E532" s="16" t="str">
        <f aca="false">IF($H532="","",INDEX(DECKS!$D$2:$D$1201,$H532))</f>
        <v/>
      </c>
      <c r="F532" s="16" t="str">
        <f aca="false">IF($H532="","",INDEX(DECKS!$E$2:$E$1201,$H532))</f>
        <v/>
      </c>
      <c r="G532" s="21" t="str">
        <f aca="false">IF($H532="","",INDEX(DECKS!$F$2:$F$1201,$H532))</f>
        <v/>
      </c>
      <c r="H532" s="11" t="str">
        <f aca="false">IFERROR(MATCH(ROW()-1,DECKS!$O$2:$O$1201,0),"")</f>
        <v/>
      </c>
      <c r="I532" s="11" t="str">
        <f aca="false">IF(C532="","",G532&amp;" "&amp;D532&amp;" ("&amp;C532&amp;")")</f>
        <v/>
      </c>
    </row>
    <row r="533" customFormat="false" ht="15" hidden="false" customHeight="false" outlineLevel="0" collapsed="false">
      <c r="A533" s="16"/>
      <c r="B533" s="11" t="str">
        <f aca="false">IF($H533="","",INDEX(DECKS!$A$2:$A$1201,$H533))</f>
        <v/>
      </c>
      <c r="C533" s="11" t="str">
        <f aca="false">IF($H533="","",INDEX(DECKS!$B$2:$B$1201,$H533))</f>
        <v/>
      </c>
      <c r="D533" s="11" t="str">
        <f aca="false">IF($H533="","",INDEX(DECKS!$C$2:$C$1201,$H533))</f>
        <v/>
      </c>
      <c r="E533" s="16" t="str">
        <f aca="false">IF($H533="","",INDEX(DECKS!$D$2:$D$1201,$H533))</f>
        <v/>
      </c>
      <c r="F533" s="16" t="str">
        <f aca="false">IF($H533="","",INDEX(DECKS!$E$2:$E$1201,$H533))</f>
        <v/>
      </c>
      <c r="G533" s="21" t="str">
        <f aca="false">IF($H533="","",INDEX(DECKS!$F$2:$F$1201,$H533))</f>
        <v/>
      </c>
      <c r="H533" s="11" t="str">
        <f aca="false">IFERROR(MATCH(ROW()-1,DECKS!$O$2:$O$1201,0),"")</f>
        <v/>
      </c>
      <c r="I533" s="11" t="str">
        <f aca="false">IF(C533="","",G533&amp;" "&amp;D533&amp;" ("&amp;C533&amp;")")</f>
        <v/>
      </c>
    </row>
    <row r="534" customFormat="false" ht="15" hidden="false" customHeight="false" outlineLevel="0" collapsed="false">
      <c r="A534" s="16"/>
      <c r="B534" s="11" t="str">
        <f aca="false">IF($H534="","",INDEX(DECKS!$A$2:$A$1201,$H534))</f>
        <v/>
      </c>
      <c r="C534" s="11" t="str">
        <f aca="false">IF($H534="","",INDEX(DECKS!$B$2:$B$1201,$H534))</f>
        <v/>
      </c>
      <c r="D534" s="11" t="str">
        <f aca="false">IF($H534="","",INDEX(DECKS!$C$2:$C$1201,$H534))</f>
        <v/>
      </c>
      <c r="E534" s="16" t="str">
        <f aca="false">IF($H534="","",INDEX(DECKS!$D$2:$D$1201,$H534))</f>
        <v/>
      </c>
      <c r="F534" s="16" t="str">
        <f aca="false">IF($H534="","",INDEX(DECKS!$E$2:$E$1201,$H534))</f>
        <v/>
      </c>
      <c r="G534" s="21" t="str">
        <f aca="false">IF($H534="","",INDEX(DECKS!$F$2:$F$1201,$H534))</f>
        <v/>
      </c>
      <c r="H534" s="11" t="str">
        <f aca="false">IFERROR(MATCH(ROW()-1,DECKS!$O$2:$O$1201,0),"")</f>
        <v/>
      </c>
      <c r="I534" s="11" t="str">
        <f aca="false">IF(C534="","",G534&amp;" "&amp;D534&amp;" ("&amp;C534&amp;")")</f>
        <v/>
      </c>
    </row>
    <row r="535" customFormat="false" ht="15" hidden="false" customHeight="false" outlineLevel="0" collapsed="false">
      <c r="A535" s="16"/>
      <c r="B535" s="11" t="str">
        <f aca="false">IF($H535="","",INDEX(DECKS!$A$2:$A$1201,$H535))</f>
        <v/>
      </c>
      <c r="C535" s="11" t="str">
        <f aca="false">IF($H535="","",INDEX(DECKS!$B$2:$B$1201,$H535))</f>
        <v/>
      </c>
      <c r="D535" s="11" t="str">
        <f aca="false">IF($H535="","",INDEX(DECKS!$C$2:$C$1201,$H535))</f>
        <v/>
      </c>
      <c r="E535" s="16" t="str">
        <f aca="false">IF($H535="","",INDEX(DECKS!$D$2:$D$1201,$H535))</f>
        <v/>
      </c>
      <c r="F535" s="16" t="str">
        <f aca="false">IF($H535="","",INDEX(DECKS!$E$2:$E$1201,$H535))</f>
        <v/>
      </c>
      <c r="G535" s="21" t="str">
        <f aca="false">IF($H535="","",INDEX(DECKS!$F$2:$F$1201,$H535))</f>
        <v/>
      </c>
      <c r="H535" s="11" t="str">
        <f aca="false">IFERROR(MATCH(ROW()-1,DECKS!$O$2:$O$1201,0),"")</f>
        <v/>
      </c>
      <c r="I535" s="11" t="str">
        <f aca="false">IF(C535="","",G535&amp;" "&amp;D535&amp;" ("&amp;C535&amp;")")</f>
        <v/>
      </c>
    </row>
    <row r="536" customFormat="false" ht="15" hidden="false" customHeight="false" outlineLevel="0" collapsed="false">
      <c r="A536" s="16"/>
      <c r="B536" s="11" t="str">
        <f aca="false">IF($H536="","",INDEX(DECKS!$A$2:$A$1201,$H536))</f>
        <v/>
      </c>
      <c r="C536" s="11" t="str">
        <f aca="false">IF($H536="","",INDEX(DECKS!$B$2:$B$1201,$H536))</f>
        <v/>
      </c>
      <c r="D536" s="11" t="str">
        <f aca="false">IF($H536="","",INDEX(DECKS!$C$2:$C$1201,$H536))</f>
        <v/>
      </c>
      <c r="E536" s="16" t="str">
        <f aca="false">IF($H536="","",INDEX(DECKS!$D$2:$D$1201,$H536))</f>
        <v/>
      </c>
      <c r="F536" s="16" t="str">
        <f aca="false">IF($H536="","",INDEX(DECKS!$E$2:$E$1201,$H536))</f>
        <v/>
      </c>
      <c r="G536" s="21" t="str">
        <f aca="false">IF($H536="","",INDEX(DECKS!$F$2:$F$1201,$H536))</f>
        <v/>
      </c>
      <c r="H536" s="11" t="str">
        <f aca="false">IFERROR(MATCH(ROW()-1,DECKS!$O$2:$O$1201,0),"")</f>
        <v/>
      </c>
      <c r="I536" s="11" t="str">
        <f aca="false">IF(C536="","",G536&amp;" "&amp;D536&amp;" ("&amp;C536&amp;")")</f>
        <v/>
      </c>
    </row>
    <row r="537" customFormat="false" ht="15" hidden="false" customHeight="false" outlineLevel="0" collapsed="false">
      <c r="A537" s="16"/>
      <c r="B537" s="11" t="str">
        <f aca="false">IF($H537="","",INDEX(DECKS!$A$2:$A$1201,$H537))</f>
        <v/>
      </c>
      <c r="C537" s="11" t="str">
        <f aca="false">IF($H537="","",INDEX(DECKS!$B$2:$B$1201,$H537))</f>
        <v/>
      </c>
      <c r="D537" s="11" t="str">
        <f aca="false">IF($H537="","",INDEX(DECKS!$C$2:$C$1201,$H537))</f>
        <v/>
      </c>
      <c r="E537" s="16" t="str">
        <f aca="false">IF($H537="","",INDEX(DECKS!$D$2:$D$1201,$H537))</f>
        <v/>
      </c>
      <c r="F537" s="16" t="str">
        <f aca="false">IF($H537="","",INDEX(DECKS!$E$2:$E$1201,$H537))</f>
        <v/>
      </c>
      <c r="G537" s="21" t="str">
        <f aca="false">IF($H537="","",INDEX(DECKS!$F$2:$F$1201,$H537))</f>
        <v/>
      </c>
      <c r="H537" s="11" t="str">
        <f aca="false">IFERROR(MATCH(ROW()-1,DECKS!$O$2:$O$1201,0),"")</f>
        <v/>
      </c>
      <c r="I537" s="11" t="str">
        <f aca="false">IF(C537="","",G537&amp;" "&amp;D537&amp;" ("&amp;C537&amp;")")</f>
        <v/>
      </c>
    </row>
    <row r="538" customFormat="false" ht="15" hidden="false" customHeight="false" outlineLevel="0" collapsed="false">
      <c r="A538" s="16"/>
      <c r="B538" s="11" t="str">
        <f aca="false">IF($H538="","",INDEX(DECKS!$A$2:$A$1201,$H538))</f>
        <v/>
      </c>
      <c r="C538" s="11" t="str">
        <f aca="false">IF($H538="","",INDEX(DECKS!$B$2:$B$1201,$H538))</f>
        <v/>
      </c>
      <c r="D538" s="11" t="str">
        <f aca="false">IF($H538="","",INDEX(DECKS!$C$2:$C$1201,$H538))</f>
        <v/>
      </c>
      <c r="E538" s="16" t="str">
        <f aca="false">IF($H538="","",INDEX(DECKS!$D$2:$D$1201,$H538))</f>
        <v/>
      </c>
      <c r="F538" s="16" t="str">
        <f aca="false">IF($H538="","",INDEX(DECKS!$E$2:$E$1201,$H538))</f>
        <v/>
      </c>
      <c r="G538" s="21" t="str">
        <f aca="false">IF($H538="","",INDEX(DECKS!$F$2:$F$1201,$H538))</f>
        <v/>
      </c>
      <c r="H538" s="11" t="str">
        <f aca="false">IFERROR(MATCH(ROW()-1,DECKS!$O$2:$O$1201,0),"")</f>
        <v/>
      </c>
      <c r="I538" s="11" t="str">
        <f aca="false">IF(C538="","",G538&amp;" "&amp;D538&amp;" ("&amp;C538&amp;")")</f>
        <v/>
      </c>
    </row>
    <row r="539" customFormat="false" ht="15" hidden="false" customHeight="false" outlineLevel="0" collapsed="false">
      <c r="A539" s="16"/>
      <c r="B539" s="11" t="str">
        <f aca="false">IF($H539="","",INDEX(DECKS!$A$2:$A$1201,$H539))</f>
        <v/>
      </c>
      <c r="C539" s="11" t="str">
        <f aca="false">IF($H539="","",INDEX(DECKS!$B$2:$B$1201,$H539))</f>
        <v/>
      </c>
      <c r="D539" s="11" t="str">
        <f aca="false">IF($H539="","",INDEX(DECKS!$C$2:$C$1201,$H539))</f>
        <v/>
      </c>
      <c r="E539" s="16" t="str">
        <f aca="false">IF($H539="","",INDEX(DECKS!$D$2:$D$1201,$H539))</f>
        <v/>
      </c>
      <c r="F539" s="16" t="str">
        <f aca="false">IF($H539="","",INDEX(DECKS!$E$2:$E$1201,$H539))</f>
        <v/>
      </c>
      <c r="G539" s="21" t="str">
        <f aca="false">IF($H539="","",INDEX(DECKS!$F$2:$F$1201,$H539))</f>
        <v/>
      </c>
      <c r="H539" s="11" t="str">
        <f aca="false">IFERROR(MATCH(ROW()-1,DECKS!$O$2:$O$1201,0),"")</f>
        <v/>
      </c>
      <c r="I539" s="11" t="str">
        <f aca="false">IF(C539="","",G539&amp;" "&amp;D539&amp;" ("&amp;C539&amp;")")</f>
        <v/>
      </c>
    </row>
    <row r="540" customFormat="false" ht="15" hidden="false" customHeight="false" outlineLevel="0" collapsed="false">
      <c r="A540" s="16"/>
      <c r="B540" s="11" t="str">
        <f aca="false">IF($H540="","",INDEX(DECKS!$A$2:$A$1201,$H540))</f>
        <v/>
      </c>
      <c r="C540" s="11" t="str">
        <f aca="false">IF($H540="","",INDEX(DECKS!$B$2:$B$1201,$H540))</f>
        <v/>
      </c>
      <c r="D540" s="11" t="str">
        <f aca="false">IF($H540="","",INDEX(DECKS!$C$2:$C$1201,$H540))</f>
        <v/>
      </c>
      <c r="E540" s="16" t="str">
        <f aca="false">IF($H540="","",INDEX(DECKS!$D$2:$D$1201,$H540))</f>
        <v/>
      </c>
      <c r="F540" s="16" t="str">
        <f aca="false">IF($H540="","",INDEX(DECKS!$E$2:$E$1201,$H540))</f>
        <v/>
      </c>
      <c r="G540" s="21" t="str">
        <f aca="false">IF($H540="","",INDEX(DECKS!$F$2:$F$1201,$H540))</f>
        <v/>
      </c>
      <c r="H540" s="11" t="str">
        <f aca="false">IFERROR(MATCH(ROW()-1,DECKS!$O$2:$O$1201,0),"")</f>
        <v/>
      </c>
      <c r="I540" s="11" t="str">
        <f aca="false">IF(C540="","",G540&amp;" "&amp;D540&amp;" ("&amp;C540&amp;")")</f>
        <v/>
      </c>
    </row>
    <row r="541" customFormat="false" ht="15" hidden="false" customHeight="false" outlineLevel="0" collapsed="false">
      <c r="A541" s="16"/>
      <c r="B541" s="11" t="str">
        <f aca="false">IF($H541="","",INDEX(DECKS!$A$2:$A$1201,$H541))</f>
        <v/>
      </c>
      <c r="C541" s="11" t="str">
        <f aca="false">IF($H541="","",INDEX(DECKS!$B$2:$B$1201,$H541))</f>
        <v/>
      </c>
      <c r="D541" s="11" t="str">
        <f aca="false">IF($H541="","",INDEX(DECKS!$C$2:$C$1201,$H541))</f>
        <v/>
      </c>
      <c r="E541" s="16" t="str">
        <f aca="false">IF($H541="","",INDEX(DECKS!$D$2:$D$1201,$H541))</f>
        <v/>
      </c>
      <c r="F541" s="16" t="str">
        <f aca="false">IF($H541="","",INDEX(DECKS!$E$2:$E$1201,$H541))</f>
        <v/>
      </c>
      <c r="G541" s="21" t="str">
        <f aca="false">IF($H541="","",INDEX(DECKS!$F$2:$F$1201,$H541))</f>
        <v/>
      </c>
      <c r="H541" s="11" t="str">
        <f aca="false">IFERROR(MATCH(ROW()-1,DECKS!$O$2:$O$1201,0),"")</f>
        <v/>
      </c>
      <c r="I541" s="11" t="str">
        <f aca="false">IF(C541="","",G541&amp;" "&amp;D541&amp;" ("&amp;C541&amp;")")</f>
        <v/>
      </c>
    </row>
    <row r="542" customFormat="false" ht="15" hidden="false" customHeight="false" outlineLevel="0" collapsed="false">
      <c r="A542" s="16"/>
      <c r="B542" s="11" t="str">
        <f aca="false">IF($H542="","",INDEX(DECKS!$A$2:$A$1201,$H542))</f>
        <v/>
      </c>
      <c r="C542" s="11" t="str">
        <f aca="false">IF($H542="","",INDEX(DECKS!$B$2:$B$1201,$H542))</f>
        <v/>
      </c>
      <c r="D542" s="11" t="str">
        <f aca="false">IF($H542="","",INDEX(DECKS!$C$2:$C$1201,$H542))</f>
        <v/>
      </c>
      <c r="E542" s="16" t="str">
        <f aca="false">IF($H542="","",INDEX(DECKS!$D$2:$D$1201,$H542))</f>
        <v/>
      </c>
      <c r="F542" s="16" t="str">
        <f aca="false">IF($H542="","",INDEX(DECKS!$E$2:$E$1201,$H542))</f>
        <v/>
      </c>
      <c r="G542" s="21" t="str">
        <f aca="false">IF($H542="","",INDEX(DECKS!$F$2:$F$1201,$H542))</f>
        <v/>
      </c>
      <c r="H542" s="11" t="str">
        <f aca="false">IFERROR(MATCH(ROW()-1,DECKS!$O$2:$O$1201,0),"")</f>
        <v/>
      </c>
      <c r="I542" s="11" t="str">
        <f aca="false">IF(C542="","",G542&amp;" "&amp;D542&amp;" ("&amp;C542&amp;")")</f>
        <v/>
      </c>
    </row>
    <row r="543" customFormat="false" ht="15" hidden="false" customHeight="false" outlineLevel="0" collapsed="false">
      <c r="A543" s="16"/>
      <c r="B543" s="11" t="str">
        <f aca="false">IF($H543="","",INDEX(DECKS!$A$2:$A$1201,$H543))</f>
        <v/>
      </c>
      <c r="C543" s="11" t="str">
        <f aca="false">IF($H543="","",INDEX(DECKS!$B$2:$B$1201,$H543))</f>
        <v/>
      </c>
      <c r="D543" s="11" t="str">
        <f aca="false">IF($H543="","",INDEX(DECKS!$C$2:$C$1201,$H543))</f>
        <v/>
      </c>
      <c r="E543" s="16" t="str">
        <f aca="false">IF($H543="","",INDEX(DECKS!$D$2:$D$1201,$H543))</f>
        <v/>
      </c>
      <c r="F543" s="16" t="str">
        <f aca="false">IF($H543="","",INDEX(DECKS!$E$2:$E$1201,$H543))</f>
        <v/>
      </c>
      <c r="G543" s="21" t="str">
        <f aca="false">IF($H543="","",INDEX(DECKS!$F$2:$F$1201,$H543))</f>
        <v/>
      </c>
      <c r="H543" s="11" t="str">
        <f aca="false">IFERROR(MATCH(ROW()-1,DECKS!$O$2:$O$1201,0),"")</f>
        <v/>
      </c>
      <c r="I543" s="11" t="str">
        <f aca="false">IF(C543="","",G543&amp;" "&amp;D543&amp;" ("&amp;C543&amp;")")</f>
        <v/>
      </c>
    </row>
    <row r="544" customFormat="false" ht="15" hidden="false" customHeight="false" outlineLevel="0" collapsed="false">
      <c r="A544" s="16"/>
      <c r="B544" s="11" t="str">
        <f aca="false">IF($H544="","",INDEX(DECKS!$A$2:$A$1201,$H544))</f>
        <v/>
      </c>
      <c r="C544" s="11" t="str">
        <f aca="false">IF($H544="","",INDEX(DECKS!$B$2:$B$1201,$H544))</f>
        <v/>
      </c>
      <c r="D544" s="11" t="str">
        <f aca="false">IF($H544="","",INDEX(DECKS!$C$2:$C$1201,$H544))</f>
        <v/>
      </c>
      <c r="E544" s="16" t="str">
        <f aca="false">IF($H544="","",INDEX(DECKS!$D$2:$D$1201,$H544))</f>
        <v/>
      </c>
      <c r="F544" s="16" t="str">
        <f aca="false">IF($H544="","",INDEX(DECKS!$E$2:$E$1201,$H544))</f>
        <v/>
      </c>
      <c r="G544" s="21" t="str">
        <f aca="false">IF($H544="","",INDEX(DECKS!$F$2:$F$1201,$H544))</f>
        <v/>
      </c>
      <c r="H544" s="11" t="str">
        <f aca="false">IFERROR(MATCH(ROW()-1,DECKS!$O$2:$O$1201,0),"")</f>
        <v/>
      </c>
      <c r="I544" s="11" t="str">
        <f aca="false">IF(C544="","",G544&amp;" "&amp;D544&amp;" ("&amp;C544&amp;")")</f>
        <v/>
      </c>
    </row>
    <row r="545" customFormat="false" ht="15" hidden="false" customHeight="false" outlineLevel="0" collapsed="false">
      <c r="A545" s="16"/>
      <c r="B545" s="11" t="str">
        <f aca="false">IF($H545="","",INDEX(DECKS!$A$2:$A$1201,$H545))</f>
        <v/>
      </c>
      <c r="C545" s="11" t="str">
        <f aca="false">IF($H545="","",INDEX(DECKS!$B$2:$B$1201,$H545))</f>
        <v/>
      </c>
      <c r="D545" s="11" t="str">
        <f aca="false">IF($H545="","",INDEX(DECKS!$C$2:$C$1201,$H545))</f>
        <v/>
      </c>
      <c r="E545" s="16" t="str">
        <f aca="false">IF($H545="","",INDEX(DECKS!$D$2:$D$1201,$H545))</f>
        <v/>
      </c>
      <c r="F545" s="16" t="str">
        <f aca="false">IF($H545="","",INDEX(DECKS!$E$2:$E$1201,$H545))</f>
        <v/>
      </c>
      <c r="G545" s="21" t="str">
        <f aca="false">IF($H545="","",INDEX(DECKS!$F$2:$F$1201,$H545))</f>
        <v/>
      </c>
      <c r="H545" s="11" t="str">
        <f aca="false">IFERROR(MATCH(ROW()-1,DECKS!$O$2:$O$1201,0),"")</f>
        <v/>
      </c>
      <c r="I545" s="11" t="str">
        <f aca="false">IF(C545="","",G545&amp;" "&amp;D545&amp;" ("&amp;C545&amp;")")</f>
        <v/>
      </c>
    </row>
    <row r="546" customFormat="false" ht="15" hidden="false" customHeight="false" outlineLevel="0" collapsed="false">
      <c r="A546" s="16"/>
      <c r="B546" s="11" t="str">
        <f aca="false">IF($H546="","",INDEX(DECKS!$A$2:$A$1201,$H546))</f>
        <v/>
      </c>
      <c r="C546" s="11" t="str">
        <f aca="false">IF($H546="","",INDEX(DECKS!$B$2:$B$1201,$H546))</f>
        <v/>
      </c>
      <c r="D546" s="11" t="str">
        <f aca="false">IF($H546="","",INDEX(DECKS!$C$2:$C$1201,$H546))</f>
        <v/>
      </c>
      <c r="E546" s="16" t="str">
        <f aca="false">IF($H546="","",INDEX(DECKS!$D$2:$D$1201,$H546))</f>
        <v/>
      </c>
      <c r="F546" s="16" t="str">
        <f aca="false">IF($H546="","",INDEX(DECKS!$E$2:$E$1201,$H546))</f>
        <v/>
      </c>
      <c r="G546" s="21" t="str">
        <f aca="false">IF($H546="","",INDEX(DECKS!$F$2:$F$1201,$H546))</f>
        <v/>
      </c>
      <c r="H546" s="11" t="str">
        <f aca="false">IFERROR(MATCH(ROW()-1,DECKS!$O$2:$O$1201,0),"")</f>
        <v/>
      </c>
      <c r="I546" s="11" t="str">
        <f aca="false">IF(C546="","",G546&amp;" "&amp;D546&amp;" ("&amp;C546&amp;")")</f>
        <v/>
      </c>
    </row>
    <row r="547" customFormat="false" ht="15" hidden="false" customHeight="false" outlineLevel="0" collapsed="false">
      <c r="A547" s="16"/>
      <c r="B547" s="11" t="str">
        <f aca="false">IF($H547="","",INDEX(DECKS!$A$2:$A$1201,$H547))</f>
        <v/>
      </c>
      <c r="C547" s="11" t="str">
        <f aca="false">IF($H547="","",INDEX(DECKS!$B$2:$B$1201,$H547))</f>
        <v/>
      </c>
      <c r="D547" s="11" t="str">
        <f aca="false">IF($H547="","",INDEX(DECKS!$C$2:$C$1201,$H547))</f>
        <v/>
      </c>
      <c r="E547" s="16" t="str">
        <f aca="false">IF($H547="","",INDEX(DECKS!$D$2:$D$1201,$H547))</f>
        <v/>
      </c>
      <c r="F547" s="16" t="str">
        <f aca="false">IF($H547="","",INDEX(DECKS!$E$2:$E$1201,$H547))</f>
        <v/>
      </c>
      <c r="G547" s="21" t="str">
        <f aca="false">IF($H547="","",INDEX(DECKS!$F$2:$F$1201,$H547))</f>
        <v/>
      </c>
      <c r="H547" s="11" t="str">
        <f aca="false">IFERROR(MATCH(ROW()-1,DECKS!$O$2:$O$1201,0),"")</f>
        <v/>
      </c>
      <c r="I547" s="11" t="str">
        <f aca="false">IF(C547="","",G547&amp;" "&amp;D547&amp;" ("&amp;C547&amp;")")</f>
        <v/>
      </c>
    </row>
    <row r="548" customFormat="false" ht="15" hidden="false" customHeight="false" outlineLevel="0" collapsed="false">
      <c r="A548" s="16"/>
      <c r="B548" s="11" t="str">
        <f aca="false">IF($H548="","",INDEX(DECKS!$A$2:$A$1201,$H548))</f>
        <v/>
      </c>
      <c r="C548" s="11" t="str">
        <f aca="false">IF($H548="","",INDEX(DECKS!$B$2:$B$1201,$H548))</f>
        <v/>
      </c>
      <c r="D548" s="11" t="str">
        <f aca="false">IF($H548="","",INDEX(DECKS!$C$2:$C$1201,$H548))</f>
        <v/>
      </c>
      <c r="E548" s="16" t="str">
        <f aca="false">IF($H548="","",INDEX(DECKS!$D$2:$D$1201,$H548))</f>
        <v/>
      </c>
      <c r="F548" s="16" t="str">
        <f aca="false">IF($H548="","",INDEX(DECKS!$E$2:$E$1201,$H548))</f>
        <v/>
      </c>
      <c r="G548" s="21" t="str">
        <f aca="false">IF($H548="","",INDEX(DECKS!$F$2:$F$1201,$H548))</f>
        <v/>
      </c>
      <c r="H548" s="11" t="str">
        <f aca="false">IFERROR(MATCH(ROW()-1,DECKS!$O$2:$O$1201,0),"")</f>
        <v/>
      </c>
      <c r="I548" s="11" t="str">
        <f aca="false">IF(C548="","",G548&amp;" "&amp;D548&amp;" ("&amp;C548&amp;")")</f>
        <v/>
      </c>
    </row>
    <row r="549" customFormat="false" ht="15" hidden="false" customHeight="false" outlineLevel="0" collapsed="false">
      <c r="A549" s="16"/>
      <c r="B549" s="11" t="str">
        <f aca="false">IF($H549="","",INDEX(DECKS!$A$2:$A$1201,$H549))</f>
        <v/>
      </c>
      <c r="C549" s="11" t="str">
        <f aca="false">IF($H549="","",INDEX(DECKS!$B$2:$B$1201,$H549))</f>
        <v/>
      </c>
      <c r="D549" s="11" t="str">
        <f aca="false">IF($H549="","",INDEX(DECKS!$C$2:$C$1201,$H549))</f>
        <v/>
      </c>
      <c r="E549" s="16" t="str">
        <f aca="false">IF($H549="","",INDEX(DECKS!$D$2:$D$1201,$H549))</f>
        <v/>
      </c>
      <c r="F549" s="16" t="str">
        <f aca="false">IF($H549="","",INDEX(DECKS!$E$2:$E$1201,$H549))</f>
        <v/>
      </c>
      <c r="G549" s="21" t="str">
        <f aca="false">IF($H549="","",INDEX(DECKS!$F$2:$F$1201,$H549))</f>
        <v/>
      </c>
      <c r="H549" s="11" t="str">
        <f aca="false">IFERROR(MATCH(ROW()-1,DECKS!$O$2:$O$1201,0),"")</f>
        <v/>
      </c>
      <c r="I549" s="11" t="str">
        <f aca="false">IF(C549="","",G549&amp;" "&amp;D549&amp;" ("&amp;C549&amp;")")</f>
        <v/>
      </c>
    </row>
    <row r="550" customFormat="false" ht="15" hidden="false" customHeight="false" outlineLevel="0" collapsed="false">
      <c r="A550" s="16"/>
      <c r="B550" s="11" t="str">
        <f aca="false">IF($H550="","",INDEX(DECKS!$A$2:$A$1201,$H550))</f>
        <v/>
      </c>
      <c r="C550" s="11" t="str">
        <f aca="false">IF($H550="","",INDEX(DECKS!$B$2:$B$1201,$H550))</f>
        <v/>
      </c>
      <c r="D550" s="11" t="str">
        <f aca="false">IF($H550="","",INDEX(DECKS!$C$2:$C$1201,$H550))</f>
        <v/>
      </c>
      <c r="E550" s="16" t="str">
        <f aca="false">IF($H550="","",INDEX(DECKS!$D$2:$D$1201,$H550))</f>
        <v/>
      </c>
      <c r="F550" s="16" t="str">
        <f aca="false">IF($H550="","",INDEX(DECKS!$E$2:$E$1201,$H550))</f>
        <v/>
      </c>
      <c r="G550" s="21" t="str">
        <f aca="false">IF($H550="","",INDEX(DECKS!$F$2:$F$1201,$H550))</f>
        <v/>
      </c>
      <c r="H550" s="11" t="str">
        <f aca="false">IFERROR(MATCH(ROW()-1,DECKS!$O$2:$O$1201,0),"")</f>
        <v/>
      </c>
      <c r="I550" s="11" t="str">
        <f aca="false">IF(C550="","",G550&amp;" "&amp;D550&amp;" ("&amp;C550&amp;")")</f>
        <v/>
      </c>
    </row>
    <row r="551" customFormat="false" ht="15" hidden="false" customHeight="false" outlineLevel="0" collapsed="false">
      <c r="A551" s="16"/>
      <c r="B551" s="11" t="str">
        <f aca="false">IF($H551="","",INDEX(DECKS!$A$2:$A$1201,$H551))</f>
        <v/>
      </c>
      <c r="C551" s="11" t="str">
        <f aca="false">IF($H551="","",INDEX(DECKS!$B$2:$B$1201,$H551))</f>
        <v/>
      </c>
      <c r="D551" s="11" t="str">
        <f aca="false">IF($H551="","",INDEX(DECKS!$C$2:$C$1201,$H551))</f>
        <v/>
      </c>
      <c r="E551" s="16" t="str">
        <f aca="false">IF($H551="","",INDEX(DECKS!$D$2:$D$1201,$H551))</f>
        <v/>
      </c>
      <c r="F551" s="16" t="str">
        <f aca="false">IF($H551="","",INDEX(DECKS!$E$2:$E$1201,$H551))</f>
        <v/>
      </c>
      <c r="G551" s="21" t="str">
        <f aca="false">IF($H551="","",INDEX(DECKS!$F$2:$F$1201,$H551))</f>
        <v/>
      </c>
      <c r="H551" s="11" t="str">
        <f aca="false">IFERROR(MATCH(ROW()-1,DECKS!$O$2:$O$1201,0),"")</f>
        <v/>
      </c>
      <c r="I551" s="11" t="str">
        <f aca="false">IF(C551="","",G551&amp;" "&amp;D551&amp;" ("&amp;C551&amp;")")</f>
        <v/>
      </c>
    </row>
    <row r="552" customFormat="false" ht="15" hidden="false" customHeight="false" outlineLevel="0" collapsed="false">
      <c r="A552" s="16"/>
      <c r="B552" s="11" t="str">
        <f aca="false">IF($H552="","",INDEX(DECKS!$A$2:$A$1201,$H552))</f>
        <v/>
      </c>
      <c r="C552" s="11" t="str">
        <f aca="false">IF($H552="","",INDEX(DECKS!$B$2:$B$1201,$H552))</f>
        <v/>
      </c>
      <c r="D552" s="11" t="str">
        <f aca="false">IF($H552="","",INDEX(DECKS!$C$2:$C$1201,$H552))</f>
        <v/>
      </c>
      <c r="E552" s="16" t="str">
        <f aca="false">IF($H552="","",INDEX(DECKS!$D$2:$D$1201,$H552))</f>
        <v/>
      </c>
      <c r="F552" s="16" t="str">
        <f aca="false">IF($H552="","",INDEX(DECKS!$E$2:$E$1201,$H552))</f>
        <v/>
      </c>
      <c r="G552" s="21" t="str">
        <f aca="false">IF($H552="","",INDEX(DECKS!$F$2:$F$1201,$H552))</f>
        <v/>
      </c>
      <c r="H552" s="11" t="str">
        <f aca="false">IFERROR(MATCH(ROW()-1,DECKS!$O$2:$O$1201,0),"")</f>
        <v/>
      </c>
      <c r="I552" s="11" t="str">
        <f aca="false">IF(C552="","",G552&amp;" "&amp;D552&amp;" ("&amp;C552&amp;")")</f>
        <v/>
      </c>
    </row>
    <row r="553" customFormat="false" ht="15" hidden="false" customHeight="false" outlineLevel="0" collapsed="false">
      <c r="A553" s="16"/>
      <c r="B553" s="11" t="str">
        <f aca="false">IF($H553="","",INDEX(DECKS!$A$2:$A$1201,$H553))</f>
        <v/>
      </c>
      <c r="C553" s="11" t="str">
        <f aca="false">IF($H553="","",INDEX(DECKS!$B$2:$B$1201,$H553))</f>
        <v/>
      </c>
      <c r="D553" s="11" t="str">
        <f aca="false">IF($H553="","",INDEX(DECKS!$C$2:$C$1201,$H553))</f>
        <v/>
      </c>
      <c r="E553" s="16" t="str">
        <f aca="false">IF($H553="","",INDEX(DECKS!$D$2:$D$1201,$H553))</f>
        <v/>
      </c>
      <c r="F553" s="16" t="str">
        <f aca="false">IF($H553="","",INDEX(DECKS!$E$2:$E$1201,$H553))</f>
        <v/>
      </c>
      <c r="G553" s="21" t="str">
        <f aca="false">IF($H553="","",INDEX(DECKS!$F$2:$F$1201,$H553))</f>
        <v/>
      </c>
      <c r="H553" s="11" t="str">
        <f aca="false">IFERROR(MATCH(ROW()-1,DECKS!$O$2:$O$1201,0),"")</f>
        <v/>
      </c>
      <c r="I553" s="11" t="str">
        <f aca="false">IF(C553="","",G553&amp;" "&amp;D553&amp;" ("&amp;C553&amp;")")</f>
        <v/>
      </c>
    </row>
    <row r="554" customFormat="false" ht="15" hidden="false" customHeight="false" outlineLevel="0" collapsed="false">
      <c r="A554" s="16"/>
      <c r="B554" s="11" t="str">
        <f aca="false">IF($H554="","",INDEX(DECKS!$A$2:$A$1201,$H554))</f>
        <v/>
      </c>
      <c r="C554" s="11" t="str">
        <f aca="false">IF($H554="","",INDEX(DECKS!$B$2:$B$1201,$H554))</f>
        <v/>
      </c>
      <c r="D554" s="11" t="str">
        <f aca="false">IF($H554="","",INDEX(DECKS!$C$2:$C$1201,$H554))</f>
        <v/>
      </c>
      <c r="E554" s="16" t="str">
        <f aca="false">IF($H554="","",INDEX(DECKS!$D$2:$D$1201,$H554))</f>
        <v/>
      </c>
      <c r="F554" s="16" t="str">
        <f aca="false">IF($H554="","",INDEX(DECKS!$E$2:$E$1201,$H554))</f>
        <v/>
      </c>
      <c r="G554" s="21" t="str">
        <f aca="false">IF($H554="","",INDEX(DECKS!$F$2:$F$1201,$H554))</f>
        <v/>
      </c>
      <c r="H554" s="11" t="str">
        <f aca="false">IFERROR(MATCH(ROW()-1,DECKS!$O$2:$O$1201,0),"")</f>
        <v/>
      </c>
      <c r="I554" s="11" t="str">
        <f aca="false">IF(C554="","",G554&amp;" "&amp;D554&amp;" ("&amp;C554&amp;")")</f>
        <v/>
      </c>
    </row>
    <row r="555" customFormat="false" ht="15" hidden="false" customHeight="false" outlineLevel="0" collapsed="false">
      <c r="A555" s="16"/>
      <c r="B555" s="11" t="str">
        <f aca="false">IF($H555="","",INDEX(DECKS!$A$2:$A$1201,$H555))</f>
        <v/>
      </c>
      <c r="C555" s="11" t="str">
        <f aca="false">IF($H555="","",INDEX(DECKS!$B$2:$B$1201,$H555))</f>
        <v/>
      </c>
      <c r="D555" s="11" t="str">
        <f aca="false">IF($H555="","",INDEX(DECKS!$C$2:$C$1201,$H555))</f>
        <v/>
      </c>
      <c r="E555" s="16" t="str">
        <f aca="false">IF($H555="","",INDEX(DECKS!$D$2:$D$1201,$H555))</f>
        <v/>
      </c>
      <c r="F555" s="16" t="str">
        <f aca="false">IF($H555="","",INDEX(DECKS!$E$2:$E$1201,$H555))</f>
        <v/>
      </c>
      <c r="G555" s="21" t="str">
        <f aca="false">IF($H555="","",INDEX(DECKS!$F$2:$F$1201,$H555))</f>
        <v/>
      </c>
      <c r="H555" s="11" t="str">
        <f aca="false">IFERROR(MATCH(ROW()-1,DECKS!$O$2:$O$1201,0),"")</f>
        <v/>
      </c>
      <c r="I555" s="11" t="str">
        <f aca="false">IF(C555="","",G555&amp;" "&amp;D555&amp;" ("&amp;C555&amp;")")</f>
        <v/>
      </c>
    </row>
    <row r="556" customFormat="false" ht="15" hidden="false" customHeight="false" outlineLevel="0" collapsed="false">
      <c r="A556" s="16"/>
      <c r="B556" s="11" t="str">
        <f aca="false">IF($H556="","",INDEX(DECKS!$A$2:$A$1201,$H556))</f>
        <v/>
      </c>
      <c r="C556" s="11" t="str">
        <f aca="false">IF($H556="","",INDEX(DECKS!$B$2:$B$1201,$H556))</f>
        <v/>
      </c>
      <c r="D556" s="11" t="str">
        <f aca="false">IF($H556="","",INDEX(DECKS!$C$2:$C$1201,$H556))</f>
        <v/>
      </c>
      <c r="E556" s="16" t="str">
        <f aca="false">IF($H556="","",INDEX(DECKS!$D$2:$D$1201,$H556))</f>
        <v/>
      </c>
      <c r="F556" s="16" t="str">
        <f aca="false">IF($H556="","",INDEX(DECKS!$E$2:$E$1201,$H556))</f>
        <v/>
      </c>
      <c r="G556" s="21" t="str">
        <f aca="false">IF($H556="","",INDEX(DECKS!$F$2:$F$1201,$H556))</f>
        <v/>
      </c>
      <c r="H556" s="11" t="str">
        <f aca="false">IFERROR(MATCH(ROW()-1,DECKS!$O$2:$O$1201,0),"")</f>
        <v/>
      </c>
      <c r="I556" s="11" t="str">
        <f aca="false">IF(C556="","",G556&amp;" "&amp;D556&amp;" ("&amp;C556&amp;")")</f>
        <v/>
      </c>
    </row>
    <row r="557" customFormat="false" ht="15" hidden="false" customHeight="false" outlineLevel="0" collapsed="false">
      <c r="A557" s="16"/>
      <c r="B557" s="11" t="str">
        <f aca="false">IF($H557="","",INDEX(DECKS!$A$2:$A$1201,$H557))</f>
        <v/>
      </c>
      <c r="C557" s="11" t="str">
        <f aca="false">IF($H557="","",INDEX(DECKS!$B$2:$B$1201,$H557))</f>
        <v/>
      </c>
      <c r="D557" s="11" t="str">
        <f aca="false">IF($H557="","",INDEX(DECKS!$C$2:$C$1201,$H557))</f>
        <v/>
      </c>
      <c r="E557" s="16" t="str">
        <f aca="false">IF($H557="","",INDEX(DECKS!$D$2:$D$1201,$H557))</f>
        <v/>
      </c>
      <c r="F557" s="16" t="str">
        <f aca="false">IF($H557="","",INDEX(DECKS!$E$2:$E$1201,$H557))</f>
        <v/>
      </c>
      <c r="G557" s="21" t="str">
        <f aca="false">IF($H557="","",INDEX(DECKS!$F$2:$F$1201,$H557))</f>
        <v/>
      </c>
      <c r="H557" s="11" t="str">
        <f aca="false">IFERROR(MATCH(ROW()-1,DECKS!$O$2:$O$1201,0),"")</f>
        <v/>
      </c>
      <c r="I557" s="11" t="str">
        <f aca="false">IF(C557="","",G557&amp;" "&amp;D557&amp;" ("&amp;C557&amp;")")</f>
        <v/>
      </c>
    </row>
    <row r="558" customFormat="false" ht="15" hidden="false" customHeight="false" outlineLevel="0" collapsed="false">
      <c r="A558" s="16"/>
      <c r="B558" s="11" t="str">
        <f aca="false">IF($H558="","",INDEX(DECKS!$A$2:$A$1201,$H558))</f>
        <v/>
      </c>
      <c r="C558" s="11" t="str">
        <f aca="false">IF($H558="","",INDEX(DECKS!$B$2:$B$1201,$H558))</f>
        <v/>
      </c>
      <c r="D558" s="11" t="str">
        <f aca="false">IF($H558="","",INDEX(DECKS!$C$2:$C$1201,$H558))</f>
        <v/>
      </c>
      <c r="E558" s="16" t="str">
        <f aca="false">IF($H558="","",INDEX(DECKS!$D$2:$D$1201,$H558))</f>
        <v/>
      </c>
      <c r="F558" s="16" t="str">
        <f aca="false">IF($H558="","",INDEX(DECKS!$E$2:$E$1201,$H558))</f>
        <v/>
      </c>
      <c r="G558" s="21" t="str">
        <f aca="false">IF($H558="","",INDEX(DECKS!$F$2:$F$1201,$H558))</f>
        <v/>
      </c>
      <c r="H558" s="11" t="str">
        <f aca="false">IFERROR(MATCH(ROW()-1,DECKS!$O$2:$O$1201,0),"")</f>
        <v/>
      </c>
      <c r="I558" s="11" t="str">
        <f aca="false">IF(C558="","",G558&amp;" "&amp;D558&amp;" ("&amp;C558&amp;")")</f>
        <v/>
      </c>
    </row>
    <row r="559" customFormat="false" ht="15" hidden="false" customHeight="false" outlineLevel="0" collapsed="false">
      <c r="A559" s="16"/>
      <c r="B559" s="11" t="str">
        <f aca="false">IF($H559="","",INDEX(DECKS!$A$2:$A$1201,$H559))</f>
        <v/>
      </c>
      <c r="C559" s="11" t="str">
        <f aca="false">IF($H559="","",INDEX(DECKS!$B$2:$B$1201,$H559))</f>
        <v/>
      </c>
      <c r="D559" s="11" t="str">
        <f aca="false">IF($H559="","",INDEX(DECKS!$C$2:$C$1201,$H559))</f>
        <v/>
      </c>
      <c r="E559" s="16" t="str">
        <f aca="false">IF($H559="","",INDEX(DECKS!$D$2:$D$1201,$H559))</f>
        <v/>
      </c>
      <c r="F559" s="16" t="str">
        <f aca="false">IF($H559="","",INDEX(DECKS!$E$2:$E$1201,$H559))</f>
        <v/>
      </c>
      <c r="G559" s="21" t="str">
        <f aca="false">IF($H559="","",INDEX(DECKS!$F$2:$F$1201,$H559))</f>
        <v/>
      </c>
      <c r="H559" s="11" t="str">
        <f aca="false">IFERROR(MATCH(ROW()-1,DECKS!$O$2:$O$1201,0),"")</f>
        <v/>
      </c>
      <c r="I559" s="11" t="str">
        <f aca="false">IF(C559="","",G559&amp;" "&amp;D559&amp;" ("&amp;C559&amp;")")</f>
        <v/>
      </c>
    </row>
    <row r="560" customFormat="false" ht="15" hidden="false" customHeight="false" outlineLevel="0" collapsed="false">
      <c r="A560" s="16"/>
      <c r="B560" s="11" t="str">
        <f aca="false">IF($H560="","",INDEX(DECKS!$A$2:$A$1201,$H560))</f>
        <v/>
      </c>
      <c r="C560" s="11" t="str">
        <f aca="false">IF($H560="","",INDEX(DECKS!$B$2:$B$1201,$H560))</f>
        <v/>
      </c>
      <c r="D560" s="11" t="str">
        <f aca="false">IF($H560="","",INDEX(DECKS!$C$2:$C$1201,$H560))</f>
        <v/>
      </c>
      <c r="E560" s="16" t="str">
        <f aca="false">IF($H560="","",INDEX(DECKS!$D$2:$D$1201,$H560))</f>
        <v/>
      </c>
      <c r="F560" s="16" t="str">
        <f aca="false">IF($H560="","",INDEX(DECKS!$E$2:$E$1201,$H560))</f>
        <v/>
      </c>
      <c r="G560" s="21" t="str">
        <f aca="false">IF($H560="","",INDEX(DECKS!$F$2:$F$1201,$H560))</f>
        <v/>
      </c>
      <c r="H560" s="11" t="str">
        <f aca="false">IFERROR(MATCH(ROW()-1,DECKS!$O$2:$O$1201,0),"")</f>
        <v/>
      </c>
      <c r="I560" s="11" t="str">
        <f aca="false">IF(C560="","",G560&amp;" "&amp;D560&amp;" ("&amp;C560&amp;")")</f>
        <v/>
      </c>
    </row>
    <row r="561" customFormat="false" ht="15" hidden="false" customHeight="false" outlineLevel="0" collapsed="false">
      <c r="A561" s="16"/>
      <c r="B561" s="11" t="str">
        <f aca="false">IF($H561="","",INDEX(DECKS!$A$2:$A$1201,$H561))</f>
        <v/>
      </c>
      <c r="C561" s="11" t="str">
        <f aca="false">IF($H561="","",INDEX(DECKS!$B$2:$B$1201,$H561))</f>
        <v/>
      </c>
      <c r="D561" s="11" t="str">
        <f aca="false">IF($H561="","",INDEX(DECKS!$C$2:$C$1201,$H561))</f>
        <v/>
      </c>
      <c r="E561" s="16" t="str">
        <f aca="false">IF($H561="","",INDEX(DECKS!$D$2:$D$1201,$H561))</f>
        <v/>
      </c>
      <c r="F561" s="16" t="str">
        <f aca="false">IF($H561="","",INDEX(DECKS!$E$2:$E$1201,$H561))</f>
        <v/>
      </c>
      <c r="G561" s="21" t="str">
        <f aca="false">IF($H561="","",INDEX(DECKS!$F$2:$F$1201,$H561))</f>
        <v/>
      </c>
      <c r="H561" s="11" t="str">
        <f aca="false">IFERROR(MATCH(ROW()-1,DECKS!$O$2:$O$1201,0),"")</f>
        <v/>
      </c>
      <c r="I561" s="11" t="str">
        <f aca="false">IF(C561="","",G561&amp;" "&amp;D561&amp;" ("&amp;C561&amp;")")</f>
        <v/>
      </c>
    </row>
    <row r="562" customFormat="false" ht="15" hidden="false" customHeight="false" outlineLevel="0" collapsed="false">
      <c r="A562" s="16"/>
      <c r="B562" s="11" t="str">
        <f aca="false">IF($H562="","",INDEX(DECKS!$A$2:$A$1201,$H562))</f>
        <v/>
      </c>
      <c r="C562" s="11" t="str">
        <f aca="false">IF($H562="","",INDEX(DECKS!$B$2:$B$1201,$H562))</f>
        <v/>
      </c>
      <c r="D562" s="11" t="str">
        <f aca="false">IF($H562="","",INDEX(DECKS!$C$2:$C$1201,$H562))</f>
        <v/>
      </c>
      <c r="E562" s="16" t="str">
        <f aca="false">IF($H562="","",INDEX(DECKS!$D$2:$D$1201,$H562))</f>
        <v/>
      </c>
      <c r="F562" s="16" t="str">
        <f aca="false">IF($H562="","",INDEX(DECKS!$E$2:$E$1201,$H562))</f>
        <v/>
      </c>
      <c r="G562" s="21" t="str">
        <f aca="false">IF($H562="","",INDEX(DECKS!$F$2:$F$1201,$H562))</f>
        <v/>
      </c>
      <c r="H562" s="11" t="str">
        <f aca="false">IFERROR(MATCH(ROW()-1,DECKS!$O$2:$O$1201,0),"")</f>
        <v/>
      </c>
      <c r="I562" s="11" t="str">
        <f aca="false">IF(C562="","",G562&amp;" "&amp;D562&amp;" ("&amp;C562&amp;")")</f>
        <v/>
      </c>
    </row>
    <row r="563" customFormat="false" ht="15" hidden="false" customHeight="false" outlineLevel="0" collapsed="false">
      <c r="A563" s="16"/>
      <c r="B563" s="11" t="str">
        <f aca="false">IF($H563="","",INDEX(DECKS!$A$2:$A$1201,$H563))</f>
        <v/>
      </c>
      <c r="C563" s="11" t="str">
        <f aca="false">IF($H563="","",INDEX(DECKS!$B$2:$B$1201,$H563))</f>
        <v/>
      </c>
      <c r="D563" s="11" t="str">
        <f aca="false">IF($H563="","",INDEX(DECKS!$C$2:$C$1201,$H563))</f>
        <v/>
      </c>
      <c r="E563" s="16" t="str">
        <f aca="false">IF($H563="","",INDEX(DECKS!$D$2:$D$1201,$H563))</f>
        <v/>
      </c>
      <c r="F563" s="16" t="str">
        <f aca="false">IF($H563="","",INDEX(DECKS!$E$2:$E$1201,$H563))</f>
        <v/>
      </c>
      <c r="G563" s="21" t="str">
        <f aca="false">IF($H563="","",INDEX(DECKS!$F$2:$F$1201,$H563))</f>
        <v/>
      </c>
      <c r="H563" s="11" t="str">
        <f aca="false">IFERROR(MATCH(ROW()-1,DECKS!$O$2:$O$1201,0),"")</f>
        <v/>
      </c>
      <c r="I563" s="11" t="str">
        <f aca="false">IF(C563="","",G563&amp;" "&amp;D563&amp;" ("&amp;C563&amp;")")</f>
        <v/>
      </c>
    </row>
    <row r="564" customFormat="false" ht="15" hidden="false" customHeight="false" outlineLevel="0" collapsed="false">
      <c r="A564" s="16"/>
      <c r="B564" s="11" t="str">
        <f aca="false">IF($H564="","",INDEX(DECKS!$A$2:$A$1201,$H564))</f>
        <v/>
      </c>
      <c r="C564" s="11" t="str">
        <f aca="false">IF($H564="","",INDEX(DECKS!$B$2:$B$1201,$H564))</f>
        <v/>
      </c>
      <c r="D564" s="11" t="str">
        <f aca="false">IF($H564="","",INDEX(DECKS!$C$2:$C$1201,$H564))</f>
        <v/>
      </c>
      <c r="E564" s="16" t="str">
        <f aca="false">IF($H564="","",INDEX(DECKS!$D$2:$D$1201,$H564))</f>
        <v/>
      </c>
      <c r="F564" s="16" t="str">
        <f aca="false">IF($H564="","",INDEX(DECKS!$E$2:$E$1201,$H564))</f>
        <v/>
      </c>
      <c r="G564" s="21" t="str">
        <f aca="false">IF($H564="","",INDEX(DECKS!$F$2:$F$1201,$H564))</f>
        <v/>
      </c>
      <c r="H564" s="11" t="str">
        <f aca="false">IFERROR(MATCH(ROW()-1,DECKS!$O$2:$O$1201,0),"")</f>
        <v/>
      </c>
      <c r="I564" s="11" t="str">
        <f aca="false">IF(C564="","",G564&amp;" "&amp;D564&amp;" ("&amp;C564&amp;")")</f>
        <v/>
      </c>
    </row>
    <row r="565" customFormat="false" ht="15" hidden="false" customHeight="false" outlineLevel="0" collapsed="false">
      <c r="A565" s="16"/>
      <c r="B565" s="11" t="str">
        <f aca="false">IF($H565="","",INDEX(DECKS!$A$2:$A$1201,$H565))</f>
        <v/>
      </c>
      <c r="C565" s="11" t="str">
        <f aca="false">IF($H565="","",INDEX(DECKS!$B$2:$B$1201,$H565))</f>
        <v/>
      </c>
      <c r="D565" s="11" t="str">
        <f aca="false">IF($H565="","",INDEX(DECKS!$C$2:$C$1201,$H565))</f>
        <v/>
      </c>
      <c r="E565" s="16" t="str">
        <f aca="false">IF($H565="","",INDEX(DECKS!$D$2:$D$1201,$H565))</f>
        <v/>
      </c>
      <c r="F565" s="16" t="str">
        <f aca="false">IF($H565="","",INDEX(DECKS!$E$2:$E$1201,$H565))</f>
        <v/>
      </c>
      <c r="G565" s="21" t="str">
        <f aca="false">IF($H565="","",INDEX(DECKS!$F$2:$F$1201,$H565))</f>
        <v/>
      </c>
      <c r="H565" s="11" t="str">
        <f aca="false">IFERROR(MATCH(ROW()-1,DECKS!$O$2:$O$1201,0),"")</f>
        <v/>
      </c>
      <c r="I565" s="11" t="str">
        <f aca="false">IF(C565="","",G565&amp;" "&amp;D565&amp;" ("&amp;C565&amp;")")</f>
        <v/>
      </c>
    </row>
    <row r="566" customFormat="false" ht="15" hidden="false" customHeight="false" outlineLevel="0" collapsed="false">
      <c r="A566" s="16"/>
      <c r="B566" s="11" t="str">
        <f aca="false">IF($H566="","",INDEX(DECKS!$A$2:$A$1201,$H566))</f>
        <v/>
      </c>
      <c r="C566" s="11" t="str">
        <f aca="false">IF($H566="","",INDEX(DECKS!$B$2:$B$1201,$H566))</f>
        <v/>
      </c>
      <c r="D566" s="11" t="str">
        <f aca="false">IF($H566="","",INDEX(DECKS!$C$2:$C$1201,$H566))</f>
        <v/>
      </c>
      <c r="E566" s="16" t="str">
        <f aca="false">IF($H566="","",INDEX(DECKS!$D$2:$D$1201,$H566))</f>
        <v/>
      </c>
      <c r="F566" s="16" t="str">
        <f aca="false">IF($H566="","",INDEX(DECKS!$E$2:$E$1201,$H566))</f>
        <v/>
      </c>
      <c r="G566" s="21" t="str">
        <f aca="false">IF($H566="","",INDEX(DECKS!$F$2:$F$1201,$H566))</f>
        <v/>
      </c>
      <c r="H566" s="11" t="str">
        <f aca="false">IFERROR(MATCH(ROW()-1,DECKS!$O$2:$O$1201,0),"")</f>
        <v/>
      </c>
      <c r="I566" s="11" t="str">
        <f aca="false">IF(C566="","",G566&amp;" "&amp;D566&amp;" ("&amp;C566&amp;")")</f>
        <v/>
      </c>
    </row>
    <row r="567" customFormat="false" ht="15" hidden="false" customHeight="false" outlineLevel="0" collapsed="false">
      <c r="A567" s="16"/>
      <c r="B567" s="11" t="str">
        <f aca="false">IF($H567="","",INDEX(DECKS!$A$2:$A$1201,$H567))</f>
        <v/>
      </c>
      <c r="C567" s="11" t="str">
        <f aca="false">IF($H567="","",INDEX(DECKS!$B$2:$B$1201,$H567))</f>
        <v/>
      </c>
      <c r="D567" s="11" t="str">
        <f aca="false">IF($H567="","",INDEX(DECKS!$C$2:$C$1201,$H567))</f>
        <v/>
      </c>
      <c r="E567" s="16" t="str">
        <f aca="false">IF($H567="","",INDEX(DECKS!$D$2:$D$1201,$H567))</f>
        <v/>
      </c>
      <c r="F567" s="16" t="str">
        <f aca="false">IF($H567="","",INDEX(DECKS!$E$2:$E$1201,$H567))</f>
        <v/>
      </c>
      <c r="G567" s="21" t="str">
        <f aca="false">IF($H567="","",INDEX(DECKS!$F$2:$F$1201,$H567))</f>
        <v/>
      </c>
      <c r="H567" s="11" t="str">
        <f aca="false">IFERROR(MATCH(ROW()-1,DECKS!$O$2:$O$1201,0),"")</f>
        <v/>
      </c>
      <c r="I567" s="11" t="str">
        <f aca="false">IF(C567="","",G567&amp;" "&amp;D567&amp;" ("&amp;C567&amp;")")</f>
        <v/>
      </c>
    </row>
    <row r="568" customFormat="false" ht="15" hidden="false" customHeight="false" outlineLevel="0" collapsed="false">
      <c r="A568" s="16"/>
      <c r="B568" s="11" t="str">
        <f aca="false">IF($H568="","",INDEX(DECKS!$A$2:$A$1201,$H568))</f>
        <v/>
      </c>
      <c r="C568" s="11" t="str">
        <f aca="false">IF($H568="","",INDEX(DECKS!$B$2:$B$1201,$H568))</f>
        <v/>
      </c>
      <c r="D568" s="11" t="str">
        <f aca="false">IF($H568="","",INDEX(DECKS!$C$2:$C$1201,$H568))</f>
        <v/>
      </c>
      <c r="E568" s="16" t="str">
        <f aca="false">IF($H568="","",INDEX(DECKS!$D$2:$D$1201,$H568))</f>
        <v/>
      </c>
      <c r="F568" s="16" t="str">
        <f aca="false">IF($H568="","",INDEX(DECKS!$E$2:$E$1201,$H568))</f>
        <v/>
      </c>
      <c r="G568" s="21" t="str">
        <f aca="false">IF($H568="","",INDEX(DECKS!$F$2:$F$1201,$H568))</f>
        <v/>
      </c>
      <c r="H568" s="11" t="str">
        <f aca="false">IFERROR(MATCH(ROW()-1,DECKS!$O$2:$O$1201,0),"")</f>
        <v/>
      </c>
      <c r="I568" s="11" t="str">
        <f aca="false">IF(C568="","",G568&amp;" "&amp;D568&amp;" ("&amp;C568&amp;")")</f>
        <v/>
      </c>
    </row>
    <row r="569" customFormat="false" ht="15" hidden="false" customHeight="false" outlineLevel="0" collapsed="false">
      <c r="A569" s="16"/>
      <c r="B569" s="11" t="str">
        <f aca="false">IF($H569="","",INDEX(DECKS!$A$2:$A$1201,$H569))</f>
        <v/>
      </c>
      <c r="C569" s="11" t="str">
        <f aca="false">IF($H569="","",INDEX(DECKS!$B$2:$B$1201,$H569))</f>
        <v/>
      </c>
      <c r="D569" s="11" t="str">
        <f aca="false">IF($H569="","",INDEX(DECKS!$C$2:$C$1201,$H569))</f>
        <v/>
      </c>
      <c r="E569" s="16" t="str">
        <f aca="false">IF($H569="","",INDEX(DECKS!$D$2:$D$1201,$H569))</f>
        <v/>
      </c>
      <c r="F569" s="16" t="str">
        <f aca="false">IF($H569="","",INDEX(DECKS!$E$2:$E$1201,$H569))</f>
        <v/>
      </c>
      <c r="G569" s="21" t="str">
        <f aca="false">IF($H569="","",INDEX(DECKS!$F$2:$F$1201,$H569))</f>
        <v/>
      </c>
      <c r="H569" s="11" t="str">
        <f aca="false">IFERROR(MATCH(ROW()-1,DECKS!$O$2:$O$1201,0),"")</f>
        <v/>
      </c>
      <c r="I569" s="11" t="str">
        <f aca="false">IF(C569="","",G569&amp;" "&amp;D569&amp;" ("&amp;C569&amp;")")</f>
        <v/>
      </c>
    </row>
    <row r="570" customFormat="false" ht="15" hidden="false" customHeight="false" outlineLevel="0" collapsed="false">
      <c r="A570" s="16"/>
      <c r="B570" s="11" t="str">
        <f aca="false">IF($H570="","",INDEX(DECKS!$A$2:$A$1201,$H570))</f>
        <v/>
      </c>
      <c r="C570" s="11" t="str">
        <f aca="false">IF($H570="","",INDEX(DECKS!$B$2:$B$1201,$H570))</f>
        <v/>
      </c>
      <c r="D570" s="11" t="str">
        <f aca="false">IF($H570="","",INDEX(DECKS!$C$2:$C$1201,$H570))</f>
        <v/>
      </c>
      <c r="E570" s="16" t="str">
        <f aca="false">IF($H570="","",INDEX(DECKS!$D$2:$D$1201,$H570))</f>
        <v/>
      </c>
      <c r="F570" s="16" t="str">
        <f aca="false">IF($H570="","",INDEX(DECKS!$E$2:$E$1201,$H570))</f>
        <v/>
      </c>
      <c r="G570" s="21" t="str">
        <f aca="false">IF($H570="","",INDEX(DECKS!$F$2:$F$1201,$H570))</f>
        <v/>
      </c>
      <c r="H570" s="11" t="str">
        <f aca="false">IFERROR(MATCH(ROW()-1,DECKS!$O$2:$O$1201,0),"")</f>
        <v/>
      </c>
      <c r="I570" s="11" t="str">
        <f aca="false">IF(C570="","",G570&amp;" "&amp;D570&amp;" ("&amp;C570&amp;")")</f>
        <v/>
      </c>
    </row>
    <row r="571" customFormat="false" ht="15" hidden="false" customHeight="false" outlineLevel="0" collapsed="false">
      <c r="A571" s="16"/>
      <c r="B571" s="11" t="str">
        <f aca="false">IF($H571="","",INDEX(DECKS!$A$2:$A$1201,$H571))</f>
        <v/>
      </c>
      <c r="C571" s="11" t="str">
        <f aca="false">IF($H571="","",INDEX(DECKS!$B$2:$B$1201,$H571))</f>
        <v/>
      </c>
      <c r="D571" s="11" t="str">
        <f aca="false">IF($H571="","",INDEX(DECKS!$C$2:$C$1201,$H571))</f>
        <v/>
      </c>
      <c r="E571" s="16" t="str">
        <f aca="false">IF($H571="","",INDEX(DECKS!$D$2:$D$1201,$H571))</f>
        <v/>
      </c>
      <c r="F571" s="16" t="str">
        <f aca="false">IF($H571="","",INDEX(DECKS!$E$2:$E$1201,$H571))</f>
        <v/>
      </c>
      <c r="G571" s="21" t="str">
        <f aca="false">IF($H571="","",INDEX(DECKS!$F$2:$F$1201,$H571))</f>
        <v/>
      </c>
      <c r="H571" s="11" t="str">
        <f aca="false">IFERROR(MATCH(ROW()-1,DECKS!$O$2:$O$1201,0),"")</f>
        <v/>
      </c>
      <c r="I571" s="11" t="str">
        <f aca="false">IF(C571="","",G571&amp;" "&amp;D571&amp;" ("&amp;C571&amp;")")</f>
        <v/>
      </c>
    </row>
    <row r="572" customFormat="false" ht="15" hidden="false" customHeight="false" outlineLevel="0" collapsed="false">
      <c r="A572" s="16"/>
      <c r="B572" s="11" t="str">
        <f aca="false">IF($H572="","",INDEX(DECKS!$A$2:$A$1201,$H572))</f>
        <v/>
      </c>
      <c r="C572" s="11" t="str">
        <f aca="false">IF($H572="","",INDEX(DECKS!$B$2:$B$1201,$H572))</f>
        <v/>
      </c>
      <c r="D572" s="11" t="str">
        <f aca="false">IF($H572="","",INDEX(DECKS!$C$2:$C$1201,$H572))</f>
        <v/>
      </c>
      <c r="E572" s="16" t="str">
        <f aca="false">IF($H572="","",INDEX(DECKS!$D$2:$D$1201,$H572))</f>
        <v/>
      </c>
      <c r="F572" s="16" t="str">
        <f aca="false">IF($H572="","",INDEX(DECKS!$E$2:$E$1201,$H572))</f>
        <v/>
      </c>
      <c r="G572" s="21" t="str">
        <f aca="false">IF($H572="","",INDEX(DECKS!$F$2:$F$1201,$H572))</f>
        <v/>
      </c>
      <c r="H572" s="11" t="str">
        <f aca="false">IFERROR(MATCH(ROW()-1,DECKS!$O$2:$O$1201,0),"")</f>
        <v/>
      </c>
      <c r="I572" s="11" t="str">
        <f aca="false">IF(C572="","",G572&amp;" "&amp;D572&amp;" ("&amp;C572&amp;")")</f>
        <v/>
      </c>
    </row>
    <row r="573" customFormat="false" ht="15" hidden="false" customHeight="false" outlineLevel="0" collapsed="false">
      <c r="A573" s="16"/>
      <c r="B573" s="11" t="str">
        <f aca="false">IF($H573="","",INDEX(DECKS!$A$2:$A$1201,$H573))</f>
        <v/>
      </c>
      <c r="C573" s="11" t="str">
        <f aca="false">IF($H573="","",INDEX(DECKS!$B$2:$B$1201,$H573))</f>
        <v/>
      </c>
      <c r="D573" s="11" t="str">
        <f aca="false">IF($H573="","",INDEX(DECKS!$C$2:$C$1201,$H573))</f>
        <v/>
      </c>
      <c r="E573" s="16" t="str">
        <f aca="false">IF($H573="","",INDEX(DECKS!$D$2:$D$1201,$H573))</f>
        <v/>
      </c>
      <c r="F573" s="16" t="str">
        <f aca="false">IF($H573="","",INDEX(DECKS!$E$2:$E$1201,$H573))</f>
        <v/>
      </c>
      <c r="G573" s="21" t="str">
        <f aca="false">IF($H573="","",INDEX(DECKS!$F$2:$F$1201,$H573))</f>
        <v/>
      </c>
      <c r="H573" s="11" t="str">
        <f aca="false">IFERROR(MATCH(ROW()-1,DECKS!$O$2:$O$1201,0),"")</f>
        <v/>
      </c>
      <c r="I573" s="11" t="str">
        <f aca="false">IF(C573="","",G573&amp;" "&amp;D573&amp;" ("&amp;C573&amp;")")</f>
        <v/>
      </c>
    </row>
    <row r="574" customFormat="false" ht="15" hidden="false" customHeight="false" outlineLevel="0" collapsed="false">
      <c r="A574" s="16"/>
      <c r="B574" s="11" t="str">
        <f aca="false">IF($H574="","",INDEX(DECKS!$A$2:$A$1201,$H574))</f>
        <v/>
      </c>
      <c r="C574" s="11" t="str">
        <f aca="false">IF($H574="","",INDEX(DECKS!$B$2:$B$1201,$H574))</f>
        <v/>
      </c>
      <c r="D574" s="11" t="str">
        <f aca="false">IF($H574="","",INDEX(DECKS!$C$2:$C$1201,$H574))</f>
        <v/>
      </c>
      <c r="E574" s="16" t="str">
        <f aca="false">IF($H574="","",INDEX(DECKS!$D$2:$D$1201,$H574))</f>
        <v/>
      </c>
      <c r="F574" s="16" t="str">
        <f aca="false">IF($H574="","",INDEX(DECKS!$E$2:$E$1201,$H574))</f>
        <v/>
      </c>
      <c r="G574" s="21" t="str">
        <f aca="false">IF($H574="","",INDEX(DECKS!$F$2:$F$1201,$H574))</f>
        <v/>
      </c>
      <c r="H574" s="11" t="str">
        <f aca="false">IFERROR(MATCH(ROW()-1,DECKS!$O$2:$O$1201,0),"")</f>
        <v/>
      </c>
      <c r="I574" s="11" t="str">
        <f aca="false">IF(C574="","",G574&amp;" "&amp;D574&amp;" ("&amp;C574&amp;")")</f>
        <v/>
      </c>
    </row>
    <row r="575" customFormat="false" ht="15" hidden="false" customHeight="false" outlineLevel="0" collapsed="false">
      <c r="A575" s="16"/>
      <c r="B575" s="11" t="str">
        <f aca="false">IF($H575="","",INDEX(DECKS!$A$2:$A$1201,$H575))</f>
        <v/>
      </c>
      <c r="C575" s="11" t="str">
        <f aca="false">IF($H575="","",INDEX(DECKS!$B$2:$B$1201,$H575))</f>
        <v/>
      </c>
      <c r="D575" s="11" t="str">
        <f aca="false">IF($H575="","",INDEX(DECKS!$C$2:$C$1201,$H575))</f>
        <v/>
      </c>
      <c r="E575" s="16" t="str">
        <f aca="false">IF($H575="","",INDEX(DECKS!$D$2:$D$1201,$H575))</f>
        <v/>
      </c>
      <c r="F575" s="16" t="str">
        <f aca="false">IF($H575="","",INDEX(DECKS!$E$2:$E$1201,$H575))</f>
        <v/>
      </c>
      <c r="G575" s="21" t="str">
        <f aca="false">IF($H575="","",INDEX(DECKS!$F$2:$F$1201,$H575))</f>
        <v/>
      </c>
      <c r="H575" s="11" t="str">
        <f aca="false">IFERROR(MATCH(ROW()-1,DECKS!$O$2:$O$1201,0),"")</f>
        <v/>
      </c>
      <c r="I575" s="11" t="str">
        <f aca="false">IF(C575="","",G575&amp;" "&amp;D575&amp;" ("&amp;C575&amp;")")</f>
        <v/>
      </c>
    </row>
    <row r="576" customFormat="false" ht="15" hidden="false" customHeight="false" outlineLevel="0" collapsed="false">
      <c r="A576" s="16"/>
      <c r="B576" s="11" t="str">
        <f aca="false">IF($H576="","",INDEX(DECKS!$A$2:$A$1201,$H576))</f>
        <v/>
      </c>
      <c r="C576" s="11" t="str">
        <f aca="false">IF($H576="","",INDEX(DECKS!$B$2:$B$1201,$H576))</f>
        <v/>
      </c>
      <c r="D576" s="11" t="str">
        <f aca="false">IF($H576="","",INDEX(DECKS!$C$2:$C$1201,$H576))</f>
        <v/>
      </c>
      <c r="E576" s="16" t="str">
        <f aca="false">IF($H576="","",INDEX(DECKS!$D$2:$D$1201,$H576))</f>
        <v/>
      </c>
      <c r="F576" s="16" t="str">
        <f aca="false">IF($H576="","",INDEX(DECKS!$E$2:$E$1201,$H576))</f>
        <v/>
      </c>
      <c r="G576" s="21" t="str">
        <f aca="false">IF($H576="","",INDEX(DECKS!$F$2:$F$1201,$H576))</f>
        <v/>
      </c>
      <c r="H576" s="11" t="str">
        <f aca="false">IFERROR(MATCH(ROW()-1,DECKS!$O$2:$O$1201,0),"")</f>
        <v/>
      </c>
      <c r="I576" s="11" t="str">
        <f aca="false">IF(C576="","",G576&amp;" "&amp;D576&amp;" ("&amp;C576&amp;")")</f>
        <v/>
      </c>
    </row>
    <row r="577" customFormat="false" ht="15" hidden="false" customHeight="false" outlineLevel="0" collapsed="false">
      <c r="A577" s="16"/>
      <c r="B577" s="11" t="str">
        <f aca="false">IF($H577="","",INDEX(DECKS!$A$2:$A$1201,$H577))</f>
        <v/>
      </c>
      <c r="C577" s="11" t="str">
        <f aca="false">IF($H577="","",INDEX(DECKS!$B$2:$B$1201,$H577))</f>
        <v/>
      </c>
      <c r="D577" s="11" t="str">
        <f aca="false">IF($H577="","",INDEX(DECKS!$C$2:$C$1201,$H577))</f>
        <v/>
      </c>
      <c r="E577" s="16" t="str">
        <f aca="false">IF($H577="","",INDEX(DECKS!$D$2:$D$1201,$H577))</f>
        <v/>
      </c>
      <c r="F577" s="16" t="str">
        <f aca="false">IF($H577="","",INDEX(DECKS!$E$2:$E$1201,$H577))</f>
        <v/>
      </c>
      <c r="G577" s="21" t="str">
        <f aca="false">IF($H577="","",INDEX(DECKS!$F$2:$F$1201,$H577))</f>
        <v/>
      </c>
      <c r="H577" s="11" t="str">
        <f aca="false">IFERROR(MATCH(ROW()-1,DECKS!$O$2:$O$1201,0),"")</f>
        <v/>
      </c>
      <c r="I577" s="11" t="str">
        <f aca="false">IF(C577="","",G577&amp;" "&amp;D577&amp;" ("&amp;C577&amp;")")</f>
        <v/>
      </c>
    </row>
    <row r="578" customFormat="false" ht="15" hidden="false" customHeight="false" outlineLevel="0" collapsed="false">
      <c r="A578" s="16"/>
      <c r="B578" s="11" t="str">
        <f aca="false">IF($H578="","",INDEX(DECKS!$A$2:$A$1201,$H578))</f>
        <v/>
      </c>
      <c r="C578" s="11" t="str">
        <f aca="false">IF($H578="","",INDEX(DECKS!$B$2:$B$1201,$H578))</f>
        <v/>
      </c>
      <c r="D578" s="11" t="str">
        <f aca="false">IF($H578="","",INDEX(DECKS!$C$2:$C$1201,$H578))</f>
        <v/>
      </c>
      <c r="E578" s="16" t="str">
        <f aca="false">IF($H578="","",INDEX(DECKS!$D$2:$D$1201,$H578))</f>
        <v/>
      </c>
      <c r="F578" s="16" t="str">
        <f aca="false">IF($H578="","",INDEX(DECKS!$E$2:$E$1201,$H578))</f>
        <v/>
      </c>
      <c r="G578" s="21" t="str">
        <f aca="false">IF($H578="","",INDEX(DECKS!$F$2:$F$1201,$H578))</f>
        <v/>
      </c>
      <c r="H578" s="11" t="str">
        <f aca="false">IFERROR(MATCH(ROW()-1,DECKS!$O$2:$O$1201,0),"")</f>
        <v/>
      </c>
      <c r="I578" s="11" t="str">
        <f aca="false">IF(C578="","",G578&amp;" "&amp;D578&amp;" ("&amp;C578&amp;")")</f>
        <v/>
      </c>
    </row>
    <row r="579" customFormat="false" ht="15" hidden="false" customHeight="false" outlineLevel="0" collapsed="false">
      <c r="A579" s="16"/>
      <c r="B579" s="11" t="str">
        <f aca="false">IF($H579="","",INDEX(DECKS!$A$2:$A$1201,$H579))</f>
        <v/>
      </c>
      <c r="C579" s="11" t="str">
        <f aca="false">IF($H579="","",INDEX(DECKS!$B$2:$B$1201,$H579))</f>
        <v/>
      </c>
      <c r="D579" s="11" t="str">
        <f aca="false">IF($H579="","",INDEX(DECKS!$C$2:$C$1201,$H579))</f>
        <v/>
      </c>
      <c r="E579" s="16" t="str">
        <f aca="false">IF($H579="","",INDEX(DECKS!$D$2:$D$1201,$H579))</f>
        <v/>
      </c>
      <c r="F579" s="16" t="str">
        <f aca="false">IF($H579="","",INDEX(DECKS!$E$2:$E$1201,$H579))</f>
        <v/>
      </c>
      <c r="G579" s="21" t="str">
        <f aca="false">IF($H579="","",INDEX(DECKS!$F$2:$F$1201,$H579))</f>
        <v/>
      </c>
      <c r="H579" s="11" t="str">
        <f aca="false">IFERROR(MATCH(ROW()-1,DECKS!$O$2:$O$1201,0),"")</f>
        <v/>
      </c>
      <c r="I579" s="11" t="str">
        <f aca="false">IF(C579="","",G579&amp;" "&amp;D579&amp;" ("&amp;C579&amp;")")</f>
        <v/>
      </c>
    </row>
    <row r="580" customFormat="false" ht="15" hidden="false" customHeight="false" outlineLevel="0" collapsed="false">
      <c r="A580" s="16"/>
      <c r="B580" s="11" t="str">
        <f aca="false">IF($H580="","",INDEX(DECKS!$A$2:$A$1201,$H580))</f>
        <v/>
      </c>
      <c r="C580" s="11" t="str">
        <f aca="false">IF($H580="","",INDEX(DECKS!$B$2:$B$1201,$H580))</f>
        <v/>
      </c>
      <c r="D580" s="11" t="str">
        <f aca="false">IF($H580="","",INDEX(DECKS!$C$2:$C$1201,$H580))</f>
        <v/>
      </c>
      <c r="E580" s="16" t="str">
        <f aca="false">IF($H580="","",INDEX(DECKS!$D$2:$D$1201,$H580))</f>
        <v/>
      </c>
      <c r="F580" s="16" t="str">
        <f aca="false">IF($H580="","",INDEX(DECKS!$E$2:$E$1201,$H580))</f>
        <v/>
      </c>
      <c r="G580" s="21" t="str">
        <f aca="false">IF($H580="","",INDEX(DECKS!$F$2:$F$1201,$H580))</f>
        <v/>
      </c>
      <c r="H580" s="11" t="str">
        <f aca="false">IFERROR(MATCH(ROW()-1,DECKS!$O$2:$O$1201,0),"")</f>
        <v/>
      </c>
      <c r="I580" s="11" t="str">
        <f aca="false">IF(C580="","",G580&amp;" "&amp;D580&amp;" ("&amp;C580&amp;")")</f>
        <v/>
      </c>
    </row>
    <row r="581" customFormat="false" ht="15" hidden="false" customHeight="false" outlineLevel="0" collapsed="false">
      <c r="A581" s="16"/>
      <c r="B581" s="11" t="str">
        <f aca="false">IF($H581="","",INDEX(DECKS!$A$2:$A$1201,$H581))</f>
        <v/>
      </c>
      <c r="C581" s="11" t="str">
        <f aca="false">IF($H581="","",INDEX(DECKS!$B$2:$B$1201,$H581))</f>
        <v/>
      </c>
      <c r="D581" s="11" t="str">
        <f aca="false">IF($H581="","",INDEX(DECKS!$C$2:$C$1201,$H581))</f>
        <v/>
      </c>
      <c r="E581" s="16" t="str">
        <f aca="false">IF($H581="","",INDEX(DECKS!$D$2:$D$1201,$H581))</f>
        <v/>
      </c>
      <c r="F581" s="16" t="str">
        <f aca="false">IF($H581="","",INDEX(DECKS!$E$2:$E$1201,$H581))</f>
        <v/>
      </c>
      <c r="G581" s="21" t="str">
        <f aca="false">IF($H581="","",INDEX(DECKS!$F$2:$F$1201,$H581))</f>
        <v/>
      </c>
      <c r="H581" s="11" t="str">
        <f aca="false">IFERROR(MATCH(ROW()-1,DECKS!$O$2:$O$1201,0),"")</f>
        <v/>
      </c>
      <c r="I581" s="11" t="str">
        <f aca="false">IF(C581="","",G581&amp;" "&amp;D581&amp;" ("&amp;C581&amp;")")</f>
        <v/>
      </c>
    </row>
    <row r="582" customFormat="false" ht="15" hidden="false" customHeight="false" outlineLevel="0" collapsed="false">
      <c r="A582" s="16"/>
      <c r="B582" s="11" t="str">
        <f aca="false">IF($H582="","",INDEX(DECKS!$A$2:$A$1201,$H582))</f>
        <v/>
      </c>
      <c r="C582" s="11" t="str">
        <f aca="false">IF($H582="","",INDEX(DECKS!$B$2:$B$1201,$H582))</f>
        <v/>
      </c>
      <c r="D582" s="11" t="str">
        <f aca="false">IF($H582="","",INDEX(DECKS!$C$2:$C$1201,$H582))</f>
        <v/>
      </c>
      <c r="E582" s="16" t="str">
        <f aca="false">IF($H582="","",INDEX(DECKS!$D$2:$D$1201,$H582))</f>
        <v/>
      </c>
      <c r="F582" s="16" t="str">
        <f aca="false">IF($H582="","",INDEX(DECKS!$E$2:$E$1201,$H582))</f>
        <v/>
      </c>
      <c r="G582" s="21" t="str">
        <f aca="false">IF($H582="","",INDEX(DECKS!$F$2:$F$1201,$H582))</f>
        <v/>
      </c>
      <c r="H582" s="11" t="str">
        <f aca="false">IFERROR(MATCH(ROW()-1,DECKS!$O$2:$O$1201,0),"")</f>
        <v/>
      </c>
      <c r="I582" s="11" t="str">
        <f aca="false">IF(C582="","",G582&amp;" "&amp;D582&amp;" ("&amp;C582&amp;")")</f>
        <v/>
      </c>
    </row>
    <row r="583" customFormat="false" ht="15" hidden="false" customHeight="false" outlineLevel="0" collapsed="false">
      <c r="A583" s="16"/>
      <c r="B583" s="11" t="str">
        <f aca="false">IF($H583="","",INDEX(DECKS!$A$2:$A$1201,$H583))</f>
        <v/>
      </c>
      <c r="C583" s="11" t="str">
        <f aca="false">IF($H583="","",INDEX(DECKS!$B$2:$B$1201,$H583))</f>
        <v/>
      </c>
      <c r="D583" s="11" t="str">
        <f aca="false">IF($H583="","",INDEX(DECKS!$C$2:$C$1201,$H583))</f>
        <v/>
      </c>
      <c r="E583" s="16" t="str">
        <f aca="false">IF($H583="","",INDEX(DECKS!$D$2:$D$1201,$H583))</f>
        <v/>
      </c>
      <c r="F583" s="16" t="str">
        <f aca="false">IF($H583="","",INDEX(DECKS!$E$2:$E$1201,$H583))</f>
        <v/>
      </c>
      <c r="G583" s="21" t="str">
        <f aca="false">IF($H583="","",INDEX(DECKS!$F$2:$F$1201,$H583))</f>
        <v/>
      </c>
      <c r="H583" s="11" t="str">
        <f aca="false">IFERROR(MATCH(ROW()-1,DECKS!$O$2:$O$1201,0),"")</f>
        <v/>
      </c>
      <c r="I583" s="11" t="str">
        <f aca="false">IF(C583="","",G583&amp;" "&amp;D583&amp;" ("&amp;C583&amp;")")</f>
        <v/>
      </c>
    </row>
    <row r="584" customFormat="false" ht="15" hidden="false" customHeight="false" outlineLevel="0" collapsed="false">
      <c r="A584" s="16"/>
      <c r="B584" s="11" t="str">
        <f aca="false">IF($H584="","",INDEX(DECKS!$A$2:$A$1201,$H584))</f>
        <v/>
      </c>
      <c r="C584" s="11" t="str">
        <f aca="false">IF($H584="","",INDEX(DECKS!$B$2:$B$1201,$H584))</f>
        <v/>
      </c>
      <c r="D584" s="11" t="str">
        <f aca="false">IF($H584="","",INDEX(DECKS!$C$2:$C$1201,$H584))</f>
        <v/>
      </c>
      <c r="E584" s="16" t="str">
        <f aca="false">IF($H584="","",INDEX(DECKS!$D$2:$D$1201,$H584))</f>
        <v/>
      </c>
      <c r="F584" s="16" t="str">
        <f aca="false">IF($H584="","",INDEX(DECKS!$E$2:$E$1201,$H584))</f>
        <v/>
      </c>
      <c r="G584" s="21" t="str">
        <f aca="false">IF($H584="","",INDEX(DECKS!$F$2:$F$1201,$H584))</f>
        <v/>
      </c>
      <c r="H584" s="11" t="str">
        <f aca="false">IFERROR(MATCH(ROW()-1,DECKS!$O$2:$O$1201,0),"")</f>
        <v/>
      </c>
      <c r="I584" s="11" t="str">
        <f aca="false">IF(C584="","",G584&amp;" "&amp;D584&amp;" ("&amp;C584&amp;")")</f>
        <v/>
      </c>
    </row>
    <row r="585" customFormat="false" ht="15" hidden="false" customHeight="false" outlineLevel="0" collapsed="false">
      <c r="A585" s="16"/>
      <c r="B585" s="11" t="str">
        <f aca="false">IF($H585="","",INDEX(DECKS!$A$2:$A$1201,$H585))</f>
        <v/>
      </c>
      <c r="C585" s="11" t="str">
        <f aca="false">IF($H585="","",INDEX(DECKS!$B$2:$B$1201,$H585))</f>
        <v/>
      </c>
      <c r="D585" s="11" t="str">
        <f aca="false">IF($H585="","",INDEX(DECKS!$C$2:$C$1201,$H585))</f>
        <v/>
      </c>
      <c r="E585" s="16" t="str">
        <f aca="false">IF($H585="","",INDEX(DECKS!$D$2:$D$1201,$H585))</f>
        <v/>
      </c>
      <c r="F585" s="16" t="str">
        <f aca="false">IF($H585="","",INDEX(DECKS!$E$2:$E$1201,$H585))</f>
        <v/>
      </c>
      <c r="G585" s="21" t="str">
        <f aca="false">IF($H585="","",INDEX(DECKS!$F$2:$F$1201,$H585))</f>
        <v/>
      </c>
      <c r="H585" s="11" t="str">
        <f aca="false">IFERROR(MATCH(ROW()-1,DECKS!$O$2:$O$1201,0),"")</f>
        <v/>
      </c>
      <c r="I585" s="11" t="str">
        <f aca="false">IF(C585="","",G585&amp;" "&amp;D585&amp;" ("&amp;C585&amp;")")</f>
        <v/>
      </c>
    </row>
    <row r="586" customFormat="false" ht="15" hidden="false" customHeight="false" outlineLevel="0" collapsed="false">
      <c r="A586" s="16"/>
      <c r="B586" s="11" t="str">
        <f aca="false">IF($H586="","",INDEX(DECKS!$A$2:$A$1201,$H586))</f>
        <v/>
      </c>
      <c r="C586" s="11" t="str">
        <f aca="false">IF($H586="","",INDEX(DECKS!$B$2:$B$1201,$H586))</f>
        <v/>
      </c>
      <c r="D586" s="11" t="str">
        <f aca="false">IF($H586="","",INDEX(DECKS!$C$2:$C$1201,$H586))</f>
        <v/>
      </c>
      <c r="E586" s="16" t="str">
        <f aca="false">IF($H586="","",INDEX(DECKS!$D$2:$D$1201,$H586))</f>
        <v/>
      </c>
      <c r="F586" s="16" t="str">
        <f aca="false">IF($H586="","",INDEX(DECKS!$E$2:$E$1201,$H586))</f>
        <v/>
      </c>
      <c r="G586" s="21" t="str">
        <f aca="false">IF($H586="","",INDEX(DECKS!$F$2:$F$1201,$H586))</f>
        <v/>
      </c>
      <c r="H586" s="11" t="str">
        <f aca="false">IFERROR(MATCH(ROW()-1,DECKS!$O$2:$O$1201,0),"")</f>
        <v/>
      </c>
      <c r="I586" s="11" t="str">
        <f aca="false">IF(C586="","",G586&amp;" "&amp;D586&amp;" ("&amp;C586&amp;")")</f>
        <v/>
      </c>
    </row>
    <row r="587" customFormat="false" ht="15" hidden="false" customHeight="false" outlineLevel="0" collapsed="false">
      <c r="A587" s="16"/>
      <c r="B587" s="11" t="str">
        <f aca="false">IF($H587="","",INDEX(DECKS!$A$2:$A$1201,$H587))</f>
        <v/>
      </c>
      <c r="C587" s="11" t="str">
        <f aca="false">IF($H587="","",INDEX(DECKS!$B$2:$B$1201,$H587))</f>
        <v/>
      </c>
      <c r="D587" s="11" t="str">
        <f aca="false">IF($H587="","",INDEX(DECKS!$C$2:$C$1201,$H587))</f>
        <v/>
      </c>
      <c r="E587" s="16" t="str">
        <f aca="false">IF($H587="","",INDEX(DECKS!$D$2:$D$1201,$H587))</f>
        <v/>
      </c>
      <c r="F587" s="16" t="str">
        <f aca="false">IF($H587="","",INDEX(DECKS!$E$2:$E$1201,$H587))</f>
        <v/>
      </c>
      <c r="G587" s="21" t="str">
        <f aca="false">IF($H587="","",INDEX(DECKS!$F$2:$F$1201,$H587))</f>
        <v/>
      </c>
      <c r="H587" s="11" t="str">
        <f aca="false">IFERROR(MATCH(ROW()-1,DECKS!$O$2:$O$1201,0),"")</f>
        <v/>
      </c>
      <c r="I587" s="11" t="str">
        <f aca="false">IF(C587="","",G587&amp;" "&amp;D587&amp;" ("&amp;C587&amp;")")</f>
        <v/>
      </c>
    </row>
    <row r="588" customFormat="false" ht="15" hidden="false" customHeight="false" outlineLevel="0" collapsed="false">
      <c r="A588" s="16"/>
      <c r="B588" s="11" t="str">
        <f aca="false">IF($H588="","",INDEX(DECKS!$A$2:$A$1201,$H588))</f>
        <v/>
      </c>
      <c r="C588" s="11" t="str">
        <f aca="false">IF($H588="","",INDEX(DECKS!$B$2:$B$1201,$H588))</f>
        <v/>
      </c>
      <c r="D588" s="11" t="str">
        <f aca="false">IF($H588="","",INDEX(DECKS!$C$2:$C$1201,$H588))</f>
        <v/>
      </c>
      <c r="E588" s="16" t="str">
        <f aca="false">IF($H588="","",INDEX(DECKS!$D$2:$D$1201,$H588))</f>
        <v/>
      </c>
      <c r="F588" s="16" t="str">
        <f aca="false">IF($H588="","",INDEX(DECKS!$E$2:$E$1201,$H588))</f>
        <v/>
      </c>
      <c r="G588" s="21" t="str">
        <f aca="false">IF($H588="","",INDEX(DECKS!$F$2:$F$1201,$H588))</f>
        <v/>
      </c>
      <c r="H588" s="11" t="str">
        <f aca="false">IFERROR(MATCH(ROW()-1,DECKS!$O$2:$O$1201,0),"")</f>
        <v/>
      </c>
      <c r="I588" s="11" t="str">
        <f aca="false">IF(C588="","",G588&amp;" "&amp;D588&amp;" ("&amp;C588&amp;")")</f>
        <v/>
      </c>
    </row>
    <row r="589" customFormat="false" ht="15" hidden="false" customHeight="false" outlineLevel="0" collapsed="false">
      <c r="A589" s="16"/>
      <c r="B589" s="11" t="str">
        <f aca="false">IF($H589="","",INDEX(DECKS!$A$2:$A$1201,$H589))</f>
        <v/>
      </c>
      <c r="C589" s="11" t="str">
        <f aca="false">IF($H589="","",INDEX(DECKS!$B$2:$B$1201,$H589))</f>
        <v/>
      </c>
      <c r="D589" s="11" t="str">
        <f aca="false">IF($H589="","",INDEX(DECKS!$C$2:$C$1201,$H589))</f>
        <v/>
      </c>
      <c r="E589" s="16" t="str">
        <f aca="false">IF($H589="","",INDEX(DECKS!$D$2:$D$1201,$H589))</f>
        <v/>
      </c>
      <c r="F589" s="16" t="str">
        <f aca="false">IF($H589="","",INDEX(DECKS!$E$2:$E$1201,$H589))</f>
        <v/>
      </c>
      <c r="G589" s="21" t="str">
        <f aca="false">IF($H589="","",INDEX(DECKS!$F$2:$F$1201,$H589))</f>
        <v/>
      </c>
      <c r="H589" s="11" t="str">
        <f aca="false">IFERROR(MATCH(ROW()-1,DECKS!$O$2:$O$1201,0),"")</f>
        <v/>
      </c>
      <c r="I589" s="11" t="str">
        <f aca="false">IF(C589="","",G589&amp;" "&amp;D589&amp;" ("&amp;C589&amp;")")</f>
        <v/>
      </c>
    </row>
    <row r="590" customFormat="false" ht="15" hidden="false" customHeight="false" outlineLevel="0" collapsed="false">
      <c r="A590" s="16"/>
      <c r="B590" s="11" t="str">
        <f aca="false">IF($H590="","",INDEX(DECKS!$A$2:$A$1201,$H590))</f>
        <v/>
      </c>
      <c r="C590" s="11" t="str">
        <f aca="false">IF($H590="","",INDEX(DECKS!$B$2:$B$1201,$H590))</f>
        <v/>
      </c>
      <c r="D590" s="11" t="str">
        <f aca="false">IF($H590="","",INDEX(DECKS!$C$2:$C$1201,$H590))</f>
        <v/>
      </c>
      <c r="E590" s="16" t="str">
        <f aca="false">IF($H590="","",INDEX(DECKS!$D$2:$D$1201,$H590))</f>
        <v/>
      </c>
      <c r="F590" s="16" t="str">
        <f aca="false">IF($H590="","",INDEX(DECKS!$E$2:$E$1201,$H590))</f>
        <v/>
      </c>
      <c r="G590" s="21" t="str">
        <f aca="false">IF($H590="","",INDEX(DECKS!$F$2:$F$1201,$H590))</f>
        <v/>
      </c>
      <c r="H590" s="11" t="str">
        <f aca="false">IFERROR(MATCH(ROW()-1,DECKS!$O$2:$O$1201,0),"")</f>
        <v/>
      </c>
      <c r="I590" s="11" t="str">
        <f aca="false">IF(C590="","",G590&amp;" "&amp;D590&amp;" ("&amp;C590&amp;")")</f>
        <v/>
      </c>
    </row>
    <row r="591" customFormat="false" ht="15" hidden="false" customHeight="false" outlineLevel="0" collapsed="false">
      <c r="A591" s="16"/>
      <c r="B591" s="11" t="str">
        <f aca="false">IF($H591="","",INDEX(DECKS!$A$2:$A$1201,$H591))</f>
        <v/>
      </c>
      <c r="C591" s="11" t="str">
        <f aca="false">IF($H591="","",INDEX(DECKS!$B$2:$B$1201,$H591))</f>
        <v/>
      </c>
      <c r="D591" s="11" t="str">
        <f aca="false">IF($H591="","",INDEX(DECKS!$C$2:$C$1201,$H591))</f>
        <v/>
      </c>
      <c r="E591" s="16" t="str">
        <f aca="false">IF($H591="","",INDEX(DECKS!$D$2:$D$1201,$H591))</f>
        <v/>
      </c>
      <c r="F591" s="16" t="str">
        <f aca="false">IF($H591="","",INDEX(DECKS!$E$2:$E$1201,$H591))</f>
        <v/>
      </c>
      <c r="G591" s="21" t="str">
        <f aca="false">IF($H591="","",INDEX(DECKS!$F$2:$F$1201,$H591))</f>
        <v/>
      </c>
      <c r="H591" s="11" t="str">
        <f aca="false">IFERROR(MATCH(ROW()-1,DECKS!$O$2:$O$1201,0),"")</f>
        <v/>
      </c>
      <c r="I591" s="11" t="str">
        <f aca="false">IF(C591="","",G591&amp;" "&amp;D591&amp;" ("&amp;C591&amp;")")</f>
        <v/>
      </c>
    </row>
    <row r="592" customFormat="false" ht="15" hidden="false" customHeight="false" outlineLevel="0" collapsed="false">
      <c r="A592" s="16"/>
      <c r="B592" s="11" t="str">
        <f aca="false">IF($H592="","",INDEX(DECKS!$A$2:$A$1201,$H592))</f>
        <v/>
      </c>
      <c r="C592" s="11" t="str">
        <f aca="false">IF($H592="","",INDEX(DECKS!$B$2:$B$1201,$H592))</f>
        <v/>
      </c>
      <c r="D592" s="11" t="str">
        <f aca="false">IF($H592="","",INDEX(DECKS!$C$2:$C$1201,$H592))</f>
        <v/>
      </c>
      <c r="E592" s="16" t="str">
        <f aca="false">IF($H592="","",INDEX(DECKS!$D$2:$D$1201,$H592))</f>
        <v/>
      </c>
      <c r="F592" s="16" t="str">
        <f aca="false">IF($H592="","",INDEX(DECKS!$E$2:$E$1201,$H592))</f>
        <v/>
      </c>
      <c r="G592" s="21" t="str">
        <f aca="false">IF($H592="","",INDEX(DECKS!$F$2:$F$1201,$H592))</f>
        <v/>
      </c>
      <c r="H592" s="11" t="str">
        <f aca="false">IFERROR(MATCH(ROW()-1,DECKS!$O$2:$O$1201,0),"")</f>
        <v/>
      </c>
      <c r="I592" s="11" t="str">
        <f aca="false">IF(C592="","",G592&amp;" "&amp;D592&amp;" ("&amp;C592&amp;")")</f>
        <v/>
      </c>
    </row>
    <row r="593" customFormat="false" ht="15" hidden="false" customHeight="false" outlineLevel="0" collapsed="false">
      <c r="A593" s="16"/>
      <c r="B593" s="11" t="str">
        <f aca="false">IF($H593="","",INDEX(DECKS!$A$2:$A$1201,$H593))</f>
        <v/>
      </c>
      <c r="C593" s="11" t="str">
        <f aca="false">IF($H593="","",INDEX(DECKS!$B$2:$B$1201,$H593))</f>
        <v/>
      </c>
      <c r="D593" s="11" t="str">
        <f aca="false">IF($H593="","",INDEX(DECKS!$C$2:$C$1201,$H593))</f>
        <v/>
      </c>
      <c r="E593" s="16" t="str">
        <f aca="false">IF($H593="","",INDEX(DECKS!$D$2:$D$1201,$H593))</f>
        <v/>
      </c>
      <c r="F593" s="16" t="str">
        <f aca="false">IF($H593="","",INDEX(DECKS!$E$2:$E$1201,$H593))</f>
        <v/>
      </c>
      <c r="G593" s="21" t="str">
        <f aca="false">IF($H593="","",INDEX(DECKS!$F$2:$F$1201,$H593))</f>
        <v/>
      </c>
      <c r="H593" s="11" t="str">
        <f aca="false">IFERROR(MATCH(ROW()-1,DECKS!$O$2:$O$1201,0),"")</f>
        <v/>
      </c>
      <c r="I593" s="11" t="str">
        <f aca="false">IF(C593="","",G593&amp;" "&amp;D593&amp;" ("&amp;C593&amp;")")</f>
        <v/>
      </c>
    </row>
    <row r="594" customFormat="false" ht="15" hidden="false" customHeight="false" outlineLevel="0" collapsed="false">
      <c r="A594" s="16"/>
      <c r="B594" s="11" t="str">
        <f aca="false">IF($H594="","",INDEX(DECKS!$A$2:$A$1201,$H594))</f>
        <v/>
      </c>
      <c r="C594" s="11" t="str">
        <f aca="false">IF($H594="","",INDEX(DECKS!$B$2:$B$1201,$H594))</f>
        <v/>
      </c>
      <c r="D594" s="11" t="str">
        <f aca="false">IF($H594="","",INDEX(DECKS!$C$2:$C$1201,$H594))</f>
        <v/>
      </c>
      <c r="E594" s="16" t="str">
        <f aca="false">IF($H594="","",INDEX(DECKS!$D$2:$D$1201,$H594))</f>
        <v/>
      </c>
      <c r="F594" s="16" t="str">
        <f aca="false">IF($H594="","",INDEX(DECKS!$E$2:$E$1201,$H594))</f>
        <v/>
      </c>
      <c r="G594" s="21" t="str">
        <f aca="false">IF($H594="","",INDEX(DECKS!$F$2:$F$1201,$H594))</f>
        <v/>
      </c>
      <c r="H594" s="11" t="str">
        <f aca="false">IFERROR(MATCH(ROW()-1,DECKS!$O$2:$O$1201,0),"")</f>
        <v/>
      </c>
      <c r="I594" s="11" t="str">
        <f aca="false">IF(C594="","",G594&amp;" "&amp;D594&amp;" ("&amp;C594&amp;")")</f>
        <v/>
      </c>
    </row>
    <row r="595" customFormat="false" ht="15" hidden="false" customHeight="false" outlineLevel="0" collapsed="false">
      <c r="A595" s="16"/>
      <c r="B595" s="11" t="str">
        <f aca="false">IF($H595="","",INDEX(DECKS!$A$2:$A$1201,$H595))</f>
        <v/>
      </c>
      <c r="C595" s="11" t="str">
        <f aca="false">IF($H595="","",INDEX(DECKS!$B$2:$B$1201,$H595))</f>
        <v/>
      </c>
      <c r="D595" s="11" t="str">
        <f aca="false">IF($H595="","",INDEX(DECKS!$C$2:$C$1201,$H595))</f>
        <v/>
      </c>
      <c r="E595" s="16" t="str">
        <f aca="false">IF($H595="","",INDEX(DECKS!$D$2:$D$1201,$H595))</f>
        <v/>
      </c>
      <c r="F595" s="16" t="str">
        <f aca="false">IF($H595="","",INDEX(DECKS!$E$2:$E$1201,$H595))</f>
        <v/>
      </c>
      <c r="G595" s="21" t="str">
        <f aca="false">IF($H595="","",INDEX(DECKS!$F$2:$F$1201,$H595))</f>
        <v/>
      </c>
      <c r="H595" s="11" t="str">
        <f aca="false">IFERROR(MATCH(ROW()-1,DECKS!$O$2:$O$1201,0),"")</f>
        <v/>
      </c>
      <c r="I595" s="11" t="str">
        <f aca="false">IF(C595="","",G595&amp;" "&amp;D595&amp;" ("&amp;C595&amp;")")</f>
        <v/>
      </c>
    </row>
    <row r="596" customFormat="false" ht="15" hidden="false" customHeight="false" outlineLevel="0" collapsed="false">
      <c r="A596" s="16"/>
      <c r="B596" s="11" t="str">
        <f aca="false">IF($H596="","",INDEX(DECKS!$A$2:$A$1201,$H596))</f>
        <v/>
      </c>
      <c r="C596" s="11" t="str">
        <f aca="false">IF($H596="","",INDEX(DECKS!$B$2:$B$1201,$H596))</f>
        <v/>
      </c>
      <c r="D596" s="11" t="str">
        <f aca="false">IF($H596="","",INDEX(DECKS!$C$2:$C$1201,$H596))</f>
        <v/>
      </c>
      <c r="E596" s="16" t="str">
        <f aca="false">IF($H596="","",INDEX(DECKS!$D$2:$D$1201,$H596))</f>
        <v/>
      </c>
      <c r="F596" s="16" t="str">
        <f aca="false">IF($H596="","",INDEX(DECKS!$E$2:$E$1201,$H596))</f>
        <v/>
      </c>
      <c r="G596" s="21" t="str">
        <f aca="false">IF($H596="","",INDEX(DECKS!$F$2:$F$1201,$H596))</f>
        <v/>
      </c>
      <c r="H596" s="11" t="str">
        <f aca="false">IFERROR(MATCH(ROW()-1,DECKS!$O$2:$O$1201,0),"")</f>
        <v/>
      </c>
      <c r="I596" s="11" t="str">
        <f aca="false">IF(C596="","",G596&amp;" "&amp;D596&amp;" ("&amp;C596&amp;")")</f>
        <v/>
      </c>
    </row>
    <row r="597" customFormat="false" ht="15" hidden="false" customHeight="false" outlineLevel="0" collapsed="false">
      <c r="A597" s="16"/>
      <c r="B597" s="11" t="str">
        <f aca="false">IF($H597="","",INDEX(DECKS!$A$2:$A$1201,$H597))</f>
        <v/>
      </c>
      <c r="C597" s="11" t="str">
        <f aca="false">IF($H597="","",INDEX(DECKS!$B$2:$B$1201,$H597))</f>
        <v/>
      </c>
      <c r="D597" s="11" t="str">
        <f aca="false">IF($H597="","",INDEX(DECKS!$C$2:$C$1201,$H597))</f>
        <v/>
      </c>
      <c r="E597" s="16" t="str">
        <f aca="false">IF($H597="","",INDEX(DECKS!$D$2:$D$1201,$H597))</f>
        <v/>
      </c>
      <c r="F597" s="16" t="str">
        <f aca="false">IF($H597="","",INDEX(DECKS!$E$2:$E$1201,$H597))</f>
        <v/>
      </c>
      <c r="G597" s="21" t="str">
        <f aca="false">IF($H597="","",INDEX(DECKS!$F$2:$F$1201,$H597))</f>
        <v/>
      </c>
      <c r="H597" s="11" t="str">
        <f aca="false">IFERROR(MATCH(ROW()-1,DECKS!$O$2:$O$1201,0),"")</f>
        <v/>
      </c>
      <c r="I597" s="11" t="str">
        <f aca="false">IF(C597="","",G597&amp;" "&amp;D597&amp;" ("&amp;C597&amp;")")</f>
        <v/>
      </c>
    </row>
    <row r="598" customFormat="false" ht="15" hidden="false" customHeight="false" outlineLevel="0" collapsed="false">
      <c r="A598" s="16"/>
      <c r="B598" s="11" t="str">
        <f aca="false">IF($H598="","",INDEX(DECKS!$A$2:$A$1201,$H598))</f>
        <v/>
      </c>
      <c r="C598" s="11" t="str">
        <f aca="false">IF($H598="","",INDEX(DECKS!$B$2:$B$1201,$H598))</f>
        <v/>
      </c>
      <c r="D598" s="11" t="str">
        <f aca="false">IF($H598="","",INDEX(DECKS!$C$2:$C$1201,$H598))</f>
        <v/>
      </c>
      <c r="E598" s="16" t="str">
        <f aca="false">IF($H598="","",INDEX(DECKS!$D$2:$D$1201,$H598))</f>
        <v/>
      </c>
      <c r="F598" s="16" t="str">
        <f aca="false">IF($H598="","",INDEX(DECKS!$E$2:$E$1201,$H598))</f>
        <v/>
      </c>
      <c r="G598" s="21" t="str">
        <f aca="false">IF($H598="","",INDEX(DECKS!$F$2:$F$1201,$H598))</f>
        <v/>
      </c>
      <c r="H598" s="11" t="str">
        <f aca="false">IFERROR(MATCH(ROW()-1,DECKS!$O$2:$O$1201,0),"")</f>
        <v/>
      </c>
      <c r="I598" s="11" t="str">
        <f aca="false">IF(C598="","",G598&amp;" "&amp;D598&amp;" ("&amp;C598&amp;")")</f>
        <v/>
      </c>
    </row>
    <row r="599" customFormat="false" ht="15" hidden="false" customHeight="false" outlineLevel="0" collapsed="false">
      <c r="A599" s="16"/>
      <c r="B599" s="11" t="str">
        <f aca="false">IF($H599="","",INDEX(DECKS!$A$2:$A$1201,$H599))</f>
        <v/>
      </c>
      <c r="C599" s="11" t="str">
        <f aca="false">IF($H599="","",INDEX(DECKS!$B$2:$B$1201,$H599))</f>
        <v/>
      </c>
      <c r="D599" s="11" t="str">
        <f aca="false">IF($H599="","",INDEX(DECKS!$C$2:$C$1201,$H599))</f>
        <v/>
      </c>
      <c r="E599" s="16" t="str">
        <f aca="false">IF($H599="","",INDEX(DECKS!$D$2:$D$1201,$H599))</f>
        <v/>
      </c>
      <c r="F599" s="16" t="str">
        <f aca="false">IF($H599="","",INDEX(DECKS!$E$2:$E$1201,$H599))</f>
        <v/>
      </c>
      <c r="G599" s="21" t="str">
        <f aca="false">IF($H599="","",INDEX(DECKS!$F$2:$F$1201,$H599))</f>
        <v/>
      </c>
      <c r="H599" s="11" t="str">
        <f aca="false">IFERROR(MATCH(ROW()-1,DECKS!$O$2:$O$1201,0),"")</f>
        <v/>
      </c>
      <c r="I599" s="11" t="str">
        <f aca="false">IF(C599="","",G599&amp;" "&amp;D599&amp;" ("&amp;C599&amp;")")</f>
        <v/>
      </c>
    </row>
    <row r="600" customFormat="false" ht="15" hidden="false" customHeight="false" outlineLevel="0" collapsed="false">
      <c r="A600" s="16"/>
      <c r="B600" s="11" t="str">
        <f aca="false">IF($H600="","",INDEX(DECKS!$A$2:$A$1201,$H600))</f>
        <v/>
      </c>
      <c r="C600" s="11" t="str">
        <f aca="false">IF($H600="","",INDEX(DECKS!$B$2:$B$1201,$H600))</f>
        <v/>
      </c>
      <c r="D600" s="11" t="str">
        <f aca="false">IF($H600="","",INDEX(DECKS!$C$2:$C$1201,$H600))</f>
        <v/>
      </c>
      <c r="E600" s="16" t="str">
        <f aca="false">IF($H600="","",INDEX(DECKS!$D$2:$D$1201,$H600))</f>
        <v/>
      </c>
      <c r="F600" s="16" t="str">
        <f aca="false">IF($H600="","",INDEX(DECKS!$E$2:$E$1201,$H600))</f>
        <v/>
      </c>
      <c r="G600" s="21" t="str">
        <f aca="false">IF($H600="","",INDEX(DECKS!$F$2:$F$1201,$H600))</f>
        <v/>
      </c>
      <c r="H600" s="11" t="str">
        <f aca="false">IFERROR(MATCH(ROW()-1,DECKS!$O$2:$O$1201,0),"")</f>
        <v/>
      </c>
      <c r="I600" s="11" t="str">
        <f aca="false">IF(C600="","",G600&amp;" "&amp;D600&amp;" ("&amp;C600&amp;")")</f>
        <v/>
      </c>
    </row>
    <row r="601" customFormat="false" ht="15" hidden="false" customHeight="false" outlineLevel="0" collapsed="false">
      <c r="A601" s="16"/>
      <c r="B601" s="11" t="str">
        <f aca="false">IF($H601="","",INDEX(DECKS!$A$2:$A$1201,$H601))</f>
        <v/>
      </c>
      <c r="C601" s="11" t="str">
        <f aca="false">IF($H601="","",INDEX(DECKS!$B$2:$B$1201,$H601))</f>
        <v/>
      </c>
      <c r="D601" s="11" t="str">
        <f aca="false">IF($H601="","",INDEX(DECKS!$C$2:$C$1201,$H601))</f>
        <v/>
      </c>
      <c r="E601" s="16" t="str">
        <f aca="false">IF($H601="","",INDEX(DECKS!$D$2:$D$1201,$H601))</f>
        <v/>
      </c>
      <c r="F601" s="16" t="str">
        <f aca="false">IF($H601="","",INDEX(DECKS!$E$2:$E$1201,$H601))</f>
        <v/>
      </c>
      <c r="G601" s="21" t="str">
        <f aca="false">IF($H601="","",INDEX(DECKS!$F$2:$F$1201,$H601))</f>
        <v/>
      </c>
      <c r="H601" s="11" t="str">
        <f aca="false">IFERROR(MATCH(ROW()-1,DECKS!$O$2:$O$1201,0),"")</f>
        <v/>
      </c>
      <c r="I601" s="11" t="str">
        <f aca="false">IF(C601="","",G601&amp;" "&amp;D601&amp;" ("&amp;C601&amp;")")</f>
        <v/>
      </c>
    </row>
    <row r="602" customFormat="false" ht="15" hidden="false" customHeight="false" outlineLevel="0" collapsed="false">
      <c r="A602" s="16"/>
      <c r="B602" s="11" t="str">
        <f aca="false">IF($H602="","",INDEX(DECKS!$A$2:$A$1201,$H602))</f>
        <v/>
      </c>
      <c r="C602" s="11" t="str">
        <f aca="false">IF($H602="","",INDEX(DECKS!$B$2:$B$1201,$H602))</f>
        <v/>
      </c>
      <c r="D602" s="11" t="str">
        <f aca="false">IF($H602="","",INDEX(DECKS!$C$2:$C$1201,$H602))</f>
        <v/>
      </c>
      <c r="E602" s="16" t="str">
        <f aca="false">IF($H602="","",INDEX(DECKS!$D$2:$D$1201,$H602))</f>
        <v/>
      </c>
      <c r="F602" s="16" t="str">
        <f aca="false">IF($H602="","",INDEX(DECKS!$E$2:$E$1201,$H602))</f>
        <v/>
      </c>
      <c r="G602" s="21" t="str">
        <f aca="false">IF($H602="","",INDEX(DECKS!$F$2:$F$1201,$H602))</f>
        <v/>
      </c>
      <c r="H602" s="11" t="str">
        <f aca="false">IFERROR(MATCH(ROW()-1,DECKS!$O$2:$O$1201,0),"")</f>
        <v/>
      </c>
      <c r="I602" s="11" t="str">
        <f aca="false">IF(C602="","",G602&amp;" "&amp;D602&amp;" ("&amp;C602&amp;")")</f>
        <v/>
      </c>
    </row>
    <row r="603" customFormat="false" ht="15" hidden="false" customHeight="false" outlineLevel="0" collapsed="false">
      <c r="A603" s="16"/>
      <c r="B603" s="11" t="str">
        <f aca="false">IF($H603="","",INDEX(DECKS!$A$2:$A$1201,$H603))</f>
        <v/>
      </c>
      <c r="C603" s="11" t="str">
        <f aca="false">IF($H603="","",INDEX(DECKS!$B$2:$B$1201,$H603))</f>
        <v/>
      </c>
      <c r="D603" s="11" t="str">
        <f aca="false">IF($H603="","",INDEX(DECKS!$C$2:$C$1201,$H603))</f>
        <v/>
      </c>
      <c r="E603" s="16" t="str">
        <f aca="false">IF($H603="","",INDEX(DECKS!$D$2:$D$1201,$H603))</f>
        <v/>
      </c>
      <c r="F603" s="16" t="str">
        <f aca="false">IF($H603="","",INDEX(DECKS!$E$2:$E$1201,$H603))</f>
        <v/>
      </c>
      <c r="G603" s="21" t="str">
        <f aca="false">IF($H603="","",INDEX(DECKS!$F$2:$F$1201,$H603))</f>
        <v/>
      </c>
      <c r="H603" s="11" t="str">
        <f aca="false">IFERROR(MATCH(ROW()-1,DECKS!$O$2:$O$1201,0),"")</f>
        <v/>
      </c>
      <c r="I603" s="11" t="str">
        <f aca="false">IF(C603="","",G603&amp;" "&amp;D603&amp;" ("&amp;C603&amp;")")</f>
        <v/>
      </c>
    </row>
    <row r="604" customFormat="false" ht="15" hidden="false" customHeight="false" outlineLevel="0" collapsed="false">
      <c r="A604" s="16"/>
      <c r="B604" s="11" t="str">
        <f aca="false">IF($H604="","",INDEX(DECKS!$A$2:$A$1201,$H604))</f>
        <v/>
      </c>
      <c r="C604" s="11" t="str">
        <f aca="false">IF($H604="","",INDEX(DECKS!$B$2:$B$1201,$H604))</f>
        <v/>
      </c>
      <c r="D604" s="11" t="str">
        <f aca="false">IF($H604="","",INDEX(DECKS!$C$2:$C$1201,$H604))</f>
        <v/>
      </c>
      <c r="E604" s="16" t="str">
        <f aca="false">IF($H604="","",INDEX(DECKS!$D$2:$D$1201,$H604))</f>
        <v/>
      </c>
      <c r="F604" s="16" t="str">
        <f aca="false">IF($H604="","",INDEX(DECKS!$E$2:$E$1201,$H604))</f>
        <v/>
      </c>
      <c r="G604" s="21" t="str">
        <f aca="false">IF($H604="","",INDEX(DECKS!$F$2:$F$1201,$H604))</f>
        <v/>
      </c>
      <c r="H604" s="11" t="str">
        <f aca="false">IFERROR(MATCH(ROW()-1,DECKS!$O$2:$O$1201,0),"")</f>
        <v/>
      </c>
      <c r="I604" s="11" t="str">
        <f aca="false">IF(C604="","",G604&amp;" "&amp;D604&amp;" ("&amp;C604&amp;")")</f>
        <v/>
      </c>
    </row>
    <row r="605" customFormat="false" ht="15" hidden="false" customHeight="false" outlineLevel="0" collapsed="false">
      <c r="A605" s="16"/>
      <c r="B605" s="11" t="str">
        <f aca="false">IF($H605="","",INDEX(DECKS!$A$2:$A$1201,$H605))</f>
        <v/>
      </c>
      <c r="C605" s="11" t="str">
        <f aca="false">IF($H605="","",INDEX(DECKS!$B$2:$B$1201,$H605))</f>
        <v/>
      </c>
      <c r="D605" s="11" t="str">
        <f aca="false">IF($H605="","",INDEX(DECKS!$C$2:$C$1201,$H605))</f>
        <v/>
      </c>
      <c r="E605" s="16" t="str">
        <f aca="false">IF($H605="","",INDEX(DECKS!$D$2:$D$1201,$H605))</f>
        <v/>
      </c>
      <c r="F605" s="16" t="str">
        <f aca="false">IF($H605="","",INDEX(DECKS!$E$2:$E$1201,$H605))</f>
        <v/>
      </c>
      <c r="G605" s="21" t="str">
        <f aca="false">IF($H605="","",INDEX(DECKS!$F$2:$F$1201,$H605))</f>
        <v/>
      </c>
      <c r="H605" s="11" t="str">
        <f aca="false">IFERROR(MATCH(ROW()-1,DECKS!$O$2:$O$1201,0),"")</f>
        <v/>
      </c>
      <c r="I605" s="11" t="str">
        <f aca="false">IF(C605="","",G605&amp;" "&amp;D605&amp;" ("&amp;C605&amp;")")</f>
        <v/>
      </c>
    </row>
    <row r="606" customFormat="false" ht="15" hidden="false" customHeight="false" outlineLevel="0" collapsed="false">
      <c r="A606" s="16"/>
      <c r="B606" s="11" t="str">
        <f aca="false">IF($H606="","",INDEX(DECKS!$A$2:$A$1201,$H606))</f>
        <v/>
      </c>
      <c r="C606" s="11" t="str">
        <f aca="false">IF($H606="","",INDEX(DECKS!$B$2:$B$1201,$H606))</f>
        <v/>
      </c>
      <c r="D606" s="11" t="str">
        <f aca="false">IF($H606="","",INDEX(DECKS!$C$2:$C$1201,$H606))</f>
        <v/>
      </c>
      <c r="E606" s="16" t="str">
        <f aca="false">IF($H606="","",INDEX(DECKS!$D$2:$D$1201,$H606))</f>
        <v/>
      </c>
      <c r="F606" s="16" t="str">
        <f aca="false">IF($H606="","",INDEX(DECKS!$E$2:$E$1201,$H606))</f>
        <v/>
      </c>
      <c r="G606" s="21" t="str">
        <f aca="false">IF($H606="","",INDEX(DECKS!$F$2:$F$1201,$H606))</f>
        <v/>
      </c>
      <c r="H606" s="11" t="str">
        <f aca="false">IFERROR(MATCH(ROW()-1,DECKS!$O$2:$O$1201,0),"")</f>
        <v/>
      </c>
      <c r="I606" s="11" t="str">
        <f aca="false">IF(C606="","",G606&amp;" "&amp;D606&amp;" ("&amp;C606&amp;")")</f>
        <v/>
      </c>
    </row>
    <row r="607" customFormat="false" ht="15" hidden="false" customHeight="false" outlineLevel="0" collapsed="false">
      <c r="A607" s="16"/>
      <c r="B607" s="11" t="str">
        <f aca="false">IF($H607="","",INDEX(DECKS!$A$2:$A$1201,$H607))</f>
        <v/>
      </c>
      <c r="C607" s="11" t="str">
        <f aca="false">IF($H607="","",INDEX(DECKS!$B$2:$B$1201,$H607))</f>
        <v/>
      </c>
      <c r="D607" s="11" t="str">
        <f aca="false">IF($H607="","",INDEX(DECKS!$C$2:$C$1201,$H607))</f>
        <v/>
      </c>
      <c r="E607" s="16" t="str">
        <f aca="false">IF($H607="","",INDEX(DECKS!$D$2:$D$1201,$H607))</f>
        <v/>
      </c>
      <c r="F607" s="16" t="str">
        <f aca="false">IF($H607="","",INDEX(DECKS!$E$2:$E$1201,$H607))</f>
        <v/>
      </c>
      <c r="G607" s="21" t="str">
        <f aca="false">IF($H607="","",INDEX(DECKS!$F$2:$F$1201,$H607))</f>
        <v/>
      </c>
      <c r="H607" s="11" t="str">
        <f aca="false">IFERROR(MATCH(ROW()-1,DECKS!$O$2:$O$1201,0),"")</f>
        <v/>
      </c>
      <c r="I607" s="11" t="str">
        <f aca="false">IF(C607="","",G607&amp;" "&amp;D607&amp;" ("&amp;C607&amp;")")</f>
        <v/>
      </c>
    </row>
    <row r="608" customFormat="false" ht="15" hidden="false" customHeight="false" outlineLevel="0" collapsed="false">
      <c r="A608" s="16"/>
      <c r="B608" s="11" t="str">
        <f aca="false">IF($H608="","",INDEX(DECKS!$A$2:$A$1201,$H608))</f>
        <v/>
      </c>
      <c r="C608" s="11" t="str">
        <f aca="false">IF($H608="","",INDEX(DECKS!$B$2:$B$1201,$H608))</f>
        <v/>
      </c>
      <c r="D608" s="11" t="str">
        <f aca="false">IF($H608="","",INDEX(DECKS!$C$2:$C$1201,$H608))</f>
        <v/>
      </c>
      <c r="E608" s="16" t="str">
        <f aca="false">IF($H608="","",INDEX(DECKS!$D$2:$D$1201,$H608))</f>
        <v/>
      </c>
      <c r="F608" s="16" t="str">
        <f aca="false">IF($H608="","",INDEX(DECKS!$E$2:$E$1201,$H608))</f>
        <v/>
      </c>
      <c r="G608" s="21" t="str">
        <f aca="false">IF($H608="","",INDEX(DECKS!$F$2:$F$1201,$H608))</f>
        <v/>
      </c>
      <c r="H608" s="11" t="str">
        <f aca="false">IFERROR(MATCH(ROW()-1,DECKS!$O$2:$O$1201,0),"")</f>
        <v/>
      </c>
      <c r="I608" s="11" t="str">
        <f aca="false">IF(C608="","",G608&amp;" "&amp;D608&amp;" ("&amp;C608&amp;")")</f>
        <v/>
      </c>
    </row>
    <row r="609" customFormat="false" ht="15" hidden="false" customHeight="false" outlineLevel="0" collapsed="false">
      <c r="A609" s="16"/>
      <c r="B609" s="11" t="str">
        <f aca="false">IF($H609="","",INDEX(DECKS!$A$2:$A$1201,$H609))</f>
        <v/>
      </c>
      <c r="C609" s="11" t="str">
        <f aca="false">IF($H609="","",INDEX(DECKS!$B$2:$B$1201,$H609))</f>
        <v/>
      </c>
      <c r="D609" s="11" t="str">
        <f aca="false">IF($H609="","",INDEX(DECKS!$C$2:$C$1201,$H609))</f>
        <v/>
      </c>
      <c r="E609" s="16" t="str">
        <f aca="false">IF($H609="","",INDEX(DECKS!$D$2:$D$1201,$H609))</f>
        <v/>
      </c>
      <c r="F609" s="16" t="str">
        <f aca="false">IF($H609="","",INDEX(DECKS!$E$2:$E$1201,$H609))</f>
        <v/>
      </c>
      <c r="G609" s="21" t="str">
        <f aca="false">IF($H609="","",INDEX(DECKS!$F$2:$F$1201,$H609))</f>
        <v/>
      </c>
      <c r="H609" s="11" t="str">
        <f aca="false">IFERROR(MATCH(ROW()-1,DECKS!$O$2:$O$1201,0),"")</f>
        <v/>
      </c>
      <c r="I609" s="11" t="str">
        <f aca="false">IF(C609="","",G609&amp;" "&amp;D609&amp;" ("&amp;C609&amp;")")</f>
        <v/>
      </c>
    </row>
    <row r="610" customFormat="false" ht="15" hidden="false" customHeight="false" outlineLevel="0" collapsed="false">
      <c r="A610" s="16"/>
      <c r="B610" s="11" t="str">
        <f aca="false">IF($H610="","",INDEX(DECKS!$A$2:$A$1201,$H610))</f>
        <v/>
      </c>
      <c r="C610" s="11" t="str">
        <f aca="false">IF($H610="","",INDEX(DECKS!$B$2:$B$1201,$H610))</f>
        <v/>
      </c>
      <c r="D610" s="11" t="str">
        <f aca="false">IF($H610="","",INDEX(DECKS!$C$2:$C$1201,$H610))</f>
        <v/>
      </c>
      <c r="E610" s="16" t="str">
        <f aca="false">IF($H610="","",INDEX(DECKS!$D$2:$D$1201,$H610))</f>
        <v/>
      </c>
      <c r="F610" s="16" t="str">
        <f aca="false">IF($H610="","",INDEX(DECKS!$E$2:$E$1201,$H610))</f>
        <v/>
      </c>
      <c r="G610" s="21" t="str">
        <f aca="false">IF($H610="","",INDEX(DECKS!$F$2:$F$1201,$H610))</f>
        <v/>
      </c>
      <c r="H610" s="11" t="str">
        <f aca="false">IFERROR(MATCH(ROW()-1,DECKS!$O$2:$O$1201,0),"")</f>
        <v/>
      </c>
      <c r="I610" s="11" t="str">
        <f aca="false">IF(C610="","",G610&amp;" "&amp;D610&amp;" ("&amp;C610&amp;")")</f>
        <v/>
      </c>
    </row>
    <row r="611" customFormat="false" ht="15" hidden="false" customHeight="false" outlineLevel="0" collapsed="false">
      <c r="A611" s="16"/>
      <c r="B611" s="11" t="str">
        <f aca="false">IF($H611="","",INDEX(DECKS!$A$2:$A$1201,$H611))</f>
        <v/>
      </c>
      <c r="C611" s="11" t="str">
        <f aca="false">IF($H611="","",INDEX(DECKS!$B$2:$B$1201,$H611))</f>
        <v/>
      </c>
      <c r="D611" s="11" t="str">
        <f aca="false">IF($H611="","",INDEX(DECKS!$C$2:$C$1201,$H611))</f>
        <v/>
      </c>
      <c r="E611" s="16" t="str">
        <f aca="false">IF($H611="","",INDEX(DECKS!$D$2:$D$1201,$H611))</f>
        <v/>
      </c>
      <c r="F611" s="16" t="str">
        <f aca="false">IF($H611="","",INDEX(DECKS!$E$2:$E$1201,$H611))</f>
        <v/>
      </c>
      <c r="G611" s="21" t="str">
        <f aca="false">IF($H611="","",INDEX(DECKS!$F$2:$F$1201,$H611))</f>
        <v/>
      </c>
      <c r="H611" s="11" t="str">
        <f aca="false">IFERROR(MATCH(ROW()-1,DECKS!$O$2:$O$1201,0),"")</f>
        <v/>
      </c>
      <c r="I611" s="11" t="str">
        <f aca="false">IF(C611="","",G611&amp;" "&amp;D611&amp;" ("&amp;C611&amp;")")</f>
        <v/>
      </c>
    </row>
    <row r="612" customFormat="false" ht="15" hidden="false" customHeight="false" outlineLevel="0" collapsed="false">
      <c r="A612" s="16"/>
      <c r="B612" s="11" t="str">
        <f aca="false">IF($H612="","",INDEX(DECKS!$A$2:$A$1201,$H612))</f>
        <v/>
      </c>
      <c r="C612" s="11" t="str">
        <f aca="false">IF($H612="","",INDEX(DECKS!$B$2:$B$1201,$H612))</f>
        <v/>
      </c>
      <c r="D612" s="11" t="str">
        <f aca="false">IF($H612="","",INDEX(DECKS!$C$2:$C$1201,$H612))</f>
        <v/>
      </c>
      <c r="E612" s="16" t="str">
        <f aca="false">IF($H612="","",INDEX(DECKS!$D$2:$D$1201,$H612))</f>
        <v/>
      </c>
      <c r="F612" s="16" t="str">
        <f aca="false">IF($H612="","",INDEX(DECKS!$E$2:$E$1201,$H612))</f>
        <v/>
      </c>
      <c r="G612" s="21" t="str">
        <f aca="false">IF($H612="","",INDEX(DECKS!$F$2:$F$1201,$H612))</f>
        <v/>
      </c>
      <c r="H612" s="11" t="str">
        <f aca="false">IFERROR(MATCH(ROW()-1,DECKS!$O$2:$O$1201,0),"")</f>
        <v/>
      </c>
      <c r="I612" s="11" t="str">
        <f aca="false">IF(C612="","",G612&amp;" "&amp;D612&amp;" ("&amp;C612&amp;")")</f>
        <v/>
      </c>
    </row>
    <row r="613" customFormat="false" ht="15" hidden="false" customHeight="false" outlineLevel="0" collapsed="false">
      <c r="A613" s="16"/>
      <c r="B613" s="11" t="str">
        <f aca="false">IF($H613="","",INDEX(DECKS!$A$2:$A$1201,$H613))</f>
        <v/>
      </c>
      <c r="C613" s="11" t="str">
        <f aca="false">IF($H613="","",INDEX(DECKS!$B$2:$B$1201,$H613))</f>
        <v/>
      </c>
      <c r="D613" s="11" t="str">
        <f aca="false">IF($H613="","",INDEX(DECKS!$C$2:$C$1201,$H613))</f>
        <v/>
      </c>
      <c r="E613" s="16" t="str">
        <f aca="false">IF($H613="","",INDEX(DECKS!$D$2:$D$1201,$H613))</f>
        <v/>
      </c>
      <c r="F613" s="16" t="str">
        <f aca="false">IF($H613="","",INDEX(DECKS!$E$2:$E$1201,$H613))</f>
        <v/>
      </c>
      <c r="G613" s="21" t="str">
        <f aca="false">IF($H613="","",INDEX(DECKS!$F$2:$F$1201,$H613))</f>
        <v/>
      </c>
      <c r="H613" s="11" t="str">
        <f aca="false">IFERROR(MATCH(ROW()-1,DECKS!$O$2:$O$1201,0),"")</f>
        <v/>
      </c>
      <c r="I613" s="11" t="str">
        <f aca="false">IF(C613="","",G613&amp;" "&amp;D613&amp;" ("&amp;C613&amp;")")</f>
        <v/>
      </c>
    </row>
    <row r="614" customFormat="false" ht="15" hidden="false" customHeight="false" outlineLevel="0" collapsed="false">
      <c r="A614" s="16"/>
      <c r="B614" s="11" t="str">
        <f aca="false">IF($H614="","",INDEX(DECKS!$A$2:$A$1201,$H614))</f>
        <v/>
      </c>
      <c r="C614" s="11" t="str">
        <f aca="false">IF($H614="","",INDEX(DECKS!$B$2:$B$1201,$H614))</f>
        <v/>
      </c>
      <c r="D614" s="11" t="str">
        <f aca="false">IF($H614="","",INDEX(DECKS!$C$2:$C$1201,$H614))</f>
        <v/>
      </c>
      <c r="E614" s="16" t="str">
        <f aca="false">IF($H614="","",INDEX(DECKS!$D$2:$D$1201,$H614))</f>
        <v/>
      </c>
      <c r="F614" s="16" t="str">
        <f aca="false">IF($H614="","",INDEX(DECKS!$E$2:$E$1201,$H614))</f>
        <v/>
      </c>
      <c r="G614" s="21" t="str">
        <f aca="false">IF($H614="","",INDEX(DECKS!$F$2:$F$1201,$H614))</f>
        <v/>
      </c>
      <c r="H614" s="11" t="str">
        <f aca="false">IFERROR(MATCH(ROW()-1,DECKS!$O$2:$O$1201,0),"")</f>
        <v/>
      </c>
      <c r="I614" s="11" t="str">
        <f aca="false">IF(C614="","",G614&amp;" "&amp;D614&amp;" ("&amp;C614&amp;")")</f>
        <v/>
      </c>
    </row>
    <row r="615" customFormat="false" ht="15" hidden="false" customHeight="false" outlineLevel="0" collapsed="false">
      <c r="A615" s="16"/>
      <c r="B615" s="11" t="str">
        <f aca="false">IF($H615="","",INDEX(DECKS!$A$2:$A$1201,$H615))</f>
        <v/>
      </c>
      <c r="C615" s="11" t="str">
        <f aca="false">IF($H615="","",INDEX(DECKS!$B$2:$B$1201,$H615))</f>
        <v/>
      </c>
      <c r="D615" s="11" t="str">
        <f aca="false">IF($H615="","",INDEX(DECKS!$C$2:$C$1201,$H615))</f>
        <v/>
      </c>
      <c r="E615" s="16" t="str">
        <f aca="false">IF($H615="","",INDEX(DECKS!$D$2:$D$1201,$H615))</f>
        <v/>
      </c>
      <c r="F615" s="16" t="str">
        <f aca="false">IF($H615="","",INDEX(DECKS!$E$2:$E$1201,$H615))</f>
        <v/>
      </c>
      <c r="G615" s="21" t="str">
        <f aca="false">IF($H615="","",INDEX(DECKS!$F$2:$F$1201,$H615))</f>
        <v/>
      </c>
      <c r="H615" s="11" t="str">
        <f aca="false">IFERROR(MATCH(ROW()-1,DECKS!$O$2:$O$1201,0),"")</f>
        <v/>
      </c>
      <c r="I615" s="11" t="str">
        <f aca="false">IF(C615="","",G615&amp;" "&amp;D615&amp;" ("&amp;C615&amp;")")</f>
        <v/>
      </c>
    </row>
    <row r="616" customFormat="false" ht="15" hidden="false" customHeight="false" outlineLevel="0" collapsed="false">
      <c r="A616" s="16"/>
      <c r="B616" s="11" t="str">
        <f aca="false">IF($H616="","",INDEX(DECKS!$A$2:$A$1201,$H616))</f>
        <v/>
      </c>
      <c r="C616" s="11" t="str">
        <f aca="false">IF($H616="","",INDEX(DECKS!$B$2:$B$1201,$H616))</f>
        <v/>
      </c>
      <c r="D616" s="11" t="str">
        <f aca="false">IF($H616="","",INDEX(DECKS!$C$2:$C$1201,$H616))</f>
        <v/>
      </c>
      <c r="E616" s="16" t="str">
        <f aca="false">IF($H616="","",INDEX(DECKS!$D$2:$D$1201,$H616))</f>
        <v/>
      </c>
      <c r="F616" s="16" t="str">
        <f aca="false">IF($H616="","",INDEX(DECKS!$E$2:$E$1201,$H616))</f>
        <v/>
      </c>
      <c r="G616" s="21" t="str">
        <f aca="false">IF($H616="","",INDEX(DECKS!$F$2:$F$1201,$H616))</f>
        <v/>
      </c>
      <c r="H616" s="11" t="str">
        <f aca="false">IFERROR(MATCH(ROW()-1,DECKS!$O$2:$O$1201,0),"")</f>
        <v/>
      </c>
      <c r="I616" s="11" t="str">
        <f aca="false">IF(C616="","",G616&amp;" "&amp;D616&amp;" ("&amp;C616&amp;")")</f>
        <v/>
      </c>
    </row>
    <row r="617" customFormat="false" ht="15" hidden="false" customHeight="false" outlineLevel="0" collapsed="false">
      <c r="A617" s="16"/>
      <c r="B617" s="11" t="str">
        <f aca="false">IF($H617="","",INDEX(DECKS!$A$2:$A$1201,$H617))</f>
        <v/>
      </c>
      <c r="C617" s="11" t="str">
        <f aca="false">IF($H617="","",INDEX(DECKS!$B$2:$B$1201,$H617))</f>
        <v/>
      </c>
      <c r="D617" s="11" t="str">
        <f aca="false">IF($H617="","",INDEX(DECKS!$C$2:$C$1201,$H617))</f>
        <v/>
      </c>
      <c r="E617" s="16" t="str">
        <f aca="false">IF($H617="","",INDEX(DECKS!$D$2:$D$1201,$H617))</f>
        <v/>
      </c>
      <c r="F617" s="16" t="str">
        <f aca="false">IF($H617="","",INDEX(DECKS!$E$2:$E$1201,$H617))</f>
        <v/>
      </c>
      <c r="G617" s="21" t="str">
        <f aca="false">IF($H617="","",INDEX(DECKS!$F$2:$F$1201,$H617))</f>
        <v/>
      </c>
      <c r="H617" s="11" t="str">
        <f aca="false">IFERROR(MATCH(ROW()-1,DECKS!$O$2:$O$1201,0),"")</f>
        <v/>
      </c>
      <c r="I617" s="11" t="str">
        <f aca="false">IF(C617="","",G617&amp;" "&amp;D617&amp;" ("&amp;C617&amp;")")</f>
        <v/>
      </c>
    </row>
    <row r="618" customFormat="false" ht="15" hidden="false" customHeight="false" outlineLevel="0" collapsed="false">
      <c r="A618" s="16"/>
      <c r="B618" s="11" t="str">
        <f aca="false">IF($H618="","",INDEX(DECKS!$A$2:$A$1201,$H618))</f>
        <v/>
      </c>
      <c r="C618" s="11" t="str">
        <f aca="false">IF($H618="","",INDEX(DECKS!$B$2:$B$1201,$H618))</f>
        <v/>
      </c>
      <c r="D618" s="11" t="str">
        <f aca="false">IF($H618="","",INDEX(DECKS!$C$2:$C$1201,$H618))</f>
        <v/>
      </c>
      <c r="E618" s="16" t="str">
        <f aca="false">IF($H618="","",INDEX(DECKS!$D$2:$D$1201,$H618))</f>
        <v/>
      </c>
      <c r="F618" s="16" t="str">
        <f aca="false">IF($H618="","",INDEX(DECKS!$E$2:$E$1201,$H618))</f>
        <v/>
      </c>
      <c r="G618" s="21" t="str">
        <f aca="false">IF($H618="","",INDEX(DECKS!$F$2:$F$1201,$H618))</f>
        <v/>
      </c>
      <c r="H618" s="11" t="str">
        <f aca="false">IFERROR(MATCH(ROW()-1,DECKS!$O$2:$O$1201,0),"")</f>
        <v/>
      </c>
      <c r="I618" s="11" t="str">
        <f aca="false">IF(C618="","",G618&amp;" "&amp;D618&amp;" ("&amp;C618&amp;")")</f>
        <v/>
      </c>
    </row>
    <row r="619" customFormat="false" ht="15" hidden="false" customHeight="false" outlineLevel="0" collapsed="false">
      <c r="A619" s="16"/>
      <c r="B619" s="11" t="str">
        <f aca="false">IF($H619="","",INDEX(DECKS!$A$2:$A$1201,$H619))</f>
        <v/>
      </c>
      <c r="C619" s="11" t="str">
        <f aca="false">IF($H619="","",INDEX(DECKS!$B$2:$B$1201,$H619))</f>
        <v/>
      </c>
      <c r="D619" s="11" t="str">
        <f aca="false">IF($H619="","",INDEX(DECKS!$C$2:$C$1201,$H619))</f>
        <v/>
      </c>
      <c r="E619" s="16" t="str">
        <f aca="false">IF($H619="","",INDEX(DECKS!$D$2:$D$1201,$H619))</f>
        <v/>
      </c>
      <c r="F619" s="16" t="str">
        <f aca="false">IF($H619="","",INDEX(DECKS!$E$2:$E$1201,$H619))</f>
        <v/>
      </c>
      <c r="G619" s="21" t="str">
        <f aca="false">IF($H619="","",INDEX(DECKS!$F$2:$F$1201,$H619))</f>
        <v/>
      </c>
      <c r="H619" s="11" t="str">
        <f aca="false">IFERROR(MATCH(ROW()-1,DECKS!$O$2:$O$1201,0),"")</f>
        <v/>
      </c>
      <c r="I619" s="11" t="str">
        <f aca="false">IF(C619="","",G619&amp;" "&amp;D619&amp;" ("&amp;C619&amp;")")</f>
        <v/>
      </c>
    </row>
    <row r="620" customFormat="false" ht="15" hidden="false" customHeight="false" outlineLevel="0" collapsed="false">
      <c r="A620" s="16"/>
      <c r="B620" s="11" t="str">
        <f aca="false">IF($H620="","",INDEX(DECKS!$A$2:$A$1201,$H620))</f>
        <v/>
      </c>
      <c r="C620" s="11" t="str">
        <f aca="false">IF($H620="","",INDEX(DECKS!$B$2:$B$1201,$H620))</f>
        <v/>
      </c>
      <c r="D620" s="11" t="str">
        <f aca="false">IF($H620="","",INDEX(DECKS!$C$2:$C$1201,$H620))</f>
        <v/>
      </c>
      <c r="E620" s="16" t="str">
        <f aca="false">IF($H620="","",INDEX(DECKS!$D$2:$D$1201,$H620))</f>
        <v/>
      </c>
      <c r="F620" s="16" t="str">
        <f aca="false">IF($H620="","",INDEX(DECKS!$E$2:$E$1201,$H620))</f>
        <v/>
      </c>
      <c r="G620" s="21" t="str">
        <f aca="false">IF($H620="","",INDEX(DECKS!$F$2:$F$1201,$H620))</f>
        <v/>
      </c>
      <c r="H620" s="11" t="str">
        <f aca="false">IFERROR(MATCH(ROW()-1,DECKS!$O$2:$O$1201,0),"")</f>
        <v/>
      </c>
      <c r="I620" s="11" t="str">
        <f aca="false">IF(C620="","",G620&amp;" "&amp;D620&amp;" ("&amp;C620&amp;")")</f>
        <v/>
      </c>
    </row>
    <row r="621" customFormat="false" ht="15" hidden="false" customHeight="false" outlineLevel="0" collapsed="false">
      <c r="A621" s="16"/>
      <c r="B621" s="11" t="str">
        <f aca="false">IF($H621="","",INDEX(DECKS!$A$2:$A$1201,$H621))</f>
        <v/>
      </c>
      <c r="C621" s="11" t="str">
        <f aca="false">IF($H621="","",INDEX(DECKS!$B$2:$B$1201,$H621))</f>
        <v/>
      </c>
      <c r="D621" s="11" t="str">
        <f aca="false">IF($H621="","",INDEX(DECKS!$C$2:$C$1201,$H621))</f>
        <v/>
      </c>
      <c r="E621" s="16" t="str">
        <f aca="false">IF($H621="","",INDEX(DECKS!$D$2:$D$1201,$H621))</f>
        <v/>
      </c>
      <c r="F621" s="16" t="str">
        <f aca="false">IF($H621="","",INDEX(DECKS!$E$2:$E$1201,$H621))</f>
        <v/>
      </c>
      <c r="G621" s="21" t="str">
        <f aca="false">IF($H621="","",INDEX(DECKS!$F$2:$F$1201,$H621))</f>
        <v/>
      </c>
      <c r="H621" s="11" t="str">
        <f aca="false">IFERROR(MATCH(ROW()-1,DECKS!$O$2:$O$1201,0),"")</f>
        <v/>
      </c>
      <c r="I621" s="11" t="str">
        <f aca="false">IF(C621="","",G621&amp;" "&amp;D621&amp;" ("&amp;C621&amp;")")</f>
        <v/>
      </c>
    </row>
    <row r="622" customFormat="false" ht="15" hidden="false" customHeight="false" outlineLevel="0" collapsed="false">
      <c r="A622" s="16"/>
      <c r="B622" s="11" t="str">
        <f aca="false">IF($H622="","",INDEX(DECKS!$A$2:$A$1201,$H622))</f>
        <v/>
      </c>
      <c r="C622" s="11" t="str">
        <f aca="false">IF($H622="","",INDEX(DECKS!$B$2:$B$1201,$H622))</f>
        <v/>
      </c>
      <c r="D622" s="11" t="str">
        <f aca="false">IF($H622="","",INDEX(DECKS!$C$2:$C$1201,$H622))</f>
        <v/>
      </c>
      <c r="E622" s="16" t="str">
        <f aca="false">IF($H622="","",INDEX(DECKS!$D$2:$D$1201,$H622))</f>
        <v/>
      </c>
      <c r="F622" s="16" t="str">
        <f aca="false">IF($H622="","",INDEX(DECKS!$E$2:$E$1201,$H622))</f>
        <v/>
      </c>
      <c r="G622" s="21" t="str">
        <f aca="false">IF($H622="","",INDEX(DECKS!$F$2:$F$1201,$H622))</f>
        <v/>
      </c>
      <c r="H622" s="11" t="str">
        <f aca="false">IFERROR(MATCH(ROW()-1,DECKS!$O$2:$O$1201,0),"")</f>
        <v/>
      </c>
      <c r="I622" s="11" t="str">
        <f aca="false">IF(C622="","",G622&amp;" "&amp;D622&amp;" ("&amp;C622&amp;")")</f>
        <v/>
      </c>
    </row>
    <row r="623" customFormat="false" ht="15" hidden="false" customHeight="false" outlineLevel="0" collapsed="false">
      <c r="A623" s="16"/>
      <c r="B623" s="11" t="str">
        <f aca="false">IF($H623="","",INDEX(DECKS!$A$2:$A$1201,$H623))</f>
        <v/>
      </c>
      <c r="C623" s="11" t="str">
        <f aca="false">IF($H623="","",INDEX(DECKS!$B$2:$B$1201,$H623))</f>
        <v/>
      </c>
      <c r="D623" s="11" t="str">
        <f aca="false">IF($H623="","",INDEX(DECKS!$C$2:$C$1201,$H623))</f>
        <v/>
      </c>
      <c r="E623" s="16" t="str">
        <f aca="false">IF($H623="","",INDEX(DECKS!$D$2:$D$1201,$H623))</f>
        <v/>
      </c>
      <c r="F623" s="16" t="str">
        <f aca="false">IF($H623="","",INDEX(DECKS!$E$2:$E$1201,$H623))</f>
        <v/>
      </c>
      <c r="G623" s="21" t="str">
        <f aca="false">IF($H623="","",INDEX(DECKS!$F$2:$F$1201,$H623))</f>
        <v/>
      </c>
      <c r="H623" s="11" t="str">
        <f aca="false">IFERROR(MATCH(ROW()-1,DECKS!$O$2:$O$1201,0),"")</f>
        <v/>
      </c>
      <c r="I623" s="11" t="str">
        <f aca="false">IF(C623="","",G623&amp;" "&amp;D623&amp;" ("&amp;C623&amp;")")</f>
        <v/>
      </c>
    </row>
    <row r="624" customFormat="false" ht="15" hidden="false" customHeight="false" outlineLevel="0" collapsed="false">
      <c r="A624" s="16"/>
      <c r="B624" s="11" t="str">
        <f aca="false">IF($H624="","",INDEX(DECKS!$A$2:$A$1201,$H624))</f>
        <v/>
      </c>
      <c r="C624" s="11" t="str">
        <f aca="false">IF($H624="","",INDEX(DECKS!$B$2:$B$1201,$H624))</f>
        <v/>
      </c>
      <c r="D624" s="11" t="str">
        <f aca="false">IF($H624="","",INDEX(DECKS!$C$2:$C$1201,$H624))</f>
        <v/>
      </c>
      <c r="E624" s="16" t="str">
        <f aca="false">IF($H624="","",INDEX(DECKS!$D$2:$D$1201,$H624))</f>
        <v/>
      </c>
      <c r="F624" s="16" t="str">
        <f aca="false">IF($H624="","",INDEX(DECKS!$E$2:$E$1201,$H624))</f>
        <v/>
      </c>
      <c r="G624" s="21" t="str">
        <f aca="false">IF($H624="","",INDEX(DECKS!$F$2:$F$1201,$H624))</f>
        <v/>
      </c>
      <c r="H624" s="11" t="str">
        <f aca="false">IFERROR(MATCH(ROW()-1,DECKS!$O$2:$O$1201,0),"")</f>
        <v/>
      </c>
      <c r="I624" s="11" t="str">
        <f aca="false">IF(C624="","",G624&amp;" "&amp;D624&amp;" ("&amp;C624&amp;")")</f>
        <v/>
      </c>
    </row>
    <row r="625" customFormat="false" ht="15" hidden="false" customHeight="false" outlineLevel="0" collapsed="false">
      <c r="A625" s="16"/>
      <c r="B625" s="11" t="str">
        <f aca="false">IF($H625="","",INDEX(DECKS!$A$2:$A$1201,$H625))</f>
        <v/>
      </c>
      <c r="C625" s="11" t="str">
        <f aca="false">IF($H625="","",INDEX(DECKS!$B$2:$B$1201,$H625))</f>
        <v/>
      </c>
      <c r="D625" s="11" t="str">
        <f aca="false">IF($H625="","",INDEX(DECKS!$C$2:$C$1201,$H625))</f>
        <v/>
      </c>
      <c r="E625" s="16" t="str">
        <f aca="false">IF($H625="","",INDEX(DECKS!$D$2:$D$1201,$H625))</f>
        <v/>
      </c>
      <c r="F625" s="16" t="str">
        <f aca="false">IF($H625="","",INDEX(DECKS!$E$2:$E$1201,$H625))</f>
        <v/>
      </c>
      <c r="G625" s="21" t="str">
        <f aca="false">IF($H625="","",INDEX(DECKS!$F$2:$F$1201,$H625))</f>
        <v/>
      </c>
      <c r="H625" s="11" t="str">
        <f aca="false">IFERROR(MATCH(ROW()-1,DECKS!$O$2:$O$1201,0),"")</f>
        <v/>
      </c>
      <c r="I625" s="11" t="str">
        <f aca="false">IF(C625="","",G625&amp;" "&amp;D625&amp;" ("&amp;C625&amp;")")</f>
        <v/>
      </c>
    </row>
    <row r="626" customFormat="false" ht="15" hidden="false" customHeight="false" outlineLevel="0" collapsed="false">
      <c r="A626" s="16"/>
      <c r="B626" s="11" t="str">
        <f aca="false">IF($H626="","",INDEX(DECKS!$A$2:$A$1201,$H626))</f>
        <v/>
      </c>
      <c r="C626" s="11" t="str">
        <f aca="false">IF($H626="","",INDEX(DECKS!$B$2:$B$1201,$H626))</f>
        <v/>
      </c>
      <c r="D626" s="11" t="str">
        <f aca="false">IF($H626="","",INDEX(DECKS!$C$2:$C$1201,$H626))</f>
        <v/>
      </c>
      <c r="E626" s="16" t="str">
        <f aca="false">IF($H626="","",INDEX(DECKS!$D$2:$D$1201,$H626))</f>
        <v/>
      </c>
      <c r="F626" s="16" t="str">
        <f aca="false">IF($H626="","",INDEX(DECKS!$E$2:$E$1201,$H626))</f>
        <v/>
      </c>
      <c r="G626" s="21" t="str">
        <f aca="false">IF($H626="","",INDEX(DECKS!$F$2:$F$1201,$H626))</f>
        <v/>
      </c>
      <c r="H626" s="11" t="str">
        <f aca="false">IFERROR(MATCH(ROW()-1,DECKS!$O$2:$O$1201,0),"")</f>
        <v/>
      </c>
      <c r="I626" s="11" t="str">
        <f aca="false">IF(C626="","",G626&amp;" "&amp;D626&amp;" ("&amp;C626&amp;")")</f>
        <v/>
      </c>
    </row>
    <row r="627" customFormat="false" ht="15" hidden="false" customHeight="false" outlineLevel="0" collapsed="false">
      <c r="A627" s="16"/>
      <c r="B627" s="11" t="str">
        <f aca="false">IF($H627="","",INDEX(DECKS!$A$2:$A$1201,$H627))</f>
        <v/>
      </c>
      <c r="C627" s="11" t="str">
        <f aca="false">IF($H627="","",INDEX(DECKS!$B$2:$B$1201,$H627))</f>
        <v/>
      </c>
      <c r="D627" s="11" t="str">
        <f aca="false">IF($H627="","",INDEX(DECKS!$C$2:$C$1201,$H627))</f>
        <v/>
      </c>
      <c r="E627" s="16" t="str">
        <f aca="false">IF($H627="","",INDEX(DECKS!$D$2:$D$1201,$H627))</f>
        <v/>
      </c>
      <c r="F627" s="16" t="str">
        <f aca="false">IF($H627="","",INDEX(DECKS!$E$2:$E$1201,$H627))</f>
        <v/>
      </c>
      <c r="G627" s="21" t="str">
        <f aca="false">IF($H627="","",INDEX(DECKS!$F$2:$F$1201,$H627))</f>
        <v/>
      </c>
      <c r="H627" s="11" t="str">
        <f aca="false">IFERROR(MATCH(ROW()-1,DECKS!$O$2:$O$1201,0),"")</f>
        <v/>
      </c>
      <c r="I627" s="11" t="str">
        <f aca="false">IF(C627="","",G627&amp;" "&amp;D627&amp;" ("&amp;C627&amp;")")</f>
        <v/>
      </c>
    </row>
    <row r="628" customFormat="false" ht="15" hidden="false" customHeight="false" outlineLevel="0" collapsed="false">
      <c r="A628" s="16"/>
      <c r="B628" s="11" t="str">
        <f aca="false">IF($H628="","",INDEX(DECKS!$A$2:$A$1201,$H628))</f>
        <v/>
      </c>
      <c r="C628" s="11" t="str">
        <f aca="false">IF($H628="","",INDEX(DECKS!$B$2:$B$1201,$H628))</f>
        <v/>
      </c>
      <c r="D628" s="11" t="str">
        <f aca="false">IF($H628="","",INDEX(DECKS!$C$2:$C$1201,$H628))</f>
        <v/>
      </c>
      <c r="E628" s="16" t="str">
        <f aca="false">IF($H628="","",INDEX(DECKS!$D$2:$D$1201,$H628))</f>
        <v/>
      </c>
      <c r="F628" s="16" t="str">
        <f aca="false">IF($H628="","",INDEX(DECKS!$E$2:$E$1201,$H628))</f>
        <v/>
      </c>
      <c r="G628" s="21" t="str">
        <f aca="false">IF($H628="","",INDEX(DECKS!$F$2:$F$1201,$H628))</f>
        <v/>
      </c>
      <c r="H628" s="11" t="str">
        <f aca="false">IFERROR(MATCH(ROW()-1,DECKS!$O$2:$O$1201,0),"")</f>
        <v/>
      </c>
      <c r="I628" s="11" t="str">
        <f aca="false">IF(C628="","",G628&amp;" "&amp;D628&amp;" ("&amp;C628&amp;")")</f>
        <v/>
      </c>
    </row>
    <row r="629" customFormat="false" ht="15" hidden="false" customHeight="false" outlineLevel="0" collapsed="false">
      <c r="A629" s="16"/>
      <c r="B629" s="11" t="str">
        <f aca="false">IF($H629="","",INDEX(DECKS!$A$2:$A$1201,$H629))</f>
        <v/>
      </c>
      <c r="C629" s="11" t="str">
        <f aca="false">IF($H629="","",INDEX(DECKS!$B$2:$B$1201,$H629))</f>
        <v/>
      </c>
      <c r="D629" s="11" t="str">
        <f aca="false">IF($H629="","",INDEX(DECKS!$C$2:$C$1201,$H629))</f>
        <v/>
      </c>
      <c r="E629" s="16" t="str">
        <f aca="false">IF($H629="","",INDEX(DECKS!$D$2:$D$1201,$H629))</f>
        <v/>
      </c>
      <c r="F629" s="16" t="str">
        <f aca="false">IF($H629="","",INDEX(DECKS!$E$2:$E$1201,$H629))</f>
        <v/>
      </c>
      <c r="G629" s="21" t="str">
        <f aca="false">IF($H629="","",INDEX(DECKS!$F$2:$F$1201,$H629))</f>
        <v/>
      </c>
      <c r="H629" s="11" t="str">
        <f aca="false">IFERROR(MATCH(ROW()-1,DECKS!$O$2:$O$1201,0),"")</f>
        <v/>
      </c>
      <c r="I629" s="11" t="str">
        <f aca="false">IF(C629="","",G629&amp;" "&amp;D629&amp;" ("&amp;C629&amp;")")</f>
        <v/>
      </c>
    </row>
    <row r="630" customFormat="false" ht="15" hidden="false" customHeight="false" outlineLevel="0" collapsed="false">
      <c r="A630" s="16"/>
      <c r="B630" s="11" t="str">
        <f aca="false">IF($H630="","",INDEX(DECKS!$A$2:$A$1201,$H630))</f>
        <v/>
      </c>
      <c r="C630" s="11" t="str">
        <f aca="false">IF($H630="","",INDEX(DECKS!$B$2:$B$1201,$H630))</f>
        <v/>
      </c>
      <c r="D630" s="11" t="str">
        <f aca="false">IF($H630="","",INDEX(DECKS!$C$2:$C$1201,$H630))</f>
        <v/>
      </c>
      <c r="E630" s="16" t="str">
        <f aca="false">IF($H630="","",INDEX(DECKS!$D$2:$D$1201,$H630))</f>
        <v/>
      </c>
      <c r="F630" s="16" t="str">
        <f aca="false">IF($H630="","",INDEX(DECKS!$E$2:$E$1201,$H630))</f>
        <v/>
      </c>
      <c r="G630" s="21" t="str">
        <f aca="false">IF($H630="","",INDEX(DECKS!$F$2:$F$1201,$H630))</f>
        <v/>
      </c>
      <c r="H630" s="11" t="str">
        <f aca="false">IFERROR(MATCH(ROW()-1,DECKS!$O$2:$O$1201,0),"")</f>
        <v/>
      </c>
      <c r="I630" s="11" t="str">
        <f aca="false">IF(C630="","",G630&amp;" "&amp;D630&amp;" ("&amp;C630&amp;")")</f>
        <v/>
      </c>
    </row>
    <row r="631" customFormat="false" ht="15" hidden="false" customHeight="false" outlineLevel="0" collapsed="false">
      <c r="A631" s="16"/>
      <c r="B631" s="11" t="str">
        <f aca="false">IF($H631="","",INDEX(DECKS!$A$2:$A$1201,$H631))</f>
        <v/>
      </c>
      <c r="C631" s="11" t="str">
        <f aca="false">IF($H631="","",INDEX(DECKS!$B$2:$B$1201,$H631))</f>
        <v/>
      </c>
      <c r="D631" s="11" t="str">
        <f aca="false">IF($H631="","",INDEX(DECKS!$C$2:$C$1201,$H631))</f>
        <v/>
      </c>
      <c r="E631" s="16" t="str">
        <f aca="false">IF($H631="","",INDEX(DECKS!$D$2:$D$1201,$H631))</f>
        <v/>
      </c>
      <c r="F631" s="16" t="str">
        <f aca="false">IF($H631="","",INDEX(DECKS!$E$2:$E$1201,$H631))</f>
        <v/>
      </c>
      <c r="G631" s="21" t="str">
        <f aca="false">IF($H631="","",INDEX(DECKS!$F$2:$F$1201,$H631))</f>
        <v/>
      </c>
      <c r="H631" s="11" t="str">
        <f aca="false">IFERROR(MATCH(ROW()-1,DECKS!$O$2:$O$1201,0),"")</f>
        <v/>
      </c>
      <c r="I631" s="11" t="str">
        <f aca="false">IF(C631="","",G631&amp;" "&amp;D631&amp;" ("&amp;C631&amp;")")</f>
        <v/>
      </c>
    </row>
    <row r="632" customFormat="false" ht="15" hidden="false" customHeight="false" outlineLevel="0" collapsed="false">
      <c r="A632" s="16"/>
      <c r="B632" s="11" t="str">
        <f aca="false">IF($H632="","",INDEX(DECKS!$A$2:$A$1201,$H632))</f>
        <v/>
      </c>
      <c r="C632" s="11" t="str">
        <f aca="false">IF($H632="","",INDEX(DECKS!$B$2:$B$1201,$H632))</f>
        <v/>
      </c>
      <c r="D632" s="11" t="str">
        <f aca="false">IF($H632="","",INDEX(DECKS!$C$2:$C$1201,$H632))</f>
        <v/>
      </c>
      <c r="E632" s="16" t="str">
        <f aca="false">IF($H632="","",INDEX(DECKS!$D$2:$D$1201,$H632))</f>
        <v/>
      </c>
      <c r="F632" s="16" t="str">
        <f aca="false">IF($H632="","",INDEX(DECKS!$E$2:$E$1201,$H632))</f>
        <v/>
      </c>
      <c r="G632" s="21" t="str">
        <f aca="false">IF($H632="","",INDEX(DECKS!$F$2:$F$1201,$H632))</f>
        <v/>
      </c>
      <c r="H632" s="11" t="str">
        <f aca="false">IFERROR(MATCH(ROW()-1,DECKS!$O$2:$O$1201,0),"")</f>
        <v/>
      </c>
      <c r="I632" s="11" t="str">
        <f aca="false">IF(C632="","",G632&amp;" "&amp;D632&amp;" ("&amp;C632&amp;")")</f>
        <v/>
      </c>
    </row>
    <row r="633" customFormat="false" ht="15" hidden="false" customHeight="false" outlineLevel="0" collapsed="false">
      <c r="A633" s="16"/>
      <c r="B633" s="11" t="str">
        <f aca="false">IF($H633="","",INDEX(DECKS!$A$2:$A$1201,$H633))</f>
        <v/>
      </c>
      <c r="C633" s="11" t="str">
        <f aca="false">IF($H633="","",INDEX(DECKS!$B$2:$B$1201,$H633))</f>
        <v/>
      </c>
      <c r="D633" s="11" t="str">
        <f aca="false">IF($H633="","",INDEX(DECKS!$C$2:$C$1201,$H633))</f>
        <v/>
      </c>
      <c r="E633" s="16" t="str">
        <f aca="false">IF($H633="","",INDEX(DECKS!$D$2:$D$1201,$H633))</f>
        <v/>
      </c>
      <c r="F633" s="16" t="str">
        <f aca="false">IF($H633="","",INDEX(DECKS!$E$2:$E$1201,$H633))</f>
        <v/>
      </c>
      <c r="G633" s="21" t="str">
        <f aca="false">IF($H633="","",INDEX(DECKS!$F$2:$F$1201,$H633))</f>
        <v/>
      </c>
      <c r="H633" s="11" t="str">
        <f aca="false">IFERROR(MATCH(ROW()-1,DECKS!$O$2:$O$1201,0),"")</f>
        <v/>
      </c>
      <c r="I633" s="11" t="str">
        <f aca="false">IF(C633="","",G633&amp;" "&amp;D633&amp;" ("&amp;C633&amp;")")</f>
        <v/>
      </c>
    </row>
    <row r="634" customFormat="false" ht="15" hidden="false" customHeight="false" outlineLevel="0" collapsed="false">
      <c r="A634" s="16"/>
      <c r="B634" s="11" t="str">
        <f aca="false">IF($H634="","",INDEX(DECKS!$A$2:$A$1201,$H634))</f>
        <v/>
      </c>
      <c r="C634" s="11" t="str">
        <f aca="false">IF($H634="","",INDEX(DECKS!$B$2:$B$1201,$H634))</f>
        <v/>
      </c>
      <c r="D634" s="11" t="str">
        <f aca="false">IF($H634="","",INDEX(DECKS!$C$2:$C$1201,$H634))</f>
        <v/>
      </c>
      <c r="E634" s="16" t="str">
        <f aca="false">IF($H634="","",INDEX(DECKS!$D$2:$D$1201,$H634))</f>
        <v/>
      </c>
      <c r="F634" s="16" t="str">
        <f aca="false">IF($H634="","",INDEX(DECKS!$E$2:$E$1201,$H634))</f>
        <v/>
      </c>
      <c r="G634" s="21" t="str">
        <f aca="false">IF($H634="","",INDEX(DECKS!$F$2:$F$1201,$H634))</f>
        <v/>
      </c>
      <c r="H634" s="11" t="str">
        <f aca="false">IFERROR(MATCH(ROW()-1,DECKS!$O$2:$O$1201,0),"")</f>
        <v/>
      </c>
      <c r="I634" s="11" t="str">
        <f aca="false">IF(C634="","",G634&amp;" "&amp;D634&amp;" ("&amp;C634&amp;")")</f>
        <v/>
      </c>
    </row>
    <row r="635" customFormat="false" ht="15" hidden="false" customHeight="false" outlineLevel="0" collapsed="false">
      <c r="A635" s="16"/>
      <c r="B635" s="11" t="str">
        <f aca="false">IF($H635="","",INDEX(DECKS!$A$2:$A$1201,$H635))</f>
        <v/>
      </c>
      <c r="C635" s="11" t="str">
        <f aca="false">IF($H635="","",INDEX(DECKS!$B$2:$B$1201,$H635))</f>
        <v/>
      </c>
      <c r="D635" s="11" t="str">
        <f aca="false">IF($H635="","",INDEX(DECKS!$C$2:$C$1201,$H635))</f>
        <v/>
      </c>
      <c r="E635" s="16" t="str">
        <f aca="false">IF($H635="","",INDEX(DECKS!$D$2:$D$1201,$H635))</f>
        <v/>
      </c>
      <c r="F635" s="16" t="str">
        <f aca="false">IF($H635="","",INDEX(DECKS!$E$2:$E$1201,$H635))</f>
        <v/>
      </c>
      <c r="G635" s="21" t="str">
        <f aca="false">IF($H635="","",INDEX(DECKS!$F$2:$F$1201,$H635))</f>
        <v/>
      </c>
      <c r="H635" s="11" t="str">
        <f aca="false">IFERROR(MATCH(ROW()-1,DECKS!$O$2:$O$1201,0),"")</f>
        <v/>
      </c>
      <c r="I635" s="11" t="str">
        <f aca="false">IF(C635="","",G635&amp;" "&amp;D635&amp;" ("&amp;C635&amp;")")</f>
        <v/>
      </c>
    </row>
    <row r="636" customFormat="false" ht="15" hidden="false" customHeight="false" outlineLevel="0" collapsed="false">
      <c r="A636" s="16"/>
      <c r="B636" s="11" t="str">
        <f aca="false">IF($H636="","",INDEX(DECKS!$A$2:$A$1201,$H636))</f>
        <v/>
      </c>
      <c r="C636" s="11" t="str">
        <f aca="false">IF($H636="","",INDEX(DECKS!$B$2:$B$1201,$H636))</f>
        <v/>
      </c>
      <c r="D636" s="11" t="str">
        <f aca="false">IF($H636="","",INDEX(DECKS!$C$2:$C$1201,$H636))</f>
        <v/>
      </c>
      <c r="E636" s="16" t="str">
        <f aca="false">IF($H636="","",INDEX(DECKS!$D$2:$D$1201,$H636))</f>
        <v/>
      </c>
      <c r="F636" s="16" t="str">
        <f aca="false">IF($H636="","",INDEX(DECKS!$E$2:$E$1201,$H636))</f>
        <v/>
      </c>
      <c r="G636" s="21" t="str">
        <f aca="false">IF($H636="","",INDEX(DECKS!$F$2:$F$1201,$H636))</f>
        <v/>
      </c>
      <c r="H636" s="11" t="str">
        <f aca="false">IFERROR(MATCH(ROW()-1,DECKS!$O$2:$O$1201,0),"")</f>
        <v/>
      </c>
      <c r="I636" s="11" t="str">
        <f aca="false">IF(C636="","",G636&amp;" "&amp;D636&amp;" ("&amp;C636&amp;")")</f>
        <v/>
      </c>
    </row>
    <row r="637" customFormat="false" ht="15" hidden="false" customHeight="false" outlineLevel="0" collapsed="false">
      <c r="A637" s="16"/>
      <c r="B637" s="11" t="str">
        <f aca="false">IF($H637="","",INDEX(DECKS!$A$2:$A$1201,$H637))</f>
        <v/>
      </c>
      <c r="C637" s="11" t="str">
        <f aca="false">IF($H637="","",INDEX(DECKS!$B$2:$B$1201,$H637))</f>
        <v/>
      </c>
      <c r="D637" s="11" t="str">
        <f aca="false">IF($H637="","",INDEX(DECKS!$C$2:$C$1201,$H637))</f>
        <v/>
      </c>
      <c r="E637" s="16" t="str">
        <f aca="false">IF($H637="","",INDEX(DECKS!$D$2:$D$1201,$H637))</f>
        <v/>
      </c>
      <c r="F637" s="16" t="str">
        <f aca="false">IF($H637="","",INDEX(DECKS!$E$2:$E$1201,$H637))</f>
        <v/>
      </c>
      <c r="G637" s="21" t="str">
        <f aca="false">IF($H637="","",INDEX(DECKS!$F$2:$F$1201,$H637))</f>
        <v/>
      </c>
      <c r="H637" s="11" t="str">
        <f aca="false">IFERROR(MATCH(ROW()-1,DECKS!$O$2:$O$1201,0),"")</f>
        <v/>
      </c>
      <c r="I637" s="11" t="str">
        <f aca="false">IF(C637="","",G637&amp;" "&amp;D637&amp;" ("&amp;C637&amp;")")</f>
        <v/>
      </c>
    </row>
    <row r="638" customFormat="false" ht="15" hidden="false" customHeight="false" outlineLevel="0" collapsed="false">
      <c r="A638" s="16"/>
      <c r="B638" s="11" t="str">
        <f aca="false">IF($H638="","",INDEX(DECKS!$A$2:$A$1201,$H638))</f>
        <v/>
      </c>
      <c r="C638" s="11" t="str">
        <f aca="false">IF($H638="","",INDEX(DECKS!$B$2:$B$1201,$H638))</f>
        <v/>
      </c>
      <c r="D638" s="11" t="str">
        <f aca="false">IF($H638="","",INDEX(DECKS!$C$2:$C$1201,$H638))</f>
        <v/>
      </c>
      <c r="E638" s="16" t="str">
        <f aca="false">IF($H638="","",INDEX(DECKS!$D$2:$D$1201,$H638))</f>
        <v/>
      </c>
      <c r="F638" s="16" t="str">
        <f aca="false">IF($H638="","",INDEX(DECKS!$E$2:$E$1201,$H638))</f>
        <v/>
      </c>
      <c r="G638" s="21" t="str">
        <f aca="false">IF($H638="","",INDEX(DECKS!$F$2:$F$1201,$H638))</f>
        <v/>
      </c>
      <c r="H638" s="11" t="str">
        <f aca="false">IFERROR(MATCH(ROW()-1,DECKS!$O$2:$O$1201,0),"")</f>
        <v/>
      </c>
      <c r="I638" s="11" t="str">
        <f aca="false">IF(C638="","",G638&amp;" "&amp;D638&amp;" ("&amp;C638&amp;")")</f>
        <v/>
      </c>
    </row>
    <row r="639" customFormat="false" ht="15" hidden="false" customHeight="false" outlineLevel="0" collapsed="false">
      <c r="A639" s="16"/>
      <c r="B639" s="11" t="str">
        <f aca="false">IF($H639="","",INDEX(DECKS!$A$2:$A$1201,$H639))</f>
        <v/>
      </c>
      <c r="C639" s="11" t="str">
        <f aca="false">IF($H639="","",INDEX(DECKS!$B$2:$B$1201,$H639))</f>
        <v/>
      </c>
      <c r="D639" s="11" t="str">
        <f aca="false">IF($H639="","",INDEX(DECKS!$C$2:$C$1201,$H639))</f>
        <v/>
      </c>
      <c r="E639" s="16" t="str">
        <f aca="false">IF($H639="","",INDEX(DECKS!$D$2:$D$1201,$H639))</f>
        <v/>
      </c>
      <c r="F639" s="16" t="str">
        <f aca="false">IF($H639="","",INDEX(DECKS!$E$2:$E$1201,$H639))</f>
        <v/>
      </c>
      <c r="G639" s="21" t="str">
        <f aca="false">IF($H639="","",INDEX(DECKS!$F$2:$F$1201,$H639))</f>
        <v/>
      </c>
      <c r="H639" s="11" t="str">
        <f aca="false">IFERROR(MATCH(ROW()-1,DECKS!$O$2:$O$1201,0),"")</f>
        <v/>
      </c>
      <c r="I639" s="11" t="str">
        <f aca="false">IF(C639="","",G639&amp;" "&amp;D639&amp;" ("&amp;C639&amp;")")</f>
        <v/>
      </c>
    </row>
    <row r="640" customFormat="false" ht="15" hidden="false" customHeight="false" outlineLevel="0" collapsed="false">
      <c r="A640" s="16"/>
      <c r="B640" s="11" t="str">
        <f aca="false">IF($H640="","",INDEX(DECKS!$A$2:$A$1201,$H640))</f>
        <v/>
      </c>
      <c r="C640" s="11" t="str">
        <f aca="false">IF($H640="","",INDEX(DECKS!$B$2:$B$1201,$H640))</f>
        <v/>
      </c>
      <c r="D640" s="11" t="str">
        <f aca="false">IF($H640="","",INDEX(DECKS!$C$2:$C$1201,$H640))</f>
        <v/>
      </c>
      <c r="E640" s="16" t="str">
        <f aca="false">IF($H640="","",INDEX(DECKS!$D$2:$D$1201,$H640))</f>
        <v/>
      </c>
      <c r="F640" s="16" t="str">
        <f aca="false">IF($H640="","",INDEX(DECKS!$E$2:$E$1201,$H640))</f>
        <v/>
      </c>
      <c r="G640" s="21" t="str">
        <f aca="false">IF($H640="","",INDEX(DECKS!$F$2:$F$1201,$H640))</f>
        <v/>
      </c>
      <c r="H640" s="11" t="str">
        <f aca="false">IFERROR(MATCH(ROW()-1,DECKS!$O$2:$O$1201,0),"")</f>
        <v/>
      </c>
      <c r="I640" s="11" t="str">
        <f aca="false">IF(C640="","",G640&amp;" "&amp;D640&amp;" ("&amp;C640&amp;")")</f>
        <v/>
      </c>
    </row>
    <row r="641" customFormat="false" ht="15" hidden="false" customHeight="false" outlineLevel="0" collapsed="false">
      <c r="A641" s="16"/>
      <c r="B641" s="11" t="str">
        <f aca="false">IF($H641="","",INDEX(DECKS!$A$2:$A$1201,$H641))</f>
        <v/>
      </c>
      <c r="C641" s="11" t="str">
        <f aca="false">IF($H641="","",INDEX(DECKS!$B$2:$B$1201,$H641))</f>
        <v/>
      </c>
      <c r="D641" s="11" t="str">
        <f aca="false">IF($H641="","",INDEX(DECKS!$C$2:$C$1201,$H641))</f>
        <v/>
      </c>
      <c r="E641" s="16" t="str">
        <f aca="false">IF($H641="","",INDEX(DECKS!$D$2:$D$1201,$H641))</f>
        <v/>
      </c>
      <c r="F641" s="16" t="str">
        <f aca="false">IF($H641="","",INDEX(DECKS!$E$2:$E$1201,$H641))</f>
        <v/>
      </c>
      <c r="G641" s="21" t="str">
        <f aca="false">IF($H641="","",INDEX(DECKS!$F$2:$F$1201,$H641))</f>
        <v/>
      </c>
      <c r="H641" s="11" t="str">
        <f aca="false">IFERROR(MATCH(ROW()-1,DECKS!$O$2:$O$1201,0),"")</f>
        <v/>
      </c>
      <c r="I641" s="11" t="str">
        <f aca="false">IF(C641="","",G641&amp;" "&amp;D641&amp;" ("&amp;C641&amp;")")</f>
        <v/>
      </c>
    </row>
    <row r="642" customFormat="false" ht="15" hidden="false" customHeight="false" outlineLevel="0" collapsed="false">
      <c r="A642" s="16"/>
      <c r="B642" s="11" t="str">
        <f aca="false">IF($H642="","",INDEX(DECKS!$A$2:$A$1201,$H642))</f>
        <v/>
      </c>
      <c r="C642" s="11" t="str">
        <f aca="false">IF($H642="","",INDEX(DECKS!$B$2:$B$1201,$H642))</f>
        <v/>
      </c>
      <c r="D642" s="11" t="str">
        <f aca="false">IF($H642="","",INDEX(DECKS!$C$2:$C$1201,$H642))</f>
        <v/>
      </c>
      <c r="E642" s="16" t="str">
        <f aca="false">IF($H642="","",INDEX(DECKS!$D$2:$D$1201,$H642))</f>
        <v/>
      </c>
      <c r="F642" s="16" t="str">
        <f aca="false">IF($H642="","",INDEX(DECKS!$E$2:$E$1201,$H642))</f>
        <v/>
      </c>
      <c r="G642" s="21" t="str">
        <f aca="false">IF($H642="","",INDEX(DECKS!$F$2:$F$1201,$H642))</f>
        <v/>
      </c>
      <c r="H642" s="11" t="str">
        <f aca="false">IFERROR(MATCH(ROW()-1,DECKS!$O$2:$O$1201,0),"")</f>
        <v/>
      </c>
      <c r="I642" s="11" t="str">
        <f aca="false">IF(C642="","",G642&amp;" "&amp;D642&amp;" ("&amp;C642&amp;")")</f>
        <v/>
      </c>
    </row>
    <row r="643" customFormat="false" ht="15" hidden="false" customHeight="false" outlineLevel="0" collapsed="false">
      <c r="A643" s="16"/>
      <c r="B643" s="11" t="str">
        <f aca="false">IF($H643="","",INDEX(DECKS!$A$2:$A$1201,$H643))</f>
        <v/>
      </c>
      <c r="C643" s="11" t="str">
        <f aca="false">IF($H643="","",INDEX(DECKS!$B$2:$B$1201,$H643))</f>
        <v/>
      </c>
      <c r="D643" s="11" t="str">
        <f aca="false">IF($H643="","",INDEX(DECKS!$C$2:$C$1201,$H643))</f>
        <v/>
      </c>
      <c r="E643" s="16" t="str">
        <f aca="false">IF($H643="","",INDEX(DECKS!$D$2:$D$1201,$H643))</f>
        <v/>
      </c>
      <c r="F643" s="16" t="str">
        <f aca="false">IF($H643="","",INDEX(DECKS!$E$2:$E$1201,$H643))</f>
        <v/>
      </c>
      <c r="G643" s="21" t="str">
        <f aca="false">IF($H643="","",INDEX(DECKS!$F$2:$F$1201,$H643))</f>
        <v/>
      </c>
      <c r="H643" s="11" t="str">
        <f aca="false">IFERROR(MATCH(ROW()-1,DECKS!$O$2:$O$1201,0),"")</f>
        <v/>
      </c>
      <c r="I643" s="11" t="str">
        <f aca="false">IF(C643="","",G643&amp;" "&amp;D643&amp;" ("&amp;C643&amp;")")</f>
        <v/>
      </c>
    </row>
    <row r="644" customFormat="false" ht="15" hidden="false" customHeight="false" outlineLevel="0" collapsed="false">
      <c r="A644" s="16"/>
      <c r="B644" s="11" t="str">
        <f aca="false">IF($H644="","",INDEX(DECKS!$A$2:$A$1201,$H644))</f>
        <v/>
      </c>
      <c r="C644" s="11" t="str">
        <f aca="false">IF($H644="","",INDEX(DECKS!$B$2:$B$1201,$H644))</f>
        <v/>
      </c>
      <c r="D644" s="11" t="str">
        <f aca="false">IF($H644="","",INDEX(DECKS!$C$2:$C$1201,$H644))</f>
        <v/>
      </c>
      <c r="E644" s="16" t="str">
        <f aca="false">IF($H644="","",INDEX(DECKS!$D$2:$D$1201,$H644))</f>
        <v/>
      </c>
      <c r="F644" s="16" t="str">
        <f aca="false">IF($H644="","",INDEX(DECKS!$E$2:$E$1201,$H644))</f>
        <v/>
      </c>
      <c r="G644" s="21" t="str">
        <f aca="false">IF($H644="","",INDEX(DECKS!$F$2:$F$1201,$H644))</f>
        <v/>
      </c>
      <c r="H644" s="11" t="str">
        <f aca="false">IFERROR(MATCH(ROW()-1,DECKS!$O$2:$O$1201,0),"")</f>
        <v/>
      </c>
      <c r="I644" s="11" t="str">
        <f aca="false">IF(C644="","",G644&amp;" "&amp;D644&amp;" ("&amp;C644&amp;")")</f>
        <v/>
      </c>
    </row>
    <row r="645" customFormat="false" ht="15" hidden="false" customHeight="false" outlineLevel="0" collapsed="false">
      <c r="A645" s="16"/>
      <c r="B645" s="11" t="str">
        <f aca="false">IF($H645="","",INDEX(DECKS!$A$2:$A$1201,$H645))</f>
        <v/>
      </c>
      <c r="C645" s="11" t="str">
        <f aca="false">IF($H645="","",INDEX(DECKS!$B$2:$B$1201,$H645))</f>
        <v/>
      </c>
      <c r="D645" s="11" t="str">
        <f aca="false">IF($H645="","",INDEX(DECKS!$C$2:$C$1201,$H645))</f>
        <v/>
      </c>
      <c r="E645" s="16" t="str">
        <f aca="false">IF($H645="","",INDEX(DECKS!$D$2:$D$1201,$H645))</f>
        <v/>
      </c>
      <c r="F645" s="16" t="str">
        <f aca="false">IF($H645="","",INDEX(DECKS!$E$2:$E$1201,$H645))</f>
        <v/>
      </c>
      <c r="G645" s="21" t="str">
        <f aca="false">IF($H645="","",INDEX(DECKS!$F$2:$F$1201,$H645))</f>
        <v/>
      </c>
      <c r="H645" s="11" t="str">
        <f aca="false">IFERROR(MATCH(ROW()-1,DECKS!$O$2:$O$1201,0),"")</f>
        <v/>
      </c>
      <c r="I645" s="11" t="str">
        <f aca="false">IF(C645="","",G645&amp;" "&amp;D645&amp;" ("&amp;C645&amp;")")</f>
        <v/>
      </c>
    </row>
    <row r="646" customFormat="false" ht="15" hidden="false" customHeight="false" outlineLevel="0" collapsed="false">
      <c r="A646" s="16"/>
      <c r="B646" s="11" t="str">
        <f aca="false">IF($H646="","",INDEX(DECKS!$A$2:$A$1201,$H646))</f>
        <v/>
      </c>
      <c r="C646" s="11" t="str">
        <f aca="false">IF($H646="","",INDEX(DECKS!$B$2:$B$1201,$H646))</f>
        <v/>
      </c>
      <c r="D646" s="11" t="str">
        <f aca="false">IF($H646="","",INDEX(DECKS!$C$2:$C$1201,$H646))</f>
        <v/>
      </c>
      <c r="E646" s="16" t="str">
        <f aca="false">IF($H646="","",INDEX(DECKS!$D$2:$D$1201,$H646))</f>
        <v/>
      </c>
      <c r="F646" s="16" t="str">
        <f aca="false">IF($H646="","",INDEX(DECKS!$E$2:$E$1201,$H646))</f>
        <v/>
      </c>
      <c r="G646" s="21" t="str">
        <f aca="false">IF($H646="","",INDEX(DECKS!$F$2:$F$1201,$H646))</f>
        <v/>
      </c>
      <c r="H646" s="11" t="str">
        <f aca="false">IFERROR(MATCH(ROW()-1,DECKS!$O$2:$O$1201,0),"")</f>
        <v/>
      </c>
      <c r="I646" s="11" t="str">
        <f aca="false">IF(C646="","",G646&amp;" "&amp;D646&amp;" ("&amp;C646&amp;")")</f>
        <v/>
      </c>
    </row>
    <row r="647" customFormat="false" ht="15" hidden="false" customHeight="false" outlineLevel="0" collapsed="false">
      <c r="A647" s="16"/>
      <c r="B647" s="11" t="str">
        <f aca="false">IF($H647="","",INDEX(DECKS!$A$2:$A$1201,$H647))</f>
        <v/>
      </c>
      <c r="C647" s="11" t="str">
        <f aca="false">IF($H647="","",INDEX(DECKS!$B$2:$B$1201,$H647))</f>
        <v/>
      </c>
      <c r="D647" s="11" t="str">
        <f aca="false">IF($H647="","",INDEX(DECKS!$C$2:$C$1201,$H647))</f>
        <v/>
      </c>
      <c r="E647" s="16" t="str">
        <f aca="false">IF($H647="","",INDEX(DECKS!$D$2:$D$1201,$H647))</f>
        <v/>
      </c>
      <c r="F647" s="16" t="str">
        <f aca="false">IF($H647="","",INDEX(DECKS!$E$2:$E$1201,$H647))</f>
        <v/>
      </c>
      <c r="G647" s="21" t="str">
        <f aca="false">IF($H647="","",INDEX(DECKS!$F$2:$F$1201,$H647))</f>
        <v/>
      </c>
      <c r="H647" s="11" t="str">
        <f aca="false">IFERROR(MATCH(ROW()-1,DECKS!$O$2:$O$1201,0),"")</f>
        <v/>
      </c>
      <c r="I647" s="11" t="str">
        <f aca="false">IF(C647="","",G647&amp;" "&amp;D647&amp;" ("&amp;C647&amp;")")</f>
        <v/>
      </c>
    </row>
    <row r="648" customFormat="false" ht="15" hidden="false" customHeight="false" outlineLevel="0" collapsed="false">
      <c r="A648" s="16"/>
      <c r="B648" s="11" t="str">
        <f aca="false">IF($H648="","",INDEX(DECKS!$A$2:$A$1201,$H648))</f>
        <v/>
      </c>
      <c r="C648" s="11" t="str">
        <f aca="false">IF($H648="","",INDEX(DECKS!$B$2:$B$1201,$H648))</f>
        <v/>
      </c>
      <c r="D648" s="11" t="str">
        <f aca="false">IF($H648="","",INDEX(DECKS!$C$2:$C$1201,$H648))</f>
        <v/>
      </c>
      <c r="E648" s="16" t="str">
        <f aca="false">IF($H648="","",INDEX(DECKS!$D$2:$D$1201,$H648))</f>
        <v/>
      </c>
      <c r="F648" s="16" t="str">
        <f aca="false">IF($H648="","",INDEX(DECKS!$E$2:$E$1201,$H648))</f>
        <v/>
      </c>
      <c r="G648" s="21" t="str">
        <f aca="false">IF($H648="","",INDEX(DECKS!$F$2:$F$1201,$H648))</f>
        <v/>
      </c>
      <c r="H648" s="11" t="str">
        <f aca="false">IFERROR(MATCH(ROW()-1,DECKS!$O$2:$O$1201,0),"")</f>
        <v/>
      </c>
      <c r="I648" s="11" t="str">
        <f aca="false">IF(C648="","",G648&amp;" "&amp;D648&amp;" ("&amp;C648&amp;")")</f>
        <v/>
      </c>
    </row>
    <row r="649" customFormat="false" ht="15" hidden="false" customHeight="false" outlineLevel="0" collapsed="false">
      <c r="A649" s="16"/>
      <c r="B649" s="11" t="str">
        <f aca="false">IF($H649="","",INDEX(DECKS!$A$2:$A$1201,$H649))</f>
        <v/>
      </c>
      <c r="C649" s="11" t="str">
        <f aca="false">IF($H649="","",INDEX(DECKS!$B$2:$B$1201,$H649))</f>
        <v/>
      </c>
      <c r="D649" s="11" t="str">
        <f aca="false">IF($H649="","",INDEX(DECKS!$C$2:$C$1201,$H649))</f>
        <v/>
      </c>
      <c r="E649" s="16" t="str">
        <f aca="false">IF($H649="","",INDEX(DECKS!$D$2:$D$1201,$H649))</f>
        <v/>
      </c>
      <c r="F649" s="16" t="str">
        <f aca="false">IF($H649="","",INDEX(DECKS!$E$2:$E$1201,$H649))</f>
        <v/>
      </c>
      <c r="G649" s="21" t="str">
        <f aca="false">IF($H649="","",INDEX(DECKS!$F$2:$F$1201,$H649))</f>
        <v/>
      </c>
      <c r="H649" s="11" t="str">
        <f aca="false">IFERROR(MATCH(ROW()-1,DECKS!$O$2:$O$1201,0),"")</f>
        <v/>
      </c>
      <c r="I649" s="11" t="str">
        <f aca="false">IF(C649="","",G649&amp;" "&amp;D649&amp;" ("&amp;C649&amp;")")</f>
        <v/>
      </c>
    </row>
    <row r="650" customFormat="false" ht="15" hidden="false" customHeight="false" outlineLevel="0" collapsed="false">
      <c r="A650" s="16"/>
      <c r="B650" s="11" t="str">
        <f aca="false">IF($H650="","",INDEX(DECKS!$A$2:$A$1201,$H650))</f>
        <v/>
      </c>
      <c r="C650" s="11" t="str">
        <f aca="false">IF($H650="","",INDEX(DECKS!$B$2:$B$1201,$H650))</f>
        <v/>
      </c>
      <c r="D650" s="11" t="str">
        <f aca="false">IF($H650="","",INDEX(DECKS!$C$2:$C$1201,$H650))</f>
        <v/>
      </c>
      <c r="E650" s="16" t="str">
        <f aca="false">IF($H650="","",INDEX(DECKS!$D$2:$D$1201,$H650))</f>
        <v/>
      </c>
      <c r="F650" s="16" t="str">
        <f aca="false">IF($H650="","",INDEX(DECKS!$E$2:$E$1201,$H650))</f>
        <v/>
      </c>
      <c r="G650" s="21" t="str">
        <f aca="false">IF($H650="","",INDEX(DECKS!$F$2:$F$1201,$H650))</f>
        <v/>
      </c>
      <c r="H650" s="11" t="str">
        <f aca="false">IFERROR(MATCH(ROW()-1,DECKS!$O$2:$O$1201,0),"")</f>
        <v/>
      </c>
      <c r="I650" s="11" t="str">
        <f aca="false">IF(C650="","",G650&amp;" "&amp;D650&amp;" ("&amp;C650&amp;")")</f>
        <v/>
      </c>
    </row>
    <row r="651" customFormat="false" ht="15" hidden="false" customHeight="false" outlineLevel="0" collapsed="false">
      <c r="A651" s="16"/>
      <c r="B651" s="11" t="str">
        <f aca="false">IF($H651="","",INDEX(DECKS!$A$2:$A$1201,$H651))</f>
        <v/>
      </c>
      <c r="C651" s="11" t="str">
        <f aca="false">IF($H651="","",INDEX(DECKS!$B$2:$B$1201,$H651))</f>
        <v/>
      </c>
      <c r="D651" s="11" t="str">
        <f aca="false">IF($H651="","",INDEX(DECKS!$C$2:$C$1201,$H651))</f>
        <v/>
      </c>
      <c r="E651" s="16" t="str">
        <f aca="false">IF($H651="","",INDEX(DECKS!$D$2:$D$1201,$H651))</f>
        <v/>
      </c>
      <c r="F651" s="16" t="str">
        <f aca="false">IF($H651="","",INDEX(DECKS!$E$2:$E$1201,$H651))</f>
        <v/>
      </c>
      <c r="G651" s="21" t="str">
        <f aca="false">IF($H651="","",INDEX(DECKS!$F$2:$F$1201,$H651))</f>
        <v/>
      </c>
      <c r="H651" s="11" t="str">
        <f aca="false">IFERROR(MATCH(ROW()-1,DECKS!$O$2:$O$1201,0),"")</f>
        <v/>
      </c>
      <c r="I651" s="11" t="str">
        <f aca="false">IF(C651="","",G651&amp;" "&amp;D651&amp;" ("&amp;C651&amp;")")</f>
        <v/>
      </c>
    </row>
    <row r="652" customFormat="false" ht="15" hidden="false" customHeight="false" outlineLevel="0" collapsed="false">
      <c r="A652" s="16"/>
      <c r="B652" s="11" t="str">
        <f aca="false">IF($H652="","",INDEX(DECKS!$A$2:$A$1201,$H652))</f>
        <v/>
      </c>
      <c r="C652" s="11" t="str">
        <f aca="false">IF($H652="","",INDEX(DECKS!$B$2:$B$1201,$H652))</f>
        <v/>
      </c>
      <c r="D652" s="11" t="str">
        <f aca="false">IF($H652="","",INDEX(DECKS!$C$2:$C$1201,$H652))</f>
        <v/>
      </c>
      <c r="E652" s="16" t="str">
        <f aca="false">IF($H652="","",INDEX(DECKS!$D$2:$D$1201,$H652))</f>
        <v/>
      </c>
      <c r="F652" s="16" t="str">
        <f aca="false">IF($H652="","",INDEX(DECKS!$E$2:$E$1201,$H652))</f>
        <v/>
      </c>
      <c r="G652" s="21" t="str">
        <f aca="false">IF($H652="","",INDEX(DECKS!$F$2:$F$1201,$H652))</f>
        <v/>
      </c>
      <c r="H652" s="11" t="str">
        <f aca="false">IFERROR(MATCH(ROW()-1,DECKS!$O$2:$O$1201,0),"")</f>
        <v/>
      </c>
      <c r="I652" s="11" t="str">
        <f aca="false">IF(C652="","",G652&amp;" "&amp;D652&amp;" ("&amp;C652&amp;")")</f>
        <v/>
      </c>
    </row>
    <row r="653" customFormat="false" ht="15" hidden="false" customHeight="false" outlineLevel="0" collapsed="false">
      <c r="A653" s="16"/>
      <c r="B653" s="11" t="str">
        <f aca="false">IF($H653="","",INDEX(DECKS!$A$2:$A$1201,$H653))</f>
        <v/>
      </c>
      <c r="C653" s="11" t="str">
        <f aca="false">IF($H653="","",INDEX(DECKS!$B$2:$B$1201,$H653))</f>
        <v/>
      </c>
      <c r="D653" s="11" t="str">
        <f aca="false">IF($H653="","",INDEX(DECKS!$C$2:$C$1201,$H653))</f>
        <v/>
      </c>
      <c r="E653" s="16" t="str">
        <f aca="false">IF($H653="","",INDEX(DECKS!$D$2:$D$1201,$H653))</f>
        <v/>
      </c>
      <c r="F653" s="16" t="str">
        <f aca="false">IF($H653="","",INDEX(DECKS!$E$2:$E$1201,$H653))</f>
        <v/>
      </c>
      <c r="G653" s="21" t="str">
        <f aca="false">IF($H653="","",INDEX(DECKS!$F$2:$F$1201,$H653))</f>
        <v/>
      </c>
      <c r="H653" s="11" t="str">
        <f aca="false">IFERROR(MATCH(ROW()-1,DECKS!$O$2:$O$1201,0),"")</f>
        <v/>
      </c>
      <c r="I653" s="11" t="str">
        <f aca="false">IF(C653="","",G653&amp;" "&amp;D653&amp;" ("&amp;C653&amp;")")</f>
        <v/>
      </c>
    </row>
    <row r="654" customFormat="false" ht="15" hidden="false" customHeight="false" outlineLevel="0" collapsed="false">
      <c r="A654" s="16"/>
      <c r="B654" s="11" t="str">
        <f aca="false">IF($H654="","",INDEX(DECKS!$A$2:$A$1201,$H654))</f>
        <v/>
      </c>
      <c r="C654" s="11" t="str">
        <f aca="false">IF($H654="","",INDEX(DECKS!$B$2:$B$1201,$H654))</f>
        <v/>
      </c>
      <c r="D654" s="11" t="str">
        <f aca="false">IF($H654="","",INDEX(DECKS!$C$2:$C$1201,$H654))</f>
        <v/>
      </c>
      <c r="E654" s="16" t="str">
        <f aca="false">IF($H654="","",INDEX(DECKS!$D$2:$D$1201,$H654))</f>
        <v/>
      </c>
      <c r="F654" s="16" t="str">
        <f aca="false">IF($H654="","",INDEX(DECKS!$E$2:$E$1201,$H654))</f>
        <v/>
      </c>
      <c r="G654" s="21" t="str">
        <f aca="false">IF($H654="","",INDEX(DECKS!$F$2:$F$1201,$H654))</f>
        <v/>
      </c>
      <c r="H654" s="11" t="str">
        <f aca="false">IFERROR(MATCH(ROW()-1,DECKS!$O$2:$O$1201,0),"")</f>
        <v/>
      </c>
      <c r="I654" s="11" t="str">
        <f aca="false">IF(C654="","",G654&amp;" "&amp;D654&amp;" ("&amp;C654&amp;")")</f>
        <v/>
      </c>
    </row>
    <row r="655" customFormat="false" ht="15" hidden="false" customHeight="false" outlineLevel="0" collapsed="false">
      <c r="A655" s="16"/>
      <c r="B655" s="11" t="str">
        <f aca="false">IF($H655="","",INDEX(DECKS!$A$2:$A$1201,$H655))</f>
        <v/>
      </c>
      <c r="C655" s="11" t="str">
        <f aca="false">IF($H655="","",INDEX(DECKS!$B$2:$B$1201,$H655))</f>
        <v/>
      </c>
      <c r="D655" s="11" t="str">
        <f aca="false">IF($H655="","",INDEX(DECKS!$C$2:$C$1201,$H655))</f>
        <v/>
      </c>
      <c r="E655" s="16" t="str">
        <f aca="false">IF($H655="","",INDEX(DECKS!$D$2:$D$1201,$H655))</f>
        <v/>
      </c>
      <c r="F655" s="16" t="str">
        <f aca="false">IF($H655="","",INDEX(DECKS!$E$2:$E$1201,$H655))</f>
        <v/>
      </c>
      <c r="G655" s="21" t="str">
        <f aca="false">IF($H655="","",INDEX(DECKS!$F$2:$F$1201,$H655))</f>
        <v/>
      </c>
      <c r="H655" s="11" t="str">
        <f aca="false">IFERROR(MATCH(ROW()-1,DECKS!$O$2:$O$1201,0),"")</f>
        <v/>
      </c>
      <c r="I655" s="11" t="str">
        <f aca="false">IF(C655="","",G655&amp;" "&amp;D655&amp;" ("&amp;C655&amp;")")</f>
        <v/>
      </c>
    </row>
    <row r="656" customFormat="false" ht="15" hidden="false" customHeight="false" outlineLevel="0" collapsed="false">
      <c r="A656" s="16"/>
      <c r="B656" s="11" t="str">
        <f aca="false">IF($H656="","",INDEX(DECKS!$A$2:$A$1201,$H656))</f>
        <v/>
      </c>
      <c r="C656" s="11" t="str">
        <f aca="false">IF($H656="","",INDEX(DECKS!$B$2:$B$1201,$H656))</f>
        <v/>
      </c>
      <c r="D656" s="11" t="str">
        <f aca="false">IF($H656="","",INDEX(DECKS!$C$2:$C$1201,$H656))</f>
        <v/>
      </c>
      <c r="E656" s="16" t="str">
        <f aca="false">IF($H656="","",INDEX(DECKS!$D$2:$D$1201,$H656))</f>
        <v/>
      </c>
      <c r="F656" s="16" t="str">
        <f aca="false">IF($H656="","",INDEX(DECKS!$E$2:$E$1201,$H656))</f>
        <v/>
      </c>
      <c r="G656" s="21" t="str">
        <f aca="false">IF($H656="","",INDEX(DECKS!$F$2:$F$1201,$H656))</f>
        <v/>
      </c>
      <c r="H656" s="11" t="str">
        <f aca="false">IFERROR(MATCH(ROW()-1,DECKS!$O$2:$O$1201,0),"")</f>
        <v/>
      </c>
      <c r="I656" s="11" t="str">
        <f aca="false">IF(C656="","",G656&amp;" "&amp;D656&amp;" ("&amp;C656&amp;")")</f>
        <v/>
      </c>
    </row>
    <row r="657" customFormat="false" ht="15" hidden="false" customHeight="false" outlineLevel="0" collapsed="false">
      <c r="A657" s="16"/>
      <c r="B657" s="11" t="str">
        <f aca="false">IF($H657="","",INDEX(DECKS!$A$2:$A$1201,$H657))</f>
        <v/>
      </c>
      <c r="C657" s="11" t="str">
        <f aca="false">IF($H657="","",INDEX(DECKS!$B$2:$B$1201,$H657))</f>
        <v/>
      </c>
      <c r="D657" s="11" t="str">
        <f aca="false">IF($H657="","",INDEX(DECKS!$C$2:$C$1201,$H657))</f>
        <v/>
      </c>
      <c r="E657" s="16" t="str">
        <f aca="false">IF($H657="","",INDEX(DECKS!$D$2:$D$1201,$H657))</f>
        <v/>
      </c>
      <c r="F657" s="16" t="str">
        <f aca="false">IF($H657="","",INDEX(DECKS!$E$2:$E$1201,$H657))</f>
        <v/>
      </c>
      <c r="G657" s="21" t="str">
        <f aca="false">IF($H657="","",INDEX(DECKS!$F$2:$F$1201,$H657))</f>
        <v/>
      </c>
      <c r="H657" s="11" t="str">
        <f aca="false">IFERROR(MATCH(ROW()-1,DECKS!$O$2:$O$1201,0),"")</f>
        <v/>
      </c>
      <c r="I657" s="11" t="str">
        <f aca="false">IF(C657="","",G657&amp;" "&amp;D657&amp;" ("&amp;C657&amp;")")</f>
        <v/>
      </c>
    </row>
    <row r="658" customFormat="false" ht="15" hidden="false" customHeight="false" outlineLevel="0" collapsed="false">
      <c r="A658" s="16"/>
      <c r="B658" s="11" t="str">
        <f aca="false">IF($H658="","",INDEX(DECKS!$A$2:$A$1201,$H658))</f>
        <v/>
      </c>
      <c r="C658" s="11" t="str">
        <f aca="false">IF($H658="","",INDEX(DECKS!$B$2:$B$1201,$H658))</f>
        <v/>
      </c>
      <c r="D658" s="11" t="str">
        <f aca="false">IF($H658="","",INDEX(DECKS!$C$2:$C$1201,$H658))</f>
        <v/>
      </c>
      <c r="E658" s="16" t="str">
        <f aca="false">IF($H658="","",INDEX(DECKS!$D$2:$D$1201,$H658))</f>
        <v/>
      </c>
      <c r="F658" s="16" t="str">
        <f aca="false">IF($H658="","",INDEX(DECKS!$E$2:$E$1201,$H658))</f>
        <v/>
      </c>
      <c r="G658" s="21" t="str">
        <f aca="false">IF($H658="","",INDEX(DECKS!$F$2:$F$1201,$H658))</f>
        <v/>
      </c>
      <c r="H658" s="11" t="str">
        <f aca="false">IFERROR(MATCH(ROW()-1,DECKS!$O$2:$O$1201,0),"")</f>
        <v/>
      </c>
      <c r="I658" s="11" t="str">
        <f aca="false">IF(C658="","",G658&amp;" "&amp;D658&amp;" ("&amp;C658&amp;")")</f>
        <v/>
      </c>
    </row>
    <row r="659" customFormat="false" ht="15" hidden="false" customHeight="false" outlineLevel="0" collapsed="false">
      <c r="A659" s="16"/>
      <c r="B659" s="11" t="str">
        <f aca="false">IF($H659="","",INDEX(DECKS!$A$2:$A$1201,$H659))</f>
        <v/>
      </c>
      <c r="C659" s="11" t="str">
        <f aca="false">IF($H659="","",INDEX(DECKS!$B$2:$B$1201,$H659))</f>
        <v/>
      </c>
      <c r="D659" s="11" t="str">
        <f aca="false">IF($H659="","",INDEX(DECKS!$C$2:$C$1201,$H659))</f>
        <v/>
      </c>
      <c r="E659" s="16" t="str">
        <f aca="false">IF($H659="","",INDEX(DECKS!$D$2:$D$1201,$H659))</f>
        <v/>
      </c>
      <c r="F659" s="16" t="str">
        <f aca="false">IF($H659="","",INDEX(DECKS!$E$2:$E$1201,$H659))</f>
        <v/>
      </c>
      <c r="G659" s="21" t="str">
        <f aca="false">IF($H659="","",INDEX(DECKS!$F$2:$F$1201,$H659))</f>
        <v/>
      </c>
      <c r="H659" s="11" t="str">
        <f aca="false">IFERROR(MATCH(ROW()-1,DECKS!$O$2:$O$1201,0),"")</f>
        <v/>
      </c>
      <c r="I659" s="11" t="str">
        <f aca="false">IF(C659="","",G659&amp;" "&amp;D659&amp;" ("&amp;C659&amp;")")</f>
        <v/>
      </c>
    </row>
    <row r="660" customFormat="false" ht="15" hidden="false" customHeight="false" outlineLevel="0" collapsed="false">
      <c r="A660" s="16"/>
      <c r="B660" s="11" t="str">
        <f aca="false">IF($H660="","",INDEX(DECKS!$A$2:$A$1201,$H660))</f>
        <v/>
      </c>
      <c r="C660" s="11" t="str">
        <f aca="false">IF($H660="","",INDEX(DECKS!$B$2:$B$1201,$H660))</f>
        <v/>
      </c>
      <c r="D660" s="11" t="str">
        <f aca="false">IF($H660="","",INDEX(DECKS!$C$2:$C$1201,$H660))</f>
        <v/>
      </c>
      <c r="E660" s="16" t="str">
        <f aca="false">IF($H660="","",INDEX(DECKS!$D$2:$D$1201,$H660))</f>
        <v/>
      </c>
      <c r="F660" s="16" t="str">
        <f aca="false">IF($H660="","",INDEX(DECKS!$E$2:$E$1201,$H660))</f>
        <v/>
      </c>
      <c r="G660" s="21" t="str">
        <f aca="false">IF($H660="","",INDEX(DECKS!$F$2:$F$1201,$H660))</f>
        <v/>
      </c>
      <c r="H660" s="11" t="str">
        <f aca="false">IFERROR(MATCH(ROW()-1,DECKS!$O$2:$O$1201,0),"")</f>
        <v/>
      </c>
      <c r="I660" s="11" t="str">
        <f aca="false">IF(C660="","",G660&amp;" "&amp;D660&amp;" ("&amp;C660&amp;")")</f>
        <v/>
      </c>
    </row>
    <row r="661" customFormat="false" ht="15" hidden="false" customHeight="false" outlineLevel="0" collapsed="false">
      <c r="A661" s="16"/>
      <c r="B661" s="11" t="str">
        <f aca="false">IF($H661="","",INDEX(DECKS!$A$2:$A$1201,$H661))</f>
        <v/>
      </c>
      <c r="C661" s="11" t="str">
        <f aca="false">IF($H661="","",INDEX(DECKS!$B$2:$B$1201,$H661))</f>
        <v/>
      </c>
      <c r="D661" s="11" t="str">
        <f aca="false">IF($H661="","",INDEX(DECKS!$C$2:$C$1201,$H661))</f>
        <v/>
      </c>
      <c r="E661" s="16" t="str">
        <f aca="false">IF($H661="","",INDEX(DECKS!$D$2:$D$1201,$H661))</f>
        <v/>
      </c>
      <c r="F661" s="16" t="str">
        <f aca="false">IF($H661="","",INDEX(DECKS!$E$2:$E$1201,$H661))</f>
        <v/>
      </c>
      <c r="G661" s="21" t="str">
        <f aca="false">IF($H661="","",INDEX(DECKS!$F$2:$F$1201,$H661))</f>
        <v/>
      </c>
      <c r="H661" s="11" t="str">
        <f aca="false">IFERROR(MATCH(ROW()-1,DECKS!$O$2:$O$1201,0),"")</f>
        <v/>
      </c>
      <c r="I661" s="11" t="str">
        <f aca="false">IF(C661="","",G661&amp;" "&amp;D661&amp;" ("&amp;C661&amp;")")</f>
        <v/>
      </c>
    </row>
    <row r="662" customFormat="false" ht="15" hidden="false" customHeight="false" outlineLevel="0" collapsed="false">
      <c r="A662" s="16"/>
      <c r="B662" s="11" t="str">
        <f aca="false">IF($H662="","",INDEX(DECKS!$A$2:$A$1201,$H662))</f>
        <v/>
      </c>
      <c r="C662" s="11" t="str">
        <f aca="false">IF($H662="","",INDEX(DECKS!$B$2:$B$1201,$H662))</f>
        <v/>
      </c>
      <c r="D662" s="11" t="str">
        <f aca="false">IF($H662="","",INDEX(DECKS!$C$2:$C$1201,$H662))</f>
        <v/>
      </c>
      <c r="E662" s="16" t="str">
        <f aca="false">IF($H662="","",INDEX(DECKS!$D$2:$D$1201,$H662))</f>
        <v/>
      </c>
      <c r="F662" s="16" t="str">
        <f aca="false">IF($H662="","",INDEX(DECKS!$E$2:$E$1201,$H662))</f>
        <v/>
      </c>
      <c r="G662" s="21" t="str">
        <f aca="false">IF($H662="","",INDEX(DECKS!$F$2:$F$1201,$H662))</f>
        <v/>
      </c>
      <c r="H662" s="11" t="str">
        <f aca="false">IFERROR(MATCH(ROW()-1,DECKS!$O$2:$O$1201,0),"")</f>
        <v/>
      </c>
      <c r="I662" s="11" t="str">
        <f aca="false">IF(C662="","",G662&amp;" "&amp;D662&amp;" ("&amp;C662&amp;")")</f>
        <v/>
      </c>
    </row>
    <row r="663" customFormat="false" ht="15" hidden="false" customHeight="false" outlineLevel="0" collapsed="false">
      <c r="A663" s="16"/>
      <c r="B663" s="11" t="str">
        <f aca="false">IF($H663="","",INDEX(DECKS!$A$2:$A$1201,$H663))</f>
        <v/>
      </c>
      <c r="C663" s="11" t="str">
        <f aca="false">IF($H663="","",INDEX(DECKS!$B$2:$B$1201,$H663))</f>
        <v/>
      </c>
      <c r="D663" s="11" t="str">
        <f aca="false">IF($H663="","",INDEX(DECKS!$C$2:$C$1201,$H663))</f>
        <v/>
      </c>
      <c r="E663" s="16" t="str">
        <f aca="false">IF($H663="","",INDEX(DECKS!$D$2:$D$1201,$H663))</f>
        <v/>
      </c>
      <c r="F663" s="16" t="str">
        <f aca="false">IF($H663="","",INDEX(DECKS!$E$2:$E$1201,$H663))</f>
        <v/>
      </c>
      <c r="G663" s="21" t="str">
        <f aca="false">IF($H663="","",INDEX(DECKS!$F$2:$F$1201,$H663))</f>
        <v/>
      </c>
      <c r="H663" s="11" t="str">
        <f aca="false">IFERROR(MATCH(ROW()-1,DECKS!$O$2:$O$1201,0),"")</f>
        <v/>
      </c>
      <c r="I663" s="11" t="str">
        <f aca="false">IF(C663="","",G663&amp;" "&amp;D663&amp;" ("&amp;C663&amp;")")</f>
        <v/>
      </c>
    </row>
    <row r="664" customFormat="false" ht="15" hidden="false" customHeight="false" outlineLevel="0" collapsed="false">
      <c r="A664" s="16"/>
      <c r="B664" s="11" t="str">
        <f aca="false">IF($H664="","",INDEX(DECKS!$A$2:$A$1201,$H664))</f>
        <v/>
      </c>
      <c r="C664" s="11" t="str">
        <f aca="false">IF($H664="","",INDEX(DECKS!$B$2:$B$1201,$H664))</f>
        <v/>
      </c>
      <c r="D664" s="11" t="str">
        <f aca="false">IF($H664="","",INDEX(DECKS!$C$2:$C$1201,$H664))</f>
        <v/>
      </c>
      <c r="E664" s="16" t="str">
        <f aca="false">IF($H664="","",INDEX(DECKS!$D$2:$D$1201,$H664))</f>
        <v/>
      </c>
      <c r="F664" s="16" t="str">
        <f aca="false">IF($H664="","",INDEX(DECKS!$E$2:$E$1201,$H664))</f>
        <v/>
      </c>
      <c r="G664" s="21" t="str">
        <f aca="false">IF($H664="","",INDEX(DECKS!$F$2:$F$1201,$H664))</f>
        <v/>
      </c>
      <c r="H664" s="11" t="str">
        <f aca="false">IFERROR(MATCH(ROW()-1,DECKS!$O$2:$O$1201,0),"")</f>
        <v/>
      </c>
      <c r="I664" s="11" t="str">
        <f aca="false">IF(C664="","",G664&amp;" "&amp;D664&amp;" ("&amp;C664&amp;")")</f>
        <v/>
      </c>
    </row>
    <row r="665" customFormat="false" ht="15" hidden="false" customHeight="false" outlineLevel="0" collapsed="false">
      <c r="A665" s="16"/>
      <c r="B665" s="11" t="str">
        <f aca="false">IF($H665="","",INDEX(DECKS!$A$2:$A$1201,$H665))</f>
        <v/>
      </c>
      <c r="C665" s="11" t="str">
        <f aca="false">IF($H665="","",INDEX(DECKS!$B$2:$B$1201,$H665))</f>
        <v/>
      </c>
      <c r="D665" s="11" t="str">
        <f aca="false">IF($H665="","",INDEX(DECKS!$C$2:$C$1201,$H665))</f>
        <v/>
      </c>
      <c r="E665" s="16" t="str">
        <f aca="false">IF($H665="","",INDEX(DECKS!$D$2:$D$1201,$H665))</f>
        <v/>
      </c>
      <c r="F665" s="16" t="str">
        <f aca="false">IF($H665="","",INDEX(DECKS!$E$2:$E$1201,$H665))</f>
        <v/>
      </c>
      <c r="G665" s="21" t="str">
        <f aca="false">IF($H665="","",INDEX(DECKS!$F$2:$F$1201,$H665))</f>
        <v/>
      </c>
      <c r="H665" s="11" t="str">
        <f aca="false">IFERROR(MATCH(ROW()-1,DECKS!$O$2:$O$1201,0),"")</f>
        <v/>
      </c>
      <c r="I665" s="11" t="str">
        <f aca="false">IF(C665="","",G665&amp;" "&amp;D665&amp;" ("&amp;C665&amp;")")</f>
        <v/>
      </c>
    </row>
    <row r="666" customFormat="false" ht="15" hidden="false" customHeight="false" outlineLevel="0" collapsed="false">
      <c r="A666" s="16"/>
      <c r="B666" s="11" t="str">
        <f aca="false">IF($H666="","",INDEX(DECKS!$A$2:$A$1201,$H666))</f>
        <v/>
      </c>
      <c r="C666" s="11" t="str">
        <f aca="false">IF($H666="","",INDEX(DECKS!$B$2:$B$1201,$H666))</f>
        <v/>
      </c>
      <c r="D666" s="11" t="str">
        <f aca="false">IF($H666="","",INDEX(DECKS!$C$2:$C$1201,$H666))</f>
        <v/>
      </c>
      <c r="E666" s="16" t="str">
        <f aca="false">IF($H666="","",INDEX(DECKS!$D$2:$D$1201,$H666))</f>
        <v/>
      </c>
      <c r="F666" s="16" t="str">
        <f aca="false">IF($H666="","",INDEX(DECKS!$E$2:$E$1201,$H666))</f>
        <v/>
      </c>
      <c r="G666" s="21" t="str">
        <f aca="false">IF($H666="","",INDEX(DECKS!$F$2:$F$1201,$H666))</f>
        <v/>
      </c>
      <c r="H666" s="11" t="str">
        <f aca="false">IFERROR(MATCH(ROW()-1,DECKS!$O$2:$O$1201,0),"")</f>
        <v/>
      </c>
      <c r="I666" s="11" t="str">
        <f aca="false">IF(C666="","",G666&amp;" "&amp;D666&amp;" ("&amp;C666&amp;")")</f>
        <v/>
      </c>
    </row>
    <row r="667" customFormat="false" ht="15" hidden="false" customHeight="false" outlineLevel="0" collapsed="false">
      <c r="A667" s="16"/>
      <c r="B667" s="11" t="str">
        <f aca="false">IF($H667="","",INDEX(DECKS!$A$2:$A$1201,$H667))</f>
        <v/>
      </c>
      <c r="C667" s="11" t="str">
        <f aca="false">IF($H667="","",INDEX(DECKS!$B$2:$B$1201,$H667))</f>
        <v/>
      </c>
      <c r="D667" s="11" t="str">
        <f aca="false">IF($H667="","",INDEX(DECKS!$C$2:$C$1201,$H667))</f>
        <v/>
      </c>
      <c r="E667" s="16" t="str">
        <f aca="false">IF($H667="","",INDEX(DECKS!$D$2:$D$1201,$H667))</f>
        <v/>
      </c>
      <c r="F667" s="16" t="str">
        <f aca="false">IF($H667="","",INDEX(DECKS!$E$2:$E$1201,$H667))</f>
        <v/>
      </c>
      <c r="G667" s="21" t="str">
        <f aca="false">IF($H667="","",INDEX(DECKS!$F$2:$F$1201,$H667))</f>
        <v/>
      </c>
      <c r="H667" s="11" t="str">
        <f aca="false">IFERROR(MATCH(ROW()-1,DECKS!$O$2:$O$1201,0),"")</f>
        <v/>
      </c>
      <c r="I667" s="11" t="str">
        <f aca="false">IF(C667="","",G667&amp;" "&amp;D667&amp;" ("&amp;C667&amp;")")</f>
        <v/>
      </c>
    </row>
    <row r="668" customFormat="false" ht="15" hidden="false" customHeight="false" outlineLevel="0" collapsed="false">
      <c r="A668" s="16"/>
      <c r="B668" s="11" t="str">
        <f aca="false">IF($H668="","",INDEX(DECKS!$A$2:$A$1201,$H668))</f>
        <v/>
      </c>
      <c r="C668" s="11" t="str">
        <f aca="false">IF($H668="","",INDEX(DECKS!$B$2:$B$1201,$H668))</f>
        <v/>
      </c>
      <c r="D668" s="11" t="str">
        <f aca="false">IF($H668="","",INDEX(DECKS!$C$2:$C$1201,$H668))</f>
        <v/>
      </c>
      <c r="E668" s="16" t="str">
        <f aca="false">IF($H668="","",INDEX(DECKS!$D$2:$D$1201,$H668))</f>
        <v/>
      </c>
      <c r="F668" s="16" t="str">
        <f aca="false">IF($H668="","",INDEX(DECKS!$E$2:$E$1201,$H668))</f>
        <v/>
      </c>
      <c r="G668" s="21" t="str">
        <f aca="false">IF($H668="","",INDEX(DECKS!$F$2:$F$1201,$H668))</f>
        <v/>
      </c>
      <c r="H668" s="11" t="str">
        <f aca="false">IFERROR(MATCH(ROW()-1,DECKS!$O$2:$O$1201,0),"")</f>
        <v/>
      </c>
      <c r="I668" s="11" t="str">
        <f aca="false">IF(C668="","",G668&amp;" "&amp;D668&amp;" ("&amp;C668&amp;")")</f>
        <v/>
      </c>
    </row>
    <row r="669" customFormat="false" ht="15" hidden="false" customHeight="false" outlineLevel="0" collapsed="false">
      <c r="A669" s="16"/>
      <c r="B669" s="11" t="str">
        <f aca="false">IF($H669="","",INDEX(DECKS!$A$2:$A$1201,$H669))</f>
        <v/>
      </c>
      <c r="C669" s="11" t="str">
        <f aca="false">IF($H669="","",INDEX(DECKS!$B$2:$B$1201,$H669))</f>
        <v/>
      </c>
      <c r="D669" s="11" t="str">
        <f aca="false">IF($H669="","",INDEX(DECKS!$C$2:$C$1201,$H669))</f>
        <v/>
      </c>
      <c r="E669" s="16" t="str">
        <f aca="false">IF($H669="","",INDEX(DECKS!$D$2:$D$1201,$H669))</f>
        <v/>
      </c>
      <c r="F669" s="16" t="str">
        <f aca="false">IF($H669="","",INDEX(DECKS!$E$2:$E$1201,$H669))</f>
        <v/>
      </c>
      <c r="G669" s="21" t="str">
        <f aca="false">IF($H669="","",INDEX(DECKS!$F$2:$F$1201,$H669))</f>
        <v/>
      </c>
      <c r="H669" s="11" t="str">
        <f aca="false">IFERROR(MATCH(ROW()-1,DECKS!$O$2:$O$1201,0),"")</f>
        <v/>
      </c>
      <c r="I669" s="11" t="str">
        <f aca="false">IF(C669="","",G669&amp;" "&amp;D669&amp;" ("&amp;C669&amp;")")</f>
        <v/>
      </c>
    </row>
    <row r="670" customFormat="false" ht="15" hidden="false" customHeight="false" outlineLevel="0" collapsed="false">
      <c r="A670" s="16"/>
      <c r="B670" s="11" t="str">
        <f aca="false">IF($H670="","",INDEX(DECKS!$A$2:$A$1201,$H670))</f>
        <v/>
      </c>
      <c r="C670" s="11" t="str">
        <f aca="false">IF($H670="","",INDEX(DECKS!$B$2:$B$1201,$H670))</f>
        <v/>
      </c>
      <c r="D670" s="11" t="str">
        <f aca="false">IF($H670="","",INDEX(DECKS!$C$2:$C$1201,$H670))</f>
        <v/>
      </c>
      <c r="E670" s="16" t="str">
        <f aca="false">IF($H670="","",INDEX(DECKS!$D$2:$D$1201,$H670))</f>
        <v/>
      </c>
      <c r="F670" s="16" t="str">
        <f aca="false">IF($H670="","",INDEX(DECKS!$E$2:$E$1201,$H670))</f>
        <v/>
      </c>
      <c r="G670" s="21" t="str">
        <f aca="false">IF($H670="","",INDEX(DECKS!$F$2:$F$1201,$H670))</f>
        <v/>
      </c>
      <c r="H670" s="11" t="str">
        <f aca="false">IFERROR(MATCH(ROW()-1,DECKS!$O$2:$O$1201,0),"")</f>
        <v/>
      </c>
      <c r="I670" s="11" t="str">
        <f aca="false">IF(C670="","",G670&amp;" "&amp;D670&amp;" ("&amp;C670&amp;")")</f>
        <v/>
      </c>
    </row>
    <row r="671" customFormat="false" ht="15" hidden="false" customHeight="false" outlineLevel="0" collapsed="false">
      <c r="A671" s="16"/>
      <c r="B671" s="11" t="str">
        <f aca="false">IF($H671="","",INDEX(DECKS!$A$2:$A$1201,$H671))</f>
        <v/>
      </c>
      <c r="C671" s="11" t="str">
        <f aca="false">IF($H671="","",INDEX(DECKS!$B$2:$B$1201,$H671))</f>
        <v/>
      </c>
      <c r="D671" s="11" t="str">
        <f aca="false">IF($H671="","",INDEX(DECKS!$C$2:$C$1201,$H671))</f>
        <v/>
      </c>
      <c r="E671" s="16" t="str">
        <f aca="false">IF($H671="","",INDEX(DECKS!$D$2:$D$1201,$H671))</f>
        <v/>
      </c>
      <c r="F671" s="16" t="str">
        <f aca="false">IF($H671="","",INDEX(DECKS!$E$2:$E$1201,$H671))</f>
        <v/>
      </c>
      <c r="G671" s="21" t="str">
        <f aca="false">IF($H671="","",INDEX(DECKS!$F$2:$F$1201,$H671))</f>
        <v/>
      </c>
      <c r="H671" s="11" t="str">
        <f aca="false">IFERROR(MATCH(ROW()-1,DECKS!$O$2:$O$1201,0),"")</f>
        <v/>
      </c>
      <c r="I671" s="11" t="str">
        <f aca="false">IF(C671="","",G671&amp;" "&amp;D671&amp;" ("&amp;C671&amp;")")</f>
        <v/>
      </c>
    </row>
    <row r="672" customFormat="false" ht="15" hidden="false" customHeight="false" outlineLevel="0" collapsed="false">
      <c r="A672" s="16"/>
      <c r="B672" s="11" t="str">
        <f aca="false">IF($H672="","",INDEX(DECKS!$A$2:$A$1201,$H672))</f>
        <v/>
      </c>
      <c r="C672" s="11" t="str">
        <f aca="false">IF($H672="","",INDEX(DECKS!$B$2:$B$1201,$H672))</f>
        <v/>
      </c>
      <c r="D672" s="11" t="str">
        <f aca="false">IF($H672="","",INDEX(DECKS!$C$2:$C$1201,$H672))</f>
        <v/>
      </c>
      <c r="E672" s="16" t="str">
        <f aca="false">IF($H672="","",INDEX(DECKS!$D$2:$D$1201,$H672))</f>
        <v/>
      </c>
      <c r="F672" s="16" t="str">
        <f aca="false">IF($H672="","",INDEX(DECKS!$E$2:$E$1201,$H672))</f>
        <v/>
      </c>
      <c r="G672" s="21" t="str">
        <f aca="false">IF($H672="","",INDEX(DECKS!$F$2:$F$1201,$H672))</f>
        <v/>
      </c>
      <c r="H672" s="11" t="str">
        <f aca="false">IFERROR(MATCH(ROW()-1,DECKS!$O$2:$O$1201,0),"")</f>
        <v/>
      </c>
      <c r="I672" s="11" t="str">
        <f aca="false">IF(C672="","",G672&amp;" "&amp;D672&amp;" ("&amp;C672&amp;")")</f>
        <v/>
      </c>
    </row>
    <row r="673" customFormat="false" ht="15" hidden="false" customHeight="false" outlineLevel="0" collapsed="false">
      <c r="A673" s="16"/>
      <c r="B673" s="11" t="str">
        <f aca="false">IF($H673="","",INDEX(DECKS!$A$2:$A$1201,$H673))</f>
        <v/>
      </c>
      <c r="C673" s="11" t="str">
        <f aca="false">IF($H673="","",INDEX(DECKS!$B$2:$B$1201,$H673))</f>
        <v/>
      </c>
      <c r="D673" s="11" t="str">
        <f aca="false">IF($H673="","",INDEX(DECKS!$C$2:$C$1201,$H673))</f>
        <v/>
      </c>
      <c r="E673" s="16" t="str">
        <f aca="false">IF($H673="","",INDEX(DECKS!$D$2:$D$1201,$H673))</f>
        <v/>
      </c>
      <c r="F673" s="16" t="str">
        <f aca="false">IF($H673="","",INDEX(DECKS!$E$2:$E$1201,$H673))</f>
        <v/>
      </c>
      <c r="G673" s="21" t="str">
        <f aca="false">IF($H673="","",INDEX(DECKS!$F$2:$F$1201,$H673))</f>
        <v/>
      </c>
      <c r="H673" s="11" t="str">
        <f aca="false">IFERROR(MATCH(ROW()-1,DECKS!$O$2:$O$1201,0),"")</f>
        <v/>
      </c>
      <c r="I673" s="11" t="str">
        <f aca="false">IF(C673="","",G673&amp;" "&amp;D673&amp;" ("&amp;C673&amp;")")</f>
        <v/>
      </c>
    </row>
    <row r="674" customFormat="false" ht="15" hidden="false" customHeight="false" outlineLevel="0" collapsed="false">
      <c r="A674" s="16"/>
      <c r="B674" s="11" t="str">
        <f aca="false">IF($H674="","",INDEX(DECKS!$A$2:$A$1201,$H674))</f>
        <v/>
      </c>
      <c r="C674" s="11" t="str">
        <f aca="false">IF($H674="","",INDEX(DECKS!$B$2:$B$1201,$H674))</f>
        <v/>
      </c>
      <c r="D674" s="11" t="str">
        <f aca="false">IF($H674="","",INDEX(DECKS!$C$2:$C$1201,$H674))</f>
        <v/>
      </c>
      <c r="E674" s="16" t="str">
        <f aca="false">IF($H674="","",INDEX(DECKS!$D$2:$D$1201,$H674))</f>
        <v/>
      </c>
      <c r="F674" s="16" t="str">
        <f aca="false">IF($H674="","",INDEX(DECKS!$E$2:$E$1201,$H674))</f>
        <v/>
      </c>
      <c r="G674" s="21" t="str">
        <f aca="false">IF($H674="","",INDEX(DECKS!$F$2:$F$1201,$H674))</f>
        <v/>
      </c>
      <c r="H674" s="11" t="str">
        <f aca="false">IFERROR(MATCH(ROW()-1,DECKS!$O$2:$O$1201,0),"")</f>
        <v/>
      </c>
      <c r="I674" s="11" t="str">
        <f aca="false">IF(C674="","",G674&amp;" "&amp;D674&amp;" ("&amp;C674&amp;")")</f>
        <v/>
      </c>
    </row>
    <row r="675" customFormat="false" ht="15" hidden="false" customHeight="false" outlineLevel="0" collapsed="false">
      <c r="A675" s="16"/>
      <c r="B675" s="11" t="str">
        <f aca="false">IF($H675="","",INDEX(DECKS!$A$2:$A$1201,$H675))</f>
        <v/>
      </c>
      <c r="C675" s="11" t="str">
        <f aca="false">IF($H675="","",INDEX(DECKS!$B$2:$B$1201,$H675))</f>
        <v/>
      </c>
      <c r="D675" s="11" t="str">
        <f aca="false">IF($H675="","",INDEX(DECKS!$C$2:$C$1201,$H675))</f>
        <v/>
      </c>
      <c r="E675" s="16" t="str">
        <f aca="false">IF($H675="","",INDEX(DECKS!$D$2:$D$1201,$H675))</f>
        <v/>
      </c>
      <c r="F675" s="16" t="str">
        <f aca="false">IF($H675="","",INDEX(DECKS!$E$2:$E$1201,$H675))</f>
        <v/>
      </c>
      <c r="G675" s="21" t="str">
        <f aca="false">IF($H675="","",INDEX(DECKS!$F$2:$F$1201,$H675))</f>
        <v/>
      </c>
      <c r="H675" s="11" t="str">
        <f aca="false">IFERROR(MATCH(ROW()-1,DECKS!$O$2:$O$1201,0),"")</f>
        <v/>
      </c>
      <c r="I675" s="11" t="str">
        <f aca="false">IF(C675="","",G675&amp;" "&amp;D675&amp;" ("&amp;C675&amp;")")</f>
        <v/>
      </c>
    </row>
    <row r="676" customFormat="false" ht="15" hidden="false" customHeight="false" outlineLevel="0" collapsed="false">
      <c r="A676" s="16"/>
      <c r="B676" s="11" t="str">
        <f aca="false">IF($H676="","",INDEX(DECKS!$A$2:$A$1201,$H676))</f>
        <v/>
      </c>
      <c r="C676" s="11" t="str">
        <f aca="false">IF($H676="","",INDEX(DECKS!$B$2:$B$1201,$H676))</f>
        <v/>
      </c>
      <c r="D676" s="11" t="str">
        <f aca="false">IF($H676="","",INDEX(DECKS!$C$2:$C$1201,$H676))</f>
        <v/>
      </c>
      <c r="E676" s="16" t="str">
        <f aca="false">IF($H676="","",INDEX(DECKS!$D$2:$D$1201,$H676))</f>
        <v/>
      </c>
      <c r="F676" s="16" t="str">
        <f aca="false">IF($H676="","",INDEX(DECKS!$E$2:$E$1201,$H676))</f>
        <v/>
      </c>
      <c r="G676" s="21" t="str">
        <f aca="false">IF($H676="","",INDEX(DECKS!$F$2:$F$1201,$H676))</f>
        <v/>
      </c>
      <c r="H676" s="11" t="str">
        <f aca="false">IFERROR(MATCH(ROW()-1,DECKS!$O$2:$O$1201,0),"")</f>
        <v/>
      </c>
      <c r="I676" s="11" t="str">
        <f aca="false">IF(C676="","",G676&amp;" "&amp;D676&amp;" ("&amp;C676&amp;")")</f>
        <v/>
      </c>
    </row>
    <row r="677" customFormat="false" ht="15" hidden="false" customHeight="false" outlineLevel="0" collapsed="false">
      <c r="A677" s="16"/>
      <c r="B677" s="11" t="str">
        <f aca="false">IF($H677="","",INDEX(DECKS!$A$2:$A$1201,$H677))</f>
        <v/>
      </c>
      <c r="C677" s="11" t="str">
        <f aca="false">IF($H677="","",INDEX(DECKS!$B$2:$B$1201,$H677))</f>
        <v/>
      </c>
      <c r="D677" s="11" t="str">
        <f aca="false">IF($H677="","",INDEX(DECKS!$C$2:$C$1201,$H677))</f>
        <v/>
      </c>
      <c r="E677" s="16" t="str">
        <f aca="false">IF($H677="","",INDEX(DECKS!$D$2:$D$1201,$H677))</f>
        <v/>
      </c>
      <c r="F677" s="16" t="str">
        <f aca="false">IF($H677="","",INDEX(DECKS!$E$2:$E$1201,$H677))</f>
        <v/>
      </c>
      <c r="G677" s="21" t="str">
        <f aca="false">IF($H677="","",INDEX(DECKS!$F$2:$F$1201,$H677))</f>
        <v/>
      </c>
      <c r="H677" s="11" t="str">
        <f aca="false">IFERROR(MATCH(ROW()-1,DECKS!$O$2:$O$1201,0),"")</f>
        <v/>
      </c>
      <c r="I677" s="11" t="str">
        <f aca="false">IF(C677="","",G677&amp;" "&amp;D677&amp;" ("&amp;C677&amp;")")</f>
        <v/>
      </c>
    </row>
    <row r="678" customFormat="false" ht="15" hidden="false" customHeight="false" outlineLevel="0" collapsed="false">
      <c r="A678" s="16"/>
      <c r="B678" s="11" t="str">
        <f aca="false">IF($H678="","",INDEX(DECKS!$A$2:$A$1201,$H678))</f>
        <v/>
      </c>
      <c r="C678" s="11" t="str">
        <f aca="false">IF($H678="","",INDEX(DECKS!$B$2:$B$1201,$H678))</f>
        <v/>
      </c>
      <c r="D678" s="11" t="str">
        <f aca="false">IF($H678="","",INDEX(DECKS!$C$2:$C$1201,$H678))</f>
        <v/>
      </c>
      <c r="E678" s="16" t="str">
        <f aca="false">IF($H678="","",INDEX(DECKS!$D$2:$D$1201,$H678))</f>
        <v/>
      </c>
      <c r="F678" s="16" t="str">
        <f aca="false">IF($H678="","",INDEX(DECKS!$E$2:$E$1201,$H678))</f>
        <v/>
      </c>
      <c r="G678" s="21" t="str">
        <f aca="false">IF($H678="","",INDEX(DECKS!$F$2:$F$1201,$H678))</f>
        <v/>
      </c>
      <c r="H678" s="11" t="str">
        <f aca="false">IFERROR(MATCH(ROW()-1,DECKS!$O$2:$O$1201,0),"")</f>
        <v/>
      </c>
      <c r="I678" s="11" t="str">
        <f aca="false">IF(C678="","",G678&amp;" "&amp;D678&amp;" ("&amp;C678&amp;")")</f>
        <v/>
      </c>
    </row>
    <row r="679" customFormat="false" ht="15" hidden="false" customHeight="false" outlineLevel="0" collapsed="false">
      <c r="A679" s="16"/>
      <c r="B679" s="11" t="str">
        <f aca="false">IF($H679="","",INDEX(DECKS!$A$2:$A$1201,$H679))</f>
        <v/>
      </c>
      <c r="C679" s="11" t="str">
        <f aca="false">IF($H679="","",INDEX(DECKS!$B$2:$B$1201,$H679))</f>
        <v/>
      </c>
      <c r="D679" s="11" t="str">
        <f aca="false">IF($H679="","",INDEX(DECKS!$C$2:$C$1201,$H679))</f>
        <v/>
      </c>
      <c r="E679" s="16" t="str">
        <f aca="false">IF($H679="","",INDEX(DECKS!$D$2:$D$1201,$H679))</f>
        <v/>
      </c>
      <c r="F679" s="16" t="str">
        <f aca="false">IF($H679="","",INDEX(DECKS!$E$2:$E$1201,$H679))</f>
        <v/>
      </c>
      <c r="G679" s="21" t="str">
        <f aca="false">IF($H679="","",INDEX(DECKS!$F$2:$F$1201,$H679))</f>
        <v/>
      </c>
      <c r="H679" s="11" t="str">
        <f aca="false">IFERROR(MATCH(ROW()-1,DECKS!$O$2:$O$1201,0),"")</f>
        <v/>
      </c>
      <c r="I679" s="11" t="str">
        <f aca="false">IF(C679="","",G679&amp;" "&amp;D679&amp;" ("&amp;C679&amp;")")</f>
        <v/>
      </c>
    </row>
    <row r="680" customFormat="false" ht="15" hidden="false" customHeight="false" outlineLevel="0" collapsed="false">
      <c r="A680" s="16"/>
      <c r="B680" s="11" t="str">
        <f aca="false">IF($H680="","",INDEX(DECKS!$A$2:$A$1201,$H680))</f>
        <v/>
      </c>
      <c r="C680" s="11" t="str">
        <f aca="false">IF($H680="","",INDEX(DECKS!$B$2:$B$1201,$H680))</f>
        <v/>
      </c>
      <c r="D680" s="11" t="str">
        <f aca="false">IF($H680="","",INDEX(DECKS!$C$2:$C$1201,$H680))</f>
        <v/>
      </c>
      <c r="E680" s="16" t="str">
        <f aca="false">IF($H680="","",INDEX(DECKS!$D$2:$D$1201,$H680))</f>
        <v/>
      </c>
      <c r="F680" s="16" t="str">
        <f aca="false">IF($H680="","",INDEX(DECKS!$E$2:$E$1201,$H680))</f>
        <v/>
      </c>
      <c r="G680" s="21" t="str">
        <f aca="false">IF($H680="","",INDEX(DECKS!$F$2:$F$1201,$H680))</f>
        <v/>
      </c>
      <c r="H680" s="11" t="str">
        <f aca="false">IFERROR(MATCH(ROW()-1,DECKS!$O$2:$O$1201,0),"")</f>
        <v/>
      </c>
      <c r="I680" s="11" t="str">
        <f aca="false">IF(C680="","",G680&amp;" "&amp;D680&amp;" ("&amp;C680&amp;")")</f>
        <v/>
      </c>
    </row>
    <row r="681" customFormat="false" ht="15" hidden="false" customHeight="false" outlineLevel="0" collapsed="false">
      <c r="A681" s="16"/>
      <c r="B681" s="11" t="str">
        <f aca="false">IF($H681="","",INDEX(DECKS!$A$2:$A$1201,$H681))</f>
        <v/>
      </c>
      <c r="C681" s="11" t="str">
        <f aca="false">IF($H681="","",INDEX(DECKS!$B$2:$B$1201,$H681))</f>
        <v/>
      </c>
      <c r="D681" s="11" t="str">
        <f aca="false">IF($H681="","",INDEX(DECKS!$C$2:$C$1201,$H681))</f>
        <v/>
      </c>
      <c r="E681" s="16" t="str">
        <f aca="false">IF($H681="","",INDEX(DECKS!$D$2:$D$1201,$H681))</f>
        <v/>
      </c>
      <c r="F681" s="16" t="str">
        <f aca="false">IF($H681="","",INDEX(DECKS!$E$2:$E$1201,$H681))</f>
        <v/>
      </c>
      <c r="G681" s="21" t="str">
        <f aca="false">IF($H681="","",INDEX(DECKS!$F$2:$F$1201,$H681))</f>
        <v/>
      </c>
      <c r="H681" s="11" t="str">
        <f aca="false">IFERROR(MATCH(ROW()-1,DECKS!$O$2:$O$1201,0),"")</f>
        <v/>
      </c>
      <c r="I681" s="11" t="str">
        <f aca="false">IF(C681="","",G681&amp;" "&amp;D681&amp;" ("&amp;C681&amp;")")</f>
        <v/>
      </c>
    </row>
    <row r="682" customFormat="false" ht="15" hidden="false" customHeight="false" outlineLevel="0" collapsed="false">
      <c r="A682" s="16"/>
      <c r="B682" s="11" t="str">
        <f aca="false">IF($H682="","",INDEX(DECKS!$A$2:$A$1201,$H682))</f>
        <v/>
      </c>
      <c r="C682" s="11" t="str">
        <f aca="false">IF($H682="","",INDEX(DECKS!$B$2:$B$1201,$H682))</f>
        <v/>
      </c>
      <c r="D682" s="11" t="str">
        <f aca="false">IF($H682="","",INDEX(DECKS!$C$2:$C$1201,$H682))</f>
        <v/>
      </c>
      <c r="E682" s="16" t="str">
        <f aca="false">IF($H682="","",INDEX(DECKS!$D$2:$D$1201,$H682))</f>
        <v/>
      </c>
      <c r="F682" s="16" t="str">
        <f aca="false">IF($H682="","",INDEX(DECKS!$E$2:$E$1201,$H682))</f>
        <v/>
      </c>
      <c r="G682" s="21" t="str">
        <f aca="false">IF($H682="","",INDEX(DECKS!$F$2:$F$1201,$H682))</f>
        <v/>
      </c>
      <c r="H682" s="11" t="str">
        <f aca="false">IFERROR(MATCH(ROW()-1,DECKS!$O$2:$O$1201,0),"")</f>
        <v/>
      </c>
      <c r="I682" s="11" t="str">
        <f aca="false">IF(C682="","",G682&amp;" "&amp;D682&amp;" ("&amp;C682&amp;")")</f>
        <v/>
      </c>
    </row>
    <row r="683" customFormat="false" ht="15" hidden="false" customHeight="false" outlineLevel="0" collapsed="false">
      <c r="A683" s="16"/>
      <c r="B683" s="11" t="str">
        <f aca="false">IF($H683="","",INDEX(DECKS!$A$2:$A$1201,$H683))</f>
        <v/>
      </c>
      <c r="C683" s="11" t="str">
        <f aca="false">IF($H683="","",INDEX(DECKS!$B$2:$B$1201,$H683))</f>
        <v/>
      </c>
      <c r="D683" s="11" t="str">
        <f aca="false">IF($H683="","",INDEX(DECKS!$C$2:$C$1201,$H683))</f>
        <v/>
      </c>
      <c r="E683" s="16" t="str">
        <f aca="false">IF($H683="","",INDEX(DECKS!$D$2:$D$1201,$H683))</f>
        <v/>
      </c>
      <c r="F683" s="16" t="str">
        <f aca="false">IF($H683="","",INDEX(DECKS!$E$2:$E$1201,$H683))</f>
        <v/>
      </c>
      <c r="G683" s="21" t="str">
        <f aca="false">IF($H683="","",INDEX(DECKS!$F$2:$F$1201,$H683))</f>
        <v/>
      </c>
      <c r="H683" s="11" t="str">
        <f aca="false">IFERROR(MATCH(ROW()-1,DECKS!$O$2:$O$1201,0),"")</f>
        <v/>
      </c>
      <c r="I683" s="11" t="str">
        <f aca="false">IF(C683="","",G683&amp;" "&amp;D683&amp;" ("&amp;C683&amp;")")</f>
        <v/>
      </c>
    </row>
    <row r="684" customFormat="false" ht="15" hidden="false" customHeight="false" outlineLevel="0" collapsed="false">
      <c r="A684" s="16"/>
      <c r="B684" s="11" t="str">
        <f aca="false">IF($H684="","",INDEX(DECKS!$A$2:$A$1201,$H684))</f>
        <v/>
      </c>
      <c r="C684" s="11" t="str">
        <f aca="false">IF($H684="","",INDEX(DECKS!$B$2:$B$1201,$H684))</f>
        <v/>
      </c>
      <c r="D684" s="11" t="str">
        <f aca="false">IF($H684="","",INDEX(DECKS!$C$2:$C$1201,$H684))</f>
        <v/>
      </c>
      <c r="E684" s="16" t="str">
        <f aca="false">IF($H684="","",INDEX(DECKS!$D$2:$D$1201,$H684))</f>
        <v/>
      </c>
      <c r="F684" s="16" t="str">
        <f aca="false">IF($H684="","",INDEX(DECKS!$E$2:$E$1201,$H684))</f>
        <v/>
      </c>
      <c r="G684" s="21" t="str">
        <f aca="false">IF($H684="","",INDEX(DECKS!$F$2:$F$1201,$H684))</f>
        <v/>
      </c>
      <c r="H684" s="11" t="str">
        <f aca="false">IFERROR(MATCH(ROW()-1,DECKS!$O$2:$O$1201,0),"")</f>
        <v/>
      </c>
      <c r="I684" s="11" t="str">
        <f aca="false">IF(C684="","",G684&amp;" "&amp;D684&amp;" ("&amp;C684&amp;")")</f>
        <v/>
      </c>
    </row>
    <row r="685" customFormat="false" ht="15" hidden="false" customHeight="false" outlineLevel="0" collapsed="false">
      <c r="A685" s="16"/>
      <c r="B685" s="11" t="str">
        <f aca="false">IF($H685="","",INDEX(DECKS!$A$2:$A$1201,$H685))</f>
        <v/>
      </c>
      <c r="C685" s="11" t="str">
        <f aca="false">IF($H685="","",INDEX(DECKS!$B$2:$B$1201,$H685))</f>
        <v/>
      </c>
      <c r="D685" s="11" t="str">
        <f aca="false">IF($H685="","",INDEX(DECKS!$C$2:$C$1201,$H685))</f>
        <v/>
      </c>
      <c r="E685" s="16" t="str">
        <f aca="false">IF($H685="","",INDEX(DECKS!$D$2:$D$1201,$H685))</f>
        <v/>
      </c>
      <c r="F685" s="16" t="str">
        <f aca="false">IF($H685="","",INDEX(DECKS!$E$2:$E$1201,$H685))</f>
        <v/>
      </c>
      <c r="G685" s="21" t="str">
        <f aca="false">IF($H685="","",INDEX(DECKS!$F$2:$F$1201,$H685))</f>
        <v/>
      </c>
      <c r="H685" s="11" t="str">
        <f aca="false">IFERROR(MATCH(ROW()-1,DECKS!$O$2:$O$1201,0),"")</f>
        <v/>
      </c>
      <c r="I685" s="11" t="str">
        <f aca="false">IF(C685="","",G685&amp;" "&amp;D685&amp;" ("&amp;C685&amp;")")</f>
        <v/>
      </c>
    </row>
    <row r="686" customFormat="false" ht="15" hidden="false" customHeight="false" outlineLevel="0" collapsed="false">
      <c r="A686" s="16"/>
      <c r="B686" s="11" t="str">
        <f aca="false">IF($H686="","",INDEX(DECKS!$A$2:$A$1201,$H686))</f>
        <v/>
      </c>
      <c r="C686" s="11" t="str">
        <f aca="false">IF($H686="","",INDEX(DECKS!$B$2:$B$1201,$H686))</f>
        <v/>
      </c>
      <c r="D686" s="11" t="str">
        <f aca="false">IF($H686="","",INDEX(DECKS!$C$2:$C$1201,$H686))</f>
        <v/>
      </c>
      <c r="E686" s="16" t="str">
        <f aca="false">IF($H686="","",INDEX(DECKS!$D$2:$D$1201,$H686))</f>
        <v/>
      </c>
      <c r="F686" s="16" t="str">
        <f aca="false">IF($H686="","",INDEX(DECKS!$E$2:$E$1201,$H686))</f>
        <v/>
      </c>
      <c r="G686" s="21" t="str">
        <f aca="false">IF($H686="","",INDEX(DECKS!$F$2:$F$1201,$H686))</f>
        <v/>
      </c>
      <c r="H686" s="11" t="str">
        <f aca="false">IFERROR(MATCH(ROW()-1,DECKS!$O$2:$O$1201,0),"")</f>
        <v/>
      </c>
      <c r="I686" s="11" t="str">
        <f aca="false">IF(C686="","",G686&amp;" "&amp;D686&amp;" ("&amp;C686&amp;")")</f>
        <v/>
      </c>
    </row>
    <row r="687" customFormat="false" ht="15" hidden="false" customHeight="false" outlineLevel="0" collapsed="false">
      <c r="A687" s="16"/>
      <c r="B687" s="11" t="str">
        <f aca="false">IF($H687="","",INDEX(DECKS!$A$2:$A$1201,$H687))</f>
        <v/>
      </c>
      <c r="C687" s="11" t="str">
        <f aca="false">IF($H687="","",INDEX(DECKS!$B$2:$B$1201,$H687))</f>
        <v/>
      </c>
      <c r="D687" s="11" t="str">
        <f aca="false">IF($H687="","",INDEX(DECKS!$C$2:$C$1201,$H687))</f>
        <v/>
      </c>
      <c r="E687" s="16" t="str">
        <f aca="false">IF($H687="","",INDEX(DECKS!$D$2:$D$1201,$H687))</f>
        <v/>
      </c>
      <c r="F687" s="16" t="str">
        <f aca="false">IF($H687="","",INDEX(DECKS!$E$2:$E$1201,$H687))</f>
        <v/>
      </c>
      <c r="G687" s="21" t="str">
        <f aca="false">IF($H687="","",INDEX(DECKS!$F$2:$F$1201,$H687))</f>
        <v/>
      </c>
      <c r="H687" s="11" t="str">
        <f aca="false">IFERROR(MATCH(ROW()-1,DECKS!$O$2:$O$1201,0),"")</f>
        <v/>
      </c>
      <c r="I687" s="11" t="str">
        <f aca="false">IF(C687="","",G687&amp;" "&amp;D687&amp;" ("&amp;C687&amp;")")</f>
        <v/>
      </c>
    </row>
    <row r="688" customFormat="false" ht="15" hidden="false" customHeight="false" outlineLevel="0" collapsed="false">
      <c r="A688" s="16"/>
      <c r="B688" s="11" t="str">
        <f aca="false">IF($H688="","",INDEX(DECKS!$A$2:$A$1201,$H688))</f>
        <v/>
      </c>
      <c r="C688" s="11" t="str">
        <f aca="false">IF($H688="","",INDEX(DECKS!$B$2:$B$1201,$H688))</f>
        <v/>
      </c>
      <c r="D688" s="11" t="str">
        <f aca="false">IF($H688="","",INDEX(DECKS!$C$2:$C$1201,$H688))</f>
        <v/>
      </c>
      <c r="E688" s="16" t="str">
        <f aca="false">IF($H688="","",INDEX(DECKS!$D$2:$D$1201,$H688))</f>
        <v/>
      </c>
      <c r="F688" s="16" t="str">
        <f aca="false">IF($H688="","",INDEX(DECKS!$E$2:$E$1201,$H688))</f>
        <v/>
      </c>
      <c r="G688" s="21" t="str">
        <f aca="false">IF($H688="","",INDEX(DECKS!$F$2:$F$1201,$H688))</f>
        <v/>
      </c>
      <c r="H688" s="11" t="str">
        <f aca="false">IFERROR(MATCH(ROW()-1,DECKS!$O$2:$O$1201,0),"")</f>
        <v/>
      </c>
      <c r="I688" s="11" t="str">
        <f aca="false">IF(C688="","",G688&amp;" "&amp;D688&amp;" ("&amp;C688&amp;")")</f>
        <v/>
      </c>
    </row>
    <row r="689" customFormat="false" ht="15" hidden="false" customHeight="false" outlineLevel="0" collapsed="false">
      <c r="A689" s="16"/>
      <c r="B689" s="11" t="str">
        <f aca="false">IF($H689="","",INDEX(DECKS!$A$2:$A$1201,$H689))</f>
        <v/>
      </c>
      <c r="C689" s="11" t="str">
        <f aca="false">IF($H689="","",INDEX(DECKS!$B$2:$B$1201,$H689))</f>
        <v/>
      </c>
      <c r="D689" s="11" t="str">
        <f aca="false">IF($H689="","",INDEX(DECKS!$C$2:$C$1201,$H689))</f>
        <v/>
      </c>
      <c r="E689" s="16" t="str">
        <f aca="false">IF($H689="","",INDEX(DECKS!$D$2:$D$1201,$H689))</f>
        <v/>
      </c>
      <c r="F689" s="16" t="str">
        <f aca="false">IF($H689="","",INDEX(DECKS!$E$2:$E$1201,$H689))</f>
        <v/>
      </c>
      <c r="G689" s="21" t="str">
        <f aca="false">IF($H689="","",INDEX(DECKS!$F$2:$F$1201,$H689))</f>
        <v/>
      </c>
      <c r="H689" s="11" t="str">
        <f aca="false">IFERROR(MATCH(ROW()-1,DECKS!$O$2:$O$1201,0),"")</f>
        <v/>
      </c>
      <c r="I689" s="11" t="str">
        <f aca="false">IF(C689="","",G689&amp;" "&amp;D689&amp;" ("&amp;C689&amp;")")</f>
        <v/>
      </c>
    </row>
    <row r="690" customFormat="false" ht="15" hidden="false" customHeight="false" outlineLevel="0" collapsed="false">
      <c r="A690" s="16"/>
      <c r="B690" s="11" t="str">
        <f aca="false">IF($H690="","",INDEX(DECKS!$A$2:$A$1201,$H690))</f>
        <v/>
      </c>
      <c r="C690" s="11" t="str">
        <f aca="false">IF($H690="","",INDEX(DECKS!$B$2:$B$1201,$H690))</f>
        <v/>
      </c>
      <c r="D690" s="11" t="str">
        <f aca="false">IF($H690="","",INDEX(DECKS!$C$2:$C$1201,$H690))</f>
        <v/>
      </c>
      <c r="E690" s="16" t="str">
        <f aca="false">IF($H690="","",INDEX(DECKS!$D$2:$D$1201,$H690))</f>
        <v/>
      </c>
      <c r="F690" s="16" t="str">
        <f aca="false">IF($H690="","",INDEX(DECKS!$E$2:$E$1201,$H690))</f>
        <v/>
      </c>
      <c r="G690" s="21" t="str">
        <f aca="false">IF($H690="","",INDEX(DECKS!$F$2:$F$1201,$H690))</f>
        <v/>
      </c>
      <c r="H690" s="11" t="str">
        <f aca="false">IFERROR(MATCH(ROW()-1,DECKS!$O$2:$O$1201,0),"")</f>
        <v/>
      </c>
      <c r="I690" s="11" t="str">
        <f aca="false">IF(C690="","",G690&amp;" "&amp;D690&amp;" ("&amp;C690&amp;")")</f>
        <v/>
      </c>
    </row>
    <row r="691" customFormat="false" ht="15" hidden="false" customHeight="false" outlineLevel="0" collapsed="false">
      <c r="A691" s="16"/>
      <c r="B691" s="11" t="str">
        <f aca="false">IF($H691="","",INDEX(DECKS!$A$2:$A$1201,$H691))</f>
        <v/>
      </c>
      <c r="C691" s="11" t="str">
        <f aca="false">IF($H691="","",INDEX(DECKS!$B$2:$B$1201,$H691))</f>
        <v/>
      </c>
      <c r="D691" s="11" t="str">
        <f aca="false">IF($H691="","",INDEX(DECKS!$C$2:$C$1201,$H691))</f>
        <v/>
      </c>
      <c r="E691" s="16" t="str">
        <f aca="false">IF($H691="","",INDEX(DECKS!$D$2:$D$1201,$H691))</f>
        <v/>
      </c>
      <c r="F691" s="16" t="str">
        <f aca="false">IF($H691="","",INDEX(DECKS!$E$2:$E$1201,$H691))</f>
        <v/>
      </c>
      <c r="G691" s="21" t="str">
        <f aca="false">IF($H691="","",INDEX(DECKS!$F$2:$F$1201,$H691))</f>
        <v/>
      </c>
      <c r="H691" s="11" t="str">
        <f aca="false">IFERROR(MATCH(ROW()-1,DECKS!$O$2:$O$1201,0),"")</f>
        <v/>
      </c>
      <c r="I691" s="11" t="str">
        <f aca="false">IF(C691="","",G691&amp;" "&amp;D691&amp;" ("&amp;C691&amp;")")</f>
        <v/>
      </c>
    </row>
    <row r="692" customFormat="false" ht="15" hidden="false" customHeight="false" outlineLevel="0" collapsed="false">
      <c r="A692" s="16"/>
      <c r="B692" s="11" t="str">
        <f aca="false">IF($H692="","",INDEX(DECKS!$A$2:$A$1201,$H692))</f>
        <v/>
      </c>
      <c r="C692" s="11" t="str">
        <f aca="false">IF($H692="","",INDEX(DECKS!$B$2:$B$1201,$H692))</f>
        <v/>
      </c>
      <c r="D692" s="11" t="str">
        <f aca="false">IF($H692="","",INDEX(DECKS!$C$2:$C$1201,$H692))</f>
        <v/>
      </c>
      <c r="E692" s="16" t="str">
        <f aca="false">IF($H692="","",INDEX(DECKS!$D$2:$D$1201,$H692))</f>
        <v/>
      </c>
      <c r="F692" s="16" t="str">
        <f aca="false">IF($H692="","",INDEX(DECKS!$E$2:$E$1201,$H692))</f>
        <v/>
      </c>
      <c r="G692" s="21" t="str">
        <f aca="false">IF($H692="","",INDEX(DECKS!$F$2:$F$1201,$H692))</f>
        <v/>
      </c>
      <c r="H692" s="11" t="str">
        <f aca="false">IFERROR(MATCH(ROW()-1,DECKS!$O$2:$O$1201,0),"")</f>
        <v/>
      </c>
      <c r="I692" s="11" t="str">
        <f aca="false">IF(C692="","",G692&amp;" "&amp;D692&amp;" ("&amp;C692&amp;")")</f>
        <v/>
      </c>
    </row>
    <row r="693" customFormat="false" ht="15" hidden="false" customHeight="false" outlineLevel="0" collapsed="false">
      <c r="A693" s="16"/>
      <c r="B693" s="11" t="str">
        <f aca="false">IF($H693="","",INDEX(DECKS!$A$2:$A$1201,$H693))</f>
        <v/>
      </c>
      <c r="C693" s="11" t="str">
        <f aca="false">IF($H693="","",INDEX(DECKS!$B$2:$B$1201,$H693))</f>
        <v/>
      </c>
      <c r="D693" s="11" t="str">
        <f aca="false">IF($H693="","",INDEX(DECKS!$C$2:$C$1201,$H693))</f>
        <v/>
      </c>
      <c r="E693" s="16" t="str">
        <f aca="false">IF($H693="","",INDEX(DECKS!$D$2:$D$1201,$H693))</f>
        <v/>
      </c>
      <c r="F693" s="16" t="str">
        <f aca="false">IF($H693="","",INDEX(DECKS!$E$2:$E$1201,$H693))</f>
        <v/>
      </c>
      <c r="G693" s="21" t="str">
        <f aca="false">IF($H693="","",INDEX(DECKS!$F$2:$F$1201,$H693))</f>
        <v/>
      </c>
      <c r="H693" s="11" t="str">
        <f aca="false">IFERROR(MATCH(ROW()-1,DECKS!$O$2:$O$1201,0),"")</f>
        <v/>
      </c>
      <c r="I693" s="11" t="str">
        <f aca="false">IF(C693="","",G693&amp;" "&amp;D693&amp;" ("&amp;C693&amp;")")</f>
        <v/>
      </c>
    </row>
    <row r="694" customFormat="false" ht="15" hidden="false" customHeight="false" outlineLevel="0" collapsed="false">
      <c r="A694" s="16"/>
      <c r="B694" s="11" t="str">
        <f aca="false">IF($H694="","",INDEX(DECKS!$A$2:$A$1201,$H694))</f>
        <v/>
      </c>
      <c r="C694" s="11" t="str">
        <f aca="false">IF($H694="","",INDEX(DECKS!$B$2:$B$1201,$H694))</f>
        <v/>
      </c>
      <c r="D694" s="11" t="str">
        <f aca="false">IF($H694="","",INDEX(DECKS!$C$2:$C$1201,$H694))</f>
        <v/>
      </c>
      <c r="E694" s="16" t="str">
        <f aca="false">IF($H694="","",INDEX(DECKS!$D$2:$D$1201,$H694))</f>
        <v/>
      </c>
      <c r="F694" s="16" t="str">
        <f aca="false">IF($H694="","",INDEX(DECKS!$E$2:$E$1201,$H694))</f>
        <v/>
      </c>
      <c r="G694" s="21" t="str">
        <f aca="false">IF($H694="","",INDEX(DECKS!$F$2:$F$1201,$H694))</f>
        <v/>
      </c>
      <c r="H694" s="11" t="str">
        <f aca="false">IFERROR(MATCH(ROW()-1,DECKS!$O$2:$O$1201,0),"")</f>
        <v/>
      </c>
      <c r="I694" s="11" t="str">
        <f aca="false">IF(C694="","",G694&amp;" "&amp;D694&amp;" ("&amp;C694&amp;")")</f>
        <v/>
      </c>
    </row>
    <row r="695" customFormat="false" ht="15" hidden="false" customHeight="false" outlineLevel="0" collapsed="false">
      <c r="A695" s="16"/>
      <c r="B695" s="11" t="str">
        <f aca="false">IF($H695="","",INDEX(DECKS!$A$2:$A$1201,$H695))</f>
        <v/>
      </c>
      <c r="C695" s="11" t="str">
        <f aca="false">IF($H695="","",INDEX(DECKS!$B$2:$B$1201,$H695))</f>
        <v/>
      </c>
      <c r="D695" s="11" t="str">
        <f aca="false">IF($H695="","",INDEX(DECKS!$C$2:$C$1201,$H695))</f>
        <v/>
      </c>
      <c r="E695" s="16" t="str">
        <f aca="false">IF($H695="","",INDEX(DECKS!$D$2:$D$1201,$H695))</f>
        <v/>
      </c>
      <c r="F695" s="16" t="str">
        <f aca="false">IF($H695="","",INDEX(DECKS!$E$2:$E$1201,$H695))</f>
        <v/>
      </c>
      <c r="G695" s="21" t="str">
        <f aca="false">IF($H695="","",INDEX(DECKS!$F$2:$F$1201,$H695))</f>
        <v/>
      </c>
      <c r="H695" s="11" t="str">
        <f aca="false">IFERROR(MATCH(ROW()-1,DECKS!$O$2:$O$1201,0),"")</f>
        <v/>
      </c>
      <c r="I695" s="11" t="str">
        <f aca="false">IF(C695="","",G695&amp;" "&amp;D695&amp;" ("&amp;C695&amp;")")</f>
        <v/>
      </c>
    </row>
    <row r="696" customFormat="false" ht="15" hidden="false" customHeight="false" outlineLevel="0" collapsed="false">
      <c r="A696" s="16"/>
      <c r="B696" s="11" t="str">
        <f aca="false">IF($H696="","",INDEX(DECKS!$A$2:$A$1201,$H696))</f>
        <v/>
      </c>
      <c r="C696" s="11" t="str">
        <f aca="false">IF($H696="","",INDEX(DECKS!$B$2:$B$1201,$H696))</f>
        <v/>
      </c>
      <c r="D696" s="11" t="str">
        <f aca="false">IF($H696="","",INDEX(DECKS!$C$2:$C$1201,$H696))</f>
        <v/>
      </c>
      <c r="E696" s="16" t="str">
        <f aca="false">IF($H696="","",INDEX(DECKS!$D$2:$D$1201,$H696))</f>
        <v/>
      </c>
      <c r="F696" s="16" t="str">
        <f aca="false">IF($H696="","",INDEX(DECKS!$E$2:$E$1201,$H696))</f>
        <v/>
      </c>
      <c r="G696" s="21" t="str">
        <f aca="false">IF($H696="","",INDEX(DECKS!$F$2:$F$1201,$H696))</f>
        <v/>
      </c>
      <c r="H696" s="11" t="str">
        <f aca="false">IFERROR(MATCH(ROW()-1,DECKS!$O$2:$O$1201,0),"")</f>
        <v/>
      </c>
      <c r="I696" s="11" t="str">
        <f aca="false">IF(C696="","",G696&amp;" "&amp;D696&amp;" ("&amp;C696&amp;")")</f>
        <v/>
      </c>
    </row>
    <row r="697" customFormat="false" ht="15" hidden="false" customHeight="false" outlineLevel="0" collapsed="false">
      <c r="A697" s="16"/>
      <c r="B697" s="11" t="str">
        <f aca="false">IF($H697="","",INDEX(DECKS!$A$2:$A$1201,$H697))</f>
        <v/>
      </c>
      <c r="C697" s="11" t="str">
        <f aca="false">IF($H697="","",INDEX(DECKS!$B$2:$B$1201,$H697))</f>
        <v/>
      </c>
      <c r="D697" s="11" t="str">
        <f aca="false">IF($H697="","",INDEX(DECKS!$C$2:$C$1201,$H697))</f>
        <v/>
      </c>
      <c r="E697" s="16" t="str">
        <f aca="false">IF($H697="","",INDEX(DECKS!$D$2:$D$1201,$H697))</f>
        <v/>
      </c>
      <c r="F697" s="16" t="str">
        <f aca="false">IF($H697="","",INDEX(DECKS!$E$2:$E$1201,$H697))</f>
        <v/>
      </c>
      <c r="G697" s="21" t="str">
        <f aca="false">IF($H697="","",INDEX(DECKS!$F$2:$F$1201,$H697))</f>
        <v/>
      </c>
      <c r="H697" s="11" t="str">
        <f aca="false">IFERROR(MATCH(ROW()-1,DECKS!$O$2:$O$1201,0),"")</f>
        <v/>
      </c>
      <c r="I697" s="11" t="str">
        <f aca="false">IF(C697="","",G697&amp;" "&amp;D697&amp;" ("&amp;C697&amp;")")</f>
        <v/>
      </c>
    </row>
    <row r="698" customFormat="false" ht="15" hidden="false" customHeight="false" outlineLevel="0" collapsed="false">
      <c r="A698" s="16"/>
      <c r="B698" s="11" t="str">
        <f aca="false">IF($H698="","",INDEX(DECKS!$A$2:$A$1201,$H698))</f>
        <v/>
      </c>
      <c r="C698" s="11" t="str">
        <f aca="false">IF($H698="","",INDEX(DECKS!$B$2:$B$1201,$H698))</f>
        <v/>
      </c>
      <c r="D698" s="11" t="str">
        <f aca="false">IF($H698="","",INDEX(DECKS!$C$2:$C$1201,$H698))</f>
        <v/>
      </c>
      <c r="E698" s="16" t="str">
        <f aca="false">IF($H698="","",INDEX(DECKS!$D$2:$D$1201,$H698))</f>
        <v/>
      </c>
      <c r="F698" s="16" t="str">
        <f aca="false">IF($H698="","",INDEX(DECKS!$E$2:$E$1201,$H698))</f>
        <v/>
      </c>
      <c r="G698" s="21" t="str">
        <f aca="false">IF($H698="","",INDEX(DECKS!$F$2:$F$1201,$H698))</f>
        <v/>
      </c>
      <c r="H698" s="11" t="str">
        <f aca="false">IFERROR(MATCH(ROW()-1,DECKS!$O$2:$O$1201,0),"")</f>
        <v/>
      </c>
      <c r="I698" s="11" t="str">
        <f aca="false">IF(C698="","",G698&amp;" "&amp;D698&amp;" ("&amp;C698&amp;")")</f>
        <v/>
      </c>
    </row>
    <row r="699" customFormat="false" ht="15" hidden="false" customHeight="false" outlineLevel="0" collapsed="false">
      <c r="A699" s="16"/>
      <c r="B699" s="11" t="str">
        <f aca="false">IF($H699="","",INDEX(DECKS!$A$2:$A$1201,$H699))</f>
        <v/>
      </c>
      <c r="C699" s="11" t="str">
        <f aca="false">IF($H699="","",INDEX(DECKS!$B$2:$B$1201,$H699))</f>
        <v/>
      </c>
      <c r="D699" s="11" t="str">
        <f aca="false">IF($H699="","",INDEX(DECKS!$C$2:$C$1201,$H699))</f>
        <v/>
      </c>
      <c r="E699" s="16" t="str">
        <f aca="false">IF($H699="","",INDEX(DECKS!$D$2:$D$1201,$H699))</f>
        <v/>
      </c>
      <c r="F699" s="16" t="str">
        <f aca="false">IF($H699="","",INDEX(DECKS!$E$2:$E$1201,$H699))</f>
        <v/>
      </c>
      <c r="G699" s="21" t="str">
        <f aca="false">IF($H699="","",INDEX(DECKS!$F$2:$F$1201,$H699))</f>
        <v/>
      </c>
      <c r="H699" s="11" t="str">
        <f aca="false">IFERROR(MATCH(ROW()-1,DECKS!$O$2:$O$1201,0),"")</f>
        <v/>
      </c>
      <c r="I699" s="11" t="str">
        <f aca="false">IF(C699="","",G699&amp;" "&amp;D699&amp;" ("&amp;C699&amp;")")</f>
        <v/>
      </c>
    </row>
    <row r="700" customFormat="false" ht="15" hidden="false" customHeight="false" outlineLevel="0" collapsed="false">
      <c r="A700" s="16"/>
      <c r="B700" s="11" t="str">
        <f aca="false">IF($H700="","",INDEX(DECKS!$A$2:$A$1201,$H700))</f>
        <v/>
      </c>
      <c r="C700" s="11" t="str">
        <f aca="false">IF($H700="","",INDEX(DECKS!$B$2:$B$1201,$H700))</f>
        <v/>
      </c>
      <c r="D700" s="11" t="str">
        <f aca="false">IF($H700="","",INDEX(DECKS!$C$2:$C$1201,$H700))</f>
        <v/>
      </c>
      <c r="E700" s="16" t="str">
        <f aca="false">IF($H700="","",INDEX(DECKS!$D$2:$D$1201,$H700))</f>
        <v/>
      </c>
      <c r="F700" s="16" t="str">
        <f aca="false">IF($H700="","",INDEX(DECKS!$E$2:$E$1201,$H700))</f>
        <v/>
      </c>
      <c r="G700" s="21" t="str">
        <f aca="false">IF($H700="","",INDEX(DECKS!$F$2:$F$1201,$H700))</f>
        <v/>
      </c>
      <c r="H700" s="11" t="str">
        <f aca="false">IFERROR(MATCH(ROW()-1,DECKS!$O$2:$O$1201,0),"")</f>
        <v/>
      </c>
      <c r="I700" s="11" t="str">
        <f aca="false">IF(C700="","",G700&amp;" "&amp;D700&amp;" ("&amp;C700&amp;")")</f>
        <v/>
      </c>
    </row>
    <row r="701" customFormat="false" ht="15" hidden="false" customHeight="false" outlineLevel="0" collapsed="false">
      <c r="A701" s="16"/>
      <c r="B701" s="11" t="str">
        <f aca="false">IF($H701="","",INDEX(DECKS!$A$2:$A$1201,$H701))</f>
        <v/>
      </c>
      <c r="C701" s="11" t="str">
        <f aca="false">IF($H701="","",INDEX(DECKS!$B$2:$B$1201,$H701))</f>
        <v/>
      </c>
      <c r="D701" s="11" t="str">
        <f aca="false">IF($H701="","",INDEX(DECKS!$C$2:$C$1201,$H701))</f>
        <v/>
      </c>
      <c r="E701" s="16" t="str">
        <f aca="false">IF($H701="","",INDEX(DECKS!$D$2:$D$1201,$H701))</f>
        <v/>
      </c>
      <c r="F701" s="16" t="str">
        <f aca="false">IF($H701="","",INDEX(DECKS!$E$2:$E$1201,$H701))</f>
        <v/>
      </c>
      <c r="G701" s="21" t="str">
        <f aca="false">IF($H701="","",INDEX(DECKS!$F$2:$F$1201,$H701))</f>
        <v/>
      </c>
      <c r="H701" s="11" t="str">
        <f aca="false">IFERROR(MATCH(ROW()-1,DECKS!$O$2:$O$1201,0),"")</f>
        <v/>
      </c>
      <c r="I701" s="11" t="str">
        <f aca="false">IF(C701="","",G701&amp;" "&amp;D701&amp;" ("&amp;C701&amp;")")</f>
        <v/>
      </c>
    </row>
    <row r="702" customFormat="false" ht="15" hidden="false" customHeight="false" outlineLevel="0" collapsed="false">
      <c r="A702" s="16"/>
      <c r="B702" s="11" t="str">
        <f aca="false">IF($H702="","",INDEX(DECKS!$A$2:$A$1201,$H702))</f>
        <v/>
      </c>
      <c r="C702" s="11" t="str">
        <f aca="false">IF($H702="","",INDEX(DECKS!$B$2:$B$1201,$H702))</f>
        <v/>
      </c>
      <c r="D702" s="11" t="str">
        <f aca="false">IF($H702="","",INDEX(DECKS!$C$2:$C$1201,$H702))</f>
        <v/>
      </c>
      <c r="E702" s="16" t="str">
        <f aca="false">IF($H702="","",INDEX(DECKS!$D$2:$D$1201,$H702))</f>
        <v/>
      </c>
      <c r="F702" s="16" t="str">
        <f aca="false">IF($H702="","",INDEX(DECKS!$E$2:$E$1201,$H702))</f>
        <v/>
      </c>
      <c r="G702" s="21" t="str">
        <f aca="false">IF($H702="","",INDEX(DECKS!$F$2:$F$1201,$H702))</f>
        <v/>
      </c>
      <c r="H702" s="11" t="str">
        <f aca="false">IFERROR(MATCH(ROW()-1,DECKS!$O$2:$O$1201,0),"")</f>
        <v/>
      </c>
      <c r="I702" s="11" t="str">
        <f aca="false">IF(C702="","",G702&amp;" "&amp;D702&amp;" ("&amp;C702&amp;")")</f>
        <v/>
      </c>
    </row>
    <row r="703" customFormat="false" ht="15" hidden="false" customHeight="false" outlineLevel="0" collapsed="false">
      <c r="A703" s="16"/>
      <c r="B703" s="11" t="str">
        <f aca="false">IF($H703="","",INDEX(DECKS!$A$2:$A$1201,$H703))</f>
        <v/>
      </c>
      <c r="C703" s="11" t="str">
        <f aca="false">IF($H703="","",INDEX(DECKS!$B$2:$B$1201,$H703))</f>
        <v/>
      </c>
      <c r="D703" s="11" t="str">
        <f aca="false">IF($H703="","",INDEX(DECKS!$C$2:$C$1201,$H703))</f>
        <v/>
      </c>
      <c r="E703" s="16" t="str">
        <f aca="false">IF($H703="","",INDEX(DECKS!$D$2:$D$1201,$H703))</f>
        <v/>
      </c>
      <c r="F703" s="16" t="str">
        <f aca="false">IF($H703="","",INDEX(DECKS!$E$2:$E$1201,$H703))</f>
        <v/>
      </c>
      <c r="G703" s="21" t="str">
        <f aca="false">IF($H703="","",INDEX(DECKS!$F$2:$F$1201,$H703))</f>
        <v/>
      </c>
      <c r="H703" s="11" t="str">
        <f aca="false">IFERROR(MATCH(ROW()-1,DECKS!$O$2:$O$1201,0),"")</f>
        <v/>
      </c>
      <c r="I703" s="11" t="str">
        <f aca="false">IF(C703="","",G703&amp;" "&amp;D703&amp;" ("&amp;C703&amp;")")</f>
        <v/>
      </c>
    </row>
    <row r="704" customFormat="false" ht="15" hidden="false" customHeight="false" outlineLevel="0" collapsed="false">
      <c r="A704" s="16"/>
      <c r="B704" s="11" t="str">
        <f aca="false">IF($H704="","",INDEX(DECKS!$A$2:$A$1201,$H704))</f>
        <v/>
      </c>
      <c r="C704" s="11" t="str">
        <f aca="false">IF($H704="","",INDEX(DECKS!$B$2:$B$1201,$H704))</f>
        <v/>
      </c>
      <c r="D704" s="11" t="str">
        <f aca="false">IF($H704="","",INDEX(DECKS!$C$2:$C$1201,$H704))</f>
        <v/>
      </c>
      <c r="E704" s="16" t="str">
        <f aca="false">IF($H704="","",INDEX(DECKS!$D$2:$D$1201,$H704))</f>
        <v/>
      </c>
      <c r="F704" s="16" t="str">
        <f aca="false">IF($H704="","",INDEX(DECKS!$E$2:$E$1201,$H704))</f>
        <v/>
      </c>
      <c r="G704" s="21" t="str">
        <f aca="false">IF($H704="","",INDEX(DECKS!$F$2:$F$1201,$H704))</f>
        <v/>
      </c>
      <c r="H704" s="11" t="str">
        <f aca="false">IFERROR(MATCH(ROW()-1,DECKS!$O$2:$O$1201,0),"")</f>
        <v/>
      </c>
      <c r="I704" s="11" t="str">
        <f aca="false">IF(C704="","",G704&amp;" "&amp;D704&amp;" ("&amp;C704&amp;")")</f>
        <v/>
      </c>
    </row>
    <row r="705" customFormat="false" ht="15" hidden="false" customHeight="false" outlineLevel="0" collapsed="false">
      <c r="A705" s="16"/>
      <c r="B705" s="11" t="str">
        <f aca="false">IF($H705="","",INDEX(DECKS!$A$2:$A$1201,$H705))</f>
        <v/>
      </c>
      <c r="C705" s="11" t="str">
        <f aca="false">IF($H705="","",INDEX(DECKS!$B$2:$B$1201,$H705))</f>
        <v/>
      </c>
      <c r="D705" s="11" t="str">
        <f aca="false">IF($H705="","",INDEX(DECKS!$C$2:$C$1201,$H705))</f>
        <v/>
      </c>
      <c r="E705" s="16" t="str">
        <f aca="false">IF($H705="","",INDEX(DECKS!$D$2:$D$1201,$H705))</f>
        <v/>
      </c>
      <c r="F705" s="16" t="str">
        <f aca="false">IF($H705="","",INDEX(DECKS!$E$2:$E$1201,$H705))</f>
        <v/>
      </c>
      <c r="G705" s="21" t="str">
        <f aca="false">IF($H705="","",INDEX(DECKS!$F$2:$F$1201,$H705))</f>
        <v/>
      </c>
      <c r="H705" s="11" t="str">
        <f aca="false">IFERROR(MATCH(ROW()-1,DECKS!$O$2:$O$1201,0),"")</f>
        <v/>
      </c>
      <c r="I705" s="11" t="str">
        <f aca="false">IF(C705="","",G705&amp;" "&amp;D705&amp;" ("&amp;C705&amp;")")</f>
        <v/>
      </c>
    </row>
    <row r="706" customFormat="false" ht="15" hidden="false" customHeight="false" outlineLevel="0" collapsed="false">
      <c r="A706" s="16"/>
      <c r="B706" s="11" t="str">
        <f aca="false">IF($H706="","",INDEX(DECKS!$A$2:$A$1201,$H706))</f>
        <v/>
      </c>
      <c r="C706" s="11" t="str">
        <f aca="false">IF($H706="","",INDEX(DECKS!$B$2:$B$1201,$H706))</f>
        <v/>
      </c>
      <c r="D706" s="11" t="str">
        <f aca="false">IF($H706="","",INDEX(DECKS!$C$2:$C$1201,$H706))</f>
        <v/>
      </c>
      <c r="E706" s="16" t="str">
        <f aca="false">IF($H706="","",INDEX(DECKS!$D$2:$D$1201,$H706))</f>
        <v/>
      </c>
      <c r="F706" s="16" t="str">
        <f aca="false">IF($H706="","",INDEX(DECKS!$E$2:$E$1201,$H706))</f>
        <v/>
      </c>
      <c r="G706" s="21" t="str">
        <f aca="false">IF($H706="","",INDEX(DECKS!$F$2:$F$1201,$H706))</f>
        <v/>
      </c>
      <c r="H706" s="11" t="str">
        <f aca="false">IFERROR(MATCH(ROW()-1,DECKS!$O$2:$O$1201,0),"")</f>
        <v/>
      </c>
      <c r="I706" s="11" t="str">
        <f aca="false">IF(C706="","",G706&amp;" "&amp;D706&amp;" ("&amp;C706&amp;")")</f>
        <v/>
      </c>
    </row>
    <row r="707" customFormat="false" ht="15" hidden="false" customHeight="false" outlineLevel="0" collapsed="false">
      <c r="A707" s="16"/>
      <c r="B707" s="11" t="str">
        <f aca="false">IF($H707="","",INDEX(DECKS!$A$2:$A$1201,$H707))</f>
        <v/>
      </c>
      <c r="C707" s="11" t="str">
        <f aca="false">IF($H707="","",INDEX(DECKS!$B$2:$B$1201,$H707))</f>
        <v/>
      </c>
      <c r="D707" s="11" t="str">
        <f aca="false">IF($H707="","",INDEX(DECKS!$C$2:$C$1201,$H707))</f>
        <v/>
      </c>
      <c r="E707" s="16" t="str">
        <f aca="false">IF($H707="","",INDEX(DECKS!$D$2:$D$1201,$H707))</f>
        <v/>
      </c>
      <c r="F707" s="16" t="str">
        <f aca="false">IF($H707="","",INDEX(DECKS!$E$2:$E$1201,$H707))</f>
        <v/>
      </c>
      <c r="G707" s="21" t="str">
        <f aca="false">IF($H707="","",INDEX(DECKS!$F$2:$F$1201,$H707))</f>
        <v/>
      </c>
      <c r="H707" s="11" t="str">
        <f aca="false">IFERROR(MATCH(ROW()-1,DECKS!$O$2:$O$1201,0),"")</f>
        <v/>
      </c>
      <c r="I707" s="11" t="str">
        <f aca="false">IF(C707="","",G707&amp;" "&amp;D707&amp;" ("&amp;C707&amp;")")</f>
        <v/>
      </c>
    </row>
    <row r="708" customFormat="false" ht="15" hidden="false" customHeight="false" outlineLevel="0" collapsed="false">
      <c r="A708" s="16"/>
      <c r="B708" s="11" t="str">
        <f aca="false">IF($H708="","",INDEX(DECKS!$A$2:$A$1201,$H708))</f>
        <v/>
      </c>
      <c r="C708" s="11" t="str">
        <f aca="false">IF($H708="","",INDEX(DECKS!$B$2:$B$1201,$H708))</f>
        <v/>
      </c>
      <c r="D708" s="11" t="str">
        <f aca="false">IF($H708="","",INDEX(DECKS!$C$2:$C$1201,$H708))</f>
        <v/>
      </c>
      <c r="E708" s="16" t="str">
        <f aca="false">IF($H708="","",INDEX(DECKS!$D$2:$D$1201,$H708))</f>
        <v/>
      </c>
      <c r="F708" s="16" t="str">
        <f aca="false">IF($H708="","",INDEX(DECKS!$E$2:$E$1201,$H708))</f>
        <v/>
      </c>
      <c r="G708" s="21" t="str">
        <f aca="false">IF($H708="","",INDEX(DECKS!$F$2:$F$1201,$H708))</f>
        <v/>
      </c>
      <c r="H708" s="11" t="str">
        <f aca="false">IFERROR(MATCH(ROW()-1,DECKS!$O$2:$O$1201,0),"")</f>
        <v/>
      </c>
      <c r="I708" s="11" t="str">
        <f aca="false">IF(C708="","",G708&amp;" "&amp;D708&amp;" ("&amp;C708&amp;")")</f>
        <v/>
      </c>
    </row>
    <row r="709" customFormat="false" ht="15" hidden="false" customHeight="false" outlineLevel="0" collapsed="false">
      <c r="A709" s="16"/>
      <c r="B709" s="11" t="str">
        <f aca="false">IF($H709="","",INDEX(DECKS!$A$2:$A$1201,$H709))</f>
        <v/>
      </c>
      <c r="C709" s="11" t="str">
        <f aca="false">IF($H709="","",INDEX(DECKS!$B$2:$B$1201,$H709))</f>
        <v/>
      </c>
      <c r="D709" s="11" t="str">
        <f aca="false">IF($H709="","",INDEX(DECKS!$C$2:$C$1201,$H709))</f>
        <v/>
      </c>
      <c r="E709" s="16" t="str">
        <f aca="false">IF($H709="","",INDEX(DECKS!$D$2:$D$1201,$H709))</f>
        <v/>
      </c>
      <c r="F709" s="16" t="str">
        <f aca="false">IF($H709="","",INDEX(DECKS!$E$2:$E$1201,$H709))</f>
        <v/>
      </c>
      <c r="G709" s="21" t="str">
        <f aca="false">IF($H709="","",INDEX(DECKS!$F$2:$F$1201,$H709))</f>
        <v/>
      </c>
      <c r="H709" s="11" t="str">
        <f aca="false">IFERROR(MATCH(ROW()-1,DECKS!$O$2:$O$1201,0),"")</f>
        <v/>
      </c>
      <c r="I709" s="11" t="str">
        <f aca="false">IF(C709="","",G709&amp;" "&amp;D709&amp;" ("&amp;C709&amp;")")</f>
        <v/>
      </c>
    </row>
    <row r="710" customFormat="false" ht="15" hidden="false" customHeight="false" outlineLevel="0" collapsed="false">
      <c r="A710" s="16"/>
      <c r="B710" s="11" t="str">
        <f aca="false">IF($H710="","",INDEX(DECKS!$A$2:$A$1201,$H710))</f>
        <v/>
      </c>
      <c r="C710" s="11" t="str">
        <f aca="false">IF($H710="","",INDEX(DECKS!$B$2:$B$1201,$H710))</f>
        <v/>
      </c>
      <c r="D710" s="11" t="str">
        <f aca="false">IF($H710="","",INDEX(DECKS!$C$2:$C$1201,$H710))</f>
        <v/>
      </c>
      <c r="E710" s="16" t="str">
        <f aca="false">IF($H710="","",INDEX(DECKS!$D$2:$D$1201,$H710))</f>
        <v/>
      </c>
      <c r="F710" s="16" t="str">
        <f aca="false">IF($H710="","",INDEX(DECKS!$E$2:$E$1201,$H710))</f>
        <v/>
      </c>
      <c r="G710" s="21" t="str">
        <f aca="false">IF($H710="","",INDEX(DECKS!$F$2:$F$1201,$H710))</f>
        <v/>
      </c>
      <c r="H710" s="11" t="str">
        <f aca="false">IFERROR(MATCH(ROW()-1,DECKS!$O$2:$O$1201,0),"")</f>
        <v/>
      </c>
      <c r="I710" s="11" t="str">
        <f aca="false">IF(C710="","",G710&amp;" "&amp;D710&amp;" ("&amp;C710&amp;")")</f>
        <v/>
      </c>
    </row>
    <row r="711" customFormat="false" ht="15" hidden="false" customHeight="false" outlineLevel="0" collapsed="false">
      <c r="A711" s="16"/>
      <c r="B711" s="11" t="str">
        <f aca="false">IF($H711="","",INDEX(DECKS!$A$2:$A$1201,$H711))</f>
        <v/>
      </c>
      <c r="C711" s="11" t="str">
        <f aca="false">IF($H711="","",INDEX(DECKS!$B$2:$B$1201,$H711))</f>
        <v/>
      </c>
      <c r="D711" s="11" t="str">
        <f aca="false">IF($H711="","",INDEX(DECKS!$C$2:$C$1201,$H711))</f>
        <v/>
      </c>
      <c r="E711" s="16" t="str">
        <f aca="false">IF($H711="","",INDEX(DECKS!$D$2:$D$1201,$H711))</f>
        <v/>
      </c>
      <c r="F711" s="16" t="str">
        <f aca="false">IF($H711="","",INDEX(DECKS!$E$2:$E$1201,$H711))</f>
        <v/>
      </c>
      <c r="G711" s="21" t="str">
        <f aca="false">IF($H711="","",INDEX(DECKS!$F$2:$F$1201,$H711))</f>
        <v/>
      </c>
      <c r="H711" s="11" t="str">
        <f aca="false">IFERROR(MATCH(ROW()-1,DECKS!$O$2:$O$1201,0),"")</f>
        <v/>
      </c>
      <c r="I711" s="11" t="str">
        <f aca="false">IF(C711="","",G711&amp;" "&amp;D711&amp;" ("&amp;C711&amp;")")</f>
        <v/>
      </c>
    </row>
    <row r="712" customFormat="false" ht="15" hidden="false" customHeight="false" outlineLevel="0" collapsed="false">
      <c r="A712" s="16"/>
      <c r="B712" s="11" t="str">
        <f aca="false">IF($H712="","",INDEX(DECKS!$A$2:$A$1201,$H712))</f>
        <v/>
      </c>
      <c r="C712" s="11" t="str">
        <f aca="false">IF($H712="","",INDEX(DECKS!$B$2:$B$1201,$H712))</f>
        <v/>
      </c>
      <c r="D712" s="11" t="str">
        <f aca="false">IF($H712="","",INDEX(DECKS!$C$2:$C$1201,$H712))</f>
        <v/>
      </c>
      <c r="E712" s="16" t="str">
        <f aca="false">IF($H712="","",INDEX(DECKS!$D$2:$D$1201,$H712))</f>
        <v/>
      </c>
      <c r="F712" s="16" t="str">
        <f aca="false">IF($H712="","",INDEX(DECKS!$E$2:$E$1201,$H712))</f>
        <v/>
      </c>
      <c r="G712" s="21" t="str">
        <f aca="false">IF($H712="","",INDEX(DECKS!$F$2:$F$1201,$H712))</f>
        <v/>
      </c>
      <c r="H712" s="11" t="str">
        <f aca="false">IFERROR(MATCH(ROW()-1,DECKS!$O$2:$O$1201,0),"")</f>
        <v/>
      </c>
      <c r="I712" s="11" t="str">
        <f aca="false">IF(C712="","",G712&amp;" "&amp;D712&amp;" ("&amp;C712&amp;")")</f>
        <v/>
      </c>
    </row>
    <row r="713" customFormat="false" ht="15" hidden="false" customHeight="false" outlineLevel="0" collapsed="false">
      <c r="A713" s="16"/>
      <c r="B713" s="11" t="str">
        <f aca="false">IF($H713="","",INDEX(DECKS!$A$2:$A$1201,$H713))</f>
        <v/>
      </c>
      <c r="C713" s="11" t="str">
        <f aca="false">IF($H713="","",INDEX(DECKS!$B$2:$B$1201,$H713))</f>
        <v/>
      </c>
      <c r="D713" s="11" t="str">
        <f aca="false">IF($H713="","",INDEX(DECKS!$C$2:$C$1201,$H713))</f>
        <v/>
      </c>
      <c r="E713" s="16" t="str">
        <f aca="false">IF($H713="","",INDEX(DECKS!$D$2:$D$1201,$H713))</f>
        <v/>
      </c>
      <c r="F713" s="16" t="str">
        <f aca="false">IF($H713="","",INDEX(DECKS!$E$2:$E$1201,$H713))</f>
        <v/>
      </c>
      <c r="G713" s="21" t="str">
        <f aca="false">IF($H713="","",INDEX(DECKS!$F$2:$F$1201,$H713))</f>
        <v/>
      </c>
      <c r="H713" s="11" t="str">
        <f aca="false">IFERROR(MATCH(ROW()-1,DECKS!$O$2:$O$1201,0),"")</f>
        <v/>
      </c>
      <c r="I713" s="11" t="str">
        <f aca="false">IF(C713="","",G713&amp;" "&amp;D713&amp;" ("&amp;C713&amp;")")</f>
        <v/>
      </c>
    </row>
    <row r="714" customFormat="false" ht="15" hidden="false" customHeight="false" outlineLevel="0" collapsed="false">
      <c r="A714" s="16"/>
      <c r="B714" s="11" t="str">
        <f aca="false">IF($H714="","",INDEX(DECKS!$A$2:$A$1201,$H714))</f>
        <v/>
      </c>
      <c r="C714" s="11" t="str">
        <f aca="false">IF($H714="","",INDEX(DECKS!$B$2:$B$1201,$H714))</f>
        <v/>
      </c>
      <c r="D714" s="11" t="str">
        <f aca="false">IF($H714="","",INDEX(DECKS!$C$2:$C$1201,$H714))</f>
        <v/>
      </c>
      <c r="E714" s="16" t="str">
        <f aca="false">IF($H714="","",INDEX(DECKS!$D$2:$D$1201,$H714))</f>
        <v/>
      </c>
      <c r="F714" s="16" t="str">
        <f aca="false">IF($H714="","",INDEX(DECKS!$E$2:$E$1201,$H714))</f>
        <v/>
      </c>
      <c r="G714" s="21" t="str">
        <f aca="false">IF($H714="","",INDEX(DECKS!$F$2:$F$1201,$H714))</f>
        <v/>
      </c>
      <c r="H714" s="11" t="str">
        <f aca="false">IFERROR(MATCH(ROW()-1,DECKS!$O$2:$O$1201,0),"")</f>
        <v/>
      </c>
      <c r="I714" s="11" t="str">
        <f aca="false">IF(C714="","",G714&amp;" "&amp;D714&amp;" ("&amp;C714&amp;")")</f>
        <v/>
      </c>
    </row>
    <row r="715" customFormat="false" ht="15" hidden="false" customHeight="false" outlineLevel="0" collapsed="false">
      <c r="A715" s="16"/>
      <c r="B715" s="11" t="str">
        <f aca="false">IF($H715="","",INDEX(DECKS!$A$2:$A$1201,$H715))</f>
        <v/>
      </c>
      <c r="C715" s="11" t="str">
        <f aca="false">IF($H715="","",INDEX(DECKS!$B$2:$B$1201,$H715))</f>
        <v/>
      </c>
      <c r="D715" s="11" t="str">
        <f aca="false">IF($H715="","",INDEX(DECKS!$C$2:$C$1201,$H715))</f>
        <v/>
      </c>
      <c r="E715" s="16" t="str">
        <f aca="false">IF($H715="","",INDEX(DECKS!$D$2:$D$1201,$H715))</f>
        <v/>
      </c>
      <c r="F715" s="16" t="str">
        <f aca="false">IF($H715="","",INDEX(DECKS!$E$2:$E$1201,$H715))</f>
        <v/>
      </c>
      <c r="G715" s="21" t="str">
        <f aca="false">IF($H715="","",INDEX(DECKS!$F$2:$F$1201,$H715))</f>
        <v/>
      </c>
      <c r="H715" s="11" t="str">
        <f aca="false">IFERROR(MATCH(ROW()-1,DECKS!$O$2:$O$1201,0),"")</f>
        <v/>
      </c>
      <c r="I715" s="11" t="str">
        <f aca="false">IF(C715="","",G715&amp;" "&amp;D715&amp;" ("&amp;C715&amp;")")</f>
        <v/>
      </c>
    </row>
    <row r="716" customFormat="false" ht="15" hidden="false" customHeight="false" outlineLevel="0" collapsed="false">
      <c r="A716" s="16"/>
      <c r="B716" s="11" t="str">
        <f aca="false">IF($H716="","",INDEX(DECKS!$A$2:$A$1201,$H716))</f>
        <v/>
      </c>
      <c r="C716" s="11" t="str">
        <f aca="false">IF($H716="","",INDEX(DECKS!$B$2:$B$1201,$H716))</f>
        <v/>
      </c>
      <c r="D716" s="11" t="str">
        <f aca="false">IF($H716="","",INDEX(DECKS!$C$2:$C$1201,$H716))</f>
        <v/>
      </c>
      <c r="E716" s="16" t="str">
        <f aca="false">IF($H716="","",INDEX(DECKS!$D$2:$D$1201,$H716))</f>
        <v/>
      </c>
      <c r="F716" s="16" t="str">
        <f aca="false">IF($H716="","",INDEX(DECKS!$E$2:$E$1201,$H716))</f>
        <v/>
      </c>
      <c r="G716" s="21" t="str">
        <f aca="false">IF($H716="","",INDEX(DECKS!$F$2:$F$1201,$H716))</f>
        <v/>
      </c>
      <c r="H716" s="11" t="str">
        <f aca="false">IFERROR(MATCH(ROW()-1,DECKS!$O$2:$O$1201,0),"")</f>
        <v/>
      </c>
      <c r="I716" s="11" t="str">
        <f aca="false">IF(C716="","",G716&amp;" "&amp;D716&amp;" ("&amp;C716&amp;")")</f>
        <v/>
      </c>
    </row>
    <row r="717" customFormat="false" ht="15" hidden="false" customHeight="false" outlineLevel="0" collapsed="false">
      <c r="A717" s="16"/>
      <c r="B717" s="11" t="str">
        <f aca="false">IF($H717="","",INDEX(DECKS!$A$2:$A$1201,$H717))</f>
        <v/>
      </c>
      <c r="C717" s="11" t="str">
        <f aca="false">IF($H717="","",INDEX(DECKS!$B$2:$B$1201,$H717))</f>
        <v/>
      </c>
      <c r="D717" s="11" t="str">
        <f aca="false">IF($H717="","",INDEX(DECKS!$C$2:$C$1201,$H717))</f>
        <v/>
      </c>
      <c r="E717" s="16" t="str">
        <f aca="false">IF($H717="","",INDEX(DECKS!$D$2:$D$1201,$H717))</f>
        <v/>
      </c>
      <c r="F717" s="16" t="str">
        <f aca="false">IF($H717="","",INDEX(DECKS!$E$2:$E$1201,$H717))</f>
        <v/>
      </c>
      <c r="G717" s="21" t="str">
        <f aca="false">IF($H717="","",INDEX(DECKS!$F$2:$F$1201,$H717))</f>
        <v/>
      </c>
      <c r="H717" s="11" t="str">
        <f aca="false">IFERROR(MATCH(ROW()-1,DECKS!$O$2:$O$1201,0),"")</f>
        <v/>
      </c>
      <c r="I717" s="11" t="str">
        <f aca="false">IF(C717="","",G717&amp;" "&amp;D717&amp;" ("&amp;C717&amp;")")</f>
        <v/>
      </c>
    </row>
    <row r="718" customFormat="false" ht="15" hidden="false" customHeight="false" outlineLevel="0" collapsed="false">
      <c r="A718" s="16"/>
      <c r="B718" s="11" t="str">
        <f aca="false">IF($H718="","",INDEX(DECKS!$A$2:$A$1201,$H718))</f>
        <v/>
      </c>
      <c r="C718" s="11" t="str">
        <f aca="false">IF($H718="","",INDEX(DECKS!$B$2:$B$1201,$H718))</f>
        <v/>
      </c>
      <c r="D718" s="11" t="str">
        <f aca="false">IF($H718="","",INDEX(DECKS!$C$2:$C$1201,$H718))</f>
        <v/>
      </c>
      <c r="E718" s="16" t="str">
        <f aca="false">IF($H718="","",INDEX(DECKS!$D$2:$D$1201,$H718))</f>
        <v/>
      </c>
      <c r="F718" s="16" t="str">
        <f aca="false">IF($H718="","",INDEX(DECKS!$E$2:$E$1201,$H718))</f>
        <v/>
      </c>
      <c r="G718" s="21" t="str">
        <f aca="false">IF($H718="","",INDEX(DECKS!$F$2:$F$1201,$H718))</f>
        <v/>
      </c>
      <c r="H718" s="11" t="str">
        <f aca="false">IFERROR(MATCH(ROW()-1,DECKS!$O$2:$O$1201,0),"")</f>
        <v/>
      </c>
      <c r="I718" s="11" t="str">
        <f aca="false">IF(C718="","",G718&amp;" "&amp;D718&amp;" ("&amp;C718&amp;")")</f>
        <v/>
      </c>
    </row>
    <row r="719" customFormat="false" ht="15" hidden="false" customHeight="false" outlineLevel="0" collapsed="false">
      <c r="A719" s="16"/>
      <c r="B719" s="11" t="str">
        <f aca="false">IF($H719="","",INDEX(DECKS!$A$2:$A$1201,$H719))</f>
        <v/>
      </c>
      <c r="C719" s="11" t="str">
        <f aca="false">IF($H719="","",INDEX(DECKS!$B$2:$B$1201,$H719))</f>
        <v/>
      </c>
      <c r="D719" s="11" t="str">
        <f aca="false">IF($H719="","",INDEX(DECKS!$C$2:$C$1201,$H719))</f>
        <v/>
      </c>
      <c r="E719" s="16" t="str">
        <f aca="false">IF($H719="","",INDEX(DECKS!$D$2:$D$1201,$H719))</f>
        <v/>
      </c>
      <c r="F719" s="16" t="str">
        <f aca="false">IF($H719="","",INDEX(DECKS!$E$2:$E$1201,$H719))</f>
        <v/>
      </c>
      <c r="G719" s="21" t="str">
        <f aca="false">IF($H719="","",INDEX(DECKS!$F$2:$F$1201,$H719))</f>
        <v/>
      </c>
      <c r="H719" s="11" t="str">
        <f aca="false">IFERROR(MATCH(ROW()-1,DECKS!$O$2:$O$1201,0),"")</f>
        <v/>
      </c>
      <c r="I719" s="11" t="str">
        <f aca="false">IF(C719="","",G719&amp;" "&amp;D719&amp;" ("&amp;C719&amp;")")</f>
        <v/>
      </c>
    </row>
    <row r="720" customFormat="false" ht="15" hidden="false" customHeight="false" outlineLevel="0" collapsed="false">
      <c r="A720" s="16"/>
      <c r="B720" s="11" t="str">
        <f aca="false">IF($H720="","",INDEX(DECKS!$A$2:$A$1201,$H720))</f>
        <v/>
      </c>
      <c r="C720" s="11" t="str">
        <f aca="false">IF($H720="","",INDEX(DECKS!$B$2:$B$1201,$H720))</f>
        <v/>
      </c>
      <c r="D720" s="11" t="str">
        <f aca="false">IF($H720="","",INDEX(DECKS!$C$2:$C$1201,$H720))</f>
        <v/>
      </c>
      <c r="E720" s="16" t="str">
        <f aca="false">IF($H720="","",INDEX(DECKS!$D$2:$D$1201,$H720))</f>
        <v/>
      </c>
      <c r="F720" s="16" t="str">
        <f aca="false">IF($H720="","",INDEX(DECKS!$E$2:$E$1201,$H720))</f>
        <v/>
      </c>
      <c r="G720" s="21" t="str">
        <f aca="false">IF($H720="","",INDEX(DECKS!$F$2:$F$1201,$H720))</f>
        <v/>
      </c>
      <c r="H720" s="11" t="str">
        <f aca="false">IFERROR(MATCH(ROW()-1,DECKS!$O$2:$O$1201,0),"")</f>
        <v/>
      </c>
      <c r="I720" s="11" t="str">
        <f aca="false">IF(C720="","",G720&amp;" "&amp;D720&amp;" ("&amp;C720&amp;")")</f>
        <v/>
      </c>
    </row>
    <row r="721" customFormat="false" ht="15" hidden="false" customHeight="false" outlineLevel="0" collapsed="false">
      <c r="A721" s="16"/>
      <c r="B721" s="11" t="str">
        <f aca="false">IF($H721="","",INDEX(DECKS!$A$2:$A$1201,$H721))</f>
        <v/>
      </c>
      <c r="C721" s="11" t="str">
        <f aca="false">IF($H721="","",INDEX(DECKS!$B$2:$B$1201,$H721))</f>
        <v/>
      </c>
      <c r="D721" s="11" t="str">
        <f aca="false">IF($H721="","",INDEX(DECKS!$C$2:$C$1201,$H721))</f>
        <v/>
      </c>
      <c r="E721" s="16" t="str">
        <f aca="false">IF($H721="","",INDEX(DECKS!$D$2:$D$1201,$H721))</f>
        <v/>
      </c>
      <c r="F721" s="16" t="str">
        <f aca="false">IF($H721="","",INDEX(DECKS!$E$2:$E$1201,$H721))</f>
        <v/>
      </c>
      <c r="G721" s="21" t="str">
        <f aca="false">IF($H721="","",INDEX(DECKS!$F$2:$F$1201,$H721))</f>
        <v/>
      </c>
      <c r="H721" s="11" t="str">
        <f aca="false">IFERROR(MATCH(ROW()-1,DECKS!$O$2:$O$1201,0),"")</f>
        <v/>
      </c>
      <c r="I721" s="11" t="str">
        <f aca="false">IF(C721="","",G721&amp;" "&amp;D721&amp;" ("&amp;C721&amp;")")</f>
        <v/>
      </c>
    </row>
    <row r="722" customFormat="false" ht="15" hidden="false" customHeight="false" outlineLevel="0" collapsed="false">
      <c r="A722" s="16"/>
      <c r="B722" s="11" t="str">
        <f aca="false">IF($H722="","",INDEX(DECKS!$A$2:$A$1201,$H722))</f>
        <v/>
      </c>
      <c r="C722" s="11" t="str">
        <f aca="false">IF($H722="","",INDEX(DECKS!$B$2:$B$1201,$H722))</f>
        <v/>
      </c>
      <c r="D722" s="11" t="str">
        <f aca="false">IF($H722="","",INDEX(DECKS!$C$2:$C$1201,$H722))</f>
        <v/>
      </c>
      <c r="E722" s="16" t="str">
        <f aca="false">IF($H722="","",INDEX(DECKS!$D$2:$D$1201,$H722))</f>
        <v/>
      </c>
      <c r="F722" s="16" t="str">
        <f aca="false">IF($H722="","",INDEX(DECKS!$E$2:$E$1201,$H722))</f>
        <v/>
      </c>
      <c r="G722" s="21" t="str">
        <f aca="false">IF($H722="","",INDEX(DECKS!$F$2:$F$1201,$H722))</f>
        <v/>
      </c>
      <c r="H722" s="11" t="str">
        <f aca="false">IFERROR(MATCH(ROW()-1,DECKS!$O$2:$O$1201,0),"")</f>
        <v/>
      </c>
      <c r="I722" s="11" t="str">
        <f aca="false">IF(C722="","",G722&amp;" "&amp;D722&amp;" ("&amp;C722&amp;")")</f>
        <v/>
      </c>
    </row>
    <row r="723" customFormat="false" ht="15" hidden="false" customHeight="false" outlineLevel="0" collapsed="false">
      <c r="A723" s="16"/>
      <c r="B723" s="11" t="str">
        <f aca="false">IF($H723="","",INDEX(DECKS!$A$2:$A$1201,$H723))</f>
        <v/>
      </c>
      <c r="C723" s="11" t="str">
        <f aca="false">IF($H723="","",INDEX(DECKS!$B$2:$B$1201,$H723))</f>
        <v/>
      </c>
      <c r="D723" s="11" t="str">
        <f aca="false">IF($H723="","",INDEX(DECKS!$C$2:$C$1201,$H723))</f>
        <v/>
      </c>
      <c r="E723" s="16" t="str">
        <f aca="false">IF($H723="","",INDEX(DECKS!$D$2:$D$1201,$H723))</f>
        <v/>
      </c>
      <c r="F723" s="16" t="str">
        <f aca="false">IF($H723="","",INDEX(DECKS!$E$2:$E$1201,$H723))</f>
        <v/>
      </c>
      <c r="G723" s="21" t="str">
        <f aca="false">IF($H723="","",INDEX(DECKS!$F$2:$F$1201,$H723))</f>
        <v/>
      </c>
      <c r="H723" s="11" t="str">
        <f aca="false">IFERROR(MATCH(ROW()-1,DECKS!$O$2:$O$1201,0),"")</f>
        <v/>
      </c>
      <c r="I723" s="11" t="str">
        <f aca="false">IF(C723="","",G723&amp;" "&amp;D723&amp;" ("&amp;C723&amp;")")</f>
        <v/>
      </c>
    </row>
    <row r="724" customFormat="false" ht="15" hidden="false" customHeight="false" outlineLevel="0" collapsed="false">
      <c r="A724" s="16"/>
      <c r="B724" s="11" t="str">
        <f aca="false">IF($H724="","",INDEX(DECKS!$A$2:$A$1201,$H724))</f>
        <v/>
      </c>
      <c r="C724" s="11" t="str">
        <f aca="false">IF($H724="","",INDEX(DECKS!$B$2:$B$1201,$H724))</f>
        <v/>
      </c>
      <c r="D724" s="11" t="str">
        <f aca="false">IF($H724="","",INDEX(DECKS!$C$2:$C$1201,$H724))</f>
        <v/>
      </c>
      <c r="E724" s="16" t="str">
        <f aca="false">IF($H724="","",INDEX(DECKS!$D$2:$D$1201,$H724))</f>
        <v/>
      </c>
      <c r="F724" s="16" t="str">
        <f aca="false">IF($H724="","",INDEX(DECKS!$E$2:$E$1201,$H724))</f>
        <v/>
      </c>
      <c r="G724" s="21" t="str">
        <f aca="false">IF($H724="","",INDEX(DECKS!$F$2:$F$1201,$H724))</f>
        <v/>
      </c>
      <c r="H724" s="11" t="str">
        <f aca="false">IFERROR(MATCH(ROW()-1,DECKS!$O$2:$O$1201,0),"")</f>
        <v/>
      </c>
      <c r="I724" s="11" t="str">
        <f aca="false">IF(C724="","",G724&amp;" "&amp;D724&amp;" ("&amp;C724&amp;")")</f>
        <v/>
      </c>
    </row>
    <row r="725" customFormat="false" ht="15" hidden="false" customHeight="false" outlineLevel="0" collapsed="false">
      <c r="A725" s="16"/>
      <c r="B725" s="11" t="str">
        <f aca="false">IF($H725="","",INDEX(DECKS!$A$2:$A$1201,$H725))</f>
        <v/>
      </c>
      <c r="C725" s="11" t="str">
        <f aca="false">IF($H725="","",INDEX(DECKS!$B$2:$B$1201,$H725))</f>
        <v/>
      </c>
      <c r="D725" s="11" t="str">
        <f aca="false">IF($H725="","",INDEX(DECKS!$C$2:$C$1201,$H725))</f>
        <v/>
      </c>
      <c r="E725" s="16" t="str">
        <f aca="false">IF($H725="","",INDEX(DECKS!$D$2:$D$1201,$H725))</f>
        <v/>
      </c>
      <c r="F725" s="16" t="str">
        <f aca="false">IF($H725="","",INDEX(DECKS!$E$2:$E$1201,$H725))</f>
        <v/>
      </c>
      <c r="G725" s="21" t="str">
        <f aca="false">IF($H725="","",INDEX(DECKS!$F$2:$F$1201,$H725))</f>
        <v/>
      </c>
      <c r="H725" s="11" t="str">
        <f aca="false">IFERROR(MATCH(ROW()-1,DECKS!$O$2:$O$1201,0),"")</f>
        <v/>
      </c>
      <c r="I725" s="11" t="str">
        <f aca="false">IF(C725="","",G725&amp;" "&amp;D725&amp;" ("&amp;C725&amp;")")</f>
        <v/>
      </c>
    </row>
    <row r="726" customFormat="false" ht="15" hidden="false" customHeight="false" outlineLevel="0" collapsed="false">
      <c r="A726" s="16"/>
      <c r="B726" s="11" t="str">
        <f aca="false">IF($H726="","",INDEX(DECKS!$A$2:$A$1201,$H726))</f>
        <v/>
      </c>
      <c r="C726" s="11" t="str">
        <f aca="false">IF($H726="","",INDEX(DECKS!$B$2:$B$1201,$H726))</f>
        <v/>
      </c>
      <c r="D726" s="11" t="str">
        <f aca="false">IF($H726="","",INDEX(DECKS!$C$2:$C$1201,$H726))</f>
        <v/>
      </c>
      <c r="E726" s="16" t="str">
        <f aca="false">IF($H726="","",INDEX(DECKS!$D$2:$D$1201,$H726))</f>
        <v/>
      </c>
      <c r="F726" s="16" t="str">
        <f aca="false">IF($H726="","",INDEX(DECKS!$E$2:$E$1201,$H726))</f>
        <v/>
      </c>
      <c r="G726" s="21" t="str">
        <f aca="false">IF($H726="","",INDEX(DECKS!$F$2:$F$1201,$H726))</f>
        <v/>
      </c>
      <c r="H726" s="11" t="str">
        <f aca="false">IFERROR(MATCH(ROW()-1,DECKS!$O$2:$O$1201,0),"")</f>
        <v/>
      </c>
      <c r="I726" s="11" t="str">
        <f aca="false">IF(C726="","",G726&amp;" "&amp;D726&amp;" ("&amp;C726&amp;")")</f>
        <v/>
      </c>
    </row>
    <row r="727" customFormat="false" ht="15" hidden="false" customHeight="false" outlineLevel="0" collapsed="false">
      <c r="A727" s="16"/>
      <c r="B727" s="11" t="str">
        <f aca="false">IF($H727="","",INDEX(DECKS!$A$2:$A$1201,$H727))</f>
        <v/>
      </c>
      <c r="C727" s="11" t="str">
        <f aca="false">IF($H727="","",INDEX(DECKS!$B$2:$B$1201,$H727))</f>
        <v/>
      </c>
      <c r="D727" s="11" t="str">
        <f aca="false">IF($H727="","",INDEX(DECKS!$C$2:$C$1201,$H727))</f>
        <v/>
      </c>
      <c r="E727" s="16" t="str">
        <f aca="false">IF($H727="","",INDEX(DECKS!$D$2:$D$1201,$H727))</f>
        <v/>
      </c>
      <c r="F727" s="16" t="str">
        <f aca="false">IF($H727="","",INDEX(DECKS!$E$2:$E$1201,$H727))</f>
        <v/>
      </c>
      <c r="G727" s="21" t="str">
        <f aca="false">IF($H727="","",INDEX(DECKS!$F$2:$F$1201,$H727))</f>
        <v/>
      </c>
      <c r="H727" s="11" t="str">
        <f aca="false">IFERROR(MATCH(ROW()-1,DECKS!$O$2:$O$1201,0),"")</f>
        <v/>
      </c>
      <c r="I727" s="11" t="str">
        <f aca="false">IF(C727="","",G727&amp;" "&amp;D727&amp;" ("&amp;C727&amp;")")</f>
        <v/>
      </c>
    </row>
    <row r="728" customFormat="false" ht="15" hidden="false" customHeight="false" outlineLevel="0" collapsed="false">
      <c r="A728" s="16"/>
      <c r="B728" s="11" t="str">
        <f aca="false">IF($H728="","",INDEX(DECKS!$A$2:$A$1201,$H728))</f>
        <v/>
      </c>
      <c r="C728" s="11" t="str">
        <f aca="false">IF($H728="","",INDEX(DECKS!$B$2:$B$1201,$H728))</f>
        <v/>
      </c>
      <c r="D728" s="11" t="str">
        <f aca="false">IF($H728="","",INDEX(DECKS!$C$2:$C$1201,$H728))</f>
        <v/>
      </c>
      <c r="E728" s="16" t="str">
        <f aca="false">IF($H728="","",INDEX(DECKS!$D$2:$D$1201,$H728))</f>
        <v/>
      </c>
      <c r="F728" s="16" t="str">
        <f aca="false">IF($H728="","",INDEX(DECKS!$E$2:$E$1201,$H728))</f>
        <v/>
      </c>
      <c r="G728" s="21" t="str">
        <f aca="false">IF($H728="","",INDEX(DECKS!$F$2:$F$1201,$H728))</f>
        <v/>
      </c>
      <c r="H728" s="11" t="str">
        <f aca="false">IFERROR(MATCH(ROW()-1,DECKS!$O$2:$O$1201,0),"")</f>
        <v/>
      </c>
      <c r="I728" s="11" t="str">
        <f aca="false">IF(C728="","",G728&amp;" "&amp;D728&amp;" ("&amp;C728&amp;")")</f>
        <v/>
      </c>
    </row>
    <row r="729" customFormat="false" ht="15" hidden="false" customHeight="false" outlineLevel="0" collapsed="false">
      <c r="A729" s="16"/>
      <c r="B729" s="11" t="str">
        <f aca="false">IF($H729="","",INDEX(DECKS!$A$2:$A$1201,$H729))</f>
        <v/>
      </c>
      <c r="C729" s="11" t="str">
        <f aca="false">IF($H729="","",INDEX(DECKS!$B$2:$B$1201,$H729))</f>
        <v/>
      </c>
      <c r="D729" s="11" t="str">
        <f aca="false">IF($H729="","",INDEX(DECKS!$C$2:$C$1201,$H729))</f>
        <v/>
      </c>
      <c r="E729" s="16" t="str">
        <f aca="false">IF($H729="","",INDEX(DECKS!$D$2:$D$1201,$H729))</f>
        <v/>
      </c>
      <c r="F729" s="16" t="str">
        <f aca="false">IF($H729="","",INDEX(DECKS!$E$2:$E$1201,$H729))</f>
        <v/>
      </c>
      <c r="G729" s="21" t="str">
        <f aca="false">IF($H729="","",INDEX(DECKS!$F$2:$F$1201,$H729))</f>
        <v/>
      </c>
      <c r="H729" s="11" t="str">
        <f aca="false">IFERROR(MATCH(ROW()-1,DECKS!$O$2:$O$1201,0),"")</f>
        <v/>
      </c>
      <c r="I729" s="11" t="str">
        <f aca="false">IF(C729="","",G729&amp;" "&amp;D729&amp;" ("&amp;C729&amp;")")</f>
        <v/>
      </c>
    </row>
    <row r="730" customFormat="false" ht="15" hidden="false" customHeight="false" outlineLevel="0" collapsed="false">
      <c r="A730" s="16"/>
      <c r="B730" s="11" t="str">
        <f aca="false">IF($H730="","",INDEX(DECKS!$A$2:$A$1201,$H730))</f>
        <v/>
      </c>
      <c r="C730" s="11" t="str">
        <f aca="false">IF($H730="","",INDEX(DECKS!$B$2:$B$1201,$H730))</f>
        <v/>
      </c>
      <c r="D730" s="11" t="str">
        <f aca="false">IF($H730="","",INDEX(DECKS!$C$2:$C$1201,$H730))</f>
        <v/>
      </c>
      <c r="E730" s="16" t="str">
        <f aca="false">IF($H730="","",INDEX(DECKS!$D$2:$D$1201,$H730))</f>
        <v/>
      </c>
      <c r="F730" s="16" t="str">
        <f aca="false">IF($H730="","",INDEX(DECKS!$E$2:$E$1201,$H730))</f>
        <v/>
      </c>
      <c r="G730" s="21" t="str">
        <f aca="false">IF($H730="","",INDEX(DECKS!$F$2:$F$1201,$H730))</f>
        <v/>
      </c>
      <c r="H730" s="11" t="str">
        <f aca="false">IFERROR(MATCH(ROW()-1,DECKS!$O$2:$O$1201,0),"")</f>
        <v/>
      </c>
      <c r="I730" s="11" t="str">
        <f aca="false">IF(C730="","",G730&amp;" "&amp;D730&amp;" ("&amp;C730&amp;")")</f>
        <v/>
      </c>
    </row>
    <row r="731" customFormat="false" ht="15" hidden="false" customHeight="false" outlineLevel="0" collapsed="false">
      <c r="A731" s="16"/>
      <c r="B731" s="11" t="str">
        <f aca="false">IF($H731="","",INDEX(DECKS!$A$2:$A$1201,$H731))</f>
        <v/>
      </c>
      <c r="C731" s="11" t="str">
        <f aca="false">IF($H731="","",INDEX(DECKS!$B$2:$B$1201,$H731))</f>
        <v/>
      </c>
      <c r="D731" s="11" t="str">
        <f aca="false">IF($H731="","",INDEX(DECKS!$C$2:$C$1201,$H731))</f>
        <v/>
      </c>
      <c r="E731" s="16" t="str">
        <f aca="false">IF($H731="","",INDEX(DECKS!$D$2:$D$1201,$H731))</f>
        <v/>
      </c>
      <c r="F731" s="16" t="str">
        <f aca="false">IF($H731="","",INDEX(DECKS!$E$2:$E$1201,$H731))</f>
        <v/>
      </c>
      <c r="G731" s="21" t="str">
        <f aca="false">IF($H731="","",INDEX(DECKS!$F$2:$F$1201,$H731))</f>
        <v/>
      </c>
      <c r="H731" s="11" t="str">
        <f aca="false">IFERROR(MATCH(ROW()-1,DECKS!$O$2:$O$1201,0),"")</f>
        <v/>
      </c>
      <c r="I731" s="11" t="str">
        <f aca="false">IF(C731="","",G731&amp;" "&amp;D731&amp;" ("&amp;C731&amp;")")</f>
        <v/>
      </c>
    </row>
    <row r="732" customFormat="false" ht="15" hidden="false" customHeight="false" outlineLevel="0" collapsed="false">
      <c r="A732" s="16"/>
      <c r="B732" s="11" t="str">
        <f aca="false">IF($H732="","",INDEX(DECKS!$A$2:$A$1201,$H732))</f>
        <v/>
      </c>
      <c r="C732" s="11" t="str">
        <f aca="false">IF($H732="","",INDEX(DECKS!$B$2:$B$1201,$H732))</f>
        <v/>
      </c>
      <c r="D732" s="11" t="str">
        <f aca="false">IF($H732="","",INDEX(DECKS!$C$2:$C$1201,$H732))</f>
        <v/>
      </c>
      <c r="E732" s="16" t="str">
        <f aca="false">IF($H732="","",INDEX(DECKS!$D$2:$D$1201,$H732))</f>
        <v/>
      </c>
      <c r="F732" s="16" t="str">
        <f aca="false">IF($H732="","",INDEX(DECKS!$E$2:$E$1201,$H732))</f>
        <v/>
      </c>
      <c r="G732" s="21" t="str">
        <f aca="false">IF($H732="","",INDEX(DECKS!$F$2:$F$1201,$H732))</f>
        <v/>
      </c>
      <c r="H732" s="11" t="str">
        <f aca="false">IFERROR(MATCH(ROW()-1,DECKS!$O$2:$O$1201,0),"")</f>
        <v/>
      </c>
      <c r="I732" s="11" t="str">
        <f aca="false">IF(C732="","",G732&amp;" "&amp;D732&amp;" ("&amp;C732&amp;")")</f>
        <v/>
      </c>
    </row>
    <row r="733" customFormat="false" ht="15" hidden="false" customHeight="false" outlineLevel="0" collapsed="false">
      <c r="A733" s="16"/>
      <c r="B733" s="11" t="str">
        <f aca="false">IF($H733="","",INDEX(DECKS!$A$2:$A$1201,$H733))</f>
        <v/>
      </c>
      <c r="C733" s="11" t="str">
        <f aca="false">IF($H733="","",INDEX(DECKS!$B$2:$B$1201,$H733))</f>
        <v/>
      </c>
      <c r="D733" s="11" t="str">
        <f aca="false">IF($H733="","",INDEX(DECKS!$C$2:$C$1201,$H733))</f>
        <v/>
      </c>
      <c r="E733" s="16" t="str">
        <f aca="false">IF($H733="","",INDEX(DECKS!$D$2:$D$1201,$H733))</f>
        <v/>
      </c>
      <c r="F733" s="16" t="str">
        <f aca="false">IF($H733="","",INDEX(DECKS!$E$2:$E$1201,$H733))</f>
        <v/>
      </c>
      <c r="G733" s="21" t="str">
        <f aca="false">IF($H733="","",INDEX(DECKS!$F$2:$F$1201,$H733))</f>
        <v/>
      </c>
      <c r="H733" s="11" t="str">
        <f aca="false">IFERROR(MATCH(ROW()-1,DECKS!$O$2:$O$1201,0),"")</f>
        <v/>
      </c>
      <c r="I733" s="11" t="str">
        <f aca="false">IF(C733="","",G733&amp;" "&amp;D733&amp;" ("&amp;C733&amp;")")</f>
        <v/>
      </c>
    </row>
    <row r="734" customFormat="false" ht="15" hidden="false" customHeight="false" outlineLevel="0" collapsed="false">
      <c r="A734" s="16"/>
      <c r="B734" s="11" t="str">
        <f aca="false">IF($H734="","",INDEX(DECKS!$A$2:$A$1201,$H734))</f>
        <v/>
      </c>
      <c r="C734" s="11" t="str">
        <f aca="false">IF($H734="","",INDEX(DECKS!$B$2:$B$1201,$H734))</f>
        <v/>
      </c>
      <c r="D734" s="11" t="str">
        <f aca="false">IF($H734="","",INDEX(DECKS!$C$2:$C$1201,$H734))</f>
        <v/>
      </c>
      <c r="E734" s="16" t="str">
        <f aca="false">IF($H734="","",INDEX(DECKS!$D$2:$D$1201,$H734))</f>
        <v/>
      </c>
      <c r="F734" s="16" t="str">
        <f aca="false">IF($H734="","",INDEX(DECKS!$E$2:$E$1201,$H734))</f>
        <v/>
      </c>
      <c r="G734" s="21" t="str">
        <f aca="false">IF($H734="","",INDEX(DECKS!$F$2:$F$1201,$H734))</f>
        <v/>
      </c>
      <c r="H734" s="11" t="str">
        <f aca="false">IFERROR(MATCH(ROW()-1,DECKS!$O$2:$O$1201,0),"")</f>
        <v/>
      </c>
      <c r="I734" s="11" t="str">
        <f aca="false">IF(C734="","",G734&amp;" "&amp;D734&amp;" ("&amp;C734&amp;")")</f>
        <v/>
      </c>
    </row>
    <row r="735" customFormat="false" ht="15" hidden="false" customHeight="false" outlineLevel="0" collapsed="false">
      <c r="A735" s="16"/>
      <c r="B735" s="11" t="str">
        <f aca="false">IF($H735="","",INDEX(DECKS!$A$2:$A$1201,$H735))</f>
        <v/>
      </c>
      <c r="C735" s="11" t="str">
        <f aca="false">IF($H735="","",INDEX(DECKS!$B$2:$B$1201,$H735))</f>
        <v/>
      </c>
      <c r="D735" s="11" t="str">
        <f aca="false">IF($H735="","",INDEX(DECKS!$C$2:$C$1201,$H735))</f>
        <v/>
      </c>
      <c r="E735" s="16" t="str">
        <f aca="false">IF($H735="","",INDEX(DECKS!$D$2:$D$1201,$H735))</f>
        <v/>
      </c>
      <c r="F735" s="16" t="str">
        <f aca="false">IF($H735="","",INDEX(DECKS!$E$2:$E$1201,$H735))</f>
        <v/>
      </c>
      <c r="G735" s="21" t="str">
        <f aca="false">IF($H735="","",INDEX(DECKS!$F$2:$F$1201,$H735))</f>
        <v/>
      </c>
      <c r="H735" s="11" t="str">
        <f aca="false">IFERROR(MATCH(ROW()-1,DECKS!$O$2:$O$1201,0),"")</f>
        <v/>
      </c>
      <c r="I735" s="11" t="str">
        <f aca="false">IF(C735="","",G735&amp;" "&amp;D735&amp;" ("&amp;C735&amp;")")</f>
        <v/>
      </c>
    </row>
    <row r="736" customFormat="false" ht="15" hidden="false" customHeight="false" outlineLevel="0" collapsed="false">
      <c r="A736" s="16"/>
      <c r="B736" s="11" t="str">
        <f aca="false">IF($H736="","",INDEX(DECKS!$A$2:$A$1201,$H736))</f>
        <v/>
      </c>
      <c r="C736" s="11" t="str">
        <f aca="false">IF($H736="","",INDEX(DECKS!$B$2:$B$1201,$H736))</f>
        <v/>
      </c>
      <c r="D736" s="11" t="str">
        <f aca="false">IF($H736="","",INDEX(DECKS!$C$2:$C$1201,$H736))</f>
        <v/>
      </c>
      <c r="E736" s="16" t="str">
        <f aca="false">IF($H736="","",INDEX(DECKS!$D$2:$D$1201,$H736))</f>
        <v/>
      </c>
      <c r="F736" s="16" t="str">
        <f aca="false">IF($H736="","",INDEX(DECKS!$E$2:$E$1201,$H736))</f>
        <v/>
      </c>
      <c r="G736" s="21" t="str">
        <f aca="false">IF($H736="","",INDEX(DECKS!$F$2:$F$1201,$H736))</f>
        <v/>
      </c>
      <c r="H736" s="11" t="str">
        <f aca="false">IFERROR(MATCH(ROW()-1,DECKS!$O$2:$O$1201,0),"")</f>
        <v/>
      </c>
      <c r="I736" s="11" t="str">
        <f aca="false">IF(C736="","",G736&amp;" "&amp;D736&amp;" ("&amp;C736&amp;")")</f>
        <v/>
      </c>
    </row>
    <row r="737" customFormat="false" ht="15" hidden="false" customHeight="false" outlineLevel="0" collapsed="false">
      <c r="A737" s="16"/>
      <c r="B737" s="11" t="str">
        <f aca="false">IF($H737="","",INDEX(DECKS!$A$2:$A$1201,$H737))</f>
        <v/>
      </c>
      <c r="C737" s="11" t="str">
        <f aca="false">IF($H737="","",INDEX(DECKS!$B$2:$B$1201,$H737))</f>
        <v/>
      </c>
      <c r="D737" s="11" t="str">
        <f aca="false">IF($H737="","",INDEX(DECKS!$C$2:$C$1201,$H737))</f>
        <v/>
      </c>
      <c r="E737" s="16" t="str">
        <f aca="false">IF($H737="","",INDEX(DECKS!$D$2:$D$1201,$H737))</f>
        <v/>
      </c>
      <c r="F737" s="16" t="str">
        <f aca="false">IF($H737="","",INDEX(DECKS!$E$2:$E$1201,$H737))</f>
        <v/>
      </c>
      <c r="G737" s="21" t="str">
        <f aca="false">IF($H737="","",INDEX(DECKS!$F$2:$F$1201,$H737))</f>
        <v/>
      </c>
      <c r="H737" s="11" t="str">
        <f aca="false">IFERROR(MATCH(ROW()-1,DECKS!$O$2:$O$1201,0),"")</f>
        <v/>
      </c>
      <c r="I737" s="11" t="str">
        <f aca="false">IF(C737="","",G737&amp;" "&amp;D737&amp;" ("&amp;C737&amp;")")</f>
        <v/>
      </c>
    </row>
    <row r="738" customFormat="false" ht="15" hidden="false" customHeight="false" outlineLevel="0" collapsed="false">
      <c r="A738" s="16"/>
      <c r="B738" s="11" t="str">
        <f aca="false">IF($H738="","",INDEX(DECKS!$A$2:$A$1201,$H738))</f>
        <v/>
      </c>
      <c r="C738" s="11" t="str">
        <f aca="false">IF($H738="","",INDEX(DECKS!$B$2:$B$1201,$H738))</f>
        <v/>
      </c>
      <c r="D738" s="11" t="str">
        <f aca="false">IF($H738="","",INDEX(DECKS!$C$2:$C$1201,$H738))</f>
        <v/>
      </c>
      <c r="E738" s="16" t="str">
        <f aca="false">IF($H738="","",INDEX(DECKS!$D$2:$D$1201,$H738))</f>
        <v/>
      </c>
      <c r="F738" s="16" t="str">
        <f aca="false">IF($H738="","",INDEX(DECKS!$E$2:$E$1201,$H738))</f>
        <v/>
      </c>
      <c r="G738" s="21" t="str">
        <f aca="false">IF($H738="","",INDEX(DECKS!$F$2:$F$1201,$H738))</f>
        <v/>
      </c>
      <c r="H738" s="11" t="str">
        <f aca="false">IFERROR(MATCH(ROW()-1,DECKS!$O$2:$O$1201,0),"")</f>
        <v/>
      </c>
      <c r="I738" s="11" t="str">
        <f aca="false">IF(C738="","",G738&amp;" "&amp;D738&amp;" ("&amp;C738&amp;")")</f>
        <v/>
      </c>
    </row>
    <row r="739" customFormat="false" ht="15" hidden="false" customHeight="false" outlineLevel="0" collapsed="false">
      <c r="A739" s="16"/>
      <c r="B739" s="11" t="str">
        <f aca="false">IF($H739="","",INDEX(DECKS!$A$2:$A$1201,$H739))</f>
        <v/>
      </c>
      <c r="C739" s="11" t="str">
        <f aca="false">IF($H739="","",INDEX(DECKS!$B$2:$B$1201,$H739))</f>
        <v/>
      </c>
      <c r="D739" s="11" t="str">
        <f aca="false">IF($H739="","",INDEX(DECKS!$C$2:$C$1201,$H739))</f>
        <v/>
      </c>
      <c r="E739" s="16" t="str">
        <f aca="false">IF($H739="","",INDEX(DECKS!$D$2:$D$1201,$H739))</f>
        <v/>
      </c>
      <c r="F739" s="16" t="str">
        <f aca="false">IF($H739="","",INDEX(DECKS!$E$2:$E$1201,$H739))</f>
        <v/>
      </c>
      <c r="G739" s="21" t="str">
        <f aca="false">IF($H739="","",INDEX(DECKS!$F$2:$F$1201,$H739))</f>
        <v/>
      </c>
      <c r="H739" s="11" t="str">
        <f aca="false">IFERROR(MATCH(ROW()-1,DECKS!$O$2:$O$1201,0),"")</f>
        <v/>
      </c>
      <c r="I739" s="11" t="str">
        <f aca="false">IF(C739="","",G739&amp;" "&amp;D739&amp;" ("&amp;C739&amp;")")</f>
        <v/>
      </c>
    </row>
    <row r="740" customFormat="false" ht="15" hidden="false" customHeight="false" outlineLevel="0" collapsed="false">
      <c r="A740" s="16"/>
      <c r="B740" s="11" t="str">
        <f aca="false">IF($H740="","",INDEX(DECKS!$A$2:$A$1201,$H740))</f>
        <v/>
      </c>
      <c r="C740" s="11" t="str">
        <f aca="false">IF($H740="","",INDEX(DECKS!$B$2:$B$1201,$H740))</f>
        <v/>
      </c>
      <c r="D740" s="11" t="str">
        <f aca="false">IF($H740="","",INDEX(DECKS!$C$2:$C$1201,$H740))</f>
        <v/>
      </c>
      <c r="E740" s="16" t="str">
        <f aca="false">IF($H740="","",INDEX(DECKS!$D$2:$D$1201,$H740))</f>
        <v/>
      </c>
      <c r="F740" s="16" t="str">
        <f aca="false">IF($H740="","",INDEX(DECKS!$E$2:$E$1201,$H740))</f>
        <v/>
      </c>
      <c r="G740" s="21" t="str">
        <f aca="false">IF($H740="","",INDEX(DECKS!$F$2:$F$1201,$H740))</f>
        <v/>
      </c>
      <c r="H740" s="11" t="str">
        <f aca="false">IFERROR(MATCH(ROW()-1,DECKS!$O$2:$O$1201,0),"")</f>
        <v/>
      </c>
      <c r="I740" s="11" t="str">
        <f aca="false">IF(C740="","",G740&amp;" "&amp;D740&amp;" ("&amp;C740&amp;")")</f>
        <v/>
      </c>
    </row>
    <row r="741" customFormat="false" ht="15" hidden="false" customHeight="false" outlineLevel="0" collapsed="false">
      <c r="A741" s="16"/>
      <c r="B741" s="11" t="str">
        <f aca="false">IF($H741="","",INDEX(DECKS!$A$2:$A$1201,$H741))</f>
        <v/>
      </c>
      <c r="C741" s="11" t="str">
        <f aca="false">IF($H741="","",INDEX(DECKS!$B$2:$B$1201,$H741))</f>
        <v/>
      </c>
      <c r="D741" s="11" t="str">
        <f aca="false">IF($H741="","",INDEX(DECKS!$C$2:$C$1201,$H741))</f>
        <v/>
      </c>
      <c r="E741" s="16" t="str">
        <f aca="false">IF($H741="","",INDEX(DECKS!$D$2:$D$1201,$H741))</f>
        <v/>
      </c>
      <c r="F741" s="16" t="str">
        <f aca="false">IF($H741="","",INDEX(DECKS!$E$2:$E$1201,$H741))</f>
        <v/>
      </c>
      <c r="G741" s="21" t="str">
        <f aca="false">IF($H741="","",INDEX(DECKS!$F$2:$F$1201,$H741))</f>
        <v/>
      </c>
      <c r="H741" s="11" t="str">
        <f aca="false">IFERROR(MATCH(ROW()-1,DECKS!$O$2:$O$1201,0),"")</f>
        <v/>
      </c>
      <c r="I741" s="11" t="str">
        <f aca="false">IF(C741="","",G741&amp;" "&amp;D741&amp;" ("&amp;C741&amp;")")</f>
        <v/>
      </c>
    </row>
    <row r="742" customFormat="false" ht="15" hidden="false" customHeight="false" outlineLevel="0" collapsed="false">
      <c r="A742" s="16"/>
      <c r="B742" s="11" t="str">
        <f aca="false">IF($H742="","",INDEX(DECKS!$A$2:$A$1201,$H742))</f>
        <v/>
      </c>
      <c r="C742" s="11" t="str">
        <f aca="false">IF($H742="","",INDEX(DECKS!$B$2:$B$1201,$H742))</f>
        <v/>
      </c>
      <c r="D742" s="11" t="str">
        <f aca="false">IF($H742="","",INDEX(DECKS!$C$2:$C$1201,$H742))</f>
        <v/>
      </c>
      <c r="E742" s="16" t="str">
        <f aca="false">IF($H742="","",INDEX(DECKS!$D$2:$D$1201,$H742))</f>
        <v/>
      </c>
      <c r="F742" s="16" t="str">
        <f aca="false">IF($H742="","",INDEX(DECKS!$E$2:$E$1201,$H742))</f>
        <v/>
      </c>
      <c r="G742" s="21" t="str">
        <f aca="false">IF($H742="","",INDEX(DECKS!$F$2:$F$1201,$H742))</f>
        <v/>
      </c>
      <c r="H742" s="11" t="str">
        <f aca="false">IFERROR(MATCH(ROW()-1,DECKS!$O$2:$O$1201,0),"")</f>
        <v/>
      </c>
      <c r="I742" s="11" t="str">
        <f aca="false">IF(C742="","",G742&amp;" "&amp;D742&amp;" ("&amp;C742&amp;")")</f>
        <v/>
      </c>
    </row>
    <row r="743" customFormat="false" ht="15" hidden="false" customHeight="false" outlineLevel="0" collapsed="false">
      <c r="A743" s="16"/>
      <c r="B743" s="11" t="str">
        <f aca="false">IF($H743="","",INDEX(DECKS!$A$2:$A$1201,$H743))</f>
        <v/>
      </c>
      <c r="C743" s="11" t="str">
        <f aca="false">IF($H743="","",INDEX(DECKS!$B$2:$B$1201,$H743))</f>
        <v/>
      </c>
      <c r="D743" s="11" t="str">
        <f aca="false">IF($H743="","",INDEX(DECKS!$C$2:$C$1201,$H743))</f>
        <v/>
      </c>
      <c r="E743" s="16" t="str">
        <f aca="false">IF($H743="","",INDEX(DECKS!$D$2:$D$1201,$H743))</f>
        <v/>
      </c>
      <c r="F743" s="16" t="str">
        <f aca="false">IF($H743="","",INDEX(DECKS!$E$2:$E$1201,$H743))</f>
        <v/>
      </c>
      <c r="G743" s="21" t="str">
        <f aca="false">IF($H743="","",INDEX(DECKS!$F$2:$F$1201,$H743))</f>
        <v/>
      </c>
      <c r="H743" s="11" t="str">
        <f aca="false">IFERROR(MATCH(ROW()-1,DECKS!$O$2:$O$1201,0),"")</f>
        <v/>
      </c>
      <c r="I743" s="11" t="str">
        <f aca="false">IF(C743="","",G743&amp;" "&amp;D743&amp;" ("&amp;C743&amp;")")</f>
        <v/>
      </c>
    </row>
    <row r="744" customFormat="false" ht="15" hidden="false" customHeight="false" outlineLevel="0" collapsed="false">
      <c r="A744" s="16"/>
      <c r="B744" s="11" t="str">
        <f aca="false">IF($H744="","",INDEX(DECKS!$A$2:$A$1201,$H744))</f>
        <v/>
      </c>
      <c r="C744" s="11" t="str">
        <f aca="false">IF($H744="","",INDEX(DECKS!$B$2:$B$1201,$H744))</f>
        <v/>
      </c>
      <c r="D744" s="11" t="str">
        <f aca="false">IF($H744="","",INDEX(DECKS!$C$2:$C$1201,$H744))</f>
        <v/>
      </c>
      <c r="E744" s="16" t="str">
        <f aca="false">IF($H744="","",INDEX(DECKS!$D$2:$D$1201,$H744))</f>
        <v/>
      </c>
      <c r="F744" s="16" t="str">
        <f aca="false">IF($H744="","",INDEX(DECKS!$E$2:$E$1201,$H744))</f>
        <v/>
      </c>
      <c r="G744" s="21" t="str">
        <f aca="false">IF($H744="","",INDEX(DECKS!$F$2:$F$1201,$H744))</f>
        <v/>
      </c>
      <c r="H744" s="11" t="str">
        <f aca="false">IFERROR(MATCH(ROW()-1,DECKS!$O$2:$O$1201,0),"")</f>
        <v/>
      </c>
      <c r="I744" s="11" t="str">
        <f aca="false">IF(C744="","",G744&amp;" "&amp;D744&amp;" ("&amp;C744&amp;")")</f>
        <v/>
      </c>
    </row>
    <row r="745" customFormat="false" ht="15" hidden="false" customHeight="false" outlineLevel="0" collapsed="false">
      <c r="A745" s="16"/>
      <c r="B745" s="11" t="str">
        <f aca="false">IF($H745="","",INDEX(DECKS!$A$2:$A$1201,$H745))</f>
        <v/>
      </c>
      <c r="C745" s="11" t="str">
        <f aca="false">IF($H745="","",INDEX(DECKS!$B$2:$B$1201,$H745))</f>
        <v/>
      </c>
      <c r="D745" s="11" t="str">
        <f aca="false">IF($H745="","",INDEX(DECKS!$C$2:$C$1201,$H745))</f>
        <v/>
      </c>
      <c r="E745" s="16" t="str">
        <f aca="false">IF($H745="","",INDEX(DECKS!$D$2:$D$1201,$H745))</f>
        <v/>
      </c>
      <c r="F745" s="16" t="str">
        <f aca="false">IF($H745="","",INDEX(DECKS!$E$2:$E$1201,$H745))</f>
        <v/>
      </c>
      <c r="G745" s="21" t="str">
        <f aca="false">IF($H745="","",INDEX(DECKS!$F$2:$F$1201,$H745))</f>
        <v/>
      </c>
      <c r="H745" s="11" t="str">
        <f aca="false">IFERROR(MATCH(ROW()-1,DECKS!$O$2:$O$1201,0),"")</f>
        <v/>
      </c>
      <c r="I745" s="11" t="str">
        <f aca="false">IF(C745="","",G745&amp;" "&amp;D745&amp;" ("&amp;C745&amp;")")</f>
        <v/>
      </c>
    </row>
    <row r="746" customFormat="false" ht="15" hidden="false" customHeight="false" outlineLevel="0" collapsed="false">
      <c r="A746" s="16"/>
      <c r="B746" s="11" t="str">
        <f aca="false">IF($H746="","",INDEX(DECKS!$A$2:$A$1201,$H746))</f>
        <v/>
      </c>
      <c r="C746" s="11" t="str">
        <f aca="false">IF($H746="","",INDEX(DECKS!$B$2:$B$1201,$H746))</f>
        <v/>
      </c>
      <c r="D746" s="11" t="str">
        <f aca="false">IF($H746="","",INDEX(DECKS!$C$2:$C$1201,$H746))</f>
        <v/>
      </c>
      <c r="E746" s="16" t="str">
        <f aca="false">IF($H746="","",INDEX(DECKS!$D$2:$D$1201,$H746))</f>
        <v/>
      </c>
      <c r="F746" s="16" t="str">
        <f aca="false">IF($H746="","",INDEX(DECKS!$E$2:$E$1201,$H746))</f>
        <v/>
      </c>
      <c r="G746" s="21" t="str">
        <f aca="false">IF($H746="","",INDEX(DECKS!$F$2:$F$1201,$H746))</f>
        <v/>
      </c>
      <c r="H746" s="11" t="str">
        <f aca="false">IFERROR(MATCH(ROW()-1,DECKS!$O$2:$O$1201,0),"")</f>
        <v/>
      </c>
      <c r="I746" s="11" t="str">
        <f aca="false">IF(C746="","",G746&amp;" "&amp;D746&amp;" ("&amp;C746&amp;")")</f>
        <v/>
      </c>
    </row>
    <row r="747" customFormat="false" ht="15" hidden="false" customHeight="false" outlineLevel="0" collapsed="false">
      <c r="A747" s="16"/>
      <c r="B747" s="11" t="str">
        <f aca="false">IF($H747="","",INDEX(DECKS!$A$2:$A$1201,$H747))</f>
        <v/>
      </c>
      <c r="C747" s="11" t="str">
        <f aca="false">IF($H747="","",INDEX(DECKS!$B$2:$B$1201,$H747))</f>
        <v/>
      </c>
      <c r="D747" s="11" t="str">
        <f aca="false">IF($H747="","",INDEX(DECKS!$C$2:$C$1201,$H747))</f>
        <v/>
      </c>
      <c r="E747" s="16" t="str">
        <f aca="false">IF($H747="","",INDEX(DECKS!$D$2:$D$1201,$H747))</f>
        <v/>
      </c>
      <c r="F747" s="16" t="str">
        <f aca="false">IF($H747="","",INDEX(DECKS!$E$2:$E$1201,$H747))</f>
        <v/>
      </c>
      <c r="G747" s="21" t="str">
        <f aca="false">IF($H747="","",INDEX(DECKS!$F$2:$F$1201,$H747))</f>
        <v/>
      </c>
      <c r="H747" s="11" t="str">
        <f aca="false">IFERROR(MATCH(ROW()-1,DECKS!$O$2:$O$1201,0),"")</f>
        <v/>
      </c>
      <c r="I747" s="11" t="str">
        <f aca="false">IF(C747="","",G747&amp;" "&amp;D747&amp;" ("&amp;C747&amp;")")</f>
        <v/>
      </c>
    </row>
    <row r="748" customFormat="false" ht="15" hidden="false" customHeight="false" outlineLevel="0" collapsed="false">
      <c r="A748" s="16"/>
      <c r="B748" s="11" t="str">
        <f aca="false">IF($H748="","",INDEX(DECKS!$A$2:$A$1201,$H748))</f>
        <v/>
      </c>
      <c r="C748" s="11" t="str">
        <f aca="false">IF($H748="","",INDEX(DECKS!$B$2:$B$1201,$H748))</f>
        <v/>
      </c>
      <c r="D748" s="11" t="str">
        <f aca="false">IF($H748="","",INDEX(DECKS!$C$2:$C$1201,$H748))</f>
        <v/>
      </c>
      <c r="E748" s="16" t="str">
        <f aca="false">IF($H748="","",INDEX(DECKS!$D$2:$D$1201,$H748))</f>
        <v/>
      </c>
      <c r="F748" s="16" t="str">
        <f aca="false">IF($H748="","",INDEX(DECKS!$E$2:$E$1201,$H748))</f>
        <v/>
      </c>
      <c r="G748" s="21" t="str">
        <f aca="false">IF($H748="","",INDEX(DECKS!$F$2:$F$1201,$H748))</f>
        <v/>
      </c>
      <c r="H748" s="11" t="str">
        <f aca="false">IFERROR(MATCH(ROW()-1,DECKS!$O$2:$O$1201,0),"")</f>
        <v/>
      </c>
      <c r="I748" s="11" t="str">
        <f aca="false">IF(C748="","",G748&amp;" "&amp;D748&amp;" ("&amp;C748&amp;")")</f>
        <v/>
      </c>
    </row>
    <row r="749" customFormat="false" ht="15" hidden="false" customHeight="false" outlineLevel="0" collapsed="false">
      <c r="A749" s="16"/>
      <c r="B749" s="11" t="str">
        <f aca="false">IF($H749="","",INDEX(DECKS!$A$2:$A$1201,$H749))</f>
        <v/>
      </c>
      <c r="C749" s="11" t="str">
        <f aca="false">IF($H749="","",INDEX(DECKS!$B$2:$B$1201,$H749))</f>
        <v/>
      </c>
      <c r="D749" s="11" t="str">
        <f aca="false">IF($H749="","",INDEX(DECKS!$C$2:$C$1201,$H749))</f>
        <v/>
      </c>
      <c r="E749" s="16" t="str">
        <f aca="false">IF($H749="","",INDEX(DECKS!$D$2:$D$1201,$H749))</f>
        <v/>
      </c>
      <c r="F749" s="16" t="str">
        <f aca="false">IF($H749="","",INDEX(DECKS!$E$2:$E$1201,$H749))</f>
        <v/>
      </c>
      <c r="G749" s="21" t="str">
        <f aca="false">IF($H749="","",INDEX(DECKS!$F$2:$F$1201,$H749))</f>
        <v/>
      </c>
      <c r="H749" s="11" t="str">
        <f aca="false">IFERROR(MATCH(ROW()-1,DECKS!$O$2:$O$1201,0),"")</f>
        <v/>
      </c>
      <c r="I749" s="11" t="str">
        <f aca="false">IF(C749="","",G749&amp;" "&amp;D749&amp;" ("&amp;C749&amp;")")</f>
        <v/>
      </c>
    </row>
    <row r="750" customFormat="false" ht="15" hidden="false" customHeight="false" outlineLevel="0" collapsed="false">
      <c r="A750" s="16"/>
      <c r="B750" s="11" t="str">
        <f aca="false">IF($H750="","",INDEX(DECKS!$A$2:$A$1201,$H750))</f>
        <v/>
      </c>
      <c r="C750" s="11" t="str">
        <f aca="false">IF($H750="","",INDEX(DECKS!$B$2:$B$1201,$H750))</f>
        <v/>
      </c>
      <c r="D750" s="11" t="str">
        <f aca="false">IF($H750="","",INDEX(DECKS!$C$2:$C$1201,$H750))</f>
        <v/>
      </c>
      <c r="E750" s="16" t="str">
        <f aca="false">IF($H750="","",INDEX(DECKS!$D$2:$D$1201,$H750))</f>
        <v/>
      </c>
      <c r="F750" s="16" t="str">
        <f aca="false">IF($H750="","",INDEX(DECKS!$E$2:$E$1201,$H750))</f>
        <v/>
      </c>
      <c r="G750" s="21" t="str">
        <f aca="false">IF($H750="","",INDEX(DECKS!$F$2:$F$1201,$H750))</f>
        <v/>
      </c>
      <c r="H750" s="11" t="str">
        <f aca="false">IFERROR(MATCH(ROW()-1,DECKS!$O$2:$O$1201,0),"")</f>
        <v/>
      </c>
      <c r="I750" s="11" t="str">
        <f aca="false">IF(C750="","",G750&amp;" "&amp;D750&amp;" ("&amp;C750&amp;")")</f>
        <v/>
      </c>
    </row>
    <row r="751" customFormat="false" ht="15" hidden="false" customHeight="false" outlineLevel="0" collapsed="false">
      <c r="A751" s="16"/>
      <c r="B751" s="11" t="str">
        <f aca="false">IF($H751="","",INDEX(DECKS!$A$2:$A$1201,$H751))</f>
        <v/>
      </c>
      <c r="C751" s="11" t="str">
        <f aca="false">IF($H751="","",INDEX(DECKS!$B$2:$B$1201,$H751))</f>
        <v/>
      </c>
      <c r="D751" s="11" t="str">
        <f aca="false">IF($H751="","",INDEX(DECKS!$C$2:$C$1201,$H751))</f>
        <v/>
      </c>
      <c r="E751" s="16" t="str">
        <f aca="false">IF($H751="","",INDEX(DECKS!$D$2:$D$1201,$H751))</f>
        <v/>
      </c>
      <c r="F751" s="16" t="str">
        <f aca="false">IF($H751="","",INDEX(DECKS!$E$2:$E$1201,$H751))</f>
        <v/>
      </c>
      <c r="G751" s="21" t="str">
        <f aca="false">IF($H751="","",INDEX(DECKS!$F$2:$F$1201,$H751))</f>
        <v/>
      </c>
      <c r="H751" s="11" t="str">
        <f aca="false">IFERROR(MATCH(ROW()-1,DECKS!$O$2:$O$1201,0),"")</f>
        <v/>
      </c>
      <c r="I751" s="11" t="str">
        <f aca="false">IF(C751="","",G751&amp;" "&amp;D751&amp;" ("&amp;C751&amp;")")</f>
        <v/>
      </c>
    </row>
    <row r="752" customFormat="false" ht="15" hidden="false" customHeight="false" outlineLevel="0" collapsed="false">
      <c r="A752" s="16"/>
      <c r="B752" s="11" t="str">
        <f aca="false">IF($H752="","",INDEX(DECKS!$A$2:$A$1201,$H752))</f>
        <v/>
      </c>
      <c r="C752" s="11" t="str">
        <f aca="false">IF($H752="","",INDEX(DECKS!$B$2:$B$1201,$H752))</f>
        <v/>
      </c>
      <c r="D752" s="11" t="str">
        <f aca="false">IF($H752="","",INDEX(DECKS!$C$2:$C$1201,$H752))</f>
        <v/>
      </c>
      <c r="E752" s="16" t="str">
        <f aca="false">IF($H752="","",INDEX(DECKS!$D$2:$D$1201,$H752))</f>
        <v/>
      </c>
      <c r="F752" s="16" t="str">
        <f aca="false">IF($H752="","",INDEX(DECKS!$E$2:$E$1201,$H752))</f>
        <v/>
      </c>
      <c r="G752" s="21" t="str">
        <f aca="false">IF($H752="","",INDEX(DECKS!$F$2:$F$1201,$H752))</f>
        <v/>
      </c>
      <c r="H752" s="11" t="str">
        <f aca="false">IFERROR(MATCH(ROW()-1,DECKS!$O$2:$O$1201,0),"")</f>
        <v/>
      </c>
      <c r="I752" s="11" t="str">
        <f aca="false">IF(C752="","",G752&amp;" "&amp;D752&amp;" ("&amp;C752&amp;")")</f>
        <v/>
      </c>
    </row>
    <row r="753" customFormat="false" ht="15" hidden="false" customHeight="false" outlineLevel="0" collapsed="false">
      <c r="A753" s="16"/>
      <c r="B753" s="11" t="str">
        <f aca="false">IF($H753="","",INDEX(DECKS!$A$2:$A$1201,$H753))</f>
        <v/>
      </c>
      <c r="C753" s="11" t="str">
        <f aca="false">IF($H753="","",INDEX(DECKS!$B$2:$B$1201,$H753))</f>
        <v/>
      </c>
      <c r="D753" s="11" t="str">
        <f aca="false">IF($H753="","",INDEX(DECKS!$C$2:$C$1201,$H753))</f>
        <v/>
      </c>
      <c r="E753" s="16" t="str">
        <f aca="false">IF($H753="","",INDEX(DECKS!$D$2:$D$1201,$H753))</f>
        <v/>
      </c>
      <c r="F753" s="16" t="str">
        <f aca="false">IF($H753="","",INDEX(DECKS!$E$2:$E$1201,$H753))</f>
        <v/>
      </c>
      <c r="G753" s="21" t="str">
        <f aca="false">IF($H753="","",INDEX(DECKS!$F$2:$F$1201,$H753))</f>
        <v/>
      </c>
      <c r="H753" s="11" t="str">
        <f aca="false">IFERROR(MATCH(ROW()-1,DECKS!$O$2:$O$1201,0),"")</f>
        <v/>
      </c>
      <c r="I753" s="11" t="str">
        <f aca="false">IF(C753="","",G753&amp;" "&amp;D753&amp;" ("&amp;C753&amp;")")</f>
        <v/>
      </c>
    </row>
    <row r="754" customFormat="false" ht="15" hidden="false" customHeight="false" outlineLevel="0" collapsed="false">
      <c r="A754" s="16"/>
      <c r="B754" s="11" t="str">
        <f aca="false">IF($H754="","",INDEX(DECKS!$A$2:$A$1201,$H754))</f>
        <v/>
      </c>
      <c r="C754" s="11" t="str">
        <f aca="false">IF($H754="","",INDEX(DECKS!$B$2:$B$1201,$H754))</f>
        <v/>
      </c>
      <c r="D754" s="11" t="str">
        <f aca="false">IF($H754="","",INDEX(DECKS!$C$2:$C$1201,$H754))</f>
        <v/>
      </c>
      <c r="E754" s="16" t="str">
        <f aca="false">IF($H754="","",INDEX(DECKS!$D$2:$D$1201,$H754))</f>
        <v/>
      </c>
      <c r="F754" s="16" t="str">
        <f aca="false">IF($H754="","",INDEX(DECKS!$E$2:$E$1201,$H754))</f>
        <v/>
      </c>
      <c r="G754" s="21" t="str">
        <f aca="false">IF($H754="","",INDEX(DECKS!$F$2:$F$1201,$H754))</f>
        <v/>
      </c>
      <c r="H754" s="11" t="str">
        <f aca="false">IFERROR(MATCH(ROW()-1,DECKS!$O$2:$O$1201,0),"")</f>
        <v/>
      </c>
      <c r="I754" s="11" t="str">
        <f aca="false">IF(C754="","",G754&amp;" "&amp;D754&amp;" ("&amp;C754&amp;")")</f>
        <v/>
      </c>
    </row>
    <row r="755" customFormat="false" ht="15" hidden="false" customHeight="false" outlineLevel="0" collapsed="false">
      <c r="A755" s="16"/>
      <c r="B755" s="11" t="str">
        <f aca="false">IF($H755="","",INDEX(DECKS!$A$2:$A$1201,$H755))</f>
        <v/>
      </c>
      <c r="C755" s="11" t="str">
        <f aca="false">IF($H755="","",INDEX(DECKS!$B$2:$B$1201,$H755))</f>
        <v/>
      </c>
      <c r="D755" s="11" t="str">
        <f aca="false">IF($H755="","",INDEX(DECKS!$C$2:$C$1201,$H755))</f>
        <v/>
      </c>
      <c r="E755" s="16" t="str">
        <f aca="false">IF($H755="","",INDEX(DECKS!$D$2:$D$1201,$H755))</f>
        <v/>
      </c>
      <c r="F755" s="16" t="str">
        <f aca="false">IF($H755="","",INDEX(DECKS!$E$2:$E$1201,$H755))</f>
        <v/>
      </c>
      <c r="G755" s="21" t="str">
        <f aca="false">IF($H755="","",INDEX(DECKS!$F$2:$F$1201,$H755))</f>
        <v/>
      </c>
      <c r="H755" s="11" t="str">
        <f aca="false">IFERROR(MATCH(ROW()-1,DECKS!$O$2:$O$1201,0),"")</f>
        <v/>
      </c>
      <c r="I755" s="11" t="str">
        <f aca="false">IF(C755="","",G755&amp;" "&amp;D755&amp;" ("&amp;C755&amp;")")</f>
        <v/>
      </c>
    </row>
    <row r="756" customFormat="false" ht="15" hidden="false" customHeight="false" outlineLevel="0" collapsed="false">
      <c r="A756" s="16"/>
      <c r="B756" s="11" t="str">
        <f aca="false">IF($H756="","",INDEX(DECKS!$A$2:$A$1201,$H756))</f>
        <v/>
      </c>
      <c r="C756" s="11" t="str">
        <f aca="false">IF($H756="","",INDEX(DECKS!$B$2:$B$1201,$H756))</f>
        <v/>
      </c>
      <c r="D756" s="11" t="str">
        <f aca="false">IF($H756="","",INDEX(DECKS!$C$2:$C$1201,$H756))</f>
        <v/>
      </c>
      <c r="E756" s="16" t="str">
        <f aca="false">IF($H756="","",INDEX(DECKS!$D$2:$D$1201,$H756))</f>
        <v/>
      </c>
      <c r="F756" s="16" t="str">
        <f aca="false">IF($H756="","",INDEX(DECKS!$E$2:$E$1201,$H756))</f>
        <v/>
      </c>
      <c r="G756" s="21" t="str">
        <f aca="false">IF($H756="","",INDEX(DECKS!$F$2:$F$1201,$H756))</f>
        <v/>
      </c>
      <c r="H756" s="11" t="str">
        <f aca="false">IFERROR(MATCH(ROW()-1,DECKS!$O$2:$O$1201,0),"")</f>
        <v/>
      </c>
      <c r="I756" s="11" t="str">
        <f aca="false">IF(C756="","",G756&amp;" "&amp;D756&amp;" ("&amp;C756&amp;")")</f>
        <v/>
      </c>
    </row>
    <row r="757" customFormat="false" ht="15" hidden="false" customHeight="false" outlineLevel="0" collapsed="false">
      <c r="A757" s="16"/>
      <c r="B757" s="11" t="str">
        <f aca="false">IF($H757="","",INDEX(DECKS!$A$2:$A$1201,$H757))</f>
        <v/>
      </c>
      <c r="C757" s="11" t="str">
        <f aca="false">IF($H757="","",INDEX(DECKS!$B$2:$B$1201,$H757))</f>
        <v/>
      </c>
      <c r="D757" s="11" t="str">
        <f aca="false">IF($H757="","",INDEX(DECKS!$C$2:$C$1201,$H757))</f>
        <v/>
      </c>
      <c r="E757" s="16" t="str">
        <f aca="false">IF($H757="","",INDEX(DECKS!$D$2:$D$1201,$H757))</f>
        <v/>
      </c>
      <c r="F757" s="16" t="str">
        <f aca="false">IF($H757="","",INDEX(DECKS!$E$2:$E$1201,$H757))</f>
        <v/>
      </c>
      <c r="G757" s="21" t="str">
        <f aca="false">IF($H757="","",INDEX(DECKS!$F$2:$F$1201,$H757))</f>
        <v/>
      </c>
      <c r="H757" s="11" t="str">
        <f aca="false">IFERROR(MATCH(ROW()-1,DECKS!$O$2:$O$1201,0),"")</f>
        <v/>
      </c>
      <c r="I757" s="11" t="str">
        <f aca="false">IF(C757="","",G757&amp;" "&amp;D757&amp;" ("&amp;C757&amp;")")</f>
        <v/>
      </c>
    </row>
    <row r="758" customFormat="false" ht="15" hidden="false" customHeight="false" outlineLevel="0" collapsed="false">
      <c r="A758" s="16"/>
      <c r="B758" s="11" t="str">
        <f aca="false">IF($H758="","",INDEX(DECKS!$A$2:$A$1201,$H758))</f>
        <v/>
      </c>
      <c r="C758" s="11" t="str">
        <f aca="false">IF($H758="","",INDEX(DECKS!$B$2:$B$1201,$H758))</f>
        <v/>
      </c>
      <c r="D758" s="11" t="str">
        <f aca="false">IF($H758="","",INDEX(DECKS!$C$2:$C$1201,$H758))</f>
        <v/>
      </c>
      <c r="E758" s="16" t="str">
        <f aca="false">IF($H758="","",INDEX(DECKS!$D$2:$D$1201,$H758))</f>
        <v/>
      </c>
      <c r="F758" s="16" t="str">
        <f aca="false">IF($H758="","",INDEX(DECKS!$E$2:$E$1201,$H758))</f>
        <v/>
      </c>
      <c r="G758" s="21" t="str">
        <f aca="false">IF($H758="","",INDEX(DECKS!$F$2:$F$1201,$H758))</f>
        <v/>
      </c>
      <c r="H758" s="11" t="str">
        <f aca="false">IFERROR(MATCH(ROW()-1,DECKS!$O$2:$O$1201,0),"")</f>
        <v/>
      </c>
      <c r="I758" s="11" t="str">
        <f aca="false">IF(C758="","",G758&amp;" "&amp;D758&amp;" ("&amp;C758&amp;")")</f>
        <v/>
      </c>
    </row>
    <row r="759" customFormat="false" ht="15" hidden="false" customHeight="false" outlineLevel="0" collapsed="false">
      <c r="A759" s="16"/>
      <c r="B759" s="11" t="str">
        <f aca="false">IF($H759="","",INDEX(DECKS!$A$2:$A$1201,$H759))</f>
        <v/>
      </c>
      <c r="C759" s="11" t="str">
        <f aca="false">IF($H759="","",INDEX(DECKS!$B$2:$B$1201,$H759))</f>
        <v/>
      </c>
      <c r="D759" s="11" t="str">
        <f aca="false">IF($H759="","",INDEX(DECKS!$C$2:$C$1201,$H759))</f>
        <v/>
      </c>
      <c r="E759" s="16" t="str">
        <f aca="false">IF($H759="","",INDEX(DECKS!$D$2:$D$1201,$H759))</f>
        <v/>
      </c>
      <c r="F759" s="16" t="str">
        <f aca="false">IF($H759="","",INDEX(DECKS!$E$2:$E$1201,$H759))</f>
        <v/>
      </c>
      <c r="G759" s="21" t="str">
        <f aca="false">IF($H759="","",INDEX(DECKS!$F$2:$F$1201,$H759))</f>
        <v/>
      </c>
      <c r="H759" s="11" t="str">
        <f aca="false">IFERROR(MATCH(ROW()-1,DECKS!$O$2:$O$1201,0),"")</f>
        <v/>
      </c>
      <c r="I759" s="11" t="str">
        <f aca="false">IF(C759="","",G759&amp;" "&amp;D759&amp;" ("&amp;C759&amp;")")</f>
        <v/>
      </c>
    </row>
    <row r="760" customFormat="false" ht="15" hidden="false" customHeight="false" outlineLevel="0" collapsed="false">
      <c r="A760" s="16"/>
      <c r="B760" s="11" t="str">
        <f aca="false">IF($H760="","",INDEX(DECKS!$A$2:$A$1201,$H760))</f>
        <v/>
      </c>
      <c r="C760" s="11" t="str">
        <f aca="false">IF($H760="","",INDEX(DECKS!$B$2:$B$1201,$H760))</f>
        <v/>
      </c>
      <c r="D760" s="11" t="str">
        <f aca="false">IF($H760="","",INDEX(DECKS!$C$2:$C$1201,$H760))</f>
        <v/>
      </c>
      <c r="E760" s="16" t="str">
        <f aca="false">IF($H760="","",INDEX(DECKS!$D$2:$D$1201,$H760))</f>
        <v/>
      </c>
      <c r="F760" s="16" t="str">
        <f aca="false">IF($H760="","",INDEX(DECKS!$E$2:$E$1201,$H760))</f>
        <v/>
      </c>
      <c r="G760" s="21" t="str">
        <f aca="false">IF($H760="","",INDEX(DECKS!$F$2:$F$1201,$H760))</f>
        <v/>
      </c>
      <c r="H760" s="11" t="str">
        <f aca="false">IFERROR(MATCH(ROW()-1,DECKS!$O$2:$O$1201,0),"")</f>
        <v/>
      </c>
      <c r="I760" s="11" t="str">
        <f aca="false">IF(C760="","",G760&amp;" "&amp;D760&amp;" ("&amp;C760&amp;")")</f>
        <v/>
      </c>
    </row>
    <row r="761" customFormat="false" ht="15" hidden="false" customHeight="false" outlineLevel="0" collapsed="false">
      <c r="A761" s="16"/>
      <c r="B761" s="11" t="str">
        <f aca="false">IF($H761="","",INDEX(DECKS!$A$2:$A$1201,$H761))</f>
        <v/>
      </c>
      <c r="C761" s="11" t="str">
        <f aca="false">IF($H761="","",INDEX(DECKS!$B$2:$B$1201,$H761))</f>
        <v/>
      </c>
      <c r="D761" s="11" t="str">
        <f aca="false">IF($H761="","",INDEX(DECKS!$C$2:$C$1201,$H761))</f>
        <v/>
      </c>
      <c r="E761" s="16" t="str">
        <f aca="false">IF($H761="","",INDEX(DECKS!$D$2:$D$1201,$H761))</f>
        <v/>
      </c>
      <c r="F761" s="16" t="str">
        <f aca="false">IF($H761="","",INDEX(DECKS!$E$2:$E$1201,$H761))</f>
        <v/>
      </c>
      <c r="G761" s="21" t="str">
        <f aca="false">IF($H761="","",INDEX(DECKS!$F$2:$F$1201,$H761))</f>
        <v/>
      </c>
      <c r="H761" s="11" t="str">
        <f aca="false">IFERROR(MATCH(ROW()-1,DECKS!$O$2:$O$1201,0),"")</f>
        <v/>
      </c>
      <c r="I761" s="11" t="str">
        <f aca="false">IF(C761="","",G761&amp;" "&amp;D761&amp;" ("&amp;C761&amp;")")</f>
        <v/>
      </c>
    </row>
    <row r="762" customFormat="false" ht="15" hidden="false" customHeight="false" outlineLevel="0" collapsed="false">
      <c r="A762" s="16"/>
      <c r="B762" s="11" t="str">
        <f aca="false">IF($H762="","",INDEX(DECKS!$A$2:$A$1201,$H762))</f>
        <v/>
      </c>
      <c r="C762" s="11" t="str">
        <f aca="false">IF($H762="","",INDEX(DECKS!$B$2:$B$1201,$H762))</f>
        <v/>
      </c>
      <c r="D762" s="11" t="str">
        <f aca="false">IF($H762="","",INDEX(DECKS!$C$2:$C$1201,$H762))</f>
        <v/>
      </c>
      <c r="E762" s="16" t="str">
        <f aca="false">IF($H762="","",INDEX(DECKS!$D$2:$D$1201,$H762))</f>
        <v/>
      </c>
      <c r="F762" s="16" t="str">
        <f aca="false">IF($H762="","",INDEX(DECKS!$E$2:$E$1201,$H762))</f>
        <v/>
      </c>
      <c r="G762" s="21" t="str">
        <f aca="false">IF($H762="","",INDEX(DECKS!$F$2:$F$1201,$H762))</f>
        <v/>
      </c>
      <c r="H762" s="11" t="str">
        <f aca="false">IFERROR(MATCH(ROW()-1,DECKS!$O$2:$O$1201,0),"")</f>
        <v/>
      </c>
      <c r="I762" s="11" t="str">
        <f aca="false">IF(C762="","",G762&amp;" "&amp;D762&amp;" ("&amp;C762&amp;")")</f>
        <v/>
      </c>
    </row>
    <row r="763" customFormat="false" ht="15" hidden="false" customHeight="false" outlineLevel="0" collapsed="false">
      <c r="A763" s="16"/>
      <c r="B763" s="11" t="str">
        <f aca="false">IF($H763="","",INDEX(DECKS!$A$2:$A$1201,$H763))</f>
        <v/>
      </c>
      <c r="C763" s="11" t="str">
        <f aca="false">IF($H763="","",INDEX(DECKS!$B$2:$B$1201,$H763))</f>
        <v/>
      </c>
      <c r="D763" s="11" t="str">
        <f aca="false">IF($H763="","",INDEX(DECKS!$C$2:$C$1201,$H763))</f>
        <v/>
      </c>
      <c r="E763" s="16" t="str">
        <f aca="false">IF($H763="","",INDEX(DECKS!$D$2:$D$1201,$H763))</f>
        <v/>
      </c>
      <c r="F763" s="16" t="str">
        <f aca="false">IF($H763="","",INDEX(DECKS!$E$2:$E$1201,$H763))</f>
        <v/>
      </c>
      <c r="G763" s="21" t="str">
        <f aca="false">IF($H763="","",INDEX(DECKS!$F$2:$F$1201,$H763))</f>
        <v/>
      </c>
      <c r="H763" s="11" t="str">
        <f aca="false">IFERROR(MATCH(ROW()-1,DECKS!$O$2:$O$1201,0),"")</f>
        <v/>
      </c>
      <c r="I763" s="11" t="str">
        <f aca="false">IF(C763="","",G763&amp;" "&amp;D763&amp;" ("&amp;C763&amp;")")</f>
        <v/>
      </c>
    </row>
    <row r="764" customFormat="false" ht="15" hidden="false" customHeight="false" outlineLevel="0" collapsed="false">
      <c r="A764" s="16"/>
      <c r="B764" s="11" t="str">
        <f aca="false">IF($H764="","",INDEX(DECKS!$A$2:$A$1201,$H764))</f>
        <v/>
      </c>
      <c r="C764" s="11" t="str">
        <f aca="false">IF($H764="","",INDEX(DECKS!$B$2:$B$1201,$H764))</f>
        <v/>
      </c>
      <c r="D764" s="11" t="str">
        <f aca="false">IF($H764="","",INDEX(DECKS!$C$2:$C$1201,$H764))</f>
        <v/>
      </c>
      <c r="E764" s="16" t="str">
        <f aca="false">IF($H764="","",INDEX(DECKS!$D$2:$D$1201,$H764))</f>
        <v/>
      </c>
      <c r="F764" s="16" t="str">
        <f aca="false">IF($H764="","",INDEX(DECKS!$E$2:$E$1201,$H764))</f>
        <v/>
      </c>
      <c r="G764" s="21" t="str">
        <f aca="false">IF($H764="","",INDEX(DECKS!$F$2:$F$1201,$H764))</f>
        <v/>
      </c>
      <c r="H764" s="11" t="str">
        <f aca="false">IFERROR(MATCH(ROW()-1,DECKS!$O$2:$O$1201,0),"")</f>
        <v/>
      </c>
      <c r="I764" s="11" t="str">
        <f aca="false">IF(C764="","",G764&amp;" "&amp;D764&amp;" ("&amp;C764&amp;")")</f>
        <v/>
      </c>
    </row>
    <row r="765" customFormat="false" ht="15" hidden="false" customHeight="false" outlineLevel="0" collapsed="false">
      <c r="A765" s="16"/>
      <c r="B765" s="11" t="str">
        <f aca="false">IF($H765="","",INDEX(DECKS!$A$2:$A$1201,$H765))</f>
        <v/>
      </c>
      <c r="C765" s="11" t="str">
        <f aca="false">IF($H765="","",INDEX(DECKS!$B$2:$B$1201,$H765))</f>
        <v/>
      </c>
      <c r="D765" s="11" t="str">
        <f aca="false">IF($H765="","",INDEX(DECKS!$C$2:$C$1201,$H765))</f>
        <v/>
      </c>
      <c r="E765" s="16" t="str">
        <f aca="false">IF($H765="","",INDEX(DECKS!$D$2:$D$1201,$H765))</f>
        <v/>
      </c>
      <c r="F765" s="16" t="str">
        <f aca="false">IF($H765="","",INDEX(DECKS!$E$2:$E$1201,$H765))</f>
        <v/>
      </c>
      <c r="G765" s="21" t="str">
        <f aca="false">IF($H765="","",INDEX(DECKS!$F$2:$F$1201,$H765))</f>
        <v/>
      </c>
      <c r="H765" s="11" t="str">
        <f aca="false">IFERROR(MATCH(ROW()-1,DECKS!$O$2:$O$1201,0),"")</f>
        <v/>
      </c>
      <c r="I765" s="11" t="str">
        <f aca="false">IF(C765="","",G765&amp;" "&amp;D765&amp;" ("&amp;C765&amp;")")</f>
        <v/>
      </c>
    </row>
    <row r="766" customFormat="false" ht="15" hidden="false" customHeight="false" outlineLevel="0" collapsed="false">
      <c r="A766" s="16"/>
      <c r="B766" s="11" t="str">
        <f aca="false">IF($H766="","",INDEX(DECKS!$A$2:$A$1201,$H766))</f>
        <v/>
      </c>
      <c r="C766" s="11" t="str">
        <f aca="false">IF($H766="","",INDEX(DECKS!$B$2:$B$1201,$H766))</f>
        <v/>
      </c>
      <c r="D766" s="11" t="str">
        <f aca="false">IF($H766="","",INDEX(DECKS!$C$2:$C$1201,$H766))</f>
        <v/>
      </c>
      <c r="E766" s="16" t="str">
        <f aca="false">IF($H766="","",INDEX(DECKS!$D$2:$D$1201,$H766))</f>
        <v/>
      </c>
      <c r="F766" s="16" t="str">
        <f aca="false">IF($H766="","",INDEX(DECKS!$E$2:$E$1201,$H766))</f>
        <v/>
      </c>
      <c r="G766" s="21" t="str">
        <f aca="false">IF($H766="","",INDEX(DECKS!$F$2:$F$1201,$H766))</f>
        <v/>
      </c>
      <c r="H766" s="11" t="str">
        <f aca="false">IFERROR(MATCH(ROW()-1,DECKS!$O$2:$O$1201,0),"")</f>
        <v/>
      </c>
      <c r="I766" s="11" t="str">
        <f aca="false">IF(C766="","",G766&amp;" "&amp;D766&amp;" ("&amp;C766&amp;")")</f>
        <v/>
      </c>
    </row>
    <row r="767" customFormat="false" ht="15" hidden="false" customHeight="false" outlineLevel="0" collapsed="false">
      <c r="A767" s="16"/>
      <c r="B767" s="11" t="str">
        <f aca="false">IF($H767="","",INDEX(DECKS!$A$2:$A$1201,$H767))</f>
        <v/>
      </c>
      <c r="C767" s="11" t="str">
        <f aca="false">IF($H767="","",INDEX(DECKS!$B$2:$B$1201,$H767))</f>
        <v/>
      </c>
      <c r="D767" s="11" t="str">
        <f aca="false">IF($H767="","",INDEX(DECKS!$C$2:$C$1201,$H767))</f>
        <v/>
      </c>
      <c r="E767" s="16" t="str">
        <f aca="false">IF($H767="","",INDEX(DECKS!$D$2:$D$1201,$H767))</f>
        <v/>
      </c>
      <c r="F767" s="16" t="str">
        <f aca="false">IF($H767="","",INDEX(DECKS!$E$2:$E$1201,$H767))</f>
        <v/>
      </c>
      <c r="G767" s="21" t="str">
        <f aca="false">IF($H767="","",INDEX(DECKS!$F$2:$F$1201,$H767))</f>
        <v/>
      </c>
      <c r="H767" s="11" t="str">
        <f aca="false">IFERROR(MATCH(ROW()-1,DECKS!$O$2:$O$1201,0),"")</f>
        <v/>
      </c>
      <c r="I767" s="11" t="str">
        <f aca="false">IF(C767="","",G767&amp;" "&amp;D767&amp;" ("&amp;C767&amp;")")</f>
        <v/>
      </c>
    </row>
    <row r="768" customFormat="false" ht="15" hidden="false" customHeight="false" outlineLevel="0" collapsed="false">
      <c r="A768" s="16"/>
      <c r="B768" s="11" t="str">
        <f aca="false">IF($H768="","",INDEX(DECKS!$A$2:$A$1201,$H768))</f>
        <v/>
      </c>
      <c r="C768" s="11" t="str">
        <f aca="false">IF($H768="","",INDEX(DECKS!$B$2:$B$1201,$H768))</f>
        <v/>
      </c>
      <c r="D768" s="11" t="str">
        <f aca="false">IF($H768="","",INDEX(DECKS!$C$2:$C$1201,$H768))</f>
        <v/>
      </c>
      <c r="E768" s="16" t="str">
        <f aca="false">IF($H768="","",INDEX(DECKS!$D$2:$D$1201,$H768))</f>
        <v/>
      </c>
      <c r="F768" s="16" t="str">
        <f aca="false">IF($H768="","",INDEX(DECKS!$E$2:$E$1201,$H768))</f>
        <v/>
      </c>
      <c r="G768" s="21" t="str">
        <f aca="false">IF($H768="","",INDEX(DECKS!$F$2:$F$1201,$H768))</f>
        <v/>
      </c>
      <c r="H768" s="11" t="str">
        <f aca="false">IFERROR(MATCH(ROW()-1,DECKS!$O$2:$O$1201,0),"")</f>
        <v/>
      </c>
      <c r="I768" s="11" t="str">
        <f aca="false">IF(C768="","",G768&amp;" "&amp;D768&amp;" ("&amp;C768&amp;")")</f>
        <v/>
      </c>
    </row>
    <row r="769" customFormat="false" ht="15" hidden="false" customHeight="false" outlineLevel="0" collapsed="false">
      <c r="A769" s="16"/>
      <c r="B769" s="11" t="str">
        <f aca="false">IF($H769="","",INDEX(DECKS!$A$2:$A$1201,$H769))</f>
        <v/>
      </c>
      <c r="C769" s="11" t="str">
        <f aca="false">IF($H769="","",INDEX(DECKS!$B$2:$B$1201,$H769))</f>
        <v/>
      </c>
      <c r="D769" s="11" t="str">
        <f aca="false">IF($H769="","",INDEX(DECKS!$C$2:$C$1201,$H769))</f>
        <v/>
      </c>
      <c r="E769" s="16" t="str">
        <f aca="false">IF($H769="","",INDEX(DECKS!$D$2:$D$1201,$H769))</f>
        <v/>
      </c>
      <c r="F769" s="16" t="str">
        <f aca="false">IF($H769="","",INDEX(DECKS!$E$2:$E$1201,$H769))</f>
        <v/>
      </c>
      <c r="G769" s="21" t="str">
        <f aca="false">IF($H769="","",INDEX(DECKS!$F$2:$F$1201,$H769))</f>
        <v/>
      </c>
      <c r="H769" s="11" t="str">
        <f aca="false">IFERROR(MATCH(ROW()-1,DECKS!$O$2:$O$1201,0),"")</f>
        <v/>
      </c>
      <c r="I769" s="11" t="str">
        <f aca="false">IF(C769="","",G769&amp;" "&amp;D769&amp;" ("&amp;C769&amp;")")</f>
        <v/>
      </c>
    </row>
    <row r="770" customFormat="false" ht="15" hidden="false" customHeight="false" outlineLevel="0" collapsed="false">
      <c r="A770" s="16"/>
      <c r="B770" s="11" t="str">
        <f aca="false">IF($H770="","",INDEX(DECKS!$A$2:$A$1201,$H770))</f>
        <v/>
      </c>
      <c r="C770" s="11" t="str">
        <f aca="false">IF($H770="","",INDEX(DECKS!$B$2:$B$1201,$H770))</f>
        <v/>
      </c>
      <c r="D770" s="11" t="str">
        <f aca="false">IF($H770="","",INDEX(DECKS!$C$2:$C$1201,$H770))</f>
        <v/>
      </c>
      <c r="E770" s="16" t="str">
        <f aca="false">IF($H770="","",INDEX(DECKS!$D$2:$D$1201,$H770))</f>
        <v/>
      </c>
      <c r="F770" s="16" t="str">
        <f aca="false">IF($H770="","",INDEX(DECKS!$E$2:$E$1201,$H770))</f>
        <v/>
      </c>
      <c r="G770" s="21" t="str">
        <f aca="false">IF($H770="","",INDEX(DECKS!$F$2:$F$1201,$H770))</f>
        <v/>
      </c>
      <c r="H770" s="11" t="str">
        <f aca="false">IFERROR(MATCH(ROW()-1,DECKS!$O$2:$O$1201,0),"")</f>
        <v/>
      </c>
      <c r="I770" s="11" t="str">
        <f aca="false">IF(C770="","",G770&amp;" "&amp;D770&amp;" ("&amp;C770&amp;")")</f>
        <v/>
      </c>
    </row>
    <row r="771" customFormat="false" ht="15" hidden="false" customHeight="false" outlineLevel="0" collapsed="false">
      <c r="A771" s="16"/>
      <c r="B771" s="11" t="str">
        <f aca="false">IF($H771="","",INDEX(DECKS!$A$2:$A$1201,$H771))</f>
        <v/>
      </c>
      <c r="C771" s="11" t="str">
        <f aca="false">IF($H771="","",INDEX(DECKS!$B$2:$B$1201,$H771))</f>
        <v/>
      </c>
      <c r="D771" s="11" t="str">
        <f aca="false">IF($H771="","",INDEX(DECKS!$C$2:$C$1201,$H771))</f>
        <v/>
      </c>
      <c r="E771" s="16" t="str">
        <f aca="false">IF($H771="","",INDEX(DECKS!$D$2:$D$1201,$H771))</f>
        <v/>
      </c>
      <c r="F771" s="16" t="str">
        <f aca="false">IF($H771="","",INDEX(DECKS!$E$2:$E$1201,$H771))</f>
        <v/>
      </c>
      <c r="G771" s="21" t="str">
        <f aca="false">IF($H771="","",INDEX(DECKS!$F$2:$F$1201,$H771))</f>
        <v/>
      </c>
      <c r="H771" s="11" t="str">
        <f aca="false">IFERROR(MATCH(ROW()-1,DECKS!$O$2:$O$1201,0),"")</f>
        <v/>
      </c>
      <c r="I771" s="11" t="str">
        <f aca="false">IF(C771="","",G771&amp;" "&amp;D771&amp;" ("&amp;C771&amp;")")</f>
        <v/>
      </c>
    </row>
    <row r="772" customFormat="false" ht="15" hidden="false" customHeight="false" outlineLevel="0" collapsed="false">
      <c r="A772" s="16"/>
      <c r="B772" s="11" t="str">
        <f aca="false">IF($H772="","",INDEX(DECKS!$A$2:$A$1201,$H772))</f>
        <v/>
      </c>
      <c r="C772" s="11" t="str">
        <f aca="false">IF($H772="","",INDEX(DECKS!$B$2:$B$1201,$H772))</f>
        <v/>
      </c>
      <c r="D772" s="11" t="str">
        <f aca="false">IF($H772="","",INDEX(DECKS!$C$2:$C$1201,$H772))</f>
        <v/>
      </c>
      <c r="E772" s="16" t="str">
        <f aca="false">IF($H772="","",INDEX(DECKS!$D$2:$D$1201,$H772))</f>
        <v/>
      </c>
      <c r="F772" s="16" t="str">
        <f aca="false">IF($H772="","",INDEX(DECKS!$E$2:$E$1201,$H772))</f>
        <v/>
      </c>
      <c r="G772" s="21" t="str">
        <f aca="false">IF($H772="","",INDEX(DECKS!$F$2:$F$1201,$H772))</f>
        <v/>
      </c>
      <c r="H772" s="11" t="str">
        <f aca="false">IFERROR(MATCH(ROW()-1,DECKS!$O$2:$O$1201,0),"")</f>
        <v/>
      </c>
      <c r="I772" s="11" t="str">
        <f aca="false">IF(C772="","",G772&amp;" "&amp;D772&amp;" ("&amp;C772&amp;")")</f>
        <v/>
      </c>
    </row>
    <row r="773" customFormat="false" ht="15" hidden="false" customHeight="false" outlineLevel="0" collapsed="false">
      <c r="A773" s="16"/>
      <c r="B773" s="11" t="str">
        <f aca="false">IF($H773="","",INDEX(DECKS!$A$2:$A$1201,$H773))</f>
        <v/>
      </c>
      <c r="C773" s="11" t="str">
        <f aca="false">IF($H773="","",INDEX(DECKS!$B$2:$B$1201,$H773))</f>
        <v/>
      </c>
      <c r="D773" s="11" t="str">
        <f aca="false">IF($H773="","",INDEX(DECKS!$C$2:$C$1201,$H773))</f>
        <v/>
      </c>
      <c r="E773" s="16" t="str">
        <f aca="false">IF($H773="","",INDEX(DECKS!$D$2:$D$1201,$H773))</f>
        <v/>
      </c>
      <c r="F773" s="16" t="str">
        <f aca="false">IF($H773="","",INDEX(DECKS!$E$2:$E$1201,$H773))</f>
        <v/>
      </c>
      <c r="G773" s="21" t="str">
        <f aca="false">IF($H773="","",INDEX(DECKS!$F$2:$F$1201,$H773))</f>
        <v/>
      </c>
      <c r="H773" s="11" t="str">
        <f aca="false">IFERROR(MATCH(ROW()-1,DECKS!$O$2:$O$1201,0),"")</f>
        <v/>
      </c>
      <c r="I773" s="11" t="str">
        <f aca="false">IF(C773="","",G773&amp;" "&amp;D773&amp;" ("&amp;C773&amp;")")</f>
        <v/>
      </c>
    </row>
    <row r="774" customFormat="false" ht="15" hidden="false" customHeight="false" outlineLevel="0" collapsed="false">
      <c r="A774" s="16"/>
      <c r="B774" s="11" t="str">
        <f aca="false">IF($H774="","",INDEX(DECKS!$A$2:$A$1201,$H774))</f>
        <v/>
      </c>
      <c r="C774" s="11" t="str">
        <f aca="false">IF($H774="","",INDEX(DECKS!$B$2:$B$1201,$H774))</f>
        <v/>
      </c>
      <c r="D774" s="11" t="str">
        <f aca="false">IF($H774="","",INDEX(DECKS!$C$2:$C$1201,$H774))</f>
        <v/>
      </c>
      <c r="E774" s="16" t="str">
        <f aca="false">IF($H774="","",INDEX(DECKS!$D$2:$D$1201,$H774))</f>
        <v/>
      </c>
      <c r="F774" s="16" t="str">
        <f aca="false">IF($H774="","",INDEX(DECKS!$E$2:$E$1201,$H774))</f>
        <v/>
      </c>
      <c r="G774" s="21" t="str">
        <f aca="false">IF($H774="","",INDEX(DECKS!$F$2:$F$1201,$H774))</f>
        <v/>
      </c>
      <c r="H774" s="11" t="str">
        <f aca="false">IFERROR(MATCH(ROW()-1,DECKS!$O$2:$O$1201,0),"")</f>
        <v/>
      </c>
      <c r="I774" s="11" t="str">
        <f aca="false">IF(C774="","",G774&amp;" "&amp;D774&amp;" ("&amp;C774&amp;")")</f>
        <v/>
      </c>
    </row>
    <row r="775" customFormat="false" ht="15" hidden="false" customHeight="false" outlineLevel="0" collapsed="false">
      <c r="A775" s="16"/>
      <c r="B775" s="11" t="str">
        <f aca="false">IF($H775="","",INDEX(DECKS!$A$2:$A$1201,$H775))</f>
        <v/>
      </c>
      <c r="C775" s="11" t="str">
        <f aca="false">IF($H775="","",INDEX(DECKS!$B$2:$B$1201,$H775))</f>
        <v/>
      </c>
      <c r="D775" s="11" t="str">
        <f aca="false">IF($H775="","",INDEX(DECKS!$C$2:$C$1201,$H775))</f>
        <v/>
      </c>
      <c r="E775" s="16" t="str">
        <f aca="false">IF($H775="","",INDEX(DECKS!$D$2:$D$1201,$H775))</f>
        <v/>
      </c>
      <c r="F775" s="16" t="str">
        <f aca="false">IF($H775="","",INDEX(DECKS!$E$2:$E$1201,$H775))</f>
        <v/>
      </c>
      <c r="G775" s="21" t="str">
        <f aca="false">IF($H775="","",INDEX(DECKS!$F$2:$F$1201,$H775))</f>
        <v/>
      </c>
      <c r="H775" s="11" t="str">
        <f aca="false">IFERROR(MATCH(ROW()-1,DECKS!$O$2:$O$1201,0),"")</f>
        <v/>
      </c>
      <c r="I775" s="11" t="str">
        <f aca="false">IF(C775="","",G775&amp;" "&amp;D775&amp;" ("&amp;C775&amp;")")</f>
        <v/>
      </c>
    </row>
    <row r="776" customFormat="false" ht="15" hidden="false" customHeight="false" outlineLevel="0" collapsed="false">
      <c r="A776" s="16"/>
      <c r="B776" s="11" t="str">
        <f aca="false">IF($H776="","",INDEX(DECKS!$A$2:$A$1201,$H776))</f>
        <v/>
      </c>
      <c r="C776" s="11" t="str">
        <f aca="false">IF($H776="","",INDEX(DECKS!$B$2:$B$1201,$H776))</f>
        <v/>
      </c>
      <c r="D776" s="11" t="str">
        <f aca="false">IF($H776="","",INDEX(DECKS!$C$2:$C$1201,$H776))</f>
        <v/>
      </c>
      <c r="E776" s="16" t="str">
        <f aca="false">IF($H776="","",INDEX(DECKS!$D$2:$D$1201,$H776))</f>
        <v/>
      </c>
      <c r="F776" s="16" t="str">
        <f aca="false">IF($H776="","",INDEX(DECKS!$E$2:$E$1201,$H776))</f>
        <v/>
      </c>
      <c r="G776" s="21" t="str">
        <f aca="false">IF($H776="","",INDEX(DECKS!$F$2:$F$1201,$H776))</f>
        <v/>
      </c>
      <c r="H776" s="11" t="str">
        <f aca="false">IFERROR(MATCH(ROW()-1,DECKS!$O$2:$O$1201,0),"")</f>
        <v/>
      </c>
      <c r="I776" s="11" t="str">
        <f aca="false">IF(C776="","",G776&amp;" "&amp;D776&amp;" ("&amp;C776&amp;")")</f>
        <v/>
      </c>
    </row>
    <row r="777" customFormat="false" ht="15" hidden="false" customHeight="false" outlineLevel="0" collapsed="false">
      <c r="A777" s="16"/>
      <c r="B777" s="11" t="str">
        <f aca="false">IF($H777="","",INDEX(DECKS!$A$2:$A$1201,$H777))</f>
        <v/>
      </c>
      <c r="C777" s="11" t="str">
        <f aca="false">IF($H777="","",INDEX(DECKS!$B$2:$B$1201,$H777))</f>
        <v/>
      </c>
      <c r="D777" s="11" t="str">
        <f aca="false">IF($H777="","",INDEX(DECKS!$C$2:$C$1201,$H777))</f>
        <v/>
      </c>
      <c r="E777" s="16" t="str">
        <f aca="false">IF($H777="","",INDEX(DECKS!$D$2:$D$1201,$H777))</f>
        <v/>
      </c>
      <c r="F777" s="16" t="str">
        <f aca="false">IF($H777="","",INDEX(DECKS!$E$2:$E$1201,$H777))</f>
        <v/>
      </c>
      <c r="G777" s="21" t="str">
        <f aca="false">IF($H777="","",INDEX(DECKS!$F$2:$F$1201,$H777))</f>
        <v/>
      </c>
      <c r="H777" s="11" t="str">
        <f aca="false">IFERROR(MATCH(ROW()-1,DECKS!$O$2:$O$1201,0),"")</f>
        <v/>
      </c>
      <c r="I777" s="11" t="str">
        <f aca="false">IF(C777="","",G777&amp;" "&amp;D777&amp;" ("&amp;C777&amp;")")</f>
        <v/>
      </c>
    </row>
    <row r="778" customFormat="false" ht="15" hidden="false" customHeight="false" outlineLevel="0" collapsed="false">
      <c r="A778" s="16"/>
      <c r="B778" s="11" t="str">
        <f aca="false">IF($H778="","",INDEX(DECKS!$A$2:$A$1201,$H778))</f>
        <v/>
      </c>
      <c r="C778" s="11" t="str">
        <f aca="false">IF($H778="","",INDEX(DECKS!$B$2:$B$1201,$H778))</f>
        <v/>
      </c>
      <c r="D778" s="11" t="str">
        <f aca="false">IF($H778="","",INDEX(DECKS!$C$2:$C$1201,$H778))</f>
        <v/>
      </c>
      <c r="E778" s="16" t="str">
        <f aca="false">IF($H778="","",INDEX(DECKS!$D$2:$D$1201,$H778))</f>
        <v/>
      </c>
      <c r="F778" s="16" t="str">
        <f aca="false">IF($H778="","",INDEX(DECKS!$E$2:$E$1201,$H778))</f>
        <v/>
      </c>
      <c r="G778" s="21" t="str">
        <f aca="false">IF($H778="","",INDEX(DECKS!$F$2:$F$1201,$H778))</f>
        <v/>
      </c>
      <c r="H778" s="11" t="str">
        <f aca="false">IFERROR(MATCH(ROW()-1,DECKS!$O$2:$O$1201,0),"")</f>
        <v/>
      </c>
      <c r="I778" s="11" t="str">
        <f aca="false">IF(C778="","",G778&amp;" "&amp;D778&amp;" ("&amp;C778&amp;")")</f>
        <v/>
      </c>
    </row>
    <row r="779" customFormat="false" ht="15" hidden="false" customHeight="false" outlineLevel="0" collapsed="false">
      <c r="A779" s="16"/>
      <c r="B779" s="11" t="str">
        <f aca="false">IF($H779="","",INDEX(DECKS!$A$2:$A$1201,$H779))</f>
        <v/>
      </c>
      <c r="C779" s="11" t="str">
        <f aca="false">IF($H779="","",INDEX(DECKS!$B$2:$B$1201,$H779))</f>
        <v/>
      </c>
      <c r="D779" s="11" t="str">
        <f aca="false">IF($H779="","",INDEX(DECKS!$C$2:$C$1201,$H779))</f>
        <v/>
      </c>
      <c r="E779" s="16" t="str">
        <f aca="false">IF($H779="","",INDEX(DECKS!$D$2:$D$1201,$H779))</f>
        <v/>
      </c>
      <c r="F779" s="16" t="str">
        <f aca="false">IF($H779="","",INDEX(DECKS!$E$2:$E$1201,$H779))</f>
        <v/>
      </c>
      <c r="G779" s="21" t="str">
        <f aca="false">IF($H779="","",INDEX(DECKS!$F$2:$F$1201,$H779))</f>
        <v/>
      </c>
      <c r="H779" s="11" t="str">
        <f aca="false">IFERROR(MATCH(ROW()-1,DECKS!$O$2:$O$1201,0),"")</f>
        <v/>
      </c>
      <c r="I779" s="11" t="str">
        <f aca="false">IF(C779="","",G779&amp;" "&amp;D779&amp;" ("&amp;C779&amp;")")</f>
        <v/>
      </c>
    </row>
    <row r="780" customFormat="false" ht="15" hidden="false" customHeight="false" outlineLevel="0" collapsed="false">
      <c r="A780" s="16"/>
      <c r="B780" s="11" t="str">
        <f aca="false">IF($H780="","",INDEX(DECKS!$A$2:$A$1201,$H780))</f>
        <v/>
      </c>
      <c r="C780" s="11" t="str">
        <f aca="false">IF($H780="","",INDEX(DECKS!$B$2:$B$1201,$H780))</f>
        <v/>
      </c>
      <c r="D780" s="11" t="str">
        <f aca="false">IF($H780="","",INDEX(DECKS!$C$2:$C$1201,$H780))</f>
        <v/>
      </c>
      <c r="E780" s="16" t="str">
        <f aca="false">IF($H780="","",INDEX(DECKS!$D$2:$D$1201,$H780))</f>
        <v/>
      </c>
      <c r="F780" s="16" t="str">
        <f aca="false">IF($H780="","",INDEX(DECKS!$E$2:$E$1201,$H780))</f>
        <v/>
      </c>
      <c r="G780" s="21" t="str">
        <f aca="false">IF($H780="","",INDEX(DECKS!$F$2:$F$1201,$H780))</f>
        <v/>
      </c>
      <c r="H780" s="11" t="str">
        <f aca="false">IFERROR(MATCH(ROW()-1,DECKS!$O$2:$O$1201,0),"")</f>
        <v/>
      </c>
      <c r="I780" s="11" t="str">
        <f aca="false">IF(C780="","",G780&amp;" "&amp;D780&amp;" ("&amp;C780&amp;")")</f>
        <v/>
      </c>
    </row>
    <row r="781" customFormat="false" ht="15" hidden="false" customHeight="false" outlineLevel="0" collapsed="false">
      <c r="A781" s="16"/>
      <c r="B781" s="11" t="str">
        <f aca="false">IF($H781="","",INDEX(DECKS!$A$2:$A$1201,$H781))</f>
        <v/>
      </c>
      <c r="C781" s="11" t="str">
        <f aca="false">IF($H781="","",INDEX(DECKS!$B$2:$B$1201,$H781))</f>
        <v/>
      </c>
      <c r="D781" s="11" t="str">
        <f aca="false">IF($H781="","",INDEX(DECKS!$C$2:$C$1201,$H781))</f>
        <v/>
      </c>
      <c r="E781" s="16" t="str">
        <f aca="false">IF($H781="","",INDEX(DECKS!$D$2:$D$1201,$H781))</f>
        <v/>
      </c>
      <c r="F781" s="16" t="str">
        <f aca="false">IF($H781="","",INDEX(DECKS!$E$2:$E$1201,$H781))</f>
        <v/>
      </c>
      <c r="G781" s="21" t="str">
        <f aca="false">IF($H781="","",INDEX(DECKS!$F$2:$F$1201,$H781))</f>
        <v/>
      </c>
      <c r="H781" s="11" t="str">
        <f aca="false">IFERROR(MATCH(ROW()-1,DECKS!$O$2:$O$1201,0),"")</f>
        <v/>
      </c>
      <c r="I781" s="11" t="str">
        <f aca="false">IF(C781="","",G781&amp;" "&amp;D781&amp;" ("&amp;C781&amp;")")</f>
        <v/>
      </c>
    </row>
    <row r="782" customFormat="false" ht="15" hidden="false" customHeight="false" outlineLevel="0" collapsed="false">
      <c r="A782" s="16"/>
      <c r="B782" s="11" t="str">
        <f aca="false">IF($H782="","",INDEX(DECKS!$A$2:$A$1201,$H782))</f>
        <v/>
      </c>
      <c r="C782" s="11" t="str">
        <f aca="false">IF($H782="","",INDEX(DECKS!$B$2:$B$1201,$H782))</f>
        <v/>
      </c>
      <c r="D782" s="11" t="str">
        <f aca="false">IF($H782="","",INDEX(DECKS!$C$2:$C$1201,$H782))</f>
        <v/>
      </c>
      <c r="E782" s="16" t="str">
        <f aca="false">IF($H782="","",INDEX(DECKS!$D$2:$D$1201,$H782))</f>
        <v/>
      </c>
      <c r="F782" s="16" t="str">
        <f aca="false">IF($H782="","",INDEX(DECKS!$E$2:$E$1201,$H782))</f>
        <v/>
      </c>
      <c r="G782" s="21" t="str">
        <f aca="false">IF($H782="","",INDEX(DECKS!$F$2:$F$1201,$H782))</f>
        <v/>
      </c>
      <c r="H782" s="11" t="str">
        <f aca="false">IFERROR(MATCH(ROW()-1,DECKS!$O$2:$O$1201,0),"")</f>
        <v/>
      </c>
      <c r="I782" s="11" t="str">
        <f aca="false">IF(C782="","",G782&amp;" "&amp;D782&amp;" ("&amp;C782&amp;")")</f>
        <v/>
      </c>
    </row>
    <row r="783" customFormat="false" ht="15" hidden="false" customHeight="false" outlineLevel="0" collapsed="false">
      <c r="A783" s="16"/>
      <c r="B783" s="11" t="str">
        <f aca="false">IF($H783="","",INDEX(DECKS!$A$2:$A$1201,$H783))</f>
        <v/>
      </c>
      <c r="C783" s="11" t="str">
        <f aca="false">IF($H783="","",INDEX(DECKS!$B$2:$B$1201,$H783))</f>
        <v/>
      </c>
      <c r="D783" s="11" t="str">
        <f aca="false">IF($H783="","",INDEX(DECKS!$C$2:$C$1201,$H783))</f>
        <v/>
      </c>
      <c r="E783" s="16" t="str">
        <f aca="false">IF($H783="","",INDEX(DECKS!$D$2:$D$1201,$H783))</f>
        <v/>
      </c>
      <c r="F783" s="16" t="str">
        <f aca="false">IF($H783="","",INDEX(DECKS!$E$2:$E$1201,$H783))</f>
        <v/>
      </c>
      <c r="G783" s="21" t="str">
        <f aca="false">IF($H783="","",INDEX(DECKS!$F$2:$F$1201,$H783))</f>
        <v/>
      </c>
      <c r="H783" s="11" t="str">
        <f aca="false">IFERROR(MATCH(ROW()-1,DECKS!$O$2:$O$1201,0),"")</f>
        <v/>
      </c>
      <c r="I783" s="11" t="str">
        <f aca="false">IF(C783="","",G783&amp;" "&amp;D783&amp;" ("&amp;C783&amp;")")</f>
        <v/>
      </c>
    </row>
    <row r="784" customFormat="false" ht="15" hidden="false" customHeight="false" outlineLevel="0" collapsed="false">
      <c r="A784" s="16"/>
      <c r="B784" s="11" t="str">
        <f aca="false">IF($H784="","",INDEX(DECKS!$A$2:$A$1201,$H784))</f>
        <v/>
      </c>
      <c r="C784" s="11" t="str">
        <f aca="false">IF($H784="","",INDEX(DECKS!$B$2:$B$1201,$H784))</f>
        <v/>
      </c>
      <c r="D784" s="11" t="str">
        <f aca="false">IF($H784="","",INDEX(DECKS!$C$2:$C$1201,$H784))</f>
        <v/>
      </c>
      <c r="E784" s="16" t="str">
        <f aca="false">IF($H784="","",INDEX(DECKS!$D$2:$D$1201,$H784))</f>
        <v/>
      </c>
      <c r="F784" s="16" t="str">
        <f aca="false">IF($H784="","",INDEX(DECKS!$E$2:$E$1201,$H784))</f>
        <v/>
      </c>
      <c r="G784" s="21" t="str">
        <f aca="false">IF($H784="","",INDEX(DECKS!$F$2:$F$1201,$H784))</f>
        <v/>
      </c>
      <c r="H784" s="11" t="str">
        <f aca="false">IFERROR(MATCH(ROW()-1,DECKS!$O$2:$O$1201,0),"")</f>
        <v/>
      </c>
      <c r="I784" s="11" t="str">
        <f aca="false">IF(C784="","",G784&amp;" "&amp;D784&amp;" ("&amp;C784&amp;")")</f>
        <v/>
      </c>
    </row>
    <row r="785" customFormat="false" ht="15" hidden="false" customHeight="false" outlineLevel="0" collapsed="false">
      <c r="A785" s="16"/>
      <c r="B785" s="11" t="str">
        <f aca="false">IF($H785="","",INDEX(DECKS!$A$2:$A$1201,$H785))</f>
        <v/>
      </c>
      <c r="C785" s="11" t="str">
        <f aca="false">IF($H785="","",INDEX(DECKS!$B$2:$B$1201,$H785))</f>
        <v/>
      </c>
      <c r="D785" s="11" t="str">
        <f aca="false">IF($H785="","",INDEX(DECKS!$C$2:$C$1201,$H785))</f>
        <v/>
      </c>
      <c r="E785" s="16" t="str">
        <f aca="false">IF($H785="","",INDEX(DECKS!$D$2:$D$1201,$H785))</f>
        <v/>
      </c>
      <c r="F785" s="16" t="str">
        <f aca="false">IF($H785="","",INDEX(DECKS!$E$2:$E$1201,$H785))</f>
        <v/>
      </c>
      <c r="G785" s="21" t="str">
        <f aca="false">IF($H785="","",INDEX(DECKS!$F$2:$F$1201,$H785))</f>
        <v/>
      </c>
      <c r="H785" s="11" t="str">
        <f aca="false">IFERROR(MATCH(ROW()-1,DECKS!$O$2:$O$1201,0),"")</f>
        <v/>
      </c>
      <c r="I785" s="11" t="str">
        <f aca="false">IF(C785="","",G785&amp;" "&amp;D785&amp;" ("&amp;C785&amp;")")</f>
        <v/>
      </c>
    </row>
    <row r="786" customFormat="false" ht="15" hidden="false" customHeight="false" outlineLevel="0" collapsed="false">
      <c r="A786" s="16"/>
      <c r="B786" s="11" t="str">
        <f aca="false">IF($H786="","",INDEX(DECKS!$A$2:$A$1201,$H786))</f>
        <v/>
      </c>
      <c r="C786" s="11" t="str">
        <f aca="false">IF($H786="","",INDEX(DECKS!$B$2:$B$1201,$H786))</f>
        <v/>
      </c>
      <c r="D786" s="11" t="str">
        <f aca="false">IF($H786="","",INDEX(DECKS!$C$2:$C$1201,$H786))</f>
        <v/>
      </c>
      <c r="E786" s="16" t="str">
        <f aca="false">IF($H786="","",INDEX(DECKS!$D$2:$D$1201,$H786))</f>
        <v/>
      </c>
      <c r="F786" s="16" t="str">
        <f aca="false">IF($H786="","",INDEX(DECKS!$E$2:$E$1201,$H786))</f>
        <v/>
      </c>
      <c r="G786" s="21" t="str">
        <f aca="false">IF($H786="","",INDEX(DECKS!$F$2:$F$1201,$H786))</f>
        <v/>
      </c>
      <c r="H786" s="11" t="str">
        <f aca="false">IFERROR(MATCH(ROW()-1,DECKS!$O$2:$O$1201,0),"")</f>
        <v/>
      </c>
      <c r="I786" s="11" t="str">
        <f aca="false">IF(C786="","",G786&amp;" "&amp;D786&amp;" ("&amp;C786&amp;")")</f>
        <v/>
      </c>
    </row>
    <row r="787" customFormat="false" ht="15" hidden="false" customHeight="false" outlineLevel="0" collapsed="false">
      <c r="A787" s="16"/>
      <c r="B787" s="11" t="str">
        <f aca="false">IF($H787="","",INDEX(DECKS!$A$2:$A$1201,$H787))</f>
        <v/>
      </c>
      <c r="C787" s="11" t="str">
        <f aca="false">IF($H787="","",INDEX(DECKS!$B$2:$B$1201,$H787))</f>
        <v/>
      </c>
      <c r="D787" s="11" t="str">
        <f aca="false">IF($H787="","",INDEX(DECKS!$C$2:$C$1201,$H787))</f>
        <v/>
      </c>
      <c r="E787" s="16" t="str">
        <f aca="false">IF($H787="","",INDEX(DECKS!$D$2:$D$1201,$H787))</f>
        <v/>
      </c>
      <c r="F787" s="16" t="str">
        <f aca="false">IF($H787="","",INDEX(DECKS!$E$2:$E$1201,$H787))</f>
        <v/>
      </c>
      <c r="G787" s="21" t="str">
        <f aca="false">IF($H787="","",INDEX(DECKS!$F$2:$F$1201,$H787))</f>
        <v/>
      </c>
      <c r="H787" s="11" t="str">
        <f aca="false">IFERROR(MATCH(ROW()-1,DECKS!$O$2:$O$1201,0),"")</f>
        <v/>
      </c>
      <c r="I787" s="11" t="str">
        <f aca="false">IF(C787="","",G787&amp;" "&amp;D787&amp;" ("&amp;C787&amp;")")</f>
        <v/>
      </c>
    </row>
    <row r="788" customFormat="false" ht="15" hidden="false" customHeight="false" outlineLevel="0" collapsed="false">
      <c r="A788" s="16"/>
      <c r="B788" s="11" t="str">
        <f aca="false">IF($H788="","",INDEX(DECKS!$A$2:$A$1201,$H788))</f>
        <v/>
      </c>
      <c r="C788" s="11" t="str">
        <f aca="false">IF($H788="","",INDEX(DECKS!$B$2:$B$1201,$H788))</f>
        <v/>
      </c>
      <c r="D788" s="11" t="str">
        <f aca="false">IF($H788="","",INDEX(DECKS!$C$2:$C$1201,$H788))</f>
        <v/>
      </c>
      <c r="E788" s="16" t="str">
        <f aca="false">IF($H788="","",INDEX(DECKS!$D$2:$D$1201,$H788))</f>
        <v/>
      </c>
      <c r="F788" s="16" t="str">
        <f aca="false">IF($H788="","",INDEX(DECKS!$E$2:$E$1201,$H788))</f>
        <v/>
      </c>
      <c r="G788" s="21" t="str">
        <f aca="false">IF($H788="","",INDEX(DECKS!$F$2:$F$1201,$H788))</f>
        <v/>
      </c>
      <c r="H788" s="11" t="str">
        <f aca="false">IFERROR(MATCH(ROW()-1,DECKS!$O$2:$O$1201,0),"")</f>
        <v/>
      </c>
      <c r="I788" s="11" t="str">
        <f aca="false">IF(C788="","",G788&amp;" "&amp;D788&amp;" ("&amp;C788&amp;")")</f>
        <v/>
      </c>
    </row>
    <row r="789" customFormat="false" ht="15" hidden="false" customHeight="false" outlineLevel="0" collapsed="false">
      <c r="A789" s="16"/>
      <c r="B789" s="11" t="str">
        <f aca="false">IF($H789="","",INDEX(DECKS!$A$2:$A$1201,$H789))</f>
        <v/>
      </c>
      <c r="C789" s="11" t="str">
        <f aca="false">IF($H789="","",INDEX(DECKS!$B$2:$B$1201,$H789))</f>
        <v/>
      </c>
      <c r="D789" s="11" t="str">
        <f aca="false">IF($H789="","",INDEX(DECKS!$C$2:$C$1201,$H789))</f>
        <v/>
      </c>
      <c r="E789" s="16" t="str">
        <f aca="false">IF($H789="","",INDEX(DECKS!$D$2:$D$1201,$H789))</f>
        <v/>
      </c>
      <c r="F789" s="16" t="str">
        <f aca="false">IF($H789="","",INDEX(DECKS!$E$2:$E$1201,$H789))</f>
        <v/>
      </c>
      <c r="G789" s="21" t="str">
        <f aca="false">IF($H789="","",INDEX(DECKS!$F$2:$F$1201,$H789))</f>
        <v/>
      </c>
      <c r="H789" s="11" t="str">
        <f aca="false">IFERROR(MATCH(ROW()-1,DECKS!$O$2:$O$1201,0),"")</f>
        <v/>
      </c>
      <c r="I789" s="11" t="str">
        <f aca="false">IF(C789="","",G789&amp;" "&amp;D789&amp;" ("&amp;C789&amp;")")</f>
        <v/>
      </c>
    </row>
    <row r="790" customFormat="false" ht="15" hidden="false" customHeight="false" outlineLevel="0" collapsed="false">
      <c r="A790" s="16"/>
      <c r="B790" s="11" t="str">
        <f aca="false">IF($H790="","",INDEX(DECKS!$A$2:$A$1201,$H790))</f>
        <v/>
      </c>
      <c r="C790" s="11" t="str">
        <f aca="false">IF($H790="","",INDEX(DECKS!$B$2:$B$1201,$H790))</f>
        <v/>
      </c>
      <c r="D790" s="11" t="str">
        <f aca="false">IF($H790="","",INDEX(DECKS!$C$2:$C$1201,$H790))</f>
        <v/>
      </c>
      <c r="E790" s="16" t="str">
        <f aca="false">IF($H790="","",INDEX(DECKS!$D$2:$D$1201,$H790))</f>
        <v/>
      </c>
      <c r="F790" s="16" t="str">
        <f aca="false">IF($H790="","",INDEX(DECKS!$E$2:$E$1201,$H790))</f>
        <v/>
      </c>
      <c r="G790" s="21" t="str">
        <f aca="false">IF($H790="","",INDEX(DECKS!$F$2:$F$1201,$H790))</f>
        <v/>
      </c>
      <c r="H790" s="11" t="str">
        <f aca="false">IFERROR(MATCH(ROW()-1,DECKS!$O$2:$O$1201,0),"")</f>
        <v/>
      </c>
      <c r="I790" s="11" t="str">
        <f aca="false">IF(C790="","",G790&amp;" "&amp;D790&amp;" ("&amp;C790&amp;")")</f>
        <v/>
      </c>
    </row>
    <row r="791" customFormat="false" ht="15" hidden="false" customHeight="false" outlineLevel="0" collapsed="false">
      <c r="A791" s="16"/>
      <c r="B791" s="11" t="str">
        <f aca="false">IF($H791="","",INDEX(DECKS!$A$2:$A$1201,$H791))</f>
        <v/>
      </c>
      <c r="C791" s="11" t="str">
        <f aca="false">IF($H791="","",INDEX(DECKS!$B$2:$B$1201,$H791))</f>
        <v/>
      </c>
      <c r="D791" s="11" t="str">
        <f aca="false">IF($H791="","",INDEX(DECKS!$C$2:$C$1201,$H791))</f>
        <v/>
      </c>
      <c r="E791" s="16" t="str">
        <f aca="false">IF($H791="","",INDEX(DECKS!$D$2:$D$1201,$H791))</f>
        <v/>
      </c>
      <c r="F791" s="16" t="str">
        <f aca="false">IF($H791="","",INDEX(DECKS!$E$2:$E$1201,$H791))</f>
        <v/>
      </c>
      <c r="G791" s="21" t="str">
        <f aca="false">IF($H791="","",INDEX(DECKS!$F$2:$F$1201,$H791))</f>
        <v/>
      </c>
      <c r="H791" s="11" t="str">
        <f aca="false">IFERROR(MATCH(ROW()-1,DECKS!$O$2:$O$1201,0),"")</f>
        <v/>
      </c>
      <c r="I791" s="11" t="str">
        <f aca="false">IF(C791="","",G791&amp;" "&amp;D791&amp;" ("&amp;C791&amp;")")</f>
        <v/>
      </c>
    </row>
    <row r="792" customFormat="false" ht="15" hidden="false" customHeight="false" outlineLevel="0" collapsed="false">
      <c r="A792" s="16"/>
      <c r="B792" s="11" t="str">
        <f aca="false">IF($H792="","",INDEX(DECKS!$A$2:$A$1201,$H792))</f>
        <v/>
      </c>
      <c r="C792" s="11" t="str">
        <f aca="false">IF($H792="","",INDEX(DECKS!$B$2:$B$1201,$H792))</f>
        <v/>
      </c>
      <c r="D792" s="11" t="str">
        <f aca="false">IF($H792="","",INDEX(DECKS!$C$2:$C$1201,$H792))</f>
        <v/>
      </c>
      <c r="E792" s="16" t="str">
        <f aca="false">IF($H792="","",INDEX(DECKS!$D$2:$D$1201,$H792))</f>
        <v/>
      </c>
      <c r="F792" s="16" t="str">
        <f aca="false">IF($H792="","",INDEX(DECKS!$E$2:$E$1201,$H792))</f>
        <v/>
      </c>
      <c r="G792" s="21" t="str">
        <f aca="false">IF($H792="","",INDEX(DECKS!$F$2:$F$1201,$H792))</f>
        <v/>
      </c>
      <c r="H792" s="11" t="str">
        <f aca="false">IFERROR(MATCH(ROW()-1,DECKS!$O$2:$O$1201,0),"")</f>
        <v/>
      </c>
      <c r="I792" s="11" t="str">
        <f aca="false">IF(C792="","",G792&amp;" "&amp;D792&amp;" ("&amp;C792&amp;")")</f>
        <v/>
      </c>
    </row>
    <row r="793" customFormat="false" ht="15" hidden="false" customHeight="false" outlineLevel="0" collapsed="false">
      <c r="A793" s="16"/>
      <c r="B793" s="11" t="str">
        <f aca="false">IF($H793="","",INDEX(DECKS!$A$2:$A$1201,$H793))</f>
        <v/>
      </c>
      <c r="C793" s="11" t="str">
        <f aca="false">IF($H793="","",INDEX(DECKS!$B$2:$B$1201,$H793))</f>
        <v/>
      </c>
      <c r="D793" s="11" t="str">
        <f aca="false">IF($H793="","",INDEX(DECKS!$C$2:$C$1201,$H793))</f>
        <v/>
      </c>
      <c r="E793" s="16" t="str">
        <f aca="false">IF($H793="","",INDEX(DECKS!$D$2:$D$1201,$H793))</f>
        <v/>
      </c>
      <c r="F793" s="16" t="str">
        <f aca="false">IF($H793="","",INDEX(DECKS!$E$2:$E$1201,$H793))</f>
        <v/>
      </c>
      <c r="G793" s="21" t="str">
        <f aca="false">IF($H793="","",INDEX(DECKS!$F$2:$F$1201,$H793))</f>
        <v/>
      </c>
      <c r="H793" s="11" t="str">
        <f aca="false">IFERROR(MATCH(ROW()-1,DECKS!$O$2:$O$1201,0),"")</f>
        <v/>
      </c>
      <c r="I793" s="11" t="str">
        <f aca="false">IF(C793="","",G793&amp;" "&amp;D793&amp;" ("&amp;C793&amp;")")</f>
        <v/>
      </c>
    </row>
    <row r="794" customFormat="false" ht="15" hidden="false" customHeight="false" outlineLevel="0" collapsed="false">
      <c r="A794" s="16"/>
      <c r="B794" s="11" t="str">
        <f aca="false">IF($H794="","",INDEX(DECKS!$A$2:$A$1201,$H794))</f>
        <v/>
      </c>
      <c r="C794" s="11" t="str">
        <f aca="false">IF($H794="","",INDEX(DECKS!$B$2:$B$1201,$H794))</f>
        <v/>
      </c>
      <c r="D794" s="11" t="str">
        <f aca="false">IF($H794="","",INDEX(DECKS!$C$2:$C$1201,$H794))</f>
        <v/>
      </c>
      <c r="E794" s="16" t="str">
        <f aca="false">IF($H794="","",INDEX(DECKS!$D$2:$D$1201,$H794))</f>
        <v/>
      </c>
      <c r="F794" s="16" t="str">
        <f aca="false">IF($H794="","",INDEX(DECKS!$E$2:$E$1201,$H794))</f>
        <v/>
      </c>
      <c r="G794" s="21" t="str">
        <f aca="false">IF($H794="","",INDEX(DECKS!$F$2:$F$1201,$H794))</f>
        <v/>
      </c>
      <c r="H794" s="11" t="str">
        <f aca="false">IFERROR(MATCH(ROW()-1,DECKS!$O$2:$O$1201,0),"")</f>
        <v/>
      </c>
      <c r="I794" s="11" t="str">
        <f aca="false">IF(C794="","",G794&amp;" "&amp;D794&amp;" ("&amp;C794&amp;")")</f>
        <v/>
      </c>
    </row>
    <row r="795" customFormat="false" ht="15" hidden="false" customHeight="false" outlineLevel="0" collapsed="false">
      <c r="A795" s="16"/>
      <c r="B795" s="11" t="str">
        <f aca="false">IF($H795="","",INDEX(DECKS!$A$2:$A$1201,$H795))</f>
        <v/>
      </c>
      <c r="C795" s="11" t="str">
        <f aca="false">IF($H795="","",INDEX(DECKS!$B$2:$B$1201,$H795))</f>
        <v/>
      </c>
      <c r="D795" s="11" t="str">
        <f aca="false">IF($H795="","",INDEX(DECKS!$C$2:$C$1201,$H795))</f>
        <v/>
      </c>
      <c r="E795" s="16" t="str">
        <f aca="false">IF($H795="","",INDEX(DECKS!$D$2:$D$1201,$H795))</f>
        <v/>
      </c>
      <c r="F795" s="16" t="str">
        <f aca="false">IF($H795="","",INDEX(DECKS!$E$2:$E$1201,$H795))</f>
        <v/>
      </c>
      <c r="G795" s="21" t="str">
        <f aca="false">IF($H795="","",INDEX(DECKS!$F$2:$F$1201,$H795))</f>
        <v/>
      </c>
      <c r="H795" s="11" t="str">
        <f aca="false">IFERROR(MATCH(ROW()-1,DECKS!$O$2:$O$1201,0),"")</f>
        <v/>
      </c>
      <c r="I795" s="11" t="str">
        <f aca="false">IF(C795="","",G795&amp;" "&amp;D795&amp;" ("&amp;C795&amp;")")</f>
        <v/>
      </c>
    </row>
    <row r="796" customFormat="false" ht="15" hidden="false" customHeight="false" outlineLevel="0" collapsed="false">
      <c r="A796" s="16"/>
      <c r="B796" s="11" t="str">
        <f aca="false">IF($H796="","",INDEX(DECKS!$A$2:$A$1201,$H796))</f>
        <v/>
      </c>
      <c r="C796" s="11" t="str">
        <f aca="false">IF($H796="","",INDEX(DECKS!$B$2:$B$1201,$H796))</f>
        <v/>
      </c>
      <c r="D796" s="11" t="str">
        <f aca="false">IF($H796="","",INDEX(DECKS!$C$2:$C$1201,$H796))</f>
        <v/>
      </c>
      <c r="E796" s="16" t="str">
        <f aca="false">IF($H796="","",INDEX(DECKS!$D$2:$D$1201,$H796))</f>
        <v/>
      </c>
      <c r="F796" s="16" t="str">
        <f aca="false">IF($H796="","",INDEX(DECKS!$E$2:$E$1201,$H796))</f>
        <v/>
      </c>
      <c r="G796" s="21" t="str">
        <f aca="false">IF($H796="","",INDEX(DECKS!$F$2:$F$1201,$H796))</f>
        <v/>
      </c>
      <c r="H796" s="11" t="str">
        <f aca="false">IFERROR(MATCH(ROW()-1,DECKS!$O$2:$O$1201,0),"")</f>
        <v/>
      </c>
      <c r="I796" s="11" t="str">
        <f aca="false">IF(C796="","",G796&amp;" "&amp;D796&amp;" ("&amp;C796&amp;")")</f>
        <v/>
      </c>
    </row>
    <row r="797" customFormat="false" ht="15" hidden="false" customHeight="false" outlineLevel="0" collapsed="false">
      <c r="A797" s="16"/>
      <c r="B797" s="11" t="str">
        <f aca="false">IF($H797="","",INDEX(DECKS!$A$2:$A$1201,$H797))</f>
        <v/>
      </c>
      <c r="C797" s="11" t="str">
        <f aca="false">IF($H797="","",INDEX(DECKS!$B$2:$B$1201,$H797))</f>
        <v/>
      </c>
      <c r="D797" s="11" t="str">
        <f aca="false">IF($H797="","",INDEX(DECKS!$C$2:$C$1201,$H797))</f>
        <v/>
      </c>
      <c r="E797" s="16" t="str">
        <f aca="false">IF($H797="","",INDEX(DECKS!$D$2:$D$1201,$H797))</f>
        <v/>
      </c>
      <c r="F797" s="16" t="str">
        <f aca="false">IF($H797="","",INDEX(DECKS!$E$2:$E$1201,$H797))</f>
        <v/>
      </c>
      <c r="G797" s="21" t="str">
        <f aca="false">IF($H797="","",INDEX(DECKS!$F$2:$F$1201,$H797))</f>
        <v/>
      </c>
      <c r="H797" s="11" t="str">
        <f aca="false">IFERROR(MATCH(ROW()-1,DECKS!$O$2:$O$1201,0),"")</f>
        <v/>
      </c>
      <c r="I797" s="11" t="str">
        <f aca="false">IF(C797="","",G797&amp;" "&amp;D797&amp;" ("&amp;C797&amp;")")</f>
        <v/>
      </c>
    </row>
    <row r="798" customFormat="false" ht="15" hidden="false" customHeight="false" outlineLevel="0" collapsed="false">
      <c r="A798" s="16"/>
      <c r="B798" s="11" t="str">
        <f aca="false">IF($H798="","",INDEX(DECKS!$A$2:$A$1201,$H798))</f>
        <v/>
      </c>
      <c r="C798" s="11" t="str">
        <f aca="false">IF($H798="","",INDEX(DECKS!$B$2:$B$1201,$H798))</f>
        <v/>
      </c>
      <c r="D798" s="11" t="str">
        <f aca="false">IF($H798="","",INDEX(DECKS!$C$2:$C$1201,$H798))</f>
        <v/>
      </c>
      <c r="E798" s="16" t="str">
        <f aca="false">IF($H798="","",INDEX(DECKS!$D$2:$D$1201,$H798))</f>
        <v/>
      </c>
      <c r="F798" s="16" t="str">
        <f aca="false">IF($H798="","",INDEX(DECKS!$E$2:$E$1201,$H798))</f>
        <v/>
      </c>
      <c r="G798" s="21" t="str">
        <f aca="false">IF($H798="","",INDEX(DECKS!$F$2:$F$1201,$H798))</f>
        <v/>
      </c>
      <c r="H798" s="11" t="str">
        <f aca="false">IFERROR(MATCH(ROW()-1,DECKS!$O$2:$O$1201,0),"")</f>
        <v/>
      </c>
      <c r="I798" s="11" t="str">
        <f aca="false">IF(C798="","",G798&amp;" "&amp;D798&amp;" ("&amp;C798&amp;")")</f>
        <v/>
      </c>
    </row>
    <row r="799" customFormat="false" ht="15" hidden="false" customHeight="false" outlineLevel="0" collapsed="false">
      <c r="A799" s="16"/>
      <c r="B799" s="11" t="str">
        <f aca="false">IF($H799="","",INDEX(DECKS!$A$2:$A$1201,$H799))</f>
        <v/>
      </c>
      <c r="C799" s="11" t="str">
        <f aca="false">IF($H799="","",INDEX(DECKS!$B$2:$B$1201,$H799))</f>
        <v/>
      </c>
      <c r="D799" s="11" t="str">
        <f aca="false">IF($H799="","",INDEX(DECKS!$C$2:$C$1201,$H799))</f>
        <v/>
      </c>
      <c r="E799" s="16" t="str">
        <f aca="false">IF($H799="","",INDEX(DECKS!$D$2:$D$1201,$H799))</f>
        <v/>
      </c>
      <c r="F799" s="16" t="str">
        <f aca="false">IF($H799="","",INDEX(DECKS!$E$2:$E$1201,$H799))</f>
        <v/>
      </c>
      <c r="G799" s="21" t="str">
        <f aca="false">IF($H799="","",INDEX(DECKS!$F$2:$F$1201,$H799))</f>
        <v/>
      </c>
      <c r="H799" s="11" t="str">
        <f aca="false">IFERROR(MATCH(ROW()-1,DECKS!$O$2:$O$1201,0),"")</f>
        <v/>
      </c>
      <c r="I799" s="11" t="str">
        <f aca="false">IF(C799="","",G799&amp;" "&amp;D799&amp;" ("&amp;C799&amp;")")</f>
        <v/>
      </c>
    </row>
    <row r="800" customFormat="false" ht="15" hidden="false" customHeight="false" outlineLevel="0" collapsed="false">
      <c r="A800" s="16"/>
      <c r="B800" s="11" t="str">
        <f aca="false">IF($H800="","",INDEX(DECKS!$A$2:$A$1201,$H800))</f>
        <v/>
      </c>
      <c r="C800" s="11" t="str">
        <f aca="false">IF($H800="","",INDEX(DECKS!$B$2:$B$1201,$H800))</f>
        <v/>
      </c>
      <c r="D800" s="11" t="str">
        <f aca="false">IF($H800="","",INDEX(DECKS!$C$2:$C$1201,$H800))</f>
        <v/>
      </c>
      <c r="E800" s="16" t="str">
        <f aca="false">IF($H800="","",INDEX(DECKS!$D$2:$D$1201,$H800))</f>
        <v/>
      </c>
      <c r="F800" s="16" t="str">
        <f aca="false">IF($H800="","",INDEX(DECKS!$E$2:$E$1201,$H800))</f>
        <v/>
      </c>
      <c r="G800" s="21" t="str">
        <f aca="false">IF($H800="","",INDEX(DECKS!$F$2:$F$1201,$H800))</f>
        <v/>
      </c>
      <c r="H800" s="11" t="str">
        <f aca="false">IFERROR(MATCH(ROW()-1,DECKS!$O$2:$O$1201,0),"")</f>
        <v/>
      </c>
      <c r="I800" s="11" t="str">
        <f aca="false">IF(C800="","",G800&amp;" "&amp;D800&amp;" ("&amp;C800&amp;")")</f>
        <v/>
      </c>
    </row>
    <row r="801" customFormat="false" ht="15" hidden="false" customHeight="false" outlineLevel="0" collapsed="false">
      <c r="A801" s="16"/>
      <c r="B801" s="11" t="str">
        <f aca="false">IF($H801="","",INDEX(DECKS!$A$2:$A$1201,$H801))</f>
        <v/>
      </c>
      <c r="C801" s="11" t="str">
        <f aca="false">IF($H801="","",INDEX(DECKS!$B$2:$B$1201,$H801))</f>
        <v/>
      </c>
      <c r="D801" s="11" t="str">
        <f aca="false">IF($H801="","",INDEX(DECKS!$C$2:$C$1201,$H801))</f>
        <v/>
      </c>
      <c r="E801" s="16" t="str">
        <f aca="false">IF($H801="","",INDEX(DECKS!$D$2:$D$1201,$H801))</f>
        <v/>
      </c>
      <c r="F801" s="16" t="str">
        <f aca="false">IF($H801="","",INDEX(DECKS!$E$2:$E$1201,$H801))</f>
        <v/>
      </c>
      <c r="G801" s="21" t="str">
        <f aca="false">IF($H801="","",INDEX(DECKS!$F$2:$F$1201,$H801))</f>
        <v/>
      </c>
      <c r="H801" s="11" t="str">
        <f aca="false">IFERROR(MATCH(ROW()-1,DECKS!$O$2:$O$1201,0),"")</f>
        <v/>
      </c>
      <c r="I801" s="11" t="str">
        <f aca="false">IF(C801="","",G801&amp;" "&amp;D801&amp;" ("&amp;C801&amp;")")</f>
        <v/>
      </c>
    </row>
    <row r="802" customFormat="false" ht="15" hidden="false" customHeight="false" outlineLevel="0" collapsed="false">
      <c r="A802" s="16"/>
      <c r="B802" s="11" t="str">
        <f aca="false">IF($H802="","",INDEX(DECKS!$A$2:$A$1201,$H802))</f>
        <v/>
      </c>
      <c r="C802" s="11" t="str">
        <f aca="false">IF($H802="","",INDEX(DECKS!$B$2:$B$1201,$H802))</f>
        <v/>
      </c>
      <c r="D802" s="11" t="str">
        <f aca="false">IF($H802="","",INDEX(DECKS!$C$2:$C$1201,$H802))</f>
        <v/>
      </c>
      <c r="E802" s="16" t="str">
        <f aca="false">IF($H802="","",INDEX(DECKS!$D$2:$D$1201,$H802))</f>
        <v/>
      </c>
      <c r="F802" s="16" t="str">
        <f aca="false">IF($H802="","",INDEX(DECKS!$E$2:$E$1201,$H802))</f>
        <v/>
      </c>
      <c r="G802" s="21" t="str">
        <f aca="false">IF($H802="","",INDEX(DECKS!$F$2:$F$1201,$H802))</f>
        <v/>
      </c>
      <c r="H802" s="11" t="str">
        <f aca="false">IFERROR(MATCH(ROW()-1,DECKS!$O$2:$O$1201,0),"")</f>
        <v/>
      </c>
      <c r="I802" s="11" t="str">
        <f aca="false">IF(C802="","",G802&amp;" "&amp;D802&amp;" ("&amp;C802&amp;")")</f>
        <v/>
      </c>
    </row>
    <row r="803" customFormat="false" ht="15" hidden="false" customHeight="false" outlineLevel="0" collapsed="false">
      <c r="A803" s="16"/>
      <c r="B803" s="11" t="str">
        <f aca="false">IF($H803="","",INDEX(DECKS!$A$2:$A$1201,$H803))</f>
        <v/>
      </c>
      <c r="C803" s="11" t="str">
        <f aca="false">IF($H803="","",INDEX(DECKS!$B$2:$B$1201,$H803))</f>
        <v/>
      </c>
      <c r="D803" s="11" t="str">
        <f aca="false">IF($H803="","",INDEX(DECKS!$C$2:$C$1201,$H803))</f>
        <v/>
      </c>
      <c r="E803" s="16" t="str">
        <f aca="false">IF($H803="","",INDEX(DECKS!$D$2:$D$1201,$H803))</f>
        <v/>
      </c>
      <c r="F803" s="16" t="str">
        <f aca="false">IF($H803="","",INDEX(DECKS!$E$2:$E$1201,$H803))</f>
        <v/>
      </c>
      <c r="G803" s="21" t="str">
        <f aca="false">IF($H803="","",INDEX(DECKS!$F$2:$F$1201,$H803))</f>
        <v/>
      </c>
      <c r="H803" s="11" t="str">
        <f aca="false">IFERROR(MATCH(ROW()-1,DECKS!$O$2:$O$1201,0),"")</f>
        <v/>
      </c>
      <c r="I803" s="11" t="str">
        <f aca="false">IF(C803="","",G803&amp;" "&amp;D803&amp;" ("&amp;C803&amp;")")</f>
        <v/>
      </c>
    </row>
    <row r="804" customFormat="false" ht="15" hidden="false" customHeight="false" outlineLevel="0" collapsed="false">
      <c r="A804" s="16"/>
      <c r="B804" s="11" t="str">
        <f aca="false">IF($H804="","",INDEX(DECKS!$A$2:$A$1201,$H804))</f>
        <v/>
      </c>
      <c r="C804" s="11" t="str">
        <f aca="false">IF($H804="","",INDEX(DECKS!$B$2:$B$1201,$H804))</f>
        <v/>
      </c>
      <c r="D804" s="11" t="str">
        <f aca="false">IF($H804="","",INDEX(DECKS!$C$2:$C$1201,$H804))</f>
        <v/>
      </c>
      <c r="E804" s="16" t="str">
        <f aca="false">IF($H804="","",INDEX(DECKS!$D$2:$D$1201,$H804))</f>
        <v/>
      </c>
      <c r="F804" s="16" t="str">
        <f aca="false">IF($H804="","",INDEX(DECKS!$E$2:$E$1201,$H804))</f>
        <v/>
      </c>
      <c r="G804" s="21" t="str">
        <f aca="false">IF($H804="","",INDEX(DECKS!$F$2:$F$1201,$H804))</f>
        <v/>
      </c>
      <c r="H804" s="11" t="str">
        <f aca="false">IFERROR(MATCH(ROW()-1,DECKS!$O$2:$O$1201,0),"")</f>
        <v/>
      </c>
      <c r="I804" s="11" t="str">
        <f aca="false">IF(C804="","",G804&amp;" "&amp;D804&amp;" ("&amp;C804&amp;")")</f>
        <v/>
      </c>
    </row>
    <row r="805" customFormat="false" ht="15" hidden="false" customHeight="false" outlineLevel="0" collapsed="false">
      <c r="A805" s="16"/>
      <c r="B805" s="11" t="str">
        <f aca="false">IF($H805="","",INDEX(DECKS!$A$2:$A$1201,$H805))</f>
        <v/>
      </c>
      <c r="C805" s="11" t="str">
        <f aca="false">IF($H805="","",INDEX(DECKS!$B$2:$B$1201,$H805))</f>
        <v/>
      </c>
      <c r="D805" s="11" t="str">
        <f aca="false">IF($H805="","",INDEX(DECKS!$C$2:$C$1201,$H805))</f>
        <v/>
      </c>
      <c r="E805" s="16" t="str">
        <f aca="false">IF($H805="","",INDEX(DECKS!$D$2:$D$1201,$H805))</f>
        <v/>
      </c>
      <c r="F805" s="16" t="str">
        <f aca="false">IF($H805="","",INDEX(DECKS!$E$2:$E$1201,$H805))</f>
        <v/>
      </c>
      <c r="G805" s="21" t="str">
        <f aca="false">IF($H805="","",INDEX(DECKS!$F$2:$F$1201,$H805))</f>
        <v/>
      </c>
      <c r="H805" s="11" t="str">
        <f aca="false">IFERROR(MATCH(ROW()-1,DECKS!$O$2:$O$1201,0),"")</f>
        <v/>
      </c>
      <c r="I805" s="11" t="str">
        <f aca="false">IF(C805="","",G805&amp;" "&amp;D805&amp;" ("&amp;C805&amp;")")</f>
        <v/>
      </c>
    </row>
    <row r="806" customFormat="false" ht="15" hidden="false" customHeight="false" outlineLevel="0" collapsed="false">
      <c r="A806" s="16"/>
      <c r="B806" s="11" t="str">
        <f aca="false">IF($H806="","",INDEX(DECKS!$A$2:$A$1201,$H806))</f>
        <v/>
      </c>
      <c r="C806" s="11" t="str">
        <f aca="false">IF($H806="","",INDEX(DECKS!$B$2:$B$1201,$H806))</f>
        <v/>
      </c>
      <c r="D806" s="11" t="str">
        <f aca="false">IF($H806="","",INDEX(DECKS!$C$2:$C$1201,$H806))</f>
        <v/>
      </c>
      <c r="E806" s="16" t="str">
        <f aca="false">IF($H806="","",INDEX(DECKS!$D$2:$D$1201,$H806))</f>
        <v/>
      </c>
      <c r="F806" s="16" t="str">
        <f aca="false">IF($H806="","",INDEX(DECKS!$E$2:$E$1201,$H806))</f>
        <v/>
      </c>
      <c r="G806" s="21" t="str">
        <f aca="false">IF($H806="","",INDEX(DECKS!$F$2:$F$1201,$H806))</f>
        <v/>
      </c>
      <c r="H806" s="11" t="str">
        <f aca="false">IFERROR(MATCH(ROW()-1,DECKS!$O$2:$O$1201,0),"")</f>
        <v/>
      </c>
      <c r="I806" s="11" t="str">
        <f aca="false">IF(C806="","",G806&amp;" "&amp;D806&amp;" ("&amp;C806&amp;")")</f>
        <v/>
      </c>
    </row>
    <row r="807" customFormat="false" ht="15" hidden="false" customHeight="false" outlineLevel="0" collapsed="false">
      <c r="A807" s="16"/>
      <c r="B807" s="11" t="str">
        <f aca="false">IF($H807="","",INDEX(DECKS!$A$2:$A$1201,$H807))</f>
        <v/>
      </c>
      <c r="C807" s="11" t="str">
        <f aca="false">IF($H807="","",INDEX(DECKS!$B$2:$B$1201,$H807))</f>
        <v/>
      </c>
      <c r="D807" s="11" t="str">
        <f aca="false">IF($H807="","",INDEX(DECKS!$C$2:$C$1201,$H807))</f>
        <v/>
      </c>
      <c r="E807" s="16" t="str">
        <f aca="false">IF($H807="","",INDEX(DECKS!$D$2:$D$1201,$H807))</f>
        <v/>
      </c>
      <c r="F807" s="16" t="str">
        <f aca="false">IF($H807="","",INDEX(DECKS!$E$2:$E$1201,$H807))</f>
        <v/>
      </c>
      <c r="G807" s="21" t="str">
        <f aca="false">IF($H807="","",INDEX(DECKS!$F$2:$F$1201,$H807))</f>
        <v/>
      </c>
      <c r="H807" s="11" t="str">
        <f aca="false">IFERROR(MATCH(ROW()-1,DECKS!$O$2:$O$1201,0),"")</f>
        <v/>
      </c>
      <c r="I807" s="11" t="str">
        <f aca="false">IF(C807="","",G807&amp;" "&amp;D807&amp;" ("&amp;C807&amp;")")</f>
        <v/>
      </c>
    </row>
    <row r="808" customFormat="false" ht="15" hidden="false" customHeight="false" outlineLevel="0" collapsed="false">
      <c r="A808" s="16"/>
      <c r="B808" s="11" t="str">
        <f aca="false">IF($H808="","",INDEX(DECKS!$A$2:$A$1201,$H808))</f>
        <v/>
      </c>
      <c r="C808" s="11" t="str">
        <f aca="false">IF($H808="","",INDEX(DECKS!$B$2:$B$1201,$H808))</f>
        <v/>
      </c>
      <c r="D808" s="11" t="str">
        <f aca="false">IF($H808="","",INDEX(DECKS!$C$2:$C$1201,$H808))</f>
        <v/>
      </c>
      <c r="E808" s="16" t="str">
        <f aca="false">IF($H808="","",INDEX(DECKS!$D$2:$D$1201,$H808))</f>
        <v/>
      </c>
      <c r="F808" s="16" t="str">
        <f aca="false">IF($H808="","",INDEX(DECKS!$E$2:$E$1201,$H808))</f>
        <v/>
      </c>
      <c r="G808" s="21" t="str">
        <f aca="false">IF($H808="","",INDEX(DECKS!$F$2:$F$1201,$H808))</f>
        <v/>
      </c>
      <c r="H808" s="11" t="str">
        <f aca="false">IFERROR(MATCH(ROW()-1,DECKS!$O$2:$O$1201,0),"")</f>
        <v/>
      </c>
      <c r="I808" s="11" t="str">
        <f aca="false">IF(C808="","",G808&amp;" "&amp;D808&amp;" ("&amp;C808&amp;")")</f>
        <v/>
      </c>
    </row>
    <row r="809" customFormat="false" ht="15" hidden="false" customHeight="false" outlineLevel="0" collapsed="false">
      <c r="A809" s="16"/>
      <c r="B809" s="11" t="str">
        <f aca="false">IF($H809="","",INDEX(DECKS!$A$2:$A$1201,$H809))</f>
        <v/>
      </c>
      <c r="C809" s="11" t="str">
        <f aca="false">IF($H809="","",INDEX(DECKS!$B$2:$B$1201,$H809))</f>
        <v/>
      </c>
      <c r="D809" s="11" t="str">
        <f aca="false">IF($H809="","",INDEX(DECKS!$C$2:$C$1201,$H809))</f>
        <v/>
      </c>
      <c r="E809" s="16" t="str">
        <f aca="false">IF($H809="","",INDEX(DECKS!$D$2:$D$1201,$H809))</f>
        <v/>
      </c>
      <c r="F809" s="16" t="str">
        <f aca="false">IF($H809="","",INDEX(DECKS!$E$2:$E$1201,$H809))</f>
        <v/>
      </c>
      <c r="G809" s="21" t="str">
        <f aca="false">IF($H809="","",INDEX(DECKS!$F$2:$F$1201,$H809))</f>
        <v/>
      </c>
      <c r="H809" s="11" t="str">
        <f aca="false">IFERROR(MATCH(ROW()-1,DECKS!$O$2:$O$1201,0),"")</f>
        <v/>
      </c>
      <c r="I809" s="11" t="str">
        <f aca="false">IF(C809="","",G809&amp;" "&amp;D809&amp;" ("&amp;C809&amp;")")</f>
        <v/>
      </c>
    </row>
    <row r="810" customFormat="false" ht="15" hidden="false" customHeight="false" outlineLevel="0" collapsed="false">
      <c r="A810" s="16"/>
      <c r="B810" s="11" t="str">
        <f aca="false">IF($H810="","",INDEX(DECKS!$A$2:$A$1201,$H810))</f>
        <v/>
      </c>
      <c r="C810" s="11" t="str">
        <f aca="false">IF($H810="","",INDEX(DECKS!$B$2:$B$1201,$H810))</f>
        <v/>
      </c>
      <c r="D810" s="11" t="str">
        <f aca="false">IF($H810="","",INDEX(DECKS!$C$2:$C$1201,$H810))</f>
        <v/>
      </c>
      <c r="E810" s="16" t="str">
        <f aca="false">IF($H810="","",INDEX(DECKS!$D$2:$D$1201,$H810))</f>
        <v/>
      </c>
      <c r="F810" s="16" t="str">
        <f aca="false">IF($H810="","",INDEX(DECKS!$E$2:$E$1201,$H810))</f>
        <v/>
      </c>
      <c r="G810" s="21" t="str">
        <f aca="false">IF($H810="","",INDEX(DECKS!$F$2:$F$1201,$H810))</f>
        <v/>
      </c>
      <c r="H810" s="11" t="str">
        <f aca="false">IFERROR(MATCH(ROW()-1,DECKS!$O$2:$O$1201,0),"")</f>
        <v/>
      </c>
      <c r="I810" s="11" t="str">
        <f aca="false">IF(C810="","",G810&amp;" "&amp;D810&amp;" ("&amp;C810&amp;")")</f>
        <v/>
      </c>
    </row>
    <row r="811" customFormat="false" ht="15" hidden="false" customHeight="false" outlineLevel="0" collapsed="false">
      <c r="A811" s="16"/>
      <c r="B811" s="11" t="str">
        <f aca="false">IF($H811="","",INDEX(DECKS!$A$2:$A$1201,$H811))</f>
        <v/>
      </c>
      <c r="C811" s="11" t="str">
        <f aca="false">IF($H811="","",INDEX(DECKS!$B$2:$B$1201,$H811))</f>
        <v/>
      </c>
      <c r="D811" s="11" t="str">
        <f aca="false">IF($H811="","",INDEX(DECKS!$C$2:$C$1201,$H811))</f>
        <v/>
      </c>
      <c r="E811" s="16" t="str">
        <f aca="false">IF($H811="","",INDEX(DECKS!$D$2:$D$1201,$H811))</f>
        <v/>
      </c>
      <c r="F811" s="16" t="str">
        <f aca="false">IF($H811="","",INDEX(DECKS!$E$2:$E$1201,$H811))</f>
        <v/>
      </c>
      <c r="G811" s="21" t="str">
        <f aca="false">IF($H811="","",INDEX(DECKS!$F$2:$F$1201,$H811))</f>
        <v/>
      </c>
      <c r="H811" s="11" t="str">
        <f aca="false">IFERROR(MATCH(ROW()-1,DECKS!$O$2:$O$1201,0),"")</f>
        <v/>
      </c>
      <c r="I811" s="11" t="str">
        <f aca="false">IF(C811="","",G811&amp;" "&amp;D811&amp;" ("&amp;C811&amp;")")</f>
        <v/>
      </c>
    </row>
    <row r="812" customFormat="false" ht="15" hidden="false" customHeight="false" outlineLevel="0" collapsed="false">
      <c r="A812" s="16"/>
      <c r="B812" s="11" t="str">
        <f aca="false">IF($H812="","",INDEX(DECKS!$A$2:$A$1201,$H812))</f>
        <v/>
      </c>
      <c r="C812" s="11" t="str">
        <f aca="false">IF($H812="","",INDEX(DECKS!$B$2:$B$1201,$H812))</f>
        <v/>
      </c>
      <c r="D812" s="11" t="str">
        <f aca="false">IF($H812="","",INDEX(DECKS!$C$2:$C$1201,$H812))</f>
        <v/>
      </c>
      <c r="E812" s="16" t="str">
        <f aca="false">IF($H812="","",INDEX(DECKS!$D$2:$D$1201,$H812))</f>
        <v/>
      </c>
      <c r="F812" s="16" t="str">
        <f aca="false">IF($H812="","",INDEX(DECKS!$E$2:$E$1201,$H812))</f>
        <v/>
      </c>
      <c r="G812" s="21" t="str">
        <f aca="false">IF($H812="","",INDEX(DECKS!$F$2:$F$1201,$H812))</f>
        <v/>
      </c>
      <c r="H812" s="11" t="str">
        <f aca="false">IFERROR(MATCH(ROW()-1,DECKS!$O$2:$O$1201,0),"")</f>
        <v/>
      </c>
      <c r="I812" s="11" t="str">
        <f aca="false">IF(C812="","",G812&amp;" "&amp;D812&amp;" ("&amp;C812&amp;")")</f>
        <v/>
      </c>
    </row>
    <row r="813" customFormat="false" ht="15" hidden="false" customHeight="false" outlineLevel="0" collapsed="false">
      <c r="A813" s="16"/>
      <c r="B813" s="11" t="str">
        <f aca="false">IF($H813="","",INDEX(DECKS!$A$2:$A$1201,$H813))</f>
        <v/>
      </c>
      <c r="C813" s="11" t="str">
        <f aca="false">IF($H813="","",INDEX(DECKS!$B$2:$B$1201,$H813))</f>
        <v/>
      </c>
      <c r="D813" s="11" t="str">
        <f aca="false">IF($H813="","",INDEX(DECKS!$C$2:$C$1201,$H813))</f>
        <v/>
      </c>
      <c r="E813" s="16" t="str">
        <f aca="false">IF($H813="","",INDEX(DECKS!$D$2:$D$1201,$H813))</f>
        <v/>
      </c>
      <c r="F813" s="16" t="str">
        <f aca="false">IF($H813="","",INDEX(DECKS!$E$2:$E$1201,$H813))</f>
        <v/>
      </c>
      <c r="G813" s="21" t="str">
        <f aca="false">IF($H813="","",INDEX(DECKS!$F$2:$F$1201,$H813))</f>
        <v/>
      </c>
      <c r="H813" s="11" t="str">
        <f aca="false">IFERROR(MATCH(ROW()-1,DECKS!$O$2:$O$1201,0),"")</f>
        <v/>
      </c>
      <c r="I813" s="11" t="str">
        <f aca="false">IF(C813="","",G813&amp;" "&amp;D813&amp;" ("&amp;C813&amp;")")</f>
        <v/>
      </c>
    </row>
    <row r="814" customFormat="false" ht="15" hidden="false" customHeight="false" outlineLevel="0" collapsed="false">
      <c r="A814" s="16"/>
      <c r="B814" s="11" t="str">
        <f aca="false">IF($H814="","",INDEX(DECKS!$A$2:$A$1201,$H814))</f>
        <v/>
      </c>
      <c r="C814" s="11" t="str">
        <f aca="false">IF($H814="","",INDEX(DECKS!$B$2:$B$1201,$H814))</f>
        <v/>
      </c>
      <c r="D814" s="11" t="str">
        <f aca="false">IF($H814="","",INDEX(DECKS!$C$2:$C$1201,$H814))</f>
        <v/>
      </c>
      <c r="E814" s="16" t="str">
        <f aca="false">IF($H814="","",INDEX(DECKS!$D$2:$D$1201,$H814))</f>
        <v/>
      </c>
      <c r="F814" s="16" t="str">
        <f aca="false">IF($H814="","",INDEX(DECKS!$E$2:$E$1201,$H814))</f>
        <v/>
      </c>
      <c r="G814" s="21" t="str">
        <f aca="false">IF($H814="","",INDEX(DECKS!$F$2:$F$1201,$H814))</f>
        <v/>
      </c>
      <c r="H814" s="11" t="str">
        <f aca="false">IFERROR(MATCH(ROW()-1,DECKS!$O$2:$O$1201,0),"")</f>
        <v/>
      </c>
      <c r="I814" s="11" t="str">
        <f aca="false">IF(C814="","",G814&amp;" "&amp;D814&amp;" ("&amp;C814&amp;")")</f>
        <v/>
      </c>
    </row>
    <row r="815" customFormat="false" ht="15" hidden="false" customHeight="false" outlineLevel="0" collapsed="false">
      <c r="A815" s="16"/>
      <c r="B815" s="11" t="str">
        <f aca="false">IF($H815="","",INDEX(DECKS!$A$2:$A$1201,$H815))</f>
        <v/>
      </c>
      <c r="C815" s="11" t="str">
        <f aca="false">IF($H815="","",INDEX(DECKS!$B$2:$B$1201,$H815))</f>
        <v/>
      </c>
      <c r="D815" s="11" t="str">
        <f aca="false">IF($H815="","",INDEX(DECKS!$C$2:$C$1201,$H815))</f>
        <v/>
      </c>
      <c r="E815" s="16" t="str">
        <f aca="false">IF($H815="","",INDEX(DECKS!$D$2:$D$1201,$H815))</f>
        <v/>
      </c>
      <c r="F815" s="16" t="str">
        <f aca="false">IF($H815="","",INDEX(DECKS!$E$2:$E$1201,$H815))</f>
        <v/>
      </c>
      <c r="G815" s="21" t="str">
        <f aca="false">IF($H815="","",INDEX(DECKS!$F$2:$F$1201,$H815))</f>
        <v/>
      </c>
      <c r="H815" s="11" t="str">
        <f aca="false">IFERROR(MATCH(ROW()-1,DECKS!$O$2:$O$1201,0),"")</f>
        <v/>
      </c>
      <c r="I815" s="11" t="str">
        <f aca="false">IF(C815="","",G815&amp;" "&amp;D815&amp;" ("&amp;C815&amp;")")</f>
        <v/>
      </c>
    </row>
    <row r="816" customFormat="false" ht="15" hidden="false" customHeight="false" outlineLevel="0" collapsed="false">
      <c r="A816" s="16"/>
      <c r="B816" s="11" t="str">
        <f aca="false">IF($H816="","",INDEX(DECKS!$A$2:$A$1201,$H816))</f>
        <v/>
      </c>
      <c r="C816" s="11" t="str">
        <f aca="false">IF($H816="","",INDEX(DECKS!$B$2:$B$1201,$H816))</f>
        <v/>
      </c>
      <c r="D816" s="11" t="str">
        <f aca="false">IF($H816="","",INDEX(DECKS!$C$2:$C$1201,$H816))</f>
        <v/>
      </c>
      <c r="E816" s="16" t="str">
        <f aca="false">IF($H816="","",INDEX(DECKS!$D$2:$D$1201,$H816))</f>
        <v/>
      </c>
      <c r="F816" s="16" t="str">
        <f aca="false">IF($H816="","",INDEX(DECKS!$E$2:$E$1201,$H816))</f>
        <v/>
      </c>
      <c r="G816" s="21" t="str">
        <f aca="false">IF($H816="","",INDEX(DECKS!$F$2:$F$1201,$H816))</f>
        <v/>
      </c>
      <c r="H816" s="11" t="str">
        <f aca="false">IFERROR(MATCH(ROW()-1,DECKS!$O$2:$O$1201,0),"")</f>
        <v/>
      </c>
      <c r="I816" s="11" t="str">
        <f aca="false">IF(C816="","",G816&amp;" "&amp;D816&amp;" ("&amp;C816&amp;")")</f>
        <v/>
      </c>
    </row>
    <row r="817" customFormat="false" ht="15" hidden="false" customHeight="false" outlineLevel="0" collapsed="false">
      <c r="A817" s="16"/>
      <c r="B817" s="11" t="str">
        <f aca="false">IF($H817="","",INDEX(DECKS!$A$2:$A$1201,$H817))</f>
        <v/>
      </c>
      <c r="C817" s="11" t="str">
        <f aca="false">IF($H817="","",INDEX(DECKS!$B$2:$B$1201,$H817))</f>
        <v/>
      </c>
      <c r="D817" s="11" t="str">
        <f aca="false">IF($H817="","",INDEX(DECKS!$C$2:$C$1201,$H817))</f>
        <v/>
      </c>
      <c r="E817" s="16" t="str">
        <f aca="false">IF($H817="","",INDEX(DECKS!$D$2:$D$1201,$H817))</f>
        <v/>
      </c>
      <c r="F817" s="16" t="str">
        <f aca="false">IF($H817="","",INDEX(DECKS!$E$2:$E$1201,$H817))</f>
        <v/>
      </c>
      <c r="G817" s="21" t="str">
        <f aca="false">IF($H817="","",INDEX(DECKS!$F$2:$F$1201,$H817))</f>
        <v/>
      </c>
      <c r="H817" s="11" t="str">
        <f aca="false">IFERROR(MATCH(ROW()-1,DECKS!$O$2:$O$1201,0),"")</f>
        <v/>
      </c>
      <c r="I817" s="11" t="str">
        <f aca="false">IF(C817="","",G817&amp;" "&amp;D817&amp;" ("&amp;C817&amp;")")</f>
        <v/>
      </c>
    </row>
    <row r="818" customFormat="false" ht="15" hidden="false" customHeight="false" outlineLevel="0" collapsed="false">
      <c r="A818" s="16"/>
      <c r="B818" s="11" t="str">
        <f aca="false">IF($H818="","",INDEX(DECKS!$A$2:$A$1201,$H818))</f>
        <v/>
      </c>
      <c r="C818" s="11" t="str">
        <f aca="false">IF($H818="","",INDEX(DECKS!$B$2:$B$1201,$H818))</f>
        <v/>
      </c>
      <c r="D818" s="11" t="str">
        <f aca="false">IF($H818="","",INDEX(DECKS!$C$2:$C$1201,$H818))</f>
        <v/>
      </c>
      <c r="E818" s="16" t="str">
        <f aca="false">IF($H818="","",INDEX(DECKS!$D$2:$D$1201,$H818))</f>
        <v/>
      </c>
      <c r="F818" s="16" t="str">
        <f aca="false">IF($H818="","",INDEX(DECKS!$E$2:$E$1201,$H818))</f>
        <v/>
      </c>
      <c r="G818" s="21" t="str">
        <f aca="false">IF($H818="","",INDEX(DECKS!$F$2:$F$1201,$H818))</f>
        <v/>
      </c>
      <c r="H818" s="11" t="str">
        <f aca="false">IFERROR(MATCH(ROW()-1,DECKS!$O$2:$O$1201,0),"")</f>
        <v/>
      </c>
      <c r="I818" s="11" t="str">
        <f aca="false">IF(C818="","",G818&amp;" "&amp;D818&amp;" ("&amp;C818&amp;")")</f>
        <v/>
      </c>
    </row>
    <row r="819" customFormat="false" ht="15" hidden="false" customHeight="false" outlineLevel="0" collapsed="false">
      <c r="A819" s="16"/>
      <c r="B819" s="11" t="str">
        <f aca="false">IF($H819="","",INDEX(DECKS!$A$2:$A$1201,$H819))</f>
        <v/>
      </c>
      <c r="C819" s="11" t="str">
        <f aca="false">IF($H819="","",INDEX(DECKS!$B$2:$B$1201,$H819))</f>
        <v/>
      </c>
      <c r="D819" s="11" t="str">
        <f aca="false">IF($H819="","",INDEX(DECKS!$C$2:$C$1201,$H819))</f>
        <v/>
      </c>
      <c r="E819" s="16" t="str">
        <f aca="false">IF($H819="","",INDEX(DECKS!$D$2:$D$1201,$H819))</f>
        <v/>
      </c>
      <c r="F819" s="16" t="str">
        <f aca="false">IF($H819="","",INDEX(DECKS!$E$2:$E$1201,$H819))</f>
        <v/>
      </c>
      <c r="G819" s="21" t="str">
        <f aca="false">IF($H819="","",INDEX(DECKS!$F$2:$F$1201,$H819))</f>
        <v/>
      </c>
      <c r="H819" s="11" t="str">
        <f aca="false">IFERROR(MATCH(ROW()-1,DECKS!$O$2:$O$1201,0),"")</f>
        <v/>
      </c>
      <c r="I819" s="11" t="str">
        <f aca="false">IF(C819="","",G819&amp;" "&amp;D819&amp;" ("&amp;C819&amp;")")</f>
        <v/>
      </c>
    </row>
    <row r="820" customFormat="false" ht="15" hidden="false" customHeight="false" outlineLevel="0" collapsed="false">
      <c r="A820" s="16"/>
      <c r="B820" s="11" t="str">
        <f aca="false">IF($H820="","",INDEX(DECKS!$A$2:$A$1201,$H820))</f>
        <v/>
      </c>
      <c r="C820" s="11" t="str">
        <f aca="false">IF($H820="","",INDEX(DECKS!$B$2:$B$1201,$H820))</f>
        <v/>
      </c>
      <c r="D820" s="11" t="str">
        <f aca="false">IF($H820="","",INDEX(DECKS!$C$2:$C$1201,$H820))</f>
        <v/>
      </c>
      <c r="E820" s="16" t="str">
        <f aca="false">IF($H820="","",INDEX(DECKS!$D$2:$D$1201,$H820))</f>
        <v/>
      </c>
      <c r="F820" s="16" t="str">
        <f aca="false">IF($H820="","",INDEX(DECKS!$E$2:$E$1201,$H820))</f>
        <v/>
      </c>
      <c r="G820" s="21" t="str">
        <f aca="false">IF($H820="","",INDEX(DECKS!$F$2:$F$1201,$H820))</f>
        <v/>
      </c>
      <c r="H820" s="11" t="str">
        <f aca="false">IFERROR(MATCH(ROW()-1,DECKS!$O$2:$O$1201,0),"")</f>
        <v/>
      </c>
      <c r="I820" s="11" t="str">
        <f aca="false">IF(C820="","",G820&amp;" "&amp;D820&amp;" ("&amp;C820&amp;")")</f>
        <v/>
      </c>
    </row>
    <row r="821" customFormat="false" ht="15" hidden="false" customHeight="false" outlineLevel="0" collapsed="false">
      <c r="A821" s="16"/>
      <c r="B821" s="11" t="str">
        <f aca="false">IF($H821="","",INDEX(DECKS!$A$2:$A$1201,$H821))</f>
        <v/>
      </c>
      <c r="C821" s="11" t="str">
        <f aca="false">IF($H821="","",INDEX(DECKS!$B$2:$B$1201,$H821))</f>
        <v/>
      </c>
      <c r="D821" s="11" t="str">
        <f aca="false">IF($H821="","",INDEX(DECKS!$C$2:$C$1201,$H821))</f>
        <v/>
      </c>
      <c r="E821" s="16" t="str">
        <f aca="false">IF($H821="","",INDEX(DECKS!$D$2:$D$1201,$H821))</f>
        <v/>
      </c>
      <c r="F821" s="16" t="str">
        <f aca="false">IF($H821="","",INDEX(DECKS!$E$2:$E$1201,$H821))</f>
        <v/>
      </c>
      <c r="G821" s="21" t="str">
        <f aca="false">IF($H821="","",INDEX(DECKS!$F$2:$F$1201,$H821))</f>
        <v/>
      </c>
      <c r="H821" s="11" t="str">
        <f aca="false">IFERROR(MATCH(ROW()-1,DECKS!$O$2:$O$1201,0),"")</f>
        <v/>
      </c>
      <c r="I821" s="11" t="str">
        <f aca="false">IF(C821="","",G821&amp;" "&amp;D821&amp;" ("&amp;C821&amp;")")</f>
        <v/>
      </c>
    </row>
    <row r="822" customFormat="false" ht="15" hidden="false" customHeight="false" outlineLevel="0" collapsed="false">
      <c r="A822" s="16"/>
      <c r="B822" s="11" t="str">
        <f aca="false">IF($H822="","",INDEX(DECKS!$A$2:$A$1201,$H822))</f>
        <v/>
      </c>
      <c r="C822" s="11" t="str">
        <f aca="false">IF($H822="","",INDEX(DECKS!$B$2:$B$1201,$H822))</f>
        <v/>
      </c>
      <c r="D822" s="11" t="str">
        <f aca="false">IF($H822="","",INDEX(DECKS!$C$2:$C$1201,$H822))</f>
        <v/>
      </c>
      <c r="E822" s="16" t="str">
        <f aca="false">IF($H822="","",INDEX(DECKS!$D$2:$D$1201,$H822))</f>
        <v/>
      </c>
      <c r="F822" s="16" t="str">
        <f aca="false">IF($H822="","",INDEX(DECKS!$E$2:$E$1201,$H822))</f>
        <v/>
      </c>
      <c r="G822" s="21" t="str">
        <f aca="false">IF($H822="","",INDEX(DECKS!$F$2:$F$1201,$H822))</f>
        <v/>
      </c>
      <c r="H822" s="11" t="str">
        <f aca="false">IFERROR(MATCH(ROW()-1,DECKS!$O$2:$O$1201,0),"")</f>
        <v/>
      </c>
      <c r="I822" s="11" t="str">
        <f aca="false">IF(C822="","",G822&amp;" "&amp;D822&amp;" ("&amp;C822&amp;")")</f>
        <v/>
      </c>
    </row>
    <row r="823" customFormat="false" ht="15" hidden="false" customHeight="false" outlineLevel="0" collapsed="false">
      <c r="A823" s="16"/>
      <c r="B823" s="11" t="str">
        <f aca="false">IF($H823="","",INDEX(DECKS!$A$2:$A$1201,$H823))</f>
        <v/>
      </c>
      <c r="C823" s="11" t="str">
        <f aca="false">IF($H823="","",INDEX(DECKS!$B$2:$B$1201,$H823))</f>
        <v/>
      </c>
      <c r="D823" s="11" t="str">
        <f aca="false">IF($H823="","",INDEX(DECKS!$C$2:$C$1201,$H823))</f>
        <v/>
      </c>
      <c r="E823" s="16" t="str">
        <f aca="false">IF($H823="","",INDEX(DECKS!$D$2:$D$1201,$H823))</f>
        <v/>
      </c>
      <c r="F823" s="16" t="str">
        <f aca="false">IF($H823="","",INDEX(DECKS!$E$2:$E$1201,$H823))</f>
        <v/>
      </c>
      <c r="G823" s="21" t="str">
        <f aca="false">IF($H823="","",INDEX(DECKS!$F$2:$F$1201,$H823))</f>
        <v/>
      </c>
      <c r="H823" s="11" t="str">
        <f aca="false">IFERROR(MATCH(ROW()-1,DECKS!$O$2:$O$1201,0),"")</f>
        <v/>
      </c>
      <c r="I823" s="11" t="str">
        <f aca="false">IF(C823="","",G823&amp;" "&amp;D823&amp;" ("&amp;C823&amp;")")</f>
        <v/>
      </c>
    </row>
    <row r="824" customFormat="false" ht="15" hidden="false" customHeight="false" outlineLevel="0" collapsed="false">
      <c r="A824" s="16"/>
      <c r="B824" s="11" t="str">
        <f aca="false">IF($H824="","",INDEX(DECKS!$A$2:$A$1201,$H824))</f>
        <v/>
      </c>
      <c r="C824" s="11" t="str">
        <f aca="false">IF($H824="","",INDEX(DECKS!$B$2:$B$1201,$H824))</f>
        <v/>
      </c>
      <c r="D824" s="11" t="str">
        <f aca="false">IF($H824="","",INDEX(DECKS!$C$2:$C$1201,$H824))</f>
        <v/>
      </c>
      <c r="E824" s="16" t="str">
        <f aca="false">IF($H824="","",INDEX(DECKS!$D$2:$D$1201,$H824))</f>
        <v/>
      </c>
      <c r="F824" s="16" t="str">
        <f aca="false">IF($H824="","",INDEX(DECKS!$E$2:$E$1201,$H824))</f>
        <v/>
      </c>
      <c r="G824" s="21" t="str">
        <f aca="false">IF($H824="","",INDEX(DECKS!$F$2:$F$1201,$H824))</f>
        <v/>
      </c>
      <c r="H824" s="11" t="str">
        <f aca="false">IFERROR(MATCH(ROW()-1,DECKS!$O$2:$O$1201,0),"")</f>
        <v/>
      </c>
      <c r="I824" s="11" t="str">
        <f aca="false">IF(C824="","",G824&amp;" "&amp;D824&amp;" ("&amp;C824&amp;")")</f>
        <v/>
      </c>
    </row>
    <row r="825" customFormat="false" ht="15" hidden="false" customHeight="false" outlineLevel="0" collapsed="false">
      <c r="A825" s="16"/>
      <c r="B825" s="11" t="str">
        <f aca="false">IF($H825="","",INDEX(DECKS!$A$2:$A$1201,$H825))</f>
        <v/>
      </c>
      <c r="C825" s="11" t="str">
        <f aca="false">IF($H825="","",INDEX(DECKS!$B$2:$B$1201,$H825))</f>
        <v/>
      </c>
      <c r="D825" s="11" t="str">
        <f aca="false">IF($H825="","",INDEX(DECKS!$C$2:$C$1201,$H825))</f>
        <v/>
      </c>
      <c r="E825" s="16" t="str">
        <f aca="false">IF($H825="","",INDEX(DECKS!$D$2:$D$1201,$H825))</f>
        <v/>
      </c>
      <c r="F825" s="16" t="str">
        <f aca="false">IF($H825="","",INDEX(DECKS!$E$2:$E$1201,$H825))</f>
        <v/>
      </c>
      <c r="G825" s="21" t="str">
        <f aca="false">IF($H825="","",INDEX(DECKS!$F$2:$F$1201,$H825))</f>
        <v/>
      </c>
      <c r="H825" s="11" t="str">
        <f aca="false">IFERROR(MATCH(ROW()-1,DECKS!$O$2:$O$1201,0),"")</f>
        <v/>
      </c>
      <c r="I825" s="11" t="str">
        <f aca="false">IF(C825="","",G825&amp;" "&amp;D825&amp;" ("&amp;C825&amp;")")</f>
        <v/>
      </c>
    </row>
    <row r="826" customFormat="false" ht="15" hidden="false" customHeight="false" outlineLevel="0" collapsed="false">
      <c r="A826" s="16"/>
      <c r="B826" s="11" t="str">
        <f aca="false">IF($H826="","",INDEX(DECKS!$A$2:$A$1201,$H826))</f>
        <v/>
      </c>
      <c r="C826" s="11" t="str">
        <f aca="false">IF($H826="","",INDEX(DECKS!$B$2:$B$1201,$H826))</f>
        <v/>
      </c>
      <c r="D826" s="11" t="str">
        <f aca="false">IF($H826="","",INDEX(DECKS!$C$2:$C$1201,$H826))</f>
        <v/>
      </c>
      <c r="E826" s="16" t="str">
        <f aca="false">IF($H826="","",INDEX(DECKS!$D$2:$D$1201,$H826))</f>
        <v/>
      </c>
      <c r="F826" s="16" t="str">
        <f aca="false">IF($H826="","",INDEX(DECKS!$E$2:$E$1201,$H826))</f>
        <v/>
      </c>
      <c r="G826" s="21" t="str">
        <f aca="false">IF($H826="","",INDEX(DECKS!$F$2:$F$1201,$H826))</f>
        <v/>
      </c>
      <c r="H826" s="11" t="str">
        <f aca="false">IFERROR(MATCH(ROW()-1,DECKS!$O$2:$O$1201,0),"")</f>
        <v/>
      </c>
      <c r="I826" s="11" t="str">
        <f aca="false">IF(C826="","",G826&amp;" "&amp;D826&amp;" ("&amp;C826&amp;")")</f>
        <v/>
      </c>
    </row>
    <row r="827" customFormat="false" ht="15" hidden="false" customHeight="false" outlineLevel="0" collapsed="false">
      <c r="A827" s="16"/>
      <c r="B827" s="11" t="str">
        <f aca="false">IF($H827="","",INDEX(DECKS!$A$2:$A$1201,$H827))</f>
        <v/>
      </c>
      <c r="C827" s="11" t="str">
        <f aca="false">IF($H827="","",INDEX(DECKS!$B$2:$B$1201,$H827))</f>
        <v/>
      </c>
      <c r="D827" s="11" t="str">
        <f aca="false">IF($H827="","",INDEX(DECKS!$C$2:$C$1201,$H827))</f>
        <v/>
      </c>
      <c r="E827" s="16" t="str">
        <f aca="false">IF($H827="","",INDEX(DECKS!$D$2:$D$1201,$H827))</f>
        <v/>
      </c>
      <c r="F827" s="16" t="str">
        <f aca="false">IF($H827="","",INDEX(DECKS!$E$2:$E$1201,$H827))</f>
        <v/>
      </c>
      <c r="G827" s="21" t="str">
        <f aca="false">IF($H827="","",INDEX(DECKS!$F$2:$F$1201,$H827))</f>
        <v/>
      </c>
      <c r="H827" s="11" t="str">
        <f aca="false">IFERROR(MATCH(ROW()-1,DECKS!$O$2:$O$1201,0),"")</f>
        <v/>
      </c>
      <c r="I827" s="11" t="str">
        <f aca="false">IF(C827="","",G827&amp;" "&amp;D827&amp;" ("&amp;C827&amp;")")</f>
        <v/>
      </c>
    </row>
    <row r="828" customFormat="false" ht="15" hidden="false" customHeight="false" outlineLevel="0" collapsed="false">
      <c r="A828" s="16"/>
      <c r="B828" s="11" t="str">
        <f aca="false">IF($H828="","",INDEX(DECKS!$A$2:$A$1201,$H828))</f>
        <v/>
      </c>
      <c r="C828" s="11" t="str">
        <f aca="false">IF($H828="","",INDEX(DECKS!$B$2:$B$1201,$H828))</f>
        <v/>
      </c>
      <c r="D828" s="11" t="str">
        <f aca="false">IF($H828="","",INDEX(DECKS!$C$2:$C$1201,$H828))</f>
        <v/>
      </c>
      <c r="E828" s="16" t="str">
        <f aca="false">IF($H828="","",INDEX(DECKS!$D$2:$D$1201,$H828))</f>
        <v/>
      </c>
      <c r="F828" s="16" t="str">
        <f aca="false">IF($H828="","",INDEX(DECKS!$E$2:$E$1201,$H828))</f>
        <v/>
      </c>
      <c r="G828" s="21" t="str">
        <f aca="false">IF($H828="","",INDEX(DECKS!$F$2:$F$1201,$H828))</f>
        <v/>
      </c>
      <c r="H828" s="11" t="str">
        <f aca="false">IFERROR(MATCH(ROW()-1,DECKS!$O$2:$O$1201,0),"")</f>
        <v/>
      </c>
      <c r="I828" s="11" t="str">
        <f aca="false">IF(C828="","",G828&amp;" "&amp;D828&amp;" ("&amp;C828&amp;")")</f>
        <v/>
      </c>
    </row>
    <row r="829" customFormat="false" ht="15" hidden="false" customHeight="false" outlineLevel="0" collapsed="false">
      <c r="A829" s="16"/>
      <c r="B829" s="11" t="str">
        <f aca="false">IF($H829="","",INDEX(DECKS!$A$2:$A$1201,$H829))</f>
        <v/>
      </c>
      <c r="C829" s="11" t="str">
        <f aca="false">IF($H829="","",INDEX(DECKS!$B$2:$B$1201,$H829))</f>
        <v/>
      </c>
      <c r="D829" s="11" t="str">
        <f aca="false">IF($H829="","",INDEX(DECKS!$C$2:$C$1201,$H829))</f>
        <v/>
      </c>
      <c r="E829" s="16" t="str">
        <f aca="false">IF($H829="","",INDEX(DECKS!$D$2:$D$1201,$H829))</f>
        <v/>
      </c>
      <c r="F829" s="16" t="str">
        <f aca="false">IF($H829="","",INDEX(DECKS!$E$2:$E$1201,$H829))</f>
        <v/>
      </c>
      <c r="G829" s="21" t="str">
        <f aca="false">IF($H829="","",INDEX(DECKS!$F$2:$F$1201,$H829))</f>
        <v/>
      </c>
      <c r="H829" s="11" t="str">
        <f aca="false">IFERROR(MATCH(ROW()-1,DECKS!$O$2:$O$1201,0),"")</f>
        <v/>
      </c>
      <c r="I829" s="11" t="str">
        <f aca="false">IF(C829="","",G829&amp;" "&amp;D829&amp;" ("&amp;C829&amp;")")</f>
        <v/>
      </c>
    </row>
    <row r="830" customFormat="false" ht="15" hidden="false" customHeight="false" outlineLevel="0" collapsed="false">
      <c r="A830" s="16"/>
      <c r="B830" s="11" t="str">
        <f aca="false">IF($H830="","",INDEX(DECKS!$A$2:$A$1201,$H830))</f>
        <v/>
      </c>
      <c r="C830" s="11" t="str">
        <f aca="false">IF($H830="","",INDEX(DECKS!$B$2:$B$1201,$H830))</f>
        <v/>
      </c>
      <c r="D830" s="11" t="str">
        <f aca="false">IF($H830="","",INDEX(DECKS!$C$2:$C$1201,$H830))</f>
        <v/>
      </c>
      <c r="E830" s="16" t="str">
        <f aca="false">IF($H830="","",INDEX(DECKS!$D$2:$D$1201,$H830))</f>
        <v/>
      </c>
      <c r="F830" s="16" t="str">
        <f aca="false">IF($H830="","",INDEX(DECKS!$E$2:$E$1201,$H830))</f>
        <v/>
      </c>
      <c r="G830" s="21" t="str">
        <f aca="false">IF($H830="","",INDEX(DECKS!$F$2:$F$1201,$H830))</f>
        <v/>
      </c>
      <c r="H830" s="11" t="str">
        <f aca="false">IFERROR(MATCH(ROW()-1,DECKS!$O$2:$O$1201,0),"")</f>
        <v/>
      </c>
      <c r="I830" s="11" t="str">
        <f aca="false">IF(C830="","",G830&amp;" "&amp;D830&amp;" ("&amp;C830&amp;")")</f>
        <v/>
      </c>
    </row>
    <row r="831" customFormat="false" ht="15" hidden="false" customHeight="false" outlineLevel="0" collapsed="false">
      <c r="A831" s="16"/>
      <c r="B831" s="11" t="str">
        <f aca="false">IF($H831="","",INDEX(DECKS!$A$2:$A$1201,$H831))</f>
        <v/>
      </c>
      <c r="C831" s="11" t="str">
        <f aca="false">IF($H831="","",INDEX(DECKS!$B$2:$B$1201,$H831))</f>
        <v/>
      </c>
      <c r="D831" s="11" t="str">
        <f aca="false">IF($H831="","",INDEX(DECKS!$C$2:$C$1201,$H831))</f>
        <v/>
      </c>
      <c r="E831" s="16" t="str">
        <f aca="false">IF($H831="","",INDEX(DECKS!$D$2:$D$1201,$H831))</f>
        <v/>
      </c>
      <c r="F831" s="16" t="str">
        <f aca="false">IF($H831="","",INDEX(DECKS!$E$2:$E$1201,$H831))</f>
        <v/>
      </c>
      <c r="G831" s="21" t="str">
        <f aca="false">IF($H831="","",INDEX(DECKS!$F$2:$F$1201,$H831))</f>
        <v/>
      </c>
      <c r="H831" s="11" t="str">
        <f aca="false">IFERROR(MATCH(ROW()-1,DECKS!$O$2:$O$1201,0),"")</f>
        <v/>
      </c>
      <c r="I831" s="11" t="str">
        <f aca="false">IF(C831="","",G831&amp;" "&amp;D831&amp;" ("&amp;C831&amp;")")</f>
        <v/>
      </c>
    </row>
    <row r="832" customFormat="false" ht="15" hidden="false" customHeight="false" outlineLevel="0" collapsed="false">
      <c r="A832" s="16"/>
      <c r="B832" s="11" t="str">
        <f aca="false">IF($H832="","",INDEX(DECKS!$A$2:$A$1201,$H832))</f>
        <v/>
      </c>
      <c r="C832" s="11" t="str">
        <f aca="false">IF($H832="","",INDEX(DECKS!$B$2:$B$1201,$H832))</f>
        <v/>
      </c>
      <c r="D832" s="11" t="str">
        <f aca="false">IF($H832="","",INDEX(DECKS!$C$2:$C$1201,$H832))</f>
        <v/>
      </c>
      <c r="E832" s="16" t="str">
        <f aca="false">IF($H832="","",INDEX(DECKS!$D$2:$D$1201,$H832))</f>
        <v/>
      </c>
      <c r="F832" s="16" t="str">
        <f aca="false">IF($H832="","",INDEX(DECKS!$E$2:$E$1201,$H832))</f>
        <v/>
      </c>
      <c r="G832" s="21" t="str">
        <f aca="false">IF($H832="","",INDEX(DECKS!$F$2:$F$1201,$H832))</f>
        <v/>
      </c>
      <c r="H832" s="11" t="str">
        <f aca="false">IFERROR(MATCH(ROW()-1,DECKS!$O$2:$O$1201,0),"")</f>
        <v/>
      </c>
      <c r="I832" s="11" t="str">
        <f aca="false">IF(C832="","",G832&amp;" "&amp;D832&amp;" ("&amp;C832&amp;")")</f>
        <v/>
      </c>
    </row>
    <row r="833" customFormat="false" ht="15" hidden="false" customHeight="false" outlineLevel="0" collapsed="false">
      <c r="A833" s="16"/>
      <c r="B833" s="11" t="str">
        <f aca="false">IF($H833="","",INDEX(DECKS!$A$2:$A$1201,$H833))</f>
        <v/>
      </c>
      <c r="C833" s="11" t="str">
        <f aca="false">IF($H833="","",INDEX(DECKS!$B$2:$B$1201,$H833))</f>
        <v/>
      </c>
      <c r="D833" s="11" t="str">
        <f aca="false">IF($H833="","",INDEX(DECKS!$C$2:$C$1201,$H833))</f>
        <v/>
      </c>
      <c r="E833" s="16" t="str">
        <f aca="false">IF($H833="","",INDEX(DECKS!$D$2:$D$1201,$H833))</f>
        <v/>
      </c>
      <c r="F833" s="16" t="str">
        <f aca="false">IF($H833="","",INDEX(DECKS!$E$2:$E$1201,$H833))</f>
        <v/>
      </c>
      <c r="G833" s="21" t="str">
        <f aca="false">IF($H833="","",INDEX(DECKS!$F$2:$F$1201,$H833))</f>
        <v/>
      </c>
      <c r="H833" s="11" t="str">
        <f aca="false">IFERROR(MATCH(ROW()-1,DECKS!$O$2:$O$1201,0),"")</f>
        <v/>
      </c>
      <c r="I833" s="11" t="str">
        <f aca="false">IF(C833="","",G833&amp;" "&amp;D833&amp;" ("&amp;C833&amp;")")</f>
        <v/>
      </c>
    </row>
    <row r="834" customFormat="false" ht="15" hidden="false" customHeight="false" outlineLevel="0" collapsed="false">
      <c r="A834" s="16"/>
      <c r="B834" s="11" t="str">
        <f aca="false">IF($H834="","",INDEX(DECKS!$A$2:$A$1201,$H834))</f>
        <v/>
      </c>
      <c r="C834" s="11" t="str">
        <f aca="false">IF($H834="","",INDEX(DECKS!$B$2:$B$1201,$H834))</f>
        <v/>
      </c>
      <c r="D834" s="11" t="str">
        <f aca="false">IF($H834="","",INDEX(DECKS!$C$2:$C$1201,$H834))</f>
        <v/>
      </c>
      <c r="E834" s="16" t="str">
        <f aca="false">IF($H834="","",INDEX(DECKS!$D$2:$D$1201,$H834))</f>
        <v/>
      </c>
      <c r="F834" s="16" t="str">
        <f aca="false">IF($H834="","",INDEX(DECKS!$E$2:$E$1201,$H834))</f>
        <v/>
      </c>
      <c r="G834" s="21" t="str">
        <f aca="false">IF($H834="","",INDEX(DECKS!$F$2:$F$1201,$H834))</f>
        <v/>
      </c>
      <c r="H834" s="11" t="str">
        <f aca="false">IFERROR(MATCH(ROW()-1,DECKS!$O$2:$O$1201,0),"")</f>
        <v/>
      </c>
      <c r="I834" s="11" t="str">
        <f aca="false">IF(C834="","",G834&amp;" "&amp;D834&amp;" ("&amp;C834&amp;")")</f>
        <v/>
      </c>
    </row>
    <row r="835" customFormat="false" ht="15" hidden="false" customHeight="false" outlineLevel="0" collapsed="false">
      <c r="A835" s="16"/>
      <c r="B835" s="11" t="str">
        <f aca="false">IF($H835="","",INDEX(DECKS!$A$2:$A$1201,$H835))</f>
        <v/>
      </c>
      <c r="C835" s="11" t="str">
        <f aca="false">IF($H835="","",INDEX(DECKS!$B$2:$B$1201,$H835))</f>
        <v/>
      </c>
      <c r="D835" s="11" t="str">
        <f aca="false">IF($H835="","",INDEX(DECKS!$C$2:$C$1201,$H835))</f>
        <v/>
      </c>
      <c r="E835" s="16" t="str">
        <f aca="false">IF($H835="","",INDEX(DECKS!$D$2:$D$1201,$H835))</f>
        <v/>
      </c>
      <c r="F835" s="16" t="str">
        <f aca="false">IF($H835="","",INDEX(DECKS!$E$2:$E$1201,$H835))</f>
        <v/>
      </c>
      <c r="G835" s="21" t="str">
        <f aca="false">IF($H835="","",INDEX(DECKS!$F$2:$F$1201,$H835))</f>
        <v/>
      </c>
      <c r="H835" s="11" t="str">
        <f aca="false">IFERROR(MATCH(ROW()-1,DECKS!$O$2:$O$1201,0),"")</f>
        <v/>
      </c>
      <c r="I835" s="11" t="str">
        <f aca="false">IF(C835="","",G835&amp;" "&amp;D835&amp;" ("&amp;C835&amp;")")</f>
        <v/>
      </c>
    </row>
    <row r="836" customFormat="false" ht="15" hidden="false" customHeight="false" outlineLevel="0" collapsed="false">
      <c r="A836" s="16"/>
      <c r="B836" s="11" t="str">
        <f aca="false">IF($H836="","",INDEX(DECKS!$A$2:$A$1201,$H836))</f>
        <v/>
      </c>
      <c r="C836" s="11" t="str">
        <f aca="false">IF($H836="","",INDEX(DECKS!$B$2:$B$1201,$H836))</f>
        <v/>
      </c>
      <c r="D836" s="11" t="str">
        <f aca="false">IF($H836="","",INDEX(DECKS!$C$2:$C$1201,$H836))</f>
        <v/>
      </c>
      <c r="E836" s="16" t="str">
        <f aca="false">IF($H836="","",INDEX(DECKS!$D$2:$D$1201,$H836))</f>
        <v/>
      </c>
      <c r="F836" s="16" t="str">
        <f aca="false">IF($H836="","",INDEX(DECKS!$E$2:$E$1201,$H836))</f>
        <v/>
      </c>
      <c r="G836" s="21" t="str">
        <f aca="false">IF($H836="","",INDEX(DECKS!$F$2:$F$1201,$H836))</f>
        <v/>
      </c>
      <c r="H836" s="11" t="str">
        <f aca="false">IFERROR(MATCH(ROW()-1,DECKS!$O$2:$O$1201,0),"")</f>
        <v/>
      </c>
      <c r="I836" s="11" t="str">
        <f aca="false">IF(C836="","",G836&amp;" "&amp;D836&amp;" ("&amp;C836&amp;")")</f>
        <v/>
      </c>
    </row>
    <row r="837" customFormat="false" ht="15" hidden="false" customHeight="false" outlineLevel="0" collapsed="false">
      <c r="A837" s="16"/>
      <c r="B837" s="11" t="str">
        <f aca="false">IF($H837="","",INDEX(DECKS!$A$2:$A$1201,$H837))</f>
        <v/>
      </c>
      <c r="C837" s="11" t="str">
        <f aca="false">IF($H837="","",INDEX(DECKS!$B$2:$B$1201,$H837))</f>
        <v/>
      </c>
      <c r="D837" s="11" t="str">
        <f aca="false">IF($H837="","",INDEX(DECKS!$C$2:$C$1201,$H837))</f>
        <v/>
      </c>
      <c r="E837" s="16" t="str">
        <f aca="false">IF($H837="","",INDEX(DECKS!$D$2:$D$1201,$H837))</f>
        <v/>
      </c>
      <c r="F837" s="16" t="str">
        <f aca="false">IF($H837="","",INDEX(DECKS!$E$2:$E$1201,$H837))</f>
        <v/>
      </c>
      <c r="G837" s="21" t="str">
        <f aca="false">IF($H837="","",INDEX(DECKS!$F$2:$F$1201,$H837))</f>
        <v/>
      </c>
      <c r="H837" s="11" t="str">
        <f aca="false">IFERROR(MATCH(ROW()-1,DECKS!$O$2:$O$1201,0),"")</f>
        <v/>
      </c>
      <c r="I837" s="11" t="str">
        <f aca="false">IF(C837="","",G837&amp;" "&amp;D837&amp;" ("&amp;C837&amp;")")</f>
        <v/>
      </c>
    </row>
    <row r="838" customFormat="false" ht="15" hidden="false" customHeight="false" outlineLevel="0" collapsed="false">
      <c r="A838" s="16"/>
      <c r="B838" s="11" t="str">
        <f aca="false">IF($H838="","",INDEX(DECKS!$A$2:$A$1201,$H838))</f>
        <v/>
      </c>
      <c r="C838" s="11" t="str">
        <f aca="false">IF($H838="","",INDEX(DECKS!$B$2:$B$1201,$H838))</f>
        <v/>
      </c>
      <c r="D838" s="11" t="str">
        <f aca="false">IF($H838="","",INDEX(DECKS!$C$2:$C$1201,$H838))</f>
        <v/>
      </c>
      <c r="E838" s="16" t="str">
        <f aca="false">IF($H838="","",INDEX(DECKS!$D$2:$D$1201,$H838))</f>
        <v/>
      </c>
      <c r="F838" s="16" t="str">
        <f aca="false">IF($H838="","",INDEX(DECKS!$E$2:$E$1201,$H838))</f>
        <v/>
      </c>
      <c r="G838" s="21" t="str">
        <f aca="false">IF($H838="","",INDEX(DECKS!$F$2:$F$1201,$H838))</f>
        <v/>
      </c>
      <c r="H838" s="11" t="str">
        <f aca="false">IFERROR(MATCH(ROW()-1,DECKS!$O$2:$O$1201,0),"")</f>
        <v/>
      </c>
      <c r="I838" s="11" t="str">
        <f aca="false">IF(C838="","",G838&amp;" "&amp;D838&amp;" ("&amp;C838&amp;")")</f>
        <v/>
      </c>
    </row>
    <row r="839" customFormat="false" ht="15" hidden="false" customHeight="false" outlineLevel="0" collapsed="false">
      <c r="A839" s="16"/>
      <c r="B839" s="11" t="str">
        <f aca="false">IF($H839="","",INDEX(DECKS!$A$2:$A$1201,$H839))</f>
        <v/>
      </c>
      <c r="C839" s="11" t="str">
        <f aca="false">IF($H839="","",INDEX(DECKS!$B$2:$B$1201,$H839))</f>
        <v/>
      </c>
      <c r="D839" s="11" t="str">
        <f aca="false">IF($H839="","",INDEX(DECKS!$C$2:$C$1201,$H839))</f>
        <v/>
      </c>
      <c r="E839" s="16" t="str">
        <f aca="false">IF($H839="","",INDEX(DECKS!$D$2:$D$1201,$H839))</f>
        <v/>
      </c>
      <c r="F839" s="16" t="str">
        <f aca="false">IF($H839="","",INDEX(DECKS!$E$2:$E$1201,$H839))</f>
        <v/>
      </c>
      <c r="G839" s="21" t="str">
        <f aca="false">IF($H839="","",INDEX(DECKS!$F$2:$F$1201,$H839))</f>
        <v/>
      </c>
      <c r="H839" s="11" t="str">
        <f aca="false">IFERROR(MATCH(ROW()-1,DECKS!$O$2:$O$1201,0),"")</f>
        <v/>
      </c>
      <c r="I839" s="11" t="str">
        <f aca="false">IF(C839="","",G839&amp;" "&amp;D839&amp;" ("&amp;C839&amp;")")</f>
        <v/>
      </c>
    </row>
    <row r="840" customFormat="false" ht="15" hidden="false" customHeight="false" outlineLevel="0" collapsed="false">
      <c r="A840" s="16"/>
      <c r="B840" s="11" t="str">
        <f aca="false">IF($H840="","",INDEX(DECKS!$A$2:$A$1201,$H840))</f>
        <v/>
      </c>
      <c r="C840" s="11" t="str">
        <f aca="false">IF($H840="","",INDEX(DECKS!$B$2:$B$1201,$H840))</f>
        <v/>
      </c>
      <c r="D840" s="11" t="str">
        <f aca="false">IF($H840="","",INDEX(DECKS!$C$2:$C$1201,$H840))</f>
        <v/>
      </c>
      <c r="E840" s="16" t="str">
        <f aca="false">IF($H840="","",INDEX(DECKS!$D$2:$D$1201,$H840))</f>
        <v/>
      </c>
      <c r="F840" s="16" t="str">
        <f aca="false">IF($H840="","",INDEX(DECKS!$E$2:$E$1201,$H840))</f>
        <v/>
      </c>
      <c r="G840" s="21" t="str">
        <f aca="false">IF($H840="","",INDEX(DECKS!$F$2:$F$1201,$H840))</f>
        <v/>
      </c>
      <c r="H840" s="11" t="str">
        <f aca="false">IFERROR(MATCH(ROW()-1,DECKS!$O$2:$O$1201,0),"")</f>
        <v/>
      </c>
      <c r="I840" s="11" t="str">
        <f aca="false">IF(C840="","",G840&amp;" "&amp;D840&amp;" ("&amp;C840&amp;")")</f>
        <v/>
      </c>
    </row>
    <row r="841" customFormat="false" ht="15" hidden="false" customHeight="false" outlineLevel="0" collapsed="false">
      <c r="A841" s="16"/>
      <c r="B841" s="11" t="str">
        <f aca="false">IF($H841="","",INDEX(DECKS!$A$2:$A$1201,$H841))</f>
        <v/>
      </c>
      <c r="C841" s="11" t="str">
        <f aca="false">IF($H841="","",INDEX(DECKS!$B$2:$B$1201,$H841))</f>
        <v/>
      </c>
      <c r="D841" s="11" t="str">
        <f aca="false">IF($H841="","",INDEX(DECKS!$C$2:$C$1201,$H841))</f>
        <v/>
      </c>
      <c r="E841" s="16" t="str">
        <f aca="false">IF($H841="","",INDEX(DECKS!$D$2:$D$1201,$H841))</f>
        <v/>
      </c>
      <c r="F841" s="16" t="str">
        <f aca="false">IF($H841="","",INDEX(DECKS!$E$2:$E$1201,$H841))</f>
        <v/>
      </c>
      <c r="G841" s="21" t="str">
        <f aca="false">IF($H841="","",INDEX(DECKS!$F$2:$F$1201,$H841))</f>
        <v/>
      </c>
      <c r="H841" s="11" t="str">
        <f aca="false">IFERROR(MATCH(ROW()-1,DECKS!$O$2:$O$1201,0),"")</f>
        <v/>
      </c>
      <c r="I841" s="11" t="str">
        <f aca="false">IF(C841="","",G841&amp;" "&amp;D841&amp;" ("&amp;C841&amp;")")</f>
        <v/>
      </c>
    </row>
    <row r="842" customFormat="false" ht="15" hidden="false" customHeight="false" outlineLevel="0" collapsed="false">
      <c r="A842" s="16"/>
      <c r="B842" s="11" t="str">
        <f aca="false">IF($H842="","",INDEX(DECKS!$A$2:$A$1201,$H842))</f>
        <v/>
      </c>
      <c r="C842" s="11" t="str">
        <f aca="false">IF($H842="","",INDEX(DECKS!$B$2:$B$1201,$H842))</f>
        <v/>
      </c>
      <c r="D842" s="11" t="str">
        <f aca="false">IF($H842="","",INDEX(DECKS!$C$2:$C$1201,$H842))</f>
        <v/>
      </c>
      <c r="E842" s="16" t="str">
        <f aca="false">IF($H842="","",INDEX(DECKS!$D$2:$D$1201,$H842))</f>
        <v/>
      </c>
      <c r="F842" s="16" t="str">
        <f aca="false">IF($H842="","",INDEX(DECKS!$E$2:$E$1201,$H842))</f>
        <v/>
      </c>
      <c r="G842" s="21" t="str">
        <f aca="false">IF($H842="","",INDEX(DECKS!$F$2:$F$1201,$H842))</f>
        <v/>
      </c>
      <c r="H842" s="11" t="str">
        <f aca="false">IFERROR(MATCH(ROW()-1,DECKS!$O$2:$O$1201,0),"")</f>
        <v/>
      </c>
      <c r="I842" s="11" t="str">
        <f aca="false">IF(C842="","",G842&amp;" "&amp;D842&amp;" ("&amp;C842&amp;")")</f>
        <v/>
      </c>
    </row>
    <row r="843" customFormat="false" ht="15" hidden="false" customHeight="false" outlineLevel="0" collapsed="false">
      <c r="A843" s="16"/>
      <c r="B843" s="11" t="str">
        <f aca="false">IF($H843="","",INDEX(DECKS!$A$2:$A$1201,$H843))</f>
        <v/>
      </c>
      <c r="C843" s="11" t="str">
        <f aca="false">IF($H843="","",INDEX(DECKS!$B$2:$B$1201,$H843))</f>
        <v/>
      </c>
      <c r="D843" s="11" t="str">
        <f aca="false">IF($H843="","",INDEX(DECKS!$C$2:$C$1201,$H843))</f>
        <v/>
      </c>
      <c r="E843" s="16" t="str">
        <f aca="false">IF($H843="","",INDEX(DECKS!$D$2:$D$1201,$H843))</f>
        <v/>
      </c>
      <c r="F843" s="16" t="str">
        <f aca="false">IF($H843="","",INDEX(DECKS!$E$2:$E$1201,$H843))</f>
        <v/>
      </c>
      <c r="G843" s="21" t="str">
        <f aca="false">IF($H843="","",INDEX(DECKS!$F$2:$F$1201,$H843))</f>
        <v/>
      </c>
      <c r="H843" s="11" t="str">
        <f aca="false">IFERROR(MATCH(ROW()-1,DECKS!$O$2:$O$1201,0),"")</f>
        <v/>
      </c>
      <c r="I843" s="11" t="str">
        <f aca="false">IF(C843="","",G843&amp;" "&amp;D843&amp;" ("&amp;C843&amp;")")</f>
        <v/>
      </c>
    </row>
    <row r="844" customFormat="false" ht="15" hidden="false" customHeight="false" outlineLevel="0" collapsed="false">
      <c r="A844" s="16"/>
      <c r="B844" s="11" t="str">
        <f aca="false">IF($H844="","",INDEX(DECKS!$A$2:$A$1201,$H844))</f>
        <v/>
      </c>
      <c r="C844" s="11" t="str">
        <f aca="false">IF($H844="","",INDEX(DECKS!$B$2:$B$1201,$H844))</f>
        <v/>
      </c>
      <c r="D844" s="11" t="str">
        <f aca="false">IF($H844="","",INDEX(DECKS!$C$2:$C$1201,$H844))</f>
        <v/>
      </c>
      <c r="E844" s="16" t="str">
        <f aca="false">IF($H844="","",INDEX(DECKS!$D$2:$D$1201,$H844))</f>
        <v/>
      </c>
      <c r="F844" s="16" t="str">
        <f aca="false">IF($H844="","",INDEX(DECKS!$E$2:$E$1201,$H844))</f>
        <v/>
      </c>
      <c r="G844" s="21" t="str">
        <f aca="false">IF($H844="","",INDEX(DECKS!$F$2:$F$1201,$H844))</f>
        <v/>
      </c>
      <c r="H844" s="11" t="str">
        <f aca="false">IFERROR(MATCH(ROW()-1,DECKS!$O$2:$O$1201,0),"")</f>
        <v/>
      </c>
      <c r="I844" s="11" t="str">
        <f aca="false">IF(C844="","",G844&amp;" "&amp;D844&amp;" ("&amp;C844&amp;")")</f>
        <v/>
      </c>
    </row>
    <row r="845" customFormat="false" ht="15" hidden="false" customHeight="false" outlineLevel="0" collapsed="false">
      <c r="A845" s="16"/>
      <c r="B845" s="11" t="str">
        <f aca="false">IF($H845="","",INDEX(DECKS!$A$2:$A$1201,$H845))</f>
        <v/>
      </c>
      <c r="C845" s="11" t="str">
        <f aca="false">IF($H845="","",INDEX(DECKS!$B$2:$B$1201,$H845))</f>
        <v/>
      </c>
      <c r="D845" s="11" t="str">
        <f aca="false">IF($H845="","",INDEX(DECKS!$C$2:$C$1201,$H845))</f>
        <v/>
      </c>
      <c r="E845" s="16" t="str">
        <f aca="false">IF($H845="","",INDEX(DECKS!$D$2:$D$1201,$H845))</f>
        <v/>
      </c>
      <c r="F845" s="16" t="str">
        <f aca="false">IF($H845="","",INDEX(DECKS!$E$2:$E$1201,$H845))</f>
        <v/>
      </c>
      <c r="G845" s="21" t="str">
        <f aca="false">IF($H845="","",INDEX(DECKS!$F$2:$F$1201,$H845))</f>
        <v/>
      </c>
      <c r="H845" s="11" t="str">
        <f aca="false">IFERROR(MATCH(ROW()-1,DECKS!$O$2:$O$1201,0),"")</f>
        <v/>
      </c>
      <c r="I845" s="11" t="str">
        <f aca="false">IF(C845="","",G845&amp;" "&amp;D845&amp;" ("&amp;C845&amp;")")</f>
        <v/>
      </c>
    </row>
    <row r="846" customFormat="false" ht="15" hidden="false" customHeight="false" outlineLevel="0" collapsed="false">
      <c r="A846" s="16"/>
      <c r="B846" s="11" t="str">
        <f aca="false">IF($H846="","",INDEX(DECKS!$A$2:$A$1201,$H846))</f>
        <v/>
      </c>
      <c r="C846" s="11" t="str">
        <f aca="false">IF($H846="","",INDEX(DECKS!$B$2:$B$1201,$H846))</f>
        <v/>
      </c>
      <c r="D846" s="11" t="str">
        <f aca="false">IF($H846="","",INDEX(DECKS!$C$2:$C$1201,$H846))</f>
        <v/>
      </c>
      <c r="E846" s="16" t="str">
        <f aca="false">IF($H846="","",INDEX(DECKS!$D$2:$D$1201,$H846))</f>
        <v/>
      </c>
      <c r="F846" s="16" t="str">
        <f aca="false">IF($H846="","",INDEX(DECKS!$E$2:$E$1201,$H846))</f>
        <v/>
      </c>
      <c r="G846" s="21" t="str">
        <f aca="false">IF($H846="","",INDEX(DECKS!$F$2:$F$1201,$H846))</f>
        <v/>
      </c>
      <c r="H846" s="11" t="str">
        <f aca="false">IFERROR(MATCH(ROW()-1,DECKS!$O$2:$O$1201,0),"")</f>
        <v/>
      </c>
      <c r="I846" s="11" t="str">
        <f aca="false">IF(C846="","",G846&amp;" "&amp;D846&amp;" ("&amp;C846&amp;")")</f>
        <v/>
      </c>
    </row>
    <row r="847" customFormat="false" ht="15" hidden="false" customHeight="false" outlineLevel="0" collapsed="false">
      <c r="A847" s="16"/>
      <c r="B847" s="11" t="str">
        <f aca="false">IF($H847="","",INDEX(DECKS!$A$2:$A$1201,$H847))</f>
        <v/>
      </c>
      <c r="C847" s="11" t="str">
        <f aca="false">IF($H847="","",INDEX(DECKS!$B$2:$B$1201,$H847))</f>
        <v/>
      </c>
      <c r="D847" s="11" t="str">
        <f aca="false">IF($H847="","",INDEX(DECKS!$C$2:$C$1201,$H847))</f>
        <v/>
      </c>
      <c r="E847" s="16" t="str">
        <f aca="false">IF($H847="","",INDEX(DECKS!$D$2:$D$1201,$H847))</f>
        <v/>
      </c>
      <c r="F847" s="16" t="str">
        <f aca="false">IF($H847="","",INDEX(DECKS!$E$2:$E$1201,$H847))</f>
        <v/>
      </c>
      <c r="G847" s="21" t="str">
        <f aca="false">IF($H847="","",INDEX(DECKS!$F$2:$F$1201,$H847))</f>
        <v/>
      </c>
      <c r="H847" s="11" t="str">
        <f aca="false">IFERROR(MATCH(ROW()-1,DECKS!$O$2:$O$1201,0),"")</f>
        <v/>
      </c>
      <c r="I847" s="11" t="str">
        <f aca="false">IF(C847="","",G847&amp;" "&amp;D847&amp;" ("&amp;C847&amp;")")</f>
        <v/>
      </c>
    </row>
    <row r="848" customFormat="false" ht="15" hidden="false" customHeight="false" outlineLevel="0" collapsed="false">
      <c r="A848" s="16"/>
      <c r="B848" s="11" t="str">
        <f aca="false">IF($H848="","",INDEX(DECKS!$A$2:$A$1201,$H848))</f>
        <v/>
      </c>
      <c r="C848" s="11" t="str">
        <f aca="false">IF($H848="","",INDEX(DECKS!$B$2:$B$1201,$H848))</f>
        <v/>
      </c>
      <c r="D848" s="11" t="str">
        <f aca="false">IF($H848="","",INDEX(DECKS!$C$2:$C$1201,$H848))</f>
        <v/>
      </c>
      <c r="E848" s="16" t="str">
        <f aca="false">IF($H848="","",INDEX(DECKS!$D$2:$D$1201,$H848))</f>
        <v/>
      </c>
      <c r="F848" s="16" t="str">
        <f aca="false">IF($H848="","",INDEX(DECKS!$E$2:$E$1201,$H848))</f>
        <v/>
      </c>
      <c r="G848" s="21" t="str">
        <f aca="false">IF($H848="","",INDEX(DECKS!$F$2:$F$1201,$H848))</f>
        <v/>
      </c>
      <c r="H848" s="11" t="str">
        <f aca="false">IFERROR(MATCH(ROW()-1,DECKS!$O$2:$O$1201,0),"")</f>
        <v/>
      </c>
      <c r="I848" s="11" t="str">
        <f aca="false">IF(C848="","",G848&amp;" "&amp;D848&amp;" ("&amp;C848&amp;")")</f>
        <v/>
      </c>
    </row>
    <row r="849" customFormat="false" ht="15" hidden="false" customHeight="false" outlineLevel="0" collapsed="false">
      <c r="A849" s="16"/>
      <c r="B849" s="11" t="str">
        <f aca="false">IF($H849="","",INDEX(DECKS!$A$2:$A$1201,$H849))</f>
        <v/>
      </c>
      <c r="C849" s="11" t="str">
        <f aca="false">IF($H849="","",INDEX(DECKS!$B$2:$B$1201,$H849))</f>
        <v/>
      </c>
      <c r="D849" s="11" t="str">
        <f aca="false">IF($H849="","",INDEX(DECKS!$C$2:$C$1201,$H849))</f>
        <v/>
      </c>
      <c r="E849" s="16" t="str">
        <f aca="false">IF($H849="","",INDEX(DECKS!$D$2:$D$1201,$H849))</f>
        <v/>
      </c>
      <c r="F849" s="16" t="str">
        <f aca="false">IF($H849="","",INDEX(DECKS!$E$2:$E$1201,$H849))</f>
        <v/>
      </c>
      <c r="G849" s="21" t="str">
        <f aca="false">IF($H849="","",INDEX(DECKS!$F$2:$F$1201,$H849))</f>
        <v/>
      </c>
      <c r="H849" s="11" t="str">
        <f aca="false">IFERROR(MATCH(ROW()-1,DECKS!$O$2:$O$1201,0),"")</f>
        <v/>
      </c>
      <c r="I849" s="11" t="str">
        <f aca="false">IF(C849="","",G849&amp;" "&amp;D849&amp;" ("&amp;C849&amp;")")</f>
        <v/>
      </c>
    </row>
    <row r="850" customFormat="false" ht="15" hidden="false" customHeight="false" outlineLevel="0" collapsed="false">
      <c r="A850" s="16"/>
      <c r="B850" s="11" t="str">
        <f aca="false">IF($H850="","",INDEX(DECKS!$A$2:$A$1201,$H850))</f>
        <v/>
      </c>
      <c r="C850" s="11" t="str">
        <f aca="false">IF($H850="","",INDEX(DECKS!$B$2:$B$1201,$H850))</f>
        <v/>
      </c>
      <c r="D850" s="11" t="str">
        <f aca="false">IF($H850="","",INDEX(DECKS!$C$2:$C$1201,$H850))</f>
        <v/>
      </c>
      <c r="E850" s="16" t="str">
        <f aca="false">IF($H850="","",INDEX(DECKS!$D$2:$D$1201,$H850))</f>
        <v/>
      </c>
      <c r="F850" s="16" t="str">
        <f aca="false">IF($H850="","",INDEX(DECKS!$E$2:$E$1201,$H850))</f>
        <v/>
      </c>
      <c r="G850" s="21" t="str">
        <f aca="false">IF($H850="","",INDEX(DECKS!$F$2:$F$1201,$H850))</f>
        <v/>
      </c>
      <c r="H850" s="11" t="str">
        <f aca="false">IFERROR(MATCH(ROW()-1,DECKS!$O$2:$O$1201,0),"")</f>
        <v/>
      </c>
      <c r="I850" s="11" t="str">
        <f aca="false">IF(C850="","",G850&amp;" "&amp;D850&amp;" ("&amp;C850&amp;")")</f>
        <v/>
      </c>
    </row>
    <row r="851" customFormat="false" ht="15" hidden="false" customHeight="false" outlineLevel="0" collapsed="false">
      <c r="A851" s="16"/>
      <c r="B851" s="11" t="str">
        <f aca="false">IF($H851="","",INDEX(DECKS!$A$2:$A$1201,$H851))</f>
        <v/>
      </c>
      <c r="C851" s="11" t="str">
        <f aca="false">IF($H851="","",INDEX(DECKS!$B$2:$B$1201,$H851))</f>
        <v/>
      </c>
      <c r="D851" s="11" t="str">
        <f aca="false">IF($H851="","",INDEX(DECKS!$C$2:$C$1201,$H851))</f>
        <v/>
      </c>
      <c r="E851" s="16" t="str">
        <f aca="false">IF($H851="","",INDEX(DECKS!$D$2:$D$1201,$H851))</f>
        <v/>
      </c>
      <c r="F851" s="16" t="str">
        <f aca="false">IF($H851="","",INDEX(DECKS!$E$2:$E$1201,$H851))</f>
        <v/>
      </c>
      <c r="G851" s="21" t="str">
        <f aca="false">IF($H851="","",INDEX(DECKS!$F$2:$F$1201,$H851))</f>
        <v/>
      </c>
      <c r="H851" s="11" t="str">
        <f aca="false">IFERROR(MATCH(ROW()-1,DECKS!$O$2:$O$1201,0),"")</f>
        <v/>
      </c>
      <c r="I851" s="11" t="str">
        <f aca="false">IF(C851="","",G851&amp;" "&amp;D851&amp;" ("&amp;C851&amp;")")</f>
        <v/>
      </c>
    </row>
    <row r="852" customFormat="false" ht="15" hidden="false" customHeight="false" outlineLevel="0" collapsed="false">
      <c r="A852" s="16"/>
      <c r="B852" s="11" t="str">
        <f aca="false">IF($H852="","",INDEX(DECKS!$A$2:$A$1201,$H852))</f>
        <v/>
      </c>
      <c r="C852" s="11" t="str">
        <f aca="false">IF($H852="","",INDEX(DECKS!$B$2:$B$1201,$H852))</f>
        <v/>
      </c>
      <c r="D852" s="11" t="str">
        <f aca="false">IF($H852="","",INDEX(DECKS!$C$2:$C$1201,$H852))</f>
        <v/>
      </c>
      <c r="E852" s="16" t="str">
        <f aca="false">IF($H852="","",INDEX(DECKS!$D$2:$D$1201,$H852))</f>
        <v/>
      </c>
      <c r="F852" s="16" t="str">
        <f aca="false">IF($H852="","",INDEX(DECKS!$E$2:$E$1201,$H852))</f>
        <v/>
      </c>
      <c r="G852" s="21" t="str">
        <f aca="false">IF($H852="","",INDEX(DECKS!$F$2:$F$1201,$H852))</f>
        <v/>
      </c>
      <c r="H852" s="11" t="str">
        <f aca="false">IFERROR(MATCH(ROW()-1,DECKS!$O$2:$O$1201,0),"")</f>
        <v/>
      </c>
      <c r="I852" s="11" t="str">
        <f aca="false">IF(C852="","",G852&amp;" "&amp;D852&amp;" ("&amp;C852&amp;")")</f>
        <v/>
      </c>
    </row>
    <row r="853" customFormat="false" ht="15" hidden="false" customHeight="false" outlineLevel="0" collapsed="false">
      <c r="A853" s="16"/>
      <c r="B853" s="11" t="str">
        <f aca="false">IF($H853="","",INDEX(DECKS!$A$2:$A$1201,$H853))</f>
        <v/>
      </c>
      <c r="C853" s="11" t="str">
        <f aca="false">IF($H853="","",INDEX(DECKS!$B$2:$B$1201,$H853))</f>
        <v/>
      </c>
      <c r="D853" s="11" t="str">
        <f aca="false">IF($H853="","",INDEX(DECKS!$C$2:$C$1201,$H853))</f>
        <v/>
      </c>
      <c r="E853" s="16" t="str">
        <f aca="false">IF($H853="","",INDEX(DECKS!$D$2:$D$1201,$H853))</f>
        <v/>
      </c>
      <c r="F853" s="16" t="str">
        <f aca="false">IF($H853="","",INDEX(DECKS!$E$2:$E$1201,$H853))</f>
        <v/>
      </c>
      <c r="G853" s="21" t="str">
        <f aca="false">IF($H853="","",INDEX(DECKS!$F$2:$F$1201,$H853))</f>
        <v/>
      </c>
      <c r="H853" s="11" t="str">
        <f aca="false">IFERROR(MATCH(ROW()-1,DECKS!$O$2:$O$1201,0),"")</f>
        <v/>
      </c>
      <c r="I853" s="11" t="str">
        <f aca="false">IF(C853="","",G853&amp;" "&amp;D853&amp;" ("&amp;C853&amp;")")</f>
        <v/>
      </c>
    </row>
    <row r="854" customFormat="false" ht="15" hidden="false" customHeight="false" outlineLevel="0" collapsed="false">
      <c r="A854" s="16"/>
      <c r="B854" s="11" t="str">
        <f aca="false">IF($H854="","",INDEX(DECKS!$A$2:$A$1201,$H854))</f>
        <v/>
      </c>
      <c r="C854" s="11" t="str">
        <f aca="false">IF($H854="","",INDEX(DECKS!$B$2:$B$1201,$H854))</f>
        <v/>
      </c>
      <c r="D854" s="11" t="str">
        <f aca="false">IF($H854="","",INDEX(DECKS!$C$2:$C$1201,$H854))</f>
        <v/>
      </c>
      <c r="E854" s="16" t="str">
        <f aca="false">IF($H854="","",INDEX(DECKS!$D$2:$D$1201,$H854))</f>
        <v/>
      </c>
      <c r="F854" s="16" t="str">
        <f aca="false">IF($H854="","",INDEX(DECKS!$E$2:$E$1201,$H854))</f>
        <v/>
      </c>
      <c r="G854" s="21" t="str">
        <f aca="false">IF($H854="","",INDEX(DECKS!$F$2:$F$1201,$H854))</f>
        <v/>
      </c>
      <c r="H854" s="11" t="str">
        <f aca="false">IFERROR(MATCH(ROW()-1,DECKS!$O$2:$O$1201,0),"")</f>
        <v/>
      </c>
      <c r="I854" s="11" t="str">
        <f aca="false">IF(C854="","",G854&amp;" "&amp;D854&amp;" ("&amp;C854&amp;")")</f>
        <v/>
      </c>
    </row>
    <row r="855" customFormat="false" ht="15" hidden="false" customHeight="false" outlineLevel="0" collapsed="false">
      <c r="A855" s="16"/>
      <c r="B855" s="11" t="str">
        <f aca="false">IF($H855="","",INDEX(DECKS!$A$2:$A$1201,$H855))</f>
        <v/>
      </c>
      <c r="C855" s="11" t="str">
        <f aca="false">IF($H855="","",INDEX(DECKS!$B$2:$B$1201,$H855))</f>
        <v/>
      </c>
      <c r="D855" s="11" t="str">
        <f aca="false">IF($H855="","",INDEX(DECKS!$C$2:$C$1201,$H855))</f>
        <v/>
      </c>
      <c r="E855" s="16" t="str">
        <f aca="false">IF($H855="","",INDEX(DECKS!$D$2:$D$1201,$H855))</f>
        <v/>
      </c>
      <c r="F855" s="16" t="str">
        <f aca="false">IF($H855="","",INDEX(DECKS!$E$2:$E$1201,$H855))</f>
        <v/>
      </c>
      <c r="G855" s="21" t="str">
        <f aca="false">IF($H855="","",INDEX(DECKS!$F$2:$F$1201,$H855))</f>
        <v/>
      </c>
      <c r="H855" s="11" t="str">
        <f aca="false">IFERROR(MATCH(ROW()-1,DECKS!$O$2:$O$1201,0),"")</f>
        <v/>
      </c>
      <c r="I855" s="11" t="str">
        <f aca="false">IF(C855="","",G855&amp;" "&amp;D855&amp;" ("&amp;C855&amp;")")</f>
        <v/>
      </c>
    </row>
    <row r="856" customFormat="false" ht="15" hidden="false" customHeight="false" outlineLevel="0" collapsed="false">
      <c r="A856" s="16"/>
      <c r="B856" s="11" t="str">
        <f aca="false">IF($H856="","",INDEX(DECKS!$A$2:$A$1201,$H856))</f>
        <v/>
      </c>
      <c r="C856" s="11" t="str">
        <f aca="false">IF($H856="","",INDEX(DECKS!$B$2:$B$1201,$H856))</f>
        <v/>
      </c>
      <c r="D856" s="11" t="str">
        <f aca="false">IF($H856="","",INDEX(DECKS!$C$2:$C$1201,$H856))</f>
        <v/>
      </c>
      <c r="E856" s="16" t="str">
        <f aca="false">IF($H856="","",INDEX(DECKS!$D$2:$D$1201,$H856))</f>
        <v/>
      </c>
      <c r="F856" s="16" t="str">
        <f aca="false">IF($H856="","",INDEX(DECKS!$E$2:$E$1201,$H856))</f>
        <v/>
      </c>
      <c r="G856" s="21" t="str">
        <f aca="false">IF($H856="","",INDEX(DECKS!$F$2:$F$1201,$H856))</f>
        <v/>
      </c>
      <c r="H856" s="11" t="str">
        <f aca="false">IFERROR(MATCH(ROW()-1,DECKS!$O$2:$O$1201,0),"")</f>
        <v/>
      </c>
      <c r="I856" s="11" t="str">
        <f aca="false">IF(C856="","",G856&amp;" "&amp;D856&amp;" ("&amp;C856&amp;")")</f>
        <v/>
      </c>
    </row>
    <row r="857" customFormat="false" ht="15" hidden="false" customHeight="false" outlineLevel="0" collapsed="false">
      <c r="A857" s="16"/>
      <c r="B857" s="11" t="str">
        <f aca="false">IF($H857="","",INDEX(DECKS!$A$2:$A$1201,$H857))</f>
        <v/>
      </c>
      <c r="C857" s="11" t="str">
        <f aca="false">IF($H857="","",INDEX(DECKS!$B$2:$B$1201,$H857))</f>
        <v/>
      </c>
      <c r="D857" s="11" t="str">
        <f aca="false">IF($H857="","",INDEX(DECKS!$C$2:$C$1201,$H857))</f>
        <v/>
      </c>
      <c r="E857" s="16" t="str">
        <f aca="false">IF($H857="","",INDEX(DECKS!$D$2:$D$1201,$H857))</f>
        <v/>
      </c>
      <c r="F857" s="16" t="str">
        <f aca="false">IF($H857="","",INDEX(DECKS!$E$2:$E$1201,$H857))</f>
        <v/>
      </c>
      <c r="G857" s="21" t="str">
        <f aca="false">IF($H857="","",INDEX(DECKS!$F$2:$F$1201,$H857))</f>
        <v/>
      </c>
      <c r="H857" s="11" t="str">
        <f aca="false">IFERROR(MATCH(ROW()-1,DECKS!$O$2:$O$1201,0),"")</f>
        <v/>
      </c>
      <c r="I857" s="11" t="str">
        <f aca="false">IF(C857="","",G857&amp;" "&amp;D857&amp;" ("&amp;C857&amp;")")</f>
        <v/>
      </c>
    </row>
    <row r="858" customFormat="false" ht="15" hidden="false" customHeight="false" outlineLevel="0" collapsed="false">
      <c r="A858" s="16"/>
      <c r="B858" s="11" t="str">
        <f aca="false">IF($H858="","",INDEX(DECKS!$A$2:$A$1201,$H858))</f>
        <v/>
      </c>
      <c r="C858" s="11" t="str">
        <f aca="false">IF($H858="","",INDEX(DECKS!$B$2:$B$1201,$H858))</f>
        <v/>
      </c>
      <c r="D858" s="11" t="str">
        <f aca="false">IF($H858="","",INDEX(DECKS!$C$2:$C$1201,$H858))</f>
        <v/>
      </c>
      <c r="E858" s="16" t="str">
        <f aca="false">IF($H858="","",INDEX(DECKS!$D$2:$D$1201,$H858))</f>
        <v/>
      </c>
      <c r="F858" s="16" t="str">
        <f aca="false">IF($H858="","",INDEX(DECKS!$E$2:$E$1201,$H858))</f>
        <v/>
      </c>
      <c r="G858" s="21" t="str">
        <f aca="false">IF($H858="","",INDEX(DECKS!$F$2:$F$1201,$H858))</f>
        <v/>
      </c>
      <c r="H858" s="11" t="str">
        <f aca="false">IFERROR(MATCH(ROW()-1,DECKS!$O$2:$O$1201,0),"")</f>
        <v/>
      </c>
      <c r="I858" s="11" t="str">
        <f aca="false">IF(C858="","",G858&amp;" "&amp;D858&amp;" ("&amp;C858&amp;")")</f>
        <v/>
      </c>
    </row>
    <row r="859" customFormat="false" ht="15" hidden="false" customHeight="false" outlineLevel="0" collapsed="false">
      <c r="A859" s="16"/>
      <c r="B859" s="11" t="str">
        <f aca="false">IF($H859="","",INDEX(DECKS!$A$2:$A$1201,$H859))</f>
        <v/>
      </c>
      <c r="C859" s="11" t="str">
        <f aca="false">IF($H859="","",INDEX(DECKS!$B$2:$B$1201,$H859))</f>
        <v/>
      </c>
      <c r="D859" s="11" t="str">
        <f aca="false">IF($H859="","",INDEX(DECKS!$C$2:$C$1201,$H859))</f>
        <v/>
      </c>
      <c r="E859" s="16" t="str">
        <f aca="false">IF($H859="","",INDEX(DECKS!$D$2:$D$1201,$H859))</f>
        <v/>
      </c>
      <c r="F859" s="16" t="str">
        <f aca="false">IF($H859="","",INDEX(DECKS!$E$2:$E$1201,$H859))</f>
        <v/>
      </c>
      <c r="G859" s="21" t="str">
        <f aca="false">IF($H859="","",INDEX(DECKS!$F$2:$F$1201,$H859))</f>
        <v/>
      </c>
      <c r="H859" s="11" t="str">
        <f aca="false">IFERROR(MATCH(ROW()-1,DECKS!$O$2:$O$1201,0),"")</f>
        <v/>
      </c>
      <c r="I859" s="11" t="str">
        <f aca="false">IF(C859="","",G859&amp;" "&amp;D859&amp;" ("&amp;C859&amp;")")</f>
        <v/>
      </c>
    </row>
    <row r="860" customFormat="false" ht="15" hidden="false" customHeight="false" outlineLevel="0" collapsed="false">
      <c r="A860" s="16"/>
      <c r="B860" s="11" t="str">
        <f aca="false">IF($H860="","",INDEX(DECKS!$A$2:$A$1201,$H860))</f>
        <v/>
      </c>
      <c r="C860" s="11" t="str">
        <f aca="false">IF($H860="","",INDEX(DECKS!$B$2:$B$1201,$H860))</f>
        <v/>
      </c>
      <c r="D860" s="11" t="str">
        <f aca="false">IF($H860="","",INDEX(DECKS!$C$2:$C$1201,$H860))</f>
        <v/>
      </c>
      <c r="E860" s="16" t="str">
        <f aca="false">IF($H860="","",INDEX(DECKS!$D$2:$D$1201,$H860))</f>
        <v/>
      </c>
      <c r="F860" s="16" t="str">
        <f aca="false">IF($H860="","",INDEX(DECKS!$E$2:$E$1201,$H860))</f>
        <v/>
      </c>
      <c r="G860" s="21" t="str">
        <f aca="false">IF($H860="","",INDEX(DECKS!$F$2:$F$1201,$H860))</f>
        <v/>
      </c>
      <c r="H860" s="11" t="str">
        <f aca="false">IFERROR(MATCH(ROW()-1,DECKS!$O$2:$O$1201,0),"")</f>
        <v/>
      </c>
      <c r="I860" s="11" t="str">
        <f aca="false">IF(C860="","",G860&amp;" "&amp;D860&amp;" ("&amp;C860&amp;")")</f>
        <v/>
      </c>
    </row>
    <row r="861" customFormat="false" ht="15" hidden="false" customHeight="false" outlineLevel="0" collapsed="false">
      <c r="A861" s="16"/>
      <c r="B861" s="11" t="str">
        <f aca="false">IF($H861="","",INDEX(DECKS!$A$2:$A$1201,$H861))</f>
        <v/>
      </c>
      <c r="C861" s="11" t="str">
        <f aca="false">IF($H861="","",INDEX(DECKS!$B$2:$B$1201,$H861))</f>
        <v/>
      </c>
      <c r="D861" s="11" t="str">
        <f aca="false">IF($H861="","",INDEX(DECKS!$C$2:$C$1201,$H861))</f>
        <v/>
      </c>
      <c r="E861" s="16" t="str">
        <f aca="false">IF($H861="","",INDEX(DECKS!$D$2:$D$1201,$H861))</f>
        <v/>
      </c>
      <c r="F861" s="16" t="str">
        <f aca="false">IF($H861="","",INDEX(DECKS!$E$2:$E$1201,$H861))</f>
        <v/>
      </c>
      <c r="G861" s="21" t="str">
        <f aca="false">IF($H861="","",INDEX(DECKS!$F$2:$F$1201,$H861))</f>
        <v/>
      </c>
      <c r="H861" s="11" t="str">
        <f aca="false">IFERROR(MATCH(ROW()-1,DECKS!$O$2:$O$1201,0),"")</f>
        <v/>
      </c>
      <c r="I861" s="11" t="str">
        <f aca="false">IF(C861="","",G861&amp;" "&amp;D861&amp;" ("&amp;C861&amp;")")</f>
        <v/>
      </c>
    </row>
    <row r="862" customFormat="false" ht="15" hidden="false" customHeight="false" outlineLevel="0" collapsed="false">
      <c r="A862" s="16"/>
      <c r="B862" s="11" t="str">
        <f aca="false">IF($H862="","",INDEX(DECKS!$A$2:$A$1201,$H862))</f>
        <v/>
      </c>
      <c r="C862" s="11" t="str">
        <f aca="false">IF($H862="","",INDEX(DECKS!$B$2:$B$1201,$H862))</f>
        <v/>
      </c>
      <c r="D862" s="11" t="str">
        <f aca="false">IF($H862="","",INDEX(DECKS!$C$2:$C$1201,$H862))</f>
        <v/>
      </c>
      <c r="E862" s="16" t="str">
        <f aca="false">IF($H862="","",INDEX(DECKS!$D$2:$D$1201,$H862))</f>
        <v/>
      </c>
      <c r="F862" s="16" t="str">
        <f aca="false">IF($H862="","",INDEX(DECKS!$E$2:$E$1201,$H862))</f>
        <v/>
      </c>
      <c r="G862" s="21" t="str">
        <f aca="false">IF($H862="","",INDEX(DECKS!$F$2:$F$1201,$H862))</f>
        <v/>
      </c>
      <c r="H862" s="11" t="str">
        <f aca="false">IFERROR(MATCH(ROW()-1,DECKS!$O$2:$O$1201,0),"")</f>
        <v/>
      </c>
      <c r="I862" s="11" t="str">
        <f aca="false">IF(C862="","",G862&amp;" "&amp;D862&amp;" ("&amp;C862&amp;")")</f>
        <v/>
      </c>
    </row>
    <row r="863" customFormat="false" ht="15" hidden="false" customHeight="false" outlineLevel="0" collapsed="false">
      <c r="A863" s="16"/>
      <c r="B863" s="11" t="str">
        <f aca="false">IF($H863="","",INDEX(DECKS!$A$2:$A$1201,$H863))</f>
        <v/>
      </c>
      <c r="C863" s="11" t="str">
        <f aca="false">IF($H863="","",INDEX(DECKS!$B$2:$B$1201,$H863))</f>
        <v/>
      </c>
      <c r="D863" s="11" t="str">
        <f aca="false">IF($H863="","",INDEX(DECKS!$C$2:$C$1201,$H863))</f>
        <v/>
      </c>
      <c r="E863" s="16" t="str">
        <f aca="false">IF($H863="","",INDEX(DECKS!$D$2:$D$1201,$H863))</f>
        <v/>
      </c>
      <c r="F863" s="16" t="str">
        <f aca="false">IF($H863="","",INDEX(DECKS!$E$2:$E$1201,$H863))</f>
        <v/>
      </c>
      <c r="G863" s="21" t="str">
        <f aca="false">IF($H863="","",INDEX(DECKS!$F$2:$F$1201,$H863))</f>
        <v/>
      </c>
      <c r="H863" s="11" t="str">
        <f aca="false">IFERROR(MATCH(ROW()-1,DECKS!$O$2:$O$1201,0),"")</f>
        <v/>
      </c>
      <c r="I863" s="11" t="str">
        <f aca="false">IF(C863="","",G863&amp;" "&amp;D863&amp;" ("&amp;C863&amp;")")</f>
        <v/>
      </c>
    </row>
    <row r="864" customFormat="false" ht="15" hidden="false" customHeight="false" outlineLevel="0" collapsed="false">
      <c r="A864" s="16"/>
      <c r="B864" s="11" t="str">
        <f aca="false">IF($H864="","",INDEX(DECKS!$A$2:$A$1201,$H864))</f>
        <v/>
      </c>
      <c r="C864" s="11" t="str">
        <f aca="false">IF($H864="","",INDEX(DECKS!$B$2:$B$1201,$H864))</f>
        <v/>
      </c>
      <c r="D864" s="11" t="str">
        <f aca="false">IF($H864="","",INDEX(DECKS!$C$2:$C$1201,$H864))</f>
        <v/>
      </c>
      <c r="E864" s="16" t="str">
        <f aca="false">IF($H864="","",INDEX(DECKS!$D$2:$D$1201,$H864))</f>
        <v/>
      </c>
      <c r="F864" s="16" t="str">
        <f aca="false">IF($H864="","",INDEX(DECKS!$E$2:$E$1201,$H864))</f>
        <v/>
      </c>
      <c r="G864" s="21" t="str">
        <f aca="false">IF($H864="","",INDEX(DECKS!$F$2:$F$1201,$H864))</f>
        <v/>
      </c>
      <c r="H864" s="11" t="str">
        <f aca="false">IFERROR(MATCH(ROW()-1,DECKS!$O$2:$O$1201,0),"")</f>
        <v/>
      </c>
      <c r="I864" s="11" t="str">
        <f aca="false">IF(C864="","",G864&amp;" "&amp;D864&amp;" ("&amp;C864&amp;")")</f>
        <v/>
      </c>
    </row>
    <row r="865" customFormat="false" ht="15" hidden="false" customHeight="false" outlineLevel="0" collapsed="false">
      <c r="A865" s="16"/>
      <c r="B865" s="11" t="str">
        <f aca="false">IF($H865="","",INDEX(DECKS!$A$2:$A$1201,$H865))</f>
        <v/>
      </c>
      <c r="C865" s="11" t="str">
        <f aca="false">IF($H865="","",INDEX(DECKS!$B$2:$B$1201,$H865))</f>
        <v/>
      </c>
      <c r="D865" s="11" t="str">
        <f aca="false">IF($H865="","",INDEX(DECKS!$C$2:$C$1201,$H865))</f>
        <v/>
      </c>
      <c r="E865" s="16" t="str">
        <f aca="false">IF($H865="","",INDEX(DECKS!$D$2:$D$1201,$H865))</f>
        <v/>
      </c>
      <c r="F865" s="16" t="str">
        <f aca="false">IF($H865="","",INDEX(DECKS!$E$2:$E$1201,$H865))</f>
        <v/>
      </c>
      <c r="G865" s="21" t="str">
        <f aca="false">IF($H865="","",INDEX(DECKS!$F$2:$F$1201,$H865))</f>
        <v/>
      </c>
      <c r="H865" s="11" t="str">
        <f aca="false">IFERROR(MATCH(ROW()-1,DECKS!$O$2:$O$1201,0),"")</f>
        <v/>
      </c>
      <c r="I865" s="11" t="str">
        <f aca="false">IF(C865="","",G865&amp;" "&amp;D865&amp;" ("&amp;C865&amp;")")</f>
        <v/>
      </c>
    </row>
    <row r="866" customFormat="false" ht="15" hidden="false" customHeight="false" outlineLevel="0" collapsed="false">
      <c r="A866" s="16"/>
      <c r="B866" s="11" t="str">
        <f aca="false">IF($H866="","",INDEX(DECKS!$A$2:$A$1201,$H866))</f>
        <v/>
      </c>
      <c r="C866" s="11" t="str">
        <f aca="false">IF($H866="","",INDEX(DECKS!$B$2:$B$1201,$H866))</f>
        <v/>
      </c>
      <c r="D866" s="11" t="str">
        <f aca="false">IF($H866="","",INDEX(DECKS!$C$2:$C$1201,$H866))</f>
        <v/>
      </c>
      <c r="E866" s="16" t="str">
        <f aca="false">IF($H866="","",INDEX(DECKS!$D$2:$D$1201,$H866))</f>
        <v/>
      </c>
      <c r="F866" s="16" t="str">
        <f aca="false">IF($H866="","",INDEX(DECKS!$E$2:$E$1201,$H866))</f>
        <v/>
      </c>
      <c r="G866" s="21" t="str">
        <f aca="false">IF($H866="","",INDEX(DECKS!$F$2:$F$1201,$H866))</f>
        <v/>
      </c>
      <c r="H866" s="11" t="str">
        <f aca="false">IFERROR(MATCH(ROW()-1,DECKS!$O$2:$O$1201,0),"")</f>
        <v/>
      </c>
      <c r="I866" s="11" t="str">
        <f aca="false">IF(C866="","",G866&amp;" "&amp;D866&amp;" ("&amp;C866&amp;")")</f>
        <v/>
      </c>
    </row>
    <row r="867" customFormat="false" ht="15" hidden="false" customHeight="false" outlineLevel="0" collapsed="false">
      <c r="A867" s="16"/>
      <c r="B867" s="11" t="str">
        <f aca="false">IF($H867="","",INDEX(DECKS!$A$2:$A$1201,$H867))</f>
        <v/>
      </c>
      <c r="C867" s="11" t="str">
        <f aca="false">IF($H867="","",INDEX(DECKS!$B$2:$B$1201,$H867))</f>
        <v/>
      </c>
      <c r="D867" s="11" t="str">
        <f aca="false">IF($H867="","",INDEX(DECKS!$C$2:$C$1201,$H867))</f>
        <v/>
      </c>
      <c r="E867" s="16" t="str">
        <f aca="false">IF($H867="","",INDEX(DECKS!$D$2:$D$1201,$H867))</f>
        <v/>
      </c>
      <c r="F867" s="16" t="str">
        <f aca="false">IF($H867="","",INDEX(DECKS!$E$2:$E$1201,$H867))</f>
        <v/>
      </c>
      <c r="G867" s="21" t="str">
        <f aca="false">IF($H867="","",INDEX(DECKS!$F$2:$F$1201,$H867))</f>
        <v/>
      </c>
      <c r="H867" s="11" t="str">
        <f aca="false">IFERROR(MATCH(ROW()-1,DECKS!$O$2:$O$1201,0),"")</f>
        <v/>
      </c>
      <c r="I867" s="11" t="str">
        <f aca="false">IF(C867="","",G867&amp;" "&amp;D867&amp;" ("&amp;C867&amp;")")</f>
        <v/>
      </c>
    </row>
    <row r="868" customFormat="false" ht="15" hidden="false" customHeight="false" outlineLevel="0" collapsed="false">
      <c r="A868" s="16"/>
      <c r="B868" s="11" t="str">
        <f aca="false">IF($H868="","",INDEX(DECKS!$A$2:$A$1201,$H868))</f>
        <v/>
      </c>
      <c r="C868" s="11" t="str">
        <f aca="false">IF($H868="","",INDEX(DECKS!$B$2:$B$1201,$H868))</f>
        <v/>
      </c>
      <c r="D868" s="11" t="str">
        <f aca="false">IF($H868="","",INDEX(DECKS!$C$2:$C$1201,$H868))</f>
        <v/>
      </c>
      <c r="E868" s="16" t="str">
        <f aca="false">IF($H868="","",INDEX(DECKS!$D$2:$D$1201,$H868))</f>
        <v/>
      </c>
      <c r="F868" s="16" t="str">
        <f aca="false">IF($H868="","",INDEX(DECKS!$E$2:$E$1201,$H868))</f>
        <v/>
      </c>
      <c r="G868" s="21" t="str">
        <f aca="false">IF($H868="","",INDEX(DECKS!$F$2:$F$1201,$H868))</f>
        <v/>
      </c>
      <c r="H868" s="11" t="str">
        <f aca="false">IFERROR(MATCH(ROW()-1,DECKS!$O$2:$O$1201,0),"")</f>
        <v/>
      </c>
      <c r="I868" s="11" t="str">
        <f aca="false">IF(C868="","",G868&amp;" "&amp;D868&amp;" ("&amp;C868&amp;")")</f>
        <v/>
      </c>
    </row>
    <row r="869" customFormat="false" ht="15" hidden="false" customHeight="false" outlineLevel="0" collapsed="false">
      <c r="A869" s="16"/>
      <c r="B869" s="11" t="str">
        <f aca="false">IF($H869="","",INDEX(DECKS!$A$2:$A$1201,$H869))</f>
        <v/>
      </c>
      <c r="C869" s="11" t="str">
        <f aca="false">IF($H869="","",INDEX(DECKS!$B$2:$B$1201,$H869))</f>
        <v/>
      </c>
      <c r="D869" s="11" t="str">
        <f aca="false">IF($H869="","",INDEX(DECKS!$C$2:$C$1201,$H869))</f>
        <v/>
      </c>
      <c r="E869" s="16" t="str">
        <f aca="false">IF($H869="","",INDEX(DECKS!$D$2:$D$1201,$H869))</f>
        <v/>
      </c>
      <c r="F869" s="16" t="str">
        <f aca="false">IF($H869="","",INDEX(DECKS!$E$2:$E$1201,$H869))</f>
        <v/>
      </c>
      <c r="G869" s="21" t="str">
        <f aca="false">IF($H869="","",INDEX(DECKS!$F$2:$F$1201,$H869))</f>
        <v/>
      </c>
      <c r="H869" s="11" t="str">
        <f aca="false">IFERROR(MATCH(ROW()-1,DECKS!$O$2:$O$1201,0),"")</f>
        <v/>
      </c>
      <c r="I869" s="11" t="str">
        <f aca="false">IF(C869="","",G869&amp;" "&amp;D869&amp;" ("&amp;C869&amp;")")</f>
        <v/>
      </c>
    </row>
    <row r="870" customFormat="false" ht="15" hidden="false" customHeight="false" outlineLevel="0" collapsed="false">
      <c r="A870" s="16"/>
      <c r="B870" s="11" t="str">
        <f aca="false">IF($H870="","",INDEX(DECKS!$A$2:$A$1201,$H870))</f>
        <v/>
      </c>
      <c r="C870" s="11" t="str">
        <f aca="false">IF($H870="","",INDEX(DECKS!$B$2:$B$1201,$H870))</f>
        <v/>
      </c>
      <c r="D870" s="11" t="str">
        <f aca="false">IF($H870="","",INDEX(DECKS!$C$2:$C$1201,$H870))</f>
        <v/>
      </c>
      <c r="E870" s="16" t="str">
        <f aca="false">IF($H870="","",INDEX(DECKS!$D$2:$D$1201,$H870))</f>
        <v/>
      </c>
      <c r="F870" s="16" t="str">
        <f aca="false">IF($H870="","",INDEX(DECKS!$E$2:$E$1201,$H870))</f>
        <v/>
      </c>
      <c r="G870" s="21" t="str">
        <f aca="false">IF($H870="","",INDEX(DECKS!$F$2:$F$1201,$H870))</f>
        <v/>
      </c>
      <c r="H870" s="11" t="str">
        <f aca="false">IFERROR(MATCH(ROW()-1,DECKS!$O$2:$O$1201,0),"")</f>
        <v/>
      </c>
      <c r="I870" s="11" t="str">
        <f aca="false">IF(C870="","",G870&amp;" "&amp;D870&amp;" ("&amp;C870&amp;")")</f>
        <v/>
      </c>
    </row>
    <row r="871" customFormat="false" ht="15" hidden="false" customHeight="false" outlineLevel="0" collapsed="false">
      <c r="A871" s="16"/>
      <c r="B871" s="11" t="str">
        <f aca="false">IF($H871="","",INDEX(DECKS!$A$2:$A$1201,$H871))</f>
        <v/>
      </c>
      <c r="C871" s="11" t="str">
        <f aca="false">IF($H871="","",INDEX(DECKS!$B$2:$B$1201,$H871))</f>
        <v/>
      </c>
      <c r="D871" s="11" t="str">
        <f aca="false">IF($H871="","",INDEX(DECKS!$C$2:$C$1201,$H871))</f>
        <v/>
      </c>
      <c r="E871" s="16" t="str">
        <f aca="false">IF($H871="","",INDEX(DECKS!$D$2:$D$1201,$H871))</f>
        <v/>
      </c>
      <c r="F871" s="16" t="str">
        <f aca="false">IF($H871="","",INDEX(DECKS!$E$2:$E$1201,$H871))</f>
        <v/>
      </c>
      <c r="G871" s="21" t="str">
        <f aca="false">IF($H871="","",INDEX(DECKS!$F$2:$F$1201,$H871))</f>
        <v/>
      </c>
      <c r="H871" s="11" t="str">
        <f aca="false">IFERROR(MATCH(ROW()-1,DECKS!$O$2:$O$1201,0),"")</f>
        <v/>
      </c>
      <c r="I871" s="11" t="str">
        <f aca="false">IF(C871="","",G871&amp;" "&amp;D871&amp;" ("&amp;C871&amp;")")</f>
        <v/>
      </c>
    </row>
    <row r="872" customFormat="false" ht="15" hidden="false" customHeight="false" outlineLevel="0" collapsed="false">
      <c r="A872" s="16"/>
      <c r="B872" s="11" t="str">
        <f aca="false">IF($H872="","",INDEX(DECKS!$A$2:$A$1201,$H872))</f>
        <v/>
      </c>
      <c r="C872" s="11" t="str">
        <f aca="false">IF($H872="","",INDEX(DECKS!$B$2:$B$1201,$H872))</f>
        <v/>
      </c>
      <c r="D872" s="11" t="str">
        <f aca="false">IF($H872="","",INDEX(DECKS!$C$2:$C$1201,$H872))</f>
        <v/>
      </c>
      <c r="E872" s="16" t="str">
        <f aca="false">IF($H872="","",INDEX(DECKS!$D$2:$D$1201,$H872))</f>
        <v/>
      </c>
      <c r="F872" s="16" t="str">
        <f aca="false">IF($H872="","",INDEX(DECKS!$E$2:$E$1201,$H872))</f>
        <v/>
      </c>
      <c r="G872" s="21" t="str">
        <f aca="false">IF($H872="","",INDEX(DECKS!$F$2:$F$1201,$H872))</f>
        <v/>
      </c>
      <c r="H872" s="11" t="str">
        <f aca="false">IFERROR(MATCH(ROW()-1,DECKS!$O$2:$O$1201,0),"")</f>
        <v/>
      </c>
      <c r="I872" s="11" t="str">
        <f aca="false">IF(C872="","",G872&amp;" "&amp;D872&amp;" ("&amp;C872&amp;")")</f>
        <v/>
      </c>
    </row>
    <row r="873" customFormat="false" ht="15" hidden="false" customHeight="false" outlineLevel="0" collapsed="false">
      <c r="A873" s="16"/>
      <c r="B873" s="11" t="str">
        <f aca="false">IF($H873="","",INDEX(DECKS!$A$2:$A$1201,$H873))</f>
        <v/>
      </c>
      <c r="C873" s="11" t="str">
        <f aca="false">IF($H873="","",INDEX(DECKS!$B$2:$B$1201,$H873))</f>
        <v/>
      </c>
      <c r="D873" s="11" t="str">
        <f aca="false">IF($H873="","",INDEX(DECKS!$C$2:$C$1201,$H873))</f>
        <v/>
      </c>
      <c r="E873" s="16" t="str">
        <f aca="false">IF($H873="","",INDEX(DECKS!$D$2:$D$1201,$H873))</f>
        <v/>
      </c>
      <c r="F873" s="16" t="str">
        <f aca="false">IF($H873="","",INDEX(DECKS!$E$2:$E$1201,$H873))</f>
        <v/>
      </c>
      <c r="G873" s="21" t="str">
        <f aca="false">IF($H873="","",INDEX(DECKS!$F$2:$F$1201,$H873))</f>
        <v/>
      </c>
      <c r="H873" s="11" t="str">
        <f aca="false">IFERROR(MATCH(ROW()-1,DECKS!$O$2:$O$1201,0),"")</f>
        <v/>
      </c>
      <c r="I873" s="11" t="str">
        <f aca="false">IF(C873="","",G873&amp;" "&amp;D873&amp;" ("&amp;C873&amp;")")</f>
        <v/>
      </c>
    </row>
    <row r="874" customFormat="false" ht="15" hidden="false" customHeight="false" outlineLevel="0" collapsed="false">
      <c r="A874" s="16"/>
      <c r="B874" s="11" t="str">
        <f aca="false">IF($H874="","",INDEX(DECKS!$A$2:$A$1201,$H874))</f>
        <v/>
      </c>
      <c r="C874" s="11" t="str">
        <f aca="false">IF($H874="","",INDEX(DECKS!$B$2:$B$1201,$H874))</f>
        <v/>
      </c>
      <c r="D874" s="11" t="str">
        <f aca="false">IF($H874="","",INDEX(DECKS!$C$2:$C$1201,$H874))</f>
        <v/>
      </c>
      <c r="E874" s="16" t="str">
        <f aca="false">IF($H874="","",INDEX(DECKS!$D$2:$D$1201,$H874))</f>
        <v/>
      </c>
      <c r="F874" s="16" t="str">
        <f aca="false">IF($H874="","",INDEX(DECKS!$E$2:$E$1201,$H874))</f>
        <v/>
      </c>
      <c r="G874" s="21" t="str">
        <f aca="false">IF($H874="","",INDEX(DECKS!$F$2:$F$1201,$H874))</f>
        <v/>
      </c>
      <c r="H874" s="11" t="str">
        <f aca="false">IFERROR(MATCH(ROW()-1,DECKS!$O$2:$O$1201,0),"")</f>
        <v/>
      </c>
      <c r="I874" s="11" t="str">
        <f aca="false">IF(C874="","",G874&amp;" "&amp;D874&amp;" ("&amp;C874&amp;")")</f>
        <v/>
      </c>
    </row>
    <row r="875" customFormat="false" ht="15" hidden="false" customHeight="false" outlineLevel="0" collapsed="false">
      <c r="A875" s="16"/>
      <c r="B875" s="11" t="str">
        <f aca="false">IF($H875="","",INDEX(DECKS!$A$2:$A$1201,$H875))</f>
        <v/>
      </c>
      <c r="C875" s="11" t="str">
        <f aca="false">IF($H875="","",INDEX(DECKS!$B$2:$B$1201,$H875))</f>
        <v/>
      </c>
      <c r="D875" s="11" t="str">
        <f aca="false">IF($H875="","",INDEX(DECKS!$C$2:$C$1201,$H875))</f>
        <v/>
      </c>
      <c r="E875" s="16" t="str">
        <f aca="false">IF($H875="","",INDEX(DECKS!$D$2:$D$1201,$H875))</f>
        <v/>
      </c>
      <c r="F875" s="16" t="str">
        <f aca="false">IF($H875="","",INDEX(DECKS!$E$2:$E$1201,$H875))</f>
        <v/>
      </c>
      <c r="G875" s="21" t="str">
        <f aca="false">IF($H875="","",INDEX(DECKS!$F$2:$F$1201,$H875))</f>
        <v/>
      </c>
      <c r="H875" s="11" t="str">
        <f aca="false">IFERROR(MATCH(ROW()-1,DECKS!$O$2:$O$1201,0),"")</f>
        <v/>
      </c>
      <c r="I875" s="11" t="str">
        <f aca="false">IF(C875="","",G875&amp;" "&amp;D875&amp;" ("&amp;C875&amp;")")</f>
        <v/>
      </c>
    </row>
    <row r="876" customFormat="false" ht="15" hidden="false" customHeight="false" outlineLevel="0" collapsed="false">
      <c r="A876" s="16"/>
      <c r="B876" s="11" t="str">
        <f aca="false">IF($H876="","",INDEX(DECKS!$A$2:$A$1201,$H876))</f>
        <v/>
      </c>
      <c r="C876" s="11" t="str">
        <f aca="false">IF($H876="","",INDEX(DECKS!$B$2:$B$1201,$H876))</f>
        <v/>
      </c>
      <c r="D876" s="11" t="str">
        <f aca="false">IF($H876="","",INDEX(DECKS!$C$2:$C$1201,$H876))</f>
        <v/>
      </c>
      <c r="E876" s="16" t="str">
        <f aca="false">IF($H876="","",INDEX(DECKS!$D$2:$D$1201,$H876))</f>
        <v/>
      </c>
      <c r="F876" s="16" t="str">
        <f aca="false">IF($H876="","",INDEX(DECKS!$E$2:$E$1201,$H876))</f>
        <v/>
      </c>
      <c r="G876" s="21" t="str">
        <f aca="false">IF($H876="","",INDEX(DECKS!$F$2:$F$1201,$H876))</f>
        <v/>
      </c>
      <c r="H876" s="11" t="str">
        <f aca="false">IFERROR(MATCH(ROW()-1,DECKS!$O$2:$O$1201,0),"")</f>
        <v/>
      </c>
      <c r="I876" s="11" t="str">
        <f aca="false">IF(C876="","",G876&amp;" "&amp;D876&amp;" ("&amp;C876&amp;")")</f>
        <v/>
      </c>
    </row>
    <row r="877" customFormat="false" ht="15" hidden="false" customHeight="false" outlineLevel="0" collapsed="false">
      <c r="A877" s="16"/>
      <c r="B877" s="11" t="str">
        <f aca="false">IF($H877="","",INDEX(DECKS!$A$2:$A$1201,$H877))</f>
        <v/>
      </c>
      <c r="C877" s="11" t="str">
        <f aca="false">IF($H877="","",INDEX(DECKS!$B$2:$B$1201,$H877))</f>
        <v/>
      </c>
      <c r="D877" s="11" t="str">
        <f aca="false">IF($H877="","",INDEX(DECKS!$C$2:$C$1201,$H877))</f>
        <v/>
      </c>
      <c r="E877" s="16" t="str">
        <f aca="false">IF($H877="","",INDEX(DECKS!$D$2:$D$1201,$H877))</f>
        <v/>
      </c>
      <c r="F877" s="16" t="str">
        <f aca="false">IF($H877="","",INDEX(DECKS!$E$2:$E$1201,$H877))</f>
        <v/>
      </c>
      <c r="G877" s="21" t="str">
        <f aca="false">IF($H877="","",INDEX(DECKS!$F$2:$F$1201,$H877))</f>
        <v/>
      </c>
      <c r="H877" s="11" t="str">
        <f aca="false">IFERROR(MATCH(ROW()-1,DECKS!$O$2:$O$1201,0),"")</f>
        <v/>
      </c>
      <c r="I877" s="11" t="str">
        <f aca="false">IF(C877="","",G877&amp;" "&amp;D877&amp;" ("&amp;C877&amp;")")</f>
        <v/>
      </c>
    </row>
    <row r="878" customFormat="false" ht="15" hidden="false" customHeight="false" outlineLevel="0" collapsed="false">
      <c r="A878" s="16"/>
      <c r="B878" s="11" t="str">
        <f aca="false">IF($H878="","",INDEX(DECKS!$A$2:$A$1201,$H878))</f>
        <v/>
      </c>
      <c r="C878" s="11" t="str">
        <f aca="false">IF($H878="","",INDEX(DECKS!$B$2:$B$1201,$H878))</f>
        <v/>
      </c>
      <c r="D878" s="11" t="str">
        <f aca="false">IF($H878="","",INDEX(DECKS!$C$2:$C$1201,$H878))</f>
        <v/>
      </c>
      <c r="E878" s="16" t="str">
        <f aca="false">IF($H878="","",INDEX(DECKS!$D$2:$D$1201,$H878))</f>
        <v/>
      </c>
      <c r="F878" s="16" t="str">
        <f aca="false">IF($H878="","",INDEX(DECKS!$E$2:$E$1201,$H878))</f>
        <v/>
      </c>
      <c r="G878" s="21" t="str">
        <f aca="false">IF($H878="","",INDEX(DECKS!$F$2:$F$1201,$H878))</f>
        <v/>
      </c>
      <c r="H878" s="11" t="str">
        <f aca="false">IFERROR(MATCH(ROW()-1,DECKS!$O$2:$O$1201,0),"")</f>
        <v/>
      </c>
      <c r="I878" s="11" t="str">
        <f aca="false">IF(C878="","",G878&amp;" "&amp;D878&amp;" ("&amp;C878&amp;")")</f>
        <v/>
      </c>
    </row>
    <row r="879" customFormat="false" ht="15" hidden="false" customHeight="false" outlineLevel="0" collapsed="false">
      <c r="A879" s="16"/>
      <c r="B879" s="11" t="str">
        <f aca="false">IF($H879="","",INDEX(DECKS!$A$2:$A$1201,$H879))</f>
        <v/>
      </c>
      <c r="C879" s="11" t="str">
        <f aca="false">IF($H879="","",INDEX(DECKS!$B$2:$B$1201,$H879))</f>
        <v/>
      </c>
      <c r="D879" s="11" t="str">
        <f aca="false">IF($H879="","",INDEX(DECKS!$C$2:$C$1201,$H879))</f>
        <v/>
      </c>
      <c r="E879" s="16" t="str">
        <f aca="false">IF($H879="","",INDEX(DECKS!$D$2:$D$1201,$H879))</f>
        <v/>
      </c>
      <c r="F879" s="16" t="str">
        <f aca="false">IF($H879="","",INDEX(DECKS!$E$2:$E$1201,$H879))</f>
        <v/>
      </c>
      <c r="G879" s="21" t="str">
        <f aca="false">IF($H879="","",INDEX(DECKS!$F$2:$F$1201,$H879))</f>
        <v/>
      </c>
      <c r="H879" s="11" t="str">
        <f aca="false">IFERROR(MATCH(ROW()-1,DECKS!$O$2:$O$1201,0),"")</f>
        <v/>
      </c>
      <c r="I879" s="11" t="str">
        <f aca="false">IF(C879="","",G879&amp;" "&amp;D879&amp;" ("&amp;C879&amp;")")</f>
        <v/>
      </c>
    </row>
    <row r="880" customFormat="false" ht="15" hidden="false" customHeight="false" outlineLevel="0" collapsed="false">
      <c r="A880" s="16"/>
      <c r="B880" s="11" t="str">
        <f aca="false">IF($H880="","",INDEX(DECKS!$A$2:$A$1201,$H880))</f>
        <v/>
      </c>
      <c r="C880" s="11" t="str">
        <f aca="false">IF($H880="","",INDEX(DECKS!$B$2:$B$1201,$H880))</f>
        <v/>
      </c>
      <c r="D880" s="11" t="str">
        <f aca="false">IF($H880="","",INDEX(DECKS!$C$2:$C$1201,$H880))</f>
        <v/>
      </c>
      <c r="E880" s="16" t="str">
        <f aca="false">IF($H880="","",INDEX(DECKS!$D$2:$D$1201,$H880))</f>
        <v/>
      </c>
      <c r="F880" s="16" t="str">
        <f aca="false">IF($H880="","",INDEX(DECKS!$E$2:$E$1201,$H880))</f>
        <v/>
      </c>
      <c r="G880" s="21" t="str">
        <f aca="false">IF($H880="","",INDEX(DECKS!$F$2:$F$1201,$H880))</f>
        <v/>
      </c>
      <c r="H880" s="11" t="str">
        <f aca="false">IFERROR(MATCH(ROW()-1,DECKS!$O$2:$O$1201,0),"")</f>
        <v/>
      </c>
      <c r="I880" s="11" t="str">
        <f aca="false">IF(C880="","",G880&amp;" "&amp;D880&amp;" ("&amp;C880&amp;")")</f>
        <v/>
      </c>
    </row>
    <row r="881" customFormat="false" ht="15" hidden="false" customHeight="false" outlineLevel="0" collapsed="false">
      <c r="A881" s="16"/>
      <c r="B881" s="11" t="str">
        <f aca="false">IF($H881="","",INDEX(DECKS!$A$2:$A$1201,$H881))</f>
        <v/>
      </c>
      <c r="C881" s="11" t="str">
        <f aca="false">IF($H881="","",INDEX(DECKS!$B$2:$B$1201,$H881))</f>
        <v/>
      </c>
      <c r="D881" s="11" t="str">
        <f aca="false">IF($H881="","",INDEX(DECKS!$C$2:$C$1201,$H881))</f>
        <v/>
      </c>
      <c r="E881" s="16" t="str">
        <f aca="false">IF($H881="","",INDEX(DECKS!$D$2:$D$1201,$H881))</f>
        <v/>
      </c>
      <c r="F881" s="16" t="str">
        <f aca="false">IF($H881="","",INDEX(DECKS!$E$2:$E$1201,$H881))</f>
        <v/>
      </c>
      <c r="G881" s="21" t="str">
        <f aca="false">IF($H881="","",INDEX(DECKS!$F$2:$F$1201,$H881))</f>
        <v/>
      </c>
      <c r="H881" s="11" t="str">
        <f aca="false">IFERROR(MATCH(ROW()-1,DECKS!$O$2:$O$1201,0),"")</f>
        <v/>
      </c>
      <c r="I881" s="11" t="str">
        <f aca="false">IF(C881="","",G881&amp;" "&amp;D881&amp;" ("&amp;C881&amp;")")</f>
        <v/>
      </c>
    </row>
    <row r="882" customFormat="false" ht="15" hidden="false" customHeight="false" outlineLevel="0" collapsed="false">
      <c r="A882" s="16"/>
      <c r="B882" s="11" t="str">
        <f aca="false">IF($H882="","",INDEX(DECKS!$A$2:$A$1201,$H882))</f>
        <v/>
      </c>
      <c r="C882" s="11" t="str">
        <f aca="false">IF($H882="","",INDEX(DECKS!$B$2:$B$1201,$H882))</f>
        <v/>
      </c>
      <c r="D882" s="11" t="str">
        <f aca="false">IF($H882="","",INDEX(DECKS!$C$2:$C$1201,$H882))</f>
        <v/>
      </c>
      <c r="E882" s="16" t="str">
        <f aca="false">IF($H882="","",INDEX(DECKS!$D$2:$D$1201,$H882))</f>
        <v/>
      </c>
      <c r="F882" s="16" t="str">
        <f aca="false">IF($H882="","",INDEX(DECKS!$E$2:$E$1201,$H882))</f>
        <v/>
      </c>
      <c r="G882" s="21" t="str">
        <f aca="false">IF($H882="","",INDEX(DECKS!$F$2:$F$1201,$H882))</f>
        <v/>
      </c>
      <c r="H882" s="11" t="str">
        <f aca="false">IFERROR(MATCH(ROW()-1,DECKS!$O$2:$O$1201,0),"")</f>
        <v/>
      </c>
      <c r="I882" s="11" t="str">
        <f aca="false">IF(C882="","",G882&amp;" "&amp;D882&amp;" ("&amp;C882&amp;")")</f>
        <v/>
      </c>
    </row>
    <row r="883" customFormat="false" ht="15" hidden="false" customHeight="false" outlineLevel="0" collapsed="false">
      <c r="A883" s="16"/>
      <c r="B883" s="11" t="str">
        <f aca="false">IF($H883="","",INDEX(DECKS!$A$2:$A$1201,$H883))</f>
        <v/>
      </c>
      <c r="C883" s="11" t="str">
        <f aca="false">IF($H883="","",INDEX(DECKS!$B$2:$B$1201,$H883))</f>
        <v/>
      </c>
      <c r="D883" s="11" t="str">
        <f aca="false">IF($H883="","",INDEX(DECKS!$C$2:$C$1201,$H883))</f>
        <v/>
      </c>
      <c r="E883" s="16" t="str">
        <f aca="false">IF($H883="","",INDEX(DECKS!$D$2:$D$1201,$H883))</f>
        <v/>
      </c>
      <c r="F883" s="16" t="str">
        <f aca="false">IF($H883="","",INDEX(DECKS!$E$2:$E$1201,$H883))</f>
        <v/>
      </c>
      <c r="G883" s="21" t="str">
        <f aca="false">IF($H883="","",INDEX(DECKS!$F$2:$F$1201,$H883))</f>
        <v/>
      </c>
      <c r="H883" s="11" t="str">
        <f aca="false">IFERROR(MATCH(ROW()-1,DECKS!$O$2:$O$1201,0),"")</f>
        <v/>
      </c>
      <c r="I883" s="11" t="str">
        <f aca="false">IF(C883="","",G883&amp;" "&amp;D883&amp;" ("&amp;C883&amp;")")</f>
        <v/>
      </c>
    </row>
    <row r="884" customFormat="false" ht="15" hidden="false" customHeight="false" outlineLevel="0" collapsed="false">
      <c r="A884" s="16"/>
      <c r="B884" s="11" t="str">
        <f aca="false">IF($H884="","",INDEX(DECKS!$A$2:$A$1201,$H884))</f>
        <v/>
      </c>
      <c r="C884" s="11" t="str">
        <f aca="false">IF($H884="","",INDEX(DECKS!$B$2:$B$1201,$H884))</f>
        <v/>
      </c>
      <c r="D884" s="11" t="str">
        <f aca="false">IF($H884="","",INDEX(DECKS!$C$2:$C$1201,$H884))</f>
        <v/>
      </c>
      <c r="E884" s="16" t="str">
        <f aca="false">IF($H884="","",INDEX(DECKS!$D$2:$D$1201,$H884))</f>
        <v/>
      </c>
      <c r="F884" s="16" t="str">
        <f aca="false">IF($H884="","",INDEX(DECKS!$E$2:$E$1201,$H884))</f>
        <v/>
      </c>
      <c r="G884" s="21" t="str">
        <f aca="false">IF($H884="","",INDEX(DECKS!$F$2:$F$1201,$H884))</f>
        <v/>
      </c>
      <c r="H884" s="11" t="str">
        <f aca="false">IFERROR(MATCH(ROW()-1,DECKS!$O$2:$O$1201,0),"")</f>
        <v/>
      </c>
      <c r="I884" s="11" t="str">
        <f aca="false">IF(C884="","",G884&amp;" "&amp;D884&amp;" ("&amp;C884&amp;")")</f>
        <v/>
      </c>
    </row>
    <row r="885" customFormat="false" ht="15" hidden="false" customHeight="false" outlineLevel="0" collapsed="false">
      <c r="A885" s="16"/>
      <c r="B885" s="11" t="str">
        <f aca="false">IF($H885="","",INDEX(DECKS!$A$2:$A$1201,$H885))</f>
        <v/>
      </c>
      <c r="C885" s="11" t="str">
        <f aca="false">IF($H885="","",INDEX(DECKS!$B$2:$B$1201,$H885))</f>
        <v/>
      </c>
      <c r="D885" s="11" t="str">
        <f aca="false">IF($H885="","",INDEX(DECKS!$C$2:$C$1201,$H885))</f>
        <v/>
      </c>
      <c r="E885" s="16" t="str">
        <f aca="false">IF($H885="","",INDEX(DECKS!$D$2:$D$1201,$H885))</f>
        <v/>
      </c>
      <c r="F885" s="16" t="str">
        <f aca="false">IF($H885="","",INDEX(DECKS!$E$2:$E$1201,$H885))</f>
        <v/>
      </c>
      <c r="G885" s="21" t="str">
        <f aca="false">IF($H885="","",INDEX(DECKS!$F$2:$F$1201,$H885))</f>
        <v/>
      </c>
      <c r="H885" s="11" t="str">
        <f aca="false">IFERROR(MATCH(ROW()-1,DECKS!$O$2:$O$1201,0),"")</f>
        <v/>
      </c>
      <c r="I885" s="11" t="str">
        <f aca="false">IF(C885="","",G885&amp;" "&amp;D885&amp;" ("&amp;C885&amp;")")</f>
        <v/>
      </c>
    </row>
    <row r="886" customFormat="false" ht="15" hidden="false" customHeight="false" outlineLevel="0" collapsed="false">
      <c r="A886" s="16"/>
      <c r="B886" s="11" t="str">
        <f aca="false">IF($H886="","",INDEX(DECKS!$A$2:$A$1201,$H886))</f>
        <v/>
      </c>
      <c r="C886" s="11" t="str">
        <f aca="false">IF($H886="","",INDEX(DECKS!$B$2:$B$1201,$H886))</f>
        <v/>
      </c>
      <c r="D886" s="11" t="str">
        <f aca="false">IF($H886="","",INDEX(DECKS!$C$2:$C$1201,$H886))</f>
        <v/>
      </c>
      <c r="E886" s="16" t="str">
        <f aca="false">IF($H886="","",INDEX(DECKS!$D$2:$D$1201,$H886))</f>
        <v/>
      </c>
      <c r="F886" s="16" t="str">
        <f aca="false">IF($H886="","",INDEX(DECKS!$E$2:$E$1201,$H886))</f>
        <v/>
      </c>
      <c r="G886" s="21" t="str">
        <f aca="false">IF($H886="","",INDEX(DECKS!$F$2:$F$1201,$H886))</f>
        <v/>
      </c>
      <c r="H886" s="11" t="str">
        <f aca="false">IFERROR(MATCH(ROW()-1,DECKS!$O$2:$O$1201,0),"")</f>
        <v/>
      </c>
      <c r="I886" s="11" t="str">
        <f aca="false">IF(C886="","",G886&amp;" "&amp;D886&amp;" ("&amp;C886&amp;")")</f>
        <v/>
      </c>
    </row>
    <row r="887" customFormat="false" ht="15" hidden="false" customHeight="false" outlineLevel="0" collapsed="false">
      <c r="A887" s="16"/>
      <c r="B887" s="11" t="str">
        <f aca="false">IF($H887="","",INDEX(DECKS!$A$2:$A$1201,$H887))</f>
        <v/>
      </c>
      <c r="C887" s="11" t="str">
        <f aca="false">IF($H887="","",INDEX(DECKS!$B$2:$B$1201,$H887))</f>
        <v/>
      </c>
      <c r="D887" s="11" t="str">
        <f aca="false">IF($H887="","",INDEX(DECKS!$C$2:$C$1201,$H887))</f>
        <v/>
      </c>
      <c r="E887" s="16" t="str">
        <f aca="false">IF($H887="","",INDEX(DECKS!$D$2:$D$1201,$H887))</f>
        <v/>
      </c>
      <c r="F887" s="16" t="str">
        <f aca="false">IF($H887="","",INDEX(DECKS!$E$2:$E$1201,$H887))</f>
        <v/>
      </c>
      <c r="G887" s="21" t="str">
        <f aca="false">IF($H887="","",INDEX(DECKS!$F$2:$F$1201,$H887))</f>
        <v/>
      </c>
      <c r="H887" s="11" t="str">
        <f aca="false">IFERROR(MATCH(ROW()-1,DECKS!$O$2:$O$1201,0),"")</f>
        <v/>
      </c>
      <c r="I887" s="11" t="str">
        <f aca="false">IF(C887="","",G887&amp;" "&amp;D887&amp;" ("&amp;C887&amp;")")</f>
        <v/>
      </c>
    </row>
    <row r="888" customFormat="false" ht="15" hidden="false" customHeight="false" outlineLevel="0" collapsed="false">
      <c r="A888" s="16"/>
      <c r="B888" s="11" t="str">
        <f aca="false">IF($H888="","",INDEX(DECKS!$A$2:$A$1201,$H888))</f>
        <v/>
      </c>
      <c r="C888" s="11" t="str">
        <f aca="false">IF($H888="","",INDEX(DECKS!$B$2:$B$1201,$H888))</f>
        <v/>
      </c>
      <c r="D888" s="11" t="str">
        <f aca="false">IF($H888="","",INDEX(DECKS!$C$2:$C$1201,$H888))</f>
        <v/>
      </c>
      <c r="E888" s="16" t="str">
        <f aca="false">IF($H888="","",INDEX(DECKS!$D$2:$D$1201,$H888))</f>
        <v/>
      </c>
      <c r="F888" s="16" t="str">
        <f aca="false">IF($H888="","",INDEX(DECKS!$E$2:$E$1201,$H888))</f>
        <v/>
      </c>
      <c r="G888" s="21" t="str">
        <f aca="false">IF($H888="","",INDEX(DECKS!$F$2:$F$1201,$H888))</f>
        <v/>
      </c>
      <c r="H888" s="11" t="str">
        <f aca="false">IFERROR(MATCH(ROW()-1,DECKS!$O$2:$O$1201,0),"")</f>
        <v/>
      </c>
      <c r="I888" s="11" t="str">
        <f aca="false">IF(C888="","",G888&amp;" "&amp;D888&amp;" ("&amp;C888&amp;")")</f>
        <v/>
      </c>
    </row>
    <row r="889" customFormat="false" ht="15" hidden="false" customHeight="false" outlineLevel="0" collapsed="false">
      <c r="A889" s="16"/>
      <c r="B889" s="11" t="str">
        <f aca="false">IF($H889="","",INDEX(DECKS!$A$2:$A$1201,$H889))</f>
        <v/>
      </c>
      <c r="C889" s="11" t="str">
        <f aca="false">IF($H889="","",INDEX(DECKS!$B$2:$B$1201,$H889))</f>
        <v/>
      </c>
      <c r="D889" s="11" t="str">
        <f aca="false">IF($H889="","",INDEX(DECKS!$C$2:$C$1201,$H889))</f>
        <v/>
      </c>
      <c r="E889" s="16" t="str">
        <f aca="false">IF($H889="","",INDEX(DECKS!$D$2:$D$1201,$H889))</f>
        <v/>
      </c>
      <c r="F889" s="16" t="str">
        <f aca="false">IF($H889="","",INDEX(DECKS!$E$2:$E$1201,$H889))</f>
        <v/>
      </c>
      <c r="G889" s="21" t="str">
        <f aca="false">IF($H889="","",INDEX(DECKS!$F$2:$F$1201,$H889))</f>
        <v/>
      </c>
      <c r="H889" s="11" t="str">
        <f aca="false">IFERROR(MATCH(ROW()-1,DECKS!$O$2:$O$1201,0),"")</f>
        <v/>
      </c>
      <c r="I889" s="11" t="str">
        <f aca="false">IF(C889="","",G889&amp;" "&amp;D889&amp;" ("&amp;C889&amp;")")</f>
        <v/>
      </c>
    </row>
    <row r="890" customFormat="false" ht="15" hidden="false" customHeight="false" outlineLevel="0" collapsed="false">
      <c r="A890" s="16"/>
      <c r="B890" s="11" t="str">
        <f aca="false">IF($H890="","",INDEX(DECKS!$A$2:$A$1201,$H890))</f>
        <v/>
      </c>
      <c r="C890" s="11" t="str">
        <f aca="false">IF($H890="","",INDEX(DECKS!$B$2:$B$1201,$H890))</f>
        <v/>
      </c>
      <c r="D890" s="11" t="str">
        <f aca="false">IF($H890="","",INDEX(DECKS!$C$2:$C$1201,$H890))</f>
        <v/>
      </c>
      <c r="E890" s="16" t="str">
        <f aca="false">IF($H890="","",INDEX(DECKS!$D$2:$D$1201,$H890))</f>
        <v/>
      </c>
      <c r="F890" s="16" t="str">
        <f aca="false">IF($H890="","",INDEX(DECKS!$E$2:$E$1201,$H890))</f>
        <v/>
      </c>
      <c r="G890" s="21" t="str">
        <f aca="false">IF($H890="","",INDEX(DECKS!$F$2:$F$1201,$H890))</f>
        <v/>
      </c>
      <c r="H890" s="11" t="str">
        <f aca="false">IFERROR(MATCH(ROW()-1,DECKS!$O$2:$O$1201,0),"")</f>
        <v/>
      </c>
      <c r="I890" s="11" t="str">
        <f aca="false">IF(C890="","",G890&amp;" "&amp;D890&amp;" ("&amp;C890&amp;")")</f>
        <v/>
      </c>
    </row>
    <row r="891" customFormat="false" ht="15" hidden="false" customHeight="false" outlineLevel="0" collapsed="false">
      <c r="A891" s="16"/>
      <c r="B891" s="11" t="str">
        <f aca="false">IF($H891="","",INDEX(DECKS!$A$2:$A$1201,$H891))</f>
        <v/>
      </c>
      <c r="C891" s="11" t="str">
        <f aca="false">IF($H891="","",INDEX(DECKS!$B$2:$B$1201,$H891))</f>
        <v/>
      </c>
      <c r="D891" s="11" t="str">
        <f aca="false">IF($H891="","",INDEX(DECKS!$C$2:$C$1201,$H891))</f>
        <v/>
      </c>
      <c r="E891" s="16" t="str">
        <f aca="false">IF($H891="","",INDEX(DECKS!$D$2:$D$1201,$H891))</f>
        <v/>
      </c>
      <c r="F891" s="16" t="str">
        <f aca="false">IF($H891="","",INDEX(DECKS!$E$2:$E$1201,$H891))</f>
        <v/>
      </c>
      <c r="G891" s="21" t="str">
        <f aca="false">IF($H891="","",INDEX(DECKS!$F$2:$F$1201,$H891))</f>
        <v/>
      </c>
      <c r="H891" s="11" t="str">
        <f aca="false">IFERROR(MATCH(ROW()-1,DECKS!$O$2:$O$1201,0),"")</f>
        <v/>
      </c>
      <c r="I891" s="11" t="str">
        <f aca="false">IF(C891="","",G891&amp;" "&amp;D891&amp;" ("&amp;C891&amp;")")</f>
        <v/>
      </c>
    </row>
    <row r="892" customFormat="false" ht="15" hidden="false" customHeight="false" outlineLevel="0" collapsed="false">
      <c r="A892" s="16"/>
      <c r="B892" s="11" t="str">
        <f aca="false">IF($H892="","",INDEX(DECKS!$A$2:$A$1201,$H892))</f>
        <v/>
      </c>
      <c r="C892" s="11" t="str">
        <f aca="false">IF($H892="","",INDEX(DECKS!$B$2:$B$1201,$H892))</f>
        <v/>
      </c>
      <c r="D892" s="11" t="str">
        <f aca="false">IF($H892="","",INDEX(DECKS!$C$2:$C$1201,$H892))</f>
        <v/>
      </c>
      <c r="E892" s="16" t="str">
        <f aca="false">IF($H892="","",INDEX(DECKS!$D$2:$D$1201,$H892))</f>
        <v/>
      </c>
      <c r="F892" s="16" t="str">
        <f aca="false">IF($H892="","",INDEX(DECKS!$E$2:$E$1201,$H892))</f>
        <v/>
      </c>
      <c r="G892" s="21" t="str">
        <f aca="false">IF($H892="","",INDEX(DECKS!$F$2:$F$1201,$H892))</f>
        <v/>
      </c>
      <c r="H892" s="11" t="str">
        <f aca="false">IFERROR(MATCH(ROW()-1,DECKS!$O$2:$O$1201,0),"")</f>
        <v/>
      </c>
      <c r="I892" s="11" t="str">
        <f aca="false">IF(C892="","",G892&amp;" "&amp;D892&amp;" ("&amp;C892&amp;")")</f>
        <v/>
      </c>
    </row>
    <row r="893" customFormat="false" ht="15" hidden="false" customHeight="false" outlineLevel="0" collapsed="false">
      <c r="A893" s="16"/>
      <c r="B893" s="11" t="str">
        <f aca="false">IF($H893="","",INDEX(DECKS!$A$2:$A$1201,$H893))</f>
        <v/>
      </c>
      <c r="C893" s="11" t="str">
        <f aca="false">IF($H893="","",INDEX(DECKS!$B$2:$B$1201,$H893))</f>
        <v/>
      </c>
      <c r="D893" s="11" t="str">
        <f aca="false">IF($H893="","",INDEX(DECKS!$C$2:$C$1201,$H893))</f>
        <v/>
      </c>
      <c r="E893" s="16" t="str">
        <f aca="false">IF($H893="","",INDEX(DECKS!$D$2:$D$1201,$H893))</f>
        <v/>
      </c>
      <c r="F893" s="16" t="str">
        <f aca="false">IF($H893="","",INDEX(DECKS!$E$2:$E$1201,$H893))</f>
        <v/>
      </c>
      <c r="G893" s="21" t="str">
        <f aca="false">IF($H893="","",INDEX(DECKS!$F$2:$F$1201,$H893))</f>
        <v/>
      </c>
      <c r="H893" s="11" t="str">
        <f aca="false">IFERROR(MATCH(ROW()-1,DECKS!$O$2:$O$1201,0),"")</f>
        <v/>
      </c>
      <c r="I893" s="11" t="str">
        <f aca="false">IF(C893="","",G893&amp;" "&amp;D893&amp;" ("&amp;C893&amp;")")</f>
        <v/>
      </c>
    </row>
    <row r="894" customFormat="false" ht="15" hidden="false" customHeight="false" outlineLevel="0" collapsed="false">
      <c r="A894" s="16"/>
      <c r="B894" s="11" t="str">
        <f aca="false">IF($H894="","",INDEX(DECKS!$A$2:$A$1201,$H894))</f>
        <v/>
      </c>
      <c r="C894" s="11" t="str">
        <f aca="false">IF($H894="","",INDEX(DECKS!$B$2:$B$1201,$H894))</f>
        <v/>
      </c>
      <c r="D894" s="11" t="str">
        <f aca="false">IF($H894="","",INDEX(DECKS!$C$2:$C$1201,$H894))</f>
        <v/>
      </c>
      <c r="E894" s="16" t="str">
        <f aca="false">IF($H894="","",INDEX(DECKS!$D$2:$D$1201,$H894))</f>
        <v/>
      </c>
      <c r="F894" s="16" t="str">
        <f aca="false">IF($H894="","",INDEX(DECKS!$E$2:$E$1201,$H894))</f>
        <v/>
      </c>
      <c r="G894" s="21" t="str">
        <f aca="false">IF($H894="","",INDEX(DECKS!$F$2:$F$1201,$H894))</f>
        <v/>
      </c>
      <c r="H894" s="11" t="str">
        <f aca="false">IFERROR(MATCH(ROW()-1,DECKS!$O$2:$O$1201,0),"")</f>
        <v/>
      </c>
      <c r="I894" s="11" t="str">
        <f aca="false">IF(C894="","",G894&amp;" "&amp;D894&amp;" ("&amp;C894&amp;")")</f>
        <v/>
      </c>
    </row>
    <row r="895" customFormat="false" ht="15" hidden="false" customHeight="false" outlineLevel="0" collapsed="false">
      <c r="A895" s="16"/>
      <c r="B895" s="11" t="str">
        <f aca="false">IF($H895="","",INDEX(DECKS!$A$2:$A$1201,$H895))</f>
        <v/>
      </c>
      <c r="C895" s="11" t="str">
        <f aca="false">IF($H895="","",INDEX(DECKS!$B$2:$B$1201,$H895))</f>
        <v/>
      </c>
      <c r="D895" s="11" t="str">
        <f aca="false">IF($H895="","",INDEX(DECKS!$C$2:$C$1201,$H895))</f>
        <v/>
      </c>
      <c r="E895" s="16" t="str">
        <f aca="false">IF($H895="","",INDEX(DECKS!$D$2:$D$1201,$H895))</f>
        <v/>
      </c>
      <c r="F895" s="16" t="str">
        <f aca="false">IF($H895="","",INDEX(DECKS!$E$2:$E$1201,$H895))</f>
        <v/>
      </c>
      <c r="G895" s="21" t="str">
        <f aca="false">IF($H895="","",INDEX(DECKS!$F$2:$F$1201,$H895))</f>
        <v/>
      </c>
      <c r="H895" s="11" t="str">
        <f aca="false">IFERROR(MATCH(ROW()-1,DECKS!$O$2:$O$1201,0),"")</f>
        <v/>
      </c>
      <c r="I895" s="11" t="str">
        <f aca="false">IF(C895="","",G895&amp;" "&amp;D895&amp;" ("&amp;C895&amp;")")</f>
        <v/>
      </c>
    </row>
    <row r="896" customFormat="false" ht="15" hidden="false" customHeight="false" outlineLevel="0" collapsed="false">
      <c r="A896" s="16"/>
      <c r="B896" s="11" t="str">
        <f aca="false">IF($H896="","",INDEX(DECKS!$A$2:$A$1201,$H896))</f>
        <v/>
      </c>
      <c r="C896" s="11" t="str">
        <f aca="false">IF($H896="","",INDEX(DECKS!$B$2:$B$1201,$H896))</f>
        <v/>
      </c>
      <c r="D896" s="11" t="str">
        <f aca="false">IF($H896="","",INDEX(DECKS!$C$2:$C$1201,$H896))</f>
        <v/>
      </c>
      <c r="E896" s="16" t="str">
        <f aca="false">IF($H896="","",INDEX(DECKS!$D$2:$D$1201,$H896))</f>
        <v/>
      </c>
      <c r="F896" s="16" t="str">
        <f aca="false">IF($H896="","",INDEX(DECKS!$E$2:$E$1201,$H896))</f>
        <v/>
      </c>
      <c r="G896" s="21" t="str">
        <f aca="false">IF($H896="","",INDEX(DECKS!$F$2:$F$1201,$H896))</f>
        <v/>
      </c>
      <c r="H896" s="11" t="str">
        <f aca="false">IFERROR(MATCH(ROW()-1,DECKS!$O$2:$O$1201,0),"")</f>
        <v/>
      </c>
      <c r="I896" s="11" t="str">
        <f aca="false">IF(C896="","",G896&amp;" "&amp;D896&amp;" ("&amp;C896&amp;")")</f>
        <v/>
      </c>
    </row>
    <row r="897" customFormat="false" ht="15" hidden="false" customHeight="false" outlineLevel="0" collapsed="false">
      <c r="A897" s="16"/>
      <c r="B897" s="11" t="str">
        <f aca="false">IF($H897="","",INDEX(DECKS!$A$2:$A$1201,$H897))</f>
        <v/>
      </c>
      <c r="C897" s="11" t="str">
        <f aca="false">IF($H897="","",INDEX(DECKS!$B$2:$B$1201,$H897))</f>
        <v/>
      </c>
      <c r="D897" s="11" t="str">
        <f aca="false">IF($H897="","",INDEX(DECKS!$C$2:$C$1201,$H897))</f>
        <v/>
      </c>
      <c r="E897" s="16" t="str">
        <f aca="false">IF($H897="","",INDEX(DECKS!$D$2:$D$1201,$H897))</f>
        <v/>
      </c>
      <c r="F897" s="16" t="str">
        <f aca="false">IF($H897="","",INDEX(DECKS!$E$2:$E$1201,$H897))</f>
        <v/>
      </c>
      <c r="G897" s="21" t="str">
        <f aca="false">IF($H897="","",INDEX(DECKS!$F$2:$F$1201,$H897))</f>
        <v/>
      </c>
      <c r="H897" s="11" t="str">
        <f aca="false">IFERROR(MATCH(ROW()-1,DECKS!$O$2:$O$1201,0),"")</f>
        <v/>
      </c>
      <c r="I897" s="11" t="str">
        <f aca="false">IF(C897="","",G897&amp;" "&amp;D897&amp;" ("&amp;C897&amp;")")</f>
        <v/>
      </c>
    </row>
    <row r="898" customFormat="false" ht="15" hidden="false" customHeight="false" outlineLevel="0" collapsed="false">
      <c r="A898" s="16"/>
      <c r="B898" s="11" t="str">
        <f aca="false">IF($H898="","",INDEX(DECKS!$A$2:$A$1201,$H898))</f>
        <v/>
      </c>
      <c r="C898" s="11" t="str">
        <f aca="false">IF($H898="","",INDEX(DECKS!$B$2:$B$1201,$H898))</f>
        <v/>
      </c>
      <c r="D898" s="11" t="str">
        <f aca="false">IF($H898="","",INDEX(DECKS!$C$2:$C$1201,$H898))</f>
        <v/>
      </c>
      <c r="E898" s="16" t="str">
        <f aca="false">IF($H898="","",INDEX(DECKS!$D$2:$D$1201,$H898))</f>
        <v/>
      </c>
      <c r="F898" s="16" t="str">
        <f aca="false">IF($H898="","",INDEX(DECKS!$E$2:$E$1201,$H898))</f>
        <v/>
      </c>
      <c r="G898" s="21" t="str">
        <f aca="false">IF($H898="","",INDEX(DECKS!$F$2:$F$1201,$H898))</f>
        <v/>
      </c>
      <c r="H898" s="11" t="str">
        <f aca="false">IFERROR(MATCH(ROW()-1,DECKS!$O$2:$O$1201,0),"")</f>
        <v/>
      </c>
      <c r="I898" s="11" t="str">
        <f aca="false">IF(C898="","",G898&amp;" "&amp;D898&amp;" ("&amp;C898&amp;")")</f>
        <v/>
      </c>
    </row>
    <row r="899" customFormat="false" ht="15" hidden="false" customHeight="false" outlineLevel="0" collapsed="false">
      <c r="A899" s="16"/>
      <c r="B899" s="11" t="str">
        <f aca="false">IF($H899="","",INDEX(DECKS!$A$2:$A$1201,$H899))</f>
        <v/>
      </c>
      <c r="C899" s="11" t="str">
        <f aca="false">IF($H899="","",INDEX(DECKS!$B$2:$B$1201,$H899))</f>
        <v/>
      </c>
      <c r="D899" s="11" t="str">
        <f aca="false">IF($H899="","",INDEX(DECKS!$C$2:$C$1201,$H899))</f>
        <v/>
      </c>
      <c r="E899" s="16" t="str">
        <f aca="false">IF($H899="","",INDEX(DECKS!$D$2:$D$1201,$H899))</f>
        <v/>
      </c>
      <c r="F899" s="16" t="str">
        <f aca="false">IF($H899="","",INDEX(DECKS!$E$2:$E$1201,$H899))</f>
        <v/>
      </c>
      <c r="G899" s="21" t="str">
        <f aca="false">IF($H899="","",INDEX(DECKS!$F$2:$F$1201,$H899))</f>
        <v/>
      </c>
      <c r="H899" s="11" t="str">
        <f aca="false">IFERROR(MATCH(ROW()-1,DECKS!$O$2:$O$1201,0),"")</f>
        <v/>
      </c>
      <c r="I899" s="11" t="str">
        <f aca="false">IF(C899="","",G899&amp;" "&amp;D899&amp;" ("&amp;C899&amp;")")</f>
        <v/>
      </c>
    </row>
    <row r="900" customFormat="false" ht="15" hidden="false" customHeight="false" outlineLevel="0" collapsed="false">
      <c r="A900" s="16"/>
      <c r="B900" s="11" t="str">
        <f aca="false">IF($H900="","",INDEX(DECKS!$A$2:$A$1201,$H900))</f>
        <v/>
      </c>
      <c r="C900" s="11" t="str">
        <f aca="false">IF($H900="","",INDEX(DECKS!$B$2:$B$1201,$H900))</f>
        <v/>
      </c>
      <c r="D900" s="11" t="str">
        <f aca="false">IF($H900="","",INDEX(DECKS!$C$2:$C$1201,$H900))</f>
        <v/>
      </c>
      <c r="E900" s="16" t="str">
        <f aca="false">IF($H900="","",INDEX(DECKS!$D$2:$D$1201,$H900))</f>
        <v/>
      </c>
      <c r="F900" s="16" t="str">
        <f aca="false">IF($H900="","",INDEX(DECKS!$E$2:$E$1201,$H900))</f>
        <v/>
      </c>
      <c r="G900" s="21" t="str">
        <f aca="false">IF($H900="","",INDEX(DECKS!$F$2:$F$1201,$H900))</f>
        <v/>
      </c>
      <c r="H900" s="11" t="str">
        <f aca="false">IFERROR(MATCH(ROW()-1,DECKS!$O$2:$O$1201,0),"")</f>
        <v/>
      </c>
      <c r="I900" s="11" t="str">
        <f aca="false">IF(C900="","",G900&amp;" "&amp;D900&amp;" ("&amp;C900&amp;")")</f>
        <v/>
      </c>
    </row>
    <row r="901" customFormat="false" ht="15" hidden="false" customHeight="false" outlineLevel="0" collapsed="false">
      <c r="A901" s="16"/>
      <c r="B901" s="11" t="str">
        <f aca="false">IF($H901="","",INDEX(DECKS!$A$2:$A$1201,$H901))</f>
        <v/>
      </c>
      <c r="C901" s="11" t="str">
        <f aca="false">IF($H901="","",INDEX(DECKS!$B$2:$B$1201,$H901))</f>
        <v/>
      </c>
      <c r="D901" s="11" t="str">
        <f aca="false">IF($H901="","",INDEX(DECKS!$C$2:$C$1201,$H901))</f>
        <v/>
      </c>
      <c r="E901" s="16" t="str">
        <f aca="false">IF($H901="","",INDEX(DECKS!$D$2:$D$1201,$H901))</f>
        <v/>
      </c>
      <c r="F901" s="16" t="str">
        <f aca="false">IF($H901="","",INDEX(DECKS!$E$2:$E$1201,$H901))</f>
        <v/>
      </c>
      <c r="G901" s="21" t="str">
        <f aca="false">IF($H901="","",INDEX(DECKS!$F$2:$F$1201,$H901))</f>
        <v/>
      </c>
      <c r="H901" s="11" t="str">
        <f aca="false">IFERROR(MATCH(ROW()-1,DECKS!$O$2:$O$1201,0),"")</f>
        <v/>
      </c>
      <c r="I901" s="11" t="str">
        <f aca="false">IF(C901="","",G901&amp;" "&amp;D901&amp;" ("&amp;C901&amp;")")</f>
        <v/>
      </c>
    </row>
    <row r="902" customFormat="false" ht="15" hidden="false" customHeight="false" outlineLevel="0" collapsed="false">
      <c r="A902" s="16"/>
      <c r="B902" s="11" t="str">
        <f aca="false">IF($H902="","",INDEX(DECKS!$A$2:$A$1201,$H902))</f>
        <v/>
      </c>
      <c r="C902" s="11" t="str">
        <f aca="false">IF($H902="","",INDEX(DECKS!$B$2:$B$1201,$H902))</f>
        <v/>
      </c>
      <c r="D902" s="11" t="str">
        <f aca="false">IF($H902="","",INDEX(DECKS!$C$2:$C$1201,$H902))</f>
        <v/>
      </c>
      <c r="E902" s="16" t="str">
        <f aca="false">IF($H902="","",INDEX(DECKS!$D$2:$D$1201,$H902))</f>
        <v/>
      </c>
      <c r="F902" s="16" t="str">
        <f aca="false">IF($H902="","",INDEX(DECKS!$E$2:$E$1201,$H902))</f>
        <v/>
      </c>
      <c r="G902" s="21" t="str">
        <f aca="false">IF($H902="","",INDEX(DECKS!$F$2:$F$1201,$H902))</f>
        <v/>
      </c>
      <c r="H902" s="11" t="str">
        <f aca="false">IFERROR(MATCH(ROW()-1,DECKS!$O$2:$O$1201,0),"")</f>
        <v/>
      </c>
      <c r="I902" s="11" t="str">
        <f aca="false">IF(C902="","",G902&amp;" "&amp;D902&amp;" ("&amp;C902&amp;")")</f>
        <v/>
      </c>
    </row>
    <row r="903" customFormat="false" ht="15" hidden="false" customHeight="false" outlineLevel="0" collapsed="false">
      <c r="A903" s="16"/>
      <c r="B903" s="11" t="str">
        <f aca="false">IF($H903="","",INDEX(DECKS!$A$2:$A$1201,$H903))</f>
        <v/>
      </c>
      <c r="C903" s="11" t="str">
        <f aca="false">IF($H903="","",INDEX(DECKS!$B$2:$B$1201,$H903))</f>
        <v/>
      </c>
      <c r="D903" s="11" t="str">
        <f aca="false">IF($H903="","",INDEX(DECKS!$C$2:$C$1201,$H903))</f>
        <v/>
      </c>
      <c r="E903" s="16" t="str">
        <f aca="false">IF($H903="","",INDEX(DECKS!$D$2:$D$1201,$H903))</f>
        <v/>
      </c>
      <c r="F903" s="16" t="str">
        <f aca="false">IF($H903="","",INDEX(DECKS!$E$2:$E$1201,$H903))</f>
        <v/>
      </c>
      <c r="G903" s="21" t="str">
        <f aca="false">IF($H903="","",INDEX(DECKS!$F$2:$F$1201,$H903))</f>
        <v/>
      </c>
      <c r="H903" s="11" t="str">
        <f aca="false">IFERROR(MATCH(ROW()-1,DECKS!$O$2:$O$1201,0),"")</f>
        <v/>
      </c>
      <c r="I903" s="11" t="str">
        <f aca="false">IF(C903="","",G903&amp;" "&amp;D903&amp;" ("&amp;C903&amp;")")</f>
        <v/>
      </c>
    </row>
    <row r="904" customFormat="false" ht="15" hidden="false" customHeight="false" outlineLevel="0" collapsed="false">
      <c r="A904" s="16"/>
      <c r="B904" s="11" t="str">
        <f aca="false">IF($H904="","",INDEX(DECKS!$A$2:$A$1201,$H904))</f>
        <v/>
      </c>
      <c r="C904" s="11" t="str">
        <f aca="false">IF($H904="","",INDEX(DECKS!$B$2:$B$1201,$H904))</f>
        <v/>
      </c>
      <c r="D904" s="11" t="str">
        <f aca="false">IF($H904="","",INDEX(DECKS!$C$2:$C$1201,$H904))</f>
        <v/>
      </c>
      <c r="E904" s="16" t="str">
        <f aca="false">IF($H904="","",INDEX(DECKS!$D$2:$D$1201,$H904))</f>
        <v/>
      </c>
      <c r="F904" s="16" t="str">
        <f aca="false">IF($H904="","",INDEX(DECKS!$E$2:$E$1201,$H904))</f>
        <v/>
      </c>
      <c r="G904" s="21" t="str">
        <f aca="false">IF($H904="","",INDEX(DECKS!$F$2:$F$1201,$H904))</f>
        <v/>
      </c>
      <c r="H904" s="11" t="str">
        <f aca="false">IFERROR(MATCH(ROW()-1,DECKS!$O$2:$O$1201,0),"")</f>
        <v/>
      </c>
      <c r="I904" s="11" t="str">
        <f aca="false">IF(C904="","",G904&amp;" "&amp;D904&amp;" ("&amp;C904&amp;")")</f>
        <v/>
      </c>
    </row>
    <row r="905" customFormat="false" ht="15" hidden="false" customHeight="false" outlineLevel="0" collapsed="false">
      <c r="A905" s="16"/>
      <c r="B905" s="11" t="str">
        <f aca="false">IF($H905="","",INDEX(DECKS!$A$2:$A$1201,$H905))</f>
        <v/>
      </c>
      <c r="C905" s="11" t="str">
        <f aca="false">IF($H905="","",INDEX(DECKS!$B$2:$B$1201,$H905))</f>
        <v/>
      </c>
      <c r="D905" s="11" t="str">
        <f aca="false">IF($H905="","",INDEX(DECKS!$C$2:$C$1201,$H905))</f>
        <v/>
      </c>
      <c r="E905" s="16" t="str">
        <f aca="false">IF($H905="","",INDEX(DECKS!$D$2:$D$1201,$H905))</f>
        <v/>
      </c>
      <c r="F905" s="16" t="str">
        <f aca="false">IF($H905="","",INDEX(DECKS!$E$2:$E$1201,$H905))</f>
        <v/>
      </c>
      <c r="G905" s="21" t="str">
        <f aca="false">IF($H905="","",INDEX(DECKS!$F$2:$F$1201,$H905))</f>
        <v/>
      </c>
      <c r="H905" s="11" t="str">
        <f aca="false">IFERROR(MATCH(ROW()-1,DECKS!$O$2:$O$1201,0),"")</f>
        <v/>
      </c>
      <c r="I905" s="11" t="str">
        <f aca="false">IF(C905="","",G905&amp;" "&amp;D905&amp;" ("&amp;C905&amp;")")</f>
        <v/>
      </c>
    </row>
    <row r="906" customFormat="false" ht="15" hidden="false" customHeight="false" outlineLevel="0" collapsed="false">
      <c r="A906" s="16"/>
      <c r="B906" s="11" t="str">
        <f aca="false">IF($H906="","",INDEX(DECKS!$A$2:$A$1201,$H906))</f>
        <v/>
      </c>
      <c r="C906" s="11" t="str">
        <f aca="false">IF($H906="","",INDEX(DECKS!$B$2:$B$1201,$H906))</f>
        <v/>
      </c>
      <c r="D906" s="11" t="str">
        <f aca="false">IF($H906="","",INDEX(DECKS!$C$2:$C$1201,$H906))</f>
        <v/>
      </c>
      <c r="E906" s="16" t="str">
        <f aca="false">IF($H906="","",INDEX(DECKS!$D$2:$D$1201,$H906))</f>
        <v/>
      </c>
      <c r="F906" s="16" t="str">
        <f aca="false">IF($H906="","",INDEX(DECKS!$E$2:$E$1201,$H906))</f>
        <v/>
      </c>
      <c r="G906" s="21" t="str">
        <f aca="false">IF($H906="","",INDEX(DECKS!$F$2:$F$1201,$H906))</f>
        <v/>
      </c>
      <c r="H906" s="11" t="str">
        <f aca="false">IFERROR(MATCH(ROW()-1,DECKS!$O$2:$O$1201,0),"")</f>
        <v/>
      </c>
      <c r="I906" s="11" t="str">
        <f aca="false">IF(C906="","",G906&amp;" "&amp;D906&amp;" ("&amp;C906&amp;")")</f>
        <v/>
      </c>
    </row>
    <row r="907" customFormat="false" ht="15" hidden="false" customHeight="false" outlineLevel="0" collapsed="false">
      <c r="A907" s="16"/>
      <c r="B907" s="11" t="str">
        <f aca="false">IF($H907="","",INDEX(DECKS!$A$2:$A$1201,$H907))</f>
        <v/>
      </c>
      <c r="C907" s="11" t="str">
        <f aca="false">IF($H907="","",INDEX(DECKS!$B$2:$B$1201,$H907))</f>
        <v/>
      </c>
      <c r="D907" s="11" t="str">
        <f aca="false">IF($H907="","",INDEX(DECKS!$C$2:$C$1201,$H907))</f>
        <v/>
      </c>
      <c r="E907" s="16" t="str">
        <f aca="false">IF($H907="","",INDEX(DECKS!$D$2:$D$1201,$H907))</f>
        <v/>
      </c>
      <c r="F907" s="16" t="str">
        <f aca="false">IF($H907="","",INDEX(DECKS!$E$2:$E$1201,$H907))</f>
        <v/>
      </c>
      <c r="G907" s="21" t="str">
        <f aca="false">IF($H907="","",INDEX(DECKS!$F$2:$F$1201,$H907))</f>
        <v/>
      </c>
      <c r="H907" s="11" t="str">
        <f aca="false">IFERROR(MATCH(ROW()-1,DECKS!$O$2:$O$1201,0),"")</f>
        <v/>
      </c>
      <c r="I907" s="11" t="str">
        <f aca="false">IF(C907="","",G907&amp;" "&amp;D907&amp;" ("&amp;C907&amp;")")</f>
        <v/>
      </c>
    </row>
    <row r="908" customFormat="false" ht="15" hidden="false" customHeight="false" outlineLevel="0" collapsed="false">
      <c r="A908" s="16"/>
      <c r="B908" s="11" t="str">
        <f aca="false">IF($H908="","",INDEX(DECKS!$A$2:$A$1201,$H908))</f>
        <v/>
      </c>
      <c r="C908" s="11" t="str">
        <f aca="false">IF($H908="","",INDEX(DECKS!$B$2:$B$1201,$H908))</f>
        <v/>
      </c>
      <c r="D908" s="11" t="str">
        <f aca="false">IF($H908="","",INDEX(DECKS!$C$2:$C$1201,$H908))</f>
        <v/>
      </c>
      <c r="E908" s="16" t="str">
        <f aca="false">IF($H908="","",INDEX(DECKS!$D$2:$D$1201,$H908))</f>
        <v/>
      </c>
      <c r="F908" s="16" t="str">
        <f aca="false">IF($H908="","",INDEX(DECKS!$E$2:$E$1201,$H908))</f>
        <v/>
      </c>
      <c r="G908" s="21" t="str">
        <f aca="false">IF($H908="","",INDEX(DECKS!$F$2:$F$1201,$H908))</f>
        <v/>
      </c>
      <c r="H908" s="11" t="str">
        <f aca="false">IFERROR(MATCH(ROW()-1,DECKS!$O$2:$O$1201,0),"")</f>
        <v/>
      </c>
      <c r="I908" s="11" t="str">
        <f aca="false">IF(C908="","",G908&amp;" "&amp;D908&amp;" ("&amp;C908&amp;")")</f>
        <v/>
      </c>
    </row>
    <row r="909" customFormat="false" ht="15" hidden="false" customHeight="false" outlineLevel="0" collapsed="false">
      <c r="A909" s="16"/>
      <c r="B909" s="11" t="str">
        <f aca="false">IF($H909="","",INDEX(DECKS!$A$2:$A$1201,$H909))</f>
        <v/>
      </c>
      <c r="C909" s="11" t="str">
        <f aca="false">IF($H909="","",INDEX(DECKS!$B$2:$B$1201,$H909))</f>
        <v/>
      </c>
      <c r="D909" s="11" t="str">
        <f aca="false">IF($H909="","",INDEX(DECKS!$C$2:$C$1201,$H909))</f>
        <v/>
      </c>
      <c r="E909" s="16" t="str">
        <f aca="false">IF($H909="","",INDEX(DECKS!$D$2:$D$1201,$H909))</f>
        <v/>
      </c>
      <c r="F909" s="16" t="str">
        <f aca="false">IF($H909="","",INDEX(DECKS!$E$2:$E$1201,$H909))</f>
        <v/>
      </c>
      <c r="G909" s="21" t="str">
        <f aca="false">IF($H909="","",INDEX(DECKS!$F$2:$F$1201,$H909))</f>
        <v/>
      </c>
      <c r="H909" s="11" t="str">
        <f aca="false">IFERROR(MATCH(ROW()-1,DECKS!$O$2:$O$1201,0),"")</f>
        <v/>
      </c>
      <c r="I909" s="11" t="str">
        <f aca="false">IF(C909="","",G909&amp;" "&amp;D909&amp;" ("&amp;C909&amp;")")</f>
        <v/>
      </c>
    </row>
    <row r="910" customFormat="false" ht="15" hidden="false" customHeight="false" outlineLevel="0" collapsed="false">
      <c r="A910" s="16"/>
      <c r="B910" s="11" t="str">
        <f aca="false">IF($H910="","",INDEX(DECKS!$A$2:$A$1201,$H910))</f>
        <v/>
      </c>
      <c r="C910" s="11" t="str">
        <f aca="false">IF($H910="","",INDEX(DECKS!$B$2:$B$1201,$H910))</f>
        <v/>
      </c>
      <c r="D910" s="11" t="str">
        <f aca="false">IF($H910="","",INDEX(DECKS!$C$2:$C$1201,$H910))</f>
        <v/>
      </c>
      <c r="E910" s="16" t="str">
        <f aca="false">IF($H910="","",INDEX(DECKS!$D$2:$D$1201,$H910))</f>
        <v/>
      </c>
      <c r="F910" s="16" t="str">
        <f aca="false">IF($H910="","",INDEX(DECKS!$E$2:$E$1201,$H910))</f>
        <v/>
      </c>
      <c r="G910" s="21" t="str">
        <f aca="false">IF($H910="","",INDEX(DECKS!$F$2:$F$1201,$H910))</f>
        <v/>
      </c>
      <c r="H910" s="11" t="str">
        <f aca="false">IFERROR(MATCH(ROW()-1,DECKS!$O$2:$O$1201,0),"")</f>
        <v/>
      </c>
      <c r="I910" s="11" t="str">
        <f aca="false">IF(C910="","",G910&amp;" "&amp;D910&amp;" ("&amp;C910&amp;")")</f>
        <v/>
      </c>
    </row>
    <row r="911" customFormat="false" ht="15" hidden="false" customHeight="false" outlineLevel="0" collapsed="false">
      <c r="A911" s="16"/>
      <c r="B911" s="11" t="str">
        <f aca="false">IF($H911="","",INDEX(DECKS!$A$2:$A$1201,$H911))</f>
        <v/>
      </c>
      <c r="C911" s="11" t="str">
        <f aca="false">IF($H911="","",INDEX(DECKS!$B$2:$B$1201,$H911))</f>
        <v/>
      </c>
      <c r="D911" s="11" t="str">
        <f aca="false">IF($H911="","",INDEX(DECKS!$C$2:$C$1201,$H911))</f>
        <v/>
      </c>
      <c r="E911" s="16" t="str">
        <f aca="false">IF($H911="","",INDEX(DECKS!$D$2:$D$1201,$H911))</f>
        <v/>
      </c>
      <c r="F911" s="16" t="str">
        <f aca="false">IF($H911="","",INDEX(DECKS!$E$2:$E$1201,$H911))</f>
        <v/>
      </c>
      <c r="G911" s="21" t="str">
        <f aca="false">IF($H911="","",INDEX(DECKS!$F$2:$F$1201,$H911))</f>
        <v/>
      </c>
      <c r="H911" s="11" t="str">
        <f aca="false">IFERROR(MATCH(ROW()-1,DECKS!$O$2:$O$1201,0),"")</f>
        <v/>
      </c>
      <c r="I911" s="11" t="str">
        <f aca="false">IF(C911="","",G911&amp;" "&amp;D911&amp;" ("&amp;C911&amp;")")</f>
        <v/>
      </c>
    </row>
    <row r="912" customFormat="false" ht="15" hidden="false" customHeight="false" outlineLevel="0" collapsed="false">
      <c r="A912" s="16"/>
      <c r="B912" s="11" t="str">
        <f aca="false">IF($H912="","",INDEX(DECKS!$A$2:$A$1201,$H912))</f>
        <v/>
      </c>
      <c r="C912" s="11" t="str">
        <f aca="false">IF($H912="","",INDEX(DECKS!$B$2:$B$1201,$H912))</f>
        <v/>
      </c>
      <c r="D912" s="11" t="str">
        <f aca="false">IF($H912="","",INDEX(DECKS!$C$2:$C$1201,$H912))</f>
        <v/>
      </c>
      <c r="E912" s="16" t="str">
        <f aca="false">IF($H912="","",INDEX(DECKS!$D$2:$D$1201,$H912))</f>
        <v/>
      </c>
      <c r="F912" s="16" t="str">
        <f aca="false">IF($H912="","",INDEX(DECKS!$E$2:$E$1201,$H912))</f>
        <v/>
      </c>
      <c r="G912" s="21" t="str">
        <f aca="false">IF($H912="","",INDEX(DECKS!$F$2:$F$1201,$H912))</f>
        <v/>
      </c>
      <c r="H912" s="11" t="str">
        <f aca="false">IFERROR(MATCH(ROW()-1,DECKS!$O$2:$O$1201,0),"")</f>
        <v/>
      </c>
      <c r="I912" s="11" t="str">
        <f aca="false">IF(C912="","",G912&amp;" "&amp;D912&amp;" ("&amp;C912&amp;")")</f>
        <v/>
      </c>
    </row>
    <row r="913" customFormat="false" ht="15" hidden="false" customHeight="false" outlineLevel="0" collapsed="false">
      <c r="A913" s="16"/>
      <c r="B913" s="11" t="str">
        <f aca="false">IF($H913="","",INDEX(DECKS!$A$2:$A$1201,$H913))</f>
        <v/>
      </c>
      <c r="C913" s="11" t="str">
        <f aca="false">IF($H913="","",INDEX(DECKS!$B$2:$B$1201,$H913))</f>
        <v/>
      </c>
      <c r="D913" s="11" t="str">
        <f aca="false">IF($H913="","",INDEX(DECKS!$C$2:$C$1201,$H913))</f>
        <v/>
      </c>
      <c r="E913" s="16" t="str">
        <f aca="false">IF($H913="","",INDEX(DECKS!$D$2:$D$1201,$H913))</f>
        <v/>
      </c>
      <c r="F913" s="16" t="str">
        <f aca="false">IF($H913="","",INDEX(DECKS!$E$2:$E$1201,$H913))</f>
        <v/>
      </c>
      <c r="G913" s="21" t="str">
        <f aca="false">IF($H913="","",INDEX(DECKS!$F$2:$F$1201,$H913))</f>
        <v/>
      </c>
      <c r="H913" s="11" t="str">
        <f aca="false">IFERROR(MATCH(ROW()-1,DECKS!$O$2:$O$1201,0),"")</f>
        <v/>
      </c>
      <c r="I913" s="11" t="str">
        <f aca="false">IF(C913="","",G913&amp;" "&amp;D913&amp;" ("&amp;C913&amp;")")</f>
        <v/>
      </c>
    </row>
    <row r="914" customFormat="false" ht="15" hidden="false" customHeight="false" outlineLevel="0" collapsed="false">
      <c r="A914" s="16"/>
      <c r="B914" s="11" t="str">
        <f aca="false">IF($H914="","",INDEX(DECKS!$A$2:$A$1201,$H914))</f>
        <v/>
      </c>
      <c r="C914" s="11" t="str">
        <f aca="false">IF($H914="","",INDEX(DECKS!$B$2:$B$1201,$H914))</f>
        <v/>
      </c>
      <c r="D914" s="11" t="str">
        <f aca="false">IF($H914="","",INDEX(DECKS!$C$2:$C$1201,$H914))</f>
        <v/>
      </c>
      <c r="E914" s="16" t="str">
        <f aca="false">IF($H914="","",INDEX(DECKS!$D$2:$D$1201,$H914))</f>
        <v/>
      </c>
      <c r="F914" s="16" t="str">
        <f aca="false">IF($H914="","",INDEX(DECKS!$E$2:$E$1201,$H914))</f>
        <v/>
      </c>
      <c r="G914" s="21" t="str">
        <f aca="false">IF($H914="","",INDEX(DECKS!$F$2:$F$1201,$H914))</f>
        <v/>
      </c>
      <c r="H914" s="11" t="str">
        <f aca="false">IFERROR(MATCH(ROW()-1,DECKS!$O$2:$O$1201,0),"")</f>
        <v/>
      </c>
      <c r="I914" s="11" t="str">
        <f aca="false">IF(C914="","",G914&amp;" "&amp;D914&amp;" ("&amp;C914&amp;")")</f>
        <v/>
      </c>
    </row>
    <row r="915" customFormat="false" ht="15" hidden="false" customHeight="false" outlineLevel="0" collapsed="false">
      <c r="A915" s="16"/>
      <c r="B915" s="11" t="str">
        <f aca="false">IF($H915="","",INDEX(DECKS!$A$2:$A$1201,$H915))</f>
        <v/>
      </c>
      <c r="C915" s="11" t="str">
        <f aca="false">IF($H915="","",INDEX(DECKS!$B$2:$B$1201,$H915))</f>
        <v/>
      </c>
      <c r="D915" s="11" t="str">
        <f aca="false">IF($H915="","",INDEX(DECKS!$C$2:$C$1201,$H915))</f>
        <v/>
      </c>
      <c r="E915" s="16" t="str">
        <f aca="false">IF($H915="","",INDEX(DECKS!$D$2:$D$1201,$H915))</f>
        <v/>
      </c>
      <c r="F915" s="16" t="str">
        <f aca="false">IF($H915="","",INDEX(DECKS!$E$2:$E$1201,$H915))</f>
        <v/>
      </c>
      <c r="G915" s="21" t="str">
        <f aca="false">IF($H915="","",INDEX(DECKS!$F$2:$F$1201,$H915))</f>
        <v/>
      </c>
      <c r="H915" s="11" t="str">
        <f aca="false">IFERROR(MATCH(ROW()-1,DECKS!$O$2:$O$1201,0),"")</f>
        <v/>
      </c>
      <c r="I915" s="11" t="str">
        <f aca="false">IF(C915="","",G915&amp;" "&amp;D915&amp;" ("&amp;C915&amp;")")</f>
        <v/>
      </c>
    </row>
    <row r="916" customFormat="false" ht="15" hidden="false" customHeight="false" outlineLevel="0" collapsed="false">
      <c r="A916" s="16"/>
      <c r="B916" s="11" t="str">
        <f aca="false">IF($H916="","",INDEX(DECKS!$A$2:$A$1201,$H916))</f>
        <v/>
      </c>
      <c r="C916" s="11" t="str">
        <f aca="false">IF($H916="","",INDEX(DECKS!$B$2:$B$1201,$H916))</f>
        <v/>
      </c>
      <c r="D916" s="11" t="str">
        <f aca="false">IF($H916="","",INDEX(DECKS!$C$2:$C$1201,$H916))</f>
        <v/>
      </c>
      <c r="E916" s="16" t="str">
        <f aca="false">IF($H916="","",INDEX(DECKS!$D$2:$D$1201,$H916))</f>
        <v/>
      </c>
      <c r="F916" s="16" t="str">
        <f aca="false">IF($H916="","",INDEX(DECKS!$E$2:$E$1201,$H916))</f>
        <v/>
      </c>
      <c r="G916" s="21" t="str">
        <f aca="false">IF($H916="","",INDEX(DECKS!$F$2:$F$1201,$H916))</f>
        <v/>
      </c>
      <c r="H916" s="11" t="str">
        <f aca="false">IFERROR(MATCH(ROW()-1,DECKS!$O$2:$O$1201,0),"")</f>
        <v/>
      </c>
      <c r="I916" s="11" t="str">
        <f aca="false">IF(C916="","",G916&amp;" "&amp;D916&amp;" ("&amp;C916&amp;")")</f>
        <v/>
      </c>
    </row>
    <row r="917" customFormat="false" ht="15" hidden="false" customHeight="false" outlineLevel="0" collapsed="false">
      <c r="A917" s="16"/>
      <c r="B917" s="11" t="str">
        <f aca="false">IF($H917="","",INDEX(DECKS!$A$2:$A$1201,$H917))</f>
        <v/>
      </c>
      <c r="C917" s="11" t="str">
        <f aca="false">IF($H917="","",INDEX(DECKS!$B$2:$B$1201,$H917))</f>
        <v/>
      </c>
      <c r="D917" s="11" t="str">
        <f aca="false">IF($H917="","",INDEX(DECKS!$C$2:$C$1201,$H917))</f>
        <v/>
      </c>
      <c r="E917" s="16" t="str">
        <f aca="false">IF($H917="","",INDEX(DECKS!$D$2:$D$1201,$H917))</f>
        <v/>
      </c>
      <c r="F917" s="16" t="str">
        <f aca="false">IF($H917="","",INDEX(DECKS!$E$2:$E$1201,$H917))</f>
        <v/>
      </c>
      <c r="G917" s="21" t="str">
        <f aca="false">IF($H917="","",INDEX(DECKS!$F$2:$F$1201,$H917))</f>
        <v/>
      </c>
      <c r="H917" s="11" t="str">
        <f aca="false">IFERROR(MATCH(ROW()-1,DECKS!$O$2:$O$1201,0),"")</f>
        <v/>
      </c>
      <c r="I917" s="11" t="str">
        <f aca="false">IF(C917="","",G917&amp;" "&amp;D917&amp;" ("&amp;C917&amp;")")</f>
        <v/>
      </c>
    </row>
    <row r="918" customFormat="false" ht="15" hidden="false" customHeight="false" outlineLevel="0" collapsed="false">
      <c r="A918" s="16"/>
      <c r="B918" s="11" t="str">
        <f aca="false">IF($H918="","",INDEX(DECKS!$A$2:$A$1201,$H918))</f>
        <v/>
      </c>
      <c r="C918" s="11" t="str">
        <f aca="false">IF($H918="","",INDEX(DECKS!$B$2:$B$1201,$H918))</f>
        <v/>
      </c>
      <c r="D918" s="11" t="str">
        <f aca="false">IF($H918="","",INDEX(DECKS!$C$2:$C$1201,$H918))</f>
        <v/>
      </c>
      <c r="E918" s="16" t="str">
        <f aca="false">IF($H918="","",INDEX(DECKS!$D$2:$D$1201,$H918))</f>
        <v/>
      </c>
      <c r="F918" s="16" t="str">
        <f aca="false">IF($H918="","",INDEX(DECKS!$E$2:$E$1201,$H918))</f>
        <v/>
      </c>
      <c r="G918" s="21" t="str">
        <f aca="false">IF($H918="","",INDEX(DECKS!$F$2:$F$1201,$H918))</f>
        <v/>
      </c>
      <c r="H918" s="11" t="str">
        <f aca="false">IFERROR(MATCH(ROW()-1,DECKS!$O$2:$O$1201,0),"")</f>
        <v/>
      </c>
      <c r="I918" s="11" t="str">
        <f aca="false">IF(C918="","",G918&amp;" "&amp;D918&amp;" ("&amp;C918&amp;")")</f>
        <v/>
      </c>
    </row>
    <row r="919" customFormat="false" ht="15" hidden="false" customHeight="false" outlineLevel="0" collapsed="false">
      <c r="A919" s="16"/>
      <c r="B919" s="11" t="str">
        <f aca="false">IF($H919="","",INDEX(DECKS!$A$2:$A$1201,$H919))</f>
        <v/>
      </c>
      <c r="C919" s="11" t="str">
        <f aca="false">IF($H919="","",INDEX(DECKS!$B$2:$B$1201,$H919))</f>
        <v/>
      </c>
      <c r="D919" s="11" t="str">
        <f aca="false">IF($H919="","",INDEX(DECKS!$C$2:$C$1201,$H919))</f>
        <v/>
      </c>
      <c r="E919" s="16" t="str">
        <f aca="false">IF($H919="","",INDEX(DECKS!$D$2:$D$1201,$H919))</f>
        <v/>
      </c>
      <c r="F919" s="16" t="str">
        <f aca="false">IF($H919="","",INDEX(DECKS!$E$2:$E$1201,$H919))</f>
        <v/>
      </c>
      <c r="G919" s="21" t="str">
        <f aca="false">IF($H919="","",INDEX(DECKS!$F$2:$F$1201,$H919))</f>
        <v/>
      </c>
      <c r="H919" s="11" t="str">
        <f aca="false">IFERROR(MATCH(ROW()-1,DECKS!$O$2:$O$1201,0),"")</f>
        <v/>
      </c>
      <c r="I919" s="11" t="str">
        <f aca="false">IF(C919="","",G919&amp;" "&amp;D919&amp;" ("&amp;C919&amp;")")</f>
        <v/>
      </c>
    </row>
    <row r="920" customFormat="false" ht="15" hidden="false" customHeight="false" outlineLevel="0" collapsed="false">
      <c r="A920" s="16"/>
      <c r="B920" s="11" t="str">
        <f aca="false">IF($H920="","",INDEX(DECKS!$A$2:$A$1201,$H920))</f>
        <v/>
      </c>
      <c r="C920" s="11" t="str">
        <f aca="false">IF($H920="","",INDEX(DECKS!$B$2:$B$1201,$H920))</f>
        <v/>
      </c>
      <c r="D920" s="11" t="str">
        <f aca="false">IF($H920="","",INDEX(DECKS!$C$2:$C$1201,$H920))</f>
        <v/>
      </c>
      <c r="E920" s="16" t="str">
        <f aca="false">IF($H920="","",INDEX(DECKS!$D$2:$D$1201,$H920))</f>
        <v/>
      </c>
      <c r="F920" s="16" t="str">
        <f aca="false">IF($H920="","",INDEX(DECKS!$E$2:$E$1201,$H920))</f>
        <v/>
      </c>
      <c r="G920" s="21" t="str">
        <f aca="false">IF($H920="","",INDEX(DECKS!$F$2:$F$1201,$H920))</f>
        <v/>
      </c>
      <c r="H920" s="11" t="str">
        <f aca="false">IFERROR(MATCH(ROW()-1,DECKS!$O$2:$O$1201,0),"")</f>
        <v/>
      </c>
      <c r="I920" s="11" t="str">
        <f aca="false">IF(C920="","",G920&amp;" "&amp;D920&amp;" ("&amp;C920&amp;")")</f>
        <v/>
      </c>
    </row>
    <row r="921" customFormat="false" ht="15" hidden="false" customHeight="false" outlineLevel="0" collapsed="false">
      <c r="A921" s="16"/>
      <c r="B921" s="11" t="str">
        <f aca="false">IF($H921="","",INDEX(DECKS!$A$2:$A$1201,$H921))</f>
        <v/>
      </c>
      <c r="C921" s="11" t="str">
        <f aca="false">IF($H921="","",INDEX(DECKS!$B$2:$B$1201,$H921))</f>
        <v/>
      </c>
      <c r="D921" s="11" t="str">
        <f aca="false">IF($H921="","",INDEX(DECKS!$C$2:$C$1201,$H921))</f>
        <v/>
      </c>
      <c r="E921" s="16" t="str">
        <f aca="false">IF($H921="","",INDEX(DECKS!$D$2:$D$1201,$H921))</f>
        <v/>
      </c>
      <c r="F921" s="16" t="str">
        <f aca="false">IF($H921="","",INDEX(DECKS!$E$2:$E$1201,$H921))</f>
        <v/>
      </c>
      <c r="G921" s="21" t="str">
        <f aca="false">IF($H921="","",INDEX(DECKS!$F$2:$F$1201,$H921))</f>
        <v/>
      </c>
      <c r="H921" s="11" t="str">
        <f aca="false">IFERROR(MATCH(ROW()-1,DECKS!$O$2:$O$1201,0),"")</f>
        <v/>
      </c>
      <c r="I921" s="11" t="str">
        <f aca="false">IF(C921="","",G921&amp;" "&amp;D921&amp;" ("&amp;C921&amp;")")</f>
        <v/>
      </c>
    </row>
    <row r="922" customFormat="false" ht="15" hidden="false" customHeight="false" outlineLevel="0" collapsed="false">
      <c r="A922" s="16"/>
      <c r="B922" s="11" t="str">
        <f aca="false">IF($H922="","",INDEX(DECKS!$A$2:$A$1201,$H922))</f>
        <v/>
      </c>
      <c r="C922" s="11" t="str">
        <f aca="false">IF($H922="","",INDEX(DECKS!$B$2:$B$1201,$H922))</f>
        <v/>
      </c>
      <c r="D922" s="11" t="str">
        <f aca="false">IF($H922="","",INDEX(DECKS!$C$2:$C$1201,$H922))</f>
        <v/>
      </c>
      <c r="E922" s="16" t="str">
        <f aca="false">IF($H922="","",INDEX(DECKS!$D$2:$D$1201,$H922))</f>
        <v/>
      </c>
      <c r="F922" s="16" t="str">
        <f aca="false">IF($H922="","",INDEX(DECKS!$E$2:$E$1201,$H922))</f>
        <v/>
      </c>
      <c r="G922" s="21" t="str">
        <f aca="false">IF($H922="","",INDEX(DECKS!$F$2:$F$1201,$H922))</f>
        <v/>
      </c>
      <c r="H922" s="11" t="str">
        <f aca="false">IFERROR(MATCH(ROW()-1,DECKS!$O$2:$O$1201,0),"")</f>
        <v/>
      </c>
      <c r="I922" s="11" t="str">
        <f aca="false">IF(C922="","",G922&amp;" "&amp;D922&amp;" ("&amp;C922&amp;")")</f>
        <v/>
      </c>
    </row>
    <row r="923" customFormat="false" ht="15" hidden="false" customHeight="false" outlineLevel="0" collapsed="false">
      <c r="A923" s="16"/>
      <c r="B923" s="11" t="str">
        <f aca="false">IF($H923="","",INDEX(DECKS!$A$2:$A$1201,$H923))</f>
        <v/>
      </c>
      <c r="C923" s="11" t="str">
        <f aca="false">IF($H923="","",INDEX(DECKS!$B$2:$B$1201,$H923))</f>
        <v/>
      </c>
      <c r="D923" s="11" t="str">
        <f aca="false">IF($H923="","",INDEX(DECKS!$C$2:$C$1201,$H923))</f>
        <v/>
      </c>
      <c r="E923" s="16" t="str">
        <f aca="false">IF($H923="","",INDEX(DECKS!$D$2:$D$1201,$H923))</f>
        <v/>
      </c>
      <c r="F923" s="16" t="str">
        <f aca="false">IF($H923="","",INDEX(DECKS!$E$2:$E$1201,$H923))</f>
        <v/>
      </c>
      <c r="G923" s="21" t="str">
        <f aca="false">IF($H923="","",INDEX(DECKS!$F$2:$F$1201,$H923))</f>
        <v/>
      </c>
      <c r="H923" s="11" t="str">
        <f aca="false">IFERROR(MATCH(ROW()-1,DECKS!$O$2:$O$1201,0),"")</f>
        <v/>
      </c>
      <c r="I923" s="11" t="str">
        <f aca="false">IF(C923="","",G923&amp;" "&amp;D923&amp;" ("&amp;C923&amp;")")</f>
        <v/>
      </c>
    </row>
    <row r="924" customFormat="false" ht="15" hidden="false" customHeight="false" outlineLevel="0" collapsed="false">
      <c r="A924" s="16"/>
      <c r="B924" s="11" t="str">
        <f aca="false">IF($H924="","",INDEX(DECKS!$A$2:$A$1201,$H924))</f>
        <v/>
      </c>
      <c r="C924" s="11" t="str">
        <f aca="false">IF($H924="","",INDEX(DECKS!$B$2:$B$1201,$H924))</f>
        <v/>
      </c>
      <c r="D924" s="11" t="str">
        <f aca="false">IF($H924="","",INDEX(DECKS!$C$2:$C$1201,$H924))</f>
        <v/>
      </c>
      <c r="E924" s="16" t="str">
        <f aca="false">IF($H924="","",INDEX(DECKS!$D$2:$D$1201,$H924))</f>
        <v/>
      </c>
      <c r="F924" s="16" t="str">
        <f aca="false">IF($H924="","",INDEX(DECKS!$E$2:$E$1201,$H924))</f>
        <v/>
      </c>
      <c r="G924" s="21" t="str">
        <f aca="false">IF($H924="","",INDEX(DECKS!$F$2:$F$1201,$H924))</f>
        <v/>
      </c>
      <c r="H924" s="11" t="str">
        <f aca="false">IFERROR(MATCH(ROW()-1,DECKS!$O$2:$O$1201,0),"")</f>
        <v/>
      </c>
      <c r="I924" s="11" t="str">
        <f aca="false">IF(C924="","",G924&amp;" "&amp;D924&amp;" ("&amp;C924&amp;")")</f>
        <v/>
      </c>
    </row>
    <row r="925" customFormat="false" ht="15" hidden="false" customHeight="false" outlineLevel="0" collapsed="false">
      <c r="A925" s="16"/>
      <c r="B925" s="11" t="str">
        <f aca="false">IF($H925="","",INDEX(DECKS!$A$2:$A$1201,$H925))</f>
        <v/>
      </c>
      <c r="C925" s="11" t="str">
        <f aca="false">IF($H925="","",INDEX(DECKS!$B$2:$B$1201,$H925))</f>
        <v/>
      </c>
      <c r="D925" s="11" t="str">
        <f aca="false">IF($H925="","",INDEX(DECKS!$C$2:$C$1201,$H925))</f>
        <v/>
      </c>
      <c r="E925" s="16" t="str">
        <f aca="false">IF($H925="","",INDEX(DECKS!$D$2:$D$1201,$H925))</f>
        <v/>
      </c>
      <c r="F925" s="16" t="str">
        <f aca="false">IF($H925="","",INDEX(DECKS!$E$2:$E$1201,$H925))</f>
        <v/>
      </c>
      <c r="G925" s="21" t="str">
        <f aca="false">IF($H925="","",INDEX(DECKS!$F$2:$F$1201,$H925))</f>
        <v/>
      </c>
      <c r="H925" s="11" t="str">
        <f aca="false">IFERROR(MATCH(ROW()-1,DECKS!$O$2:$O$1201,0),"")</f>
        <v/>
      </c>
      <c r="I925" s="11" t="str">
        <f aca="false">IF(C925="","",G925&amp;" "&amp;D925&amp;" ("&amp;C925&amp;")")</f>
        <v/>
      </c>
    </row>
    <row r="926" customFormat="false" ht="15" hidden="false" customHeight="false" outlineLevel="0" collapsed="false">
      <c r="A926" s="16"/>
      <c r="B926" s="11" t="str">
        <f aca="false">IF($H926="","",INDEX(DECKS!$A$2:$A$1201,$H926))</f>
        <v/>
      </c>
      <c r="C926" s="11" t="str">
        <f aca="false">IF($H926="","",INDEX(DECKS!$B$2:$B$1201,$H926))</f>
        <v/>
      </c>
      <c r="D926" s="11" t="str">
        <f aca="false">IF($H926="","",INDEX(DECKS!$C$2:$C$1201,$H926))</f>
        <v/>
      </c>
      <c r="E926" s="16" t="str">
        <f aca="false">IF($H926="","",INDEX(DECKS!$D$2:$D$1201,$H926))</f>
        <v/>
      </c>
      <c r="F926" s="16" t="str">
        <f aca="false">IF($H926="","",INDEX(DECKS!$E$2:$E$1201,$H926))</f>
        <v/>
      </c>
      <c r="G926" s="21" t="str">
        <f aca="false">IF($H926="","",INDEX(DECKS!$F$2:$F$1201,$H926))</f>
        <v/>
      </c>
      <c r="H926" s="11" t="str">
        <f aca="false">IFERROR(MATCH(ROW()-1,DECKS!$O$2:$O$1201,0),"")</f>
        <v/>
      </c>
      <c r="I926" s="11" t="str">
        <f aca="false">IF(C926="","",G926&amp;" "&amp;D926&amp;" ("&amp;C926&amp;")")</f>
        <v/>
      </c>
    </row>
    <row r="927" customFormat="false" ht="15" hidden="false" customHeight="false" outlineLevel="0" collapsed="false">
      <c r="A927" s="16"/>
      <c r="B927" s="11" t="str">
        <f aca="false">IF($H927="","",INDEX(DECKS!$A$2:$A$1201,$H927))</f>
        <v/>
      </c>
      <c r="C927" s="11" t="str">
        <f aca="false">IF($H927="","",INDEX(DECKS!$B$2:$B$1201,$H927))</f>
        <v/>
      </c>
      <c r="D927" s="11" t="str">
        <f aca="false">IF($H927="","",INDEX(DECKS!$C$2:$C$1201,$H927))</f>
        <v/>
      </c>
      <c r="E927" s="16" t="str">
        <f aca="false">IF($H927="","",INDEX(DECKS!$D$2:$D$1201,$H927))</f>
        <v/>
      </c>
      <c r="F927" s="16" t="str">
        <f aca="false">IF($H927="","",INDEX(DECKS!$E$2:$E$1201,$H927))</f>
        <v/>
      </c>
      <c r="G927" s="21" t="str">
        <f aca="false">IF($H927="","",INDEX(DECKS!$F$2:$F$1201,$H927))</f>
        <v/>
      </c>
      <c r="H927" s="11" t="str">
        <f aca="false">IFERROR(MATCH(ROW()-1,DECKS!$O$2:$O$1201,0),"")</f>
        <v/>
      </c>
      <c r="I927" s="11" t="str">
        <f aca="false">IF(C927="","",G927&amp;" "&amp;D927&amp;" ("&amp;C927&amp;")")</f>
        <v/>
      </c>
    </row>
    <row r="928" customFormat="false" ht="15" hidden="false" customHeight="false" outlineLevel="0" collapsed="false">
      <c r="A928" s="16"/>
      <c r="B928" s="11" t="str">
        <f aca="false">IF($H928="","",INDEX(DECKS!$A$2:$A$1201,$H928))</f>
        <v/>
      </c>
      <c r="C928" s="11" t="str">
        <f aca="false">IF($H928="","",INDEX(DECKS!$B$2:$B$1201,$H928))</f>
        <v/>
      </c>
      <c r="D928" s="11" t="str">
        <f aca="false">IF($H928="","",INDEX(DECKS!$C$2:$C$1201,$H928))</f>
        <v/>
      </c>
      <c r="E928" s="16" t="str">
        <f aca="false">IF($H928="","",INDEX(DECKS!$D$2:$D$1201,$H928))</f>
        <v/>
      </c>
      <c r="F928" s="16" t="str">
        <f aca="false">IF($H928="","",INDEX(DECKS!$E$2:$E$1201,$H928))</f>
        <v/>
      </c>
      <c r="G928" s="21" t="str">
        <f aca="false">IF($H928="","",INDEX(DECKS!$F$2:$F$1201,$H928))</f>
        <v/>
      </c>
      <c r="H928" s="11" t="str">
        <f aca="false">IFERROR(MATCH(ROW()-1,DECKS!$O$2:$O$1201,0),"")</f>
        <v/>
      </c>
      <c r="I928" s="11" t="str">
        <f aca="false">IF(C928="","",G928&amp;" "&amp;D928&amp;" ("&amp;C928&amp;")")</f>
        <v/>
      </c>
    </row>
    <row r="929" customFormat="false" ht="15" hidden="false" customHeight="false" outlineLevel="0" collapsed="false">
      <c r="A929" s="16"/>
      <c r="B929" s="11" t="str">
        <f aca="false">IF($H929="","",INDEX(DECKS!$A$2:$A$1201,$H929))</f>
        <v/>
      </c>
      <c r="C929" s="11" t="str">
        <f aca="false">IF($H929="","",INDEX(DECKS!$B$2:$B$1201,$H929))</f>
        <v/>
      </c>
      <c r="D929" s="11" t="str">
        <f aca="false">IF($H929="","",INDEX(DECKS!$C$2:$C$1201,$H929))</f>
        <v/>
      </c>
      <c r="E929" s="16" t="str">
        <f aca="false">IF($H929="","",INDEX(DECKS!$D$2:$D$1201,$H929))</f>
        <v/>
      </c>
      <c r="F929" s="16" t="str">
        <f aca="false">IF($H929="","",INDEX(DECKS!$E$2:$E$1201,$H929))</f>
        <v/>
      </c>
      <c r="G929" s="21" t="str">
        <f aca="false">IF($H929="","",INDEX(DECKS!$F$2:$F$1201,$H929))</f>
        <v/>
      </c>
      <c r="H929" s="11" t="str">
        <f aca="false">IFERROR(MATCH(ROW()-1,DECKS!$O$2:$O$1201,0),"")</f>
        <v/>
      </c>
      <c r="I929" s="11" t="str">
        <f aca="false">IF(C929="","",G929&amp;" "&amp;D929&amp;" ("&amp;C929&amp;")")</f>
        <v/>
      </c>
    </row>
    <row r="930" customFormat="false" ht="15" hidden="false" customHeight="false" outlineLevel="0" collapsed="false">
      <c r="A930" s="16"/>
      <c r="B930" s="11" t="str">
        <f aca="false">IF($H930="","",INDEX(DECKS!$A$2:$A$1201,$H930))</f>
        <v/>
      </c>
      <c r="C930" s="11" t="str">
        <f aca="false">IF($H930="","",INDEX(DECKS!$B$2:$B$1201,$H930))</f>
        <v/>
      </c>
      <c r="D930" s="11" t="str">
        <f aca="false">IF($H930="","",INDEX(DECKS!$C$2:$C$1201,$H930))</f>
        <v/>
      </c>
      <c r="E930" s="16" t="str">
        <f aca="false">IF($H930="","",INDEX(DECKS!$D$2:$D$1201,$H930))</f>
        <v/>
      </c>
      <c r="F930" s="16" t="str">
        <f aca="false">IF($H930="","",INDEX(DECKS!$E$2:$E$1201,$H930))</f>
        <v/>
      </c>
      <c r="G930" s="21" t="str">
        <f aca="false">IF($H930="","",INDEX(DECKS!$F$2:$F$1201,$H930))</f>
        <v/>
      </c>
      <c r="H930" s="11" t="str">
        <f aca="false">IFERROR(MATCH(ROW()-1,DECKS!$O$2:$O$1201,0),"")</f>
        <v/>
      </c>
      <c r="I930" s="11" t="str">
        <f aca="false">IF(C930="","",G930&amp;" "&amp;D930&amp;" ("&amp;C930&amp;")")</f>
        <v/>
      </c>
    </row>
    <row r="931" customFormat="false" ht="15" hidden="false" customHeight="false" outlineLevel="0" collapsed="false">
      <c r="A931" s="16"/>
      <c r="B931" s="11" t="str">
        <f aca="false">IF($H931="","",INDEX(DECKS!$A$2:$A$1201,$H931))</f>
        <v/>
      </c>
      <c r="C931" s="11" t="str">
        <f aca="false">IF($H931="","",INDEX(DECKS!$B$2:$B$1201,$H931))</f>
        <v/>
      </c>
      <c r="D931" s="11" t="str">
        <f aca="false">IF($H931="","",INDEX(DECKS!$C$2:$C$1201,$H931))</f>
        <v/>
      </c>
      <c r="E931" s="16" t="str">
        <f aca="false">IF($H931="","",INDEX(DECKS!$D$2:$D$1201,$H931))</f>
        <v/>
      </c>
      <c r="F931" s="16" t="str">
        <f aca="false">IF($H931="","",INDEX(DECKS!$E$2:$E$1201,$H931))</f>
        <v/>
      </c>
      <c r="G931" s="21" t="str">
        <f aca="false">IF($H931="","",INDEX(DECKS!$F$2:$F$1201,$H931))</f>
        <v/>
      </c>
      <c r="H931" s="11" t="str">
        <f aca="false">IFERROR(MATCH(ROW()-1,DECKS!$O$2:$O$1201,0),"")</f>
        <v/>
      </c>
      <c r="I931" s="11" t="str">
        <f aca="false">IF(C931="","",G931&amp;" "&amp;D931&amp;" ("&amp;C931&amp;")")</f>
        <v/>
      </c>
    </row>
    <row r="932" customFormat="false" ht="15" hidden="false" customHeight="false" outlineLevel="0" collapsed="false">
      <c r="A932" s="16"/>
      <c r="B932" s="11" t="str">
        <f aca="false">IF($H932="","",INDEX(DECKS!$A$2:$A$1201,$H932))</f>
        <v/>
      </c>
      <c r="C932" s="11" t="str">
        <f aca="false">IF($H932="","",INDEX(DECKS!$B$2:$B$1201,$H932))</f>
        <v/>
      </c>
      <c r="D932" s="11" t="str">
        <f aca="false">IF($H932="","",INDEX(DECKS!$C$2:$C$1201,$H932))</f>
        <v/>
      </c>
      <c r="E932" s="16" t="str">
        <f aca="false">IF($H932="","",INDEX(DECKS!$D$2:$D$1201,$H932))</f>
        <v/>
      </c>
      <c r="F932" s="16" t="str">
        <f aca="false">IF($H932="","",INDEX(DECKS!$E$2:$E$1201,$H932))</f>
        <v/>
      </c>
      <c r="G932" s="21" t="str">
        <f aca="false">IF($H932="","",INDEX(DECKS!$F$2:$F$1201,$H932))</f>
        <v/>
      </c>
      <c r="H932" s="11" t="str">
        <f aca="false">IFERROR(MATCH(ROW()-1,DECKS!$O$2:$O$1201,0),"")</f>
        <v/>
      </c>
      <c r="I932" s="11" t="str">
        <f aca="false">IF(C932="","",G932&amp;" "&amp;D932&amp;" ("&amp;C932&amp;")")</f>
        <v/>
      </c>
    </row>
    <row r="933" customFormat="false" ht="15" hidden="false" customHeight="false" outlineLevel="0" collapsed="false">
      <c r="A933" s="16"/>
      <c r="B933" s="11" t="str">
        <f aca="false">IF($H933="","",INDEX(DECKS!$A$2:$A$1201,$H933))</f>
        <v/>
      </c>
      <c r="C933" s="11" t="str">
        <f aca="false">IF($H933="","",INDEX(DECKS!$B$2:$B$1201,$H933))</f>
        <v/>
      </c>
      <c r="D933" s="11" t="str">
        <f aca="false">IF($H933="","",INDEX(DECKS!$C$2:$C$1201,$H933))</f>
        <v/>
      </c>
      <c r="E933" s="16" t="str">
        <f aca="false">IF($H933="","",INDEX(DECKS!$D$2:$D$1201,$H933))</f>
        <v/>
      </c>
      <c r="F933" s="16" t="str">
        <f aca="false">IF($H933="","",INDEX(DECKS!$E$2:$E$1201,$H933))</f>
        <v/>
      </c>
      <c r="G933" s="21" t="str">
        <f aca="false">IF($H933="","",INDEX(DECKS!$F$2:$F$1201,$H933))</f>
        <v/>
      </c>
      <c r="H933" s="11" t="str">
        <f aca="false">IFERROR(MATCH(ROW()-1,DECKS!$O$2:$O$1201,0),"")</f>
        <v/>
      </c>
      <c r="I933" s="11" t="str">
        <f aca="false">IF(C933="","",G933&amp;" "&amp;D933&amp;" ("&amp;C933&amp;")")</f>
        <v/>
      </c>
    </row>
    <row r="934" customFormat="false" ht="15" hidden="false" customHeight="false" outlineLevel="0" collapsed="false">
      <c r="A934" s="16"/>
      <c r="B934" s="11" t="str">
        <f aca="false">IF($H934="","",INDEX(DECKS!$A$2:$A$1201,$H934))</f>
        <v/>
      </c>
      <c r="C934" s="11" t="str">
        <f aca="false">IF($H934="","",INDEX(DECKS!$B$2:$B$1201,$H934))</f>
        <v/>
      </c>
      <c r="D934" s="11" t="str">
        <f aca="false">IF($H934="","",INDEX(DECKS!$C$2:$C$1201,$H934))</f>
        <v/>
      </c>
      <c r="E934" s="16" t="str">
        <f aca="false">IF($H934="","",INDEX(DECKS!$D$2:$D$1201,$H934))</f>
        <v/>
      </c>
      <c r="F934" s="16" t="str">
        <f aca="false">IF($H934="","",INDEX(DECKS!$E$2:$E$1201,$H934))</f>
        <v/>
      </c>
      <c r="G934" s="21" t="str">
        <f aca="false">IF($H934="","",INDEX(DECKS!$F$2:$F$1201,$H934))</f>
        <v/>
      </c>
      <c r="H934" s="11" t="str">
        <f aca="false">IFERROR(MATCH(ROW()-1,DECKS!$O$2:$O$1201,0),"")</f>
        <v/>
      </c>
      <c r="I934" s="11" t="str">
        <f aca="false">IF(C934="","",G934&amp;" "&amp;D934&amp;" ("&amp;C934&amp;")")</f>
        <v/>
      </c>
    </row>
    <row r="935" customFormat="false" ht="15" hidden="false" customHeight="false" outlineLevel="0" collapsed="false">
      <c r="A935" s="16"/>
      <c r="B935" s="11" t="str">
        <f aca="false">IF($H935="","",INDEX(DECKS!$A$2:$A$1201,$H935))</f>
        <v/>
      </c>
      <c r="C935" s="11" t="str">
        <f aca="false">IF($H935="","",INDEX(DECKS!$B$2:$B$1201,$H935))</f>
        <v/>
      </c>
      <c r="D935" s="11" t="str">
        <f aca="false">IF($H935="","",INDEX(DECKS!$C$2:$C$1201,$H935))</f>
        <v/>
      </c>
      <c r="E935" s="16" t="str">
        <f aca="false">IF($H935="","",INDEX(DECKS!$D$2:$D$1201,$H935))</f>
        <v/>
      </c>
      <c r="F935" s="16" t="str">
        <f aca="false">IF($H935="","",INDEX(DECKS!$E$2:$E$1201,$H935))</f>
        <v/>
      </c>
      <c r="G935" s="21" t="str">
        <f aca="false">IF($H935="","",INDEX(DECKS!$F$2:$F$1201,$H935))</f>
        <v/>
      </c>
      <c r="H935" s="11" t="str">
        <f aca="false">IFERROR(MATCH(ROW()-1,DECKS!$O$2:$O$1201,0),"")</f>
        <v/>
      </c>
      <c r="I935" s="11" t="str">
        <f aca="false">IF(C935="","",G935&amp;" "&amp;D935&amp;" ("&amp;C935&amp;")")</f>
        <v/>
      </c>
    </row>
    <row r="936" customFormat="false" ht="15" hidden="false" customHeight="false" outlineLevel="0" collapsed="false">
      <c r="A936" s="16"/>
      <c r="B936" s="11" t="str">
        <f aca="false">IF($H936="","",INDEX(DECKS!$A$2:$A$1201,$H936))</f>
        <v/>
      </c>
      <c r="C936" s="11" t="str">
        <f aca="false">IF($H936="","",INDEX(DECKS!$B$2:$B$1201,$H936))</f>
        <v/>
      </c>
      <c r="D936" s="11" t="str">
        <f aca="false">IF($H936="","",INDEX(DECKS!$C$2:$C$1201,$H936))</f>
        <v/>
      </c>
      <c r="E936" s="16" t="str">
        <f aca="false">IF($H936="","",INDEX(DECKS!$D$2:$D$1201,$H936))</f>
        <v/>
      </c>
      <c r="F936" s="16" t="str">
        <f aca="false">IF($H936="","",INDEX(DECKS!$E$2:$E$1201,$H936))</f>
        <v/>
      </c>
      <c r="G936" s="21" t="str">
        <f aca="false">IF($H936="","",INDEX(DECKS!$F$2:$F$1201,$H936))</f>
        <v/>
      </c>
      <c r="H936" s="11" t="str">
        <f aca="false">IFERROR(MATCH(ROW()-1,DECKS!$O$2:$O$1201,0),"")</f>
        <v/>
      </c>
      <c r="I936" s="11" t="str">
        <f aca="false">IF(C936="","",G936&amp;" "&amp;D936&amp;" ("&amp;C936&amp;")")</f>
        <v/>
      </c>
    </row>
    <row r="937" customFormat="false" ht="15" hidden="false" customHeight="false" outlineLevel="0" collapsed="false">
      <c r="A937" s="16"/>
      <c r="B937" s="11" t="str">
        <f aca="false">IF($H937="","",INDEX(DECKS!$A$2:$A$1201,$H937))</f>
        <v/>
      </c>
      <c r="C937" s="11" t="str">
        <f aca="false">IF($H937="","",INDEX(DECKS!$B$2:$B$1201,$H937))</f>
        <v/>
      </c>
      <c r="D937" s="11" t="str">
        <f aca="false">IF($H937="","",INDEX(DECKS!$C$2:$C$1201,$H937))</f>
        <v/>
      </c>
      <c r="E937" s="16" t="str">
        <f aca="false">IF($H937="","",INDEX(DECKS!$D$2:$D$1201,$H937))</f>
        <v/>
      </c>
      <c r="F937" s="16" t="str">
        <f aca="false">IF($H937="","",INDEX(DECKS!$E$2:$E$1201,$H937))</f>
        <v/>
      </c>
      <c r="G937" s="21" t="str">
        <f aca="false">IF($H937="","",INDEX(DECKS!$F$2:$F$1201,$H937))</f>
        <v/>
      </c>
      <c r="H937" s="11" t="str">
        <f aca="false">IFERROR(MATCH(ROW()-1,DECKS!$O$2:$O$1201,0),"")</f>
        <v/>
      </c>
      <c r="I937" s="11" t="str">
        <f aca="false">IF(C937="","",G937&amp;" "&amp;D937&amp;" ("&amp;C937&amp;")")</f>
        <v/>
      </c>
    </row>
    <row r="938" customFormat="false" ht="15" hidden="false" customHeight="false" outlineLevel="0" collapsed="false">
      <c r="A938" s="16"/>
      <c r="B938" s="11" t="str">
        <f aca="false">IF($H938="","",INDEX(DECKS!$A$2:$A$1201,$H938))</f>
        <v/>
      </c>
      <c r="C938" s="11" t="str">
        <f aca="false">IF($H938="","",INDEX(DECKS!$B$2:$B$1201,$H938))</f>
        <v/>
      </c>
      <c r="D938" s="11" t="str">
        <f aca="false">IF($H938="","",INDEX(DECKS!$C$2:$C$1201,$H938))</f>
        <v/>
      </c>
      <c r="E938" s="16" t="str">
        <f aca="false">IF($H938="","",INDEX(DECKS!$D$2:$D$1201,$H938))</f>
        <v/>
      </c>
      <c r="F938" s="16" t="str">
        <f aca="false">IF($H938="","",INDEX(DECKS!$E$2:$E$1201,$H938))</f>
        <v/>
      </c>
      <c r="G938" s="21" t="str">
        <f aca="false">IF($H938="","",INDEX(DECKS!$F$2:$F$1201,$H938))</f>
        <v/>
      </c>
      <c r="H938" s="11" t="str">
        <f aca="false">IFERROR(MATCH(ROW()-1,DECKS!$O$2:$O$1201,0),"")</f>
        <v/>
      </c>
      <c r="I938" s="11" t="str">
        <f aca="false">IF(C938="","",G938&amp;" "&amp;D938&amp;" ("&amp;C938&amp;")")</f>
        <v/>
      </c>
    </row>
    <row r="939" customFormat="false" ht="15" hidden="false" customHeight="false" outlineLevel="0" collapsed="false">
      <c r="A939" s="16"/>
      <c r="B939" s="11" t="str">
        <f aca="false">IF($H939="","",INDEX(DECKS!$A$2:$A$1201,$H939))</f>
        <v/>
      </c>
      <c r="C939" s="11" t="str">
        <f aca="false">IF($H939="","",INDEX(DECKS!$B$2:$B$1201,$H939))</f>
        <v/>
      </c>
      <c r="D939" s="11" t="str">
        <f aca="false">IF($H939="","",INDEX(DECKS!$C$2:$C$1201,$H939))</f>
        <v/>
      </c>
      <c r="E939" s="16" t="str">
        <f aca="false">IF($H939="","",INDEX(DECKS!$D$2:$D$1201,$H939))</f>
        <v/>
      </c>
      <c r="F939" s="16" t="str">
        <f aca="false">IF($H939="","",INDEX(DECKS!$E$2:$E$1201,$H939))</f>
        <v/>
      </c>
      <c r="G939" s="21" t="str">
        <f aca="false">IF($H939="","",INDEX(DECKS!$F$2:$F$1201,$H939))</f>
        <v/>
      </c>
      <c r="H939" s="11" t="str">
        <f aca="false">IFERROR(MATCH(ROW()-1,DECKS!$O$2:$O$1201,0),"")</f>
        <v/>
      </c>
      <c r="I939" s="11" t="str">
        <f aca="false">IF(C939="","",G939&amp;" "&amp;D939&amp;" ("&amp;C939&amp;")")</f>
        <v/>
      </c>
    </row>
    <row r="940" customFormat="false" ht="15" hidden="false" customHeight="false" outlineLevel="0" collapsed="false">
      <c r="A940" s="16"/>
      <c r="B940" s="11" t="str">
        <f aca="false">IF($H940="","",INDEX(DECKS!$A$2:$A$1201,$H940))</f>
        <v/>
      </c>
      <c r="C940" s="11" t="str">
        <f aca="false">IF($H940="","",INDEX(DECKS!$B$2:$B$1201,$H940))</f>
        <v/>
      </c>
      <c r="D940" s="11" t="str">
        <f aca="false">IF($H940="","",INDEX(DECKS!$C$2:$C$1201,$H940))</f>
        <v/>
      </c>
      <c r="E940" s="16" t="str">
        <f aca="false">IF($H940="","",INDEX(DECKS!$D$2:$D$1201,$H940))</f>
        <v/>
      </c>
      <c r="F940" s="16" t="str">
        <f aca="false">IF($H940="","",INDEX(DECKS!$E$2:$E$1201,$H940))</f>
        <v/>
      </c>
      <c r="G940" s="21" t="str">
        <f aca="false">IF($H940="","",INDEX(DECKS!$F$2:$F$1201,$H940))</f>
        <v/>
      </c>
      <c r="H940" s="11" t="str">
        <f aca="false">IFERROR(MATCH(ROW()-1,DECKS!$O$2:$O$1201,0),"")</f>
        <v/>
      </c>
      <c r="I940" s="11" t="str">
        <f aca="false">IF(C940="","",G940&amp;" "&amp;D940&amp;" ("&amp;C940&amp;")")</f>
        <v/>
      </c>
    </row>
    <row r="941" customFormat="false" ht="15" hidden="false" customHeight="false" outlineLevel="0" collapsed="false">
      <c r="A941" s="16"/>
      <c r="B941" s="11" t="str">
        <f aca="false">IF($H941="","",INDEX(DECKS!$A$2:$A$1201,$H941))</f>
        <v/>
      </c>
      <c r="C941" s="11" t="str">
        <f aca="false">IF($H941="","",INDEX(DECKS!$B$2:$B$1201,$H941))</f>
        <v/>
      </c>
      <c r="D941" s="11" t="str">
        <f aca="false">IF($H941="","",INDEX(DECKS!$C$2:$C$1201,$H941))</f>
        <v/>
      </c>
      <c r="E941" s="16" t="str">
        <f aca="false">IF($H941="","",INDEX(DECKS!$D$2:$D$1201,$H941))</f>
        <v/>
      </c>
      <c r="F941" s="16" t="str">
        <f aca="false">IF($H941="","",INDEX(DECKS!$E$2:$E$1201,$H941))</f>
        <v/>
      </c>
      <c r="G941" s="21" t="str">
        <f aca="false">IF($H941="","",INDEX(DECKS!$F$2:$F$1201,$H941))</f>
        <v/>
      </c>
      <c r="H941" s="11" t="str">
        <f aca="false">IFERROR(MATCH(ROW()-1,DECKS!$O$2:$O$1201,0),"")</f>
        <v/>
      </c>
      <c r="I941" s="11" t="str">
        <f aca="false">IF(C941="","",G941&amp;" "&amp;D941&amp;" ("&amp;C941&amp;")")</f>
        <v/>
      </c>
    </row>
    <row r="942" customFormat="false" ht="15" hidden="false" customHeight="false" outlineLevel="0" collapsed="false">
      <c r="A942" s="16"/>
      <c r="B942" s="11" t="str">
        <f aca="false">IF($H942="","",INDEX(DECKS!$A$2:$A$1201,$H942))</f>
        <v/>
      </c>
      <c r="C942" s="11" t="str">
        <f aca="false">IF($H942="","",INDEX(DECKS!$B$2:$B$1201,$H942))</f>
        <v/>
      </c>
      <c r="D942" s="11" t="str">
        <f aca="false">IF($H942="","",INDEX(DECKS!$C$2:$C$1201,$H942))</f>
        <v/>
      </c>
      <c r="E942" s="16" t="str">
        <f aca="false">IF($H942="","",INDEX(DECKS!$D$2:$D$1201,$H942))</f>
        <v/>
      </c>
      <c r="F942" s="16" t="str">
        <f aca="false">IF($H942="","",INDEX(DECKS!$E$2:$E$1201,$H942))</f>
        <v/>
      </c>
      <c r="G942" s="21" t="str">
        <f aca="false">IF($H942="","",INDEX(DECKS!$F$2:$F$1201,$H942))</f>
        <v/>
      </c>
      <c r="H942" s="11" t="str">
        <f aca="false">IFERROR(MATCH(ROW()-1,DECKS!$O$2:$O$1201,0),"")</f>
        <v/>
      </c>
      <c r="I942" s="11" t="str">
        <f aca="false">IF(C942="","",G942&amp;" "&amp;D942&amp;" ("&amp;C942&amp;")")</f>
        <v/>
      </c>
    </row>
    <row r="943" customFormat="false" ht="15" hidden="false" customHeight="false" outlineLevel="0" collapsed="false">
      <c r="A943" s="16"/>
      <c r="B943" s="11" t="str">
        <f aca="false">IF($H943="","",INDEX(DECKS!$A$2:$A$1201,$H943))</f>
        <v/>
      </c>
      <c r="C943" s="11" t="str">
        <f aca="false">IF($H943="","",INDEX(DECKS!$B$2:$B$1201,$H943))</f>
        <v/>
      </c>
      <c r="D943" s="11" t="str">
        <f aca="false">IF($H943="","",INDEX(DECKS!$C$2:$C$1201,$H943))</f>
        <v/>
      </c>
      <c r="E943" s="16" t="str">
        <f aca="false">IF($H943="","",INDEX(DECKS!$D$2:$D$1201,$H943))</f>
        <v/>
      </c>
      <c r="F943" s="16" t="str">
        <f aca="false">IF($H943="","",INDEX(DECKS!$E$2:$E$1201,$H943))</f>
        <v/>
      </c>
      <c r="G943" s="21" t="str">
        <f aca="false">IF($H943="","",INDEX(DECKS!$F$2:$F$1201,$H943))</f>
        <v/>
      </c>
      <c r="H943" s="11" t="str">
        <f aca="false">IFERROR(MATCH(ROW()-1,DECKS!$O$2:$O$1201,0),"")</f>
        <v/>
      </c>
      <c r="I943" s="11" t="str">
        <f aca="false">IF(C943="","",G943&amp;" "&amp;D943&amp;" ("&amp;C943&amp;")")</f>
        <v/>
      </c>
    </row>
    <row r="944" customFormat="false" ht="15" hidden="false" customHeight="false" outlineLevel="0" collapsed="false">
      <c r="A944" s="16"/>
      <c r="B944" s="11" t="str">
        <f aca="false">IF($H944="","",INDEX(DECKS!$A$2:$A$1201,$H944))</f>
        <v/>
      </c>
      <c r="C944" s="11" t="str">
        <f aca="false">IF($H944="","",INDEX(DECKS!$B$2:$B$1201,$H944))</f>
        <v/>
      </c>
      <c r="D944" s="11" t="str">
        <f aca="false">IF($H944="","",INDEX(DECKS!$C$2:$C$1201,$H944))</f>
        <v/>
      </c>
      <c r="E944" s="16" t="str">
        <f aca="false">IF($H944="","",INDEX(DECKS!$D$2:$D$1201,$H944))</f>
        <v/>
      </c>
      <c r="F944" s="16" t="str">
        <f aca="false">IF($H944="","",INDEX(DECKS!$E$2:$E$1201,$H944))</f>
        <v/>
      </c>
      <c r="G944" s="21" t="str">
        <f aca="false">IF($H944="","",INDEX(DECKS!$F$2:$F$1201,$H944))</f>
        <v/>
      </c>
      <c r="H944" s="11" t="str">
        <f aca="false">IFERROR(MATCH(ROW()-1,DECKS!$O$2:$O$1201,0),"")</f>
        <v/>
      </c>
      <c r="I944" s="11" t="str">
        <f aca="false">IF(C944="","",G944&amp;" "&amp;D944&amp;" ("&amp;C944&amp;")")</f>
        <v/>
      </c>
    </row>
    <row r="945" customFormat="false" ht="15" hidden="false" customHeight="false" outlineLevel="0" collapsed="false">
      <c r="A945" s="16"/>
      <c r="B945" s="11" t="str">
        <f aca="false">IF($H945="","",INDEX(DECKS!$A$2:$A$1201,$H945))</f>
        <v/>
      </c>
      <c r="C945" s="11" t="str">
        <f aca="false">IF($H945="","",INDEX(DECKS!$B$2:$B$1201,$H945))</f>
        <v/>
      </c>
      <c r="D945" s="11" t="str">
        <f aca="false">IF($H945="","",INDEX(DECKS!$C$2:$C$1201,$H945))</f>
        <v/>
      </c>
      <c r="E945" s="16" t="str">
        <f aca="false">IF($H945="","",INDEX(DECKS!$D$2:$D$1201,$H945))</f>
        <v/>
      </c>
      <c r="F945" s="16" t="str">
        <f aca="false">IF($H945="","",INDEX(DECKS!$E$2:$E$1201,$H945))</f>
        <v/>
      </c>
      <c r="G945" s="21" t="str">
        <f aca="false">IF($H945="","",INDEX(DECKS!$F$2:$F$1201,$H945))</f>
        <v/>
      </c>
      <c r="H945" s="11" t="str">
        <f aca="false">IFERROR(MATCH(ROW()-1,DECKS!$O$2:$O$1201,0),"")</f>
        <v/>
      </c>
      <c r="I945" s="11" t="str">
        <f aca="false">IF(C945="","",G945&amp;" "&amp;D945&amp;" ("&amp;C945&amp;")")</f>
        <v/>
      </c>
    </row>
    <row r="946" customFormat="false" ht="15" hidden="false" customHeight="false" outlineLevel="0" collapsed="false">
      <c r="A946" s="16"/>
      <c r="B946" s="11" t="str">
        <f aca="false">IF($H946="","",INDEX(DECKS!$A$2:$A$1201,$H946))</f>
        <v/>
      </c>
      <c r="C946" s="11" t="str">
        <f aca="false">IF($H946="","",INDEX(DECKS!$B$2:$B$1201,$H946))</f>
        <v/>
      </c>
      <c r="D946" s="11" t="str">
        <f aca="false">IF($H946="","",INDEX(DECKS!$C$2:$C$1201,$H946))</f>
        <v/>
      </c>
      <c r="E946" s="16" t="str">
        <f aca="false">IF($H946="","",INDEX(DECKS!$D$2:$D$1201,$H946))</f>
        <v/>
      </c>
      <c r="F946" s="16" t="str">
        <f aca="false">IF($H946="","",INDEX(DECKS!$E$2:$E$1201,$H946))</f>
        <v/>
      </c>
      <c r="G946" s="21" t="str">
        <f aca="false">IF($H946="","",INDEX(DECKS!$F$2:$F$1201,$H946))</f>
        <v/>
      </c>
      <c r="H946" s="11" t="str">
        <f aca="false">IFERROR(MATCH(ROW()-1,DECKS!$O$2:$O$1201,0),"")</f>
        <v/>
      </c>
      <c r="I946" s="11" t="str">
        <f aca="false">IF(C946="","",G946&amp;" "&amp;D946&amp;" ("&amp;C946&amp;")")</f>
        <v/>
      </c>
    </row>
    <row r="947" customFormat="false" ht="15" hidden="false" customHeight="false" outlineLevel="0" collapsed="false">
      <c r="A947" s="16"/>
      <c r="B947" s="11" t="str">
        <f aca="false">IF($H947="","",INDEX(DECKS!$A$2:$A$1201,$H947))</f>
        <v/>
      </c>
      <c r="C947" s="11" t="str">
        <f aca="false">IF($H947="","",INDEX(DECKS!$B$2:$B$1201,$H947))</f>
        <v/>
      </c>
      <c r="D947" s="11" t="str">
        <f aca="false">IF($H947="","",INDEX(DECKS!$C$2:$C$1201,$H947))</f>
        <v/>
      </c>
      <c r="E947" s="16" t="str">
        <f aca="false">IF($H947="","",INDEX(DECKS!$D$2:$D$1201,$H947))</f>
        <v/>
      </c>
      <c r="F947" s="16" t="str">
        <f aca="false">IF($H947="","",INDEX(DECKS!$E$2:$E$1201,$H947))</f>
        <v/>
      </c>
      <c r="G947" s="21" t="str">
        <f aca="false">IF($H947="","",INDEX(DECKS!$F$2:$F$1201,$H947))</f>
        <v/>
      </c>
      <c r="H947" s="11" t="str">
        <f aca="false">IFERROR(MATCH(ROW()-1,DECKS!$O$2:$O$1201,0),"")</f>
        <v/>
      </c>
      <c r="I947" s="11" t="str">
        <f aca="false">IF(C947="","",G947&amp;" "&amp;D947&amp;" ("&amp;C947&amp;")")</f>
        <v/>
      </c>
    </row>
    <row r="948" customFormat="false" ht="15" hidden="false" customHeight="false" outlineLevel="0" collapsed="false">
      <c r="A948" s="16"/>
      <c r="B948" s="11" t="str">
        <f aca="false">IF($H948="","",INDEX(DECKS!$A$2:$A$1201,$H948))</f>
        <v/>
      </c>
      <c r="C948" s="11" t="str">
        <f aca="false">IF($H948="","",INDEX(DECKS!$B$2:$B$1201,$H948))</f>
        <v/>
      </c>
      <c r="D948" s="11" t="str">
        <f aca="false">IF($H948="","",INDEX(DECKS!$C$2:$C$1201,$H948))</f>
        <v/>
      </c>
      <c r="E948" s="16" t="str">
        <f aca="false">IF($H948="","",INDEX(DECKS!$D$2:$D$1201,$H948))</f>
        <v/>
      </c>
      <c r="F948" s="16" t="str">
        <f aca="false">IF($H948="","",INDEX(DECKS!$E$2:$E$1201,$H948))</f>
        <v/>
      </c>
      <c r="G948" s="21" t="str">
        <f aca="false">IF($H948="","",INDEX(DECKS!$F$2:$F$1201,$H948))</f>
        <v/>
      </c>
      <c r="H948" s="11" t="str">
        <f aca="false">IFERROR(MATCH(ROW()-1,DECKS!$O$2:$O$1201,0),"")</f>
        <v/>
      </c>
      <c r="I948" s="11" t="str">
        <f aca="false">IF(C948="","",G948&amp;" "&amp;D948&amp;" ("&amp;C948&amp;")")</f>
        <v/>
      </c>
    </row>
    <row r="949" customFormat="false" ht="15" hidden="false" customHeight="false" outlineLevel="0" collapsed="false">
      <c r="A949" s="16"/>
      <c r="B949" s="11" t="str">
        <f aca="false">IF($H949="","",INDEX(DECKS!$A$2:$A$1201,$H949))</f>
        <v/>
      </c>
      <c r="C949" s="11" t="str">
        <f aca="false">IF($H949="","",INDEX(DECKS!$B$2:$B$1201,$H949))</f>
        <v/>
      </c>
      <c r="D949" s="11" t="str">
        <f aca="false">IF($H949="","",INDEX(DECKS!$C$2:$C$1201,$H949))</f>
        <v/>
      </c>
      <c r="E949" s="16" t="str">
        <f aca="false">IF($H949="","",INDEX(DECKS!$D$2:$D$1201,$H949))</f>
        <v/>
      </c>
      <c r="F949" s="16" t="str">
        <f aca="false">IF($H949="","",INDEX(DECKS!$E$2:$E$1201,$H949))</f>
        <v/>
      </c>
      <c r="G949" s="21" t="str">
        <f aca="false">IF($H949="","",INDEX(DECKS!$F$2:$F$1201,$H949))</f>
        <v/>
      </c>
      <c r="H949" s="11" t="str">
        <f aca="false">IFERROR(MATCH(ROW()-1,DECKS!$O$2:$O$1201,0),"")</f>
        <v/>
      </c>
      <c r="I949" s="11" t="str">
        <f aca="false">IF(C949="","",G949&amp;" "&amp;D949&amp;" ("&amp;C949&amp;")")</f>
        <v/>
      </c>
    </row>
    <row r="950" customFormat="false" ht="15" hidden="false" customHeight="false" outlineLevel="0" collapsed="false">
      <c r="A950" s="16"/>
      <c r="B950" s="11" t="str">
        <f aca="false">IF($H950="","",INDEX(DECKS!$A$2:$A$1201,$H950))</f>
        <v/>
      </c>
      <c r="C950" s="11" t="str">
        <f aca="false">IF($H950="","",INDEX(DECKS!$B$2:$B$1201,$H950))</f>
        <v/>
      </c>
      <c r="D950" s="11" t="str">
        <f aca="false">IF($H950="","",INDEX(DECKS!$C$2:$C$1201,$H950))</f>
        <v/>
      </c>
      <c r="E950" s="16" t="str">
        <f aca="false">IF($H950="","",INDEX(DECKS!$D$2:$D$1201,$H950))</f>
        <v/>
      </c>
      <c r="F950" s="16" t="str">
        <f aca="false">IF($H950="","",INDEX(DECKS!$E$2:$E$1201,$H950))</f>
        <v/>
      </c>
      <c r="G950" s="21" t="str">
        <f aca="false">IF($H950="","",INDEX(DECKS!$F$2:$F$1201,$H950))</f>
        <v/>
      </c>
      <c r="H950" s="11" t="str">
        <f aca="false">IFERROR(MATCH(ROW()-1,DECKS!$O$2:$O$1201,0),"")</f>
        <v/>
      </c>
      <c r="I950" s="11" t="str">
        <f aca="false">IF(C950="","",G950&amp;" "&amp;D950&amp;" ("&amp;C950&amp;")")</f>
        <v/>
      </c>
    </row>
    <row r="951" customFormat="false" ht="15" hidden="false" customHeight="false" outlineLevel="0" collapsed="false">
      <c r="A951" s="16"/>
      <c r="B951" s="11" t="str">
        <f aca="false">IF($H951="","",INDEX(DECKS!$A$2:$A$1201,$H951))</f>
        <v/>
      </c>
      <c r="C951" s="11" t="str">
        <f aca="false">IF($H951="","",INDEX(DECKS!$B$2:$B$1201,$H951))</f>
        <v/>
      </c>
      <c r="D951" s="11" t="str">
        <f aca="false">IF($H951="","",INDEX(DECKS!$C$2:$C$1201,$H951))</f>
        <v/>
      </c>
      <c r="E951" s="16" t="str">
        <f aca="false">IF($H951="","",INDEX(DECKS!$D$2:$D$1201,$H951))</f>
        <v/>
      </c>
      <c r="F951" s="16" t="str">
        <f aca="false">IF($H951="","",INDEX(DECKS!$E$2:$E$1201,$H951))</f>
        <v/>
      </c>
      <c r="G951" s="21" t="str">
        <f aca="false">IF($H951="","",INDEX(DECKS!$F$2:$F$1201,$H951))</f>
        <v/>
      </c>
      <c r="H951" s="11" t="str">
        <f aca="false">IFERROR(MATCH(ROW()-1,DECKS!$O$2:$O$1201,0),"")</f>
        <v/>
      </c>
      <c r="I951" s="11" t="str">
        <f aca="false">IF(C951="","",G951&amp;" "&amp;D951&amp;" ("&amp;C951&amp;")")</f>
        <v/>
      </c>
    </row>
    <row r="952" customFormat="false" ht="15" hidden="false" customHeight="false" outlineLevel="0" collapsed="false">
      <c r="A952" s="16"/>
      <c r="B952" s="11" t="str">
        <f aca="false">IF($H952="","",INDEX(DECKS!$A$2:$A$1201,$H952))</f>
        <v/>
      </c>
      <c r="C952" s="11" t="str">
        <f aca="false">IF($H952="","",INDEX(DECKS!$B$2:$B$1201,$H952))</f>
        <v/>
      </c>
      <c r="D952" s="11" t="str">
        <f aca="false">IF($H952="","",INDEX(DECKS!$C$2:$C$1201,$H952))</f>
        <v/>
      </c>
      <c r="E952" s="16" t="str">
        <f aca="false">IF($H952="","",INDEX(DECKS!$D$2:$D$1201,$H952))</f>
        <v/>
      </c>
      <c r="F952" s="16" t="str">
        <f aca="false">IF($H952="","",INDEX(DECKS!$E$2:$E$1201,$H952))</f>
        <v/>
      </c>
      <c r="G952" s="21" t="str">
        <f aca="false">IF($H952="","",INDEX(DECKS!$F$2:$F$1201,$H952))</f>
        <v/>
      </c>
      <c r="H952" s="11" t="str">
        <f aca="false">IFERROR(MATCH(ROW()-1,DECKS!$O$2:$O$1201,0),"")</f>
        <v/>
      </c>
      <c r="I952" s="11" t="str">
        <f aca="false">IF(C952="","",G952&amp;" "&amp;D952&amp;" ("&amp;C952&amp;")")</f>
        <v/>
      </c>
    </row>
    <row r="953" customFormat="false" ht="15" hidden="false" customHeight="false" outlineLevel="0" collapsed="false">
      <c r="A953" s="16"/>
      <c r="B953" s="11" t="str">
        <f aca="false">IF($H953="","",INDEX(DECKS!$A$2:$A$1201,$H953))</f>
        <v/>
      </c>
      <c r="C953" s="11" t="str">
        <f aca="false">IF($H953="","",INDEX(DECKS!$B$2:$B$1201,$H953))</f>
        <v/>
      </c>
      <c r="D953" s="11" t="str">
        <f aca="false">IF($H953="","",INDEX(DECKS!$C$2:$C$1201,$H953))</f>
        <v/>
      </c>
      <c r="E953" s="16" t="str">
        <f aca="false">IF($H953="","",INDEX(DECKS!$D$2:$D$1201,$H953))</f>
        <v/>
      </c>
      <c r="F953" s="16" t="str">
        <f aca="false">IF($H953="","",INDEX(DECKS!$E$2:$E$1201,$H953))</f>
        <v/>
      </c>
      <c r="G953" s="21" t="str">
        <f aca="false">IF($H953="","",INDEX(DECKS!$F$2:$F$1201,$H953))</f>
        <v/>
      </c>
      <c r="H953" s="11" t="str">
        <f aca="false">IFERROR(MATCH(ROW()-1,DECKS!$O$2:$O$1201,0),"")</f>
        <v/>
      </c>
      <c r="I953" s="11" t="str">
        <f aca="false">IF(C953="","",G953&amp;" "&amp;D953&amp;" ("&amp;C953&amp;")")</f>
        <v/>
      </c>
    </row>
    <row r="954" customFormat="false" ht="15" hidden="false" customHeight="false" outlineLevel="0" collapsed="false">
      <c r="A954" s="16"/>
      <c r="B954" s="11" t="str">
        <f aca="false">IF($H954="","",INDEX(DECKS!$A$2:$A$1201,$H954))</f>
        <v/>
      </c>
      <c r="C954" s="11" t="str">
        <f aca="false">IF($H954="","",INDEX(DECKS!$B$2:$B$1201,$H954))</f>
        <v/>
      </c>
      <c r="D954" s="11" t="str">
        <f aca="false">IF($H954="","",INDEX(DECKS!$C$2:$C$1201,$H954))</f>
        <v/>
      </c>
      <c r="E954" s="16" t="str">
        <f aca="false">IF($H954="","",INDEX(DECKS!$D$2:$D$1201,$H954))</f>
        <v/>
      </c>
      <c r="F954" s="16" t="str">
        <f aca="false">IF($H954="","",INDEX(DECKS!$E$2:$E$1201,$H954))</f>
        <v/>
      </c>
      <c r="G954" s="21" t="str">
        <f aca="false">IF($H954="","",INDEX(DECKS!$F$2:$F$1201,$H954))</f>
        <v/>
      </c>
      <c r="H954" s="11" t="str">
        <f aca="false">IFERROR(MATCH(ROW()-1,DECKS!$O$2:$O$1201,0),"")</f>
        <v/>
      </c>
      <c r="I954" s="11" t="str">
        <f aca="false">IF(C954="","",G954&amp;" "&amp;D954&amp;" ("&amp;C954&amp;")")</f>
        <v/>
      </c>
    </row>
    <row r="955" customFormat="false" ht="15" hidden="false" customHeight="false" outlineLevel="0" collapsed="false">
      <c r="A955" s="16"/>
      <c r="B955" s="11" t="str">
        <f aca="false">IF($H955="","",INDEX(DECKS!$A$2:$A$1201,$H955))</f>
        <v/>
      </c>
      <c r="C955" s="11" t="str">
        <f aca="false">IF($H955="","",INDEX(DECKS!$B$2:$B$1201,$H955))</f>
        <v/>
      </c>
      <c r="D955" s="11" t="str">
        <f aca="false">IF($H955="","",INDEX(DECKS!$C$2:$C$1201,$H955))</f>
        <v/>
      </c>
      <c r="E955" s="16" t="str">
        <f aca="false">IF($H955="","",INDEX(DECKS!$D$2:$D$1201,$H955))</f>
        <v/>
      </c>
      <c r="F955" s="16" t="str">
        <f aca="false">IF($H955="","",INDEX(DECKS!$E$2:$E$1201,$H955))</f>
        <v/>
      </c>
      <c r="G955" s="21" t="str">
        <f aca="false">IF($H955="","",INDEX(DECKS!$F$2:$F$1201,$H955))</f>
        <v/>
      </c>
      <c r="H955" s="11" t="str">
        <f aca="false">IFERROR(MATCH(ROW()-1,DECKS!$O$2:$O$1201,0),"")</f>
        <v/>
      </c>
      <c r="I955" s="11" t="str">
        <f aca="false">IF(C955="","",G955&amp;" "&amp;D955&amp;" ("&amp;C955&amp;")")</f>
        <v/>
      </c>
    </row>
    <row r="956" customFormat="false" ht="15" hidden="false" customHeight="false" outlineLevel="0" collapsed="false">
      <c r="A956" s="16"/>
      <c r="B956" s="11" t="str">
        <f aca="false">IF($H956="","",INDEX(DECKS!$A$2:$A$1201,$H956))</f>
        <v/>
      </c>
      <c r="C956" s="11" t="str">
        <f aca="false">IF($H956="","",INDEX(DECKS!$B$2:$B$1201,$H956))</f>
        <v/>
      </c>
      <c r="D956" s="11" t="str">
        <f aca="false">IF($H956="","",INDEX(DECKS!$C$2:$C$1201,$H956))</f>
        <v/>
      </c>
      <c r="E956" s="16" t="str">
        <f aca="false">IF($H956="","",INDEX(DECKS!$D$2:$D$1201,$H956))</f>
        <v/>
      </c>
      <c r="F956" s="16" t="str">
        <f aca="false">IF($H956="","",INDEX(DECKS!$E$2:$E$1201,$H956))</f>
        <v/>
      </c>
      <c r="G956" s="21" t="str">
        <f aca="false">IF($H956="","",INDEX(DECKS!$F$2:$F$1201,$H956))</f>
        <v/>
      </c>
      <c r="H956" s="11" t="str">
        <f aca="false">IFERROR(MATCH(ROW()-1,DECKS!$O$2:$O$1201,0),"")</f>
        <v/>
      </c>
      <c r="I956" s="11" t="str">
        <f aca="false">IF(C956="","",G956&amp;" "&amp;D956&amp;" ("&amp;C956&amp;")")</f>
        <v/>
      </c>
    </row>
    <row r="957" customFormat="false" ht="15" hidden="false" customHeight="false" outlineLevel="0" collapsed="false">
      <c r="A957" s="16"/>
      <c r="B957" s="11" t="str">
        <f aca="false">IF($H957="","",INDEX(DECKS!$A$2:$A$1201,$H957))</f>
        <v/>
      </c>
      <c r="C957" s="11" t="str">
        <f aca="false">IF($H957="","",INDEX(DECKS!$B$2:$B$1201,$H957))</f>
        <v/>
      </c>
      <c r="D957" s="11" t="str">
        <f aca="false">IF($H957="","",INDEX(DECKS!$C$2:$C$1201,$H957))</f>
        <v/>
      </c>
      <c r="E957" s="16" t="str">
        <f aca="false">IF($H957="","",INDEX(DECKS!$D$2:$D$1201,$H957))</f>
        <v/>
      </c>
      <c r="F957" s="16" t="str">
        <f aca="false">IF($H957="","",INDEX(DECKS!$E$2:$E$1201,$H957))</f>
        <v/>
      </c>
      <c r="G957" s="21" t="str">
        <f aca="false">IF($H957="","",INDEX(DECKS!$F$2:$F$1201,$H957))</f>
        <v/>
      </c>
      <c r="H957" s="11" t="str">
        <f aca="false">IFERROR(MATCH(ROW()-1,DECKS!$O$2:$O$1201,0),"")</f>
        <v/>
      </c>
      <c r="I957" s="11" t="str">
        <f aca="false">IF(C957="","",G957&amp;" "&amp;D957&amp;" ("&amp;C957&amp;")")</f>
        <v/>
      </c>
    </row>
    <row r="958" customFormat="false" ht="15" hidden="false" customHeight="false" outlineLevel="0" collapsed="false">
      <c r="A958" s="16"/>
      <c r="B958" s="11" t="str">
        <f aca="false">IF($H958="","",INDEX(DECKS!$A$2:$A$1201,$H958))</f>
        <v/>
      </c>
      <c r="C958" s="11" t="str">
        <f aca="false">IF($H958="","",INDEX(DECKS!$B$2:$B$1201,$H958))</f>
        <v/>
      </c>
      <c r="D958" s="11" t="str">
        <f aca="false">IF($H958="","",INDEX(DECKS!$C$2:$C$1201,$H958))</f>
        <v/>
      </c>
      <c r="E958" s="16" t="str">
        <f aca="false">IF($H958="","",INDEX(DECKS!$D$2:$D$1201,$H958))</f>
        <v/>
      </c>
      <c r="F958" s="16" t="str">
        <f aca="false">IF($H958="","",INDEX(DECKS!$E$2:$E$1201,$H958))</f>
        <v/>
      </c>
      <c r="G958" s="21" t="str">
        <f aca="false">IF($H958="","",INDEX(DECKS!$F$2:$F$1201,$H958))</f>
        <v/>
      </c>
      <c r="H958" s="11" t="str">
        <f aca="false">IFERROR(MATCH(ROW()-1,DECKS!$O$2:$O$1201,0),"")</f>
        <v/>
      </c>
      <c r="I958" s="11" t="str">
        <f aca="false">IF(C958="","",G958&amp;" "&amp;D958&amp;" ("&amp;C958&amp;")")</f>
        <v/>
      </c>
    </row>
    <row r="959" customFormat="false" ht="15" hidden="false" customHeight="false" outlineLevel="0" collapsed="false">
      <c r="A959" s="16"/>
      <c r="B959" s="11" t="str">
        <f aca="false">IF($H959="","",INDEX(DECKS!$A$2:$A$1201,$H959))</f>
        <v/>
      </c>
      <c r="C959" s="11" t="str">
        <f aca="false">IF($H959="","",INDEX(DECKS!$B$2:$B$1201,$H959))</f>
        <v/>
      </c>
      <c r="D959" s="11" t="str">
        <f aca="false">IF($H959="","",INDEX(DECKS!$C$2:$C$1201,$H959))</f>
        <v/>
      </c>
      <c r="E959" s="16" t="str">
        <f aca="false">IF($H959="","",INDEX(DECKS!$D$2:$D$1201,$H959))</f>
        <v/>
      </c>
      <c r="F959" s="16" t="str">
        <f aca="false">IF($H959="","",INDEX(DECKS!$E$2:$E$1201,$H959))</f>
        <v/>
      </c>
      <c r="G959" s="21" t="str">
        <f aca="false">IF($H959="","",INDEX(DECKS!$F$2:$F$1201,$H959))</f>
        <v/>
      </c>
      <c r="H959" s="11" t="str">
        <f aca="false">IFERROR(MATCH(ROW()-1,DECKS!$O$2:$O$1201,0),"")</f>
        <v/>
      </c>
      <c r="I959" s="11" t="str">
        <f aca="false">IF(C959="","",G959&amp;" "&amp;D959&amp;" ("&amp;C959&amp;")")</f>
        <v/>
      </c>
    </row>
    <row r="960" customFormat="false" ht="15" hidden="false" customHeight="false" outlineLevel="0" collapsed="false">
      <c r="A960" s="16"/>
      <c r="B960" s="11" t="str">
        <f aca="false">IF($H960="","",INDEX(DECKS!$A$2:$A$1201,$H960))</f>
        <v/>
      </c>
      <c r="C960" s="11" t="str">
        <f aca="false">IF($H960="","",INDEX(DECKS!$B$2:$B$1201,$H960))</f>
        <v/>
      </c>
      <c r="D960" s="11" t="str">
        <f aca="false">IF($H960="","",INDEX(DECKS!$C$2:$C$1201,$H960))</f>
        <v/>
      </c>
      <c r="E960" s="16" t="str">
        <f aca="false">IF($H960="","",INDEX(DECKS!$D$2:$D$1201,$H960))</f>
        <v/>
      </c>
      <c r="F960" s="16" t="str">
        <f aca="false">IF($H960="","",INDEX(DECKS!$E$2:$E$1201,$H960))</f>
        <v/>
      </c>
      <c r="G960" s="21" t="str">
        <f aca="false">IF($H960="","",INDEX(DECKS!$F$2:$F$1201,$H960))</f>
        <v/>
      </c>
      <c r="H960" s="11" t="str">
        <f aca="false">IFERROR(MATCH(ROW()-1,DECKS!$O$2:$O$1201,0),"")</f>
        <v/>
      </c>
      <c r="I960" s="11" t="str">
        <f aca="false">IF(C960="","",G960&amp;" "&amp;D960&amp;" ("&amp;C960&amp;")")</f>
        <v/>
      </c>
    </row>
    <row r="961" customFormat="false" ht="15" hidden="false" customHeight="false" outlineLevel="0" collapsed="false">
      <c r="A961" s="16"/>
      <c r="B961" s="11" t="str">
        <f aca="false">IF($H961="","",INDEX(DECKS!$A$2:$A$1201,$H961))</f>
        <v/>
      </c>
      <c r="C961" s="11" t="str">
        <f aca="false">IF($H961="","",INDEX(DECKS!$B$2:$B$1201,$H961))</f>
        <v/>
      </c>
      <c r="D961" s="11" t="str">
        <f aca="false">IF($H961="","",INDEX(DECKS!$C$2:$C$1201,$H961))</f>
        <v/>
      </c>
      <c r="E961" s="16" t="str">
        <f aca="false">IF($H961="","",INDEX(DECKS!$D$2:$D$1201,$H961))</f>
        <v/>
      </c>
      <c r="F961" s="16" t="str">
        <f aca="false">IF($H961="","",INDEX(DECKS!$E$2:$E$1201,$H961))</f>
        <v/>
      </c>
      <c r="G961" s="21" t="str">
        <f aca="false">IF($H961="","",INDEX(DECKS!$F$2:$F$1201,$H961))</f>
        <v/>
      </c>
      <c r="H961" s="11" t="str">
        <f aca="false">IFERROR(MATCH(ROW()-1,DECKS!$O$2:$O$1201,0),"")</f>
        <v/>
      </c>
      <c r="I961" s="11" t="str">
        <f aca="false">IF(C961="","",G961&amp;" "&amp;D961&amp;" ("&amp;C961&amp;")")</f>
        <v/>
      </c>
    </row>
    <row r="962" customFormat="false" ht="15" hidden="false" customHeight="false" outlineLevel="0" collapsed="false">
      <c r="A962" s="16"/>
      <c r="B962" s="11" t="str">
        <f aca="false">IF($H962="","",INDEX(DECKS!$A$2:$A$1201,$H962))</f>
        <v/>
      </c>
      <c r="C962" s="11" t="str">
        <f aca="false">IF($H962="","",INDEX(DECKS!$B$2:$B$1201,$H962))</f>
        <v/>
      </c>
      <c r="D962" s="11" t="str">
        <f aca="false">IF($H962="","",INDEX(DECKS!$C$2:$C$1201,$H962))</f>
        <v/>
      </c>
      <c r="E962" s="16" t="str">
        <f aca="false">IF($H962="","",INDEX(DECKS!$D$2:$D$1201,$H962))</f>
        <v/>
      </c>
      <c r="F962" s="16" t="str">
        <f aca="false">IF($H962="","",INDEX(DECKS!$E$2:$E$1201,$H962))</f>
        <v/>
      </c>
      <c r="G962" s="21" t="str">
        <f aca="false">IF($H962="","",INDEX(DECKS!$F$2:$F$1201,$H962))</f>
        <v/>
      </c>
      <c r="H962" s="11" t="str">
        <f aca="false">IFERROR(MATCH(ROW()-1,DECKS!$O$2:$O$1201,0),"")</f>
        <v/>
      </c>
      <c r="I962" s="11" t="str">
        <f aca="false">IF(C962="","",G962&amp;" "&amp;D962&amp;" ("&amp;C962&amp;")")</f>
        <v/>
      </c>
    </row>
    <row r="963" customFormat="false" ht="15" hidden="false" customHeight="false" outlineLevel="0" collapsed="false">
      <c r="A963" s="16"/>
      <c r="B963" s="11" t="str">
        <f aca="false">IF($H963="","",INDEX(DECKS!$A$2:$A$1201,$H963))</f>
        <v/>
      </c>
      <c r="C963" s="11" t="str">
        <f aca="false">IF($H963="","",INDEX(DECKS!$B$2:$B$1201,$H963))</f>
        <v/>
      </c>
      <c r="D963" s="11" t="str">
        <f aca="false">IF($H963="","",INDEX(DECKS!$C$2:$C$1201,$H963))</f>
        <v/>
      </c>
      <c r="E963" s="16" t="str">
        <f aca="false">IF($H963="","",INDEX(DECKS!$D$2:$D$1201,$H963))</f>
        <v/>
      </c>
      <c r="F963" s="16" t="str">
        <f aca="false">IF($H963="","",INDEX(DECKS!$E$2:$E$1201,$H963))</f>
        <v/>
      </c>
      <c r="G963" s="21" t="str">
        <f aca="false">IF($H963="","",INDEX(DECKS!$F$2:$F$1201,$H963))</f>
        <v/>
      </c>
      <c r="H963" s="11" t="str">
        <f aca="false">IFERROR(MATCH(ROW()-1,DECKS!$O$2:$O$1201,0),"")</f>
        <v/>
      </c>
      <c r="I963" s="11" t="str">
        <f aca="false">IF(C963="","",G963&amp;" "&amp;D963&amp;" ("&amp;C963&amp;")")</f>
        <v/>
      </c>
    </row>
    <row r="964" customFormat="false" ht="15" hidden="false" customHeight="false" outlineLevel="0" collapsed="false">
      <c r="A964" s="16"/>
      <c r="B964" s="11" t="str">
        <f aca="false">IF($H964="","",INDEX(DECKS!$A$2:$A$1201,$H964))</f>
        <v/>
      </c>
      <c r="C964" s="11" t="str">
        <f aca="false">IF($H964="","",INDEX(DECKS!$B$2:$B$1201,$H964))</f>
        <v/>
      </c>
      <c r="D964" s="11" t="str">
        <f aca="false">IF($H964="","",INDEX(DECKS!$C$2:$C$1201,$H964))</f>
        <v/>
      </c>
      <c r="E964" s="16" t="str">
        <f aca="false">IF($H964="","",INDEX(DECKS!$D$2:$D$1201,$H964))</f>
        <v/>
      </c>
      <c r="F964" s="16" t="str">
        <f aca="false">IF($H964="","",INDEX(DECKS!$E$2:$E$1201,$H964))</f>
        <v/>
      </c>
      <c r="G964" s="21" t="str">
        <f aca="false">IF($H964="","",INDEX(DECKS!$F$2:$F$1201,$H964))</f>
        <v/>
      </c>
      <c r="H964" s="11" t="str">
        <f aca="false">IFERROR(MATCH(ROW()-1,DECKS!$O$2:$O$1201,0),"")</f>
        <v/>
      </c>
      <c r="I964" s="11" t="str">
        <f aca="false">IF(C964="","",G964&amp;" "&amp;D964&amp;" ("&amp;C964&amp;")")</f>
        <v/>
      </c>
    </row>
    <row r="965" customFormat="false" ht="15" hidden="false" customHeight="false" outlineLevel="0" collapsed="false">
      <c r="A965" s="16"/>
      <c r="B965" s="11" t="str">
        <f aca="false">IF($H965="","",INDEX(DECKS!$A$2:$A$1201,$H965))</f>
        <v/>
      </c>
      <c r="C965" s="11" t="str">
        <f aca="false">IF($H965="","",INDEX(DECKS!$B$2:$B$1201,$H965))</f>
        <v/>
      </c>
      <c r="D965" s="11" t="str">
        <f aca="false">IF($H965="","",INDEX(DECKS!$C$2:$C$1201,$H965))</f>
        <v/>
      </c>
      <c r="E965" s="16" t="str">
        <f aca="false">IF($H965="","",INDEX(DECKS!$D$2:$D$1201,$H965))</f>
        <v/>
      </c>
      <c r="F965" s="16" t="str">
        <f aca="false">IF($H965="","",INDEX(DECKS!$E$2:$E$1201,$H965))</f>
        <v/>
      </c>
      <c r="G965" s="21" t="str">
        <f aca="false">IF($H965="","",INDEX(DECKS!$F$2:$F$1201,$H965))</f>
        <v/>
      </c>
      <c r="H965" s="11" t="str">
        <f aca="false">IFERROR(MATCH(ROW()-1,DECKS!$O$2:$O$1201,0),"")</f>
        <v/>
      </c>
      <c r="I965" s="11" t="str">
        <f aca="false">IF(C965="","",G965&amp;" "&amp;D965&amp;" ("&amp;C965&amp;")")</f>
        <v/>
      </c>
    </row>
    <row r="966" customFormat="false" ht="15" hidden="false" customHeight="false" outlineLevel="0" collapsed="false">
      <c r="A966" s="16"/>
      <c r="B966" s="11" t="str">
        <f aca="false">IF($H966="","",INDEX(DECKS!$A$2:$A$1201,$H966))</f>
        <v/>
      </c>
      <c r="C966" s="11" t="str">
        <f aca="false">IF($H966="","",INDEX(DECKS!$B$2:$B$1201,$H966))</f>
        <v/>
      </c>
      <c r="D966" s="11" t="str">
        <f aca="false">IF($H966="","",INDEX(DECKS!$C$2:$C$1201,$H966))</f>
        <v/>
      </c>
      <c r="E966" s="16" t="str">
        <f aca="false">IF($H966="","",INDEX(DECKS!$D$2:$D$1201,$H966))</f>
        <v/>
      </c>
      <c r="F966" s="16" t="str">
        <f aca="false">IF($H966="","",INDEX(DECKS!$E$2:$E$1201,$H966))</f>
        <v/>
      </c>
      <c r="G966" s="21" t="str">
        <f aca="false">IF($H966="","",INDEX(DECKS!$F$2:$F$1201,$H966))</f>
        <v/>
      </c>
      <c r="H966" s="11" t="str">
        <f aca="false">IFERROR(MATCH(ROW()-1,DECKS!$O$2:$O$1201,0),"")</f>
        <v/>
      </c>
      <c r="I966" s="11" t="str">
        <f aca="false">IF(C966="","",G966&amp;" "&amp;D966&amp;" ("&amp;C966&amp;")")</f>
        <v/>
      </c>
    </row>
    <row r="967" customFormat="false" ht="15" hidden="false" customHeight="false" outlineLevel="0" collapsed="false">
      <c r="A967" s="16"/>
      <c r="B967" s="11" t="str">
        <f aca="false">IF($H967="","",INDEX(DECKS!$A$2:$A$1201,$H967))</f>
        <v/>
      </c>
      <c r="C967" s="11" t="str">
        <f aca="false">IF($H967="","",INDEX(DECKS!$B$2:$B$1201,$H967))</f>
        <v/>
      </c>
      <c r="D967" s="11" t="str">
        <f aca="false">IF($H967="","",INDEX(DECKS!$C$2:$C$1201,$H967))</f>
        <v/>
      </c>
      <c r="E967" s="16" t="str">
        <f aca="false">IF($H967="","",INDEX(DECKS!$D$2:$D$1201,$H967))</f>
        <v/>
      </c>
      <c r="F967" s="16" t="str">
        <f aca="false">IF($H967="","",INDEX(DECKS!$E$2:$E$1201,$H967))</f>
        <v/>
      </c>
      <c r="G967" s="21" t="str">
        <f aca="false">IF($H967="","",INDEX(DECKS!$F$2:$F$1201,$H967))</f>
        <v/>
      </c>
      <c r="H967" s="11" t="str">
        <f aca="false">IFERROR(MATCH(ROW()-1,DECKS!$O$2:$O$1201,0),"")</f>
        <v/>
      </c>
      <c r="I967" s="11" t="str">
        <f aca="false">IF(C967="","",G967&amp;" "&amp;D967&amp;" ("&amp;C967&amp;")")</f>
        <v/>
      </c>
    </row>
    <row r="968" customFormat="false" ht="15" hidden="false" customHeight="false" outlineLevel="0" collapsed="false">
      <c r="A968" s="16"/>
      <c r="B968" s="11" t="str">
        <f aca="false">IF($H968="","",INDEX(DECKS!$A$2:$A$1201,$H968))</f>
        <v/>
      </c>
      <c r="C968" s="11" t="str">
        <f aca="false">IF($H968="","",INDEX(DECKS!$B$2:$B$1201,$H968))</f>
        <v/>
      </c>
      <c r="D968" s="11" t="str">
        <f aca="false">IF($H968="","",INDEX(DECKS!$C$2:$C$1201,$H968))</f>
        <v/>
      </c>
      <c r="E968" s="16" t="str">
        <f aca="false">IF($H968="","",INDEX(DECKS!$D$2:$D$1201,$H968))</f>
        <v/>
      </c>
      <c r="F968" s="16" t="str">
        <f aca="false">IF($H968="","",INDEX(DECKS!$E$2:$E$1201,$H968))</f>
        <v/>
      </c>
      <c r="G968" s="21" t="str">
        <f aca="false">IF($H968="","",INDEX(DECKS!$F$2:$F$1201,$H968))</f>
        <v/>
      </c>
      <c r="H968" s="11" t="str">
        <f aca="false">IFERROR(MATCH(ROW()-1,DECKS!$O$2:$O$1201,0),"")</f>
        <v/>
      </c>
      <c r="I968" s="11" t="str">
        <f aca="false">IF(C968="","",G968&amp;" "&amp;D968&amp;" ("&amp;C968&amp;")")</f>
        <v/>
      </c>
    </row>
    <row r="969" customFormat="false" ht="15" hidden="false" customHeight="false" outlineLevel="0" collapsed="false">
      <c r="A969" s="16"/>
      <c r="B969" s="11" t="str">
        <f aca="false">IF($H969="","",INDEX(DECKS!$A$2:$A$1201,$H969))</f>
        <v/>
      </c>
      <c r="C969" s="11" t="str">
        <f aca="false">IF($H969="","",INDEX(DECKS!$B$2:$B$1201,$H969))</f>
        <v/>
      </c>
      <c r="D969" s="11" t="str">
        <f aca="false">IF($H969="","",INDEX(DECKS!$C$2:$C$1201,$H969))</f>
        <v/>
      </c>
      <c r="E969" s="16" t="str">
        <f aca="false">IF($H969="","",INDEX(DECKS!$D$2:$D$1201,$H969))</f>
        <v/>
      </c>
      <c r="F969" s="16" t="str">
        <f aca="false">IF($H969="","",INDEX(DECKS!$E$2:$E$1201,$H969))</f>
        <v/>
      </c>
      <c r="G969" s="21" t="str">
        <f aca="false">IF($H969="","",INDEX(DECKS!$F$2:$F$1201,$H969))</f>
        <v/>
      </c>
      <c r="H969" s="11" t="str">
        <f aca="false">IFERROR(MATCH(ROW()-1,DECKS!$O$2:$O$1201,0),"")</f>
        <v/>
      </c>
      <c r="I969" s="11" t="str">
        <f aca="false">IF(C969="","",G969&amp;" "&amp;D969&amp;" ("&amp;C969&amp;")")</f>
        <v/>
      </c>
    </row>
    <row r="970" customFormat="false" ht="15" hidden="false" customHeight="false" outlineLevel="0" collapsed="false">
      <c r="A970" s="16"/>
      <c r="B970" s="11" t="str">
        <f aca="false">IF($H970="","",INDEX(DECKS!$A$2:$A$1201,$H970))</f>
        <v/>
      </c>
      <c r="C970" s="11" t="str">
        <f aca="false">IF($H970="","",INDEX(DECKS!$B$2:$B$1201,$H970))</f>
        <v/>
      </c>
      <c r="D970" s="11" t="str">
        <f aca="false">IF($H970="","",INDEX(DECKS!$C$2:$C$1201,$H970))</f>
        <v/>
      </c>
      <c r="E970" s="16" t="str">
        <f aca="false">IF($H970="","",INDEX(DECKS!$D$2:$D$1201,$H970))</f>
        <v/>
      </c>
      <c r="F970" s="16" t="str">
        <f aca="false">IF($H970="","",INDEX(DECKS!$E$2:$E$1201,$H970))</f>
        <v/>
      </c>
      <c r="G970" s="21" t="str">
        <f aca="false">IF($H970="","",INDEX(DECKS!$F$2:$F$1201,$H970))</f>
        <v/>
      </c>
      <c r="H970" s="11" t="str">
        <f aca="false">IFERROR(MATCH(ROW()-1,DECKS!$O$2:$O$1201,0),"")</f>
        <v/>
      </c>
      <c r="I970" s="11" t="str">
        <f aca="false">IF(C970="","",G970&amp;" "&amp;D970&amp;" ("&amp;C970&amp;")")</f>
        <v/>
      </c>
    </row>
    <row r="971" customFormat="false" ht="15" hidden="false" customHeight="false" outlineLevel="0" collapsed="false">
      <c r="A971" s="16"/>
      <c r="B971" s="11" t="str">
        <f aca="false">IF($H971="","",INDEX(DECKS!$A$2:$A$1201,$H971))</f>
        <v/>
      </c>
      <c r="C971" s="11" t="str">
        <f aca="false">IF($H971="","",INDEX(DECKS!$B$2:$B$1201,$H971))</f>
        <v/>
      </c>
      <c r="D971" s="11" t="str">
        <f aca="false">IF($H971="","",INDEX(DECKS!$C$2:$C$1201,$H971))</f>
        <v/>
      </c>
      <c r="E971" s="16" t="str">
        <f aca="false">IF($H971="","",INDEX(DECKS!$D$2:$D$1201,$H971))</f>
        <v/>
      </c>
      <c r="F971" s="16" t="str">
        <f aca="false">IF($H971="","",INDEX(DECKS!$E$2:$E$1201,$H971))</f>
        <v/>
      </c>
      <c r="G971" s="21" t="str">
        <f aca="false">IF($H971="","",INDEX(DECKS!$F$2:$F$1201,$H971))</f>
        <v/>
      </c>
      <c r="H971" s="11" t="str">
        <f aca="false">IFERROR(MATCH(ROW()-1,DECKS!$O$2:$O$1201,0),"")</f>
        <v/>
      </c>
      <c r="I971" s="11" t="str">
        <f aca="false">IF(C971="","",G971&amp;" "&amp;D971&amp;" ("&amp;C971&amp;")")</f>
        <v/>
      </c>
    </row>
    <row r="972" customFormat="false" ht="15" hidden="false" customHeight="false" outlineLevel="0" collapsed="false">
      <c r="A972" s="16"/>
      <c r="B972" s="11" t="str">
        <f aca="false">IF($H972="","",INDEX(DECKS!$A$2:$A$1201,$H972))</f>
        <v/>
      </c>
      <c r="C972" s="11" t="str">
        <f aca="false">IF($H972="","",INDEX(DECKS!$B$2:$B$1201,$H972))</f>
        <v/>
      </c>
      <c r="D972" s="11" t="str">
        <f aca="false">IF($H972="","",INDEX(DECKS!$C$2:$C$1201,$H972))</f>
        <v/>
      </c>
      <c r="E972" s="16" t="str">
        <f aca="false">IF($H972="","",INDEX(DECKS!$D$2:$D$1201,$H972))</f>
        <v/>
      </c>
      <c r="F972" s="16" t="str">
        <f aca="false">IF($H972="","",INDEX(DECKS!$E$2:$E$1201,$H972))</f>
        <v/>
      </c>
      <c r="G972" s="21" t="str">
        <f aca="false">IF($H972="","",INDEX(DECKS!$F$2:$F$1201,$H972))</f>
        <v/>
      </c>
      <c r="H972" s="11" t="str">
        <f aca="false">IFERROR(MATCH(ROW()-1,DECKS!$O$2:$O$1201,0),"")</f>
        <v/>
      </c>
      <c r="I972" s="11" t="str">
        <f aca="false">IF(C972="","",G972&amp;" "&amp;D972&amp;" ("&amp;C972&amp;")")</f>
        <v/>
      </c>
    </row>
    <row r="973" customFormat="false" ht="15" hidden="false" customHeight="false" outlineLevel="0" collapsed="false">
      <c r="A973" s="16"/>
      <c r="B973" s="11" t="str">
        <f aca="false">IF($H973="","",INDEX(DECKS!$A$2:$A$1201,$H973))</f>
        <v/>
      </c>
      <c r="C973" s="11" t="str">
        <f aca="false">IF($H973="","",INDEX(DECKS!$B$2:$B$1201,$H973))</f>
        <v/>
      </c>
      <c r="D973" s="11" t="str">
        <f aca="false">IF($H973="","",INDEX(DECKS!$C$2:$C$1201,$H973))</f>
        <v/>
      </c>
      <c r="E973" s="16" t="str">
        <f aca="false">IF($H973="","",INDEX(DECKS!$D$2:$D$1201,$H973))</f>
        <v/>
      </c>
      <c r="F973" s="16" t="str">
        <f aca="false">IF($H973="","",INDEX(DECKS!$E$2:$E$1201,$H973))</f>
        <v/>
      </c>
      <c r="G973" s="21" t="str">
        <f aca="false">IF($H973="","",INDEX(DECKS!$F$2:$F$1201,$H973))</f>
        <v/>
      </c>
      <c r="H973" s="11" t="str">
        <f aca="false">IFERROR(MATCH(ROW()-1,DECKS!$O$2:$O$1201,0),"")</f>
        <v/>
      </c>
      <c r="I973" s="11" t="str">
        <f aca="false">IF(C973="","",G973&amp;" "&amp;D973&amp;" ("&amp;C973&amp;")")</f>
        <v/>
      </c>
    </row>
    <row r="974" customFormat="false" ht="15" hidden="false" customHeight="false" outlineLevel="0" collapsed="false">
      <c r="A974" s="16"/>
      <c r="B974" s="11" t="str">
        <f aca="false">IF($H974="","",INDEX(DECKS!$A$2:$A$1201,$H974))</f>
        <v/>
      </c>
      <c r="C974" s="11" t="str">
        <f aca="false">IF($H974="","",INDEX(DECKS!$B$2:$B$1201,$H974))</f>
        <v/>
      </c>
      <c r="D974" s="11" t="str">
        <f aca="false">IF($H974="","",INDEX(DECKS!$C$2:$C$1201,$H974))</f>
        <v/>
      </c>
      <c r="E974" s="16" t="str">
        <f aca="false">IF($H974="","",INDEX(DECKS!$D$2:$D$1201,$H974))</f>
        <v/>
      </c>
      <c r="F974" s="16" t="str">
        <f aca="false">IF($H974="","",INDEX(DECKS!$E$2:$E$1201,$H974))</f>
        <v/>
      </c>
      <c r="G974" s="21" t="str">
        <f aca="false">IF($H974="","",INDEX(DECKS!$F$2:$F$1201,$H974))</f>
        <v/>
      </c>
      <c r="H974" s="11" t="str">
        <f aca="false">IFERROR(MATCH(ROW()-1,DECKS!$O$2:$O$1201,0),"")</f>
        <v/>
      </c>
      <c r="I974" s="11" t="str">
        <f aca="false">IF(C974="","",G974&amp;" "&amp;D974&amp;" ("&amp;C974&amp;")")</f>
        <v/>
      </c>
    </row>
    <row r="975" customFormat="false" ht="15" hidden="false" customHeight="false" outlineLevel="0" collapsed="false">
      <c r="A975" s="16"/>
      <c r="B975" s="11" t="str">
        <f aca="false">IF($H975="","",INDEX(DECKS!$A$2:$A$1201,$H975))</f>
        <v/>
      </c>
      <c r="C975" s="11" t="str">
        <f aca="false">IF($H975="","",INDEX(DECKS!$B$2:$B$1201,$H975))</f>
        <v/>
      </c>
      <c r="D975" s="11" t="str">
        <f aca="false">IF($H975="","",INDEX(DECKS!$C$2:$C$1201,$H975))</f>
        <v/>
      </c>
      <c r="E975" s="16" t="str">
        <f aca="false">IF($H975="","",INDEX(DECKS!$D$2:$D$1201,$H975))</f>
        <v/>
      </c>
      <c r="F975" s="16" t="str">
        <f aca="false">IF($H975="","",INDEX(DECKS!$E$2:$E$1201,$H975))</f>
        <v/>
      </c>
      <c r="G975" s="21" t="str">
        <f aca="false">IF($H975="","",INDEX(DECKS!$F$2:$F$1201,$H975))</f>
        <v/>
      </c>
      <c r="H975" s="11" t="str">
        <f aca="false">IFERROR(MATCH(ROW()-1,DECKS!$O$2:$O$1201,0),"")</f>
        <v/>
      </c>
      <c r="I975" s="11" t="str">
        <f aca="false">IF(C975="","",G975&amp;" "&amp;D975&amp;" ("&amp;C975&amp;")")</f>
        <v/>
      </c>
    </row>
    <row r="976" customFormat="false" ht="15" hidden="false" customHeight="false" outlineLevel="0" collapsed="false">
      <c r="A976" s="16"/>
      <c r="B976" s="11" t="str">
        <f aca="false">IF($H976="","",INDEX(DECKS!$A$2:$A$1201,$H976))</f>
        <v/>
      </c>
      <c r="C976" s="11" t="str">
        <f aca="false">IF($H976="","",INDEX(DECKS!$B$2:$B$1201,$H976))</f>
        <v/>
      </c>
      <c r="D976" s="11" t="str">
        <f aca="false">IF($H976="","",INDEX(DECKS!$C$2:$C$1201,$H976))</f>
        <v/>
      </c>
      <c r="E976" s="16" t="str">
        <f aca="false">IF($H976="","",INDEX(DECKS!$D$2:$D$1201,$H976))</f>
        <v/>
      </c>
      <c r="F976" s="16" t="str">
        <f aca="false">IF($H976="","",INDEX(DECKS!$E$2:$E$1201,$H976))</f>
        <v/>
      </c>
      <c r="G976" s="21" t="str">
        <f aca="false">IF($H976="","",INDEX(DECKS!$F$2:$F$1201,$H976))</f>
        <v/>
      </c>
      <c r="H976" s="11" t="str">
        <f aca="false">IFERROR(MATCH(ROW()-1,DECKS!$O$2:$O$1201,0),"")</f>
        <v/>
      </c>
      <c r="I976" s="11" t="str">
        <f aca="false">IF(C976="","",G976&amp;" "&amp;D976&amp;" ("&amp;C976&amp;")")</f>
        <v/>
      </c>
    </row>
    <row r="977" customFormat="false" ht="15" hidden="false" customHeight="false" outlineLevel="0" collapsed="false">
      <c r="A977" s="16"/>
      <c r="B977" s="11" t="str">
        <f aca="false">IF($H977="","",INDEX(DECKS!$A$2:$A$1201,$H977))</f>
        <v/>
      </c>
      <c r="C977" s="11" t="str">
        <f aca="false">IF($H977="","",INDEX(DECKS!$B$2:$B$1201,$H977))</f>
        <v/>
      </c>
      <c r="D977" s="11" t="str">
        <f aca="false">IF($H977="","",INDEX(DECKS!$C$2:$C$1201,$H977))</f>
        <v/>
      </c>
      <c r="E977" s="16" t="str">
        <f aca="false">IF($H977="","",INDEX(DECKS!$D$2:$D$1201,$H977))</f>
        <v/>
      </c>
      <c r="F977" s="16" t="str">
        <f aca="false">IF($H977="","",INDEX(DECKS!$E$2:$E$1201,$H977))</f>
        <v/>
      </c>
      <c r="G977" s="21" t="str">
        <f aca="false">IF($H977="","",INDEX(DECKS!$F$2:$F$1201,$H977))</f>
        <v/>
      </c>
      <c r="H977" s="11" t="str">
        <f aca="false">IFERROR(MATCH(ROW()-1,DECKS!$O$2:$O$1201,0),"")</f>
        <v/>
      </c>
      <c r="I977" s="11" t="str">
        <f aca="false">IF(C977="","",G977&amp;" "&amp;D977&amp;" ("&amp;C977&amp;")")</f>
        <v/>
      </c>
    </row>
    <row r="978" customFormat="false" ht="15" hidden="false" customHeight="false" outlineLevel="0" collapsed="false">
      <c r="A978" s="16"/>
      <c r="B978" s="11" t="str">
        <f aca="false">IF($H978="","",INDEX(DECKS!$A$2:$A$1201,$H978))</f>
        <v/>
      </c>
      <c r="C978" s="11" t="str">
        <f aca="false">IF($H978="","",INDEX(DECKS!$B$2:$B$1201,$H978))</f>
        <v/>
      </c>
      <c r="D978" s="11" t="str">
        <f aca="false">IF($H978="","",INDEX(DECKS!$C$2:$C$1201,$H978))</f>
        <v/>
      </c>
      <c r="E978" s="16" t="str">
        <f aca="false">IF($H978="","",INDEX(DECKS!$D$2:$D$1201,$H978))</f>
        <v/>
      </c>
      <c r="F978" s="16" t="str">
        <f aca="false">IF($H978="","",INDEX(DECKS!$E$2:$E$1201,$H978))</f>
        <v/>
      </c>
      <c r="G978" s="21" t="str">
        <f aca="false">IF($H978="","",INDEX(DECKS!$F$2:$F$1201,$H978))</f>
        <v/>
      </c>
      <c r="H978" s="11" t="str">
        <f aca="false">IFERROR(MATCH(ROW()-1,DECKS!$O$2:$O$1201,0),"")</f>
        <v/>
      </c>
      <c r="I978" s="11" t="str">
        <f aca="false">IF(C978="","",G978&amp;" "&amp;D978&amp;" ("&amp;C978&amp;")")</f>
        <v/>
      </c>
    </row>
    <row r="979" customFormat="false" ht="15" hidden="false" customHeight="false" outlineLevel="0" collapsed="false">
      <c r="A979" s="16"/>
      <c r="B979" s="11" t="str">
        <f aca="false">IF($H979="","",INDEX(DECKS!$A$2:$A$1201,$H979))</f>
        <v/>
      </c>
      <c r="C979" s="11" t="str">
        <f aca="false">IF($H979="","",INDEX(DECKS!$B$2:$B$1201,$H979))</f>
        <v/>
      </c>
      <c r="D979" s="11" t="str">
        <f aca="false">IF($H979="","",INDEX(DECKS!$C$2:$C$1201,$H979))</f>
        <v/>
      </c>
      <c r="E979" s="16" t="str">
        <f aca="false">IF($H979="","",INDEX(DECKS!$D$2:$D$1201,$H979))</f>
        <v/>
      </c>
      <c r="F979" s="16" t="str">
        <f aca="false">IF($H979="","",INDEX(DECKS!$E$2:$E$1201,$H979))</f>
        <v/>
      </c>
      <c r="G979" s="21" t="str">
        <f aca="false">IF($H979="","",INDEX(DECKS!$F$2:$F$1201,$H979))</f>
        <v/>
      </c>
      <c r="H979" s="11" t="str">
        <f aca="false">IFERROR(MATCH(ROW()-1,DECKS!$O$2:$O$1201,0),"")</f>
        <v/>
      </c>
      <c r="I979" s="11" t="str">
        <f aca="false">IF(C979="","",G979&amp;" "&amp;D979&amp;" ("&amp;C979&amp;")")</f>
        <v/>
      </c>
    </row>
    <row r="980" customFormat="false" ht="15" hidden="false" customHeight="false" outlineLevel="0" collapsed="false">
      <c r="A980" s="16"/>
      <c r="B980" s="11" t="str">
        <f aca="false">IF($H980="","",INDEX(DECKS!$A$2:$A$1201,$H980))</f>
        <v/>
      </c>
      <c r="C980" s="11" t="str">
        <f aca="false">IF($H980="","",INDEX(DECKS!$B$2:$B$1201,$H980))</f>
        <v/>
      </c>
      <c r="D980" s="11" t="str">
        <f aca="false">IF($H980="","",INDEX(DECKS!$C$2:$C$1201,$H980))</f>
        <v/>
      </c>
      <c r="E980" s="16" t="str">
        <f aca="false">IF($H980="","",INDEX(DECKS!$D$2:$D$1201,$H980))</f>
        <v/>
      </c>
      <c r="F980" s="16" t="str">
        <f aca="false">IF($H980="","",INDEX(DECKS!$E$2:$E$1201,$H980))</f>
        <v/>
      </c>
      <c r="G980" s="21" t="str">
        <f aca="false">IF($H980="","",INDEX(DECKS!$F$2:$F$1201,$H980))</f>
        <v/>
      </c>
      <c r="H980" s="11" t="str">
        <f aca="false">IFERROR(MATCH(ROW()-1,DECKS!$O$2:$O$1201,0),"")</f>
        <v/>
      </c>
      <c r="I980" s="11" t="str">
        <f aca="false">IF(C980="","",G980&amp;" "&amp;D980&amp;" ("&amp;C980&amp;")")</f>
        <v/>
      </c>
    </row>
    <row r="981" customFormat="false" ht="15" hidden="false" customHeight="false" outlineLevel="0" collapsed="false">
      <c r="A981" s="16"/>
      <c r="B981" s="11" t="str">
        <f aca="false">IF($H981="","",INDEX(DECKS!$A$2:$A$1201,$H981))</f>
        <v/>
      </c>
      <c r="C981" s="11" t="str">
        <f aca="false">IF($H981="","",INDEX(DECKS!$B$2:$B$1201,$H981))</f>
        <v/>
      </c>
      <c r="D981" s="11" t="str">
        <f aca="false">IF($H981="","",INDEX(DECKS!$C$2:$C$1201,$H981))</f>
        <v/>
      </c>
      <c r="E981" s="16" t="str">
        <f aca="false">IF($H981="","",INDEX(DECKS!$D$2:$D$1201,$H981))</f>
        <v/>
      </c>
      <c r="F981" s="16" t="str">
        <f aca="false">IF($H981="","",INDEX(DECKS!$E$2:$E$1201,$H981))</f>
        <v/>
      </c>
      <c r="G981" s="21" t="str">
        <f aca="false">IF($H981="","",INDEX(DECKS!$F$2:$F$1201,$H981))</f>
        <v/>
      </c>
      <c r="H981" s="11" t="str">
        <f aca="false">IFERROR(MATCH(ROW()-1,DECKS!$O$2:$O$1201,0),"")</f>
        <v/>
      </c>
      <c r="I981" s="11" t="str">
        <f aca="false">IF(C981="","",G981&amp;" "&amp;D981&amp;" ("&amp;C981&amp;")")</f>
        <v/>
      </c>
    </row>
    <row r="982" customFormat="false" ht="15" hidden="false" customHeight="false" outlineLevel="0" collapsed="false">
      <c r="A982" s="16"/>
      <c r="B982" s="11" t="str">
        <f aca="false">IF($H982="","",INDEX(DECKS!$A$2:$A$1201,$H982))</f>
        <v/>
      </c>
      <c r="C982" s="11" t="str">
        <f aca="false">IF($H982="","",INDEX(DECKS!$B$2:$B$1201,$H982))</f>
        <v/>
      </c>
      <c r="D982" s="11" t="str">
        <f aca="false">IF($H982="","",INDEX(DECKS!$C$2:$C$1201,$H982))</f>
        <v/>
      </c>
      <c r="E982" s="16" t="str">
        <f aca="false">IF($H982="","",INDEX(DECKS!$D$2:$D$1201,$H982))</f>
        <v/>
      </c>
      <c r="F982" s="16" t="str">
        <f aca="false">IF($H982="","",INDEX(DECKS!$E$2:$E$1201,$H982))</f>
        <v/>
      </c>
      <c r="G982" s="21" t="str">
        <f aca="false">IF($H982="","",INDEX(DECKS!$F$2:$F$1201,$H982))</f>
        <v/>
      </c>
      <c r="H982" s="11" t="str">
        <f aca="false">IFERROR(MATCH(ROW()-1,DECKS!$O$2:$O$1201,0),"")</f>
        <v/>
      </c>
      <c r="I982" s="11" t="str">
        <f aca="false">IF(C982="","",G982&amp;" "&amp;D982&amp;" ("&amp;C982&amp;")")</f>
        <v/>
      </c>
    </row>
    <row r="983" customFormat="false" ht="15" hidden="false" customHeight="false" outlineLevel="0" collapsed="false">
      <c r="A983" s="16"/>
      <c r="B983" s="11" t="str">
        <f aca="false">IF($H983="","",INDEX(DECKS!$A$2:$A$1201,$H983))</f>
        <v/>
      </c>
      <c r="C983" s="11" t="str">
        <f aca="false">IF($H983="","",INDEX(DECKS!$B$2:$B$1201,$H983))</f>
        <v/>
      </c>
      <c r="D983" s="11" t="str">
        <f aca="false">IF($H983="","",INDEX(DECKS!$C$2:$C$1201,$H983))</f>
        <v/>
      </c>
      <c r="E983" s="16" t="str">
        <f aca="false">IF($H983="","",INDEX(DECKS!$D$2:$D$1201,$H983))</f>
        <v/>
      </c>
      <c r="F983" s="16" t="str">
        <f aca="false">IF($H983="","",INDEX(DECKS!$E$2:$E$1201,$H983))</f>
        <v/>
      </c>
      <c r="G983" s="21" t="str">
        <f aca="false">IF($H983="","",INDEX(DECKS!$F$2:$F$1201,$H983))</f>
        <v/>
      </c>
      <c r="H983" s="11" t="str">
        <f aca="false">IFERROR(MATCH(ROW()-1,DECKS!$O$2:$O$1201,0),"")</f>
        <v/>
      </c>
      <c r="I983" s="11" t="str">
        <f aca="false">IF(C983="","",G983&amp;" "&amp;D983&amp;" ("&amp;C983&amp;")")</f>
        <v/>
      </c>
    </row>
    <row r="984" customFormat="false" ht="15" hidden="false" customHeight="false" outlineLevel="0" collapsed="false">
      <c r="A984" s="16"/>
      <c r="B984" s="11" t="str">
        <f aca="false">IF($H984="","",INDEX(DECKS!$A$2:$A$1201,$H984))</f>
        <v/>
      </c>
      <c r="C984" s="11" t="str">
        <f aca="false">IF($H984="","",INDEX(DECKS!$B$2:$B$1201,$H984))</f>
        <v/>
      </c>
      <c r="D984" s="11" t="str">
        <f aca="false">IF($H984="","",INDEX(DECKS!$C$2:$C$1201,$H984))</f>
        <v/>
      </c>
      <c r="E984" s="16" t="str">
        <f aca="false">IF($H984="","",INDEX(DECKS!$D$2:$D$1201,$H984))</f>
        <v/>
      </c>
      <c r="F984" s="16" t="str">
        <f aca="false">IF($H984="","",INDEX(DECKS!$E$2:$E$1201,$H984))</f>
        <v/>
      </c>
      <c r="G984" s="21" t="str">
        <f aca="false">IF($H984="","",INDEX(DECKS!$F$2:$F$1201,$H984))</f>
        <v/>
      </c>
      <c r="H984" s="11" t="str">
        <f aca="false">IFERROR(MATCH(ROW()-1,DECKS!$O$2:$O$1201,0),"")</f>
        <v/>
      </c>
      <c r="I984" s="11" t="str">
        <f aca="false">IF(C984="","",G984&amp;" "&amp;D984&amp;" ("&amp;C984&amp;")")</f>
        <v/>
      </c>
    </row>
    <row r="985" customFormat="false" ht="15" hidden="false" customHeight="false" outlineLevel="0" collapsed="false">
      <c r="A985" s="16"/>
      <c r="B985" s="11" t="str">
        <f aca="false">IF($H985="","",INDEX(DECKS!$A$2:$A$1201,$H985))</f>
        <v/>
      </c>
      <c r="C985" s="11" t="str">
        <f aca="false">IF($H985="","",INDEX(DECKS!$B$2:$B$1201,$H985))</f>
        <v/>
      </c>
      <c r="D985" s="11" t="str">
        <f aca="false">IF($H985="","",INDEX(DECKS!$C$2:$C$1201,$H985))</f>
        <v/>
      </c>
      <c r="E985" s="16" t="str">
        <f aca="false">IF($H985="","",INDEX(DECKS!$D$2:$D$1201,$H985))</f>
        <v/>
      </c>
      <c r="F985" s="16" t="str">
        <f aca="false">IF($H985="","",INDEX(DECKS!$E$2:$E$1201,$H985))</f>
        <v/>
      </c>
      <c r="G985" s="21" t="str">
        <f aca="false">IF($H985="","",INDEX(DECKS!$F$2:$F$1201,$H985))</f>
        <v/>
      </c>
      <c r="H985" s="11" t="str">
        <f aca="false">IFERROR(MATCH(ROW()-1,DECKS!$O$2:$O$1201,0),"")</f>
        <v/>
      </c>
      <c r="I985" s="11" t="str">
        <f aca="false">IF(C985="","",G985&amp;" "&amp;D985&amp;" ("&amp;C985&amp;")")</f>
        <v/>
      </c>
    </row>
    <row r="986" customFormat="false" ht="15" hidden="false" customHeight="false" outlineLevel="0" collapsed="false">
      <c r="A986" s="16"/>
      <c r="B986" s="11" t="str">
        <f aca="false">IF($H986="","",INDEX(DECKS!$A$2:$A$1201,$H986))</f>
        <v/>
      </c>
      <c r="C986" s="11" t="str">
        <f aca="false">IF($H986="","",INDEX(DECKS!$B$2:$B$1201,$H986))</f>
        <v/>
      </c>
      <c r="D986" s="11" t="str">
        <f aca="false">IF($H986="","",INDEX(DECKS!$C$2:$C$1201,$H986))</f>
        <v/>
      </c>
      <c r="E986" s="16" t="str">
        <f aca="false">IF($H986="","",INDEX(DECKS!$D$2:$D$1201,$H986))</f>
        <v/>
      </c>
      <c r="F986" s="16" t="str">
        <f aca="false">IF($H986="","",INDEX(DECKS!$E$2:$E$1201,$H986))</f>
        <v/>
      </c>
      <c r="G986" s="21" t="str">
        <f aca="false">IF($H986="","",INDEX(DECKS!$F$2:$F$1201,$H986))</f>
        <v/>
      </c>
      <c r="H986" s="11" t="str">
        <f aca="false">IFERROR(MATCH(ROW()-1,DECKS!$O$2:$O$1201,0),"")</f>
        <v/>
      </c>
      <c r="I986" s="11" t="str">
        <f aca="false">IF(C986="","",G986&amp;" "&amp;D986&amp;" ("&amp;C986&amp;")")</f>
        <v/>
      </c>
    </row>
    <row r="987" customFormat="false" ht="15" hidden="false" customHeight="false" outlineLevel="0" collapsed="false">
      <c r="A987" s="16"/>
      <c r="B987" s="11" t="str">
        <f aca="false">IF($H987="","",INDEX(DECKS!$A$2:$A$1201,$H987))</f>
        <v/>
      </c>
      <c r="C987" s="11" t="str">
        <f aca="false">IF($H987="","",INDEX(DECKS!$B$2:$B$1201,$H987))</f>
        <v/>
      </c>
      <c r="D987" s="11" t="str">
        <f aca="false">IF($H987="","",INDEX(DECKS!$C$2:$C$1201,$H987))</f>
        <v/>
      </c>
      <c r="E987" s="16" t="str">
        <f aca="false">IF($H987="","",INDEX(DECKS!$D$2:$D$1201,$H987))</f>
        <v/>
      </c>
      <c r="F987" s="16" t="str">
        <f aca="false">IF($H987="","",INDEX(DECKS!$E$2:$E$1201,$H987))</f>
        <v/>
      </c>
      <c r="G987" s="21" t="str">
        <f aca="false">IF($H987="","",INDEX(DECKS!$F$2:$F$1201,$H987))</f>
        <v/>
      </c>
      <c r="H987" s="11" t="str">
        <f aca="false">IFERROR(MATCH(ROW()-1,DECKS!$O$2:$O$1201,0),"")</f>
        <v/>
      </c>
      <c r="I987" s="11" t="str">
        <f aca="false">IF(C987="","",G987&amp;" "&amp;D987&amp;" ("&amp;C987&amp;")")</f>
        <v/>
      </c>
    </row>
    <row r="988" customFormat="false" ht="15" hidden="false" customHeight="false" outlineLevel="0" collapsed="false">
      <c r="A988" s="16"/>
      <c r="B988" s="11" t="str">
        <f aca="false">IF($H988="","",INDEX(DECKS!$A$2:$A$1201,$H988))</f>
        <v/>
      </c>
      <c r="C988" s="11" t="str">
        <f aca="false">IF($H988="","",INDEX(DECKS!$B$2:$B$1201,$H988))</f>
        <v/>
      </c>
      <c r="D988" s="11" t="str">
        <f aca="false">IF($H988="","",INDEX(DECKS!$C$2:$C$1201,$H988))</f>
        <v/>
      </c>
      <c r="E988" s="16" t="str">
        <f aca="false">IF($H988="","",INDEX(DECKS!$D$2:$D$1201,$H988))</f>
        <v/>
      </c>
      <c r="F988" s="16" t="str">
        <f aca="false">IF($H988="","",INDEX(DECKS!$E$2:$E$1201,$H988))</f>
        <v/>
      </c>
      <c r="G988" s="21" t="str">
        <f aca="false">IF($H988="","",INDEX(DECKS!$F$2:$F$1201,$H988))</f>
        <v/>
      </c>
      <c r="H988" s="11" t="str">
        <f aca="false">IFERROR(MATCH(ROW()-1,DECKS!$O$2:$O$1201,0),"")</f>
        <v/>
      </c>
      <c r="I988" s="11" t="str">
        <f aca="false">IF(C988="","",G988&amp;" "&amp;D988&amp;" ("&amp;C988&amp;")")</f>
        <v/>
      </c>
    </row>
    <row r="989" customFormat="false" ht="15" hidden="false" customHeight="false" outlineLevel="0" collapsed="false">
      <c r="A989" s="16"/>
      <c r="B989" s="11" t="str">
        <f aca="false">IF($H989="","",INDEX(DECKS!$A$2:$A$1201,$H989))</f>
        <v/>
      </c>
      <c r="C989" s="11" t="str">
        <f aca="false">IF($H989="","",INDEX(DECKS!$B$2:$B$1201,$H989))</f>
        <v/>
      </c>
      <c r="D989" s="11" t="str">
        <f aca="false">IF($H989="","",INDEX(DECKS!$C$2:$C$1201,$H989))</f>
        <v/>
      </c>
      <c r="E989" s="16" t="str">
        <f aca="false">IF($H989="","",INDEX(DECKS!$D$2:$D$1201,$H989))</f>
        <v/>
      </c>
      <c r="F989" s="16" t="str">
        <f aca="false">IF($H989="","",INDEX(DECKS!$E$2:$E$1201,$H989))</f>
        <v/>
      </c>
      <c r="G989" s="21" t="str">
        <f aca="false">IF($H989="","",INDEX(DECKS!$F$2:$F$1201,$H989))</f>
        <v/>
      </c>
      <c r="H989" s="11" t="str">
        <f aca="false">IFERROR(MATCH(ROW()-1,DECKS!$O$2:$O$1201,0),"")</f>
        <v/>
      </c>
      <c r="I989" s="11" t="str">
        <f aca="false">IF(C989="","",G989&amp;" "&amp;D989&amp;" ("&amp;C989&amp;")")</f>
        <v/>
      </c>
    </row>
    <row r="990" customFormat="false" ht="15" hidden="false" customHeight="false" outlineLevel="0" collapsed="false">
      <c r="A990" s="16"/>
      <c r="B990" s="11" t="str">
        <f aca="false">IF($H990="","",INDEX(DECKS!$A$2:$A$1201,$H990))</f>
        <v/>
      </c>
      <c r="C990" s="11" t="str">
        <f aca="false">IF($H990="","",INDEX(DECKS!$B$2:$B$1201,$H990))</f>
        <v/>
      </c>
      <c r="D990" s="11" t="str">
        <f aca="false">IF($H990="","",INDEX(DECKS!$C$2:$C$1201,$H990))</f>
        <v/>
      </c>
      <c r="E990" s="16" t="str">
        <f aca="false">IF($H990="","",INDEX(DECKS!$D$2:$D$1201,$H990))</f>
        <v/>
      </c>
      <c r="F990" s="16" t="str">
        <f aca="false">IF($H990="","",INDEX(DECKS!$E$2:$E$1201,$H990))</f>
        <v/>
      </c>
      <c r="G990" s="21" t="str">
        <f aca="false">IF($H990="","",INDEX(DECKS!$F$2:$F$1201,$H990))</f>
        <v/>
      </c>
      <c r="H990" s="11" t="str">
        <f aca="false">IFERROR(MATCH(ROW()-1,DECKS!$O$2:$O$1201,0),"")</f>
        <v/>
      </c>
      <c r="I990" s="11" t="str">
        <f aca="false">IF(C990="","",G990&amp;" "&amp;D990&amp;" ("&amp;C990&amp;")")</f>
        <v/>
      </c>
    </row>
    <row r="991" customFormat="false" ht="15" hidden="false" customHeight="false" outlineLevel="0" collapsed="false">
      <c r="A991" s="16"/>
      <c r="B991" s="11" t="str">
        <f aca="false">IF($H991="","",INDEX(DECKS!$A$2:$A$1201,$H991))</f>
        <v/>
      </c>
      <c r="C991" s="11" t="str">
        <f aca="false">IF($H991="","",INDEX(DECKS!$B$2:$B$1201,$H991))</f>
        <v/>
      </c>
      <c r="D991" s="11" t="str">
        <f aca="false">IF($H991="","",INDEX(DECKS!$C$2:$C$1201,$H991))</f>
        <v/>
      </c>
      <c r="E991" s="16" t="str">
        <f aca="false">IF($H991="","",INDEX(DECKS!$D$2:$D$1201,$H991))</f>
        <v/>
      </c>
      <c r="F991" s="16" t="str">
        <f aca="false">IF($H991="","",INDEX(DECKS!$E$2:$E$1201,$H991))</f>
        <v/>
      </c>
      <c r="G991" s="21" t="str">
        <f aca="false">IF($H991="","",INDEX(DECKS!$F$2:$F$1201,$H991))</f>
        <v/>
      </c>
      <c r="H991" s="11" t="str">
        <f aca="false">IFERROR(MATCH(ROW()-1,DECKS!$O$2:$O$1201,0),"")</f>
        <v/>
      </c>
      <c r="I991" s="11" t="str">
        <f aca="false">IF(C991="","",G991&amp;" "&amp;D991&amp;" ("&amp;C991&amp;")")</f>
        <v/>
      </c>
    </row>
    <row r="992" customFormat="false" ht="15" hidden="false" customHeight="false" outlineLevel="0" collapsed="false">
      <c r="A992" s="16"/>
      <c r="B992" s="11" t="str">
        <f aca="false">IF($H992="","",INDEX(DECKS!$A$2:$A$1201,$H992))</f>
        <v/>
      </c>
      <c r="C992" s="11" t="str">
        <f aca="false">IF($H992="","",INDEX(DECKS!$B$2:$B$1201,$H992))</f>
        <v/>
      </c>
      <c r="D992" s="11" t="str">
        <f aca="false">IF($H992="","",INDEX(DECKS!$C$2:$C$1201,$H992))</f>
        <v/>
      </c>
      <c r="E992" s="16" t="str">
        <f aca="false">IF($H992="","",INDEX(DECKS!$D$2:$D$1201,$H992))</f>
        <v/>
      </c>
      <c r="F992" s="16" t="str">
        <f aca="false">IF($H992="","",INDEX(DECKS!$E$2:$E$1201,$H992))</f>
        <v/>
      </c>
      <c r="G992" s="21" t="str">
        <f aca="false">IF($H992="","",INDEX(DECKS!$F$2:$F$1201,$H992))</f>
        <v/>
      </c>
      <c r="H992" s="11" t="str">
        <f aca="false">IFERROR(MATCH(ROW()-1,DECKS!$O$2:$O$1201,0),"")</f>
        <v/>
      </c>
      <c r="I992" s="11" t="str">
        <f aca="false">IF(C992="","",G992&amp;" "&amp;D992&amp;" ("&amp;C992&amp;")")</f>
        <v/>
      </c>
    </row>
    <row r="993" customFormat="false" ht="15" hidden="false" customHeight="false" outlineLevel="0" collapsed="false">
      <c r="A993" s="16"/>
      <c r="B993" s="11" t="str">
        <f aca="false">IF($H993="","",INDEX(DECKS!$A$2:$A$1201,$H993))</f>
        <v/>
      </c>
      <c r="C993" s="11" t="str">
        <f aca="false">IF($H993="","",INDEX(DECKS!$B$2:$B$1201,$H993))</f>
        <v/>
      </c>
      <c r="D993" s="11" t="str">
        <f aca="false">IF($H993="","",INDEX(DECKS!$C$2:$C$1201,$H993))</f>
        <v/>
      </c>
      <c r="E993" s="16" t="str">
        <f aca="false">IF($H993="","",INDEX(DECKS!$D$2:$D$1201,$H993))</f>
        <v/>
      </c>
      <c r="F993" s="16" t="str">
        <f aca="false">IF($H993="","",INDEX(DECKS!$E$2:$E$1201,$H993))</f>
        <v/>
      </c>
      <c r="G993" s="21" t="str">
        <f aca="false">IF($H993="","",INDEX(DECKS!$F$2:$F$1201,$H993))</f>
        <v/>
      </c>
      <c r="H993" s="11" t="str">
        <f aca="false">IFERROR(MATCH(ROW()-1,DECKS!$O$2:$O$1201,0),"")</f>
        <v/>
      </c>
      <c r="I993" s="11" t="str">
        <f aca="false">IF(C993="","",G993&amp;" "&amp;D993&amp;" ("&amp;C993&amp;")")</f>
        <v/>
      </c>
    </row>
    <row r="994" customFormat="false" ht="15" hidden="false" customHeight="false" outlineLevel="0" collapsed="false">
      <c r="A994" s="16"/>
      <c r="B994" s="11" t="str">
        <f aca="false">IF($H994="","",INDEX(DECKS!$A$2:$A$1201,$H994))</f>
        <v/>
      </c>
      <c r="C994" s="11" t="str">
        <f aca="false">IF($H994="","",INDEX(DECKS!$B$2:$B$1201,$H994))</f>
        <v/>
      </c>
      <c r="D994" s="11" t="str">
        <f aca="false">IF($H994="","",INDEX(DECKS!$C$2:$C$1201,$H994))</f>
        <v/>
      </c>
      <c r="E994" s="16" t="str">
        <f aca="false">IF($H994="","",INDEX(DECKS!$D$2:$D$1201,$H994))</f>
        <v/>
      </c>
      <c r="F994" s="16" t="str">
        <f aca="false">IF($H994="","",INDEX(DECKS!$E$2:$E$1201,$H994))</f>
        <v/>
      </c>
      <c r="G994" s="21" t="str">
        <f aca="false">IF($H994="","",INDEX(DECKS!$F$2:$F$1201,$H994))</f>
        <v/>
      </c>
      <c r="H994" s="11" t="str">
        <f aca="false">IFERROR(MATCH(ROW()-1,DECKS!$O$2:$O$1201,0),"")</f>
        <v/>
      </c>
      <c r="I994" s="11" t="str">
        <f aca="false">IF(C994="","",G994&amp;" "&amp;D994&amp;" ("&amp;C994&amp;")")</f>
        <v/>
      </c>
    </row>
    <row r="995" customFormat="false" ht="15" hidden="false" customHeight="false" outlineLevel="0" collapsed="false">
      <c r="A995" s="16"/>
      <c r="B995" s="11" t="str">
        <f aca="false">IF($H995="","",INDEX(DECKS!$A$2:$A$1201,$H995))</f>
        <v/>
      </c>
      <c r="C995" s="11" t="str">
        <f aca="false">IF($H995="","",INDEX(DECKS!$B$2:$B$1201,$H995))</f>
        <v/>
      </c>
      <c r="D995" s="11" t="str">
        <f aca="false">IF($H995="","",INDEX(DECKS!$C$2:$C$1201,$H995))</f>
        <v/>
      </c>
      <c r="E995" s="16" t="str">
        <f aca="false">IF($H995="","",INDEX(DECKS!$D$2:$D$1201,$H995))</f>
        <v/>
      </c>
      <c r="F995" s="16" t="str">
        <f aca="false">IF($H995="","",INDEX(DECKS!$E$2:$E$1201,$H995))</f>
        <v/>
      </c>
      <c r="G995" s="21" t="str">
        <f aca="false">IF($H995="","",INDEX(DECKS!$F$2:$F$1201,$H995))</f>
        <v/>
      </c>
      <c r="H995" s="11" t="str">
        <f aca="false">IFERROR(MATCH(ROW()-1,DECKS!$O$2:$O$1201,0),"")</f>
        <v/>
      </c>
      <c r="I995" s="11" t="str">
        <f aca="false">IF(C995="","",G995&amp;" "&amp;D995&amp;" ("&amp;C995&amp;")")</f>
        <v/>
      </c>
    </row>
    <row r="996" customFormat="false" ht="15" hidden="false" customHeight="false" outlineLevel="0" collapsed="false">
      <c r="A996" s="16"/>
      <c r="B996" s="11" t="str">
        <f aca="false">IF($H996="","",INDEX(DECKS!$A$2:$A$1201,$H996))</f>
        <v/>
      </c>
      <c r="C996" s="11" t="str">
        <f aca="false">IF($H996="","",INDEX(DECKS!$B$2:$B$1201,$H996))</f>
        <v/>
      </c>
      <c r="D996" s="11" t="str">
        <f aca="false">IF($H996="","",INDEX(DECKS!$C$2:$C$1201,$H996))</f>
        <v/>
      </c>
      <c r="E996" s="16" t="str">
        <f aca="false">IF($H996="","",INDEX(DECKS!$D$2:$D$1201,$H996))</f>
        <v/>
      </c>
      <c r="F996" s="16" t="str">
        <f aca="false">IF($H996="","",INDEX(DECKS!$E$2:$E$1201,$H996))</f>
        <v/>
      </c>
      <c r="G996" s="21" t="str">
        <f aca="false">IF($H996="","",INDEX(DECKS!$F$2:$F$1201,$H996))</f>
        <v/>
      </c>
      <c r="H996" s="11" t="str">
        <f aca="false">IFERROR(MATCH(ROW()-1,DECKS!$O$2:$O$1201,0),"")</f>
        <v/>
      </c>
      <c r="I996" s="11" t="str">
        <f aca="false">IF(C996="","",G996&amp;" "&amp;D996&amp;" ("&amp;C996&amp;")")</f>
        <v/>
      </c>
    </row>
    <row r="997" customFormat="false" ht="15" hidden="false" customHeight="false" outlineLevel="0" collapsed="false">
      <c r="A997" s="16"/>
      <c r="B997" s="11" t="str">
        <f aca="false">IF($H997="","",INDEX(DECKS!$A$2:$A$1201,$H997))</f>
        <v/>
      </c>
      <c r="C997" s="11" t="str">
        <f aca="false">IF($H997="","",INDEX(DECKS!$B$2:$B$1201,$H997))</f>
        <v/>
      </c>
      <c r="D997" s="11" t="str">
        <f aca="false">IF($H997="","",INDEX(DECKS!$C$2:$C$1201,$H997))</f>
        <v/>
      </c>
      <c r="E997" s="16" t="str">
        <f aca="false">IF($H997="","",INDEX(DECKS!$D$2:$D$1201,$H997))</f>
        <v/>
      </c>
      <c r="F997" s="16" t="str">
        <f aca="false">IF($H997="","",INDEX(DECKS!$E$2:$E$1201,$H997))</f>
        <v/>
      </c>
      <c r="G997" s="21" t="str">
        <f aca="false">IF($H997="","",INDEX(DECKS!$F$2:$F$1201,$H997))</f>
        <v/>
      </c>
      <c r="H997" s="11" t="str">
        <f aca="false">IFERROR(MATCH(ROW()-1,DECKS!$O$2:$O$1201,0),"")</f>
        <v/>
      </c>
      <c r="I997" s="11" t="str">
        <f aca="false">IF(C997="","",G997&amp;" "&amp;D997&amp;" ("&amp;C997&amp;")")</f>
        <v/>
      </c>
    </row>
    <row r="998" customFormat="false" ht="15" hidden="false" customHeight="false" outlineLevel="0" collapsed="false">
      <c r="A998" s="16"/>
      <c r="B998" s="11" t="str">
        <f aca="false">IF($H998="","",INDEX(DECKS!$A$2:$A$1201,$H998))</f>
        <v/>
      </c>
      <c r="C998" s="11" t="str">
        <f aca="false">IF($H998="","",INDEX(DECKS!$B$2:$B$1201,$H998))</f>
        <v/>
      </c>
      <c r="D998" s="11" t="str">
        <f aca="false">IF($H998="","",INDEX(DECKS!$C$2:$C$1201,$H998))</f>
        <v/>
      </c>
      <c r="E998" s="16" t="str">
        <f aca="false">IF($H998="","",INDEX(DECKS!$D$2:$D$1201,$H998))</f>
        <v/>
      </c>
      <c r="F998" s="16" t="str">
        <f aca="false">IF($H998="","",INDEX(DECKS!$E$2:$E$1201,$H998))</f>
        <v/>
      </c>
      <c r="G998" s="21" t="str">
        <f aca="false">IF($H998="","",INDEX(DECKS!$F$2:$F$1201,$H998))</f>
        <v/>
      </c>
      <c r="H998" s="11" t="str">
        <f aca="false">IFERROR(MATCH(ROW()-1,DECKS!$O$2:$O$1201,0),"")</f>
        <v/>
      </c>
      <c r="I998" s="11" t="str">
        <f aca="false">IF(C998="","",G998&amp;" "&amp;D998&amp;" ("&amp;C998&amp;")")</f>
        <v/>
      </c>
    </row>
    <row r="999" customFormat="false" ht="15" hidden="false" customHeight="false" outlineLevel="0" collapsed="false">
      <c r="A999" s="16"/>
      <c r="B999" s="11" t="str">
        <f aca="false">IF($H999="","",INDEX(DECKS!$A$2:$A$1201,$H999))</f>
        <v/>
      </c>
      <c r="C999" s="11" t="str">
        <f aca="false">IF($H999="","",INDEX(DECKS!$B$2:$B$1201,$H999))</f>
        <v/>
      </c>
      <c r="D999" s="11" t="str">
        <f aca="false">IF($H999="","",INDEX(DECKS!$C$2:$C$1201,$H999))</f>
        <v/>
      </c>
      <c r="E999" s="16" t="str">
        <f aca="false">IF($H999="","",INDEX(DECKS!$D$2:$D$1201,$H999))</f>
        <v/>
      </c>
      <c r="F999" s="16" t="str">
        <f aca="false">IF($H999="","",INDEX(DECKS!$E$2:$E$1201,$H999))</f>
        <v/>
      </c>
      <c r="G999" s="21" t="str">
        <f aca="false">IF($H999="","",INDEX(DECKS!$F$2:$F$1201,$H999))</f>
        <v/>
      </c>
      <c r="H999" s="11" t="str">
        <f aca="false">IFERROR(MATCH(ROW()-1,DECKS!$O$2:$O$1201,0),"")</f>
        <v/>
      </c>
      <c r="I999" s="11" t="str">
        <f aca="false">IF(C999="","",G999&amp;" "&amp;D999&amp;" ("&amp;C999&amp;")")</f>
        <v/>
      </c>
    </row>
    <row r="1000" customFormat="false" ht="15" hidden="false" customHeight="false" outlineLevel="0" collapsed="false">
      <c r="A1000" s="16"/>
      <c r="B1000" s="11" t="str">
        <f aca="false">IF($H1000="","",INDEX(DECKS!$A$2:$A$1201,$H1000))</f>
        <v/>
      </c>
      <c r="C1000" s="11" t="str">
        <f aca="false">IF($H1000="","",INDEX(DECKS!$B$2:$B$1201,$H1000))</f>
        <v/>
      </c>
      <c r="D1000" s="11" t="str">
        <f aca="false">IF($H1000="","",INDEX(DECKS!$C$2:$C$1201,$H1000))</f>
        <v/>
      </c>
      <c r="E1000" s="16" t="str">
        <f aca="false">IF($H1000="","",INDEX(DECKS!$D$2:$D$1201,$H1000))</f>
        <v/>
      </c>
      <c r="F1000" s="16" t="str">
        <f aca="false">IF($H1000="","",INDEX(DECKS!$E$2:$E$1201,$H1000))</f>
        <v/>
      </c>
      <c r="G1000" s="21" t="str">
        <f aca="false">IF($H1000="","",INDEX(DECKS!$F$2:$F$1201,$H1000))</f>
        <v/>
      </c>
      <c r="H1000" s="11" t="str">
        <f aca="false">IFERROR(MATCH(ROW()-1,DECKS!$O$2:$O$1201,0),"")</f>
        <v/>
      </c>
      <c r="I1000" s="11" t="str">
        <f aca="false">IF(C1000="","",G1000&amp;" "&amp;D1000&amp;" ("&amp;C1000&amp;")")</f>
        <v/>
      </c>
    </row>
    <row r="1001" customFormat="false" ht="15" hidden="false" customHeight="false" outlineLevel="0" collapsed="false">
      <c r="A1001" s="16"/>
      <c r="B1001" s="11" t="str">
        <f aca="false">IF($H1001="","",INDEX(DECKS!$A$2:$A$1201,$H1001))</f>
        <v/>
      </c>
      <c r="C1001" s="11" t="str">
        <f aca="false">IF($H1001="","",INDEX(DECKS!$B$2:$B$1201,$H1001))</f>
        <v/>
      </c>
      <c r="D1001" s="11" t="str">
        <f aca="false">IF($H1001="","",INDEX(DECKS!$C$2:$C$1201,$H1001))</f>
        <v/>
      </c>
      <c r="E1001" s="16" t="str">
        <f aca="false">IF($H1001="","",INDEX(DECKS!$D$2:$D$1201,$H1001))</f>
        <v/>
      </c>
      <c r="F1001" s="16" t="str">
        <f aca="false">IF($H1001="","",INDEX(DECKS!$E$2:$E$1201,$H1001))</f>
        <v/>
      </c>
      <c r="G1001" s="21" t="str">
        <f aca="false">IF($H1001="","",INDEX(DECKS!$F$2:$F$1201,$H1001))</f>
        <v/>
      </c>
      <c r="H1001" s="11" t="str">
        <f aca="false">IFERROR(MATCH(ROW()-1,DECKS!$O$2:$O$1201,0),"")</f>
        <v/>
      </c>
      <c r="I1001" s="11" t="str">
        <f aca="false">IF(C1001="","",G1001&amp;" "&amp;D1001&amp;" ("&amp;C1001&amp;")")</f>
        <v/>
      </c>
    </row>
    <row r="1002" customFormat="false" ht="15" hidden="false" customHeight="false" outlineLevel="0" collapsed="false">
      <c r="A1002" s="16"/>
      <c r="B1002" s="11" t="str">
        <f aca="false">IF($H1002="","",INDEX(DECKS!$A$2:$A$1201,$H1002))</f>
        <v/>
      </c>
      <c r="C1002" s="11" t="str">
        <f aca="false">IF($H1002="","",INDEX(DECKS!$B$2:$B$1201,$H1002))</f>
        <v/>
      </c>
      <c r="D1002" s="11" t="str">
        <f aca="false">IF($H1002="","",INDEX(DECKS!$C$2:$C$1201,$H1002))</f>
        <v/>
      </c>
      <c r="E1002" s="16" t="str">
        <f aca="false">IF($H1002="","",INDEX(DECKS!$D$2:$D$1201,$H1002))</f>
        <v/>
      </c>
      <c r="F1002" s="16" t="str">
        <f aca="false">IF($H1002="","",INDEX(DECKS!$E$2:$E$1201,$H1002))</f>
        <v/>
      </c>
      <c r="G1002" s="21" t="str">
        <f aca="false">IF($H1002="","",INDEX(DECKS!$F$2:$F$1201,$H1002))</f>
        <v/>
      </c>
      <c r="H1002" s="11" t="str">
        <f aca="false">IFERROR(MATCH(ROW()-1,DECKS!$O$2:$O$1201,0),"")</f>
        <v/>
      </c>
      <c r="I1002" s="11" t="str">
        <f aca="false">IF(C1002="","",G1002&amp;" "&amp;D1002&amp;" ("&amp;C1002&amp;")")</f>
        <v/>
      </c>
    </row>
    <row r="1003" customFormat="false" ht="15" hidden="false" customHeight="false" outlineLevel="0" collapsed="false">
      <c r="A1003" s="16"/>
      <c r="B1003" s="11" t="str">
        <f aca="false">IF($H1003="","",INDEX(DECKS!$A$2:$A$1201,$H1003))</f>
        <v/>
      </c>
      <c r="C1003" s="11" t="str">
        <f aca="false">IF($H1003="","",INDEX(DECKS!$B$2:$B$1201,$H1003))</f>
        <v/>
      </c>
      <c r="D1003" s="11" t="str">
        <f aca="false">IF($H1003="","",INDEX(DECKS!$C$2:$C$1201,$H1003))</f>
        <v/>
      </c>
      <c r="E1003" s="16" t="str">
        <f aca="false">IF($H1003="","",INDEX(DECKS!$D$2:$D$1201,$H1003))</f>
        <v/>
      </c>
      <c r="F1003" s="16" t="str">
        <f aca="false">IF($H1003="","",INDEX(DECKS!$E$2:$E$1201,$H1003))</f>
        <v/>
      </c>
      <c r="G1003" s="21" t="str">
        <f aca="false">IF($H1003="","",INDEX(DECKS!$F$2:$F$1201,$H1003))</f>
        <v/>
      </c>
      <c r="H1003" s="11" t="str">
        <f aca="false">IFERROR(MATCH(ROW()-1,DECKS!$O$2:$O$1201,0),"")</f>
        <v/>
      </c>
      <c r="I1003" s="11" t="str">
        <f aca="false">IF(C1003="","",G1003&amp;" "&amp;D1003&amp;" ("&amp;C1003&amp;")")</f>
        <v/>
      </c>
    </row>
    <row r="1004" customFormat="false" ht="15" hidden="false" customHeight="false" outlineLevel="0" collapsed="false">
      <c r="A1004" s="16"/>
      <c r="B1004" s="11" t="str">
        <f aca="false">IF($H1004="","",INDEX(DECKS!$A$2:$A$1201,$H1004))</f>
        <v/>
      </c>
      <c r="C1004" s="11" t="str">
        <f aca="false">IF($H1004="","",INDEX(DECKS!$B$2:$B$1201,$H1004))</f>
        <v/>
      </c>
      <c r="D1004" s="11" t="str">
        <f aca="false">IF($H1004="","",INDEX(DECKS!$C$2:$C$1201,$H1004))</f>
        <v/>
      </c>
      <c r="E1004" s="16" t="str">
        <f aca="false">IF($H1004="","",INDEX(DECKS!$D$2:$D$1201,$H1004))</f>
        <v/>
      </c>
      <c r="F1004" s="16" t="str">
        <f aca="false">IF($H1004="","",INDEX(DECKS!$E$2:$E$1201,$H1004))</f>
        <v/>
      </c>
      <c r="G1004" s="21" t="str">
        <f aca="false">IF($H1004="","",INDEX(DECKS!$F$2:$F$1201,$H1004))</f>
        <v/>
      </c>
      <c r="H1004" s="11" t="str">
        <f aca="false">IFERROR(MATCH(ROW()-1,DECKS!$O$2:$O$1201,0),"")</f>
        <v/>
      </c>
      <c r="I1004" s="11" t="str">
        <f aca="false">IF(C1004="","",G1004&amp;" "&amp;D1004&amp;" ("&amp;C1004&amp;")")</f>
        <v/>
      </c>
    </row>
    <row r="1005" customFormat="false" ht="15" hidden="false" customHeight="false" outlineLevel="0" collapsed="false">
      <c r="A1005" s="16"/>
      <c r="B1005" s="11" t="str">
        <f aca="false">IF($H1005="","",INDEX(DECKS!$A$2:$A$1201,$H1005))</f>
        <v/>
      </c>
      <c r="C1005" s="11" t="str">
        <f aca="false">IF($H1005="","",INDEX(DECKS!$B$2:$B$1201,$H1005))</f>
        <v/>
      </c>
      <c r="D1005" s="11" t="str">
        <f aca="false">IF($H1005="","",INDEX(DECKS!$C$2:$C$1201,$H1005))</f>
        <v/>
      </c>
      <c r="E1005" s="16" t="str">
        <f aca="false">IF($H1005="","",INDEX(DECKS!$D$2:$D$1201,$H1005))</f>
        <v/>
      </c>
      <c r="F1005" s="16" t="str">
        <f aca="false">IF($H1005="","",INDEX(DECKS!$E$2:$E$1201,$H1005))</f>
        <v/>
      </c>
      <c r="G1005" s="21" t="str">
        <f aca="false">IF($H1005="","",INDEX(DECKS!$F$2:$F$1201,$H1005))</f>
        <v/>
      </c>
      <c r="H1005" s="11" t="str">
        <f aca="false">IFERROR(MATCH(ROW()-1,DECKS!$O$2:$O$1201,0),"")</f>
        <v/>
      </c>
      <c r="I1005" s="11" t="str">
        <f aca="false">IF(C1005="","",G1005&amp;" "&amp;D1005&amp;" ("&amp;C1005&amp;")")</f>
        <v/>
      </c>
    </row>
    <row r="1006" customFormat="false" ht="15" hidden="false" customHeight="false" outlineLevel="0" collapsed="false">
      <c r="A1006" s="16"/>
      <c r="B1006" s="11" t="str">
        <f aca="false">IF($H1006="","",INDEX(DECKS!$A$2:$A$1201,$H1006))</f>
        <v/>
      </c>
      <c r="C1006" s="11" t="str">
        <f aca="false">IF($H1006="","",INDEX(DECKS!$B$2:$B$1201,$H1006))</f>
        <v/>
      </c>
      <c r="D1006" s="11" t="str">
        <f aca="false">IF($H1006="","",INDEX(DECKS!$C$2:$C$1201,$H1006))</f>
        <v/>
      </c>
      <c r="E1006" s="16" t="str">
        <f aca="false">IF($H1006="","",INDEX(DECKS!$D$2:$D$1201,$H1006))</f>
        <v/>
      </c>
      <c r="F1006" s="16" t="str">
        <f aca="false">IF($H1006="","",INDEX(DECKS!$E$2:$E$1201,$H1006))</f>
        <v/>
      </c>
      <c r="G1006" s="21" t="str">
        <f aca="false">IF($H1006="","",INDEX(DECKS!$F$2:$F$1201,$H1006))</f>
        <v/>
      </c>
      <c r="H1006" s="11" t="str">
        <f aca="false">IFERROR(MATCH(ROW()-1,DECKS!$O$2:$O$1201,0),"")</f>
        <v/>
      </c>
      <c r="I1006" s="11" t="str">
        <f aca="false">IF(C1006="","",G1006&amp;" "&amp;D1006&amp;" ("&amp;C1006&amp;")")</f>
        <v/>
      </c>
    </row>
    <row r="1007" customFormat="false" ht="15" hidden="false" customHeight="false" outlineLevel="0" collapsed="false">
      <c r="A1007" s="16"/>
      <c r="B1007" s="11" t="str">
        <f aca="false">IF($H1007="","",INDEX(DECKS!$A$2:$A$1201,$H1007))</f>
        <v/>
      </c>
      <c r="C1007" s="11" t="str">
        <f aca="false">IF($H1007="","",INDEX(DECKS!$B$2:$B$1201,$H1007))</f>
        <v/>
      </c>
      <c r="D1007" s="11" t="str">
        <f aca="false">IF($H1007="","",INDEX(DECKS!$C$2:$C$1201,$H1007))</f>
        <v/>
      </c>
      <c r="E1007" s="16" t="str">
        <f aca="false">IF($H1007="","",INDEX(DECKS!$D$2:$D$1201,$H1007))</f>
        <v/>
      </c>
      <c r="F1007" s="16" t="str">
        <f aca="false">IF($H1007="","",INDEX(DECKS!$E$2:$E$1201,$H1007))</f>
        <v/>
      </c>
      <c r="G1007" s="21" t="str">
        <f aca="false">IF($H1007="","",INDEX(DECKS!$F$2:$F$1201,$H1007))</f>
        <v/>
      </c>
      <c r="H1007" s="11" t="str">
        <f aca="false">IFERROR(MATCH(ROW()-1,DECKS!$O$2:$O$1201,0),"")</f>
        <v/>
      </c>
      <c r="I1007" s="11" t="str">
        <f aca="false">IF(C1007="","",G1007&amp;" "&amp;D1007&amp;" ("&amp;C1007&amp;")")</f>
        <v/>
      </c>
    </row>
    <row r="1008" customFormat="false" ht="15" hidden="false" customHeight="false" outlineLevel="0" collapsed="false">
      <c r="A1008" s="16"/>
      <c r="B1008" s="11" t="str">
        <f aca="false">IF($H1008="","",INDEX(DECKS!$A$2:$A$1201,$H1008))</f>
        <v/>
      </c>
      <c r="C1008" s="11" t="str">
        <f aca="false">IF($H1008="","",INDEX(DECKS!$B$2:$B$1201,$H1008))</f>
        <v/>
      </c>
      <c r="D1008" s="11" t="str">
        <f aca="false">IF($H1008="","",INDEX(DECKS!$C$2:$C$1201,$H1008))</f>
        <v/>
      </c>
      <c r="E1008" s="16" t="str">
        <f aca="false">IF($H1008="","",INDEX(DECKS!$D$2:$D$1201,$H1008))</f>
        <v/>
      </c>
      <c r="F1008" s="16" t="str">
        <f aca="false">IF($H1008="","",INDEX(DECKS!$E$2:$E$1201,$H1008))</f>
        <v/>
      </c>
      <c r="G1008" s="21" t="str">
        <f aca="false">IF($H1008="","",INDEX(DECKS!$F$2:$F$1201,$H1008))</f>
        <v/>
      </c>
      <c r="H1008" s="11" t="str">
        <f aca="false">IFERROR(MATCH(ROW()-1,DECKS!$O$2:$O$1201,0),"")</f>
        <v/>
      </c>
      <c r="I1008" s="11" t="str">
        <f aca="false">IF(C1008="","",G1008&amp;" "&amp;D1008&amp;" ("&amp;C1008&amp;")")</f>
        <v/>
      </c>
    </row>
    <row r="1009" customFormat="false" ht="15" hidden="false" customHeight="false" outlineLevel="0" collapsed="false">
      <c r="A1009" s="16"/>
      <c r="B1009" s="11" t="str">
        <f aca="false">IF($H1009="","",INDEX(DECKS!$A$2:$A$1201,$H1009))</f>
        <v/>
      </c>
      <c r="C1009" s="11" t="str">
        <f aca="false">IF($H1009="","",INDEX(DECKS!$B$2:$B$1201,$H1009))</f>
        <v/>
      </c>
      <c r="D1009" s="11" t="str">
        <f aca="false">IF($H1009="","",INDEX(DECKS!$C$2:$C$1201,$H1009))</f>
        <v/>
      </c>
      <c r="E1009" s="16" t="str">
        <f aca="false">IF($H1009="","",INDEX(DECKS!$D$2:$D$1201,$H1009))</f>
        <v/>
      </c>
      <c r="F1009" s="16" t="str">
        <f aca="false">IF($H1009="","",INDEX(DECKS!$E$2:$E$1201,$H1009))</f>
        <v/>
      </c>
      <c r="G1009" s="21" t="str">
        <f aca="false">IF($H1009="","",INDEX(DECKS!$F$2:$F$1201,$H1009))</f>
        <v/>
      </c>
      <c r="H1009" s="11" t="str">
        <f aca="false">IFERROR(MATCH(ROW()-1,DECKS!$O$2:$O$1201,0),"")</f>
        <v/>
      </c>
      <c r="I1009" s="11" t="str">
        <f aca="false">IF(C1009="","",G1009&amp;" "&amp;D1009&amp;" ("&amp;C1009&amp;")")</f>
        <v/>
      </c>
    </row>
    <row r="1010" customFormat="false" ht="15" hidden="false" customHeight="false" outlineLevel="0" collapsed="false">
      <c r="A1010" s="16"/>
      <c r="B1010" s="11" t="str">
        <f aca="false">IF($H1010="","",INDEX(DECKS!$A$2:$A$1201,$H1010))</f>
        <v/>
      </c>
      <c r="C1010" s="11" t="str">
        <f aca="false">IF($H1010="","",INDEX(DECKS!$B$2:$B$1201,$H1010))</f>
        <v/>
      </c>
      <c r="D1010" s="11" t="str">
        <f aca="false">IF($H1010="","",INDEX(DECKS!$C$2:$C$1201,$H1010))</f>
        <v/>
      </c>
      <c r="E1010" s="16" t="str">
        <f aca="false">IF($H1010="","",INDEX(DECKS!$D$2:$D$1201,$H1010))</f>
        <v/>
      </c>
      <c r="F1010" s="16" t="str">
        <f aca="false">IF($H1010="","",INDEX(DECKS!$E$2:$E$1201,$H1010))</f>
        <v/>
      </c>
      <c r="G1010" s="21" t="str">
        <f aca="false">IF($H1010="","",INDEX(DECKS!$F$2:$F$1201,$H1010))</f>
        <v/>
      </c>
      <c r="H1010" s="11" t="str">
        <f aca="false">IFERROR(MATCH(ROW()-1,DECKS!$O$2:$O$1201,0),"")</f>
        <v/>
      </c>
      <c r="I1010" s="11" t="str">
        <f aca="false">IF(C1010="","",G1010&amp;" "&amp;D1010&amp;" ("&amp;C1010&amp;")")</f>
        <v/>
      </c>
    </row>
    <row r="1011" customFormat="false" ht="15" hidden="false" customHeight="false" outlineLevel="0" collapsed="false">
      <c r="A1011" s="16"/>
      <c r="B1011" s="11" t="str">
        <f aca="false">IF($H1011="","",INDEX(DECKS!$A$2:$A$1201,$H1011))</f>
        <v/>
      </c>
      <c r="C1011" s="11" t="str">
        <f aca="false">IF($H1011="","",INDEX(DECKS!$B$2:$B$1201,$H1011))</f>
        <v/>
      </c>
      <c r="D1011" s="11" t="str">
        <f aca="false">IF($H1011="","",INDEX(DECKS!$C$2:$C$1201,$H1011))</f>
        <v/>
      </c>
      <c r="E1011" s="16" t="str">
        <f aca="false">IF($H1011="","",INDEX(DECKS!$D$2:$D$1201,$H1011))</f>
        <v/>
      </c>
      <c r="F1011" s="16" t="str">
        <f aca="false">IF($H1011="","",INDEX(DECKS!$E$2:$E$1201,$H1011))</f>
        <v/>
      </c>
      <c r="G1011" s="21" t="str">
        <f aca="false">IF($H1011="","",INDEX(DECKS!$F$2:$F$1201,$H1011))</f>
        <v/>
      </c>
      <c r="H1011" s="11" t="str">
        <f aca="false">IFERROR(MATCH(ROW()-1,DECKS!$O$2:$O$1201,0),"")</f>
        <v/>
      </c>
      <c r="I1011" s="11" t="str">
        <f aca="false">IF(C1011="","",G1011&amp;" "&amp;D1011&amp;" ("&amp;C1011&amp;")")</f>
        <v/>
      </c>
    </row>
    <row r="1012" customFormat="false" ht="15" hidden="false" customHeight="false" outlineLevel="0" collapsed="false">
      <c r="A1012" s="16"/>
      <c r="B1012" s="11" t="str">
        <f aca="false">IF($H1012="","",INDEX(DECKS!$A$2:$A$1201,$H1012))</f>
        <v/>
      </c>
      <c r="C1012" s="11" t="str">
        <f aca="false">IF($H1012="","",INDEX(DECKS!$B$2:$B$1201,$H1012))</f>
        <v/>
      </c>
      <c r="D1012" s="11" t="str">
        <f aca="false">IF($H1012="","",INDEX(DECKS!$C$2:$C$1201,$H1012))</f>
        <v/>
      </c>
      <c r="E1012" s="16" t="str">
        <f aca="false">IF($H1012="","",INDEX(DECKS!$D$2:$D$1201,$H1012))</f>
        <v/>
      </c>
      <c r="F1012" s="16" t="str">
        <f aca="false">IF($H1012="","",INDEX(DECKS!$E$2:$E$1201,$H1012))</f>
        <v/>
      </c>
      <c r="G1012" s="21" t="str">
        <f aca="false">IF($H1012="","",INDEX(DECKS!$F$2:$F$1201,$H1012))</f>
        <v/>
      </c>
      <c r="H1012" s="11" t="str">
        <f aca="false">IFERROR(MATCH(ROW()-1,DECKS!$O$2:$O$1201,0),"")</f>
        <v/>
      </c>
      <c r="I1012" s="11" t="str">
        <f aca="false">IF(C1012="","",G1012&amp;" "&amp;D1012&amp;" ("&amp;C1012&amp;")")</f>
        <v/>
      </c>
    </row>
    <row r="1013" customFormat="false" ht="15" hidden="false" customHeight="false" outlineLevel="0" collapsed="false">
      <c r="A1013" s="16"/>
      <c r="B1013" s="11" t="str">
        <f aca="false">IF($H1013="","",INDEX(DECKS!$A$2:$A$1201,$H1013))</f>
        <v/>
      </c>
      <c r="C1013" s="11" t="str">
        <f aca="false">IF($H1013="","",INDEX(DECKS!$B$2:$B$1201,$H1013))</f>
        <v/>
      </c>
      <c r="D1013" s="11" t="str">
        <f aca="false">IF($H1013="","",INDEX(DECKS!$C$2:$C$1201,$H1013))</f>
        <v/>
      </c>
      <c r="E1013" s="16" t="str">
        <f aca="false">IF($H1013="","",INDEX(DECKS!$D$2:$D$1201,$H1013))</f>
        <v/>
      </c>
      <c r="F1013" s="16" t="str">
        <f aca="false">IF($H1013="","",INDEX(DECKS!$E$2:$E$1201,$H1013))</f>
        <v/>
      </c>
      <c r="G1013" s="21" t="str">
        <f aca="false">IF($H1013="","",INDEX(DECKS!$F$2:$F$1201,$H1013))</f>
        <v/>
      </c>
      <c r="H1013" s="11" t="str">
        <f aca="false">IFERROR(MATCH(ROW()-1,DECKS!$O$2:$O$1201,0),"")</f>
        <v/>
      </c>
      <c r="I1013" s="11" t="str">
        <f aca="false">IF(C1013="","",G1013&amp;" "&amp;D1013&amp;" ("&amp;C1013&amp;")")</f>
        <v/>
      </c>
    </row>
    <row r="1014" customFormat="false" ht="15" hidden="false" customHeight="false" outlineLevel="0" collapsed="false">
      <c r="A1014" s="16"/>
      <c r="B1014" s="11" t="str">
        <f aca="false">IF($H1014="","",INDEX(DECKS!$A$2:$A$1201,$H1014))</f>
        <v/>
      </c>
      <c r="C1014" s="11" t="str">
        <f aca="false">IF($H1014="","",INDEX(DECKS!$B$2:$B$1201,$H1014))</f>
        <v/>
      </c>
      <c r="D1014" s="11" t="str">
        <f aca="false">IF($H1014="","",INDEX(DECKS!$C$2:$C$1201,$H1014))</f>
        <v/>
      </c>
      <c r="E1014" s="16" t="str">
        <f aca="false">IF($H1014="","",INDEX(DECKS!$D$2:$D$1201,$H1014))</f>
        <v/>
      </c>
      <c r="F1014" s="16" t="str">
        <f aca="false">IF($H1014="","",INDEX(DECKS!$E$2:$E$1201,$H1014))</f>
        <v/>
      </c>
      <c r="G1014" s="21" t="str">
        <f aca="false">IF($H1014="","",INDEX(DECKS!$F$2:$F$1201,$H1014))</f>
        <v/>
      </c>
      <c r="H1014" s="11" t="str">
        <f aca="false">IFERROR(MATCH(ROW()-1,DECKS!$O$2:$O$1201,0),"")</f>
        <v/>
      </c>
      <c r="I1014" s="11" t="str">
        <f aca="false">IF(C1014="","",G1014&amp;" "&amp;D1014&amp;" ("&amp;C1014&amp;")")</f>
        <v/>
      </c>
    </row>
    <row r="1015" customFormat="false" ht="15" hidden="false" customHeight="false" outlineLevel="0" collapsed="false">
      <c r="A1015" s="16"/>
      <c r="B1015" s="11" t="str">
        <f aca="false">IF($H1015="","",INDEX(DECKS!$A$2:$A$1201,$H1015))</f>
        <v/>
      </c>
      <c r="C1015" s="11" t="str">
        <f aca="false">IF($H1015="","",INDEX(DECKS!$B$2:$B$1201,$H1015))</f>
        <v/>
      </c>
      <c r="D1015" s="11" t="str">
        <f aca="false">IF($H1015="","",INDEX(DECKS!$C$2:$C$1201,$H1015))</f>
        <v/>
      </c>
      <c r="E1015" s="16" t="str">
        <f aca="false">IF($H1015="","",INDEX(DECKS!$D$2:$D$1201,$H1015))</f>
        <v/>
      </c>
      <c r="F1015" s="16" t="str">
        <f aca="false">IF($H1015="","",INDEX(DECKS!$E$2:$E$1201,$H1015))</f>
        <v/>
      </c>
      <c r="G1015" s="21" t="str">
        <f aca="false">IF($H1015="","",INDEX(DECKS!$F$2:$F$1201,$H1015))</f>
        <v/>
      </c>
      <c r="H1015" s="11" t="str">
        <f aca="false">IFERROR(MATCH(ROW()-1,DECKS!$O$2:$O$1201,0),"")</f>
        <v/>
      </c>
      <c r="I1015" s="11" t="str">
        <f aca="false">IF(C1015="","",G1015&amp;" "&amp;D1015&amp;" ("&amp;C1015&amp;")")</f>
        <v/>
      </c>
    </row>
    <row r="1016" customFormat="false" ht="15" hidden="false" customHeight="false" outlineLevel="0" collapsed="false">
      <c r="A1016" s="16"/>
      <c r="B1016" s="11" t="str">
        <f aca="false">IF($H1016="","",INDEX(DECKS!$A$2:$A$1201,$H1016))</f>
        <v/>
      </c>
      <c r="C1016" s="11" t="str">
        <f aca="false">IF($H1016="","",INDEX(DECKS!$B$2:$B$1201,$H1016))</f>
        <v/>
      </c>
      <c r="D1016" s="11" t="str">
        <f aca="false">IF($H1016="","",INDEX(DECKS!$C$2:$C$1201,$H1016))</f>
        <v/>
      </c>
      <c r="E1016" s="16" t="str">
        <f aca="false">IF($H1016="","",INDEX(DECKS!$D$2:$D$1201,$H1016))</f>
        <v/>
      </c>
      <c r="F1016" s="16" t="str">
        <f aca="false">IF($H1016="","",INDEX(DECKS!$E$2:$E$1201,$H1016))</f>
        <v/>
      </c>
      <c r="G1016" s="21" t="str">
        <f aca="false">IF($H1016="","",INDEX(DECKS!$F$2:$F$1201,$H1016))</f>
        <v/>
      </c>
      <c r="H1016" s="11" t="str">
        <f aca="false">IFERROR(MATCH(ROW()-1,DECKS!$O$2:$O$1201,0),"")</f>
        <v/>
      </c>
      <c r="I1016" s="11" t="str">
        <f aca="false">IF(C1016="","",G1016&amp;" "&amp;D1016&amp;" ("&amp;C1016&amp;")")</f>
        <v/>
      </c>
    </row>
    <row r="1017" customFormat="false" ht="15" hidden="false" customHeight="false" outlineLevel="0" collapsed="false">
      <c r="A1017" s="16"/>
      <c r="B1017" s="11" t="str">
        <f aca="false">IF($H1017="","",INDEX(DECKS!$A$2:$A$1201,$H1017))</f>
        <v/>
      </c>
      <c r="C1017" s="11" t="str">
        <f aca="false">IF($H1017="","",INDEX(DECKS!$B$2:$B$1201,$H1017))</f>
        <v/>
      </c>
      <c r="D1017" s="11" t="str">
        <f aca="false">IF($H1017="","",INDEX(DECKS!$C$2:$C$1201,$H1017))</f>
        <v/>
      </c>
      <c r="E1017" s="16" t="str">
        <f aca="false">IF($H1017="","",INDEX(DECKS!$D$2:$D$1201,$H1017))</f>
        <v/>
      </c>
      <c r="F1017" s="16" t="str">
        <f aca="false">IF($H1017="","",INDEX(DECKS!$E$2:$E$1201,$H1017))</f>
        <v/>
      </c>
      <c r="G1017" s="21" t="str">
        <f aca="false">IF($H1017="","",INDEX(DECKS!$F$2:$F$1201,$H1017))</f>
        <v/>
      </c>
      <c r="H1017" s="11" t="str">
        <f aca="false">IFERROR(MATCH(ROW()-1,DECKS!$O$2:$O$1201,0),"")</f>
        <v/>
      </c>
      <c r="I1017" s="11" t="str">
        <f aca="false">IF(C1017="","",G1017&amp;" "&amp;D1017&amp;" ("&amp;C1017&amp;")")</f>
        <v/>
      </c>
    </row>
    <row r="1018" customFormat="false" ht="15" hidden="false" customHeight="false" outlineLevel="0" collapsed="false">
      <c r="A1018" s="16"/>
      <c r="B1018" s="11" t="str">
        <f aca="false">IF($H1018="","",INDEX(DECKS!$A$2:$A$1201,$H1018))</f>
        <v/>
      </c>
      <c r="C1018" s="11" t="str">
        <f aca="false">IF($H1018="","",INDEX(DECKS!$B$2:$B$1201,$H1018))</f>
        <v/>
      </c>
      <c r="D1018" s="11" t="str">
        <f aca="false">IF($H1018="","",INDEX(DECKS!$C$2:$C$1201,$H1018))</f>
        <v/>
      </c>
      <c r="E1018" s="16" t="str">
        <f aca="false">IF($H1018="","",INDEX(DECKS!$D$2:$D$1201,$H1018))</f>
        <v/>
      </c>
      <c r="F1018" s="16" t="str">
        <f aca="false">IF($H1018="","",INDEX(DECKS!$E$2:$E$1201,$H1018))</f>
        <v/>
      </c>
      <c r="G1018" s="21" t="str">
        <f aca="false">IF($H1018="","",INDEX(DECKS!$F$2:$F$1201,$H1018))</f>
        <v/>
      </c>
      <c r="H1018" s="11" t="str">
        <f aca="false">IFERROR(MATCH(ROW()-1,DECKS!$O$2:$O$1201,0),"")</f>
        <v/>
      </c>
      <c r="I1018" s="11" t="str">
        <f aca="false">IF(C1018="","",G1018&amp;" "&amp;D1018&amp;" ("&amp;C1018&amp;")")</f>
        <v/>
      </c>
    </row>
    <row r="1019" customFormat="false" ht="15" hidden="false" customHeight="false" outlineLevel="0" collapsed="false">
      <c r="A1019" s="16"/>
      <c r="B1019" s="11" t="str">
        <f aca="false">IF($H1019="","",INDEX(DECKS!$A$2:$A$1201,$H1019))</f>
        <v/>
      </c>
      <c r="C1019" s="11" t="str">
        <f aca="false">IF($H1019="","",INDEX(DECKS!$B$2:$B$1201,$H1019))</f>
        <v/>
      </c>
      <c r="D1019" s="11" t="str">
        <f aca="false">IF($H1019="","",INDEX(DECKS!$C$2:$C$1201,$H1019))</f>
        <v/>
      </c>
      <c r="E1019" s="16" t="str">
        <f aca="false">IF($H1019="","",INDEX(DECKS!$D$2:$D$1201,$H1019))</f>
        <v/>
      </c>
      <c r="F1019" s="16" t="str">
        <f aca="false">IF($H1019="","",INDEX(DECKS!$E$2:$E$1201,$H1019))</f>
        <v/>
      </c>
      <c r="G1019" s="21" t="str">
        <f aca="false">IF($H1019="","",INDEX(DECKS!$F$2:$F$1201,$H1019))</f>
        <v/>
      </c>
      <c r="H1019" s="11" t="str">
        <f aca="false">IFERROR(MATCH(ROW()-1,DECKS!$O$2:$O$1201,0),"")</f>
        <v/>
      </c>
      <c r="I1019" s="11" t="str">
        <f aca="false">IF(C1019="","",G1019&amp;" "&amp;D1019&amp;" ("&amp;C1019&amp;")")</f>
        <v/>
      </c>
    </row>
    <row r="1020" customFormat="false" ht="15" hidden="false" customHeight="false" outlineLevel="0" collapsed="false">
      <c r="A1020" s="16"/>
      <c r="B1020" s="11" t="str">
        <f aca="false">IF($H1020="","",INDEX(DECKS!$A$2:$A$1201,$H1020))</f>
        <v/>
      </c>
      <c r="C1020" s="11" t="str">
        <f aca="false">IF($H1020="","",INDEX(DECKS!$B$2:$B$1201,$H1020))</f>
        <v/>
      </c>
      <c r="D1020" s="11" t="str">
        <f aca="false">IF($H1020="","",INDEX(DECKS!$C$2:$C$1201,$H1020))</f>
        <v/>
      </c>
      <c r="E1020" s="16" t="str">
        <f aca="false">IF($H1020="","",INDEX(DECKS!$D$2:$D$1201,$H1020))</f>
        <v/>
      </c>
      <c r="F1020" s="16" t="str">
        <f aca="false">IF($H1020="","",INDEX(DECKS!$E$2:$E$1201,$H1020))</f>
        <v/>
      </c>
      <c r="G1020" s="21" t="str">
        <f aca="false">IF($H1020="","",INDEX(DECKS!$F$2:$F$1201,$H1020))</f>
        <v/>
      </c>
      <c r="H1020" s="11" t="str">
        <f aca="false">IFERROR(MATCH(ROW()-1,DECKS!$O$2:$O$1201,0),"")</f>
        <v/>
      </c>
      <c r="I1020" s="11" t="str">
        <f aca="false">IF(C1020="","",G1020&amp;" "&amp;D1020&amp;" ("&amp;C1020&amp;")")</f>
        <v/>
      </c>
    </row>
    <row r="1021" customFormat="false" ht="15" hidden="false" customHeight="false" outlineLevel="0" collapsed="false">
      <c r="A1021" s="16"/>
      <c r="B1021" s="11" t="str">
        <f aca="false">IF($H1021="","",INDEX(DECKS!$A$2:$A$1201,$H1021))</f>
        <v/>
      </c>
      <c r="C1021" s="11" t="str">
        <f aca="false">IF($H1021="","",INDEX(DECKS!$B$2:$B$1201,$H1021))</f>
        <v/>
      </c>
      <c r="D1021" s="11" t="str">
        <f aca="false">IF($H1021="","",INDEX(DECKS!$C$2:$C$1201,$H1021))</f>
        <v/>
      </c>
      <c r="E1021" s="16" t="str">
        <f aca="false">IF($H1021="","",INDEX(DECKS!$D$2:$D$1201,$H1021))</f>
        <v/>
      </c>
      <c r="F1021" s="16" t="str">
        <f aca="false">IF($H1021="","",INDEX(DECKS!$E$2:$E$1201,$H1021))</f>
        <v/>
      </c>
      <c r="G1021" s="21" t="str">
        <f aca="false">IF($H1021="","",INDEX(DECKS!$F$2:$F$1201,$H1021))</f>
        <v/>
      </c>
      <c r="H1021" s="11" t="str">
        <f aca="false">IFERROR(MATCH(ROW()-1,DECKS!$O$2:$O$1201,0),"")</f>
        <v/>
      </c>
      <c r="I1021" s="11" t="str">
        <f aca="false">IF(C1021="","",G1021&amp;" "&amp;D1021&amp;" ("&amp;C1021&amp;")")</f>
        <v/>
      </c>
    </row>
    <row r="1022" customFormat="false" ht="15" hidden="false" customHeight="false" outlineLevel="0" collapsed="false">
      <c r="A1022" s="16"/>
      <c r="B1022" s="11" t="str">
        <f aca="false">IF($H1022="","",INDEX(DECKS!$A$2:$A$1201,$H1022))</f>
        <v/>
      </c>
      <c r="C1022" s="11" t="str">
        <f aca="false">IF($H1022="","",INDEX(DECKS!$B$2:$B$1201,$H1022))</f>
        <v/>
      </c>
      <c r="D1022" s="11" t="str">
        <f aca="false">IF($H1022="","",INDEX(DECKS!$C$2:$C$1201,$H1022))</f>
        <v/>
      </c>
      <c r="E1022" s="16" t="str">
        <f aca="false">IF($H1022="","",INDEX(DECKS!$D$2:$D$1201,$H1022))</f>
        <v/>
      </c>
      <c r="F1022" s="16" t="str">
        <f aca="false">IF($H1022="","",INDEX(DECKS!$E$2:$E$1201,$H1022))</f>
        <v/>
      </c>
      <c r="G1022" s="21" t="str">
        <f aca="false">IF($H1022="","",INDEX(DECKS!$F$2:$F$1201,$H1022))</f>
        <v/>
      </c>
      <c r="H1022" s="11" t="str">
        <f aca="false">IFERROR(MATCH(ROW()-1,DECKS!$O$2:$O$1201,0),"")</f>
        <v/>
      </c>
      <c r="I1022" s="11" t="str">
        <f aca="false">IF(C1022="","",G1022&amp;" "&amp;D1022&amp;" ("&amp;C1022&amp;")")</f>
        <v/>
      </c>
    </row>
    <row r="1023" customFormat="false" ht="15" hidden="false" customHeight="false" outlineLevel="0" collapsed="false">
      <c r="A1023" s="16"/>
      <c r="B1023" s="11" t="str">
        <f aca="false">IF($H1023="","",INDEX(DECKS!$A$2:$A$1201,$H1023))</f>
        <v/>
      </c>
      <c r="C1023" s="11" t="str">
        <f aca="false">IF($H1023="","",INDEX(DECKS!$B$2:$B$1201,$H1023))</f>
        <v/>
      </c>
      <c r="D1023" s="11" t="str">
        <f aca="false">IF($H1023="","",INDEX(DECKS!$C$2:$C$1201,$H1023))</f>
        <v/>
      </c>
      <c r="E1023" s="16" t="str">
        <f aca="false">IF($H1023="","",INDEX(DECKS!$D$2:$D$1201,$H1023))</f>
        <v/>
      </c>
      <c r="F1023" s="16" t="str">
        <f aca="false">IF($H1023="","",INDEX(DECKS!$E$2:$E$1201,$H1023))</f>
        <v/>
      </c>
      <c r="G1023" s="21" t="str">
        <f aca="false">IF($H1023="","",INDEX(DECKS!$F$2:$F$1201,$H1023))</f>
        <v/>
      </c>
      <c r="H1023" s="11" t="str">
        <f aca="false">IFERROR(MATCH(ROW()-1,DECKS!$O$2:$O$1201,0),"")</f>
        <v/>
      </c>
      <c r="I1023" s="11" t="str">
        <f aca="false">IF(C1023="","",G1023&amp;" "&amp;D1023&amp;" ("&amp;C1023&amp;")")</f>
        <v/>
      </c>
    </row>
    <row r="1024" customFormat="false" ht="15" hidden="false" customHeight="false" outlineLevel="0" collapsed="false">
      <c r="A1024" s="16"/>
      <c r="B1024" s="11" t="str">
        <f aca="false">IF($H1024="","",INDEX(DECKS!$A$2:$A$1201,$H1024))</f>
        <v/>
      </c>
      <c r="C1024" s="11" t="str">
        <f aca="false">IF($H1024="","",INDEX(DECKS!$B$2:$B$1201,$H1024))</f>
        <v/>
      </c>
      <c r="D1024" s="11" t="str">
        <f aca="false">IF($H1024="","",INDEX(DECKS!$C$2:$C$1201,$H1024))</f>
        <v/>
      </c>
      <c r="E1024" s="16" t="str">
        <f aca="false">IF($H1024="","",INDEX(DECKS!$D$2:$D$1201,$H1024))</f>
        <v/>
      </c>
      <c r="F1024" s="16" t="str">
        <f aca="false">IF($H1024="","",INDEX(DECKS!$E$2:$E$1201,$H1024))</f>
        <v/>
      </c>
      <c r="G1024" s="21" t="str">
        <f aca="false">IF($H1024="","",INDEX(DECKS!$F$2:$F$1201,$H1024))</f>
        <v/>
      </c>
      <c r="H1024" s="11" t="str">
        <f aca="false">IFERROR(MATCH(ROW()-1,DECKS!$O$2:$O$1201,0),"")</f>
        <v/>
      </c>
      <c r="I1024" s="11" t="str">
        <f aca="false">IF(C1024="","",G1024&amp;" "&amp;D1024&amp;" ("&amp;C1024&amp;")")</f>
        <v/>
      </c>
    </row>
    <row r="1025" customFormat="false" ht="15" hidden="false" customHeight="false" outlineLevel="0" collapsed="false">
      <c r="A1025" s="16"/>
      <c r="B1025" s="11" t="str">
        <f aca="false">IF($H1025="","",INDEX(DECKS!$A$2:$A$1201,$H1025))</f>
        <v/>
      </c>
      <c r="C1025" s="11" t="str">
        <f aca="false">IF($H1025="","",INDEX(DECKS!$B$2:$B$1201,$H1025))</f>
        <v/>
      </c>
      <c r="D1025" s="11" t="str">
        <f aca="false">IF($H1025="","",INDEX(DECKS!$C$2:$C$1201,$H1025))</f>
        <v/>
      </c>
      <c r="E1025" s="16" t="str">
        <f aca="false">IF($H1025="","",INDEX(DECKS!$D$2:$D$1201,$H1025))</f>
        <v/>
      </c>
      <c r="F1025" s="16" t="str">
        <f aca="false">IF($H1025="","",INDEX(DECKS!$E$2:$E$1201,$H1025))</f>
        <v/>
      </c>
      <c r="G1025" s="21" t="str">
        <f aca="false">IF($H1025="","",INDEX(DECKS!$F$2:$F$1201,$H1025))</f>
        <v/>
      </c>
      <c r="H1025" s="11" t="str">
        <f aca="false">IFERROR(MATCH(ROW()-1,DECKS!$O$2:$O$1201,0),"")</f>
        <v/>
      </c>
      <c r="I1025" s="11" t="str">
        <f aca="false">IF(C1025="","",G1025&amp;" "&amp;D1025&amp;" ("&amp;C1025&amp;")")</f>
        <v/>
      </c>
    </row>
    <row r="1026" customFormat="false" ht="15" hidden="false" customHeight="false" outlineLevel="0" collapsed="false">
      <c r="A1026" s="16"/>
      <c r="B1026" s="11" t="str">
        <f aca="false">IF($H1026="","",INDEX(DECKS!$A$2:$A$1201,$H1026))</f>
        <v/>
      </c>
      <c r="C1026" s="11" t="str">
        <f aca="false">IF($H1026="","",INDEX(DECKS!$B$2:$B$1201,$H1026))</f>
        <v/>
      </c>
      <c r="D1026" s="11" t="str">
        <f aca="false">IF($H1026="","",INDEX(DECKS!$C$2:$C$1201,$H1026))</f>
        <v/>
      </c>
      <c r="E1026" s="16" t="str">
        <f aca="false">IF($H1026="","",INDEX(DECKS!$D$2:$D$1201,$H1026))</f>
        <v/>
      </c>
      <c r="F1026" s="16" t="str">
        <f aca="false">IF($H1026="","",INDEX(DECKS!$E$2:$E$1201,$H1026))</f>
        <v/>
      </c>
      <c r="G1026" s="21" t="str">
        <f aca="false">IF($H1026="","",INDEX(DECKS!$F$2:$F$1201,$H1026))</f>
        <v/>
      </c>
      <c r="H1026" s="11" t="str">
        <f aca="false">IFERROR(MATCH(ROW()-1,DECKS!$O$2:$O$1201,0),"")</f>
        <v/>
      </c>
      <c r="I1026" s="11" t="str">
        <f aca="false">IF(C1026="","",G1026&amp;" "&amp;D1026&amp;" ("&amp;C1026&amp;")")</f>
        <v/>
      </c>
    </row>
    <row r="1027" customFormat="false" ht="15" hidden="false" customHeight="false" outlineLevel="0" collapsed="false">
      <c r="A1027" s="16"/>
      <c r="B1027" s="11" t="str">
        <f aca="false">IF($H1027="","",INDEX(DECKS!$A$2:$A$1201,$H1027))</f>
        <v/>
      </c>
      <c r="C1027" s="11" t="str">
        <f aca="false">IF($H1027="","",INDEX(DECKS!$B$2:$B$1201,$H1027))</f>
        <v/>
      </c>
      <c r="D1027" s="11" t="str">
        <f aca="false">IF($H1027="","",INDEX(DECKS!$C$2:$C$1201,$H1027))</f>
        <v/>
      </c>
      <c r="E1027" s="16" t="str">
        <f aca="false">IF($H1027="","",INDEX(DECKS!$D$2:$D$1201,$H1027))</f>
        <v/>
      </c>
      <c r="F1027" s="16" t="str">
        <f aca="false">IF($H1027="","",INDEX(DECKS!$E$2:$E$1201,$H1027))</f>
        <v/>
      </c>
      <c r="G1027" s="21" t="str">
        <f aca="false">IF($H1027="","",INDEX(DECKS!$F$2:$F$1201,$H1027))</f>
        <v/>
      </c>
      <c r="H1027" s="11" t="str">
        <f aca="false">IFERROR(MATCH(ROW()-1,DECKS!$O$2:$O$1201,0),"")</f>
        <v/>
      </c>
      <c r="I1027" s="11" t="str">
        <f aca="false">IF(C1027="","",G1027&amp;" "&amp;D1027&amp;" ("&amp;C1027&amp;")")</f>
        <v/>
      </c>
    </row>
    <row r="1028" customFormat="false" ht="15" hidden="false" customHeight="false" outlineLevel="0" collapsed="false">
      <c r="A1028" s="16"/>
      <c r="B1028" s="11" t="str">
        <f aca="false">IF($H1028="","",INDEX(DECKS!$A$2:$A$1201,$H1028))</f>
        <v/>
      </c>
      <c r="C1028" s="11" t="str">
        <f aca="false">IF($H1028="","",INDEX(DECKS!$B$2:$B$1201,$H1028))</f>
        <v/>
      </c>
      <c r="D1028" s="11" t="str">
        <f aca="false">IF($H1028="","",INDEX(DECKS!$C$2:$C$1201,$H1028))</f>
        <v/>
      </c>
      <c r="E1028" s="16" t="str">
        <f aca="false">IF($H1028="","",INDEX(DECKS!$D$2:$D$1201,$H1028))</f>
        <v/>
      </c>
      <c r="F1028" s="16" t="str">
        <f aca="false">IF($H1028="","",INDEX(DECKS!$E$2:$E$1201,$H1028))</f>
        <v/>
      </c>
      <c r="G1028" s="21" t="str">
        <f aca="false">IF($H1028="","",INDEX(DECKS!$F$2:$F$1201,$H1028))</f>
        <v/>
      </c>
      <c r="H1028" s="11" t="str">
        <f aca="false">IFERROR(MATCH(ROW()-1,DECKS!$O$2:$O$1201,0),"")</f>
        <v/>
      </c>
      <c r="I1028" s="11" t="str">
        <f aca="false">IF(C1028="","",G1028&amp;" "&amp;D1028&amp;" ("&amp;C1028&amp;")")</f>
        <v/>
      </c>
    </row>
    <row r="1029" customFormat="false" ht="15" hidden="false" customHeight="false" outlineLevel="0" collapsed="false">
      <c r="A1029" s="16"/>
      <c r="B1029" s="11" t="str">
        <f aca="false">IF($H1029="","",INDEX(DECKS!$A$2:$A$1201,$H1029))</f>
        <v/>
      </c>
      <c r="C1029" s="11" t="str">
        <f aca="false">IF($H1029="","",INDEX(DECKS!$B$2:$B$1201,$H1029))</f>
        <v/>
      </c>
      <c r="D1029" s="11" t="str">
        <f aca="false">IF($H1029="","",INDEX(DECKS!$C$2:$C$1201,$H1029))</f>
        <v/>
      </c>
      <c r="E1029" s="16" t="str">
        <f aca="false">IF($H1029="","",INDEX(DECKS!$D$2:$D$1201,$H1029))</f>
        <v/>
      </c>
      <c r="F1029" s="16" t="str">
        <f aca="false">IF($H1029="","",INDEX(DECKS!$E$2:$E$1201,$H1029))</f>
        <v/>
      </c>
      <c r="G1029" s="21" t="str">
        <f aca="false">IF($H1029="","",INDEX(DECKS!$F$2:$F$1201,$H1029))</f>
        <v/>
      </c>
      <c r="H1029" s="11" t="str">
        <f aca="false">IFERROR(MATCH(ROW()-1,DECKS!$O$2:$O$1201,0),"")</f>
        <v/>
      </c>
      <c r="I1029" s="11" t="str">
        <f aca="false">IF(C1029="","",G1029&amp;" "&amp;D1029&amp;" ("&amp;C1029&amp;")")</f>
        <v/>
      </c>
    </row>
    <row r="1030" customFormat="false" ht="15" hidden="false" customHeight="false" outlineLevel="0" collapsed="false">
      <c r="A1030" s="16"/>
      <c r="B1030" s="11" t="str">
        <f aca="false">IF($H1030="","",INDEX(DECKS!$A$2:$A$1201,$H1030))</f>
        <v/>
      </c>
      <c r="C1030" s="11" t="str">
        <f aca="false">IF($H1030="","",INDEX(DECKS!$B$2:$B$1201,$H1030))</f>
        <v/>
      </c>
      <c r="D1030" s="11" t="str">
        <f aca="false">IF($H1030="","",INDEX(DECKS!$C$2:$C$1201,$H1030))</f>
        <v/>
      </c>
      <c r="E1030" s="16" t="str">
        <f aca="false">IF($H1030="","",INDEX(DECKS!$D$2:$D$1201,$H1030))</f>
        <v/>
      </c>
      <c r="F1030" s="16" t="str">
        <f aca="false">IF($H1030="","",INDEX(DECKS!$E$2:$E$1201,$H1030))</f>
        <v/>
      </c>
      <c r="G1030" s="21" t="str">
        <f aca="false">IF($H1030="","",INDEX(DECKS!$F$2:$F$1201,$H1030))</f>
        <v/>
      </c>
      <c r="H1030" s="11" t="str">
        <f aca="false">IFERROR(MATCH(ROW()-1,DECKS!$O$2:$O$1201,0),"")</f>
        <v/>
      </c>
      <c r="I1030" s="11" t="str">
        <f aca="false">IF(C1030="","",G1030&amp;" "&amp;D1030&amp;" ("&amp;C1030&amp;")")</f>
        <v/>
      </c>
    </row>
    <row r="1031" customFormat="false" ht="15" hidden="false" customHeight="false" outlineLevel="0" collapsed="false">
      <c r="A1031" s="16"/>
      <c r="B1031" s="11" t="str">
        <f aca="false">IF($H1031="","",INDEX(DECKS!$A$2:$A$1201,$H1031))</f>
        <v/>
      </c>
      <c r="C1031" s="11" t="str">
        <f aca="false">IF($H1031="","",INDEX(DECKS!$B$2:$B$1201,$H1031))</f>
        <v/>
      </c>
      <c r="D1031" s="11" t="str">
        <f aca="false">IF($H1031="","",INDEX(DECKS!$C$2:$C$1201,$H1031))</f>
        <v/>
      </c>
      <c r="E1031" s="16" t="str">
        <f aca="false">IF($H1031="","",INDEX(DECKS!$D$2:$D$1201,$H1031))</f>
        <v/>
      </c>
      <c r="F1031" s="16" t="str">
        <f aca="false">IF($H1031="","",INDEX(DECKS!$E$2:$E$1201,$H1031))</f>
        <v/>
      </c>
      <c r="G1031" s="21" t="str">
        <f aca="false">IF($H1031="","",INDEX(DECKS!$F$2:$F$1201,$H1031))</f>
        <v/>
      </c>
      <c r="H1031" s="11" t="str">
        <f aca="false">IFERROR(MATCH(ROW()-1,DECKS!$O$2:$O$1201,0),"")</f>
        <v/>
      </c>
      <c r="I1031" s="11" t="str">
        <f aca="false">IF(C1031="","",G1031&amp;" "&amp;D1031&amp;" ("&amp;C1031&amp;")")</f>
        <v/>
      </c>
    </row>
    <row r="1032" customFormat="false" ht="15" hidden="false" customHeight="false" outlineLevel="0" collapsed="false">
      <c r="A1032" s="16"/>
      <c r="B1032" s="11" t="str">
        <f aca="false">IF($H1032="","",INDEX(DECKS!$A$2:$A$1201,$H1032))</f>
        <v/>
      </c>
      <c r="C1032" s="11" t="str">
        <f aca="false">IF($H1032="","",INDEX(DECKS!$B$2:$B$1201,$H1032))</f>
        <v/>
      </c>
      <c r="D1032" s="11" t="str">
        <f aca="false">IF($H1032="","",INDEX(DECKS!$C$2:$C$1201,$H1032))</f>
        <v/>
      </c>
      <c r="E1032" s="16" t="str">
        <f aca="false">IF($H1032="","",INDEX(DECKS!$D$2:$D$1201,$H1032))</f>
        <v/>
      </c>
      <c r="F1032" s="16" t="str">
        <f aca="false">IF($H1032="","",INDEX(DECKS!$E$2:$E$1201,$H1032))</f>
        <v/>
      </c>
      <c r="G1032" s="21" t="str">
        <f aca="false">IF($H1032="","",INDEX(DECKS!$F$2:$F$1201,$H1032))</f>
        <v/>
      </c>
      <c r="H1032" s="11" t="str">
        <f aca="false">IFERROR(MATCH(ROW()-1,DECKS!$O$2:$O$1201,0),"")</f>
        <v/>
      </c>
      <c r="I1032" s="11" t="str">
        <f aca="false">IF(C1032="","",G1032&amp;" "&amp;D1032&amp;" ("&amp;C1032&amp;")")</f>
        <v/>
      </c>
    </row>
    <row r="1033" customFormat="false" ht="15" hidden="false" customHeight="false" outlineLevel="0" collapsed="false">
      <c r="A1033" s="16"/>
      <c r="B1033" s="11" t="str">
        <f aca="false">IF($H1033="","",INDEX(DECKS!$A$2:$A$1201,$H1033))</f>
        <v/>
      </c>
      <c r="C1033" s="11" t="str">
        <f aca="false">IF($H1033="","",INDEX(DECKS!$B$2:$B$1201,$H1033))</f>
        <v/>
      </c>
      <c r="D1033" s="11" t="str">
        <f aca="false">IF($H1033="","",INDEX(DECKS!$C$2:$C$1201,$H1033))</f>
        <v/>
      </c>
      <c r="E1033" s="16" t="str">
        <f aca="false">IF($H1033="","",INDEX(DECKS!$D$2:$D$1201,$H1033))</f>
        <v/>
      </c>
      <c r="F1033" s="16" t="str">
        <f aca="false">IF($H1033="","",INDEX(DECKS!$E$2:$E$1201,$H1033))</f>
        <v/>
      </c>
      <c r="G1033" s="21" t="str">
        <f aca="false">IF($H1033="","",INDEX(DECKS!$F$2:$F$1201,$H1033))</f>
        <v/>
      </c>
      <c r="H1033" s="11" t="str">
        <f aca="false">IFERROR(MATCH(ROW()-1,DECKS!$O$2:$O$1201,0),"")</f>
        <v/>
      </c>
      <c r="I1033" s="11" t="str">
        <f aca="false">IF(C1033="","",G1033&amp;" "&amp;D1033&amp;" ("&amp;C1033&amp;")")</f>
        <v/>
      </c>
    </row>
    <row r="1034" customFormat="false" ht="15" hidden="false" customHeight="false" outlineLevel="0" collapsed="false">
      <c r="A1034" s="16"/>
      <c r="B1034" s="11" t="str">
        <f aca="false">IF($H1034="","",INDEX(DECKS!$A$2:$A$1201,$H1034))</f>
        <v/>
      </c>
      <c r="C1034" s="11" t="str">
        <f aca="false">IF($H1034="","",INDEX(DECKS!$B$2:$B$1201,$H1034))</f>
        <v/>
      </c>
      <c r="D1034" s="11" t="str">
        <f aca="false">IF($H1034="","",INDEX(DECKS!$C$2:$C$1201,$H1034))</f>
        <v/>
      </c>
      <c r="E1034" s="16" t="str">
        <f aca="false">IF($H1034="","",INDEX(DECKS!$D$2:$D$1201,$H1034))</f>
        <v/>
      </c>
      <c r="F1034" s="16" t="str">
        <f aca="false">IF($H1034="","",INDEX(DECKS!$E$2:$E$1201,$H1034))</f>
        <v/>
      </c>
      <c r="G1034" s="21" t="str">
        <f aca="false">IF($H1034="","",INDEX(DECKS!$F$2:$F$1201,$H1034))</f>
        <v/>
      </c>
      <c r="H1034" s="11" t="str">
        <f aca="false">IFERROR(MATCH(ROW()-1,DECKS!$O$2:$O$1201,0),"")</f>
        <v/>
      </c>
      <c r="I1034" s="11" t="str">
        <f aca="false">IF(C1034="","",G1034&amp;" "&amp;D1034&amp;" ("&amp;C1034&amp;")")</f>
        <v/>
      </c>
    </row>
    <row r="1035" customFormat="false" ht="15" hidden="false" customHeight="false" outlineLevel="0" collapsed="false">
      <c r="A1035" s="16"/>
      <c r="B1035" s="11" t="str">
        <f aca="false">IF($H1035="","",INDEX(DECKS!$A$2:$A$1201,$H1035))</f>
        <v/>
      </c>
      <c r="C1035" s="11" t="str">
        <f aca="false">IF($H1035="","",INDEX(DECKS!$B$2:$B$1201,$H1035))</f>
        <v/>
      </c>
      <c r="D1035" s="11" t="str">
        <f aca="false">IF($H1035="","",INDEX(DECKS!$C$2:$C$1201,$H1035))</f>
        <v/>
      </c>
      <c r="E1035" s="16" t="str">
        <f aca="false">IF($H1035="","",INDEX(DECKS!$D$2:$D$1201,$H1035))</f>
        <v/>
      </c>
      <c r="F1035" s="16" t="str">
        <f aca="false">IF($H1035="","",INDEX(DECKS!$E$2:$E$1201,$H1035))</f>
        <v/>
      </c>
      <c r="G1035" s="21" t="str">
        <f aca="false">IF($H1035="","",INDEX(DECKS!$F$2:$F$1201,$H1035))</f>
        <v/>
      </c>
      <c r="H1035" s="11" t="str">
        <f aca="false">IFERROR(MATCH(ROW()-1,DECKS!$O$2:$O$1201,0),"")</f>
        <v/>
      </c>
      <c r="I1035" s="11" t="str">
        <f aca="false">IF(C1035="","",G1035&amp;" "&amp;D1035&amp;" ("&amp;C1035&amp;")")</f>
        <v/>
      </c>
    </row>
    <row r="1036" customFormat="false" ht="15" hidden="false" customHeight="false" outlineLevel="0" collapsed="false">
      <c r="A1036" s="16"/>
      <c r="B1036" s="11" t="str">
        <f aca="false">IF($H1036="","",INDEX(DECKS!$A$2:$A$1201,$H1036))</f>
        <v/>
      </c>
      <c r="C1036" s="11" t="str">
        <f aca="false">IF($H1036="","",INDEX(DECKS!$B$2:$B$1201,$H1036))</f>
        <v/>
      </c>
      <c r="D1036" s="11" t="str">
        <f aca="false">IF($H1036="","",INDEX(DECKS!$C$2:$C$1201,$H1036))</f>
        <v/>
      </c>
      <c r="E1036" s="16" t="str">
        <f aca="false">IF($H1036="","",INDEX(DECKS!$D$2:$D$1201,$H1036))</f>
        <v/>
      </c>
      <c r="F1036" s="16" t="str">
        <f aca="false">IF($H1036="","",INDEX(DECKS!$E$2:$E$1201,$H1036))</f>
        <v/>
      </c>
      <c r="G1036" s="21" t="str">
        <f aca="false">IF($H1036="","",INDEX(DECKS!$F$2:$F$1201,$H1036))</f>
        <v/>
      </c>
      <c r="H1036" s="11" t="str">
        <f aca="false">IFERROR(MATCH(ROW()-1,DECKS!$O$2:$O$1201,0),"")</f>
        <v/>
      </c>
      <c r="I1036" s="11" t="str">
        <f aca="false">IF(C1036="","",G1036&amp;" "&amp;D1036&amp;" ("&amp;C1036&amp;")")</f>
        <v/>
      </c>
    </row>
    <row r="1037" customFormat="false" ht="15" hidden="false" customHeight="false" outlineLevel="0" collapsed="false">
      <c r="A1037" s="16"/>
      <c r="B1037" s="11" t="str">
        <f aca="false">IF($H1037="","",INDEX(DECKS!$A$2:$A$1201,$H1037))</f>
        <v/>
      </c>
      <c r="C1037" s="11" t="str">
        <f aca="false">IF($H1037="","",INDEX(DECKS!$B$2:$B$1201,$H1037))</f>
        <v/>
      </c>
      <c r="D1037" s="11" t="str">
        <f aca="false">IF($H1037="","",INDEX(DECKS!$C$2:$C$1201,$H1037))</f>
        <v/>
      </c>
      <c r="E1037" s="16" t="str">
        <f aca="false">IF($H1037="","",INDEX(DECKS!$D$2:$D$1201,$H1037))</f>
        <v/>
      </c>
      <c r="F1037" s="16" t="str">
        <f aca="false">IF($H1037="","",INDEX(DECKS!$E$2:$E$1201,$H1037))</f>
        <v/>
      </c>
      <c r="G1037" s="21" t="str">
        <f aca="false">IF($H1037="","",INDEX(DECKS!$F$2:$F$1201,$H1037))</f>
        <v/>
      </c>
      <c r="H1037" s="11" t="str">
        <f aca="false">IFERROR(MATCH(ROW()-1,DECKS!$O$2:$O$1201,0),"")</f>
        <v/>
      </c>
      <c r="I1037" s="11" t="str">
        <f aca="false">IF(C1037="","",G1037&amp;" "&amp;D1037&amp;" ("&amp;C1037&amp;")")</f>
        <v/>
      </c>
    </row>
    <row r="1038" customFormat="false" ht="15" hidden="false" customHeight="false" outlineLevel="0" collapsed="false">
      <c r="A1038" s="16"/>
      <c r="B1038" s="11" t="str">
        <f aca="false">IF($H1038="","",INDEX(DECKS!$A$2:$A$1201,$H1038))</f>
        <v/>
      </c>
      <c r="C1038" s="11" t="str">
        <f aca="false">IF($H1038="","",INDEX(DECKS!$B$2:$B$1201,$H1038))</f>
        <v/>
      </c>
      <c r="D1038" s="11" t="str">
        <f aca="false">IF($H1038="","",INDEX(DECKS!$C$2:$C$1201,$H1038))</f>
        <v/>
      </c>
      <c r="E1038" s="16" t="str">
        <f aca="false">IF($H1038="","",INDEX(DECKS!$D$2:$D$1201,$H1038))</f>
        <v/>
      </c>
      <c r="F1038" s="16" t="str">
        <f aca="false">IF($H1038="","",INDEX(DECKS!$E$2:$E$1201,$H1038))</f>
        <v/>
      </c>
      <c r="G1038" s="21" t="str">
        <f aca="false">IF($H1038="","",INDEX(DECKS!$F$2:$F$1201,$H1038))</f>
        <v/>
      </c>
      <c r="H1038" s="11" t="str">
        <f aca="false">IFERROR(MATCH(ROW()-1,DECKS!$O$2:$O$1201,0),"")</f>
        <v/>
      </c>
      <c r="I1038" s="11" t="str">
        <f aca="false">IF(C1038="","",G1038&amp;" "&amp;D1038&amp;" ("&amp;C1038&amp;")")</f>
        <v/>
      </c>
    </row>
    <row r="1039" customFormat="false" ht="15" hidden="false" customHeight="false" outlineLevel="0" collapsed="false">
      <c r="A1039" s="16"/>
      <c r="B1039" s="11" t="str">
        <f aca="false">IF($H1039="","",INDEX(DECKS!$A$2:$A$1201,$H1039))</f>
        <v/>
      </c>
      <c r="C1039" s="11" t="str">
        <f aca="false">IF($H1039="","",INDEX(DECKS!$B$2:$B$1201,$H1039))</f>
        <v/>
      </c>
      <c r="D1039" s="11" t="str">
        <f aca="false">IF($H1039="","",INDEX(DECKS!$C$2:$C$1201,$H1039))</f>
        <v/>
      </c>
      <c r="E1039" s="16" t="str">
        <f aca="false">IF($H1039="","",INDEX(DECKS!$D$2:$D$1201,$H1039))</f>
        <v/>
      </c>
      <c r="F1039" s="16" t="str">
        <f aca="false">IF($H1039="","",INDEX(DECKS!$E$2:$E$1201,$H1039))</f>
        <v/>
      </c>
      <c r="G1039" s="21" t="str">
        <f aca="false">IF($H1039="","",INDEX(DECKS!$F$2:$F$1201,$H1039))</f>
        <v/>
      </c>
      <c r="H1039" s="11" t="str">
        <f aca="false">IFERROR(MATCH(ROW()-1,DECKS!$O$2:$O$1201,0),"")</f>
        <v/>
      </c>
      <c r="I1039" s="11" t="str">
        <f aca="false">IF(C1039="","",G1039&amp;" "&amp;D1039&amp;" ("&amp;C1039&amp;")")</f>
        <v/>
      </c>
    </row>
    <row r="1040" customFormat="false" ht="15" hidden="false" customHeight="false" outlineLevel="0" collapsed="false">
      <c r="A1040" s="16"/>
      <c r="B1040" s="11" t="str">
        <f aca="false">IF($H1040="","",INDEX(DECKS!$A$2:$A$1201,$H1040))</f>
        <v/>
      </c>
      <c r="C1040" s="11" t="str">
        <f aca="false">IF($H1040="","",INDEX(DECKS!$B$2:$B$1201,$H1040))</f>
        <v/>
      </c>
      <c r="D1040" s="11" t="str">
        <f aca="false">IF($H1040="","",INDEX(DECKS!$C$2:$C$1201,$H1040))</f>
        <v/>
      </c>
      <c r="E1040" s="16" t="str">
        <f aca="false">IF($H1040="","",INDEX(DECKS!$D$2:$D$1201,$H1040))</f>
        <v/>
      </c>
      <c r="F1040" s="16" t="str">
        <f aca="false">IF($H1040="","",INDEX(DECKS!$E$2:$E$1201,$H1040))</f>
        <v/>
      </c>
      <c r="G1040" s="21" t="str">
        <f aca="false">IF($H1040="","",INDEX(DECKS!$F$2:$F$1201,$H1040))</f>
        <v/>
      </c>
      <c r="H1040" s="11" t="str">
        <f aca="false">IFERROR(MATCH(ROW()-1,DECKS!$O$2:$O$1201,0),"")</f>
        <v/>
      </c>
      <c r="I1040" s="11" t="str">
        <f aca="false">IF(C1040="","",G1040&amp;" "&amp;D1040&amp;" ("&amp;C1040&amp;")")</f>
        <v/>
      </c>
    </row>
    <row r="1041" customFormat="false" ht="15" hidden="false" customHeight="false" outlineLevel="0" collapsed="false">
      <c r="A1041" s="16"/>
      <c r="B1041" s="11" t="str">
        <f aca="false">IF($H1041="","",INDEX(DECKS!$A$2:$A$1201,$H1041))</f>
        <v/>
      </c>
      <c r="C1041" s="11" t="str">
        <f aca="false">IF($H1041="","",INDEX(DECKS!$B$2:$B$1201,$H1041))</f>
        <v/>
      </c>
      <c r="D1041" s="11" t="str">
        <f aca="false">IF($H1041="","",INDEX(DECKS!$C$2:$C$1201,$H1041))</f>
        <v/>
      </c>
      <c r="E1041" s="16" t="str">
        <f aca="false">IF($H1041="","",INDEX(DECKS!$D$2:$D$1201,$H1041))</f>
        <v/>
      </c>
      <c r="F1041" s="16" t="str">
        <f aca="false">IF($H1041="","",INDEX(DECKS!$E$2:$E$1201,$H1041))</f>
        <v/>
      </c>
      <c r="G1041" s="21" t="str">
        <f aca="false">IF($H1041="","",INDEX(DECKS!$F$2:$F$1201,$H1041))</f>
        <v/>
      </c>
      <c r="H1041" s="11" t="str">
        <f aca="false">IFERROR(MATCH(ROW()-1,DECKS!$O$2:$O$1201,0),"")</f>
        <v/>
      </c>
      <c r="I1041" s="11" t="str">
        <f aca="false">IF(C1041="","",G1041&amp;" "&amp;D1041&amp;" ("&amp;C1041&amp;")")</f>
        <v/>
      </c>
    </row>
    <row r="1042" customFormat="false" ht="15" hidden="false" customHeight="false" outlineLevel="0" collapsed="false">
      <c r="A1042" s="16"/>
      <c r="B1042" s="11" t="str">
        <f aca="false">IF($H1042="","",INDEX(DECKS!$A$2:$A$1201,$H1042))</f>
        <v/>
      </c>
      <c r="C1042" s="11" t="str">
        <f aca="false">IF($H1042="","",INDEX(DECKS!$B$2:$B$1201,$H1042))</f>
        <v/>
      </c>
      <c r="D1042" s="11" t="str">
        <f aca="false">IF($H1042="","",INDEX(DECKS!$C$2:$C$1201,$H1042))</f>
        <v/>
      </c>
      <c r="E1042" s="16" t="str">
        <f aca="false">IF($H1042="","",INDEX(DECKS!$D$2:$D$1201,$H1042))</f>
        <v/>
      </c>
      <c r="F1042" s="16" t="str">
        <f aca="false">IF($H1042="","",INDEX(DECKS!$E$2:$E$1201,$H1042))</f>
        <v/>
      </c>
      <c r="G1042" s="21" t="str">
        <f aca="false">IF($H1042="","",INDEX(DECKS!$F$2:$F$1201,$H1042))</f>
        <v/>
      </c>
      <c r="H1042" s="11" t="str">
        <f aca="false">IFERROR(MATCH(ROW()-1,DECKS!$O$2:$O$1201,0),"")</f>
        <v/>
      </c>
      <c r="I1042" s="11" t="str">
        <f aca="false">IF(C1042="","",G1042&amp;" "&amp;D1042&amp;" ("&amp;C1042&amp;")")</f>
        <v/>
      </c>
    </row>
    <row r="1043" customFormat="false" ht="15" hidden="false" customHeight="false" outlineLevel="0" collapsed="false">
      <c r="A1043" s="16"/>
      <c r="B1043" s="11" t="str">
        <f aca="false">IF($H1043="","",INDEX(DECKS!$A$2:$A$1201,$H1043))</f>
        <v/>
      </c>
      <c r="C1043" s="11" t="str">
        <f aca="false">IF($H1043="","",INDEX(DECKS!$B$2:$B$1201,$H1043))</f>
        <v/>
      </c>
      <c r="D1043" s="11" t="str">
        <f aca="false">IF($H1043="","",INDEX(DECKS!$C$2:$C$1201,$H1043))</f>
        <v/>
      </c>
      <c r="E1043" s="16" t="str">
        <f aca="false">IF($H1043="","",INDEX(DECKS!$D$2:$D$1201,$H1043))</f>
        <v/>
      </c>
      <c r="F1043" s="16" t="str">
        <f aca="false">IF($H1043="","",INDEX(DECKS!$E$2:$E$1201,$H1043))</f>
        <v/>
      </c>
      <c r="G1043" s="21" t="str">
        <f aca="false">IF($H1043="","",INDEX(DECKS!$F$2:$F$1201,$H1043))</f>
        <v/>
      </c>
      <c r="H1043" s="11" t="str">
        <f aca="false">IFERROR(MATCH(ROW()-1,DECKS!$O$2:$O$1201,0),"")</f>
        <v/>
      </c>
      <c r="I1043" s="11" t="str">
        <f aca="false">IF(C1043="","",G1043&amp;" "&amp;D1043&amp;" ("&amp;C1043&amp;")")</f>
        <v/>
      </c>
    </row>
    <row r="1044" customFormat="false" ht="15" hidden="false" customHeight="false" outlineLevel="0" collapsed="false">
      <c r="A1044" s="16"/>
      <c r="B1044" s="11" t="str">
        <f aca="false">IF($H1044="","",INDEX(DECKS!$A$2:$A$1201,$H1044))</f>
        <v/>
      </c>
      <c r="C1044" s="11" t="str">
        <f aca="false">IF($H1044="","",INDEX(DECKS!$B$2:$B$1201,$H1044))</f>
        <v/>
      </c>
      <c r="D1044" s="11" t="str">
        <f aca="false">IF($H1044="","",INDEX(DECKS!$C$2:$C$1201,$H1044))</f>
        <v/>
      </c>
      <c r="E1044" s="16" t="str">
        <f aca="false">IF($H1044="","",INDEX(DECKS!$D$2:$D$1201,$H1044))</f>
        <v/>
      </c>
      <c r="F1044" s="16" t="str">
        <f aca="false">IF($H1044="","",INDEX(DECKS!$E$2:$E$1201,$H1044))</f>
        <v/>
      </c>
      <c r="G1044" s="21" t="str">
        <f aca="false">IF($H1044="","",INDEX(DECKS!$F$2:$F$1201,$H1044))</f>
        <v/>
      </c>
      <c r="H1044" s="11" t="str">
        <f aca="false">IFERROR(MATCH(ROW()-1,DECKS!$O$2:$O$1201,0),"")</f>
        <v/>
      </c>
      <c r="I1044" s="11" t="str">
        <f aca="false">IF(C1044="","",G1044&amp;" "&amp;D1044&amp;" ("&amp;C1044&amp;")")</f>
        <v/>
      </c>
    </row>
    <row r="1045" customFormat="false" ht="15" hidden="false" customHeight="false" outlineLevel="0" collapsed="false">
      <c r="A1045" s="16"/>
      <c r="B1045" s="11" t="str">
        <f aca="false">IF($H1045="","",INDEX(DECKS!$A$2:$A$1201,$H1045))</f>
        <v/>
      </c>
      <c r="C1045" s="11" t="str">
        <f aca="false">IF($H1045="","",INDEX(DECKS!$B$2:$B$1201,$H1045))</f>
        <v/>
      </c>
      <c r="D1045" s="11" t="str">
        <f aca="false">IF($H1045="","",INDEX(DECKS!$C$2:$C$1201,$H1045))</f>
        <v/>
      </c>
      <c r="E1045" s="16" t="str">
        <f aca="false">IF($H1045="","",INDEX(DECKS!$D$2:$D$1201,$H1045))</f>
        <v/>
      </c>
      <c r="F1045" s="16" t="str">
        <f aca="false">IF($H1045="","",INDEX(DECKS!$E$2:$E$1201,$H1045))</f>
        <v/>
      </c>
      <c r="G1045" s="21" t="str">
        <f aca="false">IF($H1045="","",INDEX(DECKS!$F$2:$F$1201,$H1045))</f>
        <v/>
      </c>
      <c r="H1045" s="11" t="str">
        <f aca="false">IFERROR(MATCH(ROW()-1,DECKS!$O$2:$O$1201,0),"")</f>
        <v/>
      </c>
      <c r="I1045" s="11" t="str">
        <f aca="false">IF(C1045="","",G1045&amp;" "&amp;D1045&amp;" ("&amp;C1045&amp;")")</f>
        <v/>
      </c>
    </row>
    <row r="1046" customFormat="false" ht="15" hidden="false" customHeight="false" outlineLevel="0" collapsed="false">
      <c r="A1046" s="16"/>
      <c r="B1046" s="11" t="str">
        <f aca="false">IF($H1046="","",INDEX(DECKS!$A$2:$A$1201,$H1046))</f>
        <v/>
      </c>
      <c r="C1046" s="11" t="str">
        <f aca="false">IF($H1046="","",INDEX(DECKS!$B$2:$B$1201,$H1046))</f>
        <v/>
      </c>
      <c r="D1046" s="11" t="str">
        <f aca="false">IF($H1046="","",INDEX(DECKS!$C$2:$C$1201,$H1046))</f>
        <v/>
      </c>
      <c r="E1046" s="16" t="str">
        <f aca="false">IF($H1046="","",INDEX(DECKS!$D$2:$D$1201,$H1046))</f>
        <v/>
      </c>
      <c r="F1046" s="16" t="str">
        <f aca="false">IF($H1046="","",INDEX(DECKS!$E$2:$E$1201,$H1046))</f>
        <v/>
      </c>
      <c r="G1046" s="21" t="str">
        <f aca="false">IF($H1046="","",INDEX(DECKS!$F$2:$F$1201,$H1046))</f>
        <v/>
      </c>
      <c r="H1046" s="11" t="str">
        <f aca="false">IFERROR(MATCH(ROW()-1,DECKS!$O$2:$O$1201,0),"")</f>
        <v/>
      </c>
      <c r="I1046" s="11" t="str">
        <f aca="false">IF(C1046="","",G1046&amp;" "&amp;D1046&amp;" ("&amp;C1046&amp;")")</f>
        <v/>
      </c>
    </row>
    <row r="1047" customFormat="false" ht="15" hidden="false" customHeight="false" outlineLevel="0" collapsed="false">
      <c r="A1047" s="16"/>
      <c r="B1047" s="11" t="str">
        <f aca="false">IF($H1047="","",INDEX(DECKS!$A$2:$A$1201,$H1047))</f>
        <v/>
      </c>
      <c r="C1047" s="11" t="str">
        <f aca="false">IF($H1047="","",INDEX(DECKS!$B$2:$B$1201,$H1047))</f>
        <v/>
      </c>
      <c r="D1047" s="11" t="str">
        <f aca="false">IF($H1047="","",INDEX(DECKS!$C$2:$C$1201,$H1047))</f>
        <v/>
      </c>
      <c r="E1047" s="16" t="str">
        <f aca="false">IF($H1047="","",INDEX(DECKS!$D$2:$D$1201,$H1047))</f>
        <v/>
      </c>
      <c r="F1047" s="16" t="str">
        <f aca="false">IF($H1047="","",INDEX(DECKS!$E$2:$E$1201,$H1047))</f>
        <v/>
      </c>
      <c r="G1047" s="21" t="str">
        <f aca="false">IF($H1047="","",INDEX(DECKS!$F$2:$F$1201,$H1047))</f>
        <v/>
      </c>
      <c r="H1047" s="11" t="str">
        <f aca="false">IFERROR(MATCH(ROW()-1,DECKS!$O$2:$O$1201,0),"")</f>
        <v/>
      </c>
      <c r="I1047" s="11" t="str">
        <f aca="false">IF(C1047="","",G1047&amp;" "&amp;D1047&amp;" ("&amp;C1047&amp;")")</f>
        <v/>
      </c>
    </row>
    <row r="1048" customFormat="false" ht="15" hidden="false" customHeight="false" outlineLevel="0" collapsed="false">
      <c r="A1048" s="16"/>
      <c r="B1048" s="11" t="str">
        <f aca="false">IF($H1048="","",INDEX(DECKS!$A$2:$A$1201,$H1048))</f>
        <v/>
      </c>
      <c r="C1048" s="11" t="str">
        <f aca="false">IF($H1048="","",INDEX(DECKS!$B$2:$B$1201,$H1048))</f>
        <v/>
      </c>
      <c r="D1048" s="11" t="str">
        <f aca="false">IF($H1048="","",INDEX(DECKS!$C$2:$C$1201,$H1048))</f>
        <v/>
      </c>
      <c r="E1048" s="16" t="str">
        <f aca="false">IF($H1048="","",INDEX(DECKS!$D$2:$D$1201,$H1048))</f>
        <v/>
      </c>
      <c r="F1048" s="16" t="str">
        <f aca="false">IF($H1048="","",INDEX(DECKS!$E$2:$E$1201,$H1048))</f>
        <v/>
      </c>
      <c r="G1048" s="21" t="str">
        <f aca="false">IF($H1048="","",INDEX(DECKS!$F$2:$F$1201,$H1048))</f>
        <v/>
      </c>
      <c r="H1048" s="11" t="str">
        <f aca="false">IFERROR(MATCH(ROW()-1,DECKS!$O$2:$O$1201,0),"")</f>
        <v/>
      </c>
      <c r="I1048" s="11" t="str">
        <f aca="false">IF(C1048="","",G1048&amp;" "&amp;D1048&amp;" ("&amp;C1048&amp;")")</f>
        <v/>
      </c>
    </row>
    <row r="1049" customFormat="false" ht="15" hidden="false" customHeight="false" outlineLevel="0" collapsed="false">
      <c r="A1049" s="16"/>
      <c r="B1049" s="11" t="str">
        <f aca="false">IF($H1049="","",INDEX(DECKS!$A$2:$A$1201,$H1049))</f>
        <v/>
      </c>
      <c r="C1049" s="11" t="str">
        <f aca="false">IF($H1049="","",INDEX(DECKS!$B$2:$B$1201,$H1049))</f>
        <v/>
      </c>
      <c r="D1049" s="11" t="str">
        <f aca="false">IF($H1049="","",INDEX(DECKS!$C$2:$C$1201,$H1049))</f>
        <v/>
      </c>
      <c r="E1049" s="16" t="str">
        <f aca="false">IF($H1049="","",INDEX(DECKS!$D$2:$D$1201,$H1049))</f>
        <v/>
      </c>
      <c r="F1049" s="16" t="str">
        <f aca="false">IF($H1049="","",INDEX(DECKS!$E$2:$E$1201,$H1049))</f>
        <v/>
      </c>
      <c r="G1049" s="21" t="str">
        <f aca="false">IF($H1049="","",INDEX(DECKS!$F$2:$F$1201,$H1049))</f>
        <v/>
      </c>
      <c r="H1049" s="11" t="str">
        <f aca="false">IFERROR(MATCH(ROW()-1,DECKS!$O$2:$O$1201,0),"")</f>
        <v/>
      </c>
      <c r="I1049" s="11" t="str">
        <f aca="false">IF(C1049="","",G1049&amp;" "&amp;D1049&amp;" ("&amp;C1049&amp;")")</f>
        <v/>
      </c>
    </row>
    <row r="1050" customFormat="false" ht="15" hidden="false" customHeight="false" outlineLevel="0" collapsed="false">
      <c r="A1050" s="16"/>
      <c r="B1050" s="11" t="str">
        <f aca="false">IF($H1050="","",INDEX(DECKS!$A$2:$A$1201,$H1050))</f>
        <v/>
      </c>
      <c r="C1050" s="11" t="str">
        <f aca="false">IF($H1050="","",INDEX(DECKS!$B$2:$B$1201,$H1050))</f>
        <v/>
      </c>
      <c r="D1050" s="11" t="str">
        <f aca="false">IF($H1050="","",INDEX(DECKS!$C$2:$C$1201,$H1050))</f>
        <v/>
      </c>
      <c r="E1050" s="16" t="str">
        <f aca="false">IF($H1050="","",INDEX(DECKS!$D$2:$D$1201,$H1050))</f>
        <v/>
      </c>
      <c r="F1050" s="16" t="str">
        <f aca="false">IF($H1050="","",INDEX(DECKS!$E$2:$E$1201,$H1050))</f>
        <v/>
      </c>
      <c r="G1050" s="21" t="str">
        <f aca="false">IF($H1050="","",INDEX(DECKS!$F$2:$F$1201,$H1050))</f>
        <v/>
      </c>
      <c r="H1050" s="11" t="str">
        <f aca="false">IFERROR(MATCH(ROW()-1,DECKS!$O$2:$O$1201,0),"")</f>
        <v/>
      </c>
      <c r="I1050" s="11" t="str">
        <f aca="false">IF(C1050="","",G1050&amp;" "&amp;D1050&amp;" ("&amp;C1050&amp;")")</f>
        <v/>
      </c>
    </row>
    <row r="1051" customFormat="false" ht="15" hidden="false" customHeight="false" outlineLevel="0" collapsed="false">
      <c r="A1051" s="16"/>
      <c r="B1051" s="11" t="str">
        <f aca="false">IF($H1051="","",INDEX(DECKS!$A$2:$A$1201,$H1051))</f>
        <v/>
      </c>
      <c r="C1051" s="11" t="str">
        <f aca="false">IF($H1051="","",INDEX(DECKS!$B$2:$B$1201,$H1051))</f>
        <v/>
      </c>
      <c r="D1051" s="11" t="str">
        <f aca="false">IF($H1051="","",INDEX(DECKS!$C$2:$C$1201,$H1051))</f>
        <v/>
      </c>
      <c r="E1051" s="16" t="str">
        <f aca="false">IF($H1051="","",INDEX(DECKS!$D$2:$D$1201,$H1051))</f>
        <v/>
      </c>
      <c r="F1051" s="16" t="str">
        <f aca="false">IF($H1051="","",INDEX(DECKS!$E$2:$E$1201,$H1051))</f>
        <v/>
      </c>
      <c r="G1051" s="21" t="str">
        <f aca="false">IF($H1051="","",INDEX(DECKS!$F$2:$F$1201,$H1051))</f>
        <v/>
      </c>
      <c r="H1051" s="11" t="str">
        <f aca="false">IFERROR(MATCH(ROW()-1,DECKS!$O$2:$O$1201,0),"")</f>
        <v/>
      </c>
      <c r="I1051" s="11" t="str">
        <f aca="false">IF(C1051="","",G1051&amp;" "&amp;D1051&amp;" ("&amp;C1051&amp;")")</f>
        <v/>
      </c>
    </row>
    <row r="1052" customFormat="false" ht="15" hidden="false" customHeight="false" outlineLevel="0" collapsed="false">
      <c r="A1052" s="16"/>
      <c r="B1052" s="11" t="str">
        <f aca="false">IF($H1052="","",INDEX(DECKS!$A$2:$A$1201,$H1052))</f>
        <v/>
      </c>
      <c r="C1052" s="11" t="str">
        <f aca="false">IF($H1052="","",INDEX(DECKS!$B$2:$B$1201,$H1052))</f>
        <v/>
      </c>
      <c r="D1052" s="11" t="str">
        <f aca="false">IF($H1052="","",INDEX(DECKS!$C$2:$C$1201,$H1052))</f>
        <v/>
      </c>
      <c r="E1052" s="16" t="str">
        <f aca="false">IF($H1052="","",INDEX(DECKS!$D$2:$D$1201,$H1052))</f>
        <v/>
      </c>
      <c r="F1052" s="16" t="str">
        <f aca="false">IF($H1052="","",INDEX(DECKS!$E$2:$E$1201,$H1052))</f>
        <v/>
      </c>
      <c r="G1052" s="21" t="str">
        <f aca="false">IF($H1052="","",INDEX(DECKS!$F$2:$F$1201,$H1052))</f>
        <v/>
      </c>
      <c r="H1052" s="11" t="str">
        <f aca="false">IFERROR(MATCH(ROW()-1,DECKS!$O$2:$O$1201,0),"")</f>
        <v/>
      </c>
      <c r="I1052" s="11" t="str">
        <f aca="false">IF(C1052="","",G1052&amp;" "&amp;D1052&amp;" ("&amp;C1052&amp;")")</f>
        <v/>
      </c>
    </row>
    <row r="1053" customFormat="false" ht="15" hidden="false" customHeight="false" outlineLevel="0" collapsed="false">
      <c r="A1053" s="16"/>
      <c r="B1053" s="11" t="str">
        <f aca="false">IF($H1053="","",INDEX(DECKS!$A$2:$A$1201,$H1053))</f>
        <v/>
      </c>
      <c r="C1053" s="11" t="str">
        <f aca="false">IF($H1053="","",INDEX(DECKS!$B$2:$B$1201,$H1053))</f>
        <v/>
      </c>
      <c r="D1053" s="11" t="str">
        <f aca="false">IF($H1053="","",INDEX(DECKS!$C$2:$C$1201,$H1053))</f>
        <v/>
      </c>
      <c r="E1053" s="16" t="str">
        <f aca="false">IF($H1053="","",INDEX(DECKS!$D$2:$D$1201,$H1053))</f>
        <v/>
      </c>
      <c r="F1053" s="16" t="str">
        <f aca="false">IF($H1053="","",INDEX(DECKS!$E$2:$E$1201,$H1053))</f>
        <v/>
      </c>
      <c r="G1053" s="21" t="str">
        <f aca="false">IF($H1053="","",INDEX(DECKS!$F$2:$F$1201,$H1053))</f>
        <v/>
      </c>
      <c r="H1053" s="11" t="str">
        <f aca="false">IFERROR(MATCH(ROW()-1,DECKS!$O$2:$O$1201,0),"")</f>
        <v/>
      </c>
      <c r="I1053" s="11" t="str">
        <f aca="false">IF(C1053="","",G1053&amp;" "&amp;D1053&amp;" ("&amp;C1053&amp;")")</f>
        <v/>
      </c>
    </row>
    <row r="1054" customFormat="false" ht="15" hidden="false" customHeight="false" outlineLevel="0" collapsed="false">
      <c r="A1054" s="16"/>
      <c r="B1054" s="11" t="str">
        <f aca="false">IF($H1054="","",INDEX(DECKS!$A$2:$A$1201,$H1054))</f>
        <v/>
      </c>
      <c r="C1054" s="11" t="str">
        <f aca="false">IF($H1054="","",INDEX(DECKS!$B$2:$B$1201,$H1054))</f>
        <v/>
      </c>
      <c r="D1054" s="11" t="str">
        <f aca="false">IF($H1054="","",INDEX(DECKS!$C$2:$C$1201,$H1054))</f>
        <v/>
      </c>
      <c r="E1054" s="16" t="str">
        <f aca="false">IF($H1054="","",INDEX(DECKS!$D$2:$D$1201,$H1054))</f>
        <v/>
      </c>
      <c r="F1054" s="16" t="str">
        <f aca="false">IF($H1054="","",INDEX(DECKS!$E$2:$E$1201,$H1054))</f>
        <v/>
      </c>
      <c r="G1054" s="21" t="str">
        <f aca="false">IF($H1054="","",INDEX(DECKS!$F$2:$F$1201,$H1054))</f>
        <v/>
      </c>
      <c r="H1054" s="11" t="str">
        <f aca="false">IFERROR(MATCH(ROW()-1,DECKS!$O$2:$O$1201,0),"")</f>
        <v/>
      </c>
      <c r="I1054" s="11" t="str">
        <f aca="false">IF(C1054="","",G1054&amp;" "&amp;D1054&amp;" ("&amp;C1054&amp;")")</f>
        <v/>
      </c>
    </row>
    <row r="1055" customFormat="false" ht="15" hidden="false" customHeight="false" outlineLevel="0" collapsed="false">
      <c r="A1055" s="16"/>
      <c r="B1055" s="11" t="str">
        <f aca="false">IF($H1055="","",INDEX(DECKS!$A$2:$A$1201,$H1055))</f>
        <v/>
      </c>
      <c r="C1055" s="11" t="str">
        <f aca="false">IF($H1055="","",INDEX(DECKS!$B$2:$B$1201,$H1055))</f>
        <v/>
      </c>
      <c r="D1055" s="11" t="str">
        <f aca="false">IF($H1055="","",INDEX(DECKS!$C$2:$C$1201,$H1055))</f>
        <v/>
      </c>
      <c r="E1055" s="16" t="str">
        <f aca="false">IF($H1055="","",INDEX(DECKS!$D$2:$D$1201,$H1055))</f>
        <v/>
      </c>
      <c r="F1055" s="16" t="str">
        <f aca="false">IF($H1055="","",INDEX(DECKS!$E$2:$E$1201,$H1055))</f>
        <v/>
      </c>
      <c r="G1055" s="21" t="str">
        <f aca="false">IF($H1055="","",INDEX(DECKS!$F$2:$F$1201,$H1055))</f>
        <v/>
      </c>
      <c r="H1055" s="11" t="str">
        <f aca="false">IFERROR(MATCH(ROW()-1,DECKS!$O$2:$O$1201,0),"")</f>
        <v/>
      </c>
      <c r="I1055" s="11" t="str">
        <f aca="false">IF(C1055="","",G1055&amp;" "&amp;D1055&amp;" ("&amp;C1055&amp;")")</f>
        <v/>
      </c>
    </row>
    <row r="1056" customFormat="false" ht="15" hidden="false" customHeight="false" outlineLevel="0" collapsed="false">
      <c r="A1056" s="16"/>
      <c r="B1056" s="11" t="str">
        <f aca="false">IF($H1056="","",INDEX(DECKS!$A$2:$A$1201,$H1056))</f>
        <v/>
      </c>
      <c r="C1056" s="11" t="str">
        <f aca="false">IF($H1056="","",INDEX(DECKS!$B$2:$B$1201,$H1056))</f>
        <v/>
      </c>
      <c r="D1056" s="11" t="str">
        <f aca="false">IF($H1056="","",INDEX(DECKS!$C$2:$C$1201,$H1056))</f>
        <v/>
      </c>
      <c r="E1056" s="16" t="str">
        <f aca="false">IF($H1056="","",INDEX(DECKS!$D$2:$D$1201,$H1056))</f>
        <v/>
      </c>
      <c r="F1056" s="16" t="str">
        <f aca="false">IF($H1056="","",INDEX(DECKS!$E$2:$E$1201,$H1056))</f>
        <v/>
      </c>
      <c r="G1056" s="21" t="str">
        <f aca="false">IF($H1056="","",INDEX(DECKS!$F$2:$F$1201,$H1056))</f>
        <v/>
      </c>
      <c r="H1056" s="11" t="str">
        <f aca="false">IFERROR(MATCH(ROW()-1,DECKS!$O$2:$O$1201,0),"")</f>
        <v/>
      </c>
      <c r="I1056" s="11" t="str">
        <f aca="false">IF(C1056="","",G1056&amp;" "&amp;D1056&amp;" ("&amp;C1056&amp;")")</f>
        <v/>
      </c>
    </row>
    <row r="1057" customFormat="false" ht="15" hidden="false" customHeight="false" outlineLevel="0" collapsed="false">
      <c r="A1057" s="16"/>
      <c r="B1057" s="11" t="str">
        <f aca="false">IF($H1057="","",INDEX(DECKS!$A$2:$A$1201,$H1057))</f>
        <v/>
      </c>
      <c r="C1057" s="11" t="str">
        <f aca="false">IF($H1057="","",INDEX(DECKS!$B$2:$B$1201,$H1057))</f>
        <v/>
      </c>
      <c r="D1057" s="11" t="str">
        <f aca="false">IF($H1057="","",INDEX(DECKS!$C$2:$C$1201,$H1057))</f>
        <v/>
      </c>
      <c r="E1057" s="16" t="str">
        <f aca="false">IF($H1057="","",INDEX(DECKS!$D$2:$D$1201,$H1057))</f>
        <v/>
      </c>
      <c r="F1057" s="16" t="str">
        <f aca="false">IF($H1057="","",INDEX(DECKS!$E$2:$E$1201,$H1057))</f>
        <v/>
      </c>
      <c r="G1057" s="21" t="str">
        <f aca="false">IF($H1057="","",INDEX(DECKS!$F$2:$F$1201,$H1057))</f>
        <v/>
      </c>
      <c r="H1057" s="11" t="str">
        <f aca="false">IFERROR(MATCH(ROW()-1,DECKS!$O$2:$O$1201,0),"")</f>
        <v/>
      </c>
      <c r="I1057" s="11" t="str">
        <f aca="false">IF(C1057="","",G1057&amp;" "&amp;D1057&amp;" ("&amp;C1057&amp;")")</f>
        <v/>
      </c>
    </row>
    <row r="1058" customFormat="false" ht="15" hidden="false" customHeight="false" outlineLevel="0" collapsed="false">
      <c r="A1058" s="16"/>
      <c r="B1058" s="11" t="str">
        <f aca="false">IF($H1058="","",INDEX(DECKS!$A$2:$A$1201,$H1058))</f>
        <v/>
      </c>
      <c r="C1058" s="11" t="str">
        <f aca="false">IF($H1058="","",INDEX(DECKS!$B$2:$B$1201,$H1058))</f>
        <v/>
      </c>
      <c r="D1058" s="11" t="str">
        <f aca="false">IF($H1058="","",INDEX(DECKS!$C$2:$C$1201,$H1058))</f>
        <v/>
      </c>
      <c r="E1058" s="16" t="str">
        <f aca="false">IF($H1058="","",INDEX(DECKS!$D$2:$D$1201,$H1058))</f>
        <v/>
      </c>
      <c r="F1058" s="16" t="str">
        <f aca="false">IF($H1058="","",INDEX(DECKS!$E$2:$E$1201,$H1058))</f>
        <v/>
      </c>
      <c r="G1058" s="21" t="str">
        <f aca="false">IF($H1058="","",INDEX(DECKS!$F$2:$F$1201,$H1058))</f>
        <v/>
      </c>
      <c r="H1058" s="11" t="str">
        <f aca="false">IFERROR(MATCH(ROW()-1,DECKS!$O$2:$O$1201,0),"")</f>
        <v/>
      </c>
      <c r="I1058" s="11" t="str">
        <f aca="false">IF(C1058="","",G1058&amp;" "&amp;D1058&amp;" ("&amp;C1058&amp;")")</f>
        <v/>
      </c>
    </row>
    <row r="1059" customFormat="false" ht="15" hidden="false" customHeight="false" outlineLevel="0" collapsed="false">
      <c r="A1059" s="16"/>
      <c r="B1059" s="11" t="str">
        <f aca="false">IF($H1059="","",INDEX(DECKS!$A$2:$A$1201,$H1059))</f>
        <v/>
      </c>
      <c r="C1059" s="11" t="str">
        <f aca="false">IF($H1059="","",INDEX(DECKS!$B$2:$B$1201,$H1059))</f>
        <v/>
      </c>
      <c r="D1059" s="11" t="str">
        <f aca="false">IF($H1059="","",INDEX(DECKS!$C$2:$C$1201,$H1059))</f>
        <v/>
      </c>
      <c r="E1059" s="16" t="str">
        <f aca="false">IF($H1059="","",INDEX(DECKS!$D$2:$D$1201,$H1059))</f>
        <v/>
      </c>
      <c r="F1059" s="16" t="str">
        <f aca="false">IF($H1059="","",INDEX(DECKS!$E$2:$E$1201,$H1059))</f>
        <v/>
      </c>
      <c r="G1059" s="21" t="str">
        <f aca="false">IF($H1059="","",INDEX(DECKS!$F$2:$F$1201,$H1059))</f>
        <v/>
      </c>
      <c r="H1059" s="11" t="str">
        <f aca="false">IFERROR(MATCH(ROW()-1,DECKS!$O$2:$O$1201,0),"")</f>
        <v/>
      </c>
      <c r="I1059" s="11" t="str">
        <f aca="false">IF(C1059="","",G1059&amp;" "&amp;D1059&amp;" ("&amp;C1059&amp;")")</f>
        <v/>
      </c>
    </row>
    <row r="1060" customFormat="false" ht="15" hidden="false" customHeight="false" outlineLevel="0" collapsed="false">
      <c r="A1060" s="16"/>
      <c r="B1060" s="11" t="str">
        <f aca="false">IF($H1060="","",INDEX(DECKS!$A$2:$A$1201,$H1060))</f>
        <v/>
      </c>
      <c r="C1060" s="11" t="str">
        <f aca="false">IF($H1060="","",INDEX(DECKS!$B$2:$B$1201,$H1060))</f>
        <v/>
      </c>
      <c r="D1060" s="11" t="str">
        <f aca="false">IF($H1060="","",INDEX(DECKS!$C$2:$C$1201,$H1060))</f>
        <v/>
      </c>
      <c r="E1060" s="16" t="str">
        <f aca="false">IF($H1060="","",INDEX(DECKS!$D$2:$D$1201,$H1060))</f>
        <v/>
      </c>
      <c r="F1060" s="16" t="str">
        <f aca="false">IF($H1060="","",INDEX(DECKS!$E$2:$E$1201,$H1060))</f>
        <v/>
      </c>
      <c r="G1060" s="21" t="str">
        <f aca="false">IF($H1060="","",INDEX(DECKS!$F$2:$F$1201,$H1060))</f>
        <v/>
      </c>
      <c r="H1060" s="11" t="str">
        <f aca="false">IFERROR(MATCH(ROW()-1,DECKS!$O$2:$O$1201,0),"")</f>
        <v/>
      </c>
      <c r="I1060" s="11" t="str">
        <f aca="false">IF(C1060="","",G1060&amp;" "&amp;D1060&amp;" ("&amp;C1060&amp;")")</f>
        <v/>
      </c>
    </row>
    <row r="1061" customFormat="false" ht="15" hidden="false" customHeight="false" outlineLevel="0" collapsed="false">
      <c r="A1061" s="16"/>
      <c r="B1061" s="11" t="str">
        <f aca="false">IF($H1061="","",INDEX(DECKS!$A$2:$A$1201,$H1061))</f>
        <v/>
      </c>
      <c r="C1061" s="11" t="str">
        <f aca="false">IF($H1061="","",INDEX(DECKS!$B$2:$B$1201,$H1061))</f>
        <v/>
      </c>
      <c r="D1061" s="11" t="str">
        <f aca="false">IF($H1061="","",INDEX(DECKS!$C$2:$C$1201,$H1061))</f>
        <v/>
      </c>
      <c r="E1061" s="16" t="str">
        <f aca="false">IF($H1061="","",INDEX(DECKS!$D$2:$D$1201,$H1061))</f>
        <v/>
      </c>
      <c r="F1061" s="16" t="str">
        <f aca="false">IF($H1061="","",INDEX(DECKS!$E$2:$E$1201,$H1061))</f>
        <v/>
      </c>
      <c r="G1061" s="21" t="str">
        <f aca="false">IF($H1061="","",INDEX(DECKS!$F$2:$F$1201,$H1061))</f>
        <v/>
      </c>
      <c r="H1061" s="11" t="str">
        <f aca="false">IFERROR(MATCH(ROW()-1,DECKS!$O$2:$O$1201,0),"")</f>
        <v/>
      </c>
      <c r="I1061" s="11" t="str">
        <f aca="false">IF(C1061="","",G1061&amp;" "&amp;D1061&amp;" ("&amp;C1061&amp;")")</f>
        <v/>
      </c>
    </row>
    <row r="1062" customFormat="false" ht="15" hidden="false" customHeight="false" outlineLevel="0" collapsed="false">
      <c r="A1062" s="16"/>
      <c r="B1062" s="11" t="str">
        <f aca="false">IF($H1062="","",INDEX(DECKS!$A$2:$A$1201,$H1062))</f>
        <v/>
      </c>
      <c r="C1062" s="11" t="str">
        <f aca="false">IF($H1062="","",INDEX(DECKS!$B$2:$B$1201,$H1062))</f>
        <v/>
      </c>
      <c r="D1062" s="11" t="str">
        <f aca="false">IF($H1062="","",INDEX(DECKS!$C$2:$C$1201,$H1062))</f>
        <v/>
      </c>
      <c r="E1062" s="16" t="str">
        <f aca="false">IF($H1062="","",INDEX(DECKS!$D$2:$D$1201,$H1062))</f>
        <v/>
      </c>
      <c r="F1062" s="16" t="str">
        <f aca="false">IF($H1062="","",INDEX(DECKS!$E$2:$E$1201,$H1062))</f>
        <v/>
      </c>
      <c r="G1062" s="21" t="str">
        <f aca="false">IF($H1062="","",INDEX(DECKS!$F$2:$F$1201,$H1062))</f>
        <v/>
      </c>
      <c r="H1062" s="11" t="str">
        <f aca="false">IFERROR(MATCH(ROW()-1,DECKS!$O$2:$O$1201,0),"")</f>
        <v/>
      </c>
      <c r="I1062" s="11" t="str">
        <f aca="false">IF(C1062="","",G1062&amp;" "&amp;D1062&amp;" ("&amp;C1062&amp;")")</f>
        <v/>
      </c>
    </row>
    <row r="1063" customFormat="false" ht="15" hidden="false" customHeight="false" outlineLevel="0" collapsed="false">
      <c r="A1063" s="16"/>
      <c r="B1063" s="11" t="str">
        <f aca="false">IF($H1063="","",INDEX(DECKS!$A$2:$A$1201,$H1063))</f>
        <v/>
      </c>
      <c r="C1063" s="11" t="str">
        <f aca="false">IF($H1063="","",INDEX(DECKS!$B$2:$B$1201,$H1063))</f>
        <v/>
      </c>
      <c r="D1063" s="11" t="str">
        <f aca="false">IF($H1063="","",INDEX(DECKS!$C$2:$C$1201,$H1063))</f>
        <v/>
      </c>
      <c r="E1063" s="16" t="str">
        <f aca="false">IF($H1063="","",INDEX(DECKS!$D$2:$D$1201,$H1063))</f>
        <v/>
      </c>
      <c r="F1063" s="16" t="str">
        <f aca="false">IF($H1063="","",INDEX(DECKS!$E$2:$E$1201,$H1063))</f>
        <v/>
      </c>
      <c r="G1063" s="21" t="str">
        <f aca="false">IF($H1063="","",INDEX(DECKS!$F$2:$F$1201,$H1063))</f>
        <v/>
      </c>
      <c r="H1063" s="11" t="str">
        <f aca="false">IFERROR(MATCH(ROW()-1,DECKS!$O$2:$O$1201,0),"")</f>
        <v/>
      </c>
      <c r="I1063" s="11" t="str">
        <f aca="false">IF(C1063="","",G1063&amp;" "&amp;D1063&amp;" ("&amp;C1063&amp;")")</f>
        <v/>
      </c>
    </row>
    <row r="1064" customFormat="false" ht="15" hidden="false" customHeight="false" outlineLevel="0" collapsed="false">
      <c r="A1064" s="16"/>
      <c r="B1064" s="11" t="str">
        <f aca="false">IF($H1064="","",INDEX(DECKS!$A$2:$A$1201,$H1064))</f>
        <v/>
      </c>
      <c r="C1064" s="11" t="str">
        <f aca="false">IF($H1064="","",INDEX(DECKS!$B$2:$B$1201,$H1064))</f>
        <v/>
      </c>
      <c r="D1064" s="11" t="str">
        <f aca="false">IF($H1064="","",INDEX(DECKS!$C$2:$C$1201,$H1064))</f>
        <v/>
      </c>
      <c r="E1064" s="16" t="str">
        <f aca="false">IF($H1064="","",INDEX(DECKS!$D$2:$D$1201,$H1064))</f>
        <v/>
      </c>
      <c r="F1064" s="16" t="str">
        <f aca="false">IF($H1064="","",INDEX(DECKS!$E$2:$E$1201,$H1064))</f>
        <v/>
      </c>
      <c r="G1064" s="21" t="str">
        <f aca="false">IF($H1064="","",INDEX(DECKS!$F$2:$F$1201,$H1064))</f>
        <v/>
      </c>
      <c r="H1064" s="11" t="str">
        <f aca="false">IFERROR(MATCH(ROW()-1,DECKS!$O$2:$O$1201,0),"")</f>
        <v/>
      </c>
      <c r="I1064" s="11" t="str">
        <f aca="false">IF(C1064="","",G1064&amp;" "&amp;D1064&amp;" ("&amp;C1064&amp;")")</f>
        <v/>
      </c>
    </row>
    <row r="1065" customFormat="false" ht="15" hidden="false" customHeight="false" outlineLevel="0" collapsed="false">
      <c r="A1065" s="16"/>
      <c r="B1065" s="11" t="str">
        <f aca="false">IF($H1065="","",INDEX(DECKS!$A$2:$A$1201,$H1065))</f>
        <v/>
      </c>
      <c r="C1065" s="11" t="str">
        <f aca="false">IF($H1065="","",INDEX(DECKS!$B$2:$B$1201,$H1065))</f>
        <v/>
      </c>
      <c r="D1065" s="11" t="str">
        <f aca="false">IF($H1065="","",INDEX(DECKS!$C$2:$C$1201,$H1065))</f>
        <v/>
      </c>
      <c r="E1065" s="16" t="str">
        <f aca="false">IF($H1065="","",INDEX(DECKS!$D$2:$D$1201,$H1065))</f>
        <v/>
      </c>
      <c r="F1065" s="16" t="str">
        <f aca="false">IF($H1065="","",INDEX(DECKS!$E$2:$E$1201,$H1065))</f>
        <v/>
      </c>
      <c r="G1065" s="21" t="str">
        <f aca="false">IF($H1065="","",INDEX(DECKS!$F$2:$F$1201,$H1065))</f>
        <v/>
      </c>
      <c r="H1065" s="11" t="str">
        <f aca="false">IFERROR(MATCH(ROW()-1,DECKS!$O$2:$O$1201,0),"")</f>
        <v/>
      </c>
      <c r="I1065" s="11" t="str">
        <f aca="false">IF(C1065="","",G1065&amp;" "&amp;D1065&amp;" ("&amp;C1065&amp;")")</f>
        <v/>
      </c>
    </row>
    <row r="1066" customFormat="false" ht="15" hidden="false" customHeight="false" outlineLevel="0" collapsed="false">
      <c r="A1066" s="16"/>
      <c r="B1066" s="11" t="str">
        <f aca="false">IF($H1066="","",INDEX(DECKS!$A$2:$A$1201,$H1066))</f>
        <v/>
      </c>
      <c r="C1066" s="11" t="str">
        <f aca="false">IF($H1066="","",INDEX(DECKS!$B$2:$B$1201,$H1066))</f>
        <v/>
      </c>
      <c r="D1066" s="11" t="str">
        <f aca="false">IF($H1066="","",INDEX(DECKS!$C$2:$C$1201,$H1066))</f>
        <v/>
      </c>
      <c r="E1066" s="16" t="str">
        <f aca="false">IF($H1066="","",INDEX(DECKS!$D$2:$D$1201,$H1066))</f>
        <v/>
      </c>
      <c r="F1066" s="16" t="str">
        <f aca="false">IF($H1066="","",INDEX(DECKS!$E$2:$E$1201,$H1066))</f>
        <v/>
      </c>
      <c r="G1066" s="21" t="str">
        <f aca="false">IF($H1066="","",INDEX(DECKS!$F$2:$F$1201,$H1066))</f>
        <v/>
      </c>
      <c r="H1066" s="11" t="str">
        <f aca="false">IFERROR(MATCH(ROW()-1,DECKS!$O$2:$O$1201,0),"")</f>
        <v/>
      </c>
      <c r="I1066" s="11" t="str">
        <f aca="false">IF(C1066="","",G1066&amp;" "&amp;D1066&amp;" ("&amp;C1066&amp;")")</f>
        <v/>
      </c>
    </row>
    <row r="1067" customFormat="false" ht="15" hidden="false" customHeight="false" outlineLevel="0" collapsed="false">
      <c r="A1067" s="16"/>
      <c r="B1067" s="11" t="str">
        <f aca="false">IF($H1067="","",INDEX(DECKS!$A$2:$A$1201,$H1067))</f>
        <v/>
      </c>
      <c r="C1067" s="11" t="str">
        <f aca="false">IF($H1067="","",INDEX(DECKS!$B$2:$B$1201,$H1067))</f>
        <v/>
      </c>
      <c r="D1067" s="11" t="str">
        <f aca="false">IF($H1067="","",INDEX(DECKS!$C$2:$C$1201,$H1067))</f>
        <v/>
      </c>
      <c r="E1067" s="16" t="str">
        <f aca="false">IF($H1067="","",INDEX(DECKS!$D$2:$D$1201,$H1067))</f>
        <v/>
      </c>
      <c r="F1067" s="16" t="str">
        <f aca="false">IF($H1067="","",INDEX(DECKS!$E$2:$E$1201,$H1067))</f>
        <v/>
      </c>
      <c r="G1067" s="21" t="str">
        <f aca="false">IF($H1067="","",INDEX(DECKS!$F$2:$F$1201,$H1067))</f>
        <v/>
      </c>
      <c r="H1067" s="11" t="str">
        <f aca="false">IFERROR(MATCH(ROW()-1,DECKS!$O$2:$O$1201,0),"")</f>
        <v/>
      </c>
      <c r="I1067" s="11" t="str">
        <f aca="false">IF(C1067="","",G1067&amp;" "&amp;D1067&amp;" ("&amp;C1067&amp;")")</f>
        <v/>
      </c>
    </row>
    <row r="1068" customFormat="false" ht="15" hidden="false" customHeight="false" outlineLevel="0" collapsed="false">
      <c r="A1068" s="16"/>
      <c r="B1068" s="11" t="str">
        <f aca="false">IF($H1068="","",INDEX(DECKS!$A$2:$A$1201,$H1068))</f>
        <v/>
      </c>
      <c r="C1068" s="11" t="str">
        <f aca="false">IF($H1068="","",INDEX(DECKS!$B$2:$B$1201,$H1068))</f>
        <v/>
      </c>
      <c r="D1068" s="11" t="str">
        <f aca="false">IF($H1068="","",INDEX(DECKS!$C$2:$C$1201,$H1068))</f>
        <v/>
      </c>
      <c r="E1068" s="16" t="str">
        <f aca="false">IF($H1068="","",INDEX(DECKS!$D$2:$D$1201,$H1068))</f>
        <v/>
      </c>
      <c r="F1068" s="16" t="str">
        <f aca="false">IF($H1068="","",INDEX(DECKS!$E$2:$E$1201,$H1068))</f>
        <v/>
      </c>
      <c r="G1068" s="21" t="str">
        <f aca="false">IF($H1068="","",INDEX(DECKS!$F$2:$F$1201,$H1068))</f>
        <v/>
      </c>
      <c r="H1068" s="11" t="str">
        <f aca="false">IFERROR(MATCH(ROW()-1,DECKS!$O$2:$O$1201,0),"")</f>
        <v/>
      </c>
      <c r="I1068" s="11" t="str">
        <f aca="false">IF(C1068="","",G1068&amp;" "&amp;D1068&amp;" ("&amp;C1068&amp;")")</f>
        <v/>
      </c>
    </row>
    <row r="1069" customFormat="false" ht="15" hidden="false" customHeight="false" outlineLevel="0" collapsed="false">
      <c r="A1069" s="16"/>
      <c r="B1069" s="11" t="str">
        <f aca="false">IF($H1069="","",INDEX(DECKS!$A$2:$A$1201,$H1069))</f>
        <v/>
      </c>
      <c r="C1069" s="11" t="str">
        <f aca="false">IF($H1069="","",INDEX(DECKS!$B$2:$B$1201,$H1069))</f>
        <v/>
      </c>
      <c r="D1069" s="11" t="str">
        <f aca="false">IF($H1069="","",INDEX(DECKS!$C$2:$C$1201,$H1069))</f>
        <v/>
      </c>
      <c r="E1069" s="16" t="str">
        <f aca="false">IF($H1069="","",INDEX(DECKS!$D$2:$D$1201,$H1069))</f>
        <v/>
      </c>
      <c r="F1069" s="16" t="str">
        <f aca="false">IF($H1069="","",INDEX(DECKS!$E$2:$E$1201,$H1069))</f>
        <v/>
      </c>
      <c r="G1069" s="21" t="str">
        <f aca="false">IF($H1069="","",INDEX(DECKS!$F$2:$F$1201,$H1069))</f>
        <v/>
      </c>
      <c r="H1069" s="11" t="str">
        <f aca="false">IFERROR(MATCH(ROW()-1,DECKS!$O$2:$O$1201,0),"")</f>
        <v/>
      </c>
      <c r="I1069" s="11" t="str">
        <f aca="false">IF(C1069="","",G1069&amp;" "&amp;D1069&amp;" ("&amp;C1069&amp;")")</f>
        <v/>
      </c>
    </row>
    <row r="1070" customFormat="false" ht="15" hidden="false" customHeight="false" outlineLevel="0" collapsed="false">
      <c r="A1070" s="16"/>
      <c r="B1070" s="11" t="str">
        <f aca="false">IF($H1070="","",INDEX(DECKS!$A$2:$A$1201,$H1070))</f>
        <v/>
      </c>
      <c r="C1070" s="11" t="str">
        <f aca="false">IF($H1070="","",INDEX(DECKS!$B$2:$B$1201,$H1070))</f>
        <v/>
      </c>
      <c r="D1070" s="11" t="str">
        <f aca="false">IF($H1070="","",INDEX(DECKS!$C$2:$C$1201,$H1070))</f>
        <v/>
      </c>
      <c r="E1070" s="16" t="str">
        <f aca="false">IF($H1070="","",INDEX(DECKS!$D$2:$D$1201,$H1070))</f>
        <v/>
      </c>
      <c r="F1070" s="16" t="str">
        <f aca="false">IF($H1070="","",INDEX(DECKS!$E$2:$E$1201,$H1070))</f>
        <v/>
      </c>
      <c r="G1070" s="21" t="str">
        <f aca="false">IF($H1070="","",INDEX(DECKS!$F$2:$F$1201,$H1070))</f>
        <v/>
      </c>
      <c r="H1070" s="11" t="str">
        <f aca="false">IFERROR(MATCH(ROW()-1,DECKS!$O$2:$O$1201,0),"")</f>
        <v/>
      </c>
      <c r="I1070" s="11" t="str">
        <f aca="false">IF(C1070="","",G1070&amp;" "&amp;D1070&amp;" ("&amp;C1070&amp;")")</f>
        <v/>
      </c>
    </row>
    <row r="1071" customFormat="false" ht="15" hidden="false" customHeight="false" outlineLevel="0" collapsed="false">
      <c r="A1071" s="16"/>
      <c r="B1071" s="11" t="str">
        <f aca="false">IF($H1071="","",INDEX(DECKS!$A$2:$A$1201,$H1071))</f>
        <v/>
      </c>
      <c r="C1071" s="11" t="str">
        <f aca="false">IF($H1071="","",INDEX(DECKS!$B$2:$B$1201,$H1071))</f>
        <v/>
      </c>
      <c r="D1071" s="11" t="str">
        <f aca="false">IF($H1071="","",INDEX(DECKS!$C$2:$C$1201,$H1071))</f>
        <v/>
      </c>
      <c r="E1071" s="16" t="str">
        <f aca="false">IF($H1071="","",INDEX(DECKS!$D$2:$D$1201,$H1071))</f>
        <v/>
      </c>
      <c r="F1071" s="16" t="str">
        <f aca="false">IF($H1071="","",INDEX(DECKS!$E$2:$E$1201,$H1071))</f>
        <v/>
      </c>
      <c r="G1071" s="21" t="str">
        <f aca="false">IF($H1071="","",INDEX(DECKS!$F$2:$F$1201,$H1071))</f>
        <v/>
      </c>
      <c r="H1071" s="11" t="str">
        <f aca="false">IFERROR(MATCH(ROW()-1,DECKS!$O$2:$O$1201,0),"")</f>
        <v/>
      </c>
      <c r="I1071" s="11" t="str">
        <f aca="false">IF(C1071="","",G1071&amp;" "&amp;D1071&amp;" ("&amp;C1071&amp;")")</f>
        <v/>
      </c>
    </row>
    <row r="1072" customFormat="false" ht="15" hidden="false" customHeight="false" outlineLevel="0" collapsed="false">
      <c r="A1072" s="16"/>
      <c r="B1072" s="11" t="str">
        <f aca="false">IF($H1072="","",INDEX(DECKS!$A$2:$A$1201,$H1072))</f>
        <v/>
      </c>
      <c r="C1072" s="11" t="str">
        <f aca="false">IF($H1072="","",INDEX(DECKS!$B$2:$B$1201,$H1072))</f>
        <v/>
      </c>
      <c r="D1072" s="11" t="str">
        <f aca="false">IF($H1072="","",INDEX(DECKS!$C$2:$C$1201,$H1072))</f>
        <v/>
      </c>
      <c r="E1072" s="16" t="str">
        <f aca="false">IF($H1072="","",INDEX(DECKS!$D$2:$D$1201,$H1072))</f>
        <v/>
      </c>
      <c r="F1072" s="16" t="str">
        <f aca="false">IF($H1072="","",INDEX(DECKS!$E$2:$E$1201,$H1072))</f>
        <v/>
      </c>
      <c r="G1072" s="21" t="str">
        <f aca="false">IF($H1072="","",INDEX(DECKS!$F$2:$F$1201,$H1072))</f>
        <v/>
      </c>
      <c r="H1072" s="11" t="str">
        <f aca="false">IFERROR(MATCH(ROW()-1,DECKS!$O$2:$O$1201,0),"")</f>
        <v/>
      </c>
      <c r="I1072" s="11" t="str">
        <f aca="false">IF(C1072="","",G1072&amp;" "&amp;D1072&amp;" ("&amp;C1072&amp;")")</f>
        <v/>
      </c>
    </row>
    <row r="1073" customFormat="false" ht="15" hidden="false" customHeight="false" outlineLevel="0" collapsed="false">
      <c r="A1073" s="16"/>
      <c r="B1073" s="11" t="str">
        <f aca="false">IF($H1073="","",INDEX(DECKS!$A$2:$A$1201,$H1073))</f>
        <v/>
      </c>
      <c r="C1073" s="11" t="str">
        <f aca="false">IF($H1073="","",INDEX(DECKS!$B$2:$B$1201,$H1073))</f>
        <v/>
      </c>
      <c r="D1073" s="11" t="str">
        <f aca="false">IF($H1073="","",INDEX(DECKS!$C$2:$C$1201,$H1073))</f>
        <v/>
      </c>
      <c r="E1073" s="16" t="str">
        <f aca="false">IF($H1073="","",INDEX(DECKS!$D$2:$D$1201,$H1073))</f>
        <v/>
      </c>
      <c r="F1073" s="16" t="str">
        <f aca="false">IF($H1073="","",INDEX(DECKS!$E$2:$E$1201,$H1073))</f>
        <v/>
      </c>
      <c r="G1073" s="21" t="str">
        <f aca="false">IF($H1073="","",INDEX(DECKS!$F$2:$F$1201,$H1073))</f>
        <v/>
      </c>
      <c r="H1073" s="11" t="str">
        <f aca="false">IFERROR(MATCH(ROW()-1,DECKS!$O$2:$O$1201,0),"")</f>
        <v/>
      </c>
      <c r="I1073" s="11" t="str">
        <f aca="false">IF(C1073="","",G1073&amp;" "&amp;D1073&amp;" ("&amp;C1073&amp;")")</f>
        <v/>
      </c>
    </row>
    <row r="1074" customFormat="false" ht="15" hidden="false" customHeight="false" outlineLevel="0" collapsed="false">
      <c r="A1074" s="16"/>
      <c r="B1074" s="11" t="str">
        <f aca="false">IF($H1074="","",INDEX(DECKS!$A$2:$A$1201,$H1074))</f>
        <v/>
      </c>
      <c r="C1074" s="11" t="str">
        <f aca="false">IF($H1074="","",INDEX(DECKS!$B$2:$B$1201,$H1074))</f>
        <v/>
      </c>
      <c r="D1074" s="11" t="str">
        <f aca="false">IF($H1074="","",INDEX(DECKS!$C$2:$C$1201,$H1074))</f>
        <v/>
      </c>
      <c r="E1074" s="16" t="str">
        <f aca="false">IF($H1074="","",INDEX(DECKS!$D$2:$D$1201,$H1074))</f>
        <v/>
      </c>
      <c r="F1074" s="16" t="str">
        <f aca="false">IF($H1074="","",INDEX(DECKS!$E$2:$E$1201,$H1074))</f>
        <v/>
      </c>
      <c r="G1074" s="21" t="str">
        <f aca="false">IF($H1074="","",INDEX(DECKS!$F$2:$F$1201,$H1074))</f>
        <v/>
      </c>
      <c r="H1074" s="11" t="str">
        <f aca="false">IFERROR(MATCH(ROW()-1,DECKS!$O$2:$O$1201,0),"")</f>
        <v/>
      </c>
      <c r="I1074" s="11" t="str">
        <f aca="false">IF(C1074="","",G1074&amp;" "&amp;D1074&amp;" ("&amp;C1074&amp;")")</f>
        <v/>
      </c>
    </row>
    <row r="1075" customFormat="false" ht="15" hidden="false" customHeight="false" outlineLevel="0" collapsed="false">
      <c r="A1075" s="16"/>
      <c r="B1075" s="11" t="str">
        <f aca="false">IF($H1075="","",INDEX(DECKS!$A$2:$A$1201,$H1075))</f>
        <v/>
      </c>
      <c r="C1075" s="11" t="str">
        <f aca="false">IF($H1075="","",INDEX(DECKS!$B$2:$B$1201,$H1075))</f>
        <v/>
      </c>
      <c r="D1075" s="11" t="str">
        <f aca="false">IF($H1075="","",INDEX(DECKS!$C$2:$C$1201,$H1075))</f>
        <v/>
      </c>
      <c r="E1075" s="16" t="str">
        <f aca="false">IF($H1075="","",INDEX(DECKS!$D$2:$D$1201,$H1075))</f>
        <v/>
      </c>
      <c r="F1075" s="16" t="str">
        <f aca="false">IF($H1075="","",INDEX(DECKS!$E$2:$E$1201,$H1075))</f>
        <v/>
      </c>
      <c r="G1075" s="21" t="str">
        <f aca="false">IF($H1075="","",INDEX(DECKS!$F$2:$F$1201,$H1075))</f>
        <v/>
      </c>
      <c r="H1075" s="11" t="str">
        <f aca="false">IFERROR(MATCH(ROW()-1,DECKS!$O$2:$O$1201,0),"")</f>
        <v/>
      </c>
      <c r="I1075" s="11" t="str">
        <f aca="false">IF(C1075="","",G1075&amp;" "&amp;D1075&amp;" ("&amp;C1075&amp;")")</f>
        <v/>
      </c>
    </row>
    <row r="1076" customFormat="false" ht="15" hidden="false" customHeight="false" outlineLevel="0" collapsed="false">
      <c r="A1076" s="16"/>
      <c r="B1076" s="11" t="str">
        <f aca="false">IF($H1076="","",INDEX(DECKS!$A$2:$A$1201,$H1076))</f>
        <v/>
      </c>
      <c r="C1076" s="11" t="str">
        <f aca="false">IF($H1076="","",INDEX(DECKS!$B$2:$B$1201,$H1076))</f>
        <v/>
      </c>
      <c r="D1076" s="11" t="str">
        <f aca="false">IF($H1076="","",INDEX(DECKS!$C$2:$C$1201,$H1076))</f>
        <v/>
      </c>
      <c r="E1076" s="16" t="str">
        <f aca="false">IF($H1076="","",INDEX(DECKS!$D$2:$D$1201,$H1076))</f>
        <v/>
      </c>
      <c r="F1076" s="16" t="str">
        <f aca="false">IF($H1076="","",INDEX(DECKS!$E$2:$E$1201,$H1076))</f>
        <v/>
      </c>
      <c r="G1076" s="21" t="str">
        <f aca="false">IF($H1076="","",INDEX(DECKS!$F$2:$F$1201,$H1076))</f>
        <v/>
      </c>
      <c r="H1076" s="11" t="str">
        <f aca="false">IFERROR(MATCH(ROW()-1,DECKS!$O$2:$O$1201,0),"")</f>
        <v/>
      </c>
      <c r="I1076" s="11" t="str">
        <f aca="false">IF(C1076="","",G1076&amp;" "&amp;D1076&amp;" ("&amp;C1076&amp;")")</f>
        <v/>
      </c>
    </row>
    <row r="1077" customFormat="false" ht="15" hidden="false" customHeight="false" outlineLevel="0" collapsed="false">
      <c r="A1077" s="16"/>
      <c r="B1077" s="11" t="str">
        <f aca="false">IF($H1077="","",INDEX(DECKS!$A$2:$A$1201,$H1077))</f>
        <v/>
      </c>
      <c r="C1077" s="11" t="str">
        <f aca="false">IF($H1077="","",INDEX(DECKS!$B$2:$B$1201,$H1077))</f>
        <v/>
      </c>
      <c r="D1077" s="11" t="str">
        <f aca="false">IF($H1077="","",INDEX(DECKS!$C$2:$C$1201,$H1077))</f>
        <v/>
      </c>
      <c r="E1077" s="16" t="str">
        <f aca="false">IF($H1077="","",INDEX(DECKS!$D$2:$D$1201,$H1077))</f>
        <v/>
      </c>
      <c r="F1077" s="16" t="str">
        <f aca="false">IF($H1077="","",INDEX(DECKS!$E$2:$E$1201,$H1077))</f>
        <v/>
      </c>
      <c r="G1077" s="21" t="str">
        <f aca="false">IF($H1077="","",INDEX(DECKS!$F$2:$F$1201,$H1077))</f>
        <v/>
      </c>
      <c r="H1077" s="11" t="str">
        <f aca="false">IFERROR(MATCH(ROW()-1,DECKS!$O$2:$O$1201,0),"")</f>
        <v/>
      </c>
      <c r="I1077" s="11" t="str">
        <f aca="false">IF(C1077="","",G1077&amp;" "&amp;D1077&amp;" ("&amp;C1077&amp;")")</f>
        <v/>
      </c>
    </row>
    <row r="1078" customFormat="false" ht="15" hidden="false" customHeight="false" outlineLevel="0" collapsed="false">
      <c r="A1078" s="16"/>
      <c r="B1078" s="11" t="str">
        <f aca="false">IF($H1078="","",INDEX(DECKS!$A$2:$A$1201,$H1078))</f>
        <v/>
      </c>
      <c r="C1078" s="11" t="str">
        <f aca="false">IF($H1078="","",INDEX(DECKS!$B$2:$B$1201,$H1078))</f>
        <v/>
      </c>
      <c r="D1078" s="11" t="str">
        <f aca="false">IF($H1078="","",INDEX(DECKS!$C$2:$C$1201,$H1078))</f>
        <v/>
      </c>
      <c r="E1078" s="16" t="str">
        <f aca="false">IF($H1078="","",INDEX(DECKS!$D$2:$D$1201,$H1078))</f>
        <v/>
      </c>
      <c r="F1078" s="16" t="str">
        <f aca="false">IF($H1078="","",INDEX(DECKS!$E$2:$E$1201,$H1078))</f>
        <v/>
      </c>
      <c r="G1078" s="21" t="str">
        <f aca="false">IF($H1078="","",INDEX(DECKS!$F$2:$F$1201,$H1078))</f>
        <v/>
      </c>
      <c r="H1078" s="11" t="str">
        <f aca="false">IFERROR(MATCH(ROW()-1,DECKS!$O$2:$O$1201,0),"")</f>
        <v/>
      </c>
      <c r="I1078" s="11" t="str">
        <f aca="false">IF(C1078="","",G1078&amp;" "&amp;D1078&amp;" ("&amp;C1078&amp;")")</f>
        <v/>
      </c>
    </row>
    <row r="1079" customFormat="false" ht="15" hidden="false" customHeight="false" outlineLevel="0" collapsed="false">
      <c r="A1079" s="16"/>
      <c r="B1079" s="11" t="str">
        <f aca="false">IF($H1079="","",INDEX(DECKS!$A$2:$A$1201,$H1079))</f>
        <v/>
      </c>
      <c r="C1079" s="11" t="str">
        <f aca="false">IF($H1079="","",INDEX(DECKS!$B$2:$B$1201,$H1079))</f>
        <v/>
      </c>
      <c r="D1079" s="11" t="str">
        <f aca="false">IF($H1079="","",INDEX(DECKS!$C$2:$C$1201,$H1079))</f>
        <v/>
      </c>
      <c r="E1079" s="16" t="str">
        <f aca="false">IF($H1079="","",INDEX(DECKS!$D$2:$D$1201,$H1079))</f>
        <v/>
      </c>
      <c r="F1079" s="16" t="str">
        <f aca="false">IF($H1079="","",INDEX(DECKS!$E$2:$E$1201,$H1079))</f>
        <v/>
      </c>
      <c r="G1079" s="21" t="str">
        <f aca="false">IF($H1079="","",INDEX(DECKS!$F$2:$F$1201,$H1079))</f>
        <v/>
      </c>
      <c r="H1079" s="11" t="str">
        <f aca="false">IFERROR(MATCH(ROW()-1,DECKS!$O$2:$O$1201,0),"")</f>
        <v/>
      </c>
      <c r="I1079" s="11" t="str">
        <f aca="false">IF(C1079="","",G1079&amp;" "&amp;D1079&amp;" ("&amp;C1079&amp;")")</f>
        <v/>
      </c>
    </row>
    <row r="1080" customFormat="false" ht="15" hidden="false" customHeight="false" outlineLevel="0" collapsed="false">
      <c r="A1080" s="16"/>
      <c r="B1080" s="11" t="str">
        <f aca="false">IF($H1080="","",INDEX(DECKS!$A$2:$A$1201,$H1080))</f>
        <v/>
      </c>
      <c r="C1080" s="11" t="str">
        <f aca="false">IF($H1080="","",INDEX(DECKS!$B$2:$B$1201,$H1080))</f>
        <v/>
      </c>
      <c r="D1080" s="11" t="str">
        <f aca="false">IF($H1080="","",INDEX(DECKS!$C$2:$C$1201,$H1080))</f>
        <v/>
      </c>
      <c r="E1080" s="16" t="str">
        <f aca="false">IF($H1080="","",INDEX(DECKS!$D$2:$D$1201,$H1080))</f>
        <v/>
      </c>
      <c r="F1080" s="16" t="str">
        <f aca="false">IF($H1080="","",INDEX(DECKS!$E$2:$E$1201,$H1080))</f>
        <v/>
      </c>
      <c r="G1080" s="21" t="str">
        <f aca="false">IF($H1080="","",INDEX(DECKS!$F$2:$F$1201,$H1080))</f>
        <v/>
      </c>
      <c r="H1080" s="11" t="str">
        <f aca="false">IFERROR(MATCH(ROW()-1,DECKS!$O$2:$O$1201,0),"")</f>
        <v/>
      </c>
      <c r="I1080" s="11" t="str">
        <f aca="false">IF(C1080="","",G1080&amp;" "&amp;D1080&amp;" ("&amp;C1080&amp;")")</f>
        <v/>
      </c>
    </row>
    <row r="1081" customFormat="false" ht="15" hidden="false" customHeight="false" outlineLevel="0" collapsed="false">
      <c r="A1081" s="16"/>
      <c r="B1081" s="11" t="str">
        <f aca="false">IF($H1081="","",INDEX(DECKS!$A$2:$A$1201,$H1081))</f>
        <v/>
      </c>
      <c r="C1081" s="11" t="str">
        <f aca="false">IF($H1081="","",INDEX(DECKS!$B$2:$B$1201,$H1081))</f>
        <v/>
      </c>
      <c r="D1081" s="11" t="str">
        <f aca="false">IF($H1081="","",INDEX(DECKS!$C$2:$C$1201,$H1081))</f>
        <v/>
      </c>
      <c r="E1081" s="16" t="str">
        <f aca="false">IF($H1081="","",INDEX(DECKS!$D$2:$D$1201,$H1081))</f>
        <v/>
      </c>
      <c r="F1081" s="16" t="str">
        <f aca="false">IF($H1081="","",INDEX(DECKS!$E$2:$E$1201,$H1081))</f>
        <v/>
      </c>
      <c r="G1081" s="21" t="str">
        <f aca="false">IF($H1081="","",INDEX(DECKS!$F$2:$F$1201,$H1081))</f>
        <v/>
      </c>
      <c r="H1081" s="11" t="str">
        <f aca="false">IFERROR(MATCH(ROW()-1,DECKS!$O$2:$O$1201,0),"")</f>
        <v/>
      </c>
      <c r="I1081" s="11" t="str">
        <f aca="false">IF(C1081="","",G1081&amp;" "&amp;D1081&amp;" ("&amp;C1081&amp;")")</f>
        <v/>
      </c>
    </row>
    <row r="1082" customFormat="false" ht="15" hidden="false" customHeight="false" outlineLevel="0" collapsed="false">
      <c r="A1082" s="16"/>
      <c r="B1082" s="11" t="str">
        <f aca="false">IF($H1082="","",INDEX(DECKS!$A$2:$A$1201,$H1082))</f>
        <v/>
      </c>
      <c r="C1082" s="11" t="str">
        <f aca="false">IF($H1082="","",INDEX(DECKS!$B$2:$B$1201,$H1082))</f>
        <v/>
      </c>
      <c r="D1082" s="11" t="str">
        <f aca="false">IF($H1082="","",INDEX(DECKS!$C$2:$C$1201,$H1082))</f>
        <v/>
      </c>
      <c r="E1082" s="16" t="str">
        <f aca="false">IF($H1082="","",INDEX(DECKS!$D$2:$D$1201,$H1082))</f>
        <v/>
      </c>
      <c r="F1082" s="16" t="str">
        <f aca="false">IF($H1082="","",INDEX(DECKS!$E$2:$E$1201,$H1082))</f>
        <v/>
      </c>
      <c r="G1082" s="21" t="str">
        <f aca="false">IF($H1082="","",INDEX(DECKS!$F$2:$F$1201,$H1082))</f>
        <v/>
      </c>
      <c r="H1082" s="11" t="str">
        <f aca="false">IFERROR(MATCH(ROW()-1,DECKS!$O$2:$O$1201,0),"")</f>
        <v/>
      </c>
      <c r="I1082" s="11" t="str">
        <f aca="false">IF(C1082="","",G1082&amp;" "&amp;D1082&amp;" ("&amp;C1082&amp;")")</f>
        <v/>
      </c>
    </row>
    <row r="1083" customFormat="false" ht="15" hidden="false" customHeight="false" outlineLevel="0" collapsed="false">
      <c r="A1083" s="16"/>
      <c r="B1083" s="11" t="str">
        <f aca="false">IF($H1083="","",INDEX(DECKS!$A$2:$A$1201,$H1083))</f>
        <v/>
      </c>
      <c r="C1083" s="11" t="str">
        <f aca="false">IF($H1083="","",INDEX(DECKS!$B$2:$B$1201,$H1083))</f>
        <v/>
      </c>
      <c r="D1083" s="11" t="str">
        <f aca="false">IF($H1083="","",INDEX(DECKS!$C$2:$C$1201,$H1083))</f>
        <v/>
      </c>
      <c r="E1083" s="16" t="str">
        <f aca="false">IF($H1083="","",INDEX(DECKS!$D$2:$D$1201,$H1083))</f>
        <v/>
      </c>
      <c r="F1083" s="16" t="str">
        <f aca="false">IF($H1083="","",INDEX(DECKS!$E$2:$E$1201,$H1083))</f>
        <v/>
      </c>
      <c r="G1083" s="21" t="str">
        <f aca="false">IF($H1083="","",INDEX(DECKS!$F$2:$F$1201,$H1083))</f>
        <v/>
      </c>
      <c r="H1083" s="11" t="str">
        <f aca="false">IFERROR(MATCH(ROW()-1,DECKS!$O$2:$O$1201,0),"")</f>
        <v/>
      </c>
      <c r="I1083" s="11" t="str">
        <f aca="false">IF(C1083="","",G1083&amp;" "&amp;D1083&amp;" ("&amp;C1083&amp;")")</f>
        <v/>
      </c>
    </row>
    <row r="1084" customFormat="false" ht="15" hidden="false" customHeight="false" outlineLevel="0" collapsed="false">
      <c r="A1084" s="16"/>
      <c r="B1084" s="11" t="str">
        <f aca="false">IF($H1084="","",INDEX(DECKS!$A$2:$A$1201,$H1084))</f>
        <v/>
      </c>
      <c r="C1084" s="11" t="str">
        <f aca="false">IF($H1084="","",INDEX(DECKS!$B$2:$B$1201,$H1084))</f>
        <v/>
      </c>
      <c r="D1084" s="11" t="str">
        <f aca="false">IF($H1084="","",INDEX(DECKS!$C$2:$C$1201,$H1084))</f>
        <v/>
      </c>
      <c r="E1084" s="16" t="str">
        <f aca="false">IF($H1084="","",INDEX(DECKS!$D$2:$D$1201,$H1084))</f>
        <v/>
      </c>
      <c r="F1084" s="16" t="str">
        <f aca="false">IF($H1084="","",INDEX(DECKS!$E$2:$E$1201,$H1084))</f>
        <v/>
      </c>
      <c r="G1084" s="21" t="str">
        <f aca="false">IF($H1084="","",INDEX(DECKS!$F$2:$F$1201,$H1084))</f>
        <v/>
      </c>
      <c r="H1084" s="11" t="str">
        <f aca="false">IFERROR(MATCH(ROW()-1,DECKS!$O$2:$O$1201,0),"")</f>
        <v/>
      </c>
      <c r="I1084" s="11" t="str">
        <f aca="false">IF(C1084="","",G1084&amp;" "&amp;D1084&amp;" ("&amp;C1084&amp;")")</f>
        <v/>
      </c>
    </row>
    <row r="1085" customFormat="false" ht="15" hidden="false" customHeight="false" outlineLevel="0" collapsed="false">
      <c r="A1085" s="16"/>
      <c r="B1085" s="11" t="str">
        <f aca="false">IF($H1085="","",INDEX(DECKS!$A$2:$A$1201,$H1085))</f>
        <v/>
      </c>
      <c r="C1085" s="11" t="str">
        <f aca="false">IF($H1085="","",INDEX(DECKS!$B$2:$B$1201,$H1085))</f>
        <v/>
      </c>
      <c r="D1085" s="11" t="str">
        <f aca="false">IF($H1085="","",INDEX(DECKS!$C$2:$C$1201,$H1085))</f>
        <v/>
      </c>
      <c r="E1085" s="16" t="str">
        <f aca="false">IF($H1085="","",INDEX(DECKS!$D$2:$D$1201,$H1085))</f>
        <v/>
      </c>
      <c r="F1085" s="16" t="str">
        <f aca="false">IF($H1085="","",INDEX(DECKS!$E$2:$E$1201,$H1085))</f>
        <v/>
      </c>
      <c r="G1085" s="21" t="str">
        <f aca="false">IF($H1085="","",INDEX(DECKS!$F$2:$F$1201,$H1085))</f>
        <v/>
      </c>
      <c r="H1085" s="11" t="str">
        <f aca="false">IFERROR(MATCH(ROW()-1,DECKS!$O$2:$O$1201,0),"")</f>
        <v/>
      </c>
      <c r="I1085" s="11" t="str">
        <f aca="false">IF(C1085="","",G1085&amp;" "&amp;D1085&amp;" ("&amp;C1085&amp;")")</f>
        <v/>
      </c>
    </row>
    <row r="1086" customFormat="false" ht="15" hidden="false" customHeight="false" outlineLevel="0" collapsed="false">
      <c r="A1086" s="16"/>
      <c r="B1086" s="11" t="str">
        <f aca="false">IF($H1086="","",INDEX(DECKS!$A$2:$A$1201,$H1086))</f>
        <v/>
      </c>
      <c r="C1086" s="11" t="str">
        <f aca="false">IF($H1086="","",INDEX(DECKS!$B$2:$B$1201,$H1086))</f>
        <v/>
      </c>
      <c r="D1086" s="11" t="str">
        <f aca="false">IF($H1086="","",INDEX(DECKS!$C$2:$C$1201,$H1086))</f>
        <v/>
      </c>
      <c r="E1086" s="16" t="str">
        <f aca="false">IF($H1086="","",INDEX(DECKS!$D$2:$D$1201,$H1086))</f>
        <v/>
      </c>
      <c r="F1086" s="16" t="str">
        <f aca="false">IF($H1086="","",INDEX(DECKS!$E$2:$E$1201,$H1086))</f>
        <v/>
      </c>
      <c r="G1086" s="21" t="str">
        <f aca="false">IF($H1086="","",INDEX(DECKS!$F$2:$F$1201,$H1086))</f>
        <v/>
      </c>
      <c r="H1086" s="11" t="str">
        <f aca="false">IFERROR(MATCH(ROW()-1,DECKS!$O$2:$O$1201,0),"")</f>
        <v/>
      </c>
      <c r="I1086" s="11" t="str">
        <f aca="false">IF(C1086="","",G1086&amp;" "&amp;D1086&amp;" ("&amp;C1086&amp;")")</f>
        <v/>
      </c>
    </row>
    <row r="1087" customFormat="false" ht="15" hidden="false" customHeight="false" outlineLevel="0" collapsed="false">
      <c r="A1087" s="16"/>
      <c r="B1087" s="11" t="str">
        <f aca="false">IF($H1087="","",INDEX(DECKS!$A$2:$A$1201,$H1087))</f>
        <v/>
      </c>
      <c r="C1087" s="11" t="str">
        <f aca="false">IF($H1087="","",INDEX(DECKS!$B$2:$B$1201,$H1087))</f>
        <v/>
      </c>
      <c r="D1087" s="11" t="str">
        <f aca="false">IF($H1087="","",INDEX(DECKS!$C$2:$C$1201,$H1087))</f>
        <v/>
      </c>
      <c r="E1087" s="16" t="str">
        <f aca="false">IF($H1087="","",INDEX(DECKS!$D$2:$D$1201,$H1087))</f>
        <v/>
      </c>
      <c r="F1087" s="16" t="str">
        <f aca="false">IF($H1087="","",INDEX(DECKS!$E$2:$E$1201,$H1087))</f>
        <v/>
      </c>
      <c r="G1087" s="21" t="str">
        <f aca="false">IF($H1087="","",INDEX(DECKS!$F$2:$F$1201,$H1087))</f>
        <v/>
      </c>
      <c r="H1087" s="11" t="str">
        <f aca="false">IFERROR(MATCH(ROW()-1,DECKS!$O$2:$O$1201,0),"")</f>
        <v/>
      </c>
      <c r="I1087" s="11" t="str">
        <f aca="false">IF(C1087="","",G1087&amp;" "&amp;D1087&amp;" ("&amp;C1087&amp;")")</f>
        <v/>
      </c>
    </row>
    <row r="1088" customFormat="false" ht="15" hidden="false" customHeight="false" outlineLevel="0" collapsed="false">
      <c r="A1088" s="16"/>
      <c r="B1088" s="11" t="str">
        <f aca="false">IF($H1088="","",INDEX(DECKS!$A$2:$A$1201,$H1088))</f>
        <v/>
      </c>
      <c r="C1088" s="11" t="str">
        <f aca="false">IF($H1088="","",INDEX(DECKS!$B$2:$B$1201,$H1088))</f>
        <v/>
      </c>
      <c r="D1088" s="11" t="str">
        <f aca="false">IF($H1088="","",INDEX(DECKS!$C$2:$C$1201,$H1088))</f>
        <v/>
      </c>
      <c r="E1088" s="16" t="str">
        <f aca="false">IF($H1088="","",INDEX(DECKS!$D$2:$D$1201,$H1088))</f>
        <v/>
      </c>
      <c r="F1088" s="16" t="str">
        <f aca="false">IF($H1088="","",INDEX(DECKS!$E$2:$E$1201,$H1088))</f>
        <v/>
      </c>
      <c r="G1088" s="21" t="str">
        <f aca="false">IF($H1088="","",INDEX(DECKS!$F$2:$F$1201,$H1088))</f>
        <v/>
      </c>
      <c r="H1088" s="11" t="str">
        <f aca="false">IFERROR(MATCH(ROW()-1,DECKS!$O$2:$O$1201,0),"")</f>
        <v/>
      </c>
      <c r="I1088" s="11" t="str">
        <f aca="false">IF(C1088="","",G1088&amp;" "&amp;D1088&amp;" ("&amp;C1088&amp;")")</f>
        <v/>
      </c>
    </row>
    <row r="1089" customFormat="false" ht="15" hidden="false" customHeight="false" outlineLevel="0" collapsed="false">
      <c r="A1089" s="16"/>
      <c r="B1089" s="11" t="str">
        <f aca="false">IF($H1089="","",INDEX(DECKS!$A$2:$A$1201,$H1089))</f>
        <v/>
      </c>
      <c r="C1089" s="11" t="str">
        <f aca="false">IF($H1089="","",INDEX(DECKS!$B$2:$B$1201,$H1089))</f>
        <v/>
      </c>
      <c r="D1089" s="11" t="str">
        <f aca="false">IF($H1089="","",INDEX(DECKS!$C$2:$C$1201,$H1089))</f>
        <v/>
      </c>
      <c r="E1089" s="16" t="str">
        <f aca="false">IF($H1089="","",INDEX(DECKS!$D$2:$D$1201,$H1089))</f>
        <v/>
      </c>
      <c r="F1089" s="16" t="str">
        <f aca="false">IF($H1089="","",INDEX(DECKS!$E$2:$E$1201,$H1089))</f>
        <v/>
      </c>
      <c r="G1089" s="21" t="str">
        <f aca="false">IF($H1089="","",INDEX(DECKS!$F$2:$F$1201,$H1089))</f>
        <v/>
      </c>
      <c r="H1089" s="11" t="str">
        <f aca="false">IFERROR(MATCH(ROW()-1,DECKS!$O$2:$O$1201,0),"")</f>
        <v/>
      </c>
      <c r="I1089" s="11" t="str">
        <f aca="false">IF(C1089="","",G1089&amp;" "&amp;D1089&amp;" ("&amp;C1089&amp;")")</f>
        <v/>
      </c>
    </row>
    <row r="1090" customFormat="false" ht="15" hidden="false" customHeight="false" outlineLevel="0" collapsed="false">
      <c r="A1090" s="16"/>
      <c r="B1090" s="11" t="str">
        <f aca="false">IF($H1090="","",INDEX(DECKS!$A$2:$A$1201,$H1090))</f>
        <v/>
      </c>
      <c r="C1090" s="11" t="str">
        <f aca="false">IF($H1090="","",INDEX(DECKS!$B$2:$B$1201,$H1090))</f>
        <v/>
      </c>
      <c r="D1090" s="11" t="str">
        <f aca="false">IF($H1090="","",INDEX(DECKS!$C$2:$C$1201,$H1090))</f>
        <v/>
      </c>
      <c r="E1090" s="16" t="str">
        <f aca="false">IF($H1090="","",INDEX(DECKS!$D$2:$D$1201,$H1090))</f>
        <v/>
      </c>
      <c r="F1090" s="16" t="str">
        <f aca="false">IF($H1090="","",INDEX(DECKS!$E$2:$E$1201,$H1090))</f>
        <v/>
      </c>
      <c r="G1090" s="21" t="str">
        <f aca="false">IF($H1090="","",INDEX(DECKS!$F$2:$F$1201,$H1090))</f>
        <v/>
      </c>
      <c r="H1090" s="11" t="str">
        <f aca="false">IFERROR(MATCH(ROW()-1,DECKS!$O$2:$O$1201,0),"")</f>
        <v/>
      </c>
      <c r="I1090" s="11" t="str">
        <f aca="false">IF(C1090="","",G1090&amp;" "&amp;D1090&amp;" ("&amp;C1090&amp;")")</f>
        <v/>
      </c>
    </row>
    <row r="1091" customFormat="false" ht="15" hidden="false" customHeight="false" outlineLevel="0" collapsed="false">
      <c r="A1091" s="16"/>
      <c r="B1091" s="11" t="str">
        <f aca="false">IF($H1091="","",INDEX(DECKS!$A$2:$A$1201,$H1091))</f>
        <v/>
      </c>
      <c r="C1091" s="11" t="str">
        <f aca="false">IF($H1091="","",INDEX(DECKS!$B$2:$B$1201,$H1091))</f>
        <v/>
      </c>
      <c r="D1091" s="11" t="str">
        <f aca="false">IF($H1091="","",INDEX(DECKS!$C$2:$C$1201,$H1091))</f>
        <v/>
      </c>
      <c r="E1091" s="16" t="str">
        <f aca="false">IF($H1091="","",INDEX(DECKS!$D$2:$D$1201,$H1091))</f>
        <v/>
      </c>
      <c r="F1091" s="16" t="str">
        <f aca="false">IF($H1091="","",INDEX(DECKS!$E$2:$E$1201,$H1091))</f>
        <v/>
      </c>
      <c r="G1091" s="21" t="str">
        <f aca="false">IF($H1091="","",INDEX(DECKS!$F$2:$F$1201,$H1091))</f>
        <v/>
      </c>
      <c r="H1091" s="11" t="str">
        <f aca="false">IFERROR(MATCH(ROW()-1,DECKS!$O$2:$O$1201,0),"")</f>
        <v/>
      </c>
      <c r="I1091" s="11" t="str">
        <f aca="false">IF(C1091="","",G1091&amp;" "&amp;D1091&amp;" ("&amp;C1091&amp;")")</f>
        <v/>
      </c>
    </row>
    <row r="1092" customFormat="false" ht="15" hidden="false" customHeight="false" outlineLevel="0" collapsed="false">
      <c r="A1092" s="16"/>
      <c r="B1092" s="11" t="str">
        <f aca="false">IF($H1092="","",INDEX(DECKS!$A$2:$A$1201,$H1092))</f>
        <v/>
      </c>
      <c r="C1092" s="11" t="str">
        <f aca="false">IF($H1092="","",INDEX(DECKS!$B$2:$B$1201,$H1092))</f>
        <v/>
      </c>
      <c r="D1092" s="11" t="str">
        <f aca="false">IF($H1092="","",INDEX(DECKS!$C$2:$C$1201,$H1092))</f>
        <v/>
      </c>
      <c r="E1092" s="16" t="str">
        <f aca="false">IF($H1092="","",INDEX(DECKS!$D$2:$D$1201,$H1092))</f>
        <v/>
      </c>
      <c r="F1092" s="16" t="str">
        <f aca="false">IF($H1092="","",INDEX(DECKS!$E$2:$E$1201,$H1092))</f>
        <v/>
      </c>
      <c r="G1092" s="21" t="str">
        <f aca="false">IF($H1092="","",INDEX(DECKS!$F$2:$F$1201,$H1092))</f>
        <v/>
      </c>
      <c r="H1092" s="11" t="str">
        <f aca="false">IFERROR(MATCH(ROW()-1,DECKS!$O$2:$O$1201,0),"")</f>
        <v/>
      </c>
      <c r="I1092" s="11" t="str">
        <f aca="false">IF(C1092="","",G1092&amp;" "&amp;D1092&amp;" ("&amp;C1092&amp;")")</f>
        <v/>
      </c>
    </row>
    <row r="1093" customFormat="false" ht="15" hidden="false" customHeight="false" outlineLevel="0" collapsed="false">
      <c r="A1093" s="16"/>
      <c r="B1093" s="11" t="str">
        <f aca="false">IF($H1093="","",INDEX(DECKS!$A$2:$A$1201,$H1093))</f>
        <v/>
      </c>
      <c r="C1093" s="11" t="str">
        <f aca="false">IF($H1093="","",INDEX(DECKS!$B$2:$B$1201,$H1093))</f>
        <v/>
      </c>
      <c r="D1093" s="11" t="str">
        <f aca="false">IF($H1093="","",INDEX(DECKS!$C$2:$C$1201,$H1093))</f>
        <v/>
      </c>
      <c r="E1093" s="16" t="str">
        <f aca="false">IF($H1093="","",INDEX(DECKS!$D$2:$D$1201,$H1093))</f>
        <v/>
      </c>
      <c r="F1093" s="16" t="str">
        <f aca="false">IF($H1093="","",INDEX(DECKS!$E$2:$E$1201,$H1093))</f>
        <v/>
      </c>
      <c r="G1093" s="21" t="str">
        <f aca="false">IF($H1093="","",INDEX(DECKS!$F$2:$F$1201,$H1093))</f>
        <v/>
      </c>
      <c r="H1093" s="11" t="str">
        <f aca="false">IFERROR(MATCH(ROW()-1,DECKS!$O$2:$O$1201,0),"")</f>
        <v/>
      </c>
      <c r="I1093" s="11" t="str">
        <f aca="false">IF(C1093="","",G1093&amp;" "&amp;D1093&amp;" ("&amp;C1093&amp;")")</f>
        <v/>
      </c>
    </row>
    <row r="1094" customFormat="false" ht="15" hidden="false" customHeight="false" outlineLevel="0" collapsed="false">
      <c r="A1094" s="16"/>
      <c r="B1094" s="11" t="str">
        <f aca="false">IF($H1094="","",INDEX(DECKS!$A$2:$A$1201,$H1094))</f>
        <v/>
      </c>
      <c r="C1094" s="11" t="str">
        <f aca="false">IF($H1094="","",INDEX(DECKS!$B$2:$B$1201,$H1094))</f>
        <v/>
      </c>
      <c r="D1094" s="11" t="str">
        <f aca="false">IF($H1094="","",INDEX(DECKS!$C$2:$C$1201,$H1094))</f>
        <v/>
      </c>
      <c r="E1094" s="16" t="str">
        <f aca="false">IF($H1094="","",INDEX(DECKS!$D$2:$D$1201,$H1094))</f>
        <v/>
      </c>
      <c r="F1094" s="16" t="str">
        <f aca="false">IF($H1094="","",INDEX(DECKS!$E$2:$E$1201,$H1094))</f>
        <v/>
      </c>
      <c r="G1094" s="21" t="str">
        <f aca="false">IF($H1094="","",INDEX(DECKS!$F$2:$F$1201,$H1094))</f>
        <v/>
      </c>
      <c r="H1094" s="11" t="str">
        <f aca="false">IFERROR(MATCH(ROW()-1,DECKS!$O$2:$O$1201,0),"")</f>
        <v/>
      </c>
      <c r="I1094" s="11" t="str">
        <f aca="false">IF(C1094="","",G1094&amp;" "&amp;D1094&amp;" ("&amp;C1094&amp;")")</f>
        <v/>
      </c>
    </row>
    <row r="1095" customFormat="false" ht="15" hidden="false" customHeight="false" outlineLevel="0" collapsed="false">
      <c r="A1095" s="16"/>
      <c r="B1095" s="11" t="str">
        <f aca="false">IF($H1095="","",INDEX(DECKS!$A$2:$A$1201,$H1095))</f>
        <v/>
      </c>
      <c r="C1095" s="11" t="str">
        <f aca="false">IF($H1095="","",INDEX(DECKS!$B$2:$B$1201,$H1095))</f>
        <v/>
      </c>
      <c r="D1095" s="11" t="str">
        <f aca="false">IF($H1095="","",INDEX(DECKS!$C$2:$C$1201,$H1095))</f>
        <v/>
      </c>
      <c r="E1095" s="16" t="str">
        <f aca="false">IF($H1095="","",INDEX(DECKS!$D$2:$D$1201,$H1095))</f>
        <v/>
      </c>
      <c r="F1095" s="16" t="str">
        <f aca="false">IF($H1095="","",INDEX(DECKS!$E$2:$E$1201,$H1095))</f>
        <v/>
      </c>
      <c r="G1095" s="21" t="str">
        <f aca="false">IF($H1095="","",INDEX(DECKS!$F$2:$F$1201,$H1095))</f>
        <v/>
      </c>
      <c r="H1095" s="11" t="str">
        <f aca="false">IFERROR(MATCH(ROW()-1,DECKS!$O$2:$O$1201,0),"")</f>
        <v/>
      </c>
      <c r="I1095" s="11" t="str">
        <f aca="false">IF(C1095="","",G1095&amp;" "&amp;D1095&amp;" ("&amp;C1095&amp;")")</f>
        <v/>
      </c>
    </row>
    <row r="1096" customFormat="false" ht="15" hidden="false" customHeight="false" outlineLevel="0" collapsed="false">
      <c r="A1096" s="16"/>
      <c r="B1096" s="11" t="str">
        <f aca="false">IF($H1096="","",INDEX(DECKS!$A$2:$A$1201,$H1096))</f>
        <v/>
      </c>
      <c r="C1096" s="11" t="str">
        <f aca="false">IF($H1096="","",INDEX(DECKS!$B$2:$B$1201,$H1096))</f>
        <v/>
      </c>
      <c r="D1096" s="11" t="str">
        <f aca="false">IF($H1096="","",INDEX(DECKS!$C$2:$C$1201,$H1096))</f>
        <v/>
      </c>
      <c r="E1096" s="16" t="str">
        <f aca="false">IF($H1096="","",INDEX(DECKS!$D$2:$D$1201,$H1096))</f>
        <v/>
      </c>
      <c r="F1096" s="16" t="str">
        <f aca="false">IF($H1096="","",INDEX(DECKS!$E$2:$E$1201,$H1096))</f>
        <v/>
      </c>
      <c r="G1096" s="21" t="str">
        <f aca="false">IF($H1096="","",INDEX(DECKS!$F$2:$F$1201,$H1096))</f>
        <v/>
      </c>
      <c r="H1096" s="11" t="str">
        <f aca="false">IFERROR(MATCH(ROW()-1,DECKS!$O$2:$O$1201,0),"")</f>
        <v/>
      </c>
      <c r="I1096" s="11" t="str">
        <f aca="false">IF(C1096="","",G1096&amp;" "&amp;D1096&amp;" ("&amp;C1096&amp;")")</f>
        <v/>
      </c>
    </row>
    <row r="1097" customFormat="false" ht="15" hidden="false" customHeight="false" outlineLevel="0" collapsed="false">
      <c r="A1097" s="16"/>
      <c r="B1097" s="11" t="str">
        <f aca="false">IF($H1097="","",INDEX(DECKS!$A$2:$A$1201,$H1097))</f>
        <v/>
      </c>
      <c r="C1097" s="11" t="str">
        <f aca="false">IF($H1097="","",INDEX(DECKS!$B$2:$B$1201,$H1097))</f>
        <v/>
      </c>
      <c r="D1097" s="11" t="str">
        <f aca="false">IF($H1097="","",INDEX(DECKS!$C$2:$C$1201,$H1097))</f>
        <v/>
      </c>
      <c r="E1097" s="16" t="str">
        <f aca="false">IF($H1097="","",INDEX(DECKS!$D$2:$D$1201,$H1097))</f>
        <v/>
      </c>
      <c r="F1097" s="16" t="str">
        <f aca="false">IF($H1097="","",INDEX(DECKS!$E$2:$E$1201,$H1097))</f>
        <v/>
      </c>
      <c r="G1097" s="21" t="str">
        <f aca="false">IF($H1097="","",INDEX(DECKS!$F$2:$F$1201,$H1097))</f>
        <v/>
      </c>
      <c r="H1097" s="11" t="str">
        <f aca="false">IFERROR(MATCH(ROW()-1,DECKS!$O$2:$O$1201,0),"")</f>
        <v/>
      </c>
      <c r="I1097" s="11" t="str">
        <f aca="false">IF(C1097="","",G1097&amp;" "&amp;D1097&amp;" ("&amp;C1097&amp;")")</f>
        <v/>
      </c>
    </row>
    <row r="1098" customFormat="false" ht="15" hidden="false" customHeight="false" outlineLevel="0" collapsed="false">
      <c r="A1098" s="16"/>
      <c r="B1098" s="11" t="str">
        <f aca="false">IF($H1098="","",INDEX(DECKS!$A$2:$A$1201,$H1098))</f>
        <v/>
      </c>
      <c r="C1098" s="11" t="str">
        <f aca="false">IF($H1098="","",INDEX(DECKS!$B$2:$B$1201,$H1098))</f>
        <v/>
      </c>
      <c r="D1098" s="11" t="str">
        <f aca="false">IF($H1098="","",INDEX(DECKS!$C$2:$C$1201,$H1098))</f>
        <v/>
      </c>
      <c r="E1098" s="16" t="str">
        <f aca="false">IF($H1098="","",INDEX(DECKS!$D$2:$D$1201,$H1098))</f>
        <v/>
      </c>
      <c r="F1098" s="16" t="str">
        <f aca="false">IF($H1098="","",INDEX(DECKS!$E$2:$E$1201,$H1098))</f>
        <v/>
      </c>
      <c r="G1098" s="21" t="str">
        <f aca="false">IF($H1098="","",INDEX(DECKS!$F$2:$F$1201,$H1098))</f>
        <v/>
      </c>
      <c r="H1098" s="11" t="str">
        <f aca="false">IFERROR(MATCH(ROW()-1,DECKS!$O$2:$O$1201,0),"")</f>
        <v/>
      </c>
      <c r="I1098" s="11" t="str">
        <f aca="false">IF(C1098="","",G1098&amp;" "&amp;D1098&amp;" ("&amp;C1098&amp;")")</f>
        <v/>
      </c>
    </row>
    <row r="1099" customFormat="false" ht="15" hidden="false" customHeight="false" outlineLevel="0" collapsed="false">
      <c r="A1099" s="16"/>
      <c r="B1099" s="11" t="str">
        <f aca="false">IF($H1099="","",INDEX(DECKS!$A$2:$A$1201,$H1099))</f>
        <v/>
      </c>
      <c r="C1099" s="11" t="str">
        <f aca="false">IF($H1099="","",INDEX(DECKS!$B$2:$B$1201,$H1099))</f>
        <v/>
      </c>
      <c r="D1099" s="11" t="str">
        <f aca="false">IF($H1099="","",INDEX(DECKS!$C$2:$C$1201,$H1099))</f>
        <v/>
      </c>
      <c r="E1099" s="16" t="str">
        <f aca="false">IF($H1099="","",INDEX(DECKS!$D$2:$D$1201,$H1099))</f>
        <v/>
      </c>
      <c r="F1099" s="16" t="str">
        <f aca="false">IF($H1099="","",INDEX(DECKS!$E$2:$E$1201,$H1099))</f>
        <v/>
      </c>
      <c r="G1099" s="21" t="str">
        <f aca="false">IF($H1099="","",INDEX(DECKS!$F$2:$F$1201,$H1099))</f>
        <v/>
      </c>
      <c r="H1099" s="11" t="str">
        <f aca="false">IFERROR(MATCH(ROW()-1,DECKS!$O$2:$O$1201,0),"")</f>
        <v/>
      </c>
      <c r="I1099" s="11" t="str">
        <f aca="false">IF(C1099="","",G1099&amp;" "&amp;D1099&amp;" ("&amp;C1099&amp;")")</f>
        <v/>
      </c>
    </row>
    <row r="1100" customFormat="false" ht="15" hidden="false" customHeight="false" outlineLevel="0" collapsed="false">
      <c r="A1100" s="16"/>
      <c r="B1100" s="11" t="str">
        <f aca="false">IF($H1100="","",INDEX(DECKS!$A$2:$A$1201,$H1100))</f>
        <v/>
      </c>
      <c r="C1100" s="11" t="str">
        <f aca="false">IF($H1100="","",INDEX(DECKS!$B$2:$B$1201,$H1100))</f>
        <v/>
      </c>
      <c r="D1100" s="11" t="str">
        <f aca="false">IF($H1100="","",INDEX(DECKS!$C$2:$C$1201,$H1100))</f>
        <v/>
      </c>
      <c r="E1100" s="16" t="str">
        <f aca="false">IF($H1100="","",INDEX(DECKS!$D$2:$D$1201,$H1100))</f>
        <v/>
      </c>
      <c r="F1100" s="16" t="str">
        <f aca="false">IF($H1100="","",INDEX(DECKS!$E$2:$E$1201,$H1100))</f>
        <v/>
      </c>
      <c r="G1100" s="21" t="str">
        <f aca="false">IF($H1100="","",INDEX(DECKS!$F$2:$F$1201,$H1100))</f>
        <v/>
      </c>
      <c r="H1100" s="11" t="str">
        <f aca="false">IFERROR(MATCH(ROW()-1,DECKS!$O$2:$O$1201,0),"")</f>
        <v/>
      </c>
      <c r="I1100" s="11" t="str">
        <f aca="false">IF(C1100="","",G1100&amp;" "&amp;D1100&amp;" ("&amp;C1100&amp;")")</f>
        <v/>
      </c>
    </row>
    <row r="1101" customFormat="false" ht="15" hidden="false" customHeight="false" outlineLevel="0" collapsed="false">
      <c r="A1101" s="16"/>
      <c r="B1101" s="11" t="str">
        <f aca="false">IF($H1101="","",INDEX(DECKS!$A$2:$A$1201,$H1101))</f>
        <v/>
      </c>
      <c r="C1101" s="11" t="str">
        <f aca="false">IF($H1101="","",INDEX(DECKS!$B$2:$B$1201,$H1101))</f>
        <v/>
      </c>
      <c r="D1101" s="11" t="str">
        <f aca="false">IF($H1101="","",INDEX(DECKS!$C$2:$C$1201,$H1101))</f>
        <v/>
      </c>
      <c r="E1101" s="16" t="str">
        <f aca="false">IF($H1101="","",INDEX(DECKS!$D$2:$D$1201,$H1101))</f>
        <v/>
      </c>
      <c r="F1101" s="16" t="str">
        <f aca="false">IF($H1101="","",INDEX(DECKS!$E$2:$E$1201,$H1101))</f>
        <v/>
      </c>
      <c r="G1101" s="21" t="str">
        <f aca="false">IF($H1101="","",INDEX(DECKS!$F$2:$F$1201,$H1101))</f>
        <v/>
      </c>
      <c r="H1101" s="11" t="str">
        <f aca="false">IFERROR(MATCH(ROW()-1,DECKS!$O$2:$O$1201,0),"")</f>
        <v/>
      </c>
      <c r="I1101" s="11" t="str">
        <f aca="false">IF(C1101="","",G1101&amp;" "&amp;D1101&amp;" ("&amp;C1101&amp;")")</f>
        <v/>
      </c>
    </row>
    <row r="1102" customFormat="false" ht="15" hidden="false" customHeight="false" outlineLevel="0" collapsed="false">
      <c r="A1102" s="16"/>
      <c r="B1102" s="11" t="str">
        <f aca="false">IF($H1102="","",INDEX(DECKS!$A$2:$A$1201,$H1102))</f>
        <v/>
      </c>
      <c r="C1102" s="11" t="str">
        <f aca="false">IF($H1102="","",INDEX(DECKS!$B$2:$B$1201,$H1102))</f>
        <v/>
      </c>
      <c r="D1102" s="11" t="str">
        <f aca="false">IF($H1102="","",INDEX(DECKS!$C$2:$C$1201,$H1102))</f>
        <v/>
      </c>
      <c r="E1102" s="16" t="str">
        <f aca="false">IF($H1102="","",INDEX(DECKS!$D$2:$D$1201,$H1102))</f>
        <v/>
      </c>
      <c r="F1102" s="16" t="str">
        <f aca="false">IF($H1102="","",INDEX(DECKS!$E$2:$E$1201,$H1102))</f>
        <v/>
      </c>
      <c r="G1102" s="21" t="str">
        <f aca="false">IF($H1102="","",INDEX(DECKS!$F$2:$F$1201,$H1102))</f>
        <v/>
      </c>
      <c r="H1102" s="11" t="str">
        <f aca="false">IFERROR(MATCH(ROW()-1,DECKS!$O$2:$O$1201,0),"")</f>
        <v/>
      </c>
      <c r="I1102" s="11" t="str">
        <f aca="false">IF(C1102="","",G1102&amp;" "&amp;D1102&amp;" ("&amp;C1102&amp;")")</f>
        <v/>
      </c>
    </row>
    <row r="1103" customFormat="false" ht="15" hidden="false" customHeight="false" outlineLevel="0" collapsed="false">
      <c r="A1103" s="16"/>
      <c r="B1103" s="11" t="str">
        <f aca="false">IF($H1103="","",INDEX(DECKS!$A$2:$A$1201,$H1103))</f>
        <v/>
      </c>
      <c r="C1103" s="11" t="str">
        <f aca="false">IF($H1103="","",INDEX(DECKS!$B$2:$B$1201,$H1103))</f>
        <v/>
      </c>
      <c r="D1103" s="11" t="str">
        <f aca="false">IF($H1103="","",INDEX(DECKS!$C$2:$C$1201,$H1103))</f>
        <v/>
      </c>
      <c r="E1103" s="16" t="str">
        <f aca="false">IF($H1103="","",INDEX(DECKS!$D$2:$D$1201,$H1103))</f>
        <v/>
      </c>
      <c r="F1103" s="16" t="str">
        <f aca="false">IF($H1103="","",INDEX(DECKS!$E$2:$E$1201,$H1103))</f>
        <v/>
      </c>
      <c r="G1103" s="21" t="str">
        <f aca="false">IF($H1103="","",INDEX(DECKS!$F$2:$F$1201,$H1103))</f>
        <v/>
      </c>
      <c r="H1103" s="11" t="str">
        <f aca="false">IFERROR(MATCH(ROW()-1,DECKS!$O$2:$O$1201,0),"")</f>
        <v/>
      </c>
      <c r="I1103" s="11" t="str">
        <f aca="false">IF(C1103="","",G1103&amp;" "&amp;D1103&amp;" ("&amp;C1103&amp;")")</f>
        <v/>
      </c>
    </row>
    <row r="1104" customFormat="false" ht="15" hidden="false" customHeight="false" outlineLevel="0" collapsed="false">
      <c r="A1104" s="16"/>
      <c r="B1104" s="11" t="str">
        <f aca="false">IF($H1104="","",INDEX(DECKS!$A$2:$A$1201,$H1104))</f>
        <v/>
      </c>
      <c r="C1104" s="11" t="str">
        <f aca="false">IF($H1104="","",INDEX(DECKS!$B$2:$B$1201,$H1104))</f>
        <v/>
      </c>
      <c r="D1104" s="11" t="str">
        <f aca="false">IF($H1104="","",INDEX(DECKS!$C$2:$C$1201,$H1104))</f>
        <v/>
      </c>
      <c r="E1104" s="16" t="str">
        <f aca="false">IF($H1104="","",INDEX(DECKS!$D$2:$D$1201,$H1104))</f>
        <v/>
      </c>
      <c r="F1104" s="16" t="str">
        <f aca="false">IF($H1104="","",INDEX(DECKS!$E$2:$E$1201,$H1104))</f>
        <v/>
      </c>
      <c r="G1104" s="21" t="str">
        <f aca="false">IF($H1104="","",INDEX(DECKS!$F$2:$F$1201,$H1104))</f>
        <v/>
      </c>
      <c r="H1104" s="11" t="str">
        <f aca="false">IFERROR(MATCH(ROW()-1,DECKS!$O$2:$O$1201,0),"")</f>
        <v/>
      </c>
      <c r="I1104" s="11" t="str">
        <f aca="false">IF(C1104="","",G1104&amp;" "&amp;D1104&amp;" ("&amp;C1104&amp;")")</f>
        <v/>
      </c>
    </row>
    <row r="1105" customFormat="false" ht="15" hidden="false" customHeight="false" outlineLevel="0" collapsed="false">
      <c r="A1105" s="16"/>
      <c r="B1105" s="11" t="str">
        <f aca="false">IF($H1105="","",INDEX(DECKS!$A$2:$A$1201,$H1105))</f>
        <v/>
      </c>
      <c r="C1105" s="11" t="str">
        <f aca="false">IF($H1105="","",INDEX(DECKS!$B$2:$B$1201,$H1105))</f>
        <v/>
      </c>
      <c r="D1105" s="11" t="str">
        <f aca="false">IF($H1105="","",INDEX(DECKS!$C$2:$C$1201,$H1105))</f>
        <v/>
      </c>
      <c r="E1105" s="16" t="str">
        <f aca="false">IF($H1105="","",INDEX(DECKS!$D$2:$D$1201,$H1105))</f>
        <v/>
      </c>
      <c r="F1105" s="16" t="str">
        <f aca="false">IF($H1105="","",INDEX(DECKS!$E$2:$E$1201,$H1105))</f>
        <v/>
      </c>
      <c r="G1105" s="21" t="str">
        <f aca="false">IF($H1105="","",INDEX(DECKS!$F$2:$F$1201,$H1105))</f>
        <v/>
      </c>
      <c r="H1105" s="11" t="str">
        <f aca="false">IFERROR(MATCH(ROW()-1,DECKS!$O$2:$O$1201,0),"")</f>
        <v/>
      </c>
      <c r="I1105" s="11" t="str">
        <f aca="false">IF(C1105="","",G1105&amp;" "&amp;D1105&amp;" ("&amp;C1105&amp;")")</f>
        <v/>
      </c>
    </row>
    <row r="1106" customFormat="false" ht="15" hidden="false" customHeight="false" outlineLevel="0" collapsed="false">
      <c r="A1106" s="16"/>
      <c r="B1106" s="11" t="str">
        <f aca="false">IF($H1106="","",INDEX(DECKS!$A$2:$A$1201,$H1106))</f>
        <v/>
      </c>
      <c r="C1106" s="11" t="str">
        <f aca="false">IF($H1106="","",INDEX(DECKS!$B$2:$B$1201,$H1106))</f>
        <v/>
      </c>
      <c r="D1106" s="11" t="str">
        <f aca="false">IF($H1106="","",INDEX(DECKS!$C$2:$C$1201,$H1106))</f>
        <v/>
      </c>
      <c r="E1106" s="16" t="str">
        <f aca="false">IF($H1106="","",INDEX(DECKS!$D$2:$D$1201,$H1106))</f>
        <v/>
      </c>
      <c r="F1106" s="16" t="str">
        <f aca="false">IF($H1106="","",INDEX(DECKS!$E$2:$E$1201,$H1106))</f>
        <v/>
      </c>
      <c r="G1106" s="21" t="str">
        <f aca="false">IF($H1106="","",INDEX(DECKS!$F$2:$F$1201,$H1106))</f>
        <v/>
      </c>
      <c r="H1106" s="11" t="str">
        <f aca="false">IFERROR(MATCH(ROW()-1,DECKS!$O$2:$O$1201,0),"")</f>
        <v/>
      </c>
      <c r="I1106" s="11" t="str">
        <f aca="false">IF(C1106="","",G1106&amp;" "&amp;D1106&amp;" ("&amp;C1106&amp;")")</f>
        <v/>
      </c>
    </row>
    <row r="1107" customFormat="false" ht="15" hidden="false" customHeight="false" outlineLevel="0" collapsed="false">
      <c r="A1107" s="16"/>
      <c r="B1107" s="11" t="str">
        <f aca="false">IF($H1107="","",INDEX(DECKS!$A$2:$A$1201,$H1107))</f>
        <v/>
      </c>
      <c r="C1107" s="11" t="str">
        <f aca="false">IF($H1107="","",INDEX(DECKS!$B$2:$B$1201,$H1107))</f>
        <v/>
      </c>
      <c r="D1107" s="11" t="str">
        <f aca="false">IF($H1107="","",INDEX(DECKS!$C$2:$C$1201,$H1107))</f>
        <v/>
      </c>
      <c r="E1107" s="16" t="str">
        <f aca="false">IF($H1107="","",INDEX(DECKS!$D$2:$D$1201,$H1107))</f>
        <v/>
      </c>
      <c r="F1107" s="16" t="str">
        <f aca="false">IF($H1107="","",INDEX(DECKS!$E$2:$E$1201,$H1107))</f>
        <v/>
      </c>
      <c r="G1107" s="21" t="str">
        <f aca="false">IF($H1107="","",INDEX(DECKS!$F$2:$F$1201,$H1107))</f>
        <v/>
      </c>
      <c r="H1107" s="11" t="str">
        <f aca="false">IFERROR(MATCH(ROW()-1,DECKS!$O$2:$O$1201,0),"")</f>
        <v/>
      </c>
      <c r="I1107" s="11" t="str">
        <f aca="false">IF(C1107="","",G1107&amp;" "&amp;D1107&amp;" ("&amp;C1107&amp;")")</f>
        <v/>
      </c>
    </row>
    <row r="1108" customFormat="false" ht="15" hidden="false" customHeight="false" outlineLevel="0" collapsed="false">
      <c r="A1108" s="16"/>
      <c r="B1108" s="11" t="str">
        <f aca="false">IF($H1108="","",INDEX(DECKS!$A$2:$A$1201,$H1108))</f>
        <v/>
      </c>
      <c r="C1108" s="11" t="str">
        <f aca="false">IF($H1108="","",INDEX(DECKS!$B$2:$B$1201,$H1108))</f>
        <v/>
      </c>
      <c r="D1108" s="11" t="str">
        <f aca="false">IF($H1108="","",INDEX(DECKS!$C$2:$C$1201,$H1108))</f>
        <v/>
      </c>
      <c r="E1108" s="16" t="str">
        <f aca="false">IF($H1108="","",INDEX(DECKS!$D$2:$D$1201,$H1108))</f>
        <v/>
      </c>
      <c r="F1108" s="16" t="str">
        <f aca="false">IF($H1108="","",INDEX(DECKS!$E$2:$E$1201,$H1108))</f>
        <v/>
      </c>
      <c r="G1108" s="21" t="str">
        <f aca="false">IF($H1108="","",INDEX(DECKS!$F$2:$F$1201,$H1108))</f>
        <v/>
      </c>
      <c r="H1108" s="11" t="str">
        <f aca="false">IFERROR(MATCH(ROW()-1,DECKS!$O$2:$O$1201,0),"")</f>
        <v/>
      </c>
      <c r="I1108" s="11" t="str">
        <f aca="false">IF(C1108="","",G1108&amp;" "&amp;D1108&amp;" ("&amp;C1108&amp;")")</f>
        <v/>
      </c>
    </row>
    <row r="1109" customFormat="false" ht="15" hidden="false" customHeight="false" outlineLevel="0" collapsed="false">
      <c r="A1109" s="16"/>
      <c r="B1109" s="11" t="str">
        <f aca="false">IF($H1109="","",INDEX(DECKS!$A$2:$A$1201,$H1109))</f>
        <v/>
      </c>
      <c r="C1109" s="11" t="str">
        <f aca="false">IF($H1109="","",INDEX(DECKS!$B$2:$B$1201,$H1109))</f>
        <v/>
      </c>
      <c r="D1109" s="11" t="str">
        <f aca="false">IF($H1109="","",INDEX(DECKS!$C$2:$C$1201,$H1109))</f>
        <v/>
      </c>
      <c r="E1109" s="16" t="str">
        <f aca="false">IF($H1109="","",INDEX(DECKS!$D$2:$D$1201,$H1109))</f>
        <v/>
      </c>
      <c r="F1109" s="16" t="str">
        <f aca="false">IF($H1109="","",INDEX(DECKS!$E$2:$E$1201,$H1109))</f>
        <v/>
      </c>
      <c r="G1109" s="21" t="str">
        <f aca="false">IF($H1109="","",INDEX(DECKS!$F$2:$F$1201,$H1109))</f>
        <v/>
      </c>
      <c r="H1109" s="11" t="str">
        <f aca="false">IFERROR(MATCH(ROW()-1,DECKS!$O$2:$O$1201,0),"")</f>
        <v/>
      </c>
      <c r="I1109" s="11" t="str">
        <f aca="false">IF(C1109="","",G1109&amp;" "&amp;D1109&amp;" ("&amp;C1109&amp;")")</f>
        <v/>
      </c>
    </row>
    <row r="1110" customFormat="false" ht="15" hidden="false" customHeight="false" outlineLevel="0" collapsed="false">
      <c r="A1110" s="16"/>
      <c r="B1110" s="11" t="str">
        <f aca="false">IF($H1110="","",INDEX(DECKS!$A$2:$A$1201,$H1110))</f>
        <v/>
      </c>
      <c r="C1110" s="11" t="str">
        <f aca="false">IF($H1110="","",INDEX(DECKS!$B$2:$B$1201,$H1110))</f>
        <v/>
      </c>
      <c r="D1110" s="11" t="str">
        <f aca="false">IF($H1110="","",INDEX(DECKS!$C$2:$C$1201,$H1110))</f>
        <v/>
      </c>
      <c r="E1110" s="16" t="str">
        <f aca="false">IF($H1110="","",INDEX(DECKS!$D$2:$D$1201,$H1110))</f>
        <v/>
      </c>
      <c r="F1110" s="16" t="str">
        <f aca="false">IF($H1110="","",INDEX(DECKS!$E$2:$E$1201,$H1110))</f>
        <v/>
      </c>
      <c r="G1110" s="21" t="str">
        <f aca="false">IF($H1110="","",INDEX(DECKS!$F$2:$F$1201,$H1110))</f>
        <v/>
      </c>
      <c r="H1110" s="11" t="str">
        <f aca="false">IFERROR(MATCH(ROW()-1,DECKS!$O$2:$O$1201,0),"")</f>
        <v/>
      </c>
      <c r="I1110" s="11" t="str">
        <f aca="false">IF(C1110="","",G1110&amp;" "&amp;D1110&amp;" ("&amp;C1110&amp;")")</f>
        <v/>
      </c>
    </row>
    <row r="1111" customFormat="false" ht="15" hidden="false" customHeight="false" outlineLevel="0" collapsed="false">
      <c r="A1111" s="16"/>
      <c r="B1111" s="11" t="str">
        <f aca="false">IF($H1111="","",INDEX(DECKS!$A$2:$A$1201,$H1111))</f>
        <v/>
      </c>
      <c r="C1111" s="11" t="str">
        <f aca="false">IF($H1111="","",INDEX(DECKS!$B$2:$B$1201,$H1111))</f>
        <v/>
      </c>
      <c r="D1111" s="11" t="str">
        <f aca="false">IF($H1111="","",INDEX(DECKS!$C$2:$C$1201,$H1111))</f>
        <v/>
      </c>
      <c r="E1111" s="16" t="str">
        <f aca="false">IF($H1111="","",INDEX(DECKS!$D$2:$D$1201,$H1111))</f>
        <v/>
      </c>
      <c r="F1111" s="16" t="str">
        <f aca="false">IF($H1111="","",INDEX(DECKS!$E$2:$E$1201,$H1111))</f>
        <v/>
      </c>
      <c r="G1111" s="21" t="str">
        <f aca="false">IF($H1111="","",INDEX(DECKS!$F$2:$F$1201,$H1111))</f>
        <v/>
      </c>
      <c r="H1111" s="11" t="str">
        <f aca="false">IFERROR(MATCH(ROW()-1,DECKS!$O$2:$O$1201,0),"")</f>
        <v/>
      </c>
      <c r="I1111" s="11" t="str">
        <f aca="false">IF(C1111="","",G1111&amp;" "&amp;D1111&amp;" ("&amp;C1111&amp;")")</f>
        <v/>
      </c>
    </row>
    <row r="1112" customFormat="false" ht="15" hidden="false" customHeight="false" outlineLevel="0" collapsed="false">
      <c r="A1112" s="16"/>
      <c r="B1112" s="11" t="str">
        <f aca="false">IF($H1112="","",INDEX(DECKS!$A$2:$A$1201,$H1112))</f>
        <v/>
      </c>
      <c r="C1112" s="11" t="str">
        <f aca="false">IF($H1112="","",INDEX(DECKS!$B$2:$B$1201,$H1112))</f>
        <v/>
      </c>
      <c r="D1112" s="11" t="str">
        <f aca="false">IF($H1112="","",INDEX(DECKS!$C$2:$C$1201,$H1112))</f>
        <v/>
      </c>
      <c r="E1112" s="16" t="str">
        <f aca="false">IF($H1112="","",INDEX(DECKS!$D$2:$D$1201,$H1112))</f>
        <v/>
      </c>
      <c r="F1112" s="16" t="str">
        <f aca="false">IF($H1112="","",INDEX(DECKS!$E$2:$E$1201,$H1112))</f>
        <v/>
      </c>
      <c r="G1112" s="21" t="str">
        <f aca="false">IF($H1112="","",INDEX(DECKS!$F$2:$F$1201,$H1112))</f>
        <v/>
      </c>
      <c r="H1112" s="11" t="str">
        <f aca="false">IFERROR(MATCH(ROW()-1,DECKS!$O$2:$O$1201,0),"")</f>
        <v/>
      </c>
      <c r="I1112" s="11" t="str">
        <f aca="false">IF(C1112="","",G1112&amp;" "&amp;D1112&amp;" ("&amp;C1112&amp;")")</f>
        <v/>
      </c>
    </row>
    <row r="1113" customFormat="false" ht="15" hidden="false" customHeight="false" outlineLevel="0" collapsed="false">
      <c r="A1113" s="16"/>
      <c r="B1113" s="11" t="str">
        <f aca="false">IF($H1113="","",INDEX(DECKS!$A$2:$A$1201,$H1113))</f>
        <v/>
      </c>
      <c r="C1113" s="11" t="str">
        <f aca="false">IF($H1113="","",INDEX(DECKS!$B$2:$B$1201,$H1113))</f>
        <v/>
      </c>
      <c r="D1113" s="11" t="str">
        <f aca="false">IF($H1113="","",INDEX(DECKS!$C$2:$C$1201,$H1113))</f>
        <v/>
      </c>
      <c r="E1113" s="16" t="str">
        <f aca="false">IF($H1113="","",INDEX(DECKS!$D$2:$D$1201,$H1113))</f>
        <v/>
      </c>
      <c r="F1113" s="16" t="str">
        <f aca="false">IF($H1113="","",INDEX(DECKS!$E$2:$E$1201,$H1113))</f>
        <v/>
      </c>
      <c r="G1113" s="21" t="str">
        <f aca="false">IF($H1113="","",INDEX(DECKS!$F$2:$F$1201,$H1113))</f>
        <v/>
      </c>
      <c r="H1113" s="11" t="str">
        <f aca="false">IFERROR(MATCH(ROW()-1,DECKS!$O$2:$O$1201,0),"")</f>
        <v/>
      </c>
      <c r="I1113" s="11" t="str">
        <f aca="false">IF(C1113="","",G1113&amp;" "&amp;D1113&amp;" ("&amp;C1113&amp;")")</f>
        <v/>
      </c>
    </row>
    <row r="1114" customFormat="false" ht="15" hidden="false" customHeight="false" outlineLevel="0" collapsed="false">
      <c r="A1114" s="16"/>
      <c r="B1114" s="11" t="str">
        <f aca="false">IF($H1114="","",INDEX(DECKS!$A$2:$A$1201,$H1114))</f>
        <v/>
      </c>
      <c r="C1114" s="11" t="str">
        <f aca="false">IF($H1114="","",INDEX(DECKS!$B$2:$B$1201,$H1114))</f>
        <v/>
      </c>
      <c r="D1114" s="11" t="str">
        <f aca="false">IF($H1114="","",INDEX(DECKS!$C$2:$C$1201,$H1114))</f>
        <v/>
      </c>
      <c r="E1114" s="16" t="str">
        <f aca="false">IF($H1114="","",INDEX(DECKS!$D$2:$D$1201,$H1114))</f>
        <v/>
      </c>
      <c r="F1114" s="16" t="str">
        <f aca="false">IF($H1114="","",INDEX(DECKS!$E$2:$E$1201,$H1114))</f>
        <v/>
      </c>
      <c r="G1114" s="21" t="str">
        <f aca="false">IF($H1114="","",INDEX(DECKS!$F$2:$F$1201,$H1114))</f>
        <v/>
      </c>
      <c r="H1114" s="11" t="str">
        <f aca="false">IFERROR(MATCH(ROW()-1,DECKS!$O$2:$O$1201,0),"")</f>
        <v/>
      </c>
      <c r="I1114" s="11" t="str">
        <f aca="false">IF(C1114="","",G1114&amp;" "&amp;D1114&amp;" ("&amp;C1114&amp;")")</f>
        <v/>
      </c>
    </row>
    <row r="1115" customFormat="false" ht="15" hidden="false" customHeight="false" outlineLevel="0" collapsed="false">
      <c r="A1115" s="16"/>
      <c r="B1115" s="11" t="str">
        <f aca="false">IF($H1115="","",INDEX(DECKS!$A$2:$A$1201,$H1115))</f>
        <v/>
      </c>
      <c r="C1115" s="11" t="str">
        <f aca="false">IF($H1115="","",INDEX(DECKS!$B$2:$B$1201,$H1115))</f>
        <v/>
      </c>
      <c r="D1115" s="11" t="str">
        <f aca="false">IF($H1115="","",INDEX(DECKS!$C$2:$C$1201,$H1115))</f>
        <v/>
      </c>
      <c r="E1115" s="16" t="str">
        <f aca="false">IF($H1115="","",INDEX(DECKS!$D$2:$D$1201,$H1115))</f>
        <v/>
      </c>
      <c r="F1115" s="16" t="str">
        <f aca="false">IF($H1115="","",INDEX(DECKS!$E$2:$E$1201,$H1115))</f>
        <v/>
      </c>
      <c r="G1115" s="21" t="str">
        <f aca="false">IF($H1115="","",INDEX(DECKS!$F$2:$F$1201,$H1115))</f>
        <v/>
      </c>
      <c r="H1115" s="11" t="str">
        <f aca="false">IFERROR(MATCH(ROW()-1,DECKS!$O$2:$O$1201,0),"")</f>
        <v/>
      </c>
      <c r="I1115" s="11" t="str">
        <f aca="false">IF(C1115="","",G1115&amp;" "&amp;D1115&amp;" ("&amp;C1115&amp;")")</f>
        <v/>
      </c>
    </row>
    <row r="1116" customFormat="false" ht="15" hidden="false" customHeight="false" outlineLevel="0" collapsed="false">
      <c r="A1116" s="16"/>
      <c r="B1116" s="11" t="str">
        <f aca="false">IF($H1116="","",INDEX(DECKS!$A$2:$A$1201,$H1116))</f>
        <v/>
      </c>
      <c r="C1116" s="11" t="str">
        <f aca="false">IF($H1116="","",INDEX(DECKS!$B$2:$B$1201,$H1116))</f>
        <v/>
      </c>
      <c r="D1116" s="11" t="str">
        <f aca="false">IF($H1116="","",INDEX(DECKS!$C$2:$C$1201,$H1116))</f>
        <v/>
      </c>
      <c r="E1116" s="16" t="str">
        <f aca="false">IF($H1116="","",INDEX(DECKS!$D$2:$D$1201,$H1116))</f>
        <v/>
      </c>
      <c r="F1116" s="16" t="str">
        <f aca="false">IF($H1116="","",INDEX(DECKS!$E$2:$E$1201,$H1116))</f>
        <v/>
      </c>
      <c r="G1116" s="21" t="str">
        <f aca="false">IF($H1116="","",INDEX(DECKS!$F$2:$F$1201,$H1116))</f>
        <v/>
      </c>
      <c r="H1116" s="11" t="str">
        <f aca="false">IFERROR(MATCH(ROW()-1,DECKS!$O$2:$O$1201,0),"")</f>
        <v/>
      </c>
      <c r="I1116" s="11" t="str">
        <f aca="false">IF(C1116="","",G1116&amp;" "&amp;D1116&amp;" ("&amp;C1116&amp;")")</f>
        <v/>
      </c>
    </row>
    <row r="1117" customFormat="false" ht="15" hidden="false" customHeight="false" outlineLevel="0" collapsed="false">
      <c r="A1117" s="16"/>
      <c r="B1117" s="11" t="str">
        <f aca="false">IF($H1117="","",INDEX(DECKS!$A$2:$A$1201,$H1117))</f>
        <v/>
      </c>
      <c r="C1117" s="11" t="str">
        <f aca="false">IF($H1117="","",INDEX(DECKS!$B$2:$B$1201,$H1117))</f>
        <v/>
      </c>
      <c r="D1117" s="11" t="str">
        <f aca="false">IF($H1117="","",INDEX(DECKS!$C$2:$C$1201,$H1117))</f>
        <v/>
      </c>
      <c r="E1117" s="16" t="str">
        <f aca="false">IF($H1117="","",INDEX(DECKS!$D$2:$D$1201,$H1117))</f>
        <v/>
      </c>
      <c r="F1117" s="16" t="str">
        <f aca="false">IF($H1117="","",INDEX(DECKS!$E$2:$E$1201,$H1117))</f>
        <v/>
      </c>
      <c r="G1117" s="21" t="str">
        <f aca="false">IF($H1117="","",INDEX(DECKS!$F$2:$F$1201,$H1117))</f>
        <v/>
      </c>
      <c r="H1117" s="11" t="str">
        <f aca="false">IFERROR(MATCH(ROW()-1,DECKS!$O$2:$O$1201,0),"")</f>
        <v/>
      </c>
      <c r="I1117" s="11" t="str">
        <f aca="false">IF(C1117="","",G1117&amp;" "&amp;D1117&amp;" ("&amp;C1117&amp;")")</f>
        <v/>
      </c>
    </row>
    <row r="1118" customFormat="false" ht="15" hidden="false" customHeight="false" outlineLevel="0" collapsed="false">
      <c r="A1118" s="16"/>
      <c r="B1118" s="11" t="str">
        <f aca="false">IF($H1118="","",INDEX(DECKS!$A$2:$A$1201,$H1118))</f>
        <v/>
      </c>
      <c r="C1118" s="11" t="str">
        <f aca="false">IF($H1118="","",INDEX(DECKS!$B$2:$B$1201,$H1118))</f>
        <v/>
      </c>
      <c r="D1118" s="11" t="str">
        <f aca="false">IF($H1118="","",INDEX(DECKS!$C$2:$C$1201,$H1118))</f>
        <v/>
      </c>
      <c r="E1118" s="16" t="str">
        <f aca="false">IF($H1118="","",INDEX(DECKS!$D$2:$D$1201,$H1118))</f>
        <v/>
      </c>
      <c r="F1118" s="16" t="str">
        <f aca="false">IF($H1118="","",INDEX(DECKS!$E$2:$E$1201,$H1118))</f>
        <v/>
      </c>
      <c r="G1118" s="21" t="str">
        <f aca="false">IF($H1118="","",INDEX(DECKS!$F$2:$F$1201,$H1118))</f>
        <v/>
      </c>
      <c r="H1118" s="11" t="str">
        <f aca="false">IFERROR(MATCH(ROW()-1,DECKS!$O$2:$O$1201,0),"")</f>
        <v/>
      </c>
      <c r="I1118" s="11" t="str">
        <f aca="false">IF(C1118="","",G1118&amp;" "&amp;D1118&amp;" ("&amp;C1118&amp;")")</f>
        <v/>
      </c>
    </row>
    <row r="1119" customFormat="false" ht="15" hidden="false" customHeight="false" outlineLevel="0" collapsed="false">
      <c r="A1119" s="16"/>
      <c r="B1119" s="11" t="str">
        <f aca="false">IF($H1119="","",INDEX(DECKS!$A$2:$A$1201,$H1119))</f>
        <v/>
      </c>
      <c r="C1119" s="11" t="str">
        <f aca="false">IF($H1119="","",INDEX(DECKS!$B$2:$B$1201,$H1119))</f>
        <v/>
      </c>
      <c r="D1119" s="11" t="str">
        <f aca="false">IF($H1119="","",INDEX(DECKS!$C$2:$C$1201,$H1119))</f>
        <v/>
      </c>
      <c r="E1119" s="16" t="str">
        <f aca="false">IF($H1119="","",INDEX(DECKS!$D$2:$D$1201,$H1119))</f>
        <v/>
      </c>
      <c r="F1119" s="16" t="str">
        <f aca="false">IF($H1119="","",INDEX(DECKS!$E$2:$E$1201,$H1119))</f>
        <v/>
      </c>
      <c r="G1119" s="21" t="str">
        <f aca="false">IF($H1119="","",INDEX(DECKS!$F$2:$F$1201,$H1119))</f>
        <v/>
      </c>
      <c r="H1119" s="11" t="str">
        <f aca="false">IFERROR(MATCH(ROW()-1,DECKS!$O$2:$O$1201,0),"")</f>
        <v/>
      </c>
      <c r="I1119" s="11" t="str">
        <f aca="false">IF(C1119="","",G1119&amp;" "&amp;D1119&amp;" ("&amp;C1119&amp;")")</f>
        <v/>
      </c>
    </row>
    <row r="1120" customFormat="false" ht="15" hidden="false" customHeight="false" outlineLevel="0" collapsed="false">
      <c r="A1120" s="16"/>
      <c r="B1120" s="11" t="str">
        <f aca="false">IF($H1120="","",INDEX(DECKS!$A$2:$A$1201,$H1120))</f>
        <v/>
      </c>
      <c r="C1120" s="11" t="str">
        <f aca="false">IF($H1120="","",INDEX(DECKS!$B$2:$B$1201,$H1120))</f>
        <v/>
      </c>
      <c r="D1120" s="11" t="str">
        <f aca="false">IF($H1120="","",INDEX(DECKS!$C$2:$C$1201,$H1120))</f>
        <v/>
      </c>
      <c r="E1120" s="16" t="str">
        <f aca="false">IF($H1120="","",INDEX(DECKS!$D$2:$D$1201,$H1120))</f>
        <v/>
      </c>
      <c r="F1120" s="16" t="str">
        <f aca="false">IF($H1120="","",INDEX(DECKS!$E$2:$E$1201,$H1120))</f>
        <v/>
      </c>
      <c r="G1120" s="21" t="str">
        <f aca="false">IF($H1120="","",INDEX(DECKS!$F$2:$F$1201,$H1120))</f>
        <v/>
      </c>
      <c r="H1120" s="11" t="str">
        <f aca="false">IFERROR(MATCH(ROW()-1,DECKS!$O$2:$O$1201,0),"")</f>
        <v/>
      </c>
      <c r="I1120" s="11" t="str">
        <f aca="false">IF(C1120="","",G1120&amp;" "&amp;D1120&amp;" ("&amp;C1120&amp;")")</f>
        <v/>
      </c>
    </row>
    <row r="1121" customFormat="false" ht="15" hidden="false" customHeight="false" outlineLevel="0" collapsed="false">
      <c r="A1121" s="16"/>
      <c r="B1121" s="11" t="str">
        <f aca="false">IF($H1121="","",INDEX(DECKS!$A$2:$A$1201,$H1121))</f>
        <v/>
      </c>
      <c r="C1121" s="11" t="str">
        <f aca="false">IF($H1121="","",INDEX(DECKS!$B$2:$B$1201,$H1121))</f>
        <v/>
      </c>
      <c r="D1121" s="11" t="str">
        <f aca="false">IF($H1121="","",INDEX(DECKS!$C$2:$C$1201,$H1121))</f>
        <v/>
      </c>
      <c r="E1121" s="16" t="str">
        <f aca="false">IF($H1121="","",INDEX(DECKS!$D$2:$D$1201,$H1121))</f>
        <v/>
      </c>
      <c r="F1121" s="16" t="str">
        <f aca="false">IF($H1121="","",INDEX(DECKS!$E$2:$E$1201,$H1121))</f>
        <v/>
      </c>
      <c r="G1121" s="21" t="str">
        <f aca="false">IF($H1121="","",INDEX(DECKS!$F$2:$F$1201,$H1121))</f>
        <v/>
      </c>
      <c r="H1121" s="11" t="str">
        <f aca="false">IFERROR(MATCH(ROW()-1,DECKS!$O$2:$O$1201,0),"")</f>
        <v/>
      </c>
      <c r="I1121" s="11" t="str">
        <f aca="false">IF(C1121="","",G1121&amp;" "&amp;D1121&amp;" ("&amp;C1121&amp;")")</f>
        <v/>
      </c>
    </row>
    <row r="1122" customFormat="false" ht="15" hidden="false" customHeight="false" outlineLevel="0" collapsed="false">
      <c r="A1122" s="16"/>
      <c r="B1122" s="11" t="str">
        <f aca="false">IF($H1122="","",INDEX(DECKS!$A$2:$A$1201,$H1122))</f>
        <v/>
      </c>
      <c r="C1122" s="11" t="str">
        <f aca="false">IF($H1122="","",INDEX(DECKS!$B$2:$B$1201,$H1122))</f>
        <v/>
      </c>
      <c r="D1122" s="11" t="str">
        <f aca="false">IF($H1122="","",INDEX(DECKS!$C$2:$C$1201,$H1122))</f>
        <v/>
      </c>
      <c r="E1122" s="16" t="str">
        <f aca="false">IF($H1122="","",INDEX(DECKS!$D$2:$D$1201,$H1122))</f>
        <v/>
      </c>
      <c r="F1122" s="16" t="str">
        <f aca="false">IF($H1122="","",INDEX(DECKS!$E$2:$E$1201,$H1122))</f>
        <v/>
      </c>
      <c r="G1122" s="21" t="str">
        <f aca="false">IF($H1122="","",INDEX(DECKS!$F$2:$F$1201,$H1122))</f>
        <v/>
      </c>
      <c r="H1122" s="11" t="str">
        <f aca="false">IFERROR(MATCH(ROW()-1,DECKS!$O$2:$O$1201,0),"")</f>
        <v/>
      </c>
      <c r="I1122" s="11" t="str">
        <f aca="false">IF(C1122="","",G1122&amp;" "&amp;D1122&amp;" ("&amp;C1122&amp;")")</f>
        <v/>
      </c>
    </row>
    <row r="1123" customFormat="false" ht="15" hidden="false" customHeight="false" outlineLevel="0" collapsed="false">
      <c r="A1123" s="16"/>
      <c r="B1123" s="11" t="str">
        <f aca="false">IF($H1123="","",INDEX(DECKS!$A$2:$A$1201,$H1123))</f>
        <v/>
      </c>
      <c r="C1123" s="11" t="str">
        <f aca="false">IF($H1123="","",INDEX(DECKS!$B$2:$B$1201,$H1123))</f>
        <v/>
      </c>
      <c r="D1123" s="11" t="str">
        <f aca="false">IF($H1123="","",INDEX(DECKS!$C$2:$C$1201,$H1123))</f>
        <v/>
      </c>
      <c r="E1123" s="16" t="str">
        <f aca="false">IF($H1123="","",INDEX(DECKS!$D$2:$D$1201,$H1123))</f>
        <v/>
      </c>
      <c r="F1123" s="16" t="str">
        <f aca="false">IF($H1123="","",INDEX(DECKS!$E$2:$E$1201,$H1123))</f>
        <v/>
      </c>
      <c r="G1123" s="21" t="str">
        <f aca="false">IF($H1123="","",INDEX(DECKS!$F$2:$F$1201,$H1123))</f>
        <v/>
      </c>
      <c r="H1123" s="11" t="str">
        <f aca="false">IFERROR(MATCH(ROW()-1,DECKS!$O$2:$O$1201,0),"")</f>
        <v/>
      </c>
      <c r="I1123" s="11" t="str">
        <f aca="false">IF(C1123="","",G1123&amp;" "&amp;D1123&amp;" ("&amp;C1123&amp;")")</f>
        <v/>
      </c>
    </row>
    <row r="1124" customFormat="false" ht="15" hidden="false" customHeight="false" outlineLevel="0" collapsed="false">
      <c r="A1124" s="16"/>
      <c r="B1124" s="11" t="str">
        <f aca="false">IF($H1124="","",INDEX(DECKS!$A$2:$A$1201,$H1124))</f>
        <v/>
      </c>
      <c r="C1124" s="11" t="str">
        <f aca="false">IF($H1124="","",INDEX(DECKS!$B$2:$B$1201,$H1124))</f>
        <v/>
      </c>
      <c r="D1124" s="11" t="str">
        <f aca="false">IF($H1124="","",INDEX(DECKS!$C$2:$C$1201,$H1124))</f>
        <v/>
      </c>
      <c r="E1124" s="16" t="str">
        <f aca="false">IF($H1124="","",INDEX(DECKS!$D$2:$D$1201,$H1124))</f>
        <v/>
      </c>
      <c r="F1124" s="16" t="str">
        <f aca="false">IF($H1124="","",INDEX(DECKS!$E$2:$E$1201,$H1124))</f>
        <v/>
      </c>
      <c r="G1124" s="21" t="str">
        <f aca="false">IF($H1124="","",INDEX(DECKS!$F$2:$F$1201,$H1124))</f>
        <v/>
      </c>
      <c r="H1124" s="11" t="str">
        <f aca="false">IFERROR(MATCH(ROW()-1,DECKS!$O$2:$O$1201,0),"")</f>
        <v/>
      </c>
      <c r="I1124" s="11" t="str">
        <f aca="false">IF(C1124="","",G1124&amp;" "&amp;D1124&amp;" ("&amp;C1124&amp;")")</f>
        <v/>
      </c>
    </row>
    <row r="1125" customFormat="false" ht="15" hidden="false" customHeight="false" outlineLevel="0" collapsed="false">
      <c r="A1125" s="16"/>
      <c r="B1125" s="11" t="str">
        <f aca="false">IF($H1125="","",INDEX(DECKS!$A$2:$A$1201,$H1125))</f>
        <v/>
      </c>
      <c r="C1125" s="11" t="str">
        <f aca="false">IF($H1125="","",INDEX(DECKS!$B$2:$B$1201,$H1125))</f>
        <v/>
      </c>
      <c r="D1125" s="11" t="str">
        <f aca="false">IF($H1125="","",INDEX(DECKS!$C$2:$C$1201,$H1125))</f>
        <v/>
      </c>
      <c r="E1125" s="16" t="str">
        <f aca="false">IF($H1125="","",INDEX(DECKS!$D$2:$D$1201,$H1125))</f>
        <v/>
      </c>
      <c r="F1125" s="16" t="str">
        <f aca="false">IF($H1125="","",INDEX(DECKS!$E$2:$E$1201,$H1125))</f>
        <v/>
      </c>
      <c r="G1125" s="21" t="str">
        <f aca="false">IF($H1125="","",INDEX(DECKS!$F$2:$F$1201,$H1125))</f>
        <v/>
      </c>
      <c r="H1125" s="11" t="str">
        <f aca="false">IFERROR(MATCH(ROW()-1,DECKS!$O$2:$O$1201,0),"")</f>
        <v/>
      </c>
      <c r="I1125" s="11" t="str">
        <f aca="false">IF(C1125="","",G1125&amp;" "&amp;D1125&amp;" ("&amp;C1125&amp;")")</f>
        <v/>
      </c>
    </row>
    <row r="1126" customFormat="false" ht="15" hidden="false" customHeight="false" outlineLevel="0" collapsed="false">
      <c r="A1126" s="16"/>
      <c r="B1126" s="11" t="str">
        <f aca="false">IF($H1126="","",INDEX(DECKS!$A$2:$A$1201,$H1126))</f>
        <v/>
      </c>
      <c r="C1126" s="11" t="str">
        <f aca="false">IF($H1126="","",INDEX(DECKS!$B$2:$B$1201,$H1126))</f>
        <v/>
      </c>
      <c r="D1126" s="11" t="str">
        <f aca="false">IF($H1126="","",INDEX(DECKS!$C$2:$C$1201,$H1126))</f>
        <v/>
      </c>
      <c r="E1126" s="16" t="str">
        <f aca="false">IF($H1126="","",INDEX(DECKS!$D$2:$D$1201,$H1126))</f>
        <v/>
      </c>
      <c r="F1126" s="16" t="str">
        <f aca="false">IF($H1126="","",INDEX(DECKS!$E$2:$E$1201,$H1126))</f>
        <v/>
      </c>
      <c r="G1126" s="21" t="str">
        <f aca="false">IF($H1126="","",INDEX(DECKS!$F$2:$F$1201,$H1126))</f>
        <v/>
      </c>
      <c r="H1126" s="11" t="str">
        <f aca="false">IFERROR(MATCH(ROW()-1,DECKS!$O$2:$O$1201,0),"")</f>
        <v/>
      </c>
      <c r="I1126" s="11" t="str">
        <f aca="false">IF(C1126="","",G1126&amp;" "&amp;D1126&amp;" ("&amp;C1126&amp;")")</f>
        <v/>
      </c>
    </row>
    <row r="1127" customFormat="false" ht="15" hidden="false" customHeight="false" outlineLevel="0" collapsed="false">
      <c r="A1127" s="16"/>
      <c r="B1127" s="11" t="str">
        <f aca="false">IF($H1127="","",INDEX(DECKS!$A$2:$A$1201,$H1127))</f>
        <v/>
      </c>
      <c r="C1127" s="11" t="str">
        <f aca="false">IF($H1127="","",INDEX(DECKS!$B$2:$B$1201,$H1127))</f>
        <v/>
      </c>
      <c r="D1127" s="11" t="str">
        <f aca="false">IF($H1127="","",INDEX(DECKS!$C$2:$C$1201,$H1127))</f>
        <v/>
      </c>
      <c r="E1127" s="16" t="str">
        <f aca="false">IF($H1127="","",INDEX(DECKS!$D$2:$D$1201,$H1127))</f>
        <v/>
      </c>
      <c r="F1127" s="16" t="str">
        <f aca="false">IF($H1127="","",INDEX(DECKS!$E$2:$E$1201,$H1127))</f>
        <v/>
      </c>
      <c r="G1127" s="21" t="str">
        <f aca="false">IF($H1127="","",INDEX(DECKS!$F$2:$F$1201,$H1127))</f>
        <v/>
      </c>
      <c r="H1127" s="11" t="str">
        <f aca="false">IFERROR(MATCH(ROW()-1,DECKS!$O$2:$O$1201,0),"")</f>
        <v/>
      </c>
      <c r="I1127" s="11" t="str">
        <f aca="false">IF(C1127="","",G1127&amp;" "&amp;D1127&amp;" ("&amp;C1127&amp;")")</f>
        <v/>
      </c>
    </row>
    <row r="1128" customFormat="false" ht="15" hidden="false" customHeight="false" outlineLevel="0" collapsed="false">
      <c r="A1128" s="16"/>
      <c r="B1128" s="11" t="str">
        <f aca="false">IF($H1128="","",INDEX(DECKS!$A$2:$A$1201,$H1128))</f>
        <v/>
      </c>
      <c r="C1128" s="11" t="str">
        <f aca="false">IF($H1128="","",INDEX(DECKS!$B$2:$B$1201,$H1128))</f>
        <v/>
      </c>
      <c r="D1128" s="11" t="str">
        <f aca="false">IF($H1128="","",INDEX(DECKS!$C$2:$C$1201,$H1128))</f>
        <v/>
      </c>
      <c r="E1128" s="16" t="str">
        <f aca="false">IF($H1128="","",INDEX(DECKS!$D$2:$D$1201,$H1128))</f>
        <v/>
      </c>
      <c r="F1128" s="16" t="str">
        <f aca="false">IF($H1128="","",INDEX(DECKS!$E$2:$E$1201,$H1128))</f>
        <v/>
      </c>
      <c r="G1128" s="21" t="str">
        <f aca="false">IF($H1128="","",INDEX(DECKS!$F$2:$F$1201,$H1128))</f>
        <v/>
      </c>
      <c r="H1128" s="11" t="str">
        <f aca="false">IFERROR(MATCH(ROW()-1,DECKS!$O$2:$O$1201,0),"")</f>
        <v/>
      </c>
      <c r="I1128" s="11" t="str">
        <f aca="false">IF(C1128="","",G1128&amp;" "&amp;D1128&amp;" ("&amp;C1128&amp;")")</f>
        <v/>
      </c>
    </row>
    <row r="1129" customFormat="false" ht="15" hidden="false" customHeight="false" outlineLevel="0" collapsed="false">
      <c r="A1129" s="16"/>
      <c r="B1129" s="11" t="str">
        <f aca="false">IF($H1129="","",INDEX(DECKS!$A$2:$A$1201,$H1129))</f>
        <v/>
      </c>
      <c r="C1129" s="11" t="str">
        <f aca="false">IF($H1129="","",INDEX(DECKS!$B$2:$B$1201,$H1129))</f>
        <v/>
      </c>
      <c r="D1129" s="11" t="str">
        <f aca="false">IF($H1129="","",INDEX(DECKS!$C$2:$C$1201,$H1129))</f>
        <v/>
      </c>
      <c r="E1129" s="16" t="str">
        <f aca="false">IF($H1129="","",INDEX(DECKS!$D$2:$D$1201,$H1129))</f>
        <v/>
      </c>
      <c r="F1129" s="16" t="str">
        <f aca="false">IF($H1129="","",INDEX(DECKS!$E$2:$E$1201,$H1129))</f>
        <v/>
      </c>
      <c r="G1129" s="21" t="str">
        <f aca="false">IF($H1129="","",INDEX(DECKS!$F$2:$F$1201,$H1129))</f>
        <v/>
      </c>
      <c r="H1129" s="11" t="str">
        <f aca="false">IFERROR(MATCH(ROW()-1,DECKS!$O$2:$O$1201,0),"")</f>
        <v/>
      </c>
      <c r="I1129" s="11" t="str">
        <f aca="false">IF(C1129="","",G1129&amp;" "&amp;D1129&amp;" ("&amp;C1129&amp;")")</f>
        <v/>
      </c>
    </row>
    <row r="1130" customFormat="false" ht="15" hidden="false" customHeight="false" outlineLevel="0" collapsed="false">
      <c r="A1130" s="16"/>
      <c r="B1130" s="11" t="str">
        <f aca="false">IF($H1130="","",INDEX(DECKS!$A$2:$A$1201,$H1130))</f>
        <v/>
      </c>
      <c r="C1130" s="11" t="str">
        <f aca="false">IF($H1130="","",INDEX(DECKS!$B$2:$B$1201,$H1130))</f>
        <v/>
      </c>
      <c r="D1130" s="11" t="str">
        <f aca="false">IF($H1130="","",INDEX(DECKS!$C$2:$C$1201,$H1130))</f>
        <v/>
      </c>
      <c r="E1130" s="16" t="str">
        <f aca="false">IF($H1130="","",INDEX(DECKS!$D$2:$D$1201,$H1130))</f>
        <v/>
      </c>
      <c r="F1130" s="16" t="str">
        <f aca="false">IF($H1130="","",INDEX(DECKS!$E$2:$E$1201,$H1130))</f>
        <v/>
      </c>
      <c r="G1130" s="21" t="str">
        <f aca="false">IF($H1130="","",INDEX(DECKS!$F$2:$F$1201,$H1130))</f>
        <v/>
      </c>
      <c r="H1130" s="11" t="str">
        <f aca="false">IFERROR(MATCH(ROW()-1,DECKS!$O$2:$O$1201,0),"")</f>
        <v/>
      </c>
      <c r="I1130" s="11" t="str">
        <f aca="false">IF(C1130="","",G1130&amp;" "&amp;D1130&amp;" ("&amp;C1130&amp;")")</f>
        <v/>
      </c>
    </row>
    <row r="1131" customFormat="false" ht="15" hidden="false" customHeight="false" outlineLevel="0" collapsed="false">
      <c r="A1131" s="16"/>
      <c r="B1131" s="11" t="str">
        <f aca="false">IF($H1131="","",INDEX(DECKS!$A$2:$A$1201,$H1131))</f>
        <v/>
      </c>
      <c r="C1131" s="11" t="str">
        <f aca="false">IF($H1131="","",INDEX(DECKS!$B$2:$B$1201,$H1131))</f>
        <v/>
      </c>
      <c r="D1131" s="11" t="str">
        <f aca="false">IF($H1131="","",INDEX(DECKS!$C$2:$C$1201,$H1131))</f>
        <v/>
      </c>
      <c r="E1131" s="16" t="str">
        <f aca="false">IF($H1131="","",INDEX(DECKS!$D$2:$D$1201,$H1131))</f>
        <v/>
      </c>
      <c r="F1131" s="16" t="str">
        <f aca="false">IF($H1131="","",INDEX(DECKS!$E$2:$E$1201,$H1131))</f>
        <v/>
      </c>
      <c r="G1131" s="21" t="str">
        <f aca="false">IF($H1131="","",INDEX(DECKS!$F$2:$F$1201,$H1131))</f>
        <v/>
      </c>
      <c r="H1131" s="11" t="str">
        <f aca="false">IFERROR(MATCH(ROW()-1,DECKS!$O$2:$O$1201,0),"")</f>
        <v/>
      </c>
      <c r="I1131" s="11" t="str">
        <f aca="false">IF(C1131="","",G1131&amp;" "&amp;D1131&amp;" ("&amp;C1131&amp;")")</f>
        <v/>
      </c>
    </row>
    <row r="1132" customFormat="false" ht="15" hidden="false" customHeight="false" outlineLevel="0" collapsed="false">
      <c r="A1132" s="16"/>
      <c r="B1132" s="11" t="str">
        <f aca="false">IF($H1132="","",INDEX(DECKS!$A$2:$A$1201,$H1132))</f>
        <v/>
      </c>
      <c r="C1132" s="11" t="str">
        <f aca="false">IF($H1132="","",INDEX(DECKS!$B$2:$B$1201,$H1132))</f>
        <v/>
      </c>
      <c r="D1132" s="11" t="str">
        <f aca="false">IF($H1132="","",INDEX(DECKS!$C$2:$C$1201,$H1132))</f>
        <v/>
      </c>
      <c r="E1132" s="16" t="str">
        <f aca="false">IF($H1132="","",INDEX(DECKS!$D$2:$D$1201,$H1132))</f>
        <v/>
      </c>
      <c r="F1132" s="16" t="str">
        <f aca="false">IF($H1132="","",INDEX(DECKS!$E$2:$E$1201,$H1132))</f>
        <v/>
      </c>
      <c r="G1132" s="21" t="str">
        <f aca="false">IF($H1132="","",INDEX(DECKS!$F$2:$F$1201,$H1132))</f>
        <v/>
      </c>
      <c r="H1132" s="11" t="str">
        <f aca="false">IFERROR(MATCH(ROW()-1,DECKS!$O$2:$O$1201,0),"")</f>
        <v/>
      </c>
      <c r="I1132" s="11" t="str">
        <f aca="false">IF(C1132="","",G1132&amp;" "&amp;D1132&amp;" ("&amp;C1132&amp;")")</f>
        <v/>
      </c>
    </row>
    <row r="1133" customFormat="false" ht="15" hidden="false" customHeight="false" outlineLevel="0" collapsed="false">
      <c r="A1133" s="16"/>
      <c r="B1133" s="11" t="str">
        <f aca="false">IF($H1133="","",INDEX(DECKS!$A$2:$A$1201,$H1133))</f>
        <v/>
      </c>
      <c r="C1133" s="11" t="str">
        <f aca="false">IF($H1133="","",INDEX(DECKS!$B$2:$B$1201,$H1133))</f>
        <v/>
      </c>
      <c r="D1133" s="11" t="str">
        <f aca="false">IF($H1133="","",INDEX(DECKS!$C$2:$C$1201,$H1133))</f>
        <v/>
      </c>
      <c r="E1133" s="16" t="str">
        <f aca="false">IF($H1133="","",INDEX(DECKS!$D$2:$D$1201,$H1133))</f>
        <v/>
      </c>
      <c r="F1133" s="16" t="str">
        <f aca="false">IF($H1133="","",INDEX(DECKS!$E$2:$E$1201,$H1133))</f>
        <v/>
      </c>
      <c r="G1133" s="21" t="str">
        <f aca="false">IF($H1133="","",INDEX(DECKS!$F$2:$F$1201,$H1133))</f>
        <v/>
      </c>
      <c r="H1133" s="11" t="str">
        <f aca="false">IFERROR(MATCH(ROW()-1,DECKS!$O$2:$O$1201,0),"")</f>
        <v/>
      </c>
      <c r="I1133" s="11" t="str">
        <f aca="false">IF(C1133="","",G1133&amp;" "&amp;D1133&amp;" ("&amp;C1133&amp;")")</f>
        <v/>
      </c>
    </row>
    <row r="1134" customFormat="false" ht="15" hidden="false" customHeight="false" outlineLevel="0" collapsed="false">
      <c r="A1134" s="16"/>
      <c r="B1134" s="11" t="str">
        <f aca="false">IF($H1134="","",INDEX(DECKS!$A$2:$A$1201,$H1134))</f>
        <v/>
      </c>
      <c r="C1134" s="11" t="str">
        <f aca="false">IF($H1134="","",INDEX(DECKS!$B$2:$B$1201,$H1134))</f>
        <v/>
      </c>
      <c r="D1134" s="11" t="str">
        <f aca="false">IF($H1134="","",INDEX(DECKS!$C$2:$C$1201,$H1134))</f>
        <v/>
      </c>
      <c r="E1134" s="16" t="str">
        <f aca="false">IF($H1134="","",INDEX(DECKS!$D$2:$D$1201,$H1134))</f>
        <v/>
      </c>
      <c r="F1134" s="16" t="str">
        <f aca="false">IF($H1134="","",INDEX(DECKS!$E$2:$E$1201,$H1134))</f>
        <v/>
      </c>
      <c r="G1134" s="21" t="str">
        <f aca="false">IF($H1134="","",INDEX(DECKS!$F$2:$F$1201,$H1134))</f>
        <v/>
      </c>
      <c r="H1134" s="11" t="str">
        <f aca="false">IFERROR(MATCH(ROW()-1,DECKS!$O$2:$O$1201,0),"")</f>
        <v/>
      </c>
      <c r="I1134" s="11" t="str">
        <f aca="false">IF(C1134="","",G1134&amp;" "&amp;D1134&amp;" ("&amp;C1134&amp;")")</f>
        <v/>
      </c>
    </row>
    <row r="1135" customFormat="false" ht="15" hidden="false" customHeight="false" outlineLevel="0" collapsed="false">
      <c r="A1135" s="16"/>
      <c r="B1135" s="11" t="str">
        <f aca="false">IF($H1135="","",INDEX(DECKS!$A$2:$A$1201,$H1135))</f>
        <v/>
      </c>
      <c r="C1135" s="11" t="str">
        <f aca="false">IF($H1135="","",INDEX(DECKS!$B$2:$B$1201,$H1135))</f>
        <v/>
      </c>
      <c r="D1135" s="11" t="str">
        <f aca="false">IF($H1135="","",INDEX(DECKS!$C$2:$C$1201,$H1135))</f>
        <v/>
      </c>
      <c r="E1135" s="16" t="str">
        <f aca="false">IF($H1135="","",INDEX(DECKS!$D$2:$D$1201,$H1135))</f>
        <v/>
      </c>
      <c r="F1135" s="16" t="str">
        <f aca="false">IF($H1135="","",INDEX(DECKS!$E$2:$E$1201,$H1135))</f>
        <v/>
      </c>
      <c r="G1135" s="21" t="str">
        <f aca="false">IF($H1135="","",INDEX(DECKS!$F$2:$F$1201,$H1135))</f>
        <v/>
      </c>
      <c r="H1135" s="11" t="str">
        <f aca="false">IFERROR(MATCH(ROW()-1,DECKS!$O$2:$O$1201,0),"")</f>
        <v/>
      </c>
      <c r="I1135" s="11" t="str">
        <f aca="false">IF(C1135="","",G1135&amp;" "&amp;D1135&amp;" ("&amp;C1135&amp;")")</f>
        <v/>
      </c>
    </row>
    <row r="1136" customFormat="false" ht="15" hidden="false" customHeight="false" outlineLevel="0" collapsed="false">
      <c r="A1136" s="16"/>
      <c r="B1136" s="11" t="str">
        <f aca="false">IF($H1136="","",INDEX(DECKS!$A$2:$A$1201,$H1136))</f>
        <v/>
      </c>
      <c r="C1136" s="11" t="str">
        <f aca="false">IF($H1136="","",INDEX(DECKS!$B$2:$B$1201,$H1136))</f>
        <v/>
      </c>
      <c r="D1136" s="11" t="str">
        <f aca="false">IF($H1136="","",INDEX(DECKS!$C$2:$C$1201,$H1136))</f>
        <v/>
      </c>
      <c r="E1136" s="16" t="str">
        <f aca="false">IF($H1136="","",INDEX(DECKS!$D$2:$D$1201,$H1136))</f>
        <v/>
      </c>
      <c r="F1136" s="16" t="str">
        <f aca="false">IF($H1136="","",INDEX(DECKS!$E$2:$E$1201,$H1136))</f>
        <v/>
      </c>
      <c r="G1136" s="21" t="str">
        <f aca="false">IF($H1136="","",INDEX(DECKS!$F$2:$F$1201,$H1136))</f>
        <v/>
      </c>
      <c r="H1136" s="11" t="str">
        <f aca="false">IFERROR(MATCH(ROW()-1,DECKS!$O$2:$O$1201,0),"")</f>
        <v/>
      </c>
      <c r="I1136" s="11" t="str">
        <f aca="false">IF(C1136="","",G1136&amp;" "&amp;D1136&amp;" ("&amp;C1136&amp;")")</f>
        <v/>
      </c>
    </row>
    <row r="1137" customFormat="false" ht="15" hidden="false" customHeight="false" outlineLevel="0" collapsed="false">
      <c r="A1137" s="16"/>
      <c r="B1137" s="11" t="str">
        <f aca="false">IF($H1137="","",INDEX(DECKS!$A$2:$A$1201,$H1137))</f>
        <v/>
      </c>
      <c r="C1137" s="11" t="str">
        <f aca="false">IF($H1137="","",INDEX(DECKS!$B$2:$B$1201,$H1137))</f>
        <v/>
      </c>
      <c r="D1137" s="11" t="str">
        <f aca="false">IF($H1137="","",INDEX(DECKS!$C$2:$C$1201,$H1137))</f>
        <v/>
      </c>
      <c r="E1137" s="16" t="str">
        <f aca="false">IF($H1137="","",INDEX(DECKS!$D$2:$D$1201,$H1137))</f>
        <v/>
      </c>
      <c r="F1137" s="16" t="str">
        <f aca="false">IF($H1137="","",INDEX(DECKS!$E$2:$E$1201,$H1137))</f>
        <v/>
      </c>
      <c r="G1137" s="21" t="str">
        <f aca="false">IF($H1137="","",INDEX(DECKS!$F$2:$F$1201,$H1137))</f>
        <v/>
      </c>
      <c r="H1137" s="11" t="str">
        <f aca="false">IFERROR(MATCH(ROW()-1,DECKS!$O$2:$O$1201,0),"")</f>
        <v/>
      </c>
      <c r="I1137" s="11" t="str">
        <f aca="false">IF(C1137="","",G1137&amp;" "&amp;D1137&amp;" ("&amp;C1137&amp;")")</f>
        <v/>
      </c>
    </row>
    <row r="1138" customFormat="false" ht="15" hidden="false" customHeight="false" outlineLevel="0" collapsed="false">
      <c r="A1138" s="16"/>
      <c r="B1138" s="11" t="str">
        <f aca="false">IF($H1138="","",INDEX(DECKS!$A$2:$A$1201,$H1138))</f>
        <v/>
      </c>
      <c r="C1138" s="11" t="str">
        <f aca="false">IF($H1138="","",INDEX(DECKS!$B$2:$B$1201,$H1138))</f>
        <v/>
      </c>
      <c r="D1138" s="11" t="str">
        <f aca="false">IF($H1138="","",INDEX(DECKS!$C$2:$C$1201,$H1138))</f>
        <v/>
      </c>
      <c r="E1138" s="16" t="str">
        <f aca="false">IF($H1138="","",INDEX(DECKS!$D$2:$D$1201,$H1138))</f>
        <v/>
      </c>
      <c r="F1138" s="16" t="str">
        <f aca="false">IF($H1138="","",INDEX(DECKS!$E$2:$E$1201,$H1138))</f>
        <v/>
      </c>
      <c r="G1138" s="21" t="str">
        <f aca="false">IF($H1138="","",INDEX(DECKS!$F$2:$F$1201,$H1138))</f>
        <v/>
      </c>
      <c r="H1138" s="11" t="str">
        <f aca="false">IFERROR(MATCH(ROW()-1,DECKS!$O$2:$O$1201,0),"")</f>
        <v/>
      </c>
      <c r="I1138" s="11" t="str">
        <f aca="false">IF(C1138="","",G1138&amp;" "&amp;D1138&amp;" ("&amp;C1138&amp;")")</f>
        <v/>
      </c>
    </row>
    <row r="1139" customFormat="false" ht="15" hidden="false" customHeight="false" outlineLevel="0" collapsed="false">
      <c r="A1139" s="16"/>
      <c r="B1139" s="11" t="str">
        <f aca="false">IF($H1139="","",INDEX(DECKS!$A$2:$A$1201,$H1139))</f>
        <v/>
      </c>
      <c r="C1139" s="11" t="str">
        <f aca="false">IF($H1139="","",INDEX(DECKS!$B$2:$B$1201,$H1139))</f>
        <v/>
      </c>
      <c r="D1139" s="11" t="str">
        <f aca="false">IF($H1139="","",INDEX(DECKS!$C$2:$C$1201,$H1139))</f>
        <v/>
      </c>
      <c r="E1139" s="16" t="str">
        <f aca="false">IF($H1139="","",INDEX(DECKS!$D$2:$D$1201,$H1139))</f>
        <v/>
      </c>
      <c r="F1139" s="16" t="str">
        <f aca="false">IF($H1139="","",INDEX(DECKS!$E$2:$E$1201,$H1139))</f>
        <v/>
      </c>
      <c r="G1139" s="21" t="str">
        <f aca="false">IF($H1139="","",INDEX(DECKS!$F$2:$F$1201,$H1139))</f>
        <v/>
      </c>
      <c r="H1139" s="11" t="str">
        <f aca="false">IFERROR(MATCH(ROW()-1,DECKS!$O$2:$O$1201,0),"")</f>
        <v/>
      </c>
      <c r="I1139" s="11" t="str">
        <f aca="false">IF(C1139="","",G1139&amp;" "&amp;D1139&amp;" ("&amp;C1139&amp;")")</f>
        <v/>
      </c>
    </row>
    <row r="1140" customFormat="false" ht="15" hidden="false" customHeight="false" outlineLevel="0" collapsed="false">
      <c r="A1140" s="16"/>
      <c r="B1140" s="11" t="str">
        <f aca="false">IF($H1140="","",INDEX(DECKS!$A$2:$A$1201,$H1140))</f>
        <v/>
      </c>
      <c r="C1140" s="11" t="str">
        <f aca="false">IF($H1140="","",INDEX(DECKS!$B$2:$B$1201,$H1140))</f>
        <v/>
      </c>
      <c r="D1140" s="11" t="str">
        <f aca="false">IF($H1140="","",INDEX(DECKS!$C$2:$C$1201,$H1140))</f>
        <v/>
      </c>
      <c r="E1140" s="16" t="str">
        <f aca="false">IF($H1140="","",INDEX(DECKS!$D$2:$D$1201,$H1140))</f>
        <v/>
      </c>
      <c r="F1140" s="16" t="str">
        <f aca="false">IF($H1140="","",INDEX(DECKS!$E$2:$E$1201,$H1140))</f>
        <v/>
      </c>
      <c r="G1140" s="21" t="str">
        <f aca="false">IF($H1140="","",INDEX(DECKS!$F$2:$F$1201,$H1140))</f>
        <v/>
      </c>
      <c r="H1140" s="11" t="str">
        <f aca="false">IFERROR(MATCH(ROW()-1,DECKS!$O$2:$O$1201,0),"")</f>
        <v/>
      </c>
      <c r="I1140" s="11" t="str">
        <f aca="false">IF(C1140="","",G1140&amp;" "&amp;D1140&amp;" ("&amp;C1140&amp;")")</f>
        <v/>
      </c>
    </row>
    <row r="1141" customFormat="false" ht="15" hidden="false" customHeight="false" outlineLevel="0" collapsed="false">
      <c r="A1141" s="16"/>
      <c r="B1141" s="11" t="str">
        <f aca="false">IF($H1141="","",INDEX(DECKS!$A$2:$A$1201,$H1141))</f>
        <v/>
      </c>
      <c r="C1141" s="11" t="str">
        <f aca="false">IF($H1141="","",INDEX(DECKS!$B$2:$B$1201,$H1141))</f>
        <v/>
      </c>
      <c r="D1141" s="11" t="str">
        <f aca="false">IF($H1141="","",INDEX(DECKS!$C$2:$C$1201,$H1141))</f>
        <v/>
      </c>
      <c r="E1141" s="16" t="str">
        <f aca="false">IF($H1141="","",INDEX(DECKS!$D$2:$D$1201,$H1141))</f>
        <v/>
      </c>
      <c r="F1141" s="16" t="str">
        <f aca="false">IF($H1141="","",INDEX(DECKS!$E$2:$E$1201,$H1141))</f>
        <v/>
      </c>
      <c r="G1141" s="21" t="str">
        <f aca="false">IF($H1141="","",INDEX(DECKS!$F$2:$F$1201,$H1141))</f>
        <v/>
      </c>
      <c r="H1141" s="11" t="str">
        <f aca="false">IFERROR(MATCH(ROW()-1,DECKS!$O$2:$O$1201,0),"")</f>
        <v/>
      </c>
      <c r="I1141" s="11" t="str">
        <f aca="false">IF(C1141="","",G1141&amp;" "&amp;D1141&amp;" ("&amp;C1141&amp;")")</f>
        <v/>
      </c>
    </row>
    <row r="1142" customFormat="false" ht="15" hidden="false" customHeight="false" outlineLevel="0" collapsed="false">
      <c r="A1142" s="16"/>
      <c r="B1142" s="11" t="str">
        <f aca="false">IF($H1142="","",INDEX(DECKS!$A$2:$A$1201,$H1142))</f>
        <v/>
      </c>
      <c r="C1142" s="11" t="str">
        <f aca="false">IF($H1142="","",INDEX(DECKS!$B$2:$B$1201,$H1142))</f>
        <v/>
      </c>
      <c r="D1142" s="11" t="str">
        <f aca="false">IF($H1142="","",INDEX(DECKS!$C$2:$C$1201,$H1142))</f>
        <v/>
      </c>
      <c r="E1142" s="16" t="str">
        <f aca="false">IF($H1142="","",INDEX(DECKS!$D$2:$D$1201,$H1142))</f>
        <v/>
      </c>
      <c r="F1142" s="16" t="str">
        <f aca="false">IF($H1142="","",INDEX(DECKS!$E$2:$E$1201,$H1142))</f>
        <v/>
      </c>
      <c r="G1142" s="21" t="str">
        <f aca="false">IF($H1142="","",INDEX(DECKS!$F$2:$F$1201,$H1142))</f>
        <v/>
      </c>
      <c r="H1142" s="11" t="str">
        <f aca="false">IFERROR(MATCH(ROW()-1,DECKS!$O$2:$O$1201,0),"")</f>
        <v/>
      </c>
      <c r="I1142" s="11" t="str">
        <f aca="false">IF(C1142="","",G1142&amp;" "&amp;D1142&amp;" ("&amp;C1142&amp;")")</f>
        <v/>
      </c>
    </row>
    <row r="1143" customFormat="false" ht="15" hidden="false" customHeight="false" outlineLevel="0" collapsed="false">
      <c r="A1143" s="16"/>
      <c r="B1143" s="11" t="str">
        <f aca="false">IF($H1143="","",INDEX(DECKS!$A$2:$A$1201,$H1143))</f>
        <v/>
      </c>
      <c r="C1143" s="11" t="str">
        <f aca="false">IF($H1143="","",INDEX(DECKS!$B$2:$B$1201,$H1143))</f>
        <v/>
      </c>
      <c r="D1143" s="11" t="str">
        <f aca="false">IF($H1143="","",INDEX(DECKS!$C$2:$C$1201,$H1143))</f>
        <v/>
      </c>
      <c r="E1143" s="16" t="str">
        <f aca="false">IF($H1143="","",INDEX(DECKS!$D$2:$D$1201,$H1143))</f>
        <v/>
      </c>
      <c r="F1143" s="16" t="str">
        <f aca="false">IF($H1143="","",INDEX(DECKS!$E$2:$E$1201,$H1143))</f>
        <v/>
      </c>
      <c r="G1143" s="21" t="str">
        <f aca="false">IF($H1143="","",INDEX(DECKS!$F$2:$F$1201,$H1143))</f>
        <v/>
      </c>
      <c r="H1143" s="11" t="str">
        <f aca="false">IFERROR(MATCH(ROW()-1,DECKS!$O$2:$O$1201,0),"")</f>
        <v/>
      </c>
      <c r="I1143" s="11" t="str">
        <f aca="false">IF(C1143="","",G1143&amp;" "&amp;D1143&amp;" ("&amp;C1143&amp;")")</f>
        <v/>
      </c>
    </row>
    <row r="1144" customFormat="false" ht="15" hidden="false" customHeight="false" outlineLevel="0" collapsed="false">
      <c r="A1144" s="16"/>
      <c r="B1144" s="11" t="str">
        <f aca="false">IF($H1144="","",INDEX(DECKS!$A$2:$A$1201,$H1144))</f>
        <v/>
      </c>
      <c r="C1144" s="11" t="str">
        <f aca="false">IF($H1144="","",INDEX(DECKS!$B$2:$B$1201,$H1144))</f>
        <v/>
      </c>
      <c r="D1144" s="11" t="str">
        <f aca="false">IF($H1144="","",INDEX(DECKS!$C$2:$C$1201,$H1144))</f>
        <v/>
      </c>
      <c r="E1144" s="16" t="str">
        <f aca="false">IF($H1144="","",INDEX(DECKS!$D$2:$D$1201,$H1144))</f>
        <v/>
      </c>
      <c r="F1144" s="16" t="str">
        <f aca="false">IF($H1144="","",INDEX(DECKS!$E$2:$E$1201,$H1144))</f>
        <v/>
      </c>
      <c r="G1144" s="21" t="str">
        <f aca="false">IF($H1144="","",INDEX(DECKS!$F$2:$F$1201,$H1144))</f>
        <v/>
      </c>
      <c r="H1144" s="11" t="str">
        <f aca="false">IFERROR(MATCH(ROW()-1,DECKS!$O$2:$O$1201,0),"")</f>
        <v/>
      </c>
      <c r="I1144" s="11" t="str">
        <f aca="false">IF(C1144="","",G1144&amp;" "&amp;D1144&amp;" ("&amp;C1144&amp;")")</f>
        <v/>
      </c>
    </row>
    <row r="1145" customFormat="false" ht="15" hidden="false" customHeight="false" outlineLevel="0" collapsed="false">
      <c r="A1145" s="16"/>
      <c r="B1145" s="11" t="str">
        <f aca="false">IF($H1145="","",INDEX(DECKS!$A$2:$A$1201,$H1145))</f>
        <v/>
      </c>
      <c r="C1145" s="11" t="str">
        <f aca="false">IF($H1145="","",INDEX(DECKS!$B$2:$B$1201,$H1145))</f>
        <v/>
      </c>
      <c r="D1145" s="11" t="str">
        <f aca="false">IF($H1145="","",INDEX(DECKS!$C$2:$C$1201,$H1145))</f>
        <v/>
      </c>
      <c r="E1145" s="16" t="str">
        <f aca="false">IF($H1145="","",INDEX(DECKS!$D$2:$D$1201,$H1145))</f>
        <v/>
      </c>
      <c r="F1145" s="16" t="str">
        <f aca="false">IF($H1145="","",INDEX(DECKS!$E$2:$E$1201,$H1145))</f>
        <v/>
      </c>
      <c r="G1145" s="21" t="str">
        <f aca="false">IF($H1145="","",INDEX(DECKS!$F$2:$F$1201,$H1145))</f>
        <v/>
      </c>
      <c r="H1145" s="11" t="str">
        <f aca="false">IFERROR(MATCH(ROW()-1,DECKS!$O$2:$O$1201,0),"")</f>
        <v/>
      </c>
      <c r="I1145" s="11" t="str">
        <f aca="false">IF(C1145="","",G1145&amp;" "&amp;D1145&amp;" ("&amp;C1145&amp;")")</f>
        <v/>
      </c>
    </row>
    <row r="1146" customFormat="false" ht="15" hidden="false" customHeight="false" outlineLevel="0" collapsed="false">
      <c r="A1146" s="16"/>
      <c r="B1146" s="11" t="str">
        <f aca="false">IF($H1146="","",INDEX(DECKS!$A$2:$A$1201,$H1146))</f>
        <v/>
      </c>
      <c r="C1146" s="11" t="str">
        <f aca="false">IF($H1146="","",INDEX(DECKS!$B$2:$B$1201,$H1146))</f>
        <v/>
      </c>
      <c r="D1146" s="11" t="str">
        <f aca="false">IF($H1146="","",INDEX(DECKS!$C$2:$C$1201,$H1146))</f>
        <v/>
      </c>
      <c r="E1146" s="16" t="str">
        <f aca="false">IF($H1146="","",INDEX(DECKS!$D$2:$D$1201,$H1146))</f>
        <v/>
      </c>
      <c r="F1146" s="16" t="str">
        <f aca="false">IF($H1146="","",INDEX(DECKS!$E$2:$E$1201,$H1146))</f>
        <v/>
      </c>
      <c r="G1146" s="21" t="str">
        <f aca="false">IF($H1146="","",INDEX(DECKS!$F$2:$F$1201,$H1146))</f>
        <v/>
      </c>
      <c r="H1146" s="11" t="str">
        <f aca="false">IFERROR(MATCH(ROW()-1,DECKS!$O$2:$O$1201,0),"")</f>
        <v/>
      </c>
      <c r="I1146" s="11" t="str">
        <f aca="false">IF(C1146="","",G1146&amp;" "&amp;D1146&amp;" ("&amp;C1146&amp;")")</f>
        <v/>
      </c>
    </row>
    <row r="1147" customFormat="false" ht="15" hidden="false" customHeight="false" outlineLevel="0" collapsed="false">
      <c r="A1147" s="16"/>
      <c r="B1147" s="11" t="str">
        <f aca="false">IF($H1147="","",INDEX(DECKS!$A$2:$A$1201,$H1147))</f>
        <v/>
      </c>
      <c r="C1147" s="11" t="str">
        <f aca="false">IF($H1147="","",INDEX(DECKS!$B$2:$B$1201,$H1147))</f>
        <v/>
      </c>
      <c r="D1147" s="11" t="str">
        <f aca="false">IF($H1147="","",INDEX(DECKS!$C$2:$C$1201,$H1147))</f>
        <v/>
      </c>
      <c r="E1147" s="16" t="str">
        <f aca="false">IF($H1147="","",INDEX(DECKS!$D$2:$D$1201,$H1147))</f>
        <v/>
      </c>
      <c r="F1147" s="16" t="str">
        <f aca="false">IF($H1147="","",INDEX(DECKS!$E$2:$E$1201,$H1147))</f>
        <v/>
      </c>
      <c r="G1147" s="21" t="str">
        <f aca="false">IF($H1147="","",INDEX(DECKS!$F$2:$F$1201,$H1147))</f>
        <v/>
      </c>
      <c r="H1147" s="11" t="str">
        <f aca="false">IFERROR(MATCH(ROW()-1,DECKS!$O$2:$O$1201,0),"")</f>
        <v/>
      </c>
      <c r="I1147" s="11" t="str">
        <f aca="false">IF(C1147="","",G1147&amp;" "&amp;D1147&amp;" ("&amp;C1147&amp;")")</f>
        <v/>
      </c>
    </row>
    <row r="1148" customFormat="false" ht="15" hidden="false" customHeight="false" outlineLevel="0" collapsed="false">
      <c r="A1148" s="16"/>
      <c r="B1148" s="11" t="str">
        <f aca="false">IF($H1148="","",INDEX(DECKS!$A$2:$A$1201,$H1148))</f>
        <v/>
      </c>
      <c r="C1148" s="11" t="str">
        <f aca="false">IF($H1148="","",INDEX(DECKS!$B$2:$B$1201,$H1148))</f>
        <v/>
      </c>
      <c r="D1148" s="11" t="str">
        <f aca="false">IF($H1148="","",INDEX(DECKS!$C$2:$C$1201,$H1148))</f>
        <v/>
      </c>
      <c r="E1148" s="16" t="str">
        <f aca="false">IF($H1148="","",INDEX(DECKS!$D$2:$D$1201,$H1148))</f>
        <v/>
      </c>
      <c r="F1148" s="16" t="str">
        <f aca="false">IF($H1148="","",INDEX(DECKS!$E$2:$E$1201,$H1148))</f>
        <v/>
      </c>
      <c r="G1148" s="21" t="str">
        <f aca="false">IF($H1148="","",INDEX(DECKS!$F$2:$F$1201,$H1148))</f>
        <v/>
      </c>
      <c r="H1148" s="11" t="str">
        <f aca="false">IFERROR(MATCH(ROW()-1,DECKS!$O$2:$O$1201,0),"")</f>
        <v/>
      </c>
      <c r="I1148" s="11" t="str">
        <f aca="false">IF(C1148="","",G1148&amp;" "&amp;D1148&amp;" ("&amp;C1148&amp;")")</f>
        <v/>
      </c>
    </row>
    <row r="1149" customFormat="false" ht="15" hidden="false" customHeight="false" outlineLevel="0" collapsed="false">
      <c r="A1149" s="16"/>
      <c r="B1149" s="11" t="str">
        <f aca="false">IF($H1149="","",INDEX(DECKS!$A$2:$A$1201,$H1149))</f>
        <v/>
      </c>
      <c r="C1149" s="11" t="str">
        <f aca="false">IF($H1149="","",INDEX(DECKS!$B$2:$B$1201,$H1149))</f>
        <v/>
      </c>
      <c r="D1149" s="11" t="str">
        <f aca="false">IF($H1149="","",INDEX(DECKS!$C$2:$C$1201,$H1149))</f>
        <v/>
      </c>
      <c r="E1149" s="16" t="str">
        <f aca="false">IF($H1149="","",INDEX(DECKS!$D$2:$D$1201,$H1149))</f>
        <v/>
      </c>
      <c r="F1149" s="16" t="str">
        <f aca="false">IF($H1149="","",INDEX(DECKS!$E$2:$E$1201,$H1149))</f>
        <v/>
      </c>
      <c r="G1149" s="21" t="str">
        <f aca="false">IF($H1149="","",INDEX(DECKS!$F$2:$F$1201,$H1149))</f>
        <v/>
      </c>
      <c r="H1149" s="11" t="str">
        <f aca="false">IFERROR(MATCH(ROW()-1,DECKS!$O$2:$O$1201,0),"")</f>
        <v/>
      </c>
      <c r="I1149" s="11" t="str">
        <f aca="false">IF(C1149="","",G1149&amp;" "&amp;D1149&amp;" ("&amp;C1149&amp;")")</f>
        <v/>
      </c>
    </row>
    <row r="1150" customFormat="false" ht="15" hidden="false" customHeight="false" outlineLevel="0" collapsed="false">
      <c r="A1150" s="16"/>
      <c r="B1150" s="11" t="str">
        <f aca="false">IF($H1150="","",INDEX(DECKS!$A$2:$A$1201,$H1150))</f>
        <v/>
      </c>
      <c r="C1150" s="11" t="str">
        <f aca="false">IF($H1150="","",INDEX(DECKS!$B$2:$B$1201,$H1150))</f>
        <v/>
      </c>
      <c r="D1150" s="11" t="str">
        <f aca="false">IF($H1150="","",INDEX(DECKS!$C$2:$C$1201,$H1150))</f>
        <v/>
      </c>
      <c r="E1150" s="16" t="str">
        <f aca="false">IF($H1150="","",INDEX(DECKS!$D$2:$D$1201,$H1150))</f>
        <v/>
      </c>
      <c r="F1150" s="16" t="str">
        <f aca="false">IF($H1150="","",INDEX(DECKS!$E$2:$E$1201,$H1150))</f>
        <v/>
      </c>
      <c r="G1150" s="21" t="str">
        <f aca="false">IF($H1150="","",INDEX(DECKS!$F$2:$F$1201,$H1150))</f>
        <v/>
      </c>
      <c r="H1150" s="11" t="str">
        <f aca="false">IFERROR(MATCH(ROW()-1,DECKS!$O$2:$O$1201,0),"")</f>
        <v/>
      </c>
      <c r="I1150" s="11" t="str">
        <f aca="false">IF(C1150="","",G1150&amp;" "&amp;D1150&amp;" ("&amp;C1150&amp;")")</f>
        <v/>
      </c>
    </row>
    <row r="1151" customFormat="false" ht="15" hidden="false" customHeight="false" outlineLevel="0" collapsed="false">
      <c r="A1151" s="16"/>
      <c r="B1151" s="11" t="str">
        <f aca="false">IF($H1151="","",INDEX(DECKS!$A$2:$A$1201,$H1151))</f>
        <v/>
      </c>
      <c r="C1151" s="11" t="str">
        <f aca="false">IF($H1151="","",INDEX(DECKS!$B$2:$B$1201,$H1151))</f>
        <v/>
      </c>
      <c r="D1151" s="11" t="str">
        <f aca="false">IF($H1151="","",INDEX(DECKS!$C$2:$C$1201,$H1151))</f>
        <v/>
      </c>
      <c r="E1151" s="16" t="str">
        <f aca="false">IF($H1151="","",INDEX(DECKS!$D$2:$D$1201,$H1151))</f>
        <v/>
      </c>
      <c r="F1151" s="16" t="str">
        <f aca="false">IF($H1151="","",INDEX(DECKS!$E$2:$E$1201,$H1151))</f>
        <v/>
      </c>
      <c r="G1151" s="21" t="str">
        <f aca="false">IF($H1151="","",INDEX(DECKS!$F$2:$F$1201,$H1151))</f>
        <v/>
      </c>
      <c r="H1151" s="11" t="str">
        <f aca="false">IFERROR(MATCH(ROW()-1,DECKS!$O$2:$O$1201,0),"")</f>
        <v/>
      </c>
      <c r="I1151" s="11" t="str">
        <f aca="false">IF(C1151="","",G1151&amp;" "&amp;D1151&amp;" ("&amp;C1151&amp;")")</f>
        <v/>
      </c>
    </row>
    <row r="1152" customFormat="false" ht="15" hidden="false" customHeight="false" outlineLevel="0" collapsed="false">
      <c r="A1152" s="16"/>
      <c r="B1152" s="11" t="str">
        <f aca="false">IF($H1152="","",INDEX(DECKS!$A$2:$A$1201,$H1152))</f>
        <v/>
      </c>
      <c r="C1152" s="11" t="str">
        <f aca="false">IF($H1152="","",INDEX(DECKS!$B$2:$B$1201,$H1152))</f>
        <v/>
      </c>
      <c r="D1152" s="11" t="str">
        <f aca="false">IF($H1152="","",INDEX(DECKS!$C$2:$C$1201,$H1152))</f>
        <v/>
      </c>
      <c r="E1152" s="16" t="str">
        <f aca="false">IF($H1152="","",INDEX(DECKS!$D$2:$D$1201,$H1152))</f>
        <v/>
      </c>
      <c r="F1152" s="16" t="str">
        <f aca="false">IF($H1152="","",INDEX(DECKS!$E$2:$E$1201,$H1152))</f>
        <v/>
      </c>
      <c r="G1152" s="21" t="str">
        <f aca="false">IF($H1152="","",INDEX(DECKS!$F$2:$F$1201,$H1152))</f>
        <v/>
      </c>
      <c r="H1152" s="11" t="str">
        <f aca="false">IFERROR(MATCH(ROW()-1,DECKS!$O$2:$O$1201,0),"")</f>
        <v/>
      </c>
      <c r="I1152" s="11" t="str">
        <f aca="false">IF(C1152="","",G1152&amp;" "&amp;D1152&amp;" ("&amp;C1152&amp;")")</f>
        <v/>
      </c>
    </row>
    <row r="1153" customFormat="false" ht="15" hidden="false" customHeight="false" outlineLevel="0" collapsed="false">
      <c r="A1153" s="16"/>
      <c r="B1153" s="11" t="str">
        <f aca="false">IF($H1153="","",INDEX(DECKS!$A$2:$A$1201,$H1153))</f>
        <v/>
      </c>
      <c r="C1153" s="11" t="str">
        <f aca="false">IF($H1153="","",INDEX(DECKS!$B$2:$B$1201,$H1153))</f>
        <v/>
      </c>
      <c r="D1153" s="11" t="str">
        <f aca="false">IF($H1153="","",INDEX(DECKS!$C$2:$C$1201,$H1153))</f>
        <v/>
      </c>
      <c r="E1153" s="16" t="str">
        <f aca="false">IF($H1153="","",INDEX(DECKS!$D$2:$D$1201,$H1153))</f>
        <v/>
      </c>
      <c r="F1153" s="16" t="str">
        <f aca="false">IF($H1153="","",INDEX(DECKS!$E$2:$E$1201,$H1153))</f>
        <v/>
      </c>
      <c r="G1153" s="21" t="str">
        <f aca="false">IF($H1153="","",INDEX(DECKS!$F$2:$F$1201,$H1153))</f>
        <v/>
      </c>
      <c r="H1153" s="11" t="str">
        <f aca="false">IFERROR(MATCH(ROW()-1,DECKS!$O$2:$O$1201,0),"")</f>
        <v/>
      </c>
      <c r="I1153" s="11" t="str">
        <f aca="false">IF(C1153="","",G1153&amp;" "&amp;D1153&amp;" ("&amp;C1153&amp;")")</f>
        <v/>
      </c>
    </row>
    <row r="1154" customFormat="false" ht="15" hidden="false" customHeight="false" outlineLevel="0" collapsed="false">
      <c r="A1154" s="16"/>
      <c r="B1154" s="11" t="str">
        <f aca="false">IF($H1154="","",INDEX(DECKS!$A$2:$A$1201,$H1154))</f>
        <v/>
      </c>
      <c r="C1154" s="11" t="str">
        <f aca="false">IF($H1154="","",INDEX(DECKS!$B$2:$B$1201,$H1154))</f>
        <v/>
      </c>
      <c r="D1154" s="11" t="str">
        <f aca="false">IF($H1154="","",INDEX(DECKS!$C$2:$C$1201,$H1154))</f>
        <v/>
      </c>
      <c r="E1154" s="16" t="str">
        <f aca="false">IF($H1154="","",INDEX(DECKS!$D$2:$D$1201,$H1154))</f>
        <v/>
      </c>
      <c r="F1154" s="16" t="str">
        <f aca="false">IF($H1154="","",INDEX(DECKS!$E$2:$E$1201,$H1154))</f>
        <v/>
      </c>
      <c r="G1154" s="21" t="str">
        <f aca="false">IF($H1154="","",INDEX(DECKS!$F$2:$F$1201,$H1154))</f>
        <v/>
      </c>
      <c r="H1154" s="11" t="str">
        <f aca="false">IFERROR(MATCH(ROW()-1,DECKS!$O$2:$O$1201,0),"")</f>
        <v/>
      </c>
      <c r="I1154" s="11" t="str">
        <f aca="false">IF(C1154="","",G1154&amp;" "&amp;D1154&amp;" ("&amp;C1154&amp;")")</f>
        <v/>
      </c>
    </row>
    <row r="1155" customFormat="false" ht="15" hidden="false" customHeight="false" outlineLevel="0" collapsed="false">
      <c r="A1155" s="16"/>
      <c r="B1155" s="11" t="str">
        <f aca="false">IF($H1155="","",INDEX(DECKS!$A$2:$A$1201,$H1155))</f>
        <v/>
      </c>
      <c r="C1155" s="11" t="str">
        <f aca="false">IF($H1155="","",INDEX(DECKS!$B$2:$B$1201,$H1155))</f>
        <v/>
      </c>
      <c r="D1155" s="11" t="str">
        <f aca="false">IF($H1155="","",INDEX(DECKS!$C$2:$C$1201,$H1155))</f>
        <v/>
      </c>
      <c r="E1155" s="16" t="str">
        <f aca="false">IF($H1155="","",INDEX(DECKS!$D$2:$D$1201,$H1155))</f>
        <v/>
      </c>
      <c r="F1155" s="16" t="str">
        <f aca="false">IF($H1155="","",INDEX(DECKS!$E$2:$E$1201,$H1155))</f>
        <v/>
      </c>
      <c r="G1155" s="21" t="str">
        <f aca="false">IF($H1155="","",INDEX(DECKS!$F$2:$F$1201,$H1155))</f>
        <v/>
      </c>
      <c r="H1155" s="11" t="str">
        <f aca="false">IFERROR(MATCH(ROW()-1,DECKS!$O$2:$O$1201,0),"")</f>
        <v/>
      </c>
      <c r="I1155" s="11" t="str">
        <f aca="false">IF(C1155="","",G1155&amp;" "&amp;D1155&amp;" ("&amp;C1155&amp;")")</f>
        <v/>
      </c>
    </row>
    <row r="1156" customFormat="false" ht="15" hidden="false" customHeight="false" outlineLevel="0" collapsed="false">
      <c r="A1156" s="16"/>
      <c r="B1156" s="11" t="str">
        <f aca="false">IF($H1156="","",INDEX(DECKS!$A$2:$A$1201,$H1156))</f>
        <v/>
      </c>
      <c r="C1156" s="11" t="str">
        <f aca="false">IF($H1156="","",INDEX(DECKS!$B$2:$B$1201,$H1156))</f>
        <v/>
      </c>
      <c r="D1156" s="11" t="str">
        <f aca="false">IF($H1156="","",INDEX(DECKS!$C$2:$C$1201,$H1156))</f>
        <v/>
      </c>
      <c r="E1156" s="16" t="str">
        <f aca="false">IF($H1156="","",INDEX(DECKS!$D$2:$D$1201,$H1156))</f>
        <v/>
      </c>
      <c r="F1156" s="16" t="str">
        <f aca="false">IF($H1156="","",INDEX(DECKS!$E$2:$E$1201,$H1156))</f>
        <v/>
      </c>
      <c r="G1156" s="21" t="str">
        <f aca="false">IF($H1156="","",INDEX(DECKS!$F$2:$F$1201,$H1156))</f>
        <v/>
      </c>
      <c r="H1156" s="11" t="str">
        <f aca="false">IFERROR(MATCH(ROW()-1,DECKS!$O$2:$O$1201,0),"")</f>
        <v/>
      </c>
      <c r="I1156" s="11" t="str">
        <f aca="false">IF(C1156="","",G1156&amp;" "&amp;D1156&amp;" ("&amp;C1156&amp;")")</f>
        <v/>
      </c>
    </row>
    <row r="1157" customFormat="false" ht="15" hidden="false" customHeight="false" outlineLevel="0" collapsed="false">
      <c r="A1157" s="16"/>
      <c r="B1157" s="11" t="str">
        <f aca="false">IF($H1157="","",INDEX(DECKS!$A$2:$A$1201,$H1157))</f>
        <v/>
      </c>
      <c r="C1157" s="11" t="str">
        <f aca="false">IF($H1157="","",INDEX(DECKS!$B$2:$B$1201,$H1157))</f>
        <v/>
      </c>
      <c r="D1157" s="11" t="str">
        <f aca="false">IF($H1157="","",INDEX(DECKS!$C$2:$C$1201,$H1157))</f>
        <v/>
      </c>
      <c r="E1157" s="16" t="str">
        <f aca="false">IF($H1157="","",INDEX(DECKS!$D$2:$D$1201,$H1157))</f>
        <v/>
      </c>
      <c r="F1157" s="16" t="str">
        <f aca="false">IF($H1157="","",INDEX(DECKS!$E$2:$E$1201,$H1157))</f>
        <v/>
      </c>
      <c r="G1157" s="21" t="str">
        <f aca="false">IF($H1157="","",INDEX(DECKS!$F$2:$F$1201,$H1157))</f>
        <v/>
      </c>
      <c r="H1157" s="11" t="str">
        <f aca="false">IFERROR(MATCH(ROW()-1,DECKS!$O$2:$O$1201,0),"")</f>
        <v/>
      </c>
      <c r="I1157" s="11" t="str">
        <f aca="false">IF(C1157="","",G1157&amp;" "&amp;D1157&amp;" ("&amp;C1157&amp;")")</f>
        <v/>
      </c>
    </row>
    <row r="1158" customFormat="false" ht="15" hidden="false" customHeight="false" outlineLevel="0" collapsed="false">
      <c r="A1158" s="16"/>
      <c r="B1158" s="11" t="str">
        <f aca="false">IF($H1158="","",INDEX(DECKS!$A$2:$A$1201,$H1158))</f>
        <v/>
      </c>
      <c r="C1158" s="11" t="str">
        <f aca="false">IF($H1158="","",INDEX(DECKS!$B$2:$B$1201,$H1158))</f>
        <v/>
      </c>
      <c r="D1158" s="11" t="str">
        <f aca="false">IF($H1158="","",INDEX(DECKS!$C$2:$C$1201,$H1158))</f>
        <v/>
      </c>
      <c r="E1158" s="16" t="str">
        <f aca="false">IF($H1158="","",INDEX(DECKS!$D$2:$D$1201,$H1158))</f>
        <v/>
      </c>
      <c r="F1158" s="16" t="str">
        <f aca="false">IF($H1158="","",INDEX(DECKS!$E$2:$E$1201,$H1158))</f>
        <v/>
      </c>
      <c r="G1158" s="21" t="str">
        <f aca="false">IF($H1158="","",INDEX(DECKS!$F$2:$F$1201,$H1158))</f>
        <v/>
      </c>
      <c r="H1158" s="11" t="str">
        <f aca="false">IFERROR(MATCH(ROW()-1,DECKS!$O$2:$O$1201,0),"")</f>
        <v/>
      </c>
      <c r="I1158" s="11" t="str">
        <f aca="false">IF(C1158="","",G1158&amp;" "&amp;D1158&amp;" ("&amp;C1158&amp;")")</f>
        <v/>
      </c>
    </row>
    <row r="1159" customFormat="false" ht="15" hidden="false" customHeight="false" outlineLevel="0" collapsed="false">
      <c r="A1159" s="16"/>
      <c r="B1159" s="11" t="str">
        <f aca="false">IF($H1159="","",INDEX(DECKS!$A$2:$A$1201,$H1159))</f>
        <v/>
      </c>
      <c r="C1159" s="11" t="str">
        <f aca="false">IF($H1159="","",INDEX(DECKS!$B$2:$B$1201,$H1159))</f>
        <v/>
      </c>
      <c r="D1159" s="11" t="str">
        <f aca="false">IF($H1159="","",INDEX(DECKS!$C$2:$C$1201,$H1159))</f>
        <v/>
      </c>
      <c r="E1159" s="16" t="str">
        <f aca="false">IF($H1159="","",INDEX(DECKS!$D$2:$D$1201,$H1159))</f>
        <v/>
      </c>
      <c r="F1159" s="16" t="str">
        <f aca="false">IF($H1159="","",INDEX(DECKS!$E$2:$E$1201,$H1159))</f>
        <v/>
      </c>
      <c r="G1159" s="21" t="str">
        <f aca="false">IF($H1159="","",INDEX(DECKS!$F$2:$F$1201,$H1159))</f>
        <v/>
      </c>
      <c r="H1159" s="11" t="str">
        <f aca="false">IFERROR(MATCH(ROW()-1,DECKS!$O$2:$O$1201,0),"")</f>
        <v/>
      </c>
      <c r="I1159" s="11" t="str">
        <f aca="false">IF(C1159="","",G1159&amp;" "&amp;D1159&amp;" ("&amp;C1159&amp;")")</f>
        <v/>
      </c>
    </row>
    <row r="1160" customFormat="false" ht="15" hidden="false" customHeight="false" outlineLevel="0" collapsed="false">
      <c r="A1160" s="16"/>
      <c r="B1160" s="11" t="str">
        <f aca="false">IF($H1160="","",INDEX(DECKS!$A$2:$A$1201,$H1160))</f>
        <v/>
      </c>
      <c r="C1160" s="11" t="str">
        <f aca="false">IF($H1160="","",INDEX(DECKS!$B$2:$B$1201,$H1160))</f>
        <v/>
      </c>
      <c r="D1160" s="11" t="str">
        <f aca="false">IF($H1160="","",INDEX(DECKS!$C$2:$C$1201,$H1160))</f>
        <v/>
      </c>
      <c r="E1160" s="16" t="str">
        <f aca="false">IF($H1160="","",INDEX(DECKS!$D$2:$D$1201,$H1160))</f>
        <v/>
      </c>
      <c r="F1160" s="16" t="str">
        <f aca="false">IF($H1160="","",INDEX(DECKS!$E$2:$E$1201,$H1160))</f>
        <v/>
      </c>
      <c r="G1160" s="21" t="str">
        <f aca="false">IF($H1160="","",INDEX(DECKS!$F$2:$F$1201,$H1160))</f>
        <v/>
      </c>
      <c r="H1160" s="11" t="str">
        <f aca="false">IFERROR(MATCH(ROW()-1,DECKS!$O$2:$O$1201,0),"")</f>
        <v/>
      </c>
      <c r="I1160" s="11" t="str">
        <f aca="false">IF(C1160="","",G1160&amp;" "&amp;D1160&amp;" ("&amp;C1160&amp;")")</f>
        <v/>
      </c>
    </row>
    <row r="1161" customFormat="false" ht="15" hidden="false" customHeight="false" outlineLevel="0" collapsed="false">
      <c r="A1161" s="16"/>
      <c r="B1161" s="11" t="str">
        <f aca="false">IF($H1161="","",INDEX(DECKS!$A$2:$A$1201,$H1161))</f>
        <v/>
      </c>
      <c r="C1161" s="11" t="str">
        <f aca="false">IF($H1161="","",INDEX(DECKS!$B$2:$B$1201,$H1161))</f>
        <v/>
      </c>
      <c r="D1161" s="11" t="str">
        <f aca="false">IF($H1161="","",INDEX(DECKS!$C$2:$C$1201,$H1161))</f>
        <v/>
      </c>
      <c r="E1161" s="16" t="str">
        <f aca="false">IF($H1161="","",INDEX(DECKS!$D$2:$D$1201,$H1161))</f>
        <v/>
      </c>
      <c r="F1161" s="16" t="str">
        <f aca="false">IF($H1161="","",INDEX(DECKS!$E$2:$E$1201,$H1161))</f>
        <v/>
      </c>
      <c r="G1161" s="21" t="str">
        <f aca="false">IF($H1161="","",INDEX(DECKS!$F$2:$F$1201,$H1161))</f>
        <v/>
      </c>
      <c r="H1161" s="11" t="str">
        <f aca="false">IFERROR(MATCH(ROW()-1,DECKS!$O$2:$O$1201,0),"")</f>
        <v/>
      </c>
      <c r="I1161" s="11" t="str">
        <f aca="false">IF(C1161="","",G1161&amp;" "&amp;D1161&amp;" ("&amp;C1161&amp;")")</f>
        <v/>
      </c>
    </row>
    <row r="1162" customFormat="false" ht="15" hidden="false" customHeight="false" outlineLevel="0" collapsed="false">
      <c r="A1162" s="16"/>
      <c r="B1162" s="11" t="str">
        <f aca="false">IF($H1162="","",INDEX(DECKS!$A$2:$A$1201,$H1162))</f>
        <v/>
      </c>
      <c r="C1162" s="11" t="str">
        <f aca="false">IF($H1162="","",INDEX(DECKS!$B$2:$B$1201,$H1162))</f>
        <v/>
      </c>
      <c r="D1162" s="11" t="str">
        <f aca="false">IF($H1162="","",INDEX(DECKS!$C$2:$C$1201,$H1162))</f>
        <v/>
      </c>
      <c r="E1162" s="16" t="str">
        <f aca="false">IF($H1162="","",INDEX(DECKS!$D$2:$D$1201,$H1162))</f>
        <v/>
      </c>
      <c r="F1162" s="16" t="str">
        <f aca="false">IF($H1162="","",INDEX(DECKS!$E$2:$E$1201,$H1162))</f>
        <v/>
      </c>
      <c r="G1162" s="21" t="str">
        <f aca="false">IF($H1162="","",INDEX(DECKS!$F$2:$F$1201,$H1162))</f>
        <v/>
      </c>
      <c r="H1162" s="11" t="str">
        <f aca="false">IFERROR(MATCH(ROW()-1,DECKS!$O$2:$O$1201,0),"")</f>
        <v/>
      </c>
      <c r="I1162" s="11" t="str">
        <f aca="false">IF(C1162="","",G1162&amp;" "&amp;D1162&amp;" ("&amp;C1162&amp;")")</f>
        <v/>
      </c>
    </row>
    <row r="1163" customFormat="false" ht="15" hidden="false" customHeight="false" outlineLevel="0" collapsed="false">
      <c r="A1163" s="16"/>
      <c r="B1163" s="11" t="str">
        <f aca="false">IF($H1163="","",INDEX(DECKS!$A$2:$A$1201,$H1163))</f>
        <v/>
      </c>
      <c r="C1163" s="11" t="str">
        <f aca="false">IF($H1163="","",INDEX(DECKS!$B$2:$B$1201,$H1163))</f>
        <v/>
      </c>
      <c r="D1163" s="11" t="str">
        <f aca="false">IF($H1163="","",INDEX(DECKS!$C$2:$C$1201,$H1163))</f>
        <v/>
      </c>
      <c r="E1163" s="16" t="str">
        <f aca="false">IF($H1163="","",INDEX(DECKS!$D$2:$D$1201,$H1163))</f>
        <v/>
      </c>
      <c r="F1163" s="16" t="str">
        <f aca="false">IF($H1163="","",INDEX(DECKS!$E$2:$E$1201,$H1163))</f>
        <v/>
      </c>
      <c r="G1163" s="21" t="str">
        <f aca="false">IF($H1163="","",INDEX(DECKS!$F$2:$F$1201,$H1163))</f>
        <v/>
      </c>
      <c r="H1163" s="11" t="str">
        <f aca="false">IFERROR(MATCH(ROW()-1,DECKS!$O$2:$O$1201,0),"")</f>
        <v/>
      </c>
      <c r="I1163" s="11" t="str">
        <f aca="false">IF(C1163="","",G1163&amp;" "&amp;D1163&amp;" ("&amp;C1163&amp;")")</f>
        <v/>
      </c>
    </row>
    <row r="1164" customFormat="false" ht="15" hidden="false" customHeight="false" outlineLevel="0" collapsed="false">
      <c r="A1164" s="16"/>
      <c r="B1164" s="11" t="str">
        <f aca="false">IF($H1164="","",INDEX(DECKS!$A$2:$A$1201,$H1164))</f>
        <v/>
      </c>
      <c r="C1164" s="11" t="str">
        <f aca="false">IF($H1164="","",INDEX(DECKS!$B$2:$B$1201,$H1164))</f>
        <v/>
      </c>
      <c r="D1164" s="11" t="str">
        <f aca="false">IF($H1164="","",INDEX(DECKS!$C$2:$C$1201,$H1164))</f>
        <v/>
      </c>
      <c r="E1164" s="16" t="str">
        <f aca="false">IF($H1164="","",INDEX(DECKS!$D$2:$D$1201,$H1164))</f>
        <v/>
      </c>
      <c r="F1164" s="16" t="str">
        <f aca="false">IF($H1164="","",INDEX(DECKS!$E$2:$E$1201,$H1164))</f>
        <v/>
      </c>
      <c r="G1164" s="21" t="str">
        <f aca="false">IF($H1164="","",INDEX(DECKS!$F$2:$F$1201,$H1164))</f>
        <v/>
      </c>
      <c r="H1164" s="11" t="str">
        <f aca="false">IFERROR(MATCH(ROW()-1,DECKS!$O$2:$O$1201,0),"")</f>
        <v/>
      </c>
      <c r="I1164" s="11" t="str">
        <f aca="false">IF(C1164="","",G1164&amp;" "&amp;D1164&amp;" ("&amp;C1164&amp;")")</f>
        <v/>
      </c>
    </row>
    <row r="1165" customFormat="false" ht="15" hidden="false" customHeight="false" outlineLevel="0" collapsed="false">
      <c r="A1165" s="16"/>
      <c r="B1165" s="11" t="str">
        <f aca="false">IF($H1165="","",INDEX(DECKS!$A$2:$A$1201,$H1165))</f>
        <v/>
      </c>
      <c r="C1165" s="11" t="str">
        <f aca="false">IF($H1165="","",INDEX(DECKS!$B$2:$B$1201,$H1165))</f>
        <v/>
      </c>
      <c r="D1165" s="11" t="str">
        <f aca="false">IF($H1165="","",INDEX(DECKS!$C$2:$C$1201,$H1165))</f>
        <v/>
      </c>
      <c r="E1165" s="16" t="str">
        <f aca="false">IF($H1165="","",INDEX(DECKS!$D$2:$D$1201,$H1165))</f>
        <v/>
      </c>
      <c r="F1165" s="16" t="str">
        <f aca="false">IF($H1165="","",INDEX(DECKS!$E$2:$E$1201,$H1165))</f>
        <v/>
      </c>
      <c r="G1165" s="21" t="str">
        <f aca="false">IF($H1165="","",INDEX(DECKS!$F$2:$F$1201,$H1165))</f>
        <v/>
      </c>
      <c r="H1165" s="11" t="str">
        <f aca="false">IFERROR(MATCH(ROW()-1,DECKS!$O$2:$O$1201,0),"")</f>
        <v/>
      </c>
      <c r="I1165" s="11" t="str">
        <f aca="false">IF(C1165="","",G1165&amp;" "&amp;D1165&amp;" ("&amp;C1165&amp;")")</f>
        <v/>
      </c>
    </row>
    <row r="1166" customFormat="false" ht="15" hidden="false" customHeight="false" outlineLevel="0" collapsed="false">
      <c r="A1166" s="16"/>
      <c r="B1166" s="11" t="str">
        <f aca="false">IF($H1166="","",INDEX(DECKS!$A$2:$A$1201,$H1166))</f>
        <v/>
      </c>
      <c r="C1166" s="11" t="str">
        <f aca="false">IF($H1166="","",INDEX(DECKS!$B$2:$B$1201,$H1166))</f>
        <v/>
      </c>
      <c r="D1166" s="11" t="str">
        <f aca="false">IF($H1166="","",INDEX(DECKS!$C$2:$C$1201,$H1166))</f>
        <v/>
      </c>
      <c r="E1166" s="16" t="str">
        <f aca="false">IF($H1166="","",INDEX(DECKS!$D$2:$D$1201,$H1166))</f>
        <v/>
      </c>
      <c r="F1166" s="16" t="str">
        <f aca="false">IF($H1166="","",INDEX(DECKS!$E$2:$E$1201,$H1166))</f>
        <v/>
      </c>
      <c r="G1166" s="21" t="str">
        <f aca="false">IF($H1166="","",INDEX(DECKS!$F$2:$F$1201,$H1166))</f>
        <v/>
      </c>
      <c r="H1166" s="11" t="str">
        <f aca="false">IFERROR(MATCH(ROW()-1,DECKS!$O$2:$O$1201,0),"")</f>
        <v/>
      </c>
      <c r="I1166" s="11" t="str">
        <f aca="false">IF(C1166="","",G1166&amp;" "&amp;D1166&amp;" ("&amp;C1166&amp;")")</f>
        <v/>
      </c>
    </row>
    <row r="1167" customFormat="false" ht="15" hidden="false" customHeight="false" outlineLevel="0" collapsed="false">
      <c r="A1167" s="16"/>
      <c r="B1167" s="11" t="str">
        <f aca="false">IF($H1167="","",INDEX(DECKS!$A$2:$A$1201,$H1167))</f>
        <v/>
      </c>
      <c r="C1167" s="11" t="str">
        <f aca="false">IF($H1167="","",INDEX(DECKS!$B$2:$B$1201,$H1167))</f>
        <v/>
      </c>
      <c r="D1167" s="11" t="str">
        <f aca="false">IF($H1167="","",INDEX(DECKS!$C$2:$C$1201,$H1167))</f>
        <v/>
      </c>
      <c r="E1167" s="16" t="str">
        <f aca="false">IF($H1167="","",INDEX(DECKS!$D$2:$D$1201,$H1167))</f>
        <v/>
      </c>
      <c r="F1167" s="16" t="str">
        <f aca="false">IF($H1167="","",INDEX(DECKS!$E$2:$E$1201,$H1167))</f>
        <v/>
      </c>
      <c r="G1167" s="21" t="str">
        <f aca="false">IF($H1167="","",INDEX(DECKS!$F$2:$F$1201,$H1167))</f>
        <v/>
      </c>
      <c r="H1167" s="11" t="str">
        <f aca="false">IFERROR(MATCH(ROW()-1,DECKS!$O$2:$O$1201,0),"")</f>
        <v/>
      </c>
      <c r="I1167" s="11" t="str">
        <f aca="false">IF(C1167="","",G1167&amp;" "&amp;D1167&amp;" ("&amp;C1167&amp;")")</f>
        <v/>
      </c>
    </row>
    <row r="1168" customFormat="false" ht="15" hidden="false" customHeight="false" outlineLevel="0" collapsed="false">
      <c r="A1168" s="16"/>
      <c r="B1168" s="11" t="str">
        <f aca="false">IF($H1168="","",INDEX(DECKS!$A$2:$A$1201,$H1168))</f>
        <v/>
      </c>
      <c r="C1168" s="11" t="str">
        <f aca="false">IF($H1168="","",INDEX(DECKS!$B$2:$B$1201,$H1168))</f>
        <v/>
      </c>
      <c r="D1168" s="11" t="str">
        <f aca="false">IF($H1168="","",INDEX(DECKS!$C$2:$C$1201,$H1168))</f>
        <v/>
      </c>
      <c r="E1168" s="16" t="str">
        <f aca="false">IF($H1168="","",INDEX(DECKS!$D$2:$D$1201,$H1168))</f>
        <v/>
      </c>
      <c r="F1168" s="16" t="str">
        <f aca="false">IF($H1168="","",INDEX(DECKS!$E$2:$E$1201,$H1168))</f>
        <v/>
      </c>
      <c r="G1168" s="21" t="str">
        <f aca="false">IF($H1168="","",INDEX(DECKS!$F$2:$F$1201,$H1168))</f>
        <v/>
      </c>
      <c r="H1168" s="11" t="str">
        <f aca="false">IFERROR(MATCH(ROW()-1,DECKS!$O$2:$O$1201,0),"")</f>
        <v/>
      </c>
      <c r="I1168" s="11" t="str">
        <f aca="false">IF(C1168="","",G1168&amp;" "&amp;D1168&amp;" ("&amp;C1168&amp;")")</f>
        <v/>
      </c>
    </row>
    <row r="1169" customFormat="false" ht="15" hidden="false" customHeight="false" outlineLevel="0" collapsed="false">
      <c r="A1169" s="16"/>
      <c r="B1169" s="11" t="str">
        <f aca="false">IF($H1169="","",INDEX(DECKS!$A$2:$A$1201,$H1169))</f>
        <v/>
      </c>
      <c r="C1169" s="11" t="str">
        <f aca="false">IF($H1169="","",INDEX(DECKS!$B$2:$B$1201,$H1169))</f>
        <v/>
      </c>
      <c r="D1169" s="11" t="str">
        <f aca="false">IF($H1169="","",INDEX(DECKS!$C$2:$C$1201,$H1169))</f>
        <v/>
      </c>
      <c r="E1169" s="16" t="str">
        <f aca="false">IF($H1169="","",INDEX(DECKS!$D$2:$D$1201,$H1169))</f>
        <v/>
      </c>
      <c r="F1169" s="16" t="str">
        <f aca="false">IF($H1169="","",INDEX(DECKS!$E$2:$E$1201,$H1169))</f>
        <v/>
      </c>
      <c r="G1169" s="21" t="str">
        <f aca="false">IF($H1169="","",INDEX(DECKS!$F$2:$F$1201,$H1169))</f>
        <v/>
      </c>
      <c r="H1169" s="11" t="str">
        <f aca="false">IFERROR(MATCH(ROW()-1,DECKS!$O$2:$O$1201,0),"")</f>
        <v/>
      </c>
      <c r="I1169" s="11" t="str">
        <f aca="false">IF(C1169="","",G1169&amp;" "&amp;D1169&amp;" ("&amp;C1169&amp;")")</f>
        <v/>
      </c>
    </row>
    <row r="1170" customFormat="false" ht="15" hidden="false" customHeight="false" outlineLevel="0" collapsed="false">
      <c r="A1170" s="16"/>
      <c r="B1170" s="11" t="str">
        <f aca="false">IF($H1170="","",INDEX(DECKS!$A$2:$A$1201,$H1170))</f>
        <v/>
      </c>
      <c r="C1170" s="11" t="str">
        <f aca="false">IF($H1170="","",INDEX(DECKS!$B$2:$B$1201,$H1170))</f>
        <v/>
      </c>
      <c r="D1170" s="11" t="str">
        <f aca="false">IF($H1170="","",INDEX(DECKS!$C$2:$C$1201,$H1170))</f>
        <v/>
      </c>
      <c r="E1170" s="16" t="str">
        <f aca="false">IF($H1170="","",INDEX(DECKS!$D$2:$D$1201,$H1170))</f>
        <v/>
      </c>
      <c r="F1170" s="16" t="str">
        <f aca="false">IF($H1170="","",INDEX(DECKS!$E$2:$E$1201,$H1170))</f>
        <v/>
      </c>
      <c r="G1170" s="21" t="str">
        <f aca="false">IF($H1170="","",INDEX(DECKS!$F$2:$F$1201,$H1170))</f>
        <v/>
      </c>
      <c r="H1170" s="11" t="str">
        <f aca="false">IFERROR(MATCH(ROW()-1,DECKS!$O$2:$O$1201,0),"")</f>
        <v/>
      </c>
      <c r="I1170" s="11" t="str">
        <f aca="false">IF(C1170="","",G1170&amp;" "&amp;D1170&amp;" ("&amp;C1170&amp;")")</f>
        <v/>
      </c>
    </row>
    <row r="1171" customFormat="false" ht="15" hidden="false" customHeight="false" outlineLevel="0" collapsed="false">
      <c r="A1171" s="16"/>
      <c r="B1171" s="11" t="str">
        <f aca="false">IF($H1171="","",INDEX(DECKS!$A$2:$A$1201,$H1171))</f>
        <v/>
      </c>
      <c r="C1171" s="11" t="str">
        <f aca="false">IF($H1171="","",INDEX(DECKS!$B$2:$B$1201,$H1171))</f>
        <v/>
      </c>
      <c r="D1171" s="11" t="str">
        <f aca="false">IF($H1171="","",INDEX(DECKS!$C$2:$C$1201,$H1171))</f>
        <v/>
      </c>
      <c r="E1171" s="16" t="str">
        <f aca="false">IF($H1171="","",INDEX(DECKS!$D$2:$D$1201,$H1171))</f>
        <v/>
      </c>
      <c r="F1171" s="16" t="str">
        <f aca="false">IF($H1171="","",INDEX(DECKS!$E$2:$E$1201,$H1171))</f>
        <v/>
      </c>
      <c r="G1171" s="21" t="str">
        <f aca="false">IF($H1171="","",INDEX(DECKS!$F$2:$F$1201,$H1171))</f>
        <v/>
      </c>
      <c r="H1171" s="11" t="str">
        <f aca="false">IFERROR(MATCH(ROW()-1,DECKS!$O$2:$O$1201,0),"")</f>
        <v/>
      </c>
      <c r="I1171" s="11" t="str">
        <f aca="false">IF(C1171="","",G1171&amp;" "&amp;D1171&amp;" ("&amp;C1171&amp;")")</f>
        <v/>
      </c>
    </row>
    <row r="1172" customFormat="false" ht="15" hidden="false" customHeight="false" outlineLevel="0" collapsed="false">
      <c r="A1172" s="16"/>
      <c r="B1172" s="11" t="str">
        <f aca="false">IF($H1172="","",INDEX(DECKS!$A$2:$A$1201,$H1172))</f>
        <v/>
      </c>
      <c r="C1172" s="11" t="str">
        <f aca="false">IF($H1172="","",INDEX(DECKS!$B$2:$B$1201,$H1172))</f>
        <v/>
      </c>
      <c r="D1172" s="11" t="str">
        <f aca="false">IF($H1172="","",INDEX(DECKS!$C$2:$C$1201,$H1172))</f>
        <v/>
      </c>
      <c r="E1172" s="16" t="str">
        <f aca="false">IF($H1172="","",INDEX(DECKS!$D$2:$D$1201,$H1172))</f>
        <v/>
      </c>
      <c r="F1172" s="16" t="str">
        <f aca="false">IF($H1172="","",INDEX(DECKS!$E$2:$E$1201,$H1172))</f>
        <v/>
      </c>
      <c r="G1172" s="21" t="str">
        <f aca="false">IF($H1172="","",INDEX(DECKS!$F$2:$F$1201,$H1172))</f>
        <v/>
      </c>
      <c r="H1172" s="11" t="str">
        <f aca="false">IFERROR(MATCH(ROW()-1,DECKS!$O$2:$O$1201,0),"")</f>
        <v/>
      </c>
      <c r="I1172" s="11" t="str">
        <f aca="false">IF(C1172="","",G1172&amp;" "&amp;D1172&amp;" ("&amp;C1172&amp;")")</f>
        <v/>
      </c>
    </row>
    <row r="1173" customFormat="false" ht="15" hidden="false" customHeight="false" outlineLevel="0" collapsed="false">
      <c r="A1173" s="16"/>
      <c r="B1173" s="11" t="str">
        <f aca="false">IF($H1173="","",INDEX(DECKS!$A$2:$A$1201,$H1173))</f>
        <v/>
      </c>
      <c r="C1173" s="11" t="str">
        <f aca="false">IF($H1173="","",INDEX(DECKS!$B$2:$B$1201,$H1173))</f>
        <v/>
      </c>
      <c r="D1173" s="11" t="str">
        <f aca="false">IF($H1173="","",INDEX(DECKS!$C$2:$C$1201,$H1173))</f>
        <v/>
      </c>
      <c r="E1173" s="16" t="str">
        <f aca="false">IF($H1173="","",INDEX(DECKS!$D$2:$D$1201,$H1173))</f>
        <v/>
      </c>
      <c r="F1173" s="16" t="str">
        <f aca="false">IF($H1173="","",INDEX(DECKS!$E$2:$E$1201,$H1173))</f>
        <v/>
      </c>
      <c r="G1173" s="21" t="str">
        <f aca="false">IF($H1173="","",INDEX(DECKS!$F$2:$F$1201,$H1173))</f>
        <v/>
      </c>
      <c r="H1173" s="11" t="str">
        <f aca="false">IFERROR(MATCH(ROW()-1,DECKS!$O$2:$O$1201,0),"")</f>
        <v/>
      </c>
      <c r="I1173" s="11" t="str">
        <f aca="false">IF(C1173="","",G1173&amp;" "&amp;D1173&amp;" ("&amp;C1173&amp;")")</f>
        <v/>
      </c>
    </row>
    <row r="1174" customFormat="false" ht="15" hidden="false" customHeight="false" outlineLevel="0" collapsed="false">
      <c r="A1174" s="16"/>
      <c r="B1174" s="11" t="str">
        <f aca="false">IF($H1174="","",INDEX(DECKS!$A$2:$A$1201,$H1174))</f>
        <v/>
      </c>
      <c r="C1174" s="11" t="str">
        <f aca="false">IF($H1174="","",INDEX(DECKS!$B$2:$B$1201,$H1174))</f>
        <v/>
      </c>
      <c r="D1174" s="11" t="str">
        <f aca="false">IF($H1174="","",INDEX(DECKS!$C$2:$C$1201,$H1174))</f>
        <v/>
      </c>
      <c r="E1174" s="16" t="str">
        <f aca="false">IF($H1174="","",INDEX(DECKS!$D$2:$D$1201,$H1174))</f>
        <v/>
      </c>
      <c r="F1174" s="16" t="str">
        <f aca="false">IF($H1174="","",INDEX(DECKS!$E$2:$E$1201,$H1174))</f>
        <v/>
      </c>
      <c r="G1174" s="21" t="str">
        <f aca="false">IF($H1174="","",INDEX(DECKS!$F$2:$F$1201,$H1174))</f>
        <v/>
      </c>
      <c r="H1174" s="11" t="str">
        <f aca="false">IFERROR(MATCH(ROW()-1,DECKS!$O$2:$O$1201,0),"")</f>
        <v/>
      </c>
      <c r="I1174" s="11" t="str">
        <f aca="false">IF(C1174="","",G1174&amp;" "&amp;D1174&amp;" ("&amp;C1174&amp;")")</f>
        <v/>
      </c>
    </row>
    <row r="1175" customFormat="false" ht="15" hidden="false" customHeight="false" outlineLevel="0" collapsed="false">
      <c r="A1175" s="16"/>
      <c r="B1175" s="11" t="str">
        <f aca="false">IF($H1175="","",INDEX(DECKS!$A$2:$A$1201,$H1175))</f>
        <v/>
      </c>
      <c r="C1175" s="11" t="str">
        <f aca="false">IF($H1175="","",INDEX(DECKS!$B$2:$B$1201,$H1175))</f>
        <v/>
      </c>
      <c r="D1175" s="11" t="str">
        <f aca="false">IF($H1175="","",INDEX(DECKS!$C$2:$C$1201,$H1175))</f>
        <v/>
      </c>
      <c r="E1175" s="16" t="str">
        <f aca="false">IF($H1175="","",INDEX(DECKS!$D$2:$D$1201,$H1175))</f>
        <v/>
      </c>
      <c r="F1175" s="16" t="str">
        <f aca="false">IF($H1175="","",INDEX(DECKS!$E$2:$E$1201,$H1175))</f>
        <v/>
      </c>
      <c r="G1175" s="21" t="str">
        <f aca="false">IF($H1175="","",INDEX(DECKS!$F$2:$F$1201,$H1175))</f>
        <v/>
      </c>
      <c r="H1175" s="11" t="str">
        <f aca="false">IFERROR(MATCH(ROW()-1,DECKS!$O$2:$O$1201,0),"")</f>
        <v/>
      </c>
      <c r="I1175" s="11" t="str">
        <f aca="false">IF(C1175="","",G1175&amp;" "&amp;D1175&amp;" ("&amp;C1175&amp;")")</f>
        <v/>
      </c>
    </row>
    <row r="1176" customFormat="false" ht="15" hidden="false" customHeight="false" outlineLevel="0" collapsed="false">
      <c r="A1176" s="16"/>
      <c r="B1176" s="11" t="str">
        <f aca="false">IF($H1176="","",INDEX(DECKS!$A$2:$A$1201,$H1176))</f>
        <v/>
      </c>
      <c r="C1176" s="11" t="str">
        <f aca="false">IF($H1176="","",INDEX(DECKS!$B$2:$B$1201,$H1176))</f>
        <v/>
      </c>
      <c r="D1176" s="11" t="str">
        <f aca="false">IF($H1176="","",INDEX(DECKS!$C$2:$C$1201,$H1176))</f>
        <v/>
      </c>
      <c r="E1176" s="16" t="str">
        <f aca="false">IF($H1176="","",INDEX(DECKS!$D$2:$D$1201,$H1176))</f>
        <v/>
      </c>
      <c r="F1176" s="16" t="str">
        <f aca="false">IF($H1176="","",INDEX(DECKS!$E$2:$E$1201,$H1176))</f>
        <v/>
      </c>
      <c r="G1176" s="21" t="str">
        <f aca="false">IF($H1176="","",INDEX(DECKS!$F$2:$F$1201,$H1176))</f>
        <v/>
      </c>
      <c r="H1176" s="11" t="str">
        <f aca="false">IFERROR(MATCH(ROW()-1,DECKS!$O$2:$O$1201,0),"")</f>
        <v/>
      </c>
      <c r="I1176" s="11" t="str">
        <f aca="false">IF(C1176="","",G1176&amp;" "&amp;D1176&amp;" ("&amp;C1176&amp;")")</f>
        <v/>
      </c>
    </row>
    <row r="1177" customFormat="false" ht="15" hidden="false" customHeight="false" outlineLevel="0" collapsed="false">
      <c r="A1177" s="16"/>
      <c r="B1177" s="11" t="str">
        <f aca="false">IF($H1177="","",INDEX(DECKS!$A$2:$A$1201,$H1177))</f>
        <v/>
      </c>
      <c r="C1177" s="11" t="str">
        <f aca="false">IF($H1177="","",INDEX(DECKS!$B$2:$B$1201,$H1177))</f>
        <v/>
      </c>
      <c r="D1177" s="11" t="str">
        <f aca="false">IF($H1177="","",INDEX(DECKS!$C$2:$C$1201,$H1177))</f>
        <v/>
      </c>
      <c r="E1177" s="16" t="str">
        <f aca="false">IF($H1177="","",INDEX(DECKS!$D$2:$D$1201,$H1177))</f>
        <v/>
      </c>
      <c r="F1177" s="16" t="str">
        <f aca="false">IF($H1177="","",INDEX(DECKS!$E$2:$E$1201,$H1177))</f>
        <v/>
      </c>
      <c r="G1177" s="21" t="str">
        <f aca="false">IF($H1177="","",INDEX(DECKS!$F$2:$F$1201,$H1177))</f>
        <v/>
      </c>
      <c r="H1177" s="11" t="str">
        <f aca="false">IFERROR(MATCH(ROW()-1,DECKS!$O$2:$O$1201,0),"")</f>
        <v/>
      </c>
      <c r="I1177" s="11" t="str">
        <f aca="false">IF(C1177="","",G1177&amp;" "&amp;D1177&amp;" ("&amp;C1177&amp;")")</f>
        <v/>
      </c>
    </row>
    <row r="1178" customFormat="false" ht="15" hidden="false" customHeight="false" outlineLevel="0" collapsed="false">
      <c r="A1178" s="16"/>
      <c r="B1178" s="11" t="str">
        <f aca="false">IF($H1178="","",INDEX(DECKS!$A$2:$A$1201,$H1178))</f>
        <v/>
      </c>
      <c r="C1178" s="11" t="str">
        <f aca="false">IF($H1178="","",INDEX(DECKS!$B$2:$B$1201,$H1178))</f>
        <v/>
      </c>
      <c r="D1178" s="11" t="str">
        <f aca="false">IF($H1178="","",INDEX(DECKS!$C$2:$C$1201,$H1178))</f>
        <v/>
      </c>
      <c r="E1178" s="16" t="str">
        <f aca="false">IF($H1178="","",INDEX(DECKS!$D$2:$D$1201,$H1178))</f>
        <v/>
      </c>
      <c r="F1178" s="16" t="str">
        <f aca="false">IF($H1178="","",INDEX(DECKS!$E$2:$E$1201,$H1178))</f>
        <v/>
      </c>
      <c r="G1178" s="21" t="str">
        <f aca="false">IF($H1178="","",INDEX(DECKS!$F$2:$F$1201,$H1178))</f>
        <v/>
      </c>
      <c r="H1178" s="11" t="str">
        <f aca="false">IFERROR(MATCH(ROW()-1,DECKS!$O$2:$O$1201,0),"")</f>
        <v/>
      </c>
      <c r="I1178" s="11" t="str">
        <f aca="false">IF(C1178="","",G1178&amp;" "&amp;D1178&amp;" ("&amp;C1178&amp;")")</f>
        <v/>
      </c>
    </row>
    <row r="1179" customFormat="false" ht="15" hidden="false" customHeight="false" outlineLevel="0" collapsed="false">
      <c r="A1179" s="16"/>
      <c r="B1179" s="11" t="str">
        <f aca="false">IF($H1179="","",INDEX(DECKS!$A$2:$A$1201,$H1179))</f>
        <v/>
      </c>
      <c r="C1179" s="11" t="str">
        <f aca="false">IF($H1179="","",INDEX(DECKS!$B$2:$B$1201,$H1179))</f>
        <v/>
      </c>
      <c r="D1179" s="11" t="str">
        <f aca="false">IF($H1179="","",INDEX(DECKS!$C$2:$C$1201,$H1179))</f>
        <v/>
      </c>
      <c r="E1179" s="16" t="str">
        <f aca="false">IF($H1179="","",INDEX(DECKS!$D$2:$D$1201,$H1179))</f>
        <v/>
      </c>
      <c r="F1179" s="16" t="str">
        <f aca="false">IF($H1179="","",INDEX(DECKS!$E$2:$E$1201,$H1179))</f>
        <v/>
      </c>
      <c r="G1179" s="21" t="str">
        <f aca="false">IF($H1179="","",INDEX(DECKS!$F$2:$F$1201,$H1179))</f>
        <v/>
      </c>
      <c r="H1179" s="11" t="str">
        <f aca="false">IFERROR(MATCH(ROW()-1,DECKS!$O$2:$O$1201,0),"")</f>
        <v/>
      </c>
      <c r="I1179" s="11" t="str">
        <f aca="false">IF(C1179="","",G1179&amp;" "&amp;D1179&amp;" ("&amp;C1179&amp;")")</f>
        <v/>
      </c>
    </row>
    <row r="1180" customFormat="false" ht="15" hidden="false" customHeight="false" outlineLevel="0" collapsed="false">
      <c r="A1180" s="16"/>
      <c r="B1180" s="11" t="str">
        <f aca="false">IF($H1180="","",INDEX(DECKS!$A$2:$A$1201,$H1180))</f>
        <v/>
      </c>
      <c r="C1180" s="11" t="str">
        <f aca="false">IF($H1180="","",INDEX(DECKS!$B$2:$B$1201,$H1180))</f>
        <v/>
      </c>
      <c r="D1180" s="11" t="str">
        <f aca="false">IF($H1180="","",INDEX(DECKS!$C$2:$C$1201,$H1180))</f>
        <v/>
      </c>
      <c r="E1180" s="16" t="str">
        <f aca="false">IF($H1180="","",INDEX(DECKS!$D$2:$D$1201,$H1180))</f>
        <v/>
      </c>
      <c r="F1180" s="16" t="str">
        <f aca="false">IF($H1180="","",INDEX(DECKS!$E$2:$E$1201,$H1180))</f>
        <v/>
      </c>
      <c r="G1180" s="21" t="str">
        <f aca="false">IF($H1180="","",INDEX(DECKS!$F$2:$F$1201,$H1180))</f>
        <v/>
      </c>
      <c r="H1180" s="11" t="str">
        <f aca="false">IFERROR(MATCH(ROW()-1,DECKS!$O$2:$O$1201,0),"")</f>
        <v/>
      </c>
      <c r="I1180" s="11" t="str">
        <f aca="false">IF(C1180="","",G1180&amp;" "&amp;D1180&amp;" ("&amp;C1180&amp;")")</f>
        <v/>
      </c>
    </row>
    <row r="1181" customFormat="false" ht="15" hidden="false" customHeight="false" outlineLevel="0" collapsed="false">
      <c r="A1181" s="16"/>
      <c r="B1181" s="11" t="str">
        <f aca="false">IF($H1181="","",INDEX(DECKS!$A$2:$A$1201,$H1181))</f>
        <v/>
      </c>
      <c r="C1181" s="11" t="str">
        <f aca="false">IF($H1181="","",INDEX(DECKS!$B$2:$B$1201,$H1181))</f>
        <v/>
      </c>
      <c r="D1181" s="11" t="str">
        <f aca="false">IF($H1181="","",INDEX(DECKS!$C$2:$C$1201,$H1181))</f>
        <v/>
      </c>
      <c r="E1181" s="16" t="str">
        <f aca="false">IF($H1181="","",INDEX(DECKS!$D$2:$D$1201,$H1181))</f>
        <v/>
      </c>
      <c r="F1181" s="16" t="str">
        <f aca="false">IF($H1181="","",INDEX(DECKS!$E$2:$E$1201,$H1181))</f>
        <v/>
      </c>
      <c r="G1181" s="21" t="str">
        <f aca="false">IF($H1181="","",INDEX(DECKS!$F$2:$F$1201,$H1181))</f>
        <v/>
      </c>
      <c r="H1181" s="11" t="str">
        <f aca="false">IFERROR(MATCH(ROW()-1,DECKS!$O$2:$O$1201,0),"")</f>
        <v/>
      </c>
      <c r="I1181" s="11" t="str">
        <f aca="false">IF(C1181="","",G1181&amp;" "&amp;D1181&amp;" ("&amp;C1181&amp;")")</f>
        <v/>
      </c>
    </row>
    <row r="1182" customFormat="false" ht="15" hidden="false" customHeight="false" outlineLevel="0" collapsed="false">
      <c r="A1182" s="16"/>
      <c r="B1182" s="11" t="str">
        <f aca="false">IF($H1182="","",INDEX(DECKS!$A$2:$A$1201,$H1182))</f>
        <v/>
      </c>
      <c r="C1182" s="11" t="str">
        <f aca="false">IF($H1182="","",INDEX(DECKS!$B$2:$B$1201,$H1182))</f>
        <v/>
      </c>
      <c r="D1182" s="11" t="str">
        <f aca="false">IF($H1182="","",INDEX(DECKS!$C$2:$C$1201,$H1182))</f>
        <v/>
      </c>
      <c r="E1182" s="16" t="str">
        <f aca="false">IF($H1182="","",INDEX(DECKS!$D$2:$D$1201,$H1182))</f>
        <v/>
      </c>
      <c r="F1182" s="16" t="str">
        <f aca="false">IF($H1182="","",INDEX(DECKS!$E$2:$E$1201,$H1182))</f>
        <v/>
      </c>
      <c r="G1182" s="21" t="str">
        <f aca="false">IF($H1182="","",INDEX(DECKS!$F$2:$F$1201,$H1182))</f>
        <v/>
      </c>
      <c r="H1182" s="11" t="str">
        <f aca="false">IFERROR(MATCH(ROW()-1,DECKS!$O$2:$O$1201,0),"")</f>
        <v/>
      </c>
      <c r="I1182" s="11" t="str">
        <f aca="false">IF(C1182="","",G1182&amp;" "&amp;D1182&amp;" ("&amp;C1182&amp;")")</f>
        <v/>
      </c>
    </row>
    <row r="1183" customFormat="false" ht="15" hidden="false" customHeight="false" outlineLevel="0" collapsed="false">
      <c r="A1183" s="16"/>
      <c r="B1183" s="11" t="str">
        <f aca="false">IF($H1183="","",INDEX(DECKS!$A$2:$A$1201,$H1183))</f>
        <v/>
      </c>
      <c r="C1183" s="11" t="str">
        <f aca="false">IF($H1183="","",INDEX(DECKS!$B$2:$B$1201,$H1183))</f>
        <v/>
      </c>
      <c r="D1183" s="11" t="str">
        <f aca="false">IF($H1183="","",INDEX(DECKS!$C$2:$C$1201,$H1183))</f>
        <v/>
      </c>
      <c r="E1183" s="16" t="str">
        <f aca="false">IF($H1183="","",INDEX(DECKS!$D$2:$D$1201,$H1183))</f>
        <v/>
      </c>
      <c r="F1183" s="16" t="str">
        <f aca="false">IF($H1183="","",INDEX(DECKS!$E$2:$E$1201,$H1183))</f>
        <v/>
      </c>
      <c r="G1183" s="21" t="str">
        <f aca="false">IF($H1183="","",INDEX(DECKS!$F$2:$F$1201,$H1183))</f>
        <v/>
      </c>
      <c r="H1183" s="11" t="str">
        <f aca="false">IFERROR(MATCH(ROW()-1,DECKS!$O$2:$O$1201,0),"")</f>
        <v/>
      </c>
      <c r="I1183" s="11" t="str">
        <f aca="false">IF(C1183="","",G1183&amp;" "&amp;D1183&amp;" ("&amp;C1183&amp;")")</f>
        <v/>
      </c>
    </row>
    <row r="1184" customFormat="false" ht="15" hidden="false" customHeight="false" outlineLevel="0" collapsed="false">
      <c r="A1184" s="16"/>
      <c r="B1184" s="11" t="str">
        <f aca="false">IF($H1184="","",INDEX(DECKS!$A$2:$A$1201,$H1184))</f>
        <v/>
      </c>
      <c r="C1184" s="11" t="str">
        <f aca="false">IF($H1184="","",INDEX(DECKS!$B$2:$B$1201,$H1184))</f>
        <v/>
      </c>
      <c r="D1184" s="11" t="str">
        <f aca="false">IF($H1184="","",INDEX(DECKS!$C$2:$C$1201,$H1184))</f>
        <v/>
      </c>
      <c r="E1184" s="16" t="str">
        <f aca="false">IF($H1184="","",INDEX(DECKS!$D$2:$D$1201,$H1184))</f>
        <v/>
      </c>
      <c r="F1184" s="16" t="str">
        <f aca="false">IF($H1184="","",INDEX(DECKS!$E$2:$E$1201,$H1184))</f>
        <v/>
      </c>
      <c r="G1184" s="21" t="str">
        <f aca="false">IF($H1184="","",INDEX(DECKS!$F$2:$F$1201,$H1184))</f>
        <v/>
      </c>
      <c r="H1184" s="11" t="str">
        <f aca="false">IFERROR(MATCH(ROW()-1,DECKS!$O$2:$O$1201,0),"")</f>
        <v/>
      </c>
      <c r="I1184" s="11" t="str">
        <f aca="false">IF(C1184="","",G1184&amp;" "&amp;D1184&amp;" ("&amp;C1184&amp;")")</f>
        <v/>
      </c>
    </row>
    <row r="1185" customFormat="false" ht="15" hidden="false" customHeight="false" outlineLevel="0" collapsed="false">
      <c r="A1185" s="16"/>
      <c r="B1185" s="11" t="str">
        <f aca="false">IF($H1185="","",INDEX(DECKS!$A$2:$A$1201,$H1185))</f>
        <v/>
      </c>
      <c r="C1185" s="11" t="str">
        <f aca="false">IF($H1185="","",INDEX(DECKS!$B$2:$B$1201,$H1185))</f>
        <v/>
      </c>
      <c r="D1185" s="11" t="str">
        <f aca="false">IF($H1185="","",INDEX(DECKS!$C$2:$C$1201,$H1185))</f>
        <v/>
      </c>
      <c r="E1185" s="16" t="str">
        <f aca="false">IF($H1185="","",INDEX(DECKS!$D$2:$D$1201,$H1185))</f>
        <v/>
      </c>
      <c r="F1185" s="16" t="str">
        <f aca="false">IF($H1185="","",INDEX(DECKS!$E$2:$E$1201,$H1185))</f>
        <v/>
      </c>
      <c r="G1185" s="21" t="str">
        <f aca="false">IF($H1185="","",INDEX(DECKS!$F$2:$F$1201,$H1185))</f>
        <v/>
      </c>
      <c r="H1185" s="11" t="str">
        <f aca="false">IFERROR(MATCH(ROW()-1,DECKS!$O$2:$O$1201,0),"")</f>
        <v/>
      </c>
      <c r="I1185" s="11" t="str">
        <f aca="false">IF(C1185="","",G1185&amp;" "&amp;D1185&amp;" ("&amp;C1185&amp;")")</f>
        <v/>
      </c>
    </row>
    <row r="1186" customFormat="false" ht="15" hidden="false" customHeight="false" outlineLevel="0" collapsed="false">
      <c r="A1186" s="16"/>
      <c r="B1186" s="11" t="str">
        <f aca="false">IF($H1186="","",INDEX(DECKS!$A$2:$A$1201,$H1186))</f>
        <v/>
      </c>
      <c r="C1186" s="11" t="str">
        <f aca="false">IF($H1186="","",INDEX(DECKS!$B$2:$B$1201,$H1186))</f>
        <v/>
      </c>
      <c r="D1186" s="11" t="str">
        <f aca="false">IF($H1186="","",INDEX(DECKS!$C$2:$C$1201,$H1186))</f>
        <v/>
      </c>
      <c r="E1186" s="16" t="str">
        <f aca="false">IF($H1186="","",INDEX(DECKS!$D$2:$D$1201,$H1186))</f>
        <v/>
      </c>
      <c r="F1186" s="16" t="str">
        <f aca="false">IF($H1186="","",INDEX(DECKS!$E$2:$E$1201,$H1186))</f>
        <v/>
      </c>
      <c r="G1186" s="21" t="str">
        <f aca="false">IF($H1186="","",INDEX(DECKS!$F$2:$F$1201,$H1186))</f>
        <v/>
      </c>
      <c r="H1186" s="11" t="str">
        <f aca="false">IFERROR(MATCH(ROW()-1,DECKS!$O$2:$O$1201,0),"")</f>
        <v/>
      </c>
      <c r="I1186" s="11" t="str">
        <f aca="false">IF(C1186="","",G1186&amp;" "&amp;D1186&amp;" ("&amp;C1186&amp;")")</f>
        <v/>
      </c>
    </row>
    <row r="1187" customFormat="false" ht="15" hidden="false" customHeight="false" outlineLevel="0" collapsed="false">
      <c r="A1187" s="16"/>
      <c r="B1187" s="11" t="str">
        <f aca="false">IF($H1187="","",INDEX(DECKS!$A$2:$A$1201,$H1187))</f>
        <v/>
      </c>
      <c r="C1187" s="11" t="str">
        <f aca="false">IF($H1187="","",INDEX(DECKS!$B$2:$B$1201,$H1187))</f>
        <v/>
      </c>
      <c r="D1187" s="11" t="str">
        <f aca="false">IF($H1187="","",INDEX(DECKS!$C$2:$C$1201,$H1187))</f>
        <v/>
      </c>
      <c r="E1187" s="16" t="str">
        <f aca="false">IF($H1187="","",INDEX(DECKS!$D$2:$D$1201,$H1187))</f>
        <v/>
      </c>
      <c r="F1187" s="16" t="str">
        <f aca="false">IF($H1187="","",INDEX(DECKS!$E$2:$E$1201,$H1187))</f>
        <v/>
      </c>
      <c r="G1187" s="21" t="str">
        <f aca="false">IF($H1187="","",INDEX(DECKS!$F$2:$F$1201,$H1187))</f>
        <v/>
      </c>
      <c r="H1187" s="11" t="str">
        <f aca="false">IFERROR(MATCH(ROW()-1,DECKS!$O$2:$O$1201,0),"")</f>
        <v/>
      </c>
      <c r="I1187" s="11" t="str">
        <f aca="false">IF(C1187="","",G1187&amp;" "&amp;D1187&amp;" ("&amp;C1187&amp;")")</f>
        <v/>
      </c>
    </row>
    <row r="1188" customFormat="false" ht="15" hidden="false" customHeight="false" outlineLevel="0" collapsed="false">
      <c r="A1188" s="16"/>
      <c r="B1188" s="11" t="str">
        <f aca="false">IF($H1188="","",INDEX(DECKS!$A$2:$A$1201,$H1188))</f>
        <v/>
      </c>
      <c r="C1188" s="11" t="str">
        <f aca="false">IF($H1188="","",INDEX(DECKS!$B$2:$B$1201,$H1188))</f>
        <v/>
      </c>
      <c r="D1188" s="11" t="str">
        <f aca="false">IF($H1188="","",INDEX(DECKS!$C$2:$C$1201,$H1188))</f>
        <v/>
      </c>
      <c r="E1188" s="16" t="str">
        <f aca="false">IF($H1188="","",INDEX(DECKS!$D$2:$D$1201,$H1188))</f>
        <v/>
      </c>
      <c r="F1188" s="16" t="str">
        <f aca="false">IF($H1188="","",INDEX(DECKS!$E$2:$E$1201,$H1188))</f>
        <v/>
      </c>
      <c r="G1188" s="21" t="str">
        <f aca="false">IF($H1188="","",INDEX(DECKS!$F$2:$F$1201,$H1188))</f>
        <v/>
      </c>
      <c r="H1188" s="11" t="str">
        <f aca="false">IFERROR(MATCH(ROW()-1,DECKS!$O$2:$O$1201,0),"")</f>
        <v/>
      </c>
      <c r="I1188" s="11" t="str">
        <f aca="false">IF(C1188="","",G1188&amp;" "&amp;D1188&amp;" ("&amp;C1188&amp;")")</f>
        <v/>
      </c>
    </row>
    <row r="1189" customFormat="false" ht="15" hidden="false" customHeight="false" outlineLevel="0" collapsed="false">
      <c r="A1189" s="16"/>
      <c r="B1189" s="11" t="str">
        <f aca="false">IF($H1189="","",INDEX(DECKS!$A$2:$A$1201,$H1189))</f>
        <v/>
      </c>
      <c r="C1189" s="11" t="str">
        <f aca="false">IF($H1189="","",INDEX(DECKS!$B$2:$B$1201,$H1189))</f>
        <v/>
      </c>
      <c r="D1189" s="11" t="str">
        <f aca="false">IF($H1189="","",INDEX(DECKS!$C$2:$C$1201,$H1189))</f>
        <v/>
      </c>
      <c r="E1189" s="16" t="str">
        <f aca="false">IF($H1189="","",INDEX(DECKS!$D$2:$D$1201,$H1189))</f>
        <v/>
      </c>
      <c r="F1189" s="16" t="str">
        <f aca="false">IF($H1189="","",INDEX(DECKS!$E$2:$E$1201,$H1189))</f>
        <v/>
      </c>
      <c r="G1189" s="21" t="str">
        <f aca="false">IF($H1189="","",INDEX(DECKS!$F$2:$F$1201,$H1189))</f>
        <v/>
      </c>
      <c r="H1189" s="11" t="str">
        <f aca="false">IFERROR(MATCH(ROW()-1,DECKS!$O$2:$O$1201,0),"")</f>
        <v/>
      </c>
      <c r="I1189" s="11" t="str">
        <f aca="false">IF(C1189="","",G1189&amp;" "&amp;D1189&amp;" ("&amp;C1189&amp;")")</f>
        <v/>
      </c>
    </row>
    <row r="1190" customFormat="false" ht="15" hidden="false" customHeight="false" outlineLevel="0" collapsed="false">
      <c r="A1190" s="16"/>
      <c r="B1190" s="11" t="str">
        <f aca="false">IF($H1190="","",INDEX(DECKS!$A$2:$A$1201,$H1190))</f>
        <v/>
      </c>
      <c r="C1190" s="11" t="str">
        <f aca="false">IF($H1190="","",INDEX(DECKS!$B$2:$B$1201,$H1190))</f>
        <v/>
      </c>
      <c r="D1190" s="11" t="str">
        <f aca="false">IF($H1190="","",INDEX(DECKS!$C$2:$C$1201,$H1190))</f>
        <v/>
      </c>
      <c r="E1190" s="16" t="str">
        <f aca="false">IF($H1190="","",INDEX(DECKS!$D$2:$D$1201,$H1190))</f>
        <v/>
      </c>
      <c r="F1190" s="16" t="str">
        <f aca="false">IF($H1190="","",INDEX(DECKS!$E$2:$E$1201,$H1190))</f>
        <v/>
      </c>
      <c r="G1190" s="21" t="str">
        <f aca="false">IF($H1190="","",INDEX(DECKS!$F$2:$F$1201,$H1190))</f>
        <v/>
      </c>
      <c r="H1190" s="11" t="str">
        <f aca="false">IFERROR(MATCH(ROW()-1,DECKS!$O$2:$O$1201,0),"")</f>
        <v/>
      </c>
      <c r="I1190" s="11" t="str">
        <f aca="false">IF(C1190="","",G1190&amp;" "&amp;D1190&amp;" ("&amp;C1190&amp;")")</f>
        <v/>
      </c>
    </row>
    <row r="1191" customFormat="false" ht="15" hidden="false" customHeight="false" outlineLevel="0" collapsed="false">
      <c r="A1191" s="16"/>
      <c r="B1191" s="11" t="str">
        <f aca="false">IF($H1191="","",INDEX(DECKS!$A$2:$A$1201,$H1191))</f>
        <v/>
      </c>
      <c r="C1191" s="11" t="str">
        <f aca="false">IF($H1191="","",INDEX(DECKS!$B$2:$B$1201,$H1191))</f>
        <v/>
      </c>
      <c r="D1191" s="11" t="str">
        <f aca="false">IF($H1191="","",INDEX(DECKS!$C$2:$C$1201,$H1191))</f>
        <v/>
      </c>
      <c r="E1191" s="16" t="str">
        <f aca="false">IF($H1191="","",INDEX(DECKS!$D$2:$D$1201,$H1191))</f>
        <v/>
      </c>
      <c r="F1191" s="16" t="str">
        <f aca="false">IF($H1191="","",INDEX(DECKS!$E$2:$E$1201,$H1191))</f>
        <v/>
      </c>
      <c r="G1191" s="21" t="str">
        <f aca="false">IF($H1191="","",INDEX(DECKS!$F$2:$F$1201,$H1191))</f>
        <v/>
      </c>
      <c r="H1191" s="11" t="str">
        <f aca="false">IFERROR(MATCH(ROW()-1,DECKS!$O$2:$O$1201,0),"")</f>
        <v/>
      </c>
      <c r="I1191" s="11" t="str">
        <f aca="false">IF(C1191="","",G1191&amp;" "&amp;D1191&amp;" ("&amp;C1191&amp;")")</f>
        <v/>
      </c>
    </row>
    <row r="1192" customFormat="false" ht="15" hidden="false" customHeight="false" outlineLevel="0" collapsed="false">
      <c r="A1192" s="16"/>
      <c r="B1192" s="11" t="str">
        <f aca="false">IF($H1192="","",INDEX(DECKS!$A$2:$A$1201,$H1192))</f>
        <v/>
      </c>
      <c r="C1192" s="11" t="str">
        <f aca="false">IF($H1192="","",INDEX(DECKS!$B$2:$B$1201,$H1192))</f>
        <v/>
      </c>
      <c r="D1192" s="11" t="str">
        <f aca="false">IF($H1192="","",INDEX(DECKS!$C$2:$C$1201,$H1192))</f>
        <v/>
      </c>
      <c r="E1192" s="16" t="str">
        <f aca="false">IF($H1192="","",INDEX(DECKS!$D$2:$D$1201,$H1192))</f>
        <v/>
      </c>
      <c r="F1192" s="16" t="str">
        <f aca="false">IF($H1192="","",INDEX(DECKS!$E$2:$E$1201,$H1192))</f>
        <v/>
      </c>
      <c r="G1192" s="21" t="str">
        <f aca="false">IF($H1192="","",INDEX(DECKS!$F$2:$F$1201,$H1192))</f>
        <v/>
      </c>
      <c r="H1192" s="11" t="str">
        <f aca="false">IFERROR(MATCH(ROW()-1,DECKS!$O$2:$O$1201,0),"")</f>
        <v/>
      </c>
      <c r="I1192" s="11" t="str">
        <f aca="false">IF(C1192="","",G1192&amp;" "&amp;D1192&amp;" ("&amp;C1192&amp;")")</f>
        <v/>
      </c>
    </row>
    <row r="1193" customFormat="false" ht="15" hidden="false" customHeight="false" outlineLevel="0" collapsed="false">
      <c r="A1193" s="16"/>
      <c r="B1193" s="11" t="str">
        <f aca="false">IF($H1193="","",INDEX(DECKS!$A$2:$A$1201,$H1193))</f>
        <v/>
      </c>
      <c r="C1193" s="11" t="str">
        <f aca="false">IF($H1193="","",INDEX(DECKS!$B$2:$B$1201,$H1193))</f>
        <v/>
      </c>
      <c r="D1193" s="11" t="str">
        <f aca="false">IF($H1193="","",INDEX(DECKS!$C$2:$C$1201,$H1193))</f>
        <v/>
      </c>
      <c r="E1193" s="16" t="str">
        <f aca="false">IF($H1193="","",INDEX(DECKS!$D$2:$D$1201,$H1193))</f>
        <v/>
      </c>
      <c r="F1193" s="16" t="str">
        <f aca="false">IF($H1193="","",INDEX(DECKS!$E$2:$E$1201,$H1193))</f>
        <v/>
      </c>
      <c r="G1193" s="21" t="str">
        <f aca="false">IF($H1193="","",INDEX(DECKS!$F$2:$F$1201,$H1193))</f>
        <v/>
      </c>
      <c r="H1193" s="11" t="str">
        <f aca="false">IFERROR(MATCH(ROW()-1,DECKS!$O$2:$O$1201,0),"")</f>
        <v/>
      </c>
      <c r="I1193" s="11" t="str">
        <f aca="false">IF(C1193="","",G1193&amp;" "&amp;D1193&amp;" ("&amp;C1193&amp;")")</f>
        <v/>
      </c>
    </row>
    <row r="1194" customFormat="false" ht="15" hidden="false" customHeight="false" outlineLevel="0" collapsed="false">
      <c r="A1194" s="16"/>
      <c r="B1194" s="11" t="str">
        <f aca="false">IF($H1194="","",INDEX(DECKS!$A$2:$A$1201,$H1194))</f>
        <v/>
      </c>
      <c r="C1194" s="11" t="str">
        <f aca="false">IF($H1194="","",INDEX(DECKS!$B$2:$B$1201,$H1194))</f>
        <v/>
      </c>
      <c r="D1194" s="11" t="str">
        <f aca="false">IF($H1194="","",INDEX(DECKS!$C$2:$C$1201,$H1194))</f>
        <v/>
      </c>
      <c r="E1194" s="16" t="str">
        <f aca="false">IF($H1194="","",INDEX(DECKS!$D$2:$D$1201,$H1194))</f>
        <v/>
      </c>
      <c r="F1194" s="16" t="str">
        <f aca="false">IF($H1194="","",INDEX(DECKS!$E$2:$E$1201,$H1194))</f>
        <v/>
      </c>
      <c r="G1194" s="21" t="str">
        <f aca="false">IF($H1194="","",INDEX(DECKS!$F$2:$F$1201,$H1194))</f>
        <v/>
      </c>
      <c r="H1194" s="11" t="str">
        <f aca="false">IFERROR(MATCH(ROW()-1,DECKS!$O$2:$O$1201,0),"")</f>
        <v/>
      </c>
      <c r="I1194" s="11" t="str">
        <f aca="false">IF(C1194="","",G1194&amp;" "&amp;D1194&amp;" ("&amp;C1194&amp;")")</f>
        <v/>
      </c>
    </row>
    <row r="1195" customFormat="false" ht="15" hidden="false" customHeight="false" outlineLevel="0" collapsed="false">
      <c r="A1195" s="16"/>
      <c r="B1195" s="11" t="str">
        <f aca="false">IF($H1195="","",INDEX(DECKS!$A$2:$A$1201,$H1195))</f>
        <v/>
      </c>
      <c r="C1195" s="11" t="str">
        <f aca="false">IF($H1195="","",INDEX(DECKS!$B$2:$B$1201,$H1195))</f>
        <v/>
      </c>
      <c r="D1195" s="11" t="str">
        <f aca="false">IF($H1195="","",INDEX(DECKS!$C$2:$C$1201,$H1195))</f>
        <v/>
      </c>
      <c r="E1195" s="16" t="str">
        <f aca="false">IF($H1195="","",INDEX(DECKS!$D$2:$D$1201,$H1195))</f>
        <v/>
      </c>
      <c r="F1195" s="16" t="str">
        <f aca="false">IF($H1195="","",INDEX(DECKS!$E$2:$E$1201,$H1195))</f>
        <v/>
      </c>
      <c r="G1195" s="21" t="str">
        <f aca="false">IF($H1195="","",INDEX(DECKS!$F$2:$F$1201,$H1195))</f>
        <v/>
      </c>
      <c r="H1195" s="11" t="str">
        <f aca="false">IFERROR(MATCH(ROW()-1,DECKS!$O$2:$O$1201,0),"")</f>
        <v/>
      </c>
      <c r="I1195" s="11" t="str">
        <f aca="false">IF(C1195="","",G1195&amp;" "&amp;D1195&amp;" ("&amp;C1195&amp;")")</f>
        <v/>
      </c>
    </row>
    <row r="1196" customFormat="false" ht="15" hidden="false" customHeight="false" outlineLevel="0" collapsed="false">
      <c r="A1196" s="16"/>
      <c r="B1196" s="11" t="str">
        <f aca="false">IF($H1196="","",INDEX(DECKS!$A$2:$A$1201,$H1196))</f>
        <v/>
      </c>
      <c r="C1196" s="11" t="str">
        <f aca="false">IF($H1196="","",INDEX(DECKS!$B$2:$B$1201,$H1196))</f>
        <v/>
      </c>
      <c r="D1196" s="11" t="str">
        <f aca="false">IF($H1196="","",INDEX(DECKS!$C$2:$C$1201,$H1196))</f>
        <v/>
      </c>
      <c r="E1196" s="16" t="str">
        <f aca="false">IF($H1196="","",INDEX(DECKS!$D$2:$D$1201,$H1196))</f>
        <v/>
      </c>
      <c r="F1196" s="16" t="str">
        <f aca="false">IF($H1196="","",INDEX(DECKS!$E$2:$E$1201,$H1196))</f>
        <v/>
      </c>
      <c r="G1196" s="21" t="str">
        <f aca="false">IF($H1196="","",INDEX(DECKS!$F$2:$F$1201,$H1196))</f>
        <v/>
      </c>
      <c r="H1196" s="11" t="str">
        <f aca="false">IFERROR(MATCH(ROW()-1,DECKS!$O$2:$O$1201,0),"")</f>
        <v/>
      </c>
      <c r="I1196" s="11" t="str">
        <f aca="false">IF(C1196="","",G1196&amp;" "&amp;D1196&amp;" ("&amp;C1196&amp;")")</f>
        <v/>
      </c>
    </row>
    <row r="1197" customFormat="false" ht="15" hidden="false" customHeight="false" outlineLevel="0" collapsed="false">
      <c r="A1197" s="16"/>
      <c r="B1197" s="11" t="str">
        <f aca="false">IF($H1197="","",INDEX(DECKS!$A$2:$A$1201,$H1197))</f>
        <v/>
      </c>
      <c r="C1197" s="11" t="str">
        <f aca="false">IF($H1197="","",INDEX(DECKS!$B$2:$B$1201,$H1197))</f>
        <v/>
      </c>
      <c r="D1197" s="11" t="str">
        <f aca="false">IF($H1197="","",INDEX(DECKS!$C$2:$C$1201,$H1197))</f>
        <v/>
      </c>
      <c r="E1197" s="16" t="str">
        <f aca="false">IF($H1197="","",INDEX(DECKS!$D$2:$D$1201,$H1197))</f>
        <v/>
      </c>
      <c r="F1197" s="16" t="str">
        <f aca="false">IF($H1197="","",INDEX(DECKS!$E$2:$E$1201,$H1197))</f>
        <v/>
      </c>
      <c r="G1197" s="21" t="str">
        <f aca="false">IF($H1197="","",INDEX(DECKS!$F$2:$F$1201,$H1197))</f>
        <v/>
      </c>
      <c r="H1197" s="11" t="str">
        <f aca="false">IFERROR(MATCH(ROW()-1,DECKS!$O$2:$O$1201,0),"")</f>
        <v/>
      </c>
      <c r="I1197" s="11" t="str">
        <f aca="false">IF(C1197="","",G1197&amp;" "&amp;D1197&amp;" ("&amp;C1197&amp;")")</f>
        <v/>
      </c>
    </row>
    <row r="1198" customFormat="false" ht="15" hidden="false" customHeight="false" outlineLevel="0" collapsed="false">
      <c r="A1198" s="16"/>
      <c r="B1198" s="11" t="str">
        <f aca="false">IF($H1198="","",INDEX(DECKS!$A$2:$A$1201,$H1198))</f>
        <v/>
      </c>
      <c r="C1198" s="11" t="str">
        <f aca="false">IF($H1198="","",INDEX(DECKS!$B$2:$B$1201,$H1198))</f>
        <v/>
      </c>
      <c r="D1198" s="11" t="str">
        <f aca="false">IF($H1198="","",INDEX(DECKS!$C$2:$C$1201,$H1198))</f>
        <v/>
      </c>
      <c r="E1198" s="16" t="str">
        <f aca="false">IF($H1198="","",INDEX(DECKS!$D$2:$D$1201,$H1198))</f>
        <v/>
      </c>
      <c r="F1198" s="16" t="str">
        <f aca="false">IF($H1198="","",INDEX(DECKS!$E$2:$E$1201,$H1198))</f>
        <v/>
      </c>
      <c r="G1198" s="21" t="str">
        <f aca="false">IF($H1198="","",INDEX(DECKS!$F$2:$F$1201,$H1198))</f>
        <v/>
      </c>
      <c r="H1198" s="11" t="str">
        <f aca="false">IFERROR(MATCH(ROW()-1,DECKS!$O$2:$O$1201,0),"")</f>
        <v/>
      </c>
      <c r="I1198" s="11" t="str">
        <f aca="false">IF(C1198="","",G1198&amp;" "&amp;D1198&amp;" ("&amp;C1198&amp;")")</f>
        <v/>
      </c>
    </row>
    <row r="1199" customFormat="false" ht="15" hidden="false" customHeight="false" outlineLevel="0" collapsed="false">
      <c r="A1199" s="16"/>
      <c r="B1199" s="11" t="str">
        <f aca="false">IF($H1199="","",INDEX(DECKS!$A$2:$A$1201,$H1199))</f>
        <v/>
      </c>
      <c r="C1199" s="11" t="str">
        <f aca="false">IF($H1199="","",INDEX(DECKS!$B$2:$B$1201,$H1199))</f>
        <v/>
      </c>
      <c r="D1199" s="11" t="str">
        <f aca="false">IF($H1199="","",INDEX(DECKS!$C$2:$C$1201,$H1199))</f>
        <v/>
      </c>
      <c r="E1199" s="16" t="str">
        <f aca="false">IF($H1199="","",INDEX(DECKS!$D$2:$D$1201,$H1199))</f>
        <v/>
      </c>
      <c r="F1199" s="16" t="str">
        <f aca="false">IF($H1199="","",INDEX(DECKS!$E$2:$E$1201,$H1199))</f>
        <v/>
      </c>
      <c r="G1199" s="21" t="str">
        <f aca="false">IF($H1199="","",INDEX(DECKS!$F$2:$F$1201,$H1199))</f>
        <v/>
      </c>
      <c r="H1199" s="11" t="str">
        <f aca="false">IFERROR(MATCH(ROW()-1,DECKS!$O$2:$O$1201,0),"")</f>
        <v/>
      </c>
      <c r="I1199" s="11" t="str">
        <f aca="false">IF(C1199="","",G1199&amp;" "&amp;D1199&amp;" ("&amp;C1199&amp;")")</f>
        <v/>
      </c>
    </row>
    <row r="1200" customFormat="false" ht="15" hidden="false" customHeight="false" outlineLevel="0" collapsed="false">
      <c r="A1200" s="16"/>
      <c r="B1200" s="11" t="str">
        <f aca="false">IF($H1200="","",INDEX(DECKS!$A$2:$A$1201,$H1200))</f>
        <v/>
      </c>
      <c r="C1200" s="11" t="str">
        <f aca="false">IF($H1200="","",INDEX(DECKS!$B$2:$B$1201,$H1200))</f>
        <v/>
      </c>
      <c r="D1200" s="11" t="str">
        <f aca="false">IF($H1200="","",INDEX(DECKS!$C$2:$C$1201,$H1200))</f>
        <v/>
      </c>
      <c r="E1200" s="16" t="str">
        <f aca="false">IF($H1200="","",INDEX(DECKS!$D$2:$D$1201,$H1200))</f>
        <v/>
      </c>
      <c r="F1200" s="16" t="str">
        <f aca="false">IF($H1200="","",INDEX(DECKS!$E$2:$E$1201,$H1200))</f>
        <v/>
      </c>
      <c r="G1200" s="21" t="str">
        <f aca="false">IF($H1200="","",INDEX(DECKS!$F$2:$F$1201,$H1200))</f>
        <v/>
      </c>
      <c r="H1200" s="11" t="str">
        <f aca="false">IFERROR(MATCH(ROW()-1,DECKS!$O$2:$O$1201,0),"")</f>
        <v/>
      </c>
      <c r="I1200" s="11" t="str">
        <f aca="false">IF(C1200="","",G1200&amp;" "&amp;D1200&amp;" ("&amp;C1200&amp;")")</f>
        <v/>
      </c>
    </row>
    <row r="1201" customFormat="false" ht="15" hidden="false" customHeight="false" outlineLevel="0" collapsed="false">
      <c r="A1201" s="16"/>
      <c r="B1201" s="11" t="str">
        <f aca="false">IF($H1201="","",INDEX(DECKS!$A$2:$A$1201,$H1201))</f>
        <v/>
      </c>
      <c r="C1201" s="11" t="str">
        <f aca="false">IF($H1201="","",INDEX(DECKS!$B$2:$B$1201,$H1201))</f>
        <v/>
      </c>
      <c r="D1201" s="11" t="str">
        <f aca="false">IF($H1201="","",INDEX(DECKS!$C$2:$C$1201,$H1201))</f>
        <v/>
      </c>
      <c r="E1201" s="16" t="str">
        <f aca="false">IF($H1201="","",INDEX(DECKS!$D$2:$D$1201,$H1201))</f>
        <v/>
      </c>
      <c r="F1201" s="16" t="str">
        <f aca="false">IF($H1201="","",INDEX(DECKS!$E$2:$E$1201,$H1201))</f>
        <v/>
      </c>
      <c r="G1201" s="21" t="str">
        <f aca="false">IF($H1201="","",INDEX(DECKS!$F$2:$F$1201,$H1201))</f>
        <v/>
      </c>
      <c r="H1201" s="11" t="str">
        <f aca="false">IFERROR(MATCH(ROW()-1,DECKS!$O$2:$O$1201,0),"")</f>
        <v/>
      </c>
      <c r="I1201" s="11" t="str">
        <f aca="false">IF(C1201="","",G1201&amp;" "&amp;D1201&amp;" ("&amp;C1201&amp;")")</f>
        <v/>
      </c>
    </row>
  </sheetData>
  <conditionalFormatting sqref="B2:G1201">
    <cfRule type="expression" priority="2" aboveAverage="0" equalAverage="0" bottom="0" percent="0" rank="0" text="" dxfId="7">
      <formula>$C2&lt;&gt;""</formula>
    </cfRule>
  </conditionalFormatting>
  <dataValidations count="1">
    <dataValidation allowBlank="false" error="Escolha uma opção da lista." errorStyle="stop" errorTitle="Opção inválida" operator="between" showDropDown="false" showErrorMessage="false" showInputMessage="false" sqref="P1" type="list">
      <formula1>"Ordem do deck (padrão),Código,Nome,Falta (maior primeiro),Deck e código"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true" outlineLevel="0" max="9" min="9" style="0" width="8"/>
    <col collapsed="false" customWidth="true" hidden="false" outlineLevel="0" max="10" min="10" style="0" width="34"/>
    <col collapsed="false" customWidth="true" hidden="false" outlineLevel="0" max="11" min="11" style="0" width="3"/>
    <col collapsed="false" customWidth="true" hidden="false" outlineLevel="0" max="12" min="12" style="0" width="14"/>
    <col collapsed="false" customWidth="true" hidden="false" outlineLevel="0" max="13" min="13" style="0" width="30"/>
  </cols>
  <sheetData>
    <row r="1" customFormat="false" ht="33.75" hidden="false" customHeight="true" outlineLevel="0" collapsed="false">
      <c r="A1" s="8" t="s">
        <v>91</v>
      </c>
      <c r="B1" s="8" t="s">
        <v>45</v>
      </c>
      <c r="C1" s="8" t="s">
        <v>60</v>
      </c>
      <c r="D1" s="8" t="s">
        <v>61</v>
      </c>
      <c r="E1" s="8" t="s">
        <v>101</v>
      </c>
      <c r="F1" s="8" t="s">
        <v>93</v>
      </c>
      <c r="G1" s="8" t="s">
        <v>80</v>
      </c>
      <c r="H1" s="8" t="s">
        <v>67</v>
      </c>
      <c r="I1" s="8" t="s">
        <v>94</v>
      </c>
      <c r="J1" s="8" t="s">
        <v>95</v>
      </c>
      <c r="L1" s="8" t="s">
        <v>98</v>
      </c>
      <c r="M1" s="20" t="s">
        <v>102</v>
      </c>
    </row>
    <row r="2" customFormat="false" ht="15" hidden="false" customHeight="false" outlineLevel="0" collapsed="false">
      <c r="A2" s="16"/>
      <c r="B2" s="11" t="str">
        <f aca="false">IF($I2="","",INDEX(CONSOLIDADO!$A$2:$A$801,$I2))</f>
        <v/>
      </c>
      <c r="C2" s="11" t="str">
        <f aca="false">IF($I2="","",INDEX(CONSOLIDADO!$B$2:$B$801,$I2))</f>
        <v/>
      </c>
      <c r="D2" s="16" t="str">
        <f aca="false">IF($I2="","",INDEX(CONSOLIDADO!$C$2:$C$801,$I2))</f>
        <v/>
      </c>
      <c r="E2" s="16" t="str">
        <f aca="false">IF($I2="","",INDEX(CONSOLIDADO!$D$2:$D$801,$I2))</f>
        <v/>
      </c>
      <c r="F2" s="14" t="str">
        <f aca="false">IF($I2="","",INDEX(CONSOLIDADO!$E$2:$E$801,$I2))</f>
        <v/>
      </c>
      <c r="G2" s="16" t="str">
        <f aca="false">IF($I2="","",INDEX(CONSOLIDADO!$G$2:$G$801,$I2))</f>
        <v/>
      </c>
      <c r="H2" s="16" t="str">
        <f aca="false">IF($I2="","",INDEX(CONSOLIDADO!$H$2:$H$801,$I2))</f>
        <v/>
      </c>
      <c r="I2" s="11" t="str">
        <f aca="false">IFERROR(MATCH(ROW()-1,CONSOLIDADO!$AJ$2:$AJ$801,0),"")</f>
        <v/>
      </c>
      <c r="J2" s="11" t="str">
        <f aca="false">IF(B2="","",F2&amp;" "&amp;C2&amp;" ("&amp;B2&amp;")")</f>
        <v/>
      </c>
    </row>
    <row r="3" customFormat="false" ht="15" hidden="false" customHeight="false" outlineLevel="0" collapsed="false">
      <c r="A3" s="16"/>
      <c r="B3" s="11" t="str">
        <f aca="false">IF($I3="","",INDEX(CONSOLIDADO!$A$2:$A$801,$I3))</f>
        <v/>
      </c>
      <c r="C3" s="11" t="str">
        <f aca="false">IF($I3="","",INDEX(CONSOLIDADO!$B$2:$B$801,$I3))</f>
        <v/>
      </c>
      <c r="D3" s="16" t="str">
        <f aca="false">IF($I3="","",INDEX(CONSOLIDADO!$C$2:$C$801,$I3))</f>
        <v/>
      </c>
      <c r="E3" s="16" t="str">
        <f aca="false">IF($I3="","",INDEX(CONSOLIDADO!$D$2:$D$801,$I3))</f>
        <v/>
      </c>
      <c r="F3" s="14" t="str">
        <f aca="false">IF($I3="","",INDEX(CONSOLIDADO!$E$2:$E$801,$I3))</f>
        <v/>
      </c>
      <c r="G3" s="16" t="str">
        <f aca="false">IF($I3="","",INDEX(CONSOLIDADO!$G$2:$G$801,$I3))</f>
        <v/>
      </c>
      <c r="H3" s="16" t="str">
        <f aca="false">IF($I3="","",INDEX(CONSOLIDADO!$H$2:$H$801,$I3))</f>
        <v/>
      </c>
      <c r="I3" s="11" t="str">
        <f aca="false">IFERROR(MATCH(ROW()-1,CONSOLIDADO!$AJ$2:$AJ$801,0),"")</f>
        <v/>
      </c>
      <c r="J3" s="11" t="str">
        <f aca="false">IF(B3="","",F3&amp;" "&amp;C3&amp;" ("&amp;B3&amp;")")</f>
        <v/>
      </c>
      <c r="L3" s="5" t="s">
        <v>103</v>
      </c>
    </row>
    <row r="4" customFormat="false" ht="15" hidden="false" customHeight="false" outlineLevel="0" collapsed="false">
      <c r="A4" s="16"/>
      <c r="B4" s="11" t="str">
        <f aca="false">IF($I4="","",INDEX(CONSOLIDADO!$A$2:$A$801,$I4))</f>
        <v/>
      </c>
      <c r="C4" s="11" t="str">
        <f aca="false">IF($I4="","",INDEX(CONSOLIDADO!$B$2:$B$801,$I4))</f>
        <v/>
      </c>
      <c r="D4" s="16" t="str">
        <f aca="false">IF($I4="","",INDEX(CONSOLIDADO!$C$2:$C$801,$I4))</f>
        <v/>
      </c>
      <c r="E4" s="16" t="str">
        <f aca="false">IF($I4="","",INDEX(CONSOLIDADO!$D$2:$D$801,$I4))</f>
        <v/>
      </c>
      <c r="F4" s="14" t="str">
        <f aca="false">IF($I4="","",INDEX(CONSOLIDADO!$E$2:$E$801,$I4))</f>
        <v/>
      </c>
      <c r="G4" s="16" t="str">
        <f aca="false">IF($I4="","",INDEX(CONSOLIDADO!$G$2:$G$801,$I4))</f>
        <v/>
      </c>
      <c r="H4" s="16" t="str">
        <f aca="false">IF($I4="","",INDEX(CONSOLIDADO!$H$2:$H$801,$I4))</f>
        <v/>
      </c>
      <c r="I4" s="11" t="str">
        <f aca="false">IFERROR(MATCH(ROW()-1,CONSOLIDADO!$AJ$2:$AJ$801,0),"")</f>
        <v/>
      </c>
      <c r="J4" s="11" t="str">
        <f aca="false">IF(B4="","",F4&amp;" "&amp;C4&amp;" ("&amp;B4&amp;")")</f>
        <v/>
      </c>
    </row>
    <row r="5" customFormat="false" ht="15" hidden="false" customHeight="false" outlineLevel="0" collapsed="false">
      <c r="A5" s="16"/>
      <c r="B5" s="11" t="str">
        <f aca="false">IF($I5="","",INDEX(CONSOLIDADO!$A$2:$A$801,$I5))</f>
        <v/>
      </c>
      <c r="C5" s="11" t="str">
        <f aca="false">IF($I5="","",INDEX(CONSOLIDADO!$B$2:$B$801,$I5))</f>
        <v/>
      </c>
      <c r="D5" s="16" t="str">
        <f aca="false">IF($I5="","",INDEX(CONSOLIDADO!$C$2:$C$801,$I5))</f>
        <v/>
      </c>
      <c r="E5" s="16" t="str">
        <f aca="false">IF($I5="","",INDEX(CONSOLIDADO!$D$2:$D$801,$I5))</f>
        <v/>
      </c>
      <c r="F5" s="14" t="str">
        <f aca="false">IF($I5="","",INDEX(CONSOLIDADO!$E$2:$E$801,$I5))</f>
        <v/>
      </c>
      <c r="G5" s="16" t="str">
        <f aca="false">IF($I5="","",INDEX(CONSOLIDADO!$G$2:$G$801,$I5))</f>
        <v/>
      </c>
      <c r="H5" s="16" t="str">
        <f aca="false">IF($I5="","",INDEX(CONSOLIDADO!$H$2:$H$801,$I5))</f>
        <v/>
      </c>
      <c r="I5" s="11" t="str">
        <f aca="false">IFERROR(MATCH(ROW()-1,CONSOLIDADO!$AJ$2:$AJ$801,0),"")</f>
        <v/>
      </c>
      <c r="J5" s="11" t="str">
        <f aca="false">IF(B5="","",F5&amp;" "&amp;C5&amp;" ("&amp;B5&amp;")")</f>
        <v/>
      </c>
    </row>
    <row r="6" customFormat="false" ht="15" hidden="false" customHeight="false" outlineLevel="0" collapsed="false">
      <c r="A6" s="16"/>
      <c r="B6" s="11" t="str">
        <f aca="false">IF($I6="","",INDEX(CONSOLIDADO!$A$2:$A$801,$I6))</f>
        <v/>
      </c>
      <c r="C6" s="11" t="str">
        <f aca="false">IF($I6="","",INDEX(CONSOLIDADO!$B$2:$B$801,$I6))</f>
        <v/>
      </c>
      <c r="D6" s="16" t="str">
        <f aca="false">IF($I6="","",INDEX(CONSOLIDADO!$C$2:$C$801,$I6))</f>
        <v/>
      </c>
      <c r="E6" s="16" t="str">
        <f aca="false">IF($I6="","",INDEX(CONSOLIDADO!$D$2:$D$801,$I6))</f>
        <v/>
      </c>
      <c r="F6" s="14" t="str">
        <f aca="false">IF($I6="","",INDEX(CONSOLIDADO!$E$2:$E$801,$I6))</f>
        <v/>
      </c>
      <c r="G6" s="16" t="str">
        <f aca="false">IF($I6="","",INDEX(CONSOLIDADO!$G$2:$G$801,$I6))</f>
        <v/>
      </c>
      <c r="H6" s="16" t="str">
        <f aca="false">IF($I6="","",INDEX(CONSOLIDADO!$H$2:$H$801,$I6))</f>
        <v/>
      </c>
      <c r="I6" s="11" t="str">
        <f aca="false">IFERROR(MATCH(ROW()-1,CONSOLIDADO!$AJ$2:$AJ$801,0),"")</f>
        <v/>
      </c>
      <c r="J6" s="11" t="str">
        <f aca="false">IF(B6="","",F6&amp;" "&amp;C6&amp;" ("&amp;B6&amp;")")</f>
        <v/>
      </c>
    </row>
    <row r="7" customFormat="false" ht="15" hidden="false" customHeight="false" outlineLevel="0" collapsed="false">
      <c r="A7" s="16"/>
      <c r="B7" s="11" t="str">
        <f aca="false">IF($I7="","",INDEX(CONSOLIDADO!$A$2:$A$801,$I7))</f>
        <v/>
      </c>
      <c r="C7" s="11" t="str">
        <f aca="false">IF($I7="","",INDEX(CONSOLIDADO!$B$2:$B$801,$I7))</f>
        <v/>
      </c>
      <c r="D7" s="16" t="str">
        <f aca="false">IF($I7="","",INDEX(CONSOLIDADO!$C$2:$C$801,$I7))</f>
        <v/>
      </c>
      <c r="E7" s="16" t="str">
        <f aca="false">IF($I7="","",INDEX(CONSOLIDADO!$D$2:$D$801,$I7))</f>
        <v/>
      </c>
      <c r="F7" s="14" t="str">
        <f aca="false">IF($I7="","",INDEX(CONSOLIDADO!$E$2:$E$801,$I7))</f>
        <v/>
      </c>
      <c r="G7" s="16" t="str">
        <f aca="false">IF($I7="","",INDEX(CONSOLIDADO!$G$2:$G$801,$I7))</f>
        <v/>
      </c>
      <c r="H7" s="16" t="str">
        <f aca="false">IF($I7="","",INDEX(CONSOLIDADO!$H$2:$H$801,$I7))</f>
        <v/>
      </c>
      <c r="I7" s="11" t="str">
        <f aca="false">IFERROR(MATCH(ROW()-1,CONSOLIDADO!$AJ$2:$AJ$801,0),"")</f>
        <v/>
      </c>
      <c r="J7" s="11" t="str">
        <f aca="false">IF(B7="","",F7&amp;" "&amp;C7&amp;" ("&amp;B7&amp;")")</f>
        <v/>
      </c>
    </row>
    <row r="8" customFormat="false" ht="15" hidden="false" customHeight="false" outlineLevel="0" collapsed="false">
      <c r="A8" s="16"/>
      <c r="B8" s="11" t="str">
        <f aca="false">IF($I8="","",INDEX(CONSOLIDADO!$A$2:$A$801,$I8))</f>
        <v/>
      </c>
      <c r="C8" s="11" t="str">
        <f aca="false">IF($I8="","",INDEX(CONSOLIDADO!$B$2:$B$801,$I8))</f>
        <v/>
      </c>
      <c r="D8" s="16" t="str">
        <f aca="false">IF($I8="","",INDEX(CONSOLIDADO!$C$2:$C$801,$I8))</f>
        <v/>
      </c>
      <c r="E8" s="16" t="str">
        <f aca="false">IF($I8="","",INDEX(CONSOLIDADO!$D$2:$D$801,$I8))</f>
        <v/>
      </c>
      <c r="F8" s="14" t="str">
        <f aca="false">IF($I8="","",INDEX(CONSOLIDADO!$E$2:$E$801,$I8))</f>
        <v/>
      </c>
      <c r="G8" s="16" t="str">
        <f aca="false">IF($I8="","",INDEX(CONSOLIDADO!$G$2:$G$801,$I8))</f>
        <v/>
      </c>
      <c r="H8" s="16" t="str">
        <f aca="false">IF($I8="","",INDEX(CONSOLIDADO!$H$2:$H$801,$I8))</f>
        <v/>
      </c>
      <c r="I8" s="11" t="str">
        <f aca="false">IFERROR(MATCH(ROW()-1,CONSOLIDADO!$AJ$2:$AJ$801,0),"")</f>
        <v/>
      </c>
      <c r="J8" s="11" t="str">
        <f aca="false">IF(B8="","",F8&amp;" "&amp;C8&amp;" ("&amp;B8&amp;")")</f>
        <v/>
      </c>
    </row>
    <row r="9" customFormat="false" ht="15" hidden="false" customHeight="false" outlineLevel="0" collapsed="false">
      <c r="A9" s="16"/>
      <c r="B9" s="11" t="str">
        <f aca="false">IF($I9="","",INDEX(CONSOLIDADO!$A$2:$A$801,$I9))</f>
        <v/>
      </c>
      <c r="C9" s="11" t="str">
        <f aca="false">IF($I9="","",INDEX(CONSOLIDADO!$B$2:$B$801,$I9))</f>
        <v/>
      </c>
      <c r="D9" s="16" t="str">
        <f aca="false">IF($I9="","",INDEX(CONSOLIDADO!$C$2:$C$801,$I9))</f>
        <v/>
      </c>
      <c r="E9" s="16" t="str">
        <f aca="false">IF($I9="","",INDEX(CONSOLIDADO!$D$2:$D$801,$I9))</f>
        <v/>
      </c>
      <c r="F9" s="14" t="str">
        <f aca="false">IF($I9="","",INDEX(CONSOLIDADO!$E$2:$E$801,$I9))</f>
        <v/>
      </c>
      <c r="G9" s="16" t="str">
        <f aca="false">IF($I9="","",INDEX(CONSOLIDADO!$G$2:$G$801,$I9))</f>
        <v/>
      </c>
      <c r="H9" s="16" t="str">
        <f aca="false">IF($I9="","",INDEX(CONSOLIDADO!$H$2:$H$801,$I9))</f>
        <v/>
      </c>
      <c r="I9" s="11" t="str">
        <f aca="false">IFERROR(MATCH(ROW()-1,CONSOLIDADO!$AJ$2:$AJ$801,0),"")</f>
        <v/>
      </c>
      <c r="J9" s="11" t="str">
        <f aca="false">IF(B9="","",F9&amp;" "&amp;C9&amp;" ("&amp;B9&amp;")")</f>
        <v/>
      </c>
    </row>
    <row r="10" customFormat="false" ht="15" hidden="false" customHeight="false" outlineLevel="0" collapsed="false">
      <c r="A10" s="16"/>
      <c r="B10" s="11" t="str">
        <f aca="false">IF($I10="","",INDEX(CONSOLIDADO!$A$2:$A$801,$I10))</f>
        <v/>
      </c>
      <c r="C10" s="11" t="str">
        <f aca="false">IF($I10="","",INDEX(CONSOLIDADO!$B$2:$B$801,$I10))</f>
        <v/>
      </c>
      <c r="D10" s="16" t="str">
        <f aca="false">IF($I10="","",INDEX(CONSOLIDADO!$C$2:$C$801,$I10))</f>
        <v/>
      </c>
      <c r="E10" s="16" t="str">
        <f aca="false">IF($I10="","",INDEX(CONSOLIDADO!$D$2:$D$801,$I10))</f>
        <v/>
      </c>
      <c r="F10" s="14" t="str">
        <f aca="false">IF($I10="","",INDEX(CONSOLIDADO!$E$2:$E$801,$I10))</f>
        <v/>
      </c>
      <c r="G10" s="16" t="str">
        <f aca="false">IF($I10="","",INDEX(CONSOLIDADO!$G$2:$G$801,$I10))</f>
        <v/>
      </c>
      <c r="H10" s="16" t="str">
        <f aca="false">IF($I10="","",INDEX(CONSOLIDADO!$H$2:$H$801,$I10))</f>
        <v/>
      </c>
      <c r="I10" s="11" t="str">
        <f aca="false">IFERROR(MATCH(ROW()-1,CONSOLIDADO!$AJ$2:$AJ$801,0),"")</f>
        <v/>
      </c>
      <c r="J10" s="11" t="str">
        <f aca="false">IF(B10="","",F10&amp;" "&amp;C10&amp;" ("&amp;B10&amp;")")</f>
        <v/>
      </c>
    </row>
    <row r="11" customFormat="false" ht="15" hidden="false" customHeight="false" outlineLevel="0" collapsed="false">
      <c r="A11" s="16"/>
      <c r="B11" s="11" t="str">
        <f aca="false">IF($I11="","",INDEX(CONSOLIDADO!$A$2:$A$801,$I11))</f>
        <v/>
      </c>
      <c r="C11" s="11" t="str">
        <f aca="false">IF($I11="","",INDEX(CONSOLIDADO!$B$2:$B$801,$I11))</f>
        <v/>
      </c>
      <c r="D11" s="16" t="str">
        <f aca="false">IF($I11="","",INDEX(CONSOLIDADO!$C$2:$C$801,$I11))</f>
        <v/>
      </c>
      <c r="E11" s="16" t="str">
        <f aca="false">IF($I11="","",INDEX(CONSOLIDADO!$D$2:$D$801,$I11))</f>
        <v/>
      </c>
      <c r="F11" s="14" t="str">
        <f aca="false">IF($I11="","",INDEX(CONSOLIDADO!$E$2:$E$801,$I11))</f>
        <v/>
      </c>
      <c r="G11" s="16" t="str">
        <f aca="false">IF($I11="","",INDEX(CONSOLIDADO!$G$2:$G$801,$I11))</f>
        <v/>
      </c>
      <c r="H11" s="16" t="str">
        <f aca="false">IF($I11="","",INDEX(CONSOLIDADO!$H$2:$H$801,$I11))</f>
        <v/>
      </c>
      <c r="I11" s="11" t="str">
        <f aca="false">IFERROR(MATCH(ROW()-1,CONSOLIDADO!$AJ$2:$AJ$801,0),"")</f>
        <v/>
      </c>
      <c r="J11" s="11" t="str">
        <f aca="false">IF(B11="","",F11&amp;" "&amp;C11&amp;" ("&amp;B11&amp;")")</f>
        <v/>
      </c>
    </row>
    <row r="12" customFormat="false" ht="15" hidden="false" customHeight="false" outlineLevel="0" collapsed="false">
      <c r="A12" s="16"/>
      <c r="B12" s="11" t="str">
        <f aca="false">IF($I12="","",INDEX(CONSOLIDADO!$A$2:$A$801,$I12))</f>
        <v/>
      </c>
      <c r="C12" s="11" t="str">
        <f aca="false">IF($I12="","",INDEX(CONSOLIDADO!$B$2:$B$801,$I12))</f>
        <v/>
      </c>
      <c r="D12" s="16" t="str">
        <f aca="false">IF($I12="","",INDEX(CONSOLIDADO!$C$2:$C$801,$I12))</f>
        <v/>
      </c>
      <c r="E12" s="16" t="str">
        <f aca="false">IF($I12="","",INDEX(CONSOLIDADO!$D$2:$D$801,$I12))</f>
        <v/>
      </c>
      <c r="F12" s="14" t="str">
        <f aca="false">IF($I12="","",INDEX(CONSOLIDADO!$E$2:$E$801,$I12))</f>
        <v/>
      </c>
      <c r="G12" s="16" t="str">
        <f aca="false">IF($I12="","",INDEX(CONSOLIDADO!$G$2:$G$801,$I12))</f>
        <v/>
      </c>
      <c r="H12" s="16" t="str">
        <f aca="false">IF($I12="","",INDEX(CONSOLIDADO!$H$2:$H$801,$I12))</f>
        <v/>
      </c>
      <c r="I12" s="11" t="str">
        <f aca="false">IFERROR(MATCH(ROW()-1,CONSOLIDADO!$AJ$2:$AJ$801,0),"")</f>
        <v/>
      </c>
      <c r="J12" s="11" t="str">
        <f aca="false">IF(B12="","",F12&amp;" "&amp;C12&amp;" ("&amp;B12&amp;")")</f>
        <v/>
      </c>
    </row>
    <row r="13" customFormat="false" ht="15" hidden="false" customHeight="false" outlineLevel="0" collapsed="false">
      <c r="A13" s="16"/>
      <c r="B13" s="11" t="str">
        <f aca="false">IF($I13="","",INDEX(CONSOLIDADO!$A$2:$A$801,$I13))</f>
        <v/>
      </c>
      <c r="C13" s="11" t="str">
        <f aca="false">IF($I13="","",INDEX(CONSOLIDADO!$B$2:$B$801,$I13))</f>
        <v/>
      </c>
      <c r="D13" s="16" t="str">
        <f aca="false">IF($I13="","",INDEX(CONSOLIDADO!$C$2:$C$801,$I13))</f>
        <v/>
      </c>
      <c r="E13" s="16" t="str">
        <f aca="false">IF($I13="","",INDEX(CONSOLIDADO!$D$2:$D$801,$I13))</f>
        <v/>
      </c>
      <c r="F13" s="14" t="str">
        <f aca="false">IF($I13="","",INDEX(CONSOLIDADO!$E$2:$E$801,$I13))</f>
        <v/>
      </c>
      <c r="G13" s="16" t="str">
        <f aca="false">IF($I13="","",INDEX(CONSOLIDADO!$G$2:$G$801,$I13))</f>
        <v/>
      </c>
      <c r="H13" s="16" t="str">
        <f aca="false">IF($I13="","",INDEX(CONSOLIDADO!$H$2:$H$801,$I13))</f>
        <v/>
      </c>
      <c r="I13" s="11" t="str">
        <f aca="false">IFERROR(MATCH(ROW()-1,CONSOLIDADO!$AJ$2:$AJ$801,0),"")</f>
        <v/>
      </c>
      <c r="J13" s="11" t="str">
        <f aca="false">IF(B13="","",F13&amp;" "&amp;C13&amp;" ("&amp;B13&amp;")")</f>
        <v/>
      </c>
    </row>
    <row r="14" customFormat="false" ht="15" hidden="false" customHeight="false" outlineLevel="0" collapsed="false">
      <c r="A14" s="16"/>
      <c r="B14" s="11" t="str">
        <f aca="false">IF($I14="","",INDEX(CONSOLIDADO!$A$2:$A$801,$I14))</f>
        <v/>
      </c>
      <c r="C14" s="11" t="str">
        <f aca="false">IF($I14="","",INDEX(CONSOLIDADO!$B$2:$B$801,$I14))</f>
        <v/>
      </c>
      <c r="D14" s="16" t="str">
        <f aca="false">IF($I14="","",INDEX(CONSOLIDADO!$C$2:$C$801,$I14))</f>
        <v/>
      </c>
      <c r="E14" s="16" t="str">
        <f aca="false">IF($I14="","",INDEX(CONSOLIDADO!$D$2:$D$801,$I14))</f>
        <v/>
      </c>
      <c r="F14" s="14" t="str">
        <f aca="false">IF($I14="","",INDEX(CONSOLIDADO!$E$2:$E$801,$I14))</f>
        <v/>
      </c>
      <c r="G14" s="16" t="str">
        <f aca="false">IF($I14="","",INDEX(CONSOLIDADO!$G$2:$G$801,$I14))</f>
        <v/>
      </c>
      <c r="H14" s="16" t="str">
        <f aca="false">IF($I14="","",INDEX(CONSOLIDADO!$H$2:$H$801,$I14))</f>
        <v/>
      </c>
      <c r="I14" s="11" t="str">
        <f aca="false">IFERROR(MATCH(ROW()-1,CONSOLIDADO!$AJ$2:$AJ$801,0),"")</f>
        <v/>
      </c>
      <c r="J14" s="11" t="str">
        <f aca="false">IF(B14="","",F14&amp;" "&amp;C14&amp;" ("&amp;B14&amp;")")</f>
        <v/>
      </c>
    </row>
    <row r="15" customFormat="false" ht="15" hidden="false" customHeight="false" outlineLevel="0" collapsed="false">
      <c r="A15" s="16"/>
      <c r="B15" s="11" t="str">
        <f aca="false">IF($I15="","",INDEX(CONSOLIDADO!$A$2:$A$801,$I15))</f>
        <v/>
      </c>
      <c r="C15" s="11" t="str">
        <f aca="false">IF($I15="","",INDEX(CONSOLIDADO!$B$2:$B$801,$I15))</f>
        <v/>
      </c>
      <c r="D15" s="16" t="str">
        <f aca="false">IF($I15="","",INDEX(CONSOLIDADO!$C$2:$C$801,$I15))</f>
        <v/>
      </c>
      <c r="E15" s="16" t="str">
        <f aca="false">IF($I15="","",INDEX(CONSOLIDADO!$D$2:$D$801,$I15))</f>
        <v/>
      </c>
      <c r="F15" s="14" t="str">
        <f aca="false">IF($I15="","",INDEX(CONSOLIDADO!$E$2:$E$801,$I15))</f>
        <v/>
      </c>
      <c r="G15" s="16" t="str">
        <f aca="false">IF($I15="","",INDEX(CONSOLIDADO!$G$2:$G$801,$I15))</f>
        <v/>
      </c>
      <c r="H15" s="16" t="str">
        <f aca="false">IF($I15="","",INDEX(CONSOLIDADO!$H$2:$H$801,$I15))</f>
        <v/>
      </c>
      <c r="I15" s="11" t="str">
        <f aca="false">IFERROR(MATCH(ROW()-1,CONSOLIDADO!$AJ$2:$AJ$801,0),"")</f>
        <v/>
      </c>
      <c r="J15" s="11" t="str">
        <f aca="false">IF(B15="","",F15&amp;" "&amp;C15&amp;" ("&amp;B15&amp;")")</f>
        <v/>
      </c>
    </row>
    <row r="16" customFormat="false" ht="15" hidden="false" customHeight="false" outlineLevel="0" collapsed="false">
      <c r="A16" s="16"/>
      <c r="B16" s="11" t="str">
        <f aca="false">IF($I16="","",INDEX(CONSOLIDADO!$A$2:$A$801,$I16))</f>
        <v/>
      </c>
      <c r="C16" s="11" t="str">
        <f aca="false">IF($I16="","",INDEX(CONSOLIDADO!$B$2:$B$801,$I16))</f>
        <v/>
      </c>
      <c r="D16" s="16" t="str">
        <f aca="false">IF($I16="","",INDEX(CONSOLIDADO!$C$2:$C$801,$I16))</f>
        <v/>
      </c>
      <c r="E16" s="16" t="str">
        <f aca="false">IF($I16="","",INDEX(CONSOLIDADO!$D$2:$D$801,$I16))</f>
        <v/>
      </c>
      <c r="F16" s="14" t="str">
        <f aca="false">IF($I16="","",INDEX(CONSOLIDADO!$E$2:$E$801,$I16))</f>
        <v/>
      </c>
      <c r="G16" s="16" t="str">
        <f aca="false">IF($I16="","",INDEX(CONSOLIDADO!$G$2:$G$801,$I16))</f>
        <v/>
      </c>
      <c r="H16" s="16" t="str">
        <f aca="false">IF($I16="","",INDEX(CONSOLIDADO!$H$2:$H$801,$I16))</f>
        <v/>
      </c>
      <c r="I16" s="11" t="str">
        <f aca="false">IFERROR(MATCH(ROW()-1,CONSOLIDADO!$AJ$2:$AJ$801,0),"")</f>
        <v/>
      </c>
      <c r="J16" s="11" t="str">
        <f aca="false">IF(B16="","",F16&amp;" "&amp;C16&amp;" ("&amp;B16&amp;")")</f>
        <v/>
      </c>
    </row>
    <row r="17" customFormat="false" ht="15" hidden="false" customHeight="false" outlineLevel="0" collapsed="false">
      <c r="A17" s="16"/>
      <c r="B17" s="11" t="str">
        <f aca="false">IF($I17="","",INDEX(CONSOLIDADO!$A$2:$A$801,$I17))</f>
        <v/>
      </c>
      <c r="C17" s="11" t="str">
        <f aca="false">IF($I17="","",INDEX(CONSOLIDADO!$B$2:$B$801,$I17))</f>
        <v/>
      </c>
      <c r="D17" s="16" t="str">
        <f aca="false">IF($I17="","",INDEX(CONSOLIDADO!$C$2:$C$801,$I17))</f>
        <v/>
      </c>
      <c r="E17" s="16" t="str">
        <f aca="false">IF($I17="","",INDEX(CONSOLIDADO!$D$2:$D$801,$I17))</f>
        <v/>
      </c>
      <c r="F17" s="14" t="str">
        <f aca="false">IF($I17="","",INDEX(CONSOLIDADO!$E$2:$E$801,$I17))</f>
        <v/>
      </c>
      <c r="G17" s="16" t="str">
        <f aca="false">IF($I17="","",INDEX(CONSOLIDADO!$G$2:$G$801,$I17))</f>
        <v/>
      </c>
      <c r="H17" s="16" t="str">
        <f aca="false">IF($I17="","",INDEX(CONSOLIDADO!$H$2:$H$801,$I17))</f>
        <v/>
      </c>
      <c r="I17" s="11" t="str">
        <f aca="false">IFERROR(MATCH(ROW()-1,CONSOLIDADO!$AJ$2:$AJ$801,0),"")</f>
        <v/>
      </c>
      <c r="J17" s="11" t="str">
        <f aca="false">IF(B17="","",F17&amp;" "&amp;C17&amp;" ("&amp;B17&amp;")")</f>
        <v/>
      </c>
    </row>
    <row r="18" customFormat="false" ht="15" hidden="false" customHeight="false" outlineLevel="0" collapsed="false">
      <c r="A18" s="16"/>
      <c r="B18" s="11" t="str">
        <f aca="false">IF($I18="","",INDEX(CONSOLIDADO!$A$2:$A$801,$I18))</f>
        <v/>
      </c>
      <c r="C18" s="11" t="str">
        <f aca="false">IF($I18="","",INDEX(CONSOLIDADO!$B$2:$B$801,$I18))</f>
        <v/>
      </c>
      <c r="D18" s="16" t="str">
        <f aca="false">IF($I18="","",INDEX(CONSOLIDADO!$C$2:$C$801,$I18))</f>
        <v/>
      </c>
      <c r="E18" s="16" t="str">
        <f aca="false">IF($I18="","",INDEX(CONSOLIDADO!$D$2:$D$801,$I18))</f>
        <v/>
      </c>
      <c r="F18" s="14" t="str">
        <f aca="false">IF($I18="","",INDEX(CONSOLIDADO!$E$2:$E$801,$I18))</f>
        <v/>
      </c>
      <c r="G18" s="16" t="str">
        <f aca="false">IF($I18="","",INDEX(CONSOLIDADO!$G$2:$G$801,$I18))</f>
        <v/>
      </c>
      <c r="H18" s="16" t="str">
        <f aca="false">IF($I18="","",INDEX(CONSOLIDADO!$H$2:$H$801,$I18))</f>
        <v/>
      </c>
      <c r="I18" s="11" t="str">
        <f aca="false">IFERROR(MATCH(ROW()-1,CONSOLIDADO!$AJ$2:$AJ$801,0),"")</f>
        <v/>
      </c>
      <c r="J18" s="11" t="str">
        <f aca="false">IF(B18="","",F18&amp;" "&amp;C18&amp;" ("&amp;B18&amp;")")</f>
        <v/>
      </c>
    </row>
    <row r="19" customFormat="false" ht="15" hidden="false" customHeight="false" outlineLevel="0" collapsed="false">
      <c r="A19" s="16"/>
      <c r="B19" s="11" t="str">
        <f aca="false">IF($I19="","",INDEX(CONSOLIDADO!$A$2:$A$801,$I19))</f>
        <v/>
      </c>
      <c r="C19" s="11" t="str">
        <f aca="false">IF($I19="","",INDEX(CONSOLIDADO!$B$2:$B$801,$I19))</f>
        <v/>
      </c>
      <c r="D19" s="16" t="str">
        <f aca="false">IF($I19="","",INDEX(CONSOLIDADO!$C$2:$C$801,$I19))</f>
        <v/>
      </c>
      <c r="E19" s="16" t="str">
        <f aca="false">IF($I19="","",INDEX(CONSOLIDADO!$D$2:$D$801,$I19))</f>
        <v/>
      </c>
      <c r="F19" s="14" t="str">
        <f aca="false">IF($I19="","",INDEX(CONSOLIDADO!$E$2:$E$801,$I19))</f>
        <v/>
      </c>
      <c r="G19" s="16" t="str">
        <f aca="false">IF($I19="","",INDEX(CONSOLIDADO!$G$2:$G$801,$I19))</f>
        <v/>
      </c>
      <c r="H19" s="16" t="str">
        <f aca="false">IF($I19="","",INDEX(CONSOLIDADO!$H$2:$H$801,$I19))</f>
        <v/>
      </c>
      <c r="I19" s="11" t="str">
        <f aca="false">IFERROR(MATCH(ROW()-1,CONSOLIDADO!$AJ$2:$AJ$801,0),"")</f>
        <v/>
      </c>
      <c r="J19" s="11" t="str">
        <f aca="false">IF(B19="","",F19&amp;" "&amp;C19&amp;" ("&amp;B19&amp;")")</f>
        <v/>
      </c>
    </row>
    <row r="20" customFormat="false" ht="15" hidden="false" customHeight="false" outlineLevel="0" collapsed="false">
      <c r="A20" s="16"/>
      <c r="B20" s="11" t="str">
        <f aca="false">IF($I20="","",INDEX(CONSOLIDADO!$A$2:$A$801,$I20))</f>
        <v/>
      </c>
      <c r="C20" s="11" t="str">
        <f aca="false">IF($I20="","",INDEX(CONSOLIDADO!$B$2:$B$801,$I20))</f>
        <v/>
      </c>
      <c r="D20" s="16" t="str">
        <f aca="false">IF($I20="","",INDEX(CONSOLIDADO!$C$2:$C$801,$I20))</f>
        <v/>
      </c>
      <c r="E20" s="16" t="str">
        <f aca="false">IF($I20="","",INDEX(CONSOLIDADO!$D$2:$D$801,$I20))</f>
        <v/>
      </c>
      <c r="F20" s="14" t="str">
        <f aca="false">IF($I20="","",INDEX(CONSOLIDADO!$E$2:$E$801,$I20))</f>
        <v/>
      </c>
      <c r="G20" s="16" t="str">
        <f aca="false">IF($I20="","",INDEX(CONSOLIDADO!$G$2:$G$801,$I20))</f>
        <v/>
      </c>
      <c r="H20" s="16" t="str">
        <f aca="false">IF($I20="","",INDEX(CONSOLIDADO!$H$2:$H$801,$I20))</f>
        <v/>
      </c>
      <c r="I20" s="11" t="str">
        <f aca="false">IFERROR(MATCH(ROW()-1,CONSOLIDADO!$AJ$2:$AJ$801,0),"")</f>
        <v/>
      </c>
      <c r="J20" s="11" t="str">
        <f aca="false">IF(B20="","",F20&amp;" "&amp;C20&amp;" ("&amp;B20&amp;")")</f>
        <v/>
      </c>
    </row>
    <row r="21" customFormat="false" ht="15" hidden="false" customHeight="false" outlineLevel="0" collapsed="false">
      <c r="A21" s="16"/>
      <c r="B21" s="11" t="str">
        <f aca="false">IF($I21="","",INDEX(CONSOLIDADO!$A$2:$A$801,$I21))</f>
        <v/>
      </c>
      <c r="C21" s="11" t="str">
        <f aca="false">IF($I21="","",INDEX(CONSOLIDADO!$B$2:$B$801,$I21))</f>
        <v/>
      </c>
      <c r="D21" s="16" t="str">
        <f aca="false">IF($I21="","",INDEX(CONSOLIDADO!$C$2:$C$801,$I21))</f>
        <v/>
      </c>
      <c r="E21" s="16" t="str">
        <f aca="false">IF($I21="","",INDEX(CONSOLIDADO!$D$2:$D$801,$I21))</f>
        <v/>
      </c>
      <c r="F21" s="14" t="str">
        <f aca="false">IF($I21="","",INDEX(CONSOLIDADO!$E$2:$E$801,$I21))</f>
        <v/>
      </c>
      <c r="G21" s="16" t="str">
        <f aca="false">IF($I21="","",INDEX(CONSOLIDADO!$G$2:$G$801,$I21))</f>
        <v/>
      </c>
      <c r="H21" s="16" t="str">
        <f aca="false">IF($I21="","",INDEX(CONSOLIDADO!$H$2:$H$801,$I21))</f>
        <v/>
      </c>
      <c r="I21" s="11" t="str">
        <f aca="false">IFERROR(MATCH(ROW()-1,CONSOLIDADO!$AJ$2:$AJ$801,0),"")</f>
        <v/>
      </c>
      <c r="J21" s="11" t="str">
        <f aca="false">IF(B21="","",F21&amp;" "&amp;C21&amp;" ("&amp;B21&amp;")")</f>
        <v/>
      </c>
    </row>
    <row r="22" customFormat="false" ht="15" hidden="false" customHeight="false" outlineLevel="0" collapsed="false">
      <c r="A22" s="16"/>
      <c r="B22" s="11" t="str">
        <f aca="false">IF($I22="","",INDEX(CONSOLIDADO!$A$2:$A$801,$I22))</f>
        <v/>
      </c>
      <c r="C22" s="11" t="str">
        <f aca="false">IF($I22="","",INDEX(CONSOLIDADO!$B$2:$B$801,$I22))</f>
        <v/>
      </c>
      <c r="D22" s="16" t="str">
        <f aca="false">IF($I22="","",INDEX(CONSOLIDADO!$C$2:$C$801,$I22))</f>
        <v/>
      </c>
      <c r="E22" s="16" t="str">
        <f aca="false">IF($I22="","",INDEX(CONSOLIDADO!$D$2:$D$801,$I22))</f>
        <v/>
      </c>
      <c r="F22" s="14" t="str">
        <f aca="false">IF($I22="","",INDEX(CONSOLIDADO!$E$2:$E$801,$I22))</f>
        <v/>
      </c>
      <c r="G22" s="16" t="str">
        <f aca="false">IF($I22="","",INDEX(CONSOLIDADO!$G$2:$G$801,$I22))</f>
        <v/>
      </c>
      <c r="H22" s="16" t="str">
        <f aca="false">IF($I22="","",INDEX(CONSOLIDADO!$H$2:$H$801,$I22))</f>
        <v/>
      </c>
      <c r="I22" s="11" t="str">
        <f aca="false">IFERROR(MATCH(ROW()-1,CONSOLIDADO!$AJ$2:$AJ$801,0),"")</f>
        <v/>
      </c>
      <c r="J22" s="11" t="str">
        <f aca="false">IF(B22="","",F22&amp;" "&amp;C22&amp;" ("&amp;B22&amp;")")</f>
        <v/>
      </c>
    </row>
    <row r="23" customFormat="false" ht="15" hidden="false" customHeight="false" outlineLevel="0" collapsed="false">
      <c r="A23" s="16"/>
      <c r="B23" s="11" t="str">
        <f aca="false">IF($I23="","",INDEX(CONSOLIDADO!$A$2:$A$801,$I23))</f>
        <v/>
      </c>
      <c r="C23" s="11" t="str">
        <f aca="false">IF($I23="","",INDEX(CONSOLIDADO!$B$2:$B$801,$I23))</f>
        <v/>
      </c>
      <c r="D23" s="16" t="str">
        <f aca="false">IF($I23="","",INDEX(CONSOLIDADO!$C$2:$C$801,$I23))</f>
        <v/>
      </c>
      <c r="E23" s="16" t="str">
        <f aca="false">IF($I23="","",INDEX(CONSOLIDADO!$D$2:$D$801,$I23))</f>
        <v/>
      </c>
      <c r="F23" s="14" t="str">
        <f aca="false">IF($I23="","",INDEX(CONSOLIDADO!$E$2:$E$801,$I23))</f>
        <v/>
      </c>
      <c r="G23" s="16" t="str">
        <f aca="false">IF($I23="","",INDEX(CONSOLIDADO!$G$2:$G$801,$I23))</f>
        <v/>
      </c>
      <c r="H23" s="16" t="str">
        <f aca="false">IF($I23="","",INDEX(CONSOLIDADO!$H$2:$H$801,$I23))</f>
        <v/>
      </c>
      <c r="I23" s="11" t="str">
        <f aca="false">IFERROR(MATCH(ROW()-1,CONSOLIDADO!$AJ$2:$AJ$801,0),"")</f>
        <v/>
      </c>
      <c r="J23" s="11" t="str">
        <f aca="false">IF(B23="","",F23&amp;" "&amp;C23&amp;" ("&amp;B23&amp;")")</f>
        <v/>
      </c>
    </row>
    <row r="24" customFormat="false" ht="15" hidden="false" customHeight="false" outlineLevel="0" collapsed="false">
      <c r="A24" s="16"/>
      <c r="B24" s="11" t="str">
        <f aca="false">IF($I24="","",INDEX(CONSOLIDADO!$A$2:$A$801,$I24))</f>
        <v/>
      </c>
      <c r="C24" s="11" t="str">
        <f aca="false">IF($I24="","",INDEX(CONSOLIDADO!$B$2:$B$801,$I24))</f>
        <v/>
      </c>
      <c r="D24" s="16" t="str">
        <f aca="false">IF($I24="","",INDEX(CONSOLIDADO!$C$2:$C$801,$I24))</f>
        <v/>
      </c>
      <c r="E24" s="16" t="str">
        <f aca="false">IF($I24="","",INDEX(CONSOLIDADO!$D$2:$D$801,$I24))</f>
        <v/>
      </c>
      <c r="F24" s="14" t="str">
        <f aca="false">IF($I24="","",INDEX(CONSOLIDADO!$E$2:$E$801,$I24))</f>
        <v/>
      </c>
      <c r="G24" s="16" t="str">
        <f aca="false">IF($I24="","",INDEX(CONSOLIDADO!$G$2:$G$801,$I24))</f>
        <v/>
      </c>
      <c r="H24" s="16" t="str">
        <f aca="false">IF($I24="","",INDEX(CONSOLIDADO!$H$2:$H$801,$I24))</f>
        <v/>
      </c>
      <c r="I24" s="11" t="str">
        <f aca="false">IFERROR(MATCH(ROW()-1,CONSOLIDADO!$AJ$2:$AJ$801,0),"")</f>
        <v/>
      </c>
      <c r="J24" s="11" t="str">
        <f aca="false">IF(B24="","",F24&amp;" "&amp;C24&amp;" ("&amp;B24&amp;")")</f>
        <v/>
      </c>
    </row>
    <row r="25" customFormat="false" ht="15" hidden="false" customHeight="false" outlineLevel="0" collapsed="false">
      <c r="A25" s="16"/>
      <c r="B25" s="11" t="str">
        <f aca="false">IF($I25="","",INDEX(CONSOLIDADO!$A$2:$A$801,$I25))</f>
        <v/>
      </c>
      <c r="C25" s="11" t="str">
        <f aca="false">IF($I25="","",INDEX(CONSOLIDADO!$B$2:$B$801,$I25))</f>
        <v/>
      </c>
      <c r="D25" s="16" t="str">
        <f aca="false">IF($I25="","",INDEX(CONSOLIDADO!$C$2:$C$801,$I25))</f>
        <v/>
      </c>
      <c r="E25" s="16" t="str">
        <f aca="false">IF($I25="","",INDEX(CONSOLIDADO!$D$2:$D$801,$I25))</f>
        <v/>
      </c>
      <c r="F25" s="14" t="str">
        <f aca="false">IF($I25="","",INDEX(CONSOLIDADO!$E$2:$E$801,$I25))</f>
        <v/>
      </c>
      <c r="G25" s="16" t="str">
        <f aca="false">IF($I25="","",INDEX(CONSOLIDADO!$G$2:$G$801,$I25))</f>
        <v/>
      </c>
      <c r="H25" s="16" t="str">
        <f aca="false">IF($I25="","",INDEX(CONSOLIDADO!$H$2:$H$801,$I25))</f>
        <v/>
      </c>
      <c r="I25" s="11" t="str">
        <f aca="false">IFERROR(MATCH(ROW()-1,CONSOLIDADO!$AJ$2:$AJ$801,0),"")</f>
        <v/>
      </c>
      <c r="J25" s="11" t="str">
        <f aca="false">IF(B25="","",F25&amp;" "&amp;C25&amp;" ("&amp;B25&amp;")")</f>
        <v/>
      </c>
    </row>
    <row r="26" customFormat="false" ht="15" hidden="false" customHeight="false" outlineLevel="0" collapsed="false">
      <c r="A26" s="16"/>
      <c r="B26" s="11" t="str">
        <f aca="false">IF($I26="","",INDEX(CONSOLIDADO!$A$2:$A$801,$I26))</f>
        <v/>
      </c>
      <c r="C26" s="11" t="str">
        <f aca="false">IF($I26="","",INDEX(CONSOLIDADO!$B$2:$B$801,$I26))</f>
        <v/>
      </c>
      <c r="D26" s="16" t="str">
        <f aca="false">IF($I26="","",INDEX(CONSOLIDADO!$C$2:$C$801,$I26))</f>
        <v/>
      </c>
      <c r="E26" s="16" t="str">
        <f aca="false">IF($I26="","",INDEX(CONSOLIDADO!$D$2:$D$801,$I26))</f>
        <v/>
      </c>
      <c r="F26" s="14" t="str">
        <f aca="false">IF($I26="","",INDEX(CONSOLIDADO!$E$2:$E$801,$I26))</f>
        <v/>
      </c>
      <c r="G26" s="16" t="str">
        <f aca="false">IF($I26="","",INDEX(CONSOLIDADO!$G$2:$G$801,$I26))</f>
        <v/>
      </c>
      <c r="H26" s="16" t="str">
        <f aca="false">IF($I26="","",INDEX(CONSOLIDADO!$H$2:$H$801,$I26))</f>
        <v/>
      </c>
      <c r="I26" s="11" t="str">
        <f aca="false">IFERROR(MATCH(ROW()-1,CONSOLIDADO!$AJ$2:$AJ$801,0),"")</f>
        <v/>
      </c>
      <c r="J26" s="11" t="str">
        <f aca="false">IF(B26="","",F26&amp;" "&amp;C26&amp;" ("&amp;B26&amp;")")</f>
        <v/>
      </c>
    </row>
    <row r="27" customFormat="false" ht="15" hidden="false" customHeight="false" outlineLevel="0" collapsed="false">
      <c r="A27" s="16"/>
      <c r="B27" s="11" t="str">
        <f aca="false">IF($I27="","",INDEX(CONSOLIDADO!$A$2:$A$801,$I27))</f>
        <v/>
      </c>
      <c r="C27" s="11" t="str">
        <f aca="false">IF($I27="","",INDEX(CONSOLIDADO!$B$2:$B$801,$I27))</f>
        <v/>
      </c>
      <c r="D27" s="16" t="str">
        <f aca="false">IF($I27="","",INDEX(CONSOLIDADO!$C$2:$C$801,$I27))</f>
        <v/>
      </c>
      <c r="E27" s="16" t="str">
        <f aca="false">IF($I27="","",INDEX(CONSOLIDADO!$D$2:$D$801,$I27))</f>
        <v/>
      </c>
      <c r="F27" s="14" t="str">
        <f aca="false">IF($I27="","",INDEX(CONSOLIDADO!$E$2:$E$801,$I27))</f>
        <v/>
      </c>
      <c r="G27" s="16" t="str">
        <f aca="false">IF($I27="","",INDEX(CONSOLIDADO!$G$2:$G$801,$I27))</f>
        <v/>
      </c>
      <c r="H27" s="16" t="str">
        <f aca="false">IF($I27="","",INDEX(CONSOLIDADO!$H$2:$H$801,$I27))</f>
        <v/>
      </c>
      <c r="I27" s="11" t="str">
        <f aca="false">IFERROR(MATCH(ROW()-1,CONSOLIDADO!$AJ$2:$AJ$801,0),"")</f>
        <v/>
      </c>
      <c r="J27" s="11" t="str">
        <f aca="false">IF(B27="","",F27&amp;" "&amp;C27&amp;" ("&amp;B27&amp;")")</f>
        <v/>
      </c>
    </row>
    <row r="28" customFormat="false" ht="15" hidden="false" customHeight="false" outlineLevel="0" collapsed="false">
      <c r="A28" s="16"/>
      <c r="B28" s="11" t="str">
        <f aca="false">IF($I28="","",INDEX(CONSOLIDADO!$A$2:$A$801,$I28))</f>
        <v/>
      </c>
      <c r="C28" s="11" t="str">
        <f aca="false">IF($I28="","",INDEX(CONSOLIDADO!$B$2:$B$801,$I28))</f>
        <v/>
      </c>
      <c r="D28" s="16" t="str">
        <f aca="false">IF($I28="","",INDEX(CONSOLIDADO!$C$2:$C$801,$I28))</f>
        <v/>
      </c>
      <c r="E28" s="16" t="str">
        <f aca="false">IF($I28="","",INDEX(CONSOLIDADO!$D$2:$D$801,$I28))</f>
        <v/>
      </c>
      <c r="F28" s="14" t="str">
        <f aca="false">IF($I28="","",INDEX(CONSOLIDADO!$E$2:$E$801,$I28))</f>
        <v/>
      </c>
      <c r="G28" s="16" t="str">
        <f aca="false">IF($I28="","",INDEX(CONSOLIDADO!$G$2:$G$801,$I28))</f>
        <v/>
      </c>
      <c r="H28" s="16" t="str">
        <f aca="false">IF($I28="","",INDEX(CONSOLIDADO!$H$2:$H$801,$I28))</f>
        <v/>
      </c>
      <c r="I28" s="11" t="str">
        <f aca="false">IFERROR(MATCH(ROW()-1,CONSOLIDADO!$AJ$2:$AJ$801,0),"")</f>
        <v/>
      </c>
      <c r="J28" s="11" t="str">
        <f aca="false">IF(B28="","",F28&amp;" "&amp;C28&amp;" ("&amp;B28&amp;")")</f>
        <v/>
      </c>
    </row>
    <row r="29" customFormat="false" ht="15" hidden="false" customHeight="false" outlineLevel="0" collapsed="false">
      <c r="A29" s="16"/>
      <c r="B29" s="11" t="str">
        <f aca="false">IF($I29="","",INDEX(CONSOLIDADO!$A$2:$A$801,$I29))</f>
        <v/>
      </c>
      <c r="C29" s="11" t="str">
        <f aca="false">IF($I29="","",INDEX(CONSOLIDADO!$B$2:$B$801,$I29))</f>
        <v/>
      </c>
      <c r="D29" s="16" t="str">
        <f aca="false">IF($I29="","",INDEX(CONSOLIDADO!$C$2:$C$801,$I29))</f>
        <v/>
      </c>
      <c r="E29" s="16" t="str">
        <f aca="false">IF($I29="","",INDEX(CONSOLIDADO!$D$2:$D$801,$I29))</f>
        <v/>
      </c>
      <c r="F29" s="14" t="str">
        <f aca="false">IF($I29="","",INDEX(CONSOLIDADO!$E$2:$E$801,$I29))</f>
        <v/>
      </c>
      <c r="G29" s="16" t="str">
        <f aca="false">IF($I29="","",INDEX(CONSOLIDADO!$G$2:$G$801,$I29))</f>
        <v/>
      </c>
      <c r="H29" s="16" t="str">
        <f aca="false">IF($I29="","",INDEX(CONSOLIDADO!$H$2:$H$801,$I29))</f>
        <v/>
      </c>
      <c r="I29" s="11" t="str">
        <f aca="false">IFERROR(MATCH(ROW()-1,CONSOLIDADO!$AJ$2:$AJ$801,0),"")</f>
        <v/>
      </c>
      <c r="J29" s="11" t="str">
        <f aca="false">IF(B29="","",F29&amp;" "&amp;C29&amp;" ("&amp;B29&amp;")")</f>
        <v/>
      </c>
    </row>
    <row r="30" customFormat="false" ht="15" hidden="false" customHeight="false" outlineLevel="0" collapsed="false">
      <c r="A30" s="16"/>
      <c r="B30" s="11" t="str">
        <f aca="false">IF($I30="","",INDEX(CONSOLIDADO!$A$2:$A$801,$I30))</f>
        <v/>
      </c>
      <c r="C30" s="11" t="str">
        <f aca="false">IF($I30="","",INDEX(CONSOLIDADO!$B$2:$B$801,$I30))</f>
        <v/>
      </c>
      <c r="D30" s="16" t="str">
        <f aca="false">IF($I30="","",INDEX(CONSOLIDADO!$C$2:$C$801,$I30))</f>
        <v/>
      </c>
      <c r="E30" s="16" t="str">
        <f aca="false">IF($I30="","",INDEX(CONSOLIDADO!$D$2:$D$801,$I30))</f>
        <v/>
      </c>
      <c r="F30" s="14" t="str">
        <f aca="false">IF($I30="","",INDEX(CONSOLIDADO!$E$2:$E$801,$I30))</f>
        <v/>
      </c>
      <c r="G30" s="16" t="str">
        <f aca="false">IF($I30="","",INDEX(CONSOLIDADO!$G$2:$G$801,$I30))</f>
        <v/>
      </c>
      <c r="H30" s="16" t="str">
        <f aca="false">IF($I30="","",INDEX(CONSOLIDADO!$H$2:$H$801,$I30))</f>
        <v/>
      </c>
      <c r="I30" s="11" t="str">
        <f aca="false">IFERROR(MATCH(ROW()-1,CONSOLIDADO!$AJ$2:$AJ$801,0),"")</f>
        <v/>
      </c>
      <c r="J30" s="11" t="str">
        <f aca="false">IF(B30="","",F30&amp;" "&amp;C30&amp;" ("&amp;B30&amp;")")</f>
        <v/>
      </c>
    </row>
    <row r="31" customFormat="false" ht="15" hidden="false" customHeight="false" outlineLevel="0" collapsed="false">
      <c r="A31" s="16"/>
      <c r="B31" s="11" t="str">
        <f aca="false">IF($I31="","",INDEX(CONSOLIDADO!$A$2:$A$801,$I31))</f>
        <v/>
      </c>
      <c r="C31" s="11" t="str">
        <f aca="false">IF($I31="","",INDEX(CONSOLIDADO!$B$2:$B$801,$I31))</f>
        <v/>
      </c>
      <c r="D31" s="16" t="str">
        <f aca="false">IF($I31="","",INDEX(CONSOLIDADO!$C$2:$C$801,$I31))</f>
        <v/>
      </c>
      <c r="E31" s="16" t="str">
        <f aca="false">IF($I31="","",INDEX(CONSOLIDADO!$D$2:$D$801,$I31))</f>
        <v/>
      </c>
      <c r="F31" s="14" t="str">
        <f aca="false">IF($I31="","",INDEX(CONSOLIDADO!$E$2:$E$801,$I31))</f>
        <v/>
      </c>
      <c r="G31" s="16" t="str">
        <f aca="false">IF($I31="","",INDEX(CONSOLIDADO!$G$2:$G$801,$I31))</f>
        <v/>
      </c>
      <c r="H31" s="16" t="str">
        <f aca="false">IF($I31="","",INDEX(CONSOLIDADO!$H$2:$H$801,$I31))</f>
        <v/>
      </c>
      <c r="I31" s="11" t="str">
        <f aca="false">IFERROR(MATCH(ROW()-1,CONSOLIDADO!$AJ$2:$AJ$801,0),"")</f>
        <v/>
      </c>
      <c r="J31" s="11" t="str">
        <f aca="false">IF(B31="","",F31&amp;" "&amp;C31&amp;" ("&amp;B31&amp;")")</f>
        <v/>
      </c>
    </row>
    <row r="32" customFormat="false" ht="15" hidden="false" customHeight="false" outlineLevel="0" collapsed="false">
      <c r="A32" s="16"/>
      <c r="B32" s="11" t="str">
        <f aca="false">IF($I32="","",INDEX(CONSOLIDADO!$A$2:$A$801,$I32))</f>
        <v/>
      </c>
      <c r="C32" s="11" t="str">
        <f aca="false">IF($I32="","",INDEX(CONSOLIDADO!$B$2:$B$801,$I32))</f>
        <v/>
      </c>
      <c r="D32" s="16" t="str">
        <f aca="false">IF($I32="","",INDEX(CONSOLIDADO!$C$2:$C$801,$I32))</f>
        <v/>
      </c>
      <c r="E32" s="16" t="str">
        <f aca="false">IF($I32="","",INDEX(CONSOLIDADO!$D$2:$D$801,$I32))</f>
        <v/>
      </c>
      <c r="F32" s="14" t="str">
        <f aca="false">IF($I32="","",INDEX(CONSOLIDADO!$E$2:$E$801,$I32))</f>
        <v/>
      </c>
      <c r="G32" s="16" t="str">
        <f aca="false">IF($I32="","",INDEX(CONSOLIDADO!$G$2:$G$801,$I32))</f>
        <v/>
      </c>
      <c r="H32" s="16" t="str">
        <f aca="false">IF($I32="","",INDEX(CONSOLIDADO!$H$2:$H$801,$I32))</f>
        <v/>
      </c>
      <c r="I32" s="11" t="str">
        <f aca="false">IFERROR(MATCH(ROW()-1,CONSOLIDADO!$AJ$2:$AJ$801,0),"")</f>
        <v/>
      </c>
      <c r="J32" s="11" t="str">
        <f aca="false">IF(B32="","",F32&amp;" "&amp;C32&amp;" ("&amp;B32&amp;")")</f>
        <v/>
      </c>
    </row>
    <row r="33" customFormat="false" ht="15" hidden="false" customHeight="false" outlineLevel="0" collapsed="false">
      <c r="A33" s="16"/>
      <c r="B33" s="11" t="str">
        <f aca="false">IF($I33="","",INDEX(CONSOLIDADO!$A$2:$A$801,$I33))</f>
        <v/>
      </c>
      <c r="C33" s="11" t="str">
        <f aca="false">IF($I33="","",INDEX(CONSOLIDADO!$B$2:$B$801,$I33))</f>
        <v/>
      </c>
      <c r="D33" s="16" t="str">
        <f aca="false">IF($I33="","",INDEX(CONSOLIDADO!$C$2:$C$801,$I33))</f>
        <v/>
      </c>
      <c r="E33" s="16" t="str">
        <f aca="false">IF($I33="","",INDEX(CONSOLIDADO!$D$2:$D$801,$I33))</f>
        <v/>
      </c>
      <c r="F33" s="14" t="str">
        <f aca="false">IF($I33="","",INDEX(CONSOLIDADO!$E$2:$E$801,$I33))</f>
        <v/>
      </c>
      <c r="G33" s="16" t="str">
        <f aca="false">IF($I33="","",INDEX(CONSOLIDADO!$G$2:$G$801,$I33))</f>
        <v/>
      </c>
      <c r="H33" s="16" t="str">
        <f aca="false">IF($I33="","",INDEX(CONSOLIDADO!$H$2:$H$801,$I33))</f>
        <v/>
      </c>
      <c r="I33" s="11" t="str">
        <f aca="false">IFERROR(MATCH(ROW()-1,CONSOLIDADO!$AJ$2:$AJ$801,0),"")</f>
        <v/>
      </c>
      <c r="J33" s="11" t="str">
        <f aca="false">IF(B33="","",F33&amp;" "&amp;C33&amp;" ("&amp;B33&amp;")")</f>
        <v/>
      </c>
    </row>
    <row r="34" customFormat="false" ht="15" hidden="false" customHeight="false" outlineLevel="0" collapsed="false">
      <c r="A34" s="16"/>
      <c r="B34" s="11" t="str">
        <f aca="false">IF($I34="","",INDEX(CONSOLIDADO!$A$2:$A$801,$I34))</f>
        <v/>
      </c>
      <c r="C34" s="11" t="str">
        <f aca="false">IF($I34="","",INDEX(CONSOLIDADO!$B$2:$B$801,$I34))</f>
        <v/>
      </c>
      <c r="D34" s="16" t="str">
        <f aca="false">IF($I34="","",INDEX(CONSOLIDADO!$C$2:$C$801,$I34))</f>
        <v/>
      </c>
      <c r="E34" s="16" t="str">
        <f aca="false">IF($I34="","",INDEX(CONSOLIDADO!$D$2:$D$801,$I34))</f>
        <v/>
      </c>
      <c r="F34" s="14" t="str">
        <f aca="false">IF($I34="","",INDEX(CONSOLIDADO!$E$2:$E$801,$I34))</f>
        <v/>
      </c>
      <c r="G34" s="16" t="str">
        <f aca="false">IF($I34="","",INDEX(CONSOLIDADO!$G$2:$G$801,$I34))</f>
        <v/>
      </c>
      <c r="H34" s="16" t="str">
        <f aca="false">IF($I34="","",INDEX(CONSOLIDADO!$H$2:$H$801,$I34))</f>
        <v/>
      </c>
      <c r="I34" s="11" t="str">
        <f aca="false">IFERROR(MATCH(ROW()-1,CONSOLIDADO!$AJ$2:$AJ$801,0),"")</f>
        <v/>
      </c>
      <c r="J34" s="11" t="str">
        <f aca="false">IF(B34="","",F34&amp;" "&amp;C34&amp;" ("&amp;B34&amp;")")</f>
        <v/>
      </c>
    </row>
    <row r="35" customFormat="false" ht="15" hidden="false" customHeight="false" outlineLevel="0" collapsed="false">
      <c r="A35" s="16"/>
      <c r="B35" s="11" t="str">
        <f aca="false">IF($I35="","",INDEX(CONSOLIDADO!$A$2:$A$801,$I35))</f>
        <v/>
      </c>
      <c r="C35" s="11" t="str">
        <f aca="false">IF($I35="","",INDEX(CONSOLIDADO!$B$2:$B$801,$I35))</f>
        <v/>
      </c>
      <c r="D35" s="16" t="str">
        <f aca="false">IF($I35="","",INDEX(CONSOLIDADO!$C$2:$C$801,$I35))</f>
        <v/>
      </c>
      <c r="E35" s="16" t="str">
        <f aca="false">IF($I35="","",INDEX(CONSOLIDADO!$D$2:$D$801,$I35))</f>
        <v/>
      </c>
      <c r="F35" s="14" t="str">
        <f aca="false">IF($I35="","",INDEX(CONSOLIDADO!$E$2:$E$801,$I35))</f>
        <v/>
      </c>
      <c r="G35" s="16" t="str">
        <f aca="false">IF($I35="","",INDEX(CONSOLIDADO!$G$2:$G$801,$I35))</f>
        <v/>
      </c>
      <c r="H35" s="16" t="str">
        <f aca="false">IF($I35="","",INDEX(CONSOLIDADO!$H$2:$H$801,$I35))</f>
        <v/>
      </c>
      <c r="I35" s="11" t="str">
        <f aca="false">IFERROR(MATCH(ROW()-1,CONSOLIDADO!$AJ$2:$AJ$801,0),"")</f>
        <v/>
      </c>
      <c r="J35" s="11" t="str">
        <f aca="false">IF(B35="","",F35&amp;" "&amp;C35&amp;" ("&amp;B35&amp;")")</f>
        <v/>
      </c>
    </row>
    <row r="36" customFormat="false" ht="15" hidden="false" customHeight="false" outlineLevel="0" collapsed="false">
      <c r="A36" s="16"/>
      <c r="B36" s="11" t="str">
        <f aca="false">IF($I36="","",INDEX(CONSOLIDADO!$A$2:$A$801,$I36))</f>
        <v/>
      </c>
      <c r="C36" s="11" t="str">
        <f aca="false">IF($I36="","",INDEX(CONSOLIDADO!$B$2:$B$801,$I36))</f>
        <v/>
      </c>
      <c r="D36" s="16" t="str">
        <f aca="false">IF($I36="","",INDEX(CONSOLIDADO!$C$2:$C$801,$I36))</f>
        <v/>
      </c>
      <c r="E36" s="16" t="str">
        <f aca="false">IF($I36="","",INDEX(CONSOLIDADO!$D$2:$D$801,$I36))</f>
        <v/>
      </c>
      <c r="F36" s="14" t="str">
        <f aca="false">IF($I36="","",INDEX(CONSOLIDADO!$E$2:$E$801,$I36))</f>
        <v/>
      </c>
      <c r="G36" s="16" t="str">
        <f aca="false">IF($I36="","",INDEX(CONSOLIDADO!$G$2:$G$801,$I36))</f>
        <v/>
      </c>
      <c r="H36" s="16" t="str">
        <f aca="false">IF($I36="","",INDEX(CONSOLIDADO!$H$2:$H$801,$I36))</f>
        <v/>
      </c>
      <c r="I36" s="11" t="str">
        <f aca="false">IFERROR(MATCH(ROW()-1,CONSOLIDADO!$AJ$2:$AJ$801,0),"")</f>
        <v/>
      </c>
      <c r="J36" s="11" t="str">
        <f aca="false">IF(B36="","",F36&amp;" "&amp;C36&amp;" ("&amp;B36&amp;")")</f>
        <v/>
      </c>
    </row>
    <row r="37" customFormat="false" ht="15" hidden="false" customHeight="false" outlineLevel="0" collapsed="false">
      <c r="A37" s="16"/>
      <c r="B37" s="11" t="str">
        <f aca="false">IF($I37="","",INDEX(CONSOLIDADO!$A$2:$A$801,$I37))</f>
        <v/>
      </c>
      <c r="C37" s="11" t="str">
        <f aca="false">IF($I37="","",INDEX(CONSOLIDADO!$B$2:$B$801,$I37))</f>
        <v/>
      </c>
      <c r="D37" s="16" t="str">
        <f aca="false">IF($I37="","",INDEX(CONSOLIDADO!$C$2:$C$801,$I37))</f>
        <v/>
      </c>
      <c r="E37" s="16" t="str">
        <f aca="false">IF($I37="","",INDEX(CONSOLIDADO!$D$2:$D$801,$I37))</f>
        <v/>
      </c>
      <c r="F37" s="14" t="str">
        <f aca="false">IF($I37="","",INDEX(CONSOLIDADO!$E$2:$E$801,$I37))</f>
        <v/>
      </c>
      <c r="G37" s="16" t="str">
        <f aca="false">IF($I37="","",INDEX(CONSOLIDADO!$G$2:$G$801,$I37))</f>
        <v/>
      </c>
      <c r="H37" s="16" t="str">
        <f aca="false">IF($I37="","",INDEX(CONSOLIDADO!$H$2:$H$801,$I37))</f>
        <v/>
      </c>
      <c r="I37" s="11" t="str">
        <f aca="false">IFERROR(MATCH(ROW()-1,CONSOLIDADO!$AJ$2:$AJ$801,0),"")</f>
        <v/>
      </c>
      <c r="J37" s="11" t="str">
        <f aca="false">IF(B37="","",F37&amp;" "&amp;C37&amp;" ("&amp;B37&amp;")")</f>
        <v/>
      </c>
    </row>
    <row r="38" customFormat="false" ht="15" hidden="false" customHeight="false" outlineLevel="0" collapsed="false">
      <c r="A38" s="16"/>
      <c r="B38" s="11" t="str">
        <f aca="false">IF($I38="","",INDEX(CONSOLIDADO!$A$2:$A$801,$I38))</f>
        <v/>
      </c>
      <c r="C38" s="11" t="str">
        <f aca="false">IF($I38="","",INDEX(CONSOLIDADO!$B$2:$B$801,$I38))</f>
        <v/>
      </c>
      <c r="D38" s="16" t="str">
        <f aca="false">IF($I38="","",INDEX(CONSOLIDADO!$C$2:$C$801,$I38))</f>
        <v/>
      </c>
      <c r="E38" s="16" t="str">
        <f aca="false">IF($I38="","",INDEX(CONSOLIDADO!$D$2:$D$801,$I38))</f>
        <v/>
      </c>
      <c r="F38" s="14" t="str">
        <f aca="false">IF($I38="","",INDEX(CONSOLIDADO!$E$2:$E$801,$I38))</f>
        <v/>
      </c>
      <c r="G38" s="16" t="str">
        <f aca="false">IF($I38="","",INDEX(CONSOLIDADO!$G$2:$G$801,$I38))</f>
        <v/>
      </c>
      <c r="H38" s="16" t="str">
        <f aca="false">IF($I38="","",INDEX(CONSOLIDADO!$H$2:$H$801,$I38))</f>
        <v/>
      </c>
      <c r="I38" s="11" t="str">
        <f aca="false">IFERROR(MATCH(ROW()-1,CONSOLIDADO!$AJ$2:$AJ$801,0),"")</f>
        <v/>
      </c>
      <c r="J38" s="11" t="str">
        <f aca="false">IF(B38="","",F38&amp;" "&amp;C38&amp;" ("&amp;B38&amp;")")</f>
        <v/>
      </c>
    </row>
    <row r="39" customFormat="false" ht="15" hidden="false" customHeight="false" outlineLevel="0" collapsed="false">
      <c r="A39" s="16"/>
      <c r="B39" s="11" t="str">
        <f aca="false">IF($I39="","",INDEX(CONSOLIDADO!$A$2:$A$801,$I39))</f>
        <v/>
      </c>
      <c r="C39" s="11" t="str">
        <f aca="false">IF($I39="","",INDEX(CONSOLIDADO!$B$2:$B$801,$I39))</f>
        <v/>
      </c>
      <c r="D39" s="16" t="str">
        <f aca="false">IF($I39="","",INDEX(CONSOLIDADO!$C$2:$C$801,$I39))</f>
        <v/>
      </c>
      <c r="E39" s="16" t="str">
        <f aca="false">IF($I39="","",INDEX(CONSOLIDADO!$D$2:$D$801,$I39))</f>
        <v/>
      </c>
      <c r="F39" s="14" t="str">
        <f aca="false">IF($I39="","",INDEX(CONSOLIDADO!$E$2:$E$801,$I39))</f>
        <v/>
      </c>
      <c r="G39" s="16" t="str">
        <f aca="false">IF($I39="","",INDEX(CONSOLIDADO!$G$2:$G$801,$I39))</f>
        <v/>
      </c>
      <c r="H39" s="16" t="str">
        <f aca="false">IF($I39="","",INDEX(CONSOLIDADO!$H$2:$H$801,$I39))</f>
        <v/>
      </c>
      <c r="I39" s="11" t="str">
        <f aca="false">IFERROR(MATCH(ROW()-1,CONSOLIDADO!$AJ$2:$AJ$801,0),"")</f>
        <v/>
      </c>
      <c r="J39" s="11" t="str">
        <f aca="false">IF(B39="","",F39&amp;" "&amp;C39&amp;" ("&amp;B39&amp;")")</f>
        <v/>
      </c>
    </row>
    <row r="40" customFormat="false" ht="15" hidden="false" customHeight="false" outlineLevel="0" collapsed="false">
      <c r="A40" s="16"/>
      <c r="B40" s="11" t="str">
        <f aca="false">IF($I40="","",INDEX(CONSOLIDADO!$A$2:$A$801,$I40))</f>
        <v/>
      </c>
      <c r="C40" s="11" t="str">
        <f aca="false">IF($I40="","",INDEX(CONSOLIDADO!$B$2:$B$801,$I40))</f>
        <v/>
      </c>
      <c r="D40" s="16" t="str">
        <f aca="false">IF($I40="","",INDEX(CONSOLIDADO!$C$2:$C$801,$I40))</f>
        <v/>
      </c>
      <c r="E40" s="16" t="str">
        <f aca="false">IF($I40="","",INDEX(CONSOLIDADO!$D$2:$D$801,$I40))</f>
        <v/>
      </c>
      <c r="F40" s="14" t="str">
        <f aca="false">IF($I40="","",INDEX(CONSOLIDADO!$E$2:$E$801,$I40))</f>
        <v/>
      </c>
      <c r="G40" s="16" t="str">
        <f aca="false">IF($I40="","",INDEX(CONSOLIDADO!$G$2:$G$801,$I40))</f>
        <v/>
      </c>
      <c r="H40" s="16" t="str">
        <f aca="false">IF($I40="","",INDEX(CONSOLIDADO!$H$2:$H$801,$I40))</f>
        <v/>
      </c>
      <c r="I40" s="11" t="str">
        <f aca="false">IFERROR(MATCH(ROW()-1,CONSOLIDADO!$AJ$2:$AJ$801,0),"")</f>
        <v/>
      </c>
      <c r="J40" s="11" t="str">
        <f aca="false">IF(B40="","",F40&amp;" "&amp;C40&amp;" ("&amp;B40&amp;")")</f>
        <v/>
      </c>
    </row>
    <row r="41" customFormat="false" ht="15" hidden="false" customHeight="false" outlineLevel="0" collapsed="false">
      <c r="A41" s="16"/>
      <c r="B41" s="11" t="str">
        <f aca="false">IF($I41="","",INDEX(CONSOLIDADO!$A$2:$A$801,$I41))</f>
        <v/>
      </c>
      <c r="C41" s="11" t="str">
        <f aca="false">IF($I41="","",INDEX(CONSOLIDADO!$B$2:$B$801,$I41))</f>
        <v/>
      </c>
      <c r="D41" s="16" t="str">
        <f aca="false">IF($I41="","",INDEX(CONSOLIDADO!$C$2:$C$801,$I41))</f>
        <v/>
      </c>
      <c r="E41" s="16" t="str">
        <f aca="false">IF($I41="","",INDEX(CONSOLIDADO!$D$2:$D$801,$I41))</f>
        <v/>
      </c>
      <c r="F41" s="14" t="str">
        <f aca="false">IF($I41="","",INDEX(CONSOLIDADO!$E$2:$E$801,$I41))</f>
        <v/>
      </c>
      <c r="G41" s="16" t="str">
        <f aca="false">IF($I41="","",INDEX(CONSOLIDADO!$G$2:$G$801,$I41))</f>
        <v/>
      </c>
      <c r="H41" s="16" t="str">
        <f aca="false">IF($I41="","",INDEX(CONSOLIDADO!$H$2:$H$801,$I41))</f>
        <v/>
      </c>
      <c r="I41" s="11" t="str">
        <f aca="false">IFERROR(MATCH(ROW()-1,CONSOLIDADO!$AJ$2:$AJ$801,0),"")</f>
        <v/>
      </c>
      <c r="J41" s="11" t="str">
        <f aca="false">IF(B41="","",F41&amp;" "&amp;C41&amp;" ("&amp;B41&amp;")")</f>
        <v/>
      </c>
    </row>
    <row r="42" customFormat="false" ht="15" hidden="false" customHeight="false" outlineLevel="0" collapsed="false">
      <c r="A42" s="16"/>
      <c r="B42" s="11" t="str">
        <f aca="false">IF($I42="","",INDEX(CONSOLIDADO!$A$2:$A$801,$I42))</f>
        <v/>
      </c>
      <c r="C42" s="11" t="str">
        <f aca="false">IF($I42="","",INDEX(CONSOLIDADO!$B$2:$B$801,$I42))</f>
        <v/>
      </c>
      <c r="D42" s="16" t="str">
        <f aca="false">IF($I42="","",INDEX(CONSOLIDADO!$C$2:$C$801,$I42))</f>
        <v/>
      </c>
      <c r="E42" s="16" t="str">
        <f aca="false">IF($I42="","",INDEX(CONSOLIDADO!$D$2:$D$801,$I42))</f>
        <v/>
      </c>
      <c r="F42" s="14" t="str">
        <f aca="false">IF($I42="","",INDEX(CONSOLIDADO!$E$2:$E$801,$I42))</f>
        <v/>
      </c>
      <c r="G42" s="16" t="str">
        <f aca="false">IF($I42="","",INDEX(CONSOLIDADO!$G$2:$G$801,$I42))</f>
        <v/>
      </c>
      <c r="H42" s="16" t="str">
        <f aca="false">IF($I42="","",INDEX(CONSOLIDADO!$H$2:$H$801,$I42))</f>
        <v/>
      </c>
      <c r="I42" s="11" t="str">
        <f aca="false">IFERROR(MATCH(ROW()-1,CONSOLIDADO!$AJ$2:$AJ$801,0),"")</f>
        <v/>
      </c>
      <c r="J42" s="11" t="str">
        <f aca="false">IF(B42="","",F42&amp;" "&amp;C42&amp;" ("&amp;B42&amp;")")</f>
        <v/>
      </c>
    </row>
    <row r="43" customFormat="false" ht="15" hidden="false" customHeight="false" outlineLevel="0" collapsed="false">
      <c r="A43" s="16"/>
      <c r="B43" s="11" t="str">
        <f aca="false">IF($I43="","",INDEX(CONSOLIDADO!$A$2:$A$801,$I43))</f>
        <v/>
      </c>
      <c r="C43" s="11" t="str">
        <f aca="false">IF($I43="","",INDEX(CONSOLIDADO!$B$2:$B$801,$I43))</f>
        <v/>
      </c>
      <c r="D43" s="16" t="str">
        <f aca="false">IF($I43="","",INDEX(CONSOLIDADO!$C$2:$C$801,$I43))</f>
        <v/>
      </c>
      <c r="E43" s="16" t="str">
        <f aca="false">IF($I43="","",INDEX(CONSOLIDADO!$D$2:$D$801,$I43))</f>
        <v/>
      </c>
      <c r="F43" s="14" t="str">
        <f aca="false">IF($I43="","",INDEX(CONSOLIDADO!$E$2:$E$801,$I43))</f>
        <v/>
      </c>
      <c r="G43" s="16" t="str">
        <f aca="false">IF($I43="","",INDEX(CONSOLIDADO!$G$2:$G$801,$I43))</f>
        <v/>
      </c>
      <c r="H43" s="16" t="str">
        <f aca="false">IF($I43="","",INDEX(CONSOLIDADO!$H$2:$H$801,$I43))</f>
        <v/>
      </c>
      <c r="I43" s="11" t="str">
        <f aca="false">IFERROR(MATCH(ROW()-1,CONSOLIDADO!$AJ$2:$AJ$801,0),"")</f>
        <v/>
      </c>
      <c r="J43" s="11" t="str">
        <f aca="false">IF(B43="","",F43&amp;" "&amp;C43&amp;" ("&amp;B43&amp;")")</f>
        <v/>
      </c>
    </row>
    <row r="44" customFormat="false" ht="15" hidden="false" customHeight="false" outlineLevel="0" collapsed="false">
      <c r="A44" s="16"/>
      <c r="B44" s="11" t="str">
        <f aca="false">IF($I44="","",INDEX(CONSOLIDADO!$A$2:$A$801,$I44))</f>
        <v/>
      </c>
      <c r="C44" s="11" t="str">
        <f aca="false">IF($I44="","",INDEX(CONSOLIDADO!$B$2:$B$801,$I44))</f>
        <v/>
      </c>
      <c r="D44" s="16" t="str">
        <f aca="false">IF($I44="","",INDEX(CONSOLIDADO!$C$2:$C$801,$I44))</f>
        <v/>
      </c>
      <c r="E44" s="16" t="str">
        <f aca="false">IF($I44="","",INDEX(CONSOLIDADO!$D$2:$D$801,$I44))</f>
        <v/>
      </c>
      <c r="F44" s="14" t="str">
        <f aca="false">IF($I44="","",INDEX(CONSOLIDADO!$E$2:$E$801,$I44))</f>
        <v/>
      </c>
      <c r="G44" s="16" t="str">
        <f aca="false">IF($I44="","",INDEX(CONSOLIDADO!$G$2:$G$801,$I44))</f>
        <v/>
      </c>
      <c r="H44" s="16" t="str">
        <f aca="false">IF($I44="","",INDEX(CONSOLIDADO!$H$2:$H$801,$I44))</f>
        <v/>
      </c>
      <c r="I44" s="11" t="str">
        <f aca="false">IFERROR(MATCH(ROW()-1,CONSOLIDADO!$AJ$2:$AJ$801,0),"")</f>
        <v/>
      </c>
      <c r="J44" s="11" t="str">
        <f aca="false">IF(B44="","",F44&amp;" "&amp;C44&amp;" ("&amp;B44&amp;")")</f>
        <v/>
      </c>
    </row>
    <row r="45" customFormat="false" ht="15" hidden="false" customHeight="false" outlineLevel="0" collapsed="false">
      <c r="A45" s="16"/>
      <c r="B45" s="11" t="str">
        <f aca="false">IF($I45="","",INDEX(CONSOLIDADO!$A$2:$A$801,$I45))</f>
        <v/>
      </c>
      <c r="C45" s="11" t="str">
        <f aca="false">IF($I45="","",INDEX(CONSOLIDADO!$B$2:$B$801,$I45))</f>
        <v/>
      </c>
      <c r="D45" s="16" t="str">
        <f aca="false">IF($I45="","",INDEX(CONSOLIDADO!$C$2:$C$801,$I45))</f>
        <v/>
      </c>
      <c r="E45" s="16" t="str">
        <f aca="false">IF($I45="","",INDEX(CONSOLIDADO!$D$2:$D$801,$I45))</f>
        <v/>
      </c>
      <c r="F45" s="14" t="str">
        <f aca="false">IF($I45="","",INDEX(CONSOLIDADO!$E$2:$E$801,$I45))</f>
        <v/>
      </c>
      <c r="G45" s="16" t="str">
        <f aca="false">IF($I45="","",INDEX(CONSOLIDADO!$G$2:$G$801,$I45))</f>
        <v/>
      </c>
      <c r="H45" s="16" t="str">
        <f aca="false">IF($I45="","",INDEX(CONSOLIDADO!$H$2:$H$801,$I45))</f>
        <v/>
      </c>
      <c r="I45" s="11" t="str">
        <f aca="false">IFERROR(MATCH(ROW()-1,CONSOLIDADO!$AJ$2:$AJ$801,0),"")</f>
        <v/>
      </c>
      <c r="J45" s="11" t="str">
        <f aca="false">IF(B45="","",F45&amp;" "&amp;C45&amp;" ("&amp;B45&amp;")")</f>
        <v/>
      </c>
    </row>
    <row r="46" customFormat="false" ht="15" hidden="false" customHeight="false" outlineLevel="0" collapsed="false">
      <c r="A46" s="16"/>
      <c r="B46" s="11" t="str">
        <f aca="false">IF($I46="","",INDEX(CONSOLIDADO!$A$2:$A$801,$I46))</f>
        <v/>
      </c>
      <c r="C46" s="11" t="str">
        <f aca="false">IF($I46="","",INDEX(CONSOLIDADO!$B$2:$B$801,$I46))</f>
        <v/>
      </c>
      <c r="D46" s="16" t="str">
        <f aca="false">IF($I46="","",INDEX(CONSOLIDADO!$C$2:$C$801,$I46))</f>
        <v/>
      </c>
      <c r="E46" s="16" t="str">
        <f aca="false">IF($I46="","",INDEX(CONSOLIDADO!$D$2:$D$801,$I46))</f>
        <v/>
      </c>
      <c r="F46" s="14" t="str">
        <f aca="false">IF($I46="","",INDEX(CONSOLIDADO!$E$2:$E$801,$I46))</f>
        <v/>
      </c>
      <c r="G46" s="16" t="str">
        <f aca="false">IF($I46="","",INDEX(CONSOLIDADO!$G$2:$G$801,$I46))</f>
        <v/>
      </c>
      <c r="H46" s="16" t="str">
        <f aca="false">IF($I46="","",INDEX(CONSOLIDADO!$H$2:$H$801,$I46))</f>
        <v/>
      </c>
      <c r="I46" s="11" t="str">
        <f aca="false">IFERROR(MATCH(ROW()-1,CONSOLIDADO!$AJ$2:$AJ$801,0),"")</f>
        <v/>
      </c>
      <c r="J46" s="11" t="str">
        <f aca="false">IF(B46="","",F46&amp;" "&amp;C46&amp;" ("&amp;B46&amp;")")</f>
        <v/>
      </c>
    </row>
    <row r="47" customFormat="false" ht="15" hidden="false" customHeight="false" outlineLevel="0" collapsed="false">
      <c r="A47" s="16"/>
      <c r="B47" s="11" t="str">
        <f aca="false">IF($I47="","",INDEX(CONSOLIDADO!$A$2:$A$801,$I47))</f>
        <v/>
      </c>
      <c r="C47" s="11" t="str">
        <f aca="false">IF($I47="","",INDEX(CONSOLIDADO!$B$2:$B$801,$I47))</f>
        <v/>
      </c>
      <c r="D47" s="16" t="str">
        <f aca="false">IF($I47="","",INDEX(CONSOLIDADO!$C$2:$C$801,$I47))</f>
        <v/>
      </c>
      <c r="E47" s="16" t="str">
        <f aca="false">IF($I47="","",INDEX(CONSOLIDADO!$D$2:$D$801,$I47))</f>
        <v/>
      </c>
      <c r="F47" s="14" t="str">
        <f aca="false">IF($I47="","",INDEX(CONSOLIDADO!$E$2:$E$801,$I47))</f>
        <v/>
      </c>
      <c r="G47" s="16" t="str">
        <f aca="false">IF($I47="","",INDEX(CONSOLIDADO!$G$2:$G$801,$I47))</f>
        <v/>
      </c>
      <c r="H47" s="16" t="str">
        <f aca="false">IF($I47="","",INDEX(CONSOLIDADO!$H$2:$H$801,$I47))</f>
        <v/>
      </c>
      <c r="I47" s="11" t="str">
        <f aca="false">IFERROR(MATCH(ROW()-1,CONSOLIDADO!$AJ$2:$AJ$801,0),"")</f>
        <v/>
      </c>
      <c r="J47" s="11" t="str">
        <f aca="false">IF(B47="","",F47&amp;" "&amp;C47&amp;" ("&amp;B47&amp;")")</f>
        <v/>
      </c>
    </row>
    <row r="48" customFormat="false" ht="15" hidden="false" customHeight="false" outlineLevel="0" collapsed="false">
      <c r="A48" s="16"/>
      <c r="B48" s="11" t="str">
        <f aca="false">IF($I48="","",INDEX(CONSOLIDADO!$A$2:$A$801,$I48))</f>
        <v/>
      </c>
      <c r="C48" s="11" t="str">
        <f aca="false">IF($I48="","",INDEX(CONSOLIDADO!$B$2:$B$801,$I48))</f>
        <v/>
      </c>
      <c r="D48" s="16" t="str">
        <f aca="false">IF($I48="","",INDEX(CONSOLIDADO!$C$2:$C$801,$I48))</f>
        <v/>
      </c>
      <c r="E48" s="16" t="str">
        <f aca="false">IF($I48="","",INDEX(CONSOLIDADO!$D$2:$D$801,$I48))</f>
        <v/>
      </c>
      <c r="F48" s="14" t="str">
        <f aca="false">IF($I48="","",INDEX(CONSOLIDADO!$E$2:$E$801,$I48))</f>
        <v/>
      </c>
      <c r="G48" s="16" t="str">
        <f aca="false">IF($I48="","",INDEX(CONSOLIDADO!$G$2:$G$801,$I48))</f>
        <v/>
      </c>
      <c r="H48" s="16" t="str">
        <f aca="false">IF($I48="","",INDEX(CONSOLIDADO!$H$2:$H$801,$I48))</f>
        <v/>
      </c>
      <c r="I48" s="11" t="str">
        <f aca="false">IFERROR(MATCH(ROW()-1,CONSOLIDADO!$AJ$2:$AJ$801,0),"")</f>
        <v/>
      </c>
      <c r="J48" s="11" t="str">
        <f aca="false">IF(B48="","",F48&amp;" "&amp;C48&amp;" ("&amp;B48&amp;")")</f>
        <v/>
      </c>
    </row>
    <row r="49" customFormat="false" ht="15" hidden="false" customHeight="false" outlineLevel="0" collapsed="false">
      <c r="A49" s="16"/>
      <c r="B49" s="11" t="str">
        <f aca="false">IF($I49="","",INDEX(CONSOLIDADO!$A$2:$A$801,$I49))</f>
        <v/>
      </c>
      <c r="C49" s="11" t="str">
        <f aca="false">IF($I49="","",INDEX(CONSOLIDADO!$B$2:$B$801,$I49))</f>
        <v/>
      </c>
      <c r="D49" s="16" t="str">
        <f aca="false">IF($I49="","",INDEX(CONSOLIDADO!$C$2:$C$801,$I49))</f>
        <v/>
      </c>
      <c r="E49" s="16" t="str">
        <f aca="false">IF($I49="","",INDEX(CONSOLIDADO!$D$2:$D$801,$I49))</f>
        <v/>
      </c>
      <c r="F49" s="14" t="str">
        <f aca="false">IF($I49="","",INDEX(CONSOLIDADO!$E$2:$E$801,$I49))</f>
        <v/>
      </c>
      <c r="G49" s="16" t="str">
        <f aca="false">IF($I49="","",INDEX(CONSOLIDADO!$G$2:$G$801,$I49))</f>
        <v/>
      </c>
      <c r="H49" s="16" t="str">
        <f aca="false">IF($I49="","",INDEX(CONSOLIDADO!$H$2:$H$801,$I49))</f>
        <v/>
      </c>
      <c r="I49" s="11" t="str">
        <f aca="false">IFERROR(MATCH(ROW()-1,CONSOLIDADO!$AJ$2:$AJ$801,0),"")</f>
        <v/>
      </c>
      <c r="J49" s="11" t="str">
        <f aca="false">IF(B49="","",F49&amp;" "&amp;C49&amp;" ("&amp;B49&amp;")")</f>
        <v/>
      </c>
    </row>
    <row r="50" customFormat="false" ht="15" hidden="false" customHeight="false" outlineLevel="0" collapsed="false">
      <c r="A50" s="16"/>
      <c r="B50" s="11" t="str">
        <f aca="false">IF($I50="","",INDEX(CONSOLIDADO!$A$2:$A$801,$I50))</f>
        <v/>
      </c>
      <c r="C50" s="11" t="str">
        <f aca="false">IF($I50="","",INDEX(CONSOLIDADO!$B$2:$B$801,$I50))</f>
        <v/>
      </c>
      <c r="D50" s="16" t="str">
        <f aca="false">IF($I50="","",INDEX(CONSOLIDADO!$C$2:$C$801,$I50))</f>
        <v/>
      </c>
      <c r="E50" s="16" t="str">
        <f aca="false">IF($I50="","",INDEX(CONSOLIDADO!$D$2:$D$801,$I50))</f>
        <v/>
      </c>
      <c r="F50" s="14" t="str">
        <f aca="false">IF($I50="","",INDEX(CONSOLIDADO!$E$2:$E$801,$I50))</f>
        <v/>
      </c>
      <c r="G50" s="16" t="str">
        <f aca="false">IF($I50="","",INDEX(CONSOLIDADO!$G$2:$G$801,$I50))</f>
        <v/>
      </c>
      <c r="H50" s="16" t="str">
        <f aca="false">IF($I50="","",INDEX(CONSOLIDADO!$H$2:$H$801,$I50))</f>
        <v/>
      </c>
      <c r="I50" s="11" t="str">
        <f aca="false">IFERROR(MATCH(ROW()-1,CONSOLIDADO!$AJ$2:$AJ$801,0),"")</f>
        <v/>
      </c>
      <c r="J50" s="11" t="str">
        <f aca="false">IF(B50="","",F50&amp;" "&amp;C50&amp;" ("&amp;B50&amp;")")</f>
        <v/>
      </c>
    </row>
    <row r="51" customFormat="false" ht="15" hidden="false" customHeight="false" outlineLevel="0" collapsed="false">
      <c r="A51" s="16"/>
      <c r="B51" s="11" t="str">
        <f aca="false">IF($I51="","",INDEX(CONSOLIDADO!$A$2:$A$801,$I51))</f>
        <v/>
      </c>
      <c r="C51" s="11" t="str">
        <f aca="false">IF($I51="","",INDEX(CONSOLIDADO!$B$2:$B$801,$I51))</f>
        <v/>
      </c>
      <c r="D51" s="16" t="str">
        <f aca="false">IF($I51="","",INDEX(CONSOLIDADO!$C$2:$C$801,$I51))</f>
        <v/>
      </c>
      <c r="E51" s="16" t="str">
        <f aca="false">IF($I51="","",INDEX(CONSOLIDADO!$D$2:$D$801,$I51))</f>
        <v/>
      </c>
      <c r="F51" s="14" t="str">
        <f aca="false">IF($I51="","",INDEX(CONSOLIDADO!$E$2:$E$801,$I51))</f>
        <v/>
      </c>
      <c r="G51" s="16" t="str">
        <f aca="false">IF($I51="","",INDEX(CONSOLIDADO!$G$2:$G$801,$I51))</f>
        <v/>
      </c>
      <c r="H51" s="16" t="str">
        <f aca="false">IF($I51="","",INDEX(CONSOLIDADO!$H$2:$H$801,$I51))</f>
        <v/>
      </c>
      <c r="I51" s="11" t="str">
        <f aca="false">IFERROR(MATCH(ROW()-1,CONSOLIDADO!$AJ$2:$AJ$801,0),"")</f>
        <v/>
      </c>
      <c r="J51" s="11" t="str">
        <f aca="false">IF(B51="","",F51&amp;" "&amp;C51&amp;" ("&amp;B51&amp;")")</f>
        <v/>
      </c>
    </row>
    <row r="52" customFormat="false" ht="15" hidden="false" customHeight="false" outlineLevel="0" collapsed="false">
      <c r="A52" s="16"/>
      <c r="B52" s="11" t="str">
        <f aca="false">IF($I52="","",INDEX(CONSOLIDADO!$A$2:$A$801,$I52))</f>
        <v/>
      </c>
      <c r="C52" s="11" t="str">
        <f aca="false">IF($I52="","",INDEX(CONSOLIDADO!$B$2:$B$801,$I52))</f>
        <v/>
      </c>
      <c r="D52" s="16" t="str">
        <f aca="false">IF($I52="","",INDEX(CONSOLIDADO!$C$2:$C$801,$I52))</f>
        <v/>
      </c>
      <c r="E52" s="16" t="str">
        <f aca="false">IF($I52="","",INDEX(CONSOLIDADO!$D$2:$D$801,$I52))</f>
        <v/>
      </c>
      <c r="F52" s="14" t="str">
        <f aca="false">IF($I52="","",INDEX(CONSOLIDADO!$E$2:$E$801,$I52))</f>
        <v/>
      </c>
      <c r="G52" s="16" t="str">
        <f aca="false">IF($I52="","",INDEX(CONSOLIDADO!$G$2:$G$801,$I52))</f>
        <v/>
      </c>
      <c r="H52" s="16" t="str">
        <f aca="false">IF($I52="","",INDEX(CONSOLIDADO!$H$2:$H$801,$I52))</f>
        <v/>
      </c>
      <c r="I52" s="11" t="str">
        <f aca="false">IFERROR(MATCH(ROW()-1,CONSOLIDADO!$AJ$2:$AJ$801,0),"")</f>
        <v/>
      </c>
      <c r="J52" s="11" t="str">
        <f aca="false">IF(B52="","",F52&amp;" "&amp;C52&amp;" ("&amp;B52&amp;")")</f>
        <v/>
      </c>
    </row>
    <row r="53" customFormat="false" ht="15" hidden="false" customHeight="false" outlineLevel="0" collapsed="false">
      <c r="A53" s="16"/>
      <c r="B53" s="11" t="str">
        <f aca="false">IF($I53="","",INDEX(CONSOLIDADO!$A$2:$A$801,$I53))</f>
        <v/>
      </c>
      <c r="C53" s="11" t="str">
        <f aca="false">IF($I53="","",INDEX(CONSOLIDADO!$B$2:$B$801,$I53))</f>
        <v/>
      </c>
      <c r="D53" s="16" t="str">
        <f aca="false">IF($I53="","",INDEX(CONSOLIDADO!$C$2:$C$801,$I53))</f>
        <v/>
      </c>
      <c r="E53" s="16" t="str">
        <f aca="false">IF($I53="","",INDEX(CONSOLIDADO!$D$2:$D$801,$I53))</f>
        <v/>
      </c>
      <c r="F53" s="14" t="str">
        <f aca="false">IF($I53="","",INDEX(CONSOLIDADO!$E$2:$E$801,$I53))</f>
        <v/>
      </c>
      <c r="G53" s="16" t="str">
        <f aca="false">IF($I53="","",INDEX(CONSOLIDADO!$G$2:$G$801,$I53))</f>
        <v/>
      </c>
      <c r="H53" s="16" t="str">
        <f aca="false">IF($I53="","",INDEX(CONSOLIDADO!$H$2:$H$801,$I53))</f>
        <v/>
      </c>
      <c r="I53" s="11" t="str">
        <f aca="false">IFERROR(MATCH(ROW()-1,CONSOLIDADO!$AJ$2:$AJ$801,0),"")</f>
        <v/>
      </c>
      <c r="J53" s="11" t="str">
        <f aca="false">IF(B53="","",F53&amp;" "&amp;C53&amp;" ("&amp;B53&amp;")")</f>
        <v/>
      </c>
    </row>
    <row r="54" customFormat="false" ht="15" hidden="false" customHeight="false" outlineLevel="0" collapsed="false">
      <c r="A54" s="16"/>
      <c r="B54" s="11" t="str">
        <f aca="false">IF($I54="","",INDEX(CONSOLIDADO!$A$2:$A$801,$I54))</f>
        <v/>
      </c>
      <c r="C54" s="11" t="str">
        <f aca="false">IF($I54="","",INDEX(CONSOLIDADO!$B$2:$B$801,$I54))</f>
        <v/>
      </c>
      <c r="D54" s="16" t="str">
        <f aca="false">IF($I54="","",INDEX(CONSOLIDADO!$C$2:$C$801,$I54))</f>
        <v/>
      </c>
      <c r="E54" s="16" t="str">
        <f aca="false">IF($I54="","",INDEX(CONSOLIDADO!$D$2:$D$801,$I54))</f>
        <v/>
      </c>
      <c r="F54" s="14" t="str">
        <f aca="false">IF($I54="","",INDEX(CONSOLIDADO!$E$2:$E$801,$I54))</f>
        <v/>
      </c>
      <c r="G54" s="16" t="str">
        <f aca="false">IF($I54="","",INDEX(CONSOLIDADO!$G$2:$G$801,$I54))</f>
        <v/>
      </c>
      <c r="H54" s="16" t="str">
        <f aca="false">IF($I54="","",INDEX(CONSOLIDADO!$H$2:$H$801,$I54))</f>
        <v/>
      </c>
      <c r="I54" s="11" t="str">
        <f aca="false">IFERROR(MATCH(ROW()-1,CONSOLIDADO!$AJ$2:$AJ$801,0),"")</f>
        <v/>
      </c>
      <c r="J54" s="11" t="str">
        <f aca="false">IF(B54="","",F54&amp;" "&amp;C54&amp;" ("&amp;B54&amp;")")</f>
        <v/>
      </c>
    </row>
    <row r="55" customFormat="false" ht="15" hidden="false" customHeight="false" outlineLevel="0" collapsed="false">
      <c r="A55" s="16"/>
      <c r="B55" s="11" t="str">
        <f aca="false">IF($I55="","",INDEX(CONSOLIDADO!$A$2:$A$801,$I55))</f>
        <v/>
      </c>
      <c r="C55" s="11" t="str">
        <f aca="false">IF($I55="","",INDEX(CONSOLIDADO!$B$2:$B$801,$I55))</f>
        <v/>
      </c>
      <c r="D55" s="16" t="str">
        <f aca="false">IF($I55="","",INDEX(CONSOLIDADO!$C$2:$C$801,$I55))</f>
        <v/>
      </c>
      <c r="E55" s="16" t="str">
        <f aca="false">IF($I55="","",INDEX(CONSOLIDADO!$D$2:$D$801,$I55))</f>
        <v/>
      </c>
      <c r="F55" s="14" t="str">
        <f aca="false">IF($I55="","",INDEX(CONSOLIDADO!$E$2:$E$801,$I55))</f>
        <v/>
      </c>
      <c r="G55" s="16" t="str">
        <f aca="false">IF($I55="","",INDEX(CONSOLIDADO!$G$2:$G$801,$I55))</f>
        <v/>
      </c>
      <c r="H55" s="16" t="str">
        <f aca="false">IF($I55="","",INDEX(CONSOLIDADO!$H$2:$H$801,$I55))</f>
        <v/>
      </c>
      <c r="I55" s="11" t="str">
        <f aca="false">IFERROR(MATCH(ROW()-1,CONSOLIDADO!$AJ$2:$AJ$801,0),"")</f>
        <v/>
      </c>
      <c r="J55" s="11" t="str">
        <f aca="false">IF(B55="","",F55&amp;" "&amp;C55&amp;" ("&amp;B55&amp;")")</f>
        <v/>
      </c>
    </row>
    <row r="56" customFormat="false" ht="15" hidden="false" customHeight="false" outlineLevel="0" collapsed="false">
      <c r="A56" s="16"/>
      <c r="B56" s="11" t="str">
        <f aca="false">IF($I56="","",INDEX(CONSOLIDADO!$A$2:$A$801,$I56))</f>
        <v/>
      </c>
      <c r="C56" s="11" t="str">
        <f aca="false">IF($I56="","",INDEX(CONSOLIDADO!$B$2:$B$801,$I56))</f>
        <v/>
      </c>
      <c r="D56" s="16" t="str">
        <f aca="false">IF($I56="","",INDEX(CONSOLIDADO!$C$2:$C$801,$I56))</f>
        <v/>
      </c>
      <c r="E56" s="16" t="str">
        <f aca="false">IF($I56="","",INDEX(CONSOLIDADO!$D$2:$D$801,$I56))</f>
        <v/>
      </c>
      <c r="F56" s="14" t="str">
        <f aca="false">IF($I56="","",INDEX(CONSOLIDADO!$E$2:$E$801,$I56))</f>
        <v/>
      </c>
      <c r="G56" s="16" t="str">
        <f aca="false">IF($I56="","",INDEX(CONSOLIDADO!$G$2:$G$801,$I56))</f>
        <v/>
      </c>
      <c r="H56" s="16" t="str">
        <f aca="false">IF($I56="","",INDEX(CONSOLIDADO!$H$2:$H$801,$I56))</f>
        <v/>
      </c>
      <c r="I56" s="11" t="str">
        <f aca="false">IFERROR(MATCH(ROW()-1,CONSOLIDADO!$AJ$2:$AJ$801,0),"")</f>
        <v/>
      </c>
      <c r="J56" s="11" t="str">
        <f aca="false">IF(B56="","",F56&amp;" "&amp;C56&amp;" ("&amp;B56&amp;")")</f>
        <v/>
      </c>
    </row>
    <row r="57" customFormat="false" ht="15" hidden="false" customHeight="false" outlineLevel="0" collapsed="false">
      <c r="A57" s="16"/>
      <c r="B57" s="11" t="str">
        <f aca="false">IF($I57="","",INDEX(CONSOLIDADO!$A$2:$A$801,$I57))</f>
        <v/>
      </c>
      <c r="C57" s="11" t="str">
        <f aca="false">IF($I57="","",INDEX(CONSOLIDADO!$B$2:$B$801,$I57))</f>
        <v/>
      </c>
      <c r="D57" s="16" t="str">
        <f aca="false">IF($I57="","",INDEX(CONSOLIDADO!$C$2:$C$801,$I57))</f>
        <v/>
      </c>
      <c r="E57" s="16" t="str">
        <f aca="false">IF($I57="","",INDEX(CONSOLIDADO!$D$2:$D$801,$I57))</f>
        <v/>
      </c>
      <c r="F57" s="14" t="str">
        <f aca="false">IF($I57="","",INDEX(CONSOLIDADO!$E$2:$E$801,$I57))</f>
        <v/>
      </c>
      <c r="G57" s="16" t="str">
        <f aca="false">IF($I57="","",INDEX(CONSOLIDADO!$G$2:$G$801,$I57))</f>
        <v/>
      </c>
      <c r="H57" s="16" t="str">
        <f aca="false">IF($I57="","",INDEX(CONSOLIDADO!$H$2:$H$801,$I57))</f>
        <v/>
      </c>
      <c r="I57" s="11" t="str">
        <f aca="false">IFERROR(MATCH(ROW()-1,CONSOLIDADO!$AJ$2:$AJ$801,0),"")</f>
        <v/>
      </c>
      <c r="J57" s="11" t="str">
        <f aca="false">IF(B57="","",F57&amp;" "&amp;C57&amp;" ("&amp;B57&amp;")")</f>
        <v/>
      </c>
    </row>
    <row r="58" customFormat="false" ht="15" hidden="false" customHeight="false" outlineLevel="0" collapsed="false">
      <c r="A58" s="16"/>
      <c r="B58" s="11" t="str">
        <f aca="false">IF($I58="","",INDEX(CONSOLIDADO!$A$2:$A$801,$I58))</f>
        <v/>
      </c>
      <c r="C58" s="11" t="str">
        <f aca="false">IF($I58="","",INDEX(CONSOLIDADO!$B$2:$B$801,$I58))</f>
        <v/>
      </c>
      <c r="D58" s="16" t="str">
        <f aca="false">IF($I58="","",INDEX(CONSOLIDADO!$C$2:$C$801,$I58))</f>
        <v/>
      </c>
      <c r="E58" s="16" t="str">
        <f aca="false">IF($I58="","",INDEX(CONSOLIDADO!$D$2:$D$801,$I58))</f>
        <v/>
      </c>
      <c r="F58" s="14" t="str">
        <f aca="false">IF($I58="","",INDEX(CONSOLIDADO!$E$2:$E$801,$I58))</f>
        <v/>
      </c>
      <c r="G58" s="16" t="str">
        <f aca="false">IF($I58="","",INDEX(CONSOLIDADO!$G$2:$G$801,$I58))</f>
        <v/>
      </c>
      <c r="H58" s="16" t="str">
        <f aca="false">IF($I58="","",INDEX(CONSOLIDADO!$H$2:$H$801,$I58))</f>
        <v/>
      </c>
      <c r="I58" s="11" t="str">
        <f aca="false">IFERROR(MATCH(ROW()-1,CONSOLIDADO!$AJ$2:$AJ$801,0),"")</f>
        <v/>
      </c>
      <c r="J58" s="11" t="str">
        <f aca="false">IF(B58="","",F58&amp;" "&amp;C58&amp;" ("&amp;B58&amp;")")</f>
        <v/>
      </c>
    </row>
    <row r="59" customFormat="false" ht="15" hidden="false" customHeight="false" outlineLevel="0" collapsed="false">
      <c r="A59" s="16"/>
      <c r="B59" s="11" t="str">
        <f aca="false">IF($I59="","",INDEX(CONSOLIDADO!$A$2:$A$801,$I59))</f>
        <v/>
      </c>
      <c r="C59" s="11" t="str">
        <f aca="false">IF($I59="","",INDEX(CONSOLIDADO!$B$2:$B$801,$I59))</f>
        <v/>
      </c>
      <c r="D59" s="16" t="str">
        <f aca="false">IF($I59="","",INDEX(CONSOLIDADO!$C$2:$C$801,$I59))</f>
        <v/>
      </c>
      <c r="E59" s="16" t="str">
        <f aca="false">IF($I59="","",INDEX(CONSOLIDADO!$D$2:$D$801,$I59))</f>
        <v/>
      </c>
      <c r="F59" s="14" t="str">
        <f aca="false">IF($I59="","",INDEX(CONSOLIDADO!$E$2:$E$801,$I59))</f>
        <v/>
      </c>
      <c r="G59" s="16" t="str">
        <f aca="false">IF($I59="","",INDEX(CONSOLIDADO!$G$2:$G$801,$I59))</f>
        <v/>
      </c>
      <c r="H59" s="16" t="str">
        <f aca="false">IF($I59="","",INDEX(CONSOLIDADO!$H$2:$H$801,$I59))</f>
        <v/>
      </c>
      <c r="I59" s="11" t="str">
        <f aca="false">IFERROR(MATCH(ROW()-1,CONSOLIDADO!$AJ$2:$AJ$801,0),"")</f>
        <v/>
      </c>
      <c r="J59" s="11" t="str">
        <f aca="false">IF(B59="","",F59&amp;" "&amp;C59&amp;" ("&amp;B59&amp;")")</f>
        <v/>
      </c>
    </row>
    <row r="60" customFormat="false" ht="15" hidden="false" customHeight="false" outlineLevel="0" collapsed="false">
      <c r="A60" s="16"/>
      <c r="B60" s="11" t="str">
        <f aca="false">IF($I60="","",INDEX(CONSOLIDADO!$A$2:$A$801,$I60))</f>
        <v/>
      </c>
      <c r="C60" s="11" t="str">
        <f aca="false">IF($I60="","",INDEX(CONSOLIDADO!$B$2:$B$801,$I60))</f>
        <v/>
      </c>
      <c r="D60" s="16" t="str">
        <f aca="false">IF($I60="","",INDEX(CONSOLIDADO!$C$2:$C$801,$I60))</f>
        <v/>
      </c>
      <c r="E60" s="16" t="str">
        <f aca="false">IF($I60="","",INDEX(CONSOLIDADO!$D$2:$D$801,$I60))</f>
        <v/>
      </c>
      <c r="F60" s="14" t="str">
        <f aca="false">IF($I60="","",INDEX(CONSOLIDADO!$E$2:$E$801,$I60))</f>
        <v/>
      </c>
      <c r="G60" s="16" t="str">
        <f aca="false">IF($I60="","",INDEX(CONSOLIDADO!$G$2:$G$801,$I60))</f>
        <v/>
      </c>
      <c r="H60" s="16" t="str">
        <f aca="false">IF($I60="","",INDEX(CONSOLIDADO!$H$2:$H$801,$I60))</f>
        <v/>
      </c>
      <c r="I60" s="11" t="str">
        <f aca="false">IFERROR(MATCH(ROW()-1,CONSOLIDADO!$AJ$2:$AJ$801,0),"")</f>
        <v/>
      </c>
      <c r="J60" s="11" t="str">
        <f aca="false">IF(B60="","",F60&amp;" "&amp;C60&amp;" ("&amp;B60&amp;")")</f>
        <v/>
      </c>
    </row>
    <row r="61" customFormat="false" ht="15" hidden="false" customHeight="false" outlineLevel="0" collapsed="false">
      <c r="A61" s="16"/>
      <c r="B61" s="11" t="str">
        <f aca="false">IF($I61="","",INDEX(CONSOLIDADO!$A$2:$A$801,$I61))</f>
        <v/>
      </c>
      <c r="C61" s="11" t="str">
        <f aca="false">IF($I61="","",INDEX(CONSOLIDADO!$B$2:$B$801,$I61))</f>
        <v/>
      </c>
      <c r="D61" s="16" t="str">
        <f aca="false">IF($I61="","",INDEX(CONSOLIDADO!$C$2:$C$801,$I61))</f>
        <v/>
      </c>
      <c r="E61" s="16" t="str">
        <f aca="false">IF($I61="","",INDEX(CONSOLIDADO!$D$2:$D$801,$I61))</f>
        <v/>
      </c>
      <c r="F61" s="14" t="str">
        <f aca="false">IF($I61="","",INDEX(CONSOLIDADO!$E$2:$E$801,$I61))</f>
        <v/>
      </c>
      <c r="G61" s="16" t="str">
        <f aca="false">IF($I61="","",INDEX(CONSOLIDADO!$G$2:$G$801,$I61))</f>
        <v/>
      </c>
      <c r="H61" s="16" t="str">
        <f aca="false">IF($I61="","",INDEX(CONSOLIDADO!$H$2:$H$801,$I61))</f>
        <v/>
      </c>
      <c r="I61" s="11" t="str">
        <f aca="false">IFERROR(MATCH(ROW()-1,CONSOLIDADO!$AJ$2:$AJ$801,0),"")</f>
        <v/>
      </c>
      <c r="J61" s="11" t="str">
        <f aca="false">IF(B61="","",F61&amp;" "&amp;C61&amp;" ("&amp;B61&amp;")")</f>
        <v/>
      </c>
    </row>
    <row r="62" customFormat="false" ht="15" hidden="false" customHeight="false" outlineLevel="0" collapsed="false">
      <c r="A62" s="16"/>
      <c r="B62" s="11" t="str">
        <f aca="false">IF($I62="","",INDEX(CONSOLIDADO!$A$2:$A$801,$I62))</f>
        <v/>
      </c>
      <c r="C62" s="11" t="str">
        <f aca="false">IF($I62="","",INDEX(CONSOLIDADO!$B$2:$B$801,$I62))</f>
        <v/>
      </c>
      <c r="D62" s="16" t="str">
        <f aca="false">IF($I62="","",INDEX(CONSOLIDADO!$C$2:$C$801,$I62))</f>
        <v/>
      </c>
      <c r="E62" s="16" t="str">
        <f aca="false">IF($I62="","",INDEX(CONSOLIDADO!$D$2:$D$801,$I62))</f>
        <v/>
      </c>
      <c r="F62" s="14" t="str">
        <f aca="false">IF($I62="","",INDEX(CONSOLIDADO!$E$2:$E$801,$I62))</f>
        <v/>
      </c>
      <c r="G62" s="16" t="str">
        <f aca="false">IF($I62="","",INDEX(CONSOLIDADO!$G$2:$G$801,$I62))</f>
        <v/>
      </c>
      <c r="H62" s="16" t="str">
        <f aca="false">IF($I62="","",INDEX(CONSOLIDADO!$H$2:$H$801,$I62))</f>
        <v/>
      </c>
      <c r="I62" s="11" t="str">
        <f aca="false">IFERROR(MATCH(ROW()-1,CONSOLIDADO!$AJ$2:$AJ$801,0),"")</f>
        <v/>
      </c>
      <c r="J62" s="11" t="str">
        <f aca="false">IF(B62="","",F62&amp;" "&amp;C62&amp;" ("&amp;B62&amp;")")</f>
        <v/>
      </c>
    </row>
    <row r="63" customFormat="false" ht="15" hidden="false" customHeight="false" outlineLevel="0" collapsed="false">
      <c r="A63" s="16"/>
      <c r="B63" s="11" t="str">
        <f aca="false">IF($I63="","",INDEX(CONSOLIDADO!$A$2:$A$801,$I63))</f>
        <v/>
      </c>
      <c r="C63" s="11" t="str">
        <f aca="false">IF($I63="","",INDEX(CONSOLIDADO!$B$2:$B$801,$I63))</f>
        <v/>
      </c>
      <c r="D63" s="16" t="str">
        <f aca="false">IF($I63="","",INDEX(CONSOLIDADO!$C$2:$C$801,$I63))</f>
        <v/>
      </c>
      <c r="E63" s="16" t="str">
        <f aca="false">IF($I63="","",INDEX(CONSOLIDADO!$D$2:$D$801,$I63))</f>
        <v/>
      </c>
      <c r="F63" s="14" t="str">
        <f aca="false">IF($I63="","",INDEX(CONSOLIDADO!$E$2:$E$801,$I63))</f>
        <v/>
      </c>
      <c r="G63" s="16" t="str">
        <f aca="false">IF($I63="","",INDEX(CONSOLIDADO!$G$2:$G$801,$I63))</f>
        <v/>
      </c>
      <c r="H63" s="16" t="str">
        <f aca="false">IF($I63="","",INDEX(CONSOLIDADO!$H$2:$H$801,$I63))</f>
        <v/>
      </c>
      <c r="I63" s="11" t="str">
        <f aca="false">IFERROR(MATCH(ROW()-1,CONSOLIDADO!$AJ$2:$AJ$801,0),"")</f>
        <v/>
      </c>
      <c r="J63" s="11" t="str">
        <f aca="false">IF(B63="","",F63&amp;" "&amp;C63&amp;" ("&amp;B63&amp;")")</f>
        <v/>
      </c>
    </row>
    <row r="64" customFormat="false" ht="15" hidden="false" customHeight="false" outlineLevel="0" collapsed="false">
      <c r="A64" s="16"/>
      <c r="B64" s="11" t="str">
        <f aca="false">IF($I64="","",INDEX(CONSOLIDADO!$A$2:$A$801,$I64))</f>
        <v/>
      </c>
      <c r="C64" s="11" t="str">
        <f aca="false">IF($I64="","",INDEX(CONSOLIDADO!$B$2:$B$801,$I64))</f>
        <v/>
      </c>
      <c r="D64" s="16" t="str">
        <f aca="false">IF($I64="","",INDEX(CONSOLIDADO!$C$2:$C$801,$I64))</f>
        <v/>
      </c>
      <c r="E64" s="16" t="str">
        <f aca="false">IF($I64="","",INDEX(CONSOLIDADO!$D$2:$D$801,$I64))</f>
        <v/>
      </c>
      <c r="F64" s="14" t="str">
        <f aca="false">IF($I64="","",INDEX(CONSOLIDADO!$E$2:$E$801,$I64))</f>
        <v/>
      </c>
      <c r="G64" s="16" t="str">
        <f aca="false">IF($I64="","",INDEX(CONSOLIDADO!$G$2:$G$801,$I64))</f>
        <v/>
      </c>
      <c r="H64" s="16" t="str">
        <f aca="false">IF($I64="","",INDEX(CONSOLIDADO!$H$2:$H$801,$I64))</f>
        <v/>
      </c>
      <c r="I64" s="11" t="str">
        <f aca="false">IFERROR(MATCH(ROW()-1,CONSOLIDADO!$AJ$2:$AJ$801,0),"")</f>
        <v/>
      </c>
      <c r="J64" s="11" t="str">
        <f aca="false">IF(B64="","",F64&amp;" "&amp;C64&amp;" ("&amp;B64&amp;")")</f>
        <v/>
      </c>
    </row>
    <row r="65" customFormat="false" ht="15" hidden="false" customHeight="false" outlineLevel="0" collapsed="false">
      <c r="A65" s="16"/>
      <c r="B65" s="11" t="str">
        <f aca="false">IF($I65="","",INDEX(CONSOLIDADO!$A$2:$A$801,$I65))</f>
        <v/>
      </c>
      <c r="C65" s="11" t="str">
        <f aca="false">IF($I65="","",INDEX(CONSOLIDADO!$B$2:$B$801,$I65))</f>
        <v/>
      </c>
      <c r="D65" s="16" t="str">
        <f aca="false">IF($I65="","",INDEX(CONSOLIDADO!$C$2:$C$801,$I65))</f>
        <v/>
      </c>
      <c r="E65" s="16" t="str">
        <f aca="false">IF($I65="","",INDEX(CONSOLIDADO!$D$2:$D$801,$I65))</f>
        <v/>
      </c>
      <c r="F65" s="14" t="str">
        <f aca="false">IF($I65="","",INDEX(CONSOLIDADO!$E$2:$E$801,$I65))</f>
        <v/>
      </c>
      <c r="G65" s="16" t="str">
        <f aca="false">IF($I65="","",INDEX(CONSOLIDADO!$G$2:$G$801,$I65))</f>
        <v/>
      </c>
      <c r="H65" s="16" t="str">
        <f aca="false">IF($I65="","",INDEX(CONSOLIDADO!$H$2:$H$801,$I65))</f>
        <v/>
      </c>
      <c r="I65" s="11" t="str">
        <f aca="false">IFERROR(MATCH(ROW()-1,CONSOLIDADO!$AJ$2:$AJ$801,0),"")</f>
        <v/>
      </c>
      <c r="J65" s="11" t="str">
        <f aca="false">IF(B65="","",F65&amp;" "&amp;C65&amp;" ("&amp;B65&amp;")")</f>
        <v/>
      </c>
    </row>
    <row r="66" customFormat="false" ht="15" hidden="false" customHeight="false" outlineLevel="0" collapsed="false">
      <c r="A66" s="16"/>
      <c r="B66" s="11" t="str">
        <f aca="false">IF($I66="","",INDEX(CONSOLIDADO!$A$2:$A$801,$I66))</f>
        <v/>
      </c>
      <c r="C66" s="11" t="str">
        <f aca="false">IF($I66="","",INDEX(CONSOLIDADO!$B$2:$B$801,$I66))</f>
        <v/>
      </c>
      <c r="D66" s="16" t="str">
        <f aca="false">IF($I66="","",INDEX(CONSOLIDADO!$C$2:$C$801,$I66))</f>
        <v/>
      </c>
      <c r="E66" s="16" t="str">
        <f aca="false">IF($I66="","",INDEX(CONSOLIDADO!$D$2:$D$801,$I66))</f>
        <v/>
      </c>
      <c r="F66" s="14" t="str">
        <f aca="false">IF($I66="","",INDEX(CONSOLIDADO!$E$2:$E$801,$I66))</f>
        <v/>
      </c>
      <c r="G66" s="16" t="str">
        <f aca="false">IF($I66="","",INDEX(CONSOLIDADO!$G$2:$G$801,$I66))</f>
        <v/>
      </c>
      <c r="H66" s="16" t="str">
        <f aca="false">IF($I66="","",INDEX(CONSOLIDADO!$H$2:$H$801,$I66))</f>
        <v/>
      </c>
      <c r="I66" s="11" t="str">
        <f aca="false">IFERROR(MATCH(ROW()-1,CONSOLIDADO!$AJ$2:$AJ$801,0),"")</f>
        <v/>
      </c>
      <c r="J66" s="11" t="str">
        <f aca="false">IF(B66="","",F66&amp;" "&amp;C66&amp;" ("&amp;B66&amp;")")</f>
        <v/>
      </c>
    </row>
    <row r="67" customFormat="false" ht="15" hidden="false" customHeight="false" outlineLevel="0" collapsed="false">
      <c r="A67" s="16"/>
      <c r="B67" s="11" t="str">
        <f aca="false">IF($I67="","",INDEX(CONSOLIDADO!$A$2:$A$801,$I67))</f>
        <v/>
      </c>
      <c r="C67" s="11" t="str">
        <f aca="false">IF($I67="","",INDEX(CONSOLIDADO!$B$2:$B$801,$I67))</f>
        <v/>
      </c>
      <c r="D67" s="16" t="str">
        <f aca="false">IF($I67="","",INDEX(CONSOLIDADO!$C$2:$C$801,$I67))</f>
        <v/>
      </c>
      <c r="E67" s="16" t="str">
        <f aca="false">IF($I67="","",INDEX(CONSOLIDADO!$D$2:$D$801,$I67))</f>
        <v/>
      </c>
      <c r="F67" s="14" t="str">
        <f aca="false">IF($I67="","",INDEX(CONSOLIDADO!$E$2:$E$801,$I67))</f>
        <v/>
      </c>
      <c r="G67" s="16" t="str">
        <f aca="false">IF($I67="","",INDEX(CONSOLIDADO!$G$2:$G$801,$I67))</f>
        <v/>
      </c>
      <c r="H67" s="16" t="str">
        <f aca="false">IF($I67="","",INDEX(CONSOLIDADO!$H$2:$H$801,$I67))</f>
        <v/>
      </c>
      <c r="I67" s="11" t="str">
        <f aca="false">IFERROR(MATCH(ROW()-1,CONSOLIDADO!$AJ$2:$AJ$801,0),"")</f>
        <v/>
      </c>
      <c r="J67" s="11" t="str">
        <f aca="false">IF(B67="","",F67&amp;" "&amp;C67&amp;" ("&amp;B67&amp;")")</f>
        <v/>
      </c>
    </row>
    <row r="68" customFormat="false" ht="15" hidden="false" customHeight="false" outlineLevel="0" collapsed="false">
      <c r="A68" s="16"/>
      <c r="B68" s="11" t="str">
        <f aca="false">IF($I68="","",INDEX(CONSOLIDADO!$A$2:$A$801,$I68))</f>
        <v/>
      </c>
      <c r="C68" s="11" t="str">
        <f aca="false">IF($I68="","",INDEX(CONSOLIDADO!$B$2:$B$801,$I68))</f>
        <v/>
      </c>
      <c r="D68" s="16" t="str">
        <f aca="false">IF($I68="","",INDEX(CONSOLIDADO!$C$2:$C$801,$I68))</f>
        <v/>
      </c>
      <c r="E68" s="16" t="str">
        <f aca="false">IF($I68="","",INDEX(CONSOLIDADO!$D$2:$D$801,$I68))</f>
        <v/>
      </c>
      <c r="F68" s="14" t="str">
        <f aca="false">IF($I68="","",INDEX(CONSOLIDADO!$E$2:$E$801,$I68))</f>
        <v/>
      </c>
      <c r="G68" s="16" t="str">
        <f aca="false">IF($I68="","",INDEX(CONSOLIDADO!$G$2:$G$801,$I68))</f>
        <v/>
      </c>
      <c r="H68" s="16" t="str">
        <f aca="false">IF($I68="","",INDEX(CONSOLIDADO!$H$2:$H$801,$I68))</f>
        <v/>
      </c>
      <c r="I68" s="11" t="str">
        <f aca="false">IFERROR(MATCH(ROW()-1,CONSOLIDADO!$AJ$2:$AJ$801,0),"")</f>
        <v/>
      </c>
      <c r="J68" s="11" t="str">
        <f aca="false">IF(B68="","",F68&amp;" "&amp;C68&amp;" ("&amp;B68&amp;")")</f>
        <v/>
      </c>
    </row>
    <row r="69" customFormat="false" ht="15" hidden="false" customHeight="false" outlineLevel="0" collapsed="false">
      <c r="A69" s="16"/>
      <c r="B69" s="11" t="str">
        <f aca="false">IF($I69="","",INDEX(CONSOLIDADO!$A$2:$A$801,$I69))</f>
        <v/>
      </c>
      <c r="C69" s="11" t="str">
        <f aca="false">IF($I69="","",INDEX(CONSOLIDADO!$B$2:$B$801,$I69))</f>
        <v/>
      </c>
      <c r="D69" s="16" t="str">
        <f aca="false">IF($I69="","",INDEX(CONSOLIDADO!$C$2:$C$801,$I69))</f>
        <v/>
      </c>
      <c r="E69" s="16" t="str">
        <f aca="false">IF($I69="","",INDEX(CONSOLIDADO!$D$2:$D$801,$I69))</f>
        <v/>
      </c>
      <c r="F69" s="14" t="str">
        <f aca="false">IF($I69="","",INDEX(CONSOLIDADO!$E$2:$E$801,$I69))</f>
        <v/>
      </c>
      <c r="G69" s="16" t="str">
        <f aca="false">IF($I69="","",INDEX(CONSOLIDADO!$G$2:$G$801,$I69))</f>
        <v/>
      </c>
      <c r="H69" s="16" t="str">
        <f aca="false">IF($I69="","",INDEX(CONSOLIDADO!$H$2:$H$801,$I69))</f>
        <v/>
      </c>
      <c r="I69" s="11" t="str">
        <f aca="false">IFERROR(MATCH(ROW()-1,CONSOLIDADO!$AJ$2:$AJ$801,0),"")</f>
        <v/>
      </c>
      <c r="J69" s="11" t="str">
        <f aca="false">IF(B69="","",F69&amp;" "&amp;C69&amp;" ("&amp;B69&amp;")")</f>
        <v/>
      </c>
    </row>
    <row r="70" customFormat="false" ht="15" hidden="false" customHeight="false" outlineLevel="0" collapsed="false">
      <c r="A70" s="16"/>
      <c r="B70" s="11" t="str">
        <f aca="false">IF($I70="","",INDEX(CONSOLIDADO!$A$2:$A$801,$I70))</f>
        <v/>
      </c>
      <c r="C70" s="11" t="str">
        <f aca="false">IF($I70="","",INDEX(CONSOLIDADO!$B$2:$B$801,$I70))</f>
        <v/>
      </c>
      <c r="D70" s="16" t="str">
        <f aca="false">IF($I70="","",INDEX(CONSOLIDADO!$C$2:$C$801,$I70))</f>
        <v/>
      </c>
      <c r="E70" s="16" t="str">
        <f aca="false">IF($I70="","",INDEX(CONSOLIDADO!$D$2:$D$801,$I70))</f>
        <v/>
      </c>
      <c r="F70" s="14" t="str">
        <f aca="false">IF($I70="","",INDEX(CONSOLIDADO!$E$2:$E$801,$I70))</f>
        <v/>
      </c>
      <c r="G70" s="16" t="str">
        <f aca="false">IF($I70="","",INDEX(CONSOLIDADO!$G$2:$G$801,$I70))</f>
        <v/>
      </c>
      <c r="H70" s="16" t="str">
        <f aca="false">IF($I70="","",INDEX(CONSOLIDADO!$H$2:$H$801,$I70))</f>
        <v/>
      </c>
      <c r="I70" s="11" t="str">
        <f aca="false">IFERROR(MATCH(ROW()-1,CONSOLIDADO!$AJ$2:$AJ$801,0),"")</f>
        <v/>
      </c>
      <c r="J70" s="11" t="str">
        <f aca="false">IF(B70="","",F70&amp;" "&amp;C70&amp;" ("&amp;B70&amp;")")</f>
        <v/>
      </c>
    </row>
    <row r="71" customFormat="false" ht="15" hidden="false" customHeight="false" outlineLevel="0" collapsed="false">
      <c r="A71" s="16"/>
      <c r="B71" s="11" t="str">
        <f aca="false">IF($I71="","",INDEX(CONSOLIDADO!$A$2:$A$801,$I71))</f>
        <v/>
      </c>
      <c r="C71" s="11" t="str">
        <f aca="false">IF($I71="","",INDEX(CONSOLIDADO!$B$2:$B$801,$I71))</f>
        <v/>
      </c>
      <c r="D71" s="16" t="str">
        <f aca="false">IF($I71="","",INDEX(CONSOLIDADO!$C$2:$C$801,$I71))</f>
        <v/>
      </c>
      <c r="E71" s="16" t="str">
        <f aca="false">IF($I71="","",INDEX(CONSOLIDADO!$D$2:$D$801,$I71))</f>
        <v/>
      </c>
      <c r="F71" s="14" t="str">
        <f aca="false">IF($I71="","",INDEX(CONSOLIDADO!$E$2:$E$801,$I71))</f>
        <v/>
      </c>
      <c r="G71" s="16" t="str">
        <f aca="false">IF($I71="","",INDEX(CONSOLIDADO!$G$2:$G$801,$I71))</f>
        <v/>
      </c>
      <c r="H71" s="16" t="str">
        <f aca="false">IF($I71="","",INDEX(CONSOLIDADO!$H$2:$H$801,$I71))</f>
        <v/>
      </c>
      <c r="I71" s="11" t="str">
        <f aca="false">IFERROR(MATCH(ROW()-1,CONSOLIDADO!$AJ$2:$AJ$801,0),"")</f>
        <v/>
      </c>
      <c r="J71" s="11" t="str">
        <f aca="false">IF(B71="","",F71&amp;" "&amp;C71&amp;" ("&amp;B71&amp;")")</f>
        <v/>
      </c>
    </row>
    <row r="72" customFormat="false" ht="15" hidden="false" customHeight="false" outlineLevel="0" collapsed="false">
      <c r="A72" s="16"/>
      <c r="B72" s="11" t="str">
        <f aca="false">IF($I72="","",INDEX(CONSOLIDADO!$A$2:$A$801,$I72))</f>
        <v/>
      </c>
      <c r="C72" s="11" t="str">
        <f aca="false">IF($I72="","",INDEX(CONSOLIDADO!$B$2:$B$801,$I72))</f>
        <v/>
      </c>
      <c r="D72" s="16" t="str">
        <f aca="false">IF($I72="","",INDEX(CONSOLIDADO!$C$2:$C$801,$I72))</f>
        <v/>
      </c>
      <c r="E72" s="16" t="str">
        <f aca="false">IF($I72="","",INDEX(CONSOLIDADO!$D$2:$D$801,$I72))</f>
        <v/>
      </c>
      <c r="F72" s="14" t="str">
        <f aca="false">IF($I72="","",INDEX(CONSOLIDADO!$E$2:$E$801,$I72))</f>
        <v/>
      </c>
      <c r="G72" s="16" t="str">
        <f aca="false">IF($I72="","",INDEX(CONSOLIDADO!$G$2:$G$801,$I72))</f>
        <v/>
      </c>
      <c r="H72" s="16" t="str">
        <f aca="false">IF($I72="","",INDEX(CONSOLIDADO!$H$2:$H$801,$I72))</f>
        <v/>
      </c>
      <c r="I72" s="11" t="str">
        <f aca="false">IFERROR(MATCH(ROW()-1,CONSOLIDADO!$AJ$2:$AJ$801,0),"")</f>
        <v/>
      </c>
      <c r="J72" s="11" t="str">
        <f aca="false">IF(B72="","",F72&amp;" "&amp;C72&amp;" ("&amp;B72&amp;")")</f>
        <v/>
      </c>
    </row>
    <row r="73" customFormat="false" ht="15" hidden="false" customHeight="false" outlineLevel="0" collapsed="false">
      <c r="A73" s="16"/>
      <c r="B73" s="11" t="str">
        <f aca="false">IF($I73="","",INDEX(CONSOLIDADO!$A$2:$A$801,$I73))</f>
        <v/>
      </c>
      <c r="C73" s="11" t="str">
        <f aca="false">IF($I73="","",INDEX(CONSOLIDADO!$B$2:$B$801,$I73))</f>
        <v/>
      </c>
      <c r="D73" s="16" t="str">
        <f aca="false">IF($I73="","",INDEX(CONSOLIDADO!$C$2:$C$801,$I73))</f>
        <v/>
      </c>
      <c r="E73" s="16" t="str">
        <f aca="false">IF($I73="","",INDEX(CONSOLIDADO!$D$2:$D$801,$I73))</f>
        <v/>
      </c>
      <c r="F73" s="14" t="str">
        <f aca="false">IF($I73="","",INDEX(CONSOLIDADO!$E$2:$E$801,$I73))</f>
        <v/>
      </c>
      <c r="G73" s="16" t="str">
        <f aca="false">IF($I73="","",INDEX(CONSOLIDADO!$G$2:$G$801,$I73))</f>
        <v/>
      </c>
      <c r="H73" s="16" t="str">
        <f aca="false">IF($I73="","",INDEX(CONSOLIDADO!$H$2:$H$801,$I73))</f>
        <v/>
      </c>
      <c r="I73" s="11" t="str">
        <f aca="false">IFERROR(MATCH(ROW()-1,CONSOLIDADO!$AJ$2:$AJ$801,0),"")</f>
        <v/>
      </c>
      <c r="J73" s="11" t="str">
        <f aca="false">IF(B73="","",F73&amp;" "&amp;C73&amp;" ("&amp;B73&amp;")")</f>
        <v/>
      </c>
    </row>
    <row r="74" customFormat="false" ht="15" hidden="false" customHeight="false" outlineLevel="0" collapsed="false">
      <c r="A74" s="16"/>
      <c r="B74" s="11" t="str">
        <f aca="false">IF($I74="","",INDEX(CONSOLIDADO!$A$2:$A$801,$I74))</f>
        <v/>
      </c>
      <c r="C74" s="11" t="str">
        <f aca="false">IF($I74="","",INDEX(CONSOLIDADO!$B$2:$B$801,$I74))</f>
        <v/>
      </c>
      <c r="D74" s="16" t="str">
        <f aca="false">IF($I74="","",INDEX(CONSOLIDADO!$C$2:$C$801,$I74))</f>
        <v/>
      </c>
      <c r="E74" s="16" t="str">
        <f aca="false">IF($I74="","",INDEX(CONSOLIDADO!$D$2:$D$801,$I74))</f>
        <v/>
      </c>
      <c r="F74" s="14" t="str">
        <f aca="false">IF($I74="","",INDEX(CONSOLIDADO!$E$2:$E$801,$I74))</f>
        <v/>
      </c>
      <c r="G74" s="16" t="str">
        <f aca="false">IF($I74="","",INDEX(CONSOLIDADO!$G$2:$G$801,$I74))</f>
        <v/>
      </c>
      <c r="H74" s="16" t="str">
        <f aca="false">IF($I74="","",INDEX(CONSOLIDADO!$H$2:$H$801,$I74))</f>
        <v/>
      </c>
      <c r="I74" s="11" t="str">
        <f aca="false">IFERROR(MATCH(ROW()-1,CONSOLIDADO!$AJ$2:$AJ$801,0),"")</f>
        <v/>
      </c>
      <c r="J74" s="11" t="str">
        <f aca="false">IF(B74="","",F74&amp;" "&amp;C74&amp;" ("&amp;B74&amp;")")</f>
        <v/>
      </c>
    </row>
    <row r="75" customFormat="false" ht="15" hidden="false" customHeight="false" outlineLevel="0" collapsed="false">
      <c r="A75" s="16"/>
      <c r="B75" s="11" t="str">
        <f aca="false">IF($I75="","",INDEX(CONSOLIDADO!$A$2:$A$801,$I75))</f>
        <v/>
      </c>
      <c r="C75" s="11" t="str">
        <f aca="false">IF($I75="","",INDEX(CONSOLIDADO!$B$2:$B$801,$I75))</f>
        <v/>
      </c>
      <c r="D75" s="16" t="str">
        <f aca="false">IF($I75="","",INDEX(CONSOLIDADO!$C$2:$C$801,$I75))</f>
        <v/>
      </c>
      <c r="E75" s="16" t="str">
        <f aca="false">IF($I75="","",INDEX(CONSOLIDADO!$D$2:$D$801,$I75))</f>
        <v/>
      </c>
      <c r="F75" s="14" t="str">
        <f aca="false">IF($I75="","",INDEX(CONSOLIDADO!$E$2:$E$801,$I75))</f>
        <v/>
      </c>
      <c r="G75" s="16" t="str">
        <f aca="false">IF($I75="","",INDEX(CONSOLIDADO!$G$2:$G$801,$I75))</f>
        <v/>
      </c>
      <c r="H75" s="16" t="str">
        <f aca="false">IF($I75="","",INDEX(CONSOLIDADO!$H$2:$H$801,$I75))</f>
        <v/>
      </c>
      <c r="I75" s="11" t="str">
        <f aca="false">IFERROR(MATCH(ROW()-1,CONSOLIDADO!$AJ$2:$AJ$801,0),"")</f>
        <v/>
      </c>
      <c r="J75" s="11" t="str">
        <f aca="false">IF(B75="","",F75&amp;" "&amp;C75&amp;" ("&amp;B75&amp;")")</f>
        <v/>
      </c>
    </row>
    <row r="76" customFormat="false" ht="15" hidden="false" customHeight="false" outlineLevel="0" collapsed="false">
      <c r="A76" s="16"/>
      <c r="B76" s="11" t="str">
        <f aca="false">IF($I76="","",INDEX(CONSOLIDADO!$A$2:$A$801,$I76))</f>
        <v/>
      </c>
      <c r="C76" s="11" t="str">
        <f aca="false">IF($I76="","",INDEX(CONSOLIDADO!$B$2:$B$801,$I76))</f>
        <v/>
      </c>
      <c r="D76" s="16" t="str">
        <f aca="false">IF($I76="","",INDEX(CONSOLIDADO!$C$2:$C$801,$I76))</f>
        <v/>
      </c>
      <c r="E76" s="16" t="str">
        <f aca="false">IF($I76="","",INDEX(CONSOLIDADO!$D$2:$D$801,$I76))</f>
        <v/>
      </c>
      <c r="F76" s="14" t="str">
        <f aca="false">IF($I76="","",INDEX(CONSOLIDADO!$E$2:$E$801,$I76))</f>
        <v/>
      </c>
      <c r="G76" s="16" t="str">
        <f aca="false">IF($I76="","",INDEX(CONSOLIDADO!$G$2:$G$801,$I76))</f>
        <v/>
      </c>
      <c r="H76" s="16" t="str">
        <f aca="false">IF($I76="","",INDEX(CONSOLIDADO!$H$2:$H$801,$I76))</f>
        <v/>
      </c>
      <c r="I76" s="11" t="str">
        <f aca="false">IFERROR(MATCH(ROW()-1,CONSOLIDADO!$AJ$2:$AJ$801,0),"")</f>
        <v/>
      </c>
      <c r="J76" s="11" t="str">
        <f aca="false">IF(B76="","",F76&amp;" "&amp;C76&amp;" ("&amp;B76&amp;")")</f>
        <v/>
      </c>
    </row>
    <row r="77" customFormat="false" ht="15" hidden="false" customHeight="false" outlineLevel="0" collapsed="false">
      <c r="A77" s="16"/>
      <c r="B77" s="11" t="str">
        <f aca="false">IF($I77="","",INDEX(CONSOLIDADO!$A$2:$A$801,$I77))</f>
        <v/>
      </c>
      <c r="C77" s="11" t="str">
        <f aca="false">IF($I77="","",INDEX(CONSOLIDADO!$B$2:$B$801,$I77))</f>
        <v/>
      </c>
      <c r="D77" s="16" t="str">
        <f aca="false">IF($I77="","",INDEX(CONSOLIDADO!$C$2:$C$801,$I77))</f>
        <v/>
      </c>
      <c r="E77" s="16" t="str">
        <f aca="false">IF($I77="","",INDEX(CONSOLIDADO!$D$2:$D$801,$I77))</f>
        <v/>
      </c>
      <c r="F77" s="14" t="str">
        <f aca="false">IF($I77="","",INDEX(CONSOLIDADO!$E$2:$E$801,$I77))</f>
        <v/>
      </c>
      <c r="G77" s="16" t="str">
        <f aca="false">IF($I77="","",INDEX(CONSOLIDADO!$G$2:$G$801,$I77))</f>
        <v/>
      </c>
      <c r="H77" s="16" t="str">
        <f aca="false">IF($I77="","",INDEX(CONSOLIDADO!$H$2:$H$801,$I77))</f>
        <v/>
      </c>
      <c r="I77" s="11" t="str">
        <f aca="false">IFERROR(MATCH(ROW()-1,CONSOLIDADO!$AJ$2:$AJ$801,0),"")</f>
        <v/>
      </c>
      <c r="J77" s="11" t="str">
        <f aca="false">IF(B77="","",F77&amp;" "&amp;C77&amp;" ("&amp;B77&amp;")")</f>
        <v/>
      </c>
    </row>
    <row r="78" customFormat="false" ht="15" hidden="false" customHeight="false" outlineLevel="0" collapsed="false">
      <c r="A78" s="16"/>
      <c r="B78" s="11" t="str">
        <f aca="false">IF($I78="","",INDEX(CONSOLIDADO!$A$2:$A$801,$I78))</f>
        <v/>
      </c>
      <c r="C78" s="11" t="str">
        <f aca="false">IF($I78="","",INDEX(CONSOLIDADO!$B$2:$B$801,$I78))</f>
        <v/>
      </c>
      <c r="D78" s="16" t="str">
        <f aca="false">IF($I78="","",INDEX(CONSOLIDADO!$C$2:$C$801,$I78))</f>
        <v/>
      </c>
      <c r="E78" s="16" t="str">
        <f aca="false">IF($I78="","",INDEX(CONSOLIDADO!$D$2:$D$801,$I78))</f>
        <v/>
      </c>
      <c r="F78" s="14" t="str">
        <f aca="false">IF($I78="","",INDEX(CONSOLIDADO!$E$2:$E$801,$I78))</f>
        <v/>
      </c>
      <c r="G78" s="16" t="str">
        <f aca="false">IF($I78="","",INDEX(CONSOLIDADO!$G$2:$G$801,$I78))</f>
        <v/>
      </c>
      <c r="H78" s="16" t="str">
        <f aca="false">IF($I78="","",INDEX(CONSOLIDADO!$H$2:$H$801,$I78))</f>
        <v/>
      </c>
      <c r="I78" s="11" t="str">
        <f aca="false">IFERROR(MATCH(ROW()-1,CONSOLIDADO!$AJ$2:$AJ$801,0),"")</f>
        <v/>
      </c>
      <c r="J78" s="11" t="str">
        <f aca="false">IF(B78="","",F78&amp;" "&amp;C78&amp;" ("&amp;B78&amp;")")</f>
        <v/>
      </c>
    </row>
    <row r="79" customFormat="false" ht="15" hidden="false" customHeight="false" outlineLevel="0" collapsed="false">
      <c r="A79" s="16"/>
      <c r="B79" s="11" t="str">
        <f aca="false">IF($I79="","",INDEX(CONSOLIDADO!$A$2:$A$801,$I79))</f>
        <v/>
      </c>
      <c r="C79" s="11" t="str">
        <f aca="false">IF($I79="","",INDEX(CONSOLIDADO!$B$2:$B$801,$I79))</f>
        <v/>
      </c>
      <c r="D79" s="16" t="str">
        <f aca="false">IF($I79="","",INDEX(CONSOLIDADO!$C$2:$C$801,$I79))</f>
        <v/>
      </c>
      <c r="E79" s="16" t="str">
        <f aca="false">IF($I79="","",INDEX(CONSOLIDADO!$D$2:$D$801,$I79))</f>
        <v/>
      </c>
      <c r="F79" s="14" t="str">
        <f aca="false">IF($I79="","",INDEX(CONSOLIDADO!$E$2:$E$801,$I79))</f>
        <v/>
      </c>
      <c r="G79" s="16" t="str">
        <f aca="false">IF($I79="","",INDEX(CONSOLIDADO!$G$2:$G$801,$I79))</f>
        <v/>
      </c>
      <c r="H79" s="16" t="str">
        <f aca="false">IF($I79="","",INDEX(CONSOLIDADO!$H$2:$H$801,$I79))</f>
        <v/>
      </c>
      <c r="I79" s="11" t="str">
        <f aca="false">IFERROR(MATCH(ROW()-1,CONSOLIDADO!$AJ$2:$AJ$801,0),"")</f>
        <v/>
      </c>
      <c r="J79" s="11" t="str">
        <f aca="false">IF(B79="","",F79&amp;" "&amp;C79&amp;" ("&amp;B79&amp;")")</f>
        <v/>
      </c>
    </row>
    <row r="80" customFormat="false" ht="15" hidden="false" customHeight="false" outlineLevel="0" collapsed="false">
      <c r="A80" s="16"/>
      <c r="B80" s="11" t="str">
        <f aca="false">IF($I80="","",INDEX(CONSOLIDADO!$A$2:$A$801,$I80))</f>
        <v/>
      </c>
      <c r="C80" s="11" t="str">
        <f aca="false">IF($I80="","",INDEX(CONSOLIDADO!$B$2:$B$801,$I80))</f>
        <v/>
      </c>
      <c r="D80" s="16" t="str">
        <f aca="false">IF($I80="","",INDEX(CONSOLIDADO!$C$2:$C$801,$I80))</f>
        <v/>
      </c>
      <c r="E80" s="16" t="str">
        <f aca="false">IF($I80="","",INDEX(CONSOLIDADO!$D$2:$D$801,$I80))</f>
        <v/>
      </c>
      <c r="F80" s="14" t="str">
        <f aca="false">IF($I80="","",INDEX(CONSOLIDADO!$E$2:$E$801,$I80))</f>
        <v/>
      </c>
      <c r="G80" s="16" t="str">
        <f aca="false">IF($I80="","",INDEX(CONSOLIDADO!$G$2:$G$801,$I80))</f>
        <v/>
      </c>
      <c r="H80" s="16" t="str">
        <f aca="false">IF($I80="","",INDEX(CONSOLIDADO!$H$2:$H$801,$I80))</f>
        <v/>
      </c>
      <c r="I80" s="11" t="str">
        <f aca="false">IFERROR(MATCH(ROW()-1,CONSOLIDADO!$AJ$2:$AJ$801,0),"")</f>
        <v/>
      </c>
      <c r="J80" s="11" t="str">
        <f aca="false">IF(B80="","",F80&amp;" "&amp;C80&amp;" ("&amp;B80&amp;")")</f>
        <v/>
      </c>
    </row>
    <row r="81" customFormat="false" ht="15" hidden="false" customHeight="false" outlineLevel="0" collapsed="false">
      <c r="A81" s="16"/>
      <c r="B81" s="11" t="str">
        <f aca="false">IF($I81="","",INDEX(CONSOLIDADO!$A$2:$A$801,$I81))</f>
        <v/>
      </c>
      <c r="C81" s="11" t="str">
        <f aca="false">IF($I81="","",INDEX(CONSOLIDADO!$B$2:$B$801,$I81))</f>
        <v/>
      </c>
      <c r="D81" s="16" t="str">
        <f aca="false">IF($I81="","",INDEX(CONSOLIDADO!$C$2:$C$801,$I81))</f>
        <v/>
      </c>
      <c r="E81" s="16" t="str">
        <f aca="false">IF($I81="","",INDEX(CONSOLIDADO!$D$2:$D$801,$I81))</f>
        <v/>
      </c>
      <c r="F81" s="14" t="str">
        <f aca="false">IF($I81="","",INDEX(CONSOLIDADO!$E$2:$E$801,$I81))</f>
        <v/>
      </c>
      <c r="G81" s="16" t="str">
        <f aca="false">IF($I81="","",INDEX(CONSOLIDADO!$G$2:$G$801,$I81))</f>
        <v/>
      </c>
      <c r="H81" s="16" t="str">
        <f aca="false">IF($I81="","",INDEX(CONSOLIDADO!$H$2:$H$801,$I81))</f>
        <v/>
      </c>
      <c r="I81" s="11" t="str">
        <f aca="false">IFERROR(MATCH(ROW()-1,CONSOLIDADO!$AJ$2:$AJ$801,0),"")</f>
        <v/>
      </c>
      <c r="J81" s="11" t="str">
        <f aca="false">IF(B81="","",F81&amp;" "&amp;C81&amp;" ("&amp;B81&amp;")")</f>
        <v/>
      </c>
    </row>
    <row r="82" customFormat="false" ht="15" hidden="false" customHeight="false" outlineLevel="0" collapsed="false">
      <c r="A82" s="16"/>
      <c r="B82" s="11" t="str">
        <f aca="false">IF($I82="","",INDEX(CONSOLIDADO!$A$2:$A$801,$I82))</f>
        <v/>
      </c>
      <c r="C82" s="11" t="str">
        <f aca="false">IF($I82="","",INDEX(CONSOLIDADO!$B$2:$B$801,$I82))</f>
        <v/>
      </c>
      <c r="D82" s="16" t="str">
        <f aca="false">IF($I82="","",INDEX(CONSOLIDADO!$C$2:$C$801,$I82))</f>
        <v/>
      </c>
      <c r="E82" s="16" t="str">
        <f aca="false">IF($I82="","",INDEX(CONSOLIDADO!$D$2:$D$801,$I82))</f>
        <v/>
      </c>
      <c r="F82" s="14" t="str">
        <f aca="false">IF($I82="","",INDEX(CONSOLIDADO!$E$2:$E$801,$I82))</f>
        <v/>
      </c>
      <c r="G82" s="16" t="str">
        <f aca="false">IF($I82="","",INDEX(CONSOLIDADO!$G$2:$G$801,$I82))</f>
        <v/>
      </c>
      <c r="H82" s="16" t="str">
        <f aca="false">IF($I82="","",INDEX(CONSOLIDADO!$H$2:$H$801,$I82))</f>
        <v/>
      </c>
      <c r="I82" s="11" t="str">
        <f aca="false">IFERROR(MATCH(ROW()-1,CONSOLIDADO!$AJ$2:$AJ$801,0),"")</f>
        <v/>
      </c>
      <c r="J82" s="11" t="str">
        <f aca="false">IF(B82="","",F82&amp;" "&amp;C82&amp;" ("&amp;B82&amp;")")</f>
        <v/>
      </c>
    </row>
    <row r="83" customFormat="false" ht="15" hidden="false" customHeight="false" outlineLevel="0" collapsed="false">
      <c r="A83" s="16"/>
      <c r="B83" s="11" t="str">
        <f aca="false">IF($I83="","",INDEX(CONSOLIDADO!$A$2:$A$801,$I83))</f>
        <v/>
      </c>
      <c r="C83" s="11" t="str">
        <f aca="false">IF($I83="","",INDEX(CONSOLIDADO!$B$2:$B$801,$I83))</f>
        <v/>
      </c>
      <c r="D83" s="16" t="str">
        <f aca="false">IF($I83="","",INDEX(CONSOLIDADO!$C$2:$C$801,$I83))</f>
        <v/>
      </c>
      <c r="E83" s="16" t="str">
        <f aca="false">IF($I83="","",INDEX(CONSOLIDADO!$D$2:$D$801,$I83))</f>
        <v/>
      </c>
      <c r="F83" s="14" t="str">
        <f aca="false">IF($I83="","",INDEX(CONSOLIDADO!$E$2:$E$801,$I83))</f>
        <v/>
      </c>
      <c r="G83" s="16" t="str">
        <f aca="false">IF($I83="","",INDEX(CONSOLIDADO!$G$2:$G$801,$I83))</f>
        <v/>
      </c>
      <c r="H83" s="16" t="str">
        <f aca="false">IF($I83="","",INDEX(CONSOLIDADO!$H$2:$H$801,$I83))</f>
        <v/>
      </c>
      <c r="I83" s="11" t="str">
        <f aca="false">IFERROR(MATCH(ROW()-1,CONSOLIDADO!$AJ$2:$AJ$801,0),"")</f>
        <v/>
      </c>
      <c r="J83" s="11" t="str">
        <f aca="false">IF(B83="","",F83&amp;" "&amp;C83&amp;" ("&amp;B83&amp;")")</f>
        <v/>
      </c>
    </row>
    <row r="84" customFormat="false" ht="15" hidden="false" customHeight="false" outlineLevel="0" collapsed="false">
      <c r="A84" s="16"/>
      <c r="B84" s="11" t="str">
        <f aca="false">IF($I84="","",INDEX(CONSOLIDADO!$A$2:$A$801,$I84))</f>
        <v/>
      </c>
      <c r="C84" s="11" t="str">
        <f aca="false">IF($I84="","",INDEX(CONSOLIDADO!$B$2:$B$801,$I84))</f>
        <v/>
      </c>
      <c r="D84" s="16" t="str">
        <f aca="false">IF($I84="","",INDEX(CONSOLIDADO!$C$2:$C$801,$I84))</f>
        <v/>
      </c>
      <c r="E84" s="16" t="str">
        <f aca="false">IF($I84="","",INDEX(CONSOLIDADO!$D$2:$D$801,$I84))</f>
        <v/>
      </c>
      <c r="F84" s="14" t="str">
        <f aca="false">IF($I84="","",INDEX(CONSOLIDADO!$E$2:$E$801,$I84))</f>
        <v/>
      </c>
      <c r="G84" s="16" t="str">
        <f aca="false">IF($I84="","",INDEX(CONSOLIDADO!$G$2:$G$801,$I84))</f>
        <v/>
      </c>
      <c r="H84" s="16" t="str">
        <f aca="false">IF($I84="","",INDEX(CONSOLIDADO!$H$2:$H$801,$I84))</f>
        <v/>
      </c>
      <c r="I84" s="11" t="str">
        <f aca="false">IFERROR(MATCH(ROW()-1,CONSOLIDADO!$AJ$2:$AJ$801,0),"")</f>
        <v/>
      </c>
      <c r="J84" s="11" t="str">
        <f aca="false">IF(B84="","",F84&amp;" "&amp;C84&amp;" ("&amp;B84&amp;")")</f>
        <v/>
      </c>
    </row>
    <row r="85" customFormat="false" ht="15" hidden="false" customHeight="false" outlineLevel="0" collapsed="false">
      <c r="A85" s="16"/>
      <c r="B85" s="11" t="str">
        <f aca="false">IF($I85="","",INDEX(CONSOLIDADO!$A$2:$A$801,$I85))</f>
        <v/>
      </c>
      <c r="C85" s="11" t="str">
        <f aca="false">IF($I85="","",INDEX(CONSOLIDADO!$B$2:$B$801,$I85))</f>
        <v/>
      </c>
      <c r="D85" s="16" t="str">
        <f aca="false">IF($I85="","",INDEX(CONSOLIDADO!$C$2:$C$801,$I85))</f>
        <v/>
      </c>
      <c r="E85" s="16" t="str">
        <f aca="false">IF($I85="","",INDEX(CONSOLIDADO!$D$2:$D$801,$I85))</f>
        <v/>
      </c>
      <c r="F85" s="14" t="str">
        <f aca="false">IF($I85="","",INDEX(CONSOLIDADO!$E$2:$E$801,$I85))</f>
        <v/>
      </c>
      <c r="G85" s="16" t="str">
        <f aca="false">IF($I85="","",INDEX(CONSOLIDADO!$G$2:$G$801,$I85))</f>
        <v/>
      </c>
      <c r="H85" s="16" t="str">
        <f aca="false">IF($I85="","",INDEX(CONSOLIDADO!$H$2:$H$801,$I85))</f>
        <v/>
      </c>
      <c r="I85" s="11" t="str">
        <f aca="false">IFERROR(MATCH(ROW()-1,CONSOLIDADO!$AJ$2:$AJ$801,0),"")</f>
        <v/>
      </c>
      <c r="J85" s="11" t="str">
        <f aca="false">IF(B85="","",F85&amp;" "&amp;C85&amp;" ("&amp;B85&amp;")")</f>
        <v/>
      </c>
    </row>
    <row r="86" customFormat="false" ht="15" hidden="false" customHeight="false" outlineLevel="0" collapsed="false">
      <c r="A86" s="16"/>
      <c r="B86" s="11" t="str">
        <f aca="false">IF($I86="","",INDEX(CONSOLIDADO!$A$2:$A$801,$I86))</f>
        <v/>
      </c>
      <c r="C86" s="11" t="str">
        <f aca="false">IF($I86="","",INDEX(CONSOLIDADO!$B$2:$B$801,$I86))</f>
        <v/>
      </c>
      <c r="D86" s="16" t="str">
        <f aca="false">IF($I86="","",INDEX(CONSOLIDADO!$C$2:$C$801,$I86))</f>
        <v/>
      </c>
      <c r="E86" s="16" t="str">
        <f aca="false">IF($I86="","",INDEX(CONSOLIDADO!$D$2:$D$801,$I86))</f>
        <v/>
      </c>
      <c r="F86" s="14" t="str">
        <f aca="false">IF($I86="","",INDEX(CONSOLIDADO!$E$2:$E$801,$I86))</f>
        <v/>
      </c>
      <c r="G86" s="16" t="str">
        <f aca="false">IF($I86="","",INDEX(CONSOLIDADO!$G$2:$G$801,$I86))</f>
        <v/>
      </c>
      <c r="H86" s="16" t="str">
        <f aca="false">IF($I86="","",INDEX(CONSOLIDADO!$H$2:$H$801,$I86))</f>
        <v/>
      </c>
      <c r="I86" s="11" t="str">
        <f aca="false">IFERROR(MATCH(ROW()-1,CONSOLIDADO!$AJ$2:$AJ$801,0),"")</f>
        <v/>
      </c>
      <c r="J86" s="11" t="str">
        <f aca="false">IF(B86="","",F86&amp;" "&amp;C86&amp;" ("&amp;B86&amp;")")</f>
        <v/>
      </c>
    </row>
    <row r="87" customFormat="false" ht="15" hidden="false" customHeight="false" outlineLevel="0" collapsed="false">
      <c r="A87" s="16"/>
      <c r="B87" s="11" t="str">
        <f aca="false">IF($I87="","",INDEX(CONSOLIDADO!$A$2:$A$801,$I87))</f>
        <v/>
      </c>
      <c r="C87" s="11" t="str">
        <f aca="false">IF($I87="","",INDEX(CONSOLIDADO!$B$2:$B$801,$I87))</f>
        <v/>
      </c>
      <c r="D87" s="16" t="str">
        <f aca="false">IF($I87="","",INDEX(CONSOLIDADO!$C$2:$C$801,$I87))</f>
        <v/>
      </c>
      <c r="E87" s="16" t="str">
        <f aca="false">IF($I87="","",INDEX(CONSOLIDADO!$D$2:$D$801,$I87))</f>
        <v/>
      </c>
      <c r="F87" s="14" t="str">
        <f aca="false">IF($I87="","",INDEX(CONSOLIDADO!$E$2:$E$801,$I87))</f>
        <v/>
      </c>
      <c r="G87" s="16" t="str">
        <f aca="false">IF($I87="","",INDEX(CONSOLIDADO!$G$2:$G$801,$I87))</f>
        <v/>
      </c>
      <c r="H87" s="16" t="str">
        <f aca="false">IF($I87="","",INDEX(CONSOLIDADO!$H$2:$H$801,$I87))</f>
        <v/>
      </c>
      <c r="I87" s="11" t="str">
        <f aca="false">IFERROR(MATCH(ROW()-1,CONSOLIDADO!$AJ$2:$AJ$801,0),"")</f>
        <v/>
      </c>
      <c r="J87" s="11" t="str">
        <f aca="false">IF(B87="","",F87&amp;" "&amp;C87&amp;" ("&amp;B87&amp;")")</f>
        <v/>
      </c>
    </row>
    <row r="88" customFormat="false" ht="15" hidden="false" customHeight="false" outlineLevel="0" collapsed="false">
      <c r="A88" s="16"/>
      <c r="B88" s="11" t="str">
        <f aca="false">IF($I88="","",INDEX(CONSOLIDADO!$A$2:$A$801,$I88))</f>
        <v/>
      </c>
      <c r="C88" s="11" t="str">
        <f aca="false">IF($I88="","",INDEX(CONSOLIDADO!$B$2:$B$801,$I88))</f>
        <v/>
      </c>
      <c r="D88" s="16" t="str">
        <f aca="false">IF($I88="","",INDEX(CONSOLIDADO!$C$2:$C$801,$I88))</f>
        <v/>
      </c>
      <c r="E88" s="16" t="str">
        <f aca="false">IF($I88="","",INDEX(CONSOLIDADO!$D$2:$D$801,$I88))</f>
        <v/>
      </c>
      <c r="F88" s="14" t="str">
        <f aca="false">IF($I88="","",INDEX(CONSOLIDADO!$E$2:$E$801,$I88))</f>
        <v/>
      </c>
      <c r="G88" s="16" t="str">
        <f aca="false">IF($I88="","",INDEX(CONSOLIDADO!$G$2:$G$801,$I88))</f>
        <v/>
      </c>
      <c r="H88" s="16" t="str">
        <f aca="false">IF($I88="","",INDEX(CONSOLIDADO!$H$2:$H$801,$I88))</f>
        <v/>
      </c>
      <c r="I88" s="11" t="str">
        <f aca="false">IFERROR(MATCH(ROW()-1,CONSOLIDADO!$AJ$2:$AJ$801,0),"")</f>
        <v/>
      </c>
      <c r="J88" s="11" t="str">
        <f aca="false">IF(B88="","",F88&amp;" "&amp;C88&amp;" ("&amp;B88&amp;")")</f>
        <v/>
      </c>
    </row>
    <row r="89" customFormat="false" ht="15" hidden="false" customHeight="false" outlineLevel="0" collapsed="false">
      <c r="A89" s="16"/>
      <c r="B89" s="11" t="str">
        <f aca="false">IF($I89="","",INDEX(CONSOLIDADO!$A$2:$A$801,$I89))</f>
        <v/>
      </c>
      <c r="C89" s="11" t="str">
        <f aca="false">IF($I89="","",INDEX(CONSOLIDADO!$B$2:$B$801,$I89))</f>
        <v/>
      </c>
      <c r="D89" s="16" t="str">
        <f aca="false">IF($I89="","",INDEX(CONSOLIDADO!$C$2:$C$801,$I89))</f>
        <v/>
      </c>
      <c r="E89" s="16" t="str">
        <f aca="false">IF($I89="","",INDEX(CONSOLIDADO!$D$2:$D$801,$I89))</f>
        <v/>
      </c>
      <c r="F89" s="14" t="str">
        <f aca="false">IF($I89="","",INDEX(CONSOLIDADO!$E$2:$E$801,$I89))</f>
        <v/>
      </c>
      <c r="G89" s="16" t="str">
        <f aca="false">IF($I89="","",INDEX(CONSOLIDADO!$G$2:$G$801,$I89))</f>
        <v/>
      </c>
      <c r="H89" s="16" t="str">
        <f aca="false">IF($I89="","",INDEX(CONSOLIDADO!$H$2:$H$801,$I89))</f>
        <v/>
      </c>
      <c r="I89" s="11" t="str">
        <f aca="false">IFERROR(MATCH(ROW()-1,CONSOLIDADO!$AJ$2:$AJ$801,0),"")</f>
        <v/>
      </c>
      <c r="J89" s="11" t="str">
        <f aca="false">IF(B89="","",F89&amp;" "&amp;C89&amp;" ("&amp;B89&amp;")")</f>
        <v/>
      </c>
    </row>
    <row r="90" customFormat="false" ht="15" hidden="false" customHeight="false" outlineLevel="0" collapsed="false">
      <c r="A90" s="16"/>
      <c r="B90" s="11" t="str">
        <f aca="false">IF($I90="","",INDEX(CONSOLIDADO!$A$2:$A$801,$I90))</f>
        <v/>
      </c>
      <c r="C90" s="11" t="str">
        <f aca="false">IF($I90="","",INDEX(CONSOLIDADO!$B$2:$B$801,$I90))</f>
        <v/>
      </c>
      <c r="D90" s="16" t="str">
        <f aca="false">IF($I90="","",INDEX(CONSOLIDADO!$C$2:$C$801,$I90))</f>
        <v/>
      </c>
      <c r="E90" s="16" t="str">
        <f aca="false">IF($I90="","",INDEX(CONSOLIDADO!$D$2:$D$801,$I90))</f>
        <v/>
      </c>
      <c r="F90" s="14" t="str">
        <f aca="false">IF($I90="","",INDEX(CONSOLIDADO!$E$2:$E$801,$I90))</f>
        <v/>
      </c>
      <c r="G90" s="16" t="str">
        <f aca="false">IF($I90="","",INDEX(CONSOLIDADO!$G$2:$G$801,$I90))</f>
        <v/>
      </c>
      <c r="H90" s="16" t="str">
        <f aca="false">IF($I90="","",INDEX(CONSOLIDADO!$H$2:$H$801,$I90))</f>
        <v/>
      </c>
      <c r="I90" s="11" t="str">
        <f aca="false">IFERROR(MATCH(ROW()-1,CONSOLIDADO!$AJ$2:$AJ$801,0),"")</f>
        <v/>
      </c>
      <c r="J90" s="11" t="str">
        <f aca="false">IF(B90="","",F90&amp;" "&amp;C90&amp;" ("&amp;B90&amp;")")</f>
        <v/>
      </c>
    </row>
    <row r="91" customFormat="false" ht="15" hidden="false" customHeight="false" outlineLevel="0" collapsed="false">
      <c r="A91" s="16"/>
      <c r="B91" s="11" t="str">
        <f aca="false">IF($I91="","",INDEX(CONSOLIDADO!$A$2:$A$801,$I91))</f>
        <v/>
      </c>
      <c r="C91" s="11" t="str">
        <f aca="false">IF($I91="","",INDEX(CONSOLIDADO!$B$2:$B$801,$I91))</f>
        <v/>
      </c>
      <c r="D91" s="16" t="str">
        <f aca="false">IF($I91="","",INDEX(CONSOLIDADO!$C$2:$C$801,$I91))</f>
        <v/>
      </c>
      <c r="E91" s="16" t="str">
        <f aca="false">IF($I91="","",INDEX(CONSOLIDADO!$D$2:$D$801,$I91))</f>
        <v/>
      </c>
      <c r="F91" s="14" t="str">
        <f aca="false">IF($I91="","",INDEX(CONSOLIDADO!$E$2:$E$801,$I91))</f>
        <v/>
      </c>
      <c r="G91" s="16" t="str">
        <f aca="false">IF($I91="","",INDEX(CONSOLIDADO!$G$2:$G$801,$I91))</f>
        <v/>
      </c>
      <c r="H91" s="16" t="str">
        <f aca="false">IF($I91="","",INDEX(CONSOLIDADO!$H$2:$H$801,$I91))</f>
        <v/>
      </c>
      <c r="I91" s="11" t="str">
        <f aca="false">IFERROR(MATCH(ROW()-1,CONSOLIDADO!$AJ$2:$AJ$801,0),"")</f>
        <v/>
      </c>
      <c r="J91" s="11" t="str">
        <f aca="false">IF(B91="","",F91&amp;" "&amp;C91&amp;" ("&amp;B91&amp;")")</f>
        <v/>
      </c>
    </row>
    <row r="92" customFormat="false" ht="15" hidden="false" customHeight="false" outlineLevel="0" collapsed="false">
      <c r="A92" s="16"/>
      <c r="B92" s="11" t="str">
        <f aca="false">IF($I92="","",INDEX(CONSOLIDADO!$A$2:$A$801,$I92))</f>
        <v/>
      </c>
      <c r="C92" s="11" t="str">
        <f aca="false">IF($I92="","",INDEX(CONSOLIDADO!$B$2:$B$801,$I92))</f>
        <v/>
      </c>
      <c r="D92" s="16" t="str">
        <f aca="false">IF($I92="","",INDEX(CONSOLIDADO!$C$2:$C$801,$I92))</f>
        <v/>
      </c>
      <c r="E92" s="16" t="str">
        <f aca="false">IF($I92="","",INDEX(CONSOLIDADO!$D$2:$D$801,$I92))</f>
        <v/>
      </c>
      <c r="F92" s="14" t="str">
        <f aca="false">IF($I92="","",INDEX(CONSOLIDADO!$E$2:$E$801,$I92))</f>
        <v/>
      </c>
      <c r="G92" s="16" t="str">
        <f aca="false">IF($I92="","",INDEX(CONSOLIDADO!$G$2:$G$801,$I92))</f>
        <v/>
      </c>
      <c r="H92" s="16" t="str">
        <f aca="false">IF($I92="","",INDEX(CONSOLIDADO!$H$2:$H$801,$I92))</f>
        <v/>
      </c>
      <c r="I92" s="11" t="str">
        <f aca="false">IFERROR(MATCH(ROW()-1,CONSOLIDADO!$AJ$2:$AJ$801,0),"")</f>
        <v/>
      </c>
      <c r="J92" s="11" t="str">
        <f aca="false">IF(B92="","",F92&amp;" "&amp;C92&amp;" ("&amp;B92&amp;")")</f>
        <v/>
      </c>
    </row>
    <row r="93" customFormat="false" ht="15" hidden="false" customHeight="false" outlineLevel="0" collapsed="false">
      <c r="A93" s="16"/>
      <c r="B93" s="11" t="str">
        <f aca="false">IF($I93="","",INDEX(CONSOLIDADO!$A$2:$A$801,$I93))</f>
        <v/>
      </c>
      <c r="C93" s="11" t="str">
        <f aca="false">IF($I93="","",INDEX(CONSOLIDADO!$B$2:$B$801,$I93))</f>
        <v/>
      </c>
      <c r="D93" s="16" t="str">
        <f aca="false">IF($I93="","",INDEX(CONSOLIDADO!$C$2:$C$801,$I93))</f>
        <v/>
      </c>
      <c r="E93" s="16" t="str">
        <f aca="false">IF($I93="","",INDEX(CONSOLIDADO!$D$2:$D$801,$I93))</f>
        <v/>
      </c>
      <c r="F93" s="14" t="str">
        <f aca="false">IF($I93="","",INDEX(CONSOLIDADO!$E$2:$E$801,$I93))</f>
        <v/>
      </c>
      <c r="G93" s="16" t="str">
        <f aca="false">IF($I93="","",INDEX(CONSOLIDADO!$G$2:$G$801,$I93))</f>
        <v/>
      </c>
      <c r="H93" s="16" t="str">
        <f aca="false">IF($I93="","",INDEX(CONSOLIDADO!$H$2:$H$801,$I93))</f>
        <v/>
      </c>
      <c r="I93" s="11" t="str">
        <f aca="false">IFERROR(MATCH(ROW()-1,CONSOLIDADO!$AJ$2:$AJ$801,0),"")</f>
        <v/>
      </c>
      <c r="J93" s="11" t="str">
        <f aca="false">IF(B93="","",F93&amp;" "&amp;C93&amp;" ("&amp;B93&amp;")")</f>
        <v/>
      </c>
    </row>
    <row r="94" customFormat="false" ht="15" hidden="false" customHeight="false" outlineLevel="0" collapsed="false">
      <c r="A94" s="16"/>
      <c r="B94" s="11" t="str">
        <f aca="false">IF($I94="","",INDEX(CONSOLIDADO!$A$2:$A$801,$I94))</f>
        <v/>
      </c>
      <c r="C94" s="11" t="str">
        <f aca="false">IF($I94="","",INDEX(CONSOLIDADO!$B$2:$B$801,$I94))</f>
        <v/>
      </c>
      <c r="D94" s="16" t="str">
        <f aca="false">IF($I94="","",INDEX(CONSOLIDADO!$C$2:$C$801,$I94))</f>
        <v/>
      </c>
      <c r="E94" s="16" t="str">
        <f aca="false">IF($I94="","",INDEX(CONSOLIDADO!$D$2:$D$801,$I94))</f>
        <v/>
      </c>
      <c r="F94" s="14" t="str">
        <f aca="false">IF($I94="","",INDEX(CONSOLIDADO!$E$2:$E$801,$I94))</f>
        <v/>
      </c>
      <c r="G94" s="16" t="str">
        <f aca="false">IF($I94="","",INDEX(CONSOLIDADO!$G$2:$G$801,$I94))</f>
        <v/>
      </c>
      <c r="H94" s="16" t="str">
        <f aca="false">IF($I94="","",INDEX(CONSOLIDADO!$H$2:$H$801,$I94))</f>
        <v/>
      </c>
      <c r="I94" s="11" t="str">
        <f aca="false">IFERROR(MATCH(ROW()-1,CONSOLIDADO!$AJ$2:$AJ$801,0),"")</f>
        <v/>
      </c>
      <c r="J94" s="11" t="str">
        <f aca="false">IF(B94="","",F94&amp;" "&amp;C94&amp;" ("&amp;B94&amp;")")</f>
        <v/>
      </c>
    </row>
    <row r="95" customFormat="false" ht="15" hidden="false" customHeight="false" outlineLevel="0" collapsed="false">
      <c r="A95" s="16"/>
      <c r="B95" s="11" t="str">
        <f aca="false">IF($I95="","",INDEX(CONSOLIDADO!$A$2:$A$801,$I95))</f>
        <v/>
      </c>
      <c r="C95" s="11" t="str">
        <f aca="false">IF($I95="","",INDEX(CONSOLIDADO!$B$2:$B$801,$I95))</f>
        <v/>
      </c>
      <c r="D95" s="16" t="str">
        <f aca="false">IF($I95="","",INDEX(CONSOLIDADO!$C$2:$C$801,$I95))</f>
        <v/>
      </c>
      <c r="E95" s="16" t="str">
        <f aca="false">IF($I95="","",INDEX(CONSOLIDADO!$D$2:$D$801,$I95))</f>
        <v/>
      </c>
      <c r="F95" s="14" t="str">
        <f aca="false">IF($I95="","",INDEX(CONSOLIDADO!$E$2:$E$801,$I95))</f>
        <v/>
      </c>
      <c r="G95" s="16" t="str">
        <f aca="false">IF($I95="","",INDEX(CONSOLIDADO!$G$2:$G$801,$I95))</f>
        <v/>
      </c>
      <c r="H95" s="16" t="str">
        <f aca="false">IF($I95="","",INDEX(CONSOLIDADO!$H$2:$H$801,$I95))</f>
        <v/>
      </c>
      <c r="I95" s="11" t="str">
        <f aca="false">IFERROR(MATCH(ROW()-1,CONSOLIDADO!$AJ$2:$AJ$801,0),"")</f>
        <v/>
      </c>
      <c r="J95" s="11" t="str">
        <f aca="false">IF(B95="","",F95&amp;" "&amp;C95&amp;" ("&amp;B95&amp;")")</f>
        <v/>
      </c>
    </row>
    <row r="96" customFormat="false" ht="15" hidden="false" customHeight="false" outlineLevel="0" collapsed="false">
      <c r="A96" s="16"/>
      <c r="B96" s="11" t="str">
        <f aca="false">IF($I96="","",INDEX(CONSOLIDADO!$A$2:$A$801,$I96))</f>
        <v/>
      </c>
      <c r="C96" s="11" t="str">
        <f aca="false">IF($I96="","",INDEX(CONSOLIDADO!$B$2:$B$801,$I96))</f>
        <v/>
      </c>
      <c r="D96" s="16" t="str">
        <f aca="false">IF($I96="","",INDEX(CONSOLIDADO!$C$2:$C$801,$I96))</f>
        <v/>
      </c>
      <c r="E96" s="16" t="str">
        <f aca="false">IF($I96="","",INDEX(CONSOLIDADO!$D$2:$D$801,$I96))</f>
        <v/>
      </c>
      <c r="F96" s="14" t="str">
        <f aca="false">IF($I96="","",INDEX(CONSOLIDADO!$E$2:$E$801,$I96))</f>
        <v/>
      </c>
      <c r="G96" s="16" t="str">
        <f aca="false">IF($I96="","",INDEX(CONSOLIDADO!$G$2:$G$801,$I96))</f>
        <v/>
      </c>
      <c r="H96" s="16" t="str">
        <f aca="false">IF($I96="","",INDEX(CONSOLIDADO!$H$2:$H$801,$I96))</f>
        <v/>
      </c>
      <c r="I96" s="11" t="str">
        <f aca="false">IFERROR(MATCH(ROW()-1,CONSOLIDADO!$AJ$2:$AJ$801,0),"")</f>
        <v/>
      </c>
      <c r="J96" s="11" t="str">
        <f aca="false">IF(B96="","",F96&amp;" "&amp;C96&amp;" ("&amp;B96&amp;")")</f>
        <v/>
      </c>
    </row>
    <row r="97" customFormat="false" ht="15" hidden="false" customHeight="false" outlineLevel="0" collapsed="false">
      <c r="A97" s="16"/>
      <c r="B97" s="11" t="str">
        <f aca="false">IF($I97="","",INDEX(CONSOLIDADO!$A$2:$A$801,$I97))</f>
        <v/>
      </c>
      <c r="C97" s="11" t="str">
        <f aca="false">IF($I97="","",INDEX(CONSOLIDADO!$B$2:$B$801,$I97))</f>
        <v/>
      </c>
      <c r="D97" s="16" t="str">
        <f aca="false">IF($I97="","",INDEX(CONSOLIDADO!$C$2:$C$801,$I97))</f>
        <v/>
      </c>
      <c r="E97" s="16" t="str">
        <f aca="false">IF($I97="","",INDEX(CONSOLIDADO!$D$2:$D$801,$I97))</f>
        <v/>
      </c>
      <c r="F97" s="14" t="str">
        <f aca="false">IF($I97="","",INDEX(CONSOLIDADO!$E$2:$E$801,$I97))</f>
        <v/>
      </c>
      <c r="G97" s="16" t="str">
        <f aca="false">IF($I97="","",INDEX(CONSOLIDADO!$G$2:$G$801,$I97))</f>
        <v/>
      </c>
      <c r="H97" s="16" t="str">
        <f aca="false">IF($I97="","",INDEX(CONSOLIDADO!$H$2:$H$801,$I97))</f>
        <v/>
      </c>
      <c r="I97" s="11" t="str">
        <f aca="false">IFERROR(MATCH(ROW()-1,CONSOLIDADO!$AJ$2:$AJ$801,0),"")</f>
        <v/>
      </c>
      <c r="J97" s="11" t="str">
        <f aca="false">IF(B97="","",F97&amp;" "&amp;C97&amp;" ("&amp;B97&amp;")")</f>
        <v/>
      </c>
    </row>
    <row r="98" customFormat="false" ht="15" hidden="false" customHeight="false" outlineLevel="0" collapsed="false">
      <c r="A98" s="16"/>
      <c r="B98" s="11" t="str">
        <f aca="false">IF($I98="","",INDEX(CONSOLIDADO!$A$2:$A$801,$I98))</f>
        <v/>
      </c>
      <c r="C98" s="11" t="str">
        <f aca="false">IF($I98="","",INDEX(CONSOLIDADO!$B$2:$B$801,$I98))</f>
        <v/>
      </c>
      <c r="D98" s="16" t="str">
        <f aca="false">IF($I98="","",INDEX(CONSOLIDADO!$C$2:$C$801,$I98))</f>
        <v/>
      </c>
      <c r="E98" s="16" t="str">
        <f aca="false">IF($I98="","",INDEX(CONSOLIDADO!$D$2:$D$801,$I98))</f>
        <v/>
      </c>
      <c r="F98" s="14" t="str">
        <f aca="false">IF($I98="","",INDEX(CONSOLIDADO!$E$2:$E$801,$I98))</f>
        <v/>
      </c>
      <c r="G98" s="16" t="str">
        <f aca="false">IF($I98="","",INDEX(CONSOLIDADO!$G$2:$G$801,$I98))</f>
        <v/>
      </c>
      <c r="H98" s="16" t="str">
        <f aca="false">IF($I98="","",INDEX(CONSOLIDADO!$H$2:$H$801,$I98))</f>
        <v/>
      </c>
      <c r="I98" s="11" t="str">
        <f aca="false">IFERROR(MATCH(ROW()-1,CONSOLIDADO!$AJ$2:$AJ$801,0),"")</f>
        <v/>
      </c>
      <c r="J98" s="11" t="str">
        <f aca="false">IF(B98="","",F98&amp;" "&amp;C98&amp;" ("&amp;B98&amp;")")</f>
        <v/>
      </c>
    </row>
    <row r="99" customFormat="false" ht="15" hidden="false" customHeight="false" outlineLevel="0" collapsed="false">
      <c r="A99" s="16"/>
      <c r="B99" s="11" t="str">
        <f aca="false">IF($I99="","",INDEX(CONSOLIDADO!$A$2:$A$801,$I99))</f>
        <v/>
      </c>
      <c r="C99" s="11" t="str">
        <f aca="false">IF($I99="","",INDEX(CONSOLIDADO!$B$2:$B$801,$I99))</f>
        <v/>
      </c>
      <c r="D99" s="16" t="str">
        <f aca="false">IF($I99="","",INDEX(CONSOLIDADO!$C$2:$C$801,$I99))</f>
        <v/>
      </c>
      <c r="E99" s="16" t="str">
        <f aca="false">IF($I99="","",INDEX(CONSOLIDADO!$D$2:$D$801,$I99))</f>
        <v/>
      </c>
      <c r="F99" s="14" t="str">
        <f aca="false">IF($I99="","",INDEX(CONSOLIDADO!$E$2:$E$801,$I99))</f>
        <v/>
      </c>
      <c r="G99" s="16" t="str">
        <f aca="false">IF($I99="","",INDEX(CONSOLIDADO!$G$2:$G$801,$I99))</f>
        <v/>
      </c>
      <c r="H99" s="16" t="str">
        <f aca="false">IF($I99="","",INDEX(CONSOLIDADO!$H$2:$H$801,$I99))</f>
        <v/>
      </c>
      <c r="I99" s="11" t="str">
        <f aca="false">IFERROR(MATCH(ROW()-1,CONSOLIDADO!$AJ$2:$AJ$801,0),"")</f>
        <v/>
      </c>
      <c r="J99" s="11" t="str">
        <f aca="false">IF(B99="","",F99&amp;" "&amp;C99&amp;" ("&amp;B99&amp;")")</f>
        <v/>
      </c>
    </row>
    <row r="100" customFormat="false" ht="15" hidden="false" customHeight="false" outlineLevel="0" collapsed="false">
      <c r="A100" s="16"/>
      <c r="B100" s="11" t="str">
        <f aca="false">IF($I100="","",INDEX(CONSOLIDADO!$A$2:$A$801,$I100))</f>
        <v/>
      </c>
      <c r="C100" s="11" t="str">
        <f aca="false">IF($I100="","",INDEX(CONSOLIDADO!$B$2:$B$801,$I100))</f>
        <v/>
      </c>
      <c r="D100" s="16" t="str">
        <f aca="false">IF($I100="","",INDEX(CONSOLIDADO!$C$2:$C$801,$I100))</f>
        <v/>
      </c>
      <c r="E100" s="16" t="str">
        <f aca="false">IF($I100="","",INDEX(CONSOLIDADO!$D$2:$D$801,$I100))</f>
        <v/>
      </c>
      <c r="F100" s="14" t="str">
        <f aca="false">IF($I100="","",INDEX(CONSOLIDADO!$E$2:$E$801,$I100))</f>
        <v/>
      </c>
      <c r="G100" s="16" t="str">
        <f aca="false">IF($I100="","",INDEX(CONSOLIDADO!$G$2:$G$801,$I100))</f>
        <v/>
      </c>
      <c r="H100" s="16" t="str">
        <f aca="false">IF($I100="","",INDEX(CONSOLIDADO!$H$2:$H$801,$I100))</f>
        <v/>
      </c>
      <c r="I100" s="11" t="str">
        <f aca="false">IFERROR(MATCH(ROW()-1,CONSOLIDADO!$AJ$2:$AJ$801,0),"")</f>
        <v/>
      </c>
      <c r="J100" s="11" t="str">
        <f aca="false">IF(B100="","",F100&amp;" "&amp;C100&amp;" ("&amp;B100&amp;")")</f>
        <v/>
      </c>
    </row>
    <row r="101" customFormat="false" ht="15" hidden="false" customHeight="false" outlineLevel="0" collapsed="false">
      <c r="A101" s="16"/>
      <c r="B101" s="11" t="str">
        <f aca="false">IF($I101="","",INDEX(CONSOLIDADO!$A$2:$A$801,$I101))</f>
        <v/>
      </c>
      <c r="C101" s="11" t="str">
        <f aca="false">IF($I101="","",INDEX(CONSOLIDADO!$B$2:$B$801,$I101))</f>
        <v/>
      </c>
      <c r="D101" s="16" t="str">
        <f aca="false">IF($I101="","",INDEX(CONSOLIDADO!$C$2:$C$801,$I101))</f>
        <v/>
      </c>
      <c r="E101" s="16" t="str">
        <f aca="false">IF($I101="","",INDEX(CONSOLIDADO!$D$2:$D$801,$I101))</f>
        <v/>
      </c>
      <c r="F101" s="14" t="str">
        <f aca="false">IF($I101="","",INDEX(CONSOLIDADO!$E$2:$E$801,$I101))</f>
        <v/>
      </c>
      <c r="G101" s="16" t="str">
        <f aca="false">IF($I101="","",INDEX(CONSOLIDADO!$G$2:$G$801,$I101))</f>
        <v/>
      </c>
      <c r="H101" s="16" t="str">
        <f aca="false">IF($I101="","",INDEX(CONSOLIDADO!$H$2:$H$801,$I101))</f>
        <v/>
      </c>
      <c r="I101" s="11" t="str">
        <f aca="false">IFERROR(MATCH(ROW()-1,CONSOLIDADO!$AJ$2:$AJ$801,0),"")</f>
        <v/>
      </c>
      <c r="J101" s="11" t="str">
        <f aca="false">IF(B101="","",F101&amp;" "&amp;C101&amp;" ("&amp;B101&amp;")")</f>
        <v/>
      </c>
    </row>
    <row r="102" customFormat="false" ht="15" hidden="false" customHeight="false" outlineLevel="0" collapsed="false">
      <c r="A102" s="16"/>
      <c r="B102" s="11" t="str">
        <f aca="false">IF($I102="","",INDEX(CONSOLIDADO!$A$2:$A$801,$I102))</f>
        <v/>
      </c>
      <c r="C102" s="11" t="str">
        <f aca="false">IF($I102="","",INDEX(CONSOLIDADO!$B$2:$B$801,$I102))</f>
        <v/>
      </c>
      <c r="D102" s="16" t="str">
        <f aca="false">IF($I102="","",INDEX(CONSOLIDADO!$C$2:$C$801,$I102))</f>
        <v/>
      </c>
      <c r="E102" s="16" t="str">
        <f aca="false">IF($I102="","",INDEX(CONSOLIDADO!$D$2:$D$801,$I102))</f>
        <v/>
      </c>
      <c r="F102" s="14" t="str">
        <f aca="false">IF($I102="","",INDEX(CONSOLIDADO!$E$2:$E$801,$I102))</f>
        <v/>
      </c>
      <c r="G102" s="16" t="str">
        <f aca="false">IF($I102="","",INDEX(CONSOLIDADO!$G$2:$G$801,$I102))</f>
        <v/>
      </c>
      <c r="H102" s="16" t="str">
        <f aca="false">IF($I102="","",INDEX(CONSOLIDADO!$H$2:$H$801,$I102))</f>
        <v/>
      </c>
      <c r="I102" s="11" t="str">
        <f aca="false">IFERROR(MATCH(ROW()-1,CONSOLIDADO!$AJ$2:$AJ$801,0),"")</f>
        <v/>
      </c>
      <c r="J102" s="11" t="str">
        <f aca="false">IF(B102="","",F102&amp;" "&amp;C102&amp;" ("&amp;B102&amp;")")</f>
        <v/>
      </c>
    </row>
    <row r="103" customFormat="false" ht="15" hidden="false" customHeight="false" outlineLevel="0" collapsed="false">
      <c r="A103" s="16"/>
      <c r="B103" s="11" t="str">
        <f aca="false">IF($I103="","",INDEX(CONSOLIDADO!$A$2:$A$801,$I103))</f>
        <v/>
      </c>
      <c r="C103" s="11" t="str">
        <f aca="false">IF($I103="","",INDEX(CONSOLIDADO!$B$2:$B$801,$I103))</f>
        <v/>
      </c>
      <c r="D103" s="16" t="str">
        <f aca="false">IF($I103="","",INDEX(CONSOLIDADO!$C$2:$C$801,$I103))</f>
        <v/>
      </c>
      <c r="E103" s="16" t="str">
        <f aca="false">IF($I103="","",INDEX(CONSOLIDADO!$D$2:$D$801,$I103))</f>
        <v/>
      </c>
      <c r="F103" s="14" t="str">
        <f aca="false">IF($I103="","",INDEX(CONSOLIDADO!$E$2:$E$801,$I103))</f>
        <v/>
      </c>
      <c r="G103" s="16" t="str">
        <f aca="false">IF($I103="","",INDEX(CONSOLIDADO!$G$2:$G$801,$I103))</f>
        <v/>
      </c>
      <c r="H103" s="16" t="str">
        <f aca="false">IF($I103="","",INDEX(CONSOLIDADO!$H$2:$H$801,$I103))</f>
        <v/>
      </c>
      <c r="I103" s="11" t="str">
        <f aca="false">IFERROR(MATCH(ROW()-1,CONSOLIDADO!$AJ$2:$AJ$801,0),"")</f>
        <v/>
      </c>
      <c r="J103" s="11" t="str">
        <f aca="false">IF(B103="","",F103&amp;" "&amp;C103&amp;" ("&amp;B103&amp;")")</f>
        <v/>
      </c>
    </row>
    <row r="104" customFormat="false" ht="15" hidden="false" customHeight="false" outlineLevel="0" collapsed="false">
      <c r="A104" s="16"/>
      <c r="B104" s="11" t="str">
        <f aca="false">IF($I104="","",INDEX(CONSOLIDADO!$A$2:$A$801,$I104))</f>
        <v/>
      </c>
      <c r="C104" s="11" t="str">
        <f aca="false">IF($I104="","",INDEX(CONSOLIDADO!$B$2:$B$801,$I104))</f>
        <v/>
      </c>
      <c r="D104" s="16" t="str">
        <f aca="false">IF($I104="","",INDEX(CONSOLIDADO!$C$2:$C$801,$I104))</f>
        <v/>
      </c>
      <c r="E104" s="16" t="str">
        <f aca="false">IF($I104="","",INDEX(CONSOLIDADO!$D$2:$D$801,$I104))</f>
        <v/>
      </c>
      <c r="F104" s="14" t="str">
        <f aca="false">IF($I104="","",INDEX(CONSOLIDADO!$E$2:$E$801,$I104))</f>
        <v/>
      </c>
      <c r="G104" s="16" t="str">
        <f aca="false">IF($I104="","",INDEX(CONSOLIDADO!$G$2:$G$801,$I104))</f>
        <v/>
      </c>
      <c r="H104" s="16" t="str">
        <f aca="false">IF($I104="","",INDEX(CONSOLIDADO!$H$2:$H$801,$I104))</f>
        <v/>
      </c>
      <c r="I104" s="11" t="str">
        <f aca="false">IFERROR(MATCH(ROW()-1,CONSOLIDADO!$AJ$2:$AJ$801,0),"")</f>
        <v/>
      </c>
      <c r="J104" s="11" t="str">
        <f aca="false">IF(B104="","",F104&amp;" "&amp;C104&amp;" ("&amp;B104&amp;")")</f>
        <v/>
      </c>
    </row>
    <row r="105" customFormat="false" ht="15" hidden="false" customHeight="false" outlineLevel="0" collapsed="false">
      <c r="A105" s="16"/>
      <c r="B105" s="11" t="str">
        <f aca="false">IF($I105="","",INDEX(CONSOLIDADO!$A$2:$A$801,$I105))</f>
        <v/>
      </c>
      <c r="C105" s="11" t="str">
        <f aca="false">IF($I105="","",INDEX(CONSOLIDADO!$B$2:$B$801,$I105))</f>
        <v/>
      </c>
      <c r="D105" s="16" t="str">
        <f aca="false">IF($I105="","",INDEX(CONSOLIDADO!$C$2:$C$801,$I105))</f>
        <v/>
      </c>
      <c r="E105" s="16" t="str">
        <f aca="false">IF($I105="","",INDEX(CONSOLIDADO!$D$2:$D$801,$I105))</f>
        <v/>
      </c>
      <c r="F105" s="14" t="str">
        <f aca="false">IF($I105="","",INDEX(CONSOLIDADO!$E$2:$E$801,$I105))</f>
        <v/>
      </c>
      <c r="G105" s="16" t="str">
        <f aca="false">IF($I105="","",INDEX(CONSOLIDADO!$G$2:$G$801,$I105))</f>
        <v/>
      </c>
      <c r="H105" s="16" t="str">
        <f aca="false">IF($I105="","",INDEX(CONSOLIDADO!$H$2:$H$801,$I105))</f>
        <v/>
      </c>
      <c r="I105" s="11" t="str">
        <f aca="false">IFERROR(MATCH(ROW()-1,CONSOLIDADO!$AJ$2:$AJ$801,0),"")</f>
        <v/>
      </c>
      <c r="J105" s="11" t="str">
        <f aca="false">IF(B105="","",F105&amp;" "&amp;C105&amp;" ("&amp;B105&amp;")")</f>
        <v/>
      </c>
    </row>
    <row r="106" customFormat="false" ht="15" hidden="false" customHeight="false" outlineLevel="0" collapsed="false">
      <c r="A106" s="16"/>
      <c r="B106" s="11" t="str">
        <f aca="false">IF($I106="","",INDEX(CONSOLIDADO!$A$2:$A$801,$I106))</f>
        <v/>
      </c>
      <c r="C106" s="11" t="str">
        <f aca="false">IF($I106="","",INDEX(CONSOLIDADO!$B$2:$B$801,$I106))</f>
        <v/>
      </c>
      <c r="D106" s="16" t="str">
        <f aca="false">IF($I106="","",INDEX(CONSOLIDADO!$C$2:$C$801,$I106))</f>
        <v/>
      </c>
      <c r="E106" s="16" t="str">
        <f aca="false">IF($I106="","",INDEX(CONSOLIDADO!$D$2:$D$801,$I106))</f>
        <v/>
      </c>
      <c r="F106" s="14" t="str">
        <f aca="false">IF($I106="","",INDEX(CONSOLIDADO!$E$2:$E$801,$I106))</f>
        <v/>
      </c>
      <c r="G106" s="16" t="str">
        <f aca="false">IF($I106="","",INDEX(CONSOLIDADO!$G$2:$G$801,$I106))</f>
        <v/>
      </c>
      <c r="H106" s="16" t="str">
        <f aca="false">IF($I106="","",INDEX(CONSOLIDADO!$H$2:$H$801,$I106))</f>
        <v/>
      </c>
      <c r="I106" s="11" t="str">
        <f aca="false">IFERROR(MATCH(ROW()-1,CONSOLIDADO!$AJ$2:$AJ$801,0),"")</f>
        <v/>
      </c>
      <c r="J106" s="11" t="str">
        <f aca="false">IF(B106="","",F106&amp;" "&amp;C106&amp;" ("&amp;B106&amp;")")</f>
        <v/>
      </c>
    </row>
    <row r="107" customFormat="false" ht="15" hidden="false" customHeight="false" outlineLevel="0" collapsed="false">
      <c r="A107" s="16"/>
      <c r="B107" s="11" t="str">
        <f aca="false">IF($I107="","",INDEX(CONSOLIDADO!$A$2:$A$801,$I107))</f>
        <v/>
      </c>
      <c r="C107" s="11" t="str">
        <f aca="false">IF($I107="","",INDEX(CONSOLIDADO!$B$2:$B$801,$I107))</f>
        <v/>
      </c>
      <c r="D107" s="16" t="str">
        <f aca="false">IF($I107="","",INDEX(CONSOLIDADO!$C$2:$C$801,$I107))</f>
        <v/>
      </c>
      <c r="E107" s="16" t="str">
        <f aca="false">IF($I107="","",INDEX(CONSOLIDADO!$D$2:$D$801,$I107))</f>
        <v/>
      </c>
      <c r="F107" s="14" t="str">
        <f aca="false">IF($I107="","",INDEX(CONSOLIDADO!$E$2:$E$801,$I107))</f>
        <v/>
      </c>
      <c r="G107" s="16" t="str">
        <f aca="false">IF($I107="","",INDEX(CONSOLIDADO!$G$2:$G$801,$I107))</f>
        <v/>
      </c>
      <c r="H107" s="16" t="str">
        <f aca="false">IF($I107="","",INDEX(CONSOLIDADO!$H$2:$H$801,$I107))</f>
        <v/>
      </c>
      <c r="I107" s="11" t="str">
        <f aca="false">IFERROR(MATCH(ROW()-1,CONSOLIDADO!$AJ$2:$AJ$801,0),"")</f>
        <v/>
      </c>
      <c r="J107" s="11" t="str">
        <f aca="false">IF(B107="","",F107&amp;" "&amp;C107&amp;" ("&amp;B107&amp;")")</f>
        <v/>
      </c>
    </row>
    <row r="108" customFormat="false" ht="15" hidden="false" customHeight="false" outlineLevel="0" collapsed="false">
      <c r="A108" s="16"/>
      <c r="B108" s="11" t="str">
        <f aca="false">IF($I108="","",INDEX(CONSOLIDADO!$A$2:$A$801,$I108))</f>
        <v/>
      </c>
      <c r="C108" s="11" t="str">
        <f aca="false">IF($I108="","",INDEX(CONSOLIDADO!$B$2:$B$801,$I108))</f>
        <v/>
      </c>
      <c r="D108" s="16" t="str">
        <f aca="false">IF($I108="","",INDEX(CONSOLIDADO!$C$2:$C$801,$I108))</f>
        <v/>
      </c>
      <c r="E108" s="16" t="str">
        <f aca="false">IF($I108="","",INDEX(CONSOLIDADO!$D$2:$D$801,$I108))</f>
        <v/>
      </c>
      <c r="F108" s="14" t="str">
        <f aca="false">IF($I108="","",INDEX(CONSOLIDADO!$E$2:$E$801,$I108))</f>
        <v/>
      </c>
      <c r="G108" s="16" t="str">
        <f aca="false">IF($I108="","",INDEX(CONSOLIDADO!$G$2:$G$801,$I108))</f>
        <v/>
      </c>
      <c r="H108" s="16" t="str">
        <f aca="false">IF($I108="","",INDEX(CONSOLIDADO!$H$2:$H$801,$I108))</f>
        <v/>
      </c>
      <c r="I108" s="11" t="str">
        <f aca="false">IFERROR(MATCH(ROW()-1,CONSOLIDADO!$AJ$2:$AJ$801,0),"")</f>
        <v/>
      </c>
      <c r="J108" s="11" t="str">
        <f aca="false">IF(B108="","",F108&amp;" "&amp;C108&amp;" ("&amp;B108&amp;")")</f>
        <v/>
      </c>
    </row>
    <row r="109" customFormat="false" ht="15" hidden="false" customHeight="false" outlineLevel="0" collapsed="false">
      <c r="A109" s="16"/>
      <c r="B109" s="11" t="str">
        <f aca="false">IF($I109="","",INDEX(CONSOLIDADO!$A$2:$A$801,$I109))</f>
        <v/>
      </c>
      <c r="C109" s="11" t="str">
        <f aca="false">IF($I109="","",INDEX(CONSOLIDADO!$B$2:$B$801,$I109))</f>
        <v/>
      </c>
      <c r="D109" s="16" t="str">
        <f aca="false">IF($I109="","",INDEX(CONSOLIDADO!$C$2:$C$801,$I109))</f>
        <v/>
      </c>
      <c r="E109" s="16" t="str">
        <f aca="false">IF($I109="","",INDEX(CONSOLIDADO!$D$2:$D$801,$I109))</f>
        <v/>
      </c>
      <c r="F109" s="14" t="str">
        <f aca="false">IF($I109="","",INDEX(CONSOLIDADO!$E$2:$E$801,$I109))</f>
        <v/>
      </c>
      <c r="G109" s="16" t="str">
        <f aca="false">IF($I109="","",INDEX(CONSOLIDADO!$G$2:$G$801,$I109))</f>
        <v/>
      </c>
      <c r="H109" s="16" t="str">
        <f aca="false">IF($I109="","",INDEX(CONSOLIDADO!$H$2:$H$801,$I109))</f>
        <v/>
      </c>
      <c r="I109" s="11" t="str">
        <f aca="false">IFERROR(MATCH(ROW()-1,CONSOLIDADO!$AJ$2:$AJ$801,0),"")</f>
        <v/>
      </c>
      <c r="J109" s="11" t="str">
        <f aca="false">IF(B109="","",F109&amp;" "&amp;C109&amp;" ("&amp;B109&amp;")")</f>
        <v/>
      </c>
    </row>
    <row r="110" customFormat="false" ht="15" hidden="false" customHeight="false" outlineLevel="0" collapsed="false">
      <c r="A110" s="16"/>
      <c r="B110" s="11" t="str">
        <f aca="false">IF($I110="","",INDEX(CONSOLIDADO!$A$2:$A$801,$I110))</f>
        <v/>
      </c>
      <c r="C110" s="11" t="str">
        <f aca="false">IF($I110="","",INDEX(CONSOLIDADO!$B$2:$B$801,$I110))</f>
        <v/>
      </c>
      <c r="D110" s="16" t="str">
        <f aca="false">IF($I110="","",INDEX(CONSOLIDADO!$C$2:$C$801,$I110))</f>
        <v/>
      </c>
      <c r="E110" s="16" t="str">
        <f aca="false">IF($I110="","",INDEX(CONSOLIDADO!$D$2:$D$801,$I110))</f>
        <v/>
      </c>
      <c r="F110" s="14" t="str">
        <f aca="false">IF($I110="","",INDEX(CONSOLIDADO!$E$2:$E$801,$I110))</f>
        <v/>
      </c>
      <c r="G110" s="16" t="str">
        <f aca="false">IF($I110="","",INDEX(CONSOLIDADO!$G$2:$G$801,$I110))</f>
        <v/>
      </c>
      <c r="H110" s="16" t="str">
        <f aca="false">IF($I110="","",INDEX(CONSOLIDADO!$H$2:$H$801,$I110))</f>
        <v/>
      </c>
      <c r="I110" s="11" t="str">
        <f aca="false">IFERROR(MATCH(ROW()-1,CONSOLIDADO!$AJ$2:$AJ$801,0),"")</f>
        <v/>
      </c>
      <c r="J110" s="11" t="str">
        <f aca="false">IF(B110="","",F110&amp;" "&amp;C110&amp;" ("&amp;B110&amp;")")</f>
        <v/>
      </c>
    </row>
    <row r="111" customFormat="false" ht="15" hidden="false" customHeight="false" outlineLevel="0" collapsed="false">
      <c r="A111" s="16"/>
      <c r="B111" s="11" t="str">
        <f aca="false">IF($I111="","",INDEX(CONSOLIDADO!$A$2:$A$801,$I111))</f>
        <v/>
      </c>
      <c r="C111" s="11" t="str">
        <f aca="false">IF($I111="","",INDEX(CONSOLIDADO!$B$2:$B$801,$I111))</f>
        <v/>
      </c>
      <c r="D111" s="16" t="str">
        <f aca="false">IF($I111="","",INDEX(CONSOLIDADO!$C$2:$C$801,$I111))</f>
        <v/>
      </c>
      <c r="E111" s="16" t="str">
        <f aca="false">IF($I111="","",INDEX(CONSOLIDADO!$D$2:$D$801,$I111))</f>
        <v/>
      </c>
      <c r="F111" s="14" t="str">
        <f aca="false">IF($I111="","",INDEX(CONSOLIDADO!$E$2:$E$801,$I111))</f>
        <v/>
      </c>
      <c r="G111" s="16" t="str">
        <f aca="false">IF($I111="","",INDEX(CONSOLIDADO!$G$2:$G$801,$I111))</f>
        <v/>
      </c>
      <c r="H111" s="16" t="str">
        <f aca="false">IF($I111="","",INDEX(CONSOLIDADO!$H$2:$H$801,$I111))</f>
        <v/>
      </c>
      <c r="I111" s="11" t="str">
        <f aca="false">IFERROR(MATCH(ROW()-1,CONSOLIDADO!$AJ$2:$AJ$801,0),"")</f>
        <v/>
      </c>
      <c r="J111" s="11" t="str">
        <f aca="false">IF(B111="","",F111&amp;" "&amp;C111&amp;" ("&amp;B111&amp;")")</f>
        <v/>
      </c>
    </row>
    <row r="112" customFormat="false" ht="15" hidden="false" customHeight="false" outlineLevel="0" collapsed="false">
      <c r="A112" s="16"/>
      <c r="B112" s="11" t="str">
        <f aca="false">IF($I112="","",INDEX(CONSOLIDADO!$A$2:$A$801,$I112))</f>
        <v/>
      </c>
      <c r="C112" s="11" t="str">
        <f aca="false">IF($I112="","",INDEX(CONSOLIDADO!$B$2:$B$801,$I112))</f>
        <v/>
      </c>
      <c r="D112" s="16" t="str">
        <f aca="false">IF($I112="","",INDEX(CONSOLIDADO!$C$2:$C$801,$I112))</f>
        <v/>
      </c>
      <c r="E112" s="16" t="str">
        <f aca="false">IF($I112="","",INDEX(CONSOLIDADO!$D$2:$D$801,$I112))</f>
        <v/>
      </c>
      <c r="F112" s="14" t="str">
        <f aca="false">IF($I112="","",INDEX(CONSOLIDADO!$E$2:$E$801,$I112))</f>
        <v/>
      </c>
      <c r="G112" s="16" t="str">
        <f aca="false">IF($I112="","",INDEX(CONSOLIDADO!$G$2:$G$801,$I112))</f>
        <v/>
      </c>
      <c r="H112" s="16" t="str">
        <f aca="false">IF($I112="","",INDEX(CONSOLIDADO!$H$2:$H$801,$I112))</f>
        <v/>
      </c>
      <c r="I112" s="11" t="str">
        <f aca="false">IFERROR(MATCH(ROW()-1,CONSOLIDADO!$AJ$2:$AJ$801,0),"")</f>
        <v/>
      </c>
      <c r="J112" s="11" t="str">
        <f aca="false">IF(B112="","",F112&amp;" "&amp;C112&amp;" ("&amp;B112&amp;")")</f>
        <v/>
      </c>
    </row>
    <row r="113" customFormat="false" ht="15" hidden="false" customHeight="false" outlineLevel="0" collapsed="false">
      <c r="A113" s="16"/>
      <c r="B113" s="11" t="str">
        <f aca="false">IF($I113="","",INDEX(CONSOLIDADO!$A$2:$A$801,$I113))</f>
        <v/>
      </c>
      <c r="C113" s="11" t="str">
        <f aca="false">IF($I113="","",INDEX(CONSOLIDADO!$B$2:$B$801,$I113))</f>
        <v/>
      </c>
      <c r="D113" s="16" t="str">
        <f aca="false">IF($I113="","",INDEX(CONSOLIDADO!$C$2:$C$801,$I113))</f>
        <v/>
      </c>
      <c r="E113" s="16" t="str">
        <f aca="false">IF($I113="","",INDEX(CONSOLIDADO!$D$2:$D$801,$I113))</f>
        <v/>
      </c>
      <c r="F113" s="14" t="str">
        <f aca="false">IF($I113="","",INDEX(CONSOLIDADO!$E$2:$E$801,$I113))</f>
        <v/>
      </c>
      <c r="G113" s="16" t="str">
        <f aca="false">IF($I113="","",INDEX(CONSOLIDADO!$G$2:$G$801,$I113))</f>
        <v/>
      </c>
      <c r="H113" s="16" t="str">
        <f aca="false">IF($I113="","",INDEX(CONSOLIDADO!$H$2:$H$801,$I113))</f>
        <v/>
      </c>
      <c r="I113" s="11" t="str">
        <f aca="false">IFERROR(MATCH(ROW()-1,CONSOLIDADO!$AJ$2:$AJ$801,0),"")</f>
        <v/>
      </c>
      <c r="J113" s="11" t="str">
        <f aca="false">IF(B113="","",F113&amp;" "&amp;C113&amp;" ("&amp;B113&amp;")")</f>
        <v/>
      </c>
    </row>
    <row r="114" customFormat="false" ht="15" hidden="false" customHeight="false" outlineLevel="0" collapsed="false">
      <c r="A114" s="16"/>
      <c r="B114" s="11" t="str">
        <f aca="false">IF($I114="","",INDEX(CONSOLIDADO!$A$2:$A$801,$I114))</f>
        <v/>
      </c>
      <c r="C114" s="11" t="str">
        <f aca="false">IF($I114="","",INDEX(CONSOLIDADO!$B$2:$B$801,$I114))</f>
        <v/>
      </c>
      <c r="D114" s="16" t="str">
        <f aca="false">IF($I114="","",INDEX(CONSOLIDADO!$C$2:$C$801,$I114))</f>
        <v/>
      </c>
      <c r="E114" s="16" t="str">
        <f aca="false">IF($I114="","",INDEX(CONSOLIDADO!$D$2:$D$801,$I114))</f>
        <v/>
      </c>
      <c r="F114" s="14" t="str">
        <f aca="false">IF($I114="","",INDEX(CONSOLIDADO!$E$2:$E$801,$I114))</f>
        <v/>
      </c>
      <c r="G114" s="16" t="str">
        <f aca="false">IF($I114="","",INDEX(CONSOLIDADO!$G$2:$G$801,$I114))</f>
        <v/>
      </c>
      <c r="H114" s="16" t="str">
        <f aca="false">IF($I114="","",INDEX(CONSOLIDADO!$H$2:$H$801,$I114))</f>
        <v/>
      </c>
      <c r="I114" s="11" t="str">
        <f aca="false">IFERROR(MATCH(ROW()-1,CONSOLIDADO!$AJ$2:$AJ$801,0),"")</f>
        <v/>
      </c>
      <c r="J114" s="11" t="str">
        <f aca="false">IF(B114="","",F114&amp;" "&amp;C114&amp;" ("&amp;B114&amp;")")</f>
        <v/>
      </c>
    </row>
    <row r="115" customFormat="false" ht="15" hidden="false" customHeight="false" outlineLevel="0" collapsed="false">
      <c r="A115" s="16"/>
      <c r="B115" s="11" t="str">
        <f aca="false">IF($I115="","",INDEX(CONSOLIDADO!$A$2:$A$801,$I115))</f>
        <v/>
      </c>
      <c r="C115" s="11" t="str">
        <f aca="false">IF($I115="","",INDEX(CONSOLIDADO!$B$2:$B$801,$I115))</f>
        <v/>
      </c>
      <c r="D115" s="16" t="str">
        <f aca="false">IF($I115="","",INDEX(CONSOLIDADO!$C$2:$C$801,$I115))</f>
        <v/>
      </c>
      <c r="E115" s="16" t="str">
        <f aca="false">IF($I115="","",INDEX(CONSOLIDADO!$D$2:$D$801,$I115))</f>
        <v/>
      </c>
      <c r="F115" s="14" t="str">
        <f aca="false">IF($I115="","",INDEX(CONSOLIDADO!$E$2:$E$801,$I115))</f>
        <v/>
      </c>
      <c r="G115" s="16" t="str">
        <f aca="false">IF($I115="","",INDEX(CONSOLIDADO!$G$2:$G$801,$I115))</f>
        <v/>
      </c>
      <c r="H115" s="16" t="str">
        <f aca="false">IF($I115="","",INDEX(CONSOLIDADO!$H$2:$H$801,$I115))</f>
        <v/>
      </c>
      <c r="I115" s="11" t="str">
        <f aca="false">IFERROR(MATCH(ROW()-1,CONSOLIDADO!$AJ$2:$AJ$801,0),"")</f>
        <v/>
      </c>
      <c r="J115" s="11" t="str">
        <f aca="false">IF(B115="","",F115&amp;" "&amp;C115&amp;" ("&amp;B115&amp;")")</f>
        <v/>
      </c>
    </row>
    <row r="116" customFormat="false" ht="15" hidden="false" customHeight="false" outlineLevel="0" collapsed="false">
      <c r="A116" s="16"/>
      <c r="B116" s="11" t="str">
        <f aca="false">IF($I116="","",INDEX(CONSOLIDADO!$A$2:$A$801,$I116))</f>
        <v/>
      </c>
      <c r="C116" s="11" t="str">
        <f aca="false">IF($I116="","",INDEX(CONSOLIDADO!$B$2:$B$801,$I116))</f>
        <v/>
      </c>
      <c r="D116" s="16" t="str">
        <f aca="false">IF($I116="","",INDEX(CONSOLIDADO!$C$2:$C$801,$I116))</f>
        <v/>
      </c>
      <c r="E116" s="16" t="str">
        <f aca="false">IF($I116="","",INDEX(CONSOLIDADO!$D$2:$D$801,$I116))</f>
        <v/>
      </c>
      <c r="F116" s="14" t="str">
        <f aca="false">IF($I116="","",INDEX(CONSOLIDADO!$E$2:$E$801,$I116))</f>
        <v/>
      </c>
      <c r="G116" s="16" t="str">
        <f aca="false">IF($I116="","",INDEX(CONSOLIDADO!$G$2:$G$801,$I116))</f>
        <v/>
      </c>
      <c r="H116" s="16" t="str">
        <f aca="false">IF($I116="","",INDEX(CONSOLIDADO!$H$2:$H$801,$I116))</f>
        <v/>
      </c>
      <c r="I116" s="11" t="str">
        <f aca="false">IFERROR(MATCH(ROW()-1,CONSOLIDADO!$AJ$2:$AJ$801,0),"")</f>
        <v/>
      </c>
      <c r="J116" s="11" t="str">
        <f aca="false">IF(B116="","",F116&amp;" "&amp;C116&amp;" ("&amp;B116&amp;")")</f>
        <v/>
      </c>
    </row>
    <row r="117" customFormat="false" ht="15" hidden="false" customHeight="false" outlineLevel="0" collapsed="false">
      <c r="A117" s="16"/>
      <c r="B117" s="11" t="str">
        <f aca="false">IF($I117="","",INDEX(CONSOLIDADO!$A$2:$A$801,$I117))</f>
        <v/>
      </c>
      <c r="C117" s="11" t="str">
        <f aca="false">IF($I117="","",INDEX(CONSOLIDADO!$B$2:$B$801,$I117))</f>
        <v/>
      </c>
      <c r="D117" s="16" t="str">
        <f aca="false">IF($I117="","",INDEX(CONSOLIDADO!$C$2:$C$801,$I117))</f>
        <v/>
      </c>
      <c r="E117" s="16" t="str">
        <f aca="false">IF($I117="","",INDEX(CONSOLIDADO!$D$2:$D$801,$I117))</f>
        <v/>
      </c>
      <c r="F117" s="14" t="str">
        <f aca="false">IF($I117="","",INDEX(CONSOLIDADO!$E$2:$E$801,$I117))</f>
        <v/>
      </c>
      <c r="G117" s="16" t="str">
        <f aca="false">IF($I117="","",INDEX(CONSOLIDADO!$G$2:$G$801,$I117))</f>
        <v/>
      </c>
      <c r="H117" s="16" t="str">
        <f aca="false">IF($I117="","",INDEX(CONSOLIDADO!$H$2:$H$801,$I117))</f>
        <v/>
      </c>
      <c r="I117" s="11" t="str">
        <f aca="false">IFERROR(MATCH(ROW()-1,CONSOLIDADO!$AJ$2:$AJ$801,0),"")</f>
        <v/>
      </c>
      <c r="J117" s="11" t="str">
        <f aca="false">IF(B117="","",F117&amp;" "&amp;C117&amp;" ("&amp;B117&amp;")")</f>
        <v/>
      </c>
    </row>
    <row r="118" customFormat="false" ht="15" hidden="false" customHeight="false" outlineLevel="0" collapsed="false">
      <c r="A118" s="16"/>
      <c r="B118" s="11" t="str">
        <f aca="false">IF($I118="","",INDEX(CONSOLIDADO!$A$2:$A$801,$I118))</f>
        <v/>
      </c>
      <c r="C118" s="11" t="str">
        <f aca="false">IF($I118="","",INDEX(CONSOLIDADO!$B$2:$B$801,$I118))</f>
        <v/>
      </c>
      <c r="D118" s="16" t="str">
        <f aca="false">IF($I118="","",INDEX(CONSOLIDADO!$C$2:$C$801,$I118))</f>
        <v/>
      </c>
      <c r="E118" s="16" t="str">
        <f aca="false">IF($I118="","",INDEX(CONSOLIDADO!$D$2:$D$801,$I118))</f>
        <v/>
      </c>
      <c r="F118" s="14" t="str">
        <f aca="false">IF($I118="","",INDEX(CONSOLIDADO!$E$2:$E$801,$I118))</f>
        <v/>
      </c>
      <c r="G118" s="16" t="str">
        <f aca="false">IF($I118="","",INDEX(CONSOLIDADO!$G$2:$G$801,$I118))</f>
        <v/>
      </c>
      <c r="H118" s="16" t="str">
        <f aca="false">IF($I118="","",INDEX(CONSOLIDADO!$H$2:$H$801,$I118))</f>
        <v/>
      </c>
      <c r="I118" s="11" t="str">
        <f aca="false">IFERROR(MATCH(ROW()-1,CONSOLIDADO!$AJ$2:$AJ$801,0),"")</f>
        <v/>
      </c>
      <c r="J118" s="11" t="str">
        <f aca="false">IF(B118="","",F118&amp;" "&amp;C118&amp;" ("&amp;B118&amp;")")</f>
        <v/>
      </c>
    </row>
    <row r="119" customFormat="false" ht="15" hidden="false" customHeight="false" outlineLevel="0" collapsed="false">
      <c r="A119" s="16"/>
      <c r="B119" s="11" t="str">
        <f aca="false">IF($I119="","",INDEX(CONSOLIDADO!$A$2:$A$801,$I119))</f>
        <v/>
      </c>
      <c r="C119" s="11" t="str">
        <f aca="false">IF($I119="","",INDEX(CONSOLIDADO!$B$2:$B$801,$I119))</f>
        <v/>
      </c>
      <c r="D119" s="16" t="str">
        <f aca="false">IF($I119="","",INDEX(CONSOLIDADO!$C$2:$C$801,$I119))</f>
        <v/>
      </c>
      <c r="E119" s="16" t="str">
        <f aca="false">IF($I119="","",INDEX(CONSOLIDADO!$D$2:$D$801,$I119))</f>
        <v/>
      </c>
      <c r="F119" s="14" t="str">
        <f aca="false">IF($I119="","",INDEX(CONSOLIDADO!$E$2:$E$801,$I119))</f>
        <v/>
      </c>
      <c r="G119" s="16" t="str">
        <f aca="false">IF($I119="","",INDEX(CONSOLIDADO!$G$2:$G$801,$I119))</f>
        <v/>
      </c>
      <c r="H119" s="16" t="str">
        <f aca="false">IF($I119="","",INDEX(CONSOLIDADO!$H$2:$H$801,$I119))</f>
        <v/>
      </c>
      <c r="I119" s="11" t="str">
        <f aca="false">IFERROR(MATCH(ROW()-1,CONSOLIDADO!$AJ$2:$AJ$801,0),"")</f>
        <v/>
      </c>
      <c r="J119" s="11" t="str">
        <f aca="false">IF(B119="","",F119&amp;" "&amp;C119&amp;" ("&amp;B119&amp;")")</f>
        <v/>
      </c>
    </row>
    <row r="120" customFormat="false" ht="15" hidden="false" customHeight="false" outlineLevel="0" collapsed="false">
      <c r="A120" s="16"/>
      <c r="B120" s="11" t="str">
        <f aca="false">IF($I120="","",INDEX(CONSOLIDADO!$A$2:$A$801,$I120))</f>
        <v/>
      </c>
      <c r="C120" s="11" t="str">
        <f aca="false">IF($I120="","",INDEX(CONSOLIDADO!$B$2:$B$801,$I120))</f>
        <v/>
      </c>
      <c r="D120" s="16" t="str">
        <f aca="false">IF($I120="","",INDEX(CONSOLIDADO!$C$2:$C$801,$I120))</f>
        <v/>
      </c>
      <c r="E120" s="16" t="str">
        <f aca="false">IF($I120="","",INDEX(CONSOLIDADO!$D$2:$D$801,$I120))</f>
        <v/>
      </c>
      <c r="F120" s="14" t="str">
        <f aca="false">IF($I120="","",INDEX(CONSOLIDADO!$E$2:$E$801,$I120))</f>
        <v/>
      </c>
      <c r="G120" s="16" t="str">
        <f aca="false">IF($I120="","",INDEX(CONSOLIDADO!$G$2:$G$801,$I120))</f>
        <v/>
      </c>
      <c r="H120" s="16" t="str">
        <f aca="false">IF($I120="","",INDEX(CONSOLIDADO!$H$2:$H$801,$I120))</f>
        <v/>
      </c>
      <c r="I120" s="11" t="str">
        <f aca="false">IFERROR(MATCH(ROW()-1,CONSOLIDADO!$AJ$2:$AJ$801,0),"")</f>
        <v/>
      </c>
      <c r="J120" s="11" t="str">
        <f aca="false">IF(B120="","",F120&amp;" "&amp;C120&amp;" ("&amp;B120&amp;")")</f>
        <v/>
      </c>
    </row>
    <row r="121" customFormat="false" ht="15" hidden="false" customHeight="false" outlineLevel="0" collapsed="false">
      <c r="A121" s="16"/>
      <c r="B121" s="11" t="str">
        <f aca="false">IF($I121="","",INDEX(CONSOLIDADO!$A$2:$A$801,$I121))</f>
        <v/>
      </c>
      <c r="C121" s="11" t="str">
        <f aca="false">IF($I121="","",INDEX(CONSOLIDADO!$B$2:$B$801,$I121))</f>
        <v/>
      </c>
      <c r="D121" s="16" t="str">
        <f aca="false">IF($I121="","",INDEX(CONSOLIDADO!$C$2:$C$801,$I121))</f>
        <v/>
      </c>
      <c r="E121" s="16" t="str">
        <f aca="false">IF($I121="","",INDEX(CONSOLIDADO!$D$2:$D$801,$I121))</f>
        <v/>
      </c>
      <c r="F121" s="14" t="str">
        <f aca="false">IF($I121="","",INDEX(CONSOLIDADO!$E$2:$E$801,$I121))</f>
        <v/>
      </c>
      <c r="G121" s="16" t="str">
        <f aca="false">IF($I121="","",INDEX(CONSOLIDADO!$G$2:$G$801,$I121))</f>
        <v/>
      </c>
      <c r="H121" s="16" t="str">
        <f aca="false">IF($I121="","",INDEX(CONSOLIDADO!$H$2:$H$801,$I121))</f>
        <v/>
      </c>
      <c r="I121" s="11" t="str">
        <f aca="false">IFERROR(MATCH(ROW()-1,CONSOLIDADO!$AJ$2:$AJ$801,0),"")</f>
        <v/>
      </c>
      <c r="J121" s="11" t="str">
        <f aca="false">IF(B121="","",F121&amp;" "&amp;C121&amp;" ("&amp;B121&amp;")")</f>
        <v/>
      </c>
    </row>
    <row r="122" customFormat="false" ht="15" hidden="false" customHeight="false" outlineLevel="0" collapsed="false">
      <c r="A122" s="16"/>
      <c r="B122" s="11" t="str">
        <f aca="false">IF($I122="","",INDEX(CONSOLIDADO!$A$2:$A$801,$I122))</f>
        <v/>
      </c>
      <c r="C122" s="11" t="str">
        <f aca="false">IF($I122="","",INDEX(CONSOLIDADO!$B$2:$B$801,$I122))</f>
        <v/>
      </c>
      <c r="D122" s="16" t="str">
        <f aca="false">IF($I122="","",INDEX(CONSOLIDADO!$C$2:$C$801,$I122))</f>
        <v/>
      </c>
      <c r="E122" s="16" t="str">
        <f aca="false">IF($I122="","",INDEX(CONSOLIDADO!$D$2:$D$801,$I122))</f>
        <v/>
      </c>
      <c r="F122" s="14" t="str">
        <f aca="false">IF($I122="","",INDEX(CONSOLIDADO!$E$2:$E$801,$I122))</f>
        <v/>
      </c>
      <c r="G122" s="16" t="str">
        <f aca="false">IF($I122="","",INDEX(CONSOLIDADO!$G$2:$G$801,$I122))</f>
        <v/>
      </c>
      <c r="H122" s="16" t="str">
        <f aca="false">IF($I122="","",INDEX(CONSOLIDADO!$H$2:$H$801,$I122))</f>
        <v/>
      </c>
      <c r="I122" s="11" t="str">
        <f aca="false">IFERROR(MATCH(ROW()-1,CONSOLIDADO!$AJ$2:$AJ$801,0),"")</f>
        <v/>
      </c>
      <c r="J122" s="11" t="str">
        <f aca="false">IF(B122="","",F122&amp;" "&amp;C122&amp;" ("&amp;B122&amp;")")</f>
        <v/>
      </c>
    </row>
    <row r="123" customFormat="false" ht="15" hidden="false" customHeight="false" outlineLevel="0" collapsed="false">
      <c r="A123" s="16"/>
      <c r="B123" s="11" t="str">
        <f aca="false">IF($I123="","",INDEX(CONSOLIDADO!$A$2:$A$801,$I123))</f>
        <v/>
      </c>
      <c r="C123" s="11" t="str">
        <f aca="false">IF($I123="","",INDEX(CONSOLIDADO!$B$2:$B$801,$I123))</f>
        <v/>
      </c>
      <c r="D123" s="16" t="str">
        <f aca="false">IF($I123="","",INDEX(CONSOLIDADO!$C$2:$C$801,$I123))</f>
        <v/>
      </c>
      <c r="E123" s="16" t="str">
        <f aca="false">IF($I123="","",INDEX(CONSOLIDADO!$D$2:$D$801,$I123))</f>
        <v/>
      </c>
      <c r="F123" s="14" t="str">
        <f aca="false">IF($I123="","",INDEX(CONSOLIDADO!$E$2:$E$801,$I123))</f>
        <v/>
      </c>
      <c r="G123" s="16" t="str">
        <f aca="false">IF($I123="","",INDEX(CONSOLIDADO!$G$2:$G$801,$I123))</f>
        <v/>
      </c>
      <c r="H123" s="16" t="str">
        <f aca="false">IF($I123="","",INDEX(CONSOLIDADO!$H$2:$H$801,$I123))</f>
        <v/>
      </c>
      <c r="I123" s="11" t="str">
        <f aca="false">IFERROR(MATCH(ROW()-1,CONSOLIDADO!$AJ$2:$AJ$801,0),"")</f>
        <v/>
      </c>
      <c r="J123" s="11" t="str">
        <f aca="false">IF(B123="","",F123&amp;" "&amp;C123&amp;" ("&amp;B123&amp;")")</f>
        <v/>
      </c>
    </row>
    <row r="124" customFormat="false" ht="15" hidden="false" customHeight="false" outlineLevel="0" collapsed="false">
      <c r="A124" s="16"/>
      <c r="B124" s="11" t="str">
        <f aca="false">IF($I124="","",INDEX(CONSOLIDADO!$A$2:$A$801,$I124))</f>
        <v/>
      </c>
      <c r="C124" s="11" t="str">
        <f aca="false">IF($I124="","",INDEX(CONSOLIDADO!$B$2:$B$801,$I124))</f>
        <v/>
      </c>
      <c r="D124" s="16" t="str">
        <f aca="false">IF($I124="","",INDEX(CONSOLIDADO!$C$2:$C$801,$I124))</f>
        <v/>
      </c>
      <c r="E124" s="16" t="str">
        <f aca="false">IF($I124="","",INDEX(CONSOLIDADO!$D$2:$D$801,$I124))</f>
        <v/>
      </c>
      <c r="F124" s="14" t="str">
        <f aca="false">IF($I124="","",INDEX(CONSOLIDADO!$E$2:$E$801,$I124))</f>
        <v/>
      </c>
      <c r="G124" s="16" t="str">
        <f aca="false">IF($I124="","",INDEX(CONSOLIDADO!$G$2:$G$801,$I124))</f>
        <v/>
      </c>
      <c r="H124" s="16" t="str">
        <f aca="false">IF($I124="","",INDEX(CONSOLIDADO!$H$2:$H$801,$I124))</f>
        <v/>
      </c>
      <c r="I124" s="11" t="str">
        <f aca="false">IFERROR(MATCH(ROW()-1,CONSOLIDADO!$AJ$2:$AJ$801,0),"")</f>
        <v/>
      </c>
      <c r="J124" s="11" t="str">
        <f aca="false">IF(B124="","",F124&amp;" "&amp;C124&amp;" ("&amp;B124&amp;")")</f>
        <v/>
      </c>
    </row>
    <row r="125" customFormat="false" ht="15" hidden="false" customHeight="false" outlineLevel="0" collapsed="false">
      <c r="A125" s="16"/>
      <c r="B125" s="11" t="str">
        <f aca="false">IF($I125="","",INDEX(CONSOLIDADO!$A$2:$A$801,$I125))</f>
        <v/>
      </c>
      <c r="C125" s="11" t="str">
        <f aca="false">IF($I125="","",INDEX(CONSOLIDADO!$B$2:$B$801,$I125))</f>
        <v/>
      </c>
      <c r="D125" s="16" t="str">
        <f aca="false">IF($I125="","",INDEX(CONSOLIDADO!$C$2:$C$801,$I125))</f>
        <v/>
      </c>
      <c r="E125" s="16" t="str">
        <f aca="false">IF($I125="","",INDEX(CONSOLIDADO!$D$2:$D$801,$I125))</f>
        <v/>
      </c>
      <c r="F125" s="14" t="str">
        <f aca="false">IF($I125="","",INDEX(CONSOLIDADO!$E$2:$E$801,$I125))</f>
        <v/>
      </c>
      <c r="G125" s="16" t="str">
        <f aca="false">IF($I125="","",INDEX(CONSOLIDADO!$G$2:$G$801,$I125))</f>
        <v/>
      </c>
      <c r="H125" s="16" t="str">
        <f aca="false">IF($I125="","",INDEX(CONSOLIDADO!$H$2:$H$801,$I125))</f>
        <v/>
      </c>
      <c r="I125" s="11" t="str">
        <f aca="false">IFERROR(MATCH(ROW()-1,CONSOLIDADO!$AJ$2:$AJ$801,0),"")</f>
        <v/>
      </c>
      <c r="J125" s="11" t="str">
        <f aca="false">IF(B125="","",F125&amp;" "&amp;C125&amp;" ("&amp;B125&amp;")")</f>
        <v/>
      </c>
    </row>
    <row r="126" customFormat="false" ht="15" hidden="false" customHeight="false" outlineLevel="0" collapsed="false">
      <c r="A126" s="16"/>
      <c r="B126" s="11" t="str">
        <f aca="false">IF($I126="","",INDEX(CONSOLIDADO!$A$2:$A$801,$I126))</f>
        <v/>
      </c>
      <c r="C126" s="11" t="str">
        <f aca="false">IF($I126="","",INDEX(CONSOLIDADO!$B$2:$B$801,$I126))</f>
        <v/>
      </c>
      <c r="D126" s="16" t="str">
        <f aca="false">IF($I126="","",INDEX(CONSOLIDADO!$C$2:$C$801,$I126))</f>
        <v/>
      </c>
      <c r="E126" s="16" t="str">
        <f aca="false">IF($I126="","",INDEX(CONSOLIDADO!$D$2:$D$801,$I126))</f>
        <v/>
      </c>
      <c r="F126" s="14" t="str">
        <f aca="false">IF($I126="","",INDEX(CONSOLIDADO!$E$2:$E$801,$I126))</f>
        <v/>
      </c>
      <c r="G126" s="16" t="str">
        <f aca="false">IF($I126="","",INDEX(CONSOLIDADO!$G$2:$G$801,$I126))</f>
        <v/>
      </c>
      <c r="H126" s="16" t="str">
        <f aca="false">IF($I126="","",INDEX(CONSOLIDADO!$H$2:$H$801,$I126))</f>
        <v/>
      </c>
      <c r="I126" s="11" t="str">
        <f aca="false">IFERROR(MATCH(ROW()-1,CONSOLIDADO!$AJ$2:$AJ$801,0),"")</f>
        <v/>
      </c>
      <c r="J126" s="11" t="str">
        <f aca="false">IF(B126="","",F126&amp;" "&amp;C126&amp;" ("&amp;B126&amp;")")</f>
        <v/>
      </c>
    </row>
    <row r="127" customFormat="false" ht="15" hidden="false" customHeight="false" outlineLevel="0" collapsed="false">
      <c r="A127" s="16"/>
      <c r="B127" s="11" t="str">
        <f aca="false">IF($I127="","",INDEX(CONSOLIDADO!$A$2:$A$801,$I127))</f>
        <v/>
      </c>
      <c r="C127" s="11" t="str">
        <f aca="false">IF($I127="","",INDEX(CONSOLIDADO!$B$2:$B$801,$I127))</f>
        <v/>
      </c>
      <c r="D127" s="16" t="str">
        <f aca="false">IF($I127="","",INDEX(CONSOLIDADO!$C$2:$C$801,$I127))</f>
        <v/>
      </c>
      <c r="E127" s="16" t="str">
        <f aca="false">IF($I127="","",INDEX(CONSOLIDADO!$D$2:$D$801,$I127))</f>
        <v/>
      </c>
      <c r="F127" s="14" t="str">
        <f aca="false">IF($I127="","",INDEX(CONSOLIDADO!$E$2:$E$801,$I127))</f>
        <v/>
      </c>
      <c r="G127" s="16" t="str">
        <f aca="false">IF($I127="","",INDEX(CONSOLIDADO!$G$2:$G$801,$I127))</f>
        <v/>
      </c>
      <c r="H127" s="16" t="str">
        <f aca="false">IF($I127="","",INDEX(CONSOLIDADO!$H$2:$H$801,$I127))</f>
        <v/>
      </c>
      <c r="I127" s="11" t="str">
        <f aca="false">IFERROR(MATCH(ROW()-1,CONSOLIDADO!$AJ$2:$AJ$801,0),"")</f>
        <v/>
      </c>
      <c r="J127" s="11" t="str">
        <f aca="false">IF(B127="","",F127&amp;" "&amp;C127&amp;" ("&amp;B127&amp;")")</f>
        <v/>
      </c>
    </row>
    <row r="128" customFormat="false" ht="15" hidden="false" customHeight="false" outlineLevel="0" collapsed="false">
      <c r="A128" s="16"/>
      <c r="B128" s="11" t="str">
        <f aca="false">IF($I128="","",INDEX(CONSOLIDADO!$A$2:$A$801,$I128))</f>
        <v/>
      </c>
      <c r="C128" s="11" t="str">
        <f aca="false">IF($I128="","",INDEX(CONSOLIDADO!$B$2:$B$801,$I128))</f>
        <v/>
      </c>
      <c r="D128" s="16" t="str">
        <f aca="false">IF($I128="","",INDEX(CONSOLIDADO!$C$2:$C$801,$I128))</f>
        <v/>
      </c>
      <c r="E128" s="16" t="str">
        <f aca="false">IF($I128="","",INDEX(CONSOLIDADO!$D$2:$D$801,$I128))</f>
        <v/>
      </c>
      <c r="F128" s="14" t="str">
        <f aca="false">IF($I128="","",INDEX(CONSOLIDADO!$E$2:$E$801,$I128))</f>
        <v/>
      </c>
      <c r="G128" s="16" t="str">
        <f aca="false">IF($I128="","",INDEX(CONSOLIDADO!$G$2:$G$801,$I128))</f>
        <v/>
      </c>
      <c r="H128" s="16" t="str">
        <f aca="false">IF($I128="","",INDEX(CONSOLIDADO!$H$2:$H$801,$I128))</f>
        <v/>
      </c>
      <c r="I128" s="11" t="str">
        <f aca="false">IFERROR(MATCH(ROW()-1,CONSOLIDADO!$AJ$2:$AJ$801,0),"")</f>
        <v/>
      </c>
      <c r="J128" s="11" t="str">
        <f aca="false">IF(B128="","",F128&amp;" "&amp;C128&amp;" ("&amp;B128&amp;")")</f>
        <v/>
      </c>
    </row>
    <row r="129" customFormat="false" ht="15" hidden="false" customHeight="false" outlineLevel="0" collapsed="false">
      <c r="A129" s="16"/>
      <c r="B129" s="11" t="str">
        <f aca="false">IF($I129="","",INDEX(CONSOLIDADO!$A$2:$A$801,$I129))</f>
        <v/>
      </c>
      <c r="C129" s="11" t="str">
        <f aca="false">IF($I129="","",INDEX(CONSOLIDADO!$B$2:$B$801,$I129))</f>
        <v/>
      </c>
      <c r="D129" s="16" t="str">
        <f aca="false">IF($I129="","",INDEX(CONSOLIDADO!$C$2:$C$801,$I129))</f>
        <v/>
      </c>
      <c r="E129" s="16" t="str">
        <f aca="false">IF($I129="","",INDEX(CONSOLIDADO!$D$2:$D$801,$I129))</f>
        <v/>
      </c>
      <c r="F129" s="14" t="str">
        <f aca="false">IF($I129="","",INDEX(CONSOLIDADO!$E$2:$E$801,$I129))</f>
        <v/>
      </c>
      <c r="G129" s="16" t="str">
        <f aca="false">IF($I129="","",INDEX(CONSOLIDADO!$G$2:$G$801,$I129))</f>
        <v/>
      </c>
      <c r="H129" s="16" t="str">
        <f aca="false">IF($I129="","",INDEX(CONSOLIDADO!$H$2:$H$801,$I129))</f>
        <v/>
      </c>
      <c r="I129" s="11" t="str">
        <f aca="false">IFERROR(MATCH(ROW()-1,CONSOLIDADO!$AJ$2:$AJ$801,0),"")</f>
        <v/>
      </c>
      <c r="J129" s="11" t="str">
        <f aca="false">IF(B129="","",F129&amp;" "&amp;C129&amp;" ("&amp;B129&amp;")")</f>
        <v/>
      </c>
    </row>
    <row r="130" customFormat="false" ht="15" hidden="false" customHeight="false" outlineLevel="0" collapsed="false">
      <c r="A130" s="16"/>
      <c r="B130" s="11" t="str">
        <f aca="false">IF($I130="","",INDEX(CONSOLIDADO!$A$2:$A$801,$I130))</f>
        <v/>
      </c>
      <c r="C130" s="11" t="str">
        <f aca="false">IF($I130="","",INDEX(CONSOLIDADO!$B$2:$B$801,$I130))</f>
        <v/>
      </c>
      <c r="D130" s="16" t="str">
        <f aca="false">IF($I130="","",INDEX(CONSOLIDADO!$C$2:$C$801,$I130))</f>
        <v/>
      </c>
      <c r="E130" s="16" t="str">
        <f aca="false">IF($I130="","",INDEX(CONSOLIDADO!$D$2:$D$801,$I130))</f>
        <v/>
      </c>
      <c r="F130" s="14" t="str">
        <f aca="false">IF($I130="","",INDEX(CONSOLIDADO!$E$2:$E$801,$I130))</f>
        <v/>
      </c>
      <c r="G130" s="16" t="str">
        <f aca="false">IF($I130="","",INDEX(CONSOLIDADO!$G$2:$G$801,$I130))</f>
        <v/>
      </c>
      <c r="H130" s="16" t="str">
        <f aca="false">IF($I130="","",INDEX(CONSOLIDADO!$H$2:$H$801,$I130))</f>
        <v/>
      </c>
      <c r="I130" s="11" t="str">
        <f aca="false">IFERROR(MATCH(ROW()-1,CONSOLIDADO!$AJ$2:$AJ$801,0),"")</f>
        <v/>
      </c>
      <c r="J130" s="11" t="str">
        <f aca="false">IF(B130="","",F130&amp;" "&amp;C130&amp;" ("&amp;B130&amp;")")</f>
        <v/>
      </c>
    </row>
    <row r="131" customFormat="false" ht="15" hidden="false" customHeight="false" outlineLevel="0" collapsed="false">
      <c r="A131" s="16"/>
      <c r="B131" s="11" t="str">
        <f aca="false">IF($I131="","",INDEX(CONSOLIDADO!$A$2:$A$801,$I131))</f>
        <v/>
      </c>
      <c r="C131" s="11" t="str">
        <f aca="false">IF($I131="","",INDEX(CONSOLIDADO!$B$2:$B$801,$I131))</f>
        <v/>
      </c>
      <c r="D131" s="16" t="str">
        <f aca="false">IF($I131="","",INDEX(CONSOLIDADO!$C$2:$C$801,$I131))</f>
        <v/>
      </c>
      <c r="E131" s="16" t="str">
        <f aca="false">IF($I131="","",INDEX(CONSOLIDADO!$D$2:$D$801,$I131))</f>
        <v/>
      </c>
      <c r="F131" s="14" t="str">
        <f aca="false">IF($I131="","",INDEX(CONSOLIDADO!$E$2:$E$801,$I131))</f>
        <v/>
      </c>
      <c r="G131" s="16" t="str">
        <f aca="false">IF($I131="","",INDEX(CONSOLIDADO!$G$2:$G$801,$I131))</f>
        <v/>
      </c>
      <c r="H131" s="16" t="str">
        <f aca="false">IF($I131="","",INDEX(CONSOLIDADO!$H$2:$H$801,$I131))</f>
        <v/>
      </c>
      <c r="I131" s="11" t="str">
        <f aca="false">IFERROR(MATCH(ROW()-1,CONSOLIDADO!$AJ$2:$AJ$801,0),"")</f>
        <v/>
      </c>
      <c r="J131" s="11" t="str">
        <f aca="false">IF(B131="","",F131&amp;" "&amp;C131&amp;" ("&amp;B131&amp;")")</f>
        <v/>
      </c>
    </row>
    <row r="132" customFormat="false" ht="15" hidden="false" customHeight="false" outlineLevel="0" collapsed="false">
      <c r="A132" s="16"/>
      <c r="B132" s="11" t="str">
        <f aca="false">IF($I132="","",INDEX(CONSOLIDADO!$A$2:$A$801,$I132))</f>
        <v/>
      </c>
      <c r="C132" s="11" t="str">
        <f aca="false">IF($I132="","",INDEX(CONSOLIDADO!$B$2:$B$801,$I132))</f>
        <v/>
      </c>
      <c r="D132" s="16" t="str">
        <f aca="false">IF($I132="","",INDEX(CONSOLIDADO!$C$2:$C$801,$I132))</f>
        <v/>
      </c>
      <c r="E132" s="16" t="str">
        <f aca="false">IF($I132="","",INDEX(CONSOLIDADO!$D$2:$D$801,$I132))</f>
        <v/>
      </c>
      <c r="F132" s="14" t="str">
        <f aca="false">IF($I132="","",INDEX(CONSOLIDADO!$E$2:$E$801,$I132))</f>
        <v/>
      </c>
      <c r="G132" s="16" t="str">
        <f aca="false">IF($I132="","",INDEX(CONSOLIDADO!$G$2:$G$801,$I132))</f>
        <v/>
      </c>
      <c r="H132" s="16" t="str">
        <f aca="false">IF($I132="","",INDEX(CONSOLIDADO!$H$2:$H$801,$I132))</f>
        <v/>
      </c>
      <c r="I132" s="11" t="str">
        <f aca="false">IFERROR(MATCH(ROW()-1,CONSOLIDADO!$AJ$2:$AJ$801,0),"")</f>
        <v/>
      </c>
      <c r="J132" s="11" t="str">
        <f aca="false">IF(B132="","",F132&amp;" "&amp;C132&amp;" ("&amp;B132&amp;")")</f>
        <v/>
      </c>
    </row>
    <row r="133" customFormat="false" ht="15" hidden="false" customHeight="false" outlineLevel="0" collapsed="false">
      <c r="A133" s="16"/>
      <c r="B133" s="11" t="str">
        <f aca="false">IF($I133="","",INDEX(CONSOLIDADO!$A$2:$A$801,$I133))</f>
        <v/>
      </c>
      <c r="C133" s="11" t="str">
        <f aca="false">IF($I133="","",INDEX(CONSOLIDADO!$B$2:$B$801,$I133))</f>
        <v/>
      </c>
      <c r="D133" s="16" t="str">
        <f aca="false">IF($I133="","",INDEX(CONSOLIDADO!$C$2:$C$801,$I133))</f>
        <v/>
      </c>
      <c r="E133" s="16" t="str">
        <f aca="false">IF($I133="","",INDEX(CONSOLIDADO!$D$2:$D$801,$I133))</f>
        <v/>
      </c>
      <c r="F133" s="14" t="str">
        <f aca="false">IF($I133="","",INDEX(CONSOLIDADO!$E$2:$E$801,$I133))</f>
        <v/>
      </c>
      <c r="G133" s="16" t="str">
        <f aca="false">IF($I133="","",INDEX(CONSOLIDADO!$G$2:$G$801,$I133))</f>
        <v/>
      </c>
      <c r="H133" s="16" t="str">
        <f aca="false">IF($I133="","",INDEX(CONSOLIDADO!$H$2:$H$801,$I133))</f>
        <v/>
      </c>
      <c r="I133" s="11" t="str">
        <f aca="false">IFERROR(MATCH(ROW()-1,CONSOLIDADO!$AJ$2:$AJ$801,0),"")</f>
        <v/>
      </c>
      <c r="J133" s="11" t="str">
        <f aca="false">IF(B133="","",F133&amp;" "&amp;C133&amp;" ("&amp;B133&amp;")")</f>
        <v/>
      </c>
    </row>
    <row r="134" customFormat="false" ht="15" hidden="false" customHeight="false" outlineLevel="0" collapsed="false">
      <c r="A134" s="16"/>
      <c r="B134" s="11" t="str">
        <f aca="false">IF($I134="","",INDEX(CONSOLIDADO!$A$2:$A$801,$I134))</f>
        <v/>
      </c>
      <c r="C134" s="11" t="str">
        <f aca="false">IF($I134="","",INDEX(CONSOLIDADO!$B$2:$B$801,$I134))</f>
        <v/>
      </c>
      <c r="D134" s="16" t="str">
        <f aca="false">IF($I134="","",INDEX(CONSOLIDADO!$C$2:$C$801,$I134))</f>
        <v/>
      </c>
      <c r="E134" s="16" t="str">
        <f aca="false">IF($I134="","",INDEX(CONSOLIDADO!$D$2:$D$801,$I134))</f>
        <v/>
      </c>
      <c r="F134" s="14" t="str">
        <f aca="false">IF($I134="","",INDEX(CONSOLIDADO!$E$2:$E$801,$I134))</f>
        <v/>
      </c>
      <c r="G134" s="16" t="str">
        <f aca="false">IF($I134="","",INDEX(CONSOLIDADO!$G$2:$G$801,$I134))</f>
        <v/>
      </c>
      <c r="H134" s="16" t="str">
        <f aca="false">IF($I134="","",INDEX(CONSOLIDADO!$H$2:$H$801,$I134))</f>
        <v/>
      </c>
      <c r="I134" s="11" t="str">
        <f aca="false">IFERROR(MATCH(ROW()-1,CONSOLIDADO!$AJ$2:$AJ$801,0),"")</f>
        <v/>
      </c>
      <c r="J134" s="11" t="str">
        <f aca="false">IF(B134="","",F134&amp;" "&amp;C134&amp;" ("&amp;B134&amp;")")</f>
        <v/>
      </c>
    </row>
    <row r="135" customFormat="false" ht="15" hidden="false" customHeight="false" outlineLevel="0" collapsed="false">
      <c r="A135" s="16"/>
      <c r="B135" s="11" t="str">
        <f aca="false">IF($I135="","",INDEX(CONSOLIDADO!$A$2:$A$801,$I135))</f>
        <v/>
      </c>
      <c r="C135" s="11" t="str">
        <f aca="false">IF($I135="","",INDEX(CONSOLIDADO!$B$2:$B$801,$I135))</f>
        <v/>
      </c>
      <c r="D135" s="16" t="str">
        <f aca="false">IF($I135="","",INDEX(CONSOLIDADO!$C$2:$C$801,$I135))</f>
        <v/>
      </c>
      <c r="E135" s="16" t="str">
        <f aca="false">IF($I135="","",INDEX(CONSOLIDADO!$D$2:$D$801,$I135))</f>
        <v/>
      </c>
      <c r="F135" s="14" t="str">
        <f aca="false">IF($I135="","",INDEX(CONSOLIDADO!$E$2:$E$801,$I135))</f>
        <v/>
      </c>
      <c r="G135" s="16" t="str">
        <f aca="false">IF($I135="","",INDEX(CONSOLIDADO!$G$2:$G$801,$I135))</f>
        <v/>
      </c>
      <c r="H135" s="16" t="str">
        <f aca="false">IF($I135="","",INDEX(CONSOLIDADO!$H$2:$H$801,$I135))</f>
        <v/>
      </c>
      <c r="I135" s="11" t="str">
        <f aca="false">IFERROR(MATCH(ROW()-1,CONSOLIDADO!$AJ$2:$AJ$801,0),"")</f>
        <v/>
      </c>
      <c r="J135" s="11" t="str">
        <f aca="false">IF(B135="","",F135&amp;" "&amp;C135&amp;" ("&amp;B135&amp;")")</f>
        <v/>
      </c>
    </row>
    <row r="136" customFormat="false" ht="15" hidden="false" customHeight="false" outlineLevel="0" collapsed="false">
      <c r="A136" s="16"/>
      <c r="B136" s="11" t="str">
        <f aca="false">IF($I136="","",INDEX(CONSOLIDADO!$A$2:$A$801,$I136))</f>
        <v/>
      </c>
      <c r="C136" s="11" t="str">
        <f aca="false">IF($I136="","",INDEX(CONSOLIDADO!$B$2:$B$801,$I136))</f>
        <v/>
      </c>
      <c r="D136" s="16" t="str">
        <f aca="false">IF($I136="","",INDEX(CONSOLIDADO!$C$2:$C$801,$I136))</f>
        <v/>
      </c>
      <c r="E136" s="16" t="str">
        <f aca="false">IF($I136="","",INDEX(CONSOLIDADO!$D$2:$D$801,$I136))</f>
        <v/>
      </c>
      <c r="F136" s="14" t="str">
        <f aca="false">IF($I136="","",INDEX(CONSOLIDADO!$E$2:$E$801,$I136))</f>
        <v/>
      </c>
      <c r="G136" s="16" t="str">
        <f aca="false">IF($I136="","",INDEX(CONSOLIDADO!$G$2:$G$801,$I136))</f>
        <v/>
      </c>
      <c r="H136" s="16" t="str">
        <f aca="false">IF($I136="","",INDEX(CONSOLIDADO!$H$2:$H$801,$I136))</f>
        <v/>
      </c>
      <c r="I136" s="11" t="str">
        <f aca="false">IFERROR(MATCH(ROW()-1,CONSOLIDADO!$AJ$2:$AJ$801,0),"")</f>
        <v/>
      </c>
      <c r="J136" s="11" t="str">
        <f aca="false">IF(B136="","",F136&amp;" "&amp;C136&amp;" ("&amp;B136&amp;")")</f>
        <v/>
      </c>
    </row>
    <row r="137" customFormat="false" ht="15" hidden="false" customHeight="false" outlineLevel="0" collapsed="false">
      <c r="A137" s="16"/>
      <c r="B137" s="11" t="str">
        <f aca="false">IF($I137="","",INDEX(CONSOLIDADO!$A$2:$A$801,$I137))</f>
        <v/>
      </c>
      <c r="C137" s="11" t="str">
        <f aca="false">IF($I137="","",INDEX(CONSOLIDADO!$B$2:$B$801,$I137))</f>
        <v/>
      </c>
      <c r="D137" s="16" t="str">
        <f aca="false">IF($I137="","",INDEX(CONSOLIDADO!$C$2:$C$801,$I137))</f>
        <v/>
      </c>
      <c r="E137" s="16" t="str">
        <f aca="false">IF($I137="","",INDEX(CONSOLIDADO!$D$2:$D$801,$I137))</f>
        <v/>
      </c>
      <c r="F137" s="14" t="str">
        <f aca="false">IF($I137="","",INDEX(CONSOLIDADO!$E$2:$E$801,$I137))</f>
        <v/>
      </c>
      <c r="G137" s="16" t="str">
        <f aca="false">IF($I137="","",INDEX(CONSOLIDADO!$G$2:$G$801,$I137))</f>
        <v/>
      </c>
      <c r="H137" s="16" t="str">
        <f aca="false">IF($I137="","",INDEX(CONSOLIDADO!$H$2:$H$801,$I137))</f>
        <v/>
      </c>
      <c r="I137" s="11" t="str">
        <f aca="false">IFERROR(MATCH(ROW()-1,CONSOLIDADO!$AJ$2:$AJ$801,0),"")</f>
        <v/>
      </c>
      <c r="J137" s="11" t="str">
        <f aca="false">IF(B137="","",F137&amp;" "&amp;C137&amp;" ("&amp;B137&amp;")")</f>
        <v/>
      </c>
    </row>
    <row r="138" customFormat="false" ht="15" hidden="false" customHeight="false" outlineLevel="0" collapsed="false">
      <c r="A138" s="16"/>
      <c r="B138" s="11" t="str">
        <f aca="false">IF($I138="","",INDEX(CONSOLIDADO!$A$2:$A$801,$I138))</f>
        <v/>
      </c>
      <c r="C138" s="11" t="str">
        <f aca="false">IF($I138="","",INDEX(CONSOLIDADO!$B$2:$B$801,$I138))</f>
        <v/>
      </c>
      <c r="D138" s="16" t="str">
        <f aca="false">IF($I138="","",INDEX(CONSOLIDADO!$C$2:$C$801,$I138))</f>
        <v/>
      </c>
      <c r="E138" s="16" t="str">
        <f aca="false">IF($I138="","",INDEX(CONSOLIDADO!$D$2:$D$801,$I138))</f>
        <v/>
      </c>
      <c r="F138" s="14" t="str">
        <f aca="false">IF($I138="","",INDEX(CONSOLIDADO!$E$2:$E$801,$I138))</f>
        <v/>
      </c>
      <c r="G138" s="16" t="str">
        <f aca="false">IF($I138="","",INDEX(CONSOLIDADO!$G$2:$G$801,$I138))</f>
        <v/>
      </c>
      <c r="H138" s="16" t="str">
        <f aca="false">IF($I138="","",INDEX(CONSOLIDADO!$H$2:$H$801,$I138))</f>
        <v/>
      </c>
      <c r="I138" s="11" t="str">
        <f aca="false">IFERROR(MATCH(ROW()-1,CONSOLIDADO!$AJ$2:$AJ$801,0),"")</f>
        <v/>
      </c>
      <c r="J138" s="11" t="str">
        <f aca="false">IF(B138="","",F138&amp;" "&amp;C138&amp;" ("&amp;B138&amp;")")</f>
        <v/>
      </c>
    </row>
    <row r="139" customFormat="false" ht="15" hidden="false" customHeight="false" outlineLevel="0" collapsed="false">
      <c r="A139" s="16"/>
      <c r="B139" s="11" t="str">
        <f aca="false">IF($I139="","",INDEX(CONSOLIDADO!$A$2:$A$801,$I139))</f>
        <v/>
      </c>
      <c r="C139" s="11" t="str">
        <f aca="false">IF($I139="","",INDEX(CONSOLIDADO!$B$2:$B$801,$I139))</f>
        <v/>
      </c>
      <c r="D139" s="16" t="str">
        <f aca="false">IF($I139="","",INDEX(CONSOLIDADO!$C$2:$C$801,$I139))</f>
        <v/>
      </c>
      <c r="E139" s="16" t="str">
        <f aca="false">IF($I139="","",INDEX(CONSOLIDADO!$D$2:$D$801,$I139))</f>
        <v/>
      </c>
      <c r="F139" s="14" t="str">
        <f aca="false">IF($I139="","",INDEX(CONSOLIDADO!$E$2:$E$801,$I139))</f>
        <v/>
      </c>
      <c r="G139" s="16" t="str">
        <f aca="false">IF($I139="","",INDEX(CONSOLIDADO!$G$2:$G$801,$I139))</f>
        <v/>
      </c>
      <c r="H139" s="16" t="str">
        <f aca="false">IF($I139="","",INDEX(CONSOLIDADO!$H$2:$H$801,$I139))</f>
        <v/>
      </c>
      <c r="I139" s="11" t="str">
        <f aca="false">IFERROR(MATCH(ROW()-1,CONSOLIDADO!$AJ$2:$AJ$801,0),"")</f>
        <v/>
      </c>
      <c r="J139" s="11" t="str">
        <f aca="false">IF(B139="","",F139&amp;" "&amp;C139&amp;" ("&amp;B139&amp;")")</f>
        <v/>
      </c>
    </row>
    <row r="140" customFormat="false" ht="15" hidden="false" customHeight="false" outlineLevel="0" collapsed="false">
      <c r="A140" s="16"/>
      <c r="B140" s="11" t="str">
        <f aca="false">IF($I140="","",INDEX(CONSOLIDADO!$A$2:$A$801,$I140))</f>
        <v/>
      </c>
      <c r="C140" s="11" t="str">
        <f aca="false">IF($I140="","",INDEX(CONSOLIDADO!$B$2:$B$801,$I140))</f>
        <v/>
      </c>
      <c r="D140" s="16" t="str">
        <f aca="false">IF($I140="","",INDEX(CONSOLIDADO!$C$2:$C$801,$I140))</f>
        <v/>
      </c>
      <c r="E140" s="16" t="str">
        <f aca="false">IF($I140="","",INDEX(CONSOLIDADO!$D$2:$D$801,$I140))</f>
        <v/>
      </c>
      <c r="F140" s="14" t="str">
        <f aca="false">IF($I140="","",INDEX(CONSOLIDADO!$E$2:$E$801,$I140))</f>
        <v/>
      </c>
      <c r="G140" s="16" t="str">
        <f aca="false">IF($I140="","",INDEX(CONSOLIDADO!$G$2:$G$801,$I140))</f>
        <v/>
      </c>
      <c r="H140" s="16" t="str">
        <f aca="false">IF($I140="","",INDEX(CONSOLIDADO!$H$2:$H$801,$I140))</f>
        <v/>
      </c>
      <c r="I140" s="11" t="str">
        <f aca="false">IFERROR(MATCH(ROW()-1,CONSOLIDADO!$AJ$2:$AJ$801,0),"")</f>
        <v/>
      </c>
      <c r="J140" s="11" t="str">
        <f aca="false">IF(B140="","",F140&amp;" "&amp;C140&amp;" ("&amp;B140&amp;")")</f>
        <v/>
      </c>
    </row>
    <row r="141" customFormat="false" ht="15" hidden="false" customHeight="false" outlineLevel="0" collapsed="false">
      <c r="A141" s="16"/>
      <c r="B141" s="11" t="str">
        <f aca="false">IF($I141="","",INDEX(CONSOLIDADO!$A$2:$A$801,$I141))</f>
        <v/>
      </c>
      <c r="C141" s="11" t="str">
        <f aca="false">IF($I141="","",INDEX(CONSOLIDADO!$B$2:$B$801,$I141))</f>
        <v/>
      </c>
      <c r="D141" s="16" t="str">
        <f aca="false">IF($I141="","",INDEX(CONSOLIDADO!$C$2:$C$801,$I141))</f>
        <v/>
      </c>
      <c r="E141" s="16" t="str">
        <f aca="false">IF($I141="","",INDEX(CONSOLIDADO!$D$2:$D$801,$I141))</f>
        <v/>
      </c>
      <c r="F141" s="14" t="str">
        <f aca="false">IF($I141="","",INDEX(CONSOLIDADO!$E$2:$E$801,$I141))</f>
        <v/>
      </c>
      <c r="G141" s="16" t="str">
        <f aca="false">IF($I141="","",INDEX(CONSOLIDADO!$G$2:$G$801,$I141))</f>
        <v/>
      </c>
      <c r="H141" s="16" t="str">
        <f aca="false">IF($I141="","",INDEX(CONSOLIDADO!$H$2:$H$801,$I141))</f>
        <v/>
      </c>
      <c r="I141" s="11" t="str">
        <f aca="false">IFERROR(MATCH(ROW()-1,CONSOLIDADO!$AJ$2:$AJ$801,0),"")</f>
        <v/>
      </c>
      <c r="J141" s="11" t="str">
        <f aca="false">IF(B141="","",F141&amp;" "&amp;C141&amp;" ("&amp;B141&amp;")")</f>
        <v/>
      </c>
    </row>
    <row r="142" customFormat="false" ht="15" hidden="false" customHeight="false" outlineLevel="0" collapsed="false">
      <c r="A142" s="16"/>
      <c r="B142" s="11" t="str">
        <f aca="false">IF($I142="","",INDEX(CONSOLIDADO!$A$2:$A$801,$I142))</f>
        <v/>
      </c>
      <c r="C142" s="11" t="str">
        <f aca="false">IF($I142="","",INDEX(CONSOLIDADO!$B$2:$B$801,$I142))</f>
        <v/>
      </c>
      <c r="D142" s="16" t="str">
        <f aca="false">IF($I142="","",INDEX(CONSOLIDADO!$C$2:$C$801,$I142))</f>
        <v/>
      </c>
      <c r="E142" s="16" t="str">
        <f aca="false">IF($I142="","",INDEX(CONSOLIDADO!$D$2:$D$801,$I142))</f>
        <v/>
      </c>
      <c r="F142" s="14" t="str">
        <f aca="false">IF($I142="","",INDEX(CONSOLIDADO!$E$2:$E$801,$I142))</f>
        <v/>
      </c>
      <c r="G142" s="16" t="str">
        <f aca="false">IF($I142="","",INDEX(CONSOLIDADO!$G$2:$G$801,$I142))</f>
        <v/>
      </c>
      <c r="H142" s="16" t="str">
        <f aca="false">IF($I142="","",INDEX(CONSOLIDADO!$H$2:$H$801,$I142))</f>
        <v/>
      </c>
      <c r="I142" s="11" t="str">
        <f aca="false">IFERROR(MATCH(ROW()-1,CONSOLIDADO!$AJ$2:$AJ$801,0),"")</f>
        <v/>
      </c>
      <c r="J142" s="11" t="str">
        <f aca="false">IF(B142="","",F142&amp;" "&amp;C142&amp;" ("&amp;B142&amp;")")</f>
        <v/>
      </c>
    </row>
    <row r="143" customFormat="false" ht="15" hidden="false" customHeight="false" outlineLevel="0" collapsed="false">
      <c r="A143" s="16"/>
      <c r="B143" s="11" t="str">
        <f aca="false">IF($I143="","",INDEX(CONSOLIDADO!$A$2:$A$801,$I143))</f>
        <v/>
      </c>
      <c r="C143" s="11" t="str">
        <f aca="false">IF($I143="","",INDEX(CONSOLIDADO!$B$2:$B$801,$I143))</f>
        <v/>
      </c>
      <c r="D143" s="16" t="str">
        <f aca="false">IF($I143="","",INDEX(CONSOLIDADO!$C$2:$C$801,$I143))</f>
        <v/>
      </c>
      <c r="E143" s="16" t="str">
        <f aca="false">IF($I143="","",INDEX(CONSOLIDADO!$D$2:$D$801,$I143))</f>
        <v/>
      </c>
      <c r="F143" s="14" t="str">
        <f aca="false">IF($I143="","",INDEX(CONSOLIDADO!$E$2:$E$801,$I143))</f>
        <v/>
      </c>
      <c r="G143" s="16" t="str">
        <f aca="false">IF($I143="","",INDEX(CONSOLIDADO!$G$2:$G$801,$I143))</f>
        <v/>
      </c>
      <c r="H143" s="16" t="str">
        <f aca="false">IF($I143="","",INDEX(CONSOLIDADO!$H$2:$H$801,$I143))</f>
        <v/>
      </c>
      <c r="I143" s="11" t="str">
        <f aca="false">IFERROR(MATCH(ROW()-1,CONSOLIDADO!$AJ$2:$AJ$801,0),"")</f>
        <v/>
      </c>
      <c r="J143" s="11" t="str">
        <f aca="false">IF(B143="","",F143&amp;" "&amp;C143&amp;" ("&amp;B143&amp;")")</f>
        <v/>
      </c>
    </row>
    <row r="144" customFormat="false" ht="15" hidden="false" customHeight="false" outlineLevel="0" collapsed="false">
      <c r="A144" s="16"/>
      <c r="B144" s="11" t="str">
        <f aca="false">IF($I144="","",INDEX(CONSOLIDADO!$A$2:$A$801,$I144))</f>
        <v/>
      </c>
      <c r="C144" s="11" t="str">
        <f aca="false">IF($I144="","",INDEX(CONSOLIDADO!$B$2:$B$801,$I144))</f>
        <v/>
      </c>
      <c r="D144" s="16" t="str">
        <f aca="false">IF($I144="","",INDEX(CONSOLIDADO!$C$2:$C$801,$I144))</f>
        <v/>
      </c>
      <c r="E144" s="16" t="str">
        <f aca="false">IF($I144="","",INDEX(CONSOLIDADO!$D$2:$D$801,$I144))</f>
        <v/>
      </c>
      <c r="F144" s="14" t="str">
        <f aca="false">IF($I144="","",INDEX(CONSOLIDADO!$E$2:$E$801,$I144))</f>
        <v/>
      </c>
      <c r="G144" s="16" t="str">
        <f aca="false">IF($I144="","",INDEX(CONSOLIDADO!$G$2:$G$801,$I144))</f>
        <v/>
      </c>
      <c r="H144" s="16" t="str">
        <f aca="false">IF($I144="","",INDEX(CONSOLIDADO!$H$2:$H$801,$I144))</f>
        <v/>
      </c>
      <c r="I144" s="11" t="str">
        <f aca="false">IFERROR(MATCH(ROW()-1,CONSOLIDADO!$AJ$2:$AJ$801,0),"")</f>
        <v/>
      </c>
      <c r="J144" s="11" t="str">
        <f aca="false">IF(B144="","",F144&amp;" "&amp;C144&amp;" ("&amp;B144&amp;")")</f>
        <v/>
      </c>
    </row>
    <row r="145" customFormat="false" ht="15" hidden="false" customHeight="false" outlineLevel="0" collapsed="false">
      <c r="A145" s="16"/>
      <c r="B145" s="11" t="str">
        <f aca="false">IF($I145="","",INDEX(CONSOLIDADO!$A$2:$A$801,$I145))</f>
        <v/>
      </c>
      <c r="C145" s="11" t="str">
        <f aca="false">IF($I145="","",INDEX(CONSOLIDADO!$B$2:$B$801,$I145))</f>
        <v/>
      </c>
      <c r="D145" s="16" t="str">
        <f aca="false">IF($I145="","",INDEX(CONSOLIDADO!$C$2:$C$801,$I145))</f>
        <v/>
      </c>
      <c r="E145" s="16" t="str">
        <f aca="false">IF($I145="","",INDEX(CONSOLIDADO!$D$2:$D$801,$I145))</f>
        <v/>
      </c>
      <c r="F145" s="14" t="str">
        <f aca="false">IF($I145="","",INDEX(CONSOLIDADO!$E$2:$E$801,$I145))</f>
        <v/>
      </c>
      <c r="G145" s="16" t="str">
        <f aca="false">IF($I145="","",INDEX(CONSOLIDADO!$G$2:$G$801,$I145))</f>
        <v/>
      </c>
      <c r="H145" s="16" t="str">
        <f aca="false">IF($I145="","",INDEX(CONSOLIDADO!$H$2:$H$801,$I145))</f>
        <v/>
      </c>
      <c r="I145" s="11" t="str">
        <f aca="false">IFERROR(MATCH(ROW()-1,CONSOLIDADO!$AJ$2:$AJ$801,0),"")</f>
        <v/>
      </c>
      <c r="J145" s="11" t="str">
        <f aca="false">IF(B145="","",F145&amp;" "&amp;C145&amp;" ("&amp;B145&amp;")")</f>
        <v/>
      </c>
    </row>
    <row r="146" customFormat="false" ht="15" hidden="false" customHeight="false" outlineLevel="0" collapsed="false">
      <c r="A146" s="16"/>
      <c r="B146" s="11" t="str">
        <f aca="false">IF($I146="","",INDEX(CONSOLIDADO!$A$2:$A$801,$I146))</f>
        <v/>
      </c>
      <c r="C146" s="11" t="str">
        <f aca="false">IF($I146="","",INDEX(CONSOLIDADO!$B$2:$B$801,$I146))</f>
        <v/>
      </c>
      <c r="D146" s="16" t="str">
        <f aca="false">IF($I146="","",INDEX(CONSOLIDADO!$C$2:$C$801,$I146))</f>
        <v/>
      </c>
      <c r="E146" s="16" t="str">
        <f aca="false">IF($I146="","",INDEX(CONSOLIDADO!$D$2:$D$801,$I146))</f>
        <v/>
      </c>
      <c r="F146" s="14" t="str">
        <f aca="false">IF($I146="","",INDEX(CONSOLIDADO!$E$2:$E$801,$I146))</f>
        <v/>
      </c>
      <c r="G146" s="16" t="str">
        <f aca="false">IF($I146="","",INDEX(CONSOLIDADO!$G$2:$G$801,$I146))</f>
        <v/>
      </c>
      <c r="H146" s="16" t="str">
        <f aca="false">IF($I146="","",INDEX(CONSOLIDADO!$H$2:$H$801,$I146))</f>
        <v/>
      </c>
      <c r="I146" s="11" t="str">
        <f aca="false">IFERROR(MATCH(ROW()-1,CONSOLIDADO!$AJ$2:$AJ$801,0),"")</f>
        <v/>
      </c>
      <c r="J146" s="11" t="str">
        <f aca="false">IF(B146="","",F146&amp;" "&amp;C146&amp;" ("&amp;B146&amp;")")</f>
        <v/>
      </c>
    </row>
    <row r="147" customFormat="false" ht="15" hidden="false" customHeight="false" outlineLevel="0" collapsed="false">
      <c r="A147" s="16"/>
      <c r="B147" s="11" t="str">
        <f aca="false">IF($I147="","",INDEX(CONSOLIDADO!$A$2:$A$801,$I147))</f>
        <v/>
      </c>
      <c r="C147" s="11" t="str">
        <f aca="false">IF($I147="","",INDEX(CONSOLIDADO!$B$2:$B$801,$I147))</f>
        <v/>
      </c>
      <c r="D147" s="16" t="str">
        <f aca="false">IF($I147="","",INDEX(CONSOLIDADO!$C$2:$C$801,$I147))</f>
        <v/>
      </c>
      <c r="E147" s="16" t="str">
        <f aca="false">IF($I147="","",INDEX(CONSOLIDADO!$D$2:$D$801,$I147))</f>
        <v/>
      </c>
      <c r="F147" s="14" t="str">
        <f aca="false">IF($I147="","",INDEX(CONSOLIDADO!$E$2:$E$801,$I147))</f>
        <v/>
      </c>
      <c r="G147" s="16" t="str">
        <f aca="false">IF($I147="","",INDEX(CONSOLIDADO!$G$2:$G$801,$I147))</f>
        <v/>
      </c>
      <c r="H147" s="16" t="str">
        <f aca="false">IF($I147="","",INDEX(CONSOLIDADO!$H$2:$H$801,$I147))</f>
        <v/>
      </c>
      <c r="I147" s="11" t="str">
        <f aca="false">IFERROR(MATCH(ROW()-1,CONSOLIDADO!$AJ$2:$AJ$801,0),"")</f>
        <v/>
      </c>
      <c r="J147" s="11" t="str">
        <f aca="false">IF(B147="","",F147&amp;" "&amp;C147&amp;" ("&amp;B147&amp;")")</f>
        <v/>
      </c>
    </row>
    <row r="148" customFormat="false" ht="15" hidden="false" customHeight="false" outlineLevel="0" collapsed="false">
      <c r="A148" s="16"/>
      <c r="B148" s="11" t="str">
        <f aca="false">IF($I148="","",INDEX(CONSOLIDADO!$A$2:$A$801,$I148))</f>
        <v/>
      </c>
      <c r="C148" s="11" t="str">
        <f aca="false">IF($I148="","",INDEX(CONSOLIDADO!$B$2:$B$801,$I148))</f>
        <v/>
      </c>
      <c r="D148" s="16" t="str">
        <f aca="false">IF($I148="","",INDEX(CONSOLIDADO!$C$2:$C$801,$I148))</f>
        <v/>
      </c>
      <c r="E148" s="16" t="str">
        <f aca="false">IF($I148="","",INDEX(CONSOLIDADO!$D$2:$D$801,$I148))</f>
        <v/>
      </c>
      <c r="F148" s="14" t="str">
        <f aca="false">IF($I148="","",INDEX(CONSOLIDADO!$E$2:$E$801,$I148))</f>
        <v/>
      </c>
      <c r="G148" s="16" t="str">
        <f aca="false">IF($I148="","",INDEX(CONSOLIDADO!$G$2:$G$801,$I148))</f>
        <v/>
      </c>
      <c r="H148" s="16" t="str">
        <f aca="false">IF($I148="","",INDEX(CONSOLIDADO!$H$2:$H$801,$I148))</f>
        <v/>
      </c>
      <c r="I148" s="11" t="str">
        <f aca="false">IFERROR(MATCH(ROW()-1,CONSOLIDADO!$AJ$2:$AJ$801,0),"")</f>
        <v/>
      </c>
      <c r="J148" s="11" t="str">
        <f aca="false">IF(B148="","",F148&amp;" "&amp;C148&amp;" ("&amp;B148&amp;")")</f>
        <v/>
      </c>
    </row>
    <row r="149" customFormat="false" ht="15" hidden="false" customHeight="false" outlineLevel="0" collapsed="false">
      <c r="A149" s="16"/>
      <c r="B149" s="11" t="str">
        <f aca="false">IF($I149="","",INDEX(CONSOLIDADO!$A$2:$A$801,$I149))</f>
        <v/>
      </c>
      <c r="C149" s="11" t="str">
        <f aca="false">IF($I149="","",INDEX(CONSOLIDADO!$B$2:$B$801,$I149))</f>
        <v/>
      </c>
      <c r="D149" s="16" t="str">
        <f aca="false">IF($I149="","",INDEX(CONSOLIDADO!$C$2:$C$801,$I149))</f>
        <v/>
      </c>
      <c r="E149" s="16" t="str">
        <f aca="false">IF($I149="","",INDEX(CONSOLIDADO!$D$2:$D$801,$I149))</f>
        <v/>
      </c>
      <c r="F149" s="14" t="str">
        <f aca="false">IF($I149="","",INDEX(CONSOLIDADO!$E$2:$E$801,$I149))</f>
        <v/>
      </c>
      <c r="G149" s="16" t="str">
        <f aca="false">IF($I149="","",INDEX(CONSOLIDADO!$G$2:$G$801,$I149))</f>
        <v/>
      </c>
      <c r="H149" s="16" t="str">
        <f aca="false">IF($I149="","",INDEX(CONSOLIDADO!$H$2:$H$801,$I149))</f>
        <v/>
      </c>
      <c r="I149" s="11" t="str">
        <f aca="false">IFERROR(MATCH(ROW()-1,CONSOLIDADO!$AJ$2:$AJ$801,0),"")</f>
        <v/>
      </c>
      <c r="J149" s="11" t="str">
        <f aca="false">IF(B149="","",F149&amp;" "&amp;C149&amp;" ("&amp;B149&amp;")")</f>
        <v/>
      </c>
    </row>
    <row r="150" customFormat="false" ht="15" hidden="false" customHeight="false" outlineLevel="0" collapsed="false">
      <c r="A150" s="16"/>
      <c r="B150" s="11" t="str">
        <f aca="false">IF($I150="","",INDEX(CONSOLIDADO!$A$2:$A$801,$I150))</f>
        <v/>
      </c>
      <c r="C150" s="11" t="str">
        <f aca="false">IF($I150="","",INDEX(CONSOLIDADO!$B$2:$B$801,$I150))</f>
        <v/>
      </c>
      <c r="D150" s="16" t="str">
        <f aca="false">IF($I150="","",INDEX(CONSOLIDADO!$C$2:$C$801,$I150))</f>
        <v/>
      </c>
      <c r="E150" s="16" t="str">
        <f aca="false">IF($I150="","",INDEX(CONSOLIDADO!$D$2:$D$801,$I150))</f>
        <v/>
      </c>
      <c r="F150" s="14" t="str">
        <f aca="false">IF($I150="","",INDEX(CONSOLIDADO!$E$2:$E$801,$I150))</f>
        <v/>
      </c>
      <c r="G150" s="16" t="str">
        <f aca="false">IF($I150="","",INDEX(CONSOLIDADO!$G$2:$G$801,$I150))</f>
        <v/>
      </c>
      <c r="H150" s="16" t="str">
        <f aca="false">IF($I150="","",INDEX(CONSOLIDADO!$H$2:$H$801,$I150))</f>
        <v/>
      </c>
      <c r="I150" s="11" t="str">
        <f aca="false">IFERROR(MATCH(ROW()-1,CONSOLIDADO!$AJ$2:$AJ$801,0),"")</f>
        <v/>
      </c>
      <c r="J150" s="11" t="str">
        <f aca="false">IF(B150="","",F150&amp;" "&amp;C150&amp;" ("&amp;B150&amp;")")</f>
        <v/>
      </c>
    </row>
    <row r="151" customFormat="false" ht="15" hidden="false" customHeight="false" outlineLevel="0" collapsed="false">
      <c r="A151" s="16"/>
      <c r="B151" s="11" t="str">
        <f aca="false">IF($I151="","",INDEX(CONSOLIDADO!$A$2:$A$801,$I151))</f>
        <v/>
      </c>
      <c r="C151" s="11" t="str">
        <f aca="false">IF($I151="","",INDEX(CONSOLIDADO!$B$2:$B$801,$I151))</f>
        <v/>
      </c>
      <c r="D151" s="16" t="str">
        <f aca="false">IF($I151="","",INDEX(CONSOLIDADO!$C$2:$C$801,$I151))</f>
        <v/>
      </c>
      <c r="E151" s="16" t="str">
        <f aca="false">IF($I151="","",INDEX(CONSOLIDADO!$D$2:$D$801,$I151))</f>
        <v/>
      </c>
      <c r="F151" s="14" t="str">
        <f aca="false">IF($I151="","",INDEX(CONSOLIDADO!$E$2:$E$801,$I151))</f>
        <v/>
      </c>
      <c r="G151" s="16" t="str">
        <f aca="false">IF($I151="","",INDEX(CONSOLIDADO!$G$2:$G$801,$I151))</f>
        <v/>
      </c>
      <c r="H151" s="16" t="str">
        <f aca="false">IF($I151="","",INDEX(CONSOLIDADO!$H$2:$H$801,$I151))</f>
        <v/>
      </c>
      <c r="I151" s="11" t="str">
        <f aca="false">IFERROR(MATCH(ROW()-1,CONSOLIDADO!$AJ$2:$AJ$801,0),"")</f>
        <v/>
      </c>
      <c r="J151" s="11" t="str">
        <f aca="false">IF(B151="","",F151&amp;" "&amp;C151&amp;" ("&amp;B151&amp;")")</f>
        <v/>
      </c>
    </row>
    <row r="152" customFormat="false" ht="15" hidden="false" customHeight="false" outlineLevel="0" collapsed="false">
      <c r="A152" s="16"/>
      <c r="B152" s="11" t="str">
        <f aca="false">IF($I152="","",INDEX(CONSOLIDADO!$A$2:$A$801,$I152))</f>
        <v/>
      </c>
      <c r="C152" s="11" t="str">
        <f aca="false">IF($I152="","",INDEX(CONSOLIDADO!$B$2:$B$801,$I152))</f>
        <v/>
      </c>
      <c r="D152" s="16" t="str">
        <f aca="false">IF($I152="","",INDEX(CONSOLIDADO!$C$2:$C$801,$I152))</f>
        <v/>
      </c>
      <c r="E152" s="16" t="str">
        <f aca="false">IF($I152="","",INDEX(CONSOLIDADO!$D$2:$D$801,$I152))</f>
        <v/>
      </c>
      <c r="F152" s="14" t="str">
        <f aca="false">IF($I152="","",INDEX(CONSOLIDADO!$E$2:$E$801,$I152))</f>
        <v/>
      </c>
      <c r="G152" s="16" t="str">
        <f aca="false">IF($I152="","",INDEX(CONSOLIDADO!$G$2:$G$801,$I152))</f>
        <v/>
      </c>
      <c r="H152" s="16" t="str">
        <f aca="false">IF($I152="","",INDEX(CONSOLIDADO!$H$2:$H$801,$I152))</f>
        <v/>
      </c>
      <c r="I152" s="11" t="str">
        <f aca="false">IFERROR(MATCH(ROW()-1,CONSOLIDADO!$AJ$2:$AJ$801,0),"")</f>
        <v/>
      </c>
      <c r="J152" s="11" t="str">
        <f aca="false">IF(B152="","",F152&amp;" "&amp;C152&amp;" ("&amp;B152&amp;")")</f>
        <v/>
      </c>
    </row>
    <row r="153" customFormat="false" ht="15" hidden="false" customHeight="false" outlineLevel="0" collapsed="false">
      <c r="A153" s="16"/>
      <c r="B153" s="11" t="str">
        <f aca="false">IF($I153="","",INDEX(CONSOLIDADO!$A$2:$A$801,$I153))</f>
        <v/>
      </c>
      <c r="C153" s="11" t="str">
        <f aca="false">IF($I153="","",INDEX(CONSOLIDADO!$B$2:$B$801,$I153))</f>
        <v/>
      </c>
      <c r="D153" s="16" t="str">
        <f aca="false">IF($I153="","",INDEX(CONSOLIDADO!$C$2:$C$801,$I153))</f>
        <v/>
      </c>
      <c r="E153" s="16" t="str">
        <f aca="false">IF($I153="","",INDEX(CONSOLIDADO!$D$2:$D$801,$I153))</f>
        <v/>
      </c>
      <c r="F153" s="14" t="str">
        <f aca="false">IF($I153="","",INDEX(CONSOLIDADO!$E$2:$E$801,$I153))</f>
        <v/>
      </c>
      <c r="G153" s="16" t="str">
        <f aca="false">IF($I153="","",INDEX(CONSOLIDADO!$G$2:$G$801,$I153))</f>
        <v/>
      </c>
      <c r="H153" s="16" t="str">
        <f aca="false">IF($I153="","",INDEX(CONSOLIDADO!$H$2:$H$801,$I153))</f>
        <v/>
      </c>
      <c r="I153" s="11" t="str">
        <f aca="false">IFERROR(MATCH(ROW()-1,CONSOLIDADO!$AJ$2:$AJ$801,0),"")</f>
        <v/>
      </c>
      <c r="J153" s="11" t="str">
        <f aca="false">IF(B153="","",F153&amp;" "&amp;C153&amp;" ("&amp;B153&amp;")")</f>
        <v/>
      </c>
    </row>
    <row r="154" customFormat="false" ht="15" hidden="false" customHeight="false" outlineLevel="0" collapsed="false">
      <c r="A154" s="16"/>
      <c r="B154" s="11" t="str">
        <f aca="false">IF($I154="","",INDEX(CONSOLIDADO!$A$2:$A$801,$I154))</f>
        <v/>
      </c>
      <c r="C154" s="11" t="str">
        <f aca="false">IF($I154="","",INDEX(CONSOLIDADO!$B$2:$B$801,$I154))</f>
        <v/>
      </c>
      <c r="D154" s="16" t="str">
        <f aca="false">IF($I154="","",INDEX(CONSOLIDADO!$C$2:$C$801,$I154))</f>
        <v/>
      </c>
      <c r="E154" s="16" t="str">
        <f aca="false">IF($I154="","",INDEX(CONSOLIDADO!$D$2:$D$801,$I154))</f>
        <v/>
      </c>
      <c r="F154" s="14" t="str">
        <f aca="false">IF($I154="","",INDEX(CONSOLIDADO!$E$2:$E$801,$I154))</f>
        <v/>
      </c>
      <c r="G154" s="16" t="str">
        <f aca="false">IF($I154="","",INDEX(CONSOLIDADO!$G$2:$G$801,$I154))</f>
        <v/>
      </c>
      <c r="H154" s="16" t="str">
        <f aca="false">IF($I154="","",INDEX(CONSOLIDADO!$H$2:$H$801,$I154))</f>
        <v/>
      </c>
      <c r="I154" s="11" t="str">
        <f aca="false">IFERROR(MATCH(ROW()-1,CONSOLIDADO!$AJ$2:$AJ$801,0),"")</f>
        <v/>
      </c>
      <c r="J154" s="11" t="str">
        <f aca="false">IF(B154="","",F154&amp;" "&amp;C154&amp;" ("&amp;B154&amp;")")</f>
        <v/>
      </c>
    </row>
    <row r="155" customFormat="false" ht="15" hidden="false" customHeight="false" outlineLevel="0" collapsed="false">
      <c r="A155" s="16"/>
      <c r="B155" s="11" t="str">
        <f aca="false">IF($I155="","",INDEX(CONSOLIDADO!$A$2:$A$801,$I155))</f>
        <v/>
      </c>
      <c r="C155" s="11" t="str">
        <f aca="false">IF($I155="","",INDEX(CONSOLIDADO!$B$2:$B$801,$I155))</f>
        <v/>
      </c>
      <c r="D155" s="16" t="str">
        <f aca="false">IF($I155="","",INDEX(CONSOLIDADO!$C$2:$C$801,$I155))</f>
        <v/>
      </c>
      <c r="E155" s="16" t="str">
        <f aca="false">IF($I155="","",INDEX(CONSOLIDADO!$D$2:$D$801,$I155))</f>
        <v/>
      </c>
      <c r="F155" s="14" t="str">
        <f aca="false">IF($I155="","",INDEX(CONSOLIDADO!$E$2:$E$801,$I155))</f>
        <v/>
      </c>
      <c r="G155" s="16" t="str">
        <f aca="false">IF($I155="","",INDEX(CONSOLIDADO!$G$2:$G$801,$I155))</f>
        <v/>
      </c>
      <c r="H155" s="16" t="str">
        <f aca="false">IF($I155="","",INDEX(CONSOLIDADO!$H$2:$H$801,$I155))</f>
        <v/>
      </c>
      <c r="I155" s="11" t="str">
        <f aca="false">IFERROR(MATCH(ROW()-1,CONSOLIDADO!$AJ$2:$AJ$801,0),"")</f>
        <v/>
      </c>
      <c r="J155" s="11" t="str">
        <f aca="false">IF(B155="","",F155&amp;" "&amp;C155&amp;" ("&amp;B155&amp;")")</f>
        <v/>
      </c>
    </row>
    <row r="156" customFormat="false" ht="15" hidden="false" customHeight="false" outlineLevel="0" collapsed="false">
      <c r="A156" s="16"/>
      <c r="B156" s="11" t="str">
        <f aca="false">IF($I156="","",INDEX(CONSOLIDADO!$A$2:$A$801,$I156))</f>
        <v/>
      </c>
      <c r="C156" s="11" t="str">
        <f aca="false">IF($I156="","",INDEX(CONSOLIDADO!$B$2:$B$801,$I156))</f>
        <v/>
      </c>
      <c r="D156" s="16" t="str">
        <f aca="false">IF($I156="","",INDEX(CONSOLIDADO!$C$2:$C$801,$I156))</f>
        <v/>
      </c>
      <c r="E156" s="16" t="str">
        <f aca="false">IF($I156="","",INDEX(CONSOLIDADO!$D$2:$D$801,$I156))</f>
        <v/>
      </c>
      <c r="F156" s="14" t="str">
        <f aca="false">IF($I156="","",INDEX(CONSOLIDADO!$E$2:$E$801,$I156))</f>
        <v/>
      </c>
      <c r="G156" s="16" t="str">
        <f aca="false">IF($I156="","",INDEX(CONSOLIDADO!$G$2:$G$801,$I156))</f>
        <v/>
      </c>
      <c r="H156" s="16" t="str">
        <f aca="false">IF($I156="","",INDEX(CONSOLIDADO!$H$2:$H$801,$I156))</f>
        <v/>
      </c>
      <c r="I156" s="11" t="str">
        <f aca="false">IFERROR(MATCH(ROW()-1,CONSOLIDADO!$AJ$2:$AJ$801,0),"")</f>
        <v/>
      </c>
      <c r="J156" s="11" t="str">
        <f aca="false">IF(B156="","",F156&amp;" "&amp;C156&amp;" ("&amp;B156&amp;")")</f>
        <v/>
      </c>
    </row>
    <row r="157" customFormat="false" ht="15" hidden="false" customHeight="false" outlineLevel="0" collapsed="false">
      <c r="A157" s="16"/>
      <c r="B157" s="11" t="str">
        <f aca="false">IF($I157="","",INDEX(CONSOLIDADO!$A$2:$A$801,$I157))</f>
        <v/>
      </c>
      <c r="C157" s="11" t="str">
        <f aca="false">IF($I157="","",INDEX(CONSOLIDADO!$B$2:$B$801,$I157))</f>
        <v/>
      </c>
      <c r="D157" s="16" t="str">
        <f aca="false">IF($I157="","",INDEX(CONSOLIDADO!$C$2:$C$801,$I157))</f>
        <v/>
      </c>
      <c r="E157" s="16" t="str">
        <f aca="false">IF($I157="","",INDEX(CONSOLIDADO!$D$2:$D$801,$I157))</f>
        <v/>
      </c>
      <c r="F157" s="14" t="str">
        <f aca="false">IF($I157="","",INDEX(CONSOLIDADO!$E$2:$E$801,$I157))</f>
        <v/>
      </c>
      <c r="G157" s="16" t="str">
        <f aca="false">IF($I157="","",INDEX(CONSOLIDADO!$G$2:$G$801,$I157))</f>
        <v/>
      </c>
      <c r="H157" s="16" t="str">
        <f aca="false">IF($I157="","",INDEX(CONSOLIDADO!$H$2:$H$801,$I157))</f>
        <v/>
      </c>
      <c r="I157" s="11" t="str">
        <f aca="false">IFERROR(MATCH(ROW()-1,CONSOLIDADO!$AJ$2:$AJ$801,0),"")</f>
        <v/>
      </c>
      <c r="J157" s="11" t="str">
        <f aca="false">IF(B157="","",F157&amp;" "&amp;C157&amp;" ("&amp;B157&amp;")")</f>
        <v/>
      </c>
    </row>
    <row r="158" customFormat="false" ht="15" hidden="false" customHeight="false" outlineLevel="0" collapsed="false">
      <c r="A158" s="16"/>
      <c r="B158" s="11" t="str">
        <f aca="false">IF($I158="","",INDEX(CONSOLIDADO!$A$2:$A$801,$I158))</f>
        <v/>
      </c>
      <c r="C158" s="11" t="str">
        <f aca="false">IF($I158="","",INDEX(CONSOLIDADO!$B$2:$B$801,$I158))</f>
        <v/>
      </c>
      <c r="D158" s="16" t="str">
        <f aca="false">IF($I158="","",INDEX(CONSOLIDADO!$C$2:$C$801,$I158))</f>
        <v/>
      </c>
      <c r="E158" s="16" t="str">
        <f aca="false">IF($I158="","",INDEX(CONSOLIDADO!$D$2:$D$801,$I158))</f>
        <v/>
      </c>
      <c r="F158" s="14" t="str">
        <f aca="false">IF($I158="","",INDEX(CONSOLIDADO!$E$2:$E$801,$I158))</f>
        <v/>
      </c>
      <c r="G158" s="16" t="str">
        <f aca="false">IF($I158="","",INDEX(CONSOLIDADO!$G$2:$G$801,$I158))</f>
        <v/>
      </c>
      <c r="H158" s="16" t="str">
        <f aca="false">IF($I158="","",INDEX(CONSOLIDADO!$H$2:$H$801,$I158))</f>
        <v/>
      </c>
      <c r="I158" s="11" t="str">
        <f aca="false">IFERROR(MATCH(ROW()-1,CONSOLIDADO!$AJ$2:$AJ$801,0),"")</f>
        <v/>
      </c>
      <c r="J158" s="11" t="str">
        <f aca="false">IF(B158="","",F158&amp;" "&amp;C158&amp;" ("&amp;B158&amp;")")</f>
        <v/>
      </c>
    </row>
    <row r="159" customFormat="false" ht="15" hidden="false" customHeight="false" outlineLevel="0" collapsed="false">
      <c r="A159" s="16"/>
      <c r="B159" s="11" t="str">
        <f aca="false">IF($I159="","",INDEX(CONSOLIDADO!$A$2:$A$801,$I159))</f>
        <v/>
      </c>
      <c r="C159" s="11" t="str">
        <f aca="false">IF($I159="","",INDEX(CONSOLIDADO!$B$2:$B$801,$I159))</f>
        <v/>
      </c>
      <c r="D159" s="16" t="str">
        <f aca="false">IF($I159="","",INDEX(CONSOLIDADO!$C$2:$C$801,$I159))</f>
        <v/>
      </c>
      <c r="E159" s="16" t="str">
        <f aca="false">IF($I159="","",INDEX(CONSOLIDADO!$D$2:$D$801,$I159))</f>
        <v/>
      </c>
      <c r="F159" s="14" t="str">
        <f aca="false">IF($I159="","",INDEX(CONSOLIDADO!$E$2:$E$801,$I159))</f>
        <v/>
      </c>
      <c r="G159" s="16" t="str">
        <f aca="false">IF($I159="","",INDEX(CONSOLIDADO!$G$2:$G$801,$I159))</f>
        <v/>
      </c>
      <c r="H159" s="16" t="str">
        <f aca="false">IF($I159="","",INDEX(CONSOLIDADO!$H$2:$H$801,$I159))</f>
        <v/>
      </c>
      <c r="I159" s="11" t="str">
        <f aca="false">IFERROR(MATCH(ROW()-1,CONSOLIDADO!$AJ$2:$AJ$801,0),"")</f>
        <v/>
      </c>
      <c r="J159" s="11" t="str">
        <f aca="false">IF(B159="","",F159&amp;" "&amp;C159&amp;" ("&amp;B159&amp;")")</f>
        <v/>
      </c>
    </row>
    <row r="160" customFormat="false" ht="15" hidden="false" customHeight="false" outlineLevel="0" collapsed="false">
      <c r="A160" s="16"/>
      <c r="B160" s="11" t="str">
        <f aca="false">IF($I160="","",INDEX(CONSOLIDADO!$A$2:$A$801,$I160))</f>
        <v/>
      </c>
      <c r="C160" s="11" t="str">
        <f aca="false">IF($I160="","",INDEX(CONSOLIDADO!$B$2:$B$801,$I160))</f>
        <v/>
      </c>
      <c r="D160" s="16" t="str">
        <f aca="false">IF($I160="","",INDEX(CONSOLIDADO!$C$2:$C$801,$I160))</f>
        <v/>
      </c>
      <c r="E160" s="16" t="str">
        <f aca="false">IF($I160="","",INDEX(CONSOLIDADO!$D$2:$D$801,$I160))</f>
        <v/>
      </c>
      <c r="F160" s="14" t="str">
        <f aca="false">IF($I160="","",INDEX(CONSOLIDADO!$E$2:$E$801,$I160))</f>
        <v/>
      </c>
      <c r="G160" s="16" t="str">
        <f aca="false">IF($I160="","",INDEX(CONSOLIDADO!$G$2:$G$801,$I160))</f>
        <v/>
      </c>
      <c r="H160" s="16" t="str">
        <f aca="false">IF($I160="","",INDEX(CONSOLIDADO!$H$2:$H$801,$I160))</f>
        <v/>
      </c>
      <c r="I160" s="11" t="str">
        <f aca="false">IFERROR(MATCH(ROW()-1,CONSOLIDADO!$AJ$2:$AJ$801,0),"")</f>
        <v/>
      </c>
      <c r="J160" s="11" t="str">
        <f aca="false">IF(B160="","",F160&amp;" "&amp;C160&amp;" ("&amp;B160&amp;")")</f>
        <v/>
      </c>
    </row>
    <row r="161" customFormat="false" ht="15" hidden="false" customHeight="false" outlineLevel="0" collapsed="false">
      <c r="A161" s="16"/>
      <c r="B161" s="11" t="str">
        <f aca="false">IF($I161="","",INDEX(CONSOLIDADO!$A$2:$A$801,$I161))</f>
        <v/>
      </c>
      <c r="C161" s="11" t="str">
        <f aca="false">IF($I161="","",INDEX(CONSOLIDADO!$B$2:$B$801,$I161))</f>
        <v/>
      </c>
      <c r="D161" s="16" t="str">
        <f aca="false">IF($I161="","",INDEX(CONSOLIDADO!$C$2:$C$801,$I161))</f>
        <v/>
      </c>
      <c r="E161" s="16" t="str">
        <f aca="false">IF($I161="","",INDEX(CONSOLIDADO!$D$2:$D$801,$I161))</f>
        <v/>
      </c>
      <c r="F161" s="14" t="str">
        <f aca="false">IF($I161="","",INDEX(CONSOLIDADO!$E$2:$E$801,$I161))</f>
        <v/>
      </c>
      <c r="G161" s="16" t="str">
        <f aca="false">IF($I161="","",INDEX(CONSOLIDADO!$G$2:$G$801,$I161))</f>
        <v/>
      </c>
      <c r="H161" s="16" t="str">
        <f aca="false">IF($I161="","",INDEX(CONSOLIDADO!$H$2:$H$801,$I161))</f>
        <v/>
      </c>
      <c r="I161" s="11" t="str">
        <f aca="false">IFERROR(MATCH(ROW()-1,CONSOLIDADO!$AJ$2:$AJ$801,0),"")</f>
        <v/>
      </c>
      <c r="J161" s="11" t="str">
        <f aca="false">IF(B161="","",F161&amp;" "&amp;C161&amp;" ("&amp;B161&amp;")")</f>
        <v/>
      </c>
    </row>
    <row r="162" customFormat="false" ht="15" hidden="false" customHeight="false" outlineLevel="0" collapsed="false">
      <c r="A162" s="16"/>
      <c r="B162" s="11" t="str">
        <f aca="false">IF($I162="","",INDEX(CONSOLIDADO!$A$2:$A$801,$I162))</f>
        <v/>
      </c>
      <c r="C162" s="11" t="str">
        <f aca="false">IF($I162="","",INDEX(CONSOLIDADO!$B$2:$B$801,$I162))</f>
        <v/>
      </c>
      <c r="D162" s="16" t="str">
        <f aca="false">IF($I162="","",INDEX(CONSOLIDADO!$C$2:$C$801,$I162))</f>
        <v/>
      </c>
      <c r="E162" s="16" t="str">
        <f aca="false">IF($I162="","",INDEX(CONSOLIDADO!$D$2:$D$801,$I162))</f>
        <v/>
      </c>
      <c r="F162" s="14" t="str">
        <f aca="false">IF($I162="","",INDEX(CONSOLIDADO!$E$2:$E$801,$I162))</f>
        <v/>
      </c>
      <c r="G162" s="16" t="str">
        <f aca="false">IF($I162="","",INDEX(CONSOLIDADO!$G$2:$G$801,$I162))</f>
        <v/>
      </c>
      <c r="H162" s="16" t="str">
        <f aca="false">IF($I162="","",INDEX(CONSOLIDADO!$H$2:$H$801,$I162))</f>
        <v/>
      </c>
      <c r="I162" s="11" t="str">
        <f aca="false">IFERROR(MATCH(ROW()-1,CONSOLIDADO!$AJ$2:$AJ$801,0),"")</f>
        <v/>
      </c>
      <c r="J162" s="11" t="str">
        <f aca="false">IF(B162="","",F162&amp;" "&amp;C162&amp;" ("&amp;B162&amp;")")</f>
        <v/>
      </c>
    </row>
    <row r="163" customFormat="false" ht="15" hidden="false" customHeight="false" outlineLevel="0" collapsed="false">
      <c r="A163" s="16"/>
      <c r="B163" s="11" t="str">
        <f aca="false">IF($I163="","",INDEX(CONSOLIDADO!$A$2:$A$801,$I163))</f>
        <v/>
      </c>
      <c r="C163" s="11" t="str">
        <f aca="false">IF($I163="","",INDEX(CONSOLIDADO!$B$2:$B$801,$I163))</f>
        <v/>
      </c>
      <c r="D163" s="16" t="str">
        <f aca="false">IF($I163="","",INDEX(CONSOLIDADO!$C$2:$C$801,$I163))</f>
        <v/>
      </c>
      <c r="E163" s="16" t="str">
        <f aca="false">IF($I163="","",INDEX(CONSOLIDADO!$D$2:$D$801,$I163))</f>
        <v/>
      </c>
      <c r="F163" s="14" t="str">
        <f aca="false">IF($I163="","",INDEX(CONSOLIDADO!$E$2:$E$801,$I163))</f>
        <v/>
      </c>
      <c r="G163" s="16" t="str">
        <f aca="false">IF($I163="","",INDEX(CONSOLIDADO!$G$2:$G$801,$I163))</f>
        <v/>
      </c>
      <c r="H163" s="16" t="str">
        <f aca="false">IF($I163="","",INDEX(CONSOLIDADO!$H$2:$H$801,$I163))</f>
        <v/>
      </c>
      <c r="I163" s="11" t="str">
        <f aca="false">IFERROR(MATCH(ROW()-1,CONSOLIDADO!$AJ$2:$AJ$801,0),"")</f>
        <v/>
      </c>
      <c r="J163" s="11" t="str">
        <f aca="false">IF(B163="","",F163&amp;" "&amp;C163&amp;" ("&amp;B163&amp;")")</f>
        <v/>
      </c>
    </row>
    <row r="164" customFormat="false" ht="15" hidden="false" customHeight="false" outlineLevel="0" collapsed="false">
      <c r="A164" s="16"/>
      <c r="B164" s="11" t="str">
        <f aca="false">IF($I164="","",INDEX(CONSOLIDADO!$A$2:$A$801,$I164))</f>
        <v/>
      </c>
      <c r="C164" s="11" t="str">
        <f aca="false">IF($I164="","",INDEX(CONSOLIDADO!$B$2:$B$801,$I164))</f>
        <v/>
      </c>
      <c r="D164" s="16" t="str">
        <f aca="false">IF($I164="","",INDEX(CONSOLIDADO!$C$2:$C$801,$I164))</f>
        <v/>
      </c>
      <c r="E164" s="16" t="str">
        <f aca="false">IF($I164="","",INDEX(CONSOLIDADO!$D$2:$D$801,$I164))</f>
        <v/>
      </c>
      <c r="F164" s="14" t="str">
        <f aca="false">IF($I164="","",INDEX(CONSOLIDADO!$E$2:$E$801,$I164))</f>
        <v/>
      </c>
      <c r="G164" s="16" t="str">
        <f aca="false">IF($I164="","",INDEX(CONSOLIDADO!$G$2:$G$801,$I164))</f>
        <v/>
      </c>
      <c r="H164" s="16" t="str">
        <f aca="false">IF($I164="","",INDEX(CONSOLIDADO!$H$2:$H$801,$I164))</f>
        <v/>
      </c>
      <c r="I164" s="11" t="str">
        <f aca="false">IFERROR(MATCH(ROW()-1,CONSOLIDADO!$AJ$2:$AJ$801,0),"")</f>
        <v/>
      </c>
      <c r="J164" s="11" t="str">
        <f aca="false">IF(B164="","",F164&amp;" "&amp;C164&amp;" ("&amp;B164&amp;")")</f>
        <v/>
      </c>
    </row>
    <row r="165" customFormat="false" ht="15" hidden="false" customHeight="false" outlineLevel="0" collapsed="false">
      <c r="A165" s="16"/>
      <c r="B165" s="11" t="str">
        <f aca="false">IF($I165="","",INDEX(CONSOLIDADO!$A$2:$A$801,$I165))</f>
        <v/>
      </c>
      <c r="C165" s="11" t="str">
        <f aca="false">IF($I165="","",INDEX(CONSOLIDADO!$B$2:$B$801,$I165))</f>
        <v/>
      </c>
      <c r="D165" s="16" t="str">
        <f aca="false">IF($I165="","",INDEX(CONSOLIDADO!$C$2:$C$801,$I165))</f>
        <v/>
      </c>
      <c r="E165" s="16" t="str">
        <f aca="false">IF($I165="","",INDEX(CONSOLIDADO!$D$2:$D$801,$I165))</f>
        <v/>
      </c>
      <c r="F165" s="14" t="str">
        <f aca="false">IF($I165="","",INDEX(CONSOLIDADO!$E$2:$E$801,$I165))</f>
        <v/>
      </c>
      <c r="G165" s="16" t="str">
        <f aca="false">IF($I165="","",INDEX(CONSOLIDADO!$G$2:$G$801,$I165))</f>
        <v/>
      </c>
      <c r="H165" s="16" t="str">
        <f aca="false">IF($I165="","",INDEX(CONSOLIDADO!$H$2:$H$801,$I165))</f>
        <v/>
      </c>
      <c r="I165" s="11" t="str">
        <f aca="false">IFERROR(MATCH(ROW()-1,CONSOLIDADO!$AJ$2:$AJ$801,0),"")</f>
        <v/>
      </c>
      <c r="J165" s="11" t="str">
        <f aca="false">IF(B165="","",F165&amp;" "&amp;C165&amp;" ("&amp;B165&amp;")")</f>
        <v/>
      </c>
    </row>
    <row r="166" customFormat="false" ht="15" hidden="false" customHeight="false" outlineLevel="0" collapsed="false">
      <c r="A166" s="16"/>
      <c r="B166" s="11" t="str">
        <f aca="false">IF($I166="","",INDEX(CONSOLIDADO!$A$2:$A$801,$I166))</f>
        <v/>
      </c>
      <c r="C166" s="11" t="str">
        <f aca="false">IF($I166="","",INDEX(CONSOLIDADO!$B$2:$B$801,$I166))</f>
        <v/>
      </c>
      <c r="D166" s="16" t="str">
        <f aca="false">IF($I166="","",INDEX(CONSOLIDADO!$C$2:$C$801,$I166))</f>
        <v/>
      </c>
      <c r="E166" s="16" t="str">
        <f aca="false">IF($I166="","",INDEX(CONSOLIDADO!$D$2:$D$801,$I166))</f>
        <v/>
      </c>
      <c r="F166" s="14" t="str">
        <f aca="false">IF($I166="","",INDEX(CONSOLIDADO!$E$2:$E$801,$I166))</f>
        <v/>
      </c>
      <c r="G166" s="16" t="str">
        <f aca="false">IF($I166="","",INDEX(CONSOLIDADO!$G$2:$G$801,$I166))</f>
        <v/>
      </c>
      <c r="H166" s="16" t="str">
        <f aca="false">IF($I166="","",INDEX(CONSOLIDADO!$H$2:$H$801,$I166))</f>
        <v/>
      </c>
      <c r="I166" s="11" t="str">
        <f aca="false">IFERROR(MATCH(ROW()-1,CONSOLIDADO!$AJ$2:$AJ$801,0),"")</f>
        <v/>
      </c>
      <c r="J166" s="11" t="str">
        <f aca="false">IF(B166="","",F166&amp;" "&amp;C166&amp;" ("&amp;B166&amp;")")</f>
        <v/>
      </c>
    </row>
    <row r="167" customFormat="false" ht="15" hidden="false" customHeight="false" outlineLevel="0" collapsed="false">
      <c r="A167" s="16"/>
      <c r="B167" s="11" t="str">
        <f aca="false">IF($I167="","",INDEX(CONSOLIDADO!$A$2:$A$801,$I167))</f>
        <v/>
      </c>
      <c r="C167" s="11" t="str">
        <f aca="false">IF($I167="","",INDEX(CONSOLIDADO!$B$2:$B$801,$I167))</f>
        <v/>
      </c>
      <c r="D167" s="16" t="str">
        <f aca="false">IF($I167="","",INDEX(CONSOLIDADO!$C$2:$C$801,$I167))</f>
        <v/>
      </c>
      <c r="E167" s="16" t="str">
        <f aca="false">IF($I167="","",INDEX(CONSOLIDADO!$D$2:$D$801,$I167))</f>
        <v/>
      </c>
      <c r="F167" s="14" t="str">
        <f aca="false">IF($I167="","",INDEX(CONSOLIDADO!$E$2:$E$801,$I167))</f>
        <v/>
      </c>
      <c r="G167" s="16" t="str">
        <f aca="false">IF($I167="","",INDEX(CONSOLIDADO!$G$2:$G$801,$I167))</f>
        <v/>
      </c>
      <c r="H167" s="16" t="str">
        <f aca="false">IF($I167="","",INDEX(CONSOLIDADO!$H$2:$H$801,$I167))</f>
        <v/>
      </c>
      <c r="I167" s="11" t="str">
        <f aca="false">IFERROR(MATCH(ROW()-1,CONSOLIDADO!$AJ$2:$AJ$801,0),"")</f>
        <v/>
      </c>
      <c r="J167" s="11" t="str">
        <f aca="false">IF(B167="","",F167&amp;" "&amp;C167&amp;" ("&amp;B167&amp;")")</f>
        <v/>
      </c>
    </row>
    <row r="168" customFormat="false" ht="15" hidden="false" customHeight="false" outlineLevel="0" collapsed="false">
      <c r="A168" s="16"/>
      <c r="B168" s="11" t="str">
        <f aca="false">IF($I168="","",INDEX(CONSOLIDADO!$A$2:$A$801,$I168))</f>
        <v/>
      </c>
      <c r="C168" s="11" t="str">
        <f aca="false">IF($I168="","",INDEX(CONSOLIDADO!$B$2:$B$801,$I168))</f>
        <v/>
      </c>
      <c r="D168" s="16" t="str">
        <f aca="false">IF($I168="","",INDEX(CONSOLIDADO!$C$2:$C$801,$I168))</f>
        <v/>
      </c>
      <c r="E168" s="16" t="str">
        <f aca="false">IF($I168="","",INDEX(CONSOLIDADO!$D$2:$D$801,$I168))</f>
        <v/>
      </c>
      <c r="F168" s="14" t="str">
        <f aca="false">IF($I168="","",INDEX(CONSOLIDADO!$E$2:$E$801,$I168))</f>
        <v/>
      </c>
      <c r="G168" s="16" t="str">
        <f aca="false">IF($I168="","",INDEX(CONSOLIDADO!$G$2:$G$801,$I168))</f>
        <v/>
      </c>
      <c r="H168" s="16" t="str">
        <f aca="false">IF($I168="","",INDEX(CONSOLIDADO!$H$2:$H$801,$I168))</f>
        <v/>
      </c>
      <c r="I168" s="11" t="str">
        <f aca="false">IFERROR(MATCH(ROW()-1,CONSOLIDADO!$AJ$2:$AJ$801,0),"")</f>
        <v/>
      </c>
      <c r="J168" s="11" t="str">
        <f aca="false">IF(B168="","",F168&amp;" "&amp;C168&amp;" ("&amp;B168&amp;")")</f>
        <v/>
      </c>
    </row>
    <row r="169" customFormat="false" ht="15" hidden="false" customHeight="false" outlineLevel="0" collapsed="false">
      <c r="A169" s="16"/>
      <c r="B169" s="11" t="str">
        <f aca="false">IF($I169="","",INDEX(CONSOLIDADO!$A$2:$A$801,$I169))</f>
        <v/>
      </c>
      <c r="C169" s="11" t="str">
        <f aca="false">IF($I169="","",INDEX(CONSOLIDADO!$B$2:$B$801,$I169))</f>
        <v/>
      </c>
      <c r="D169" s="16" t="str">
        <f aca="false">IF($I169="","",INDEX(CONSOLIDADO!$C$2:$C$801,$I169))</f>
        <v/>
      </c>
      <c r="E169" s="16" t="str">
        <f aca="false">IF($I169="","",INDEX(CONSOLIDADO!$D$2:$D$801,$I169))</f>
        <v/>
      </c>
      <c r="F169" s="14" t="str">
        <f aca="false">IF($I169="","",INDEX(CONSOLIDADO!$E$2:$E$801,$I169))</f>
        <v/>
      </c>
      <c r="G169" s="16" t="str">
        <f aca="false">IF($I169="","",INDEX(CONSOLIDADO!$G$2:$G$801,$I169))</f>
        <v/>
      </c>
      <c r="H169" s="16" t="str">
        <f aca="false">IF($I169="","",INDEX(CONSOLIDADO!$H$2:$H$801,$I169))</f>
        <v/>
      </c>
      <c r="I169" s="11" t="str">
        <f aca="false">IFERROR(MATCH(ROW()-1,CONSOLIDADO!$AJ$2:$AJ$801,0),"")</f>
        <v/>
      </c>
      <c r="J169" s="11" t="str">
        <f aca="false">IF(B169="","",F169&amp;" "&amp;C169&amp;" ("&amp;B169&amp;")")</f>
        <v/>
      </c>
    </row>
    <row r="170" customFormat="false" ht="15" hidden="false" customHeight="false" outlineLevel="0" collapsed="false">
      <c r="A170" s="16"/>
      <c r="B170" s="11" t="str">
        <f aca="false">IF($I170="","",INDEX(CONSOLIDADO!$A$2:$A$801,$I170))</f>
        <v/>
      </c>
      <c r="C170" s="11" t="str">
        <f aca="false">IF($I170="","",INDEX(CONSOLIDADO!$B$2:$B$801,$I170))</f>
        <v/>
      </c>
      <c r="D170" s="16" t="str">
        <f aca="false">IF($I170="","",INDEX(CONSOLIDADO!$C$2:$C$801,$I170))</f>
        <v/>
      </c>
      <c r="E170" s="16" t="str">
        <f aca="false">IF($I170="","",INDEX(CONSOLIDADO!$D$2:$D$801,$I170))</f>
        <v/>
      </c>
      <c r="F170" s="14" t="str">
        <f aca="false">IF($I170="","",INDEX(CONSOLIDADO!$E$2:$E$801,$I170))</f>
        <v/>
      </c>
      <c r="G170" s="16" t="str">
        <f aca="false">IF($I170="","",INDEX(CONSOLIDADO!$G$2:$G$801,$I170))</f>
        <v/>
      </c>
      <c r="H170" s="16" t="str">
        <f aca="false">IF($I170="","",INDEX(CONSOLIDADO!$H$2:$H$801,$I170))</f>
        <v/>
      </c>
      <c r="I170" s="11" t="str">
        <f aca="false">IFERROR(MATCH(ROW()-1,CONSOLIDADO!$AJ$2:$AJ$801,0),"")</f>
        <v/>
      </c>
      <c r="J170" s="11" t="str">
        <f aca="false">IF(B170="","",F170&amp;" "&amp;C170&amp;" ("&amp;B170&amp;")")</f>
        <v/>
      </c>
    </row>
    <row r="171" customFormat="false" ht="15" hidden="false" customHeight="false" outlineLevel="0" collapsed="false">
      <c r="A171" s="16"/>
      <c r="B171" s="11" t="str">
        <f aca="false">IF($I171="","",INDEX(CONSOLIDADO!$A$2:$A$801,$I171))</f>
        <v/>
      </c>
      <c r="C171" s="11" t="str">
        <f aca="false">IF($I171="","",INDEX(CONSOLIDADO!$B$2:$B$801,$I171))</f>
        <v/>
      </c>
      <c r="D171" s="16" t="str">
        <f aca="false">IF($I171="","",INDEX(CONSOLIDADO!$C$2:$C$801,$I171))</f>
        <v/>
      </c>
      <c r="E171" s="16" t="str">
        <f aca="false">IF($I171="","",INDEX(CONSOLIDADO!$D$2:$D$801,$I171))</f>
        <v/>
      </c>
      <c r="F171" s="14" t="str">
        <f aca="false">IF($I171="","",INDEX(CONSOLIDADO!$E$2:$E$801,$I171))</f>
        <v/>
      </c>
      <c r="G171" s="16" t="str">
        <f aca="false">IF($I171="","",INDEX(CONSOLIDADO!$G$2:$G$801,$I171))</f>
        <v/>
      </c>
      <c r="H171" s="16" t="str">
        <f aca="false">IF($I171="","",INDEX(CONSOLIDADO!$H$2:$H$801,$I171))</f>
        <v/>
      </c>
      <c r="I171" s="11" t="str">
        <f aca="false">IFERROR(MATCH(ROW()-1,CONSOLIDADO!$AJ$2:$AJ$801,0),"")</f>
        <v/>
      </c>
      <c r="J171" s="11" t="str">
        <f aca="false">IF(B171="","",F171&amp;" "&amp;C171&amp;" ("&amp;B171&amp;")")</f>
        <v/>
      </c>
    </row>
    <row r="172" customFormat="false" ht="15" hidden="false" customHeight="false" outlineLevel="0" collapsed="false">
      <c r="A172" s="16"/>
      <c r="B172" s="11" t="str">
        <f aca="false">IF($I172="","",INDEX(CONSOLIDADO!$A$2:$A$801,$I172))</f>
        <v/>
      </c>
      <c r="C172" s="11" t="str">
        <f aca="false">IF($I172="","",INDEX(CONSOLIDADO!$B$2:$B$801,$I172))</f>
        <v/>
      </c>
      <c r="D172" s="16" t="str">
        <f aca="false">IF($I172="","",INDEX(CONSOLIDADO!$C$2:$C$801,$I172))</f>
        <v/>
      </c>
      <c r="E172" s="16" t="str">
        <f aca="false">IF($I172="","",INDEX(CONSOLIDADO!$D$2:$D$801,$I172))</f>
        <v/>
      </c>
      <c r="F172" s="14" t="str">
        <f aca="false">IF($I172="","",INDEX(CONSOLIDADO!$E$2:$E$801,$I172))</f>
        <v/>
      </c>
      <c r="G172" s="16" t="str">
        <f aca="false">IF($I172="","",INDEX(CONSOLIDADO!$G$2:$G$801,$I172))</f>
        <v/>
      </c>
      <c r="H172" s="16" t="str">
        <f aca="false">IF($I172="","",INDEX(CONSOLIDADO!$H$2:$H$801,$I172))</f>
        <v/>
      </c>
      <c r="I172" s="11" t="str">
        <f aca="false">IFERROR(MATCH(ROW()-1,CONSOLIDADO!$AJ$2:$AJ$801,0),"")</f>
        <v/>
      </c>
      <c r="J172" s="11" t="str">
        <f aca="false">IF(B172="","",F172&amp;" "&amp;C172&amp;" ("&amp;B172&amp;")")</f>
        <v/>
      </c>
    </row>
    <row r="173" customFormat="false" ht="15" hidden="false" customHeight="false" outlineLevel="0" collapsed="false">
      <c r="A173" s="16"/>
      <c r="B173" s="11" t="str">
        <f aca="false">IF($I173="","",INDEX(CONSOLIDADO!$A$2:$A$801,$I173))</f>
        <v/>
      </c>
      <c r="C173" s="11" t="str">
        <f aca="false">IF($I173="","",INDEX(CONSOLIDADO!$B$2:$B$801,$I173))</f>
        <v/>
      </c>
      <c r="D173" s="16" t="str">
        <f aca="false">IF($I173="","",INDEX(CONSOLIDADO!$C$2:$C$801,$I173))</f>
        <v/>
      </c>
      <c r="E173" s="16" t="str">
        <f aca="false">IF($I173="","",INDEX(CONSOLIDADO!$D$2:$D$801,$I173))</f>
        <v/>
      </c>
      <c r="F173" s="14" t="str">
        <f aca="false">IF($I173="","",INDEX(CONSOLIDADO!$E$2:$E$801,$I173))</f>
        <v/>
      </c>
      <c r="G173" s="16" t="str">
        <f aca="false">IF($I173="","",INDEX(CONSOLIDADO!$G$2:$G$801,$I173))</f>
        <v/>
      </c>
      <c r="H173" s="16" t="str">
        <f aca="false">IF($I173="","",INDEX(CONSOLIDADO!$H$2:$H$801,$I173))</f>
        <v/>
      </c>
      <c r="I173" s="11" t="str">
        <f aca="false">IFERROR(MATCH(ROW()-1,CONSOLIDADO!$AJ$2:$AJ$801,0),"")</f>
        <v/>
      </c>
      <c r="J173" s="11" t="str">
        <f aca="false">IF(B173="","",F173&amp;" "&amp;C173&amp;" ("&amp;B173&amp;")")</f>
        <v/>
      </c>
    </row>
    <row r="174" customFormat="false" ht="15" hidden="false" customHeight="false" outlineLevel="0" collapsed="false">
      <c r="A174" s="16"/>
      <c r="B174" s="11" t="str">
        <f aca="false">IF($I174="","",INDEX(CONSOLIDADO!$A$2:$A$801,$I174))</f>
        <v/>
      </c>
      <c r="C174" s="11" t="str">
        <f aca="false">IF($I174="","",INDEX(CONSOLIDADO!$B$2:$B$801,$I174))</f>
        <v/>
      </c>
      <c r="D174" s="16" t="str">
        <f aca="false">IF($I174="","",INDEX(CONSOLIDADO!$C$2:$C$801,$I174))</f>
        <v/>
      </c>
      <c r="E174" s="16" t="str">
        <f aca="false">IF($I174="","",INDEX(CONSOLIDADO!$D$2:$D$801,$I174))</f>
        <v/>
      </c>
      <c r="F174" s="14" t="str">
        <f aca="false">IF($I174="","",INDEX(CONSOLIDADO!$E$2:$E$801,$I174))</f>
        <v/>
      </c>
      <c r="G174" s="16" t="str">
        <f aca="false">IF($I174="","",INDEX(CONSOLIDADO!$G$2:$G$801,$I174))</f>
        <v/>
      </c>
      <c r="H174" s="16" t="str">
        <f aca="false">IF($I174="","",INDEX(CONSOLIDADO!$H$2:$H$801,$I174))</f>
        <v/>
      </c>
      <c r="I174" s="11" t="str">
        <f aca="false">IFERROR(MATCH(ROW()-1,CONSOLIDADO!$AJ$2:$AJ$801,0),"")</f>
        <v/>
      </c>
      <c r="J174" s="11" t="str">
        <f aca="false">IF(B174="","",F174&amp;" "&amp;C174&amp;" ("&amp;B174&amp;")")</f>
        <v/>
      </c>
    </row>
    <row r="175" customFormat="false" ht="15" hidden="false" customHeight="false" outlineLevel="0" collapsed="false">
      <c r="A175" s="16"/>
      <c r="B175" s="11" t="str">
        <f aca="false">IF($I175="","",INDEX(CONSOLIDADO!$A$2:$A$801,$I175))</f>
        <v/>
      </c>
      <c r="C175" s="11" t="str">
        <f aca="false">IF($I175="","",INDEX(CONSOLIDADO!$B$2:$B$801,$I175))</f>
        <v/>
      </c>
      <c r="D175" s="16" t="str">
        <f aca="false">IF($I175="","",INDEX(CONSOLIDADO!$C$2:$C$801,$I175))</f>
        <v/>
      </c>
      <c r="E175" s="16" t="str">
        <f aca="false">IF($I175="","",INDEX(CONSOLIDADO!$D$2:$D$801,$I175))</f>
        <v/>
      </c>
      <c r="F175" s="14" t="str">
        <f aca="false">IF($I175="","",INDEX(CONSOLIDADO!$E$2:$E$801,$I175))</f>
        <v/>
      </c>
      <c r="G175" s="16" t="str">
        <f aca="false">IF($I175="","",INDEX(CONSOLIDADO!$G$2:$G$801,$I175))</f>
        <v/>
      </c>
      <c r="H175" s="16" t="str">
        <f aca="false">IF($I175="","",INDEX(CONSOLIDADO!$H$2:$H$801,$I175))</f>
        <v/>
      </c>
      <c r="I175" s="11" t="str">
        <f aca="false">IFERROR(MATCH(ROW()-1,CONSOLIDADO!$AJ$2:$AJ$801,0),"")</f>
        <v/>
      </c>
      <c r="J175" s="11" t="str">
        <f aca="false">IF(B175="","",F175&amp;" "&amp;C175&amp;" ("&amp;B175&amp;")")</f>
        <v/>
      </c>
    </row>
    <row r="176" customFormat="false" ht="15" hidden="false" customHeight="false" outlineLevel="0" collapsed="false">
      <c r="A176" s="16"/>
      <c r="B176" s="11" t="str">
        <f aca="false">IF($I176="","",INDEX(CONSOLIDADO!$A$2:$A$801,$I176))</f>
        <v/>
      </c>
      <c r="C176" s="11" t="str">
        <f aca="false">IF($I176="","",INDEX(CONSOLIDADO!$B$2:$B$801,$I176))</f>
        <v/>
      </c>
      <c r="D176" s="16" t="str">
        <f aca="false">IF($I176="","",INDEX(CONSOLIDADO!$C$2:$C$801,$I176))</f>
        <v/>
      </c>
      <c r="E176" s="16" t="str">
        <f aca="false">IF($I176="","",INDEX(CONSOLIDADO!$D$2:$D$801,$I176))</f>
        <v/>
      </c>
      <c r="F176" s="14" t="str">
        <f aca="false">IF($I176="","",INDEX(CONSOLIDADO!$E$2:$E$801,$I176))</f>
        <v/>
      </c>
      <c r="G176" s="16" t="str">
        <f aca="false">IF($I176="","",INDEX(CONSOLIDADO!$G$2:$G$801,$I176))</f>
        <v/>
      </c>
      <c r="H176" s="16" t="str">
        <f aca="false">IF($I176="","",INDEX(CONSOLIDADO!$H$2:$H$801,$I176))</f>
        <v/>
      </c>
      <c r="I176" s="11" t="str">
        <f aca="false">IFERROR(MATCH(ROW()-1,CONSOLIDADO!$AJ$2:$AJ$801,0),"")</f>
        <v/>
      </c>
      <c r="J176" s="11" t="str">
        <f aca="false">IF(B176="","",F176&amp;" "&amp;C176&amp;" ("&amp;B176&amp;")")</f>
        <v/>
      </c>
    </row>
    <row r="177" customFormat="false" ht="15" hidden="false" customHeight="false" outlineLevel="0" collapsed="false">
      <c r="A177" s="16"/>
      <c r="B177" s="11" t="str">
        <f aca="false">IF($I177="","",INDEX(CONSOLIDADO!$A$2:$A$801,$I177))</f>
        <v/>
      </c>
      <c r="C177" s="11" t="str">
        <f aca="false">IF($I177="","",INDEX(CONSOLIDADO!$B$2:$B$801,$I177))</f>
        <v/>
      </c>
      <c r="D177" s="16" t="str">
        <f aca="false">IF($I177="","",INDEX(CONSOLIDADO!$C$2:$C$801,$I177))</f>
        <v/>
      </c>
      <c r="E177" s="16" t="str">
        <f aca="false">IF($I177="","",INDEX(CONSOLIDADO!$D$2:$D$801,$I177))</f>
        <v/>
      </c>
      <c r="F177" s="14" t="str">
        <f aca="false">IF($I177="","",INDEX(CONSOLIDADO!$E$2:$E$801,$I177))</f>
        <v/>
      </c>
      <c r="G177" s="16" t="str">
        <f aca="false">IF($I177="","",INDEX(CONSOLIDADO!$G$2:$G$801,$I177))</f>
        <v/>
      </c>
      <c r="H177" s="16" t="str">
        <f aca="false">IF($I177="","",INDEX(CONSOLIDADO!$H$2:$H$801,$I177))</f>
        <v/>
      </c>
      <c r="I177" s="11" t="str">
        <f aca="false">IFERROR(MATCH(ROW()-1,CONSOLIDADO!$AJ$2:$AJ$801,0),"")</f>
        <v/>
      </c>
      <c r="J177" s="11" t="str">
        <f aca="false">IF(B177="","",F177&amp;" "&amp;C177&amp;" ("&amp;B177&amp;")")</f>
        <v/>
      </c>
    </row>
    <row r="178" customFormat="false" ht="15" hidden="false" customHeight="false" outlineLevel="0" collapsed="false">
      <c r="A178" s="16"/>
      <c r="B178" s="11" t="str">
        <f aca="false">IF($I178="","",INDEX(CONSOLIDADO!$A$2:$A$801,$I178))</f>
        <v/>
      </c>
      <c r="C178" s="11" t="str">
        <f aca="false">IF($I178="","",INDEX(CONSOLIDADO!$B$2:$B$801,$I178))</f>
        <v/>
      </c>
      <c r="D178" s="16" t="str">
        <f aca="false">IF($I178="","",INDEX(CONSOLIDADO!$C$2:$C$801,$I178))</f>
        <v/>
      </c>
      <c r="E178" s="16" t="str">
        <f aca="false">IF($I178="","",INDEX(CONSOLIDADO!$D$2:$D$801,$I178))</f>
        <v/>
      </c>
      <c r="F178" s="14" t="str">
        <f aca="false">IF($I178="","",INDEX(CONSOLIDADO!$E$2:$E$801,$I178))</f>
        <v/>
      </c>
      <c r="G178" s="16" t="str">
        <f aca="false">IF($I178="","",INDEX(CONSOLIDADO!$G$2:$G$801,$I178))</f>
        <v/>
      </c>
      <c r="H178" s="16" t="str">
        <f aca="false">IF($I178="","",INDEX(CONSOLIDADO!$H$2:$H$801,$I178))</f>
        <v/>
      </c>
      <c r="I178" s="11" t="str">
        <f aca="false">IFERROR(MATCH(ROW()-1,CONSOLIDADO!$AJ$2:$AJ$801,0),"")</f>
        <v/>
      </c>
      <c r="J178" s="11" t="str">
        <f aca="false">IF(B178="","",F178&amp;" "&amp;C178&amp;" ("&amp;B178&amp;")")</f>
        <v/>
      </c>
    </row>
    <row r="179" customFormat="false" ht="15" hidden="false" customHeight="false" outlineLevel="0" collapsed="false">
      <c r="A179" s="16"/>
      <c r="B179" s="11" t="str">
        <f aca="false">IF($I179="","",INDEX(CONSOLIDADO!$A$2:$A$801,$I179))</f>
        <v/>
      </c>
      <c r="C179" s="11" t="str">
        <f aca="false">IF($I179="","",INDEX(CONSOLIDADO!$B$2:$B$801,$I179))</f>
        <v/>
      </c>
      <c r="D179" s="16" t="str">
        <f aca="false">IF($I179="","",INDEX(CONSOLIDADO!$C$2:$C$801,$I179))</f>
        <v/>
      </c>
      <c r="E179" s="16" t="str">
        <f aca="false">IF($I179="","",INDEX(CONSOLIDADO!$D$2:$D$801,$I179))</f>
        <v/>
      </c>
      <c r="F179" s="14" t="str">
        <f aca="false">IF($I179="","",INDEX(CONSOLIDADO!$E$2:$E$801,$I179))</f>
        <v/>
      </c>
      <c r="G179" s="16" t="str">
        <f aca="false">IF($I179="","",INDEX(CONSOLIDADO!$G$2:$G$801,$I179))</f>
        <v/>
      </c>
      <c r="H179" s="16" t="str">
        <f aca="false">IF($I179="","",INDEX(CONSOLIDADO!$H$2:$H$801,$I179))</f>
        <v/>
      </c>
      <c r="I179" s="11" t="str">
        <f aca="false">IFERROR(MATCH(ROW()-1,CONSOLIDADO!$AJ$2:$AJ$801,0),"")</f>
        <v/>
      </c>
      <c r="J179" s="11" t="str">
        <f aca="false">IF(B179="","",F179&amp;" "&amp;C179&amp;" ("&amp;B179&amp;")")</f>
        <v/>
      </c>
    </row>
    <row r="180" customFormat="false" ht="15" hidden="false" customHeight="false" outlineLevel="0" collapsed="false">
      <c r="A180" s="16"/>
      <c r="B180" s="11" t="str">
        <f aca="false">IF($I180="","",INDEX(CONSOLIDADO!$A$2:$A$801,$I180))</f>
        <v/>
      </c>
      <c r="C180" s="11" t="str">
        <f aca="false">IF($I180="","",INDEX(CONSOLIDADO!$B$2:$B$801,$I180))</f>
        <v/>
      </c>
      <c r="D180" s="16" t="str">
        <f aca="false">IF($I180="","",INDEX(CONSOLIDADO!$C$2:$C$801,$I180))</f>
        <v/>
      </c>
      <c r="E180" s="16" t="str">
        <f aca="false">IF($I180="","",INDEX(CONSOLIDADO!$D$2:$D$801,$I180))</f>
        <v/>
      </c>
      <c r="F180" s="14" t="str">
        <f aca="false">IF($I180="","",INDEX(CONSOLIDADO!$E$2:$E$801,$I180))</f>
        <v/>
      </c>
      <c r="G180" s="16" t="str">
        <f aca="false">IF($I180="","",INDEX(CONSOLIDADO!$G$2:$G$801,$I180))</f>
        <v/>
      </c>
      <c r="H180" s="16" t="str">
        <f aca="false">IF($I180="","",INDEX(CONSOLIDADO!$H$2:$H$801,$I180))</f>
        <v/>
      </c>
      <c r="I180" s="11" t="str">
        <f aca="false">IFERROR(MATCH(ROW()-1,CONSOLIDADO!$AJ$2:$AJ$801,0),"")</f>
        <v/>
      </c>
      <c r="J180" s="11" t="str">
        <f aca="false">IF(B180="","",F180&amp;" "&amp;C180&amp;" ("&amp;B180&amp;")")</f>
        <v/>
      </c>
    </row>
    <row r="181" customFormat="false" ht="15" hidden="false" customHeight="false" outlineLevel="0" collapsed="false">
      <c r="A181" s="16"/>
      <c r="B181" s="11" t="str">
        <f aca="false">IF($I181="","",INDEX(CONSOLIDADO!$A$2:$A$801,$I181))</f>
        <v/>
      </c>
      <c r="C181" s="11" t="str">
        <f aca="false">IF($I181="","",INDEX(CONSOLIDADO!$B$2:$B$801,$I181))</f>
        <v/>
      </c>
      <c r="D181" s="16" t="str">
        <f aca="false">IF($I181="","",INDEX(CONSOLIDADO!$C$2:$C$801,$I181))</f>
        <v/>
      </c>
      <c r="E181" s="16" t="str">
        <f aca="false">IF($I181="","",INDEX(CONSOLIDADO!$D$2:$D$801,$I181))</f>
        <v/>
      </c>
      <c r="F181" s="14" t="str">
        <f aca="false">IF($I181="","",INDEX(CONSOLIDADO!$E$2:$E$801,$I181))</f>
        <v/>
      </c>
      <c r="G181" s="16" t="str">
        <f aca="false">IF($I181="","",INDEX(CONSOLIDADO!$G$2:$G$801,$I181))</f>
        <v/>
      </c>
      <c r="H181" s="16" t="str">
        <f aca="false">IF($I181="","",INDEX(CONSOLIDADO!$H$2:$H$801,$I181))</f>
        <v/>
      </c>
      <c r="I181" s="11" t="str">
        <f aca="false">IFERROR(MATCH(ROW()-1,CONSOLIDADO!$AJ$2:$AJ$801,0),"")</f>
        <v/>
      </c>
      <c r="J181" s="11" t="str">
        <f aca="false">IF(B181="","",F181&amp;" "&amp;C181&amp;" ("&amp;B181&amp;")")</f>
        <v/>
      </c>
    </row>
    <row r="182" customFormat="false" ht="15" hidden="false" customHeight="false" outlineLevel="0" collapsed="false">
      <c r="A182" s="16"/>
      <c r="B182" s="11" t="str">
        <f aca="false">IF($I182="","",INDEX(CONSOLIDADO!$A$2:$A$801,$I182))</f>
        <v/>
      </c>
      <c r="C182" s="11" t="str">
        <f aca="false">IF($I182="","",INDEX(CONSOLIDADO!$B$2:$B$801,$I182))</f>
        <v/>
      </c>
      <c r="D182" s="16" t="str">
        <f aca="false">IF($I182="","",INDEX(CONSOLIDADO!$C$2:$C$801,$I182))</f>
        <v/>
      </c>
      <c r="E182" s="16" t="str">
        <f aca="false">IF($I182="","",INDEX(CONSOLIDADO!$D$2:$D$801,$I182))</f>
        <v/>
      </c>
      <c r="F182" s="14" t="str">
        <f aca="false">IF($I182="","",INDEX(CONSOLIDADO!$E$2:$E$801,$I182))</f>
        <v/>
      </c>
      <c r="G182" s="16" t="str">
        <f aca="false">IF($I182="","",INDEX(CONSOLIDADO!$G$2:$G$801,$I182))</f>
        <v/>
      </c>
      <c r="H182" s="16" t="str">
        <f aca="false">IF($I182="","",INDEX(CONSOLIDADO!$H$2:$H$801,$I182))</f>
        <v/>
      </c>
      <c r="I182" s="11" t="str">
        <f aca="false">IFERROR(MATCH(ROW()-1,CONSOLIDADO!$AJ$2:$AJ$801,0),"")</f>
        <v/>
      </c>
      <c r="J182" s="11" t="str">
        <f aca="false">IF(B182="","",F182&amp;" "&amp;C182&amp;" ("&amp;B182&amp;")")</f>
        <v/>
      </c>
    </row>
    <row r="183" customFormat="false" ht="15" hidden="false" customHeight="false" outlineLevel="0" collapsed="false">
      <c r="A183" s="16"/>
      <c r="B183" s="11" t="str">
        <f aca="false">IF($I183="","",INDEX(CONSOLIDADO!$A$2:$A$801,$I183))</f>
        <v/>
      </c>
      <c r="C183" s="11" t="str">
        <f aca="false">IF($I183="","",INDEX(CONSOLIDADO!$B$2:$B$801,$I183))</f>
        <v/>
      </c>
      <c r="D183" s="16" t="str">
        <f aca="false">IF($I183="","",INDEX(CONSOLIDADO!$C$2:$C$801,$I183))</f>
        <v/>
      </c>
      <c r="E183" s="16" t="str">
        <f aca="false">IF($I183="","",INDEX(CONSOLIDADO!$D$2:$D$801,$I183))</f>
        <v/>
      </c>
      <c r="F183" s="14" t="str">
        <f aca="false">IF($I183="","",INDEX(CONSOLIDADO!$E$2:$E$801,$I183))</f>
        <v/>
      </c>
      <c r="G183" s="16" t="str">
        <f aca="false">IF($I183="","",INDEX(CONSOLIDADO!$G$2:$G$801,$I183))</f>
        <v/>
      </c>
      <c r="H183" s="16" t="str">
        <f aca="false">IF($I183="","",INDEX(CONSOLIDADO!$H$2:$H$801,$I183))</f>
        <v/>
      </c>
      <c r="I183" s="11" t="str">
        <f aca="false">IFERROR(MATCH(ROW()-1,CONSOLIDADO!$AJ$2:$AJ$801,0),"")</f>
        <v/>
      </c>
      <c r="J183" s="11" t="str">
        <f aca="false">IF(B183="","",F183&amp;" "&amp;C183&amp;" ("&amp;B183&amp;")")</f>
        <v/>
      </c>
    </row>
    <row r="184" customFormat="false" ht="15" hidden="false" customHeight="false" outlineLevel="0" collapsed="false">
      <c r="A184" s="16"/>
      <c r="B184" s="11" t="str">
        <f aca="false">IF($I184="","",INDEX(CONSOLIDADO!$A$2:$A$801,$I184))</f>
        <v/>
      </c>
      <c r="C184" s="11" t="str">
        <f aca="false">IF($I184="","",INDEX(CONSOLIDADO!$B$2:$B$801,$I184))</f>
        <v/>
      </c>
      <c r="D184" s="16" t="str">
        <f aca="false">IF($I184="","",INDEX(CONSOLIDADO!$C$2:$C$801,$I184))</f>
        <v/>
      </c>
      <c r="E184" s="16" t="str">
        <f aca="false">IF($I184="","",INDEX(CONSOLIDADO!$D$2:$D$801,$I184))</f>
        <v/>
      </c>
      <c r="F184" s="14" t="str">
        <f aca="false">IF($I184="","",INDEX(CONSOLIDADO!$E$2:$E$801,$I184))</f>
        <v/>
      </c>
      <c r="G184" s="16" t="str">
        <f aca="false">IF($I184="","",INDEX(CONSOLIDADO!$G$2:$G$801,$I184))</f>
        <v/>
      </c>
      <c r="H184" s="16" t="str">
        <f aca="false">IF($I184="","",INDEX(CONSOLIDADO!$H$2:$H$801,$I184))</f>
        <v/>
      </c>
      <c r="I184" s="11" t="str">
        <f aca="false">IFERROR(MATCH(ROW()-1,CONSOLIDADO!$AJ$2:$AJ$801,0),"")</f>
        <v/>
      </c>
      <c r="J184" s="11" t="str">
        <f aca="false">IF(B184="","",F184&amp;" "&amp;C184&amp;" ("&amp;B184&amp;")")</f>
        <v/>
      </c>
    </row>
    <row r="185" customFormat="false" ht="15" hidden="false" customHeight="false" outlineLevel="0" collapsed="false">
      <c r="A185" s="16"/>
      <c r="B185" s="11" t="str">
        <f aca="false">IF($I185="","",INDEX(CONSOLIDADO!$A$2:$A$801,$I185))</f>
        <v/>
      </c>
      <c r="C185" s="11" t="str">
        <f aca="false">IF($I185="","",INDEX(CONSOLIDADO!$B$2:$B$801,$I185))</f>
        <v/>
      </c>
      <c r="D185" s="16" t="str">
        <f aca="false">IF($I185="","",INDEX(CONSOLIDADO!$C$2:$C$801,$I185))</f>
        <v/>
      </c>
      <c r="E185" s="16" t="str">
        <f aca="false">IF($I185="","",INDEX(CONSOLIDADO!$D$2:$D$801,$I185))</f>
        <v/>
      </c>
      <c r="F185" s="14" t="str">
        <f aca="false">IF($I185="","",INDEX(CONSOLIDADO!$E$2:$E$801,$I185))</f>
        <v/>
      </c>
      <c r="G185" s="16" t="str">
        <f aca="false">IF($I185="","",INDEX(CONSOLIDADO!$G$2:$G$801,$I185))</f>
        <v/>
      </c>
      <c r="H185" s="16" t="str">
        <f aca="false">IF($I185="","",INDEX(CONSOLIDADO!$H$2:$H$801,$I185))</f>
        <v/>
      </c>
      <c r="I185" s="11" t="str">
        <f aca="false">IFERROR(MATCH(ROW()-1,CONSOLIDADO!$AJ$2:$AJ$801,0),"")</f>
        <v/>
      </c>
      <c r="J185" s="11" t="str">
        <f aca="false">IF(B185="","",F185&amp;" "&amp;C185&amp;" ("&amp;B185&amp;")")</f>
        <v/>
      </c>
    </row>
    <row r="186" customFormat="false" ht="15" hidden="false" customHeight="false" outlineLevel="0" collapsed="false">
      <c r="A186" s="16"/>
      <c r="B186" s="11" t="str">
        <f aca="false">IF($I186="","",INDEX(CONSOLIDADO!$A$2:$A$801,$I186))</f>
        <v/>
      </c>
      <c r="C186" s="11" t="str">
        <f aca="false">IF($I186="","",INDEX(CONSOLIDADO!$B$2:$B$801,$I186))</f>
        <v/>
      </c>
      <c r="D186" s="16" t="str">
        <f aca="false">IF($I186="","",INDEX(CONSOLIDADO!$C$2:$C$801,$I186))</f>
        <v/>
      </c>
      <c r="E186" s="16" t="str">
        <f aca="false">IF($I186="","",INDEX(CONSOLIDADO!$D$2:$D$801,$I186))</f>
        <v/>
      </c>
      <c r="F186" s="14" t="str">
        <f aca="false">IF($I186="","",INDEX(CONSOLIDADO!$E$2:$E$801,$I186))</f>
        <v/>
      </c>
      <c r="G186" s="16" t="str">
        <f aca="false">IF($I186="","",INDEX(CONSOLIDADO!$G$2:$G$801,$I186))</f>
        <v/>
      </c>
      <c r="H186" s="16" t="str">
        <f aca="false">IF($I186="","",INDEX(CONSOLIDADO!$H$2:$H$801,$I186))</f>
        <v/>
      </c>
      <c r="I186" s="11" t="str">
        <f aca="false">IFERROR(MATCH(ROW()-1,CONSOLIDADO!$AJ$2:$AJ$801,0),"")</f>
        <v/>
      </c>
      <c r="J186" s="11" t="str">
        <f aca="false">IF(B186="","",F186&amp;" "&amp;C186&amp;" ("&amp;B186&amp;")")</f>
        <v/>
      </c>
    </row>
    <row r="187" customFormat="false" ht="15" hidden="false" customHeight="false" outlineLevel="0" collapsed="false">
      <c r="A187" s="16"/>
      <c r="B187" s="11" t="str">
        <f aca="false">IF($I187="","",INDEX(CONSOLIDADO!$A$2:$A$801,$I187))</f>
        <v/>
      </c>
      <c r="C187" s="11" t="str">
        <f aca="false">IF($I187="","",INDEX(CONSOLIDADO!$B$2:$B$801,$I187))</f>
        <v/>
      </c>
      <c r="D187" s="16" t="str">
        <f aca="false">IF($I187="","",INDEX(CONSOLIDADO!$C$2:$C$801,$I187))</f>
        <v/>
      </c>
      <c r="E187" s="16" t="str">
        <f aca="false">IF($I187="","",INDEX(CONSOLIDADO!$D$2:$D$801,$I187))</f>
        <v/>
      </c>
      <c r="F187" s="14" t="str">
        <f aca="false">IF($I187="","",INDEX(CONSOLIDADO!$E$2:$E$801,$I187))</f>
        <v/>
      </c>
      <c r="G187" s="16" t="str">
        <f aca="false">IF($I187="","",INDEX(CONSOLIDADO!$G$2:$G$801,$I187))</f>
        <v/>
      </c>
      <c r="H187" s="16" t="str">
        <f aca="false">IF($I187="","",INDEX(CONSOLIDADO!$H$2:$H$801,$I187))</f>
        <v/>
      </c>
      <c r="I187" s="11" t="str">
        <f aca="false">IFERROR(MATCH(ROW()-1,CONSOLIDADO!$AJ$2:$AJ$801,0),"")</f>
        <v/>
      </c>
      <c r="J187" s="11" t="str">
        <f aca="false">IF(B187="","",F187&amp;" "&amp;C187&amp;" ("&amp;B187&amp;")")</f>
        <v/>
      </c>
    </row>
    <row r="188" customFormat="false" ht="15" hidden="false" customHeight="false" outlineLevel="0" collapsed="false">
      <c r="A188" s="16"/>
      <c r="B188" s="11" t="str">
        <f aca="false">IF($I188="","",INDEX(CONSOLIDADO!$A$2:$A$801,$I188))</f>
        <v/>
      </c>
      <c r="C188" s="11" t="str">
        <f aca="false">IF($I188="","",INDEX(CONSOLIDADO!$B$2:$B$801,$I188))</f>
        <v/>
      </c>
      <c r="D188" s="16" t="str">
        <f aca="false">IF($I188="","",INDEX(CONSOLIDADO!$C$2:$C$801,$I188))</f>
        <v/>
      </c>
      <c r="E188" s="16" t="str">
        <f aca="false">IF($I188="","",INDEX(CONSOLIDADO!$D$2:$D$801,$I188))</f>
        <v/>
      </c>
      <c r="F188" s="14" t="str">
        <f aca="false">IF($I188="","",INDEX(CONSOLIDADO!$E$2:$E$801,$I188))</f>
        <v/>
      </c>
      <c r="G188" s="16" t="str">
        <f aca="false">IF($I188="","",INDEX(CONSOLIDADO!$G$2:$G$801,$I188))</f>
        <v/>
      </c>
      <c r="H188" s="16" t="str">
        <f aca="false">IF($I188="","",INDEX(CONSOLIDADO!$H$2:$H$801,$I188))</f>
        <v/>
      </c>
      <c r="I188" s="11" t="str">
        <f aca="false">IFERROR(MATCH(ROW()-1,CONSOLIDADO!$AJ$2:$AJ$801,0),"")</f>
        <v/>
      </c>
      <c r="J188" s="11" t="str">
        <f aca="false">IF(B188="","",F188&amp;" "&amp;C188&amp;" ("&amp;B188&amp;")")</f>
        <v/>
      </c>
    </row>
    <row r="189" customFormat="false" ht="15" hidden="false" customHeight="false" outlineLevel="0" collapsed="false">
      <c r="A189" s="16"/>
      <c r="B189" s="11" t="str">
        <f aca="false">IF($I189="","",INDEX(CONSOLIDADO!$A$2:$A$801,$I189))</f>
        <v/>
      </c>
      <c r="C189" s="11" t="str">
        <f aca="false">IF($I189="","",INDEX(CONSOLIDADO!$B$2:$B$801,$I189))</f>
        <v/>
      </c>
      <c r="D189" s="16" t="str">
        <f aca="false">IF($I189="","",INDEX(CONSOLIDADO!$C$2:$C$801,$I189))</f>
        <v/>
      </c>
      <c r="E189" s="16" t="str">
        <f aca="false">IF($I189="","",INDEX(CONSOLIDADO!$D$2:$D$801,$I189))</f>
        <v/>
      </c>
      <c r="F189" s="14" t="str">
        <f aca="false">IF($I189="","",INDEX(CONSOLIDADO!$E$2:$E$801,$I189))</f>
        <v/>
      </c>
      <c r="G189" s="16" t="str">
        <f aca="false">IF($I189="","",INDEX(CONSOLIDADO!$G$2:$G$801,$I189))</f>
        <v/>
      </c>
      <c r="H189" s="16" t="str">
        <f aca="false">IF($I189="","",INDEX(CONSOLIDADO!$H$2:$H$801,$I189))</f>
        <v/>
      </c>
      <c r="I189" s="11" t="str">
        <f aca="false">IFERROR(MATCH(ROW()-1,CONSOLIDADO!$AJ$2:$AJ$801,0),"")</f>
        <v/>
      </c>
      <c r="J189" s="11" t="str">
        <f aca="false">IF(B189="","",F189&amp;" "&amp;C189&amp;" ("&amp;B189&amp;")")</f>
        <v/>
      </c>
    </row>
    <row r="190" customFormat="false" ht="15" hidden="false" customHeight="false" outlineLevel="0" collapsed="false">
      <c r="A190" s="16"/>
      <c r="B190" s="11" t="str">
        <f aca="false">IF($I190="","",INDEX(CONSOLIDADO!$A$2:$A$801,$I190))</f>
        <v/>
      </c>
      <c r="C190" s="11" t="str">
        <f aca="false">IF($I190="","",INDEX(CONSOLIDADO!$B$2:$B$801,$I190))</f>
        <v/>
      </c>
      <c r="D190" s="16" t="str">
        <f aca="false">IF($I190="","",INDEX(CONSOLIDADO!$C$2:$C$801,$I190))</f>
        <v/>
      </c>
      <c r="E190" s="16" t="str">
        <f aca="false">IF($I190="","",INDEX(CONSOLIDADO!$D$2:$D$801,$I190))</f>
        <v/>
      </c>
      <c r="F190" s="14" t="str">
        <f aca="false">IF($I190="","",INDEX(CONSOLIDADO!$E$2:$E$801,$I190))</f>
        <v/>
      </c>
      <c r="G190" s="16" t="str">
        <f aca="false">IF($I190="","",INDEX(CONSOLIDADO!$G$2:$G$801,$I190))</f>
        <v/>
      </c>
      <c r="H190" s="16" t="str">
        <f aca="false">IF($I190="","",INDEX(CONSOLIDADO!$H$2:$H$801,$I190))</f>
        <v/>
      </c>
      <c r="I190" s="11" t="str">
        <f aca="false">IFERROR(MATCH(ROW()-1,CONSOLIDADO!$AJ$2:$AJ$801,0),"")</f>
        <v/>
      </c>
      <c r="J190" s="11" t="str">
        <f aca="false">IF(B190="","",F190&amp;" "&amp;C190&amp;" ("&amp;B190&amp;")")</f>
        <v/>
      </c>
    </row>
    <row r="191" customFormat="false" ht="15" hidden="false" customHeight="false" outlineLevel="0" collapsed="false">
      <c r="A191" s="16"/>
      <c r="B191" s="11" t="str">
        <f aca="false">IF($I191="","",INDEX(CONSOLIDADO!$A$2:$A$801,$I191))</f>
        <v/>
      </c>
      <c r="C191" s="11" t="str">
        <f aca="false">IF($I191="","",INDEX(CONSOLIDADO!$B$2:$B$801,$I191))</f>
        <v/>
      </c>
      <c r="D191" s="16" t="str">
        <f aca="false">IF($I191="","",INDEX(CONSOLIDADO!$C$2:$C$801,$I191))</f>
        <v/>
      </c>
      <c r="E191" s="16" t="str">
        <f aca="false">IF($I191="","",INDEX(CONSOLIDADO!$D$2:$D$801,$I191))</f>
        <v/>
      </c>
      <c r="F191" s="14" t="str">
        <f aca="false">IF($I191="","",INDEX(CONSOLIDADO!$E$2:$E$801,$I191))</f>
        <v/>
      </c>
      <c r="G191" s="16" t="str">
        <f aca="false">IF($I191="","",INDEX(CONSOLIDADO!$G$2:$G$801,$I191))</f>
        <v/>
      </c>
      <c r="H191" s="16" t="str">
        <f aca="false">IF($I191="","",INDEX(CONSOLIDADO!$H$2:$H$801,$I191))</f>
        <v/>
      </c>
      <c r="I191" s="11" t="str">
        <f aca="false">IFERROR(MATCH(ROW()-1,CONSOLIDADO!$AJ$2:$AJ$801,0),"")</f>
        <v/>
      </c>
      <c r="J191" s="11" t="str">
        <f aca="false">IF(B191="","",F191&amp;" "&amp;C191&amp;" ("&amp;B191&amp;")")</f>
        <v/>
      </c>
    </row>
    <row r="192" customFormat="false" ht="15" hidden="false" customHeight="false" outlineLevel="0" collapsed="false">
      <c r="A192" s="16"/>
      <c r="B192" s="11" t="str">
        <f aca="false">IF($I192="","",INDEX(CONSOLIDADO!$A$2:$A$801,$I192))</f>
        <v/>
      </c>
      <c r="C192" s="11" t="str">
        <f aca="false">IF($I192="","",INDEX(CONSOLIDADO!$B$2:$B$801,$I192))</f>
        <v/>
      </c>
      <c r="D192" s="16" t="str">
        <f aca="false">IF($I192="","",INDEX(CONSOLIDADO!$C$2:$C$801,$I192))</f>
        <v/>
      </c>
      <c r="E192" s="16" t="str">
        <f aca="false">IF($I192="","",INDEX(CONSOLIDADO!$D$2:$D$801,$I192))</f>
        <v/>
      </c>
      <c r="F192" s="14" t="str">
        <f aca="false">IF($I192="","",INDEX(CONSOLIDADO!$E$2:$E$801,$I192))</f>
        <v/>
      </c>
      <c r="G192" s="16" t="str">
        <f aca="false">IF($I192="","",INDEX(CONSOLIDADO!$G$2:$G$801,$I192))</f>
        <v/>
      </c>
      <c r="H192" s="16" t="str">
        <f aca="false">IF($I192="","",INDEX(CONSOLIDADO!$H$2:$H$801,$I192))</f>
        <v/>
      </c>
      <c r="I192" s="11" t="str">
        <f aca="false">IFERROR(MATCH(ROW()-1,CONSOLIDADO!$AJ$2:$AJ$801,0),"")</f>
        <v/>
      </c>
      <c r="J192" s="11" t="str">
        <f aca="false">IF(B192="","",F192&amp;" "&amp;C192&amp;" ("&amp;B192&amp;")")</f>
        <v/>
      </c>
    </row>
    <row r="193" customFormat="false" ht="15" hidden="false" customHeight="false" outlineLevel="0" collapsed="false">
      <c r="A193" s="16"/>
      <c r="B193" s="11" t="str">
        <f aca="false">IF($I193="","",INDEX(CONSOLIDADO!$A$2:$A$801,$I193))</f>
        <v/>
      </c>
      <c r="C193" s="11" t="str">
        <f aca="false">IF($I193="","",INDEX(CONSOLIDADO!$B$2:$B$801,$I193))</f>
        <v/>
      </c>
      <c r="D193" s="16" t="str">
        <f aca="false">IF($I193="","",INDEX(CONSOLIDADO!$C$2:$C$801,$I193))</f>
        <v/>
      </c>
      <c r="E193" s="16" t="str">
        <f aca="false">IF($I193="","",INDEX(CONSOLIDADO!$D$2:$D$801,$I193))</f>
        <v/>
      </c>
      <c r="F193" s="14" t="str">
        <f aca="false">IF($I193="","",INDEX(CONSOLIDADO!$E$2:$E$801,$I193))</f>
        <v/>
      </c>
      <c r="G193" s="16" t="str">
        <f aca="false">IF($I193="","",INDEX(CONSOLIDADO!$G$2:$G$801,$I193))</f>
        <v/>
      </c>
      <c r="H193" s="16" t="str">
        <f aca="false">IF($I193="","",INDEX(CONSOLIDADO!$H$2:$H$801,$I193))</f>
        <v/>
      </c>
      <c r="I193" s="11" t="str">
        <f aca="false">IFERROR(MATCH(ROW()-1,CONSOLIDADO!$AJ$2:$AJ$801,0),"")</f>
        <v/>
      </c>
      <c r="J193" s="11" t="str">
        <f aca="false">IF(B193="","",F193&amp;" "&amp;C193&amp;" ("&amp;B193&amp;")")</f>
        <v/>
      </c>
    </row>
    <row r="194" customFormat="false" ht="15" hidden="false" customHeight="false" outlineLevel="0" collapsed="false">
      <c r="A194" s="16"/>
      <c r="B194" s="11" t="str">
        <f aca="false">IF($I194="","",INDEX(CONSOLIDADO!$A$2:$A$801,$I194))</f>
        <v/>
      </c>
      <c r="C194" s="11" t="str">
        <f aca="false">IF($I194="","",INDEX(CONSOLIDADO!$B$2:$B$801,$I194))</f>
        <v/>
      </c>
      <c r="D194" s="16" t="str">
        <f aca="false">IF($I194="","",INDEX(CONSOLIDADO!$C$2:$C$801,$I194))</f>
        <v/>
      </c>
      <c r="E194" s="16" t="str">
        <f aca="false">IF($I194="","",INDEX(CONSOLIDADO!$D$2:$D$801,$I194))</f>
        <v/>
      </c>
      <c r="F194" s="14" t="str">
        <f aca="false">IF($I194="","",INDEX(CONSOLIDADO!$E$2:$E$801,$I194))</f>
        <v/>
      </c>
      <c r="G194" s="16" t="str">
        <f aca="false">IF($I194="","",INDEX(CONSOLIDADO!$G$2:$G$801,$I194))</f>
        <v/>
      </c>
      <c r="H194" s="16" t="str">
        <f aca="false">IF($I194="","",INDEX(CONSOLIDADO!$H$2:$H$801,$I194))</f>
        <v/>
      </c>
      <c r="I194" s="11" t="str">
        <f aca="false">IFERROR(MATCH(ROW()-1,CONSOLIDADO!$AJ$2:$AJ$801,0),"")</f>
        <v/>
      </c>
      <c r="J194" s="11" t="str">
        <f aca="false">IF(B194="","",F194&amp;" "&amp;C194&amp;" ("&amp;B194&amp;")")</f>
        <v/>
      </c>
    </row>
    <row r="195" customFormat="false" ht="15" hidden="false" customHeight="false" outlineLevel="0" collapsed="false">
      <c r="A195" s="16"/>
      <c r="B195" s="11" t="str">
        <f aca="false">IF($I195="","",INDEX(CONSOLIDADO!$A$2:$A$801,$I195))</f>
        <v/>
      </c>
      <c r="C195" s="11" t="str">
        <f aca="false">IF($I195="","",INDEX(CONSOLIDADO!$B$2:$B$801,$I195))</f>
        <v/>
      </c>
      <c r="D195" s="16" t="str">
        <f aca="false">IF($I195="","",INDEX(CONSOLIDADO!$C$2:$C$801,$I195))</f>
        <v/>
      </c>
      <c r="E195" s="16" t="str">
        <f aca="false">IF($I195="","",INDEX(CONSOLIDADO!$D$2:$D$801,$I195))</f>
        <v/>
      </c>
      <c r="F195" s="14" t="str">
        <f aca="false">IF($I195="","",INDEX(CONSOLIDADO!$E$2:$E$801,$I195))</f>
        <v/>
      </c>
      <c r="G195" s="16" t="str">
        <f aca="false">IF($I195="","",INDEX(CONSOLIDADO!$G$2:$G$801,$I195))</f>
        <v/>
      </c>
      <c r="H195" s="16" t="str">
        <f aca="false">IF($I195="","",INDEX(CONSOLIDADO!$H$2:$H$801,$I195))</f>
        <v/>
      </c>
      <c r="I195" s="11" t="str">
        <f aca="false">IFERROR(MATCH(ROW()-1,CONSOLIDADO!$AJ$2:$AJ$801,0),"")</f>
        <v/>
      </c>
      <c r="J195" s="11" t="str">
        <f aca="false">IF(B195="","",F195&amp;" "&amp;C195&amp;" ("&amp;B195&amp;")")</f>
        <v/>
      </c>
    </row>
    <row r="196" customFormat="false" ht="15" hidden="false" customHeight="false" outlineLevel="0" collapsed="false">
      <c r="A196" s="16"/>
      <c r="B196" s="11" t="str">
        <f aca="false">IF($I196="","",INDEX(CONSOLIDADO!$A$2:$A$801,$I196))</f>
        <v/>
      </c>
      <c r="C196" s="11" t="str">
        <f aca="false">IF($I196="","",INDEX(CONSOLIDADO!$B$2:$B$801,$I196))</f>
        <v/>
      </c>
      <c r="D196" s="16" t="str">
        <f aca="false">IF($I196="","",INDEX(CONSOLIDADO!$C$2:$C$801,$I196))</f>
        <v/>
      </c>
      <c r="E196" s="16" t="str">
        <f aca="false">IF($I196="","",INDEX(CONSOLIDADO!$D$2:$D$801,$I196))</f>
        <v/>
      </c>
      <c r="F196" s="14" t="str">
        <f aca="false">IF($I196="","",INDEX(CONSOLIDADO!$E$2:$E$801,$I196))</f>
        <v/>
      </c>
      <c r="G196" s="16" t="str">
        <f aca="false">IF($I196="","",INDEX(CONSOLIDADO!$G$2:$G$801,$I196))</f>
        <v/>
      </c>
      <c r="H196" s="16" t="str">
        <f aca="false">IF($I196="","",INDEX(CONSOLIDADO!$H$2:$H$801,$I196))</f>
        <v/>
      </c>
      <c r="I196" s="11" t="str">
        <f aca="false">IFERROR(MATCH(ROW()-1,CONSOLIDADO!$AJ$2:$AJ$801,0),"")</f>
        <v/>
      </c>
      <c r="J196" s="11" t="str">
        <f aca="false">IF(B196="","",F196&amp;" "&amp;C196&amp;" ("&amp;B196&amp;")")</f>
        <v/>
      </c>
    </row>
    <row r="197" customFormat="false" ht="15" hidden="false" customHeight="false" outlineLevel="0" collapsed="false">
      <c r="A197" s="16"/>
      <c r="B197" s="11" t="str">
        <f aca="false">IF($I197="","",INDEX(CONSOLIDADO!$A$2:$A$801,$I197))</f>
        <v/>
      </c>
      <c r="C197" s="11" t="str">
        <f aca="false">IF($I197="","",INDEX(CONSOLIDADO!$B$2:$B$801,$I197))</f>
        <v/>
      </c>
      <c r="D197" s="16" t="str">
        <f aca="false">IF($I197="","",INDEX(CONSOLIDADO!$C$2:$C$801,$I197))</f>
        <v/>
      </c>
      <c r="E197" s="16" t="str">
        <f aca="false">IF($I197="","",INDEX(CONSOLIDADO!$D$2:$D$801,$I197))</f>
        <v/>
      </c>
      <c r="F197" s="14" t="str">
        <f aca="false">IF($I197="","",INDEX(CONSOLIDADO!$E$2:$E$801,$I197))</f>
        <v/>
      </c>
      <c r="G197" s="16" t="str">
        <f aca="false">IF($I197="","",INDEX(CONSOLIDADO!$G$2:$G$801,$I197))</f>
        <v/>
      </c>
      <c r="H197" s="16" t="str">
        <f aca="false">IF($I197="","",INDEX(CONSOLIDADO!$H$2:$H$801,$I197))</f>
        <v/>
      </c>
      <c r="I197" s="11" t="str">
        <f aca="false">IFERROR(MATCH(ROW()-1,CONSOLIDADO!$AJ$2:$AJ$801,0),"")</f>
        <v/>
      </c>
      <c r="J197" s="11" t="str">
        <f aca="false">IF(B197="","",F197&amp;" "&amp;C197&amp;" ("&amp;B197&amp;")")</f>
        <v/>
      </c>
    </row>
    <row r="198" customFormat="false" ht="15" hidden="false" customHeight="false" outlineLevel="0" collapsed="false">
      <c r="A198" s="16"/>
      <c r="B198" s="11" t="str">
        <f aca="false">IF($I198="","",INDEX(CONSOLIDADO!$A$2:$A$801,$I198))</f>
        <v/>
      </c>
      <c r="C198" s="11" t="str">
        <f aca="false">IF($I198="","",INDEX(CONSOLIDADO!$B$2:$B$801,$I198))</f>
        <v/>
      </c>
      <c r="D198" s="16" t="str">
        <f aca="false">IF($I198="","",INDEX(CONSOLIDADO!$C$2:$C$801,$I198))</f>
        <v/>
      </c>
      <c r="E198" s="16" t="str">
        <f aca="false">IF($I198="","",INDEX(CONSOLIDADO!$D$2:$D$801,$I198))</f>
        <v/>
      </c>
      <c r="F198" s="14" t="str">
        <f aca="false">IF($I198="","",INDEX(CONSOLIDADO!$E$2:$E$801,$I198))</f>
        <v/>
      </c>
      <c r="G198" s="16" t="str">
        <f aca="false">IF($I198="","",INDEX(CONSOLIDADO!$G$2:$G$801,$I198))</f>
        <v/>
      </c>
      <c r="H198" s="16" t="str">
        <f aca="false">IF($I198="","",INDEX(CONSOLIDADO!$H$2:$H$801,$I198))</f>
        <v/>
      </c>
      <c r="I198" s="11" t="str">
        <f aca="false">IFERROR(MATCH(ROW()-1,CONSOLIDADO!$AJ$2:$AJ$801,0),"")</f>
        <v/>
      </c>
      <c r="J198" s="11" t="str">
        <f aca="false">IF(B198="","",F198&amp;" "&amp;C198&amp;" ("&amp;B198&amp;")")</f>
        <v/>
      </c>
    </row>
    <row r="199" customFormat="false" ht="15" hidden="false" customHeight="false" outlineLevel="0" collapsed="false">
      <c r="A199" s="16"/>
      <c r="B199" s="11" t="str">
        <f aca="false">IF($I199="","",INDEX(CONSOLIDADO!$A$2:$A$801,$I199))</f>
        <v/>
      </c>
      <c r="C199" s="11" t="str">
        <f aca="false">IF($I199="","",INDEX(CONSOLIDADO!$B$2:$B$801,$I199))</f>
        <v/>
      </c>
      <c r="D199" s="16" t="str">
        <f aca="false">IF($I199="","",INDEX(CONSOLIDADO!$C$2:$C$801,$I199))</f>
        <v/>
      </c>
      <c r="E199" s="16" t="str">
        <f aca="false">IF($I199="","",INDEX(CONSOLIDADO!$D$2:$D$801,$I199))</f>
        <v/>
      </c>
      <c r="F199" s="14" t="str">
        <f aca="false">IF($I199="","",INDEX(CONSOLIDADO!$E$2:$E$801,$I199))</f>
        <v/>
      </c>
      <c r="G199" s="16" t="str">
        <f aca="false">IF($I199="","",INDEX(CONSOLIDADO!$G$2:$G$801,$I199))</f>
        <v/>
      </c>
      <c r="H199" s="16" t="str">
        <f aca="false">IF($I199="","",INDEX(CONSOLIDADO!$H$2:$H$801,$I199))</f>
        <v/>
      </c>
      <c r="I199" s="11" t="str">
        <f aca="false">IFERROR(MATCH(ROW()-1,CONSOLIDADO!$AJ$2:$AJ$801,0),"")</f>
        <v/>
      </c>
      <c r="J199" s="11" t="str">
        <f aca="false">IF(B199="","",F199&amp;" "&amp;C199&amp;" ("&amp;B199&amp;")")</f>
        <v/>
      </c>
    </row>
    <row r="200" customFormat="false" ht="15" hidden="false" customHeight="false" outlineLevel="0" collapsed="false">
      <c r="A200" s="16"/>
      <c r="B200" s="11" t="str">
        <f aca="false">IF($I200="","",INDEX(CONSOLIDADO!$A$2:$A$801,$I200))</f>
        <v/>
      </c>
      <c r="C200" s="11" t="str">
        <f aca="false">IF($I200="","",INDEX(CONSOLIDADO!$B$2:$B$801,$I200))</f>
        <v/>
      </c>
      <c r="D200" s="16" t="str">
        <f aca="false">IF($I200="","",INDEX(CONSOLIDADO!$C$2:$C$801,$I200))</f>
        <v/>
      </c>
      <c r="E200" s="16" t="str">
        <f aca="false">IF($I200="","",INDEX(CONSOLIDADO!$D$2:$D$801,$I200))</f>
        <v/>
      </c>
      <c r="F200" s="14" t="str">
        <f aca="false">IF($I200="","",INDEX(CONSOLIDADO!$E$2:$E$801,$I200))</f>
        <v/>
      </c>
      <c r="G200" s="16" t="str">
        <f aca="false">IF($I200="","",INDEX(CONSOLIDADO!$G$2:$G$801,$I200))</f>
        <v/>
      </c>
      <c r="H200" s="16" t="str">
        <f aca="false">IF($I200="","",INDEX(CONSOLIDADO!$H$2:$H$801,$I200))</f>
        <v/>
      </c>
      <c r="I200" s="11" t="str">
        <f aca="false">IFERROR(MATCH(ROW()-1,CONSOLIDADO!$AJ$2:$AJ$801,0),"")</f>
        <v/>
      </c>
      <c r="J200" s="11" t="str">
        <f aca="false">IF(B200="","",F200&amp;" "&amp;C200&amp;" ("&amp;B200&amp;")")</f>
        <v/>
      </c>
    </row>
    <row r="201" customFormat="false" ht="15" hidden="false" customHeight="false" outlineLevel="0" collapsed="false">
      <c r="A201" s="16"/>
      <c r="B201" s="11" t="str">
        <f aca="false">IF($I201="","",INDEX(CONSOLIDADO!$A$2:$A$801,$I201))</f>
        <v/>
      </c>
      <c r="C201" s="11" t="str">
        <f aca="false">IF($I201="","",INDEX(CONSOLIDADO!$B$2:$B$801,$I201))</f>
        <v/>
      </c>
      <c r="D201" s="16" t="str">
        <f aca="false">IF($I201="","",INDEX(CONSOLIDADO!$C$2:$C$801,$I201))</f>
        <v/>
      </c>
      <c r="E201" s="16" t="str">
        <f aca="false">IF($I201="","",INDEX(CONSOLIDADO!$D$2:$D$801,$I201))</f>
        <v/>
      </c>
      <c r="F201" s="14" t="str">
        <f aca="false">IF($I201="","",INDEX(CONSOLIDADO!$E$2:$E$801,$I201))</f>
        <v/>
      </c>
      <c r="G201" s="16" t="str">
        <f aca="false">IF($I201="","",INDEX(CONSOLIDADO!$G$2:$G$801,$I201))</f>
        <v/>
      </c>
      <c r="H201" s="16" t="str">
        <f aca="false">IF($I201="","",INDEX(CONSOLIDADO!$H$2:$H$801,$I201))</f>
        <v/>
      </c>
      <c r="I201" s="11" t="str">
        <f aca="false">IFERROR(MATCH(ROW()-1,CONSOLIDADO!$AJ$2:$AJ$801,0),"")</f>
        <v/>
      </c>
      <c r="J201" s="11" t="str">
        <f aca="false">IF(B201="","",F201&amp;" "&amp;C201&amp;" ("&amp;B201&amp;")")</f>
        <v/>
      </c>
    </row>
    <row r="202" customFormat="false" ht="15" hidden="false" customHeight="false" outlineLevel="0" collapsed="false">
      <c r="A202" s="16"/>
      <c r="B202" s="11" t="str">
        <f aca="false">IF($I202="","",INDEX(CONSOLIDADO!$A$2:$A$801,$I202))</f>
        <v/>
      </c>
      <c r="C202" s="11" t="str">
        <f aca="false">IF($I202="","",INDEX(CONSOLIDADO!$B$2:$B$801,$I202))</f>
        <v/>
      </c>
      <c r="D202" s="16" t="str">
        <f aca="false">IF($I202="","",INDEX(CONSOLIDADO!$C$2:$C$801,$I202))</f>
        <v/>
      </c>
      <c r="E202" s="16" t="str">
        <f aca="false">IF($I202="","",INDEX(CONSOLIDADO!$D$2:$D$801,$I202))</f>
        <v/>
      </c>
      <c r="F202" s="14" t="str">
        <f aca="false">IF($I202="","",INDEX(CONSOLIDADO!$E$2:$E$801,$I202))</f>
        <v/>
      </c>
      <c r="G202" s="16" t="str">
        <f aca="false">IF($I202="","",INDEX(CONSOLIDADO!$G$2:$G$801,$I202))</f>
        <v/>
      </c>
      <c r="H202" s="16" t="str">
        <f aca="false">IF($I202="","",INDEX(CONSOLIDADO!$H$2:$H$801,$I202))</f>
        <v/>
      </c>
      <c r="I202" s="11" t="str">
        <f aca="false">IFERROR(MATCH(ROW()-1,CONSOLIDADO!$AJ$2:$AJ$801,0),"")</f>
        <v/>
      </c>
      <c r="J202" s="11" t="str">
        <f aca="false">IF(B202="","",F202&amp;" "&amp;C202&amp;" ("&amp;B202&amp;")")</f>
        <v/>
      </c>
    </row>
    <row r="203" customFormat="false" ht="15" hidden="false" customHeight="false" outlineLevel="0" collapsed="false">
      <c r="A203" s="16"/>
      <c r="B203" s="11" t="str">
        <f aca="false">IF($I203="","",INDEX(CONSOLIDADO!$A$2:$A$801,$I203))</f>
        <v/>
      </c>
      <c r="C203" s="11" t="str">
        <f aca="false">IF($I203="","",INDEX(CONSOLIDADO!$B$2:$B$801,$I203))</f>
        <v/>
      </c>
      <c r="D203" s="16" t="str">
        <f aca="false">IF($I203="","",INDEX(CONSOLIDADO!$C$2:$C$801,$I203))</f>
        <v/>
      </c>
      <c r="E203" s="16" t="str">
        <f aca="false">IF($I203="","",INDEX(CONSOLIDADO!$D$2:$D$801,$I203))</f>
        <v/>
      </c>
      <c r="F203" s="14" t="str">
        <f aca="false">IF($I203="","",INDEX(CONSOLIDADO!$E$2:$E$801,$I203))</f>
        <v/>
      </c>
      <c r="G203" s="16" t="str">
        <f aca="false">IF($I203="","",INDEX(CONSOLIDADO!$G$2:$G$801,$I203))</f>
        <v/>
      </c>
      <c r="H203" s="16" t="str">
        <f aca="false">IF($I203="","",INDEX(CONSOLIDADO!$H$2:$H$801,$I203))</f>
        <v/>
      </c>
      <c r="I203" s="11" t="str">
        <f aca="false">IFERROR(MATCH(ROW()-1,CONSOLIDADO!$AJ$2:$AJ$801,0),"")</f>
        <v/>
      </c>
      <c r="J203" s="11" t="str">
        <f aca="false">IF(B203="","",F203&amp;" "&amp;C203&amp;" ("&amp;B203&amp;")")</f>
        <v/>
      </c>
    </row>
    <row r="204" customFormat="false" ht="15" hidden="false" customHeight="false" outlineLevel="0" collapsed="false">
      <c r="A204" s="16"/>
      <c r="B204" s="11" t="str">
        <f aca="false">IF($I204="","",INDEX(CONSOLIDADO!$A$2:$A$801,$I204))</f>
        <v/>
      </c>
      <c r="C204" s="11" t="str">
        <f aca="false">IF($I204="","",INDEX(CONSOLIDADO!$B$2:$B$801,$I204))</f>
        <v/>
      </c>
      <c r="D204" s="16" t="str">
        <f aca="false">IF($I204="","",INDEX(CONSOLIDADO!$C$2:$C$801,$I204))</f>
        <v/>
      </c>
      <c r="E204" s="16" t="str">
        <f aca="false">IF($I204="","",INDEX(CONSOLIDADO!$D$2:$D$801,$I204))</f>
        <v/>
      </c>
      <c r="F204" s="14" t="str">
        <f aca="false">IF($I204="","",INDEX(CONSOLIDADO!$E$2:$E$801,$I204))</f>
        <v/>
      </c>
      <c r="G204" s="16" t="str">
        <f aca="false">IF($I204="","",INDEX(CONSOLIDADO!$G$2:$G$801,$I204))</f>
        <v/>
      </c>
      <c r="H204" s="16" t="str">
        <f aca="false">IF($I204="","",INDEX(CONSOLIDADO!$H$2:$H$801,$I204))</f>
        <v/>
      </c>
      <c r="I204" s="11" t="str">
        <f aca="false">IFERROR(MATCH(ROW()-1,CONSOLIDADO!$AJ$2:$AJ$801,0),"")</f>
        <v/>
      </c>
      <c r="J204" s="11" t="str">
        <f aca="false">IF(B204="","",F204&amp;" "&amp;C204&amp;" ("&amp;B204&amp;")")</f>
        <v/>
      </c>
    </row>
    <row r="205" customFormat="false" ht="15" hidden="false" customHeight="false" outlineLevel="0" collapsed="false">
      <c r="A205" s="16"/>
      <c r="B205" s="11" t="str">
        <f aca="false">IF($I205="","",INDEX(CONSOLIDADO!$A$2:$A$801,$I205))</f>
        <v/>
      </c>
      <c r="C205" s="11" t="str">
        <f aca="false">IF($I205="","",INDEX(CONSOLIDADO!$B$2:$B$801,$I205))</f>
        <v/>
      </c>
      <c r="D205" s="16" t="str">
        <f aca="false">IF($I205="","",INDEX(CONSOLIDADO!$C$2:$C$801,$I205))</f>
        <v/>
      </c>
      <c r="E205" s="16" t="str">
        <f aca="false">IF($I205="","",INDEX(CONSOLIDADO!$D$2:$D$801,$I205))</f>
        <v/>
      </c>
      <c r="F205" s="14" t="str">
        <f aca="false">IF($I205="","",INDEX(CONSOLIDADO!$E$2:$E$801,$I205))</f>
        <v/>
      </c>
      <c r="G205" s="16" t="str">
        <f aca="false">IF($I205="","",INDEX(CONSOLIDADO!$G$2:$G$801,$I205))</f>
        <v/>
      </c>
      <c r="H205" s="16" t="str">
        <f aca="false">IF($I205="","",INDEX(CONSOLIDADO!$H$2:$H$801,$I205))</f>
        <v/>
      </c>
      <c r="I205" s="11" t="str">
        <f aca="false">IFERROR(MATCH(ROW()-1,CONSOLIDADO!$AJ$2:$AJ$801,0),"")</f>
        <v/>
      </c>
      <c r="J205" s="11" t="str">
        <f aca="false">IF(B205="","",F205&amp;" "&amp;C205&amp;" ("&amp;B205&amp;")")</f>
        <v/>
      </c>
    </row>
    <row r="206" customFormat="false" ht="15" hidden="false" customHeight="false" outlineLevel="0" collapsed="false">
      <c r="A206" s="16"/>
      <c r="B206" s="11" t="str">
        <f aca="false">IF($I206="","",INDEX(CONSOLIDADO!$A$2:$A$801,$I206))</f>
        <v/>
      </c>
      <c r="C206" s="11" t="str">
        <f aca="false">IF($I206="","",INDEX(CONSOLIDADO!$B$2:$B$801,$I206))</f>
        <v/>
      </c>
      <c r="D206" s="16" t="str">
        <f aca="false">IF($I206="","",INDEX(CONSOLIDADO!$C$2:$C$801,$I206))</f>
        <v/>
      </c>
      <c r="E206" s="16" t="str">
        <f aca="false">IF($I206="","",INDEX(CONSOLIDADO!$D$2:$D$801,$I206))</f>
        <v/>
      </c>
      <c r="F206" s="14" t="str">
        <f aca="false">IF($I206="","",INDEX(CONSOLIDADO!$E$2:$E$801,$I206))</f>
        <v/>
      </c>
      <c r="G206" s="16" t="str">
        <f aca="false">IF($I206="","",INDEX(CONSOLIDADO!$G$2:$G$801,$I206))</f>
        <v/>
      </c>
      <c r="H206" s="16" t="str">
        <f aca="false">IF($I206="","",INDEX(CONSOLIDADO!$H$2:$H$801,$I206))</f>
        <v/>
      </c>
      <c r="I206" s="11" t="str">
        <f aca="false">IFERROR(MATCH(ROW()-1,CONSOLIDADO!$AJ$2:$AJ$801,0),"")</f>
        <v/>
      </c>
      <c r="J206" s="11" t="str">
        <f aca="false">IF(B206="","",F206&amp;" "&amp;C206&amp;" ("&amp;B206&amp;")")</f>
        <v/>
      </c>
    </row>
    <row r="207" customFormat="false" ht="15" hidden="false" customHeight="false" outlineLevel="0" collapsed="false">
      <c r="A207" s="16"/>
      <c r="B207" s="11" t="str">
        <f aca="false">IF($I207="","",INDEX(CONSOLIDADO!$A$2:$A$801,$I207))</f>
        <v/>
      </c>
      <c r="C207" s="11" t="str">
        <f aca="false">IF($I207="","",INDEX(CONSOLIDADO!$B$2:$B$801,$I207))</f>
        <v/>
      </c>
      <c r="D207" s="16" t="str">
        <f aca="false">IF($I207="","",INDEX(CONSOLIDADO!$C$2:$C$801,$I207))</f>
        <v/>
      </c>
      <c r="E207" s="16" t="str">
        <f aca="false">IF($I207="","",INDEX(CONSOLIDADO!$D$2:$D$801,$I207))</f>
        <v/>
      </c>
      <c r="F207" s="14" t="str">
        <f aca="false">IF($I207="","",INDEX(CONSOLIDADO!$E$2:$E$801,$I207))</f>
        <v/>
      </c>
      <c r="G207" s="16" t="str">
        <f aca="false">IF($I207="","",INDEX(CONSOLIDADO!$G$2:$G$801,$I207))</f>
        <v/>
      </c>
      <c r="H207" s="16" t="str">
        <f aca="false">IF($I207="","",INDEX(CONSOLIDADO!$H$2:$H$801,$I207))</f>
        <v/>
      </c>
      <c r="I207" s="11" t="str">
        <f aca="false">IFERROR(MATCH(ROW()-1,CONSOLIDADO!$AJ$2:$AJ$801,0),"")</f>
        <v/>
      </c>
      <c r="J207" s="11" t="str">
        <f aca="false">IF(B207="","",F207&amp;" "&amp;C207&amp;" ("&amp;B207&amp;")")</f>
        <v/>
      </c>
    </row>
    <row r="208" customFormat="false" ht="15" hidden="false" customHeight="false" outlineLevel="0" collapsed="false">
      <c r="A208" s="16"/>
      <c r="B208" s="11" t="str">
        <f aca="false">IF($I208="","",INDEX(CONSOLIDADO!$A$2:$A$801,$I208))</f>
        <v/>
      </c>
      <c r="C208" s="11" t="str">
        <f aca="false">IF($I208="","",INDEX(CONSOLIDADO!$B$2:$B$801,$I208))</f>
        <v/>
      </c>
      <c r="D208" s="16" t="str">
        <f aca="false">IF($I208="","",INDEX(CONSOLIDADO!$C$2:$C$801,$I208))</f>
        <v/>
      </c>
      <c r="E208" s="16" t="str">
        <f aca="false">IF($I208="","",INDEX(CONSOLIDADO!$D$2:$D$801,$I208))</f>
        <v/>
      </c>
      <c r="F208" s="14" t="str">
        <f aca="false">IF($I208="","",INDEX(CONSOLIDADO!$E$2:$E$801,$I208))</f>
        <v/>
      </c>
      <c r="G208" s="16" t="str">
        <f aca="false">IF($I208="","",INDEX(CONSOLIDADO!$G$2:$G$801,$I208))</f>
        <v/>
      </c>
      <c r="H208" s="16" t="str">
        <f aca="false">IF($I208="","",INDEX(CONSOLIDADO!$H$2:$H$801,$I208))</f>
        <v/>
      </c>
      <c r="I208" s="11" t="str">
        <f aca="false">IFERROR(MATCH(ROW()-1,CONSOLIDADO!$AJ$2:$AJ$801,0),"")</f>
        <v/>
      </c>
      <c r="J208" s="11" t="str">
        <f aca="false">IF(B208="","",F208&amp;" "&amp;C208&amp;" ("&amp;B208&amp;")")</f>
        <v/>
      </c>
    </row>
    <row r="209" customFormat="false" ht="15" hidden="false" customHeight="false" outlineLevel="0" collapsed="false">
      <c r="A209" s="16"/>
      <c r="B209" s="11" t="str">
        <f aca="false">IF($I209="","",INDEX(CONSOLIDADO!$A$2:$A$801,$I209))</f>
        <v/>
      </c>
      <c r="C209" s="11" t="str">
        <f aca="false">IF($I209="","",INDEX(CONSOLIDADO!$B$2:$B$801,$I209))</f>
        <v/>
      </c>
      <c r="D209" s="16" t="str">
        <f aca="false">IF($I209="","",INDEX(CONSOLIDADO!$C$2:$C$801,$I209))</f>
        <v/>
      </c>
      <c r="E209" s="16" t="str">
        <f aca="false">IF($I209="","",INDEX(CONSOLIDADO!$D$2:$D$801,$I209))</f>
        <v/>
      </c>
      <c r="F209" s="14" t="str">
        <f aca="false">IF($I209="","",INDEX(CONSOLIDADO!$E$2:$E$801,$I209))</f>
        <v/>
      </c>
      <c r="G209" s="16" t="str">
        <f aca="false">IF($I209="","",INDEX(CONSOLIDADO!$G$2:$G$801,$I209))</f>
        <v/>
      </c>
      <c r="H209" s="16" t="str">
        <f aca="false">IF($I209="","",INDEX(CONSOLIDADO!$H$2:$H$801,$I209))</f>
        <v/>
      </c>
      <c r="I209" s="11" t="str">
        <f aca="false">IFERROR(MATCH(ROW()-1,CONSOLIDADO!$AJ$2:$AJ$801,0),"")</f>
        <v/>
      </c>
      <c r="J209" s="11" t="str">
        <f aca="false">IF(B209="","",F209&amp;" "&amp;C209&amp;" ("&amp;B209&amp;")")</f>
        <v/>
      </c>
    </row>
    <row r="210" customFormat="false" ht="15" hidden="false" customHeight="false" outlineLevel="0" collapsed="false">
      <c r="A210" s="16"/>
      <c r="B210" s="11" t="str">
        <f aca="false">IF($I210="","",INDEX(CONSOLIDADO!$A$2:$A$801,$I210))</f>
        <v/>
      </c>
      <c r="C210" s="11" t="str">
        <f aca="false">IF($I210="","",INDEX(CONSOLIDADO!$B$2:$B$801,$I210))</f>
        <v/>
      </c>
      <c r="D210" s="16" t="str">
        <f aca="false">IF($I210="","",INDEX(CONSOLIDADO!$C$2:$C$801,$I210))</f>
        <v/>
      </c>
      <c r="E210" s="16" t="str">
        <f aca="false">IF($I210="","",INDEX(CONSOLIDADO!$D$2:$D$801,$I210))</f>
        <v/>
      </c>
      <c r="F210" s="14" t="str">
        <f aca="false">IF($I210="","",INDEX(CONSOLIDADO!$E$2:$E$801,$I210))</f>
        <v/>
      </c>
      <c r="G210" s="16" t="str">
        <f aca="false">IF($I210="","",INDEX(CONSOLIDADO!$G$2:$G$801,$I210))</f>
        <v/>
      </c>
      <c r="H210" s="16" t="str">
        <f aca="false">IF($I210="","",INDEX(CONSOLIDADO!$H$2:$H$801,$I210))</f>
        <v/>
      </c>
      <c r="I210" s="11" t="str">
        <f aca="false">IFERROR(MATCH(ROW()-1,CONSOLIDADO!$AJ$2:$AJ$801,0),"")</f>
        <v/>
      </c>
      <c r="J210" s="11" t="str">
        <f aca="false">IF(B210="","",F210&amp;" "&amp;C210&amp;" ("&amp;B210&amp;")")</f>
        <v/>
      </c>
    </row>
    <row r="211" customFormat="false" ht="15" hidden="false" customHeight="false" outlineLevel="0" collapsed="false">
      <c r="A211" s="16"/>
      <c r="B211" s="11" t="str">
        <f aca="false">IF($I211="","",INDEX(CONSOLIDADO!$A$2:$A$801,$I211))</f>
        <v/>
      </c>
      <c r="C211" s="11" t="str">
        <f aca="false">IF($I211="","",INDEX(CONSOLIDADO!$B$2:$B$801,$I211))</f>
        <v/>
      </c>
      <c r="D211" s="16" t="str">
        <f aca="false">IF($I211="","",INDEX(CONSOLIDADO!$C$2:$C$801,$I211))</f>
        <v/>
      </c>
      <c r="E211" s="16" t="str">
        <f aca="false">IF($I211="","",INDEX(CONSOLIDADO!$D$2:$D$801,$I211))</f>
        <v/>
      </c>
      <c r="F211" s="14" t="str">
        <f aca="false">IF($I211="","",INDEX(CONSOLIDADO!$E$2:$E$801,$I211))</f>
        <v/>
      </c>
      <c r="G211" s="16" t="str">
        <f aca="false">IF($I211="","",INDEX(CONSOLIDADO!$G$2:$G$801,$I211))</f>
        <v/>
      </c>
      <c r="H211" s="16" t="str">
        <f aca="false">IF($I211="","",INDEX(CONSOLIDADO!$H$2:$H$801,$I211))</f>
        <v/>
      </c>
      <c r="I211" s="11" t="str">
        <f aca="false">IFERROR(MATCH(ROW()-1,CONSOLIDADO!$AJ$2:$AJ$801,0),"")</f>
        <v/>
      </c>
      <c r="J211" s="11" t="str">
        <f aca="false">IF(B211="","",F211&amp;" "&amp;C211&amp;" ("&amp;B211&amp;")")</f>
        <v/>
      </c>
    </row>
    <row r="212" customFormat="false" ht="15" hidden="false" customHeight="false" outlineLevel="0" collapsed="false">
      <c r="A212" s="16"/>
      <c r="B212" s="11" t="str">
        <f aca="false">IF($I212="","",INDEX(CONSOLIDADO!$A$2:$A$801,$I212))</f>
        <v/>
      </c>
      <c r="C212" s="11" t="str">
        <f aca="false">IF($I212="","",INDEX(CONSOLIDADO!$B$2:$B$801,$I212))</f>
        <v/>
      </c>
      <c r="D212" s="16" t="str">
        <f aca="false">IF($I212="","",INDEX(CONSOLIDADO!$C$2:$C$801,$I212))</f>
        <v/>
      </c>
      <c r="E212" s="16" t="str">
        <f aca="false">IF($I212="","",INDEX(CONSOLIDADO!$D$2:$D$801,$I212))</f>
        <v/>
      </c>
      <c r="F212" s="14" t="str">
        <f aca="false">IF($I212="","",INDEX(CONSOLIDADO!$E$2:$E$801,$I212))</f>
        <v/>
      </c>
      <c r="G212" s="16" t="str">
        <f aca="false">IF($I212="","",INDEX(CONSOLIDADO!$G$2:$G$801,$I212))</f>
        <v/>
      </c>
      <c r="H212" s="16" t="str">
        <f aca="false">IF($I212="","",INDEX(CONSOLIDADO!$H$2:$H$801,$I212))</f>
        <v/>
      </c>
      <c r="I212" s="11" t="str">
        <f aca="false">IFERROR(MATCH(ROW()-1,CONSOLIDADO!$AJ$2:$AJ$801,0),"")</f>
        <v/>
      </c>
      <c r="J212" s="11" t="str">
        <f aca="false">IF(B212="","",F212&amp;" "&amp;C212&amp;" ("&amp;B212&amp;")")</f>
        <v/>
      </c>
    </row>
    <row r="213" customFormat="false" ht="15" hidden="false" customHeight="false" outlineLevel="0" collapsed="false">
      <c r="A213" s="16"/>
      <c r="B213" s="11" t="str">
        <f aca="false">IF($I213="","",INDEX(CONSOLIDADO!$A$2:$A$801,$I213))</f>
        <v/>
      </c>
      <c r="C213" s="11" t="str">
        <f aca="false">IF($I213="","",INDEX(CONSOLIDADO!$B$2:$B$801,$I213))</f>
        <v/>
      </c>
      <c r="D213" s="16" t="str">
        <f aca="false">IF($I213="","",INDEX(CONSOLIDADO!$C$2:$C$801,$I213))</f>
        <v/>
      </c>
      <c r="E213" s="16" t="str">
        <f aca="false">IF($I213="","",INDEX(CONSOLIDADO!$D$2:$D$801,$I213))</f>
        <v/>
      </c>
      <c r="F213" s="14" t="str">
        <f aca="false">IF($I213="","",INDEX(CONSOLIDADO!$E$2:$E$801,$I213))</f>
        <v/>
      </c>
      <c r="G213" s="16" t="str">
        <f aca="false">IF($I213="","",INDEX(CONSOLIDADO!$G$2:$G$801,$I213))</f>
        <v/>
      </c>
      <c r="H213" s="16" t="str">
        <f aca="false">IF($I213="","",INDEX(CONSOLIDADO!$H$2:$H$801,$I213))</f>
        <v/>
      </c>
      <c r="I213" s="11" t="str">
        <f aca="false">IFERROR(MATCH(ROW()-1,CONSOLIDADO!$AJ$2:$AJ$801,0),"")</f>
        <v/>
      </c>
      <c r="J213" s="11" t="str">
        <f aca="false">IF(B213="","",F213&amp;" "&amp;C213&amp;" ("&amp;B213&amp;")")</f>
        <v/>
      </c>
    </row>
    <row r="214" customFormat="false" ht="15" hidden="false" customHeight="false" outlineLevel="0" collapsed="false">
      <c r="A214" s="16"/>
      <c r="B214" s="11" t="str">
        <f aca="false">IF($I214="","",INDEX(CONSOLIDADO!$A$2:$A$801,$I214))</f>
        <v/>
      </c>
      <c r="C214" s="11" t="str">
        <f aca="false">IF($I214="","",INDEX(CONSOLIDADO!$B$2:$B$801,$I214))</f>
        <v/>
      </c>
      <c r="D214" s="16" t="str">
        <f aca="false">IF($I214="","",INDEX(CONSOLIDADO!$C$2:$C$801,$I214))</f>
        <v/>
      </c>
      <c r="E214" s="16" t="str">
        <f aca="false">IF($I214="","",INDEX(CONSOLIDADO!$D$2:$D$801,$I214))</f>
        <v/>
      </c>
      <c r="F214" s="14" t="str">
        <f aca="false">IF($I214="","",INDEX(CONSOLIDADO!$E$2:$E$801,$I214))</f>
        <v/>
      </c>
      <c r="G214" s="16" t="str">
        <f aca="false">IF($I214="","",INDEX(CONSOLIDADO!$G$2:$G$801,$I214))</f>
        <v/>
      </c>
      <c r="H214" s="16" t="str">
        <f aca="false">IF($I214="","",INDEX(CONSOLIDADO!$H$2:$H$801,$I214))</f>
        <v/>
      </c>
      <c r="I214" s="11" t="str">
        <f aca="false">IFERROR(MATCH(ROW()-1,CONSOLIDADO!$AJ$2:$AJ$801,0),"")</f>
        <v/>
      </c>
      <c r="J214" s="11" t="str">
        <f aca="false">IF(B214="","",F214&amp;" "&amp;C214&amp;" ("&amp;B214&amp;")")</f>
        <v/>
      </c>
    </row>
    <row r="215" customFormat="false" ht="15" hidden="false" customHeight="false" outlineLevel="0" collapsed="false">
      <c r="A215" s="16"/>
      <c r="B215" s="11" t="str">
        <f aca="false">IF($I215="","",INDEX(CONSOLIDADO!$A$2:$A$801,$I215))</f>
        <v/>
      </c>
      <c r="C215" s="11" t="str">
        <f aca="false">IF($I215="","",INDEX(CONSOLIDADO!$B$2:$B$801,$I215))</f>
        <v/>
      </c>
      <c r="D215" s="16" t="str">
        <f aca="false">IF($I215="","",INDEX(CONSOLIDADO!$C$2:$C$801,$I215))</f>
        <v/>
      </c>
      <c r="E215" s="16" t="str">
        <f aca="false">IF($I215="","",INDEX(CONSOLIDADO!$D$2:$D$801,$I215))</f>
        <v/>
      </c>
      <c r="F215" s="14" t="str">
        <f aca="false">IF($I215="","",INDEX(CONSOLIDADO!$E$2:$E$801,$I215))</f>
        <v/>
      </c>
      <c r="G215" s="16" t="str">
        <f aca="false">IF($I215="","",INDEX(CONSOLIDADO!$G$2:$G$801,$I215))</f>
        <v/>
      </c>
      <c r="H215" s="16" t="str">
        <f aca="false">IF($I215="","",INDEX(CONSOLIDADO!$H$2:$H$801,$I215))</f>
        <v/>
      </c>
      <c r="I215" s="11" t="str">
        <f aca="false">IFERROR(MATCH(ROW()-1,CONSOLIDADO!$AJ$2:$AJ$801,0),"")</f>
        <v/>
      </c>
      <c r="J215" s="11" t="str">
        <f aca="false">IF(B215="","",F215&amp;" "&amp;C215&amp;" ("&amp;B215&amp;")")</f>
        <v/>
      </c>
    </row>
    <row r="216" customFormat="false" ht="15" hidden="false" customHeight="false" outlineLevel="0" collapsed="false">
      <c r="A216" s="16"/>
      <c r="B216" s="11" t="str">
        <f aca="false">IF($I216="","",INDEX(CONSOLIDADO!$A$2:$A$801,$I216))</f>
        <v/>
      </c>
      <c r="C216" s="11" t="str">
        <f aca="false">IF($I216="","",INDEX(CONSOLIDADO!$B$2:$B$801,$I216))</f>
        <v/>
      </c>
      <c r="D216" s="16" t="str">
        <f aca="false">IF($I216="","",INDEX(CONSOLIDADO!$C$2:$C$801,$I216))</f>
        <v/>
      </c>
      <c r="E216" s="16" t="str">
        <f aca="false">IF($I216="","",INDEX(CONSOLIDADO!$D$2:$D$801,$I216))</f>
        <v/>
      </c>
      <c r="F216" s="14" t="str">
        <f aca="false">IF($I216="","",INDEX(CONSOLIDADO!$E$2:$E$801,$I216))</f>
        <v/>
      </c>
      <c r="G216" s="16" t="str">
        <f aca="false">IF($I216="","",INDEX(CONSOLIDADO!$G$2:$G$801,$I216))</f>
        <v/>
      </c>
      <c r="H216" s="16" t="str">
        <f aca="false">IF($I216="","",INDEX(CONSOLIDADO!$H$2:$H$801,$I216))</f>
        <v/>
      </c>
      <c r="I216" s="11" t="str">
        <f aca="false">IFERROR(MATCH(ROW()-1,CONSOLIDADO!$AJ$2:$AJ$801,0),"")</f>
        <v/>
      </c>
      <c r="J216" s="11" t="str">
        <f aca="false">IF(B216="","",F216&amp;" "&amp;C216&amp;" ("&amp;B216&amp;")")</f>
        <v/>
      </c>
    </row>
    <row r="217" customFormat="false" ht="15" hidden="false" customHeight="false" outlineLevel="0" collapsed="false">
      <c r="A217" s="16"/>
      <c r="B217" s="11" t="str">
        <f aca="false">IF($I217="","",INDEX(CONSOLIDADO!$A$2:$A$801,$I217))</f>
        <v/>
      </c>
      <c r="C217" s="11" t="str">
        <f aca="false">IF($I217="","",INDEX(CONSOLIDADO!$B$2:$B$801,$I217))</f>
        <v/>
      </c>
      <c r="D217" s="16" t="str">
        <f aca="false">IF($I217="","",INDEX(CONSOLIDADO!$C$2:$C$801,$I217))</f>
        <v/>
      </c>
      <c r="E217" s="16" t="str">
        <f aca="false">IF($I217="","",INDEX(CONSOLIDADO!$D$2:$D$801,$I217))</f>
        <v/>
      </c>
      <c r="F217" s="14" t="str">
        <f aca="false">IF($I217="","",INDEX(CONSOLIDADO!$E$2:$E$801,$I217))</f>
        <v/>
      </c>
      <c r="G217" s="16" t="str">
        <f aca="false">IF($I217="","",INDEX(CONSOLIDADO!$G$2:$G$801,$I217))</f>
        <v/>
      </c>
      <c r="H217" s="16" t="str">
        <f aca="false">IF($I217="","",INDEX(CONSOLIDADO!$H$2:$H$801,$I217))</f>
        <v/>
      </c>
      <c r="I217" s="11" t="str">
        <f aca="false">IFERROR(MATCH(ROW()-1,CONSOLIDADO!$AJ$2:$AJ$801,0),"")</f>
        <v/>
      </c>
      <c r="J217" s="11" t="str">
        <f aca="false">IF(B217="","",F217&amp;" "&amp;C217&amp;" ("&amp;B217&amp;")")</f>
        <v/>
      </c>
    </row>
    <row r="218" customFormat="false" ht="15" hidden="false" customHeight="false" outlineLevel="0" collapsed="false">
      <c r="A218" s="16"/>
      <c r="B218" s="11" t="str">
        <f aca="false">IF($I218="","",INDEX(CONSOLIDADO!$A$2:$A$801,$I218))</f>
        <v/>
      </c>
      <c r="C218" s="11" t="str">
        <f aca="false">IF($I218="","",INDEX(CONSOLIDADO!$B$2:$B$801,$I218))</f>
        <v/>
      </c>
      <c r="D218" s="16" t="str">
        <f aca="false">IF($I218="","",INDEX(CONSOLIDADO!$C$2:$C$801,$I218))</f>
        <v/>
      </c>
      <c r="E218" s="16" t="str">
        <f aca="false">IF($I218="","",INDEX(CONSOLIDADO!$D$2:$D$801,$I218))</f>
        <v/>
      </c>
      <c r="F218" s="14" t="str">
        <f aca="false">IF($I218="","",INDEX(CONSOLIDADO!$E$2:$E$801,$I218))</f>
        <v/>
      </c>
      <c r="G218" s="16" t="str">
        <f aca="false">IF($I218="","",INDEX(CONSOLIDADO!$G$2:$G$801,$I218))</f>
        <v/>
      </c>
      <c r="H218" s="16" t="str">
        <f aca="false">IF($I218="","",INDEX(CONSOLIDADO!$H$2:$H$801,$I218))</f>
        <v/>
      </c>
      <c r="I218" s="11" t="str">
        <f aca="false">IFERROR(MATCH(ROW()-1,CONSOLIDADO!$AJ$2:$AJ$801,0),"")</f>
        <v/>
      </c>
      <c r="J218" s="11" t="str">
        <f aca="false">IF(B218="","",F218&amp;" "&amp;C218&amp;" ("&amp;B218&amp;")")</f>
        <v/>
      </c>
    </row>
    <row r="219" customFormat="false" ht="15" hidden="false" customHeight="false" outlineLevel="0" collapsed="false">
      <c r="A219" s="16"/>
      <c r="B219" s="11" t="str">
        <f aca="false">IF($I219="","",INDEX(CONSOLIDADO!$A$2:$A$801,$I219))</f>
        <v/>
      </c>
      <c r="C219" s="11" t="str">
        <f aca="false">IF($I219="","",INDEX(CONSOLIDADO!$B$2:$B$801,$I219))</f>
        <v/>
      </c>
      <c r="D219" s="16" t="str">
        <f aca="false">IF($I219="","",INDEX(CONSOLIDADO!$C$2:$C$801,$I219))</f>
        <v/>
      </c>
      <c r="E219" s="16" t="str">
        <f aca="false">IF($I219="","",INDEX(CONSOLIDADO!$D$2:$D$801,$I219))</f>
        <v/>
      </c>
      <c r="F219" s="14" t="str">
        <f aca="false">IF($I219="","",INDEX(CONSOLIDADO!$E$2:$E$801,$I219))</f>
        <v/>
      </c>
      <c r="G219" s="16" t="str">
        <f aca="false">IF($I219="","",INDEX(CONSOLIDADO!$G$2:$G$801,$I219))</f>
        <v/>
      </c>
      <c r="H219" s="16" t="str">
        <f aca="false">IF($I219="","",INDEX(CONSOLIDADO!$H$2:$H$801,$I219))</f>
        <v/>
      </c>
      <c r="I219" s="11" t="str">
        <f aca="false">IFERROR(MATCH(ROW()-1,CONSOLIDADO!$AJ$2:$AJ$801,0),"")</f>
        <v/>
      </c>
      <c r="J219" s="11" t="str">
        <f aca="false">IF(B219="","",F219&amp;" "&amp;C219&amp;" ("&amp;B219&amp;")")</f>
        <v/>
      </c>
    </row>
    <row r="220" customFormat="false" ht="15" hidden="false" customHeight="false" outlineLevel="0" collapsed="false">
      <c r="A220" s="16"/>
      <c r="B220" s="11" t="str">
        <f aca="false">IF($I220="","",INDEX(CONSOLIDADO!$A$2:$A$801,$I220))</f>
        <v/>
      </c>
      <c r="C220" s="11" t="str">
        <f aca="false">IF($I220="","",INDEX(CONSOLIDADO!$B$2:$B$801,$I220))</f>
        <v/>
      </c>
      <c r="D220" s="16" t="str">
        <f aca="false">IF($I220="","",INDEX(CONSOLIDADO!$C$2:$C$801,$I220))</f>
        <v/>
      </c>
      <c r="E220" s="16" t="str">
        <f aca="false">IF($I220="","",INDEX(CONSOLIDADO!$D$2:$D$801,$I220))</f>
        <v/>
      </c>
      <c r="F220" s="14" t="str">
        <f aca="false">IF($I220="","",INDEX(CONSOLIDADO!$E$2:$E$801,$I220))</f>
        <v/>
      </c>
      <c r="G220" s="16" t="str">
        <f aca="false">IF($I220="","",INDEX(CONSOLIDADO!$G$2:$G$801,$I220))</f>
        <v/>
      </c>
      <c r="H220" s="16" t="str">
        <f aca="false">IF($I220="","",INDEX(CONSOLIDADO!$H$2:$H$801,$I220))</f>
        <v/>
      </c>
      <c r="I220" s="11" t="str">
        <f aca="false">IFERROR(MATCH(ROW()-1,CONSOLIDADO!$AJ$2:$AJ$801,0),"")</f>
        <v/>
      </c>
      <c r="J220" s="11" t="str">
        <f aca="false">IF(B220="","",F220&amp;" "&amp;C220&amp;" ("&amp;B220&amp;")")</f>
        <v/>
      </c>
    </row>
    <row r="221" customFormat="false" ht="15" hidden="false" customHeight="false" outlineLevel="0" collapsed="false">
      <c r="A221" s="16"/>
      <c r="B221" s="11" t="str">
        <f aca="false">IF($I221="","",INDEX(CONSOLIDADO!$A$2:$A$801,$I221))</f>
        <v/>
      </c>
      <c r="C221" s="11" t="str">
        <f aca="false">IF($I221="","",INDEX(CONSOLIDADO!$B$2:$B$801,$I221))</f>
        <v/>
      </c>
      <c r="D221" s="16" t="str">
        <f aca="false">IF($I221="","",INDEX(CONSOLIDADO!$C$2:$C$801,$I221))</f>
        <v/>
      </c>
      <c r="E221" s="16" t="str">
        <f aca="false">IF($I221="","",INDEX(CONSOLIDADO!$D$2:$D$801,$I221))</f>
        <v/>
      </c>
      <c r="F221" s="14" t="str">
        <f aca="false">IF($I221="","",INDEX(CONSOLIDADO!$E$2:$E$801,$I221))</f>
        <v/>
      </c>
      <c r="G221" s="16" t="str">
        <f aca="false">IF($I221="","",INDEX(CONSOLIDADO!$G$2:$G$801,$I221))</f>
        <v/>
      </c>
      <c r="H221" s="16" t="str">
        <f aca="false">IF($I221="","",INDEX(CONSOLIDADO!$H$2:$H$801,$I221))</f>
        <v/>
      </c>
      <c r="I221" s="11" t="str">
        <f aca="false">IFERROR(MATCH(ROW()-1,CONSOLIDADO!$AJ$2:$AJ$801,0),"")</f>
        <v/>
      </c>
      <c r="J221" s="11" t="str">
        <f aca="false">IF(B221="","",F221&amp;" "&amp;C221&amp;" ("&amp;B221&amp;")")</f>
        <v/>
      </c>
    </row>
    <row r="222" customFormat="false" ht="15" hidden="false" customHeight="false" outlineLevel="0" collapsed="false">
      <c r="A222" s="16"/>
      <c r="B222" s="11" t="str">
        <f aca="false">IF($I222="","",INDEX(CONSOLIDADO!$A$2:$A$801,$I222))</f>
        <v/>
      </c>
      <c r="C222" s="11" t="str">
        <f aca="false">IF($I222="","",INDEX(CONSOLIDADO!$B$2:$B$801,$I222))</f>
        <v/>
      </c>
      <c r="D222" s="16" t="str">
        <f aca="false">IF($I222="","",INDEX(CONSOLIDADO!$C$2:$C$801,$I222))</f>
        <v/>
      </c>
      <c r="E222" s="16" t="str">
        <f aca="false">IF($I222="","",INDEX(CONSOLIDADO!$D$2:$D$801,$I222))</f>
        <v/>
      </c>
      <c r="F222" s="14" t="str">
        <f aca="false">IF($I222="","",INDEX(CONSOLIDADO!$E$2:$E$801,$I222))</f>
        <v/>
      </c>
      <c r="G222" s="16" t="str">
        <f aca="false">IF($I222="","",INDEX(CONSOLIDADO!$G$2:$G$801,$I222))</f>
        <v/>
      </c>
      <c r="H222" s="16" t="str">
        <f aca="false">IF($I222="","",INDEX(CONSOLIDADO!$H$2:$H$801,$I222))</f>
        <v/>
      </c>
      <c r="I222" s="11" t="str">
        <f aca="false">IFERROR(MATCH(ROW()-1,CONSOLIDADO!$AJ$2:$AJ$801,0),"")</f>
        <v/>
      </c>
      <c r="J222" s="11" t="str">
        <f aca="false">IF(B222="","",F222&amp;" "&amp;C222&amp;" ("&amp;B222&amp;")")</f>
        <v/>
      </c>
    </row>
    <row r="223" customFormat="false" ht="15" hidden="false" customHeight="false" outlineLevel="0" collapsed="false">
      <c r="A223" s="16"/>
      <c r="B223" s="11" t="str">
        <f aca="false">IF($I223="","",INDEX(CONSOLIDADO!$A$2:$A$801,$I223))</f>
        <v/>
      </c>
      <c r="C223" s="11" t="str">
        <f aca="false">IF($I223="","",INDEX(CONSOLIDADO!$B$2:$B$801,$I223))</f>
        <v/>
      </c>
      <c r="D223" s="16" t="str">
        <f aca="false">IF($I223="","",INDEX(CONSOLIDADO!$C$2:$C$801,$I223))</f>
        <v/>
      </c>
      <c r="E223" s="16" t="str">
        <f aca="false">IF($I223="","",INDEX(CONSOLIDADO!$D$2:$D$801,$I223))</f>
        <v/>
      </c>
      <c r="F223" s="14" t="str">
        <f aca="false">IF($I223="","",INDEX(CONSOLIDADO!$E$2:$E$801,$I223))</f>
        <v/>
      </c>
      <c r="G223" s="16" t="str">
        <f aca="false">IF($I223="","",INDEX(CONSOLIDADO!$G$2:$G$801,$I223))</f>
        <v/>
      </c>
      <c r="H223" s="16" t="str">
        <f aca="false">IF($I223="","",INDEX(CONSOLIDADO!$H$2:$H$801,$I223))</f>
        <v/>
      </c>
      <c r="I223" s="11" t="str">
        <f aca="false">IFERROR(MATCH(ROW()-1,CONSOLIDADO!$AJ$2:$AJ$801,0),"")</f>
        <v/>
      </c>
      <c r="J223" s="11" t="str">
        <f aca="false">IF(B223="","",F223&amp;" "&amp;C223&amp;" ("&amp;B223&amp;")")</f>
        <v/>
      </c>
    </row>
    <row r="224" customFormat="false" ht="15" hidden="false" customHeight="false" outlineLevel="0" collapsed="false">
      <c r="A224" s="16"/>
      <c r="B224" s="11" t="str">
        <f aca="false">IF($I224="","",INDEX(CONSOLIDADO!$A$2:$A$801,$I224))</f>
        <v/>
      </c>
      <c r="C224" s="11" t="str">
        <f aca="false">IF($I224="","",INDEX(CONSOLIDADO!$B$2:$B$801,$I224))</f>
        <v/>
      </c>
      <c r="D224" s="16" t="str">
        <f aca="false">IF($I224="","",INDEX(CONSOLIDADO!$C$2:$C$801,$I224))</f>
        <v/>
      </c>
      <c r="E224" s="16" t="str">
        <f aca="false">IF($I224="","",INDEX(CONSOLIDADO!$D$2:$D$801,$I224))</f>
        <v/>
      </c>
      <c r="F224" s="14" t="str">
        <f aca="false">IF($I224="","",INDEX(CONSOLIDADO!$E$2:$E$801,$I224))</f>
        <v/>
      </c>
      <c r="G224" s="16" t="str">
        <f aca="false">IF($I224="","",INDEX(CONSOLIDADO!$G$2:$G$801,$I224))</f>
        <v/>
      </c>
      <c r="H224" s="16" t="str">
        <f aca="false">IF($I224="","",INDEX(CONSOLIDADO!$H$2:$H$801,$I224))</f>
        <v/>
      </c>
      <c r="I224" s="11" t="str">
        <f aca="false">IFERROR(MATCH(ROW()-1,CONSOLIDADO!$AJ$2:$AJ$801,0),"")</f>
        <v/>
      </c>
      <c r="J224" s="11" t="str">
        <f aca="false">IF(B224="","",F224&amp;" "&amp;C224&amp;" ("&amp;B224&amp;")")</f>
        <v/>
      </c>
    </row>
    <row r="225" customFormat="false" ht="15" hidden="false" customHeight="false" outlineLevel="0" collapsed="false">
      <c r="A225" s="16"/>
      <c r="B225" s="11" t="str">
        <f aca="false">IF($I225="","",INDEX(CONSOLIDADO!$A$2:$A$801,$I225))</f>
        <v/>
      </c>
      <c r="C225" s="11" t="str">
        <f aca="false">IF($I225="","",INDEX(CONSOLIDADO!$B$2:$B$801,$I225))</f>
        <v/>
      </c>
      <c r="D225" s="16" t="str">
        <f aca="false">IF($I225="","",INDEX(CONSOLIDADO!$C$2:$C$801,$I225))</f>
        <v/>
      </c>
      <c r="E225" s="16" t="str">
        <f aca="false">IF($I225="","",INDEX(CONSOLIDADO!$D$2:$D$801,$I225))</f>
        <v/>
      </c>
      <c r="F225" s="14" t="str">
        <f aca="false">IF($I225="","",INDEX(CONSOLIDADO!$E$2:$E$801,$I225))</f>
        <v/>
      </c>
      <c r="G225" s="16" t="str">
        <f aca="false">IF($I225="","",INDEX(CONSOLIDADO!$G$2:$G$801,$I225))</f>
        <v/>
      </c>
      <c r="H225" s="16" t="str">
        <f aca="false">IF($I225="","",INDEX(CONSOLIDADO!$H$2:$H$801,$I225))</f>
        <v/>
      </c>
      <c r="I225" s="11" t="str">
        <f aca="false">IFERROR(MATCH(ROW()-1,CONSOLIDADO!$AJ$2:$AJ$801,0),"")</f>
        <v/>
      </c>
      <c r="J225" s="11" t="str">
        <f aca="false">IF(B225="","",F225&amp;" "&amp;C225&amp;" ("&amp;B225&amp;")")</f>
        <v/>
      </c>
    </row>
    <row r="226" customFormat="false" ht="15" hidden="false" customHeight="false" outlineLevel="0" collapsed="false">
      <c r="A226" s="16"/>
      <c r="B226" s="11" t="str">
        <f aca="false">IF($I226="","",INDEX(CONSOLIDADO!$A$2:$A$801,$I226))</f>
        <v/>
      </c>
      <c r="C226" s="11" t="str">
        <f aca="false">IF($I226="","",INDEX(CONSOLIDADO!$B$2:$B$801,$I226))</f>
        <v/>
      </c>
      <c r="D226" s="16" t="str">
        <f aca="false">IF($I226="","",INDEX(CONSOLIDADO!$C$2:$C$801,$I226))</f>
        <v/>
      </c>
      <c r="E226" s="16" t="str">
        <f aca="false">IF($I226="","",INDEX(CONSOLIDADO!$D$2:$D$801,$I226))</f>
        <v/>
      </c>
      <c r="F226" s="14" t="str">
        <f aca="false">IF($I226="","",INDEX(CONSOLIDADO!$E$2:$E$801,$I226))</f>
        <v/>
      </c>
      <c r="G226" s="16" t="str">
        <f aca="false">IF($I226="","",INDEX(CONSOLIDADO!$G$2:$G$801,$I226))</f>
        <v/>
      </c>
      <c r="H226" s="16" t="str">
        <f aca="false">IF($I226="","",INDEX(CONSOLIDADO!$H$2:$H$801,$I226))</f>
        <v/>
      </c>
      <c r="I226" s="11" t="str">
        <f aca="false">IFERROR(MATCH(ROW()-1,CONSOLIDADO!$AJ$2:$AJ$801,0),"")</f>
        <v/>
      </c>
      <c r="J226" s="11" t="str">
        <f aca="false">IF(B226="","",F226&amp;" "&amp;C226&amp;" ("&amp;B226&amp;")")</f>
        <v/>
      </c>
    </row>
    <row r="227" customFormat="false" ht="15" hidden="false" customHeight="false" outlineLevel="0" collapsed="false">
      <c r="A227" s="16"/>
      <c r="B227" s="11" t="str">
        <f aca="false">IF($I227="","",INDEX(CONSOLIDADO!$A$2:$A$801,$I227))</f>
        <v/>
      </c>
      <c r="C227" s="11" t="str">
        <f aca="false">IF($I227="","",INDEX(CONSOLIDADO!$B$2:$B$801,$I227))</f>
        <v/>
      </c>
      <c r="D227" s="16" t="str">
        <f aca="false">IF($I227="","",INDEX(CONSOLIDADO!$C$2:$C$801,$I227))</f>
        <v/>
      </c>
      <c r="E227" s="16" t="str">
        <f aca="false">IF($I227="","",INDEX(CONSOLIDADO!$D$2:$D$801,$I227))</f>
        <v/>
      </c>
      <c r="F227" s="14" t="str">
        <f aca="false">IF($I227="","",INDEX(CONSOLIDADO!$E$2:$E$801,$I227))</f>
        <v/>
      </c>
      <c r="G227" s="16" t="str">
        <f aca="false">IF($I227="","",INDEX(CONSOLIDADO!$G$2:$G$801,$I227))</f>
        <v/>
      </c>
      <c r="H227" s="16" t="str">
        <f aca="false">IF($I227="","",INDEX(CONSOLIDADO!$H$2:$H$801,$I227))</f>
        <v/>
      </c>
      <c r="I227" s="11" t="str">
        <f aca="false">IFERROR(MATCH(ROW()-1,CONSOLIDADO!$AJ$2:$AJ$801,0),"")</f>
        <v/>
      </c>
      <c r="J227" s="11" t="str">
        <f aca="false">IF(B227="","",F227&amp;" "&amp;C227&amp;" ("&amp;B227&amp;")")</f>
        <v/>
      </c>
    </row>
    <row r="228" customFormat="false" ht="15" hidden="false" customHeight="false" outlineLevel="0" collapsed="false">
      <c r="A228" s="16"/>
      <c r="B228" s="11" t="str">
        <f aca="false">IF($I228="","",INDEX(CONSOLIDADO!$A$2:$A$801,$I228))</f>
        <v/>
      </c>
      <c r="C228" s="11" t="str">
        <f aca="false">IF($I228="","",INDEX(CONSOLIDADO!$B$2:$B$801,$I228))</f>
        <v/>
      </c>
      <c r="D228" s="16" t="str">
        <f aca="false">IF($I228="","",INDEX(CONSOLIDADO!$C$2:$C$801,$I228))</f>
        <v/>
      </c>
      <c r="E228" s="16" t="str">
        <f aca="false">IF($I228="","",INDEX(CONSOLIDADO!$D$2:$D$801,$I228))</f>
        <v/>
      </c>
      <c r="F228" s="14" t="str">
        <f aca="false">IF($I228="","",INDEX(CONSOLIDADO!$E$2:$E$801,$I228))</f>
        <v/>
      </c>
      <c r="G228" s="16" t="str">
        <f aca="false">IF($I228="","",INDEX(CONSOLIDADO!$G$2:$G$801,$I228))</f>
        <v/>
      </c>
      <c r="H228" s="16" t="str">
        <f aca="false">IF($I228="","",INDEX(CONSOLIDADO!$H$2:$H$801,$I228))</f>
        <v/>
      </c>
      <c r="I228" s="11" t="str">
        <f aca="false">IFERROR(MATCH(ROW()-1,CONSOLIDADO!$AJ$2:$AJ$801,0),"")</f>
        <v/>
      </c>
      <c r="J228" s="11" t="str">
        <f aca="false">IF(B228="","",F228&amp;" "&amp;C228&amp;" ("&amp;B228&amp;")")</f>
        <v/>
      </c>
    </row>
    <row r="229" customFormat="false" ht="15" hidden="false" customHeight="false" outlineLevel="0" collapsed="false">
      <c r="A229" s="16"/>
      <c r="B229" s="11" t="str">
        <f aca="false">IF($I229="","",INDEX(CONSOLIDADO!$A$2:$A$801,$I229))</f>
        <v/>
      </c>
      <c r="C229" s="11" t="str">
        <f aca="false">IF($I229="","",INDEX(CONSOLIDADO!$B$2:$B$801,$I229))</f>
        <v/>
      </c>
      <c r="D229" s="16" t="str">
        <f aca="false">IF($I229="","",INDEX(CONSOLIDADO!$C$2:$C$801,$I229))</f>
        <v/>
      </c>
      <c r="E229" s="16" t="str">
        <f aca="false">IF($I229="","",INDEX(CONSOLIDADO!$D$2:$D$801,$I229))</f>
        <v/>
      </c>
      <c r="F229" s="14" t="str">
        <f aca="false">IF($I229="","",INDEX(CONSOLIDADO!$E$2:$E$801,$I229))</f>
        <v/>
      </c>
      <c r="G229" s="16" t="str">
        <f aca="false">IF($I229="","",INDEX(CONSOLIDADO!$G$2:$G$801,$I229))</f>
        <v/>
      </c>
      <c r="H229" s="16" t="str">
        <f aca="false">IF($I229="","",INDEX(CONSOLIDADO!$H$2:$H$801,$I229))</f>
        <v/>
      </c>
      <c r="I229" s="11" t="str">
        <f aca="false">IFERROR(MATCH(ROW()-1,CONSOLIDADO!$AJ$2:$AJ$801,0),"")</f>
        <v/>
      </c>
      <c r="J229" s="11" t="str">
        <f aca="false">IF(B229="","",F229&amp;" "&amp;C229&amp;" ("&amp;B229&amp;")")</f>
        <v/>
      </c>
    </row>
    <row r="230" customFormat="false" ht="15" hidden="false" customHeight="false" outlineLevel="0" collapsed="false">
      <c r="A230" s="16"/>
      <c r="B230" s="11" t="str">
        <f aca="false">IF($I230="","",INDEX(CONSOLIDADO!$A$2:$A$801,$I230))</f>
        <v/>
      </c>
      <c r="C230" s="11" t="str">
        <f aca="false">IF($I230="","",INDEX(CONSOLIDADO!$B$2:$B$801,$I230))</f>
        <v/>
      </c>
      <c r="D230" s="16" t="str">
        <f aca="false">IF($I230="","",INDEX(CONSOLIDADO!$C$2:$C$801,$I230))</f>
        <v/>
      </c>
      <c r="E230" s="16" t="str">
        <f aca="false">IF($I230="","",INDEX(CONSOLIDADO!$D$2:$D$801,$I230))</f>
        <v/>
      </c>
      <c r="F230" s="14" t="str">
        <f aca="false">IF($I230="","",INDEX(CONSOLIDADO!$E$2:$E$801,$I230))</f>
        <v/>
      </c>
      <c r="G230" s="16" t="str">
        <f aca="false">IF($I230="","",INDEX(CONSOLIDADO!$G$2:$G$801,$I230))</f>
        <v/>
      </c>
      <c r="H230" s="16" t="str">
        <f aca="false">IF($I230="","",INDEX(CONSOLIDADO!$H$2:$H$801,$I230))</f>
        <v/>
      </c>
      <c r="I230" s="11" t="str">
        <f aca="false">IFERROR(MATCH(ROW()-1,CONSOLIDADO!$AJ$2:$AJ$801,0),"")</f>
        <v/>
      </c>
      <c r="J230" s="11" t="str">
        <f aca="false">IF(B230="","",F230&amp;" "&amp;C230&amp;" ("&amp;B230&amp;")")</f>
        <v/>
      </c>
    </row>
    <row r="231" customFormat="false" ht="15" hidden="false" customHeight="false" outlineLevel="0" collapsed="false">
      <c r="A231" s="16"/>
      <c r="B231" s="11" t="str">
        <f aca="false">IF($I231="","",INDEX(CONSOLIDADO!$A$2:$A$801,$I231))</f>
        <v/>
      </c>
      <c r="C231" s="11" t="str">
        <f aca="false">IF($I231="","",INDEX(CONSOLIDADO!$B$2:$B$801,$I231))</f>
        <v/>
      </c>
      <c r="D231" s="16" t="str">
        <f aca="false">IF($I231="","",INDEX(CONSOLIDADO!$C$2:$C$801,$I231))</f>
        <v/>
      </c>
      <c r="E231" s="16" t="str">
        <f aca="false">IF($I231="","",INDEX(CONSOLIDADO!$D$2:$D$801,$I231))</f>
        <v/>
      </c>
      <c r="F231" s="14" t="str">
        <f aca="false">IF($I231="","",INDEX(CONSOLIDADO!$E$2:$E$801,$I231))</f>
        <v/>
      </c>
      <c r="G231" s="16" t="str">
        <f aca="false">IF($I231="","",INDEX(CONSOLIDADO!$G$2:$G$801,$I231))</f>
        <v/>
      </c>
      <c r="H231" s="16" t="str">
        <f aca="false">IF($I231="","",INDEX(CONSOLIDADO!$H$2:$H$801,$I231))</f>
        <v/>
      </c>
      <c r="I231" s="11" t="str">
        <f aca="false">IFERROR(MATCH(ROW()-1,CONSOLIDADO!$AJ$2:$AJ$801,0),"")</f>
        <v/>
      </c>
      <c r="J231" s="11" t="str">
        <f aca="false">IF(B231="","",F231&amp;" "&amp;C231&amp;" ("&amp;B231&amp;")")</f>
        <v/>
      </c>
    </row>
    <row r="232" customFormat="false" ht="15" hidden="false" customHeight="false" outlineLevel="0" collapsed="false">
      <c r="A232" s="16"/>
      <c r="B232" s="11" t="str">
        <f aca="false">IF($I232="","",INDEX(CONSOLIDADO!$A$2:$A$801,$I232))</f>
        <v/>
      </c>
      <c r="C232" s="11" t="str">
        <f aca="false">IF($I232="","",INDEX(CONSOLIDADO!$B$2:$B$801,$I232))</f>
        <v/>
      </c>
      <c r="D232" s="16" t="str">
        <f aca="false">IF($I232="","",INDEX(CONSOLIDADO!$C$2:$C$801,$I232))</f>
        <v/>
      </c>
      <c r="E232" s="16" t="str">
        <f aca="false">IF($I232="","",INDEX(CONSOLIDADO!$D$2:$D$801,$I232))</f>
        <v/>
      </c>
      <c r="F232" s="14" t="str">
        <f aca="false">IF($I232="","",INDEX(CONSOLIDADO!$E$2:$E$801,$I232))</f>
        <v/>
      </c>
      <c r="G232" s="16" t="str">
        <f aca="false">IF($I232="","",INDEX(CONSOLIDADO!$G$2:$G$801,$I232))</f>
        <v/>
      </c>
      <c r="H232" s="16" t="str">
        <f aca="false">IF($I232="","",INDEX(CONSOLIDADO!$H$2:$H$801,$I232))</f>
        <v/>
      </c>
      <c r="I232" s="11" t="str">
        <f aca="false">IFERROR(MATCH(ROW()-1,CONSOLIDADO!$AJ$2:$AJ$801,0),"")</f>
        <v/>
      </c>
      <c r="J232" s="11" t="str">
        <f aca="false">IF(B232="","",F232&amp;" "&amp;C232&amp;" ("&amp;B232&amp;")")</f>
        <v/>
      </c>
    </row>
    <row r="233" customFormat="false" ht="15" hidden="false" customHeight="false" outlineLevel="0" collapsed="false">
      <c r="A233" s="16"/>
      <c r="B233" s="11" t="str">
        <f aca="false">IF($I233="","",INDEX(CONSOLIDADO!$A$2:$A$801,$I233))</f>
        <v/>
      </c>
      <c r="C233" s="11" t="str">
        <f aca="false">IF($I233="","",INDEX(CONSOLIDADO!$B$2:$B$801,$I233))</f>
        <v/>
      </c>
      <c r="D233" s="16" t="str">
        <f aca="false">IF($I233="","",INDEX(CONSOLIDADO!$C$2:$C$801,$I233))</f>
        <v/>
      </c>
      <c r="E233" s="16" t="str">
        <f aca="false">IF($I233="","",INDEX(CONSOLIDADO!$D$2:$D$801,$I233))</f>
        <v/>
      </c>
      <c r="F233" s="14" t="str">
        <f aca="false">IF($I233="","",INDEX(CONSOLIDADO!$E$2:$E$801,$I233))</f>
        <v/>
      </c>
      <c r="G233" s="16" t="str">
        <f aca="false">IF($I233="","",INDEX(CONSOLIDADO!$G$2:$G$801,$I233))</f>
        <v/>
      </c>
      <c r="H233" s="16" t="str">
        <f aca="false">IF($I233="","",INDEX(CONSOLIDADO!$H$2:$H$801,$I233))</f>
        <v/>
      </c>
      <c r="I233" s="11" t="str">
        <f aca="false">IFERROR(MATCH(ROW()-1,CONSOLIDADO!$AJ$2:$AJ$801,0),"")</f>
        <v/>
      </c>
      <c r="J233" s="11" t="str">
        <f aca="false">IF(B233="","",F233&amp;" "&amp;C233&amp;" ("&amp;B233&amp;")")</f>
        <v/>
      </c>
    </row>
    <row r="234" customFormat="false" ht="15" hidden="false" customHeight="false" outlineLevel="0" collapsed="false">
      <c r="A234" s="16"/>
      <c r="B234" s="11" t="str">
        <f aca="false">IF($I234="","",INDEX(CONSOLIDADO!$A$2:$A$801,$I234))</f>
        <v/>
      </c>
      <c r="C234" s="11" t="str">
        <f aca="false">IF($I234="","",INDEX(CONSOLIDADO!$B$2:$B$801,$I234))</f>
        <v/>
      </c>
      <c r="D234" s="16" t="str">
        <f aca="false">IF($I234="","",INDEX(CONSOLIDADO!$C$2:$C$801,$I234))</f>
        <v/>
      </c>
      <c r="E234" s="16" t="str">
        <f aca="false">IF($I234="","",INDEX(CONSOLIDADO!$D$2:$D$801,$I234))</f>
        <v/>
      </c>
      <c r="F234" s="14" t="str">
        <f aca="false">IF($I234="","",INDEX(CONSOLIDADO!$E$2:$E$801,$I234))</f>
        <v/>
      </c>
      <c r="G234" s="16" t="str">
        <f aca="false">IF($I234="","",INDEX(CONSOLIDADO!$G$2:$G$801,$I234))</f>
        <v/>
      </c>
      <c r="H234" s="16" t="str">
        <f aca="false">IF($I234="","",INDEX(CONSOLIDADO!$H$2:$H$801,$I234))</f>
        <v/>
      </c>
      <c r="I234" s="11" t="str">
        <f aca="false">IFERROR(MATCH(ROW()-1,CONSOLIDADO!$AJ$2:$AJ$801,0),"")</f>
        <v/>
      </c>
      <c r="J234" s="11" t="str">
        <f aca="false">IF(B234="","",F234&amp;" "&amp;C234&amp;" ("&amp;B234&amp;")")</f>
        <v/>
      </c>
    </row>
    <row r="235" customFormat="false" ht="15" hidden="false" customHeight="false" outlineLevel="0" collapsed="false">
      <c r="A235" s="16"/>
      <c r="B235" s="11" t="str">
        <f aca="false">IF($I235="","",INDEX(CONSOLIDADO!$A$2:$A$801,$I235))</f>
        <v/>
      </c>
      <c r="C235" s="11" t="str">
        <f aca="false">IF($I235="","",INDEX(CONSOLIDADO!$B$2:$B$801,$I235))</f>
        <v/>
      </c>
      <c r="D235" s="16" t="str">
        <f aca="false">IF($I235="","",INDEX(CONSOLIDADO!$C$2:$C$801,$I235))</f>
        <v/>
      </c>
      <c r="E235" s="16" t="str">
        <f aca="false">IF($I235="","",INDEX(CONSOLIDADO!$D$2:$D$801,$I235))</f>
        <v/>
      </c>
      <c r="F235" s="14" t="str">
        <f aca="false">IF($I235="","",INDEX(CONSOLIDADO!$E$2:$E$801,$I235))</f>
        <v/>
      </c>
      <c r="G235" s="16" t="str">
        <f aca="false">IF($I235="","",INDEX(CONSOLIDADO!$G$2:$G$801,$I235))</f>
        <v/>
      </c>
      <c r="H235" s="16" t="str">
        <f aca="false">IF($I235="","",INDEX(CONSOLIDADO!$H$2:$H$801,$I235))</f>
        <v/>
      </c>
      <c r="I235" s="11" t="str">
        <f aca="false">IFERROR(MATCH(ROW()-1,CONSOLIDADO!$AJ$2:$AJ$801,0),"")</f>
        <v/>
      </c>
      <c r="J235" s="11" t="str">
        <f aca="false">IF(B235="","",F235&amp;" "&amp;C235&amp;" ("&amp;B235&amp;")")</f>
        <v/>
      </c>
    </row>
    <row r="236" customFormat="false" ht="15" hidden="false" customHeight="false" outlineLevel="0" collapsed="false">
      <c r="A236" s="16"/>
      <c r="B236" s="11" t="str">
        <f aca="false">IF($I236="","",INDEX(CONSOLIDADO!$A$2:$A$801,$I236))</f>
        <v/>
      </c>
      <c r="C236" s="11" t="str">
        <f aca="false">IF($I236="","",INDEX(CONSOLIDADO!$B$2:$B$801,$I236))</f>
        <v/>
      </c>
      <c r="D236" s="16" t="str">
        <f aca="false">IF($I236="","",INDEX(CONSOLIDADO!$C$2:$C$801,$I236))</f>
        <v/>
      </c>
      <c r="E236" s="16" t="str">
        <f aca="false">IF($I236="","",INDEX(CONSOLIDADO!$D$2:$D$801,$I236))</f>
        <v/>
      </c>
      <c r="F236" s="14" t="str">
        <f aca="false">IF($I236="","",INDEX(CONSOLIDADO!$E$2:$E$801,$I236))</f>
        <v/>
      </c>
      <c r="G236" s="16" t="str">
        <f aca="false">IF($I236="","",INDEX(CONSOLIDADO!$G$2:$G$801,$I236))</f>
        <v/>
      </c>
      <c r="H236" s="16" t="str">
        <f aca="false">IF($I236="","",INDEX(CONSOLIDADO!$H$2:$H$801,$I236))</f>
        <v/>
      </c>
      <c r="I236" s="11" t="str">
        <f aca="false">IFERROR(MATCH(ROW()-1,CONSOLIDADO!$AJ$2:$AJ$801,0),"")</f>
        <v/>
      </c>
      <c r="J236" s="11" t="str">
        <f aca="false">IF(B236="","",F236&amp;" "&amp;C236&amp;" ("&amp;B236&amp;")")</f>
        <v/>
      </c>
    </row>
    <row r="237" customFormat="false" ht="15" hidden="false" customHeight="false" outlineLevel="0" collapsed="false">
      <c r="A237" s="16"/>
      <c r="B237" s="11" t="str">
        <f aca="false">IF($I237="","",INDEX(CONSOLIDADO!$A$2:$A$801,$I237))</f>
        <v/>
      </c>
      <c r="C237" s="11" t="str">
        <f aca="false">IF($I237="","",INDEX(CONSOLIDADO!$B$2:$B$801,$I237))</f>
        <v/>
      </c>
      <c r="D237" s="16" t="str">
        <f aca="false">IF($I237="","",INDEX(CONSOLIDADO!$C$2:$C$801,$I237))</f>
        <v/>
      </c>
      <c r="E237" s="16" t="str">
        <f aca="false">IF($I237="","",INDEX(CONSOLIDADO!$D$2:$D$801,$I237))</f>
        <v/>
      </c>
      <c r="F237" s="14" t="str">
        <f aca="false">IF($I237="","",INDEX(CONSOLIDADO!$E$2:$E$801,$I237))</f>
        <v/>
      </c>
      <c r="G237" s="16" t="str">
        <f aca="false">IF($I237="","",INDEX(CONSOLIDADO!$G$2:$G$801,$I237))</f>
        <v/>
      </c>
      <c r="H237" s="16" t="str">
        <f aca="false">IF($I237="","",INDEX(CONSOLIDADO!$H$2:$H$801,$I237))</f>
        <v/>
      </c>
      <c r="I237" s="11" t="str">
        <f aca="false">IFERROR(MATCH(ROW()-1,CONSOLIDADO!$AJ$2:$AJ$801,0),"")</f>
        <v/>
      </c>
      <c r="J237" s="11" t="str">
        <f aca="false">IF(B237="","",F237&amp;" "&amp;C237&amp;" ("&amp;B237&amp;")")</f>
        <v/>
      </c>
    </row>
    <row r="238" customFormat="false" ht="15" hidden="false" customHeight="false" outlineLevel="0" collapsed="false">
      <c r="A238" s="16"/>
      <c r="B238" s="11" t="str">
        <f aca="false">IF($I238="","",INDEX(CONSOLIDADO!$A$2:$A$801,$I238))</f>
        <v/>
      </c>
      <c r="C238" s="11" t="str">
        <f aca="false">IF($I238="","",INDEX(CONSOLIDADO!$B$2:$B$801,$I238))</f>
        <v/>
      </c>
      <c r="D238" s="16" t="str">
        <f aca="false">IF($I238="","",INDEX(CONSOLIDADO!$C$2:$C$801,$I238))</f>
        <v/>
      </c>
      <c r="E238" s="16" t="str">
        <f aca="false">IF($I238="","",INDEX(CONSOLIDADO!$D$2:$D$801,$I238))</f>
        <v/>
      </c>
      <c r="F238" s="14" t="str">
        <f aca="false">IF($I238="","",INDEX(CONSOLIDADO!$E$2:$E$801,$I238))</f>
        <v/>
      </c>
      <c r="G238" s="16" t="str">
        <f aca="false">IF($I238="","",INDEX(CONSOLIDADO!$G$2:$G$801,$I238))</f>
        <v/>
      </c>
      <c r="H238" s="16" t="str">
        <f aca="false">IF($I238="","",INDEX(CONSOLIDADO!$H$2:$H$801,$I238))</f>
        <v/>
      </c>
      <c r="I238" s="11" t="str">
        <f aca="false">IFERROR(MATCH(ROW()-1,CONSOLIDADO!$AJ$2:$AJ$801,0),"")</f>
        <v/>
      </c>
      <c r="J238" s="11" t="str">
        <f aca="false">IF(B238="","",F238&amp;" "&amp;C238&amp;" ("&amp;B238&amp;")")</f>
        <v/>
      </c>
    </row>
    <row r="239" customFormat="false" ht="15" hidden="false" customHeight="false" outlineLevel="0" collapsed="false">
      <c r="A239" s="16"/>
      <c r="B239" s="11" t="str">
        <f aca="false">IF($I239="","",INDEX(CONSOLIDADO!$A$2:$A$801,$I239))</f>
        <v/>
      </c>
      <c r="C239" s="11" t="str">
        <f aca="false">IF($I239="","",INDEX(CONSOLIDADO!$B$2:$B$801,$I239))</f>
        <v/>
      </c>
      <c r="D239" s="16" t="str">
        <f aca="false">IF($I239="","",INDEX(CONSOLIDADO!$C$2:$C$801,$I239))</f>
        <v/>
      </c>
      <c r="E239" s="16" t="str">
        <f aca="false">IF($I239="","",INDEX(CONSOLIDADO!$D$2:$D$801,$I239))</f>
        <v/>
      </c>
      <c r="F239" s="14" t="str">
        <f aca="false">IF($I239="","",INDEX(CONSOLIDADO!$E$2:$E$801,$I239))</f>
        <v/>
      </c>
      <c r="G239" s="16" t="str">
        <f aca="false">IF($I239="","",INDEX(CONSOLIDADO!$G$2:$G$801,$I239))</f>
        <v/>
      </c>
      <c r="H239" s="16" t="str">
        <f aca="false">IF($I239="","",INDEX(CONSOLIDADO!$H$2:$H$801,$I239))</f>
        <v/>
      </c>
      <c r="I239" s="11" t="str">
        <f aca="false">IFERROR(MATCH(ROW()-1,CONSOLIDADO!$AJ$2:$AJ$801,0),"")</f>
        <v/>
      </c>
      <c r="J239" s="11" t="str">
        <f aca="false">IF(B239="","",F239&amp;" "&amp;C239&amp;" ("&amp;B239&amp;")")</f>
        <v/>
      </c>
    </row>
    <row r="240" customFormat="false" ht="15" hidden="false" customHeight="false" outlineLevel="0" collapsed="false">
      <c r="A240" s="16"/>
      <c r="B240" s="11" t="str">
        <f aca="false">IF($I240="","",INDEX(CONSOLIDADO!$A$2:$A$801,$I240))</f>
        <v/>
      </c>
      <c r="C240" s="11" t="str">
        <f aca="false">IF($I240="","",INDEX(CONSOLIDADO!$B$2:$B$801,$I240))</f>
        <v/>
      </c>
      <c r="D240" s="16" t="str">
        <f aca="false">IF($I240="","",INDEX(CONSOLIDADO!$C$2:$C$801,$I240))</f>
        <v/>
      </c>
      <c r="E240" s="16" t="str">
        <f aca="false">IF($I240="","",INDEX(CONSOLIDADO!$D$2:$D$801,$I240))</f>
        <v/>
      </c>
      <c r="F240" s="14" t="str">
        <f aca="false">IF($I240="","",INDEX(CONSOLIDADO!$E$2:$E$801,$I240))</f>
        <v/>
      </c>
      <c r="G240" s="16" t="str">
        <f aca="false">IF($I240="","",INDEX(CONSOLIDADO!$G$2:$G$801,$I240))</f>
        <v/>
      </c>
      <c r="H240" s="16" t="str">
        <f aca="false">IF($I240="","",INDEX(CONSOLIDADO!$H$2:$H$801,$I240))</f>
        <v/>
      </c>
      <c r="I240" s="11" t="str">
        <f aca="false">IFERROR(MATCH(ROW()-1,CONSOLIDADO!$AJ$2:$AJ$801,0),"")</f>
        <v/>
      </c>
      <c r="J240" s="11" t="str">
        <f aca="false">IF(B240="","",F240&amp;" "&amp;C240&amp;" ("&amp;B240&amp;")")</f>
        <v/>
      </c>
    </row>
    <row r="241" customFormat="false" ht="15" hidden="false" customHeight="false" outlineLevel="0" collapsed="false">
      <c r="A241" s="16"/>
      <c r="B241" s="11" t="str">
        <f aca="false">IF($I241="","",INDEX(CONSOLIDADO!$A$2:$A$801,$I241))</f>
        <v/>
      </c>
      <c r="C241" s="11" t="str">
        <f aca="false">IF($I241="","",INDEX(CONSOLIDADO!$B$2:$B$801,$I241))</f>
        <v/>
      </c>
      <c r="D241" s="16" t="str">
        <f aca="false">IF($I241="","",INDEX(CONSOLIDADO!$C$2:$C$801,$I241))</f>
        <v/>
      </c>
      <c r="E241" s="16" t="str">
        <f aca="false">IF($I241="","",INDEX(CONSOLIDADO!$D$2:$D$801,$I241))</f>
        <v/>
      </c>
      <c r="F241" s="14" t="str">
        <f aca="false">IF($I241="","",INDEX(CONSOLIDADO!$E$2:$E$801,$I241))</f>
        <v/>
      </c>
      <c r="G241" s="16" t="str">
        <f aca="false">IF($I241="","",INDEX(CONSOLIDADO!$G$2:$G$801,$I241))</f>
        <v/>
      </c>
      <c r="H241" s="16" t="str">
        <f aca="false">IF($I241="","",INDEX(CONSOLIDADO!$H$2:$H$801,$I241))</f>
        <v/>
      </c>
      <c r="I241" s="11" t="str">
        <f aca="false">IFERROR(MATCH(ROW()-1,CONSOLIDADO!$AJ$2:$AJ$801,0),"")</f>
        <v/>
      </c>
      <c r="J241" s="11" t="str">
        <f aca="false">IF(B241="","",F241&amp;" "&amp;C241&amp;" ("&amp;B241&amp;")")</f>
        <v/>
      </c>
    </row>
    <row r="242" customFormat="false" ht="15" hidden="false" customHeight="false" outlineLevel="0" collapsed="false">
      <c r="A242" s="16"/>
      <c r="B242" s="11" t="str">
        <f aca="false">IF($I242="","",INDEX(CONSOLIDADO!$A$2:$A$801,$I242))</f>
        <v/>
      </c>
      <c r="C242" s="11" t="str">
        <f aca="false">IF($I242="","",INDEX(CONSOLIDADO!$B$2:$B$801,$I242))</f>
        <v/>
      </c>
      <c r="D242" s="16" t="str">
        <f aca="false">IF($I242="","",INDEX(CONSOLIDADO!$C$2:$C$801,$I242))</f>
        <v/>
      </c>
      <c r="E242" s="16" t="str">
        <f aca="false">IF($I242="","",INDEX(CONSOLIDADO!$D$2:$D$801,$I242))</f>
        <v/>
      </c>
      <c r="F242" s="14" t="str">
        <f aca="false">IF($I242="","",INDEX(CONSOLIDADO!$E$2:$E$801,$I242))</f>
        <v/>
      </c>
      <c r="G242" s="16" t="str">
        <f aca="false">IF($I242="","",INDEX(CONSOLIDADO!$G$2:$G$801,$I242))</f>
        <v/>
      </c>
      <c r="H242" s="16" t="str">
        <f aca="false">IF($I242="","",INDEX(CONSOLIDADO!$H$2:$H$801,$I242))</f>
        <v/>
      </c>
      <c r="I242" s="11" t="str">
        <f aca="false">IFERROR(MATCH(ROW()-1,CONSOLIDADO!$AJ$2:$AJ$801,0),"")</f>
        <v/>
      </c>
      <c r="J242" s="11" t="str">
        <f aca="false">IF(B242="","",F242&amp;" "&amp;C242&amp;" ("&amp;B242&amp;")")</f>
        <v/>
      </c>
    </row>
    <row r="243" customFormat="false" ht="15" hidden="false" customHeight="false" outlineLevel="0" collapsed="false">
      <c r="A243" s="16"/>
      <c r="B243" s="11" t="str">
        <f aca="false">IF($I243="","",INDEX(CONSOLIDADO!$A$2:$A$801,$I243))</f>
        <v/>
      </c>
      <c r="C243" s="11" t="str">
        <f aca="false">IF($I243="","",INDEX(CONSOLIDADO!$B$2:$B$801,$I243))</f>
        <v/>
      </c>
      <c r="D243" s="16" t="str">
        <f aca="false">IF($I243="","",INDEX(CONSOLIDADO!$C$2:$C$801,$I243))</f>
        <v/>
      </c>
      <c r="E243" s="16" t="str">
        <f aca="false">IF($I243="","",INDEX(CONSOLIDADO!$D$2:$D$801,$I243))</f>
        <v/>
      </c>
      <c r="F243" s="14" t="str">
        <f aca="false">IF($I243="","",INDEX(CONSOLIDADO!$E$2:$E$801,$I243))</f>
        <v/>
      </c>
      <c r="G243" s="16" t="str">
        <f aca="false">IF($I243="","",INDEX(CONSOLIDADO!$G$2:$G$801,$I243))</f>
        <v/>
      </c>
      <c r="H243" s="16" t="str">
        <f aca="false">IF($I243="","",INDEX(CONSOLIDADO!$H$2:$H$801,$I243))</f>
        <v/>
      </c>
      <c r="I243" s="11" t="str">
        <f aca="false">IFERROR(MATCH(ROW()-1,CONSOLIDADO!$AJ$2:$AJ$801,0),"")</f>
        <v/>
      </c>
      <c r="J243" s="11" t="str">
        <f aca="false">IF(B243="","",F243&amp;" "&amp;C243&amp;" ("&amp;B243&amp;")")</f>
        <v/>
      </c>
    </row>
    <row r="244" customFormat="false" ht="15" hidden="false" customHeight="false" outlineLevel="0" collapsed="false">
      <c r="A244" s="16"/>
      <c r="B244" s="11" t="str">
        <f aca="false">IF($I244="","",INDEX(CONSOLIDADO!$A$2:$A$801,$I244))</f>
        <v/>
      </c>
      <c r="C244" s="11" t="str">
        <f aca="false">IF($I244="","",INDEX(CONSOLIDADO!$B$2:$B$801,$I244))</f>
        <v/>
      </c>
      <c r="D244" s="16" t="str">
        <f aca="false">IF($I244="","",INDEX(CONSOLIDADO!$C$2:$C$801,$I244))</f>
        <v/>
      </c>
      <c r="E244" s="16" t="str">
        <f aca="false">IF($I244="","",INDEX(CONSOLIDADO!$D$2:$D$801,$I244))</f>
        <v/>
      </c>
      <c r="F244" s="14" t="str">
        <f aca="false">IF($I244="","",INDEX(CONSOLIDADO!$E$2:$E$801,$I244))</f>
        <v/>
      </c>
      <c r="G244" s="16" t="str">
        <f aca="false">IF($I244="","",INDEX(CONSOLIDADO!$G$2:$G$801,$I244))</f>
        <v/>
      </c>
      <c r="H244" s="16" t="str">
        <f aca="false">IF($I244="","",INDEX(CONSOLIDADO!$H$2:$H$801,$I244))</f>
        <v/>
      </c>
      <c r="I244" s="11" t="str">
        <f aca="false">IFERROR(MATCH(ROW()-1,CONSOLIDADO!$AJ$2:$AJ$801,0),"")</f>
        <v/>
      </c>
      <c r="J244" s="11" t="str">
        <f aca="false">IF(B244="","",F244&amp;" "&amp;C244&amp;" ("&amp;B244&amp;")")</f>
        <v/>
      </c>
    </row>
    <row r="245" customFormat="false" ht="15" hidden="false" customHeight="false" outlineLevel="0" collapsed="false">
      <c r="A245" s="16"/>
      <c r="B245" s="11" t="str">
        <f aca="false">IF($I245="","",INDEX(CONSOLIDADO!$A$2:$A$801,$I245))</f>
        <v/>
      </c>
      <c r="C245" s="11" t="str">
        <f aca="false">IF($I245="","",INDEX(CONSOLIDADO!$B$2:$B$801,$I245))</f>
        <v/>
      </c>
      <c r="D245" s="16" t="str">
        <f aca="false">IF($I245="","",INDEX(CONSOLIDADO!$C$2:$C$801,$I245))</f>
        <v/>
      </c>
      <c r="E245" s="16" t="str">
        <f aca="false">IF($I245="","",INDEX(CONSOLIDADO!$D$2:$D$801,$I245))</f>
        <v/>
      </c>
      <c r="F245" s="14" t="str">
        <f aca="false">IF($I245="","",INDEX(CONSOLIDADO!$E$2:$E$801,$I245))</f>
        <v/>
      </c>
      <c r="G245" s="16" t="str">
        <f aca="false">IF($I245="","",INDEX(CONSOLIDADO!$G$2:$G$801,$I245))</f>
        <v/>
      </c>
      <c r="H245" s="16" t="str">
        <f aca="false">IF($I245="","",INDEX(CONSOLIDADO!$H$2:$H$801,$I245))</f>
        <v/>
      </c>
      <c r="I245" s="11" t="str">
        <f aca="false">IFERROR(MATCH(ROW()-1,CONSOLIDADO!$AJ$2:$AJ$801,0),"")</f>
        <v/>
      </c>
      <c r="J245" s="11" t="str">
        <f aca="false">IF(B245="","",F245&amp;" "&amp;C245&amp;" ("&amp;B245&amp;")")</f>
        <v/>
      </c>
    </row>
    <row r="246" customFormat="false" ht="15" hidden="false" customHeight="false" outlineLevel="0" collapsed="false">
      <c r="A246" s="16"/>
      <c r="B246" s="11" t="str">
        <f aca="false">IF($I246="","",INDEX(CONSOLIDADO!$A$2:$A$801,$I246))</f>
        <v/>
      </c>
      <c r="C246" s="11" t="str">
        <f aca="false">IF($I246="","",INDEX(CONSOLIDADO!$B$2:$B$801,$I246))</f>
        <v/>
      </c>
      <c r="D246" s="16" t="str">
        <f aca="false">IF($I246="","",INDEX(CONSOLIDADO!$C$2:$C$801,$I246))</f>
        <v/>
      </c>
      <c r="E246" s="16" t="str">
        <f aca="false">IF($I246="","",INDEX(CONSOLIDADO!$D$2:$D$801,$I246))</f>
        <v/>
      </c>
      <c r="F246" s="14" t="str">
        <f aca="false">IF($I246="","",INDEX(CONSOLIDADO!$E$2:$E$801,$I246))</f>
        <v/>
      </c>
      <c r="G246" s="16" t="str">
        <f aca="false">IF($I246="","",INDEX(CONSOLIDADO!$G$2:$G$801,$I246))</f>
        <v/>
      </c>
      <c r="H246" s="16" t="str">
        <f aca="false">IF($I246="","",INDEX(CONSOLIDADO!$H$2:$H$801,$I246))</f>
        <v/>
      </c>
      <c r="I246" s="11" t="str">
        <f aca="false">IFERROR(MATCH(ROW()-1,CONSOLIDADO!$AJ$2:$AJ$801,0),"")</f>
        <v/>
      </c>
      <c r="J246" s="11" t="str">
        <f aca="false">IF(B246="","",F246&amp;" "&amp;C246&amp;" ("&amp;B246&amp;")")</f>
        <v/>
      </c>
    </row>
    <row r="247" customFormat="false" ht="15" hidden="false" customHeight="false" outlineLevel="0" collapsed="false">
      <c r="A247" s="16"/>
      <c r="B247" s="11" t="str">
        <f aca="false">IF($I247="","",INDEX(CONSOLIDADO!$A$2:$A$801,$I247))</f>
        <v/>
      </c>
      <c r="C247" s="11" t="str">
        <f aca="false">IF($I247="","",INDEX(CONSOLIDADO!$B$2:$B$801,$I247))</f>
        <v/>
      </c>
      <c r="D247" s="16" t="str">
        <f aca="false">IF($I247="","",INDEX(CONSOLIDADO!$C$2:$C$801,$I247))</f>
        <v/>
      </c>
      <c r="E247" s="16" t="str">
        <f aca="false">IF($I247="","",INDEX(CONSOLIDADO!$D$2:$D$801,$I247))</f>
        <v/>
      </c>
      <c r="F247" s="14" t="str">
        <f aca="false">IF($I247="","",INDEX(CONSOLIDADO!$E$2:$E$801,$I247))</f>
        <v/>
      </c>
      <c r="G247" s="16" t="str">
        <f aca="false">IF($I247="","",INDEX(CONSOLIDADO!$G$2:$G$801,$I247))</f>
        <v/>
      </c>
      <c r="H247" s="16" t="str">
        <f aca="false">IF($I247="","",INDEX(CONSOLIDADO!$H$2:$H$801,$I247))</f>
        <v/>
      </c>
      <c r="I247" s="11" t="str">
        <f aca="false">IFERROR(MATCH(ROW()-1,CONSOLIDADO!$AJ$2:$AJ$801,0),"")</f>
        <v/>
      </c>
      <c r="J247" s="11" t="str">
        <f aca="false">IF(B247="","",F247&amp;" "&amp;C247&amp;" ("&amp;B247&amp;")")</f>
        <v/>
      </c>
    </row>
    <row r="248" customFormat="false" ht="15" hidden="false" customHeight="false" outlineLevel="0" collapsed="false">
      <c r="A248" s="16"/>
      <c r="B248" s="11" t="str">
        <f aca="false">IF($I248="","",INDEX(CONSOLIDADO!$A$2:$A$801,$I248))</f>
        <v/>
      </c>
      <c r="C248" s="11" t="str">
        <f aca="false">IF($I248="","",INDEX(CONSOLIDADO!$B$2:$B$801,$I248))</f>
        <v/>
      </c>
      <c r="D248" s="16" t="str">
        <f aca="false">IF($I248="","",INDEX(CONSOLIDADO!$C$2:$C$801,$I248))</f>
        <v/>
      </c>
      <c r="E248" s="16" t="str">
        <f aca="false">IF($I248="","",INDEX(CONSOLIDADO!$D$2:$D$801,$I248))</f>
        <v/>
      </c>
      <c r="F248" s="14" t="str">
        <f aca="false">IF($I248="","",INDEX(CONSOLIDADO!$E$2:$E$801,$I248))</f>
        <v/>
      </c>
      <c r="G248" s="16" t="str">
        <f aca="false">IF($I248="","",INDEX(CONSOLIDADO!$G$2:$G$801,$I248))</f>
        <v/>
      </c>
      <c r="H248" s="16" t="str">
        <f aca="false">IF($I248="","",INDEX(CONSOLIDADO!$H$2:$H$801,$I248))</f>
        <v/>
      </c>
      <c r="I248" s="11" t="str">
        <f aca="false">IFERROR(MATCH(ROW()-1,CONSOLIDADO!$AJ$2:$AJ$801,0),"")</f>
        <v/>
      </c>
      <c r="J248" s="11" t="str">
        <f aca="false">IF(B248="","",F248&amp;" "&amp;C248&amp;" ("&amp;B248&amp;")")</f>
        <v/>
      </c>
    </row>
    <row r="249" customFormat="false" ht="15" hidden="false" customHeight="false" outlineLevel="0" collapsed="false">
      <c r="A249" s="16"/>
      <c r="B249" s="11" t="str">
        <f aca="false">IF($I249="","",INDEX(CONSOLIDADO!$A$2:$A$801,$I249))</f>
        <v/>
      </c>
      <c r="C249" s="11" t="str">
        <f aca="false">IF($I249="","",INDEX(CONSOLIDADO!$B$2:$B$801,$I249))</f>
        <v/>
      </c>
      <c r="D249" s="16" t="str">
        <f aca="false">IF($I249="","",INDEX(CONSOLIDADO!$C$2:$C$801,$I249))</f>
        <v/>
      </c>
      <c r="E249" s="16" t="str">
        <f aca="false">IF($I249="","",INDEX(CONSOLIDADO!$D$2:$D$801,$I249))</f>
        <v/>
      </c>
      <c r="F249" s="14" t="str">
        <f aca="false">IF($I249="","",INDEX(CONSOLIDADO!$E$2:$E$801,$I249))</f>
        <v/>
      </c>
      <c r="G249" s="16" t="str">
        <f aca="false">IF($I249="","",INDEX(CONSOLIDADO!$G$2:$G$801,$I249))</f>
        <v/>
      </c>
      <c r="H249" s="16" t="str">
        <f aca="false">IF($I249="","",INDEX(CONSOLIDADO!$H$2:$H$801,$I249))</f>
        <v/>
      </c>
      <c r="I249" s="11" t="str">
        <f aca="false">IFERROR(MATCH(ROW()-1,CONSOLIDADO!$AJ$2:$AJ$801,0),"")</f>
        <v/>
      </c>
      <c r="J249" s="11" t="str">
        <f aca="false">IF(B249="","",F249&amp;" "&amp;C249&amp;" ("&amp;B249&amp;")")</f>
        <v/>
      </c>
    </row>
    <row r="250" customFormat="false" ht="15" hidden="false" customHeight="false" outlineLevel="0" collapsed="false">
      <c r="A250" s="16"/>
      <c r="B250" s="11" t="str">
        <f aca="false">IF($I250="","",INDEX(CONSOLIDADO!$A$2:$A$801,$I250))</f>
        <v/>
      </c>
      <c r="C250" s="11" t="str">
        <f aca="false">IF($I250="","",INDEX(CONSOLIDADO!$B$2:$B$801,$I250))</f>
        <v/>
      </c>
      <c r="D250" s="16" t="str">
        <f aca="false">IF($I250="","",INDEX(CONSOLIDADO!$C$2:$C$801,$I250))</f>
        <v/>
      </c>
      <c r="E250" s="16" t="str">
        <f aca="false">IF($I250="","",INDEX(CONSOLIDADO!$D$2:$D$801,$I250))</f>
        <v/>
      </c>
      <c r="F250" s="14" t="str">
        <f aca="false">IF($I250="","",INDEX(CONSOLIDADO!$E$2:$E$801,$I250))</f>
        <v/>
      </c>
      <c r="G250" s="16" t="str">
        <f aca="false">IF($I250="","",INDEX(CONSOLIDADO!$G$2:$G$801,$I250))</f>
        <v/>
      </c>
      <c r="H250" s="16" t="str">
        <f aca="false">IF($I250="","",INDEX(CONSOLIDADO!$H$2:$H$801,$I250))</f>
        <v/>
      </c>
      <c r="I250" s="11" t="str">
        <f aca="false">IFERROR(MATCH(ROW()-1,CONSOLIDADO!$AJ$2:$AJ$801,0),"")</f>
        <v/>
      </c>
      <c r="J250" s="11" t="str">
        <f aca="false">IF(B250="","",F250&amp;" "&amp;C250&amp;" ("&amp;B250&amp;")")</f>
        <v/>
      </c>
    </row>
    <row r="251" customFormat="false" ht="15" hidden="false" customHeight="false" outlineLevel="0" collapsed="false">
      <c r="A251" s="16"/>
      <c r="B251" s="11" t="str">
        <f aca="false">IF($I251="","",INDEX(CONSOLIDADO!$A$2:$A$801,$I251))</f>
        <v/>
      </c>
      <c r="C251" s="11" t="str">
        <f aca="false">IF($I251="","",INDEX(CONSOLIDADO!$B$2:$B$801,$I251))</f>
        <v/>
      </c>
      <c r="D251" s="16" t="str">
        <f aca="false">IF($I251="","",INDEX(CONSOLIDADO!$C$2:$C$801,$I251))</f>
        <v/>
      </c>
      <c r="E251" s="16" t="str">
        <f aca="false">IF($I251="","",INDEX(CONSOLIDADO!$D$2:$D$801,$I251))</f>
        <v/>
      </c>
      <c r="F251" s="14" t="str">
        <f aca="false">IF($I251="","",INDEX(CONSOLIDADO!$E$2:$E$801,$I251))</f>
        <v/>
      </c>
      <c r="G251" s="16" t="str">
        <f aca="false">IF($I251="","",INDEX(CONSOLIDADO!$G$2:$G$801,$I251))</f>
        <v/>
      </c>
      <c r="H251" s="16" t="str">
        <f aca="false">IF($I251="","",INDEX(CONSOLIDADO!$H$2:$H$801,$I251))</f>
        <v/>
      </c>
      <c r="I251" s="11" t="str">
        <f aca="false">IFERROR(MATCH(ROW()-1,CONSOLIDADO!$AJ$2:$AJ$801,0),"")</f>
        <v/>
      </c>
      <c r="J251" s="11" t="str">
        <f aca="false">IF(B251="","",F251&amp;" "&amp;C251&amp;" ("&amp;B251&amp;")")</f>
        <v/>
      </c>
    </row>
    <row r="252" customFormat="false" ht="15" hidden="false" customHeight="false" outlineLevel="0" collapsed="false">
      <c r="A252" s="16"/>
      <c r="B252" s="11" t="str">
        <f aca="false">IF($I252="","",INDEX(CONSOLIDADO!$A$2:$A$801,$I252))</f>
        <v/>
      </c>
      <c r="C252" s="11" t="str">
        <f aca="false">IF($I252="","",INDEX(CONSOLIDADO!$B$2:$B$801,$I252))</f>
        <v/>
      </c>
      <c r="D252" s="16" t="str">
        <f aca="false">IF($I252="","",INDEX(CONSOLIDADO!$C$2:$C$801,$I252))</f>
        <v/>
      </c>
      <c r="E252" s="16" t="str">
        <f aca="false">IF($I252="","",INDEX(CONSOLIDADO!$D$2:$D$801,$I252))</f>
        <v/>
      </c>
      <c r="F252" s="14" t="str">
        <f aca="false">IF($I252="","",INDEX(CONSOLIDADO!$E$2:$E$801,$I252))</f>
        <v/>
      </c>
      <c r="G252" s="16" t="str">
        <f aca="false">IF($I252="","",INDEX(CONSOLIDADO!$G$2:$G$801,$I252))</f>
        <v/>
      </c>
      <c r="H252" s="16" t="str">
        <f aca="false">IF($I252="","",INDEX(CONSOLIDADO!$H$2:$H$801,$I252))</f>
        <v/>
      </c>
      <c r="I252" s="11" t="str">
        <f aca="false">IFERROR(MATCH(ROW()-1,CONSOLIDADO!$AJ$2:$AJ$801,0),"")</f>
        <v/>
      </c>
      <c r="J252" s="11" t="str">
        <f aca="false">IF(B252="","",F252&amp;" "&amp;C252&amp;" ("&amp;B252&amp;")")</f>
        <v/>
      </c>
    </row>
    <row r="253" customFormat="false" ht="15" hidden="false" customHeight="false" outlineLevel="0" collapsed="false">
      <c r="A253" s="16"/>
      <c r="B253" s="11" t="str">
        <f aca="false">IF($I253="","",INDEX(CONSOLIDADO!$A$2:$A$801,$I253))</f>
        <v/>
      </c>
      <c r="C253" s="11" t="str">
        <f aca="false">IF($I253="","",INDEX(CONSOLIDADO!$B$2:$B$801,$I253))</f>
        <v/>
      </c>
      <c r="D253" s="16" t="str">
        <f aca="false">IF($I253="","",INDEX(CONSOLIDADO!$C$2:$C$801,$I253))</f>
        <v/>
      </c>
      <c r="E253" s="16" t="str">
        <f aca="false">IF($I253="","",INDEX(CONSOLIDADO!$D$2:$D$801,$I253))</f>
        <v/>
      </c>
      <c r="F253" s="14" t="str">
        <f aca="false">IF($I253="","",INDEX(CONSOLIDADO!$E$2:$E$801,$I253))</f>
        <v/>
      </c>
      <c r="G253" s="16" t="str">
        <f aca="false">IF($I253="","",INDEX(CONSOLIDADO!$G$2:$G$801,$I253))</f>
        <v/>
      </c>
      <c r="H253" s="16" t="str">
        <f aca="false">IF($I253="","",INDEX(CONSOLIDADO!$H$2:$H$801,$I253))</f>
        <v/>
      </c>
      <c r="I253" s="11" t="str">
        <f aca="false">IFERROR(MATCH(ROW()-1,CONSOLIDADO!$AJ$2:$AJ$801,0),"")</f>
        <v/>
      </c>
      <c r="J253" s="11" t="str">
        <f aca="false">IF(B253="","",F253&amp;" "&amp;C253&amp;" ("&amp;B253&amp;")")</f>
        <v/>
      </c>
    </row>
    <row r="254" customFormat="false" ht="15" hidden="false" customHeight="false" outlineLevel="0" collapsed="false">
      <c r="A254" s="16"/>
      <c r="B254" s="11" t="str">
        <f aca="false">IF($I254="","",INDEX(CONSOLIDADO!$A$2:$A$801,$I254))</f>
        <v/>
      </c>
      <c r="C254" s="11" t="str">
        <f aca="false">IF($I254="","",INDEX(CONSOLIDADO!$B$2:$B$801,$I254))</f>
        <v/>
      </c>
      <c r="D254" s="16" t="str">
        <f aca="false">IF($I254="","",INDEX(CONSOLIDADO!$C$2:$C$801,$I254))</f>
        <v/>
      </c>
      <c r="E254" s="16" t="str">
        <f aca="false">IF($I254="","",INDEX(CONSOLIDADO!$D$2:$D$801,$I254))</f>
        <v/>
      </c>
      <c r="F254" s="14" t="str">
        <f aca="false">IF($I254="","",INDEX(CONSOLIDADO!$E$2:$E$801,$I254))</f>
        <v/>
      </c>
      <c r="G254" s="16" t="str">
        <f aca="false">IF($I254="","",INDEX(CONSOLIDADO!$G$2:$G$801,$I254))</f>
        <v/>
      </c>
      <c r="H254" s="16" t="str">
        <f aca="false">IF($I254="","",INDEX(CONSOLIDADO!$H$2:$H$801,$I254))</f>
        <v/>
      </c>
      <c r="I254" s="11" t="str">
        <f aca="false">IFERROR(MATCH(ROW()-1,CONSOLIDADO!$AJ$2:$AJ$801,0),"")</f>
        <v/>
      </c>
      <c r="J254" s="11" t="str">
        <f aca="false">IF(B254="","",F254&amp;" "&amp;C254&amp;" ("&amp;B254&amp;")")</f>
        <v/>
      </c>
    </row>
    <row r="255" customFormat="false" ht="15" hidden="false" customHeight="false" outlineLevel="0" collapsed="false">
      <c r="A255" s="16"/>
      <c r="B255" s="11" t="str">
        <f aca="false">IF($I255="","",INDEX(CONSOLIDADO!$A$2:$A$801,$I255))</f>
        <v/>
      </c>
      <c r="C255" s="11" t="str">
        <f aca="false">IF($I255="","",INDEX(CONSOLIDADO!$B$2:$B$801,$I255))</f>
        <v/>
      </c>
      <c r="D255" s="16" t="str">
        <f aca="false">IF($I255="","",INDEX(CONSOLIDADO!$C$2:$C$801,$I255))</f>
        <v/>
      </c>
      <c r="E255" s="16" t="str">
        <f aca="false">IF($I255="","",INDEX(CONSOLIDADO!$D$2:$D$801,$I255))</f>
        <v/>
      </c>
      <c r="F255" s="14" t="str">
        <f aca="false">IF($I255="","",INDEX(CONSOLIDADO!$E$2:$E$801,$I255))</f>
        <v/>
      </c>
      <c r="G255" s="16" t="str">
        <f aca="false">IF($I255="","",INDEX(CONSOLIDADO!$G$2:$G$801,$I255))</f>
        <v/>
      </c>
      <c r="H255" s="16" t="str">
        <f aca="false">IF($I255="","",INDEX(CONSOLIDADO!$H$2:$H$801,$I255))</f>
        <v/>
      </c>
      <c r="I255" s="11" t="str">
        <f aca="false">IFERROR(MATCH(ROW()-1,CONSOLIDADO!$AJ$2:$AJ$801,0),"")</f>
        <v/>
      </c>
      <c r="J255" s="11" t="str">
        <f aca="false">IF(B255="","",F255&amp;" "&amp;C255&amp;" ("&amp;B255&amp;")")</f>
        <v/>
      </c>
    </row>
    <row r="256" customFormat="false" ht="15" hidden="false" customHeight="false" outlineLevel="0" collapsed="false">
      <c r="A256" s="16"/>
      <c r="B256" s="11" t="str">
        <f aca="false">IF($I256="","",INDEX(CONSOLIDADO!$A$2:$A$801,$I256))</f>
        <v/>
      </c>
      <c r="C256" s="11" t="str">
        <f aca="false">IF($I256="","",INDEX(CONSOLIDADO!$B$2:$B$801,$I256))</f>
        <v/>
      </c>
      <c r="D256" s="16" t="str">
        <f aca="false">IF($I256="","",INDEX(CONSOLIDADO!$C$2:$C$801,$I256))</f>
        <v/>
      </c>
      <c r="E256" s="16" t="str">
        <f aca="false">IF($I256="","",INDEX(CONSOLIDADO!$D$2:$D$801,$I256))</f>
        <v/>
      </c>
      <c r="F256" s="14" t="str">
        <f aca="false">IF($I256="","",INDEX(CONSOLIDADO!$E$2:$E$801,$I256))</f>
        <v/>
      </c>
      <c r="G256" s="16" t="str">
        <f aca="false">IF($I256="","",INDEX(CONSOLIDADO!$G$2:$G$801,$I256))</f>
        <v/>
      </c>
      <c r="H256" s="16" t="str">
        <f aca="false">IF($I256="","",INDEX(CONSOLIDADO!$H$2:$H$801,$I256))</f>
        <v/>
      </c>
      <c r="I256" s="11" t="str">
        <f aca="false">IFERROR(MATCH(ROW()-1,CONSOLIDADO!$AJ$2:$AJ$801,0),"")</f>
        <v/>
      </c>
      <c r="J256" s="11" t="str">
        <f aca="false">IF(B256="","",F256&amp;" "&amp;C256&amp;" ("&amp;B256&amp;")")</f>
        <v/>
      </c>
    </row>
    <row r="257" customFormat="false" ht="15" hidden="false" customHeight="false" outlineLevel="0" collapsed="false">
      <c r="A257" s="16"/>
      <c r="B257" s="11" t="str">
        <f aca="false">IF($I257="","",INDEX(CONSOLIDADO!$A$2:$A$801,$I257))</f>
        <v/>
      </c>
      <c r="C257" s="11" t="str">
        <f aca="false">IF($I257="","",INDEX(CONSOLIDADO!$B$2:$B$801,$I257))</f>
        <v/>
      </c>
      <c r="D257" s="16" t="str">
        <f aca="false">IF($I257="","",INDEX(CONSOLIDADO!$C$2:$C$801,$I257))</f>
        <v/>
      </c>
      <c r="E257" s="16" t="str">
        <f aca="false">IF($I257="","",INDEX(CONSOLIDADO!$D$2:$D$801,$I257))</f>
        <v/>
      </c>
      <c r="F257" s="14" t="str">
        <f aca="false">IF($I257="","",INDEX(CONSOLIDADO!$E$2:$E$801,$I257))</f>
        <v/>
      </c>
      <c r="G257" s="16" t="str">
        <f aca="false">IF($I257="","",INDEX(CONSOLIDADO!$G$2:$G$801,$I257))</f>
        <v/>
      </c>
      <c r="H257" s="16" t="str">
        <f aca="false">IF($I257="","",INDEX(CONSOLIDADO!$H$2:$H$801,$I257))</f>
        <v/>
      </c>
      <c r="I257" s="11" t="str">
        <f aca="false">IFERROR(MATCH(ROW()-1,CONSOLIDADO!$AJ$2:$AJ$801,0),"")</f>
        <v/>
      </c>
      <c r="J257" s="11" t="str">
        <f aca="false">IF(B257="","",F257&amp;" "&amp;C257&amp;" ("&amp;B257&amp;")")</f>
        <v/>
      </c>
    </row>
    <row r="258" customFormat="false" ht="15" hidden="false" customHeight="false" outlineLevel="0" collapsed="false">
      <c r="A258" s="16"/>
      <c r="B258" s="11" t="str">
        <f aca="false">IF($I258="","",INDEX(CONSOLIDADO!$A$2:$A$801,$I258))</f>
        <v/>
      </c>
      <c r="C258" s="11" t="str">
        <f aca="false">IF($I258="","",INDEX(CONSOLIDADO!$B$2:$B$801,$I258))</f>
        <v/>
      </c>
      <c r="D258" s="16" t="str">
        <f aca="false">IF($I258="","",INDEX(CONSOLIDADO!$C$2:$C$801,$I258))</f>
        <v/>
      </c>
      <c r="E258" s="16" t="str">
        <f aca="false">IF($I258="","",INDEX(CONSOLIDADO!$D$2:$D$801,$I258))</f>
        <v/>
      </c>
      <c r="F258" s="14" t="str">
        <f aca="false">IF($I258="","",INDEX(CONSOLIDADO!$E$2:$E$801,$I258))</f>
        <v/>
      </c>
      <c r="G258" s="16" t="str">
        <f aca="false">IF($I258="","",INDEX(CONSOLIDADO!$G$2:$G$801,$I258))</f>
        <v/>
      </c>
      <c r="H258" s="16" t="str">
        <f aca="false">IF($I258="","",INDEX(CONSOLIDADO!$H$2:$H$801,$I258))</f>
        <v/>
      </c>
      <c r="I258" s="11" t="str">
        <f aca="false">IFERROR(MATCH(ROW()-1,CONSOLIDADO!$AJ$2:$AJ$801,0),"")</f>
        <v/>
      </c>
      <c r="J258" s="11" t="str">
        <f aca="false">IF(B258="","",F258&amp;" "&amp;C258&amp;" ("&amp;B258&amp;")")</f>
        <v/>
      </c>
    </row>
    <row r="259" customFormat="false" ht="15" hidden="false" customHeight="false" outlineLevel="0" collapsed="false">
      <c r="A259" s="16"/>
      <c r="B259" s="11" t="str">
        <f aca="false">IF($I259="","",INDEX(CONSOLIDADO!$A$2:$A$801,$I259))</f>
        <v/>
      </c>
      <c r="C259" s="11" t="str">
        <f aca="false">IF($I259="","",INDEX(CONSOLIDADO!$B$2:$B$801,$I259))</f>
        <v/>
      </c>
      <c r="D259" s="16" t="str">
        <f aca="false">IF($I259="","",INDEX(CONSOLIDADO!$C$2:$C$801,$I259))</f>
        <v/>
      </c>
      <c r="E259" s="16" t="str">
        <f aca="false">IF($I259="","",INDEX(CONSOLIDADO!$D$2:$D$801,$I259))</f>
        <v/>
      </c>
      <c r="F259" s="14" t="str">
        <f aca="false">IF($I259="","",INDEX(CONSOLIDADO!$E$2:$E$801,$I259))</f>
        <v/>
      </c>
      <c r="G259" s="16" t="str">
        <f aca="false">IF($I259="","",INDEX(CONSOLIDADO!$G$2:$G$801,$I259))</f>
        <v/>
      </c>
      <c r="H259" s="16" t="str">
        <f aca="false">IF($I259="","",INDEX(CONSOLIDADO!$H$2:$H$801,$I259))</f>
        <v/>
      </c>
      <c r="I259" s="11" t="str">
        <f aca="false">IFERROR(MATCH(ROW()-1,CONSOLIDADO!$AJ$2:$AJ$801,0),"")</f>
        <v/>
      </c>
      <c r="J259" s="11" t="str">
        <f aca="false">IF(B259="","",F259&amp;" "&amp;C259&amp;" ("&amp;B259&amp;")")</f>
        <v/>
      </c>
    </row>
    <row r="260" customFormat="false" ht="15" hidden="false" customHeight="false" outlineLevel="0" collapsed="false">
      <c r="A260" s="16"/>
      <c r="B260" s="11" t="str">
        <f aca="false">IF($I260="","",INDEX(CONSOLIDADO!$A$2:$A$801,$I260))</f>
        <v/>
      </c>
      <c r="C260" s="11" t="str">
        <f aca="false">IF($I260="","",INDEX(CONSOLIDADO!$B$2:$B$801,$I260))</f>
        <v/>
      </c>
      <c r="D260" s="16" t="str">
        <f aca="false">IF($I260="","",INDEX(CONSOLIDADO!$C$2:$C$801,$I260))</f>
        <v/>
      </c>
      <c r="E260" s="16" t="str">
        <f aca="false">IF($I260="","",INDEX(CONSOLIDADO!$D$2:$D$801,$I260))</f>
        <v/>
      </c>
      <c r="F260" s="14" t="str">
        <f aca="false">IF($I260="","",INDEX(CONSOLIDADO!$E$2:$E$801,$I260))</f>
        <v/>
      </c>
      <c r="G260" s="16" t="str">
        <f aca="false">IF($I260="","",INDEX(CONSOLIDADO!$G$2:$G$801,$I260))</f>
        <v/>
      </c>
      <c r="H260" s="16" t="str">
        <f aca="false">IF($I260="","",INDEX(CONSOLIDADO!$H$2:$H$801,$I260))</f>
        <v/>
      </c>
      <c r="I260" s="11" t="str">
        <f aca="false">IFERROR(MATCH(ROW()-1,CONSOLIDADO!$AJ$2:$AJ$801,0),"")</f>
        <v/>
      </c>
      <c r="J260" s="11" t="str">
        <f aca="false">IF(B260="","",F260&amp;" "&amp;C260&amp;" ("&amp;B260&amp;")")</f>
        <v/>
      </c>
    </row>
    <row r="261" customFormat="false" ht="15" hidden="false" customHeight="false" outlineLevel="0" collapsed="false">
      <c r="A261" s="16"/>
      <c r="B261" s="11" t="str">
        <f aca="false">IF($I261="","",INDEX(CONSOLIDADO!$A$2:$A$801,$I261))</f>
        <v/>
      </c>
      <c r="C261" s="11" t="str">
        <f aca="false">IF($I261="","",INDEX(CONSOLIDADO!$B$2:$B$801,$I261))</f>
        <v/>
      </c>
      <c r="D261" s="16" t="str">
        <f aca="false">IF($I261="","",INDEX(CONSOLIDADO!$C$2:$C$801,$I261))</f>
        <v/>
      </c>
      <c r="E261" s="16" t="str">
        <f aca="false">IF($I261="","",INDEX(CONSOLIDADO!$D$2:$D$801,$I261))</f>
        <v/>
      </c>
      <c r="F261" s="14" t="str">
        <f aca="false">IF($I261="","",INDEX(CONSOLIDADO!$E$2:$E$801,$I261))</f>
        <v/>
      </c>
      <c r="G261" s="16" t="str">
        <f aca="false">IF($I261="","",INDEX(CONSOLIDADO!$G$2:$G$801,$I261))</f>
        <v/>
      </c>
      <c r="H261" s="16" t="str">
        <f aca="false">IF($I261="","",INDEX(CONSOLIDADO!$H$2:$H$801,$I261))</f>
        <v/>
      </c>
      <c r="I261" s="11" t="str">
        <f aca="false">IFERROR(MATCH(ROW()-1,CONSOLIDADO!$AJ$2:$AJ$801,0),"")</f>
        <v/>
      </c>
      <c r="J261" s="11" t="str">
        <f aca="false">IF(B261="","",F261&amp;" "&amp;C261&amp;" ("&amp;B261&amp;")")</f>
        <v/>
      </c>
    </row>
    <row r="262" customFormat="false" ht="15" hidden="false" customHeight="false" outlineLevel="0" collapsed="false">
      <c r="A262" s="16"/>
      <c r="B262" s="11" t="str">
        <f aca="false">IF($I262="","",INDEX(CONSOLIDADO!$A$2:$A$801,$I262))</f>
        <v/>
      </c>
      <c r="C262" s="11" t="str">
        <f aca="false">IF($I262="","",INDEX(CONSOLIDADO!$B$2:$B$801,$I262))</f>
        <v/>
      </c>
      <c r="D262" s="16" t="str">
        <f aca="false">IF($I262="","",INDEX(CONSOLIDADO!$C$2:$C$801,$I262))</f>
        <v/>
      </c>
      <c r="E262" s="16" t="str">
        <f aca="false">IF($I262="","",INDEX(CONSOLIDADO!$D$2:$D$801,$I262))</f>
        <v/>
      </c>
      <c r="F262" s="14" t="str">
        <f aca="false">IF($I262="","",INDEX(CONSOLIDADO!$E$2:$E$801,$I262))</f>
        <v/>
      </c>
      <c r="G262" s="16" t="str">
        <f aca="false">IF($I262="","",INDEX(CONSOLIDADO!$G$2:$G$801,$I262))</f>
        <v/>
      </c>
      <c r="H262" s="16" t="str">
        <f aca="false">IF($I262="","",INDEX(CONSOLIDADO!$H$2:$H$801,$I262))</f>
        <v/>
      </c>
      <c r="I262" s="11" t="str">
        <f aca="false">IFERROR(MATCH(ROW()-1,CONSOLIDADO!$AJ$2:$AJ$801,0),"")</f>
        <v/>
      </c>
      <c r="J262" s="11" t="str">
        <f aca="false">IF(B262="","",F262&amp;" "&amp;C262&amp;" ("&amp;B262&amp;")")</f>
        <v/>
      </c>
    </row>
    <row r="263" customFormat="false" ht="15" hidden="false" customHeight="false" outlineLevel="0" collapsed="false">
      <c r="A263" s="16"/>
      <c r="B263" s="11" t="str">
        <f aca="false">IF($I263="","",INDEX(CONSOLIDADO!$A$2:$A$801,$I263))</f>
        <v/>
      </c>
      <c r="C263" s="11" t="str">
        <f aca="false">IF($I263="","",INDEX(CONSOLIDADO!$B$2:$B$801,$I263))</f>
        <v/>
      </c>
      <c r="D263" s="16" t="str">
        <f aca="false">IF($I263="","",INDEX(CONSOLIDADO!$C$2:$C$801,$I263))</f>
        <v/>
      </c>
      <c r="E263" s="16" t="str">
        <f aca="false">IF($I263="","",INDEX(CONSOLIDADO!$D$2:$D$801,$I263))</f>
        <v/>
      </c>
      <c r="F263" s="14" t="str">
        <f aca="false">IF($I263="","",INDEX(CONSOLIDADO!$E$2:$E$801,$I263))</f>
        <v/>
      </c>
      <c r="G263" s="16" t="str">
        <f aca="false">IF($I263="","",INDEX(CONSOLIDADO!$G$2:$G$801,$I263))</f>
        <v/>
      </c>
      <c r="H263" s="16" t="str">
        <f aca="false">IF($I263="","",INDEX(CONSOLIDADO!$H$2:$H$801,$I263))</f>
        <v/>
      </c>
      <c r="I263" s="11" t="str">
        <f aca="false">IFERROR(MATCH(ROW()-1,CONSOLIDADO!$AJ$2:$AJ$801,0),"")</f>
        <v/>
      </c>
      <c r="J263" s="11" t="str">
        <f aca="false">IF(B263="","",F263&amp;" "&amp;C263&amp;" ("&amp;B263&amp;")")</f>
        <v/>
      </c>
    </row>
    <row r="264" customFormat="false" ht="15" hidden="false" customHeight="false" outlineLevel="0" collapsed="false">
      <c r="A264" s="16"/>
      <c r="B264" s="11" t="str">
        <f aca="false">IF($I264="","",INDEX(CONSOLIDADO!$A$2:$A$801,$I264))</f>
        <v/>
      </c>
      <c r="C264" s="11" t="str">
        <f aca="false">IF($I264="","",INDEX(CONSOLIDADO!$B$2:$B$801,$I264))</f>
        <v/>
      </c>
      <c r="D264" s="16" t="str">
        <f aca="false">IF($I264="","",INDEX(CONSOLIDADO!$C$2:$C$801,$I264))</f>
        <v/>
      </c>
      <c r="E264" s="16" t="str">
        <f aca="false">IF($I264="","",INDEX(CONSOLIDADO!$D$2:$D$801,$I264))</f>
        <v/>
      </c>
      <c r="F264" s="14" t="str">
        <f aca="false">IF($I264="","",INDEX(CONSOLIDADO!$E$2:$E$801,$I264))</f>
        <v/>
      </c>
      <c r="G264" s="16" t="str">
        <f aca="false">IF($I264="","",INDEX(CONSOLIDADO!$G$2:$G$801,$I264))</f>
        <v/>
      </c>
      <c r="H264" s="16" t="str">
        <f aca="false">IF($I264="","",INDEX(CONSOLIDADO!$H$2:$H$801,$I264))</f>
        <v/>
      </c>
      <c r="I264" s="11" t="str">
        <f aca="false">IFERROR(MATCH(ROW()-1,CONSOLIDADO!$AJ$2:$AJ$801,0),"")</f>
        <v/>
      </c>
      <c r="J264" s="11" t="str">
        <f aca="false">IF(B264="","",F264&amp;" "&amp;C264&amp;" ("&amp;B264&amp;")")</f>
        <v/>
      </c>
    </row>
    <row r="265" customFormat="false" ht="15" hidden="false" customHeight="false" outlineLevel="0" collapsed="false">
      <c r="A265" s="16"/>
      <c r="B265" s="11" t="str">
        <f aca="false">IF($I265="","",INDEX(CONSOLIDADO!$A$2:$A$801,$I265))</f>
        <v/>
      </c>
      <c r="C265" s="11" t="str">
        <f aca="false">IF($I265="","",INDEX(CONSOLIDADO!$B$2:$B$801,$I265))</f>
        <v/>
      </c>
      <c r="D265" s="16" t="str">
        <f aca="false">IF($I265="","",INDEX(CONSOLIDADO!$C$2:$C$801,$I265))</f>
        <v/>
      </c>
      <c r="E265" s="16" t="str">
        <f aca="false">IF($I265="","",INDEX(CONSOLIDADO!$D$2:$D$801,$I265))</f>
        <v/>
      </c>
      <c r="F265" s="14" t="str">
        <f aca="false">IF($I265="","",INDEX(CONSOLIDADO!$E$2:$E$801,$I265))</f>
        <v/>
      </c>
      <c r="G265" s="16" t="str">
        <f aca="false">IF($I265="","",INDEX(CONSOLIDADO!$G$2:$G$801,$I265))</f>
        <v/>
      </c>
      <c r="H265" s="16" t="str">
        <f aca="false">IF($I265="","",INDEX(CONSOLIDADO!$H$2:$H$801,$I265))</f>
        <v/>
      </c>
      <c r="I265" s="11" t="str">
        <f aca="false">IFERROR(MATCH(ROW()-1,CONSOLIDADO!$AJ$2:$AJ$801,0),"")</f>
        <v/>
      </c>
      <c r="J265" s="11" t="str">
        <f aca="false">IF(B265="","",F265&amp;" "&amp;C265&amp;" ("&amp;B265&amp;")")</f>
        <v/>
      </c>
    </row>
    <row r="266" customFormat="false" ht="15" hidden="false" customHeight="false" outlineLevel="0" collapsed="false">
      <c r="A266" s="16"/>
      <c r="B266" s="11" t="str">
        <f aca="false">IF($I266="","",INDEX(CONSOLIDADO!$A$2:$A$801,$I266))</f>
        <v/>
      </c>
      <c r="C266" s="11" t="str">
        <f aca="false">IF($I266="","",INDEX(CONSOLIDADO!$B$2:$B$801,$I266))</f>
        <v/>
      </c>
      <c r="D266" s="16" t="str">
        <f aca="false">IF($I266="","",INDEX(CONSOLIDADO!$C$2:$C$801,$I266))</f>
        <v/>
      </c>
      <c r="E266" s="16" t="str">
        <f aca="false">IF($I266="","",INDEX(CONSOLIDADO!$D$2:$D$801,$I266))</f>
        <v/>
      </c>
      <c r="F266" s="14" t="str">
        <f aca="false">IF($I266="","",INDEX(CONSOLIDADO!$E$2:$E$801,$I266))</f>
        <v/>
      </c>
      <c r="G266" s="16" t="str">
        <f aca="false">IF($I266="","",INDEX(CONSOLIDADO!$G$2:$G$801,$I266))</f>
        <v/>
      </c>
      <c r="H266" s="16" t="str">
        <f aca="false">IF($I266="","",INDEX(CONSOLIDADO!$H$2:$H$801,$I266))</f>
        <v/>
      </c>
      <c r="I266" s="11" t="str">
        <f aca="false">IFERROR(MATCH(ROW()-1,CONSOLIDADO!$AJ$2:$AJ$801,0),"")</f>
        <v/>
      </c>
      <c r="J266" s="11" t="str">
        <f aca="false">IF(B266="","",F266&amp;" "&amp;C266&amp;" ("&amp;B266&amp;")")</f>
        <v/>
      </c>
    </row>
    <row r="267" customFormat="false" ht="15" hidden="false" customHeight="false" outlineLevel="0" collapsed="false">
      <c r="A267" s="16"/>
      <c r="B267" s="11" t="str">
        <f aca="false">IF($I267="","",INDEX(CONSOLIDADO!$A$2:$A$801,$I267))</f>
        <v/>
      </c>
      <c r="C267" s="11" t="str">
        <f aca="false">IF($I267="","",INDEX(CONSOLIDADO!$B$2:$B$801,$I267))</f>
        <v/>
      </c>
      <c r="D267" s="16" t="str">
        <f aca="false">IF($I267="","",INDEX(CONSOLIDADO!$C$2:$C$801,$I267))</f>
        <v/>
      </c>
      <c r="E267" s="16" t="str">
        <f aca="false">IF($I267="","",INDEX(CONSOLIDADO!$D$2:$D$801,$I267))</f>
        <v/>
      </c>
      <c r="F267" s="14" t="str">
        <f aca="false">IF($I267="","",INDEX(CONSOLIDADO!$E$2:$E$801,$I267))</f>
        <v/>
      </c>
      <c r="G267" s="16" t="str">
        <f aca="false">IF($I267="","",INDEX(CONSOLIDADO!$G$2:$G$801,$I267))</f>
        <v/>
      </c>
      <c r="H267" s="16" t="str">
        <f aca="false">IF($I267="","",INDEX(CONSOLIDADO!$H$2:$H$801,$I267))</f>
        <v/>
      </c>
      <c r="I267" s="11" t="str">
        <f aca="false">IFERROR(MATCH(ROW()-1,CONSOLIDADO!$AJ$2:$AJ$801,0),"")</f>
        <v/>
      </c>
      <c r="J267" s="11" t="str">
        <f aca="false">IF(B267="","",F267&amp;" "&amp;C267&amp;" ("&amp;B267&amp;")")</f>
        <v/>
      </c>
    </row>
    <row r="268" customFormat="false" ht="15" hidden="false" customHeight="false" outlineLevel="0" collapsed="false">
      <c r="A268" s="16"/>
      <c r="B268" s="11" t="str">
        <f aca="false">IF($I268="","",INDEX(CONSOLIDADO!$A$2:$A$801,$I268))</f>
        <v/>
      </c>
      <c r="C268" s="11" t="str">
        <f aca="false">IF($I268="","",INDEX(CONSOLIDADO!$B$2:$B$801,$I268))</f>
        <v/>
      </c>
      <c r="D268" s="16" t="str">
        <f aca="false">IF($I268="","",INDEX(CONSOLIDADO!$C$2:$C$801,$I268))</f>
        <v/>
      </c>
      <c r="E268" s="16" t="str">
        <f aca="false">IF($I268="","",INDEX(CONSOLIDADO!$D$2:$D$801,$I268))</f>
        <v/>
      </c>
      <c r="F268" s="14" t="str">
        <f aca="false">IF($I268="","",INDEX(CONSOLIDADO!$E$2:$E$801,$I268))</f>
        <v/>
      </c>
      <c r="G268" s="16" t="str">
        <f aca="false">IF($I268="","",INDEX(CONSOLIDADO!$G$2:$G$801,$I268))</f>
        <v/>
      </c>
      <c r="H268" s="16" t="str">
        <f aca="false">IF($I268="","",INDEX(CONSOLIDADO!$H$2:$H$801,$I268))</f>
        <v/>
      </c>
      <c r="I268" s="11" t="str">
        <f aca="false">IFERROR(MATCH(ROW()-1,CONSOLIDADO!$AJ$2:$AJ$801,0),"")</f>
        <v/>
      </c>
      <c r="J268" s="11" t="str">
        <f aca="false">IF(B268="","",F268&amp;" "&amp;C268&amp;" ("&amp;B268&amp;")")</f>
        <v/>
      </c>
    </row>
    <row r="269" customFormat="false" ht="15" hidden="false" customHeight="false" outlineLevel="0" collapsed="false">
      <c r="A269" s="16"/>
      <c r="B269" s="11" t="str">
        <f aca="false">IF($I269="","",INDEX(CONSOLIDADO!$A$2:$A$801,$I269))</f>
        <v/>
      </c>
      <c r="C269" s="11" t="str">
        <f aca="false">IF($I269="","",INDEX(CONSOLIDADO!$B$2:$B$801,$I269))</f>
        <v/>
      </c>
      <c r="D269" s="16" t="str">
        <f aca="false">IF($I269="","",INDEX(CONSOLIDADO!$C$2:$C$801,$I269))</f>
        <v/>
      </c>
      <c r="E269" s="16" t="str">
        <f aca="false">IF($I269="","",INDEX(CONSOLIDADO!$D$2:$D$801,$I269))</f>
        <v/>
      </c>
      <c r="F269" s="14" t="str">
        <f aca="false">IF($I269="","",INDEX(CONSOLIDADO!$E$2:$E$801,$I269))</f>
        <v/>
      </c>
      <c r="G269" s="16" t="str">
        <f aca="false">IF($I269="","",INDEX(CONSOLIDADO!$G$2:$G$801,$I269))</f>
        <v/>
      </c>
      <c r="H269" s="16" t="str">
        <f aca="false">IF($I269="","",INDEX(CONSOLIDADO!$H$2:$H$801,$I269))</f>
        <v/>
      </c>
      <c r="I269" s="11" t="str">
        <f aca="false">IFERROR(MATCH(ROW()-1,CONSOLIDADO!$AJ$2:$AJ$801,0),"")</f>
        <v/>
      </c>
      <c r="J269" s="11" t="str">
        <f aca="false">IF(B269="","",F269&amp;" "&amp;C269&amp;" ("&amp;B269&amp;")")</f>
        <v/>
      </c>
    </row>
    <row r="270" customFormat="false" ht="15" hidden="false" customHeight="false" outlineLevel="0" collapsed="false">
      <c r="A270" s="16"/>
      <c r="B270" s="11" t="str">
        <f aca="false">IF($I270="","",INDEX(CONSOLIDADO!$A$2:$A$801,$I270))</f>
        <v/>
      </c>
      <c r="C270" s="11" t="str">
        <f aca="false">IF($I270="","",INDEX(CONSOLIDADO!$B$2:$B$801,$I270))</f>
        <v/>
      </c>
      <c r="D270" s="16" t="str">
        <f aca="false">IF($I270="","",INDEX(CONSOLIDADO!$C$2:$C$801,$I270))</f>
        <v/>
      </c>
      <c r="E270" s="16" t="str">
        <f aca="false">IF($I270="","",INDEX(CONSOLIDADO!$D$2:$D$801,$I270))</f>
        <v/>
      </c>
      <c r="F270" s="14" t="str">
        <f aca="false">IF($I270="","",INDEX(CONSOLIDADO!$E$2:$E$801,$I270))</f>
        <v/>
      </c>
      <c r="G270" s="16" t="str">
        <f aca="false">IF($I270="","",INDEX(CONSOLIDADO!$G$2:$G$801,$I270))</f>
        <v/>
      </c>
      <c r="H270" s="16" t="str">
        <f aca="false">IF($I270="","",INDEX(CONSOLIDADO!$H$2:$H$801,$I270))</f>
        <v/>
      </c>
      <c r="I270" s="11" t="str">
        <f aca="false">IFERROR(MATCH(ROW()-1,CONSOLIDADO!$AJ$2:$AJ$801,0),"")</f>
        <v/>
      </c>
      <c r="J270" s="11" t="str">
        <f aca="false">IF(B270="","",F270&amp;" "&amp;C270&amp;" ("&amp;B270&amp;")")</f>
        <v/>
      </c>
    </row>
    <row r="271" customFormat="false" ht="15" hidden="false" customHeight="false" outlineLevel="0" collapsed="false">
      <c r="A271" s="16"/>
      <c r="B271" s="11" t="str">
        <f aca="false">IF($I271="","",INDEX(CONSOLIDADO!$A$2:$A$801,$I271))</f>
        <v/>
      </c>
      <c r="C271" s="11" t="str">
        <f aca="false">IF($I271="","",INDEX(CONSOLIDADO!$B$2:$B$801,$I271))</f>
        <v/>
      </c>
      <c r="D271" s="16" t="str">
        <f aca="false">IF($I271="","",INDEX(CONSOLIDADO!$C$2:$C$801,$I271))</f>
        <v/>
      </c>
      <c r="E271" s="16" t="str">
        <f aca="false">IF($I271="","",INDEX(CONSOLIDADO!$D$2:$D$801,$I271))</f>
        <v/>
      </c>
      <c r="F271" s="14" t="str">
        <f aca="false">IF($I271="","",INDEX(CONSOLIDADO!$E$2:$E$801,$I271))</f>
        <v/>
      </c>
      <c r="G271" s="16" t="str">
        <f aca="false">IF($I271="","",INDEX(CONSOLIDADO!$G$2:$G$801,$I271))</f>
        <v/>
      </c>
      <c r="H271" s="16" t="str">
        <f aca="false">IF($I271="","",INDEX(CONSOLIDADO!$H$2:$H$801,$I271))</f>
        <v/>
      </c>
      <c r="I271" s="11" t="str">
        <f aca="false">IFERROR(MATCH(ROW()-1,CONSOLIDADO!$AJ$2:$AJ$801,0),"")</f>
        <v/>
      </c>
      <c r="J271" s="11" t="str">
        <f aca="false">IF(B271="","",F271&amp;" "&amp;C271&amp;" ("&amp;B271&amp;")")</f>
        <v/>
      </c>
    </row>
    <row r="272" customFormat="false" ht="15" hidden="false" customHeight="false" outlineLevel="0" collapsed="false">
      <c r="A272" s="16"/>
      <c r="B272" s="11" t="str">
        <f aca="false">IF($I272="","",INDEX(CONSOLIDADO!$A$2:$A$801,$I272))</f>
        <v/>
      </c>
      <c r="C272" s="11" t="str">
        <f aca="false">IF($I272="","",INDEX(CONSOLIDADO!$B$2:$B$801,$I272))</f>
        <v/>
      </c>
      <c r="D272" s="16" t="str">
        <f aca="false">IF($I272="","",INDEX(CONSOLIDADO!$C$2:$C$801,$I272))</f>
        <v/>
      </c>
      <c r="E272" s="16" t="str">
        <f aca="false">IF($I272="","",INDEX(CONSOLIDADO!$D$2:$D$801,$I272))</f>
        <v/>
      </c>
      <c r="F272" s="14" t="str">
        <f aca="false">IF($I272="","",INDEX(CONSOLIDADO!$E$2:$E$801,$I272))</f>
        <v/>
      </c>
      <c r="G272" s="16" t="str">
        <f aca="false">IF($I272="","",INDEX(CONSOLIDADO!$G$2:$G$801,$I272))</f>
        <v/>
      </c>
      <c r="H272" s="16" t="str">
        <f aca="false">IF($I272="","",INDEX(CONSOLIDADO!$H$2:$H$801,$I272))</f>
        <v/>
      </c>
      <c r="I272" s="11" t="str">
        <f aca="false">IFERROR(MATCH(ROW()-1,CONSOLIDADO!$AJ$2:$AJ$801,0),"")</f>
        <v/>
      </c>
      <c r="J272" s="11" t="str">
        <f aca="false">IF(B272="","",F272&amp;" "&amp;C272&amp;" ("&amp;B272&amp;")")</f>
        <v/>
      </c>
    </row>
    <row r="273" customFormat="false" ht="15" hidden="false" customHeight="false" outlineLevel="0" collapsed="false">
      <c r="A273" s="16"/>
      <c r="B273" s="11" t="str">
        <f aca="false">IF($I273="","",INDEX(CONSOLIDADO!$A$2:$A$801,$I273))</f>
        <v/>
      </c>
      <c r="C273" s="11" t="str">
        <f aca="false">IF($I273="","",INDEX(CONSOLIDADO!$B$2:$B$801,$I273))</f>
        <v/>
      </c>
      <c r="D273" s="16" t="str">
        <f aca="false">IF($I273="","",INDEX(CONSOLIDADO!$C$2:$C$801,$I273))</f>
        <v/>
      </c>
      <c r="E273" s="16" t="str">
        <f aca="false">IF($I273="","",INDEX(CONSOLIDADO!$D$2:$D$801,$I273))</f>
        <v/>
      </c>
      <c r="F273" s="14" t="str">
        <f aca="false">IF($I273="","",INDEX(CONSOLIDADO!$E$2:$E$801,$I273))</f>
        <v/>
      </c>
      <c r="G273" s="16" t="str">
        <f aca="false">IF($I273="","",INDEX(CONSOLIDADO!$G$2:$G$801,$I273))</f>
        <v/>
      </c>
      <c r="H273" s="16" t="str">
        <f aca="false">IF($I273="","",INDEX(CONSOLIDADO!$H$2:$H$801,$I273))</f>
        <v/>
      </c>
      <c r="I273" s="11" t="str">
        <f aca="false">IFERROR(MATCH(ROW()-1,CONSOLIDADO!$AJ$2:$AJ$801,0),"")</f>
        <v/>
      </c>
      <c r="J273" s="11" t="str">
        <f aca="false">IF(B273="","",F273&amp;" "&amp;C273&amp;" ("&amp;B273&amp;")")</f>
        <v/>
      </c>
    </row>
    <row r="274" customFormat="false" ht="15" hidden="false" customHeight="false" outlineLevel="0" collapsed="false">
      <c r="A274" s="16"/>
      <c r="B274" s="11" t="str">
        <f aca="false">IF($I274="","",INDEX(CONSOLIDADO!$A$2:$A$801,$I274))</f>
        <v/>
      </c>
      <c r="C274" s="11" t="str">
        <f aca="false">IF($I274="","",INDEX(CONSOLIDADO!$B$2:$B$801,$I274))</f>
        <v/>
      </c>
      <c r="D274" s="16" t="str">
        <f aca="false">IF($I274="","",INDEX(CONSOLIDADO!$C$2:$C$801,$I274))</f>
        <v/>
      </c>
      <c r="E274" s="16" t="str">
        <f aca="false">IF($I274="","",INDEX(CONSOLIDADO!$D$2:$D$801,$I274))</f>
        <v/>
      </c>
      <c r="F274" s="14" t="str">
        <f aca="false">IF($I274="","",INDEX(CONSOLIDADO!$E$2:$E$801,$I274))</f>
        <v/>
      </c>
      <c r="G274" s="16" t="str">
        <f aca="false">IF($I274="","",INDEX(CONSOLIDADO!$G$2:$G$801,$I274))</f>
        <v/>
      </c>
      <c r="H274" s="16" t="str">
        <f aca="false">IF($I274="","",INDEX(CONSOLIDADO!$H$2:$H$801,$I274))</f>
        <v/>
      </c>
      <c r="I274" s="11" t="str">
        <f aca="false">IFERROR(MATCH(ROW()-1,CONSOLIDADO!$AJ$2:$AJ$801,0),"")</f>
        <v/>
      </c>
      <c r="J274" s="11" t="str">
        <f aca="false">IF(B274="","",F274&amp;" "&amp;C274&amp;" ("&amp;B274&amp;")")</f>
        <v/>
      </c>
    </row>
    <row r="275" customFormat="false" ht="15" hidden="false" customHeight="false" outlineLevel="0" collapsed="false">
      <c r="A275" s="16"/>
      <c r="B275" s="11" t="str">
        <f aca="false">IF($I275="","",INDEX(CONSOLIDADO!$A$2:$A$801,$I275))</f>
        <v/>
      </c>
      <c r="C275" s="11" t="str">
        <f aca="false">IF($I275="","",INDEX(CONSOLIDADO!$B$2:$B$801,$I275))</f>
        <v/>
      </c>
      <c r="D275" s="16" t="str">
        <f aca="false">IF($I275="","",INDEX(CONSOLIDADO!$C$2:$C$801,$I275))</f>
        <v/>
      </c>
      <c r="E275" s="16" t="str">
        <f aca="false">IF($I275="","",INDEX(CONSOLIDADO!$D$2:$D$801,$I275))</f>
        <v/>
      </c>
      <c r="F275" s="14" t="str">
        <f aca="false">IF($I275="","",INDEX(CONSOLIDADO!$E$2:$E$801,$I275))</f>
        <v/>
      </c>
      <c r="G275" s="16" t="str">
        <f aca="false">IF($I275="","",INDEX(CONSOLIDADO!$G$2:$G$801,$I275))</f>
        <v/>
      </c>
      <c r="H275" s="16" t="str">
        <f aca="false">IF($I275="","",INDEX(CONSOLIDADO!$H$2:$H$801,$I275))</f>
        <v/>
      </c>
      <c r="I275" s="11" t="str">
        <f aca="false">IFERROR(MATCH(ROW()-1,CONSOLIDADO!$AJ$2:$AJ$801,0),"")</f>
        <v/>
      </c>
      <c r="J275" s="11" t="str">
        <f aca="false">IF(B275="","",F275&amp;" "&amp;C275&amp;" ("&amp;B275&amp;")")</f>
        <v/>
      </c>
    </row>
    <row r="276" customFormat="false" ht="15" hidden="false" customHeight="false" outlineLevel="0" collapsed="false">
      <c r="A276" s="16"/>
      <c r="B276" s="11" t="str">
        <f aca="false">IF($I276="","",INDEX(CONSOLIDADO!$A$2:$A$801,$I276))</f>
        <v/>
      </c>
      <c r="C276" s="11" t="str">
        <f aca="false">IF($I276="","",INDEX(CONSOLIDADO!$B$2:$B$801,$I276))</f>
        <v/>
      </c>
      <c r="D276" s="16" t="str">
        <f aca="false">IF($I276="","",INDEX(CONSOLIDADO!$C$2:$C$801,$I276))</f>
        <v/>
      </c>
      <c r="E276" s="16" t="str">
        <f aca="false">IF($I276="","",INDEX(CONSOLIDADO!$D$2:$D$801,$I276))</f>
        <v/>
      </c>
      <c r="F276" s="14" t="str">
        <f aca="false">IF($I276="","",INDEX(CONSOLIDADO!$E$2:$E$801,$I276))</f>
        <v/>
      </c>
      <c r="G276" s="16" t="str">
        <f aca="false">IF($I276="","",INDEX(CONSOLIDADO!$G$2:$G$801,$I276))</f>
        <v/>
      </c>
      <c r="H276" s="16" t="str">
        <f aca="false">IF($I276="","",INDEX(CONSOLIDADO!$H$2:$H$801,$I276))</f>
        <v/>
      </c>
      <c r="I276" s="11" t="str">
        <f aca="false">IFERROR(MATCH(ROW()-1,CONSOLIDADO!$AJ$2:$AJ$801,0),"")</f>
        <v/>
      </c>
      <c r="J276" s="11" t="str">
        <f aca="false">IF(B276="","",F276&amp;" "&amp;C276&amp;" ("&amp;B276&amp;")")</f>
        <v/>
      </c>
    </row>
    <row r="277" customFormat="false" ht="15" hidden="false" customHeight="false" outlineLevel="0" collapsed="false">
      <c r="A277" s="16"/>
      <c r="B277" s="11" t="str">
        <f aca="false">IF($I277="","",INDEX(CONSOLIDADO!$A$2:$A$801,$I277))</f>
        <v/>
      </c>
      <c r="C277" s="11" t="str">
        <f aca="false">IF($I277="","",INDEX(CONSOLIDADO!$B$2:$B$801,$I277))</f>
        <v/>
      </c>
      <c r="D277" s="16" t="str">
        <f aca="false">IF($I277="","",INDEX(CONSOLIDADO!$C$2:$C$801,$I277))</f>
        <v/>
      </c>
      <c r="E277" s="16" t="str">
        <f aca="false">IF($I277="","",INDEX(CONSOLIDADO!$D$2:$D$801,$I277))</f>
        <v/>
      </c>
      <c r="F277" s="14" t="str">
        <f aca="false">IF($I277="","",INDEX(CONSOLIDADO!$E$2:$E$801,$I277))</f>
        <v/>
      </c>
      <c r="G277" s="16" t="str">
        <f aca="false">IF($I277="","",INDEX(CONSOLIDADO!$G$2:$G$801,$I277))</f>
        <v/>
      </c>
      <c r="H277" s="16" t="str">
        <f aca="false">IF($I277="","",INDEX(CONSOLIDADO!$H$2:$H$801,$I277))</f>
        <v/>
      </c>
      <c r="I277" s="11" t="str">
        <f aca="false">IFERROR(MATCH(ROW()-1,CONSOLIDADO!$AJ$2:$AJ$801,0),"")</f>
        <v/>
      </c>
      <c r="J277" s="11" t="str">
        <f aca="false">IF(B277="","",F277&amp;" "&amp;C277&amp;" ("&amp;B277&amp;")")</f>
        <v/>
      </c>
    </row>
    <row r="278" customFormat="false" ht="15" hidden="false" customHeight="false" outlineLevel="0" collapsed="false">
      <c r="A278" s="16"/>
      <c r="B278" s="11" t="str">
        <f aca="false">IF($I278="","",INDEX(CONSOLIDADO!$A$2:$A$801,$I278))</f>
        <v/>
      </c>
      <c r="C278" s="11" t="str">
        <f aca="false">IF($I278="","",INDEX(CONSOLIDADO!$B$2:$B$801,$I278))</f>
        <v/>
      </c>
      <c r="D278" s="16" t="str">
        <f aca="false">IF($I278="","",INDEX(CONSOLIDADO!$C$2:$C$801,$I278))</f>
        <v/>
      </c>
      <c r="E278" s="16" t="str">
        <f aca="false">IF($I278="","",INDEX(CONSOLIDADO!$D$2:$D$801,$I278))</f>
        <v/>
      </c>
      <c r="F278" s="14" t="str">
        <f aca="false">IF($I278="","",INDEX(CONSOLIDADO!$E$2:$E$801,$I278))</f>
        <v/>
      </c>
      <c r="G278" s="16" t="str">
        <f aca="false">IF($I278="","",INDEX(CONSOLIDADO!$G$2:$G$801,$I278))</f>
        <v/>
      </c>
      <c r="H278" s="16" t="str">
        <f aca="false">IF($I278="","",INDEX(CONSOLIDADO!$H$2:$H$801,$I278))</f>
        <v/>
      </c>
      <c r="I278" s="11" t="str">
        <f aca="false">IFERROR(MATCH(ROW()-1,CONSOLIDADO!$AJ$2:$AJ$801,0),"")</f>
        <v/>
      </c>
      <c r="J278" s="11" t="str">
        <f aca="false">IF(B278="","",F278&amp;" "&amp;C278&amp;" ("&amp;B278&amp;")")</f>
        <v/>
      </c>
    </row>
    <row r="279" customFormat="false" ht="15" hidden="false" customHeight="false" outlineLevel="0" collapsed="false">
      <c r="A279" s="16"/>
      <c r="B279" s="11" t="str">
        <f aca="false">IF($I279="","",INDEX(CONSOLIDADO!$A$2:$A$801,$I279))</f>
        <v/>
      </c>
      <c r="C279" s="11" t="str">
        <f aca="false">IF($I279="","",INDEX(CONSOLIDADO!$B$2:$B$801,$I279))</f>
        <v/>
      </c>
      <c r="D279" s="16" t="str">
        <f aca="false">IF($I279="","",INDEX(CONSOLIDADO!$C$2:$C$801,$I279))</f>
        <v/>
      </c>
      <c r="E279" s="16" t="str">
        <f aca="false">IF($I279="","",INDEX(CONSOLIDADO!$D$2:$D$801,$I279))</f>
        <v/>
      </c>
      <c r="F279" s="14" t="str">
        <f aca="false">IF($I279="","",INDEX(CONSOLIDADO!$E$2:$E$801,$I279))</f>
        <v/>
      </c>
      <c r="G279" s="16" t="str">
        <f aca="false">IF($I279="","",INDEX(CONSOLIDADO!$G$2:$G$801,$I279))</f>
        <v/>
      </c>
      <c r="H279" s="16" t="str">
        <f aca="false">IF($I279="","",INDEX(CONSOLIDADO!$H$2:$H$801,$I279))</f>
        <v/>
      </c>
      <c r="I279" s="11" t="str">
        <f aca="false">IFERROR(MATCH(ROW()-1,CONSOLIDADO!$AJ$2:$AJ$801,0),"")</f>
        <v/>
      </c>
      <c r="J279" s="11" t="str">
        <f aca="false">IF(B279="","",F279&amp;" "&amp;C279&amp;" ("&amp;B279&amp;")")</f>
        <v/>
      </c>
    </row>
    <row r="280" customFormat="false" ht="15" hidden="false" customHeight="false" outlineLevel="0" collapsed="false">
      <c r="A280" s="16"/>
      <c r="B280" s="11" t="str">
        <f aca="false">IF($I280="","",INDEX(CONSOLIDADO!$A$2:$A$801,$I280))</f>
        <v/>
      </c>
      <c r="C280" s="11" t="str">
        <f aca="false">IF($I280="","",INDEX(CONSOLIDADO!$B$2:$B$801,$I280))</f>
        <v/>
      </c>
      <c r="D280" s="16" t="str">
        <f aca="false">IF($I280="","",INDEX(CONSOLIDADO!$C$2:$C$801,$I280))</f>
        <v/>
      </c>
      <c r="E280" s="16" t="str">
        <f aca="false">IF($I280="","",INDEX(CONSOLIDADO!$D$2:$D$801,$I280))</f>
        <v/>
      </c>
      <c r="F280" s="14" t="str">
        <f aca="false">IF($I280="","",INDEX(CONSOLIDADO!$E$2:$E$801,$I280))</f>
        <v/>
      </c>
      <c r="G280" s="16" t="str">
        <f aca="false">IF($I280="","",INDEX(CONSOLIDADO!$G$2:$G$801,$I280))</f>
        <v/>
      </c>
      <c r="H280" s="16" t="str">
        <f aca="false">IF($I280="","",INDEX(CONSOLIDADO!$H$2:$H$801,$I280))</f>
        <v/>
      </c>
      <c r="I280" s="11" t="str">
        <f aca="false">IFERROR(MATCH(ROW()-1,CONSOLIDADO!$AJ$2:$AJ$801,0),"")</f>
        <v/>
      </c>
      <c r="J280" s="11" t="str">
        <f aca="false">IF(B280="","",F280&amp;" "&amp;C280&amp;" ("&amp;B280&amp;")")</f>
        <v/>
      </c>
    </row>
    <row r="281" customFormat="false" ht="15" hidden="false" customHeight="false" outlineLevel="0" collapsed="false">
      <c r="A281" s="16"/>
      <c r="B281" s="11" t="str">
        <f aca="false">IF($I281="","",INDEX(CONSOLIDADO!$A$2:$A$801,$I281))</f>
        <v/>
      </c>
      <c r="C281" s="11" t="str">
        <f aca="false">IF($I281="","",INDEX(CONSOLIDADO!$B$2:$B$801,$I281))</f>
        <v/>
      </c>
      <c r="D281" s="16" t="str">
        <f aca="false">IF($I281="","",INDEX(CONSOLIDADO!$C$2:$C$801,$I281))</f>
        <v/>
      </c>
      <c r="E281" s="16" t="str">
        <f aca="false">IF($I281="","",INDEX(CONSOLIDADO!$D$2:$D$801,$I281))</f>
        <v/>
      </c>
      <c r="F281" s="14" t="str">
        <f aca="false">IF($I281="","",INDEX(CONSOLIDADO!$E$2:$E$801,$I281))</f>
        <v/>
      </c>
      <c r="G281" s="16" t="str">
        <f aca="false">IF($I281="","",INDEX(CONSOLIDADO!$G$2:$G$801,$I281))</f>
        <v/>
      </c>
      <c r="H281" s="16" t="str">
        <f aca="false">IF($I281="","",INDEX(CONSOLIDADO!$H$2:$H$801,$I281))</f>
        <v/>
      </c>
      <c r="I281" s="11" t="str">
        <f aca="false">IFERROR(MATCH(ROW()-1,CONSOLIDADO!$AJ$2:$AJ$801,0),"")</f>
        <v/>
      </c>
      <c r="J281" s="11" t="str">
        <f aca="false">IF(B281="","",F281&amp;" "&amp;C281&amp;" ("&amp;B281&amp;")")</f>
        <v/>
      </c>
    </row>
    <row r="282" customFormat="false" ht="15" hidden="false" customHeight="false" outlineLevel="0" collapsed="false">
      <c r="A282" s="16"/>
      <c r="B282" s="11" t="str">
        <f aca="false">IF($I282="","",INDEX(CONSOLIDADO!$A$2:$A$801,$I282))</f>
        <v/>
      </c>
      <c r="C282" s="11" t="str">
        <f aca="false">IF($I282="","",INDEX(CONSOLIDADO!$B$2:$B$801,$I282))</f>
        <v/>
      </c>
      <c r="D282" s="16" t="str">
        <f aca="false">IF($I282="","",INDEX(CONSOLIDADO!$C$2:$C$801,$I282))</f>
        <v/>
      </c>
      <c r="E282" s="16" t="str">
        <f aca="false">IF($I282="","",INDEX(CONSOLIDADO!$D$2:$D$801,$I282))</f>
        <v/>
      </c>
      <c r="F282" s="14" t="str">
        <f aca="false">IF($I282="","",INDEX(CONSOLIDADO!$E$2:$E$801,$I282))</f>
        <v/>
      </c>
      <c r="G282" s="16" t="str">
        <f aca="false">IF($I282="","",INDEX(CONSOLIDADO!$G$2:$G$801,$I282))</f>
        <v/>
      </c>
      <c r="H282" s="16" t="str">
        <f aca="false">IF($I282="","",INDEX(CONSOLIDADO!$H$2:$H$801,$I282))</f>
        <v/>
      </c>
      <c r="I282" s="11" t="str">
        <f aca="false">IFERROR(MATCH(ROW()-1,CONSOLIDADO!$AJ$2:$AJ$801,0),"")</f>
        <v/>
      </c>
      <c r="J282" s="11" t="str">
        <f aca="false">IF(B282="","",F282&amp;" "&amp;C282&amp;" ("&amp;B282&amp;")")</f>
        <v/>
      </c>
    </row>
    <row r="283" customFormat="false" ht="15" hidden="false" customHeight="false" outlineLevel="0" collapsed="false">
      <c r="A283" s="16"/>
      <c r="B283" s="11" t="str">
        <f aca="false">IF($I283="","",INDEX(CONSOLIDADO!$A$2:$A$801,$I283))</f>
        <v/>
      </c>
      <c r="C283" s="11" t="str">
        <f aca="false">IF($I283="","",INDEX(CONSOLIDADO!$B$2:$B$801,$I283))</f>
        <v/>
      </c>
      <c r="D283" s="16" t="str">
        <f aca="false">IF($I283="","",INDEX(CONSOLIDADO!$C$2:$C$801,$I283))</f>
        <v/>
      </c>
      <c r="E283" s="16" t="str">
        <f aca="false">IF($I283="","",INDEX(CONSOLIDADO!$D$2:$D$801,$I283))</f>
        <v/>
      </c>
      <c r="F283" s="14" t="str">
        <f aca="false">IF($I283="","",INDEX(CONSOLIDADO!$E$2:$E$801,$I283))</f>
        <v/>
      </c>
      <c r="G283" s="16" t="str">
        <f aca="false">IF($I283="","",INDEX(CONSOLIDADO!$G$2:$G$801,$I283))</f>
        <v/>
      </c>
      <c r="H283" s="16" t="str">
        <f aca="false">IF($I283="","",INDEX(CONSOLIDADO!$H$2:$H$801,$I283))</f>
        <v/>
      </c>
      <c r="I283" s="11" t="str">
        <f aca="false">IFERROR(MATCH(ROW()-1,CONSOLIDADO!$AJ$2:$AJ$801,0),"")</f>
        <v/>
      </c>
      <c r="J283" s="11" t="str">
        <f aca="false">IF(B283="","",F283&amp;" "&amp;C283&amp;" ("&amp;B283&amp;")")</f>
        <v/>
      </c>
    </row>
    <row r="284" customFormat="false" ht="15" hidden="false" customHeight="false" outlineLevel="0" collapsed="false">
      <c r="A284" s="16"/>
      <c r="B284" s="11" t="str">
        <f aca="false">IF($I284="","",INDEX(CONSOLIDADO!$A$2:$A$801,$I284))</f>
        <v/>
      </c>
      <c r="C284" s="11" t="str">
        <f aca="false">IF($I284="","",INDEX(CONSOLIDADO!$B$2:$B$801,$I284))</f>
        <v/>
      </c>
      <c r="D284" s="16" t="str">
        <f aca="false">IF($I284="","",INDEX(CONSOLIDADO!$C$2:$C$801,$I284))</f>
        <v/>
      </c>
      <c r="E284" s="16" t="str">
        <f aca="false">IF($I284="","",INDEX(CONSOLIDADO!$D$2:$D$801,$I284))</f>
        <v/>
      </c>
      <c r="F284" s="14" t="str">
        <f aca="false">IF($I284="","",INDEX(CONSOLIDADO!$E$2:$E$801,$I284))</f>
        <v/>
      </c>
      <c r="G284" s="16" t="str">
        <f aca="false">IF($I284="","",INDEX(CONSOLIDADO!$G$2:$G$801,$I284))</f>
        <v/>
      </c>
      <c r="H284" s="16" t="str">
        <f aca="false">IF($I284="","",INDEX(CONSOLIDADO!$H$2:$H$801,$I284))</f>
        <v/>
      </c>
      <c r="I284" s="11" t="str">
        <f aca="false">IFERROR(MATCH(ROW()-1,CONSOLIDADO!$AJ$2:$AJ$801,0),"")</f>
        <v/>
      </c>
      <c r="J284" s="11" t="str">
        <f aca="false">IF(B284="","",F284&amp;" "&amp;C284&amp;" ("&amp;B284&amp;")")</f>
        <v/>
      </c>
    </row>
    <row r="285" customFormat="false" ht="15" hidden="false" customHeight="false" outlineLevel="0" collapsed="false">
      <c r="A285" s="16"/>
      <c r="B285" s="11" t="str">
        <f aca="false">IF($I285="","",INDEX(CONSOLIDADO!$A$2:$A$801,$I285))</f>
        <v/>
      </c>
      <c r="C285" s="11" t="str">
        <f aca="false">IF($I285="","",INDEX(CONSOLIDADO!$B$2:$B$801,$I285))</f>
        <v/>
      </c>
      <c r="D285" s="16" t="str">
        <f aca="false">IF($I285="","",INDEX(CONSOLIDADO!$C$2:$C$801,$I285))</f>
        <v/>
      </c>
      <c r="E285" s="16" t="str">
        <f aca="false">IF($I285="","",INDEX(CONSOLIDADO!$D$2:$D$801,$I285))</f>
        <v/>
      </c>
      <c r="F285" s="14" t="str">
        <f aca="false">IF($I285="","",INDEX(CONSOLIDADO!$E$2:$E$801,$I285))</f>
        <v/>
      </c>
      <c r="G285" s="16" t="str">
        <f aca="false">IF($I285="","",INDEX(CONSOLIDADO!$G$2:$G$801,$I285))</f>
        <v/>
      </c>
      <c r="H285" s="16" t="str">
        <f aca="false">IF($I285="","",INDEX(CONSOLIDADO!$H$2:$H$801,$I285))</f>
        <v/>
      </c>
      <c r="I285" s="11" t="str">
        <f aca="false">IFERROR(MATCH(ROW()-1,CONSOLIDADO!$AJ$2:$AJ$801,0),"")</f>
        <v/>
      </c>
      <c r="J285" s="11" t="str">
        <f aca="false">IF(B285="","",F285&amp;" "&amp;C285&amp;" ("&amp;B285&amp;")")</f>
        <v/>
      </c>
    </row>
    <row r="286" customFormat="false" ht="15" hidden="false" customHeight="false" outlineLevel="0" collapsed="false">
      <c r="A286" s="16"/>
      <c r="B286" s="11" t="str">
        <f aca="false">IF($I286="","",INDEX(CONSOLIDADO!$A$2:$A$801,$I286))</f>
        <v/>
      </c>
      <c r="C286" s="11" t="str">
        <f aca="false">IF($I286="","",INDEX(CONSOLIDADO!$B$2:$B$801,$I286))</f>
        <v/>
      </c>
      <c r="D286" s="16" t="str">
        <f aca="false">IF($I286="","",INDEX(CONSOLIDADO!$C$2:$C$801,$I286))</f>
        <v/>
      </c>
      <c r="E286" s="16" t="str">
        <f aca="false">IF($I286="","",INDEX(CONSOLIDADO!$D$2:$D$801,$I286))</f>
        <v/>
      </c>
      <c r="F286" s="14" t="str">
        <f aca="false">IF($I286="","",INDEX(CONSOLIDADO!$E$2:$E$801,$I286))</f>
        <v/>
      </c>
      <c r="G286" s="16" t="str">
        <f aca="false">IF($I286="","",INDEX(CONSOLIDADO!$G$2:$G$801,$I286))</f>
        <v/>
      </c>
      <c r="H286" s="16" t="str">
        <f aca="false">IF($I286="","",INDEX(CONSOLIDADO!$H$2:$H$801,$I286))</f>
        <v/>
      </c>
      <c r="I286" s="11" t="str">
        <f aca="false">IFERROR(MATCH(ROW()-1,CONSOLIDADO!$AJ$2:$AJ$801,0),"")</f>
        <v/>
      </c>
      <c r="J286" s="11" t="str">
        <f aca="false">IF(B286="","",F286&amp;" "&amp;C286&amp;" ("&amp;B286&amp;")")</f>
        <v/>
      </c>
    </row>
    <row r="287" customFormat="false" ht="15" hidden="false" customHeight="false" outlineLevel="0" collapsed="false">
      <c r="A287" s="16"/>
      <c r="B287" s="11" t="str">
        <f aca="false">IF($I287="","",INDEX(CONSOLIDADO!$A$2:$A$801,$I287))</f>
        <v/>
      </c>
      <c r="C287" s="11" t="str">
        <f aca="false">IF($I287="","",INDEX(CONSOLIDADO!$B$2:$B$801,$I287))</f>
        <v/>
      </c>
      <c r="D287" s="16" t="str">
        <f aca="false">IF($I287="","",INDEX(CONSOLIDADO!$C$2:$C$801,$I287))</f>
        <v/>
      </c>
      <c r="E287" s="16" t="str">
        <f aca="false">IF($I287="","",INDEX(CONSOLIDADO!$D$2:$D$801,$I287))</f>
        <v/>
      </c>
      <c r="F287" s="14" t="str">
        <f aca="false">IF($I287="","",INDEX(CONSOLIDADO!$E$2:$E$801,$I287))</f>
        <v/>
      </c>
      <c r="G287" s="16" t="str">
        <f aca="false">IF($I287="","",INDEX(CONSOLIDADO!$G$2:$G$801,$I287))</f>
        <v/>
      </c>
      <c r="H287" s="16" t="str">
        <f aca="false">IF($I287="","",INDEX(CONSOLIDADO!$H$2:$H$801,$I287))</f>
        <v/>
      </c>
      <c r="I287" s="11" t="str">
        <f aca="false">IFERROR(MATCH(ROW()-1,CONSOLIDADO!$AJ$2:$AJ$801,0),"")</f>
        <v/>
      </c>
      <c r="J287" s="11" t="str">
        <f aca="false">IF(B287="","",F287&amp;" "&amp;C287&amp;" ("&amp;B287&amp;")")</f>
        <v/>
      </c>
    </row>
    <row r="288" customFormat="false" ht="15" hidden="false" customHeight="false" outlineLevel="0" collapsed="false">
      <c r="A288" s="16"/>
      <c r="B288" s="11" t="str">
        <f aca="false">IF($I288="","",INDEX(CONSOLIDADO!$A$2:$A$801,$I288))</f>
        <v/>
      </c>
      <c r="C288" s="11" t="str">
        <f aca="false">IF($I288="","",INDEX(CONSOLIDADO!$B$2:$B$801,$I288))</f>
        <v/>
      </c>
      <c r="D288" s="16" t="str">
        <f aca="false">IF($I288="","",INDEX(CONSOLIDADO!$C$2:$C$801,$I288))</f>
        <v/>
      </c>
      <c r="E288" s="16" t="str">
        <f aca="false">IF($I288="","",INDEX(CONSOLIDADO!$D$2:$D$801,$I288))</f>
        <v/>
      </c>
      <c r="F288" s="14" t="str">
        <f aca="false">IF($I288="","",INDEX(CONSOLIDADO!$E$2:$E$801,$I288))</f>
        <v/>
      </c>
      <c r="G288" s="16" t="str">
        <f aca="false">IF($I288="","",INDEX(CONSOLIDADO!$G$2:$G$801,$I288))</f>
        <v/>
      </c>
      <c r="H288" s="16" t="str">
        <f aca="false">IF($I288="","",INDEX(CONSOLIDADO!$H$2:$H$801,$I288))</f>
        <v/>
      </c>
      <c r="I288" s="11" t="str">
        <f aca="false">IFERROR(MATCH(ROW()-1,CONSOLIDADO!$AJ$2:$AJ$801,0),"")</f>
        <v/>
      </c>
      <c r="J288" s="11" t="str">
        <f aca="false">IF(B288="","",F288&amp;" "&amp;C288&amp;" ("&amp;B288&amp;")")</f>
        <v/>
      </c>
    </row>
    <row r="289" customFormat="false" ht="15" hidden="false" customHeight="false" outlineLevel="0" collapsed="false">
      <c r="A289" s="16"/>
      <c r="B289" s="11" t="str">
        <f aca="false">IF($I289="","",INDEX(CONSOLIDADO!$A$2:$A$801,$I289))</f>
        <v/>
      </c>
      <c r="C289" s="11" t="str">
        <f aca="false">IF($I289="","",INDEX(CONSOLIDADO!$B$2:$B$801,$I289))</f>
        <v/>
      </c>
      <c r="D289" s="16" t="str">
        <f aca="false">IF($I289="","",INDEX(CONSOLIDADO!$C$2:$C$801,$I289))</f>
        <v/>
      </c>
      <c r="E289" s="16" t="str">
        <f aca="false">IF($I289="","",INDEX(CONSOLIDADO!$D$2:$D$801,$I289))</f>
        <v/>
      </c>
      <c r="F289" s="14" t="str">
        <f aca="false">IF($I289="","",INDEX(CONSOLIDADO!$E$2:$E$801,$I289))</f>
        <v/>
      </c>
      <c r="G289" s="16" t="str">
        <f aca="false">IF($I289="","",INDEX(CONSOLIDADO!$G$2:$G$801,$I289))</f>
        <v/>
      </c>
      <c r="H289" s="16" t="str">
        <f aca="false">IF($I289="","",INDEX(CONSOLIDADO!$H$2:$H$801,$I289))</f>
        <v/>
      </c>
      <c r="I289" s="11" t="str">
        <f aca="false">IFERROR(MATCH(ROW()-1,CONSOLIDADO!$AJ$2:$AJ$801,0),"")</f>
        <v/>
      </c>
      <c r="J289" s="11" t="str">
        <f aca="false">IF(B289="","",F289&amp;" "&amp;C289&amp;" ("&amp;B289&amp;")")</f>
        <v/>
      </c>
    </row>
    <row r="290" customFormat="false" ht="15" hidden="false" customHeight="false" outlineLevel="0" collapsed="false">
      <c r="A290" s="16"/>
      <c r="B290" s="11" t="str">
        <f aca="false">IF($I290="","",INDEX(CONSOLIDADO!$A$2:$A$801,$I290))</f>
        <v/>
      </c>
      <c r="C290" s="11" t="str">
        <f aca="false">IF($I290="","",INDEX(CONSOLIDADO!$B$2:$B$801,$I290))</f>
        <v/>
      </c>
      <c r="D290" s="16" t="str">
        <f aca="false">IF($I290="","",INDEX(CONSOLIDADO!$C$2:$C$801,$I290))</f>
        <v/>
      </c>
      <c r="E290" s="16" t="str">
        <f aca="false">IF($I290="","",INDEX(CONSOLIDADO!$D$2:$D$801,$I290))</f>
        <v/>
      </c>
      <c r="F290" s="14" t="str">
        <f aca="false">IF($I290="","",INDEX(CONSOLIDADO!$E$2:$E$801,$I290))</f>
        <v/>
      </c>
      <c r="G290" s="16" t="str">
        <f aca="false">IF($I290="","",INDEX(CONSOLIDADO!$G$2:$G$801,$I290))</f>
        <v/>
      </c>
      <c r="H290" s="16" t="str">
        <f aca="false">IF($I290="","",INDEX(CONSOLIDADO!$H$2:$H$801,$I290))</f>
        <v/>
      </c>
      <c r="I290" s="11" t="str">
        <f aca="false">IFERROR(MATCH(ROW()-1,CONSOLIDADO!$AJ$2:$AJ$801,0),"")</f>
        <v/>
      </c>
      <c r="J290" s="11" t="str">
        <f aca="false">IF(B290="","",F290&amp;" "&amp;C290&amp;" ("&amp;B290&amp;")")</f>
        <v/>
      </c>
    </row>
    <row r="291" customFormat="false" ht="15" hidden="false" customHeight="false" outlineLevel="0" collapsed="false">
      <c r="A291" s="16"/>
      <c r="B291" s="11" t="str">
        <f aca="false">IF($I291="","",INDEX(CONSOLIDADO!$A$2:$A$801,$I291))</f>
        <v/>
      </c>
      <c r="C291" s="11" t="str">
        <f aca="false">IF($I291="","",INDEX(CONSOLIDADO!$B$2:$B$801,$I291))</f>
        <v/>
      </c>
      <c r="D291" s="16" t="str">
        <f aca="false">IF($I291="","",INDEX(CONSOLIDADO!$C$2:$C$801,$I291))</f>
        <v/>
      </c>
      <c r="E291" s="16" t="str">
        <f aca="false">IF($I291="","",INDEX(CONSOLIDADO!$D$2:$D$801,$I291))</f>
        <v/>
      </c>
      <c r="F291" s="14" t="str">
        <f aca="false">IF($I291="","",INDEX(CONSOLIDADO!$E$2:$E$801,$I291))</f>
        <v/>
      </c>
      <c r="G291" s="16" t="str">
        <f aca="false">IF($I291="","",INDEX(CONSOLIDADO!$G$2:$G$801,$I291))</f>
        <v/>
      </c>
      <c r="H291" s="16" t="str">
        <f aca="false">IF($I291="","",INDEX(CONSOLIDADO!$H$2:$H$801,$I291))</f>
        <v/>
      </c>
      <c r="I291" s="11" t="str">
        <f aca="false">IFERROR(MATCH(ROW()-1,CONSOLIDADO!$AJ$2:$AJ$801,0),"")</f>
        <v/>
      </c>
      <c r="J291" s="11" t="str">
        <f aca="false">IF(B291="","",F291&amp;" "&amp;C291&amp;" ("&amp;B291&amp;")")</f>
        <v/>
      </c>
    </row>
    <row r="292" customFormat="false" ht="15" hidden="false" customHeight="false" outlineLevel="0" collapsed="false">
      <c r="A292" s="16"/>
      <c r="B292" s="11" t="str">
        <f aca="false">IF($I292="","",INDEX(CONSOLIDADO!$A$2:$A$801,$I292))</f>
        <v/>
      </c>
      <c r="C292" s="11" t="str">
        <f aca="false">IF($I292="","",INDEX(CONSOLIDADO!$B$2:$B$801,$I292))</f>
        <v/>
      </c>
      <c r="D292" s="16" t="str">
        <f aca="false">IF($I292="","",INDEX(CONSOLIDADO!$C$2:$C$801,$I292))</f>
        <v/>
      </c>
      <c r="E292" s="16" t="str">
        <f aca="false">IF($I292="","",INDEX(CONSOLIDADO!$D$2:$D$801,$I292))</f>
        <v/>
      </c>
      <c r="F292" s="14" t="str">
        <f aca="false">IF($I292="","",INDEX(CONSOLIDADO!$E$2:$E$801,$I292))</f>
        <v/>
      </c>
      <c r="G292" s="16" t="str">
        <f aca="false">IF($I292="","",INDEX(CONSOLIDADO!$G$2:$G$801,$I292))</f>
        <v/>
      </c>
      <c r="H292" s="16" t="str">
        <f aca="false">IF($I292="","",INDEX(CONSOLIDADO!$H$2:$H$801,$I292))</f>
        <v/>
      </c>
      <c r="I292" s="11" t="str">
        <f aca="false">IFERROR(MATCH(ROW()-1,CONSOLIDADO!$AJ$2:$AJ$801,0),"")</f>
        <v/>
      </c>
      <c r="J292" s="11" t="str">
        <f aca="false">IF(B292="","",F292&amp;" "&amp;C292&amp;" ("&amp;B292&amp;")")</f>
        <v/>
      </c>
    </row>
    <row r="293" customFormat="false" ht="15" hidden="false" customHeight="false" outlineLevel="0" collapsed="false">
      <c r="A293" s="16"/>
      <c r="B293" s="11" t="str">
        <f aca="false">IF($I293="","",INDEX(CONSOLIDADO!$A$2:$A$801,$I293))</f>
        <v/>
      </c>
      <c r="C293" s="11" t="str">
        <f aca="false">IF($I293="","",INDEX(CONSOLIDADO!$B$2:$B$801,$I293))</f>
        <v/>
      </c>
      <c r="D293" s="16" t="str">
        <f aca="false">IF($I293="","",INDEX(CONSOLIDADO!$C$2:$C$801,$I293))</f>
        <v/>
      </c>
      <c r="E293" s="16" t="str">
        <f aca="false">IF($I293="","",INDEX(CONSOLIDADO!$D$2:$D$801,$I293))</f>
        <v/>
      </c>
      <c r="F293" s="14" t="str">
        <f aca="false">IF($I293="","",INDEX(CONSOLIDADO!$E$2:$E$801,$I293))</f>
        <v/>
      </c>
      <c r="G293" s="16" t="str">
        <f aca="false">IF($I293="","",INDEX(CONSOLIDADO!$G$2:$G$801,$I293))</f>
        <v/>
      </c>
      <c r="H293" s="16" t="str">
        <f aca="false">IF($I293="","",INDEX(CONSOLIDADO!$H$2:$H$801,$I293))</f>
        <v/>
      </c>
      <c r="I293" s="11" t="str">
        <f aca="false">IFERROR(MATCH(ROW()-1,CONSOLIDADO!$AJ$2:$AJ$801,0),"")</f>
        <v/>
      </c>
      <c r="J293" s="11" t="str">
        <f aca="false">IF(B293="","",F293&amp;" "&amp;C293&amp;" ("&amp;B293&amp;")")</f>
        <v/>
      </c>
    </row>
    <row r="294" customFormat="false" ht="15" hidden="false" customHeight="false" outlineLevel="0" collapsed="false">
      <c r="A294" s="16"/>
      <c r="B294" s="11" t="str">
        <f aca="false">IF($I294="","",INDEX(CONSOLIDADO!$A$2:$A$801,$I294))</f>
        <v/>
      </c>
      <c r="C294" s="11" t="str">
        <f aca="false">IF($I294="","",INDEX(CONSOLIDADO!$B$2:$B$801,$I294))</f>
        <v/>
      </c>
      <c r="D294" s="16" t="str">
        <f aca="false">IF($I294="","",INDEX(CONSOLIDADO!$C$2:$C$801,$I294))</f>
        <v/>
      </c>
      <c r="E294" s="16" t="str">
        <f aca="false">IF($I294="","",INDEX(CONSOLIDADO!$D$2:$D$801,$I294))</f>
        <v/>
      </c>
      <c r="F294" s="14" t="str">
        <f aca="false">IF($I294="","",INDEX(CONSOLIDADO!$E$2:$E$801,$I294))</f>
        <v/>
      </c>
      <c r="G294" s="16" t="str">
        <f aca="false">IF($I294="","",INDEX(CONSOLIDADO!$G$2:$G$801,$I294))</f>
        <v/>
      </c>
      <c r="H294" s="16" t="str">
        <f aca="false">IF($I294="","",INDEX(CONSOLIDADO!$H$2:$H$801,$I294))</f>
        <v/>
      </c>
      <c r="I294" s="11" t="str">
        <f aca="false">IFERROR(MATCH(ROW()-1,CONSOLIDADO!$AJ$2:$AJ$801,0),"")</f>
        <v/>
      </c>
      <c r="J294" s="11" t="str">
        <f aca="false">IF(B294="","",F294&amp;" "&amp;C294&amp;" ("&amp;B294&amp;")")</f>
        <v/>
      </c>
    </row>
    <row r="295" customFormat="false" ht="15" hidden="false" customHeight="false" outlineLevel="0" collapsed="false">
      <c r="A295" s="16"/>
      <c r="B295" s="11" t="str">
        <f aca="false">IF($I295="","",INDEX(CONSOLIDADO!$A$2:$A$801,$I295))</f>
        <v/>
      </c>
      <c r="C295" s="11" t="str">
        <f aca="false">IF($I295="","",INDEX(CONSOLIDADO!$B$2:$B$801,$I295))</f>
        <v/>
      </c>
      <c r="D295" s="16" t="str">
        <f aca="false">IF($I295="","",INDEX(CONSOLIDADO!$C$2:$C$801,$I295))</f>
        <v/>
      </c>
      <c r="E295" s="16" t="str">
        <f aca="false">IF($I295="","",INDEX(CONSOLIDADO!$D$2:$D$801,$I295))</f>
        <v/>
      </c>
      <c r="F295" s="14" t="str">
        <f aca="false">IF($I295="","",INDEX(CONSOLIDADO!$E$2:$E$801,$I295))</f>
        <v/>
      </c>
      <c r="G295" s="16" t="str">
        <f aca="false">IF($I295="","",INDEX(CONSOLIDADO!$G$2:$G$801,$I295))</f>
        <v/>
      </c>
      <c r="H295" s="16" t="str">
        <f aca="false">IF($I295="","",INDEX(CONSOLIDADO!$H$2:$H$801,$I295))</f>
        <v/>
      </c>
      <c r="I295" s="11" t="str">
        <f aca="false">IFERROR(MATCH(ROW()-1,CONSOLIDADO!$AJ$2:$AJ$801,0),"")</f>
        <v/>
      </c>
      <c r="J295" s="11" t="str">
        <f aca="false">IF(B295="","",F295&amp;" "&amp;C295&amp;" ("&amp;B295&amp;")")</f>
        <v/>
      </c>
    </row>
    <row r="296" customFormat="false" ht="15" hidden="false" customHeight="false" outlineLevel="0" collapsed="false">
      <c r="A296" s="16"/>
      <c r="B296" s="11" t="str">
        <f aca="false">IF($I296="","",INDEX(CONSOLIDADO!$A$2:$A$801,$I296))</f>
        <v/>
      </c>
      <c r="C296" s="11" t="str">
        <f aca="false">IF($I296="","",INDEX(CONSOLIDADO!$B$2:$B$801,$I296))</f>
        <v/>
      </c>
      <c r="D296" s="16" t="str">
        <f aca="false">IF($I296="","",INDEX(CONSOLIDADO!$C$2:$C$801,$I296))</f>
        <v/>
      </c>
      <c r="E296" s="16" t="str">
        <f aca="false">IF($I296="","",INDEX(CONSOLIDADO!$D$2:$D$801,$I296))</f>
        <v/>
      </c>
      <c r="F296" s="14" t="str">
        <f aca="false">IF($I296="","",INDEX(CONSOLIDADO!$E$2:$E$801,$I296))</f>
        <v/>
      </c>
      <c r="G296" s="16" t="str">
        <f aca="false">IF($I296="","",INDEX(CONSOLIDADO!$G$2:$G$801,$I296))</f>
        <v/>
      </c>
      <c r="H296" s="16" t="str">
        <f aca="false">IF($I296="","",INDEX(CONSOLIDADO!$H$2:$H$801,$I296))</f>
        <v/>
      </c>
      <c r="I296" s="11" t="str">
        <f aca="false">IFERROR(MATCH(ROW()-1,CONSOLIDADO!$AJ$2:$AJ$801,0),"")</f>
        <v/>
      </c>
      <c r="J296" s="11" t="str">
        <f aca="false">IF(B296="","",F296&amp;" "&amp;C296&amp;" ("&amp;B296&amp;")")</f>
        <v/>
      </c>
    </row>
    <row r="297" customFormat="false" ht="15" hidden="false" customHeight="false" outlineLevel="0" collapsed="false">
      <c r="A297" s="16"/>
      <c r="B297" s="11" t="str">
        <f aca="false">IF($I297="","",INDEX(CONSOLIDADO!$A$2:$A$801,$I297))</f>
        <v/>
      </c>
      <c r="C297" s="11" t="str">
        <f aca="false">IF($I297="","",INDEX(CONSOLIDADO!$B$2:$B$801,$I297))</f>
        <v/>
      </c>
      <c r="D297" s="16" t="str">
        <f aca="false">IF($I297="","",INDEX(CONSOLIDADO!$C$2:$C$801,$I297))</f>
        <v/>
      </c>
      <c r="E297" s="16" t="str">
        <f aca="false">IF($I297="","",INDEX(CONSOLIDADO!$D$2:$D$801,$I297))</f>
        <v/>
      </c>
      <c r="F297" s="14" t="str">
        <f aca="false">IF($I297="","",INDEX(CONSOLIDADO!$E$2:$E$801,$I297))</f>
        <v/>
      </c>
      <c r="G297" s="16" t="str">
        <f aca="false">IF($I297="","",INDEX(CONSOLIDADO!$G$2:$G$801,$I297))</f>
        <v/>
      </c>
      <c r="H297" s="16" t="str">
        <f aca="false">IF($I297="","",INDEX(CONSOLIDADO!$H$2:$H$801,$I297))</f>
        <v/>
      </c>
      <c r="I297" s="11" t="str">
        <f aca="false">IFERROR(MATCH(ROW()-1,CONSOLIDADO!$AJ$2:$AJ$801,0),"")</f>
        <v/>
      </c>
      <c r="J297" s="11" t="str">
        <f aca="false">IF(B297="","",F297&amp;" "&amp;C297&amp;" ("&amp;B297&amp;")")</f>
        <v/>
      </c>
    </row>
    <row r="298" customFormat="false" ht="15" hidden="false" customHeight="false" outlineLevel="0" collapsed="false">
      <c r="A298" s="16"/>
      <c r="B298" s="11" t="str">
        <f aca="false">IF($I298="","",INDEX(CONSOLIDADO!$A$2:$A$801,$I298))</f>
        <v/>
      </c>
      <c r="C298" s="11" t="str">
        <f aca="false">IF($I298="","",INDEX(CONSOLIDADO!$B$2:$B$801,$I298))</f>
        <v/>
      </c>
      <c r="D298" s="16" t="str">
        <f aca="false">IF($I298="","",INDEX(CONSOLIDADO!$C$2:$C$801,$I298))</f>
        <v/>
      </c>
      <c r="E298" s="16" t="str">
        <f aca="false">IF($I298="","",INDEX(CONSOLIDADO!$D$2:$D$801,$I298))</f>
        <v/>
      </c>
      <c r="F298" s="14" t="str">
        <f aca="false">IF($I298="","",INDEX(CONSOLIDADO!$E$2:$E$801,$I298))</f>
        <v/>
      </c>
      <c r="G298" s="16" t="str">
        <f aca="false">IF($I298="","",INDEX(CONSOLIDADO!$G$2:$G$801,$I298))</f>
        <v/>
      </c>
      <c r="H298" s="16" t="str">
        <f aca="false">IF($I298="","",INDEX(CONSOLIDADO!$H$2:$H$801,$I298))</f>
        <v/>
      </c>
      <c r="I298" s="11" t="str">
        <f aca="false">IFERROR(MATCH(ROW()-1,CONSOLIDADO!$AJ$2:$AJ$801,0),"")</f>
        <v/>
      </c>
      <c r="J298" s="11" t="str">
        <f aca="false">IF(B298="","",F298&amp;" "&amp;C298&amp;" ("&amp;B298&amp;")")</f>
        <v/>
      </c>
    </row>
    <row r="299" customFormat="false" ht="15" hidden="false" customHeight="false" outlineLevel="0" collapsed="false">
      <c r="A299" s="16"/>
      <c r="B299" s="11" t="str">
        <f aca="false">IF($I299="","",INDEX(CONSOLIDADO!$A$2:$A$801,$I299))</f>
        <v/>
      </c>
      <c r="C299" s="11" t="str">
        <f aca="false">IF($I299="","",INDEX(CONSOLIDADO!$B$2:$B$801,$I299))</f>
        <v/>
      </c>
      <c r="D299" s="16" t="str">
        <f aca="false">IF($I299="","",INDEX(CONSOLIDADO!$C$2:$C$801,$I299))</f>
        <v/>
      </c>
      <c r="E299" s="16" t="str">
        <f aca="false">IF($I299="","",INDEX(CONSOLIDADO!$D$2:$D$801,$I299))</f>
        <v/>
      </c>
      <c r="F299" s="14" t="str">
        <f aca="false">IF($I299="","",INDEX(CONSOLIDADO!$E$2:$E$801,$I299))</f>
        <v/>
      </c>
      <c r="G299" s="16" t="str">
        <f aca="false">IF($I299="","",INDEX(CONSOLIDADO!$G$2:$G$801,$I299))</f>
        <v/>
      </c>
      <c r="H299" s="16" t="str">
        <f aca="false">IF($I299="","",INDEX(CONSOLIDADO!$H$2:$H$801,$I299))</f>
        <v/>
      </c>
      <c r="I299" s="11" t="str">
        <f aca="false">IFERROR(MATCH(ROW()-1,CONSOLIDADO!$AJ$2:$AJ$801,0),"")</f>
        <v/>
      </c>
      <c r="J299" s="11" t="str">
        <f aca="false">IF(B299="","",F299&amp;" "&amp;C299&amp;" ("&amp;B299&amp;")")</f>
        <v/>
      </c>
    </row>
    <row r="300" customFormat="false" ht="15" hidden="false" customHeight="false" outlineLevel="0" collapsed="false">
      <c r="A300" s="16"/>
      <c r="B300" s="11" t="str">
        <f aca="false">IF($I300="","",INDEX(CONSOLIDADO!$A$2:$A$801,$I300))</f>
        <v/>
      </c>
      <c r="C300" s="11" t="str">
        <f aca="false">IF($I300="","",INDEX(CONSOLIDADO!$B$2:$B$801,$I300))</f>
        <v/>
      </c>
      <c r="D300" s="16" t="str">
        <f aca="false">IF($I300="","",INDEX(CONSOLIDADO!$C$2:$C$801,$I300))</f>
        <v/>
      </c>
      <c r="E300" s="16" t="str">
        <f aca="false">IF($I300="","",INDEX(CONSOLIDADO!$D$2:$D$801,$I300))</f>
        <v/>
      </c>
      <c r="F300" s="14" t="str">
        <f aca="false">IF($I300="","",INDEX(CONSOLIDADO!$E$2:$E$801,$I300))</f>
        <v/>
      </c>
      <c r="G300" s="16" t="str">
        <f aca="false">IF($I300="","",INDEX(CONSOLIDADO!$G$2:$G$801,$I300))</f>
        <v/>
      </c>
      <c r="H300" s="16" t="str">
        <f aca="false">IF($I300="","",INDEX(CONSOLIDADO!$H$2:$H$801,$I300))</f>
        <v/>
      </c>
      <c r="I300" s="11" t="str">
        <f aca="false">IFERROR(MATCH(ROW()-1,CONSOLIDADO!$AJ$2:$AJ$801,0),"")</f>
        <v/>
      </c>
      <c r="J300" s="11" t="str">
        <f aca="false">IF(B300="","",F300&amp;" "&amp;C300&amp;" ("&amp;B300&amp;")")</f>
        <v/>
      </c>
    </row>
    <row r="301" customFormat="false" ht="15" hidden="false" customHeight="false" outlineLevel="0" collapsed="false">
      <c r="A301" s="16"/>
      <c r="B301" s="11" t="str">
        <f aca="false">IF($I301="","",INDEX(CONSOLIDADO!$A$2:$A$801,$I301))</f>
        <v/>
      </c>
      <c r="C301" s="11" t="str">
        <f aca="false">IF($I301="","",INDEX(CONSOLIDADO!$B$2:$B$801,$I301))</f>
        <v/>
      </c>
      <c r="D301" s="16" t="str">
        <f aca="false">IF($I301="","",INDEX(CONSOLIDADO!$C$2:$C$801,$I301))</f>
        <v/>
      </c>
      <c r="E301" s="16" t="str">
        <f aca="false">IF($I301="","",INDEX(CONSOLIDADO!$D$2:$D$801,$I301))</f>
        <v/>
      </c>
      <c r="F301" s="14" t="str">
        <f aca="false">IF($I301="","",INDEX(CONSOLIDADO!$E$2:$E$801,$I301))</f>
        <v/>
      </c>
      <c r="G301" s="16" t="str">
        <f aca="false">IF($I301="","",INDEX(CONSOLIDADO!$G$2:$G$801,$I301))</f>
        <v/>
      </c>
      <c r="H301" s="16" t="str">
        <f aca="false">IF($I301="","",INDEX(CONSOLIDADO!$H$2:$H$801,$I301))</f>
        <v/>
      </c>
      <c r="I301" s="11" t="str">
        <f aca="false">IFERROR(MATCH(ROW()-1,CONSOLIDADO!$AJ$2:$AJ$801,0),"")</f>
        <v/>
      </c>
      <c r="J301" s="11" t="str">
        <f aca="false">IF(B301="","",F301&amp;" "&amp;C301&amp;" ("&amp;B301&amp;")")</f>
        <v/>
      </c>
    </row>
    <row r="302" customFormat="false" ht="15" hidden="false" customHeight="false" outlineLevel="0" collapsed="false">
      <c r="A302" s="16"/>
      <c r="B302" s="11" t="str">
        <f aca="false">IF($I302="","",INDEX(CONSOLIDADO!$A$2:$A$801,$I302))</f>
        <v/>
      </c>
      <c r="C302" s="11" t="str">
        <f aca="false">IF($I302="","",INDEX(CONSOLIDADO!$B$2:$B$801,$I302))</f>
        <v/>
      </c>
      <c r="D302" s="16" t="str">
        <f aca="false">IF($I302="","",INDEX(CONSOLIDADO!$C$2:$C$801,$I302))</f>
        <v/>
      </c>
      <c r="E302" s="16" t="str">
        <f aca="false">IF($I302="","",INDEX(CONSOLIDADO!$D$2:$D$801,$I302))</f>
        <v/>
      </c>
      <c r="F302" s="14" t="str">
        <f aca="false">IF($I302="","",INDEX(CONSOLIDADO!$E$2:$E$801,$I302))</f>
        <v/>
      </c>
      <c r="G302" s="16" t="str">
        <f aca="false">IF($I302="","",INDEX(CONSOLIDADO!$G$2:$G$801,$I302))</f>
        <v/>
      </c>
      <c r="H302" s="16" t="str">
        <f aca="false">IF($I302="","",INDEX(CONSOLIDADO!$H$2:$H$801,$I302))</f>
        <v/>
      </c>
      <c r="I302" s="11" t="str">
        <f aca="false">IFERROR(MATCH(ROW()-1,CONSOLIDADO!$AJ$2:$AJ$801,0),"")</f>
        <v/>
      </c>
      <c r="J302" s="11" t="str">
        <f aca="false">IF(B302="","",F302&amp;" "&amp;C302&amp;" ("&amp;B302&amp;")")</f>
        <v/>
      </c>
    </row>
    <row r="303" customFormat="false" ht="15" hidden="false" customHeight="false" outlineLevel="0" collapsed="false">
      <c r="A303" s="16"/>
      <c r="B303" s="11" t="str">
        <f aca="false">IF($I303="","",INDEX(CONSOLIDADO!$A$2:$A$801,$I303))</f>
        <v/>
      </c>
      <c r="C303" s="11" t="str">
        <f aca="false">IF($I303="","",INDEX(CONSOLIDADO!$B$2:$B$801,$I303))</f>
        <v/>
      </c>
      <c r="D303" s="16" t="str">
        <f aca="false">IF($I303="","",INDEX(CONSOLIDADO!$C$2:$C$801,$I303))</f>
        <v/>
      </c>
      <c r="E303" s="16" t="str">
        <f aca="false">IF($I303="","",INDEX(CONSOLIDADO!$D$2:$D$801,$I303))</f>
        <v/>
      </c>
      <c r="F303" s="14" t="str">
        <f aca="false">IF($I303="","",INDEX(CONSOLIDADO!$E$2:$E$801,$I303))</f>
        <v/>
      </c>
      <c r="G303" s="16" t="str">
        <f aca="false">IF($I303="","",INDEX(CONSOLIDADO!$G$2:$G$801,$I303))</f>
        <v/>
      </c>
      <c r="H303" s="16" t="str">
        <f aca="false">IF($I303="","",INDEX(CONSOLIDADO!$H$2:$H$801,$I303))</f>
        <v/>
      </c>
      <c r="I303" s="11" t="str">
        <f aca="false">IFERROR(MATCH(ROW()-1,CONSOLIDADO!$AJ$2:$AJ$801,0),"")</f>
        <v/>
      </c>
      <c r="J303" s="11" t="str">
        <f aca="false">IF(B303="","",F303&amp;" "&amp;C303&amp;" ("&amp;B303&amp;")")</f>
        <v/>
      </c>
    </row>
    <row r="304" customFormat="false" ht="15" hidden="false" customHeight="false" outlineLevel="0" collapsed="false">
      <c r="A304" s="16"/>
      <c r="B304" s="11" t="str">
        <f aca="false">IF($I304="","",INDEX(CONSOLIDADO!$A$2:$A$801,$I304))</f>
        <v/>
      </c>
      <c r="C304" s="11" t="str">
        <f aca="false">IF($I304="","",INDEX(CONSOLIDADO!$B$2:$B$801,$I304))</f>
        <v/>
      </c>
      <c r="D304" s="16" t="str">
        <f aca="false">IF($I304="","",INDEX(CONSOLIDADO!$C$2:$C$801,$I304))</f>
        <v/>
      </c>
      <c r="E304" s="16" t="str">
        <f aca="false">IF($I304="","",INDEX(CONSOLIDADO!$D$2:$D$801,$I304))</f>
        <v/>
      </c>
      <c r="F304" s="14" t="str">
        <f aca="false">IF($I304="","",INDEX(CONSOLIDADO!$E$2:$E$801,$I304))</f>
        <v/>
      </c>
      <c r="G304" s="16" t="str">
        <f aca="false">IF($I304="","",INDEX(CONSOLIDADO!$G$2:$G$801,$I304))</f>
        <v/>
      </c>
      <c r="H304" s="16" t="str">
        <f aca="false">IF($I304="","",INDEX(CONSOLIDADO!$H$2:$H$801,$I304))</f>
        <v/>
      </c>
      <c r="I304" s="11" t="str">
        <f aca="false">IFERROR(MATCH(ROW()-1,CONSOLIDADO!$AJ$2:$AJ$801,0),"")</f>
        <v/>
      </c>
      <c r="J304" s="11" t="str">
        <f aca="false">IF(B304="","",F304&amp;" "&amp;C304&amp;" ("&amp;B304&amp;")")</f>
        <v/>
      </c>
    </row>
    <row r="305" customFormat="false" ht="15" hidden="false" customHeight="false" outlineLevel="0" collapsed="false">
      <c r="A305" s="16"/>
      <c r="B305" s="11" t="str">
        <f aca="false">IF($I305="","",INDEX(CONSOLIDADO!$A$2:$A$801,$I305))</f>
        <v/>
      </c>
      <c r="C305" s="11" t="str">
        <f aca="false">IF($I305="","",INDEX(CONSOLIDADO!$B$2:$B$801,$I305))</f>
        <v/>
      </c>
      <c r="D305" s="16" t="str">
        <f aca="false">IF($I305="","",INDEX(CONSOLIDADO!$C$2:$C$801,$I305))</f>
        <v/>
      </c>
      <c r="E305" s="16" t="str">
        <f aca="false">IF($I305="","",INDEX(CONSOLIDADO!$D$2:$D$801,$I305))</f>
        <v/>
      </c>
      <c r="F305" s="14" t="str">
        <f aca="false">IF($I305="","",INDEX(CONSOLIDADO!$E$2:$E$801,$I305))</f>
        <v/>
      </c>
      <c r="G305" s="16" t="str">
        <f aca="false">IF($I305="","",INDEX(CONSOLIDADO!$G$2:$G$801,$I305))</f>
        <v/>
      </c>
      <c r="H305" s="16" t="str">
        <f aca="false">IF($I305="","",INDEX(CONSOLIDADO!$H$2:$H$801,$I305))</f>
        <v/>
      </c>
      <c r="I305" s="11" t="str">
        <f aca="false">IFERROR(MATCH(ROW()-1,CONSOLIDADO!$AJ$2:$AJ$801,0),"")</f>
        <v/>
      </c>
      <c r="J305" s="11" t="str">
        <f aca="false">IF(B305="","",F305&amp;" "&amp;C305&amp;" ("&amp;B305&amp;")")</f>
        <v/>
      </c>
    </row>
    <row r="306" customFormat="false" ht="15" hidden="false" customHeight="false" outlineLevel="0" collapsed="false">
      <c r="A306" s="16"/>
      <c r="B306" s="11" t="str">
        <f aca="false">IF($I306="","",INDEX(CONSOLIDADO!$A$2:$A$801,$I306))</f>
        <v/>
      </c>
      <c r="C306" s="11" t="str">
        <f aca="false">IF($I306="","",INDEX(CONSOLIDADO!$B$2:$B$801,$I306))</f>
        <v/>
      </c>
      <c r="D306" s="16" t="str">
        <f aca="false">IF($I306="","",INDEX(CONSOLIDADO!$C$2:$C$801,$I306))</f>
        <v/>
      </c>
      <c r="E306" s="16" t="str">
        <f aca="false">IF($I306="","",INDEX(CONSOLIDADO!$D$2:$D$801,$I306))</f>
        <v/>
      </c>
      <c r="F306" s="14" t="str">
        <f aca="false">IF($I306="","",INDEX(CONSOLIDADO!$E$2:$E$801,$I306))</f>
        <v/>
      </c>
      <c r="G306" s="16" t="str">
        <f aca="false">IF($I306="","",INDEX(CONSOLIDADO!$G$2:$G$801,$I306))</f>
        <v/>
      </c>
      <c r="H306" s="16" t="str">
        <f aca="false">IF($I306="","",INDEX(CONSOLIDADO!$H$2:$H$801,$I306))</f>
        <v/>
      </c>
      <c r="I306" s="11" t="str">
        <f aca="false">IFERROR(MATCH(ROW()-1,CONSOLIDADO!$AJ$2:$AJ$801,0),"")</f>
        <v/>
      </c>
      <c r="J306" s="11" t="str">
        <f aca="false">IF(B306="","",F306&amp;" "&amp;C306&amp;" ("&amp;B306&amp;")")</f>
        <v/>
      </c>
    </row>
    <row r="307" customFormat="false" ht="15" hidden="false" customHeight="false" outlineLevel="0" collapsed="false">
      <c r="A307" s="16"/>
      <c r="B307" s="11" t="str">
        <f aca="false">IF($I307="","",INDEX(CONSOLIDADO!$A$2:$A$801,$I307))</f>
        <v/>
      </c>
      <c r="C307" s="11" t="str">
        <f aca="false">IF($I307="","",INDEX(CONSOLIDADO!$B$2:$B$801,$I307))</f>
        <v/>
      </c>
      <c r="D307" s="16" t="str">
        <f aca="false">IF($I307="","",INDEX(CONSOLIDADO!$C$2:$C$801,$I307))</f>
        <v/>
      </c>
      <c r="E307" s="16" t="str">
        <f aca="false">IF($I307="","",INDEX(CONSOLIDADO!$D$2:$D$801,$I307))</f>
        <v/>
      </c>
      <c r="F307" s="14" t="str">
        <f aca="false">IF($I307="","",INDEX(CONSOLIDADO!$E$2:$E$801,$I307))</f>
        <v/>
      </c>
      <c r="G307" s="16" t="str">
        <f aca="false">IF($I307="","",INDEX(CONSOLIDADO!$G$2:$G$801,$I307))</f>
        <v/>
      </c>
      <c r="H307" s="16" t="str">
        <f aca="false">IF($I307="","",INDEX(CONSOLIDADO!$H$2:$H$801,$I307))</f>
        <v/>
      </c>
      <c r="I307" s="11" t="str">
        <f aca="false">IFERROR(MATCH(ROW()-1,CONSOLIDADO!$AJ$2:$AJ$801,0),"")</f>
        <v/>
      </c>
      <c r="J307" s="11" t="str">
        <f aca="false">IF(B307="","",F307&amp;" "&amp;C307&amp;" ("&amp;B307&amp;")")</f>
        <v/>
      </c>
    </row>
    <row r="308" customFormat="false" ht="15" hidden="false" customHeight="false" outlineLevel="0" collapsed="false">
      <c r="A308" s="16"/>
      <c r="B308" s="11" t="str">
        <f aca="false">IF($I308="","",INDEX(CONSOLIDADO!$A$2:$A$801,$I308))</f>
        <v/>
      </c>
      <c r="C308" s="11" t="str">
        <f aca="false">IF($I308="","",INDEX(CONSOLIDADO!$B$2:$B$801,$I308))</f>
        <v/>
      </c>
      <c r="D308" s="16" t="str">
        <f aca="false">IF($I308="","",INDEX(CONSOLIDADO!$C$2:$C$801,$I308))</f>
        <v/>
      </c>
      <c r="E308" s="16" t="str">
        <f aca="false">IF($I308="","",INDEX(CONSOLIDADO!$D$2:$D$801,$I308))</f>
        <v/>
      </c>
      <c r="F308" s="14" t="str">
        <f aca="false">IF($I308="","",INDEX(CONSOLIDADO!$E$2:$E$801,$I308))</f>
        <v/>
      </c>
      <c r="G308" s="16" t="str">
        <f aca="false">IF($I308="","",INDEX(CONSOLIDADO!$G$2:$G$801,$I308))</f>
        <v/>
      </c>
      <c r="H308" s="16" t="str">
        <f aca="false">IF($I308="","",INDEX(CONSOLIDADO!$H$2:$H$801,$I308))</f>
        <v/>
      </c>
      <c r="I308" s="11" t="str">
        <f aca="false">IFERROR(MATCH(ROW()-1,CONSOLIDADO!$AJ$2:$AJ$801,0),"")</f>
        <v/>
      </c>
      <c r="J308" s="11" t="str">
        <f aca="false">IF(B308="","",F308&amp;" "&amp;C308&amp;" ("&amp;B308&amp;")")</f>
        <v/>
      </c>
    </row>
    <row r="309" customFormat="false" ht="15" hidden="false" customHeight="false" outlineLevel="0" collapsed="false">
      <c r="A309" s="16"/>
      <c r="B309" s="11" t="str">
        <f aca="false">IF($I309="","",INDEX(CONSOLIDADO!$A$2:$A$801,$I309))</f>
        <v/>
      </c>
      <c r="C309" s="11" t="str">
        <f aca="false">IF($I309="","",INDEX(CONSOLIDADO!$B$2:$B$801,$I309))</f>
        <v/>
      </c>
      <c r="D309" s="16" t="str">
        <f aca="false">IF($I309="","",INDEX(CONSOLIDADO!$C$2:$C$801,$I309))</f>
        <v/>
      </c>
      <c r="E309" s="16" t="str">
        <f aca="false">IF($I309="","",INDEX(CONSOLIDADO!$D$2:$D$801,$I309))</f>
        <v/>
      </c>
      <c r="F309" s="14" t="str">
        <f aca="false">IF($I309="","",INDEX(CONSOLIDADO!$E$2:$E$801,$I309))</f>
        <v/>
      </c>
      <c r="G309" s="16" t="str">
        <f aca="false">IF($I309="","",INDEX(CONSOLIDADO!$G$2:$G$801,$I309))</f>
        <v/>
      </c>
      <c r="H309" s="16" t="str">
        <f aca="false">IF($I309="","",INDEX(CONSOLIDADO!$H$2:$H$801,$I309))</f>
        <v/>
      </c>
      <c r="I309" s="11" t="str">
        <f aca="false">IFERROR(MATCH(ROW()-1,CONSOLIDADO!$AJ$2:$AJ$801,0),"")</f>
        <v/>
      </c>
      <c r="J309" s="11" t="str">
        <f aca="false">IF(B309="","",F309&amp;" "&amp;C309&amp;" ("&amp;B309&amp;")")</f>
        <v/>
      </c>
    </row>
    <row r="310" customFormat="false" ht="15" hidden="false" customHeight="false" outlineLevel="0" collapsed="false">
      <c r="A310" s="16"/>
      <c r="B310" s="11" t="str">
        <f aca="false">IF($I310="","",INDEX(CONSOLIDADO!$A$2:$A$801,$I310))</f>
        <v/>
      </c>
      <c r="C310" s="11" t="str">
        <f aca="false">IF($I310="","",INDEX(CONSOLIDADO!$B$2:$B$801,$I310))</f>
        <v/>
      </c>
      <c r="D310" s="16" t="str">
        <f aca="false">IF($I310="","",INDEX(CONSOLIDADO!$C$2:$C$801,$I310))</f>
        <v/>
      </c>
      <c r="E310" s="16" t="str">
        <f aca="false">IF($I310="","",INDEX(CONSOLIDADO!$D$2:$D$801,$I310))</f>
        <v/>
      </c>
      <c r="F310" s="14" t="str">
        <f aca="false">IF($I310="","",INDEX(CONSOLIDADO!$E$2:$E$801,$I310))</f>
        <v/>
      </c>
      <c r="G310" s="16" t="str">
        <f aca="false">IF($I310="","",INDEX(CONSOLIDADO!$G$2:$G$801,$I310))</f>
        <v/>
      </c>
      <c r="H310" s="16" t="str">
        <f aca="false">IF($I310="","",INDEX(CONSOLIDADO!$H$2:$H$801,$I310))</f>
        <v/>
      </c>
      <c r="I310" s="11" t="str">
        <f aca="false">IFERROR(MATCH(ROW()-1,CONSOLIDADO!$AJ$2:$AJ$801,0),"")</f>
        <v/>
      </c>
      <c r="J310" s="11" t="str">
        <f aca="false">IF(B310="","",F310&amp;" "&amp;C310&amp;" ("&amp;B310&amp;")")</f>
        <v/>
      </c>
    </row>
    <row r="311" customFormat="false" ht="15" hidden="false" customHeight="false" outlineLevel="0" collapsed="false">
      <c r="A311" s="16"/>
      <c r="B311" s="11" t="str">
        <f aca="false">IF($I311="","",INDEX(CONSOLIDADO!$A$2:$A$801,$I311))</f>
        <v/>
      </c>
      <c r="C311" s="11" t="str">
        <f aca="false">IF($I311="","",INDEX(CONSOLIDADO!$B$2:$B$801,$I311))</f>
        <v/>
      </c>
      <c r="D311" s="16" t="str">
        <f aca="false">IF($I311="","",INDEX(CONSOLIDADO!$C$2:$C$801,$I311))</f>
        <v/>
      </c>
      <c r="E311" s="16" t="str">
        <f aca="false">IF($I311="","",INDEX(CONSOLIDADO!$D$2:$D$801,$I311))</f>
        <v/>
      </c>
      <c r="F311" s="14" t="str">
        <f aca="false">IF($I311="","",INDEX(CONSOLIDADO!$E$2:$E$801,$I311))</f>
        <v/>
      </c>
      <c r="G311" s="16" t="str">
        <f aca="false">IF($I311="","",INDEX(CONSOLIDADO!$G$2:$G$801,$I311))</f>
        <v/>
      </c>
      <c r="H311" s="16" t="str">
        <f aca="false">IF($I311="","",INDEX(CONSOLIDADO!$H$2:$H$801,$I311))</f>
        <v/>
      </c>
      <c r="I311" s="11" t="str">
        <f aca="false">IFERROR(MATCH(ROW()-1,CONSOLIDADO!$AJ$2:$AJ$801,0),"")</f>
        <v/>
      </c>
      <c r="J311" s="11" t="str">
        <f aca="false">IF(B311="","",F311&amp;" "&amp;C311&amp;" ("&amp;B311&amp;")")</f>
        <v/>
      </c>
    </row>
    <row r="312" customFormat="false" ht="15" hidden="false" customHeight="false" outlineLevel="0" collapsed="false">
      <c r="A312" s="16"/>
      <c r="B312" s="11" t="str">
        <f aca="false">IF($I312="","",INDEX(CONSOLIDADO!$A$2:$A$801,$I312))</f>
        <v/>
      </c>
      <c r="C312" s="11" t="str">
        <f aca="false">IF($I312="","",INDEX(CONSOLIDADO!$B$2:$B$801,$I312))</f>
        <v/>
      </c>
      <c r="D312" s="16" t="str">
        <f aca="false">IF($I312="","",INDEX(CONSOLIDADO!$C$2:$C$801,$I312))</f>
        <v/>
      </c>
      <c r="E312" s="16" t="str">
        <f aca="false">IF($I312="","",INDEX(CONSOLIDADO!$D$2:$D$801,$I312))</f>
        <v/>
      </c>
      <c r="F312" s="14" t="str">
        <f aca="false">IF($I312="","",INDEX(CONSOLIDADO!$E$2:$E$801,$I312))</f>
        <v/>
      </c>
      <c r="G312" s="16" t="str">
        <f aca="false">IF($I312="","",INDEX(CONSOLIDADO!$G$2:$G$801,$I312))</f>
        <v/>
      </c>
      <c r="H312" s="16" t="str">
        <f aca="false">IF($I312="","",INDEX(CONSOLIDADO!$H$2:$H$801,$I312))</f>
        <v/>
      </c>
      <c r="I312" s="11" t="str">
        <f aca="false">IFERROR(MATCH(ROW()-1,CONSOLIDADO!$AJ$2:$AJ$801,0),"")</f>
        <v/>
      </c>
      <c r="J312" s="11" t="str">
        <f aca="false">IF(B312="","",F312&amp;" "&amp;C312&amp;" ("&amp;B312&amp;")")</f>
        <v/>
      </c>
    </row>
    <row r="313" customFormat="false" ht="15" hidden="false" customHeight="false" outlineLevel="0" collapsed="false">
      <c r="A313" s="16"/>
      <c r="B313" s="11" t="str">
        <f aca="false">IF($I313="","",INDEX(CONSOLIDADO!$A$2:$A$801,$I313))</f>
        <v/>
      </c>
      <c r="C313" s="11" t="str">
        <f aca="false">IF($I313="","",INDEX(CONSOLIDADO!$B$2:$B$801,$I313))</f>
        <v/>
      </c>
      <c r="D313" s="16" t="str">
        <f aca="false">IF($I313="","",INDEX(CONSOLIDADO!$C$2:$C$801,$I313))</f>
        <v/>
      </c>
      <c r="E313" s="16" t="str">
        <f aca="false">IF($I313="","",INDEX(CONSOLIDADO!$D$2:$D$801,$I313))</f>
        <v/>
      </c>
      <c r="F313" s="14" t="str">
        <f aca="false">IF($I313="","",INDEX(CONSOLIDADO!$E$2:$E$801,$I313))</f>
        <v/>
      </c>
      <c r="G313" s="16" t="str">
        <f aca="false">IF($I313="","",INDEX(CONSOLIDADO!$G$2:$G$801,$I313))</f>
        <v/>
      </c>
      <c r="H313" s="16" t="str">
        <f aca="false">IF($I313="","",INDEX(CONSOLIDADO!$H$2:$H$801,$I313))</f>
        <v/>
      </c>
      <c r="I313" s="11" t="str">
        <f aca="false">IFERROR(MATCH(ROW()-1,CONSOLIDADO!$AJ$2:$AJ$801,0),"")</f>
        <v/>
      </c>
      <c r="J313" s="11" t="str">
        <f aca="false">IF(B313="","",F313&amp;" "&amp;C313&amp;" ("&amp;B313&amp;")")</f>
        <v/>
      </c>
    </row>
    <row r="314" customFormat="false" ht="15" hidden="false" customHeight="false" outlineLevel="0" collapsed="false">
      <c r="A314" s="16"/>
      <c r="B314" s="11" t="str">
        <f aca="false">IF($I314="","",INDEX(CONSOLIDADO!$A$2:$A$801,$I314))</f>
        <v/>
      </c>
      <c r="C314" s="11" t="str">
        <f aca="false">IF($I314="","",INDEX(CONSOLIDADO!$B$2:$B$801,$I314))</f>
        <v/>
      </c>
      <c r="D314" s="16" t="str">
        <f aca="false">IF($I314="","",INDEX(CONSOLIDADO!$C$2:$C$801,$I314))</f>
        <v/>
      </c>
      <c r="E314" s="16" t="str">
        <f aca="false">IF($I314="","",INDEX(CONSOLIDADO!$D$2:$D$801,$I314))</f>
        <v/>
      </c>
      <c r="F314" s="14" t="str">
        <f aca="false">IF($I314="","",INDEX(CONSOLIDADO!$E$2:$E$801,$I314))</f>
        <v/>
      </c>
      <c r="G314" s="16" t="str">
        <f aca="false">IF($I314="","",INDEX(CONSOLIDADO!$G$2:$G$801,$I314))</f>
        <v/>
      </c>
      <c r="H314" s="16" t="str">
        <f aca="false">IF($I314="","",INDEX(CONSOLIDADO!$H$2:$H$801,$I314))</f>
        <v/>
      </c>
      <c r="I314" s="11" t="str">
        <f aca="false">IFERROR(MATCH(ROW()-1,CONSOLIDADO!$AJ$2:$AJ$801,0),"")</f>
        <v/>
      </c>
      <c r="J314" s="11" t="str">
        <f aca="false">IF(B314="","",F314&amp;" "&amp;C314&amp;" ("&amp;B314&amp;")")</f>
        <v/>
      </c>
    </row>
    <row r="315" customFormat="false" ht="15" hidden="false" customHeight="false" outlineLevel="0" collapsed="false">
      <c r="A315" s="16"/>
      <c r="B315" s="11" t="str">
        <f aca="false">IF($I315="","",INDEX(CONSOLIDADO!$A$2:$A$801,$I315))</f>
        <v/>
      </c>
      <c r="C315" s="11" t="str">
        <f aca="false">IF($I315="","",INDEX(CONSOLIDADO!$B$2:$B$801,$I315))</f>
        <v/>
      </c>
      <c r="D315" s="16" t="str">
        <f aca="false">IF($I315="","",INDEX(CONSOLIDADO!$C$2:$C$801,$I315))</f>
        <v/>
      </c>
      <c r="E315" s="16" t="str">
        <f aca="false">IF($I315="","",INDEX(CONSOLIDADO!$D$2:$D$801,$I315))</f>
        <v/>
      </c>
      <c r="F315" s="14" t="str">
        <f aca="false">IF($I315="","",INDEX(CONSOLIDADO!$E$2:$E$801,$I315))</f>
        <v/>
      </c>
      <c r="G315" s="16" t="str">
        <f aca="false">IF($I315="","",INDEX(CONSOLIDADO!$G$2:$G$801,$I315))</f>
        <v/>
      </c>
      <c r="H315" s="16" t="str">
        <f aca="false">IF($I315="","",INDEX(CONSOLIDADO!$H$2:$H$801,$I315))</f>
        <v/>
      </c>
      <c r="I315" s="11" t="str">
        <f aca="false">IFERROR(MATCH(ROW()-1,CONSOLIDADO!$AJ$2:$AJ$801,0),"")</f>
        <v/>
      </c>
      <c r="J315" s="11" t="str">
        <f aca="false">IF(B315="","",F315&amp;" "&amp;C315&amp;" ("&amp;B315&amp;")")</f>
        <v/>
      </c>
    </row>
    <row r="316" customFormat="false" ht="15" hidden="false" customHeight="false" outlineLevel="0" collapsed="false">
      <c r="A316" s="16"/>
      <c r="B316" s="11" t="str">
        <f aca="false">IF($I316="","",INDEX(CONSOLIDADO!$A$2:$A$801,$I316))</f>
        <v/>
      </c>
      <c r="C316" s="11" t="str">
        <f aca="false">IF($I316="","",INDEX(CONSOLIDADO!$B$2:$B$801,$I316))</f>
        <v/>
      </c>
      <c r="D316" s="16" t="str">
        <f aca="false">IF($I316="","",INDEX(CONSOLIDADO!$C$2:$C$801,$I316))</f>
        <v/>
      </c>
      <c r="E316" s="16" t="str">
        <f aca="false">IF($I316="","",INDEX(CONSOLIDADO!$D$2:$D$801,$I316))</f>
        <v/>
      </c>
      <c r="F316" s="14" t="str">
        <f aca="false">IF($I316="","",INDEX(CONSOLIDADO!$E$2:$E$801,$I316))</f>
        <v/>
      </c>
      <c r="G316" s="16" t="str">
        <f aca="false">IF($I316="","",INDEX(CONSOLIDADO!$G$2:$G$801,$I316))</f>
        <v/>
      </c>
      <c r="H316" s="16" t="str">
        <f aca="false">IF($I316="","",INDEX(CONSOLIDADO!$H$2:$H$801,$I316))</f>
        <v/>
      </c>
      <c r="I316" s="11" t="str">
        <f aca="false">IFERROR(MATCH(ROW()-1,CONSOLIDADO!$AJ$2:$AJ$801,0),"")</f>
        <v/>
      </c>
      <c r="J316" s="11" t="str">
        <f aca="false">IF(B316="","",F316&amp;" "&amp;C316&amp;" ("&amp;B316&amp;")")</f>
        <v/>
      </c>
    </row>
    <row r="317" customFormat="false" ht="15" hidden="false" customHeight="false" outlineLevel="0" collapsed="false">
      <c r="A317" s="16"/>
      <c r="B317" s="11" t="str">
        <f aca="false">IF($I317="","",INDEX(CONSOLIDADO!$A$2:$A$801,$I317))</f>
        <v/>
      </c>
      <c r="C317" s="11" t="str">
        <f aca="false">IF($I317="","",INDEX(CONSOLIDADO!$B$2:$B$801,$I317))</f>
        <v/>
      </c>
      <c r="D317" s="16" t="str">
        <f aca="false">IF($I317="","",INDEX(CONSOLIDADO!$C$2:$C$801,$I317))</f>
        <v/>
      </c>
      <c r="E317" s="16" t="str">
        <f aca="false">IF($I317="","",INDEX(CONSOLIDADO!$D$2:$D$801,$I317))</f>
        <v/>
      </c>
      <c r="F317" s="14" t="str">
        <f aca="false">IF($I317="","",INDEX(CONSOLIDADO!$E$2:$E$801,$I317))</f>
        <v/>
      </c>
      <c r="G317" s="16" t="str">
        <f aca="false">IF($I317="","",INDEX(CONSOLIDADO!$G$2:$G$801,$I317))</f>
        <v/>
      </c>
      <c r="H317" s="16" t="str">
        <f aca="false">IF($I317="","",INDEX(CONSOLIDADO!$H$2:$H$801,$I317))</f>
        <v/>
      </c>
      <c r="I317" s="11" t="str">
        <f aca="false">IFERROR(MATCH(ROW()-1,CONSOLIDADO!$AJ$2:$AJ$801,0),"")</f>
        <v/>
      </c>
      <c r="J317" s="11" t="str">
        <f aca="false">IF(B317="","",F317&amp;" "&amp;C317&amp;" ("&amp;B317&amp;")")</f>
        <v/>
      </c>
    </row>
    <row r="318" customFormat="false" ht="15" hidden="false" customHeight="false" outlineLevel="0" collapsed="false">
      <c r="A318" s="16"/>
      <c r="B318" s="11" t="str">
        <f aca="false">IF($I318="","",INDEX(CONSOLIDADO!$A$2:$A$801,$I318))</f>
        <v/>
      </c>
      <c r="C318" s="11" t="str">
        <f aca="false">IF($I318="","",INDEX(CONSOLIDADO!$B$2:$B$801,$I318))</f>
        <v/>
      </c>
      <c r="D318" s="16" t="str">
        <f aca="false">IF($I318="","",INDEX(CONSOLIDADO!$C$2:$C$801,$I318))</f>
        <v/>
      </c>
      <c r="E318" s="16" t="str">
        <f aca="false">IF($I318="","",INDEX(CONSOLIDADO!$D$2:$D$801,$I318))</f>
        <v/>
      </c>
      <c r="F318" s="14" t="str">
        <f aca="false">IF($I318="","",INDEX(CONSOLIDADO!$E$2:$E$801,$I318))</f>
        <v/>
      </c>
      <c r="G318" s="16" t="str">
        <f aca="false">IF($I318="","",INDEX(CONSOLIDADO!$G$2:$G$801,$I318))</f>
        <v/>
      </c>
      <c r="H318" s="16" t="str">
        <f aca="false">IF($I318="","",INDEX(CONSOLIDADO!$H$2:$H$801,$I318))</f>
        <v/>
      </c>
      <c r="I318" s="11" t="str">
        <f aca="false">IFERROR(MATCH(ROW()-1,CONSOLIDADO!$AJ$2:$AJ$801,0),"")</f>
        <v/>
      </c>
      <c r="J318" s="11" t="str">
        <f aca="false">IF(B318="","",F318&amp;" "&amp;C318&amp;" ("&amp;B318&amp;")")</f>
        <v/>
      </c>
    </row>
    <row r="319" customFormat="false" ht="15" hidden="false" customHeight="false" outlineLevel="0" collapsed="false">
      <c r="A319" s="16"/>
      <c r="B319" s="11" t="str">
        <f aca="false">IF($I319="","",INDEX(CONSOLIDADO!$A$2:$A$801,$I319))</f>
        <v/>
      </c>
      <c r="C319" s="11" t="str">
        <f aca="false">IF($I319="","",INDEX(CONSOLIDADO!$B$2:$B$801,$I319))</f>
        <v/>
      </c>
      <c r="D319" s="16" t="str">
        <f aca="false">IF($I319="","",INDEX(CONSOLIDADO!$C$2:$C$801,$I319))</f>
        <v/>
      </c>
      <c r="E319" s="16" t="str">
        <f aca="false">IF($I319="","",INDEX(CONSOLIDADO!$D$2:$D$801,$I319))</f>
        <v/>
      </c>
      <c r="F319" s="14" t="str">
        <f aca="false">IF($I319="","",INDEX(CONSOLIDADO!$E$2:$E$801,$I319))</f>
        <v/>
      </c>
      <c r="G319" s="16" t="str">
        <f aca="false">IF($I319="","",INDEX(CONSOLIDADO!$G$2:$G$801,$I319))</f>
        <v/>
      </c>
      <c r="H319" s="16" t="str">
        <f aca="false">IF($I319="","",INDEX(CONSOLIDADO!$H$2:$H$801,$I319))</f>
        <v/>
      </c>
      <c r="I319" s="11" t="str">
        <f aca="false">IFERROR(MATCH(ROW()-1,CONSOLIDADO!$AJ$2:$AJ$801,0),"")</f>
        <v/>
      </c>
      <c r="J319" s="11" t="str">
        <f aca="false">IF(B319="","",F319&amp;" "&amp;C319&amp;" ("&amp;B319&amp;")")</f>
        <v/>
      </c>
    </row>
    <row r="320" customFormat="false" ht="15" hidden="false" customHeight="false" outlineLevel="0" collapsed="false">
      <c r="A320" s="16"/>
      <c r="B320" s="11" t="str">
        <f aca="false">IF($I320="","",INDEX(CONSOLIDADO!$A$2:$A$801,$I320))</f>
        <v/>
      </c>
      <c r="C320" s="11" t="str">
        <f aca="false">IF($I320="","",INDEX(CONSOLIDADO!$B$2:$B$801,$I320))</f>
        <v/>
      </c>
      <c r="D320" s="16" t="str">
        <f aca="false">IF($I320="","",INDEX(CONSOLIDADO!$C$2:$C$801,$I320))</f>
        <v/>
      </c>
      <c r="E320" s="16" t="str">
        <f aca="false">IF($I320="","",INDEX(CONSOLIDADO!$D$2:$D$801,$I320))</f>
        <v/>
      </c>
      <c r="F320" s="14" t="str">
        <f aca="false">IF($I320="","",INDEX(CONSOLIDADO!$E$2:$E$801,$I320))</f>
        <v/>
      </c>
      <c r="G320" s="16" t="str">
        <f aca="false">IF($I320="","",INDEX(CONSOLIDADO!$G$2:$G$801,$I320))</f>
        <v/>
      </c>
      <c r="H320" s="16" t="str">
        <f aca="false">IF($I320="","",INDEX(CONSOLIDADO!$H$2:$H$801,$I320))</f>
        <v/>
      </c>
      <c r="I320" s="11" t="str">
        <f aca="false">IFERROR(MATCH(ROW()-1,CONSOLIDADO!$AJ$2:$AJ$801,0),"")</f>
        <v/>
      </c>
      <c r="J320" s="11" t="str">
        <f aca="false">IF(B320="","",F320&amp;" "&amp;C320&amp;" ("&amp;B320&amp;")")</f>
        <v/>
      </c>
    </row>
    <row r="321" customFormat="false" ht="15" hidden="false" customHeight="false" outlineLevel="0" collapsed="false">
      <c r="A321" s="16"/>
      <c r="B321" s="11" t="str">
        <f aca="false">IF($I321="","",INDEX(CONSOLIDADO!$A$2:$A$801,$I321))</f>
        <v/>
      </c>
      <c r="C321" s="11" t="str">
        <f aca="false">IF($I321="","",INDEX(CONSOLIDADO!$B$2:$B$801,$I321))</f>
        <v/>
      </c>
      <c r="D321" s="16" t="str">
        <f aca="false">IF($I321="","",INDEX(CONSOLIDADO!$C$2:$C$801,$I321))</f>
        <v/>
      </c>
      <c r="E321" s="16" t="str">
        <f aca="false">IF($I321="","",INDEX(CONSOLIDADO!$D$2:$D$801,$I321))</f>
        <v/>
      </c>
      <c r="F321" s="14" t="str">
        <f aca="false">IF($I321="","",INDEX(CONSOLIDADO!$E$2:$E$801,$I321))</f>
        <v/>
      </c>
      <c r="G321" s="16" t="str">
        <f aca="false">IF($I321="","",INDEX(CONSOLIDADO!$G$2:$G$801,$I321))</f>
        <v/>
      </c>
      <c r="H321" s="16" t="str">
        <f aca="false">IF($I321="","",INDEX(CONSOLIDADO!$H$2:$H$801,$I321))</f>
        <v/>
      </c>
      <c r="I321" s="11" t="str">
        <f aca="false">IFERROR(MATCH(ROW()-1,CONSOLIDADO!$AJ$2:$AJ$801,0),"")</f>
        <v/>
      </c>
      <c r="J321" s="11" t="str">
        <f aca="false">IF(B321="","",F321&amp;" "&amp;C321&amp;" ("&amp;B321&amp;")")</f>
        <v/>
      </c>
    </row>
    <row r="322" customFormat="false" ht="15" hidden="false" customHeight="false" outlineLevel="0" collapsed="false">
      <c r="A322" s="16"/>
      <c r="B322" s="11" t="str">
        <f aca="false">IF($I322="","",INDEX(CONSOLIDADO!$A$2:$A$801,$I322))</f>
        <v/>
      </c>
      <c r="C322" s="11" t="str">
        <f aca="false">IF($I322="","",INDEX(CONSOLIDADO!$B$2:$B$801,$I322))</f>
        <v/>
      </c>
      <c r="D322" s="16" t="str">
        <f aca="false">IF($I322="","",INDEX(CONSOLIDADO!$C$2:$C$801,$I322))</f>
        <v/>
      </c>
      <c r="E322" s="16" t="str">
        <f aca="false">IF($I322="","",INDEX(CONSOLIDADO!$D$2:$D$801,$I322))</f>
        <v/>
      </c>
      <c r="F322" s="14" t="str">
        <f aca="false">IF($I322="","",INDEX(CONSOLIDADO!$E$2:$E$801,$I322))</f>
        <v/>
      </c>
      <c r="G322" s="16" t="str">
        <f aca="false">IF($I322="","",INDEX(CONSOLIDADO!$G$2:$G$801,$I322))</f>
        <v/>
      </c>
      <c r="H322" s="16" t="str">
        <f aca="false">IF($I322="","",INDEX(CONSOLIDADO!$H$2:$H$801,$I322))</f>
        <v/>
      </c>
      <c r="I322" s="11" t="str">
        <f aca="false">IFERROR(MATCH(ROW()-1,CONSOLIDADO!$AJ$2:$AJ$801,0),"")</f>
        <v/>
      </c>
      <c r="J322" s="11" t="str">
        <f aca="false">IF(B322="","",F322&amp;" "&amp;C322&amp;" ("&amp;B322&amp;")")</f>
        <v/>
      </c>
    </row>
    <row r="323" customFormat="false" ht="15" hidden="false" customHeight="false" outlineLevel="0" collapsed="false">
      <c r="A323" s="16"/>
      <c r="B323" s="11" t="str">
        <f aca="false">IF($I323="","",INDEX(CONSOLIDADO!$A$2:$A$801,$I323))</f>
        <v/>
      </c>
      <c r="C323" s="11" t="str">
        <f aca="false">IF($I323="","",INDEX(CONSOLIDADO!$B$2:$B$801,$I323))</f>
        <v/>
      </c>
      <c r="D323" s="16" t="str">
        <f aca="false">IF($I323="","",INDEX(CONSOLIDADO!$C$2:$C$801,$I323))</f>
        <v/>
      </c>
      <c r="E323" s="16" t="str">
        <f aca="false">IF($I323="","",INDEX(CONSOLIDADO!$D$2:$D$801,$I323))</f>
        <v/>
      </c>
      <c r="F323" s="14" t="str">
        <f aca="false">IF($I323="","",INDEX(CONSOLIDADO!$E$2:$E$801,$I323))</f>
        <v/>
      </c>
      <c r="G323" s="16" t="str">
        <f aca="false">IF($I323="","",INDEX(CONSOLIDADO!$G$2:$G$801,$I323))</f>
        <v/>
      </c>
      <c r="H323" s="16" t="str">
        <f aca="false">IF($I323="","",INDEX(CONSOLIDADO!$H$2:$H$801,$I323))</f>
        <v/>
      </c>
      <c r="I323" s="11" t="str">
        <f aca="false">IFERROR(MATCH(ROW()-1,CONSOLIDADO!$AJ$2:$AJ$801,0),"")</f>
        <v/>
      </c>
      <c r="J323" s="11" t="str">
        <f aca="false">IF(B323="","",F323&amp;" "&amp;C323&amp;" ("&amp;B323&amp;")")</f>
        <v/>
      </c>
    </row>
    <row r="324" customFormat="false" ht="15" hidden="false" customHeight="false" outlineLevel="0" collapsed="false">
      <c r="A324" s="16"/>
      <c r="B324" s="11" t="str">
        <f aca="false">IF($I324="","",INDEX(CONSOLIDADO!$A$2:$A$801,$I324))</f>
        <v/>
      </c>
      <c r="C324" s="11" t="str">
        <f aca="false">IF($I324="","",INDEX(CONSOLIDADO!$B$2:$B$801,$I324))</f>
        <v/>
      </c>
      <c r="D324" s="16" t="str">
        <f aca="false">IF($I324="","",INDEX(CONSOLIDADO!$C$2:$C$801,$I324))</f>
        <v/>
      </c>
      <c r="E324" s="16" t="str">
        <f aca="false">IF($I324="","",INDEX(CONSOLIDADO!$D$2:$D$801,$I324))</f>
        <v/>
      </c>
      <c r="F324" s="14" t="str">
        <f aca="false">IF($I324="","",INDEX(CONSOLIDADO!$E$2:$E$801,$I324))</f>
        <v/>
      </c>
      <c r="G324" s="16" t="str">
        <f aca="false">IF($I324="","",INDEX(CONSOLIDADO!$G$2:$G$801,$I324))</f>
        <v/>
      </c>
      <c r="H324" s="16" t="str">
        <f aca="false">IF($I324="","",INDEX(CONSOLIDADO!$H$2:$H$801,$I324))</f>
        <v/>
      </c>
      <c r="I324" s="11" t="str">
        <f aca="false">IFERROR(MATCH(ROW()-1,CONSOLIDADO!$AJ$2:$AJ$801,0),"")</f>
        <v/>
      </c>
      <c r="J324" s="11" t="str">
        <f aca="false">IF(B324="","",F324&amp;" "&amp;C324&amp;" ("&amp;B324&amp;")")</f>
        <v/>
      </c>
    </row>
    <row r="325" customFormat="false" ht="15" hidden="false" customHeight="false" outlineLevel="0" collapsed="false">
      <c r="A325" s="16"/>
      <c r="B325" s="11" t="str">
        <f aca="false">IF($I325="","",INDEX(CONSOLIDADO!$A$2:$A$801,$I325))</f>
        <v/>
      </c>
      <c r="C325" s="11" t="str">
        <f aca="false">IF($I325="","",INDEX(CONSOLIDADO!$B$2:$B$801,$I325))</f>
        <v/>
      </c>
      <c r="D325" s="16" t="str">
        <f aca="false">IF($I325="","",INDEX(CONSOLIDADO!$C$2:$C$801,$I325))</f>
        <v/>
      </c>
      <c r="E325" s="16" t="str">
        <f aca="false">IF($I325="","",INDEX(CONSOLIDADO!$D$2:$D$801,$I325))</f>
        <v/>
      </c>
      <c r="F325" s="14" t="str">
        <f aca="false">IF($I325="","",INDEX(CONSOLIDADO!$E$2:$E$801,$I325))</f>
        <v/>
      </c>
      <c r="G325" s="16" t="str">
        <f aca="false">IF($I325="","",INDEX(CONSOLIDADO!$G$2:$G$801,$I325))</f>
        <v/>
      </c>
      <c r="H325" s="16" t="str">
        <f aca="false">IF($I325="","",INDEX(CONSOLIDADO!$H$2:$H$801,$I325))</f>
        <v/>
      </c>
      <c r="I325" s="11" t="str">
        <f aca="false">IFERROR(MATCH(ROW()-1,CONSOLIDADO!$AJ$2:$AJ$801,0),"")</f>
        <v/>
      </c>
      <c r="J325" s="11" t="str">
        <f aca="false">IF(B325="","",F325&amp;" "&amp;C325&amp;" ("&amp;B325&amp;")")</f>
        <v/>
      </c>
    </row>
    <row r="326" customFormat="false" ht="15" hidden="false" customHeight="false" outlineLevel="0" collapsed="false">
      <c r="A326" s="16"/>
      <c r="B326" s="11" t="str">
        <f aca="false">IF($I326="","",INDEX(CONSOLIDADO!$A$2:$A$801,$I326))</f>
        <v/>
      </c>
      <c r="C326" s="11" t="str">
        <f aca="false">IF($I326="","",INDEX(CONSOLIDADO!$B$2:$B$801,$I326))</f>
        <v/>
      </c>
      <c r="D326" s="16" t="str">
        <f aca="false">IF($I326="","",INDEX(CONSOLIDADO!$C$2:$C$801,$I326))</f>
        <v/>
      </c>
      <c r="E326" s="16" t="str">
        <f aca="false">IF($I326="","",INDEX(CONSOLIDADO!$D$2:$D$801,$I326))</f>
        <v/>
      </c>
      <c r="F326" s="14" t="str">
        <f aca="false">IF($I326="","",INDEX(CONSOLIDADO!$E$2:$E$801,$I326))</f>
        <v/>
      </c>
      <c r="G326" s="16" t="str">
        <f aca="false">IF($I326="","",INDEX(CONSOLIDADO!$G$2:$G$801,$I326))</f>
        <v/>
      </c>
      <c r="H326" s="16" t="str">
        <f aca="false">IF($I326="","",INDEX(CONSOLIDADO!$H$2:$H$801,$I326))</f>
        <v/>
      </c>
      <c r="I326" s="11" t="str">
        <f aca="false">IFERROR(MATCH(ROW()-1,CONSOLIDADO!$AJ$2:$AJ$801,0),"")</f>
        <v/>
      </c>
      <c r="J326" s="11" t="str">
        <f aca="false">IF(B326="","",F326&amp;" "&amp;C326&amp;" ("&amp;B326&amp;")")</f>
        <v/>
      </c>
    </row>
    <row r="327" customFormat="false" ht="15" hidden="false" customHeight="false" outlineLevel="0" collapsed="false">
      <c r="A327" s="16"/>
      <c r="B327" s="11" t="str">
        <f aca="false">IF($I327="","",INDEX(CONSOLIDADO!$A$2:$A$801,$I327))</f>
        <v/>
      </c>
      <c r="C327" s="11" t="str">
        <f aca="false">IF($I327="","",INDEX(CONSOLIDADO!$B$2:$B$801,$I327))</f>
        <v/>
      </c>
      <c r="D327" s="16" t="str">
        <f aca="false">IF($I327="","",INDEX(CONSOLIDADO!$C$2:$C$801,$I327))</f>
        <v/>
      </c>
      <c r="E327" s="16" t="str">
        <f aca="false">IF($I327="","",INDEX(CONSOLIDADO!$D$2:$D$801,$I327))</f>
        <v/>
      </c>
      <c r="F327" s="14" t="str">
        <f aca="false">IF($I327="","",INDEX(CONSOLIDADO!$E$2:$E$801,$I327))</f>
        <v/>
      </c>
      <c r="G327" s="16" t="str">
        <f aca="false">IF($I327="","",INDEX(CONSOLIDADO!$G$2:$G$801,$I327))</f>
        <v/>
      </c>
      <c r="H327" s="16" t="str">
        <f aca="false">IF($I327="","",INDEX(CONSOLIDADO!$H$2:$H$801,$I327))</f>
        <v/>
      </c>
      <c r="I327" s="11" t="str">
        <f aca="false">IFERROR(MATCH(ROW()-1,CONSOLIDADO!$AJ$2:$AJ$801,0),"")</f>
        <v/>
      </c>
      <c r="J327" s="11" t="str">
        <f aca="false">IF(B327="","",F327&amp;" "&amp;C327&amp;" ("&amp;B327&amp;")")</f>
        <v/>
      </c>
    </row>
    <row r="328" customFormat="false" ht="15" hidden="false" customHeight="false" outlineLevel="0" collapsed="false">
      <c r="A328" s="16"/>
      <c r="B328" s="11" t="str">
        <f aca="false">IF($I328="","",INDEX(CONSOLIDADO!$A$2:$A$801,$I328))</f>
        <v/>
      </c>
      <c r="C328" s="11" t="str">
        <f aca="false">IF($I328="","",INDEX(CONSOLIDADO!$B$2:$B$801,$I328))</f>
        <v/>
      </c>
      <c r="D328" s="16" t="str">
        <f aca="false">IF($I328="","",INDEX(CONSOLIDADO!$C$2:$C$801,$I328))</f>
        <v/>
      </c>
      <c r="E328" s="16" t="str">
        <f aca="false">IF($I328="","",INDEX(CONSOLIDADO!$D$2:$D$801,$I328))</f>
        <v/>
      </c>
      <c r="F328" s="14" t="str">
        <f aca="false">IF($I328="","",INDEX(CONSOLIDADO!$E$2:$E$801,$I328))</f>
        <v/>
      </c>
      <c r="G328" s="16" t="str">
        <f aca="false">IF($I328="","",INDEX(CONSOLIDADO!$G$2:$G$801,$I328))</f>
        <v/>
      </c>
      <c r="H328" s="16" t="str">
        <f aca="false">IF($I328="","",INDEX(CONSOLIDADO!$H$2:$H$801,$I328))</f>
        <v/>
      </c>
      <c r="I328" s="11" t="str">
        <f aca="false">IFERROR(MATCH(ROW()-1,CONSOLIDADO!$AJ$2:$AJ$801,0),"")</f>
        <v/>
      </c>
      <c r="J328" s="11" t="str">
        <f aca="false">IF(B328="","",F328&amp;" "&amp;C328&amp;" ("&amp;B328&amp;")")</f>
        <v/>
      </c>
    </row>
    <row r="329" customFormat="false" ht="15" hidden="false" customHeight="false" outlineLevel="0" collapsed="false">
      <c r="A329" s="16"/>
      <c r="B329" s="11" t="str">
        <f aca="false">IF($I329="","",INDEX(CONSOLIDADO!$A$2:$A$801,$I329))</f>
        <v/>
      </c>
      <c r="C329" s="11" t="str">
        <f aca="false">IF($I329="","",INDEX(CONSOLIDADO!$B$2:$B$801,$I329))</f>
        <v/>
      </c>
      <c r="D329" s="16" t="str">
        <f aca="false">IF($I329="","",INDEX(CONSOLIDADO!$C$2:$C$801,$I329))</f>
        <v/>
      </c>
      <c r="E329" s="16" t="str">
        <f aca="false">IF($I329="","",INDEX(CONSOLIDADO!$D$2:$D$801,$I329))</f>
        <v/>
      </c>
      <c r="F329" s="14" t="str">
        <f aca="false">IF($I329="","",INDEX(CONSOLIDADO!$E$2:$E$801,$I329))</f>
        <v/>
      </c>
      <c r="G329" s="16" t="str">
        <f aca="false">IF($I329="","",INDEX(CONSOLIDADO!$G$2:$G$801,$I329))</f>
        <v/>
      </c>
      <c r="H329" s="16" t="str">
        <f aca="false">IF($I329="","",INDEX(CONSOLIDADO!$H$2:$H$801,$I329))</f>
        <v/>
      </c>
      <c r="I329" s="11" t="str">
        <f aca="false">IFERROR(MATCH(ROW()-1,CONSOLIDADO!$AJ$2:$AJ$801,0),"")</f>
        <v/>
      </c>
      <c r="J329" s="11" t="str">
        <f aca="false">IF(B329="","",F329&amp;" "&amp;C329&amp;" ("&amp;B329&amp;")")</f>
        <v/>
      </c>
    </row>
    <row r="330" customFormat="false" ht="15" hidden="false" customHeight="false" outlineLevel="0" collapsed="false">
      <c r="A330" s="16"/>
      <c r="B330" s="11" t="str">
        <f aca="false">IF($I330="","",INDEX(CONSOLIDADO!$A$2:$A$801,$I330))</f>
        <v/>
      </c>
      <c r="C330" s="11" t="str">
        <f aca="false">IF($I330="","",INDEX(CONSOLIDADO!$B$2:$B$801,$I330))</f>
        <v/>
      </c>
      <c r="D330" s="16" t="str">
        <f aca="false">IF($I330="","",INDEX(CONSOLIDADO!$C$2:$C$801,$I330))</f>
        <v/>
      </c>
      <c r="E330" s="16" t="str">
        <f aca="false">IF($I330="","",INDEX(CONSOLIDADO!$D$2:$D$801,$I330))</f>
        <v/>
      </c>
      <c r="F330" s="14" t="str">
        <f aca="false">IF($I330="","",INDEX(CONSOLIDADO!$E$2:$E$801,$I330))</f>
        <v/>
      </c>
      <c r="G330" s="16" t="str">
        <f aca="false">IF($I330="","",INDEX(CONSOLIDADO!$G$2:$G$801,$I330))</f>
        <v/>
      </c>
      <c r="H330" s="16" t="str">
        <f aca="false">IF($I330="","",INDEX(CONSOLIDADO!$H$2:$H$801,$I330))</f>
        <v/>
      </c>
      <c r="I330" s="11" t="str">
        <f aca="false">IFERROR(MATCH(ROW()-1,CONSOLIDADO!$AJ$2:$AJ$801,0),"")</f>
        <v/>
      </c>
      <c r="J330" s="11" t="str">
        <f aca="false">IF(B330="","",F330&amp;" "&amp;C330&amp;" ("&amp;B330&amp;")")</f>
        <v/>
      </c>
    </row>
    <row r="331" customFormat="false" ht="15" hidden="false" customHeight="false" outlineLevel="0" collapsed="false">
      <c r="A331" s="16"/>
      <c r="B331" s="11" t="str">
        <f aca="false">IF($I331="","",INDEX(CONSOLIDADO!$A$2:$A$801,$I331))</f>
        <v/>
      </c>
      <c r="C331" s="11" t="str">
        <f aca="false">IF($I331="","",INDEX(CONSOLIDADO!$B$2:$B$801,$I331))</f>
        <v/>
      </c>
      <c r="D331" s="16" t="str">
        <f aca="false">IF($I331="","",INDEX(CONSOLIDADO!$C$2:$C$801,$I331))</f>
        <v/>
      </c>
      <c r="E331" s="16" t="str">
        <f aca="false">IF($I331="","",INDEX(CONSOLIDADO!$D$2:$D$801,$I331))</f>
        <v/>
      </c>
      <c r="F331" s="14" t="str">
        <f aca="false">IF($I331="","",INDEX(CONSOLIDADO!$E$2:$E$801,$I331))</f>
        <v/>
      </c>
      <c r="G331" s="16" t="str">
        <f aca="false">IF($I331="","",INDEX(CONSOLIDADO!$G$2:$G$801,$I331))</f>
        <v/>
      </c>
      <c r="H331" s="16" t="str">
        <f aca="false">IF($I331="","",INDEX(CONSOLIDADO!$H$2:$H$801,$I331))</f>
        <v/>
      </c>
      <c r="I331" s="11" t="str">
        <f aca="false">IFERROR(MATCH(ROW()-1,CONSOLIDADO!$AJ$2:$AJ$801,0),"")</f>
        <v/>
      </c>
      <c r="J331" s="11" t="str">
        <f aca="false">IF(B331="","",F331&amp;" "&amp;C331&amp;" ("&amp;B331&amp;")")</f>
        <v/>
      </c>
    </row>
    <row r="332" customFormat="false" ht="15" hidden="false" customHeight="false" outlineLevel="0" collapsed="false">
      <c r="A332" s="16"/>
      <c r="B332" s="11" t="str">
        <f aca="false">IF($I332="","",INDEX(CONSOLIDADO!$A$2:$A$801,$I332))</f>
        <v/>
      </c>
      <c r="C332" s="11" t="str">
        <f aca="false">IF($I332="","",INDEX(CONSOLIDADO!$B$2:$B$801,$I332))</f>
        <v/>
      </c>
      <c r="D332" s="16" t="str">
        <f aca="false">IF($I332="","",INDEX(CONSOLIDADO!$C$2:$C$801,$I332))</f>
        <v/>
      </c>
      <c r="E332" s="16" t="str">
        <f aca="false">IF($I332="","",INDEX(CONSOLIDADO!$D$2:$D$801,$I332))</f>
        <v/>
      </c>
      <c r="F332" s="14" t="str">
        <f aca="false">IF($I332="","",INDEX(CONSOLIDADO!$E$2:$E$801,$I332))</f>
        <v/>
      </c>
      <c r="G332" s="16" t="str">
        <f aca="false">IF($I332="","",INDEX(CONSOLIDADO!$G$2:$G$801,$I332))</f>
        <v/>
      </c>
      <c r="H332" s="16" t="str">
        <f aca="false">IF($I332="","",INDEX(CONSOLIDADO!$H$2:$H$801,$I332))</f>
        <v/>
      </c>
      <c r="I332" s="11" t="str">
        <f aca="false">IFERROR(MATCH(ROW()-1,CONSOLIDADO!$AJ$2:$AJ$801,0),"")</f>
        <v/>
      </c>
      <c r="J332" s="11" t="str">
        <f aca="false">IF(B332="","",F332&amp;" "&amp;C332&amp;" ("&amp;B332&amp;")")</f>
        <v/>
      </c>
    </row>
    <row r="333" customFormat="false" ht="15" hidden="false" customHeight="false" outlineLevel="0" collapsed="false">
      <c r="A333" s="16"/>
      <c r="B333" s="11" t="str">
        <f aca="false">IF($I333="","",INDEX(CONSOLIDADO!$A$2:$A$801,$I333))</f>
        <v/>
      </c>
      <c r="C333" s="11" t="str">
        <f aca="false">IF($I333="","",INDEX(CONSOLIDADO!$B$2:$B$801,$I333))</f>
        <v/>
      </c>
      <c r="D333" s="16" t="str">
        <f aca="false">IF($I333="","",INDEX(CONSOLIDADO!$C$2:$C$801,$I333))</f>
        <v/>
      </c>
      <c r="E333" s="16" t="str">
        <f aca="false">IF($I333="","",INDEX(CONSOLIDADO!$D$2:$D$801,$I333))</f>
        <v/>
      </c>
      <c r="F333" s="14" t="str">
        <f aca="false">IF($I333="","",INDEX(CONSOLIDADO!$E$2:$E$801,$I333))</f>
        <v/>
      </c>
      <c r="G333" s="16" t="str">
        <f aca="false">IF($I333="","",INDEX(CONSOLIDADO!$G$2:$G$801,$I333))</f>
        <v/>
      </c>
      <c r="H333" s="16" t="str">
        <f aca="false">IF($I333="","",INDEX(CONSOLIDADO!$H$2:$H$801,$I333))</f>
        <v/>
      </c>
      <c r="I333" s="11" t="str">
        <f aca="false">IFERROR(MATCH(ROW()-1,CONSOLIDADO!$AJ$2:$AJ$801,0),"")</f>
        <v/>
      </c>
      <c r="J333" s="11" t="str">
        <f aca="false">IF(B333="","",F333&amp;" "&amp;C333&amp;" ("&amp;B333&amp;")")</f>
        <v/>
      </c>
    </row>
    <row r="334" customFormat="false" ht="15" hidden="false" customHeight="false" outlineLevel="0" collapsed="false">
      <c r="A334" s="16"/>
      <c r="B334" s="11" t="str">
        <f aca="false">IF($I334="","",INDEX(CONSOLIDADO!$A$2:$A$801,$I334))</f>
        <v/>
      </c>
      <c r="C334" s="11" t="str">
        <f aca="false">IF($I334="","",INDEX(CONSOLIDADO!$B$2:$B$801,$I334))</f>
        <v/>
      </c>
      <c r="D334" s="16" t="str">
        <f aca="false">IF($I334="","",INDEX(CONSOLIDADO!$C$2:$C$801,$I334))</f>
        <v/>
      </c>
      <c r="E334" s="16" t="str">
        <f aca="false">IF($I334="","",INDEX(CONSOLIDADO!$D$2:$D$801,$I334))</f>
        <v/>
      </c>
      <c r="F334" s="14" t="str">
        <f aca="false">IF($I334="","",INDEX(CONSOLIDADO!$E$2:$E$801,$I334))</f>
        <v/>
      </c>
      <c r="G334" s="16" t="str">
        <f aca="false">IF($I334="","",INDEX(CONSOLIDADO!$G$2:$G$801,$I334))</f>
        <v/>
      </c>
      <c r="H334" s="16" t="str">
        <f aca="false">IF($I334="","",INDEX(CONSOLIDADO!$H$2:$H$801,$I334))</f>
        <v/>
      </c>
      <c r="I334" s="11" t="str">
        <f aca="false">IFERROR(MATCH(ROW()-1,CONSOLIDADO!$AJ$2:$AJ$801,0),"")</f>
        <v/>
      </c>
      <c r="J334" s="11" t="str">
        <f aca="false">IF(B334="","",F334&amp;" "&amp;C334&amp;" ("&amp;B334&amp;")")</f>
        <v/>
      </c>
    </row>
    <row r="335" customFormat="false" ht="15" hidden="false" customHeight="false" outlineLevel="0" collapsed="false">
      <c r="A335" s="16"/>
      <c r="B335" s="11" t="str">
        <f aca="false">IF($I335="","",INDEX(CONSOLIDADO!$A$2:$A$801,$I335))</f>
        <v/>
      </c>
      <c r="C335" s="11" t="str">
        <f aca="false">IF($I335="","",INDEX(CONSOLIDADO!$B$2:$B$801,$I335))</f>
        <v/>
      </c>
      <c r="D335" s="16" t="str">
        <f aca="false">IF($I335="","",INDEX(CONSOLIDADO!$C$2:$C$801,$I335))</f>
        <v/>
      </c>
      <c r="E335" s="16" t="str">
        <f aca="false">IF($I335="","",INDEX(CONSOLIDADO!$D$2:$D$801,$I335))</f>
        <v/>
      </c>
      <c r="F335" s="14" t="str">
        <f aca="false">IF($I335="","",INDEX(CONSOLIDADO!$E$2:$E$801,$I335))</f>
        <v/>
      </c>
      <c r="G335" s="16" t="str">
        <f aca="false">IF($I335="","",INDEX(CONSOLIDADO!$G$2:$G$801,$I335))</f>
        <v/>
      </c>
      <c r="H335" s="16" t="str">
        <f aca="false">IF($I335="","",INDEX(CONSOLIDADO!$H$2:$H$801,$I335))</f>
        <v/>
      </c>
      <c r="I335" s="11" t="str">
        <f aca="false">IFERROR(MATCH(ROW()-1,CONSOLIDADO!$AJ$2:$AJ$801,0),"")</f>
        <v/>
      </c>
      <c r="J335" s="11" t="str">
        <f aca="false">IF(B335="","",F335&amp;" "&amp;C335&amp;" ("&amp;B335&amp;")")</f>
        <v/>
      </c>
    </row>
    <row r="336" customFormat="false" ht="15" hidden="false" customHeight="false" outlineLevel="0" collapsed="false">
      <c r="A336" s="16"/>
      <c r="B336" s="11" t="str">
        <f aca="false">IF($I336="","",INDEX(CONSOLIDADO!$A$2:$A$801,$I336))</f>
        <v/>
      </c>
      <c r="C336" s="11" t="str">
        <f aca="false">IF($I336="","",INDEX(CONSOLIDADO!$B$2:$B$801,$I336))</f>
        <v/>
      </c>
      <c r="D336" s="16" t="str">
        <f aca="false">IF($I336="","",INDEX(CONSOLIDADO!$C$2:$C$801,$I336))</f>
        <v/>
      </c>
      <c r="E336" s="16" t="str">
        <f aca="false">IF($I336="","",INDEX(CONSOLIDADO!$D$2:$D$801,$I336))</f>
        <v/>
      </c>
      <c r="F336" s="14" t="str">
        <f aca="false">IF($I336="","",INDEX(CONSOLIDADO!$E$2:$E$801,$I336))</f>
        <v/>
      </c>
      <c r="G336" s="16" t="str">
        <f aca="false">IF($I336="","",INDEX(CONSOLIDADO!$G$2:$G$801,$I336))</f>
        <v/>
      </c>
      <c r="H336" s="16" t="str">
        <f aca="false">IF($I336="","",INDEX(CONSOLIDADO!$H$2:$H$801,$I336))</f>
        <v/>
      </c>
      <c r="I336" s="11" t="str">
        <f aca="false">IFERROR(MATCH(ROW()-1,CONSOLIDADO!$AJ$2:$AJ$801,0),"")</f>
        <v/>
      </c>
      <c r="J336" s="11" t="str">
        <f aca="false">IF(B336="","",F336&amp;" "&amp;C336&amp;" ("&amp;B336&amp;")")</f>
        <v/>
      </c>
    </row>
    <row r="337" customFormat="false" ht="15" hidden="false" customHeight="false" outlineLevel="0" collapsed="false">
      <c r="A337" s="16"/>
      <c r="B337" s="11" t="str">
        <f aca="false">IF($I337="","",INDEX(CONSOLIDADO!$A$2:$A$801,$I337))</f>
        <v/>
      </c>
      <c r="C337" s="11" t="str">
        <f aca="false">IF($I337="","",INDEX(CONSOLIDADO!$B$2:$B$801,$I337))</f>
        <v/>
      </c>
      <c r="D337" s="16" t="str">
        <f aca="false">IF($I337="","",INDEX(CONSOLIDADO!$C$2:$C$801,$I337))</f>
        <v/>
      </c>
      <c r="E337" s="16" t="str">
        <f aca="false">IF($I337="","",INDEX(CONSOLIDADO!$D$2:$D$801,$I337))</f>
        <v/>
      </c>
      <c r="F337" s="14" t="str">
        <f aca="false">IF($I337="","",INDEX(CONSOLIDADO!$E$2:$E$801,$I337))</f>
        <v/>
      </c>
      <c r="G337" s="16" t="str">
        <f aca="false">IF($I337="","",INDEX(CONSOLIDADO!$G$2:$G$801,$I337))</f>
        <v/>
      </c>
      <c r="H337" s="16" t="str">
        <f aca="false">IF($I337="","",INDEX(CONSOLIDADO!$H$2:$H$801,$I337))</f>
        <v/>
      </c>
      <c r="I337" s="11" t="str">
        <f aca="false">IFERROR(MATCH(ROW()-1,CONSOLIDADO!$AJ$2:$AJ$801,0),"")</f>
        <v/>
      </c>
      <c r="J337" s="11" t="str">
        <f aca="false">IF(B337="","",F337&amp;" "&amp;C337&amp;" ("&amp;B337&amp;")")</f>
        <v/>
      </c>
    </row>
    <row r="338" customFormat="false" ht="15" hidden="false" customHeight="false" outlineLevel="0" collapsed="false">
      <c r="A338" s="16"/>
      <c r="B338" s="11" t="str">
        <f aca="false">IF($I338="","",INDEX(CONSOLIDADO!$A$2:$A$801,$I338))</f>
        <v/>
      </c>
      <c r="C338" s="11" t="str">
        <f aca="false">IF($I338="","",INDEX(CONSOLIDADO!$B$2:$B$801,$I338))</f>
        <v/>
      </c>
      <c r="D338" s="16" t="str">
        <f aca="false">IF($I338="","",INDEX(CONSOLIDADO!$C$2:$C$801,$I338))</f>
        <v/>
      </c>
      <c r="E338" s="16" t="str">
        <f aca="false">IF($I338="","",INDEX(CONSOLIDADO!$D$2:$D$801,$I338))</f>
        <v/>
      </c>
      <c r="F338" s="14" t="str">
        <f aca="false">IF($I338="","",INDEX(CONSOLIDADO!$E$2:$E$801,$I338))</f>
        <v/>
      </c>
      <c r="G338" s="16" t="str">
        <f aca="false">IF($I338="","",INDEX(CONSOLIDADO!$G$2:$G$801,$I338))</f>
        <v/>
      </c>
      <c r="H338" s="16" t="str">
        <f aca="false">IF($I338="","",INDEX(CONSOLIDADO!$H$2:$H$801,$I338))</f>
        <v/>
      </c>
      <c r="I338" s="11" t="str">
        <f aca="false">IFERROR(MATCH(ROW()-1,CONSOLIDADO!$AJ$2:$AJ$801,0),"")</f>
        <v/>
      </c>
      <c r="J338" s="11" t="str">
        <f aca="false">IF(B338="","",F338&amp;" "&amp;C338&amp;" ("&amp;B338&amp;")")</f>
        <v/>
      </c>
    </row>
    <row r="339" customFormat="false" ht="15" hidden="false" customHeight="false" outlineLevel="0" collapsed="false">
      <c r="A339" s="16"/>
      <c r="B339" s="11" t="str">
        <f aca="false">IF($I339="","",INDEX(CONSOLIDADO!$A$2:$A$801,$I339))</f>
        <v/>
      </c>
      <c r="C339" s="11" t="str">
        <f aca="false">IF($I339="","",INDEX(CONSOLIDADO!$B$2:$B$801,$I339))</f>
        <v/>
      </c>
      <c r="D339" s="16" t="str">
        <f aca="false">IF($I339="","",INDEX(CONSOLIDADO!$C$2:$C$801,$I339))</f>
        <v/>
      </c>
      <c r="E339" s="16" t="str">
        <f aca="false">IF($I339="","",INDEX(CONSOLIDADO!$D$2:$D$801,$I339))</f>
        <v/>
      </c>
      <c r="F339" s="14" t="str">
        <f aca="false">IF($I339="","",INDEX(CONSOLIDADO!$E$2:$E$801,$I339))</f>
        <v/>
      </c>
      <c r="G339" s="16" t="str">
        <f aca="false">IF($I339="","",INDEX(CONSOLIDADO!$G$2:$G$801,$I339))</f>
        <v/>
      </c>
      <c r="H339" s="16" t="str">
        <f aca="false">IF($I339="","",INDEX(CONSOLIDADO!$H$2:$H$801,$I339))</f>
        <v/>
      </c>
      <c r="I339" s="11" t="str">
        <f aca="false">IFERROR(MATCH(ROW()-1,CONSOLIDADO!$AJ$2:$AJ$801,0),"")</f>
        <v/>
      </c>
      <c r="J339" s="11" t="str">
        <f aca="false">IF(B339="","",F339&amp;" "&amp;C339&amp;" ("&amp;B339&amp;")")</f>
        <v/>
      </c>
    </row>
    <row r="340" customFormat="false" ht="15" hidden="false" customHeight="false" outlineLevel="0" collapsed="false">
      <c r="A340" s="16"/>
      <c r="B340" s="11" t="str">
        <f aca="false">IF($I340="","",INDEX(CONSOLIDADO!$A$2:$A$801,$I340))</f>
        <v/>
      </c>
      <c r="C340" s="11" t="str">
        <f aca="false">IF($I340="","",INDEX(CONSOLIDADO!$B$2:$B$801,$I340))</f>
        <v/>
      </c>
      <c r="D340" s="16" t="str">
        <f aca="false">IF($I340="","",INDEX(CONSOLIDADO!$C$2:$C$801,$I340))</f>
        <v/>
      </c>
      <c r="E340" s="16" t="str">
        <f aca="false">IF($I340="","",INDEX(CONSOLIDADO!$D$2:$D$801,$I340))</f>
        <v/>
      </c>
      <c r="F340" s="14" t="str">
        <f aca="false">IF($I340="","",INDEX(CONSOLIDADO!$E$2:$E$801,$I340))</f>
        <v/>
      </c>
      <c r="G340" s="16" t="str">
        <f aca="false">IF($I340="","",INDEX(CONSOLIDADO!$G$2:$G$801,$I340))</f>
        <v/>
      </c>
      <c r="H340" s="16" t="str">
        <f aca="false">IF($I340="","",INDEX(CONSOLIDADO!$H$2:$H$801,$I340))</f>
        <v/>
      </c>
      <c r="I340" s="11" t="str">
        <f aca="false">IFERROR(MATCH(ROW()-1,CONSOLIDADO!$AJ$2:$AJ$801,0),"")</f>
        <v/>
      </c>
      <c r="J340" s="11" t="str">
        <f aca="false">IF(B340="","",F340&amp;" "&amp;C340&amp;" ("&amp;B340&amp;")")</f>
        <v/>
      </c>
    </row>
    <row r="341" customFormat="false" ht="15" hidden="false" customHeight="false" outlineLevel="0" collapsed="false">
      <c r="A341" s="16"/>
      <c r="B341" s="11" t="str">
        <f aca="false">IF($I341="","",INDEX(CONSOLIDADO!$A$2:$A$801,$I341))</f>
        <v/>
      </c>
      <c r="C341" s="11" t="str">
        <f aca="false">IF($I341="","",INDEX(CONSOLIDADO!$B$2:$B$801,$I341))</f>
        <v/>
      </c>
      <c r="D341" s="16" t="str">
        <f aca="false">IF($I341="","",INDEX(CONSOLIDADO!$C$2:$C$801,$I341))</f>
        <v/>
      </c>
      <c r="E341" s="16" t="str">
        <f aca="false">IF($I341="","",INDEX(CONSOLIDADO!$D$2:$D$801,$I341))</f>
        <v/>
      </c>
      <c r="F341" s="14" t="str">
        <f aca="false">IF($I341="","",INDEX(CONSOLIDADO!$E$2:$E$801,$I341))</f>
        <v/>
      </c>
      <c r="G341" s="16" t="str">
        <f aca="false">IF($I341="","",INDEX(CONSOLIDADO!$G$2:$G$801,$I341))</f>
        <v/>
      </c>
      <c r="H341" s="16" t="str">
        <f aca="false">IF($I341="","",INDEX(CONSOLIDADO!$H$2:$H$801,$I341))</f>
        <v/>
      </c>
      <c r="I341" s="11" t="str">
        <f aca="false">IFERROR(MATCH(ROW()-1,CONSOLIDADO!$AJ$2:$AJ$801,0),"")</f>
        <v/>
      </c>
      <c r="J341" s="11" t="str">
        <f aca="false">IF(B341="","",F341&amp;" "&amp;C341&amp;" ("&amp;B341&amp;")")</f>
        <v/>
      </c>
    </row>
    <row r="342" customFormat="false" ht="15" hidden="false" customHeight="false" outlineLevel="0" collapsed="false">
      <c r="A342" s="16"/>
      <c r="B342" s="11" t="str">
        <f aca="false">IF($I342="","",INDEX(CONSOLIDADO!$A$2:$A$801,$I342))</f>
        <v/>
      </c>
      <c r="C342" s="11" t="str">
        <f aca="false">IF($I342="","",INDEX(CONSOLIDADO!$B$2:$B$801,$I342))</f>
        <v/>
      </c>
      <c r="D342" s="16" t="str">
        <f aca="false">IF($I342="","",INDEX(CONSOLIDADO!$C$2:$C$801,$I342))</f>
        <v/>
      </c>
      <c r="E342" s="16" t="str">
        <f aca="false">IF($I342="","",INDEX(CONSOLIDADO!$D$2:$D$801,$I342))</f>
        <v/>
      </c>
      <c r="F342" s="14" t="str">
        <f aca="false">IF($I342="","",INDEX(CONSOLIDADO!$E$2:$E$801,$I342))</f>
        <v/>
      </c>
      <c r="G342" s="16" t="str">
        <f aca="false">IF($I342="","",INDEX(CONSOLIDADO!$G$2:$G$801,$I342))</f>
        <v/>
      </c>
      <c r="H342" s="16" t="str">
        <f aca="false">IF($I342="","",INDEX(CONSOLIDADO!$H$2:$H$801,$I342))</f>
        <v/>
      </c>
      <c r="I342" s="11" t="str">
        <f aca="false">IFERROR(MATCH(ROW()-1,CONSOLIDADO!$AJ$2:$AJ$801,0),"")</f>
        <v/>
      </c>
      <c r="J342" s="11" t="str">
        <f aca="false">IF(B342="","",F342&amp;" "&amp;C342&amp;" ("&amp;B342&amp;")")</f>
        <v/>
      </c>
    </row>
    <row r="343" customFormat="false" ht="15" hidden="false" customHeight="false" outlineLevel="0" collapsed="false">
      <c r="A343" s="16"/>
      <c r="B343" s="11" t="str">
        <f aca="false">IF($I343="","",INDEX(CONSOLIDADO!$A$2:$A$801,$I343))</f>
        <v/>
      </c>
      <c r="C343" s="11" t="str">
        <f aca="false">IF($I343="","",INDEX(CONSOLIDADO!$B$2:$B$801,$I343))</f>
        <v/>
      </c>
      <c r="D343" s="16" t="str">
        <f aca="false">IF($I343="","",INDEX(CONSOLIDADO!$C$2:$C$801,$I343))</f>
        <v/>
      </c>
      <c r="E343" s="16" t="str">
        <f aca="false">IF($I343="","",INDEX(CONSOLIDADO!$D$2:$D$801,$I343))</f>
        <v/>
      </c>
      <c r="F343" s="14" t="str">
        <f aca="false">IF($I343="","",INDEX(CONSOLIDADO!$E$2:$E$801,$I343))</f>
        <v/>
      </c>
      <c r="G343" s="16" t="str">
        <f aca="false">IF($I343="","",INDEX(CONSOLIDADO!$G$2:$G$801,$I343))</f>
        <v/>
      </c>
      <c r="H343" s="16" t="str">
        <f aca="false">IF($I343="","",INDEX(CONSOLIDADO!$H$2:$H$801,$I343))</f>
        <v/>
      </c>
      <c r="I343" s="11" t="str">
        <f aca="false">IFERROR(MATCH(ROW()-1,CONSOLIDADO!$AJ$2:$AJ$801,0),"")</f>
        <v/>
      </c>
      <c r="J343" s="11" t="str">
        <f aca="false">IF(B343="","",F343&amp;" "&amp;C343&amp;" ("&amp;B343&amp;")")</f>
        <v/>
      </c>
    </row>
    <row r="344" customFormat="false" ht="15" hidden="false" customHeight="false" outlineLevel="0" collapsed="false">
      <c r="A344" s="16"/>
      <c r="B344" s="11" t="str">
        <f aca="false">IF($I344="","",INDEX(CONSOLIDADO!$A$2:$A$801,$I344))</f>
        <v/>
      </c>
      <c r="C344" s="11" t="str">
        <f aca="false">IF($I344="","",INDEX(CONSOLIDADO!$B$2:$B$801,$I344))</f>
        <v/>
      </c>
      <c r="D344" s="16" t="str">
        <f aca="false">IF($I344="","",INDEX(CONSOLIDADO!$C$2:$C$801,$I344))</f>
        <v/>
      </c>
      <c r="E344" s="16" t="str">
        <f aca="false">IF($I344="","",INDEX(CONSOLIDADO!$D$2:$D$801,$I344))</f>
        <v/>
      </c>
      <c r="F344" s="14" t="str">
        <f aca="false">IF($I344="","",INDEX(CONSOLIDADO!$E$2:$E$801,$I344))</f>
        <v/>
      </c>
      <c r="G344" s="16" t="str">
        <f aca="false">IF($I344="","",INDEX(CONSOLIDADO!$G$2:$G$801,$I344))</f>
        <v/>
      </c>
      <c r="H344" s="16" t="str">
        <f aca="false">IF($I344="","",INDEX(CONSOLIDADO!$H$2:$H$801,$I344))</f>
        <v/>
      </c>
      <c r="I344" s="11" t="str">
        <f aca="false">IFERROR(MATCH(ROW()-1,CONSOLIDADO!$AJ$2:$AJ$801,0),"")</f>
        <v/>
      </c>
      <c r="J344" s="11" t="str">
        <f aca="false">IF(B344="","",F344&amp;" "&amp;C344&amp;" ("&amp;B344&amp;")")</f>
        <v/>
      </c>
    </row>
    <row r="345" customFormat="false" ht="15" hidden="false" customHeight="false" outlineLevel="0" collapsed="false">
      <c r="A345" s="16"/>
      <c r="B345" s="11" t="str">
        <f aca="false">IF($I345="","",INDEX(CONSOLIDADO!$A$2:$A$801,$I345))</f>
        <v/>
      </c>
      <c r="C345" s="11" t="str">
        <f aca="false">IF($I345="","",INDEX(CONSOLIDADO!$B$2:$B$801,$I345))</f>
        <v/>
      </c>
      <c r="D345" s="16" t="str">
        <f aca="false">IF($I345="","",INDEX(CONSOLIDADO!$C$2:$C$801,$I345))</f>
        <v/>
      </c>
      <c r="E345" s="16" t="str">
        <f aca="false">IF($I345="","",INDEX(CONSOLIDADO!$D$2:$D$801,$I345))</f>
        <v/>
      </c>
      <c r="F345" s="14" t="str">
        <f aca="false">IF($I345="","",INDEX(CONSOLIDADO!$E$2:$E$801,$I345))</f>
        <v/>
      </c>
      <c r="G345" s="16" t="str">
        <f aca="false">IF($I345="","",INDEX(CONSOLIDADO!$G$2:$G$801,$I345))</f>
        <v/>
      </c>
      <c r="H345" s="16" t="str">
        <f aca="false">IF($I345="","",INDEX(CONSOLIDADO!$H$2:$H$801,$I345))</f>
        <v/>
      </c>
      <c r="I345" s="11" t="str">
        <f aca="false">IFERROR(MATCH(ROW()-1,CONSOLIDADO!$AJ$2:$AJ$801,0),"")</f>
        <v/>
      </c>
      <c r="J345" s="11" t="str">
        <f aca="false">IF(B345="","",F345&amp;" "&amp;C345&amp;" ("&amp;B345&amp;")")</f>
        <v/>
      </c>
    </row>
    <row r="346" customFormat="false" ht="15" hidden="false" customHeight="false" outlineLevel="0" collapsed="false">
      <c r="A346" s="16"/>
      <c r="B346" s="11" t="str">
        <f aca="false">IF($I346="","",INDEX(CONSOLIDADO!$A$2:$A$801,$I346))</f>
        <v/>
      </c>
      <c r="C346" s="11" t="str">
        <f aca="false">IF($I346="","",INDEX(CONSOLIDADO!$B$2:$B$801,$I346))</f>
        <v/>
      </c>
      <c r="D346" s="16" t="str">
        <f aca="false">IF($I346="","",INDEX(CONSOLIDADO!$C$2:$C$801,$I346))</f>
        <v/>
      </c>
      <c r="E346" s="16" t="str">
        <f aca="false">IF($I346="","",INDEX(CONSOLIDADO!$D$2:$D$801,$I346))</f>
        <v/>
      </c>
      <c r="F346" s="14" t="str">
        <f aca="false">IF($I346="","",INDEX(CONSOLIDADO!$E$2:$E$801,$I346))</f>
        <v/>
      </c>
      <c r="G346" s="16" t="str">
        <f aca="false">IF($I346="","",INDEX(CONSOLIDADO!$G$2:$G$801,$I346))</f>
        <v/>
      </c>
      <c r="H346" s="16" t="str">
        <f aca="false">IF($I346="","",INDEX(CONSOLIDADO!$H$2:$H$801,$I346))</f>
        <v/>
      </c>
      <c r="I346" s="11" t="str">
        <f aca="false">IFERROR(MATCH(ROW()-1,CONSOLIDADO!$AJ$2:$AJ$801,0),"")</f>
        <v/>
      </c>
      <c r="J346" s="11" t="str">
        <f aca="false">IF(B346="","",F346&amp;" "&amp;C346&amp;" ("&amp;B346&amp;")")</f>
        <v/>
      </c>
    </row>
    <row r="347" customFormat="false" ht="15" hidden="false" customHeight="false" outlineLevel="0" collapsed="false">
      <c r="A347" s="16"/>
      <c r="B347" s="11" t="str">
        <f aca="false">IF($I347="","",INDEX(CONSOLIDADO!$A$2:$A$801,$I347))</f>
        <v/>
      </c>
      <c r="C347" s="11" t="str">
        <f aca="false">IF($I347="","",INDEX(CONSOLIDADO!$B$2:$B$801,$I347))</f>
        <v/>
      </c>
      <c r="D347" s="16" t="str">
        <f aca="false">IF($I347="","",INDEX(CONSOLIDADO!$C$2:$C$801,$I347))</f>
        <v/>
      </c>
      <c r="E347" s="16" t="str">
        <f aca="false">IF($I347="","",INDEX(CONSOLIDADO!$D$2:$D$801,$I347))</f>
        <v/>
      </c>
      <c r="F347" s="14" t="str">
        <f aca="false">IF($I347="","",INDEX(CONSOLIDADO!$E$2:$E$801,$I347))</f>
        <v/>
      </c>
      <c r="G347" s="16" t="str">
        <f aca="false">IF($I347="","",INDEX(CONSOLIDADO!$G$2:$G$801,$I347))</f>
        <v/>
      </c>
      <c r="H347" s="16" t="str">
        <f aca="false">IF($I347="","",INDEX(CONSOLIDADO!$H$2:$H$801,$I347))</f>
        <v/>
      </c>
      <c r="I347" s="11" t="str">
        <f aca="false">IFERROR(MATCH(ROW()-1,CONSOLIDADO!$AJ$2:$AJ$801,0),"")</f>
        <v/>
      </c>
      <c r="J347" s="11" t="str">
        <f aca="false">IF(B347="","",F347&amp;" "&amp;C347&amp;" ("&amp;B347&amp;")")</f>
        <v/>
      </c>
    </row>
    <row r="348" customFormat="false" ht="15" hidden="false" customHeight="false" outlineLevel="0" collapsed="false">
      <c r="A348" s="16"/>
      <c r="B348" s="11" t="str">
        <f aca="false">IF($I348="","",INDEX(CONSOLIDADO!$A$2:$A$801,$I348))</f>
        <v/>
      </c>
      <c r="C348" s="11" t="str">
        <f aca="false">IF($I348="","",INDEX(CONSOLIDADO!$B$2:$B$801,$I348))</f>
        <v/>
      </c>
      <c r="D348" s="16" t="str">
        <f aca="false">IF($I348="","",INDEX(CONSOLIDADO!$C$2:$C$801,$I348))</f>
        <v/>
      </c>
      <c r="E348" s="16" t="str">
        <f aca="false">IF($I348="","",INDEX(CONSOLIDADO!$D$2:$D$801,$I348))</f>
        <v/>
      </c>
      <c r="F348" s="14" t="str">
        <f aca="false">IF($I348="","",INDEX(CONSOLIDADO!$E$2:$E$801,$I348))</f>
        <v/>
      </c>
      <c r="G348" s="16" t="str">
        <f aca="false">IF($I348="","",INDEX(CONSOLIDADO!$G$2:$G$801,$I348))</f>
        <v/>
      </c>
      <c r="H348" s="16" t="str">
        <f aca="false">IF($I348="","",INDEX(CONSOLIDADO!$H$2:$H$801,$I348))</f>
        <v/>
      </c>
      <c r="I348" s="11" t="str">
        <f aca="false">IFERROR(MATCH(ROW()-1,CONSOLIDADO!$AJ$2:$AJ$801,0),"")</f>
        <v/>
      </c>
      <c r="J348" s="11" t="str">
        <f aca="false">IF(B348="","",F348&amp;" "&amp;C348&amp;" ("&amp;B348&amp;")")</f>
        <v/>
      </c>
    </row>
    <row r="349" customFormat="false" ht="15" hidden="false" customHeight="false" outlineLevel="0" collapsed="false">
      <c r="A349" s="16"/>
      <c r="B349" s="11" t="str">
        <f aca="false">IF($I349="","",INDEX(CONSOLIDADO!$A$2:$A$801,$I349))</f>
        <v/>
      </c>
      <c r="C349" s="11" t="str">
        <f aca="false">IF($I349="","",INDEX(CONSOLIDADO!$B$2:$B$801,$I349))</f>
        <v/>
      </c>
      <c r="D349" s="16" t="str">
        <f aca="false">IF($I349="","",INDEX(CONSOLIDADO!$C$2:$C$801,$I349))</f>
        <v/>
      </c>
      <c r="E349" s="16" t="str">
        <f aca="false">IF($I349="","",INDEX(CONSOLIDADO!$D$2:$D$801,$I349))</f>
        <v/>
      </c>
      <c r="F349" s="14" t="str">
        <f aca="false">IF($I349="","",INDEX(CONSOLIDADO!$E$2:$E$801,$I349))</f>
        <v/>
      </c>
      <c r="G349" s="16" t="str">
        <f aca="false">IF($I349="","",INDEX(CONSOLIDADO!$G$2:$G$801,$I349))</f>
        <v/>
      </c>
      <c r="H349" s="16" t="str">
        <f aca="false">IF($I349="","",INDEX(CONSOLIDADO!$H$2:$H$801,$I349))</f>
        <v/>
      </c>
      <c r="I349" s="11" t="str">
        <f aca="false">IFERROR(MATCH(ROW()-1,CONSOLIDADO!$AJ$2:$AJ$801,0),"")</f>
        <v/>
      </c>
      <c r="J349" s="11" t="str">
        <f aca="false">IF(B349="","",F349&amp;" "&amp;C349&amp;" ("&amp;B349&amp;")")</f>
        <v/>
      </c>
    </row>
    <row r="350" customFormat="false" ht="15" hidden="false" customHeight="false" outlineLevel="0" collapsed="false">
      <c r="A350" s="16"/>
      <c r="B350" s="11" t="str">
        <f aca="false">IF($I350="","",INDEX(CONSOLIDADO!$A$2:$A$801,$I350))</f>
        <v/>
      </c>
      <c r="C350" s="11" t="str">
        <f aca="false">IF($I350="","",INDEX(CONSOLIDADO!$B$2:$B$801,$I350))</f>
        <v/>
      </c>
      <c r="D350" s="16" t="str">
        <f aca="false">IF($I350="","",INDEX(CONSOLIDADO!$C$2:$C$801,$I350))</f>
        <v/>
      </c>
      <c r="E350" s="16" t="str">
        <f aca="false">IF($I350="","",INDEX(CONSOLIDADO!$D$2:$D$801,$I350))</f>
        <v/>
      </c>
      <c r="F350" s="14" t="str">
        <f aca="false">IF($I350="","",INDEX(CONSOLIDADO!$E$2:$E$801,$I350))</f>
        <v/>
      </c>
      <c r="G350" s="16" t="str">
        <f aca="false">IF($I350="","",INDEX(CONSOLIDADO!$G$2:$G$801,$I350))</f>
        <v/>
      </c>
      <c r="H350" s="16" t="str">
        <f aca="false">IF($I350="","",INDEX(CONSOLIDADO!$H$2:$H$801,$I350))</f>
        <v/>
      </c>
      <c r="I350" s="11" t="str">
        <f aca="false">IFERROR(MATCH(ROW()-1,CONSOLIDADO!$AJ$2:$AJ$801,0),"")</f>
        <v/>
      </c>
      <c r="J350" s="11" t="str">
        <f aca="false">IF(B350="","",F350&amp;" "&amp;C350&amp;" ("&amp;B350&amp;")")</f>
        <v/>
      </c>
    </row>
    <row r="351" customFormat="false" ht="15" hidden="false" customHeight="false" outlineLevel="0" collapsed="false">
      <c r="A351" s="16"/>
      <c r="B351" s="11" t="str">
        <f aca="false">IF($I351="","",INDEX(CONSOLIDADO!$A$2:$A$801,$I351))</f>
        <v/>
      </c>
      <c r="C351" s="11" t="str">
        <f aca="false">IF($I351="","",INDEX(CONSOLIDADO!$B$2:$B$801,$I351))</f>
        <v/>
      </c>
      <c r="D351" s="16" t="str">
        <f aca="false">IF($I351="","",INDEX(CONSOLIDADO!$C$2:$C$801,$I351))</f>
        <v/>
      </c>
      <c r="E351" s="16" t="str">
        <f aca="false">IF($I351="","",INDEX(CONSOLIDADO!$D$2:$D$801,$I351))</f>
        <v/>
      </c>
      <c r="F351" s="14" t="str">
        <f aca="false">IF($I351="","",INDEX(CONSOLIDADO!$E$2:$E$801,$I351))</f>
        <v/>
      </c>
      <c r="G351" s="16" t="str">
        <f aca="false">IF($I351="","",INDEX(CONSOLIDADO!$G$2:$G$801,$I351))</f>
        <v/>
      </c>
      <c r="H351" s="16" t="str">
        <f aca="false">IF($I351="","",INDEX(CONSOLIDADO!$H$2:$H$801,$I351))</f>
        <v/>
      </c>
      <c r="I351" s="11" t="str">
        <f aca="false">IFERROR(MATCH(ROW()-1,CONSOLIDADO!$AJ$2:$AJ$801,0),"")</f>
        <v/>
      </c>
      <c r="J351" s="11" t="str">
        <f aca="false">IF(B351="","",F351&amp;" "&amp;C351&amp;" ("&amp;B351&amp;")")</f>
        <v/>
      </c>
    </row>
    <row r="352" customFormat="false" ht="15" hidden="false" customHeight="false" outlineLevel="0" collapsed="false">
      <c r="A352" s="16"/>
      <c r="B352" s="11" t="str">
        <f aca="false">IF($I352="","",INDEX(CONSOLIDADO!$A$2:$A$801,$I352))</f>
        <v/>
      </c>
      <c r="C352" s="11" t="str">
        <f aca="false">IF($I352="","",INDEX(CONSOLIDADO!$B$2:$B$801,$I352))</f>
        <v/>
      </c>
      <c r="D352" s="16" t="str">
        <f aca="false">IF($I352="","",INDEX(CONSOLIDADO!$C$2:$C$801,$I352))</f>
        <v/>
      </c>
      <c r="E352" s="16" t="str">
        <f aca="false">IF($I352="","",INDEX(CONSOLIDADO!$D$2:$D$801,$I352))</f>
        <v/>
      </c>
      <c r="F352" s="14" t="str">
        <f aca="false">IF($I352="","",INDEX(CONSOLIDADO!$E$2:$E$801,$I352))</f>
        <v/>
      </c>
      <c r="G352" s="16" t="str">
        <f aca="false">IF($I352="","",INDEX(CONSOLIDADO!$G$2:$G$801,$I352))</f>
        <v/>
      </c>
      <c r="H352" s="16" t="str">
        <f aca="false">IF($I352="","",INDEX(CONSOLIDADO!$H$2:$H$801,$I352))</f>
        <v/>
      </c>
      <c r="I352" s="11" t="str">
        <f aca="false">IFERROR(MATCH(ROW()-1,CONSOLIDADO!$AJ$2:$AJ$801,0),"")</f>
        <v/>
      </c>
      <c r="J352" s="11" t="str">
        <f aca="false">IF(B352="","",F352&amp;" "&amp;C352&amp;" ("&amp;B352&amp;")")</f>
        <v/>
      </c>
    </row>
    <row r="353" customFormat="false" ht="15" hidden="false" customHeight="false" outlineLevel="0" collapsed="false">
      <c r="A353" s="16"/>
      <c r="B353" s="11" t="str">
        <f aca="false">IF($I353="","",INDEX(CONSOLIDADO!$A$2:$A$801,$I353))</f>
        <v/>
      </c>
      <c r="C353" s="11" t="str">
        <f aca="false">IF($I353="","",INDEX(CONSOLIDADO!$B$2:$B$801,$I353))</f>
        <v/>
      </c>
      <c r="D353" s="16" t="str">
        <f aca="false">IF($I353="","",INDEX(CONSOLIDADO!$C$2:$C$801,$I353))</f>
        <v/>
      </c>
      <c r="E353" s="16" t="str">
        <f aca="false">IF($I353="","",INDEX(CONSOLIDADO!$D$2:$D$801,$I353))</f>
        <v/>
      </c>
      <c r="F353" s="14" t="str">
        <f aca="false">IF($I353="","",INDEX(CONSOLIDADO!$E$2:$E$801,$I353))</f>
        <v/>
      </c>
      <c r="G353" s="16" t="str">
        <f aca="false">IF($I353="","",INDEX(CONSOLIDADO!$G$2:$G$801,$I353))</f>
        <v/>
      </c>
      <c r="H353" s="16" t="str">
        <f aca="false">IF($I353="","",INDEX(CONSOLIDADO!$H$2:$H$801,$I353))</f>
        <v/>
      </c>
      <c r="I353" s="11" t="str">
        <f aca="false">IFERROR(MATCH(ROW()-1,CONSOLIDADO!$AJ$2:$AJ$801,0),"")</f>
        <v/>
      </c>
      <c r="J353" s="11" t="str">
        <f aca="false">IF(B353="","",F353&amp;" "&amp;C353&amp;" ("&amp;B353&amp;")")</f>
        <v/>
      </c>
    </row>
    <row r="354" customFormat="false" ht="15" hidden="false" customHeight="false" outlineLevel="0" collapsed="false">
      <c r="A354" s="16"/>
      <c r="B354" s="11" t="str">
        <f aca="false">IF($I354="","",INDEX(CONSOLIDADO!$A$2:$A$801,$I354))</f>
        <v/>
      </c>
      <c r="C354" s="11" t="str">
        <f aca="false">IF($I354="","",INDEX(CONSOLIDADO!$B$2:$B$801,$I354))</f>
        <v/>
      </c>
      <c r="D354" s="16" t="str">
        <f aca="false">IF($I354="","",INDEX(CONSOLIDADO!$C$2:$C$801,$I354))</f>
        <v/>
      </c>
      <c r="E354" s="16" t="str">
        <f aca="false">IF($I354="","",INDEX(CONSOLIDADO!$D$2:$D$801,$I354))</f>
        <v/>
      </c>
      <c r="F354" s="14" t="str">
        <f aca="false">IF($I354="","",INDEX(CONSOLIDADO!$E$2:$E$801,$I354))</f>
        <v/>
      </c>
      <c r="G354" s="16" t="str">
        <f aca="false">IF($I354="","",INDEX(CONSOLIDADO!$G$2:$G$801,$I354))</f>
        <v/>
      </c>
      <c r="H354" s="16" t="str">
        <f aca="false">IF($I354="","",INDEX(CONSOLIDADO!$H$2:$H$801,$I354))</f>
        <v/>
      </c>
      <c r="I354" s="11" t="str">
        <f aca="false">IFERROR(MATCH(ROW()-1,CONSOLIDADO!$AJ$2:$AJ$801,0),"")</f>
        <v/>
      </c>
      <c r="J354" s="11" t="str">
        <f aca="false">IF(B354="","",F354&amp;" "&amp;C354&amp;" ("&amp;B354&amp;")")</f>
        <v/>
      </c>
    </row>
    <row r="355" customFormat="false" ht="15" hidden="false" customHeight="false" outlineLevel="0" collapsed="false">
      <c r="A355" s="16"/>
      <c r="B355" s="11" t="str">
        <f aca="false">IF($I355="","",INDEX(CONSOLIDADO!$A$2:$A$801,$I355))</f>
        <v/>
      </c>
      <c r="C355" s="11" t="str">
        <f aca="false">IF($I355="","",INDEX(CONSOLIDADO!$B$2:$B$801,$I355))</f>
        <v/>
      </c>
      <c r="D355" s="16" t="str">
        <f aca="false">IF($I355="","",INDEX(CONSOLIDADO!$C$2:$C$801,$I355))</f>
        <v/>
      </c>
      <c r="E355" s="16" t="str">
        <f aca="false">IF($I355="","",INDEX(CONSOLIDADO!$D$2:$D$801,$I355))</f>
        <v/>
      </c>
      <c r="F355" s="14" t="str">
        <f aca="false">IF($I355="","",INDEX(CONSOLIDADO!$E$2:$E$801,$I355))</f>
        <v/>
      </c>
      <c r="G355" s="16" t="str">
        <f aca="false">IF($I355="","",INDEX(CONSOLIDADO!$G$2:$G$801,$I355))</f>
        <v/>
      </c>
      <c r="H355" s="16" t="str">
        <f aca="false">IF($I355="","",INDEX(CONSOLIDADO!$H$2:$H$801,$I355))</f>
        <v/>
      </c>
      <c r="I355" s="11" t="str">
        <f aca="false">IFERROR(MATCH(ROW()-1,CONSOLIDADO!$AJ$2:$AJ$801,0),"")</f>
        <v/>
      </c>
      <c r="J355" s="11" t="str">
        <f aca="false">IF(B355="","",F355&amp;" "&amp;C355&amp;" ("&amp;B355&amp;")")</f>
        <v/>
      </c>
    </row>
    <row r="356" customFormat="false" ht="15" hidden="false" customHeight="false" outlineLevel="0" collapsed="false">
      <c r="A356" s="16"/>
      <c r="B356" s="11" t="str">
        <f aca="false">IF($I356="","",INDEX(CONSOLIDADO!$A$2:$A$801,$I356))</f>
        <v/>
      </c>
      <c r="C356" s="11" t="str">
        <f aca="false">IF($I356="","",INDEX(CONSOLIDADO!$B$2:$B$801,$I356))</f>
        <v/>
      </c>
      <c r="D356" s="16" t="str">
        <f aca="false">IF($I356="","",INDEX(CONSOLIDADO!$C$2:$C$801,$I356))</f>
        <v/>
      </c>
      <c r="E356" s="16" t="str">
        <f aca="false">IF($I356="","",INDEX(CONSOLIDADO!$D$2:$D$801,$I356))</f>
        <v/>
      </c>
      <c r="F356" s="14" t="str">
        <f aca="false">IF($I356="","",INDEX(CONSOLIDADO!$E$2:$E$801,$I356))</f>
        <v/>
      </c>
      <c r="G356" s="16" t="str">
        <f aca="false">IF($I356="","",INDEX(CONSOLIDADO!$G$2:$G$801,$I356))</f>
        <v/>
      </c>
      <c r="H356" s="16" t="str">
        <f aca="false">IF($I356="","",INDEX(CONSOLIDADO!$H$2:$H$801,$I356))</f>
        <v/>
      </c>
      <c r="I356" s="11" t="str">
        <f aca="false">IFERROR(MATCH(ROW()-1,CONSOLIDADO!$AJ$2:$AJ$801,0),"")</f>
        <v/>
      </c>
      <c r="J356" s="11" t="str">
        <f aca="false">IF(B356="","",F356&amp;" "&amp;C356&amp;" ("&amp;B356&amp;")")</f>
        <v/>
      </c>
    </row>
    <row r="357" customFormat="false" ht="15" hidden="false" customHeight="false" outlineLevel="0" collapsed="false">
      <c r="A357" s="16"/>
      <c r="B357" s="11" t="str">
        <f aca="false">IF($I357="","",INDEX(CONSOLIDADO!$A$2:$A$801,$I357))</f>
        <v/>
      </c>
      <c r="C357" s="11" t="str">
        <f aca="false">IF($I357="","",INDEX(CONSOLIDADO!$B$2:$B$801,$I357))</f>
        <v/>
      </c>
      <c r="D357" s="16" t="str">
        <f aca="false">IF($I357="","",INDEX(CONSOLIDADO!$C$2:$C$801,$I357))</f>
        <v/>
      </c>
      <c r="E357" s="16" t="str">
        <f aca="false">IF($I357="","",INDEX(CONSOLIDADO!$D$2:$D$801,$I357))</f>
        <v/>
      </c>
      <c r="F357" s="14" t="str">
        <f aca="false">IF($I357="","",INDEX(CONSOLIDADO!$E$2:$E$801,$I357))</f>
        <v/>
      </c>
      <c r="G357" s="16" t="str">
        <f aca="false">IF($I357="","",INDEX(CONSOLIDADO!$G$2:$G$801,$I357))</f>
        <v/>
      </c>
      <c r="H357" s="16" t="str">
        <f aca="false">IF($I357="","",INDEX(CONSOLIDADO!$H$2:$H$801,$I357))</f>
        <v/>
      </c>
      <c r="I357" s="11" t="str">
        <f aca="false">IFERROR(MATCH(ROW()-1,CONSOLIDADO!$AJ$2:$AJ$801,0),"")</f>
        <v/>
      </c>
      <c r="J357" s="11" t="str">
        <f aca="false">IF(B357="","",F357&amp;" "&amp;C357&amp;" ("&amp;B357&amp;")")</f>
        <v/>
      </c>
    </row>
    <row r="358" customFormat="false" ht="15" hidden="false" customHeight="false" outlineLevel="0" collapsed="false">
      <c r="A358" s="16"/>
      <c r="B358" s="11" t="str">
        <f aca="false">IF($I358="","",INDEX(CONSOLIDADO!$A$2:$A$801,$I358))</f>
        <v/>
      </c>
      <c r="C358" s="11" t="str">
        <f aca="false">IF($I358="","",INDEX(CONSOLIDADO!$B$2:$B$801,$I358))</f>
        <v/>
      </c>
      <c r="D358" s="16" t="str">
        <f aca="false">IF($I358="","",INDEX(CONSOLIDADO!$C$2:$C$801,$I358))</f>
        <v/>
      </c>
      <c r="E358" s="16" t="str">
        <f aca="false">IF($I358="","",INDEX(CONSOLIDADO!$D$2:$D$801,$I358))</f>
        <v/>
      </c>
      <c r="F358" s="14" t="str">
        <f aca="false">IF($I358="","",INDEX(CONSOLIDADO!$E$2:$E$801,$I358))</f>
        <v/>
      </c>
      <c r="G358" s="16" t="str">
        <f aca="false">IF($I358="","",INDEX(CONSOLIDADO!$G$2:$G$801,$I358))</f>
        <v/>
      </c>
      <c r="H358" s="16" t="str">
        <f aca="false">IF($I358="","",INDEX(CONSOLIDADO!$H$2:$H$801,$I358))</f>
        <v/>
      </c>
      <c r="I358" s="11" t="str">
        <f aca="false">IFERROR(MATCH(ROW()-1,CONSOLIDADO!$AJ$2:$AJ$801,0),"")</f>
        <v/>
      </c>
      <c r="J358" s="11" t="str">
        <f aca="false">IF(B358="","",F358&amp;" "&amp;C358&amp;" ("&amp;B358&amp;")")</f>
        <v/>
      </c>
    </row>
    <row r="359" customFormat="false" ht="15" hidden="false" customHeight="false" outlineLevel="0" collapsed="false">
      <c r="A359" s="16"/>
      <c r="B359" s="11" t="str">
        <f aca="false">IF($I359="","",INDEX(CONSOLIDADO!$A$2:$A$801,$I359))</f>
        <v/>
      </c>
      <c r="C359" s="11" t="str">
        <f aca="false">IF($I359="","",INDEX(CONSOLIDADO!$B$2:$B$801,$I359))</f>
        <v/>
      </c>
      <c r="D359" s="16" t="str">
        <f aca="false">IF($I359="","",INDEX(CONSOLIDADO!$C$2:$C$801,$I359))</f>
        <v/>
      </c>
      <c r="E359" s="16" t="str">
        <f aca="false">IF($I359="","",INDEX(CONSOLIDADO!$D$2:$D$801,$I359))</f>
        <v/>
      </c>
      <c r="F359" s="14" t="str">
        <f aca="false">IF($I359="","",INDEX(CONSOLIDADO!$E$2:$E$801,$I359))</f>
        <v/>
      </c>
      <c r="G359" s="16" t="str">
        <f aca="false">IF($I359="","",INDEX(CONSOLIDADO!$G$2:$G$801,$I359))</f>
        <v/>
      </c>
      <c r="H359" s="16" t="str">
        <f aca="false">IF($I359="","",INDEX(CONSOLIDADO!$H$2:$H$801,$I359))</f>
        <v/>
      </c>
      <c r="I359" s="11" t="str">
        <f aca="false">IFERROR(MATCH(ROW()-1,CONSOLIDADO!$AJ$2:$AJ$801,0),"")</f>
        <v/>
      </c>
      <c r="J359" s="11" t="str">
        <f aca="false">IF(B359="","",F359&amp;" "&amp;C359&amp;" ("&amp;B359&amp;")")</f>
        <v/>
      </c>
    </row>
    <row r="360" customFormat="false" ht="15" hidden="false" customHeight="false" outlineLevel="0" collapsed="false">
      <c r="A360" s="16"/>
      <c r="B360" s="11" t="str">
        <f aca="false">IF($I360="","",INDEX(CONSOLIDADO!$A$2:$A$801,$I360))</f>
        <v/>
      </c>
      <c r="C360" s="11" t="str">
        <f aca="false">IF($I360="","",INDEX(CONSOLIDADO!$B$2:$B$801,$I360))</f>
        <v/>
      </c>
      <c r="D360" s="16" t="str">
        <f aca="false">IF($I360="","",INDEX(CONSOLIDADO!$C$2:$C$801,$I360))</f>
        <v/>
      </c>
      <c r="E360" s="16" t="str">
        <f aca="false">IF($I360="","",INDEX(CONSOLIDADO!$D$2:$D$801,$I360))</f>
        <v/>
      </c>
      <c r="F360" s="14" t="str">
        <f aca="false">IF($I360="","",INDEX(CONSOLIDADO!$E$2:$E$801,$I360))</f>
        <v/>
      </c>
      <c r="G360" s="16" t="str">
        <f aca="false">IF($I360="","",INDEX(CONSOLIDADO!$G$2:$G$801,$I360))</f>
        <v/>
      </c>
      <c r="H360" s="16" t="str">
        <f aca="false">IF($I360="","",INDEX(CONSOLIDADO!$H$2:$H$801,$I360))</f>
        <v/>
      </c>
      <c r="I360" s="11" t="str">
        <f aca="false">IFERROR(MATCH(ROW()-1,CONSOLIDADO!$AJ$2:$AJ$801,0),"")</f>
        <v/>
      </c>
      <c r="J360" s="11" t="str">
        <f aca="false">IF(B360="","",F360&amp;" "&amp;C360&amp;" ("&amp;B360&amp;")")</f>
        <v/>
      </c>
    </row>
    <row r="361" customFormat="false" ht="15" hidden="false" customHeight="false" outlineLevel="0" collapsed="false">
      <c r="A361" s="16"/>
      <c r="B361" s="11" t="str">
        <f aca="false">IF($I361="","",INDEX(CONSOLIDADO!$A$2:$A$801,$I361))</f>
        <v/>
      </c>
      <c r="C361" s="11" t="str">
        <f aca="false">IF($I361="","",INDEX(CONSOLIDADO!$B$2:$B$801,$I361))</f>
        <v/>
      </c>
      <c r="D361" s="16" t="str">
        <f aca="false">IF($I361="","",INDEX(CONSOLIDADO!$C$2:$C$801,$I361))</f>
        <v/>
      </c>
      <c r="E361" s="16" t="str">
        <f aca="false">IF($I361="","",INDEX(CONSOLIDADO!$D$2:$D$801,$I361))</f>
        <v/>
      </c>
      <c r="F361" s="14" t="str">
        <f aca="false">IF($I361="","",INDEX(CONSOLIDADO!$E$2:$E$801,$I361))</f>
        <v/>
      </c>
      <c r="G361" s="16" t="str">
        <f aca="false">IF($I361="","",INDEX(CONSOLIDADO!$G$2:$G$801,$I361))</f>
        <v/>
      </c>
      <c r="H361" s="16" t="str">
        <f aca="false">IF($I361="","",INDEX(CONSOLIDADO!$H$2:$H$801,$I361))</f>
        <v/>
      </c>
      <c r="I361" s="11" t="str">
        <f aca="false">IFERROR(MATCH(ROW()-1,CONSOLIDADO!$AJ$2:$AJ$801,0),"")</f>
        <v/>
      </c>
      <c r="J361" s="11" t="str">
        <f aca="false">IF(B361="","",F361&amp;" "&amp;C361&amp;" ("&amp;B361&amp;")")</f>
        <v/>
      </c>
    </row>
    <row r="362" customFormat="false" ht="15" hidden="false" customHeight="false" outlineLevel="0" collapsed="false">
      <c r="A362" s="16"/>
      <c r="B362" s="11" t="str">
        <f aca="false">IF($I362="","",INDEX(CONSOLIDADO!$A$2:$A$801,$I362))</f>
        <v/>
      </c>
      <c r="C362" s="11" t="str">
        <f aca="false">IF($I362="","",INDEX(CONSOLIDADO!$B$2:$B$801,$I362))</f>
        <v/>
      </c>
      <c r="D362" s="16" t="str">
        <f aca="false">IF($I362="","",INDEX(CONSOLIDADO!$C$2:$C$801,$I362))</f>
        <v/>
      </c>
      <c r="E362" s="16" t="str">
        <f aca="false">IF($I362="","",INDEX(CONSOLIDADO!$D$2:$D$801,$I362))</f>
        <v/>
      </c>
      <c r="F362" s="14" t="str">
        <f aca="false">IF($I362="","",INDEX(CONSOLIDADO!$E$2:$E$801,$I362))</f>
        <v/>
      </c>
      <c r="G362" s="16" t="str">
        <f aca="false">IF($I362="","",INDEX(CONSOLIDADO!$G$2:$G$801,$I362))</f>
        <v/>
      </c>
      <c r="H362" s="16" t="str">
        <f aca="false">IF($I362="","",INDEX(CONSOLIDADO!$H$2:$H$801,$I362))</f>
        <v/>
      </c>
      <c r="I362" s="11" t="str">
        <f aca="false">IFERROR(MATCH(ROW()-1,CONSOLIDADO!$AJ$2:$AJ$801,0),"")</f>
        <v/>
      </c>
      <c r="J362" s="11" t="str">
        <f aca="false">IF(B362="","",F362&amp;" "&amp;C362&amp;" ("&amp;B362&amp;")")</f>
        <v/>
      </c>
    </row>
    <row r="363" customFormat="false" ht="15" hidden="false" customHeight="false" outlineLevel="0" collapsed="false">
      <c r="A363" s="16"/>
      <c r="B363" s="11" t="str">
        <f aca="false">IF($I363="","",INDEX(CONSOLIDADO!$A$2:$A$801,$I363))</f>
        <v/>
      </c>
      <c r="C363" s="11" t="str">
        <f aca="false">IF($I363="","",INDEX(CONSOLIDADO!$B$2:$B$801,$I363))</f>
        <v/>
      </c>
      <c r="D363" s="16" t="str">
        <f aca="false">IF($I363="","",INDEX(CONSOLIDADO!$C$2:$C$801,$I363))</f>
        <v/>
      </c>
      <c r="E363" s="16" t="str">
        <f aca="false">IF($I363="","",INDEX(CONSOLIDADO!$D$2:$D$801,$I363))</f>
        <v/>
      </c>
      <c r="F363" s="14" t="str">
        <f aca="false">IF($I363="","",INDEX(CONSOLIDADO!$E$2:$E$801,$I363))</f>
        <v/>
      </c>
      <c r="G363" s="16" t="str">
        <f aca="false">IF($I363="","",INDEX(CONSOLIDADO!$G$2:$G$801,$I363))</f>
        <v/>
      </c>
      <c r="H363" s="16" t="str">
        <f aca="false">IF($I363="","",INDEX(CONSOLIDADO!$H$2:$H$801,$I363))</f>
        <v/>
      </c>
      <c r="I363" s="11" t="str">
        <f aca="false">IFERROR(MATCH(ROW()-1,CONSOLIDADO!$AJ$2:$AJ$801,0),"")</f>
        <v/>
      </c>
      <c r="J363" s="11" t="str">
        <f aca="false">IF(B363="","",F363&amp;" "&amp;C363&amp;" ("&amp;B363&amp;")")</f>
        <v/>
      </c>
    </row>
    <row r="364" customFormat="false" ht="15" hidden="false" customHeight="false" outlineLevel="0" collapsed="false">
      <c r="A364" s="16"/>
      <c r="B364" s="11" t="str">
        <f aca="false">IF($I364="","",INDEX(CONSOLIDADO!$A$2:$A$801,$I364))</f>
        <v/>
      </c>
      <c r="C364" s="11" t="str">
        <f aca="false">IF($I364="","",INDEX(CONSOLIDADO!$B$2:$B$801,$I364))</f>
        <v/>
      </c>
      <c r="D364" s="16" t="str">
        <f aca="false">IF($I364="","",INDEX(CONSOLIDADO!$C$2:$C$801,$I364))</f>
        <v/>
      </c>
      <c r="E364" s="16" t="str">
        <f aca="false">IF($I364="","",INDEX(CONSOLIDADO!$D$2:$D$801,$I364))</f>
        <v/>
      </c>
      <c r="F364" s="14" t="str">
        <f aca="false">IF($I364="","",INDEX(CONSOLIDADO!$E$2:$E$801,$I364))</f>
        <v/>
      </c>
      <c r="G364" s="16" t="str">
        <f aca="false">IF($I364="","",INDEX(CONSOLIDADO!$G$2:$G$801,$I364))</f>
        <v/>
      </c>
      <c r="H364" s="16" t="str">
        <f aca="false">IF($I364="","",INDEX(CONSOLIDADO!$H$2:$H$801,$I364))</f>
        <v/>
      </c>
      <c r="I364" s="11" t="str">
        <f aca="false">IFERROR(MATCH(ROW()-1,CONSOLIDADO!$AJ$2:$AJ$801,0),"")</f>
        <v/>
      </c>
      <c r="J364" s="11" t="str">
        <f aca="false">IF(B364="","",F364&amp;" "&amp;C364&amp;" ("&amp;B364&amp;")")</f>
        <v/>
      </c>
    </row>
    <row r="365" customFormat="false" ht="15" hidden="false" customHeight="false" outlineLevel="0" collapsed="false">
      <c r="A365" s="16"/>
      <c r="B365" s="11" t="str">
        <f aca="false">IF($I365="","",INDEX(CONSOLIDADO!$A$2:$A$801,$I365))</f>
        <v/>
      </c>
      <c r="C365" s="11" t="str">
        <f aca="false">IF($I365="","",INDEX(CONSOLIDADO!$B$2:$B$801,$I365))</f>
        <v/>
      </c>
      <c r="D365" s="16" t="str">
        <f aca="false">IF($I365="","",INDEX(CONSOLIDADO!$C$2:$C$801,$I365))</f>
        <v/>
      </c>
      <c r="E365" s="16" t="str">
        <f aca="false">IF($I365="","",INDEX(CONSOLIDADO!$D$2:$D$801,$I365))</f>
        <v/>
      </c>
      <c r="F365" s="14" t="str">
        <f aca="false">IF($I365="","",INDEX(CONSOLIDADO!$E$2:$E$801,$I365))</f>
        <v/>
      </c>
      <c r="G365" s="16" t="str">
        <f aca="false">IF($I365="","",INDEX(CONSOLIDADO!$G$2:$G$801,$I365))</f>
        <v/>
      </c>
      <c r="H365" s="16" t="str">
        <f aca="false">IF($I365="","",INDEX(CONSOLIDADO!$H$2:$H$801,$I365))</f>
        <v/>
      </c>
      <c r="I365" s="11" t="str">
        <f aca="false">IFERROR(MATCH(ROW()-1,CONSOLIDADO!$AJ$2:$AJ$801,0),"")</f>
        <v/>
      </c>
      <c r="J365" s="11" t="str">
        <f aca="false">IF(B365="","",F365&amp;" "&amp;C365&amp;" ("&amp;B365&amp;")")</f>
        <v/>
      </c>
    </row>
    <row r="366" customFormat="false" ht="15" hidden="false" customHeight="false" outlineLevel="0" collapsed="false">
      <c r="A366" s="16"/>
      <c r="B366" s="11" t="str">
        <f aca="false">IF($I366="","",INDEX(CONSOLIDADO!$A$2:$A$801,$I366))</f>
        <v/>
      </c>
      <c r="C366" s="11" t="str">
        <f aca="false">IF($I366="","",INDEX(CONSOLIDADO!$B$2:$B$801,$I366))</f>
        <v/>
      </c>
      <c r="D366" s="16" t="str">
        <f aca="false">IF($I366="","",INDEX(CONSOLIDADO!$C$2:$C$801,$I366))</f>
        <v/>
      </c>
      <c r="E366" s="16" t="str">
        <f aca="false">IF($I366="","",INDEX(CONSOLIDADO!$D$2:$D$801,$I366))</f>
        <v/>
      </c>
      <c r="F366" s="14" t="str">
        <f aca="false">IF($I366="","",INDEX(CONSOLIDADO!$E$2:$E$801,$I366))</f>
        <v/>
      </c>
      <c r="G366" s="16" t="str">
        <f aca="false">IF($I366="","",INDEX(CONSOLIDADO!$G$2:$G$801,$I366))</f>
        <v/>
      </c>
      <c r="H366" s="16" t="str">
        <f aca="false">IF($I366="","",INDEX(CONSOLIDADO!$H$2:$H$801,$I366))</f>
        <v/>
      </c>
      <c r="I366" s="11" t="str">
        <f aca="false">IFERROR(MATCH(ROW()-1,CONSOLIDADO!$AJ$2:$AJ$801,0),"")</f>
        <v/>
      </c>
      <c r="J366" s="11" t="str">
        <f aca="false">IF(B366="","",F366&amp;" "&amp;C366&amp;" ("&amp;B366&amp;")")</f>
        <v/>
      </c>
    </row>
    <row r="367" customFormat="false" ht="15" hidden="false" customHeight="false" outlineLevel="0" collapsed="false">
      <c r="A367" s="16"/>
      <c r="B367" s="11" t="str">
        <f aca="false">IF($I367="","",INDEX(CONSOLIDADO!$A$2:$A$801,$I367))</f>
        <v/>
      </c>
      <c r="C367" s="11" t="str">
        <f aca="false">IF($I367="","",INDEX(CONSOLIDADO!$B$2:$B$801,$I367))</f>
        <v/>
      </c>
      <c r="D367" s="16" t="str">
        <f aca="false">IF($I367="","",INDEX(CONSOLIDADO!$C$2:$C$801,$I367))</f>
        <v/>
      </c>
      <c r="E367" s="16" t="str">
        <f aca="false">IF($I367="","",INDEX(CONSOLIDADO!$D$2:$D$801,$I367))</f>
        <v/>
      </c>
      <c r="F367" s="14" t="str">
        <f aca="false">IF($I367="","",INDEX(CONSOLIDADO!$E$2:$E$801,$I367))</f>
        <v/>
      </c>
      <c r="G367" s="16" t="str">
        <f aca="false">IF($I367="","",INDEX(CONSOLIDADO!$G$2:$G$801,$I367))</f>
        <v/>
      </c>
      <c r="H367" s="16" t="str">
        <f aca="false">IF($I367="","",INDEX(CONSOLIDADO!$H$2:$H$801,$I367))</f>
        <v/>
      </c>
      <c r="I367" s="11" t="str">
        <f aca="false">IFERROR(MATCH(ROW()-1,CONSOLIDADO!$AJ$2:$AJ$801,0),"")</f>
        <v/>
      </c>
      <c r="J367" s="11" t="str">
        <f aca="false">IF(B367="","",F367&amp;" "&amp;C367&amp;" ("&amp;B367&amp;")")</f>
        <v/>
      </c>
    </row>
    <row r="368" customFormat="false" ht="15" hidden="false" customHeight="false" outlineLevel="0" collapsed="false">
      <c r="A368" s="16"/>
      <c r="B368" s="11" t="str">
        <f aca="false">IF($I368="","",INDEX(CONSOLIDADO!$A$2:$A$801,$I368))</f>
        <v/>
      </c>
      <c r="C368" s="11" t="str">
        <f aca="false">IF($I368="","",INDEX(CONSOLIDADO!$B$2:$B$801,$I368))</f>
        <v/>
      </c>
      <c r="D368" s="16" t="str">
        <f aca="false">IF($I368="","",INDEX(CONSOLIDADO!$C$2:$C$801,$I368))</f>
        <v/>
      </c>
      <c r="E368" s="16" t="str">
        <f aca="false">IF($I368="","",INDEX(CONSOLIDADO!$D$2:$D$801,$I368))</f>
        <v/>
      </c>
      <c r="F368" s="14" t="str">
        <f aca="false">IF($I368="","",INDEX(CONSOLIDADO!$E$2:$E$801,$I368))</f>
        <v/>
      </c>
      <c r="G368" s="16" t="str">
        <f aca="false">IF($I368="","",INDEX(CONSOLIDADO!$G$2:$G$801,$I368))</f>
        <v/>
      </c>
      <c r="H368" s="16" t="str">
        <f aca="false">IF($I368="","",INDEX(CONSOLIDADO!$H$2:$H$801,$I368))</f>
        <v/>
      </c>
      <c r="I368" s="11" t="str">
        <f aca="false">IFERROR(MATCH(ROW()-1,CONSOLIDADO!$AJ$2:$AJ$801,0),"")</f>
        <v/>
      </c>
      <c r="J368" s="11" t="str">
        <f aca="false">IF(B368="","",F368&amp;" "&amp;C368&amp;" ("&amp;B368&amp;")")</f>
        <v/>
      </c>
    </row>
    <row r="369" customFormat="false" ht="15" hidden="false" customHeight="false" outlineLevel="0" collapsed="false">
      <c r="A369" s="16"/>
      <c r="B369" s="11" t="str">
        <f aca="false">IF($I369="","",INDEX(CONSOLIDADO!$A$2:$A$801,$I369))</f>
        <v/>
      </c>
      <c r="C369" s="11" t="str">
        <f aca="false">IF($I369="","",INDEX(CONSOLIDADO!$B$2:$B$801,$I369))</f>
        <v/>
      </c>
      <c r="D369" s="16" t="str">
        <f aca="false">IF($I369="","",INDEX(CONSOLIDADO!$C$2:$C$801,$I369))</f>
        <v/>
      </c>
      <c r="E369" s="16" t="str">
        <f aca="false">IF($I369="","",INDEX(CONSOLIDADO!$D$2:$D$801,$I369))</f>
        <v/>
      </c>
      <c r="F369" s="14" t="str">
        <f aca="false">IF($I369="","",INDEX(CONSOLIDADO!$E$2:$E$801,$I369))</f>
        <v/>
      </c>
      <c r="G369" s="16" t="str">
        <f aca="false">IF($I369="","",INDEX(CONSOLIDADO!$G$2:$G$801,$I369))</f>
        <v/>
      </c>
      <c r="H369" s="16" t="str">
        <f aca="false">IF($I369="","",INDEX(CONSOLIDADO!$H$2:$H$801,$I369))</f>
        <v/>
      </c>
      <c r="I369" s="11" t="str">
        <f aca="false">IFERROR(MATCH(ROW()-1,CONSOLIDADO!$AJ$2:$AJ$801,0),"")</f>
        <v/>
      </c>
      <c r="J369" s="11" t="str">
        <f aca="false">IF(B369="","",F369&amp;" "&amp;C369&amp;" ("&amp;B369&amp;")")</f>
        <v/>
      </c>
    </row>
    <row r="370" customFormat="false" ht="15" hidden="false" customHeight="false" outlineLevel="0" collapsed="false">
      <c r="A370" s="16"/>
      <c r="B370" s="11" t="str">
        <f aca="false">IF($I370="","",INDEX(CONSOLIDADO!$A$2:$A$801,$I370))</f>
        <v/>
      </c>
      <c r="C370" s="11" t="str">
        <f aca="false">IF($I370="","",INDEX(CONSOLIDADO!$B$2:$B$801,$I370))</f>
        <v/>
      </c>
      <c r="D370" s="16" t="str">
        <f aca="false">IF($I370="","",INDEX(CONSOLIDADO!$C$2:$C$801,$I370))</f>
        <v/>
      </c>
      <c r="E370" s="16" t="str">
        <f aca="false">IF($I370="","",INDEX(CONSOLIDADO!$D$2:$D$801,$I370))</f>
        <v/>
      </c>
      <c r="F370" s="14" t="str">
        <f aca="false">IF($I370="","",INDEX(CONSOLIDADO!$E$2:$E$801,$I370))</f>
        <v/>
      </c>
      <c r="G370" s="16" t="str">
        <f aca="false">IF($I370="","",INDEX(CONSOLIDADO!$G$2:$G$801,$I370))</f>
        <v/>
      </c>
      <c r="H370" s="16" t="str">
        <f aca="false">IF($I370="","",INDEX(CONSOLIDADO!$H$2:$H$801,$I370))</f>
        <v/>
      </c>
      <c r="I370" s="11" t="str">
        <f aca="false">IFERROR(MATCH(ROW()-1,CONSOLIDADO!$AJ$2:$AJ$801,0),"")</f>
        <v/>
      </c>
      <c r="J370" s="11" t="str">
        <f aca="false">IF(B370="","",F370&amp;" "&amp;C370&amp;" ("&amp;B370&amp;")")</f>
        <v/>
      </c>
    </row>
    <row r="371" customFormat="false" ht="15" hidden="false" customHeight="false" outlineLevel="0" collapsed="false">
      <c r="A371" s="16"/>
      <c r="B371" s="11" t="str">
        <f aca="false">IF($I371="","",INDEX(CONSOLIDADO!$A$2:$A$801,$I371))</f>
        <v/>
      </c>
      <c r="C371" s="11" t="str">
        <f aca="false">IF($I371="","",INDEX(CONSOLIDADO!$B$2:$B$801,$I371))</f>
        <v/>
      </c>
      <c r="D371" s="16" t="str">
        <f aca="false">IF($I371="","",INDEX(CONSOLIDADO!$C$2:$C$801,$I371))</f>
        <v/>
      </c>
      <c r="E371" s="16" t="str">
        <f aca="false">IF($I371="","",INDEX(CONSOLIDADO!$D$2:$D$801,$I371))</f>
        <v/>
      </c>
      <c r="F371" s="14" t="str">
        <f aca="false">IF($I371="","",INDEX(CONSOLIDADO!$E$2:$E$801,$I371))</f>
        <v/>
      </c>
      <c r="G371" s="16" t="str">
        <f aca="false">IF($I371="","",INDEX(CONSOLIDADO!$G$2:$G$801,$I371))</f>
        <v/>
      </c>
      <c r="H371" s="16" t="str">
        <f aca="false">IF($I371="","",INDEX(CONSOLIDADO!$H$2:$H$801,$I371))</f>
        <v/>
      </c>
      <c r="I371" s="11" t="str">
        <f aca="false">IFERROR(MATCH(ROW()-1,CONSOLIDADO!$AJ$2:$AJ$801,0),"")</f>
        <v/>
      </c>
      <c r="J371" s="11" t="str">
        <f aca="false">IF(B371="","",F371&amp;" "&amp;C371&amp;" ("&amp;B371&amp;")")</f>
        <v/>
      </c>
    </row>
    <row r="372" customFormat="false" ht="15" hidden="false" customHeight="false" outlineLevel="0" collapsed="false">
      <c r="A372" s="16"/>
      <c r="B372" s="11" t="str">
        <f aca="false">IF($I372="","",INDEX(CONSOLIDADO!$A$2:$A$801,$I372))</f>
        <v/>
      </c>
      <c r="C372" s="11" t="str">
        <f aca="false">IF($I372="","",INDEX(CONSOLIDADO!$B$2:$B$801,$I372))</f>
        <v/>
      </c>
      <c r="D372" s="16" t="str">
        <f aca="false">IF($I372="","",INDEX(CONSOLIDADO!$C$2:$C$801,$I372))</f>
        <v/>
      </c>
      <c r="E372" s="16" t="str">
        <f aca="false">IF($I372="","",INDEX(CONSOLIDADO!$D$2:$D$801,$I372))</f>
        <v/>
      </c>
      <c r="F372" s="14" t="str">
        <f aca="false">IF($I372="","",INDEX(CONSOLIDADO!$E$2:$E$801,$I372))</f>
        <v/>
      </c>
      <c r="G372" s="16" t="str">
        <f aca="false">IF($I372="","",INDEX(CONSOLIDADO!$G$2:$G$801,$I372))</f>
        <v/>
      </c>
      <c r="H372" s="16" t="str">
        <f aca="false">IF($I372="","",INDEX(CONSOLIDADO!$H$2:$H$801,$I372))</f>
        <v/>
      </c>
      <c r="I372" s="11" t="str">
        <f aca="false">IFERROR(MATCH(ROW()-1,CONSOLIDADO!$AJ$2:$AJ$801,0),"")</f>
        <v/>
      </c>
      <c r="J372" s="11" t="str">
        <f aca="false">IF(B372="","",F372&amp;" "&amp;C372&amp;" ("&amp;B372&amp;")")</f>
        <v/>
      </c>
    </row>
    <row r="373" customFormat="false" ht="15" hidden="false" customHeight="false" outlineLevel="0" collapsed="false">
      <c r="A373" s="16"/>
      <c r="B373" s="11" t="str">
        <f aca="false">IF($I373="","",INDEX(CONSOLIDADO!$A$2:$A$801,$I373))</f>
        <v/>
      </c>
      <c r="C373" s="11" t="str">
        <f aca="false">IF($I373="","",INDEX(CONSOLIDADO!$B$2:$B$801,$I373))</f>
        <v/>
      </c>
      <c r="D373" s="16" t="str">
        <f aca="false">IF($I373="","",INDEX(CONSOLIDADO!$C$2:$C$801,$I373))</f>
        <v/>
      </c>
      <c r="E373" s="16" t="str">
        <f aca="false">IF($I373="","",INDEX(CONSOLIDADO!$D$2:$D$801,$I373))</f>
        <v/>
      </c>
      <c r="F373" s="14" t="str">
        <f aca="false">IF($I373="","",INDEX(CONSOLIDADO!$E$2:$E$801,$I373))</f>
        <v/>
      </c>
      <c r="G373" s="16" t="str">
        <f aca="false">IF($I373="","",INDEX(CONSOLIDADO!$G$2:$G$801,$I373))</f>
        <v/>
      </c>
      <c r="H373" s="16" t="str">
        <f aca="false">IF($I373="","",INDEX(CONSOLIDADO!$H$2:$H$801,$I373))</f>
        <v/>
      </c>
      <c r="I373" s="11" t="str">
        <f aca="false">IFERROR(MATCH(ROW()-1,CONSOLIDADO!$AJ$2:$AJ$801,0),"")</f>
        <v/>
      </c>
      <c r="J373" s="11" t="str">
        <f aca="false">IF(B373="","",F373&amp;" "&amp;C373&amp;" ("&amp;B373&amp;")")</f>
        <v/>
      </c>
    </row>
    <row r="374" customFormat="false" ht="15" hidden="false" customHeight="false" outlineLevel="0" collapsed="false">
      <c r="A374" s="16"/>
      <c r="B374" s="11" t="str">
        <f aca="false">IF($I374="","",INDEX(CONSOLIDADO!$A$2:$A$801,$I374))</f>
        <v/>
      </c>
      <c r="C374" s="11" t="str">
        <f aca="false">IF($I374="","",INDEX(CONSOLIDADO!$B$2:$B$801,$I374))</f>
        <v/>
      </c>
      <c r="D374" s="16" t="str">
        <f aca="false">IF($I374="","",INDEX(CONSOLIDADO!$C$2:$C$801,$I374))</f>
        <v/>
      </c>
      <c r="E374" s="16" t="str">
        <f aca="false">IF($I374="","",INDEX(CONSOLIDADO!$D$2:$D$801,$I374))</f>
        <v/>
      </c>
      <c r="F374" s="14" t="str">
        <f aca="false">IF($I374="","",INDEX(CONSOLIDADO!$E$2:$E$801,$I374))</f>
        <v/>
      </c>
      <c r="G374" s="16" t="str">
        <f aca="false">IF($I374="","",INDEX(CONSOLIDADO!$G$2:$G$801,$I374))</f>
        <v/>
      </c>
      <c r="H374" s="16" t="str">
        <f aca="false">IF($I374="","",INDEX(CONSOLIDADO!$H$2:$H$801,$I374))</f>
        <v/>
      </c>
      <c r="I374" s="11" t="str">
        <f aca="false">IFERROR(MATCH(ROW()-1,CONSOLIDADO!$AJ$2:$AJ$801,0),"")</f>
        <v/>
      </c>
      <c r="J374" s="11" t="str">
        <f aca="false">IF(B374="","",F374&amp;" "&amp;C374&amp;" ("&amp;B374&amp;")")</f>
        <v/>
      </c>
    </row>
    <row r="375" customFormat="false" ht="15" hidden="false" customHeight="false" outlineLevel="0" collapsed="false">
      <c r="A375" s="16"/>
      <c r="B375" s="11" t="str">
        <f aca="false">IF($I375="","",INDEX(CONSOLIDADO!$A$2:$A$801,$I375))</f>
        <v/>
      </c>
      <c r="C375" s="11" t="str">
        <f aca="false">IF($I375="","",INDEX(CONSOLIDADO!$B$2:$B$801,$I375))</f>
        <v/>
      </c>
      <c r="D375" s="16" t="str">
        <f aca="false">IF($I375="","",INDEX(CONSOLIDADO!$C$2:$C$801,$I375))</f>
        <v/>
      </c>
      <c r="E375" s="16" t="str">
        <f aca="false">IF($I375="","",INDEX(CONSOLIDADO!$D$2:$D$801,$I375))</f>
        <v/>
      </c>
      <c r="F375" s="14" t="str">
        <f aca="false">IF($I375="","",INDEX(CONSOLIDADO!$E$2:$E$801,$I375))</f>
        <v/>
      </c>
      <c r="G375" s="16" t="str">
        <f aca="false">IF($I375="","",INDEX(CONSOLIDADO!$G$2:$G$801,$I375))</f>
        <v/>
      </c>
      <c r="H375" s="16" t="str">
        <f aca="false">IF($I375="","",INDEX(CONSOLIDADO!$H$2:$H$801,$I375))</f>
        <v/>
      </c>
      <c r="I375" s="11" t="str">
        <f aca="false">IFERROR(MATCH(ROW()-1,CONSOLIDADO!$AJ$2:$AJ$801,0),"")</f>
        <v/>
      </c>
      <c r="J375" s="11" t="str">
        <f aca="false">IF(B375="","",F375&amp;" "&amp;C375&amp;" ("&amp;B375&amp;")")</f>
        <v/>
      </c>
    </row>
    <row r="376" customFormat="false" ht="15" hidden="false" customHeight="false" outlineLevel="0" collapsed="false">
      <c r="A376" s="16"/>
      <c r="B376" s="11" t="str">
        <f aca="false">IF($I376="","",INDEX(CONSOLIDADO!$A$2:$A$801,$I376))</f>
        <v/>
      </c>
      <c r="C376" s="11" t="str">
        <f aca="false">IF($I376="","",INDEX(CONSOLIDADO!$B$2:$B$801,$I376))</f>
        <v/>
      </c>
      <c r="D376" s="16" t="str">
        <f aca="false">IF($I376="","",INDEX(CONSOLIDADO!$C$2:$C$801,$I376))</f>
        <v/>
      </c>
      <c r="E376" s="16" t="str">
        <f aca="false">IF($I376="","",INDEX(CONSOLIDADO!$D$2:$D$801,$I376))</f>
        <v/>
      </c>
      <c r="F376" s="14" t="str">
        <f aca="false">IF($I376="","",INDEX(CONSOLIDADO!$E$2:$E$801,$I376))</f>
        <v/>
      </c>
      <c r="G376" s="16" t="str">
        <f aca="false">IF($I376="","",INDEX(CONSOLIDADO!$G$2:$G$801,$I376))</f>
        <v/>
      </c>
      <c r="H376" s="16" t="str">
        <f aca="false">IF($I376="","",INDEX(CONSOLIDADO!$H$2:$H$801,$I376))</f>
        <v/>
      </c>
      <c r="I376" s="11" t="str">
        <f aca="false">IFERROR(MATCH(ROW()-1,CONSOLIDADO!$AJ$2:$AJ$801,0),"")</f>
        <v/>
      </c>
      <c r="J376" s="11" t="str">
        <f aca="false">IF(B376="","",F376&amp;" "&amp;C376&amp;" ("&amp;B376&amp;")")</f>
        <v/>
      </c>
    </row>
    <row r="377" customFormat="false" ht="15" hidden="false" customHeight="false" outlineLevel="0" collapsed="false">
      <c r="A377" s="16"/>
      <c r="B377" s="11" t="str">
        <f aca="false">IF($I377="","",INDEX(CONSOLIDADO!$A$2:$A$801,$I377))</f>
        <v/>
      </c>
      <c r="C377" s="11" t="str">
        <f aca="false">IF($I377="","",INDEX(CONSOLIDADO!$B$2:$B$801,$I377))</f>
        <v/>
      </c>
      <c r="D377" s="16" t="str">
        <f aca="false">IF($I377="","",INDEX(CONSOLIDADO!$C$2:$C$801,$I377))</f>
        <v/>
      </c>
      <c r="E377" s="16" t="str">
        <f aca="false">IF($I377="","",INDEX(CONSOLIDADO!$D$2:$D$801,$I377))</f>
        <v/>
      </c>
      <c r="F377" s="14" t="str">
        <f aca="false">IF($I377="","",INDEX(CONSOLIDADO!$E$2:$E$801,$I377))</f>
        <v/>
      </c>
      <c r="G377" s="16" t="str">
        <f aca="false">IF($I377="","",INDEX(CONSOLIDADO!$G$2:$G$801,$I377))</f>
        <v/>
      </c>
      <c r="H377" s="16" t="str">
        <f aca="false">IF($I377="","",INDEX(CONSOLIDADO!$H$2:$H$801,$I377))</f>
        <v/>
      </c>
      <c r="I377" s="11" t="str">
        <f aca="false">IFERROR(MATCH(ROW()-1,CONSOLIDADO!$AJ$2:$AJ$801,0),"")</f>
        <v/>
      </c>
      <c r="J377" s="11" t="str">
        <f aca="false">IF(B377="","",F377&amp;" "&amp;C377&amp;" ("&amp;B377&amp;")")</f>
        <v/>
      </c>
    </row>
    <row r="378" customFormat="false" ht="15" hidden="false" customHeight="false" outlineLevel="0" collapsed="false">
      <c r="A378" s="16"/>
      <c r="B378" s="11" t="str">
        <f aca="false">IF($I378="","",INDEX(CONSOLIDADO!$A$2:$A$801,$I378))</f>
        <v/>
      </c>
      <c r="C378" s="11" t="str">
        <f aca="false">IF($I378="","",INDEX(CONSOLIDADO!$B$2:$B$801,$I378))</f>
        <v/>
      </c>
      <c r="D378" s="16" t="str">
        <f aca="false">IF($I378="","",INDEX(CONSOLIDADO!$C$2:$C$801,$I378))</f>
        <v/>
      </c>
      <c r="E378" s="16" t="str">
        <f aca="false">IF($I378="","",INDEX(CONSOLIDADO!$D$2:$D$801,$I378))</f>
        <v/>
      </c>
      <c r="F378" s="14" t="str">
        <f aca="false">IF($I378="","",INDEX(CONSOLIDADO!$E$2:$E$801,$I378))</f>
        <v/>
      </c>
      <c r="G378" s="16" t="str">
        <f aca="false">IF($I378="","",INDEX(CONSOLIDADO!$G$2:$G$801,$I378))</f>
        <v/>
      </c>
      <c r="H378" s="16" t="str">
        <f aca="false">IF($I378="","",INDEX(CONSOLIDADO!$H$2:$H$801,$I378))</f>
        <v/>
      </c>
      <c r="I378" s="11" t="str">
        <f aca="false">IFERROR(MATCH(ROW()-1,CONSOLIDADO!$AJ$2:$AJ$801,0),"")</f>
        <v/>
      </c>
      <c r="J378" s="11" t="str">
        <f aca="false">IF(B378="","",F378&amp;" "&amp;C378&amp;" ("&amp;B378&amp;")")</f>
        <v/>
      </c>
    </row>
    <row r="379" customFormat="false" ht="15" hidden="false" customHeight="false" outlineLevel="0" collapsed="false">
      <c r="A379" s="16"/>
      <c r="B379" s="11" t="str">
        <f aca="false">IF($I379="","",INDEX(CONSOLIDADO!$A$2:$A$801,$I379))</f>
        <v/>
      </c>
      <c r="C379" s="11" t="str">
        <f aca="false">IF($I379="","",INDEX(CONSOLIDADO!$B$2:$B$801,$I379))</f>
        <v/>
      </c>
      <c r="D379" s="16" t="str">
        <f aca="false">IF($I379="","",INDEX(CONSOLIDADO!$C$2:$C$801,$I379))</f>
        <v/>
      </c>
      <c r="E379" s="16" t="str">
        <f aca="false">IF($I379="","",INDEX(CONSOLIDADO!$D$2:$D$801,$I379))</f>
        <v/>
      </c>
      <c r="F379" s="14" t="str">
        <f aca="false">IF($I379="","",INDEX(CONSOLIDADO!$E$2:$E$801,$I379))</f>
        <v/>
      </c>
      <c r="G379" s="16" t="str">
        <f aca="false">IF($I379="","",INDEX(CONSOLIDADO!$G$2:$G$801,$I379))</f>
        <v/>
      </c>
      <c r="H379" s="16" t="str">
        <f aca="false">IF($I379="","",INDEX(CONSOLIDADO!$H$2:$H$801,$I379))</f>
        <v/>
      </c>
      <c r="I379" s="11" t="str">
        <f aca="false">IFERROR(MATCH(ROW()-1,CONSOLIDADO!$AJ$2:$AJ$801,0),"")</f>
        <v/>
      </c>
      <c r="J379" s="11" t="str">
        <f aca="false">IF(B379="","",F379&amp;" "&amp;C379&amp;" ("&amp;B379&amp;")")</f>
        <v/>
      </c>
    </row>
    <row r="380" customFormat="false" ht="15" hidden="false" customHeight="false" outlineLevel="0" collapsed="false">
      <c r="A380" s="16"/>
      <c r="B380" s="11" t="str">
        <f aca="false">IF($I380="","",INDEX(CONSOLIDADO!$A$2:$A$801,$I380))</f>
        <v/>
      </c>
      <c r="C380" s="11" t="str">
        <f aca="false">IF($I380="","",INDEX(CONSOLIDADO!$B$2:$B$801,$I380))</f>
        <v/>
      </c>
      <c r="D380" s="16" t="str">
        <f aca="false">IF($I380="","",INDEX(CONSOLIDADO!$C$2:$C$801,$I380))</f>
        <v/>
      </c>
      <c r="E380" s="16" t="str">
        <f aca="false">IF($I380="","",INDEX(CONSOLIDADO!$D$2:$D$801,$I380))</f>
        <v/>
      </c>
      <c r="F380" s="14" t="str">
        <f aca="false">IF($I380="","",INDEX(CONSOLIDADO!$E$2:$E$801,$I380))</f>
        <v/>
      </c>
      <c r="G380" s="16" t="str">
        <f aca="false">IF($I380="","",INDEX(CONSOLIDADO!$G$2:$G$801,$I380))</f>
        <v/>
      </c>
      <c r="H380" s="16" t="str">
        <f aca="false">IF($I380="","",INDEX(CONSOLIDADO!$H$2:$H$801,$I380))</f>
        <v/>
      </c>
      <c r="I380" s="11" t="str">
        <f aca="false">IFERROR(MATCH(ROW()-1,CONSOLIDADO!$AJ$2:$AJ$801,0),"")</f>
        <v/>
      </c>
      <c r="J380" s="11" t="str">
        <f aca="false">IF(B380="","",F380&amp;" "&amp;C380&amp;" ("&amp;B380&amp;")")</f>
        <v/>
      </c>
    </row>
    <row r="381" customFormat="false" ht="15" hidden="false" customHeight="false" outlineLevel="0" collapsed="false">
      <c r="A381" s="16"/>
      <c r="B381" s="11" t="str">
        <f aca="false">IF($I381="","",INDEX(CONSOLIDADO!$A$2:$A$801,$I381))</f>
        <v/>
      </c>
      <c r="C381" s="11" t="str">
        <f aca="false">IF($I381="","",INDEX(CONSOLIDADO!$B$2:$B$801,$I381))</f>
        <v/>
      </c>
      <c r="D381" s="16" t="str">
        <f aca="false">IF($I381="","",INDEX(CONSOLIDADO!$C$2:$C$801,$I381))</f>
        <v/>
      </c>
      <c r="E381" s="16" t="str">
        <f aca="false">IF($I381="","",INDEX(CONSOLIDADO!$D$2:$D$801,$I381))</f>
        <v/>
      </c>
      <c r="F381" s="14" t="str">
        <f aca="false">IF($I381="","",INDEX(CONSOLIDADO!$E$2:$E$801,$I381))</f>
        <v/>
      </c>
      <c r="G381" s="16" t="str">
        <f aca="false">IF($I381="","",INDEX(CONSOLIDADO!$G$2:$G$801,$I381))</f>
        <v/>
      </c>
      <c r="H381" s="16" t="str">
        <f aca="false">IF($I381="","",INDEX(CONSOLIDADO!$H$2:$H$801,$I381))</f>
        <v/>
      </c>
      <c r="I381" s="11" t="str">
        <f aca="false">IFERROR(MATCH(ROW()-1,CONSOLIDADO!$AJ$2:$AJ$801,0),"")</f>
        <v/>
      </c>
      <c r="J381" s="11" t="str">
        <f aca="false">IF(B381="","",F381&amp;" "&amp;C381&amp;" ("&amp;B381&amp;")")</f>
        <v/>
      </c>
    </row>
    <row r="382" customFormat="false" ht="15" hidden="false" customHeight="false" outlineLevel="0" collapsed="false">
      <c r="A382" s="16"/>
      <c r="B382" s="11" t="str">
        <f aca="false">IF($I382="","",INDEX(CONSOLIDADO!$A$2:$A$801,$I382))</f>
        <v/>
      </c>
      <c r="C382" s="11" t="str">
        <f aca="false">IF($I382="","",INDEX(CONSOLIDADO!$B$2:$B$801,$I382))</f>
        <v/>
      </c>
      <c r="D382" s="16" t="str">
        <f aca="false">IF($I382="","",INDEX(CONSOLIDADO!$C$2:$C$801,$I382))</f>
        <v/>
      </c>
      <c r="E382" s="16" t="str">
        <f aca="false">IF($I382="","",INDEX(CONSOLIDADO!$D$2:$D$801,$I382))</f>
        <v/>
      </c>
      <c r="F382" s="14" t="str">
        <f aca="false">IF($I382="","",INDEX(CONSOLIDADO!$E$2:$E$801,$I382))</f>
        <v/>
      </c>
      <c r="G382" s="16" t="str">
        <f aca="false">IF($I382="","",INDEX(CONSOLIDADO!$G$2:$G$801,$I382))</f>
        <v/>
      </c>
      <c r="H382" s="16" t="str">
        <f aca="false">IF($I382="","",INDEX(CONSOLIDADO!$H$2:$H$801,$I382))</f>
        <v/>
      </c>
      <c r="I382" s="11" t="str">
        <f aca="false">IFERROR(MATCH(ROW()-1,CONSOLIDADO!$AJ$2:$AJ$801,0),"")</f>
        <v/>
      </c>
      <c r="J382" s="11" t="str">
        <f aca="false">IF(B382="","",F382&amp;" "&amp;C382&amp;" ("&amp;B382&amp;")")</f>
        <v/>
      </c>
    </row>
    <row r="383" customFormat="false" ht="15" hidden="false" customHeight="false" outlineLevel="0" collapsed="false">
      <c r="A383" s="16"/>
      <c r="B383" s="11" t="str">
        <f aca="false">IF($I383="","",INDEX(CONSOLIDADO!$A$2:$A$801,$I383))</f>
        <v/>
      </c>
      <c r="C383" s="11" t="str">
        <f aca="false">IF($I383="","",INDEX(CONSOLIDADO!$B$2:$B$801,$I383))</f>
        <v/>
      </c>
      <c r="D383" s="16" t="str">
        <f aca="false">IF($I383="","",INDEX(CONSOLIDADO!$C$2:$C$801,$I383))</f>
        <v/>
      </c>
      <c r="E383" s="16" t="str">
        <f aca="false">IF($I383="","",INDEX(CONSOLIDADO!$D$2:$D$801,$I383))</f>
        <v/>
      </c>
      <c r="F383" s="14" t="str">
        <f aca="false">IF($I383="","",INDEX(CONSOLIDADO!$E$2:$E$801,$I383))</f>
        <v/>
      </c>
      <c r="G383" s="16" t="str">
        <f aca="false">IF($I383="","",INDEX(CONSOLIDADO!$G$2:$G$801,$I383))</f>
        <v/>
      </c>
      <c r="H383" s="16" t="str">
        <f aca="false">IF($I383="","",INDEX(CONSOLIDADO!$H$2:$H$801,$I383))</f>
        <v/>
      </c>
      <c r="I383" s="11" t="str">
        <f aca="false">IFERROR(MATCH(ROW()-1,CONSOLIDADO!$AJ$2:$AJ$801,0),"")</f>
        <v/>
      </c>
      <c r="J383" s="11" t="str">
        <f aca="false">IF(B383="","",F383&amp;" "&amp;C383&amp;" ("&amp;B383&amp;")")</f>
        <v/>
      </c>
    </row>
    <row r="384" customFormat="false" ht="15" hidden="false" customHeight="false" outlineLevel="0" collapsed="false">
      <c r="A384" s="16"/>
      <c r="B384" s="11" t="str">
        <f aca="false">IF($I384="","",INDEX(CONSOLIDADO!$A$2:$A$801,$I384))</f>
        <v/>
      </c>
      <c r="C384" s="11" t="str">
        <f aca="false">IF($I384="","",INDEX(CONSOLIDADO!$B$2:$B$801,$I384))</f>
        <v/>
      </c>
      <c r="D384" s="16" t="str">
        <f aca="false">IF($I384="","",INDEX(CONSOLIDADO!$C$2:$C$801,$I384))</f>
        <v/>
      </c>
      <c r="E384" s="16" t="str">
        <f aca="false">IF($I384="","",INDEX(CONSOLIDADO!$D$2:$D$801,$I384))</f>
        <v/>
      </c>
      <c r="F384" s="14" t="str">
        <f aca="false">IF($I384="","",INDEX(CONSOLIDADO!$E$2:$E$801,$I384))</f>
        <v/>
      </c>
      <c r="G384" s="16" t="str">
        <f aca="false">IF($I384="","",INDEX(CONSOLIDADO!$G$2:$G$801,$I384))</f>
        <v/>
      </c>
      <c r="H384" s="16" t="str">
        <f aca="false">IF($I384="","",INDEX(CONSOLIDADO!$H$2:$H$801,$I384))</f>
        <v/>
      </c>
      <c r="I384" s="11" t="str">
        <f aca="false">IFERROR(MATCH(ROW()-1,CONSOLIDADO!$AJ$2:$AJ$801,0),"")</f>
        <v/>
      </c>
      <c r="J384" s="11" t="str">
        <f aca="false">IF(B384="","",F384&amp;" "&amp;C384&amp;" ("&amp;B384&amp;")")</f>
        <v/>
      </c>
    </row>
    <row r="385" customFormat="false" ht="15" hidden="false" customHeight="false" outlineLevel="0" collapsed="false">
      <c r="A385" s="16"/>
      <c r="B385" s="11" t="str">
        <f aca="false">IF($I385="","",INDEX(CONSOLIDADO!$A$2:$A$801,$I385))</f>
        <v/>
      </c>
      <c r="C385" s="11" t="str">
        <f aca="false">IF($I385="","",INDEX(CONSOLIDADO!$B$2:$B$801,$I385))</f>
        <v/>
      </c>
      <c r="D385" s="16" t="str">
        <f aca="false">IF($I385="","",INDEX(CONSOLIDADO!$C$2:$C$801,$I385))</f>
        <v/>
      </c>
      <c r="E385" s="16" t="str">
        <f aca="false">IF($I385="","",INDEX(CONSOLIDADO!$D$2:$D$801,$I385))</f>
        <v/>
      </c>
      <c r="F385" s="14" t="str">
        <f aca="false">IF($I385="","",INDEX(CONSOLIDADO!$E$2:$E$801,$I385))</f>
        <v/>
      </c>
      <c r="G385" s="16" t="str">
        <f aca="false">IF($I385="","",INDEX(CONSOLIDADO!$G$2:$G$801,$I385))</f>
        <v/>
      </c>
      <c r="H385" s="16" t="str">
        <f aca="false">IF($I385="","",INDEX(CONSOLIDADO!$H$2:$H$801,$I385))</f>
        <v/>
      </c>
      <c r="I385" s="11" t="str">
        <f aca="false">IFERROR(MATCH(ROW()-1,CONSOLIDADO!$AJ$2:$AJ$801,0),"")</f>
        <v/>
      </c>
      <c r="J385" s="11" t="str">
        <f aca="false">IF(B385="","",F385&amp;" "&amp;C385&amp;" ("&amp;B385&amp;")")</f>
        <v/>
      </c>
    </row>
    <row r="386" customFormat="false" ht="15" hidden="false" customHeight="false" outlineLevel="0" collapsed="false">
      <c r="A386" s="16"/>
      <c r="B386" s="11" t="str">
        <f aca="false">IF($I386="","",INDEX(CONSOLIDADO!$A$2:$A$801,$I386))</f>
        <v/>
      </c>
      <c r="C386" s="11" t="str">
        <f aca="false">IF($I386="","",INDEX(CONSOLIDADO!$B$2:$B$801,$I386))</f>
        <v/>
      </c>
      <c r="D386" s="16" t="str">
        <f aca="false">IF($I386="","",INDEX(CONSOLIDADO!$C$2:$C$801,$I386))</f>
        <v/>
      </c>
      <c r="E386" s="16" t="str">
        <f aca="false">IF($I386="","",INDEX(CONSOLIDADO!$D$2:$D$801,$I386))</f>
        <v/>
      </c>
      <c r="F386" s="14" t="str">
        <f aca="false">IF($I386="","",INDEX(CONSOLIDADO!$E$2:$E$801,$I386))</f>
        <v/>
      </c>
      <c r="G386" s="16" t="str">
        <f aca="false">IF($I386="","",INDEX(CONSOLIDADO!$G$2:$G$801,$I386))</f>
        <v/>
      </c>
      <c r="H386" s="16" t="str">
        <f aca="false">IF($I386="","",INDEX(CONSOLIDADO!$H$2:$H$801,$I386))</f>
        <v/>
      </c>
      <c r="I386" s="11" t="str">
        <f aca="false">IFERROR(MATCH(ROW()-1,CONSOLIDADO!$AJ$2:$AJ$801,0),"")</f>
        <v/>
      </c>
      <c r="J386" s="11" t="str">
        <f aca="false">IF(B386="","",F386&amp;" "&amp;C386&amp;" ("&amp;B386&amp;")")</f>
        <v/>
      </c>
    </row>
    <row r="387" customFormat="false" ht="15" hidden="false" customHeight="false" outlineLevel="0" collapsed="false">
      <c r="A387" s="16"/>
      <c r="B387" s="11" t="str">
        <f aca="false">IF($I387="","",INDEX(CONSOLIDADO!$A$2:$A$801,$I387))</f>
        <v/>
      </c>
      <c r="C387" s="11" t="str">
        <f aca="false">IF($I387="","",INDEX(CONSOLIDADO!$B$2:$B$801,$I387))</f>
        <v/>
      </c>
      <c r="D387" s="16" t="str">
        <f aca="false">IF($I387="","",INDEX(CONSOLIDADO!$C$2:$C$801,$I387))</f>
        <v/>
      </c>
      <c r="E387" s="16" t="str">
        <f aca="false">IF($I387="","",INDEX(CONSOLIDADO!$D$2:$D$801,$I387))</f>
        <v/>
      </c>
      <c r="F387" s="14" t="str">
        <f aca="false">IF($I387="","",INDEX(CONSOLIDADO!$E$2:$E$801,$I387))</f>
        <v/>
      </c>
      <c r="G387" s="16" t="str">
        <f aca="false">IF($I387="","",INDEX(CONSOLIDADO!$G$2:$G$801,$I387))</f>
        <v/>
      </c>
      <c r="H387" s="16" t="str">
        <f aca="false">IF($I387="","",INDEX(CONSOLIDADO!$H$2:$H$801,$I387))</f>
        <v/>
      </c>
      <c r="I387" s="11" t="str">
        <f aca="false">IFERROR(MATCH(ROW()-1,CONSOLIDADO!$AJ$2:$AJ$801,0),"")</f>
        <v/>
      </c>
      <c r="J387" s="11" t="str">
        <f aca="false">IF(B387="","",F387&amp;" "&amp;C387&amp;" ("&amp;B387&amp;")")</f>
        <v/>
      </c>
    </row>
    <row r="388" customFormat="false" ht="15" hidden="false" customHeight="false" outlineLevel="0" collapsed="false">
      <c r="A388" s="16"/>
      <c r="B388" s="11" t="str">
        <f aca="false">IF($I388="","",INDEX(CONSOLIDADO!$A$2:$A$801,$I388))</f>
        <v/>
      </c>
      <c r="C388" s="11" t="str">
        <f aca="false">IF($I388="","",INDEX(CONSOLIDADO!$B$2:$B$801,$I388))</f>
        <v/>
      </c>
      <c r="D388" s="16" t="str">
        <f aca="false">IF($I388="","",INDEX(CONSOLIDADO!$C$2:$C$801,$I388))</f>
        <v/>
      </c>
      <c r="E388" s="16" t="str">
        <f aca="false">IF($I388="","",INDEX(CONSOLIDADO!$D$2:$D$801,$I388))</f>
        <v/>
      </c>
      <c r="F388" s="14" t="str">
        <f aca="false">IF($I388="","",INDEX(CONSOLIDADO!$E$2:$E$801,$I388))</f>
        <v/>
      </c>
      <c r="G388" s="16" t="str">
        <f aca="false">IF($I388="","",INDEX(CONSOLIDADO!$G$2:$G$801,$I388))</f>
        <v/>
      </c>
      <c r="H388" s="16" t="str">
        <f aca="false">IF($I388="","",INDEX(CONSOLIDADO!$H$2:$H$801,$I388))</f>
        <v/>
      </c>
      <c r="I388" s="11" t="str">
        <f aca="false">IFERROR(MATCH(ROW()-1,CONSOLIDADO!$AJ$2:$AJ$801,0),"")</f>
        <v/>
      </c>
      <c r="J388" s="11" t="str">
        <f aca="false">IF(B388="","",F388&amp;" "&amp;C388&amp;" ("&amp;B388&amp;")")</f>
        <v/>
      </c>
    </row>
    <row r="389" customFormat="false" ht="15" hidden="false" customHeight="false" outlineLevel="0" collapsed="false">
      <c r="A389" s="16"/>
      <c r="B389" s="11" t="str">
        <f aca="false">IF($I389="","",INDEX(CONSOLIDADO!$A$2:$A$801,$I389))</f>
        <v/>
      </c>
      <c r="C389" s="11" t="str">
        <f aca="false">IF($I389="","",INDEX(CONSOLIDADO!$B$2:$B$801,$I389))</f>
        <v/>
      </c>
      <c r="D389" s="16" t="str">
        <f aca="false">IF($I389="","",INDEX(CONSOLIDADO!$C$2:$C$801,$I389))</f>
        <v/>
      </c>
      <c r="E389" s="16" t="str">
        <f aca="false">IF($I389="","",INDEX(CONSOLIDADO!$D$2:$D$801,$I389))</f>
        <v/>
      </c>
      <c r="F389" s="14" t="str">
        <f aca="false">IF($I389="","",INDEX(CONSOLIDADO!$E$2:$E$801,$I389))</f>
        <v/>
      </c>
      <c r="G389" s="16" t="str">
        <f aca="false">IF($I389="","",INDEX(CONSOLIDADO!$G$2:$G$801,$I389))</f>
        <v/>
      </c>
      <c r="H389" s="16" t="str">
        <f aca="false">IF($I389="","",INDEX(CONSOLIDADO!$H$2:$H$801,$I389))</f>
        <v/>
      </c>
      <c r="I389" s="11" t="str">
        <f aca="false">IFERROR(MATCH(ROW()-1,CONSOLIDADO!$AJ$2:$AJ$801,0),"")</f>
        <v/>
      </c>
      <c r="J389" s="11" t="str">
        <f aca="false">IF(B389="","",F389&amp;" "&amp;C389&amp;" ("&amp;B389&amp;")")</f>
        <v/>
      </c>
    </row>
    <row r="390" customFormat="false" ht="15" hidden="false" customHeight="false" outlineLevel="0" collapsed="false">
      <c r="A390" s="16"/>
      <c r="B390" s="11" t="str">
        <f aca="false">IF($I390="","",INDEX(CONSOLIDADO!$A$2:$A$801,$I390))</f>
        <v/>
      </c>
      <c r="C390" s="11" t="str">
        <f aca="false">IF($I390="","",INDEX(CONSOLIDADO!$B$2:$B$801,$I390))</f>
        <v/>
      </c>
      <c r="D390" s="16" t="str">
        <f aca="false">IF($I390="","",INDEX(CONSOLIDADO!$C$2:$C$801,$I390))</f>
        <v/>
      </c>
      <c r="E390" s="16" t="str">
        <f aca="false">IF($I390="","",INDEX(CONSOLIDADO!$D$2:$D$801,$I390))</f>
        <v/>
      </c>
      <c r="F390" s="14" t="str">
        <f aca="false">IF($I390="","",INDEX(CONSOLIDADO!$E$2:$E$801,$I390))</f>
        <v/>
      </c>
      <c r="G390" s="16" t="str">
        <f aca="false">IF($I390="","",INDEX(CONSOLIDADO!$G$2:$G$801,$I390))</f>
        <v/>
      </c>
      <c r="H390" s="16" t="str">
        <f aca="false">IF($I390="","",INDEX(CONSOLIDADO!$H$2:$H$801,$I390))</f>
        <v/>
      </c>
      <c r="I390" s="11" t="str">
        <f aca="false">IFERROR(MATCH(ROW()-1,CONSOLIDADO!$AJ$2:$AJ$801,0),"")</f>
        <v/>
      </c>
      <c r="J390" s="11" t="str">
        <f aca="false">IF(B390="","",F390&amp;" "&amp;C390&amp;" ("&amp;B390&amp;")")</f>
        <v/>
      </c>
    </row>
    <row r="391" customFormat="false" ht="15" hidden="false" customHeight="false" outlineLevel="0" collapsed="false">
      <c r="A391" s="16"/>
      <c r="B391" s="11" t="str">
        <f aca="false">IF($I391="","",INDEX(CONSOLIDADO!$A$2:$A$801,$I391))</f>
        <v/>
      </c>
      <c r="C391" s="11" t="str">
        <f aca="false">IF($I391="","",INDEX(CONSOLIDADO!$B$2:$B$801,$I391))</f>
        <v/>
      </c>
      <c r="D391" s="16" t="str">
        <f aca="false">IF($I391="","",INDEX(CONSOLIDADO!$C$2:$C$801,$I391))</f>
        <v/>
      </c>
      <c r="E391" s="16" t="str">
        <f aca="false">IF($I391="","",INDEX(CONSOLIDADO!$D$2:$D$801,$I391))</f>
        <v/>
      </c>
      <c r="F391" s="14" t="str">
        <f aca="false">IF($I391="","",INDEX(CONSOLIDADO!$E$2:$E$801,$I391))</f>
        <v/>
      </c>
      <c r="G391" s="16" t="str">
        <f aca="false">IF($I391="","",INDEX(CONSOLIDADO!$G$2:$G$801,$I391))</f>
        <v/>
      </c>
      <c r="H391" s="16" t="str">
        <f aca="false">IF($I391="","",INDEX(CONSOLIDADO!$H$2:$H$801,$I391))</f>
        <v/>
      </c>
      <c r="I391" s="11" t="str">
        <f aca="false">IFERROR(MATCH(ROW()-1,CONSOLIDADO!$AJ$2:$AJ$801,0),"")</f>
        <v/>
      </c>
      <c r="J391" s="11" t="str">
        <f aca="false">IF(B391="","",F391&amp;" "&amp;C391&amp;" ("&amp;B391&amp;")")</f>
        <v/>
      </c>
    </row>
    <row r="392" customFormat="false" ht="15" hidden="false" customHeight="false" outlineLevel="0" collapsed="false">
      <c r="A392" s="16"/>
      <c r="B392" s="11" t="str">
        <f aca="false">IF($I392="","",INDEX(CONSOLIDADO!$A$2:$A$801,$I392))</f>
        <v/>
      </c>
      <c r="C392" s="11" t="str">
        <f aca="false">IF($I392="","",INDEX(CONSOLIDADO!$B$2:$B$801,$I392))</f>
        <v/>
      </c>
      <c r="D392" s="16" t="str">
        <f aca="false">IF($I392="","",INDEX(CONSOLIDADO!$C$2:$C$801,$I392))</f>
        <v/>
      </c>
      <c r="E392" s="16" t="str">
        <f aca="false">IF($I392="","",INDEX(CONSOLIDADO!$D$2:$D$801,$I392))</f>
        <v/>
      </c>
      <c r="F392" s="14" t="str">
        <f aca="false">IF($I392="","",INDEX(CONSOLIDADO!$E$2:$E$801,$I392))</f>
        <v/>
      </c>
      <c r="G392" s="16" t="str">
        <f aca="false">IF($I392="","",INDEX(CONSOLIDADO!$G$2:$G$801,$I392))</f>
        <v/>
      </c>
      <c r="H392" s="16" t="str">
        <f aca="false">IF($I392="","",INDEX(CONSOLIDADO!$H$2:$H$801,$I392))</f>
        <v/>
      </c>
      <c r="I392" s="11" t="str">
        <f aca="false">IFERROR(MATCH(ROW()-1,CONSOLIDADO!$AJ$2:$AJ$801,0),"")</f>
        <v/>
      </c>
      <c r="J392" s="11" t="str">
        <f aca="false">IF(B392="","",F392&amp;" "&amp;C392&amp;" ("&amp;B392&amp;")")</f>
        <v/>
      </c>
    </row>
    <row r="393" customFormat="false" ht="15" hidden="false" customHeight="false" outlineLevel="0" collapsed="false">
      <c r="A393" s="16"/>
      <c r="B393" s="11" t="str">
        <f aca="false">IF($I393="","",INDEX(CONSOLIDADO!$A$2:$A$801,$I393))</f>
        <v/>
      </c>
      <c r="C393" s="11" t="str">
        <f aca="false">IF($I393="","",INDEX(CONSOLIDADO!$B$2:$B$801,$I393))</f>
        <v/>
      </c>
      <c r="D393" s="16" t="str">
        <f aca="false">IF($I393="","",INDEX(CONSOLIDADO!$C$2:$C$801,$I393))</f>
        <v/>
      </c>
      <c r="E393" s="16" t="str">
        <f aca="false">IF($I393="","",INDEX(CONSOLIDADO!$D$2:$D$801,$I393))</f>
        <v/>
      </c>
      <c r="F393" s="14" t="str">
        <f aca="false">IF($I393="","",INDEX(CONSOLIDADO!$E$2:$E$801,$I393))</f>
        <v/>
      </c>
      <c r="G393" s="16" t="str">
        <f aca="false">IF($I393="","",INDEX(CONSOLIDADO!$G$2:$G$801,$I393))</f>
        <v/>
      </c>
      <c r="H393" s="16" t="str">
        <f aca="false">IF($I393="","",INDEX(CONSOLIDADO!$H$2:$H$801,$I393))</f>
        <v/>
      </c>
      <c r="I393" s="11" t="str">
        <f aca="false">IFERROR(MATCH(ROW()-1,CONSOLIDADO!$AJ$2:$AJ$801,0),"")</f>
        <v/>
      </c>
      <c r="J393" s="11" t="str">
        <f aca="false">IF(B393="","",F393&amp;" "&amp;C393&amp;" ("&amp;B393&amp;")")</f>
        <v/>
      </c>
    </row>
    <row r="394" customFormat="false" ht="15" hidden="false" customHeight="false" outlineLevel="0" collapsed="false">
      <c r="A394" s="16"/>
      <c r="B394" s="11" t="str">
        <f aca="false">IF($I394="","",INDEX(CONSOLIDADO!$A$2:$A$801,$I394))</f>
        <v/>
      </c>
      <c r="C394" s="11" t="str">
        <f aca="false">IF($I394="","",INDEX(CONSOLIDADO!$B$2:$B$801,$I394))</f>
        <v/>
      </c>
      <c r="D394" s="16" t="str">
        <f aca="false">IF($I394="","",INDEX(CONSOLIDADO!$C$2:$C$801,$I394))</f>
        <v/>
      </c>
      <c r="E394" s="16" t="str">
        <f aca="false">IF($I394="","",INDEX(CONSOLIDADO!$D$2:$D$801,$I394))</f>
        <v/>
      </c>
      <c r="F394" s="14" t="str">
        <f aca="false">IF($I394="","",INDEX(CONSOLIDADO!$E$2:$E$801,$I394))</f>
        <v/>
      </c>
      <c r="G394" s="16" t="str">
        <f aca="false">IF($I394="","",INDEX(CONSOLIDADO!$G$2:$G$801,$I394))</f>
        <v/>
      </c>
      <c r="H394" s="16" t="str">
        <f aca="false">IF($I394="","",INDEX(CONSOLIDADO!$H$2:$H$801,$I394))</f>
        <v/>
      </c>
      <c r="I394" s="11" t="str">
        <f aca="false">IFERROR(MATCH(ROW()-1,CONSOLIDADO!$AJ$2:$AJ$801,0),"")</f>
        <v/>
      </c>
      <c r="J394" s="11" t="str">
        <f aca="false">IF(B394="","",F394&amp;" "&amp;C394&amp;" ("&amp;B394&amp;")")</f>
        <v/>
      </c>
    </row>
    <row r="395" customFormat="false" ht="15" hidden="false" customHeight="false" outlineLevel="0" collapsed="false">
      <c r="A395" s="16"/>
      <c r="B395" s="11" t="str">
        <f aca="false">IF($I395="","",INDEX(CONSOLIDADO!$A$2:$A$801,$I395))</f>
        <v/>
      </c>
      <c r="C395" s="11" t="str">
        <f aca="false">IF($I395="","",INDEX(CONSOLIDADO!$B$2:$B$801,$I395))</f>
        <v/>
      </c>
      <c r="D395" s="16" t="str">
        <f aca="false">IF($I395="","",INDEX(CONSOLIDADO!$C$2:$C$801,$I395))</f>
        <v/>
      </c>
      <c r="E395" s="16" t="str">
        <f aca="false">IF($I395="","",INDEX(CONSOLIDADO!$D$2:$D$801,$I395))</f>
        <v/>
      </c>
      <c r="F395" s="14" t="str">
        <f aca="false">IF($I395="","",INDEX(CONSOLIDADO!$E$2:$E$801,$I395))</f>
        <v/>
      </c>
      <c r="G395" s="16" t="str">
        <f aca="false">IF($I395="","",INDEX(CONSOLIDADO!$G$2:$G$801,$I395))</f>
        <v/>
      </c>
      <c r="H395" s="16" t="str">
        <f aca="false">IF($I395="","",INDEX(CONSOLIDADO!$H$2:$H$801,$I395))</f>
        <v/>
      </c>
      <c r="I395" s="11" t="str">
        <f aca="false">IFERROR(MATCH(ROW()-1,CONSOLIDADO!$AJ$2:$AJ$801,0),"")</f>
        <v/>
      </c>
      <c r="J395" s="11" t="str">
        <f aca="false">IF(B395="","",F395&amp;" "&amp;C395&amp;" ("&amp;B395&amp;")")</f>
        <v/>
      </c>
    </row>
    <row r="396" customFormat="false" ht="15" hidden="false" customHeight="false" outlineLevel="0" collapsed="false">
      <c r="A396" s="16"/>
      <c r="B396" s="11" t="str">
        <f aca="false">IF($I396="","",INDEX(CONSOLIDADO!$A$2:$A$801,$I396))</f>
        <v/>
      </c>
      <c r="C396" s="11" t="str">
        <f aca="false">IF($I396="","",INDEX(CONSOLIDADO!$B$2:$B$801,$I396))</f>
        <v/>
      </c>
      <c r="D396" s="16" t="str">
        <f aca="false">IF($I396="","",INDEX(CONSOLIDADO!$C$2:$C$801,$I396))</f>
        <v/>
      </c>
      <c r="E396" s="16" t="str">
        <f aca="false">IF($I396="","",INDEX(CONSOLIDADO!$D$2:$D$801,$I396))</f>
        <v/>
      </c>
      <c r="F396" s="14" t="str">
        <f aca="false">IF($I396="","",INDEX(CONSOLIDADO!$E$2:$E$801,$I396))</f>
        <v/>
      </c>
      <c r="G396" s="16" t="str">
        <f aca="false">IF($I396="","",INDEX(CONSOLIDADO!$G$2:$G$801,$I396))</f>
        <v/>
      </c>
      <c r="H396" s="16" t="str">
        <f aca="false">IF($I396="","",INDEX(CONSOLIDADO!$H$2:$H$801,$I396))</f>
        <v/>
      </c>
      <c r="I396" s="11" t="str">
        <f aca="false">IFERROR(MATCH(ROW()-1,CONSOLIDADO!$AJ$2:$AJ$801,0),"")</f>
        <v/>
      </c>
      <c r="J396" s="11" t="str">
        <f aca="false">IF(B396="","",F396&amp;" "&amp;C396&amp;" ("&amp;B396&amp;")")</f>
        <v/>
      </c>
    </row>
    <row r="397" customFormat="false" ht="15" hidden="false" customHeight="false" outlineLevel="0" collapsed="false">
      <c r="A397" s="16"/>
      <c r="B397" s="11" t="str">
        <f aca="false">IF($I397="","",INDEX(CONSOLIDADO!$A$2:$A$801,$I397))</f>
        <v/>
      </c>
      <c r="C397" s="11" t="str">
        <f aca="false">IF($I397="","",INDEX(CONSOLIDADO!$B$2:$B$801,$I397))</f>
        <v/>
      </c>
      <c r="D397" s="16" t="str">
        <f aca="false">IF($I397="","",INDEX(CONSOLIDADO!$C$2:$C$801,$I397))</f>
        <v/>
      </c>
      <c r="E397" s="16" t="str">
        <f aca="false">IF($I397="","",INDEX(CONSOLIDADO!$D$2:$D$801,$I397))</f>
        <v/>
      </c>
      <c r="F397" s="14" t="str">
        <f aca="false">IF($I397="","",INDEX(CONSOLIDADO!$E$2:$E$801,$I397))</f>
        <v/>
      </c>
      <c r="G397" s="16" t="str">
        <f aca="false">IF($I397="","",INDEX(CONSOLIDADO!$G$2:$G$801,$I397))</f>
        <v/>
      </c>
      <c r="H397" s="16" t="str">
        <f aca="false">IF($I397="","",INDEX(CONSOLIDADO!$H$2:$H$801,$I397))</f>
        <v/>
      </c>
      <c r="I397" s="11" t="str">
        <f aca="false">IFERROR(MATCH(ROW()-1,CONSOLIDADO!$AJ$2:$AJ$801,0),"")</f>
        <v/>
      </c>
      <c r="J397" s="11" t="str">
        <f aca="false">IF(B397="","",F397&amp;" "&amp;C397&amp;" ("&amp;B397&amp;")")</f>
        <v/>
      </c>
    </row>
    <row r="398" customFormat="false" ht="15" hidden="false" customHeight="false" outlineLevel="0" collapsed="false">
      <c r="A398" s="16"/>
      <c r="B398" s="11" t="str">
        <f aca="false">IF($I398="","",INDEX(CONSOLIDADO!$A$2:$A$801,$I398))</f>
        <v/>
      </c>
      <c r="C398" s="11" t="str">
        <f aca="false">IF($I398="","",INDEX(CONSOLIDADO!$B$2:$B$801,$I398))</f>
        <v/>
      </c>
      <c r="D398" s="16" t="str">
        <f aca="false">IF($I398="","",INDEX(CONSOLIDADO!$C$2:$C$801,$I398))</f>
        <v/>
      </c>
      <c r="E398" s="16" t="str">
        <f aca="false">IF($I398="","",INDEX(CONSOLIDADO!$D$2:$D$801,$I398))</f>
        <v/>
      </c>
      <c r="F398" s="14" t="str">
        <f aca="false">IF($I398="","",INDEX(CONSOLIDADO!$E$2:$E$801,$I398))</f>
        <v/>
      </c>
      <c r="G398" s="16" t="str">
        <f aca="false">IF($I398="","",INDEX(CONSOLIDADO!$G$2:$G$801,$I398))</f>
        <v/>
      </c>
      <c r="H398" s="16" t="str">
        <f aca="false">IF($I398="","",INDEX(CONSOLIDADO!$H$2:$H$801,$I398))</f>
        <v/>
      </c>
      <c r="I398" s="11" t="str">
        <f aca="false">IFERROR(MATCH(ROW()-1,CONSOLIDADO!$AJ$2:$AJ$801,0),"")</f>
        <v/>
      </c>
      <c r="J398" s="11" t="str">
        <f aca="false">IF(B398="","",F398&amp;" "&amp;C398&amp;" ("&amp;B398&amp;")")</f>
        <v/>
      </c>
    </row>
    <row r="399" customFormat="false" ht="15" hidden="false" customHeight="false" outlineLevel="0" collapsed="false">
      <c r="A399" s="16"/>
      <c r="B399" s="11" t="str">
        <f aca="false">IF($I399="","",INDEX(CONSOLIDADO!$A$2:$A$801,$I399))</f>
        <v/>
      </c>
      <c r="C399" s="11" t="str">
        <f aca="false">IF($I399="","",INDEX(CONSOLIDADO!$B$2:$B$801,$I399))</f>
        <v/>
      </c>
      <c r="D399" s="16" t="str">
        <f aca="false">IF($I399="","",INDEX(CONSOLIDADO!$C$2:$C$801,$I399))</f>
        <v/>
      </c>
      <c r="E399" s="16" t="str">
        <f aca="false">IF($I399="","",INDEX(CONSOLIDADO!$D$2:$D$801,$I399))</f>
        <v/>
      </c>
      <c r="F399" s="14" t="str">
        <f aca="false">IF($I399="","",INDEX(CONSOLIDADO!$E$2:$E$801,$I399))</f>
        <v/>
      </c>
      <c r="G399" s="16" t="str">
        <f aca="false">IF($I399="","",INDEX(CONSOLIDADO!$G$2:$G$801,$I399))</f>
        <v/>
      </c>
      <c r="H399" s="16" t="str">
        <f aca="false">IF($I399="","",INDEX(CONSOLIDADO!$H$2:$H$801,$I399))</f>
        <v/>
      </c>
      <c r="I399" s="11" t="str">
        <f aca="false">IFERROR(MATCH(ROW()-1,CONSOLIDADO!$AJ$2:$AJ$801,0),"")</f>
        <v/>
      </c>
      <c r="J399" s="11" t="str">
        <f aca="false">IF(B399="","",F399&amp;" "&amp;C399&amp;" ("&amp;B399&amp;")")</f>
        <v/>
      </c>
    </row>
    <row r="400" customFormat="false" ht="15" hidden="false" customHeight="false" outlineLevel="0" collapsed="false">
      <c r="A400" s="16"/>
      <c r="B400" s="11" t="str">
        <f aca="false">IF($I400="","",INDEX(CONSOLIDADO!$A$2:$A$801,$I400))</f>
        <v/>
      </c>
      <c r="C400" s="11" t="str">
        <f aca="false">IF($I400="","",INDEX(CONSOLIDADO!$B$2:$B$801,$I400))</f>
        <v/>
      </c>
      <c r="D400" s="16" t="str">
        <f aca="false">IF($I400="","",INDEX(CONSOLIDADO!$C$2:$C$801,$I400))</f>
        <v/>
      </c>
      <c r="E400" s="16" t="str">
        <f aca="false">IF($I400="","",INDEX(CONSOLIDADO!$D$2:$D$801,$I400))</f>
        <v/>
      </c>
      <c r="F400" s="14" t="str">
        <f aca="false">IF($I400="","",INDEX(CONSOLIDADO!$E$2:$E$801,$I400))</f>
        <v/>
      </c>
      <c r="G400" s="16" t="str">
        <f aca="false">IF($I400="","",INDEX(CONSOLIDADO!$G$2:$G$801,$I400))</f>
        <v/>
      </c>
      <c r="H400" s="16" t="str">
        <f aca="false">IF($I400="","",INDEX(CONSOLIDADO!$H$2:$H$801,$I400))</f>
        <v/>
      </c>
      <c r="I400" s="11" t="str">
        <f aca="false">IFERROR(MATCH(ROW()-1,CONSOLIDADO!$AJ$2:$AJ$801,0),"")</f>
        <v/>
      </c>
      <c r="J400" s="11" t="str">
        <f aca="false">IF(B400="","",F400&amp;" "&amp;C400&amp;" ("&amp;B400&amp;")")</f>
        <v/>
      </c>
    </row>
    <row r="401" customFormat="false" ht="15" hidden="false" customHeight="false" outlineLevel="0" collapsed="false">
      <c r="A401" s="16"/>
      <c r="B401" s="11" t="str">
        <f aca="false">IF($I401="","",INDEX(CONSOLIDADO!$A$2:$A$801,$I401))</f>
        <v/>
      </c>
      <c r="C401" s="11" t="str">
        <f aca="false">IF($I401="","",INDEX(CONSOLIDADO!$B$2:$B$801,$I401))</f>
        <v/>
      </c>
      <c r="D401" s="16" t="str">
        <f aca="false">IF($I401="","",INDEX(CONSOLIDADO!$C$2:$C$801,$I401))</f>
        <v/>
      </c>
      <c r="E401" s="16" t="str">
        <f aca="false">IF($I401="","",INDEX(CONSOLIDADO!$D$2:$D$801,$I401))</f>
        <v/>
      </c>
      <c r="F401" s="14" t="str">
        <f aca="false">IF($I401="","",INDEX(CONSOLIDADO!$E$2:$E$801,$I401))</f>
        <v/>
      </c>
      <c r="G401" s="16" t="str">
        <f aca="false">IF($I401="","",INDEX(CONSOLIDADO!$G$2:$G$801,$I401))</f>
        <v/>
      </c>
      <c r="H401" s="16" t="str">
        <f aca="false">IF($I401="","",INDEX(CONSOLIDADO!$H$2:$H$801,$I401))</f>
        <v/>
      </c>
      <c r="I401" s="11" t="str">
        <f aca="false">IFERROR(MATCH(ROW()-1,CONSOLIDADO!$AJ$2:$AJ$801,0),"")</f>
        <v/>
      </c>
      <c r="J401" s="11" t="str">
        <f aca="false">IF(B401="","",F401&amp;" "&amp;C401&amp;" ("&amp;B401&amp;")")</f>
        <v/>
      </c>
    </row>
    <row r="402" customFormat="false" ht="15" hidden="false" customHeight="false" outlineLevel="0" collapsed="false">
      <c r="A402" s="16"/>
      <c r="B402" s="11" t="str">
        <f aca="false">IF($I402="","",INDEX(CONSOLIDADO!$A$2:$A$801,$I402))</f>
        <v/>
      </c>
      <c r="C402" s="11" t="str">
        <f aca="false">IF($I402="","",INDEX(CONSOLIDADO!$B$2:$B$801,$I402))</f>
        <v/>
      </c>
      <c r="D402" s="16" t="str">
        <f aca="false">IF($I402="","",INDEX(CONSOLIDADO!$C$2:$C$801,$I402))</f>
        <v/>
      </c>
      <c r="E402" s="16" t="str">
        <f aca="false">IF($I402="","",INDEX(CONSOLIDADO!$D$2:$D$801,$I402))</f>
        <v/>
      </c>
      <c r="F402" s="14" t="str">
        <f aca="false">IF($I402="","",INDEX(CONSOLIDADO!$E$2:$E$801,$I402))</f>
        <v/>
      </c>
      <c r="G402" s="16" t="str">
        <f aca="false">IF($I402="","",INDEX(CONSOLIDADO!$G$2:$G$801,$I402))</f>
        <v/>
      </c>
      <c r="H402" s="16" t="str">
        <f aca="false">IF($I402="","",INDEX(CONSOLIDADO!$H$2:$H$801,$I402))</f>
        <v/>
      </c>
      <c r="I402" s="11" t="str">
        <f aca="false">IFERROR(MATCH(ROW()-1,CONSOLIDADO!$AJ$2:$AJ$801,0),"")</f>
        <v/>
      </c>
      <c r="J402" s="11" t="str">
        <f aca="false">IF(B402="","",F402&amp;" "&amp;C402&amp;" ("&amp;B402&amp;")")</f>
        <v/>
      </c>
    </row>
    <row r="403" customFormat="false" ht="15" hidden="false" customHeight="false" outlineLevel="0" collapsed="false">
      <c r="A403" s="16"/>
      <c r="B403" s="11" t="str">
        <f aca="false">IF($I403="","",INDEX(CONSOLIDADO!$A$2:$A$801,$I403))</f>
        <v/>
      </c>
      <c r="C403" s="11" t="str">
        <f aca="false">IF($I403="","",INDEX(CONSOLIDADO!$B$2:$B$801,$I403))</f>
        <v/>
      </c>
      <c r="D403" s="16" t="str">
        <f aca="false">IF($I403="","",INDEX(CONSOLIDADO!$C$2:$C$801,$I403))</f>
        <v/>
      </c>
      <c r="E403" s="16" t="str">
        <f aca="false">IF($I403="","",INDEX(CONSOLIDADO!$D$2:$D$801,$I403))</f>
        <v/>
      </c>
      <c r="F403" s="14" t="str">
        <f aca="false">IF($I403="","",INDEX(CONSOLIDADO!$E$2:$E$801,$I403))</f>
        <v/>
      </c>
      <c r="G403" s="16" t="str">
        <f aca="false">IF($I403="","",INDEX(CONSOLIDADO!$G$2:$G$801,$I403))</f>
        <v/>
      </c>
      <c r="H403" s="16" t="str">
        <f aca="false">IF($I403="","",INDEX(CONSOLIDADO!$H$2:$H$801,$I403))</f>
        <v/>
      </c>
      <c r="I403" s="11" t="str">
        <f aca="false">IFERROR(MATCH(ROW()-1,CONSOLIDADO!$AJ$2:$AJ$801,0),"")</f>
        <v/>
      </c>
      <c r="J403" s="11" t="str">
        <f aca="false">IF(B403="","",F403&amp;" "&amp;C403&amp;" ("&amp;B403&amp;")")</f>
        <v/>
      </c>
    </row>
    <row r="404" customFormat="false" ht="15" hidden="false" customHeight="false" outlineLevel="0" collapsed="false">
      <c r="A404" s="16"/>
      <c r="B404" s="11" t="str">
        <f aca="false">IF($I404="","",INDEX(CONSOLIDADO!$A$2:$A$801,$I404))</f>
        <v/>
      </c>
      <c r="C404" s="11" t="str">
        <f aca="false">IF($I404="","",INDEX(CONSOLIDADO!$B$2:$B$801,$I404))</f>
        <v/>
      </c>
      <c r="D404" s="16" t="str">
        <f aca="false">IF($I404="","",INDEX(CONSOLIDADO!$C$2:$C$801,$I404))</f>
        <v/>
      </c>
      <c r="E404" s="16" t="str">
        <f aca="false">IF($I404="","",INDEX(CONSOLIDADO!$D$2:$D$801,$I404))</f>
        <v/>
      </c>
      <c r="F404" s="14" t="str">
        <f aca="false">IF($I404="","",INDEX(CONSOLIDADO!$E$2:$E$801,$I404))</f>
        <v/>
      </c>
      <c r="G404" s="16" t="str">
        <f aca="false">IF($I404="","",INDEX(CONSOLIDADO!$G$2:$G$801,$I404))</f>
        <v/>
      </c>
      <c r="H404" s="16" t="str">
        <f aca="false">IF($I404="","",INDEX(CONSOLIDADO!$H$2:$H$801,$I404))</f>
        <v/>
      </c>
      <c r="I404" s="11" t="str">
        <f aca="false">IFERROR(MATCH(ROW()-1,CONSOLIDADO!$AJ$2:$AJ$801,0),"")</f>
        <v/>
      </c>
      <c r="J404" s="11" t="str">
        <f aca="false">IF(B404="","",F404&amp;" "&amp;C404&amp;" ("&amp;B404&amp;")")</f>
        <v/>
      </c>
    </row>
    <row r="405" customFormat="false" ht="15" hidden="false" customHeight="false" outlineLevel="0" collapsed="false">
      <c r="A405" s="16"/>
      <c r="B405" s="11" t="str">
        <f aca="false">IF($I405="","",INDEX(CONSOLIDADO!$A$2:$A$801,$I405))</f>
        <v/>
      </c>
      <c r="C405" s="11" t="str">
        <f aca="false">IF($I405="","",INDEX(CONSOLIDADO!$B$2:$B$801,$I405))</f>
        <v/>
      </c>
      <c r="D405" s="16" t="str">
        <f aca="false">IF($I405="","",INDEX(CONSOLIDADO!$C$2:$C$801,$I405))</f>
        <v/>
      </c>
      <c r="E405" s="16" t="str">
        <f aca="false">IF($I405="","",INDEX(CONSOLIDADO!$D$2:$D$801,$I405))</f>
        <v/>
      </c>
      <c r="F405" s="14" t="str">
        <f aca="false">IF($I405="","",INDEX(CONSOLIDADO!$E$2:$E$801,$I405))</f>
        <v/>
      </c>
      <c r="G405" s="16" t="str">
        <f aca="false">IF($I405="","",INDEX(CONSOLIDADO!$G$2:$G$801,$I405))</f>
        <v/>
      </c>
      <c r="H405" s="16" t="str">
        <f aca="false">IF($I405="","",INDEX(CONSOLIDADO!$H$2:$H$801,$I405))</f>
        <v/>
      </c>
      <c r="I405" s="11" t="str">
        <f aca="false">IFERROR(MATCH(ROW()-1,CONSOLIDADO!$AJ$2:$AJ$801,0),"")</f>
        <v/>
      </c>
      <c r="J405" s="11" t="str">
        <f aca="false">IF(B405="","",F405&amp;" "&amp;C405&amp;" ("&amp;B405&amp;")")</f>
        <v/>
      </c>
    </row>
    <row r="406" customFormat="false" ht="15" hidden="false" customHeight="false" outlineLevel="0" collapsed="false">
      <c r="A406" s="16"/>
      <c r="B406" s="11" t="str">
        <f aca="false">IF($I406="","",INDEX(CONSOLIDADO!$A$2:$A$801,$I406))</f>
        <v/>
      </c>
      <c r="C406" s="11" t="str">
        <f aca="false">IF($I406="","",INDEX(CONSOLIDADO!$B$2:$B$801,$I406))</f>
        <v/>
      </c>
      <c r="D406" s="16" t="str">
        <f aca="false">IF($I406="","",INDEX(CONSOLIDADO!$C$2:$C$801,$I406))</f>
        <v/>
      </c>
      <c r="E406" s="16" t="str">
        <f aca="false">IF($I406="","",INDEX(CONSOLIDADO!$D$2:$D$801,$I406))</f>
        <v/>
      </c>
      <c r="F406" s="14" t="str">
        <f aca="false">IF($I406="","",INDEX(CONSOLIDADO!$E$2:$E$801,$I406))</f>
        <v/>
      </c>
      <c r="G406" s="16" t="str">
        <f aca="false">IF($I406="","",INDEX(CONSOLIDADO!$G$2:$G$801,$I406))</f>
        <v/>
      </c>
      <c r="H406" s="16" t="str">
        <f aca="false">IF($I406="","",INDEX(CONSOLIDADO!$H$2:$H$801,$I406))</f>
        <v/>
      </c>
      <c r="I406" s="11" t="str">
        <f aca="false">IFERROR(MATCH(ROW()-1,CONSOLIDADO!$AJ$2:$AJ$801,0),"")</f>
        <v/>
      </c>
      <c r="J406" s="11" t="str">
        <f aca="false">IF(B406="","",F406&amp;" "&amp;C406&amp;" ("&amp;B406&amp;")")</f>
        <v/>
      </c>
    </row>
    <row r="407" customFormat="false" ht="15" hidden="false" customHeight="false" outlineLevel="0" collapsed="false">
      <c r="A407" s="16"/>
      <c r="B407" s="11" t="str">
        <f aca="false">IF($I407="","",INDEX(CONSOLIDADO!$A$2:$A$801,$I407))</f>
        <v/>
      </c>
      <c r="C407" s="11" t="str">
        <f aca="false">IF($I407="","",INDEX(CONSOLIDADO!$B$2:$B$801,$I407))</f>
        <v/>
      </c>
      <c r="D407" s="16" t="str">
        <f aca="false">IF($I407="","",INDEX(CONSOLIDADO!$C$2:$C$801,$I407))</f>
        <v/>
      </c>
      <c r="E407" s="16" t="str">
        <f aca="false">IF($I407="","",INDEX(CONSOLIDADO!$D$2:$D$801,$I407))</f>
        <v/>
      </c>
      <c r="F407" s="14" t="str">
        <f aca="false">IF($I407="","",INDEX(CONSOLIDADO!$E$2:$E$801,$I407))</f>
        <v/>
      </c>
      <c r="G407" s="16" t="str">
        <f aca="false">IF($I407="","",INDEX(CONSOLIDADO!$G$2:$G$801,$I407))</f>
        <v/>
      </c>
      <c r="H407" s="16" t="str">
        <f aca="false">IF($I407="","",INDEX(CONSOLIDADO!$H$2:$H$801,$I407))</f>
        <v/>
      </c>
      <c r="I407" s="11" t="str">
        <f aca="false">IFERROR(MATCH(ROW()-1,CONSOLIDADO!$AJ$2:$AJ$801,0),"")</f>
        <v/>
      </c>
      <c r="J407" s="11" t="str">
        <f aca="false">IF(B407="","",F407&amp;" "&amp;C407&amp;" ("&amp;B407&amp;")")</f>
        <v/>
      </c>
    </row>
    <row r="408" customFormat="false" ht="15" hidden="false" customHeight="false" outlineLevel="0" collapsed="false">
      <c r="A408" s="16"/>
      <c r="B408" s="11" t="str">
        <f aca="false">IF($I408="","",INDEX(CONSOLIDADO!$A$2:$A$801,$I408))</f>
        <v/>
      </c>
      <c r="C408" s="11" t="str">
        <f aca="false">IF($I408="","",INDEX(CONSOLIDADO!$B$2:$B$801,$I408))</f>
        <v/>
      </c>
      <c r="D408" s="16" t="str">
        <f aca="false">IF($I408="","",INDEX(CONSOLIDADO!$C$2:$C$801,$I408))</f>
        <v/>
      </c>
      <c r="E408" s="16" t="str">
        <f aca="false">IF($I408="","",INDEX(CONSOLIDADO!$D$2:$D$801,$I408))</f>
        <v/>
      </c>
      <c r="F408" s="14" t="str">
        <f aca="false">IF($I408="","",INDEX(CONSOLIDADO!$E$2:$E$801,$I408))</f>
        <v/>
      </c>
      <c r="G408" s="16" t="str">
        <f aca="false">IF($I408="","",INDEX(CONSOLIDADO!$G$2:$G$801,$I408))</f>
        <v/>
      </c>
      <c r="H408" s="16" t="str">
        <f aca="false">IF($I408="","",INDEX(CONSOLIDADO!$H$2:$H$801,$I408))</f>
        <v/>
      </c>
      <c r="I408" s="11" t="str">
        <f aca="false">IFERROR(MATCH(ROW()-1,CONSOLIDADO!$AJ$2:$AJ$801,0),"")</f>
        <v/>
      </c>
      <c r="J408" s="11" t="str">
        <f aca="false">IF(B408="","",F408&amp;" "&amp;C408&amp;" ("&amp;B408&amp;")")</f>
        <v/>
      </c>
    </row>
    <row r="409" customFormat="false" ht="15" hidden="false" customHeight="false" outlineLevel="0" collapsed="false">
      <c r="A409" s="16"/>
      <c r="B409" s="11" t="str">
        <f aca="false">IF($I409="","",INDEX(CONSOLIDADO!$A$2:$A$801,$I409))</f>
        <v/>
      </c>
      <c r="C409" s="11" t="str">
        <f aca="false">IF($I409="","",INDEX(CONSOLIDADO!$B$2:$B$801,$I409))</f>
        <v/>
      </c>
      <c r="D409" s="16" t="str">
        <f aca="false">IF($I409="","",INDEX(CONSOLIDADO!$C$2:$C$801,$I409))</f>
        <v/>
      </c>
      <c r="E409" s="16" t="str">
        <f aca="false">IF($I409="","",INDEX(CONSOLIDADO!$D$2:$D$801,$I409))</f>
        <v/>
      </c>
      <c r="F409" s="14" t="str">
        <f aca="false">IF($I409="","",INDEX(CONSOLIDADO!$E$2:$E$801,$I409))</f>
        <v/>
      </c>
      <c r="G409" s="16" t="str">
        <f aca="false">IF($I409="","",INDEX(CONSOLIDADO!$G$2:$G$801,$I409))</f>
        <v/>
      </c>
      <c r="H409" s="16" t="str">
        <f aca="false">IF($I409="","",INDEX(CONSOLIDADO!$H$2:$H$801,$I409))</f>
        <v/>
      </c>
      <c r="I409" s="11" t="str">
        <f aca="false">IFERROR(MATCH(ROW()-1,CONSOLIDADO!$AJ$2:$AJ$801,0),"")</f>
        <v/>
      </c>
      <c r="J409" s="11" t="str">
        <f aca="false">IF(B409="","",F409&amp;" "&amp;C409&amp;" ("&amp;B409&amp;")")</f>
        <v/>
      </c>
    </row>
    <row r="410" customFormat="false" ht="15" hidden="false" customHeight="false" outlineLevel="0" collapsed="false">
      <c r="A410" s="16"/>
      <c r="B410" s="11" t="str">
        <f aca="false">IF($I410="","",INDEX(CONSOLIDADO!$A$2:$A$801,$I410))</f>
        <v/>
      </c>
      <c r="C410" s="11" t="str">
        <f aca="false">IF($I410="","",INDEX(CONSOLIDADO!$B$2:$B$801,$I410))</f>
        <v/>
      </c>
      <c r="D410" s="16" t="str">
        <f aca="false">IF($I410="","",INDEX(CONSOLIDADO!$C$2:$C$801,$I410))</f>
        <v/>
      </c>
      <c r="E410" s="16" t="str">
        <f aca="false">IF($I410="","",INDEX(CONSOLIDADO!$D$2:$D$801,$I410))</f>
        <v/>
      </c>
      <c r="F410" s="14" t="str">
        <f aca="false">IF($I410="","",INDEX(CONSOLIDADO!$E$2:$E$801,$I410))</f>
        <v/>
      </c>
      <c r="G410" s="16" t="str">
        <f aca="false">IF($I410="","",INDEX(CONSOLIDADO!$G$2:$G$801,$I410))</f>
        <v/>
      </c>
      <c r="H410" s="16" t="str">
        <f aca="false">IF($I410="","",INDEX(CONSOLIDADO!$H$2:$H$801,$I410))</f>
        <v/>
      </c>
      <c r="I410" s="11" t="str">
        <f aca="false">IFERROR(MATCH(ROW()-1,CONSOLIDADO!$AJ$2:$AJ$801,0),"")</f>
        <v/>
      </c>
      <c r="J410" s="11" t="str">
        <f aca="false">IF(B410="","",F410&amp;" "&amp;C410&amp;" ("&amp;B410&amp;")")</f>
        <v/>
      </c>
    </row>
    <row r="411" customFormat="false" ht="15" hidden="false" customHeight="false" outlineLevel="0" collapsed="false">
      <c r="A411" s="16"/>
      <c r="B411" s="11" t="str">
        <f aca="false">IF($I411="","",INDEX(CONSOLIDADO!$A$2:$A$801,$I411))</f>
        <v/>
      </c>
      <c r="C411" s="11" t="str">
        <f aca="false">IF($I411="","",INDEX(CONSOLIDADO!$B$2:$B$801,$I411))</f>
        <v/>
      </c>
      <c r="D411" s="16" t="str">
        <f aca="false">IF($I411="","",INDEX(CONSOLIDADO!$C$2:$C$801,$I411))</f>
        <v/>
      </c>
      <c r="E411" s="16" t="str">
        <f aca="false">IF($I411="","",INDEX(CONSOLIDADO!$D$2:$D$801,$I411))</f>
        <v/>
      </c>
      <c r="F411" s="14" t="str">
        <f aca="false">IF($I411="","",INDEX(CONSOLIDADO!$E$2:$E$801,$I411))</f>
        <v/>
      </c>
      <c r="G411" s="16" t="str">
        <f aca="false">IF($I411="","",INDEX(CONSOLIDADO!$G$2:$G$801,$I411))</f>
        <v/>
      </c>
      <c r="H411" s="16" t="str">
        <f aca="false">IF($I411="","",INDEX(CONSOLIDADO!$H$2:$H$801,$I411))</f>
        <v/>
      </c>
      <c r="I411" s="11" t="str">
        <f aca="false">IFERROR(MATCH(ROW()-1,CONSOLIDADO!$AJ$2:$AJ$801,0),"")</f>
        <v/>
      </c>
      <c r="J411" s="11" t="str">
        <f aca="false">IF(B411="","",F411&amp;" "&amp;C411&amp;" ("&amp;B411&amp;")")</f>
        <v/>
      </c>
    </row>
    <row r="412" customFormat="false" ht="15" hidden="false" customHeight="false" outlineLevel="0" collapsed="false">
      <c r="A412" s="16"/>
      <c r="B412" s="11" t="str">
        <f aca="false">IF($I412="","",INDEX(CONSOLIDADO!$A$2:$A$801,$I412))</f>
        <v/>
      </c>
      <c r="C412" s="11" t="str">
        <f aca="false">IF($I412="","",INDEX(CONSOLIDADO!$B$2:$B$801,$I412))</f>
        <v/>
      </c>
      <c r="D412" s="16" t="str">
        <f aca="false">IF($I412="","",INDEX(CONSOLIDADO!$C$2:$C$801,$I412))</f>
        <v/>
      </c>
      <c r="E412" s="16" t="str">
        <f aca="false">IF($I412="","",INDEX(CONSOLIDADO!$D$2:$D$801,$I412))</f>
        <v/>
      </c>
      <c r="F412" s="14" t="str">
        <f aca="false">IF($I412="","",INDEX(CONSOLIDADO!$E$2:$E$801,$I412))</f>
        <v/>
      </c>
      <c r="G412" s="16" t="str">
        <f aca="false">IF($I412="","",INDEX(CONSOLIDADO!$G$2:$G$801,$I412))</f>
        <v/>
      </c>
      <c r="H412" s="16" t="str">
        <f aca="false">IF($I412="","",INDEX(CONSOLIDADO!$H$2:$H$801,$I412))</f>
        <v/>
      </c>
      <c r="I412" s="11" t="str">
        <f aca="false">IFERROR(MATCH(ROW()-1,CONSOLIDADO!$AJ$2:$AJ$801,0),"")</f>
        <v/>
      </c>
      <c r="J412" s="11" t="str">
        <f aca="false">IF(B412="","",F412&amp;" "&amp;C412&amp;" ("&amp;B412&amp;")")</f>
        <v/>
      </c>
    </row>
    <row r="413" customFormat="false" ht="15" hidden="false" customHeight="false" outlineLevel="0" collapsed="false">
      <c r="A413" s="16"/>
      <c r="B413" s="11" t="str">
        <f aca="false">IF($I413="","",INDEX(CONSOLIDADO!$A$2:$A$801,$I413))</f>
        <v/>
      </c>
      <c r="C413" s="11" t="str">
        <f aca="false">IF($I413="","",INDEX(CONSOLIDADO!$B$2:$B$801,$I413))</f>
        <v/>
      </c>
      <c r="D413" s="16" t="str">
        <f aca="false">IF($I413="","",INDEX(CONSOLIDADO!$C$2:$C$801,$I413))</f>
        <v/>
      </c>
      <c r="E413" s="16" t="str">
        <f aca="false">IF($I413="","",INDEX(CONSOLIDADO!$D$2:$D$801,$I413))</f>
        <v/>
      </c>
      <c r="F413" s="14" t="str">
        <f aca="false">IF($I413="","",INDEX(CONSOLIDADO!$E$2:$E$801,$I413))</f>
        <v/>
      </c>
      <c r="G413" s="16" t="str">
        <f aca="false">IF($I413="","",INDEX(CONSOLIDADO!$G$2:$G$801,$I413))</f>
        <v/>
      </c>
      <c r="H413" s="16" t="str">
        <f aca="false">IF($I413="","",INDEX(CONSOLIDADO!$H$2:$H$801,$I413))</f>
        <v/>
      </c>
      <c r="I413" s="11" t="str">
        <f aca="false">IFERROR(MATCH(ROW()-1,CONSOLIDADO!$AJ$2:$AJ$801,0),"")</f>
        <v/>
      </c>
      <c r="J413" s="11" t="str">
        <f aca="false">IF(B413="","",F413&amp;" "&amp;C413&amp;" ("&amp;B413&amp;")")</f>
        <v/>
      </c>
    </row>
    <row r="414" customFormat="false" ht="15" hidden="false" customHeight="false" outlineLevel="0" collapsed="false">
      <c r="A414" s="16"/>
      <c r="B414" s="11" t="str">
        <f aca="false">IF($I414="","",INDEX(CONSOLIDADO!$A$2:$A$801,$I414))</f>
        <v/>
      </c>
      <c r="C414" s="11" t="str">
        <f aca="false">IF($I414="","",INDEX(CONSOLIDADO!$B$2:$B$801,$I414))</f>
        <v/>
      </c>
      <c r="D414" s="16" t="str">
        <f aca="false">IF($I414="","",INDEX(CONSOLIDADO!$C$2:$C$801,$I414))</f>
        <v/>
      </c>
      <c r="E414" s="16" t="str">
        <f aca="false">IF($I414="","",INDEX(CONSOLIDADO!$D$2:$D$801,$I414))</f>
        <v/>
      </c>
      <c r="F414" s="14" t="str">
        <f aca="false">IF($I414="","",INDEX(CONSOLIDADO!$E$2:$E$801,$I414))</f>
        <v/>
      </c>
      <c r="G414" s="16" t="str">
        <f aca="false">IF($I414="","",INDEX(CONSOLIDADO!$G$2:$G$801,$I414))</f>
        <v/>
      </c>
      <c r="H414" s="16" t="str">
        <f aca="false">IF($I414="","",INDEX(CONSOLIDADO!$H$2:$H$801,$I414))</f>
        <v/>
      </c>
      <c r="I414" s="11" t="str">
        <f aca="false">IFERROR(MATCH(ROW()-1,CONSOLIDADO!$AJ$2:$AJ$801,0),"")</f>
        <v/>
      </c>
      <c r="J414" s="11" t="str">
        <f aca="false">IF(B414="","",F414&amp;" "&amp;C414&amp;" ("&amp;B414&amp;")")</f>
        <v/>
      </c>
    </row>
    <row r="415" customFormat="false" ht="15" hidden="false" customHeight="false" outlineLevel="0" collapsed="false">
      <c r="A415" s="16"/>
      <c r="B415" s="11" t="str">
        <f aca="false">IF($I415="","",INDEX(CONSOLIDADO!$A$2:$A$801,$I415))</f>
        <v/>
      </c>
      <c r="C415" s="11" t="str">
        <f aca="false">IF($I415="","",INDEX(CONSOLIDADO!$B$2:$B$801,$I415))</f>
        <v/>
      </c>
      <c r="D415" s="16" t="str">
        <f aca="false">IF($I415="","",INDEX(CONSOLIDADO!$C$2:$C$801,$I415))</f>
        <v/>
      </c>
      <c r="E415" s="16" t="str">
        <f aca="false">IF($I415="","",INDEX(CONSOLIDADO!$D$2:$D$801,$I415))</f>
        <v/>
      </c>
      <c r="F415" s="14" t="str">
        <f aca="false">IF($I415="","",INDEX(CONSOLIDADO!$E$2:$E$801,$I415))</f>
        <v/>
      </c>
      <c r="G415" s="16" t="str">
        <f aca="false">IF($I415="","",INDEX(CONSOLIDADO!$G$2:$G$801,$I415))</f>
        <v/>
      </c>
      <c r="H415" s="16" t="str">
        <f aca="false">IF($I415="","",INDEX(CONSOLIDADO!$H$2:$H$801,$I415))</f>
        <v/>
      </c>
      <c r="I415" s="11" t="str">
        <f aca="false">IFERROR(MATCH(ROW()-1,CONSOLIDADO!$AJ$2:$AJ$801,0),"")</f>
        <v/>
      </c>
      <c r="J415" s="11" t="str">
        <f aca="false">IF(B415="","",F415&amp;" "&amp;C415&amp;" ("&amp;B415&amp;")")</f>
        <v/>
      </c>
    </row>
    <row r="416" customFormat="false" ht="15" hidden="false" customHeight="false" outlineLevel="0" collapsed="false">
      <c r="A416" s="16"/>
      <c r="B416" s="11" t="str">
        <f aca="false">IF($I416="","",INDEX(CONSOLIDADO!$A$2:$A$801,$I416))</f>
        <v/>
      </c>
      <c r="C416" s="11" t="str">
        <f aca="false">IF($I416="","",INDEX(CONSOLIDADO!$B$2:$B$801,$I416))</f>
        <v/>
      </c>
      <c r="D416" s="16" t="str">
        <f aca="false">IF($I416="","",INDEX(CONSOLIDADO!$C$2:$C$801,$I416))</f>
        <v/>
      </c>
      <c r="E416" s="16" t="str">
        <f aca="false">IF($I416="","",INDEX(CONSOLIDADO!$D$2:$D$801,$I416))</f>
        <v/>
      </c>
      <c r="F416" s="14" t="str">
        <f aca="false">IF($I416="","",INDEX(CONSOLIDADO!$E$2:$E$801,$I416))</f>
        <v/>
      </c>
      <c r="G416" s="16" t="str">
        <f aca="false">IF($I416="","",INDEX(CONSOLIDADO!$G$2:$G$801,$I416))</f>
        <v/>
      </c>
      <c r="H416" s="16" t="str">
        <f aca="false">IF($I416="","",INDEX(CONSOLIDADO!$H$2:$H$801,$I416))</f>
        <v/>
      </c>
      <c r="I416" s="11" t="str">
        <f aca="false">IFERROR(MATCH(ROW()-1,CONSOLIDADO!$AJ$2:$AJ$801,0),"")</f>
        <v/>
      </c>
      <c r="J416" s="11" t="str">
        <f aca="false">IF(B416="","",F416&amp;" "&amp;C416&amp;" ("&amp;B416&amp;")")</f>
        <v/>
      </c>
    </row>
    <row r="417" customFormat="false" ht="15" hidden="false" customHeight="false" outlineLevel="0" collapsed="false">
      <c r="A417" s="16"/>
      <c r="B417" s="11" t="str">
        <f aca="false">IF($I417="","",INDEX(CONSOLIDADO!$A$2:$A$801,$I417))</f>
        <v/>
      </c>
      <c r="C417" s="11" t="str">
        <f aca="false">IF($I417="","",INDEX(CONSOLIDADO!$B$2:$B$801,$I417))</f>
        <v/>
      </c>
      <c r="D417" s="16" t="str">
        <f aca="false">IF($I417="","",INDEX(CONSOLIDADO!$C$2:$C$801,$I417))</f>
        <v/>
      </c>
      <c r="E417" s="16" t="str">
        <f aca="false">IF($I417="","",INDEX(CONSOLIDADO!$D$2:$D$801,$I417))</f>
        <v/>
      </c>
      <c r="F417" s="14" t="str">
        <f aca="false">IF($I417="","",INDEX(CONSOLIDADO!$E$2:$E$801,$I417))</f>
        <v/>
      </c>
      <c r="G417" s="16" t="str">
        <f aca="false">IF($I417="","",INDEX(CONSOLIDADO!$G$2:$G$801,$I417))</f>
        <v/>
      </c>
      <c r="H417" s="16" t="str">
        <f aca="false">IF($I417="","",INDEX(CONSOLIDADO!$H$2:$H$801,$I417))</f>
        <v/>
      </c>
      <c r="I417" s="11" t="str">
        <f aca="false">IFERROR(MATCH(ROW()-1,CONSOLIDADO!$AJ$2:$AJ$801,0),"")</f>
        <v/>
      </c>
      <c r="J417" s="11" t="str">
        <f aca="false">IF(B417="","",F417&amp;" "&amp;C417&amp;" ("&amp;B417&amp;")")</f>
        <v/>
      </c>
    </row>
    <row r="418" customFormat="false" ht="15" hidden="false" customHeight="false" outlineLevel="0" collapsed="false">
      <c r="A418" s="16"/>
      <c r="B418" s="11" t="str">
        <f aca="false">IF($I418="","",INDEX(CONSOLIDADO!$A$2:$A$801,$I418))</f>
        <v/>
      </c>
      <c r="C418" s="11" t="str">
        <f aca="false">IF($I418="","",INDEX(CONSOLIDADO!$B$2:$B$801,$I418))</f>
        <v/>
      </c>
      <c r="D418" s="16" t="str">
        <f aca="false">IF($I418="","",INDEX(CONSOLIDADO!$C$2:$C$801,$I418))</f>
        <v/>
      </c>
      <c r="E418" s="16" t="str">
        <f aca="false">IF($I418="","",INDEX(CONSOLIDADO!$D$2:$D$801,$I418))</f>
        <v/>
      </c>
      <c r="F418" s="14" t="str">
        <f aca="false">IF($I418="","",INDEX(CONSOLIDADO!$E$2:$E$801,$I418))</f>
        <v/>
      </c>
      <c r="G418" s="16" t="str">
        <f aca="false">IF($I418="","",INDEX(CONSOLIDADO!$G$2:$G$801,$I418))</f>
        <v/>
      </c>
      <c r="H418" s="16" t="str">
        <f aca="false">IF($I418="","",INDEX(CONSOLIDADO!$H$2:$H$801,$I418))</f>
        <v/>
      </c>
      <c r="I418" s="11" t="str">
        <f aca="false">IFERROR(MATCH(ROW()-1,CONSOLIDADO!$AJ$2:$AJ$801,0),"")</f>
        <v/>
      </c>
      <c r="J418" s="11" t="str">
        <f aca="false">IF(B418="","",F418&amp;" "&amp;C418&amp;" ("&amp;B418&amp;")")</f>
        <v/>
      </c>
    </row>
    <row r="419" customFormat="false" ht="15" hidden="false" customHeight="false" outlineLevel="0" collapsed="false">
      <c r="A419" s="16"/>
      <c r="B419" s="11" t="str">
        <f aca="false">IF($I419="","",INDEX(CONSOLIDADO!$A$2:$A$801,$I419))</f>
        <v/>
      </c>
      <c r="C419" s="11" t="str">
        <f aca="false">IF($I419="","",INDEX(CONSOLIDADO!$B$2:$B$801,$I419))</f>
        <v/>
      </c>
      <c r="D419" s="16" t="str">
        <f aca="false">IF($I419="","",INDEX(CONSOLIDADO!$C$2:$C$801,$I419))</f>
        <v/>
      </c>
      <c r="E419" s="16" t="str">
        <f aca="false">IF($I419="","",INDEX(CONSOLIDADO!$D$2:$D$801,$I419))</f>
        <v/>
      </c>
      <c r="F419" s="14" t="str">
        <f aca="false">IF($I419="","",INDEX(CONSOLIDADO!$E$2:$E$801,$I419))</f>
        <v/>
      </c>
      <c r="G419" s="16" t="str">
        <f aca="false">IF($I419="","",INDEX(CONSOLIDADO!$G$2:$G$801,$I419))</f>
        <v/>
      </c>
      <c r="H419" s="16" t="str">
        <f aca="false">IF($I419="","",INDEX(CONSOLIDADO!$H$2:$H$801,$I419))</f>
        <v/>
      </c>
      <c r="I419" s="11" t="str">
        <f aca="false">IFERROR(MATCH(ROW()-1,CONSOLIDADO!$AJ$2:$AJ$801,0),"")</f>
        <v/>
      </c>
      <c r="J419" s="11" t="str">
        <f aca="false">IF(B419="","",F419&amp;" "&amp;C419&amp;" ("&amp;B419&amp;")")</f>
        <v/>
      </c>
    </row>
    <row r="420" customFormat="false" ht="15" hidden="false" customHeight="false" outlineLevel="0" collapsed="false">
      <c r="A420" s="16"/>
      <c r="B420" s="11" t="str">
        <f aca="false">IF($I420="","",INDEX(CONSOLIDADO!$A$2:$A$801,$I420))</f>
        <v/>
      </c>
      <c r="C420" s="11" t="str">
        <f aca="false">IF($I420="","",INDEX(CONSOLIDADO!$B$2:$B$801,$I420))</f>
        <v/>
      </c>
      <c r="D420" s="16" t="str">
        <f aca="false">IF($I420="","",INDEX(CONSOLIDADO!$C$2:$C$801,$I420))</f>
        <v/>
      </c>
      <c r="E420" s="16" t="str">
        <f aca="false">IF($I420="","",INDEX(CONSOLIDADO!$D$2:$D$801,$I420))</f>
        <v/>
      </c>
      <c r="F420" s="14" t="str">
        <f aca="false">IF($I420="","",INDEX(CONSOLIDADO!$E$2:$E$801,$I420))</f>
        <v/>
      </c>
      <c r="G420" s="16" t="str">
        <f aca="false">IF($I420="","",INDEX(CONSOLIDADO!$G$2:$G$801,$I420))</f>
        <v/>
      </c>
      <c r="H420" s="16" t="str">
        <f aca="false">IF($I420="","",INDEX(CONSOLIDADO!$H$2:$H$801,$I420))</f>
        <v/>
      </c>
      <c r="I420" s="11" t="str">
        <f aca="false">IFERROR(MATCH(ROW()-1,CONSOLIDADO!$AJ$2:$AJ$801,0),"")</f>
        <v/>
      </c>
      <c r="J420" s="11" t="str">
        <f aca="false">IF(B420="","",F420&amp;" "&amp;C420&amp;" ("&amp;B420&amp;")")</f>
        <v/>
      </c>
    </row>
    <row r="421" customFormat="false" ht="15" hidden="false" customHeight="false" outlineLevel="0" collapsed="false">
      <c r="A421" s="16"/>
      <c r="B421" s="11" t="str">
        <f aca="false">IF($I421="","",INDEX(CONSOLIDADO!$A$2:$A$801,$I421))</f>
        <v/>
      </c>
      <c r="C421" s="11" t="str">
        <f aca="false">IF($I421="","",INDEX(CONSOLIDADO!$B$2:$B$801,$I421))</f>
        <v/>
      </c>
      <c r="D421" s="16" t="str">
        <f aca="false">IF($I421="","",INDEX(CONSOLIDADO!$C$2:$C$801,$I421))</f>
        <v/>
      </c>
      <c r="E421" s="16" t="str">
        <f aca="false">IF($I421="","",INDEX(CONSOLIDADO!$D$2:$D$801,$I421))</f>
        <v/>
      </c>
      <c r="F421" s="14" t="str">
        <f aca="false">IF($I421="","",INDEX(CONSOLIDADO!$E$2:$E$801,$I421))</f>
        <v/>
      </c>
      <c r="G421" s="16" t="str">
        <f aca="false">IF($I421="","",INDEX(CONSOLIDADO!$G$2:$G$801,$I421))</f>
        <v/>
      </c>
      <c r="H421" s="16" t="str">
        <f aca="false">IF($I421="","",INDEX(CONSOLIDADO!$H$2:$H$801,$I421))</f>
        <v/>
      </c>
      <c r="I421" s="11" t="str">
        <f aca="false">IFERROR(MATCH(ROW()-1,CONSOLIDADO!$AJ$2:$AJ$801,0),"")</f>
        <v/>
      </c>
      <c r="J421" s="11" t="str">
        <f aca="false">IF(B421="","",F421&amp;" "&amp;C421&amp;" ("&amp;B421&amp;")")</f>
        <v/>
      </c>
    </row>
    <row r="422" customFormat="false" ht="15" hidden="false" customHeight="false" outlineLevel="0" collapsed="false">
      <c r="A422" s="16"/>
      <c r="B422" s="11" t="str">
        <f aca="false">IF($I422="","",INDEX(CONSOLIDADO!$A$2:$A$801,$I422))</f>
        <v/>
      </c>
      <c r="C422" s="11" t="str">
        <f aca="false">IF($I422="","",INDEX(CONSOLIDADO!$B$2:$B$801,$I422))</f>
        <v/>
      </c>
      <c r="D422" s="16" t="str">
        <f aca="false">IF($I422="","",INDEX(CONSOLIDADO!$C$2:$C$801,$I422))</f>
        <v/>
      </c>
      <c r="E422" s="16" t="str">
        <f aca="false">IF($I422="","",INDEX(CONSOLIDADO!$D$2:$D$801,$I422))</f>
        <v/>
      </c>
      <c r="F422" s="14" t="str">
        <f aca="false">IF($I422="","",INDEX(CONSOLIDADO!$E$2:$E$801,$I422))</f>
        <v/>
      </c>
      <c r="G422" s="16" t="str">
        <f aca="false">IF($I422="","",INDEX(CONSOLIDADO!$G$2:$G$801,$I422))</f>
        <v/>
      </c>
      <c r="H422" s="16" t="str">
        <f aca="false">IF($I422="","",INDEX(CONSOLIDADO!$H$2:$H$801,$I422))</f>
        <v/>
      </c>
      <c r="I422" s="11" t="str">
        <f aca="false">IFERROR(MATCH(ROW()-1,CONSOLIDADO!$AJ$2:$AJ$801,0),"")</f>
        <v/>
      </c>
      <c r="J422" s="11" t="str">
        <f aca="false">IF(B422="","",F422&amp;" "&amp;C422&amp;" ("&amp;B422&amp;")")</f>
        <v/>
      </c>
    </row>
    <row r="423" customFormat="false" ht="15" hidden="false" customHeight="false" outlineLevel="0" collapsed="false">
      <c r="A423" s="16"/>
      <c r="B423" s="11" t="str">
        <f aca="false">IF($I423="","",INDEX(CONSOLIDADO!$A$2:$A$801,$I423))</f>
        <v/>
      </c>
      <c r="C423" s="11" t="str">
        <f aca="false">IF($I423="","",INDEX(CONSOLIDADO!$B$2:$B$801,$I423))</f>
        <v/>
      </c>
      <c r="D423" s="16" t="str">
        <f aca="false">IF($I423="","",INDEX(CONSOLIDADO!$C$2:$C$801,$I423))</f>
        <v/>
      </c>
      <c r="E423" s="16" t="str">
        <f aca="false">IF($I423="","",INDEX(CONSOLIDADO!$D$2:$D$801,$I423))</f>
        <v/>
      </c>
      <c r="F423" s="14" t="str">
        <f aca="false">IF($I423="","",INDEX(CONSOLIDADO!$E$2:$E$801,$I423))</f>
        <v/>
      </c>
      <c r="G423" s="16" t="str">
        <f aca="false">IF($I423="","",INDEX(CONSOLIDADO!$G$2:$G$801,$I423))</f>
        <v/>
      </c>
      <c r="H423" s="16" t="str">
        <f aca="false">IF($I423="","",INDEX(CONSOLIDADO!$H$2:$H$801,$I423))</f>
        <v/>
      </c>
      <c r="I423" s="11" t="str">
        <f aca="false">IFERROR(MATCH(ROW()-1,CONSOLIDADO!$AJ$2:$AJ$801,0),"")</f>
        <v/>
      </c>
      <c r="J423" s="11" t="str">
        <f aca="false">IF(B423="","",F423&amp;" "&amp;C423&amp;" ("&amp;B423&amp;")")</f>
        <v/>
      </c>
    </row>
    <row r="424" customFormat="false" ht="15" hidden="false" customHeight="false" outlineLevel="0" collapsed="false">
      <c r="A424" s="16"/>
      <c r="B424" s="11" t="str">
        <f aca="false">IF($I424="","",INDEX(CONSOLIDADO!$A$2:$A$801,$I424))</f>
        <v/>
      </c>
      <c r="C424" s="11" t="str">
        <f aca="false">IF($I424="","",INDEX(CONSOLIDADO!$B$2:$B$801,$I424))</f>
        <v/>
      </c>
      <c r="D424" s="16" t="str">
        <f aca="false">IF($I424="","",INDEX(CONSOLIDADO!$C$2:$C$801,$I424))</f>
        <v/>
      </c>
      <c r="E424" s="16" t="str">
        <f aca="false">IF($I424="","",INDEX(CONSOLIDADO!$D$2:$D$801,$I424))</f>
        <v/>
      </c>
      <c r="F424" s="14" t="str">
        <f aca="false">IF($I424="","",INDEX(CONSOLIDADO!$E$2:$E$801,$I424))</f>
        <v/>
      </c>
      <c r="G424" s="16" t="str">
        <f aca="false">IF($I424="","",INDEX(CONSOLIDADO!$G$2:$G$801,$I424))</f>
        <v/>
      </c>
      <c r="H424" s="16" t="str">
        <f aca="false">IF($I424="","",INDEX(CONSOLIDADO!$H$2:$H$801,$I424))</f>
        <v/>
      </c>
      <c r="I424" s="11" t="str">
        <f aca="false">IFERROR(MATCH(ROW()-1,CONSOLIDADO!$AJ$2:$AJ$801,0),"")</f>
        <v/>
      </c>
      <c r="J424" s="11" t="str">
        <f aca="false">IF(B424="","",F424&amp;" "&amp;C424&amp;" ("&amp;B424&amp;")")</f>
        <v/>
      </c>
    </row>
    <row r="425" customFormat="false" ht="15" hidden="false" customHeight="false" outlineLevel="0" collapsed="false">
      <c r="A425" s="16"/>
      <c r="B425" s="11" t="str">
        <f aca="false">IF($I425="","",INDEX(CONSOLIDADO!$A$2:$A$801,$I425))</f>
        <v/>
      </c>
      <c r="C425" s="11" t="str">
        <f aca="false">IF($I425="","",INDEX(CONSOLIDADO!$B$2:$B$801,$I425))</f>
        <v/>
      </c>
      <c r="D425" s="16" t="str">
        <f aca="false">IF($I425="","",INDEX(CONSOLIDADO!$C$2:$C$801,$I425))</f>
        <v/>
      </c>
      <c r="E425" s="16" t="str">
        <f aca="false">IF($I425="","",INDEX(CONSOLIDADO!$D$2:$D$801,$I425))</f>
        <v/>
      </c>
      <c r="F425" s="14" t="str">
        <f aca="false">IF($I425="","",INDEX(CONSOLIDADO!$E$2:$E$801,$I425))</f>
        <v/>
      </c>
      <c r="G425" s="16" t="str">
        <f aca="false">IF($I425="","",INDEX(CONSOLIDADO!$G$2:$G$801,$I425))</f>
        <v/>
      </c>
      <c r="H425" s="16" t="str">
        <f aca="false">IF($I425="","",INDEX(CONSOLIDADO!$H$2:$H$801,$I425))</f>
        <v/>
      </c>
      <c r="I425" s="11" t="str">
        <f aca="false">IFERROR(MATCH(ROW()-1,CONSOLIDADO!$AJ$2:$AJ$801,0),"")</f>
        <v/>
      </c>
      <c r="J425" s="11" t="str">
        <f aca="false">IF(B425="","",F425&amp;" "&amp;C425&amp;" ("&amp;B425&amp;")")</f>
        <v/>
      </c>
    </row>
    <row r="426" customFormat="false" ht="15" hidden="false" customHeight="false" outlineLevel="0" collapsed="false">
      <c r="A426" s="16"/>
      <c r="B426" s="11" t="str">
        <f aca="false">IF($I426="","",INDEX(CONSOLIDADO!$A$2:$A$801,$I426))</f>
        <v/>
      </c>
      <c r="C426" s="11" t="str">
        <f aca="false">IF($I426="","",INDEX(CONSOLIDADO!$B$2:$B$801,$I426))</f>
        <v/>
      </c>
      <c r="D426" s="16" t="str">
        <f aca="false">IF($I426="","",INDEX(CONSOLIDADO!$C$2:$C$801,$I426))</f>
        <v/>
      </c>
      <c r="E426" s="16" t="str">
        <f aca="false">IF($I426="","",INDEX(CONSOLIDADO!$D$2:$D$801,$I426))</f>
        <v/>
      </c>
      <c r="F426" s="14" t="str">
        <f aca="false">IF($I426="","",INDEX(CONSOLIDADO!$E$2:$E$801,$I426))</f>
        <v/>
      </c>
      <c r="G426" s="16" t="str">
        <f aca="false">IF($I426="","",INDEX(CONSOLIDADO!$G$2:$G$801,$I426))</f>
        <v/>
      </c>
      <c r="H426" s="16" t="str">
        <f aca="false">IF($I426="","",INDEX(CONSOLIDADO!$H$2:$H$801,$I426))</f>
        <v/>
      </c>
      <c r="I426" s="11" t="str">
        <f aca="false">IFERROR(MATCH(ROW()-1,CONSOLIDADO!$AJ$2:$AJ$801,0),"")</f>
        <v/>
      </c>
      <c r="J426" s="11" t="str">
        <f aca="false">IF(B426="","",F426&amp;" "&amp;C426&amp;" ("&amp;B426&amp;")")</f>
        <v/>
      </c>
    </row>
    <row r="427" customFormat="false" ht="15" hidden="false" customHeight="false" outlineLevel="0" collapsed="false">
      <c r="A427" s="16"/>
      <c r="B427" s="11" t="str">
        <f aca="false">IF($I427="","",INDEX(CONSOLIDADO!$A$2:$A$801,$I427))</f>
        <v/>
      </c>
      <c r="C427" s="11" t="str">
        <f aca="false">IF($I427="","",INDEX(CONSOLIDADO!$B$2:$B$801,$I427))</f>
        <v/>
      </c>
      <c r="D427" s="16" t="str">
        <f aca="false">IF($I427="","",INDEX(CONSOLIDADO!$C$2:$C$801,$I427))</f>
        <v/>
      </c>
      <c r="E427" s="16" t="str">
        <f aca="false">IF($I427="","",INDEX(CONSOLIDADO!$D$2:$D$801,$I427))</f>
        <v/>
      </c>
      <c r="F427" s="14" t="str">
        <f aca="false">IF($I427="","",INDEX(CONSOLIDADO!$E$2:$E$801,$I427))</f>
        <v/>
      </c>
      <c r="G427" s="16" t="str">
        <f aca="false">IF($I427="","",INDEX(CONSOLIDADO!$G$2:$G$801,$I427))</f>
        <v/>
      </c>
      <c r="H427" s="16" t="str">
        <f aca="false">IF($I427="","",INDEX(CONSOLIDADO!$H$2:$H$801,$I427))</f>
        <v/>
      </c>
      <c r="I427" s="11" t="str">
        <f aca="false">IFERROR(MATCH(ROW()-1,CONSOLIDADO!$AJ$2:$AJ$801,0),"")</f>
        <v/>
      </c>
      <c r="J427" s="11" t="str">
        <f aca="false">IF(B427="","",F427&amp;" "&amp;C427&amp;" ("&amp;B427&amp;")")</f>
        <v/>
      </c>
    </row>
    <row r="428" customFormat="false" ht="15" hidden="false" customHeight="false" outlineLevel="0" collapsed="false">
      <c r="A428" s="16"/>
      <c r="B428" s="11" t="str">
        <f aca="false">IF($I428="","",INDEX(CONSOLIDADO!$A$2:$A$801,$I428))</f>
        <v/>
      </c>
      <c r="C428" s="11" t="str">
        <f aca="false">IF($I428="","",INDEX(CONSOLIDADO!$B$2:$B$801,$I428))</f>
        <v/>
      </c>
      <c r="D428" s="16" t="str">
        <f aca="false">IF($I428="","",INDEX(CONSOLIDADO!$C$2:$C$801,$I428))</f>
        <v/>
      </c>
      <c r="E428" s="16" t="str">
        <f aca="false">IF($I428="","",INDEX(CONSOLIDADO!$D$2:$D$801,$I428))</f>
        <v/>
      </c>
      <c r="F428" s="14" t="str">
        <f aca="false">IF($I428="","",INDEX(CONSOLIDADO!$E$2:$E$801,$I428))</f>
        <v/>
      </c>
      <c r="G428" s="16" t="str">
        <f aca="false">IF($I428="","",INDEX(CONSOLIDADO!$G$2:$G$801,$I428))</f>
        <v/>
      </c>
      <c r="H428" s="16" t="str">
        <f aca="false">IF($I428="","",INDEX(CONSOLIDADO!$H$2:$H$801,$I428))</f>
        <v/>
      </c>
      <c r="I428" s="11" t="str">
        <f aca="false">IFERROR(MATCH(ROW()-1,CONSOLIDADO!$AJ$2:$AJ$801,0),"")</f>
        <v/>
      </c>
      <c r="J428" s="11" t="str">
        <f aca="false">IF(B428="","",F428&amp;" "&amp;C428&amp;" ("&amp;B428&amp;")")</f>
        <v/>
      </c>
    </row>
    <row r="429" customFormat="false" ht="15" hidden="false" customHeight="false" outlineLevel="0" collapsed="false">
      <c r="A429" s="16"/>
      <c r="B429" s="11" t="str">
        <f aca="false">IF($I429="","",INDEX(CONSOLIDADO!$A$2:$A$801,$I429))</f>
        <v/>
      </c>
      <c r="C429" s="11" t="str">
        <f aca="false">IF($I429="","",INDEX(CONSOLIDADO!$B$2:$B$801,$I429))</f>
        <v/>
      </c>
      <c r="D429" s="16" t="str">
        <f aca="false">IF($I429="","",INDEX(CONSOLIDADO!$C$2:$C$801,$I429))</f>
        <v/>
      </c>
      <c r="E429" s="16" t="str">
        <f aca="false">IF($I429="","",INDEX(CONSOLIDADO!$D$2:$D$801,$I429))</f>
        <v/>
      </c>
      <c r="F429" s="14" t="str">
        <f aca="false">IF($I429="","",INDEX(CONSOLIDADO!$E$2:$E$801,$I429))</f>
        <v/>
      </c>
      <c r="G429" s="16" t="str">
        <f aca="false">IF($I429="","",INDEX(CONSOLIDADO!$G$2:$G$801,$I429))</f>
        <v/>
      </c>
      <c r="H429" s="16" t="str">
        <f aca="false">IF($I429="","",INDEX(CONSOLIDADO!$H$2:$H$801,$I429))</f>
        <v/>
      </c>
      <c r="I429" s="11" t="str">
        <f aca="false">IFERROR(MATCH(ROW()-1,CONSOLIDADO!$AJ$2:$AJ$801,0),"")</f>
        <v/>
      </c>
      <c r="J429" s="11" t="str">
        <f aca="false">IF(B429="","",F429&amp;" "&amp;C429&amp;" ("&amp;B429&amp;")")</f>
        <v/>
      </c>
    </row>
    <row r="430" customFormat="false" ht="15" hidden="false" customHeight="false" outlineLevel="0" collapsed="false">
      <c r="A430" s="16"/>
      <c r="B430" s="11" t="str">
        <f aca="false">IF($I430="","",INDEX(CONSOLIDADO!$A$2:$A$801,$I430))</f>
        <v/>
      </c>
      <c r="C430" s="11" t="str">
        <f aca="false">IF($I430="","",INDEX(CONSOLIDADO!$B$2:$B$801,$I430))</f>
        <v/>
      </c>
      <c r="D430" s="16" t="str">
        <f aca="false">IF($I430="","",INDEX(CONSOLIDADO!$C$2:$C$801,$I430))</f>
        <v/>
      </c>
      <c r="E430" s="16" t="str">
        <f aca="false">IF($I430="","",INDEX(CONSOLIDADO!$D$2:$D$801,$I430))</f>
        <v/>
      </c>
      <c r="F430" s="14" t="str">
        <f aca="false">IF($I430="","",INDEX(CONSOLIDADO!$E$2:$E$801,$I430))</f>
        <v/>
      </c>
      <c r="G430" s="16" t="str">
        <f aca="false">IF($I430="","",INDEX(CONSOLIDADO!$G$2:$G$801,$I430))</f>
        <v/>
      </c>
      <c r="H430" s="16" t="str">
        <f aca="false">IF($I430="","",INDEX(CONSOLIDADO!$H$2:$H$801,$I430))</f>
        <v/>
      </c>
      <c r="I430" s="11" t="str">
        <f aca="false">IFERROR(MATCH(ROW()-1,CONSOLIDADO!$AJ$2:$AJ$801,0),"")</f>
        <v/>
      </c>
      <c r="J430" s="11" t="str">
        <f aca="false">IF(B430="","",F430&amp;" "&amp;C430&amp;" ("&amp;B430&amp;")")</f>
        <v/>
      </c>
    </row>
    <row r="431" customFormat="false" ht="15" hidden="false" customHeight="false" outlineLevel="0" collapsed="false">
      <c r="A431" s="16"/>
      <c r="B431" s="11" t="str">
        <f aca="false">IF($I431="","",INDEX(CONSOLIDADO!$A$2:$A$801,$I431))</f>
        <v/>
      </c>
      <c r="C431" s="11" t="str">
        <f aca="false">IF($I431="","",INDEX(CONSOLIDADO!$B$2:$B$801,$I431))</f>
        <v/>
      </c>
      <c r="D431" s="16" t="str">
        <f aca="false">IF($I431="","",INDEX(CONSOLIDADO!$C$2:$C$801,$I431))</f>
        <v/>
      </c>
      <c r="E431" s="16" t="str">
        <f aca="false">IF($I431="","",INDEX(CONSOLIDADO!$D$2:$D$801,$I431))</f>
        <v/>
      </c>
      <c r="F431" s="14" t="str">
        <f aca="false">IF($I431="","",INDEX(CONSOLIDADO!$E$2:$E$801,$I431))</f>
        <v/>
      </c>
      <c r="G431" s="16" t="str">
        <f aca="false">IF($I431="","",INDEX(CONSOLIDADO!$G$2:$G$801,$I431))</f>
        <v/>
      </c>
      <c r="H431" s="16" t="str">
        <f aca="false">IF($I431="","",INDEX(CONSOLIDADO!$H$2:$H$801,$I431))</f>
        <v/>
      </c>
      <c r="I431" s="11" t="str">
        <f aca="false">IFERROR(MATCH(ROW()-1,CONSOLIDADO!$AJ$2:$AJ$801,0),"")</f>
        <v/>
      </c>
      <c r="J431" s="11" t="str">
        <f aca="false">IF(B431="","",F431&amp;" "&amp;C431&amp;" ("&amp;B431&amp;")")</f>
        <v/>
      </c>
    </row>
    <row r="432" customFormat="false" ht="15" hidden="false" customHeight="false" outlineLevel="0" collapsed="false">
      <c r="A432" s="16"/>
      <c r="B432" s="11" t="str">
        <f aca="false">IF($I432="","",INDEX(CONSOLIDADO!$A$2:$A$801,$I432))</f>
        <v/>
      </c>
      <c r="C432" s="11" t="str">
        <f aca="false">IF($I432="","",INDEX(CONSOLIDADO!$B$2:$B$801,$I432))</f>
        <v/>
      </c>
      <c r="D432" s="16" t="str">
        <f aca="false">IF($I432="","",INDEX(CONSOLIDADO!$C$2:$C$801,$I432))</f>
        <v/>
      </c>
      <c r="E432" s="16" t="str">
        <f aca="false">IF($I432="","",INDEX(CONSOLIDADO!$D$2:$D$801,$I432))</f>
        <v/>
      </c>
      <c r="F432" s="14" t="str">
        <f aca="false">IF($I432="","",INDEX(CONSOLIDADO!$E$2:$E$801,$I432))</f>
        <v/>
      </c>
      <c r="G432" s="16" t="str">
        <f aca="false">IF($I432="","",INDEX(CONSOLIDADO!$G$2:$G$801,$I432))</f>
        <v/>
      </c>
      <c r="H432" s="16" t="str">
        <f aca="false">IF($I432="","",INDEX(CONSOLIDADO!$H$2:$H$801,$I432))</f>
        <v/>
      </c>
      <c r="I432" s="11" t="str">
        <f aca="false">IFERROR(MATCH(ROW()-1,CONSOLIDADO!$AJ$2:$AJ$801,0),"")</f>
        <v/>
      </c>
      <c r="J432" s="11" t="str">
        <f aca="false">IF(B432="","",F432&amp;" "&amp;C432&amp;" ("&amp;B432&amp;")")</f>
        <v/>
      </c>
    </row>
    <row r="433" customFormat="false" ht="15" hidden="false" customHeight="false" outlineLevel="0" collapsed="false">
      <c r="A433" s="16"/>
      <c r="B433" s="11" t="str">
        <f aca="false">IF($I433="","",INDEX(CONSOLIDADO!$A$2:$A$801,$I433))</f>
        <v/>
      </c>
      <c r="C433" s="11" t="str">
        <f aca="false">IF($I433="","",INDEX(CONSOLIDADO!$B$2:$B$801,$I433))</f>
        <v/>
      </c>
      <c r="D433" s="16" t="str">
        <f aca="false">IF($I433="","",INDEX(CONSOLIDADO!$C$2:$C$801,$I433))</f>
        <v/>
      </c>
      <c r="E433" s="16" t="str">
        <f aca="false">IF($I433="","",INDEX(CONSOLIDADO!$D$2:$D$801,$I433))</f>
        <v/>
      </c>
      <c r="F433" s="14" t="str">
        <f aca="false">IF($I433="","",INDEX(CONSOLIDADO!$E$2:$E$801,$I433))</f>
        <v/>
      </c>
      <c r="G433" s="16" t="str">
        <f aca="false">IF($I433="","",INDEX(CONSOLIDADO!$G$2:$G$801,$I433))</f>
        <v/>
      </c>
      <c r="H433" s="16" t="str">
        <f aca="false">IF($I433="","",INDEX(CONSOLIDADO!$H$2:$H$801,$I433))</f>
        <v/>
      </c>
      <c r="I433" s="11" t="str">
        <f aca="false">IFERROR(MATCH(ROW()-1,CONSOLIDADO!$AJ$2:$AJ$801,0),"")</f>
        <v/>
      </c>
      <c r="J433" s="11" t="str">
        <f aca="false">IF(B433="","",F433&amp;" "&amp;C433&amp;" ("&amp;B433&amp;")")</f>
        <v/>
      </c>
    </row>
    <row r="434" customFormat="false" ht="15" hidden="false" customHeight="false" outlineLevel="0" collapsed="false">
      <c r="A434" s="16"/>
      <c r="B434" s="11" t="str">
        <f aca="false">IF($I434="","",INDEX(CONSOLIDADO!$A$2:$A$801,$I434))</f>
        <v/>
      </c>
      <c r="C434" s="11" t="str">
        <f aca="false">IF($I434="","",INDEX(CONSOLIDADO!$B$2:$B$801,$I434))</f>
        <v/>
      </c>
      <c r="D434" s="16" t="str">
        <f aca="false">IF($I434="","",INDEX(CONSOLIDADO!$C$2:$C$801,$I434))</f>
        <v/>
      </c>
      <c r="E434" s="16" t="str">
        <f aca="false">IF($I434="","",INDEX(CONSOLIDADO!$D$2:$D$801,$I434))</f>
        <v/>
      </c>
      <c r="F434" s="14" t="str">
        <f aca="false">IF($I434="","",INDEX(CONSOLIDADO!$E$2:$E$801,$I434))</f>
        <v/>
      </c>
      <c r="G434" s="16" t="str">
        <f aca="false">IF($I434="","",INDEX(CONSOLIDADO!$G$2:$G$801,$I434))</f>
        <v/>
      </c>
      <c r="H434" s="16" t="str">
        <f aca="false">IF($I434="","",INDEX(CONSOLIDADO!$H$2:$H$801,$I434))</f>
        <v/>
      </c>
      <c r="I434" s="11" t="str">
        <f aca="false">IFERROR(MATCH(ROW()-1,CONSOLIDADO!$AJ$2:$AJ$801,0),"")</f>
        <v/>
      </c>
      <c r="J434" s="11" t="str">
        <f aca="false">IF(B434="","",F434&amp;" "&amp;C434&amp;" ("&amp;B434&amp;")")</f>
        <v/>
      </c>
    </row>
    <row r="435" customFormat="false" ht="15" hidden="false" customHeight="false" outlineLevel="0" collapsed="false">
      <c r="A435" s="16"/>
      <c r="B435" s="11" t="str">
        <f aca="false">IF($I435="","",INDEX(CONSOLIDADO!$A$2:$A$801,$I435))</f>
        <v/>
      </c>
      <c r="C435" s="11" t="str">
        <f aca="false">IF($I435="","",INDEX(CONSOLIDADO!$B$2:$B$801,$I435))</f>
        <v/>
      </c>
      <c r="D435" s="16" t="str">
        <f aca="false">IF($I435="","",INDEX(CONSOLIDADO!$C$2:$C$801,$I435))</f>
        <v/>
      </c>
      <c r="E435" s="16" t="str">
        <f aca="false">IF($I435="","",INDEX(CONSOLIDADO!$D$2:$D$801,$I435))</f>
        <v/>
      </c>
      <c r="F435" s="14" t="str">
        <f aca="false">IF($I435="","",INDEX(CONSOLIDADO!$E$2:$E$801,$I435))</f>
        <v/>
      </c>
      <c r="G435" s="16" t="str">
        <f aca="false">IF($I435="","",INDEX(CONSOLIDADO!$G$2:$G$801,$I435))</f>
        <v/>
      </c>
      <c r="H435" s="16" t="str">
        <f aca="false">IF($I435="","",INDEX(CONSOLIDADO!$H$2:$H$801,$I435))</f>
        <v/>
      </c>
      <c r="I435" s="11" t="str">
        <f aca="false">IFERROR(MATCH(ROW()-1,CONSOLIDADO!$AJ$2:$AJ$801,0),"")</f>
        <v/>
      </c>
      <c r="J435" s="11" t="str">
        <f aca="false">IF(B435="","",F435&amp;" "&amp;C435&amp;" ("&amp;B435&amp;")")</f>
        <v/>
      </c>
    </row>
    <row r="436" customFormat="false" ht="15" hidden="false" customHeight="false" outlineLevel="0" collapsed="false">
      <c r="A436" s="16"/>
      <c r="B436" s="11" t="str">
        <f aca="false">IF($I436="","",INDEX(CONSOLIDADO!$A$2:$A$801,$I436))</f>
        <v/>
      </c>
      <c r="C436" s="11" t="str">
        <f aca="false">IF($I436="","",INDEX(CONSOLIDADO!$B$2:$B$801,$I436))</f>
        <v/>
      </c>
      <c r="D436" s="16" t="str">
        <f aca="false">IF($I436="","",INDEX(CONSOLIDADO!$C$2:$C$801,$I436))</f>
        <v/>
      </c>
      <c r="E436" s="16" t="str">
        <f aca="false">IF($I436="","",INDEX(CONSOLIDADO!$D$2:$D$801,$I436))</f>
        <v/>
      </c>
      <c r="F436" s="14" t="str">
        <f aca="false">IF($I436="","",INDEX(CONSOLIDADO!$E$2:$E$801,$I436))</f>
        <v/>
      </c>
      <c r="G436" s="16" t="str">
        <f aca="false">IF($I436="","",INDEX(CONSOLIDADO!$G$2:$G$801,$I436))</f>
        <v/>
      </c>
      <c r="H436" s="16" t="str">
        <f aca="false">IF($I436="","",INDEX(CONSOLIDADO!$H$2:$H$801,$I436))</f>
        <v/>
      </c>
      <c r="I436" s="11" t="str">
        <f aca="false">IFERROR(MATCH(ROW()-1,CONSOLIDADO!$AJ$2:$AJ$801,0),"")</f>
        <v/>
      </c>
      <c r="J436" s="11" t="str">
        <f aca="false">IF(B436="","",F436&amp;" "&amp;C436&amp;" ("&amp;B436&amp;")")</f>
        <v/>
      </c>
    </row>
    <row r="437" customFormat="false" ht="15" hidden="false" customHeight="false" outlineLevel="0" collapsed="false">
      <c r="A437" s="16"/>
      <c r="B437" s="11" t="str">
        <f aca="false">IF($I437="","",INDEX(CONSOLIDADO!$A$2:$A$801,$I437))</f>
        <v/>
      </c>
      <c r="C437" s="11" t="str">
        <f aca="false">IF($I437="","",INDEX(CONSOLIDADO!$B$2:$B$801,$I437))</f>
        <v/>
      </c>
      <c r="D437" s="16" t="str">
        <f aca="false">IF($I437="","",INDEX(CONSOLIDADO!$C$2:$C$801,$I437))</f>
        <v/>
      </c>
      <c r="E437" s="16" t="str">
        <f aca="false">IF($I437="","",INDEX(CONSOLIDADO!$D$2:$D$801,$I437))</f>
        <v/>
      </c>
      <c r="F437" s="14" t="str">
        <f aca="false">IF($I437="","",INDEX(CONSOLIDADO!$E$2:$E$801,$I437))</f>
        <v/>
      </c>
      <c r="G437" s="16" t="str">
        <f aca="false">IF($I437="","",INDEX(CONSOLIDADO!$G$2:$G$801,$I437))</f>
        <v/>
      </c>
      <c r="H437" s="16" t="str">
        <f aca="false">IF($I437="","",INDEX(CONSOLIDADO!$H$2:$H$801,$I437))</f>
        <v/>
      </c>
      <c r="I437" s="11" t="str">
        <f aca="false">IFERROR(MATCH(ROW()-1,CONSOLIDADO!$AJ$2:$AJ$801,0),"")</f>
        <v/>
      </c>
      <c r="J437" s="11" t="str">
        <f aca="false">IF(B437="","",F437&amp;" "&amp;C437&amp;" ("&amp;B437&amp;")")</f>
        <v/>
      </c>
    </row>
    <row r="438" customFormat="false" ht="15" hidden="false" customHeight="false" outlineLevel="0" collapsed="false">
      <c r="A438" s="16"/>
      <c r="B438" s="11" t="str">
        <f aca="false">IF($I438="","",INDEX(CONSOLIDADO!$A$2:$A$801,$I438))</f>
        <v/>
      </c>
      <c r="C438" s="11" t="str">
        <f aca="false">IF($I438="","",INDEX(CONSOLIDADO!$B$2:$B$801,$I438))</f>
        <v/>
      </c>
      <c r="D438" s="16" t="str">
        <f aca="false">IF($I438="","",INDEX(CONSOLIDADO!$C$2:$C$801,$I438))</f>
        <v/>
      </c>
      <c r="E438" s="16" t="str">
        <f aca="false">IF($I438="","",INDEX(CONSOLIDADO!$D$2:$D$801,$I438))</f>
        <v/>
      </c>
      <c r="F438" s="14" t="str">
        <f aca="false">IF($I438="","",INDEX(CONSOLIDADO!$E$2:$E$801,$I438))</f>
        <v/>
      </c>
      <c r="G438" s="16" t="str">
        <f aca="false">IF($I438="","",INDEX(CONSOLIDADO!$G$2:$G$801,$I438))</f>
        <v/>
      </c>
      <c r="H438" s="16" t="str">
        <f aca="false">IF($I438="","",INDEX(CONSOLIDADO!$H$2:$H$801,$I438))</f>
        <v/>
      </c>
      <c r="I438" s="11" t="str">
        <f aca="false">IFERROR(MATCH(ROW()-1,CONSOLIDADO!$AJ$2:$AJ$801,0),"")</f>
        <v/>
      </c>
      <c r="J438" s="11" t="str">
        <f aca="false">IF(B438="","",F438&amp;" "&amp;C438&amp;" ("&amp;B438&amp;")")</f>
        <v/>
      </c>
    </row>
    <row r="439" customFormat="false" ht="15" hidden="false" customHeight="false" outlineLevel="0" collapsed="false">
      <c r="A439" s="16"/>
      <c r="B439" s="11" t="str">
        <f aca="false">IF($I439="","",INDEX(CONSOLIDADO!$A$2:$A$801,$I439))</f>
        <v/>
      </c>
      <c r="C439" s="11" t="str">
        <f aca="false">IF($I439="","",INDEX(CONSOLIDADO!$B$2:$B$801,$I439))</f>
        <v/>
      </c>
      <c r="D439" s="16" t="str">
        <f aca="false">IF($I439="","",INDEX(CONSOLIDADO!$C$2:$C$801,$I439))</f>
        <v/>
      </c>
      <c r="E439" s="16" t="str">
        <f aca="false">IF($I439="","",INDEX(CONSOLIDADO!$D$2:$D$801,$I439))</f>
        <v/>
      </c>
      <c r="F439" s="14" t="str">
        <f aca="false">IF($I439="","",INDEX(CONSOLIDADO!$E$2:$E$801,$I439))</f>
        <v/>
      </c>
      <c r="G439" s="16" t="str">
        <f aca="false">IF($I439="","",INDEX(CONSOLIDADO!$G$2:$G$801,$I439))</f>
        <v/>
      </c>
      <c r="H439" s="16" t="str">
        <f aca="false">IF($I439="","",INDEX(CONSOLIDADO!$H$2:$H$801,$I439))</f>
        <v/>
      </c>
      <c r="I439" s="11" t="str">
        <f aca="false">IFERROR(MATCH(ROW()-1,CONSOLIDADO!$AJ$2:$AJ$801,0),"")</f>
        <v/>
      </c>
      <c r="J439" s="11" t="str">
        <f aca="false">IF(B439="","",F439&amp;" "&amp;C439&amp;" ("&amp;B439&amp;")")</f>
        <v/>
      </c>
    </row>
    <row r="440" customFormat="false" ht="15" hidden="false" customHeight="false" outlineLevel="0" collapsed="false">
      <c r="A440" s="16"/>
      <c r="B440" s="11" t="str">
        <f aca="false">IF($I440="","",INDEX(CONSOLIDADO!$A$2:$A$801,$I440))</f>
        <v/>
      </c>
      <c r="C440" s="11" t="str">
        <f aca="false">IF($I440="","",INDEX(CONSOLIDADO!$B$2:$B$801,$I440))</f>
        <v/>
      </c>
      <c r="D440" s="16" t="str">
        <f aca="false">IF($I440="","",INDEX(CONSOLIDADO!$C$2:$C$801,$I440))</f>
        <v/>
      </c>
      <c r="E440" s="16" t="str">
        <f aca="false">IF($I440="","",INDEX(CONSOLIDADO!$D$2:$D$801,$I440))</f>
        <v/>
      </c>
      <c r="F440" s="14" t="str">
        <f aca="false">IF($I440="","",INDEX(CONSOLIDADO!$E$2:$E$801,$I440))</f>
        <v/>
      </c>
      <c r="G440" s="16" t="str">
        <f aca="false">IF($I440="","",INDEX(CONSOLIDADO!$G$2:$G$801,$I440))</f>
        <v/>
      </c>
      <c r="H440" s="16" t="str">
        <f aca="false">IF($I440="","",INDEX(CONSOLIDADO!$H$2:$H$801,$I440))</f>
        <v/>
      </c>
      <c r="I440" s="11" t="str">
        <f aca="false">IFERROR(MATCH(ROW()-1,CONSOLIDADO!$AJ$2:$AJ$801,0),"")</f>
        <v/>
      </c>
      <c r="J440" s="11" t="str">
        <f aca="false">IF(B440="","",F440&amp;" "&amp;C440&amp;" ("&amp;B440&amp;")")</f>
        <v/>
      </c>
    </row>
    <row r="441" customFormat="false" ht="15" hidden="false" customHeight="false" outlineLevel="0" collapsed="false">
      <c r="A441" s="16"/>
      <c r="B441" s="11" t="str">
        <f aca="false">IF($I441="","",INDEX(CONSOLIDADO!$A$2:$A$801,$I441))</f>
        <v/>
      </c>
      <c r="C441" s="11" t="str">
        <f aca="false">IF($I441="","",INDEX(CONSOLIDADO!$B$2:$B$801,$I441))</f>
        <v/>
      </c>
      <c r="D441" s="16" t="str">
        <f aca="false">IF($I441="","",INDEX(CONSOLIDADO!$C$2:$C$801,$I441))</f>
        <v/>
      </c>
      <c r="E441" s="16" t="str">
        <f aca="false">IF($I441="","",INDEX(CONSOLIDADO!$D$2:$D$801,$I441))</f>
        <v/>
      </c>
      <c r="F441" s="14" t="str">
        <f aca="false">IF($I441="","",INDEX(CONSOLIDADO!$E$2:$E$801,$I441))</f>
        <v/>
      </c>
      <c r="G441" s="16" t="str">
        <f aca="false">IF($I441="","",INDEX(CONSOLIDADO!$G$2:$G$801,$I441))</f>
        <v/>
      </c>
      <c r="H441" s="16" t="str">
        <f aca="false">IF($I441="","",INDEX(CONSOLIDADO!$H$2:$H$801,$I441))</f>
        <v/>
      </c>
      <c r="I441" s="11" t="str">
        <f aca="false">IFERROR(MATCH(ROW()-1,CONSOLIDADO!$AJ$2:$AJ$801,0),"")</f>
        <v/>
      </c>
      <c r="J441" s="11" t="str">
        <f aca="false">IF(B441="","",F441&amp;" "&amp;C441&amp;" ("&amp;B441&amp;")")</f>
        <v/>
      </c>
    </row>
    <row r="442" customFormat="false" ht="15" hidden="false" customHeight="false" outlineLevel="0" collapsed="false">
      <c r="A442" s="16"/>
      <c r="B442" s="11" t="str">
        <f aca="false">IF($I442="","",INDEX(CONSOLIDADO!$A$2:$A$801,$I442))</f>
        <v/>
      </c>
      <c r="C442" s="11" t="str">
        <f aca="false">IF($I442="","",INDEX(CONSOLIDADO!$B$2:$B$801,$I442))</f>
        <v/>
      </c>
      <c r="D442" s="16" t="str">
        <f aca="false">IF($I442="","",INDEX(CONSOLIDADO!$C$2:$C$801,$I442))</f>
        <v/>
      </c>
      <c r="E442" s="16" t="str">
        <f aca="false">IF($I442="","",INDEX(CONSOLIDADO!$D$2:$D$801,$I442))</f>
        <v/>
      </c>
      <c r="F442" s="14" t="str">
        <f aca="false">IF($I442="","",INDEX(CONSOLIDADO!$E$2:$E$801,$I442))</f>
        <v/>
      </c>
      <c r="G442" s="16" t="str">
        <f aca="false">IF($I442="","",INDEX(CONSOLIDADO!$G$2:$G$801,$I442))</f>
        <v/>
      </c>
      <c r="H442" s="16" t="str">
        <f aca="false">IF($I442="","",INDEX(CONSOLIDADO!$H$2:$H$801,$I442))</f>
        <v/>
      </c>
      <c r="I442" s="11" t="str">
        <f aca="false">IFERROR(MATCH(ROW()-1,CONSOLIDADO!$AJ$2:$AJ$801,0),"")</f>
        <v/>
      </c>
      <c r="J442" s="11" t="str">
        <f aca="false">IF(B442="","",F442&amp;" "&amp;C442&amp;" ("&amp;B442&amp;")")</f>
        <v/>
      </c>
    </row>
    <row r="443" customFormat="false" ht="15" hidden="false" customHeight="false" outlineLevel="0" collapsed="false">
      <c r="A443" s="16"/>
      <c r="B443" s="11" t="str">
        <f aca="false">IF($I443="","",INDEX(CONSOLIDADO!$A$2:$A$801,$I443))</f>
        <v/>
      </c>
      <c r="C443" s="11" t="str">
        <f aca="false">IF($I443="","",INDEX(CONSOLIDADO!$B$2:$B$801,$I443))</f>
        <v/>
      </c>
      <c r="D443" s="16" t="str">
        <f aca="false">IF($I443="","",INDEX(CONSOLIDADO!$C$2:$C$801,$I443))</f>
        <v/>
      </c>
      <c r="E443" s="16" t="str">
        <f aca="false">IF($I443="","",INDEX(CONSOLIDADO!$D$2:$D$801,$I443))</f>
        <v/>
      </c>
      <c r="F443" s="14" t="str">
        <f aca="false">IF($I443="","",INDEX(CONSOLIDADO!$E$2:$E$801,$I443))</f>
        <v/>
      </c>
      <c r="G443" s="16" t="str">
        <f aca="false">IF($I443="","",INDEX(CONSOLIDADO!$G$2:$G$801,$I443))</f>
        <v/>
      </c>
      <c r="H443" s="16" t="str">
        <f aca="false">IF($I443="","",INDEX(CONSOLIDADO!$H$2:$H$801,$I443))</f>
        <v/>
      </c>
      <c r="I443" s="11" t="str">
        <f aca="false">IFERROR(MATCH(ROW()-1,CONSOLIDADO!$AJ$2:$AJ$801,0),"")</f>
        <v/>
      </c>
      <c r="J443" s="11" t="str">
        <f aca="false">IF(B443="","",F443&amp;" "&amp;C443&amp;" ("&amp;B443&amp;")")</f>
        <v/>
      </c>
    </row>
    <row r="444" customFormat="false" ht="15" hidden="false" customHeight="false" outlineLevel="0" collapsed="false">
      <c r="A444" s="16"/>
      <c r="B444" s="11" t="str">
        <f aca="false">IF($I444="","",INDEX(CONSOLIDADO!$A$2:$A$801,$I444))</f>
        <v/>
      </c>
      <c r="C444" s="11" t="str">
        <f aca="false">IF($I444="","",INDEX(CONSOLIDADO!$B$2:$B$801,$I444))</f>
        <v/>
      </c>
      <c r="D444" s="16" t="str">
        <f aca="false">IF($I444="","",INDEX(CONSOLIDADO!$C$2:$C$801,$I444))</f>
        <v/>
      </c>
      <c r="E444" s="16" t="str">
        <f aca="false">IF($I444="","",INDEX(CONSOLIDADO!$D$2:$D$801,$I444))</f>
        <v/>
      </c>
      <c r="F444" s="14" t="str">
        <f aca="false">IF($I444="","",INDEX(CONSOLIDADO!$E$2:$E$801,$I444))</f>
        <v/>
      </c>
      <c r="G444" s="16" t="str">
        <f aca="false">IF($I444="","",INDEX(CONSOLIDADO!$G$2:$G$801,$I444))</f>
        <v/>
      </c>
      <c r="H444" s="16" t="str">
        <f aca="false">IF($I444="","",INDEX(CONSOLIDADO!$H$2:$H$801,$I444))</f>
        <v/>
      </c>
      <c r="I444" s="11" t="str">
        <f aca="false">IFERROR(MATCH(ROW()-1,CONSOLIDADO!$AJ$2:$AJ$801,0),"")</f>
        <v/>
      </c>
      <c r="J444" s="11" t="str">
        <f aca="false">IF(B444="","",F444&amp;" "&amp;C444&amp;" ("&amp;B444&amp;")")</f>
        <v/>
      </c>
    </row>
    <row r="445" customFormat="false" ht="15" hidden="false" customHeight="false" outlineLevel="0" collapsed="false">
      <c r="A445" s="16"/>
      <c r="B445" s="11" t="str">
        <f aca="false">IF($I445="","",INDEX(CONSOLIDADO!$A$2:$A$801,$I445))</f>
        <v/>
      </c>
      <c r="C445" s="11" t="str">
        <f aca="false">IF($I445="","",INDEX(CONSOLIDADO!$B$2:$B$801,$I445))</f>
        <v/>
      </c>
      <c r="D445" s="16" t="str">
        <f aca="false">IF($I445="","",INDEX(CONSOLIDADO!$C$2:$C$801,$I445))</f>
        <v/>
      </c>
      <c r="E445" s="16" t="str">
        <f aca="false">IF($I445="","",INDEX(CONSOLIDADO!$D$2:$D$801,$I445))</f>
        <v/>
      </c>
      <c r="F445" s="14" t="str">
        <f aca="false">IF($I445="","",INDEX(CONSOLIDADO!$E$2:$E$801,$I445))</f>
        <v/>
      </c>
      <c r="G445" s="16" t="str">
        <f aca="false">IF($I445="","",INDEX(CONSOLIDADO!$G$2:$G$801,$I445))</f>
        <v/>
      </c>
      <c r="H445" s="16" t="str">
        <f aca="false">IF($I445="","",INDEX(CONSOLIDADO!$H$2:$H$801,$I445))</f>
        <v/>
      </c>
      <c r="I445" s="11" t="str">
        <f aca="false">IFERROR(MATCH(ROW()-1,CONSOLIDADO!$AJ$2:$AJ$801,0),"")</f>
        <v/>
      </c>
      <c r="J445" s="11" t="str">
        <f aca="false">IF(B445="","",F445&amp;" "&amp;C445&amp;" ("&amp;B445&amp;")")</f>
        <v/>
      </c>
    </row>
    <row r="446" customFormat="false" ht="15" hidden="false" customHeight="false" outlineLevel="0" collapsed="false">
      <c r="A446" s="16"/>
      <c r="B446" s="11" t="str">
        <f aca="false">IF($I446="","",INDEX(CONSOLIDADO!$A$2:$A$801,$I446))</f>
        <v/>
      </c>
      <c r="C446" s="11" t="str">
        <f aca="false">IF($I446="","",INDEX(CONSOLIDADO!$B$2:$B$801,$I446))</f>
        <v/>
      </c>
      <c r="D446" s="16" t="str">
        <f aca="false">IF($I446="","",INDEX(CONSOLIDADO!$C$2:$C$801,$I446))</f>
        <v/>
      </c>
      <c r="E446" s="16" t="str">
        <f aca="false">IF($I446="","",INDEX(CONSOLIDADO!$D$2:$D$801,$I446))</f>
        <v/>
      </c>
      <c r="F446" s="14" t="str">
        <f aca="false">IF($I446="","",INDEX(CONSOLIDADO!$E$2:$E$801,$I446))</f>
        <v/>
      </c>
      <c r="G446" s="16" t="str">
        <f aca="false">IF($I446="","",INDEX(CONSOLIDADO!$G$2:$G$801,$I446))</f>
        <v/>
      </c>
      <c r="H446" s="16" t="str">
        <f aca="false">IF($I446="","",INDEX(CONSOLIDADO!$H$2:$H$801,$I446))</f>
        <v/>
      </c>
      <c r="I446" s="11" t="str">
        <f aca="false">IFERROR(MATCH(ROW()-1,CONSOLIDADO!$AJ$2:$AJ$801,0),"")</f>
        <v/>
      </c>
      <c r="J446" s="11" t="str">
        <f aca="false">IF(B446="","",F446&amp;" "&amp;C446&amp;" ("&amp;B446&amp;")")</f>
        <v/>
      </c>
    </row>
    <row r="447" customFormat="false" ht="15" hidden="false" customHeight="false" outlineLevel="0" collapsed="false">
      <c r="A447" s="16"/>
      <c r="B447" s="11" t="str">
        <f aca="false">IF($I447="","",INDEX(CONSOLIDADO!$A$2:$A$801,$I447))</f>
        <v/>
      </c>
      <c r="C447" s="11" t="str">
        <f aca="false">IF($I447="","",INDEX(CONSOLIDADO!$B$2:$B$801,$I447))</f>
        <v/>
      </c>
      <c r="D447" s="16" t="str">
        <f aca="false">IF($I447="","",INDEX(CONSOLIDADO!$C$2:$C$801,$I447))</f>
        <v/>
      </c>
      <c r="E447" s="16" t="str">
        <f aca="false">IF($I447="","",INDEX(CONSOLIDADO!$D$2:$D$801,$I447))</f>
        <v/>
      </c>
      <c r="F447" s="14" t="str">
        <f aca="false">IF($I447="","",INDEX(CONSOLIDADO!$E$2:$E$801,$I447))</f>
        <v/>
      </c>
      <c r="G447" s="16" t="str">
        <f aca="false">IF($I447="","",INDEX(CONSOLIDADO!$G$2:$G$801,$I447))</f>
        <v/>
      </c>
      <c r="H447" s="16" t="str">
        <f aca="false">IF($I447="","",INDEX(CONSOLIDADO!$H$2:$H$801,$I447))</f>
        <v/>
      </c>
      <c r="I447" s="11" t="str">
        <f aca="false">IFERROR(MATCH(ROW()-1,CONSOLIDADO!$AJ$2:$AJ$801,0),"")</f>
        <v/>
      </c>
      <c r="J447" s="11" t="str">
        <f aca="false">IF(B447="","",F447&amp;" "&amp;C447&amp;" ("&amp;B447&amp;")")</f>
        <v/>
      </c>
    </row>
    <row r="448" customFormat="false" ht="15" hidden="false" customHeight="false" outlineLevel="0" collapsed="false">
      <c r="A448" s="16"/>
      <c r="B448" s="11" t="str">
        <f aca="false">IF($I448="","",INDEX(CONSOLIDADO!$A$2:$A$801,$I448))</f>
        <v/>
      </c>
      <c r="C448" s="11" t="str">
        <f aca="false">IF($I448="","",INDEX(CONSOLIDADO!$B$2:$B$801,$I448))</f>
        <v/>
      </c>
      <c r="D448" s="16" t="str">
        <f aca="false">IF($I448="","",INDEX(CONSOLIDADO!$C$2:$C$801,$I448))</f>
        <v/>
      </c>
      <c r="E448" s="16" t="str">
        <f aca="false">IF($I448="","",INDEX(CONSOLIDADO!$D$2:$D$801,$I448))</f>
        <v/>
      </c>
      <c r="F448" s="14" t="str">
        <f aca="false">IF($I448="","",INDEX(CONSOLIDADO!$E$2:$E$801,$I448))</f>
        <v/>
      </c>
      <c r="G448" s="16" t="str">
        <f aca="false">IF($I448="","",INDEX(CONSOLIDADO!$G$2:$G$801,$I448))</f>
        <v/>
      </c>
      <c r="H448" s="16" t="str">
        <f aca="false">IF($I448="","",INDEX(CONSOLIDADO!$H$2:$H$801,$I448))</f>
        <v/>
      </c>
      <c r="I448" s="11" t="str">
        <f aca="false">IFERROR(MATCH(ROW()-1,CONSOLIDADO!$AJ$2:$AJ$801,0),"")</f>
        <v/>
      </c>
      <c r="J448" s="11" t="str">
        <f aca="false">IF(B448="","",F448&amp;" "&amp;C448&amp;" ("&amp;B448&amp;")")</f>
        <v/>
      </c>
    </row>
    <row r="449" customFormat="false" ht="15" hidden="false" customHeight="false" outlineLevel="0" collapsed="false">
      <c r="A449" s="16"/>
      <c r="B449" s="11" t="str">
        <f aca="false">IF($I449="","",INDEX(CONSOLIDADO!$A$2:$A$801,$I449))</f>
        <v/>
      </c>
      <c r="C449" s="11" t="str">
        <f aca="false">IF($I449="","",INDEX(CONSOLIDADO!$B$2:$B$801,$I449))</f>
        <v/>
      </c>
      <c r="D449" s="16" t="str">
        <f aca="false">IF($I449="","",INDEX(CONSOLIDADO!$C$2:$C$801,$I449))</f>
        <v/>
      </c>
      <c r="E449" s="16" t="str">
        <f aca="false">IF($I449="","",INDEX(CONSOLIDADO!$D$2:$D$801,$I449))</f>
        <v/>
      </c>
      <c r="F449" s="14" t="str">
        <f aca="false">IF($I449="","",INDEX(CONSOLIDADO!$E$2:$E$801,$I449))</f>
        <v/>
      </c>
      <c r="G449" s="16" t="str">
        <f aca="false">IF($I449="","",INDEX(CONSOLIDADO!$G$2:$G$801,$I449))</f>
        <v/>
      </c>
      <c r="H449" s="16" t="str">
        <f aca="false">IF($I449="","",INDEX(CONSOLIDADO!$H$2:$H$801,$I449))</f>
        <v/>
      </c>
      <c r="I449" s="11" t="str">
        <f aca="false">IFERROR(MATCH(ROW()-1,CONSOLIDADO!$AJ$2:$AJ$801,0),"")</f>
        <v/>
      </c>
      <c r="J449" s="11" t="str">
        <f aca="false">IF(B449="","",F449&amp;" "&amp;C449&amp;" ("&amp;B449&amp;")")</f>
        <v/>
      </c>
    </row>
    <row r="450" customFormat="false" ht="15" hidden="false" customHeight="false" outlineLevel="0" collapsed="false">
      <c r="A450" s="16"/>
      <c r="B450" s="11" t="str">
        <f aca="false">IF($I450="","",INDEX(CONSOLIDADO!$A$2:$A$801,$I450))</f>
        <v/>
      </c>
      <c r="C450" s="11" t="str">
        <f aca="false">IF($I450="","",INDEX(CONSOLIDADO!$B$2:$B$801,$I450))</f>
        <v/>
      </c>
      <c r="D450" s="16" t="str">
        <f aca="false">IF($I450="","",INDEX(CONSOLIDADO!$C$2:$C$801,$I450))</f>
        <v/>
      </c>
      <c r="E450" s="16" t="str">
        <f aca="false">IF($I450="","",INDEX(CONSOLIDADO!$D$2:$D$801,$I450))</f>
        <v/>
      </c>
      <c r="F450" s="14" t="str">
        <f aca="false">IF($I450="","",INDEX(CONSOLIDADO!$E$2:$E$801,$I450))</f>
        <v/>
      </c>
      <c r="G450" s="16" t="str">
        <f aca="false">IF($I450="","",INDEX(CONSOLIDADO!$G$2:$G$801,$I450))</f>
        <v/>
      </c>
      <c r="H450" s="16" t="str">
        <f aca="false">IF($I450="","",INDEX(CONSOLIDADO!$H$2:$H$801,$I450))</f>
        <v/>
      </c>
      <c r="I450" s="11" t="str">
        <f aca="false">IFERROR(MATCH(ROW()-1,CONSOLIDADO!$AJ$2:$AJ$801,0),"")</f>
        <v/>
      </c>
      <c r="J450" s="11" t="str">
        <f aca="false">IF(B450="","",F450&amp;" "&amp;C450&amp;" ("&amp;B450&amp;")")</f>
        <v/>
      </c>
    </row>
    <row r="451" customFormat="false" ht="15" hidden="false" customHeight="false" outlineLevel="0" collapsed="false">
      <c r="A451" s="16"/>
      <c r="B451" s="11" t="str">
        <f aca="false">IF($I451="","",INDEX(CONSOLIDADO!$A$2:$A$801,$I451))</f>
        <v/>
      </c>
      <c r="C451" s="11" t="str">
        <f aca="false">IF($I451="","",INDEX(CONSOLIDADO!$B$2:$B$801,$I451))</f>
        <v/>
      </c>
      <c r="D451" s="16" t="str">
        <f aca="false">IF($I451="","",INDEX(CONSOLIDADO!$C$2:$C$801,$I451))</f>
        <v/>
      </c>
      <c r="E451" s="16" t="str">
        <f aca="false">IF($I451="","",INDEX(CONSOLIDADO!$D$2:$D$801,$I451))</f>
        <v/>
      </c>
      <c r="F451" s="14" t="str">
        <f aca="false">IF($I451="","",INDEX(CONSOLIDADO!$E$2:$E$801,$I451))</f>
        <v/>
      </c>
      <c r="G451" s="16" t="str">
        <f aca="false">IF($I451="","",INDEX(CONSOLIDADO!$G$2:$G$801,$I451))</f>
        <v/>
      </c>
      <c r="H451" s="16" t="str">
        <f aca="false">IF($I451="","",INDEX(CONSOLIDADO!$H$2:$H$801,$I451))</f>
        <v/>
      </c>
      <c r="I451" s="11" t="str">
        <f aca="false">IFERROR(MATCH(ROW()-1,CONSOLIDADO!$AJ$2:$AJ$801,0),"")</f>
        <v/>
      </c>
      <c r="J451" s="11" t="str">
        <f aca="false">IF(B451="","",F451&amp;" "&amp;C451&amp;" ("&amp;B451&amp;")")</f>
        <v/>
      </c>
    </row>
    <row r="452" customFormat="false" ht="15" hidden="false" customHeight="false" outlineLevel="0" collapsed="false">
      <c r="A452" s="16"/>
      <c r="B452" s="11" t="str">
        <f aca="false">IF($I452="","",INDEX(CONSOLIDADO!$A$2:$A$801,$I452))</f>
        <v/>
      </c>
      <c r="C452" s="11" t="str">
        <f aca="false">IF($I452="","",INDEX(CONSOLIDADO!$B$2:$B$801,$I452))</f>
        <v/>
      </c>
      <c r="D452" s="16" t="str">
        <f aca="false">IF($I452="","",INDEX(CONSOLIDADO!$C$2:$C$801,$I452))</f>
        <v/>
      </c>
      <c r="E452" s="16" t="str">
        <f aca="false">IF($I452="","",INDEX(CONSOLIDADO!$D$2:$D$801,$I452))</f>
        <v/>
      </c>
      <c r="F452" s="14" t="str">
        <f aca="false">IF($I452="","",INDEX(CONSOLIDADO!$E$2:$E$801,$I452))</f>
        <v/>
      </c>
      <c r="G452" s="16" t="str">
        <f aca="false">IF($I452="","",INDEX(CONSOLIDADO!$G$2:$G$801,$I452))</f>
        <v/>
      </c>
      <c r="H452" s="16" t="str">
        <f aca="false">IF($I452="","",INDEX(CONSOLIDADO!$H$2:$H$801,$I452))</f>
        <v/>
      </c>
      <c r="I452" s="11" t="str">
        <f aca="false">IFERROR(MATCH(ROW()-1,CONSOLIDADO!$AJ$2:$AJ$801,0),"")</f>
        <v/>
      </c>
      <c r="J452" s="11" t="str">
        <f aca="false">IF(B452="","",F452&amp;" "&amp;C452&amp;" ("&amp;B452&amp;")")</f>
        <v/>
      </c>
    </row>
    <row r="453" customFormat="false" ht="15" hidden="false" customHeight="false" outlineLevel="0" collapsed="false">
      <c r="A453" s="16"/>
      <c r="B453" s="11" t="str">
        <f aca="false">IF($I453="","",INDEX(CONSOLIDADO!$A$2:$A$801,$I453))</f>
        <v/>
      </c>
      <c r="C453" s="11" t="str">
        <f aca="false">IF($I453="","",INDEX(CONSOLIDADO!$B$2:$B$801,$I453))</f>
        <v/>
      </c>
      <c r="D453" s="16" t="str">
        <f aca="false">IF($I453="","",INDEX(CONSOLIDADO!$C$2:$C$801,$I453))</f>
        <v/>
      </c>
      <c r="E453" s="16" t="str">
        <f aca="false">IF($I453="","",INDEX(CONSOLIDADO!$D$2:$D$801,$I453))</f>
        <v/>
      </c>
      <c r="F453" s="14" t="str">
        <f aca="false">IF($I453="","",INDEX(CONSOLIDADO!$E$2:$E$801,$I453))</f>
        <v/>
      </c>
      <c r="G453" s="16" t="str">
        <f aca="false">IF($I453="","",INDEX(CONSOLIDADO!$G$2:$G$801,$I453))</f>
        <v/>
      </c>
      <c r="H453" s="16" t="str">
        <f aca="false">IF($I453="","",INDEX(CONSOLIDADO!$H$2:$H$801,$I453))</f>
        <v/>
      </c>
      <c r="I453" s="11" t="str">
        <f aca="false">IFERROR(MATCH(ROW()-1,CONSOLIDADO!$AJ$2:$AJ$801,0),"")</f>
        <v/>
      </c>
      <c r="J453" s="11" t="str">
        <f aca="false">IF(B453="","",F453&amp;" "&amp;C453&amp;" ("&amp;B453&amp;")")</f>
        <v/>
      </c>
    </row>
    <row r="454" customFormat="false" ht="15" hidden="false" customHeight="false" outlineLevel="0" collapsed="false">
      <c r="A454" s="16"/>
      <c r="B454" s="11" t="str">
        <f aca="false">IF($I454="","",INDEX(CONSOLIDADO!$A$2:$A$801,$I454))</f>
        <v/>
      </c>
      <c r="C454" s="11" t="str">
        <f aca="false">IF($I454="","",INDEX(CONSOLIDADO!$B$2:$B$801,$I454))</f>
        <v/>
      </c>
      <c r="D454" s="16" t="str">
        <f aca="false">IF($I454="","",INDEX(CONSOLIDADO!$C$2:$C$801,$I454))</f>
        <v/>
      </c>
      <c r="E454" s="16" t="str">
        <f aca="false">IF($I454="","",INDEX(CONSOLIDADO!$D$2:$D$801,$I454))</f>
        <v/>
      </c>
      <c r="F454" s="14" t="str">
        <f aca="false">IF($I454="","",INDEX(CONSOLIDADO!$E$2:$E$801,$I454))</f>
        <v/>
      </c>
      <c r="G454" s="16" t="str">
        <f aca="false">IF($I454="","",INDEX(CONSOLIDADO!$G$2:$G$801,$I454))</f>
        <v/>
      </c>
      <c r="H454" s="16" t="str">
        <f aca="false">IF($I454="","",INDEX(CONSOLIDADO!$H$2:$H$801,$I454))</f>
        <v/>
      </c>
      <c r="I454" s="11" t="str">
        <f aca="false">IFERROR(MATCH(ROW()-1,CONSOLIDADO!$AJ$2:$AJ$801,0),"")</f>
        <v/>
      </c>
      <c r="J454" s="11" t="str">
        <f aca="false">IF(B454="","",F454&amp;" "&amp;C454&amp;" ("&amp;B454&amp;")")</f>
        <v/>
      </c>
    </row>
    <row r="455" customFormat="false" ht="15" hidden="false" customHeight="false" outlineLevel="0" collapsed="false">
      <c r="A455" s="16"/>
      <c r="B455" s="11" t="str">
        <f aca="false">IF($I455="","",INDEX(CONSOLIDADO!$A$2:$A$801,$I455))</f>
        <v/>
      </c>
      <c r="C455" s="11" t="str">
        <f aca="false">IF($I455="","",INDEX(CONSOLIDADO!$B$2:$B$801,$I455))</f>
        <v/>
      </c>
      <c r="D455" s="16" t="str">
        <f aca="false">IF($I455="","",INDEX(CONSOLIDADO!$C$2:$C$801,$I455))</f>
        <v/>
      </c>
      <c r="E455" s="16" t="str">
        <f aca="false">IF($I455="","",INDEX(CONSOLIDADO!$D$2:$D$801,$I455))</f>
        <v/>
      </c>
      <c r="F455" s="14" t="str">
        <f aca="false">IF($I455="","",INDEX(CONSOLIDADO!$E$2:$E$801,$I455))</f>
        <v/>
      </c>
      <c r="G455" s="16" t="str">
        <f aca="false">IF($I455="","",INDEX(CONSOLIDADO!$G$2:$G$801,$I455))</f>
        <v/>
      </c>
      <c r="H455" s="16" t="str">
        <f aca="false">IF($I455="","",INDEX(CONSOLIDADO!$H$2:$H$801,$I455))</f>
        <v/>
      </c>
      <c r="I455" s="11" t="str">
        <f aca="false">IFERROR(MATCH(ROW()-1,CONSOLIDADO!$AJ$2:$AJ$801,0),"")</f>
        <v/>
      </c>
      <c r="J455" s="11" t="str">
        <f aca="false">IF(B455="","",F455&amp;" "&amp;C455&amp;" ("&amp;B455&amp;")")</f>
        <v/>
      </c>
    </row>
    <row r="456" customFormat="false" ht="15" hidden="false" customHeight="false" outlineLevel="0" collapsed="false">
      <c r="A456" s="16"/>
      <c r="B456" s="11" t="str">
        <f aca="false">IF($I456="","",INDEX(CONSOLIDADO!$A$2:$A$801,$I456))</f>
        <v/>
      </c>
      <c r="C456" s="11" t="str">
        <f aca="false">IF($I456="","",INDEX(CONSOLIDADO!$B$2:$B$801,$I456))</f>
        <v/>
      </c>
      <c r="D456" s="16" t="str">
        <f aca="false">IF($I456="","",INDEX(CONSOLIDADO!$C$2:$C$801,$I456))</f>
        <v/>
      </c>
      <c r="E456" s="16" t="str">
        <f aca="false">IF($I456="","",INDEX(CONSOLIDADO!$D$2:$D$801,$I456))</f>
        <v/>
      </c>
      <c r="F456" s="14" t="str">
        <f aca="false">IF($I456="","",INDEX(CONSOLIDADO!$E$2:$E$801,$I456))</f>
        <v/>
      </c>
      <c r="G456" s="16" t="str">
        <f aca="false">IF($I456="","",INDEX(CONSOLIDADO!$G$2:$G$801,$I456))</f>
        <v/>
      </c>
      <c r="H456" s="16" t="str">
        <f aca="false">IF($I456="","",INDEX(CONSOLIDADO!$H$2:$H$801,$I456))</f>
        <v/>
      </c>
      <c r="I456" s="11" t="str">
        <f aca="false">IFERROR(MATCH(ROW()-1,CONSOLIDADO!$AJ$2:$AJ$801,0),"")</f>
        <v/>
      </c>
      <c r="J456" s="11" t="str">
        <f aca="false">IF(B456="","",F456&amp;" "&amp;C456&amp;" ("&amp;B456&amp;")")</f>
        <v/>
      </c>
    </row>
    <row r="457" customFormat="false" ht="15" hidden="false" customHeight="false" outlineLevel="0" collapsed="false">
      <c r="A457" s="16"/>
      <c r="B457" s="11" t="str">
        <f aca="false">IF($I457="","",INDEX(CONSOLIDADO!$A$2:$A$801,$I457))</f>
        <v/>
      </c>
      <c r="C457" s="11" t="str">
        <f aca="false">IF($I457="","",INDEX(CONSOLIDADO!$B$2:$B$801,$I457))</f>
        <v/>
      </c>
      <c r="D457" s="16" t="str">
        <f aca="false">IF($I457="","",INDEX(CONSOLIDADO!$C$2:$C$801,$I457))</f>
        <v/>
      </c>
      <c r="E457" s="16" t="str">
        <f aca="false">IF($I457="","",INDEX(CONSOLIDADO!$D$2:$D$801,$I457))</f>
        <v/>
      </c>
      <c r="F457" s="14" t="str">
        <f aca="false">IF($I457="","",INDEX(CONSOLIDADO!$E$2:$E$801,$I457))</f>
        <v/>
      </c>
      <c r="G457" s="16" t="str">
        <f aca="false">IF($I457="","",INDEX(CONSOLIDADO!$G$2:$G$801,$I457))</f>
        <v/>
      </c>
      <c r="H457" s="16" t="str">
        <f aca="false">IF($I457="","",INDEX(CONSOLIDADO!$H$2:$H$801,$I457))</f>
        <v/>
      </c>
      <c r="I457" s="11" t="str">
        <f aca="false">IFERROR(MATCH(ROW()-1,CONSOLIDADO!$AJ$2:$AJ$801,0),"")</f>
        <v/>
      </c>
      <c r="J457" s="11" t="str">
        <f aca="false">IF(B457="","",F457&amp;" "&amp;C457&amp;" ("&amp;B457&amp;")")</f>
        <v/>
      </c>
    </row>
    <row r="458" customFormat="false" ht="15" hidden="false" customHeight="false" outlineLevel="0" collapsed="false">
      <c r="A458" s="16"/>
      <c r="B458" s="11" t="str">
        <f aca="false">IF($I458="","",INDEX(CONSOLIDADO!$A$2:$A$801,$I458))</f>
        <v/>
      </c>
      <c r="C458" s="11" t="str">
        <f aca="false">IF($I458="","",INDEX(CONSOLIDADO!$B$2:$B$801,$I458))</f>
        <v/>
      </c>
      <c r="D458" s="16" t="str">
        <f aca="false">IF($I458="","",INDEX(CONSOLIDADO!$C$2:$C$801,$I458))</f>
        <v/>
      </c>
      <c r="E458" s="16" t="str">
        <f aca="false">IF($I458="","",INDEX(CONSOLIDADO!$D$2:$D$801,$I458))</f>
        <v/>
      </c>
      <c r="F458" s="14" t="str">
        <f aca="false">IF($I458="","",INDEX(CONSOLIDADO!$E$2:$E$801,$I458))</f>
        <v/>
      </c>
      <c r="G458" s="16" t="str">
        <f aca="false">IF($I458="","",INDEX(CONSOLIDADO!$G$2:$G$801,$I458))</f>
        <v/>
      </c>
      <c r="H458" s="16" t="str">
        <f aca="false">IF($I458="","",INDEX(CONSOLIDADO!$H$2:$H$801,$I458))</f>
        <v/>
      </c>
      <c r="I458" s="11" t="str">
        <f aca="false">IFERROR(MATCH(ROW()-1,CONSOLIDADO!$AJ$2:$AJ$801,0),"")</f>
        <v/>
      </c>
      <c r="J458" s="11" t="str">
        <f aca="false">IF(B458="","",F458&amp;" "&amp;C458&amp;" ("&amp;B458&amp;")")</f>
        <v/>
      </c>
    </row>
    <row r="459" customFormat="false" ht="15" hidden="false" customHeight="false" outlineLevel="0" collapsed="false">
      <c r="A459" s="16"/>
      <c r="B459" s="11" t="str">
        <f aca="false">IF($I459="","",INDEX(CONSOLIDADO!$A$2:$A$801,$I459))</f>
        <v/>
      </c>
      <c r="C459" s="11" t="str">
        <f aca="false">IF($I459="","",INDEX(CONSOLIDADO!$B$2:$B$801,$I459))</f>
        <v/>
      </c>
      <c r="D459" s="16" t="str">
        <f aca="false">IF($I459="","",INDEX(CONSOLIDADO!$C$2:$C$801,$I459))</f>
        <v/>
      </c>
      <c r="E459" s="16" t="str">
        <f aca="false">IF($I459="","",INDEX(CONSOLIDADO!$D$2:$D$801,$I459))</f>
        <v/>
      </c>
      <c r="F459" s="14" t="str">
        <f aca="false">IF($I459="","",INDEX(CONSOLIDADO!$E$2:$E$801,$I459))</f>
        <v/>
      </c>
      <c r="G459" s="16" t="str">
        <f aca="false">IF($I459="","",INDEX(CONSOLIDADO!$G$2:$G$801,$I459))</f>
        <v/>
      </c>
      <c r="H459" s="16" t="str">
        <f aca="false">IF($I459="","",INDEX(CONSOLIDADO!$H$2:$H$801,$I459))</f>
        <v/>
      </c>
      <c r="I459" s="11" t="str">
        <f aca="false">IFERROR(MATCH(ROW()-1,CONSOLIDADO!$AJ$2:$AJ$801,0),"")</f>
        <v/>
      </c>
      <c r="J459" s="11" t="str">
        <f aca="false">IF(B459="","",F459&amp;" "&amp;C459&amp;" ("&amp;B459&amp;")")</f>
        <v/>
      </c>
    </row>
    <row r="460" customFormat="false" ht="15" hidden="false" customHeight="false" outlineLevel="0" collapsed="false">
      <c r="A460" s="16"/>
      <c r="B460" s="11" t="str">
        <f aca="false">IF($I460="","",INDEX(CONSOLIDADO!$A$2:$A$801,$I460))</f>
        <v/>
      </c>
      <c r="C460" s="11" t="str">
        <f aca="false">IF($I460="","",INDEX(CONSOLIDADO!$B$2:$B$801,$I460))</f>
        <v/>
      </c>
      <c r="D460" s="16" t="str">
        <f aca="false">IF($I460="","",INDEX(CONSOLIDADO!$C$2:$C$801,$I460))</f>
        <v/>
      </c>
      <c r="E460" s="16" t="str">
        <f aca="false">IF($I460="","",INDEX(CONSOLIDADO!$D$2:$D$801,$I460))</f>
        <v/>
      </c>
      <c r="F460" s="14" t="str">
        <f aca="false">IF($I460="","",INDEX(CONSOLIDADO!$E$2:$E$801,$I460))</f>
        <v/>
      </c>
      <c r="G460" s="16" t="str">
        <f aca="false">IF($I460="","",INDEX(CONSOLIDADO!$G$2:$G$801,$I460))</f>
        <v/>
      </c>
      <c r="H460" s="16" t="str">
        <f aca="false">IF($I460="","",INDEX(CONSOLIDADO!$H$2:$H$801,$I460))</f>
        <v/>
      </c>
      <c r="I460" s="11" t="str">
        <f aca="false">IFERROR(MATCH(ROW()-1,CONSOLIDADO!$AJ$2:$AJ$801,0),"")</f>
        <v/>
      </c>
      <c r="J460" s="11" t="str">
        <f aca="false">IF(B460="","",F460&amp;" "&amp;C460&amp;" ("&amp;B460&amp;")")</f>
        <v/>
      </c>
    </row>
    <row r="461" customFormat="false" ht="15" hidden="false" customHeight="false" outlineLevel="0" collapsed="false">
      <c r="A461" s="16"/>
      <c r="B461" s="11" t="str">
        <f aca="false">IF($I461="","",INDEX(CONSOLIDADO!$A$2:$A$801,$I461))</f>
        <v/>
      </c>
      <c r="C461" s="11" t="str">
        <f aca="false">IF($I461="","",INDEX(CONSOLIDADO!$B$2:$B$801,$I461))</f>
        <v/>
      </c>
      <c r="D461" s="16" t="str">
        <f aca="false">IF($I461="","",INDEX(CONSOLIDADO!$C$2:$C$801,$I461))</f>
        <v/>
      </c>
      <c r="E461" s="16" t="str">
        <f aca="false">IF($I461="","",INDEX(CONSOLIDADO!$D$2:$D$801,$I461))</f>
        <v/>
      </c>
      <c r="F461" s="14" t="str">
        <f aca="false">IF($I461="","",INDEX(CONSOLIDADO!$E$2:$E$801,$I461))</f>
        <v/>
      </c>
      <c r="G461" s="16" t="str">
        <f aca="false">IF($I461="","",INDEX(CONSOLIDADO!$G$2:$G$801,$I461))</f>
        <v/>
      </c>
      <c r="H461" s="16" t="str">
        <f aca="false">IF($I461="","",INDEX(CONSOLIDADO!$H$2:$H$801,$I461))</f>
        <v/>
      </c>
      <c r="I461" s="11" t="str">
        <f aca="false">IFERROR(MATCH(ROW()-1,CONSOLIDADO!$AJ$2:$AJ$801,0),"")</f>
        <v/>
      </c>
      <c r="J461" s="11" t="str">
        <f aca="false">IF(B461="","",F461&amp;" "&amp;C461&amp;" ("&amp;B461&amp;")")</f>
        <v/>
      </c>
    </row>
    <row r="462" customFormat="false" ht="15" hidden="false" customHeight="false" outlineLevel="0" collapsed="false">
      <c r="A462" s="16"/>
      <c r="B462" s="11" t="str">
        <f aca="false">IF($I462="","",INDEX(CONSOLIDADO!$A$2:$A$801,$I462))</f>
        <v/>
      </c>
      <c r="C462" s="11" t="str">
        <f aca="false">IF($I462="","",INDEX(CONSOLIDADO!$B$2:$B$801,$I462))</f>
        <v/>
      </c>
      <c r="D462" s="16" t="str">
        <f aca="false">IF($I462="","",INDEX(CONSOLIDADO!$C$2:$C$801,$I462))</f>
        <v/>
      </c>
      <c r="E462" s="16" t="str">
        <f aca="false">IF($I462="","",INDEX(CONSOLIDADO!$D$2:$D$801,$I462))</f>
        <v/>
      </c>
      <c r="F462" s="14" t="str">
        <f aca="false">IF($I462="","",INDEX(CONSOLIDADO!$E$2:$E$801,$I462))</f>
        <v/>
      </c>
      <c r="G462" s="16" t="str">
        <f aca="false">IF($I462="","",INDEX(CONSOLIDADO!$G$2:$G$801,$I462))</f>
        <v/>
      </c>
      <c r="H462" s="16" t="str">
        <f aca="false">IF($I462="","",INDEX(CONSOLIDADO!$H$2:$H$801,$I462))</f>
        <v/>
      </c>
      <c r="I462" s="11" t="str">
        <f aca="false">IFERROR(MATCH(ROW()-1,CONSOLIDADO!$AJ$2:$AJ$801,0),"")</f>
        <v/>
      </c>
      <c r="J462" s="11" t="str">
        <f aca="false">IF(B462="","",F462&amp;" "&amp;C462&amp;" ("&amp;B462&amp;")")</f>
        <v/>
      </c>
    </row>
    <row r="463" customFormat="false" ht="15" hidden="false" customHeight="false" outlineLevel="0" collapsed="false">
      <c r="A463" s="16"/>
      <c r="B463" s="11" t="str">
        <f aca="false">IF($I463="","",INDEX(CONSOLIDADO!$A$2:$A$801,$I463))</f>
        <v/>
      </c>
      <c r="C463" s="11" t="str">
        <f aca="false">IF($I463="","",INDEX(CONSOLIDADO!$B$2:$B$801,$I463))</f>
        <v/>
      </c>
      <c r="D463" s="16" t="str">
        <f aca="false">IF($I463="","",INDEX(CONSOLIDADO!$C$2:$C$801,$I463))</f>
        <v/>
      </c>
      <c r="E463" s="16" t="str">
        <f aca="false">IF($I463="","",INDEX(CONSOLIDADO!$D$2:$D$801,$I463))</f>
        <v/>
      </c>
      <c r="F463" s="14" t="str">
        <f aca="false">IF($I463="","",INDEX(CONSOLIDADO!$E$2:$E$801,$I463))</f>
        <v/>
      </c>
      <c r="G463" s="16" t="str">
        <f aca="false">IF($I463="","",INDEX(CONSOLIDADO!$G$2:$G$801,$I463))</f>
        <v/>
      </c>
      <c r="H463" s="16" t="str">
        <f aca="false">IF($I463="","",INDEX(CONSOLIDADO!$H$2:$H$801,$I463))</f>
        <v/>
      </c>
      <c r="I463" s="11" t="str">
        <f aca="false">IFERROR(MATCH(ROW()-1,CONSOLIDADO!$AJ$2:$AJ$801,0),"")</f>
        <v/>
      </c>
      <c r="J463" s="11" t="str">
        <f aca="false">IF(B463="","",F463&amp;" "&amp;C463&amp;" ("&amp;B463&amp;")")</f>
        <v/>
      </c>
    </row>
    <row r="464" customFormat="false" ht="15" hidden="false" customHeight="false" outlineLevel="0" collapsed="false">
      <c r="A464" s="16"/>
      <c r="B464" s="11" t="str">
        <f aca="false">IF($I464="","",INDEX(CONSOLIDADO!$A$2:$A$801,$I464))</f>
        <v/>
      </c>
      <c r="C464" s="11" t="str">
        <f aca="false">IF($I464="","",INDEX(CONSOLIDADO!$B$2:$B$801,$I464))</f>
        <v/>
      </c>
      <c r="D464" s="16" t="str">
        <f aca="false">IF($I464="","",INDEX(CONSOLIDADO!$C$2:$C$801,$I464))</f>
        <v/>
      </c>
      <c r="E464" s="16" t="str">
        <f aca="false">IF($I464="","",INDEX(CONSOLIDADO!$D$2:$D$801,$I464))</f>
        <v/>
      </c>
      <c r="F464" s="14" t="str">
        <f aca="false">IF($I464="","",INDEX(CONSOLIDADO!$E$2:$E$801,$I464))</f>
        <v/>
      </c>
      <c r="G464" s="16" t="str">
        <f aca="false">IF($I464="","",INDEX(CONSOLIDADO!$G$2:$G$801,$I464))</f>
        <v/>
      </c>
      <c r="H464" s="16" t="str">
        <f aca="false">IF($I464="","",INDEX(CONSOLIDADO!$H$2:$H$801,$I464))</f>
        <v/>
      </c>
      <c r="I464" s="11" t="str">
        <f aca="false">IFERROR(MATCH(ROW()-1,CONSOLIDADO!$AJ$2:$AJ$801,0),"")</f>
        <v/>
      </c>
      <c r="J464" s="11" t="str">
        <f aca="false">IF(B464="","",F464&amp;" "&amp;C464&amp;" ("&amp;B464&amp;")")</f>
        <v/>
      </c>
    </row>
    <row r="465" customFormat="false" ht="15" hidden="false" customHeight="false" outlineLevel="0" collapsed="false">
      <c r="A465" s="16"/>
      <c r="B465" s="11" t="str">
        <f aca="false">IF($I465="","",INDEX(CONSOLIDADO!$A$2:$A$801,$I465))</f>
        <v/>
      </c>
      <c r="C465" s="11" t="str">
        <f aca="false">IF($I465="","",INDEX(CONSOLIDADO!$B$2:$B$801,$I465))</f>
        <v/>
      </c>
      <c r="D465" s="16" t="str">
        <f aca="false">IF($I465="","",INDEX(CONSOLIDADO!$C$2:$C$801,$I465))</f>
        <v/>
      </c>
      <c r="E465" s="16" t="str">
        <f aca="false">IF($I465="","",INDEX(CONSOLIDADO!$D$2:$D$801,$I465))</f>
        <v/>
      </c>
      <c r="F465" s="14" t="str">
        <f aca="false">IF($I465="","",INDEX(CONSOLIDADO!$E$2:$E$801,$I465))</f>
        <v/>
      </c>
      <c r="G465" s="16" t="str">
        <f aca="false">IF($I465="","",INDEX(CONSOLIDADO!$G$2:$G$801,$I465))</f>
        <v/>
      </c>
      <c r="H465" s="16" t="str">
        <f aca="false">IF($I465="","",INDEX(CONSOLIDADO!$H$2:$H$801,$I465))</f>
        <v/>
      </c>
      <c r="I465" s="11" t="str">
        <f aca="false">IFERROR(MATCH(ROW()-1,CONSOLIDADO!$AJ$2:$AJ$801,0),"")</f>
        <v/>
      </c>
      <c r="J465" s="11" t="str">
        <f aca="false">IF(B465="","",F465&amp;" "&amp;C465&amp;" ("&amp;B465&amp;")")</f>
        <v/>
      </c>
    </row>
    <row r="466" customFormat="false" ht="15" hidden="false" customHeight="false" outlineLevel="0" collapsed="false">
      <c r="A466" s="16"/>
      <c r="B466" s="11" t="str">
        <f aca="false">IF($I466="","",INDEX(CONSOLIDADO!$A$2:$A$801,$I466))</f>
        <v/>
      </c>
      <c r="C466" s="11" t="str">
        <f aca="false">IF($I466="","",INDEX(CONSOLIDADO!$B$2:$B$801,$I466))</f>
        <v/>
      </c>
      <c r="D466" s="16" t="str">
        <f aca="false">IF($I466="","",INDEX(CONSOLIDADO!$C$2:$C$801,$I466))</f>
        <v/>
      </c>
      <c r="E466" s="16" t="str">
        <f aca="false">IF($I466="","",INDEX(CONSOLIDADO!$D$2:$D$801,$I466))</f>
        <v/>
      </c>
      <c r="F466" s="14" t="str">
        <f aca="false">IF($I466="","",INDEX(CONSOLIDADO!$E$2:$E$801,$I466))</f>
        <v/>
      </c>
      <c r="G466" s="16" t="str">
        <f aca="false">IF($I466="","",INDEX(CONSOLIDADO!$G$2:$G$801,$I466))</f>
        <v/>
      </c>
      <c r="H466" s="16" t="str">
        <f aca="false">IF($I466="","",INDEX(CONSOLIDADO!$H$2:$H$801,$I466))</f>
        <v/>
      </c>
      <c r="I466" s="11" t="str">
        <f aca="false">IFERROR(MATCH(ROW()-1,CONSOLIDADO!$AJ$2:$AJ$801,0),"")</f>
        <v/>
      </c>
      <c r="J466" s="11" t="str">
        <f aca="false">IF(B466="","",F466&amp;" "&amp;C466&amp;" ("&amp;B466&amp;")")</f>
        <v/>
      </c>
    </row>
    <row r="467" customFormat="false" ht="15" hidden="false" customHeight="false" outlineLevel="0" collapsed="false">
      <c r="A467" s="16"/>
      <c r="B467" s="11" t="str">
        <f aca="false">IF($I467="","",INDEX(CONSOLIDADO!$A$2:$A$801,$I467))</f>
        <v/>
      </c>
      <c r="C467" s="11" t="str">
        <f aca="false">IF($I467="","",INDEX(CONSOLIDADO!$B$2:$B$801,$I467))</f>
        <v/>
      </c>
      <c r="D467" s="16" t="str">
        <f aca="false">IF($I467="","",INDEX(CONSOLIDADO!$C$2:$C$801,$I467))</f>
        <v/>
      </c>
      <c r="E467" s="16" t="str">
        <f aca="false">IF($I467="","",INDEX(CONSOLIDADO!$D$2:$D$801,$I467))</f>
        <v/>
      </c>
      <c r="F467" s="14" t="str">
        <f aca="false">IF($I467="","",INDEX(CONSOLIDADO!$E$2:$E$801,$I467))</f>
        <v/>
      </c>
      <c r="G467" s="16" t="str">
        <f aca="false">IF($I467="","",INDEX(CONSOLIDADO!$G$2:$G$801,$I467))</f>
        <v/>
      </c>
      <c r="H467" s="16" t="str">
        <f aca="false">IF($I467="","",INDEX(CONSOLIDADO!$H$2:$H$801,$I467))</f>
        <v/>
      </c>
      <c r="I467" s="11" t="str">
        <f aca="false">IFERROR(MATCH(ROW()-1,CONSOLIDADO!$AJ$2:$AJ$801,0),"")</f>
        <v/>
      </c>
      <c r="J467" s="11" t="str">
        <f aca="false">IF(B467="","",F467&amp;" "&amp;C467&amp;" ("&amp;B467&amp;")")</f>
        <v/>
      </c>
    </row>
    <row r="468" customFormat="false" ht="15" hidden="false" customHeight="false" outlineLevel="0" collapsed="false">
      <c r="A468" s="16"/>
      <c r="B468" s="11" t="str">
        <f aca="false">IF($I468="","",INDEX(CONSOLIDADO!$A$2:$A$801,$I468))</f>
        <v/>
      </c>
      <c r="C468" s="11" t="str">
        <f aca="false">IF($I468="","",INDEX(CONSOLIDADO!$B$2:$B$801,$I468))</f>
        <v/>
      </c>
      <c r="D468" s="16" t="str">
        <f aca="false">IF($I468="","",INDEX(CONSOLIDADO!$C$2:$C$801,$I468))</f>
        <v/>
      </c>
      <c r="E468" s="16" t="str">
        <f aca="false">IF($I468="","",INDEX(CONSOLIDADO!$D$2:$D$801,$I468))</f>
        <v/>
      </c>
      <c r="F468" s="14" t="str">
        <f aca="false">IF($I468="","",INDEX(CONSOLIDADO!$E$2:$E$801,$I468))</f>
        <v/>
      </c>
      <c r="G468" s="16" t="str">
        <f aca="false">IF($I468="","",INDEX(CONSOLIDADO!$G$2:$G$801,$I468))</f>
        <v/>
      </c>
      <c r="H468" s="16" t="str">
        <f aca="false">IF($I468="","",INDEX(CONSOLIDADO!$H$2:$H$801,$I468))</f>
        <v/>
      </c>
      <c r="I468" s="11" t="str">
        <f aca="false">IFERROR(MATCH(ROW()-1,CONSOLIDADO!$AJ$2:$AJ$801,0),"")</f>
        <v/>
      </c>
      <c r="J468" s="11" t="str">
        <f aca="false">IF(B468="","",F468&amp;" "&amp;C468&amp;" ("&amp;B468&amp;")")</f>
        <v/>
      </c>
    </row>
    <row r="469" customFormat="false" ht="15" hidden="false" customHeight="false" outlineLevel="0" collapsed="false">
      <c r="A469" s="16"/>
      <c r="B469" s="11" t="str">
        <f aca="false">IF($I469="","",INDEX(CONSOLIDADO!$A$2:$A$801,$I469))</f>
        <v/>
      </c>
      <c r="C469" s="11" t="str">
        <f aca="false">IF($I469="","",INDEX(CONSOLIDADO!$B$2:$B$801,$I469))</f>
        <v/>
      </c>
      <c r="D469" s="16" t="str">
        <f aca="false">IF($I469="","",INDEX(CONSOLIDADO!$C$2:$C$801,$I469))</f>
        <v/>
      </c>
      <c r="E469" s="16" t="str">
        <f aca="false">IF($I469="","",INDEX(CONSOLIDADO!$D$2:$D$801,$I469))</f>
        <v/>
      </c>
      <c r="F469" s="14" t="str">
        <f aca="false">IF($I469="","",INDEX(CONSOLIDADO!$E$2:$E$801,$I469))</f>
        <v/>
      </c>
      <c r="G469" s="16" t="str">
        <f aca="false">IF($I469="","",INDEX(CONSOLIDADO!$G$2:$G$801,$I469))</f>
        <v/>
      </c>
      <c r="H469" s="16" t="str">
        <f aca="false">IF($I469="","",INDEX(CONSOLIDADO!$H$2:$H$801,$I469))</f>
        <v/>
      </c>
      <c r="I469" s="11" t="str">
        <f aca="false">IFERROR(MATCH(ROW()-1,CONSOLIDADO!$AJ$2:$AJ$801,0),"")</f>
        <v/>
      </c>
      <c r="J469" s="11" t="str">
        <f aca="false">IF(B469="","",F469&amp;" "&amp;C469&amp;" ("&amp;B469&amp;")")</f>
        <v/>
      </c>
    </row>
    <row r="470" customFormat="false" ht="15" hidden="false" customHeight="false" outlineLevel="0" collapsed="false">
      <c r="A470" s="16"/>
      <c r="B470" s="11" t="str">
        <f aca="false">IF($I470="","",INDEX(CONSOLIDADO!$A$2:$A$801,$I470))</f>
        <v/>
      </c>
      <c r="C470" s="11" t="str">
        <f aca="false">IF($I470="","",INDEX(CONSOLIDADO!$B$2:$B$801,$I470))</f>
        <v/>
      </c>
      <c r="D470" s="16" t="str">
        <f aca="false">IF($I470="","",INDEX(CONSOLIDADO!$C$2:$C$801,$I470))</f>
        <v/>
      </c>
      <c r="E470" s="16" t="str">
        <f aca="false">IF($I470="","",INDEX(CONSOLIDADO!$D$2:$D$801,$I470))</f>
        <v/>
      </c>
      <c r="F470" s="14" t="str">
        <f aca="false">IF($I470="","",INDEX(CONSOLIDADO!$E$2:$E$801,$I470))</f>
        <v/>
      </c>
      <c r="G470" s="16" t="str">
        <f aca="false">IF($I470="","",INDEX(CONSOLIDADO!$G$2:$G$801,$I470))</f>
        <v/>
      </c>
      <c r="H470" s="16" t="str">
        <f aca="false">IF($I470="","",INDEX(CONSOLIDADO!$H$2:$H$801,$I470))</f>
        <v/>
      </c>
      <c r="I470" s="11" t="str">
        <f aca="false">IFERROR(MATCH(ROW()-1,CONSOLIDADO!$AJ$2:$AJ$801,0),"")</f>
        <v/>
      </c>
      <c r="J470" s="11" t="str">
        <f aca="false">IF(B470="","",F470&amp;" "&amp;C470&amp;" ("&amp;B470&amp;")")</f>
        <v/>
      </c>
    </row>
    <row r="471" customFormat="false" ht="15" hidden="false" customHeight="false" outlineLevel="0" collapsed="false">
      <c r="A471" s="16"/>
      <c r="B471" s="11" t="str">
        <f aca="false">IF($I471="","",INDEX(CONSOLIDADO!$A$2:$A$801,$I471))</f>
        <v/>
      </c>
      <c r="C471" s="11" t="str">
        <f aca="false">IF($I471="","",INDEX(CONSOLIDADO!$B$2:$B$801,$I471))</f>
        <v/>
      </c>
      <c r="D471" s="16" t="str">
        <f aca="false">IF($I471="","",INDEX(CONSOLIDADO!$C$2:$C$801,$I471))</f>
        <v/>
      </c>
      <c r="E471" s="16" t="str">
        <f aca="false">IF($I471="","",INDEX(CONSOLIDADO!$D$2:$D$801,$I471))</f>
        <v/>
      </c>
      <c r="F471" s="14" t="str">
        <f aca="false">IF($I471="","",INDEX(CONSOLIDADO!$E$2:$E$801,$I471))</f>
        <v/>
      </c>
      <c r="G471" s="16" t="str">
        <f aca="false">IF($I471="","",INDEX(CONSOLIDADO!$G$2:$G$801,$I471))</f>
        <v/>
      </c>
      <c r="H471" s="16" t="str">
        <f aca="false">IF($I471="","",INDEX(CONSOLIDADO!$H$2:$H$801,$I471))</f>
        <v/>
      </c>
      <c r="I471" s="11" t="str">
        <f aca="false">IFERROR(MATCH(ROW()-1,CONSOLIDADO!$AJ$2:$AJ$801,0),"")</f>
        <v/>
      </c>
      <c r="J471" s="11" t="str">
        <f aca="false">IF(B471="","",F471&amp;" "&amp;C471&amp;" ("&amp;B471&amp;")")</f>
        <v/>
      </c>
    </row>
    <row r="472" customFormat="false" ht="15" hidden="false" customHeight="false" outlineLevel="0" collapsed="false">
      <c r="A472" s="16"/>
      <c r="B472" s="11" t="str">
        <f aca="false">IF($I472="","",INDEX(CONSOLIDADO!$A$2:$A$801,$I472))</f>
        <v/>
      </c>
      <c r="C472" s="11" t="str">
        <f aca="false">IF($I472="","",INDEX(CONSOLIDADO!$B$2:$B$801,$I472))</f>
        <v/>
      </c>
      <c r="D472" s="16" t="str">
        <f aca="false">IF($I472="","",INDEX(CONSOLIDADO!$C$2:$C$801,$I472))</f>
        <v/>
      </c>
      <c r="E472" s="16" t="str">
        <f aca="false">IF($I472="","",INDEX(CONSOLIDADO!$D$2:$D$801,$I472))</f>
        <v/>
      </c>
      <c r="F472" s="14" t="str">
        <f aca="false">IF($I472="","",INDEX(CONSOLIDADO!$E$2:$E$801,$I472))</f>
        <v/>
      </c>
      <c r="G472" s="16" t="str">
        <f aca="false">IF($I472="","",INDEX(CONSOLIDADO!$G$2:$G$801,$I472))</f>
        <v/>
      </c>
      <c r="H472" s="16" t="str">
        <f aca="false">IF($I472="","",INDEX(CONSOLIDADO!$H$2:$H$801,$I472))</f>
        <v/>
      </c>
      <c r="I472" s="11" t="str">
        <f aca="false">IFERROR(MATCH(ROW()-1,CONSOLIDADO!$AJ$2:$AJ$801,0),"")</f>
        <v/>
      </c>
      <c r="J472" s="11" t="str">
        <f aca="false">IF(B472="","",F472&amp;" "&amp;C472&amp;" ("&amp;B472&amp;")")</f>
        <v/>
      </c>
    </row>
    <row r="473" customFormat="false" ht="15" hidden="false" customHeight="false" outlineLevel="0" collapsed="false">
      <c r="A473" s="16"/>
      <c r="B473" s="11" t="str">
        <f aca="false">IF($I473="","",INDEX(CONSOLIDADO!$A$2:$A$801,$I473))</f>
        <v/>
      </c>
      <c r="C473" s="11" t="str">
        <f aca="false">IF($I473="","",INDEX(CONSOLIDADO!$B$2:$B$801,$I473))</f>
        <v/>
      </c>
      <c r="D473" s="16" t="str">
        <f aca="false">IF($I473="","",INDEX(CONSOLIDADO!$C$2:$C$801,$I473))</f>
        <v/>
      </c>
      <c r="E473" s="16" t="str">
        <f aca="false">IF($I473="","",INDEX(CONSOLIDADO!$D$2:$D$801,$I473))</f>
        <v/>
      </c>
      <c r="F473" s="14" t="str">
        <f aca="false">IF($I473="","",INDEX(CONSOLIDADO!$E$2:$E$801,$I473))</f>
        <v/>
      </c>
      <c r="G473" s="16" t="str">
        <f aca="false">IF($I473="","",INDEX(CONSOLIDADO!$G$2:$G$801,$I473))</f>
        <v/>
      </c>
      <c r="H473" s="16" t="str">
        <f aca="false">IF($I473="","",INDEX(CONSOLIDADO!$H$2:$H$801,$I473))</f>
        <v/>
      </c>
      <c r="I473" s="11" t="str">
        <f aca="false">IFERROR(MATCH(ROW()-1,CONSOLIDADO!$AJ$2:$AJ$801,0),"")</f>
        <v/>
      </c>
      <c r="J473" s="11" t="str">
        <f aca="false">IF(B473="","",F473&amp;" "&amp;C473&amp;" ("&amp;B473&amp;")")</f>
        <v/>
      </c>
    </row>
    <row r="474" customFormat="false" ht="15" hidden="false" customHeight="false" outlineLevel="0" collapsed="false">
      <c r="A474" s="16"/>
      <c r="B474" s="11" t="str">
        <f aca="false">IF($I474="","",INDEX(CONSOLIDADO!$A$2:$A$801,$I474))</f>
        <v/>
      </c>
      <c r="C474" s="11" t="str">
        <f aca="false">IF($I474="","",INDEX(CONSOLIDADO!$B$2:$B$801,$I474))</f>
        <v/>
      </c>
      <c r="D474" s="16" t="str">
        <f aca="false">IF($I474="","",INDEX(CONSOLIDADO!$C$2:$C$801,$I474))</f>
        <v/>
      </c>
      <c r="E474" s="16" t="str">
        <f aca="false">IF($I474="","",INDEX(CONSOLIDADO!$D$2:$D$801,$I474))</f>
        <v/>
      </c>
      <c r="F474" s="14" t="str">
        <f aca="false">IF($I474="","",INDEX(CONSOLIDADO!$E$2:$E$801,$I474))</f>
        <v/>
      </c>
      <c r="G474" s="16" t="str">
        <f aca="false">IF($I474="","",INDEX(CONSOLIDADO!$G$2:$G$801,$I474))</f>
        <v/>
      </c>
      <c r="H474" s="16" t="str">
        <f aca="false">IF($I474="","",INDEX(CONSOLIDADO!$H$2:$H$801,$I474))</f>
        <v/>
      </c>
      <c r="I474" s="11" t="str">
        <f aca="false">IFERROR(MATCH(ROW()-1,CONSOLIDADO!$AJ$2:$AJ$801,0),"")</f>
        <v/>
      </c>
      <c r="J474" s="11" t="str">
        <f aca="false">IF(B474="","",F474&amp;" "&amp;C474&amp;" ("&amp;B474&amp;")")</f>
        <v/>
      </c>
    </row>
    <row r="475" customFormat="false" ht="15" hidden="false" customHeight="false" outlineLevel="0" collapsed="false">
      <c r="A475" s="16"/>
      <c r="B475" s="11" t="str">
        <f aca="false">IF($I475="","",INDEX(CONSOLIDADO!$A$2:$A$801,$I475))</f>
        <v/>
      </c>
      <c r="C475" s="11" t="str">
        <f aca="false">IF($I475="","",INDEX(CONSOLIDADO!$B$2:$B$801,$I475))</f>
        <v/>
      </c>
      <c r="D475" s="16" t="str">
        <f aca="false">IF($I475="","",INDEX(CONSOLIDADO!$C$2:$C$801,$I475))</f>
        <v/>
      </c>
      <c r="E475" s="16" t="str">
        <f aca="false">IF($I475="","",INDEX(CONSOLIDADO!$D$2:$D$801,$I475))</f>
        <v/>
      </c>
      <c r="F475" s="14" t="str">
        <f aca="false">IF($I475="","",INDEX(CONSOLIDADO!$E$2:$E$801,$I475))</f>
        <v/>
      </c>
      <c r="G475" s="16" t="str">
        <f aca="false">IF($I475="","",INDEX(CONSOLIDADO!$G$2:$G$801,$I475))</f>
        <v/>
      </c>
      <c r="H475" s="16" t="str">
        <f aca="false">IF($I475="","",INDEX(CONSOLIDADO!$H$2:$H$801,$I475))</f>
        <v/>
      </c>
      <c r="I475" s="11" t="str">
        <f aca="false">IFERROR(MATCH(ROW()-1,CONSOLIDADO!$AJ$2:$AJ$801,0),"")</f>
        <v/>
      </c>
      <c r="J475" s="11" t="str">
        <f aca="false">IF(B475="","",F475&amp;" "&amp;C475&amp;" ("&amp;B475&amp;")")</f>
        <v/>
      </c>
    </row>
    <row r="476" customFormat="false" ht="15" hidden="false" customHeight="false" outlineLevel="0" collapsed="false">
      <c r="A476" s="16"/>
      <c r="B476" s="11" t="str">
        <f aca="false">IF($I476="","",INDEX(CONSOLIDADO!$A$2:$A$801,$I476))</f>
        <v/>
      </c>
      <c r="C476" s="11" t="str">
        <f aca="false">IF($I476="","",INDEX(CONSOLIDADO!$B$2:$B$801,$I476))</f>
        <v/>
      </c>
      <c r="D476" s="16" t="str">
        <f aca="false">IF($I476="","",INDEX(CONSOLIDADO!$C$2:$C$801,$I476))</f>
        <v/>
      </c>
      <c r="E476" s="16" t="str">
        <f aca="false">IF($I476="","",INDEX(CONSOLIDADO!$D$2:$D$801,$I476))</f>
        <v/>
      </c>
      <c r="F476" s="14" t="str">
        <f aca="false">IF($I476="","",INDEX(CONSOLIDADO!$E$2:$E$801,$I476))</f>
        <v/>
      </c>
      <c r="G476" s="16" t="str">
        <f aca="false">IF($I476="","",INDEX(CONSOLIDADO!$G$2:$G$801,$I476))</f>
        <v/>
      </c>
      <c r="H476" s="16" t="str">
        <f aca="false">IF($I476="","",INDEX(CONSOLIDADO!$H$2:$H$801,$I476))</f>
        <v/>
      </c>
      <c r="I476" s="11" t="str">
        <f aca="false">IFERROR(MATCH(ROW()-1,CONSOLIDADO!$AJ$2:$AJ$801,0),"")</f>
        <v/>
      </c>
      <c r="J476" s="11" t="str">
        <f aca="false">IF(B476="","",F476&amp;" "&amp;C476&amp;" ("&amp;B476&amp;")")</f>
        <v/>
      </c>
    </row>
    <row r="477" customFormat="false" ht="15" hidden="false" customHeight="false" outlineLevel="0" collapsed="false">
      <c r="A477" s="16"/>
      <c r="B477" s="11" t="str">
        <f aca="false">IF($I477="","",INDEX(CONSOLIDADO!$A$2:$A$801,$I477))</f>
        <v/>
      </c>
      <c r="C477" s="11" t="str">
        <f aca="false">IF($I477="","",INDEX(CONSOLIDADO!$B$2:$B$801,$I477))</f>
        <v/>
      </c>
      <c r="D477" s="16" t="str">
        <f aca="false">IF($I477="","",INDEX(CONSOLIDADO!$C$2:$C$801,$I477))</f>
        <v/>
      </c>
      <c r="E477" s="16" t="str">
        <f aca="false">IF($I477="","",INDEX(CONSOLIDADO!$D$2:$D$801,$I477))</f>
        <v/>
      </c>
      <c r="F477" s="14" t="str">
        <f aca="false">IF($I477="","",INDEX(CONSOLIDADO!$E$2:$E$801,$I477))</f>
        <v/>
      </c>
      <c r="G477" s="16" t="str">
        <f aca="false">IF($I477="","",INDEX(CONSOLIDADO!$G$2:$G$801,$I477))</f>
        <v/>
      </c>
      <c r="H477" s="16" t="str">
        <f aca="false">IF($I477="","",INDEX(CONSOLIDADO!$H$2:$H$801,$I477))</f>
        <v/>
      </c>
      <c r="I477" s="11" t="str">
        <f aca="false">IFERROR(MATCH(ROW()-1,CONSOLIDADO!$AJ$2:$AJ$801,0),"")</f>
        <v/>
      </c>
      <c r="J477" s="11" t="str">
        <f aca="false">IF(B477="","",F477&amp;" "&amp;C477&amp;" ("&amp;B477&amp;")")</f>
        <v/>
      </c>
    </row>
    <row r="478" customFormat="false" ht="15" hidden="false" customHeight="false" outlineLevel="0" collapsed="false">
      <c r="A478" s="16"/>
      <c r="B478" s="11" t="str">
        <f aca="false">IF($I478="","",INDEX(CONSOLIDADO!$A$2:$A$801,$I478))</f>
        <v/>
      </c>
      <c r="C478" s="11" t="str">
        <f aca="false">IF($I478="","",INDEX(CONSOLIDADO!$B$2:$B$801,$I478))</f>
        <v/>
      </c>
      <c r="D478" s="16" t="str">
        <f aca="false">IF($I478="","",INDEX(CONSOLIDADO!$C$2:$C$801,$I478))</f>
        <v/>
      </c>
      <c r="E478" s="16" t="str">
        <f aca="false">IF($I478="","",INDEX(CONSOLIDADO!$D$2:$D$801,$I478))</f>
        <v/>
      </c>
      <c r="F478" s="14" t="str">
        <f aca="false">IF($I478="","",INDEX(CONSOLIDADO!$E$2:$E$801,$I478))</f>
        <v/>
      </c>
      <c r="G478" s="16" t="str">
        <f aca="false">IF($I478="","",INDEX(CONSOLIDADO!$G$2:$G$801,$I478))</f>
        <v/>
      </c>
      <c r="H478" s="16" t="str">
        <f aca="false">IF($I478="","",INDEX(CONSOLIDADO!$H$2:$H$801,$I478))</f>
        <v/>
      </c>
      <c r="I478" s="11" t="str">
        <f aca="false">IFERROR(MATCH(ROW()-1,CONSOLIDADO!$AJ$2:$AJ$801,0),"")</f>
        <v/>
      </c>
      <c r="J478" s="11" t="str">
        <f aca="false">IF(B478="","",F478&amp;" "&amp;C478&amp;" ("&amp;B478&amp;")")</f>
        <v/>
      </c>
    </row>
    <row r="479" customFormat="false" ht="15" hidden="false" customHeight="false" outlineLevel="0" collapsed="false">
      <c r="A479" s="16"/>
      <c r="B479" s="11" t="str">
        <f aca="false">IF($I479="","",INDEX(CONSOLIDADO!$A$2:$A$801,$I479))</f>
        <v/>
      </c>
      <c r="C479" s="11" t="str">
        <f aca="false">IF($I479="","",INDEX(CONSOLIDADO!$B$2:$B$801,$I479))</f>
        <v/>
      </c>
      <c r="D479" s="16" t="str">
        <f aca="false">IF($I479="","",INDEX(CONSOLIDADO!$C$2:$C$801,$I479))</f>
        <v/>
      </c>
      <c r="E479" s="16" t="str">
        <f aca="false">IF($I479="","",INDEX(CONSOLIDADO!$D$2:$D$801,$I479))</f>
        <v/>
      </c>
      <c r="F479" s="14" t="str">
        <f aca="false">IF($I479="","",INDEX(CONSOLIDADO!$E$2:$E$801,$I479))</f>
        <v/>
      </c>
      <c r="G479" s="16" t="str">
        <f aca="false">IF($I479="","",INDEX(CONSOLIDADO!$G$2:$G$801,$I479))</f>
        <v/>
      </c>
      <c r="H479" s="16" t="str">
        <f aca="false">IF($I479="","",INDEX(CONSOLIDADO!$H$2:$H$801,$I479))</f>
        <v/>
      </c>
      <c r="I479" s="11" t="str">
        <f aca="false">IFERROR(MATCH(ROW()-1,CONSOLIDADO!$AJ$2:$AJ$801,0),"")</f>
        <v/>
      </c>
      <c r="J479" s="11" t="str">
        <f aca="false">IF(B479="","",F479&amp;" "&amp;C479&amp;" ("&amp;B479&amp;")")</f>
        <v/>
      </c>
    </row>
    <row r="480" customFormat="false" ht="15" hidden="false" customHeight="false" outlineLevel="0" collapsed="false">
      <c r="A480" s="16"/>
      <c r="B480" s="11" t="str">
        <f aca="false">IF($I480="","",INDEX(CONSOLIDADO!$A$2:$A$801,$I480))</f>
        <v/>
      </c>
      <c r="C480" s="11" t="str">
        <f aca="false">IF($I480="","",INDEX(CONSOLIDADO!$B$2:$B$801,$I480))</f>
        <v/>
      </c>
      <c r="D480" s="16" t="str">
        <f aca="false">IF($I480="","",INDEX(CONSOLIDADO!$C$2:$C$801,$I480))</f>
        <v/>
      </c>
      <c r="E480" s="16" t="str">
        <f aca="false">IF($I480="","",INDEX(CONSOLIDADO!$D$2:$D$801,$I480))</f>
        <v/>
      </c>
      <c r="F480" s="14" t="str">
        <f aca="false">IF($I480="","",INDEX(CONSOLIDADO!$E$2:$E$801,$I480))</f>
        <v/>
      </c>
      <c r="G480" s="16" t="str">
        <f aca="false">IF($I480="","",INDEX(CONSOLIDADO!$G$2:$G$801,$I480))</f>
        <v/>
      </c>
      <c r="H480" s="16" t="str">
        <f aca="false">IF($I480="","",INDEX(CONSOLIDADO!$H$2:$H$801,$I480))</f>
        <v/>
      </c>
      <c r="I480" s="11" t="str">
        <f aca="false">IFERROR(MATCH(ROW()-1,CONSOLIDADO!$AJ$2:$AJ$801,0),"")</f>
        <v/>
      </c>
      <c r="J480" s="11" t="str">
        <f aca="false">IF(B480="","",F480&amp;" "&amp;C480&amp;" ("&amp;B480&amp;")")</f>
        <v/>
      </c>
    </row>
    <row r="481" customFormat="false" ht="15" hidden="false" customHeight="false" outlineLevel="0" collapsed="false">
      <c r="A481" s="16"/>
      <c r="B481" s="11" t="str">
        <f aca="false">IF($I481="","",INDEX(CONSOLIDADO!$A$2:$A$801,$I481))</f>
        <v/>
      </c>
      <c r="C481" s="11" t="str">
        <f aca="false">IF($I481="","",INDEX(CONSOLIDADO!$B$2:$B$801,$I481))</f>
        <v/>
      </c>
      <c r="D481" s="16" t="str">
        <f aca="false">IF($I481="","",INDEX(CONSOLIDADO!$C$2:$C$801,$I481))</f>
        <v/>
      </c>
      <c r="E481" s="16" t="str">
        <f aca="false">IF($I481="","",INDEX(CONSOLIDADO!$D$2:$D$801,$I481))</f>
        <v/>
      </c>
      <c r="F481" s="14" t="str">
        <f aca="false">IF($I481="","",INDEX(CONSOLIDADO!$E$2:$E$801,$I481))</f>
        <v/>
      </c>
      <c r="G481" s="16" t="str">
        <f aca="false">IF($I481="","",INDEX(CONSOLIDADO!$G$2:$G$801,$I481))</f>
        <v/>
      </c>
      <c r="H481" s="16" t="str">
        <f aca="false">IF($I481="","",INDEX(CONSOLIDADO!$H$2:$H$801,$I481))</f>
        <v/>
      </c>
      <c r="I481" s="11" t="str">
        <f aca="false">IFERROR(MATCH(ROW()-1,CONSOLIDADO!$AJ$2:$AJ$801,0),"")</f>
        <v/>
      </c>
      <c r="J481" s="11" t="str">
        <f aca="false">IF(B481="","",F481&amp;" "&amp;C481&amp;" ("&amp;B481&amp;")")</f>
        <v/>
      </c>
    </row>
    <row r="482" customFormat="false" ht="15" hidden="false" customHeight="false" outlineLevel="0" collapsed="false">
      <c r="A482" s="16"/>
      <c r="B482" s="11" t="str">
        <f aca="false">IF($I482="","",INDEX(CONSOLIDADO!$A$2:$A$801,$I482))</f>
        <v/>
      </c>
      <c r="C482" s="11" t="str">
        <f aca="false">IF($I482="","",INDEX(CONSOLIDADO!$B$2:$B$801,$I482))</f>
        <v/>
      </c>
      <c r="D482" s="16" t="str">
        <f aca="false">IF($I482="","",INDEX(CONSOLIDADO!$C$2:$C$801,$I482))</f>
        <v/>
      </c>
      <c r="E482" s="16" t="str">
        <f aca="false">IF($I482="","",INDEX(CONSOLIDADO!$D$2:$D$801,$I482))</f>
        <v/>
      </c>
      <c r="F482" s="14" t="str">
        <f aca="false">IF($I482="","",INDEX(CONSOLIDADO!$E$2:$E$801,$I482))</f>
        <v/>
      </c>
      <c r="G482" s="16" t="str">
        <f aca="false">IF($I482="","",INDEX(CONSOLIDADO!$G$2:$G$801,$I482))</f>
        <v/>
      </c>
      <c r="H482" s="16" t="str">
        <f aca="false">IF($I482="","",INDEX(CONSOLIDADO!$H$2:$H$801,$I482))</f>
        <v/>
      </c>
      <c r="I482" s="11" t="str">
        <f aca="false">IFERROR(MATCH(ROW()-1,CONSOLIDADO!$AJ$2:$AJ$801,0),"")</f>
        <v/>
      </c>
      <c r="J482" s="11" t="str">
        <f aca="false">IF(B482="","",F482&amp;" "&amp;C482&amp;" ("&amp;B482&amp;")")</f>
        <v/>
      </c>
    </row>
    <row r="483" customFormat="false" ht="15" hidden="false" customHeight="false" outlineLevel="0" collapsed="false">
      <c r="A483" s="16"/>
      <c r="B483" s="11" t="str">
        <f aca="false">IF($I483="","",INDEX(CONSOLIDADO!$A$2:$A$801,$I483))</f>
        <v/>
      </c>
      <c r="C483" s="11" t="str">
        <f aca="false">IF($I483="","",INDEX(CONSOLIDADO!$B$2:$B$801,$I483))</f>
        <v/>
      </c>
      <c r="D483" s="16" t="str">
        <f aca="false">IF($I483="","",INDEX(CONSOLIDADO!$C$2:$C$801,$I483))</f>
        <v/>
      </c>
      <c r="E483" s="16" t="str">
        <f aca="false">IF($I483="","",INDEX(CONSOLIDADO!$D$2:$D$801,$I483))</f>
        <v/>
      </c>
      <c r="F483" s="14" t="str">
        <f aca="false">IF($I483="","",INDEX(CONSOLIDADO!$E$2:$E$801,$I483))</f>
        <v/>
      </c>
      <c r="G483" s="16" t="str">
        <f aca="false">IF($I483="","",INDEX(CONSOLIDADO!$G$2:$G$801,$I483))</f>
        <v/>
      </c>
      <c r="H483" s="16" t="str">
        <f aca="false">IF($I483="","",INDEX(CONSOLIDADO!$H$2:$H$801,$I483))</f>
        <v/>
      </c>
      <c r="I483" s="11" t="str">
        <f aca="false">IFERROR(MATCH(ROW()-1,CONSOLIDADO!$AJ$2:$AJ$801,0),"")</f>
        <v/>
      </c>
      <c r="J483" s="11" t="str">
        <f aca="false">IF(B483="","",F483&amp;" "&amp;C483&amp;" ("&amp;B483&amp;")")</f>
        <v/>
      </c>
    </row>
    <row r="484" customFormat="false" ht="15" hidden="false" customHeight="false" outlineLevel="0" collapsed="false">
      <c r="A484" s="16"/>
      <c r="B484" s="11" t="str">
        <f aca="false">IF($I484="","",INDEX(CONSOLIDADO!$A$2:$A$801,$I484))</f>
        <v/>
      </c>
      <c r="C484" s="11" t="str">
        <f aca="false">IF($I484="","",INDEX(CONSOLIDADO!$B$2:$B$801,$I484))</f>
        <v/>
      </c>
      <c r="D484" s="16" t="str">
        <f aca="false">IF($I484="","",INDEX(CONSOLIDADO!$C$2:$C$801,$I484))</f>
        <v/>
      </c>
      <c r="E484" s="16" t="str">
        <f aca="false">IF($I484="","",INDEX(CONSOLIDADO!$D$2:$D$801,$I484))</f>
        <v/>
      </c>
      <c r="F484" s="14" t="str">
        <f aca="false">IF($I484="","",INDEX(CONSOLIDADO!$E$2:$E$801,$I484))</f>
        <v/>
      </c>
      <c r="G484" s="16" t="str">
        <f aca="false">IF($I484="","",INDEX(CONSOLIDADO!$G$2:$G$801,$I484))</f>
        <v/>
      </c>
      <c r="H484" s="16" t="str">
        <f aca="false">IF($I484="","",INDEX(CONSOLIDADO!$H$2:$H$801,$I484))</f>
        <v/>
      </c>
      <c r="I484" s="11" t="str">
        <f aca="false">IFERROR(MATCH(ROW()-1,CONSOLIDADO!$AJ$2:$AJ$801,0),"")</f>
        <v/>
      </c>
      <c r="J484" s="11" t="str">
        <f aca="false">IF(B484="","",F484&amp;" "&amp;C484&amp;" ("&amp;B484&amp;")")</f>
        <v/>
      </c>
    </row>
    <row r="485" customFormat="false" ht="15" hidden="false" customHeight="false" outlineLevel="0" collapsed="false">
      <c r="A485" s="16"/>
      <c r="B485" s="11" t="str">
        <f aca="false">IF($I485="","",INDEX(CONSOLIDADO!$A$2:$A$801,$I485))</f>
        <v/>
      </c>
      <c r="C485" s="11" t="str">
        <f aca="false">IF($I485="","",INDEX(CONSOLIDADO!$B$2:$B$801,$I485))</f>
        <v/>
      </c>
      <c r="D485" s="16" t="str">
        <f aca="false">IF($I485="","",INDEX(CONSOLIDADO!$C$2:$C$801,$I485))</f>
        <v/>
      </c>
      <c r="E485" s="16" t="str">
        <f aca="false">IF($I485="","",INDEX(CONSOLIDADO!$D$2:$D$801,$I485))</f>
        <v/>
      </c>
      <c r="F485" s="14" t="str">
        <f aca="false">IF($I485="","",INDEX(CONSOLIDADO!$E$2:$E$801,$I485))</f>
        <v/>
      </c>
      <c r="G485" s="16" t="str">
        <f aca="false">IF($I485="","",INDEX(CONSOLIDADO!$G$2:$G$801,$I485))</f>
        <v/>
      </c>
      <c r="H485" s="16" t="str">
        <f aca="false">IF($I485="","",INDEX(CONSOLIDADO!$H$2:$H$801,$I485))</f>
        <v/>
      </c>
      <c r="I485" s="11" t="str">
        <f aca="false">IFERROR(MATCH(ROW()-1,CONSOLIDADO!$AJ$2:$AJ$801,0),"")</f>
        <v/>
      </c>
      <c r="J485" s="11" t="str">
        <f aca="false">IF(B485="","",F485&amp;" "&amp;C485&amp;" ("&amp;B485&amp;")")</f>
        <v/>
      </c>
    </row>
    <row r="486" customFormat="false" ht="15" hidden="false" customHeight="false" outlineLevel="0" collapsed="false">
      <c r="A486" s="16"/>
      <c r="B486" s="11" t="str">
        <f aca="false">IF($I486="","",INDEX(CONSOLIDADO!$A$2:$A$801,$I486))</f>
        <v/>
      </c>
      <c r="C486" s="11" t="str">
        <f aca="false">IF($I486="","",INDEX(CONSOLIDADO!$B$2:$B$801,$I486))</f>
        <v/>
      </c>
      <c r="D486" s="16" t="str">
        <f aca="false">IF($I486="","",INDEX(CONSOLIDADO!$C$2:$C$801,$I486))</f>
        <v/>
      </c>
      <c r="E486" s="16" t="str">
        <f aca="false">IF($I486="","",INDEX(CONSOLIDADO!$D$2:$D$801,$I486))</f>
        <v/>
      </c>
      <c r="F486" s="14" t="str">
        <f aca="false">IF($I486="","",INDEX(CONSOLIDADO!$E$2:$E$801,$I486))</f>
        <v/>
      </c>
      <c r="G486" s="16" t="str">
        <f aca="false">IF($I486="","",INDEX(CONSOLIDADO!$G$2:$G$801,$I486))</f>
        <v/>
      </c>
      <c r="H486" s="16" t="str">
        <f aca="false">IF($I486="","",INDEX(CONSOLIDADO!$H$2:$H$801,$I486))</f>
        <v/>
      </c>
      <c r="I486" s="11" t="str">
        <f aca="false">IFERROR(MATCH(ROW()-1,CONSOLIDADO!$AJ$2:$AJ$801,0),"")</f>
        <v/>
      </c>
      <c r="J486" s="11" t="str">
        <f aca="false">IF(B486="","",F486&amp;" "&amp;C486&amp;" ("&amp;B486&amp;")")</f>
        <v/>
      </c>
    </row>
    <row r="487" customFormat="false" ht="15" hidden="false" customHeight="false" outlineLevel="0" collapsed="false">
      <c r="A487" s="16"/>
      <c r="B487" s="11" t="str">
        <f aca="false">IF($I487="","",INDEX(CONSOLIDADO!$A$2:$A$801,$I487))</f>
        <v/>
      </c>
      <c r="C487" s="11" t="str">
        <f aca="false">IF($I487="","",INDEX(CONSOLIDADO!$B$2:$B$801,$I487))</f>
        <v/>
      </c>
      <c r="D487" s="16" t="str">
        <f aca="false">IF($I487="","",INDEX(CONSOLIDADO!$C$2:$C$801,$I487))</f>
        <v/>
      </c>
      <c r="E487" s="16" t="str">
        <f aca="false">IF($I487="","",INDEX(CONSOLIDADO!$D$2:$D$801,$I487))</f>
        <v/>
      </c>
      <c r="F487" s="14" t="str">
        <f aca="false">IF($I487="","",INDEX(CONSOLIDADO!$E$2:$E$801,$I487))</f>
        <v/>
      </c>
      <c r="G487" s="16" t="str">
        <f aca="false">IF($I487="","",INDEX(CONSOLIDADO!$G$2:$G$801,$I487))</f>
        <v/>
      </c>
      <c r="H487" s="16" t="str">
        <f aca="false">IF($I487="","",INDEX(CONSOLIDADO!$H$2:$H$801,$I487))</f>
        <v/>
      </c>
      <c r="I487" s="11" t="str">
        <f aca="false">IFERROR(MATCH(ROW()-1,CONSOLIDADO!$AJ$2:$AJ$801,0),"")</f>
        <v/>
      </c>
      <c r="J487" s="11" t="str">
        <f aca="false">IF(B487="","",F487&amp;" "&amp;C487&amp;" ("&amp;B487&amp;")")</f>
        <v/>
      </c>
    </row>
    <row r="488" customFormat="false" ht="15" hidden="false" customHeight="false" outlineLevel="0" collapsed="false">
      <c r="A488" s="16"/>
      <c r="B488" s="11" t="str">
        <f aca="false">IF($I488="","",INDEX(CONSOLIDADO!$A$2:$A$801,$I488))</f>
        <v/>
      </c>
      <c r="C488" s="11" t="str">
        <f aca="false">IF($I488="","",INDEX(CONSOLIDADO!$B$2:$B$801,$I488))</f>
        <v/>
      </c>
      <c r="D488" s="16" t="str">
        <f aca="false">IF($I488="","",INDEX(CONSOLIDADO!$C$2:$C$801,$I488))</f>
        <v/>
      </c>
      <c r="E488" s="16" t="str">
        <f aca="false">IF($I488="","",INDEX(CONSOLIDADO!$D$2:$D$801,$I488))</f>
        <v/>
      </c>
      <c r="F488" s="14" t="str">
        <f aca="false">IF($I488="","",INDEX(CONSOLIDADO!$E$2:$E$801,$I488))</f>
        <v/>
      </c>
      <c r="G488" s="16" t="str">
        <f aca="false">IF($I488="","",INDEX(CONSOLIDADO!$G$2:$G$801,$I488))</f>
        <v/>
      </c>
      <c r="H488" s="16" t="str">
        <f aca="false">IF($I488="","",INDEX(CONSOLIDADO!$H$2:$H$801,$I488))</f>
        <v/>
      </c>
      <c r="I488" s="11" t="str">
        <f aca="false">IFERROR(MATCH(ROW()-1,CONSOLIDADO!$AJ$2:$AJ$801,0),"")</f>
        <v/>
      </c>
      <c r="J488" s="11" t="str">
        <f aca="false">IF(B488="","",F488&amp;" "&amp;C488&amp;" ("&amp;B488&amp;")")</f>
        <v/>
      </c>
    </row>
    <row r="489" customFormat="false" ht="15" hidden="false" customHeight="false" outlineLevel="0" collapsed="false">
      <c r="A489" s="16"/>
      <c r="B489" s="11" t="str">
        <f aca="false">IF($I489="","",INDEX(CONSOLIDADO!$A$2:$A$801,$I489))</f>
        <v/>
      </c>
      <c r="C489" s="11" t="str">
        <f aca="false">IF($I489="","",INDEX(CONSOLIDADO!$B$2:$B$801,$I489))</f>
        <v/>
      </c>
      <c r="D489" s="16" t="str">
        <f aca="false">IF($I489="","",INDEX(CONSOLIDADO!$C$2:$C$801,$I489))</f>
        <v/>
      </c>
      <c r="E489" s="16" t="str">
        <f aca="false">IF($I489="","",INDEX(CONSOLIDADO!$D$2:$D$801,$I489))</f>
        <v/>
      </c>
      <c r="F489" s="14" t="str">
        <f aca="false">IF($I489="","",INDEX(CONSOLIDADO!$E$2:$E$801,$I489))</f>
        <v/>
      </c>
      <c r="G489" s="16" t="str">
        <f aca="false">IF($I489="","",INDEX(CONSOLIDADO!$G$2:$G$801,$I489))</f>
        <v/>
      </c>
      <c r="H489" s="16" t="str">
        <f aca="false">IF($I489="","",INDEX(CONSOLIDADO!$H$2:$H$801,$I489))</f>
        <v/>
      </c>
      <c r="I489" s="11" t="str">
        <f aca="false">IFERROR(MATCH(ROW()-1,CONSOLIDADO!$AJ$2:$AJ$801,0),"")</f>
        <v/>
      </c>
      <c r="J489" s="11" t="str">
        <f aca="false">IF(B489="","",F489&amp;" "&amp;C489&amp;" ("&amp;B489&amp;")")</f>
        <v/>
      </c>
    </row>
    <row r="490" customFormat="false" ht="15" hidden="false" customHeight="false" outlineLevel="0" collapsed="false">
      <c r="A490" s="16"/>
      <c r="B490" s="11" t="str">
        <f aca="false">IF($I490="","",INDEX(CONSOLIDADO!$A$2:$A$801,$I490))</f>
        <v/>
      </c>
      <c r="C490" s="11" t="str">
        <f aca="false">IF($I490="","",INDEX(CONSOLIDADO!$B$2:$B$801,$I490))</f>
        <v/>
      </c>
      <c r="D490" s="16" t="str">
        <f aca="false">IF($I490="","",INDEX(CONSOLIDADO!$C$2:$C$801,$I490))</f>
        <v/>
      </c>
      <c r="E490" s="16" t="str">
        <f aca="false">IF($I490="","",INDEX(CONSOLIDADO!$D$2:$D$801,$I490))</f>
        <v/>
      </c>
      <c r="F490" s="14" t="str">
        <f aca="false">IF($I490="","",INDEX(CONSOLIDADO!$E$2:$E$801,$I490))</f>
        <v/>
      </c>
      <c r="G490" s="16" t="str">
        <f aca="false">IF($I490="","",INDEX(CONSOLIDADO!$G$2:$G$801,$I490))</f>
        <v/>
      </c>
      <c r="H490" s="16" t="str">
        <f aca="false">IF($I490="","",INDEX(CONSOLIDADO!$H$2:$H$801,$I490))</f>
        <v/>
      </c>
      <c r="I490" s="11" t="str">
        <f aca="false">IFERROR(MATCH(ROW()-1,CONSOLIDADO!$AJ$2:$AJ$801,0),"")</f>
        <v/>
      </c>
      <c r="J490" s="11" t="str">
        <f aca="false">IF(B490="","",F490&amp;" "&amp;C490&amp;" ("&amp;B490&amp;")")</f>
        <v/>
      </c>
    </row>
    <row r="491" customFormat="false" ht="15" hidden="false" customHeight="false" outlineLevel="0" collapsed="false">
      <c r="A491" s="16"/>
      <c r="B491" s="11" t="str">
        <f aca="false">IF($I491="","",INDEX(CONSOLIDADO!$A$2:$A$801,$I491))</f>
        <v/>
      </c>
      <c r="C491" s="11" t="str">
        <f aca="false">IF($I491="","",INDEX(CONSOLIDADO!$B$2:$B$801,$I491))</f>
        <v/>
      </c>
      <c r="D491" s="16" t="str">
        <f aca="false">IF($I491="","",INDEX(CONSOLIDADO!$C$2:$C$801,$I491))</f>
        <v/>
      </c>
      <c r="E491" s="16" t="str">
        <f aca="false">IF($I491="","",INDEX(CONSOLIDADO!$D$2:$D$801,$I491))</f>
        <v/>
      </c>
      <c r="F491" s="14" t="str">
        <f aca="false">IF($I491="","",INDEX(CONSOLIDADO!$E$2:$E$801,$I491))</f>
        <v/>
      </c>
      <c r="G491" s="16" t="str">
        <f aca="false">IF($I491="","",INDEX(CONSOLIDADO!$G$2:$G$801,$I491))</f>
        <v/>
      </c>
      <c r="H491" s="16" t="str">
        <f aca="false">IF($I491="","",INDEX(CONSOLIDADO!$H$2:$H$801,$I491))</f>
        <v/>
      </c>
      <c r="I491" s="11" t="str">
        <f aca="false">IFERROR(MATCH(ROW()-1,CONSOLIDADO!$AJ$2:$AJ$801,0),"")</f>
        <v/>
      </c>
      <c r="J491" s="11" t="str">
        <f aca="false">IF(B491="","",F491&amp;" "&amp;C491&amp;" ("&amp;B491&amp;")")</f>
        <v/>
      </c>
    </row>
    <row r="492" customFormat="false" ht="15" hidden="false" customHeight="false" outlineLevel="0" collapsed="false">
      <c r="A492" s="16"/>
      <c r="B492" s="11" t="str">
        <f aca="false">IF($I492="","",INDEX(CONSOLIDADO!$A$2:$A$801,$I492))</f>
        <v/>
      </c>
      <c r="C492" s="11" t="str">
        <f aca="false">IF($I492="","",INDEX(CONSOLIDADO!$B$2:$B$801,$I492))</f>
        <v/>
      </c>
      <c r="D492" s="16" t="str">
        <f aca="false">IF($I492="","",INDEX(CONSOLIDADO!$C$2:$C$801,$I492))</f>
        <v/>
      </c>
      <c r="E492" s="16" t="str">
        <f aca="false">IF($I492="","",INDEX(CONSOLIDADO!$D$2:$D$801,$I492))</f>
        <v/>
      </c>
      <c r="F492" s="14" t="str">
        <f aca="false">IF($I492="","",INDEX(CONSOLIDADO!$E$2:$E$801,$I492))</f>
        <v/>
      </c>
      <c r="G492" s="16" t="str">
        <f aca="false">IF($I492="","",INDEX(CONSOLIDADO!$G$2:$G$801,$I492))</f>
        <v/>
      </c>
      <c r="H492" s="16" t="str">
        <f aca="false">IF($I492="","",INDEX(CONSOLIDADO!$H$2:$H$801,$I492))</f>
        <v/>
      </c>
      <c r="I492" s="11" t="str">
        <f aca="false">IFERROR(MATCH(ROW()-1,CONSOLIDADO!$AJ$2:$AJ$801,0),"")</f>
        <v/>
      </c>
      <c r="J492" s="11" t="str">
        <f aca="false">IF(B492="","",F492&amp;" "&amp;C492&amp;" ("&amp;B492&amp;")")</f>
        <v/>
      </c>
    </row>
    <row r="493" customFormat="false" ht="15" hidden="false" customHeight="false" outlineLevel="0" collapsed="false">
      <c r="A493" s="16"/>
      <c r="B493" s="11" t="str">
        <f aca="false">IF($I493="","",INDEX(CONSOLIDADO!$A$2:$A$801,$I493))</f>
        <v/>
      </c>
      <c r="C493" s="11" t="str">
        <f aca="false">IF($I493="","",INDEX(CONSOLIDADO!$B$2:$B$801,$I493))</f>
        <v/>
      </c>
      <c r="D493" s="16" t="str">
        <f aca="false">IF($I493="","",INDEX(CONSOLIDADO!$C$2:$C$801,$I493))</f>
        <v/>
      </c>
      <c r="E493" s="16" t="str">
        <f aca="false">IF($I493="","",INDEX(CONSOLIDADO!$D$2:$D$801,$I493))</f>
        <v/>
      </c>
      <c r="F493" s="14" t="str">
        <f aca="false">IF($I493="","",INDEX(CONSOLIDADO!$E$2:$E$801,$I493))</f>
        <v/>
      </c>
      <c r="G493" s="16" t="str">
        <f aca="false">IF($I493="","",INDEX(CONSOLIDADO!$G$2:$G$801,$I493))</f>
        <v/>
      </c>
      <c r="H493" s="16" t="str">
        <f aca="false">IF($I493="","",INDEX(CONSOLIDADO!$H$2:$H$801,$I493))</f>
        <v/>
      </c>
      <c r="I493" s="11" t="str">
        <f aca="false">IFERROR(MATCH(ROW()-1,CONSOLIDADO!$AJ$2:$AJ$801,0),"")</f>
        <v/>
      </c>
      <c r="J493" s="11" t="str">
        <f aca="false">IF(B493="","",F493&amp;" "&amp;C493&amp;" ("&amp;B493&amp;")")</f>
        <v/>
      </c>
    </row>
    <row r="494" customFormat="false" ht="15" hidden="false" customHeight="false" outlineLevel="0" collapsed="false">
      <c r="A494" s="16"/>
      <c r="B494" s="11" t="str">
        <f aca="false">IF($I494="","",INDEX(CONSOLIDADO!$A$2:$A$801,$I494))</f>
        <v/>
      </c>
      <c r="C494" s="11" t="str">
        <f aca="false">IF($I494="","",INDEX(CONSOLIDADO!$B$2:$B$801,$I494))</f>
        <v/>
      </c>
      <c r="D494" s="16" t="str">
        <f aca="false">IF($I494="","",INDEX(CONSOLIDADO!$C$2:$C$801,$I494))</f>
        <v/>
      </c>
      <c r="E494" s="16" t="str">
        <f aca="false">IF($I494="","",INDEX(CONSOLIDADO!$D$2:$D$801,$I494))</f>
        <v/>
      </c>
      <c r="F494" s="14" t="str">
        <f aca="false">IF($I494="","",INDEX(CONSOLIDADO!$E$2:$E$801,$I494))</f>
        <v/>
      </c>
      <c r="G494" s="16" t="str">
        <f aca="false">IF($I494="","",INDEX(CONSOLIDADO!$G$2:$G$801,$I494))</f>
        <v/>
      </c>
      <c r="H494" s="16" t="str">
        <f aca="false">IF($I494="","",INDEX(CONSOLIDADO!$H$2:$H$801,$I494))</f>
        <v/>
      </c>
      <c r="I494" s="11" t="str">
        <f aca="false">IFERROR(MATCH(ROW()-1,CONSOLIDADO!$AJ$2:$AJ$801,0),"")</f>
        <v/>
      </c>
      <c r="J494" s="11" t="str">
        <f aca="false">IF(B494="","",F494&amp;" "&amp;C494&amp;" ("&amp;B494&amp;")")</f>
        <v/>
      </c>
    </row>
    <row r="495" customFormat="false" ht="15" hidden="false" customHeight="false" outlineLevel="0" collapsed="false">
      <c r="A495" s="16"/>
      <c r="B495" s="11" t="str">
        <f aca="false">IF($I495="","",INDEX(CONSOLIDADO!$A$2:$A$801,$I495))</f>
        <v/>
      </c>
      <c r="C495" s="11" t="str">
        <f aca="false">IF($I495="","",INDEX(CONSOLIDADO!$B$2:$B$801,$I495))</f>
        <v/>
      </c>
      <c r="D495" s="16" t="str">
        <f aca="false">IF($I495="","",INDEX(CONSOLIDADO!$C$2:$C$801,$I495))</f>
        <v/>
      </c>
      <c r="E495" s="16" t="str">
        <f aca="false">IF($I495="","",INDEX(CONSOLIDADO!$D$2:$D$801,$I495))</f>
        <v/>
      </c>
      <c r="F495" s="14" t="str">
        <f aca="false">IF($I495="","",INDEX(CONSOLIDADO!$E$2:$E$801,$I495))</f>
        <v/>
      </c>
      <c r="G495" s="16" t="str">
        <f aca="false">IF($I495="","",INDEX(CONSOLIDADO!$G$2:$G$801,$I495))</f>
        <v/>
      </c>
      <c r="H495" s="16" t="str">
        <f aca="false">IF($I495="","",INDEX(CONSOLIDADO!$H$2:$H$801,$I495))</f>
        <v/>
      </c>
      <c r="I495" s="11" t="str">
        <f aca="false">IFERROR(MATCH(ROW()-1,CONSOLIDADO!$AJ$2:$AJ$801,0),"")</f>
        <v/>
      </c>
      <c r="J495" s="11" t="str">
        <f aca="false">IF(B495="","",F495&amp;" "&amp;C495&amp;" ("&amp;B495&amp;")")</f>
        <v/>
      </c>
    </row>
    <row r="496" customFormat="false" ht="15" hidden="false" customHeight="false" outlineLevel="0" collapsed="false">
      <c r="A496" s="16"/>
      <c r="B496" s="11" t="str">
        <f aca="false">IF($I496="","",INDEX(CONSOLIDADO!$A$2:$A$801,$I496))</f>
        <v/>
      </c>
      <c r="C496" s="11" t="str">
        <f aca="false">IF($I496="","",INDEX(CONSOLIDADO!$B$2:$B$801,$I496))</f>
        <v/>
      </c>
      <c r="D496" s="16" t="str">
        <f aca="false">IF($I496="","",INDEX(CONSOLIDADO!$C$2:$C$801,$I496))</f>
        <v/>
      </c>
      <c r="E496" s="16" t="str">
        <f aca="false">IF($I496="","",INDEX(CONSOLIDADO!$D$2:$D$801,$I496))</f>
        <v/>
      </c>
      <c r="F496" s="14" t="str">
        <f aca="false">IF($I496="","",INDEX(CONSOLIDADO!$E$2:$E$801,$I496))</f>
        <v/>
      </c>
      <c r="G496" s="16" t="str">
        <f aca="false">IF($I496="","",INDEX(CONSOLIDADO!$G$2:$G$801,$I496))</f>
        <v/>
      </c>
      <c r="H496" s="16" t="str">
        <f aca="false">IF($I496="","",INDEX(CONSOLIDADO!$H$2:$H$801,$I496))</f>
        <v/>
      </c>
      <c r="I496" s="11" t="str">
        <f aca="false">IFERROR(MATCH(ROW()-1,CONSOLIDADO!$AJ$2:$AJ$801,0),"")</f>
        <v/>
      </c>
      <c r="J496" s="11" t="str">
        <f aca="false">IF(B496="","",F496&amp;" "&amp;C496&amp;" ("&amp;B496&amp;")")</f>
        <v/>
      </c>
    </row>
    <row r="497" customFormat="false" ht="15" hidden="false" customHeight="false" outlineLevel="0" collapsed="false">
      <c r="A497" s="16"/>
      <c r="B497" s="11" t="str">
        <f aca="false">IF($I497="","",INDEX(CONSOLIDADO!$A$2:$A$801,$I497))</f>
        <v/>
      </c>
      <c r="C497" s="11" t="str">
        <f aca="false">IF($I497="","",INDEX(CONSOLIDADO!$B$2:$B$801,$I497))</f>
        <v/>
      </c>
      <c r="D497" s="16" t="str">
        <f aca="false">IF($I497="","",INDEX(CONSOLIDADO!$C$2:$C$801,$I497))</f>
        <v/>
      </c>
      <c r="E497" s="16" t="str">
        <f aca="false">IF($I497="","",INDEX(CONSOLIDADO!$D$2:$D$801,$I497))</f>
        <v/>
      </c>
      <c r="F497" s="14" t="str">
        <f aca="false">IF($I497="","",INDEX(CONSOLIDADO!$E$2:$E$801,$I497))</f>
        <v/>
      </c>
      <c r="G497" s="16" t="str">
        <f aca="false">IF($I497="","",INDEX(CONSOLIDADO!$G$2:$G$801,$I497))</f>
        <v/>
      </c>
      <c r="H497" s="16" t="str">
        <f aca="false">IF($I497="","",INDEX(CONSOLIDADO!$H$2:$H$801,$I497))</f>
        <v/>
      </c>
      <c r="I497" s="11" t="str">
        <f aca="false">IFERROR(MATCH(ROW()-1,CONSOLIDADO!$AJ$2:$AJ$801,0),"")</f>
        <v/>
      </c>
      <c r="J497" s="11" t="str">
        <f aca="false">IF(B497="","",F497&amp;" "&amp;C497&amp;" ("&amp;B497&amp;")")</f>
        <v/>
      </c>
    </row>
    <row r="498" customFormat="false" ht="15" hidden="false" customHeight="false" outlineLevel="0" collapsed="false">
      <c r="A498" s="16"/>
      <c r="B498" s="11" t="str">
        <f aca="false">IF($I498="","",INDEX(CONSOLIDADO!$A$2:$A$801,$I498))</f>
        <v/>
      </c>
      <c r="C498" s="11" t="str">
        <f aca="false">IF($I498="","",INDEX(CONSOLIDADO!$B$2:$B$801,$I498))</f>
        <v/>
      </c>
      <c r="D498" s="16" t="str">
        <f aca="false">IF($I498="","",INDEX(CONSOLIDADO!$C$2:$C$801,$I498))</f>
        <v/>
      </c>
      <c r="E498" s="16" t="str">
        <f aca="false">IF($I498="","",INDEX(CONSOLIDADO!$D$2:$D$801,$I498))</f>
        <v/>
      </c>
      <c r="F498" s="14" t="str">
        <f aca="false">IF($I498="","",INDEX(CONSOLIDADO!$E$2:$E$801,$I498))</f>
        <v/>
      </c>
      <c r="G498" s="16" t="str">
        <f aca="false">IF($I498="","",INDEX(CONSOLIDADO!$G$2:$G$801,$I498))</f>
        <v/>
      </c>
      <c r="H498" s="16" t="str">
        <f aca="false">IF($I498="","",INDEX(CONSOLIDADO!$H$2:$H$801,$I498))</f>
        <v/>
      </c>
      <c r="I498" s="11" t="str">
        <f aca="false">IFERROR(MATCH(ROW()-1,CONSOLIDADO!$AJ$2:$AJ$801,0),"")</f>
        <v/>
      </c>
      <c r="J498" s="11" t="str">
        <f aca="false">IF(B498="","",F498&amp;" "&amp;C498&amp;" ("&amp;B498&amp;")")</f>
        <v/>
      </c>
    </row>
    <row r="499" customFormat="false" ht="15" hidden="false" customHeight="false" outlineLevel="0" collapsed="false">
      <c r="A499" s="16"/>
      <c r="B499" s="11" t="str">
        <f aca="false">IF($I499="","",INDEX(CONSOLIDADO!$A$2:$A$801,$I499))</f>
        <v/>
      </c>
      <c r="C499" s="11" t="str">
        <f aca="false">IF($I499="","",INDEX(CONSOLIDADO!$B$2:$B$801,$I499))</f>
        <v/>
      </c>
      <c r="D499" s="16" t="str">
        <f aca="false">IF($I499="","",INDEX(CONSOLIDADO!$C$2:$C$801,$I499))</f>
        <v/>
      </c>
      <c r="E499" s="16" t="str">
        <f aca="false">IF($I499="","",INDEX(CONSOLIDADO!$D$2:$D$801,$I499))</f>
        <v/>
      </c>
      <c r="F499" s="14" t="str">
        <f aca="false">IF($I499="","",INDEX(CONSOLIDADO!$E$2:$E$801,$I499))</f>
        <v/>
      </c>
      <c r="G499" s="16" t="str">
        <f aca="false">IF($I499="","",INDEX(CONSOLIDADO!$G$2:$G$801,$I499))</f>
        <v/>
      </c>
      <c r="H499" s="16" t="str">
        <f aca="false">IF($I499="","",INDEX(CONSOLIDADO!$H$2:$H$801,$I499))</f>
        <v/>
      </c>
      <c r="I499" s="11" t="str">
        <f aca="false">IFERROR(MATCH(ROW()-1,CONSOLIDADO!$AJ$2:$AJ$801,0),"")</f>
        <v/>
      </c>
      <c r="J499" s="11" t="str">
        <f aca="false">IF(B499="","",F499&amp;" "&amp;C499&amp;" ("&amp;B499&amp;")")</f>
        <v/>
      </c>
    </row>
    <row r="500" customFormat="false" ht="15" hidden="false" customHeight="false" outlineLevel="0" collapsed="false">
      <c r="A500" s="16"/>
      <c r="B500" s="11" t="str">
        <f aca="false">IF($I500="","",INDEX(CONSOLIDADO!$A$2:$A$801,$I500))</f>
        <v/>
      </c>
      <c r="C500" s="11" t="str">
        <f aca="false">IF($I500="","",INDEX(CONSOLIDADO!$B$2:$B$801,$I500))</f>
        <v/>
      </c>
      <c r="D500" s="16" t="str">
        <f aca="false">IF($I500="","",INDEX(CONSOLIDADO!$C$2:$C$801,$I500))</f>
        <v/>
      </c>
      <c r="E500" s="16" t="str">
        <f aca="false">IF($I500="","",INDEX(CONSOLIDADO!$D$2:$D$801,$I500))</f>
        <v/>
      </c>
      <c r="F500" s="14" t="str">
        <f aca="false">IF($I500="","",INDEX(CONSOLIDADO!$E$2:$E$801,$I500))</f>
        <v/>
      </c>
      <c r="G500" s="16" t="str">
        <f aca="false">IF($I500="","",INDEX(CONSOLIDADO!$G$2:$G$801,$I500))</f>
        <v/>
      </c>
      <c r="H500" s="16" t="str">
        <f aca="false">IF($I500="","",INDEX(CONSOLIDADO!$H$2:$H$801,$I500))</f>
        <v/>
      </c>
      <c r="I500" s="11" t="str">
        <f aca="false">IFERROR(MATCH(ROW()-1,CONSOLIDADO!$AJ$2:$AJ$801,0),"")</f>
        <v/>
      </c>
      <c r="J500" s="11" t="str">
        <f aca="false">IF(B500="","",F500&amp;" "&amp;C500&amp;" ("&amp;B500&amp;")")</f>
        <v/>
      </c>
    </row>
    <row r="501" customFormat="false" ht="15" hidden="false" customHeight="false" outlineLevel="0" collapsed="false">
      <c r="A501" s="16"/>
      <c r="B501" s="11" t="str">
        <f aca="false">IF($I501="","",INDEX(CONSOLIDADO!$A$2:$A$801,$I501))</f>
        <v/>
      </c>
      <c r="C501" s="11" t="str">
        <f aca="false">IF($I501="","",INDEX(CONSOLIDADO!$B$2:$B$801,$I501))</f>
        <v/>
      </c>
      <c r="D501" s="16" t="str">
        <f aca="false">IF($I501="","",INDEX(CONSOLIDADO!$C$2:$C$801,$I501))</f>
        <v/>
      </c>
      <c r="E501" s="16" t="str">
        <f aca="false">IF($I501="","",INDEX(CONSOLIDADO!$D$2:$D$801,$I501))</f>
        <v/>
      </c>
      <c r="F501" s="14" t="str">
        <f aca="false">IF($I501="","",INDEX(CONSOLIDADO!$E$2:$E$801,$I501))</f>
        <v/>
      </c>
      <c r="G501" s="16" t="str">
        <f aca="false">IF($I501="","",INDEX(CONSOLIDADO!$G$2:$G$801,$I501))</f>
        <v/>
      </c>
      <c r="H501" s="16" t="str">
        <f aca="false">IF($I501="","",INDEX(CONSOLIDADO!$H$2:$H$801,$I501))</f>
        <v/>
      </c>
      <c r="I501" s="11" t="str">
        <f aca="false">IFERROR(MATCH(ROW()-1,CONSOLIDADO!$AJ$2:$AJ$801,0),"")</f>
        <v/>
      </c>
      <c r="J501" s="11" t="str">
        <f aca="false">IF(B501="","",F501&amp;" "&amp;C501&amp;" ("&amp;B501&amp;")")</f>
        <v/>
      </c>
    </row>
    <row r="502" customFormat="false" ht="15" hidden="false" customHeight="false" outlineLevel="0" collapsed="false">
      <c r="A502" s="16"/>
      <c r="B502" s="11" t="str">
        <f aca="false">IF($I502="","",INDEX(CONSOLIDADO!$A$2:$A$801,$I502))</f>
        <v/>
      </c>
      <c r="C502" s="11" t="str">
        <f aca="false">IF($I502="","",INDEX(CONSOLIDADO!$B$2:$B$801,$I502))</f>
        <v/>
      </c>
      <c r="D502" s="16" t="str">
        <f aca="false">IF($I502="","",INDEX(CONSOLIDADO!$C$2:$C$801,$I502))</f>
        <v/>
      </c>
      <c r="E502" s="16" t="str">
        <f aca="false">IF($I502="","",INDEX(CONSOLIDADO!$D$2:$D$801,$I502))</f>
        <v/>
      </c>
      <c r="F502" s="14" t="str">
        <f aca="false">IF($I502="","",INDEX(CONSOLIDADO!$E$2:$E$801,$I502))</f>
        <v/>
      </c>
      <c r="G502" s="16" t="str">
        <f aca="false">IF($I502="","",INDEX(CONSOLIDADO!$G$2:$G$801,$I502))</f>
        <v/>
      </c>
      <c r="H502" s="16" t="str">
        <f aca="false">IF($I502="","",INDEX(CONSOLIDADO!$H$2:$H$801,$I502))</f>
        <v/>
      </c>
      <c r="I502" s="11" t="str">
        <f aca="false">IFERROR(MATCH(ROW()-1,CONSOLIDADO!$AJ$2:$AJ$801,0),"")</f>
        <v/>
      </c>
      <c r="J502" s="11" t="str">
        <f aca="false">IF(B502="","",F502&amp;" "&amp;C502&amp;" ("&amp;B502&amp;")")</f>
        <v/>
      </c>
    </row>
    <row r="503" customFormat="false" ht="15" hidden="false" customHeight="false" outlineLevel="0" collapsed="false">
      <c r="A503" s="16"/>
      <c r="B503" s="11" t="str">
        <f aca="false">IF($I503="","",INDEX(CONSOLIDADO!$A$2:$A$801,$I503))</f>
        <v/>
      </c>
      <c r="C503" s="11" t="str">
        <f aca="false">IF($I503="","",INDEX(CONSOLIDADO!$B$2:$B$801,$I503))</f>
        <v/>
      </c>
      <c r="D503" s="16" t="str">
        <f aca="false">IF($I503="","",INDEX(CONSOLIDADO!$C$2:$C$801,$I503))</f>
        <v/>
      </c>
      <c r="E503" s="16" t="str">
        <f aca="false">IF($I503="","",INDEX(CONSOLIDADO!$D$2:$D$801,$I503))</f>
        <v/>
      </c>
      <c r="F503" s="14" t="str">
        <f aca="false">IF($I503="","",INDEX(CONSOLIDADO!$E$2:$E$801,$I503))</f>
        <v/>
      </c>
      <c r="G503" s="16" t="str">
        <f aca="false">IF($I503="","",INDEX(CONSOLIDADO!$G$2:$G$801,$I503))</f>
        <v/>
      </c>
      <c r="H503" s="16" t="str">
        <f aca="false">IF($I503="","",INDEX(CONSOLIDADO!$H$2:$H$801,$I503))</f>
        <v/>
      </c>
      <c r="I503" s="11" t="str">
        <f aca="false">IFERROR(MATCH(ROW()-1,CONSOLIDADO!$AJ$2:$AJ$801,0),"")</f>
        <v/>
      </c>
      <c r="J503" s="11" t="str">
        <f aca="false">IF(B503="","",F503&amp;" "&amp;C503&amp;" ("&amp;B503&amp;")")</f>
        <v/>
      </c>
    </row>
    <row r="504" customFormat="false" ht="15" hidden="false" customHeight="false" outlineLevel="0" collapsed="false">
      <c r="A504" s="16"/>
      <c r="B504" s="11" t="str">
        <f aca="false">IF($I504="","",INDEX(CONSOLIDADO!$A$2:$A$801,$I504))</f>
        <v/>
      </c>
      <c r="C504" s="11" t="str">
        <f aca="false">IF($I504="","",INDEX(CONSOLIDADO!$B$2:$B$801,$I504))</f>
        <v/>
      </c>
      <c r="D504" s="16" t="str">
        <f aca="false">IF($I504="","",INDEX(CONSOLIDADO!$C$2:$C$801,$I504))</f>
        <v/>
      </c>
      <c r="E504" s="16" t="str">
        <f aca="false">IF($I504="","",INDEX(CONSOLIDADO!$D$2:$D$801,$I504))</f>
        <v/>
      </c>
      <c r="F504" s="14" t="str">
        <f aca="false">IF($I504="","",INDEX(CONSOLIDADO!$E$2:$E$801,$I504))</f>
        <v/>
      </c>
      <c r="G504" s="16" t="str">
        <f aca="false">IF($I504="","",INDEX(CONSOLIDADO!$G$2:$G$801,$I504))</f>
        <v/>
      </c>
      <c r="H504" s="16" t="str">
        <f aca="false">IF($I504="","",INDEX(CONSOLIDADO!$H$2:$H$801,$I504))</f>
        <v/>
      </c>
      <c r="I504" s="11" t="str">
        <f aca="false">IFERROR(MATCH(ROW()-1,CONSOLIDADO!$AJ$2:$AJ$801,0),"")</f>
        <v/>
      </c>
      <c r="J504" s="11" t="str">
        <f aca="false">IF(B504="","",F504&amp;" "&amp;C504&amp;" ("&amp;B504&amp;")")</f>
        <v/>
      </c>
    </row>
    <row r="505" customFormat="false" ht="15" hidden="false" customHeight="false" outlineLevel="0" collapsed="false">
      <c r="A505" s="16"/>
      <c r="B505" s="11" t="str">
        <f aca="false">IF($I505="","",INDEX(CONSOLIDADO!$A$2:$A$801,$I505))</f>
        <v/>
      </c>
      <c r="C505" s="11" t="str">
        <f aca="false">IF($I505="","",INDEX(CONSOLIDADO!$B$2:$B$801,$I505))</f>
        <v/>
      </c>
      <c r="D505" s="16" t="str">
        <f aca="false">IF($I505="","",INDEX(CONSOLIDADO!$C$2:$C$801,$I505))</f>
        <v/>
      </c>
      <c r="E505" s="16" t="str">
        <f aca="false">IF($I505="","",INDEX(CONSOLIDADO!$D$2:$D$801,$I505))</f>
        <v/>
      </c>
      <c r="F505" s="14" t="str">
        <f aca="false">IF($I505="","",INDEX(CONSOLIDADO!$E$2:$E$801,$I505))</f>
        <v/>
      </c>
      <c r="G505" s="16" t="str">
        <f aca="false">IF($I505="","",INDEX(CONSOLIDADO!$G$2:$G$801,$I505))</f>
        <v/>
      </c>
      <c r="H505" s="16" t="str">
        <f aca="false">IF($I505="","",INDEX(CONSOLIDADO!$H$2:$H$801,$I505))</f>
        <v/>
      </c>
      <c r="I505" s="11" t="str">
        <f aca="false">IFERROR(MATCH(ROW()-1,CONSOLIDADO!$AJ$2:$AJ$801,0),"")</f>
        <v/>
      </c>
      <c r="J505" s="11" t="str">
        <f aca="false">IF(B505="","",F505&amp;" "&amp;C505&amp;" ("&amp;B505&amp;")")</f>
        <v/>
      </c>
    </row>
    <row r="506" customFormat="false" ht="15" hidden="false" customHeight="false" outlineLevel="0" collapsed="false">
      <c r="A506" s="16"/>
      <c r="B506" s="11" t="str">
        <f aca="false">IF($I506="","",INDEX(CONSOLIDADO!$A$2:$A$801,$I506))</f>
        <v/>
      </c>
      <c r="C506" s="11" t="str">
        <f aca="false">IF($I506="","",INDEX(CONSOLIDADO!$B$2:$B$801,$I506))</f>
        <v/>
      </c>
      <c r="D506" s="16" t="str">
        <f aca="false">IF($I506="","",INDEX(CONSOLIDADO!$C$2:$C$801,$I506))</f>
        <v/>
      </c>
      <c r="E506" s="16" t="str">
        <f aca="false">IF($I506="","",INDEX(CONSOLIDADO!$D$2:$D$801,$I506))</f>
        <v/>
      </c>
      <c r="F506" s="14" t="str">
        <f aca="false">IF($I506="","",INDEX(CONSOLIDADO!$E$2:$E$801,$I506))</f>
        <v/>
      </c>
      <c r="G506" s="16" t="str">
        <f aca="false">IF($I506="","",INDEX(CONSOLIDADO!$G$2:$G$801,$I506))</f>
        <v/>
      </c>
      <c r="H506" s="16" t="str">
        <f aca="false">IF($I506="","",INDEX(CONSOLIDADO!$H$2:$H$801,$I506))</f>
        <v/>
      </c>
      <c r="I506" s="11" t="str">
        <f aca="false">IFERROR(MATCH(ROW()-1,CONSOLIDADO!$AJ$2:$AJ$801,0),"")</f>
        <v/>
      </c>
      <c r="J506" s="11" t="str">
        <f aca="false">IF(B506="","",F506&amp;" "&amp;C506&amp;" ("&amp;B506&amp;")")</f>
        <v/>
      </c>
    </row>
    <row r="507" customFormat="false" ht="15" hidden="false" customHeight="false" outlineLevel="0" collapsed="false">
      <c r="A507" s="16"/>
      <c r="B507" s="11" t="str">
        <f aca="false">IF($I507="","",INDEX(CONSOLIDADO!$A$2:$A$801,$I507))</f>
        <v/>
      </c>
      <c r="C507" s="11" t="str">
        <f aca="false">IF($I507="","",INDEX(CONSOLIDADO!$B$2:$B$801,$I507))</f>
        <v/>
      </c>
      <c r="D507" s="16" t="str">
        <f aca="false">IF($I507="","",INDEX(CONSOLIDADO!$C$2:$C$801,$I507))</f>
        <v/>
      </c>
      <c r="E507" s="16" t="str">
        <f aca="false">IF($I507="","",INDEX(CONSOLIDADO!$D$2:$D$801,$I507))</f>
        <v/>
      </c>
      <c r="F507" s="14" t="str">
        <f aca="false">IF($I507="","",INDEX(CONSOLIDADO!$E$2:$E$801,$I507))</f>
        <v/>
      </c>
      <c r="G507" s="16" t="str">
        <f aca="false">IF($I507="","",INDEX(CONSOLIDADO!$G$2:$G$801,$I507))</f>
        <v/>
      </c>
      <c r="H507" s="16" t="str">
        <f aca="false">IF($I507="","",INDEX(CONSOLIDADO!$H$2:$H$801,$I507))</f>
        <v/>
      </c>
      <c r="I507" s="11" t="str">
        <f aca="false">IFERROR(MATCH(ROW()-1,CONSOLIDADO!$AJ$2:$AJ$801,0),"")</f>
        <v/>
      </c>
      <c r="J507" s="11" t="str">
        <f aca="false">IF(B507="","",F507&amp;" "&amp;C507&amp;" ("&amp;B507&amp;")")</f>
        <v/>
      </c>
    </row>
    <row r="508" customFormat="false" ht="15" hidden="false" customHeight="false" outlineLevel="0" collapsed="false">
      <c r="A508" s="16"/>
      <c r="B508" s="11" t="str">
        <f aca="false">IF($I508="","",INDEX(CONSOLIDADO!$A$2:$A$801,$I508))</f>
        <v/>
      </c>
      <c r="C508" s="11" t="str">
        <f aca="false">IF($I508="","",INDEX(CONSOLIDADO!$B$2:$B$801,$I508))</f>
        <v/>
      </c>
      <c r="D508" s="16" t="str">
        <f aca="false">IF($I508="","",INDEX(CONSOLIDADO!$C$2:$C$801,$I508))</f>
        <v/>
      </c>
      <c r="E508" s="16" t="str">
        <f aca="false">IF($I508="","",INDEX(CONSOLIDADO!$D$2:$D$801,$I508))</f>
        <v/>
      </c>
      <c r="F508" s="14" t="str">
        <f aca="false">IF($I508="","",INDEX(CONSOLIDADO!$E$2:$E$801,$I508))</f>
        <v/>
      </c>
      <c r="G508" s="16" t="str">
        <f aca="false">IF($I508="","",INDEX(CONSOLIDADO!$G$2:$G$801,$I508))</f>
        <v/>
      </c>
      <c r="H508" s="16" t="str">
        <f aca="false">IF($I508="","",INDEX(CONSOLIDADO!$H$2:$H$801,$I508))</f>
        <v/>
      </c>
      <c r="I508" s="11" t="str">
        <f aca="false">IFERROR(MATCH(ROW()-1,CONSOLIDADO!$AJ$2:$AJ$801,0),"")</f>
        <v/>
      </c>
      <c r="J508" s="11" t="str">
        <f aca="false">IF(B508="","",F508&amp;" "&amp;C508&amp;" ("&amp;B508&amp;")")</f>
        <v/>
      </c>
    </row>
    <row r="509" customFormat="false" ht="15" hidden="false" customHeight="false" outlineLevel="0" collapsed="false">
      <c r="A509" s="16"/>
      <c r="B509" s="11" t="str">
        <f aca="false">IF($I509="","",INDEX(CONSOLIDADO!$A$2:$A$801,$I509))</f>
        <v/>
      </c>
      <c r="C509" s="11" t="str">
        <f aca="false">IF($I509="","",INDEX(CONSOLIDADO!$B$2:$B$801,$I509))</f>
        <v/>
      </c>
      <c r="D509" s="16" t="str">
        <f aca="false">IF($I509="","",INDEX(CONSOLIDADO!$C$2:$C$801,$I509))</f>
        <v/>
      </c>
      <c r="E509" s="16" t="str">
        <f aca="false">IF($I509="","",INDEX(CONSOLIDADO!$D$2:$D$801,$I509))</f>
        <v/>
      </c>
      <c r="F509" s="14" t="str">
        <f aca="false">IF($I509="","",INDEX(CONSOLIDADO!$E$2:$E$801,$I509))</f>
        <v/>
      </c>
      <c r="G509" s="16" t="str">
        <f aca="false">IF($I509="","",INDEX(CONSOLIDADO!$G$2:$G$801,$I509))</f>
        <v/>
      </c>
      <c r="H509" s="16" t="str">
        <f aca="false">IF($I509="","",INDEX(CONSOLIDADO!$H$2:$H$801,$I509))</f>
        <v/>
      </c>
      <c r="I509" s="11" t="str">
        <f aca="false">IFERROR(MATCH(ROW()-1,CONSOLIDADO!$AJ$2:$AJ$801,0),"")</f>
        <v/>
      </c>
      <c r="J509" s="11" t="str">
        <f aca="false">IF(B509="","",F509&amp;" "&amp;C509&amp;" ("&amp;B509&amp;")")</f>
        <v/>
      </c>
    </row>
    <row r="510" customFormat="false" ht="15" hidden="false" customHeight="false" outlineLevel="0" collapsed="false">
      <c r="A510" s="16"/>
      <c r="B510" s="11" t="str">
        <f aca="false">IF($I510="","",INDEX(CONSOLIDADO!$A$2:$A$801,$I510))</f>
        <v/>
      </c>
      <c r="C510" s="11" t="str">
        <f aca="false">IF($I510="","",INDEX(CONSOLIDADO!$B$2:$B$801,$I510))</f>
        <v/>
      </c>
      <c r="D510" s="16" t="str">
        <f aca="false">IF($I510="","",INDEX(CONSOLIDADO!$C$2:$C$801,$I510))</f>
        <v/>
      </c>
      <c r="E510" s="16" t="str">
        <f aca="false">IF($I510="","",INDEX(CONSOLIDADO!$D$2:$D$801,$I510))</f>
        <v/>
      </c>
      <c r="F510" s="14" t="str">
        <f aca="false">IF($I510="","",INDEX(CONSOLIDADO!$E$2:$E$801,$I510))</f>
        <v/>
      </c>
      <c r="G510" s="16" t="str">
        <f aca="false">IF($I510="","",INDEX(CONSOLIDADO!$G$2:$G$801,$I510))</f>
        <v/>
      </c>
      <c r="H510" s="16" t="str">
        <f aca="false">IF($I510="","",INDEX(CONSOLIDADO!$H$2:$H$801,$I510))</f>
        <v/>
      </c>
      <c r="I510" s="11" t="str">
        <f aca="false">IFERROR(MATCH(ROW()-1,CONSOLIDADO!$AJ$2:$AJ$801,0),"")</f>
        <v/>
      </c>
      <c r="J510" s="11" t="str">
        <f aca="false">IF(B510="","",F510&amp;" "&amp;C510&amp;" ("&amp;B510&amp;")")</f>
        <v/>
      </c>
    </row>
    <row r="511" customFormat="false" ht="15" hidden="false" customHeight="false" outlineLevel="0" collapsed="false">
      <c r="A511" s="16"/>
      <c r="B511" s="11" t="str">
        <f aca="false">IF($I511="","",INDEX(CONSOLIDADO!$A$2:$A$801,$I511))</f>
        <v/>
      </c>
      <c r="C511" s="11" t="str">
        <f aca="false">IF($I511="","",INDEX(CONSOLIDADO!$B$2:$B$801,$I511))</f>
        <v/>
      </c>
      <c r="D511" s="16" t="str">
        <f aca="false">IF($I511="","",INDEX(CONSOLIDADO!$C$2:$C$801,$I511))</f>
        <v/>
      </c>
      <c r="E511" s="16" t="str">
        <f aca="false">IF($I511="","",INDEX(CONSOLIDADO!$D$2:$D$801,$I511))</f>
        <v/>
      </c>
      <c r="F511" s="14" t="str">
        <f aca="false">IF($I511="","",INDEX(CONSOLIDADO!$E$2:$E$801,$I511))</f>
        <v/>
      </c>
      <c r="G511" s="16" t="str">
        <f aca="false">IF($I511="","",INDEX(CONSOLIDADO!$G$2:$G$801,$I511))</f>
        <v/>
      </c>
      <c r="H511" s="16" t="str">
        <f aca="false">IF($I511="","",INDEX(CONSOLIDADO!$H$2:$H$801,$I511))</f>
        <v/>
      </c>
      <c r="I511" s="11" t="str">
        <f aca="false">IFERROR(MATCH(ROW()-1,CONSOLIDADO!$AJ$2:$AJ$801,0),"")</f>
        <v/>
      </c>
      <c r="J511" s="11" t="str">
        <f aca="false">IF(B511="","",F511&amp;" "&amp;C511&amp;" ("&amp;B511&amp;")")</f>
        <v/>
      </c>
    </row>
    <row r="512" customFormat="false" ht="15" hidden="false" customHeight="false" outlineLevel="0" collapsed="false">
      <c r="A512" s="16"/>
      <c r="B512" s="11" t="str">
        <f aca="false">IF($I512="","",INDEX(CONSOLIDADO!$A$2:$A$801,$I512))</f>
        <v/>
      </c>
      <c r="C512" s="11" t="str">
        <f aca="false">IF($I512="","",INDEX(CONSOLIDADO!$B$2:$B$801,$I512))</f>
        <v/>
      </c>
      <c r="D512" s="16" t="str">
        <f aca="false">IF($I512="","",INDEX(CONSOLIDADO!$C$2:$C$801,$I512))</f>
        <v/>
      </c>
      <c r="E512" s="16" t="str">
        <f aca="false">IF($I512="","",INDEX(CONSOLIDADO!$D$2:$D$801,$I512))</f>
        <v/>
      </c>
      <c r="F512" s="14" t="str">
        <f aca="false">IF($I512="","",INDEX(CONSOLIDADO!$E$2:$E$801,$I512))</f>
        <v/>
      </c>
      <c r="G512" s="16" t="str">
        <f aca="false">IF($I512="","",INDEX(CONSOLIDADO!$G$2:$G$801,$I512))</f>
        <v/>
      </c>
      <c r="H512" s="16" t="str">
        <f aca="false">IF($I512="","",INDEX(CONSOLIDADO!$H$2:$H$801,$I512))</f>
        <v/>
      </c>
      <c r="I512" s="11" t="str">
        <f aca="false">IFERROR(MATCH(ROW()-1,CONSOLIDADO!$AJ$2:$AJ$801,0),"")</f>
        <v/>
      </c>
      <c r="J512" s="11" t="str">
        <f aca="false">IF(B512="","",F512&amp;" "&amp;C512&amp;" ("&amp;B512&amp;")")</f>
        <v/>
      </c>
    </row>
    <row r="513" customFormat="false" ht="15" hidden="false" customHeight="false" outlineLevel="0" collapsed="false">
      <c r="A513" s="16"/>
      <c r="B513" s="11" t="str">
        <f aca="false">IF($I513="","",INDEX(CONSOLIDADO!$A$2:$A$801,$I513))</f>
        <v/>
      </c>
      <c r="C513" s="11" t="str">
        <f aca="false">IF($I513="","",INDEX(CONSOLIDADO!$B$2:$B$801,$I513))</f>
        <v/>
      </c>
      <c r="D513" s="16" t="str">
        <f aca="false">IF($I513="","",INDEX(CONSOLIDADO!$C$2:$C$801,$I513))</f>
        <v/>
      </c>
      <c r="E513" s="16" t="str">
        <f aca="false">IF($I513="","",INDEX(CONSOLIDADO!$D$2:$D$801,$I513))</f>
        <v/>
      </c>
      <c r="F513" s="14" t="str">
        <f aca="false">IF($I513="","",INDEX(CONSOLIDADO!$E$2:$E$801,$I513))</f>
        <v/>
      </c>
      <c r="G513" s="16" t="str">
        <f aca="false">IF($I513="","",INDEX(CONSOLIDADO!$G$2:$G$801,$I513))</f>
        <v/>
      </c>
      <c r="H513" s="16" t="str">
        <f aca="false">IF($I513="","",INDEX(CONSOLIDADO!$H$2:$H$801,$I513))</f>
        <v/>
      </c>
      <c r="I513" s="11" t="str">
        <f aca="false">IFERROR(MATCH(ROW()-1,CONSOLIDADO!$AJ$2:$AJ$801,0),"")</f>
        <v/>
      </c>
      <c r="J513" s="11" t="str">
        <f aca="false">IF(B513="","",F513&amp;" "&amp;C513&amp;" ("&amp;B513&amp;")")</f>
        <v/>
      </c>
    </row>
    <row r="514" customFormat="false" ht="15" hidden="false" customHeight="false" outlineLevel="0" collapsed="false">
      <c r="A514" s="16"/>
      <c r="B514" s="11" t="str">
        <f aca="false">IF($I514="","",INDEX(CONSOLIDADO!$A$2:$A$801,$I514))</f>
        <v/>
      </c>
      <c r="C514" s="11" t="str">
        <f aca="false">IF($I514="","",INDEX(CONSOLIDADO!$B$2:$B$801,$I514))</f>
        <v/>
      </c>
      <c r="D514" s="16" t="str">
        <f aca="false">IF($I514="","",INDEX(CONSOLIDADO!$C$2:$C$801,$I514))</f>
        <v/>
      </c>
      <c r="E514" s="16" t="str">
        <f aca="false">IF($I514="","",INDEX(CONSOLIDADO!$D$2:$D$801,$I514))</f>
        <v/>
      </c>
      <c r="F514" s="14" t="str">
        <f aca="false">IF($I514="","",INDEX(CONSOLIDADO!$E$2:$E$801,$I514))</f>
        <v/>
      </c>
      <c r="G514" s="16" t="str">
        <f aca="false">IF($I514="","",INDEX(CONSOLIDADO!$G$2:$G$801,$I514))</f>
        <v/>
      </c>
      <c r="H514" s="16" t="str">
        <f aca="false">IF($I514="","",INDEX(CONSOLIDADO!$H$2:$H$801,$I514))</f>
        <v/>
      </c>
      <c r="I514" s="11" t="str">
        <f aca="false">IFERROR(MATCH(ROW()-1,CONSOLIDADO!$AJ$2:$AJ$801,0),"")</f>
        <v/>
      </c>
      <c r="J514" s="11" t="str">
        <f aca="false">IF(B514="","",F514&amp;" "&amp;C514&amp;" ("&amp;B514&amp;")")</f>
        <v/>
      </c>
    </row>
    <row r="515" customFormat="false" ht="15" hidden="false" customHeight="false" outlineLevel="0" collapsed="false">
      <c r="A515" s="16"/>
      <c r="B515" s="11" t="str">
        <f aca="false">IF($I515="","",INDEX(CONSOLIDADO!$A$2:$A$801,$I515))</f>
        <v/>
      </c>
      <c r="C515" s="11" t="str">
        <f aca="false">IF($I515="","",INDEX(CONSOLIDADO!$B$2:$B$801,$I515))</f>
        <v/>
      </c>
      <c r="D515" s="16" t="str">
        <f aca="false">IF($I515="","",INDEX(CONSOLIDADO!$C$2:$C$801,$I515))</f>
        <v/>
      </c>
      <c r="E515" s="16" t="str">
        <f aca="false">IF($I515="","",INDEX(CONSOLIDADO!$D$2:$D$801,$I515))</f>
        <v/>
      </c>
      <c r="F515" s="14" t="str">
        <f aca="false">IF($I515="","",INDEX(CONSOLIDADO!$E$2:$E$801,$I515))</f>
        <v/>
      </c>
      <c r="G515" s="16" t="str">
        <f aca="false">IF($I515="","",INDEX(CONSOLIDADO!$G$2:$G$801,$I515))</f>
        <v/>
      </c>
      <c r="H515" s="16" t="str">
        <f aca="false">IF($I515="","",INDEX(CONSOLIDADO!$H$2:$H$801,$I515))</f>
        <v/>
      </c>
      <c r="I515" s="11" t="str">
        <f aca="false">IFERROR(MATCH(ROW()-1,CONSOLIDADO!$AJ$2:$AJ$801,0),"")</f>
        <v/>
      </c>
      <c r="J515" s="11" t="str">
        <f aca="false">IF(B515="","",F515&amp;" "&amp;C515&amp;" ("&amp;B515&amp;")")</f>
        <v/>
      </c>
    </row>
    <row r="516" customFormat="false" ht="15" hidden="false" customHeight="false" outlineLevel="0" collapsed="false">
      <c r="A516" s="16"/>
      <c r="B516" s="11" t="str">
        <f aca="false">IF($I516="","",INDEX(CONSOLIDADO!$A$2:$A$801,$I516))</f>
        <v/>
      </c>
      <c r="C516" s="11" t="str">
        <f aca="false">IF($I516="","",INDEX(CONSOLIDADO!$B$2:$B$801,$I516))</f>
        <v/>
      </c>
      <c r="D516" s="16" t="str">
        <f aca="false">IF($I516="","",INDEX(CONSOLIDADO!$C$2:$C$801,$I516))</f>
        <v/>
      </c>
      <c r="E516" s="16" t="str">
        <f aca="false">IF($I516="","",INDEX(CONSOLIDADO!$D$2:$D$801,$I516))</f>
        <v/>
      </c>
      <c r="F516" s="14" t="str">
        <f aca="false">IF($I516="","",INDEX(CONSOLIDADO!$E$2:$E$801,$I516))</f>
        <v/>
      </c>
      <c r="G516" s="16" t="str">
        <f aca="false">IF($I516="","",INDEX(CONSOLIDADO!$G$2:$G$801,$I516))</f>
        <v/>
      </c>
      <c r="H516" s="16" t="str">
        <f aca="false">IF($I516="","",INDEX(CONSOLIDADO!$H$2:$H$801,$I516))</f>
        <v/>
      </c>
      <c r="I516" s="11" t="str">
        <f aca="false">IFERROR(MATCH(ROW()-1,CONSOLIDADO!$AJ$2:$AJ$801,0),"")</f>
        <v/>
      </c>
      <c r="J516" s="11" t="str">
        <f aca="false">IF(B516="","",F516&amp;" "&amp;C516&amp;" ("&amp;B516&amp;")")</f>
        <v/>
      </c>
    </row>
    <row r="517" customFormat="false" ht="15" hidden="false" customHeight="false" outlineLevel="0" collapsed="false">
      <c r="A517" s="16"/>
      <c r="B517" s="11" t="str">
        <f aca="false">IF($I517="","",INDEX(CONSOLIDADO!$A$2:$A$801,$I517))</f>
        <v/>
      </c>
      <c r="C517" s="11" t="str">
        <f aca="false">IF($I517="","",INDEX(CONSOLIDADO!$B$2:$B$801,$I517))</f>
        <v/>
      </c>
      <c r="D517" s="16" t="str">
        <f aca="false">IF($I517="","",INDEX(CONSOLIDADO!$C$2:$C$801,$I517))</f>
        <v/>
      </c>
      <c r="E517" s="16" t="str">
        <f aca="false">IF($I517="","",INDEX(CONSOLIDADO!$D$2:$D$801,$I517))</f>
        <v/>
      </c>
      <c r="F517" s="14" t="str">
        <f aca="false">IF($I517="","",INDEX(CONSOLIDADO!$E$2:$E$801,$I517))</f>
        <v/>
      </c>
      <c r="G517" s="16" t="str">
        <f aca="false">IF($I517="","",INDEX(CONSOLIDADO!$G$2:$G$801,$I517))</f>
        <v/>
      </c>
      <c r="H517" s="16" t="str">
        <f aca="false">IF($I517="","",INDEX(CONSOLIDADO!$H$2:$H$801,$I517))</f>
        <v/>
      </c>
      <c r="I517" s="11" t="str">
        <f aca="false">IFERROR(MATCH(ROW()-1,CONSOLIDADO!$AJ$2:$AJ$801,0),"")</f>
        <v/>
      </c>
      <c r="J517" s="11" t="str">
        <f aca="false">IF(B517="","",F517&amp;" "&amp;C517&amp;" ("&amp;B517&amp;")")</f>
        <v/>
      </c>
    </row>
    <row r="518" customFormat="false" ht="15" hidden="false" customHeight="false" outlineLevel="0" collapsed="false">
      <c r="A518" s="16"/>
      <c r="B518" s="11" t="str">
        <f aca="false">IF($I518="","",INDEX(CONSOLIDADO!$A$2:$A$801,$I518))</f>
        <v/>
      </c>
      <c r="C518" s="11" t="str">
        <f aca="false">IF($I518="","",INDEX(CONSOLIDADO!$B$2:$B$801,$I518))</f>
        <v/>
      </c>
      <c r="D518" s="16" t="str">
        <f aca="false">IF($I518="","",INDEX(CONSOLIDADO!$C$2:$C$801,$I518))</f>
        <v/>
      </c>
      <c r="E518" s="16" t="str">
        <f aca="false">IF($I518="","",INDEX(CONSOLIDADO!$D$2:$D$801,$I518))</f>
        <v/>
      </c>
      <c r="F518" s="14" t="str">
        <f aca="false">IF($I518="","",INDEX(CONSOLIDADO!$E$2:$E$801,$I518))</f>
        <v/>
      </c>
      <c r="G518" s="16" t="str">
        <f aca="false">IF($I518="","",INDEX(CONSOLIDADO!$G$2:$G$801,$I518))</f>
        <v/>
      </c>
      <c r="H518" s="16" t="str">
        <f aca="false">IF($I518="","",INDEX(CONSOLIDADO!$H$2:$H$801,$I518))</f>
        <v/>
      </c>
      <c r="I518" s="11" t="str">
        <f aca="false">IFERROR(MATCH(ROW()-1,CONSOLIDADO!$AJ$2:$AJ$801,0),"")</f>
        <v/>
      </c>
      <c r="J518" s="11" t="str">
        <f aca="false">IF(B518="","",F518&amp;" "&amp;C518&amp;" ("&amp;B518&amp;")")</f>
        <v/>
      </c>
    </row>
    <row r="519" customFormat="false" ht="15" hidden="false" customHeight="false" outlineLevel="0" collapsed="false">
      <c r="A519" s="16"/>
      <c r="B519" s="11" t="str">
        <f aca="false">IF($I519="","",INDEX(CONSOLIDADO!$A$2:$A$801,$I519))</f>
        <v/>
      </c>
      <c r="C519" s="11" t="str">
        <f aca="false">IF($I519="","",INDEX(CONSOLIDADO!$B$2:$B$801,$I519))</f>
        <v/>
      </c>
      <c r="D519" s="16" t="str">
        <f aca="false">IF($I519="","",INDEX(CONSOLIDADO!$C$2:$C$801,$I519))</f>
        <v/>
      </c>
      <c r="E519" s="16" t="str">
        <f aca="false">IF($I519="","",INDEX(CONSOLIDADO!$D$2:$D$801,$I519))</f>
        <v/>
      </c>
      <c r="F519" s="14" t="str">
        <f aca="false">IF($I519="","",INDEX(CONSOLIDADO!$E$2:$E$801,$I519))</f>
        <v/>
      </c>
      <c r="G519" s="16" t="str">
        <f aca="false">IF($I519="","",INDEX(CONSOLIDADO!$G$2:$G$801,$I519))</f>
        <v/>
      </c>
      <c r="H519" s="16" t="str">
        <f aca="false">IF($I519="","",INDEX(CONSOLIDADO!$H$2:$H$801,$I519))</f>
        <v/>
      </c>
      <c r="I519" s="11" t="str">
        <f aca="false">IFERROR(MATCH(ROW()-1,CONSOLIDADO!$AJ$2:$AJ$801,0),"")</f>
        <v/>
      </c>
      <c r="J519" s="11" t="str">
        <f aca="false">IF(B519="","",F519&amp;" "&amp;C519&amp;" ("&amp;B519&amp;")")</f>
        <v/>
      </c>
    </row>
    <row r="520" customFormat="false" ht="15" hidden="false" customHeight="false" outlineLevel="0" collapsed="false">
      <c r="A520" s="16"/>
      <c r="B520" s="11" t="str">
        <f aca="false">IF($I520="","",INDEX(CONSOLIDADO!$A$2:$A$801,$I520))</f>
        <v/>
      </c>
      <c r="C520" s="11" t="str">
        <f aca="false">IF($I520="","",INDEX(CONSOLIDADO!$B$2:$B$801,$I520))</f>
        <v/>
      </c>
      <c r="D520" s="16" t="str">
        <f aca="false">IF($I520="","",INDEX(CONSOLIDADO!$C$2:$C$801,$I520))</f>
        <v/>
      </c>
      <c r="E520" s="16" t="str">
        <f aca="false">IF($I520="","",INDEX(CONSOLIDADO!$D$2:$D$801,$I520))</f>
        <v/>
      </c>
      <c r="F520" s="14" t="str">
        <f aca="false">IF($I520="","",INDEX(CONSOLIDADO!$E$2:$E$801,$I520))</f>
        <v/>
      </c>
      <c r="G520" s="16" t="str">
        <f aca="false">IF($I520="","",INDEX(CONSOLIDADO!$G$2:$G$801,$I520))</f>
        <v/>
      </c>
      <c r="H520" s="16" t="str">
        <f aca="false">IF($I520="","",INDEX(CONSOLIDADO!$H$2:$H$801,$I520))</f>
        <v/>
      </c>
      <c r="I520" s="11" t="str">
        <f aca="false">IFERROR(MATCH(ROW()-1,CONSOLIDADO!$AJ$2:$AJ$801,0),"")</f>
        <v/>
      </c>
      <c r="J520" s="11" t="str">
        <f aca="false">IF(B520="","",F520&amp;" "&amp;C520&amp;" ("&amp;B520&amp;")")</f>
        <v/>
      </c>
    </row>
    <row r="521" customFormat="false" ht="15" hidden="false" customHeight="false" outlineLevel="0" collapsed="false">
      <c r="A521" s="16"/>
      <c r="B521" s="11" t="str">
        <f aca="false">IF($I521="","",INDEX(CONSOLIDADO!$A$2:$A$801,$I521))</f>
        <v/>
      </c>
      <c r="C521" s="11" t="str">
        <f aca="false">IF($I521="","",INDEX(CONSOLIDADO!$B$2:$B$801,$I521))</f>
        <v/>
      </c>
      <c r="D521" s="16" t="str">
        <f aca="false">IF($I521="","",INDEX(CONSOLIDADO!$C$2:$C$801,$I521))</f>
        <v/>
      </c>
      <c r="E521" s="16" t="str">
        <f aca="false">IF($I521="","",INDEX(CONSOLIDADO!$D$2:$D$801,$I521))</f>
        <v/>
      </c>
      <c r="F521" s="14" t="str">
        <f aca="false">IF($I521="","",INDEX(CONSOLIDADO!$E$2:$E$801,$I521))</f>
        <v/>
      </c>
      <c r="G521" s="16" t="str">
        <f aca="false">IF($I521="","",INDEX(CONSOLIDADO!$G$2:$G$801,$I521))</f>
        <v/>
      </c>
      <c r="H521" s="16" t="str">
        <f aca="false">IF($I521="","",INDEX(CONSOLIDADO!$H$2:$H$801,$I521))</f>
        <v/>
      </c>
      <c r="I521" s="11" t="str">
        <f aca="false">IFERROR(MATCH(ROW()-1,CONSOLIDADO!$AJ$2:$AJ$801,0),"")</f>
        <v/>
      </c>
      <c r="J521" s="11" t="str">
        <f aca="false">IF(B521="","",F521&amp;" "&amp;C521&amp;" ("&amp;B521&amp;")")</f>
        <v/>
      </c>
    </row>
    <row r="522" customFormat="false" ht="15" hidden="false" customHeight="false" outlineLevel="0" collapsed="false">
      <c r="A522" s="16"/>
      <c r="B522" s="11" t="str">
        <f aca="false">IF($I522="","",INDEX(CONSOLIDADO!$A$2:$A$801,$I522))</f>
        <v/>
      </c>
      <c r="C522" s="11" t="str">
        <f aca="false">IF($I522="","",INDEX(CONSOLIDADO!$B$2:$B$801,$I522))</f>
        <v/>
      </c>
      <c r="D522" s="16" t="str">
        <f aca="false">IF($I522="","",INDEX(CONSOLIDADO!$C$2:$C$801,$I522))</f>
        <v/>
      </c>
      <c r="E522" s="16" t="str">
        <f aca="false">IF($I522="","",INDEX(CONSOLIDADO!$D$2:$D$801,$I522))</f>
        <v/>
      </c>
      <c r="F522" s="14" t="str">
        <f aca="false">IF($I522="","",INDEX(CONSOLIDADO!$E$2:$E$801,$I522))</f>
        <v/>
      </c>
      <c r="G522" s="16" t="str">
        <f aca="false">IF($I522="","",INDEX(CONSOLIDADO!$G$2:$G$801,$I522))</f>
        <v/>
      </c>
      <c r="H522" s="16" t="str">
        <f aca="false">IF($I522="","",INDEX(CONSOLIDADO!$H$2:$H$801,$I522))</f>
        <v/>
      </c>
      <c r="I522" s="11" t="str">
        <f aca="false">IFERROR(MATCH(ROW()-1,CONSOLIDADO!$AJ$2:$AJ$801,0),"")</f>
        <v/>
      </c>
      <c r="J522" s="11" t="str">
        <f aca="false">IF(B522="","",F522&amp;" "&amp;C522&amp;" ("&amp;B522&amp;")")</f>
        <v/>
      </c>
    </row>
    <row r="523" customFormat="false" ht="15" hidden="false" customHeight="false" outlineLevel="0" collapsed="false">
      <c r="A523" s="16"/>
      <c r="B523" s="11" t="str">
        <f aca="false">IF($I523="","",INDEX(CONSOLIDADO!$A$2:$A$801,$I523))</f>
        <v/>
      </c>
      <c r="C523" s="11" t="str">
        <f aca="false">IF($I523="","",INDEX(CONSOLIDADO!$B$2:$B$801,$I523))</f>
        <v/>
      </c>
      <c r="D523" s="16" t="str">
        <f aca="false">IF($I523="","",INDEX(CONSOLIDADO!$C$2:$C$801,$I523))</f>
        <v/>
      </c>
      <c r="E523" s="16" t="str">
        <f aca="false">IF($I523="","",INDEX(CONSOLIDADO!$D$2:$D$801,$I523))</f>
        <v/>
      </c>
      <c r="F523" s="14" t="str">
        <f aca="false">IF($I523="","",INDEX(CONSOLIDADO!$E$2:$E$801,$I523))</f>
        <v/>
      </c>
      <c r="G523" s="16" t="str">
        <f aca="false">IF($I523="","",INDEX(CONSOLIDADO!$G$2:$G$801,$I523))</f>
        <v/>
      </c>
      <c r="H523" s="16" t="str">
        <f aca="false">IF($I523="","",INDEX(CONSOLIDADO!$H$2:$H$801,$I523))</f>
        <v/>
      </c>
      <c r="I523" s="11" t="str">
        <f aca="false">IFERROR(MATCH(ROW()-1,CONSOLIDADO!$AJ$2:$AJ$801,0),"")</f>
        <v/>
      </c>
      <c r="J523" s="11" t="str">
        <f aca="false">IF(B523="","",F523&amp;" "&amp;C523&amp;" ("&amp;B523&amp;")")</f>
        <v/>
      </c>
    </row>
    <row r="524" customFormat="false" ht="15" hidden="false" customHeight="false" outlineLevel="0" collapsed="false">
      <c r="A524" s="16"/>
      <c r="B524" s="11" t="str">
        <f aca="false">IF($I524="","",INDEX(CONSOLIDADO!$A$2:$A$801,$I524))</f>
        <v/>
      </c>
      <c r="C524" s="11" t="str">
        <f aca="false">IF($I524="","",INDEX(CONSOLIDADO!$B$2:$B$801,$I524))</f>
        <v/>
      </c>
      <c r="D524" s="16" t="str">
        <f aca="false">IF($I524="","",INDEX(CONSOLIDADO!$C$2:$C$801,$I524))</f>
        <v/>
      </c>
      <c r="E524" s="16" t="str">
        <f aca="false">IF($I524="","",INDEX(CONSOLIDADO!$D$2:$D$801,$I524))</f>
        <v/>
      </c>
      <c r="F524" s="14" t="str">
        <f aca="false">IF($I524="","",INDEX(CONSOLIDADO!$E$2:$E$801,$I524))</f>
        <v/>
      </c>
      <c r="G524" s="16" t="str">
        <f aca="false">IF($I524="","",INDEX(CONSOLIDADO!$G$2:$G$801,$I524))</f>
        <v/>
      </c>
      <c r="H524" s="16" t="str">
        <f aca="false">IF($I524="","",INDEX(CONSOLIDADO!$H$2:$H$801,$I524))</f>
        <v/>
      </c>
      <c r="I524" s="11" t="str">
        <f aca="false">IFERROR(MATCH(ROW()-1,CONSOLIDADO!$AJ$2:$AJ$801,0),"")</f>
        <v/>
      </c>
      <c r="J524" s="11" t="str">
        <f aca="false">IF(B524="","",F524&amp;" "&amp;C524&amp;" ("&amp;B524&amp;")")</f>
        <v/>
      </c>
    </row>
    <row r="525" customFormat="false" ht="15" hidden="false" customHeight="false" outlineLevel="0" collapsed="false">
      <c r="A525" s="16"/>
      <c r="B525" s="11" t="str">
        <f aca="false">IF($I525="","",INDEX(CONSOLIDADO!$A$2:$A$801,$I525))</f>
        <v/>
      </c>
      <c r="C525" s="11" t="str">
        <f aca="false">IF($I525="","",INDEX(CONSOLIDADO!$B$2:$B$801,$I525))</f>
        <v/>
      </c>
      <c r="D525" s="16" t="str">
        <f aca="false">IF($I525="","",INDEX(CONSOLIDADO!$C$2:$C$801,$I525))</f>
        <v/>
      </c>
      <c r="E525" s="16" t="str">
        <f aca="false">IF($I525="","",INDEX(CONSOLIDADO!$D$2:$D$801,$I525))</f>
        <v/>
      </c>
      <c r="F525" s="14" t="str">
        <f aca="false">IF($I525="","",INDEX(CONSOLIDADO!$E$2:$E$801,$I525))</f>
        <v/>
      </c>
      <c r="G525" s="16" t="str">
        <f aca="false">IF($I525="","",INDEX(CONSOLIDADO!$G$2:$G$801,$I525))</f>
        <v/>
      </c>
      <c r="H525" s="16" t="str">
        <f aca="false">IF($I525="","",INDEX(CONSOLIDADO!$H$2:$H$801,$I525))</f>
        <v/>
      </c>
      <c r="I525" s="11" t="str">
        <f aca="false">IFERROR(MATCH(ROW()-1,CONSOLIDADO!$AJ$2:$AJ$801,0),"")</f>
        <v/>
      </c>
      <c r="J525" s="11" t="str">
        <f aca="false">IF(B525="","",F525&amp;" "&amp;C525&amp;" ("&amp;B525&amp;")")</f>
        <v/>
      </c>
    </row>
    <row r="526" customFormat="false" ht="15" hidden="false" customHeight="false" outlineLevel="0" collapsed="false">
      <c r="A526" s="16"/>
      <c r="B526" s="11" t="str">
        <f aca="false">IF($I526="","",INDEX(CONSOLIDADO!$A$2:$A$801,$I526))</f>
        <v/>
      </c>
      <c r="C526" s="11" t="str">
        <f aca="false">IF($I526="","",INDEX(CONSOLIDADO!$B$2:$B$801,$I526))</f>
        <v/>
      </c>
      <c r="D526" s="16" t="str">
        <f aca="false">IF($I526="","",INDEX(CONSOLIDADO!$C$2:$C$801,$I526))</f>
        <v/>
      </c>
      <c r="E526" s="16" t="str">
        <f aca="false">IF($I526="","",INDEX(CONSOLIDADO!$D$2:$D$801,$I526))</f>
        <v/>
      </c>
      <c r="F526" s="14" t="str">
        <f aca="false">IF($I526="","",INDEX(CONSOLIDADO!$E$2:$E$801,$I526))</f>
        <v/>
      </c>
      <c r="G526" s="16" t="str">
        <f aca="false">IF($I526="","",INDEX(CONSOLIDADO!$G$2:$G$801,$I526))</f>
        <v/>
      </c>
      <c r="H526" s="16" t="str">
        <f aca="false">IF($I526="","",INDEX(CONSOLIDADO!$H$2:$H$801,$I526))</f>
        <v/>
      </c>
      <c r="I526" s="11" t="str">
        <f aca="false">IFERROR(MATCH(ROW()-1,CONSOLIDADO!$AJ$2:$AJ$801,0),"")</f>
        <v/>
      </c>
      <c r="J526" s="11" t="str">
        <f aca="false">IF(B526="","",F526&amp;" "&amp;C526&amp;" ("&amp;B526&amp;")")</f>
        <v/>
      </c>
    </row>
    <row r="527" customFormat="false" ht="15" hidden="false" customHeight="false" outlineLevel="0" collapsed="false">
      <c r="A527" s="16"/>
      <c r="B527" s="11" t="str">
        <f aca="false">IF($I527="","",INDEX(CONSOLIDADO!$A$2:$A$801,$I527))</f>
        <v/>
      </c>
      <c r="C527" s="11" t="str">
        <f aca="false">IF($I527="","",INDEX(CONSOLIDADO!$B$2:$B$801,$I527))</f>
        <v/>
      </c>
      <c r="D527" s="16" t="str">
        <f aca="false">IF($I527="","",INDEX(CONSOLIDADO!$C$2:$C$801,$I527))</f>
        <v/>
      </c>
      <c r="E527" s="16" t="str">
        <f aca="false">IF($I527="","",INDEX(CONSOLIDADO!$D$2:$D$801,$I527))</f>
        <v/>
      </c>
      <c r="F527" s="14" t="str">
        <f aca="false">IF($I527="","",INDEX(CONSOLIDADO!$E$2:$E$801,$I527))</f>
        <v/>
      </c>
      <c r="G527" s="16" t="str">
        <f aca="false">IF($I527="","",INDEX(CONSOLIDADO!$G$2:$G$801,$I527))</f>
        <v/>
      </c>
      <c r="H527" s="16" t="str">
        <f aca="false">IF($I527="","",INDEX(CONSOLIDADO!$H$2:$H$801,$I527))</f>
        <v/>
      </c>
      <c r="I527" s="11" t="str">
        <f aca="false">IFERROR(MATCH(ROW()-1,CONSOLIDADO!$AJ$2:$AJ$801,0),"")</f>
        <v/>
      </c>
      <c r="J527" s="11" t="str">
        <f aca="false">IF(B527="","",F527&amp;" "&amp;C527&amp;" ("&amp;B527&amp;")")</f>
        <v/>
      </c>
    </row>
    <row r="528" customFormat="false" ht="15" hidden="false" customHeight="false" outlineLevel="0" collapsed="false">
      <c r="A528" s="16"/>
      <c r="B528" s="11" t="str">
        <f aca="false">IF($I528="","",INDEX(CONSOLIDADO!$A$2:$A$801,$I528))</f>
        <v/>
      </c>
      <c r="C528" s="11" t="str">
        <f aca="false">IF($I528="","",INDEX(CONSOLIDADO!$B$2:$B$801,$I528))</f>
        <v/>
      </c>
      <c r="D528" s="16" t="str">
        <f aca="false">IF($I528="","",INDEX(CONSOLIDADO!$C$2:$C$801,$I528))</f>
        <v/>
      </c>
      <c r="E528" s="16" t="str">
        <f aca="false">IF($I528="","",INDEX(CONSOLIDADO!$D$2:$D$801,$I528))</f>
        <v/>
      </c>
      <c r="F528" s="14" t="str">
        <f aca="false">IF($I528="","",INDEX(CONSOLIDADO!$E$2:$E$801,$I528))</f>
        <v/>
      </c>
      <c r="G528" s="16" t="str">
        <f aca="false">IF($I528="","",INDEX(CONSOLIDADO!$G$2:$G$801,$I528))</f>
        <v/>
      </c>
      <c r="H528" s="16" t="str">
        <f aca="false">IF($I528="","",INDEX(CONSOLIDADO!$H$2:$H$801,$I528))</f>
        <v/>
      </c>
      <c r="I528" s="11" t="str">
        <f aca="false">IFERROR(MATCH(ROW()-1,CONSOLIDADO!$AJ$2:$AJ$801,0),"")</f>
        <v/>
      </c>
      <c r="J528" s="11" t="str">
        <f aca="false">IF(B528="","",F528&amp;" "&amp;C528&amp;" ("&amp;B528&amp;")")</f>
        <v/>
      </c>
    </row>
    <row r="529" customFormat="false" ht="15" hidden="false" customHeight="false" outlineLevel="0" collapsed="false">
      <c r="A529" s="16"/>
      <c r="B529" s="11" t="str">
        <f aca="false">IF($I529="","",INDEX(CONSOLIDADO!$A$2:$A$801,$I529))</f>
        <v/>
      </c>
      <c r="C529" s="11" t="str">
        <f aca="false">IF($I529="","",INDEX(CONSOLIDADO!$B$2:$B$801,$I529))</f>
        <v/>
      </c>
      <c r="D529" s="16" t="str">
        <f aca="false">IF($I529="","",INDEX(CONSOLIDADO!$C$2:$C$801,$I529))</f>
        <v/>
      </c>
      <c r="E529" s="16" t="str">
        <f aca="false">IF($I529="","",INDEX(CONSOLIDADO!$D$2:$D$801,$I529))</f>
        <v/>
      </c>
      <c r="F529" s="14" t="str">
        <f aca="false">IF($I529="","",INDEX(CONSOLIDADO!$E$2:$E$801,$I529))</f>
        <v/>
      </c>
      <c r="G529" s="16" t="str">
        <f aca="false">IF($I529="","",INDEX(CONSOLIDADO!$G$2:$G$801,$I529))</f>
        <v/>
      </c>
      <c r="H529" s="16" t="str">
        <f aca="false">IF($I529="","",INDEX(CONSOLIDADO!$H$2:$H$801,$I529))</f>
        <v/>
      </c>
      <c r="I529" s="11" t="str">
        <f aca="false">IFERROR(MATCH(ROW()-1,CONSOLIDADO!$AJ$2:$AJ$801,0),"")</f>
        <v/>
      </c>
      <c r="J529" s="11" t="str">
        <f aca="false">IF(B529="","",F529&amp;" "&amp;C529&amp;" ("&amp;B529&amp;")")</f>
        <v/>
      </c>
    </row>
    <row r="530" customFormat="false" ht="15" hidden="false" customHeight="false" outlineLevel="0" collapsed="false">
      <c r="A530" s="16"/>
      <c r="B530" s="11" t="str">
        <f aca="false">IF($I530="","",INDEX(CONSOLIDADO!$A$2:$A$801,$I530))</f>
        <v/>
      </c>
      <c r="C530" s="11" t="str">
        <f aca="false">IF($I530="","",INDEX(CONSOLIDADO!$B$2:$B$801,$I530))</f>
        <v/>
      </c>
      <c r="D530" s="16" t="str">
        <f aca="false">IF($I530="","",INDEX(CONSOLIDADO!$C$2:$C$801,$I530))</f>
        <v/>
      </c>
      <c r="E530" s="16" t="str">
        <f aca="false">IF($I530="","",INDEX(CONSOLIDADO!$D$2:$D$801,$I530))</f>
        <v/>
      </c>
      <c r="F530" s="14" t="str">
        <f aca="false">IF($I530="","",INDEX(CONSOLIDADO!$E$2:$E$801,$I530))</f>
        <v/>
      </c>
      <c r="G530" s="16" t="str">
        <f aca="false">IF($I530="","",INDEX(CONSOLIDADO!$G$2:$G$801,$I530))</f>
        <v/>
      </c>
      <c r="H530" s="16" t="str">
        <f aca="false">IF($I530="","",INDEX(CONSOLIDADO!$H$2:$H$801,$I530))</f>
        <v/>
      </c>
      <c r="I530" s="11" t="str">
        <f aca="false">IFERROR(MATCH(ROW()-1,CONSOLIDADO!$AJ$2:$AJ$801,0),"")</f>
        <v/>
      </c>
      <c r="J530" s="11" t="str">
        <f aca="false">IF(B530="","",F530&amp;" "&amp;C530&amp;" ("&amp;B530&amp;")")</f>
        <v/>
      </c>
    </row>
    <row r="531" customFormat="false" ht="15" hidden="false" customHeight="false" outlineLevel="0" collapsed="false">
      <c r="A531" s="16"/>
      <c r="B531" s="11" t="str">
        <f aca="false">IF($I531="","",INDEX(CONSOLIDADO!$A$2:$A$801,$I531))</f>
        <v/>
      </c>
      <c r="C531" s="11" t="str">
        <f aca="false">IF($I531="","",INDEX(CONSOLIDADO!$B$2:$B$801,$I531))</f>
        <v/>
      </c>
      <c r="D531" s="16" t="str">
        <f aca="false">IF($I531="","",INDEX(CONSOLIDADO!$C$2:$C$801,$I531))</f>
        <v/>
      </c>
      <c r="E531" s="16" t="str">
        <f aca="false">IF($I531="","",INDEX(CONSOLIDADO!$D$2:$D$801,$I531))</f>
        <v/>
      </c>
      <c r="F531" s="14" t="str">
        <f aca="false">IF($I531="","",INDEX(CONSOLIDADO!$E$2:$E$801,$I531))</f>
        <v/>
      </c>
      <c r="G531" s="16" t="str">
        <f aca="false">IF($I531="","",INDEX(CONSOLIDADO!$G$2:$G$801,$I531))</f>
        <v/>
      </c>
      <c r="H531" s="16" t="str">
        <f aca="false">IF($I531="","",INDEX(CONSOLIDADO!$H$2:$H$801,$I531))</f>
        <v/>
      </c>
      <c r="I531" s="11" t="str">
        <f aca="false">IFERROR(MATCH(ROW()-1,CONSOLIDADO!$AJ$2:$AJ$801,0),"")</f>
        <v/>
      </c>
      <c r="J531" s="11" t="str">
        <f aca="false">IF(B531="","",F531&amp;" "&amp;C531&amp;" ("&amp;B531&amp;")")</f>
        <v/>
      </c>
    </row>
    <row r="532" customFormat="false" ht="15" hidden="false" customHeight="false" outlineLevel="0" collapsed="false">
      <c r="A532" s="16"/>
      <c r="B532" s="11" t="str">
        <f aca="false">IF($I532="","",INDEX(CONSOLIDADO!$A$2:$A$801,$I532))</f>
        <v/>
      </c>
      <c r="C532" s="11" t="str">
        <f aca="false">IF($I532="","",INDEX(CONSOLIDADO!$B$2:$B$801,$I532))</f>
        <v/>
      </c>
      <c r="D532" s="16" t="str">
        <f aca="false">IF($I532="","",INDEX(CONSOLIDADO!$C$2:$C$801,$I532))</f>
        <v/>
      </c>
      <c r="E532" s="16" t="str">
        <f aca="false">IF($I532="","",INDEX(CONSOLIDADO!$D$2:$D$801,$I532))</f>
        <v/>
      </c>
      <c r="F532" s="14" t="str">
        <f aca="false">IF($I532="","",INDEX(CONSOLIDADO!$E$2:$E$801,$I532))</f>
        <v/>
      </c>
      <c r="G532" s="16" t="str">
        <f aca="false">IF($I532="","",INDEX(CONSOLIDADO!$G$2:$G$801,$I532))</f>
        <v/>
      </c>
      <c r="H532" s="16" t="str">
        <f aca="false">IF($I532="","",INDEX(CONSOLIDADO!$H$2:$H$801,$I532))</f>
        <v/>
      </c>
      <c r="I532" s="11" t="str">
        <f aca="false">IFERROR(MATCH(ROW()-1,CONSOLIDADO!$AJ$2:$AJ$801,0),"")</f>
        <v/>
      </c>
      <c r="J532" s="11" t="str">
        <f aca="false">IF(B532="","",F532&amp;" "&amp;C532&amp;" ("&amp;B532&amp;")")</f>
        <v/>
      </c>
    </row>
    <row r="533" customFormat="false" ht="15" hidden="false" customHeight="false" outlineLevel="0" collapsed="false">
      <c r="A533" s="16"/>
      <c r="B533" s="11" t="str">
        <f aca="false">IF($I533="","",INDEX(CONSOLIDADO!$A$2:$A$801,$I533))</f>
        <v/>
      </c>
      <c r="C533" s="11" t="str">
        <f aca="false">IF($I533="","",INDEX(CONSOLIDADO!$B$2:$B$801,$I533))</f>
        <v/>
      </c>
      <c r="D533" s="16" t="str">
        <f aca="false">IF($I533="","",INDEX(CONSOLIDADO!$C$2:$C$801,$I533))</f>
        <v/>
      </c>
      <c r="E533" s="16" t="str">
        <f aca="false">IF($I533="","",INDEX(CONSOLIDADO!$D$2:$D$801,$I533))</f>
        <v/>
      </c>
      <c r="F533" s="14" t="str">
        <f aca="false">IF($I533="","",INDEX(CONSOLIDADO!$E$2:$E$801,$I533))</f>
        <v/>
      </c>
      <c r="G533" s="16" t="str">
        <f aca="false">IF($I533="","",INDEX(CONSOLIDADO!$G$2:$G$801,$I533))</f>
        <v/>
      </c>
      <c r="H533" s="16" t="str">
        <f aca="false">IF($I533="","",INDEX(CONSOLIDADO!$H$2:$H$801,$I533))</f>
        <v/>
      </c>
      <c r="I533" s="11" t="str">
        <f aca="false">IFERROR(MATCH(ROW()-1,CONSOLIDADO!$AJ$2:$AJ$801,0),"")</f>
        <v/>
      </c>
      <c r="J533" s="11" t="str">
        <f aca="false">IF(B533="","",F533&amp;" "&amp;C533&amp;" ("&amp;B533&amp;")")</f>
        <v/>
      </c>
    </row>
    <row r="534" customFormat="false" ht="15" hidden="false" customHeight="false" outlineLevel="0" collapsed="false">
      <c r="A534" s="16"/>
      <c r="B534" s="11" t="str">
        <f aca="false">IF($I534="","",INDEX(CONSOLIDADO!$A$2:$A$801,$I534))</f>
        <v/>
      </c>
      <c r="C534" s="11" t="str">
        <f aca="false">IF($I534="","",INDEX(CONSOLIDADO!$B$2:$B$801,$I534))</f>
        <v/>
      </c>
      <c r="D534" s="16" t="str">
        <f aca="false">IF($I534="","",INDEX(CONSOLIDADO!$C$2:$C$801,$I534))</f>
        <v/>
      </c>
      <c r="E534" s="16" t="str">
        <f aca="false">IF($I534="","",INDEX(CONSOLIDADO!$D$2:$D$801,$I534))</f>
        <v/>
      </c>
      <c r="F534" s="14" t="str">
        <f aca="false">IF($I534="","",INDEX(CONSOLIDADO!$E$2:$E$801,$I534))</f>
        <v/>
      </c>
      <c r="G534" s="16" t="str">
        <f aca="false">IF($I534="","",INDEX(CONSOLIDADO!$G$2:$G$801,$I534))</f>
        <v/>
      </c>
      <c r="H534" s="16" t="str">
        <f aca="false">IF($I534="","",INDEX(CONSOLIDADO!$H$2:$H$801,$I534))</f>
        <v/>
      </c>
      <c r="I534" s="11" t="str">
        <f aca="false">IFERROR(MATCH(ROW()-1,CONSOLIDADO!$AJ$2:$AJ$801,0),"")</f>
        <v/>
      </c>
      <c r="J534" s="11" t="str">
        <f aca="false">IF(B534="","",F534&amp;" "&amp;C534&amp;" ("&amp;B534&amp;")")</f>
        <v/>
      </c>
    </row>
    <row r="535" customFormat="false" ht="15" hidden="false" customHeight="false" outlineLevel="0" collapsed="false">
      <c r="A535" s="16"/>
      <c r="B535" s="11" t="str">
        <f aca="false">IF($I535="","",INDEX(CONSOLIDADO!$A$2:$A$801,$I535))</f>
        <v/>
      </c>
      <c r="C535" s="11" t="str">
        <f aca="false">IF($I535="","",INDEX(CONSOLIDADO!$B$2:$B$801,$I535))</f>
        <v/>
      </c>
      <c r="D535" s="16" t="str">
        <f aca="false">IF($I535="","",INDEX(CONSOLIDADO!$C$2:$C$801,$I535))</f>
        <v/>
      </c>
      <c r="E535" s="16" t="str">
        <f aca="false">IF($I535="","",INDEX(CONSOLIDADO!$D$2:$D$801,$I535))</f>
        <v/>
      </c>
      <c r="F535" s="14" t="str">
        <f aca="false">IF($I535="","",INDEX(CONSOLIDADO!$E$2:$E$801,$I535))</f>
        <v/>
      </c>
      <c r="G535" s="16" t="str">
        <f aca="false">IF($I535="","",INDEX(CONSOLIDADO!$G$2:$G$801,$I535))</f>
        <v/>
      </c>
      <c r="H535" s="16" t="str">
        <f aca="false">IF($I535="","",INDEX(CONSOLIDADO!$H$2:$H$801,$I535))</f>
        <v/>
      </c>
      <c r="I535" s="11" t="str">
        <f aca="false">IFERROR(MATCH(ROW()-1,CONSOLIDADO!$AJ$2:$AJ$801,0),"")</f>
        <v/>
      </c>
      <c r="J535" s="11" t="str">
        <f aca="false">IF(B535="","",F535&amp;" "&amp;C535&amp;" ("&amp;B535&amp;")")</f>
        <v/>
      </c>
    </row>
    <row r="536" customFormat="false" ht="15" hidden="false" customHeight="false" outlineLevel="0" collapsed="false">
      <c r="A536" s="16"/>
      <c r="B536" s="11" t="str">
        <f aca="false">IF($I536="","",INDEX(CONSOLIDADO!$A$2:$A$801,$I536))</f>
        <v/>
      </c>
      <c r="C536" s="11" t="str">
        <f aca="false">IF($I536="","",INDEX(CONSOLIDADO!$B$2:$B$801,$I536))</f>
        <v/>
      </c>
      <c r="D536" s="16" t="str">
        <f aca="false">IF($I536="","",INDEX(CONSOLIDADO!$C$2:$C$801,$I536))</f>
        <v/>
      </c>
      <c r="E536" s="16" t="str">
        <f aca="false">IF($I536="","",INDEX(CONSOLIDADO!$D$2:$D$801,$I536))</f>
        <v/>
      </c>
      <c r="F536" s="14" t="str">
        <f aca="false">IF($I536="","",INDEX(CONSOLIDADO!$E$2:$E$801,$I536))</f>
        <v/>
      </c>
      <c r="G536" s="16" t="str">
        <f aca="false">IF($I536="","",INDEX(CONSOLIDADO!$G$2:$G$801,$I536))</f>
        <v/>
      </c>
      <c r="H536" s="16" t="str">
        <f aca="false">IF($I536="","",INDEX(CONSOLIDADO!$H$2:$H$801,$I536))</f>
        <v/>
      </c>
      <c r="I536" s="11" t="str">
        <f aca="false">IFERROR(MATCH(ROW()-1,CONSOLIDADO!$AJ$2:$AJ$801,0),"")</f>
        <v/>
      </c>
      <c r="J536" s="11" t="str">
        <f aca="false">IF(B536="","",F536&amp;" "&amp;C536&amp;" ("&amp;B536&amp;")")</f>
        <v/>
      </c>
    </row>
    <row r="537" customFormat="false" ht="15" hidden="false" customHeight="false" outlineLevel="0" collapsed="false">
      <c r="A537" s="16"/>
      <c r="B537" s="11" t="str">
        <f aca="false">IF($I537="","",INDEX(CONSOLIDADO!$A$2:$A$801,$I537))</f>
        <v/>
      </c>
      <c r="C537" s="11" t="str">
        <f aca="false">IF($I537="","",INDEX(CONSOLIDADO!$B$2:$B$801,$I537))</f>
        <v/>
      </c>
      <c r="D537" s="16" t="str">
        <f aca="false">IF($I537="","",INDEX(CONSOLIDADO!$C$2:$C$801,$I537))</f>
        <v/>
      </c>
      <c r="E537" s="16" t="str">
        <f aca="false">IF($I537="","",INDEX(CONSOLIDADO!$D$2:$D$801,$I537))</f>
        <v/>
      </c>
      <c r="F537" s="14" t="str">
        <f aca="false">IF($I537="","",INDEX(CONSOLIDADO!$E$2:$E$801,$I537))</f>
        <v/>
      </c>
      <c r="G537" s="16" t="str">
        <f aca="false">IF($I537="","",INDEX(CONSOLIDADO!$G$2:$G$801,$I537))</f>
        <v/>
      </c>
      <c r="H537" s="16" t="str">
        <f aca="false">IF($I537="","",INDEX(CONSOLIDADO!$H$2:$H$801,$I537))</f>
        <v/>
      </c>
      <c r="I537" s="11" t="str">
        <f aca="false">IFERROR(MATCH(ROW()-1,CONSOLIDADO!$AJ$2:$AJ$801,0),"")</f>
        <v/>
      </c>
      <c r="J537" s="11" t="str">
        <f aca="false">IF(B537="","",F537&amp;" "&amp;C537&amp;" ("&amp;B537&amp;")")</f>
        <v/>
      </c>
    </row>
    <row r="538" customFormat="false" ht="15" hidden="false" customHeight="false" outlineLevel="0" collapsed="false">
      <c r="A538" s="16"/>
      <c r="B538" s="11" t="str">
        <f aca="false">IF($I538="","",INDEX(CONSOLIDADO!$A$2:$A$801,$I538))</f>
        <v/>
      </c>
      <c r="C538" s="11" t="str">
        <f aca="false">IF($I538="","",INDEX(CONSOLIDADO!$B$2:$B$801,$I538))</f>
        <v/>
      </c>
      <c r="D538" s="16" t="str">
        <f aca="false">IF($I538="","",INDEX(CONSOLIDADO!$C$2:$C$801,$I538))</f>
        <v/>
      </c>
      <c r="E538" s="16" t="str">
        <f aca="false">IF($I538="","",INDEX(CONSOLIDADO!$D$2:$D$801,$I538))</f>
        <v/>
      </c>
      <c r="F538" s="14" t="str">
        <f aca="false">IF($I538="","",INDEX(CONSOLIDADO!$E$2:$E$801,$I538))</f>
        <v/>
      </c>
      <c r="G538" s="16" t="str">
        <f aca="false">IF($I538="","",INDEX(CONSOLIDADO!$G$2:$G$801,$I538))</f>
        <v/>
      </c>
      <c r="H538" s="16" t="str">
        <f aca="false">IF($I538="","",INDEX(CONSOLIDADO!$H$2:$H$801,$I538))</f>
        <v/>
      </c>
      <c r="I538" s="11" t="str">
        <f aca="false">IFERROR(MATCH(ROW()-1,CONSOLIDADO!$AJ$2:$AJ$801,0),"")</f>
        <v/>
      </c>
      <c r="J538" s="11" t="str">
        <f aca="false">IF(B538="","",F538&amp;" "&amp;C538&amp;" ("&amp;B538&amp;")")</f>
        <v/>
      </c>
    </row>
    <row r="539" customFormat="false" ht="15" hidden="false" customHeight="false" outlineLevel="0" collapsed="false">
      <c r="A539" s="16"/>
      <c r="B539" s="11" t="str">
        <f aca="false">IF($I539="","",INDEX(CONSOLIDADO!$A$2:$A$801,$I539))</f>
        <v/>
      </c>
      <c r="C539" s="11" t="str">
        <f aca="false">IF($I539="","",INDEX(CONSOLIDADO!$B$2:$B$801,$I539))</f>
        <v/>
      </c>
      <c r="D539" s="16" t="str">
        <f aca="false">IF($I539="","",INDEX(CONSOLIDADO!$C$2:$C$801,$I539))</f>
        <v/>
      </c>
      <c r="E539" s="16" t="str">
        <f aca="false">IF($I539="","",INDEX(CONSOLIDADO!$D$2:$D$801,$I539))</f>
        <v/>
      </c>
      <c r="F539" s="14" t="str">
        <f aca="false">IF($I539="","",INDEX(CONSOLIDADO!$E$2:$E$801,$I539))</f>
        <v/>
      </c>
      <c r="G539" s="16" t="str">
        <f aca="false">IF($I539="","",INDEX(CONSOLIDADO!$G$2:$G$801,$I539))</f>
        <v/>
      </c>
      <c r="H539" s="16" t="str">
        <f aca="false">IF($I539="","",INDEX(CONSOLIDADO!$H$2:$H$801,$I539))</f>
        <v/>
      </c>
      <c r="I539" s="11" t="str">
        <f aca="false">IFERROR(MATCH(ROW()-1,CONSOLIDADO!$AJ$2:$AJ$801,0),"")</f>
        <v/>
      </c>
      <c r="J539" s="11" t="str">
        <f aca="false">IF(B539="","",F539&amp;" "&amp;C539&amp;" ("&amp;B539&amp;")")</f>
        <v/>
      </c>
    </row>
    <row r="540" customFormat="false" ht="15" hidden="false" customHeight="false" outlineLevel="0" collapsed="false">
      <c r="A540" s="16"/>
      <c r="B540" s="11" t="str">
        <f aca="false">IF($I540="","",INDEX(CONSOLIDADO!$A$2:$A$801,$I540))</f>
        <v/>
      </c>
      <c r="C540" s="11" t="str">
        <f aca="false">IF($I540="","",INDEX(CONSOLIDADO!$B$2:$B$801,$I540))</f>
        <v/>
      </c>
      <c r="D540" s="16" t="str">
        <f aca="false">IF($I540="","",INDEX(CONSOLIDADO!$C$2:$C$801,$I540))</f>
        <v/>
      </c>
      <c r="E540" s="16" t="str">
        <f aca="false">IF($I540="","",INDEX(CONSOLIDADO!$D$2:$D$801,$I540))</f>
        <v/>
      </c>
      <c r="F540" s="14" t="str">
        <f aca="false">IF($I540="","",INDEX(CONSOLIDADO!$E$2:$E$801,$I540))</f>
        <v/>
      </c>
      <c r="G540" s="16" t="str">
        <f aca="false">IF($I540="","",INDEX(CONSOLIDADO!$G$2:$G$801,$I540))</f>
        <v/>
      </c>
      <c r="H540" s="16" t="str">
        <f aca="false">IF($I540="","",INDEX(CONSOLIDADO!$H$2:$H$801,$I540))</f>
        <v/>
      </c>
      <c r="I540" s="11" t="str">
        <f aca="false">IFERROR(MATCH(ROW()-1,CONSOLIDADO!$AJ$2:$AJ$801,0),"")</f>
        <v/>
      </c>
      <c r="J540" s="11" t="str">
        <f aca="false">IF(B540="","",F540&amp;" "&amp;C540&amp;" ("&amp;B540&amp;")")</f>
        <v/>
      </c>
    </row>
    <row r="541" customFormat="false" ht="15" hidden="false" customHeight="false" outlineLevel="0" collapsed="false">
      <c r="A541" s="16"/>
      <c r="B541" s="11" t="str">
        <f aca="false">IF($I541="","",INDEX(CONSOLIDADO!$A$2:$A$801,$I541))</f>
        <v/>
      </c>
      <c r="C541" s="11" t="str">
        <f aca="false">IF($I541="","",INDEX(CONSOLIDADO!$B$2:$B$801,$I541))</f>
        <v/>
      </c>
      <c r="D541" s="16" t="str">
        <f aca="false">IF($I541="","",INDEX(CONSOLIDADO!$C$2:$C$801,$I541))</f>
        <v/>
      </c>
      <c r="E541" s="16" t="str">
        <f aca="false">IF($I541="","",INDEX(CONSOLIDADO!$D$2:$D$801,$I541))</f>
        <v/>
      </c>
      <c r="F541" s="14" t="str">
        <f aca="false">IF($I541="","",INDEX(CONSOLIDADO!$E$2:$E$801,$I541))</f>
        <v/>
      </c>
      <c r="G541" s="16" t="str">
        <f aca="false">IF($I541="","",INDEX(CONSOLIDADO!$G$2:$G$801,$I541))</f>
        <v/>
      </c>
      <c r="H541" s="16" t="str">
        <f aca="false">IF($I541="","",INDEX(CONSOLIDADO!$H$2:$H$801,$I541))</f>
        <v/>
      </c>
      <c r="I541" s="11" t="str">
        <f aca="false">IFERROR(MATCH(ROW()-1,CONSOLIDADO!$AJ$2:$AJ$801,0),"")</f>
        <v/>
      </c>
      <c r="J541" s="11" t="str">
        <f aca="false">IF(B541="","",F541&amp;" "&amp;C541&amp;" ("&amp;B541&amp;")")</f>
        <v/>
      </c>
    </row>
    <row r="542" customFormat="false" ht="15" hidden="false" customHeight="false" outlineLevel="0" collapsed="false">
      <c r="A542" s="16"/>
      <c r="B542" s="11" t="str">
        <f aca="false">IF($I542="","",INDEX(CONSOLIDADO!$A$2:$A$801,$I542))</f>
        <v/>
      </c>
      <c r="C542" s="11" t="str">
        <f aca="false">IF($I542="","",INDEX(CONSOLIDADO!$B$2:$B$801,$I542))</f>
        <v/>
      </c>
      <c r="D542" s="16" t="str">
        <f aca="false">IF($I542="","",INDEX(CONSOLIDADO!$C$2:$C$801,$I542))</f>
        <v/>
      </c>
      <c r="E542" s="16" t="str">
        <f aca="false">IF($I542="","",INDEX(CONSOLIDADO!$D$2:$D$801,$I542))</f>
        <v/>
      </c>
      <c r="F542" s="14" t="str">
        <f aca="false">IF($I542="","",INDEX(CONSOLIDADO!$E$2:$E$801,$I542))</f>
        <v/>
      </c>
      <c r="G542" s="16" t="str">
        <f aca="false">IF($I542="","",INDEX(CONSOLIDADO!$G$2:$G$801,$I542))</f>
        <v/>
      </c>
      <c r="H542" s="16" t="str">
        <f aca="false">IF($I542="","",INDEX(CONSOLIDADO!$H$2:$H$801,$I542))</f>
        <v/>
      </c>
      <c r="I542" s="11" t="str">
        <f aca="false">IFERROR(MATCH(ROW()-1,CONSOLIDADO!$AJ$2:$AJ$801,0),"")</f>
        <v/>
      </c>
      <c r="J542" s="11" t="str">
        <f aca="false">IF(B542="","",F542&amp;" "&amp;C542&amp;" ("&amp;B542&amp;")")</f>
        <v/>
      </c>
    </row>
    <row r="543" customFormat="false" ht="15" hidden="false" customHeight="false" outlineLevel="0" collapsed="false">
      <c r="A543" s="16"/>
      <c r="B543" s="11" t="str">
        <f aca="false">IF($I543="","",INDEX(CONSOLIDADO!$A$2:$A$801,$I543))</f>
        <v/>
      </c>
      <c r="C543" s="11" t="str">
        <f aca="false">IF($I543="","",INDEX(CONSOLIDADO!$B$2:$B$801,$I543))</f>
        <v/>
      </c>
      <c r="D543" s="16" t="str">
        <f aca="false">IF($I543="","",INDEX(CONSOLIDADO!$C$2:$C$801,$I543))</f>
        <v/>
      </c>
      <c r="E543" s="16" t="str">
        <f aca="false">IF($I543="","",INDEX(CONSOLIDADO!$D$2:$D$801,$I543))</f>
        <v/>
      </c>
      <c r="F543" s="14" t="str">
        <f aca="false">IF($I543="","",INDEX(CONSOLIDADO!$E$2:$E$801,$I543))</f>
        <v/>
      </c>
      <c r="G543" s="16" t="str">
        <f aca="false">IF($I543="","",INDEX(CONSOLIDADO!$G$2:$G$801,$I543))</f>
        <v/>
      </c>
      <c r="H543" s="16" t="str">
        <f aca="false">IF($I543="","",INDEX(CONSOLIDADO!$H$2:$H$801,$I543))</f>
        <v/>
      </c>
      <c r="I543" s="11" t="str">
        <f aca="false">IFERROR(MATCH(ROW()-1,CONSOLIDADO!$AJ$2:$AJ$801,0),"")</f>
        <v/>
      </c>
      <c r="J543" s="11" t="str">
        <f aca="false">IF(B543="","",F543&amp;" "&amp;C543&amp;" ("&amp;B543&amp;")")</f>
        <v/>
      </c>
    </row>
    <row r="544" customFormat="false" ht="15" hidden="false" customHeight="false" outlineLevel="0" collapsed="false">
      <c r="A544" s="16"/>
      <c r="B544" s="11" t="str">
        <f aca="false">IF($I544="","",INDEX(CONSOLIDADO!$A$2:$A$801,$I544))</f>
        <v/>
      </c>
      <c r="C544" s="11" t="str">
        <f aca="false">IF($I544="","",INDEX(CONSOLIDADO!$B$2:$B$801,$I544))</f>
        <v/>
      </c>
      <c r="D544" s="16" t="str">
        <f aca="false">IF($I544="","",INDEX(CONSOLIDADO!$C$2:$C$801,$I544))</f>
        <v/>
      </c>
      <c r="E544" s="16" t="str">
        <f aca="false">IF($I544="","",INDEX(CONSOLIDADO!$D$2:$D$801,$I544))</f>
        <v/>
      </c>
      <c r="F544" s="14" t="str">
        <f aca="false">IF($I544="","",INDEX(CONSOLIDADO!$E$2:$E$801,$I544))</f>
        <v/>
      </c>
      <c r="G544" s="16" t="str">
        <f aca="false">IF($I544="","",INDEX(CONSOLIDADO!$G$2:$G$801,$I544))</f>
        <v/>
      </c>
      <c r="H544" s="16" t="str">
        <f aca="false">IF($I544="","",INDEX(CONSOLIDADO!$H$2:$H$801,$I544))</f>
        <v/>
      </c>
      <c r="I544" s="11" t="str">
        <f aca="false">IFERROR(MATCH(ROW()-1,CONSOLIDADO!$AJ$2:$AJ$801,0),"")</f>
        <v/>
      </c>
      <c r="J544" s="11" t="str">
        <f aca="false">IF(B544="","",F544&amp;" "&amp;C544&amp;" ("&amp;B544&amp;")")</f>
        <v/>
      </c>
    </row>
    <row r="545" customFormat="false" ht="15" hidden="false" customHeight="false" outlineLevel="0" collapsed="false">
      <c r="A545" s="16"/>
      <c r="B545" s="11" t="str">
        <f aca="false">IF($I545="","",INDEX(CONSOLIDADO!$A$2:$A$801,$I545))</f>
        <v/>
      </c>
      <c r="C545" s="11" t="str">
        <f aca="false">IF($I545="","",INDEX(CONSOLIDADO!$B$2:$B$801,$I545))</f>
        <v/>
      </c>
      <c r="D545" s="16" t="str">
        <f aca="false">IF($I545="","",INDEX(CONSOLIDADO!$C$2:$C$801,$I545))</f>
        <v/>
      </c>
      <c r="E545" s="16" t="str">
        <f aca="false">IF($I545="","",INDEX(CONSOLIDADO!$D$2:$D$801,$I545))</f>
        <v/>
      </c>
      <c r="F545" s="14" t="str">
        <f aca="false">IF($I545="","",INDEX(CONSOLIDADO!$E$2:$E$801,$I545))</f>
        <v/>
      </c>
      <c r="G545" s="16" t="str">
        <f aca="false">IF($I545="","",INDEX(CONSOLIDADO!$G$2:$G$801,$I545))</f>
        <v/>
      </c>
      <c r="H545" s="16" t="str">
        <f aca="false">IF($I545="","",INDEX(CONSOLIDADO!$H$2:$H$801,$I545))</f>
        <v/>
      </c>
      <c r="I545" s="11" t="str">
        <f aca="false">IFERROR(MATCH(ROW()-1,CONSOLIDADO!$AJ$2:$AJ$801,0),"")</f>
        <v/>
      </c>
      <c r="J545" s="11" t="str">
        <f aca="false">IF(B545="","",F545&amp;" "&amp;C545&amp;" ("&amp;B545&amp;")")</f>
        <v/>
      </c>
    </row>
    <row r="546" customFormat="false" ht="15" hidden="false" customHeight="false" outlineLevel="0" collapsed="false">
      <c r="A546" s="16"/>
      <c r="B546" s="11" t="str">
        <f aca="false">IF($I546="","",INDEX(CONSOLIDADO!$A$2:$A$801,$I546))</f>
        <v/>
      </c>
      <c r="C546" s="11" t="str">
        <f aca="false">IF($I546="","",INDEX(CONSOLIDADO!$B$2:$B$801,$I546))</f>
        <v/>
      </c>
      <c r="D546" s="16" t="str">
        <f aca="false">IF($I546="","",INDEX(CONSOLIDADO!$C$2:$C$801,$I546))</f>
        <v/>
      </c>
      <c r="E546" s="16" t="str">
        <f aca="false">IF($I546="","",INDEX(CONSOLIDADO!$D$2:$D$801,$I546))</f>
        <v/>
      </c>
      <c r="F546" s="14" t="str">
        <f aca="false">IF($I546="","",INDEX(CONSOLIDADO!$E$2:$E$801,$I546))</f>
        <v/>
      </c>
      <c r="G546" s="16" t="str">
        <f aca="false">IF($I546="","",INDEX(CONSOLIDADO!$G$2:$G$801,$I546))</f>
        <v/>
      </c>
      <c r="H546" s="16" t="str">
        <f aca="false">IF($I546="","",INDEX(CONSOLIDADO!$H$2:$H$801,$I546))</f>
        <v/>
      </c>
      <c r="I546" s="11" t="str">
        <f aca="false">IFERROR(MATCH(ROW()-1,CONSOLIDADO!$AJ$2:$AJ$801,0),"")</f>
        <v/>
      </c>
      <c r="J546" s="11" t="str">
        <f aca="false">IF(B546="","",F546&amp;" "&amp;C546&amp;" ("&amp;B546&amp;")")</f>
        <v/>
      </c>
    </row>
    <row r="547" customFormat="false" ht="15" hidden="false" customHeight="false" outlineLevel="0" collapsed="false">
      <c r="A547" s="16"/>
      <c r="B547" s="11" t="str">
        <f aca="false">IF($I547="","",INDEX(CONSOLIDADO!$A$2:$A$801,$I547))</f>
        <v/>
      </c>
      <c r="C547" s="11" t="str">
        <f aca="false">IF($I547="","",INDEX(CONSOLIDADO!$B$2:$B$801,$I547))</f>
        <v/>
      </c>
      <c r="D547" s="16" t="str">
        <f aca="false">IF($I547="","",INDEX(CONSOLIDADO!$C$2:$C$801,$I547))</f>
        <v/>
      </c>
      <c r="E547" s="16" t="str">
        <f aca="false">IF($I547="","",INDEX(CONSOLIDADO!$D$2:$D$801,$I547))</f>
        <v/>
      </c>
      <c r="F547" s="14" t="str">
        <f aca="false">IF($I547="","",INDEX(CONSOLIDADO!$E$2:$E$801,$I547))</f>
        <v/>
      </c>
      <c r="G547" s="16" t="str">
        <f aca="false">IF($I547="","",INDEX(CONSOLIDADO!$G$2:$G$801,$I547))</f>
        <v/>
      </c>
      <c r="H547" s="16" t="str">
        <f aca="false">IF($I547="","",INDEX(CONSOLIDADO!$H$2:$H$801,$I547))</f>
        <v/>
      </c>
      <c r="I547" s="11" t="str">
        <f aca="false">IFERROR(MATCH(ROW()-1,CONSOLIDADO!$AJ$2:$AJ$801,0),"")</f>
        <v/>
      </c>
      <c r="J547" s="11" t="str">
        <f aca="false">IF(B547="","",F547&amp;" "&amp;C547&amp;" ("&amp;B547&amp;")")</f>
        <v/>
      </c>
    </row>
    <row r="548" customFormat="false" ht="15" hidden="false" customHeight="false" outlineLevel="0" collapsed="false">
      <c r="A548" s="16"/>
      <c r="B548" s="11" t="str">
        <f aca="false">IF($I548="","",INDEX(CONSOLIDADO!$A$2:$A$801,$I548))</f>
        <v/>
      </c>
      <c r="C548" s="11" t="str">
        <f aca="false">IF($I548="","",INDEX(CONSOLIDADO!$B$2:$B$801,$I548))</f>
        <v/>
      </c>
      <c r="D548" s="16" t="str">
        <f aca="false">IF($I548="","",INDEX(CONSOLIDADO!$C$2:$C$801,$I548))</f>
        <v/>
      </c>
      <c r="E548" s="16" t="str">
        <f aca="false">IF($I548="","",INDEX(CONSOLIDADO!$D$2:$D$801,$I548))</f>
        <v/>
      </c>
      <c r="F548" s="14" t="str">
        <f aca="false">IF($I548="","",INDEX(CONSOLIDADO!$E$2:$E$801,$I548))</f>
        <v/>
      </c>
      <c r="G548" s="16" t="str">
        <f aca="false">IF($I548="","",INDEX(CONSOLIDADO!$G$2:$G$801,$I548))</f>
        <v/>
      </c>
      <c r="H548" s="16" t="str">
        <f aca="false">IF($I548="","",INDEX(CONSOLIDADO!$H$2:$H$801,$I548))</f>
        <v/>
      </c>
      <c r="I548" s="11" t="str">
        <f aca="false">IFERROR(MATCH(ROW()-1,CONSOLIDADO!$AJ$2:$AJ$801,0),"")</f>
        <v/>
      </c>
      <c r="J548" s="11" t="str">
        <f aca="false">IF(B548="","",F548&amp;" "&amp;C548&amp;" ("&amp;B548&amp;")")</f>
        <v/>
      </c>
    </row>
    <row r="549" customFormat="false" ht="15" hidden="false" customHeight="false" outlineLevel="0" collapsed="false">
      <c r="A549" s="16"/>
      <c r="B549" s="11" t="str">
        <f aca="false">IF($I549="","",INDEX(CONSOLIDADO!$A$2:$A$801,$I549))</f>
        <v/>
      </c>
      <c r="C549" s="11" t="str">
        <f aca="false">IF($I549="","",INDEX(CONSOLIDADO!$B$2:$B$801,$I549))</f>
        <v/>
      </c>
      <c r="D549" s="16" t="str">
        <f aca="false">IF($I549="","",INDEX(CONSOLIDADO!$C$2:$C$801,$I549))</f>
        <v/>
      </c>
      <c r="E549" s="16" t="str">
        <f aca="false">IF($I549="","",INDEX(CONSOLIDADO!$D$2:$D$801,$I549))</f>
        <v/>
      </c>
      <c r="F549" s="14" t="str">
        <f aca="false">IF($I549="","",INDEX(CONSOLIDADO!$E$2:$E$801,$I549))</f>
        <v/>
      </c>
      <c r="G549" s="16" t="str">
        <f aca="false">IF($I549="","",INDEX(CONSOLIDADO!$G$2:$G$801,$I549))</f>
        <v/>
      </c>
      <c r="H549" s="16" t="str">
        <f aca="false">IF($I549="","",INDEX(CONSOLIDADO!$H$2:$H$801,$I549))</f>
        <v/>
      </c>
      <c r="I549" s="11" t="str">
        <f aca="false">IFERROR(MATCH(ROW()-1,CONSOLIDADO!$AJ$2:$AJ$801,0),"")</f>
        <v/>
      </c>
      <c r="J549" s="11" t="str">
        <f aca="false">IF(B549="","",F549&amp;" "&amp;C549&amp;" ("&amp;B549&amp;")")</f>
        <v/>
      </c>
    </row>
    <row r="550" customFormat="false" ht="15" hidden="false" customHeight="false" outlineLevel="0" collapsed="false">
      <c r="A550" s="16"/>
      <c r="B550" s="11" t="str">
        <f aca="false">IF($I550="","",INDEX(CONSOLIDADO!$A$2:$A$801,$I550))</f>
        <v/>
      </c>
      <c r="C550" s="11" t="str">
        <f aca="false">IF($I550="","",INDEX(CONSOLIDADO!$B$2:$B$801,$I550))</f>
        <v/>
      </c>
      <c r="D550" s="16" t="str">
        <f aca="false">IF($I550="","",INDEX(CONSOLIDADO!$C$2:$C$801,$I550))</f>
        <v/>
      </c>
      <c r="E550" s="16" t="str">
        <f aca="false">IF($I550="","",INDEX(CONSOLIDADO!$D$2:$D$801,$I550))</f>
        <v/>
      </c>
      <c r="F550" s="14" t="str">
        <f aca="false">IF($I550="","",INDEX(CONSOLIDADO!$E$2:$E$801,$I550))</f>
        <v/>
      </c>
      <c r="G550" s="16" t="str">
        <f aca="false">IF($I550="","",INDEX(CONSOLIDADO!$G$2:$G$801,$I550))</f>
        <v/>
      </c>
      <c r="H550" s="16" t="str">
        <f aca="false">IF($I550="","",INDEX(CONSOLIDADO!$H$2:$H$801,$I550))</f>
        <v/>
      </c>
      <c r="I550" s="11" t="str">
        <f aca="false">IFERROR(MATCH(ROW()-1,CONSOLIDADO!$AJ$2:$AJ$801,0),"")</f>
        <v/>
      </c>
      <c r="J550" s="11" t="str">
        <f aca="false">IF(B550="","",F550&amp;" "&amp;C550&amp;" ("&amp;B550&amp;")")</f>
        <v/>
      </c>
    </row>
    <row r="551" customFormat="false" ht="15" hidden="false" customHeight="false" outlineLevel="0" collapsed="false">
      <c r="A551" s="16"/>
      <c r="B551" s="11" t="str">
        <f aca="false">IF($I551="","",INDEX(CONSOLIDADO!$A$2:$A$801,$I551))</f>
        <v/>
      </c>
      <c r="C551" s="11" t="str">
        <f aca="false">IF($I551="","",INDEX(CONSOLIDADO!$B$2:$B$801,$I551))</f>
        <v/>
      </c>
      <c r="D551" s="16" t="str">
        <f aca="false">IF($I551="","",INDEX(CONSOLIDADO!$C$2:$C$801,$I551))</f>
        <v/>
      </c>
      <c r="E551" s="16" t="str">
        <f aca="false">IF($I551="","",INDEX(CONSOLIDADO!$D$2:$D$801,$I551))</f>
        <v/>
      </c>
      <c r="F551" s="14" t="str">
        <f aca="false">IF($I551="","",INDEX(CONSOLIDADO!$E$2:$E$801,$I551))</f>
        <v/>
      </c>
      <c r="G551" s="16" t="str">
        <f aca="false">IF($I551="","",INDEX(CONSOLIDADO!$G$2:$G$801,$I551))</f>
        <v/>
      </c>
      <c r="H551" s="16" t="str">
        <f aca="false">IF($I551="","",INDEX(CONSOLIDADO!$H$2:$H$801,$I551))</f>
        <v/>
      </c>
      <c r="I551" s="11" t="str">
        <f aca="false">IFERROR(MATCH(ROW()-1,CONSOLIDADO!$AJ$2:$AJ$801,0),"")</f>
        <v/>
      </c>
      <c r="J551" s="11" t="str">
        <f aca="false">IF(B551="","",F551&amp;" "&amp;C551&amp;" ("&amp;B551&amp;")")</f>
        <v/>
      </c>
    </row>
    <row r="552" customFormat="false" ht="15" hidden="false" customHeight="false" outlineLevel="0" collapsed="false">
      <c r="A552" s="16"/>
      <c r="B552" s="11" t="str">
        <f aca="false">IF($I552="","",INDEX(CONSOLIDADO!$A$2:$A$801,$I552))</f>
        <v/>
      </c>
      <c r="C552" s="11" t="str">
        <f aca="false">IF($I552="","",INDEX(CONSOLIDADO!$B$2:$B$801,$I552))</f>
        <v/>
      </c>
      <c r="D552" s="16" t="str">
        <f aca="false">IF($I552="","",INDEX(CONSOLIDADO!$C$2:$C$801,$I552))</f>
        <v/>
      </c>
      <c r="E552" s="16" t="str">
        <f aca="false">IF($I552="","",INDEX(CONSOLIDADO!$D$2:$D$801,$I552))</f>
        <v/>
      </c>
      <c r="F552" s="14" t="str">
        <f aca="false">IF($I552="","",INDEX(CONSOLIDADO!$E$2:$E$801,$I552))</f>
        <v/>
      </c>
      <c r="G552" s="16" t="str">
        <f aca="false">IF($I552="","",INDEX(CONSOLIDADO!$G$2:$G$801,$I552))</f>
        <v/>
      </c>
      <c r="H552" s="16" t="str">
        <f aca="false">IF($I552="","",INDEX(CONSOLIDADO!$H$2:$H$801,$I552))</f>
        <v/>
      </c>
      <c r="I552" s="11" t="str">
        <f aca="false">IFERROR(MATCH(ROW()-1,CONSOLIDADO!$AJ$2:$AJ$801,0),"")</f>
        <v/>
      </c>
      <c r="J552" s="11" t="str">
        <f aca="false">IF(B552="","",F552&amp;" "&amp;C552&amp;" ("&amp;B552&amp;")")</f>
        <v/>
      </c>
    </row>
    <row r="553" customFormat="false" ht="15" hidden="false" customHeight="false" outlineLevel="0" collapsed="false">
      <c r="A553" s="16"/>
      <c r="B553" s="11" t="str">
        <f aca="false">IF($I553="","",INDEX(CONSOLIDADO!$A$2:$A$801,$I553))</f>
        <v/>
      </c>
      <c r="C553" s="11" t="str">
        <f aca="false">IF($I553="","",INDEX(CONSOLIDADO!$B$2:$B$801,$I553))</f>
        <v/>
      </c>
      <c r="D553" s="16" t="str">
        <f aca="false">IF($I553="","",INDEX(CONSOLIDADO!$C$2:$C$801,$I553))</f>
        <v/>
      </c>
      <c r="E553" s="16" t="str">
        <f aca="false">IF($I553="","",INDEX(CONSOLIDADO!$D$2:$D$801,$I553))</f>
        <v/>
      </c>
      <c r="F553" s="14" t="str">
        <f aca="false">IF($I553="","",INDEX(CONSOLIDADO!$E$2:$E$801,$I553))</f>
        <v/>
      </c>
      <c r="G553" s="16" t="str">
        <f aca="false">IF($I553="","",INDEX(CONSOLIDADO!$G$2:$G$801,$I553))</f>
        <v/>
      </c>
      <c r="H553" s="16" t="str">
        <f aca="false">IF($I553="","",INDEX(CONSOLIDADO!$H$2:$H$801,$I553))</f>
        <v/>
      </c>
      <c r="I553" s="11" t="str">
        <f aca="false">IFERROR(MATCH(ROW()-1,CONSOLIDADO!$AJ$2:$AJ$801,0),"")</f>
        <v/>
      </c>
      <c r="J553" s="11" t="str">
        <f aca="false">IF(B553="","",F553&amp;" "&amp;C553&amp;" ("&amp;B553&amp;")")</f>
        <v/>
      </c>
    </row>
    <row r="554" customFormat="false" ht="15" hidden="false" customHeight="false" outlineLevel="0" collapsed="false">
      <c r="A554" s="16"/>
      <c r="B554" s="11" t="str">
        <f aca="false">IF($I554="","",INDEX(CONSOLIDADO!$A$2:$A$801,$I554))</f>
        <v/>
      </c>
      <c r="C554" s="11" t="str">
        <f aca="false">IF($I554="","",INDEX(CONSOLIDADO!$B$2:$B$801,$I554))</f>
        <v/>
      </c>
      <c r="D554" s="16" t="str">
        <f aca="false">IF($I554="","",INDEX(CONSOLIDADO!$C$2:$C$801,$I554))</f>
        <v/>
      </c>
      <c r="E554" s="16" t="str">
        <f aca="false">IF($I554="","",INDEX(CONSOLIDADO!$D$2:$D$801,$I554))</f>
        <v/>
      </c>
      <c r="F554" s="14" t="str">
        <f aca="false">IF($I554="","",INDEX(CONSOLIDADO!$E$2:$E$801,$I554))</f>
        <v/>
      </c>
      <c r="G554" s="16" t="str">
        <f aca="false">IF($I554="","",INDEX(CONSOLIDADO!$G$2:$G$801,$I554))</f>
        <v/>
      </c>
      <c r="H554" s="16" t="str">
        <f aca="false">IF($I554="","",INDEX(CONSOLIDADO!$H$2:$H$801,$I554))</f>
        <v/>
      </c>
      <c r="I554" s="11" t="str">
        <f aca="false">IFERROR(MATCH(ROW()-1,CONSOLIDADO!$AJ$2:$AJ$801,0),"")</f>
        <v/>
      </c>
      <c r="J554" s="11" t="str">
        <f aca="false">IF(B554="","",F554&amp;" "&amp;C554&amp;" ("&amp;B554&amp;")")</f>
        <v/>
      </c>
    </row>
    <row r="555" customFormat="false" ht="15" hidden="false" customHeight="false" outlineLevel="0" collapsed="false">
      <c r="A555" s="16"/>
      <c r="B555" s="11" t="str">
        <f aca="false">IF($I555="","",INDEX(CONSOLIDADO!$A$2:$A$801,$I555))</f>
        <v/>
      </c>
      <c r="C555" s="11" t="str">
        <f aca="false">IF($I555="","",INDEX(CONSOLIDADO!$B$2:$B$801,$I555))</f>
        <v/>
      </c>
      <c r="D555" s="16" t="str">
        <f aca="false">IF($I555="","",INDEX(CONSOLIDADO!$C$2:$C$801,$I555))</f>
        <v/>
      </c>
      <c r="E555" s="16" t="str">
        <f aca="false">IF($I555="","",INDEX(CONSOLIDADO!$D$2:$D$801,$I555))</f>
        <v/>
      </c>
      <c r="F555" s="14" t="str">
        <f aca="false">IF($I555="","",INDEX(CONSOLIDADO!$E$2:$E$801,$I555))</f>
        <v/>
      </c>
      <c r="G555" s="16" t="str">
        <f aca="false">IF($I555="","",INDEX(CONSOLIDADO!$G$2:$G$801,$I555))</f>
        <v/>
      </c>
      <c r="H555" s="16" t="str">
        <f aca="false">IF($I555="","",INDEX(CONSOLIDADO!$H$2:$H$801,$I555))</f>
        <v/>
      </c>
      <c r="I555" s="11" t="str">
        <f aca="false">IFERROR(MATCH(ROW()-1,CONSOLIDADO!$AJ$2:$AJ$801,0),"")</f>
        <v/>
      </c>
      <c r="J555" s="11" t="str">
        <f aca="false">IF(B555="","",F555&amp;" "&amp;C555&amp;" ("&amp;B555&amp;")")</f>
        <v/>
      </c>
    </row>
    <row r="556" customFormat="false" ht="15" hidden="false" customHeight="false" outlineLevel="0" collapsed="false">
      <c r="A556" s="16"/>
      <c r="B556" s="11" t="str">
        <f aca="false">IF($I556="","",INDEX(CONSOLIDADO!$A$2:$A$801,$I556))</f>
        <v/>
      </c>
      <c r="C556" s="11" t="str">
        <f aca="false">IF($I556="","",INDEX(CONSOLIDADO!$B$2:$B$801,$I556))</f>
        <v/>
      </c>
      <c r="D556" s="16" t="str">
        <f aca="false">IF($I556="","",INDEX(CONSOLIDADO!$C$2:$C$801,$I556))</f>
        <v/>
      </c>
      <c r="E556" s="16" t="str">
        <f aca="false">IF($I556="","",INDEX(CONSOLIDADO!$D$2:$D$801,$I556))</f>
        <v/>
      </c>
      <c r="F556" s="14" t="str">
        <f aca="false">IF($I556="","",INDEX(CONSOLIDADO!$E$2:$E$801,$I556))</f>
        <v/>
      </c>
      <c r="G556" s="16" t="str">
        <f aca="false">IF($I556="","",INDEX(CONSOLIDADO!$G$2:$G$801,$I556))</f>
        <v/>
      </c>
      <c r="H556" s="16" t="str">
        <f aca="false">IF($I556="","",INDEX(CONSOLIDADO!$H$2:$H$801,$I556))</f>
        <v/>
      </c>
      <c r="I556" s="11" t="str">
        <f aca="false">IFERROR(MATCH(ROW()-1,CONSOLIDADO!$AJ$2:$AJ$801,0),"")</f>
        <v/>
      </c>
      <c r="J556" s="11" t="str">
        <f aca="false">IF(B556="","",F556&amp;" "&amp;C556&amp;" ("&amp;B556&amp;")")</f>
        <v/>
      </c>
    </row>
    <row r="557" customFormat="false" ht="15" hidden="false" customHeight="false" outlineLevel="0" collapsed="false">
      <c r="A557" s="16"/>
      <c r="B557" s="11" t="str">
        <f aca="false">IF($I557="","",INDEX(CONSOLIDADO!$A$2:$A$801,$I557))</f>
        <v/>
      </c>
      <c r="C557" s="11" t="str">
        <f aca="false">IF($I557="","",INDEX(CONSOLIDADO!$B$2:$B$801,$I557))</f>
        <v/>
      </c>
      <c r="D557" s="16" t="str">
        <f aca="false">IF($I557="","",INDEX(CONSOLIDADO!$C$2:$C$801,$I557))</f>
        <v/>
      </c>
      <c r="E557" s="16" t="str">
        <f aca="false">IF($I557="","",INDEX(CONSOLIDADO!$D$2:$D$801,$I557))</f>
        <v/>
      </c>
      <c r="F557" s="14" t="str">
        <f aca="false">IF($I557="","",INDEX(CONSOLIDADO!$E$2:$E$801,$I557))</f>
        <v/>
      </c>
      <c r="G557" s="16" t="str">
        <f aca="false">IF($I557="","",INDEX(CONSOLIDADO!$G$2:$G$801,$I557))</f>
        <v/>
      </c>
      <c r="H557" s="16" t="str">
        <f aca="false">IF($I557="","",INDEX(CONSOLIDADO!$H$2:$H$801,$I557))</f>
        <v/>
      </c>
      <c r="I557" s="11" t="str">
        <f aca="false">IFERROR(MATCH(ROW()-1,CONSOLIDADO!$AJ$2:$AJ$801,0),"")</f>
        <v/>
      </c>
      <c r="J557" s="11" t="str">
        <f aca="false">IF(B557="","",F557&amp;" "&amp;C557&amp;" ("&amp;B557&amp;")")</f>
        <v/>
      </c>
    </row>
    <row r="558" customFormat="false" ht="15" hidden="false" customHeight="false" outlineLevel="0" collapsed="false">
      <c r="A558" s="16"/>
      <c r="B558" s="11" t="str">
        <f aca="false">IF($I558="","",INDEX(CONSOLIDADO!$A$2:$A$801,$I558))</f>
        <v/>
      </c>
      <c r="C558" s="11" t="str">
        <f aca="false">IF($I558="","",INDEX(CONSOLIDADO!$B$2:$B$801,$I558))</f>
        <v/>
      </c>
      <c r="D558" s="16" t="str">
        <f aca="false">IF($I558="","",INDEX(CONSOLIDADO!$C$2:$C$801,$I558))</f>
        <v/>
      </c>
      <c r="E558" s="16" t="str">
        <f aca="false">IF($I558="","",INDEX(CONSOLIDADO!$D$2:$D$801,$I558))</f>
        <v/>
      </c>
      <c r="F558" s="14" t="str">
        <f aca="false">IF($I558="","",INDEX(CONSOLIDADO!$E$2:$E$801,$I558))</f>
        <v/>
      </c>
      <c r="G558" s="16" t="str">
        <f aca="false">IF($I558="","",INDEX(CONSOLIDADO!$G$2:$G$801,$I558))</f>
        <v/>
      </c>
      <c r="H558" s="16" t="str">
        <f aca="false">IF($I558="","",INDEX(CONSOLIDADO!$H$2:$H$801,$I558))</f>
        <v/>
      </c>
      <c r="I558" s="11" t="str">
        <f aca="false">IFERROR(MATCH(ROW()-1,CONSOLIDADO!$AJ$2:$AJ$801,0),"")</f>
        <v/>
      </c>
      <c r="J558" s="11" t="str">
        <f aca="false">IF(B558="","",F558&amp;" "&amp;C558&amp;" ("&amp;B558&amp;")")</f>
        <v/>
      </c>
    </row>
    <row r="559" customFormat="false" ht="15" hidden="false" customHeight="false" outlineLevel="0" collapsed="false">
      <c r="A559" s="16"/>
      <c r="B559" s="11" t="str">
        <f aca="false">IF($I559="","",INDEX(CONSOLIDADO!$A$2:$A$801,$I559))</f>
        <v/>
      </c>
      <c r="C559" s="11" t="str">
        <f aca="false">IF($I559="","",INDEX(CONSOLIDADO!$B$2:$B$801,$I559))</f>
        <v/>
      </c>
      <c r="D559" s="16" t="str">
        <f aca="false">IF($I559="","",INDEX(CONSOLIDADO!$C$2:$C$801,$I559))</f>
        <v/>
      </c>
      <c r="E559" s="16" t="str">
        <f aca="false">IF($I559="","",INDEX(CONSOLIDADO!$D$2:$D$801,$I559))</f>
        <v/>
      </c>
      <c r="F559" s="14" t="str">
        <f aca="false">IF($I559="","",INDEX(CONSOLIDADO!$E$2:$E$801,$I559))</f>
        <v/>
      </c>
      <c r="G559" s="16" t="str">
        <f aca="false">IF($I559="","",INDEX(CONSOLIDADO!$G$2:$G$801,$I559))</f>
        <v/>
      </c>
      <c r="H559" s="16" t="str">
        <f aca="false">IF($I559="","",INDEX(CONSOLIDADO!$H$2:$H$801,$I559))</f>
        <v/>
      </c>
      <c r="I559" s="11" t="str">
        <f aca="false">IFERROR(MATCH(ROW()-1,CONSOLIDADO!$AJ$2:$AJ$801,0),"")</f>
        <v/>
      </c>
      <c r="J559" s="11" t="str">
        <f aca="false">IF(B559="","",F559&amp;" "&amp;C559&amp;" ("&amp;B559&amp;")")</f>
        <v/>
      </c>
    </row>
    <row r="560" customFormat="false" ht="15" hidden="false" customHeight="false" outlineLevel="0" collapsed="false">
      <c r="A560" s="16"/>
      <c r="B560" s="11" t="str">
        <f aca="false">IF($I560="","",INDEX(CONSOLIDADO!$A$2:$A$801,$I560))</f>
        <v/>
      </c>
      <c r="C560" s="11" t="str">
        <f aca="false">IF($I560="","",INDEX(CONSOLIDADO!$B$2:$B$801,$I560))</f>
        <v/>
      </c>
      <c r="D560" s="16" t="str">
        <f aca="false">IF($I560="","",INDEX(CONSOLIDADO!$C$2:$C$801,$I560))</f>
        <v/>
      </c>
      <c r="E560" s="16" t="str">
        <f aca="false">IF($I560="","",INDEX(CONSOLIDADO!$D$2:$D$801,$I560))</f>
        <v/>
      </c>
      <c r="F560" s="14" t="str">
        <f aca="false">IF($I560="","",INDEX(CONSOLIDADO!$E$2:$E$801,$I560))</f>
        <v/>
      </c>
      <c r="G560" s="16" t="str">
        <f aca="false">IF($I560="","",INDEX(CONSOLIDADO!$G$2:$G$801,$I560))</f>
        <v/>
      </c>
      <c r="H560" s="16" t="str">
        <f aca="false">IF($I560="","",INDEX(CONSOLIDADO!$H$2:$H$801,$I560))</f>
        <v/>
      </c>
      <c r="I560" s="11" t="str">
        <f aca="false">IFERROR(MATCH(ROW()-1,CONSOLIDADO!$AJ$2:$AJ$801,0),"")</f>
        <v/>
      </c>
      <c r="J560" s="11" t="str">
        <f aca="false">IF(B560="","",F560&amp;" "&amp;C560&amp;" ("&amp;B560&amp;")")</f>
        <v/>
      </c>
    </row>
    <row r="561" customFormat="false" ht="15" hidden="false" customHeight="false" outlineLevel="0" collapsed="false">
      <c r="A561" s="16"/>
      <c r="B561" s="11" t="str">
        <f aca="false">IF($I561="","",INDEX(CONSOLIDADO!$A$2:$A$801,$I561))</f>
        <v/>
      </c>
      <c r="C561" s="11" t="str">
        <f aca="false">IF($I561="","",INDEX(CONSOLIDADO!$B$2:$B$801,$I561))</f>
        <v/>
      </c>
      <c r="D561" s="16" t="str">
        <f aca="false">IF($I561="","",INDEX(CONSOLIDADO!$C$2:$C$801,$I561))</f>
        <v/>
      </c>
      <c r="E561" s="16" t="str">
        <f aca="false">IF($I561="","",INDEX(CONSOLIDADO!$D$2:$D$801,$I561))</f>
        <v/>
      </c>
      <c r="F561" s="14" t="str">
        <f aca="false">IF($I561="","",INDEX(CONSOLIDADO!$E$2:$E$801,$I561))</f>
        <v/>
      </c>
      <c r="G561" s="16" t="str">
        <f aca="false">IF($I561="","",INDEX(CONSOLIDADO!$G$2:$G$801,$I561))</f>
        <v/>
      </c>
      <c r="H561" s="16" t="str">
        <f aca="false">IF($I561="","",INDEX(CONSOLIDADO!$H$2:$H$801,$I561))</f>
        <v/>
      </c>
      <c r="I561" s="11" t="str">
        <f aca="false">IFERROR(MATCH(ROW()-1,CONSOLIDADO!$AJ$2:$AJ$801,0),"")</f>
        <v/>
      </c>
      <c r="J561" s="11" t="str">
        <f aca="false">IF(B561="","",F561&amp;" "&amp;C561&amp;" ("&amp;B561&amp;")")</f>
        <v/>
      </c>
    </row>
    <row r="562" customFormat="false" ht="15" hidden="false" customHeight="false" outlineLevel="0" collapsed="false">
      <c r="A562" s="16"/>
      <c r="B562" s="11" t="str">
        <f aca="false">IF($I562="","",INDEX(CONSOLIDADO!$A$2:$A$801,$I562))</f>
        <v/>
      </c>
      <c r="C562" s="11" t="str">
        <f aca="false">IF($I562="","",INDEX(CONSOLIDADO!$B$2:$B$801,$I562))</f>
        <v/>
      </c>
      <c r="D562" s="16" t="str">
        <f aca="false">IF($I562="","",INDEX(CONSOLIDADO!$C$2:$C$801,$I562))</f>
        <v/>
      </c>
      <c r="E562" s="16" t="str">
        <f aca="false">IF($I562="","",INDEX(CONSOLIDADO!$D$2:$D$801,$I562))</f>
        <v/>
      </c>
      <c r="F562" s="14" t="str">
        <f aca="false">IF($I562="","",INDEX(CONSOLIDADO!$E$2:$E$801,$I562))</f>
        <v/>
      </c>
      <c r="G562" s="16" t="str">
        <f aca="false">IF($I562="","",INDEX(CONSOLIDADO!$G$2:$G$801,$I562))</f>
        <v/>
      </c>
      <c r="H562" s="16" t="str">
        <f aca="false">IF($I562="","",INDEX(CONSOLIDADO!$H$2:$H$801,$I562))</f>
        <v/>
      </c>
      <c r="I562" s="11" t="str">
        <f aca="false">IFERROR(MATCH(ROW()-1,CONSOLIDADO!$AJ$2:$AJ$801,0),"")</f>
        <v/>
      </c>
      <c r="J562" s="11" t="str">
        <f aca="false">IF(B562="","",F562&amp;" "&amp;C562&amp;" ("&amp;B562&amp;")")</f>
        <v/>
      </c>
    </row>
    <row r="563" customFormat="false" ht="15" hidden="false" customHeight="false" outlineLevel="0" collapsed="false">
      <c r="A563" s="16"/>
      <c r="B563" s="11" t="str">
        <f aca="false">IF($I563="","",INDEX(CONSOLIDADO!$A$2:$A$801,$I563))</f>
        <v/>
      </c>
      <c r="C563" s="11" t="str">
        <f aca="false">IF($I563="","",INDEX(CONSOLIDADO!$B$2:$B$801,$I563))</f>
        <v/>
      </c>
      <c r="D563" s="16" t="str">
        <f aca="false">IF($I563="","",INDEX(CONSOLIDADO!$C$2:$C$801,$I563))</f>
        <v/>
      </c>
      <c r="E563" s="16" t="str">
        <f aca="false">IF($I563="","",INDEX(CONSOLIDADO!$D$2:$D$801,$I563))</f>
        <v/>
      </c>
      <c r="F563" s="14" t="str">
        <f aca="false">IF($I563="","",INDEX(CONSOLIDADO!$E$2:$E$801,$I563))</f>
        <v/>
      </c>
      <c r="G563" s="16" t="str">
        <f aca="false">IF($I563="","",INDEX(CONSOLIDADO!$G$2:$G$801,$I563))</f>
        <v/>
      </c>
      <c r="H563" s="16" t="str">
        <f aca="false">IF($I563="","",INDEX(CONSOLIDADO!$H$2:$H$801,$I563))</f>
        <v/>
      </c>
      <c r="I563" s="11" t="str">
        <f aca="false">IFERROR(MATCH(ROW()-1,CONSOLIDADO!$AJ$2:$AJ$801,0),"")</f>
        <v/>
      </c>
      <c r="J563" s="11" t="str">
        <f aca="false">IF(B563="","",F563&amp;" "&amp;C563&amp;" ("&amp;B563&amp;")")</f>
        <v/>
      </c>
    </row>
    <row r="564" customFormat="false" ht="15" hidden="false" customHeight="false" outlineLevel="0" collapsed="false">
      <c r="A564" s="16"/>
      <c r="B564" s="11" t="str">
        <f aca="false">IF($I564="","",INDEX(CONSOLIDADO!$A$2:$A$801,$I564))</f>
        <v/>
      </c>
      <c r="C564" s="11" t="str">
        <f aca="false">IF($I564="","",INDEX(CONSOLIDADO!$B$2:$B$801,$I564))</f>
        <v/>
      </c>
      <c r="D564" s="16" t="str">
        <f aca="false">IF($I564="","",INDEX(CONSOLIDADO!$C$2:$C$801,$I564))</f>
        <v/>
      </c>
      <c r="E564" s="16" t="str">
        <f aca="false">IF($I564="","",INDEX(CONSOLIDADO!$D$2:$D$801,$I564))</f>
        <v/>
      </c>
      <c r="F564" s="14" t="str">
        <f aca="false">IF($I564="","",INDEX(CONSOLIDADO!$E$2:$E$801,$I564))</f>
        <v/>
      </c>
      <c r="G564" s="16" t="str">
        <f aca="false">IF($I564="","",INDEX(CONSOLIDADO!$G$2:$G$801,$I564))</f>
        <v/>
      </c>
      <c r="H564" s="16" t="str">
        <f aca="false">IF($I564="","",INDEX(CONSOLIDADO!$H$2:$H$801,$I564))</f>
        <v/>
      </c>
      <c r="I564" s="11" t="str">
        <f aca="false">IFERROR(MATCH(ROW()-1,CONSOLIDADO!$AJ$2:$AJ$801,0),"")</f>
        <v/>
      </c>
      <c r="J564" s="11" t="str">
        <f aca="false">IF(B564="","",F564&amp;" "&amp;C564&amp;" ("&amp;B564&amp;")")</f>
        <v/>
      </c>
    </row>
    <row r="565" customFormat="false" ht="15" hidden="false" customHeight="false" outlineLevel="0" collapsed="false">
      <c r="A565" s="16"/>
      <c r="B565" s="11" t="str">
        <f aca="false">IF($I565="","",INDEX(CONSOLIDADO!$A$2:$A$801,$I565))</f>
        <v/>
      </c>
      <c r="C565" s="11" t="str">
        <f aca="false">IF($I565="","",INDEX(CONSOLIDADO!$B$2:$B$801,$I565))</f>
        <v/>
      </c>
      <c r="D565" s="16" t="str">
        <f aca="false">IF($I565="","",INDEX(CONSOLIDADO!$C$2:$C$801,$I565))</f>
        <v/>
      </c>
      <c r="E565" s="16" t="str">
        <f aca="false">IF($I565="","",INDEX(CONSOLIDADO!$D$2:$D$801,$I565))</f>
        <v/>
      </c>
      <c r="F565" s="14" t="str">
        <f aca="false">IF($I565="","",INDEX(CONSOLIDADO!$E$2:$E$801,$I565))</f>
        <v/>
      </c>
      <c r="G565" s="16" t="str">
        <f aca="false">IF($I565="","",INDEX(CONSOLIDADO!$G$2:$G$801,$I565))</f>
        <v/>
      </c>
      <c r="H565" s="16" t="str">
        <f aca="false">IF($I565="","",INDEX(CONSOLIDADO!$H$2:$H$801,$I565))</f>
        <v/>
      </c>
      <c r="I565" s="11" t="str">
        <f aca="false">IFERROR(MATCH(ROW()-1,CONSOLIDADO!$AJ$2:$AJ$801,0),"")</f>
        <v/>
      </c>
      <c r="J565" s="11" t="str">
        <f aca="false">IF(B565="","",F565&amp;" "&amp;C565&amp;" ("&amp;B565&amp;")")</f>
        <v/>
      </c>
    </row>
    <row r="566" customFormat="false" ht="15" hidden="false" customHeight="false" outlineLevel="0" collapsed="false">
      <c r="A566" s="16"/>
      <c r="B566" s="11" t="str">
        <f aca="false">IF($I566="","",INDEX(CONSOLIDADO!$A$2:$A$801,$I566))</f>
        <v/>
      </c>
      <c r="C566" s="11" t="str">
        <f aca="false">IF($I566="","",INDEX(CONSOLIDADO!$B$2:$B$801,$I566))</f>
        <v/>
      </c>
      <c r="D566" s="16" t="str">
        <f aca="false">IF($I566="","",INDEX(CONSOLIDADO!$C$2:$C$801,$I566))</f>
        <v/>
      </c>
      <c r="E566" s="16" t="str">
        <f aca="false">IF($I566="","",INDEX(CONSOLIDADO!$D$2:$D$801,$I566))</f>
        <v/>
      </c>
      <c r="F566" s="14" t="str">
        <f aca="false">IF($I566="","",INDEX(CONSOLIDADO!$E$2:$E$801,$I566))</f>
        <v/>
      </c>
      <c r="G566" s="16" t="str">
        <f aca="false">IF($I566="","",INDEX(CONSOLIDADO!$G$2:$G$801,$I566))</f>
        <v/>
      </c>
      <c r="H566" s="16" t="str">
        <f aca="false">IF($I566="","",INDEX(CONSOLIDADO!$H$2:$H$801,$I566))</f>
        <v/>
      </c>
      <c r="I566" s="11" t="str">
        <f aca="false">IFERROR(MATCH(ROW()-1,CONSOLIDADO!$AJ$2:$AJ$801,0),"")</f>
        <v/>
      </c>
      <c r="J566" s="11" t="str">
        <f aca="false">IF(B566="","",F566&amp;" "&amp;C566&amp;" ("&amp;B566&amp;")")</f>
        <v/>
      </c>
    </row>
    <row r="567" customFormat="false" ht="15" hidden="false" customHeight="false" outlineLevel="0" collapsed="false">
      <c r="A567" s="16"/>
      <c r="B567" s="11" t="str">
        <f aca="false">IF($I567="","",INDEX(CONSOLIDADO!$A$2:$A$801,$I567))</f>
        <v/>
      </c>
      <c r="C567" s="11" t="str">
        <f aca="false">IF($I567="","",INDEX(CONSOLIDADO!$B$2:$B$801,$I567))</f>
        <v/>
      </c>
      <c r="D567" s="16" t="str">
        <f aca="false">IF($I567="","",INDEX(CONSOLIDADO!$C$2:$C$801,$I567))</f>
        <v/>
      </c>
      <c r="E567" s="16" t="str">
        <f aca="false">IF($I567="","",INDEX(CONSOLIDADO!$D$2:$D$801,$I567))</f>
        <v/>
      </c>
      <c r="F567" s="14" t="str">
        <f aca="false">IF($I567="","",INDEX(CONSOLIDADO!$E$2:$E$801,$I567))</f>
        <v/>
      </c>
      <c r="G567" s="16" t="str">
        <f aca="false">IF($I567="","",INDEX(CONSOLIDADO!$G$2:$G$801,$I567))</f>
        <v/>
      </c>
      <c r="H567" s="16" t="str">
        <f aca="false">IF($I567="","",INDEX(CONSOLIDADO!$H$2:$H$801,$I567))</f>
        <v/>
      </c>
      <c r="I567" s="11" t="str">
        <f aca="false">IFERROR(MATCH(ROW()-1,CONSOLIDADO!$AJ$2:$AJ$801,0),"")</f>
        <v/>
      </c>
      <c r="J567" s="11" t="str">
        <f aca="false">IF(B567="","",F567&amp;" "&amp;C567&amp;" ("&amp;B567&amp;")")</f>
        <v/>
      </c>
    </row>
    <row r="568" customFormat="false" ht="15" hidden="false" customHeight="false" outlineLevel="0" collapsed="false">
      <c r="A568" s="16"/>
      <c r="B568" s="11" t="str">
        <f aca="false">IF($I568="","",INDEX(CONSOLIDADO!$A$2:$A$801,$I568))</f>
        <v/>
      </c>
      <c r="C568" s="11" t="str">
        <f aca="false">IF($I568="","",INDEX(CONSOLIDADO!$B$2:$B$801,$I568))</f>
        <v/>
      </c>
      <c r="D568" s="16" t="str">
        <f aca="false">IF($I568="","",INDEX(CONSOLIDADO!$C$2:$C$801,$I568))</f>
        <v/>
      </c>
      <c r="E568" s="16" t="str">
        <f aca="false">IF($I568="","",INDEX(CONSOLIDADO!$D$2:$D$801,$I568))</f>
        <v/>
      </c>
      <c r="F568" s="14" t="str">
        <f aca="false">IF($I568="","",INDEX(CONSOLIDADO!$E$2:$E$801,$I568))</f>
        <v/>
      </c>
      <c r="G568" s="16" t="str">
        <f aca="false">IF($I568="","",INDEX(CONSOLIDADO!$G$2:$G$801,$I568))</f>
        <v/>
      </c>
      <c r="H568" s="16" t="str">
        <f aca="false">IF($I568="","",INDEX(CONSOLIDADO!$H$2:$H$801,$I568))</f>
        <v/>
      </c>
      <c r="I568" s="11" t="str">
        <f aca="false">IFERROR(MATCH(ROW()-1,CONSOLIDADO!$AJ$2:$AJ$801,0),"")</f>
        <v/>
      </c>
      <c r="J568" s="11" t="str">
        <f aca="false">IF(B568="","",F568&amp;" "&amp;C568&amp;" ("&amp;B568&amp;")")</f>
        <v/>
      </c>
    </row>
    <row r="569" customFormat="false" ht="15" hidden="false" customHeight="false" outlineLevel="0" collapsed="false">
      <c r="A569" s="16"/>
      <c r="B569" s="11" t="str">
        <f aca="false">IF($I569="","",INDEX(CONSOLIDADO!$A$2:$A$801,$I569))</f>
        <v/>
      </c>
      <c r="C569" s="11" t="str">
        <f aca="false">IF($I569="","",INDEX(CONSOLIDADO!$B$2:$B$801,$I569))</f>
        <v/>
      </c>
      <c r="D569" s="16" t="str">
        <f aca="false">IF($I569="","",INDEX(CONSOLIDADO!$C$2:$C$801,$I569))</f>
        <v/>
      </c>
      <c r="E569" s="16" t="str">
        <f aca="false">IF($I569="","",INDEX(CONSOLIDADO!$D$2:$D$801,$I569))</f>
        <v/>
      </c>
      <c r="F569" s="14" t="str">
        <f aca="false">IF($I569="","",INDEX(CONSOLIDADO!$E$2:$E$801,$I569))</f>
        <v/>
      </c>
      <c r="G569" s="16" t="str">
        <f aca="false">IF($I569="","",INDEX(CONSOLIDADO!$G$2:$G$801,$I569))</f>
        <v/>
      </c>
      <c r="H569" s="16" t="str">
        <f aca="false">IF($I569="","",INDEX(CONSOLIDADO!$H$2:$H$801,$I569))</f>
        <v/>
      </c>
      <c r="I569" s="11" t="str">
        <f aca="false">IFERROR(MATCH(ROW()-1,CONSOLIDADO!$AJ$2:$AJ$801,0),"")</f>
        <v/>
      </c>
      <c r="J569" s="11" t="str">
        <f aca="false">IF(B569="","",F569&amp;" "&amp;C569&amp;" ("&amp;B569&amp;")")</f>
        <v/>
      </c>
    </row>
    <row r="570" customFormat="false" ht="15" hidden="false" customHeight="false" outlineLevel="0" collapsed="false">
      <c r="A570" s="16"/>
      <c r="B570" s="11" t="str">
        <f aca="false">IF($I570="","",INDEX(CONSOLIDADO!$A$2:$A$801,$I570))</f>
        <v/>
      </c>
      <c r="C570" s="11" t="str">
        <f aca="false">IF($I570="","",INDEX(CONSOLIDADO!$B$2:$B$801,$I570))</f>
        <v/>
      </c>
      <c r="D570" s="16" t="str">
        <f aca="false">IF($I570="","",INDEX(CONSOLIDADO!$C$2:$C$801,$I570))</f>
        <v/>
      </c>
      <c r="E570" s="16" t="str">
        <f aca="false">IF($I570="","",INDEX(CONSOLIDADO!$D$2:$D$801,$I570))</f>
        <v/>
      </c>
      <c r="F570" s="14" t="str">
        <f aca="false">IF($I570="","",INDEX(CONSOLIDADO!$E$2:$E$801,$I570))</f>
        <v/>
      </c>
      <c r="G570" s="16" t="str">
        <f aca="false">IF($I570="","",INDEX(CONSOLIDADO!$G$2:$G$801,$I570))</f>
        <v/>
      </c>
      <c r="H570" s="16" t="str">
        <f aca="false">IF($I570="","",INDEX(CONSOLIDADO!$H$2:$H$801,$I570))</f>
        <v/>
      </c>
      <c r="I570" s="11" t="str">
        <f aca="false">IFERROR(MATCH(ROW()-1,CONSOLIDADO!$AJ$2:$AJ$801,0),"")</f>
        <v/>
      </c>
      <c r="J570" s="11" t="str">
        <f aca="false">IF(B570="","",F570&amp;" "&amp;C570&amp;" ("&amp;B570&amp;")")</f>
        <v/>
      </c>
    </row>
    <row r="571" customFormat="false" ht="15" hidden="false" customHeight="false" outlineLevel="0" collapsed="false">
      <c r="A571" s="16"/>
      <c r="B571" s="11" t="str">
        <f aca="false">IF($I571="","",INDEX(CONSOLIDADO!$A$2:$A$801,$I571))</f>
        <v/>
      </c>
      <c r="C571" s="11" t="str">
        <f aca="false">IF($I571="","",INDEX(CONSOLIDADO!$B$2:$B$801,$I571))</f>
        <v/>
      </c>
      <c r="D571" s="16" t="str">
        <f aca="false">IF($I571="","",INDEX(CONSOLIDADO!$C$2:$C$801,$I571))</f>
        <v/>
      </c>
      <c r="E571" s="16" t="str">
        <f aca="false">IF($I571="","",INDEX(CONSOLIDADO!$D$2:$D$801,$I571))</f>
        <v/>
      </c>
      <c r="F571" s="14" t="str">
        <f aca="false">IF($I571="","",INDEX(CONSOLIDADO!$E$2:$E$801,$I571))</f>
        <v/>
      </c>
      <c r="G571" s="16" t="str">
        <f aca="false">IF($I571="","",INDEX(CONSOLIDADO!$G$2:$G$801,$I571))</f>
        <v/>
      </c>
      <c r="H571" s="16" t="str">
        <f aca="false">IF($I571="","",INDEX(CONSOLIDADO!$H$2:$H$801,$I571))</f>
        <v/>
      </c>
      <c r="I571" s="11" t="str">
        <f aca="false">IFERROR(MATCH(ROW()-1,CONSOLIDADO!$AJ$2:$AJ$801,0),"")</f>
        <v/>
      </c>
      <c r="J571" s="11" t="str">
        <f aca="false">IF(B571="","",F571&amp;" "&amp;C571&amp;" ("&amp;B571&amp;")")</f>
        <v/>
      </c>
    </row>
    <row r="572" customFormat="false" ht="15" hidden="false" customHeight="false" outlineLevel="0" collapsed="false">
      <c r="A572" s="16"/>
      <c r="B572" s="11" t="str">
        <f aca="false">IF($I572="","",INDEX(CONSOLIDADO!$A$2:$A$801,$I572))</f>
        <v/>
      </c>
      <c r="C572" s="11" t="str">
        <f aca="false">IF($I572="","",INDEX(CONSOLIDADO!$B$2:$B$801,$I572))</f>
        <v/>
      </c>
      <c r="D572" s="16" t="str">
        <f aca="false">IF($I572="","",INDEX(CONSOLIDADO!$C$2:$C$801,$I572))</f>
        <v/>
      </c>
      <c r="E572" s="16" t="str">
        <f aca="false">IF($I572="","",INDEX(CONSOLIDADO!$D$2:$D$801,$I572))</f>
        <v/>
      </c>
      <c r="F572" s="14" t="str">
        <f aca="false">IF($I572="","",INDEX(CONSOLIDADO!$E$2:$E$801,$I572))</f>
        <v/>
      </c>
      <c r="G572" s="16" t="str">
        <f aca="false">IF($I572="","",INDEX(CONSOLIDADO!$G$2:$G$801,$I572))</f>
        <v/>
      </c>
      <c r="H572" s="16" t="str">
        <f aca="false">IF($I572="","",INDEX(CONSOLIDADO!$H$2:$H$801,$I572))</f>
        <v/>
      </c>
      <c r="I572" s="11" t="str">
        <f aca="false">IFERROR(MATCH(ROW()-1,CONSOLIDADO!$AJ$2:$AJ$801,0),"")</f>
        <v/>
      </c>
      <c r="J572" s="11" t="str">
        <f aca="false">IF(B572="","",F572&amp;" "&amp;C572&amp;" ("&amp;B572&amp;")")</f>
        <v/>
      </c>
    </row>
    <row r="573" customFormat="false" ht="15" hidden="false" customHeight="false" outlineLevel="0" collapsed="false">
      <c r="A573" s="16"/>
      <c r="B573" s="11" t="str">
        <f aca="false">IF($I573="","",INDEX(CONSOLIDADO!$A$2:$A$801,$I573))</f>
        <v/>
      </c>
      <c r="C573" s="11" t="str">
        <f aca="false">IF($I573="","",INDEX(CONSOLIDADO!$B$2:$B$801,$I573))</f>
        <v/>
      </c>
      <c r="D573" s="16" t="str">
        <f aca="false">IF($I573="","",INDEX(CONSOLIDADO!$C$2:$C$801,$I573))</f>
        <v/>
      </c>
      <c r="E573" s="16" t="str">
        <f aca="false">IF($I573="","",INDEX(CONSOLIDADO!$D$2:$D$801,$I573))</f>
        <v/>
      </c>
      <c r="F573" s="14" t="str">
        <f aca="false">IF($I573="","",INDEX(CONSOLIDADO!$E$2:$E$801,$I573))</f>
        <v/>
      </c>
      <c r="G573" s="16" t="str">
        <f aca="false">IF($I573="","",INDEX(CONSOLIDADO!$G$2:$G$801,$I573))</f>
        <v/>
      </c>
      <c r="H573" s="16" t="str">
        <f aca="false">IF($I573="","",INDEX(CONSOLIDADO!$H$2:$H$801,$I573))</f>
        <v/>
      </c>
      <c r="I573" s="11" t="str">
        <f aca="false">IFERROR(MATCH(ROW()-1,CONSOLIDADO!$AJ$2:$AJ$801,0),"")</f>
        <v/>
      </c>
      <c r="J573" s="11" t="str">
        <f aca="false">IF(B573="","",F573&amp;" "&amp;C573&amp;" ("&amp;B573&amp;")")</f>
        <v/>
      </c>
    </row>
    <row r="574" customFormat="false" ht="15" hidden="false" customHeight="false" outlineLevel="0" collapsed="false">
      <c r="A574" s="16"/>
      <c r="B574" s="11" t="str">
        <f aca="false">IF($I574="","",INDEX(CONSOLIDADO!$A$2:$A$801,$I574))</f>
        <v/>
      </c>
      <c r="C574" s="11" t="str">
        <f aca="false">IF($I574="","",INDEX(CONSOLIDADO!$B$2:$B$801,$I574))</f>
        <v/>
      </c>
      <c r="D574" s="16" t="str">
        <f aca="false">IF($I574="","",INDEX(CONSOLIDADO!$C$2:$C$801,$I574))</f>
        <v/>
      </c>
      <c r="E574" s="16" t="str">
        <f aca="false">IF($I574="","",INDEX(CONSOLIDADO!$D$2:$D$801,$I574))</f>
        <v/>
      </c>
      <c r="F574" s="14" t="str">
        <f aca="false">IF($I574="","",INDEX(CONSOLIDADO!$E$2:$E$801,$I574))</f>
        <v/>
      </c>
      <c r="G574" s="16" t="str">
        <f aca="false">IF($I574="","",INDEX(CONSOLIDADO!$G$2:$G$801,$I574))</f>
        <v/>
      </c>
      <c r="H574" s="16" t="str">
        <f aca="false">IF($I574="","",INDEX(CONSOLIDADO!$H$2:$H$801,$I574))</f>
        <v/>
      </c>
      <c r="I574" s="11" t="str">
        <f aca="false">IFERROR(MATCH(ROW()-1,CONSOLIDADO!$AJ$2:$AJ$801,0),"")</f>
        <v/>
      </c>
      <c r="J574" s="11" t="str">
        <f aca="false">IF(B574="","",F574&amp;" "&amp;C574&amp;" ("&amp;B574&amp;")")</f>
        <v/>
      </c>
    </row>
    <row r="575" customFormat="false" ht="15" hidden="false" customHeight="false" outlineLevel="0" collapsed="false">
      <c r="A575" s="16"/>
      <c r="B575" s="11" t="str">
        <f aca="false">IF($I575="","",INDEX(CONSOLIDADO!$A$2:$A$801,$I575))</f>
        <v/>
      </c>
      <c r="C575" s="11" t="str">
        <f aca="false">IF($I575="","",INDEX(CONSOLIDADO!$B$2:$B$801,$I575))</f>
        <v/>
      </c>
      <c r="D575" s="16" t="str">
        <f aca="false">IF($I575="","",INDEX(CONSOLIDADO!$C$2:$C$801,$I575))</f>
        <v/>
      </c>
      <c r="E575" s="16" t="str">
        <f aca="false">IF($I575="","",INDEX(CONSOLIDADO!$D$2:$D$801,$I575))</f>
        <v/>
      </c>
      <c r="F575" s="14" t="str">
        <f aca="false">IF($I575="","",INDEX(CONSOLIDADO!$E$2:$E$801,$I575))</f>
        <v/>
      </c>
      <c r="G575" s="16" t="str">
        <f aca="false">IF($I575="","",INDEX(CONSOLIDADO!$G$2:$G$801,$I575))</f>
        <v/>
      </c>
      <c r="H575" s="16" t="str">
        <f aca="false">IF($I575="","",INDEX(CONSOLIDADO!$H$2:$H$801,$I575))</f>
        <v/>
      </c>
      <c r="I575" s="11" t="str">
        <f aca="false">IFERROR(MATCH(ROW()-1,CONSOLIDADO!$AJ$2:$AJ$801,0),"")</f>
        <v/>
      </c>
      <c r="J575" s="11" t="str">
        <f aca="false">IF(B575="","",F575&amp;" "&amp;C575&amp;" ("&amp;B575&amp;")")</f>
        <v/>
      </c>
    </row>
    <row r="576" customFormat="false" ht="15" hidden="false" customHeight="false" outlineLevel="0" collapsed="false">
      <c r="A576" s="16"/>
      <c r="B576" s="11" t="str">
        <f aca="false">IF($I576="","",INDEX(CONSOLIDADO!$A$2:$A$801,$I576))</f>
        <v/>
      </c>
      <c r="C576" s="11" t="str">
        <f aca="false">IF($I576="","",INDEX(CONSOLIDADO!$B$2:$B$801,$I576))</f>
        <v/>
      </c>
      <c r="D576" s="16" t="str">
        <f aca="false">IF($I576="","",INDEX(CONSOLIDADO!$C$2:$C$801,$I576))</f>
        <v/>
      </c>
      <c r="E576" s="16" t="str">
        <f aca="false">IF($I576="","",INDEX(CONSOLIDADO!$D$2:$D$801,$I576))</f>
        <v/>
      </c>
      <c r="F576" s="14" t="str">
        <f aca="false">IF($I576="","",INDEX(CONSOLIDADO!$E$2:$E$801,$I576))</f>
        <v/>
      </c>
      <c r="G576" s="16" t="str">
        <f aca="false">IF($I576="","",INDEX(CONSOLIDADO!$G$2:$G$801,$I576))</f>
        <v/>
      </c>
      <c r="H576" s="16" t="str">
        <f aca="false">IF($I576="","",INDEX(CONSOLIDADO!$H$2:$H$801,$I576))</f>
        <v/>
      </c>
      <c r="I576" s="11" t="str">
        <f aca="false">IFERROR(MATCH(ROW()-1,CONSOLIDADO!$AJ$2:$AJ$801,0),"")</f>
        <v/>
      </c>
      <c r="J576" s="11" t="str">
        <f aca="false">IF(B576="","",F576&amp;" "&amp;C576&amp;" ("&amp;B576&amp;")")</f>
        <v/>
      </c>
    </row>
    <row r="577" customFormat="false" ht="15" hidden="false" customHeight="false" outlineLevel="0" collapsed="false">
      <c r="A577" s="16"/>
      <c r="B577" s="11" t="str">
        <f aca="false">IF($I577="","",INDEX(CONSOLIDADO!$A$2:$A$801,$I577))</f>
        <v/>
      </c>
      <c r="C577" s="11" t="str">
        <f aca="false">IF($I577="","",INDEX(CONSOLIDADO!$B$2:$B$801,$I577))</f>
        <v/>
      </c>
      <c r="D577" s="16" t="str">
        <f aca="false">IF($I577="","",INDEX(CONSOLIDADO!$C$2:$C$801,$I577))</f>
        <v/>
      </c>
      <c r="E577" s="16" t="str">
        <f aca="false">IF($I577="","",INDEX(CONSOLIDADO!$D$2:$D$801,$I577))</f>
        <v/>
      </c>
      <c r="F577" s="14" t="str">
        <f aca="false">IF($I577="","",INDEX(CONSOLIDADO!$E$2:$E$801,$I577))</f>
        <v/>
      </c>
      <c r="G577" s="16" t="str">
        <f aca="false">IF($I577="","",INDEX(CONSOLIDADO!$G$2:$G$801,$I577))</f>
        <v/>
      </c>
      <c r="H577" s="16" t="str">
        <f aca="false">IF($I577="","",INDEX(CONSOLIDADO!$H$2:$H$801,$I577))</f>
        <v/>
      </c>
      <c r="I577" s="11" t="str">
        <f aca="false">IFERROR(MATCH(ROW()-1,CONSOLIDADO!$AJ$2:$AJ$801,0),"")</f>
        <v/>
      </c>
      <c r="J577" s="11" t="str">
        <f aca="false">IF(B577="","",F577&amp;" "&amp;C577&amp;" ("&amp;B577&amp;")")</f>
        <v/>
      </c>
    </row>
    <row r="578" customFormat="false" ht="15" hidden="false" customHeight="false" outlineLevel="0" collapsed="false">
      <c r="A578" s="16"/>
      <c r="B578" s="11" t="str">
        <f aca="false">IF($I578="","",INDEX(CONSOLIDADO!$A$2:$A$801,$I578))</f>
        <v/>
      </c>
      <c r="C578" s="11" t="str">
        <f aca="false">IF($I578="","",INDEX(CONSOLIDADO!$B$2:$B$801,$I578))</f>
        <v/>
      </c>
      <c r="D578" s="16" t="str">
        <f aca="false">IF($I578="","",INDEX(CONSOLIDADO!$C$2:$C$801,$I578))</f>
        <v/>
      </c>
      <c r="E578" s="16" t="str">
        <f aca="false">IF($I578="","",INDEX(CONSOLIDADO!$D$2:$D$801,$I578))</f>
        <v/>
      </c>
      <c r="F578" s="14" t="str">
        <f aca="false">IF($I578="","",INDEX(CONSOLIDADO!$E$2:$E$801,$I578))</f>
        <v/>
      </c>
      <c r="G578" s="16" t="str">
        <f aca="false">IF($I578="","",INDEX(CONSOLIDADO!$G$2:$G$801,$I578))</f>
        <v/>
      </c>
      <c r="H578" s="16" t="str">
        <f aca="false">IF($I578="","",INDEX(CONSOLIDADO!$H$2:$H$801,$I578))</f>
        <v/>
      </c>
      <c r="I578" s="11" t="str">
        <f aca="false">IFERROR(MATCH(ROW()-1,CONSOLIDADO!$AJ$2:$AJ$801,0),"")</f>
        <v/>
      </c>
      <c r="J578" s="11" t="str">
        <f aca="false">IF(B578="","",F578&amp;" "&amp;C578&amp;" ("&amp;B578&amp;")")</f>
        <v/>
      </c>
    </row>
    <row r="579" customFormat="false" ht="15" hidden="false" customHeight="false" outlineLevel="0" collapsed="false">
      <c r="A579" s="16"/>
      <c r="B579" s="11" t="str">
        <f aca="false">IF($I579="","",INDEX(CONSOLIDADO!$A$2:$A$801,$I579))</f>
        <v/>
      </c>
      <c r="C579" s="11" t="str">
        <f aca="false">IF($I579="","",INDEX(CONSOLIDADO!$B$2:$B$801,$I579))</f>
        <v/>
      </c>
      <c r="D579" s="16" t="str">
        <f aca="false">IF($I579="","",INDEX(CONSOLIDADO!$C$2:$C$801,$I579))</f>
        <v/>
      </c>
      <c r="E579" s="16" t="str">
        <f aca="false">IF($I579="","",INDEX(CONSOLIDADO!$D$2:$D$801,$I579))</f>
        <v/>
      </c>
      <c r="F579" s="14" t="str">
        <f aca="false">IF($I579="","",INDEX(CONSOLIDADO!$E$2:$E$801,$I579))</f>
        <v/>
      </c>
      <c r="G579" s="16" t="str">
        <f aca="false">IF($I579="","",INDEX(CONSOLIDADO!$G$2:$G$801,$I579))</f>
        <v/>
      </c>
      <c r="H579" s="16" t="str">
        <f aca="false">IF($I579="","",INDEX(CONSOLIDADO!$H$2:$H$801,$I579))</f>
        <v/>
      </c>
      <c r="I579" s="11" t="str">
        <f aca="false">IFERROR(MATCH(ROW()-1,CONSOLIDADO!$AJ$2:$AJ$801,0),"")</f>
        <v/>
      </c>
      <c r="J579" s="11" t="str">
        <f aca="false">IF(B579="","",F579&amp;" "&amp;C579&amp;" ("&amp;B579&amp;")")</f>
        <v/>
      </c>
    </row>
    <row r="580" customFormat="false" ht="15" hidden="false" customHeight="false" outlineLevel="0" collapsed="false">
      <c r="A580" s="16"/>
      <c r="B580" s="11" t="str">
        <f aca="false">IF($I580="","",INDEX(CONSOLIDADO!$A$2:$A$801,$I580))</f>
        <v/>
      </c>
      <c r="C580" s="11" t="str">
        <f aca="false">IF($I580="","",INDEX(CONSOLIDADO!$B$2:$B$801,$I580))</f>
        <v/>
      </c>
      <c r="D580" s="16" t="str">
        <f aca="false">IF($I580="","",INDEX(CONSOLIDADO!$C$2:$C$801,$I580))</f>
        <v/>
      </c>
      <c r="E580" s="16" t="str">
        <f aca="false">IF($I580="","",INDEX(CONSOLIDADO!$D$2:$D$801,$I580))</f>
        <v/>
      </c>
      <c r="F580" s="14" t="str">
        <f aca="false">IF($I580="","",INDEX(CONSOLIDADO!$E$2:$E$801,$I580))</f>
        <v/>
      </c>
      <c r="G580" s="16" t="str">
        <f aca="false">IF($I580="","",INDEX(CONSOLIDADO!$G$2:$G$801,$I580))</f>
        <v/>
      </c>
      <c r="H580" s="16" t="str">
        <f aca="false">IF($I580="","",INDEX(CONSOLIDADO!$H$2:$H$801,$I580))</f>
        <v/>
      </c>
      <c r="I580" s="11" t="str">
        <f aca="false">IFERROR(MATCH(ROW()-1,CONSOLIDADO!$AJ$2:$AJ$801,0),"")</f>
        <v/>
      </c>
      <c r="J580" s="11" t="str">
        <f aca="false">IF(B580="","",F580&amp;" "&amp;C580&amp;" ("&amp;B580&amp;")")</f>
        <v/>
      </c>
    </row>
    <row r="581" customFormat="false" ht="15" hidden="false" customHeight="false" outlineLevel="0" collapsed="false">
      <c r="A581" s="16"/>
      <c r="B581" s="11" t="str">
        <f aca="false">IF($I581="","",INDEX(CONSOLIDADO!$A$2:$A$801,$I581))</f>
        <v/>
      </c>
      <c r="C581" s="11" t="str">
        <f aca="false">IF($I581="","",INDEX(CONSOLIDADO!$B$2:$B$801,$I581))</f>
        <v/>
      </c>
      <c r="D581" s="16" t="str">
        <f aca="false">IF($I581="","",INDEX(CONSOLIDADO!$C$2:$C$801,$I581))</f>
        <v/>
      </c>
      <c r="E581" s="16" t="str">
        <f aca="false">IF($I581="","",INDEX(CONSOLIDADO!$D$2:$D$801,$I581))</f>
        <v/>
      </c>
      <c r="F581" s="14" t="str">
        <f aca="false">IF($I581="","",INDEX(CONSOLIDADO!$E$2:$E$801,$I581))</f>
        <v/>
      </c>
      <c r="G581" s="16" t="str">
        <f aca="false">IF($I581="","",INDEX(CONSOLIDADO!$G$2:$G$801,$I581))</f>
        <v/>
      </c>
      <c r="H581" s="16" t="str">
        <f aca="false">IF($I581="","",INDEX(CONSOLIDADO!$H$2:$H$801,$I581))</f>
        <v/>
      </c>
      <c r="I581" s="11" t="str">
        <f aca="false">IFERROR(MATCH(ROW()-1,CONSOLIDADO!$AJ$2:$AJ$801,0),"")</f>
        <v/>
      </c>
      <c r="J581" s="11" t="str">
        <f aca="false">IF(B581="","",F581&amp;" "&amp;C581&amp;" ("&amp;B581&amp;")")</f>
        <v/>
      </c>
    </row>
    <row r="582" customFormat="false" ht="15" hidden="false" customHeight="false" outlineLevel="0" collapsed="false">
      <c r="A582" s="16"/>
      <c r="B582" s="11" t="str">
        <f aca="false">IF($I582="","",INDEX(CONSOLIDADO!$A$2:$A$801,$I582))</f>
        <v/>
      </c>
      <c r="C582" s="11" t="str">
        <f aca="false">IF($I582="","",INDEX(CONSOLIDADO!$B$2:$B$801,$I582))</f>
        <v/>
      </c>
      <c r="D582" s="16" t="str">
        <f aca="false">IF($I582="","",INDEX(CONSOLIDADO!$C$2:$C$801,$I582))</f>
        <v/>
      </c>
      <c r="E582" s="16" t="str">
        <f aca="false">IF($I582="","",INDEX(CONSOLIDADO!$D$2:$D$801,$I582))</f>
        <v/>
      </c>
      <c r="F582" s="14" t="str">
        <f aca="false">IF($I582="","",INDEX(CONSOLIDADO!$E$2:$E$801,$I582))</f>
        <v/>
      </c>
      <c r="G582" s="16" t="str">
        <f aca="false">IF($I582="","",INDEX(CONSOLIDADO!$G$2:$G$801,$I582))</f>
        <v/>
      </c>
      <c r="H582" s="16" t="str">
        <f aca="false">IF($I582="","",INDEX(CONSOLIDADO!$H$2:$H$801,$I582))</f>
        <v/>
      </c>
      <c r="I582" s="11" t="str">
        <f aca="false">IFERROR(MATCH(ROW()-1,CONSOLIDADO!$AJ$2:$AJ$801,0),"")</f>
        <v/>
      </c>
      <c r="J582" s="11" t="str">
        <f aca="false">IF(B582="","",F582&amp;" "&amp;C582&amp;" ("&amp;B582&amp;")")</f>
        <v/>
      </c>
    </row>
    <row r="583" customFormat="false" ht="15" hidden="false" customHeight="false" outlineLevel="0" collapsed="false">
      <c r="A583" s="16"/>
      <c r="B583" s="11" t="str">
        <f aca="false">IF($I583="","",INDEX(CONSOLIDADO!$A$2:$A$801,$I583))</f>
        <v/>
      </c>
      <c r="C583" s="11" t="str">
        <f aca="false">IF($I583="","",INDEX(CONSOLIDADO!$B$2:$B$801,$I583))</f>
        <v/>
      </c>
      <c r="D583" s="16" t="str">
        <f aca="false">IF($I583="","",INDEX(CONSOLIDADO!$C$2:$C$801,$I583))</f>
        <v/>
      </c>
      <c r="E583" s="16" t="str">
        <f aca="false">IF($I583="","",INDEX(CONSOLIDADO!$D$2:$D$801,$I583))</f>
        <v/>
      </c>
      <c r="F583" s="14" t="str">
        <f aca="false">IF($I583="","",INDEX(CONSOLIDADO!$E$2:$E$801,$I583))</f>
        <v/>
      </c>
      <c r="G583" s="16" t="str">
        <f aca="false">IF($I583="","",INDEX(CONSOLIDADO!$G$2:$G$801,$I583))</f>
        <v/>
      </c>
      <c r="H583" s="16" t="str">
        <f aca="false">IF($I583="","",INDEX(CONSOLIDADO!$H$2:$H$801,$I583))</f>
        <v/>
      </c>
      <c r="I583" s="11" t="str">
        <f aca="false">IFERROR(MATCH(ROW()-1,CONSOLIDADO!$AJ$2:$AJ$801,0),"")</f>
        <v/>
      </c>
      <c r="J583" s="11" t="str">
        <f aca="false">IF(B583="","",F583&amp;" "&amp;C583&amp;" ("&amp;B583&amp;")")</f>
        <v/>
      </c>
    </row>
    <row r="584" customFormat="false" ht="15" hidden="false" customHeight="false" outlineLevel="0" collapsed="false">
      <c r="A584" s="16"/>
      <c r="B584" s="11" t="str">
        <f aca="false">IF($I584="","",INDEX(CONSOLIDADO!$A$2:$A$801,$I584))</f>
        <v/>
      </c>
      <c r="C584" s="11" t="str">
        <f aca="false">IF($I584="","",INDEX(CONSOLIDADO!$B$2:$B$801,$I584))</f>
        <v/>
      </c>
      <c r="D584" s="16" t="str">
        <f aca="false">IF($I584="","",INDEX(CONSOLIDADO!$C$2:$C$801,$I584))</f>
        <v/>
      </c>
      <c r="E584" s="16" t="str">
        <f aca="false">IF($I584="","",INDEX(CONSOLIDADO!$D$2:$D$801,$I584))</f>
        <v/>
      </c>
      <c r="F584" s="14" t="str">
        <f aca="false">IF($I584="","",INDEX(CONSOLIDADO!$E$2:$E$801,$I584))</f>
        <v/>
      </c>
      <c r="G584" s="16" t="str">
        <f aca="false">IF($I584="","",INDEX(CONSOLIDADO!$G$2:$G$801,$I584))</f>
        <v/>
      </c>
      <c r="H584" s="16" t="str">
        <f aca="false">IF($I584="","",INDEX(CONSOLIDADO!$H$2:$H$801,$I584))</f>
        <v/>
      </c>
      <c r="I584" s="11" t="str">
        <f aca="false">IFERROR(MATCH(ROW()-1,CONSOLIDADO!$AJ$2:$AJ$801,0),"")</f>
        <v/>
      </c>
      <c r="J584" s="11" t="str">
        <f aca="false">IF(B584="","",F584&amp;" "&amp;C584&amp;" ("&amp;B584&amp;")")</f>
        <v/>
      </c>
    </row>
    <row r="585" customFormat="false" ht="15" hidden="false" customHeight="false" outlineLevel="0" collapsed="false">
      <c r="A585" s="16"/>
      <c r="B585" s="11" t="str">
        <f aca="false">IF($I585="","",INDEX(CONSOLIDADO!$A$2:$A$801,$I585))</f>
        <v/>
      </c>
      <c r="C585" s="11" t="str">
        <f aca="false">IF($I585="","",INDEX(CONSOLIDADO!$B$2:$B$801,$I585))</f>
        <v/>
      </c>
      <c r="D585" s="16" t="str">
        <f aca="false">IF($I585="","",INDEX(CONSOLIDADO!$C$2:$C$801,$I585))</f>
        <v/>
      </c>
      <c r="E585" s="16" t="str">
        <f aca="false">IF($I585="","",INDEX(CONSOLIDADO!$D$2:$D$801,$I585))</f>
        <v/>
      </c>
      <c r="F585" s="14" t="str">
        <f aca="false">IF($I585="","",INDEX(CONSOLIDADO!$E$2:$E$801,$I585))</f>
        <v/>
      </c>
      <c r="G585" s="16" t="str">
        <f aca="false">IF($I585="","",INDEX(CONSOLIDADO!$G$2:$G$801,$I585))</f>
        <v/>
      </c>
      <c r="H585" s="16" t="str">
        <f aca="false">IF($I585="","",INDEX(CONSOLIDADO!$H$2:$H$801,$I585))</f>
        <v/>
      </c>
      <c r="I585" s="11" t="str">
        <f aca="false">IFERROR(MATCH(ROW()-1,CONSOLIDADO!$AJ$2:$AJ$801,0),"")</f>
        <v/>
      </c>
      <c r="J585" s="11" t="str">
        <f aca="false">IF(B585="","",F585&amp;" "&amp;C585&amp;" ("&amp;B585&amp;")")</f>
        <v/>
      </c>
    </row>
    <row r="586" customFormat="false" ht="15" hidden="false" customHeight="false" outlineLevel="0" collapsed="false">
      <c r="A586" s="16"/>
      <c r="B586" s="11" t="str">
        <f aca="false">IF($I586="","",INDEX(CONSOLIDADO!$A$2:$A$801,$I586))</f>
        <v/>
      </c>
      <c r="C586" s="11" t="str">
        <f aca="false">IF($I586="","",INDEX(CONSOLIDADO!$B$2:$B$801,$I586))</f>
        <v/>
      </c>
      <c r="D586" s="16" t="str">
        <f aca="false">IF($I586="","",INDEX(CONSOLIDADO!$C$2:$C$801,$I586))</f>
        <v/>
      </c>
      <c r="E586" s="16" t="str">
        <f aca="false">IF($I586="","",INDEX(CONSOLIDADO!$D$2:$D$801,$I586))</f>
        <v/>
      </c>
      <c r="F586" s="14" t="str">
        <f aca="false">IF($I586="","",INDEX(CONSOLIDADO!$E$2:$E$801,$I586))</f>
        <v/>
      </c>
      <c r="G586" s="16" t="str">
        <f aca="false">IF($I586="","",INDEX(CONSOLIDADO!$G$2:$G$801,$I586))</f>
        <v/>
      </c>
      <c r="H586" s="16" t="str">
        <f aca="false">IF($I586="","",INDEX(CONSOLIDADO!$H$2:$H$801,$I586))</f>
        <v/>
      </c>
      <c r="I586" s="11" t="str">
        <f aca="false">IFERROR(MATCH(ROW()-1,CONSOLIDADO!$AJ$2:$AJ$801,0),"")</f>
        <v/>
      </c>
      <c r="J586" s="11" t="str">
        <f aca="false">IF(B586="","",F586&amp;" "&amp;C586&amp;" ("&amp;B586&amp;")")</f>
        <v/>
      </c>
    </row>
    <row r="587" customFormat="false" ht="15" hidden="false" customHeight="false" outlineLevel="0" collapsed="false">
      <c r="A587" s="16"/>
      <c r="B587" s="11" t="str">
        <f aca="false">IF($I587="","",INDEX(CONSOLIDADO!$A$2:$A$801,$I587))</f>
        <v/>
      </c>
      <c r="C587" s="11" t="str">
        <f aca="false">IF($I587="","",INDEX(CONSOLIDADO!$B$2:$B$801,$I587))</f>
        <v/>
      </c>
      <c r="D587" s="16" t="str">
        <f aca="false">IF($I587="","",INDEX(CONSOLIDADO!$C$2:$C$801,$I587))</f>
        <v/>
      </c>
      <c r="E587" s="16" t="str">
        <f aca="false">IF($I587="","",INDEX(CONSOLIDADO!$D$2:$D$801,$I587))</f>
        <v/>
      </c>
      <c r="F587" s="14" t="str">
        <f aca="false">IF($I587="","",INDEX(CONSOLIDADO!$E$2:$E$801,$I587))</f>
        <v/>
      </c>
      <c r="G587" s="16" t="str">
        <f aca="false">IF($I587="","",INDEX(CONSOLIDADO!$G$2:$G$801,$I587))</f>
        <v/>
      </c>
      <c r="H587" s="16" t="str">
        <f aca="false">IF($I587="","",INDEX(CONSOLIDADO!$H$2:$H$801,$I587))</f>
        <v/>
      </c>
      <c r="I587" s="11" t="str">
        <f aca="false">IFERROR(MATCH(ROW()-1,CONSOLIDADO!$AJ$2:$AJ$801,0),"")</f>
        <v/>
      </c>
      <c r="J587" s="11" t="str">
        <f aca="false">IF(B587="","",F587&amp;" "&amp;C587&amp;" ("&amp;B587&amp;")")</f>
        <v/>
      </c>
    </row>
    <row r="588" customFormat="false" ht="15" hidden="false" customHeight="false" outlineLevel="0" collapsed="false">
      <c r="A588" s="16"/>
      <c r="B588" s="11" t="str">
        <f aca="false">IF($I588="","",INDEX(CONSOLIDADO!$A$2:$A$801,$I588))</f>
        <v/>
      </c>
      <c r="C588" s="11" t="str">
        <f aca="false">IF($I588="","",INDEX(CONSOLIDADO!$B$2:$B$801,$I588))</f>
        <v/>
      </c>
      <c r="D588" s="16" t="str">
        <f aca="false">IF($I588="","",INDEX(CONSOLIDADO!$C$2:$C$801,$I588))</f>
        <v/>
      </c>
      <c r="E588" s="16" t="str">
        <f aca="false">IF($I588="","",INDEX(CONSOLIDADO!$D$2:$D$801,$I588))</f>
        <v/>
      </c>
      <c r="F588" s="14" t="str">
        <f aca="false">IF($I588="","",INDEX(CONSOLIDADO!$E$2:$E$801,$I588))</f>
        <v/>
      </c>
      <c r="G588" s="16" t="str">
        <f aca="false">IF($I588="","",INDEX(CONSOLIDADO!$G$2:$G$801,$I588))</f>
        <v/>
      </c>
      <c r="H588" s="16" t="str">
        <f aca="false">IF($I588="","",INDEX(CONSOLIDADO!$H$2:$H$801,$I588))</f>
        <v/>
      </c>
      <c r="I588" s="11" t="str">
        <f aca="false">IFERROR(MATCH(ROW()-1,CONSOLIDADO!$AJ$2:$AJ$801,0),"")</f>
        <v/>
      </c>
      <c r="J588" s="11" t="str">
        <f aca="false">IF(B588="","",F588&amp;" "&amp;C588&amp;" ("&amp;B588&amp;")")</f>
        <v/>
      </c>
    </row>
    <row r="589" customFormat="false" ht="15" hidden="false" customHeight="false" outlineLevel="0" collapsed="false">
      <c r="A589" s="16"/>
      <c r="B589" s="11" t="str">
        <f aca="false">IF($I589="","",INDEX(CONSOLIDADO!$A$2:$A$801,$I589))</f>
        <v/>
      </c>
      <c r="C589" s="11" t="str">
        <f aca="false">IF($I589="","",INDEX(CONSOLIDADO!$B$2:$B$801,$I589))</f>
        <v/>
      </c>
      <c r="D589" s="16" t="str">
        <f aca="false">IF($I589="","",INDEX(CONSOLIDADO!$C$2:$C$801,$I589))</f>
        <v/>
      </c>
      <c r="E589" s="16" t="str">
        <f aca="false">IF($I589="","",INDEX(CONSOLIDADO!$D$2:$D$801,$I589))</f>
        <v/>
      </c>
      <c r="F589" s="14" t="str">
        <f aca="false">IF($I589="","",INDEX(CONSOLIDADO!$E$2:$E$801,$I589))</f>
        <v/>
      </c>
      <c r="G589" s="16" t="str">
        <f aca="false">IF($I589="","",INDEX(CONSOLIDADO!$G$2:$G$801,$I589))</f>
        <v/>
      </c>
      <c r="H589" s="16" t="str">
        <f aca="false">IF($I589="","",INDEX(CONSOLIDADO!$H$2:$H$801,$I589))</f>
        <v/>
      </c>
      <c r="I589" s="11" t="str">
        <f aca="false">IFERROR(MATCH(ROW()-1,CONSOLIDADO!$AJ$2:$AJ$801,0),"")</f>
        <v/>
      </c>
      <c r="J589" s="11" t="str">
        <f aca="false">IF(B589="","",F589&amp;" "&amp;C589&amp;" ("&amp;B589&amp;")")</f>
        <v/>
      </c>
    </row>
    <row r="590" customFormat="false" ht="15" hidden="false" customHeight="false" outlineLevel="0" collapsed="false">
      <c r="A590" s="16"/>
      <c r="B590" s="11" t="str">
        <f aca="false">IF($I590="","",INDEX(CONSOLIDADO!$A$2:$A$801,$I590))</f>
        <v/>
      </c>
      <c r="C590" s="11" t="str">
        <f aca="false">IF($I590="","",INDEX(CONSOLIDADO!$B$2:$B$801,$I590))</f>
        <v/>
      </c>
      <c r="D590" s="16" t="str">
        <f aca="false">IF($I590="","",INDEX(CONSOLIDADO!$C$2:$C$801,$I590))</f>
        <v/>
      </c>
      <c r="E590" s="16" t="str">
        <f aca="false">IF($I590="","",INDEX(CONSOLIDADO!$D$2:$D$801,$I590))</f>
        <v/>
      </c>
      <c r="F590" s="14" t="str">
        <f aca="false">IF($I590="","",INDEX(CONSOLIDADO!$E$2:$E$801,$I590))</f>
        <v/>
      </c>
      <c r="G590" s="16" t="str">
        <f aca="false">IF($I590="","",INDEX(CONSOLIDADO!$G$2:$G$801,$I590))</f>
        <v/>
      </c>
      <c r="H590" s="16" t="str">
        <f aca="false">IF($I590="","",INDEX(CONSOLIDADO!$H$2:$H$801,$I590))</f>
        <v/>
      </c>
      <c r="I590" s="11" t="str">
        <f aca="false">IFERROR(MATCH(ROW()-1,CONSOLIDADO!$AJ$2:$AJ$801,0),"")</f>
        <v/>
      </c>
      <c r="J590" s="11" t="str">
        <f aca="false">IF(B590="","",F590&amp;" "&amp;C590&amp;" ("&amp;B590&amp;")")</f>
        <v/>
      </c>
    </row>
    <row r="591" customFormat="false" ht="15" hidden="false" customHeight="false" outlineLevel="0" collapsed="false">
      <c r="A591" s="16"/>
      <c r="B591" s="11" t="str">
        <f aca="false">IF($I591="","",INDEX(CONSOLIDADO!$A$2:$A$801,$I591))</f>
        <v/>
      </c>
      <c r="C591" s="11" t="str">
        <f aca="false">IF($I591="","",INDEX(CONSOLIDADO!$B$2:$B$801,$I591))</f>
        <v/>
      </c>
      <c r="D591" s="16" t="str">
        <f aca="false">IF($I591="","",INDEX(CONSOLIDADO!$C$2:$C$801,$I591))</f>
        <v/>
      </c>
      <c r="E591" s="16" t="str">
        <f aca="false">IF($I591="","",INDEX(CONSOLIDADO!$D$2:$D$801,$I591))</f>
        <v/>
      </c>
      <c r="F591" s="14" t="str">
        <f aca="false">IF($I591="","",INDEX(CONSOLIDADO!$E$2:$E$801,$I591))</f>
        <v/>
      </c>
      <c r="G591" s="16" t="str">
        <f aca="false">IF($I591="","",INDEX(CONSOLIDADO!$G$2:$G$801,$I591))</f>
        <v/>
      </c>
      <c r="H591" s="16" t="str">
        <f aca="false">IF($I591="","",INDEX(CONSOLIDADO!$H$2:$H$801,$I591))</f>
        <v/>
      </c>
      <c r="I591" s="11" t="str">
        <f aca="false">IFERROR(MATCH(ROW()-1,CONSOLIDADO!$AJ$2:$AJ$801,0),"")</f>
        <v/>
      </c>
      <c r="J591" s="11" t="str">
        <f aca="false">IF(B591="","",F591&amp;" "&amp;C591&amp;" ("&amp;B591&amp;")")</f>
        <v/>
      </c>
    </row>
    <row r="592" customFormat="false" ht="15" hidden="false" customHeight="false" outlineLevel="0" collapsed="false">
      <c r="A592" s="16"/>
      <c r="B592" s="11" t="str">
        <f aca="false">IF($I592="","",INDEX(CONSOLIDADO!$A$2:$A$801,$I592))</f>
        <v/>
      </c>
      <c r="C592" s="11" t="str">
        <f aca="false">IF($I592="","",INDEX(CONSOLIDADO!$B$2:$B$801,$I592))</f>
        <v/>
      </c>
      <c r="D592" s="16" t="str">
        <f aca="false">IF($I592="","",INDEX(CONSOLIDADO!$C$2:$C$801,$I592))</f>
        <v/>
      </c>
      <c r="E592" s="16" t="str">
        <f aca="false">IF($I592="","",INDEX(CONSOLIDADO!$D$2:$D$801,$I592))</f>
        <v/>
      </c>
      <c r="F592" s="14" t="str">
        <f aca="false">IF($I592="","",INDEX(CONSOLIDADO!$E$2:$E$801,$I592))</f>
        <v/>
      </c>
      <c r="G592" s="16" t="str">
        <f aca="false">IF($I592="","",INDEX(CONSOLIDADO!$G$2:$G$801,$I592))</f>
        <v/>
      </c>
      <c r="H592" s="16" t="str">
        <f aca="false">IF($I592="","",INDEX(CONSOLIDADO!$H$2:$H$801,$I592))</f>
        <v/>
      </c>
      <c r="I592" s="11" t="str">
        <f aca="false">IFERROR(MATCH(ROW()-1,CONSOLIDADO!$AJ$2:$AJ$801,0),"")</f>
        <v/>
      </c>
      <c r="J592" s="11" t="str">
        <f aca="false">IF(B592="","",F592&amp;" "&amp;C592&amp;" ("&amp;B592&amp;")")</f>
        <v/>
      </c>
    </row>
    <row r="593" customFormat="false" ht="15" hidden="false" customHeight="false" outlineLevel="0" collapsed="false">
      <c r="A593" s="16"/>
      <c r="B593" s="11" t="str">
        <f aca="false">IF($I593="","",INDEX(CONSOLIDADO!$A$2:$A$801,$I593))</f>
        <v/>
      </c>
      <c r="C593" s="11" t="str">
        <f aca="false">IF($I593="","",INDEX(CONSOLIDADO!$B$2:$B$801,$I593))</f>
        <v/>
      </c>
      <c r="D593" s="16" t="str">
        <f aca="false">IF($I593="","",INDEX(CONSOLIDADO!$C$2:$C$801,$I593))</f>
        <v/>
      </c>
      <c r="E593" s="16" t="str">
        <f aca="false">IF($I593="","",INDEX(CONSOLIDADO!$D$2:$D$801,$I593))</f>
        <v/>
      </c>
      <c r="F593" s="14" t="str">
        <f aca="false">IF($I593="","",INDEX(CONSOLIDADO!$E$2:$E$801,$I593))</f>
        <v/>
      </c>
      <c r="G593" s="16" t="str">
        <f aca="false">IF($I593="","",INDEX(CONSOLIDADO!$G$2:$G$801,$I593))</f>
        <v/>
      </c>
      <c r="H593" s="16" t="str">
        <f aca="false">IF($I593="","",INDEX(CONSOLIDADO!$H$2:$H$801,$I593))</f>
        <v/>
      </c>
      <c r="I593" s="11" t="str">
        <f aca="false">IFERROR(MATCH(ROW()-1,CONSOLIDADO!$AJ$2:$AJ$801,0),"")</f>
        <v/>
      </c>
      <c r="J593" s="11" t="str">
        <f aca="false">IF(B593="","",F593&amp;" "&amp;C593&amp;" ("&amp;B593&amp;")")</f>
        <v/>
      </c>
    </row>
    <row r="594" customFormat="false" ht="15" hidden="false" customHeight="false" outlineLevel="0" collapsed="false">
      <c r="A594" s="16"/>
      <c r="B594" s="11" t="str">
        <f aca="false">IF($I594="","",INDEX(CONSOLIDADO!$A$2:$A$801,$I594))</f>
        <v/>
      </c>
      <c r="C594" s="11" t="str">
        <f aca="false">IF($I594="","",INDEX(CONSOLIDADO!$B$2:$B$801,$I594))</f>
        <v/>
      </c>
      <c r="D594" s="16" t="str">
        <f aca="false">IF($I594="","",INDEX(CONSOLIDADO!$C$2:$C$801,$I594))</f>
        <v/>
      </c>
      <c r="E594" s="16" t="str">
        <f aca="false">IF($I594="","",INDEX(CONSOLIDADO!$D$2:$D$801,$I594))</f>
        <v/>
      </c>
      <c r="F594" s="14" t="str">
        <f aca="false">IF($I594="","",INDEX(CONSOLIDADO!$E$2:$E$801,$I594))</f>
        <v/>
      </c>
      <c r="G594" s="16" t="str">
        <f aca="false">IF($I594="","",INDEX(CONSOLIDADO!$G$2:$G$801,$I594))</f>
        <v/>
      </c>
      <c r="H594" s="16" t="str">
        <f aca="false">IF($I594="","",INDEX(CONSOLIDADO!$H$2:$H$801,$I594))</f>
        <v/>
      </c>
      <c r="I594" s="11" t="str">
        <f aca="false">IFERROR(MATCH(ROW()-1,CONSOLIDADO!$AJ$2:$AJ$801,0),"")</f>
        <v/>
      </c>
      <c r="J594" s="11" t="str">
        <f aca="false">IF(B594="","",F594&amp;" "&amp;C594&amp;" ("&amp;B594&amp;")")</f>
        <v/>
      </c>
    </row>
    <row r="595" customFormat="false" ht="15" hidden="false" customHeight="false" outlineLevel="0" collapsed="false">
      <c r="A595" s="16"/>
      <c r="B595" s="11" t="str">
        <f aca="false">IF($I595="","",INDEX(CONSOLIDADO!$A$2:$A$801,$I595))</f>
        <v/>
      </c>
      <c r="C595" s="11" t="str">
        <f aca="false">IF($I595="","",INDEX(CONSOLIDADO!$B$2:$B$801,$I595))</f>
        <v/>
      </c>
      <c r="D595" s="16" t="str">
        <f aca="false">IF($I595="","",INDEX(CONSOLIDADO!$C$2:$C$801,$I595))</f>
        <v/>
      </c>
      <c r="E595" s="16" t="str">
        <f aca="false">IF($I595="","",INDEX(CONSOLIDADO!$D$2:$D$801,$I595))</f>
        <v/>
      </c>
      <c r="F595" s="14" t="str">
        <f aca="false">IF($I595="","",INDEX(CONSOLIDADO!$E$2:$E$801,$I595))</f>
        <v/>
      </c>
      <c r="G595" s="16" t="str">
        <f aca="false">IF($I595="","",INDEX(CONSOLIDADO!$G$2:$G$801,$I595))</f>
        <v/>
      </c>
      <c r="H595" s="16" t="str">
        <f aca="false">IF($I595="","",INDEX(CONSOLIDADO!$H$2:$H$801,$I595))</f>
        <v/>
      </c>
      <c r="I595" s="11" t="str">
        <f aca="false">IFERROR(MATCH(ROW()-1,CONSOLIDADO!$AJ$2:$AJ$801,0),"")</f>
        <v/>
      </c>
      <c r="J595" s="11" t="str">
        <f aca="false">IF(B595="","",F595&amp;" "&amp;C595&amp;" ("&amp;B595&amp;")")</f>
        <v/>
      </c>
    </row>
    <row r="596" customFormat="false" ht="15" hidden="false" customHeight="false" outlineLevel="0" collapsed="false">
      <c r="A596" s="16"/>
      <c r="B596" s="11" t="str">
        <f aca="false">IF($I596="","",INDEX(CONSOLIDADO!$A$2:$A$801,$I596))</f>
        <v/>
      </c>
      <c r="C596" s="11" t="str">
        <f aca="false">IF($I596="","",INDEX(CONSOLIDADO!$B$2:$B$801,$I596))</f>
        <v/>
      </c>
      <c r="D596" s="16" t="str">
        <f aca="false">IF($I596="","",INDEX(CONSOLIDADO!$C$2:$C$801,$I596))</f>
        <v/>
      </c>
      <c r="E596" s="16" t="str">
        <f aca="false">IF($I596="","",INDEX(CONSOLIDADO!$D$2:$D$801,$I596))</f>
        <v/>
      </c>
      <c r="F596" s="14" t="str">
        <f aca="false">IF($I596="","",INDEX(CONSOLIDADO!$E$2:$E$801,$I596))</f>
        <v/>
      </c>
      <c r="G596" s="16" t="str">
        <f aca="false">IF($I596="","",INDEX(CONSOLIDADO!$G$2:$G$801,$I596))</f>
        <v/>
      </c>
      <c r="H596" s="16" t="str">
        <f aca="false">IF($I596="","",INDEX(CONSOLIDADO!$H$2:$H$801,$I596))</f>
        <v/>
      </c>
      <c r="I596" s="11" t="str">
        <f aca="false">IFERROR(MATCH(ROW()-1,CONSOLIDADO!$AJ$2:$AJ$801,0),"")</f>
        <v/>
      </c>
      <c r="J596" s="11" t="str">
        <f aca="false">IF(B596="","",F596&amp;" "&amp;C596&amp;" ("&amp;B596&amp;")")</f>
        <v/>
      </c>
    </row>
    <row r="597" customFormat="false" ht="15" hidden="false" customHeight="false" outlineLevel="0" collapsed="false">
      <c r="A597" s="16"/>
      <c r="B597" s="11" t="str">
        <f aca="false">IF($I597="","",INDEX(CONSOLIDADO!$A$2:$A$801,$I597))</f>
        <v/>
      </c>
      <c r="C597" s="11" t="str">
        <f aca="false">IF($I597="","",INDEX(CONSOLIDADO!$B$2:$B$801,$I597))</f>
        <v/>
      </c>
      <c r="D597" s="16" t="str">
        <f aca="false">IF($I597="","",INDEX(CONSOLIDADO!$C$2:$C$801,$I597))</f>
        <v/>
      </c>
      <c r="E597" s="16" t="str">
        <f aca="false">IF($I597="","",INDEX(CONSOLIDADO!$D$2:$D$801,$I597))</f>
        <v/>
      </c>
      <c r="F597" s="14" t="str">
        <f aca="false">IF($I597="","",INDEX(CONSOLIDADO!$E$2:$E$801,$I597))</f>
        <v/>
      </c>
      <c r="G597" s="16" t="str">
        <f aca="false">IF($I597="","",INDEX(CONSOLIDADO!$G$2:$G$801,$I597))</f>
        <v/>
      </c>
      <c r="H597" s="16" t="str">
        <f aca="false">IF($I597="","",INDEX(CONSOLIDADO!$H$2:$H$801,$I597))</f>
        <v/>
      </c>
      <c r="I597" s="11" t="str">
        <f aca="false">IFERROR(MATCH(ROW()-1,CONSOLIDADO!$AJ$2:$AJ$801,0),"")</f>
        <v/>
      </c>
      <c r="J597" s="11" t="str">
        <f aca="false">IF(B597="","",F597&amp;" "&amp;C597&amp;" ("&amp;B597&amp;")")</f>
        <v/>
      </c>
    </row>
    <row r="598" customFormat="false" ht="15" hidden="false" customHeight="false" outlineLevel="0" collapsed="false">
      <c r="A598" s="16"/>
      <c r="B598" s="11" t="str">
        <f aca="false">IF($I598="","",INDEX(CONSOLIDADO!$A$2:$A$801,$I598))</f>
        <v/>
      </c>
      <c r="C598" s="11" t="str">
        <f aca="false">IF($I598="","",INDEX(CONSOLIDADO!$B$2:$B$801,$I598))</f>
        <v/>
      </c>
      <c r="D598" s="16" t="str">
        <f aca="false">IF($I598="","",INDEX(CONSOLIDADO!$C$2:$C$801,$I598))</f>
        <v/>
      </c>
      <c r="E598" s="16" t="str">
        <f aca="false">IF($I598="","",INDEX(CONSOLIDADO!$D$2:$D$801,$I598))</f>
        <v/>
      </c>
      <c r="F598" s="14" t="str">
        <f aca="false">IF($I598="","",INDEX(CONSOLIDADO!$E$2:$E$801,$I598))</f>
        <v/>
      </c>
      <c r="G598" s="16" t="str">
        <f aca="false">IF($I598="","",INDEX(CONSOLIDADO!$G$2:$G$801,$I598))</f>
        <v/>
      </c>
      <c r="H598" s="16" t="str">
        <f aca="false">IF($I598="","",INDEX(CONSOLIDADO!$H$2:$H$801,$I598))</f>
        <v/>
      </c>
      <c r="I598" s="11" t="str">
        <f aca="false">IFERROR(MATCH(ROW()-1,CONSOLIDADO!$AJ$2:$AJ$801,0),"")</f>
        <v/>
      </c>
      <c r="J598" s="11" t="str">
        <f aca="false">IF(B598="","",F598&amp;" "&amp;C598&amp;" ("&amp;B598&amp;")")</f>
        <v/>
      </c>
    </row>
    <row r="599" customFormat="false" ht="15" hidden="false" customHeight="false" outlineLevel="0" collapsed="false">
      <c r="A599" s="16"/>
      <c r="B599" s="11" t="str">
        <f aca="false">IF($I599="","",INDEX(CONSOLIDADO!$A$2:$A$801,$I599))</f>
        <v/>
      </c>
      <c r="C599" s="11" t="str">
        <f aca="false">IF($I599="","",INDEX(CONSOLIDADO!$B$2:$B$801,$I599))</f>
        <v/>
      </c>
      <c r="D599" s="16" t="str">
        <f aca="false">IF($I599="","",INDEX(CONSOLIDADO!$C$2:$C$801,$I599))</f>
        <v/>
      </c>
      <c r="E599" s="16" t="str">
        <f aca="false">IF($I599="","",INDEX(CONSOLIDADO!$D$2:$D$801,$I599))</f>
        <v/>
      </c>
      <c r="F599" s="14" t="str">
        <f aca="false">IF($I599="","",INDEX(CONSOLIDADO!$E$2:$E$801,$I599))</f>
        <v/>
      </c>
      <c r="G599" s="16" t="str">
        <f aca="false">IF($I599="","",INDEX(CONSOLIDADO!$G$2:$G$801,$I599))</f>
        <v/>
      </c>
      <c r="H599" s="16" t="str">
        <f aca="false">IF($I599="","",INDEX(CONSOLIDADO!$H$2:$H$801,$I599))</f>
        <v/>
      </c>
      <c r="I599" s="11" t="str">
        <f aca="false">IFERROR(MATCH(ROW()-1,CONSOLIDADO!$AJ$2:$AJ$801,0),"")</f>
        <v/>
      </c>
      <c r="J599" s="11" t="str">
        <f aca="false">IF(B599="","",F599&amp;" "&amp;C599&amp;" ("&amp;B599&amp;")")</f>
        <v/>
      </c>
    </row>
    <row r="600" customFormat="false" ht="15" hidden="false" customHeight="false" outlineLevel="0" collapsed="false">
      <c r="A600" s="16"/>
      <c r="B600" s="11" t="str">
        <f aca="false">IF($I600="","",INDEX(CONSOLIDADO!$A$2:$A$801,$I600))</f>
        <v/>
      </c>
      <c r="C600" s="11" t="str">
        <f aca="false">IF($I600="","",INDEX(CONSOLIDADO!$B$2:$B$801,$I600))</f>
        <v/>
      </c>
      <c r="D600" s="16" t="str">
        <f aca="false">IF($I600="","",INDEX(CONSOLIDADO!$C$2:$C$801,$I600))</f>
        <v/>
      </c>
      <c r="E600" s="16" t="str">
        <f aca="false">IF($I600="","",INDEX(CONSOLIDADO!$D$2:$D$801,$I600))</f>
        <v/>
      </c>
      <c r="F600" s="14" t="str">
        <f aca="false">IF($I600="","",INDEX(CONSOLIDADO!$E$2:$E$801,$I600))</f>
        <v/>
      </c>
      <c r="G600" s="16" t="str">
        <f aca="false">IF($I600="","",INDEX(CONSOLIDADO!$G$2:$G$801,$I600))</f>
        <v/>
      </c>
      <c r="H600" s="16" t="str">
        <f aca="false">IF($I600="","",INDEX(CONSOLIDADO!$H$2:$H$801,$I600))</f>
        <v/>
      </c>
      <c r="I600" s="11" t="str">
        <f aca="false">IFERROR(MATCH(ROW()-1,CONSOLIDADO!$AJ$2:$AJ$801,0),"")</f>
        <v/>
      </c>
      <c r="J600" s="11" t="str">
        <f aca="false">IF(B600="","",F600&amp;" "&amp;C600&amp;" ("&amp;B600&amp;")")</f>
        <v/>
      </c>
    </row>
    <row r="601" customFormat="false" ht="15" hidden="false" customHeight="false" outlineLevel="0" collapsed="false">
      <c r="A601" s="16"/>
      <c r="B601" s="11" t="str">
        <f aca="false">IF($I601="","",INDEX(CONSOLIDADO!$A$2:$A$801,$I601))</f>
        <v/>
      </c>
      <c r="C601" s="11" t="str">
        <f aca="false">IF($I601="","",INDEX(CONSOLIDADO!$B$2:$B$801,$I601))</f>
        <v/>
      </c>
      <c r="D601" s="16" t="str">
        <f aca="false">IF($I601="","",INDEX(CONSOLIDADO!$C$2:$C$801,$I601))</f>
        <v/>
      </c>
      <c r="E601" s="16" t="str">
        <f aca="false">IF($I601="","",INDEX(CONSOLIDADO!$D$2:$D$801,$I601))</f>
        <v/>
      </c>
      <c r="F601" s="14" t="str">
        <f aca="false">IF($I601="","",INDEX(CONSOLIDADO!$E$2:$E$801,$I601))</f>
        <v/>
      </c>
      <c r="G601" s="16" t="str">
        <f aca="false">IF($I601="","",INDEX(CONSOLIDADO!$G$2:$G$801,$I601))</f>
        <v/>
      </c>
      <c r="H601" s="16" t="str">
        <f aca="false">IF($I601="","",INDEX(CONSOLIDADO!$H$2:$H$801,$I601))</f>
        <v/>
      </c>
      <c r="I601" s="11" t="str">
        <f aca="false">IFERROR(MATCH(ROW()-1,CONSOLIDADO!$AJ$2:$AJ$801,0),"")</f>
        <v/>
      </c>
      <c r="J601" s="11" t="str">
        <f aca="false">IF(B601="","",F601&amp;" "&amp;C601&amp;" ("&amp;B601&amp;")")</f>
        <v/>
      </c>
    </row>
    <row r="602" customFormat="false" ht="15" hidden="false" customHeight="false" outlineLevel="0" collapsed="false">
      <c r="A602" s="16"/>
      <c r="B602" s="11" t="str">
        <f aca="false">IF($I602="","",INDEX(CONSOLIDADO!$A$2:$A$801,$I602))</f>
        <v/>
      </c>
      <c r="C602" s="11" t="str">
        <f aca="false">IF($I602="","",INDEX(CONSOLIDADO!$B$2:$B$801,$I602))</f>
        <v/>
      </c>
      <c r="D602" s="16" t="str">
        <f aca="false">IF($I602="","",INDEX(CONSOLIDADO!$C$2:$C$801,$I602))</f>
        <v/>
      </c>
      <c r="E602" s="16" t="str">
        <f aca="false">IF($I602="","",INDEX(CONSOLIDADO!$D$2:$D$801,$I602))</f>
        <v/>
      </c>
      <c r="F602" s="14" t="str">
        <f aca="false">IF($I602="","",INDEX(CONSOLIDADO!$E$2:$E$801,$I602))</f>
        <v/>
      </c>
      <c r="G602" s="16" t="str">
        <f aca="false">IF($I602="","",INDEX(CONSOLIDADO!$G$2:$G$801,$I602))</f>
        <v/>
      </c>
      <c r="H602" s="16" t="str">
        <f aca="false">IF($I602="","",INDEX(CONSOLIDADO!$H$2:$H$801,$I602))</f>
        <v/>
      </c>
      <c r="I602" s="11" t="str">
        <f aca="false">IFERROR(MATCH(ROW()-1,CONSOLIDADO!$AJ$2:$AJ$801,0),"")</f>
        <v/>
      </c>
      <c r="J602" s="11" t="str">
        <f aca="false">IF(B602="","",F602&amp;" "&amp;C602&amp;" ("&amp;B602&amp;")")</f>
        <v/>
      </c>
    </row>
    <row r="603" customFormat="false" ht="15" hidden="false" customHeight="false" outlineLevel="0" collapsed="false">
      <c r="A603" s="16"/>
      <c r="B603" s="11" t="str">
        <f aca="false">IF($I603="","",INDEX(CONSOLIDADO!$A$2:$A$801,$I603))</f>
        <v/>
      </c>
      <c r="C603" s="11" t="str">
        <f aca="false">IF($I603="","",INDEX(CONSOLIDADO!$B$2:$B$801,$I603))</f>
        <v/>
      </c>
      <c r="D603" s="16" t="str">
        <f aca="false">IF($I603="","",INDEX(CONSOLIDADO!$C$2:$C$801,$I603))</f>
        <v/>
      </c>
      <c r="E603" s="16" t="str">
        <f aca="false">IF($I603="","",INDEX(CONSOLIDADO!$D$2:$D$801,$I603))</f>
        <v/>
      </c>
      <c r="F603" s="14" t="str">
        <f aca="false">IF($I603="","",INDEX(CONSOLIDADO!$E$2:$E$801,$I603))</f>
        <v/>
      </c>
      <c r="G603" s="16" t="str">
        <f aca="false">IF($I603="","",INDEX(CONSOLIDADO!$G$2:$G$801,$I603))</f>
        <v/>
      </c>
      <c r="H603" s="16" t="str">
        <f aca="false">IF($I603="","",INDEX(CONSOLIDADO!$H$2:$H$801,$I603))</f>
        <v/>
      </c>
      <c r="I603" s="11" t="str">
        <f aca="false">IFERROR(MATCH(ROW()-1,CONSOLIDADO!$AJ$2:$AJ$801,0),"")</f>
        <v/>
      </c>
      <c r="J603" s="11" t="str">
        <f aca="false">IF(B603="","",F603&amp;" "&amp;C603&amp;" ("&amp;B603&amp;")")</f>
        <v/>
      </c>
    </row>
    <row r="604" customFormat="false" ht="15" hidden="false" customHeight="false" outlineLevel="0" collapsed="false">
      <c r="A604" s="16"/>
      <c r="B604" s="11" t="str">
        <f aca="false">IF($I604="","",INDEX(CONSOLIDADO!$A$2:$A$801,$I604))</f>
        <v/>
      </c>
      <c r="C604" s="11" t="str">
        <f aca="false">IF($I604="","",INDEX(CONSOLIDADO!$B$2:$B$801,$I604))</f>
        <v/>
      </c>
      <c r="D604" s="16" t="str">
        <f aca="false">IF($I604="","",INDEX(CONSOLIDADO!$C$2:$C$801,$I604))</f>
        <v/>
      </c>
      <c r="E604" s="16" t="str">
        <f aca="false">IF($I604="","",INDEX(CONSOLIDADO!$D$2:$D$801,$I604))</f>
        <v/>
      </c>
      <c r="F604" s="14" t="str">
        <f aca="false">IF($I604="","",INDEX(CONSOLIDADO!$E$2:$E$801,$I604))</f>
        <v/>
      </c>
      <c r="G604" s="16" t="str">
        <f aca="false">IF($I604="","",INDEX(CONSOLIDADO!$G$2:$G$801,$I604))</f>
        <v/>
      </c>
      <c r="H604" s="16" t="str">
        <f aca="false">IF($I604="","",INDEX(CONSOLIDADO!$H$2:$H$801,$I604))</f>
        <v/>
      </c>
      <c r="I604" s="11" t="str">
        <f aca="false">IFERROR(MATCH(ROW()-1,CONSOLIDADO!$AJ$2:$AJ$801,0),"")</f>
        <v/>
      </c>
      <c r="J604" s="11" t="str">
        <f aca="false">IF(B604="","",F604&amp;" "&amp;C604&amp;" ("&amp;B604&amp;")")</f>
        <v/>
      </c>
    </row>
    <row r="605" customFormat="false" ht="15" hidden="false" customHeight="false" outlineLevel="0" collapsed="false">
      <c r="A605" s="16"/>
      <c r="B605" s="11" t="str">
        <f aca="false">IF($I605="","",INDEX(CONSOLIDADO!$A$2:$A$801,$I605))</f>
        <v/>
      </c>
      <c r="C605" s="11" t="str">
        <f aca="false">IF($I605="","",INDEX(CONSOLIDADO!$B$2:$B$801,$I605))</f>
        <v/>
      </c>
      <c r="D605" s="16" t="str">
        <f aca="false">IF($I605="","",INDEX(CONSOLIDADO!$C$2:$C$801,$I605))</f>
        <v/>
      </c>
      <c r="E605" s="16" t="str">
        <f aca="false">IF($I605="","",INDEX(CONSOLIDADO!$D$2:$D$801,$I605))</f>
        <v/>
      </c>
      <c r="F605" s="14" t="str">
        <f aca="false">IF($I605="","",INDEX(CONSOLIDADO!$E$2:$E$801,$I605))</f>
        <v/>
      </c>
      <c r="G605" s="16" t="str">
        <f aca="false">IF($I605="","",INDEX(CONSOLIDADO!$G$2:$G$801,$I605))</f>
        <v/>
      </c>
      <c r="H605" s="16" t="str">
        <f aca="false">IF($I605="","",INDEX(CONSOLIDADO!$H$2:$H$801,$I605))</f>
        <v/>
      </c>
      <c r="I605" s="11" t="str">
        <f aca="false">IFERROR(MATCH(ROW()-1,CONSOLIDADO!$AJ$2:$AJ$801,0),"")</f>
        <v/>
      </c>
      <c r="J605" s="11" t="str">
        <f aca="false">IF(B605="","",F605&amp;" "&amp;C605&amp;" ("&amp;B605&amp;")")</f>
        <v/>
      </c>
    </row>
    <row r="606" customFormat="false" ht="15" hidden="false" customHeight="false" outlineLevel="0" collapsed="false">
      <c r="A606" s="16"/>
      <c r="B606" s="11" t="str">
        <f aca="false">IF($I606="","",INDEX(CONSOLIDADO!$A$2:$A$801,$I606))</f>
        <v/>
      </c>
      <c r="C606" s="11" t="str">
        <f aca="false">IF($I606="","",INDEX(CONSOLIDADO!$B$2:$B$801,$I606))</f>
        <v/>
      </c>
      <c r="D606" s="16" t="str">
        <f aca="false">IF($I606="","",INDEX(CONSOLIDADO!$C$2:$C$801,$I606))</f>
        <v/>
      </c>
      <c r="E606" s="16" t="str">
        <f aca="false">IF($I606="","",INDEX(CONSOLIDADO!$D$2:$D$801,$I606))</f>
        <v/>
      </c>
      <c r="F606" s="14" t="str">
        <f aca="false">IF($I606="","",INDEX(CONSOLIDADO!$E$2:$E$801,$I606))</f>
        <v/>
      </c>
      <c r="G606" s="16" t="str">
        <f aca="false">IF($I606="","",INDEX(CONSOLIDADO!$G$2:$G$801,$I606))</f>
        <v/>
      </c>
      <c r="H606" s="16" t="str">
        <f aca="false">IF($I606="","",INDEX(CONSOLIDADO!$H$2:$H$801,$I606))</f>
        <v/>
      </c>
      <c r="I606" s="11" t="str">
        <f aca="false">IFERROR(MATCH(ROW()-1,CONSOLIDADO!$AJ$2:$AJ$801,0),"")</f>
        <v/>
      </c>
      <c r="J606" s="11" t="str">
        <f aca="false">IF(B606="","",F606&amp;" "&amp;C606&amp;" ("&amp;B606&amp;")")</f>
        <v/>
      </c>
    </row>
    <row r="607" customFormat="false" ht="15" hidden="false" customHeight="false" outlineLevel="0" collapsed="false">
      <c r="A607" s="16"/>
      <c r="B607" s="11" t="str">
        <f aca="false">IF($I607="","",INDEX(CONSOLIDADO!$A$2:$A$801,$I607))</f>
        <v/>
      </c>
      <c r="C607" s="11" t="str">
        <f aca="false">IF($I607="","",INDEX(CONSOLIDADO!$B$2:$B$801,$I607))</f>
        <v/>
      </c>
      <c r="D607" s="16" t="str">
        <f aca="false">IF($I607="","",INDEX(CONSOLIDADO!$C$2:$C$801,$I607))</f>
        <v/>
      </c>
      <c r="E607" s="16" t="str">
        <f aca="false">IF($I607="","",INDEX(CONSOLIDADO!$D$2:$D$801,$I607))</f>
        <v/>
      </c>
      <c r="F607" s="14" t="str">
        <f aca="false">IF($I607="","",INDEX(CONSOLIDADO!$E$2:$E$801,$I607))</f>
        <v/>
      </c>
      <c r="G607" s="16" t="str">
        <f aca="false">IF($I607="","",INDEX(CONSOLIDADO!$G$2:$G$801,$I607))</f>
        <v/>
      </c>
      <c r="H607" s="16" t="str">
        <f aca="false">IF($I607="","",INDEX(CONSOLIDADO!$H$2:$H$801,$I607))</f>
        <v/>
      </c>
      <c r="I607" s="11" t="str">
        <f aca="false">IFERROR(MATCH(ROW()-1,CONSOLIDADO!$AJ$2:$AJ$801,0),"")</f>
        <v/>
      </c>
      <c r="J607" s="11" t="str">
        <f aca="false">IF(B607="","",F607&amp;" "&amp;C607&amp;" ("&amp;B607&amp;")")</f>
        <v/>
      </c>
    </row>
    <row r="608" customFormat="false" ht="15" hidden="false" customHeight="false" outlineLevel="0" collapsed="false">
      <c r="A608" s="16"/>
      <c r="B608" s="11" t="str">
        <f aca="false">IF($I608="","",INDEX(CONSOLIDADO!$A$2:$A$801,$I608))</f>
        <v/>
      </c>
      <c r="C608" s="11" t="str">
        <f aca="false">IF($I608="","",INDEX(CONSOLIDADO!$B$2:$B$801,$I608))</f>
        <v/>
      </c>
      <c r="D608" s="16" t="str">
        <f aca="false">IF($I608="","",INDEX(CONSOLIDADO!$C$2:$C$801,$I608))</f>
        <v/>
      </c>
      <c r="E608" s="16" t="str">
        <f aca="false">IF($I608="","",INDEX(CONSOLIDADO!$D$2:$D$801,$I608))</f>
        <v/>
      </c>
      <c r="F608" s="14" t="str">
        <f aca="false">IF($I608="","",INDEX(CONSOLIDADO!$E$2:$E$801,$I608))</f>
        <v/>
      </c>
      <c r="G608" s="16" t="str">
        <f aca="false">IF($I608="","",INDEX(CONSOLIDADO!$G$2:$G$801,$I608))</f>
        <v/>
      </c>
      <c r="H608" s="16" t="str">
        <f aca="false">IF($I608="","",INDEX(CONSOLIDADO!$H$2:$H$801,$I608))</f>
        <v/>
      </c>
      <c r="I608" s="11" t="str">
        <f aca="false">IFERROR(MATCH(ROW()-1,CONSOLIDADO!$AJ$2:$AJ$801,0),"")</f>
        <v/>
      </c>
      <c r="J608" s="11" t="str">
        <f aca="false">IF(B608="","",F608&amp;" "&amp;C608&amp;" ("&amp;B608&amp;")")</f>
        <v/>
      </c>
    </row>
    <row r="609" customFormat="false" ht="15" hidden="false" customHeight="false" outlineLevel="0" collapsed="false">
      <c r="A609" s="16"/>
      <c r="B609" s="11" t="str">
        <f aca="false">IF($I609="","",INDEX(CONSOLIDADO!$A$2:$A$801,$I609))</f>
        <v/>
      </c>
      <c r="C609" s="11" t="str">
        <f aca="false">IF($I609="","",INDEX(CONSOLIDADO!$B$2:$B$801,$I609))</f>
        <v/>
      </c>
      <c r="D609" s="16" t="str">
        <f aca="false">IF($I609="","",INDEX(CONSOLIDADO!$C$2:$C$801,$I609))</f>
        <v/>
      </c>
      <c r="E609" s="16" t="str">
        <f aca="false">IF($I609="","",INDEX(CONSOLIDADO!$D$2:$D$801,$I609))</f>
        <v/>
      </c>
      <c r="F609" s="14" t="str">
        <f aca="false">IF($I609="","",INDEX(CONSOLIDADO!$E$2:$E$801,$I609))</f>
        <v/>
      </c>
      <c r="G609" s="16" t="str">
        <f aca="false">IF($I609="","",INDEX(CONSOLIDADO!$G$2:$G$801,$I609))</f>
        <v/>
      </c>
      <c r="H609" s="16" t="str">
        <f aca="false">IF($I609="","",INDEX(CONSOLIDADO!$H$2:$H$801,$I609))</f>
        <v/>
      </c>
      <c r="I609" s="11" t="str">
        <f aca="false">IFERROR(MATCH(ROW()-1,CONSOLIDADO!$AJ$2:$AJ$801,0),"")</f>
        <v/>
      </c>
      <c r="J609" s="11" t="str">
        <f aca="false">IF(B609="","",F609&amp;" "&amp;C609&amp;" ("&amp;B609&amp;")")</f>
        <v/>
      </c>
    </row>
    <row r="610" customFormat="false" ht="15" hidden="false" customHeight="false" outlineLevel="0" collapsed="false">
      <c r="A610" s="16"/>
      <c r="B610" s="11" t="str">
        <f aca="false">IF($I610="","",INDEX(CONSOLIDADO!$A$2:$A$801,$I610))</f>
        <v/>
      </c>
      <c r="C610" s="11" t="str">
        <f aca="false">IF($I610="","",INDEX(CONSOLIDADO!$B$2:$B$801,$I610))</f>
        <v/>
      </c>
      <c r="D610" s="16" t="str">
        <f aca="false">IF($I610="","",INDEX(CONSOLIDADO!$C$2:$C$801,$I610))</f>
        <v/>
      </c>
      <c r="E610" s="16" t="str">
        <f aca="false">IF($I610="","",INDEX(CONSOLIDADO!$D$2:$D$801,$I610))</f>
        <v/>
      </c>
      <c r="F610" s="14" t="str">
        <f aca="false">IF($I610="","",INDEX(CONSOLIDADO!$E$2:$E$801,$I610))</f>
        <v/>
      </c>
      <c r="G610" s="16" t="str">
        <f aca="false">IF($I610="","",INDEX(CONSOLIDADO!$G$2:$G$801,$I610))</f>
        <v/>
      </c>
      <c r="H610" s="16" t="str">
        <f aca="false">IF($I610="","",INDEX(CONSOLIDADO!$H$2:$H$801,$I610))</f>
        <v/>
      </c>
      <c r="I610" s="11" t="str">
        <f aca="false">IFERROR(MATCH(ROW()-1,CONSOLIDADO!$AJ$2:$AJ$801,0),"")</f>
        <v/>
      </c>
      <c r="J610" s="11" t="str">
        <f aca="false">IF(B610="","",F610&amp;" "&amp;C610&amp;" ("&amp;B610&amp;")")</f>
        <v/>
      </c>
    </row>
    <row r="611" customFormat="false" ht="15" hidden="false" customHeight="false" outlineLevel="0" collapsed="false">
      <c r="A611" s="16"/>
      <c r="B611" s="11" t="str">
        <f aca="false">IF($I611="","",INDEX(CONSOLIDADO!$A$2:$A$801,$I611))</f>
        <v/>
      </c>
      <c r="C611" s="11" t="str">
        <f aca="false">IF($I611="","",INDEX(CONSOLIDADO!$B$2:$B$801,$I611))</f>
        <v/>
      </c>
      <c r="D611" s="16" t="str">
        <f aca="false">IF($I611="","",INDEX(CONSOLIDADO!$C$2:$C$801,$I611))</f>
        <v/>
      </c>
      <c r="E611" s="16" t="str">
        <f aca="false">IF($I611="","",INDEX(CONSOLIDADO!$D$2:$D$801,$I611))</f>
        <v/>
      </c>
      <c r="F611" s="14" t="str">
        <f aca="false">IF($I611="","",INDEX(CONSOLIDADO!$E$2:$E$801,$I611))</f>
        <v/>
      </c>
      <c r="G611" s="16" t="str">
        <f aca="false">IF($I611="","",INDEX(CONSOLIDADO!$G$2:$G$801,$I611))</f>
        <v/>
      </c>
      <c r="H611" s="16" t="str">
        <f aca="false">IF($I611="","",INDEX(CONSOLIDADO!$H$2:$H$801,$I611))</f>
        <v/>
      </c>
      <c r="I611" s="11" t="str">
        <f aca="false">IFERROR(MATCH(ROW()-1,CONSOLIDADO!$AJ$2:$AJ$801,0),"")</f>
        <v/>
      </c>
      <c r="J611" s="11" t="str">
        <f aca="false">IF(B611="","",F611&amp;" "&amp;C611&amp;" ("&amp;B611&amp;")")</f>
        <v/>
      </c>
    </row>
    <row r="612" customFormat="false" ht="15" hidden="false" customHeight="false" outlineLevel="0" collapsed="false">
      <c r="A612" s="16"/>
      <c r="B612" s="11" t="str">
        <f aca="false">IF($I612="","",INDEX(CONSOLIDADO!$A$2:$A$801,$I612))</f>
        <v/>
      </c>
      <c r="C612" s="11" t="str">
        <f aca="false">IF($I612="","",INDEX(CONSOLIDADO!$B$2:$B$801,$I612))</f>
        <v/>
      </c>
      <c r="D612" s="16" t="str">
        <f aca="false">IF($I612="","",INDEX(CONSOLIDADO!$C$2:$C$801,$I612))</f>
        <v/>
      </c>
      <c r="E612" s="16" t="str">
        <f aca="false">IF($I612="","",INDEX(CONSOLIDADO!$D$2:$D$801,$I612))</f>
        <v/>
      </c>
      <c r="F612" s="14" t="str">
        <f aca="false">IF($I612="","",INDEX(CONSOLIDADO!$E$2:$E$801,$I612))</f>
        <v/>
      </c>
      <c r="G612" s="16" t="str">
        <f aca="false">IF($I612="","",INDEX(CONSOLIDADO!$G$2:$G$801,$I612))</f>
        <v/>
      </c>
      <c r="H612" s="16" t="str">
        <f aca="false">IF($I612="","",INDEX(CONSOLIDADO!$H$2:$H$801,$I612))</f>
        <v/>
      </c>
      <c r="I612" s="11" t="str">
        <f aca="false">IFERROR(MATCH(ROW()-1,CONSOLIDADO!$AJ$2:$AJ$801,0),"")</f>
        <v/>
      </c>
      <c r="J612" s="11" t="str">
        <f aca="false">IF(B612="","",F612&amp;" "&amp;C612&amp;" ("&amp;B612&amp;")")</f>
        <v/>
      </c>
    </row>
    <row r="613" customFormat="false" ht="15" hidden="false" customHeight="false" outlineLevel="0" collapsed="false">
      <c r="A613" s="16"/>
      <c r="B613" s="11" t="str">
        <f aca="false">IF($I613="","",INDEX(CONSOLIDADO!$A$2:$A$801,$I613))</f>
        <v/>
      </c>
      <c r="C613" s="11" t="str">
        <f aca="false">IF($I613="","",INDEX(CONSOLIDADO!$B$2:$B$801,$I613))</f>
        <v/>
      </c>
      <c r="D613" s="16" t="str">
        <f aca="false">IF($I613="","",INDEX(CONSOLIDADO!$C$2:$C$801,$I613))</f>
        <v/>
      </c>
      <c r="E613" s="16" t="str">
        <f aca="false">IF($I613="","",INDEX(CONSOLIDADO!$D$2:$D$801,$I613))</f>
        <v/>
      </c>
      <c r="F613" s="14" t="str">
        <f aca="false">IF($I613="","",INDEX(CONSOLIDADO!$E$2:$E$801,$I613))</f>
        <v/>
      </c>
      <c r="G613" s="16" t="str">
        <f aca="false">IF($I613="","",INDEX(CONSOLIDADO!$G$2:$G$801,$I613))</f>
        <v/>
      </c>
      <c r="H613" s="16" t="str">
        <f aca="false">IF($I613="","",INDEX(CONSOLIDADO!$H$2:$H$801,$I613))</f>
        <v/>
      </c>
      <c r="I613" s="11" t="str">
        <f aca="false">IFERROR(MATCH(ROW()-1,CONSOLIDADO!$AJ$2:$AJ$801,0),"")</f>
        <v/>
      </c>
      <c r="J613" s="11" t="str">
        <f aca="false">IF(B613="","",F613&amp;" "&amp;C613&amp;" ("&amp;B613&amp;")")</f>
        <v/>
      </c>
    </row>
    <row r="614" customFormat="false" ht="15" hidden="false" customHeight="false" outlineLevel="0" collapsed="false">
      <c r="A614" s="16"/>
      <c r="B614" s="11" t="str">
        <f aca="false">IF($I614="","",INDEX(CONSOLIDADO!$A$2:$A$801,$I614))</f>
        <v/>
      </c>
      <c r="C614" s="11" t="str">
        <f aca="false">IF($I614="","",INDEX(CONSOLIDADO!$B$2:$B$801,$I614))</f>
        <v/>
      </c>
      <c r="D614" s="16" t="str">
        <f aca="false">IF($I614="","",INDEX(CONSOLIDADO!$C$2:$C$801,$I614))</f>
        <v/>
      </c>
      <c r="E614" s="16" t="str">
        <f aca="false">IF($I614="","",INDEX(CONSOLIDADO!$D$2:$D$801,$I614))</f>
        <v/>
      </c>
      <c r="F614" s="14" t="str">
        <f aca="false">IF($I614="","",INDEX(CONSOLIDADO!$E$2:$E$801,$I614))</f>
        <v/>
      </c>
      <c r="G614" s="16" t="str">
        <f aca="false">IF($I614="","",INDEX(CONSOLIDADO!$G$2:$G$801,$I614))</f>
        <v/>
      </c>
      <c r="H614" s="16" t="str">
        <f aca="false">IF($I614="","",INDEX(CONSOLIDADO!$H$2:$H$801,$I614))</f>
        <v/>
      </c>
      <c r="I614" s="11" t="str">
        <f aca="false">IFERROR(MATCH(ROW()-1,CONSOLIDADO!$AJ$2:$AJ$801,0),"")</f>
        <v/>
      </c>
      <c r="J614" s="11" t="str">
        <f aca="false">IF(B614="","",F614&amp;" "&amp;C614&amp;" ("&amp;B614&amp;")")</f>
        <v/>
      </c>
    </row>
    <row r="615" customFormat="false" ht="15" hidden="false" customHeight="false" outlineLevel="0" collapsed="false">
      <c r="A615" s="16"/>
      <c r="B615" s="11" t="str">
        <f aca="false">IF($I615="","",INDEX(CONSOLIDADO!$A$2:$A$801,$I615))</f>
        <v/>
      </c>
      <c r="C615" s="11" t="str">
        <f aca="false">IF($I615="","",INDEX(CONSOLIDADO!$B$2:$B$801,$I615))</f>
        <v/>
      </c>
      <c r="D615" s="16" t="str">
        <f aca="false">IF($I615="","",INDEX(CONSOLIDADO!$C$2:$C$801,$I615))</f>
        <v/>
      </c>
      <c r="E615" s="16" t="str">
        <f aca="false">IF($I615="","",INDEX(CONSOLIDADO!$D$2:$D$801,$I615))</f>
        <v/>
      </c>
      <c r="F615" s="14" t="str">
        <f aca="false">IF($I615="","",INDEX(CONSOLIDADO!$E$2:$E$801,$I615))</f>
        <v/>
      </c>
      <c r="G615" s="16" t="str">
        <f aca="false">IF($I615="","",INDEX(CONSOLIDADO!$G$2:$G$801,$I615))</f>
        <v/>
      </c>
      <c r="H615" s="16" t="str">
        <f aca="false">IF($I615="","",INDEX(CONSOLIDADO!$H$2:$H$801,$I615))</f>
        <v/>
      </c>
      <c r="I615" s="11" t="str">
        <f aca="false">IFERROR(MATCH(ROW()-1,CONSOLIDADO!$AJ$2:$AJ$801,0),"")</f>
        <v/>
      </c>
      <c r="J615" s="11" t="str">
        <f aca="false">IF(B615="","",F615&amp;" "&amp;C615&amp;" ("&amp;B615&amp;")")</f>
        <v/>
      </c>
    </row>
    <row r="616" customFormat="false" ht="15" hidden="false" customHeight="false" outlineLevel="0" collapsed="false">
      <c r="A616" s="16"/>
      <c r="B616" s="11" t="str">
        <f aca="false">IF($I616="","",INDEX(CONSOLIDADO!$A$2:$A$801,$I616))</f>
        <v/>
      </c>
      <c r="C616" s="11" t="str">
        <f aca="false">IF($I616="","",INDEX(CONSOLIDADO!$B$2:$B$801,$I616))</f>
        <v/>
      </c>
      <c r="D616" s="16" t="str">
        <f aca="false">IF($I616="","",INDEX(CONSOLIDADO!$C$2:$C$801,$I616))</f>
        <v/>
      </c>
      <c r="E616" s="16" t="str">
        <f aca="false">IF($I616="","",INDEX(CONSOLIDADO!$D$2:$D$801,$I616))</f>
        <v/>
      </c>
      <c r="F616" s="14" t="str">
        <f aca="false">IF($I616="","",INDEX(CONSOLIDADO!$E$2:$E$801,$I616))</f>
        <v/>
      </c>
      <c r="G616" s="16" t="str">
        <f aca="false">IF($I616="","",INDEX(CONSOLIDADO!$G$2:$G$801,$I616))</f>
        <v/>
      </c>
      <c r="H616" s="16" t="str">
        <f aca="false">IF($I616="","",INDEX(CONSOLIDADO!$H$2:$H$801,$I616))</f>
        <v/>
      </c>
      <c r="I616" s="11" t="str">
        <f aca="false">IFERROR(MATCH(ROW()-1,CONSOLIDADO!$AJ$2:$AJ$801,0),"")</f>
        <v/>
      </c>
      <c r="J616" s="11" t="str">
        <f aca="false">IF(B616="","",F616&amp;" "&amp;C616&amp;" ("&amp;B616&amp;")")</f>
        <v/>
      </c>
    </row>
    <row r="617" customFormat="false" ht="15" hidden="false" customHeight="false" outlineLevel="0" collapsed="false">
      <c r="A617" s="16"/>
      <c r="B617" s="11" t="str">
        <f aca="false">IF($I617="","",INDEX(CONSOLIDADO!$A$2:$A$801,$I617))</f>
        <v/>
      </c>
      <c r="C617" s="11" t="str">
        <f aca="false">IF($I617="","",INDEX(CONSOLIDADO!$B$2:$B$801,$I617))</f>
        <v/>
      </c>
      <c r="D617" s="16" t="str">
        <f aca="false">IF($I617="","",INDEX(CONSOLIDADO!$C$2:$C$801,$I617))</f>
        <v/>
      </c>
      <c r="E617" s="16" t="str">
        <f aca="false">IF($I617="","",INDEX(CONSOLIDADO!$D$2:$D$801,$I617))</f>
        <v/>
      </c>
      <c r="F617" s="14" t="str">
        <f aca="false">IF($I617="","",INDEX(CONSOLIDADO!$E$2:$E$801,$I617))</f>
        <v/>
      </c>
      <c r="G617" s="16" t="str">
        <f aca="false">IF($I617="","",INDEX(CONSOLIDADO!$G$2:$G$801,$I617))</f>
        <v/>
      </c>
      <c r="H617" s="16" t="str">
        <f aca="false">IF($I617="","",INDEX(CONSOLIDADO!$H$2:$H$801,$I617))</f>
        <v/>
      </c>
      <c r="I617" s="11" t="str">
        <f aca="false">IFERROR(MATCH(ROW()-1,CONSOLIDADO!$AJ$2:$AJ$801,0),"")</f>
        <v/>
      </c>
      <c r="J617" s="11" t="str">
        <f aca="false">IF(B617="","",F617&amp;" "&amp;C617&amp;" ("&amp;B617&amp;")")</f>
        <v/>
      </c>
    </row>
    <row r="618" customFormat="false" ht="15" hidden="false" customHeight="false" outlineLevel="0" collapsed="false">
      <c r="A618" s="16"/>
      <c r="B618" s="11" t="str">
        <f aca="false">IF($I618="","",INDEX(CONSOLIDADO!$A$2:$A$801,$I618))</f>
        <v/>
      </c>
      <c r="C618" s="11" t="str">
        <f aca="false">IF($I618="","",INDEX(CONSOLIDADO!$B$2:$B$801,$I618))</f>
        <v/>
      </c>
      <c r="D618" s="16" t="str">
        <f aca="false">IF($I618="","",INDEX(CONSOLIDADO!$C$2:$C$801,$I618))</f>
        <v/>
      </c>
      <c r="E618" s="16" t="str">
        <f aca="false">IF($I618="","",INDEX(CONSOLIDADO!$D$2:$D$801,$I618))</f>
        <v/>
      </c>
      <c r="F618" s="14" t="str">
        <f aca="false">IF($I618="","",INDEX(CONSOLIDADO!$E$2:$E$801,$I618))</f>
        <v/>
      </c>
      <c r="G618" s="16" t="str">
        <f aca="false">IF($I618="","",INDEX(CONSOLIDADO!$G$2:$G$801,$I618))</f>
        <v/>
      </c>
      <c r="H618" s="16" t="str">
        <f aca="false">IF($I618="","",INDEX(CONSOLIDADO!$H$2:$H$801,$I618))</f>
        <v/>
      </c>
      <c r="I618" s="11" t="str">
        <f aca="false">IFERROR(MATCH(ROW()-1,CONSOLIDADO!$AJ$2:$AJ$801,0),"")</f>
        <v/>
      </c>
      <c r="J618" s="11" t="str">
        <f aca="false">IF(B618="","",F618&amp;" "&amp;C618&amp;" ("&amp;B618&amp;")")</f>
        <v/>
      </c>
    </row>
    <row r="619" customFormat="false" ht="15" hidden="false" customHeight="false" outlineLevel="0" collapsed="false">
      <c r="A619" s="16"/>
      <c r="B619" s="11" t="str">
        <f aca="false">IF($I619="","",INDEX(CONSOLIDADO!$A$2:$A$801,$I619))</f>
        <v/>
      </c>
      <c r="C619" s="11" t="str">
        <f aca="false">IF($I619="","",INDEX(CONSOLIDADO!$B$2:$B$801,$I619))</f>
        <v/>
      </c>
      <c r="D619" s="16" t="str">
        <f aca="false">IF($I619="","",INDEX(CONSOLIDADO!$C$2:$C$801,$I619))</f>
        <v/>
      </c>
      <c r="E619" s="16" t="str">
        <f aca="false">IF($I619="","",INDEX(CONSOLIDADO!$D$2:$D$801,$I619))</f>
        <v/>
      </c>
      <c r="F619" s="14" t="str">
        <f aca="false">IF($I619="","",INDEX(CONSOLIDADO!$E$2:$E$801,$I619))</f>
        <v/>
      </c>
      <c r="G619" s="16" t="str">
        <f aca="false">IF($I619="","",INDEX(CONSOLIDADO!$G$2:$G$801,$I619))</f>
        <v/>
      </c>
      <c r="H619" s="16" t="str">
        <f aca="false">IF($I619="","",INDEX(CONSOLIDADO!$H$2:$H$801,$I619))</f>
        <v/>
      </c>
      <c r="I619" s="11" t="str">
        <f aca="false">IFERROR(MATCH(ROW()-1,CONSOLIDADO!$AJ$2:$AJ$801,0),"")</f>
        <v/>
      </c>
      <c r="J619" s="11" t="str">
        <f aca="false">IF(B619="","",F619&amp;" "&amp;C619&amp;" ("&amp;B619&amp;")")</f>
        <v/>
      </c>
    </row>
    <row r="620" customFormat="false" ht="15" hidden="false" customHeight="false" outlineLevel="0" collapsed="false">
      <c r="A620" s="16"/>
      <c r="B620" s="11" t="str">
        <f aca="false">IF($I620="","",INDEX(CONSOLIDADO!$A$2:$A$801,$I620))</f>
        <v/>
      </c>
      <c r="C620" s="11" t="str">
        <f aca="false">IF($I620="","",INDEX(CONSOLIDADO!$B$2:$B$801,$I620))</f>
        <v/>
      </c>
      <c r="D620" s="16" t="str">
        <f aca="false">IF($I620="","",INDEX(CONSOLIDADO!$C$2:$C$801,$I620))</f>
        <v/>
      </c>
      <c r="E620" s="16" t="str">
        <f aca="false">IF($I620="","",INDEX(CONSOLIDADO!$D$2:$D$801,$I620))</f>
        <v/>
      </c>
      <c r="F620" s="14" t="str">
        <f aca="false">IF($I620="","",INDEX(CONSOLIDADO!$E$2:$E$801,$I620))</f>
        <v/>
      </c>
      <c r="G620" s="16" t="str">
        <f aca="false">IF($I620="","",INDEX(CONSOLIDADO!$G$2:$G$801,$I620))</f>
        <v/>
      </c>
      <c r="H620" s="16" t="str">
        <f aca="false">IF($I620="","",INDEX(CONSOLIDADO!$H$2:$H$801,$I620))</f>
        <v/>
      </c>
      <c r="I620" s="11" t="str">
        <f aca="false">IFERROR(MATCH(ROW()-1,CONSOLIDADO!$AJ$2:$AJ$801,0),"")</f>
        <v/>
      </c>
      <c r="J620" s="11" t="str">
        <f aca="false">IF(B620="","",F620&amp;" "&amp;C620&amp;" ("&amp;B620&amp;")")</f>
        <v/>
      </c>
    </row>
    <row r="621" customFormat="false" ht="15" hidden="false" customHeight="false" outlineLevel="0" collapsed="false">
      <c r="A621" s="16"/>
      <c r="B621" s="11" t="str">
        <f aca="false">IF($I621="","",INDEX(CONSOLIDADO!$A$2:$A$801,$I621))</f>
        <v/>
      </c>
      <c r="C621" s="11" t="str">
        <f aca="false">IF($I621="","",INDEX(CONSOLIDADO!$B$2:$B$801,$I621))</f>
        <v/>
      </c>
      <c r="D621" s="16" t="str">
        <f aca="false">IF($I621="","",INDEX(CONSOLIDADO!$C$2:$C$801,$I621))</f>
        <v/>
      </c>
      <c r="E621" s="16" t="str">
        <f aca="false">IF($I621="","",INDEX(CONSOLIDADO!$D$2:$D$801,$I621))</f>
        <v/>
      </c>
      <c r="F621" s="14" t="str">
        <f aca="false">IF($I621="","",INDEX(CONSOLIDADO!$E$2:$E$801,$I621))</f>
        <v/>
      </c>
      <c r="G621" s="16" t="str">
        <f aca="false">IF($I621="","",INDEX(CONSOLIDADO!$G$2:$G$801,$I621))</f>
        <v/>
      </c>
      <c r="H621" s="16" t="str">
        <f aca="false">IF($I621="","",INDEX(CONSOLIDADO!$H$2:$H$801,$I621))</f>
        <v/>
      </c>
      <c r="I621" s="11" t="str">
        <f aca="false">IFERROR(MATCH(ROW()-1,CONSOLIDADO!$AJ$2:$AJ$801,0),"")</f>
        <v/>
      </c>
      <c r="J621" s="11" t="str">
        <f aca="false">IF(B621="","",F621&amp;" "&amp;C621&amp;" ("&amp;B621&amp;")")</f>
        <v/>
      </c>
    </row>
    <row r="622" customFormat="false" ht="15" hidden="false" customHeight="false" outlineLevel="0" collapsed="false">
      <c r="A622" s="16"/>
      <c r="B622" s="11" t="str">
        <f aca="false">IF($I622="","",INDEX(CONSOLIDADO!$A$2:$A$801,$I622))</f>
        <v/>
      </c>
      <c r="C622" s="11" t="str">
        <f aca="false">IF($I622="","",INDEX(CONSOLIDADO!$B$2:$B$801,$I622))</f>
        <v/>
      </c>
      <c r="D622" s="16" t="str">
        <f aca="false">IF($I622="","",INDEX(CONSOLIDADO!$C$2:$C$801,$I622))</f>
        <v/>
      </c>
      <c r="E622" s="16" t="str">
        <f aca="false">IF($I622="","",INDEX(CONSOLIDADO!$D$2:$D$801,$I622))</f>
        <v/>
      </c>
      <c r="F622" s="14" t="str">
        <f aca="false">IF($I622="","",INDEX(CONSOLIDADO!$E$2:$E$801,$I622))</f>
        <v/>
      </c>
      <c r="G622" s="16" t="str">
        <f aca="false">IF($I622="","",INDEX(CONSOLIDADO!$G$2:$G$801,$I622))</f>
        <v/>
      </c>
      <c r="H622" s="16" t="str">
        <f aca="false">IF($I622="","",INDEX(CONSOLIDADO!$H$2:$H$801,$I622))</f>
        <v/>
      </c>
      <c r="I622" s="11" t="str">
        <f aca="false">IFERROR(MATCH(ROW()-1,CONSOLIDADO!$AJ$2:$AJ$801,0),"")</f>
        <v/>
      </c>
      <c r="J622" s="11" t="str">
        <f aca="false">IF(B622="","",F622&amp;" "&amp;C622&amp;" ("&amp;B622&amp;")")</f>
        <v/>
      </c>
    </row>
    <row r="623" customFormat="false" ht="15" hidden="false" customHeight="false" outlineLevel="0" collapsed="false">
      <c r="A623" s="16"/>
      <c r="B623" s="11" t="str">
        <f aca="false">IF($I623="","",INDEX(CONSOLIDADO!$A$2:$A$801,$I623))</f>
        <v/>
      </c>
      <c r="C623" s="11" t="str">
        <f aca="false">IF($I623="","",INDEX(CONSOLIDADO!$B$2:$B$801,$I623))</f>
        <v/>
      </c>
      <c r="D623" s="16" t="str">
        <f aca="false">IF($I623="","",INDEX(CONSOLIDADO!$C$2:$C$801,$I623))</f>
        <v/>
      </c>
      <c r="E623" s="16" t="str">
        <f aca="false">IF($I623="","",INDEX(CONSOLIDADO!$D$2:$D$801,$I623))</f>
        <v/>
      </c>
      <c r="F623" s="14" t="str">
        <f aca="false">IF($I623="","",INDEX(CONSOLIDADO!$E$2:$E$801,$I623))</f>
        <v/>
      </c>
      <c r="G623" s="16" t="str">
        <f aca="false">IF($I623="","",INDEX(CONSOLIDADO!$G$2:$G$801,$I623))</f>
        <v/>
      </c>
      <c r="H623" s="16" t="str">
        <f aca="false">IF($I623="","",INDEX(CONSOLIDADO!$H$2:$H$801,$I623))</f>
        <v/>
      </c>
      <c r="I623" s="11" t="str">
        <f aca="false">IFERROR(MATCH(ROW()-1,CONSOLIDADO!$AJ$2:$AJ$801,0),"")</f>
        <v/>
      </c>
      <c r="J623" s="11" t="str">
        <f aca="false">IF(B623="","",F623&amp;" "&amp;C623&amp;" ("&amp;B623&amp;")")</f>
        <v/>
      </c>
    </row>
    <row r="624" customFormat="false" ht="15" hidden="false" customHeight="false" outlineLevel="0" collapsed="false">
      <c r="A624" s="16"/>
      <c r="B624" s="11" t="str">
        <f aca="false">IF($I624="","",INDEX(CONSOLIDADO!$A$2:$A$801,$I624))</f>
        <v/>
      </c>
      <c r="C624" s="11" t="str">
        <f aca="false">IF($I624="","",INDEX(CONSOLIDADO!$B$2:$B$801,$I624))</f>
        <v/>
      </c>
      <c r="D624" s="16" t="str">
        <f aca="false">IF($I624="","",INDEX(CONSOLIDADO!$C$2:$C$801,$I624))</f>
        <v/>
      </c>
      <c r="E624" s="16" t="str">
        <f aca="false">IF($I624="","",INDEX(CONSOLIDADO!$D$2:$D$801,$I624))</f>
        <v/>
      </c>
      <c r="F624" s="14" t="str">
        <f aca="false">IF($I624="","",INDEX(CONSOLIDADO!$E$2:$E$801,$I624))</f>
        <v/>
      </c>
      <c r="G624" s="16" t="str">
        <f aca="false">IF($I624="","",INDEX(CONSOLIDADO!$G$2:$G$801,$I624))</f>
        <v/>
      </c>
      <c r="H624" s="16" t="str">
        <f aca="false">IF($I624="","",INDEX(CONSOLIDADO!$H$2:$H$801,$I624))</f>
        <v/>
      </c>
      <c r="I624" s="11" t="str">
        <f aca="false">IFERROR(MATCH(ROW()-1,CONSOLIDADO!$AJ$2:$AJ$801,0),"")</f>
        <v/>
      </c>
      <c r="J624" s="11" t="str">
        <f aca="false">IF(B624="","",F624&amp;" "&amp;C624&amp;" ("&amp;B624&amp;")")</f>
        <v/>
      </c>
    </row>
    <row r="625" customFormat="false" ht="15" hidden="false" customHeight="false" outlineLevel="0" collapsed="false">
      <c r="A625" s="16"/>
      <c r="B625" s="11" t="str">
        <f aca="false">IF($I625="","",INDEX(CONSOLIDADO!$A$2:$A$801,$I625))</f>
        <v/>
      </c>
      <c r="C625" s="11" t="str">
        <f aca="false">IF($I625="","",INDEX(CONSOLIDADO!$B$2:$B$801,$I625))</f>
        <v/>
      </c>
      <c r="D625" s="16" t="str">
        <f aca="false">IF($I625="","",INDEX(CONSOLIDADO!$C$2:$C$801,$I625))</f>
        <v/>
      </c>
      <c r="E625" s="16" t="str">
        <f aca="false">IF($I625="","",INDEX(CONSOLIDADO!$D$2:$D$801,$I625))</f>
        <v/>
      </c>
      <c r="F625" s="14" t="str">
        <f aca="false">IF($I625="","",INDEX(CONSOLIDADO!$E$2:$E$801,$I625))</f>
        <v/>
      </c>
      <c r="G625" s="16" t="str">
        <f aca="false">IF($I625="","",INDEX(CONSOLIDADO!$G$2:$G$801,$I625))</f>
        <v/>
      </c>
      <c r="H625" s="16" t="str">
        <f aca="false">IF($I625="","",INDEX(CONSOLIDADO!$H$2:$H$801,$I625))</f>
        <v/>
      </c>
      <c r="I625" s="11" t="str">
        <f aca="false">IFERROR(MATCH(ROW()-1,CONSOLIDADO!$AJ$2:$AJ$801,0),"")</f>
        <v/>
      </c>
      <c r="J625" s="11" t="str">
        <f aca="false">IF(B625="","",F625&amp;" "&amp;C625&amp;" ("&amp;B625&amp;")")</f>
        <v/>
      </c>
    </row>
    <row r="626" customFormat="false" ht="15" hidden="false" customHeight="false" outlineLevel="0" collapsed="false">
      <c r="A626" s="16"/>
      <c r="B626" s="11" t="str">
        <f aca="false">IF($I626="","",INDEX(CONSOLIDADO!$A$2:$A$801,$I626))</f>
        <v/>
      </c>
      <c r="C626" s="11" t="str">
        <f aca="false">IF($I626="","",INDEX(CONSOLIDADO!$B$2:$B$801,$I626))</f>
        <v/>
      </c>
      <c r="D626" s="16" t="str">
        <f aca="false">IF($I626="","",INDEX(CONSOLIDADO!$C$2:$C$801,$I626))</f>
        <v/>
      </c>
      <c r="E626" s="16" t="str">
        <f aca="false">IF($I626="","",INDEX(CONSOLIDADO!$D$2:$D$801,$I626))</f>
        <v/>
      </c>
      <c r="F626" s="14" t="str">
        <f aca="false">IF($I626="","",INDEX(CONSOLIDADO!$E$2:$E$801,$I626))</f>
        <v/>
      </c>
      <c r="G626" s="16" t="str">
        <f aca="false">IF($I626="","",INDEX(CONSOLIDADO!$G$2:$G$801,$I626))</f>
        <v/>
      </c>
      <c r="H626" s="16" t="str">
        <f aca="false">IF($I626="","",INDEX(CONSOLIDADO!$H$2:$H$801,$I626))</f>
        <v/>
      </c>
      <c r="I626" s="11" t="str">
        <f aca="false">IFERROR(MATCH(ROW()-1,CONSOLIDADO!$AJ$2:$AJ$801,0),"")</f>
        <v/>
      </c>
      <c r="J626" s="11" t="str">
        <f aca="false">IF(B626="","",F626&amp;" "&amp;C626&amp;" ("&amp;B626&amp;")")</f>
        <v/>
      </c>
    </row>
    <row r="627" customFormat="false" ht="15" hidden="false" customHeight="false" outlineLevel="0" collapsed="false">
      <c r="A627" s="16"/>
      <c r="B627" s="11" t="str">
        <f aca="false">IF($I627="","",INDEX(CONSOLIDADO!$A$2:$A$801,$I627))</f>
        <v/>
      </c>
      <c r="C627" s="11" t="str">
        <f aca="false">IF($I627="","",INDEX(CONSOLIDADO!$B$2:$B$801,$I627))</f>
        <v/>
      </c>
      <c r="D627" s="16" t="str">
        <f aca="false">IF($I627="","",INDEX(CONSOLIDADO!$C$2:$C$801,$I627))</f>
        <v/>
      </c>
      <c r="E627" s="16" t="str">
        <f aca="false">IF($I627="","",INDEX(CONSOLIDADO!$D$2:$D$801,$I627))</f>
        <v/>
      </c>
      <c r="F627" s="14" t="str">
        <f aca="false">IF($I627="","",INDEX(CONSOLIDADO!$E$2:$E$801,$I627))</f>
        <v/>
      </c>
      <c r="G627" s="16" t="str">
        <f aca="false">IF($I627="","",INDEX(CONSOLIDADO!$G$2:$G$801,$I627))</f>
        <v/>
      </c>
      <c r="H627" s="16" t="str">
        <f aca="false">IF($I627="","",INDEX(CONSOLIDADO!$H$2:$H$801,$I627))</f>
        <v/>
      </c>
      <c r="I627" s="11" t="str">
        <f aca="false">IFERROR(MATCH(ROW()-1,CONSOLIDADO!$AJ$2:$AJ$801,0),"")</f>
        <v/>
      </c>
      <c r="J627" s="11" t="str">
        <f aca="false">IF(B627="","",F627&amp;" "&amp;C627&amp;" ("&amp;B627&amp;")")</f>
        <v/>
      </c>
    </row>
    <row r="628" customFormat="false" ht="15" hidden="false" customHeight="false" outlineLevel="0" collapsed="false">
      <c r="A628" s="16"/>
      <c r="B628" s="11" t="str">
        <f aca="false">IF($I628="","",INDEX(CONSOLIDADO!$A$2:$A$801,$I628))</f>
        <v/>
      </c>
      <c r="C628" s="11" t="str">
        <f aca="false">IF($I628="","",INDEX(CONSOLIDADO!$B$2:$B$801,$I628))</f>
        <v/>
      </c>
      <c r="D628" s="16" t="str">
        <f aca="false">IF($I628="","",INDEX(CONSOLIDADO!$C$2:$C$801,$I628))</f>
        <v/>
      </c>
      <c r="E628" s="16" t="str">
        <f aca="false">IF($I628="","",INDEX(CONSOLIDADO!$D$2:$D$801,$I628))</f>
        <v/>
      </c>
      <c r="F628" s="14" t="str">
        <f aca="false">IF($I628="","",INDEX(CONSOLIDADO!$E$2:$E$801,$I628))</f>
        <v/>
      </c>
      <c r="G628" s="16" t="str">
        <f aca="false">IF($I628="","",INDEX(CONSOLIDADO!$G$2:$G$801,$I628))</f>
        <v/>
      </c>
      <c r="H628" s="16" t="str">
        <f aca="false">IF($I628="","",INDEX(CONSOLIDADO!$H$2:$H$801,$I628))</f>
        <v/>
      </c>
      <c r="I628" s="11" t="str">
        <f aca="false">IFERROR(MATCH(ROW()-1,CONSOLIDADO!$AJ$2:$AJ$801,0),"")</f>
        <v/>
      </c>
      <c r="J628" s="11" t="str">
        <f aca="false">IF(B628="","",F628&amp;" "&amp;C628&amp;" ("&amp;B628&amp;")")</f>
        <v/>
      </c>
    </row>
    <row r="629" customFormat="false" ht="15" hidden="false" customHeight="false" outlineLevel="0" collapsed="false">
      <c r="A629" s="16"/>
      <c r="B629" s="11" t="str">
        <f aca="false">IF($I629="","",INDEX(CONSOLIDADO!$A$2:$A$801,$I629))</f>
        <v/>
      </c>
      <c r="C629" s="11" t="str">
        <f aca="false">IF($I629="","",INDEX(CONSOLIDADO!$B$2:$B$801,$I629))</f>
        <v/>
      </c>
      <c r="D629" s="16" t="str">
        <f aca="false">IF($I629="","",INDEX(CONSOLIDADO!$C$2:$C$801,$I629))</f>
        <v/>
      </c>
      <c r="E629" s="16" t="str">
        <f aca="false">IF($I629="","",INDEX(CONSOLIDADO!$D$2:$D$801,$I629))</f>
        <v/>
      </c>
      <c r="F629" s="14" t="str">
        <f aca="false">IF($I629="","",INDEX(CONSOLIDADO!$E$2:$E$801,$I629))</f>
        <v/>
      </c>
      <c r="G629" s="16" t="str">
        <f aca="false">IF($I629="","",INDEX(CONSOLIDADO!$G$2:$G$801,$I629))</f>
        <v/>
      </c>
      <c r="H629" s="16" t="str">
        <f aca="false">IF($I629="","",INDEX(CONSOLIDADO!$H$2:$H$801,$I629))</f>
        <v/>
      </c>
      <c r="I629" s="11" t="str">
        <f aca="false">IFERROR(MATCH(ROW()-1,CONSOLIDADO!$AJ$2:$AJ$801,0),"")</f>
        <v/>
      </c>
      <c r="J629" s="11" t="str">
        <f aca="false">IF(B629="","",F629&amp;" "&amp;C629&amp;" ("&amp;B629&amp;")")</f>
        <v/>
      </c>
    </row>
    <row r="630" customFormat="false" ht="15" hidden="false" customHeight="false" outlineLevel="0" collapsed="false">
      <c r="A630" s="16"/>
      <c r="B630" s="11" t="str">
        <f aca="false">IF($I630="","",INDEX(CONSOLIDADO!$A$2:$A$801,$I630))</f>
        <v/>
      </c>
      <c r="C630" s="11" t="str">
        <f aca="false">IF($I630="","",INDEX(CONSOLIDADO!$B$2:$B$801,$I630))</f>
        <v/>
      </c>
      <c r="D630" s="16" t="str">
        <f aca="false">IF($I630="","",INDEX(CONSOLIDADO!$C$2:$C$801,$I630))</f>
        <v/>
      </c>
      <c r="E630" s="16" t="str">
        <f aca="false">IF($I630="","",INDEX(CONSOLIDADO!$D$2:$D$801,$I630))</f>
        <v/>
      </c>
      <c r="F630" s="14" t="str">
        <f aca="false">IF($I630="","",INDEX(CONSOLIDADO!$E$2:$E$801,$I630))</f>
        <v/>
      </c>
      <c r="G630" s="16" t="str">
        <f aca="false">IF($I630="","",INDEX(CONSOLIDADO!$G$2:$G$801,$I630))</f>
        <v/>
      </c>
      <c r="H630" s="16" t="str">
        <f aca="false">IF($I630="","",INDEX(CONSOLIDADO!$H$2:$H$801,$I630))</f>
        <v/>
      </c>
      <c r="I630" s="11" t="str">
        <f aca="false">IFERROR(MATCH(ROW()-1,CONSOLIDADO!$AJ$2:$AJ$801,0),"")</f>
        <v/>
      </c>
      <c r="J630" s="11" t="str">
        <f aca="false">IF(B630="","",F630&amp;" "&amp;C630&amp;" ("&amp;B630&amp;")")</f>
        <v/>
      </c>
    </row>
    <row r="631" customFormat="false" ht="15" hidden="false" customHeight="false" outlineLevel="0" collapsed="false">
      <c r="A631" s="16"/>
      <c r="B631" s="11" t="str">
        <f aca="false">IF($I631="","",INDEX(CONSOLIDADO!$A$2:$A$801,$I631))</f>
        <v/>
      </c>
      <c r="C631" s="11" t="str">
        <f aca="false">IF($I631="","",INDEX(CONSOLIDADO!$B$2:$B$801,$I631))</f>
        <v/>
      </c>
      <c r="D631" s="16" t="str">
        <f aca="false">IF($I631="","",INDEX(CONSOLIDADO!$C$2:$C$801,$I631))</f>
        <v/>
      </c>
      <c r="E631" s="16" t="str">
        <f aca="false">IF($I631="","",INDEX(CONSOLIDADO!$D$2:$D$801,$I631))</f>
        <v/>
      </c>
      <c r="F631" s="14" t="str">
        <f aca="false">IF($I631="","",INDEX(CONSOLIDADO!$E$2:$E$801,$I631))</f>
        <v/>
      </c>
      <c r="G631" s="16" t="str">
        <f aca="false">IF($I631="","",INDEX(CONSOLIDADO!$G$2:$G$801,$I631))</f>
        <v/>
      </c>
      <c r="H631" s="16" t="str">
        <f aca="false">IF($I631="","",INDEX(CONSOLIDADO!$H$2:$H$801,$I631))</f>
        <v/>
      </c>
      <c r="I631" s="11" t="str">
        <f aca="false">IFERROR(MATCH(ROW()-1,CONSOLIDADO!$AJ$2:$AJ$801,0),"")</f>
        <v/>
      </c>
      <c r="J631" s="11" t="str">
        <f aca="false">IF(B631="","",F631&amp;" "&amp;C631&amp;" ("&amp;B631&amp;")")</f>
        <v/>
      </c>
    </row>
    <row r="632" customFormat="false" ht="15" hidden="false" customHeight="false" outlineLevel="0" collapsed="false">
      <c r="A632" s="16"/>
      <c r="B632" s="11" t="str">
        <f aca="false">IF($I632="","",INDEX(CONSOLIDADO!$A$2:$A$801,$I632))</f>
        <v/>
      </c>
      <c r="C632" s="11" t="str">
        <f aca="false">IF($I632="","",INDEX(CONSOLIDADO!$B$2:$B$801,$I632))</f>
        <v/>
      </c>
      <c r="D632" s="16" t="str">
        <f aca="false">IF($I632="","",INDEX(CONSOLIDADO!$C$2:$C$801,$I632))</f>
        <v/>
      </c>
      <c r="E632" s="16" t="str">
        <f aca="false">IF($I632="","",INDEX(CONSOLIDADO!$D$2:$D$801,$I632))</f>
        <v/>
      </c>
      <c r="F632" s="14" t="str">
        <f aca="false">IF($I632="","",INDEX(CONSOLIDADO!$E$2:$E$801,$I632))</f>
        <v/>
      </c>
      <c r="G632" s="16" t="str">
        <f aca="false">IF($I632="","",INDEX(CONSOLIDADO!$G$2:$G$801,$I632))</f>
        <v/>
      </c>
      <c r="H632" s="16" t="str">
        <f aca="false">IF($I632="","",INDEX(CONSOLIDADO!$H$2:$H$801,$I632))</f>
        <v/>
      </c>
      <c r="I632" s="11" t="str">
        <f aca="false">IFERROR(MATCH(ROW()-1,CONSOLIDADO!$AJ$2:$AJ$801,0),"")</f>
        <v/>
      </c>
      <c r="J632" s="11" t="str">
        <f aca="false">IF(B632="","",F632&amp;" "&amp;C632&amp;" ("&amp;B632&amp;")")</f>
        <v/>
      </c>
    </row>
    <row r="633" customFormat="false" ht="15" hidden="false" customHeight="false" outlineLevel="0" collapsed="false">
      <c r="A633" s="16"/>
      <c r="B633" s="11" t="str">
        <f aca="false">IF($I633="","",INDEX(CONSOLIDADO!$A$2:$A$801,$I633))</f>
        <v/>
      </c>
      <c r="C633" s="11" t="str">
        <f aca="false">IF($I633="","",INDEX(CONSOLIDADO!$B$2:$B$801,$I633))</f>
        <v/>
      </c>
      <c r="D633" s="16" t="str">
        <f aca="false">IF($I633="","",INDEX(CONSOLIDADO!$C$2:$C$801,$I633))</f>
        <v/>
      </c>
      <c r="E633" s="16" t="str">
        <f aca="false">IF($I633="","",INDEX(CONSOLIDADO!$D$2:$D$801,$I633))</f>
        <v/>
      </c>
      <c r="F633" s="14" t="str">
        <f aca="false">IF($I633="","",INDEX(CONSOLIDADO!$E$2:$E$801,$I633))</f>
        <v/>
      </c>
      <c r="G633" s="16" t="str">
        <f aca="false">IF($I633="","",INDEX(CONSOLIDADO!$G$2:$G$801,$I633))</f>
        <v/>
      </c>
      <c r="H633" s="16" t="str">
        <f aca="false">IF($I633="","",INDEX(CONSOLIDADO!$H$2:$H$801,$I633))</f>
        <v/>
      </c>
      <c r="I633" s="11" t="str">
        <f aca="false">IFERROR(MATCH(ROW()-1,CONSOLIDADO!$AJ$2:$AJ$801,0),"")</f>
        <v/>
      </c>
      <c r="J633" s="11" t="str">
        <f aca="false">IF(B633="","",F633&amp;" "&amp;C633&amp;" ("&amp;B633&amp;")")</f>
        <v/>
      </c>
    </row>
    <row r="634" customFormat="false" ht="15" hidden="false" customHeight="false" outlineLevel="0" collapsed="false">
      <c r="A634" s="16"/>
      <c r="B634" s="11" t="str">
        <f aca="false">IF($I634="","",INDEX(CONSOLIDADO!$A$2:$A$801,$I634))</f>
        <v/>
      </c>
      <c r="C634" s="11" t="str">
        <f aca="false">IF($I634="","",INDEX(CONSOLIDADO!$B$2:$B$801,$I634))</f>
        <v/>
      </c>
      <c r="D634" s="16" t="str">
        <f aca="false">IF($I634="","",INDEX(CONSOLIDADO!$C$2:$C$801,$I634))</f>
        <v/>
      </c>
      <c r="E634" s="16" t="str">
        <f aca="false">IF($I634="","",INDEX(CONSOLIDADO!$D$2:$D$801,$I634))</f>
        <v/>
      </c>
      <c r="F634" s="14" t="str">
        <f aca="false">IF($I634="","",INDEX(CONSOLIDADO!$E$2:$E$801,$I634))</f>
        <v/>
      </c>
      <c r="G634" s="16" t="str">
        <f aca="false">IF($I634="","",INDEX(CONSOLIDADO!$G$2:$G$801,$I634))</f>
        <v/>
      </c>
      <c r="H634" s="16" t="str">
        <f aca="false">IF($I634="","",INDEX(CONSOLIDADO!$H$2:$H$801,$I634))</f>
        <v/>
      </c>
      <c r="I634" s="11" t="str">
        <f aca="false">IFERROR(MATCH(ROW()-1,CONSOLIDADO!$AJ$2:$AJ$801,0),"")</f>
        <v/>
      </c>
      <c r="J634" s="11" t="str">
        <f aca="false">IF(B634="","",F634&amp;" "&amp;C634&amp;" ("&amp;B634&amp;")")</f>
        <v/>
      </c>
    </row>
    <row r="635" customFormat="false" ht="15" hidden="false" customHeight="false" outlineLevel="0" collapsed="false">
      <c r="A635" s="16"/>
      <c r="B635" s="11" t="str">
        <f aca="false">IF($I635="","",INDEX(CONSOLIDADO!$A$2:$A$801,$I635))</f>
        <v/>
      </c>
      <c r="C635" s="11" t="str">
        <f aca="false">IF($I635="","",INDEX(CONSOLIDADO!$B$2:$B$801,$I635))</f>
        <v/>
      </c>
      <c r="D635" s="16" t="str">
        <f aca="false">IF($I635="","",INDEX(CONSOLIDADO!$C$2:$C$801,$I635))</f>
        <v/>
      </c>
      <c r="E635" s="16" t="str">
        <f aca="false">IF($I635="","",INDEX(CONSOLIDADO!$D$2:$D$801,$I635))</f>
        <v/>
      </c>
      <c r="F635" s="14" t="str">
        <f aca="false">IF($I635="","",INDEX(CONSOLIDADO!$E$2:$E$801,$I635))</f>
        <v/>
      </c>
      <c r="G635" s="16" t="str">
        <f aca="false">IF($I635="","",INDEX(CONSOLIDADO!$G$2:$G$801,$I635))</f>
        <v/>
      </c>
      <c r="H635" s="16" t="str">
        <f aca="false">IF($I635="","",INDEX(CONSOLIDADO!$H$2:$H$801,$I635))</f>
        <v/>
      </c>
      <c r="I635" s="11" t="str">
        <f aca="false">IFERROR(MATCH(ROW()-1,CONSOLIDADO!$AJ$2:$AJ$801,0),"")</f>
        <v/>
      </c>
      <c r="J635" s="11" t="str">
        <f aca="false">IF(B635="","",F635&amp;" "&amp;C635&amp;" ("&amp;B635&amp;")")</f>
        <v/>
      </c>
    </row>
    <row r="636" customFormat="false" ht="15" hidden="false" customHeight="false" outlineLevel="0" collapsed="false">
      <c r="A636" s="16"/>
      <c r="B636" s="11" t="str">
        <f aca="false">IF($I636="","",INDEX(CONSOLIDADO!$A$2:$A$801,$I636))</f>
        <v/>
      </c>
      <c r="C636" s="11" t="str">
        <f aca="false">IF($I636="","",INDEX(CONSOLIDADO!$B$2:$B$801,$I636))</f>
        <v/>
      </c>
      <c r="D636" s="16" t="str">
        <f aca="false">IF($I636="","",INDEX(CONSOLIDADO!$C$2:$C$801,$I636))</f>
        <v/>
      </c>
      <c r="E636" s="16" t="str">
        <f aca="false">IF($I636="","",INDEX(CONSOLIDADO!$D$2:$D$801,$I636))</f>
        <v/>
      </c>
      <c r="F636" s="14" t="str">
        <f aca="false">IF($I636="","",INDEX(CONSOLIDADO!$E$2:$E$801,$I636))</f>
        <v/>
      </c>
      <c r="G636" s="16" t="str">
        <f aca="false">IF($I636="","",INDEX(CONSOLIDADO!$G$2:$G$801,$I636))</f>
        <v/>
      </c>
      <c r="H636" s="16" t="str">
        <f aca="false">IF($I636="","",INDEX(CONSOLIDADO!$H$2:$H$801,$I636))</f>
        <v/>
      </c>
      <c r="I636" s="11" t="str">
        <f aca="false">IFERROR(MATCH(ROW()-1,CONSOLIDADO!$AJ$2:$AJ$801,0),"")</f>
        <v/>
      </c>
      <c r="J636" s="11" t="str">
        <f aca="false">IF(B636="","",F636&amp;" "&amp;C636&amp;" ("&amp;B636&amp;")")</f>
        <v/>
      </c>
    </row>
    <row r="637" customFormat="false" ht="15" hidden="false" customHeight="false" outlineLevel="0" collapsed="false">
      <c r="A637" s="16"/>
      <c r="B637" s="11" t="str">
        <f aca="false">IF($I637="","",INDEX(CONSOLIDADO!$A$2:$A$801,$I637))</f>
        <v/>
      </c>
      <c r="C637" s="11" t="str">
        <f aca="false">IF($I637="","",INDEX(CONSOLIDADO!$B$2:$B$801,$I637))</f>
        <v/>
      </c>
      <c r="D637" s="16" t="str">
        <f aca="false">IF($I637="","",INDEX(CONSOLIDADO!$C$2:$C$801,$I637))</f>
        <v/>
      </c>
      <c r="E637" s="16" t="str">
        <f aca="false">IF($I637="","",INDEX(CONSOLIDADO!$D$2:$D$801,$I637))</f>
        <v/>
      </c>
      <c r="F637" s="14" t="str">
        <f aca="false">IF($I637="","",INDEX(CONSOLIDADO!$E$2:$E$801,$I637))</f>
        <v/>
      </c>
      <c r="G637" s="16" t="str">
        <f aca="false">IF($I637="","",INDEX(CONSOLIDADO!$G$2:$G$801,$I637))</f>
        <v/>
      </c>
      <c r="H637" s="16" t="str">
        <f aca="false">IF($I637="","",INDEX(CONSOLIDADO!$H$2:$H$801,$I637))</f>
        <v/>
      </c>
      <c r="I637" s="11" t="str">
        <f aca="false">IFERROR(MATCH(ROW()-1,CONSOLIDADO!$AJ$2:$AJ$801,0),"")</f>
        <v/>
      </c>
      <c r="J637" s="11" t="str">
        <f aca="false">IF(B637="","",F637&amp;" "&amp;C637&amp;" ("&amp;B637&amp;")")</f>
        <v/>
      </c>
    </row>
    <row r="638" customFormat="false" ht="15" hidden="false" customHeight="false" outlineLevel="0" collapsed="false">
      <c r="A638" s="16"/>
      <c r="B638" s="11" t="str">
        <f aca="false">IF($I638="","",INDEX(CONSOLIDADO!$A$2:$A$801,$I638))</f>
        <v/>
      </c>
      <c r="C638" s="11" t="str">
        <f aca="false">IF($I638="","",INDEX(CONSOLIDADO!$B$2:$B$801,$I638))</f>
        <v/>
      </c>
      <c r="D638" s="16" t="str">
        <f aca="false">IF($I638="","",INDEX(CONSOLIDADO!$C$2:$C$801,$I638))</f>
        <v/>
      </c>
      <c r="E638" s="16" t="str">
        <f aca="false">IF($I638="","",INDEX(CONSOLIDADO!$D$2:$D$801,$I638))</f>
        <v/>
      </c>
      <c r="F638" s="14" t="str">
        <f aca="false">IF($I638="","",INDEX(CONSOLIDADO!$E$2:$E$801,$I638))</f>
        <v/>
      </c>
      <c r="G638" s="16" t="str">
        <f aca="false">IF($I638="","",INDEX(CONSOLIDADO!$G$2:$G$801,$I638))</f>
        <v/>
      </c>
      <c r="H638" s="16" t="str">
        <f aca="false">IF($I638="","",INDEX(CONSOLIDADO!$H$2:$H$801,$I638))</f>
        <v/>
      </c>
      <c r="I638" s="11" t="str">
        <f aca="false">IFERROR(MATCH(ROW()-1,CONSOLIDADO!$AJ$2:$AJ$801,0),"")</f>
        <v/>
      </c>
      <c r="J638" s="11" t="str">
        <f aca="false">IF(B638="","",F638&amp;" "&amp;C638&amp;" ("&amp;B638&amp;")")</f>
        <v/>
      </c>
    </row>
    <row r="639" customFormat="false" ht="15" hidden="false" customHeight="false" outlineLevel="0" collapsed="false">
      <c r="A639" s="16"/>
      <c r="B639" s="11" t="str">
        <f aca="false">IF($I639="","",INDEX(CONSOLIDADO!$A$2:$A$801,$I639))</f>
        <v/>
      </c>
      <c r="C639" s="11" t="str">
        <f aca="false">IF($I639="","",INDEX(CONSOLIDADO!$B$2:$B$801,$I639))</f>
        <v/>
      </c>
      <c r="D639" s="16" t="str">
        <f aca="false">IF($I639="","",INDEX(CONSOLIDADO!$C$2:$C$801,$I639))</f>
        <v/>
      </c>
      <c r="E639" s="16" t="str">
        <f aca="false">IF($I639="","",INDEX(CONSOLIDADO!$D$2:$D$801,$I639))</f>
        <v/>
      </c>
      <c r="F639" s="14" t="str">
        <f aca="false">IF($I639="","",INDEX(CONSOLIDADO!$E$2:$E$801,$I639))</f>
        <v/>
      </c>
      <c r="G639" s="16" t="str">
        <f aca="false">IF($I639="","",INDEX(CONSOLIDADO!$G$2:$G$801,$I639))</f>
        <v/>
      </c>
      <c r="H639" s="16" t="str">
        <f aca="false">IF($I639="","",INDEX(CONSOLIDADO!$H$2:$H$801,$I639))</f>
        <v/>
      </c>
      <c r="I639" s="11" t="str">
        <f aca="false">IFERROR(MATCH(ROW()-1,CONSOLIDADO!$AJ$2:$AJ$801,0),"")</f>
        <v/>
      </c>
      <c r="J639" s="11" t="str">
        <f aca="false">IF(B639="","",F639&amp;" "&amp;C639&amp;" ("&amp;B639&amp;")")</f>
        <v/>
      </c>
    </row>
    <row r="640" customFormat="false" ht="15" hidden="false" customHeight="false" outlineLevel="0" collapsed="false">
      <c r="A640" s="16"/>
      <c r="B640" s="11" t="str">
        <f aca="false">IF($I640="","",INDEX(CONSOLIDADO!$A$2:$A$801,$I640))</f>
        <v/>
      </c>
      <c r="C640" s="11" t="str">
        <f aca="false">IF($I640="","",INDEX(CONSOLIDADO!$B$2:$B$801,$I640))</f>
        <v/>
      </c>
      <c r="D640" s="16" t="str">
        <f aca="false">IF($I640="","",INDEX(CONSOLIDADO!$C$2:$C$801,$I640))</f>
        <v/>
      </c>
      <c r="E640" s="16" t="str">
        <f aca="false">IF($I640="","",INDEX(CONSOLIDADO!$D$2:$D$801,$I640))</f>
        <v/>
      </c>
      <c r="F640" s="14" t="str">
        <f aca="false">IF($I640="","",INDEX(CONSOLIDADO!$E$2:$E$801,$I640))</f>
        <v/>
      </c>
      <c r="G640" s="16" t="str">
        <f aca="false">IF($I640="","",INDEX(CONSOLIDADO!$G$2:$G$801,$I640))</f>
        <v/>
      </c>
      <c r="H640" s="16" t="str">
        <f aca="false">IF($I640="","",INDEX(CONSOLIDADO!$H$2:$H$801,$I640))</f>
        <v/>
      </c>
      <c r="I640" s="11" t="str">
        <f aca="false">IFERROR(MATCH(ROW()-1,CONSOLIDADO!$AJ$2:$AJ$801,0),"")</f>
        <v/>
      </c>
      <c r="J640" s="11" t="str">
        <f aca="false">IF(B640="","",F640&amp;" "&amp;C640&amp;" ("&amp;B640&amp;")")</f>
        <v/>
      </c>
    </row>
    <row r="641" customFormat="false" ht="15" hidden="false" customHeight="false" outlineLevel="0" collapsed="false">
      <c r="A641" s="16"/>
      <c r="B641" s="11" t="str">
        <f aca="false">IF($I641="","",INDEX(CONSOLIDADO!$A$2:$A$801,$I641))</f>
        <v/>
      </c>
      <c r="C641" s="11" t="str">
        <f aca="false">IF($I641="","",INDEX(CONSOLIDADO!$B$2:$B$801,$I641))</f>
        <v/>
      </c>
      <c r="D641" s="16" t="str">
        <f aca="false">IF($I641="","",INDEX(CONSOLIDADO!$C$2:$C$801,$I641))</f>
        <v/>
      </c>
      <c r="E641" s="16" t="str">
        <f aca="false">IF($I641="","",INDEX(CONSOLIDADO!$D$2:$D$801,$I641))</f>
        <v/>
      </c>
      <c r="F641" s="14" t="str">
        <f aca="false">IF($I641="","",INDEX(CONSOLIDADO!$E$2:$E$801,$I641))</f>
        <v/>
      </c>
      <c r="G641" s="16" t="str">
        <f aca="false">IF($I641="","",INDEX(CONSOLIDADO!$G$2:$G$801,$I641))</f>
        <v/>
      </c>
      <c r="H641" s="16" t="str">
        <f aca="false">IF($I641="","",INDEX(CONSOLIDADO!$H$2:$H$801,$I641))</f>
        <v/>
      </c>
      <c r="I641" s="11" t="str">
        <f aca="false">IFERROR(MATCH(ROW()-1,CONSOLIDADO!$AJ$2:$AJ$801,0),"")</f>
        <v/>
      </c>
      <c r="J641" s="11" t="str">
        <f aca="false">IF(B641="","",F641&amp;" "&amp;C641&amp;" ("&amp;B641&amp;")")</f>
        <v/>
      </c>
    </row>
    <row r="642" customFormat="false" ht="15" hidden="false" customHeight="false" outlineLevel="0" collapsed="false">
      <c r="A642" s="16"/>
      <c r="B642" s="11" t="str">
        <f aca="false">IF($I642="","",INDEX(CONSOLIDADO!$A$2:$A$801,$I642))</f>
        <v/>
      </c>
      <c r="C642" s="11" t="str">
        <f aca="false">IF($I642="","",INDEX(CONSOLIDADO!$B$2:$B$801,$I642))</f>
        <v/>
      </c>
      <c r="D642" s="16" t="str">
        <f aca="false">IF($I642="","",INDEX(CONSOLIDADO!$C$2:$C$801,$I642))</f>
        <v/>
      </c>
      <c r="E642" s="16" t="str">
        <f aca="false">IF($I642="","",INDEX(CONSOLIDADO!$D$2:$D$801,$I642))</f>
        <v/>
      </c>
      <c r="F642" s="14" t="str">
        <f aca="false">IF($I642="","",INDEX(CONSOLIDADO!$E$2:$E$801,$I642))</f>
        <v/>
      </c>
      <c r="G642" s="16" t="str">
        <f aca="false">IF($I642="","",INDEX(CONSOLIDADO!$G$2:$G$801,$I642))</f>
        <v/>
      </c>
      <c r="H642" s="16" t="str">
        <f aca="false">IF($I642="","",INDEX(CONSOLIDADO!$H$2:$H$801,$I642))</f>
        <v/>
      </c>
      <c r="I642" s="11" t="str">
        <f aca="false">IFERROR(MATCH(ROW()-1,CONSOLIDADO!$AJ$2:$AJ$801,0),"")</f>
        <v/>
      </c>
      <c r="J642" s="11" t="str">
        <f aca="false">IF(B642="","",F642&amp;" "&amp;C642&amp;" ("&amp;B642&amp;")")</f>
        <v/>
      </c>
    </row>
    <row r="643" customFormat="false" ht="15" hidden="false" customHeight="false" outlineLevel="0" collapsed="false">
      <c r="A643" s="16"/>
      <c r="B643" s="11" t="str">
        <f aca="false">IF($I643="","",INDEX(CONSOLIDADO!$A$2:$A$801,$I643))</f>
        <v/>
      </c>
      <c r="C643" s="11" t="str">
        <f aca="false">IF($I643="","",INDEX(CONSOLIDADO!$B$2:$B$801,$I643))</f>
        <v/>
      </c>
      <c r="D643" s="16" t="str">
        <f aca="false">IF($I643="","",INDEX(CONSOLIDADO!$C$2:$C$801,$I643))</f>
        <v/>
      </c>
      <c r="E643" s="16" t="str">
        <f aca="false">IF($I643="","",INDEX(CONSOLIDADO!$D$2:$D$801,$I643))</f>
        <v/>
      </c>
      <c r="F643" s="14" t="str">
        <f aca="false">IF($I643="","",INDEX(CONSOLIDADO!$E$2:$E$801,$I643))</f>
        <v/>
      </c>
      <c r="G643" s="16" t="str">
        <f aca="false">IF($I643="","",INDEX(CONSOLIDADO!$G$2:$G$801,$I643))</f>
        <v/>
      </c>
      <c r="H643" s="16" t="str">
        <f aca="false">IF($I643="","",INDEX(CONSOLIDADO!$H$2:$H$801,$I643))</f>
        <v/>
      </c>
      <c r="I643" s="11" t="str">
        <f aca="false">IFERROR(MATCH(ROW()-1,CONSOLIDADO!$AJ$2:$AJ$801,0),"")</f>
        <v/>
      </c>
      <c r="J643" s="11" t="str">
        <f aca="false">IF(B643="","",F643&amp;" "&amp;C643&amp;" ("&amp;B643&amp;")")</f>
        <v/>
      </c>
    </row>
    <row r="644" customFormat="false" ht="15" hidden="false" customHeight="false" outlineLevel="0" collapsed="false">
      <c r="A644" s="16"/>
      <c r="B644" s="11" t="str">
        <f aca="false">IF($I644="","",INDEX(CONSOLIDADO!$A$2:$A$801,$I644))</f>
        <v/>
      </c>
      <c r="C644" s="11" t="str">
        <f aca="false">IF($I644="","",INDEX(CONSOLIDADO!$B$2:$B$801,$I644))</f>
        <v/>
      </c>
      <c r="D644" s="16" t="str">
        <f aca="false">IF($I644="","",INDEX(CONSOLIDADO!$C$2:$C$801,$I644))</f>
        <v/>
      </c>
      <c r="E644" s="16" t="str">
        <f aca="false">IF($I644="","",INDEX(CONSOLIDADO!$D$2:$D$801,$I644))</f>
        <v/>
      </c>
      <c r="F644" s="14" t="str">
        <f aca="false">IF($I644="","",INDEX(CONSOLIDADO!$E$2:$E$801,$I644))</f>
        <v/>
      </c>
      <c r="G644" s="16" t="str">
        <f aca="false">IF($I644="","",INDEX(CONSOLIDADO!$G$2:$G$801,$I644))</f>
        <v/>
      </c>
      <c r="H644" s="16" t="str">
        <f aca="false">IF($I644="","",INDEX(CONSOLIDADO!$H$2:$H$801,$I644))</f>
        <v/>
      </c>
      <c r="I644" s="11" t="str">
        <f aca="false">IFERROR(MATCH(ROW()-1,CONSOLIDADO!$AJ$2:$AJ$801,0),"")</f>
        <v/>
      </c>
      <c r="J644" s="11" t="str">
        <f aca="false">IF(B644="","",F644&amp;" "&amp;C644&amp;" ("&amp;B644&amp;")")</f>
        <v/>
      </c>
    </row>
    <row r="645" customFormat="false" ht="15" hidden="false" customHeight="false" outlineLevel="0" collapsed="false">
      <c r="A645" s="16"/>
      <c r="B645" s="11" t="str">
        <f aca="false">IF($I645="","",INDEX(CONSOLIDADO!$A$2:$A$801,$I645))</f>
        <v/>
      </c>
      <c r="C645" s="11" t="str">
        <f aca="false">IF($I645="","",INDEX(CONSOLIDADO!$B$2:$B$801,$I645))</f>
        <v/>
      </c>
      <c r="D645" s="16" t="str">
        <f aca="false">IF($I645="","",INDEX(CONSOLIDADO!$C$2:$C$801,$I645))</f>
        <v/>
      </c>
      <c r="E645" s="16" t="str">
        <f aca="false">IF($I645="","",INDEX(CONSOLIDADO!$D$2:$D$801,$I645))</f>
        <v/>
      </c>
      <c r="F645" s="14" t="str">
        <f aca="false">IF($I645="","",INDEX(CONSOLIDADO!$E$2:$E$801,$I645))</f>
        <v/>
      </c>
      <c r="G645" s="16" t="str">
        <f aca="false">IF($I645="","",INDEX(CONSOLIDADO!$G$2:$G$801,$I645))</f>
        <v/>
      </c>
      <c r="H645" s="16" t="str">
        <f aca="false">IF($I645="","",INDEX(CONSOLIDADO!$H$2:$H$801,$I645))</f>
        <v/>
      </c>
      <c r="I645" s="11" t="str">
        <f aca="false">IFERROR(MATCH(ROW()-1,CONSOLIDADO!$AJ$2:$AJ$801,0),"")</f>
        <v/>
      </c>
      <c r="J645" s="11" t="str">
        <f aca="false">IF(B645="","",F645&amp;" "&amp;C645&amp;" ("&amp;B645&amp;")")</f>
        <v/>
      </c>
    </row>
    <row r="646" customFormat="false" ht="15" hidden="false" customHeight="false" outlineLevel="0" collapsed="false">
      <c r="A646" s="16"/>
      <c r="B646" s="11" t="str">
        <f aca="false">IF($I646="","",INDEX(CONSOLIDADO!$A$2:$A$801,$I646))</f>
        <v/>
      </c>
      <c r="C646" s="11" t="str">
        <f aca="false">IF($I646="","",INDEX(CONSOLIDADO!$B$2:$B$801,$I646))</f>
        <v/>
      </c>
      <c r="D646" s="16" t="str">
        <f aca="false">IF($I646="","",INDEX(CONSOLIDADO!$C$2:$C$801,$I646))</f>
        <v/>
      </c>
      <c r="E646" s="16" t="str">
        <f aca="false">IF($I646="","",INDEX(CONSOLIDADO!$D$2:$D$801,$I646))</f>
        <v/>
      </c>
      <c r="F646" s="14" t="str">
        <f aca="false">IF($I646="","",INDEX(CONSOLIDADO!$E$2:$E$801,$I646))</f>
        <v/>
      </c>
      <c r="G646" s="16" t="str">
        <f aca="false">IF($I646="","",INDEX(CONSOLIDADO!$G$2:$G$801,$I646))</f>
        <v/>
      </c>
      <c r="H646" s="16" t="str">
        <f aca="false">IF($I646="","",INDEX(CONSOLIDADO!$H$2:$H$801,$I646))</f>
        <v/>
      </c>
      <c r="I646" s="11" t="str">
        <f aca="false">IFERROR(MATCH(ROW()-1,CONSOLIDADO!$AJ$2:$AJ$801,0),"")</f>
        <v/>
      </c>
      <c r="J646" s="11" t="str">
        <f aca="false">IF(B646="","",F646&amp;" "&amp;C646&amp;" ("&amp;B646&amp;")")</f>
        <v/>
      </c>
    </row>
    <row r="647" customFormat="false" ht="15" hidden="false" customHeight="false" outlineLevel="0" collapsed="false">
      <c r="A647" s="16"/>
      <c r="B647" s="11" t="str">
        <f aca="false">IF($I647="","",INDEX(CONSOLIDADO!$A$2:$A$801,$I647))</f>
        <v/>
      </c>
      <c r="C647" s="11" t="str">
        <f aca="false">IF($I647="","",INDEX(CONSOLIDADO!$B$2:$B$801,$I647))</f>
        <v/>
      </c>
      <c r="D647" s="16" t="str">
        <f aca="false">IF($I647="","",INDEX(CONSOLIDADO!$C$2:$C$801,$I647))</f>
        <v/>
      </c>
      <c r="E647" s="16" t="str">
        <f aca="false">IF($I647="","",INDEX(CONSOLIDADO!$D$2:$D$801,$I647))</f>
        <v/>
      </c>
      <c r="F647" s="14" t="str">
        <f aca="false">IF($I647="","",INDEX(CONSOLIDADO!$E$2:$E$801,$I647))</f>
        <v/>
      </c>
      <c r="G647" s="16" t="str">
        <f aca="false">IF($I647="","",INDEX(CONSOLIDADO!$G$2:$G$801,$I647))</f>
        <v/>
      </c>
      <c r="H647" s="16" t="str">
        <f aca="false">IF($I647="","",INDEX(CONSOLIDADO!$H$2:$H$801,$I647))</f>
        <v/>
      </c>
      <c r="I647" s="11" t="str">
        <f aca="false">IFERROR(MATCH(ROW()-1,CONSOLIDADO!$AJ$2:$AJ$801,0),"")</f>
        <v/>
      </c>
      <c r="J647" s="11" t="str">
        <f aca="false">IF(B647="","",F647&amp;" "&amp;C647&amp;" ("&amp;B647&amp;")")</f>
        <v/>
      </c>
    </row>
    <row r="648" customFormat="false" ht="15" hidden="false" customHeight="false" outlineLevel="0" collapsed="false">
      <c r="A648" s="16"/>
      <c r="B648" s="11" t="str">
        <f aca="false">IF($I648="","",INDEX(CONSOLIDADO!$A$2:$A$801,$I648))</f>
        <v/>
      </c>
      <c r="C648" s="11" t="str">
        <f aca="false">IF($I648="","",INDEX(CONSOLIDADO!$B$2:$B$801,$I648))</f>
        <v/>
      </c>
      <c r="D648" s="16" t="str">
        <f aca="false">IF($I648="","",INDEX(CONSOLIDADO!$C$2:$C$801,$I648))</f>
        <v/>
      </c>
      <c r="E648" s="16" t="str">
        <f aca="false">IF($I648="","",INDEX(CONSOLIDADO!$D$2:$D$801,$I648))</f>
        <v/>
      </c>
      <c r="F648" s="14" t="str">
        <f aca="false">IF($I648="","",INDEX(CONSOLIDADO!$E$2:$E$801,$I648))</f>
        <v/>
      </c>
      <c r="G648" s="16" t="str">
        <f aca="false">IF($I648="","",INDEX(CONSOLIDADO!$G$2:$G$801,$I648))</f>
        <v/>
      </c>
      <c r="H648" s="16" t="str">
        <f aca="false">IF($I648="","",INDEX(CONSOLIDADO!$H$2:$H$801,$I648))</f>
        <v/>
      </c>
      <c r="I648" s="11" t="str">
        <f aca="false">IFERROR(MATCH(ROW()-1,CONSOLIDADO!$AJ$2:$AJ$801,0),"")</f>
        <v/>
      </c>
      <c r="J648" s="11" t="str">
        <f aca="false">IF(B648="","",F648&amp;" "&amp;C648&amp;" ("&amp;B648&amp;")")</f>
        <v/>
      </c>
    </row>
    <row r="649" customFormat="false" ht="15" hidden="false" customHeight="false" outlineLevel="0" collapsed="false">
      <c r="A649" s="16"/>
      <c r="B649" s="11" t="str">
        <f aca="false">IF($I649="","",INDEX(CONSOLIDADO!$A$2:$A$801,$I649))</f>
        <v/>
      </c>
      <c r="C649" s="11" t="str">
        <f aca="false">IF($I649="","",INDEX(CONSOLIDADO!$B$2:$B$801,$I649))</f>
        <v/>
      </c>
      <c r="D649" s="16" t="str">
        <f aca="false">IF($I649="","",INDEX(CONSOLIDADO!$C$2:$C$801,$I649))</f>
        <v/>
      </c>
      <c r="E649" s="16" t="str">
        <f aca="false">IF($I649="","",INDEX(CONSOLIDADO!$D$2:$D$801,$I649))</f>
        <v/>
      </c>
      <c r="F649" s="14" t="str">
        <f aca="false">IF($I649="","",INDEX(CONSOLIDADO!$E$2:$E$801,$I649))</f>
        <v/>
      </c>
      <c r="G649" s="16" t="str">
        <f aca="false">IF($I649="","",INDEX(CONSOLIDADO!$G$2:$G$801,$I649))</f>
        <v/>
      </c>
      <c r="H649" s="16" t="str">
        <f aca="false">IF($I649="","",INDEX(CONSOLIDADO!$H$2:$H$801,$I649))</f>
        <v/>
      </c>
      <c r="I649" s="11" t="str">
        <f aca="false">IFERROR(MATCH(ROW()-1,CONSOLIDADO!$AJ$2:$AJ$801,0),"")</f>
        <v/>
      </c>
      <c r="J649" s="11" t="str">
        <f aca="false">IF(B649="","",F649&amp;" "&amp;C649&amp;" ("&amp;B649&amp;")")</f>
        <v/>
      </c>
    </row>
    <row r="650" customFormat="false" ht="15" hidden="false" customHeight="false" outlineLevel="0" collapsed="false">
      <c r="A650" s="16"/>
      <c r="B650" s="11" t="str">
        <f aca="false">IF($I650="","",INDEX(CONSOLIDADO!$A$2:$A$801,$I650))</f>
        <v/>
      </c>
      <c r="C650" s="11" t="str">
        <f aca="false">IF($I650="","",INDEX(CONSOLIDADO!$B$2:$B$801,$I650))</f>
        <v/>
      </c>
      <c r="D650" s="16" t="str">
        <f aca="false">IF($I650="","",INDEX(CONSOLIDADO!$C$2:$C$801,$I650))</f>
        <v/>
      </c>
      <c r="E650" s="16" t="str">
        <f aca="false">IF($I650="","",INDEX(CONSOLIDADO!$D$2:$D$801,$I650))</f>
        <v/>
      </c>
      <c r="F650" s="14" t="str">
        <f aca="false">IF($I650="","",INDEX(CONSOLIDADO!$E$2:$E$801,$I650))</f>
        <v/>
      </c>
      <c r="G650" s="16" t="str">
        <f aca="false">IF($I650="","",INDEX(CONSOLIDADO!$G$2:$G$801,$I650))</f>
        <v/>
      </c>
      <c r="H650" s="16" t="str">
        <f aca="false">IF($I650="","",INDEX(CONSOLIDADO!$H$2:$H$801,$I650))</f>
        <v/>
      </c>
      <c r="I650" s="11" t="str">
        <f aca="false">IFERROR(MATCH(ROW()-1,CONSOLIDADO!$AJ$2:$AJ$801,0),"")</f>
        <v/>
      </c>
      <c r="J650" s="11" t="str">
        <f aca="false">IF(B650="","",F650&amp;" "&amp;C650&amp;" ("&amp;B650&amp;")")</f>
        <v/>
      </c>
    </row>
    <row r="651" customFormat="false" ht="15" hidden="false" customHeight="false" outlineLevel="0" collapsed="false">
      <c r="A651" s="16"/>
      <c r="B651" s="11" t="str">
        <f aca="false">IF($I651="","",INDEX(CONSOLIDADO!$A$2:$A$801,$I651))</f>
        <v/>
      </c>
      <c r="C651" s="11" t="str">
        <f aca="false">IF($I651="","",INDEX(CONSOLIDADO!$B$2:$B$801,$I651))</f>
        <v/>
      </c>
      <c r="D651" s="16" t="str">
        <f aca="false">IF($I651="","",INDEX(CONSOLIDADO!$C$2:$C$801,$I651))</f>
        <v/>
      </c>
      <c r="E651" s="16" t="str">
        <f aca="false">IF($I651="","",INDEX(CONSOLIDADO!$D$2:$D$801,$I651))</f>
        <v/>
      </c>
      <c r="F651" s="14" t="str">
        <f aca="false">IF($I651="","",INDEX(CONSOLIDADO!$E$2:$E$801,$I651))</f>
        <v/>
      </c>
      <c r="G651" s="16" t="str">
        <f aca="false">IF($I651="","",INDEX(CONSOLIDADO!$G$2:$G$801,$I651))</f>
        <v/>
      </c>
      <c r="H651" s="16" t="str">
        <f aca="false">IF($I651="","",INDEX(CONSOLIDADO!$H$2:$H$801,$I651))</f>
        <v/>
      </c>
      <c r="I651" s="11" t="str">
        <f aca="false">IFERROR(MATCH(ROW()-1,CONSOLIDADO!$AJ$2:$AJ$801,0),"")</f>
        <v/>
      </c>
      <c r="J651" s="11" t="str">
        <f aca="false">IF(B651="","",F651&amp;" "&amp;C651&amp;" ("&amp;B651&amp;")")</f>
        <v/>
      </c>
    </row>
    <row r="652" customFormat="false" ht="15" hidden="false" customHeight="false" outlineLevel="0" collapsed="false">
      <c r="A652" s="16"/>
      <c r="B652" s="11" t="str">
        <f aca="false">IF($I652="","",INDEX(CONSOLIDADO!$A$2:$A$801,$I652))</f>
        <v/>
      </c>
      <c r="C652" s="11" t="str">
        <f aca="false">IF($I652="","",INDEX(CONSOLIDADO!$B$2:$B$801,$I652))</f>
        <v/>
      </c>
      <c r="D652" s="16" t="str">
        <f aca="false">IF($I652="","",INDEX(CONSOLIDADO!$C$2:$C$801,$I652))</f>
        <v/>
      </c>
      <c r="E652" s="16" t="str">
        <f aca="false">IF($I652="","",INDEX(CONSOLIDADO!$D$2:$D$801,$I652))</f>
        <v/>
      </c>
      <c r="F652" s="14" t="str">
        <f aca="false">IF($I652="","",INDEX(CONSOLIDADO!$E$2:$E$801,$I652))</f>
        <v/>
      </c>
      <c r="G652" s="16" t="str">
        <f aca="false">IF($I652="","",INDEX(CONSOLIDADO!$G$2:$G$801,$I652))</f>
        <v/>
      </c>
      <c r="H652" s="16" t="str">
        <f aca="false">IF($I652="","",INDEX(CONSOLIDADO!$H$2:$H$801,$I652))</f>
        <v/>
      </c>
      <c r="I652" s="11" t="str">
        <f aca="false">IFERROR(MATCH(ROW()-1,CONSOLIDADO!$AJ$2:$AJ$801,0),"")</f>
        <v/>
      </c>
      <c r="J652" s="11" t="str">
        <f aca="false">IF(B652="","",F652&amp;" "&amp;C652&amp;" ("&amp;B652&amp;")")</f>
        <v/>
      </c>
    </row>
    <row r="653" customFormat="false" ht="15" hidden="false" customHeight="false" outlineLevel="0" collapsed="false">
      <c r="A653" s="16"/>
      <c r="B653" s="11" t="str">
        <f aca="false">IF($I653="","",INDEX(CONSOLIDADO!$A$2:$A$801,$I653))</f>
        <v/>
      </c>
      <c r="C653" s="11" t="str">
        <f aca="false">IF($I653="","",INDEX(CONSOLIDADO!$B$2:$B$801,$I653))</f>
        <v/>
      </c>
      <c r="D653" s="16" t="str">
        <f aca="false">IF($I653="","",INDEX(CONSOLIDADO!$C$2:$C$801,$I653))</f>
        <v/>
      </c>
      <c r="E653" s="16" t="str">
        <f aca="false">IF($I653="","",INDEX(CONSOLIDADO!$D$2:$D$801,$I653))</f>
        <v/>
      </c>
      <c r="F653" s="14" t="str">
        <f aca="false">IF($I653="","",INDEX(CONSOLIDADO!$E$2:$E$801,$I653))</f>
        <v/>
      </c>
      <c r="G653" s="16" t="str">
        <f aca="false">IF($I653="","",INDEX(CONSOLIDADO!$G$2:$G$801,$I653))</f>
        <v/>
      </c>
      <c r="H653" s="16" t="str">
        <f aca="false">IF($I653="","",INDEX(CONSOLIDADO!$H$2:$H$801,$I653))</f>
        <v/>
      </c>
      <c r="I653" s="11" t="str">
        <f aca="false">IFERROR(MATCH(ROW()-1,CONSOLIDADO!$AJ$2:$AJ$801,0),"")</f>
        <v/>
      </c>
      <c r="J653" s="11" t="str">
        <f aca="false">IF(B653="","",F653&amp;" "&amp;C653&amp;" ("&amp;B653&amp;")")</f>
        <v/>
      </c>
    </row>
    <row r="654" customFormat="false" ht="15" hidden="false" customHeight="false" outlineLevel="0" collapsed="false">
      <c r="A654" s="16"/>
      <c r="B654" s="11" t="str">
        <f aca="false">IF($I654="","",INDEX(CONSOLIDADO!$A$2:$A$801,$I654))</f>
        <v/>
      </c>
      <c r="C654" s="11" t="str">
        <f aca="false">IF($I654="","",INDEX(CONSOLIDADO!$B$2:$B$801,$I654))</f>
        <v/>
      </c>
      <c r="D654" s="16" t="str">
        <f aca="false">IF($I654="","",INDEX(CONSOLIDADO!$C$2:$C$801,$I654))</f>
        <v/>
      </c>
      <c r="E654" s="16" t="str">
        <f aca="false">IF($I654="","",INDEX(CONSOLIDADO!$D$2:$D$801,$I654))</f>
        <v/>
      </c>
      <c r="F654" s="14" t="str">
        <f aca="false">IF($I654="","",INDEX(CONSOLIDADO!$E$2:$E$801,$I654))</f>
        <v/>
      </c>
      <c r="G654" s="16" t="str">
        <f aca="false">IF($I654="","",INDEX(CONSOLIDADO!$G$2:$G$801,$I654))</f>
        <v/>
      </c>
      <c r="H654" s="16" t="str">
        <f aca="false">IF($I654="","",INDEX(CONSOLIDADO!$H$2:$H$801,$I654))</f>
        <v/>
      </c>
      <c r="I654" s="11" t="str">
        <f aca="false">IFERROR(MATCH(ROW()-1,CONSOLIDADO!$AJ$2:$AJ$801,0),"")</f>
        <v/>
      </c>
      <c r="J654" s="11" t="str">
        <f aca="false">IF(B654="","",F654&amp;" "&amp;C654&amp;" ("&amp;B654&amp;")")</f>
        <v/>
      </c>
    </row>
    <row r="655" customFormat="false" ht="15" hidden="false" customHeight="false" outlineLevel="0" collapsed="false">
      <c r="A655" s="16"/>
      <c r="B655" s="11" t="str">
        <f aca="false">IF($I655="","",INDEX(CONSOLIDADO!$A$2:$A$801,$I655))</f>
        <v/>
      </c>
      <c r="C655" s="11" t="str">
        <f aca="false">IF($I655="","",INDEX(CONSOLIDADO!$B$2:$B$801,$I655))</f>
        <v/>
      </c>
      <c r="D655" s="16" t="str">
        <f aca="false">IF($I655="","",INDEX(CONSOLIDADO!$C$2:$C$801,$I655))</f>
        <v/>
      </c>
      <c r="E655" s="16" t="str">
        <f aca="false">IF($I655="","",INDEX(CONSOLIDADO!$D$2:$D$801,$I655))</f>
        <v/>
      </c>
      <c r="F655" s="14" t="str">
        <f aca="false">IF($I655="","",INDEX(CONSOLIDADO!$E$2:$E$801,$I655))</f>
        <v/>
      </c>
      <c r="G655" s="16" t="str">
        <f aca="false">IF($I655="","",INDEX(CONSOLIDADO!$G$2:$G$801,$I655))</f>
        <v/>
      </c>
      <c r="H655" s="16" t="str">
        <f aca="false">IF($I655="","",INDEX(CONSOLIDADO!$H$2:$H$801,$I655))</f>
        <v/>
      </c>
      <c r="I655" s="11" t="str">
        <f aca="false">IFERROR(MATCH(ROW()-1,CONSOLIDADO!$AJ$2:$AJ$801,0),"")</f>
        <v/>
      </c>
      <c r="J655" s="11" t="str">
        <f aca="false">IF(B655="","",F655&amp;" "&amp;C655&amp;" ("&amp;B655&amp;")")</f>
        <v/>
      </c>
    </row>
    <row r="656" customFormat="false" ht="15" hidden="false" customHeight="false" outlineLevel="0" collapsed="false">
      <c r="A656" s="16"/>
      <c r="B656" s="11" t="str">
        <f aca="false">IF($I656="","",INDEX(CONSOLIDADO!$A$2:$A$801,$I656))</f>
        <v/>
      </c>
      <c r="C656" s="11" t="str">
        <f aca="false">IF($I656="","",INDEX(CONSOLIDADO!$B$2:$B$801,$I656))</f>
        <v/>
      </c>
      <c r="D656" s="16" t="str">
        <f aca="false">IF($I656="","",INDEX(CONSOLIDADO!$C$2:$C$801,$I656))</f>
        <v/>
      </c>
      <c r="E656" s="16" t="str">
        <f aca="false">IF($I656="","",INDEX(CONSOLIDADO!$D$2:$D$801,$I656))</f>
        <v/>
      </c>
      <c r="F656" s="14" t="str">
        <f aca="false">IF($I656="","",INDEX(CONSOLIDADO!$E$2:$E$801,$I656))</f>
        <v/>
      </c>
      <c r="G656" s="16" t="str">
        <f aca="false">IF($I656="","",INDEX(CONSOLIDADO!$G$2:$G$801,$I656))</f>
        <v/>
      </c>
      <c r="H656" s="16" t="str">
        <f aca="false">IF($I656="","",INDEX(CONSOLIDADO!$H$2:$H$801,$I656))</f>
        <v/>
      </c>
      <c r="I656" s="11" t="str">
        <f aca="false">IFERROR(MATCH(ROW()-1,CONSOLIDADO!$AJ$2:$AJ$801,0),"")</f>
        <v/>
      </c>
      <c r="J656" s="11" t="str">
        <f aca="false">IF(B656="","",F656&amp;" "&amp;C656&amp;" ("&amp;B656&amp;")")</f>
        <v/>
      </c>
    </row>
    <row r="657" customFormat="false" ht="15" hidden="false" customHeight="false" outlineLevel="0" collapsed="false">
      <c r="A657" s="16"/>
      <c r="B657" s="11" t="str">
        <f aca="false">IF($I657="","",INDEX(CONSOLIDADO!$A$2:$A$801,$I657))</f>
        <v/>
      </c>
      <c r="C657" s="11" t="str">
        <f aca="false">IF($I657="","",INDEX(CONSOLIDADO!$B$2:$B$801,$I657))</f>
        <v/>
      </c>
      <c r="D657" s="16" t="str">
        <f aca="false">IF($I657="","",INDEX(CONSOLIDADO!$C$2:$C$801,$I657))</f>
        <v/>
      </c>
      <c r="E657" s="16" t="str">
        <f aca="false">IF($I657="","",INDEX(CONSOLIDADO!$D$2:$D$801,$I657))</f>
        <v/>
      </c>
      <c r="F657" s="14" t="str">
        <f aca="false">IF($I657="","",INDEX(CONSOLIDADO!$E$2:$E$801,$I657))</f>
        <v/>
      </c>
      <c r="G657" s="16" t="str">
        <f aca="false">IF($I657="","",INDEX(CONSOLIDADO!$G$2:$G$801,$I657))</f>
        <v/>
      </c>
      <c r="H657" s="16" t="str">
        <f aca="false">IF($I657="","",INDEX(CONSOLIDADO!$H$2:$H$801,$I657))</f>
        <v/>
      </c>
      <c r="I657" s="11" t="str">
        <f aca="false">IFERROR(MATCH(ROW()-1,CONSOLIDADO!$AJ$2:$AJ$801,0),"")</f>
        <v/>
      </c>
      <c r="J657" s="11" t="str">
        <f aca="false">IF(B657="","",F657&amp;" "&amp;C657&amp;" ("&amp;B657&amp;")")</f>
        <v/>
      </c>
    </row>
    <row r="658" customFormat="false" ht="15" hidden="false" customHeight="false" outlineLevel="0" collapsed="false">
      <c r="A658" s="16"/>
      <c r="B658" s="11" t="str">
        <f aca="false">IF($I658="","",INDEX(CONSOLIDADO!$A$2:$A$801,$I658))</f>
        <v/>
      </c>
      <c r="C658" s="11" t="str">
        <f aca="false">IF($I658="","",INDEX(CONSOLIDADO!$B$2:$B$801,$I658))</f>
        <v/>
      </c>
      <c r="D658" s="16" t="str">
        <f aca="false">IF($I658="","",INDEX(CONSOLIDADO!$C$2:$C$801,$I658))</f>
        <v/>
      </c>
      <c r="E658" s="16" t="str">
        <f aca="false">IF($I658="","",INDEX(CONSOLIDADO!$D$2:$D$801,$I658))</f>
        <v/>
      </c>
      <c r="F658" s="14" t="str">
        <f aca="false">IF($I658="","",INDEX(CONSOLIDADO!$E$2:$E$801,$I658))</f>
        <v/>
      </c>
      <c r="G658" s="16" t="str">
        <f aca="false">IF($I658="","",INDEX(CONSOLIDADO!$G$2:$G$801,$I658))</f>
        <v/>
      </c>
      <c r="H658" s="16" t="str">
        <f aca="false">IF($I658="","",INDEX(CONSOLIDADO!$H$2:$H$801,$I658))</f>
        <v/>
      </c>
      <c r="I658" s="11" t="str">
        <f aca="false">IFERROR(MATCH(ROW()-1,CONSOLIDADO!$AJ$2:$AJ$801,0),"")</f>
        <v/>
      </c>
      <c r="J658" s="11" t="str">
        <f aca="false">IF(B658="","",F658&amp;" "&amp;C658&amp;" ("&amp;B658&amp;")")</f>
        <v/>
      </c>
    </row>
    <row r="659" customFormat="false" ht="15" hidden="false" customHeight="false" outlineLevel="0" collapsed="false">
      <c r="A659" s="16"/>
      <c r="B659" s="11" t="str">
        <f aca="false">IF($I659="","",INDEX(CONSOLIDADO!$A$2:$A$801,$I659))</f>
        <v/>
      </c>
      <c r="C659" s="11" t="str">
        <f aca="false">IF($I659="","",INDEX(CONSOLIDADO!$B$2:$B$801,$I659))</f>
        <v/>
      </c>
      <c r="D659" s="16" t="str">
        <f aca="false">IF($I659="","",INDEX(CONSOLIDADO!$C$2:$C$801,$I659))</f>
        <v/>
      </c>
      <c r="E659" s="16" t="str">
        <f aca="false">IF($I659="","",INDEX(CONSOLIDADO!$D$2:$D$801,$I659))</f>
        <v/>
      </c>
      <c r="F659" s="14" t="str">
        <f aca="false">IF($I659="","",INDEX(CONSOLIDADO!$E$2:$E$801,$I659))</f>
        <v/>
      </c>
      <c r="G659" s="16" t="str">
        <f aca="false">IF($I659="","",INDEX(CONSOLIDADO!$G$2:$G$801,$I659))</f>
        <v/>
      </c>
      <c r="H659" s="16" t="str">
        <f aca="false">IF($I659="","",INDEX(CONSOLIDADO!$H$2:$H$801,$I659))</f>
        <v/>
      </c>
      <c r="I659" s="11" t="str">
        <f aca="false">IFERROR(MATCH(ROW()-1,CONSOLIDADO!$AJ$2:$AJ$801,0),"")</f>
        <v/>
      </c>
      <c r="J659" s="11" t="str">
        <f aca="false">IF(B659="","",F659&amp;" "&amp;C659&amp;" ("&amp;B659&amp;")")</f>
        <v/>
      </c>
    </row>
    <row r="660" customFormat="false" ht="15" hidden="false" customHeight="false" outlineLevel="0" collapsed="false">
      <c r="A660" s="16"/>
      <c r="B660" s="11" t="str">
        <f aca="false">IF($I660="","",INDEX(CONSOLIDADO!$A$2:$A$801,$I660))</f>
        <v/>
      </c>
      <c r="C660" s="11" t="str">
        <f aca="false">IF($I660="","",INDEX(CONSOLIDADO!$B$2:$B$801,$I660))</f>
        <v/>
      </c>
      <c r="D660" s="16" t="str">
        <f aca="false">IF($I660="","",INDEX(CONSOLIDADO!$C$2:$C$801,$I660))</f>
        <v/>
      </c>
      <c r="E660" s="16" t="str">
        <f aca="false">IF($I660="","",INDEX(CONSOLIDADO!$D$2:$D$801,$I660))</f>
        <v/>
      </c>
      <c r="F660" s="14" t="str">
        <f aca="false">IF($I660="","",INDEX(CONSOLIDADO!$E$2:$E$801,$I660))</f>
        <v/>
      </c>
      <c r="G660" s="16" t="str">
        <f aca="false">IF($I660="","",INDEX(CONSOLIDADO!$G$2:$G$801,$I660))</f>
        <v/>
      </c>
      <c r="H660" s="16" t="str">
        <f aca="false">IF($I660="","",INDEX(CONSOLIDADO!$H$2:$H$801,$I660))</f>
        <v/>
      </c>
      <c r="I660" s="11" t="str">
        <f aca="false">IFERROR(MATCH(ROW()-1,CONSOLIDADO!$AJ$2:$AJ$801,0),"")</f>
        <v/>
      </c>
      <c r="J660" s="11" t="str">
        <f aca="false">IF(B660="","",F660&amp;" "&amp;C660&amp;" ("&amp;B660&amp;")")</f>
        <v/>
      </c>
    </row>
    <row r="661" customFormat="false" ht="15" hidden="false" customHeight="false" outlineLevel="0" collapsed="false">
      <c r="A661" s="16"/>
      <c r="B661" s="11" t="str">
        <f aca="false">IF($I661="","",INDEX(CONSOLIDADO!$A$2:$A$801,$I661))</f>
        <v/>
      </c>
      <c r="C661" s="11" t="str">
        <f aca="false">IF($I661="","",INDEX(CONSOLIDADO!$B$2:$B$801,$I661))</f>
        <v/>
      </c>
      <c r="D661" s="16" t="str">
        <f aca="false">IF($I661="","",INDEX(CONSOLIDADO!$C$2:$C$801,$I661))</f>
        <v/>
      </c>
      <c r="E661" s="16" t="str">
        <f aca="false">IF($I661="","",INDEX(CONSOLIDADO!$D$2:$D$801,$I661))</f>
        <v/>
      </c>
      <c r="F661" s="14" t="str">
        <f aca="false">IF($I661="","",INDEX(CONSOLIDADO!$E$2:$E$801,$I661))</f>
        <v/>
      </c>
      <c r="G661" s="16" t="str">
        <f aca="false">IF($I661="","",INDEX(CONSOLIDADO!$G$2:$G$801,$I661))</f>
        <v/>
      </c>
      <c r="H661" s="16" t="str">
        <f aca="false">IF($I661="","",INDEX(CONSOLIDADO!$H$2:$H$801,$I661))</f>
        <v/>
      </c>
      <c r="I661" s="11" t="str">
        <f aca="false">IFERROR(MATCH(ROW()-1,CONSOLIDADO!$AJ$2:$AJ$801,0),"")</f>
        <v/>
      </c>
      <c r="J661" s="11" t="str">
        <f aca="false">IF(B661="","",F661&amp;" "&amp;C661&amp;" ("&amp;B661&amp;")")</f>
        <v/>
      </c>
    </row>
    <row r="662" customFormat="false" ht="15" hidden="false" customHeight="false" outlineLevel="0" collapsed="false">
      <c r="A662" s="16"/>
      <c r="B662" s="11" t="str">
        <f aca="false">IF($I662="","",INDEX(CONSOLIDADO!$A$2:$A$801,$I662))</f>
        <v/>
      </c>
      <c r="C662" s="11" t="str">
        <f aca="false">IF($I662="","",INDEX(CONSOLIDADO!$B$2:$B$801,$I662))</f>
        <v/>
      </c>
      <c r="D662" s="16" t="str">
        <f aca="false">IF($I662="","",INDEX(CONSOLIDADO!$C$2:$C$801,$I662))</f>
        <v/>
      </c>
      <c r="E662" s="16" t="str">
        <f aca="false">IF($I662="","",INDEX(CONSOLIDADO!$D$2:$D$801,$I662))</f>
        <v/>
      </c>
      <c r="F662" s="14" t="str">
        <f aca="false">IF($I662="","",INDEX(CONSOLIDADO!$E$2:$E$801,$I662))</f>
        <v/>
      </c>
      <c r="G662" s="16" t="str">
        <f aca="false">IF($I662="","",INDEX(CONSOLIDADO!$G$2:$G$801,$I662))</f>
        <v/>
      </c>
      <c r="H662" s="16" t="str">
        <f aca="false">IF($I662="","",INDEX(CONSOLIDADO!$H$2:$H$801,$I662))</f>
        <v/>
      </c>
      <c r="I662" s="11" t="str">
        <f aca="false">IFERROR(MATCH(ROW()-1,CONSOLIDADO!$AJ$2:$AJ$801,0),"")</f>
        <v/>
      </c>
      <c r="J662" s="11" t="str">
        <f aca="false">IF(B662="","",F662&amp;" "&amp;C662&amp;" ("&amp;B662&amp;")")</f>
        <v/>
      </c>
    </row>
    <row r="663" customFormat="false" ht="15" hidden="false" customHeight="false" outlineLevel="0" collapsed="false">
      <c r="A663" s="16"/>
      <c r="B663" s="11" t="str">
        <f aca="false">IF($I663="","",INDEX(CONSOLIDADO!$A$2:$A$801,$I663))</f>
        <v/>
      </c>
      <c r="C663" s="11" t="str">
        <f aca="false">IF($I663="","",INDEX(CONSOLIDADO!$B$2:$B$801,$I663))</f>
        <v/>
      </c>
      <c r="D663" s="16" t="str">
        <f aca="false">IF($I663="","",INDEX(CONSOLIDADO!$C$2:$C$801,$I663))</f>
        <v/>
      </c>
      <c r="E663" s="16" t="str">
        <f aca="false">IF($I663="","",INDEX(CONSOLIDADO!$D$2:$D$801,$I663))</f>
        <v/>
      </c>
      <c r="F663" s="14" t="str">
        <f aca="false">IF($I663="","",INDEX(CONSOLIDADO!$E$2:$E$801,$I663))</f>
        <v/>
      </c>
      <c r="G663" s="16" t="str">
        <f aca="false">IF($I663="","",INDEX(CONSOLIDADO!$G$2:$G$801,$I663))</f>
        <v/>
      </c>
      <c r="H663" s="16" t="str">
        <f aca="false">IF($I663="","",INDEX(CONSOLIDADO!$H$2:$H$801,$I663))</f>
        <v/>
      </c>
      <c r="I663" s="11" t="str">
        <f aca="false">IFERROR(MATCH(ROW()-1,CONSOLIDADO!$AJ$2:$AJ$801,0),"")</f>
        <v/>
      </c>
      <c r="J663" s="11" t="str">
        <f aca="false">IF(B663="","",F663&amp;" "&amp;C663&amp;" ("&amp;B663&amp;")")</f>
        <v/>
      </c>
    </row>
    <row r="664" customFormat="false" ht="15" hidden="false" customHeight="false" outlineLevel="0" collapsed="false">
      <c r="A664" s="16"/>
      <c r="B664" s="11" t="str">
        <f aca="false">IF($I664="","",INDEX(CONSOLIDADO!$A$2:$A$801,$I664))</f>
        <v/>
      </c>
      <c r="C664" s="11" t="str">
        <f aca="false">IF($I664="","",INDEX(CONSOLIDADO!$B$2:$B$801,$I664))</f>
        <v/>
      </c>
      <c r="D664" s="16" t="str">
        <f aca="false">IF($I664="","",INDEX(CONSOLIDADO!$C$2:$C$801,$I664))</f>
        <v/>
      </c>
      <c r="E664" s="16" t="str">
        <f aca="false">IF($I664="","",INDEX(CONSOLIDADO!$D$2:$D$801,$I664))</f>
        <v/>
      </c>
      <c r="F664" s="14" t="str">
        <f aca="false">IF($I664="","",INDEX(CONSOLIDADO!$E$2:$E$801,$I664))</f>
        <v/>
      </c>
      <c r="G664" s="16" t="str">
        <f aca="false">IF($I664="","",INDEX(CONSOLIDADO!$G$2:$G$801,$I664))</f>
        <v/>
      </c>
      <c r="H664" s="16" t="str">
        <f aca="false">IF($I664="","",INDEX(CONSOLIDADO!$H$2:$H$801,$I664))</f>
        <v/>
      </c>
      <c r="I664" s="11" t="str">
        <f aca="false">IFERROR(MATCH(ROW()-1,CONSOLIDADO!$AJ$2:$AJ$801,0),"")</f>
        <v/>
      </c>
      <c r="J664" s="11" t="str">
        <f aca="false">IF(B664="","",F664&amp;" "&amp;C664&amp;" ("&amp;B664&amp;")")</f>
        <v/>
      </c>
    </row>
    <row r="665" customFormat="false" ht="15" hidden="false" customHeight="false" outlineLevel="0" collapsed="false">
      <c r="A665" s="16"/>
      <c r="B665" s="11" t="str">
        <f aca="false">IF($I665="","",INDEX(CONSOLIDADO!$A$2:$A$801,$I665))</f>
        <v/>
      </c>
      <c r="C665" s="11" t="str">
        <f aca="false">IF($I665="","",INDEX(CONSOLIDADO!$B$2:$B$801,$I665))</f>
        <v/>
      </c>
      <c r="D665" s="16" t="str">
        <f aca="false">IF($I665="","",INDEX(CONSOLIDADO!$C$2:$C$801,$I665))</f>
        <v/>
      </c>
      <c r="E665" s="16" t="str">
        <f aca="false">IF($I665="","",INDEX(CONSOLIDADO!$D$2:$D$801,$I665))</f>
        <v/>
      </c>
      <c r="F665" s="14" t="str">
        <f aca="false">IF($I665="","",INDEX(CONSOLIDADO!$E$2:$E$801,$I665))</f>
        <v/>
      </c>
      <c r="G665" s="16" t="str">
        <f aca="false">IF($I665="","",INDEX(CONSOLIDADO!$G$2:$G$801,$I665))</f>
        <v/>
      </c>
      <c r="H665" s="16" t="str">
        <f aca="false">IF($I665="","",INDEX(CONSOLIDADO!$H$2:$H$801,$I665))</f>
        <v/>
      </c>
      <c r="I665" s="11" t="str">
        <f aca="false">IFERROR(MATCH(ROW()-1,CONSOLIDADO!$AJ$2:$AJ$801,0),"")</f>
        <v/>
      </c>
      <c r="J665" s="11" t="str">
        <f aca="false">IF(B665="","",F665&amp;" "&amp;C665&amp;" ("&amp;B665&amp;")")</f>
        <v/>
      </c>
    </row>
    <row r="666" customFormat="false" ht="15" hidden="false" customHeight="false" outlineLevel="0" collapsed="false">
      <c r="A666" s="16"/>
      <c r="B666" s="11" t="str">
        <f aca="false">IF($I666="","",INDEX(CONSOLIDADO!$A$2:$A$801,$I666))</f>
        <v/>
      </c>
      <c r="C666" s="11" t="str">
        <f aca="false">IF($I666="","",INDEX(CONSOLIDADO!$B$2:$B$801,$I666))</f>
        <v/>
      </c>
      <c r="D666" s="16" t="str">
        <f aca="false">IF($I666="","",INDEX(CONSOLIDADO!$C$2:$C$801,$I666))</f>
        <v/>
      </c>
      <c r="E666" s="16" t="str">
        <f aca="false">IF($I666="","",INDEX(CONSOLIDADO!$D$2:$D$801,$I666))</f>
        <v/>
      </c>
      <c r="F666" s="14" t="str">
        <f aca="false">IF($I666="","",INDEX(CONSOLIDADO!$E$2:$E$801,$I666))</f>
        <v/>
      </c>
      <c r="G666" s="16" t="str">
        <f aca="false">IF($I666="","",INDEX(CONSOLIDADO!$G$2:$G$801,$I666))</f>
        <v/>
      </c>
      <c r="H666" s="16" t="str">
        <f aca="false">IF($I666="","",INDEX(CONSOLIDADO!$H$2:$H$801,$I666))</f>
        <v/>
      </c>
      <c r="I666" s="11" t="str">
        <f aca="false">IFERROR(MATCH(ROW()-1,CONSOLIDADO!$AJ$2:$AJ$801,0),"")</f>
        <v/>
      </c>
      <c r="J666" s="11" t="str">
        <f aca="false">IF(B666="","",F666&amp;" "&amp;C666&amp;" ("&amp;B666&amp;")")</f>
        <v/>
      </c>
    </row>
    <row r="667" customFormat="false" ht="15" hidden="false" customHeight="false" outlineLevel="0" collapsed="false">
      <c r="A667" s="16"/>
      <c r="B667" s="11" t="str">
        <f aca="false">IF($I667="","",INDEX(CONSOLIDADO!$A$2:$A$801,$I667))</f>
        <v/>
      </c>
      <c r="C667" s="11" t="str">
        <f aca="false">IF($I667="","",INDEX(CONSOLIDADO!$B$2:$B$801,$I667))</f>
        <v/>
      </c>
      <c r="D667" s="16" t="str">
        <f aca="false">IF($I667="","",INDEX(CONSOLIDADO!$C$2:$C$801,$I667))</f>
        <v/>
      </c>
      <c r="E667" s="16" t="str">
        <f aca="false">IF($I667="","",INDEX(CONSOLIDADO!$D$2:$D$801,$I667))</f>
        <v/>
      </c>
      <c r="F667" s="14" t="str">
        <f aca="false">IF($I667="","",INDEX(CONSOLIDADO!$E$2:$E$801,$I667))</f>
        <v/>
      </c>
      <c r="G667" s="16" t="str">
        <f aca="false">IF($I667="","",INDEX(CONSOLIDADO!$G$2:$G$801,$I667))</f>
        <v/>
      </c>
      <c r="H667" s="16" t="str">
        <f aca="false">IF($I667="","",INDEX(CONSOLIDADO!$H$2:$H$801,$I667))</f>
        <v/>
      </c>
      <c r="I667" s="11" t="str">
        <f aca="false">IFERROR(MATCH(ROW()-1,CONSOLIDADO!$AJ$2:$AJ$801,0),"")</f>
        <v/>
      </c>
      <c r="J667" s="11" t="str">
        <f aca="false">IF(B667="","",F667&amp;" "&amp;C667&amp;" ("&amp;B667&amp;")")</f>
        <v/>
      </c>
    </row>
    <row r="668" customFormat="false" ht="15" hidden="false" customHeight="false" outlineLevel="0" collapsed="false">
      <c r="A668" s="16"/>
      <c r="B668" s="11" t="str">
        <f aca="false">IF($I668="","",INDEX(CONSOLIDADO!$A$2:$A$801,$I668))</f>
        <v/>
      </c>
      <c r="C668" s="11" t="str">
        <f aca="false">IF($I668="","",INDEX(CONSOLIDADO!$B$2:$B$801,$I668))</f>
        <v/>
      </c>
      <c r="D668" s="16" t="str">
        <f aca="false">IF($I668="","",INDEX(CONSOLIDADO!$C$2:$C$801,$I668))</f>
        <v/>
      </c>
      <c r="E668" s="16" t="str">
        <f aca="false">IF($I668="","",INDEX(CONSOLIDADO!$D$2:$D$801,$I668))</f>
        <v/>
      </c>
      <c r="F668" s="14" t="str">
        <f aca="false">IF($I668="","",INDEX(CONSOLIDADO!$E$2:$E$801,$I668))</f>
        <v/>
      </c>
      <c r="G668" s="16" t="str">
        <f aca="false">IF($I668="","",INDEX(CONSOLIDADO!$G$2:$G$801,$I668))</f>
        <v/>
      </c>
      <c r="H668" s="16" t="str">
        <f aca="false">IF($I668="","",INDEX(CONSOLIDADO!$H$2:$H$801,$I668))</f>
        <v/>
      </c>
      <c r="I668" s="11" t="str">
        <f aca="false">IFERROR(MATCH(ROW()-1,CONSOLIDADO!$AJ$2:$AJ$801,0),"")</f>
        <v/>
      </c>
      <c r="J668" s="11" t="str">
        <f aca="false">IF(B668="","",F668&amp;" "&amp;C668&amp;" ("&amp;B668&amp;")")</f>
        <v/>
      </c>
    </row>
    <row r="669" customFormat="false" ht="15" hidden="false" customHeight="false" outlineLevel="0" collapsed="false">
      <c r="A669" s="16"/>
      <c r="B669" s="11" t="str">
        <f aca="false">IF($I669="","",INDEX(CONSOLIDADO!$A$2:$A$801,$I669))</f>
        <v/>
      </c>
      <c r="C669" s="11" t="str">
        <f aca="false">IF($I669="","",INDEX(CONSOLIDADO!$B$2:$B$801,$I669))</f>
        <v/>
      </c>
      <c r="D669" s="16" t="str">
        <f aca="false">IF($I669="","",INDEX(CONSOLIDADO!$C$2:$C$801,$I669))</f>
        <v/>
      </c>
      <c r="E669" s="16" t="str">
        <f aca="false">IF($I669="","",INDEX(CONSOLIDADO!$D$2:$D$801,$I669))</f>
        <v/>
      </c>
      <c r="F669" s="14" t="str">
        <f aca="false">IF($I669="","",INDEX(CONSOLIDADO!$E$2:$E$801,$I669))</f>
        <v/>
      </c>
      <c r="G669" s="16" t="str">
        <f aca="false">IF($I669="","",INDEX(CONSOLIDADO!$G$2:$G$801,$I669))</f>
        <v/>
      </c>
      <c r="H669" s="16" t="str">
        <f aca="false">IF($I669="","",INDEX(CONSOLIDADO!$H$2:$H$801,$I669))</f>
        <v/>
      </c>
      <c r="I669" s="11" t="str">
        <f aca="false">IFERROR(MATCH(ROW()-1,CONSOLIDADO!$AJ$2:$AJ$801,0),"")</f>
        <v/>
      </c>
      <c r="J669" s="11" t="str">
        <f aca="false">IF(B669="","",F669&amp;" "&amp;C669&amp;" ("&amp;B669&amp;")")</f>
        <v/>
      </c>
    </row>
    <row r="670" customFormat="false" ht="15" hidden="false" customHeight="false" outlineLevel="0" collapsed="false">
      <c r="A670" s="16"/>
      <c r="B670" s="11" t="str">
        <f aca="false">IF($I670="","",INDEX(CONSOLIDADO!$A$2:$A$801,$I670))</f>
        <v/>
      </c>
      <c r="C670" s="11" t="str">
        <f aca="false">IF($I670="","",INDEX(CONSOLIDADO!$B$2:$B$801,$I670))</f>
        <v/>
      </c>
      <c r="D670" s="16" t="str">
        <f aca="false">IF($I670="","",INDEX(CONSOLIDADO!$C$2:$C$801,$I670))</f>
        <v/>
      </c>
      <c r="E670" s="16" t="str">
        <f aca="false">IF($I670="","",INDEX(CONSOLIDADO!$D$2:$D$801,$I670))</f>
        <v/>
      </c>
      <c r="F670" s="14" t="str">
        <f aca="false">IF($I670="","",INDEX(CONSOLIDADO!$E$2:$E$801,$I670))</f>
        <v/>
      </c>
      <c r="G670" s="16" t="str">
        <f aca="false">IF($I670="","",INDEX(CONSOLIDADO!$G$2:$G$801,$I670))</f>
        <v/>
      </c>
      <c r="H670" s="16" t="str">
        <f aca="false">IF($I670="","",INDEX(CONSOLIDADO!$H$2:$H$801,$I670))</f>
        <v/>
      </c>
      <c r="I670" s="11" t="str">
        <f aca="false">IFERROR(MATCH(ROW()-1,CONSOLIDADO!$AJ$2:$AJ$801,0),"")</f>
        <v/>
      </c>
      <c r="J670" s="11" t="str">
        <f aca="false">IF(B670="","",F670&amp;" "&amp;C670&amp;" ("&amp;B670&amp;")")</f>
        <v/>
      </c>
    </row>
    <row r="671" customFormat="false" ht="15" hidden="false" customHeight="false" outlineLevel="0" collapsed="false">
      <c r="A671" s="16"/>
      <c r="B671" s="11" t="str">
        <f aca="false">IF($I671="","",INDEX(CONSOLIDADO!$A$2:$A$801,$I671))</f>
        <v/>
      </c>
      <c r="C671" s="11" t="str">
        <f aca="false">IF($I671="","",INDEX(CONSOLIDADO!$B$2:$B$801,$I671))</f>
        <v/>
      </c>
      <c r="D671" s="16" t="str">
        <f aca="false">IF($I671="","",INDEX(CONSOLIDADO!$C$2:$C$801,$I671))</f>
        <v/>
      </c>
      <c r="E671" s="16" t="str">
        <f aca="false">IF($I671="","",INDEX(CONSOLIDADO!$D$2:$D$801,$I671))</f>
        <v/>
      </c>
      <c r="F671" s="14" t="str">
        <f aca="false">IF($I671="","",INDEX(CONSOLIDADO!$E$2:$E$801,$I671))</f>
        <v/>
      </c>
      <c r="G671" s="16" t="str">
        <f aca="false">IF($I671="","",INDEX(CONSOLIDADO!$G$2:$G$801,$I671))</f>
        <v/>
      </c>
      <c r="H671" s="16" t="str">
        <f aca="false">IF($I671="","",INDEX(CONSOLIDADO!$H$2:$H$801,$I671))</f>
        <v/>
      </c>
      <c r="I671" s="11" t="str">
        <f aca="false">IFERROR(MATCH(ROW()-1,CONSOLIDADO!$AJ$2:$AJ$801,0),"")</f>
        <v/>
      </c>
      <c r="J671" s="11" t="str">
        <f aca="false">IF(B671="","",F671&amp;" "&amp;C671&amp;" ("&amp;B671&amp;")")</f>
        <v/>
      </c>
    </row>
    <row r="672" customFormat="false" ht="15" hidden="false" customHeight="false" outlineLevel="0" collapsed="false">
      <c r="A672" s="16"/>
      <c r="B672" s="11" t="str">
        <f aca="false">IF($I672="","",INDEX(CONSOLIDADO!$A$2:$A$801,$I672))</f>
        <v/>
      </c>
      <c r="C672" s="11" t="str">
        <f aca="false">IF($I672="","",INDEX(CONSOLIDADO!$B$2:$B$801,$I672))</f>
        <v/>
      </c>
      <c r="D672" s="16" t="str">
        <f aca="false">IF($I672="","",INDEX(CONSOLIDADO!$C$2:$C$801,$I672))</f>
        <v/>
      </c>
      <c r="E672" s="16" t="str">
        <f aca="false">IF($I672="","",INDEX(CONSOLIDADO!$D$2:$D$801,$I672))</f>
        <v/>
      </c>
      <c r="F672" s="14" t="str">
        <f aca="false">IF($I672="","",INDEX(CONSOLIDADO!$E$2:$E$801,$I672))</f>
        <v/>
      </c>
      <c r="G672" s="16" t="str">
        <f aca="false">IF($I672="","",INDEX(CONSOLIDADO!$G$2:$G$801,$I672))</f>
        <v/>
      </c>
      <c r="H672" s="16" t="str">
        <f aca="false">IF($I672="","",INDEX(CONSOLIDADO!$H$2:$H$801,$I672))</f>
        <v/>
      </c>
      <c r="I672" s="11" t="str">
        <f aca="false">IFERROR(MATCH(ROW()-1,CONSOLIDADO!$AJ$2:$AJ$801,0),"")</f>
        <v/>
      </c>
      <c r="J672" s="11" t="str">
        <f aca="false">IF(B672="","",F672&amp;" "&amp;C672&amp;" ("&amp;B672&amp;")")</f>
        <v/>
      </c>
    </row>
    <row r="673" customFormat="false" ht="15" hidden="false" customHeight="false" outlineLevel="0" collapsed="false">
      <c r="A673" s="16"/>
      <c r="B673" s="11" t="str">
        <f aca="false">IF($I673="","",INDEX(CONSOLIDADO!$A$2:$A$801,$I673))</f>
        <v/>
      </c>
      <c r="C673" s="11" t="str">
        <f aca="false">IF($I673="","",INDEX(CONSOLIDADO!$B$2:$B$801,$I673))</f>
        <v/>
      </c>
      <c r="D673" s="16" t="str">
        <f aca="false">IF($I673="","",INDEX(CONSOLIDADO!$C$2:$C$801,$I673))</f>
        <v/>
      </c>
      <c r="E673" s="16" t="str">
        <f aca="false">IF($I673="","",INDEX(CONSOLIDADO!$D$2:$D$801,$I673))</f>
        <v/>
      </c>
      <c r="F673" s="14" t="str">
        <f aca="false">IF($I673="","",INDEX(CONSOLIDADO!$E$2:$E$801,$I673))</f>
        <v/>
      </c>
      <c r="G673" s="16" t="str">
        <f aca="false">IF($I673="","",INDEX(CONSOLIDADO!$G$2:$G$801,$I673))</f>
        <v/>
      </c>
      <c r="H673" s="16" t="str">
        <f aca="false">IF($I673="","",INDEX(CONSOLIDADO!$H$2:$H$801,$I673))</f>
        <v/>
      </c>
      <c r="I673" s="11" t="str">
        <f aca="false">IFERROR(MATCH(ROW()-1,CONSOLIDADO!$AJ$2:$AJ$801,0),"")</f>
        <v/>
      </c>
      <c r="J673" s="11" t="str">
        <f aca="false">IF(B673="","",F673&amp;" "&amp;C673&amp;" ("&amp;B673&amp;")")</f>
        <v/>
      </c>
    </row>
    <row r="674" customFormat="false" ht="15" hidden="false" customHeight="false" outlineLevel="0" collapsed="false">
      <c r="A674" s="16"/>
      <c r="B674" s="11" t="str">
        <f aca="false">IF($I674="","",INDEX(CONSOLIDADO!$A$2:$A$801,$I674))</f>
        <v/>
      </c>
      <c r="C674" s="11" t="str">
        <f aca="false">IF($I674="","",INDEX(CONSOLIDADO!$B$2:$B$801,$I674))</f>
        <v/>
      </c>
      <c r="D674" s="16" t="str">
        <f aca="false">IF($I674="","",INDEX(CONSOLIDADO!$C$2:$C$801,$I674))</f>
        <v/>
      </c>
      <c r="E674" s="16" t="str">
        <f aca="false">IF($I674="","",INDEX(CONSOLIDADO!$D$2:$D$801,$I674))</f>
        <v/>
      </c>
      <c r="F674" s="14" t="str">
        <f aca="false">IF($I674="","",INDEX(CONSOLIDADO!$E$2:$E$801,$I674))</f>
        <v/>
      </c>
      <c r="G674" s="16" t="str">
        <f aca="false">IF($I674="","",INDEX(CONSOLIDADO!$G$2:$G$801,$I674))</f>
        <v/>
      </c>
      <c r="H674" s="16" t="str">
        <f aca="false">IF($I674="","",INDEX(CONSOLIDADO!$H$2:$H$801,$I674))</f>
        <v/>
      </c>
      <c r="I674" s="11" t="str">
        <f aca="false">IFERROR(MATCH(ROW()-1,CONSOLIDADO!$AJ$2:$AJ$801,0),"")</f>
        <v/>
      </c>
      <c r="J674" s="11" t="str">
        <f aca="false">IF(B674="","",F674&amp;" "&amp;C674&amp;" ("&amp;B674&amp;")")</f>
        <v/>
      </c>
    </row>
    <row r="675" customFormat="false" ht="15" hidden="false" customHeight="false" outlineLevel="0" collapsed="false">
      <c r="A675" s="16"/>
      <c r="B675" s="11" t="str">
        <f aca="false">IF($I675="","",INDEX(CONSOLIDADO!$A$2:$A$801,$I675))</f>
        <v/>
      </c>
      <c r="C675" s="11" t="str">
        <f aca="false">IF($I675="","",INDEX(CONSOLIDADO!$B$2:$B$801,$I675))</f>
        <v/>
      </c>
      <c r="D675" s="16" t="str">
        <f aca="false">IF($I675="","",INDEX(CONSOLIDADO!$C$2:$C$801,$I675))</f>
        <v/>
      </c>
      <c r="E675" s="16" t="str">
        <f aca="false">IF($I675="","",INDEX(CONSOLIDADO!$D$2:$D$801,$I675))</f>
        <v/>
      </c>
      <c r="F675" s="14" t="str">
        <f aca="false">IF($I675="","",INDEX(CONSOLIDADO!$E$2:$E$801,$I675))</f>
        <v/>
      </c>
      <c r="G675" s="16" t="str">
        <f aca="false">IF($I675="","",INDEX(CONSOLIDADO!$G$2:$G$801,$I675))</f>
        <v/>
      </c>
      <c r="H675" s="16" t="str">
        <f aca="false">IF($I675="","",INDEX(CONSOLIDADO!$H$2:$H$801,$I675))</f>
        <v/>
      </c>
      <c r="I675" s="11" t="str">
        <f aca="false">IFERROR(MATCH(ROW()-1,CONSOLIDADO!$AJ$2:$AJ$801,0),"")</f>
        <v/>
      </c>
      <c r="J675" s="11" t="str">
        <f aca="false">IF(B675="","",F675&amp;" "&amp;C675&amp;" ("&amp;B675&amp;")")</f>
        <v/>
      </c>
    </row>
    <row r="676" customFormat="false" ht="15" hidden="false" customHeight="false" outlineLevel="0" collapsed="false">
      <c r="A676" s="16"/>
      <c r="B676" s="11" t="str">
        <f aca="false">IF($I676="","",INDEX(CONSOLIDADO!$A$2:$A$801,$I676))</f>
        <v/>
      </c>
      <c r="C676" s="11" t="str">
        <f aca="false">IF($I676="","",INDEX(CONSOLIDADO!$B$2:$B$801,$I676))</f>
        <v/>
      </c>
      <c r="D676" s="16" t="str">
        <f aca="false">IF($I676="","",INDEX(CONSOLIDADO!$C$2:$C$801,$I676))</f>
        <v/>
      </c>
      <c r="E676" s="16" t="str">
        <f aca="false">IF($I676="","",INDEX(CONSOLIDADO!$D$2:$D$801,$I676))</f>
        <v/>
      </c>
      <c r="F676" s="14" t="str">
        <f aca="false">IF($I676="","",INDEX(CONSOLIDADO!$E$2:$E$801,$I676))</f>
        <v/>
      </c>
      <c r="G676" s="16" t="str">
        <f aca="false">IF($I676="","",INDEX(CONSOLIDADO!$G$2:$G$801,$I676))</f>
        <v/>
      </c>
      <c r="H676" s="16" t="str">
        <f aca="false">IF($I676="","",INDEX(CONSOLIDADO!$H$2:$H$801,$I676))</f>
        <v/>
      </c>
      <c r="I676" s="11" t="str">
        <f aca="false">IFERROR(MATCH(ROW()-1,CONSOLIDADO!$AJ$2:$AJ$801,0),"")</f>
        <v/>
      </c>
      <c r="J676" s="11" t="str">
        <f aca="false">IF(B676="","",F676&amp;" "&amp;C676&amp;" ("&amp;B676&amp;")")</f>
        <v/>
      </c>
    </row>
    <row r="677" customFormat="false" ht="15" hidden="false" customHeight="false" outlineLevel="0" collapsed="false">
      <c r="A677" s="16"/>
      <c r="B677" s="11" t="str">
        <f aca="false">IF($I677="","",INDEX(CONSOLIDADO!$A$2:$A$801,$I677))</f>
        <v/>
      </c>
      <c r="C677" s="11" t="str">
        <f aca="false">IF($I677="","",INDEX(CONSOLIDADO!$B$2:$B$801,$I677))</f>
        <v/>
      </c>
      <c r="D677" s="16" t="str">
        <f aca="false">IF($I677="","",INDEX(CONSOLIDADO!$C$2:$C$801,$I677))</f>
        <v/>
      </c>
      <c r="E677" s="16" t="str">
        <f aca="false">IF($I677="","",INDEX(CONSOLIDADO!$D$2:$D$801,$I677))</f>
        <v/>
      </c>
      <c r="F677" s="14" t="str">
        <f aca="false">IF($I677="","",INDEX(CONSOLIDADO!$E$2:$E$801,$I677))</f>
        <v/>
      </c>
      <c r="G677" s="16" t="str">
        <f aca="false">IF($I677="","",INDEX(CONSOLIDADO!$G$2:$G$801,$I677))</f>
        <v/>
      </c>
      <c r="H677" s="16" t="str">
        <f aca="false">IF($I677="","",INDEX(CONSOLIDADO!$H$2:$H$801,$I677))</f>
        <v/>
      </c>
      <c r="I677" s="11" t="str">
        <f aca="false">IFERROR(MATCH(ROW()-1,CONSOLIDADO!$AJ$2:$AJ$801,0),"")</f>
        <v/>
      </c>
      <c r="J677" s="11" t="str">
        <f aca="false">IF(B677="","",F677&amp;" "&amp;C677&amp;" ("&amp;B677&amp;")")</f>
        <v/>
      </c>
    </row>
    <row r="678" customFormat="false" ht="15" hidden="false" customHeight="false" outlineLevel="0" collapsed="false">
      <c r="A678" s="16"/>
      <c r="B678" s="11" t="str">
        <f aca="false">IF($I678="","",INDEX(CONSOLIDADO!$A$2:$A$801,$I678))</f>
        <v/>
      </c>
      <c r="C678" s="11" t="str">
        <f aca="false">IF($I678="","",INDEX(CONSOLIDADO!$B$2:$B$801,$I678))</f>
        <v/>
      </c>
      <c r="D678" s="16" t="str">
        <f aca="false">IF($I678="","",INDEX(CONSOLIDADO!$C$2:$C$801,$I678))</f>
        <v/>
      </c>
      <c r="E678" s="16" t="str">
        <f aca="false">IF($I678="","",INDEX(CONSOLIDADO!$D$2:$D$801,$I678))</f>
        <v/>
      </c>
      <c r="F678" s="14" t="str">
        <f aca="false">IF($I678="","",INDEX(CONSOLIDADO!$E$2:$E$801,$I678))</f>
        <v/>
      </c>
      <c r="G678" s="16" t="str">
        <f aca="false">IF($I678="","",INDEX(CONSOLIDADO!$G$2:$G$801,$I678))</f>
        <v/>
      </c>
      <c r="H678" s="16" t="str">
        <f aca="false">IF($I678="","",INDEX(CONSOLIDADO!$H$2:$H$801,$I678))</f>
        <v/>
      </c>
      <c r="I678" s="11" t="str">
        <f aca="false">IFERROR(MATCH(ROW()-1,CONSOLIDADO!$AJ$2:$AJ$801,0),"")</f>
        <v/>
      </c>
      <c r="J678" s="11" t="str">
        <f aca="false">IF(B678="","",F678&amp;" "&amp;C678&amp;" ("&amp;B678&amp;")")</f>
        <v/>
      </c>
    </row>
    <row r="679" customFormat="false" ht="15" hidden="false" customHeight="false" outlineLevel="0" collapsed="false">
      <c r="A679" s="16"/>
      <c r="B679" s="11" t="str">
        <f aca="false">IF($I679="","",INDEX(CONSOLIDADO!$A$2:$A$801,$I679))</f>
        <v/>
      </c>
      <c r="C679" s="11" t="str">
        <f aca="false">IF($I679="","",INDEX(CONSOLIDADO!$B$2:$B$801,$I679))</f>
        <v/>
      </c>
      <c r="D679" s="16" t="str">
        <f aca="false">IF($I679="","",INDEX(CONSOLIDADO!$C$2:$C$801,$I679))</f>
        <v/>
      </c>
      <c r="E679" s="16" t="str">
        <f aca="false">IF($I679="","",INDEX(CONSOLIDADO!$D$2:$D$801,$I679))</f>
        <v/>
      </c>
      <c r="F679" s="14" t="str">
        <f aca="false">IF($I679="","",INDEX(CONSOLIDADO!$E$2:$E$801,$I679))</f>
        <v/>
      </c>
      <c r="G679" s="16" t="str">
        <f aca="false">IF($I679="","",INDEX(CONSOLIDADO!$G$2:$G$801,$I679))</f>
        <v/>
      </c>
      <c r="H679" s="16" t="str">
        <f aca="false">IF($I679="","",INDEX(CONSOLIDADO!$H$2:$H$801,$I679))</f>
        <v/>
      </c>
      <c r="I679" s="11" t="str">
        <f aca="false">IFERROR(MATCH(ROW()-1,CONSOLIDADO!$AJ$2:$AJ$801,0),"")</f>
        <v/>
      </c>
      <c r="J679" s="11" t="str">
        <f aca="false">IF(B679="","",F679&amp;" "&amp;C679&amp;" ("&amp;B679&amp;")")</f>
        <v/>
      </c>
    </row>
    <row r="680" customFormat="false" ht="15" hidden="false" customHeight="false" outlineLevel="0" collapsed="false">
      <c r="A680" s="16"/>
      <c r="B680" s="11" t="str">
        <f aca="false">IF($I680="","",INDEX(CONSOLIDADO!$A$2:$A$801,$I680))</f>
        <v/>
      </c>
      <c r="C680" s="11" t="str">
        <f aca="false">IF($I680="","",INDEX(CONSOLIDADO!$B$2:$B$801,$I680))</f>
        <v/>
      </c>
      <c r="D680" s="16" t="str">
        <f aca="false">IF($I680="","",INDEX(CONSOLIDADO!$C$2:$C$801,$I680))</f>
        <v/>
      </c>
      <c r="E680" s="16" t="str">
        <f aca="false">IF($I680="","",INDEX(CONSOLIDADO!$D$2:$D$801,$I680))</f>
        <v/>
      </c>
      <c r="F680" s="14" t="str">
        <f aca="false">IF($I680="","",INDEX(CONSOLIDADO!$E$2:$E$801,$I680))</f>
        <v/>
      </c>
      <c r="G680" s="16" t="str">
        <f aca="false">IF($I680="","",INDEX(CONSOLIDADO!$G$2:$G$801,$I680))</f>
        <v/>
      </c>
      <c r="H680" s="16" t="str">
        <f aca="false">IF($I680="","",INDEX(CONSOLIDADO!$H$2:$H$801,$I680))</f>
        <v/>
      </c>
      <c r="I680" s="11" t="str">
        <f aca="false">IFERROR(MATCH(ROW()-1,CONSOLIDADO!$AJ$2:$AJ$801,0),"")</f>
        <v/>
      </c>
      <c r="J680" s="11" t="str">
        <f aca="false">IF(B680="","",F680&amp;" "&amp;C680&amp;" ("&amp;B680&amp;")")</f>
        <v/>
      </c>
    </row>
    <row r="681" customFormat="false" ht="15" hidden="false" customHeight="false" outlineLevel="0" collapsed="false">
      <c r="A681" s="16"/>
      <c r="B681" s="11" t="str">
        <f aca="false">IF($I681="","",INDEX(CONSOLIDADO!$A$2:$A$801,$I681))</f>
        <v/>
      </c>
      <c r="C681" s="11" t="str">
        <f aca="false">IF($I681="","",INDEX(CONSOLIDADO!$B$2:$B$801,$I681))</f>
        <v/>
      </c>
      <c r="D681" s="16" t="str">
        <f aca="false">IF($I681="","",INDEX(CONSOLIDADO!$C$2:$C$801,$I681))</f>
        <v/>
      </c>
      <c r="E681" s="16" t="str">
        <f aca="false">IF($I681="","",INDEX(CONSOLIDADO!$D$2:$D$801,$I681))</f>
        <v/>
      </c>
      <c r="F681" s="14" t="str">
        <f aca="false">IF($I681="","",INDEX(CONSOLIDADO!$E$2:$E$801,$I681))</f>
        <v/>
      </c>
      <c r="G681" s="16" t="str">
        <f aca="false">IF($I681="","",INDEX(CONSOLIDADO!$G$2:$G$801,$I681))</f>
        <v/>
      </c>
      <c r="H681" s="16" t="str">
        <f aca="false">IF($I681="","",INDEX(CONSOLIDADO!$H$2:$H$801,$I681))</f>
        <v/>
      </c>
      <c r="I681" s="11" t="str">
        <f aca="false">IFERROR(MATCH(ROW()-1,CONSOLIDADO!$AJ$2:$AJ$801,0),"")</f>
        <v/>
      </c>
      <c r="J681" s="11" t="str">
        <f aca="false">IF(B681="","",F681&amp;" "&amp;C681&amp;" ("&amp;B681&amp;")")</f>
        <v/>
      </c>
    </row>
    <row r="682" customFormat="false" ht="15" hidden="false" customHeight="false" outlineLevel="0" collapsed="false">
      <c r="A682" s="16"/>
      <c r="B682" s="11" t="str">
        <f aca="false">IF($I682="","",INDEX(CONSOLIDADO!$A$2:$A$801,$I682))</f>
        <v/>
      </c>
      <c r="C682" s="11" t="str">
        <f aca="false">IF($I682="","",INDEX(CONSOLIDADO!$B$2:$B$801,$I682))</f>
        <v/>
      </c>
      <c r="D682" s="16" t="str">
        <f aca="false">IF($I682="","",INDEX(CONSOLIDADO!$C$2:$C$801,$I682))</f>
        <v/>
      </c>
      <c r="E682" s="16" t="str">
        <f aca="false">IF($I682="","",INDEX(CONSOLIDADO!$D$2:$D$801,$I682))</f>
        <v/>
      </c>
      <c r="F682" s="14" t="str">
        <f aca="false">IF($I682="","",INDEX(CONSOLIDADO!$E$2:$E$801,$I682))</f>
        <v/>
      </c>
      <c r="G682" s="16" t="str">
        <f aca="false">IF($I682="","",INDEX(CONSOLIDADO!$G$2:$G$801,$I682))</f>
        <v/>
      </c>
      <c r="H682" s="16" t="str">
        <f aca="false">IF($I682="","",INDEX(CONSOLIDADO!$H$2:$H$801,$I682))</f>
        <v/>
      </c>
      <c r="I682" s="11" t="str">
        <f aca="false">IFERROR(MATCH(ROW()-1,CONSOLIDADO!$AJ$2:$AJ$801,0),"")</f>
        <v/>
      </c>
      <c r="J682" s="11" t="str">
        <f aca="false">IF(B682="","",F682&amp;" "&amp;C682&amp;" ("&amp;B682&amp;")")</f>
        <v/>
      </c>
    </row>
    <row r="683" customFormat="false" ht="15" hidden="false" customHeight="false" outlineLevel="0" collapsed="false">
      <c r="A683" s="16"/>
      <c r="B683" s="11" t="str">
        <f aca="false">IF($I683="","",INDEX(CONSOLIDADO!$A$2:$A$801,$I683))</f>
        <v/>
      </c>
      <c r="C683" s="11" t="str">
        <f aca="false">IF($I683="","",INDEX(CONSOLIDADO!$B$2:$B$801,$I683))</f>
        <v/>
      </c>
      <c r="D683" s="16" t="str">
        <f aca="false">IF($I683="","",INDEX(CONSOLIDADO!$C$2:$C$801,$I683))</f>
        <v/>
      </c>
      <c r="E683" s="16" t="str">
        <f aca="false">IF($I683="","",INDEX(CONSOLIDADO!$D$2:$D$801,$I683))</f>
        <v/>
      </c>
      <c r="F683" s="14" t="str">
        <f aca="false">IF($I683="","",INDEX(CONSOLIDADO!$E$2:$E$801,$I683))</f>
        <v/>
      </c>
      <c r="G683" s="16" t="str">
        <f aca="false">IF($I683="","",INDEX(CONSOLIDADO!$G$2:$G$801,$I683))</f>
        <v/>
      </c>
      <c r="H683" s="16" t="str">
        <f aca="false">IF($I683="","",INDEX(CONSOLIDADO!$H$2:$H$801,$I683))</f>
        <v/>
      </c>
      <c r="I683" s="11" t="str">
        <f aca="false">IFERROR(MATCH(ROW()-1,CONSOLIDADO!$AJ$2:$AJ$801,0),"")</f>
        <v/>
      </c>
      <c r="J683" s="11" t="str">
        <f aca="false">IF(B683="","",F683&amp;" "&amp;C683&amp;" ("&amp;B683&amp;")")</f>
        <v/>
      </c>
    </row>
    <row r="684" customFormat="false" ht="15" hidden="false" customHeight="false" outlineLevel="0" collapsed="false">
      <c r="A684" s="16"/>
      <c r="B684" s="11" t="str">
        <f aca="false">IF($I684="","",INDEX(CONSOLIDADO!$A$2:$A$801,$I684))</f>
        <v/>
      </c>
      <c r="C684" s="11" t="str">
        <f aca="false">IF($I684="","",INDEX(CONSOLIDADO!$B$2:$B$801,$I684))</f>
        <v/>
      </c>
      <c r="D684" s="16" t="str">
        <f aca="false">IF($I684="","",INDEX(CONSOLIDADO!$C$2:$C$801,$I684))</f>
        <v/>
      </c>
      <c r="E684" s="16" t="str">
        <f aca="false">IF($I684="","",INDEX(CONSOLIDADO!$D$2:$D$801,$I684))</f>
        <v/>
      </c>
      <c r="F684" s="14" t="str">
        <f aca="false">IF($I684="","",INDEX(CONSOLIDADO!$E$2:$E$801,$I684))</f>
        <v/>
      </c>
      <c r="G684" s="16" t="str">
        <f aca="false">IF($I684="","",INDEX(CONSOLIDADO!$G$2:$G$801,$I684))</f>
        <v/>
      </c>
      <c r="H684" s="16" t="str">
        <f aca="false">IF($I684="","",INDEX(CONSOLIDADO!$H$2:$H$801,$I684))</f>
        <v/>
      </c>
      <c r="I684" s="11" t="str">
        <f aca="false">IFERROR(MATCH(ROW()-1,CONSOLIDADO!$AJ$2:$AJ$801,0),"")</f>
        <v/>
      </c>
      <c r="J684" s="11" t="str">
        <f aca="false">IF(B684="","",F684&amp;" "&amp;C684&amp;" ("&amp;B684&amp;")")</f>
        <v/>
      </c>
    </row>
    <row r="685" customFormat="false" ht="15" hidden="false" customHeight="false" outlineLevel="0" collapsed="false">
      <c r="A685" s="16"/>
      <c r="B685" s="11" t="str">
        <f aca="false">IF($I685="","",INDEX(CONSOLIDADO!$A$2:$A$801,$I685))</f>
        <v/>
      </c>
      <c r="C685" s="11" t="str">
        <f aca="false">IF($I685="","",INDEX(CONSOLIDADO!$B$2:$B$801,$I685))</f>
        <v/>
      </c>
      <c r="D685" s="16" t="str">
        <f aca="false">IF($I685="","",INDEX(CONSOLIDADO!$C$2:$C$801,$I685))</f>
        <v/>
      </c>
      <c r="E685" s="16" t="str">
        <f aca="false">IF($I685="","",INDEX(CONSOLIDADO!$D$2:$D$801,$I685))</f>
        <v/>
      </c>
      <c r="F685" s="14" t="str">
        <f aca="false">IF($I685="","",INDEX(CONSOLIDADO!$E$2:$E$801,$I685))</f>
        <v/>
      </c>
      <c r="G685" s="16" t="str">
        <f aca="false">IF($I685="","",INDEX(CONSOLIDADO!$G$2:$G$801,$I685))</f>
        <v/>
      </c>
      <c r="H685" s="16" t="str">
        <f aca="false">IF($I685="","",INDEX(CONSOLIDADO!$H$2:$H$801,$I685))</f>
        <v/>
      </c>
      <c r="I685" s="11" t="str">
        <f aca="false">IFERROR(MATCH(ROW()-1,CONSOLIDADO!$AJ$2:$AJ$801,0),"")</f>
        <v/>
      </c>
      <c r="J685" s="11" t="str">
        <f aca="false">IF(B685="","",F685&amp;" "&amp;C685&amp;" ("&amp;B685&amp;")")</f>
        <v/>
      </c>
    </row>
    <row r="686" customFormat="false" ht="15" hidden="false" customHeight="false" outlineLevel="0" collapsed="false">
      <c r="A686" s="16"/>
      <c r="B686" s="11" t="str">
        <f aca="false">IF($I686="","",INDEX(CONSOLIDADO!$A$2:$A$801,$I686))</f>
        <v/>
      </c>
      <c r="C686" s="11" t="str">
        <f aca="false">IF($I686="","",INDEX(CONSOLIDADO!$B$2:$B$801,$I686))</f>
        <v/>
      </c>
      <c r="D686" s="16" t="str">
        <f aca="false">IF($I686="","",INDEX(CONSOLIDADO!$C$2:$C$801,$I686))</f>
        <v/>
      </c>
      <c r="E686" s="16" t="str">
        <f aca="false">IF($I686="","",INDEX(CONSOLIDADO!$D$2:$D$801,$I686))</f>
        <v/>
      </c>
      <c r="F686" s="14" t="str">
        <f aca="false">IF($I686="","",INDEX(CONSOLIDADO!$E$2:$E$801,$I686))</f>
        <v/>
      </c>
      <c r="G686" s="16" t="str">
        <f aca="false">IF($I686="","",INDEX(CONSOLIDADO!$G$2:$G$801,$I686))</f>
        <v/>
      </c>
      <c r="H686" s="16" t="str">
        <f aca="false">IF($I686="","",INDEX(CONSOLIDADO!$H$2:$H$801,$I686))</f>
        <v/>
      </c>
      <c r="I686" s="11" t="str">
        <f aca="false">IFERROR(MATCH(ROW()-1,CONSOLIDADO!$AJ$2:$AJ$801,0),"")</f>
        <v/>
      </c>
      <c r="J686" s="11" t="str">
        <f aca="false">IF(B686="","",F686&amp;" "&amp;C686&amp;" ("&amp;B686&amp;")")</f>
        <v/>
      </c>
    </row>
    <row r="687" customFormat="false" ht="15" hidden="false" customHeight="false" outlineLevel="0" collapsed="false">
      <c r="A687" s="16"/>
      <c r="B687" s="11" t="str">
        <f aca="false">IF($I687="","",INDEX(CONSOLIDADO!$A$2:$A$801,$I687))</f>
        <v/>
      </c>
      <c r="C687" s="11" t="str">
        <f aca="false">IF($I687="","",INDEX(CONSOLIDADO!$B$2:$B$801,$I687))</f>
        <v/>
      </c>
      <c r="D687" s="16" t="str">
        <f aca="false">IF($I687="","",INDEX(CONSOLIDADO!$C$2:$C$801,$I687))</f>
        <v/>
      </c>
      <c r="E687" s="16" t="str">
        <f aca="false">IF($I687="","",INDEX(CONSOLIDADO!$D$2:$D$801,$I687))</f>
        <v/>
      </c>
      <c r="F687" s="14" t="str">
        <f aca="false">IF($I687="","",INDEX(CONSOLIDADO!$E$2:$E$801,$I687))</f>
        <v/>
      </c>
      <c r="G687" s="16" t="str">
        <f aca="false">IF($I687="","",INDEX(CONSOLIDADO!$G$2:$G$801,$I687))</f>
        <v/>
      </c>
      <c r="H687" s="16" t="str">
        <f aca="false">IF($I687="","",INDEX(CONSOLIDADO!$H$2:$H$801,$I687))</f>
        <v/>
      </c>
      <c r="I687" s="11" t="str">
        <f aca="false">IFERROR(MATCH(ROW()-1,CONSOLIDADO!$AJ$2:$AJ$801,0),"")</f>
        <v/>
      </c>
      <c r="J687" s="11" t="str">
        <f aca="false">IF(B687="","",F687&amp;" "&amp;C687&amp;" ("&amp;B687&amp;")")</f>
        <v/>
      </c>
    </row>
    <row r="688" customFormat="false" ht="15" hidden="false" customHeight="false" outlineLevel="0" collapsed="false">
      <c r="A688" s="16"/>
      <c r="B688" s="11" t="str">
        <f aca="false">IF($I688="","",INDEX(CONSOLIDADO!$A$2:$A$801,$I688))</f>
        <v/>
      </c>
      <c r="C688" s="11" t="str">
        <f aca="false">IF($I688="","",INDEX(CONSOLIDADO!$B$2:$B$801,$I688))</f>
        <v/>
      </c>
      <c r="D688" s="16" t="str">
        <f aca="false">IF($I688="","",INDEX(CONSOLIDADO!$C$2:$C$801,$I688))</f>
        <v/>
      </c>
      <c r="E688" s="16" t="str">
        <f aca="false">IF($I688="","",INDEX(CONSOLIDADO!$D$2:$D$801,$I688))</f>
        <v/>
      </c>
      <c r="F688" s="14" t="str">
        <f aca="false">IF($I688="","",INDEX(CONSOLIDADO!$E$2:$E$801,$I688))</f>
        <v/>
      </c>
      <c r="G688" s="16" t="str">
        <f aca="false">IF($I688="","",INDEX(CONSOLIDADO!$G$2:$G$801,$I688))</f>
        <v/>
      </c>
      <c r="H688" s="16" t="str">
        <f aca="false">IF($I688="","",INDEX(CONSOLIDADO!$H$2:$H$801,$I688))</f>
        <v/>
      </c>
      <c r="I688" s="11" t="str">
        <f aca="false">IFERROR(MATCH(ROW()-1,CONSOLIDADO!$AJ$2:$AJ$801,0),"")</f>
        <v/>
      </c>
      <c r="J688" s="11" t="str">
        <f aca="false">IF(B688="","",F688&amp;" "&amp;C688&amp;" ("&amp;B688&amp;")")</f>
        <v/>
      </c>
    </row>
    <row r="689" customFormat="false" ht="15" hidden="false" customHeight="false" outlineLevel="0" collapsed="false">
      <c r="A689" s="16"/>
      <c r="B689" s="11" t="str">
        <f aca="false">IF($I689="","",INDEX(CONSOLIDADO!$A$2:$A$801,$I689))</f>
        <v/>
      </c>
      <c r="C689" s="11" t="str">
        <f aca="false">IF($I689="","",INDEX(CONSOLIDADO!$B$2:$B$801,$I689))</f>
        <v/>
      </c>
      <c r="D689" s="16" t="str">
        <f aca="false">IF($I689="","",INDEX(CONSOLIDADO!$C$2:$C$801,$I689))</f>
        <v/>
      </c>
      <c r="E689" s="16" t="str">
        <f aca="false">IF($I689="","",INDEX(CONSOLIDADO!$D$2:$D$801,$I689))</f>
        <v/>
      </c>
      <c r="F689" s="14" t="str">
        <f aca="false">IF($I689="","",INDEX(CONSOLIDADO!$E$2:$E$801,$I689))</f>
        <v/>
      </c>
      <c r="G689" s="16" t="str">
        <f aca="false">IF($I689="","",INDEX(CONSOLIDADO!$G$2:$G$801,$I689))</f>
        <v/>
      </c>
      <c r="H689" s="16" t="str">
        <f aca="false">IF($I689="","",INDEX(CONSOLIDADO!$H$2:$H$801,$I689))</f>
        <v/>
      </c>
      <c r="I689" s="11" t="str">
        <f aca="false">IFERROR(MATCH(ROW()-1,CONSOLIDADO!$AJ$2:$AJ$801,0),"")</f>
        <v/>
      </c>
      <c r="J689" s="11" t="str">
        <f aca="false">IF(B689="","",F689&amp;" "&amp;C689&amp;" ("&amp;B689&amp;")")</f>
        <v/>
      </c>
    </row>
    <row r="690" customFormat="false" ht="15" hidden="false" customHeight="false" outlineLevel="0" collapsed="false">
      <c r="A690" s="16"/>
      <c r="B690" s="11" t="str">
        <f aca="false">IF($I690="","",INDEX(CONSOLIDADO!$A$2:$A$801,$I690))</f>
        <v/>
      </c>
      <c r="C690" s="11" t="str">
        <f aca="false">IF($I690="","",INDEX(CONSOLIDADO!$B$2:$B$801,$I690))</f>
        <v/>
      </c>
      <c r="D690" s="16" t="str">
        <f aca="false">IF($I690="","",INDEX(CONSOLIDADO!$C$2:$C$801,$I690))</f>
        <v/>
      </c>
      <c r="E690" s="16" t="str">
        <f aca="false">IF($I690="","",INDEX(CONSOLIDADO!$D$2:$D$801,$I690))</f>
        <v/>
      </c>
      <c r="F690" s="14" t="str">
        <f aca="false">IF($I690="","",INDEX(CONSOLIDADO!$E$2:$E$801,$I690))</f>
        <v/>
      </c>
      <c r="G690" s="16" t="str">
        <f aca="false">IF($I690="","",INDEX(CONSOLIDADO!$G$2:$G$801,$I690))</f>
        <v/>
      </c>
      <c r="H690" s="16" t="str">
        <f aca="false">IF($I690="","",INDEX(CONSOLIDADO!$H$2:$H$801,$I690))</f>
        <v/>
      </c>
      <c r="I690" s="11" t="str">
        <f aca="false">IFERROR(MATCH(ROW()-1,CONSOLIDADO!$AJ$2:$AJ$801,0),"")</f>
        <v/>
      </c>
      <c r="J690" s="11" t="str">
        <f aca="false">IF(B690="","",F690&amp;" "&amp;C690&amp;" ("&amp;B690&amp;")")</f>
        <v/>
      </c>
    </row>
    <row r="691" customFormat="false" ht="15" hidden="false" customHeight="false" outlineLevel="0" collapsed="false">
      <c r="A691" s="16"/>
      <c r="B691" s="11" t="str">
        <f aca="false">IF($I691="","",INDEX(CONSOLIDADO!$A$2:$A$801,$I691))</f>
        <v/>
      </c>
      <c r="C691" s="11" t="str">
        <f aca="false">IF($I691="","",INDEX(CONSOLIDADO!$B$2:$B$801,$I691))</f>
        <v/>
      </c>
      <c r="D691" s="16" t="str">
        <f aca="false">IF($I691="","",INDEX(CONSOLIDADO!$C$2:$C$801,$I691))</f>
        <v/>
      </c>
      <c r="E691" s="16" t="str">
        <f aca="false">IF($I691="","",INDEX(CONSOLIDADO!$D$2:$D$801,$I691))</f>
        <v/>
      </c>
      <c r="F691" s="14" t="str">
        <f aca="false">IF($I691="","",INDEX(CONSOLIDADO!$E$2:$E$801,$I691))</f>
        <v/>
      </c>
      <c r="G691" s="16" t="str">
        <f aca="false">IF($I691="","",INDEX(CONSOLIDADO!$G$2:$G$801,$I691))</f>
        <v/>
      </c>
      <c r="H691" s="16" t="str">
        <f aca="false">IF($I691="","",INDEX(CONSOLIDADO!$H$2:$H$801,$I691))</f>
        <v/>
      </c>
      <c r="I691" s="11" t="str">
        <f aca="false">IFERROR(MATCH(ROW()-1,CONSOLIDADO!$AJ$2:$AJ$801,0),"")</f>
        <v/>
      </c>
      <c r="J691" s="11" t="str">
        <f aca="false">IF(B691="","",F691&amp;" "&amp;C691&amp;" ("&amp;B691&amp;")")</f>
        <v/>
      </c>
    </row>
    <row r="692" customFormat="false" ht="15" hidden="false" customHeight="false" outlineLevel="0" collapsed="false">
      <c r="A692" s="16"/>
      <c r="B692" s="11" t="str">
        <f aca="false">IF($I692="","",INDEX(CONSOLIDADO!$A$2:$A$801,$I692))</f>
        <v/>
      </c>
      <c r="C692" s="11" t="str">
        <f aca="false">IF($I692="","",INDEX(CONSOLIDADO!$B$2:$B$801,$I692))</f>
        <v/>
      </c>
      <c r="D692" s="16" t="str">
        <f aca="false">IF($I692="","",INDEX(CONSOLIDADO!$C$2:$C$801,$I692))</f>
        <v/>
      </c>
      <c r="E692" s="16" t="str">
        <f aca="false">IF($I692="","",INDEX(CONSOLIDADO!$D$2:$D$801,$I692))</f>
        <v/>
      </c>
      <c r="F692" s="14" t="str">
        <f aca="false">IF($I692="","",INDEX(CONSOLIDADO!$E$2:$E$801,$I692))</f>
        <v/>
      </c>
      <c r="G692" s="16" t="str">
        <f aca="false">IF($I692="","",INDEX(CONSOLIDADO!$G$2:$G$801,$I692))</f>
        <v/>
      </c>
      <c r="H692" s="16" t="str">
        <f aca="false">IF($I692="","",INDEX(CONSOLIDADO!$H$2:$H$801,$I692))</f>
        <v/>
      </c>
      <c r="I692" s="11" t="str">
        <f aca="false">IFERROR(MATCH(ROW()-1,CONSOLIDADO!$AJ$2:$AJ$801,0),"")</f>
        <v/>
      </c>
      <c r="J692" s="11" t="str">
        <f aca="false">IF(B692="","",F692&amp;" "&amp;C692&amp;" ("&amp;B692&amp;")")</f>
        <v/>
      </c>
    </row>
    <row r="693" customFormat="false" ht="15" hidden="false" customHeight="false" outlineLevel="0" collapsed="false">
      <c r="A693" s="16"/>
      <c r="B693" s="11" t="str">
        <f aca="false">IF($I693="","",INDEX(CONSOLIDADO!$A$2:$A$801,$I693))</f>
        <v/>
      </c>
      <c r="C693" s="11" t="str">
        <f aca="false">IF($I693="","",INDEX(CONSOLIDADO!$B$2:$B$801,$I693))</f>
        <v/>
      </c>
      <c r="D693" s="16" t="str">
        <f aca="false">IF($I693="","",INDEX(CONSOLIDADO!$C$2:$C$801,$I693))</f>
        <v/>
      </c>
      <c r="E693" s="16" t="str">
        <f aca="false">IF($I693="","",INDEX(CONSOLIDADO!$D$2:$D$801,$I693))</f>
        <v/>
      </c>
      <c r="F693" s="14" t="str">
        <f aca="false">IF($I693="","",INDEX(CONSOLIDADO!$E$2:$E$801,$I693))</f>
        <v/>
      </c>
      <c r="G693" s="16" t="str">
        <f aca="false">IF($I693="","",INDEX(CONSOLIDADO!$G$2:$G$801,$I693))</f>
        <v/>
      </c>
      <c r="H693" s="16" t="str">
        <f aca="false">IF($I693="","",INDEX(CONSOLIDADO!$H$2:$H$801,$I693))</f>
        <v/>
      </c>
      <c r="I693" s="11" t="str">
        <f aca="false">IFERROR(MATCH(ROW()-1,CONSOLIDADO!$AJ$2:$AJ$801,0),"")</f>
        <v/>
      </c>
      <c r="J693" s="11" t="str">
        <f aca="false">IF(B693="","",F693&amp;" "&amp;C693&amp;" ("&amp;B693&amp;")")</f>
        <v/>
      </c>
    </row>
    <row r="694" customFormat="false" ht="15" hidden="false" customHeight="false" outlineLevel="0" collapsed="false">
      <c r="A694" s="16"/>
      <c r="B694" s="11" t="str">
        <f aca="false">IF($I694="","",INDEX(CONSOLIDADO!$A$2:$A$801,$I694))</f>
        <v/>
      </c>
      <c r="C694" s="11" t="str">
        <f aca="false">IF($I694="","",INDEX(CONSOLIDADO!$B$2:$B$801,$I694))</f>
        <v/>
      </c>
      <c r="D694" s="16" t="str">
        <f aca="false">IF($I694="","",INDEX(CONSOLIDADO!$C$2:$C$801,$I694))</f>
        <v/>
      </c>
      <c r="E694" s="16" t="str">
        <f aca="false">IF($I694="","",INDEX(CONSOLIDADO!$D$2:$D$801,$I694))</f>
        <v/>
      </c>
      <c r="F694" s="14" t="str">
        <f aca="false">IF($I694="","",INDEX(CONSOLIDADO!$E$2:$E$801,$I694))</f>
        <v/>
      </c>
      <c r="G694" s="16" t="str">
        <f aca="false">IF($I694="","",INDEX(CONSOLIDADO!$G$2:$G$801,$I694))</f>
        <v/>
      </c>
      <c r="H694" s="16" t="str">
        <f aca="false">IF($I694="","",INDEX(CONSOLIDADO!$H$2:$H$801,$I694))</f>
        <v/>
      </c>
      <c r="I694" s="11" t="str">
        <f aca="false">IFERROR(MATCH(ROW()-1,CONSOLIDADO!$AJ$2:$AJ$801,0),"")</f>
        <v/>
      </c>
      <c r="J694" s="11" t="str">
        <f aca="false">IF(B694="","",F694&amp;" "&amp;C694&amp;" ("&amp;B694&amp;")")</f>
        <v/>
      </c>
    </row>
    <row r="695" customFormat="false" ht="15" hidden="false" customHeight="false" outlineLevel="0" collapsed="false">
      <c r="A695" s="16"/>
      <c r="B695" s="11" t="str">
        <f aca="false">IF($I695="","",INDEX(CONSOLIDADO!$A$2:$A$801,$I695))</f>
        <v/>
      </c>
      <c r="C695" s="11" t="str">
        <f aca="false">IF($I695="","",INDEX(CONSOLIDADO!$B$2:$B$801,$I695))</f>
        <v/>
      </c>
      <c r="D695" s="16" t="str">
        <f aca="false">IF($I695="","",INDEX(CONSOLIDADO!$C$2:$C$801,$I695))</f>
        <v/>
      </c>
      <c r="E695" s="16" t="str">
        <f aca="false">IF($I695="","",INDEX(CONSOLIDADO!$D$2:$D$801,$I695))</f>
        <v/>
      </c>
      <c r="F695" s="14" t="str">
        <f aca="false">IF($I695="","",INDEX(CONSOLIDADO!$E$2:$E$801,$I695))</f>
        <v/>
      </c>
      <c r="G695" s="16" t="str">
        <f aca="false">IF($I695="","",INDEX(CONSOLIDADO!$G$2:$G$801,$I695))</f>
        <v/>
      </c>
      <c r="H695" s="16" t="str">
        <f aca="false">IF($I695="","",INDEX(CONSOLIDADO!$H$2:$H$801,$I695))</f>
        <v/>
      </c>
      <c r="I695" s="11" t="str">
        <f aca="false">IFERROR(MATCH(ROW()-1,CONSOLIDADO!$AJ$2:$AJ$801,0),"")</f>
        <v/>
      </c>
      <c r="J695" s="11" t="str">
        <f aca="false">IF(B695="","",F695&amp;" "&amp;C695&amp;" ("&amp;B695&amp;")")</f>
        <v/>
      </c>
    </row>
    <row r="696" customFormat="false" ht="15" hidden="false" customHeight="false" outlineLevel="0" collapsed="false">
      <c r="A696" s="16"/>
      <c r="B696" s="11" t="str">
        <f aca="false">IF($I696="","",INDEX(CONSOLIDADO!$A$2:$A$801,$I696))</f>
        <v/>
      </c>
      <c r="C696" s="11" t="str">
        <f aca="false">IF($I696="","",INDEX(CONSOLIDADO!$B$2:$B$801,$I696))</f>
        <v/>
      </c>
      <c r="D696" s="16" t="str">
        <f aca="false">IF($I696="","",INDEX(CONSOLIDADO!$C$2:$C$801,$I696))</f>
        <v/>
      </c>
      <c r="E696" s="16" t="str">
        <f aca="false">IF($I696="","",INDEX(CONSOLIDADO!$D$2:$D$801,$I696))</f>
        <v/>
      </c>
      <c r="F696" s="14" t="str">
        <f aca="false">IF($I696="","",INDEX(CONSOLIDADO!$E$2:$E$801,$I696))</f>
        <v/>
      </c>
      <c r="G696" s="16" t="str">
        <f aca="false">IF($I696="","",INDEX(CONSOLIDADO!$G$2:$G$801,$I696))</f>
        <v/>
      </c>
      <c r="H696" s="16" t="str">
        <f aca="false">IF($I696="","",INDEX(CONSOLIDADO!$H$2:$H$801,$I696))</f>
        <v/>
      </c>
      <c r="I696" s="11" t="str">
        <f aca="false">IFERROR(MATCH(ROW()-1,CONSOLIDADO!$AJ$2:$AJ$801,0),"")</f>
        <v/>
      </c>
      <c r="J696" s="11" t="str">
        <f aca="false">IF(B696="","",F696&amp;" "&amp;C696&amp;" ("&amp;B696&amp;")")</f>
        <v/>
      </c>
    </row>
    <row r="697" customFormat="false" ht="15" hidden="false" customHeight="false" outlineLevel="0" collapsed="false">
      <c r="A697" s="16"/>
      <c r="B697" s="11" t="str">
        <f aca="false">IF($I697="","",INDEX(CONSOLIDADO!$A$2:$A$801,$I697))</f>
        <v/>
      </c>
      <c r="C697" s="11" t="str">
        <f aca="false">IF($I697="","",INDEX(CONSOLIDADO!$B$2:$B$801,$I697))</f>
        <v/>
      </c>
      <c r="D697" s="16" t="str">
        <f aca="false">IF($I697="","",INDEX(CONSOLIDADO!$C$2:$C$801,$I697))</f>
        <v/>
      </c>
      <c r="E697" s="16" t="str">
        <f aca="false">IF($I697="","",INDEX(CONSOLIDADO!$D$2:$D$801,$I697))</f>
        <v/>
      </c>
      <c r="F697" s="14" t="str">
        <f aca="false">IF($I697="","",INDEX(CONSOLIDADO!$E$2:$E$801,$I697))</f>
        <v/>
      </c>
      <c r="G697" s="16" t="str">
        <f aca="false">IF($I697="","",INDEX(CONSOLIDADO!$G$2:$G$801,$I697))</f>
        <v/>
      </c>
      <c r="H697" s="16" t="str">
        <f aca="false">IF($I697="","",INDEX(CONSOLIDADO!$H$2:$H$801,$I697))</f>
        <v/>
      </c>
      <c r="I697" s="11" t="str">
        <f aca="false">IFERROR(MATCH(ROW()-1,CONSOLIDADO!$AJ$2:$AJ$801,0),"")</f>
        <v/>
      </c>
      <c r="J697" s="11" t="str">
        <f aca="false">IF(B697="","",F697&amp;" "&amp;C697&amp;" ("&amp;B697&amp;")")</f>
        <v/>
      </c>
    </row>
    <row r="698" customFormat="false" ht="15" hidden="false" customHeight="false" outlineLevel="0" collapsed="false">
      <c r="A698" s="16"/>
      <c r="B698" s="11" t="str">
        <f aca="false">IF($I698="","",INDEX(CONSOLIDADO!$A$2:$A$801,$I698))</f>
        <v/>
      </c>
      <c r="C698" s="11" t="str">
        <f aca="false">IF($I698="","",INDEX(CONSOLIDADO!$B$2:$B$801,$I698))</f>
        <v/>
      </c>
      <c r="D698" s="16" t="str">
        <f aca="false">IF($I698="","",INDEX(CONSOLIDADO!$C$2:$C$801,$I698))</f>
        <v/>
      </c>
      <c r="E698" s="16" t="str">
        <f aca="false">IF($I698="","",INDEX(CONSOLIDADO!$D$2:$D$801,$I698))</f>
        <v/>
      </c>
      <c r="F698" s="14" t="str">
        <f aca="false">IF($I698="","",INDEX(CONSOLIDADO!$E$2:$E$801,$I698))</f>
        <v/>
      </c>
      <c r="G698" s="16" t="str">
        <f aca="false">IF($I698="","",INDEX(CONSOLIDADO!$G$2:$G$801,$I698))</f>
        <v/>
      </c>
      <c r="H698" s="16" t="str">
        <f aca="false">IF($I698="","",INDEX(CONSOLIDADO!$H$2:$H$801,$I698))</f>
        <v/>
      </c>
      <c r="I698" s="11" t="str">
        <f aca="false">IFERROR(MATCH(ROW()-1,CONSOLIDADO!$AJ$2:$AJ$801,0),"")</f>
        <v/>
      </c>
      <c r="J698" s="11" t="str">
        <f aca="false">IF(B698="","",F698&amp;" "&amp;C698&amp;" ("&amp;B698&amp;")")</f>
        <v/>
      </c>
    </row>
    <row r="699" customFormat="false" ht="15" hidden="false" customHeight="false" outlineLevel="0" collapsed="false">
      <c r="A699" s="16"/>
      <c r="B699" s="11" t="str">
        <f aca="false">IF($I699="","",INDEX(CONSOLIDADO!$A$2:$A$801,$I699))</f>
        <v/>
      </c>
      <c r="C699" s="11" t="str">
        <f aca="false">IF($I699="","",INDEX(CONSOLIDADO!$B$2:$B$801,$I699))</f>
        <v/>
      </c>
      <c r="D699" s="16" t="str">
        <f aca="false">IF($I699="","",INDEX(CONSOLIDADO!$C$2:$C$801,$I699))</f>
        <v/>
      </c>
      <c r="E699" s="16" t="str">
        <f aca="false">IF($I699="","",INDEX(CONSOLIDADO!$D$2:$D$801,$I699))</f>
        <v/>
      </c>
      <c r="F699" s="14" t="str">
        <f aca="false">IF($I699="","",INDEX(CONSOLIDADO!$E$2:$E$801,$I699))</f>
        <v/>
      </c>
      <c r="G699" s="16" t="str">
        <f aca="false">IF($I699="","",INDEX(CONSOLIDADO!$G$2:$G$801,$I699))</f>
        <v/>
      </c>
      <c r="H699" s="16" t="str">
        <f aca="false">IF($I699="","",INDEX(CONSOLIDADO!$H$2:$H$801,$I699))</f>
        <v/>
      </c>
      <c r="I699" s="11" t="str">
        <f aca="false">IFERROR(MATCH(ROW()-1,CONSOLIDADO!$AJ$2:$AJ$801,0),"")</f>
        <v/>
      </c>
      <c r="J699" s="11" t="str">
        <f aca="false">IF(B699="","",F699&amp;" "&amp;C699&amp;" ("&amp;B699&amp;")")</f>
        <v/>
      </c>
    </row>
    <row r="700" customFormat="false" ht="15" hidden="false" customHeight="false" outlineLevel="0" collapsed="false">
      <c r="A700" s="16"/>
      <c r="B700" s="11" t="str">
        <f aca="false">IF($I700="","",INDEX(CONSOLIDADO!$A$2:$A$801,$I700))</f>
        <v/>
      </c>
      <c r="C700" s="11" t="str">
        <f aca="false">IF($I700="","",INDEX(CONSOLIDADO!$B$2:$B$801,$I700))</f>
        <v/>
      </c>
      <c r="D700" s="16" t="str">
        <f aca="false">IF($I700="","",INDEX(CONSOLIDADO!$C$2:$C$801,$I700))</f>
        <v/>
      </c>
      <c r="E700" s="16" t="str">
        <f aca="false">IF($I700="","",INDEX(CONSOLIDADO!$D$2:$D$801,$I700))</f>
        <v/>
      </c>
      <c r="F700" s="14" t="str">
        <f aca="false">IF($I700="","",INDEX(CONSOLIDADO!$E$2:$E$801,$I700))</f>
        <v/>
      </c>
      <c r="G700" s="16" t="str">
        <f aca="false">IF($I700="","",INDEX(CONSOLIDADO!$G$2:$G$801,$I700))</f>
        <v/>
      </c>
      <c r="H700" s="16" t="str">
        <f aca="false">IF($I700="","",INDEX(CONSOLIDADO!$H$2:$H$801,$I700))</f>
        <v/>
      </c>
      <c r="I700" s="11" t="str">
        <f aca="false">IFERROR(MATCH(ROW()-1,CONSOLIDADO!$AJ$2:$AJ$801,0),"")</f>
        <v/>
      </c>
      <c r="J700" s="11" t="str">
        <f aca="false">IF(B700="","",F700&amp;" "&amp;C700&amp;" ("&amp;B700&amp;")")</f>
        <v/>
      </c>
    </row>
    <row r="701" customFormat="false" ht="15" hidden="false" customHeight="false" outlineLevel="0" collapsed="false">
      <c r="A701" s="16"/>
      <c r="B701" s="11" t="str">
        <f aca="false">IF($I701="","",INDEX(CONSOLIDADO!$A$2:$A$801,$I701))</f>
        <v/>
      </c>
      <c r="C701" s="11" t="str">
        <f aca="false">IF($I701="","",INDEX(CONSOLIDADO!$B$2:$B$801,$I701))</f>
        <v/>
      </c>
      <c r="D701" s="16" t="str">
        <f aca="false">IF($I701="","",INDEX(CONSOLIDADO!$C$2:$C$801,$I701))</f>
        <v/>
      </c>
      <c r="E701" s="16" t="str">
        <f aca="false">IF($I701="","",INDEX(CONSOLIDADO!$D$2:$D$801,$I701))</f>
        <v/>
      </c>
      <c r="F701" s="14" t="str">
        <f aca="false">IF($I701="","",INDEX(CONSOLIDADO!$E$2:$E$801,$I701))</f>
        <v/>
      </c>
      <c r="G701" s="16" t="str">
        <f aca="false">IF($I701="","",INDEX(CONSOLIDADO!$G$2:$G$801,$I701))</f>
        <v/>
      </c>
      <c r="H701" s="16" t="str">
        <f aca="false">IF($I701="","",INDEX(CONSOLIDADO!$H$2:$H$801,$I701))</f>
        <v/>
      </c>
      <c r="I701" s="11" t="str">
        <f aca="false">IFERROR(MATCH(ROW()-1,CONSOLIDADO!$AJ$2:$AJ$801,0),"")</f>
        <v/>
      </c>
      <c r="J701" s="11" t="str">
        <f aca="false">IF(B701="","",F701&amp;" "&amp;C701&amp;" ("&amp;B701&amp;")")</f>
        <v/>
      </c>
    </row>
    <row r="702" customFormat="false" ht="15" hidden="false" customHeight="false" outlineLevel="0" collapsed="false">
      <c r="A702" s="16"/>
      <c r="B702" s="11" t="str">
        <f aca="false">IF($I702="","",INDEX(CONSOLIDADO!$A$2:$A$801,$I702))</f>
        <v/>
      </c>
      <c r="C702" s="11" t="str">
        <f aca="false">IF($I702="","",INDEX(CONSOLIDADO!$B$2:$B$801,$I702))</f>
        <v/>
      </c>
      <c r="D702" s="16" t="str">
        <f aca="false">IF($I702="","",INDEX(CONSOLIDADO!$C$2:$C$801,$I702))</f>
        <v/>
      </c>
      <c r="E702" s="16" t="str">
        <f aca="false">IF($I702="","",INDEX(CONSOLIDADO!$D$2:$D$801,$I702))</f>
        <v/>
      </c>
      <c r="F702" s="14" t="str">
        <f aca="false">IF($I702="","",INDEX(CONSOLIDADO!$E$2:$E$801,$I702))</f>
        <v/>
      </c>
      <c r="G702" s="16" t="str">
        <f aca="false">IF($I702="","",INDEX(CONSOLIDADO!$G$2:$G$801,$I702))</f>
        <v/>
      </c>
      <c r="H702" s="16" t="str">
        <f aca="false">IF($I702="","",INDEX(CONSOLIDADO!$H$2:$H$801,$I702))</f>
        <v/>
      </c>
      <c r="I702" s="11" t="str">
        <f aca="false">IFERROR(MATCH(ROW()-1,CONSOLIDADO!$AJ$2:$AJ$801,0),"")</f>
        <v/>
      </c>
      <c r="J702" s="11" t="str">
        <f aca="false">IF(B702="","",F702&amp;" "&amp;C702&amp;" ("&amp;B702&amp;")")</f>
        <v/>
      </c>
    </row>
    <row r="703" customFormat="false" ht="15" hidden="false" customHeight="false" outlineLevel="0" collapsed="false">
      <c r="A703" s="16"/>
      <c r="B703" s="11" t="str">
        <f aca="false">IF($I703="","",INDEX(CONSOLIDADO!$A$2:$A$801,$I703))</f>
        <v/>
      </c>
      <c r="C703" s="11" t="str">
        <f aca="false">IF($I703="","",INDEX(CONSOLIDADO!$B$2:$B$801,$I703))</f>
        <v/>
      </c>
      <c r="D703" s="16" t="str">
        <f aca="false">IF($I703="","",INDEX(CONSOLIDADO!$C$2:$C$801,$I703))</f>
        <v/>
      </c>
      <c r="E703" s="16" t="str">
        <f aca="false">IF($I703="","",INDEX(CONSOLIDADO!$D$2:$D$801,$I703))</f>
        <v/>
      </c>
      <c r="F703" s="14" t="str">
        <f aca="false">IF($I703="","",INDEX(CONSOLIDADO!$E$2:$E$801,$I703))</f>
        <v/>
      </c>
      <c r="G703" s="16" t="str">
        <f aca="false">IF($I703="","",INDEX(CONSOLIDADO!$G$2:$G$801,$I703))</f>
        <v/>
      </c>
      <c r="H703" s="16" t="str">
        <f aca="false">IF($I703="","",INDEX(CONSOLIDADO!$H$2:$H$801,$I703))</f>
        <v/>
      </c>
      <c r="I703" s="11" t="str">
        <f aca="false">IFERROR(MATCH(ROW()-1,CONSOLIDADO!$AJ$2:$AJ$801,0),"")</f>
        <v/>
      </c>
      <c r="J703" s="11" t="str">
        <f aca="false">IF(B703="","",F703&amp;" "&amp;C703&amp;" ("&amp;B703&amp;")")</f>
        <v/>
      </c>
    </row>
    <row r="704" customFormat="false" ht="15" hidden="false" customHeight="false" outlineLevel="0" collapsed="false">
      <c r="A704" s="16"/>
      <c r="B704" s="11" t="str">
        <f aca="false">IF($I704="","",INDEX(CONSOLIDADO!$A$2:$A$801,$I704))</f>
        <v/>
      </c>
      <c r="C704" s="11" t="str">
        <f aca="false">IF($I704="","",INDEX(CONSOLIDADO!$B$2:$B$801,$I704))</f>
        <v/>
      </c>
      <c r="D704" s="16" t="str">
        <f aca="false">IF($I704="","",INDEX(CONSOLIDADO!$C$2:$C$801,$I704))</f>
        <v/>
      </c>
      <c r="E704" s="16" t="str">
        <f aca="false">IF($I704="","",INDEX(CONSOLIDADO!$D$2:$D$801,$I704))</f>
        <v/>
      </c>
      <c r="F704" s="14" t="str">
        <f aca="false">IF($I704="","",INDEX(CONSOLIDADO!$E$2:$E$801,$I704))</f>
        <v/>
      </c>
      <c r="G704" s="16" t="str">
        <f aca="false">IF($I704="","",INDEX(CONSOLIDADO!$G$2:$G$801,$I704))</f>
        <v/>
      </c>
      <c r="H704" s="16" t="str">
        <f aca="false">IF($I704="","",INDEX(CONSOLIDADO!$H$2:$H$801,$I704))</f>
        <v/>
      </c>
      <c r="I704" s="11" t="str">
        <f aca="false">IFERROR(MATCH(ROW()-1,CONSOLIDADO!$AJ$2:$AJ$801,0),"")</f>
        <v/>
      </c>
      <c r="J704" s="11" t="str">
        <f aca="false">IF(B704="","",F704&amp;" "&amp;C704&amp;" ("&amp;B704&amp;")")</f>
        <v/>
      </c>
    </row>
    <row r="705" customFormat="false" ht="15" hidden="false" customHeight="false" outlineLevel="0" collapsed="false">
      <c r="A705" s="16"/>
      <c r="B705" s="11" t="str">
        <f aca="false">IF($I705="","",INDEX(CONSOLIDADO!$A$2:$A$801,$I705))</f>
        <v/>
      </c>
      <c r="C705" s="11" t="str">
        <f aca="false">IF($I705="","",INDEX(CONSOLIDADO!$B$2:$B$801,$I705))</f>
        <v/>
      </c>
      <c r="D705" s="16" t="str">
        <f aca="false">IF($I705="","",INDEX(CONSOLIDADO!$C$2:$C$801,$I705))</f>
        <v/>
      </c>
      <c r="E705" s="16" t="str">
        <f aca="false">IF($I705="","",INDEX(CONSOLIDADO!$D$2:$D$801,$I705))</f>
        <v/>
      </c>
      <c r="F705" s="14" t="str">
        <f aca="false">IF($I705="","",INDEX(CONSOLIDADO!$E$2:$E$801,$I705))</f>
        <v/>
      </c>
      <c r="G705" s="16" t="str">
        <f aca="false">IF($I705="","",INDEX(CONSOLIDADO!$G$2:$G$801,$I705))</f>
        <v/>
      </c>
      <c r="H705" s="16" t="str">
        <f aca="false">IF($I705="","",INDEX(CONSOLIDADO!$H$2:$H$801,$I705))</f>
        <v/>
      </c>
      <c r="I705" s="11" t="str">
        <f aca="false">IFERROR(MATCH(ROW()-1,CONSOLIDADO!$AJ$2:$AJ$801,0),"")</f>
        <v/>
      </c>
      <c r="J705" s="11" t="str">
        <f aca="false">IF(B705="","",F705&amp;" "&amp;C705&amp;" ("&amp;B705&amp;")")</f>
        <v/>
      </c>
    </row>
    <row r="706" customFormat="false" ht="15" hidden="false" customHeight="false" outlineLevel="0" collapsed="false">
      <c r="A706" s="16"/>
      <c r="B706" s="11" t="str">
        <f aca="false">IF($I706="","",INDEX(CONSOLIDADO!$A$2:$A$801,$I706))</f>
        <v/>
      </c>
      <c r="C706" s="11" t="str">
        <f aca="false">IF($I706="","",INDEX(CONSOLIDADO!$B$2:$B$801,$I706))</f>
        <v/>
      </c>
      <c r="D706" s="16" t="str">
        <f aca="false">IF($I706="","",INDEX(CONSOLIDADO!$C$2:$C$801,$I706))</f>
        <v/>
      </c>
      <c r="E706" s="16" t="str">
        <f aca="false">IF($I706="","",INDEX(CONSOLIDADO!$D$2:$D$801,$I706))</f>
        <v/>
      </c>
      <c r="F706" s="14" t="str">
        <f aca="false">IF($I706="","",INDEX(CONSOLIDADO!$E$2:$E$801,$I706))</f>
        <v/>
      </c>
      <c r="G706" s="16" t="str">
        <f aca="false">IF($I706="","",INDEX(CONSOLIDADO!$G$2:$G$801,$I706))</f>
        <v/>
      </c>
      <c r="H706" s="16" t="str">
        <f aca="false">IF($I706="","",INDEX(CONSOLIDADO!$H$2:$H$801,$I706))</f>
        <v/>
      </c>
      <c r="I706" s="11" t="str">
        <f aca="false">IFERROR(MATCH(ROW()-1,CONSOLIDADO!$AJ$2:$AJ$801,0),"")</f>
        <v/>
      </c>
      <c r="J706" s="11" t="str">
        <f aca="false">IF(B706="","",F706&amp;" "&amp;C706&amp;" ("&amp;B706&amp;")")</f>
        <v/>
      </c>
    </row>
    <row r="707" customFormat="false" ht="15" hidden="false" customHeight="false" outlineLevel="0" collapsed="false">
      <c r="A707" s="16"/>
      <c r="B707" s="11" t="str">
        <f aca="false">IF($I707="","",INDEX(CONSOLIDADO!$A$2:$A$801,$I707))</f>
        <v/>
      </c>
      <c r="C707" s="11" t="str">
        <f aca="false">IF($I707="","",INDEX(CONSOLIDADO!$B$2:$B$801,$I707))</f>
        <v/>
      </c>
      <c r="D707" s="16" t="str">
        <f aca="false">IF($I707="","",INDEX(CONSOLIDADO!$C$2:$C$801,$I707))</f>
        <v/>
      </c>
      <c r="E707" s="16" t="str">
        <f aca="false">IF($I707="","",INDEX(CONSOLIDADO!$D$2:$D$801,$I707))</f>
        <v/>
      </c>
      <c r="F707" s="14" t="str">
        <f aca="false">IF($I707="","",INDEX(CONSOLIDADO!$E$2:$E$801,$I707))</f>
        <v/>
      </c>
      <c r="G707" s="16" t="str">
        <f aca="false">IF($I707="","",INDEX(CONSOLIDADO!$G$2:$G$801,$I707))</f>
        <v/>
      </c>
      <c r="H707" s="16" t="str">
        <f aca="false">IF($I707="","",INDEX(CONSOLIDADO!$H$2:$H$801,$I707))</f>
        <v/>
      </c>
      <c r="I707" s="11" t="str">
        <f aca="false">IFERROR(MATCH(ROW()-1,CONSOLIDADO!$AJ$2:$AJ$801,0),"")</f>
        <v/>
      </c>
      <c r="J707" s="11" t="str">
        <f aca="false">IF(B707="","",F707&amp;" "&amp;C707&amp;" ("&amp;B707&amp;")")</f>
        <v/>
      </c>
    </row>
    <row r="708" customFormat="false" ht="15" hidden="false" customHeight="false" outlineLevel="0" collapsed="false">
      <c r="A708" s="16"/>
      <c r="B708" s="11" t="str">
        <f aca="false">IF($I708="","",INDEX(CONSOLIDADO!$A$2:$A$801,$I708))</f>
        <v/>
      </c>
      <c r="C708" s="11" t="str">
        <f aca="false">IF($I708="","",INDEX(CONSOLIDADO!$B$2:$B$801,$I708))</f>
        <v/>
      </c>
      <c r="D708" s="16" t="str">
        <f aca="false">IF($I708="","",INDEX(CONSOLIDADO!$C$2:$C$801,$I708))</f>
        <v/>
      </c>
      <c r="E708" s="16" t="str">
        <f aca="false">IF($I708="","",INDEX(CONSOLIDADO!$D$2:$D$801,$I708))</f>
        <v/>
      </c>
      <c r="F708" s="14" t="str">
        <f aca="false">IF($I708="","",INDEX(CONSOLIDADO!$E$2:$E$801,$I708))</f>
        <v/>
      </c>
      <c r="G708" s="16" t="str">
        <f aca="false">IF($I708="","",INDEX(CONSOLIDADO!$G$2:$G$801,$I708))</f>
        <v/>
      </c>
      <c r="H708" s="16" t="str">
        <f aca="false">IF($I708="","",INDEX(CONSOLIDADO!$H$2:$H$801,$I708))</f>
        <v/>
      </c>
      <c r="I708" s="11" t="str">
        <f aca="false">IFERROR(MATCH(ROW()-1,CONSOLIDADO!$AJ$2:$AJ$801,0),"")</f>
        <v/>
      </c>
      <c r="J708" s="11" t="str">
        <f aca="false">IF(B708="","",F708&amp;" "&amp;C708&amp;" ("&amp;B708&amp;")")</f>
        <v/>
      </c>
    </row>
    <row r="709" customFormat="false" ht="15" hidden="false" customHeight="false" outlineLevel="0" collapsed="false">
      <c r="A709" s="16"/>
      <c r="B709" s="11" t="str">
        <f aca="false">IF($I709="","",INDEX(CONSOLIDADO!$A$2:$A$801,$I709))</f>
        <v/>
      </c>
      <c r="C709" s="11" t="str">
        <f aca="false">IF($I709="","",INDEX(CONSOLIDADO!$B$2:$B$801,$I709))</f>
        <v/>
      </c>
      <c r="D709" s="16" t="str">
        <f aca="false">IF($I709="","",INDEX(CONSOLIDADO!$C$2:$C$801,$I709))</f>
        <v/>
      </c>
      <c r="E709" s="16" t="str">
        <f aca="false">IF($I709="","",INDEX(CONSOLIDADO!$D$2:$D$801,$I709))</f>
        <v/>
      </c>
      <c r="F709" s="14" t="str">
        <f aca="false">IF($I709="","",INDEX(CONSOLIDADO!$E$2:$E$801,$I709))</f>
        <v/>
      </c>
      <c r="G709" s="16" t="str">
        <f aca="false">IF($I709="","",INDEX(CONSOLIDADO!$G$2:$G$801,$I709))</f>
        <v/>
      </c>
      <c r="H709" s="16" t="str">
        <f aca="false">IF($I709="","",INDEX(CONSOLIDADO!$H$2:$H$801,$I709))</f>
        <v/>
      </c>
      <c r="I709" s="11" t="str">
        <f aca="false">IFERROR(MATCH(ROW()-1,CONSOLIDADO!$AJ$2:$AJ$801,0),"")</f>
        <v/>
      </c>
      <c r="J709" s="11" t="str">
        <f aca="false">IF(B709="","",F709&amp;" "&amp;C709&amp;" ("&amp;B709&amp;")")</f>
        <v/>
      </c>
    </row>
    <row r="710" customFormat="false" ht="15" hidden="false" customHeight="false" outlineLevel="0" collapsed="false">
      <c r="A710" s="16"/>
      <c r="B710" s="11" t="str">
        <f aca="false">IF($I710="","",INDEX(CONSOLIDADO!$A$2:$A$801,$I710))</f>
        <v/>
      </c>
      <c r="C710" s="11" t="str">
        <f aca="false">IF($I710="","",INDEX(CONSOLIDADO!$B$2:$B$801,$I710))</f>
        <v/>
      </c>
      <c r="D710" s="16" t="str">
        <f aca="false">IF($I710="","",INDEX(CONSOLIDADO!$C$2:$C$801,$I710))</f>
        <v/>
      </c>
      <c r="E710" s="16" t="str">
        <f aca="false">IF($I710="","",INDEX(CONSOLIDADO!$D$2:$D$801,$I710))</f>
        <v/>
      </c>
      <c r="F710" s="14" t="str">
        <f aca="false">IF($I710="","",INDEX(CONSOLIDADO!$E$2:$E$801,$I710))</f>
        <v/>
      </c>
      <c r="G710" s="16" t="str">
        <f aca="false">IF($I710="","",INDEX(CONSOLIDADO!$G$2:$G$801,$I710))</f>
        <v/>
      </c>
      <c r="H710" s="16" t="str">
        <f aca="false">IF($I710="","",INDEX(CONSOLIDADO!$H$2:$H$801,$I710))</f>
        <v/>
      </c>
      <c r="I710" s="11" t="str">
        <f aca="false">IFERROR(MATCH(ROW()-1,CONSOLIDADO!$AJ$2:$AJ$801,0),"")</f>
        <v/>
      </c>
      <c r="J710" s="11" t="str">
        <f aca="false">IF(B710="","",F710&amp;" "&amp;C710&amp;" ("&amp;B710&amp;")")</f>
        <v/>
      </c>
    </row>
    <row r="711" customFormat="false" ht="15" hidden="false" customHeight="false" outlineLevel="0" collapsed="false">
      <c r="A711" s="16"/>
      <c r="B711" s="11" t="str">
        <f aca="false">IF($I711="","",INDEX(CONSOLIDADO!$A$2:$A$801,$I711))</f>
        <v/>
      </c>
      <c r="C711" s="11" t="str">
        <f aca="false">IF($I711="","",INDEX(CONSOLIDADO!$B$2:$B$801,$I711))</f>
        <v/>
      </c>
      <c r="D711" s="16" t="str">
        <f aca="false">IF($I711="","",INDEX(CONSOLIDADO!$C$2:$C$801,$I711))</f>
        <v/>
      </c>
      <c r="E711" s="16" t="str">
        <f aca="false">IF($I711="","",INDEX(CONSOLIDADO!$D$2:$D$801,$I711))</f>
        <v/>
      </c>
      <c r="F711" s="14" t="str">
        <f aca="false">IF($I711="","",INDEX(CONSOLIDADO!$E$2:$E$801,$I711))</f>
        <v/>
      </c>
      <c r="G711" s="16" t="str">
        <f aca="false">IF($I711="","",INDEX(CONSOLIDADO!$G$2:$G$801,$I711))</f>
        <v/>
      </c>
      <c r="H711" s="16" t="str">
        <f aca="false">IF($I711="","",INDEX(CONSOLIDADO!$H$2:$H$801,$I711))</f>
        <v/>
      </c>
      <c r="I711" s="11" t="str">
        <f aca="false">IFERROR(MATCH(ROW()-1,CONSOLIDADO!$AJ$2:$AJ$801,0),"")</f>
        <v/>
      </c>
      <c r="J711" s="11" t="str">
        <f aca="false">IF(B711="","",F711&amp;" "&amp;C711&amp;" ("&amp;B711&amp;")")</f>
        <v/>
      </c>
    </row>
    <row r="712" customFormat="false" ht="15" hidden="false" customHeight="false" outlineLevel="0" collapsed="false">
      <c r="A712" s="16"/>
      <c r="B712" s="11" t="str">
        <f aca="false">IF($I712="","",INDEX(CONSOLIDADO!$A$2:$A$801,$I712))</f>
        <v/>
      </c>
      <c r="C712" s="11" t="str">
        <f aca="false">IF($I712="","",INDEX(CONSOLIDADO!$B$2:$B$801,$I712))</f>
        <v/>
      </c>
      <c r="D712" s="16" t="str">
        <f aca="false">IF($I712="","",INDEX(CONSOLIDADO!$C$2:$C$801,$I712))</f>
        <v/>
      </c>
      <c r="E712" s="16" t="str">
        <f aca="false">IF($I712="","",INDEX(CONSOLIDADO!$D$2:$D$801,$I712))</f>
        <v/>
      </c>
      <c r="F712" s="14" t="str">
        <f aca="false">IF($I712="","",INDEX(CONSOLIDADO!$E$2:$E$801,$I712))</f>
        <v/>
      </c>
      <c r="G712" s="16" t="str">
        <f aca="false">IF($I712="","",INDEX(CONSOLIDADO!$G$2:$G$801,$I712))</f>
        <v/>
      </c>
      <c r="H712" s="16" t="str">
        <f aca="false">IF($I712="","",INDEX(CONSOLIDADO!$H$2:$H$801,$I712))</f>
        <v/>
      </c>
      <c r="I712" s="11" t="str">
        <f aca="false">IFERROR(MATCH(ROW()-1,CONSOLIDADO!$AJ$2:$AJ$801,0),"")</f>
        <v/>
      </c>
      <c r="J712" s="11" t="str">
        <f aca="false">IF(B712="","",F712&amp;" "&amp;C712&amp;" ("&amp;B712&amp;")")</f>
        <v/>
      </c>
    </row>
    <row r="713" customFormat="false" ht="15" hidden="false" customHeight="false" outlineLevel="0" collapsed="false">
      <c r="A713" s="16"/>
      <c r="B713" s="11" t="str">
        <f aca="false">IF($I713="","",INDEX(CONSOLIDADO!$A$2:$A$801,$I713))</f>
        <v/>
      </c>
      <c r="C713" s="11" t="str">
        <f aca="false">IF($I713="","",INDEX(CONSOLIDADO!$B$2:$B$801,$I713))</f>
        <v/>
      </c>
      <c r="D713" s="16" t="str">
        <f aca="false">IF($I713="","",INDEX(CONSOLIDADO!$C$2:$C$801,$I713))</f>
        <v/>
      </c>
      <c r="E713" s="16" t="str">
        <f aca="false">IF($I713="","",INDEX(CONSOLIDADO!$D$2:$D$801,$I713))</f>
        <v/>
      </c>
      <c r="F713" s="14" t="str">
        <f aca="false">IF($I713="","",INDEX(CONSOLIDADO!$E$2:$E$801,$I713))</f>
        <v/>
      </c>
      <c r="G713" s="16" t="str">
        <f aca="false">IF($I713="","",INDEX(CONSOLIDADO!$G$2:$G$801,$I713))</f>
        <v/>
      </c>
      <c r="H713" s="16" t="str">
        <f aca="false">IF($I713="","",INDEX(CONSOLIDADO!$H$2:$H$801,$I713))</f>
        <v/>
      </c>
      <c r="I713" s="11" t="str">
        <f aca="false">IFERROR(MATCH(ROW()-1,CONSOLIDADO!$AJ$2:$AJ$801,0),"")</f>
        <v/>
      </c>
      <c r="J713" s="11" t="str">
        <f aca="false">IF(B713="","",F713&amp;" "&amp;C713&amp;" ("&amp;B713&amp;")")</f>
        <v/>
      </c>
    </row>
    <row r="714" customFormat="false" ht="15" hidden="false" customHeight="false" outlineLevel="0" collapsed="false">
      <c r="A714" s="16"/>
      <c r="B714" s="11" t="str">
        <f aca="false">IF($I714="","",INDEX(CONSOLIDADO!$A$2:$A$801,$I714))</f>
        <v/>
      </c>
      <c r="C714" s="11" t="str">
        <f aca="false">IF($I714="","",INDEX(CONSOLIDADO!$B$2:$B$801,$I714))</f>
        <v/>
      </c>
      <c r="D714" s="16" t="str">
        <f aca="false">IF($I714="","",INDEX(CONSOLIDADO!$C$2:$C$801,$I714))</f>
        <v/>
      </c>
      <c r="E714" s="16" t="str">
        <f aca="false">IF($I714="","",INDEX(CONSOLIDADO!$D$2:$D$801,$I714))</f>
        <v/>
      </c>
      <c r="F714" s="14" t="str">
        <f aca="false">IF($I714="","",INDEX(CONSOLIDADO!$E$2:$E$801,$I714))</f>
        <v/>
      </c>
      <c r="G714" s="16" t="str">
        <f aca="false">IF($I714="","",INDEX(CONSOLIDADO!$G$2:$G$801,$I714))</f>
        <v/>
      </c>
      <c r="H714" s="16" t="str">
        <f aca="false">IF($I714="","",INDEX(CONSOLIDADO!$H$2:$H$801,$I714))</f>
        <v/>
      </c>
      <c r="I714" s="11" t="str">
        <f aca="false">IFERROR(MATCH(ROW()-1,CONSOLIDADO!$AJ$2:$AJ$801,0),"")</f>
        <v/>
      </c>
      <c r="J714" s="11" t="str">
        <f aca="false">IF(B714="","",F714&amp;" "&amp;C714&amp;" ("&amp;B714&amp;")")</f>
        <v/>
      </c>
    </row>
    <row r="715" customFormat="false" ht="15" hidden="false" customHeight="false" outlineLevel="0" collapsed="false">
      <c r="A715" s="16"/>
      <c r="B715" s="11" t="str">
        <f aca="false">IF($I715="","",INDEX(CONSOLIDADO!$A$2:$A$801,$I715))</f>
        <v/>
      </c>
      <c r="C715" s="11" t="str">
        <f aca="false">IF($I715="","",INDEX(CONSOLIDADO!$B$2:$B$801,$I715))</f>
        <v/>
      </c>
      <c r="D715" s="16" t="str">
        <f aca="false">IF($I715="","",INDEX(CONSOLIDADO!$C$2:$C$801,$I715))</f>
        <v/>
      </c>
      <c r="E715" s="16" t="str">
        <f aca="false">IF($I715="","",INDEX(CONSOLIDADO!$D$2:$D$801,$I715))</f>
        <v/>
      </c>
      <c r="F715" s="14" t="str">
        <f aca="false">IF($I715="","",INDEX(CONSOLIDADO!$E$2:$E$801,$I715))</f>
        <v/>
      </c>
      <c r="G715" s="16" t="str">
        <f aca="false">IF($I715="","",INDEX(CONSOLIDADO!$G$2:$G$801,$I715))</f>
        <v/>
      </c>
      <c r="H715" s="16" t="str">
        <f aca="false">IF($I715="","",INDEX(CONSOLIDADO!$H$2:$H$801,$I715))</f>
        <v/>
      </c>
      <c r="I715" s="11" t="str">
        <f aca="false">IFERROR(MATCH(ROW()-1,CONSOLIDADO!$AJ$2:$AJ$801,0),"")</f>
        <v/>
      </c>
      <c r="J715" s="11" t="str">
        <f aca="false">IF(B715="","",F715&amp;" "&amp;C715&amp;" ("&amp;B715&amp;")")</f>
        <v/>
      </c>
    </row>
    <row r="716" customFormat="false" ht="15" hidden="false" customHeight="false" outlineLevel="0" collapsed="false">
      <c r="A716" s="16"/>
      <c r="B716" s="11" t="str">
        <f aca="false">IF($I716="","",INDEX(CONSOLIDADO!$A$2:$A$801,$I716))</f>
        <v/>
      </c>
      <c r="C716" s="11" t="str">
        <f aca="false">IF($I716="","",INDEX(CONSOLIDADO!$B$2:$B$801,$I716))</f>
        <v/>
      </c>
      <c r="D716" s="16" t="str">
        <f aca="false">IF($I716="","",INDEX(CONSOLIDADO!$C$2:$C$801,$I716))</f>
        <v/>
      </c>
      <c r="E716" s="16" t="str">
        <f aca="false">IF($I716="","",INDEX(CONSOLIDADO!$D$2:$D$801,$I716))</f>
        <v/>
      </c>
      <c r="F716" s="14" t="str">
        <f aca="false">IF($I716="","",INDEX(CONSOLIDADO!$E$2:$E$801,$I716))</f>
        <v/>
      </c>
      <c r="G716" s="16" t="str">
        <f aca="false">IF($I716="","",INDEX(CONSOLIDADO!$G$2:$G$801,$I716))</f>
        <v/>
      </c>
      <c r="H716" s="16" t="str">
        <f aca="false">IF($I716="","",INDEX(CONSOLIDADO!$H$2:$H$801,$I716))</f>
        <v/>
      </c>
      <c r="I716" s="11" t="str">
        <f aca="false">IFERROR(MATCH(ROW()-1,CONSOLIDADO!$AJ$2:$AJ$801,0),"")</f>
        <v/>
      </c>
      <c r="J716" s="11" t="str">
        <f aca="false">IF(B716="","",F716&amp;" "&amp;C716&amp;" ("&amp;B716&amp;")")</f>
        <v/>
      </c>
    </row>
    <row r="717" customFormat="false" ht="15" hidden="false" customHeight="false" outlineLevel="0" collapsed="false">
      <c r="A717" s="16"/>
      <c r="B717" s="11" t="str">
        <f aca="false">IF($I717="","",INDEX(CONSOLIDADO!$A$2:$A$801,$I717))</f>
        <v/>
      </c>
      <c r="C717" s="11" t="str">
        <f aca="false">IF($I717="","",INDEX(CONSOLIDADO!$B$2:$B$801,$I717))</f>
        <v/>
      </c>
      <c r="D717" s="16" t="str">
        <f aca="false">IF($I717="","",INDEX(CONSOLIDADO!$C$2:$C$801,$I717))</f>
        <v/>
      </c>
      <c r="E717" s="16" t="str">
        <f aca="false">IF($I717="","",INDEX(CONSOLIDADO!$D$2:$D$801,$I717))</f>
        <v/>
      </c>
      <c r="F717" s="14" t="str">
        <f aca="false">IF($I717="","",INDEX(CONSOLIDADO!$E$2:$E$801,$I717))</f>
        <v/>
      </c>
      <c r="G717" s="16" t="str">
        <f aca="false">IF($I717="","",INDEX(CONSOLIDADO!$G$2:$G$801,$I717))</f>
        <v/>
      </c>
      <c r="H717" s="16" t="str">
        <f aca="false">IF($I717="","",INDEX(CONSOLIDADO!$H$2:$H$801,$I717))</f>
        <v/>
      </c>
      <c r="I717" s="11" t="str">
        <f aca="false">IFERROR(MATCH(ROW()-1,CONSOLIDADO!$AJ$2:$AJ$801,0),"")</f>
        <v/>
      </c>
      <c r="J717" s="11" t="str">
        <f aca="false">IF(B717="","",F717&amp;" "&amp;C717&amp;" ("&amp;B717&amp;")")</f>
        <v/>
      </c>
    </row>
    <row r="718" customFormat="false" ht="15" hidden="false" customHeight="false" outlineLevel="0" collapsed="false">
      <c r="A718" s="16"/>
      <c r="B718" s="11" t="str">
        <f aca="false">IF($I718="","",INDEX(CONSOLIDADO!$A$2:$A$801,$I718))</f>
        <v/>
      </c>
      <c r="C718" s="11" t="str">
        <f aca="false">IF($I718="","",INDEX(CONSOLIDADO!$B$2:$B$801,$I718))</f>
        <v/>
      </c>
      <c r="D718" s="16" t="str">
        <f aca="false">IF($I718="","",INDEX(CONSOLIDADO!$C$2:$C$801,$I718))</f>
        <v/>
      </c>
      <c r="E718" s="16" t="str">
        <f aca="false">IF($I718="","",INDEX(CONSOLIDADO!$D$2:$D$801,$I718))</f>
        <v/>
      </c>
      <c r="F718" s="14" t="str">
        <f aca="false">IF($I718="","",INDEX(CONSOLIDADO!$E$2:$E$801,$I718))</f>
        <v/>
      </c>
      <c r="G718" s="16" t="str">
        <f aca="false">IF($I718="","",INDEX(CONSOLIDADO!$G$2:$G$801,$I718))</f>
        <v/>
      </c>
      <c r="H718" s="16" t="str">
        <f aca="false">IF($I718="","",INDEX(CONSOLIDADO!$H$2:$H$801,$I718))</f>
        <v/>
      </c>
      <c r="I718" s="11" t="str">
        <f aca="false">IFERROR(MATCH(ROW()-1,CONSOLIDADO!$AJ$2:$AJ$801,0),"")</f>
        <v/>
      </c>
      <c r="J718" s="11" t="str">
        <f aca="false">IF(B718="","",F718&amp;" "&amp;C718&amp;" ("&amp;B718&amp;")")</f>
        <v/>
      </c>
    </row>
    <row r="719" customFormat="false" ht="15" hidden="false" customHeight="false" outlineLevel="0" collapsed="false">
      <c r="A719" s="16"/>
      <c r="B719" s="11" t="str">
        <f aca="false">IF($I719="","",INDEX(CONSOLIDADO!$A$2:$A$801,$I719))</f>
        <v/>
      </c>
      <c r="C719" s="11" t="str">
        <f aca="false">IF($I719="","",INDEX(CONSOLIDADO!$B$2:$B$801,$I719))</f>
        <v/>
      </c>
      <c r="D719" s="16" t="str">
        <f aca="false">IF($I719="","",INDEX(CONSOLIDADO!$C$2:$C$801,$I719))</f>
        <v/>
      </c>
      <c r="E719" s="16" t="str">
        <f aca="false">IF($I719="","",INDEX(CONSOLIDADO!$D$2:$D$801,$I719))</f>
        <v/>
      </c>
      <c r="F719" s="14" t="str">
        <f aca="false">IF($I719="","",INDEX(CONSOLIDADO!$E$2:$E$801,$I719))</f>
        <v/>
      </c>
      <c r="G719" s="16" t="str">
        <f aca="false">IF($I719="","",INDEX(CONSOLIDADO!$G$2:$G$801,$I719))</f>
        <v/>
      </c>
      <c r="H719" s="16" t="str">
        <f aca="false">IF($I719="","",INDEX(CONSOLIDADO!$H$2:$H$801,$I719))</f>
        <v/>
      </c>
      <c r="I719" s="11" t="str">
        <f aca="false">IFERROR(MATCH(ROW()-1,CONSOLIDADO!$AJ$2:$AJ$801,0),"")</f>
        <v/>
      </c>
      <c r="J719" s="11" t="str">
        <f aca="false">IF(B719="","",F719&amp;" "&amp;C719&amp;" ("&amp;B719&amp;")")</f>
        <v/>
      </c>
    </row>
    <row r="720" customFormat="false" ht="15" hidden="false" customHeight="false" outlineLevel="0" collapsed="false">
      <c r="A720" s="16"/>
      <c r="B720" s="11" t="str">
        <f aca="false">IF($I720="","",INDEX(CONSOLIDADO!$A$2:$A$801,$I720))</f>
        <v/>
      </c>
      <c r="C720" s="11" t="str">
        <f aca="false">IF($I720="","",INDEX(CONSOLIDADO!$B$2:$B$801,$I720))</f>
        <v/>
      </c>
      <c r="D720" s="16" t="str">
        <f aca="false">IF($I720="","",INDEX(CONSOLIDADO!$C$2:$C$801,$I720))</f>
        <v/>
      </c>
      <c r="E720" s="16" t="str">
        <f aca="false">IF($I720="","",INDEX(CONSOLIDADO!$D$2:$D$801,$I720))</f>
        <v/>
      </c>
      <c r="F720" s="14" t="str">
        <f aca="false">IF($I720="","",INDEX(CONSOLIDADO!$E$2:$E$801,$I720))</f>
        <v/>
      </c>
      <c r="G720" s="16" t="str">
        <f aca="false">IF($I720="","",INDEX(CONSOLIDADO!$G$2:$G$801,$I720))</f>
        <v/>
      </c>
      <c r="H720" s="16" t="str">
        <f aca="false">IF($I720="","",INDEX(CONSOLIDADO!$H$2:$H$801,$I720))</f>
        <v/>
      </c>
      <c r="I720" s="11" t="str">
        <f aca="false">IFERROR(MATCH(ROW()-1,CONSOLIDADO!$AJ$2:$AJ$801,0),"")</f>
        <v/>
      </c>
      <c r="J720" s="11" t="str">
        <f aca="false">IF(B720="","",F720&amp;" "&amp;C720&amp;" ("&amp;B720&amp;")")</f>
        <v/>
      </c>
    </row>
    <row r="721" customFormat="false" ht="15" hidden="false" customHeight="false" outlineLevel="0" collapsed="false">
      <c r="A721" s="16"/>
      <c r="B721" s="11" t="str">
        <f aca="false">IF($I721="","",INDEX(CONSOLIDADO!$A$2:$A$801,$I721))</f>
        <v/>
      </c>
      <c r="C721" s="11" t="str">
        <f aca="false">IF($I721="","",INDEX(CONSOLIDADO!$B$2:$B$801,$I721))</f>
        <v/>
      </c>
      <c r="D721" s="16" t="str">
        <f aca="false">IF($I721="","",INDEX(CONSOLIDADO!$C$2:$C$801,$I721))</f>
        <v/>
      </c>
      <c r="E721" s="16" t="str">
        <f aca="false">IF($I721="","",INDEX(CONSOLIDADO!$D$2:$D$801,$I721))</f>
        <v/>
      </c>
      <c r="F721" s="14" t="str">
        <f aca="false">IF($I721="","",INDEX(CONSOLIDADO!$E$2:$E$801,$I721))</f>
        <v/>
      </c>
      <c r="G721" s="16" t="str">
        <f aca="false">IF($I721="","",INDEX(CONSOLIDADO!$G$2:$G$801,$I721))</f>
        <v/>
      </c>
      <c r="H721" s="16" t="str">
        <f aca="false">IF($I721="","",INDEX(CONSOLIDADO!$H$2:$H$801,$I721))</f>
        <v/>
      </c>
      <c r="I721" s="11" t="str">
        <f aca="false">IFERROR(MATCH(ROW()-1,CONSOLIDADO!$AJ$2:$AJ$801,0),"")</f>
        <v/>
      </c>
      <c r="J721" s="11" t="str">
        <f aca="false">IF(B721="","",F721&amp;" "&amp;C721&amp;" ("&amp;B721&amp;")")</f>
        <v/>
      </c>
    </row>
    <row r="722" customFormat="false" ht="15" hidden="false" customHeight="false" outlineLevel="0" collapsed="false">
      <c r="A722" s="16"/>
      <c r="B722" s="11" t="str">
        <f aca="false">IF($I722="","",INDEX(CONSOLIDADO!$A$2:$A$801,$I722))</f>
        <v/>
      </c>
      <c r="C722" s="11" t="str">
        <f aca="false">IF($I722="","",INDEX(CONSOLIDADO!$B$2:$B$801,$I722))</f>
        <v/>
      </c>
      <c r="D722" s="16" t="str">
        <f aca="false">IF($I722="","",INDEX(CONSOLIDADO!$C$2:$C$801,$I722))</f>
        <v/>
      </c>
      <c r="E722" s="16" t="str">
        <f aca="false">IF($I722="","",INDEX(CONSOLIDADO!$D$2:$D$801,$I722))</f>
        <v/>
      </c>
      <c r="F722" s="14" t="str">
        <f aca="false">IF($I722="","",INDEX(CONSOLIDADO!$E$2:$E$801,$I722))</f>
        <v/>
      </c>
      <c r="G722" s="16" t="str">
        <f aca="false">IF($I722="","",INDEX(CONSOLIDADO!$G$2:$G$801,$I722))</f>
        <v/>
      </c>
      <c r="H722" s="16" t="str">
        <f aca="false">IF($I722="","",INDEX(CONSOLIDADO!$H$2:$H$801,$I722))</f>
        <v/>
      </c>
      <c r="I722" s="11" t="str">
        <f aca="false">IFERROR(MATCH(ROW()-1,CONSOLIDADO!$AJ$2:$AJ$801,0),"")</f>
        <v/>
      </c>
      <c r="J722" s="11" t="str">
        <f aca="false">IF(B722="","",F722&amp;" "&amp;C722&amp;" ("&amp;B722&amp;")")</f>
        <v/>
      </c>
    </row>
    <row r="723" customFormat="false" ht="15" hidden="false" customHeight="false" outlineLevel="0" collapsed="false">
      <c r="A723" s="16"/>
      <c r="B723" s="11" t="str">
        <f aca="false">IF($I723="","",INDEX(CONSOLIDADO!$A$2:$A$801,$I723))</f>
        <v/>
      </c>
      <c r="C723" s="11" t="str">
        <f aca="false">IF($I723="","",INDEX(CONSOLIDADO!$B$2:$B$801,$I723))</f>
        <v/>
      </c>
      <c r="D723" s="16" t="str">
        <f aca="false">IF($I723="","",INDEX(CONSOLIDADO!$C$2:$C$801,$I723))</f>
        <v/>
      </c>
      <c r="E723" s="16" t="str">
        <f aca="false">IF($I723="","",INDEX(CONSOLIDADO!$D$2:$D$801,$I723))</f>
        <v/>
      </c>
      <c r="F723" s="14" t="str">
        <f aca="false">IF($I723="","",INDEX(CONSOLIDADO!$E$2:$E$801,$I723))</f>
        <v/>
      </c>
      <c r="G723" s="16" t="str">
        <f aca="false">IF($I723="","",INDEX(CONSOLIDADO!$G$2:$G$801,$I723))</f>
        <v/>
      </c>
      <c r="H723" s="16" t="str">
        <f aca="false">IF($I723="","",INDEX(CONSOLIDADO!$H$2:$H$801,$I723))</f>
        <v/>
      </c>
      <c r="I723" s="11" t="str">
        <f aca="false">IFERROR(MATCH(ROW()-1,CONSOLIDADO!$AJ$2:$AJ$801,0),"")</f>
        <v/>
      </c>
      <c r="J723" s="11" t="str">
        <f aca="false">IF(B723="","",F723&amp;" "&amp;C723&amp;" ("&amp;B723&amp;")")</f>
        <v/>
      </c>
    </row>
    <row r="724" customFormat="false" ht="15" hidden="false" customHeight="false" outlineLevel="0" collapsed="false">
      <c r="A724" s="16"/>
      <c r="B724" s="11" t="str">
        <f aca="false">IF($I724="","",INDEX(CONSOLIDADO!$A$2:$A$801,$I724))</f>
        <v/>
      </c>
      <c r="C724" s="11" t="str">
        <f aca="false">IF($I724="","",INDEX(CONSOLIDADO!$B$2:$B$801,$I724))</f>
        <v/>
      </c>
      <c r="D724" s="16" t="str">
        <f aca="false">IF($I724="","",INDEX(CONSOLIDADO!$C$2:$C$801,$I724))</f>
        <v/>
      </c>
      <c r="E724" s="16" t="str">
        <f aca="false">IF($I724="","",INDEX(CONSOLIDADO!$D$2:$D$801,$I724))</f>
        <v/>
      </c>
      <c r="F724" s="14" t="str">
        <f aca="false">IF($I724="","",INDEX(CONSOLIDADO!$E$2:$E$801,$I724))</f>
        <v/>
      </c>
      <c r="G724" s="16" t="str">
        <f aca="false">IF($I724="","",INDEX(CONSOLIDADO!$G$2:$G$801,$I724))</f>
        <v/>
      </c>
      <c r="H724" s="16" t="str">
        <f aca="false">IF($I724="","",INDEX(CONSOLIDADO!$H$2:$H$801,$I724))</f>
        <v/>
      </c>
      <c r="I724" s="11" t="str">
        <f aca="false">IFERROR(MATCH(ROW()-1,CONSOLIDADO!$AJ$2:$AJ$801,0),"")</f>
        <v/>
      </c>
      <c r="J724" s="11" t="str">
        <f aca="false">IF(B724="","",F724&amp;" "&amp;C724&amp;" ("&amp;B724&amp;")")</f>
        <v/>
      </c>
    </row>
    <row r="725" customFormat="false" ht="15" hidden="false" customHeight="false" outlineLevel="0" collapsed="false">
      <c r="A725" s="16"/>
      <c r="B725" s="11" t="str">
        <f aca="false">IF($I725="","",INDEX(CONSOLIDADO!$A$2:$A$801,$I725))</f>
        <v/>
      </c>
      <c r="C725" s="11" t="str">
        <f aca="false">IF($I725="","",INDEX(CONSOLIDADO!$B$2:$B$801,$I725))</f>
        <v/>
      </c>
      <c r="D725" s="16" t="str">
        <f aca="false">IF($I725="","",INDEX(CONSOLIDADO!$C$2:$C$801,$I725))</f>
        <v/>
      </c>
      <c r="E725" s="16" t="str">
        <f aca="false">IF($I725="","",INDEX(CONSOLIDADO!$D$2:$D$801,$I725))</f>
        <v/>
      </c>
      <c r="F725" s="14" t="str">
        <f aca="false">IF($I725="","",INDEX(CONSOLIDADO!$E$2:$E$801,$I725))</f>
        <v/>
      </c>
      <c r="G725" s="16" t="str">
        <f aca="false">IF($I725="","",INDEX(CONSOLIDADO!$G$2:$G$801,$I725))</f>
        <v/>
      </c>
      <c r="H725" s="16" t="str">
        <f aca="false">IF($I725="","",INDEX(CONSOLIDADO!$H$2:$H$801,$I725))</f>
        <v/>
      </c>
      <c r="I725" s="11" t="str">
        <f aca="false">IFERROR(MATCH(ROW()-1,CONSOLIDADO!$AJ$2:$AJ$801,0),"")</f>
        <v/>
      </c>
      <c r="J725" s="11" t="str">
        <f aca="false">IF(B725="","",F725&amp;" "&amp;C725&amp;" ("&amp;B725&amp;")")</f>
        <v/>
      </c>
    </row>
    <row r="726" customFormat="false" ht="15" hidden="false" customHeight="false" outlineLevel="0" collapsed="false">
      <c r="A726" s="16"/>
      <c r="B726" s="11" t="str">
        <f aca="false">IF($I726="","",INDEX(CONSOLIDADO!$A$2:$A$801,$I726))</f>
        <v/>
      </c>
      <c r="C726" s="11" t="str">
        <f aca="false">IF($I726="","",INDEX(CONSOLIDADO!$B$2:$B$801,$I726))</f>
        <v/>
      </c>
      <c r="D726" s="16" t="str">
        <f aca="false">IF($I726="","",INDEX(CONSOLIDADO!$C$2:$C$801,$I726))</f>
        <v/>
      </c>
      <c r="E726" s="16" t="str">
        <f aca="false">IF($I726="","",INDEX(CONSOLIDADO!$D$2:$D$801,$I726))</f>
        <v/>
      </c>
      <c r="F726" s="14" t="str">
        <f aca="false">IF($I726="","",INDEX(CONSOLIDADO!$E$2:$E$801,$I726))</f>
        <v/>
      </c>
      <c r="G726" s="16" t="str">
        <f aca="false">IF($I726="","",INDEX(CONSOLIDADO!$G$2:$G$801,$I726))</f>
        <v/>
      </c>
      <c r="H726" s="16" t="str">
        <f aca="false">IF($I726="","",INDEX(CONSOLIDADO!$H$2:$H$801,$I726))</f>
        <v/>
      </c>
      <c r="I726" s="11" t="str">
        <f aca="false">IFERROR(MATCH(ROW()-1,CONSOLIDADO!$AJ$2:$AJ$801,0),"")</f>
        <v/>
      </c>
      <c r="J726" s="11" t="str">
        <f aca="false">IF(B726="","",F726&amp;" "&amp;C726&amp;" ("&amp;B726&amp;")")</f>
        <v/>
      </c>
    </row>
    <row r="727" customFormat="false" ht="15" hidden="false" customHeight="false" outlineLevel="0" collapsed="false">
      <c r="A727" s="16"/>
      <c r="B727" s="11" t="str">
        <f aca="false">IF($I727="","",INDEX(CONSOLIDADO!$A$2:$A$801,$I727))</f>
        <v/>
      </c>
      <c r="C727" s="11" t="str">
        <f aca="false">IF($I727="","",INDEX(CONSOLIDADO!$B$2:$B$801,$I727))</f>
        <v/>
      </c>
      <c r="D727" s="16" t="str">
        <f aca="false">IF($I727="","",INDEX(CONSOLIDADO!$C$2:$C$801,$I727))</f>
        <v/>
      </c>
      <c r="E727" s="16" t="str">
        <f aca="false">IF($I727="","",INDEX(CONSOLIDADO!$D$2:$D$801,$I727))</f>
        <v/>
      </c>
      <c r="F727" s="14" t="str">
        <f aca="false">IF($I727="","",INDEX(CONSOLIDADO!$E$2:$E$801,$I727))</f>
        <v/>
      </c>
      <c r="G727" s="16" t="str">
        <f aca="false">IF($I727="","",INDEX(CONSOLIDADO!$G$2:$G$801,$I727))</f>
        <v/>
      </c>
      <c r="H727" s="16" t="str">
        <f aca="false">IF($I727="","",INDEX(CONSOLIDADO!$H$2:$H$801,$I727))</f>
        <v/>
      </c>
      <c r="I727" s="11" t="str">
        <f aca="false">IFERROR(MATCH(ROW()-1,CONSOLIDADO!$AJ$2:$AJ$801,0),"")</f>
        <v/>
      </c>
      <c r="J727" s="11" t="str">
        <f aca="false">IF(B727="","",F727&amp;" "&amp;C727&amp;" ("&amp;B727&amp;")")</f>
        <v/>
      </c>
    </row>
    <row r="728" customFormat="false" ht="15" hidden="false" customHeight="false" outlineLevel="0" collapsed="false">
      <c r="A728" s="16"/>
      <c r="B728" s="11" t="str">
        <f aca="false">IF($I728="","",INDEX(CONSOLIDADO!$A$2:$A$801,$I728))</f>
        <v/>
      </c>
      <c r="C728" s="11" t="str">
        <f aca="false">IF($I728="","",INDEX(CONSOLIDADO!$B$2:$B$801,$I728))</f>
        <v/>
      </c>
      <c r="D728" s="16" t="str">
        <f aca="false">IF($I728="","",INDEX(CONSOLIDADO!$C$2:$C$801,$I728))</f>
        <v/>
      </c>
      <c r="E728" s="16" t="str">
        <f aca="false">IF($I728="","",INDEX(CONSOLIDADO!$D$2:$D$801,$I728))</f>
        <v/>
      </c>
      <c r="F728" s="14" t="str">
        <f aca="false">IF($I728="","",INDEX(CONSOLIDADO!$E$2:$E$801,$I728))</f>
        <v/>
      </c>
      <c r="G728" s="16" t="str">
        <f aca="false">IF($I728="","",INDEX(CONSOLIDADO!$G$2:$G$801,$I728))</f>
        <v/>
      </c>
      <c r="H728" s="16" t="str">
        <f aca="false">IF($I728="","",INDEX(CONSOLIDADO!$H$2:$H$801,$I728))</f>
        <v/>
      </c>
      <c r="I728" s="11" t="str">
        <f aca="false">IFERROR(MATCH(ROW()-1,CONSOLIDADO!$AJ$2:$AJ$801,0),"")</f>
        <v/>
      </c>
      <c r="J728" s="11" t="str">
        <f aca="false">IF(B728="","",F728&amp;" "&amp;C728&amp;" ("&amp;B728&amp;")")</f>
        <v/>
      </c>
    </row>
    <row r="729" customFormat="false" ht="15" hidden="false" customHeight="false" outlineLevel="0" collapsed="false">
      <c r="A729" s="16"/>
      <c r="B729" s="11" t="str">
        <f aca="false">IF($I729="","",INDEX(CONSOLIDADO!$A$2:$A$801,$I729))</f>
        <v/>
      </c>
      <c r="C729" s="11" t="str">
        <f aca="false">IF($I729="","",INDEX(CONSOLIDADO!$B$2:$B$801,$I729))</f>
        <v/>
      </c>
      <c r="D729" s="16" t="str">
        <f aca="false">IF($I729="","",INDEX(CONSOLIDADO!$C$2:$C$801,$I729))</f>
        <v/>
      </c>
      <c r="E729" s="16" t="str">
        <f aca="false">IF($I729="","",INDEX(CONSOLIDADO!$D$2:$D$801,$I729))</f>
        <v/>
      </c>
      <c r="F729" s="14" t="str">
        <f aca="false">IF($I729="","",INDEX(CONSOLIDADO!$E$2:$E$801,$I729))</f>
        <v/>
      </c>
      <c r="G729" s="16" t="str">
        <f aca="false">IF($I729="","",INDEX(CONSOLIDADO!$G$2:$G$801,$I729))</f>
        <v/>
      </c>
      <c r="H729" s="16" t="str">
        <f aca="false">IF($I729="","",INDEX(CONSOLIDADO!$H$2:$H$801,$I729))</f>
        <v/>
      </c>
      <c r="I729" s="11" t="str">
        <f aca="false">IFERROR(MATCH(ROW()-1,CONSOLIDADO!$AJ$2:$AJ$801,0),"")</f>
        <v/>
      </c>
      <c r="J729" s="11" t="str">
        <f aca="false">IF(B729="","",F729&amp;" "&amp;C729&amp;" ("&amp;B729&amp;")")</f>
        <v/>
      </c>
    </row>
    <row r="730" customFormat="false" ht="15" hidden="false" customHeight="false" outlineLevel="0" collapsed="false">
      <c r="A730" s="16"/>
      <c r="B730" s="11" t="str">
        <f aca="false">IF($I730="","",INDEX(CONSOLIDADO!$A$2:$A$801,$I730))</f>
        <v/>
      </c>
      <c r="C730" s="11" t="str">
        <f aca="false">IF($I730="","",INDEX(CONSOLIDADO!$B$2:$B$801,$I730))</f>
        <v/>
      </c>
      <c r="D730" s="16" t="str">
        <f aca="false">IF($I730="","",INDEX(CONSOLIDADO!$C$2:$C$801,$I730))</f>
        <v/>
      </c>
      <c r="E730" s="16" t="str">
        <f aca="false">IF($I730="","",INDEX(CONSOLIDADO!$D$2:$D$801,$I730))</f>
        <v/>
      </c>
      <c r="F730" s="14" t="str">
        <f aca="false">IF($I730="","",INDEX(CONSOLIDADO!$E$2:$E$801,$I730))</f>
        <v/>
      </c>
      <c r="G730" s="16" t="str">
        <f aca="false">IF($I730="","",INDEX(CONSOLIDADO!$G$2:$G$801,$I730))</f>
        <v/>
      </c>
      <c r="H730" s="16" t="str">
        <f aca="false">IF($I730="","",INDEX(CONSOLIDADO!$H$2:$H$801,$I730))</f>
        <v/>
      </c>
      <c r="I730" s="11" t="str">
        <f aca="false">IFERROR(MATCH(ROW()-1,CONSOLIDADO!$AJ$2:$AJ$801,0),"")</f>
        <v/>
      </c>
      <c r="J730" s="11" t="str">
        <f aca="false">IF(B730="","",F730&amp;" "&amp;C730&amp;" ("&amp;B730&amp;")")</f>
        <v/>
      </c>
    </row>
    <row r="731" customFormat="false" ht="15" hidden="false" customHeight="false" outlineLevel="0" collapsed="false">
      <c r="A731" s="16"/>
      <c r="B731" s="11" t="str">
        <f aca="false">IF($I731="","",INDEX(CONSOLIDADO!$A$2:$A$801,$I731))</f>
        <v/>
      </c>
      <c r="C731" s="11" t="str">
        <f aca="false">IF($I731="","",INDEX(CONSOLIDADO!$B$2:$B$801,$I731))</f>
        <v/>
      </c>
      <c r="D731" s="16" t="str">
        <f aca="false">IF($I731="","",INDEX(CONSOLIDADO!$C$2:$C$801,$I731))</f>
        <v/>
      </c>
      <c r="E731" s="16" t="str">
        <f aca="false">IF($I731="","",INDEX(CONSOLIDADO!$D$2:$D$801,$I731))</f>
        <v/>
      </c>
      <c r="F731" s="14" t="str">
        <f aca="false">IF($I731="","",INDEX(CONSOLIDADO!$E$2:$E$801,$I731))</f>
        <v/>
      </c>
      <c r="G731" s="16" t="str">
        <f aca="false">IF($I731="","",INDEX(CONSOLIDADO!$G$2:$G$801,$I731))</f>
        <v/>
      </c>
      <c r="H731" s="16" t="str">
        <f aca="false">IF($I731="","",INDEX(CONSOLIDADO!$H$2:$H$801,$I731))</f>
        <v/>
      </c>
      <c r="I731" s="11" t="str">
        <f aca="false">IFERROR(MATCH(ROW()-1,CONSOLIDADO!$AJ$2:$AJ$801,0),"")</f>
        <v/>
      </c>
      <c r="J731" s="11" t="str">
        <f aca="false">IF(B731="","",F731&amp;" "&amp;C731&amp;" ("&amp;B731&amp;")")</f>
        <v/>
      </c>
    </row>
    <row r="732" customFormat="false" ht="15" hidden="false" customHeight="false" outlineLevel="0" collapsed="false">
      <c r="A732" s="16"/>
      <c r="B732" s="11" t="str">
        <f aca="false">IF($I732="","",INDEX(CONSOLIDADO!$A$2:$A$801,$I732))</f>
        <v/>
      </c>
      <c r="C732" s="11" t="str">
        <f aca="false">IF($I732="","",INDEX(CONSOLIDADO!$B$2:$B$801,$I732))</f>
        <v/>
      </c>
      <c r="D732" s="16" t="str">
        <f aca="false">IF($I732="","",INDEX(CONSOLIDADO!$C$2:$C$801,$I732))</f>
        <v/>
      </c>
      <c r="E732" s="16" t="str">
        <f aca="false">IF($I732="","",INDEX(CONSOLIDADO!$D$2:$D$801,$I732))</f>
        <v/>
      </c>
      <c r="F732" s="14" t="str">
        <f aca="false">IF($I732="","",INDEX(CONSOLIDADO!$E$2:$E$801,$I732))</f>
        <v/>
      </c>
      <c r="G732" s="16" t="str">
        <f aca="false">IF($I732="","",INDEX(CONSOLIDADO!$G$2:$G$801,$I732))</f>
        <v/>
      </c>
      <c r="H732" s="16" t="str">
        <f aca="false">IF($I732="","",INDEX(CONSOLIDADO!$H$2:$H$801,$I732))</f>
        <v/>
      </c>
      <c r="I732" s="11" t="str">
        <f aca="false">IFERROR(MATCH(ROW()-1,CONSOLIDADO!$AJ$2:$AJ$801,0),"")</f>
        <v/>
      </c>
      <c r="J732" s="11" t="str">
        <f aca="false">IF(B732="","",F732&amp;" "&amp;C732&amp;" ("&amp;B732&amp;")")</f>
        <v/>
      </c>
    </row>
    <row r="733" customFormat="false" ht="15" hidden="false" customHeight="false" outlineLevel="0" collapsed="false">
      <c r="A733" s="16"/>
      <c r="B733" s="11" t="str">
        <f aca="false">IF($I733="","",INDEX(CONSOLIDADO!$A$2:$A$801,$I733))</f>
        <v/>
      </c>
      <c r="C733" s="11" t="str">
        <f aca="false">IF($I733="","",INDEX(CONSOLIDADO!$B$2:$B$801,$I733))</f>
        <v/>
      </c>
      <c r="D733" s="16" t="str">
        <f aca="false">IF($I733="","",INDEX(CONSOLIDADO!$C$2:$C$801,$I733))</f>
        <v/>
      </c>
      <c r="E733" s="16" t="str">
        <f aca="false">IF($I733="","",INDEX(CONSOLIDADO!$D$2:$D$801,$I733))</f>
        <v/>
      </c>
      <c r="F733" s="14" t="str">
        <f aca="false">IF($I733="","",INDEX(CONSOLIDADO!$E$2:$E$801,$I733))</f>
        <v/>
      </c>
      <c r="G733" s="16" t="str">
        <f aca="false">IF($I733="","",INDEX(CONSOLIDADO!$G$2:$G$801,$I733))</f>
        <v/>
      </c>
      <c r="H733" s="16" t="str">
        <f aca="false">IF($I733="","",INDEX(CONSOLIDADO!$H$2:$H$801,$I733))</f>
        <v/>
      </c>
      <c r="I733" s="11" t="str">
        <f aca="false">IFERROR(MATCH(ROW()-1,CONSOLIDADO!$AJ$2:$AJ$801,0),"")</f>
        <v/>
      </c>
      <c r="J733" s="11" t="str">
        <f aca="false">IF(B733="","",F733&amp;" "&amp;C733&amp;" ("&amp;B733&amp;")")</f>
        <v/>
      </c>
    </row>
    <row r="734" customFormat="false" ht="15" hidden="false" customHeight="false" outlineLevel="0" collapsed="false">
      <c r="A734" s="16"/>
      <c r="B734" s="11" t="str">
        <f aca="false">IF($I734="","",INDEX(CONSOLIDADO!$A$2:$A$801,$I734))</f>
        <v/>
      </c>
      <c r="C734" s="11" t="str">
        <f aca="false">IF($I734="","",INDEX(CONSOLIDADO!$B$2:$B$801,$I734))</f>
        <v/>
      </c>
      <c r="D734" s="16" t="str">
        <f aca="false">IF($I734="","",INDEX(CONSOLIDADO!$C$2:$C$801,$I734))</f>
        <v/>
      </c>
      <c r="E734" s="16" t="str">
        <f aca="false">IF($I734="","",INDEX(CONSOLIDADO!$D$2:$D$801,$I734))</f>
        <v/>
      </c>
      <c r="F734" s="14" t="str">
        <f aca="false">IF($I734="","",INDEX(CONSOLIDADO!$E$2:$E$801,$I734))</f>
        <v/>
      </c>
      <c r="G734" s="16" t="str">
        <f aca="false">IF($I734="","",INDEX(CONSOLIDADO!$G$2:$G$801,$I734))</f>
        <v/>
      </c>
      <c r="H734" s="16" t="str">
        <f aca="false">IF($I734="","",INDEX(CONSOLIDADO!$H$2:$H$801,$I734))</f>
        <v/>
      </c>
      <c r="I734" s="11" t="str">
        <f aca="false">IFERROR(MATCH(ROW()-1,CONSOLIDADO!$AJ$2:$AJ$801,0),"")</f>
        <v/>
      </c>
      <c r="J734" s="11" t="str">
        <f aca="false">IF(B734="","",F734&amp;" "&amp;C734&amp;" ("&amp;B734&amp;")")</f>
        <v/>
      </c>
    </row>
    <row r="735" customFormat="false" ht="15" hidden="false" customHeight="false" outlineLevel="0" collapsed="false">
      <c r="A735" s="16"/>
      <c r="B735" s="11" t="str">
        <f aca="false">IF($I735="","",INDEX(CONSOLIDADO!$A$2:$A$801,$I735))</f>
        <v/>
      </c>
      <c r="C735" s="11" t="str">
        <f aca="false">IF($I735="","",INDEX(CONSOLIDADO!$B$2:$B$801,$I735))</f>
        <v/>
      </c>
      <c r="D735" s="16" t="str">
        <f aca="false">IF($I735="","",INDEX(CONSOLIDADO!$C$2:$C$801,$I735))</f>
        <v/>
      </c>
      <c r="E735" s="16" t="str">
        <f aca="false">IF($I735="","",INDEX(CONSOLIDADO!$D$2:$D$801,$I735))</f>
        <v/>
      </c>
      <c r="F735" s="14" t="str">
        <f aca="false">IF($I735="","",INDEX(CONSOLIDADO!$E$2:$E$801,$I735))</f>
        <v/>
      </c>
      <c r="G735" s="16" t="str">
        <f aca="false">IF($I735="","",INDEX(CONSOLIDADO!$G$2:$G$801,$I735))</f>
        <v/>
      </c>
      <c r="H735" s="16" t="str">
        <f aca="false">IF($I735="","",INDEX(CONSOLIDADO!$H$2:$H$801,$I735))</f>
        <v/>
      </c>
      <c r="I735" s="11" t="str">
        <f aca="false">IFERROR(MATCH(ROW()-1,CONSOLIDADO!$AJ$2:$AJ$801,0),"")</f>
        <v/>
      </c>
      <c r="J735" s="11" t="str">
        <f aca="false">IF(B735="","",F735&amp;" "&amp;C735&amp;" ("&amp;B735&amp;")")</f>
        <v/>
      </c>
    </row>
    <row r="736" customFormat="false" ht="15" hidden="false" customHeight="false" outlineLevel="0" collapsed="false">
      <c r="A736" s="16"/>
      <c r="B736" s="11" t="str">
        <f aca="false">IF($I736="","",INDEX(CONSOLIDADO!$A$2:$A$801,$I736))</f>
        <v/>
      </c>
      <c r="C736" s="11" t="str">
        <f aca="false">IF($I736="","",INDEX(CONSOLIDADO!$B$2:$B$801,$I736))</f>
        <v/>
      </c>
      <c r="D736" s="16" t="str">
        <f aca="false">IF($I736="","",INDEX(CONSOLIDADO!$C$2:$C$801,$I736))</f>
        <v/>
      </c>
      <c r="E736" s="16" t="str">
        <f aca="false">IF($I736="","",INDEX(CONSOLIDADO!$D$2:$D$801,$I736))</f>
        <v/>
      </c>
      <c r="F736" s="14" t="str">
        <f aca="false">IF($I736="","",INDEX(CONSOLIDADO!$E$2:$E$801,$I736))</f>
        <v/>
      </c>
      <c r="G736" s="16" t="str">
        <f aca="false">IF($I736="","",INDEX(CONSOLIDADO!$G$2:$G$801,$I736))</f>
        <v/>
      </c>
      <c r="H736" s="16" t="str">
        <f aca="false">IF($I736="","",INDEX(CONSOLIDADO!$H$2:$H$801,$I736))</f>
        <v/>
      </c>
      <c r="I736" s="11" t="str">
        <f aca="false">IFERROR(MATCH(ROW()-1,CONSOLIDADO!$AJ$2:$AJ$801,0),"")</f>
        <v/>
      </c>
      <c r="J736" s="11" t="str">
        <f aca="false">IF(B736="","",F736&amp;" "&amp;C736&amp;" ("&amp;B736&amp;")")</f>
        <v/>
      </c>
    </row>
    <row r="737" customFormat="false" ht="15" hidden="false" customHeight="false" outlineLevel="0" collapsed="false">
      <c r="A737" s="16"/>
      <c r="B737" s="11" t="str">
        <f aca="false">IF($I737="","",INDEX(CONSOLIDADO!$A$2:$A$801,$I737))</f>
        <v/>
      </c>
      <c r="C737" s="11" t="str">
        <f aca="false">IF($I737="","",INDEX(CONSOLIDADO!$B$2:$B$801,$I737))</f>
        <v/>
      </c>
      <c r="D737" s="16" t="str">
        <f aca="false">IF($I737="","",INDEX(CONSOLIDADO!$C$2:$C$801,$I737))</f>
        <v/>
      </c>
      <c r="E737" s="16" t="str">
        <f aca="false">IF($I737="","",INDEX(CONSOLIDADO!$D$2:$D$801,$I737))</f>
        <v/>
      </c>
      <c r="F737" s="14" t="str">
        <f aca="false">IF($I737="","",INDEX(CONSOLIDADO!$E$2:$E$801,$I737))</f>
        <v/>
      </c>
      <c r="G737" s="16" t="str">
        <f aca="false">IF($I737="","",INDEX(CONSOLIDADO!$G$2:$G$801,$I737))</f>
        <v/>
      </c>
      <c r="H737" s="16" t="str">
        <f aca="false">IF($I737="","",INDEX(CONSOLIDADO!$H$2:$H$801,$I737))</f>
        <v/>
      </c>
      <c r="I737" s="11" t="str">
        <f aca="false">IFERROR(MATCH(ROW()-1,CONSOLIDADO!$AJ$2:$AJ$801,0),"")</f>
        <v/>
      </c>
      <c r="J737" s="11" t="str">
        <f aca="false">IF(B737="","",F737&amp;" "&amp;C737&amp;" ("&amp;B737&amp;")")</f>
        <v/>
      </c>
    </row>
    <row r="738" customFormat="false" ht="15" hidden="false" customHeight="false" outlineLevel="0" collapsed="false">
      <c r="A738" s="16"/>
      <c r="B738" s="11" t="str">
        <f aca="false">IF($I738="","",INDEX(CONSOLIDADO!$A$2:$A$801,$I738))</f>
        <v/>
      </c>
      <c r="C738" s="11" t="str">
        <f aca="false">IF($I738="","",INDEX(CONSOLIDADO!$B$2:$B$801,$I738))</f>
        <v/>
      </c>
      <c r="D738" s="16" t="str">
        <f aca="false">IF($I738="","",INDEX(CONSOLIDADO!$C$2:$C$801,$I738))</f>
        <v/>
      </c>
      <c r="E738" s="16" t="str">
        <f aca="false">IF($I738="","",INDEX(CONSOLIDADO!$D$2:$D$801,$I738))</f>
        <v/>
      </c>
      <c r="F738" s="14" t="str">
        <f aca="false">IF($I738="","",INDEX(CONSOLIDADO!$E$2:$E$801,$I738))</f>
        <v/>
      </c>
      <c r="G738" s="16" t="str">
        <f aca="false">IF($I738="","",INDEX(CONSOLIDADO!$G$2:$G$801,$I738))</f>
        <v/>
      </c>
      <c r="H738" s="16" t="str">
        <f aca="false">IF($I738="","",INDEX(CONSOLIDADO!$H$2:$H$801,$I738))</f>
        <v/>
      </c>
      <c r="I738" s="11" t="str">
        <f aca="false">IFERROR(MATCH(ROW()-1,CONSOLIDADO!$AJ$2:$AJ$801,0),"")</f>
        <v/>
      </c>
      <c r="J738" s="11" t="str">
        <f aca="false">IF(B738="","",F738&amp;" "&amp;C738&amp;" ("&amp;B738&amp;")")</f>
        <v/>
      </c>
    </row>
    <row r="739" customFormat="false" ht="15" hidden="false" customHeight="false" outlineLevel="0" collapsed="false">
      <c r="A739" s="16"/>
      <c r="B739" s="11" t="str">
        <f aca="false">IF($I739="","",INDEX(CONSOLIDADO!$A$2:$A$801,$I739))</f>
        <v/>
      </c>
      <c r="C739" s="11" t="str">
        <f aca="false">IF($I739="","",INDEX(CONSOLIDADO!$B$2:$B$801,$I739))</f>
        <v/>
      </c>
      <c r="D739" s="16" t="str">
        <f aca="false">IF($I739="","",INDEX(CONSOLIDADO!$C$2:$C$801,$I739))</f>
        <v/>
      </c>
      <c r="E739" s="16" t="str">
        <f aca="false">IF($I739="","",INDEX(CONSOLIDADO!$D$2:$D$801,$I739))</f>
        <v/>
      </c>
      <c r="F739" s="14" t="str">
        <f aca="false">IF($I739="","",INDEX(CONSOLIDADO!$E$2:$E$801,$I739))</f>
        <v/>
      </c>
      <c r="G739" s="16" t="str">
        <f aca="false">IF($I739="","",INDEX(CONSOLIDADO!$G$2:$G$801,$I739))</f>
        <v/>
      </c>
      <c r="H739" s="16" t="str">
        <f aca="false">IF($I739="","",INDEX(CONSOLIDADO!$H$2:$H$801,$I739))</f>
        <v/>
      </c>
      <c r="I739" s="11" t="str">
        <f aca="false">IFERROR(MATCH(ROW()-1,CONSOLIDADO!$AJ$2:$AJ$801,0),"")</f>
        <v/>
      </c>
      <c r="J739" s="11" t="str">
        <f aca="false">IF(B739="","",F739&amp;" "&amp;C739&amp;" ("&amp;B739&amp;")")</f>
        <v/>
      </c>
    </row>
    <row r="740" customFormat="false" ht="15" hidden="false" customHeight="false" outlineLevel="0" collapsed="false">
      <c r="A740" s="16"/>
      <c r="B740" s="11" t="str">
        <f aca="false">IF($I740="","",INDEX(CONSOLIDADO!$A$2:$A$801,$I740))</f>
        <v/>
      </c>
      <c r="C740" s="11" t="str">
        <f aca="false">IF($I740="","",INDEX(CONSOLIDADO!$B$2:$B$801,$I740))</f>
        <v/>
      </c>
      <c r="D740" s="16" t="str">
        <f aca="false">IF($I740="","",INDEX(CONSOLIDADO!$C$2:$C$801,$I740))</f>
        <v/>
      </c>
      <c r="E740" s="16" t="str">
        <f aca="false">IF($I740="","",INDEX(CONSOLIDADO!$D$2:$D$801,$I740))</f>
        <v/>
      </c>
      <c r="F740" s="14" t="str">
        <f aca="false">IF($I740="","",INDEX(CONSOLIDADO!$E$2:$E$801,$I740))</f>
        <v/>
      </c>
      <c r="G740" s="16" t="str">
        <f aca="false">IF($I740="","",INDEX(CONSOLIDADO!$G$2:$G$801,$I740))</f>
        <v/>
      </c>
      <c r="H740" s="16" t="str">
        <f aca="false">IF($I740="","",INDEX(CONSOLIDADO!$H$2:$H$801,$I740))</f>
        <v/>
      </c>
      <c r="I740" s="11" t="str">
        <f aca="false">IFERROR(MATCH(ROW()-1,CONSOLIDADO!$AJ$2:$AJ$801,0),"")</f>
        <v/>
      </c>
      <c r="J740" s="11" t="str">
        <f aca="false">IF(B740="","",F740&amp;" "&amp;C740&amp;" ("&amp;B740&amp;")")</f>
        <v/>
      </c>
    </row>
    <row r="741" customFormat="false" ht="15" hidden="false" customHeight="false" outlineLevel="0" collapsed="false">
      <c r="A741" s="16"/>
      <c r="B741" s="11" t="str">
        <f aca="false">IF($I741="","",INDEX(CONSOLIDADO!$A$2:$A$801,$I741))</f>
        <v/>
      </c>
      <c r="C741" s="11" t="str">
        <f aca="false">IF($I741="","",INDEX(CONSOLIDADO!$B$2:$B$801,$I741))</f>
        <v/>
      </c>
      <c r="D741" s="16" t="str">
        <f aca="false">IF($I741="","",INDEX(CONSOLIDADO!$C$2:$C$801,$I741))</f>
        <v/>
      </c>
      <c r="E741" s="16" t="str">
        <f aca="false">IF($I741="","",INDEX(CONSOLIDADO!$D$2:$D$801,$I741))</f>
        <v/>
      </c>
      <c r="F741" s="14" t="str">
        <f aca="false">IF($I741="","",INDEX(CONSOLIDADO!$E$2:$E$801,$I741))</f>
        <v/>
      </c>
      <c r="G741" s="16" t="str">
        <f aca="false">IF($I741="","",INDEX(CONSOLIDADO!$G$2:$G$801,$I741))</f>
        <v/>
      </c>
      <c r="H741" s="16" t="str">
        <f aca="false">IF($I741="","",INDEX(CONSOLIDADO!$H$2:$H$801,$I741))</f>
        <v/>
      </c>
      <c r="I741" s="11" t="str">
        <f aca="false">IFERROR(MATCH(ROW()-1,CONSOLIDADO!$AJ$2:$AJ$801,0),"")</f>
        <v/>
      </c>
      <c r="J741" s="11" t="str">
        <f aca="false">IF(B741="","",F741&amp;" "&amp;C741&amp;" ("&amp;B741&amp;")")</f>
        <v/>
      </c>
    </row>
    <row r="742" customFormat="false" ht="15" hidden="false" customHeight="false" outlineLevel="0" collapsed="false">
      <c r="A742" s="16"/>
      <c r="B742" s="11" t="str">
        <f aca="false">IF($I742="","",INDEX(CONSOLIDADO!$A$2:$A$801,$I742))</f>
        <v/>
      </c>
      <c r="C742" s="11" t="str">
        <f aca="false">IF($I742="","",INDEX(CONSOLIDADO!$B$2:$B$801,$I742))</f>
        <v/>
      </c>
      <c r="D742" s="16" t="str">
        <f aca="false">IF($I742="","",INDEX(CONSOLIDADO!$C$2:$C$801,$I742))</f>
        <v/>
      </c>
      <c r="E742" s="16" t="str">
        <f aca="false">IF($I742="","",INDEX(CONSOLIDADO!$D$2:$D$801,$I742))</f>
        <v/>
      </c>
      <c r="F742" s="14" t="str">
        <f aca="false">IF($I742="","",INDEX(CONSOLIDADO!$E$2:$E$801,$I742))</f>
        <v/>
      </c>
      <c r="G742" s="16" t="str">
        <f aca="false">IF($I742="","",INDEX(CONSOLIDADO!$G$2:$G$801,$I742))</f>
        <v/>
      </c>
      <c r="H742" s="16" t="str">
        <f aca="false">IF($I742="","",INDEX(CONSOLIDADO!$H$2:$H$801,$I742))</f>
        <v/>
      </c>
      <c r="I742" s="11" t="str">
        <f aca="false">IFERROR(MATCH(ROW()-1,CONSOLIDADO!$AJ$2:$AJ$801,0),"")</f>
        <v/>
      </c>
      <c r="J742" s="11" t="str">
        <f aca="false">IF(B742="","",F742&amp;" "&amp;C742&amp;" ("&amp;B742&amp;")")</f>
        <v/>
      </c>
    </row>
    <row r="743" customFormat="false" ht="15" hidden="false" customHeight="false" outlineLevel="0" collapsed="false">
      <c r="A743" s="16"/>
      <c r="B743" s="11" t="str">
        <f aca="false">IF($I743="","",INDEX(CONSOLIDADO!$A$2:$A$801,$I743))</f>
        <v/>
      </c>
      <c r="C743" s="11" t="str">
        <f aca="false">IF($I743="","",INDEX(CONSOLIDADO!$B$2:$B$801,$I743))</f>
        <v/>
      </c>
      <c r="D743" s="16" t="str">
        <f aca="false">IF($I743="","",INDEX(CONSOLIDADO!$C$2:$C$801,$I743))</f>
        <v/>
      </c>
      <c r="E743" s="16" t="str">
        <f aca="false">IF($I743="","",INDEX(CONSOLIDADO!$D$2:$D$801,$I743))</f>
        <v/>
      </c>
      <c r="F743" s="14" t="str">
        <f aca="false">IF($I743="","",INDEX(CONSOLIDADO!$E$2:$E$801,$I743))</f>
        <v/>
      </c>
      <c r="G743" s="16" t="str">
        <f aca="false">IF($I743="","",INDEX(CONSOLIDADO!$G$2:$G$801,$I743))</f>
        <v/>
      </c>
      <c r="H743" s="16" t="str">
        <f aca="false">IF($I743="","",INDEX(CONSOLIDADO!$H$2:$H$801,$I743))</f>
        <v/>
      </c>
      <c r="I743" s="11" t="str">
        <f aca="false">IFERROR(MATCH(ROW()-1,CONSOLIDADO!$AJ$2:$AJ$801,0),"")</f>
        <v/>
      </c>
      <c r="J743" s="11" t="str">
        <f aca="false">IF(B743="","",F743&amp;" "&amp;C743&amp;" ("&amp;B743&amp;")")</f>
        <v/>
      </c>
    </row>
    <row r="744" customFormat="false" ht="15" hidden="false" customHeight="false" outlineLevel="0" collapsed="false">
      <c r="A744" s="16"/>
      <c r="B744" s="11" t="str">
        <f aca="false">IF($I744="","",INDEX(CONSOLIDADO!$A$2:$A$801,$I744))</f>
        <v/>
      </c>
      <c r="C744" s="11" t="str">
        <f aca="false">IF($I744="","",INDEX(CONSOLIDADO!$B$2:$B$801,$I744))</f>
        <v/>
      </c>
      <c r="D744" s="16" t="str">
        <f aca="false">IF($I744="","",INDEX(CONSOLIDADO!$C$2:$C$801,$I744))</f>
        <v/>
      </c>
      <c r="E744" s="16" t="str">
        <f aca="false">IF($I744="","",INDEX(CONSOLIDADO!$D$2:$D$801,$I744))</f>
        <v/>
      </c>
      <c r="F744" s="14" t="str">
        <f aca="false">IF($I744="","",INDEX(CONSOLIDADO!$E$2:$E$801,$I744))</f>
        <v/>
      </c>
      <c r="G744" s="16" t="str">
        <f aca="false">IF($I744="","",INDEX(CONSOLIDADO!$G$2:$G$801,$I744))</f>
        <v/>
      </c>
      <c r="H744" s="16" t="str">
        <f aca="false">IF($I744="","",INDEX(CONSOLIDADO!$H$2:$H$801,$I744))</f>
        <v/>
      </c>
      <c r="I744" s="11" t="str">
        <f aca="false">IFERROR(MATCH(ROW()-1,CONSOLIDADO!$AJ$2:$AJ$801,0),"")</f>
        <v/>
      </c>
      <c r="J744" s="11" t="str">
        <f aca="false">IF(B744="","",F744&amp;" "&amp;C744&amp;" ("&amp;B744&amp;")")</f>
        <v/>
      </c>
    </row>
    <row r="745" customFormat="false" ht="15" hidden="false" customHeight="false" outlineLevel="0" collapsed="false">
      <c r="A745" s="16"/>
      <c r="B745" s="11" t="str">
        <f aca="false">IF($I745="","",INDEX(CONSOLIDADO!$A$2:$A$801,$I745))</f>
        <v/>
      </c>
      <c r="C745" s="11" t="str">
        <f aca="false">IF($I745="","",INDEX(CONSOLIDADO!$B$2:$B$801,$I745))</f>
        <v/>
      </c>
      <c r="D745" s="16" t="str">
        <f aca="false">IF($I745="","",INDEX(CONSOLIDADO!$C$2:$C$801,$I745))</f>
        <v/>
      </c>
      <c r="E745" s="16" t="str">
        <f aca="false">IF($I745="","",INDEX(CONSOLIDADO!$D$2:$D$801,$I745))</f>
        <v/>
      </c>
      <c r="F745" s="14" t="str">
        <f aca="false">IF($I745="","",INDEX(CONSOLIDADO!$E$2:$E$801,$I745))</f>
        <v/>
      </c>
      <c r="G745" s="16" t="str">
        <f aca="false">IF($I745="","",INDEX(CONSOLIDADO!$G$2:$G$801,$I745))</f>
        <v/>
      </c>
      <c r="H745" s="16" t="str">
        <f aca="false">IF($I745="","",INDEX(CONSOLIDADO!$H$2:$H$801,$I745))</f>
        <v/>
      </c>
      <c r="I745" s="11" t="str">
        <f aca="false">IFERROR(MATCH(ROW()-1,CONSOLIDADO!$AJ$2:$AJ$801,0),"")</f>
        <v/>
      </c>
      <c r="J745" s="11" t="str">
        <f aca="false">IF(B745="","",F745&amp;" "&amp;C745&amp;" ("&amp;B745&amp;")")</f>
        <v/>
      </c>
    </row>
    <row r="746" customFormat="false" ht="15" hidden="false" customHeight="false" outlineLevel="0" collapsed="false">
      <c r="A746" s="16"/>
      <c r="B746" s="11" t="str">
        <f aca="false">IF($I746="","",INDEX(CONSOLIDADO!$A$2:$A$801,$I746))</f>
        <v/>
      </c>
      <c r="C746" s="11" t="str">
        <f aca="false">IF($I746="","",INDEX(CONSOLIDADO!$B$2:$B$801,$I746))</f>
        <v/>
      </c>
      <c r="D746" s="16" t="str">
        <f aca="false">IF($I746="","",INDEX(CONSOLIDADO!$C$2:$C$801,$I746))</f>
        <v/>
      </c>
      <c r="E746" s="16" t="str">
        <f aca="false">IF($I746="","",INDEX(CONSOLIDADO!$D$2:$D$801,$I746))</f>
        <v/>
      </c>
      <c r="F746" s="14" t="str">
        <f aca="false">IF($I746="","",INDEX(CONSOLIDADO!$E$2:$E$801,$I746))</f>
        <v/>
      </c>
      <c r="G746" s="16" t="str">
        <f aca="false">IF($I746="","",INDEX(CONSOLIDADO!$G$2:$G$801,$I746))</f>
        <v/>
      </c>
      <c r="H746" s="16" t="str">
        <f aca="false">IF($I746="","",INDEX(CONSOLIDADO!$H$2:$H$801,$I746))</f>
        <v/>
      </c>
      <c r="I746" s="11" t="str">
        <f aca="false">IFERROR(MATCH(ROW()-1,CONSOLIDADO!$AJ$2:$AJ$801,0),"")</f>
        <v/>
      </c>
      <c r="J746" s="11" t="str">
        <f aca="false">IF(B746="","",F746&amp;" "&amp;C746&amp;" ("&amp;B746&amp;")")</f>
        <v/>
      </c>
    </row>
    <row r="747" customFormat="false" ht="15" hidden="false" customHeight="false" outlineLevel="0" collapsed="false">
      <c r="A747" s="16"/>
      <c r="B747" s="11" t="str">
        <f aca="false">IF($I747="","",INDEX(CONSOLIDADO!$A$2:$A$801,$I747))</f>
        <v/>
      </c>
      <c r="C747" s="11" t="str">
        <f aca="false">IF($I747="","",INDEX(CONSOLIDADO!$B$2:$B$801,$I747))</f>
        <v/>
      </c>
      <c r="D747" s="16" t="str">
        <f aca="false">IF($I747="","",INDEX(CONSOLIDADO!$C$2:$C$801,$I747))</f>
        <v/>
      </c>
      <c r="E747" s="16" t="str">
        <f aca="false">IF($I747="","",INDEX(CONSOLIDADO!$D$2:$D$801,$I747))</f>
        <v/>
      </c>
      <c r="F747" s="14" t="str">
        <f aca="false">IF($I747="","",INDEX(CONSOLIDADO!$E$2:$E$801,$I747))</f>
        <v/>
      </c>
      <c r="G747" s="16" t="str">
        <f aca="false">IF($I747="","",INDEX(CONSOLIDADO!$G$2:$G$801,$I747))</f>
        <v/>
      </c>
      <c r="H747" s="16" t="str">
        <f aca="false">IF($I747="","",INDEX(CONSOLIDADO!$H$2:$H$801,$I747))</f>
        <v/>
      </c>
      <c r="I747" s="11" t="str">
        <f aca="false">IFERROR(MATCH(ROW()-1,CONSOLIDADO!$AJ$2:$AJ$801,0),"")</f>
        <v/>
      </c>
      <c r="J747" s="11" t="str">
        <f aca="false">IF(B747="","",F747&amp;" "&amp;C747&amp;" ("&amp;B747&amp;")")</f>
        <v/>
      </c>
    </row>
    <row r="748" customFormat="false" ht="15" hidden="false" customHeight="false" outlineLevel="0" collapsed="false">
      <c r="A748" s="16"/>
      <c r="B748" s="11" t="str">
        <f aca="false">IF($I748="","",INDEX(CONSOLIDADO!$A$2:$A$801,$I748))</f>
        <v/>
      </c>
      <c r="C748" s="11" t="str">
        <f aca="false">IF($I748="","",INDEX(CONSOLIDADO!$B$2:$B$801,$I748))</f>
        <v/>
      </c>
      <c r="D748" s="16" t="str">
        <f aca="false">IF($I748="","",INDEX(CONSOLIDADO!$C$2:$C$801,$I748))</f>
        <v/>
      </c>
      <c r="E748" s="16" t="str">
        <f aca="false">IF($I748="","",INDEX(CONSOLIDADO!$D$2:$D$801,$I748))</f>
        <v/>
      </c>
      <c r="F748" s="14" t="str">
        <f aca="false">IF($I748="","",INDEX(CONSOLIDADO!$E$2:$E$801,$I748))</f>
        <v/>
      </c>
      <c r="G748" s="16" t="str">
        <f aca="false">IF($I748="","",INDEX(CONSOLIDADO!$G$2:$G$801,$I748))</f>
        <v/>
      </c>
      <c r="H748" s="16" t="str">
        <f aca="false">IF($I748="","",INDEX(CONSOLIDADO!$H$2:$H$801,$I748))</f>
        <v/>
      </c>
      <c r="I748" s="11" t="str">
        <f aca="false">IFERROR(MATCH(ROW()-1,CONSOLIDADO!$AJ$2:$AJ$801,0),"")</f>
        <v/>
      </c>
      <c r="J748" s="11" t="str">
        <f aca="false">IF(B748="","",F748&amp;" "&amp;C748&amp;" ("&amp;B748&amp;")")</f>
        <v/>
      </c>
    </row>
    <row r="749" customFormat="false" ht="15" hidden="false" customHeight="false" outlineLevel="0" collapsed="false">
      <c r="A749" s="16"/>
      <c r="B749" s="11" t="str">
        <f aca="false">IF($I749="","",INDEX(CONSOLIDADO!$A$2:$A$801,$I749))</f>
        <v/>
      </c>
      <c r="C749" s="11" t="str">
        <f aca="false">IF($I749="","",INDEX(CONSOLIDADO!$B$2:$B$801,$I749))</f>
        <v/>
      </c>
      <c r="D749" s="16" t="str">
        <f aca="false">IF($I749="","",INDEX(CONSOLIDADO!$C$2:$C$801,$I749))</f>
        <v/>
      </c>
      <c r="E749" s="16" t="str">
        <f aca="false">IF($I749="","",INDEX(CONSOLIDADO!$D$2:$D$801,$I749))</f>
        <v/>
      </c>
      <c r="F749" s="14" t="str">
        <f aca="false">IF($I749="","",INDEX(CONSOLIDADO!$E$2:$E$801,$I749))</f>
        <v/>
      </c>
      <c r="G749" s="16" t="str">
        <f aca="false">IF($I749="","",INDEX(CONSOLIDADO!$G$2:$G$801,$I749))</f>
        <v/>
      </c>
      <c r="H749" s="16" t="str">
        <f aca="false">IF($I749="","",INDEX(CONSOLIDADO!$H$2:$H$801,$I749))</f>
        <v/>
      </c>
      <c r="I749" s="11" t="str">
        <f aca="false">IFERROR(MATCH(ROW()-1,CONSOLIDADO!$AJ$2:$AJ$801,0),"")</f>
        <v/>
      </c>
      <c r="J749" s="11" t="str">
        <f aca="false">IF(B749="","",F749&amp;" "&amp;C749&amp;" ("&amp;B749&amp;")")</f>
        <v/>
      </c>
    </row>
    <row r="750" customFormat="false" ht="15" hidden="false" customHeight="false" outlineLevel="0" collapsed="false">
      <c r="A750" s="16"/>
      <c r="B750" s="11" t="str">
        <f aca="false">IF($I750="","",INDEX(CONSOLIDADO!$A$2:$A$801,$I750))</f>
        <v/>
      </c>
      <c r="C750" s="11" t="str">
        <f aca="false">IF($I750="","",INDEX(CONSOLIDADO!$B$2:$B$801,$I750))</f>
        <v/>
      </c>
      <c r="D750" s="16" t="str">
        <f aca="false">IF($I750="","",INDEX(CONSOLIDADO!$C$2:$C$801,$I750))</f>
        <v/>
      </c>
      <c r="E750" s="16" t="str">
        <f aca="false">IF($I750="","",INDEX(CONSOLIDADO!$D$2:$D$801,$I750))</f>
        <v/>
      </c>
      <c r="F750" s="14" t="str">
        <f aca="false">IF($I750="","",INDEX(CONSOLIDADO!$E$2:$E$801,$I750))</f>
        <v/>
      </c>
      <c r="G750" s="16" t="str">
        <f aca="false">IF($I750="","",INDEX(CONSOLIDADO!$G$2:$G$801,$I750))</f>
        <v/>
      </c>
      <c r="H750" s="16" t="str">
        <f aca="false">IF($I750="","",INDEX(CONSOLIDADO!$H$2:$H$801,$I750))</f>
        <v/>
      </c>
      <c r="I750" s="11" t="str">
        <f aca="false">IFERROR(MATCH(ROW()-1,CONSOLIDADO!$AJ$2:$AJ$801,0),"")</f>
        <v/>
      </c>
      <c r="J750" s="11" t="str">
        <f aca="false">IF(B750="","",F750&amp;" "&amp;C750&amp;" ("&amp;B750&amp;")")</f>
        <v/>
      </c>
    </row>
    <row r="751" customFormat="false" ht="15" hidden="false" customHeight="false" outlineLevel="0" collapsed="false">
      <c r="A751" s="16"/>
      <c r="B751" s="11" t="str">
        <f aca="false">IF($I751="","",INDEX(CONSOLIDADO!$A$2:$A$801,$I751))</f>
        <v/>
      </c>
      <c r="C751" s="11" t="str">
        <f aca="false">IF($I751="","",INDEX(CONSOLIDADO!$B$2:$B$801,$I751))</f>
        <v/>
      </c>
      <c r="D751" s="16" t="str">
        <f aca="false">IF($I751="","",INDEX(CONSOLIDADO!$C$2:$C$801,$I751))</f>
        <v/>
      </c>
      <c r="E751" s="16" t="str">
        <f aca="false">IF($I751="","",INDEX(CONSOLIDADO!$D$2:$D$801,$I751))</f>
        <v/>
      </c>
      <c r="F751" s="14" t="str">
        <f aca="false">IF($I751="","",INDEX(CONSOLIDADO!$E$2:$E$801,$I751))</f>
        <v/>
      </c>
      <c r="G751" s="16" t="str">
        <f aca="false">IF($I751="","",INDEX(CONSOLIDADO!$G$2:$G$801,$I751))</f>
        <v/>
      </c>
      <c r="H751" s="16" t="str">
        <f aca="false">IF($I751="","",INDEX(CONSOLIDADO!$H$2:$H$801,$I751))</f>
        <v/>
      </c>
      <c r="I751" s="11" t="str">
        <f aca="false">IFERROR(MATCH(ROW()-1,CONSOLIDADO!$AJ$2:$AJ$801,0),"")</f>
        <v/>
      </c>
      <c r="J751" s="11" t="str">
        <f aca="false">IF(B751="","",F751&amp;" "&amp;C751&amp;" ("&amp;B751&amp;")")</f>
        <v/>
      </c>
    </row>
    <row r="752" customFormat="false" ht="15" hidden="false" customHeight="false" outlineLevel="0" collapsed="false">
      <c r="A752" s="16"/>
      <c r="B752" s="11" t="str">
        <f aca="false">IF($I752="","",INDEX(CONSOLIDADO!$A$2:$A$801,$I752))</f>
        <v/>
      </c>
      <c r="C752" s="11" t="str">
        <f aca="false">IF($I752="","",INDEX(CONSOLIDADO!$B$2:$B$801,$I752))</f>
        <v/>
      </c>
      <c r="D752" s="16" t="str">
        <f aca="false">IF($I752="","",INDEX(CONSOLIDADO!$C$2:$C$801,$I752))</f>
        <v/>
      </c>
      <c r="E752" s="16" t="str">
        <f aca="false">IF($I752="","",INDEX(CONSOLIDADO!$D$2:$D$801,$I752))</f>
        <v/>
      </c>
      <c r="F752" s="14" t="str">
        <f aca="false">IF($I752="","",INDEX(CONSOLIDADO!$E$2:$E$801,$I752))</f>
        <v/>
      </c>
      <c r="G752" s="16" t="str">
        <f aca="false">IF($I752="","",INDEX(CONSOLIDADO!$G$2:$G$801,$I752))</f>
        <v/>
      </c>
      <c r="H752" s="16" t="str">
        <f aca="false">IF($I752="","",INDEX(CONSOLIDADO!$H$2:$H$801,$I752))</f>
        <v/>
      </c>
      <c r="I752" s="11" t="str">
        <f aca="false">IFERROR(MATCH(ROW()-1,CONSOLIDADO!$AJ$2:$AJ$801,0),"")</f>
        <v/>
      </c>
      <c r="J752" s="11" t="str">
        <f aca="false">IF(B752="","",F752&amp;" "&amp;C752&amp;" ("&amp;B752&amp;")")</f>
        <v/>
      </c>
    </row>
    <row r="753" customFormat="false" ht="15" hidden="false" customHeight="false" outlineLevel="0" collapsed="false">
      <c r="A753" s="16"/>
      <c r="B753" s="11" t="str">
        <f aca="false">IF($I753="","",INDEX(CONSOLIDADO!$A$2:$A$801,$I753))</f>
        <v/>
      </c>
      <c r="C753" s="11" t="str">
        <f aca="false">IF($I753="","",INDEX(CONSOLIDADO!$B$2:$B$801,$I753))</f>
        <v/>
      </c>
      <c r="D753" s="16" t="str">
        <f aca="false">IF($I753="","",INDEX(CONSOLIDADO!$C$2:$C$801,$I753))</f>
        <v/>
      </c>
      <c r="E753" s="16" t="str">
        <f aca="false">IF($I753="","",INDEX(CONSOLIDADO!$D$2:$D$801,$I753))</f>
        <v/>
      </c>
      <c r="F753" s="14" t="str">
        <f aca="false">IF($I753="","",INDEX(CONSOLIDADO!$E$2:$E$801,$I753))</f>
        <v/>
      </c>
      <c r="G753" s="16" t="str">
        <f aca="false">IF($I753="","",INDEX(CONSOLIDADO!$G$2:$G$801,$I753))</f>
        <v/>
      </c>
      <c r="H753" s="16" t="str">
        <f aca="false">IF($I753="","",INDEX(CONSOLIDADO!$H$2:$H$801,$I753))</f>
        <v/>
      </c>
      <c r="I753" s="11" t="str">
        <f aca="false">IFERROR(MATCH(ROW()-1,CONSOLIDADO!$AJ$2:$AJ$801,0),"")</f>
        <v/>
      </c>
      <c r="J753" s="11" t="str">
        <f aca="false">IF(B753="","",F753&amp;" "&amp;C753&amp;" ("&amp;B753&amp;")")</f>
        <v/>
      </c>
    </row>
    <row r="754" customFormat="false" ht="15" hidden="false" customHeight="false" outlineLevel="0" collapsed="false">
      <c r="A754" s="16"/>
      <c r="B754" s="11" t="str">
        <f aca="false">IF($I754="","",INDEX(CONSOLIDADO!$A$2:$A$801,$I754))</f>
        <v/>
      </c>
      <c r="C754" s="11" t="str">
        <f aca="false">IF($I754="","",INDEX(CONSOLIDADO!$B$2:$B$801,$I754))</f>
        <v/>
      </c>
      <c r="D754" s="16" t="str">
        <f aca="false">IF($I754="","",INDEX(CONSOLIDADO!$C$2:$C$801,$I754))</f>
        <v/>
      </c>
      <c r="E754" s="16" t="str">
        <f aca="false">IF($I754="","",INDEX(CONSOLIDADO!$D$2:$D$801,$I754))</f>
        <v/>
      </c>
      <c r="F754" s="14" t="str">
        <f aca="false">IF($I754="","",INDEX(CONSOLIDADO!$E$2:$E$801,$I754))</f>
        <v/>
      </c>
      <c r="G754" s="16" t="str">
        <f aca="false">IF($I754="","",INDEX(CONSOLIDADO!$G$2:$G$801,$I754))</f>
        <v/>
      </c>
      <c r="H754" s="16" t="str">
        <f aca="false">IF($I754="","",INDEX(CONSOLIDADO!$H$2:$H$801,$I754))</f>
        <v/>
      </c>
      <c r="I754" s="11" t="str">
        <f aca="false">IFERROR(MATCH(ROW()-1,CONSOLIDADO!$AJ$2:$AJ$801,0),"")</f>
        <v/>
      </c>
      <c r="J754" s="11" t="str">
        <f aca="false">IF(B754="","",F754&amp;" "&amp;C754&amp;" ("&amp;B754&amp;")")</f>
        <v/>
      </c>
    </row>
    <row r="755" customFormat="false" ht="15" hidden="false" customHeight="false" outlineLevel="0" collapsed="false">
      <c r="A755" s="16"/>
      <c r="B755" s="11" t="str">
        <f aca="false">IF($I755="","",INDEX(CONSOLIDADO!$A$2:$A$801,$I755))</f>
        <v/>
      </c>
      <c r="C755" s="11" t="str">
        <f aca="false">IF($I755="","",INDEX(CONSOLIDADO!$B$2:$B$801,$I755))</f>
        <v/>
      </c>
      <c r="D755" s="16" t="str">
        <f aca="false">IF($I755="","",INDEX(CONSOLIDADO!$C$2:$C$801,$I755))</f>
        <v/>
      </c>
      <c r="E755" s="16" t="str">
        <f aca="false">IF($I755="","",INDEX(CONSOLIDADO!$D$2:$D$801,$I755))</f>
        <v/>
      </c>
      <c r="F755" s="14" t="str">
        <f aca="false">IF($I755="","",INDEX(CONSOLIDADO!$E$2:$E$801,$I755))</f>
        <v/>
      </c>
      <c r="G755" s="16" t="str">
        <f aca="false">IF($I755="","",INDEX(CONSOLIDADO!$G$2:$G$801,$I755))</f>
        <v/>
      </c>
      <c r="H755" s="16" t="str">
        <f aca="false">IF($I755="","",INDEX(CONSOLIDADO!$H$2:$H$801,$I755))</f>
        <v/>
      </c>
      <c r="I755" s="11" t="str">
        <f aca="false">IFERROR(MATCH(ROW()-1,CONSOLIDADO!$AJ$2:$AJ$801,0),"")</f>
        <v/>
      </c>
      <c r="J755" s="11" t="str">
        <f aca="false">IF(B755="","",F755&amp;" "&amp;C755&amp;" ("&amp;B755&amp;")")</f>
        <v/>
      </c>
    </row>
    <row r="756" customFormat="false" ht="15" hidden="false" customHeight="false" outlineLevel="0" collapsed="false">
      <c r="A756" s="16"/>
      <c r="B756" s="11" t="str">
        <f aca="false">IF($I756="","",INDEX(CONSOLIDADO!$A$2:$A$801,$I756))</f>
        <v/>
      </c>
      <c r="C756" s="11" t="str">
        <f aca="false">IF($I756="","",INDEX(CONSOLIDADO!$B$2:$B$801,$I756))</f>
        <v/>
      </c>
      <c r="D756" s="16" t="str">
        <f aca="false">IF($I756="","",INDEX(CONSOLIDADO!$C$2:$C$801,$I756))</f>
        <v/>
      </c>
      <c r="E756" s="16" t="str">
        <f aca="false">IF($I756="","",INDEX(CONSOLIDADO!$D$2:$D$801,$I756))</f>
        <v/>
      </c>
      <c r="F756" s="14" t="str">
        <f aca="false">IF($I756="","",INDEX(CONSOLIDADO!$E$2:$E$801,$I756))</f>
        <v/>
      </c>
      <c r="G756" s="16" t="str">
        <f aca="false">IF($I756="","",INDEX(CONSOLIDADO!$G$2:$G$801,$I756))</f>
        <v/>
      </c>
      <c r="H756" s="16" t="str">
        <f aca="false">IF($I756="","",INDEX(CONSOLIDADO!$H$2:$H$801,$I756))</f>
        <v/>
      </c>
      <c r="I756" s="11" t="str">
        <f aca="false">IFERROR(MATCH(ROW()-1,CONSOLIDADO!$AJ$2:$AJ$801,0),"")</f>
        <v/>
      </c>
      <c r="J756" s="11" t="str">
        <f aca="false">IF(B756="","",F756&amp;" "&amp;C756&amp;" ("&amp;B756&amp;")")</f>
        <v/>
      </c>
    </row>
    <row r="757" customFormat="false" ht="15" hidden="false" customHeight="false" outlineLevel="0" collapsed="false">
      <c r="A757" s="16"/>
      <c r="B757" s="11" t="str">
        <f aca="false">IF($I757="","",INDEX(CONSOLIDADO!$A$2:$A$801,$I757))</f>
        <v/>
      </c>
      <c r="C757" s="11" t="str">
        <f aca="false">IF($I757="","",INDEX(CONSOLIDADO!$B$2:$B$801,$I757))</f>
        <v/>
      </c>
      <c r="D757" s="16" t="str">
        <f aca="false">IF($I757="","",INDEX(CONSOLIDADO!$C$2:$C$801,$I757))</f>
        <v/>
      </c>
      <c r="E757" s="16" t="str">
        <f aca="false">IF($I757="","",INDEX(CONSOLIDADO!$D$2:$D$801,$I757))</f>
        <v/>
      </c>
      <c r="F757" s="14" t="str">
        <f aca="false">IF($I757="","",INDEX(CONSOLIDADO!$E$2:$E$801,$I757))</f>
        <v/>
      </c>
      <c r="G757" s="16" t="str">
        <f aca="false">IF($I757="","",INDEX(CONSOLIDADO!$G$2:$G$801,$I757))</f>
        <v/>
      </c>
      <c r="H757" s="16" t="str">
        <f aca="false">IF($I757="","",INDEX(CONSOLIDADO!$H$2:$H$801,$I757))</f>
        <v/>
      </c>
      <c r="I757" s="11" t="str">
        <f aca="false">IFERROR(MATCH(ROW()-1,CONSOLIDADO!$AJ$2:$AJ$801,0),"")</f>
        <v/>
      </c>
      <c r="J757" s="11" t="str">
        <f aca="false">IF(B757="","",F757&amp;" "&amp;C757&amp;" ("&amp;B757&amp;")")</f>
        <v/>
      </c>
    </row>
    <row r="758" customFormat="false" ht="15" hidden="false" customHeight="false" outlineLevel="0" collapsed="false">
      <c r="A758" s="16"/>
      <c r="B758" s="11" t="str">
        <f aca="false">IF($I758="","",INDEX(CONSOLIDADO!$A$2:$A$801,$I758))</f>
        <v/>
      </c>
      <c r="C758" s="11" t="str">
        <f aca="false">IF($I758="","",INDEX(CONSOLIDADO!$B$2:$B$801,$I758))</f>
        <v/>
      </c>
      <c r="D758" s="16" t="str">
        <f aca="false">IF($I758="","",INDEX(CONSOLIDADO!$C$2:$C$801,$I758))</f>
        <v/>
      </c>
      <c r="E758" s="16" t="str">
        <f aca="false">IF($I758="","",INDEX(CONSOLIDADO!$D$2:$D$801,$I758))</f>
        <v/>
      </c>
      <c r="F758" s="14" t="str">
        <f aca="false">IF($I758="","",INDEX(CONSOLIDADO!$E$2:$E$801,$I758))</f>
        <v/>
      </c>
      <c r="G758" s="16" t="str">
        <f aca="false">IF($I758="","",INDEX(CONSOLIDADO!$G$2:$G$801,$I758))</f>
        <v/>
      </c>
      <c r="H758" s="16" t="str">
        <f aca="false">IF($I758="","",INDEX(CONSOLIDADO!$H$2:$H$801,$I758))</f>
        <v/>
      </c>
      <c r="I758" s="11" t="str">
        <f aca="false">IFERROR(MATCH(ROW()-1,CONSOLIDADO!$AJ$2:$AJ$801,0),"")</f>
        <v/>
      </c>
      <c r="J758" s="11" t="str">
        <f aca="false">IF(B758="","",F758&amp;" "&amp;C758&amp;" ("&amp;B758&amp;")")</f>
        <v/>
      </c>
    </row>
    <row r="759" customFormat="false" ht="15" hidden="false" customHeight="false" outlineLevel="0" collapsed="false">
      <c r="A759" s="16"/>
      <c r="B759" s="11" t="str">
        <f aca="false">IF($I759="","",INDEX(CONSOLIDADO!$A$2:$A$801,$I759))</f>
        <v/>
      </c>
      <c r="C759" s="11" t="str">
        <f aca="false">IF($I759="","",INDEX(CONSOLIDADO!$B$2:$B$801,$I759))</f>
        <v/>
      </c>
      <c r="D759" s="16" t="str">
        <f aca="false">IF($I759="","",INDEX(CONSOLIDADO!$C$2:$C$801,$I759))</f>
        <v/>
      </c>
      <c r="E759" s="16" t="str">
        <f aca="false">IF($I759="","",INDEX(CONSOLIDADO!$D$2:$D$801,$I759))</f>
        <v/>
      </c>
      <c r="F759" s="14" t="str">
        <f aca="false">IF($I759="","",INDEX(CONSOLIDADO!$E$2:$E$801,$I759))</f>
        <v/>
      </c>
      <c r="G759" s="16" t="str">
        <f aca="false">IF($I759="","",INDEX(CONSOLIDADO!$G$2:$G$801,$I759))</f>
        <v/>
      </c>
      <c r="H759" s="16" t="str">
        <f aca="false">IF($I759="","",INDEX(CONSOLIDADO!$H$2:$H$801,$I759))</f>
        <v/>
      </c>
      <c r="I759" s="11" t="str">
        <f aca="false">IFERROR(MATCH(ROW()-1,CONSOLIDADO!$AJ$2:$AJ$801,0),"")</f>
        <v/>
      </c>
      <c r="J759" s="11" t="str">
        <f aca="false">IF(B759="","",F759&amp;" "&amp;C759&amp;" ("&amp;B759&amp;")")</f>
        <v/>
      </c>
    </row>
    <row r="760" customFormat="false" ht="15" hidden="false" customHeight="false" outlineLevel="0" collapsed="false">
      <c r="A760" s="16"/>
      <c r="B760" s="11" t="str">
        <f aca="false">IF($I760="","",INDEX(CONSOLIDADO!$A$2:$A$801,$I760))</f>
        <v/>
      </c>
      <c r="C760" s="11" t="str">
        <f aca="false">IF($I760="","",INDEX(CONSOLIDADO!$B$2:$B$801,$I760))</f>
        <v/>
      </c>
      <c r="D760" s="16" t="str">
        <f aca="false">IF($I760="","",INDEX(CONSOLIDADO!$C$2:$C$801,$I760))</f>
        <v/>
      </c>
      <c r="E760" s="16" t="str">
        <f aca="false">IF($I760="","",INDEX(CONSOLIDADO!$D$2:$D$801,$I760))</f>
        <v/>
      </c>
      <c r="F760" s="14" t="str">
        <f aca="false">IF($I760="","",INDEX(CONSOLIDADO!$E$2:$E$801,$I760))</f>
        <v/>
      </c>
      <c r="G760" s="16" t="str">
        <f aca="false">IF($I760="","",INDEX(CONSOLIDADO!$G$2:$G$801,$I760))</f>
        <v/>
      </c>
      <c r="H760" s="16" t="str">
        <f aca="false">IF($I760="","",INDEX(CONSOLIDADO!$H$2:$H$801,$I760))</f>
        <v/>
      </c>
      <c r="I760" s="11" t="str">
        <f aca="false">IFERROR(MATCH(ROW()-1,CONSOLIDADO!$AJ$2:$AJ$801,0),"")</f>
        <v/>
      </c>
      <c r="J760" s="11" t="str">
        <f aca="false">IF(B760="","",F760&amp;" "&amp;C760&amp;" ("&amp;B760&amp;")")</f>
        <v/>
      </c>
    </row>
    <row r="761" customFormat="false" ht="15" hidden="false" customHeight="false" outlineLevel="0" collapsed="false">
      <c r="A761" s="16"/>
      <c r="B761" s="11" t="str">
        <f aca="false">IF($I761="","",INDEX(CONSOLIDADO!$A$2:$A$801,$I761))</f>
        <v/>
      </c>
      <c r="C761" s="11" t="str">
        <f aca="false">IF($I761="","",INDEX(CONSOLIDADO!$B$2:$B$801,$I761))</f>
        <v/>
      </c>
      <c r="D761" s="16" t="str">
        <f aca="false">IF($I761="","",INDEX(CONSOLIDADO!$C$2:$C$801,$I761))</f>
        <v/>
      </c>
      <c r="E761" s="16" t="str">
        <f aca="false">IF($I761="","",INDEX(CONSOLIDADO!$D$2:$D$801,$I761))</f>
        <v/>
      </c>
      <c r="F761" s="14" t="str">
        <f aca="false">IF($I761="","",INDEX(CONSOLIDADO!$E$2:$E$801,$I761))</f>
        <v/>
      </c>
      <c r="G761" s="16" t="str">
        <f aca="false">IF($I761="","",INDEX(CONSOLIDADO!$G$2:$G$801,$I761))</f>
        <v/>
      </c>
      <c r="H761" s="16" t="str">
        <f aca="false">IF($I761="","",INDEX(CONSOLIDADO!$H$2:$H$801,$I761))</f>
        <v/>
      </c>
      <c r="I761" s="11" t="str">
        <f aca="false">IFERROR(MATCH(ROW()-1,CONSOLIDADO!$AJ$2:$AJ$801,0),"")</f>
        <v/>
      </c>
      <c r="J761" s="11" t="str">
        <f aca="false">IF(B761="","",F761&amp;" "&amp;C761&amp;" ("&amp;B761&amp;")")</f>
        <v/>
      </c>
    </row>
    <row r="762" customFormat="false" ht="15" hidden="false" customHeight="false" outlineLevel="0" collapsed="false">
      <c r="A762" s="16"/>
      <c r="B762" s="11" t="str">
        <f aca="false">IF($I762="","",INDEX(CONSOLIDADO!$A$2:$A$801,$I762))</f>
        <v/>
      </c>
      <c r="C762" s="11" t="str">
        <f aca="false">IF($I762="","",INDEX(CONSOLIDADO!$B$2:$B$801,$I762))</f>
        <v/>
      </c>
      <c r="D762" s="16" t="str">
        <f aca="false">IF($I762="","",INDEX(CONSOLIDADO!$C$2:$C$801,$I762))</f>
        <v/>
      </c>
      <c r="E762" s="16" t="str">
        <f aca="false">IF($I762="","",INDEX(CONSOLIDADO!$D$2:$D$801,$I762))</f>
        <v/>
      </c>
      <c r="F762" s="14" t="str">
        <f aca="false">IF($I762="","",INDEX(CONSOLIDADO!$E$2:$E$801,$I762))</f>
        <v/>
      </c>
      <c r="G762" s="16" t="str">
        <f aca="false">IF($I762="","",INDEX(CONSOLIDADO!$G$2:$G$801,$I762))</f>
        <v/>
      </c>
      <c r="H762" s="16" t="str">
        <f aca="false">IF($I762="","",INDEX(CONSOLIDADO!$H$2:$H$801,$I762))</f>
        <v/>
      </c>
      <c r="I762" s="11" t="str">
        <f aca="false">IFERROR(MATCH(ROW()-1,CONSOLIDADO!$AJ$2:$AJ$801,0),"")</f>
        <v/>
      </c>
      <c r="J762" s="11" t="str">
        <f aca="false">IF(B762="","",F762&amp;" "&amp;C762&amp;" ("&amp;B762&amp;")")</f>
        <v/>
      </c>
    </row>
    <row r="763" customFormat="false" ht="15" hidden="false" customHeight="false" outlineLevel="0" collapsed="false">
      <c r="A763" s="16"/>
      <c r="B763" s="11" t="str">
        <f aca="false">IF($I763="","",INDEX(CONSOLIDADO!$A$2:$A$801,$I763))</f>
        <v/>
      </c>
      <c r="C763" s="11" t="str">
        <f aca="false">IF($I763="","",INDEX(CONSOLIDADO!$B$2:$B$801,$I763))</f>
        <v/>
      </c>
      <c r="D763" s="16" t="str">
        <f aca="false">IF($I763="","",INDEX(CONSOLIDADO!$C$2:$C$801,$I763))</f>
        <v/>
      </c>
      <c r="E763" s="16" t="str">
        <f aca="false">IF($I763="","",INDEX(CONSOLIDADO!$D$2:$D$801,$I763))</f>
        <v/>
      </c>
      <c r="F763" s="14" t="str">
        <f aca="false">IF($I763="","",INDEX(CONSOLIDADO!$E$2:$E$801,$I763))</f>
        <v/>
      </c>
      <c r="G763" s="16" t="str">
        <f aca="false">IF($I763="","",INDEX(CONSOLIDADO!$G$2:$G$801,$I763))</f>
        <v/>
      </c>
      <c r="H763" s="16" t="str">
        <f aca="false">IF($I763="","",INDEX(CONSOLIDADO!$H$2:$H$801,$I763))</f>
        <v/>
      </c>
      <c r="I763" s="11" t="str">
        <f aca="false">IFERROR(MATCH(ROW()-1,CONSOLIDADO!$AJ$2:$AJ$801,0),"")</f>
        <v/>
      </c>
      <c r="J763" s="11" t="str">
        <f aca="false">IF(B763="","",F763&amp;" "&amp;C763&amp;" ("&amp;B763&amp;")")</f>
        <v/>
      </c>
    </row>
    <row r="764" customFormat="false" ht="15" hidden="false" customHeight="false" outlineLevel="0" collapsed="false">
      <c r="A764" s="16"/>
      <c r="B764" s="11" t="str">
        <f aca="false">IF($I764="","",INDEX(CONSOLIDADO!$A$2:$A$801,$I764))</f>
        <v/>
      </c>
      <c r="C764" s="11" t="str">
        <f aca="false">IF($I764="","",INDEX(CONSOLIDADO!$B$2:$B$801,$I764))</f>
        <v/>
      </c>
      <c r="D764" s="16" t="str">
        <f aca="false">IF($I764="","",INDEX(CONSOLIDADO!$C$2:$C$801,$I764))</f>
        <v/>
      </c>
      <c r="E764" s="16" t="str">
        <f aca="false">IF($I764="","",INDEX(CONSOLIDADO!$D$2:$D$801,$I764))</f>
        <v/>
      </c>
      <c r="F764" s="14" t="str">
        <f aca="false">IF($I764="","",INDEX(CONSOLIDADO!$E$2:$E$801,$I764))</f>
        <v/>
      </c>
      <c r="G764" s="16" t="str">
        <f aca="false">IF($I764="","",INDEX(CONSOLIDADO!$G$2:$G$801,$I764))</f>
        <v/>
      </c>
      <c r="H764" s="16" t="str">
        <f aca="false">IF($I764="","",INDEX(CONSOLIDADO!$H$2:$H$801,$I764))</f>
        <v/>
      </c>
      <c r="I764" s="11" t="str">
        <f aca="false">IFERROR(MATCH(ROW()-1,CONSOLIDADO!$AJ$2:$AJ$801,0),"")</f>
        <v/>
      </c>
      <c r="J764" s="11" t="str">
        <f aca="false">IF(B764="","",F764&amp;" "&amp;C764&amp;" ("&amp;B764&amp;")")</f>
        <v/>
      </c>
    </row>
    <row r="765" customFormat="false" ht="15" hidden="false" customHeight="false" outlineLevel="0" collapsed="false">
      <c r="A765" s="16"/>
      <c r="B765" s="11" t="str">
        <f aca="false">IF($I765="","",INDEX(CONSOLIDADO!$A$2:$A$801,$I765))</f>
        <v/>
      </c>
      <c r="C765" s="11" t="str">
        <f aca="false">IF($I765="","",INDEX(CONSOLIDADO!$B$2:$B$801,$I765))</f>
        <v/>
      </c>
      <c r="D765" s="16" t="str">
        <f aca="false">IF($I765="","",INDEX(CONSOLIDADO!$C$2:$C$801,$I765))</f>
        <v/>
      </c>
      <c r="E765" s="16" t="str">
        <f aca="false">IF($I765="","",INDEX(CONSOLIDADO!$D$2:$D$801,$I765))</f>
        <v/>
      </c>
      <c r="F765" s="14" t="str">
        <f aca="false">IF($I765="","",INDEX(CONSOLIDADO!$E$2:$E$801,$I765))</f>
        <v/>
      </c>
      <c r="G765" s="16" t="str">
        <f aca="false">IF($I765="","",INDEX(CONSOLIDADO!$G$2:$G$801,$I765))</f>
        <v/>
      </c>
      <c r="H765" s="16" t="str">
        <f aca="false">IF($I765="","",INDEX(CONSOLIDADO!$H$2:$H$801,$I765))</f>
        <v/>
      </c>
      <c r="I765" s="11" t="str">
        <f aca="false">IFERROR(MATCH(ROW()-1,CONSOLIDADO!$AJ$2:$AJ$801,0),"")</f>
        <v/>
      </c>
      <c r="J765" s="11" t="str">
        <f aca="false">IF(B765="","",F765&amp;" "&amp;C765&amp;" ("&amp;B765&amp;")")</f>
        <v/>
      </c>
    </row>
    <row r="766" customFormat="false" ht="15" hidden="false" customHeight="false" outlineLevel="0" collapsed="false">
      <c r="A766" s="16"/>
      <c r="B766" s="11" t="str">
        <f aca="false">IF($I766="","",INDEX(CONSOLIDADO!$A$2:$A$801,$I766))</f>
        <v/>
      </c>
      <c r="C766" s="11" t="str">
        <f aca="false">IF($I766="","",INDEX(CONSOLIDADO!$B$2:$B$801,$I766))</f>
        <v/>
      </c>
      <c r="D766" s="16" t="str">
        <f aca="false">IF($I766="","",INDEX(CONSOLIDADO!$C$2:$C$801,$I766))</f>
        <v/>
      </c>
      <c r="E766" s="16" t="str">
        <f aca="false">IF($I766="","",INDEX(CONSOLIDADO!$D$2:$D$801,$I766))</f>
        <v/>
      </c>
      <c r="F766" s="14" t="str">
        <f aca="false">IF($I766="","",INDEX(CONSOLIDADO!$E$2:$E$801,$I766))</f>
        <v/>
      </c>
      <c r="G766" s="16" t="str">
        <f aca="false">IF($I766="","",INDEX(CONSOLIDADO!$G$2:$G$801,$I766))</f>
        <v/>
      </c>
      <c r="H766" s="16" t="str">
        <f aca="false">IF($I766="","",INDEX(CONSOLIDADO!$H$2:$H$801,$I766))</f>
        <v/>
      </c>
      <c r="I766" s="11" t="str">
        <f aca="false">IFERROR(MATCH(ROW()-1,CONSOLIDADO!$AJ$2:$AJ$801,0),"")</f>
        <v/>
      </c>
      <c r="J766" s="11" t="str">
        <f aca="false">IF(B766="","",F766&amp;" "&amp;C766&amp;" ("&amp;B766&amp;")")</f>
        <v/>
      </c>
    </row>
    <row r="767" customFormat="false" ht="15" hidden="false" customHeight="false" outlineLevel="0" collapsed="false">
      <c r="A767" s="16"/>
      <c r="B767" s="11" t="str">
        <f aca="false">IF($I767="","",INDEX(CONSOLIDADO!$A$2:$A$801,$I767))</f>
        <v/>
      </c>
      <c r="C767" s="11" t="str">
        <f aca="false">IF($I767="","",INDEX(CONSOLIDADO!$B$2:$B$801,$I767))</f>
        <v/>
      </c>
      <c r="D767" s="16" t="str">
        <f aca="false">IF($I767="","",INDEX(CONSOLIDADO!$C$2:$C$801,$I767))</f>
        <v/>
      </c>
      <c r="E767" s="16" t="str">
        <f aca="false">IF($I767="","",INDEX(CONSOLIDADO!$D$2:$D$801,$I767))</f>
        <v/>
      </c>
      <c r="F767" s="14" t="str">
        <f aca="false">IF($I767="","",INDEX(CONSOLIDADO!$E$2:$E$801,$I767))</f>
        <v/>
      </c>
      <c r="G767" s="16" t="str">
        <f aca="false">IF($I767="","",INDEX(CONSOLIDADO!$G$2:$G$801,$I767))</f>
        <v/>
      </c>
      <c r="H767" s="16" t="str">
        <f aca="false">IF($I767="","",INDEX(CONSOLIDADO!$H$2:$H$801,$I767))</f>
        <v/>
      </c>
      <c r="I767" s="11" t="str">
        <f aca="false">IFERROR(MATCH(ROW()-1,CONSOLIDADO!$AJ$2:$AJ$801,0),"")</f>
        <v/>
      </c>
      <c r="J767" s="11" t="str">
        <f aca="false">IF(B767="","",F767&amp;" "&amp;C767&amp;" ("&amp;B767&amp;")")</f>
        <v/>
      </c>
    </row>
    <row r="768" customFormat="false" ht="15" hidden="false" customHeight="false" outlineLevel="0" collapsed="false">
      <c r="A768" s="16"/>
      <c r="B768" s="11" t="str">
        <f aca="false">IF($I768="","",INDEX(CONSOLIDADO!$A$2:$A$801,$I768))</f>
        <v/>
      </c>
      <c r="C768" s="11" t="str">
        <f aca="false">IF($I768="","",INDEX(CONSOLIDADO!$B$2:$B$801,$I768))</f>
        <v/>
      </c>
      <c r="D768" s="16" t="str">
        <f aca="false">IF($I768="","",INDEX(CONSOLIDADO!$C$2:$C$801,$I768))</f>
        <v/>
      </c>
      <c r="E768" s="16" t="str">
        <f aca="false">IF($I768="","",INDEX(CONSOLIDADO!$D$2:$D$801,$I768))</f>
        <v/>
      </c>
      <c r="F768" s="14" t="str">
        <f aca="false">IF($I768="","",INDEX(CONSOLIDADO!$E$2:$E$801,$I768))</f>
        <v/>
      </c>
      <c r="G768" s="16" t="str">
        <f aca="false">IF($I768="","",INDEX(CONSOLIDADO!$G$2:$G$801,$I768))</f>
        <v/>
      </c>
      <c r="H768" s="16" t="str">
        <f aca="false">IF($I768="","",INDEX(CONSOLIDADO!$H$2:$H$801,$I768))</f>
        <v/>
      </c>
      <c r="I768" s="11" t="str">
        <f aca="false">IFERROR(MATCH(ROW()-1,CONSOLIDADO!$AJ$2:$AJ$801,0),"")</f>
        <v/>
      </c>
      <c r="J768" s="11" t="str">
        <f aca="false">IF(B768="","",F768&amp;" "&amp;C768&amp;" ("&amp;B768&amp;")")</f>
        <v/>
      </c>
    </row>
    <row r="769" customFormat="false" ht="15" hidden="false" customHeight="false" outlineLevel="0" collapsed="false">
      <c r="A769" s="16"/>
      <c r="B769" s="11" t="str">
        <f aca="false">IF($I769="","",INDEX(CONSOLIDADO!$A$2:$A$801,$I769))</f>
        <v/>
      </c>
      <c r="C769" s="11" t="str">
        <f aca="false">IF($I769="","",INDEX(CONSOLIDADO!$B$2:$B$801,$I769))</f>
        <v/>
      </c>
      <c r="D769" s="16" t="str">
        <f aca="false">IF($I769="","",INDEX(CONSOLIDADO!$C$2:$C$801,$I769))</f>
        <v/>
      </c>
      <c r="E769" s="16" t="str">
        <f aca="false">IF($I769="","",INDEX(CONSOLIDADO!$D$2:$D$801,$I769))</f>
        <v/>
      </c>
      <c r="F769" s="14" t="str">
        <f aca="false">IF($I769="","",INDEX(CONSOLIDADO!$E$2:$E$801,$I769))</f>
        <v/>
      </c>
      <c r="G769" s="16" t="str">
        <f aca="false">IF($I769="","",INDEX(CONSOLIDADO!$G$2:$G$801,$I769))</f>
        <v/>
      </c>
      <c r="H769" s="16" t="str">
        <f aca="false">IF($I769="","",INDEX(CONSOLIDADO!$H$2:$H$801,$I769))</f>
        <v/>
      </c>
      <c r="I769" s="11" t="str">
        <f aca="false">IFERROR(MATCH(ROW()-1,CONSOLIDADO!$AJ$2:$AJ$801,0),"")</f>
        <v/>
      </c>
      <c r="J769" s="11" t="str">
        <f aca="false">IF(B769="","",F769&amp;" "&amp;C769&amp;" ("&amp;B769&amp;")")</f>
        <v/>
      </c>
    </row>
    <row r="770" customFormat="false" ht="15" hidden="false" customHeight="false" outlineLevel="0" collapsed="false">
      <c r="A770" s="16"/>
      <c r="B770" s="11" t="str">
        <f aca="false">IF($I770="","",INDEX(CONSOLIDADO!$A$2:$A$801,$I770))</f>
        <v/>
      </c>
      <c r="C770" s="11" t="str">
        <f aca="false">IF($I770="","",INDEX(CONSOLIDADO!$B$2:$B$801,$I770))</f>
        <v/>
      </c>
      <c r="D770" s="16" t="str">
        <f aca="false">IF($I770="","",INDEX(CONSOLIDADO!$C$2:$C$801,$I770))</f>
        <v/>
      </c>
      <c r="E770" s="16" t="str">
        <f aca="false">IF($I770="","",INDEX(CONSOLIDADO!$D$2:$D$801,$I770))</f>
        <v/>
      </c>
      <c r="F770" s="14" t="str">
        <f aca="false">IF($I770="","",INDEX(CONSOLIDADO!$E$2:$E$801,$I770))</f>
        <v/>
      </c>
      <c r="G770" s="16" t="str">
        <f aca="false">IF($I770="","",INDEX(CONSOLIDADO!$G$2:$G$801,$I770))</f>
        <v/>
      </c>
      <c r="H770" s="16" t="str">
        <f aca="false">IF($I770="","",INDEX(CONSOLIDADO!$H$2:$H$801,$I770))</f>
        <v/>
      </c>
      <c r="I770" s="11" t="str">
        <f aca="false">IFERROR(MATCH(ROW()-1,CONSOLIDADO!$AJ$2:$AJ$801,0),"")</f>
        <v/>
      </c>
      <c r="J770" s="11" t="str">
        <f aca="false">IF(B770="","",F770&amp;" "&amp;C770&amp;" ("&amp;B770&amp;")")</f>
        <v/>
      </c>
    </row>
    <row r="771" customFormat="false" ht="15" hidden="false" customHeight="false" outlineLevel="0" collapsed="false">
      <c r="A771" s="16"/>
      <c r="B771" s="11" t="str">
        <f aca="false">IF($I771="","",INDEX(CONSOLIDADO!$A$2:$A$801,$I771))</f>
        <v/>
      </c>
      <c r="C771" s="11" t="str">
        <f aca="false">IF($I771="","",INDEX(CONSOLIDADO!$B$2:$B$801,$I771))</f>
        <v/>
      </c>
      <c r="D771" s="16" t="str">
        <f aca="false">IF($I771="","",INDEX(CONSOLIDADO!$C$2:$C$801,$I771))</f>
        <v/>
      </c>
      <c r="E771" s="16" t="str">
        <f aca="false">IF($I771="","",INDEX(CONSOLIDADO!$D$2:$D$801,$I771))</f>
        <v/>
      </c>
      <c r="F771" s="14" t="str">
        <f aca="false">IF($I771="","",INDEX(CONSOLIDADO!$E$2:$E$801,$I771))</f>
        <v/>
      </c>
      <c r="G771" s="16" t="str">
        <f aca="false">IF($I771="","",INDEX(CONSOLIDADO!$G$2:$G$801,$I771))</f>
        <v/>
      </c>
      <c r="H771" s="16" t="str">
        <f aca="false">IF($I771="","",INDEX(CONSOLIDADO!$H$2:$H$801,$I771))</f>
        <v/>
      </c>
      <c r="I771" s="11" t="str">
        <f aca="false">IFERROR(MATCH(ROW()-1,CONSOLIDADO!$AJ$2:$AJ$801,0),"")</f>
        <v/>
      </c>
      <c r="J771" s="11" t="str">
        <f aca="false">IF(B771="","",F771&amp;" "&amp;C771&amp;" ("&amp;B771&amp;")")</f>
        <v/>
      </c>
    </row>
    <row r="772" customFormat="false" ht="15" hidden="false" customHeight="false" outlineLevel="0" collapsed="false">
      <c r="A772" s="16"/>
      <c r="B772" s="11" t="str">
        <f aca="false">IF($I772="","",INDEX(CONSOLIDADO!$A$2:$A$801,$I772))</f>
        <v/>
      </c>
      <c r="C772" s="11" t="str">
        <f aca="false">IF($I772="","",INDEX(CONSOLIDADO!$B$2:$B$801,$I772))</f>
        <v/>
      </c>
      <c r="D772" s="16" t="str">
        <f aca="false">IF($I772="","",INDEX(CONSOLIDADO!$C$2:$C$801,$I772))</f>
        <v/>
      </c>
      <c r="E772" s="16" t="str">
        <f aca="false">IF($I772="","",INDEX(CONSOLIDADO!$D$2:$D$801,$I772))</f>
        <v/>
      </c>
      <c r="F772" s="14" t="str">
        <f aca="false">IF($I772="","",INDEX(CONSOLIDADO!$E$2:$E$801,$I772))</f>
        <v/>
      </c>
      <c r="G772" s="16" t="str">
        <f aca="false">IF($I772="","",INDEX(CONSOLIDADO!$G$2:$G$801,$I772))</f>
        <v/>
      </c>
      <c r="H772" s="16" t="str">
        <f aca="false">IF($I772="","",INDEX(CONSOLIDADO!$H$2:$H$801,$I772))</f>
        <v/>
      </c>
      <c r="I772" s="11" t="str">
        <f aca="false">IFERROR(MATCH(ROW()-1,CONSOLIDADO!$AJ$2:$AJ$801,0),"")</f>
        <v/>
      </c>
      <c r="J772" s="11" t="str">
        <f aca="false">IF(B772="","",F772&amp;" "&amp;C772&amp;" ("&amp;B772&amp;")")</f>
        <v/>
      </c>
    </row>
    <row r="773" customFormat="false" ht="15" hidden="false" customHeight="false" outlineLevel="0" collapsed="false">
      <c r="A773" s="16"/>
      <c r="B773" s="11" t="str">
        <f aca="false">IF($I773="","",INDEX(CONSOLIDADO!$A$2:$A$801,$I773))</f>
        <v/>
      </c>
      <c r="C773" s="11" t="str">
        <f aca="false">IF($I773="","",INDEX(CONSOLIDADO!$B$2:$B$801,$I773))</f>
        <v/>
      </c>
      <c r="D773" s="16" t="str">
        <f aca="false">IF($I773="","",INDEX(CONSOLIDADO!$C$2:$C$801,$I773))</f>
        <v/>
      </c>
      <c r="E773" s="16" t="str">
        <f aca="false">IF($I773="","",INDEX(CONSOLIDADO!$D$2:$D$801,$I773))</f>
        <v/>
      </c>
      <c r="F773" s="14" t="str">
        <f aca="false">IF($I773="","",INDEX(CONSOLIDADO!$E$2:$E$801,$I773))</f>
        <v/>
      </c>
      <c r="G773" s="16" t="str">
        <f aca="false">IF($I773="","",INDEX(CONSOLIDADO!$G$2:$G$801,$I773))</f>
        <v/>
      </c>
      <c r="H773" s="16" t="str">
        <f aca="false">IF($I773="","",INDEX(CONSOLIDADO!$H$2:$H$801,$I773))</f>
        <v/>
      </c>
      <c r="I773" s="11" t="str">
        <f aca="false">IFERROR(MATCH(ROW()-1,CONSOLIDADO!$AJ$2:$AJ$801,0),"")</f>
        <v/>
      </c>
      <c r="J773" s="11" t="str">
        <f aca="false">IF(B773="","",F773&amp;" "&amp;C773&amp;" ("&amp;B773&amp;")")</f>
        <v/>
      </c>
    </row>
    <row r="774" customFormat="false" ht="15" hidden="false" customHeight="false" outlineLevel="0" collapsed="false">
      <c r="A774" s="16"/>
      <c r="B774" s="11" t="str">
        <f aca="false">IF($I774="","",INDEX(CONSOLIDADO!$A$2:$A$801,$I774))</f>
        <v/>
      </c>
      <c r="C774" s="11" t="str">
        <f aca="false">IF($I774="","",INDEX(CONSOLIDADO!$B$2:$B$801,$I774))</f>
        <v/>
      </c>
      <c r="D774" s="16" t="str">
        <f aca="false">IF($I774="","",INDEX(CONSOLIDADO!$C$2:$C$801,$I774))</f>
        <v/>
      </c>
      <c r="E774" s="16" t="str">
        <f aca="false">IF($I774="","",INDEX(CONSOLIDADO!$D$2:$D$801,$I774))</f>
        <v/>
      </c>
      <c r="F774" s="14" t="str">
        <f aca="false">IF($I774="","",INDEX(CONSOLIDADO!$E$2:$E$801,$I774))</f>
        <v/>
      </c>
      <c r="G774" s="16" t="str">
        <f aca="false">IF($I774="","",INDEX(CONSOLIDADO!$G$2:$G$801,$I774))</f>
        <v/>
      </c>
      <c r="H774" s="16" t="str">
        <f aca="false">IF($I774="","",INDEX(CONSOLIDADO!$H$2:$H$801,$I774))</f>
        <v/>
      </c>
      <c r="I774" s="11" t="str">
        <f aca="false">IFERROR(MATCH(ROW()-1,CONSOLIDADO!$AJ$2:$AJ$801,0),"")</f>
        <v/>
      </c>
      <c r="J774" s="11" t="str">
        <f aca="false">IF(B774="","",F774&amp;" "&amp;C774&amp;" ("&amp;B774&amp;")")</f>
        <v/>
      </c>
    </row>
    <row r="775" customFormat="false" ht="15" hidden="false" customHeight="false" outlineLevel="0" collapsed="false">
      <c r="A775" s="16"/>
      <c r="B775" s="11" t="str">
        <f aca="false">IF($I775="","",INDEX(CONSOLIDADO!$A$2:$A$801,$I775))</f>
        <v/>
      </c>
      <c r="C775" s="11" t="str">
        <f aca="false">IF($I775="","",INDEX(CONSOLIDADO!$B$2:$B$801,$I775))</f>
        <v/>
      </c>
      <c r="D775" s="16" t="str">
        <f aca="false">IF($I775="","",INDEX(CONSOLIDADO!$C$2:$C$801,$I775))</f>
        <v/>
      </c>
      <c r="E775" s="16" t="str">
        <f aca="false">IF($I775="","",INDEX(CONSOLIDADO!$D$2:$D$801,$I775))</f>
        <v/>
      </c>
      <c r="F775" s="14" t="str">
        <f aca="false">IF($I775="","",INDEX(CONSOLIDADO!$E$2:$E$801,$I775))</f>
        <v/>
      </c>
      <c r="G775" s="16" t="str">
        <f aca="false">IF($I775="","",INDEX(CONSOLIDADO!$G$2:$G$801,$I775))</f>
        <v/>
      </c>
      <c r="H775" s="16" t="str">
        <f aca="false">IF($I775="","",INDEX(CONSOLIDADO!$H$2:$H$801,$I775))</f>
        <v/>
      </c>
      <c r="I775" s="11" t="str">
        <f aca="false">IFERROR(MATCH(ROW()-1,CONSOLIDADO!$AJ$2:$AJ$801,0),"")</f>
        <v/>
      </c>
      <c r="J775" s="11" t="str">
        <f aca="false">IF(B775="","",F775&amp;" "&amp;C775&amp;" ("&amp;B775&amp;")")</f>
        <v/>
      </c>
    </row>
    <row r="776" customFormat="false" ht="15" hidden="false" customHeight="false" outlineLevel="0" collapsed="false">
      <c r="A776" s="16"/>
      <c r="B776" s="11" t="str">
        <f aca="false">IF($I776="","",INDEX(CONSOLIDADO!$A$2:$A$801,$I776))</f>
        <v/>
      </c>
      <c r="C776" s="11" t="str">
        <f aca="false">IF($I776="","",INDEX(CONSOLIDADO!$B$2:$B$801,$I776))</f>
        <v/>
      </c>
      <c r="D776" s="16" t="str">
        <f aca="false">IF($I776="","",INDEX(CONSOLIDADO!$C$2:$C$801,$I776))</f>
        <v/>
      </c>
      <c r="E776" s="16" t="str">
        <f aca="false">IF($I776="","",INDEX(CONSOLIDADO!$D$2:$D$801,$I776))</f>
        <v/>
      </c>
      <c r="F776" s="14" t="str">
        <f aca="false">IF($I776="","",INDEX(CONSOLIDADO!$E$2:$E$801,$I776))</f>
        <v/>
      </c>
      <c r="G776" s="16" t="str">
        <f aca="false">IF($I776="","",INDEX(CONSOLIDADO!$G$2:$G$801,$I776))</f>
        <v/>
      </c>
      <c r="H776" s="16" t="str">
        <f aca="false">IF($I776="","",INDEX(CONSOLIDADO!$H$2:$H$801,$I776))</f>
        <v/>
      </c>
      <c r="I776" s="11" t="str">
        <f aca="false">IFERROR(MATCH(ROW()-1,CONSOLIDADO!$AJ$2:$AJ$801,0),"")</f>
        <v/>
      </c>
      <c r="J776" s="11" t="str">
        <f aca="false">IF(B776="","",F776&amp;" "&amp;C776&amp;" ("&amp;B776&amp;")")</f>
        <v/>
      </c>
    </row>
    <row r="777" customFormat="false" ht="15" hidden="false" customHeight="false" outlineLevel="0" collapsed="false">
      <c r="A777" s="16"/>
      <c r="B777" s="11" t="str">
        <f aca="false">IF($I777="","",INDEX(CONSOLIDADO!$A$2:$A$801,$I777))</f>
        <v/>
      </c>
      <c r="C777" s="11" t="str">
        <f aca="false">IF($I777="","",INDEX(CONSOLIDADO!$B$2:$B$801,$I777))</f>
        <v/>
      </c>
      <c r="D777" s="16" t="str">
        <f aca="false">IF($I777="","",INDEX(CONSOLIDADO!$C$2:$C$801,$I777))</f>
        <v/>
      </c>
      <c r="E777" s="16" t="str">
        <f aca="false">IF($I777="","",INDEX(CONSOLIDADO!$D$2:$D$801,$I777))</f>
        <v/>
      </c>
      <c r="F777" s="14" t="str">
        <f aca="false">IF($I777="","",INDEX(CONSOLIDADO!$E$2:$E$801,$I777))</f>
        <v/>
      </c>
      <c r="G777" s="16" t="str">
        <f aca="false">IF($I777="","",INDEX(CONSOLIDADO!$G$2:$G$801,$I777))</f>
        <v/>
      </c>
      <c r="H777" s="16" t="str">
        <f aca="false">IF($I777="","",INDEX(CONSOLIDADO!$H$2:$H$801,$I777))</f>
        <v/>
      </c>
      <c r="I777" s="11" t="str">
        <f aca="false">IFERROR(MATCH(ROW()-1,CONSOLIDADO!$AJ$2:$AJ$801,0),"")</f>
        <v/>
      </c>
      <c r="J777" s="11" t="str">
        <f aca="false">IF(B777="","",F777&amp;" "&amp;C777&amp;" ("&amp;B777&amp;")")</f>
        <v/>
      </c>
    </row>
    <row r="778" customFormat="false" ht="15" hidden="false" customHeight="false" outlineLevel="0" collapsed="false">
      <c r="A778" s="16"/>
      <c r="B778" s="11" t="str">
        <f aca="false">IF($I778="","",INDEX(CONSOLIDADO!$A$2:$A$801,$I778))</f>
        <v/>
      </c>
      <c r="C778" s="11" t="str">
        <f aca="false">IF($I778="","",INDEX(CONSOLIDADO!$B$2:$B$801,$I778))</f>
        <v/>
      </c>
      <c r="D778" s="16" t="str">
        <f aca="false">IF($I778="","",INDEX(CONSOLIDADO!$C$2:$C$801,$I778))</f>
        <v/>
      </c>
      <c r="E778" s="16" t="str">
        <f aca="false">IF($I778="","",INDEX(CONSOLIDADO!$D$2:$D$801,$I778))</f>
        <v/>
      </c>
      <c r="F778" s="14" t="str">
        <f aca="false">IF($I778="","",INDEX(CONSOLIDADO!$E$2:$E$801,$I778))</f>
        <v/>
      </c>
      <c r="G778" s="16" t="str">
        <f aca="false">IF($I778="","",INDEX(CONSOLIDADO!$G$2:$G$801,$I778))</f>
        <v/>
      </c>
      <c r="H778" s="16" t="str">
        <f aca="false">IF($I778="","",INDEX(CONSOLIDADO!$H$2:$H$801,$I778))</f>
        <v/>
      </c>
      <c r="I778" s="11" t="str">
        <f aca="false">IFERROR(MATCH(ROW()-1,CONSOLIDADO!$AJ$2:$AJ$801,0),"")</f>
        <v/>
      </c>
      <c r="J778" s="11" t="str">
        <f aca="false">IF(B778="","",F778&amp;" "&amp;C778&amp;" ("&amp;B778&amp;")")</f>
        <v/>
      </c>
    </row>
    <row r="779" customFormat="false" ht="15" hidden="false" customHeight="false" outlineLevel="0" collapsed="false">
      <c r="A779" s="16"/>
      <c r="B779" s="11" t="str">
        <f aca="false">IF($I779="","",INDEX(CONSOLIDADO!$A$2:$A$801,$I779))</f>
        <v/>
      </c>
      <c r="C779" s="11" t="str">
        <f aca="false">IF($I779="","",INDEX(CONSOLIDADO!$B$2:$B$801,$I779))</f>
        <v/>
      </c>
      <c r="D779" s="16" t="str">
        <f aca="false">IF($I779="","",INDEX(CONSOLIDADO!$C$2:$C$801,$I779))</f>
        <v/>
      </c>
      <c r="E779" s="16" t="str">
        <f aca="false">IF($I779="","",INDEX(CONSOLIDADO!$D$2:$D$801,$I779))</f>
        <v/>
      </c>
      <c r="F779" s="14" t="str">
        <f aca="false">IF($I779="","",INDEX(CONSOLIDADO!$E$2:$E$801,$I779))</f>
        <v/>
      </c>
      <c r="G779" s="16" t="str">
        <f aca="false">IF($I779="","",INDEX(CONSOLIDADO!$G$2:$G$801,$I779))</f>
        <v/>
      </c>
      <c r="H779" s="16" t="str">
        <f aca="false">IF($I779="","",INDEX(CONSOLIDADO!$H$2:$H$801,$I779))</f>
        <v/>
      </c>
      <c r="I779" s="11" t="str">
        <f aca="false">IFERROR(MATCH(ROW()-1,CONSOLIDADO!$AJ$2:$AJ$801,0),"")</f>
        <v/>
      </c>
      <c r="J779" s="11" t="str">
        <f aca="false">IF(B779="","",F779&amp;" "&amp;C779&amp;" ("&amp;B779&amp;")")</f>
        <v/>
      </c>
    </row>
    <row r="780" customFormat="false" ht="15" hidden="false" customHeight="false" outlineLevel="0" collapsed="false">
      <c r="A780" s="16"/>
      <c r="B780" s="11" t="str">
        <f aca="false">IF($I780="","",INDEX(CONSOLIDADO!$A$2:$A$801,$I780))</f>
        <v/>
      </c>
      <c r="C780" s="11" t="str">
        <f aca="false">IF($I780="","",INDEX(CONSOLIDADO!$B$2:$B$801,$I780))</f>
        <v/>
      </c>
      <c r="D780" s="16" t="str">
        <f aca="false">IF($I780="","",INDEX(CONSOLIDADO!$C$2:$C$801,$I780))</f>
        <v/>
      </c>
      <c r="E780" s="16" t="str">
        <f aca="false">IF($I780="","",INDEX(CONSOLIDADO!$D$2:$D$801,$I780))</f>
        <v/>
      </c>
      <c r="F780" s="14" t="str">
        <f aca="false">IF($I780="","",INDEX(CONSOLIDADO!$E$2:$E$801,$I780))</f>
        <v/>
      </c>
      <c r="G780" s="16" t="str">
        <f aca="false">IF($I780="","",INDEX(CONSOLIDADO!$G$2:$G$801,$I780))</f>
        <v/>
      </c>
      <c r="H780" s="16" t="str">
        <f aca="false">IF($I780="","",INDEX(CONSOLIDADO!$H$2:$H$801,$I780))</f>
        <v/>
      </c>
      <c r="I780" s="11" t="str">
        <f aca="false">IFERROR(MATCH(ROW()-1,CONSOLIDADO!$AJ$2:$AJ$801,0),"")</f>
        <v/>
      </c>
      <c r="J780" s="11" t="str">
        <f aca="false">IF(B780="","",F780&amp;" "&amp;C780&amp;" ("&amp;B780&amp;")")</f>
        <v/>
      </c>
    </row>
    <row r="781" customFormat="false" ht="15" hidden="false" customHeight="false" outlineLevel="0" collapsed="false">
      <c r="A781" s="16"/>
      <c r="B781" s="11" t="str">
        <f aca="false">IF($I781="","",INDEX(CONSOLIDADO!$A$2:$A$801,$I781))</f>
        <v/>
      </c>
      <c r="C781" s="11" t="str">
        <f aca="false">IF($I781="","",INDEX(CONSOLIDADO!$B$2:$B$801,$I781))</f>
        <v/>
      </c>
      <c r="D781" s="16" t="str">
        <f aca="false">IF($I781="","",INDEX(CONSOLIDADO!$C$2:$C$801,$I781))</f>
        <v/>
      </c>
      <c r="E781" s="16" t="str">
        <f aca="false">IF($I781="","",INDEX(CONSOLIDADO!$D$2:$D$801,$I781))</f>
        <v/>
      </c>
      <c r="F781" s="14" t="str">
        <f aca="false">IF($I781="","",INDEX(CONSOLIDADO!$E$2:$E$801,$I781))</f>
        <v/>
      </c>
      <c r="G781" s="16" t="str">
        <f aca="false">IF($I781="","",INDEX(CONSOLIDADO!$G$2:$G$801,$I781))</f>
        <v/>
      </c>
      <c r="H781" s="16" t="str">
        <f aca="false">IF($I781="","",INDEX(CONSOLIDADO!$H$2:$H$801,$I781))</f>
        <v/>
      </c>
      <c r="I781" s="11" t="str">
        <f aca="false">IFERROR(MATCH(ROW()-1,CONSOLIDADO!$AJ$2:$AJ$801,0),"")</f>
        <v/>
      </c>
      <c r="J781" s="11" t="str">
        <f aca="false">IF(B781="","",F781&amp;" "&amp;C781&amp;" ("&amp;B781&amp;")")</f>
        <v/>
      </c>
    </row>
    <row r="782" customFormat="false" ht="15" hidden="false" customHeight="false" outlineLevel="0" collapsed="false">
      <c r="A782" s="16"/>
      <c r="B782" s="11" t="str">
        <f aca="false">IF($I782="","",INDEX(CONSOLIDADO!$A$2:$A$801,$I782))</f>
        <v/>
      </c>
      <c r="C782" s="11" t="str">
        <f aca="false">IF($I782="","",INDEX(CONSOLIDADO!$B$2:$B$801,$I782))</f>
        <v/>
      </c>
      <c r="D782" s="16" t="str">
        <f aca="false">IF($I782="","",INDEX(CONSOLIDADO!$C$2:$C$801,$I782))</f>
        <v/>
      </c>
      <c r="E782" s="16" t="str">
        <f aca="false">IF($I782="","",INDEX(CONSOLIDADO!$D$2:$D$801,$I782))</f>
        <v/>
      </c>
      <c r="F782" s="14" t="str">
        <f aca="false">IF($I782="","",INDEX(CONSOLIDADO!$E$2:$E$801,$I782))</f>
        <v/>
      </c>
      <c r="G782" s="16" t="str">
        <f aca="false">IF($I782="","",INDEX(CONSOLIDADO!$G$2:$G$801,$I782))</f>
        <v/>
      </c>
      <c r="H782" s="16" t="str">
        <f aca="false">IF($I782="","",INDEX(CONSOLIDADO!$H$2:$H$801,$I782))</f>
        <v/>
      </c>
      <c r="I782" s="11" t="str">
        <f aca="false">IFERROR(MATCH(ROW()-1,CONSOLIDADO!$AJ$2:$AJ$801,0),"")</f>
        <v/>
      </c>
      <c r="J782" s="11" t="str">
        <f aca="false">IF(B782="","",F782&amp;" "&amp;C782&amp;" ("&amp;B782&amp;")")</f>
        <v/>
      </c>
    </row>
    <row r="783" customFormat="false" ht="15" hidden="false" customHeight="false" outlineLevel="0" collapsed="false">
      <c r="A783" s="16"/>
      <c r="B783" s="11" t="str">
        <f aca="false">IF($I783="","",INDEX(CONSOLIDADO!$A$2:$A$801,$I783))</f>
        <v/>
      </c>
      <c r="C783" s="11" t="str">
        <f aca="false">IF($I783="","",INDEX(CONSOLIDADO!$B$2:$B$801,$I783))</f>
        <v/>
      </c>
      <c r="D783" s="16" t="str">
        <f aca="false">IF($I783="","",INDEX(CONSOLIDADO!$C$2:$C$801,$I783))</f>
        <v/>
      </c>
      <c r="E783" s="16" t="str">
        <f aca="false">IF($I783="","",INDEX(CONSOLIDADO!$D$2:$D$801,$I783))</f>
        <v/>
      </c>
      <c r="F783" s="14" t="str">
        <f aca="false">IF($I783="","",INDEX(CONSOLIDADO!$E$2:$E$801,$I783))</f>
        <v/>
      </c>
      <c r="G783" s="16" t="str">
        <f aca="false">IF($I783="","",INDEX(CONSOLIDADO!$G$2:$G$801,$I783))</f>
        <v/>
      </c>
      <c r="H783" s="16" t="str">
        <f aca="false">IF($I783="","",INDEX(CONSOLIDADO!$H$2:$H$801,$I783))</f>
        <v/>
      </c>
      <c r="I783" s="11" t="str">
        <f aca="false">IFERROR(MATCH(ROW()-1,CONSOLIDADO!$AJ$2:$AJ$801,0),"")</f>
        <v/>
      </c>
      <c r="J783" s="11" t="str">
        <f aca="false">IF(B783="","",F783&amp;" "&amp;C783&amp;" ("&amp;B783&amp;")")</f>
        <v/>
      </c>
    </row>
    <row r="784" customFormat="false" ht="15" hidden="false" customHeight="false" outlineLevel="0" collapsed="false">
      <c r="A784" s="16"/>
      <c r="B784" s="11" t="str">
        <f aca="false">IF($I784="","",INDEX(CONSOLIDADO!$A$2:$A$801,$I784))</f>
        <v/>
      </c>
      <c r="C784" s="11" t="str">
        <f aca="false">IF($I784="","",INDEX(CONSOLIDADO!$B$2:$B$801,$I784))</f>
        <v/>
      </c>
      <c r="D784" s="16" t="str">
        <f aca="false">IF($I784="","",INDEX(CONSOLIDADO!$C$2:$C$801,$I784))</f>
        <v/>
      </c>
      <c r="E784" s="16" t="str">
        <f aca="false">IF($I784="","",INDEX(CONSOLIDADO!$D$2:$D$801,$I784))</f>
        <v/>
      </c>
      <c r="F784" s="14" t="str">
        <f aca="false">IF($I784="","",INDEX(CONSOLIDADO!$E$2:$E$801,$I784))</f>
        <v/>
      </c>
      <c r="G784" s="16" t="str">
        <f aca="false">IF($I784="","",INDEX(CONSOLIDADO!$G$2:$G$801,$I784))</f>
        <v/>
      </c>
      <c r="H784" s="16" t="str">
        <f aca="false">IF($I784="","",INDEX(CONSOLIDADO!$H$2:$H$801,$I784))</f>
        <v/>
      </c>
      <c r="I784" s="11" t="str">
        <f aca="false">IFERROR(MATCH(ROW()-1,CONSOLIDADO!$AJ$2:$AJ$801,0),"")</f>
        <v/>
      </c>
      <c r="J784" s="11" t="str">
        <f aca="false">IF(B784="","",F784&amp;" "&amp;C784&amp;" ("&amp;B784&amp;")")</f>
        <v/>
      </c>
    </row>
    <row r="785" customFormat="false" ht="15" hidden="false" customHeight="false" outlineLevel="0" collapsed="false">
      <c r="A785" s="16"/>
      <c r="B785" s="11" t="str">
        <f aca="false">IF($I785="","",INDEX(CONSOLIDADO!$A$2:$A$801,$I785))</f>
        <v/>
      </c>
      <c r="C785" s="11" t="str">
        <f aca="false">IF($I785="","",INDEX(CONSOLIDADO!$B$2:$B$801,$I785))</f>
        <v/>
      </c>
      <c r="D785" s="16" t="str">
        <f aca="false">IF($I785="","",INDEX(CONSOLIDADO!$C$2:$C$801,$I785))</f>
        <v/>
      </c>
      <c r="E785" s="16" t="str">
        <f aca="false">IF($I785="","",INDEX(CONSOLIDADO!$D$2:$D$801,$I785))</f>
        <v/>
      </c>
      <c r="F785" s="14" t="str">
        <f aca="false">IF($I785="","",INDEX(CONSOLIDADO!$E$2:$E$801,$I785))</f>
        <v/>
      </c>
      <c r="G785" s="16" t="str">
        <f aca="false">IF($I785="","",INDEX(CONSOLIDADO!$G$2:$G$801,$I785))</f>
        <v/>
      </c>
      <c r="H785" s="16" t="str">
        <f aca="false">IF($I785="","",INDEX(CONSOLIDADO!$H$2:$H$801,$I785))</f>
        <v/>
      </c>
      <c r="I785" s="11" t="str">
        <f aca="false">IFERROR(MATCH(ROW()-1,CONSOLIDADO!$AJ$2:$AJ$801,0),"")</f>
        <v/>
      </c>
      <c r="J785" s="11" t="str">
        <f aca="false">IF(B785="","",F785&amp;" "&amp;C785&amp;" ("&amp;B785&amp;")")</f>
        <v/>
      </c>
    </row>
    <row r="786" customFormat="false" ht="15" hidden="false" customHeight="false" outlineLevel="0" collapsed="false">
      <c r="A786" s="16"/>
      <c r="B786" s="11" t="str">
        <f aca="false">IF($I786="","",INDEX(CONSOLIDADO!$A$2:$A$801,$I786))</f>
        <v/>
      </c>
      <c r="C786" s="11" t="str">
        <f aca="false">IF($I786="","",INDEX(CONSOLIDADO!$B$2:$B$801,$I786))</f>
        <v/>
      </c>
      <c r="D786" s="16" t="str">
        <f aca="false">IF($I786="","",INDEX(CONSOLIDADO!$C$2:$C$801,$I786))</f>
        <v/>
      </c>
      <c r="E786" s="16" t="str">
        <f aca="false">IF($I786="","",INDEX(CONSOLIDADO!$D$2:$D$801,$I786))</f>
        <v/>
      </c>
      <c r="F786" s="14" t="str">
        <f aca="false">IF($I786="","",INDEX(CONSOLIDADO!$E$2:$E$801,$I786))</f>
        <v/>
      </c>
      <c r="G786" s="16" t="str">
        <f aca="false">IF($I786="","",INDEX(CONSOLIDADO!$G$2:$G$801,$I786))</f>
        <v/>
      </c>
      <c r="H786" s="16" t="str">
        <f aca="false">IF($I786="","",INDEX(CONSOLIDADO!$H$2:$H$801,$I786))</f>
        <v/>
      </c>
      <c r="I786" s="11" t="str">
        <f aca="false">IFERROR(MATCH(ROW()-1,CONSOLIDADO!$AJ$2:$AJ$801,0),"")</f>
        <v/>
      </c>
      <c r="J786" s="11" t="str">
        <f aca="false">IF(B786="","",F786&amp;" "&amp;C786&amp;" ("&amp;B786&amp;")")</f>
        <v/>
      </c>
    </row>
    <row r="787" customFormat="false" ht="15" hidden="false" customHeight="false" outlineLevel="0" collapsed="false">
      <c r="A787" s="16"/>
      <c r="B787" s="11" t="str">
        <f aca="false">IF($I787="","",INDEX(CONSOLIDADO!$A$2:$A$801,$I787))</f>
        <v/>
      </c>
      <c r="C787" s="11" t="str">
        <f aca="false">IF($I787="","",INDEX(CONSOLIDADO!$B$2:$B$801,$I787))</f>
        <v/>
      </c>
      <c r="D787" s="16" t="str">
        <f aca="false">IF($I787="","",INDEX(CONSOLIDADO!$C$2:$C$801,$I787))</f>
        <v/>
      </c>
      <c r="E787" s="16" t="str">
        <f aca="false">IF($I787="","",INDEX(CONSOLIDADO!$D$2:$D$801,$I787))</f>
        <v/>
      </c>
      <c r="F787" s="14" t="str">
        <f aca="false">IF($I787="","",INDEX(CONSOLIDADO!$E$2:$E$801,$I787))</f>
        <v/>
      </c>
      <c r="G787" s="16" t="str">
        <f aca="false">IF($I787="","",INDEX(CONSOLIDADO!$G$2:$G$801,$I787))</f>
        <v/>
      </c>
      <c r="H787" s="16" t="str">
        <f aca="false">IF($I787="","",INDEX(CONSOLIDADO!$H$2:$H$801,$I787))</f>
        <v/>
      </c>
      <c r="I787" s="11" t="str">
        <f aca="false">IFERROR(MATCH(ROW()-1,CONSOLIDADO!$AJ$2:$AJ$801,0),"")</f>
        <v/>
      </c>
      <c r="J787" s="11" t="str">
        <f aca="false">IF(B787="","",F787&amp;" "&amp;C787&amp;" ("&amp;B787&amp;")")</f>
        <v/>
      </c>
    </row>
    <row r="788" customFormat="false" ht="15" hidden="false" customHeight="false" outlineLevel="0" collapsed="false">
      <c r="A788" s="16"/>
      <c r="B788" s="11" t="str">
        <f aca="false">IF($I788="","",INDEX(CONSOLIDADO!$A$2:$A$801,$I788))</f>
        <v/>
      </c>
      <c r="C788" s="11" t="str">
        <f aca="false">IF($I788="","",INDEX(CONSOLIDADO!$B$2:$B$801,$I788))</f>
        <v/>
      </c>
      <c r="D788" s="16" t="str">
        <f aca="false">IF($I788="","",INDEX(CONSOLIDADO!$C$2:$C$801,$I788))</f>
        <v/>
      </c>
      <c r="E788" s="16" t="str">
        <f aca="false">IF($I788="","",INDEX(CONSOLIDADO!$D$2:$D$801,$I788))</f>
        <v/>
      </c>
      <c r="F788" s="14" t="str">
        <f aca="false">IF($I788="","",INDEX(CONSOLIDADO!$E$2:$E$801,$I788))</f>
        <v/>
      </c>
      <c r="G788" s="16" t="str">
        <f aca="false">IF($I788="","",INDEX(CONSOLIDADO!$G$2:$G$801,$I788))</f>
        <v/>
      </c>
      <c r="H788" s="16" t="str">
        <f aca="false">IF($I788="","",INDEX(CONSOLIDADO!$H$2:$H$801,$I788))</f>
        <v/>
      </c>
      <c r="I788" s="11" t="str">
        <f aca="false">IFERROR(MATCH(ROW()-1,CONSOLIDADO!$AJ$2:$AJ$801,0),"")</f>
        <v/>
      </c>
      <c r="J788" s="11" t="str">
        <f aca="false">IF(B788="","",F788&amp;" "&amp;C788&amp;" ("&amp;B788&amp;")")</f>
        <v/>
      </c>
    </row>
    <row r="789" customFormat="false" ht="15" hidden="false" customHeight="false" outlineLevel="0" collapsed="false">
      <c r="A789" s="16"/>
      <c r="B789" s="11" t="str">
        <f aca="false">IF($I789="","",INDEX(CONSOLIDADO!$A$2:$A$801,$I789))</f>
        <v/>
      </c>
      <c r="C789" s="11" t="str">
        <f aca="false">IF($I789="","",INDEX(CONSOLIDADO!$B$2:$B$801,$I789))</f>
        <v/>
      </c>
      <c r="D789" s="16" t="str">
        <f aca="false">IF($I789="","",INDEX(CONSOLIDADO!$C$2:$C$801,$I789))</f>
        <v/>
      </c>
      <c r="E789" s="16" t="str">
        <f aca="false">IF($I789="","",INDEX(CONSOLIDADO!$D$2:$D$801,$I789))</f>
        <v/>
      </c>
      <c r="F789" s="14" t="str">
        <f aca="false">IF($I789="","",INDEX(CONSOLIDADO!$E$2:$E$801,$I789))</f>
        <v/>
      </c>
      <c r="G789" s="16" t="str">
        <f aca="false">IF($I789="","",INDEX(CONSOLIDADO!$G$2:$G$801,$I789))</f>
        <v/>
      </c>
      <c r="H789" s="16" t="str">
        <f aca="false">IF($I789="","",INDEX(CONSOLIDADO!$H$2:$H$801,$I789))</f>
        <v/>
      </c>
      <c r="I789" s="11" t="str">
        <f aca="false">IFERROR(MATCH(ROW()-1,CONSOLIDADO!$AJ$2:$AJ$801,0),"")</f>
        <v/>
      </c>
      <c r="J789" s="11" t="str">
        <f aca="false">IF(B789="","",F789&amp;" "&amp;C789&amp;" ("&amp;B789&amp;")")</f>
        <v/>
      </c>
    </row>
    <row r="790" customFormat="false" ht="15" hidden="false" customHeight="false" outlineLevel="0" collapsed="false">
      <c r="A790" s="16"/>
      <c r="B790" s="11" t="str">
        <f aca="false">IF($I790="","",INDEX(CONSOLIDADO!$A$2:$A$801,$I790))</f>
        <v/>
      </c>
      <c r="C790" s="11" t="str">
        <f aca="false">IF($I790="","",INDEX(CONSOLIDADO!$B$2:$B$801,$I790))</f>
        <v/>
      </c>
      <c r="D790" s="16" t="str">
        <f aca="false">IF($I790="","",INDEX(CONSOLIDADO!$C$2:$C$801,$I790))</f>
        <v/>
      </c>
      <c r="E790" s="16" t="str">
        <f aca="false">IF($I790="","",INDEX(CONSOLIDADO!$D$2:$D$801,$I790))</f>
        <v/>
      </c>
      <c r="F790" s="14" t="str">
        <f aca="false">IF($I790="","",INDEX(CONSOLIDADO!$E$2:$E$801,$I790))</f>
        <v/>
      </c>
      <c r="G790" s="16" t="str">
        <f aca="false">IF($I790="","",INDEX(CONSOLIDADO!$G$2:$G$801,$I790))</f>
        <v/>
      </c>
      <c r="H790" s="16" t="str">
        <f aca="false">IF($I790="","",INDEX(CONSOLIDADO!$H$2:$H$801,$I790))</f>
        <v/>
      </c>
      <c r="I790" s="11" t="str">
        <f aca="false">IFERROR(MATCH(ROW()-1,CONSOLIDADO!$AJ$2:$AJ$801,0),"")</f>
        <v/>
      </c>
      <c r="J790" s="11" t="str">
        <f aca="false">IF(B790="","",F790&amp;" "&amp;C790&amp;" ("&amp;B790&amp;")")</f>
        <v/>
      </c>
    </row>
    <row r="791" customFormat="false" ht="15" hidden="false" customHeight="false" outlineLevel="0" collapsed="false">
      <c r="A791" s="16"/>
      <c r="B791" s="11" t="str">
        <f aca="false">IF($I791="","",INDEX(CONSOLIDADO!$A$2:$A$801,$I791))</f>
        <v/>
      </c>
      <c r="C791" s="11" t="str">
        <f aca="false">IF($I791="","",INDEX(CONSOLIDADO!$B$2:$B$801,$I791))</f>
        <v/>
      </c>
      <c r="D791" s="16" t="str">
        <f aca="false">IF($I791="","",INDEX(CONSOLIDADO!$C$2:$C$801,$I791))</f>
        <v/>
      </c>
      <c r="E791" s="16" t="str">
        <f aca="false">IF($I791="","",INDEX(CONSOLIDADO!$D$2:$D$801,$I791))</f>
        <v/>
      </c>
      <c r="F791" s="14" t="str">
        <f aca="false">IF($I791="","",INDEX(CONSOLIDADO!$E$2:$E$801,$I791))</f>
        <v/>
      </c>
      <c r="G791" s="16" t="str">
        <f aca="false">IF($I791="","",INDEX(CONSOLIDADO!$G$2:$G$801,$I791))</f>
        <v/>
      </c>
      <c r="H791" s="16" t="str">
        <f aca="false">IF($I791="","",INDEX(CONSOLIDADO!$H$2:$H$801,$I791))</f>
        <v/>
      </c>
      <c r="I791" s="11" t="str">
        <f aca="false">IFERROR(MATCH(ROW()-1,CONSOLIDADO!$AJ$2:$AJ$801,0),"")</f>
        <v/>
      </c>
      <c r="J791" s="11" t="str">
        <f aca="false">IF(B791="","",F791&amp;" "&amp;C791&amp;" ("&amp;B791&amp;")")</f>
        <v/>
      </c>
    </row>
    <row r="792" customFormat="false" ht="15" hidden="false" customHeight="false" outlineLevel="0" collapsed="false">
      <c r="A792" s="16"/>
      <c r="B792" s="11" t="str">
        <f aca="false">IF($I792="","",INDEX(CONSOLIDADO!$A$2:$A$801,$I792))</f>
        <v/>
      </c>
      <c r="C792" s="11" t="str">
        <f aca="false">IF($I792="","",INDEX(CONSOLIDADO!$B$2:$B$801,$I792))</f>
        <v/>
      </c>
      <c r="D792" s="16" t="str">
        <f aca="false">IF($I792="","",INDEX(CONSOLIDADO!$C$2:$C$801,$I792))</f>
        <v/>
      </c>
      <c r="E792" s="16" t="str">
        <f aca="false">IF($I792="","",INDEX(CONSOLIDADO!$D$2:$D$801,$I792))</f>
        <v/>
      </c>
      <c r="F792" s="14" t="str">
        <f aca="false">IF($I792="","",INDEX(CONSOLIDADO!$E$2:$E$801,$I792))</f>
        <v/>
      </c>
      <c r="G792" s="16" t="str">
        <f aca="false">IF($I792="","",INDEX(CONSOLIDADO!$G$2:$G$801,$I792))</f>
        <v/>
      </c>
      <c r="H792" s="16" t="str">
        <f aca="false">IF($I792="","",INDEX(CONSOLIDADO!$H$2:$H$801,$I792))</f>
        <v/>
      </c>
      <c r="I792" s="11" t="str">
        <f aca="false">IFERROR(MATCH(ROW()-1,CONSOLIDADO!$AJ$2:$AJ$801,0),"")</f>
        <v/>
      </c>
      <c r="J792" s="11" t="str">
        <f aca="false">IF(B792="","",F792&amp;" "&amp;C792&amp;" ("&amp;B792&amp;")")</f>
        <v/>
      </c>
    </row>
    <row r="793" customFormat="false" ht="15" hidden="false" customHeight="false" outlineLevel="0" collapsed="false">
      <c r="A793" s="16"/>
      <c r="B793" s="11" t="str">
        <f aca="false">IF($I793="","",INDEX(CONSOLIDADO!$A$2:$A$801,$I793))</f>
        <v/>
      </c>
      <c r="C793" s="11" t="str">
        <f aca="false">IF($I793="","",INDEX(CONSOLIDADO!$B$2:$B$801,$I793))</f>
        <v/>
      </c>
      <c r="D793" s="16" t="str">
        <f aca="false">IF($I793="","",INDEX(CONSOLIDADO!$C$2:$C$801,$I793))</f>
        <v/>
      </c>
      <c r="E793" s="16" t="str">
        <f aca="false">IF($I793="","",INDEX(CONSOLIDADO!$D$2:$D$801,$I793))</f>
        <v/>
      </c>
      <c r="F793" s="14" t="str">
        <f aca="false">IF($I793="","",INDEX(CONSOLIDADO!$E$2:$E$801,$I793))</f>
        <v/>
      </c>
      <c r="G793" s="16" t="str">
        <f aca="false">IF($I793="","",INDEX(CONSOLIDADO!$G$2:$G$801,$I793))</f>
        <v/>
      </c>
      <c r="H793" s="16" t="str">
        <f aca="false">IF($I793="","",INDEX(CONSOLIDADO!$H$2:$H$801,$I793))</f>
        <v/>
      </c>
      <c r="I793" s="11" t="str">
        <f aca="false">IFERROR(MATCH(ROW()-1,CONSOLIDADO!$AJ$2:$AJ$801,0),"")</f>
        <v/>
      </c>
      <c r="J793" s="11" t="str">
        <f aca="false">IF(B793="","",F793&amp;" "&amp;C793&amp;" ("&amp;B793&amp;")")</f>
        <v/>
      </c>
    </row>
    <row r="794" customFormat="false" ht="15" hidden="false" customHeight="false" outlineLevel="0" collapsed="false">
      <c r="A794" s="16"/>
      <c r="B794" s="11" t="str">
        <f aca="false">IF($I794="","",INDEX(CONSOLIDADO!$A$2:$A$801,$I794))</f>
        <v/>
      </c>
      <c r="C794" s="11" t="str">
        <f aca="false">IF($I794="","",INDEX(CONSOLIDADO!$B$2:$B$801,$I794))</f>
        <v/>
      </c>
      <c r="D794" s="16" t="str">
        <f aca="false">IF($I794="","",INDEX(CONSOLIDADO!$C$2:$C$801,$I794))</f>
        <v/>
      </c>
      <c r="E794" s="16" t="str">
        <f aca="false">IF($I794="","",INDEX(CONSOLIDADO!$D$2:$D$801,$I794))</f>
        <v/>
      </c>
      <c r="F794" s="14" t="str">
        <f aca="false">IF($I794="","",INDEX(CONSOLIDADO!$E$2:$E$801,$I794))</f>
        <v/>
      </c>
      <c r="G794" s="16" t="str">
        <f aca="false">IF($I794="","",INDEX(CONSOLIDADO!$G$2:$G$801,$I794))</f>
        <v/>
      </c>
      <c r="H794" s="16" t="str">
        <f aca="false">IF($I794="","",INDEX(CONSOLIDADO!$H$2:$H$801,$I794))</f>
        <v/>
      </c>
      <c r="I794" s="11" t="str">
        <f aca="false">IFERROR(MATCH(ROW()-1,CONSOLIDADO!$AJ$2:$AJ$801,0),"")</f>
        <v/>
      </c>
      <c r="J794" s="11" t="str">
        <f aca="false">IF(B794="","",F794&amp;" "&amp;C794&amp;" ("&amp;B794&amp;")")</f>
        <v/>
      </c>
    </row>
    <row r="795" customFormat="false" ht="15" hidden="false" customHeight="false" outlineLevel="0" collapsed="false">
      <c r="A795" s="16"/>
      <c r="B795" s="11" t="str">
        <f aca="false">IF($I795="","",INDEX(CONSOLIDADO!$A$2:$A$801,$I795))</f>
        <v/>
      </c>
      <c r="C795" s="11" t="str">
        <f aca="false">IF($I795="","",INDEX(CONSOLIDADO!$B$2:$B$801,$I795))</f>
        <v/>
      </c>
      <c r="D795" s="16" t="str">
        <f aca="false">IF($I795="","",INDEX(CONSOLIDADO!$C$2:$C$801,$I795))</f>
        <v/>
      </c>
      <c r="E795" s="16" t="str">
        <f aca="false">IF($I795="","",INDEX(CONSOLIDADO!$D$2:$D$801,$I795))</f>
        <v/>
      </c>
      <c r="F795" s="14" t="str">
        <f aca="false">IF($I795="","",INDEX(CONSOLIDADO!$E$2:$E$801,$I795))</f>
        <v/>
      </c>
      <c r="G795" s="16" t="str">
        <f aca="false">IF($I795="","",INDEX(CONSOLIDADO!$G$2:$G$801,$I795))</f>
        <v/>
      </c>
      <c r="H795" s="16" t="str">
        <f aca="false">IF($I795="","",INDEX(CONSOLIDADO!$H$2:$H$801,$I795))</f>
        <v/>
      </c>
      <c r="I795" s="11" t="str">
        <f aca="false">IFERROR(MATCH(ROW()-1,CONSOLIDADO!$AJ$2:$AJ$801,0),"")</f>
        <v/>
      </c>
      <c r="J795" s="11" t="str">
        <f aca="false">IF(B795="","",F795&amp;" "&amp;C795&amp;" ("&amp;B795&amp;")")</f>
        <v/>
      </c>
    </row>
    <row r="796" customFormat="false" ht="15" hidden="false" customHeight="false" outlineLevel="0" collapsed="false">
      <c r="A796" s="16"/>
      <c r="B796" s="11" t="str">
        <f aca="false">IF($I796="","",INDEX(CONSOLIDADO!$A$2:$A$801,$I796))</f>
        <v/>
      </c>
      <c r="C796" s="11" t="str">
        <f aca="false">IF($I796="","",INDEX(CONSOLIDADO!$B$2:$B$801,$I796))</f>
        <v/>
      </c>
      <c r="D796" s="16" t="str">
        <f aca="false">IF($I796="","",INDEX(CONSOLIDADO!$C$2:$C$801,$I796))</f>
        <v/>
      </c>
      <c r="E796" s="16" t="str">
        <f aca="false">IF($I796="","",INDEX(CONSOLIDADO!$D$2:$D$801,$I796))</f>
        <v/>
      </c>
      <c r="F796" s="14" t="str">
        <f aca="false">IF($I796="","",INDEX(CONSOLIDADO!$E$2:$E$801,$I796))</f>
        <v/>
      </c>
      <c r="G796" s="16" t="str">
        <f aca="false">IF($I796="","",INDEX(CONSOLIDADO!$G$2:$G$801,$I796))</f>
        <v/>
      </c>
      <c r="H796" s="16" t="str">
        <f aca="false">IF($I796="","",INDEX(CONSOLIDADO!$H$2:$H$801,$I796))</f>
        <v/>
      </c>
      <c r="I796" s="11" t="str">
        <f aca="false">IFERROR(MATCH(ROW()-1,CONSOLIDADO!$AJ$2:$AJ$801,0),"")</f>
        <v/>
      </c>
      <c r="J796" s="11" t="str">
        <f aca="false">IF(B796="","",F796&amp;" "&amp;C796&amp;" ("&amp;B796&amp;")")</f>
        <v/>
      </c>
    </row>
    <row r="797" customFormat="false" ht="15" hidden="false" customHeight="false" outlineLevel="0" collapsed="false">
      <c r="A797" s="16"/>
      <c r="B797" s="11" t="str">
        <f aca="false">IF($I797="","",INDEX(CONSOLIDADO!$A$2:$A$801,$I797))</f>
        <v/>
      </c>
      <c r="C797" s="11" t="str">
        <f aca="false">IF($I797="","",INDEX(CONSOLIDADO!$B$2:$B$801,$I797))</f>
        <v/>
      </c>
      <c r="D797" s="16" t="str">
        <f aca="false">IF($I797="","",INDEX(CONSOLIDADO!$C$2:$C$801,$I797))</f>
        <v/>
      </c>
      <c r="E797" s="16" t="str">
        <f aca="false">IF($I797="","",INDEX(CONSOLIDADO!$D$2:$D$801,$I797))</f>
        <v/>
      </c>
      <c r="F797" s="14" t="str">
        <f aca="false">IF($I797="","",INDEX(CONSOLIDADO!$E$2:$E$801,$I797))</f>
        <v/>
      </c>
      <c r="G797" s="16" t="str">
        <f aca="false">IF($I797="","",INDEX(CONSOLIDADO!$G$2:$G$801,$I797))</f>
        <v/>
      </c>
      <c r="H797" s="16" t="str">
        <f aca="false">IF($I797="","",INDEX(CONSOLIDADO!$H$2:$H$801,$I797))</f>
        <v/>
      </c>
      <c r="I797" s="11" t="str">
        <f aca="false">IFERROR(MATCH(ROW()-1,CONSOLIDADO!$AJ$2:$AJ$801,0),"")</f>
        <v/>
      </c>
      <c r="J797" s="11" t="str">
        <f aca="false">IF(B797="","",F797&amp;" "&amp;C797&amp;" ("&amp;B797&amp;")")</f>
        <v/>
      </c>
    </row>
    <row r="798" customFormat="false" ht="15" hidden="false" customHeight="false" outlineLevel="0" collapsed="false">
      <c r="A798" s="16"/>
      <c r="B798" s="11" t="str">
        <f aca="false">IF($I798="","",INDEX(CONSOLIDADO!$A$2:$A$801,$I798))</f>
        <v/>
      </c>
      <c r="C798" s="11" t="str">
        <f aca="false">IF($I798="","",INDEX(CONSOLIDADO!$B$2:$B$801,$I798))</f>
        <v/>
      </c>
      <c r="D798" s="16" t="str">
        <f aca="false">IF($I798="","",INDEX(CONSOLIDADO!$C$2:$C$801,$I798))</f>
        <v/>
      </c>
      <c r="E798" s="16" t="str">
        <f aca="false">IF($I798="","",INDEX(CONSOLIDADO!$D$2:$D$801,$I798))</f>
        <v/>
      </c>
      <c r="F798" s="14" t="str">
        <f aca="false">IF($I798="","",INDEX(CONSOLIDADO!$E$2:$E$801,$I798))</f>
        <v/>
      </c>
      <c r="G798" s="16" t="str">
        <f aca="false">IF($I798="","",INDEX(CONSOLIDADO!$G$2:$G$801,$I798))</f>
        <v/>
      </c>
      <c r="H798" s="16" t="str">
        <f aca="false">IF($I798="","",INDEX(CONSOLIDADO!$H$2:$H$801,$I798))</f>
        <v/>
      </c>
      <c r="I798" s="11" t="str">
        <f aca="false">IFERROR(MATCH(ROW()-1,CONSOLIDADO!$AJ$2:$AJ$801,0),"")</f>
        <v/>
      </c>
      <c r="J798" s="11" t="str">
        <f aca="false">IF(B798="","",F798&amp;" "&amp;C798&amp;" ("&amp;B798&amp;")")</f>
        <v/>
      </c>
    </row>
    <row r="799" customFormat="false" ht="15" hidden="false" customHeight="false" outlineLevel="0" collapsed="false">
      <c r="A799" s="16"/>
      <c r="B799" s="11" t="str">
        <f aca="false">IF($I799="","",INDEX(CONSOLIDADO!$A$2:$A$801,$I799))</f>
        <v/>
      </c>
      <c r="C799" s="11" t="str">
        <f aca="false">IF($I799="","",INDEX(CONSOLIDADO!$B$2:$B$801,$I799))</f>
        <v/>
      </c>
      <c r="D799" s="16" t="str">
        <f aca="false">IF($I799="","",INDEX(CONSOLIDADO!$C$2:$C$801,$I799))</f>
        <v/>
      </c>
      <c r="E799" s="16" t="str">
        <f aca="false">IF($I799="","",INDEX(CONSOLIDADO!$D$2:$D$801,$I799))</f>
        <v/>
      </c>
      <c r="F799" s="14" t="str">
        <f aca="false">IF($I799="","",INDEX(CONSOLIDADO!$E$2:$E$801,$I799))</f>
        <v/>
      </c>
      <c r="G799" s="16" t="str">
        <f aca="false">IF($I799="","",INDEX(CONSOLIDADO!$G$2:$G$801,$I799))</f>
        <v/>
      </c>
      <c r="H799" s="16" t="str">
        <f aca="false">IF($I799="","",INDEX(CONSOLIDADO!$H$2:$H$801,$I799))</f>
        <v/>
      </c>
      <c r="I799" s="11" t="str">
        <f aca="false">IFERROR(MATCH(ROW()-1,CONSOLIDADO!$AJ$2:$AJ$801,0),"")</f>
        <v/>
      </c>
      <c r="J799" s="11" t="str">
        <f aca="false">IF(B799="","",F799&amp;" "&amp;C799&amp;" ("&amp;B799&amp;")")</f>
        <v/>
      </c>
    </row>
    <row r="800" customFormat="false" ht="15" hidden="false" customHeight="false" outlineLevel="0" collapsed="false">
      <c r="A800" s="16"/>
      <c r="B800" s="11" t="str">
        <f aca="false">IF($I800="","",INDEX(CONSOLIDADO!$A$2:$A$801,$I800))</f>
        <v/>
      </c>
      <c r="C800" s="11" t="str">
        <f aca="false">IF($I800="","",INDEX(CONSOLIDADO!$B$2:$B$801,$I800))</f>
        <v/>
      </c>
      <c r="D800" s="16" t="str">
        <f aca="false">IF($I800="","",INDEX(CONSOLIDADO!$C$2:$C$801,$I800))</f>
        <v/>
      </c>
      <c r="E800" s="16" t="str">
        <f aca="false">IF($I800="","",INDEX(CONSOLIDADO!$D$2:$D$801,$I800))</f>
        <v/>
      </c>
      <c r="F800" s="14" t="str">
        <f aca="false">IF($I800="","",INDEX(CONSOLIDADO!$E$2:$E$801,$I800))</f>
        <v/>
      </c>
      <c r="G800" s="16" t="str">
        <f aca="false">IF($I800="","",INDEX(CONSOLIDADO!$G$2:$G$801,$I800))</f>
        <v/>
      </c>
      <c r="H800" s="16" t="str">
        <f aca="false">IF($I800="","",INDEX(CONSOLIDADO!$H$2:$H$801,$I800))</f>
        <v/>
      </c>
      <c r="I800" s="11" t="str">
        <f aca="false">IFERROR(MATCH(ROW()-1,CONSOLIDADO!$AJ$2:$AJ$801,0),"")</f>
        <v/>
      </c>
      <c r="J800" s="11" t="str">
        <f aca="false">IF(B800="","",F800&amp;" "&amp;C800&amp;" ("&amp;B800&amp;")")</f>
        <v/>
      </c>
    </row>
    <row r="801" customFormat="false" ht="15" hidden="false" customHeight="false" outlineLevel="0" collapsed="false">
      <c r="A801" s="16"/>
      <c r="B801" s="11" t="str">
        <f aca="false">IF($I801="","",INDEX(CONSOLIDADO!$A$2:$A$801,$I801))</f>
        <v/>
      </c>
      <c r="C801" s="11" t="str">
        <f aca="false">IF($I801="","",INDEX(CONSOLIDADO!$B$2:$B$801,$I801))</f>
        <v/>
      </c>
      <c r="D801" s="16" t="str">
        <f aca="false">IF($I801="","",INDEX(CONSOLIDADO!$C$2:$C$801,$I801))</f>
        <v/>
      </c>
      <c r="E801" s="16" t="str">
        <f aca="false">IF($I801="","",INDEX(CONSOLIDADO!$D$2:$D$801,$I801))</f>
        <v/>
      </c>
      <c r="F801" s="14" t="str">
        <f aca="false">IF($I801="","",INDEX(CONSOLIDADO!$E$2:$E$801,$I801))</f>
        <v/>
      </c>
      <c r="G801" s="16" t="str">
        <f aca="false">IF($I801="","",INDEX(CONSOLIDADO!$G$2:$G$801,$I801))</f>
        <v/>
      </c>
      <c r="H801" s="16" t="str">
        <f aca="false">IF($I801="","",INDEX(CONSOLIDADO!$H$2:$H$801,$I801))</f>
        <v/>
      </c>
      <c r="I801" s="11" t="str">
        <f aca="false">IFERROR(MATCH(ROW()-1,CONSOLIDADO!$AJ$2:$AJ$801,0),"")</f>
        <v/>
      </c>
      <c r="J801" s="11" t="str">
        <f aca="false">IF(B801="","",F801&amp;" "&amp;C801&amp;" ("&amp;B801&amp;")")</f>
        <v/>
      </c>
    </row>
  </sheetData>
  <conditionalFormatting sqref="H2:H801">
    <cfRule type="expression" priority="2" aboveAverage="0" equalAverage="0" bottom="0" percent="0" rank="0" text="" dxfId="6">
      <formula>$H2="Sim"</formula>
    </cfRule>
  </conditionalFormatting>
  <dataValidations count="1">
    <dataValidation allowBlank="false" error="Escolha uma opção da lista." errorStyle="stop" errorTitle="Opção inválida" operator="between" showDropDown="false" showErrorMessage="false" showInputMessage="false" sqref="M1" type="list">
      <formula1>"Ordem de cadastro (padrão),Código,Nome,Falta (maior primeiro),Nº de decks (maior primeiro)"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  <col collapsed="false" customWidth="true" hidden="true" outlineLevel="0" max="15" min="8" style="0" width="13"/>
  </cols>
  <sheetData>
    <row r="1" customFormat="false" ht="30" hidden="false" customHeight="true" outlineLevel="0" collapsed="false">
      <c r="A1" s="22" t="s">
        <v>104</v>
      </c>
      <c r="B1" s="3" t="str">
        <f aca="false">IF(A1="","Escolha um deck em A1",IF(A1="(Todas as cartas)",IF(COUNTIF('FALTAS GERAL'!$B$2:$B$801,"?*")=0,"Nenhuma carta falta",COUNTIF('FALTAS GERAL'!$B$2:$B$801,"?*")&amp;" cartas diferentes · "&amp;SUM(K2:K101)&amp;" cópias faltando (todos os decks)"&amp;IF(COUNTIF('FALTAS GERAL'!$B$2:$B$801,"?*")&gt;100," (mostrando as primeiras 100)","")),IF(COUNTIF(DECKS!$A$2:$A$1201,A1)=0,"Deck não encontrado",IF(MAX(DECKS!$J$2:$J$1201)=0,"Nenhuma carta falta neste deck",MAX(DECKS!$J$2:$J$1201)&amp;" cartas diferentes · "&amp;SUM(K2:K101)&amp;" cópias faltando"&amp;IF(MAX(DECKS!$J$2:$J$1201)&gt;100," (mostrando as primeiras 100)","")))))</f>
        <v>Nenhuma carta falta</v>
      </c>
      <c r="H1" s="17" t="s">
        <v>94</v>
      </c>
      <c r="I1" s="17" t="s">
        <v>45</v>
      </c>
      <c r="J1" s="17" t="s">
        <v>60</v>
      </c>
      <c r="K1" s="17" t="s">
        <v>93</v>
      </c>
      <c r="L1" s="17" t="s">
        <v>92</v>
      </c>
      <c r="M1" s="17" t="s">
        <v>61</v>
      </c>
      <c r="O1" s="23" t="s">
        <v>105</v>
      </c>
    </row>
    <row r="2" customFormat="false" ht="150" hidden="false" customHeight="true" outlineLevel="0" collapsed="false">
      <c r="A2" s="24"/>
      <c r="B2" s="24"/>
      <c r="C2" s="24"/>
      <c r="D2" s="24"/>
      <c r="E2" s="24"/>
      <c r="H2" s="0" t="str">
        <f aca="false">IF($A$1="(Todas as cartas)",IFERROR(MATCH(1,CONSOLIDADO!$AK$2:$AK$801,0),""),IFERROR(MATCH(1,DECKS!$J$2:$J$1201,0),""))</f>
        <v/>
      </c>
      <c r="I2" s="0" t="str">
        <f aca="false">IF($H2="","",IF($A$1="(Todas as cartas)",INDEX(CONSOLIDADO!$A$2:$A$801,$H2),INDEX(DECKS!$B$2:$B$1201,$H2)))</f>
        <v/>
      </c>
      <c r="J2" s="0" t="str">
        <f aca="false">IF($H2="","",IF($A$1="(Todas as cartas)",INDEX(CONSOLIDADO!$B$2:$B$801,$H2),INDEX(DECKS!$C$2:$C$1201,$H2)))</f>
        <v/>
      </c>
      <c r="K2" s="0" t="str">
        <f aca="false">IF($H2="","",IF($A$1="(Todas as cartas)",INDEX(CONSOLIDADO!$E$2:$E$801,$H2),INDEX(DECKS!$F$2:$F$1201,$H2)))</f>
        <v/>
      </c>
      <c r="L2" s="0" t="str">
        <f aca="false">IF($H2="","",IF($A$1="(Todas as cartas)",INDEX(CONSOLIDADO!$D$2:$D$801,$H2),INDEX(DECKS!$D$2:$D$1201,$H2)))</f>
        <v/>
      </c>
      <c r="M2" s="0" t="str">
        <f aca="false">IF($H2="","",IF($A$1="(Todas as cartas)",INDEX(CONSOLIDADO!$C$2:$C$801,$H2),INDEX(DECKS!$E$2:$E$1201,$H2)))</f>
        <v/>
      </c>
      <c r="O2" s="23" t="s">
        <v>104</v>
      </c>
    </row>
    <row r="3" customFormat="false" ht="42" hidden="false" customHeight="true" outlineLevel="0" collapsed="false">
      <c r="A3" s="25" t="str">
        <f aca="false">IF($I2="","",$I2&amp;" · "&amp;$J2&amp;CHAR(10)&amp;"Falta "&amp;$K2&amp;" · Tenho "&amp;$M2&amp;" · Nec. "&amp;$L2)</f>
        <v/>
      </c>
      <c r="B3" s="25" t="str">
        <f aca="false">IF($I3="","",$I3&amp;" · "&amp;$J3&amp;CHAR(10)&amp;"Falta "&amp;$K3&amp;" · Tenho "&amp;$M3&amp;" · Nec. "&amp;$L3)</f>
        <v/>
      </c>
      <c r="C3" s="25" t="str">
        <f aca="false">IF($I4="","",$I4&amp;" · "&amp;$J4&amp;CHAR(10)&amp;"Falta "&amp;$K4&amp;" · Tenho "&amp;$M4&amp;" · Nec. "&amp;$L4)</f>
        <v/>
      </c>
      <c r="D3" s="25" t="str">
        <f aca="false">IF($I5="","",$I5&amp;" · "&amp;$J5&amp;CHAR(10)&amp;"Falta "&amp;$K5&amp;" · Tenho "&amp;$M5&amp;" · Nec. "&amp;$L5)</f>
        <v/>
      </c>
      <c r="E3" s="25" t="str">
        <f aca="false">IF($I6="","",$I6&amp;" · "&amp;$J6&amp;CHAR(10)&amp;"Falta "&amp;$K6&amp;" · Tenho "&amp;$M6&amp;" · Nec. "&amp;$L6)</f>
        <v/>
      </c>
      <c r="H3" s="0" t="str">
        <f aca="false">IF($A$1="(Todas as cartas)",IFERROR(MATCH(2,CONSOLIDADO!$AK$2:$AK$801,0),""),IFERROR(MATCH(2,DECKS!$J$2:$J$1201,0),""))</f>
        <v/>
      </c>
      <c r="I3" s="0" t="str">
        <f aca="false">IF($H3="","",IF($A$1="(Todas as cartas)",INDEX(CONSOLIDADO!$A$2:$A$801,$H3),INDEX(DECKS!$B$2:$B$1201,$H3)))</f>
        <v/>
      </c>
      <c r="J3" s="0" t="str">
        <f aca="false">IF($H3="","",IF($A$1="(Todas as cartas)",INDEX(CONSOLIDADO!$B$2:$B$801,$H3),INDEX(DECKS!$C$2:$C$1201,$H3)))</f>
        <v/>
      </c>
      <c r="K3" s="0" t="str">
        <f aca="false">IF($H3="","",IF($A$1="(Todas as cartas)",INDEX(CONSOLIDADO!$E$2:$E$801,$H3),INDEX(DECKS!$F$2:$F$1201,$H3)))</f>
        <v/>
      </c>
      <c r="L3" s="0" t="str">
        <f aca="false">IF($H3="","",IF($A$1="(Todas as cartas)",INDEX(CONSOLIDADO!$D$2:$D$801,$H3),INDEX(DECKS!$D$2:$D$1201,$H3)))</f>
        <v/>
      </c>
      <c r="M3" s="0" t="str">
        <f aca="false">IF($H3="","",IF($A$1="(Todas as cartas)",INDEX(CONSOLIDADO!$C$2:$C$801,$H3),INDEX(DECKS!$E$2:$E$1201,$H3)))</f>
        <v/>
      </c>
      <c r="O3" s="0" t="str">
        <f aca="false">'FALTAS POR DECK'!K2</f>
        <v/>
      </c>
    </row>
    <row r="4" customFormat="false" ht="150" hidden="false" customHeight="true" outlineLevel="0" collapsed="false">
      <c r="A4" s="24"/>
      <c r="B4" s="24"/>
      <c r="C4" s="24"/>
      <c r="D4" s="24"/>
      <c r="E4" s="24"/>
      <c r="H4" s="0" t="str">
        <f aca="false">IF($A$1="(Todas as cartas)",IFERROR(MATCH(3,CONSOLIDADO!$AK$2:$AK$801,0),""),IFERROR(MATCH(3,DECKS!$J$2:$J$1201,0),""))</f>
        <v/>
      </c>
      <c r="I4" s="0" t="str">
        <f aca="false">IF($H4="","",IF($A$1="(Todas as cartas)",INDEX(CONSOLIDADO!$A$2:$A$801,$H4),INDEX(DECKS!$B$2:$B$1201,$H4)))</f>
        <v/>
      </c>
      <c r="J4" s="0" t="str">
        <f aca="false">IF($H4="","",IF($A$1="(Todas as cartas)",INDEX(CONSOLIDADO!$B$2:$B$801,$H4),INDEX(DECKS!$C$2:$C$1201,$H4)))</f>
        <v/>
      </c>
      <c r="K4" s="0" t="str">
        <f aca="false">IF($H4="","",IF($A$1="(Todas as cartas)",INDEX(CONSOLIDADO!$E$2:$E$801,$H4),INDEX(DECKS!$F$2:$F$1201,$H4)))</f>
        <v/>
      </c>
      <c r="L4" s="0" t="str">
        <f aca="false">IF($H4="","",IF($A$1="(Todas as cartas)",INDEX(CONSOLIDADO!$D$2:$D$801,$H4),INDEX(DECKS!$D$2:$D$1201,$H4)))</f>
        <v/>
      </c>
      <c r="M4" s="0" t="str">
        <f aca="false">IF($H4="","",IF($A$1="(Todas as cartas)",INDEX(CONSOLIDADO!$C$2:$C$801,$H4),INDEX(DECKS!$E$2:$E$1201,$H4)))</f>
        <v/>
      </c>
      <c r="O4" s="0" t="str">
        <f aca="false">'FALTAS POR DECK'!K3</f>
        <v/>
      </c>
    </row>
    <row r="5" customFormat="false" ht="42" hidden="false" customHeight="true" outlineLevel="0" collapsed="false">
      <c r="A5" s="25" t="str">
        <f aca="false">IF($I7="","",$I7&amp;" · "&amp;$J7&amp;CHAR(10)&amp;"Falta "&amp;$K7&amp;" · Tenho "&amp;$M7&amp;" · Nec. "&amp;$L7)</f>
        <v/>
      </c>
      <c r="B5" s="25" t="str">
        <f aca="false">IF($I8="","",$I8&amp;" · "&amp;$J8&amp;CHAR(10)&amp;"Falta "&amp;$K8&amp;" · Tenho "&amp;$M8&amp;" · Nec. "&amp;$L8)</f>
        <v/>
      </c>
      <c r="C5" s="25" t="str">
        <f aca="false">IF($I9="","",$I9&amp;" · "&amp;$J9&amp;CHAR(10)&amp;"Falta "&amp;$K9&amp;" · Tenho "&amp;$M9&amp;" · Nec. "&amp;$L9)</f>
        <v/>
      </c>
      <c r="D5" s="25" t="str">
        <f aca="false">IF($I10="","",$I10&amp;" · "&amp;$J10&amp;CHAR(10)&amp;"Falta "&amp;$K10&amp;" · Tenho "&amp;$M10&amp;" · Nec. "&amp;$L10)</f>
        <v/>
      </c>
      <c r="E5" s="25" t="str">
        <f aca="false">IF($I11="","",$I11&amp;" · "&amp;$J11&amp;CHAR(10)&amp;"Falta "&amp;$K11&amp;" · Tenho "&amp;$M11&amp;" · Nec. "&amp;$L11)</f>
        <v/>
      </c>
      <c r="H5" s="0" t="str">
        <f aca="false">IF($A$1="(Todas as cartas)",IFERROR(MATCH(4,CONSOLIDADO!$AK$2:$AK$801,0),""),IFERROR(MATCH(4,DECKS!$J$2:$J$1201,0),""))</f>
        <v/>
      </c>
      <c r="I5" s="0" t="str">
        <f aca="false">IF($H5="","",IF($A$1="(Todas as cartas)",INDEX(CONSOLIDADO!$A$2:$A$801,$H5),INDEX(DECKS!$B$2:$B$1201,$H5)))</f>
        <v/>
      </c>
      <c r="J5" s="0" t="str">
        <f aca="false">IF($H5="","",IF($A$1="(Todas as cartas)",INDEX(CONSOLIDADO!$B$2:$B$801,$H5),INDEX(DECKS!$C$2:$C$1201,$H5)))</f>
        <v/>
      </c>
      <c r="K5" s="0" t="str">
        <f aca="false">IF($H5="","",IF($A$1="(Todas as cartas)",INDEX(CONSOLIDADO!$E$2:$E$801,$H5),INDEX(DECKS!$F$2:$F$1201,$H5)))</f>
        <v/>
      </c>
      <c r="L5" s="0" t="str">
        <f aca="false">IF($H5="","",IF($A$1="(Todas as cartas)",INDEX(CONSOLIDADO!$D$2:$D$801,$H5),INDEX(DECKS!$D$2:$D$1201,$H5)))</f>
        <v/>
      </c>
      <c r="M5" s="0" t="str">
        <f aca="false">IF($H5="","",IF($A$1="(Todas as cartas)",INDEX(CONSOLIDADO!$C$2:$C$801,$H5),INDEX(DECKS!$E$2:$E$1201,$H5)))</f>
        <v/>
      </c>
      <c r="O5" s="0" t="str">
        <f aca="false">'FALTAS POR DECK'!K4</f>
        <v/>
      </c>
    </row>
    <row r="6" customFormat="false" ht="150" hidden="false" customHeight="true" outlineLevel="0" collapsed="false">
      <c r="A6" s="24"/>
      <c r="B6" s="24"/>
      <c r="C6" s="24"/>
      <c r="D6" s="24"/>
      <c r="E6" s="24"/>
      <c r="H6" s="0" t="str">
        <f aca="false">IF($A$1="(Todas as cartas)",IFERROR(MATCH(5,CONSOLIDADO!$AK$2:$AK$801,0),""),IFERROR(MATCH(5,DECKS!$J$2:$J$1201,0),""))</f>
        <v/>
      </c>
      <c r="I6" s="0" t="str">
        <f aca="false">IF($H6="","",IF($A$1="(Todas as cartas)",INDEX(CONSOLIDADO!$A$2:$A$801,$H6),INDEX(DECKS!$B$2:$B$1201,$H6)))</f>
        <v/>
      </c>
      <c r="J6" s="0" t="str">
        <f aca="false">IF($H6="","",IF($A$1="(Todas as cartas)",INDEX(CONSOLIDADO!$B$2:$B$801,$H6),INDEX(DECKS!$C$2:$C$1201,$H6)))</f>
        <v/>
      </c>
      <c r="K6" s="0" t="str">
        <f aca="false">IF($H6="","",IF($A$1="(Todas as cartas)",INDEX(CONSOLIDADO!$E$2:$E$801,$H6),INDEX(DECKS!$F$2:$F$1201,$H6)))</f>
        <v/>
      </c>
      <c r="L6" s="0" t="str">
        <f aca="false">IF($H6="","",IF($A$1="(Todas as cartas)",INDEX(CONSOLIDADO!$D$2:$D$801,$H6),INDEX(DECKS!$D$2:$D$1201,$H6)))</f>
        <v/>
      </c>
      <c r="M6" s="0" t="str">
        <f aca="false">IF($H6="","",IF($A$1="(Todas as cartas)",INDEX(CONSOLIDADO!$C$2:$C$801,$H6),INDEX(DECKS!$E$2:$E$1201,$H6)))</f>
        <v/>
      </c>
      <c r="O6" s="0" t="str">
        <f aca="false">'FALTAS POR DECK'!K5</f>
        <v/>
      </c>
    </row>
    <row r="7" customFormat="false" ht="42" hidden="false" customHeight="true" outlineLevel="0" collapsed="false">
      <c r="A7" s="25" t="str">
        <f aca="false">IF($I12="","",$I12&amp;" · "&amp;$J12&amp;CHAR(10)&amp;"Falta "&amp;$K12&amp;" · Tenho "&amp;$M12&amp;" · Nec. "&amp;$L12)</f>
        <v/>
      </c>
      <c r="B7" s="25" t="str">
        <f aca="false">IF($I13="","",$I13&amp;" · "&amp;$J13&amp;CHAR(10)&amp;"Falta "&amp;$K13&amp;" · Tenho "&amp;$M13&amp;" · Nec. "&amp;$L13)</f>
        <v/>
      </c>
      <c r="C7" s="25" t="str">
        <f aca="false">IF($I14="","",$I14&amp;" · "&amp;$J14&amp;CHAR(10)&amp;"Falta "&amp;$K14&amp;" · Tenho "&amp;$M14&amp;" · Nec. "&amp;$L14)</f>
        <v/>
      </c>
      <c r="D7" s="25" t="str">
        <f aca="false">IF($I15="","",$I15&amp;" · "&amp;$J15&amp;CHAR(10)&amp;"Falta "&amp;$K15&amp;" · Tenho "&amp;$M15&amp;" · Nec. "&amp;$L15)</f>
        <v/>
      </c>
      <c r="E7" s="25" t="str">
        <f aca="false">IF($I16="","",$I16&amp;" · "&amp;$J16&amp;CHAR(10)&amp;"Falta "&amp;$K16&amp;" · Tenho "&amp;$M16&amp;" · Nec. "&amp;$L16)</f>
        <v/>
      </c>
      <c r="H7" s="0" t="str">
        <f aca="false">IF($A$1="(Todas as cartas)",IFERROR(MATCH(6,CONSOLIDADO!$AK$2:$AK$801,0),""),IFERROR(MATCH(6,DECKS!$J$2:$J$1201,0),""))</f>
        <v/>
      </c>
      <c r="I7" s="0" t="str">
        <f aca="false">IF($H7="","",IF($A$1="(Todas as cartas)",INDEX(CONSOLIDADO!$A$2:$A$801,$H7),INDEX(DECKS!$B$2:$B$1201,$H7)))</f>
        <v/>
      </c>
      <c r="J7" s="0" t="str">
        <f aca="false">IF($H7="","",IF($A$1="(Todas as cartas)",INDEX(CONSOLIDADO!$B$2:$B$801,$H7),INDEX(DECKS!$C$2:$C$1201,$H7)))</f>
        <v/>
      </c>
      <c r="K7" s="0" t="str">
        <f aca="false">IF($H7="","",IF($A$1="(Todas as cartas)",INDEX(CONSOLIDADO!$E$2:$E$801,$H7),INDEX(DECKS!$F$2:$F$1201,$H7)))</f>
        <v/>
      </c>
      <c r="L7" s="0" t="str">
        <f aca="false">IF($H7="","",IF($A$1="(Todas as cartas)",INDEX(CONSOLIDADO!$D$2:$D$801,$H7),INDEX(DECKS!$D$2:$D$1201,$H7)))</f>
        <v/>
      </c>
      <c r="M7" s="0" t="str">
        <f aca="false">IF($H7="","",IF($A$1="(Todas as cartas)",INDEX(CONSOLIDADO!$C$2:$C$801,$H7),INDEX(DECKS!$E$2:$E$1201,$H7)))</f>
        <v/>
      </c>
      <c r="O7" s="0" t="str">
        <f aca="false">'FALTAS POR DECK'!K6</f>
        <v/>
      </c>
    </row>
    <row r="8" customFormat="false" ht="150" hidden="false" customHeight="true" outlineLevel="0" collapsed="false">
      <c r="A8" s="24"/>
      <c r="B8" s="24"/>
      <c r="C8" s="24"/>
      <c r="D8" s="24"/>
      <c r="E8" s="24"/>
      <c r="H8" s="0" t="str">
        <f aca="false">IF($A$1="(Todas as cartas)",IFERROR(MATCH(7,CONSOLIDADO!$AK$2:$AK$801,0),""),IFERROR(MATCH(7,DECKS!$J$2:$J$1201,0),""))</f>
        <v/>
      </c>
      <c r="I8" s="0" t="str">
        <f aca="false">IF($H8="","",IF($A$1="(Todas as cartas)",INDEX(CONSOLIDADO!$A$2:$A$801,$H8),INDEX(DECKS!$B$2:$B$1201,$H8)))</f>
        <v/>
      </c>
      <c r="J8" s="0" t="str">
        <f aca="false">IF($H8="","",IF($A$1="(Todas as cartas)",INDEX(CONSOLIDADO!$B$2:$B$801,$H8),INDEX(DECKS!$C$2:$C$1201,$H8)))</f>
        <v/>
      </c>
      <c r="K8" s="0" t="str">
        <f aca="false">IF($H8="","",IF($A$1="(Todas as cartas)",INDEX(CONSOLIDADO!$E$2:$E$801,$H8),INDEX(DECKS!$F$2:$F$1201,$H8)))</f>
        <v/>
      </c>
      <c r="L8" s="0" t="str">
        <f aca="false">IF($H8="","",IF($A$1="(Todas as cartas)",INDEX(CONSOLIDADO!$D$2:$D$801,$H8),INDEX(DECKS!$D$2:$D$1201,$H8)))</f>
        <v/>
      </c>
      <c r="M8" s="0" t="str">
        <f aca="false">IF($H8="","",IF($A$1="(Todas as cartas)",INDEX(CONSOLIDADO!$C$2:$C$801,$H8),INDEX(DECKS!$E$2:$E$1201,$H8)))</f>
        <v/>
      </c>
      <c r="O8" s="0" t="str">
        <f aca="false">'FALTAS POR DECK'!K7</f>
        <v/>
      </c>
    </row>
    <row r="9" customFormat="false" ht="42" hidden="false" customHeight="true" outlineLevel="0" collapsed="false">
      <c r="A9" s="25" t="str">
        <f aca="false">IF($I17="","",$I17&amp;" · "&amp;$J17&amp;CHAR(10)&amp;"Falta "&amp;$K17&amp;" · Tenho "&amp;$M17&amp;" · Nec. "&amp;$L17)</f>
        <v/>
      </c>
      <c r="B9" s="25" t="str">
        <f aca="false">IF($I18="","",$I18&amp;" · "&amp;$J18&amp;CHAR(10)&amp;"Falta "&amp;$K18&amp;" · Tenho "&amp;$M18&amp;" · Nec. "&amp;$L18)</f>
        <v/>
      </c>
      <c r="C9" s="25" t="str">
        <f aca="false">IF($I19="","",$I19&amp;" · "&amp;$J19&amp;CHAR(10)&amp;"Falta "&amp;$K19&amp;" · Tenho "&amp;$M19&amp;" · Nec. "&amp;$L19)</f>
        <v/>
      </c>
      <c r="D9" s="25" t="str">
        <f aca="false">IF($I20="","",$I20&amp;" · "&amp;$J20&amp;CHAR(10)&amp;"Falta "&amp;$K20&amp;" · Tenho "&amp;$M20&amp;" · Nec. "&amp;$L20)</f>
        <v/>
      </c>
      <c r="E9" s="25" t="str">
        <f aca="false">IF($I21="","",$I21&amp;" · "&amp;$J21&amp;CHAR(10)&amp;"Falta "&amp;$K21&amp;" · Tenho "&amp;$M21&amp;" · Nec. "&amp;$L21)</f>
        <v/>
      </c>
      <c r="H9" s="0" t="str">
        <f aca="false">IF($A$1="(Todas as cartas)",IFERROR(MATCH(8,CONSOLIDADO!$AK$2:$AK$801,0),""),IFERROR(MATCH(8,DECKS!$J$2:$J$1201,0),""))</f>
        <v/>
      </c>
      <c r="I9" s="0" t="str">
        <f aca="false">IF($H9="","",IF($A$1="(Todas as cartas)",INDEX(CONSOLIDADO!$A$2:$A$801,$H9),INDEX(DECKS!$B$2:$B$1201,$H9)))</f>
        <v/>
      </c>
      <c r="J9" s="0" t="str">
        <f aca="false">IF($H9="","",IF($A$1="(Todas as cartas)",INDEX(CONSOLIDADO!$B$2:$B$801,$H9),INDEX(DECKS!$C$2:$C$1201,$H9)))</f>
        <v/>
      </c>
      <c r="K9" s="0" t="str">
        <f aca="false">IF($H9="","",IF($A$1="(Todas as cartas)",INDEX(CONSOLIDADO!$E$2:$E$801,$H9),INDEX(DECKS!$F$2:$F$1201,$H9)))</f>
        <v/>
      </c>
      <c r="L9" s="0" t="str">
        <f aca="false">IF($H9="","",IF($A$1="(Todas as cartas)",INDEX(CONSOLIDADO!$D$2:$D$801,$H9),INDEX(DECKS!$D$2:$D$1201,$H9)))</f>
        <v/>
      </c>
      <c r="M9" s="0" t="str">
        <f aca="false">IF($H9="","",IF($A$1="(Todas as cartas)",INDEX(CONSOLIDADO!$C$2:$C$801,$H9),INDEX(DECKS!$E$2:$E$1201,$H9)))</f>
        <v/>
      </c>
      <c r="O9" s="0" t="str">
        <f aca="false">'FALTAS POR DECK'!K8</f>
        <v/>
      </c>
    </row>
    <row r="10" customFormat="false" ht="150" hidden="false" customHeight="true" outlineLevel="0" collapsed="false">
      <c r="A10" s="24"/>
      <c r="B10" s="24"/>
      <c r="C10" s="24"/>
      <c r="D10" s="24"/>
      <c r="E10" s="24"/>
      <c r="H10" s="0" t="str">
        <f aca="false">IF($A$1="(Todas as cartas)",IFERROR(MATCH(9,CONSOLIDADO!$AK$2:$AK$801,0),""),IFERROR(MATCH(9,DECKS!$J$2:$J$1201,0),""))</f>
        <v/>
      </c>
      <c r="I10" s="0" t="str">
        <f aca="false">IF($H10="","",IF($A$1="(Todas as cartas)",INDEX(CONSOLIDADO!$A$2:$A$801,$H10),INDEX(DECKS!$B$2:$B$1201,$H10)))</f>
        <v/>
      </c>
      <c r="J10" s="0" t="str">
        <f aca="false">IF($H10="","",IF($A$1="(Todas as cartas)",INDEX(CONSOLIDADO!$B$2:$B$801,$H10),INDEX(DECKS!$C$2:$C$1201,$H10)))</f>
        <v/>
      </c>
      <c r="K10" s="0" t="str">
        <f aca="false">IF($H10="","",IF($A$1="(Todas as cartas)",INDEX(CONSOLIDADO!$E$2:$E$801,$H10),INDEX(DECKS!$F$2:$F$1201,$H10)))</f>
        <v/>
      </c>
      <c r="L10" s="0" t="str">
        <f aca="false">IF($H10="","",IF($A$1="(Todas as cartas)",INDEX(CONSOLIDADO!$D$2:$D$801,$H10),INDEX(DECKS!$D$2:$D$1201,$H10)))</f>
        <v/>
      </c>
      <c r="M10" s="0" t="str">
        <f aca="false">IF($H10="","",IF($A$1="(Todas as cartas)",INDEX(CONSOLIDADO!$C$2:$C$801,$H10),INDEX(DECKS!$E$2:$E$1201,$H10)))</f>
        <v/>
      </c>
      <c r="O10" s="0" t="str">
        <f aca="false">'FALTAS POR DECK'!K9</f>
        <v/>
      </c>
    </row>
    <row r="11" customFormat="false" ht="42" hidden="false" customHeight="true" outlineLevel="0" collapsed="false">
      <c r="A11" s="25" t="str">
        <f aca="false">IF($I22="","",$I22&amp;" · "&amp;$J22&amp;CHAR(10)&amp;"Falta "&amp;$K22&amp;" · Tenho "&amp;$M22&amp;" · Nec. "&amp;$L22)</f>
        <v/>
      </c>
      <c r="B11" s="25" t="str">
        <f aca="false">IF($I23="","",$I23&amp;" · "&amp;$J23&amp;CHAR(10)&amp;"Falta "&amp;$K23&amp;" · Tenho "&amp;$M23&amp;" · Nec. "&amp;$L23)</f>
        <v/>
      </c>
      <c r="C11" s="25" t="str">
        <f aca="false">IF($I24="","",$I24&amp;" · "&amp;$J24&amp;CHAR(10)&amp;"Falta "&amp;$K24&amp;" · Tenho "&amp;$M24&amp;" · Nec. "&amp;$L24)</f>
        <v/>
      </c>
      <c r="D11" s="25" t="str">
        <f aca="false">IF($I25="","",$I25&amp;" · "&amp;$J25&amp;CHAR(10)&amp;"Falta "&amp;$K25&amp;" · Tenho "&amp;$M25&amp;" · Nec. "&amp;$L25)</f>
        <v/>
      </c>
      <c r="E11" s="25" t="str">
        <f aca="false">IF($I26="","",$I26&amp;" · "&amp;$J26&amp;CHAR(10)&amp;"Falta "&amp;$K26&amp;" · Tenho "&amp;$M26&amp;" · Nec. "&amp;$L26)</f>
        <v/>
      </c>
      <c r="H11" s="0" t="str">
        <f aca="false">IF($A$1="(Todas as cartas)",IFERROR(MATCH(10,CONSOLIDADO!$AK$2:$AK$801,0),""),IFERROR(MATCH(10,DECKS!$J$2:$J$1201,0),""))</f>
        <v/>
      </c>
      <c r="I11" s="0" t="str">
        <f aca="false">IF($H11="","",IF($A$1="(Todas as cartas)",INDEX(CONSOLIDADO!$A$2:$A$801,$H11),INDEX(DECKS!$B$2:$B$1201,$H11)))</f>
        <v/>
      </c>
      <c r="J11" s="0" t="str">
        <f aca="false">IF($H11="","",IF($A$1="(Todas as cartas)",INDEX(CONSOLIDADO!$B$2:$B$801,$H11),INDEX(DECKS!$C$2:$C$1201,$H11)))</f>
        <v/>
      </c>
      <c r="K11" s="0" t="str">
        <f aca="false">IF($H11="","",IF($A$1="(Todas as cartas)",INDEX(CONSOLIDADO!$E$2:$E$801,$H11),INDEX(DECKS!$F$2:$F$1201,$H11)))</f>
        <v/>
      </c>
      <c r="L11" s="0" t="str">
        <f aca="false">IF($H11="","",IF($A$1="(Todas as cartas)",INDEX(CONSOLIDADO!$D$2:$D$801,$H11),INDEX(DECKS!$D$2:$D$1201,$H11)))</f>
        <v/>
      </c>
      <c r="M11" s="0" t="str">
        <f aca="false">IF($H11="","",IF($A$1="(Todas as cartas)",INDEX(CONSOLIDADO!$C$2:$C$801,$H11),INDEX(DECKS!$E$2:$E$1201,$H11)))</f>
        <v/>
      </c>
      <c r="O11" s="0" t="str">
        <f aca="false">'FALTAS POR DECK'!K10</f>
        <v/>
      </c>
    </row>
    <row r="12" customFormat="false" ht="150" hidden="false" customHeight="true" outlineLevel="0" collapsed="false">
      <c r="A12" s="24"/>
      <c r="B12" s="24"/>
      <c r="C12" s="24"/>
      <c r="D12" s="24"/>
      <c r="E12" s="24"/>
      <c r="H12" s="0" t="str">
        <f aca="false">IF($A$1="(Todas as cartas)",IFERROR(MATCH(11,CONSOLIDADO!$AK$2:$AK$801,0),""),IFERROR(MATCH(11,DECKS!$J$2:$J$1201,0),""))</f>
        <v/>
      </c>
      <c r="I12" s="0" t="str">
        <f aca="false">IF($H12="","",IF($A$1="(Todas as cartas)",INDEX(CONSOLIDADO!$A$2:$A$801,$H12),INDEX(DECKS!$B$2:$B$1201,$H12)))</f>
        <v/>
      </c>
      <c r="J12" s="0" t="str">
        <f aca="false">IF($H12="","",IF($A$1="(Todas as cartas)",INDEX(CONSOLIDADO!$B$2:$B$801,$H12),INDEX(DECKS!$C$2:$C$1201,$H12)))</f>
        <v/>
      </c>
      <c r="K12" s="0" t="str">
        <f aca="false">IF($H12="","",IF($A$1="(Todas as cartas)",INDEX(CONSOLIDADO!$E$2:$E$801,$H12),INDEX(DECKS!$F$2:$F$1201,$H12)))</f>
        <v/>
      </c>
      <c r="L12" s="0" t="str">
        <f aca="false">IF($H12="","",IF($A$1="(Todas as cartas)",INDEX(CONSOLIDADO!$D$2:$D$801,$H12),INDEX(DECKS!$D$2:$D$1201,$H12)))</f>
        <v/>
      </c>
      <c r="M12" s="0" t="str">
        <f aca="false">IF($H12="","",IF($A$1="(Todas as cartas)",INDEX(CONSOLIDADO!$C$2:$C$801,$H12),INDEX(DECKS!$E$2:$E$1201,$H12)))</f>
        <v/>
      </c>
      <c r="O12" s="0" t="str">
        <f aca="false">'FALTAS POR DECK'!K11</f>
        <v/>
      </c>
    </row>
    <row r="13" customFormat="false" ht="42" hidden="false" customHeight="true" outlineLevel="0" collapsed="false">
      <c r="A13" s="25" t="str">
        <f aca="false">IF($I27="","",$I27&amp;" · "&amp;$J27&amp;CHAR(10)&amp;"Falta "&amp;$K27&amp;" · Tenho "&amp;$M27&amp;" · Nec. "&amp;$L27)</f>
        <v/>
      </c>
      <c r="B13" s="25" t="str">
        <f aca="false">IF($I28="","",$I28&amp;" · "&amp;$J28&amp;CHAR(10)&amp;"Falta "&amp;$K28&amp;" · Tenho "&amp;$M28&amp;" · Nec. "&amp;$L28)</f>
        <v/>
      </c>
      <c r="C13" s="25" t="str">
        <f aca="false">IF($I29="","",$I29&amp;" · "&amp;$J29&amp;CHAR(10)&amp;"Falta "&amp;$K29&amp;" · Tenho "&amp;$M29&amp;" · Nec. "&amp;$L29)</f>
        <v/>
      </c>
      <c r="D13" s="25" t="str">
        <f aca="false">IF($I30="","",$I30&amp;" · "&amp;$J30&amp;CHAR(10)&amp;"Falta "&amp;$K30&amp;" · Tenho "&amp;$M30&amp;" · Nec. "&amp;$L30)</f>
        <v/>
      </c>
      <c r="E13" s="25" t="str">
        <f aca="false">IF($I31="","",$I31&amp;" · "&amp;$J31&amp;CHAR(10)&amp;"Falta "&amp;$K31&amp;" · Tenho "&amp;$M31&amp;" · Nec. "&amp;$L31)</f>
        <v/>
      </c>
      <c r="H13" s="0" t="str">
        <f aca="false">IF($A$1="(Todas as cartas)",IFERROR(MATCH(12,CONSOLIDADO!$AK$2:$AK$801,0),""),IFERROR(MATCH(12,DECKS!$J$2:$J$1201,0),""))</f>
        <v/>
      </c>
      <c r="I13" s="0" t="str">
        <f aca="false">IF($H13="","",IF($A$1="(Todas as cartas)",INDEX(CONSOLIDADO!$A$2:$A$801,$H13),INDEX(DECKS!$B$2:$B$1201,$H13)))</f>
        <v/>
      </c>
      <c r="J13" s="0" t="str">
        <f aca="false">IF($H13="","",IF($A$1="(Todas as cartas)",INDEX(CONSOLIDADO!$B$2:$B$801,$H13),INDEX(DECKS!$C$2:$C$1201,$H13)))</f>
        <v/>
      </c>
      <c r="K13" s="0" t="str">
        <f aca="false">IF($H13="","",IF($A$1="(Todas as cartas)",INDEX(CONSOLIDADO!$E$2:$E$801,$H13),INDEX(DECKS!$F$2:$F$1201,$H13)))</f>
        <v/>
      </c>
      <c r="L13" s="0" t="str">
        <f aca="false">IF($H13="","",IF($A$1="(Todas as cartas)",INDEX(CONSOLIDADO!$D$2:$D$801,$H13),INDEX(DECKS!$D$2:$D$1201,$H13)))</f>
        <v/>
      </c>
      <c r="M13" s="0" t="str">
        <f aca="false">IF($H13="","",IF($A$1="(Todas as cartas)",INDEX(CONSOLIDADO!$C$2:$C$801,$H13),INDEX(DECKS!$E$2:$E$1201,$H13)))</f>
        <v/>
      </c>
      <c r="O13" s="0" t="str">
        <f aca="false">'FALTAS POR DECK'!K12</f>
        <v/>
      </c>
    </row>
    <row r="14" customFormat="false" ht="150" hidden="false" customHeight="true" outlineLevel="0" collapsed="false">
      <c r="A14" s="24"/>
      <c r="B14" s="24"/>
      <c r="C14" s="24"/>
      <c r="D14" s="24"/>
      <c r="E14" s="24"/>
      <c r="H14" s="0" t="str">
        <f aca="false">IF($A$1="(Todas as cartas)",IFERROR(MATCH(13,CONSOLIDADO!$AK$2:$AK$801,0),""),IFERROR(MATCH(13,DECKS!$J$2:$J$1201,0),""))</f>
        <v/>
      </c>
      <c r="I14" s="0" t="str">
        <f aca="false">IF($H14="","",IF($A$1="(Todas as cartas)",INDEX(CONSOLIDADO!$A$2:$A$801,$H14),INDEX(DECKS!$B$2:$B$1201,$H14)))</f>
        <v/>
      </c>
      <c r="J14" s="0" t="str">
        <f aca="false">IF($H14="","",IF($A$1="(Todas as cartas)",INDEX(CONSOLIDADO!$B$2:$B$801,$H14),INDEX(DECKS!$C$2:$C$1201,$H14)))</f>
        <v/>
      </c>
      <c r="K14" s="0" t="str">
        <f aca="false">IF($H14="","",IF($A$1="(Todas as cartas)",INDEX(CONSOLIDADO!$E$2:$E$801,$H14),INDEX(DECKS!$F$2:$F$1201,$H14)))</f>
        <v/>
      </c>
      <c r="L14" s="0" t="str">
        <f aca="false">IF($H14="","",IF($A$1="(Todas as cartas)",INDEX(CONSOLIDADO!$D$2:$D$801,$H14),INDEX(DECKS!$D$2:$D$1201,$H14)))</f>
        <v/>
      </c>
      <c r="M14" s="0" t="str">
        <f aca="false">IF($H14="","",IF($A$1="(Todas as cartas)",INDEX(CONSOLIDADO!$C$2:$C$801,$H14),INDEX(DECKS!$E$2:$E$1201,$H14)))</f>
        <v/>
      </c>
      <c r="O14" s="0" t="str">
        <f aca="false">'FALTAS POR DECK'!K13</f>
        <v/>
      </c>
    </row>
    <row r="15" customFormat="false" ht="42" hidden="false" customHeight="true" outlineLevel="0" collapsed="false">
      <c r="A15" s="25" t="str">
        <f aca="false">IF($I32="","",$I32&amp;" · "&amp;$J32&amp;CHAR(10)&amp;"Falta "&amp;$K32&amp;" · Tenho "&amp;$M32&amp;" · Nec. "&amp;$L32)</f>
        <v/>
      </c>
      <c r="B15" s="25" t="str">
        <f aca="false">IF($I33="","",$I33&amp;" · "&amp;$J33&amp;CHAR(10)&amp;"Falta "&amp;$K33&amp;" · Tenho "&amp;$M33&amp;" · Nec. "&amp;$L33)</f>
        <v/>
      </c>
      <c r="C15" s="25" t="str">
        <f aca="false">IF($I34="","",$I34&amp;" · "&amp;$J34&amp;CHAR(10)&amp;"Falta "&amp;$K34&amp;" · Tenho "&amp;$M34&amp;" · Nec. "&amp;$L34)</f>
        <v/>
      </c>
      <c r="D15" s="25" t="str">
        <f aca="false">IF($I35="","",$I35&amp;" · "&amp;$J35&amp;CHAR(10)&amp;"Falta "&amp;$K35&amp;" · Tenho "&amp;$M35&amp;" · Nec. "&amp;$L35)</f>
        <v/>
      </c>
      <c r="E15" s="25" t="str">
        <f aca="false">IF($I36="","",$I36&amp;" · "&amp;$J36&amp;CHAR(10)&amp;"Falta "&amp;$K36&amp;" · Tenho "&amp;$M36&amp;" · Nec. "&amp;$L36)</f>
        <v/>
      </c>
      <c r="H15" s="0" t="str">
        <f aca="false">IF($A$1="(Todas as cartas)",IFERROR(MATCH(14,CONSOLIDADO!$AK$2:$AK$801,0),""),IFERROR(MATCH(14,DECKS!$J$2:$J$1201,0),""))</f>
        <v/>
      </c>
      <c r="I15" s="0" t="str">
        <f aca="false">IF($H15="","",IF($A$1="(Todas as cartas)",INDEX(CONSOLIDADO!$A$2:$A$801,$H15),INDEX(DECKS!$B$2:$B$1201,$H15)))</f>
        <v/>
      </c>
      <c r="J15" s="0" t="str">
        <f aca="false">IF($H15="","",IF($A$1="(Todas as cartas)",INDEX(CONSOLIDADO!$B$2:$B$801,$H15),INDEX(DECKS!$C$2:$C$1201,$H15)))</f>
        <v/>
      </c>
      <c r="K15" s="0" t="str">
        <f aca="false">IF($H15="","",IF($A$1="(Todas as cartas)",INDEX(CONSOLIDADO!$E$2:$E$801,$H15),INDEX(DECKS!$F$2:$F$1201,$H15)))</f>
        <v/>
      </c>
      <c r="L15" s="0" t="str">
        <f aca="false">IF($H15="","",IF($A$1="(Todas as cartas)",INDEX(CONSOLIDADO!$D$2:$D$801,$H15),INDEX(DECKS!$D$2:$D$1201,$H15)))</f>
        <v/>
      </c>
      <c r="M15" s="0" t="str">
        <f aca="false">IF($H15="","",IF($A$1="(Todas as cartas)",INDEX(CONSOLIDADO!$C$2:$C$801,$H15),INDEX(DECKS!$E$2:$E$1201,$H15)))</f>
        <v/>
      </c>
      <c r="O15" s="0" t="str">
        <f aca="false">'FALTAS POR DECK'!K14</f>
        <v/>
      </c>
    </row>
    <row r="16" customFormat="false" ht="150" hidden="false" customHeight="true" outlineLevel="0" collapsed="false">
      <c r="A16" s="24"/>
      <c r="B16" s="24"/>
      <c r="C16" s="24"/>
      <c r="D16" s="24"/>
      <c r="E16" s="24"/>
      <c r="H16" s="0" t="str">
        <f aca="false">IF($A$1="(Todas as cartas)",IFERROR(MATCH(15,CONSOLIDADO!$AK$2:$AK$801,0),""),IFERROR(MATCH(15,DECKS!$J$2:$J$1201,0),""))</f>
        <v/>
      </c>
      <c r="I16" s="0" t="str">
        <f aca="false">IF($H16="","",IF($A$1="(Todas as cartas)",INDEX(CONSOLIDADO!$A$2:$A$801,$H16),INDEX(DECKS!$B$2:$B$1201,$H16)))</f>
        <v/>
      </c>
      <c r="J16" s="0" t="str">
        <f aca="false">IF($H16="","",IF($A$1="(Todas as cartas)",INDEX(CONSOLIDADO!$B$2:$B$801,$H16),INDEX(DECKS!$C$2:$C$1201,$H16)))</f>
        <v/>
      </c>
      <c r="K16" s="0" t="str">
        <f aca="false">IF($H16="","",IF($A$1="(Todas as cartas)",INDEX(CONSOLIDADO!$E$2:$E$801,$H16),INDEX(DECKS!$F$2:$F$1201,$H16)))</f>
        <v/>
      </c>
      <c r="L16" s="0" t="str">
        <f aca="false">IF($H16="","",IF($A$1="(Todas as cartas)",INDEX(CONSOLIDADO!$D$2:$D$801,$H16),INDEX(DECKS!$D$2:$D$1201,$H16)))</f>
        <v/>
      </c>
      <c r="M16" s="0" t="str">
        <f aca="false">IF($H16="","",IF($A$1="(Todas as cartas)",INDEX(CONSOLIDADO!$C$2:$C$801,$H16),INDEX(DECKS!$E$2:$E$1201,$H16)))</f>
        <v/>
      </c>
      <c r="O16" s="0" t="str">
        <f aca="false">'FALTAS POR DECK'!K15</f>
        <v/>
      </c>
    </row>
    <row r="17" customFormat="false" ht="42" hidden="false" customHeight="true" outlineLevel="0" collapsed="false">
      <c r="A17" s="25" t="str">
        <f aca="false">IF($I37="","",$I37&amp;" · "&amp;$J37&amp;CHAR(10)&amp;"Falta "&amp;$K37&amp;" · Tenho "&amp;$M37&amp;" · Nec. "&amp;$L37)</f>
        <v/>
      </c>
      <c r="B17" s="25" t="str">
        <f aca="false">IF($I38="","",$I38&amp;" · "&amp;$J38&amp;CHAR(10)&amp;"Falta "&amp;$K38&amp;" · Tenho "&amp;$M38&amp;" · Nec. "&amp;$L38)</f>
        <v/>
      </c>
      <c r="C17" s="25" t="str">
        <f aca="false">IF($I39="","",$I39&amp;" · "&amp;$J39&amp;CHAR(10)&amp;"Falta "&amp;$K39&amp;" · Tenho "&amp;$M39&amp;" · Nec. "&amp;$L39)</f>
        <v/>
      </c>
      <c r="D17" s="25" t="str">
        <f aca="false">IF($I40="","",$I40&amp;" · "&amp;$J40&amp;CHAR(10)&amp;"Falta "&amp;$K40&amp;" · Tenho "&amp;$M40&amp;" · Nec. "&amp;$L40)</f>
        <v/>
      </c>
      <c r="E17" s="25" t="str">
        <f aca="false">IF($I41="","",$I41&amp;" · "&amp;$J41&amp;CHAR(10)&amp;"Falta "&amp;$K41&amp;" · Tenho "&amp;$M41&amp;" · Nec. "&amp;$L41)</f>
        <v/>
      </c>
      <c r="H17" s="0" t="str">
        <f aca="false">IF($A$1="(Todas as cartas)",IFERROR(MATCH(16,CONSOLIDADO!$AK$2:$AK$801,0),""),IFERROR(MATCH(16,DECKS!$J$2:$J$1201,0),""))</f>
        <v/>
      </c>
      <c r="I17" s="0" t="str">
        <f aca="false">IF($H17="","",IF($A$1="(Todas as cartas)",INDEX(CONSOLIDADO!$A$2:$A$801,$H17),INDEX(DECKS!$B$2:$B$1201,$H17)))</f>
        <v/>
      </c>
      <c r="J17" s="0" t="str">
        <f aca="false">IF($H17="","",IF($A$1="(Todas as cartas)",INDEX(CONSOLIDADO!$B$2:$B$801,$H17),INDEX(DECKS!$C$2:$C$1201,$H17)))</f>
        <v/>
      </c>
      <c r="K17" s="0" t="str">
        <f aca="false">IF($H17="","",IF($A$1="(Todas as cartas)",INDEX(CONSOLIDADO!$E$2:$E$801,$H17),INDEX(DECKS!$F$2:$F$1201,$H17)))</f>
        <v/>
      </c>
      <c r="L17" s="0" t="str">
        <f aca="false">IF($H17="","",IF($A$1="(Todas as cartas)",INDEX(CONSOLIDADO!$D$2:$D$801,$H17),INDEX(DECKS!$D$2:$D$1201,$H17)))</f>
        <v/>
      </c>
      <c r="M17" s="0" t="str">
        <f aca="false">IF($H17="","",IF($A$1="(Todas as cartas)",INDEX(CONSOLIDADO!$C$2:$C$801,$H17),INDEX(DECKS!$E$2:$E$1201,$H17)))</f>
        <v/>
      </c>
      <c r="O17" s="0" t="str">
        <f aca="false">'FALTAS POR DECK'!K16</f>
        <v/>
      </c>
    </row>
    <row r="18" customFormat="false" ht="150" hidden="false" customHeight="true" outlineLevel="0" collapsed="false">
      <c r="A18" s="24"/>
      <c r="B18" s="24"/>
      <c r="C18" s="24"/>
      <c r="D18" s="24"/>
      <c r="E18" s="24"/>
      <c r="H18" s="0" t="str">
        <f aca="false">IF($A$1="(Todas as cartas)",IFERROR(MATCH(17,CONSOLIDADO!$AK$2:$AK$801,0),""),IFERROR(MATCH(17,DECKS!$J$2:$J$1201,0),""))</f>
        <v/>
      </c>
      <c r="I18" s="0" t="str">
        <f aca="false">IF($H18="","",IF($A$1="(Todas as cartas)",INDEX(CONSOLIDADO!$A$2:$A$801,$H18),INDEX(DECKS!$B$2:$B$1201,$H18)))</f>
        <v/>
      </c>
      <c r="J18" s="0" t="str">
        <f aca="false">IF($H18="","",IF($A$1="(Todas as cartas)",INDEX(CONSOLIDADO!$B$2:$B$801,$H18),INDEX(DECKS!$C$2:$C$1201,$H18)))</f>
        <v/>
      </c>
      <c r="K18" s="0" t="str">
        <f aca="false">IF($H18="","",IF($A$1="(Todas as cartas)",INDEX(CONSOLIDADO!$E$2:$E$801,$H18),INDEX(DECKS!$F$2:$F$1201,$H18)))</f>
        <v/>
      </c>
      <c r="L18" s="0" t="str">
        <f aca="false">IF($H18="","",IF($A$1="(Todas as cartas)",INDEX(CONSOLIDADO!$D$2:$D$801,$H18),INDEX(DECKS!$D$2:$D$1201,$H18)))</f>
        <v/>
      </c>
      <c r="M18" s="0" t="str">
        <f aca="false">IF($H18="","",IF($A$1="(Todas as cartas)",INDEX(CONSOLIDADO!$C$2:$C$801,$H18),INDEX(DECKS!$E$2:$E$1201,$H18)))</f>
        <v/>
      </c>
      <c r="O18" s="0" t="str">
        <f aca="false">'FALTAS POR DECK'!K17</f>
        <v/>
      </c>
    </row>
    <row r="19" customFormat="false" ht="42" hidden="false" customHeight="true" outlineLevel="0" collapsed="false">
      <c r="A19" s="25" t="str">
        <f aca="false">IF($I42="","",$I42&amp;" · "&amp;$J42&amp;CHAR(10)&amp;"Falta "&amp;$K42&amp;" · Tenho "&amp;$M42&amp;" · Nec. "&amp;$L42)</f>
        <v/>
      </c>
      <c r="B19" s="25" t="str">
        <f aca="false">IF($I43="","",$I43&amp;" · "&amp;$J43&amp;CHAR(10)&amp;"Falta "&amp;$K43&amp;" · Tenho "&amp;$M43&amp;" · Nec. "&amp;$L43)</f>
        <v/>
      </c>
      <c r="C19" s="25" t="str">
        <f aca="false">IF($I44="","",$I44&amp;" · "&amp;$J44&amp;CHAR(10)&amp;"Falta "&amp;$K44&amp;" · Tenho "&amp;$M44&amp;" · Nec. "&amp;$L44)</f>
        <v/>
      </c>
      <c r="D19" s="25" t="str">
        <f aca="false">IF($I45="","",$I45&amp;" · "&amp;$J45&amp;CHAR(10)&amp;"Falta "&amp;$K45&amp;" · Tenho "&amp;$M45&amp;" · Nec. "&amp;$L45)</f>
        <v/>
      </c>
      <c r="E19" s="25" t="str">
        <f aca="false">IF($I46="","",$I46&amp;" · "&amp;$J46&amp;CHAR(10)&amp;"Falta "&amp;$K46&amp;" · Tenho "&amp;$M46&amp;" · Nec. "&amp;$L46)</f>
        <v/>
      </c>
      <c r="H19" s="0" t="str">
        <f aca="false">IF($A$1="(Todas as cartas)",IFERROR(MATCH(18,CONSOLIDADO!$AK$2:$AK$801,0),""),IFERROR(MATCH(18,DECKS!$J$2:$J$1201,0),""))</f>
        <v/>
      </c>
      <c r="I19" s="0" t="str">
        <f aca="false">IF($H19="","",IF($A$1="(Todas as cartas)",INDEX(CONSOLIDADO!$A$2:$A$801,$H19),INDEX(DECKS!$B$2:$B$1201,$H19)))</f>
        <v/>
      </c>
      <c r="J19" s="0" t="str">
        <f aca="false">IF($H19="","",IF($A$1="(Todas as cartas)",INDEX(CONSOLIDADO!$B$2:$B$801,$H19),INDEX(DECKS!$C$2:$C$1201,$H19)))</f>
        <v/>
      </c>
      <c r="K19" s="0" t="str">
        <f aca="false">IF($H19="","",IF($A$1="(Todas as cartas)",INDEX(CONSOLIDADO!$E$2:$E$801,$H19),INDEX(DECKS!$F$2:$F$1201,$H19)))</f>
        <v/>
      </c>
      <c r="L19" s="0" t="str">
        <f aca="false">IF($H19="","",IF($A$1="(Todas as cartas)",INDEX(CONSOLIDADO!$D$2:$D$801,$H19),INDEX(DECKS!$D$2:$D$1201,$H19)))</f>
        <v/>
      </c>
      <c r="M19" s="0" t="str">
        <f aca="false">IF($H19="","",IF($A$1="(Todas as cartas)",INDEX(CONSOLIDADO!$C$2:$C$801,$H19),INDEX(DECKS!$E$2:$E$1201,$H19)))</f>
        <v/>
      </c>
      <c r="O19" s="0" t="str">
        <f aca="false">'FALTAS POR DECK'!K18</f>
        <v/>
      </c>
    </row>
    <row r="20" customFormat="false" ht="150" hidden="false" customHeight="true" outlineLevel="0" collapsed="false">
      <c r="A20" s="24"/>
      <c r="B20" s="24"/>
      <c r="C20" s="24"/>
      <c r="D20" s="24"/>
      <c r="E20" s="24"/>
      <c r="H20" s="0" t="str">
        <f aca="false">IF($A$1="(Todas as cartas)",IFERROR(MATCH(19,CONSOLIDADO!$AK$2:$AK$801,0),""),IFERROR(MATCH(19,DECKS!$J$2:$J$1201,0),""))</f>
        <v/>
      </c>
      <c r="I20" s="0" t="str">
        <f aca="false">IF($H20="","",IF($A$1="(Todas as cartas)",INDEX(CONSOLIDADO!$A$2:$A$801,$H20),INDEX(DECKS!$B$2:$B$1201,$H20)))</f>
        <v/>
      </c>
      <c r="J20" s="0" t="str">
        <f aca="false">IF($H20="","",IF($A$1="(Todas as cartas)",INDEX(CONSOLIDADO!$B$2:$B$801,$H20),INDEX(DECKS!$C$2:$C$1201,$H20)))</f>
        <v/>
      </c>
      <c r="K20" s="0" t="str">
        <f aca="false">IF($H20="","",IF($A$1="(Todas as cartas)",INDEX(CONSOLIDADO!$E$2:$E$801,$H20),INDEX(DECKS!$F$2:$F$1201,$H20)))</f>
        <v/>
      </c>
      <c r="L20" s="0" t="str">
        <f aca="false">IF($H20="","",IF($A$1="(Todas as cartas)",INDEX(CONSOLIDADO!$D$2:$D$801,$H20),INDEX(DECKS!$D$2:$D$1201,$H20)))</f>
        <v/>
      </c>
      <c r="M20" s="0" t="str">
        <f aca="false">IF($H20="","",IF($A$1="(Todas as cartas)",INDEX(CONSOLIDADO!$C$2:$C$801,$H20),INDEX(DECKS!$E$2:$E$1201,$H20)))</f>
        <v/>
      </c>
      <c r="O20" s="0" t="str">
        <f aca="false">'FALTAS POR DECK'!K19</f>
        <v/>
      </c>
    </row>
    <row r="21" customFormat="false" ht="42" hidden="false" customHeight="true" outlineLevel="0" collapsed="false">
      <c r="A21" s="25" t="str">
        <f aca="false">IF($I47="","",$I47&amp;" · "&amp;$J47&amp;CHAR(10)&amp;"Falta "&amp;$K47&amp;" · Tenho "&amp;$M47&amp;" · Nec. "&amp;$L47)</f>
        <v/>
      </c>
      <c r="B21" s="25" t="str">
        <f aca="false">IF($I48="","",$I48&amp;" · "&amp;$J48&amp;CHAR(10)&amp;"Falta "&amp;$K48&amp;" · Tenho "&amp;$M48&amp;" · Nec. "&amp;$L48)</f>
        <v/>
      </c>
      <c r="C21" s="25" t="str">
        <f aca="false">IF($I49="","",$I49&amp;" · "&amp;$J49&amp;CHAR(10)&amp;"Falta "&amp;$K49&amp;" · Tenho "&amp;$M49&amp;" · Nec. "&amp;$L49)</f>
        <v/>
      </c>
      <c r="D21" s="25" t="str">
        <f aca="false">IF($I50="","",$I50&amp;" · "&amp;$J50&amp;CHAR(10)&amp;"Falta "&amp;$K50&amp;" · Tenho "&amp;$M50&amp;" · Nec. "&amp;$L50)</f>
        <v/>
      </c>
      <c r="E21" s="25" t="str">
        <f aca="false">IF($I51="","",$I51&amp;" · "&amp;$J51&amp;CHAR(10)&amp;"Falta "&amp;$K51&amp;" · Tenho "&amp;$M51&amp;" · Nec. "&amp;$L51)</f>
        <v/>
      </c>
      <c r="H21" s="0" t="str">
        <f aca="false">IF($A$1="(Todas as cartas)",IFERROR(MATCH(20,CONSOLIDADO!$AK$2:$AK$801,0),""),IFERROR(MATCH(20,DECKS!$J$2:$J$1201,0),""))</f>
        <v/>
      </c>
      <c r="I21" s="0" t="str">
        <f aca="false">IF($H21="","",IF($A$1="(Todas as cartas)",INDEX(CONSOLIDADO!$A$2:$A$801,$H21),INDEX(DECKS!$B$2:$B$1201,$H21)))</f>
        <v/>
      </c>
      <c r="J21" s="0" t="str">
        <f aca="false">IF($H21="","",IF($A$1="(Todas as cartas)",INDEX(CONSOLIDADO!$B$2:$B$801,$H21),INDEX(DECKS!$C$2:$C$1201,$H21)))</f>
        <v/>
      </c>
      <c r="K21" s="0" t="str">
        <f aca="false">IF($H21="","",IF($A$1="(Todas as cartas)",INDEX(CONSOLIDADO!$E$2:$E$801,$H21),INDEX(DECKS!$F$2:$F$1201,$H21)))</f>
        <v/>
      </c>
      <c r="L21" s="0" t="str">
        <f aca="false">IF($H21="","",IF($A$1="(Todas as cartas)",INDEX(CONSOLIDADO!$D$2:$D$801,$H21),INDEX(DECKS!$D$2:$D$1201,$H21)))</f>
        <v/>
      </c>
      <c r="M21" s="0" t="str">
        <f aca="false">IF($H21="","",IF($A$1="(Todas as cartas)",INDEX(CONSOLIDADO!$C$2:$C$801,$H21),INDEX(DECKS!$E$2:$E$1201,$H21)))</f>
        <v/>
      </c>
      <c r="O21" s="0" t="str">
        <f aca="false">'FALTAS POR DECK'!K20</f>
        <v/>
      </c>
    </row>
    <row r="22" customFormat="false" ht="150" hidden="false" customHeight="true" outlineLevel="0" collapsed="false">
      <c r="A22" s="24"/>
      <c r="B22" s="24"/>
      <c r="C22" s="24"/>
      <c r="D22" s="24"/>
      <c r="E22" s="24"/>
      <c r="H22" s="0" t="str">
        <f aca="false">IF($A$1="(Todas as cartas)",IFERROR(MATCH(21,CONSOLIDADO!$AK$2:$AK$801,0),""),IFERROR(MATCH(21,DECKS!$J$2:$J$1201,0),""))</f>
        <v/>
      </c>
      <c r="I22" s="0" t="str">
        <f aca="false">IF($H22="","",IF($A$1="(Todas as cartas)",INDEX(CONSOLIDADO!$A$2:$A$801,$H22),INDEX(DECKS!$B$2:$B$1201,$H22)))</f>
        <v/>
      </c>
      <c r="J22" s="0" t="str">
        <f aca="false">IF($H22="","",IF($A$1="(Todas as cartas)",INDEX(CONSOLIDADO!$B$2:$B$801,$H22),INDEX(DECKS!$C$2:$C$1201,$H22)))</f>
        <v/>
      </c>
      <c r="K22" s="0" t="str">
        <f aca="false">IF($H22="","",IF($A$1="(Todas as cartas)",INDEX(CONSOLIDADO!$E$2:$E$801,$H22),INDEX(DECKS!$F$2:$F$1201,$H22)))</f>
        <v/>
      </c>
      <c r="L22" s="0" t="str">
        <f aca="false">IF($H22="","",IF($A$1="(Todas as cartas)",INDEX(CONSOLIDADO!$D$2:$D$801,$H22),INDEX(DECKS!$D$2:$D$1201,$H22)))</f>
        <v/>
      </c>
      <c r="M22" s="0" t="str">
        <f aca="false">IF($H22="","",IF($A$1="(Todas as cartas)",INDEX(CONSOLIDADO!$C$2:$C$801,$H22),INDEX(DECKS!$E$2:$E$1201,$H22)))</f>
        <v/>
      </c>
      <c r="O22" s="0" t="str">
        <f aca="false">'FALTAS POR DECK'!K21</f>
        <v/>
      </c>
    </row>
    <row r="23" customFormat="false" ht="42" hidden="false" customHeight="true" outlineLevel="0" collapsed="false">
      <c r="A23" s="25" t="str">
        <f aca="false">IF($I52="","",$I52&amp;" · "&amp;$J52&amp;CHAR(10)&amp;"Falta "&amp;$K52&amp;" · Tenho "&amp;$M52&amp;" · Nec. "&amp;$L52)</f>
        <v/>
      </c>
      <c r="B23" s="25" t="str">
        <f aca="false">IF($I53="","",$I53&amp;" · "&amp;$J53&amp;CHAR(10)&amp;"Falta "&amp;$K53&amp;" · Tenho "&amp;$M53&amp;" · Nec. "&amp;$L53)</f>
        <v/>
      </c>
      <c r="C23" s="25" t="str">
        <f aca="false">IF($I54="","",$I54&amp;" · "&amp;$J54&amp;CHAR(10)&amp;"Falta "&amp;$K54&amp;" · Tenho "&amp;$M54&amp;" · Nec. "&amp;$L54)</f>
        <v/>
      </c>
      <c r="D23" s="25" t="str">
        <f aca="false">IF($I55="","",$I55&amp;" · "&amp;$J55&amp;CHAR(10)&amp;"Falta "&amp;$K55&amp;" · Tenho "&amp;$M55&amp;" · Nec. "&amp;$L55)</f>
        <v/>
      </c>
      <c r="E23" s="25" t="str">
        <f aca="false">IF($I56="","",$I56&amp;" · "&amp;$J56&amp;CHAR(10)&amp;"Falta "&amp;$K56&amp;" · Tenho "&amp;$M56&amp;" · Nec. "&amp;$L56)</f>
        <v/>
      </c>
      <c r="H23" s="0" t="str">
        <f aca="false">IF($A$1="(Todas as cartas)",IFERROR(MATCH(22,CONSOLIDADO!$AK$2:$AK$801,0),""),IFERROR(MATCH(22,DECKS!$J$2:$J$1201,0),""))</f>
        <v/>
      </c>
      <c r="I23" s="0" t="str">
        <f aca="false">IF($H23="","",IF($A$1="(Todas as cartas)",INDEX(CONSOLIDADO!$A$2:$A$801,$H23),INDEX(DECKS!$B$2:$B$1201,$H23)))</f>
        <v/>
      </c>
      <c r="J23" s="0" t="str">
        <f aca="false">IF($H23="","",IF($A$1="(Todas as cartas)",INDEX(CONSOLIDADO!$B$2:$B$801,$H23),INDEX(DECKS!$C$2:$C$1201,$H23)))</f>
        <v/>
      </c>
      <c r="K23" s="0" t="str">
        <f aca="false">IF($H23="","",IF($A$1="(Todas as cartas)",INDEX(CONSOLIDADO!$E$2:$E$801,$H23),INDEX(DECKS!$F$2:$F$1201,$H23)))</f>
        <v/>
      </c>
      <c r="L23" s="0" t="str">
        <f aca="false">IF($H23="","",IF($A$1="(Todas as cartas)",INDEX(CONSOLIDADO!$D$2:$D$801,$H23),INDEX(DECKS!$D$2:$D$1201,$H23)))</f>
        <v/>
      </c>
      <c r="M23" s="0" t="str">
        <f aca="false">IF($H23="","",IF($A$1="(Todas as cartas)",INDEX(CONSOLIDADO!$C$2:$C$801,$H23),INDEX(DECKS!$E$2:$E$1201,$H23)))</f>
        <v/>
      </c>
    </row>
    <row r="24" customFormat="false" ht="150" hidden="false" customHeight="true" outlineLevel="0" collapsed="false">
      <c r="A24" s="24"/>
      <c r="B24" s="24"/>
      <c r="C24" s="24"/>
      <c r="D24" s="24"/>
      <c r="E24" s="24"/>
      <c r="H24" s="0" t="str">
        <f aca="false">IF($A$1="(Todas as cartas)",IFERROR(MATCH(23,CONSOLIDADO!$AK$2:$AK$801,0),""),IFERROR(MATCH(23,DECKS!$J$2:$J$1201,0),""))</f>
        <v/>
      </c>
      <c r="I24" s="0" t="str">
        <f aca="false">IF($H24="","",IF($A$1="(Todas as cartas)",INDEX(CONSOLIDADO!$A$2:$A$801,$H24),INDEX(DECKS!$B$2:$B$1201,$H24)))</f>
        <v/>
      </c>
      <c r="J24" s="0" t="str">
        <f aca="false">IF($H24="","",IF($A$1="(Todas as cartas)",INDEX(CONSOLIDADO!$B$2:$B$801,$H24),INDEX(DECKS!$C$2:$C$1201,$H24)))</f>
        <v/>
      </c>
      <c r="K24" s="0" t="str">
        <f aca="false">IF($H24="","",IF($A$1="(Todas as cartas)",INDEX(CONSOLIDADO!$E$2:$E$801,$H24),INDEX(DECKS!$F$2:$F$1201,$H24)))</f>
        <v/>
      </c>
      <c r="L24" s="0" t="str">
        <f aca="false">IF($H24="","",IF($A$1="(Todas as cartas)",INDEX(CONSOLIDADO!$D$2:$D$801,$H24),INDEX(DECKS!$D$2:$D$1201,$H24)))</f>
        <v/>
      </c>
      <c r="M24" s="0" t="str">
        <f aca="false">IF($H24="","",IF($A$1="(Todas as cartas)",INDEX(CONSOLIDADO!$C$2:$C$801,$H24),INDEX(DECKS!$E$2:$E$1201,$H24)))</f>
        <v/>
      </c>
    </row>
    <row r="25" customFormat="false" ht="42" hidden="false" customHeight="true" outlineLevel="0" collapsed="false">
      <c r="A25" s="25" t="str">
        <f aca="false">IF($I57="","",$I57&amp;" · "&amp;$J57&amp;CHAR(10)&amp;"Falta "&amp;$K57&amp;" · Tenho "&amp;$M57&amp;" · Nec. "&amp;$L57)</f>
        <v/>
      </c>
      <c r="B25" s="25" t="str">
        <f aca="false">IF($I58="","",$I58&amp;" · "&amp;$J58&amp;CHAR(10)&amp;"Falta "&amp;$K58&amp;" · Tenho "&amp;$M58&amp;" · Nec. "&amp;$L58)</f>
        <v/>
      </c>
      <c r="C25" s="25" t="str">
        <f aca="false">IF($I59="","",$I59&amp;" · "&amp;$J59&amp;CHAR(10)&amp;"Falta "&amp;$K59&amp;" · Tenho "&amp;$M59&amp;" · Nec. "&amp;$L59)</f>
        <v/>
      </c>
      <c r="D25" s="25" t="str">
        <f aca="false">IF($I60="","",$I60&amp;" · "&amp;$J60&amp;CHAR(10)&amp;"Falta "&amp;$K60&amp;" · Tenho "&amp;$M60&amp;" · Nec. "&amp;$L60)</f>
        <v/>
      </c>
      <c r="E25" s="25" t="str">
        <f aca="false">IF($I61="","",$I61&amp;" · "&amp;$J61&amp;CHAR(10)&amp;"Falta "&amp;$K61&amp;" · Tenho "&amp;$M61&amp;" · Nec. "&amp;$L61)</f>
        <v/>
      </c>
      <c r="H25" s="0" t="str">
        <f aca="false">IF($A$1="(Todas as cartas)",IFERROR(MATCH(24,CONSOLIDADO!$AK$2:$AK$801,0),""),IFERROR(MATCH(24,DECKS!$J$2:$J$1201,0),""))</f>
        <v/>
      </c>
      <c r="I25" s="0" t="str">
        <f aca="false">IF($H25="","",IF($A$1="(Todas as cartas)",INDEX(CONSOLIDADO!$A$2:$A$801,$H25),INDEX(DECKS!$B$2:$B$1201,$H25)))</f>
        <v/>
      </c>
      <c r="J25" s="0" t="str">
        <f aca="false">IF($H25="","",IF($A$1="(Todas as cartas)",INDEX(CONSOLIDADO!$B$2:$B$801,$H25),INDEX(DECKS!$C$2:$C$1201,$H25)))</f>
        <v/>
      </c>
      <c r="K25" s="0" t="str">
        <f aca="false">IF($H25="","",IF($A$1="(Todas as cartas)",INDEX(CONSOLIDADO!$E$2:$E$801,$H25),INDEX(DECKS!$F$2:$F$1201,$H25)))</f>
        <v/>
      </c>
      <c r="L25" s="0" t="str">
        <f aca="false">IF($H25="","",IF($A$1="(Todas as cartas)",INDEX(CONSOLIDADO!$D$2:$D$801,$H25),INDEX(DECKS!$D$2:$D$1201,$H25)))</f>
        <v/>
      </c>
      <c r="M25" s="0" t="str">
        <f aca="false">IF($H25="","",IF($A$1="(Todas as cartas)",INDEX(CONSOLIDADO!$C$2:$C$801,$H25),INDEX(DECKS!$E$2:$E$1201,$H25)))</f>
        <v/>
      </c>
    </row>
    <row r="26" customFormat="false" ht="150" hidden="false" customHeight="true" outlineLevel="0" collapsed="false">
      <c r="A26" s="24"/>
      <c r="B26" s="24"/>
      <c r="C26" s="24"/>
      <c r="D26" s="24"/>
      <c r="E26" s="24"/>
      <c r="H26" s="0" t="str">
        <f aca="false">IF($A$1="(Todas as cartas)",IFERROR(MATCH(25,CONSOLIDADO!$AK$2:$AK$801,0),""),IFERROR(MATCH(25,DECKS!$J$2:$J$1201,0),""))</f>
        <v/>
      </c>
      <c r="I26" s="0" t="str">
        <f aca="false">IF($H26="","",IF($A$1="(Todas as cartas)",INDEX(CONSOLIDADO!$A$2:$A$801,$H26),INDEX(DECKS!$B$2:$B$1201,$H26)))</f>
        <v/>
      </c>
      <c r="J26" s="0" t="str">
        <f aca="false">IF($H26="","",IF($A$1="(Todas as cartas)",INDEX(CONSOLIDADO!$B$2:$B$801,$H26),INDEX(DECKS!$C$2:$C$1201,$H26)))</f>
        <v/>
      </c>
      <c r="K26" s="0" t="str">
        <f aca="false">IF($H26="","",IF($A$1="(Todas as cartas)",INDEX(CONSOLIDADO!$E$2:$E$801,$H26),INDEX(DECKS!$F$2:$F$1201,$H26)))</f>
        <v/>
      </c>
      <c r="L26" s="0" t="str">
        <f aca="false">IF($H26="","",IF($A$1="(Todas as cartas)",INDEX(CONSOLIDADO!$D$2:$D$801,$H26),INDEX(DECKS!$D$2:$D$1201,$H26)))</f>
        <v/>
      </c>
      <c r="M26" s="0" t="str">
        <f aca="false">IF($H26="","",IF($A$1="(Todas as cartas)",INDEX(CONSOLIDADO!$C$2:$C$801,$H26),INDEX(DECKS!$E$2:$E$1201,$H26)))</f>
        <v/>
      </c>
    </row>
    <row r="27" customFormat="false" ht="42" hidden="false" customHeight="true" outlineLevel="0" collapsed="false">
      <c r="A27" s="25" t="str">
        <f aca="false">IF($I62="","",$I62&amp;" · "&amp;$J62&amp;CHAR(10)&amp;"Falta "&amp;$K62&amp;" · Tenho "&amp;$M62&amp;" · Nec. "&amp;$L62)</f>
        <v/>
      </c>
      <c r="B27" s="25" t="str">
        <f aca="false">IF($I63="","",$I63&amp;" · "&amp;$J63&amp;CHAR(10)&amp;"Falta "&amp;$K63&amp;" · Tenho "&amp;$M63&amp;" · Nec. "&amp;$L63)</f>
        <v/>
      </c>
      <c r="C27" s="25" t="str">
        <f aca="false">IF($I64="","",$I64&amp;" · "&amp;$J64&amp;CHAR(10)&amp;"Falta "&amp;$K64&amp;" · Tenho "&amp;$M64&amp;" · Nec. "&amp;$L64)</f>
        <v/>
      </c>
      <c r="D27" s="25" t="str">
        <f aca="false">IF($I65="","",$I65&amp;" · "&amp;$J65&amp;CHAR(10)&amp;"Falta "&amp;$K65&amp;" · Tenho "&amp;$M65&amp;" · Nec. "&amp;$L65)</f>
        <v/>
      </c>
      <c r="E27" s="25" t="str">
        <f aca="false">IF($I66="","",$I66&amp;" · "&amp;$J66&amp;CHAR(10)&amp;"Falta "&amp;$K66&amp;" · Tenho "&amp;$M66&amp;" · Nec. "&amp;$L66)</f>
        <v/>
      </c>
      <c r="H27" s="0" t="str">
        <f aca="false">IF($A$1="(Todas as cartas)",IFERROR(MATCH(26,CONSOLIDADO!$AK$2:$AK$801,0),""),IFERROR(MATCH(26,DECKS!$J$2:$J$1201,0),""))</f>
        <v/>
      </c>
      <c r="I27" s="0" t="str">
        <f aca="false">IF($H27="","",IF($A$1="(Todas as cartas)",INDEX(CONSOLIDADO!$A$2:$A$801,$H27),INDEX(DECKS!$B$2:$B$1201,$H27)))</f>
        <v/>
      </c>
      <c r="J27" s="0" t="str">
        <f aca="false">IF($H27="","",IF($A$1="(Todas as cartas)",INDEX(CONSOLIDADO!$B$2:$B$801,$H27),INDEX(DECKS!$C$2:$C$1201,$H27)))</f>
        <v/>
      </c>
      <c r="K27" s="0" t="str">
        <f aca="false">IF($H27="","",IF($A$1="(Todas as cartas)",INDEX(CONSOLIDADO!$E$2:$E$801,$H27),INDEX(DECKS!$F$2:$F$1201,$H27)))</f>
        <v/>
      </c>
      <c r="L27" s="0" t="str">
        <f aca="false">IF($H27="","",IF($A$1="(Todas as cartas)",INDEX(CONSOLIDADO!$D$2:$D$801,$H27),INDEX(DECKS!$D$2:$D$1201,$H27)))</f>
        <v/>
      </c>
      <c r="M27" s="0" t="str">
        <f aca="false">IF($H27="","",IF($A$1="(Todas as cartas)",INDEX(CONSOLIDADO!$C$2:$C$801,$H27),INDEX(DECKS!$E$2:$E$1201,$H27)))</f>
        <v/>
      </c>
    </row>
    <row r="28" customFormat="false" ht="150" hidden="false" customHeight="true" outlineLevel="0" collapsed="false">
      <c r="A28" s="24"/>
      <c r="B28" s="24"/>
      <c r="C28" s="24"/>
      <c r="D28" s="24"/>
      <c r="E28" s="24"/>
      <c r="H28" s="0" t="str">
        <f aca="false">IF($A$1="(Todas as cartas)",IFERROR(MATCH(27,CONSOLIDADO!$AK$2:$AK$801,0),""),IFERROR(MATCH(27,DECKS!$J$2:$J$1201,0),""))</f>
        <v/>
      </c>
      <c r="I28" s="0" t="str">
        <f aca="false">IF($H28="","",IF($A$1="(Todas as cartas)",INDEX(CONSOLIDADO!$A$2:$A$801,$H28),INDEX(DECKS!$B$2:$B$1201,$H28)))</f>
        <v/>
      </c>
      <c r="J28" s="0" t="str">
        <f aca="false">IF($H28="","",IF($A$1="(Todas as cartas)",INDEX(CONSOLIDADO!$B$2:$B$801,$H28),INDEX(DECKS!$C$2:$C$1201,$H28)))</f>
        <v/>
      </c>
      <c r="K28" s="0" t="str">
        <f aca="false">IF($H28="","",IF($A$1="(Todas as cartas)",INDEX(CONSOLIDADO!$E$2:$E$801,$H28),INDEX(DECKS!$F$2:$F$1201,$H28)))</f>
        <v/>
      </c>
      <c r="L28" s="0" t="str">
        <f aca="false">IF($H28="","",IF($A$1="(Todas as cartas)",INDEX(CONSOLIDADO!$D$2:$D$801,$H28),INDEX(DECKS!$D$2:$D$1201,$H28)))</f>
        <v/>
      </c>
      <c r="M28" s="0" t="str">
        <f aca="false">IF($H28="","",IF($A$1="(Todas as cartas)",INDEX(CONSOLIDADO!$C$2:$C$801,$H28),INDEX(DECKS!$E$2:$E$1201,$H28)))</f>
        <v/>
      </c>
    </row>
    <row r="29" customFormat="false" ht="42" hidden="false" customHeight="true" outlineLevel="0" collapsed="false">
      <c r="A29" s="25" t="str">
        <f aca="false">IF($I67="","",$I67&amp;" · "&amp;$J67&amp;CHAR(10)&amp;"Falta "&amp;$K67&amp;" · Tenho "&amp;$M67&amp;" · Nec. "&amp;$L67)</f>
        <v/>
      </c>
      <c r="B29" s="25" t="str">
        <f aca="false">IF($I68="","",$I68&amp;" · "&amp;$J68&amp;CHAR(10)&amp;"Falta "&amp;$K68&amp;" · Tenho "&amp;$M68&amp;" · Nec. "&amp;$L68)</f>
        <v/>
      </c>
      <c r="C29" s="25" t="str">
        <f aca="false">IF($I69="","",$I69&amp;" · "&amp;$J69&amp;CHAR(10)&amp;"Falta "&amp;$K69&amp;" · Tenho "&amp;$M69&amp;" · Nec. "&amp;$L69)</f>
        <v/>
      </c>
      <c r="D29" s="25" t="str">
        <f aca="false">IF($I70="","",$I70&amp;" · "&amp;$J70&amp;CHAR(10)&amp;"Falta "&amp;$K70&amp;" · Tenho "&amp;$M70&amp;" · Nec. "&amp;$L70)</f>
        <v/>
      </c>
      <c r="E29" s="25" t="str">
        <f aca="false">IF($I71="","",$I71&amp;" · "&amp;$J71&amp;CHAR(10)&amp;"Falta "&amp;$K71&amp;" · Tenho "&amp;$M71&amp;" · Nec. "&amp;$L71)</f>
        <v/>
      </c>
      <c r="H29" s="0" t="str">
        <f aca="false">IF($A$1="(Todas as cartas)",IFERROR(MATCH(28,CONSOLIDADO!$AK$2:$AK$801,0),""),IFERROR(MATCH(28,DECKS!$J$2:$J$1201,0),""))</f>
        <v/>
      </c>
      <c r="I29" s="0" t="str">
        <f aca="false">IF($H29="","",IF($A$1="(Todas as cartas)",INDEX(CONSOLIDADO!$A$2:$A$801,$H29),INDEX(DECKS!$B$2:$B$1201,$H29)))</f>
        <v/>
      </c>
      <c r="J29" s="0" t="str">
        <f aca="false">IF($H29="","",IF($A$1="(Todas as cartas)",INDEX(CONSOLIDADO!$B$2:$B$801,$H29),INDEX(DECKS!$C$2:$C$1201,$H29)))</f>
        <v/>
      </c>
      <c r="K29" s="0" t="str">
        <f aca="false">IF($H29="","",IF($A$1="(Todas as cartas)",INDEX(CONSOLIDADO!$E$2:$E$801,$H29),INDEX(DECKS!$F$2:$F$1201,$H29)))</f>
        <v/>
      </c>
      <c r="L29" s="0" t="str">
        <f aca="false">IF($H29="","",IF($A$1="(Todas as cartas)",INDEX(CONSOLIDADO!$D$2:$D$801,$H29),INDEX(DECKS!$D$2:$D$1201,$H29)))</f>
        <v/>
      </c>
      <c r="M29" s="0" t="str">
        <f aca="false">IF($H29="","",IF($A$1="(Todas as cartas)",INDEX(CONSOLIDADO!$C$2:$C$801,$H29),INDEX(DECKS!$E$2:$E$1201,$H29)))</f>
        <v/>
      </c>
    </row>
    <row r="30" customFormat="false" ht="150" hidden="false" customHeight="true" outlineLevel="0" collapsed="false">
      <c r="A30" s="24"/>
      <c r="B30" s="24"/>
      <c r="C30" s="24"/>
      <c r="D30" s="24"/>
      <c r="E30" s="24"/>
      <c r="H30" s="0" t="str">
        <f aca="false">IF($A$1="(Todas as cartas)",IFERROR(MATCH(29,CONSOLIDADO!$AK$2:$AK$801,0),""),IFERROR(MATCH(29,DECKS!$J$2:$J$1201,0),""))</f>
        <v/>
      </c>
      <c r="I30" s="0" t="str">
        <f aca="false">IF($H30="","",IF($A$1="(Todas as cartas)",INDEX(CONSOLIDADO!$A$2:$A$801,$H30),INDEX(DECKS!$B$2:$B$1201,$H30)))</f>
        <v/>
      </c>
      <c r="J30" s="0" t="str">
        <f aca="false">IF($H30="","",IF($A$1="(Todas as cartas)",INDEX(CONSOLIDADO!$B$2:$B$801,$H30),INDEX(DECKS!$C$2:$C$1201,$H30)))</f>
        <v/>
      </c>
      <c r="K30" s="0" t="str">
        <f aca="false">IF($H30="","",IF($A$1="(Todas as cartas)",INDEX(CONSOLIDADO!$E$2:$E$801,$H30),INDEX(DECKS!$F$2:$F$1201,$H30)))</f>
        <v/>
      </c>
      <c r="L30" s="0" t="str">
        <f aca="false">IF($H30="","",IF($A$1="(Todas as cartas)",INDEX(CONSOLIDADO!$D$2:$D$801,$H30),INDEX(DECKS!$D$2:$D$1201,$H30)))</f>
        <v/>
      </c>
      <c r="M30" s="0" t="str">
        <f aca="false">IF($H30="","",IF($A$1="(Todas as cartas)",INDEX(CONSOLIDADO!$C$2:$C$801,$H30),INDEX(DECKS!$E$2:$E$1201,$H30)))</f>
        <v/>
      </c>
    </row>
    <row r="31" customFormat="false" ht="42" hidden="false" customHeight="true" outlineLevel="0" collapsed="false">
      <c r="A31" s="25" t="str">
        <f aca="false">IF($I72="","",$I72&amp;" · "&amp;$J72&amp;CHAR(10)&amp;"Falta "&amp;$K72&amp;" · Tenho "&amp;$M72&amp;" · Nec. "&amp;$L72)</f>
        <v/>
      </c>
      <c r="B31" s="25" t="str">
        <f aca="false">IF($I73="","",$I73&amp;" · "&amp;$J73&amp;CHAR(10)&amp;"Falta "&amp;$K73&amp;" · Tenho "&amp;$M73&amp;" · Nec. "&amp;$L73)</f>
        <v/>
      </c>
      <c r="C31" s="25" t="str">
        <f aca="false">IF($I74="","",$I74&amp;" · "&amp;$J74&amp;CHAR(10)&amp;"Falta "&amp;$K74&amp;" · Tenho "&amp;$M74&amp;" · Nec. "&amp;$L74)</f>
        <v/>
      </c>
      <c r="D31" s="25" t="str">
        <f aca="false">IF($I75="","",$I75&amp;" · "&amp;$J75&amp;CHAR(10)&amp;"Falta "&amp;$K75&amp;" · Tenho "&amp;$M75&amp;" · Nec. "&amp;$L75)</f>
        <v/>
      </c>
      <c r="E31" s="25" t="str">
        <f aca="false">IF($I76="","",$I76&amp;" · "&amp;$J76&amp;CHAR(10)&amp;"Falta "&amp;$K76&amp;" · Tenho "&amp;$M76&amp;" · Nec. "&amp;$L76)</f>
        <v/>
      </c>
      <c r="H31" s="0" t="str">
        <f aca="false">IF($A$1="(Todas as cartas)",IFERROR(MATCH(30,CONSOLIDADO!$AK$2:$AK$801,0),""),IFERROR(MATCH(30,DECKS!$J$2:$J$1201,0),""))</f>
        <v/>
      </c>
      <c r="I31" s="0" t="str">
        <f aca="false">IF($H31="","",IF($A$1="(Todas as cartas)",INDEX(CONSOLIDADO!$A$2:$A$801,$H31),INDEX(DECKS!$B$2:$B$1201,$H31)))</f>
        <v/>
      </c>
      <c r="J31" s="0" t="str">
        <f aca="false">IF($H31="","",IF($A$1="(Todas as cartas)",INDEX(CONSOLIDADO!$B$2:$B$801,$H31),INDEX(DECKS!$C$2:$C$1201,$H31)))</f>
        <v/>
      </c>
      <c r="K31" s="0" t="str">
        <f aca="false">IF($H31="","",IF($A$1="(Todas as cartas)",INDEX(CONSOLIDADO!$E$2:$E$801,$H31),INDEX(DECKS!$F$2:$F$1201,$H31)))</f>
        <v/>
      </c>
      <c r="L31" s="0" t="str">
        <f aca="false">IF($H31="","",IF($A$1="(Todas as cartas)",INDEX(CONSOLIDADO!$D$2:$D$801,$H31),INDEX(DECKS!$D$2:$D$1201,$H31)))</f>
        <v/>
      </c>
      <c r="M31" s="0" t="str">
        <f aca="false">IF($H31="","",IF($A$1="(Todas as cartas)",INDEX(CONSOLIDADO!$C$2:$C$801,$H31),INDEX(DECKS!$E$2:$E$1201,$H31)))</f>
        <v/>
      </c>
    </row>
    <row r="32" customFormat="false" ht="150" hidden="false" customHeight="true" outlineLevel="0" collapsed="false">
      <c r="A32" s="24"/>
      <c r="B32" s="24"/>
      <c r="C32" s="24"/>
      <c r="D32" s="24"/>
      <c r="E32" s="24"/>
      <c r="H32" s="0" t="str">
        <f aca="false">IF($A$1="(Todas as cartas)",IFERROR(MATCH(31,CONSOLIDADO!$AK$2:$AK$801,0),""),IFERROR(MATCH(31,DECKS!$J$2:$J$1201,0),""))</f>
        <v/>
      </c>
      <c r="I32" s="0" t="str">
        <f aca="false">IF($H32="","",IF($A$1="(Todas as cartas)",INDEX(CONSOLIDADO!$A$2:$A$801,$H32),INDEX(DECKS!$B$2:$B$1201,$H32)))</f>
        <v/>
      </c>
      <c r="J32" s="0" t="str">
        <f aca="false">IF($H32="","",IF($A$1="(Todas as cartas)",INDEX(CONSOLIDADO!$B$2:$B$801,$H32),INDEX(DECKS!$C$2:$C$1201,$H32)))</f>
        <v/>
      </c>
      <c r="K32" s="0" t="str">
        <f aca="false">IF($H32="","",IF($A$1="(Todas as cartas)",INDEX(CONSOLIDADO!$E$2:$E$801,$H32),INDEX(DECKS!$F$2:$F$1201,$H32)))</f>
        <v/>
      </c>
      <c r="L32" s="0" t="str">
        <f aca="false">IF($H32="","",IF($A$1="(Todas as cartas)",INDEX(CONSOLIDADO!$D$2:$D$801,$H32),INDEX(DECKS!$D$2:$D$1201,$H32)))</f>
        <v/>
      </c>
      <c r="M32" s="0" t="str">
        <f aca="false">IF($H32="","",IF($A$1="(Todas as cartas)",INDEX(CONSOLIDADO!$C$2:$C$801,$H32),INDEX(DECKS!$E$2:$E$1201,$H32)))</f>
        <v/>
      </c>
    </row>
    <row r="33" customFormat="false" ht="42" hidden="false" customHeight="true" outlineLevel="0" collapsed="false">
      <c r="A33" s="25" t="str">
        <f aca="false">IF($I77="","",$I77&amp;" · "&amp;$J77&amp;CHAR(10)&amp;"Falta "&amp;$K77&amp;" · Tenho "&amp;$M77&amp;" · Nec. "&amp;$L77)</f>
        <v/>
      </c>
      <c r="B33" s="25" t="str">
        <f aca="false">IF($I78="","",$I78&amp;" · "&amp;$J78&amp;CHAR(10)&amp;"Falta "&amp;$K78&amp;" · Tenho "&amp;$M78&amp;" · Nec. "&amp;$L78)</f>
        <v/>
      </c>
      <c r="C33" s="25" t="str">
        <f aca="false">IF($I79="","",$I79&amp;" · "&amp;$J79&amp;CHAR(10)&amp;"Falta "&amp;$K79&amp;" · Tenho "&amp;$M79&amp;" · Nec. "&amp;$L79)</f>
        <v/>
      </c>
      <c r="D33" s="25" t="str">
        <f aca="false">IF($I80="","",$I80&amp;" · "&amp;$J80&amp;CHAR(10)&amp;"Falta "&amp;$K80&amp;" · Tenho "&amp;$M80&amp;" · Nec. "&amp;$L80)</f>
        <v/>
      </c>
      <c r="E33" s="25" t="str">
        <f aca="false">IF($I81="","",$I81&amp;" · "&amp;$J81&amp;CHAR(10)&amp;"Falta "&amp;$K81&amp;" · Tenho "&amp;$M81&amp;" · Nec. "&amp;$L81)</f>
        <v/>
      </c>
      <c r="H33" s="0" t="str">
        <f aca="false">IF($A$1="(Todas as cartas)",IFERROR(MATCH(32,CONSOLIDADO!$AK$2:$AK$801,0),""),IFERROR(MATCH(32,DECKS!$J$2:$J$1201,0),""))</f>
        <v/>
      </c>
      <c r="I33" s="0" t="str">
        <f aca="false">IF($H33="","",IF($A$1="(Todas as cartas)",INDEX(CONSOLIDADO!$A$2:$A$801,$H33),INDEX(DECKS!$B$2:$B$1201,$H33)))</f>
        <v/>
      </c>
      <c r="J33" s="0" t="str">
        <f aca="false">IF($H33="","",IF($A$1="(Todas as cartas)",INDEX(CONSOLIDADO!$B$2:$B$801,$H33),INDEX(DECKS!$C$2:$C$1201,$H33)))</f>
        <v/>
      </c>
      <c r="K33" s="0" t="str">
        <f aca="false">IF($H33="","",IF($A$1="(Todas as cartas)",INDEX(CONSOLIDADO!$E$2:$E$801,$H33),INDEX(DECKS!$F$2:$F$1201,$H33)))</f>
        <v/>
      </c>
      <c r="L33" s="0" t="str">
        <f aca="false">IF($H33="","",IF($A$1="(Todas as cartas)",INDEX(CONSOLIDADO!$D$2:$D$801,$H33),INDEX(DECKS!$D$2:$D$1201,$H33)))</f>
        <v/>
      </c>
      <c r="M33" s="0" t="str">
        <f aca="false">IF($H33="","",IF($A$1="(Todas as cartas)",INDEX(CONSOLIDADO!$C$2:$C$801,$H33),INDEX(DECKS!$E$2:$E$1201,$H33)))</f>
        <v/>
      </c>
    </row>
    <row r="34" customFormat="false" ht="150" hidden="false" customHeight="true" outlineLevel="0" collapsed="false">
      <c r="A34" s="24"/>
      <c r="B34" s="24"/>
      <c r="C34" s="24"/>
      <c r="D34" s="24"/>
      <c r="E34" s="24"/>
      <c r="H34" s="0" t="str">
        <f aca="false">IF($A$1="(Todas as cartas)",IFERROR(MATCH(33,CONSOLIDADO!$AK$2:$AK$801,0),""),IFERROR(MATCH(33,DECKS!$J$2:$J$1201,0),""))</f>
        <v/>
      </c>
      <c r="I34" s="0" t="str">
        <f aca="false">IF($H34="","",IF($A$1="(Todas as cartas)",INDEX(CONSOLIDADO!$A$2:$A$801,$H34),INDEX(DECKS!$B$2:$B$1201,$H34)))</f>
        <v/>
      </c>
      <c r="J34" s="0" t="str">
        <f aca="false">IF($H34="","",IF($A$1="(Todas as cartas)",INDEX(CONSOLIDADO!$B$2:$B$801,$H34),INDEX(DECKS!$C$2:$C$1201,$H34)))</f>
        <v/>
      </c>
      <c r="K34" s="0" t="str">
        <f aca="false">IF($H34="","",IF($A$1="(Todas as cartas)",INDEX(CONSOLIDADO!$E$2:$E$801,$H34),INDEX(DECKS!$F$2:$F$1201,$H34)))</f>
        <v/>
      </c>
      <c r="L34" s="0" t="str">
        <f aca="false">IF($H34="","",IF($A$1="(Todas as cartas)",INDEX(CONSOLIDADO!$D$2:$D$801,$H34),INDEX(DECKS!$D$2:$D$1201,$H34)))</f>
        <v/>
      </c>
      <c r="M34" s="0" t="str">
        <f aca="false">IF($H34="","",IF($A$1="(Todas as cartas)",INDEX(CONSOLIDADO!$C$2:$C$801,$H34),INDEX(DECKS!$E$2:$E$1201,$H34)))</f>
        <v/>
      </c>
    </row>
    <row r="35" customFormat="false" ht="42" hidden="false" customHeight="true" outlineLevel="0" collapsed="false">
      <c r="A35" s="25" t="str">
        <f aca="false">IF($I82="","",$I82&amp;" · "&amp;$J82&amp;CHAR(10)&amp;"Falta "&amp;$K82&amp;" · Tenho "&amp;$M82&amp;" · Nec. "&amp;$L82)</f>
        <v/>
      </c>
      <c r="B35" s="25" t="str">
        <f aca="false">IF($I83="","",$I83&amp;" · "&amp;$J83&amp;CHAR(10)&amp;"Falta "&amp;$K83&amp;" · Tenho "&amp;$M83&amp;" · Nec. "&amp;$L83)</f>
        <v/>
      </c>
      <c r="C35" s="25" t="str">
        <f aca="false">IF($I84="","",$I84&amp;" · "&amp;$J84&amp;CHAR(10)&amp;"Falta "&amp;$K84&amp;" · Tenho "&amp;$M84&amp;" · Nec. "&amp;$L84)</f>
        <v/>
      </c>
      <c r="D35" s="25" t="str">
        <f aca="false">IF($I85="","",$I85&amp;" · "&amp;$J85&amp;CHAR(10)&amp;"Falta "&amp;$K85&amp;" · Tenho "&amp;$M85&amp;" · Nec. "&amp;$L85)</f>
        <v/>
      </c>
      <c r="E35" s="25" t="str">
        <f aca="false">IF($I86="","",$I86&amp;" · "&amp;$J86&amp;CHAR(10)&amp;"Falta "&amp;$K86&amp;" · Tenho "&amp;$M86&amp;" · Nec. "&amp;$L86)</f>
        <v/>
      </c>
      <c r="H35" s="0" t="str">
        <f aca="false">IF($A$1="(Todas as cartas)",IFERROR(MATCH(34,CONSOLIDADO!$AK$2:$AK$801,0),""),IFERROR(MATCH(34,DECKS!$J$2:$J$1201,0),""))</f>
        <v/>
      </c>
      <c r="I35" s="0" t="str">
        <f aca="false">IF($H35="","",IF($A$1="(Todas as cartas)",INDEX(CONSOLIDADO!$A$2:$A$801,$H35),INDEX(DECKS!$B$2:$B$1201,$H35)))</f>
        <v/>
      </c>
      <c r="J35" s="0" t="str">
        <f aca="false">IF($H35="","",IF($A$1="(Todas as cartas)",INDEX(CONSOLIDADO!$B$2:$B$801,$H35),INDEX(DECKS!$C$2:$C$1201,$H35)))</f>
        <v/>
      </c>
      <c r="K35" s="0" t="str">
        <f aca="false">IF($H35="","",IF($A$1="(Todas as cartas)",INDEX(CONSOLIDADO!$E$2:$E$801,$H35),INDEX(DECKS!$F$2:$F$1201,$H35)))</f>
        <v/>
      </c>
      <c r="L35" s="0" t="str">
        <f aca="false">IF($H35="","",IF($A$1="(Todas as cartas)",INDEX(CONSOLIDADO!$D$2:$D$801,$H35),INDEX(DECKS!$D$2:$D$1201,$H35)))</f>
        <v/>
      </c>
      <c r="M35" s="0" t="str">
        <f aca="false">IF($H35="","",IF($A$1="(Todas as cartas)",INDEX(CONSOLIDADO!$C$2:$C$801,$H35),INDEX(DECKS!$E$2:$E$1201,$H35)))</f>
        <v/>
      </c>
    </row>
    <row r="36" customFormat="false" ht="150" hidden="false" customHeight="true" outlineLevel="0" collapsed="false">
      <c r="A36" s="24"/>
      <c r="B36" s="24"/>
      <c r="C36" s="24"/>
      <c r="D36" s="24"/>
      <c r="E36" s="24"/>
      <c r="H36" s="0" t="str">
        <f aca="false">IF($A$1="(Todas as cartas)",IFERROR(MATCH(35,CONSOLIDADO!$AK$2:$AK$801,0),""),IFERROR(MATCH(35,DECKS!$J$2:$J$1201,0),""))</f>
        <v/>
      </c>
      <c r="I36" s="0" t="str">
        <f aca="false">IF($H36="","",IF($A$1="(Todas as cartas)",INDEX(CONSOLIDADO!$A$2:$A$801,$H36),INDEX(DECKS!$B$2:$B$1201,$H36)))</f>
        <v/>
      </c>
      <c r="J36" s="0" t="str">
        <f aca="false">IF($H36="","",IF($A$1="(Todas as cartas)",INDEX(CONSOLIDADO!$B$2:$B$801,$H36),INDEX(DECKS!$C$2:$C$1201,$H36)))</f>
        <v/>
      </c>
      <c r="K36" s="0" t="str">
        <f aca="false">IF($H36="","",IF($A$1="(Todas as cartas)",INDEX(CONSOLIDADO!$E$2:$E$801,$H36),INDEX(DECKS!$F$2:$F$1201,$H36)))</f>
        <v/>
      </c>
      <c r="L36" s="0" t="str">
        <f aca="false">IF($H36="","",IF($A$1="(Todas as cartas)",INDEX(CONSOLIDADO!$D$2:$D$801,$H36),INDEX(DECKS!$D$2:$D$1201,$H36)))</f>
        <v/>
      </c>
      <c r="M36" s="0" t="str">
        <f aca="false">IF($H36="","",IF($A$1="(Todas as cartas)",INDEX(CONSOLIDADO!$C$2:$C$801,$H36),INDEX(DECKS!$E$2:$E$1201,$H36)))</f>
        <v/>
      </c>
    </row>
    <row r="37" customFormat="false" ht="42" hidden="false" customHeight="true" outlineLevel="0" collapsed="false">
      <c r="A37" s="25" t="str">
        <f aca="false">IF($I87="","",$I87&amp;" · "&amp;$J87&amp;CHAR(10)&amp;"Falta "&amp;$K87&amp;" · Tenho "&amp;$M87&amp;" · Nec. "&amp;$L87)</f>
        <v/>
      </c>
      <c r="B37" s="25" t="str">
        <f aca="false">IF($I88="","",$I88&amp;" · "&amp;$J88&amp;CHAR(10)&amp;"Falta "&amp;$K88&amp;" · Tenho "&amp;$M88&amp;" · Nec. "&amp;$L88)</f>
        <v/>
      </c>
      <c r="C37" s="25" t="str">
        <f aca="false">IF($I89="","",$I89&amp;" · "&amp;$J89&amp;CHAR(10)&amp;"Falta "&amp;$K89&amp;" · Tenho "&amp;$M89&amp;" · Nec. "&amp;$L89)</f>
        <v/>
      </c>
      <c r="D37" s="25" t="str">
        <f aca="false">IF($I90="","",$I90&amp;" · "&amp;$J90&amp;CHAR(10)&amp;"Falta "&amp;$K90&amp;" · Tenho "&amp;$M90&amp;" · Nec. "&amp;$L90)</f>
        <v/>
      </c>
      <c r="E37" s="25" t="str">
        <f aca="false">IF($I91="","",$I91&amp;" · "&amp;$J91&amp;CHAR(10)&amp;"Falta "&amp;$K91&amp;" · Tenho "&amp;$M91&amp;" · Nec. "&amp;$L91)</f>
        <v/>
      </c>
      <c r="H37" s="0" t="str">
        <f aca="false">IF($A$1="(Todas as cartas)",IFERROR(MATCH(36,CONSOLIDADO!$AK$2:$AK$801,0),""),IFERROR(MATCH(36,DECKS!$J$2:$J$1201,0),""))</f>
        <v/>
      </c>
      <c r="I37" s="0" t="str">
        <f aca="false">IF($H37="","",IF($A$1="(Todas as cartas)",INDEX(CONSOLIDADO!$A$2:$A$801,$H37),INDEX(DECKS!$B$2:$B$1201,$H37)))</f>
        <v/>
      </c>
      <c r="J37" s="0" t="str">
        <f aca="false">IF($H37="","",IF($A$1="(Todas as cartas)",INDEX(CONSOLIDADO!$B$2:$B$801,$H37),INDEX(DECKS!$C$2:$C$1201,$H37)))</f>
        <v/>
      </c>
      <c r="K37" s="0" t="str">
        <f aca="false">IF($H37="","",IF($A$1="(Todas as cartas)",INDEX(CONSOLIDADO!$E$2:$E$801,$H37),INDEX(DECKS!$F$2:$F$1201,$H37)))</f>
        <v/>
      </c>
      <c r="L37" s="0" t="str">
        <f aca="false">IF($H37="","",IF($A$1="(Todas as cartas)",INDEX(CONSOLIDADO!$D$2:$D$801,$H37),INDEX(DECKS!$D$2:$D$1201,$H37)))</f>
        <v/>
      </c>
      <c r="M37" s="0" t="str">
        <f aca="false">IF($H37="","",IF($A$1="(Todas as cartas)",INDEX(CONSOLIDADO!$C$2:$C$801,$H37),INDEX(DECKS!$E$2:$E$1201,$H37)))</f>
        <v/>
      </c>
    </row>
    <row r="38" customFormat="false" ht="150" hidden="false" customHeight="true" outlineLevel="0" collapsed="false">
      <c r="A38" s="24"/>
      <c r="B38" s="24"/>
      <c r="C38" s="24"/>
      <c r="D38" s="24"/>
      <c r="E38" s="24"/>
      <c r="H38" s="0" t="str">
        <f aca="false">IF($A$1="(Todas as cartas)",IFERROR(MATCH(37,CONSOLIDADO!$AK$2:$AK$801,0),""),IFERROR(MATCH(37,DECKS!$J$2:$J$1201,0),""))</f>
        <v/>
      </c>
      <c r="I38" s="0" t="str">
        <f aca="false">IF($H38="","",IF($A$1="(Todas as cartas)",INDEX(CONSOLIDADO!$A$2:$A$801,$H38),INDEX(DECKS!$B$2:$B$1201,$H38)))</f>
        <v/>
      </c>
      <c r="J38" s="0" t="str">
        <f aca="false">IF($H38="","",IF($A$1="(Todas as cartas)",INDEX(CONSOLIDADO!$B$2:$B$801,$H38),INDEX(DECKS!$C$2:$C$1201,$H38)))</f>
        <v/>
      </c>
      <c r="K38" s="0" t="str">
        <f aca="false">IF($H38="","",IF($A$1="(Todas as cartas)",INDEX(CONSOLIDADO!$E$2:$E$801,$H38),INDEX(DECKS!$F$2:$F$1201,$H38)))</f>
        <v/>
      </c>
      <c r="L38" s="0" t="str">
        <f aca="false">IF($H38="","",IF($A$1="(Todas as cartas)",INDEX(CONSOLIDADO!$D$2:$D$801,$H38),INDEX(DECKS!$D$2:$D$1201,$H38)))</f>
        <v/>
      </c>
      <c r="M38" s="0" t="str">
        <f aca="false">IF($H38="","",IF($A$1="(Todas as cartas)",INDEX(CONSOLIDADO!$C$2:$C$801,$H38),INDEX(DECKS!$E$2:$E$1201,$H38)))</f>
        <v/>
      </c>
    </row>
    <row r="39" customFormat="false" ht="42" hidden="false" customHeight="true" outlineLevel="0" collapsed="false">
      <c r="A39" s="25" t="str">
        <f aca="false">IF($I92="","",$I92&amp;" · "&amp;$J92&amp;CHAR(10)&amp;"Falta "&amp;$K92&amp;" · Tenho "&amp;$M92&amp;" · Nec. "&amp;$L92)</f>
        <v/>
      </c>
      <c r="B39" s="25" t="str">
        <f aca="false">IF($I93="","",$I93&amp;" · "&amp;$J93&amp;CHAR(10)&amp;"Falta "&amp;$K93&amp;" · Tenho "&amp;$M93&amp;" · Nec. "&amp;$L93)</f>
        <v/>
      </c>
      <c r="C39" s="25" t="str">
        <f aca="false">IF($I94="","",$I94&amp;" · "&amp;$J94&amp;CHAR(10)&amp;"Falta "&amp;$K94&amp;" · Tenho "&amp;$M94&amp;" · Nec. "&amp;$L94)</f>
        <v/>
      </c>
      <c r="D39" s="25" t="str">
        <f aca="false">IF($I95="","",$I95&amp;" · "&amp;$J95&amp;CHAR(10)&amp;"Falta "&amp;$K95&amp;" · Tenho "&amp;$M95&amp;" · Nec. "&amp;$L95)</f>
        <v/>
      </c>
      <c r="E39" s="25" t="str">
        <f aca="false">IF($I96="","",$I96&amp;" · "&amp;$J96&amp;CHAR(10)&amp;"Falta "&amp;$K96&amp;" · Tenho "&amp;$M96&amp;" · Nec. "&amp;$L96)</f>
        <v/>
      </c>
      <c r="H39" s="0" t="str">
        <f aca="false">IF($A$1="(Todas as cartas)",IFERROR(MATCH(38,CONSOLIDADO!$AK$2:$AK$801,0),""),IFERROR(MATCH(38,DECKS!$J$2:$J$1201,0),""))</f>
        <v/>
      </c>
      <c r="I39" s="0" t="str">
        <f aca="false">IF($H39="","",IF($A$1="(Todas as cartas)",INDEX(CONSOLIDADO!$A$2:$A$801,$H39),INDEX(DECKS!$B$2:$B$1201,$H39)))</f>
        <v/>
      </c>
      <c r="J39" s="0" t="str">
        <f aca="false">IF($H39="","",IF($A$1="(Todas as cartas)",INDEX(CONSOLIDADO!$B$2:$B$801,$H39),INDEX(DECKS!$C$2:$C$1201,$H39)))</f>
        <v/>
      </c>
      <c r="K39" s="0" t="str">
        <f aca="false">IF($H39="","",IF($A$1="(Todas as cartas)",INDEX(CONSOLIDADO!$E$2:$E$801,$H39),INDEX(DECKS!$F$2:$F$1201,$H39)))</f>
        <v/>
      </c>
      <c r="L39" s="0" t="str">
        <f aca="false">IF($H39="","",IF($A$1="(Todas as cartas)",INDEX(CONSOLIDADO!$D$2:$D$801,$H39),INDEX(DECKS!$D$2:$D$1201,$H39)))</f>
        <v/>
      </c>
      <c r="M39" s="0" t="str">
        <f aca="false">IF($H39="","",IF($A$1="(Todas as cartas)",INDEX(CONSOLIDADO!$C$2:$C$801,$H39),INDEX(DECKS!$E$2:$E$1201,$H39)))</f>
        <v/>
      </c>
    </row>
    <row r="40" customFormat="false" ht="150" hidden="false" customHeight="true" outlineLevel="0" collapsed="false">
      <c r="A40" s="24"/>
      <c r="B40" s="24"/>
      <c r="C40" s="24"/>
      <c r="D40" s="24"/>
      <c r="E40" s="24"/>
      <c r="H40" s="0" t="str">
        <f aca="false">IF($A$1="(Todas as cartas)",IFERROR(MATCH(39,CONSOLIDADO!$AK$2:$AK$801,0),""),IFERROR(MATCH(39,DECKS!$J$2:$J$1201,0),""))</f>
        <v/>
      </c>
      <c r="I40" s="0" t="str">
        <f aca="false">IF($H40="","",IF($A$1="(Todas as cartas)",INDEX(CONSOLIDADO!$A$2:$A$801,$H40),INDEX(DECKS!$B$2:$B$1201,$H40)))</f>
        <v/>
      </c>
      <c r="J40" s="0" t="str">
        <f aca="false">IF($H40="","",IF($A$1="(Todas as cartas)",INDEX(CONSOLIDADO!$B$2:$B$801,$H40),INDEX(DECKS!$C$2:$C$1201,$H40)))</f>
        <v/>
      </c>
      <c r="K40" s="0" t="str">
        <f aca="false">IF($H40="","",IF($A$1="(Todas as cartas)",INDEX(CONSOLIDADO!$E$2:$E$801,$H40),INDEX(DECKS!$F$2:$F$1201,$H40)))</f>
        <v/>
      </c>
      <c r="L40" s="0" t="str">
        <f aca="false">IF($H40="","",IF($A$1="(Todas as cartas)",INDEX(CONSOLIDADO!$D$2:$D$801,$H40),INDEX(DECKS!$D$2:$D$1201,$H40)))</f>
        <v/>
      </c>
      <c r="M40" s="0" t="str">
        <f aca="false">IF($H40="","",IF($A$1="(Todas as cartas)",INDEX(CONSOLIDADO!$C$2:$C$801,$H40),INDEX(DECKS!$E$2:$E$1201,$H40)))</f>
        <v/>
      </c>
    </row>
    <row r="41" customFormat="false" ht="42" hidden="false" customHeight="true" outlineLevel="0" collapsed="false">
      <c r="A41" s="25" t="str">
        <f aca="false">IF($I97="","",$I97&amp;" · "&amp;$J97&amp;CHAR(10)&amp;"Falta "&amp;$K97&amp;" · Tenho "&amp;$M97&amp;" · Nec. "&amp;$L97)</f>
        <v/>
      </c>
      <c r="B41" s="25" t="str">
        <f aca="false">IF($I98="","",$I98&amp;" · "&amp;$J98&amp;CHAR(10)&amp;"Falta "&amp;$K98&amp;" · Tenho "&amp;$M98&amp;" · Nec. "&amp;$L98)</f>
        <v/>
      </c>
      <c r="C41" s="25" t="str">
        <f aca="false">IF($I99="","",$I99&amp;" · "&amp;$J99&amp;CHAR(10)&amp;"Falta "&amp;$K99&amp;" · Tenho "&amp;$M99&amp;" · Nec. "&amp;$L99)</f>
        <v/>
      </c>
      <c r="D41" s="25" t="str">
        <f aca="false">IF($I100="","",$I100&amp;" · "&amp;$J100&amp;CHAR(10)&amp;"Falta "&amp;$K100&amp;" · Tenho "&amp;$M100&amp;" · Nec. "&amp;$L100)</f>
        <v/>
      </c>
      <c r="E41" s="25" t="str">
        <f aca="false">IF($I101="","",$I101&amp;" · "&amp;$J101&amp;CHAR(10)&amp;"Falta "&amp;$K101&amp;" · Tenho "&amp;$M101&amp;" · Nec. "&amp;$L101)</f>
        <v/>
      </c>
      <c r="H41" s="0" t="str">
        <f aca="false">IF($A$1="(Todas as cartas)",IFERROR(MATCH(40,CONSOLIDADO!$AK$2:$AK$801,0),""),IFERROR(MATCH(40,DECKS!$J$2:$J$1201,0),""))</f>
        <v/>
      </c>
      <c r="I41" s="0" t="str">
        <f aca="false">IF($H41="","",IF($A$1="(Todas as cartas)",INDEX(CONSOLIDADO!$A$2:$A$801,$H41),INDEX(DECKS!$B$2:$B$1201,$H41)))</f>
        <v/>
      </c>
      <c r="J41" s="0" t="str">
        <f aca="false">IF($H41="","",IF($A$1="(Todas as cartas)",INDEX(CONSOLIDADO!$B$2:$B$801,$H41),INDEX(DECKS!$C$2:$C$1201,$H41)))</f>
        <v/>
      </c>
      <c r="K41" s="0" t="str">
        <f aca="false">IF($H41="","",IF($A$1="(Todas as cartas)",INDEX(CONSOLIDADO!$E$2:$E$801,$H41),INDEX(DECKS!$F$2:$F$1201,$H41)))</f>
        <v/>
      </c>
      <c r="L41" s="0" t="str">
        <f aca="false">IF($H41="","",IF($A$1="(Todas as cartas)",INDEX(CONSOLIDADO!$D$2:$D$801,$H41),INDEX(DECKS!$D$2:$D$1201,$H41)))</f>
        <v/>
      </c>
      <c r="M41" s="0" t="str">
        <f aca="false">IF($H41="","",IF($A$1="(Todas as cartas)",INDEX(CONSOLIDADO!$C$2:$C$801,$H41),INDEX(DECKS!$E$2:$E$1201,$H41)))</f>
        <v/>
      </c>
    </row>
    <row r="42" customFormat="false" ht="15" hidden="false" customHeight="false" outlineLevel="0" collapsed="false">
      <c r="H42" s="0" t="str">
        <f aca="false">IF($A$1="(Todas as cartas)",IFERROR(MATCH(41,CONSOLIDADO!$AK$2:$AK$801,0),""),IFERROR(MATCH(41,DECKS!$J$2:$J$1201,0),""))</f>
        <v/>
      </c>
      <c r="I42" s="0" t="str">
        <f aca="false">IF($H42="","",IF($A$1="(Todas as cartas)",INDEX(CONSOLIDADO!$A$2:$A$801,$H42),INDEX(DECKS!$B$2:$B$1201,$H42)))</f>
        <v/>
      </c>
      <c r="J42" s="0" t="str">
        <f aca="false">IF($H42="","",IF($A$1="(Todas as cartas)",INDEX(CONSOLIDADO!$B$2:$B$801,$H42),INDEX(DECKS!$C$2:$C$1201,$H42)))</f>
        <v/>
      </c>
      <c r="K42" s="0" t="str">
        <f aca="false">IF($H42="","",IF($A$1="(Todas as cartas)",INDEX(CONSOLIDADO!$E$2:$E$801,$H42),INDEX(DECKS!$F$2:$F$1201,$H42)))</f>
        <v/>
      </c>
      <c r="L42" s="0" t="str">
        <f aca="false">IF($H42="","",IF($A$1="(Todas as cartas)",INDEX(CONSOLIDADO!$D$2:$D$801,$H42),INDEX(DECKS!$D$2:$D$1201,$H42)))</f>
        <v/>
      </c>
      <c r="M42" s="0" t="str">
        <f aca="false">IF($H42="","",IF($A$1="(Todas as cartas)",INDEX(CONSOLIDADO!$C$2:$C$801,$H42),INDEX(DECKS!$E$2:$E$1201,$H42)))</f>
        <v/>
      </c>
    </row>
    <row r="43" customFormat="false" ht="15" hidden="false" customHeight="false" outlineLevel="0" collapsed="false">
      <c r="H43" s="0" t="str">
        <f aca="false">IF($A$1="(Todas as cartas)",IFERROR(MATCH(42,CONSOLIDADO!$AK$2:$AK$801,0),""),IFERROR(MATCH(42,DECKS!$J$2:$J$1201,0),""))</f>
        <v/>
      </c>
      <c r="I43" s="0" t="str">
        <f aca="false">IF($H43="","",IF($A$1="(Todas as cartas)",INDEX(CONSOLIDADO!$A$2:$A$801,$H43),INDEX(DECKS!$B$2:$B$1201,$H43)))</f>
        <v/>
      </c>
      <c r="J43" s="0" t="str">
        <f aca="false">IF($H43="","",IF($A$1="(Todas as cartas)",INDEX(CONSOLIDADO!$B$2:$B$801,$H43),INDEX(DECKS!$C$2:$C$1201,$H43)))</f>
        <v/>
      </c>
      <c r="K43" s="0" t="str">
        <f aca="false">IF($H43="","",IF($A$1="(Todas as cartas)",INDEX(CONSOLIDADO!$E$2:$E$801,$H43),INDEX(DECKS!$F$2:$F$1201,$H43)))</f>
        <v/>
      </c>
      <c r="L43" s="0" t="str">
        <f aca="false">IF($H43="","",IF($A$1="(Todas as cartas)",INDEX(CONSOLIDADO!$D$2:$D$801,$H43),INDEX(DECKS!$D$2:$D$1201,$H43)))</f>
        <v/>
      </c>
      <c r="M43" s="0" t="str">
        <f aca="false">IF($H43="","",IF($A$1="(Todas as cartas)",INDEX(CONSOLIDADO!$C$2:$C$801,$H43),INDEX(DECKS!$E$2:$E$1201,$H43)))</f>
        <v/>
      </c>
    </row>
    <row r="44" customFormat="false" ht="15" hidden="false" customHeight="false" outlineLevel="0" collapsed="false">
      <c r="H44" s="0" t="str">
        <f aca="false">IF($A$1="(Todas as cartas)",IFERROR(MATCH(43,CONSOLIDADO!$AK$2:$AK$801,0),""),IFERROR(MATCH(43,DECKS!$J$2:$J$1201,0),""))</f>
        <v/>
      </c>
      <c r="I44" s="0" t="str">
        <f aca="false">IF($H44="","",IF($A$1="(Todas as cartas)",INDEX(CONSOLIDADO!$A$2:$A$801,$H44),INDEX(DECKS!$B$2:$B$1201,$H44)))</f>
        <v/>
      </c>
      <c r="J44" s="0" t="str">
        <f aca="false">IF($H44="","",IF($A$1="(Todas as cartas)",INDEX(CONSOLIDADO!$B$2:$B$801,$H44),INDEX(DECKS!$C$2:$C$1201,$H44)))</f>
        <v/>
      </c>
      <c r="K44" s="0" t="str">
        <f aca="false">IF($H44="","",IF($A$1="(Todas as cartas)",INDEX(CONSOLIDADO!$E$2:$E$801,$H44),INDEX(DECKS!$F$2:$F$1201,$H44)))</f>
        <v/>
      </c>
      <c r="L44" s="0" t="str">
        <f aca="false">IF($H44="","",IF($A$1="(Todas as cartas)",INDEX(CONSOLIDADO!$D$2:$D$801,$H44),INDEX(DECKS!$D$2:$D$1201,$H44)))</f>
        <v/>
      </c>
      <c r="M44" s="0" t="str">
        <f aca="false">IF($H44="","",IF($A$1="(Todas as cartas)",INDEX(CONSOLIDADO!$C$2:$C$801,$H44),INDEX(DECKS!$E$2:$E$1201,$H44)))</f>
        <v/>
      </c>
    </row>
    <row r="45" customFormat="false" ht="15" hidden="false" customHeight="false" outlineLevel="0" collapsed="false">
      <c r="H45" s="0" t="str">
        <f aca="false">IF($A$1="(Todas as cartas)",IFERROR(MATCH(44,CONSOLIDADO!$AK$2:$AK$801,0),""),IFERROR(MATCH(44,DECKS!$J$2:$J$1201,0),""))</f>
        <v/>
      </c>
      <c r="I45" s="0" t="str">
        <f aca="false">IF($H45="","",IF($A$1="(Todas as cartas)",INDEX(CONSOLIDADO!$A$2:$A$801,$H45),INDEX(DECKS!$B$2:$B$1201,$H45)))</f>
        <v/>
      </c>
      <c r="J45" s="0" t="str">
        <f aca="false">IF($H45="","",IF($A$1="(Todas as cartas)",INDEX(CONSOLIDADO!$B$2:$B$801,$H45),INDEX(DECKS!$C$2:$C$1201,$H45)))</f>
        <v/>
      </c>
      <c r="K45" s="0" t="str">
        <f aca="false">IF($H45="","",IF($A$1="(Todas as cartas)",INDEX(CONSOLIDADO!$E$2:$E$801,$H45),INDEX(DECKS!$F$2:$F$1201,$H45)))</f>
        <v/>
      </c>
      <c r="L45" s="0" t="str">
        <f aca="false">IF($H45="","",IF($A$1="(Todas as cartas)",INDEX(CONSOLIDADO!$D$2:$D$801,$H45),INDEX(DECKS!$D$2:$D$1201,$H45)))</f>
        <v/>
      </c>
      <c r="M45" s="0" t="str">
        <f aca="false">IF($H45="","",IF($A$1="(Todas as cartas)",INDEX(CONSOLIDADO!$C$2:$C$801,$H45),INDEX(DECKS!$E$2:$E$1201,$H45)))</f>
        <v/>
      </c>
    </row>
    <row r="46" customFormat="false" ht="15" hidden="false" customHeight="false" outlineLevel="0" collapsed="false">
      <c r="H46" s="0" t="str">
        <f aca="false">IF($A$1="(Todas as cartas)",IFERROR(MATCH(45,CONSOLIDADO!$AK$2:$AK$801,0),""),IFERROR(MATCH(45,DECKS!$J$2:$J$1201,0),""))</f>
        <v/>
      </c>
      <c r="I46" s="0" t="str">
        <f aca="false">IF($H46="","",IF($A$1="(Todas as cartas)",INDEX(CONSOLIDADO!$A$2:$A$801,$H46),INDEX(DECKS!$B$2:$B$1201,$H46)))</f>
        <v/>
      </c>
      <c r="J46" s="0" t="str">
        <f aca="false">IF($H46="","",IF($A$1="(Todas as cartas)",INDEX(CONSOLIDADO!$B$2:$B$801,$H46),INDEX(DECKS!$C$2:$C$1201,$H46)))</f>
        <v/>
      </c>
      <c r="K46" s="0" t="str">
        <f aca="false">IF($H46="","",IF($A$1="(Todas as cartas)",INDEX(CONSOLIDADO!$E$2:$E$801,$H46),INDEX(DECKS!$F$2:$F$1201,$H46)))</f>
        <v/>
      </c>
      <c r="L46" s="0" t="str">
        <f aca="false">IF($H46="","",IF($A$1="(Todas as cartas)",INDEX(CONSOLIDADO!$D$2:$D$801,$H46),INDEX(DECKS!$D$2:$D$1201,$H46)))</f>
        <v/>
      </c>
      <c r="M46" s="0" t="str">
        <f aca="false">IF($H46="","",IF($A$1="(Todas as cartas)",INDEX(CONSOLIDADO!$C$2:$C$801,$H46),INDEX(DECKS!$E$2:$E$1201,$H46)))</f>
        <v/>
      </c>
    </row>
    <row r="47" customFormat="false" ht="15" hidden="false" customHeight="false" outlineLevel="0" collapsed="false">
      <c r="H47" s="0" t="str">
        <f aca="false">IF($A$1="(Todas as cartas)",IFERROR(MATCH(46,CONSOLIDADO!$AK$2:$AK$801,0),""),IFERROR(MATCH(46,DECKS!$J$2:$J$1201,0),""))</f>
        <v/>
      </c>
      <c r="I47" s="0" t="str">
        <f aca="false">IF($H47="","",IF($A$1="(Todas as cartas)",INDEX(CONSOLIDADO!$A$2:$A$801,$H47),INDEX(DECKS!$B$2:$B$1201,$H47)))</f>
        <v/>
      </c>
      <c r="J47" s="0" t="str">
        <f aca="false">IF($H47="","",IF($A$1="(Todas as cartas)",INDEX(CONSOLIDADO!$B$2:$B$801,$H47),INDEX(DECKS!$C$2:$C$1201,$H47)))</f>
        <v/>
      </c>
      <c r="K47" s="0" t="str">
        <f aca="false">IF($H47="","",IF($A$1="(Todas as cartas)",INDEX(CONSOLIDADO!$E$2:$E$801,$H47),INDEX(DECKS!$F$2:$F$1201,$H47)))</f>
        <v/>
      </c>
      <c r="L47" s="0" t="str">
        <f aca="false">IF($H47="","",IF($A$1="(Todas as cartas)",INDEX(CONSOLIDADO!$D$2:$D$801,$H47),INDEX(DECKS!$D$2:$D$1201,$H47)))</f>
        <v/>
      </c>
      <c r="M47" s="0" t="str">
        <f aca="false">IF($H47="","",IF($A$1="(Todas as cartas)",INDEX(CONSOLIDADO!$C$2:$C$801,$H47),INDEX(DECKS!$E$2:$E$1201,$H47)))</f>
        <v/>
      </c>
    </row>
    <row r="48" customFormat="false" ht="15" hidden="false" customHeight="false" outlineLevel="0" collapsed="false">
      <c r="H48" s="0" t="str">
        <f aca="false">IF($A$1="(Todas as cartas)",IFERROR(MATCH(47,CONSOLIDADO!$AK$2:$AK$801,0),""),IFERROR(MATCH(47,DECKS!$J$2:$J$1201,0),""))</f>
        <v/>
      </c>
      <c r="I48" s="0" t="str">
        <f aca="false">IF($H48="","",IF($A$1="(Todas as cartas)",INDEX(CONSOLIDADO!$A$2:$A$801,$H48),INDEX(DECKS!$B$2:$B$1201,$H48)))</f>
        <v/>
      </c>
      <c r="J48" s="0" t="str">
        <f aca="false">IF($H48="","",IF($A$1="(Todas as cartas)",INDEX(CONSOLIDADO!$B$2:$B$801,$H48),INDEX(DECKS!$C$2:$C$1201,$H48)))</f>
        <v/>
      </c>
      <c r="K48" s="0" t="str">
        <f aca="false">IF($H48="","",IF($A$1="(Todas as cartas)",INDEX(CONSOLIDADO!$E$2:$E$801,$H48),INDEX(DECKS!$F$2:$F$1201,$H48)))</f>
        <v/>
      </c>
      <c r="L48" s="0" t="str">
        <f aca="false">IF($H48="","",IF($A$1="(Todas as cartas)",INDEX(CONSOLIDADO!$D$2:$D$801,$H48),INDEX(DECKS!$D$2:$D$1201,$H48)))</f>
        <v/>
      </c>
      <c r="M48" s="0" t="str">
        <f aca="false">IF($H48="","",IF($A$1="(Todas as cartas)",INDEX(CONSOLIDADO!$C$2:$C$801,$H48),INDEX(DECKS!$E$2:$E$1201,$H48)))</f>
        <v/>
      </c>
    </row>
    <row r="49" customFormat="false" ht="15" hidden="false" customHeight="false" outlineLevel="0" collapsed="false">
      <c r="H49" s="0" t="str">
        <f aca="false">IF($A$1="(Todas as cartas)",IFERROR(MATCH(48,CONSOLIDADO!$AK$2:$AK$801,0),""),IFERROR(MATCH(48,DECKS!$J$2:$J$1201,0),""))</f>
        <v/>
      </c>
      <c r="I49" s="0" t="str">
        <f aca="false">IF($H49="","",IF($A$1="(Todas as cartas)",INDEX(CONSOLIDADO!$A$2:$A$801,$H49),INDEX(DECKS!$B$2:$B$1201,$H49)))</f>
        <v/>
      </c>
      <c r="J49" s="0" t="str">
        <f aca="false">IF($H49="","",IF($A$1="(Todas as cartas)",INDEX(CONSOLIDADO!$B$2:$B$801,$H49),INDEX(DECKS!$C$2:$C$1201,$H49)))</f>
        <v/>
      </c>
      <c r="K49" s="0" t="str">
        <f aca="false">IF($H49="","",IF($A$1="(Todas as cartas)",INDEX(CONSOLIDADO!$E$2:$E$801,$H49),INDEX(DECKS!$F$2:$F$1201,$H49)))</f>
        <v/>
      </c>
      <c r="L49" s="0" t="str">
        <f aca="false">IF($H49="","",IF($A$1="(Todas as cartas)",INDEX(CONSOLIDADO!$D$2:$D$801,$H49),INDEX(DECKS!$D$2:$D$1201,$H49)))</f>
        <v/>
      </c>
      <c r="M49" s="0" t="str">
        <f aca="false">IF($H49="","",IF($A$1="(Todas as cartas)",INDEX(CONSOLIDADO!$C$2:$C$801,$H49),INDEX(DECKS!$E$2:$E$1201,$H49)))</f>
        <v/>
      </c>
    </row>
    <row r="50" customFormat="false" ht="15" hidden="false" customHeight="false" outlineLevel="0" collapsed="false">
      <c r="H50" s="0" t="str">
        <f aca="false">IF($A$1="(Todas as cartas)",IFERROR(MATCH(49,CONSOLIDADO!$AK$2:$AK$801,0),""),IFERROR(MATCH(49,DECKS!$J$2:$J$1201,0),""))</f>
        <v/>
      </c>
      <c r="I50" s="0" t="str">
        <f aca="false">IF($H50="","",IF($A$1="(Todas as cartas)",INDEX(CONSOLIDADO!$A$2:$A$801,$H50),INDEX(DECKS!$B$2:$B$1201,$H50)))</f>
        <v/>
      </c>
      <c r="J50" s="0" t="str">
        <f aca="false">IF($H50="","",IF($A$1="(Todas as cartas)",INDEX(CONSOLIDADO!$B$2:$B$801,$H50),INDEX(DECKS!$C$2:$C$1201,$H50)))</f>
        <v/>
      </c>
      <c r="K50" s="0" t="str">
        <f aca="false">IF($H50="","",IF($A$1="(Todas as cartas)",INDEX(CONSOLIDADO!$E$2:$E$801,$H50),INDEX(DECKS!$F$2:$F$1201,$H50)))</f>
        <v/>
      </c>
      <c r="L50" s="0" t="str">
        <f aca="false">IF($H50="","",IF($A$1="(Todas as cartas)",INDEX(CONSOLIDADO!$D$2:$D$801,$H50),INDEX(DECKS!$D$2:$D$1201,$H50)))</f>
        <v/>
      </c>
      <c r="M50" s="0" t="str">
        <f aca="false">IF($H50="","",IF($A$1="(Todas as cartas)",INDEX(CONSOLIDADO!$C$2:$C$801,$H50),INDEX(DECKS!$E$2:$E$1201,$H50)))</f>
        <v/>
      </c>
    </row>
    <row r="51" customFormat="false" ht="15" hidden="false" customHeight="false" outlineLevel="0" collapsed="false">
      <c r="H51" s="0" t="str">
        <f aca="false">IF($A$1="(Todas as cartas)",IFERROR(MATCH(50,CONSOLIDADO!$AK$2:$AK$801,0),""),IFERROR(MATCH(50,DECKS!$J$2:$J$1201,0),""))</f>
        <v/>
      </c>
      <c r="I51" s="0" t="str">
        <f aca="false">IF($H51="","",IF($A$1="(Todas as cartas)",INDEX(CONSOLIDADO!$A$2:$A$801,$H51),INDEX(DECKS!$B$2:$B$1201,$H51)))</f>
        <v/>
      </c>
      <c r="J51" s="0" t="str">
        <f aca="false">IF($H51="","",IF($A$1="(Todas as cartas)",INDEX(CONSOLIDADO!$B$2:$B$801,$H51),INDEX(DECKS!$C$2:$C$1201,$H51)))</f>
        <v/>
      </c>
      <c r="K51" s="0" t="str">
        <f aca="false">IF($H51="","",IF($A$1="(Todas as cartas)",INDEX(CONSOLIDADO!$E$2:$E$801,$H51),INDEX(DECKS!$F$2:$F$1201,$H51)))</f>
        <v/>
      </c>
      <c r="L51" s="0" t="str">
        <f aca="false">IF($H51="","",IF($A$1="(Todas as cartas)",INDEX(CONSOLIDADO!$D$2:$D$801,$H51),INDEX(DECKS!$D$2:$D$1201,$H51)))</f>
        <v/>
      </c>
      <c r="M51" s="0" t="str">
        <f aca="false">IF($H51="","",IF($A$1="(Todas as cartas)",INDEX(CONSOLIDADO!$C$2:$C$801,$H51),INDEX(DECKS!$E$2:$E$1201,$H51)))</f>
        <v/>
      </c>
    </row>
    <row r="52" customFormat="false" ht="15" hidden="false" customHeight="false" outlineLevel="0" collapsed="false">
      <c r="H52" s="0" t="str">
        <f aca="false">IF($A$1="(Todas as cartas)",IFERROR(MATCH(51,CONSOLIDADO!$AK$2:$AK$801,0),""),IFERROR(MATCH(51,DECKS!$J$2:$J$1201,0),""))</f>
        <v/>
      </c>
      <c r="I52" s="0" t="str">
        <f aca="false">IF($H52="","",IF($A$1="(Todas as cartas)",INDEX(CONSOLIDADO!$A$2:$A$801,$H52),INDEX(DECKS!$B$2:$B$1201,$H52)))</f>
        <v/>
      </c>
      <c r="J52" s="0" t="str">
        <f aca="false">IF($H52="","",IF($A$1="(Todas as cartas)",INDEX(CONSOLIDADO!$B$2:$B$801,$H52),INDEX(DECKS!$C$2:$C$1201,$H52)))</f>
        <v/>
      </c>
      <c r="K52" s="0" t="str">
        <f aca="false">IF($H52="","",IF($A$1="(Todas as cartas)",INDEX(CONSOLIDADO!$E$2:$E$801,$H52),INDEX(DECKS!$F$2:$F$1201,$H52)))</f>
        <v/>
      </c>
      <c r="L52" s="0" t="str">
        <f aca="false">IF($H52="","",IF($A$1="(Todas as cartas)",INDEX(CONSOLIDADO!$D$2:$D$801,$H52),INDEX(DECKS!$D$2:$D$1201,$H52)))</f>
        <v/>
      </c>
      <c r="M52" s="0" t="str">
        <f aca="false">IF($H52="","",IF($A$1="(Todas as cartas)",INDEX(CONSOLIDADO!$C$2:$C$801,$H52),INDEX(DECKS!$E$2:$E$1201,$H52)))</f>
        <v/>
      </c>
    </row>
    <row r="53" customFormat="false" ht="15" hidden="false" customHeight="false" outlineLevel="0" collapsed="false">
      <c r="H53" s="0" t="str">
        <f aca="false">IF($A$1="(Todas as cartas)",IFERROR(MATCH(52,CONSOLIDADO!$AK$2:$AK$801,0),""),IFERROR(MATCH(52,DECKS!$J$2:$J$1201,0),""))</f>
        <v/>
      </c>
      <c r="I53" s="0" t="str">
        <f aca="false">IF($H53="","",IF($A$1="(Todas as cartas)",INDEX(CONSOLIDADO!$A$2:$A$801,$H53),INDEX(DECKS!$B$2:$B$1201,$H53)))</f>
        <v/>
      </c>
      <c r="J53" s="0" t="str">
        <f aca="false">IF($H53="","",IF($A$1="(Todas as cartas)",INDEX(CONSOLIDADO!$B$2:$B$801,$H53),INDEX(DECKS!$C$2:$C$1201,$H53)))</f>
        <v/>
      </c>
      <c r="K53" s="0" t="str">
        <f aca="false">IF($H53="","",IF($A$1="(Todas as cartas)",INDEX(CONSOLIDADO!$E$2:$E$801,$H53),INDEX(DECKS!$F$2:$F$1201,$H53)))</f>
        <v/>
      </c>
      <c r="L53" s="0" t="str">
        <f aca="false">IF($H53="","",IF($A$1="(Todas as cartas)",INDEX(CONSOLIDADO!$D$2:$D$801,$H53),INDEX(DECKS!$D$2:$D$1201,$H53)))</f>
        <v/>
      </c>
      <c r="M53" s="0" t="str">
        <f aca="false">IF($H53="","",IF($A$1="(Todas as cartas)",INDEX(CONSOLIDADO!$C$2:$C$801,$H53),INDEX(DECKS!$E$2:$E$1201,$H53)))</f>
        <v/>
      </c>
    </row>
    <row r="54" customFormat="false" ht="15" hidden="false" customHeight="false" outlineLevel="0" collapsed="false">
      <c r="H54" s="0" t="str">
        <f aca="false">IF($A$1="(Todas as cartas)",IFERROR(MATCH(53,CONSOLIDADO!$AK$2:$AK$801,0),""),IFERROR(MATCH(53,DECKS!$J$2:$J$1201,0),""))</f>
        <v/>
      </c>
      <c r="I54" s="0" t="str">
        <f aca="false">IF($H54="","",IF($A$1="(Todas as cartas)",INDEX(CONSOLIDADO!$A$2:$A$801,$H54),INDEX(DECKS!$B$2:$B$1201,$H54)))</f>
        <v/>
      </c>
      <c r="J54" s="0" t="str">
        <f aca="false">IF($H54="","",IF($A$1="(Todas as cartas)",INDEX(CONSOLIDADO!$B$2:$B$801,$H54),INDEX(DECKS!$C$2:$C$1201,$H54)))</f>
        <v/>
      </c>
      <c r="K54" s="0" t="str">
        <f aca="false">IF($H54="","",IF($A$1="(Todas as cartas)",INDEX(CONSOLIDADO!$E$2:$E$801,$H54),INDEX(DECKS!$F$2:$F$1201,$H54)))</f>
        <v/>
      </c>
      <c r="L54" s="0" t="str">
        <f aca="false">IF($H54="","",IF($A$1="(Todas as cartas)",INDEX(CONSOLIDADO!$D$2:$D$801,$H54),INDEX(DECKS!$D$2:$D$1201,$H54)))</f>
        <v/>
      </c>
      <c r="M54" s="0" t="str">
        <f aca="false">IF($H54="","",IF($A$1="(Todas as cartas)",INDEX(CONSOLIDADO!$C$2:$C$801,$H54),INDEX(DECKS!$E$2:$E$1201,$H54)))</f>
        <v/>
      </c>
    </row>
    <row r="55" customFormat="false" ht="15" hidden="false" customHeight="false" outlineLevel="0" collapsed="false">
      <c r="H55" s="0" t="str">
        <f aca="false">IF($A$1="(Todas as cartas)",IFERROR(MATCH(54,CONSOLIDADO!$AK$2:$AK$801,0),""),IFERROR(MATCH(54,DECKS!$J$2:$J$1201,0),""))</f>
        <v/>
      </c>
      <c r="I55" s="0" t="str">
        <f aca="false">IF($H55="","",IF($A$1="(Todas as cartas)",INDEX(CONSOLIDADO!$A$2:$A$801,$H55),INDEX(DECKS!$B$2:$B$1201,$H55)))</f>
        <v/>
      </c>
      <c r="J55" s="0" t="str">
        <f aca="false">IF($H55="","",IF($A$1="(Todas as cartas)",INDEX(CONSOLIDADO!$B$2:$B$801,$H55),INDEX(DECKS!$C$2:$C$1201,$H55)))</f>
        <v/>
      </c>
      <c r="K55" s="0" t="str">
        <f aca="false">IF($H55="","",IF($A$1="(Todas as cartas)",INDEX(CONSOLIDADO!$E$2:$E$801,$H55),INDEX(DECKS!$F$2:$F$1201,$H55)))</f>
        <v/>
      </c>
      <c r="L55" s="0" t="str">
        <f aca="false">IF($H55="","",IF($A$1="(Todas as cartas)",INDEX(CONSOLIDADO!$D$2:$D$801,$H55),INDEX(DECKS!$D$2:$D$1201,$H55)))</f>
        <v/>
      </c>
      <c r="M55" s="0" t="str">
        <f aca="false">IF($H55="","",IF($A$1="(Todas as cartas)",INDEX(CONSOLIDADO!$C$2:$C$801,$H55),INDEX(DECKS!$E$2:$E$1201,$H55)))</f>
        <v/>
      </c>
    </row>
    <row r="56" customFormat="false" ht="15" hidden="false" customHeight="false" outlineLevel="0" collapsed="false">
      <c r="H56" s="0" t="str">
        <f aca="false">IF($A$1="(Todas as cartas)",IFERROR(MATCH(55,CONSOLIDADO!$AK$2:$AK$801,0),""),IFERROR(MATCH(55,DECKS!$J$2:$J$1201,0),""))</f>
        <v/>
      </c>
      <c r="I56" s="0" t="str">
        <f aca="false">IF($H56="","",IF($A$1="(Todas as cartas)",INDEX(CONSOLIDADO!$A$2:$A$801,$H56),INDEX(DECKS!$B$2:$B$1201,$H56)))</f>
        <v/>
      </c>
      <c r="J56" s="0" t="str">
        <f aca="false">IF($H56="","",IF($A$1="(Todas as cartas)",INDEX(CONSOLIDADO!$B$2:$B$801,$H56),INDEX(DECKS!$C$2:$C$1201,$H56)))</f>
        <v/>
      </c>
      <c r="K56" s="0" t="str">
        <f aca="false">IF($H56="","",IF($A$1="(Todas as cartas)",INDEX(CONSOLIDADO!$E$2:$E$801,$H56),INDEX(DECKS!$F$2:$F$1201,$H56)))</f>
        <v/>
      </c>
      <c r="L56" s="0" t="str">
        <f aca="false">IF($H56="","",IF($A$1="(Todas as cartas)",INDEX(CONSOLIDADO!$D$2:$D$801,$H56),INDEX(DECKS!$D$2:$D$1201,$H56)))</f>
        <v/>
      </c>
      <c r="M56" s="0" t="str">
        <f aca="false">IF($H56="","",IF($A$1="(Todas as cartas)",INDEX(CONSOLIDADO!$C$2:$C$801,$H56),INDEX(DECKS!$E$2:$E$1201,$H56)))</f>
        <v/>
      </c>
    </row>
    <row r="57" customFormat="false" ht="15" hidden="false" customHeight="false" outlineLevel="0" collapsed="false">
      <c r="H57" s="0" t="str">
        <f aca="false">IF($A$1="(Todas as cartas)",IFERROR(MATCH(56,CONSOLIDADO!$AK$2:$AK$801,0),""),IFERROR(MATCH(56,DECKS!$J$2:$J$1201,0),""))</f>
        <v/>
      </c>
      <c r="I57" s="0" t="str">
        <f aca="false">IF($H57="","",IF($A$1="(Todas as cartas)",INDEX(CONSOLIDADO!$A$2:$A$801,$H57),INDEX(DECKS!$B$2:$B$1201,$H57)))</f>
        <v/>
      </c>
      <c r="J57" s="0" t="str">
        <f aca="false">IF($H57="","",IF($A$1="(Todas as cartas)",INDEX(CONSOLIDADO!$B$2:$B$801,$H57),INDEX(DECKS!$C$2:$C$1201,$H57)))</f>
        <v/>
      </c>
      <c r="K57" s="0" t="str">
        <f aca="false">IF($H57="","",IF($A$1="(Todas as cartas)",INDEX(CONSOLIDADO!$E$2:$E$801,$H57),INDEX(DECKS!$F$2:$F$1201,$H57)))</f>
        <v/>
      </c>
      <c r="L57" s="0" t="str">
        <f aca="false">IF($H57="","",IF($A$1="(Todas as cartas)",INDEX(CONSOLIDADO!$D$2:$D$801,$H57),INDEX(DECKS!$D$2:$D$1201,$H57)))</f>
        <v/>
      </c>
      <c r="M57" s="0" t="str">
        <f aca="false">IF($H57="","",IF($A$1="(Todas as cartas)",INDEX(CONSOLIDADO!$C$2:$C$801,$H57),INDEX(DECKS!$E$2:$E$1201,$H57)))</f>
        <v/>
      </c>
    </row>
    <row r="58" customFormat="false" ht="15" hidden="false" customHeight="false" outlineLevel="0" collapsed="false">
      <c r="H58" s="0" t="str">
        <f aca="false">IF($A$1="(Todas as cartas)",IFERROR(MATCH(57,CONSOLIDADO!$AK$2:$AK$801,0),""),IFERROR(MATCH(57,DECKS!$J$2:$J$1201,0),""))</f>
        <v/>
      </c>
      <c r="I58" s="0" t="str">
        <f aca="false">IF($H58="","",IF($A$1="(Todas as cartas)",INDEX(CONSOLIDADO!$A$2:$A$801,$H58),INDEX(DECKS!$B$2:$B$1201,$H58)))</f>
        <v/>
      </c>
      <c r="J58" s="0" t="str">
        <f aca="false">IF($H58="","",IF($A$1="(Todas as cartas)",INDEX(CONSOLIDADO!$B$2:$B$801,$H58),INDEX(DECKS!$C$2:$C$1201,$H58)))</f>
        <v/>
      </c>
      <c r="K58" s="0" t="str">
        <f aca="false">IF($H58="","",IF($A$1="(Todas as cartas)",INDEX(CONSOLIDADO!$E$2:$E$801,$H58),INDEX(DECKS!$F$2:$F$1201,$H58)))</f>
        <v/>
      </c>
      <c r="L58" s="0" t="str">
        <f aca="false">IF($H58="","",IF($A$1="(Todas as cartas)",INDEX(CONSOLIDADO!$D$2:$D$801,$H58),INDEX(DECKS!$D$2:$D$1201,$H58)))</f>
        <v/>
      </c>
      <c r="M58" s="0" t="str">
        <f aca="false">IF($H58="","",IF($A$1="(Todas as cartas)",INDEX(CONSOLIDADO!$C$2:$C$801,$H58),INDEX(DECKS!$E$2:$E$1201,$H58)))</f>
        <v/>
      </c>
    </row>
    <row r="59" customFormat="false" ht="15" hidden="false" customHeight="false" outlineLevel="0" collapsed="false">
      <c r="H59" s="0" t="str">
        <f aca="false">IF($A$1="(Todas as cartas)",IFERROR(MATCH(58,CONSOLIDADO!$AK$2:$AK$801,0),""),IFERROR(MATCH(58,DECKS!$J$2:$J$1201,0),""))</f>
        <v/>
      </c>
      <c r="I59" s="0" t="str">
        <f aca="false">IF($H59="","",IF($A$1="(Todas as cartas)",INDEX(CONSOLIDADO!$A$2:$A$801,$H59),INDEX(DECKS!$B$2:$B$1201,$H59)))</f>
        <v/>
      </c>
      <c r="J59" s="0" t="str">
        <f aca="false">IF($H59="","",IF($A$1="(Todas as cartas)",INDEX(CONSOLIDADO!$B$2:$B$801,$H59),INDEX(DECKS!$C$2:$C$1201,$H59)))</f>
        <v/>
      </c>
      <c r="K59" s="0" t="str">
        <f aca="false">IF($H59="","",IF($A$1="(Todas as cartas)",INDEX(CONSOLIDADO!$E$2:$E$801,$H59),INDEX(DECKS!$F$2:$F$1201,$H59)))</f>
        <v/>
      </c>
      <c r="L59" s="0" t="str">
        <f aca="false">IF($H59="","",IF($A$1="(Todas as cartas)",INDEX(CONSOLIDADO!$D$2:$D$801,$H59),INDEX(DECKS!$D$2:$D$1201,$H59)))</f>
        <v/>
      </c>
      <c r="M59" s="0" t="str">
        <f aca="false">IF($H59="","",IF($A$1="(Todas as cartas)",INDEX(CONSOLIDADO!$C$2:$C$801,$H59),INDEX(DECKS!$E$2:$E$1201,$H59)))</f>
        <v/>
      </c>
    </row>
    <row r="60" customFormat="false" ht="15" hidden="false" customHeight="false" outlineLevel="0" collapsed="false">
      <c r="H60" s="0" t="str">
        <f aca="false">IF($A$1="(Todas as cartas)",IFERROR(MATCH(59,CONSOLIDADO!$AK$2:$AK$801,0),""),IFERROR(MATCH(59,DECKS!$J$2:$J$1201,0),""))</f>
        <v/>
      </c>
      <c r="I60" s="0" t="str">
        <f aca="false">IF($H60="","",IF($A$1="(Todas as cartas)",INDEX(CONSOLIDADO!$A$2:$A$801,$H60),INDEX(DECKS!$B$2:$B$1201,$H60)))</f>
        <v/>
      </c>
      <c r="J60" s="0" t="str">
        <f aca="false">IF($H60="","",IF($A$1="(Todas as cartas)",INDEX(CONSOLIDADO!$B$2:$B$801,$H60),INDEX(DECKS!$C$2:$C$1201,$H60)))</f>
        <v/>
      </c>
      <c r="K60" s="0" t="str">
        <f aca="false">IF($H60="","",IF($A$1="(Todas as cartas)",INDEX(CONSOLIDADO!$E$2:$E$801,$H60),INDEX(DECKS!$F$2:$F$1201,$H60)))</f>
        <v/>
      </c>
      <c r="L60" s="0" t="str">
        <f aca="false">IF($H60="","",IF($A$1="(Todas as cartas)",INDEX(CONSOLIDADO!$D$2:$D$801,$H60),INDEX(DECKS!$D$2:$D$1201,$H60)))</f>
        <v/>
      </c>
      <c r="M60" s="0" t="str">
        <f aca="false">IF($H60="","",IF($A$1="(Todas as cartas)",INDEX(CONSOLIDADO!$C$2:$C$801,$H60),INDEX(DECKS!$E$2:$E$1201,$H60)))</f>
        <v/>
      </c>
    </row>
    <row r="61" customFormat="false" ht="15" hidden="false" customHeight="false" outlineLevel="0" collapsed="false">
      <c r="H61" s="0" t="str">
        <f aca="false">IF($A$1="(Todas as cartas)",IFERROR(MATCH(60,CONSOLIDADO!$AK$2:$AK$801,0),""),IFERROR(MATCH(60,DECKS!$J$2:$J$1201,0),""))</f>
        <v/>
      </c>
      <c r="I61" s="0" t="str">
        <f aca="false">IF($H61="","",IF($A$1="(Todas as cartas)",INDEX(CONSOLIDADO!$A$2:$A$801,$H61),INDEX(DECKS!$B$2:$B$1201,$H61)))</f>
        <v/>
      </c>
      <c r="J61" s="0" t="str">
        <f aca="false">IF($H61="","",IF($A$1="(Todas as cartas)",INDEX(CONSOLIDADO!$B$2:$B$801,$H61),INDEX(DECKS!$C$2:$C$1201,$H61)))</f>
        <v/>
      </c>
      <c r="K61" s="0" t="str">
        <f aca="false">IF($H61="","",IF($A$1="(Todas as cartas)",INDEX(CONSOLIDADO!$E$2:$E$801,$H61),INDEX(DECKS!$F$2:$F$1201,$H61)))</f>
        <v/>
      </c>
      <c r="L61" s="0" t="str">
        <f aca="false">IF($H61="","",IF($A$1="(Todas as cartas)",INDEX(CONSOLIDADO!$D$2:$D$801,$H61),INDEX(DECKS!$D$2:$D$1201,$H61)))</f>
        <v/>
      </c>
      <c r="M61" s="0" t="str">
        <f aca="false">IF($H61="","",IF($A$1="(Todas as cartas)",INDEX(CONSOLIDADO!$C$2:$C$801,$H61),INDEX(DECKS!$E$2:$E$1201,$H61)))</f>
        <v/>
      </c>
    </row>
    <row r="62" customFormat="false" ht="15" hidden="false" customHeight="false" outlineLevel="0" collapsed="false">
      <c r="H62" s="0" t="str">
        <f aca="false">IF($A$1="(Todas as cartas)",IFERROR(MATCH(61,CONSOLIDADO!$AK$2:$AK$801,0),""),IFERROR(MATCH(61,DECKS!$J$2:$J$1201,0),""))</f>
        <v/>
      </c>
      <c r="I62" s="0" t="str">
        <f aca="false">IF($H62="","",IF($A$1="(Todas as cartas)",INDEX(CONSOLIDADO!$A$2:$A$801,$H62),INDEX(DECKS!$B$2:$B$1201,$H62)))</f>
        <v/>
      </c>
      <c r="J62" s="0" t="str">
        <f aca="false">IF($H62="","",IF($A$1="(Todas as cartas)",INDEX(CONSOLIDADO!$B$2:$B$801,$H62),INDEX(DECKS!$C$2:$C$1201,$H62)))</f>
        <v/>
      </c>
      <c r="K62" s="0" t="str">
        <f aca="false">IF($H62="","",IF($A$1="(Todas as cartas)",INDEX(CONSOLIDADO!$E$2:$E$801,$H62),INDEX(DECKS!$F$2:$F$1201,$H62)))</f>
        <v/>
      </c>
      <c r="L62" s="0" t="str">
        <f aca="false">IF($H62="","",IF($A$1="(Todas as cartas)",INDEX(CONSOLIDADO!$D$2:$D$801,$H62),INDEX(DECKS!$D$2:$D$1201,$H62)))</f>
        <v/>
      </c>
      <c r="M62" s="0" t="str">
        <f aca="false">IF($H62="","",IF($A$1="(Todas as cartas)",INDEX(CONSOLIDADO!$C$2:$C$801,$H62),INDEX(DECKS!$E$2:$E$1201,$H62)))</f>
        <v/>
      </c>
    </row>
    <row r="63" customFormat="false" ht="15" hidden="false" customHeight="false" outlineLevel="0" collapsed="false">
      <c r="H63" s="0" t="str">
        <f aca="false">IF($A$1="(Todas as cartas)",IFERROR(MATCH(62,CONSOLIDADO!$AK$2:$AK$801,0),""),IFERROR(MATCH(62,DECKS!$J$2:$J$1201,0),""))</f>
        <v/>
      </c>
      <c r="I63" s="0" t="str">
        <f aca="false">IF($H63="","",IF($A$1="(Todas as cartas)",INDEX(CONSOLIDADO!$A$2:$A$801,$H63),INDEX(DECKS!$B$2:$B$1201,$H63)))</f>
        <v/>
      </c>
      <c r="J63" s="0" t="str">
        <f aca="false">IF($H63="","",IF($A$1="(Todas as cartas)",INDEX(CONSOLIDADO!$B$2:$B$801,$H63),INDEX(DECKS!$C$2:$C$1201,$H63)))</f>
        <v/>
      </c>
      <c r="K63" s="0" t="str">
        <f aca="false">IF($H63="","",IF($A$1="(Todas as cartas)",INDEX(CONSOLIDADO!$E$2:$E$801,$H63),INDEX(DECKS!$F$2:$F$1201,$H63)))</f>
        <v/>
      </c>
      <c r="L63" s="0" t="str">
        <f aca="false">IF($H63="","",IF($A$1="(Todas as cartas)",INDEX(CONSOLIDADO!$D$2:$D$801,$H63),INDEX(DECKS!$D$2:$D$1201,$H63)))</f>
        <v/>
      </c>
      <c r="M63" s="0" t="str">
        <f aca="false">IF($H63="","",IF($A$1="(Todas as cartas)",INDEX(CONSOLIDADO!$C$2:$C$801,$H63),INDEX(DECKS!$E$2:$E$1201,$H63)))</f>
        <v/>
      </c>
    </row>
    <row r="64" customFormat="false" ht="15" hidden="false" customHeight="false" outlineLevel="0" collapsed="false">
      <c r="H64" s="0" t="str">
        <f aca="false">IF($A$1="(Todas as cartas)",IFERROR(MATCH(63,CONSOLIDADO!$AK$2:$AK$801,0),""),IFERROR(MATCH(63,DECKS!$J$2:$J$1201,0),""))</f>
        <v/>
      </c>
      <c r="I64" s="0" t="str">
        <f aca="false">IF($H64="","",IF($A$1="(Todas as cartas)",INDEX(CONSOLIDADO!$A$2:$A$801,$H64),INDEX(DECKS!$B$2:$B$1201,$H64)))</f>
        <v/>
      </c>
      <c r="J64" s="0" t="str">
        <f aca="false">IF($H64="","",IF($A$1="(Todas as cartas)",INDEX(CONSOLIDADO!$B$2:$B$801,$H64),INDEX(DECKS!$C$2:$C$1201,$H64)))</f>
        <v/>
      </c>
      <c r="K64" s="0" t="str">
        <f aca="false">IF($H64="","",IF($A$1="(Todas as cartas)",INDEX(CONSOLIDADO!$E$2:$E$801,$H64),INDEX(DECKS!$F$2:$F$1201,$H64)))</f>
        <v/>
      </c>
      <c r="L64" s="0" t="str">
        <f aca="false">IF($H64="","",IF($A$1="(Todas as cartas)",INDEX(CONSOLIDADO!$D$2:$D$801,$H64),INDEX(DECKS!$D$2:$D$1201,$H64)))</f>
        <v/>
      </c>
      <c r="M64" s="0" t="str">
        <f aca="false">IF($H64="","",IF($A$1="(Todas as cartas)",INDEX(CONSOLIDADO!$C$2:$C$801,$H64),INDEX(DECKS!$E$2:$E$1201,$H64)))</f>
        <v/>
      </c>
    </row>
    <row r="65" customFormat="false" ht="15" hidden="false" customHeight="false" outlineLevel="0" collapsed="false">
      <c r="H65" s="0" t="str">
        <f aca="false">IF($A$1="(Todas as cartas)",IFERROR(MATCH(64,CONSOLIDADO!$AK$2:$AK$801,0),""),IFERROR(MATCH(64,DECKS!$J$2:$J$1201,0),""))</f>
        <v/>
      </c>
      <c r="I65" s="0" t="str">
        <f aca="false">IF($H65="","",IF($A$1="(Todas as cartas)",INDEX(CONSOLIDADO!$A$2:$A$801,$H65),INDEX(DECKS!$B$2:$B$1201,$H65)))</f>
        <v/>
      </c>
      <c r="J65" s="0" t="str">
        <f aca="false">IF($H65="","",IF($A$1="(Todas as cartas)",INDEX(CONSOLIDADO!$B$2:$B$801,$H65),INDEX(DECKS!$C$2:$C$1201,$H65)))</f>
        <v/>
      </c>
      <c r="K65" s="0" t="str">
        <f aca="false">IF($H65="","",IF($A$1="(Todas as cartas)",INDEX(CONSOLIDADO!$E$2:$E$801,$H65),INDEX(DECKS!$F$2:$F$1201,$H65)))</f>
        <v/>
      </c>
      <c r="L65" s="0" t="str">
        <f aca="false">IF($H65="","",IF($A$1="(Todas as cartas)",INDEX(CONSOLIDADO!$D$2:$D$801,$H65),INDEX(DECKS!$D$2:$D$1201,$H65)))</f>
        <v/>
      </c>
      <c r="M65" s="0" t="str">
        <f aca="false">IF($H65="","",IF($A$1="(Todas as cartas)",INDEX(CONSOLIDADO!$C$2:$C$801,$H65),INDEX(DECKS!$E$2:$E$1201,$H65)))</f>
        <v/>
      </c>
    </row>
    <row r="66" customFormat="false" ht="15" hidden="false" customHeight="false" outlineLevel="0" collapsed="false">
      <c r="H66" s="0" t="str">
        <f aca="false">IF($A$1="(Todas as cartas)",IFERROR(MATCH(65,CONSOLIDADO!$AK$2:$AK$801,0),""),IFERROR(MATCH(65,DECKS!$J$2:$J$1201,0),""))</f>
        <v/>
      </c>
      <c r="I66" s="0" t="str">
        <f aca="false">IF($H66="","",IF($A$1="(Todas as cartas)",INDEX(CONSOLIDADO!$A$2:$A$801,$H66),INDEX(DECKS!$B$2:$B$1201,$H66)))</f>
        <v/>
      </c>
      <c r="J66" s="0" t="str">
        <f aca="false">IF($H66="","",IF($A$1="(Todas as cartas)",INDEX(CONSOLIDADO!$B$2:$B$801,$H66),INDEX(DECKS!$C$2:$C$1201,$H66)))</f>
        <v/>
      </c>
      <c r="K66" s="0" t="str">
        <f aca="false">IF($H66="","",IF($A$1="(Todas as cartas)",INDEX(CONSOLIDADO!$E$2:$E$801,$H66),INDEX(DECKS!$F$2:$F$1201,$H66)))</f>
        <v/>
      </c>
      <c r="L66" s="0" t="str">
        <f aca="false">IF($H66="","",IF($A$1="(Todas as cartas)",INDEX(CONSOLIDADO!$D$2:$D$801,$H66),INDEX(DECKS!$D$2:$D$1201,$H66)))</f>
        <v/>
      </c>
      <c r="M66" s="0" t="str">
        <f aca="false">IF($H66="","",IF($A$1="(Todas as cartas)",INDEX(CONSOLIDADO!$C$2:$C$801,$H66),INDEX(DECKS!$E$2:$E$1201,$H66)))</f>
        <v/>
      </c>
    </row>
    <row r="67" customFormat="false" ht="15" hidden="false" customHeight="false" outlineLevel="0" collapsed="false">
      <c r="H67" s="0" t="str">
        <f aca="false">IF($A$1="(Todas as cartas)",IFERROR(MATCH(66,CONSOLIDADO!$AK$2:$AK$801,0),""),IFERROR(MATCH(66,DECKS!$J$2:$J$1201,0),""))</f>
        <v/>
      </c>
      <c r="I67" s="0" t="str">
        <f aca="false">IF($H67="","",IF($A$1="(Todas as cartas)",INDEX(CONSOLIDADO!$A$2:$A$801,$H67),INDEX(DECKS!$B$2:$B$1201,$H67)))</f>
        <v/>
      </c>
      <c r="J67" s="0" t="str">
        <f aca="false">IF($H67="","",IF($A$1="(Todas as cartas)",INDEX(CONSOLIDADO!$B$2:$B$801,$H67),INDEX(DECKS!$C$2:$C$1201,$H67)))</f>
        <v/>
      </c>
      <c r="K67" s="0" t="str">
        <f aca="false">IF($H67="","",IF($A$1="(Todas as cartas)",INDEX(CONSOLIDADO!$E$2:$E$801,$H67),INDEX(DECKS!$F$2:$F$1201,$H67)))</f>
        <v/>
      </c>
      <c r="L67" s="0" t="str">
        <f aca="false">IF($H67="","",IF($A$1="(Todas as cartas)",INDEX(CONSOLIDADO!$D$2:$D$801,$H67),INDEX(DECKS!$D$2:$D$1201,$H67)))</f>
        <v/>
      </c>
      <c r="M67" s="0" t="str">
        <f aca="false">IF($H67="","",IF($A$1="(Todas as cartas)",INDEX(CONSOLIDADO!$C$2:$C$801,$H67),INDEX(DECKS!$E$2:$E$1201,$H67)))</f>
        <v/>
      </c>
    </row>
    <row r="68" customFormat="false" ht="15" hidden="false" customHeight="false" outlineLevel="0" collapsed="false">
      <c r="H68" s="0" t="str">
        <f aca="false">IF($A$1="(Todas as cartas)",IFERROR(MATCH(67,CONSOLIDADO!$AK$2:$AK$801,0),""),IFERROR(MATCH(67,DECKS!$J$2:$J$1201,0),""))</f>
        <v/>
      </c>
      <c r="I68" s="0" t="str">
        <f aca="false">IF($H68="","",IF($A$1="(Todas as cartas)",INDEX(CONSOLIDADO!$A$2:$A$801,$H68),INDEX(DECKS!$B$2:$B$1201,$H68)))</f>
        <v/>
      </c>
      <c r="J68" s="0" t="str">
        <f aca="false">IF($H68="","",IF($A$1="(Todas as cartas)",INDEX(CONSOLIDADO!$B$2:$B$801,$H68),INDEX(DECKS!$C$2:$C$1201,$H68)))</f>
        <v/>
      </c>
      <c r="K68" s="0" t="str">
        <f aca="false">IF($H68="","",IF($A$1="(Todas as cartas)",INDEX(CONSOLIDADO!$E$2:$E$801,$H68),INDEX(DECKS!$F$2:$F$1201,$H68)))</f>
        <v/>
      </c>
      <c r="L68" s="0" t="str">
        <f aca="false">IF($H68="","",IF($A$1="(Todas as cartas)",INDEX(CONSOLIDADO!$D$2:$D$801,$H68),INDEX(DECKS!$D$2:$D$1201,$H68)))</f>
        <v/>
      </c>
      <c r="M68" s="0" t="str">
        <f aca="false">IF($H68="","",IF($A$1="(Todas as cartas)",INDEX(CONSOLIDADO!$C$2:$C$801,$H68),INDEX(DECKS!$E$2:$E$1201,$H68)))</f>
        <v/>
      </c>
    </row>
    <row r="69" customFormat="false" ht="15" hidden="false" customHeight="false" outlineLevel="0" collapsed="false">
      <c r="H69" s="0" t="str">
        <f aca="false">IF($A$1="(Todas as cartas)",IFERROR(MATCH(68,CONSOLIDADO!$AK$2:$AK$801,0),""),IFERROR(MATCH(68,DECKS!$J$2:$J$1201,0),""))</f>
        <v/>
      </c>
      <c r="I69" s="0" t="str">
        <f aca="false">IF($H69="","",IF($A$1="(Todas as cartas)",INDEX(CONSOLIDADO!$A$2:$A$801,$H69),INDEX(DECKS!$B$2:$B$1201,$H69)))</f>
        <v/>
      </c>
      <c r="J69" s="0" t="str">
        <f aca="false">IF($H69="","",IF($A$1="(Todas as cartas)",INDEX(CONSOLIDADO!$B$2:$B$801,$H69),INDEX(DECKS!$C$2:$C$1201,$H69)))</f>
        <v/>
      </c>
      <c r="K69" s="0" t="str">
        <f aca="false">IF($H69="","",IF($A$1="(Todas as cartas)",INDEX(CONSOLIDADO!$E$2:$E$801,$H69),INDEX(DECKS!$F$2:$F$1201,$H69)))</f>
        <v/>
      </c>
      <c r="L69" s="0" t="str">
        <f aca="false">IF($H69="","",IF($A$1="(Todas as cartas)",INDEX(CONSOLIDADO!$D$2:$D$801,$H69),INDEX(DECKS!$D$2:$D$1201,$H69)))</f>
        <v/>
      </c>
      <c r="M69" s="0" t="str">
        <f aca="false">IF($H69="","",IF($A$1="(Todas as cartas)",INDEX(CONSOLIDADO!$C$2:$C$801,$H69),INDEX(DECKS!$E$2:$E$1201,$H69)))</f>
        <v/>
      </c>
    </row>
    <row r="70" customFormat="false" ht="15" hidden="false" customHeight="false" outlineLevel="0" collapsed="false">
      <c r="H70" s="0" t="str">
        <f aca="false">IF($A$1="(Todas as cartas)",IFERROR(MATCH(69,CONSOLIDADO!$AK$2:$AK$801,0),""),IFERROR(MATCH(69,DECKS!$J$2:$J$1201,0),""))</f>
        <v/>
      </c>
      <c r="I70" s="0" t="str">
        <f aca="false">IF($H70="","",IF($A$1="(Todas as cartas)",INDEX(CONSOLIDADO!$A$2:$A$801,$H70),INDEX(DECKS!$B$2:$B$1201,$H70)))</f>
        <v/>
      </c>
      <c r="J70" s="0" t="str">
        <f aca="false">IF($H70="","",IF($A$1="(Todas as cartas)",INDEX(CONSOLIDADO!$B$2:$B$801,$H70),INDEX(DECKS!$C$2:$C$1201,$H70)))</f>
        <v/>
      </c>
      <c r="K70" s="0" t="str">
        <f aca="false">IF($H70="","",IF($A$1="(Todas as cartas)",INDEX(CONSOLIDADO!$E$2:$E$801,$H70),INDEX(DECKS!$F$2:$F$1201,$H70)))</f>
        <v/>
      </c>
      <c r="L70" s="0" t="str">
        <f aca="false">IF($H70="","",IF($A$1="(Todas as cartas)",INDEX(CONSOLIDADO!$D$2:$D$801,$H70),INDEX(DECKS!$D$2:$D$1201,$H70)))</f>
        <v/>
      </c>
      <c r="M70" s="0" t="str">
        <f aca="false">IF($H70="","",IF($A$1="(Todas as cartas)",INDEX(CONSOLIDADO!$C$2:$C$801,$H70),INDEX(DECKS!$E$2:$E$1201,$H70)))</f>
        <v/>
      </c>
    </row>
    <row r="71" customFormat="false" ht="15" hidden="false" customHeight="false" outlineLevel="0" collapsed="false">
      <c r="H71" s="0" t="str">
        <f aca="false">IF($A$1="(Todas as cartas)",IFERROR(MATCH(70,CONSOLIDADO!$AK$2:$AK$801,0),""),IFERROR(MATCH(70,DECKS!$J$2:$J$1201,0),""))</f>
        <v/>
      </c>
      <c r="I71" s="0" t="str">
        <f aca="false">IF($H71="","",IF($A$1="(Todas as cartas)",INDEX(CONSOLIDADO!$A$2:$A$801,$H71),INDEX(DECKS!$B$2:$B$1201,$H71)))</f>
        <v/>
      </c>
      <c r="J71" s="0" t="str">
        <f aca="false">IF($H71="","",IF($A$1="(Todas as cartas)",INDEX(CONSOLIDADO!$B$2:$B$801,$H71),INDEX(DECKS!$C$2:$C$1201,$H71)))</f>
        <v/>
      </c>
      <c r="K71" s="0" t="str">
        <f aca="false">IF($H71="","",IF($A$1="(Todas as cartas)",INDEX(CONSOLIDADO!$E$2:$E$801,$H71),INDEX(DECKS!$F$2:$F$1201,$H71)))</f>
        <v/>
      </c>
      <c r="L71" s="0" t="str">
        <f aca="false">IF($H71="","",IF($A$1="(Todas as cartas)",INDEX(CONSOLIDADO!$D$2:$D$801,$H71),INDEX(DECKS!$D$2:$D$1201,$H71)))</f>
        <v/>
      </c>
      <c r="M71" s="0" t="str">
        <f aca="false">IF($H71="","",IF($A$1="(Todas as cartas)",INDEX(CONSOLIDADO!$C$2:$C$801,$H71),INDEX(DECKS!$E$2:$E$1201,$H71)))</f>
        <v/>
      </c>
    </row>
    <row r="72" customFormat="false" ht="15" hidden="false" customHeight="false" outlineLevel="0" collapsed="false">
      <c r="H72" s="0" t="str">
        <f aca="false">IF($A$1="(Todas as cartas)",IFERROR(MATCH(71,CONSOLIDADO!$AK$2:$AK$801,0),""),IFERROR(MATCH(71,DECKS!$J$2:$J$1201,0),""))</f>
        <v/>
      </c>
      <c r="I72" s="0" t="str">
        <f aca="false">IF($H72="","",IF($A$1="(Todas as cartas)",INDEX(CONSOLIDADO!$A$2:$A$801,$H72),INDEX(DECKS!$B$2:$B$1201,$H72)))</f>
        <v/>
      </c>
      <c r="J72" s="0" t="str">
        <f aca="false">IF($H72="","",IF($A$1="(Todas as cartas)",INDEX(CONSOLIDADO!$B$2:$B$801,$H72),INDEX(DECKS!$C$2:$C$1201,$H72)))</f>
        <v/>
      </c>
      <c r="K72" s="0" t="str">
        <f aca="false">IF($H72="","",IF($A$1="(Todas as cartas)",INDEX(CONSOLIDADO!$E$2:$E$801,$H72),INDEX(DECKS!$F$2:$F$1201,$H72)))</f>
        <v/>
      </c>
      <c r="L72" s="0" t="str">
        <f aca="false">IF($H72="","",IF($A$1="(Todas as cartas)",INDEX(CONSOLIDADO!$D$2:$D$801,$H72),INDEX(DECKS!$D$2:$D$1201,$H72)))</f>
        <v/>
      </c>
      <c r="M72" s="0" t="str">
        <f aca="false">IF($H72="","",IF($A$1="(Todas as cartas)",INDEX(CONSOLIDADO!$C$2:$C$801,$H72),INDEX(DECKS!$E$2:$E$1201,$H72)))</f>
        <v/>
      </c>
    </row>
    <row r="73" customFormat="false" ht="15" hidden="false" customHeight="false" outlineLevel="0" collapsed="false">
      <c r="H73" s="0" t="str">
        <f aca="false">IF($A$1="(Todas as cartas)",IFERROR(MATCH(72,CONSOLIDADO!$AK$2:$AK$801,0),""),IFERROR(MATCH(72,DECKS!$J$2:$J$1201,0),""))</f>
        <v/>
      </c>
      <c r="I73" s="0" t="str">
        <f aca="false">IF($H73="","",IF($A$1="(Todas as cartas)",INDEX(CONSOLIDADO!$A$2:$A$801,$H73),INDEX(DECKS!$B$2:$B$1201,$H73)))</f>
        <v/>
      </c>
      <c r="J73" s="0" t="str">
        <f aca="false">IF($H73="","",IF($A$1="(Todas as cartas)",INDEX(CONSOLIDADO!$B$2:$B$801,$H73),INDEX(DECKS!$C$2:$C$1201,$H73)))</f>
        <v/>
      </c>
      <c r="K73" s="0" t="str">
        <f aca="false">IF($H73="","",IF($A$1="(Todas as cartas)",INDEX(CONSOLIDADO!$E$2:$E$801,$H73),INDEX(DECKS!$F$2:$F$1201,$H73)))</f>
        <v/>
      </c>
      <c r="L73" s="0" t="str">
        <f aca="false">IF($H73="","",IF($A$1="(Todas as cartas)",INDEX(CONSOLIDADO!$D$2:$D$801,$H73),INDEX(DECKS!$D$2:$D$1201,$H73)))</f>
        <v/>
      </c>
      <c r="M73" s="0" t="str">
        <f aca="false">IF($H73="","",IF($A$1="(Todas as cartas)",INDEX(CONSOLIDADO!$C$2:$C$801,$H73),INDEX(DECKS!$E$2:$E$1201,$H73)))</f>
        <v/>
      </c>
    </row>
    <row r="74" customFormat="false" ht="15" hidden="false" customHeight="false" outlineLevel="0" collapsed="false">
      <c r="H74" s="0" t="str">
        <f aca="false">IF($A$1="(Todas as cartas)",IFERROR(MATCH(73,CONSOLIDADO!$AK$2:$AK$801,0),""),IFERROR(MATCH(73,DECKS!$J$2:$J$1201,0),""))</f>
        <v/>
      </c>
      <c r="I74" s="0" t="str">
        <f aca="false">IF($H74="","",IF($A$1="(Todas as cartas)",INDEX(CONSOLIDADO!$A$2:$A$801,$H74),INDEX(DECKS!$B$2:$B$1201,$H74)))</f>
        <v/>
      </c>
      <c r="J74" s="0" t="str">
        <f aca="false">IF($H74="","",IF($A$1="(Todas as cartas)",INDEX(CONSOLIDADO!$B$2:$B$801,$H74),INDEX(DECKS!$C$2:$C$1201,$H74)))</f>
        <v/>
      </c>
      <c r="K74" s="0" t="str">
        <f aca="false">IF($H74="","",IF($A$1="(Todas as cartas)",INDEX(CONSOLIDADO!$E$2:$E$801,$H74),INDEX(DECKS!$F$2:$F$1201,$H74)))</f>
        <v/>
      </c>
      <c r="L74" s="0" t="str">
        <f aca="false">IF($H74="","",IF($A$1="(Todas as cartas)",INDEX(CONSOLIDADO!$D$2:$D$801,$H74),INDEX(DECKS!$D$2:$D$1201,$H74)))</f>
        <v/>
      </c>
      <c r="M74" s="0" t="str">
        <f aca="false">IF($H74="","",IF($A$1="(Todas as cartas)",INDEX(CONSOLIDADO!$C$2:$C$801,$H74),INDEX(DECKS!$E$2:$E$1201,$H74)))</f>
        <v/>
      </c>
    </row>
    <row r="75" customFormat="false" ht="15" hidden="false" customHeight="false" outlineLevel="0" collapsed="false">
      <c r="H75" s="0" t="str">
        <f aca="false">IF($A$1="(Todas as cartas)",IFERROR(MATCH(74,CONSOLIDADO!$AK$2:$AK$801,0),""),IFERROR(MATCH(74,DECKS!$J$2:$J$1201,0),""))</f>
        <v/>
      </c>
      <c r="I75" s="0" t="str">
        <f aca="false">IF($H75="","",IF($A$1="(Todas as cartas)",INDEX(CONSOLIDADO!$A$2:$A$801,$H75),INDEX(DECKS!$B$2:$B$1201,$H75)))</f>
        <v/>
      </c>
      <c r="J75" s="0" t="str">
        <f aca="false">IF($H75="","",IF($A$1="(Todas as cartas)",INDEX(CONSOLIDADO!$B$2:$B$801,$H75),INDEX(DECKS!$C$2:$C$1201,$H75)))</f>
        <v/>
      </c>
      <c r="K75" s="0" t="str">
        <f aca="false">IF($H75="","",IF($A$1="(Todas as cartas)",INDEX(CONSOLIDADO!$E$2:$E$801,$H75),INDEX(DECKS!$F$2:$F$1201,$H75)))</f>
        <v/>
      </c>
      <c r="L75" s="0" t="str">
        <f aca="false">IF($H75="","",IF($A$1="(Todas as cartas)",INDEX(CONSOLIDADO!$D$2:$D$801,$H75),INDEX(DECKS!$D$2:$D$1201,$H75)))</f>
        <v/>
      </c>
      <c r="M75" s="0" t="str">
        <f aca="false">IF($H75="","",IF($A$1="(Todas as cartas)",INDEX(CONSOLIDADO!$C$2:$C$801,$H75),INDEX(DECKS!$E$2:$E$1201,$H75)))</f>
        <v/>
      </c>
    </row>
    <row r="76" customFormat="false" ht="15" hidden="false" customHeight="false" outlineLevel="0" collapsed="false">
      <c r="H76" s="0" t="str">
        <f aca="false">IF($A$1="(Todas as cartas)",IFERROR(MATCH(75,CONSOLIDADO!$AK$2:$AK$801,0),""),IFERROR(MATCH(75,DECKS!$J$2:$J$1201,0),""))</f>
        <v/>
      </c>
      <c r="I76" s="0" t="str">
        <f aca="false">IF($H76="","",IF($A$1="(Todas as cartas)",INDEX(CONSOLIDADO!$A$2:$A$801,$H76),INDEX(DECKS!$B$2:$B$1201,$H76)))</f>
        <v/>
      </c>
      <c r="J76" s="0" t="str">
        <f aca="false">IF($H76="","",IF($A$1="(Todas as cartas)",INDEX(CONSOLIDADO!$B$2:$B$801,$H76),INDEX(DECKS!$C$2:$C$1201,$H76)))</f>
        <v/>
      </c>
      <c r="K76" s="0" t="str">
        <f aca="false">IF($H76="","",IF($A$1="(Todas as cartas)",INDEX(CONSOLIDADO!$E$2:$E$801,$H76),INDEX(DECKS!$F$2:$F$1201,$H76)))</f>
        <v/>
      </c>
      <c r="L76" s="0" t="str">
        <f aca="false">IF($H76="","",IF($A$1="(Todas as cartas)",INDEX(CONSOLIDADO!$D$2:$D$801,$H76),INDEX(DECKS!$D$2:$D$1201,$H76)))</f>
        <v/>
      </c>
      <c r="M76" s="0" t="str">
        <f aca="false">IF($H76="","",IF($A$1="(Todas as cartas)",INDEX(CONSOLIDADO!$C$2:$C$801,$H76),INDEX(DECKS!$E$2:$E$1201,$H76)))</f>
        <v/>
      </c>
    </row>
    <row r="77" customFormat="false" ht="15" hidden="false" customHeight="false" outlineLevel="0" collapsed="false">
      <c r="H77" s="0" t="str">
        <f aca="false">IF($A$1="(Todas as cartas)",IFERROR(MATCH(76,CONSOLIDADO!$AK$2:$AK$801,0),""),IFERROR(MATCH(76,DECKS!$J$2:$J$1201,0),""))</f>
        <v/>
      </c>
      <c r="I77" s="0" t="str">
        <f aca="false">IF($H77="","",IF($A$1="(Todas as cartas)",INDEX(CONSOLIDADO!$A$2:$A$801,$H77),INDEX(DECKS!$B$2:$B$1201,$H77)))</f>
        <v/>
      </c>
      <c r="J77" s="0" t="str">
        <f aca="false">IF($H77="","",IF($A$1="(Todas as cartas)",INDEX(CONSOLIDADO!$B$2:$B$801,$H77),INDEX(DECKS!$C$2:$C$1201,$H77)))</f>
        <v/>
      </c>
      <c r="K77" s="0" t="str">
        <f aca="false">IF($H77="","",IF($A$1="(Todas as cartas)",INDEX(CONSOLIDADO!$E$2:$E$801,$H77),INDEX(DECKS!$F$2:$F$1201,$H77)))</f>
        <v/>
      </c>
      <c r="L77" s="0" t="str">
        <f aca="false">IF($H77="","",IF($A$1="(Todas as cartas)",INDEX(CONSOLIDADO!$D$2:$D$801,$H77),INDEX(DECKS!$D$2:$D$1201,$H77)))</f>
        <v/>
      </c>
      <c r="M77" s="0" t="str">
        <f aca="false">IF($H77="","",IF($A$1="(Todas as cartas)",INDEX(CONSOLIDADO!$C$2:$C$801,$H77),INDEX(DECKS!$E$2:$E$1201,$H77)))</f>
        <v/>
      </c>
    </row>
    <row r="78" customFormat="false" ht="15" hidden="false" customHeight="false" outlineLevel="0" collapsed="false">
      <c r="H78" s="0" t="str">
        <f aca="false">IF($A$1="(Todas as cartas)",IFERROR(MATCH(77,CONSOLIDADO!$AK$2:$AK$801,0),""),IFERROR(MATCH(77,DECKS!$J$2:$J$1201,0),""))</f>
        <v/>
      </c>
      <c r="I78" s="0" t="str">
        <f aca="false">IF($H78="","",IF($A$1="(Todas as cartas)",INDEX(CONSOLIDADO!$A$2:$A$801,$H78),INDEX(DECKS!$B$2:$B$1201,$H78)))</f>
        <v/>
      </c>
      <c r="J78" s="0" t="str">
        <f aca="false">IF($H78="","",IF($A$1="(Todas as cartas)",INDEX(CONSOLIDADO!$B$2:$B$801,$H78),INDEX(DECKS!$C$2:$C$1201,$H78)))</f>
        <v/>
      </c>
      <c r="K78" s="0" t="str">
        <f aca="false">IF($H78="","",IF($A$1="(Todas as cartas)",INDEX(CONSOLIDADO!$E$2:$E$801,$H78),INDEX(DECKS!$F$2:$F$1201,$H78)))</f>
        <v/>
      </c>
      <c r="L78" s="0" t="str">
        <f aca="false">IF($H78="","",IF($A$1="(Todas as cartas)",INDEX(CONSOLIDADO!$D$2:$D$801,$H78),INDEX(DECKS!$D$2:$D$1201,$H78)))</f>
        <v/>
      </c>
      <c r="M78" s="0" t="str">
        <f aca="false">IF($H78="","",IF($A$1="(Todas as cartas)",INDEX(CONSOLIDADO!$C$2:$C$801,$H78),INDEX(DECKS!$E$2:$E$1201,$H78)))</f>
        <v/>
      </c>
    </row>
    <row r="79" customFormat="false" ht="15" hidden="false" customHeight="false" outlineLevel="0" collapsed="false">
      <c r="H79" s="0" t="str">
        <f aca="false">IF($A$1="(Todas as cartas)",IFERROR(MATCH(78,CONSOLIDADO!$AK$2:$AK$801,0),""),IFERROR(MATCH(78,DECKS!$J$2:$J$1201,0),""))</f>
        <v/>
      </c>
      <c r="I79" s="0" t="str">
        <f aca="false">IF($H79="","",IF($A$1="(Todas as cartas)",INDEX(CONSOLIDADO!$A$2:$A$801,$H79),INDEX(DECKS!$B$2:$B$1201,$H79)))</f>
        <v/>
      </c>
      <c r="J79" s="0" t="str">
        <f aca="false">IF($H79="","",IF($A$1="(Todas as cartas)",INDEX(CONSOLIDADO!$B$2:$B$801,$H79),INDEX(DECKS!$C$2:$C$1201,$H79)))</f>
        <v/>
      </c>
      <c r="K79" s="0" t="str">
        <f aca="false">IF($H79="","",IF($A$1="(Todas as cartas)",INDEX(CONSOLIDADO!$E$2:$E$801,$H79),INDEX(DECKS!$F$2:$F$1201,$H79)))</f>
        <v/>
      </c>
      <c r="L79" s="0" t="str">
        <f aca="false">IF($H79="","",IF($A$1="(Todas as cartas)",INDEX(CONSOLIDADO!$D$2:$D$801,$H79),INDEX(DECKS!$D$2:$D$1201,$H79)))</f>
        <v/>
      </c>
      <c r="M79" s="0" t="str">
        <f aca="false">IF($H79="","",IF($A$1="(Todas as cartas)",INDEX(CONSOLIDADO!$C$2:$C$801,$H79),INDEX(DECKS!$E$2:$E$1201,$H79)))</f>
        <v/>
      </c>
    </row>
    <row r="80" customFormat="false" ht="15" hidden="false" customHeight="false" outlineLevel="0" collapsed="false">
      <c r="H80" s="0" t="str">
        <f aca="false">IF($A$1="(Todas as cartas)",IFERROR(MATCH(79,CONSOLIDADO!$AK$2:$AK$801,0),""),IFERROR(MATCH(79,DECKS!$J$2:$J$1201,0),""))</f>
        <v/>
      </c>
      <c r="I80" s="0" t="str">
        <f aca="false">IF($H80="","",IF($A$1="(Todas as cartas)",INDEX(CONSOLIDADO!$A$2:$A$801,$H80),INDEX(DECKS!$B$2:$B$1201,$H80)))</f>
        <v/>
      </c>
      <c r="J80" s="0" t="str">
        <f aca="false">IF($H80="","",IF($A$1="(Todas as cartas)",INDEX(CONSOLIDADO!$B$2:$B$801,$H80),INDEX(DECKS!$C$2:$C$1201,$H80)))</f>
        <v/>
      </c>
      <c r="K80" s="0" t="str">
        <f aca="false">IF($H80="","",IF($A$1="(Todas as cartas)",INDEX(CONSOLIDADO!$E$2:$E$801,$H80),INDEX(DECKS!$F$2:$F$1201,$H80)))</f>
        <v/>
      </c>
      <c r="L80" s="0" t="str">
        <f aca="false">IF($H80="","",IF($A$1="(Todas as cartas)",INDEX(CONSOLIDADO!$D$2:$D$801,$H80),INDEX(DECKS!$D$2:$D$1201,$H80)))</f>
        <v/>
      </c>
      <c r="M80" s="0" t="str">
        <f aca="false">IF($H80="","",IF($A$1="(Todas as cartas)",INDEX(CONSOLIDADO!$C$2:$C$801,$H80),INDEX(DECKS!$E$2:$E$1201,$H80)))</f>
        <v/>
      </c>
    </row>
    <row r="81" customFormat="false" ht="15" hidden="false" customHeight="false" outlineLevel="0" collapsed="false">
      <c r="H81" s="0" t="str">
        <f aca="false">IF($A$1="(Todas as cartas)",IFERROR(MATCH(80,CONSOLIDADO!$AK$2:$AK$801,0),""),IFERROR(MATCH(80,DECKS!$J$2:$J$1201,0),""))</f>
        <v/>
      </c>
      <c r="I81" s="0" t="str">
        <f aca="false">IF($H81="","",IF($A$1="(Todas as cartas)",INDEX(CONSOLIDADO!$A$2:$A$801,$H81),INDEX(DECKS!$B$2:$B$1201,$H81)))</f>
        <v/>
      </c>
      <c r="J81" s="0" t="str">
        <f aca="false">IF($H81="","",IF($A$1="(Todas as cartas)",INDEX(CONSOLIDADO!$B$2:$B$801,$H81),INDEX(DECKS!$C$2:$C$1201,$H81)))</f>
        <v/>
      </c>
      <c r="K81" s="0" t="str">
        <f aca="false">IF($H81="","",IF($A$1="(Todas as cartas)",INDEX(CONSOLIDADO!$E$2:$E$801,$H81),INDEX(DECKS!$F$2:$F$1201,$H81)))</f>
        <v/>
      </c>
      <c r="L81" s="0" t="str">
        <f aca="false">IF($H81="","",IF($A$1="(Todas as cartas)",INDEX(CONSOLIDADO!$D$2:$D$801,$H81),INDEX(DECKS!$D$2:$D$1201,$H81)))</f>
        <v/>
      </c>
      <c r="M81" s="0" t="str">
        <f aca="false">IF($H81="","",IF($A$1="(Todas as cartas)",INDEX(CONSOLIDADO!$C$2:$C$801,$H81),INDEX(DECKS!$E$2:$E$1201,$H81)))</f>
        <v/>
      </c>
    </row>
    <row r="82" customFormat="false" ht="15" hidden="false" customHeight="false" outlineLevel="0" collapsed="false">
      <c r="H82" s="0" t="str">
        <f aca="false">IF($A$1="(Todas as cartas)",IFERROR(MATCH(81,CONSOLIDADO!$AK$2:$AK$801,0),""),IFERROR(MATCH(81,DECKS!$J$2:$J$1201,0),""))</f>
        <v/>
      </c>
      <c r="I82" s="0" t="str">
        <f aca="false">IF($H82="","",IF($A$1="(Todas as cartas)",INDEX(CONSOLIDADO!$A$2:$A$801,$H82),INDEX(DECKS!$B$2:$B$1201,$H82)))</f>
        <v/>
      </c>
      <c r="J82" s="0" t="str">
        <f aca="false">IF($H82="","",IF($A$1="(Todas as cartas)",INDEX(CONSOLIDADO!$B$2:$B$801,$H82),INDEX(DECKS!$C$2:$C$1201,$H82)))</f>
        <v/>
      </c>
      <c r="K82" s="0" t="str">
        <f aca="false">IF($H82="","",IF($A$1="(Todas as cartas)",INDEX(CONSOLIDADO!$E$2:$E$801,$H82),INDEX(DECKS!$F$2:$F$1201,$H82)))</f>
        <v/>
      </c>
      <c r="L82" s="0" t="str">
        <f aca="false">IF($H82="","",IF($A$1="(Todas as cartas)",INDEX(CONSOLIDADO!$D$2:$D$801,$H82),INDEX(DECKS!$D$2:$D$1201,$H82)))</f>
        <v/>
      </c>
      <c r="M82" s="0" t="str">
        <f aca="false">IF($H82="","",IF($A$1="(Todas as cartas)",INDEX(CONSOLIDADO!$C$2:$C$801,$H82),INDEX(DECKS!$E$2:$E$1201,$H82)))</f>
        <v/>
      </c>
    </row>
    <row r="83" customFormat="false" ht="15" hidden="false" customHeight="false" outlineLevel="0" collapsed="false">
      <c r="H83" s="0" t="str">
        <f aca="false">IF($A$1="(Todas as cartas)",IFERROR(MATCH(82,CONSOLIDADO!$AK$2:$AK$801,0),""),IFERROR(MATCH(82,DECKS!$J$2:$J$1201,0),""))</f>
        <v/>
      </c>
      <c r="I83" s="0" t="str">
        <f aca="false">IF($H83="","",IF($A$1="(Todas as cartas)",INDEX(CONSOLIDADO!$A$2:$A$801,$H83),INDEX(DECKS!$B$2:$B$1201,$H83)))</f>
        <v/>
      </c>
      <c r="J83" s="0" t="str">
        <f aca="false">IF($H83="","",IF($A$1="(Todas as cartas)",INDEX(CONSOLIDADO!$B$2:$B$801,$H83),INDEX(DECKS!$C$2:$C$1201,$H83)))</f>
        <v/>
      </c>
      <c r="K83" s="0" t="str">
        <f aca="false">IF($H83="","",IF($A$1="(Todas as cartas)",INDEX(CONSOLIDADO!$E$2:$E$801,$H83),INDEX(DECKS!$F$2:$F$1201,$H83)))</f>
        <v/>
      </c>
      <c r="L83" s="0" t="str">
        <f aca="false">IF($H83="","",IF($A$1="(Todas as cartas)",INDEX(CONSOLIDADO!$D$2:$D$801,$H83),INDEX(DECKS!$D$2:$D$1201,$H83)))</f>
        <v/>
      </c>
      <c r="M83" s="0" t="str">
        <f aca="false">IF($H83="","",IF($A$1="(Todas as cartas)",INDEX(CONSOLIDADO!$C$2:$C$801,$H83),INDEX(DECKS!$E$2:$E$1201,$H83)))</f>
        <v/>
      </c>
    </row>
    <row r="84" customFormat="false" ht="15" hidden="false" customHeight="false" outlineLevel="0" collapsed="false">
      <c r="H84" s="0" t="str">
        <f aca="false">IF($A$1="(Todas as cartas)",IFERROR(MATCH(83,CONSOLIDADO!$AK$2:$AK$801,0),""),IFERROR(MATCH(83,DECKS!$J$2:$J$1201,0),""))</f>
        <v/>
      </c>
      <c r="I84" s="0" t="str">
        <f aca="false">IF($H84="","",IF($A$1="(Todas as cartas)",INDEX(CONSOLIDADO!$A$2:$A$801,$H84),INDEX(DECKS!$B$2:$B$1201,$H84)))</f>
        <v/>
      </c>
      <c r="J84" s="0" t="str">
        <f aca="false">IF($H84="","",IF($A$1="(Todas as cartas)",INDEX(CONSOLIDADO!$B$2:$B$801,$H84),INDEX(DECKS!$C$2:$C$1201,$H84)))</f>
        <v/>
      </c>
      <c r="K84" s="0" t="str">
        <f aca="false">IF($H84="","",IF($A$1="(Todas as cartas)",INDEX(CONSOLIDADO!$E$2:$E$801,$H84),INDEX(DECKS!$F$2:$F$1201,$H84)))</f>
        <v/>
      </c>
      <c r="L84" s="0" t="str">
        <f aca="false">IF($H84="","",IF($A$1="(Todas as cartas)",INDEX(CONSOLIDADO!$D$2:$D$801,$H84),INDEX(DECKS!$D$2:$D$1201,$H84)))</f>
        <v/>
      </c>
      <c r="M84" s="0" t="str">
        <f aca="false">IF($H84="","",IF($A$1="(Todas as cartas)",INDEX(CONSOLIDADO!$C$2:$C$801,$H84),INDEX(DECKS!$E$2:$E$1201,$H84)))</f>
        <v/>
      </c>
    </row>
    <row r="85" customFormat="false" ht="15" hidden="false" customHeight="false" outlineLevel="0" collapsed="false">
      <c r="H85" s="0" t="str">
        <f aca="false">IF($A$1="(Todas as cartas)",IFERROR(MATCH(84,CONSOLIDADO!$AK$2:$AK$801,0),""),IFERROR(MATCH(84,DECKS!$J$2:$J$1201,0),""))</f>
        <v/>
      </c>
      <c r="I85" s="0" t="str">
        <f aca="false">IF($H85="","",IF($A$1="(Todas as cartas)",INDEX(CONSOLIDADO!$A$2:$A$801,$H85),INDEX(DECKS!$B$2:$B$1201,$H85)))</f>
        <v/>
      </c>
      <c r="J85" s="0" t="str">
        <f aca="false">IF($H85="","",IF($A$1="(Todas as cartas)",INDEX(CONSOLIDADO!$B$2:$B$801,$H85),INDEX(DECKS!$C$2:$C$1201,$H85)))</f>
        <v/>
      </c>
      <c r="K85" s="0" t="str">
        <f aca="false">IF($H85="","",IF($A$1="(Todas as cartas)",INDEX(CONSOLIDADO!$E$2:$E$801,$H85),INDEX(DECKS!$F$2:$F$1201,$H85)))</f>
        <v/>
      </c>
      <c r="L85" s="0" t="str">
        <f aca="false">IF($H85="","",IF($A$1="(Todas as cartas)",INDEX(CONSOLIDADO!$D$2:$D$801,$H85),INDEX(DECKS!$D$2:$D$1201,$H85)))</f>
        <v/>
      </c>
      <c r="M85" s="0" t="str">
        <f aca="false">IF($H85="","",IF($A$1="(Todas as cartas)",INDEX(CONSOLIDADO!$C$2:$C$801,$H85),INDEX(DECKS!$E$2:$E$1201,$H85)))</f>
        <v/>
      </c>
    </row>
    <row r="86" customFormat="false" ht="15" hidden="false" customHeight="false" outlineLevel="0" collapsed="false">
      <c r="H86" s="0" t="str">
        <f aca="false">IF($A$1="(Todas as cartas)",IFERROR(MATCH(85,CONSOLIDADO!$AK$2:$AK$801,0),""),IFERROR(MATCH(85,DECKS!$J$2:$J$1201,0),""))</f>
        <v/>
      </c>
      <c r="I86" s="0" t="str">
        <f aca="false">IF($H86="","",IF($A$1="(Todas as cartas)",INDEX(CONSOLIDADO!$A$2:$A$801,$H86),INDEX(DECKS!$B$2:$B$1201,$H86)))</f>
        <v/>
      </c>
      <c r="J86" s="0" t="str">
        <f aca="false">IF($H86="","",IF($A$1="(Todas as cartas)",INDEX(CONSOLIDADO!$B$2:$B$801,$H86),INDEX(DECKS!$C$2:$C$1201,$H86)))</f>
        <v/>
      </c>
      <c r="K86" s="0" t="str">
        <f aca="false">IF($H86="","",IF($A$1="(Todas as cartas)",INDEX(CONSOLIDADO!$E$2:$E$801,$H86),INDEX(DECKS!$F$2:$F$1201,$H86)))</f>
        <v/>
      </c>
      <c r="L86" s="0" t="str">
        <f aca="false">IF($H86="","",IF($A$1="(Todas as cartas)",INDEX(CONSOLIDADO!$D$2:$D$801,$H86),INDEX(DECKS!$D$2:$D$1201,$H86)))</f>
        <v/>
      </c>
      <c r="M86" s="0" t="str">
        <f aca="false">IF($H86="","",IF($A$1="(Todas as cartas)",INDEX(CONSOLIDADO!$C$2:$C$801,$H86),INDEX(DECKS!$E$2:$E$1201,$H86)))</f>
        <v/>
      </c>
    </row>
    <row r="87" customFormat="false" ht="15" hidden="false" customHeight="false" outlineLevel="0" collapsed="false">
      <c r="H87" s="0" t="str">
        <f aca="false">IF($A$1="(Todas as cartas)",IFERROR(MATCH(86,CONSOLIDADO!$AK$2:$AK$801,0),""),IFERROR(MATCH(86,DECKS!$J$2:$J$1201,0),""))</f>
        <v/>
      </c>
      <c r="I87" s="0" t="str">
        <f aca="false">IF($H87="","",IF($A$1="(Todas as cartas)",INDEX(CONSOLIDADO!$A$2:$A$801,$H87),INDEX(DECKS!$B$2:$B$1201,$H87)))</f>
        <v/>
      </c>
      <c r="J87" s="0" t="str">
        <f aca="false">IF($H87="","",IF($A$1="(Todas as cartas)",INDEX(CONSOLIDADO!$B$2:$B$801,$H87),INDEX(DECKS!$C$2:$C$1201,$H87)))</f>
        <v/>
      </c>
      <c r="K87" s="0" t="str">
        <f aca="false">IF($H87="","",IF($A$1="(Todas as cartas)",INDEX(CONSOLIDADO!$E$2:$E$801,$H87),INDEX(DECKS!$F$2:$F$1201,$H87)))</f>
        <v/>
      </c>
      <c r="L87" s="0" t="str">
        <f aca="false">IF($H87="","",IF($A$1="(Todas as cartas)",INDEX(CONSOLIDADO!$D$2:$D$801,$H87),INDEX(DECKS!$D$2:$D$1201,$H87)))</f>
        <v/>
      </c>
      <c r="M87" s="0" t="str">
        <f aca="false">IF($H87="","",IF($A$1="(Todas as cartas)",INDEX(CONSOLIDADO!$C$2:$C$801,$H87),INDEX(DECKS!$E$2:$E$1201,$H87)))</f>
        <v/>
      </c>
    </row>
    <row r="88" customFormat="false" ht="15" hidden="false" customHeight="false" outlineLevel="0" collapsed="false">
      <c r="H88" s="0" t="str">
        <f aca="false">IF($A$1="(Todas as cartas)",IFERROR(MATCH(87,CONSOLIDADO!$AK$2:$AK$801,0),""),IFERROR(MATCH(87,DECKS!$J$2:$J$1201,0),""))</f>
        <v/>
      </c>
      <c r="I88" s="0" t="str">
        <f aca="false">IF($H88="","",IF($A$1="(Todas as cartas)",INDEX(CONSOLIDADO!$A$2:$A$801,$H88),INDEX(DECKS!$B$2:$B$1201,$H88)))</f>
        <v/>
      </c>
      <c r="J88" s="0" t="str">
        <f aca="false">IF($H88="","",IF($A$1="(Todas as cartas)",INDEX(CONSOLIDADO!$B$2:$B$801,$H88),INDEX(DECKS!$C$2:$C$1201,$H88)))</f>
        <v/>
      </c>
      <c r="K88" s="0" t="str">
        <f aca="false">IF($H88="","",IF($A$1="(Todas as cartas)",INDEX(CONSOLIDADO!$E$2:$E$801,$H88),INDEX(DECKS!$F$2:$F$1201,$H88)))</f>
        <v/>
      </c>
      <c r="L88" s="0" t="str">
        <f aca="false">IF($H88="","",IF($A$1="(Todas as cartas)",INDEX(CONSOLIDADO!$D$2:$D$801,$H88),INDEX(DECKS!$D$2:$D$1201,$H88)))</f>
        <v/>
      </c>
      <c r="M88" s="0" t="str">
        <f aca="false">IF($H88="","",IF($A$1="(Todas as cartas)",INDEX(CONSOLIDADO!$C$2:$C$801,$H88),INDEX(DECKS!$E$2:$E$1201,$H88)))</f>
        <v/>
      </c>
    </row>
    <row r="89" customFormat="false" ht="15" hidden="false" customHeight="false" outlineLevel="0" collapsed="false">
      <c r="H89" s="0" t="str">
        <f aca="false">IF($A$1="(Todas as cartas)",IFERROR(MATCH(88,CONSOLIDADO!$AK$2:$AK$801,0),""),IFERROR(MATCH(88,DECKS!$J$2:$J$1201,0),""))</f>
        <v/>
      </c>
      <c r="I89" s="0" t="str">
        <f aca="false">IF($H89="","",IF($A$1="(Todas as cartas)",INDEX(CONSOLIDADO!$A$2:$A$801,$H89),INDEX(DECKS!$B$2:$B$1201,$H89)))</f>
        <v/>
      </c>
      <c r="J89" s="0" t="str">
        <f aca="false">IF($H89="","",IF($A$1="(Todas as cartas)",INDEX(CONSOLIDADO!$B$2:$B$801,$H89),INDEX(DECKS!$C$2:$C$1201,$H89)))</f>
        <v/>
      </c>
      <c r="K89" s="0" t="str">
        <f aca="false">IF($H89="","",IF($A$1="(Todas as cartas)",INDEX(CONSOLIDADO!$E$2:$E$801,$H89),INDEX(DECKS!$F$2:$F$1201,$H89)))</f>
        <v/>
      </c>
      <c r="L89" s="0" t="str">
        <f aca="false">IF($H89="","",IF($A$1="(Todas as cartas)",INDEX(CONSOLIDADO!$D$2:$D$801,$H89),INDEX(DECKS!$D$2:$D$1201,$H89)))</f>
        <v/>
      </c>
      <c r="M89" s="0" t="str">
        <f aca="false">IF($H89="","",IF($A$1="(Todas as cartas)",INDEX(CONSOLIDADO!$C$2:$C$801,$H89),INDEX(DECKS!$E$2:$E$1201,$H89)))</f>
        <v/>
      </c>
    </row>
    <row r="90" customFormat="false" ht="15" hidden="false" customHeight="false" outlineLevel="0" collapsed="false">
      <c r="H90" s="0" t="str">
        <f aca="false">IF($A$1="(Todas as cartas)",IFERROR(MATCH(89,CONSOLIDADO!$AK$2:$AK$801,0),""),IFERROR(MATCH(89,DECKS!$J$2:$J$1201,0),""))</f>
        <v/>
      </c>
      <c r="I90" s="0" t="str">
        <f aca="false">IF($H90="","",IF($A$1="(Todas as cartas)",INDEX(CONSOLIDADO!$A$2:$A$801,$H90),INDEX(DECKS!$B$2:$B$1201,$H90)))</f>
        <v/>
      </c>
      <c r="J90" s="0" t="str">
        <f aca="false">IF($H90="","",IF($A$1="(Todas as cartas)",INDEX(CONSOLIDADO!$B$2:$B$801,$H90),INDEX(DECKS!$C$2:$C$1201,$H90)))</f>
        <v/>
      </c>
      <c r="K90" s="0" t="str">
        <f aca="false">IF($H90="","",IF($A$1="(Todas as cartas)",INDEX(CONSOLIDADO!$E$2:$E$801,$H90),INDEX(DECKS!$F$2:$F$1201,$H90)))</f>
        <v/>
      </c>
      <c r="L90" s="0" t="str">
        <f aca="false">IF($H90="","",IF($A$1="(Todas as cartas)",INDEX(CONSOLIDADO!$D$2:$D$801,$H90),INDEX(DECKS!$D$2:$D$1201,$H90)))</f>
        <v/>
      </c>
      <c r="M90" s="0" t="str">
        <f aca="false">IF($H90="","",IF($A$1="(Todas as cartas)",INDEX(CONSOLIDADO!$C$2:$C$801,$H90),INDEX(DECKS!$E$2:$E$1201,$H90)))</f>
        <v/>
      </c>
    </row>
    <row r="91" customFormat="false" ht="15" hidden="false" customHeight="false" outlineLevel="0" collapsed="false">
      <c r="H91" s="0" t="str">
        <f aca="false">IF($A$1="(Todas as cartas)",IFERROR(MATCH(90,CONSOLIDADO!$AK$2:$AK$801,0),""),IFERROR(MATCH(90,DECKS!$J$2:$J$1201,0),""))</f>
        <v/>
      </c>
      <c r="I91" s="0" t="str">
        <f aca="false">IF($H91="","",IF($A$1="(Todas as cartas)",INDEX(CONSOLIDADO!$A$2:$A$801,$H91),INDEX(DECKS!$B$2:$B$1201,$H91)))</f>
        <v/>
      </c>
      <c r="J91" s="0" t="str">
        <f aca="false">IF($H91="","",IF($A$1="(Todas as cartas)",INDEX(CONSOLIDADO!$B$2:$B$801,$H91),INDEX(DECKS!$C$2:$C$1201,$H91)))</f>
        <v/>
      </c>
      <c r="K91" s="0" t="str">
        <f aca="false">IF($H91="","",IF($A$1="(Todas as cartas)",INDEX(CONSOLIDADO!$E$2:$E$801,$H91),INDEX(DECKS!$F$2:$F$1201,$H91)))</f>
        <v/>
      </c>
      <c r="L91" s="0" t="str">
        <f aca="false">IF($H91="","",IF($A$1="(Todas as cartas)",INDEX(CONSOLIDADO!$D$2:$D$801,$H91),INDEX(DECKS!$D$2:$D$1201,$H91)))</f>
        <v/>
      </c>
      <c r="M91" s="0" t="str">
        <f aca="false">IF($H91="","",IF($A$1="(Todas as cartas)",INDEX(CONSOLIDADO!$C$2:$C$801,$H91),INDEX(DECKS!$E$2:$E$1201,$H91)))</f>
        <v/>
      </c>
    </row>
    <row r="92" customFormat="false" ht="15" hidden="false" customHeight="false" outlineLevel="0" collapsed="false">
      <c r="H92" s="0" t="str">
        <f aca="false">IF($A$1="(Todas as cartas)",IFERROR(MATCH(91,CONSOLIDADO!$AK$2:$AK$801,0),""),IFERROR(MATCH(91,DECKS!$J$2:$J$1201,0),""))</f>
        <v/>
      </c>
      <c r="I92" s="0" t="str">
        <f aca="false">IF($H92="","",IF($A$1="(Todas as cartas)",INDEX(CONSOLIDADO!$A$2:$A$801,$H92),INDEX(DECKS!$B$2:$B$1201,$H92)))</f>
        <v/>
      </c>
      <c r="J92" s="0" t="str">
        <f aca="false">IF($H92="","",IF($A$1="(Todas as cartas)",INDEX(CONSOLIDADO!$B$2:$B$801,$H92),INDEX(DECKS!$C$2:$C$1201,$H92)))</f>
        <v/>
      </c>
      <c r="K92" s="0" t="str">
        <f aca="false">IF($H92="","",IF($A$1="(Todas as cartas)",INDEX(CONSOLIDADO!$E$2:$E$801,$H92),INDEX(DECKS!$F$2:$F$1201,$H92)))</f>
        <v/>
      </c>
      <c r="L92" s="0" t="str">
        <f aca="false">IF($H92="","",IF($A$1="(Todas as cartas)",INDEX(CONSOLIDADO!$D$2:$D$801,$H92),INDEX(DECKS!$D$2:$D$1201,$H92)))</f>
        <v/>
      </c>
      <c r="M92" s="0" t="str">
        <f aca="false">IF($H92="","",IF($A$1="(Todas as cartas)",INDEX(CONSOLIDADO!$C$2:$C$801,$H92),INDEX(DECKS!$E$2:$E$1201,$H92)))</f>
        <v/>
      </c>
    </row>
    <row r="93" customFormat="false" ht="15" hidden="false" customHeight="false" outlineLevel="0" collapsed="false">
      <c r="H93" s="0" t="str">
        <f aca="false">IF($A$1="(Todas as cartas)",IFERROR(MATCH(92,CONSOLIDADO!$AK$2:$AK$801,0),""),IFERROR(MATCH(92,DECKS!$J$2:$J$1201,0),""))</f>
        <v/>
      </c>
      <c r="I93" s="0" t="str">
        <f aca="false">IF($H93="","",IF($A$1="(Todas as cartas)",INDEX(CONSOLIDADO!$A$2:$A$801,$H93),INDEX(DECKS!$B$2:$B$1201,$H93)))</f>
        <v/>
      </c>
      <c r="J93" s="0" t="str">
        <f aca="false">IF($H93="","",IF($A$1="(Todas as cartas)",INDEX(CONSOLIDADO!$B$2:$B$801,$H93),INDEX(DECKS!$C$2:$C$1201,$H93)))</f>
        <v/>
      </c>
      <c r="K93" s="0" t="str">
        <f aca="false">IF($H93="","",IF($A$1="(Todas as cartas)",INDEX(CONSOLIDADO!$E$2:$E$801,$H93),INDEX(DECKS!$F$2:$F$1201,$H93)))</f>
        <v/>
      </c>
      <c r="L93" s="0" t="str">
        <f aca="false">IF($H93="","",IF($A$1="(Todas as cartas)",INDEX(CONSOLIDADO!$D$2:$D$801,$H93),INDEX(DECKS!$D$2:$D$1201,$H93)))</f>
        <v/>
      </c>
      <c r="M93" s="0" t="str">
        <f aca="false">IF($H93="","",IF($A$1="(Todas as cartas)",INDEX(CONSOLIDADO!$C$2:$C$801,$H93),INDEX(DECKS!$E$2:$E$1201,$H93)))</f>
        <v/>
      </c>
    </row>
    <row r="94" customFormat="false" ht="15" hidden="false" customHeight="false" outlineLevel="0" collapsed="false">
      <c r="H94" s="0" t="str">
        <f aca="false">IF($A$1="(Todas as cartas)",IFERROR(MATCH(93,CONSOLIDADO!$AK$2:$AK$801,0),""),IFERROR(MATCH(93,DECKS!$J$2:$J$1201,0),""))</f>
        <v/>
      </c>
      <c r="I94" s="0" t="str">
        <f aca="false">IF($H94="","",IF($A$1="(Todas as cartas)",INDEX(CONSOLIDADO!$A$2:$A$801,$H94),INDEX(DECKS!$B$2:$B$1201,$H94)))</f>
        <v/>
      </c>
      <c r="J94" s="0" t="str">
        <f aca="false">IF($H94="","",IF($A$1="(Todas as cartas)",INDEX(CONSOLIDADO!$B$2:$B$801,$H94),INDEX(DECKS!$C$2:$C$1201,$H94)))</f>
        <v/>
      </c>
      <c r="K94" s="0" t="str">
        <f aca="false">IF($H94="","",IF($A$1="(Todas as cartas)",INDEX(CONSOLIDADO!$E$2:$E$801,$H94),INDEX(DECKS!$F$2:$F$1201,$H94)))</f>
        <v/>
      </c>
      <c r="L94" s="0" t="str">
        <f aca="false">IF($H94="","",IF($A$1="(Todas as cartas)",INDEX(CONSOLIDADO!$D$2:$D$801,$H94),INDEX(DECKS!$D$2:$D$1201,$H94)))</f>
        <v/>
      </c>
      <c r="M94" s="0" t="str">
        <f aca="false">IF($H94="","",IF($A$1="(Todas as cartas)",INDEX(CONSOLIDADO!$C$2:$C$801,$H94),INDEX(DECKS!$E$2:$E$1201,$H94)))</f>
        <v/>
      </c>
    </row>
    <row r="95" customFormat="false" ht="15" hidden="false" customHeight="false" outlineLevel="0" collapsed="false">
      <c r="H95" s="0" t="str">
        <f aca="false">IF($A$1="(Todas as cartas)",IFERROR(MATCH(94,CONSOLIDADO!$AK$2:$AK$801,0),""),IFERROR(MATCH(94,DECKS!$J$2:$J$1201,0),""))</f>
        <v/>
      </c>
      <c r="I95" s="0" t="str">
        <f aca="false">IF($H95="","",IF($A$1="(Todas as cartas)",INDEX(CONSOLIDADO!$A$2:$A$801,$H95),INDEX(DECKS!$B$2:$B$1201,$H95)))</f>
        <v/>
      </c>
      <c r="J95" s="0" t="str">
        <f aca="false">IF($H95="","",IF($A$1="(Todas as cartas)",INDEX(CONSOLIDADO!$B$2:$B$801,$H95),INDEX(DECKS!$C$2:$C$1201,$H95)))</f>
        <v/>
      </c>
      <c r="K95" s="0" t="str">
        <f aca="false">IF($H95="","",IF($A$1="(Todas as cartas)",INDEX(CONSOLIDADO!$E$2:$E$801,$H95),INDEX(DECKS!$F$2:$F$1201,$H95)))</f>
        <v/>
      </c>
      <c r="L95" s="0" t="str">
        <f aca="false">IF($H95="","",IF($A$1="(Todas as cartas)",INDEX(CONSOLIDADO!$D$2:$D$801,$H95),INDEX(DECKS!$D$2:$D$1201,$H95)))</f>
        <v/>
      </c>
      <c r="M95" s="0" t="str">
        <f aca="false">IF($H95="","",IF($A$1="(Todas as cartas)",INDEX(CONSOLIDADO!$C$2:$C$801,$H95),INDEX(DECKS!$E$2:$E$1201,$H95)))</f>
        <v/>
      </c>
    </row>
    <row r="96" customFormat="false" ht="15" hidden="false" customHeight="false" outlineLevel="0" collapsed="false">
      <c r="H96" s="0" t="str">
        <f aca="false">IF($A$1="(Todas as cartas)",IFERROR(MATCH(95,CONSOLIDADO!$AK$2:$AK$801,0),""),IFERROR(MATCH(95,DECKS!$J$2:$J$1201,0),""))</f>
        <v/>
      </c>
      <c r="I96" s="0" t="str">
        <f aca="false">IF($H96="","",IF($A$1="(Todas as cartas)",INDEX(CONSOLIDADO!$A$2:$A$801,$H96),INDEX(DECKS!$B$2:$B$1201,$H96)))</f>
        <v/>
      </c>
      <c r="J96" s="0" t="str">
        <f aca="false">IF($H96="","",IF($A$1="(Todas as cartas)",INDEX(CONSOLIDADO!$B$2:$B$801,$H96),INDEX(DECKS!$C$2:$C$1201,$H96)))</f>
        <v/>
      </c>
      <c r="K96" s="0" t="str">
        <f aca="false">IF($H96="","",IF($A$1="(Todas as cartas)",INDEX(CONSOLIDADO!$E$2:$E$801,$H96),INDEX(DECKS!$F$2:$F$1201,$H96)))</f>
        <v/>
      </c>
      <c r="L96" s="0" t="str">
        <f aca="false">IF($H96="","",IF($A$1="(Todas as cartas)",INDEX(CONSOLIDADO!$D$2:$D$801,$H96),INDEX(DECKS!$D$2:$D$1201,$H96)))</f>
        <v/>
      </c>
      <c r="M96" s="0" t="str">
        <f aca="false">IF($H96="","",IF($A$1="(Todas as cartas)",INDEX(CONSOLIDADO!$C$2:$C$801,$H96),INDEX(DECKS!$E$2:$E$1201,$H96)))</f>
        <v/>
      </c>
    </row>
    <row r="97" customFormat="false" ht="15" hidden="false" customHeight="false" outlineLevel="0" collapsed="false">
      <c r="H97" s="0" t="str">
        <f aca="false">IF($A$1="(Todas as cartas)",IFERROR(MATCH(96,CONSOLIDADO!$AK$2:$AK$801,0),""),IFERROR(MATCH(96,DECKS!$J$2:$J$1201,0),""))</f>
        <v/>
      </c>
      <c r="I97" s="0" t="str">
        <f aca="false">IF($H97="","",IF($A$1="(Todas as cartas)",INDEX(CONSOLIDADO!$A$2:$A$801,$H97),INDEX(DECKS!$B$2:$B$1201,$H97)))</f>
        <v/>
      </c>
      <c r="J97" s="0" t="str">
        <f aca="false">IF($H97="","",IF($A$1="(Todas as cartas)",INDEX(CONSOLIDADO!$B$2:$B$801,$H97),INDEX(DECKS!$C$2:$C$1201,$H97)))</f>
        <v/>
      </c>
      <c r="K97" s="0" t="str">
        <f aca="false">IF($H97="","",IF($A$1="(Todas as cartas)",INDEX(CONSOLIDADO!$E$2:$E$801,$H97),INDEX(DECKS!$F$2:$F$1201,$H97)))</f>
        <v/>
      </c>
      <c r="L97" s="0" t="str">
        <f aca="false">IF($H97="","",IF($A$1="(Todas as cartas)",INDEX(CONSOLIDADO!$D$2:$D$801,$H97),INDEX(DECKS!$D$2:$D$1201,$H97)))</f>
        <v/>
      </c>
      <c r="M97" s="0" t="str">
        <f aca="false">IF($H97="","",IF($A$1="(Todas as cartas)",INDEX(CONSOLIDADO!$C$2:$C$801,$H97),INDEX(DECKS!$E$2:$E$1201,$H97)))</f>
        <v/>
      </c>
    </row>
    <row r="98" customFormat="false" ht="15" hidden="false" customHeight="false" outlineLevel="0" collapsed="false">
      <c r="H98" s="0" t="str">
        <f aca="false">IF($A$1="(Todas as cartas)",IFERROR(MATCH(97,CONSOLIDADO!$AK$2:$AK$801,0),""),IFERROR(MATCH(97,DECKS!$J$2:$J$1201,0),""))</f>
        <v/>
      </c>
      <c r="I98" s="0" t="str">
        <f aca="false">IF($H98="","",IF($A$1="(Todas as cartas)",INDEX(CONSOLIDADO!$A$2:$A$801,$H98),INDEX(DECKS!$B$2:$B$1201,$H98)))</f>
        <v/>
      </c>
      <c r="J98" s="0" t="str">
        <f aca="false">IF($H98="","",IF($A$1="(Todas as cartas)",INDEX(CONSOLIDADO!$B$2:$B$801,$H98),INDEX(DECKS!$C$2:$C$1201,$H98)))</f>
        <v/>
      </c>
      <c r="K98" s="0" t="str">
        <f aca="false">IF($H98="","",IF($A$1="(Todas as cartas)",INDEX(CONSOLIDADO!$E$2:$E$801,$H98),INDEX(DECKS!$F$2:$F$1201,$H98)))</f>
        <v/>
      </c>
      <c r="L98" s="0" t="str">
        <f aca="false">IF($H98="","",IF($A$1="(Todas as cartas)",INDEX(CONSOLIDADO!$D$2:$D$801,$H98),INDEX(DECKS!$D$2:$D$1201,$H98)))</f>
        <v/>
      </c>
      <c r="M98" s="0" t="str">
        <f aca="false">IF($H98="","",IF($A$1="(Todas as cartas)",INDEX(CONSOLIDADO!$C$2:$C$801,$H98),INDEX(DECKS!$E$2:$E$1201,$H98)))</f>
        <v/>
      </c>
    </row>
    <row r="99" customFormat="false" ht="15" hidden="false" customHeight="false" outlineLevel="0" collapsed="false">
      <c r="H99" s="0" t="str">
        <f aca="false">IF($A$1="(Todas as cartas)",IFERROR(MATCH(98,CONSOLIDADO!$AK$2:$AK$801,0),""),IFERROR(MATCH(98,DECKS!$J$2:$J$1201,0),""))</f>
        <v/>
      </c>
      <c r="I99" s="0" t="str">
        <f aca="false">IF($H99="","",IF($A$1="(Todas as cartas)",INDEX(CONSOLIDADO!$A$2:$A$801,$H99),INDEX(DECKS!$B$2:$B$1201,$H99)))</f>
        <v/>
      </c>
      <c r="J99" s="0" t="str">
        <f aca="false">IF($H99="","",IF($A$1="(Todas as cartas)",INDEX(CONSOLIDADO!$B$2:$B$801,$H99),INDEX(DECKS!$C$2:$C$1201,$H99)))</f>
        <v/>
      </c>
      <c r="K99" s="0" t="str">
        <f aca="false">IF($H99="","",IF($A$1="(Todas as cartas)",INDEX(CONSOLIDADO!$E$2:$E$801,$H99),INDEX(DECKS!$F$2:$F$1201,$H99)))</f>
        <v/>
      </c>
      <c r="L99" s="0" t="str">
        <f aca="false">IF($H99="","",IF($A$1="(Todas as cartas)",INDEX(CONSOLIDADO!$D$2:$D$801,$H99),INDEX(DECKS!$D$2:$D$1201,$H99)))</f>
        <v/>
      </c>
      <c r="M99" s="0" t="str">
        <f aca="false">IF($H99="","",IF($A$1="(Todas as cartas)",INDEX(CONSOLIDADO!$C$2:$C$801,$H99),INDEX(DECKS!$E$2:$E$1201,$H99)))</f>
        <v/>
      </c>
    </row>
    <row r="100" customFormat="false" ht="15" hidden="false" customHeight="false" outlineLevel="0" collapsed="false">
      <c r="H100" s="0" t="str">
        <f aca="false">IF($A$1="(Todas as cartas)",IFERROR(MATCH(99,CONSOLIDADO!$AK$2:$AK$801,0),""),IFERROR(MATCH(99,DECKS!$J$2:$J$1201,0),""))</f>
        <v/>
      </c>
      <c r="I100" s="0" t="str">
        <f aca="false">IF($H100="","",IF($A$1="(Todas as cartas)",INDEX(CONSOLIDADO!$A$2:$A$801,$H100),INDEX(DECKS!$B$2:$B$1201,$H100)))</f>
        <v/>
      </c>
      <c r="J100" s="0" t="str">
        <f aca="false">IF($H100="","",IF($A$1="(Todas as cartas)",INDEX(CONSOLIDADO!$B$2:$B$801,$H100),INDEX(DECKS!$C$2:$C$1201,$H100)))</f>
        <v/>
      </c>
      <c r="K100" s="0" t="str">
        <f aca="false">IF($H100="","",IF($A$1="(Todas as cartas)",INDEX(CONSOLIDADO!$E$2:$E$801,$H100),INDEX(DECKS!$F$2:$F$1201,$H100)))</f>
        <v/>
      </c>
      <c r="L100" s="0" t="str">
        <f aca="false">IF($H100="","",IF($A$1="(Todas as cartas)",INDEX(CONSOLIDADO!$D$2:$D$801,$H100),INDEX(DECKS!$D$2:$D$1201,$H100)))</f>
        <v/>
      </c>
      <c r="M100" s="0" t="str">
        <f aca="false">IF($H100="","",IF($A$1="(Todas as cartas)",INDEX(CONSOLIDADO!$C$2:$C$801,$H100),INDEX(DECKS!$E$2:$E$1201,$H100)))</f>
        <v/>
      </c>
    </row>
    <row r="101" customFormat="false" ht="15" hidden="false" customHeight="false" outlineLevel="0" collapsed="false">
      <c r="H101" s="0" t="str">
        <f aca="false">IF($A$1="(Todas as cartas)",IFERROR(MATCH(100,CONSOLIDADO!$AK$2:$AK$801,0),""),IFERROR(MATCH(100,DECKS!$J$2:$J$1201,0),""))</f>
        <v/>
      </c>
      <c r="I101" s="0" t="str">
        <f aca="false">IF($H101="","",IF($A$1="(Todas as cartas)",INDEX(CONSOLIDADO!$A$2:$A$801,$H101),INDEX(DECKS!$B$2:$B$1201,$H101)))</f>
        <v/>
      </c>
      <c r="J101" s="0" t="str">
        <f aca="false">IF($H101="","",IF($A$1="(Todas as cartas)",INDEX(CONSOLIDADO!$B$2:$B$801,$H101),INDEX(DECKS!$C$2:$C$1201,$H101)))</f>
        <v/>
      </c>
      <c r="K101" s="0" t="str">
        <f aca="false">IF($H101="","",IF($A$1="(Todas as cartas)",INDEX(CONSOLIDADO!$E$2:$E$801,$H101),INDEX(DECKS!$F$2:$F$1201,$H101)))</f>
        <v/>
      </c>
      <c r="L101" s="0" t="str">
        <f aca="false">IF($H101="","",IF($A$1="(Todas as cartas)",INDEX(CONSOLIDADO!$D$2:$D$801,$H101),INDEX(DECKS!$D$2:$D$1201,$H101)))</f>
        <v/>
      </c>
      <c r="M101" s="0" t="str">
        <f aca="false">IF($H101="","",IF($A$1="(Todas as cartas)",INDEX(CONSOLIDADO!$C$2:$C$801,$H101),INDEX(DECKS!$E$2:$E$1201,$H101)))</f>
        <v/>
      </c>
    </row>
  </sheetData>
  <dataValidations count="1">
    <dataValidation allowBlank="false" error="Escolha um deck da lista." errorStyle="stop" errorTitle="Deck não encontrado" operator="between" showDropDown="false" showErrorMessage="false" showInputMessage="false" sqref="A1" type="list">
      <formula1>$O$2:$O$22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true" outlineLevel="0" max="4" min="4" style="0" width="8"/>
    <col collapsed="false" customWidth="true" hidden="false" outlineLevel="0" max="5" min="5" style="0" width="3"/>
    <col collapsed="false" customWidth="true" hidden="false" outlineLevel="0" max="6" min="6" style="0" width="30"/>
    <col collapsed="false" customWidth="true" hidden="false" outlineLevel="0" max="7" min="7" style="0" width="3"/>
    <col collapsed="false" customWidth="true" hidden="false" outlineLevel="0" max="8" min="8" style="0" width="30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true" outlineLevel="0" max="12" min="11" style="0" width="14"/>
  </cols>
  <sheetData>
    <row r="1" customFormat="false" ht="33.75" hidden="false" customHeight="true" outlineLevel="0" collapsed="false">
      <c r="A1" s="8" t="s">
        <v>45</v>
      </c>
      <c r="B1" s="8" t="s">
        <v>60</v>
      </c>
      <c r="C1" s="8" t="s">
        <v>106</v>
      </c>
      <c r="D1" s="8" t="s">
        <v>107</v>
      </c>
      <c r="F1" s="8" t="s">
        <v>108</v>
      </c>
      <c r="H1" s="8" t="s">
        <v>109</v>
      </c>
      <c r="I1" s="8"/>
      <c r="K1" s="17" t="s">
        <v>110</v>
      </c>
      <c r="L1" s="17" t="s">
        <v>111</v>
      </c>
    </row>
    <row r="2" customFormat="false" ht="15" hidden="false" customHeight="false" outlineLevel="0" collapsed="false">
      <c r="A2" s="11" t="str">
        <f aca="false">IF(INVENTÁRIO!A2="","",INVENTÁRIO!A2)</f>
        <v/>
      </c>
      <c r="B2" s="11" t="str">
        <f aca="false">IF(A2="","",INVENTÁRIO!B2)</f>
        <v/>
      </c>
      <c r="C2" s="16" t="str">
        <f aca="false">IF(A2="","",IFERROR(INDEX($L$2:$L$801,MATCH(A2,$K$2:$K$801,0)),"Não verificada"))</f>
        <v/>
      </c>
      <c r="D2" s="11" t="str">
        <f aca="false">IF(AND(A2&lt;&gt;"",C2&lt;&gt;"Tem foto"),MAX(D$1:D1)+1,"")</f>
        <v/>
      </c>
      <c r="F2" s="26" t="str">
        <f aca="false">IF($I$4=0,"NOVAS_CARTAS = []","NOVAS_CARTAS = [")</f>
        <v>NOVAS_CARTAS = []</v>
      </c>
      <c r="H2" s="11" t="s">
        <v>112</v>
      </c>
      <c r="I2" s="14" t="n">
        <f aca="false">COUNTIF(A2:A801,"?*")</f>
        <v>0</v>
      </c>
    </row>
    <row r="3" customFormat="false" ht="15" hidden="false" customHeight="false" outlineLevel="0" collapsed="false">
      <c r="A3" s="11" t="str">
        <f aca="false">IF(INVENTÁRIO!A3="","",INVENTÁRIO!A3)</f>
        <v/>
      </c>
      <c r="B3" s="11" t="str">
        <f aca="false">IF(A3="","",INVENTÁRIO!B3)</f>
        <v/>
      </c>
      <c r="C3" s="16" t="str">
        <f aca="false">IF(A3="","",IFERROR(INDEX($L$2:$L$801,MATCH(A3,$K$2:$K$801,0)),"Não verificada"))</f>
        <v/>
      </c>
      <c r="D3" s="11" t="str">
        <f aca="false">IF(AND(A3&lt;&gt;"",C3&lt;&gt;"Tem foto"),MAX(D$1:D2)+1,"")</f>
        <v/>
      </c>
      <c r="F3" s="26" t="str">
        <f aca="false">IF($I$4=0,"",IF(1&lt;=$I$4,"    """&amp;INDEX($A$2:$A$801,MATCH(1,$D$2:$D$801,0))&amp;""",",IF(1=$I$4+1,"]","")))</f>
        <v/>
      </c>
      <c r="H3" s="11" t="s">
        <v>113</v>
      </c>
      <c r="I3" s="14" t="n">
        <f aca="false">COUNTIF(C2:C801,"Tem foto")</f>
        <v>0</v>
      </c>
    </row>
    <row r="4" customFormat="false" ht="15" hidden="false" customHeight="false" outlineLevel="0" collapsed="false">
      <c r="A4" s="11" t="str">
        <f aca="false">IF(INVENTÁRIO!A4="","",INVENTÁRIO!A4)</f>
        <v/>
      </c>
      <c r="B4" s="11" t="str">
        <f aca="false">IF(A4="","",INVENTÁRIO!B4)</f>
        <v/>
      </c>
      <c r="C4" s="16" t="str">
        <f aca="false">IF(A4="","",IFERROR(INDEX($L$2:$L$801,MATCH(A4,$K$2:$K$801,0)),"Não verificada"))</f>
        <v/>
      </c>
      <c r="D4" s="11" t="str">
        <f aca="false">IF(AND(A4&lt;&gt;"",C4&lt;&gt;"Tem foto"),MAX(D$1:D3)+1,"")</f>
        <v/>
      </c>
      <c r="F4" s="26" t="str">
        <f aca="false">IF($I$4=0,"",IF(2&lt;=$I$4,"    """&amp;INDEX($A$2:$A$801,MATCH(2,$D$2:$D$801,0))&amp;""",",IF(2=$I$4+1,"]","")))</f>
        <v/>
      </c>
      <c r="H4" s="11" t="s">
        <v>114</v>
      </c>
      <c r="I4" s="14" t="n">
        <f aca="false">I2-I3</f>
        <v>0</v>
      </c>
    </row>
    <row r="5" customFormat="false" ht="15" hidden="false" customHeight="false" outlineLevel="0" collapsed="false">
      <c r="A5" s="11" t="str">
        <f aca="false">IF(INVENTÁRIO!A5="","",INVENTÁRIO!A5)</f>
        <v/>
      </c>
      <c r="B5" s="11" t="str">
        <f aca="false">IF(A5="","",INVENTÁRIO!B5)</f>
        <v/>
      </c>
      <c r="C5" s="16" t="str">
        <f aca="false">IF(A5="","",IFERROR(INDEX($L$2:$L$801,MATCH(A5,$K$2:$K$801,0)),"Não verificada"))</f>
        <v/>
      </c>
      <c r="D5" s="11" t="str">
        <f aca="false">IF(AND(A5&lt;&gt;"",C5&lt;&gt;"Tem foto"),MAX(D$1:D4)+1,"")</f>
        <v/>
      </c>
      <c r="F5" s="26" t="str">
        <f aca="false">IF($I$4=0,"",IF(3&lt;=$I$4,"    """&amp;INDEX($A$2:$A$801,MATCH(3,$D$2:$D$801,0))&amp;""",",IF(3=$I$4+1,"]","")))</f>
        <v/>
      </c>
      <c r="H5" s="11" t="s">
        <v>115</v>
      </c>
      <c r="I5" s="11"/>
    </row>
    <row r="6" customFormat="false" ht="15" hidden="false" customHeight="false" outlineLevel="0" collapsed="false">
      <c r="A6" s="11" t="str">
        <f aca="false">IF(INVENTÁRIO!A6="","",INVENTÁRIO!A6)</f>
        <v/>
      </c>
      <c r="B6" s="11" t="str">
        <f aca="false">IF(A6="","",INVENTÁRIO!B6)</f>
        <v/>
      </c>
      <c r="C6" s="16" t="str">
        <f aca="false">IF(A6="","",IFERROR(INDEX($L$2:$L$801,MATCH(A6,$K$2:$K$801,0)),"Não verificada"))</f>
        <v/>
      </c>
      <c r="D6" s="11" t="str">
        <f aca="false">IF(AND(A6&lt;&gt;"",C6&lt;&gt;"Tem foto"),MAX(D$1:D5)+1,"")</f>
        <v/>
      </c>
      <c r="F6" s="26" t="str">
        <f aca="false">IF($I$4=0,"",IF(4&lt;=$I$4,"    """&amp;INDEX($A$2:$A$801,MATCH(4,$D$2:$D$801,0))&amp;""",",IF(4=$I$4+1,"]","")))</f>
        <v/>
      </c>
    </row>
    <row r="7" customFormat="false" ht="15" hidden="false" customHeight="false" outlineLevel="0" collapsed="false">
      <c r="A7" s="11" t="str">
        <f aca="false">IF(INVENTÁRIO!A7="","",INVENTÁRIO!A7)</f>
        <v/>
      </c>
      <c r="B7" s="11" t="str">
        <f aca="false">IF(A7="","",INVENTÁRIO!B7)</f>
        <v/>
      </c>
      <c r="C7" s="16" t="str">
        <f aca="false">IF(A7="","",IFERROR(INDEX($L$2:$L$801,MATCH(A7,$K$2:$K$801,0)),"Não verificada"))</f>
        <v/>
      </c>
      <c r="D7" s="11" t="str">
        <f aca="false">IF(AND(A7&lt;&gt;"",C7&lt;&gt;"Tem foto"),MAX(D$1:D6)+1,"")</f>
        <v/>
      </c>
      <c r="F7" s="26" t="str">
        <f aca="false">IF($I$4=0,"",IF(5&lt;=$I$4,"    """&amp;INDEX($A$2:$A$801,MATCH(5,$D$2:$D$801,0))&amp;""",",IF(5=$I$4+1,"]","")))</f>
        <v/>
      </c>
      <c r="H7" s="3" t="s">
        <v>116</v>
      </c>
    </row>
    <row r="8" customFormat="false" ht="15" hidden="false" customHeight="false" outlineLevel="0" collapsed="false">
      <c r="A8" s="11" t="str">
        <f aca="false">IF(INVENTÁRIO!A8="","",INVENTÁRIO!A8)</f>
        <v/>
      </c>
      <c r="B8" s="11" t="str">
        <f aca="false">IF(A8="","",INVENTÁRIO!B8)</f>
        <v/>
      </c>
      <c r="C8" s="16" t="str">
        <f aca="false">IF(A8="","",IFERROR(INDEX($L$2:$L$801,MATCH(A8,$K$2:$K$801,0)),"Não verificada"))</f>
        <v/>
      </c>
      <c r="D8" s="11" t="str">
        <f aca="false">IF(AND(A8&lt;&gt;"",C8&lt;&gt;"Tem foto"),MAX(D$1:D7)+1,"")</f>
        <v/>
      </c>
      <c r="F8" s="26" t="str">
        <f aca="false">IF($I$4=0,"",IF(6&lt;=$I$4,"    """&amp;INDEX($A$2:$A$801,MATCH(6,$D$2:$D$801,0))&amp;""",",IF(6=$I$4+1,"]","")))</f>
        <v/>
      </c>
      <c r="H8" s="5" t="s">
        <v>117</v>
      </c>
    </row>
    <row r="9" customFormat="false" ht="15" hidden="false" customHeight="false" outlineLevel="0" collapsed="false">
      <c r="A9" s="11" t="str">
        <f aca="false">IF(INVENTÁRIO!A9="","",INVENTÁRIO!A9)</f>
        <v/>
      </c>
      <c r="B9" s="11" t="str">
        <f aca="false">IF(A9="","",INVENTÁRIO!B9)</f>
        <v/>
      </c>
      <c r="C9" s="16" t="str">
        <f aca="false">IF(A9="","",IFERROR(INDEX($L$2:$L$801,MATCH(A9,$K$2:$K$801,0)),"Não verificada"))</f>
        <v/>
      </c>
      <c r="D9" s="11" t="str">
        <f aca="false">IF(AND(A9&lt;&gt;"",C9&lt;&gt;"Tem foto"),MAX(D$1:D8)+1,"")</f>
        <v/>
      </c>
      <c r="F9" s="26" t="str">
        <f aca="false">IF($I$4=0,"",IF(7&lt;=$I$4,"    """&amp;INDEX($A$2:$A$801,MATCH(7,$D$2:$D$801,0))&amp;""",",IF(7=$I$4+1,"]","")))</f>
        <v/>
      </c>
      <c r="H9" s="5" t="s">
        <v>118</v>
      </c>
    </row>
    <row r="10" customFormat="false" ht="15" hidden="false" customHeight="false" outlineLevel="0" collapsed="false">
      <c r="A10" s="11" t="str">
        <f aca="false">IF(INVENTÁRIO!A10="","",INVENTÁRIO!A10)</f>
        <v/>
      </c>
      <c r="B10" s="11" t="str">
        <f aca="false">IF(A10="","",INVENTÁRIO!B10)</f>
        <v/>
      </c>
      <c r="C10" s="16" t="str">
        <f aca="false">IF(A10="","",IFERROR(INDEX($L$2:$L$801,MATCH(A10,$K$2:$K$801,0)),"Não verificada"))</f>
        <v/>
      </c>
      <c r="D10" s="11" t="str">
        <f aca="false">IF(AND(A10&lt;&gt;"",C10&lt;&gt;"Tem foto"),MAX(D$1:D9)+1,"")</f>
        <v/>
      </c>
      <c r="F10" s="26" t="str">
        <f aca="false">IF($I$4=0,"",IF(8&lt;=$I$4,"    """&amp;INDEX($A$2:$A$801,MATCH(8,$D$2:$D$801,0))&amp;""",",IF(8=$I$4+1,"]","")))</f>
        <v/>
      </c>
      <c r="H10" s="5" t="s">
        <v>119</v>
      </c>
    </row>
    <row r="11" customFormat="false" ht="15" hidden="false" customHeight="false" outlineLevel="0" collapsed="false">
      <c r="A11" s="11" t="str">
        <f aca="false">IF(INVENTÁRIO!A11="","",INVENTÁRIO!A11)</f>
        <v/>
      </c>
      <c r="B11" s="11" t="str">
        <f aca="false">IF(A11="","",INVENTÁRIO!B11)</f>
        <v/>
      </c>
      <c r="C11" s="16" t="str">
        <f aca="false">IF(A11="","",IFERROR(INDEX($L$2:$L$801,MATCH(A11,$K$2:$K$801,0)),"Não verificada"))</f>
        <v/>
      </c>
      <c r="D11" s="11" t="str">
        <f aca="false">IF(AND(A11&lt;&gt;"",C11&lt;&gt;"Tem foto"),MAX(D$1:D10)+1,"")</f>
        <v/>
      </c>
      <c r="F11" s="26" t="str">
        <f aca="false">IF($I$4=0,"",IF(9&lt;=$I$4,"    """&amp;INDEX($A$2:$A$801,MATCH(9,$D$2:$D$801,0))&amp;""",",IF(9=$I$4+1,"]","")))</f>
        <v/>
      </c>
      <c r="H11" s="5" t="s">
        <v>120</v>
      </c>
    </row>
    <row r="12" customFormat="false" ht="15" hidden="false" customHeight="false" outlineLevel="0" collapsed="false">
      <c r="A12" s="11" t="str">
        <f aca="false">IF(INVENTÁRIO!A12="","",INVENTÁRIO!A12)</f>
        <v/>
      </c>
      <c r="B12" s="11" t="str">
        <f aca="false">IF(A12="","",INVENTÁRIO!B12)</f>
        <v/>
      </c>
      <c r="C12" s="16" t="str">
        <f aca="false">IF(A12="","",IFERROR(INDEX($L$2:$L$801,MATCH(A12,$K$2:$K$801,0)),"Não verificada"))</f>
        <v/>
      </c>
      <c r="D12" s="11" t="str">
        <f aca="false">IF(AND(A12&lt;&gt;"",C12&lt;&gt;"Tem foto"),MAX(D$1:D11)+1,"")</f>
        <v/>
      </c>
      <c r="F12" s="26" t="str">
        <f aca="false">IF($I$4=0,"",IF(10&lt;=$I$4,"    """&amp;INDEX($A$2:$A$801,MATCH(10,$D$2:$D$801,0))&amp;""",",IF(10=$I$4+1,"]","")))</f>
        <v/>
      </c>
      <c r="H12" s="5" t="s">
        <v>121</v>
      </c>
    </row>
    <row r="13" customFormat="false" ht="15" hidden="false" customHeight="false" outlineLevel="0" collapsed="false">
      <c r="A13" s="11" t="str">
        <f aca="false">IF(INVENTÁRIO!A13="","",INVENTÁRIO!A13)</f>
        <v/>
      </c>
      <c r="B13" s="11" t="str">
        <f aca="false">IF(A13="","",INVENTÁRIO!B13)</f>
        <v/>
      </c>
      <c r="C13" s="16" t="str">
        <f aca="false">IF(A13="","",IFERROR(INDEX($L$2:$L$801,MATCH(A13,$K$2:$K$801,0)),"Não verificada"))</f>
        <v/>
      </c>
      <c r="D13" s="11" t="str">
        <f aca="false">IF(AND(A13&lt;&gt;"",C13&lt;&gt;"Tem foto"),MAX(D$1:D12)+1,"")</f>
        <v/>
      </c>
      <c r="F13" s="26" t="str">
        <f aca="false">IF($I$4=0,"",IF(11&lt;=$I$4,"    """&amp;INDEX($A$2:$A$801,MATCH(11,$D$2:$D$801,0))&amp;""",",IF(11=$I$4+1,"]","")))</f>
        <v/>
      </c>
      <c r="H13" s="5" t="s">
        <v>122</v>
      </c>
    </row>
    <row r="14" customFormat="false" ht="15" hidden="false" customHeight="false" outlineLevel="0" collapsed="false">
      <c r="A14" s="11" t="str">
        <f aca="false">IF(INVENTÁRIO!A14="","",INVENTÁRIO!A14)</f>
        <v/>
      </c>
      <c r="B14" s="11" t="str">
        <f aca="false">IF(A14="","",INVENTÁRIO!B14)</f>
        <v/>
      </c>
      <c r="C14" s="16" t="str">
        <f aca="false">IF(A14="","",IFERROR(INDEX($L$2:$L$801,MATCH(A14,$K$2:$K$801,0)),"Não verificada"))</f>
        <v/>
      </c>
      <c r="D14" s="11" t="str">
        <f aca="false">IF(AND(A14&lt;&gt;"",C14&lt;&gt;"Tem foto"),MAX(D$1:D13)+1,"")</f>
        <v/>
      </c>
      <c r="F14" s="26" t="str">
        <f aca="false">IF($I$4=0,"",IF(12&lt;=$I$4,"    """&amp;INDEX($A$2:$A$801,MATCH(12,$D$2:$D$801,0))&amp;""",",IF(12=$I$4+1,"]","")))</f>
        <v/>
      </c>
    </row>
    <row r="15" customFormat="false" ht="15" hidden="false" customHeight="false" outlineLevel="0" collapsed="false">
      <c r="A15" s="11" t="str">
        <f aca="false">IF(INVENTÁRIO!A15="","",INVENTÁRIO!A15)</f>
        <v/>
      </c>
      <c r="B15" s="11" t="str">
        <f aca="false">IF(A15="","",INVENTÁRIO!B15)</f>
        <v/>
      </c>
      <c r="C15" s="16" t="str">
        <f aca="false">IF(A15="","",IFERROR(INDEX($L$2:$L$801,MATCH(A15,$K$2:$K$801,0)),"Não verificada"))</f>
        <v/>
      </c>
      <c r="D15" s="11" t="str">
        <f aca="false">IF(AND(A15&lt;&gt;"",C15&lt;&gt;"Tem foto"),MAX(D$1:D14)+1,"")</f>
        <v/>
      </c>
      <c r="F15" s="26" t="str">
        <f aca="false">IF($I$4=0,"",IF(13&lt;=$I$4,"    """&amp;INDEX($A$2:$A$801,MATCH(13,$D$2:$D$801,0))&amp;""",",IF(13=$I$4+1,"]","")))</f>
        <v/>
      </c>
    </row>
    <row r="16" customFormat="false" ht="15" hidden="false" customHeight="false" outlineLevel="0" collapsed="false">
      <c r="A16" s="11" t="str">
        <f aca="false">IF(INVENTÁRIO!A16="","",INVENTÁRIO!A16)</f>
        <v/>
      </c>
      <c r="B16" s="11" t="str">
        <f aca="false">IF(A16="","",INVENTÁRIO!B16)</f>
        <v/>
      </c>
      <c r="C16" s="16" t="str">
        <f aca="false">IF(A16="","",IFERROR(INDEX($L$2:$L$801,MATCH(A16,$K$2:$K$801,0)),"Não verificada"))</f>
        <v/>
      </c>
      <c r="D16" s="11" t="str">
        <f aca="false">IF(AND(A16&lt;&gt;"",C16&lt;&gt;"Tem foto"),MAX(D$1:D15)+1,"")</f>
        <v/>
      </c>
      <c r="F16" s="26" t="str">
        <f aca="false">IF($I$4=0,"",IF(14&lt;=$I$4,"    """&amp;INDEX($A$2:$A$801,MATCH(14,$D$2:$D$801,0))&amp;""",",IF(14=$I$4+1,"]","")))</f>
        <v/>
      </c>
    </row>
    <row r="17" customFormat="false" ht="15" hidden="false" customHeight="false" outlineLevel="0" collapsed="false">
      <c r="A17" s="11" t="str">
        <f aca="false">IF(INVENTÁRIO!A17="","",INVENTÁRIO!A17)</f>
        <v/>
      </c>
      <c r="B17" s="11" t="str">
        <f aca="false">IF(A17="","",INVENTÁRIO!B17)</f>
        <v/>
      </c>
      <c r="C17" s="16" t="str">
        <f aca="false">IF(A17="","",IFERROR(INDEX($L$2:$L$801,MATCH(A17,$K$2:$K$801,0)),"Não verificada"))</f>
        <v/>
      </c>
      <c r="D17" s="11" t="str">
        <f aca="false">IF(AND(A17&lt;&gt;"",C17&lt;&gt;"Tem foto"),MAX(D$1:D16)+1,"")</f>
        <v/>
      </c>
      <c r="F17" s="26" t="str">
        <f aca="false">IF($I$4=0,"",IF(15&lt;=$I$4,"    """&amp;INDEX($A$2:$A$801,MATCH(15,$D$2:$D$801,0))&amp;""",",IF(15=$I$4+1,"]","")))</f>
        <v/>
      </c>
    </row>
    <row r="18" customFormat="false" ht="15" hidden="false" customHeight="false" outlineLevel="0" collapsed="false">
      <c r="A18" s="11" t="str">
        <f aca="false">IF(INVENTÁRIO!A18="","",INVENTÁRIO!A18)</f>
        <v/>
      </c>
      <c r="B18" s="11" t="str">
        <f aca="false">IF(A18="","",INVENTÁRIO!B18)</f>
        <v/>
      </c>
      <c r="C18" s="16" t="str">
        <f aca="false">IF(A18="","",IFERROR(INDEX($L$2:$L$801,MATCH(A18,$K$2:$K$801,0)),"Não verificada"))</f>
        <v/>
      </c>
      <c r="D18" s="11" t="str">
        <f aca="false">IF(AND(A18&lt;&gt;"",C18&lt;&gt;"Tem foto"),MAX(D$1:D17)+1,"")</f>
        <v/>
      </c>
      <c r="F18" s="26" t="str">
        <f aca="false">IF($I$4=0,"",IF(16&lt;=$I$4,"    """&amp;INDEX($A$2:$A$801,MATCH(16,$D$2:$D$801,0))&amp;""",",IF(16=$I$4+1,"]","")))</f>
        <v/>
      </c>
    </row>
    <row r="19" customFormat="false" ht="15" hidden="false" customHeight="false" outlineLevel="0" collapsed="false">
      <c r="A19" s="11" t="str">
        <f aca="false">IF(INVENTÁRIO!A19="","",INVENTÁRIO!A19)</f>
        <v/>
      </c>
      <c r="B19" s="11" t="str">
        <f aca="false">IF(A19="","",INVENTÁRIO!B19)</f>
        <v/>
      </c>
      <c r="C19" s="16" t="str">
        <f aca="false">IF(A19="","",IFERROR(INDEX($L$2:$L$801,MATCH(A19,$K$2:$K$801,0)),"Não verificada"))</f>
        <v/>
      </c>
      <c r="D19" s="11" t="str">
        <f aca="false">IF(AND(A19&lt;&gt;"",C19&lt;&gt;"Tem foto"),MAX(D$1:D18)+1,"")</f>
        <v/>
      </c>
      <c r="F19" s="26" t="str">
        <f aca="false">IF($I$4=0,"",IF(17&lt;=$I$4,"    """&amp;INDEX($A$2:$A$801,MATCH(17,$D$2:$D$801,0))&amp;""",",IF(17=$I$4+1,"]","")))</f>
        <v/>
      </c>
    </row>
    <row r="20" customFormat="false" ht="15" hidden="false" customHeight="false" outlineLevel="0" collapsed="false">
      <c r="A20" s="11" t="str">
        <f aca="false">IF(INVENTÁRIO!A20="","",INVENTÁRIO!A20)</f>
        <v/>
      </c>
      <c r="B20" s="11" t="str">
        <f aca="false">IF(A20="","",INVENTÁRIO!B20)</f>
        <v/>
      </c>
      <c r="C20" s="16" t="str">
        <f aca="false">IF(A20="","",IFERROR(INDEX($L$2:$L$801,MATCH(A20,$K$2:$K$801,0)),"Não verificada"))</f>
        <v/>
      </c>
      <c r="D20" s="11" t="str">
        <f aca="false">IF(AND(A20&lt;&gt;"",C20&lt;&gt;"Tem foto"),MAX(D$1:D19)+1,"")</f>
        <v/>
      </c>
      <c r="F20" s="26" t="str">
        <f aca="false">IF($I$4=0,"",IF(18&lt;=$I$4,"    """&amp;INDEX($A$2:$A$801,MATCH(18,$D$2:$D$801,0))&amp;""",",IF(18=$I$4+1,"]","")))</f>
        <v/>
      </c>
    </row>
    <row r="21" customFormat="false" ht="15" hidden="false" customHeight="false" outlineLevel="0" collapsed="false">
      <c r="A21" s="11" t="str">
        <f aca="false">IF(INVENTÁRIO!A21="","",INVENTÁRIO!A21)</f>
        <v/>
      </c>
      <c r="B21" s="11" t="str">
        <f aca="false">IF(A21="","",INVENTÁRIO!B21)</f>
        <v/>
      </c>
      <c r="C21" s="16" t="str">
        <f aca="false">IF(A21="","",IFERROR(INDEX($L$2:$L$801,MATCH(A21,$K$2:$K$801,0)),"Não verificada"))</f>
        <v/>
      </c>
      <c r="D21" s="11" t="str">
        <f aca="false">IF(AND(A21&lt;&gt;"",C21&lt;&gt;"Tem foto"),MAX(D$1:D20)+1,"")</f>
        <v/>
      </c>
      <c r="F21" s="26" t="str">
        <f aca="false">IF($I$4=0,"",IF(19&lt;=$I$4,"    """&amp;INDEX($A$2:$A$801,MATCH(19,$D$2:$D$801,0))&amp;""",",IF(19=$I$4+1,"]","")))</f>
        <v/>
      </c>
    </row>
    <row r="22" customFormat="false" ht="15" hidden="false" customHeight="false" outlineLevel="0" collapsed="false">
      <c r="A22" s="11" t="str">
        <f aca="false">IF(INVENTÁRIO!A22="","",INVENTÁRIO!A22)</f>
        <v/>
      </c>
      <c r="B22" s="11" t="str">
        <f aca="false">IF(A22="","",INVENTÁRIO!B22)</f>
        <v/>
      </c>
      <c r="C22" s="16" t="str">
        <f aca="false">IF(A22="","",IFERROR(INDEX($L$2:$L$801,MATCH(A22,$K$2:$K$801,0)),"Não verificada"))</f>
        <v/>
      </c>
      <c r="D22" s="11" t="str">
        <f aca="false">IF(AND(A22&lt;&gt;"",C22&lt;&gt;"Tem foto"),MAX(D$1:D21)+1,"")</f>
        <v/>
      </c>
      <c r="F22" s="26" t="str">
        <f aca="false">IF($I$4=0,"",IF(20&lt;=$I$4,"    """&amp;INDEX($A$2:$A$801,MATCH(20,$D$2:$D$801,0))&amp;""",",IF(20=$I$4+1,"]","")))</f>
        <v/>
      </c>
    </row>
    <row r="23" customFormat="false" ht="15" hidden="false" customHeight="false" outlineLevel="0" collapsed="false">
      <c r="A23" s="11" t="str">
        <f aca="false">IF(INVENTÁRIO!A23="","",INVENTÁRIO!A23)</f>
        <v/>
      </c>
      <c r="B23" s="11" t="str">
        <f aca="false">IF(A23="","",INVENTÁRIO!B23)</f>
        <v/>
      </c>
      <c r="C23" s="16" t="str">
        <f aca="false">IF(A23="","",IFERROR(INDEX($L$2:$L$801,MATCH(A23,$K$2:$K$801,0)),"Não verificada"))</f>
        <v/>
      </c>
      <c r="D23" s="11" t="str">
        <f aca="false">IF(AND(A23&lt;&gt;"",C23&lt;&gt;"Tem foto"),MAX(D$1:D22)+1,"")</f>
        <v/>
      </c>
      <c r="F23" s="26" t="str">
        <f aca="false">IF($I$4=0,"",IF(21&lt;=$I$4,"    """&amp;INDEX($A$2:$A$801,MATCH(21,$D$2:$D$801,0))&amp;""",",IF(21=$I$4+1,"]","")))</f>
        <v/>
      </c>
    </row>
    <row r="24" customFormat="false" ht="15" hidden="false" customHeight="false" outlineLevel="0" collapsed="false">
      <c r="A24" s="11" t="str">
        <f aca="false">IF(INVENTÁRIO!A24="","",INVENTÁRIO!A24)</f>
        <v/>
      </c>
      <c r="B24" s="11" t="str">
        <f aca="false">IF(A24="","",INVENTÁRIO!B24)</f>
        <v/>
      </c>
      <c r="C24" s="16" t="str">
        <f aca="false">IF(A24="","",IFERROR(INDEX($L$2:$L$801,MATCH(A24,$K$2:$K$801,0)),"Não verificada"))</f>
        <v/>
      </c>
      <c r="D24" s="11" t="str">
        <f aca="false">IF(AND(A24&lt;&gt;"",C24&lt;&gt;"Tem foto"),MAX(D$1:D23)+1,"")</f>
        <v/>
      </c>
      <c r="F24" s="26" t="str">
        <f aca="false">IF($I$4=0,"",IF(22&lt;=$I$4,"    """&amp;INDEX($A$2:$A$801,MATCH(22,$D$2:$D$801,0))&amp;""",",IF(22=$I$4+1,"]","")))</f>
        <v/>
      </c>
    </row>
    <row r="25" customFormat="false" ht="15" hidden="false" customHeight="false" outlineLevel="0" collapsed="false">
      <c r="A25" s="11" t="str">
        <f aca="false">IF(INVENTÁRIO!A25="","",INVENTÁRIO!A25)</f>
        <v/>
      </c>
      <c r="B25" s="11" t="str">
        <f aca="false">IF(A25="","",INVENTÁRIO!B25)</f>
        <v/>
      </c>
      <c r="C25" s="16" t="str">
        <f aca="false">IF(A25="","",IFERROR(INDEX($L$2:$L$801,MATCH(A25,$K$2:$K$801,0)),"Não verificada"))</f>
        <v/>
      </c>
      <c r="D25" s="11" t="str">
        <f aca="false">IF(AND(A25&lt;&gt;"",C25&lt;&gt;"Tem foto"),MAX(D$1:D24)+1,"")</f>
        <v/>
      </c>
      <c r="F25" s="26" t="str">
        <f aca="false">IF($I$4=0,"",IF(23&lt;=$I$4,"    """&amp;INDEX($A$2:$A$801,MATCH(23,$D$2:$D$801,0))&amp;""",",IF(23=$I$4+1,"]","")))</f>
        <v/>
      </c>
    </row>
    <row r="26" customFormat="false" ht="15" hidden="false" customHeight="false" outlineLevel="0" collapsed="false">
      <c r="A26" s="11" t="str">
        <f aca="false">IF(INVENTÁRIO!A26="","",INVENTÁRIO!A26)</f>
        <v/>
      </c>
      <c r="B26" s="11" t="str">
        <f aca="false">IF(A26="","",INVENTÁRIO!B26)</f>
        <v/>
      </c>
      <c r="C26" s="16" t="str">
        <f aca="false">IF(A26="","",IFERROR(INDEX($L$2:$L$801,MATCH(A26,$K$2:$K$801,0)),"Não verificada"))</f>
        <v/>
      </c>
      <c r="D26" s="11" t="str">
        <f aca="false">IF(AND(A26&lt;&gt;"",C26&lt;&gt;"Tem foto"),MAX(D$1:D25)+1,"")</f>
        <v/>
      </c>
      <c r="F26" s="26" t="str">
        <f aca="false">IF($I$4=0,"",IF(24&lt;=$I$4,"    """&amp;INDEX($A$2:$A$801,MATCH(24,$D$2:$D$801,0))&amp;""",",IF(24=$I$4+1,"]","")))</f>
        <v/>
      </c>
    </row>
    <row r="27" customFormat="false" ht="15" hidden="false" customHeight="false" outlineLevel="0" collapsed="false">
      <c r="A27" s="11" t="str">
        <f aca="false">IF(INVENTÁRIO!A27="","",INVENTÁRIO!A27)</f>
        <v/>
      </c>
      <c r="B27" s="11" t="str">
        <f aca="false">IF(A27="","",INVENTÁRIO!B27)</f>
        <v/>
      </c>
      <c r="C27" s="16" t="str">
        <f aca="false">IF(A27="","",IFERROR(INDEX($L$2:$L$801,MATCH(A27,$K$2:$K$801,0)),"Não verificada"))</f>
        <v/>
      </c>
      <c r="D27" s="11" t="str">
        <f aca="false">IF(AND(A27&lt;&gt;"",C27&lt;&gt;"Tem foto"),MAX(D$1:D26)+1,"")</f>
        <v/>
      </c>
      <c r="F27" s="26" t="str">
        <f aca="false">IF($I$4=0,"",IF(25&lt;=$I$4,"    """&amp;INDEX($A$2:$A$801,MATCH(25,$D$2:$D$801,0))&amp;""",",IF(25=$I$4+1,"]","")))</f>
        <v/>
      </c>
    </row>
    <row r="28" customFormat="false" ht="15" hidden="false" customHeight="false" outlineLevel="0" collapsed="false">
      <c r="A28" s="11" t="str">
        <f aca="false">IF(INVENTÁRIO!A28="","",INVENTÁRIO!A28)</f>
        <v/>
      </c>
      <c r="B28" s="11" t="str">
        <f aca="false">IF(A28="","",INVENTÁRIO!B28)</f>
        <v/>
      </c>
      <c r="C28" s="16" t="str">
        <f aca="false">IF(A28="","",IFERROR(INDEX($L$2:$L$801,MATCH(A28,$K$2:$K$801,0)),"Não verificada"))</f>
        <v/>
      </c>
      <c r="D28" s="11" t="str">
        <f aca="false">IF(AND(A28&lt;&gt;"",C28&lt;&gt;"Tem foto"),MAX(D$1:D27)+1,"")</f>
        <v/>
      </c>
      <c r="F28" s="26" t="str">
        <f aca="false">IF($I$4=0,"",IF(26&lt;=$I$4,"    """&amp;INDEX($A$2:$A$801,MATCH(26,$D$2:$D$801,0))&amp;""",",IF(26=$I$4+1,"]","")))</f>
        <v/>
      </c>
    </row>
    <row r="29" customFormat="false" ht="15" hidden="false" customHeight="false" outlineLevel="0" collapsed="false">
      <c r="A29" s="11" t="str">
        <f aca="false">IF(INVENTÁRIO!A29="","",INVENTÁRIO!A29)</f>
        <v/>
      </c>
      <c r="B29" s="11" t="str">
        <f aca="false">IF(A29="","",INVENTÁRIO!B29)</f>
        <v/>
      </c>
      <c r="C29" s="16" t="str">
        <f aca="false">IF(A29="","",IFERROR(INDEX($L$2:$L$801,MATCH(A29,$K$2:$K$801,0)),"Não verificada"))</f>
        <v/>
      </c>
      <c r="D29" s="11" t="str">
        <f aca="false">IF(AND(A29&lt;&gt;"",C29&lt;&gt;"Tem foto"),MAX(D$1:D28)+1,"")</f>
        <v/>
      </c>
      <c r="F29" s="26" t="str">
        <f aca="false">IF($I$4=0,"",IF(27&lt;=$I$4,"    """&amp;INDEX($A$2:$A$801,MATCH(27,$D$2:$D$801,0))&amp;""",",IF(27=$I$4+1,"]","")))</f>
        <v/>
      </c>
    </row>
    <row r="30" customFormat="false" ht="15" hidden="false" customHeight="false" outlineLevel="0" collapsed="false">
      <c r="A30" s="11" t="str">
        <f aca="false">IF(INVENTÁRIO!A30="","",INVENTÁRIO!A30)</f>
        <v/>
      </c>
      <c r="B30" s="11" t="str">
        <f aca="false">IF(A30="","",INVENTÁRIO!B30)</f>
        <v/>
      </c>
      <c r="C30" s="16" t="str">
        <f aca="false">IF(A30="","",IFERROR(INDEX($L$2:$L$801,MATCH(A30,$K$2:$K$801,0)),"Não verificada"))</f>
        <v/>
      </c>
      <c r="D30" s="11" t="str">
        <f aca="false">IF(AND(A30&lt;&gt;"",C30&lt;&gt;"Tem foto"),MAX(D$1:D29)+1,"")</f>
        <v/>
      </c>
      <c r="F30" s="26" t="str">
        <f aca="false">IF($I$4=0,"",IF(28&lt;=$I$4,"    """&amp;INDEX($A$2:$A$801,MATCH(28,$D$2:$D$801,0))&amp;""",",IF(28=$I$4+1,"]","")))</f>
        <v/>
      </c>
    </row>
    <row r="31" customFormat="false" ht="15" hidden="false" customHeight="false" outlineLevel="0" collapsed="false">
      <c r="A31" s="11" t="str">
        <f aca="false">IF(INVENTÁRIO!A31="","",INVENTÁRIO!A31)</f>
        <v/>
      </c>
      <c r="B31" s="11" t="str">
        <f aca="false">IF(A31="","",INVENTÁRIO!B31)</f>
        <v/>
      </c>
      <c r="C31" s="16" t="str">
        <f aca="false">IF(A31="","",IFERROR(INDEX($L$2:$L$801,MATCH(A31,$K$2:$K$801,0)),"Não verificada"))</f>
        <v/>
      </c>
      <c r="D31" s="11" t="str">
        <f aca="false">IF(AND(A31&lt;&gt;"",C31&lt;&gt;"Tem foto"),MAX(D$1:D30)+1,"")</f>
        <v/>
      </c>
      <c r="F31" s="26" t="str">
        <f aca="false">IF($I$4=0,"",IF(29&lt;=$I$4,"    """&amp;INDEX($A$2:$A$801,MATCH(29,$D$2:$D$801,0))&amp;""",",IF(29=$I$4+1,"]","")))</f>
        <v/>
      </c>
    </row>
    <row r="32" customFormat="false" ht="15" hidden="false" customHeight="false" outlineLevel="0" collapsed="false">
      <c r="A32" s="11" t="str">
        <f aca="false">IF(INVENTÁRIO!A32="","",INVENTÁRIO!A32)</f>
        <v/>
      </c>
      <c r="B32" s="11" t="str">
        <f aca="false">IF(A32="","",INVENTÁRIO!B32)</f>
        <v/>
      </c>
      <c r="C32" s="16" t="str">
        <f aca="false">IF(A32="","",IFERROR(INDEX($L$2:$L$801,MATCH(A32,$K$2:$K$801,0)),"Não verificada"))</f>
        <v/>
      </c>
      <c r="D32" s="11" t="str">
        <f aca="false">IF(AND(A32&lt;&gt;"",C32&lt;&gt;"Tem foto"),MAX(D$1:D31)+1,"")</f>
        <v/>
      </c>
      <c r="F32" s="26" t="str">
        <f aca="false">IF($I$4=0,"",IF(30&lt;=$I$4,"    """&amp;INDEX($A$2:$A$801,MATCH(30,$D$2:$D$801,0))&amp;""",",IF(30=$I$4+1,"]","")))</f>
        <v/>
      </c>
    </row>
    <row r="33" customFormat="false" ht="15" hidden="false" customHeight="false" outlineLevel="0" collapsed="false">
      <c r="A33" s="11" t="str">
        <f aca="false">IF(INVENTÁRIO!A33="","",INVENTÁRIO!A33)</f>
        <v/>
      </c>
      <c r="B33" s="11" t="str">
        <f aca="false">IF(A33="","",INVENTÁRIO!B33)</f>
        <v/>
      </c>
      <c r="C33" s="16" t="str">
        <f aca="false">IF(A33="","",IFERROR(INDEX($L$2:$L$801,MATCH(A33,$K$2:$K$801,0)),"Não verificada"))</f>
        <v/>
      </c>
      <c r="D33" s="11" t="str">
        <f aca="false">IF(AND(A33&lt;&gt;"",C33&lt;&gt;"Tem foto"),MAX(D$1:D32)+1,"")</f>
        <v/>
      </c>
      <c r="F33" s="26" t="str">
        <f aca="false">IF($I$4=0,"",IF(31&lt;=$I$4,"    """&amp;INDEX($A$2:$A$801,MATCH(31,$D$2:$D$801,0))&amp;""",",IF(31=$I$4+1,"]","")))</f>
        <v/>
      </c>
    </row>
    <row r="34" customFormat="false" ht="15" hidden="false" customHeight="false" outlineLevel="0" collapsed="false">
      <c r="A34" s="11" t="str">
        <f aca="false">IF(INVENTÁRIO!A34="","",INVENTÁRIO!A34)</f>
        <v/>
      </c>
      <c r="B34" s="11" t="str">
        <f aca="false">IF(A34="","",INVENTÁRIO!B34)</f>
        <v/>
      </c>
      <c r="C34" s="16" t="str">
        <f aca="false">IF(A34="","",IFERROR(INDEX($L$2:$L$801,MATCH(A34,$K$2:$K$801,0)),"Não verificada"))</f>
        <v/>
      </c>
      <c r="D34" s="11" t="str">
        <f aca="false">IF(AND(A34&lt;&gt;"",C34&lt;&gt;"Tem foto"),MAX(D$1:D33)+1,"")</f>
        <v/>
      </c>
      <c r="F34" s="26" t="str">
        <f aca="false">IF($I$4=0,"",IF(32&lt;=$I$4,"    """&amp;INDEX($A$2:$A$801,MATCH(32,$D$2:$D$801,0))&amp;""",",IF(32=$I$4+1,"]","")))</f>
        <v/>
      </c>
    </row>
    <row r="35" customFormat="false" ht="15" hidden="false" customHeight="false" outlineLevel="0" collapsed="false">
      <c r="A35" s="11" t="str">
        <f aca="false">IF(INVENTÁRIO!A35="","",INVENTÁRIO!A35)</f>
        <v/>
      </c>
      <c r="B35" s="11" t="str">
        <f aca="false">IF(A35="","",INVENTÁRIO!B35)</f>
        <v/>
      </c>
      <c r="C35" s="16" t="str">
        <f aca="false">IF(A35="","",IFERROR(INDEX($L$2:$L$801,MATCH(A35,$K$2:$K$801,0)),"Não verificada"))</f>
        <v/>
      </c>
      <c r="D35" s="11" t="str">
        <f aca="false">IF(AND(A35&lt;&gt;"",C35&lt;&gt;"Tem foto"),MAX(D$1:D34)+1,"")</f>
        <v/>
      </c>
      <c r="F35" s="26" t="str">
        <f aca="false">IF($I$4=0,"",IF(33&lt;=$I$4,"    """&amp;INDEX($A$2:$A$801,MATCH(33,$D$2:$D$801,0))&amp;""",",IF(33=$I$4+1,"]","")))</f>
        <v/>
      </c>
    </row>
    <row r="36" customFormat="false" ht="15" hidden="false" customHeight="false" outlineLevel="0" collapsed="false">
      <c r="A36" s="11" t="str">
        <f aca="false">IF(INVENTÁRIO!A36="","",INVENTÁRIO!A36)</f>
        <v/>
      </c>
      <c r="B36" s="11" t="str">
        <f aca="false">IF(A36="","",INVENTÁRIO!B36)</f>
        <v/>
      </c>
      <c r="C36" s="16" t="str">
        <f aca="false">IF(A36="","",IFERROR(INDEX($L$2:$L$801,MATCH(A36,$K$2:$K$801,0)),"Não verificada"))</f>
        <v/>
      </c>
      <c r="D36" s="11" t="str">
        <f aca="false">IF(AND(A36&lt;&gt;"",C36&lt;&gt;"Tem foto"),MAX(D$1:D35)+1,"")</f>
        <v/>
      </c>
      <c r="F36" s="26" t="str">
        <f aca="false">IF($I$4=0,"",IF(34&lt;=$I$4,"    """&amp;INDEX($A$2:$A$801,MATCH(34,$D$2:$D$801,0))&amp;""",",IF(34=$I$4+1,"]","")))</f>
        <v/>
      </c>
    </row>
    <row r="37" customFormat="false" ht="15" hidden="false" customHeight="false" outlineLevel="0" collapsed="false">
      <c r="A37" s="11" t="str">
        <f aca="false">IF(INVENTÁRIO!A37="","",INVENTÁRIO!A37)</f>
        <v/>
      </c>
      <c r="B37" s="11" t="str">
        <f aca="false">IF(A37="","",INVENTÁRIO!B37)</f>
        <v/>
      </c>
      <c r="C37" s="16" t="str">
        <f aca="false">IF(A37="","",IFERROR(INDEX($L$2:$L$801,MATCH(A37,$K$2:$K$801,0)),"Não verificada"))</f>
        <v/>
      </c>
      <c r="D37" s="11" t="str">
        <f aca="false">IF(AND(A37&lt;&gt;"",C37&lt;&gt;"Tem foto"),MAX(D$1:D36)+1,"")</f>
        <v/>
      </c>
      <c r="F37" s="26" t="str">
        <f aca="false">IF($I$4=0,"",IF(35&lt;=$I$4,"    """&amp;INDEX($A$2:$A$801,MATCH(35,$D$2:$D$801,0))&amp;""",",IF(35=$I$4+1,"]","")))</f>
        <v/>
      </c>
    </row>
    <row r="38" customFormat="false" ht="15" hidden="false" customHeight="false" outlineLevel="0" collapsed="false">
      <c r="A38" s="11" t="str">
        <f aca="false">IF(INVENTÁRIO!A38="","",INVENTÁRIO!A38)</f>
        <v/>
      </c>
      <c r="B38" s="11" t="str">
        <f aca="false">IF(A38="","",INVENTÁRIO!B38)</f>
        <v/>
      </c>
      <c r="C38" s="16" t="str">
        <f aca="false">IF(A38="","",IFERROR(INDEX($L$2:$L$801,MATCH(A38,$K$2:$K$801,0)),"Não verificada"))</f>
        <v/>
      </c>
      <c r="D38" s="11" t="str">
        <f aca="false">IF(AND(A38&lt;&gt;"",C38&lt;&gt;"Tem foto"),MAX(D$1:D37)+1,"")</f>
        <v/>
      </c>
      <c r="F38" s="26" t="str">
        <f aca="false">IF($I$4=0,"",IF(36&lt;=$I$4,"    """&amp;INDEX($A$2:$A$801,MATCH(36,$D$2:$D$801,0))&amp;""",",IF(36=$I$4+1,"]","")))</f>
        <v/>
      </c>
    </row>
    <row r="39" customFormat="false" ht="15" hidden="false" customHeight="false" outlineLevel="0" collapsed="false">
      <c r="A39" s="11" t="str">
        <f aca="false">IF(INVENTÁRIO!A39="","",INVENTÁRIO!A39)</f>
        <v/>
      </c>
      <c r="B39" s="11" t="str">
        <f aca="false">IF(A39="","",INVENTÁRIO!B39)</f>
        <v/>
      </c>
      <c r="C39" s="16" t="str">
        <f aca="false">IF(A39="","",IFERROR(INDEX($L$2:$L$801,MATCH(A39,$K$2:$K$801,0)),"Não verificada"))</f>
        <v/>
      </c>
      <c r="D39" s="11" t="str">
        <f aca="false">IF(AND(A39&lt;&gt;"",C39&lt;&gt;"Tem foto"),MAX(D$1:D38)+1,"")</f>
        <v/>
      </c>
      <c r="F39" s="26" t="str">
        <f aca="false">IF($I$4=0,"",IF(37&lt;=$I$4,"    """&amp;INDEX($A$2:$A$801,MATCH(37,$D$2:$D$801,0))&amp;""",",IF(37=$I$4+1,"]","")))</f>
        <v/>
      </c>
    </row>
    <row r="40" customFormat="false" ht="15" hidden="false" customHeight="false" outlineLevel="0" collapsed="false">
      <c r="A40" s="11" t="str">
        <f aca="false">IF(INVENTÁRIO!A40="","",INVENTÁRIO!A40)</f>
        <v/>
      </c>
      <c r="B40" s="11" t="str">
        <f aca="false">IF(A40="","",INVENTÁRIO!B40)</f>
        <v/>
      </c>
      <c r="C40" s="16" t="str">
        <f aca="false">IF(A40="","",IFERROR(INDEX($L$2:$L$801,MATCH(A40,$K$2:$K$801,0)),"Não verificada"))</f>
        <v/>
      </c>
      <c r="D40" s="11" t="str">
        <f aca="false">IF(AND(A40&lt;&gt;"",C40&lt;&gt;"Tem foto"),MAX(D$1:D39)+1,"")</f>
        <v/>
      </c>
      <c r="F40" s="26" t="str">
        <f aca="false">IF($I$4=0,"",IF(38&lt;=$I$4,"    """&amp;INDEX($A$2:$A$801,MATCH(38,$D$2:$D$801,0))&amp;""",",IF(38=$I$4+1,"]","")))</f>
        <v/>
      </c>
    </row>
    <row r="41" customFormat="false" ht="15" hidden="false" customHeight="false" outlineLevel="0" collapsed="false">
      <c r="A41" s="11" t="str">
        <f aca="false">IF(INVENTÁRIO!A41="","",INVENTÁRIO!A41)</f>
        <v/>
      </c>
      <c r="B41" s="11" t="str">
        <f aca="false">IF(A41="","",INVENTÁRIO!B41)</f>
        <v/>
      </c>
      <c r="C41" s="16" t="str">
        <f aca="false">IF(A41="","",IFERROR(INDEX($L$2:$L$801,MATCH(A41,$K$2:$K$801,0)),"Não verificada"))</f>
        <v/>
      </c>
      <c r="D41" s="11" t="str">
        <f aca="false">IF(AND(A41&lt;&gt;"",C41&lt;&gt;"Tem foto"),MAX(D$1:D40)+1,"")</f>
        <v/>
      </c>
      <c r="F41" s="26" t="str">
        <f aca="false">IF($I$4=0,"",IF(39&lt;=$I$4,"    """&amp;INDEX($A$2:$A$801,MATCH(39,$D$2:$D$801,0))&amp;""",",IF(39=$I$4+1,"]","")))</f>
        <v/>
      </c>
    </row>
    <row r="42" customFormat="false" ht="15" hidden="false" customHeight="false" outlineLevel="0" collapsed="false">
      <c r="A42" s="11" t="str">
        <f aca="false">IF(INVENTÁRIO!A42="","",INVENTÁRIO!A42)</f>
        <v/>
      </c>
      <c r="B42" s="11" t="str">
        <f aca="false">IF(A42="","",INVENTÁRIO!B42)</f>
        <v/>
      </c>
      <c r="C42" s="16" t="str">
        <f aca="false">IF(A42="","",IFERROR(INDEX($L$2:$L$801,MATCH(A42,$K$2:$K$801,0)),"Não verificada"))</f>
        <v/>
      </c>
      <c r="D42" s="11" t="str">
        <f aca="false">IF(AND(A42&lt;&gt;"",C42&lt;&gt;"Tem foto"),MAX(D$1:D41)+1,"")</f>
        <v/>
      </c>
      <c r="F42" s="26" t="str">
        <f aca="false">IF($I$4=0,"",IF(40&lt;=$I$4,"    """&amp;INDEX($A$2:$A$801,MATCH(40,$D$2:$D$801,0))&amp;""",",IF(40=$I$4+1,"]","")))</f>
        <v/>
      </c>
    </row>
    <row r="43" customFormat="false" ht="15" hidden="false" customHeight="false" outlineLevel="0" collapsed="false">
      <c r="A43" s="11" t="str">
        <f aca="false">IF(INVENTÁRIO!A43="","",INVENTÁRIO!A43)</f>
        <v/>
      </c>
      <c r="B43" s="11" t="str">
        <f aca="false">IF(A43="","",INVENTÁRIO!B43)</f>
        <v/>
      </c>
      <c r="C43" s="16" t="str">
        <f aca="false">IF(A43="","",IFERROR(INDEX($L$2:$L$801,MATCH(A43,$K$2:$K$801,0)),"Não verificada"))</f>
        <v/>
      </c>
      <c r="D43" s="11" t="str">
        <f aca="false">IF(AND(A43&lt;&gt;"",C43&lt;&gt;"Tem foto"),MAX(D$1:D42)+1,"")</f>
        <v/>
      </c>
      <c r="F43" s="26" t="str">
        <f aca="false">IF($I$4=0,"",IF(41&lt;=$I$4,"    """&amp;INDEX($A$2:$A$801,MATCH(41,$D$2:$D$801,0))&amp;""",",IF(41=$I$4+1,"]","")))</f>
        <v/>
      </c>
    </row>
    <row r="44" customFormat="false" ht="15" hidden="false" customHeight="false" outlineLevel="0" collapsed="false">
      <c r="A44" s="11" t="str">
        <f aca="false">IF(INVENTÁRIO!A44="","",INVENTÁRIO!A44)</f>
        <v/>
      </c>
      <c r="B44" s="11" t="str">
        <f aca="false">IF(A44="","",INVENTÁRIO!B44)</f>
        <v/>
      </c>
      <c r="C44" s="16" t="str">
        <f aca="false">IF(A44="","",IFERROR(INDEX($L$2:$L$801,MATCH(A44,$K$2:$K$801,0)),"Não verificada"))</f>
        <v/>
      </c>
      <c r="D44" s="11" t="str">
        <f aca="false">IF(AND(A44&lt;&gt;"",C44&lt;&gt;"Tem foto"),MAX(D$1:D43)+1,"")</f>
        <v/>
      </c>
      <c r="F44" s="26" t="str">
        <f aca="false">IF($I$4=0,"",IF(42&lt;=$I$4,"    """&amp;INDEX($A$2:$A$801,MATCH(42,$D$2:$D$801,0))&amp;""",",IF(42=$I$4+1,"]","")))</f>
        <v/>
      </c>
    </row>
    <row r="45" customFormat="false" ht="15" hidden="false" customHeight="false" outlineLevel="0" collapsed="false">
      <c r="A45" s="11" t="str">
        <f aca="false">IF(INVENTÁRIO!A45="","",INVENTÁRIO!A45)</f>
        <v/>
      </c>
      <c r="B45" s="11" t="str">
        <f aca="false">IF(A45="","",INVENTÁRIO!B45)</f>
        <v/>
      </c>
      <c r="C45" s="16" t="str">
        <f aca="false">IF(A45="","",IFERROR(INDEX($L$2:$L$801,MATCH(A45,$K$2:$K$801,0)),"Não verificada"))</f>
        <v/>
      </c>
      <c r="D45" s="11" t="str">
        <f aca="false">IF(AND(A45&lt;&gt;"",C45&lt;&gt;"Tem foto"),MAX(D$1:D44)+1,"")</f>
        <v/>
      </c>
      <c r="F45" s="26" t="str">
        <f aca="false">IF($I$4=0,"",IF(43&lt;=$I$4,"    """&amp;INDEX($A$2:$A$801,MATCH(43,$D$2:$D$801,0))&amp;""",",IF(43=$I$4+1,"]","")))</f>
        <v/>
      </c>
    </row>
    <row r="46" customFormat="false" ht="15" hidden="false" customHeight="false" outlineLevel="0" collapsed="false">
      <c r="A46" s="11" t="str">
        <f aca="false">IF(INVENTÁRIO!A46="","",INVENTÁRIO!A46)</f>
        <v/>
      </c>
      <c r="B46" s="11" t="str">
        <f aca="false">IF(A46="","",INVENTÁRIO!B46)</f>
        <v/>
      </c>
      <c r="C46" s="16" t="str">
        <f aca="false">IF(A46="","",IFERROR(INDEX($L$2:$L$801,MATCH(A46,$K$2:$K$801,0)),"Não verificada"))</f>
        <v/>
      </c>
      <c r="D46" s="11" t="str">
        <f aca="false">IF(AND(A46&lt;&gt;"",C46&lt;&gt;"Tem foto"),MAX(D$1:D45)+1,"")</f>
        <v/>
      </c>
      <c r="F46" s="26" t="str">
        <f aca="false">IF($I$4=0,"",IF(44&lt;=$I$4,"    """&amp;INDEX($A$2:$A$801,MATCH(44,$D$2:$D$801,0))&amp;""",",IF(44=$I$4+1,"]","")))</f>
        <v/>
      </c>
    </row>
    <row r="47" customFormat="false" ht="15" hidden="false" customHeight="false" outlineLevel="0" collapsed="false">
      <c r="A47" s="11" t="str">
        <f aca="false">IF(INVENTÁRIO!A47="","",INVENTÁRIO!A47)</f>
        <v/>
      </c>
      <c r="B47" s="11" t="str">
        <f aca="false">IF(A47="","",INVENTÁRIO!B47)</f>
        <v/>
      </c>
      <c r="C47" s="16" t="str">
        <f aca="false">IF(A47="","",IFERROR(INDEX($L$2:$L$801,MATCH(A47,$K$2:$K$801,0)),"Não verificada"))</f>
        <v/>
      </c>
      <c r="D47" s="11" t="str">
        <f aca="false">IF(AND(A47&lt;&gt;"",C47&lt;&gt;"Tem foto"),MAX(D$1:D46)+1,"")</f>
        <v/>
      </c>
      <c r="F47" s="26" t="str">
        <f aca="false">IF($I$4=0,"",IF(45&lt;=$I$4,"    """&amp;INDEX($A$2:$A$801,MATCH(45,$D$2:$D$801,0))&amp;""",",IF(45=$I$4+1,"]","")))</f>
        <v/>
      </c>
    </row>
    <row r="48" customFormat="false" ht="15" hidden="false" customHeight="false" outlineLevel="0" collapsed="false">
      <c r="A48" s="11" t="str">
        <f aca="false">IF(INVENTÁRIO!A48="","",INVENTÁRIO!A48)</f>
        <v/>
      </c>
      <c r="B48" s="11" t="str">
        <f aca="false">IF(A48="","",INVENTÁRIO!B48)</f>
        <v/>
      </c>
      <c r="C48" s="16" t="str">
        <f aca="false">IF(A48="","",IFERROR(INDEX($L$2:$L$801,MATCH(A48,$K$2:$K$801,0)),"Não verificada"))</f>
        <v/>
      </c>
      <c r="D48" s="11" t="str">
        <f aca="false">IF(AND(A48&lt;&gt;"",C48&lt;&gt;"Tem foto"),MAX(D$1:D47)+1,"")</f>
        <v/>
      </c>
      <c r="F48" s="26" t="str">
        <f aca="false">IF($I$4=0,"",IF(46&lt;=$I$4,"    """&amp;INDEX($A$2:$A$801,MATCH(46,$D$2:$D$801,0))&amp;""",",IF(46=$I$4+1,"]","")))</f>
        <v/>
      </c>
    </row>
    <row r="49" customFormat="false" ht="15" hidden="false" customHeight="false" outlineLevel="0" collapsed="false">
      <c r="A49" s="11" t="str">
        <f aca="false">IF(INVENTÁRIO!A49="","",INVENTÁRIO!A49)</f>
        <v/>
      </c>
      <c r="B49" s="11" t="str">
        <f aca="false">IF(A49="","",INVENTÁRIO!B49)</f>
        <v/>
      </c>
      <c r="C49" s="16" t="str">
        <f aca="false">IF(A49="","",IFERROR(INDEX($L$2:$L$801,MATCH(A49,$K$2:$K$801,0)),"Não verificada"))</f>
        <v/>
      </c>
      <c r="D49" s="11" t="str">
        <f aca="false">IF(AND(A49&lt;&gt;"",C49&lt;&gt;"Tem foto"),MAX(D$1:D48)+1,"")</f>
        <v/>
      </c>
      <c r="F49" s="26" t="str">
        <f aca="false">IF($I$4=0,"",IF(47&lt;=$I$4,"    """&amp;INDEX($A$2:$A$801,MATCH(47,$D$2:$D$801,0))&amp;""",",IF(47=$I$4+1,"]","")))</f>
        <v/>
      </c>
    </row>
    <row r="50" customFormat="false" ht="15" hidden="false" customHeight="false" outlineLevel="0" collapsed="false">
      <c r="A50" s="11" t="str">
        <f aca="false">IF(INVENTÁRIO!A50="","",INVENTÁRIO!A50)</f>
        <v/>
      </c>
      <c r="B50" s="11" t="str">
        <f aca="false">IF(A50="","",INVENTÁRIO!B50)</f>
        <v/>
      </c>
      <c r="C50" s="16" t="str">
        <f aca="false">IF(A50="","",IFERROR(INDEX($L$2:$L$801,MATCH(A50,$K$2:$K$801,0)),"Não verificada"))</f>
        <v/>
      </c>
      <c r="D50" s="11" t="str">
        <f aca="false">IF(AND(A50&lt;&gt;"",C50&lt;&gt;"Tem foto"),MAX(D$1:D49)+1,"")</f>
        <v/>
      </c>
      <c r="F50" s="26" t="str">
        <f aca="false">IF($I$4=0,"",IF(48&lt;=$I$4,"    """&amp;INDEX($A$2:$A$801,MATCH(48,$D$2:$D$801,0))&amp;""",",IF(48=$I$4+1,"]","")))</f>
        <v/>
      </c>
    </row>
    <row r="51" customFormat="false" ht="15" hidden="false" customHeight="false" outlineLevel="0" collapsed="false">
      <c r="A51" s="11" t="str">
        <f aca="false">IF(INVENTÁRIO!A51="","",INVENTÁRIO!A51)</f>
        <v/>
      </c>
      <c r="B51" s="11" t="str">
        <f aca="false">IF(A51="","",INVENTÁRIO!B51)</f>
        <v/>
      </c>
      <c r="C51" s="16" t="str">
        <f aca="false">IF(A51="","",IFERROR(INDEX($L$2:$L$801,MATCH(A51,$K$2:$K$801,0)),"Não verificada"))</f>
        <v/>
      </c>
      <c r="D51" s="11" t="str">
        <f aca="false">IF(AND(A51&lt;&gt;"",C51&lt;&gt;"Tem foto"),MAX(D$1:D50)+1,"")</f>
        <v/>
      </c>
      <c r="F51" s="26" t="str">
        <f aca="false">IF($I$4=0,"",IF(49&lt;=$I$4,"    """&amp;INDEX($A$2:$A$801,MATCH(49,$D$2:$D$801,0))&amp;""",",IF(49=$I$4+1,"]","")))</f>
        <v/>
      </c>
    </row>
    <row r="52" customFormat="false" ht="15" hidden="false" customHeight="false" outlineLevel="0" collapsed="false">
      <c r="A52" s="11" t="str">
        <f aca="false">IF(INVENTÁRIO!A52="","",INVENTÁRIO!A52)</f>
        <v/>
      </c>
      <c r="B52" s="11" t="str">
        <f aca="false">IF(A52="","",INVENTÁRIO!B52)</f>
        <v/>
      </c>
      <c r="C52" s="16" t="str">
        <f aca="false">IF(A52="","",IFERROR(INDEX($L$2:$L$801,MATCH(A52,$K$2:$K$801,0)),"Não verificada"))</f>
        <v/>
      </c>
      <c r="D52" s="11" t="str">
        <f aca="false">IF(AND(A52&lt;&gt;"",C52&lt;&gt;"Tem foto"),MAX(D$1:D51)+1,"")</f>
        <v/>
      </c>
      <c r="F52" s="26" t="str">
        <f aca="false">IF($I$4=0,"",IF(50&lt;=$I$4,"    """&amp;INDEX($A$2:$A$801,MATCH(50,$D$2:$D$801,0))&amp;""",",IF(50=$I$4+1,"]","")))</f>
        <v/>
      </c>
    </row>
    <row r="53" customFormat="false" ht="15" hidden="false" customHeight="false" outlineLevel="0" collapsed="false">
      <c r="A53" s="11" t="str">
        <f aca="false">IF(INVENTÁRIO!A53="","",INVENTÁRIO!A53)</f>
        <v/>
      </c>
      <c r="B53" s="11" t="str">
        <f aca="false">IF(A53="","",INVENTÁRIO!B53)</f>
        <v/>
      </c>
      <c r="C53" s="16" t="str">
        <f aca="false">IF(A53="","",IFERROR(INDEX($L$2:$L$801,MATCH(A53,$K$2:$K$801,0)),"Não verificada"))</f>
        <v/>
      </c>
      <c r="D53" s="11" t="str">
        <f aca="false">IF(AND(A53&lt;&gt;"",C53&lt;&gt;"Tem foto"),MAX(D$1:D52)+1,"")</f>
        <v/>
      </c>
      <c r="F53" s="26" t="str">
        <f aca="false">IF($I$4=0,"",IF(51&lt;=$I$4,"    """&amp;INDEX($A$2:$A$801,MATCH(51,$D$2:$D$801,0))&amp;""",",IF(51=$I$4+1,"]","")))</f>
        <v/>
      </c>
    </row>
    <row r="54" customFormat="false" ht="15" hidden="false" customHeight="false" outlineLevel="0" collapsed="false">
      <c r="A54" s="11" t="str">
        <f aca="false">IF(INVENTÁRIO!A54="","",INVENTÁRIO!A54)</f>
        <v/>
      </c>
      <c r="B54" s="11" t="str">
        <f aca="false">IF(A54="","",INVENTÁRIO!B54)</f>
        <v/>
      </c>
      <c r="C54" s="16" t="str">
        <f aca="false">IF(A54="","",IFERROR(INDEX($L$2:$L$801,MATCH(A54,$K$2:$K$801,0)),"Não verificada"))</f>
        <v/>
      </c>
      <c r="D54" s="11" t="str">
        <f aca="false">IF(AND(A54&lt;&gt;"",C54&lt;&gt;"Tem foto"),MAX(D$1:D53)+1,"")</f>
        <v/>
      </c>
      <c r="F54" s="26" t="str">
        <f aca="false">IF($I$4=0,"",IF(52&lt;=$I$4,"    """&amp;INDEX($A$2:$A$801,MATCH(52,$D$2:$D$801,0))&amp;""",",IF(52=$I$4+1,"]","")))</f>
        <v/>
      </c>
    </row>
    <row r="55" customFormat="false" ht="15" hidden="false" customHeight="false" outlineLevel="0" collapsed="false">
      <c r="A55" s="11" t="str">
        <f aca="false">IF(INVENTÁRIO!A55="","",INVENTÁRIO!A55)</f>
        <v/>
      </c>
      <c r="B55" s="11" t="str">
        <f aca="false">IF(A55="","",INVENTÁRIO!B55)</f>
        <v/>
      </c>
      <c r="C55" s="16" t="str">
        <f aca="false">IF(A55="","",IFERROR(INDEX($L$2:$L$801,MATCH(A55,$K$2:$K$801,0)),"Não verificada"))</f>
        <v/>
      </c>
      <c r="D55" s="11" t="str">
        <f aca="false">IF(AND(A55&lt;&gt;"",C55&lt;&gt;"Tem foto"),MAX(D$1:D54)+1,"")</f>
        <v/>
      </c>
      <c r="F55" s="26" t="str">
        <f aca="false">IF($I$4=0,"",IF(53&lt;=$I$4,"    """&amp;INDEX($A$2:$A$801,MATCH(53,$D$2:$D$801,0))&amp;""",",IF(53=$I$4+1,"]","")))</f>
        <v/>
      </c>
    </row>
    <row r="56" customFormat="false" ht="15" hidden="false" customHeight="false" outlineLevel="0" collapsed="false">
      <c r="A56" s="11" t="str">
        <f aca="false">IF(INVENTÁRIO!A56="","",INVENTÁRIO!A56)</f>
        <v/>
      </c>
      <c r="B56" s="11" t="str">
        <f aca="false">IF(A56="","",INVENTÁRIO!B56)</f>
        <v/>
      </c>
      <c r="C56" s="16" t="str">
        <f aca="false">IF(A56="","",IFERROR(INDEX($L$2:$L$801,MATCH(A56,$K$2:$K$801,0)),"Não verificada"))</f>
        <v/>
      </c>
      <c r="D56" s="11" t="str">
        <f aca="false">IF(AND(A56&lt;&gt;"",C56&lt;&gt;"Tem foto"),MAX(D$1:D55)+1,"")</f>
        <v/>
      </c>
      <c r="F56" s="26" t="str">
        <f aca="false">IF($I$4=0,"",IF(54&lt;=$I$4,"    """&amp;INDEX($A$2:$A$801,MATCH(54,$D$2:$D$801,0))&amp;""",",IF(54=$I$4+1,"]","")))</f>
        <v/>
      </c>
    </row>
    <row r="57" customFormat="false" ht="15" hidden="false" customHeight="false" outlineLevel="0" collapsed="false">
      <c r="A57" s="11" t="str">
        <f aca="false">IF(INVENTÁRIO!A57="","",INVENTÁRIO!A57)</f>
        <v/>
      </c>
      <c r="B57" s="11" t="str">
        <f aca="false">IF(A57="","",INVENTÁRIO!B57)</f>
        <v/>
      </c>
      <c r="C57" s="16" t="str">
        <f aca="false">IF(A57="","",IFERROR(INDEX($L$2:$L$801,MATCH(A57,$K$2:$K$801,0)),"Não verificada"))</f>
        <v/>
      </c>
      <c r="D57" s="11" t="str">
        <f aca="false">IF(AND(A57&lt;&gt;"",C57&lt;&gt;"Tem foto"),MAX(D$1:D56)+1,"")</f>
        <v/>
      </c>
      <c r="F57" s="26" t="str">
        <f aca="false">IF($I$4=0,"",IF(55&lt;=$I$4,"    """&amp;INDEX($A$2:$A$801,MATCH(55,$D$2:$D$801,0))&amp;""",",IF(55=$I$4+1,"]","")))</f>
        <v/>
      </c>
    </row>
    <row r="58" customFormat="false" ht="15" hidden="false" customHeight="false" outlineLevel="0" collapsed="false">
      <c r="A58" s="11" t="str">
        <f aca="false">IF(INVENTÁRIO!A58="","",INVENTÁRIO!A58)</f>
        <v/>
      </c>
      <c r="B58" s="11" t="str">
        <f aca="false">IF(A58="","",INVENTÁRIO!B58)</f>
        <v/>
      </c>
      <c r="C58" s="16" t="str">
        <f aca="false">IF(A58="","",IFERROR(INDEX($L$2:$L$801,MATCH(A58,$K$2:$K$801,0)),"Não verificada"))</f>
        <v/>
      </c>
      <c r="D58" s="11" t="str">
        <f aca="false">IF(AND(A58&lt;&gt;"",C58&lt;&gt;"Tem foto"),MAX(D$1:D57)+1,"")</f>
        <v/>
      </c>
      <c r="F58" s="26" t="str">
        <f aca="false">IF($I$4=0,"",IF(56&lt;=$I$4,"    """&amp;INDEX($A$2:$A$801,MATCH(56,$D$2:$D$801,0))&amp;""",",IF(56=$I$4+1,"]","")))</f>
        <v/>
      </c>
    </row>
    <row r="59" customFormat="false" ht="15" hidden="false" customHeight="false" outlineLevel="0" collapsed="false">
      <c r="A59" s="11" t="str">
        <f aca="false">IF(INVENTÁRIO!A59="","",INVENTÁRIO!A59)</f>
        <v/>
      </c>
      <c r="B59" s="11" t="str">
        <f aca="false">IF(A59="","",INVENTÁRIO!B59)</f>
        <v/>
      </c>
      <c r="C59" s="16" t="str">
        <f aca="false">IF(A59="","",IFERROR(INDEX($L$2:$L$801,MATCH(A59,$K$2:$K$801,0)),"Não verificada"))</f>
        <v/>
      </c>
      <c r="D59" s="11" t="str">
        <f aca="false">IF(AND(A59&lt;&gt;"",C59&lt;&gt;"Tem foto"),MAX(D$1:D58)+1,"")</f>
        <v/>
      </c>
      <c r="F59" s="26" t="str">
        <f aca="false">IF($I$4=0,"",IF(57&lt;=$I$4,"    """&amp;INDEX($A$2:$A$801,MATCH(57,$D$2:$D$801,0))&amp;""",",IF(57=$I$4+1,"]","")))</f>
        <v/>
      </c>
    </row>
    <row r="60" customFormat="false" ht="15" hidden="false" customHeight="false" outlineLevel="0" collapsed="false">
      <c r="A60" s="11" t="str">
        <f aca="false">IF(INVENTÁRIO!A60="","",INVENTÁRIO!A60)</f>
        <v/>
      </c>
      <c r="B60" s="11" t="str">
        <f aca="false">IF(A60="","",INVENTÁRIO!B60)</f>
        <v/>
      </c>
      <c r="C60" s="16" t="str">
        <f aca="false">IF(A60="","",IFERROR(INDEX($L$2:$L$801,MATCH(A60,$K$2:$K$801,0)),"Não verificada"))</f>
        <v/>
      </c>
      <c r="D60" s="11" t="str">
        <f aca="false">IF(AND(A60&lt;&gt;"",C60&lt;&gt;"Tem foto"),MAX(D$1:D59)+1,"")</f>
        <v/>
      </c>
      <c r="F60" s="26" t="str">
        <f aca="false">IF($I$4=0,"",IF(58&lt;=$I$4,"    """&amp;INDEX($A$2:$A$801,MATCH(58,$D$2:$D$801,0))&amp;""",",IF(58=$I$4+1,"]","")))</f>
        <v/>
      </c>
    </row>
    <row r="61" customFormat="false" ht="15" hidden="false" customHeight="false" outlineLevel="0" collapsed="false">
      <c r="A61" s="11" t="str">
        <f aca="false">IF(INVENTÁRIO!A61="","",INVENTÁRIO!A61)</f>
        <v/>
      </c>
      <c r="B61" s="11" t="str">
        <f aca="false">IF(A61="","",INVENTÁRIO!B61)</f>
        <v/>
      </c>
      <c r="C61" s="16" t="str">
        <f aca="false">IF(A61="","",IFERROR(INDEX($L$2:$L$801,MATCH(A61,$K$2:$K$801,0)),"Não verificada"))</f>
        <v/>
      </c>
      <c r="D61" s="11" t="str">
        <f aca="false">IF(AND(A61&lt;&gt;"",C61&lt;&gt;"Tem foto"),MAX(D$1:D60)+1,"")</f>
        <v/>
      </c>
      <c r="F61" s="26" t="str">
        <f aca="false">IF($I$4=0,"",IF(59&lt;=$I$4,"    """&amp;INDEX($A$2:$A$801,MATCH(59,$D$2:$D$801,0))&amp;""",",IF(59=$I$4+1,"]","")))</f>
        <v/>
      </c>
    </row>
    <row r="62" customFormat="false" ht="15" hidden="false" customHeight="false" outlineLevel="0" collapsed="false">
      <c r="A62" s="11" t="str">
        <f aca="false">IF(INVENTÁRIO!A62="","",INVENTÁRIO!A62)</f>
        <v/>
      </c>
      <c r="B62" s="11" t="str">
        <f aca="false">IF(A62="","",INVENTÁRIO!B62)</f>
        <v/>
      </c>
      <c r="C62" s="16" t="str">
        <f aca="false">IF(A62="","",IFERROR(INDEX($L$2:$L$801,MATCH(A62,$K$2:$K$801,0)),"Não verificada"))</f>
        <v/>
      </c>
      <c r="D62" s="11" t="str">
        <f aca="false">IF(AND(A62&lt;&gt;"",C62&lt;&gt;"Tem foto"),MAX(D$1:D61)+1,"")</f>
        <v/>
      </c>
      <c r="F62" s="26" t="str">
        <f aca="false">IF($I$4=0,"",IF(60&lt;=$I$4,"    """&amp;INDEX($A$2:$A$801,MATCH(60,$D$2:$D$801,0))&amp;""",",IF(60=$I$4+1,"]","")))</f>
        <v/>
      </c>
    </row>
    <row r="63" customFormat="false" ht="15" hidden="false" customHeight="false" outlineLevel="0" collapsed="false">
      <c r="A63" s="11" t="str">
        <f aca="false">IF(INVENTÁRIO!A63="","",INVENTÁRIO!A63)</f>
        <v/>
      </c>
      <c r="B63" s="11" t="str">
        <f aca="false">IF(A63="","",INVENTÁRIO!B63)</f>
        <v/>
      </c>
      <c r="C63" s="16" t="str">
        <f aca="false">IF(A63="","",IFERROR(INDEX($L$2:$L$801,MATCH(A63,$K$2:$K$801,0)),"Não verificada"))</f>
        <v/>
      </c>
      <c r="D63" s="11" t="str">
        <f aca="false">IF(AND(A63&lt;&gt;"",C63&lt;&gt;"Tem foto"),MAX(D$1:D62)+1,"")</f>
        <v/>
      </c>
      <c r="F63" s="26" t="str">
        <f aca="false">IF($I$4=0,"",IF(61&lt;=$I$4,"    """&amp;INDEX($A$2:$A$801,MATCH(61,$D$2:$D$801,0))&amp;""",",IF(61=$I$4+1,"]","")))</f>
        <v/>
      </c>
    </row>
    <row r="64" customFormat="false" ht="15" hidden="false" customHeight="false" outlineLevel="0" collapsed="false">
      <c r="A64" s="11" t="str">
        <f aca="false">IF(INVENTÁRIO!A64="","",INVENTÁRIO!A64)</f>
        <v/>
      </c>
      <c r="B64" s="11" t="str">
        <f aca="false">IF(A64="","",INVENTÁRIO!B64)</f>
        <v/>
      </c>
      <c r="C64" s="16" t="str">
        <f aca="false">IF(A64="","",IFERROR(INDEX($L$2:$L$801,MATCH(A64,$K$2:$K$801,0)),"Não verificada"))</f>
        <v/>
      </c>
      <c r="D64" s="11" t="str">
        <f aca="false">IF(AND(A64&lt;&gt;"",C64&lt;&gt;"Tem foto"),MAX(D$1:D63)+1,"")</f>
        <v/>
      </c>
      <c r="F64" s="26" t="str">
        <f aca="false">IF($I$4=0,"",IF(62&lt;=$I$4,"    """&amp;INDEX($A$2:$A$801,MATCH(62,$D$2:$D$801,0))&amp;""",",IF(62=$I$4+1,"]","")))</f>
        <v/>
      </c>
    </row>
    <row r="65" customFormat="false" ht="15" hidden="false" customHeight="false" outlineLevel="0" collapsed="false">
      <c r="A65" s="11" t="str">
        <f aca="false">IF(INVENTÁRIO!A65="","",INVENTÁRIO!A65)</f>
        <v/>
      </c>
      <c r="B65" s="11" t="str">
        <f aca="false">IF(A65="","",INVENTÁRIO!B65)</f>
        <v/>
      </c>
      <c r="C65" s="16" t="str">
        <f aca="false">IF(A65="","",IFERROR(INDEX($L$2:$L$801,MATCH(A65,$K$2:$K$801,0)),"Não verificada"))</f>
        <v/>
      </c>
      <c r="D65" s="11" t="str">
        <f aca="false">IF(AND(A65&lt;&gt;"",C65&lt;&gt;"Tem foto"),MAX(D$1:D64)+1,"")</f>
        <v/>
      </c>
      <c r="F65" s="26" t="str">
        <f aca="false">IF($I$4=0,"",IF(63&lt;=$I$4,"    """&amp;INDEX($A$2:$A$801,MATCH(63,$D$2:$D$801,0))&amp;""",",IF(63=$I$4+1,"]","")))</f>
        <v/>
      </c>
    </row>
    <row r="66" customFormat="false" ht="15" hidden="false" customHeight="false" outlineLevel="0" collapsed="false">
      <c r="A66" s="11" t="str">
        <f aca="false">IF(INVENTÁRIO!A66="","",INVENTÁRIO!A66)</f>
        <v/>
      </c>
      <c r="B66" s="11" t="str">
        <f aca="false">IF(A66="","",INVENTÁRIO!B66)</f>
        <v/>
      </c>
      <c r="C66" s="16" t="str">
        <f aca="false">IF(A66="","",IFERROR(INDEX($L$2:$L$801,MATCH(A66,$K$2:$K$801,0)),"Não verificada"))</f>
        <v/>
      </c>
      <c r="D66" s="11" t="str">
        <f aca="false">IF(AND(A66&lt;&gt;"",C66&lt;&gt;"Tem foto"),MAX(D$1:D65)+1,"")</f>
        <v/>
      </c>
      <c r="F66" s="26" t="str">
        <f aca="false">IF($I$4=0,"",IF(64&lt;=$I$4,"    """&amp;INDEX($A$2:$A$801,MATCH(64,$D$2:$D$801,0))&amp;""",",IF(64=$I$4+1,"]","")))</f>
        <v/>
      </c>
    </row>
    <row r="67" customFormat="false" ht="15" hidden="false" customHeight="false" outlineLevel="0" collapsed="false">
      <c r="A67" s="11" t="str">
        <f aca="false">IF(INVENTÁRIO!A67="","",INVENTÁRIO!A67)</f>
        <v/>
      </c>
      <c r="B67" s="11" t="str">
        <f aca="false">IF(A67="","",INVENTÁRIO!B67)</f>
        <v/>
      </c>
      <c r="C67" s="16" t="str">
        <f aca="false">IF(A67="","",IFERROR(INDEX($L$2:$L$801,MATCH(A67,$K$2:$K$801,0)),"Não verificada"))</f>
        <v/>
      </c>
      <c r="D67" s="11" t="str">
        <f aca="false">IF(AND(A67&lt;&gt;"",C67&lt;&gt;"Tem foto"),MAX(D$1:D66)+1,"")</f>
        <v/>
      </c>
      <c r="F67" s="26" t="str">
        <f aca="false">IF($I$4=0,"",IF(65&lt;=$I$4,"    """&amp;INDEX($A$2:$A$801,MATCH(65,$D$2:$D$801,0))&amp;""",",IF(65=$I$4+1,"]","")))</f>
        <v/>
      </c>
    </row>
    <row r="68" customFormat="false" ht="15" hidden="false" customHeight="false" outlineLevel="0" collapsed="false">
      <c r="A68" s="11" t="str">
        <f aca="false">IF(INVENTÁRIO!A68="","",INVENTÁRIO!A68)</f>
        <v/>
      </c>
      <c r="B68" s="11" t="str">
        <f aca="false">IF(A68="","",INVENTÁRIO!B68)</f>
        <v/>
      </c>
      <c r="C68" s="16" t="str">
        <f aca="false">IF(A68="","",IFERROR(INDEX($L$2:$L$801,MATCH(A68,$K$2:$K$801,0)),"Não verificada"))</f>
        <v/>
      </c>
      <c r="D68" s="11" t="str">
        <f aca="false">IF(AND(A68&lt;&gt;"",C68&lt;&gt;"Tem foto"),MAX(D$1:D67)+1,"")</f>
        <v/>
      </c>
      <c r="F68" s="26" t="str">
        <f aca="false">IF($I$4=0,"",IF(66&lt;=$I$4,"    """&amp;INDEX($A$2:$A$801,MATCH(66,$D$2:$D$801,0))&amp;""",",IF(66=$I$4+1,"]","")))</f>
        <v/>
      </c>
    </row>
    <row r="69" customFormat="false" ht="15" hidden="false" customHeight="false" outlineLevel="0" collapsed="false">
      <c r="A69" s="11" t="str">
        <f aca="false">IF(INVENTÁRIO!A69="","",INVENTÁRIO!A69)</f>
        <v/>
      </c>
      <c r="B69" s="11" t="str">
        <f aca="false">IF(A69="","",INVENTÁRIO!B69)</f>
        <v/>
      </c>
      <c r="C69" s="16" t="str">
        <f aca="false">IF(A69="","",IFERROR(INDEX($L$2:$L$801,MATCH(A69,$K$2:$K$801,0)),"Não verificada"))</f>
        <v/>
      </c>
      <c r="D69" s="11" t="str">
        <f aca="false">IF(AND(A69&lt;&gt;"",C69&lt;&gt;"Tem foto"),MAX(D$1:D68)+1,"")</f>
        <v/>
      </c>
      <c r="F69" s="26" t="str">
        <f aca="false">IF($I$4=0,"",IF(67&lt;=$I$4,"    """&amp;INDEX($A$2:$A$801,MATCH(67,$D$2:$D$801,0))&amp;""",",IF(67=$I$4+1,"]","")))</f>
        <v/>
      </c>
    </row>
    <row r="70" customFormat="false" ht="15" hidden="false" customHeight="false" outlineLevel="0" collapsed="false">
      <c r="A70" s="11" t="str">
        <f aca="false">IF(INVENTÁRIO!A70="","",INVENTÁRIO!A70)</f>
        <v/>
      </c>
      <c r="B70" s="11" t="str">
        <f aca="false">IF(A70="","",INVENTÁRIO!B70)</f>
        <v/>
      </c>
      <c r="C70" s="16" t="str">
        <f aca="false">IF(A70="","",IFERROR(INDEX($L$2:$L$801,MATCH(A70,$K$2:$K$801,0)),"Não verificada"))</f>
        <v/>
      </c>
      <c r="D70" s="11" t="str">
        <f aca="false">IF(AND(A70&lt;&gt;"",C70&lt;&gt;"Tem foto"),MAX(D$1:D69)+1,"")</f>
        <v/>
      </c>
      <c r="F70" s="26" t="str">
        <f aca="false">IF($I$4=0,"",IF(68&lt;=$I$4,"    """&amp;INDEX($A$2:$A$801,MATCH(68,$D$2:$D$801,0))&amp;""",",IF(68=$I$4+1,"]","")))</f>
        <v/>
      </c>
    </row>
    <row r="71" customFormat="false" ht="15" hidden="false" customHeight="false" outlineLevel="0" collapsed="false">
      <c r="A71" s="11" t="str">
        <f aca="false">IF(INVENTÁRIO!A71="","",INVENTÁRIO!A71)</f>
        <v/>
      </c>
      <c r="B71" s="11" t="str">
        <f aca="false">IF(A71="","",INVENTÁRIO!B71)</f>
        <v/>
      </c>
      <c r="C71" s="16" t="str">
        <f aca="false">IF(A71="","",IFERROR(INDEX($L$2:$L$801,MATCH(A71,$K$2:$K$801,0)),"Não verificada"))</f>
        <v/>
      </c>
      <c r="D71" s="11" t="str">
        <f aca="false">IF(AND(A71&lt;&gt;"",C71&lt;&gt;"Tem foto"),MAX(D$1:D70)+1,"")</f>
        <v/>
      </c>
      <c r="F71" s="26" t="str">
        <f aca="false">IF($I$4=0,"",IF(69&lt;=$I$4,"    """&amp;INDEX($A$2:$A$801,MATCH(69,$D$2:$D$801,0))&amp;""",",IF(69=$I$4+1,"]","")))</f>
        <v/>
      </c>
    </row>
    <row r="72" customFormat="false" ht="15" hidden="false" customHeight="false" outlineLevel="0" collapsed="false">
      <c r="A72" s="11" t="str">
        <f aca="false">IF(INVENTÁRIO!A72="","",INVENTÁRIO!A72)</f>
        <v/>
      </c>
      <c r="B72" s="11" t="str">
        <f aca="false">IF(A72="","",INVENTÁRIO!B72)</f>
        <v/>
      </c>
      <c r="C72" s="16" t="str">
        <f aca="false">IF(A72="","",IFERROR(INDEX($L$2:$L$801,MATCH(A72,$K$2:$K$801,0)),"Não verificada"))</f>
        <v/>
      </c>
      <c r="D72" s="11" t="str">
        <f aca="false">IF(AND(A72&lt;&gt;"",C72&lt;&gt;"Tem foto"),MAX(D$1:D71)+1,"")</f>
        <v/>
      </c>
      <c r="F72" s="26" t="str">
        <f aca="false">IF($I$4=0,"",IF(70&lt;=$I$4,"    """&amp;INDEX($A$2:$A$801,MATCH(70,$D$2:$D$801,0))&amp;""",",IF(70=$I$4+1,"]","")))</f>
        <v/>
      </c>
    </row>
    <row r="73" customFormat="false" ht="15" hidden="false" customHeight="false" outlineLevel="0" collapsed="false">
      <c r="A73" s="11" t="str">
        <f aca="false">IF(INVENTÁRIO!A73="","",INVENTÁRIO!A73)</f>
        <v/>
      </c>
      <c r="B73" s="11" t="str">
        <f aca="false">IF(A73="","",INVENTÁRIO!B73)</f>
        <v/>
      </c>
      <c r="C73" s="16" t="str">
        <f aca="false">IF(A73="","",IFERROR(INDEX($L$2:$L$801,MATCH(A73,$K$2:$K$801,0)),"Não verificada"))</f>
        <v/>
      </c>
      <c r="D73" s="11" t="str">
        <f aca="false">IF(AND(A73&lt;&gt;"",C73&lt;&gt;"Tem foto"),MAX(D$1:D72)+1,"")</f>
        <v/>
      </c>
      <c r="F73" s="26" t="str">
        <f aca="false">IF($I$4=0,"",IF(71&lt;=$I$4,"    """&amp;INDEX($A$2:$A$801,MATCH(71,$D$2:$D$801,0))&amp;""",",IF(71=$I$4+1,"]","")))</f>
        <v/>
      </c>
    </row>
    <row r="74" customFormat="false" ht="15" hidden="false" customHeight="false" outlineLevel="0" collapsed="false">
      <c r="A74" s="11" t="str">
        <f aca="false">IF(INVENTÁRIO!A74="","",INVENTÁRIO!A74)</f>
        <v/>
      </c>
      <c r="B74" s="11" t="str">
        <f aca="false">IF(A74="","",INVENTÁRIO!B74)</f>
        <v/>
      </c>
      <c r="C74" s="16" t="str">
        <f aca="false">IF(A74="","",IFERROR(INDEX($L$2:$L$801,MATCH(A74,$K$2:$K$801,0)),"Não verificada"))</f>
        <v/>
      </c>
      <c r="D74" s="11" t="str">
        <f aca="false">IF(AND(A74&lt;&gt;"",C74&lt;&gt;"Tem foto"),MAX(D$1:D73)+1,"")</f>
        <v/>
      </c>
      <c r="F74" s="26" t="str">
        <f aca="false">IF($I$4=0,"",IF(72&lt;=$I$4,"    """&amp;INDEX($A$2:$A$801,MATCH(72,$D$2:$D$801,0))&amp;""",",IF(72=$I$4+1,"]","")))</f>
        <v/>
      </c>
    </row>
    <row r="75" customFormat="false" ht="15" hidden="false" customHeight="false" outlineLevel="0" collapsed="false">
      <c r="A75" s="11" t="str">
        <f aca="false">IF(INVENTÁRIO!A75="","",INVENTÁRIO!A75)</f>
        <v/>
      </c>
      <c r="B75" s="11" t="str">
        <f aca="false">IF(A75="","",INVENTÁRIO!B75)</f>
        <v/>
      </c>
      <c r="C75" s="16" t="str">
        <f aca="false">IF(A75="","",IFERROR(INDEX($L$2:$L$801,MATCH(A75,$K$2:$K$801,0)),"Não verificada"))</f>
        <v/>
      </c>
      <c r="D75" s="11" t="str">
        <f aca="false">IF(AND(A75&lt;&gt;"",C75&lt;&gt;"Tem foto"),MAX(D$1:D74)+1,"")</f>
        <v/>
      </c>
      <c r="F75" s="26" t="str">
        <f aca="false">IF($I$4=0,"",IF(73&lt;=$I$4,"    """&amp;INDEX($A$2:$A$801,MATCH(73,$D$2:$D$801,0))&amp;""",",IF(73=$I$4+1,"]","")))</f>
        <v/>
      </c>
    </row>
    <row r="76" customFormat="false" ht="15" hidden="false" customHeight="false" outlineLevel="0" collapsed="false">
      <c r="A76" s="11" t="str">
        <f aca="false">IF(INVENTÁRIO!A76="","",INVENTÁRIO!A76)</f>
        <v/>
      </c>
      <c r="B76" s="11" t="str">
        <f aca="false">IF(A76="","",INVENTÁRIO!B76)</f>
        <v/>
      </c>
      <c r="C76" s="16" t="str">
        <f aca="false">IF(A76="","",IFERROR(INDEX($L$2:$L$801,MATCH(A76,$K$2:$K$801,0)),"Não verificada"))</f>
        <v/>
      </c>
      <c r="D76" s="11" t="str">
        <f aca="false">IF(AND(A76&lt;&gt;"",C76&lt;&gt;"Tem foto"),MAX(D$1:D75)+1,"")</f>
        <v/>
      </c>
      <c r="F76" s="26" t="str">
        <f aca="false">IF($I$4=0,"",IF(74&lt;=$I$4,"    """&amp;INDEX($A$2:$A$801,MATCH(74,$D$2:$D$801,0))&amp;""",",IF(74=$I$4+1,"]","")))</f>
        <v/>
      </c>
    </row>
    <row r="77" customFormat="false" ht="15" hidden="false" customHeight="false" outlineLevel="0" collapsed="false">
      <c r="A77" s="11" t="str">
        <f aca="false">IF(INVENTÁRIO!A77="","",INVENTÁRIO!A77)</f>
        <v/>
      </c>
      <c r="B77" s="11" t="str">
        <f aca="false">IF(A77="","",INVENTÁRIO!B77)</f>
        <v/>
      </c>
      <c r="C77" s="16" t="str">
        <f aca="false">IF(A77="","",IFERROR(INDEX($L$2:$L$801,MATCH(A77,$K$2:$K$801,0)),"Não verificada"))</f>
        <v/>
      </c>
      <c r="D77" s="11" t="str">
        <f aca="false">IF(AND(A77&lt;&gt;"",C77&lt;&gt;"Tem foto"),MAX(D$1:D76)+1,"")</f>
        <v/>
      </c>
      <c r="F77" s="26" t="str">
        <f aca="false">IF($I$4=0,"",IF(75&lt;=$I$4,"    """&amp;INDEX($A$2:$A$801,MATCH(75,$D$2:$D$801,0))&amp;""",",IF(75=$I$4+1,"]","")))</f>
        <v/>
      </c>
    </row>
    <row r="78" customFormat="false" ht="15" hidden="false" customHeight="false" outlineLevel="0" collapsed="false">
      <c r="A78" s="11" t="str">
        <f aca="false">IF(INVENTÁRIO!A78="","",INVENTÁRIO!A78)</f>
        <v/>
      </c>
      <c r="B78" s="11" t="str">
        <f aca="false">IF(A78="","",INVENTÁRIO!B78)</f>
        <v/>
      </c>
      <c r="C78" s="16" t="str">
        <f aca="false">IF(A78="","",IFERROR(INDEX($L$2:$L$801,MATCH(A78,$K$2:$K$801,0)),"Não verificada"))</f>
        <v/>
      </c>
      <c r="D78" s="11" t="str">
        <f aca="false">IF(AND(A78&lt;&gt;"",C78&lt;&gt;"Tem foto"),MAX(D$1:D77)+1,"")</f>
        <v/>
      </c>
      <c r="F78" s="26" t="str">
        <f aca="false">IF($I$4=0,"",IF(76&lt;=$I$4,"    """&amp;INDEX($A$2:$A$801,MATCH(76,$D$2:$D$801,0))&amp;""",",IF(76=$I$4+1,"]","")))</f>
        <v/>
      </c>
    </row>
    <row r="79" customFormat="false" ht="15" hidden="false" customHeight="false" outlineLevel="0" collapsed="false">
      <c r="A79" s="11" t="str">
        <f aca="false">IF(INVENTÁRIO!A79="","",INVENTÁRIO!A79)</f>
        <v/>
      </c>
      <c r="B79" s="11" t="str">
        <f aca="false">IF(A79="","",INVENTÁRIO!B79)</f>
        <v/>
      </c>
      <c r="C79" s="16" t="str">
        <f aca="false">IF(A79="","",IFERROR(INDEX($L$2:$L$801,MATCH(A79,$K$2:$K$801,0)),"Não verificada"))</f>
        <v/>
      </c>
      <c r="D79" s="11" t="str">
        <f aca="false">IF(AND(A79&lt;&gt;"",C79&lt;&gt;"Tem foto"),MAX(D$1:D78)+1,"")</f>
        <v/>
      </c>
      <c r="F79" s="26" t="str">
        <f aca="false">IF($I$4=0,"",IF(77&lt;=$I$4,"    """&amp;INDEX($A$2:$A$801,MATCH(77,$D$2:$D$801,0))&amp;""",",IF(77=$I$4+1,"]","")))</f>
        <v/>
      </c>
    </row>
    <row r="80" customFormat="false" ht="15" hidden="false" customHeight="false" outlineLevel="0" collapsed="false">
      <c r="A80" s="11" t="str">
        <f aca="false">IF(INVENTÁRIO!A80="","",INVENTÁRIO!A80)</f>
        <v/>
      </c>
      <c r="B80" s="11" t="str">
        <f aca="false">IF(A80="","",INVENTÁRIO!B80)</f>
        <v/>
      </c>
      <c r="C80" s="16" t="str">
        <f aca="false">IF(A80="","",IFERROR(INDEX($L$2:$L$801,MATCH(A80,$K$2:$K$801,0)),"Não verificada"))</f>
        <v/>
      </c>
      <c r="D80" s="11" t="str">
        <f aca="false">IF(AND(A80&lt;&gt;"",C80&lt;&gt;"Tem foto"),MAX(D$1:D79)+1,"")</f>
        <v/>
      </c>
      <c r="F80" s="26" t="str">
        <f aca="false">IF($I$4=0,"",IF(78&lt;=$I$4,"    """&amp;INDEX($A$2:$A$801,MATCH(78,$D$2:$D$801,0))&amp;""",",IF(78=$I$4+1,"]","")))</f>
        <v/>
      </c>
    </row>
    <row r="81" customFormat="false" ht="15" hidden="false" customHeight="false" outlineLevel="0" collapsed="false">
      <c r="A81" s="11" t="str">
        <f aca="false">IF(INVENTÁRIO!A81="","",INVENTÁRIO!A81)</f>
        <v/>
      </c>
      <c r="B81" s="11" t="str">
        <f aca="false">IF(A81="","",INVENTÁRIO!B81)</f>
        <v/>
      </c>
      <c r="C81" s="16" t="str">
        <f aca="false">IF(A81="","",IFERROR(INDEX($L$2:$L$801,MATCH(A81,$K$2:$K$801,0)),"Não verificada"))</f>
        <v/>
      </c>
      <c r="D81" s="11" t="str">
        <f aca="false">IF(AND(A81&lt;&gt;"",C81&lt;&gt;"Tem foto"),MAX(D$1:D80)+1,"")</f>
        <v/>
      </c>
      <c r="F81" s="26" t="str">
        <f aca="false">IF($I$4=0,"",IF(79&lt;=$I$4,"    """&amp;INDEX($A$2:$A$801,MATCH(79,$D$2:$D$801,0))&amp;""",",IF(79=$I$4+1,"]","")))</f>
        <v/>
      </c>
    </row>
    <row r="82" customFormat="false" ht="15" hidden="false" customHeight="false" outlineLevel="0" collapsed="false">
      <c r="A82" s="11" t="str">
        <f aca="false">IF(INVENTÁRIO!A82="","",INVENTÁRIO!A82)</f>
        <v/>
      </c>
      <c r="B82" s="11" t="str">
        <f aca="false">IF(A82="","",INVENTÁRIO!B82)</f>
        <v/>
      </c>
      <c r="C82" s="16" t="str">
        <f aca="false">IF(A82="","",IFERROR(INDEX($L$2:$L$801,MATCH(A82,$K$2:$K$801,0)),"Não verificada"))</f>
        <v/>
      </c>
      <c r="D82" s="11" t="str">
        <f aca="false">IF(AND(A82&lt;&gt;"",C82&lt;&gt;"Tem foto"),MAX(D$1:D81)+1,"")</f>
        <v/>
      </c>
      <c r="F82" s="26" t="str">
        <f aca="false">IF($I$4=0,"",IF(80&lt;=$I$4,"    """&amp;INDEX($A$2:$A$801,MATCH(80,$D$2:$D$801,0))&amp;""",",IF(80=$I$4+1,"]","")))</f>
        <v/>
      </c>
    </row>
    <row r="83" customFormat="false" ht="15" hidden="false" customHeight="false" outlineLevel="0" collapsed="false">
      <c r="A83" s="11" t="str">
        <f aca="false">IF(INVENTÁRIO!A83="","",INVENTÁRIO!A83)</f>
        <v/>
      </c>
      <c r="B83" s="11" t="str">
        <f aca="false">IF(A83="","",INVENTÁRIO!B83)</f>
        <v/>
      </c>
      <c r="C83" s="16" t="str">
        <f aca="false">IF(A83="","",IFERROR(INDEX($L$2:$L$801,MATCH(A83,$K$2:$K$801,0)),"Não verificada"))</f>
        <v/>
      </c>
      <c r="D83" s="11" t="str">
        <f aca="false">IF(AND(A83&lt;&gt;"",C83&lt;&gt;"Tem foto"),MAX(D$1:D82)+1,"")</f>
        <v/>
      </c>
      <c r="F83" s="26" t="str">
        <f aca="false">IF($I$4=0,"",IF(81&lt;=$I$4,"    """&amp;INDEX($A$2:$A$801,MATCH(81,$D$2:$D$801,0))&amp;""",",IF(81=$I$4+1,"]","")))</f>
        <v/>
      </c>
    </row>
    <row r="84" customFormat="false" ht="15" hidden="false" customHeight="false" outlineLevel="0" collapsed="false">
      <c r="A84" s="11" t="str">
        <f aca="false">IF(INVENTÁRIO!A84="","",INVENTÁRIO!A84)</f>
        <v/>
      </c>
      <c r="B84" s="11" t="str">
        <f aca="false">IF(A84="","",INVENTÁRIO!B84)</f>
        <v/>
      </c>
      <c r="C84" s="16" t="str">
        <f aca="false">IF(A84="","",IFERROR(INDEX($L$2:$L$801,MATCH(A84,$K$2:$K$801,0)),"Não verificada"))</f>
        <v/>
      </c>
      <c r="D84" s="11" t="str">
        <f aca="false">IF(AND(A84&lt;&gt;"",C84&lt;&gt;"Tem foto"),MAX(D$1:D83)+1,"")</f>
        <v/>
      </c>
      <c r="F84" s="26" t="str">
        <f aca="false">IF($I$4=0,"",IF(82&lt;=$I$4,"    """&amp;INDEX($A$2:$A$801,MATCH(82,$D$2:$D$801,0))&amp;""",",IF(82=$I$4+1,"]","")))</f>
        <v/>
      </c>
    </row>
    <row r="85" customFormat="false" ht="15" hidden="false" customHeight="false" outlineLevel="0" collapsed="false">
      <c r="A85" s="11" t="str">
        <f aca="false">IF(INVENTÁRIO!A85="","",INVENTÁRIO!A85)</f>
        <v/>
      </c>
      <c r="B85" s="11" t="str">
        <f aca="false">IF(A85="","",INVENTÁRIO!B85)</f>
        <v/>
      </c>
      <c r="C85" s="16" t="str">
        <f aca="false">IF(A85="","",IFERROR(INDEX($L$2:$L$801,MATCH(A85,$K$2:$K$801,0)),"Não verificada"))</f>
        <v/>
      </c>
      <c r="D85" s="11" t="str">
        <f aca="false">IF(AND(A85&lt;&gt;"",C85&lt;&gt;"Tem foto"),MAX(D$1:D84)+1,"")</f>
        <v/>
      </c>
      <c r="F85" s="26" t="str">
        <f aca="false">IF($I$4=0,"",IF(83&lt;=$I$4,"    """&amp;INDEX($A$2:$A$801,MATCH(83,$D$2:$D$801,0))&amp;""",",IF(83=$I$4+1,"]","")))</f>
        <v/>
      </c>
    </row>
    <row r="86" customFormat="false" ht="15" hidden="false" customHeight="false" outlineLevel="0" collapsed="false">
      <c r="A86" s="11" t="str">
        <f aca="false">IF(INVENTÁRIO!A86="","",INVENTÁRIO!A86)</f>
        <v/>
      </c>
      <c r="B86" s="11" t="str">
        <f aca="false">IF(A86="","",INVENTÁRIO!B86)</f>
        <v/>
      </c>
      <c r="C86" s="16" t="str">
        <f aca="false">IF(A86="","",IFERROR(INDEX($L$2:$L$801,MATCH(A86,$K$2:$K$801,0)),"Não verificada"))</f>
        <v/>
      </c>
      <c r="D86" s="11" t="str">
        <f aca="false">IF(AND(A86&lt;&gt;"",C86&lt;&gt;"Tem foto"),MAX(D$1:D85)+1,"")</f>
        <v/>
      </c>
      <c r="F86" s="26" t="str">
        <f aca="false">IF($I$4=0,"",IF(84&lt;=$I$4,"    """&amp;INDEX($A$2:$A$801,MATCH(84,$D$2:$D$801,0))&amp;""",",IF(84=$I$4+1,"]","")))</f>
        <v/>
      </c>
    </row>
    <row r="87" customFormat="false" ht="15" hidden="false" customHeight="false" outlineLevel="0" collapsed="false">
      <c r="A87" s="11" t="str">
        <f aca="false">IF(INVENTÁRIO!A87="","",INVENTÁRIO!A87)</f>
        <v/>
      </c>
      <c r="B87" s="11" t="str">
        <f aca="false">IF(A87="","",INVENTÁRIO!B87)</f>
        <v/>
      </c>
      <c r="C87" s="16" t="str">
        <f aca="false">IF(A87="","",IFERROR(INDEX($L$2:$L$801,MATCH(A87,$K$2:$K$801,0)),"Não verificada"))</f>
        <v/>
      </c>
      <c r="D87" s="11" t="str">
        <f aca="false">IF(AND(A87&lt;&gt;"",C87&lt;&gt;"Tem foto"),MAX(D$1:D86)+1,"")</f>
        <v/>
      </c>
      <c r="F87" s="26" t="str">
        <f aca="false">IF($I$4=0,"",IF(85&lt;=$I$4,"    """&amp;INDEX($A$2:$A$801,MATCH(85,$D$2:$D$801,0))&amp;""",",IF(85=$I$4+1,"]","")))</f>
        <v/>
      </c>
    </row>
    <row r="88" customFormat="false" ht="15" hidden="false" customHeight="false" outlineLevel="0" collapsed="false">
      <c r="A88" s="11" t="str">
        <f aca="false">IF(INVENTÁRIO!A88="","",INVENTÁRIO!A88)</f>
        <v/>
      </c>
      <c r="B88" s="11" t="str">
        <f aca="false">IF(A88="","",INVENTÁRIO!B88)</f>
        <v/>
      </c>
      <c r="C88" s="16" t="str">
        <f aca="false">IF(A88="","",IFERROR(INDEX($L$2:$L$801,MATCH(A88,$K$2:$K$801,0)),"Não verificada"))</f>
        <v/>
      </c>
      <c r="D88" s="11" t="str">
        <f aca="false">IF(AND(A88&lt;&gt;"",C88&lt;&gt;"Tem foto"),MAX(D$1:D87)+1,"")</f>
        <v/>
      </c>
      <c r="F88" s="26" t="str">
        <f aca="false">IF($I$4=0,"",IF(86&lt;=$I$4,"    """&amp;INDEX($A$2:$A$801,MATCH(86,$D$2:$D$801,0))&amp;""",",IF(86=$I$4+1,"]","")))</f>
        <v/>
      </c>
    </row>
    <row r="89" customFormat="false" ht="15" hidden="false" customHeight="false" outlineLevel="0" collapsed="false">
      <c r="A89" s="11" t="str">
        <f aca="false">IF(INVENTÁRIO!A89="","",INVENTÁRIO!A89)</f>
        <v/>
      </c>
      <c r="B89" s="11" t="str">
        <f aca="false">IF(A89="","",INVENTÁRIO!B89)</f>
        <v/>
      </c>
      <c r="C89" s="16" t="str">
        <f aca="false">IF(A89="","",IFERROR(INDEX($L$2:$L$801,MATCH(A89,$K$2:$K$801,0)),"Não verificada"))</f>
        <v/>
      </c>
      <c r="D89" s="11" t="str">
        <f aca="false">IF(AND(A89&lt;&gt;"",C89&lt;&gt;"Tem foto"),MAX(D$1:D88)+1,"")</f>
        <v/>
      </c>
      <c r="F89" s="26" t="str">
        <f aca="false">IF($I$4=0,"",IF(87&lt;=$I$4,"    """&amp;INDEX($A$2:$A$801,MATCH(87,$D$2:$D$801,0))&amp;""",",IF(87=$I$4+1,"]","")))</f>
        <v/>
      </c>
    </row>
    <row r="90" customFormat="false" ht="15" hidden="false" customHeight="false" outlineLevel="0" collapsed="false">
      <c r="A90" s="11" t="str">
        <f aca="false">IF(INVENTÁRIO!A90="","",INVENTÁRIO!A90)</f>
        <v/>
      </c>
      <c r="B90" s="11" t="str">
        <f aca="false">IF(A90="","",INVENTÁRIO!B90)</f>
        <v/>
      </c>
      <c r="C90" s="16" t="str">
        <f aca="false">IF(A90="","",IFERROR(INDEX($L$2:$L$801,MATCH(A90,$K$2:$K$801,0)),"Não verificada"))</f>
        <v/>
      </c>
      <c r="D90" s="11" t="str">
        <f aca="false">IF(AND(A90&lt;&gt;"",C90&lt;&gt;"Tem foto"),MAX(D$1:D89)+1,"")</f>
        <v/>
      </c>
      <c r="F90" s="26" t="str">
        <f aca="false">IF($I$4=0,"",IF(88&lt;=$I$4,"    """&amp;INDEX($A$2:$A$801,MATCH(88,$D$2:$D$801,0))&amp;""",",IF(88=$I$4+1,"]","")))</f>
        <v/>
      </c>
    </row>
    <row r="91" customFormat="false" ht="15" hidden="false" customHeight="false" outlineLevel="0" collapsed="false">
      <c r="A91" s="11" t="str">
        <f aca="false">IF(INVENTÁRIO!A91="","",INVENTÁRIO!A91)</f>
        <v/>
      </c>
      <c r="B91" s="11" t="str">
        <f aca="false">IF(A91="","",INVENTÁRIO!B91)</f>
        <v/>
      </c>
      <c r="C91" s="16" t="str">
        <f aca="false">IF(A91="","",IFERROR(INDEX($L$2:$L$801,MATCH(A91,$K$2:$K$801,0)),"Não verificada"))</f>
        <v/>
      </c>
      <c r="D91" s="11" t="str">
        <f aca="false">IF(AND(A91&lt;&gt;"",C91&lt;&gt;"Tem foto"),MAX(D$1:D90)+1,"")</f>
        <v/>
      </c>
      <c r="F91" s="26" t="str">
        <f aca="false">IF($I$4=0,"",IF(89&lt;=$I$4,"    """&amp;INDEX($A$2:$A$801,MATCH(89,$D$2:$D$801,0))&amp;""",",IF(89=$I$4+1,"]","")))</f>
        <v/>
      </c>
    </row>
    <row r="92" customFormat="false" ht="15" hidden="false" customHeight="false" outlineLevel="0" collapsed="false">
      <c r="A92" s="11" t="str">
        <f aca="false">IF(INVENTÁRIO!A92="","",INVENTÁRIO!A92)</f>
        <v/>
      </c>
      <c r="B92" s="11" t="str">
        <f aca="false">IF(A92="","",INVENTÁRIO!B92)</f>
        <v/>
      </c>
      <c r="C92" s="16" t="str">
        <f aca="false">IF(A92="","",IFERROR(INDEX($L$2:$L$801,MATCH(A92,$K$2:$K$801,0)),"Não verificada"))</f>
        <v/>
      </c>
      <c r="D92" s="11" t="str">
        <f aca="false">IF(AND(A92&lt;&gt;"",C92&lt;&gt;"Tem foto"),MAX(D$1:D91)+1,"")</f>
        <v/>
      </c>
      <c r="F92" s="26" t="str">
        <f aca="false">IF($I$4=0,"",IF(90&lt;=$I$4,"    """&amp;INDEX($A$2:$A$801,MATCH(90,$D$2:$D$801,0))&amp;""",",IF(90=$I$4+1,"]","")))</f>
        <v/>
      </c>
    </row>
    <row r="93" customFormat="false" ht="15" hidden="false" customHeight="false" outlineLevel="0" collapsed="false">
      <c r="A93" s="11" t="str">
        <f aca="false">IF(INVENTÁRIO!A93="","",INVENTÁRIO!A93)</f>
        <v/>
      </c>
      <c r="B93" s="11" t="str">
        <f aca="false">IF(A93="","",INVENTÁRIO!B93)</f>
        <v/>
      </c>
      <c r="C93" s="16" t="str">
        <f aca="false">IF(A93="","",IFERROR(INDEX($L$2:$L$801,MATCH(A93,$K$2:$K$801,0)),"Não verificada"))</f>
        <v/>
      </c>
      <c r="D93" s="11" t="str">
        <f aca="false">IF(AND(A93&lt;&gt;"",C93&lt;&gt;"Tem foto"),MAX(D$1:D92)+1,"")</f>
        <v/>
      </c>
      <c r="F93" s="26" t="str">
        <f aca="false">IF($I$4=0,"",IF(91&lt;=$I$4,"    """&amp;INDEX($A$2:$A$801,MATCH(91,$D$2:$D$801,0))&amp;""",",IF(91=$I$4+1,"]","")))</f>
        <v/>
      </c>
    </row>
    <row r="94" customFormat="false" ht="15" hidden="false" customHeight="false" outlineLevel="0" collapsed="false">
      <c r="A94" s="11" t="str">
        <f aca="false">IF(INVENTÁRIO!A94="","",INVENTÁRIO!A94)</f>
        <v/>
      </c>
      <c r="B94" s="11" t="str">
        <f aca="false">IF(A94="","",INVENTÁRIO!B94)</f>
        <v/>
      </c>
      <c r="C94" s="16" t="str">
        <f aca="false">IF(A94="","",IFERROR(INDEX($L$2:$L$801,MATCH(A94,$K$2:$K$801,0)),"Não verificada"))</f>
        <v/>
      </c>
      <c r="D94" s="11" t="str">
        <f aca="false">IF(AND(A94&lt;&gt;"",C94&lt;&gt;"Tem foto"),MAX(D$1:D93)+1,"")</f>
        <v/>
      </c>
      <c r="F94" s="26" t="str">
        <f aca="false">IF($I$4=0,"",IF(92&lt;=$I$4,"    """&amp;INDEX($A$2:$A$801,MATCH(92,$D$2:$D$801,0))&amp;""",",IF(92=$I$4+1,"]","")))</f>
        <v/>
      </c>
    </row>
    <row r="95" customFormat="false" ht="15" hidden="false" customHeight="false" outlineLevel="0" collapsed="false">
      <c r="A95" s="11" t="str">
        <f aca="false">IF(INVENTÁRIO!A95="","",INVENTÁRIO!A95)</f>
        <v/>
      </c>
      <c r="B95" s="11" t="str">
        <f aca="false">IF(A95="","",INVENTÁRIO!B95)</f>
        <v/>
      </c>
      <c r="C95" s="16" t="str">
        <f aca="false">IF(A95="","",IFERROR(INDEX($L$2:$L$801,MATCH(A95,$K$2:$K$801,0)),"Não verificada"))</f>
        <v/>
      </c>
      <c r="D95" s="11" t="str">
        <f aca="false">IF(AND(A95&lt;&gt;"",C95&lt;&gt;"Tem foto"),MAX(D$1:D94)+1,"")</f>
        <v/>
      </c>
      <c r="F95" s="26" t="str">
        <f aca="false">IF($I$4=0,"",IF(93&lt;=$I$4,"    """&amp;INDEX($A$2:$A$801,MATCH(93,$D$2:$D$801,0))&amp;""",",IF(93=$I$4+1,"]","")))</f>
        <v/>
      </c>
    </row>
    <row r="96" customFormat="false" ht="15" hidden="false" customHeight="false" outlineLevel="0" collapsed="false">
      <c r="A96" s="11" t="str">
        <f aca="false">IF(INVENTÁRIO!A96="","",INVENTÁRIO!A96)</f>
        <v/>
      </c>
      <c r="B96" s="11" t="str">
        <f aca="false">IF(A96="","",INVENTÁRIO!B96)</f>
        <v/>
      </c>
      <c r="C96" s="16" t="str">
        <f aca="false">IF(A96="","",IFERROR(INDEX($L$2:$L$801,MATCH(A96,$K$2:$K$801,0)),"Não verificada"))</f>
        <v/>
      </c>
      <c r="D96" s="11" t="str">
        <f aca="false">IF(AND(A96&lt;&gt;"",C96&lt;&gt;"Tem foto"),MAX(D$1:D95)+1,"")</f>
        <v/>
      </c>
      <c r="F96" s="26" t="str">
        <f aca="false">IF($I$4=0,"",IF(94&lt;=$I$4,"    """&amp;INDEX($A$2:$A$801,MATCH(94,$D$2:$D$801,0))&amp;""",",IF(94=$I$4+1,"]","")))</f>
        <v/>
      </c>
    </row>
    <row r="97" customFormat="false" ht="15" hidden="false" customHeight="false" outlineLevel="0" collapsed="false">
      <c r="A97" s="11" t="str">
        <f aca="false">IF(INVENTÁRIO!A97="","",INVENTÁRIO!A97)</f>
        <v/>
      </c>
      <c r="B97" s="11" t="str">
        <f aca="false">IF(A97="","",INVENTÁRIO!B97)</f>
        <v/>
      </c>
      <c r="C97" s="16" t="str">
        <f aca="false">IF(A97="","",IFERROR(INDEX($L$2:$L$801,MATCH(A97,$K$2:$K$801,0)),"Não verificada"))</f>
        <v/>
      </c>
      <c r="D97" s="11" t="str">
        <f aca="false">IF(AND(A97&lt;&gt;"",C97&lt;&gt;"Tem foto"),MAX(D$1:D96)+1,"")</f>
        <v/>
      </c>
      <c r="F97" s="26" t="str">
        <f aca="false">IF($I$4=0,"",IF(95&lt;=$I$4,"    """&amp;INDEX($A$2:$A$801,MATCH(95,$D$2:$D$801,0))&amp;""",",IF(95=$I$4+1,"]","")))</f>
        <v/>
      </c>
    </row>
    <row r="98" customFormat="false" ht="15" hidden="false" customHeight="false" outlineLevel="0" collapsed="false">
      <c r="A98" s="11" t="str">
        <f aca="false">IF(INVENTÁRIO!A98="","",INVENTÁRIO!A98)</f>
        <v/>
      </c>
      <c r="B98" s="11" t="str">
        <f aca="false">IF(A98="","",INVENTÁRIO!B98)</f>
        <v/>
      </c>
      <c r="C98" s="16" t="str">
        <f aca="false">IF(A98="","",IFERROR(INDEX($L$2:$L$801,MATCH(A98,$K$2:$K$801,0)),"Não verificada"))</f>
        <v/>
      </c>
      <c r="D98" s="11" t="str">
        <f aca="false">IF(AND(A98&lt;&gt;"",C98&lt;&gt;"Tem foto"),MAX(D$1:D97)+1,"")</f>
        <v/>
      </c>
      <c r="F98" s="26" t="str">
        <f aca="false">IF($I$4=0,"",IF(96&lt;=$I$4,"    """&amp;INDEX($A$2:$A$801,MATCH(96,$D$2:$D$801,0))&amp;""",",IF(96=$I$4+1,"]","")))</f>
        <v/>
      </c>
    </row>
    <row r="99" customFormat="false" ht="15" hidden="false" customHeight="false" outlineLevel="0" collapsed="false">
      <c r="A99" s="11" t="str">
        <f aca="false">IF(INVENTÁRIO!A99="","",INVENTÁRIO!A99)</f>
        <v/>
      </c>
      <c r="B99" s="11" t="str">
        <f aca="false">IF(A99="","",INVENTÁRIO!B99)</f>
        <v/>
      </c>
      <c r="C99" s="16" t="str">
        <f aca="false">IF(A99="","",IFERROR(INDEX($L$2:$L$801,MATCH(A99,$K$2:$K$801,0)),"Não verificada"))</f>
        <v/>
      </c>
      <c r="D99" s="11" t="str">
        <f aca="false">IF(AND(A99&lt;&gt;"",C99&lt;&gt;"Tem foto"),MAX(D$1:D98)+1,"")</f>
        <v/>
      </c>
      <c r="F99" s="26" t="str">
        <f aca="false">IF($I$4=0,"",IF(97&lt;=$I$4,"    """&amp;INDEX($A$2:$A$801,MATCH(97,$D$2:$D$801,0))&amp;""",",IF(97=$I$4+1,"]","")))</f>
        <v/>
      </c>
    </row>
    <row r="100" customFormat="false" ht="15" hidden="false" customHeight="false" outlineLevel="0" collapsed="false">
      <c r="A100" s="11" t="str">
        <f aca="false">IF(INVENTÁRIO!A100="","",INVENTÁRIO!A100)</f>
        <v/>
      </c>
      <c r="B100" s="11" t="str">
        <f aca="false">IF(A100="","",INVENTÁRIO!B100)</f>
        <v/>
      </c>
      <c r="C100" s="16" t="str">
        <f aca="false">IF(A100="","",IFERROR(INDEX($L$2:$L$801,MATCH(A100,$K$2:$K$801,0)),"Não verificada"))</f>
        <v/>
      </c>
      <c r="D100" s="11" t="str">
        <f aca="false">IF(AND(A100&lt;&gt;"",C100&lt;&gt;"Tem foto"),MAX(D$1:D99)+1,"")</f>
        <v/>
      </c>
      <c r="F100" s="26" t="str">
        <f aca="false">IF($I$4=0,"",IF(98&lt;=$I$4,"    """&amp;INDEX($A$2:$A$801,MATCH(98,$D$2:$D$801,0))&amp;""",",IF(98=$I$4+1,"]","")))</f>
        <v/>
      </c>
    </row>
    <row r="101" customFormat="false" ht="15" hidden="false" customHeight="false" outlineLevel="0" collapsed="false">
      <c r="A101" s="11" t="str">
        <f aca="false">IF(INVENTÁRIO!A101="","",INVENTÁRIO!A101)</f>
        <v/>
      </c>
      <c r="B101" s="11" t="str">
        <f aca="false">IF(A101="","",INVENTÁRIO!B101)</f>
        <v/>
      </c>
      <c r="C101" s="16" t="str">
        <f aca="false">IF(A101="","",IFERROR(INDEX($L$2:$L$801,MATCH(A101,$K$2:$K$801,0)),"Não verificada"))</f>
        <v/>
      </c>
      <c r="D101" s="11" t="str">
        <f aca="false">IF(AND(A101&lt;&gt;"",C101&lt;&gt;"Tem foto"),MAX(D$1:D100)+1,"")</f>
        <v/>
      </c>
      <c r="F101" s="26" t="str">
        <f aca="false">IF($I$4=0,"",IF(99&lt;=$I$4,"    """&amp;INDEX($A$2:$A$801,MATCH(99,$D$2:$D$801,0))&amp;""",",IF(99=$I$4+1,"]","")))</f>
        <v/>
      </c>
    </row>
    <row r="102" customFormat="false" ht="15" hidden="false" customHeight="false" outlineLevel="0" collapsed="false">
      <c r="A102" s="11" t="str">
        <f aca="false">IF(INVENTÁRIO!A102="","",INVENTÁRIO!A102)</f>
        <v/>
      </c>
      <c r="B102" s="11" t="str">
        <f aca="false">IF(A102="","",INVENTÁRIO!B102)</f>
        <v/>
      </c>
      <c r="C102" s="16" t="str">
        <f aca="false">IF(A102="","",IFERROR(INDEX($L$2:$L$801,MATCH(A102,$K$2:$K$801,0)),"Não verificada"))</f>
        <v/>
      </c>
      <c r="D102" s="11" t="str">
        <f aca="false">IF(AND(A102&lt;&gt;"",C102&lt;&gt;"Tem foto"),MAX(D$1:D101)+1,"")</f>
        <v/>
      </c>
      <c r="F102" s="26" t="str">
        <f aca="false">IF($I$4=0,"",IF(100&lt;=$I$4,"    """&amp;INDEX($A$2:$A$801,MATCH(100,$D$2:$D$801,0))&amp;""",",IF(100=$I$4+1,"]","")))</f>
        <v/>
      </c>
    </row>
    <row r="103" customFormat="false" ht="15" hidden="false" customHeight="false" outlineLevel="0" collapsed="false">
      <c r="A103" s="11" t="str">
        <f aca="false">IF(INVENTÁRIO!A103="","",INVENTÁRIO!A103)</f>
        <v/>
      </c>
      <c r="B103" s="11" t="str">
        <f aca="false">IF(A103="","",INVENTÁRIO!B103)</f>
        <v/>
      </c>
      <c r="C103" s="16" t="str">
        <f aca="false">IF(A103="","",IFERROR(INDEX($L$2:$L$801,MATCH(A103,$K$2:$K$801,0)),"Não verificada"))</f>
        <v/>
      </c>
      <c r="D103" s="11" t="str">
        <f aca="false">IF(AND(A103&lt;&gt;"",C103&lt;&gt;"Tem foto"),MAX(D$1:D102)+1,"")</f>
        <v/>
      </c>
      <c r="F103" s="26" t="str">
        <f aca="false">IF($I$4=0,"",IF(101&lt;=$I$4,"    """&amp;INDEX($A$2:$A$801,MATCH(101,$D$2:$D$801,0))&amp;""",",IF(101=$I$4+1,"]","")))</f>
        <v/>
      </c>
    </row>
    <row r="104" customFormat="false" ht="15" hidden="false" customHeight="false" outlineLevel="0" collapsed="false">
      <c r="A104" s="11" t="str">
        <f aca="false">IF(INVENTÁRIO!A104="","",INVENTÁRIO!A104)</f>
        <v/>
      </c>
      <c r="B104" s="11" t="str">
        <f aca="false">IF(A104="","",INVENTÁRIO!B104)</f>
        <v/>
      </c>
      <c r="C104" s="16" t="str">
        <f aca="false">IF(A104="","",IFERROR(INDEX($L$2:$L$801,MATCH(A104,$K$2:$K$801,0)),"Não verificada"))</f>
        <v/>
      </c>
      <c r="D104" s="11" t="str">
        <f aca="false">IF(AND(A104&lt;&gt;"",C104&lt;&gt;"Tem foto"),MAX(D$1:D103)+1,"")</f>
        <v/>
      </c>
      <c r="F104" s="26" t="str">
        <f aca="false">IF($I$4=0,"",IF(102&lt;=$I$4,"    """&amp;INDEX($A$2:$A$801,MATCH(102,$D$2:$D$801,0))&amp;""",",IF(102=$I$4+1,"]","")))</f>
        <v/>
      </c>
    </row>
    <row r="105" customFormat="false" ht="15" hidden="false" customHeight="false" outlineLevel="0" collapsed="false">
      <c r="A105" s="11" t="str">
        <f aca="false">IF(INVENTÁRIO!A105="","",INVENTÁRIO!A105)</f>
        <v/>
      </c>
      <c r="B105" s="11" t="str">
        <f aca="false">IF(A105="","",INVENTÁRIO!B105)</f>
        <v/>
      </c>
      <c r="C105" s="16" t="str">
        <f aca="false">IF(A105="","",IFERROR(INDEX($L$2:$L$801,MATCH(A105,$K$2:$K$801,0)),"Não verificada"))</f>
        <v/>
      </c>
      <c r="D105" s="11" t="str">
        <f aca="false">IF(AND(A105&lt;&gt;"",C105&lt;&gt;"Tem foto"),MAX(D$1:D104)+1,"")</f>
        <v/>
      </c>
      <c r="F105" s="26" t="str">
        <f aca="false">IF($I$4=0,"",IF(103&lt;=$I$4,"    """&amp;INDEX($A$2:$A$801,MATCH(103,$D$2:$D$801,0))&amp;""",",IF(103=$I$4+1,"]","")))</f>
        <v/>
      </c>
    </row>
    <row r="106" customFormat="false" ht="15" hidden="false" customHeight="false" outlineLevel="0" collapsed="false">
      <c r="A106" s="11" t="str">
        <f aca="false">IF(INVENTÁRIO!A106="","",INVENTÁRIO!A106)</f>
        <v/>
      </c>
      <c r="B106" s="11" t="str">
        <f aca="false">IF(A106="","",INVENTÁRIO!B106)</f>
        <v/>
      </c>
      <c r="C106" s="16" t="str">
        <f aca="false">IF(A106="","",IFERROR(INDEX($L$2:$L$801,MATCH(A106,$K$2:$K$801,0)),"Não verificada"))</f>
        <v/>
      </c>
      <c r="D106" s="11" t="str">
        <f aca="false">IF(AND(A106&lt;&gt;"",C106&lt;&gt;"Tem foto"),MAX(D$1:D105)+1,"")</f>
        <v/>
      </c>
      <c r="F106" s="26" t="str">
        <f aca="false">IF($I$4=0,"",IF(104&lt;=$I$4,"    """&amp;INDEX($A$2:$A$801,MATCH(104,$D$2:$D$801,0))&amp;""",",IF(104=$I$4+1,"]","")))</f>
        <v/>
      </c>
    </row>
    <row r="107" customFormat="false" ht="15" hidden="false" customHeight="false" outlineLevel="0" collapsed="false">
      <c r="A107" s="11" t="str">
        <f aca="false">IF(INVENTÁRIO!A107="","",INVENTÁRIO!A107)</f>
        <v/>
      </c>
      <c r="B107" s="11" t="str">
        <f aca="false">IF(A107="","",INVENTÁRIO!B107)</f>
        <v/>
      </c>
      <c r="C107" s="16" t="str">
        <f aca="false">IF(A107="","",IFERROR(INDEX($L$2:$L$801,MATCH(A107,$K$2:$K$801,0)),"Não verificada"))</f>
        <v/>
      </c>
      <c r="D107" s="11" t="str">
        <f aca="false">IF(AND(A107&lt;&gt;"",C107&lt;&gt;"Tem foto"),MAX(D$1:D106)+1,"")</f>
        <v/>
      </c>
      <c r="F107" s="26" t="str">
        <f aca="false">IF($I$4=0,"",IF(105&lt;=$I$4,"    """&amp;INDEX($A$2:$A$801,MATCH(105,$D$2:$D$801,0))&amp;""",",IF(105=$I$4+1,"]","")))</f>
        <v/>
      </c>
    </row>
    <row r="108" customFormat="false" ht="15" hidden="false" customHeight="false" outlineLevel="0" collapsed="false">
      <c r="A108" s="11" t="str">
        <f aca="false">IF(INVENTÁRIO!A108="","",INVENTÁRIO!A108)</f>
        <v/>
      </c>
      <c r="B108" s="11" t="str">
        <f aca="false">IF(A108="","",INVENTÁRIO!B108)</f>
        <v/>
      </c>
      <c r="C108" s="16" t="str">
        <f aca="false">IF(A108="","",IFERROR(INDEX($L$2:$L$801,MATCH(A108,$K$2:$K$801,0)),"Não verificada"))</f>
        <v/>
      </c>
      <c r="D108" s="11" t="str">
        <f aca="false">IF(AND(A108&lt;&gt;"",C108&lt;&gt;"Tem foto"),MAX(D$1:D107)+1,"")</f>
        <v/>
      </c>
      <c r="F108" s="26" t="str">
        <f aca="false">IF($I$4=0,"",IF(106&lt;=$I$4,"    """&amp;INDEX($A$2:$A$801,MATCH(106,$D$2:$D$801,0))&amp;""",",IF(106=$I$4+1,"]","")))</f>
        <v/>
      </c>
    </row>
    <row r="109" customFormat="false" ht="15" hidden="false" customHeight="false" outlineLevel="0" collapsed="false">
      <c r="A109" s="11" t="str">
        <f aca="false">IF(INVENTÁRIO!A109="","",INVENTÁRIO!A109)</f>
        <v/>
      </c>
      <c r="B109" s="11" t="str">
        <f aca="false">IF(A109="","",INVENTÁRIO!B109)</f>
        <v/>
      </c>
      <c r="C109" s="16" t="str">
        <f aca="false">IF(A109="","",IFERROR(INDEX($L$2:$L$801,MATCH(A109,$K$2:$K$801,0)),"Não verificada"))</f>
        <v/>
      </c>
      <c r="D109" s="11" t="str">
        <f aca="false">IF(AND(A109&lt;&gt;"",C109&lt;&gt;"Tem foto"),MAX(D$1:D108)+1,"")</f>
        <v/>
      </c>
      <c r="F109" s="26" t="str">
        <f aca="false">IF($I$4=0,"",IF(107&lt;=$I$4,"    """&amp;INDEX($A$2:$A$801,MATCH(107,$D$2:$D$801,0))&amp;""",",IF(107=$I$4+1,"]","")))</f>
        <v/>
      </c>
    </row>
    <row r="110" customFormat="false" ht="15" hidden="false" customHeight="false" outlineLevel="0" collapsed="false">
      <c r="A110" s="11" t="str">
        <f aca="false">IF(INVENTÁRIO!A110="","",INVENTÁRIO!A110)</f>
        <v/>
      </c>
      <c r="B110" s="11" t="str">
        <f aca="false">IF(A110="","",INVENTÁRIO!B110)</f>
        <v/>
      </c>
      <c r="C110" s="16" t="str">
        <f aca="false">IF(A110="","",IFERROR(INDEX($L$2:$L$801,MATCH(A110,$K$2:$K$801,0)),"Não verificada"))</f>
        <v/>
      </c>
      <c r="D110" s="11" t="str">
        <f aca="false">IF(AND(A110&lt;&gt;"",C110&lt;&gt;"Tem foto"),MAX(D$1:D109)+1,"")</f>
        <v/>
      </c>
      <c r="F110" s="26" t="str">
        <f aca="false">IF($I$4=0,"",IF(108&lt;=$I$4,"    """&amp;INDEX($A$2:$A$801,MATCH(108,$D$2:$D$801,0))&amp;""",",IF(108=$I$4+1,"]","")))</f>
        <v/>
      </c>
    </row>
    <row r="111" customFormat="false" ht="15" hidden="false" customHeight="false" outlineLevel="0" collapsed="false">
      <c r="A111" s="11" t="str">
        <f aca="false">IF(INVENTÁRIO!A111="","",INVENTÁRIO!A111)</f>
        <v/>
      </c>
      <c r="B111" s="11" t="str">
        <f aca="false">IF(A111="","",INVENTÁRIO!B111)</f>
        <v/>
      </c>
      <c r="C111" s="16" t="str">
        <f aca="false">IF(A111="","",IFERROR(INDEX($L$2:$L$801,MATCH(A111,$K$2:$K$801,0)),"Não verificada"))</f>
        <v/>
      </c>
      <c r="D111" s="11" t="str">
        <f aca="false">IF(AND(A111&lt;&gt;"",C111&lt;&gt;"Tem foto"),MAX(D$1:D110)+1,"")</f>
        <v/>
      </c>
      <c r="F111" s="26" t="str">
        <f aca="false">IF($I$4=0,"",IF(109&lt;=$I$4,"    """&amp;INDEX($A$2:$A$801,MATCH(109,$D$2:$D$801,0))&amp;""",",IF(109=$I$4+1,"]","")))</f>
        <v/>
      </c>
    </row>
    <row r="112" customFormat="false" ht="15" hidden="false" customHeight="false" outlineLevel="0" collapsed="false">
      <c r="A112" s="11" t="str">
        <f aca="false">IF(INVENTÁRIO!A112="","",INVENTÁRIO!A112)</f>
        <v/>
      </c>
      <c r="B112" s="11" t="str">
        <f aca="false">IF(A112="","",INVENTÁRIO!B112)</f>
        <v/>
      </c>
      <c r="C112" s="16" t="str">
        <f aca="false">IF(A112="","",IFERROR(INDEX($L$2:$L$801,MATCH(A112,$K$2:$K$801,0)),"Não verificada"))</f>
        <v/>
      </c>
      <c r="D112" s="11" t="str">
        <f aca="false">IF(AND(A112&lt;&gt;"",C112&lt;&gt;"Tem foto"),MAX(D$1:D111)+1,"")</f>
        <v/>
      </c>
      <c r="F112" s="26" t="str">
        <f aca="false">IF($I$4=0,"",IF(110&lt;=$I$4,"    """&amp;INDEX($A$2:$A$801,MATCH(110,$D$2:$D$801,0))&amp;""",",IF(110=$I$4+1,"]","")))</f>
        <v/>
      </c>
    </row>
    <row r="113" customFormat="false" ht="15" hidden="false" customHeight="false" outlineLevel="0" collapsed="false">
      <c r="A113" s="11" t="str">
        <f aca="false">IF(INVENTÁRIO!A113="","",INVENTÁRIO!A113)</f>
        <v/>
      </c>
      <c r="B113" s="11" t="str">
        <f aca="false">IF(A113="","",INVENTÁRIO!B113)</f>
        <v/>
      </c>
      <c r="C113" s="16" t="str">
        <f aca="false">IF(A113="","",IFERROR(INDEX($L$2:$L$801,MATCH(A113,$K$2:$K$801,0)),"Não verificada"))</f>
        <v/>
      </c>
      <c r="D113" s="11" t="str">
        <f aca="false">IF(AND(A113&lt;&gt;"",C113&lt;&gt;"Tem foto"),MAX(D$1:D112)+1,"")</f>
        <v/>
      </c>
      <c r="F113" s="26" t="str">
        <f aca="false">IF($I$4=0,"",IF(111&lt;=$I$4,"    """&amp;INDEX($A$2:$A$801,MATCH(111,$D$2:$D$801,0))&amp;""",",IF(111=$I$4+1,"]","")))</f>
        <v/>
      </c>
    </row>
    <row r="114" customFormat="false" ht="15" hidden="false" customHeight="false" outlineLevel="0" collapsed="false">
      <c r="A114" s="11" t="str">
        <f aca="false">IF(INVENTÁRIO!A114="","",INVENTÁRIO!A114)</f>
        <v/>
      </c>
      <c r="B114" s="11" t="str">
        <f aca="false">IF(A114="","",INVENTÁRIO!B114)</f>
        <v/>
      </c>
      <c r="C114" s="16" t="str">
        <f aca="false">IF(A114="","",IFERROR(INDEX($L$2:$L$801,MATCH(A114,$K$2:$K$801,0)),"Não verificada"))</f>
        <v/>
      </c>
      <c r="D114" s="11" t="str">
        <f aca="false">IF(AND(A114&lt;&gt;"",C114&lt;&gt;"Tem foto"),MAX(D$1:D113)+1,"")</f>
        <v/>
      </c>
      <c r="F114" s="26" t="str">
        <f aca="false">IF($I$4=0,"",IF(112&lt;=$I$4,"    """&amp;INDEX($A$2:$A$801,MATCH(112,$D$2:$D$801,0))&amp;""",",IF(112=$I$4+1,"]","")))</f>
        <v/>
      </c>
    </row>
    <row r="115" customFormat="false" ht="15" hidden="false" customHeight="false" outlineLevel="0" collapsed="false">
      <c r="A115" s="11" t="str">
        <f aca="false">IF(INVENTÁRIO!A115="","",INVENTÁRIO!A115)</f>
        <v/>
      </c>
      <c r="B115" s="11" t="str">
        <f aca="false">IF(A115="","",INVENTÁRIO!B115)</f>
        <v/>
      </c>
      <c r="C115" s="16" t="str">
        <f aca="false">IF(A115="","",IFERROR(INDEX($L$2:$L$801,MATCH(A115,$K$2:$K$801,0)),"Não verificada"))</f>
        <v/>
      </c>
      <c r="D115" s="11" t="str">
        <f aca="false">IF(AND(A115&lt;&gt;"",C115&lt;&gt;"Tem foto"),MAX(D$1:D114)+1,"")</f>
        <v/>
      </c>
      <c r="F115" s="26" t="str">
        <f aca="false">IF($I$4=0,"",IF(113&lt;=$I$4,"    """&amp;INDEX($A$2:$A$801,MATCH(113,$D$2:$D$801,0))&amp;""",",IF(113=$I$4+1,"]","")))</f>
        <v/>
      </c>
    </row>
    <row r="116" customFormat="false" ht="15" hidden="false" customHeight="false" outlineLevel="0" collapsed="false">
      <c r="A116" s="11" t="str">
        <f aca="false">IF(INVENTÁRIO!A116="","",INVENTÁRIO!A116)</f>
        <v/>
      </c>
      <c r="B116" s="11" t="str">
        <f aca="false">IF(A116="","",INVENTÁRIO!B116)</f>
        <v/>
      </c>
      <c r="C116" s="16" t="str">
        <f aca="false">IF(A116="","",IFERROR(INDEX($L$2:$L$801,MATCH(A116,$K$2:$K$801,0)),"Não verificada"))</f>
        <v/>
      </c>
      <c r="D116" s="11" t="str">
        <f aca="false">IF(AND(A116&lt;&gt;"",C116&lt;&gt;"Tem foto"),MAX(D$1:D115)+1,"")</f>
        <v/>
      </c>
      <c r="F116" s="26" t="str">
        <f aca="false">IF($I$4=0,"",IF(114&lt;=$I$4,"    """&amp;INDEX($A$2:$A$801,MATCH(114,$D$2:$D$801,0))&amp;""",",IF(114=$I$4+1,"]","")))</f>
        <v/>
      </c>
    </row>
    <row r="117" customFormat="false" ht="15" hidden="false" customHeight="false" outlineLevel="0" collapsed="false">
      <c r="A117" s="11" t="str">
        <f aca="false">IF(INVENTÁRIO!A117="","",INVENTÁRIO!A117)</f>
        <v/>
      </c>
      <c r="B117" s="11" t="str">
        <f aca="false">IF(A117="","",INVENTÁRIO!B117)</f>
        <v/>
      </c>
      <c r="C117" s="16" t="str">
        <f aca="false">IF(A117="","",IFERROR(INDEX($L$2:$L$801,MATCH(A117,$K$2:$K$801,0)),"Não verificada"))</f>
        <v/>
      </c>
      <c r="D117" s="11" t="str">
        <f aca="false">IF(AND(A117&lt;&gt;"",C117&lt;&gt;"Tem foto"),MAX(D$1:D116)+1,"")</f>
        <v/>
      </c>
      <c r="F117" s="26" t="str">
        <f aca="false">IF($I$4=0,"",IF(115&lt;=$I$4,"    """&amp;INDEX($A$2:$A$801,MATCH(115,$D$2:$D$801,0))&amp;""",",IF(115=$I$4+1,"]","")))</f>
        <v/>
      </c>
    </row>
    <row r="118" customFormat="false" ht="15" hidden="false" customHeight="false" outlineLevel="0" collapsed="false">
      <c r="A118" s="11" t="str">
        <f aca="false">IF(INVENTÁRIO!A118="","",INVENTÁRIO!A118)</f>
        <v/>
      </c>
      <c r="B118" s="11" t="str">
        <f aca="false">IF(A118="","",INVENTÁRIO!B118)</f>
        <v/>
      </c>
      <c r="C118" s="16" t="str">
        <f aca="false">IF(A118="","",IFERROR(INDEX($L$2:$L$801,MATCH(A118,$K$2:$K$801,0)),"Não verificada"))</f>
        <v/>
      </c>
      <c r="D118" s="11" t="str">
        <f aca="false">IF(AND(A118&lt;&gt;"",C118&lt;&gt;"Tem foto"),MAX(D$1:D117)+1,"")</f>
        <v/>
      </c>
      <c r="F118" s="26" t="str">
        <f aca="false">IF($I$4=0,"",IF(116&lt;=$I$4,"    """&amp;INDEX($A$2:$A$801,MATCH(116,$D$2:$D$801,0))&amp;""",",IF(116=$I$4+1,"]","")))</f>
        <v/>
      </c>
    </row>
    <row r="119" customFormat="false" ht="15" hidden="false" customHeight="false" outlineLevel="0" collapsed="false">
      <c r="A119" s="11" t="str">
        <f aca="false">IF(INVENTÁRIO!A119="","",INVENTÁRIO!A119)</f>
        <v/>
      </c>
      <c r="B119" s="11" t="str">
        <f aca="false">IF(A119="","",INVENTÁRIO!B119)</f>
        <v/>
      </c>
      <c r="C119" s="16" t="str">
        <f aca="false">IF(A119="","",IFERROR(INDEX($L$2:$L$801,MATCH(A119,$K$2:$K$801,0)),"Não verificada"))</f>
        <v/>
      </c>
      <c r="D119" s="11" t="str">
        <f aca="false">IF(AND(A119&lt;&gt;"",C119&lt;&gt;"Tem foto"),MAX(D$1:D118)+1,"")</f>
        <v/>
      </c>
      <c r="F119" s="26" t="str">
        <f aca="false">IF($I$4=0,"",IF(117&lt;=$I$4,"    """&amp;INDEX($A$2:$A$801,MATCH(117,$D$2:$D$801,0))&amp;""",",IF(117=$I$4+1,"]","")))</f>
        <v/>
      </c>
    </row>
    <row r="120" customFormat="false" ht="15" hidden="false" customHeight="false" outlineLevel="0" collapsed="false">
      <c r="A120" s="11" t="str">
        <f aca="false">IF(INVENTÁRIO!A120="","",INVENTÁRIO!A120)</f>
        <v/>
      </c>
      <c r="B120" s="11" t="str">
        <f aca="false">IF(A120="","",INVENTÁRIO!B120)</f>
        <v/>
      </c>
      <c r="C120" s="16" t="str">
        <f aca="false">IF(A120="","",IFERROR(INDEX($L$2:$L$801,MATCH(A120,$K$2:$K$801,0)),"Não verificada"))</f>
        <v/>
      </c>
      <c r="D120" s="11" t="str">
        <f aca="false">IF(AND(A120&lt;&gt;"",C120&lt;&gt;"Tem foto"),MAX(D$1:D119)+1,"")</f>
        <v/>
      </c>
      <c r="F120" s="26" t="str">
        <f aca="false">IF($I$4=0,"",IF(118&lt;=$I$4,"    """&amp;INDEX($A$2:$A$801,MATCH(118,$D$2:$D$801,0))&amp;""",",IF(118=$I$4+1,"]","")))</f>
        <v/>
      </c>
    </row>
    <row r="121" customFormat="false" ht="15" hidden="false" customHeight="false" outlineLevel="0" collapsed="false">
      <c r="A121" s="11" t="str">
        <f aca="false">IF(INVENTÁRIO!A121="","",INVENTÁRIO!A121)</f>
        <v/>
      </c>
      <c r="B121" s="11" t="str">
        <f aca="false">IF(A121="","",INVENTÁRIO!B121)</f>
        <v/>
      </c>
      <c r="C121" s="16" t="str">
        <f aca="false">IF(A121="","",IFERROR(INDEX($L$2:$L$801,MATCH(A121,$K$2:$K$801,0)),"Não verificada"))</f>
        <v/>
      </c>
      <c r="D121" s="11" t="str">
        <f aca="false">IF(AND(A121&lt;&gt;"",C121&lt;&gt;"Tem foto"),MAX(D$1:D120)+1,"")</f>
        <v/>
      </c>
      <c r="F121" s="26" t="str">
        <f aca="false">IF($I$4=0,"",IF(119&lt;=$I$4,"    """&amp;INDEX($A$2:$A$801,MATCH(119,$D$2:$D$801,0))&amp;""",",IF(119=$I$4+1,"]","")))</f>
        <v/>
      </c>
    </row>
    <row r="122" customFormat="false" ht="15" hidden="false" customHeight="false" outlineLevel="0" collapsed="false">
      <c r="A122" s="11" t="str">
        <f aca="false">IF(INVENTÁRIO!A122="","",INVENTÁRIO!A122)</f>
        <v/>
      </c>
      <c r="B122" s="11" t="str">
        <f aca="false">IF(A122="","",INVENTÁRIO!B122)</f>
        <v/>
      </c>
      <c r="C122" s="16" t="str">
        <f aca="false">IF(A122="","",IFERROR(INDEX($L$2:$L$801,MATCH(A122,$K$2:$K$801,0)),"Não verificada"))</f>
        <v/>
      </c>
      <c r="D122" s="11" t="str">
        <f aca="false">IF(AND(A122&lt;&gt;"",C122&lt;&gt;"Tem foto"),MAX(D$1:D121)+1,"")</f>
        <v/>
      </c>
      <c r="F122" s="26" t="str">
        <f aca="false">IF($I$4=0,"",IF(120&lt;=$I$4,"    """&amp;INDEX($A$2:$A$801,MATCH(120,$D$2:$D$801,0))&amp;""",",IF(120=$I$4+1,"]","")))</f>
        <v/>
      </c>
    </row>
    <row r="123" customFormat="false" ht="15" hidden="false" customHeight="false" outlineLevel="0" collapsed="false">
      <c r="A123" s="11" t="str">
        <f aca="false">IF(INVENTÁRIO!A123="","",INVENTÁRIO!A123)</f>
        <v/>
      </c>
      <c r="B123" s="11" t="str">
        <f aca="false">IF(A123="","",INVENTÁRIO!B123)</f>
        <v/>
      </c>
      <c r="C123" s="16" t="str">
        <f aca="false">IF(A123="","",IFERROR(INDEX($L$2:$L$801,MATCH(A123,$K$2:$K$801,0)),"Não verificada"))</f>
        <v/>
      </c>
      <c r="D123" s="11" t="str">
        <f aca="false">IF(AND(A123&lt;&gt;"",C123&lt;&gt;"Tem foto"),MAX(D$1:D122)+1,"")</f>
        <v/>
      </c>
      <c r="F123" s="26" t="str">
        <f aca="false">IF($I$4=0,"",IF(121&lt;=$I$4,"    """&amp;INDEX($A$2:$A$801,MATCH(121,$D$2:$D$801,0))&amp;""",",IF(121=$I$4+1,"]","")))</f>
        <v/>
      </c>
    </row>
    <row r="124" customFormat="false" ht="15" hidden="false" customHeight="false" outlineLevel="0" collapsed="false">
      <c r="A124" s="11" t="str">
        <f aca="false">IF(INVENTÁRIO!A124="","",INVENTÁRIO!A124)</f>
        <v/>
      </c>
      <c r="B124" s="11" t="str">
        <f aca="false">IF(A124="","",INVENTÁRIO!B124)</f>
        <v/>
      </c>
      <c r="C124" s="16" t="str">
        <f aca="false">IF(A124="","",IFERROR(INDEX($L$2:$L$801,MATCH(A124,$K$2:$K$801,0)),"Não verificada"))</f>
        <v/>
      </c>
      <c r="D124" s="11" t="str">
        <f aca="false">IF(AND(A124&lt;&gt;"",C124&lt;&gt;"Tem foto"),MAX(D$1:D123)+1,"")</f>
        <v/>
      </c>
      <c r="F124" s="26" t="str">
        <f aca="false">IF($I$4=0,"",IF(122&lt;=$I$4,"    """&amp;INDEX($A$2:$A$801,MATCH(122,$D$2:$D$801,0))&amp;""",",IF(122=$I$4+1,"]","")))</f>
        <v/>
      </c>
    </row>
    <row r="125" customFormat="false" ht="15" hidden="false" customHeight="false" outlineLevel="0" collapsed="false">
      <c r="A125" s="11" t="str">
        <f aca="false">IF(INVENTÁRIO!A125="","",INVENTÁRIO!A125)</f>
        <v/>
      </c>
      <c r="B125" s="11" t="str">
        <f aca="false">IF(A125="","",INVENTÁRIO!B125)</f>
        <v/>
      </c>
      <c r="C125" s="16" t="str">
        <f aca="false">IF(A125="","",IFERROR(INDEX($L$2:$L$801,MATCH(A125,$K$2:$K$801,0)),"Não verificada"))</f>
        <v/>
      </c>
      <c r="D125" s="11" t="str">
        <f aca="false">IF(AND(A125&lt;&gt;"",C125&lt;&gt;"Tem foto"),MAX(D$1:D124)+1,"")</f>
        <v/>
      </c>
      <c r="F125" s="26" t="str">
        <f aca="false">IF($I$4=0,"",IF(123&lt;=$I$4,"    """&amp;INDEX($A$2:$A$801,MATCH(123,$D$2:$D$801,0))&amp;""",",IF(123=$I$4+1,"]","")))</f>
        <v/>
      </c>
    </row>
    <row r="126" customFormat="false" ht="15" hidden="false" customHeight="false" outlineLevel="0" collapsed="false">
      <c r="A126" s="11" t="str">
        <f aca="false">IF(INVENTÁRIO!A126="","",INVENTÁRIO!A126)</f>
        <v/>
      </c>
      <c r="B126" s="11" t="str">
        <f aca="false">IF(A126="","",INVENTÁRIO!B126)</f>
        <v/>
      </c>
      <c r="C126" s="16" t="str">
        <f aca="false">IF(A126="","",IFERROR(INDEX($L$2:$L$801,MATCH(A126,$K$2:$K$801,0)),"Não verificada"))</f>
        <v/>
      </c>
      <c r="D126" s="11" t="str">
        <f aca="false">IF(AND(A126&lt;&gt;"",C126&lt;&gt;"Tem foto"),MAX(D$1:D125)+1,"")</f>
        <v/>
      </c>
      <c r="F126" s="26" t="str">
        <f aca="false">IF($I$4=0,"",IF(124&lt;=$I$4,"    """&amp;INDEX($A$2:$A$801,MATCH(124,$D$2:$D$801,0))&amp;""",",IF(124=$I$4+1,"]","")))</f>
        <v/>
      </c>
    </row>
    <row r="127" customFormat="false" ht="15" hidden="false" customHeight="false" outlineLevel="0" collapsed="false">
      <c r="A127" s="11" t="str">
        <f aca="false">IF(INVENTÁRIO!A127="","",INVENTÁRIO!A127)</f>
        <v/>
      </c>
      <c r="B127" s="11" t="str">
        <f aca="false">IF(A127="","",INVENTÁRIO!B127)</f>
        <v/>
      </c>
      <c r="C127" s="16" t="str">
        <f aca="false">IF(A127="","",IFERROR(INDEX($L$2:$L$801,MATCH(A127,$K$2:$K$801,0)),"Não verificada"))</f>
        <v/>
      </c>
      <c r="D127" s="11" t="str">
        <f aca="false">IF(AND(A127&lt;&gt;"",C127&lt;&gt;"Tem foto"),MAX(D$1:D126)+1,"")</f>
        <v/>
      </c>
      <c r="F127" s="26" t="str">
        <f aca="false">IF($I$4=0,"",IF(125&lt;=$I$4,"    """&amp;INDEX($A$2:$A$801,MATCH(125,$D$2:$D$801,0))&amp;""",",IF(125=$I$4+1,"]","")))</f>
        <v/>
      </c>
    </row>
    <row r="128" customFormat="false" ht="15" hidden="false" customHeight="false" outlineLevel="0" collapsed="false">
      <c r="A128" s="11" t="str">
        <f aca="false">IF(INVENTÁRIO!A128="","",INVENTÁRIO!A128)</f>
        <v/>
      </c>
      <c r="B128" s="11" t="str">
        <f aca="false">IF(A128="","",INVENTÁRIO!B128)</f>
        <v/>
      </c>
      <c r="C128" s="16" t="str">
        <f aca="false">IF(A128="","",IFERROR(INDEX($L$2:$L$801,MATCH(A128,$K$2:$K$801,0)),"Não verificada"))</f>
        <v/>
      </c>
      <c r="D128" s="11" t="str">
        <f aca="false">IF(AND(A128&lt;&gt;"",C128&lt;&gt;"Tem foto"),MAX(D$1:D127)+1,"")</f>
        <v/>
      </c>
      <c r="F128" s="26" t="str">
        <f aca="false">IF($I$4=0,"",IF(126&lt;=$I$4,"    """&amp;INDEX($A$2:$A$801,MATCH(126,$D$2:$D$801,0))&amp;""",",IF(126=$I$4+1,"]","")))</f>
        <v/>
      </c>
    </row>
    <row r="129" customFormat="false" ht="15" hidden="false" customHeight="false" outlineLevel="0" collapsed="false">
      <c r="A129" s="11" t="str">
        <f aca="false">IF(INVENTÁRIO!A129="","",INVENTÁRIO!A129)</f>
        <v/>
      </c>
      <c r="B129" s="11" t="str">
        <f aca="false">IF(A129="","",INVENTÁRIO!B129)</f>
        <v/>
      </c>
      <c r="C129" s="16" t="str">
        <f aca="false">IF(A129="","",IFERROR(INDEX($L$2:$L$801,MATCH(A129,$K$2:$K$801,0)),"Não verificada"))</f>
        <v/>
      </c>
      <c r="D129" s="11" t="str">
        <f aca="false">IF(AND(A129&lt;&gt;"",C129&lt;&gt;"Tem foto"),MAX(D$1:D128)+1,"")</f>
        <v/>
      </c>
      <c r="F129" s="26" t="str">
        <f aca="false">IF($I$4=0,"",IF(127&lt;=$I$4,"    """&amp;INDEX($A$2:$A$801,MATCH(127,$D$2:$D$801,0))&amp;""",",IF(127=$I$4+1,"]","")))</f>
        <v/>
      </c>
    </row>
    <row r="130" customFormat="false" ht="15" hidden="false" customHeight="false" outlineLevel="0" collapsed="false">
      <c r="A130" s="11" t="str">
        <f aca="false">IF(INVENTÁRIO!A130="","",INVENTÁRIO!A130)</f>
        <v/>
      </c>
      <c r="B130" s="11" t="str">
        <f aca="false">IF(A130="","",INVENTÁRIO!B130)</f>
        <v/>
      </c>
      <c r="C130" s="16" t="str">
        <f aca="false">IF(A130="","",IFERROR(INDEX($L$2:$L$801,MATCH(A130,$K$2:$K$801,0)),"Não verificada"))</f>
        <v/>
      </c>
      <c r="D130" s="11" t="str">
        <f aca="false">IF(AND(A130&lt;&gt;"",C130&lt;&gt;"Tem foto"),MAX(D$1:D129)+1,"")</f>
        <v/>
      </c>
      <c r="F130" s="26" t="str">
        <f aca="false">IF($I$4=0,"",IF(128&lt;=$I$4,"    """&amp;INDEX($A$2:$A$801,MATCH(128,$D$2:$D$801,0))&amp;""",",IF(128=$I$4+1,"]","")))</f>
        <v/>
      </c>
    </row>
    <row r="131" customFormat="false" ht="15" hidden="false" customHeight="false" outlineLevel="0" collapsed="false">
      <c r="A131" s="11" t="str">
        <f aca="false">IF(INVENTÁRIO!A131="","",INVENTÁRIO!A131)</f>
        <v/>
      </c>
      <c r="B131" s="11" t="str">
        <f aca="false">IF(A131="","",INVENTÁRIO!B131)</f>
        <v/>
      </c>
      <c r="C131" s="16" t="str">
        <f aca="false">IF(A131="","",IFERROR(INDEX($L$2:$L$801,MATCH(A131,$K$2:$K$801,0)),"Não verificada"))</f>
        <v/>
      </c>
      <c r="D131" s="11" t="str">
        <f aca="false">IF(AND(A131&lt;&gt;"",C131&lt;&gt;"Tem foto"),MAX(D$1:D130)+1,"")</f>
        <v/>
      </c>
      <c r="F131" s="26" t="str">
        <f aca="false">IF($I$4=0,"",IF(129&lt;=$I$4,"    """&amp;INDEX($A$2:$A$801,MATCH(129,$D$2:$D$801,0))&amp;""",",IF(129=$I$4+1,"]","")))</f>
        <v/>
      </c>
    </row>
    <row r="132" customFormat="false" ht="15" hidden="false" customHeight="false" outlineLevel="0" collapsed="false">
      <c r="A132" s="11" t="str">
        <f aca="false">IF(INVENTÁRIO!A132="","",INVENTÁRIO!A132)</f>
        <v/>
      </c>
      <c r="B132" s="11" t="str">
        <f aca="false">IF(A132="","",INVENTÁRIO!B132)</f>
        <v/>
      </c>
      <c r="C132" s="16" t="str">
        <f aca="false">IF(A132="","",IFERROR(INDEX($L$2:$L$801,MATCH(A132,$K$2:$K$801,0)),"Não verificada"))</f>
        <v/>
      </c>
      <c r="D132" s="11" t="str">
        <f aca="false">IF(AND(A132&lt;&gt;"",C132&lt;&gt;"Tem foto"),MAX(D$1:D131)+1,"")</f>
        <v/>
      </c>
      <c r="F132" s="26" t="str">
        <f aca="false">IF($I$4=0,"",IF(130&lt;=$I$4,"    """&amp;INDEX($A$2:$A$801,MATCH(130,$D$2:$D$801,0))&amp;""",",IF(130=$I$4+1,"]","")))</f>
        <v/>
      </c>
    </row>
    <row r="133" customFormat="false" ht="15" hidden="false" customHeight="false" outlineLevel="0" collapsed="false">
      <c r="A133" s="11" t="str">
        <f aca="false">IF(INVENTÁRIO!A133="","",INVENTÁRIO!A133)</f>
        <v/>
      </c>
      <c r="B133" s="11" t="str">
        <f aca="false">IF(A133="","",INVENTÁRIO!B133)</f>
        <v/>
      </c>
      <c r="C133" s="16" t="str">
        <f aca="false">IF(A133="","",IFERROR(INDEX($L$2:$L$801,MATCH(A133,$K$2:$K$801,0)),"Não verificada"))</f>
        <v/>
      </c>
      <c r="D133" s="11" t="str">
        <f aca="false">IF(AND(A133&lt;&gt;"",C133&lt;&gt;"Tem foto"),MAX(D$1:D132)+1,"")</f>
        <v/>
      </c>
      <c r="F133" s="26" t="str">
        <f aca="false">IF($I$4=0,"",IF(131&lt;=$I$4,"    """&amp;INDEX($A$2:$A$801,MATCH(131,$D$2:$D$801,0))&amp;""",",IF(131=$I$4+1,"]","")))</f>
        <v/>
      </c>
    </row>
    <row r="134" customFormat="false" ht="15" hidden="false" customHeight="false" outlineLevel="0" collapsed="false">
      <c r="A134" s="11" t="str">
        <f aca="false">IF(INVENTÁRIO!A134="","",INVENTÁRIO!A134)</f>
        <v/>
      </c>
      <c r="B134" s="11" t="str">
        <f aca="false">IF(A134="","",INVENTÁRIO!B134)</f>
        <v/>
      </c>
      <c r="C134" s="16" t="str">
        <f aca="false">IF(A134="","",IFERROR(INDEX($L$2:$L$801,MATCH(A134,$K$2:$K$801,0)),"Não verificada"))</f>
        <v/>
      </c>
      <c r="D134" s="11" t="str">
        <f aca="false">IF(AND(A134&lt;&gt;"",C134&lt;&gt;"Tem foto"),MAX(D$1:D133)+1,"")</f>
        <v/>
      </c>
      <c r="F134" s="26" t="str">
        <f aca="false">IF($I$4=0,"",IF(132&lt;=$I$4,"    """&amp;INDEX($A$2:$A$801,MATCH(132,$D$2:$D$801,0))&amp;""",",IF(132=$I$4+1,"]","")))</f>
        <v/>
      </c>
    </row>
    <row r="135" customFormat="false" ht="15" hidden="false" customHeight="false" outlineLevel="0" collapsed="false">
      <c r="A135" s="11" t="str">
        <f aca="false">IF(INVENTÁRIO!A135="","",INVENTÁRIO!A135)</f>
        <v/>
      </c>
      <c r="B135" s="11" t="str">
        <f aca="false">IF(A135="","",INVENTÁRIO!B135)</f>
        <v/>
      </c>
      <c r="C135" s="16" t="str">
        <f aca="false">IF(A135="","",IFERROR(INDEX($L$2:$L$801,MATCH(A135,$K$2:$K$801,0)),"Não verificada"))</f>
        <v/>
      </c>
      <c r="D135" s="11" t="str">
        <f aca="false">IF(AND(A135&lt;&gt;"",C135&lt;&gt;"Tem foto"),MAX(D$1:D134)+1,"")</f>
        <v/>
      </c>
      <c r="F135" s="26" t="str">
        <f aca="false">IF($I$4=0,"",IF(133&lt;=$I$4,"    """&amp;INDEX($A$2:$A$801,MATCH(133,$D$2:$D$801,0))&amp;""",",IF(133=$I$4+1,"]","")))</f>
        <v/>
      </c>
    </row>
    <row r="136" customFormat="false" ht="15" hidden="false" customHeight="false" outlineLevel="0" collapsed="false">
      <c r="A136" s="11" t="str">
        <f aca="false">IF(INVENTÁRIO!A136="","",INVENTÁRIO!A136)</f>
        <v/>
      </c>
      <c r="B136" s="11" t="str">
        <f aca="false">IF(A136="","",INVENTÁRIO!B136)</f>
        <v/>
      </c>
      <c r="C136" s="16" t="str">
        <f aca="false">IF(A136="","",IFERROR(INDEX($L$2:$L$801,MATCH(A136,$K$2:$K$801,0)),"Não verificada"))</f>
        <v/>
      </c>
      <c r="D136" s="11" t="str">
        <f aca="false">IF(AND(A136&lt;&gt;"",C136&lt;&gt;"Tem foto"),MAX(D$1:D135)+1,"")</f>
        <v/>
      </c>
      <c r="F136" s="26" t="str">
        <f aca="false">IF($I$4=0,"",IF(134&lt;=$I$4,"    """&amp;INDEX($A$2:$A$801,MATCH(134,$D$2:$D$801,0))&amp;""",",IF(134=$I$4+1,"]","")))</f>
        <v/>
      </c>
    </row>
    <row r="137" customFormat="false" ht="15" hidden="false" customHeight="false" outlineLevel="0" collapsed="false">
      <c r="A137" s="11" t="str">
        <f aca="false">IF(INVENTÁRIO!A137="","",INVENTÁRIO!A137)</f>
        <v/>
      </c>
      <c r="B137" s="11" t="str">
        <f aca="false">IF(A137="","",INVENTÁRIO!B137)</f>
        <v/>
      </c>
      <c r="C137" s="16" t="str">
        <f aca="false">IF(A137="","",IFERROR(INDEX($L$2:$L$801,MATCH(A137,$K$2:$K$801,0)),"Não verificada"))</f>
        <v/>
      </c>
      <c r="D137" s="11" t="str">
        <f aca="false">IF(AND(A137&lt;&gt;"",C137&lt;&gt;"Tem foto"),MAX(D$1:D136)+1,"")</f>
        <v/>
      </c>
      <c r="F137" s="26" t="str">
        <f aca="false">IF($I$4=0,"",IF(135&lt;=$I$4,"    """&amp;INDEX($A$2:$A$801,MATCH(135,$D$2:$D$801,0))&amp;""",",IF(135=$I$4+1,"]","")))</f>
        <v/>
      </c>
    </row>
    <row r="138" customFormat="false" ht="15" hidden="false" customHeight="false" outlineLevel="0" collapsed="false">
      <c r="A138" s="11" t="str">
        <f aca="false">IF(INVENTÁRIO!A138="","",INVENTÁRIO!A138)</f>
        <v/>
      </c>
      <c r="B138" s="11" t="str">
        <f aca="false">IF(A138="","",INVENTÁRIO!B138)</f>
        <v/>
      </c>
      <c r="C138" s="16" t="str">
        <f aca="false">IF(A138="","",IFERROR(INDEX($L$2:$L$801,MATCH(A138,$K$2:$K$801,0)),"Não verificada"))</f>
        <v/>
      </c>
      <c r="D138" s="11" t="str">
        <f aca="false">IF(AND(A138&lt;&gt;"",C138&lt;&gt;"Tem foto"),MAX(D$1:D137)+1,"")</f>
        <v/>
      </c>
      <c r="F138" s="26" t="str">
        <f aca="false">IF($I$4=0,"",IF(136&lt;=$I$4,"    """&amp;INDEX($A$2:$A$801,MATCH(136,$D$2:$D$801,0))&amp;""",",IF(136=$I$4+1,"]","")))</f>
        <v/>
      </c>
    </row>
    <row r="139" customFormat="false" ht="15" hidden="false" customHeight="false" outlineLevel="0" collapsed="false">
      <c r="A139" s="11" t="str">
        <f aca="false">IF(INVENTÁRIO!A139="","",INVENTÁRIO!A139)</f>
        <v/>
      </c>
      <c r="B139" s="11" t="str">
        <f aca="false">IF(A139="","",INVENTÁRIO!B139)</f>
        <v/>
      </c>
      <c r="C139" s="16" t="str">
        <f aca="false">IF(A139="","",IFERROR(INDEX($L$2:$L$801,MATCH(A139,$K$2:$K$801,0)),"Não verificada"))</f>
        <v/>
      </c>
      <c r="D139" s="11" t="str">
        <f aca="false">IF(AND(A139&lt;&gt;"",C139&lt;&gt;"Tem foto"),MAX(D$1:D138)+1,"")</f>
        <v/>
      </c>
      <c r="F139" s="26" t="str">
        <f aca="false">IF($I$4=0,"",IF(137&lt;=$I$4,"    """&amp;INDEX($A$2:$A$801,MATCH(137,$D$2:$D$801,0))&amp;""",",IF(137=$I$4+1,"]","")))</f>
        <v/>
      </c>
    </row>
    <row r="140" customFormat="false" ht="15" hidden="false" customHeight="false" outlineLevel="0" collapsed="false">
      <c r="A140" s="11" t="str">
        <f aca="false">IF(INVENTÁRIO!A140="","",INVENTÁRIO!A140)</f>
        <v/>
      </c>
      <c r="B140" s="11" t="str">
        <f aca="false">IF(A140="","",INVENTÁRIO!B140)</f>
        <v/>
      </c>
      <c r="C140" s="16" t="str">
        <f aca="false">IF(A140="","",IFERROR(INDEX($L$2:$L$801,MATCH(A140,$K$2:$K$801,0)),"Não verificada"))</f>
        <v/>
      </c>
      <c r="D140" s="11" t="str">
        <f aca="false">IF(AND(A140&lt;&gt;"",C140&lt;&gt;"Tem foto"),MAX(D$1:D139)+1,"")</f>
        <v/>
      </c>
      <c r="F140" s="26" t="str">
        <f aca="false">IF($I$4=0,"",IF(138&lt;=$I$4,"    """&amp;INDEX($A$2:$A$801,MATCH(138,$D$2:$D$801,0))&amp;""",",IF(138=$I$4+1,"]","")))</f>
        <v/>
      </c>
    </row>
    <row r="141" customFormat="false" ht="15" hidden="false" customHeight="false" outlineLevel="0" collapsed="false">
      <c r="A141" s="11" t="str">
        <f aca="false">IF(INVENTÁRIO!A141="","",INVENTÁRIO!A141)</f>
        <v/>
      </c>
      <c r="B141" s="11" t="str">
        <f aca="false">IF(A141="","",INVENTÁRIO!B141)</f>
        <v/>
      </c>
      <c r="C141" s="16" t="str">
        <f aca="false">IF(A141="","",IFERROR(INDEX($L$2:$L$801,MATCH(A141,$K$2:$K$801,0)),"Não verificada"))</f>
        <v/>
      </c>
      <c r="D141" s="11" t="str">
        <f aca="false">IF(AND(A141&lt;&gt;"",C141&lt;&gt;"Tem foto"),MAX(D$1:D140)+1,"")</f>
        <v/>
      </c>
      <c r="F141" s="26" t="str">
        <f aca="false">IF($I$4=0,"",IF(139&lt;=$I$4,"    """&amp;INDEX($A$2:$A$801,MATCH(139,$D$2:$D$801,0))&amp;""",",IF(139=$I$4+1,"]","")))</f>
        <v/>
      </c>
    </row>
    <row r="142" customFormat="false" ht="15" hidden="false" customHeight="false" outlineLevel="0" collapsed="false">
      <c r="A142" s="11" t="str">
        <f aca="false">IF(INVENTÁRIO!A142="","",INVENTÁRIO!A142)</f>
        <v/>
      </c>
      <c r="B142" s="11" t="str">
        <f aca="false">IF(A142="","",INVENTÁRIO!B142)</f>
        <v/>
      </c>
      <c r="C142" s="16" t="str">
        <f aca="false">IF(A142="","",IFERROR(INDEX($L$2:$L$801,MATCH(A142,$K$2:$K$801,0)),"Não verificada"))</f>
        <v/>
      </c>
      <c r="D142" s="11" t="str">
        <f aca="false">IF(AND(A142&lt;&gt;"",C142&lt;&gt;"Tem foto"),MAX(D$1:D141)+1,"")</f>
        <v/>
      </c>
      <c r="F142" s="26" t="str">
        <f aca="false">IF($I$4=0,"",IF(140&lt;=$I$4,"    """&amp;INDEX($A$2:$A$801,MATCH(140,$D$2:$D$801,0))&amp;""",",IF(140=$I$4+1,"]","")))</f>
        <v/>
      </c>
    </row>
    <row r="143" customFormat="false" ht="15" hidden="false" customHeight="false" outlineLevel="0" collapsed="false">
      <c r="A143" s="11" t="str">
        <f aca="false">IF(INVENTÁRIO!A143="","",INVENTÁRIO!A143)</f>
        <v/>
      </c>
      <c r="B143" s="11" t="str">
        <f aca="false">IF(A143="","",INVENTÁRIO!B143)</f>
        <v/>
      </c>
      <c r="C143" s="16" t="str">
        <f aca="false">IF(A143="","",IFERROR(INDEX($L$2:$L$801,MATCH(A143,$K$2:$K$801,0)),"Não verificada"))</f>
        <v/>
      </c>
      <c r="D143" s="11" t="str">
        <f aca="false">IF(AND(A143&lt;&gt;"",C143&lt;&gt;"Tem foto"),MAX(D$1:D142)+1,"")</f>
        <v/>
      </c>
      <c r="F143" s="26" t="str">
        <f aca="false">IF($I$4=0,"",IF(141&lt;=$I$4,"    """&amp;INDEX($A$2:$A$801,MATCH(141,$D$2:$D$801,0))&amp;""",",IF(141=$I$4+1,"]","")))</f>
        <v/>
      </c>
    </row>
    <row r="144" customFormat="false" ht="15" hidden="false" customHeight="false" outlineLevel="0" collapsed="false">
      <c r="A144" s="11" t="str">
        <f aca="false">IF(INVENTÁRIO!A144="","",INVENTÁRIO!A144)</f>
        <v/>
      </c>
      <c r="B144" s="11" t="str">
        <f aca="false">IF(A144="","",INVENTÁRIO!B144)</f>
        <v/>
      </c>
      <c r="C144" s="16" t="str">
        <f aca="false">IF(A144="","",IFERROR(INDEX($L$2:$L$801,MATCH(A144,$K$2:$K$801,0)),"Não verificada"))</f>
        <v/>
      </c>
      <c r="D144" s="11" t="str">
        <f aca="false">IF(AND(A144&lt;&gt;"",C144&lt;&gt;"Tem foto"),MAX(D$1:D143)+1,"")</f>
        <v/>
      </c>
      <c r="F144" s="26" t="str">
        <f aca="false">IF($I$4=0,"",IF(142&lt;=$I$4,"    """&amp;INDEX($A$2:$A$801,MATCH(142,$D$2:$D$801,0))&amp;""",",IF(142=$I$4+1,"]","")))</f>
        <v/>
      </c>
    </row>
    <row r="145" customFormat="false" ht="15" hidden="false" customHeight="false" outlineLevel="0" collapsed="false">
      <c r="A145" s="11" t="str">
        <f aca="false">IF(INVENTÁRIO!A145="","",INVENTÁRIO!A145)</f>
        <v/>
      </c>
      <c r="B145" s="11" t="str">
        <f aca="false">IF(A145="","",INVENTÁRIO!B145)</f>
        <v/>
      </c>
      <c r="C145" s="16" t="str">
        <f aca="false">IF(A145="","",IFERROR(INDEX($L$2:$L$801,MATCH(A145,$K$2:$K$801,0)),"Não verificada"))</f>
        <v/>
      </c>
      <c r="D145" s="11" t="str">
        <f aca="false">IF(AND(A145&lt;&gt;"",C145&lt;&gt;"Tem foto"),MAX(D$1:D144)+1,"")</f>
        <v/>
      </c>
      <c r="F145" s="26" t="str">
        <f aca="false">IF($I$4=0,"",IF(143&lt;=$I$4,"    """&amp;INDEX($A$2:$A$801,MATCH(143,$D$2:$D$801,0))&amp;""",",IF(143=$I$4+1,"]","")))</f>
        <v/>
      </c>
    </row>
    <row r="146" customFormat="false" ht="15" hidden="false" customHeight="false" outlineLevel="0" collapsed="false">
      <c r="A146" s="11" t="str">
        <f aca="false">IF(INVENTÁRIO!A146="","",INVENTÁRIO!A146)</f>
        <v/>
      </c>
      <c r="B146" s="11" t="str">
        <f aca="false">IF(A146="","",INVENTÁRIO!B146)</f>
        <v/>
      </c>
      <c r="C146" s="16" t="str">
        <f aca="false">IF(A146="","",IFERROR(INDEX($L$2:$L$801,MATCH(A146,$K$2:$K$801,0)),"Não verificada"))</f>
        <v/>
      </c>
      <c r="D146" s="11" t="str">
        <f aca="false">IF(AND(A146&lt;&gt;"",C146&lt;&gt;"Tem foto"),MAX(D$1:D145)+1,"")</f>
        <v/>
      </c>
      <c r="F146" s="26" t="str">
        <f aca="false">IF($I$4=0,"",IF(144&lt;=$I$4,"    """&amp;INDEX($A$2:$A$801,MATCH(144,$D$2:$D$801,0))&amp;""",",IF(144=$I$4+1,"]","")))</f>
        <v/>
      </c>
    </row>
    <row r="147" customFormat="false" ht="15" hidden="false" customHeight="false" outlineLevel="0" collapsed="false">
      <c r="A147" s="11" t="str">
        <f aca="false">IF(INVENTÁRIO!A147="","",INVENTÁRIO!A147)</f>
        <v/>
      </c>
      <c r="B147" s="11" t="str">
        <f aca="false">IF(A147="","",INVENTÁRIO!B147)</f>
        <v/>
      </c>
      <c r="C147" s="16" t="str">
        <f aca="false">IF(A147="","",IFERROR(INDEX($L$2:$L$801,MATCH(A147,$K$2:$K$801,0)),"Não verificada"))</f>
        <v/>
      </c>
      <c r="D147" s="11" t="str">
        <f aca="false">IF(AND(A147&lt;&gt;"",C147&lt;&gt;"Tem foto"),MAX(D$1:D146)+1,"")</f>
        <v/>
      </c>
      <c r="F147" s="26" t="str">
        <f aca="false">IF($I$4=0,"",IF(145&lt;=$I$4,"    """&amp;INDEX($A$2:$A$801,MATCH(145,$D$2:$D$801,0))&amp;""",",IF(145=$I$4+1,"]","")))</f>
        <v/>
      </c>
    </row>
    <row r="148" customFormat="false" ht="15" hidden="false" customHeight="false" outlineLevel="0" collapsed="false">
      <c r="A148" s="11" t="str">
        <f aca="false">IF(INVENTÁRIO!A148="","",INVENTÁRIO!A148)</f>
        <v/>
      </c>
      <c r="B148" s="11" t="str">
        <f aca="false">IF(A148="","",INVENTÁRIO!B148)</f>
        <v/>
      </c>
      <c r="C148" s="16" t="str">
        <f aca="false">IF(A148="","",IFERROR(INDEX($L$2:$L$801,MATCH(A148,$K$2:$K$801,0)),"Não verificada"))</f>
        <v/>
      </c>
      <c r="D148" s="11" t="str">
        <f aca="false">IF(AND(A148&lt;&gt;"",C148&lt;&gt;"Tem foto"),MAX(D$1:D147)+1,"")</f>
        <v/>
      </c>
      <c r="F148" s="26" t="str">
        <f aca="false">IF($I$4=0,"",IF(146&lt;=$I$4,"    """&amp;INDEX($A$2:$A$801,MATCH(146,$D$2:$D$801,0))&amp;""",",IF(146=$I$4+1,"]","")))</f>
        <v/>
      </c>
    </row>
    <row r="149" customFormat="false" ht="15" hidden="false" customHeight="false" outlineLevel="0" collapsed="false">
      <c r="A149" s="11" t="str">
        <f aca="false">IF(INVENTÁRIO!A149="","",INVENTÁRIO!A149)</f>
        <v/>
      </c>
      <c r="B149" s="11" t="str">
        <f aca="false">IF(A149="","",INVENTÁRIO!B149)</f>
        <v/>
      </c>
      <c r="C149" s="16" t="str">
        <f aca="false">IF(A149="","",IFERROR(INDEX($L$2:$L$801,MATCH(A149,$K$2:$K$801,0)),"Não verificada"))</f>
        <v/>
      </c>
      <c r="D149" s="11" t="str">
        <f aca="false">IF(AND(A149&lt;&gt;"",C149&lt;&gt;"Tem foto"),MAX(D$1:D148)+1,"")</f>
        <v/>
      </c>
      <c r="F149" s="26" t="str">
        <f aca="false">IF($I$4=0,"",IF(147&lt;=$I$4,"    """&amp;INDEX($A$2:$A$801,MATCH(147,$D$2:$D$801,0))&amp;""",",IF(147=$I$4+1,"]","")))</f>
        <v/>
      </c>
    </row>
    <row r="150" customFormat="false" ht="15" hidden="false" customHeight="false" outlineLevel="0" collapsed="false">
      <c r="A150" s="11" t="str">
        <f aca="false">IF(INVENTÁRIO!A150="","",INVENTÁRIO!A150)</f>
        <v/>
      </c>
      <c r="B150" s="11" t="str">
        <f aca="false">IF(A150="","",INVENTÁRIO!B150)</f>
        <v/>
      </c>
      <c r="C150" s="16" t="str">
        <f aca="false">IF(A150="","",IFERROR(INDEX($L$2:$L$801,MATCH(A150,$K$2:$K$801,0)),"Não verificada"))</f>
        <v/>
      </c>
      <c r="D150" s="11" t="str">
        <f aca="false">IF(AND(A150&lt;&gt;"",C150&lt;&gt;"Tem foto"),MAX(D$1:D149)+1,"")</f>
        <v/>
      </c>
      <c r="F150" s="26" t="str">
        <f aca="false">IF($I$4=0,"",IF(148&lt;=$I$4,"    """&amp;INDEX($A$2:$A$801,MATCH(148,$D$2:$D$801,0))&amp;""",",IF(148=$I$4+1,"]","")))</f>
        <v/>
      </c>
    </row>
    <row r="151" customFormat="false" ht="15" hidden="false" customHeight="false" outlineLevel="0" collapsed="false">
      <c r="A151" s="11" t="str">
        <f aca="false">IF(INVENTÁRIO!A151="","",INVENTÁRIO!A151)</f>
        <v/>
      </c>
      <c r="B151" s="11" t="str">
        <f aca="false">IF(A151="","",INVENTÁRIO!B151)</f>
        <v/>
      </c>
      <c r="C151" s="16" t="str">
        <f aca="false">IF(A151="","",IFERROR(INDEX($L$2:$L$801,MATCH(A151,$K$2:$K$801,0)),"Não verificada"))</f>
        <v/>
      </c>
      <c r="D151" s="11" t="str">
        <f aca="false">IF(AND(A151&lt;&gt;"",C151&lt;&gt;"Tem foto"),MAX(D$1:D150)+1,"")</f>
        <v/>
      </c>
      <c r="F151" s="26" t="str">
        <f aca="false">IF($I$4=0,"",IF(149&lt;=$I$4,"    """&amp;INDEX($A$2:$A$801,MATCH(149,$D$2:$D$801,0))&amp;""",",IF(149=$I$4+1,"]","")))</f>
        <v/>
      </c>
    </row>
    <row r="152" customFormat="false" ht="15" hidden="false" customHeight="false" outlineLevel="0" collapsed="false">
      <c r="A152" s="11" t="str">
        <f aca="false">IF(INVENTÁRIO!A152="","",INVENTÁRIO!A152)</f>
        <v/>
      </c>
      <c r="B152" s="11" t="str">
        <f aca="false">IF(A152="","",INVENTÁRIO!B152)</f>
        <v/>
      </c>
      <c r="C152" s="16" t="str">
        <f aca="false">IF(A152="","",IFERROR(INDEX($L$2:$L$801,MATCH(A152,$K$2:$K$801,0)),"Não verificada"))</f>
        <v/>
      </c>
      <c r="D152" s="11" t="str">
        <f aca="false">IF(AND(A152&lt;&gt;"",C152&lt;&gt;"Tem foto"),MAX(D$1:D151)+1,"")</f>
        <v/>
      </c>
      <c r="F152" s="26" t="str">
        <f aca="false">IF($I$4=0,"",IF(150&lt;=$I$4,"    """&amp;INDEX($A$2:$A$801,MATCH(150,$D$2:$D$801,0))&amp;""",",IF(150=$I$4+1,"]","")))</f>
        <v/>
      </c>
    </row>
    <row r="153" customFormat="false" ht="15" hidden="false" customHeight="false" outlineLevel="0" collapsed="false">
      <c r="A153" s="11" t="str">
        <f aca="false">IF(INVENTÁRIO!A153="","",INVENTÁRIO!A153)</f>
        <v/>
      </c>
      <c r="B153" s="11" t="str">
        <f aca="false">IF(A153="","",INVENTÁRIO!B153)</f>
        <v/>
      </c>
      <c r="C153" s="16" t="str">
        <f aca="false">IF(A153="","",IFERROR(INDEX($L$2:$L$801,MATCH(A153,$K$2:$K$801,0)),"Não verificada"))</f>
        <v/>
      </c>
      <c r="D153" s="11" t="str">
        <f aca="false">IF(AND(A153&lt;&gt;"",C153&lt;&gt;"Tem foto"),MAX(D$1:D152)+1,"")</f>
        <v/>
      </c>
      <c r="F153" s="26" t="str">
        <f aca="false">IF($I$4=0,"",IF(151&lt;=$I$4,"    """&amp;INDEX($A$2:$A$801,MATCH(151,$D$2:$D$801,0))&amp;""",",IF(151=$I$4+1,"]","")))</f>
        <v/>
      </c>
    </row>
    <row r="154" customFormat="false" ht="15" hidden="false" customHeight="false" outlineLevel="0" collapsed="false">
      <c r="A154" s="11" t="str">
        <f aca="false">IF(INVENTÁRIO!A154="","",INVENTÁRIO!A154)</f>
        <v/>
      </c>
      <c r="B154" s="11" t="str">
        <f aca="false">IF(A154="","",INVENTÁRIO!B154)</f>
        <v/>
      </c>
      <c r="C154" s="16" t="str">
        <f aca="false">IF(A154="","",IFERROR(INDEX($L$2:$L$801,MATCH(A154,$K$2:$K$801,0)),"Não verificada"))</f>
        <v/>
      </c>
      <c r="D154" s="11" t="str">
        <f aca="false">IF(AND(A154&lt;&gt;"",C154&lt;&gt;"Tem foto"),MAX(D$1:D153)+1,"")</f>
        <v/>
      </c>
      <c r="F154" s="26" t="str">
        <f aca="false">IF($I$4=0,"",IF(152&lt;=$I$4,"    """&amp;INDEX($A$2:$A$801,MATCH(152,$D$2:$D$801,0))&amp;""",",IF(152=$I$4+1,"]","")))</f>
        <v/>
      </c>
    </row>
    <row r="155" customFormat="false" ht="15" hidden="false" customHeight="false" outlineLevel="0" collapsed="false">
      <c r="A155" s="11" t="str">
        <f aca="false">IF(INVENTÁRIO!A155="","",INVENTÁRIO!A155)</f>
        <v/>
      </c>
      <c r="B155" s="11" t="str">
        <f aca="false">IF(A155="","",INVENTÁRIO!B155)</f>
        <v/>
      </c>
      <c r="C155" s="16" t="str">
        <f aca="false">IF(A155="","",IFERROR(INDEX($L$2:$L$801,MATCH(A155,$K$2:$K$801,0)),"Não verificada"))</f>
        <v/>
      </c>
      <c r="D155" s="11" t="str">
        <f aca="false">IF(AND(A155&lt;&gt;"",C155&lt;&gt;"Tem foto"),MAX(D$1:D154)+1,"")</f>
        <v/>
      </c>
      <c r="F155" s="26" t="str">
        <f aca="false">IF($I$4=0,"",IF(153&lt;=$I$4,"    """&amp;INDEX($A$2:$A$801,MATCH(153,$D$2:$D$801,0))&amp;""",",IF(153=$I$4+1,"]","")))</f>
        <v/>
      </c>
    </row>
    <row r="156" customFormat="false" ht="15" hidden="false" customHeight="false" outlineLevel="0" collapsed="false">
      <c r="A156" s="11" t="str">
        <f aca="false">IF(INVENTÁRIO!A156="","",INVENTÁRIO!A156)</f>
        <v/>
      </c>
      <c r="B156" s="11" t="str">
        <f aca="false">IF(A156="","",INVENTÁRIO!B156)</f>
        <v/>
      </c>
      <c r="C156" s="16" t="str">
        <f aca="false">IF(A156="","",IFERROR(INDEX($L$2:$L$801,MATCH(A156,$K$2:$K$801,0)),"Não verificada"))</f>
        <v/>
      </c>
      <c r="D156" s="11" t="str">
        <f aca="false">IF(AND(A156&lt;&gt;"",C156&lt;&gt;"Tem foto"),MAX(D$1:D155)+1,"")</f>
        <v/>
      </c>
      <c r="F156" s="26" t="str">
        <f aca="false">IF($I$4=0,"",IF(154&lt;=$I$4,"    """&amp;INDEX($A$2:$A$801,MATCH(154,$D$2:$D$801,0))&amp;""",",IF(154=$I$4+1,"]","")))</f>
        <v/>
      </c>
    </row>
    <row r="157" customFormat="false" ht="15" hidden="false" customHeight="false" outlineLevel="0" collapsed="false">
      <c r="A157" s="11" t="str">
        <f aca="false">IF(INVENTÁRIO!A157="","",INVENTÁRIO!A157)</f>
        <v/>
      </c>
      <c r="B157" s="11" t="str">
        <f aca="false">IF(A157="","",INVENTÁRIO!B157)</f>
        <v/>
      </c>
      <c r="C157" s="16" t="str">
        <f aca="false">IF(A157="","",IFERROR(INDEX($L$2:$L$801,MATCH(A157,$K$2:$K$801,0)),"Não verificada"))</f>
        <v/>
      </c>
      <c r="D157" s="11" t="str">
        <f aca="false">IF(AND(A157&lt;&gt;"",C157&lt;&gt;"Tem foto"),MAX(D$1:D156)+1,"")</f>
        <v/>
      </c>
      <c r="F157" s="26" t="str">
        <f aca="false">IF($I$4=0,"",IF(155&lt;=$I$4,"    """&amp;INDEX($A$2:$A$801,MATCH(155,$D$2:$D$801,0))&amp;""",",IF(155=$I$4+1,"]","")))</f>
        <v/>
      </c>
    </row>
    <row r="158" customFormat="false" ht="15" hidden="false" customHeight="false" outlineLevel="0" collapsed="false">
      <c r="A158" s="11" t="str">
        <f aca="false">IF(INVENTÁRIO!A158="","",INVENTÁRIO!A158)</f>
        <v/>
      </c>
      <c r="B158" s="11" t="str">
        <f aca="false">IF(A158="","",INVENTÁRIO!B158)</f>
        <v/>
      </c>
      <c r="C158" s="16" t="str">
        <f aca="false">IF(A158="","",IFERROR(INDEX($L$2:$L$801,MATCH(A158,$K$2:$K$801,0)),"Não verificada"))</f>
        <v/>
      </c>
      <c r="D158" s="11" t="str">
        <f aca="false">IF(AND(A158&lt;&gt;"",C158&lt;&gt;"Tem foto"),MAX(D$1:D157)+1,"")</f>
        <v/>
      </c>
      <c r="F158" s="26" t="str">
        <f aca="false">IF($I$4=0,"",IF(156&lt;=$I$4,"    """&amp;INDEX($A$2:$A$801,MATCH(156,$D$2:$D$801,0))&amp;""",",IF(156=$I$4+1,"]","")))</f>
        <v/>
      </c>
    </row>
    <row r="159" customFormat="false" ht="15" hidden="false" customHeight="false" outlineLevel="0" collapsed="false">
      <c r="A159" s="11" t="str">
        <f aca="false">IF(INVENTÁRIO!A159="","",INVENTÁRIO!A159)</f>
        <v/>
      </c>
      <c r="B159" s="11" t="str">
        <f aca="false">IF(A159="","",INVENTÁRIO!B159)</f>
        <v/>
      </c>
      <c r="C159" s="16" t="str">
        <f aca="false">IF(A159="","",IFERROR(INDEX($L$2:$L$801,MATCH(A159,$K$2:$K$801,0)),"Não verificada"))</f>
        <v/>
      </c>
      <c r="D159" s="11" t="str">
        <f aca="false">IF(AND(A159&lt;&gt;"",C159&lt;&gt;"Tem foto"),MAX(D$1:D158)+1,"")</f>
        <v/>
      </c>
      <c r="F159" s="26" t="str">
        <f aca="false">IF($I$4=0,"",IF(157&lt;=$I$4,"    """&amp;INDEX($A$2:$A$801,MATCH(157,$D$2:$D$801,0))&amp;""",",IF(157=$I$4+1,"]","")))</f>
        <v/>
      </c>
    </row>
    <row r="160" customFormat="false" ht="15" hidden="false" customHeight="false" outlineLevel="0" collapsed="false">
      <c r="A160" s="11" t="str">
        <f aca="false">IF(INVENTÁRIO!A160="","",INVENTÁRIO!A160)</f>
        <v/>
      </c>
      <c r="B160" s="11" t="str">
        <f aca="false">IF(A160="","",INVENTÁRIO!B160)</f>
        <v/>
      </c>
      <c r="C160" s="16" t="str">
        <f aca="false">IF(A160="","",IFERROR(INDEX($L$2:$L$801,MATCH(A160,$K$2:$K$801,0)),"Não verificada"))</f>
        <v/>
      </c>
      <c r="D160" s="11" t="str">
        <f aca="false">IF(AND(A160&lt;&gt;"",C160&lt;&gt;"Tem foto"),MAX(D$1:D159)+1,"")</f>
        <v/>
      </c>
      <c r="F160" s="26" t="str">
        <f aca="false">IF($I$4=0,"",IF(158&lt;=$I$4,"    """&amp;INDEX($A$2:$A$801,MATCH(158,$D$2:$D$801,0))&amp;""",",IF(158=$I$4+1,"]","")))</f>
        <v/>
      </c>
    </row>
    <row r="161" customFormat="false" ht="15" hidden="false" customHeight="false" outlineLevel="0" collapsed="false">
      <c r="A161" s="11" t="str">
        <f aca="false">IF(INVENTÁRIO!A161="","",INVENTÁRIO!A161)</f>
        <v/>
      </c>
      <c r="B161" s="11" t="str">
        <f aca="false">IF(A161="","",INVENTÁRIO!B161)</f>
        <v/>
      </c>
      <c r="C161" s="16" t="str">
        <f aca="false">IF(A161="","",IFERROR(INDEX($L$2:$L$801,MATCH(A161,$K$2:$K$801,0)),"Não verificada"))</f>
        <v/>
      </c>
      <c r="D161" s="11" t="str">
        <f aca="false">IF(AND(A161&lt;&gt;"",C161&lt;&gt;"Tem foto"),MAX(D$1:D160)+1,"")</f>
        <v/>
      </c>
      <c r="F161" s="26" t="str">
        <f aca="false">IF($I$4=0,"",IF(159&lt;=$I$4,"    """&amp;INDEX($A$2:$A$801,MATCH(159,$D$2:$D$801,0))&amp;""",",IF(159=$I$4+1,"]","")))</f>
        <v/>
      </c>
    </row>
    <row r="162" customFormat="false" ht="15" hidden="false" customHeight="false" outlineLevel="0" collapsed="false">
      <c r="A162" s="11" t="str">
        <f aca="false">IF(INVENTÁRIO!A162="","",INVENTÁRIO!A162)</f>
        <v/>
      </c>
      <c r="B162" s="11" t="str">
        <f aca="false">IF(A162="","",INVENTÁRIO!B162)</f>
        <v/>
      </c>
      <c r="C162" s="16" t="str">
        <f aca="false">IF(A162="","",IFERROR(INDEX($L$2:$L$801,MATCH(A162,$K$2:$K$801,0)),"Não verificada"))</f>
        <v/>
      </c>
      <c r="D162" s="11" t="str">
        <f aca="false">IF(AND(A162&lt;&gt;"",C162&lt;&gt;"Tem foto"),MAX(D$1:D161)+1,"")</f>
        <v/>
      </c>
      <c r="F162" s="26" t="str">
        <f aca="false">IF($I$4=0,"",IF(160&lt;=$I$4,"    """&amp;INDEX($A$2:$A$801,MATCH(160,$D$2:$D$801,0))&amp;""",",IF(160=$I$4+1,"]","")))</f>
        <v/>
      </c>
    </row>
    <row r="163" customFormat="false" ht="15" hidden="false" customHeight="false" outlineLevel="0" collapsed="false">
      <c r="A163" s="11" t="str">
        <f aca="false">IF(INVENTÁRIO!A163="","",INVENTÁRIO!A163)</f>
        <v/>
      </c>
      <c r="B163" s="11" t="str">
        <f aca="false">IF(A163="","",INVENTÁRIO!B163)</f>
        <v/>
      </c>
      <c r="C163" s="16" t="str">
        <f aca="false">IF(A163="","",IFERROR(INDEX($L$2:$L$801,MATCH(A163,$K$2:$K$801,0)),"Não verificada"))</f>
        <v/>
      </c>
      <c r="D163" s="11" t="str">
        <f aca="false">IF(AND(A163&lt;&gt;"",C163&lt;&gt;"Tem foto"),MAX(D$1:D162)+1,"")</f>
        <v/>
      </c>
      <c r="F163" s="26" t="str">
        <f aca="false">IF($I$4=0,"",IF(161&lt;=$I$4,"    """&amp;INDEX($A$2:$A$801,MATCH(161,$D$2:$D$801,0))&amp;""",",IF(161=$I$4+1,"]","")))</f>
        <v/>
      </c>
    </row>
    <row r="164" customFormat="false" ht="15" hidden="false" customHeight="false" outlineLevel="0" collapsed="false">
      <c r="A164" s="11" t="str">
        <f aca="false">IF(INVENTÁRIO!A164="","",INVENTÁRIO!A164)</f>
        <v/>
      </c>
      <c r="B164" s="11" t="str">
        <f aca="false">IF(A164="","",INVENTÁRIO!B164)</f>
        <v/>
      </c>
      <c r="C164" s="16" t="str">
        <f aca="false">IF(A164="","",IFERROR(INDEX($L$2:$L$801,MATCH(A164,$K$2:$K$801,0)),"Não verificada"))</f>
        <v/>
      </c>
      <c r="D164" s="11" t="str">
        <f aca="false">IF(AND(A164&lt;&gt;"",C164&lt;&gt;"Tem foto"),MAX(D$1:D163)+1,"")</f>
        <v/>
      </c>
      <c r="F164" s="26" t="str">
        <f aca="false">IF($I$4=0,"",IF(162&lt;=$I$4,"    """&amp;INDEX($A$2:$A$801,MATCH(162,$D$2:$D$801,0))&amp;""",",IF(162=$I$4+1,"]","")))</f>
        <v/>
      </c>
    </row>
    <row r="165" customFormat="false" ht="15" hidden="false" customHeight="false" outlineLevel="0" collapsed="false">
      <c r="A165" s="11" t="str">
        <f aca="false">IF(INVENTÁRIO!A165="","",INVENTÁRIO!A165)</f>
        <v/>
      </c>
      <c r="B165" s="11" t="str">
        <f aca="false">IF(A165="","",INVENTÁRIO!B165)</f>
        <v/>
      </c>
      <c r="C165" s="16" t="str">
        <f aca="false">IF(A165="","",IFERROR(INDEX($L$2:$L$801,MATCH(A165,$K$2:$K$801,0)),"Não verificada"))</f>
        <v/>
      </c>
      <c r="D165" s="11" t="str">
        <f aca="false">IF(AND(A165&lt;&gt;"",C165&lt;&gt;"Tem foto"),MAX(D$1:D164)+1,"")</f>
        <v/>
      </c>
      <c r="F165" s="26" t="str">
        <f aca="false">IF($I$4=0,"",IF(163&lt;=$I$4,"    """&amp;INDEX($A$2:$A$801,MATCH(163,$D$2:$D$801,0))&amp;""",",IF(163=$I$4+1,"]","")))</f>
        <v/>
      </c>
    </row>
    <row r="166" customFormat="false" ht="15" hidden="false" customHeight="false" outlineLevel="0" collapsed="false">
      <c r="A166" s="11" t="str">
        <f aca="false">IF(INVENTÁRIO!A166="","",INVENTÁRIO!A166)</f>
        <v/>
      </c>
      <c r="B166" s="11" t="str">
        <f aca="false">IF(A166="","",INVENTÁRIO!B166)</f>
        <v/>
      </c>
      <c r="C166" s="16" t="str">
        <f aca="false">IF(A166="","",IFERROR(INDEX($L$2:$L$801,MATCH(A166,$K$2:$K$801,0)),"Não verificada"))</f>
        <v/>
      </c>
      <c r="D166" s="11" t="str">
        <f aca="false">IF(AND(A166&lt;&gt;"",C166&lt;&gt;"Tem foto"),MAX(D$1:D165)+1,"")</f>
        <v/>
      </c>
      <c r="F166" s="26" t="str">
        <f aca="false">IF($I$4=0,"",IF(164&lt;=$I$4,"    """&amp;INDEX($A$2:$A$801,MATCH(164,$D$2:$D$801,0))&amp;""",",IF(164=$I$4+1,"]","")))</f>
        <v/>
      </c>
    </row>
    <row r="167" customFormat="false" ht="15" hidden="false" customHeight="false" outlineLevel="0" collapsed="false">
      <c r="A167" s="11" t="str">
        <f aca="false">IF(INVENTÁRIO!A167="","",INVENTÁRIO!A167)</f>
        <v/>
      </c>
      <c r="B167" s="11" t="str">
        <f aca="false">IF(A167="","",INVENTÁRIO!B167)</f>
        <v/>
      </c>
      <c r="C167" s="16" t="str">
        <f aca="false">IF(A167="","",IFERROR(INDEX($L$2:$L$801,MATCH(A167,$K$2:$K$801,0)),"Não verificada"))</f>
        <v/>
      </c>
      <c r="D167" s="11" t="str">
        <f aca="false">IF(AND(A167&lt;&gt;"",C167&lt;&gt;"Tem foto"),MAX(D$1:D166)+1,"")</f>
        <v/>
      </c>
      <c r="F167" s="26" t="str">
        <f aca="false">IF($I$4=0,"",IF(165&lt;=$I$4,"    """&amp;INDEX($A$2:$A$801,MATCH(165,$D$2:$D$801,0))&amp;""",",IF(165=$I$4+1,"]","")))</f>
        <v/>
      </c>
    </row>
    <row r="168" customFormat="false" ht="15" hidden="false" customHeight="false" outlineLevel="0" collapsed="false">
      <c r="A168" s="11" t="str">
        <f aca="false">IF(INVENTÁRIO!A168="","",INVENTÁRIO!A168)</f>
        <v/>
      </c>
      <c r="B168" s="11" t="str">
        <f aca="false">IF(A168="","",INVENTÁRIO!B168)</f>
        <v/>
      </c>
      <c r="C168" s="16" t="str">
        <f aca="false">IF(A168="","",IFERROR(INDEX($L$2:$L$801,MATCH(A168,$K$2:$K$801,0)),"Não verificada"))</f>
        <v/>
      </c>
      <c r="D168" s="11" t="str">
        <f aca="false">IF(AND(A168&lt;&gt;"",C168&lt;&gt;"Tem foto"),MAX(D$1:D167)+1,"")</f>
        <v/>
      </c>
      <c r="F168" s="26" t="str">
        <f aca="false">IF($I$4=0,"",IF(166&lt;=$I$4,"    """&amp;INDEX($A$2:$A$801,MATCH(166,$D$2:$D$801,0))&amp;""",",IF(166=$I$4+1,"]","")))</f>
        <v/>
      </c>
    </row>
    <row r="169" customFormat="false" ht="15" hidden="false" customHeight="false" outlineLevel="0" collapsed="false">
      <c r="A169" s="11" t="str">
        <f aca="false">IF(INVENTÁRIO!A169="","",INVENTÁRIO!A169)</f>
        <v/>
      </c>
      <c r="B169" s="11" t="str">
        <f aca="false">IF(A169="","",INVENTÁRIO!B169)</f>
        <v/>
      </c>
      <c r="C169" s="16" t="str">
        <f aca="false">IF(A169="","",IFERROR(INDEX($L$2:$L$801,MATCH(A169,$K$2:$K$801,0)),"Não verificada"))</f>
        <v/>
      </c>
      <c r="D169" s="11" t="str">
        <f aca="false">IF(AND(A169&lt;&gt;"",C169&lt;&gt;"Tem foto"),MAX(D$1:D168)+1,"")</f>
        <v/>
      </c>
      <c r="F169" s="26" t="str">
        <f aca="false">IF($I$4=0,"",IF(167&lt;=$I$4,"    """&amp;INDEX($A$2:$A$801,MATCH(167,$D$2:$D$801,0))&amp;""",",IF(167=$I$4+1,"]","")))</f>
        <v/>
      </c>
    </row>
    <row r="170" customFormat="false" ht="15" hidden="false" customHeight="false" outlineLevel="0" collapsed="false">
      <c r="A170" s="11" t="str">
        <f aca="false">IF(INVENTÁRIO!A170="","",INVENTÁRIO!A170)</f>
        <v/>
      </c>
      <c r="B170" s="11" t="str">
        <f aca="false">IF(A170="","",INVENTÁRIO!B170)</f>
        <v/>
      </c>
      <c r="C170" s="16" t="str">
        <f aca="false">IF(A170="","",IFERROR(INDEX($L$2:$L$801,MATCH(A170,$K$2:$K$801,0)),"Não verificada"))</f>
        <v/>
      </c>
      <c r="D170" s="11" t="str">
        <f aca="false">IF(AND(A170&lt;&gt;"",C170&lt;&gt;"Tem foto"),MAX(D$1:D169)+1,"")</f>
        <v/>
      </c>
      <c r="F170" s="26" t="str">
        <f aca="false">IF($I$4=0,"",IF(168&lt;=$I$4,"    """&amp;INDEX($A$2:$A$801,MATCH(168,$D$2:$D$801,0))&amp;""",",IF(168=$I$4+1,"]","")))</f>
        <v/>
      </c>
    </row>
    <row r="171" customFormat="false" ht="15" hidden="false" customHeight="false" outlineLevel="0" collapsed="false">
      <c r="A171" s="11" t="str">
        <f aca="false">IF(INVENTÁRIO!A171="","",INVENTÁRIO!A171)</f>
        <v/>
      </c>
      <c r="B171" s="11" t="str">
        <f aca="false">IF(A171="","",INVENTÁRIO!B171)</f>
        <v/>
      </c>
      <c r="C171" s="16" t="str">
        <f aca="false">IF(A171="","",IFERROR(INDEX($L$2:$L$801,MATCH(A171,$K$2:$K$801,0)),"Não verificada"))</f>
        <v/>
      </c>
      <c r="D171" s="11" t="str">
        <f aca="false">IF(AND(A171&lt;&gt;"",C171&lt;&gt;"Tem foto"),MAX(D$1:D170)+1,"")</f>
        <v/>
      </c>
      <c r="F171" s="26" t="str">
        <f aca="false">IF($I$4=0,"",IF(169&lt;=$I$4,"    """&amp;INDEX($A$2:$A$801,MATCH(169,$D$2:$D$801,0))&amp;""",",IF(169=$I$4+1,"]","")))</f>
        <v/>
      </c>
    </row>
    <row r="172" customFormat="false" ht="15" hidden="false" customHeight="false" outlineLevel="0" collapsed="false">
      <c r="A172" s="11" t="str">
        <f aca="false">IF(INVENTÁRIO!A172="","",INVENTÁRIO!A172)</f>
        <v/>
      </c>
      <c r="B172" s="11" t="str">
        <f aca="false">IF(A172="","",INVENTÁRIO!B172)</f>
        <v/>
      </c>
      <c r="C172" s="16" t="str">
        <f aca="false">IF(A172="","",IFERROR(INDEX($L$2:$L$801,MATCH(A172,$K$2:$K$801,0)),"Não verificada"))</f>
        <v/>
      </c>
      <c r="D172" s="11" t="str">
        <f aca="false">IF(AND(A172&lt;&gt;"",C172&lt;&gt;"Tem foto"),MAX(D$1:D171)+1,"")</f>
        <v/>
      </c>
      <c r="F172" s="26" t="str">
        <f aca="false">IF($I$4=0,"",IF(170&lt;=$I$4,"    """&amp;INDEX($A$2:$A$801,MATCH(170,$D$2:$D$801,0))&amp;""",",IF(170=$I$4+1,"]","")))</f>
        <v/>
      </c>
    </row>
    <row r="173" customFormat="false" ht="15" hidden="false" customHeight="false" outlineLevel="0" collapsed="false">
      <c r="A173" s="11" t="str">
        <f aca="false">IF(INVENTÁRIO!A173="","",INVENTÁRIO!A173)</f>
        <v/>
      </c>
      <c r="B173" s="11" t="str">
        <f aca="false">IF(A173="","",INVENTÁRIO!B173)</f>
        <v/>
      </c>
      <c r="C173" s="16" t="str">
        <f aca="false">IF(A173="","",IFERROR(INDEX($L$2:$L$801,MATCH(A173,$K$2:$K$801,0)),"Não verificada"))</f>
        <v/>
      </c>
      <c r="D173" s="11" t="str">
        <f aca="false">IF(AND(A173&lt;&gt;"",C173&lt;&gt;"Tem foto"),MAX(D$1:D172)+1,"")</f>
        <v/>
      </c>
      <c r="F173" s="26" t="str">
        <f aca="false">IF($I$4=0,"",IF(171&lt;=$I$4,"    """&amp;INDEX($A$2:$A$801,MATCH(171,$D$2:$D$801,0))&amp;""",",IF(171=$I$4+1,"]","")))</f>
        <v/>
      </c>
    </row>
    <row r="174" customFormat="false" ht="15" hidden="false" customHeight="false" outlineLevel="0" collapsed="false">
      <c r="A174" s="11" t="str">
        <f aca="false">IF(INVENTÁRIO!A174="","",INVENTÁRIO!A174)</f>
        <v/>
      </c>
      <c r="B174" s="11" t="str">
        <f aca="false">IF(A174="","",INVENTÁRIO!B174)</f>
        <v/>
      </c>
      <c r="C174" s="16" t="str">
        <f aca="false">IF(A174="","",IFERROR(INDEX($L$2:$L$801,MATCH(A174,$K$2:$K$801,0)),"Não verificada"))</f>
        <v/>
      </c>
      <c r="D174" s="11" t="str">
        <f aca="false">IF(AND(A174&lt;&gt;"",C174&lt;&gt;"Tem foto"),MAX(D$1:D173)+1,"")</f>
        <v/>
      </c>
      <c r="F174" s="26" t="str">
        <f aca="false">IF($I$4=0,"",IF(172&lt;=$I$4,"    """&amp;INDEX($A$2:$A$801,MATCH(172,$D$2:$D$801,0))&amp;""",",IF(172=$I$4+1,"]","")))</f>
        <v/>
      </c>
    </row>
    <row r="175" customFormat="false" ht="15" hidden="false" customHeight="false" outlineLevel="0" collapsed="false">
      <c r="A175" s="11" t="str">
        <f aca="false">IF(INVENTÁRIO!A175="","",INVENTÁRIO!A175)</f>
        <v/>
      </c>
      <c r="B175" s="11" t="str">
        <f aca="false">IF(A175="","",INVENTÁRIO!B175)</f>
        <v/>
      </c>
      <c r="C175" s="16" t="str">
        <f aca="false">IF(A175="","",IFERROR(INDEX($L$2:$L$801,MATCH(A175,$K$2:$K$801,0)),"Não verificada"))</f>
        <v/>
      </c>
      <c r="D175" s="11" t="str">
        <f aca="false">IF(AND(A175&lt;&gt;"",C175&lt;&gt;"Tem foto"),MAX(D$1:D174)+1,"")</f>
        <v/>
      </c>
      <c r="F175" s="26" t="str">
        <f aca="false">IF($I$4=0,"",IF(173&lt;=$I$4,"    """&amp;INDEX($A$2:$A$801,MATCH(173,$D$2:$D$801,0))&amp;""",",IF(173=$I$4+1,"]","")))</f>
        <v/>
      </c>
    </row>
    <row r="176" customFormat="false" ht="15" hidden="false" customHeight="false" outlineLevel="0" collapsed="false">
      <c r="A176" s="11" t="str">
        <f aca="false">IF(INVENTÁRIO!A176="","",INVENTÁRIO!A176)</f>
        <v/>
      </c>
      <c r="B176" s="11" t="str">
        <f aca="false">IF(A176="","",INVENTÁRIO!B176)</f>
        <v/>
      </c>
      <c r="C176" s="16" t="str">
        <f aca="false">IF(A176="","",IFERROR(INDEX($L$2:$L$801,MATCH(A176,$K$2:$K$801,0)),"Não verificada"))</f>
        <v/>
      </c>
      <c r="D176" s="11" t="str">
        <f aca="false">IF(AND(A176&lt;&gt;"",C176&lt;&gt;"Tem foto"),MAX(D$1:D175)+1,"")</f>
        <v/>
      </c>
      <c r="F176" s="26" t="str">
        <f aca="false">IF($I$4=0,"",IF(174&lt;=$I$4,"    """&amp;INDEX($A$2:$A$801,MATCH(174,$D$2:$D$801,0))&amp;""",",IF(174=$I$4+1,"]","")))</f>
        <v/>
      </c>
    </row>
    <row r="177" customFormat="false" ht="15" hidden="false" customHeight="false" outlineLevel="0" collapsed="false">
      <c r="A177" s="11" t="str">
        <f aca="false">IF(INVENTÁRIO!A177="","",INVENTÁRIO!A177)</f>
        <v/>
      </c>
      <c r="B177" s="11" t="str">
        <f aca="false">IF(A177="","",INVENTÁRIO!B177)</f>
        <v/>
      </c>
      <c r="C177" s="16" t="str">
        <f aca="false">IF(A177="","",IFERROR(INDEX($L$2:$L$801,MATCH(A177,$K$2:$K$801,0)),"Não verificada"))</f>
        <v/>
      </c>
      <c r="D177" s="11" t="str">
        <f aca="false">IF(AND(A177&lt;&gt;"",C177&lt;&gt;"Tem foto"),MAX(D$1:D176)+1,"")</f>
        <v/>
      </c>
      <c r="F177" s="26" t="str">
        <f aca="false">IF($I$4=0,"",IF(175&lt;=$I$4,"    """&amp;INDEX($A$2:$A$801,MATCH(175,$D$2:$D$801,0))&amp;""",",IF(175=$I$4+1,"]","")))</f>
        <v/>
      </c>
    </row>
    <row r="178" customFormat="false" ht="15" hidden="false" customHeight="false" outlineLevel="0" collapsed="false">
      <c r="A178" s="11" t="str">
        <f aca="false">IF(INVENTÁRIO!A178="","",INVENTÁRIO!A178)</f>
        <v/>
      </c>
      <c r="B178" s="11" t="str">
        <f aca="false">IF(A178="","",INVENTÁRIO!B178)</f>
        <v/>
      </c>
      <c r="C178" s="16" t="str">
        <f aca="false">IF(A178="","",IFERROR(INDEX($L$2:$L$801,MATCH(A178,$K$2:$K$801,0)),"Não verificada"))</f>
        <v/>
      </c>
      <c r="D178" s="11" t="str">
        <f aca="false">IF(AND(A178&lt;&gt;"",C178&lt;&gt;"Tem foto"),MAX(D$1:D177)+1,"")</f>
        <v/>
      </c>
      <c r="F178" s="26" t="str">
        <f aca="false">IF($I$4=0,"",IF(176&lt;=$I$4,"    """&amp;INDEX($A$2:$A$801,MATCH(176,$D$2:$D$801,0))&amp;""",",IF(176=$I$4+1,"]","")))</f>
        <v/>
      </c>
    </row>
    <row r="179" customFormat="false" ht="15" hidden="false" customHeight="false" outlineLevel="0" collapsed="false">
      <c r="A179" s="11" t="str">
        <f aca="false">IF(INVENTÁRIO!A179="","",INVENTÁRIO!A179)</f>
        <v/>
      </c>
      <c r="B179" s="11" t="str">
        <f aca="false">IF(A179="","",INVENTÁRIO!B179)</f>
        <v/>
      </c>
      <c r="C179" s="16" t="str">
        <f aca="false">IF(A179="","",IFERROR(INDEX($L$2:$L$801,MATCH(A179,$K$2:$K$801,0)),"Não verificada"))</f>
        <v/>
      </c>
      <c r="D179" s="11" t="str">
        <f aca="false">IF(AND(A179&lt;&gt;"",C179&lt;&gt;"Tem foto"),MAX(D$1:D178)+1,"")</f>
        <v/>
      </c>
      <c r="F179" s="26" t="str">
        <f aca="false">IF($I$4=0,"",IF(177&lt;=$I$4,"    """&amp;INDEX($A$2:$A$801,MATCH(177,$D$2:$D$801,0))&amp;""",",IF(177=$I$4+1,"]","")))</f>
        <v/>
      </c>
    </row>
    <row r="180" customFormat="false" ht="15" hidden="false" customHeight="false" outlineLevel="0" collapsed="false">
      <c r="A180" s="11" t="str">
        <f aca="false">IF(INVENTÁRIO!A180="","",INVENTÁRIO!A180)</f>
        <v/>
      </c>
      <c r="B180" s="11" t="str">
        <f aca="false">IF(A180="","",INVENTÁRIO!B180)</f>
        <v/>
      </c>
      <c r="C180" s="16" t="str">
        <f aca="false">IF(A180="","",IFERROR(INDEX($L$2:$L$801,MATCH(A180,$K$2:$K$801,0)),"Não verificada"))</f>
        <v/>
      </c>
      <c r="D180" s="11" t="str">
        <f aca="false">IF(AND(A180&lt;&gt;"",C180&lt;&gt;"Tem foto"),MAX(D$1:D179)+1,"")</f>
        <v/>
      </c>
      <c r="F180" s="26" t="str">
        <f aca="false">IF($I$4=0,"",IF(178&lt;=$I$4,"    """&amp;INDEX($A$2:$A$801,MATCH(178,$D$2:$D$801,0))&amp;""",",IF(178=$I$4+1,"]","")))</f>
        <v/>
      </c>
    </row>
    <row r="181" customFormat="false" ht="15" hidden="false" customHeight="false" outlineLevel="0" collapsed="false">
      <c r="A181" s="11" t="str">
        <f aca="false">IF(INVENTÁRIO!A181="","",INVENTÁRIO!A181)</f>
        <v/>
      </c>
      <c r="B181" s="11" t="str">
        <f aca="false">IF(A181="","",INVENTÁRIO!B181)</f>
        <v/>
      </c>
      <c r="C181" s="16" t="str">
        <f aca="false">IF(A181="","",IFERROR(INDEX($L$2:$L$801,MATCH(A181,$K$2:$K$801,0)),"Não verificada"))</f>
        <v/>
      </c>
      <c r="D181" s="11" t="str">
        <f aca="false">IF(AND(A181&lt;&gt;"",C181&lt;&gt;"Tem foto"),MAX(D$1:D180)+1,"")</f>
        <v/>
      </c>
      <c r="F181" s="26" t="str">
        <f aca="false">IF($I$4=0,"",IF(179&lt;=$I$4,"    """&amp;INDEX($A$2:$A$801,MATCH(179,$D$2:$D$801,0))&amp;""",",IF(179=$I$4+1,"]","")))</f>
        <v/>
      </c>
    </row>
    <row r="182" customFormat="false" ht="15" hidden="false" customHeight="false" outlineLevel="0" collapsed="false">
      <c r="A182" s="11" t="str">
        <f aca="false">IF(INVENTÁRIO!A182="","",INVENTÁRIO!A182)</f>
        <v/>
      </c>
      <c r="B182" s="11" t="str">
        <f aca="false">IF(A182="","",INVENTÁRIO!B182)</f>
        <v/>
      </c>
      <c r="C182" s="16" t="str">
        <f aca="false">IF(A182="","",IFERROR(INDEX($L$2:$L$801,MATCH(A182,$K$2:$K$801,0)),"Não verificada"))</f>
        <v/>
      </c>
      <c r="D182" s="11" t="str">
        <f aca="false">IF(AND(A182&lt;&gt;"",C182&lt;&gt;"Tem foto"),MAX(D$1:D181)+1,"")</f>
        <v/>
      </c>
      <c r="F182" s="26" t="str">
        <f aca="false">IF($I$4=0,"",IF(180&lt;=$I$4,"    """&amp;INDEX($A$2:$A$801,MATCH(180,$D$2:$D$801,0))&amp;""",",IF(180=$I$4+1,"]","")))</f>
        <v/>
      </c>
    </row>
    <row r="183" customFormat="false" ht="15" hidden="false" customHeight="false" outlineLevel="0" collapsed="false">
      <c r="A183" s="11" t="str">
        <f aca="false">IF(INVENTÁRIO!A183="","",INVENTÁRIO!A183)</f>
        <v/>
      </c>
      <c r="B183" s="11" t="str">
        <f aca="false">IF(A183="","",INVENTÁRIO!B183)</f>
        <v/>
      </c>
      <c r="C183" s="16" t="str">
        <f aca="false">IF(A183="","",IFERROR(INDEX($L$2:$L$801,MATCH(A183,$K$2:$K$801,0)),"Não verificada"))</f>
        <v/>
      </c>
      <c r="D183" s="11" t="str">
        <f aca="false">IF(AND(A183&lt;&gt;"",C183&lt;&gt;"Tem foto"),MAX(D$1:D182)+1,"")</f>
        <v/>
      </c>
      <c r="F183" s="26" t="str">
        <f aca="false">IF($I$4=0,"",IF(181&lt;=$I$4,"    """&amp;INDEX($A$2:$A$801,MATCH(181,$D$2:$D$801,0))&amp;""",",IF(181=$I$4+1,"]","")))</f>
        <v/>
      </c>
    </row>
    <row r="184" customFormat="false" ht="15" hidden="false" customHeight="false" outlineLevel="0" collapsed="false">
      <c r="A184" s="11" t="str">
        <f aca="false">IF(INVENTÁRIO!A184="","",INVENTÁRIO!A184)</f>
        <v/>
      </c>
      <c r="B184" s="11" t="str">
        <f aca="false">IF(A184="","",INVENTÁRIO!B184)</f>
        <v/>
      </c>
      <c r="C184" s="16" t="str">
        <f aca="false">IF(A184="","",IFERROR(INDEX($L$2:$L$801,MATCH(A184,$K$2:$K$801,0)),"Não verificada"))</f>
        <v/>
      </c>
      <c r="D184" s="11" t="str">
        <f aca="false">IF(AND(A184&lt;&gt;"",C184&lt;&gt;"Tem foto"),MAX(D$1:D183)+1,"")</f>
        <v/>
      </c>
      <c r="F184" s="26" t="str">
        <f aca="false">IF($I$4=0,"",IF(182&lt;=$I$4,"    """&amp;INDEX($A$2:$A$801,MATCH(182,$D$2:$D$801,0))&amp;""",",IF(182=$I$4+1,"]","")))</f>
        <v/>
      </c>
    </row>
    <row r="185" customFormat="false" ht="15" hidden="false" customHeight="false" outlineLevel="0" collapsed="false">
      <c r="A185" s="11" t="str">
        <f aca="false">IF(INVENTÁRIO!A185="","",INVENTÁRIO!A185)</f>
        <v/>
      </c>
      <c r="B185" s="11" t="str">
        <f aca="false">IF(A185="","",INVENTÁRIO!B185)</f>
        <v/>
      </c>
      <c r="C185" s="16" t="str">
        <f aca="false">IF(A185="","",IFERROR(INDEX($L$2:$L$801,MATCH(A185,$K$2:$K$801,0)),"Não verificada"))</f>
        <v/>
      </c>
      <c r="D185" s="11" t="str">
        <f aca="false">IF(AND(A185&lt;&gt;"",C185&lt;&gt;"Tem foto"),MAX(D$1:D184)+1,"")</f>
        <v/>
      </c>
      <c r="F185" s="26" t="str">
        <f aca="false">IF($I$4=0,"",IF(183&lt;=$I$4,"    """&amp;INDEX($A$2:$A$801,MATCH(183,$D$2:$D$801,0))&amp;""",",IF(183=$I$4+1,"]","")))</f>
        <v/>
      </c>
    </row>
    <row r="186" customFormat="false" ht="15" hidden="false" customHeight="false" outlineLevel="0" collapsed="false">
      <c r="A186" s="11" t="str">
        <f aca="false">IF(INVENTÁRIO!A186="","",INVENTÁRIO!A186)</f>
        <v/>
      </c>
      <c r="B186" s="11" t="str">
        <f aca="false">IF(A186="","",INVENTÁRIO!B186)</f>
        <v/>
      </c>
      <c r="C186" s="16" t="str">
        <f aca="false">IF(A186="","",IFERROR(INDEX($L$2:$L$801,MATCH(A186,$K$2:$K$801,0)),"Não verificada"))</f>
        <v/>
      </c>
      <c r="D186" s="11" t="str">
        <f aca="false">IF(AND(A186&lt;&gt;"",C186&lt;&gt;"Tem foto"),MAX(D$1:D185)+1,"")</f>
        <v/>
      </c>
      <c r="F186" s="26" t="str">
        <f aca="false">IF($I$4=0,"",IF(184&lt;=$I$4,"    """&amp;INDEX($A$2:$A$801,MATCH(184,$D$2:$D$801,0))&amp;""",",IF(184=$I$4+1,"]","")))</f>
        <v/>
      </c>
    </row>
    <row r="187" customFormat="false" ht="15" hidden="false" customHeight="false" outlineLevel="0" collapsed="false">
      <c r="A187" s="11" t="str">
        <f aca="false">IF(INVENTÁRIO!A187="","",INVENTÁRIO!A187)</f>
        <v/>
      </c>
      <c r="B187" s="11" t="str">
        <f aca="false">IF(A187="","",INVENTÁRIO!B187)</f>
        <v/>
      </c>
      <c r="C187" s="16" t="str">
        <f aca="false">IF(A187="","",IFERROR(INDEX($L$2:$L$801,MATCH(A187,$K$2:$K$801,0)),"Não verificada"))</f>
        <v/>
      </c>
      <c r="D187" s="11" t="str">
        <f aca="false">IF(AND(A187&lt;&gt;"",C187&lt;&gt;"Tem foto"),MAX(D$1:D186)+1,"")</f>
        <v/>
      </c>
      <c r="F187" s="26" t="str">
        <f aca="false">IF($I$4=0,"",IF(185&lt;=$I$4,"    """&amp;INDEX($A$2:$A$801,MATCH(185,$D$2:$D$801,0))&amp;""",",IF(185=$I$4+1,"]","")))</f>
        <v/>
      </c>
    </row>
    <row r="188" customFormat="false" ht="15" hidden="false" customHeight="false" outlineLevel="0" collapsed="false">
      <c r="A188" s="11" t="str">
        <f aca="false">IF(INVENTÁRIO!A188="","",INVENTÁRIO!A188)</f>
        <v/>
      </c>
      <c r="B188" s="11" t="str">
        <f aca="false">IF(A188="","",INVENTÁRIO!B188)</f>
        <v/>
      </c>
      <c r="C188" s="16" t="str">
        <f aca="false">IF(A188="","",IFERROR(INDEX($L$2:$L$801,MATCH(A188,$K$2:$K$801,0)),"Não verificada"))</f>
        <v/>
      </c>
      <c r="D188" s="11" t="str">
        <f aca="false">IF(AND(A188&lt;&gt;"",C188&lt;&gt;"Tem foto"),MAX(D$1:D187)+1,"")</f>
        <v/>
      </c>
      <c r="F188" s="26" t="str">
        <f aca="false">IF($I$4=0,"",IF(186&lt;=$I$4,"    """&amp;INDEX($A$2:$A$801,MATCH(186,$D$2:$D$801,0))&amp;""",",IF(186=$I$4+1,"]","")))</f>
        <v/>
      </c>
    </row>
    <row r="189" customFormat="false" ht="15" hidden="false" customHeight="false" outlineLevel="0" collapsed="false">
      <c r="A189" s="11" t="str">
        <f aca="false">IF(INVENTÁRIO!A189="","",INVENTÁRIO!A189)</f>
        <v/>
      </c>
      <c r="B189" s="11" t="str">
        <f aca="false">IF(A189="","",INVENTÁRIO!B189)</f>
        <v/>
      </c>
      <c r="C189" s="16" t="str">
        <f aca="false">IF(A189="","",IFERROR(INDEX($L$2:$L$801,MATCH(A189,$K$2:$K$801,0)),"Não verificada"))</f>
        <v/>
      </c>
      <c r="D189" s="11" t="str">
        <f aca="false">IF(AND(A189&lt;&gt;"",C189&lt;&gt;"Tem foto"),MAX(D$1:D188)+1,"")</f>
        <v/>
      </c>
      <c r="F189" s="26" t="str">
        <f aca="false">IF($I$4=0,"",IF(187&lt;=$I$4,"    """&amp;INDEX($A$2:$A$801,MATCH(187,$D$2:$D$801,0))&amp;""",",IF(187=$I$4+1,"]","")))</f>
        <v/>
      </c>
    </row>
    <row r="190" customFormat="false" ht="15" hidden="false" customHeight="false" outlineLevel="0" collapsed="false">
      <c r="A190" s="11" t="str">
        <f aca="false">IF(INVENTÁRIO!A190="","",INVENTÁRIO!A190)</f>
        <v/>
      </c>
      <c r="B190" s="11" t="str">
        <f aca="false">IF(A190="","",INVENTÁRIO!B190)</f>
        <v/>
      </c>
      <c r="C190" s="16" t="str">
        <f aca="false">IF(A190="","",IFERROR(INDEX($L$2:$L$801,MATCH(A190,$K$2:$K$801,0)),"Não verificada"))</f>
        <v/>
      </c>
      <c r="D190" s="11" t="str">
        <f aca="false">IF(AND(A190&lt;&gt;"",C190&lt;&gt;"Tem foto"),MAX(D$1:D189)+1,"")</f>
        <v/>
      </c>
      <c r="F190" s="26" t="str">
        <f aca="false">IF($I$4=0,"",IF(188&lt;=$I$4,"    """&amp;INDEX($A$2:$A$801,MATCH(188,$D$2:$D$801,0))&amp;""",",IF(188=$I$4+1,"]","")))</f>
        <v/>
      </c>
    </row>
    <row r="191" customFormat="false" ht="15" hidden="false" customHeight="false" outlineLevel="0" collapsed="false">
      <c r="A191" s="11" t="str">
        <f aca="false">IF(INVENTÁRIO!A191="","",INVENTÁRIO!A191)</f>
        <v/>
      </c>
      <c r="B191" s="11" t="str">
        <f aca="false">IF(A191="","",INVENTÁRIO!B191)</f>
        <v/>
      </c>
      <c r="C191" s="16" t="str">
        <f aca="false">IF(A191="","",IFERROR(INDEX($L$2:$L$801,MATCH(A191,$K$2:$K$801,0)),"Não verificada"))</f>
        <v/>
      </c>
      <c r="D191" s="11" t="str">
        <f aca="false">IF(AND(A191&lt;&gt;"",C191&lt;&gt;"Tem foto"),MAX(D$1:D190)+1,"")</f>
        <v/>
      </c>
      <c r="F191" s="26" t="str">
        <f aca="false">IF($I$4=0,"",IF(189&lt;=$I$4,"    """&amp;INDEX($A$2:$A$801,MATCH(189,$D$2:$D$801,0))&amp;""",",IF(189=$I$4+1,"]","")))</f>
        <v/>
      </c>
    </row>
    <row r="192" customFormat="false" ht="15" hidden="false" customHeight="false" outlineLevel="0" collapsed="false">
      <c r="A192" s="11" t="str">
        <f aca="false">IF(INVENTÁRIO!A192="","",INVENTÁRIO!A192)</f>
        <v/>
      </c>
      <c r="B192" s="11" t="str">
        <f aca="false">IF(A192="","",INVENTÁRIO!B192)</f>
        <v/>
      </c>
      <c r="C192" s="16" t="str">
        <f aca="false">IF(A192="","",IFERROR(INDEX($L$2:$L$801,MATCH(A192,$K$2:$K$801,0)),"Não verificada"))</f>
        <v/>
      </c>
      <c r="D192" s="11" t="str">
        <f aca="false">IF(AND(A192&lt;&gt;"",C192&lt;&gt;"Tem foto"),MAX(D$1:D191)+1,"")</f>
        <v/>
      </c>
      <c r="F192" s="26" t="str">
        <f aca="false">IF($I$4=0,"",IF(190&lt;=$I$4,"    """&amp;INDEX($A$2:$A$801,MATCH(190,$D$2:$D$801,0))&amp;""",",IF(190=$I$4+1,"]","")))</f>
        <v/>
      </c>
    </row>
    <row r="193" customFormat="false" ht="15" hidden="false" customHeight="false" outlineLevel="0" collapsed="false">
      <c r="A193" s="11" t="str">
        <f aca="false">IF(INVENTÁRIO!A193="","",INVENTÁRIO!A193)</f>
        <v/>
      </c>
      <c r="B193" s="11" t="str">
        <f aca="false">IF(A193="","",INVENTÁRIO!B193)</f>
        <v/>
      </c>
      <c r="C193" s="16" t="str">
        <f aca="false">IF(A193="","",IFERROR(INDEX($L$2:$L$801,MATCH(A193,$K$2:$K$801,0)),"Não verificada"))</f>
        <v/>
      </c>
      <c r="D193" s="11" t="str">
        <f aca="false">IF(AND(A193&lt;&gt;"",C193&lt;&gt;"Tem foto"),MAX(D$1:D192)+1,"")</f>
        <v/>
      </c>
      <c r="F193" s="26" t="str">
        <f aca="false">IF($I$4=0,"",IF(191&lt;=$I$4,"    """&amp;INDEX($A$2:$A$801,MATCH(191,$D$2:$D$801,0))&amp;""",",IF(191=$I$4+1,"]","")))</f>
        <v/>
      </c>
    </row>
    <row r="194" customFormat="false" ht="15" hidden="false" customHeight="false" outlineLevel="0" collapsed="false">
      <c r="A194" s="11" t="str">
        <f aca="false">IF(INVENTÁRIO!A194="","",INVENTÁRIO!A194)</f>
        <v/>
      </c>
      <c r="B194" s="11" t="str">
        <f aca="false">IF(A194="","",INVENTÁRIO!B194)</f>
        <v/>
      </c>
      <c r="C194" s="16" t="str">
        <f aca="false">IF(A194="","",IFERROR(INDEX($L$2:$L$801,MATCH(A194,$K$2:$K$801,0)),"Não verificada"))</f>
        <v/>
      </c>
      <c r="D194" s="11" t="str">
        <f aca="false">IF(AND(A194&lt;&gt;"",C194&lt;&gt;"Tem foto"),MAX(D$1:D193)+1,"")</f>
        <v/>
      </c>
      <c r="F194" s="26" t="str">
        <f aca="false">IF($I$4=0,"",IF(192&lt;=$I$4,"    """&amp;INDEX($A$2:$A$801,MATCH(192,$D$2:$D$801,0))&amp;""",",IF(192=$I$4+1,"]","")))</f>
        <v/>
      </c>
    </row>
    <row r="195" customFormat="false" ht="15" hidden="false" customHeight="false" outlineLevel="0" collapsed="false">
      <c r="A195" s="11" t="str">
        <f aca="false">IF(INVENTÁRIO!A195="","",INVENTÁRIO!A195)</f>
        <v/>
      </c>
      <c r="B195" s="11" t="str">
        <f aca="false">IF(A195="","",INVENTÁRIO!B195)</f>
        <v/>
      </c>
      <c r="C195" s="16" t="str">
        <f aca="false">IF(A195="","",IFERROR(INDEX($L$2:$L$801,MATCH(A195,$K$2:$K$801,0)),"Não verificada"))</f>
        <v/>
      </c>
      <c r="D195" s="11" t="str">
        <f aca="false">IF(AND(A195&lt;&gt;"",C195&lt;&gt;"Tem foto"),MAX(D$1:D194)+1,"")</f>
        <v/>
      </c>
      <c r="F195" s="26" t="str">
        <f aca="false">IF($I$4=0,"",IF(193&lt;=$I$4,"    """&amp;INDEX($A$2:$A$801,MATCH(193,$D$2:$D$801,0))&amp;""",",IF(193=$I$4+1,"]","")))</f>
        <v/>
      </c>
    </row>
    <row r="196" customFormat="false" ht="15" hidden="false" customHeight="false" outlineLevel="0" collapsed="false">
      <c r="A196" s="11" t="str">
        <f aca="false">IF(INVENTÁRIO!A196="","",INVENTÁRIO!A196)</f>
        <v/>
      </c>
      <c r="B196" s="11" t="str">
        <f aca="false">IF(A196="","",INVENTÁRIO!B196)</f>
        <v/>
      </c>
      <c r="C196" s="16" t="str">
        <f aca="false">IF(A196="","",IFERROR(INDEX($L$2:$L$801,MATCH(A196,$K$2:$K$801,0)),"Não verificada"))</f>
        <v/>
      </c>
      <c r="D196" s="11" t="str">
        <f aca="false">IF(AND(A196&lt;&gt;"",C196&lt;&gt;"Tem foto"),MAX(D$1:D195)+1,"")</f>
        <v/>
      </c>
      <c r="F196" s="26" t="str">
        <f aca="false">IF($I$4=0,"",IF(194&lt;=$I$4,"    """&amp;INDEX($A$2:$A$801,MATCH(194,$D$2:$D$801,0))&amp;""",",IF(194=$I$4+1,"]","")))</f>
        <v/>
      </c>
    </row>
    <row r="197" customFormat="false" ht="15" hidden="false" customHeight="false" outlineLevel="0" collapsed="false">
      <c r="A197" s="11" t="str">
        <f aca="false">IF(INVENTÁRIO!A197="","",INVENTÁRIO!A197)</f>
        <v/>
      </c>
      <c r="B197" s="11" t="str">
        <f aca="false">IF(A197="","",INVENTÁRIO!B197)</f>
        <v/>
      </c>
      <c r="C197" s="16" t="str">
        <f aca="false">IF(A197="","",IFERROR(INDEX($L$2:$L$801,MATCH(A197,$K$2:$K$801,0)),"Não verificada"))</f>
        <v/>
      </c>
      <c r="D197" s="11" t="str">
        <f aca="false">IF(AND(A197&lt;&gt;"",C197&lt;&gt;"Tem foto"),MAX(D$1:D196)+1,"")</f>
        <v/>
      </c>
      <c r="F197" s="26" t="str">
        <f aca="false">IF($I$4=0,"",IF(195&lt;=$I$4,"    """&amp;INDEX($A$2:$A$801,MATCH(195,$D$2:$D$801,0))&amp;""",",IF(195=$I$4+1,"]","")))</f>
        <v/>
      </c>
    </row>
    <row r="198" customFormat="false" ht="15" hidden="false" customHeight="false" outlineLevel="0" collapsed="false">
      <c r="A198" s="11" t="str">
        <f aca="false">IF(INVENTÁRIO!A198="","",INVENTÁRIO!A198)</f>
        <v/>
      </c>
      <c r="B198" s="11" t="str">
        <f aca="false">IF(A198="","",INVENTÁRIO!B198)</f>
        <v/>
      </c>
      <c r="C198" s="16" t="str">
        <f aca="false">IF(A198="","",IFERROR(INDEX($L$2:$L$801,MATCH(A198,$K$2:$K$801,0)),"Não verificada"))</f>
        <v/>
      </c>
      <c r="D198" s="11" t="str">
        <f aca="false">IF(AND(A198&lt;&gt;"",C198&lt;&gt;"Tem foto"),MAX(D$1:D197)+1,"")</f>
        <v/>
      </c>
      <c r="F198" s="26" t="str">
        <f aca="false">IF($I$4=0,"",IF(196&lt;=$I$4,"    """&amp;INDEX($A$2:$A$801,MATCH(196,$D$2:$D$801,0))&amp;""",",IF(196=$I$4+1,"]","")))</f>
        <v/>
      </c>
    </row>
    <row r="199" customFormat="false" ht="15" hidden="false" customHeight="false" outlineLevel="0" collapsed="false">
      <c r="A199" s="11" t="str">
        <f aca="false">IF(INVENTÁRIO!A199="","",INVENTÁRIO!A199)</f>
        <v/>
      </c>
      <c r="B199" s="11" t="str">
        <f aca="false">IF(A199="","",INVENTÁRIO!B199)</f>
        <v/>
      </c>
      <c r="C199" s="16" t="str">
        <f aca="false">IF(A199="","",IFERROR(INDEX($L$2:$L$801,MATCH(A199,$K$2:$K$801,0)),"Não verificada"))</f>
        <v/>
      </c>
      <c r="D199" s="11" t="str">
        <f aca="false">IF(AND(A199&lt;&gt;"",C199&lt;&gt;"Tem foto"),MAX(D$1:D198)+1,"")</f>
        <v/>
      </c>
      <c r="F199" s="26" t="str">
        <f aca="false">IF($I$4=0,"",IF(197&lt;=$I$4,"    """&amp;INDEX($A$2:$A$801,MATCH(197,$D$2:$D$801,0))&amp;""",",IF(197=$I$4+1,"]","")))</f>
        <v/>
      </c>
    </row>
    <row r="200" customFormat="false" ht="15" hidden="false" customHeight="false" outlineLevel="0" collapsed="false">
      <c r="A200" s="11" t="str">
        <f aca="false">IF(INVENTÁRIO!A200="","",INVENTÁRIO!A200)</f>
        <v/>
      </c>
      <c r="B200" s="11" t="str">
        <f aca="false">IF(A200="","",INVENTÁRIO!B200)</f>
        <v/>
      </c>
      <c r="C200" s="16" t="str">
        <f aca="false">IF(A200="","",IFERROR(INDEX($L$2:$L$801,MATCH(A200,$K$2:$K$801,0)),"Não verificada"))</f>
        <v/>
      </c>
      <c r="D200" s="11" t="str">
        <f aca="false">IF(AND(A200&lt;&gt;"",C200&lt;&gt;"Tem foto"),MAX(D$1:D199)+1,"")</f>
        <v/>
      </c>
      <c r="F200" s="26" t="str">
        <f aca="false">IF($I$4=0,"",IF(198&lt;=$I$4,"    """&amp;INDEX($A$2:$A$801,MATCH(198,$D$2:$D$801,0))&amp;""",",IF(198=$I$4+1,"]","")))</f>
        <v/>
      </c>
    </row>
    <row r="201" customFormat="false" ht="15" hidden="false" customHeight="false" outlineLevel="0" collapsed="false">
      <c r="A201" s="11" t="str">
        <f aca="false">IF(INVENTÁRIO!A201="","",INVENTÁRIO!A201)</f>
        <v/>
      </c>
      <c r="B201" s="11" t="str">
        <f aca="false">IF(A201="","",INVENTÁRIO!B201)</f>
        <v/>
      </c>
      <c r="C201" s="16" t="str">
        <f aca="false">IF(A201="","",IFERROR(INDEX($L$2:$L$801,MATCH(A201,$K$2:$K$801,0)),"Não verificada"))</f>
        <v/>
      </c>
      <c r="D201" s="11" t="str">
        <f aca="false">IF(AND(A201&lt;&gt;"",C201&lt;&gt;"Tem foto"),MAX(D$1:D200)+1,"")</f>
        <v/>
      </c>
      <c r="F201" s="26" t="str">
        <f aca="false">IF($I$4=0,"",IF(199&lt;=$I$4,"    """&amp;INDEX($A$2:$A$801,MATCH(199,$D$2:$D$801,0))&amp;""",",IF(199=$I$4+1,"]","")))</f>
        <v/>
      </c>
    </row>
    <row r="202" customFormat="false" ht="15" hidden="false" customHeight="false" outlineLevel="0" collapsed="false">
      <c r="A202" s="11" t="str">
        <f aca="false">IF(INVENTÁRIO!A202="","",INVENTÁRIO!A202)</f>
        <v/>
      </c>
      <c r="B202" s="11" t="str">
        <f aca="false">IF(A202="","",INVENTÁRIO!B202)</f>
        <v/>
      </c>
      <c r="C202" s="16" t="str">
        <f aca="false">IF(A202="","",IFERROR(INDEX($L$2:$L$801,MATCH(A202,$K$2:$K$801,0)),"Não verificada"))</f>
        <v/>
      </c>
      <c r="D202" s="11" t="str">
        <f aca="false">IF(AND(A202&lt;&gt;"",C202&lt;&gt;"Tem foto"),MAX(D$1:D201)+1,"")</f>
        <v/>
      </c>
      <c r="F202" s="26" t="str">
        <f aca="false">IF($I$4=0,"",IF(200&lt;=$I$4,"    """&amp;INDEX($A$2:$A$801,MATCH(200,$D$2:$D$801,0))&amp;""",",IF(200=$I$4+1,"]","")))</f>
        <v/>
      </c>
    </row>
    <row r="203" customFormat="false" ht="15" hidden="false" customHeight="false" outlineLevel="0" collapsed="false">
      <c r="A203" s="11" t="str">
        <f aca="false">IF(INVENTÁRIO!A203="","",INVENTÁRIO!A203)</f>
        <v/>
      </c>
      <c r="B203" s="11" t="str">
        <f aca="false">IF(A203="","",INVENTÁRIO!B203)</f>
        <v/>
      </c>
      <c r="C203" s="16" t="str">
        <f aca="false">IF(A203="","",IFERROR(INDEX($L$2:$L$801,MATCH(A203,$K$2:$K$801,0)),"Não verificada"))</f>
        <v/>
      </c>
      <c r="D203" s="11" t="str">
        <f aca="false">IF(AND(A203&lt;&gt;"",C203&lt;&gt;"Tem foto"),MAX(D$1:D202)+1,"")</f>
        <v/>
      </c>
      <c r="F203" s="26" t="str">
        <f aca="false">IF($I$4=0,"",IF(201&lt;=$I$4,"    """&amp;INDEX($A$2:$A$801,MATCH(201,$D$2:$D$801,0))&amp;""",",IF(201=$I$4+1,"]","")))</f>
        <v/>
      </c>
    </row>
    <row r="204" customFormat="false" ht="15" hidden="false" customHeight="false" outlineLevel="0" collapsed="false">
      <c r="A204" s="11" t="str">
        <f aca="false">IF(INVENTÁRIO!A204="","",INVENTÁRIO!A204)</f>
        <v/>
      </c>
      <c r="B204" s="11" t="str">
        <f aca="false">IF(A204="","",INVENTÁRIO!B204)</f>
        <v/>
      </c>
      <c r="C204" s="16" t="str">
        <f aca="false">IF(A204="","",IFERROR(INDEX($L$2:$L$801,MATCH(A204,$K$2:$K$801,0)),"Não verificada"))</f>
        <v/>
      </c>
      <c r="D204" s="11" t="str">
        <f aca="false">IF(AND(A204&lt;&gt;"",C204&lt;&gt;"Tem foto"),MAX(D$1:D203)+1,"")</f>
        <v/>
      </c>
      <c r="F204" s="26" t="str">
        <f aca="false">IF($I$4=0,"",IF(202&lt;=$I$4,"    """&amp;INDEX($A$2:$A$801,MATCH(202,$D$2:$D$801,0))&amp;""",",IF(202=$I$4+1,"]","")))</f>
        <v/>
      </c>
    </row>
    <row r="205" customFormat="false" ht="15" hidden="false" customHeight="false" outlineLevel="0" collapsed="false">
      <c r="A205" s="11" t="str">
        <f aca="false">IF(INVENTÁRIO!A205="","",INVENTÁRIO!A205)</f>
        <v/>
      </c>
      <c r="B205" s="11" t="str">
        <f aca="false">IF(A205="","",INVENTÁRIO!B205)</f>
        <v/>
      </c>
      <c r="C205" s="16" t="str">
        <f aca="false">IF(A205="","",IFERROR(INDEX($L$2:$L$801,MATCH(A205,$K$2:$K$801,0)),"Não verificada"))</f>
        <v/>
      </c>
      <c r="D205" s="11" t="str">
        <f aca="false">IF(AND(A205&lt;&gt;"",C205&lt;&gt;"Tem foto"),MAX(D$1:D204)+1,"")</f>
        <v/>
      </c>
      <c r="F205" s="26" t="str">
        <f aca="false">IF($I$4=0,"",IF(203&lt;=$I$4,"    """&amp;INDEX($A$2:$A$801,MATCH(203,$D$2:$D$801,0))&amp;""",",IF(203=$I$4+1,"]","")))</f>
        <v/>
      </c>
    </row>
    <row r="206" customFormat="false" ht="15" hidden="false" customHeight="false" outlineLevel="0" collapsed="false">
      <c r="A206" s="11" t="str">
        <f aca="false">IF(INVENTÁRIO!A206="","",INVENTÁRIO!A206)</f>
        <v/>
      </c>
      <c r="B206" s="11" t="str">
        <f aca="false">IF(A206="","",INVENTÁRIO!B206)</f>
        <v/>
      </c>
      <c r="C206" s="16" t="str">
        <f aca="false">IF(A206="","",IFERROR(INDEX($L$2:$L$801,MATCH(A206,$K$2:$K$801,0)),"Não verificada"))</f>
        <v/>
      </c>
      <c r="D206" s="11" t="str">
        <f aca="false">IF(AND(A206&lt;&gt;"",C206&lt;&gt;"Tem foto"),MAX(D$1:D205)+1,"")</f>
        <v/>
      </c>
      <c r="F206" s="26" t="str">
        <f aca="false">IF($I$4=0,"",IF(204&lt;=$I$4,"    """&amp;INDEX($A$2:$A$801,MATCH(204,$D$2:$D$801,0))&amp;""",",IF(204=$I$4+1,"]","")))</f>
        <v/>
      </c>
    </row>
    <row r="207" customFormat="false" ht="15" hidden="false" customHeight="false" outlineLevel="0" collapsed="false">
      <c r="A207" s="11" t="str">
        <f aca="false">IF(INVENTÁRIO!A207="","",INVENTÁRIO!A207)</f>
        <v/>
      </c>
      <c r="B207" s="11" t="str">
        <f aca="false">IF(A207="","",INVENTÁRIO!B207)</f>
        <v/>
      </c>
      <c r="C207" s="16" t="str">
        <f aca="false">IF(A207="","",IFERROR(INDEX($L$2:$L$801,MATCH(A207,$K$2:$K$801,0)),"Não verificada"))</f>
        <v/>
      </c>
      <c r="D207" s="11" t="str">
        <f aca="false">IF(AND(A207&lt;&gt;"",C207&lt;&gt;"Tem foto"),MAX(D$1:D206)+1,"")</f>
        <v/>
      </c>
      <c r="F207" s="26" t="str">
        <f aca="false">IF($I$4=0,"",IF(205&lt;=$I$4,"    """&amp;INDEX($A$2:$A$801,MATCH(205,$D$2:$D$801,0))&amp;""",",IF(205=$I$4+1,"]","")))</f>
        <v/>
      </c>
    </row>
    <row r="208" customFormat="false" ht="15" hidden="false" customHeight="false" outlineLevel="0" collapsed="false">
      <c r="A208" s="11" t="str">
        <f aca="false">IF(INVENTÁRIO!A208="","",INVENTÁRIO!A208)</f>
        <v/>
      </c>
      <c r="B208" s="11" t="str">
        <f aca="false">IF(A208="","",INVENTÁRIO!B208)</f>
        <v/>
      </c>
      <c r="C208" s="16" t="str">
        <f aca="false">IF(A208="","",IFERROR(INDEX($L$2:$L$801,MATCH(A208,$K$2:$K$801,0)),"Não verificada"))</f>
        <v/>
      </c>
      <c r="D208" s="11" t="str">
        <f aca="false">IF(AND(A208&lt;&gt;"",C208&lt;&gt;"Tem foto"),MAX(D$1:D207)+1,"")</f>
        <v/>
      </c>
      <c r="F208" s="26" t="str">
        <f aca="false">IF($I$4=0,"",IF(206&lt;=$I$4,"    """&amp;INDEX($A$2:$A$801,MATCH(206,$D$2:$D$801,0))&amp;""",",IF(206=$I$4+1,"]","")))</f>
        <v/>
      </c>
    </row>
    <row r="209" customFormat="false" ht="15" hidden="false" customHeight="false" outlineLevel="0" collapsed="false">
      <c r="A209" s="11" t="str">
        <f aca="false">IF(INVENTÁRIO!A209="","",INVENTÁRIO!A209)</f>
        <v/>
      </c>
      <c r="B209" s="11" t="str">
        <f aca="false">IF(A209="","",INVENTÁRIO!B209)</f>
        <v/>
      </c>
      <c r="C209" s="16" t="str">
        <f aca="false">IF(A209="","",IFERROR(INDEX($L$2:$L$801,MATCH(A209,$K$2:$K$801,0)),"Não verificada"))</f>
        <v/>
      </c>
      <c r="D209" s="11" t="str">
        <f aca="false">IF(AND(A209&lt;&gt;"",C209&lt;&gt;"Tem foto"),MAX(D$1:D208)+1,"")</f>
        <v/>
      </c>
      <c r="F209" s="26" t="str">
        <f aca="false">IF($I$4=0,"",IF(207&lt;=$I$4,"    """&amp;INDEX($A$2:$A$801,MATCH(207,$D$2:$D$801,0))&amp;""",",IF(207=$I$4+1,"]","")))</f>
        <v/>
      </c>
    </row>
    <row r="210" customFormat="false" ht="15" hidden="false" customHeight="false" outlineLevel="0" collapsed="false">
      <c r="A210" s="11" t="str">
        <f aca="false">IF(INVENTÁRIO!A210="","",INVENTÁRIO!A210)</f>
        <v/>
      </c>
      <c r="B210" s="11" t="str">
        <f aca="false">IF(A210="","",INVENTÁRIO!B210)</f>
        <v/>
      </c>
      <c r="C210" s="16" t="str">
        <f aca="false">IF(A210="","",IFERROR(INDEX($L$2:$L$801,MATCH(A210,$K$2:$K$801,0)),"Não verificada"))</f>
        <v/>
      </c>
      <c r="D210" s="11" t="str">
        <f aca="false">IF(AND(A210&lt;&gt;"",C210&lt;&gt;"Tem foto"),MAX(D$1:D209)+1,"")</f>
        <v/>
      </c>
      <c r="F210" s="26" t="str">
        <f aca="false">IF($I$4=0,"",IF(208&lt;=$I$4,"    """&amp;INDEX($A$2:$A$801,MATCH(208,$D$2:$D$801,0))&amp;""",",IF(208=$I$4+1,"]","")))</f>
        <v/>
      </c>
    </row>
    <row r="211" customFormat="false" ht="15" hidden="false" customHeight="false" outlineLevel="0" collapsed="false">
      <c r="A211" s="11" t="str">
        <f aca="false">IF(INVENTÁRIO!A211="","",INVENTÁRIO!A211)</f>
        <v/>
      </c>
      <c r="B211" s="11" t="str">
        <f aca="false">IF(A211="","",INVENTÁRIO!B211)</f>
        <v/>
      </c>
      <c r="C211" s="16" t="str">
        <f aca="false">IF(A211="","",IFERROR(INDEX($L$2:$L$801,MATCH(A211,$K$2:$K$801,0)),"Não verificada"))</f>
        <v/>
      </c>
      <c r="D211" s="11" t="str">
        <f aca="false">IF(AND(A211&lt;&gt;"",C211&lt;&gt;"Tem foto"),MAX(D$1:D210)+1,"")</f>
        <v/>
      </c>
      <c r="F211" s="26" t="str">
        <f aca="false">IF($I$4=0,"",IF(209&lt;=$I$4,"    """&amp;INDEX($A$2:$A$801,MATCH(209,$D$2:$D$801,0))&amp;""",",IF(209=$I$4+1,"]","")))</f>
        <v/>
      </c>
    </row>
    <row r="212" customFormat="false" ht="15" hidden="false" customHeight="false" outlineLevel="0" collapsed="false">
      <c r="A212" s="11" t="str">
        <f aca="false">IF(INVENTÁRIO!A212="","",INVENTÁRIO!A212)</f>
        <v/>
      </c>
      <c r="B212" s="11" t="str">
        <f aca="false">IF(A212="","",INVENTÁRIO!B212)</f>
        <v/>
      </c>
      <c r="C212" s="16" t="str">
        <f aca="false">IF(A212="","",IFERROR(INDEX($L$2:$L$801,MATCH(A212,$K$2:$K$801,0)),"Não verificada"))</f>
        <v/>
      </c>
      <c r="D212" s="11" t="str">
        <f aca="false">IF(AND(A212&lt;&gt;"",C212&lt;&gt;"Tem foto"),MAX(D$1:D211)+1,"")</f>
        <v/>
      </c>
      <c r="F212" s="26" t="str">
        <f aca="false">IF($I$4=0,"",IF(210&lt;=$I$4,"    """&amp;INDEX($A$2:$A$801,MATCH(210,$D$2:$D$801,0))&amp;""",",IF(210=$I$4+1,"]","")))</f>
        <v/>
      </c>
    </row>
    <row r="213" customFormat="false" ht="15" hidden="false" customHeight="false" outlineLevel="0" collapsed="false">
      <c r="A213" s="11" t="str">
        <f aca="false">IF(INVENTÁRIO!A213="","",INVENTÁRIO!A213)</f>
        <v/>
      </c>
      <c r="B213" s="11" t="str">
        <f aca="false">IF(A213="","",INVENTÁRIO!B213)</f>
        <v/>
      </c>
      <c r="C213" s="16" t="str">
        <f aca="false">IF(A213="","",IFERROR(INDEX($L$2:$L$801,MATCH(A213,$K$2:$K$801,0)),"Não verificada"))</f>
        <v/>
      </c>
      <c r="D213" s="11" t="str">
        <f aca="false">IF(AND(A213&lt;&gt;"",C213&lt;&gt;"Tem foto"),MAX(D$1:D212)+1,"")</f>
        <v/>
      </c>
      <c r="F213" s="26" t="str">
        <f aca="false">IF($I$4=0,"",IF(211&lt;=$I$4,"    """&amp;INDEX($A$2:$A$801,MATCH(211,$D$2:$D$801,0))&amp;""",",IF(211=$I$4+1,"]","")))</f>
        <v/>
      </c>
    </row>
    <row r="214" customFormat="false" ht="15" hidden="false" customHeight="false" outlineLevel="0" collapsed="false">
      <c r="A214" s="11" t="str">
        <f aca="false">IF(INVENTÁRIO!A214="","",INVENTÁRIO!A214)</f>
        <v/>
      </c>
      <c r="B214" s="11" t="str">
        <f aca="false">IF(A214="","",INVENTÁRIO!B214)</f>
        <v/>
      </c>
      <c r="C214" s="16" t="str">
        <f aca="false">IF(A214="","",IFERROR(INDEX($L$2:$L$801,MATCH(A214,$K$2:$K$801,0)),"Não verificada"))</f>
        <v/>
      </c>
      <c r="D214" s="11" t="str">
        <f aca="false">IF(AND(A214&lt;&gt;"",C214&lt;&gt;"Tem foto"),MAX(D$1:D213)+1,"")</f>
        <v/>
      </c>
      <c r="F214" s="26" t="str">
        <f aca="false">IF($I$4=0,"",IF(212&lt;=$I$4,"    """&amp;INDEX($A$2:$A$801,MATCH(212,$D$2:$D$801,0))&amp;""",",IF(212=$I$4+1,"]","")))</f>
        <v/>
      </c>
    </row>
    <row r="215" customFormat="false" ht="15" hidden="false" customHeight="false" outlineLevel="0" collapsed="false">
      <c r="A215" s="11" t="str">
        <f aca="false">IF(INVENTÁRIO!A215="","",INVENTÁRIO!A215)</f>
        <v/>
      </c>
      <c r="B215" s="11" t="str">
        <f aca="false">IF(A215="","",INVENTÁRIO!B215)</f>
        <v/>
      </c>
      <c r="C215" s="16" t="str">
        <f aca="false">IF(A215="","",IFERROR(INDEX($L$2:$L$801,MATCH(A215,$K$2:$K$801,0)),"Não verificada"))</f>
        <v/>
      </c>
      <c r="D215" s="11" t="str">
        <f aca="false">IF(AND(A215&lt;&gt;"",C215&lt;&gt;"Tem foto"),MAX(D$1:D214)+1,"")</f>
        <v/>
      </c>
      <c r="F215" s="26" t="str">
        <f aca="false">IF($I$4=0,"",IF(213&lt;=$I$4,"    """&amp;INDEX($A$2:$A$801,MATCH(213,$D$2:$D$801,0))&amp;""",",IF(213=$I$4+1,"]","")))</f>
        <v/>
      </c>
    </row>
    <row r="216" customFormat="false" ht="15" hidden="false" customHeight="false" outlineLevel="0" collapsed="false">
      <c r="A216" s="11" t="str">
        <f aca="false">IF(INVENTÁRIO!A216="","",INVENTÁRIO!A216)</f>
        <v/>
      </c>
      <c r="B216" s="11" t="str">
        <f aca="false">IF(A216="","",INVENTÁRIO!B216)</f>
        <v/>
      </c>
      <c r="C216" s="16" t="str">
        <f aca="false">IF(A216="","",IFERROR(INDEX($L$2:$L$801,MATCH(A216,$K$2:$K$801,0)),"Não verificada"))</f>
        <v/>
      </c>
      <c r="D216" s="11" t="str">
        <f aca="false">IF(AND(A216&lt;&gt;"",C216&lt;&gt;"Tem foto"),MAX(D$1:D215)+1,"")</f>
        <v/>
      </c>
      <c r="F216" s="26" t="str">
        <f aca="false">IF($I$4=0,"",IF(214&lt;=$I$4,"    """&amp;INDEX($A$2:$A$801,MATCH(214,$D$2:$D$801,0))&amp;""",",IF(214=$I$4+1,"]","")))</f>
        <v/>
      </c>
    </row>
    <row r="217" customFormat="false" ht="15" hidden="false" customHeight="false" outlineLevel="0" collapsed="false">
      <c r="A217" s="11" t="str">
        <f aca="false">IF(INVENTÁRIO!A217="","",INVENTÁRIO!A217)</f>
        <v/>
      </c>
      <c r="B217" s="11" t="str">
        <f aca="false">IF(A217="","",INVENTÁRIO!B217)</f>
        <v/>
      </c>
      <c r="C217" s="16" t="str">
        <f aca="false">IF(A217="","",IFERROR(INDEX($L$2:$L$801,MATCH(A217,$K$2:$K$801,0)),"Não verificada"))</f>
        <v/>
      </c>
      <c r="D217" s="11" t="str">
        <f aca="false">IF(AND(A217&lt;&gt;"",C217&lt;&gt;"Tem foto"),MAX(D$1:D216)+1,"")</f>
        <v/>
      </c>
      <c r="F217" s="26" t="str">
        <f aca="false">IF($I$4=0,"",IF(215&lt;=$I$4,"    """&amp;INDEX($A$2:$A$801,MATCH(215,$D$2:$D$801,0))&amp;""",",IF(215=$I$4+1,"]","")))</f>
        <v/>
      </c>
    </row>
    <row r="218" customFormat="false" ht="15" hidden="false" customHeight="false" outlineLevel="0" collapsed="false">
      <c r="A218" s="11" t="str">
        <f aca="false">IF(INVENTÁRIO!A218="","",INVENTÁRIO!A218)</f>
        <v/>
      </c>
      <c r="B218" s="11" t="str">
        <f aca="false">IF(A218="","",INVENTÁRIO!B218)</f>
        <v/>
      </c>
      <c r="C218" s="16" t="str">
        <f aca="false">IF(A218="","",IFERROR(INDEX($L$2:$L$801,MATCH(A218,$K$2:$K$801,0)),"Não verificada"))</f>
        <v/>
      </c>
      <c r="D218" s="11" t="str">
        <f aca="false">IF(AND(A218&lt;&gt;"",C218&lt;&gt;"Tem foto"),MAX(D$1:D217)+1,"")</f>
        <v/>
      </c>
      <c r="F218" s="26" t="str">
        <f aca="false">IF($I$4=0,"",IF(216&lt;=$I$4,"    """&amp;INDEX($A$2:$A$801,MATCH(216,$D$2:$D$801,0))&amp;""",",IF(216=$I$4+1,"]","")))</f>
        <v/>
      </c>
    </row>
    <row r="219" customFormat="false" ht="15" hidden="false" customHeight="false" outlineLevel="0" collapsed="false">
      <c r="A219" s="11" t="str">
        <f aca="false">IF(INVENTÁRIO!A219="","",INVENTÁRIO!A219)</f>
        <v/>
      </c>
      <c r="B219" s="11" t="str">
        <f aca="false">IF(A219="","",INVENTÁRIO!B219)</f>
        <v/>
      </c>
      <c r="C219" s="16" t="str">
        <f aca="false">IF(A219="","",IFERROR(INDEX($L$2:$L$801,MATCH(A219,$K$2:$K$801,0)),"Não verificada"))</f>
        <v/>
      </c>
      <c r="D219" s="11" t="str">
        <f aca="false">IF(AND(A219&lt;&gt;"",C219&lt;&gt;"Tem foto"),MAX(D$1:D218)+1,"")</f>
        <v/>
      </c>
      <c r="F219" s="26" t="str">
        <f aca="false">IF($I$4=0,"",IF(217&lt;=$I$4,"    """&amp;INDEX($A$2:$A$801,MATCH(217,$D$2:$D$801,0))&amp;""",",IF(217=$I$4+1,"]","")))</f>
        <v/>
      </c>
    </row>
    <row r="220" customFormat="false" ht="15" hidden="false" customHeight="false" outlineLevel="0" collapsed="false">
      <c r="A220" s="11" t="str">
        <f aca="false">IF(INVENTÁRIO!A220="","",INVENTÁRIO!A220)</f>
        <v/>
      </c>
      <c r="B220" s="11" t="str">
        <f aca="false">IF(A220="","",INVENTÁRIO!B220)</f>
        <v/>
      </c>
      <c r="C220" s="16" t="str">
        <f aca="false">IF(A220="","",IFERROR(INDEX($L$2:$L$801,MATCH(A220,$K$2:$K$801,0)),"Não verificada"))</f>
        <v/>
      </c>
      <c r="D220" s="11" t="str">
        <f aca="false">IF(AND(A220&lt;&gt;"",C220&lt;&gt;"Tem foto"),MAX(D$1:D219)+1,"")</f>
        <v/>
      </c>
      <c r="F220" s="26" t="str">
        <f aca="false">IF($I$4=0,"",IF(218&lt;=$I$4,"    """&amp;INDEX($A$2:$A$801,MATCH(218,$D$2:$D$801,0))&amp;""",",IF(218=$I$4+1,"]","")))</f>
        <v/>
      </c>
    </row>
    <row r="221" customFormat="false" ht="15" hidden="false" customHeight="false" outlineLevel="0" collapsed="false">
      <c r="A221" s="11" t="str">
        <f aca="false">IF(INVENTÁRIO!A221="","",INVENTÁRIO!A221)</f>
        <v/>
      </c>
      <c r="B221" s="11" t="str">
        <f aca="false">IF(A221="","",INVENTÁRIO!B221)</f>
        <v/>
      </c>
      <c r="C221" s="16" t="str">
        <f aca="false">IF(A221="","",IFERROR(INDEX($L$2:$L$801,MATCH(A221,$K$2:$K$801,0)),"Não verificada"))</f>
        <v/>
      </c>
      <c r="D221" s="11" t="str">
        <f aca="false">IF(AND(A221&lt;&gt;"",C221&lt;&gt;"Tem foto"),MAX(D$1:D220)+1,"")</f>
        <v/>
      </c>
      <c r="F221" s="26" t="str">
        <f aca="false">IF($I$4=0,"",IF(219&lt;=$I$4,"    """&amp;INDEX($A$2:$A$801,MATCH(219,$D$2:$D$801,0))&amp;""",",IF(219=$I$4+1,"]","")))</f>
        <v/>
      </c>
    </row>
    <row r="222" customFormat="false" ht="15" hidden="false" customHeight="false" outlineLevel="0" collapsed="false">
      <c r="A222" s="11" t="str">
        <f aca="false">IF(INVENTÁRIO!A222="","",INVENTÁRIO!A222)</f>
        <v/>
      </c>
      <c r="B222" s="11" t="str">
        <f aca="false">IF(A222="","",INVENTÁRIO!B222)</f>
        <v/>
      </c>
      <c r="C222" s="16" t="str">
        <f aca="false">IF(A222="","",IFERROR(INDEX($L$2:$L$801,MATCH(A222,$K$2:$K$801,0)),"Não verificada"))</f>
        <v/>
      </c>
      <c r="D222" s="11" t="str">
        <f aca="false">IF(AND(A222&lt;&gt;"",C222&lt;&gt;"Tem foto"),MAX(D$1:D221)+1,"")</f>
        <v/>
      </c>
      <c r="F222" s="26" t="str">
        <f aca="false">IF($I$4=0,"",IF(220&lt;=$I$4,"    """&amp;INDEX($A$2:$A$801,MATCH(220,$D$2:$D$801,0))&amp;""",",IF(220=$I$4+1,"]","")))</f>
        <v/>
      </c>
    </row>
    <row r="223" customFormat="false" ht="15" hidden="false" customHeight="false" outlineLevel="0" collapsed="false">
      <c r="A223" s="11" t="str">
        <f aca="false">IF(INVENTÁRIO!A223="","",INVENTÁRIO!A223)</f>
        <v/>
      </c>
      <c r="B223" s="11" t="str">
        <f aca="false">IF(A223="","",INVENTÁRIO!B223)</f>
        <v/>
      </c>
      <c r="C223" s="16" t="str">
        <f aca="false">IF(A223="","",IFERROR(INDEX($L$2:$L$801,MATCH(A223,$K$2:$K$801,0)),"Não verificada"))</f>
        <v/>
      </c>
      <c r="D223" s="11" t="str">
        <f aca="false">IF(AND(A223&lt;&gt;"",C223&lt;&gt;"Tem foto"),MAX(D$1:D222)+1,"")</f>
        <v/>
      </c>
      <c r="F223" s="26" t="str">
        <f aca="false">IF($I$4=0,"",IF(221&lt;=$I$4,"    """&amp;INDEX($A$2:$A$801,MATCH(221,$D$2:$D$801,0))&amp;""",",IF(221=$I$4+1,"]","")))</f>
        <v/>
      </c>
    </row>
    <row r="224" customFormat="false" ht="15" hidden="false" customHeight="false" outlineLevel="0" collapsed="false">
      <c r="A224" s="11" t="str">
        <f aca="false">IF(INVENTÁRIO!A224="","",INVENTÁRIO!A224)</f>
        <v/>
      </c>
      <c r="B224" s="11" t="str">
        <f aca="false">IF(A224="","",INVENTÁRIO!B224)</f>
        <v/>
      </c>
      <c r="C224" s="16" t="str">
        <f aca="false">IF(A224="","",IFERROR(INDEX($L$2:$L$801,MATCH(A224,$K$2:$K$801,0)),"Não verificada"))</f>
        <v/>
      </c>
      <c r="D224" s="11" t="str">
        <f aca="false">IF(AND(A224&lt;&gt;"",C224&lt;&gt;"Tem foto"),MAX(D$1:D223)+1,"")</f>
        <v/>
      </c>
      <c r="F224" s="26" t="str">
        <f aca="false">IF($I$4=0,"",IF(222&lt;=$I$4,"    """&amp;INDEX($A$2:$A$801,MATCH(222,$D$2:$D$801,0))&amp;""",",IF(222=$I$4+1,"]","")))</f>
        <v/>
      </c>
    </row>
    <row r="225" customFormat="false" ht="15" hidden="false" customHeight="false" outlineLevel="0" collapsed="false">
      <c r="A225" s="11" t="str">
        <f aca="false">IF(INVENTÁRIO!A225="","",INVENTÁRIO!A225)</f>
        <v/>
      </c>
      <c r="B225" s="11" t="str">
        <f aca="false">IF(A225="","",INVENTÁRIO!B225)</f>
        <v/>
      </c>
      <c r="C225" s="16" t="str">
        <f aca="false">IF(A225="","",IFERROR(INDEX($L$2:$L$801,MATCH(A225,$K$2:$K$801,0)),"Não verificada"))</f>
        <v/>
      </c>
      <c r="D225" s="11" t="str">
        <f aca="false">IF(AND(A225&lt;&gt;"",C225&lt;&gt;"Tem foto"),MAX(D$1:D224)+1,"")</f>
        <v/>
      </c>
      <c r="F225" s="26" t="str">
        <f aca="false">IF($I$4=0,"",IF(223&lt;=$I$4,"    """&amp;INDEX($A$2:$A$801,MATCH(223,$D$2:$D$801,0))&amp;""",",IF(223=$I$4+1,"]","")))</f>
        <v/>
      </c>
    </row>
    <row r="226" customFormat="false" ht="15" hidden="false" customHeight="false" outlineLevel="0" collapsed="false">
      <c r="A226" s="11" t="str">
        <f aca="false">IF(INVENTÁRIO!A226="","",INVENTÁRIO!A226)</f>
        <v/>
      </c>
      <c r="B226" s="11" t="str">
        <f aca="false">IF(A226="","",INVENTÁRIO!B226)</f>
        <v/>
      </c>
      <c r="C226" s="16" t="str">
        <f aca="false">IF(A226="","",IFERROR(INDEX($L$2:$L$801,MATCH(A226,$K$2:$K$801,0)),"Não verificada"))</f>
        <v/>
      </c>
      <c r="D226" s="11" t="str">
        <f aca="false">IF(AND(A226&lt;&gt;"",C226&lt;&gt;"Tem foto"),MAX(D$1:D225)+1,"")</f>
        <v/>
      </c>
      <c r="F226" s="26" t="str">
        <f aca="false">IF($I$4=0,"",IF(224&lt;=$I$4,"    """&amp;INDEX($A$2:$A$801,MATCH(224,$D$2:$D$801,0))&amp;""",",IF(224=$I$4+1,"]","")))</f>
        <v/>
      </c>
    </row>
    <row r="227" customFormat="false" ht="15" hidden="false" customHeight="false" outlineLevel="0" collapsed="false">
      <c r="A227" s="11" t="str">
        <f aca="false">IF(INVENTÁRIO!A227="","",INVENTÁRIO!A227)</f>
        <v/>
      </c>
      <c r="B227" s="11" t="str">
        <f aca="false">IF(A227="","",INVENTÁRIO!B227)</f>
        <v/>
      </c>
      <c r="C227" s="16" t="str">
        <f aca="false">IF(A227="","",IFERROR(INDEX($L$2:$L$801,MATCH(A227,$K$2:$K$801,0)),"Não verificada"))</f>
        <v/>
      </c>
      <c r="D227" s="11" t="str">
        <f aca="false">IF(AND(A227&lt;&gt;"",C227&lt;&gt;"Tem foto"),MAX(D$1:D226)+1,"")</f>
        <v/>
      </c>
      <c r="F227" s="26" t="str">
        <f aca="false">IF($I$4=0,"",IF(225&lt;=$I$4,"    """&amp;INDEX($A$2:$A$801,MATCH(225,$D$2:$D$801,0))&amp;""",",IF(225=$I$4+1,"]","")))</f>
        <v/>
      </c>
    </row>
    <row r="228" customFormat="false" ht="15" hidden="false" customHeight="false" outlineLevel="0" collapsed="false">
      <c r="A228" s="11" t="str">
        <f aca="false">IF(INVENTÁRIO!A228="","",INVENTÁRIO!A228)</f>
        <v/>
      </c>
      <c r="B228" s="11" t="str">
        <f aca="false">IF(A228="","",INVENTÁRIO!B228)</f>
        <v/>
      </c>
      <c r="C228" s="16" t="str">
        <f aca="false">IF(A228="","",IFERROR(INDEX($L$2:$L$801,MATCH(A228,$K$2:$K$801,0)),"Não verificada"))</f>
        <v/>
      </c>
      <c r="D228" s="11" t="str">
        <f aca="false">IF(AND(A228&lt;&gt;"",C228&lt;&gt;"Tem foto"),MAX(D$1:D227)+1,"")</f>
        <v/>
      </c>
      <c r="F228" s="26" t="str">
        <f aca="false">IF($I$4=0,"",IF(226&lt;=$I$4,"    """&amp;INDEX($A$2:$A$801,MATCH(226,$D$2:$D$801,0))&amp;""",",IF(226=$I$4+1,"]","")))</f>
        <v/>
      </c>
    </row>
    <row r="229" customFormat="false" ht="15" hidden="false" customHeight="false" outlineLevel="0" collapsed="false">
      <c r="A229" s="11" t="str">
        <f aca="false">IF(INVENTÁRIO!A229="","",INVENTÁRIO!A229)</f>
        <v/>
      </c>
      <c r="B229" s="11" t="str">
        <f aca="false">IF(A229="","",INVENTÁRIO!B229)</f>
        <v/>
      </c>
      <c r="C229" s="16" t="str">
        <f aca="false">IF(A229="","",IFERROR(INDEX($L$2:$L$801,MATCH(A229,$K$2:$K$801,0)),"Não verificada"))</f>
        <v/>
      </c>
      <c r="D229" s="11" t="str">
        <f aca="false">IF(AND(A229&lt;&gt;"",C229&lt;&gt;"Tem foto"),MAX(D$1:D228)+1,"")</f>
        <v/>
      </c>
      <c r="F229" s="26" t="str">
        <f aca="false">IF($I$4=0,"",IF(227&lt;=$I$4,"    """&amp;INDEX($A$2:$A$801,MATCH(227,$D$2:$D$801,0))&amp;""",",IF(227=$I$4+1,"]","")))</f>
        <v/>
      </c>
    </row>
    <row r="230" customFormat="false" ht="15" hidden="false" customHeight="false" outlineLevel="0" collapsed="false">
      <c r="A230" s="11" t="str">
        <f aca="false">IF(INVENTÁRIO!A230="","",INVENTÁRIO!A230)</f>
        <v/>
      </c>
      <c r="B230" s="11" t="str">
        <f aca="false">IF(A230="","",INVENTÁRIO!B230)</f>
        <v/>
      </c>
      <c r="C230" s="16" t="str">
        <f aca="false">IF(A230="","",IFERROR(INDEX($L$2:$L$801,MATCH(A230,$K$2:$K$801,0)),"Não verificada"))</f>
        <v/>
      </c>
      <c r="D230" s="11" t="str">
        <f aca="false">IF(AND(A230&lt;&gt;"",C230&lt;&gt;"Tem foto"),MAX(D$1:D229)+1,"")</f>
        <v/>
      </c>
      <c r="F230" s="26" t="str">
        <f aca="false">IF($I$4=0,"",IF(228&lt;=$I$4,"    """&amp;INDEX($A$2:$A$801,MATCH(228,$D$2:$D$801,0))&amp;""",",IF(228=$I$4+1,"]","")))</f>
        <v/>
      </c>
    </row>
    <row r="231" customFormat="false" ht="15" hidden="false" customHeight="false" outlineLevel="0" collapsed="false">
      <c r="A231" s="11" t="str">
        <f aca="false">IF(INVENTÁRIO!A231="","",INVENTÁRIO!A231)</f>
        <v/>
      </c>
      <c r="B231" s="11" t="str">
        <f aca="false">IF(A231="","",INVENTÁRIO!B231)</f>
        <v/>
      </c>
      <c r="C231" s="16" t="str">
        <f aca="false">IF(A231="","",IFERROR(INDEX($L$2:$L$801,MATCH(A231,$K$2:$K$801,0)),"Não verificada"))</f>
        <v/>
      </c>
      <c r="D231" s="11" t="str">
        <f aca="false">IF(AND(A231&lt;&gt;"",C231&lt;&gt;"Tem foto"),MAX(D$1:D230)+1,"")</f>
        <v/>
      </c>
      <c r="F231" s="26" t="str">
        <f aca="false">IF($I$4=0,"",IF(229&lt;=$I$4,"    """&amp;INDEX($A$2:$A$801,MATCH(229,$D$2:$D$801,0))&amp;""",",IF(229=$I$4+1,"]","")))</f>
        <v/>
      </c>
    </row>
    <row r="232" customFormat="false" ht="15" hidden="false" customHeight="false" outlineLevel="0" collapsed="false">
      <c r="A232" s="11" t="str">
        <f aca="false">IF(INVENTÁRIO!A232="","",INVENTÁRIO!A232)</f>
        <v/>
      </c>
      <c r="B232" s="11" t="str">
        <f aca="false">IF(A232="","",INVENTÁRIO!B232)</f>
        <v/>
      </c>
      <c r="C232" s="16" t="str">
        <f aca="false">IF(A232="","",IFERROR(INDEX($L$2:$L$801,MATCH(A232,$K$2:$K$801,0)),"Não verificada"))</f>
        <v/>
      </c>
      <c r="D232" s="11" t="str">
        <f aca="false">IF(AND(A232&lt;&gt;"",C232&lt;&gt;"Tem foto"),MAX(D$1:D231)+1,"")</f>
        <v/>
      </c>
      <c r="F232" s="26" t="str">
        <f aca="false">IF($I$4=0,"",IF(230&lt;=$I$4,"    """&amp;INDEX($A$2:$A$801,MATCH(230,$D$2:$D$801,0))&amp;""",",IF(230=$I$4+1,"]","")))</f>
        <v/>
      </c>
    </row>
    <row r="233" customFormat="false" ht="15" hidden="false" customHeight="false" outlineLevel="0" collapsed="false">
      <c r="A233" s="11" t="str">
        <f aca="false">IF(INVENTÁRIO!A233="","",INVENTÁRIO!A233)</f>
        <v/>
      </c>
      <c r="B233" s="11" t="str">
        <f aca="false">IF(A233="","",INVENTÁRIO!B233)</f>
        <v/>
      </c>
      <c r="C233" s="16" t="str">
        <f aca="false">IF(A233="","",IFERROR(INDEX($L$2:$L$801,MATCH(A233,$K$2:$K$801,0)),"Não verificada"))</f>
        <v/>
      </c>
      <c r="D233" s="11" t="str">
        <f aca="false">IF(AND(A233&lt;&gt;"",C233&lt;&gt;"Tem foto"),MAX(D$1:D232)+1,"")</f>
        <v/>
      </c>
      <c r="F233" s="26" t="str">
        <f aca="false">IF($I$4=0,"",IF(231&lt;=$I$4,"    """&amp;INDEX($A$2:$A$801,MATCH(231,$D$2:$D$801,0))&amp;""",",IF(231=$I$4+1,"]","")))</f>
        <v/>
      </c>
    </row>
    <row r="234" customFormat="false" ht="15" hidden="false" customHeight="false" outlineLevel="0" collapsed="false">
      <c r="A234" s="11" t="str">
        <f aca="false">IF(INVENTÁRIO!A234="","",INVENTÁRIO!A234)</f>
        <v/>
      </c>
      <c r="B234" s="11" t="str">
        <f aca="false">IF(A234="","",INVENTÁRIO!B234)</f>
        <v/>
      </c>
      <c r="C234" s="16" t="str">
        <f aca="false">IF(A234="","",IFERROR(INDEX($L$2:$L$801,MATCH(A234,$K$2:$K$801,0)),"Não verificada"))</f>
        <v/>
      </c>
      <c r="D234" s="11" t="str">
        <f aca="false">IF(AND(A234&lt;&gt;"",C234&lt;&gt;"Tem foto"),MAX(D$1:D233)+1,"")</f>
        <v/>
      </c>
      <c r="F234" s="26" t="str">
        <f aca="false">IF($I$4=0,"",IF(232&lt;=$I$4,"    """&amp;INDEX($A$2:$A$801,MATCH(232,$D$2:$D$801,0))&amp;""",",IF(232=$I$4+1,"]","")))</f>
        <v/>
      </c>
    </row>
    <row r="235" customFormat="false" ht="15" hidden="false" customHeight="false" outlineLevel="0" collapsed="false">
      <c r="A235" s="11" t="str">
        <f aca="false">IF(INVENTÁRIO!A235="","",INVENTÁRIO!A235)</f>
        <v/>
      </c>
      <c r="B235" s="11" t="str">
        <f aca="false">IF(A235="","",INVENTÁRIO!B235)</f>
        <v/>
      </c>
      <c r="C235" s="16" t="str">
        <f aca="false">IF(A235="","",IFERROR(INDEX($L$2:$L$801,MATCH(A235,$K$2:$K$801,0)),"Não verificada"))</f>
        <v/>
      </c>
      <c r="D235" s="11" t="str">
        <f aca="false">IF(AND(A235&lt;&gt;"",C235&lt;&gt;"Tem foto"),MAX(D$1:D234)+1,"")</f>
        <v/>
      </c>
      <c r="F235" s="26" t="str">
        <f aca="false">IF($I$4=0,"",IF(233&lt;=$I$4,"    """&amp;INDEX($A$2:$A$801,MATCH(233,$D$2:$D$801,0))&amp;""",",IF(233=$I$4+1,"]","")))</f>
        <v/>
      </c>
    </row>
    <row r="236" customFormat="false" ht="15" hidden="false" customHeight="false" outlineLevel="0" collapsed="false">
      <c r="A236" s="11" t="str">
        <f aca="false">IF(INVENTÁRIO!A236="","",INVENTÁRIO!A236)</f>
        <v/>
      </c>
      <c r="B236" s="11" t="str">
        <f aca="false">IF(A236="","",INVENTÁRIO!B236)</f>
        <v/>
      </c>
      <c r="C236" s="16" t="str">
        <f aca="false">IF(A236="","",IFERROR(INDEX($L$2:$L$801,MATCH(A236,$K$2:$K$801,0)),"Não verificada"))</f>
        <v/>
      </c>
      <c r="D236" s="11" t="str">
        <f aca="false">IF(AND(A236&lt;&gt;"",C236&lt;&gt;"Tem foto"),MAX(D$1:D235)+1,"")</f>
        <v/>
      </c>
      <c r="F236" s="26" t="str">
        <f aca="false">IF($I$4=0,"",IF(234&lt;=$I$4,"    """&amp;INDEX($A$2:$A$801,MATCH(234,$D$2:$D$801,0))&amp;""",",IF(234=$I$4+1,"]","")))</f>
        <v/>
      </c>
    </row>
    <row r="237" customFormat="false" ht="15" hidden="false" customHeight="false" outlineLevel="0" collapsed="false">
      <c r="A237" s="11" t="str">
        <f aca="false">IF(INVENTÁRIO!A237="","",INVENTÁRIO!A237)</f>
        <v/>
      </c>
      <c r="B237" s="11" t="str">
        <f aca="false">IF(A237="","",INVENTÁRIO!B237)</f>
        <v/>
      </c>
      <c r="C237" s="16" t="str">
        <f aca="false">IF(A237="","",IFERROR(INDEX($L$2:$L$801,MATCH(A237,$K$2:$K$801,0)),"Não verificada"))</f>
        <v/>
      </c>
      <c r="D237" s="11" t="str">
        <f aca="false">IF(AND(A237&lt;&gt;"",C237&lt;&gt;"Tem foto"),MAX(D$1:D236)+1,"")</f>
        <v/>
      </c>
      <c r="F237" s="26" t="str">
        <f aca="false">IF($I$4=0,"",IF(235&lt;=$I$4,"    """&amp;INDEX($A$2:$A$801,MATCH(235,$D$2:$D$801,0))&amp;""",",IF(235=$I$4+1,"]","")))</f>
        <v/>
      </c>
    </row>
    <row r="238" customFormat="false" ht="15" hidden="false" customHeight="false" outlineLevel="0" collapsed="false">
      <c r="A238" s="11" t="str">
        <f aca="false">IF(INVENTÁRIO!A238="","",INVENTÁRIO!A238)</f>
        <v/>
      </c>
      <c r="B238" s="11" t="str">
        <f aca="false">IF(A238="","",INVENTÁRIO!B238)</f>
        <v/>
      </c>
      <c r="C238" s="16" t="str">
        <f aca="false">IF(A238="","",IFERROR(INDEX($L$2:$L$801,MATCH(A238,$K$2:$K$801,0)),"Não verificada"))</f>
        <v/>
      </c>
      <c r="D238" s="11" t="str">
        <f aca="false">IF(AND(A238&lt;&gt;"",C238&lt;&gt;"Tem foto"),MAX(D$1:D237)+1,"")</f>
        <v/>
      </c>
      <c r="F238" s="26" t="str">
        <f aca="false">IF($I$4=0,"",IF(236&lt;=$I$4,"    """&amp;INDEX($A$2:$A$801,MATCH(236,$D$2:$D$801,0))&amp;""",",IF(236=$I$4+1,"]","")))</f>
        <v/>
      </c>
    </row>
    <row r="239" customFormat="false" ht="15" hidden="false" customHeight="false" outlineLevel="0" collapsed="false">
      <c r="A239" s="11" t="str">
        <f aca="false">IF(INVENTÁRIO!A239="","",INVENTÁRIO!A239)</f>
        <v/>
      </c>
      <c r="B239" s="11" t="str">
        <f aca="false">IF(A239="","",INVENTÁRIO!B239)</f>
        <v/>
      </c>
      <c r="C239" s="16" t="str">
        <f aca="false">IF(A239="","",IFERROR(INDEX($L$2:$L$801,MATCH(A239,$K$2:$K$801,0)),"Não verificada"))</f>
        <v/>
      </c>
      <c r="D239" s="11" t="str">
        <f aca="false">IF(AND(A239&lt;&gt;"",C239&lt;&gt;"Tem foto"),MAX(D$1:D238)+1,"")</f>
        <v/>
      </c>
      <c r="F239" s="26" t="str">
        <f aca="false">IF($I$4=0,"",IF(237&lt;=$I$4,"    """&amp;INDEX($A$2:$A$801,MATCH(237,$D$2:$D$801,0))&amp;""",",IF(237=$I$4+1,"]","")))</f>
        <v/>
      </c>
    </row>
    <row r="240" customFormat="false" ht="15" hidden="false" customHeight="false" outlineLevel="0" collapsed="false">
      <c r="A240" s="11" t="str">
        <f aca="false">IF(INVENTÁRIO!A240="","",INVENTÁRIO!A240)</f>
        <v/>
      </c>
      <c r="B240" s="11" t="str">
        <f aca="false">IF(A240="","",INVENTÁRIO!B240)</f>
        <v/>
      </c>
      <c r="C240" s="16" t="str">
        <f aca="false">IF(A240="","",IFERROR(INDEX($L$2:$L$801,MATCH(A240,$K$2:$K$801,0)),"Não verificada"))</f>
        <v/>
      </c>
      <c r="D240" s="11" t="str">
        <f aca="false">IF(AND(A240&lt;&gt;"",C240&lt;&gt;"Tem foto"),MAX(D$1:D239)+1,"")</f>
        <v/>
      </c>
      <c r="F240" s="26" t="str">
        <f aca="false">IF($I$4=0,"",IF(238&lt;=$I$4,"    """&amp;INDEX($A$2:$A$801,MATCH(238,$D$2:$D$801,0))&amp;""",",IF(238=$I$4+1,"]","")))</f>
        <v/>
      </c>
    </row>
    <row r="241" customFormat="false" ht="15" hidden="false" customHeight="false" outlineLevel="0" collapsed="false">
      <c r="A241" s="11" t="str">
        <f aca="false">IF(INVENTÁRIO!A241="","",INVENTÁRIO!A241)</f>
        <v/>
      </c>
      <c r="B241" s="11" t="str">
        <f aca="false">IF(A241="","",INVENTÁRIO!B241)</f>
        <v/>
      </c>
      <c r="C241" s="16" t="str">
        <f aca="false">IF(A241="","",IFERROR(INDEX($L$2:$L$801,MATCH(A241,$K$2:$K$801,0)),"Não verificada"))</f>
        <v/>
      </c>
      <c r="D241" s="11" t="str">
        <f aca="false">IF(AND(A241&lt;&gt;"",C241&lt;&gt;"Tem foto"),MAX(D$1:D240)+1,"")</f>
        <v/>
      </c>
      <c r="F241" s="26" t="str">
        <f aca="false">IF($I$4=0,"",IF(239&lt;=$I$4,"    """&amp;INDEX($A$2:$A$801,MATCH(239,$D$2:$D$801,0))&amp;""",",IF(239=$I$4+1,"]","")))</f>
        <v/>
      </c>
    </row>
    <row r="242" customFormat="false" ht="15" hidden="false" customHeight="false" outlineLevel="0" collapsed="false">
      <c r="A242" s="11" t="str">
        <f aca="false">IF(INVENTÁRIO!A242="","",INVENTÁRIO!A242)</f>
        <v/>
      </c>
      <c r="B242" s="11" t="str">
        <f aca="false">IF(A242="","",INVENTÁRIO!B242)</f>
        <v/>
      </c>
      <c r="C242" s="16" t="str">
        <f aca="false">IF(A242="","",IFERROR(INDEX($L$2:$L$801,MATCH(A242,$K$2:$K$801,0)),"Não verificada"))</f>
        <v/>
      </c>
      <c r="D242" s="11" t="str">
        <f aca="false">IF(AND(A242&lt;&gt;"",C242&lt;&gt;"Tem foto"),MAX(D$1:D241)+1,"")</f>
        <v/>
      </c>
      <c r="F242" s="26" t="str">
        <f aca="false">IF($I$4=0,"",IF(240&lt;=$I$4,"    """&amp;INDEX($A$2:$A$801,MATCH(240,$D$2:$D$801,0))&amp;""",",IF(240=$I$4+1,"]","")))</f>
        <v/>
      </c>
    </row>
    <row r="243" customFormat="false" ht="15" hidden="false" customHeight="false" outlineLevel="0" collapsed="false">
      <c r="A243" s="11" t="str">
        <f aca="false">IF(INVENTÁRIO!A243="","",INVENTÁRIO!A243)</f>
        <v/>
      </c>
      <c r="B243" s="11" t="str">
        <f aca="false">IF(A243="","",INVENTÁRIO!B243)</f>
        <v/>
      </c>
      <c r="C243" s="16" t="str">
        <f aca="false">IF(A243="","",IFERROR(INDEX($L$2:$L$801,MATCH(A243,$K$2:$K$801,0)),"Não verificada"))</f>
        <v/>
      </c>
      <c r="D243" s="11" t="str">
        <f aca="false">IF(AND(A243&lt;&gt;"",C243&lt;&gt;"Tem foto"),MAX(D$1:D242)+1,"")</f>
        <v/>
      </c>
      <c r="F243" s="26" t="str">
        <f aca="false">IF($I$4=0,"",IF(241&lt;=$I$4,"    """&amp;INDEX($A$2:$A$801,MATCH(241,$D$2:$D$801,0))&amp;""",",IF(241=$I$4+1,"]","")))</f>
        <v/>
      </c>
    </row>
    <row r="244" customFormat="false" ht="15" hidden="false" customHeight="false" outlineLevel="0" collapsed="false">
      <c r="A244" s="11" t="str">
        <f aca="false">IF(INVENTÁRIO!A244="","",INVENTÁRIO!A244)</f>
        <v/>
      </c>
      <c r="B244" s="11" t="str">
        <f aca="false">IF(A244="","",INVENTÁRIO!B244)</f>
        <v/>
      </c>
      <c r="C244" s="16" t="str">
        <f aca="false">IF(A244="","",IFERROR(INDEX($L$2:$L$801,MATCH(A244,$K$2:$K$801,0)),"Não verificada"))</f>
        <v/>
      </c>
      <c r="D244" s="11" t="str">
        <f aca="false">IF(AND(A244&lt;&gt;"",C244&lt;&gt;"Tem foto"),MAX(D$1:D243)+1,"")</f>
        <v/>
      </c>
      <c r="F244" s="26" t="str">
        <f aca="false">IF($I$4=0,"",IF(242&lt;=$I$4,"    """&amp;INDEX($A$2:$A$801,MATCH(242,$D$2:$D$801,0))&amp;""",",IF(242=$I$4+1,"]","")))</f>
        <v/>
      </c>
    </row>
    <row r="245" customFormat="false" ht="15" hidden="false" customHeight="false" outlineLevel="0" collapsed="false">
      <c r="A245" s="11" t="str">
        <f aca="false">IF(INVENTÁRIO!A245="","",INVENTÁRIO!A245)</f>
        <v/>
      </c>
      <c r="B245" s="11" t="str">
        <f aca="false">IF(A245="","",INVENTÁRIO!B245)</f>
        <v/>
      </c>
      <c r="C245" s="16" t="str">
        <f aca="false">IF(A245="","",IFERROR(INDEX($L$2:$L$801,MATCH(A245,$K$2:$K$801,0)),"Não verificada"))</f>
        <v/>
      </c>
      <c r="D245" s="11" t="str">
        <f aca="false">IF(AND(A245&lt;&gt;"",C245&lt;&gt;"Tem foto"),MAX(D$1:D244)+1,"")</f>
        <v/>
      </c>
      <c r="F245" s="26" t="str">
        <f aca="false">IF($I$4=0,"",IF(243&lt;=$I$4,"    """&amp;INDEX($A$2:$A$801,MATCH(243,$D$2:$D$801,0))&amp;""",",IF(243=$I$4+1,"]","")))</f>
        <v/>
      </c>
    </row>
    <row r="246" customFormat="false" ht="15" hidden="false" customHeight="false" outlineLevel="0" collapsed="false">
      <c r="A246" s="11" t="str">
        <f aca="false">IF(INVENTÁRIO!A246="","",INVENTÁRIO!A246)</f>
        <v/>
      </c>
      <c r="B246" s="11" t="str">
        <f aca="false">IF(A246="","",INVENTÁRIO!B246)</f>
        <v/>
      </c>
      <c r="C246" s="16" t="str">
        <f aca="false">IF(A246="","",IFERROR(INDEX($L$2:$L$801,MATCH(A246,$K$2:$K$801,0)),"Não verificada"))</f>
        <v/>
      </c>
      <c r="D246" s="11" t="str">
        <f aca="false">IF(AND(A246&lt;&gt;"",C246&lt;&gt;"Tem foto"),MAX(D$1:D245)+1,"")</f>
        <v/>
      </c>
      <c r="F246" s="26" t="str">
        <f aca="false">IF($I$4=0,"",IF(244&lt;=$I$4,"    """&amp;INDEX($A$2:$A$801,MATCH(244,$D$2:$D$801,0))&amp;""",",IF(244=$I$4+1,"]","")))</f>
        <v/>
      </c>
    </row>
    <row r="247" customFormat="false" ht="15" hidden="false" customHeight="false" outlineLevel="0" collapsed="false">
      <c r="A247" s="11" t="str">
        <f aca="false">IF(INVENTÁRIO!A247="","",INVENTÁRIO!A247)</f>
        <v/>
      </c>
      <c r="B247" s="11" t="str">
        <f aca="false">IF(A247="","",INVENTÁRIO!B247)</f>
        <v/>
      </c>
      <c r="C247" s="16" t="str">
        <f aca="false">IF(A247="","",IFERROR(INDEX($L$2:$L$801,MATCH(A247,$K$2:$K$801,0)),"Não verificada"))</f>
        <v/>
      </c>
      <c r="D247" s="11" t="str">
        <f aca="false">IF(AND(A247&lt;&gt;"",C247&lt;&gt;"Tem foto"),MAX(D$1:D246)+1,"")</f>
        <v/>
      </c>
      <c r="F247" s="26" t="str">
        <f aca="false">IF($I$4=0,"",IF(245&lt;=$I$4,"    """&amp;INDEX($A$2:$A$801,MATCH(245,$D$2:$D$801,0))&amp;""",",IF(245=$I$4+1,"]","")))</f>
        <v/>
      </c>
    </row>
    <row r="248" customFormat="false" ht="15" hidden="false" customHeight="false" outlineLevel="0" collapsed="false">
      <c r="A248" s="11" t="str">
        <f aca="false">IF(INVENTÁRIO!A248="","",INVENTÁRIO!A248)</f>
        <v/>
      </c>
      <c r="B248" s="11" t="str">
        <f aca="false">IF(A248="","",INVENTÁRIO!B248)</f>
        <v/>
      </c>
      <c r="C248" s="16" t="str">
        <f aca="false">IF(A248="","",IFERROR(INDEX($L$2:$L$801,MATCH(A248,$K$2:$K$801,0)),"Não verificada"))</f>
        <v/>
      </c>
      <c r="D248" s="11" t="str">
        <f aca="false">IF(AND(A248&lt;&gt;"",C248&lt;&gt;"Tem foto"),MAX(D$1:D247)+1,"")</f>
        <v/>
      </c>
      <c r="F248" s="26" t="str">
        <f aca="false">IF($I$4=0,"",IF(246&lt;=$I$4,"    """&amp;INDEX($A$2:$A$801,MATCH(246,$D$2:$D$801,0))&amp;""",",IF(246=$I$4+1,"]","")))</f>
        <v/>
      </c>
    </row>
    <row r="249" customFormat="false" ht="15" hidden="false" customHeight="false" outlineLevel="0" collapsed="false">
      <c r="A249" s="11" t="str">
        <f aca="false">IF(INVENTÁRIO!A249="","",INVENTÁRIO!A249)</f>
        <v/>
      </c>
      <c r="B249" s="11" t="str">
        <f aca="false">IF(A249="","",INVENTÁRIO!B249)</f>
        <v/>
      </c>
      <c r="C249" s="16" t="str">
        <f aca="false">IF(A249="","",IFERROR(INDEX($L$2:$L$801,MATCH(A249,$K$2:$K$801,0)),"Não verificada"))</f>
        <v/>
      </c>
      <c r="D249" s="11" t="str">
        <f aca="false">IF(AND(A249&lt;&gt;"",C249&lt;&gt;"Tem foto"),MAX(D$1:D248)+1,"")</f>
        <v/>
      </c>
      <c r="F249" s="26" t="str">
        <f aca="false">IF($I$4=0,"",IF(247&lt;=$I$4,"    """&amp;INDEX($A$2:$A$801,MATCH(247,$D$2:$D$801,0))&amp;""",",IF(247=$I$4+1,"]","")))</f>
        <v/>
      </c>
    </row>
    <row r="250" customFormat="false" ht="15" hidden="false" customHeight="false" outlineLevel="0" collapsed="false">
      <c r="A250" s="11" t="str">
        <f aca="false">IF(INVENTÁRIO!A250="","",INVENTÁRIO!A250)</f>
        <v/>
      </c>
      <c r="B250" s="11" t="str">
        <f aca="false">IF(A250="","",INVENTÁRIO!B250)</f>
        <v/>
      </c>
      <c r="C250" s="16" t="str">
        <f aca="false">IF(A250="","",IFERROR(INDEX($L$2:$L$801,MATCH(A250,$K$2:$K$801,0)),"Não verificada"))</f>
        <v/>
      </c>
      <c r="D250" s="11" t="str">
        <f aca="false">IF(AND(A250&lt;&gt;"",C250&lt;&gt;"Tem foto"),MAX(D$1:D249)+1,"")</f>
        <v/>
      </c>
      <c r="F250" s="26" t="str">
        <f aca="false">IF($I$4=0,"",IF(248&lt;=$I$4,"    """&amp;INDEX($A$2:$A$801,MATCH(248,$D$2:$D$801,0))&amp;""",",IF(248=$I$4+1,"]","")))</f>
        <v/>
      </c>
    </row>
    <row r="251" customFormat="false" ht="15" hidden="false" customHeight="false" outlineLevel="0" collapsed="false">
      <c r="A251" s="11" t="str">
        <f aca="false">IF(INVENTÁRIO!A251="","",INVENTÁRIO!A251)</f>
        <v/>
      </c>
      <c r="B251" s="11" t="str">
        <f aca="false">IF(A251="","",INVENTÁRIO!B251)</f>
        <v/>
      </c>
      <c r="C251" s="16" t="str">
        <f aca="false">IF(A251="","",IFERROR(INDEX($L$2:$L$801,MATCH(A251,$K$2:$K$801,0)),"Não verificada"))</f>
        <v/>
      </c>
      <c r="D251" s="11" t="str">
        <f aca="false">IF(AND(A251&lt;&gt;"",C251&lt;&gt;"Tem foto"),MAX(D$1:D250)+1,"")</f>
        <v/>
      </c>
      <c r="F251" s="26" t="str">
        <f aca="false">IF($I$4=0,"",IF(249&lt;=$I$4,"    """&amp;INDEX($A$2:$A$801,MATCH(249,$D$2:$D$801,0))&amp;""",",IF(249=$I$4+1,"]","")))</f>
        <v/>
      </c>
    </row>
    <row r="252" customFormat="false" ht="15" hidden="false" customHeight="false" outlineLevel="0" collapsed="false">
      <c r="A252" s="11" t="str">
        <f aca="false">IF(INVENTÁRIO!A252="","",INVENTÁRIO!A252)</f>
        <v/>
      </c>
      <c r="B252" s="11" t="str">
        <f aca="false">IF(A252="","",INVENTÁRIO!B252)</f>
        <v/>
      </c>
      <c r="C252" s="16" t="str">
        <f aca="false">IF(A252="","",IFERROR(INDEX($L$2:$L$801,MATCH(A252,$K$2:$K$801,0)),"Não verificada"))</f>
        <v/>
      </c>
      <c r="D252" s="11" t="str">
        <f aca="false">IF(AND(A252&lt;&gt;"",C252&lt;&gt;"Tem foto"),MAX(D$1:D251)+1,"")</f>
        <v/>
      </c>
      <c r="F252" s="26" t="str">
        <f aca="false">IF($I$4=0,"",IF(250&lt;=$I$4,"    """&amp;INDEX($A$2:$A$801,MATCH(250,$D$2:$D$801,0))&amp;""",",IF(250=$I$4+1,"]","")))</f>
        <v/>
      </c>
    </row>
    <row r="253" customFormat="false" ht="15" hidden="false" customHeight="false" outlineLevel="0" collapsed="false">
      <c r="A253" s="11" t="str">
        <f aca="false">IF(INVENTÁRIO!A253="","",INVENTÁRIO!A253)</f>
        <v/>
      </c>
      <c r="B253" s="11" t="str">
        <f aca="false">IF(A253="","",INVENTÁRIO!B253)</f>
        <v/>
      </c>
      <c r="C253" s="16" t="str">
        <f aca="false">IF(A253="","",IFERROR(INDEX($L$2:$L$801,MATCH(A253,$K$2:$K$801,0)),"Não verificada"))</f>
        <v/>
      </c>
      <c r="D253" s="11" t="str">
        <f aca="false">IF(AND(A253&lt;&gt;"",C253&lt;&gt;"Tem foto"),MAX(D$1:D252)+1,"")</f>
        <v/>
      </c>
      <c r="F253" s="26" t="str">
        <f aca="false">IF($I$4=0,"",IF(251&lt;=$I$4,"    """&amp;INDEX($A$2:$A$801,MATCH(251,$D$2:$D$801,0))&amp;""",",IF(251=$I$4+1,"]","")))</f>
        <v/>
      </c>
    </row>
    <row r="254" customFormat="false" ht="15" hidden="false" customHeight="false" outlineLevel="0" collapsed="false">
      <c r="A254" s="11" t="str">
        <f aca="false">IF(INVENTÁRIO!A254="","",INVENTÁRIO!A254)</f>
        <v/>
      </c>
      <c r="B254" s="11" t="str">
        <f aca="false">IF(A254="","",INVENTÁRIO!B254)</f>
        <v/>
      </c>
      <c r="C254" s="16" t="str">
        <f aca="false">IF(A254="","",IFERROR(INDEX($L$2:$L$801,MATCH(A254,$K$2:$K$801,0)),"Não verificada"))</f>
        <v/>
      </c>
      <c r="D254" s="11" t="str">
        <f aca="false">IF(AND(A254&lt;&gt;"",C254&lt;&gt;"Tem foto"),MAX(D$1:D253)+1,"")</f>
        <v/>
      </c>
      <c r="F254" s="26" t="str">
        <f aca="false">IF($I$4=0,"",IF(252&lt;=$I$4,"    """&amp;INDEX($A$2:$A$801,MATCH(252,$D$2:$D$801,0))&amp;""",",IF(252=$I$4+1,"]","")))</f>
        <v/>
      </c>
    </row>
    <row r="255" customFormat="false" ht="15" hidden="false" customHeight="false" outlineLevel="0" collapsed="false">
      <c r="A255" s="11" t="str">
        <f aca="false">IF(INVENTÁRIO!A255="","",INVENTÁRIO!A255)</f>
        <v/>
      </c>
      <c r="B255" s="11" t="str">
        <f aca="false">IF(A255="","",INVENTÁRIO!B255)</f>
        <v/>
      </c>
      <c r="C255" s="16" t="str">
        <f aca="false">IF(A255="","",IFERROR(INDEX($L$2:$L$801,MATCH(A255,$K$2:$K$801,0)),"Não verificada"))</f>
        <v/>
      </c>
      <c r="D255" s="11" t="str">
        <f aca="false">IF(AND(A255&lt;&gt;"",C255&lt;&gt;"Tem foto"),MAX(D$1:D254)+1,"")</f>
        <v/>
      </c>
      <c r="F255" s="26" t="str">
        <f aca="false">IF($I$4=0,"",IF(253&lt;=$I$4,"    """&amp;INDEX($A$2:$A$801,MATCH(253,$D$2:$D$801,0))&amp;""",",IF(253=$I$4+1,"]","")))</f>
        <v/>
      </c>
    </row>
    <row r="256" customFormat="false" ht="15" hidden="false" customHeight="false" outlineLevel="0" collapsed="false">
      <c r="A256" s="11" t="str">
        <f aca="false">IF(INVENTÁRIO!A256="","",INVENTÁRIO!A256)</f>
        <v/>
      </c>
      <c r="B256" s="11" t="str">
        <f aca="false">IF(A256="","",INVENTÁRIO!B256)</f>
        <v/>
      </c>
      <c r="C256" s="16" t="str">
        <f aca="false">IF(A256="","",IFERROR(INDEX($L$2:$L$801,MATCH(A256,$K$2:$K$801,0)),"Não verificada"))</f>
        <v/>
      </c>
      <c r="D256" s="11" t="str">
        <f aca="false">IF(AND(A256&lt;&gt;"",C256&lt;&gt;"Tem foto"),MAX(D$1:D255)+1,"")</f>
        <v/>
      </c>
      <c r="F256" s="26" t="str">
        <f aca="false">IF($I$4=0,"",IF(254&lt;=$I$4,"    """&amp;INDEX($A$2:$A$801,MATCH(254,$D$2:$D$801,0))&amp;""",",IF(254=$I$4+1,"]","")))</f>
        <v/>
      </c>
    </row>
    <row r="257" customFormat="false" ht="15" hidden="false" customHeight="false" outlineLevel="0" collapsed="false">
      <c r="A257" s="11" t="str">
        <f aca="false">IF(INVENTÁRIO!A257="","",INVENTÁRIO!A257)</f>
        <v/>
      </c>
      <c r="B257" s="11" t="str">
        <f aca="false">IF(A257="","",INVENTÁRIO!B257)</f>
        <v/>
      </c>
      <c r="C257" s="16" t="str">
        <f aca="false">IF(A257="","",IFERROR(INDEX($L$2:$L$801,MATCH(A257,$K$2:$K$801,0)),"Não verificada"))</f>
        <v/>
      </c>
      <c r="D257" s="11" t="str">
        <f aca="false">IF(AND(A257&lt;&gt;"",C257&lt;&gt;"Tem foto"),MAX(D$1:D256)+1,"")</f>
        <v/>
      </c>
      <c r="F257" s="26" t="str">
        <f aca="false">IF($I$4=0,"",IF(255&lt;=$I$4,"    """&amp;INDEX($A$2:$A$801,MATCH(255,$D$2:$D$801,0))&amp;""",",IF(255=$I$4+1,"]","")))</f>
        <v/>
      </c>
    </row>
    <row r="258" customFormat="false" ht="15" hidden="false" customHeight="false" outlineLevel="0" collapsed="false">
      <c r="A258" s="11" t="str">
        <f aca="false">IF(INVENTÁRIO!A258="","",INVENTÁRIO!A258)</f>
        <v/>
      </c>
      <c r="B258" s="11" t="str">
        <f aca="false">IF(A258="","",INVENTÁRIO!B258)</f>
        <v/>
      </c>
      <c r="C258" s="16" t="str">
        <f aca="false">IF(A258="","",IFERROR(INDEX($L$2:$L$801,MATCH(A258,$K$2:$K$801,0)),"Não verificada"))</f>
        <v/>
      </c>
      <c r="D258" s="11" t="str">
        <f aca="false">IF(AND(A258&lt;&gt;"",C258&lt;&gt;"Tem foto"),MAX(D$1:D257)+1,"")</f>
        <v/>
      </c>
      <c r="F258" s="26" t="str">
        <f aca="false">IF($I$4=0,"",IF(256&lt;=$I$4,"    """&amp;INDEX($A$2:$A$801,MATCH(256,$D$2:$D$801,0))&amp;""",",IF(256=$I$4+1,"]","")))</f>
        <v/>
      </c>
    </row>
    <row r="259" customFormat="false" ht="15" hidden="false" customHeight="false" outlineLevel="0" collapsed="false">
      <c r="A259" s="11" t="str">
        <f aca="false">IF(INVENTÁRIO!A259="","",INVENTÁRIO!A259)</f>
        <v/>
      </c>
      <c r="B259" s="11" t="str">
        <f aca="false">IF(A259="","",INVENTÁRIO!B259)</f>
        <v/>
      </c>
      <c r="C259" s="16" t="str">
        <f aca="false">IF(A259="","",IFERROR(INDEX($L$2:$L$801,MATCH(A259,$K$2:$K$801,0)),"Não verificada"))</f>
        <v/>
      </c>
      <c r="D259" s="11" t="str">
        <f aca="false">IF(AND(A259&lt;&gt;"",C259&lt;&gt;"Tem foto"),MAX(D$1:D258)+1,"")</f>
        <v/>
      </c>
      <c r="F259" s="26" t="str">
        <f aca="false">IF($I$4=0,"",IF(257&lt;=$I$4,"    """&amp;INDEX($A$2:$A$801,MATCH(257,$D$2:$D$801,0))&amp;""",",IF(257=$I$4+1,"]","")))</f>
        <v/>
      </c>
    </row>
    <row r="260" customFormat="false" ht="15" hidden="false" customHeight="false" outlineLevel="0" collapsed="false">
      <c r="A260" s="11" t="str">
        <f aca="false">IF(INVENTÁRIO!A260="","",INVENTÁRIO!A260)</f>
        <v/>
      </c>
      <c r="B260" s="11" t="str">
        <f aca="false">IF(A260="","",INVENTÁRIO!B260)</f>
        <v/>
      </c>
      <c r="C260" s="16" t="str">
        <f aca="false">IF(A260="","",IFERROR(INDEX($L$2:$L$801,MATCH(A260,$K$2:$K$801,0)),"Não verificada"))</f>
        <v/>
      </c>
      <c r="D260" s="11" t="str">
        <f aca="false">IF(AND(A260&lt;&gt;"",C260&lt;&gt;"Tem foto"),MAX(D$1:D259)+1,"")</f>
        <v/>
      </c>
      <c r="F260" s="26" t="str">
        <f aca="false">IF($I$4=0,"",IF(258&lt;=$I$4,"    """&amp;INDEX($A$2:$A$801,MATCH(258,$D$2:$D$801,0))&amp;""",",IF(258=$I$4+1,"]","")))</f>
        <v/>
      </c>
    </row>
    <row r="261" customFormat="false" ht="15" hidden="false" customHeight="false" outlineLevel="0" collapsed="false">
      <c r="A261" s="11" t="str">
        <f aca="false">IF(INVENTÁRIO!A261="","",INVENTÁRIO!A261)</f>
        <v/>
      </c>
      <c r="B261" s="11" t="str">
        <f aca="false">IF(A261="","",INVENTÁRIO!B261)</f>
        <v/>
      </c>
      <c r="C261" s="16" t="str">
        <f aca="false">IF(A261="","",IFERROR(INDEX($L$2:$L$801,MATCH(A261,$K$2:$K$801,0)),"Não verificada"))</f>
        <v/>
      </c>
      <c r="D261" s="11" t="str">
        <f aca="false">IF(AND(A261&lt;&gt;"",C261&lt;&gt;"Tem foto"),MAX(D$1:D260)+1,"")</f>
        <v/>
      </c>
      <c r="F261" s="26" t="str">
        <f aca="false">IF($I$4=0,"",IF(259&lt;=$I$4,"    """&amp;INDEX($A$2:$A$801,MATCH(259,$D$2:$D$801,0))&amp;""",",IF(259=$I$4+1,"]","")))</f>
        <v/>
      </c>
    </row>
    <row r="262" customFormat="false" ht="15" hidden="false" customHeight="false" outlineLevel="0" collapsed="false">
      <c r="A262" s="11" t="str">
        <f aca="false">IF(INVENTÁRIO!A262="","",INVENTÁRIO!A262)</f>
        <v/>
      </c>
      <c r="B262" s="11" t="str">
        <f aca="false">IF(A262="","",INVENTÁRIO!B262)</f>
        <v/>
      </c>
      <c r="C262" s="16" t="str">
        <f aca="false">IF(A262="","",IFERROR(INDEX($L$2:$L$801,MATCH(A262,$K$2:$K$801,0)),"Não verificada"))</f>
        <v/>
      </c>
      <c r="D262" s="11" t="str">
        <f aca="false">IF(AND(A262&lt;&gt;"",C262&lt;&gt;"Tem foto"),MAX(D$1:D261)+1,"")</f>
        <v/>
      </c>
      <c r="F262" s="26" t="str">
        <f aca="false">IF($I$4=0,"",IF(260&lt;=$I$4,"    """&amp;INDEX($A$2:$A$801,MATCH(260,$D$2:$D$801,0))&amp;""",",IF(260=$I$4+1,"]","")))</f>
        <v/>
      </c>
    </row>
    <row r="263" customFormat="false" ht="15" hidden="false" customHeight="false" outlineLevel="0" collapsed="false">
      <c r="A263" s="11" t="str">
        <f aca="false">IF(INVENTÁRIO!A263="","",INVENTÁRIO!A263)</f>
        <v/>
      </c>
      <c r="B263" s="11" t="str">
        <f aca="false">IF(A263="","",INVENTÁRIO!B263)</f>
        <v/>
      </c>
      <c r="C263" s="16" t="str">
        <f aca="false">IF(A263="","",IFERROR(INDEX($L$2:$L$801,MATCH(A263,$K$2:$K$801,0)),"Não verificada"))</f>
        <v/>
      </c>
      <c r="D263" s="11" t="str">
        <f aca="false">IF(AND(A263&lt;&gt;"",C263&lt;&gt;"Tem foto"),MAX(D$1:D262)+1,"")</f>
        <v/>
      </c>
      <c r="F263" s="26" t="str">
        <f aca="false">IF($I$4=0,"",IF(261&lt;=$I$4,"    """&amp;INDEX($A$2:$A$801,MATCH(261,$D$2:$D$801,0))&amp;""",",IF(261=$I$4+1,"]","")))</f>
        <v/>
      </c>
    </row>
    <row r="264" customFormat="false" ht="15" hidden="false" customHeight="false" outlineLevel="0" collapsed="false">
      <c r="A264" s="11" t="str">
        <f aca="false">IF(INVENTÁRIO!A264="","",INVENTÁRIO!A264)</f>
        <v/>
      </c>
      <c r="B264" s="11" t="str">
        <f aca="false">IF(A264="","",INVENTÁRIO!B264)</f>
        <v/>
      </c>
      <c r="C264" s="16" t="str">
        <f aca="false">IF(A264="","",IFERROR(INDEX($L$2:$L$801,MATCH(A264,$K$2:$K$801,0)),"Não verificada"))</f>
        <v/>
      </c>
      <c r="D264" s="11" t="str">
        <f aca="false">IF(AND(A264&lt;&gt;"",C264&lt;&gt;"Tem foto"),MAX(D$1:D263)+1,"")</f>
        <v/>
      </c>
      <c r="F264" s="26" t="str">
        <f aca="false">IF($I$4=0,"",IF(262&lt;=$I$4,"    """&amp;INDEX($A$2:$A$801,MATCH(262,$D$2:$D$801,0))&amp;""",",IF(262=$I$4+1,"]","")))</f>
        <v/>
      </c>
    </row>
    <row r="265" customFormat="false" ht="15" hidden="false" customHeight="false" outlineLevel="0" collapsed="false">
      <c r="A265" s="11" t="str">
        <f aca="false">IF(INVENTÁRIO!A265="","",INVENTÁRIO!A265)</f>
        <v/>
      </c>
      <c r="B265" s="11" t="str">
        <f aca="false">IF(A265="","",INVENTÁRIO!B265)</f>
        <v/>
      </c>
      <c r="C265" s="16" t="str">
        <f aca="false">IF(A265="","",IFERROR(INDEX($L$2:$L$801,MATCH(A265,$K$2:$K$801,0)),"Não verificada"))</f>
        <v/>
      </c>
      <c r="D265" s="11" t="str">
        <f aca="false">IF(AND(A265&lt;&gt;"",C265&lt;&gt;"Tem foto"),MAX(D$1:D264)+1,"")</f>
        <v/>
      </c>
      <c r="F265" s="26" t="str">
        <f aca="false">IF($I$4=0,"",IF(263&lt;=$I$4,"    """&amp;INDEX($A$2:$A$801,MATCH(263,$D$2:$D$801,0))&amp;""",",IF(263=$I$4+1,"]","")))</f>
        <v/>
      </c>
    </row>
    <row r="266" customFormat="false" ht="15" hidden="false" customHeight="false" outlineLevel="0" collapsed="false">
      <c r="A266" s="11" t="str">
        <f aca="false">IF(INVENTÁRIO!A266="","",INVENTÁRIO!A266)</f>
        <v/>
      </c>
      <c r="B266" s="11" t="str">
        <f aca="false">IF(A266="","",INVENTÁRIO!B266)</f>
        <v/>
      </c>
      <c r="C266" s="16" t="str">
        <f aca="false">IF(A266="","",IFERROR(INDEX($L$2:$L$801,MATCH(A266,$K$2:$K$801,0)),"Não verificada"))</f>
        <v/>
      </c>
      <c r="D266" s="11" t="str">
        <f aca="false">IF(AND(A266&lt;&gt;"",C266&lt;&gt;"Tem foto"),MAX(D$1:D265)+1,"")</f>
        <v/>
      </c>
      <c r="F266" s="26" t="str">
        <f aca="false">IF($I$4=0,"",IF(264&lt;=$I$4,"    """&amp;INDEX($A$2:$A$801,MATCH(264,$D$2:$D$801,0))&amp;""",",IF(264=$I$4+1,"]","")))</f>
        <v/>
      </c>
    </row>
    <row r="267" customFormat="false" ht="15" hidden="false" customHeight="false" outlineLevel="0" collapsed="false">
      <c r="A267" s="11" t="str">
        <f aca="false">IF(INVENTÁRIO!A267="","",INVENTÁRIO!A267)</f>
        <v/>
      </c>
      <c r="B267" s="11" t="str">
        <f aca="false">IF(A267="","",INVENTÁRIO!B267)</f>
        <v/>
      </c>
      <c r="C267" s="16" t="str">
        <f aca="false">IF(A267="","",IFERROR(INDEX($L$2:$L$801,MATCH(A267,$K$2:$K$801,0)),"Não verificada"))</f>
        <v/>
      </c>
      <c r="D267" s="11" t="str">
        <f aca="false">IF(AND(A267&lt;&gt;"",C267&lt;&gt;"Tem foto"),MAX(D$1:D266)+1,"")</f>
        <v/>
      </c>
      <c r="F267" s="26" t="str">
        <f aca="false">IF($I$4=0,"",IF(265&lt;=$I$4,"    """&amp;INDEX($A$2:$A$801,MATCH(265,$D$2:$D$801,0))&amp;""",",IF(265=$I$4+1,"]","")))</f>
        <v/>
      </c>
    </row>
    <row r="268" customFormat="false" ht="15" hidden="false" customHeight="false" outlineLevel="0" collapsed="false">
      <c r="A268" s="11" t="str">
        <f aca="false">IF(INVENTÁRIO!A268="","",INVENTÁRIO!A268)</f>
        <v/>
      </c>
      <c r="B268" s="11" t="str">
        <f aca="false">IF(A268="","",INVENTÁRIO!B268)</f>
        <v/>
      </c>
      <c r="C268" s="16" t="str">
        <f aca="false">IF(A268="","",IFERROR(INDEX($L$2:$L$801,MATCH(A268,$K$2:$K$801,0)),"Não verificada"))</f>
        <v/>
      </c>
      <c r="D268" s="11" t="str">
        <f aca="false">IF(AND(A268&lt;&gt;"",C268&lt;&gt;"Tem foto"),MAX(D$1:D267)+1,"")</f>
        <v/>
      </c>
      <c r="F268" s="26" t="str">
        <f aca="false">IF($I$4=0,"",IF(266&lt;=$I$4,"    """&amp;INDEX($A$2:$A$801,MATCH(266,$D$2:$D$801,0))&amp;""",",IF(266=$I$4+1,"]","")))</f>
        <v/>
      </c>
    </row>
    <row r="269" customFormat="false" ht="15" hidden="false" customHeight="false" outlineLevel="0" collapsed="false">
      <c r="A269" s="11" t="str">
        <f aca="false">IF(INVENTÁRIO!A269="","",INVENTÁRIO!A269)</f>
        <v/>
      </c>
      <c r="B269" s="11" t="str">
        <f aca="false">IF(A269="","",INVENTÁRIO!B269)</f>
        <v/>
      </c>
      <c r="C269" s="16" t="str">
        <f aca="false">IF(A269="","",IFERROR(INDEX($L$2:$L$801,MATCH(A269,$K$2:$K$801,0)),"Não verificada"))</f>
        <v/>
      </c>
      <c r="D269" s="11" t="str">
        <f aca="false">IF(AND(A269&lt;&gt;"",C269&lt;&gt;"Tem foto"),MAX(D$1:D268)+1,"")</f>
        <v/>
      </c>
      <c r="F269" s="26" t="str">
        <f aca="false">IF($I$4=0,"",IF(267&lt;=$I$4,"    """&amp;INDEX($A$2:$A$801,MATCH(267,$D$2:$D$801,0))&amp;""",",IF(267=$I$4+1,"]","")))</f>
        <v/>
      </c>
    </row>
    <row r="270" customFormat="false" ht="15" hidden="false" customHeight="false" outlineLevel="0" collapsed="false">
      <c r="A270" s="11" t="str">
        <f aca="false">IF(INVENTÁRIO!A270="","",INVENTÁRIO!A270)</f>
        <v/>
      </c>
      <c r="B270" s="11" t="str">
        <f aca="false">IF(A270="","",INVENTÁRIO!B270)</f>
        <v/>
      </c>
      <c r="C270" s="16" t="str">
        <f aca="false">IF(A270="","",IFERROR(INDEX($L$2:$L$801,MATCH(A270,$K$2:$K$801,0)),"Não verificada"))</f>
        <v/>
      </c>
      <c r="D270" s="11" t="str">
        <f aca="false">IF(AND(A270&lt;&gt;"",C270&lt;&gt;"Tem foto"),MAX(D$1:D269)+1,"")</f>
        <v/>
      </c>
      <c r="F270" s="26" t="str">
        <f aca="false">IF($I$4=0,"",IF(268&lt;=$I$4,"    """&amp;INDEX($A$2:$A$801,MATCH(268,$D$2:$D$801,0))&amp;""",",IF(268=$I$4+1,"]","")))</f>
        <v/>
      </c>
    </row>
    <row r="271" customFormat="false" ht="15" hidden="false" customHeight="false" outlineLevel="0" collapsed="false">
      <c r="A271" s="11" t="str">
        <f aca="false">IF(INVENTÁRIO!A271="","",INVENTÁRIO!A271)</f>
        <v/>
      </c>
      <c r="B271" s="11" t="str">
        <f aca="false">IF(A271="","",INVENTÁRIO!B271)</f>
        <v/>
      </c>
      <c r="C271" s="16" t="str">
        <f aca="false">IF(A271="","",IFERROR(INDEX($L$2:$L$801,MATCH(A271,$K$2:$K$801,0)),"Não verificada"))</f>
        <v/>
      </c>
      <c r="D271" s="11" t="str">
        <f aca="false">IF(AND(A271&lt;&gt;"",C271&lt;&gt;"Tem foto"),MAX(D$1:D270)+1,"")</f>
        <v/>
      </c>
      <c r="F271" s="26" t="str">
        <f aca="false">IF($I$4=0,"",IF(269&lt;=$I$4,"    """&amp;INDEX($A$2:$A$801,MATCH(269,$D$2:$D$801,0))&amp;""",",IF(269=$I$4+1,"]","")))</f>
        <v/>
      </c>
    </row>
    <row r="272" customFormat="false" ht="15" hidden="false" customHeight="false" outlineLevel="0" collapsed="false">
      <c r="A272" s="11" t="str">
        <f aca="false">IF(INVENTÁRIO!A272="","",INVENTÁRIO!A272)</f>
        <v/>
      </c>
      <c r="B272" s="11" t="str">
        <f aca="false">IF(A272="","",INVENTÁRIO!B272)</f>
        <v/>
      </c>
      <c r="C272" s="16" t="str">
        <f aca="false">IF(A272="","",IFERROR(INDEX($L$2:$L$801,MATCH(A272,$K$2:$K$801,0)),"Não verificada"))</f>
        <v/>
      </c>
      <c r="D272" s="11" t="str">
        <f aca="false">IF(AND(A272&lt;&gt;"",C272&lt;&gt;"Tem foto"),MAX(D$1:D271)+1,"")</f>
        <v/>
      </c>
      <c r="F272" s="26" t="str">
        <f aca="false">IF($I$4=0,"",IF(270&lt;=$I$4,"    """&amp;INDEX($A$2:$A$801,MATCH(270,$D$2:$D$801,0))&amp;""",",IF(270=$I$4+1,"]","")))</f>
        <v/>
      </c>
    </row>
    <row r="273" customFormat="false" ht="15" hidden="false" customHeight="false" outlineLevel="0" collapsed="false">
      <c r="A273" s="11" t="str">
        <f aca="false">IF(INVENTÁRIO!A273="","",INVENTÁRIO!A273)</f>
        <v/>
      </c>
      <c r="B273" s="11" t="str">
        <f aca="false">IF(A273="","",INVENTÁRIO!B273)</f>
        <v/>
      </c>
      <c r="C273" s="16" t="str">
        <f aca="false">IF(A273="","",IFERROR(INDEX($L$2:$L$801,MATCH(A273,$K$2:$K$801,0)),"Não verificada"))</f>
        <v/>
      </c>
      <c r="D273" s="11" t="str">
        <f aca="false">IF(AND(A273&lt;&gt;"",C273&lt;&gt;"Tem foto"),MAX(D$1:D272)+1,"")</f>
        <v/>
      </c>
      <c r="F273" s="26" t="str">
        <f aca="false">IF($I$4=0,"",IF(271&lt;=$I$4,"    """&amp;INDEX($A$2:$A$801,MATCH(271,$D$2:$D$801,0))&amp;""",",IF(271=$I$4+1,"]","")))</f>
        <v/>
      </c>
    </row>
    <row r="274" customFormat="false" ht="15" hidden="false" customHeight="false" outlineLevel="0" collapsed="false">
      <c r="A274" s="11" t="str">
        <f aca="false">IF(INVENTÁRIO!A274="","",INVENTÁRIO!A274)</f>
        <v/>
      </c>
      <c r="B274" s="11" t="str">
        <f aca="false">IF(A274="","",INVENTÁRIO!B274)</f>
        <v/>
      </c>
      <c r="C274" s="16" t="str">
        <f aca="false">IF(A274="","",IFERROR(INDEX($L$2:$L$801,MATCH(A274,$K$2:$K$801,0)),"Não verificada"))</f>
        <v/>
      </c>
      <c r="D274" s="11" t="str">
        <f aca="false">IF(AND(A274&lt;&gt;"",C274&lt;&gt;"Tem foto"),MAX(D$1:D273)+1,"")</f>
        <v/>
      </c>
      <c r="F274" s="26" t="str">
        <f aca="false">IF($I$4=0,"",IF(272&lt;=$I$4,"    """&amp;INDEX($A$2:$A$801,MATCH(272,$D$2:$D$801,0))&amp;""",",IF(272=$I$4+1,"]","")))</f>
        <v/>
      </c>
    </row>
    <row r="275" customFormat="false" ht="15" hidden="false" customHeight="false" outlineLevel="0" collapsed="false">
      <c r="A275" s="11" t="str">
        <f aca="false">IF(INVENTÁRIO!A275="","",INVENTÁRIO!A275)</f>
        <v/>
      </c>
      <c r="B275" s="11" t="str">
        <f aca="false">IF(A275="","",INVENTÁRIO!B275)</f>
        <v/>
      </c>
      <c r="C275" s="16" t="str">
        <f aca="false">IF(A275="","",IFERROR(INDEX($L$2:$L$801,MATCH(A275,$K$2:$K$801,0)),"Não verificada"))</f>
        <v/>
      </c>
      <c r="D275" s="11" t="str">
        <f aca="false">IF(AND(A275&lt;&gt;"",C275&lt;&gt;"Tem foto"),MAX(D$1:D274)+1,"")</f>
        <v/>
      </c>
      <c r="F275" s="26" t="str">
        <f aca="false">IF($I$4=0,"",IF(273&lt;=$I$4,"    """&amp;INDEX($A$2:$A$801,MATCH(273,$D$2:$D$801,0))&amp;""",",IF(273=$I$4+1,"]","")))</f>
        <v/>
      </c>
    </row>
    <row r="276" customFormat="false" ht="15" hidden="false" customHeight="false" outlineLevel="0" collapsed="false">
      <c r="A276" s="11" t="str">
        <f aca="false">IF(INVENTÁRIO!A276="","",INVENTÁRIO!A276)</f>
        <v/>
      </c>
      <c r="B276" s="11" t="str">
        <f aca="false">IF(A276="","",INVENTÁRIO!B276)</f>
        <v/>
      </c>
      <c r="C276" s="16" t="str">
        <f aca="false">IF(A276="","",IFERROR(INDEX($L$2:$L$801,MATCH(A276,$K$2:$K$801,0)),"Não verificada"))</f>
        <v/>
      </c>
      <c r="D276" s="11" t="str">
        <f aca="false">IF(AND(A276&lt;&gt;"",C276&lt;&gt;"Tem foto"),MAX(D$1:D275)+1,"")</f>
        <v/>
      </c>
      <c r="F276" s="26" t="str">
        <f aca="false">IF($I$4=0,"",IF(274&lt;=$I$4,"    """&amp;INDEX($A$2:$A$801,MATCH(274,$D$2:$D$801,0))&amp;""",",IF(274=$I$4+1,"]","")))</f>
        <v/>
      </c>
    </row>
    <row r="277" customFormat="false" ht="15" hidden="false" customHeight="false" outlineLevel="0" collapsed="false">
      <c r="A277" s="11" t="str">
        <f aca="false">IF(INVENTÁRIO!A277="","",INVENTÁRIO!A277)</f>
        <v/>
      </c>
      <c r="B277" s="11" t="str">
        <f aca="false">IF(A277="","",INVENTÁRIO!B277)</f>
        <v/>
      </c>
      <c r="C277" s="16" t="str">
        <f aca="false">IF(A277="","",IFERROR(INDEX($L$2:$L$801,MATCH(A277,$K$2:$K$801,0)),"Não verificada"))</f>
        <v/>
      </c>
      <c r="D277" s="11" t="str">
        <f aca="false">IF(AND(A277&lt;&gt;"",C277&lt;&gt;"Tem foto"),MAX(D$1:D276)+1,"")</f>
        <v/>
      </c>
      <c r="F277" s="26" t="str">
        <f aca="false">IF($I$4=0,"",IF(275&lt;=$I$4,"    """&amp;INDEX($A$2:$A$801,MATCH(275,$D$2:$D$801,0))&amp;""",",IF(275=$I$4+1,"]","")))</f>
        <v/>
      </c>
    </row>
    <row r="278" customFormat="false" ht="15" hidden="false" customHeight="false" outlineLevel="0" collapsed="false">
      <c r="A278" s="11" t="str">
        <f aca="false">IF(INVENTÁRIO!A278="","",INVENTÁRIO!A278)</f>
        <v/>
      </c>
      <c r="B278" s="11" t="str">
        <f aca="false">IF(A278="","",INVENTÁRIO!B278)</f>
        <v/>
      </c>
      <c r="C278" s="16" t="str">
        <f aca="false">IF(A278="","",IFERROR(INDEX($L$2:$L$801,MATCH(A278,$K$2:$K$801,0)),"Não verificada"))</f>
        <v/>
      </c>
      <c r="D278" s="11" t="str">
        <f aca="false">IF(AND(A278&lt;&gt;"",C278&lt;&gt;"Tem foto"),MAX(D$1:D277)+1,"")</f>
        <v/>
      </c>
      <c r="F278" s="26" t="str">
        <f aca="false">IF($I$4=0,"",IF(276&lt;=$I$4,"    """&amp;INDEX($A$2:$A$801,MATCH(276,$D$2:$D$801,0))&amp;""",",IF(276=$I$4+1,"]","")))</f>
        <v/>
      </c>
    </row>
    <row r="279" customFormat="false" ht="15" hidden="false" customHeight="false" outlineLevel="0" collapsed="false">
      <c r="A279" s="11" t="str">
        <f aca="false">IF(INVENTÁRIO!A279="","",INVENTÁRIO!A279)</f>
        <v/>
      </c>
      <c r="B279" s="11" t="str">
        <f aca="false">IF(A279="","",INVENTÁRIO!B279)</f>
        <v/>
      </c>
      <c r="C279" s="16" t="str">
        <f aca="false">IF(A279="","",IFERROR(INDEX($L$2:$L$801,MATCH(A279,$K$2:$K$801,0)),"Não verificada"))</f>
        <v/>
      </c>
      <c r="D279" s="11" t="str">
        <f aca="false">IF(AND(A279&lt;&gt;"",C279&lt;&gt;"Tem foto"),MAX(D$1:D278)+1,"")</f>
        <v/>
      </c>
      <c r="F279" s="26" t="str">
        <f aca="false">IF($I$4=0,"",IF(277&lt;=$I$4,"    """&amp;INDEX($A$2:$A$801,MATCH(277,$D$2:$D$801,0))&amp;""",",IF(277=$I$4+1,"]","")))</f>
        <v/>
      </c>
    </row>
    <row r="280" customFormat="false" ht="15" hidden="false" customHeight="false" outlineLevel="0" collapsed="false">
      <c r="A280" s="11" t="str">
        <f aca="false">IF(INVENTÁRIO!A280="","",INVENTÁRIO!A280)</f>
        <v/>
      </c>
      <c r="B280" s="11" t="str">
        <f aca="false">IF(A280="","",INVENTÁRIO!B280)</f>
        <v/>
      </c>
      <c r="C280" s="16" t="str">
        <f aca="false">IF(A280="","",IFERROR(INDEX($L$2:$L$801,MATCH(A280,$K$2:$K$801,0)),"Não verificada"))</f>
        <v/>
      </c>
      <c r="D280" s="11" t="str">
        <f aca="false">IF(AND(A280&lt;&gt;"",C280&lt;&gt;"Tem foto"),MAX(D$1:D279)+1,"")</f>
        <v/>
      </c>
      <c r="F280" s="26" t="str">
        <f aca="false">IF($I$4=0,"",IF(278&lt;=$I$4,"    """&amp;INDEX($A$2:$A$801,MATCH(278,$D$2:$D$801,0))&amp;""",",IF(278=$I$4+1,"]","")))</f>
        <v/>
      </c>
    </row>
    <row r="281" customFormat="false" ht="15" hidden="false" customHeight="false" outlineLevel="0" collapsed="false">
      <c r="A281" s="11" t="str">
        <f aca="false">IF(INVENTÁRIO!A281="","",INVENTÁRIO!A281)</f>
        <v/>
      </c>
      <c r="B281" s="11" t="str">
        <f aca="false">IF(A281="","",INVENTÁRIO!B281)</f>
        <v/>
      </c>
      <c r="C281" s="16" t="str">
        <f aca="false">IF(A281="","",IFERROR(INDEX($L$2:$L$801,MATCH(A281,$K$2:$K$801,0)),"Não verificada"))</f>
        <v/>
      </c>
      <c r="D281" s="11" t="str">
        <f aca="false">IF(AND(A281&lt;&gt;"",C281&lt;&gt;"Tem foto"),MAX(D$1:D280)+1,"")</f>
        <v/>
      </c>
      <c r="F281" s="26" t="str">
        <f aca="false">IF($I$4=0,"",IF(279&lt;=$I$4,"    """&amp;INDEX($A$2:$A$801,MATCH(279,$D$2:$D$801,0))&amp;""",",IF(279=$I$4+1,"]","")))</f>
        <v/>
      </c>
    </row>
    <row r="282" customFormat="false" ht="15" hidden="false" customHeight="false" outlineLevel="0" collapsed="false">
      <c r="A282" s="11" t="str">
        <f aca="false">IF(INVENTÁRIO!A282="","",INVENTÁRIO!A282)</f>
        <v/>
      </c>
      <c r="B282" s="11" t="str">
        <f aca="false">IF(A282="","",INVENTÁRIO!B282)</f>
        <v/>
      </c>
      <c r="C282" s="16" t="str">
        <f aca="false">IF(A282="","",IFERROR(INDEX($L$2:$L$801,MATCH(A282,$K$2:$K$801,0)),"Não verificada"))</f>
        <v/>
      </c>
      <c r="D282" s="11" t="str">
        <f aca="false">IF(AND(A282&lt;&gt;"",C282&lt;&gt;"Tem foto"),MAX(D$1:D281)+1,"")</f>
        <v/>
      </c>
      <c r="F282" s="26" t="str">
        <f aca="false">IF($I$4=0,"",IF(280&lt;=$I$4,"    """&amp;INDEX($A$2:$A$801,MATCH(280,$D$2:$D$801,0))&amp;""",",IF(280=$I$4+1,"]","")))</f>
        <v/>
      </c>
    </row>
    <row r="283" customFormat="false" ht="15" hidden="false" customHeight="false" outlineLevel="0" collapsed="false">
      <c r="A283" s="11" t="str">
        <f aca="false">IF(INVENTÁRIO!A283="","",INVENTÁRIO!A283)</f>
        <v/>
      </c>
      <c r="B283" s="11" t="str">
        <f aca="false">IF(A283="","",INVENTÁRIO!B283)</f>
        <v/>
      </c>
      <c r="C283" s="16" t="str">
        <f aca="false">IF(A283="","",IFERROR(INDEX($L$2:$L$801,MATCH(A283,$K$2:$K$801,0)),"Não verificada"))</f>
        <v/>
      </c>
      <c r="D283" s="11" t="str">
        <f aca="false">IF(AND(A283&lt;&gt;"",C283&lt;&gt;"Tem foto"),MAX(D$1:D282)+1,"")</f>
        <v/>
      </c>
      <c r="F283" s="26" t="str">
        <f aca="false">IF($I$4=0,"",IF(281&lt;=$I$4,"    """&amp;INDEX($A$2:$A$801,MATCH(281,$D$2:$D$801,0))&amp;""",",IF(281=$I$4+1,"]","")))</f>
        <v/>
      </c>
    </row>
    <row r="284" customFormat="false" ht="15" hidden="false" customHeight="false" outlineLevel="0" collapsed="false">
      <c r="A284" s="11" t="str">
        <f aca="false">IF(INVENTÁRIO!A284="","",INVENTÁRIO!A284)</f>
        <v/>
      </c>
      <c r="B284" s="11" t="str">
        <f aca="false">IF(A284="","",INVENTÁRIO!B284)</f>
        <v/>
      </c>
      <c r="C284" s="16" t="str">
        <f aca="false">IF(A284="","",IFERROR(INDEX($L$2:$L$801,MATCH(A284,$K$2:$K$801,0)),"Não verificada"))</f>
        <v/>
      </c>
      <c r="D284" s="11" t="str">
        <f aca="false">IF(AND(A284&lt;&gt;"",C284&lt;&gt;"Tem foto"),MAX(D$1:D283)+1,"")</f>
        <v/>
      </c>
      <c r="F284" s="26" t="str">
        <f aca="false">IF($I$4=0,"",IF(282&lt;=$I$4,"    """&amp;INDEX($A$2:$A$801,MATCH(282,$D$2:$D$801,0))&amp;""",",IF(282=$I$4+1,"]","")))</f>
        <v/>
      </c>
    </row>
    <row r="285" customFormat="false" ht="15" hidden="false" customHeight="false" outlineLevel="0" collapsed="false">
      <c r="A285" s="11" t="str">
        <f aca="false">IF(INVENTÁRIO!A285="","",INVENTÁRIO!A285)</f>
        <v/>
      </c>
      <c r="B285" s="11" t="str">
        <f aca="false">IF(A285="","",INVENTÁRIO!B285)</f>
        <v/>
      </c>
      <c r="C285" s="16" t="str">
        <f aca="false">IF(A285="","",IFERROR(INDEX($L$2:$L$801,MATCH(A285,$K$2:$K$801,0)),"Não verificada"))</f>
        <v/>
      </c>
      <c r="D285" s="11" t="str">
        <f aca="false">IF(AND(A285&lt;&gt;"",C285&lt;&gt;"Tem foto"),MAX(D$1:D284)+1,"")</f>
        <v/>
      </c>
      <c r="F285" s="26" t="str">
        <f aca="false">IF($I$4=0,"",IF(283&lt;=$I$4,"    """&amp;INDEX($A$2:$A$801,MATCH(283,$D$2:$D$801,0))&amp;""",",IF(283=$I$4+1,"]","")))</f>
        <v/>
      </c>
    </row>
    <row r="286" customFormat="false" ht="15" hidden="false" customHeight="false" outlineLevel="0" collapsed="false">
      <c r="A286" s="11" t="str">
        <f aca="false">IF(INVENTÁRIO!A286="","",INVENTÁRIO!A286)</f>
        <v/>
      </c>
      <c r="B286" s="11" t="str">
        <f aca="false">IF(A286="","",INVENTÁRIO!B286)</f>
        <v/>
      </c>
      <c r="C286" s="16" t="str">
        <f aca="false">IF(A286="","",IFERROR(INDEX($L$2:$L$801,MATCH(A286,$K$2:$K$801,0)),"Não verificada"))</f>
        <v/>
      </c>
      <c r="D286" s="11" t="str">
        <f aca="false">IF(AND(A286&lt;&gt;"",C286&lt;&gt;"Tem foto"),MAX(D$1:D285)+1,"")</f>
        <v/>
      </c>
      <c r="F286" s="26" t="str">
        <f aca="false">IF($I$4=0,"",IF(284&lt;=$I$4,"    """&amp;INDEX($A$2:$A$801,MATCH(284,$D$2:$D$801,0))&amp;""",",IF(284=$I$4+1,"]","")))</f>
        <v/>
      </c>
    </row>
    <row r="287" customFormat="false" ht="15" hidden="false" customHeight="false" outlineLevel="0" collapsed="false">
      <c r="A287" s="11" t="str">
        <f aca="false">IF(INVENTÁRIO!A287="","",INVENTÁRIO!A287)</f>
        <v/>
      </c>
      <c r="B287" s="11" t="str">
        <f aca="false">IF(A287="","",INVENTÁRIO!B287)</f>
        <v/>
      </c>
      <c r="C287" s="16" t="str">
        <f aca="false">IF(A287="","",IFERROR(INDEX($L$2:$L$801,MATCH(A287,$K$2:$K$801,0)),"Não verificada"))</f>
        <v/>
      </c>
      <c r="D287" s="11" t="str">
        <f aca="false">IF(AND(A287&lt;&gt;"",C287&lt;&gt;"Tem foto"),MAX(D$1:D286)+1,"")</f>
        <v/>
      </c>
      <c r="F287" s="26" t="str">
        <f aca="false">IF($I$4=0,"",IF(285&lt;=$I$4,"    """&amp;INDEX($A$2:$A$801,MATCH(285,$D$2:$D$801,0))&amp;""",",IF(285=$I$4+1,"]","")))</f>
        <v/>
      </c>
    </row>
    <row r="288" customFormat="false" ht="15" hidden="false" customHeight="false" outlineLevel="0" collapsed="false">
      <c r="A288" s="11" t="str">
        <f aca="false">IF(INVENTÁRIO!A288="","",INVENTÁRIO!A288)</f>
        <v/>
      </c>
      <c r="B288" s="11" t="str">
        <f aca="false">IF(A288="","",INVENTÁRIO!B288)</f>
        <v/>
      </c>
      <c r="C288" s="16" t="str">
        <f aca="false">IF(A288="","",IFERROR(INDEX($L$2:$L$801,MATCH(A288,$K$2:$K$801,0)),"Não verificada"))</f>
        <v/>
      </c>
      <c r="D288" s="11" t="str">
        <f aca="false">IF(AND(A288&lt;&gt;"",C288&lt;&gt;"Tem foto"),MAX(D$1:D287)+1,"")</f>
        <v/>
      </c>
      <c r="F288" s="26" t="str">
        <f aca="false">IF($I$4=0,"",IF(286&lt;=$I$4,"    """&amp;INDEX($A$2:$A$801,MATCH(286,$D$2:$D$801,0))&amp;""",",IF(286=$I$4+1,"]","")))</f>
        <v/>
      </c>
    </row>
    <row r="289" customFormat="false" ht="15" hidden="false" customHeight="false" outlineLevel="0" collapsed="false">
      <c r="A289" s="11" t="str">
        <f aca="false">IF(INVENTÁRIO!A289="","",INVENTÁRIO!A289)</f>
        <v/>
      </c>
      <c r="B289" s="11" t="str">
        <f aca="false">IF(A289="","",INVENTÁRIO!B289)</f>
        <v/>
      </c>
      <c r="C289" s="16" t="str">
        <f aca="false">IF(A289="","",IFERROR(INDEX($L$2:$L$801,MATCH(A289,$K$2:$K$801,0)),"Não verificada"))</f>
        <v/>
      </c>
      <c r="D289" s="11" t="str">
        <f aca="false">IF(AND(A289&lt;&gt;"",C289&lt;&gt;"Tem foto"),MAX(D$1:D288)+1,"")</f>
        <v/>
      </c>
      <c r="F289" s="26" t="str">
        <f aca="false">IF($I$4=0,"",IF(287&lt;=$I$4,"    """&amp;INDEX($A$2:$A$801,MATCH(287,$D$2:$D$801,0))&amp;""",",IF(287=$I$4+1,"]","")))</f>
        <v/>
      </c>
    </row>
    <row r="290" customFormat="false" ht="15" hidden="false" customHeight="false" outlineLevel="0" collapsed="false">
      <c r="A290" s="11" t="str">
        <f aca="false">IF(INVENTÁRIO!A290="","",INVENTÁRIO!A290)</f>
        <v/>
      </c>
      <c r="B290" s="11" t="str">
        <f aca="false">IF(A290="","",INVENTÁRIO!B290)</f>
        <v/>
      </c>
      <c r="C290" s="16" t="str">
        <f aca="false">IF(A290="","",IFERROR(INDEX($L$2:$L$801,MATCH(A290,$K$2:$K$801,0)),"Não verificada"))</f>
        <v/>
      </c>
      <c r="D290" s="11" t="str">
        <f aca="false">IF(AND(A290&lt;&gt;"",C290&lt;&gt;"Tem foto"),MAX(D$1:D289)+1,"")</f>
        <v/>
      </c>
      <c r="F290" s="26" t="str">
        <f aca="false">IF($I$4=0,"",IF(288&lt;=$I$4,"    """&amp;INDEX($A$2:$A$801,MATCH(288,$D$2:$D$801,0))&amp;""",",IF(288=$I$4+1,"]","")))</f>
        <v/>
      </c>
    </row>
    <row r="291" customFormat="false" ht="15" hidden="false" customHeight="false" outlineLevel="0" collapsed="false">
      <c r="A291" s="11" t="str">
        <f aca="false">IF(INVENTÁRIO!A291="","",INVENTÁRIO!A291)</f>
        <v/>
      </c>
      <c r="B291" s="11" t="str">
        <f aca="false">IF(A291="","",INVENTÁRIO!B291)</f>
        <v/>
      </c>
      <c r="C291" s="16" t="str">
        <f aca="false">IF(A291="","",IFERROR(INDEX($L$2:$L$801,MATCH(A291,$K$2:$K$801,0)),"Não verificada"))</f>
        <v/>
      </c>
      <c r="D291" s="11" t="str">
        <f aca="false">IF(AND(A291&lt;&gt;"",C291&lt;&gt;"Tem foto"),MAX(D$1:D290)+1,"")</f>
        <v/>
      </c>
      <c r="F291" s="26" t="str">
        <f aca="false">IF($I$4=0,"",IF(289&lt;=$I$4,"    """&amp;INDEX($A$2:$A$801,MATCH(289,$D$2:$D$801,0))&amp;""",",IF(289=$I$4+1,"]","")))</f>
        <v/>
      </c>
    </row>
    <row r="292" customFormat="false" ht="15" hidden="false" customHeight="false" outlineLevel="0" collapsed="false">
      <c r="A292" s="11" t="str">
        <f aca="false">IF(INVENTÁRIO!A292="","",INVENTÁRIO!A292)</f>
        <v/>
      </c>
      <c r="B292" s="11" t="str">
        <f aca="false">IF(A292="","",INVENTÁRIO!B292)</f>
        <v/>
      </c>
      <c r="C292" s="16" t="str">
        <f aca="false">IF(A292="","",IFERROR(INDEX($L$2:$L$801,MATCH(A292,$K$2:$K$801,0)),"Não verificada"))</f>
        <v/>
      </c>
      <c r="D292" s="11" t="str">
        <f aca="false">IF(AND(A292&lt;&gt;"",C292&lt;&gt;"Tem foto"),MAX(D$1:D291)+1,"")</f>
        <v/>
      </c>
      <c r="F292" s="26" t="str">
        <f aca="false">IF($I$4=0,"",IF(290&lt;=$I$4,"    """&amp;INDEX($A$2:$A$801,MATCH(290,$D$2:$D$801,0))&amp;""",",IF(290=$I$4+1,"]","")))</f>
        <v/>
      </c>
    </row>
    <row r="293" customFormat="false" ht="15" hidden="false" customHeight="false" outlineLevel="0" collapsed="false">
      <c r="A293" s="11" t="str">
        <f aca="false">IF(INVENTÁRIO!A293="","",INVENTÁRIO!A293)</f>
        <v/>
      </c>
      <c r="B293" s="11" t="str">
        <f aca="false">IF(A293="","",INVENTÁRIO!B293)</f>
        <v/>
      </c>
      <c r="C293" s="16" t="str">
        <f aca="false">IF(A293="","",IFERROR(INDEX($L$2:$L$801,MATCH(A293,$K$2:$K$801,0)),"Não verificada"))</f>
        <v/>
      </c>
      <c r="D293" s="11" t="str">
        <f aca="false">IF(AND(A293&lt;&gt;"",C293&lt;&gt;"Tem foto"),MAX(D$1:D292)+1,"")</f>
        <v/>
      </c>
      <c r="F293" s="26" t="str">
        <f aca="false">IF($I$4=0,"",IF(291&lt;=$I$4,"    """&amp;INDEX($A$2:$A$801,MATCH(291,$D$2:$D$801,0))&amp;""",",IF(291=$I$4+1,"]","")))</f>
        <v/>
      </c>
    </row>
    <row r="294" customFormat="false" ht="15" hidden="false" customHeight="false" outlineLevel="0" collapsed="false">
      <c r="A294" s="11" t="str">
        <f aca="false">IF(INVENTÁRIO!A294="","",INVENTÁRIO!A294)</f>
        <v/>
      </c>
      <c r="B294" s="11" t="str">
        <f aca="false">IF(A294="","",INVENTÁRIO!B294)</f>
        <v/>
      </c>
      <c r="C294" s="16" t="str">
        <f aca="false">IF(A294="","",IFERROR(INDEX($L$2:$L$801,MATCH(A294,$K$2:$K$801,0)),"Não verificada"))</f>
        <v/>
      </c>
      <c r="D294" s="11" t="str">
        <f aca="false">IF(AND(A294&lt;&gt;"",C294&lt;&gt;"Tem foto"),MAX(D$1:D293)+1,"")</f>
        <v/>
      </c>
      <c r="F294" s="26" t="str">
        <f aca="false">IF($I$4=0,"",IF(292&lt;=$I$4,"    """&amp;INDEX($A$2:$A$801,MATCH(292,$D$2:$D$801,0))&amp;""",",IF(292=$I$4+1,"]","")))</f>
        <v/>
      </c>
    </row>
    <row r="295" customFormat="false" ht="15" hidden="false" customHeight="false" outlineLevel="0" collapsed="false">
      <c r="A295" s="11" t="str">
        <f aca="false">IF(INVENTÁRIO!A295="","",INVENTÁRIO!A295)</f>
        <v/>
      </c>
      <c r="B295" s="11" t="str">
        <f aca="false">IF(A295="","",INVENTÁRIO!B295)</f>
        <v/>
      </c>
      <c r="C295" s="16" t="str">
        <f aca="false">IF(A295="","",IFERROR(INDEX($L$2:$L$801,MATCH(A295,$K$2:$K$801,0)),"Não verificada"))</f>
        <v/>
      </c>
      <c r="D295" s="11" t="str">
        <f aca="false">IF(AND(A295&lt;&gt;"",C295&lt;&gt;"Tem foto"),MAX(D$1:D294)+1,"")</f>
        <v/>
      </c>
      <c r="F295" s="26" t="str">
        <f aca="false">IF($I$4=0,"",IF(293&lt;=$I$4,"    """&amp;INDEX($A$2:$A$801,MATCH(293,$D$2:$D$801,0))&amp;""",",IF(293=$I$4+1,"]","")))</f>
        <v/>
      </c>
    </row>
    <row r="296" customFormat="false" ht="15" hidden="false" customHeight="false" outlineLevel="0" collapsed="false">
      <c r="A296" s="11" t="str">
        <f aca="false">IF(INVENTÁRIO!A296="","",INVENTÁRIO!A296)</f>
        <v/>
      </c>
      <c r="B296" s="11" t="str">
        <f aca="false">IF(A296="","",INVENTÁRIO!B296)</f>
        <v/>
      </c>
      <c r="C296" s="16" t="str">
        <f aca="false">IF(A296="","",IFERROR(INDEX($L$2:$L$801,MATCH(A296,$K$2:$K$801,0)),"Não verificada"))</f>
        <v/>
      </c>
      <c r="D296" s="11" t="str">
        <f aca="false">IF(AND(A296&lt;&gt;"",C296&lt;&gt;"Tem foto"),MAX(D$1:D295)+1,"")</f>
        <v/>
      </c>
      <c r="F296" s="26" t="str">
        <f aca="false">IF($I$4=0,"",IF(294&lt;=$I$4,"    """&amp;INDEX($A$2:$A$801,MATCH(294,$D$2:$D$801,0))&amp;""",",IF(294=$I$4+1,"]","")))</f>
        <v/>
      </c>
    </row>
    <row r="297" customFormat="false" ht="15" hidden="false" customHeight="false" outlineLevel="0" collapsed="false">
      <c r="A297" s="11" t="str">
        <f aca="false">IF(INVENTÁRIO!A297="","",INVENTÁRIO!A297)</f>
        <v/>
      </c>
      <c r="B297" s="11" t="str">
        <f aca="false">IF(A297="","",INVENTÁRIO!B297)</f>
        <v/>
      </c>
      <c r="C297" s="16" t="str">
        <f aca="false">IF(A297="","",IFERROR(INDEX($L$2:$L$801,MATCH(A297,$K$2:$K$801,0)),"Não verificada"))</f>
        <v/>
      </c>
      <c r="D297" s="11" t="str">
        <f aca="false">IF(AND(A297&lt;&gt;"",C297&lt;&gt;"Tem foto"),MAX(D$1:D296)+1,"")</f>
        <v/>
      </c>
      <c r="F297" s="26" t="str">
        <f aca="false">IF($I$4=0,"",IF(295&lt;=$I$4,"    """&amp;INDEX($A$2:$A$801,MATCH(295,$D$2:$D$801,0))&amp;""",",IF(295=$I$4+1,"]","")))</f>
        <v/>
      </c>
    </row>
    <row r="298" customFormat="false" ht="15" hidden="false" customHeight="false" outlineLevel="0" collapsed="false">
      <c r="A298" s="11" t="str">
        <f aca="false">IF(INVENTÁRIO!A298="","",INVENTÁRIO!A298)</f>
        <v/>
      </c>
      <c r="B298" s="11" t="str">
        <f aca="false">IF(A298="","",INVENTÁRIO!B298)</f>
        <v/>
      </c>
      <c r="C298" s="16" t="str">
        <f aca="false">IF(A298="","",IFERROR(INDEX($L$2:$L$801,MATCH(A298,$K$2:$K$801,0)),"Não verificada"))</f>
        <v/>
      </c>
      <c r="D298" s="11" t="str">
        <f aca="false">IF(AND(A298&lt;&gt;"",C298&lt;&gt;"Tem foto"),MAX(D$1:D297)+1,"")</f>
        <v/>
      </c>
      <c r="F298" s="26" t="str">
        <f aca="false">IF($I$4=0,"",IF(296&lt;=$I$4,"    """&amp;INDEX($A$2:$A$801,MATCH(296,$D$2:$D$801,0))&amp;""",",IF(296=$I$4+1,"]","")))</f>
        <v/>
      </c>
    </row>
    <row r="299" customFormat="false" ht="15" hidden="false" customHeight="false" outlineLevel="0" collapsed="false">
      <c r="A299" s="11" t="str">
        <f aca="false">IF(INVENTÁRIO!A299="","",INVENTÁRIO!A299)</f>
        <v/>
      </c>
      <c r="B299" s="11" t="str">
        <f aca="false">IF(A299="","",INVENTÁRIO!B299)</f>
        <v/>
      </c>
      <c r="C299" s="16" t="str">
        <f aca="false">IF(A299="","",IFERROR(INDEX($L$2:$L$801,MATCH(A299,$K$2:$K$801,0)),"Não verificada"))</f>
        <v/>
      </c>
      <c r="D299" s="11" t="str">
        <f aca="false">IF(AND(A299&lt;&gt;"",C299&lt;&gt;"Tem foto"),MAX(D$1:D298)+1,"")</f>
        <v/>
      </c>
      <c r="F299" s="26" t="str">
        <f aca="false">IF($I$4=0,"",IF(297&lt;=$I$4,"    """&amp;INDEX($A$2:$A$801,MATCH(297,$D$2:$D$801,0))&amp;""",",IF(297=$I$4+1,"]","")))</f>
        <v/>
      </c>
    </row>
    <row r="300" customFormat="false" ht="15" hidden="false" customHeight="false" outlineLevel="0" collapsed="false">
      <c r="A300" s="11" t="str">
        <f aca="false">IF(INVENTÁRIO!A300="","",INVENTÁRIO!A300)</f>
        <v/>
      </c>
      <c r="B300" s="11" t="str">
        <f aca="false">IF(A300="","",INVENTÁRIO!B300)</f>
        <v/>
      </c>
      <c r="C300" s="16" t="str">
        <f aca="false">IF(A300="","",IFERROR(INDEX($L$2:$L$801,MATCH(A300,$K$2:$K$801,0)),"Não verificada"))</f>
        <v/>
      </c>
      <c r="D300" s="11" t="str">
        <f aca="false">IF(AND(A300&lt;&gt;"",C300&lt;&gt;"Tem foto"),MAX(D$1:D299)+1,"")</f>
        <v/>
      </c>
      <c r="F300" s="26" t="str">
        <f aca="false">IF($I$4=0,"",IF(298&lt;=$I$4,"    """&amp;INDEX($A$2:$A$801,MATCH(298,$D$2:$D$801,0))&amp;""",",IF(298=$I$4+1,"]","")))</f>
        <v/>
      </c>
    </row>
    <row r="301" customFormat="false" ht="15" hidden="false" customHeight="false" outlineLevel="0" collapsed="false">
      <c r="A301" s="11" t="str">
        <f aca="false">IF(INVENTÁRIO!A301="","",INVENTÁRIO!A301)</f>
        <v/>
      </c>
      <c r="B301" s="11" t="str">
        <f aca="false">IF(A301="","",INVENTÁRIO!B301)</f>
        <v/>
      </c>
      <c r="C301" s="16" t="str">
        <f aca="false">IF(A301="","",IFERROR(INDEX($L$2:$L$801,MATCH(A301,$K$2:$K$801,0)),"Não verificada"))</f>
        <v/>
      </c>
      <c r="D301" s="11" t="str">
        <f aca="false">IF(AND(A301&lt;&gt;"",C301&lt;&gt;"Tem foto"),MAX(D$1:D300)+1,"")</f>
        <v/>
      </c>
      <c r="F301" s="26" t="str">
        <f aca="false">IF($I$4=0,"",IF(299&lt;=$I$4,"    """&amp;INDEX($A$2:$A$801,MATCH(299,$D$2:$D$801,0))&amp;""",",IF(299=$I$4+1,"]","")))</f>
        <v/>
      </c>
    </row>
    <row r="302" customFormat="false" ht="15" hidden="false" customHeight="false" outlineLevel="0" collapsed="false">
      <c r="A302" s="11" t="str">
        <f aca="false">IF(INVENTÁRIO!A302="","",INVENTÁRIO!A302)</f>
        <v/>
      </c>
      <c r="B302" s="11" t="str">
        <f aca="false">IF(A302="","",INVENTÁRIO!B302)</f>
        <v/>
      </c>
      <c r="C302" s="16" t="str">
        <f aca="false">IF(A302="","",IFERROR(INDEX($L$2:$L$801,MATCH(A302,$K$2:$K$801,0)),"Não verificada"))</f>
        <v/>
      </c>
      <c r="D302" s="11" t="str">
        <f aca="false">IF(AND(A302&lt;&gt;"",C302&lt;&gt;"Tem foto"),MAX(D$1:D301)+1,"")</f>
        <v/>
      </c>
      <c r="F302" s="26" t="str">
        <f aca="false">IF($I$4=0,"",IF(300&lt;=$I$4,"    """&amp;INDEX($A$2:$A$801,MATCH(300,$D$2:$D$801,0))&amp;""",",IF(300=$I$4+1,"]","")))</f>
        <v/>
      </c>
    </row>
    <row r="303" customFormat="false" ht="15" hidden="false" customHeight="false" outlineLevel="0" collapsed="false">
      <c r="A303" s="11" t="str">
        <f aca="false">IF(INVENTÁRIO!A303="","",INVENTÁRIO!A303)</f>
        <v/>
      </c>
      <c r="B303" s="11" t="str">
        <f aca="false">IF(A303="","",INVENTÁRIO!B303)</f>
        <v/>
      </c>
      <c r="C303" s="16" t="str">
        <f aca="false">IF(A303="","",IFERROR(INDEX($L$2:$L$801,MATCH(A303,$K$2:$K$801,0)),"Não verificada"))</f>
        <v/>
      </c>
      <c r="D303" s="11" t="str">
        <f aca="false">IF(AND(A303&lt;&gt;"",C303&lt;&gt;"Tem foto"),MAX(D$1:D302)+1,"")</f>
        <v/>
      </c>
      <c r="F303" s="26" t="str">
        <f aca="false">IF($I$4=0,"",IF(301&lt;=$I$4,"    """&amp;INDEX($A$2:$A$801,MATCH(301,$D$2:$D$801,0))&amp;""",",IF(301=$I$4+1,"]","")))</f>
        <v/>
      </c>
    </row>
    <row r="304" customFormat="false" ht="15" hidden="false" customHeight="false" outlineLevel="0" collapsed="false">
      <c r="A304" s="11" t="str">
        <f aca="false">IF(INVENTÁRIO!A304="","",INVENTÁRIO!A304)</f>
        <v/>
      </c>
      <c r="B304" s="11" t="str">
        <f aca="false">IF(A304="","",INVENTÁRIO!B304)</f>
        <v/>
      </c>
      <c r="C304" s="16" t="str">
        <f aca="false">IF(A304="","",IFERROR(INDEX($L$2:$L$801,MATCH(A304,$K$2:$K$801,0)),"Não verificada"))</f>
        <v/>
      </c>
      <c r="D304" s="11" t="str">
        <f aca="false">IF(AND(A304&lt;&gt;"",C304&lt;&gt;"Tem foto"),MAX(D$1:D303)+1,"")</f>
        <v/>
      </c>
      <c r="F304" s="26" t="str">
        <f aca="false">IF($I$4=0,"",IF(302&lt;=$I$4,"    """&amp;INDEX($A$2:$A$801,MATCH(302,$D$2:$D$801,0))&amp;""",",IF(302=$I$4+1,"]","")))</f>
        <v/>
      </c>
    </row>
    <row r="305" customFormat="false" ht="15" hidden="false" customHeight="false" outlineLevel="0" collapsed="false">
      <c r="A305" s="11" t="str">
        <f aca="false">IF(INVENTÁRIO!A305="","",INVENTÁRIO!A305)</f>
        <v/>
      </c>
      <c r="B305" s="11" t="str">
        <f aca="false">IF(A305="","",INVENTÁRIO!B305)</f>
        <v/>
      </c>
      <c r="C305" s="16" t="str">
        <f aca="false">IF(A305="","",IFERROR(INDEX($L$2:$L$801,MATCH(A305,$K$2:$K$801,0)),"Não verificada"))</f>
        <v/>
      </c>
      <c r="D305" s="11" t="str">
        <f aca="false">IF(AND(A305&lt;&gt;"",C305&lt;&gt;"Tem foto"),MAX(D$1:D304)+1,"")</f>
        <v/>
      </c>
      <c r="F305" s="26" t="str">
        <f aca="false">IF($I$4=0,"",IF(303&lt;=$I$4,"    """&amp;INDEX($A$2:$A$801,MATCH(303,$D$2:$D$801,0))&amp;""",",IF(303=$I$4+1,"]","")))</f>
        <v/>
      </c>
    </row>
    <row r="306" customFormat="false" ht="15" hidden="false" customHeight="false" outlineLevel="0" collapsed="false">
      <c r="A306" s="11" t="str">
        <f aca="false">IF(INVENTÁRIO!A306="","",INVENTÁRIO!A306)</f>
        <v/>
      </c>
      <c r="B306" s="11" t="str">
        <f aca="false">IF(A306="","",INVENTÁRIO!B306)</f>
        <v/>
      </c>
      <c r="C306" s="16" t="str">
        <f aca="false">IF(A306="","",IFERROR(INDEX($L$2:$L$801,MATCH(A306,$K$2:$K$801,0)),"Não verificada"))</f>
        <v/>
      </c>
      <c r="D306" s="11" t="str">
        <f aca="false">IF(AND(A306&lt;&gt;"",C306&lt;&gt;"Tem foto"),MAX(D$1:D305)+1,"")</f>
        <v/>
      </c>
      <c r="F306" s="26" t="str">
        <f aca="false">IF($I$4=0,"",IF(304&lt;=$I$4,"    """&amp;INDEX($A$2:$A$801,MATCH(304,$D$2:$D$801,0))&amp;""",",IF(304=$I$4+1,"]","")))</f>
        <v/>
      </c>
    </row>
    <row r="307" customFormat="false" ht="15" hidden="false" customHeight="false" outlineLevel="0" collapsed="false">
      <c r="A307" s="11" t="str">
        <f aca="false">IF(INVENTÁRIO!A307="","",INVENTÁRIO!A307)</f>
        <v/>
      </c>
      <c r="B307" s="11" t="str">
        <f aca="false">IF(A307="","",INVENTÁRIO!B307)</f>
        <v/>
      </c>
      <c r="C307" s="16" t="str">
        <f aca="false">IF(A307="","",IFERROR(INDEX($L$2:$L$801,MATCH(A307,$K$2:$K$801,0)),"Não verificada"))</f>
        <v/>
      </c>
      <c r="D307" s="11" t="str">
        <f aca="false">IF(AND(A307&lt;&gt;"",C307&lt;&gt;"Tem foto"),MAX(D$1:D306)+1,"")</f>
        <v/>
      </c>
      <c r="F307" s="26" t="str">
        <f aca="false">IF($I$4=0,"",IF(305&lt;=$I$4,"    """&amp;INDEX($A$2:$A$801,MATCH(305,$D$2:$D$801,0))&amp;""",",IF(305=$I$4+1,"]","")))</f>
        <v/>
      </c>
    </row>
    <row r="308" customFormat="false" ht="15" hidden="false" customHeight="false" outlineLevel="0" collapsed="false">
      <c r="A308" s="11" t="str">
        <f aca="false">IF(INVENTÁRIO!A308="","",INVENTÁRIO!A308)</f>
        <v/>
      </c>
      <c r="B308" s="11" t="str">
        <f aca="false">IF(A308="","",INVENTÁRIO!B308)</f>
        <v/>
      </c>
      <c r="C308" s="16" t="str">
        <f aca="false">IF(A308="","",IFERROR(INDEX($L$2:$L$801,MATCH(A308,$K$2:$K$801,0)),"Não verificada"))</f>
        <v/>
      </c>
      <c r="D308" s="11" t="str">
        <f aca="false">IF(AND(A308&lt;&gt;"",C308&lt;&gt;"Tem foto"),MAX(D$1:D307)+1,"")</f>
        <v/>
      </c>
      <c r="F308" s="26" t="str">
        <f aca="false">IF($I$4=0,"",IF(306&lt;=$I$4,"    """&amp;INDEX($A$2:$A$801,MATCH(306,$D$2:$D$801,0))&amp;""",",IF(306=$I$4+1,"]","")))</f>
        <v/>
      </c>
    </row>
    <row r="309" customFormat="false" ht="15" hidden="false" customHeight="false" outlineLevel="0" collapsed="false">
      <c r="A309" s="11" t="str">
        <f aca="false">IF(INVENTÁRIO!A309="","",INVENTÁRIO!A309)</f>
        <v/>
      </c>
      <c r="B309" s="11" t="str">
        <f aca="false">IF(A309="","",INVENTÁRIO!B309)</f>
        <v/>
      </c>
      <c r="C309" s="16" t="str">
        <f aca="false">IF(A309="","",IFERROR(INDEX($L$2:$L$801,MATCH(A309,$K$2:$K$801,0)),"Não verificada"))</f>
        <v/>
      </c>
      <c r="D309" s="11" t="str">
        <f aca="false">IF(AND(A309&lt;&gt;"",C309&lt;&gt;"Tem foto"),MAX(D$1:D308)+1,"")</f>
        <v/>
      </c>
      <c r="F309" s="26" t="str">
        <f aca="false">IF($I$4=0,"",IF(307&lt;=$I$4,"    """&amp;INDEX($A$2:$A$801,MATCH(307,$D$2:$D$801,0))&amp;""",",IF(307=$I$4+1,"]","")))</f>
        <v/>
      </c>
    </row>
    <row r="310" customFormat="false" ht="15" hidden="false" customHeight="false" outlineLevel="0" collapsed="false">
      <c r="A310" s="11" t="str">
        <f aca="false">IF(INVENTÁRIO!A310="","",INVENTÁRIO!A310)</f>
        <v/>
      </c>
      <c r="B310" s="11" t="str">
        <f aca="false">IF(A310="","",INVENTÁRIO!B310)</f>
        <v/>
      </c>
      <c r="C310" s="16" t="str">
        <f aca="false">IF(A310="","",IFERROR(INDEX($L$2:$L$801,MATCH(A310,$K$2:$K$801,0)),"Não verificada"))</f>
        <v/>
      </c>
      <c r="D310" s="11" t="str">
        <f aca="false">IF(AND(A310&lt;&gt;"",C310&lt;&gt;"Tem foto"),MAX(D$1:D309)+1,"")</f>
        <v/>
      </c>
      <c r="F310" s="26" t="str">
        <f aca="false">IF($I$4=0,"",IF(308&lt;=$I$4,"    """&amp;INDEX($A$2:$A$801,MATCH(308,$D$2:$D$801,0))&amp;""",",IF(308=$I$4+1,"]","")))</f>
        <v/>
      </c>
    </row>
    <row r="311" customFormat="false" ht="15" hidden="false" customHeight="false" outlineLevel="0" collapsed="false">
      <c r="A311" s="11" t="str">
        <f aca="false">IF(INVENTÁRIO!A311="","",INVENTÁRIO!A311)</f>
        <v/>
      </c>
      <c r="B311" s="11" t="str">
        <f aca="false">IF(A311="","",INVENTÁRIO!B311)</f>
        <v/>
      </c>
      <c r="C311" s="16" t="str">
        <f aca="false">IF(A311="","",IFERROR(INDEX($L$2:$L$801,MATCH(A311,$K$2:$K$801,0)),"Não verificada"))</f>
        <v/>
      </c>
      <c r="D311" s="11" t="str">
        <f aca="false">IF(AND(A311&lt;&gt;"",C311&lt;&gt;"Tem foto"),MAX(D$1:D310)+1,"")</f>
        <v/>
      </c>
      <c r="F311" s="26" t="str">
        <f aca="false">IF($I$4=0,"",IF(309&lt;=$I$4,"    """&amp;INDEX($A$2:$A$801,MATCH(309,$D$2:$D$801,0))&amp;""",",IF(309=$I$4+1,"]","")))</f>
        <v/>
      </c>
    </row>
    <row r="312" customFormat="false" ht="15" hidden="false" customHeight="false" outlineLevel="0" collapsed="false">
      <c r="A312" s="11" t="str">
        <f aca="false">IF(INVENTÁRIO!A312="","",INVENTÁRIO!A312)</f>
        <v/>
      </c>
      <c r="B312" s="11" t="str">
        <f aca="false">IF(A312="","",INVENTÁRIO!B312)</f>
        <v/>
      </c>
      <c r="C312" s="16" t="str">
        <f aca="false">IF(A312="","",IFERROR(INDEX($L$2:$L$801,MATCH(A312,$K$2:$K$801,0)),"Não verificada"))</f>
        <v/>
      </c>
      <c r="D312" s="11" t="str">
        <f aca="false">IF(AND(A312&lt;&gt;"",C312&lt;&gt;"Tem foto"),MAX(D$1:D311)+1,"")</f>
        <v/>
      </c>
      <c r="F312" s="26" t="str">
        <f aca="false">IF($I$4=0,"",IF(310&lt;=$I$4,"    """&amp;INDEX($A$2:$A$801,MATCH(310,$D$2:$D$801,0))&amp;""",",IF(310=$I$4+1,"]","")))</f>
        <v/>
      </c>
    </row>
    <row r="313" customFormat="false" ht="15" hidden="false" customHeight="false" outlineLevel="0" collapsed="false">
      <c r="A313" s="11" t="str">
        <f aca="false">IF(INVENTÁRIO!A313="","",INVENTÁRIO!A313)</f>
        <v/>
      </c>
      <c r="B313" s="11" t="str">
        <f aca="false">IF(A313="","",INVENTÁRIO!B313)</f>
        <v/>
      </c>
      <c r="C313" s="16" t="str">
        <f aca="false">IF(A313="","",IFERROR(INDEX($L$2:$L$801,MATCH(A313,$K$2:$K$801,0)),"Não verificada"))</f>
        <v/>
      </c>
      <c r="D313" s="11" t="str">
        <f aca="false">IF(AND(A313&lt;&gt;"",C313&lt;&gt;"Tem foto"),MAX(D$1:D312)+1,"")</f>
        <v/>
      </c>
      <c r="F313" s="26" t="str">
        <f aca="false">IF($I$4=0,"",IF(311&lt;=$I$4,"    """&amp;INDEX($A$2:$A$801,MATCH(311,$D$2:$D$801,0))&amp;""",",IF(311=$I$4+1,"]","")))</f>
        <v/>
      </c>
    </row>
    <row r="314" customFormat="false" ht="15" hidden="false" customHeight="false" outlineLevel="0" collapsed="false">
      <c r="A314" s="11" t="str">
        <f aca="false">IF(INVENTÁRIO!A314="","",INVENTÁRIO!A314)</f>
        <v/>
      </c>
      <c r="B314" s="11" t="str">
        <f aca="false">IF(A314="","",INVENTÁRIO!B314)</f>
        <v/>
      </c>
      <c r="C314" s="16" t="str">
        <f aca="false">IF(A314="","",IFERROR(INDEX($L$2:$L$801,MATCH(A314,$K$2:$K$801,0)),"Não verificada"))</f>
        <v/>
      </c>
      <c r="D314" s="11" t="str">
        <f aca="false">IF(AND(A314&lt;&gt;"",C314&lt;&gt;"Tem foto"),MAX(D$1:D313)+1,"")</f>
        <v/>
      </c>
      <c r="F314" s="26" t="str">
        <f aca="false">IF($I$4=0,"",IF(312&lt;=$I$4,"    """&amp;INDEX($A$2:$A$801,MATCH(312,$D$2:$D$801,0))&amp;""",",IF(312=$I$4+1,"]","")))</f>
        <v/>
      </c>
    </row>
    <row r="315" customFormat="false" ht="15" hidden="false" customHeight="false" outlineLevel="0" collapsed="false">
      <c r="A315" s="11" t="str">
        <f aca="false">IF(INVENTÁRIO!A315="","",INVENTÁRIO!A315)</f>
        <v/>
      </c>
      <c r="B315" s="11" t="str">
        <f aca="false">IF(A315="","",INVENTÁRIO!B315)</f>
        <v/>
      </c>
      <c r="C315" s="16" t="str">
        <f aca="false">IF(A315="","",IFERROR(INDEX($L$2:$L$801,MATCH(A315,$K$2:$K$801,0)),"Não verificada"))</f>
        <v/>
      </c>
      <c r="D315" s="11" t="str">
        <f aca="false">IF(AND(A315&lt;&gt;"",C315&lt;&gt;"Tem foto"),MAX(D$1:D314)+1,"")</f>
        <v/>
      </c>
      <c r="F315" s="26" t="str">
        <f aca="false">IF($I$4=0,"",IF(313&lt;=$I$4,"    """&amp;INDEX($A$2:$A$801,MATCH(313,$D$2:$D$801,0))&amp;""",",IF(313=$I$4+1,"]","")))</f>
        <v/>
      </c>
    </row>
    <row r="316" customFormat="false" ht="15" hidden="false" customHeight="false" outlineLevel="0" collapsed="false">
      <c r="A316" s="11" t="str">
        <f aca="false">IF(INVENTÁRIO!A316="","",INVENTÁRIO!A316)</f>
        <v/>
      </c>
      <c r="B316" s="11" t="str">
        <f aca="false">IF(A316="","",INVENTÁRIO!B316)</f>
        <v/>
      </c>
      <c r="C316" s="16" t="str">
        <f aca="false">IF(A316="","",IFERROR(INDEX($L$2:$L$801,MATCH(A316,$K$2:$K$801,0)),"Não verificada"))</f>
        <v/>
      </c>
      <c r="D316" s="11" t="str">
        <f aca="false">IF(AND(A316&lt;&gt;"",C316&lt;&gt;"Tem foto"),MAX(D$1:D315)+1,"")</f>
        <v/>
      </c>
      <c r="F316" s="26" t="str">
        <f aca="false">IF($I$4=0,"",IF(314&lt;=$I$4,"    """&amp;INDEX($A$2:$A$801,MATCH(314,$D$2:$D$801,0))&amp;""",",IF(314=$I$4+1,"]","")))</f>
        <v/>
      </c>
    </row>
    <row r="317" customFormat="false" ht="15" hidden="false" customHeight="false" outlineLevel="0" collapsed="false">
      <c r="A317" s="11" t="str">
        <f aca="false">IF(INVENTÁRIO!A317="","",INVENTÁRIO!A317)</f>
        <v/>
      </c>
      <c r="B317" s="11" t="str">
        <f aca="false">IF(A317="","",INVENTÁRIO!B317)</f>
        <v/>
      </c>
      <c r="C317" s="16" t="str">
        <f aca="false">IF(A317="","",IFERROR(INDEX($L$2:$L$801,MATCH(A317,$K$2:$K$801,0)),"Não verificada"))</f>
        <v/>
      </c>
      <c r="D317" s="11" t="str">
        <f aca="false">IF(AND(A317&lt;&gt;"",C317&lt;&gt;"Tem foto"),MAX(D$1:D316)+1,"")</f>
        <v/>
      </c>
      <c r="F317" s="26" t="str">
        <f aca="false">IF($I$4=0,"",IF(315&lt;=$I$4,"    """&amp;INDEX($A$2:$A$801,MATCH(315,$D$2:$D$801,0))&amp;""",",IF(315=$I$4+1,"]","")))</f>
        <v/>
      </c>
    </row>
    <row r="318" customFormat="false" ht="15" hidden="false" customHeight="false" outlineLevel="0" collapsed="false">
      <c r="A318" s="11" t="str">
        <f aca="false">IF(INVENTÁRIO!A318="","",INVENTÁRIO!A318)</f>
        <v/>
      </c>
      <c r="B318" s="11" t="str">
        <f aca="false">IF(A318="","",INVENTÁRIO!B318)</f>
        <v/>
      </c>
      <c r="C318" s="16" t="str">
        <f aca="false">IF(A318="","",IFERROR(INDEX($L$2:$L$801,MATCH(A318,$K$2:$K$801,0)),"Não verificada"))</f>
        <v/>
      </c>
      <c r="D318" s="11" t="str">
        <f aca="false">IF(AND(A318&lt;&gt;"",C318&lt;&gt;"Tem foto"),MAX(D$1:D317)+1,"")</f>
        <v/>
      </c>
      <c r="F318" s="26" t="str">
        <f aca="false">IF($I$4=0,"",IF(316&lt;=$I$4,"    """&amp;INDEX($A$2:$A$801,MATCH(316,$D$2:$D$801,0))&amp;""",",IF(316=$I$4+1,"]","")))</f>
        <v/>
      </c>
    </row>
    <row r="319" customFormat="false" ht="15" hidden="false" customHeight="false" outlineLevel="0" collapsed="false">
      <c r="A319" s="11" t="str">
        <f aca="false">IF(INVENTÁRIO!A319="","",INVENTÁRIO!A319)</f>
        <v/>
      </c>
      <c r="B319" s="11" t="str">
        <f aca="false">IF(A319="","",INVENTÁRIO!B319)</f>
        <v/>
      </c>
      <c r="C319" s="16" t="str">
        <f aca="false">IF(A319="","",IFERROR(INDEX($L$2:$L$801,MATCH(A319,$K$2:$K$801,0)),"Não verificada"))</f>
        <v/>
      </c>
      <c r="D319" s="11" t="str">
        <f aca="false">IF(AND(A319&lt;&gt;"",C319&lt;&gt;"Tem foto"),MAX(D$1:D318)+1,"")</f>
        <v/>
      </c>
      <c r="F319" s="26" t="str">
        <f aca="false">IF($I$4=0,"",IF(317&lt;=$I$4,"    """&amp;INDEX($A$2:$A$801,MATCH(317,$D$2:$D$801,0))&amp;""",",IF(317=$I$4+1,"]","")))</f>
        <v/>
      </c>
    </row>
    <row r="320" customFormat="false" ht="15" hidden="false" customHeight="false" outlineLevel="0" collapsed="false">
      <c r="A320" s="11" t="str">
        <f aca="false">IF(INVENTÁRIO!A320="","",INVENTÁRIO!A320)</f>
        <v/>
      </c>
      <c r="B320" s="11" t="str">
        <f aca="false">IF(A320="","",INVENTÁRIO!B320)</f>
        <v/>
      </c>
      <c r="C320" s="16" t="str">
        <f aca="false">IF(A320="","",IFERROR(INDEX($L$2:$L$801,MATCH(A320,$K$2:$K$801,0)),"Não verificada"))</f>
        <v/>
      </c>
      <c r="D320" s="11" t="str">
        <f aca="false">IF(AND(A320&lt;&gt;"",C320&lt;&gt;"Tem foto"),MAX(D$1:D319)+1,"")</f>
        <v/>
      </c>
      <c r="F320" s="26" t="str">
        <f aca="false">IF($I$4=0,"",IF(318&lt;=$I$4,"    """&amp;INDEX($A$2:$A$801,MATCH(318,$D$2:$D$801,0))&amp;""",",IF(318=$I$4+1,"]","")))</f>
        <v/>
      </c>
    </row>
    <row r="321" customFormat="false" ht="15" hidden="false" customHeight="false" outlineLevel="0" collapsed="false">
      <c r="A321" s="11" t="str">
        <f aca="false">IF(INVENTÁRIO!A321="","",INVENTÁRIO!A321)</f>
        <v/>
      </c>
      <c r="B321" s="11" t="str">
        <f aca="false">IF(A321="","",INVENTÁRIO!B321)</f>
        <v/>
      </c>
      <c r="C321" s="16" t="str">
        <f aca="false">IF(A321="","",IFERROR(INDEX($L$2:$L$801,MATCH(A321,$K$2:$K$801,0)),"Não verificada"))</f>
        <v/>
      </c>
      <c r="D321" s="11" t="str">
        <f aca="false">IF(AND(A321&lt;&gt;"",C321&lt;&gt;"Tem foto"),MAX(D$1:D320)+1,"")</f>
        <v/>
      </c>
      <c r="F321" s="26" t="str">
        <f aca="false">IF($I$4=0,"",IF(319&lt;=$I$4,"    """&amp;INDEX($A$2:$A$801,MATCH(319,$D$2:$D$801,0))&amp;""",",IF(319=$I$4+1,"]","")))</f>
        <v/>
      </c>
    </row>
    <row r="322" customFormat="false" ht="15" hidden="false" customHeight="false" outlineLevel="0" collapsed="false">
      <c r="A322" s="11" t="str">
        <f aca="false">IF(INVENTÁRIO!A322="","",INVENTÁRIO!A322)</f>
        <v/>
      </c>
      <c r="B322" s="11" t="str">
        <f aca="false">IF(A322="","",INVENTÁRIO!B322)</f>
        <v/>
      </c>
      <c r="C322" s="16" t="str">
        <f aca="false">IF(A322="","",IFERROR(INDEX($L$2:$L$801,MATCH(A322,$K$2:$K$801,0)),"Não verificada"))</f>
        <v/>
      </c>
      <c r="D322" s="11" t="str">
        <f aca="false">IF(AND(A322&lt;&gt;"",C322&lt;&gt;"Tem foto"),MAX(D$1:D321)+1,"")</f>
        <v/>
      </c>
      <c r="F322" s="26" t="str">
        <f aca="false">IF($I$4=0,"",IF(320&lt;=$I$4,"    """&amp;INDEX($A$2:$A$801,MATCH(320,$D$2:$D$801,0))&amp;""",",IF(320=$I$4+1,"]","")))</f>
        <v/>
      </c>
    </row>
    <row r="323" customFormat="false" ht="15" hidden="false" customHeight="false" outlineLevel="0" collapsed="false">
      <c r="A323" s="11" t="str">
        <f aca="false">IF(INVENTÁRIO!A323="","",INVENTÁRIO!A323)</f>
        <v/>
      </c>
      <c r="B323" s="11" t="str">
        <f aca="false">IF(A323="","",INVENTÁRIO!B323)</f>
        <v/>
      </c>
      <c r="C323" s="16" t="str">
        <f aca="false">IF(A323="","",IFERROR(INDEX($L$2:$L$801,MATCH(A323,$K$2:$K$801,0)),"Não verificada"))</f>
        <v/>
      </c>
      <c r="D323" s="11" t="str">
        <f aca="false">IF(AND(A323&lt;&gt;"",C323&lt;&gt;"Tem foto"),MAX(D$1:D322)+1,"")</f>
        <v/>
      </c>
      <c r="F323" s="26" t="str">
        <f aca="false">IF($I$4=0,"",IF(321&lt;=$I$4,"    """&amp;INDEX($A$2:$A$801,MATCH(321,$D$2:$D$801,0))&amp;""",",IF(321=$I$4+1,"]","")))</f>
        <v/>
      </c>
    </row>
    <row r="324" customFormat="false" ht="15" hidden="false" customHeight="false" outlineLevel="0" collapsed="false">
      <c r="A324" s="11" t="str">
        <f aca="false">IF(INVENTÁRIO!A324="","",INVENTÁRIO!A324)</f>
        <v/>
      </c>
      <c r="B324" s="11" t="str">
        <f aca="false">IF(A324="","",INVENTÁRIO!B324)</f>
        <v/>
      </c>
      <c r="C324" s="16" t="str">
        <f aca="false">IF(A324="","",IFERROR(INDEX($L$2:$L$801,MATCH(A324,$K$2:$K$801,0)),"Não verificada"))</f>
        <v/>
      </c>
      <c r="D324" s="11" t="str">
        <f aca="false">IF(AND(A324&lt;&gt;"",C324&lt;&gt;"Tem foto"),MAX(D$1:D323)+1,"")</f>
        <v/>
      </c>
      <c r="F324" s="26" t="str">
        <f aca="false">IF($I$4=0,"",IF(322&lt;=$I$4,"    """&amp;INDEX($A$2:$A$801,MATCH(322,$D$2:$D$801,0))&amp;""",",IF(322=$I$4+1,"]","")))</f>
        <v/>
      </c>
    </row>
    <row r="325" customFormat="false" ht="15" hidden="false" customHeight="false" outlineLevel="0" collapsed="false">
      <c r="A325" s="11" t="str">
        <f aca="false">IF(INVENTÁRIO!A325="","",INVENTÁRIO!A325)</f>
        <v/>
      </c>
      <c r="B325" s="11" t="str">
        <f aca="false">IF(A325="","",INVENTÁRIO!B325)</f>
        <v/>
      </c>
      <c r="C325" s="16" t="str">
        <f aca="false">IF(A325="","",IFERROR(INDEX($L$2:$L$801,MATCH(A325,$K$2:$K$801,0)),"Não verificada"))</f>
        <v/>
      </c>
      <c r="D325" s="11" t="str">
        <f aca="false">IF(AND(A325&lt;&gt;"",C325&lt;&gt;"Tem foto"),MAX(D$1:D324)+1,"")</f>
        <v/>
      </c>
      <c r="F325" s="26" t="str">
        <f aca="false">IF($I$4=0,"",IF(323&lt;=$I$4,"    """&amp;INDEX($A$2:$A$801,MATCH(323,$D$2:$D$801,0))&amp;""",",IF(323=$I$4+1,"]","")))</f>
        <v/>
      </c>
    </row>
    <row r="326" customFormat="false" ht="15" hidden="false" customHeight="false" outlineLevel="0" collapsed="false">
      <c r="A326" s="11" t="str">
        <f aca="false">IF(INVENTÁRIO!A326="","",INVENTÁRIO!A326)</f>
        <v/>
      </c>
      <c r="B326" s="11" t="str">
        <f aca="false">IF(A326="","",INVENTÁRIO!B326)</f>
        <v/>
      </c>
      <c r="C326" s="16" t="str">
        <f aca="false">IF(A326="","",IFERROR(INDEX($L$2:$L$801,MATCH(A326,$K$2:$K$801,0)),"Não verificada"))</f>
        <v/>
      </c>
      <c r="D326" s="11" t="str">
        <f aca="false">IF(AND(A326&lt;&gt;"",C326&lt;&gt;"Tem foto"),MAX(D$1:D325)+1,"")</f>
        <v/>
      </c>
      <c r="F326" s="26" t="str">
        <f aca="false">IF($I$4=0,"",IF(324&lt;=$I$4,"    """&amp;INDEX($A$2:$A$801,MATCH(324,$D$2:$D$801,0))&amp;""",",IF(324=$I$4+1,"]","")))</f>
        <v/>
      </c>
    </row>
    <row r="327" customFormat="false" ht="15" hidden="false" customHeight="false" outlineLevel="0" collapsed="false">
      <c r="A327" s="11" t="str">
        <f aca="false">IF(INVENTÁRIO!A327="","",INVENTÁRIO!A327)</f>
        <v/>
      </c>
      <c r="B327" s="11" t="str">
        <f aca="false">IF(A327="","",INVENTÁRIO!B327)</f>
        <v/>
      </c>
      <c r="C327" s="16" t="str">
        <f aca="false">IF(A327="","",IFERROR(INDEX($L$2:$L$801,MATCH(A327,$K$2:$K$801,0)),"Não verificada"))</f>
        <v/>
      </c>
      <c r="D327" s="11" t="str">
        <f aca="false">IF(AND(A327&lt;&gt;"",C327&lt;&gt;"Tem foto"),MAX(D$1:D326)+1,"")</f>
        <v/>
      </c>
      <c r="F327" s="26" t="str">
        <f aca="false">IF($I$4=0,"",IF(325&lt;=$I$4,"    """&amp;INDEX($A$2:$A$801,MATCH(325,$D$2:$D$801,0))&amp;""",",IF(325=$I$4+1,"]","")))</f>
        <v/>
      </c>
    </row>
    <row r="328" customFormat="false" ht="15" hidden="false" customHeight="false" outlineLevel="0" collapsed="false">
      <c r="A328" s="11" t="str">
        <f aca="false">IF(INVENTÁRIO!A328="","",INVENTÁRIO!A328)</f>
        <v/>
      </c>
      <c r="B328" s="11" t="str">
        <f aca="false">IF(A328="","",INVENTÁRIO!B328)</f>
        <v/>
      </c>
      <c r="C328" s="16" t="str">
        <f aca="false">IF(A328="","",IFERROR(INDEX($L$2:$L$801,MATCH(A328,$K$2:$K$801,0)),"Não verificada"))</f>
        <v/>
      </c>
      <c r="D328" s="11" t="str">
        <f aca="false">IF(AND(A328&lt;&gt;"",C328&lt;&gt;"Tem foto"),MAX(D$1:D327)+1,"")</f>
        <v/>
      </c>
      <c r="F328" s="26" t="str">
        <f aca="false">IF($I$4=0,"",IF(326&lt;=$I$4,"    """&amp;INDEX($A$2:$A$801,MATCH(326,$D$2:$D$801,0))&amp;""",",IF(326=$I$4+1,"]","")))</f>
        <v/>
      </c>
    </row>
    <row r="329" customFormat="false" ht="15" hidden="false" customHeight="false" outlineLevel="0" collapsed="false">
      <c r="A329" s="11" t="str">
        <f aca="false">IF(INVENTÁRIO!A329="","",INVENTÁRIO!A329)</f>
        <v/>
      </c>
      <c r="B329" s="11" t="str">
        <f aca="false">IF(A329="","",INVENTÁRIO!B329)</f>
        <v/>
      </c>
      <c r="C329" s="16" t="str">
        <f aca="false">IF(A329="","",IFERROR(INDEX($L$2:$L$801,MATCH(A329,$K$2:$K$801,0)),"Não verificada"))</f>
        <v/>
      </c>
      <c r="D329" s="11" t="str">
        <f aca="false">IF(AND(A329&lt;&gt;"",C329&lt;&gt;"Tem foto"),MAX(D$1:D328)+1,"")</f>
        <v/>
      </c>
      <c r="F329" s="26" t="str">
        <f aca="false">IF($I$4=0,"",IF(327&lt;=$I$4,"    """&amp;INDEX($A$2:$A$801,MATCH(327,$D$2:$D$801,0))&amp;""",",IF(327=$I$4+1,"]","")))</f>
        <v/>
      </c>
    </row>
    <row r="330" customFormat="false" ht="15" hidden="false" customHeight="false" outlineLevel="0" collapsed="false">
      <c r="A330" s="11" t="str">
        <f aca="false">IF(INVENTÁRIO!A330="","",INVENTÁRIO!A330)</f>
        <v/>
      </c>
      <c r="B330" s="11" t="str">
        <f aca="false">IF(A330="","",INVENTÁRIO!B330)</f>
        <v/>
      </c>
      <c r="C330" s="16" t="str">
        <f aca="false">IF(A330="","",IFERROR(INDEX($L$2:$L$801,MATCH(A330,$K$2:$K$801,0)),"Não verificada"))</f>
        <v/>
      </c>
      <c r="D330" s="11" t="str">
        <f aca="false">IF(AND(A330&lt;&gt;"",C330&lt;&gt;"Tem foto"),MAX(D$1:D329)+1,"")</f>
        <v/>
      </c>
      <c r="F330" s="26" t="str">
        <f aca="false">IF($I$4=0,"",IF(328&lt;=$I$4,"    """&amp;INDEX($A$2:$A$801,MATCH(328,$D$2:$D$801,0))&amp;""",",IF(328=$I$4+1,"]","")))</f>
        <v/>
      </c>
    </row>
    <row r="331" customFormat="false" ht="15" hidden="false" customHeight="false" outlineLevel="0" collapsed="false">
      <c r="A331" s="11" t="str">
        <f aca="false">IF(INVENTÁRIO!A331="","",INVENTÁRIO!A331)</f>
        <v/>
      </c>
      <c r="B331" s="11" t="str">
        <f aca="false">IF(A331="","",INVENTÁRIO!B331)</f>
        <v/>
      </c>
      <c r="C331" s="16" t="str">
        <f aca="false">IF(A331="","",IFERROR(INDEX($L$2:$L$801,MATCH(A331,$K$2:$K$801,0)),"Não verificada"))</f>
        <v/>
      </c>
      <c r="D331" s="11" t="str">
        <f aca="false">IF(AND(A331&lt;&gt;"",C331&lt;&gt;"Tem foto"),MAX(D$1:D330)+1,"")</f>
        <v/>
      </c>
      <c r="F331" s="26" t="str">
        <f aca="false">IF($I$4=0,"",IF(329&lt;=$I$4,"    """&amp;INDEX($A$2:$A$801,MATCH(329,$D$2:$D$801,0))&amp;""",",IF(329=$I$4+1,"]","")))</f>
        <v/>
      </c>
    </row>
    <row r="332" customFormat="false" ht="15" hidden="false" customHeight="false" outlineLevel="0" collapsed="false">
      <c r="A332" s="11" t="str">
        <f aca="false">IF(INVENTÁRIO!A332="","",INVENTÁRIO!A332)</f>
        <v/>
      </c>
      <c r="B332" s="11" t="str">
        <f aca="false">IF(A332="","",INVENTÁRIO!B332)</f>
        <v/>
      </c>
      <c r="C332" s="16" t="str">
        <f aca="false">IF(A332="","",IFERROR(INDEX($L$2:$L$801,MATCH(A332,$K$2:$K$801,0)),"Não verificada"))</f>
        <v/>
      </c>
      <c r="D332" s="11" t="str">
        <f aca="false">IF(AND(A332&lt;&gt;"",C332&lt;&gt;"Tem foto"),MAX(D$1:D331)+1,"")</f>
        <v/>
      </c>
      <c r="F332" s="26" t="str">
        <f aca="false">IF($I$4=0,"",IF(330&lt;=$I$4,"    """&amp;INDEX($A$2:$A$801,MATCH(330,$D$2:$D$801,0))&amp;""",",IF(330=$I$4+1,"]","")))</f>
        <v/>
      </c>
    </row>
    <row r="333" customFormat="false" ht="15" hidden="false" customHeight="false" outlineLevel="0" collapsed="false">
      <c r="A333" s="11" t="str">
        <f aca="false">IF(INVENTÁRIO!A333="","",INVENTÁRIO!A333)</f>
        <v/>
      </c>
      <c r="B333" s="11" t="str">
        <f aca="false">IF(A333="","",INVENTÁRIO!B333)</f>
        <v/>
      </c>
      <c r="C333" s="16" t="str">
        <f aca="false">IF(A333="","",IFERROR(INDEX($L$2:$L$801,MATCH(A333,$K$2:$K$801,0)),"Não verificada"))</f>
        <v/>
      </c>
      <c r="D333" s="11" t="str">
        <f aca="false">IF(AND(A333&lt;&gt;"",C333&lt;&gt;"Tem foto"),MAX(D$1:D332)+1,"")</f>
        <v/>
      </c>
      <c r="F333" s="26" t="str">
        <f aca="false">IF($I$4=0,"",IF(331&lt;=$I$4,"    """&amp;INDEX($A$2:$A$801,MATCH(331,$D$2:$D$801,0))&amp;""",",IF(331=$I$4+1,"]","")))</f>
        <v/>
      </c>
    </row>
    <row r="334" customFormat="false" ht="15" hidden="false" customHeight="false" outlineLevel="0" collapsed="false">
      <c r="A334" s="11" t="str">
        <f aca="false">IF(INVENTÁRIO!A334="","",INVENTÁRIO!A334)</f>
        <v/>
      </c>
      <c r="B334" s="11" t="str">
        <f aca="false">IF(A334="","",INVENTÁRIO!B334)</f>
        <v/>
      </c>
      <c r="C334" s="16" t="str">
        <f aca="false">IF(A334="","",IFERROR(INDEX($L$2:$L$801,MATCH(A334,$K$2:$K$801,0)),"Não verificada"))</f>
        <v/>
      </c>
      <c r="D334" s="11" t="str">
        <f aca="false">IF(AND(A334&lt;&gt;"",C334&lt;&gt;"Tem foto"),MAX(D$1:D333)+1,"")</f>
        <v/>
      </c>
      <c r="F334" s="26" t="str">
        <f aca="false">IF($I$4=0,"",IF(332&lt;=$I$4,"    """&amp;INDEX($A$2:$A$801,MATCH(332,$D$2:$D$801,0))&amp;""",",IF(332=$I$4+1,"]","")))</f>
        <v/>
      </c>
    </row>
    <row r="335" customFormat="false" ht="15" hidden="false" customHeight="false" outlineLevel="0" collapsed="false">
      <c r="A335" s="11" t="str">
        <f aca="false">IF(INVENTÁRIO!A335="","",INVENTÁRIO!A335)</f>
        <v/>
      </c>
      <c r="B335" s="11" t="str">
        <f aca="false">IF(A335="","",INVENTÁRIO!B335)</f>
        <v/>
      </c>
      <c r="C335" s="16" t="str">
        <f aca="false">IF(A335="","",IFERROR(INDEX($L$2:$L$801,MATCH(A335,$K$2:$K$801,0)),"Não verificada"))</f>
        <v/>
      </c>
      <c r="D335" s="11" t="str">
        <f aca="false">IF(AND(A335&lt;&gt;"",C335&lt;&gt;"Tem foto"),MAX(D$1:D334)+1,"")</f>
        <v/>
      </c>
      <c r="F335" s="26" t="str">
        <f aca="false">IF($I$4=0,"",IF(333&lt;=$I$4,"    """&amp;INDEX($A$2:$A$801,MATCH(333,$D$2:$D$801,0))&amp;""",",IF(333=$I$4+1,"]","")))</f>
        <v/>
      </c>
    </row>
    <row r="336" customFormat="false" ht="15" hidden="false" customHeight="false" outlineLevel="0" collapsed="false">
      <c r="A336" s="11" t="str">
        <f aca="false">IF(INVENTÁRIO!A336="","",INVENTÁRIO!A336)</f>
        <v/>
      </c>
      <c r="B336" s="11" t="str">
        <f aca="false">IF(A336="","",INVENTÁRIO!B336)</f>
        <v/>
      </c>
      <c r="C336" s="16" t="str">
        <f aca="false">IF(A336="","",IFERROR(INDEX($L$2:$L$801,MATCH(A336,$K$2:$K$801,0)),"Não verificada"))</f>
        <v/>
      </c>
      <c r="D336" s="11" t="str">
        <f aca="false">IF(AND(A336&lt;&gt;"",C336&lt;&gt;"Tem foto"),MAX(D$1:D335)+1,"")</f>
        <v/>
      </c>
      <c r="F336" s="26" t="str">
        <f aca="false">IF($I$4=0,"",IF(334&lt;=$I$4,"    """&amp;INDEX($A$2:$A$801,MATCH(334,$D$2:$D$801,0))&amp;""",",IF(334=$I$4+1,"]","")))</f>
        <v/>
      </c>
    </row>
    <row r="337" customFormat="false" ht="15" hidden="false" customHeight="false" outlineLevel="0" collapsed="false">
      <c r="A337" s="11" t="str">
        <f aca="false">IF(INVENTÁRIO!A337="","",INVENTÁRIO!A337)</f>
        <v/>
      </c>
      <c r="B337" s="11" t="str">
        <f aca="false">IF(A337="","",INVENTÁRIO!B337)</f>
        <v/>
      </c>
      <c r="C337" s="16" t="str">
        <f aca="false">IF(A337="","",IFERROR(INDEX($L$2:$L$801,MATCH(A337,$K$2:$K$801,0)),"Não verificada"))</f>
        <v/>
      </c>
      <c r="D337" s="11" t="str">
        <f aca="false">IF(AND(A337&lt;&gt;"",C337&lt;&gt;"Tem foto"),MAX(D$1:D336)+1,"")</f>
        <v/>
      </c>
      <c r="F337" s="26" t="str">
        <f aca="false">IF($I$4=0,"",IF(335&lt;=$I$4,"    """&amp;INDEX($A$2:$A$801,MATCH(335,$D$2:$D$801,0))&amp;""",",IF(335=$I$4+1,"]","")))</f>
        <v/>
      </c>
    </row>
    <row r="338" customFormat="false" ht="15" hidden="false" customHeight="false" outlineLevel="0" collapsed="false">
      <c r="A338" s="11" t="str">
        <f aca="false">IF(INVENTÁRIO!A338="","",INVENTÁRIO!A338)</f>
        <v/>
      </c>
      <c r="B338" s="11" t="str">
        <f aca="false">IF(A338="","",INVENTÁRIO!B338)</f>
        <v/>
      </c>
      <c r="C338" s="16" t="str">
        <f aca="false">IF(A338="","",IFERROR(INDEX($L$2:$L$801,MATCH(A338,$K$2:$K$801,0)),"Não verificada"))</f>
        <v/>
      </c>
      <c r="D338" s="11" t="str">
        <f aca="false">IF(AND(A338&lt;&gt;"",C338&lt;&gt;"Tem foto"),MAX(D$1:D337)+1,"")</f>
        <v/>
      </c>
      <c r="F338" s="26" t="str">
        <f aca="false">IF($I$4=0,"",IF(336&lt;=$I$4,"    """&amp;INDEX($A$2:$A$801,MATCH(336,$D$2:$D$801,0))&amp;""",",IF(336=$I$4+1,"]","")))</f>
        <v/>
      </c>
    </row>
    <row r="339" customFormat="false" ht="15" hidden="false" customHeight="false" outlineLevel="0" collapsed="false">
      <c r="A339" s="11" t="str">
        <f aca="false">IF(INVENTÁRIO!A339="","",INVENTÁRIO!A339)</f>
        <v/>
      </c>
      <c r="B339" s="11" t="str">
        <f aca="false">IF(A339="","",INVENTÁRIO!B339)</f>
        <v/>
      </c>
      <c r="C339" s="16" t="str">
        <f aca="false">IF(A339="","",IFERROR(INDEX($L$2:$L$801,MATCH(A339,$K$2:$K$801,0)),"Não verificada"))</f>
        <v/>
      </c>
      <c r="D339" s="11" t="str">
        <f aca="false">IF(AND(A339&lt;&gt;"",C339&lt;&gt;"Tem foto"),MAX(D$1:D338)+1,"")</f>
        <v/>
      </c>
      <c r="F339" s="26" t="str">
        <f aca="false">IF($I$4=0,"",IF(337&lt;=$I$4,"    """&amp;INDEX($A$2:$A$801,MATCH(337,$D$2:$D$801,0))&amp;""",",IF(337=$I$4+1,"]","")))</f>
        <v/>
      </c>
    </row>
    <row r="340" customFormat="false" ht="15" hidden="false" customHeight="false" outlineLevel="0" collapsed="false">
      <c r="A340" s="11" t="str">
        <f aca="false">IF(INVENTÁRIO!A340="","",INVENTÁRIO!A340)</f>
        <v/>
      </c>
      <c r="B340" s="11" t="str">
        <f aca="false">IF(A340="","",INVENTÁRIO!B340)</f>
        <v/>
      </c>
      <c r="C340" s="16" t="str">
        <f aca="false">IF(A340="","",IFERROR(INDEX($L$2:$L$801,MATCH(A340,$K$2:$K$801,0)),"Não verificada"))</f>
        <v/>
      </c>
      <c r="D340" s="11" t="str">
        <f aca="false">IF(AND(A340&lt;&gt;"",C340&lt;&gt;"Tem foto"),MAX(D$1:D339)+1,"")</f>
        <v/>
      </c>
      <c r="F340" s="26" t="str">
        <f aca="false">IF($I$4=0,"",IF(338&lt;=$I$4,"    """&amp;INDEX($A$2:$A$801,MATCH(338,$D$2:$D$801,0))&amp;""",",IF(338=$I$4+1,"]","")))</f>
        <v/>
      </c>
    </row>
    <row r="341" customFormat="false" ht="15" hidden="false" customHeight="false" outlineLevel="0" collapsed="false">
      <c r="A341" s="11" t="str">
        <f aca="false">IF(INVENTÁRIO!A341="","",INVENTÁRIO!A341)</f>
        <v/>
      </c>
      <c r="B341" s="11" t="str">
        <f aca="false">IF(A341="","",INVENTÁRIO!B341)</f>
        <v/>
      </c>
      <c r="C341" s="16" t="str">
        <f aca="false">IF(A341="","",IFERROR(INDEX($L$2:$L$801,MATCH(A341,$K$2:$K$801,0)),"Não verificada"))</f>
        <v/>
      </c>
      <c r="D341" s="11" t="str">
        <f aca="false">IF(AND(A341&lt;&gt;"",C341&lt;&gt;"Tem foto"),MAX(D$1:D340)+1,"")</f>
        <v/>
      </c>
      <c r="F341" s="26" t="str">
        <f aca="false">IF($I$4=0,"",IF(339&lt;=$I$4,"    """&amp;INDEX($A$2:$A$801,MATCH(339,$D$2:$D$801,0))&amp;""",",IF(339=$I$4+1,"]","")))</f>
        <v/>
      </c>
    </row>
    <row r="342" customFormat="false" ht="15" hidden="false" customHeight="false" outlineLevel="0" collapsed="false">
      <c r="A342" s="11" t="str">
        <f aca="false">IF(INVENTÁRIO!A342="","",INVENTÁRIO!A342)</f>
        <v/>
      </c>
      <c r="B342" s="11" t="str">
        <f aca="false">IF(A342="","",INVENTÁRIO!B342)</f>
        <v/>
      </c>
      <c r="C342" s="16" t="str">
        <f aca="false">IF(A342="","",IFERROR(INDEX($L$2:$L$801,MATCH(A342,$K$2:$K$801,0)),"Não verificada"))</f>
        <v/>
      </c>
      <c r="D342" s="11" t="str">
        <f aca="false">IF(AND(A342&lt;&gt;"",C342&lt;&gt;"Tem foto"),MAX(D$1:D341)+1,"")</f>
        <v/>
      </c>
      <c r="F342" s="26" t="str">
        <f aca="false">IF($I$4=0,"",IF(340&lt;=$I$4,"    """&amp;INDEX($A$2:$A$801,MATCH(340,$D$2:$D$801,0))&amp;""",",IF(340=$I$4+1,"]","")))</f>
        <v/>
      </c>
    </row>
    <row r="343" customFormat="false" ht="15" hidden="false" customHeight="false" outlineLevel="0" collapsed="false">
      <c r="A343" s="11" t="str">
        <f aca="false">IF(INVENTÁRIO!A343="","",INVENTÁRIO!A343)</f>
        <v/>
      </c>
      <c r="B343" s="11" t="str">
        <f aca="false">IF(A343="","",INVENTÁRIO!B343)</f>
        <v/>
      </c>
      <c r="C343" s="16" t="str">
        <f aca="false">IF(A343="","",IFERROR(INDEX($L$2:$L$801,MATCH(A343,$K$2:$K$801,0)),"Não verificada"))</f>
        <v/>
      </c>
      <c r="D343" s="11" t="str">
        <f aca="false">IF(AND(A343&lt;&gt;"",C343&lt;&gt;"Tem foto"),MAX(D$1:D342)+1,"")</f>
        <v/>
      </c>
      <c r="F343" s="26" t="str">
        <f aca="false">IF($I$4=0,"",IF(341&lt;=$I$4,"    """&amp;INDEX($A$2:$A$801,MATCH(341,$D$2:$D$801,0))&amp;""",",IF(341=$I$4+1,"]","")))</f>
        <v/>
      </c>
    </row>
    <row r="344" customFormat="false" ht="15" hidden="false" customHeight="false" outlineLevel="0" collapsed="false">
      <c r="A344" s="11" t="str">
        <f aca="false">IF(INVENTÁRIO!A344="","",INVENTÁRIO!A344)</f>
        <v/>
      </c>
      <c r="B344" s="11" t="str">
        <f aca="false">IF(A344="","",INVENTÁRIO!B344)</f>
        <v/>
      </c>
      <c r="C344" s="16" t="str">
        <f aca="false">IF(A344="","",IFERROR(INDEX($L$2:$L$801,MATCH(A344,$K$2:$K$801,0)),"Não verificada"))</f>
        <v/>
      </c>
      <c r="D344" s="11" t="str">
        <f aca="false">IF(AND(A344&lt;&gt;"",C344&lt;&gt;"Tem foto"),MAX(D$1:D343)+1,"")</f>
        <v/>
      </c>
      <c r="F344" s="26" t="str">
        <f aca="false">IF($I$4=0,"",IF(342&lt;=$I$4,"    """&amp;INDEX($A$2:$A$801,MATCH(342,$D$2:$D$801,0))&amp;""",",IF(342=$I$4+1,"]","")))</f>
        <v/>
      </c>
    </row>
    <row r="345" customFormat="false" ht="15" hidden="false" customHeight="false" outlineLevel="0" collapsed="false">
      <c r="A345" s="11" t="str">
        <f aca="false">IF(INVENTÁRIO!A345="","",INVENTÁRIO!A345)</f>
        <v/>
      </c>
      <c r="B345" s="11" t="str">
        <f aca="false">IF(A345="","",INVENTÁRIO!B345)</f>
        <v/>
      </c>
      <c r="C345" s="16" t="str">
        <f aca="false">IF(A345="","",IFERROR(INDEX($L$2:$L$801,MATCH(A345,$K$2:$K$801,0)),"Não verificada"))</f>
        <v/>
      </c>
      <c r="D345" s="11" t="str">
        <f aca="false">IF(AND(A345&lt;&gt;"",C345&lt;&gt;"Tem foto"),MAX(D$1:D344)+1,"")</f>
        <v/>
      </c>
      <c r="F345" s="26" t="str">
        <f aca="false">IF($I$4=0,"",IF(343&lt;=$I$4,"    """&amp;INDEX($A$2:$A$801,MATCH(343,$D$2:$D$801,0))&amp;""",",IF(343=$I$4+1,"]","")))</f>
        <v/>
      </c>
    </row>
    <row r="346" customFormat="false" ht="15" hidden="false" customHeight="false" outlineLevel="0" collapsed="false">
      <c r="A346" s="11" t="str">
        <f aca="false">IF(INVENTÁRIO!A346="","",INVENTÁRIO!A346)</f>
        <v/>
      </c>
      <c r="B346" s="11" t="str">
        <f aca="false">IF(A346="","",INVENTÁRIO!B346)</f>
        <v/>
      </c>
      <c r="C346" s="16" t="str">
        <f aca="false">IF(A346="","",IFERROR(INDEX($L$2:$L$801,MATCH(A346,$K$2:$K$801,0)),"Não verificada"))</f>
        <v/>
      </c>
      <c r="D346" s="11" t="str">
        <f aca="false">IF(AND(A346&lt;&gt;"",C346&lt;&gt;"Tem foto"),MAX(D$1:D345)+1,"")</f>
        <v/>
      </c>
      <c r="F346" s="26" t="str">
        <f aca="false">IF($I$4=0,"",IF(344&lt;=$I$4,"    """&amp;INDEX($A$2:$A$801,MATCH(344,$D$2:$D$801,0))&amp;""",",IF(344=$I$4+1,"]","")))</f>
        <v/>
      </c>
    </row>
    <row r="347" customFormat="false" ht="15" hidden="false" customHeight="false" outlineLevel="0" collapsed="false">
      <c r="A347" s="11" t="str">
        <f aca="false">IF(INVENTÁRIO!A347="","",INVENTÁRIO!A347)</f>
        <v/>
      </c>
      <c r="B347" s="11" t="str">
        <f aca="false">IF(A347="","",INVENTÁRIO!B347)</f>
        <v/>
      </c>
      <c r="C347" s="16" t="str">
        <f aca="false">IF(A347="","",IFERROR(INDEX($L$2:$L$801,MATCH(A347,$K$2:$K$801,0)),"Não verificada"))</f>
        <v/>
      </c>
      <c r="D347" s="11" t="str">
        <f aca="false">IF(AND(A347&lt;&gt;"",C347&lt;&gt;"Tem foto"),MAX(D$1:D346)+1,"")</f>
        <v/>
      </c>
      <c r="F347" s="26" t="str">
        <f aca="false">IF($I$4=0,"",IF(345&lt;=$I$4,"    """&amp;INDEX($A$2:$A$801,MATCH(345,$D$2:$D$801,0))&amp;""",",IF(345=$I$4+1,"]","")))</f>
        <v/>
      </c>
    </row>
    <row r="348" customFormat="false" ht="15" hidden="false" customHeight="false" outlineLevel="0" collapsed="false">
      <c r="A348" s="11" t="str">
        <f aca="false">IF(INVENTÁRIO!A348="","",INVENTÁRIO!A348)</f>
        <v/>
      </c>
      <c r="B348" s="11" t="str">
        <f aca="false">IF(A348="","",INVENTÁRIO!B348)</f>
        <v/>
      </c>
      <c r="C348" s="16" t="str">
        <f aca="false">IF(A348="","",IFERROR(INDEX($L$2:$L$801,MATCH(A348,$K$2:$K$801,0)),"Não verificada"))</f>
        <v/>
      </c>
      <c r="D348" s="11" t="str">
        <f aca="false">IF(AND(A348&lt;&gt;"",C348&lt;&gt;"Tem foto"),MAX(D$1:D347)+1,"")</f>
        <v/>
      </c>
      <c r="F348" s="26" t="str">
        <f aca="false">IF($I$4=0,"",IF(346&lt;=$I$4,"    """&amp;INDEX($A$2:$A$801,MATCH(346,$D$2:$D$801,0))&amp;""",",IF(346=$I$4+1,"]","")))</f>
        <v/>
      </c>
    </row>
    <row r="349" customFormat="false" ht="15" hidden="false" customHeight="false" outlineLevel="0" collapsed="false">
      <c r="A349" s="11" t="str">
        <f aca="false">IF(INVENTÁRIO!A349="","",INVENTÁRIO!A349)</f>
        <v/>
      </c>
      <c r="B349" s="11" t="str">
        <f aca="false">IF(A349="","",INVENTÁRIO!B349)</f>
        <v/>
      </c>
      <c r="C349" s="16" t="str">
        <f aca="false">IF(A349="","",IFERROR(INDEX($L$2:$L$801,MATCH(A349,$K$2:$K$801,0)),"Não verificada"))</f>
        <v/>
      </c>
      <c r="D349" s="11" t="str">
        <f aca="false">IF(AND(A349&lt;&gt;"",C349&lt;&gt;"Tem foto"),MAX(D$1:D348)+1,"")</f>
        <v/>
      </c>
      <c r="F349" s="26" t="str">
        <f aca="false">IF($I$4=0,"",IF(347&lt;=$I$4,"    """&amp;INDEX($A$2:$A$801,MATCH(347,$D$2:$D$801,0))&amp;""",",IF(347=$I$4+1,"]","")))</f>
        <v/>
      </c>
    </row>
    <row r="350" customFormat="false" ht="15" hidden="false" customHeight="false" outlineLevel="0" collapsed="false">
      <c r="A350" s="11" t="str">
        <f aca="false">IF(INVENTÁRIO!A350="","",INVENTÁRIO!A350)</f>
        <v/>
      </c>
      <c r="B350" s="11" t="str">
        <f aca="false">IF(A350="","",INVENTÁRIO!B350)</f>
        <v/>
      </c>
      <c r="C350" s="16" t="str">
        <f aca="false">IF(A350="","",IFERROR(INDEX($L$2:$L$801,MATCH(A350,$K$2:$K$801,0)),"Não verificada"))</f>
        <v/>
      </c>
      <c r="D350" s="11" t="str">
        <f aca="false">IF(AND(A350&lt;&gt;"",C350&lt;&gt;"Tem foto"),MAX(D$1:D349)+1,"")</f>
        <v/>
      </c>
      <c r="F350" s="26" t="str">
        <f aca="false">IF($I$4=0,"",IF(348&lt;=$I$4,"    """&amp;INDEX($A$2:$A$801,MATCH(348,$D$2:$D$801,0))&amp;""",",IF(348=$I$4+1,"]","")))</f>
        <v/>
      </c>
    </row>
    <row r="351" customFormat="false" ht="15" hidden="false" customHeight="false" outlineLevel="0" collapsed="false">
      <c r="A351" s="11" t="str">
        <f aca="false">IF(INVENTÁRIO!A351="","",INVENTÁRIO!A351)</f>
        <v/>
      </c>
      <c r="B351" s="11" t="str">
        <f aca="false">IF(A351="","",INVENTÁRIO!B351)</f>
        <v/>
      </c>
      <c r="C351" s="16" t="str">
        <f aca="false">IF(A351="","",IFERROR(INDEX($L$2:$L$801,MATCH(A351,$K$2:$K$801,0)),"Não verificada"))</f>
        <v/>
      </c>
      <c r="D351" s="11" t="str">
        <f aca="false">IF(AND(A351&lt;&gt;"",C351&lt;&gt;"Tem foto"),MAX(D$1:D350)+1,"")</f>
        <v/>
      </c>
      <c r="F351" s="26" t="str">
        <f aca="false">IF($I$4=0,"",IF(349&lt;=$I$4,"    """&amp;INDEX($A$2:$A$801,MATCH(349,$D$2:$D$801,0))&amp;""",",IF(349=$I$4+1,"]","")))</f>
        <v/>
      </c>
    </row>
    <row r="352" customFormat="false" ht="15" hidden="false" customHeight="false" outlineLevel="0" collapsed="false">
      <c r="A352" s="11" t="str">
        <f aca="false">IF(INVENTÁRIO!A352="","",INVENTÁRIO!A352)</f>
        <v/>
      </c>
      <c r="B352" s="11" t="str">
        <f aca="false">IF(A352="","",INVENTÁRIO!B352)</f>
        <v/>
      </c>
      <c r="C352" s="16" t="str">
        <f aca="false">IF(A352="","",IFERROR(INDEX($L$2:$L$801,MATCH(A352,$K$2:$K$801,0)),"Não verificada"))</f>
        <v/>
      </c>
      <c r="D352" s="11" t="str">
        <f aca="false">IF(AND(A352&lt;&gt;"",C352&lt;&gt;"Tem foto"),MAX(D$1:D351)+1,"")</f>
        <v/>
      </c>
      <c r="F352" s="26" t="str">
        <f aca="false">IF($I$4=0,"",IF(350&lt;=$I$4,"    """&amp;INDEX($A$2:$A$801,MATCH(350,$D$2:$D$801,0))&amp;""",",IF(350=$I$4+1,"]","")))</f>
        <v/>
      </c>
    </row>
    <row r="353" customFormat="false" ht="15" hidden="false" customHeight="false" outlineLevel="0" collapsed="false">
      <c r="A353" s="11" t="str">
        <f aca="false">IF(INVENTÁRIO!A353="","",INVENTÁRIO!A353)</f>
        <v/>
      </c>
      <c r="B353" s="11" t="str">
        <f aca="false">IF(A353="","",INVENTÁRIO!B353)</f>
        <v/>
      </c>
      <c r="C353" s="16" t="str">
        <f aca="false">IF(A353="","",IFERROR(INDEX($L$2:$L$801,MATCH(A353,$K$2:$K$801,0)),"Não verificada"))</f>
        <v/>
      </c>
      <c r="D353" s="11" t="str">
        <f aca="false">IF(AND(A353&lt;&gt;"",C353&lt;&gt;"Tem foto"),MAX(D$1:D352)+1,"")</f>
        <v/>
      </c>
      <c r="F353" s="26" t="str">
        <f aca="false">IF($I$4=0,"",IF(351&lt;=$I$4,"    """&amp;INDEX($A$2:$A$801,MATCH(351,$D$2:$D$801,0))&amp;""",",IF(351=$I$4+1,"]","")))</f>
        <v/>
      </c>
    </row>
    <row r="354" customFormat="false" ht="15" hidden="false" customHeight="false" outlineLevel="0" collapsed="false">
      <c r="A354" s="11" t="str">
        <f aca="false">IF(INVENTÁRIO!A354="","",INVENTÁRIO!A354)</f>
        <v/>
      </c>
      <c r="B354" s="11" t="str">
        <f aca="false">IF(A354="","",INVENTÁRIO!B354)</f>
        <v/>
      </c>
      <c r="C354" s="16" t="str">
        <f aca="false">IF(A354="","",IFERROR(INDEX($L$2:$L$801,MATCH(A354,$K$2:$K$801,0)),"Não verificada"))</f>
        <v/>
      </c>
      <c r="D354" s="11" t="str">
        <f aca="false">IF(AND(A354&lt;&gt;"",C354&lt;&gt;"Tem foto"),MAX(D$1:D353)+1,"")</f>
        <v/>
      </c>
      <c r="F354" s="26" t="str">
        <f aca="false">IF($I$4=0,"",IF(352&lt;=$I$4,"    """&amp;INDEX($A$2:$A$801,MATCH(352,$D$2:$D$801,0))&amp;""",",IF(352=$I$4+1,"]","")))</f>
        <v/>
      </c>
    </row>
    <row r="355" customFormat="false" ht="15" hidden="false" customHeight="false" outlineLevel="0" collapsed="false">
      <c r="A355" s="11" t="str">
        <f aca="false">IF(INVENTÁRIO!A355="","",INVENTÁRIO!A355)</f>
        <v/>
      </c>
      <c r="B355" s="11" t="str">
        <f aca="false">IF(A355="","",INVENTÁRIO!B355)</f>
        <v/>
      </c>
      <c r="C355" s="16" t="str">
        <f aca="false">IF(A355="","",IFERROR(INDEX($L$2:$L$801,MATCH(A355,$K$2:$K$801,0)),"Não verificada"))</f>
        <v/>
      </c>
      <c r="D355" s="11" t="str">
        <f aca="false">IF(AND(A355&lt;&gt;"",C355&lt;&gt;"Tem foto"),MAX(D$1:D354)+1,"")</f>
        <v/>
      </c>
      <c r="F355" s="26" t="str">
        <f aca="false">IF($I$4=0,"",IF(353&lt;=$I$4,"    """&amp;INDEX($A$2:$A$801,MATCH(353,$D$2:$D$801,0))&amp;""",",IF(353=$I$4+1,"]","")))</f>
        <v/>
      </c>
    </row>
    <row r="356" customFormat="false" ht="15" hidden="false" customHeight="false" outlineLevel="0" collapsed="false">
      <c r="A356" s="11" t="str">
        <f aca="false">IF(INVENTÁRIO!A356="","",INVENTÁRIO!A356)</f>
        <v/>
      </c>
      <c r="B356" s="11" t="str">
        <f aca="false">IF(A356="","",INVENTÁRIO!B356)</f>
        <v/>
      </c>
      <c r="C356" s="16" t="str">
        <f aca="false">IF(A356="","",IFERROR(INDEX($L$2:$L$801,MATCH(A356,$K$2:$K$801,0)),"Não verificada"))</f>
        <v/>
      </c>
      <c r="D356" s="11" t="str">
        <f aca="false">IF(AND(A356&lt;&gt;"",C356&lt;&gt;"Tem foto"),MAX(D$1:D355)+1,"")</f>
        <v/>
      </c>
      <c r="F356" s="26" t="str">
        <f aca="false">IF($I$4=0,"",IF(354&lt;=$I$4,"    """&amp;INDEX($A$2:$A$801,MATCH(354,$D$2:$D$801,0))&amp;""",",IF(354=$I$4+1,"]","")))</f>
        <v/>
      </c>
    </row>
    <row r="357" customFormat="false" ht="15" hidden="false" customHeight="false" outlineLevel="0" collapsed="false">
      <c r="A357" s="11" t="str">
        <f aca="false">IF(INVENTÁRIO!A357="","",INVENTÁRIO!A357)</f>
        <v/>
      </c>
      <c r="B357" s="11" t="str">
        <f aca="false">IF(A357="","",INVENTÁRIO!B357)</f>
        <v/>
      </c>
      <c r="C357" s="16" t="str">
        <f aca="false">IF(A357="","",IFERROR(INDEX($L$2:$L$801,MATCH(A357,$K$2:$K$801,0)),"Não verificada"))</f>
        <v/>
      </c>
      <c r="D357" s="11" t="str">
        <f aca="false">IF(AND(A357&lt;&gt;"",C357&lt;&gt;"Tem foto"),MAX(D$1:D356)+1,"")</f>
        <v/>
      </c>
      <c r="F357" s="26" t="str">
        <f aca="false">IF($I$4=0,"",IF(355&lt;=$I$4,"    """&amp;INDEX($A$2:$A$801,MATCH(355,$D$2:$D$801,0))&amp;""",",IF(355=$I$4+1,"]","")))</f>
        <v/>
      </c>
    </row>
    <row r="358" customFormat="false" ht="15" hidden="false" customHeight="false" outlineLevel="0" collapsed="false">
      <c r="A358" s="11" t="str">
        <f aca="false">IF(INVENTÁRIO!A358="","",INVENTÁRIO!A358)</f>
        <v/>
      </c>
      <c r="B358" s="11" t="str">
        <f aca="false">IF(A358="","",INVENTÁRIO!B358)</f>
        <v/>
      </c>
      <c r="C358" s="16" t="str">
        <f aca="false">IF(A358="","",IFERROR(INDEX($L$2:$L$801,MATCH(A358,$K$2:$K$801,0)),"Não verificada"))</f>
        <v/>
      </c>
      <c r="D358" s="11" t="str">
        <f aca="false">IF(AND(A358&lt;&gt;"",C358&lt;&gt;"Tem foto"),MAX(D$1:D357)+1,"")</f>
        <v/>
      </c>
      <c r="F358" s="26" t="str">
        <f aca="false">IF($I$4=0,"",IF(356&lt;=$I$4,"    """&amp;INDEX($A$2:$A$801,MATCH(356,$D$2:$D$801,0))&amp;""",",IF(356=$I$4+1,"]","")))</f>
        <v/>
      </c>
    </row>
    <row r="359" customFormat="false" ht="15" hidden="false" customHeight="false" outlineLevel="0" collapsed="false">
      <c r="A359" s="11" t="str">
        <f aca="false">IF(INVENTÁRIO!A359="","",INVENTÁRIO!A359)</f>
        <v/>
      </c>
      <c r="B359" s="11" t="str">
        <f aca="false">IF(A359="","",INVENTÁRIO!B359)</f>
        <v/>
      </c>
      <c r="C359" s="16" t="str">
        <f aca="false">IF(A359="","",IFERROR(INDEX($L$2:$L$801,MATCH(A359,$K$2:$K$801,0)),"Não verificada"))</f>
        <v/>
      </c>
      <c r="D359" s="11" t="str">
        <f aca="false">IF(AND(A359&lt;&gt;"",C359&lt;&gt;"Tem foto"),MAX(D$1:D358)+1,"")</f>
        <v/>
      </c>
      <c r="F359" s="26" t="str">
        <f aca="false">IF($I$4=0,"",IF(357&lt;=$I$4,"    """&amp;INDEX($A$2:$A$801,MATCH(357,$D$2:$D$801,0))&amp;""",",IF(357=$I$4+1,"]","")))</f>
        <v/>
      </c>
    </row>
    <row r="360" customFormat="false" ht="15" hidden="false" customHeight="false" outlineLevel="0" collapsed="false">
      <c r="A360" s="11" t="str">
        <f aca="false">IF(INVENTÁRIO!A360="","",INVENTÁRIO!A360)</f>
        <v/>
      </c>
      <c r="B360" s="11" t="str">
        <f aca="false">IF(A360="","",INVENTÁRIO!B360)</f>
        <v/>
      </c>
      <c r="C360" s="16" t="str">
        <f aca="false">IF(A360="","",IFERROR(INDEX($L$2:$L$801,MATCH(A360,$K$2:$K$801,0)),"Não verificada"))</f>
        <v/>
      </c>
      <c r="D360" s="11" t="str">
        <f aca="false">IF(AND(A360&lt;&gt;"",C360&lt;&gt;"Tem foto"),MAX(D$1:D359)+1,"")</f>
        <v/>
      </c>
      <c r="F360" s="26" t="str">
        <f aca="false">IF($I$4=0,"",IF(358&lt;=$I$4,"    """&amp;INDEX($A$2:$A$801,MATCH(358,$D$2:$D$801,0))&amp;""",",IF(358=$I$4+1,"]","")))</f>
        <v/>
      </c>
    </row>
    <row r="361" customFormat="false" ht="15" hidden="false" customHeight="false" outlineLevel="0" collapsed="false">
      <c r="A361" s="11" t="str">
        <f aca="false">IF(INVENTÁRIO!A361="","",INVENTÁRIO!A361)</f>
        <v/>
      </c>
      <c r="B361" s="11" t="str">
        <f aca="false">IF(A361="","",INVENTÁRIO!B361)</f>
        <v/>
      </c>
      <c r="C361" s="16" t="str">
        <f aca="false">IF(A361="","",IFERROR(INDEX($L$2:$L$801,MATCH(A361,$K$2:$K$801,0)),"Não verificada"))</f>
        <v/>
      </c>
      <c r="D361" s="11" t="str">
        <f aca="false">IF(AND(A361&lt;&gt;"",C361&lt;&gt;"Tem foto"),MAX(D$1:D360)+1,"")</f>
        <v/>
      </c>
      <c r="F361" s="26" t="str">
        <f aca="false">IF($I$4=0,"",IF(359&lt;=$I$4,"    """&amp;INDEX($A$2:$A$801,MATCH(359,$D$2:$D$801,0))&amp;""",",IF(359=$I$4+1,"]","")))</f>
        <v/>
      </c>
    </row>
    <row r="362" customFormat="false" ht="15" hidden="false" customHeight="false" outlineLevel="0" collapsed="false">
      <c r="A362" s="11" t="str">
        <f aca="false">IF(INVENTÁRIO!A362="","",INVENTÁRIO!A362)</f>
        <v/>
      </c>
      <c r="B362" s="11" t="str">
        <f aca="false">IF(A362="","",INVENTÁRIO!B362)</f>
        <v/>
      </c>
      <c r="C362" s="16" t="str">
        <f aca="false">IF(A362="","",IFERROR(INDEX($L$2:$L$801,MATCH(A362,$K$2:$K$801,0)),"Não verificada"))</f>
        <v/>
      </c>
      <c r="D362" s="11" t="str">
        <f aca="false">IF(AND(A362&lt;&gt;"",C362&lt;&gt;"Tem foto"),MAX(D$1:D361)+1,"")</f>
        <v/>
      </c>
      <c r="F362" s="26" t="str">
        <f aca="false">IF($I$4=0,"",IF(360&lt;=$I$4,"    """&amp;INDEX($A$2:$A$801,MATCH(360,$D$2:$D$801,0))&amp;""",",IF(360=$I$4+1,"]","")))</f>
        <v/>
      </c>
    </row>
    <row r="363" customFormat="false" ht="15" hidden="false" customHeight="false" outlineLevel="0" collapsed="false">
      <c r="A363" s="11" t="str">
        <f aca="false">IF(INVENTÁRIO!A363="","",INVENTÁRIO!A363)</f>
        <v/>
      </c>
      <c r="B363" s="11" t="str">
        <f aca="false">IF(A363="","",INVENTÁRIO!B363)</f>
        <v/>
      </c>
      <c r="C363" s="16" t="str">
        <f aca="false">IF(A363="","",IFERROR(INDEX($L$2:$L$801,MATCH(A363,$K$2:$K$801,0)),"Não verificada"))</f>
        <v/>
      </c>
      <c r="D363" s="11" t="str">
        <f aca="false">IF(AND(A363&lt;&gt;"",C363&lt;&gt;"Tem foto"),MAX(D$1:D362)+1,"")</f>
        <v/>
      </c>
      <c r="F363" s="26" t="str">
        <f aca="false">IF($I$4=0,"",IF(361&lt;=$I$4,"    """&amp;INDEX($A$2:$A$801,MATCH(361,$D$2:$D$801,0))&amp;""",",IF(361=$I$4+1,"]","")))</f>
        <v/>
      </c>
    </row>
    <row r="364" customFormat="false" ht="15" hidden="false" customHeight="false" outlineLevel="0" collapsed="false">
      <c r="A364" s="11" t="str">
        <f aca="false">IF(INVENTÁRIO!A364="","",INVENTÁRIO!A364)</f>
        <v/>
      </c>
      <c r="B364" s="11" t="str">
        <f aca="false">IF(A364="","",INVENTÁRIO!B364)</f>
        <v/>
      </c>
      <c r="C364" s="16" t="str">
        <f aca="false">IF(A364="","",IFERROR(INDEX($L$2:$L$801,MATCH(A364,$K$2:$K$801,0)),"Não verificada"))</f>
        <v/>
      </c>
      <c r="D364" s="11" t="str">
        <f aca="false">IF(AND(A364&lt;&gt;"",C364&lt;&gt;"Tem foto"),MAX(D$1:D363)+1,"")</f>
        <v/>
      </c>
      <c r="F364" s="26" t="str">
        <f aca="false">IF($I$4=0,"",IF(362&lt;=$I$4,"    """&amp;INDEX($A$2:$A$801,MATCH(362,$D$2:$D$801,0))&amp;""",",IF(362=$I$4+1,"]","")))</f>
        <v/>
      </c>
    </row>
    <row r="365" customFormat="false" ht="15" hidden="false" customHeight="false" outlineLevel="0" collapsed="false">
      <c r="A365" s="11" t="str">
        <f aca="false">IF(INVENTÁRIO!A365="","",INVENTÁRIO!A365)</f>
        <v/>
      </c>
      <c r="B365" s="11" t="str">
        <f aca="false">IF(A365="","",INVENTÁRIO!B365)</f>
        <v/>
      </c>
      <c r="C365" s="16" t="str">
        <f aca="false">IF(A365="","",IFERROR(INDEX($L$2:$L$801,MATCH(A365,$K$2:$K$801,0)),"Não verificada"))</f>
        <v/>
      </c>
      <c r="D365" s="11" t="str">
        <f aca="false">IF(AND(A365&lt;&gt;"",C365&lt;&gt;"Tem foto"),MAX(D$1:D364)+1,"")</f>
        <v/>
      </c>
      <c r="F365" s="26" t="str">
        <f aca="false">IF($I$4=0,"",IF(363&lt;=$I$4,"    """&amp;INDEX($A$2:$A$801,MATCH(363,$D$2:$D$801,0))&amp;""",",IF(363=$I$4+1,"]","")))</f>
        <v/>
      </c>
    </row>
    <row r="366" customFormat="false" ht="15" hidden="false" customHeight="false" outlineLevel="0" collapsed="false">
      <c r="A366" s="11" t="str">
        <f aca="false">IF(INVENTÁRIO!A366="","",INVENTÁRIO!A366)</f>
        <v/>
      </c>
      <c r="B366" s="11" t="str">
        <f aca="false">IF(A366="","",INVENTÁRIO!B366)</f>
        <v/>
      </c>
      <c r="C366" s="16" t="str">
        <f aca="false">IF(A366="","",IFERROR(INDEX($L$2:$L$801,MATCH(A366,$K$2:$K$801,0)),"Não verificada"))</f>
        <v/>
      </c>
      <c r="D366" s="11" t="str">
        <f aca="false">IF(AND(A366&lt;&gt;"",C366&lt;&gt;"Tem foto"),MAX(D$1:D365)+1,"")</f>
        <v/>
      </c>
      <c r="F366" s="26" t="str">
        <f aca="false">IF($I$4=0,"",IF(364&lt;=$I$4,"    """&amp;INDEX($A$2:$A$801,MATCH(364,$D$2:$D$801,0))&amp;""",",IF(364=$I$4+1,"]","")))</f>
        <v/>
      </c>
    </row>
    <row r="367" customFormat="false" ht="15" hidden="false" customHeight="false" outlineLevel="0" collapsed="false">
      <c r="A367" s="11" t="str">
        <f aca="false">IF(INVENTÁRIO!A367="","",INVENTÁRIO!A367)</f>
        <v/>
      </c>
      <c r="B367" s="11" t="str">
        <f aca="false">IF(A367="","",INVENTÁRIO!B367)</f>
        <v/>
      </c>
      <c r="C367" s="16" t="str">
        <f aca="false">IF(A367="","",IFERROR(INDEX($L$2:$L$801,MATCH(A367,$K$2:$K$801,0)),"Não verificada"))</f>
        <v/>
      </c>
      <c r="D367" s="11" t="str">
        <f aca="false">IF(AND(A367&lt;&gt;"",C367&lt;&gt;"Tem foto"),MAX(D$1:D366)+1,"")</f>
        <v/>
      </c>
      <c r="F367" s="26" t="str">
        <f aca="false">IF($I$4=0,"",IF(365&lt;=$I$4,"    """&amp;INDEX($A$2:$A$801,MATCH(365,$D$2:$D$801,0))&amp;""",",IF(365=$I$4+1,"]","")))</f>
        <v/>
      </c>
    </row>
    <row r="368" customFormat="false" ht="15" hidden="false" customHeight="false" outlineLevel="0" collapsed="false">
      <c r="A368" s="11" t="str">
        <f aca="false">IF(INVENTÁRIO!A368="","",INVENTÁRIO!A368)</f>
        <v/>
      </c>
      <c r="B368" s="11" t="str">
        <f aca="false">IF(A368="","",INVENTÁRIO!B368)</f>
        <v/>
      </c>
      <c r="C368" s="16" t="str">
        <f aca="false">IF(A368="","",IFERROR(INDEX($L$2:$L$801,MATCH(A368,$K$2:$K$801,0)),"Não verificada"))</f>
        <v/>
      </c>
      <c r="D368" s="11" t="str">
        <f aca="false">IF(AND(A368&lt;&gt;"",C368&lt;&gt;"Tem foto"),MAX(D$1:D367)+1,"")</f>
        <v/>
      </c>
      <c r="F368" s="26" t="str">
        <f aca="false">IF($I$4=0,"",IF(366&lt;=$I$4,"    """&amp;INDEX($A$2:$A$801,MATCH(366,$D$2:$D$801,0))&amp;""",",IF(366=$I$4+1,"]","")))</f>
        <v/>
      </c>
    </row>
    <row r="369" customFormat="false" ht="15" hidden="false" customHeight="false" outlineLevel="0" collapsed="false">
      <c r="A369" s="11" t="str">
        <f aca="false">IF(INVENTÁRIO!A369="","",INVENTÁRIO!A369)</f>
        <v/>
      </c>
      <c r="B369" s="11" t="str">
        <f aca="false">IF(A369="","",INVENTÁRIO!B369)</f>
        <v/>
      </c>
      <c r="C369" s="16" t="str">
        <f aca="false">IF(A369="","",IFERROR(INDEX($L$2:$L$801,MATCH(A369,$K$2:$K$801,0)),"Não verificada"))</f>
        <v/>
      </c>
      <c r="D369" s="11" t="str">
        <f aca="false">IF(AND(A369&lt;&gt;"",C369&lt;&gt;"Tem foto"),MAX(D$1:D368)+1,"")</f>
        <v/>
      </c>
      <c r="F369" s="26" t="str">
        <f aca="false">IF($I$4=0,"",IF(367&lt;=$I$4,"    """&amp;INDEX($A$2:$A$801,MATCH(367,$D$2:$D$801,0))&amp;""",",IF(367=$I$4+1,"]","")))</f>
        <v/>
      </c>
    </row>
    <row r="370" customFormat="false" ht="15" hidden="false" customHeight="false" outlineLevel="0" collapsed="false">
      <c r="A370" s="11" t="str">
        <f aca="false">IF(INVENTÁRIO!A370="","",INVENTÁRIO!A370)</f>
        <v/>
      </c>
      <c r="B370" s="11" t="str">
        <f aca="false">IF(A370="","",INVENTÁRIO!B370)</f>
        <v/>
      </c>
      <c r="C370" s="16" t="str">
        <f aca="false">IF(A370="","",IFERROR(INDEX($L$2:$L$801,MATCH(A370,$K$2:$K$801,0)),"Não verificada"))</f>
        <v/>
      </c>
      <c r="D370" s="11" t="str">
        <f aca="false">IF(AND(A370&lt;&gt;"",C370&lt;&gt;"Tem foto"),MAX(D$1:D369)+1,"")</f>
        <v/>
      </c>
      <c r="F370" s="26" t="str">
        <f aca="false">IF($I$4=0,"",IF(368&lt;=$I$4,"    """&amp;INDEX($A$2:$A$801,MATCH(368,$D$2:$D$801,0))&amp;""",",IF(368=$I$4+1,"]","")))</f>
        <v/>
      </c>
    </row>
    <row r="371" customFormat="false" ht="15" hidden="false" customHeight="false" outlineLevel="0" collapsed="false">
      <c r="A371" s="11" t="str">
        <f aca="false">IF(INVENTÁRIO!A371="","",INVENTÁRIO!A371)</f>
        <v/>
      </c>
      <c r="B371" s="11" t="str">
        <f aca="false">IF(A371="","",INVENTÁRIO!B371)</f>
        <v/>
      </c>
      <c r="C371" s="16" t="str">
        <f aca="false">IF(A371="","",IFERROR(INDEX($L$2:$L$801,MATCH(A371,$K$2:$K$801,0)),"Não verificada"))</f>
        <v/>
      </c>
      <c r="D371" s="11" t="str">
        <f aca="false">IF(AND(A371&lt;&gt;"",C371&lt;&gt;"Tem foto"),MAX(D$1:D370)+1,"")</f>
        <v/>
      </c>
      <c r="F371" s="26" t="str">
        <f aca="false">IF($I$4=0,"",IF(369&lt;=$I$4,"    """&amp;INDEX($A$2:$A$801,MATCH(369,$D$2:$D$801,0))&amp;""",",IF(369=$I$4+1,"]","")))</f>
        <v/>
      </c>
    </row>
    <row r="372" customFormat="false" ht="15" hidden="false" customHeight="false" outlineLevel="0" collapsed="false">
      <c r="A372" s="11" t="str">
        <f aca="false">IF(INVENTÁRIO!A372="","",INVENTÁRIO!A372)</f>
        <v/>
      </c>
      <c r="B372" s="11" t="str">
        <f aca="false">IF(A372="","",INVENTÁRIO!B372)</f>
        <v/>
      </c>
      <c r="C372" s="16" t="str">
        <f aca="false">IF(A372="","",IFERROR(INDEX($L$2:$L$801,MATCH(A372,$K$2:$K$801,0)),"Não verificada"))</f>
        <v/>
      </c>
      <c r="D372" s="11" t="str">
        <f aca="false">IF(AND(A372&lt;&gt;"",C372&lt;&gt;"Tem foto"),MAX(D$1:D371)+1,"")</f>
        <v/>
      </c>
      <c r="F372" s="26" t="str">
        <f aca="false">IF($I$4=0,"",IF(370&lt;=$I$4,"    """&amp;INDEX($A$2:$A$801,MATCH(370,$D$2:$D$801,0))&amp;""",",IF(370=$I$4+1,"]","")))</f>
        <v/>
      </c>
    </row>
    <row r="373" customFormat="false" ht="15" hidden="false" customHeight="false" outlineLevel="0" collapsed="false">
      <c r="A373" s="11" t="str">
        <f aca="false">IF(INVENTÁRIO!A373="","",INVENTÁRIO!A373)</f>
        <v/>
      </c>
      <c r="B373" s="11" t="str">
        <f aca="false">IF(A373="","",INVENTÁRIO!B373)</f>
        <v/>
      </c>
      <c r="C373" s="16" t="str">
        <f aca="false">IF(A373="","",IFERROR(INDEX($L$2:$L$801,MATCH(A373,$K$2:$K$801,0)),"Não verificada"))</f>
        <v/>
      </c>
      <c r="D373" s="11" t="str">
        <f aca="false">IF(AND(A373&lt;&gt;"",C373&lt;&gt;"Tem foto"),MAX(D$1:D372)+1,"")</f>
        <v/>
      </c>
      <c r="F373" s="26" t="str">
        <f aca="false">IF($I$4=0,"",IF(371&lt;=$I$4,"    """&amp;INDEX($A$2:$A$801,MATCH(371,$D$2:$D$801,0))&amp;""",",IF(371=$I$4+1,"]","")))</f>
        <v/>
      </c>
    </row>
    <row r="374" customFormat="false" ht="15" hidden="false" customHeight="false" outlineLevel="0" collapsed="false">
      <c r="A374" s="11" t="str">
        <f aca="false">IF(INVENTÁRIO!A374="","",INVENTÁRIO!A374)</f>
        <v/>
      </c>
      <c r="B374" s="11" t="str">
        <f aca="false">IF(A374="","",INVENTÁRIO!B374)</f>
        <v/>
      </c>
      <c r="C374" s="16" t="str">
        <f aca="false">IF(A374="","",IFERROR(INDEX($L$2:$L$801,MATCH(A374,$K$2:$K$801,0)),"Não verificada"))</f>
        <v/>
      </c>
      <c r="D374" s="11" t="str">
        <f aca="false">IF(AND(A374&lt;&gt;"",C374&lt;&gt;"Tem foto"),MAX(D$1:D373)+1,"")</f>
        <v/>
      </c>
      <c r="F374" s="26" t="str">
        <f aca="false">IF($I$4=0,"",IF(372&lt;=$I$4,"    """&amp;INDEX($A$2:$A$801,MATCH(372,$D$2:$D$801,0))&amp;""",",IF(372=$I$4+1,"]","")))</f>
        <v/>
      </c>
    </row>
    <row r="375" customFormat="false" ht="15" hidden="false" customHeight="false" outlineLevel="0" collapsed="false">
      <c r="A375" s="11" t="str">
        <f aca="false">IF(INVENTÁRIO!A375="","",INVENTÁRIO!A375)</f>
        <v/>
      </c>
      <c r="B375" s="11" t="str">
        <f aca="false">IF(A375="","",INVENTÁRIO!B375)</f>
        <v/>
      </c>
      <c r="C375" s="16" t="str">
        <f aca="false">IF(A375="","",IFERROR(INDEX($L$2:$L$801,MATCH(A375,$K$2:$K$801,0)),"Não verificada"))</f>
        <v/>
      </c>
      <c r="D375" s="11" t="str">
        <f aca="false">IF(AND(A375&lt;&gt;"",C375&lt;&gt;"Tem foto"),MAX(D$1:D374)+1,"")</f>
        <v/>
      </c>
      <c r="F375" s="26" t="str">
        <f aca="false">IF($I$4=0,"",IF(373&lt;=$I$4,"    """&amp;INDEX($A$2:$A$801,MATCH(373,$D$2:$D$801,0))&amp;""",",IF(373=$I$4+1,"]","")))</f>
        <v/>
      </c>
    </row>
    <row r="376" customFormat="false" ht="15" hidden="false" customHeight="false" outlineLevel="0" collapsed="false">
      <c r="A376" s="11" t="str">
        <f aca="false">IF(INVENTÁRIO!A376="","",INVENTÁRIO!A376)</f>
        <v/>
      </c>
      <c r="B376" s="11" t="str">
        <f aca="false">IF(A376="","",INVENTÁRIO!B376)</f>
        <v/>
      </c>
      <c r="C376" s="16" t="str">
        <f aca="false">IF(A376="","",IFERROR(INDEX($L$2:$L$801,MATCH(A376,$K$2:$K$801,0)),"Não verificada"))</f>
        <v/>
      </c>
      <c r="D376" s="11" t="str">
        <f aca="false">IF(AND(A376&lt;&gt;"",C376&lt;&gt;"Tem foto"),MAX(D$1:D375)+1,"")</f>
        <v/>
      </c>
      <c r="F376" s="26" t="str">
        <f aca="false">IF($I$4=0,"",IF(374&lt;=$I$4,"    """&amp;INDEX($A$2:$A$801,MATCH(374,$D$2:$D$801,0))&amp;""",",IF(374=$I$4+1,"]","")))</f>
        <v/>
      </c>
    </row>
    <row r="377" customFormat="false" ht="15" hidden="false" customHeight="false" outlineLevel="0" collapsed="false">
      <c r="A377" s="11" t="str">
        <f aca="false">IF(INVENTÁRIO!A377="","",INVENTÁRIO!A377)</f>
        <v/>
      </c>
      <c r="B377" s="11" t="str">
        <f aca="false">IF(A377="","",INVENTÁRIO!B377)</f>
        <v/>
      </c>
      <c r="C377" s="16" t="str">
        <f aca="false">IF(A377="","",IFERROR(INDEX($L$2:$L$801,MATCH(A377,$K$2:$K$801,0)),"Não verificada"))</f>
        <v/>
      </c>
      <c r="D377" s="11" t="str">
        <f aca="false">IF(AND(A377&lt;&gt;"",C377&lt;&gt;"Tem foto"),MAX(D$1:D376)+1,"")</f>
        <v/>
      </c>
      <c r="F377" s="26" t="str">
        <f aca="false">IF($I$4=0,"",IF(375&lt;=$I$4,"    """&amp;INDEX($A$2:$A$801,MATCH(375,$D$2:$D$801,0))&amp;""",",IF(375=$I$4+1,"]","")))</f>
        <v/>
      </c>
    </row>
    <row r="378" customFormat="false" ht="15" hidden="false" customHeight="false" outlineLevel="0" collapsed="false">
      <c r="A378" s="11" t="str">
        <f aca="false">IF(INVENTÁRIO!A378="","",INVENTÁRIO!A378)</f>
        <v/>
      </c>
      <c r="B378" s="11" t="str">
        <f aca="false">IF(A378="","",INVENTÁRIO!B378)</f>
        <v/>
      </c>
      <c r="C378" s="16" t="str">
        <f aca="false">IF(A378="","",IFERROR(INDEX($L$2:$L$801,MATCH(A378,$K$2:$K$801,0)),"Não verificada"))</f>
        <v/>
      </c>
      <c r="D378" s="11" t="str">
        <f aca="false">IF(AND(A378&lt;&gt;"",C378&lt;&gt;"Tem foto"),MAX(D$1:D377)+1,"")</f>
        <v/>
      </c>
      <c r="F378" s="26" t="str">
        <f aca="false">IF($I$4=0,"",IF(376&lt;=$I$4,"    """&amp;INDEX($A$2:$A$801,MATCH(376,$D$2:$D$801,0))&amp;""",",IF(376=$I$4+1,"]","")))</f>
        <v/>
      </c>
    </row>
    <row r="379" customFormat="false" ht="15" hidden="false" customHeight="false" outlineLevel="0" collapsed="false">
      <c r="A379" s="11" t="str">
        <f aca="false">IF(INVENTÁRIO!A379="","",INVENTÁRIO!A379)</f>
        <v/>
      </c>
      <c r="B379" s="11" t="str">
        <f aca="false">IF(A379="","",INVENTÁRIO!B379)</f>
        <v/>
      </c>
      <c r="C379" s="16" t="str">
        <f aca="false">IF(A379="","",IFERROR(INDEX($L$2:$L$801,MATCH(A379,$K$2:$K$801,0)),"Não verificada"))</f>
        <v/>
      </c>
      <c r="D379" s="11" t="str">
        <f aca="false">IF(AND(A379&lt;&gt;"",C379&lt;&gt;"Tem foto"),MAX(D$1:D378)+1,"")</f>
        <v/>
      </c>
      <c r="F379" s="26" t="str">
        <f aca="false">IF($I$4=0,"",IF(377&lt;=$I$4,"    """&amp;INDEX($A$2:$A$801,MATCH(377,$D$2:$D$801,0))&amp;""",",IF(377=$I$4+1,"]","")))</f>
        <v/>
      </c>
    </row>
    <row r="380" customFormat="false" ht="15" hidden="false" customHeight="false" outlineLevel="0" collapsed="false">
      <c r="A380" s="11" t="str">
        <f aca="false">IF(INVENTÁRIO!A380="","",INVENTÁRIO!A380)</f>
        <v/>
      </c>
      <c r="B380" s="11" t="str">
        <f aca="false">IF(A380="","",INVENTÁRIO!B380)</f>
        <v/>
      </c>
      <c r="C380" s="16" t="str">
        <f aca="false">IF(A380="","",IFERROR(INDEX($L$2:$L$801,MATCH(A380,$K$2:$K$801,0)),"Não verificada"))</f>
        <v/>
      </c>
      <c r="D380" s="11" t="str">
        <f aca="false">IF(AND(A380&lt;&gt;"",C380&lt;&gt;"Tem foto"),MAX(D$1:D379)+1,"")</f>
        <v/>
      </c>
      <c r="F380" s="26" t="str">
        <f aca="false">IF($I$4=0,"",IF(378&lt;=$I$4,"    """&amp;INDEX($A$2:$A$801,MATCH(378,$D$2:$D$801,0))&amp;""",",IF(378=$I$4+1,"]","")))</f>
        <v/>
      </c>
    </row>
    <row r="381" customFormat="false" ht="15" hidden="false" customHeight="false" outlineLevel="0" collapsed="false">
      <c r="A381" s="11" t="str">
        <f aca="false">IF(INVENTÁRIO!A381="","",INVENTÁRIO!A381)</f>
        <v/>
      </c>
      <c r="B381" s="11" t="str">
        <f aca="false">IF(A381="","",INVENTÁRIO!B381)</f>
        <v/>
      </c>
      <c r="C381" s="16" t="str">
        <f aca="false">IF(A381="","",IFERROR(INDEX($L$2:$L$801,MATCH(A381,$K$2:$K$801,0)),"Não verificada"))</f>
        <v/>
      </c>
      <c r="D381" s="11" t="str">
        <f aca="false">IF(AND(A381&lt;&gt;"",C381&lt;&gt;"Tem foto"),MAX(D$1:D380)+1,"")</f>
        <v/>
      </c>
      <c r="F381" s="26" t="str">
        <f aca="false">IF($I$4=0,"",IF(379&lt;=$I$4,"    """&amp;INDEX($A$2:$A$801,MATCH(379,$D$2:$D$801,0))&amp;""",",IF(379=$I$4+1,"]","")))</f>
        <v/>
      </c>
    </row>
    <row r="382" customFormat="false" ht="15" hidden="false" customHeight="false" outlineLevel="0" collapsed="false">
      <c r="A382" s="11" t="str">
        <f aca="false">IF(INVENTÁRIO!A382="","",INVENTÁRIO!A382)</f>
        <v/>
      </c>
      <c r="B382" s="11" t="str">
        <f aca="false">IF(A382="","",INVENTÁRIO!B382)</f>
        <v/>
      </c>
      <c r="C382" s="16" t="str">
        <f aca="false">IF(A382="","",IFERROR(INDEX($L$2:$L$801,MATCH(A382,$K$2:$K$801,0)),"Não verificada"))</f>
        <v/>
      </c>
      <c r="D382" s="11" t="str">
        <f aca="false">IF(AND(A382&lt;&gt;"",C382&lt;&gt;"Tem foto"),MAX(D$1:D381)+1,"")</f>
        <v/>
      </c>
      <c r="F382" s="26" t="str">
        <f aca="false">IF($I$4=0,"",IF(380&lt;=$I$4,"    """&amp;INDEX($A$2:$A$801,MATCH(380,$D$2:$D$801,0))&amp;""",",IF(380=$I$4+1,"]","")))</f>
        <v/>
      </c>
    </row>
    <row r="383" customFormat="false" ht="15" hidden="false" customHeight="false" outlineLevel="0" collapsed="false">
      <c r="A383" s="11" t="str">
        <f aca="false">IF(INVENTÁRIO!A383="","",INVENTÁRIO!A383)</f>
        <v/>
      </c>
      <c r="B383" s="11" t="str">
        <f aca="false">IF(A383="","",INVENTÁRIO!B383)</f>
        <v/>
      </c>
      <c r="C383" s="16" t="str">
        <f aca="false">IF(A383="","",IFERROR(INDEX($L$2:$L$801,MATCH(A383,$K$2:$K$801,0)),"Não verificada"))</f>
        <v/>
      </c>
      <c r="D383" s="11" t="str">
        <f aca="false">IF(AND(A383&lt;&gt;"",C383&lt;&gt;"Tem foto"),MAX(D$1:D382)+1,"")</f>
        <v/>
      </c>
      <c r="F383" s="26" t="str">
        <f aca="false">IF($I$4=0,"",IF(381&lt;=$I$4,"    """&amp;INDEX($A$2:$A$801,MATCH(381,$D$2:$D$801,0))&amp;""",",IF(381=$I$4+1,"]","")))</f>
        <v/>
      </c>
    </row>
    <row r="384" customFormat="false" ht="15" hidden="false" customHeight="false" outlineLevel="0" collapsed="false">
      <c r="A384" s="11" t="str">
        <f aca="false">IF(INVENTÁRIO!A384="","",INVENTÁRIO!A384)</f>
        <v/>
      </c>
      <c r="B384" s="11" t="str">
        <f aca="false">IF(A384="","",INVENTÁRIO!B384)</f>
        <v/>
      </c>
      <c r="C384" s="16" t="str">
        <f aca="false">IF(A384="","",IFERROR(INDEX($L$2:$L$801,MATCH(A384,$K$2:$K$801,0)),"Não verificada"))</f>
        <v/>
      </c>
      <c r="D384" s="11" t="str">
        <f aca="false">IF(AND(A384&lt;&gt;"",C384&lt;&gt;"Tem foto"),MAX(D$1:D383)+1,"")</f>
        <v/>
      </c>
      <c r="F384" s="26" t="str">
        <f aca="false">IF($I$4=0,"",IF(382&lt;=$I$4,"    """&amp;INDEX($A$2:$A$801,MATCH(382,$D$2:$D$801,0))&amp;""",",IF(382=$I$4+1,"]","")))</f>
        <v/>
      </c>
    </row>
    <row r="385" customFormat="false" ht="15" hidden="false" customHeight="false" outlineLevel="0" collapsed="false">
      <c r="A385" s="11" t="str">
        <f aca="false">IF(INVENTÁRIO!A385="","",INVENTÁRIO!A385)</f>
        <v/>
      </c>
      <c r="B385" s="11" t="str">
        <f aca="false">IF(A385="","",INVENTÁRIO!B385)</f>
        <v/>
      </c>
      <c r="C385" s="16" t="str">
        <f aca="false">IF(A385="","",IFERROR(INDEX($L$2:$L$801,MATCH(A385,$K$2:$K$801,0)),"Não verificada"))</f>
        <v/>
      </c>
      <c r="D385" s="11" t="str">
        <f aca="false">IF(AND(A385&lt;&gt;"",C385&lt;&gt;"Tem foto"),MAX(D$1:D384)+1,"")</f>
        <v/>
      </c>
      <c r="F385" s="26" t="str">
        <f aca="false">IF($I$4=0,"",IF(383&lt;=$I$4,"    """&amp;INDEX($A$2:$A$801,MATCH(383,$D$2:$D$801,0))&amp;""",",IF(383=$I$4+1,"]","")))</f>
        <v/>
      </c>
    </row>
    <row r="386" customFormat="false" ht="15" hidden="false" customHeight="false" outlineLevel="0" collapsed="false">
      <c r="A386" s="11" t="str">
        <f aca="false">IF(INVENTÁRIO!A386="","",INVENTÁRIO!A386)</f>
        <v/>
      </c>
      <c r="B386" s="11" t="str">
        <f aca="false">IF(A386="","",INVENTÁRIO!B386)</f>
        <v/>
      </c>
      <c r="C386" s="16" t="str">
        <f aca="false">IF(A386="","",IFERROR(INDEX($L$2:$L$801,MATCH(A386,$K$2:$K$801,0)),"Não verificada"))</f>
        <v/>
      </c>
      <c r="D386" s="11" t="str">
        <f aca="false">IF(AND(A386&lt;&gt;"",C386&lt;&gt;"Tem foto"),MAX(D$1:D385)+1,"")</f>
        <v/>
      </c>
      <c r="F386" s="26" t="str">
        <f aca="false">IF($I$4=0,"",IF(384&lt;=$I$4,"    """&amp;INDEX($A$2:$A$801,MATCH(384,$D$2:$D$801,0))&amp;""",",IF(384=$I$4+1,"]","")))</f>
        <v/>
      </c>
    </row>
    <row r="387" customFormat="false" ht="15" hidden="false" customHeight="false" outlineLevel="0" collapsed="false">
      <c r="A387" s="11" t="str">
        <f aca="false">IF(INVENTÁRIO!A387="","",INVENTÁRIO!A387)</f>
        <v/>
      </c>
      <c r="B387" s="11" t="str">
        <f aca="false">IF(A387="","",INVENTÁRIO!B387)</f>
        <v/>
      </c>
      <c r="C387" s="16" t="str">
        <f aca="false">IF(A387="","",IFERROR(INDEX($L$2:$L$801,MATCH(A387,$K$2:$K$801,0)),"Não verificada"))</f>
        <v/>
      </c>
      <c r="D387" s="11" t="str">
        <f aca="false">IF(AND(A387&lt;&gt;"",C387&lt;&gt;"Tem foto"),MAX(D$1:D386)+1,"")</f>
        <v/>
      </c>
      <c r="F387" s="26" t="str">
        <f aca="false">IF($I$4=0,"",IF(385&lt;=$I$4,"    """&amp;INDEX($A$2:$A$801,MATCH(385,$D$2:$D$801,0))&amp;""",",IF(385=$I$4+1,"]","")))</f>
        <v/>
      </c>
    </row>
    <row r="388" customFormat="false" ht="15" hidden="false" customHeight="false" outlineLevel="0" collapsed="false">
      <c r="A388" s="11" t="str">
        <f aca="false">IF(INVENTÁRIO!A388="","",INVENTÁRIO!A388)</f>
        <v/>
      </c>
      <c r="B388" s="11" t="str">
        <f aca="false">IF(A388="","",INVENTÁRIO!B388)</f>
        <v/>
      </c>
      <c r="C388" s="16" t="str">
        <f aca="false">IF(A388="","",IFERROR(INDEX($L$2:$L$801,MATCH(A388,$K$2:$K$801,0)),"Não verificada"))</f>
        <v/>
      </c>
      <c r="D388" s="11" t="str">
        <f aca="false">IF(AND(A388&lt;&gt;"",C388&lt;&gt;"Tem foto"),MAX(D$1:D387)+1,"")</f>
        <v/>
      </c>
      <c r="F388" s="26" t="str">
        <f aca="false">IF($I$4=0,"",IF(386&lt;=$I$4,"    """&amp;INDEX($A$2:$A$801,MATCH(386,$D$2:$D$801,0))&amp;""",",IF(386=$I$4+1,"]","")))</f>
        <v/>
      </c>
    </row>
    <row r="389" customFormat="false" ht="15" hidden="false" customHeight="false" outlineLevel="0" collapsed="false">
      <c r="A389" s="11" t="str">
        <f aca="false">IF(INVENTÁRIO!A389="","",INVENTÁRIO!A389)</f>
        <v/>
      </c>
      <c r="B389" s="11" t="str">
        <f aca="false">IF(A389="","",INVENTÁRIO!B389)</f>
        <v/>
      </c>
      <c r="C389" s="16" t="str">
        <f aca="false">IF(A389="","",IFERROR(INDEX($L$2:$L$801,MATCH(A389,$K$2:$K$801,0)),"Não verificada"))</f>
        <v/>
      </c>
      <c r="D389" s="11" t="str">
        <f aca="false">IF(AND(A389&lt;&gt;"",C389&lt;&gt;"Tem foto"),MAX(D$1:D388)+1,"")</f>
        <v/>
      </c>
      <c r="F389" s="26" t="str">
        <f aca="false">IF($I$4=0,"",IF(387&lt;=$I$4,"    """&amp;INDEX($A$2:$A$801,MATCH(387,$D$2:$D$801,0))&amp;""",",IF(387=$I$4+1,"]","")))</f>
        <v/>
      </c>
    </row>
    <row r="390" customFormat="false" ht="15" hidden="false" customHeight="false" outlineLevel="0" collapsed="false">
      <c r="A390" s="11" t="str">
        <f aca="false">IF(INVENTÁRIO!A390="","",INVENTÁRIO!A390)</f>
        <v/>
      </c>
      <c r="B390" s="11" t="str">
        <f aca="false">IF(A390="","",INVENTÁRIO!B390)</f>
        <v/>
      </c>
      <c r="C390" s="16" t="str">
        <f aca="false">IF(A390="","",IFERROR(INDEX($L$2:$L$801,MATCH(A390,$K$2:$K$801,0)),"Não verificada"))</f>
        <v/>
      </c>
      <c r="D390" s="11" t="str">
        <f aca="false">IF(AND(A390&lt;&gt;"",C390&lt;&gt;"Tem foto"),MAX(D$1:D389)+1,"")</f>
        <v/>
      </c>
      <c r="F390" s="26" t="str">
        <f aca="false">IF($I$4=0,"",IF(388&lt;=$I$4,"    """&amp;INDEX($A$2:$A$801,MATCH(388,$D$2:$D$801,0))&amp;""",",IF(388=$I$4+1,"]","")))</f>
        <v/>
      </c>
    </row>
    <row r="391" customFormat="false" ht="15" hidden="false" customHeight="false" outlineLevel="0" collapsed="false">
      <c r="A391" s="11" t="str">
        <f aca="false">IF(INVENTÁRIO!A391="","",INVENTÁRIO!A391)</f>
        <v/>
      </c>
      <c r="B391" s="11" t="str">
        <f aca="false">IF(A391="","",INVENTÁRIO!B391)</f>
        <v/>
      </c>
      <c r="C391" s="16" t="str">
        <f aca="false">IF(A391="","",IFERROR(INDEX($L$2:$L$801,MATCH(A391,$K$2:$K$801,0)),"Não verificada"))</f>
        <v/>
      </c>
      <c r="D391" s="11" t="str">
        <f aca="false">IF(AND(A391&lt;&gt;"",C391&lt;&gt;"Tem foto"),MAX(D$1:D390)+1,"")</f>
        <v/>
      </c>
      <c r="F391" s="26" t="str">
        <f aca="false">IF($I$4=0,"",IF(389&lt;=$I$4,"    """&amp;INDEX($A$2:$A$801,MATCH(389,$D$2:$D$801,0))&amp;""",",IF(389=$I$4+1,"]","")))</f>
        <v/>
      </c>
    </row>
    <row r="392" customFormat="false" ht="15" hidden="false" customHeight="false" outlineLevel="0" collapsed="false">
      <c r="A392" s="11" t="str">
        <f aca="false">IF(INVENTÁRIO!A392="","",INVENTÁRIO!A392)</f>
        <v/>
      </c>
      <c r="B392" s="11" t="str">
        <f aca="false">IF(A392="","",INVENTÁRIO!B392)</f>
        <v/>
      </c>
      <c r="C392" s="16" t="str">
        <f aca="false">IF(A392="","",IFERROR(INDEX($L$2:$L$801,MATCH(A392,$K$2:$K$801,0)),"Não verificada"))</f>
        <v/>
      </c>
      <c r="D392" s="11" t="str">
        <f aca="false">IF(AND(A392&lt;&gt;"",C392&lt;&gt;"Tem foto"),MAX(D$1:D391)+1,"")</f>
        <v/>
      </c>
      <c r="F392" s="26" t="str">
        <f aca="false">IF($I$4=0,"",IF(390&lt;=$I$4,"    """&amp;INDEX($A$2:$A$801,MATCH(390,$D$2:$D$801,0))&amp;""",",IF(390=$I$4+1,"]","")))</f>
        <v/>
      </c>
    </row>
    <row r="393" customFormat="false" ht="15" hidden="false" customHeight="false" outlineLevel="0" collapsed="false">
      <c r="A393" s="11" t="str">
        <f aca="false">IF(INVENTÁRIO!A393="","",INVENTÁRIO!A393)</f>
        <v/>
      </c>
      <c r="B393" s="11" t="str">
        <f aca="false">IF(A393="","",INVENTÁRIO!B393)</f>
        <v/>
      </c>
      <c r="C393" s="16" t="str">
        <f aca="false">IF(A393="","",IFERROR(INDEX($L$2:$L$801,MATCH(A393,$K$2:$K$801,0)),"Não verificada"))</f>
        <v/>
      </c>
      <c r="D393" s="11" t="str">
        <f aca="false">IF(AND(A393&lt;&gt;"",C393&lt;&gt;"Tem foto"),MAX(D$1:D392)+1,"")</f>
        <v/>
      </c>
      <c r="F393" s="26" t="str">
        <f aca="false">IF($I$4=0,"",IF(391&lt;=$I$4,"    """&amp;INDEX($A$2:$A$801,MATCH(391,$D$2:$D$801,0))&amp;""",",IF(391=$I$4+1,"]","")))</f>
        <v/>
      </c>
    </row>
    <row r="394" customFormat="false" ht="15" hidden="false" customHeight="false" outlineLevel="0" collapsed="false">
      <c r="A394" s="11" t="str">
        <f aca="false">IF(INVENTÁRIO!A394="","",INVENTÁRIO!A394)</f>
        <v/>
      </c>
      <c r="B394" s="11" t="str">
        <f aca="false">IF(A394="","",INVENTÁRIO!B394)</f>
        <v/>
      </c>
      <c r="C394" s="16" t="str">
        <f aca="false">IF(A394="","",IFERROR(INDEX($L$2:$L$801,MATCH(A394,$K$2:$K$801,0)),"Não verificada"))</f>
        <v/>
      </c>
      <c r="D394" s="11" t="str">
        <f aca="false">IF(AND(A394&lt;&gt;"",C394&lt;&gt;"Tem foto"),MAX(D$1:D393)+1,"")</f>
        <v/>
      </c>
      <c r="F394" s="26" t="str">
        <f aca="false">IF($I$4=0,"",IF(392&lt;=$I$4,"    """&amp;INDEX($A$2:$A$801,MATCH(392,$D$2:$D$801,0))&amp;""",",IF(392=$I$4+1,"]","")))</f>
        <v/>
      </c>
    </row>
    <row r="395" customFormat="false" ht="15" hidden="false" customHeight="false" outlineLevel="0" collapsed="false">
      <c r="A395" s="11" t="str">
        <f aca="false">IF(INVENTÁRIO!A395="","",INVENTÁRIO!A395)</f>
        <v/>
      </c>
      <c r="B395" s="11" t="str">
        <f aca="false">IF(A395="","",INVENTÁRIO!B395)</f>
        <v/>
      </c>
      <c r="C395" s="16" t="str">
        <f aca="false">IF(A395="","",IFERROR(INDEX($L$2:$L$801,MATCH(A395,$K$2:$K$801,0)),"Não verificada"))</f>
        <v/>
      </c>
      <c r="D395" s="11" t="str">
        <f aca="false">IF(AND(A395&lt;&gt;"",C395&lt;&gt;"Tem foto"),MAX(D$1:D394)+1,"")</f>
        <v/>
      </c>
      <c r="F395" s="26" t="str">
        <f aca="false">IF($I$4=0,"",IF(393&lt;=$I$4,"    """&amp;INDEX($A$2:$A$801,MATCH(393,$D$2:$D$801,0))&amp;""",",IF(393=$I$4+1,"]","")))</f>
        <v/>
      </c>
    </row>
    <row r="396" customFormat="false" ht="15" hidden="false" customHeight="false" outlineLevel="0" collapsed="false">
      <c r="A396" s="11" t="str">
        <f aca="false">IF(INVENTÁRIO!A396="","",INVENTÁRIO!A396)</f>
        <v/>
      </c>
      <c r="B396" s="11" t="str">
        <f aca="false">IF(A396="","",INVENTÁRIO!B396)</f>
        <v/>
      </c>
      <c r="C396" s="16" t="str">
        <f aca="false">IF(A396="","",IFERROR(INDEX($L$2:$L$801,MATCH(A396,$K$2:$K$801,0)),"Não verificada"))</f>
        <v/>
      </c>
      <c r="D396" s="11" t="str">
        <f aca="false">IF(AND(A396&lt;&gt;"",C396&lt;&gt;"Tem foto"),MAX(D$1:D395)+1,"")</f>
        <v/>
      </c>
      <c r="F396" s="26" t="str">
        <f aca="false">IF($I$4=0,"",IF(394&lt;=$I$4,"    """&amp;INDEX($A$2:$A$801,MATCH(394,$D$2:$D$801,0))&amp;""",",IF(394=$I$4+1,"]","")))</f>
        <v/>
      </c>
    </row>
    <row r="397" customFormat="false" ht="15" hidden="false" customHeight="false" outlineLevel="0" collapsed="false">
      <c r="A397" s="11" t="str">
        <f aca="false">IF(INVENTÁRIO!A397="","",INVENTÁRIO!A397)</f>
        <v/>
      </c>
      <c r="B397" s="11" t="str">
        <f aca="false">IF(A397="","",INVENTÁRIO!B397)</f>
        <v/>
      </c>
      <c r="C397" s="16" t="str">
        <f aca="false">IF(A397="","",IFERROR(INDEX($L$2:$L$801,MATCH(A397,$K$2:$K$801,0)),"Não verificada"))</f>
        <v/>
      </c>
      <c r="D397" s="11" t="str">
        <f aca="false">IF(AND(A397&lt;&gt;"",C397&lt;&gt;"Tem foto"),MAX(D$1:D396)+1,"")</f>
        <v/>
      </c>
      <c r="F397" s="26" t="str">
        <f aca="false">IF($I$4=0,"",IF(395&lt;=$I$4,"    """&amp;INDEX($A$2:$A$801,MATCH(395,$D$2:$D$801,0))&amp;""",",IF(395=$I$4+1,"]","")))</f>
        <v/>
      </c>
    </row>
    <row r="398" customFormat="false" ht="15" hidden="false" customHeight="false" outlineLevel="0" collapsed="false">
      <c r="A398" s="11" t="str">
        <f aca="false">IF(INVENTÁRIO!A398="","",INVENTÁRIO!A398)</f>
        <v/>
      </c>
      <c r="B398" s="11" t="str">
        <f aca="false">IF(A398="","",INVENTÁRIO!B398)</f>
        <v/>
      </c>
      <c r="C398" s="16" t="str">
        <f aca="false">IF(A398="","",IFERROR(INDEX($L$2:$L$801,MATCH(A398,$K$2:$K$801,0)),"Não verificada"))</f>
        <v/>
      </c>
      <c r="D398" s="11" t="str">
        <f aca="false">IF(AND(A398&lt;&gt;"",C398&lt;&gt;"Tem foto"),MAX(D$1:D397)+1,"")</f>
        <v/>
      </c>
      <c r="F398" s="26" t="str">
        <f aca="false">IF($I$4=0,"",IF(396&lt;=$I$4,"    """&amp;INDEX($A$2:$A$801,MATCH(396,$D$2:$D$801,0))&amp;""",",IF(396=$I$4+1,"]","")))</f>
        <v/>
      </c>
    </row>
    <row r="399" customFormat="false" ht="15" hidden="false" customHeight="false" outlineLevel="0" collapsed="false">
      <c r="A399" s="11" t="str">
        <f aca="false">IF(INVENTÁRIO!A399="","",INVENTÁRIO!A399)</f>
        <v/>
      </c>
      <c r="B399" s="11" t="str">
        <f aca="false">IF(A399="","",INVENTÁRIO!B399)</f>
        <v/>
      </c>
      <c r="C399" s="16" t="str">
        <f aca="false">IF(A399="","",IFERROR(INDEX($L$2:$L$801,MATCH(A399,$K$2:$K$801,0)),"Não verificada"))</f>
        <v/>
      </c>
      <c r="D399" s="11" t="str">
        <f aca="false">IF(AND(A399&lt;&gt;"",C399&lt;&gt;"Tem foto"),MAX(D$1:D398)+1,"")</f>
        <v/>
      </c>
      <c r="F399" s="26" t="str">
        <f aca="false">IF($I$4=0,"",IF(397&lt;=$I$4,"    """&amp;INDEX($A$2:$A$801,MATCH(397,$D$2:$D$801,0))&amp;""",",IF(397=$I$4+1,"]","")))</f>
        <v/>
      </c>
    </row>
    <row r="400" customFormat="false" ht="15" hidden="false" customHeight="false" outlineLevel="0" collapsed="false">
      <c r="A400" s="11" t="str">
        <f aca="false">IF(INVENTÁRIO!A400="","",INVENTÁRIO!A400)</f>
        <v/>
      </c>
      <c r="B400" s="11" t="str">
        <f aca="false">IF(A400="","",INVENTÁRIO!B400)</f>
        <v/>
      </c>
      <c r="C400" s="16" t="str">
        <f aca="false">IF(A400="","",IFERROR(INDEX($L$2:$L$801,MATCH(A400,$K$2:$K$801,0)),"Não verificada"))</f>
        <v/>
      </c>
      <c r="D400" s="11" t="str">
        <f aca="false">IF(AND(A400&lt;&gt;"",C400&lt;&gt;"Tem foto"),MAX(D$1:D399)+1,"")</f>
        <v/>
      </c>
      <c r="F400" s="26" t="str">
        <f aca="false">IF($I$4=0,"",IF(398&lt;=$I$4,"    """&amp;INDEX($A$2:$A$801,MATCH(398,$D$2:$D$801,0))&amp;""",",IF(398=$I$4+1,"]","")))</f>
        <v/>
      </c>
    </row>
    <row r="401" customFormat="false" ht="15" hidden="false" customHeight="false" outlineLevel="0" collapsed="false">
      <c r="A401" s="11" t="str">
        <f aca="false">IF(INVENTÁRIO!A401="","",INVENTÁRIO!A401)</f>
        <v/>
      </c>
      <c r="B401" s="11" t="str">
        <f aca="false">IF(A401="","",INVENTÁRIO!B401)</f>
        <v/>
      </c>
      <c r="C401" s="16" t="str">
        <f aca="false">IF(A401="","",IFERROR(INDEX($L$2:$L$801,MATCH(A401,$K$2:$K$801,0)),"Não verificada"))</f>
        <v/>
      </c>
      <c r="D401" s="11" t="str">
        <f aca="false">IF(AND(A401&lt;&gt;"",C401&lt;&gt;"Tem foto"),MAX(D$1:D400)+1,"")</f>
        <v/>
      </c>
      <c r="F401" s="26" t="str">
        <f aca="false">IF($I$4=0,"",IF(399&lt;=$I$4,"    """&amp;INDEX($A$2:$A$801,MATCH(399,$D$2:$D$801,0))&amp;""",",IF(399=$I$4+1,"]","")))</f>
        <v/>
      </c>
    </row>
    <row r="402" customFormat="false" ht="15" hidden="false" customHeight="false" outlineLevel="0" collapsed="false">
      <c r="A402" s="11" t="str">
        <f aca="false">IF(INVENTÁRIO!A402="","",INVENTÁRIO!A402)</f>
        <v/>
      </c>
      <c r="B402" s="11" t="str">
        <f aca="false">IF(A402="","",INVENTÁRIO!B402)</f>
        <v/>
      </c>
      <c r="C402" s="16" t="str">
        <f aca="false">IF(A402="","",IFERROR(INDEX($L$2:$L$801,MATCH(A402,$K$2:$K$801,0)),"Não verificada"))</f>
        <v/>
      </c>
      <c r="D402" s="11" t="str">
        <f aca="false">IF(AND(A402&lt;&gt;"",C402&lt;&gt;"Tem foto"),MAX(D$1:D401)+1,"")</f>
        <v/>
      </c>
      <c r="F402" s="26" t="str">
        <f aca="false">IF($I$4=0,"",IF(400&lt;=$I$4,"    """&amp;INDEX($A$2:$A$801,MATCH(400,$D$2:$D$801,0))&amp;""",",IF(400=$I$4+1,"]","")))</f>
        <v/>
      </c>
    </row>
    <row r="403" customFormat="false" ht="15" hidden="false" customHeight="false" outlineLevel="0" collapsed="false">
      <c r="A403" s="11" t="str">
        <f aca="false">IF(INVENTÁRIO!A403="","",INVENTÁRIO!A403)</f>
        <v/>
      </c>
      <c r="B403" s="11" t="str">
        <f aca="false">IF(A403="","",INVENTÁRIO!B403)</f>
        <v/>
      </c>
      <c r="C403" s="16" t="str">
        <f aca="false">IF(A403="","",IFERROR(INDEX($L$2:$L$801,MATCH(A403,$K$2:$K$801,0)),"Não verificada"))</f>
        <v/>
      </c>
      <c r="D403" s="11" t="str">
        <f aca="false">IF(AND(A403&lt;&gt;"",C403&lt;&gt;"Tem foto"),MAX(D$1:D402)+1,"")</f>
        <v/>
      </c>
      <c r="F403" s="26" t="str">
        <f aca="false">IF($I$4=0,"",IF(401&lt;=$I$4,"    """&amp;INDEX($A$2:$A$801,MATCH(401,$D$2:$D$801,0))&amp;""",",IF(401=$I$4+1,"]","")))</f>
        <v/>
      </c>
    </row>
    <row r="404" customFormat="false" ht="15" hidden="false" customHeight="false" outlineLevel="0" collapsed="false">
      <c r="A404" s="11" t="str">
        <f aca="false">IF(INVENTÁRIO!A404="","",INVENTÁRIO!A404)</f>
        <v/>
      </c>
      <c r="B404" s="11" t="str">
        <f aca="false">IF(A404="","",INVENTÁRIO!B404)</f>
        <v/>
      </c>
      <c r="C404" s="16" t="str">
        <f aca="false">IF(A404="","",IFERROR(INDEX($L$2:$L$801,MATCH(A404,$K$2:$K$801,0)),"Não verificada"))</f>
        <v/>
      </c>
      <c r="D404" s="11" t="str">
        <f aca="false">IF(AND(A404&lt;&gt;"",C404&lt;&gt;"Tem foto"),MAX(D$1:D403)+1,"")</f>
        <v/>
      </c>
      <c r="F404" s="26" t="str">
        <f aca="false">IF($I$4=0,"",IF(402&lt;=$I$4,"    """&amp;INDEX($A$2:$A$801,MATCH(402,$D$2:$D$801,0))&amp;""",",IF(402=$I$4+1,"]","")))</f>
        <v/>
      </c>
    </row>
    <row r="405" customFormat="false" ht="15" hidden="false" customHeight="false" outlineLevel="0" collapsed="false">
      <c r="A405" s="11" t="str">
        <f aca="false">IF(INVENTÁRIO!A405="","",INVENTÁRIO!A405)</f>
        <v/>
      </c>
      <c r="B405" s="11" t="str">
        <f aca="false">IF(A405="","",INVENTÁRIO!B405)</f>
        <v/>
      </c>
      <c r="C405" s="16" t="str">
        <f aca="false">IF(A405="","",IFERROR(INDEX($L$2:$L$801,MATCH(A405,$K$2:$K$801,0)),"Não verificada"))</f>
        <v/>
      </c>
      <c r="D405" s="11" t="str">
        <f aca="false">IF(AND(A405&lt;&gt;"",C405&lt;&gt;"Tem foto"),MAX(D$1:D404)+1,"")</f>
        <v/>
      </c>
      <c r="F405" s="26" t="str">
        <f aca="false">IF($I$4=0,"",IF(403&lt;=$I$4,"    """&amp;INDEX($A$2:$A$801,MATCH(403,$D$2:$D$801,0))&amp;""",",IF(403=$I$4+1,"]","")))</f>
        <v/>
      </c>
    </row>
    <row r="406" customFormat="false" ht="15" hidden="false" customHeight="false" outlineLevel="0" collapsed="false">
      <c r="A406" s="11" t="str">
        <f aca="false">IF(INVENTÁRIO!A406="","",INVENTÁRIO!A406)</f>
        <v/>
      </c>
      <c r="B406" s="11" t="str">
        <f aca="false">IF(A406="","",INVENTÁRIO!B406)</f>
        <v/>
      </c>
      <c r="C406" s="16" t="str">
        <f aca="false">IF(A406="","",IFERROR(INDEX($L$2:$L$801,MATCH(A406,$K$2:$K$801,0)),"Não verificada"))</f>
        <v/>
      </c>
      <c r="D406" s="11" t="str">
        <f aca="false">IF(AND(A406&lt;&gt;"",C406&lt;&gt;"Tem foto"),MAX(D$1:D405)+1,"")</f>
        <v/>
      </c>
      <c r="F406" s="26" t="str">
        <f aca="false">IF($I$4=0,"",IF(404&lt;=$I$4,"    """&amp;INDEX($A$2:$A$801,MATCH(404,$D$2:$D$801,0))&amp;""",",IF(404=$I$4+1,"]","")))</f>
        <v/>
      </c>
    </row>
    <row r="407" customFormat="false" ht="15" hidden="false" customHeight="false" outlineLevel="0" collapsed="false">
      <c r="A407" s="11" t="str">
        <f aca="false">IF(INVENTÁRIO!A407="","",INVENTÁRIO!A407)</f>
        <v/>
      </c>
      <c r="B407" s="11" t="str">
        <f aca="false">IF(A407="","",INVENTÁRIO!B407)</f>
        <v/>
      </c>
      <c r="C407" s="16" t="str">
        <f aca="false">IF(A407="","",IFERROR(INDEX($L$2:$L$801,MATCH(A407,$K$2:$K$801,0)),"Não verificada"))</f>
        <v/>
      </c>
      <c r="D407" s="11" t="str">
        <f aca="false">IF(AND(A407&lt;&gt;"",C407&lt;&gt;"Tem foto"),MAX(D$1:D406)+1,"")</f>
        <v/>
      </c>
      <c r="F407" s="26" t="str">
        <f aca="false">IF($I$4=0,"",IF(405&lt;=$I$4,"    """&amp;INDEX($A$2:$A$801,MATCH(405,$D$2:$D$801,0))&amp;""",",IF(405=$I$4+1,"]","")))</f>
        <v/>
      </c>
    </row>
    <row r="408" customFormat="false" ht="15" hidden="false" customHeight="false" outlineLevel="0" collapsed="false">
      <c r="A408" s="11" t="str">
        <f aca="false">IF(INVENTÁRIO!A408="","",INVENTÁRIO!A408)</f>
        <v/>
      </c>
      <c r="B408" s="11" t="str">
        <f aca="false">IF(A408="","",INVENTÁRIO!B408)</f>
        <v/>
      </c>
      <c r="C408" s="16" t="str">
        <f aca="false">IF(A408="","",IFERROR(INDEX($L$2:$L$801,MATCH(A408,$K$2:$K$801,0)),"Não verificada"))</f>
        <v/>
      </c>
      <c r="D408" s="11" t="str">
        <f aca="false">IF(AND(A408&lt;&gt;"",C408&lt;&gt;"Tem foto"),MAX(D$1:D407)+1,"")</f>
        <v/>
      </c>
      <c r="F408" s="26" t="str">
        <f aca="false">IF($I$4=0,"",IF(406&lt;=$I$4,"    """&amp;INDEX($A$2:$A$801,MATCH(406,$D$2:$D$801,0))&amp;""",",IF(406=$I$4+1,"]","")))</f>
        <v/>
      </c>
    </row>
    <row r="409" customFormat="false" ht="15" hidden="false" customHeight="false" outlineLevel="0" collapsed="false">
      <c r="A409" s="11" t="str">
        <f aca="false">IF(INVENTÁRIO!A409="","",INVENTÁRIO!A409)</f>
        <v/>
      </c>
      <c r="B409" s="11" t="str">
        <f aca="false">IF(A409="","",INVENTÁRIO!B409)</f>
        <v/>
      </c>
      <c r="C409" s="16" t="str">
        <f aca="false">IF(A409="","",IFERROR(INDEX($L$2:$L$801,MATCH(A409,$K$2:$K$801,0)),"Não verificada"))</f>
        <v/>
      </c>
      <c r="D409" s="11" t="str">
        <f aca="false">IF(AND(A409&lt;&gt;"",C409&lt;&gt;"Tem foto"),MAX(D$1:D408)+1,"")</f>
        <v/>
      </c>
      <c r="F409" s="26" t="str">
        <f aca="false">IF($I$4=0,"",IF(407&lt;=$I$4,"    """&amp;INDEX($A$2:$A$801,MATCH(407,$D$2:$D$801,0))&amp;""",",IF(407=$I$4+1,"]","")))</f>
        <v/>
      </c>
    </row>
    <row r="410" customFormat="false" ht="15" hidden="false" customHeight="false" outlineLevel="0" collapsed="false">
      <c r="A410" s="11" t="str">
        <f aca="false">IF(INVENTÁRIO!A410="","",INVENTÁRIO!A410)</f>
        <v/>
      </c>
      <c r="B410" s="11" t="str">
        <f aca="false">IF(A410="","",INVENTÁRIO!B410)</f>
        <v/>
      </c>
      <c r="C410" s="16" t="str">
        <f aca="false">IF(A410="","",IFERROR(INDEX($L$2:$L$801,MATCH(A410,$K$2:$K$801,0)),"Não verificada"))</f>
        <v/>
      </c>
      <c r="D410" s="11" t="str">
        <f aca="false">IF(AND(A410&lt;&gt;"",C410&lt;&gt;"Tem foto"),MAX(D$1:D409)+1,"")</f>
        <v/>
      </c>
      <c r="F410" s="26" t="str">
        <f aca="false">IF($I$4=0,"",IF(408&lt;=$I$4,"    """&amp;INDEX($A$2:$A$801,MATCH(408,$D$2:$D$801,0))&amp;""",",IF(408=$I$4+1,"]","")))</f>
        <v/>
      </c>
    </row>
    <row r="411" customFormat="false" ht="15" hidden="false" customHeight="false" outlineLevel="0" collapsed="false">
      <c r="A411" s="11" t="str">
        <f aca="false">IF(INVENTÁRIO!A411="","",INVENTÁRIO!A411)</f>
        <v/>
      </c>
      <c r="B411" s="11" t="str">
        <f aca="false">IF(A411="","",INVENTÁRIO!B411)</f>
        <v/>
      </c>
      <c r="C411" s="16" t="str">
        <f aca="false">IF(A411="","",IFERROR(INDEX($L$2:$L$801,MATCH(A411,$K$2:$K$801,0)),"Não verificada"))</f>
        <v/>
      </c>
      <c r="D411" s="11" t="str">
        <f aca="false">IF(AND(A411&lt;&gt;"",C411&lt;&gt;"Tem foto"),MAX(D$1:D410)+1,"")</f>
        <v/>
      </c>
      <c r="F411" s="26" t="str">
        <f aca="false">IF($I$4=0,"",IF(409&lt;=$I$4,"    """&amp;INDEX($A$2:$A$801,MATCH(409,$D$2:$D$801,0))&amp;""",",IF(409=$I$4+1,"]","")))</f>
        <v/>
      </c>
    </row>
    <row r="412" customFormat="false" ht="15" hidden="false" customHeight="false" outlineLevel="0" collapsed="false">
      <c r="A412" s="11" t="str">
        <f aca="false">IF(INVENTÁRIO!A412="","",INVENTÁRIO!A412)</f>
        <v/>
      </c>
      <c r="B412" s="11" t="str">
        <f aca="false">IF(A412="","",INVENTÁRIO!B412)</f>
        <v/>
      </c>
      <c r="C412" s="16" t="str">
        <f aca="false">IF(A412="","",IFERROR(INDEX($L$2:$L$801,MATCH(A412,$K$2:$K$801,0)),"Não verificada"))</f>
        <v/>
      </c>
      <c r="D412" s="11" t="str">
        <f aca="false">IF(AND(A412&lt;&gt;"",C412&lt;&gt;"Tem foto"),MAX(D$1:D411)+1,"")</f>
        <v/>
      </c>
      <c r="F412" s="26" t="str">
        <f aca="false">IF($I$4=0,"",IF(410&lt;=$I$4,"    """&amp;INDEX($A$2:$A$801,MATCH(410,$D$2:$D$801,0))&amp;""",",IF(410=$I$4+1,"]","")))</f>
        <v/>
      </c>
    </row>
    <row r="413" customFormat="false" ht="15" hidden="false" customHeight="false" outlineLevel="0" collapsed="false">
      <c r="A413" s="11" t="str">
        <f aca="false">IF(INVENTÁRIO!A413="","",INVENTÁRIO!A413)</f>
        <v/>
      </c>
      <c r="B413" s="11" t="str">
        <f aca="false">IF(A413="","",INVENTÁRIO!B413)</f>
        <v/>
      </c>
      <c r="C413" s="16" t="str">
        <f aca="false">IF(A413="","",IFERROR(INDEX($L$2:$L$801,MATCH(A413,$K$2:$K$801,0)),"Não verificada"))</f>
        <v/>
      </c>
      <c r="D413" s="11" t="str">
        <f aca="false">IF(AND(A413&lt;&gt;"",C413&lt;&gt;"Tem foto"),MAX(D$1:D412)+1,"")</f>
        <v/>
      </c>
      <c r="F413" s="26" t="str">
        <f aca="false">IF($I$4=0,"",IF(411&lt;=$I$4,"    """&amp;INDEX($A$2:$A$801,MATCH(411,$D$2:$D$801,0))&amp;""",",IF(411=$I$4+1,"]","")))</f>
        <v/>
      </c>
    </row>
    <row r="414" customFormat="false" ht="15" hidden="false" customHeight="false" outlineLevel="0" collapsed="false">
      <c r="A414" s="11" t="str">
        <f aca="false">IF(INVENTÁRIO!A414="","",INVENTÁRIO!A414)</f>
        <v/>
      </c>
      <c r="B414" s="11" t="str">
        <f aca="false">IF(A414="","",INVENTÁRIO!B414)</f>
        <v/>
      </c>
      <c r="C414" s="16" t="str">
        <f aca="false">IF(A414="","",IFERROR(INDEX($L$2:$L$801,MATCH(A414,$K$2:$K$801,0)),"Não verificada"))</f>
        <v/>
      </c>
      <c r="D414" s="11" t="str">
        <f aca="false">IF(AND(A414&lt;&gt;"",C414&lt;&gt;"Tem foto"),MAX(D$1:D413)+1,"")</f>
        <v/>
      </c>
      <c r="F414" s="26" t="str">
        <f aca="false">IF($I$4=0,"",IF(412&lt;=$I$4,"    """&amp;INDEX($A$2:$A$801,MATCH(412,$D$2:$D$801,0))&amp;""",",IF(412=$I$4+1,"]","")))</f>
        <v/>
      </c>
    </row>
    <row r="415" customFormat="false" ht="15" hidden="false" customHeight="false" outlineLevel="0" collapsed="false">
      <c r="A415" s="11" t="str">
        <f aca="false">IF(INVENTÁRIO!A415="","",INVENTÁRIO!A415)</f>
        <v/>
      </c>
      <c r="B415" s="11" t="str">
        <f aca="false">IF(A415="","",INVENTÁRIO!B415)</f>
        <v/>
      </c>
      <c r="C415" s="16" t="str">
        <f aca="false">IF(A415="","",IFERROR(INDEX($L$2:$L$801,MATCH(A415,$K$2:$K$801,0)),"Não verificada"))</f>
        <v/>
      </c>
      <c r="D415" s="11" t="str">
        <f aca="false">IF(AND(A415&lt;&gt;"",C415&lt;&gt;"Tem foto"),MAX(D$1:D414)+1,"")</f>
        <v/>
      </c>
      <c r="F415" s="26" t="str">
        <f aca="false">IF($I$4=0,"",IF(413&lt;=$I$4,"    """&amp;INDEX($A$2:$A$801,MATCH(413,$D$2:$D$801,0))&amp;""",",IF(413=$I$4+1,"]","")))</f>
        <v/>
      </c>
    </row>
    <row r="416" customFormat="false" ht="15" hidden="false" customHeight="false" outlineLevel="0" collapsed="false">
      <c r="A416" s="11" t="str">
        <f aca="false">IF(INVENTÁRIO!A416="","",INVENTÁRIO!A416)</f>
        <v/>
      </c>
      <c r="B416" s="11" t="str">
        <f aca="false">IF(A416="","",INVENTÁRIO!B416)</f>
        <v/>
      </c>
      <c r="C416" s="16" t="str">
        <f aca="false">IF(A416="","",IFERROR(INDEX($L$2:$L$801,MATCH(A416,$K$2:$K$801,0)),"Não verificada"))</f>
        <v/>
      </c>
      <c r="D416" s="11" t="str">
        <f aca="false">IF(AND(A416&lt;&gt;"",C416&lt;&gt;"Tem foto"),MAX(D$1:D415)+1,"")</f>
        <v/>
      </c>
      <c r="F416" s="26" t="str">
        <f aca="false">IF($I$4=0,"",IF(414&lt;=$I$4,"    """&amp;INDEX($A$2:$A$801,MATCH(414,$D$2:$D$801,0))&amp;""",",IF(414=$I$4+1,"]","")))</f>
        <v/>
      </c>
    </row>
    <row r="417" customFormat="false" ht="15" hidden="false" customHeight="false" outlineLevel="0" collapsed="false">
      <c r="A417" s="11" t="str">
        <f aca="false">IF(INVENTÁRIO!A417="","",INVENTÁRIO!A417)</f>
        <v/>
      </c>
      <c r="B417" s="11" t="str">
        <f aca="false">IF(A417="","",INVENTÁRIO!B417)</f>
        <v/>
      </c>
      <c r="C417" s="16" t="str">
        <f aca="false">IF(A417="","",IFERROR(INDEX($L$2:$L$801,MATCH(A417,$K$2:$K$801,0)),"Não verificada"))</f>
        <v/>
      </c>
      <c r="D417" s="11" t="str">
        <f aca="false">IF(AND(A417&lt;&gt;"",C417&lt;&gt;"Tem foto"),MAX(D$1:D416)+1,"")</f>
        <v/>
      </c>
      <c r="F417" s="26" t="str">
        <f aca="false">IF($I$4=0,"",IF(415&lt;=$I$4,"    """&amp;INDEX($A$2:$A$801,MATCH(415,$D$2:$D$801,0))&amp;""",",IF(415=$I$4+1,"]","")))</f>
        <v/>
      </c>
    </row>
    <row r="418" customFormat="false" ht="15" hidden="false" customHeight="false" outlineLevel="0" collapsed="false">
      <c r="A418" s="11" t="str">
        <f aca="false">IF(INVENTÁRIO!A418="","",INVENTÁRIO!A418)</f>
        <v/>
      </c>
      <c r="B418" s="11" t="str">
        <f aca="false">IF(A418="","",INVENTÁRIO!B418)</f>
        <v/>
      </c>
      <c r="C418" s="16" t="str">
        <f aca="false">IF(A418="","",IFERROR(INDEX($L$2:$L$801,MATCH(A418,$K$2:$K$801,0)),"Não verificada"))</f>
        <v/>
      </c>
      <c r="D418" s="11" t="str">
        <f aca="false">IF(AND(A418&lt;&gt;"",C418&lt;&gt;"Tem foto"),MAX(D$1:D417)+1,"")</f>
        <v/>
      </c>
      <c r="F418" s="26" t="str">
        <f aca="false">IF($I$4=0,"",IF(416&lt;=$I$4,"    """&amp;INDEX($A$2:$A$801,MATCH(416,$D$2:$D$801,0))&amp;""",",IF(416=$I$4+1,"]","")))</f>
        <v/>
      </c>
    </row>
    <row r="419" customFormat="false" ht="15" hidden="false" customHeight="false" outlineLevel="0" collapsed="false">
      <c r="A419" s="11" t="str">
        <f aca="false">IF(INVENTÁRIO!A419="","",INVENTÁRIO!A419)</f>
        <v/>
      </c>
      <c r="B419" s="11" t="str">
        <f aca="false">IF(A419="","",INVENTÁRIO!B419)</f>
        <v/>
      </c>
      <c r="C419" s="16" t="str">
        <f aca="false">IF(A419="","",IFERROR(INDEX($L$2:$L$801,MATCH(A419,$K$2:$K$801,0)),"Não verificada"))</f>
        <v/>
      </c>
      <c r="D419" s="11" t="str">
        <f aca="false">IF(AND(A419&lt;&gt;"",C419&lt;&gt;"Tem foto"),MAX(D$1:D418)+1,"")</f>
        <v/>
      </c>
      <c r="F419" s="26" t="str">
        <f aca="false">IF($I$4=0,"",IF(417&lt;=$I$4,"    """&amp;INDEX($A$2:$A$801,MATCH(417,$D$2:$D$801,0))&amp;""",",IF(417=$I$4+1,"]","")))</f>
        <v/>
      </c>
    </row>
    <row r="420" customFormat="false" ht="15" hidden="false" customHeight="false" outlineLevel="0" collapsed="false">
      <c r="A420" s="11" t="str">
        <f aca="false">IF(INVENTÁRIO!A420="","",INVENTÁRIO!A420)</f>
        <v/>
      </c>
      <c r="B420" s="11" t="str">
        <f aca="false">IF(A420="","",INVENTÁRIO!B420)</f>
        <v/>
      </c>
      <c r="C420" s="16" t="str">
        <f aca="false">IF(A420="","",IFERROR(INDEX($L$2:$L$801,MATCH(A420,$K$2:$K$801,0)),"Não verificada"))</f>
        <v/>
      </c>
      <c r="D420" s="11" t="str">
        <f aca="false">IF(AND(A420&lt;&gt;"",C420&lt;&gt;"Tem foto"),MAX(D$1:D419)+1,"")</f>
        <v/>
      </c>
      <c r="F420" s="26" t="str">
        <f aca="false">IF($I$4=0,"",IF(418&lt;=$I$4,"    """&amp;INDEX($A$2:$A$801,MATCH(418,$D$2:$D$801,0))&amp;""",",IF(418=$I$4+1,"]","")))</f>
        <v/>
      </c>
    </row>
    <row r="421" customFormat="false" ht="15" hidden="false" customHeight="false" outlineLevel="0" collapsed="false">
      <c r="A421" s="11" t="str">
        <f aca="false">IF(INVENTÁRIO!A421="","",INVENTÁRIO!A421)</f>
        <v/>
      </c>
      <c r="B421" s="11" t="str">
        <f aca="false">IF(A421="","",INVENTÁRIO!B421)</f>
        <v/>
      </c>
      <c r="C421" s="16" t="str">
        <f aca="false">IF(A421="","",IFERROR(INDEX($L$2:$L$801,MATCH(A421,$K$2:$K$801,0)),"Não verificada"))</f>
        <v/>
      </c>
      <c r="D421" s="11" t="str">
        <f aca="false">IF(AND(A421&lt;&gt;"",C421&lt;&gt;"Tem foto"),MAX(D$1:D420)+1,"")</f>
        <v/>
      </c>
      <c r="F421" s="26" t="str">
        <f aca="false">IF($I$4=0,"",IF(419&lt;=$I$4,"    """&amp;INDEX($A$2:$A$801,MATCH(419,$D$2:$D$801,0))&amp;""",",IF(419=$I$4+1,"]","")))</f>
        <v/>
      </c>
    </row>
    <row r="422" customFormat="false" ht="15" hidden="false" customHeight="false" outlineLevel="0" collapsed="false">
      <c r="A422" s="11" t="str">
        <f aca="false">IF(INVENTÁRIO!A422="","",INVENTÁRIO!A422)</f>
        <v/>
      </c>
      <c r="B422" s="11" t="str">
        <f aca="false">IF(A422="","",INVENTÁRIO!B422)</f>
        <v/>
      </c>
      <c r="C422" s="16" t="str">
        <f aca="false">IF(A422="","",IFERROR(INDEX($L$2:$L$801,MATCH(A422,$K$2:$K$801,0)),"Não verificada"))</f>
        <v/>
      </c>
      <c r="D422" s="11" t="str">
        <f aca="false">IF(AND(A422&lt;&gt;"",C422&lt;&gt;"Tem foto"),MAX(D$1:D421)+1,"")</f>
        <v/>
      </c>
      <c r="F422" s="26" t="str">
        <f aca="false">IF($I$4=0,"",IF(420&lt;=$I$4,"    """&amp;INDEX($A$2:$A$801,MATCH(420,$D$2:$D$801,0))&amp;""",",IF(420=$I$4+1,"]","")))</f>
        <v/>
      </c>
    </row>
    <row r="423" customFormat="false" ht="15" hidden="false" customHeight="false" outlineLevel="0" collapsed="false">
      <c r="A423" s="11" t="str">
        <f aca="false">IF(INVENTÁRIO!A423="","",INVENTÁRIO!A423)</f>
        <v/>
      </c>
      <c r="B423" s="11" t="str">
        <f aca="false">IF(A423="","",INVENTÁRIO!B423)</f>
        <v/>
      </c>
      <c r="C423" s="16" t="str">
        <f aca="false">IF(A423="","",IFERROR(INDEX($L$2:$L$801,MATCH(A423,$K$2:$K$801,0)),"Não verificada"))</f>
        <v/>
      </c>
      <c r="D423" s="11" t="str">
        <f aca="false">IF(AND(A423&lt;&gt;"",C423&lt;&gt;"Tem foto"),MAX(D$1:D422)+1,"")</f>
        <v/>
      </c>
      <c r="F423" s="26" t="str">
        <f aca="false">IF($I$4=0,"",IF(421&lt;=$I$4,"    """&amp;INDEX($A$2:$A$801,MATCH(421,$D$2:$D$801,0))&amp;""",",IF(421=$I$4+1,"]","")))</f>
        <v/>
      </c>
    </row>
    <row r="424" customFormat="false" ht="15" hidden="false" customHeight="false" outlineLevel="0" collapsed="false">
      <c r="A424" s="11" t="str">
        <f aca="false">IF(INVENTÁRIO!A424="","",INVENTÁRIO!A424)</f>
        <v/>
      </c>
      <c r="B424" s="11" t="str">
        <f aca="false">IF(A424="","",INVENTÁRIO!B424)</f>
        <v/>
      </c>
      <c r="C424" s="16" t="str">
        <f aca="false">IF(A424="","",IFERROR(INDEX($L$2:$L$801,MATCH(A424,$K$2:$K$801,0)),"Não verificada"))</f>
        <v/>
      </c>
      <c r="D424" s="11" t="str">
        <f aca="false">IF(AND(A424&lt;&gt;"",C424&lt;&gt;"Tem foto"),MAX(D$1:D423)+1,"")</f>
        <v/>
      </c>
      <c r="F424" s="26" t="str">
        <f aca="false">IF($I$4=0,"",IF(422&lt;=$I$4,"    """&amp;INDEX($A$2:$A$801,MATCH(422,$D$2:$D$801,0))&amp;""",",IF(422=$I$4+1,"]","")))</f>
        <v/>
      </c>
    </row>
    <row r="425" customFormat="false" ht="15" hidden="false" customHeight="false" outlineLevel="0" collapsed="false">
      <c r="A425" s="11" t="str">
        <f aca="false">IF(INVENTÁRIO!A425="","",INVENTÁRIO!A425)</f>
        <v/>
      </c>
      <c r="B425" s="11" t="str">
        <f aca="false">IF(A425="","",INVENTÁRIO!B425)</f>
        <v/>
      </c>
      <c r="C425" s="16" t="str">
        <f aca="false">IF(A425="","",IFERROR(INDEX($L$2:$L$801,MATCH(A425,$K$2:$K$801,0)),"Não verificada"))</f>
        <v/>
      </c>
      <c r="D425" s="11" t="str">
        <f aca="false">IF(AND(A425&lt;&gt;"",C425&lt;&gt;"Tem foto"),MAX(D$1:D424)+1,"")</f>
        <v/>
      </c>
      <c r="F425" s="26" t="str">
        <f aca="false">IF($I$4=0,"",IF(423&lt;=$I$4,"    """&amp;INDEX($A$2:$A$801,MATCH(423,$D$2:$D$801,0))&amp;""",",IF(423=$I$4+1,"]","")))</f>
        <v/>
      </c>
    </row>
    <row r="426" customFormat="false" ht="15" hidden="false" customHeight="false" outlineLevel="0" collapsed="false">
      <c r="A426" s="11" t="str">
        <f aca="false">IF(INVENTÁRIO!A426="","",INVENTÁRIO!A426)</f>
        <v/>
      </c>
      <c r="B426" s="11" t="str">
        <f aca="false">IF(A426="","",INVENTÁRIO!B426)</f>
        <v/>
      </c>
      <c r="C426" s="16" t="str">
        <f aca="false">IF(A426="","",IFERROR(INDEX($L$2:$L$801,MATCH(A426,$K$2:$K$801,0)),"Não verificada"))</f>
        <v/>
      </c>
      <c r="D426" s="11" t="str">
        <f aca="false">IF(AND(A426&lt;&gt;"",C426&lt;&gt;"Tem foto"),MAX(D$1:D425)+1,"")</f>
        <v/>
      </c>
      <c r="F426" s="26" t="str">
        <f aca="false">IF($I$4=0,"",IF(424&lt;=$I$4,"    """&amp;INDEX($A$2:$A$801,MATCH(424,$D$2:$D$801,0))&amp;""",",IF(424=$I$4+1,"]","")))</f>
        <v/>
      </c>
    </row>
    <row r="427" customFormat="false" ht="15" hidden="false" customHeight="false" outlineLevel="0" collapsed="false">
      <c r="A427" s="11" t="str">
        <f aca="false">IF(INVENTÁRIO!A427="","",INVENTÁRIO!A427)</f>
        <v/>
      </c>
      <c r="B427" s="11" t="str">
        <f aca="false">IF(A427="","",INVENTÁRIO!B427)</f>
        <v/>
      </c>
      <c r="C427" s="16" t="str">
        <f aca="false">IF(A427="","",IFERROR(INDEX($L$2:$L$801,MATCH(A427,$K$2:$K$801,0)),"Não verificada"))</f>
        <v/>
      </c>
      <c r="D427" s="11" t="str">
        <f aca="false">IF(AND(A427&lt;&gt;"",C427&lt;&gt;"Tem foto"),MAX(D$1:D426)+1,"")</f>
        <v/>
      </c>
      <c r="F427" s="26" t="str">
        <f aca="false">IF($I$4=0,"",IF(425&lt;=$I$4,"    """&amp;INDEX($A$2:$A$801,MATCH(425,$D$2:$D$801,0))&amp;""",",IF(425=$I$4+1,"]","")))</f>
        <v/>
      </c>
    </row>
    <row r="428" customFormat="false" ht="15" hidden="false" customHeight="false" outlineLevel="0" collapsed="false">
      <c r="A428" s="11" t="str">
        <f aca="false">IF(INVENTÁRIO!A428="","",INVENTÁRIO!A428)</f>
        <v/>
      </c>
      <c r="B428" s="11" t="str">
        <f aca="false">IF(A428="","",INVENTÁRIO!B428)</f>
        <v/>
      </c>
      <c r="C428" s="16" t="str">
        <f aca="false">IF(A428="","",IFERROR(INDEX($L$2:$L$801,MATCH(A428,$K$2:$K$801,0)),"Não verificada"))</f>
        <v/>
      </c>
      <c r="D428" s="11" t="str">
        <f aca="false">IF(AND(A428&lt;&gt;"",C428&lt;&gt;"Tem foto"),MAX(D$1:D427)+1,"")</f>
        <v/>
      </c>
      <c r="F428" s="26" t="str">
        <f aca="false">IF($I$4=0,"",IF(426&lt;=$I$4,"    """&amp;INDEX($A$2:$A$801,MATCH(426,$D$2:$D$801,0))&amp;""",",IF(426=$I$4+1,"]","")))</f>
        <v/>
      </c>
    </row>
    <row r="429" customFormat="false" ht="15" hidden="false" customHeight="false" outlineLevel="0" collapsed="false">
      <c r="A429" s="11" t="str">
        <f aca="false">IF(INVENTÁRIO!A429="","",INVENTÁRIO!A429)</f>
        <v/>
      </c>
      <c r="B429" s="11" t="str">
        <f aca="false">IF(A429="","",INVENTÁRIO!B429)</f>
        <v/>
      </c>
      <c r="C429" s="16" t="str">
        <f aca="false">IF(A429="","",IFERROR(INDEX($L$2:$L$801,MATCH(A429,$K$2:$K$801,0)),"Não verificada"))</f>
        <v/>
      </c>
      <c r="D429" s="11" t="str">
        <f aca="false">IF(AND(A429&lt;&gt;"",C429&lt;&gt;"Tem foto"),MAX(D$1:D428)+1,"")</f>
        <v/>
      </c>
      <c r="F429" s="26" t="str">
        <f aca="false">IF($I$4=0,"",IF(427&lt;=$I$4,"    """&amp;INDEX($A$2:$A$801,MATCH(427,$D$2:$D$801,0))&amp;""",",IF(427=$I$4+1,"]","")))</f>
        <v/>
      </c>
    </row>
    <row r="430" customFormat="false" ht="15" hidden="false" customHeight="false" outlineLevel="0" collapsed="false">
      <c r="A430" s="11" t="str">
        <f aca="false">IF(INVENTÁRIO!A430="","",INVENTÁRIO!A430)</f>
        <v/>
      </c>
      <c r="B430" s="11" t="str">
        <f aca="false">IF(A430="","",INVENTÁRIO!B430)</f>
        <v/>
      </c>
      <c r="C430" s="16" t="str">
        <f aca="false">IF(A430="","",IFERROR(INDEX($L$2:$L$801,MATCH(A430,$K$2:$K$801,0)),"Não verificada"))</f>
        <v/>
      </c>
      <c r="D430" s="11" t="str">
        <f aca="false">IF(AND(A430&lt;&gt;"",C430&lt;&gt;"Tem foto"),MAX(D$1:D429)+1,"")</f>
        <v/>
      </c>
      <c r="F430" s="26" t="str">
        <f aca="false">IF($I$4=0,"",IF(428&lt;=$I$4,"    """&amp;INDEX($A$2:$A$801,MATCH(428,$D$2:$D$801,0))&amp;""",",IF(428=$I$4+1,"]","")))</f>
        <v/>
      </c>
    </row>
    <row r="431" customFormat="false" ht="15" hidden="false" customHeight="false" outlineLevel="0" collapsed="false">
      <c r="A431" s="11" t="str">
        <f aca="false">IF(INVENTÁRIO!A431="","",INVENTÁRIO!A431)</f>
        <v/>
      </c>
      <c r="B431" s="11" t="str">
        <f aca="false">IF(A431="","",INVENTÁRIO!B431)</f>
        <v/>
      </c>
      <c r="C431" s="16" t="str">
        <f aca="false">IF(A431="","",IFERROR(INDEX($L$2:$L$801,MATCH(A431,$K$2:$K$801,0)),"Não verificada"))</f>
        <v/>
      </c>
      <c r="D431" s="11" t="str">
        <f aca="false">IF(AND(A431&lt;&gt;"",C431&lt;&gt;"Tem foto"),MAX(D$1:D430)+1,"")</f>
        <v/>
      </c>
      <c r="F431" s="26" t="str">
        <f aca="false">IF($I$4=0,"",IF(429&lt;=$I$4,"    """&amp;INDEX($A$2:$A$801,MATCH(429,$D$2:$D$801,0))&amp;""",",IF(429=$I$4+1,"]","")))</f>
        <v/>
      </c>
    </row>
    <row r="432" customFormat="false" ht="15" hidden="false" customHeight="false" outlineLevel="0" collapsed="false">
      <c r="A432" s="11" t="str">
        <f aca="false">IF(INVENTÁRIO!A432="","",INVENTÁRIO!A432)</f>
        <v/>
      </c>
      <c r="B432" s="11" t="str">
        <f aca="false">IF(A432="","",INVENTÁRIO!B432)</f>
        <v/>
      </c>
      <c r="C432" s="16" t="str">
        <f aca="false">IF(A432="","",IFERROR(INDEX($L$2:$L$801,MATCH(A432,$K$2:$K$801,0)),"Não verificada"))</f>
        <v/>
      </c>
      <c r="D432" s="11" t="str">
        <f aca="false">IF(AND(A432&lt;&gt;"",C432&lt;&gt;"Tem foto"),MAX(D$1:D431)+1,"")</f>
        <v/>
      </c>
      <c r="F432" s="26" t="str">
        <f aca="false">IF($I$4=0,"",IF(430&lt;=$I$4,"    """&amp;INDEX($A$2:$A$801,MATCH(430,$D$2:$D$801,0))&amp;""",",IF(430=$I$4+1,"]","")))</f>
        <v/>
      </c>
    </row>
    <row r="433" customFormat="false" ht="15" hidden="false" customHeight="false" outlineLevel="0" collapsed="false">
      <c r="A433" s="11" t="str">
        <f aca="false">IF(INVENTÁRIO!A433="","",INVENTÁRIO!A433)</f>
        <v/>
      </c>
      <c r="B433" s="11" t="str">
        <f aca="false">IF(A433="","",INVENTÁRIO!B433)</f>
        <v/>
      </c>
      <c r="C433" s="16" t="str">
        <f aca="false">IF(A433="","",IFERROR(INDEX($L$2:$L$801,MATCH(A433,$K$2:$K$801,0)),"Não verificada"))</f>
        <v/>
      </c>
      <c r="D433" s="11" t="str">
        <f aca="false">IF(AND(A433&lt;&gt;"",C433&lt;&gt;"Tem foto"),MAX(D$1:D432)+1,"")</f>
        <v/>
      </c>
      <c r="F433" s="26" t="str">
        <f aca="false">IF($I$4=0,"",IF(431&lt;=$I$4,"    """&amp;INDEX($A$2:$A$801,MATCH(431,$D$2:$D$801,0))&amp;""",",IF(431=$I$4+1,"]","")))</f>
        <v/>
      </c>
    </row>
    <row r="434" customFormat="false" ht="15" hidden="false" customHeight="false" outlineLevel="0" collapsed="false">
      <c r="A434" s="11" t="str">
        <f aca="false">IF(INVENTÁRIO!A434="","",INVENTÁRIO!A434)</f>
        <v/>
      </c>
      <c r="B434" s="11" t="str">
        <f aca="false">IF(A434="","",INVENTÁRIO!B434)</f>
        <v/>
      </c>
      <c r="C434" s="16" t="str">
        <f aca="false">IF(A434="","",IFERROR(INDEX($L$2:$L$801,MATCH(A434,$K$2:$K$801,0)),"Não verificada"))</f>
        <v/>
      </c>
      <c r="D434" s="11" t="str">
        <f aca="false">IF(AND(A434&lt;&gt;"",C434&lt;&gt;"Tem foto"),MAX(D$1:D433)+1,"")</f>
        <v/>
      </c>
      <c r="F434" s="26" t="str">
        <f aca="false">IF($I$4=0,"",IF(432&lt;=$I$4,"    """&amp;INDEX($A$2:$A$801,MATCH(432,$D$2:$D$801,0))&amp;""",",IF(432=$I$4+1,"]","")))</f>
        <v/>
      </c>
    </row>
    <row r="435" customFormat="false" ht="15" hidden="false" customHeight="false" outlineLevel="0" collapsed="false">
      <c r="A435" s="11" t="str">
        <f aca="false">IF(INVENTÁRIO!A435="","",INVENTÁRIO!A435)</f>
        <v/>
      </c>
      <c r="B435" s="11" t="str">
        <f aca="false">IF(A435="","",INVENTÁRIO!B435)</f>
        <v/>
      </c>
      <c r="C435" s="16" t="str">
        <f aca="false">IF(A435="","",IFERROR(INDEX($L$2:$L$801,MATCH(A435,$K$2:$K$801,0)),"Não verificada"))</f>
        <v/>
      </c>
      <c r="D435" s="11" t="str">
        <f aca="false">IF(AND(A435&lt;&gt;"",C435&lt;&gt;"Tem foto"),MAX(D$1:D434)+1,"")</f>
        <v/>
      </c>
      <c r="F435" s="26" t="str">
        <f aca="false">IF($I$4=0,"",IF(433&lt;=$I$4,"    """&amp;INDEX($A$2:$A$801,MATCH(433,$D$2:$D$801,0))&amp;""",",IF(433=$I$4+1,"]","")))</f>
        <v/>
      </c>
    </row>
    <row r="436" customFormat="false" ht="15" hidden="false" customHeight="false" outlineLevel="0" collapsed="false">
      <c r="A436" s="11" t="str">
        <f aca="false">IF(INVENTÁRIO!A436="","",INVENTÁRIO!A436)</f>
        <v/>
      </c>
      <c r="B436" s="11" t="str">
        <f aca="false">IF(A436="","",INVENTÁRIO!B436)</f>
        <v/>
      </c>
      <c r="C436" s="16" t="str">
        <f aca="false">IF(A436="","",IFERROR(INDEX($L$2:$L$801,MATCH(A436,$K$2:$K$801,0)),"Não verificada"))</f>
        <v/>
      </c>
      <c r="D436" s="11" t="str">
        <f aca="false">IF(AND(A436&lt;&gt;"",C436&lt;&gt;"Tem foto"),MAX(D$1:D435)+1,"")</f>
        <v/>
      </c>
      <c r="F436" s="26" t="str">
        <f aca="false">IF($I$4=0,"",IF(434&lt;=$I$4,"    """&amp;INDEX($A$2:$A$801,MATCH(434,$D$2:$D$801,0))&amp;""",",IF(434=$I$4+1,"]","")))</f>
        <v/>
      </c>
    </row>
    <row r="437" customFormat="false" ht="15" hidden="false" customHeight="false" outlineLevel="0" collapsed="false">
      <c r="A437" s="11" t="str">
        <f aca="false">IF(INVENTÁRIO!A437="","",INVENTÁRIO!A437)</f>
        <v/>
      </c>
      <c r="B437" s="11" t="str">
        <f aca="false">IF(A437="","",INVENTÁRIO!B437)</f>
        <v/>
      </c>
      <c r="C437" s="16" t="str">
        <f aca="false">IF(A437="","",IFERROR(INDEX($L$2:$L$801,MATCH(A437,$K$2:$K$801,0)),"Não verificada"))</f>
        <v/>
      </c>
      <c r="D437" s="11" t="str">
        <f aca="false">IF(AND(A437&lt;&gt;"",C437&lt;&gt;"Tem foto"),MAX(D$1:D436)+1,"")</f>
        <v/>
      </c>
      <c r="F437" s="26" t="str">
        <f aca="false">IF($I$4=0,"",IF(435&lt;=$I$4,"    """&amp;INDEX($A$2:$A$801,MATCH(435,$D$2:$D$801,0))&amp;""",",IF(435=$I$4+1,"]","")))</f>
        <v/>
      </c>
    </row>
    <row r="438" customFormat="false" ht="15" hidden="false" customHeight="false" outlineLevel="0" collapsed="false">
      <c r="A438" s="11" t="str">
        <f aca="false">IF(INVENTÁRIO!A438="","",INVENTÁRIO!A438)</f>
        <v/>
      </c>
      <c r="B438" s="11" t="str">
        <f aca="false">IF(A438="","",INVENTÁRIO!B438)</f>
        <v/>
      </c>
      <c r="C438" s="16" t="str">
        <f aca="false">IF(A438="","",IFERROR(INDEX($L$2:$L$801,MATCH(A438,$K$2:$K$801,0)),"Não verificada"))</f>
        <v/>
      </c>
      <c r="D438" s="11" t="str">
        <f aca="false">IF(AND(A438&lt;&gt;"",C438&lt;&gt;"Tem foto"),MAX(D$1:D437)+1,"")</f>
        <v/>
      </c>
      <c r="F438" s="26" t="str">
        <f aca="false">IF($I$4=0,"",IF(436&lt;=$I$4,"    """&amp;INDEX($A$2:$A$801,MATCH(436,$D$2:$D$801,0))&amp;""",",IF(436=$I$4+1,"]","")))</f>
        <v/>
      </c>
    </row>
    <row r="439" customFormat="false" ht="15" hidden="false" customHeight="false" outlineLevel="0" collapsed="false">
      <c r="A439" s="11" t="str">
        <f aca="false">IF(INVENTÁRIO!A439="","",INVENTÁRIO!A439)</f>
        <v/>
      </c>
      <c r="B439" s="11" t="str">
        <f aca="false">IF(A439="","",INVENTÁRIO!B439)</f>
        <v/>
      </c>
      <c r="C439" s="16" t="str">
        <f aca="false">IF(A439="","",IFERROR(INDEX($L$2:$L$801,MATCH(A439,$K$2:$K$801,0)),"Não verificada"))</f>
        <v/>
      </c>
      <c r="D439" s="11" t="str">
        <f aca="false">IF(AND(A439&lt;&gt;"",C439&lt;&gt;"Tem foto"),MAX(D$1:D438)+1,"")</f>
        <v/>
      </c>
      <c r="F439" s="26" t="str">
        <f aca="false">IF($I$4=0,"",IF(437&lt;=$I$4,"    """&amp;INDEX($A$2:$A$801,MATCH(437,$D$2:$D$801,0))&amp;""",",IF(437=$I$4+1,"]","")))</f>
        <v/>
      </c>
    </row>
    <row r="440" customFormat="false" ht="15" hidden="false" customHeight="false" outlineLevel="0" collapsed="false">
      <c r="A440" s="11" t="str">
        <f aca="false">IF(INVENTÁRIO!A440="","",INVENTÁRIO!A440)</f>
        <v/>
      </c>
      <c r="B440" s="11" t="str">
        <f aca="false">IF(A440="","",INVENTÁRIO!B440)</f>
        <v/>
      </c>
      <c r="C440" s="16" t="str">
        <f aca="false">IF(A440="","",IFERROR(INDEX($L$2:$L$801,MATCH(A440,$K$2:$K$801,0)),"Não verificada"))</f>
        <v/>
      </c>
      <c r="D440" s="11" t="str">
        <f aca="false">IF(AND(A440&lt;&gt;"",C440&lt;&gt;"Tem foto"),MAX(D$1:D439)+1,"")</f>
        <v/>
      </c>
      <c r="F440" s="26" t="str">
        <f aca="false">IF($I$4=0,"",IF(438&lt;=$I$4,"    """&amp;INDEX($A$2:$A$801,MATCH(438,$D$2:$D$801,0))&amp;""",",IF(438=$I$4+1,"]","")))</f>
        <v/>
      </c>
    </row>
    <row r="441" customFormat="false" ht="15" hidden="false" customHeight="false" outlineLevel="0" collapsed="false">
      <c r="A441" s="11" t="str">
        <f aca="false">IF(INVENTÁRIO!A441="","",INVENTÁRIO!A441)</f>
        <v/>
      </c>
      <c r="B441" s="11" t="str">
        <f aca="false">IF(A441="","",INVENTÁRIO!B441)</f>
        <v/>
      </c>
      <c r="C441" s="16" t="str">
        <f aca="false">IF(A441="","",IFERROR(INDEX($L$2:$L$801,MATCH(A441,$K$2:$K$801,0)),"Não verificada"))</f>
        <v/>
      </c>
      <c r="D441" s="11" t="str">
        <f aca="false">IF(AND(A441&lt;&gt;"",C441&lt;&gt;"Tem foto"),MAX(D$1:D440)+1,"")</f>
        <v/>
      </c>
      <c r="F441" s="26" t="str">
        <f aca="false">IF($I$4=0,"",IF(439&lt;=$I$4,"    """&amp;INDEX($A$2:$A$801,MATCH(439,$D$2:$D$801,0))&amp;""",",IF(439=$I$4+1,"]","")))</f>
        <v/>
      </c>
    </row>
    <row r="442" customFormat="false" ht="15" hidden="false" customHeight="false" outlineLevel="0" collapsed="false">
      <c r="A442" s="11" t="str">
        <f aca="false">IF(INVENTÁRIO!A442="","",INVENTÁRIO!A442)</f>
        <v/>
      </c>
      <c r="B442" s="11" t="str">
        <f aca="false">IF(A442="","",INVENTÁRIO!B442)</f>
        <v/>
      </c>
      <c r="C442" s="16" t="str">
        <f aca="false">IF(A442="","",IFERROR(INDEX($L$2:$L$801,MATCH(A442,$K$2:$K$801,0)),"Não verificada"))</f>
        <v/>
      </c>
      <c r="D442" s="11" t="str">
        <f aca="false">IF(AND(A442&lt;&gt;"",C442&lt;&gt;"Tem foto"),MAX(D$1:D441)+1,"")</f>
        <v/>
      </c>
      <c r="F442" s="26" t="str">
        <f aca="false">IF($I$4=0,"",IF(440&lt;=$I$4,"    """&amp;INDEX($A$2:$A$801,MATCH(440,$D$2:$D$801,0))&amp;""",",IF(440=$I$4+1,"]","")))</f>
        <v/>
      </c>
    </row>
    <row r="443" customFormat="false" ht="15" hidden="false" customHeight="false" outlineLevel="0" collapsed="false">
      <c r="A443" s="11" t="str">
        <f aca="false">IF(INVENTÁRIO!A443="","",INVENTÁRIO!A443)</f>
        <v/>
      </c>
      <c r="B443" s="11" t="str">
        <f aca="false">IF(A443="","",INVENTÁRIO!B443)</f>
        <v/>
      </c>
      <c r="C443" s="16" t="str">
        <f aca="false">IF(A443="","",IFERROR(INDEX($L$2:$L$801,MATCH(A443,$K$2:$K$801,0)),"Não verificada"))</f>
        <v/>
      </c>
      <c r="D443" s="11" t="str">
        <f aca="false">IF(AND(A443&lt;&gt;"",C443&lt;&gt;"Tem foto"),MAX(D$1:D442)+1,"")</f>
        <v/>
      </c>
      <c r="F443" s="26" t="str">
        <f aca="false">IF($I$4=0,"",IF(441&lt;=$I$4,"    """&amp;INDEX($A$2:$A$801,MATCH(441,$D$2:$D$801,0))&amp;""",",IF(441=$I$4+1,"]","")))</f>
        <v/>
      </c>
    </row>
    <row r="444" customFormat="false" ht="15" hidden="false" customHeight="false" outlineLevel="0" collapsed="false">
      <c r="A444" s="11" t="str">
        <f aca="false">IF(INVENTÁRIO!A444="","",INVENTÁRIO!A444)</f>
        <v/>
      </c>
      <c r="B444" s="11" t="str">
        <f aca="false">IF(A444="","",INVENTÁRIO!B444)</f>
        <v/>
      </c>
      <c r="C444" s="16" t="str">
        <f aca="false">IF(A444="","",IFERROR(INDEX($L$2:$L$801,MATCH(A444,$K$2:$K$801,0)),"Não verificada"))</f>
        <v/>
      </c>
      <c r="D444" s="11" t="str">
        <f aca="false">IF(AND(A444&lt;&gt;"",C444&lt;&gt;"Tem foto"),MAX(D$1:D443)+1,"")</f>
        <v/>
      </c>
      <c r="F444" s="26" t="str">
        <f aca="false">IF($I$4=0,"",IF(442&lt;=$I$4,"    """&amp;INDEX($A$2:$A$801,MATCH(442,$D$2:$D$801,0))&amp;""",",IF(442=$I$4+1,"]","")))</f>
        <v/>
      </c>
    </row>
    <row r="445" customFormat="false" ht="15" hidden="false" customHeight="false" outlineLevel="0" collapsed="false">
      <c r="A445" s="11" t="str">
        <f aca="false">IF(INVENTÁRIO!A445="","",INVENTÁRIO!A445)</f>
        <v/>
      </c>
      <c r="B445" s="11" t="str">
        <f aca="false">IF(A445="","",INVENTÁRIO!B445)</f>
        <v/>
      </c>
      <c r="C445" s="16" t="str">
        <f aca="false">IF(A445="","",IFERROR(INDEX($L$2:$L$801,MATCH(A445,$K$2:$K$801,0)),"Não verificada"))</f>
        <v/>
      </c>
      <c r="D445" s="11" t="str">
        <f aca="false">IF(AND(A445&lt;&gt;"",C445&lt;&gt;"Tem foto"),MAX(D$1:D444)+1,"")</f>
        <v/>
      </c>
      <c r="F445" s="26" t="str">
        <f aca="false">IF($I$4=0,"",IF(443&lt;=$I$4,"    """&amp;INDEX($A$2:$A$801,MATCH(443,$D$2:$D$801,0))&amp;""",",IF(443=$I$4+1,"]","")))</f>
        <v/>
      </c>
    </row>
    <row r="446" customFormat="false" ht="15" hidden="false" customHeight="false" outlineLevel="0" collapsed="false">
      <c r="A446" s="11" t="str">
        <f aca="false">IF(INVENTÁRIO!A446="","",INVENTÁRIO!A446)</f>
        <v/>
      </c>
      <c r="B446" s="11" t="str">
        <f aca="false">IF(A446="","",INVENTÁRIO!B446)</f>
        <v/>
      </c>
      <c r="C446" s="16" t="str">
        <f aca="false">IF(A446="","",IFERROR(INDEX($L$2:$L$801,MATCH(A446,$K$2:$K$801,0)),"Não verificada"))</f>
        <v/>
      </c>
      <c r="D446" s="11" t="str">
        <f aca="false">IF(AND(A446&lt;&gt;"",C446&lt;&gt;"Tem foto"),MAX(D$1:D445)+1,"")</f>
        <v/>
      </c>
      <c r="F446" s="26" t="str">
        <f aca="false">IF($I$4=0,"",IF(444&lt;=$I$4,"    """&amp;INDEX($A$2:$A$801,MATCH(444,$D$2:$D$801,0))&amp;""",",IF(444=$I$4+1,"]","")))</f>
        <v/>
      </c>
    </row>
    <row r="447" customFormat="false" ht="15" hidden="false" customHeight="false" outlineLevel="0" collapsed="false">
      <c r="A447" s="11" t="str">
        <f aca="false">IF(INVENTÁRIO!A447="","",INVENTÁRIO!A447)</f>
        <v/>
      </c>
      <c r="B447" s="11" t="str">
        <f aca="false">IF(A447="","",INVENTÁRIO!B447)</f>
        <v/>
      </c>
      <c r="C447" s="16" t="str">
        <f aca="false">IF(A447="","",IFERROR(INDEX($L$2:$L$801,MATCH(A447,$K$2:$K$801,0)),"Não verificada"))</f>
        <v/>
      </c>
      <c r="D447" s="11" t="str">
        <f aca="false">IF(AND(A447&lt;&gt;"",C447&lt;&gt;"Tem foto"),MAX(D$1:D446)+1,"")</f>
        <v/>
      </c>
      <c r="F447" s="26" t="str">
        <f aca="false">IF($I$4=0,"",IF(445&lt;=$I$4,"    """&amp;INDEX($A$2:$A$801,MATCH(445,$D$2:$D$801,0))&amp;""",",IF(445=$I$4+1,"]","")))</f>
        <v/>
      </c>
    </row>
    <row r="448" customFormat="false" ht="15" hidden="false" customHeight="false" outlineLevel="0" collapsed="false">
      <c r="A448" s="11" t="str">
        <f aca="false">IF(INVENTÁRIO!A448="","",INVENTÁRIO!A448)</f>
        <v/>
      </c>
      <c r="B448" s="11" t="str">
        <f aca="false">IF(A448="","",INVENTÁRIO!B448)</f>
        <v/>
      </c>
      <c r="C448" s="16" t="str">
        <f aca="false">IF(A448="","",IFERROR(INDEX($L$2:$L$801,MATCH(A448,$K$2:$K$801,0)),"Não verificada"))</f>
        <v/>
      </c>
      <c r="D448" s="11" t="str">
        <f aca="false">IF(AND(A448&lt;&gt;"",C448&lt;&gt;"Tem foto"),MAX(D$1:D447)+1,"")</f>
        <v/>
      </c>
      <c r="F448" s="26" t="str">
        <f aca="false">IF($I$4=0,"",IF(446&lt;=$I$4,"    """&amp;INDEX($A$2:$A$801,MATCH(446,$D$2:$D$801,0))&amp;""",",IF(446=$I$4+1,"]","")))</f>
        <v/>
      </c>
    </row>
    <row r="449" customFormat="false" ht="15" hidden="false" customHeight="false" outlineLevel="0" collapsed="false">
      <c r="A449" s="11" t="str">
        <f aca="false">IF(INVENTÁRIO!A449="","",INVENTÁRIO!A449)</f>
        <v/>
      </c>
      <c r="B449" s="11" t="str">
        <f aca="false">IF(A449="","",INVENTÁRIO!B449)</f>
        <v/>
      </c>
      <c r="C449" s="16" t="str">
        <f aca="false">IF(A449="","",IFERROR(INDEX($L$2:$L$801,MATCH(A449,$K$2:$K$801,0)),"Não verificada"))</f>
        <v/>
      </c>
      <c r="D449" s="11" t="str">
        <f aca="false">IF(AND(A449&lt;&gt;"",C449&lt;&gt;"Tem foto"),MAX(D$1:D448)+1,"")</f>
        <v/>
      </c>
      <c r="F449" s="26" t="str">
        <f aca="false">IF($I$4=0,"",IF(447&lt;=$I$4,"    """&amp;INDEX($A$2:$A$801,MATCH(447,$D$2:$D$801,0))&amp;""",",IF(447=$I$4+1,"]","")))</f>
        <v/>
      </c>
    </row>
    <row r="450" customFormat="false" ht="15" hidden="false" customHeight="false" outlineLevel="0" collapsed="false">
      <c r="A450" s="11" t="str">
        <f aca="false">IF(INVENTÁRIO!A450="","",INVENTÁRIO!A450)</f>
        <v/>
      </c>
      <c r="B450" s="11" t="str">
        <f aca="false">IF(A450="","",INVENTÁRIO!B450)</f>
        <v/>
      </c>
      <c r="C450" s="16" t="str">
        <f aca="false">IF(A450="","",IFERROR(INDEX($L$2:$L$801,MATCH(A450,$K$2:$K$801,0)),"Não verificada"))</f>
        <v/>
      </c>
      <c r="D450" s="11" t="str">
        <f aca="false">IF(AND(A450&lt;&gt;"",C450&lt;&gt;"Tem foto"),MAX(D$1:D449)+1,"")</f>
        <v/>
      </c>
      <c r="F450" s="26" t="str">
        <f aca="false">IF($I$4=0,"",IF(448&lt;=$I$4,"    """&amp;INDEX($A$2:$A$801,MATCH(448,$D$2:$D$801,0))&amp;""",",IF(448=$I$4+1,"]","")))</f>
        <v/>
      </c>
    </row>
    <row r="451" customFormat="false" ht="15" hidden="false" customHeight="false" outlineLevel="0" collapsed="false">
      <c r="A451" s="11" t="str">
        <f aca="false">IF(INVENTÁRIO!A451="","",INVENTÁRIO!A451)</f>
        <v/>
      </c>
      <c r="B451" s="11" t="str">
        <f aca="false">IF(A451="","",INVENTÁRIO!B451)</f>
        <v/>
      </c>
      <c r="C451" s="16" t="str">
        <f aca="false">IF(A451="","",IFERROR(INDEX($L$2:$L$801,MATCH(A451,$K$2:$K$801,0)),"Não verificada"))</f>
        <v/>
      </c>
      <c r="D451" s="11" t="str">
        <f aca="false">IF(AND(A451&lt;&gt;"",C451&lt;&gt;"Tem foto"),MAX(D$1:D450)+1,"")</f>
        <v/>
      </c>
      <c r="F451" s="26" t="str">
        <f aca="false">IF($I$4=0,"",IF(449&lt;=$I$4,"    """&amp;INDEX($A$2:$A$801,MATCH(449,$D$2:$D$801,0))&amp;""",",IF(449=$I$4+1,"]","")))</f>
        <v/>
      </c>
    </row>
    <row r="452" customFormat="false" ht="15" hidden="false" customHeight="false" outlineLevel="0" collapsed="false">
      <c r="A452" s="11" t="str">
        <f aca="false">IF(INVENTÁRIO!A452="","",INVENTÁRIO!A452)</f>
        <v/>
      </c>
      <c r="B452" s="11" t="str">
        <f aca="false">IF(A452="","",INVENTÁRIO!B452)</f>
        <v/>
      </c>
      <c r="C452" s="16" t="str">
        <f aca="false">IF(A452="","",IFERROR(INDEX($L$2:$L$801,MATCH(A452,$K$2:$K$801,0)),"Não verificada"))</f>
        <v/>
      </c>
      <c r="D452" s="11" t="str">
        <f aca="false">IF(AND(A452&lt;&gt;"",C452&lt;&gt;"Tem foto"),MAX(D$1:D451)+1,"")</f>
        <v/>
      </c>
      <c r="F452" s="26" t="str">
        <f aca="false">IF($I$4=0,"",IF(450&lt;=$I$4,"    """&amp;INDEX($A$2:$A$801,MATCH(450,$D$2:$D$801,0))&amp;""",",IF(450=$I$4+1,"]","")))</f>
        <v/>
      </c>
    </row>
    <row r="453" customFormat="false" ht="15" hidden="false" customHeight="false" outlineLevel="0" collapsed="false">
      <c r="A453" s="11" t="str">
        <f aca="false">IF(INVENTÁRIO!A453="","",INVENTÁRIO!A453)</f>
        <v/>
      </c>
      <c r="B453" s="11" t="str">
        <f aca="false">IF(A453="","",INVENTÁRIO!B453)</f>
        <v/>
      </c>
      <c r="C453" s="16" t="str">
        <f aca="false">IF(A453="","",IFERROR(INDEX($L$2:$L$801,MATCH(A453,$K$2:$K$801,0)),"Não verificada"))</f>
        <v/>
      </c>
      <c r="D453" s="11" t="str">
        <f aca="false">IF(AND(A453&lt;&gt;"",C453&lt;&gt;"Tem foto"),MAX(D$1:D452)+1,"")</f>
        <v/>
      </c>
      <c r="F453" s="26" t="str">
        <f aca="false">IF($I$4=0,"",IF(451&lt;=$I$4,"    """&amp;INDEX($A$2:$A$801,MATCH(451,$D$2:$D$801,0))&amp;""",",IF(451=$I$4+1,"]","")))</f>
        <v/>
      </c>
    </row>
    <row r="454" customFormat="false" ht="15" hidden="false" customHeight="false" outlineLevel="0" collapsed="false">
      <c r="A454" s="11" t="str">
        <f aca="false">IF(INVENTÁRIO!A454="","",INVENTÁRIO!A454)</f>
        <v/>
      </c>
      <c r="B454" s="11" t="str">
        <f aca="false">IF(A454="","",INVENTÁRIO!B454)</f>
        <v/>
      </c>
      <c r="C454" s="16" t="str">
        <f aca="false">IF(A454="","",IFERROR(INDEX($L$2:$L$801,MATCH(A454,$K$2:$K$801,0)),"Não verificada"))</f>
        <v/>
      </c>
      <c r="D454" s="11" t="str">
        <f aca="false">IF(AND(A454&lt;&gt;"",C454&lt;&gt;"Tem foto"),MAX(D$1:D453)+1,"")</f>
        <v/>
      </c>
      <c r="F454" s="26" t="str">
        <f aca="false">IF($I$4=0,"",IF(452&lt;=$I$4,"    """&amp;INDEX($A$2:$A$801,MATCH(452,$D$2:$D$801,0))&amp;""",",IF(452=$I$4+1,"]","")))</f>
        <v/>
      </c>
    </row>
    <row r="455" customFormat="false" ht="15" hidden="false" customHeight="false" outlineLevel="0" collapsed="false">
      <c r="A455" s="11" t="str">
        <f aca="false">IF(INVENTÁRIO!A455="","",INVENTÁRIO!A455)</f>
        <v/>
      </c>
      <c r="B455" s="11" t="str">
        <f aca="false">IF(A455="","",INVENTÁRIO!B455)</f>
        <v/>
      </c>
      <c r="C455" s="16" t="str">
        <f aca="false">IF(A455="","",IFERROR(INDEX($L$2:$L$801,MATCH(A455,$K$2:$K$801,0)),"Não verificada"))</f>
        <v/>
      </c>
      <c r="D455" s="11" t="str">
        <f aca="false">IF(AND(A455&lt;&gt;"",C455&lt;&gt;"Tem foto"),MAX(D$1:D454)+1,"")</f>
        <v/>
      </c>
      <c r="F455" s="26" t="str">
        <f aca="false">IF($I$4=0,"",IF(453&lt;=$I$4,"    """&amp;INDEX($A$2:$A$801,MATCH(453,$D$2:$D$801,0))&amp;""",",IF(453=$I$4+1,"]","")))</f>
        <v/>
      </c>
    </row>
    <row r="456" customFormat="false" ht="15" hidden="false" customHeight="false" outlineLevel="0" collapsed="false">
      <c r="A456" s="11" t="str">
        <f aca="false">IF(INVENTÁRIO!A456="","",INVENTÁRIO!A456)</f>
        <v/>
      </c>
      <c r="B456" s="11" t="str">
        <f aca="false">IF(A456="","",INVENTÁRIO!B456)</f>
        <v/>
      </c>
      <c r="C456" s="16" t="str">
        <f aca="false">IF(A456="","",IFERROR(INDEX($L$2:$L$801,MATCH(A456,$K$2:$K$801,0)),"Não verificada"))</f>
        <v/>
      </c>
      <c r="D456" s="11" t="str">
        <f aca="false">IF(AND(A456&lt;&gt;"",C456&lt;&gt;"Tem foto"),MAX(D$1:D455)+1,"")</f>
        <v/>
      </c>
      <c r="F456" s="26" t="str">
        <f aca="false">IF($I$4=0,"",IF(454&lt;=$I$4,"    """&amp;INDEX($A$2:$A$801,MATCH(454,$D$2:$D$801,0))&amp;""",",IF(454=$I$4+1,"]","")))</f>
        <v/>
      </c>
    </row>
    <row r="457" customFormat="false" ht="15" hidden="false" customHeight="false" outlineLevel="0" collapsed="false">
      <c r="A457" s="11" t="str">
        <f aca="false">IF(INVENTÁRIO!A457="","",INVENTÁRIO!A457)</f>
        <v/>
      </c>
      <c r="B457" s="11" t="str">
        <f aca="false">IF(A457="","",INVENTÁRIO!B457)</f>
        <v/>
      </c>
      <c r="C457" s="16" t="str">
        <f aca="false">IF(A457="","",IFERROR(INDEX($L$2:$L$801,MATCH(A457,$K$2:$K$801,0)),"Não verificada"))</f>
        <v/>
      </c>
      <c r="D457" s="11" t="str">
        <f aca="false">IF(AND(A457&lt;&gt;"",C457&lt;&gt;"Tem foto"),MAX(D$1:D456)+1,"")</f>
        <v/>
      </c>
      <c r="F457" s="26" t="str">
        <f aca="false">IF($I$4=0,"",IF(455&lt;=$I$4,"    """&amp;INDEX($A$2:$A$801,MATCH(455,$D$2:$D$801,0))&amp;""",",IF(455=$I$4+1,"]","")))</f>
        <v/>
      </c>
    </row>
    <row r="458" customFormat="false" ht="15" hidden="false" customHeight="false" outlineLevel="0" collapsed="false">
      <c r="A458" s="11" t="str">
        <f aca="false">IF(INVENTÁRIO!A458="","",INVENTÁRIO!A458)</f>
        <v/>
      </c>
      <c r="B458" s="11" t="str">
        <f aca="false">IF(A458="","",INVENTÁRIO!B458)</f>
        <v/>
      </c>
      <c r="C458" s="16" t="str">
        <f aca="false">IF(A458="","",IFERROR(INDEX($L$2:$L$801,MATCH(A458,$K$2:$K$801,0)),"Não verificada"))</f>
        <v/>
      </c>
      <c r="D458" s="11" t="str">
        <f aca="false">IF(AND(A458&lt;&gt;"",C458&lt;&gt;"Tem foto"),MAX(D$1:D457)+1,"")</f>
        <v/>
      </c>
      <c r="F458" s="26" t="str">
        <f aca="false">IF($I$4=0,"",IF(456&lt;=$I$4,"    """&amp;INDEX($A$2:$A$801,MATCH(456,$D$2:$D$801,0))&amp;""",",IF(456=$I$4+1,"]","")))</f>
        <v/>
      </c>
    </row>
    <row r="459" customFormat="false" ht="15" hidden="false" customHeight="false" outlineLevel="0" collapsed="false">
      <c r="A459" s="11" t="str">
        <f aca="false">IF(INVENTÁRIO!A459="","",INVENTÁRIO!A459)</f>
        <v/>
      </c>
      <c r="B459" s="11" t="str">
        <f aca="false">IF(A459="","",INVENTÁRIO!B459)</f>
        <v/>
      </c>
      <c r="C459" s="16" t="str">
        <f aca="false">IF(A459="","",IFERROR(INDEX($L$2:$L$801,MATCH(A459,$K$2:$K$801,0)),"Não verificada"))</f>
        <v/>
      </c>
      <c r="D459" s="11" t="str">
        <f aca="false">IF(AND(A459&lt;&gt;"",C459&lt;&gt;"Tem foto"),MAX(D$1:D458)+1,"")</f>
        <v/>
      </c>
      <c r="F459" s="26" t="str">
        <f aca="false">IF($I$4=0,"",IF(457&lt;=$I$4,"    """&amp;INDEX($A$2:$A$801,MATCH(457,$D$2:$D$801,0))&amp;""",",IF(457=$I$4+1,"]","")))</f>
        <v/>
      </c>
    </row>
    <row r="460" customFormat="false" ht="15" hidden="false" customHeight="false" outlineLevel="0" collapsed="false">
      <c r="A460" s="11" t="str">
        <f aca="false">IF(INVENTÁRIO!A460="","",INVENTÁRIO!A460)</f>
        <v/>
      </c>
      <c r="B460" s="11" t="str">
        <f aca="false">IF(A460="","",INVENTÁRIO!B460)</f>
        <v/>
      </c>
      <c r="C460" s="16" t="str">
        <f aca="false">IF(A460="","",IFERROR(INDEX($L$2:$L$801,MATCH(A460,$K$2:$K$801,0)),"Não verificada"))</f>
        <v/>
      </c>
      <c r="D460" s="11" t="str">
        <f aca="false">IF(AND(A460&lt;&gt;"",C460&lt;&gt;"Tem foto"),MAX(D$1:D459)+1,"")</f>
        <v/>
      </c>
      <c r="F460" s="26" t="str">
        <f aca="false">IF($I$4=0,"",IF(458&lt;=$I$4,"    """&amp;INDEX($A$2:$A$801,MATCH(458,$D$2:$D$801,0))&amp;""",",IF(458=$I$4+1,"]","")))</f>
        <v/>
      </c>
    </row>
    <row r="461" customFormat="false" ht="15" hidden="false" customHeight="false" outlineLevel="0" collapsed="false">
      <c r="A461" s="11" t="str">
        <f aca="false">IF(INVENTÁRIO!A461="","",INVENTÁRIO!A461)</f>
        <v/>
      </c>
      <c r="B461" s="11" t="str">
        <f aca="false">IF(A461="","",INVENTÁRIO!B461)</f>
        <v/>
      </c>
      <c r="C461" s="16" t="str">
        <f aca="false">IF(A461="","",IFERROR(INDEX($L$2:$L$801,MATCH(A461,$K$2:$K$801,0)),"Não verificada"))</f>
        <v/>
      </c>
      <c r="D461" s="11" t="str">
        <f aca="false">IF(AND(A461&lt;&gt;"",C461&lt;&gt;"Tem foto"),MAX(D$1:D460)+1,"")</f>
        <v/>
      </c>
      <c r="F461" s="26" t="str">
        <f aca="false">IF($I$4=0,"",IF(459&lt;=$I$4,"    """&amp;INDEX($A$2:$A$801,MATCH(459,$D$2:$D$801,0))&amp;""",",IF(459=$I$4+1,"]","")))</f>
        <v/>
      </c>
    </row>
    <row r="462" customFormat="false" ht="15" hidden="false" customHeight="false" outlineLevel="0" collapsed="false">
      <c r="A462" s="11" t="str">
        <f aca="false">IF(INVENTÁRIO!A462="","",INVENTÁRIO!A462)</f>
        <v/>
      </c>
      <c r="B462" s="11" t="str">
        <f aca="false">IF(A462="","",INVENTÁRIO!B462)</f>
        <v/>
      </c>
      <c r="C462" s="16" t="str">
        <f aca="false">IF(A462="","",IFERROR(INDEX($L$2:$L$801,MATCH(A462,$K$2:$K$801,0)),"Não verificada"))</f>
        <v/>
      </c>
      <c r="D462" s="11" t="str">
        <f aca="false">IF(AND(A462&lt;&gt;"",C462&lt;&gt;"Tem foto"),MAX(D$1:D461)+1,"")</f>
        <v/>
      </c>
      <c r="F462" s="26" t="str">
        <f aca="false">IF($I$4=0,"",IF(460&lt;=$I$4,"    """&amp;INDEX($A$2:$A$801,MATCH(460,$D$2:$D$801,0))&amp;""",",IF(460=$I$4+1,"]","")))</f>
        <v/>
      </c>
    </row>
    <row r="463" customFormat="false" ht="15" hidden="false" customHeight="false" outlineLevel="0" collapsed="false">
      <c r="A463" s="11" t="str">
        <f aca="false">IF(INVENTÁRIO!A463="","",INVENTÁRIO!A463)</f>
        <v/>
      </c>
      <c r="B463" s="11" t="str">
        <f aca="false">IF(A463="","",INVENTÁRIO!B463)</f>
        <v/>
      </c>
      <c r="C463" s="16" t="str">
        <f aca="false">IF(A463="","",IFERROR(INDEX($L$2:$L$801,MATCH(A463,$K$2:$K$801,0)),"Não verificada"))</f>
        <v/>
      </c>
      <c r="D463" s="11" t="str">
        <f aca="false">IF(AND(A463&lt;&gt;"",C463&lt;&gt;"Tem foto"),MAX(D$1:D462)+1,"")</f>
        <v/>
      </c>
      <c r="F463" s="26" t="str">
        <f aca="false">IF($I$4=0,"",IF(461&lt;=$I$4,"    """&amp;INDEX($A$2:$A$801,MATCH(461,$D$2:$D$801,0))&amp;""",",IF(461=$I$4+1,"]","")))</f>
        <v/>
      </c>
    </row>
    <row r="464" customFormat="false" ht="15" hidden="false" customHeight="false" outlineLevel="0" collapsed="false">
      <c r="A464" s="11" t="str">
        <f aca="false">IF(INVENTÁRIO!A464="","",INVENTÁRIO!A464)</f>
        <v/>
      </c>
      <c r="B464" s="11" t="str">
        <f aca="false">IF(A464="","",INVENTÁRIO!B464)</f>
        <v/>
      </c>
      <c r="C464" s="16" t="str">
        <f aca="false">IF(A464="","",IFERROR(INDEX($L$2:$L$801,MATCH(A464,$K$2:$K$801,0)),"Não verificada"))</f>
        <v/>
      </c>
      <c r="D464" s="11" t="str">
        <f aca="false">IF(AND(A464&lt;&gt;"",C464&lt;&gt;"Tem foto"),MAX(D$1:D463)+1,"")</f>
        <v/>
      </c>
      <c r="F464" s="26" t="str">
        <f aca="false">IF($I$4=0,"",IF(462&lt;=$I$4,"    """&amp;INDEX($A$2:$A$801,MATCH(462,$D$2:$D$801,0))&amp;""",",IF(462=$I$4+1,"]","")))</f>
        <v/>
      </c>
    </row>
    <row r="465" customFormat="false" ht="15" hidden="false" customHeight="false" outlineLevel="0" collapsed="false">
      <c r="A465" s="11" t="str">
        <f aca="false">IF(INVENTÁRIO!A465="","",INVENTÁRIO!A465)</f>
        <v/>
      </c>
      <c r="B465" s="11" t="str">
        <f aca="false">IF(A465="","",INVENTÁRIO!B465)</f>
        <v/>
      </c>
      <c r="C465" s="16" t="str">
        <f aca="false">IF(A465="","",IFERROR(INDEX($L$2:$L$801,MATCH(A465,$K$2:$K$801,0)),"Não verificada"))</f>
        <v/>
      </c>
      <c r="D465" s="11" t="str">
        <f aca="false">IF(AND(A465&lt;&gt;"",C465&lt;&gt;"Tem foto"),MAX(D$1:D464)+1,"")</f>
        <v/>
      </c>
      <c r="F465" s="26" t="str">
        <f aca="false">IF($I$4=0,"",IF(463&lt;=$I$4,"    """&amp;INDEX($A$2:$A$801,MATCH(463,$D$2:$D$801,0))&amp;""",",IF(463=$I$4+1,"]","")))</f>
        <v/>
      </c>
    </row>
    <row r="466" customFormat="false" ht="15" hidden="false" customHeight="false" outlineLevel="0" collapsed="false">
      <c r="A466" s="11" t="str">
        <f aca="false">IF(INVENTÁRIO!A466="","",INVENTÁRIO!A466)</f>
        <v/>
      </c>
      <c r="B466" s="11" t="str">
        <f aca="false">IF(A466="","",INVENTÁRIO!B466)</f>
        <v/>
      </c>
      <c r="C466" s="16" t="str">
        <f aca="false">IF(A466="","",IFERROR(INDEX($L$2:$L$801,MATCH(A466,$K$2:$K$801,0)),"Não verificada"))</f>
        <v/>
      </c>
      <c r="D466" s="11" t="str">
        <f aca="false">IF(AND(A466&lt;&gt;"",C466&lt;&gt;"Tem foto"),MAX(D$1:D465)+1,"")</f>
        <v/>
      </c>
      <c r="F466" s="26" t="str">
        <f aca="false">IF($I$4=0,"",IF(464&lt;=$I$4,"    """&amp;INDEX($A$2:$A$801,MATCH(464,$D$2:$D$801,0))&amp;""",",IF(464=$I$4+1,"]","")))</f>
        <v/>
      </c>
    </row>
    <row r="467" customFormat="false" ht="15" hidden="false" customHeight="false" outlineLevel="0" collapsed="false">
      <c r="A467" s="11" t="str">
        <f aca="false">IF(INVENTÁRIO!A467="","",INVENTÁRIO!A467)</f>
        <v/>
      </c>
      <c r="B467" s="11" t="str">
        <f aca="false">IF(A467="","",INVENTÁRIO!B467)</f>
        <v/>
      </c>
      <c r="C467" s="16" t="str">
        <f aca="false">IF(A467="","",IFERROR(INDEX($L$2:$L$801,MATCH(A467,$K$2:$K$801,0)),"Não verificada"))</f>
        <v/>
      </c>
      <c r="D467" s="11" t="str">
        <f aca="false">IF(AND(A467&lt;&gt;"",C467&lt;&gt;"Tem foto"),MAX(D$1:D466)+1,"")</f>
        <v/>
      </c>
      <c r="F467" s="26" t="str">
        <f aca="false">IF($I$4=0,"",IF(465&lt;=$I$4,"    """&amp;INDEX($A$2:$A$801,MATCH(465,$D$2:$D$801,0))&amp;""",",IF(465=$I$4+1,"]","")))</f>
        <v/>
      </c>
    </row>
    <row r="468" customFormat="false" ht="15" hidden="false" customHeight="false" outlineLevel="0" collapsed="false">
      <c r="A468" s="11" t="str">
        <f aca="false">IF(INVENTÁRIO!A468="","",INVENTÁRIO!A468)</f>
        <v/>
      </c>
      <c r="B468" s="11" t="str">
        <f aca="false">IF(A468="","",INVENTÁRIO!B468)</f>
        <v/>
      </c>
      <c r="C468" s="16" t="str">
        <f aca="false">IF(A468="","",IFERROR(INDEX($L$2:$L$801,MATCH(A468,$K$2:$K$801,0)),"Não verificada"))</f>
        <v/>
      </c>
      <c r="D468" s="11" t="str">
        <f aca="false">IF(AND(A468&lt;&gt;"",C468&lt;&gt;"Tem foto"),MAX(D$1:D467)+1,"")</f>
        <v/>
      </c>
      <c r="F468" s="26" t="str">
        <f aca="false">IF($I$4=0,"",IF(466&lt;=$I$4,"    """&amp;INDEX($A$2:$A$801,MATCH(466,$D$2:$D$801,0))&amp;""",",IF(466=$I$4+1,"]","")))</f>
        <v/>
      </c>
    </row>
    <row r="469" customFormat="false" ht="15" hidden="false" customHeight="false" outlineLevel="0" collapsed="false">
      <c r="A469" s="11" t="str">
        <f aca="false">IF(INVENTÁRIO!A469="","",INVENTÁRIO!A469)</f>
        <v/>
      </c>
      <c r="B469" s="11" t="str">
        <f aca="false">IF(A469="","",INVENTÁRIO!B469)</f>
        <v/>
      </c>
      <c r="C469" s="16" t="str">
        <f aca="false">IF(A469="","",IFERROR(INDEX($L$2:$L$801,MATCH(A469,$K$2:$K$801,0)),"Não verificada"))</f>
        <v/>
      </c>
      <c r="D469" s="11" t="str">
        <f aca="false">IF(AND(A469&lt;&gt;"",C469&lt;&gt;"Tem foto"),MAX(D$1:D468)+1,"")</f>
        <v/>
      </c>
      <c r="F469" s="26" t="str">
        <f aca="false">IF($I$4=0,"",IF(467&lt;=$I$4,"    """&amp;INDEX($A$2:$A$801,MATCH(467,$D$2:$D$801,0))&amp;""",",IF(467=$I$4+1,"]","")))</f>
        <v/>
      </c>
    </row>
    <row r="470" customFormat="false" ht="15" hidden="false" customHeight="false" outlineLevel="0" collapsed="false">
      <c r="A470" s="11" t="str">
        <f aca="false">IF(INVENTÁRIO!A470="","",INVENTÁRIO!A470)</f>
        <v/>
      </c>
      <c r="B470" s="11" t="str">
        <f aca="false">IF(A470="","",INVENTÁRIO!B470)</f>
        <v/>
      </c>
      <c r="C470" s="16" t="str">
        <f aca="false">IF(A470="","",IFERROR(INDEX($L$2:$L$801,MATCH(A470,$K$2:$K$801,0)),"Não verificada"))</f>
        <v/>
      </c>
      <c r="D470" s="11" t="str">
        <f aca="false">IF(AND(A470&lt;&gt;"",C470&lt;&gt;"Tem foto"),MAX(D$1:D469)+1,"")</f>
        <v/>
      </c>
      <c r="F470" s="26" t="str">
        <f aca="false">IF($I$4=0,"",IF(468&lt;=$I$4,"    """&amp;INDEX($A$2:$A$801,MATCH(468,$D$2:$D$801,0))&amp;""",",IF(468=$I$4+1,"]","")))</f>
        <v/>
      </c>
    </row>
    <row r="471" customFormat="false" ht="15" hidden="false" customHeight="false" outlineLevel="0" collapsed="false">
      <c r="A471" s="11" t="str">
        <f aca="false">IF(INVENTÁRIO!A471="","",INVENTÁRIO!A471)</f>
        <v/>
      </c>
      <c r="B471" s="11" t="str">
        <f aca="false">IF(A471="","",INVENTÁRIO!B471)</f>
        <v/>
      </c>
      <c r="C471" s="16" t="str">
        <f aca="false">IF(A471="","",IFERROR(INDEX($L$2:$L$801,MATCH(A471,$K$2:$K$801,0)),"Não verificada"))</f>
        <v/>
      </c>
      <c r="D471" s="11" t="str">
        <f aca="false">IF(AND(A471&lt;&gt;"",C471&lt;&gt;"Tem foto"),MAX(D$1:D470)+1,"")</f>
        <v/>
      </c>
      <c r="F471" s="26" t="str">
        <f aca="false">IF($I$4=0,"",IF(469&lt;=$I$4,"    """&amp;INDEX($A$2:$A$801,MATCH(469,$D$2:$D$801,0))&amp;""",",IF(469=$I$4+1,"]","")))</f>
        <v/>
      </c>
    </row>
    <row r="472" customFormat="false" ht="15" hidden="false" customHeight="false" outlineLevel="0" collapsed="false">
      <c r="A472" s="11" t="str">
        <f aca="false">IF(INVENTÁRIO!A472="","",INVENTÁRIO!A472)</f>
        <v/>
      </c>
      <c r="B472" s="11" t="str">
        <f aca="false">IF(A472="","",INVENTÁRIO!B472)</f>
        <v/>
      </c>
      <c r="C472" s="16" t="str">
        <f aca="false">IF(A472="","",IFERROR(INDEX($L$2:$L$801,MATCH(A472,$K$2:$K$801,0)),"Não verificada"))</f>
        <v/>
      </c>
      <c r="D472" s="11" t="str">
        <f aca="false">IF(AND(A472&lt;&gt;"",C472&lt;&gt;"Tem foto"),MAX(D$1:D471)+1,"")</f>
        <v/>
      </c>
      <c r="F472" s="26" t="str">
        <f aca="false">IF($I$4=0,"",IF(470&lt;=$I$4,"    """&amp;INDEX($A$2:$A$801,MATCH(470,$D$2:$D$801,0))&amp;""",",IF(470=$I$4+1,"]","")))</f>
        <v/>
      </c>
    </row>
    <row r="473" customFormat="false" ht="15" hidden="false" customHeight="false" outlineLevel="0" collapsed="false">
      <c r="A473" s="11" t="str">
        <f aca="false">IF(INVENTÁRIO!A473="","",INVENTÁRIO!A473)</f>
        <v/>
      </c>
      <c r="B473" s="11" t="str">
        <f aca="false">IF(A473="","",INVENTÁRIO!B473)</f>
        <v/>
      </c>
      <c r="C473" s="16" t="str">
        <f aca="false">IF(A473="","",IFERROR(INDEX($L$2:$L$801,MATCH(A473,$K$2:$K$801,0)),"Não verificada"))</f>
        <v/>
      </c>
      <c r="D473" s="11" t="str">
        <f aca="false">IF(AND(A473&lt;&gt;"",C473&lt;&gt;"Tem foto"),MAX(D$1:D472)+1,"")</f>
        <v/>
      </c>
      <c r="F473" s="26" t="str">
        <f aca="false">IF($I$4=0,"",IF(471&lt;=$I$4,"    """&amp;INDEX($A$2:$A$801,MATCH(471,$D$2:$D$801,0))&amp;""",",IF(471=$I$4+1,"]","")))</f>
        <v/>
      </c>
    </row>
    <row r="474" customFormat="false" ht="15" hidden="false" customHeight="false" outlineLevel="0" collapsed="false">
      <c r="A474" s="11" t="str">
        <f aca="false">IF(INVENTÁRIO!A474="","",INVENTÁRIO!A474)</f>
        <v/>
      </c>
      <c r="B474" s="11" t="str">
        <f aca="false">IF(A474="","",INVENTÁRIO!B474)</f>
        <v/>
      </c>
      <c r="C474" s="16" t="str">
        <f aca="false">IF(A474="","",IFERROR(INDEX($L$2:$L$801,MATCH(A474,$K$2:$K$801,0)),"Não verificada"))</f>
        <v/>
      </c>
      <c r="D474" s="11" t="str">
        <f aca="false">IF(AND(A474&lt;&gt;"",C474&lt;&gt;"Tem foto"),MAX(D$1:D473)+1,"")</f>
        <v/>
      </c>
      <c r="F474" s="26" t="str">
        <f aca="false">IF($I$4=0,"",IF(472&lt;=$I$4,"    """&amp;INDEX($A$2:$A$801,MATCH(472,$D$2:$D$801,0))&amp;""",",IF(472=$I$4+1,"]","")))</f>
        <v/>
      </c>
    </row>
    <row r="475" customFormat="false" ht="15" hidden="false" customHeight="false" outlineLevel="0" collapsed="false">
      <c r="A475" s="11" t="str">
        <f aca="false">IF(INVENTÁRIO!A475="","",INVENTÁRIO!A475)</f>
        <v/>
      </c>
      <c r="B475" s="11" t="str">
        <f aca="false">IF(A475="","",INVENTÁRIO!B475)</f>
        <v/>
      </c>
      <c r="C475" s="16" t="str">
        <f aca="false">IF(A475="","",IFERROR(INDEX($L$2:$L$801,MATCH(A475,$K$2:$K$801,0)),"Não verificada"))</f>
        <v/>
      </c>
      <c r="D475" s="11" t="str">
        <f aca="false">IF(AND(A475&lt;&gt;"",C475&lt;&gt;"Tem foto"),MAX(D$1:D474)+1,"")</f>
        <v/>
      </c>
      <c r="F475" s="26" t="str">
        <f aca="false">IF($I$4=0,"",IF(473&lt;=$I$4,"    """&amp;INDEX($A$2:$A$801,MATCH(473,$D$2:$D$801,0))&amp;""",",IF(473=$I$4+1,"]","")))</f>
        <v/>
      </c>
    </row>
    <row r="476" customFormat="false" ht="15" hidden="false" customHeight="false" outlineLevel="0" collapsed="false">
      <c r="A476" s="11" t="str">
        <f aca="false">IF(INVENTÁRIO!A476="","",INVENTÁRIO!A476)</f>
        <v/>
      </c>
      <c r="B476" s="11" t="str">
        <f aca="false">IF(A476="","",INVENTÁRIO!B476)</f>
        <v/>
      </c>
      <c r="C476" s="16" t="str">
        <f aca="false">IF(A476="","",IFERROR(INDEX($L$2:$L$801,MATCH(A476,$K$2:$K$801,0)),"Não verificada"))</f>
        <v/>
      </c>
      <c r="D476" s="11" t="str">
        <f aca="false">IF(AND(A476&lt;&gt;"",C476&lt;&gt;"Tem foto"),MAX(D$1:D475)+1,"")</f>
        <v/>
      </c>
      <c r="F476" s="26" t="str">
        <f aca="false">IF($I$4=0,"",IF(474&lt;=$I$4,"    """&amp;INDEX($A$2:$A$801,MATCH(474,$D$2:$D$801,0))&amp;""",",IF(474=$I$4+1,"]","")))</f>
        <v/>
      </c>
    </row>
    <row r="477" customFormat="false" ht="15" hidden="false" customHeight="false" outlineLevel="0" collapsed="false">
      <c r="A477" s="11" t="str">
        <f aca="false">IF(INVENTÁRIO!A477="","",INVENTÁRIO!A477)</f>
        <v/>
      </c>
      <c r="B477" s="11" t="str">
        <f aca="false">IF(A477="","",INVENTÁRIO!B477)</f>
        <v/>
      </c>
      <c r="C477" s="16" t="str">
        <f aca="false">IF(A477="","",IFERROR(INDEX($L$2:$L$801,MATCH(A477,$K$2:$K$801,0)),"Não verificada"))</f>
        <v/>
      </c>
      <c r="D477" s="11" t="str">
        <f aca="false">IF(AND(A477&lt;&gt;"",C477&lt;&gt;"Tem foto"),MAX(D$1:D476)+1,"")</f>
        <v/>
      </c>
      <c r="F477" s="26" t="str">
        <f aca="false">IF($I$4=0,"",IF(475&lt;=$I$4,"    """&amp;INDEX($A$2:$A$801,MATCH(475,$D$2:$D$801,0))&amp;""",",IF(475=$I$4+1,"]","")))</f>
        <v/>
      </c>
    </row>
    <row r="478" customFormat="false" ht="15" hidden="false" customHeight="false" outlineLevel="0" collapsed="false">
      <c r="A478" s="11" t="str">
        <f aca="false">IF(INVENTÁRIO!A478="","",INVENTÁRIO!A478)</f>
        <v/>
      </c>
      <c r="B478" s="11" t="str">
        <f aca="false">IF(A478="","",INVENTÁRIO!B478)</f>
        <v/>
      </c>
      <c r="C478" s="16" t="str">
        <f aca="false">IF(A478="","",IFERROR(INDEX($L$2:$L$801,MATCH(A478,$K$2:$K$801,0)),"Não verificada"))</f>
        <v/>
      </c>
      <c r="D478" s="11" t="str">
        <f aca="false">IF(AND(A478&lt;&gt;"",C478&lt;&gt;"Tem foto"),MAX(D$1:D477)+1,"")</f>
        <v/>
      </c>
      <c r="F478" s="26" t="str">
        <f aca="false">IF($I$4=0,"",IF(476&lt;=$I$4,"    """&amp;INDEX($A$2:$A$801,MATCH(476,$D$2:$D$801,0))&amp;""",",IF(476=$I$4+1,"]","")))</f>
        <v/>
      </c>
    </row>
    <row r="479" customFormat="false" ht="15" hidden="false" customHeight="false" outlineLevel="0" collapsed="false">
      <c r="A479" s="11" t="str">
        <f aca="false">IF(INVENTÁRIO!A479="","",INVENTÁRIO!A479)</f>
        <v/>
      </c>
      <c r="B479" s="11" t="str">
        <f aca="false">IF(A479="","",INVENTÁRIO!B479)</f>
        <v/>
      </c>
      <c r="C479" s="16" t="str">
        <f aca="false">IF(A479="","",IFERROR(INDEX($L$2:$L$801,MATCH(A479,$K$2:$K$801,0)),"Não verificada"))</f>
        <v/>
      </c>
      <c r="D479" s="11" t="str">
        <f aca="false">IF(AND(A479&lt;&gt;"",C479&lt;&gt;"Tem foto"),MAX(D$1:D478)+1,"")</f>
        <v/>
      </c>
      <c r="F479" s="26" t="str">
        <f aca="false">IF($I$4=0,"",IF(477&lt;=$I$4,"    """&amp;INDEX($A$2:$A$801,MATCH(477,$D$2:$D$801,0))&amp;""",",IF(477=$I$4+1,"]","")))</f>
        <v/>
      </c>
    </row>
    <row r="480" customFormat="false" ht="15" hidden="false" customHeight="false" outlineLevel="0" collapsed="false">
      <c r="A480" s="11" t="str">
        <f aca="false">IF(INVENTÁRIO!A480="","",INVENTÁRIO!A480)</f>
        <v/>
      </c>
      <c r="B480" s="11" t="str">
        <f aca="false">IF(A480="","",INVENTÁRIO!B480)</f>
        <v/>
      </c>
      <c r="C480" s="16" t="str">
        <f aca="false">IF(A480="","",IFERROR(INDEX($L$2:$L$801,MATCH(A480,$K$2:$K$801,0)),"Não verificada"))</f>
        <v/>
      </c>
      <c r="D480" s="11" t="str">
        <f aca="false">IF(AND(A480&lt;&gt;"",C480&lt;&gt;"Tem foto"),MAX(D$1:D479)+1,"")</f>
        <v/>
      </c>
      <c r="F480" s="26" t="str">
        <f aca="false">IF($I$4=0,"",IF(478&lt;=$I$4,"    """&amp;INDEX($A$2:$A$801,MATCH(478,$D$2:$D$801,0))&amp;""",",IF(478=$I$4+1,"]","")))</f>
        <v/>
      </c>
    </row>
    <row r="481" customFormat="false" ht="15" hidden="false" customHeight="false" outlineLevel="0" collapsed="false">
      <c r="A481" s="11" t="str">
        <f aca="false">IF(INVENTÁRIO!A481="","",INVENTÁRIO!A481)</f>
        <v/>
      </c>
      <c r="B481" s="11" t="str">
        <f aca="false">IF(A481="","",INVENTÁRIO!B481)</f>
        <v/>
      </c>
      <c r="C481" s="16" t="str">
        <f aca="false">IF(A481="","",IFERROR(INDEX($L$2:$L$801,MATCH(A481,$K$2:$K$801,0)),"Não verificada"))</f>
        <v/>
      </c>
      <c r="D481" s="11" t="str">
        <f aca="false">IF(AND(A481&lt;&gt;"",C481&lt;&gt;"Tem foto"),MAX(D$1:D480)+1,"")</f>
        <v/>
      </c>
      <c r="F481" s="26" t="str">
        <f aca="false">IF($I$4=0,"",IF(479&lt;=$I$4,"    """&amp;INDEX($A$2:$A$801,MATCH(479,$D$2:$D$801,0))&amp;""",",IF(479=$I$4+1,"]","")))</f>
        <v/>
      </c>
    </row>
    <row r="482" customFormat="false" ht="15" hidden="false" customHeight="false" outlineLevel="0" collapsed="false">
      <c r="A482" s="11" t="str">
        <f aca="false">IF(INVENTÁRIO!A482="","",INVENTÁRIO!A482)</f>
        <v/>
      </c>
      <c r="B482" s="11" t="str">
        <f aca="false">IF(A482="","",INVENTÁRIO!B482)</f>
        <v/>
      </c>
      <c r="C482" s="16" t="str">
        <f aca="false">IF(A482="","",IFERROR(INDEX($L$2:$L$801,MATCH(A482,$K$2:$K$801,0)),"Não verificada"))</f>
        <v/>
      </c>
      <c r="D482" s="11" t="str">
        <f aca="false">IF(AND(A482&lt;&gt;"",C482&lt;&gt;"Tem foto"),MAX(D$1:D481)+1,"")</f>
        <v/>
      </c>
      <c r="F482" s="26" t="str">
        <f aca="false">IF($I$4=0,"",IF(480&lt;=$I$4,"    """&amp;INDEX($A$2:$A$801,MATCH(480,$D$2:$D$801,0))&amp;""",",IF(480=$I$4+1,"]","")))</f>
        <v/>
      </c>
    </row>
    <row r="483" customFormat="false" ht="15" hidden="false" customHeight="false" outlineLevel="0" collapsed="false">
      <c r="A483" s="11" t="str">
        <f aca="false">IF(INVENTÁRIO!A483="","",INVENTÁRIO!A483)</f>
        <v/>
      </c>
      <c r="B483" s="11" t="str">
        <f aca="false">IF(A483="","",INVENTÁRIO!B483)</f>
        <v/>
      </c>
      <c r="C483" s="16" t="str">
        <f aca="false">IF(A483="","",IFERROR(INDEX($L$2:$L$801,MATCH(A483,$K$2:$K$801,0)),"Não verificada"))</f>
        <v/>
      </c>
      <c r="D483" s="11" t="str">
        <f aca="false">IF(AND(A483&lt;&gt;"",C483&lt;&gt;"Tem foto"),MAX(D$1:D482)+1,"")</f>
        <v/>
      </c>
      <c r="F483" s="26" t="str">
        <f aca="false">IF($I$4=0,"",IF(481&lt;=$I$4,"    """&amp;INDEX($A$2:$A$801,MATCH(481,$D$2:$D$801,0))&amp;""",",IF(481=$I$4+1,"]","")))</f>
        <v/>
      </c>
    </row>
    <row r="484" customFormat="false" ht="15" hidden="false" customHeight="false" outlineLevel="0" collapsed="false">
      <c r="A484" s="11" t="str">
        <f aca="false">IF(INVENTÁRIO!A484="","",INVENTÁRIO!A484)</f>
        <v/>
      </c>
      <c r="B484" s="11" t="str">
        <f aca="false">IF(A484="","",INVENTÁRIO!B484)</f>
        <v/>
      </c>
      <c r="C484" s="16" t="str">
        <f aca="false">IF(A484="","",IFERROR(INDEX($L$2:$L$801,MATCH(A484,$K$2:$K$801,0)),"Não verificada"))</f>
        <v/>
      </c>
      <c r="D484" s="11" t="str">
        <f aca="false">IF(AND(A484&lt;&gt;"",C484&lt;&gt;"Tem foto"),MAX(D$1:D483)+1,"")</f>
        <v/>
      </c>
      <c r="F484" s="26" t="str">
        <f aca="false">IF($I$4=0,"",IF(482&lt;=$I$4,"    """&amp;INDEX($A$2:$A$801,MATCH(482,$D$2:$D$801,0))&amp;""",",IF(482=$I$4+1,"]","")))</f>
        <v/>
      </c>
    </row>
    <row r="485" customFormat="false" ht="15" hidden="false" customHeight="false" outlineLevel="0" collapsed="false">
      <c r="A485" s="11" t="str">
        <f aca="false">IF(INVENTÁRIO!A485="","",INVENTÁRIO!A485)</f>
        <v/>
      </c>
      <c r="B485" s="11" t="str">
        <f aca="false">IF(A485="","",INVENTÁRIO!B485)</f>
        <v/>
      </c>
      <c r="C485" s="16" t="str">
        <f aca="false">IF(A485="","",IFERROR(INDEX($L$2:$L$801,MATCH(A485,$K$2:$K$801,0)),"Não verificada"))</f>
        <v/>
      </c>
      <c r="D485" s="11" t="str">
        <f aca="false">IF(AND(A485&lt;&gt;"",C485&lt;&gt;"Tem foto"),MAX(D$1:D484)+1,"")</f>
        <v/>
      </c>
      <c r="F485" s="26" t="str">
        <f aca="false">IF($I$4=0,"",IF(483&lt;=$I$4,"    """&amp;INDEX($A$2:$A$801,MATCH(483,$D$2:$D$801,0))&amp;""",",IF(483=$I$4+1,"]","")))</f>
        <v/>
      </c>
    </row>
    <row r="486" customFormat="false" ht="15" hidden="false" customHeight="false" outlineLevel="0" collapsed="false">
      <c r="A486" s="11" t="str">
        <f aca="false">IF(INVENTÁRIO!A486="","",INVENTÁRIO!A486)</f>
        <v/>
      </c>
      <c r="B486" s="11" t="str">
        <f aca="false">IF(A486="","",INVENTÁRIO!B486)</f>
        <v/>
      </c>
      <c r="C486" s="16" t="str">
        <f aca="false">IF(A486="","",IFERROR(INDEX($L$2:$L$801,MATCH(A486,$K$2:$K$801,0)),"Não verificada"))</f>
        <v/>
      </c>
      <c r="D486" s="11" t="str">
        <f aca="false">IF(AND(A486&lt;&gt;"",C486&lt;&gt;"Tem foto"),MAX(D$1:D485)+1,"")</f>
        <v/>
      </c>
      <c r="F486" s="26" t="str">
        <f aca="false">IF($I$4=0,"",IF(484&lt;=$I$4,"    """&amp;INDEX($A$2:$A$801,MATCH(484,$D$2:$D$801,0))&amp;""",",IF(484=$I$4+1,"]","")))</f>
        <v/>
      </c>
    </row>
    <row r="487" customFormat="false" ht="15" hidden="false" customHeight="false" outlineLevel="0" collapsed="false">
      <c r="A487" s="11" t="str">
        <f aca="false">IF(INVENTÁRIO!A487="","",INVENTÁRIO!A487)</f>
        <v/>
      </c>
      <c r="B487" s="11" t="str">
        <f aca="false">IF(A487="","",INVENTÁRIO!B487)</f>
        <v/>
      </c>
      <c r="C487" s="16" t="str">
        <f aca="false">IF(A487="","",IFERROR(INDEX($L$2:$L$801,MATCH(A487,$K$2:$K$801,0)),"Não verificada"))</f>
        <v/>
      </c>
      <c r="D487" s="11" t="str">
        <f aca="false">IF(AND(A487&lt;&gt;"",C487&lt;&gt;"Tem foto"),MAX(D$1:D486)+1,"")</f>
        <v/>
      </c>
      <c r="F487" s="26" t="str">
        <f aca="false">IF($I$4=0,"",IF(485&lt;=$I$4,"    """&amp;INDEX($A$2:$A$801,MATCH(485,$D$2:$D$801,0))&amp;""",",IF(485=$I$4+1,"]","")))</f>
        <v/>
      </c>
    </row>
    <row r="488" customFormat="false" ht="15" hidden="false" customHeight="false" outlineLevel="0" collapsed="false">
      <c r="A488" s="11" t="str">
        <f aca="false">IF(INVENTÁRIO!A488="","",INVENTÁRIO!A488)</f>
        <v/>
      </c>
      <c r="B488" s="11" t="str">
        <f aca="false">IF(A488="","",INVENTÁRIO!B488)</f>
        <v/>
      </c>
      <c r="C488" s="16" t="str">
        <f aca="false">IF(A488="","",IFERROR(INDEX($L$2:$L$801,MATCH(A488,$K$2:$K$801,0)),"Não verificada"))</f>
        <v/>
      </c>
      <c r="D488" s="11" t="str">
        <f aca="false">IF(AND(A488&lt;&gt;"",C488&lt;&gt;"Tem foto"),MAX(D$1:D487)+1,"")</f>
        <v/>
      </c>
      <c r="F488" s="26" t="str">
        <f aca="false">IF($I$4=0,"",IF(486&lt;=$I$4,"    """&amp;INDEX($A$2:$A$801,MATCH(486,$D$2:$D$801,0))&amp;""",",IF(486=$I$4+1,"]","")))</f>
        <v/>
      </c>
    </row>
    <row r="489" customFormat="false" ht="15" hidden="false" customHeight="false" outlineLevel="0" collapsed="false">
      <c r="A489" s="11" t="str">
        <f aca="false">IF(INVENTÁRIO!A489="","",INVENTÁRIO!A489)</f>
        <v/>
      </c>
      <c r="B489" s="11" t="str">
        <f aca="false">IF(A489="","",INVENTÁRIO!B489)</f>
        <v/>
      </c>
      <c r="C489" s="16" t="str">
        <f aca="false">IF(A489="","",IFERROR(INDEX($L$2:$L$801,MATCH(A489,$K$2:$K$801,0)),"Não verificada"))</f>
        <v/>
      </c>
      <c r="D489" s="11" t="str">
        <f aca="false">IF(AND(A489&lt;&gt;"",C489&lt;&gt;"Tem foto"),MAX(D$1:D488)+1,"")</f>
        <v/>
      </c>
      <c r="F489" s="26" t="str">
        <f aca="false">IF($I$4=0,"",IF(487&lt;=$I$4,"    """&amp;INDEX($A$2:$A$801,MATCH(487,$D$2:$D$801,0))&amp;""",",IF(487=$I$4+1,"]","")))</f>
        <v/>
      </c>
    </row>
    <row r="490" customFormat="false" ht="15" hidden="false" customHeight="false" outlineLevel="0" collapsed="false">
      <c r="A490" s="11" t="str">
        <f aca="false">IF(INVENTÁRIO!A490="","",INVENTÁRIO!A490)</f>
        <v/>
      </c>
      <c r="B490" s="11" t="str">
        <f aca="false">IF(A490="","",INVENTÁRIO!B490)</f>
        <v/>
      </c>
      <c r="C490" s="16" t="str">
        <f aca="false">IF(A490="","",IFERROR(INDEX($L$2:$L$801,MATCH(A490,$K$2:$K$801,0)),"Não verificada"))</f>
        <v/>
      </c>
      <c r="D490" s="11" t="str">
        <f aca="false">IF(AND(A490&lt;&gt;"",C490&lt;&gt;"Tem foto"),MAX(D$1:D489)+1,"")</f>
        <v/>
      </c>
      <c r="F490" s="26" t="str">
        <f aca="false">IF($I$4=0,"",IF(488&lt;=$I$4,"    """&amp;INDEX($A$2:$A$801,MATCH(488,$D$2:$D$801,0))&amp;""",",IF(488=$I$4+1,"]","")))</f>
        <v/>
      </c>
    </row>
    <row r="491" customFormat="false" ht="15" hidden="false" customHeight="false" outlineLevel="0" collapsed="false">
      <c r="A491" s="11" t="str">
        <f aca="false">IF(INVENTÁRIO!A491="","",INVENTÁRIO!A491)</f>
        <v/>
      </c>
      <c r="B491" s="11" t="str">
        <f aca="false">IF(A491="","",INVENTÁRIO!B491)</f>
        <v/>
      </c>
      <c r="C491" s="16" t="str">
        <f aca="false">IF(A491="","",IFERROR(INDEX($L$2:$L$801,MATCH(A491,$K$2:$K$801,0)),"Não verificada"))</f>
        <v/>
      </c>
      <c r="D491" s="11" t="str">
        <f aca="false">IF(AND(A491&lt;&gt;"",C491&lt;&gt;"Tem foto"),MAX(D$1:D490)+1,"")</f>
        <v/>
      </c>
      <c r="F491" s="26" t="str">
        <f aca="false">IF($I$4=0,"",IF(489&lt;=$I$4,"    """&amp;INDEX($A$2:$A$801,MATCH(489,$D$2:$D$801,0))&amp;""",",IF(489=$I$4+1,"]","")))</f>
        <v/>
      </c>
    </row>
    <row r="492" customFormat="false" ht="15" hidden="false" customHeight="false" outlineLevel="0" collapsed="false">
      <c r="A492" s="11" t="str">
        <f aca="false">IF(INVENTÁRIO!A492="","",INVENTÁRIO!A492)</f>
        <v/>
      </c>
      <c r="B492" s="11" t="str">
        <f aca="false">IF(A492="","",INVENTÁRIO!B492)</f>
        <v/>
      </c>
      <c r="C492" s="16" t="str">
        <f aca="false">IF(A492="","",IFERROR(INDEX($L$2:$L$801,MATCH(A492,$K$2:$K$801,0)),"Não verificada"))</f>
        <v/>
      </c>
      <c r="D492" s="11" t="str">
        <f aca="false">IF(AND(A492&lt;&gt;"",C492&lt;&gt;"Tem foto"),MAX(D$1:D491)+1,"")</f>
        <v/>
      </c>
      <c r="F492" s="26" t="str">
        <f aca="false">IF($I$4=0,"",IF(490&lt;=$I$4,"    """&amp;INDEX($A$2:$A$801,MATCH(490,$D$2:$D$801,0))&amp;""",",IF(490=$I$4+1,"]","")))</f>
        <v/>
      </c>
    </row>
    <row r="493" customFormat="false" ht="15" hidden="false" customHeight="false" outlineLevel="0" collapsed="false">
      <c r="A493" s="11" t="str">
        <f aca="false">IF(INVENTÁRIO!A493="","",INVENTÁRIO!A493)</f>
        <v/>
      </c>
      <c r="B493" s="11" t="str">
        <f aca="false">IF(A493="","",INVENTÁRIO!B493)</f>
        <v/>
      </c>
      <c r="C493" s="16" t="str">
        <f aca="false">IF(A493="","",IFERROR(INDEX($L$2:$L$801,MATCH(A493,$K$2:$K$801,0)),"Não verificada"))</f>
        <v/>
      </c>
      <c r="D493" s="11" t="str">
        <f aca="false">IF(AND(A493&lt;&gt;"",C493&lt;&gt;"Tem foto"),MAX(D$1:D492)+1,"")</f>
        <v/>
      </c>
      <c r="F493" s="26" t="str">
        <f aca="false">IF($I$4=0,"",IF(491&lt;=$I$4,"    """&amp;INDEX($A$2:$A$801,MATCH(491,$D$2:$D$801,0))&amp;""",",IF(491=$I$4+1,"]","")))</f>
        <v/>
      </c>
    </row>
    <row r="494" customFormat="false" ht="15" hidden="false" customHeight="false" outlineLevel="0" collapsed="false">
      <c r="A494" s="11" t="str">
        <f aca="false">IF(INVENTÁRIO!A494="","",INVENTÁRIO!A494)</f>
        <v/>
      </c>
      <c r="B494" s="11" t="str">
        <f aca="false">IF(A494="","",INVENTÁRIO!B494)</f>
        <v/>
      </c>
      <c r="C494" s="16" t="str">
        <f aca="false">IF(A494="","",IFERROR(INDEX($L$2:$L$801,MATCH(A494,$K$2:$K$801,0)),"Não verificada"))</f>
        <v/>
      </c>
      <c r="D494" s="11" t="str">
        <f aca="false">IF(AND(A494&lt;&gt;"",C494&lt;&gt;"Tem foto"),MAX(D$1:D493)+1,"")</f>
        <v/>
      </c>
      <c r="F494" s="26" t="str">
        <f aca="false">IF($I$4=0,"",IF(492&lt;=$I$4,"    """&amp;INDEX($A$2:$A$801,MATCH(492,$D$2:$D$801,0))&amp;""",",IF(492=$I$4+1,"]","")))</f>
        <v/>
      </c>
    </row>
    <row r="495" customFormat="false" ht="15" hidden="false" customHeight="false" outlineLevel="0" collapsed="false">
      <c r="A495" s="11" t="str">
        <f aca="false">IF(INVENTÁRIO!A495="","",INVENTÁRIO!A495)</f>
        <v/>
      </c>
      <c r="B495" s="11" t="str">
        <f aca="false">IF(A495="","",INVENTÁRIO!B495)</f>
        <v/>
      </c>
      <c r="C495" s="16" t="str">
        <f aca="false">IF(A495="","",IFERROR(INDEX($L$2:$L$801,MATCH(A495,$K$2:$K$801,0)),"Não verificada"))</f>
        <v/>
      </c>
      <c r="D495" s="11" t="str">
        <f aca="false">IF(AND(A495&lt;&gt;"",C495&lt;&gt;"Tem foto"),MAX(D$1:D494)+1,"")</f>
        <v/>
      </c>
      <c r="F495" s="26" t="str">
        <f aca="false">IF($I$4=0,"",IF(493&lt;=$I$4,"    """&amp;INDEX($A$2:$A$801,MATCH(493,$D$2:$D$801,0))&amp;""",",IF(493=$I$4+1,"]","")))</f>
        <v/>
      </c>
    </row>
    <row r="496" customFormat="false" ht="15" hidden="false" customHeight="false" outlineLevel="0" collapsed="false">
      <c r="A496" s="11" t="str">
        <f aca="false">IF(INVENTÁRIO!A496="","",INVENTÁRIO!A496)</f>
        <v/>
      </c>
      <c r="B496" s="11" t="str">
        <f aca="false">IF(A496="","",INVENTÁRIO!B496)</f>
        <v/>
      </c>
      <c r="C496" s="16" t="str">
        <f aca="false">IF(A496="","",IFERROR(INDEX($L$2:$L$801,MATCH(A496,$K$2:$K$801,0)),"Não verificada"))</f>
        <v/>
      </c>
      <c r="D496" s="11" t="str">
        <f aca="false">IF(AND(A496&lt;&gt;"",C496&lt;&gt;"Tem foto"),MAX(D$1:D495)+1,"")</f>
        <v/>
      </c>
      <c r="F496" s="26" t="str">
        <f aca="false">IF($I$4=0,"",IF(494&lt;=$I$4,"    """&amp;INDEX($A$2:$A$801,MATCH(494,$D$2:$D$801,0))&amp;""",",IF(494=$I$4+1,"]","")))</f>
        <v/>
      </c>
    </row>
    <row r="497" customFormat="false" ht="15" hidden="false" customHeight="false" outlineLevel="0" collapsed="false">
      <c r="A497" s="11" t="str">
        <f aca="false">IF(INVENTÁRIO!A497="","",INVENTÁRIO!A497)</f>
        <v/>
      </c>
      <c r="B497" s="11" t="str">
        <f aca="false">IF(A497="","",INVENTÁRIO!B497)</f>
        <v/>
      </c>
      <c r="C497" s="16" t="str">
        <f aca="false">IF(A497="","",IFERROR(INDEX($L$2:$L$801,MATCH(A497,$K$2:$K$801,0)),"Não verificada"))</f>
        <v/>
      </c>
      <c r="D497" s="11" t="str">
        <f aca="false">IF(AND(A497&lt;&gt;"",C497&lt;&gt;"Tem foto"),MAX(D$1:D496)+1,"")</f>
        <v/>
      </c>
      <c r="F497" s="26" t="str">
        <f aca="false">IF($I$4=0,"",IF(495&lt;=$I$4,"    """&amp;INDEX($A$2:$A$801,MATCH(495,$D$2:$D$801,0))&amp;""",",IF(495=$I$4+1,"]","")))</f>
        <v/>
      </c>
    </row>
    <row r="498" customFormat="false" ht="15" hidden="false" customHeight="false" outlineLevel="0" collapsed="false">
      <c r="A498" s="11" t="str">
        <f aca="false">IF(INVENTÁRIO!A498="","",INVENTÁRIO!A498)</f>
        <v/>
      </c>
      <c r="B498" s="11" t="str">
        <f aca="false">IF(A498="","",INVENTÁRIO!B498)</f>
        <v/>
      </c>
      <c r="C498" s="16" t="str">
        <f aca="false">IF(A498="","",IFERROR(INDEX($L$2:$L$801,MATCH(A498,$K$2:$K$801,0)),"Não verificada"))</f>
        <v/>
      </c>
      <c r="D498" s="11" t="str">
        <f aca="false">IF(AND(A498&lt;&gt;"",C498&lt;&gt;"Tem foto"),MAX(D$1:D497)+1,"")</f>
        <v/>
      </c>
      <c r="F498" s="26" t="str">
        <f aca="false">IF($I$4=0,"",IF(496&lt;=$I$4,"    """&amp;INDEX($A$2:$A$801,MATCH(496,$D$2:$D$801,0))&amp;""",",IF(496=$I$4+1,"]","")))</f>
        <v/>
      </c>
    </row>
    <row r="499" customFormat="false" ht="15" hidden="false" customHeight="false" outlineLevel="0" collapsed="false">
      <c r="A499" s="11" t="str">
        <f aca="false">IF(INVENTÁRIO!A499="","",INVENTÁRIO!A499)</f>
        <v/>
      </c>
      <c r="B499" s="11" t="str">
        <f aca="false">IF(A499="","",INVENTÁRIO!B499)</f>
        <v/>
      </c>
      <c r="C499" s="16" t="str">
        <f aca="false">IF(A499="","",IFERROR(INDEX($L$2:$L$801,MATCH(A499,$K$2:$K$801,0)),"Não verificada"))</f>
        <v/>
      </c>
      <c r="D499" s="11" t="str">
        <f aca="false">IF(AND(A499&lt;&gt;"",C499&lt;&gt;"Tem foto"),MAX(D$1:D498)+1,"")</f>
        <v/>
      </c>
      <c r="F499" s="26" t="str">
        <f aca="false">IF($I$4=0,"",IF(497&lt;=$I$4,"    """&amp;INDEX($A$2:$A$801,MATCH(497,$D$2:$D$801,0))&amp;""",",IF(497=$I$4+1,"]","")))</f>
        <v/>
      </c>
    </row>
    <row r="500" customFormat="false" ht="15" hidden="false" customHeight="false" outlineLevel="0" collapsed="false">
      <c r="A500" s="11" t="str">
        <f aca="false">IF(INVENTÁRIO!A500="","",INVENTÁRIO!A500)</f>
        <v/>
      </c>
      <c r="B500" s="11" t="str">
        <f aca="false">IF(A500="","",INVENTÁRIO!B500)</f>
        <v/>
      </c>
      <c r="C500" s="16" t="str">
        <f aca="false">IF(A500="","",IFERROR(INDEX($L$2:$L$801,MATCH(A500,$K$2:$K$801,0)),"Não verificada"))</f>
        <v/>
      </c>
      <c r="D500" s="11" t="str">
        <f aca="false">IF(AND(A500&lt;&gt;"",C500&lt;&gt;"Tem foto"),MAX(D$1:D499)+1,"")</f>
        <v/>
      </c>
      <c r="F500" s="26" t="str">
        <f aca="false">IF($I$4=0,"",IF(498&lt;=$I$4,"    """&amp;INDEX($A$2:$A$801,MATCH(498,$D$2:$D$801,0))&amp;""",",IF(498=$I$4+1,"]","")))</f>
        <v/>
      </c>
    </row>
    <row r="501" customFormat="false" ht="15" hidden="false" customHeight="false" outlineLevel="0" collapsed="false">
      <c r="A501" s="11" t="str">
        <f aca="false">IF(INVENTÁRIO!A501="","",INVENTÁRIO!A501)</f>
        <v/>
      </c>
      <c r="B501" s="11" t="str">
        <f aca="false">IF(A501="","",INVENTÁRIO!B501)</f>
        <v/>
      </c>
      <c r="C501" s="16" t="str">
        <f aca="false">IF(A501="","",IFERROR(INDEX($L$2:$L$801,MATCH(A501,$K$2:$K$801,0)),"Não verificada"))</f>
        <v/>
      </c>
      <c r="D501" s="11" t="str">
        <f aca="false">IF(AND(A501&lt;&gt;"",C501&lt;&gt;"Tem foto"),MAX(D$1:D500)+1,"")</f>
        <v/>
      </c>
      <c r="F501" s="26" t="str">
        <f aca="false">IF($I$4=0,"",IF(499&lt;=$I$4,"    """&amp;INDEX($A$2:$A$801,MATCH(499,$D$2:$D$801,0))&amp;""",",IF(499=$I$4+1,"]","")))</f>
        <v/>
      </c>
    </row>
    <row r="502" customFormat="false" ht="15" hidden="false" customHeight="false" outlineLevel="0" collapsed="false">
      <c r="A502" s="11" t="str">
        <f aca="false">IF(INVENTÁRIO!A502="","",INVENTÁRIO!A502)</f>
        <v/>
      </c>
      <c r="B502" s="11" t="str">
        <f aca="false">IF(A502="","",INVENTÁRIO!B502)</f>
        <v/>
      </c>
      <c r="C502" s="16" t="str">
        <f aca="false">IF(A502="","",IFERROR(INDEX($L$2:$L$801,MATCH(A502,$K$2:$K$801,0)),"Não verificada"))</f>
        <v/>
      </c>
      <c r="D502" s="11" t="str">
        <f aca="false">IF(AND(A502&lt;&gt;"",C502&lt;&gt;"Tem foto"),MAX(D$1:D501)+1,"")</f>
        <v/>
      </c>
      <c r="F502" s="26" t="str">
        <f aca="false">IF($I$4=0,"",IF(500&lt;=$I$4,"    """&amp;INDEX($A$2:$A$801,MATCH(500,$D$2:$D$801,0))&amp;""",",IF(500=$I$4+1,"]","")))</f>
        <v/>
      </c>
    </row>
    <row r="503" customFormat="false" ht="15" hidden="false" customHeight="false" outlineLevel="0" collapsed="false">
      <c r="A503" s="11" t="str">
        <f aca="false">IF(INVENTÁRIO!A503="","",INVENTÁRIO!A503)</f>
        <v/>
      </c>
      <c r="B503" s="11" t="str">
        <f aca="false">IF(A503="","",INVENTÁRIO!B503)</f>
        <v/>
      </c>
      <c r="C503" s="16" t="str">
        <f aca="false">IF(A503="","",IFERROR(INDEX($L$2:$L$801,MATCH(A503,$K$2:$K$801,0)),"Não verificada"))</f>
        <v/>
      </c>
      <c r="D503" s="11" t="str">
        <f aca="false">IF(AND(A503&lt;&gt;"",C503&lt;&gt;"Tem foto"),MAX(D$1:D502)+1,"")</f>
        <v/>
      </c>
      <c r="F503" s="26" t="str">
        <f aca="false">IF($I$4=0,"",IF(501&lt;=$I$4,"    """&amp;INDEX($A$2:$A$801,MATCH(501,$D$2:$D$801,0))&amp;""",",IF(501=$I$4+1,"]","")))</f>
        <v/>
      </c>
    </row>
    <row r="504" customFormat="false" ht="15" hidden="false" customHeight="false" outlineLevel="0" collapsed="false">
      <c r="A504" s="11" t="str">
        <f aca="false">IF(INVENTÁRIO!A504="","",INVENTÁRIO!A504)</f>
        <v/>
      </c>
      <c r="B504" s="11" t="str">
        <f aca="false">IF(A504="","",INVENTÁRIO!B504)</f>
        <v/>
      </c>
      <c r="C504" s="16" t="str">
        <f aca="false">IF(A504="","",IFERROR(INDEX($L$2:$L$801,MATCH(A504,$K$2:$K$801,0)),"Não verificada"))</f>
        <v/>
      </c>
      <c r="D504" s="11" t="str">
        <f aca="false">IF(AND(A504&lt;&gt;"",C504&lt;&gt;"Tem foto"),MAX(D$1:D503)+1,"")</f>
        <v/>
      </c>
      <c r="F504" s="26" t="str">
        <f aca="false">IF($I$4=0,"",IF(502&lt;=$I$4,"    """&amp;INDEX($A$2:$A$801,MATCH(502,$D$2:$D$801,0))&amp;""",",IF(502=$I$4+1,"]","")))</f>
        <v/>
      </c>
    </row>
    <row r="505" customFormat="false" ht="15" hidden="false" customHeight="false" outlineLevel="0" collapsed="false">
      <c r="A505" s="11" t="str">
        <f aca="false">IF(INVENTÁRIO!A505="","",INVENTÁRIO!A505)</f>
        <v/>
      </c>
      <c r="B505" s="11" t="str">
        <f aca="false">IF(A505="","",INVENTÁRIO!B505)</f>
        <v/>
      </c>
      <c r="C505" s="16" t="str">
        <f aca="false">IF(A505="","",IFERROR(INDEX($L$2:$L$801,MATCH(A505,$K$2:$K$801,0)),"Não verificada"))</f>
        <v/>
      </c>
      <c r="D505" s="11" t="str">
        <f aca="false">IF(AND(A505&lt;&gt;"",C505&lt;&gt;"Tem foto"),MAX(D$1:D504)+1,"")</f>
        <v/>
      </c>
      <c r="F505" s="26" t="str">
        <f aca="false">IF($I$4=0,"",IF(503&lt;=$I$4,"    """&amp;INDEX($A$2:$A$801,MATCH(503,$D$2:$D$801,0))&amp;""",",IF(503=$I$4+1,"]","")))</f>
        <v/>
      </c>
    </row>
    <row r="506" customFormat="false" ht="15" hidden="false" customHeight="false" outlineLevel="0" collapsed="false">
      <c r="A506" s="11" t="str">
        <f aca="false">IF(INVENTÁRIO!A506="","",INVENTÁRIO!A506)</f>
        <v/>
      </c>
      <c r="B506" s="11" t="str">
        <f aca="false">IF(A506="","",INVENTÁRIO!B506)</f>
        <v/>
      </c>
      <c r="C506" s="16" t="str">
        <f aca="false">IF(A506="","",IFERROR(INDEX($L$2:$L$801,MATCH(A506,$K$2:$K$801,0)),"Não verificada"))</f>
        <v/>
      </c>
      <c r="D506" s="11" t="str">
        <f aca="false">IF(AND(A506&lt;&gt;"",C506&lt;&gt;"Tem foto"),MAX(D$1:D505)+1,"")</f>
        <v/>
      </c>
      <c r="F506" s="26" t="str">
        <f aca="false">IF($I$4=0,"",IF(504&lt;=$I$4,"    """&amp;INDEX($A$2:$A$801,MATCH(504,$D$2:$D$801,0))&amp;""",",IF(504=$I$4+1,"]","")))</f>
        <v/>
      </c>
    </row>
    <row r="507" customFormat="false" ht="15" hidden="false" customHeight="false" outlineLevel="0" collapsed="false">
      <c r="A507" s="11" t="str">
        <f aca="false">IF(INVENTÁRIO!A507="","",INVENTÁRIO!A507)</f>
        <v/>
      </c>
      <c r="B507" s="11" t="str">
        <f aca="false">IF(A507="","",INVENTÁRIO!B507)</f>
        <v/>
      </c>
      <c r="C507" s="16" t="str">
        <f aca="false">IF(A507="","",IFERROR(INDEX($L$2:$L$801,MATCH(A507,$K$2:$K$801,0)),"Não verificada"))</f>
        <v/>
      </c>
      <c r="D507" s="11" t="str">
        <f aca="false">IF(AND(A507&lt;&gt;"",C507&lt;&gt;"Tem foto"),MAX(D$1:D506)+1,"")</f>
        <v/>
      </c>
      <c r="F507" s="26" t="str">
        <f aca="false">IF($I$4=0,"",IF(505&lt;=$I$4,"    """&amp;INDEX($A$2:$A$801,MATCH(505,$D$2:$D$801,0))&amp;""",",IF(505=$I$4+1,"]","")))</f>
        <v/>
      </c>
    </row>
    <row r="508" customFormat="false" ht="15" hidden="false" customHeight="false" outlineLevel="0" collapsed="false">
      <c r="A508" s="11" t="str">
        <f aca="false">IF(INVENTÁRIO!A508="","",INVENTÁRIO!A508)</f>
        <v/>
      </c>
      <c r="B508" s="11" t="str">
        <f aca="false">IF(A508="","",INVENTÁRIO!B508)</f>
        <v/>
      </c>
      <c r="C508" s="16" t="str">
        <f aca="false">IF(A508="","",IFERROR(INDEX($L$2:$L$801,MATCH(A508,$K$2:$K$801,0)),"Não verificada"))</f>
        <v/>
      </c>
      <c r="D508" s="11" t="str">
        <f aca="false">IF(AND(A508&lt;&gt;"",C508&lt;&gt;"Tem foto"),MAX(D$1:D507)+1,"")</f>
        <v/>
      </c>
      <c r="F508" s="26" t="str">
        <f aca="false">IF($I$4=0,"",IF(506&lt;=$I$4,"    """&amp;INDEX($A$2:$A$801,MATCH(506,$D$2:$D$801,0))&amp;""",",IF(506=$I$4+1,"]","")))</f>
        <v/>
      </c>
    </row>
    <row r="509" customFormat="false" ht="15" hidden="false" customHeight="false" outlineLevel="0" collapsed="false">
      <c r="A509" s="11" t="str">
        <f aca="false">IF(INVENTÁRIO!A509="","",INVENTÁRIO!A509)</f>
        <v/>
      </c>
      <c r="B509" s="11" t="str">
        <f aca="false">IF(A509="","",INVENTÁRIO!B509)</f>
        <v/>
      </c>
      <c r="C509" s="16" t="str">
        <f aca="false">IF(A509="","",IFERROR(INDEX($L$2:$L$801,MATCH(A509,$K$2:$K$801,0)),"Não verificada"))</f>
        <v/>
      </c>
      <c r="D509" s="11" t="str">
        <f aca="false">IF(AND(A509&lt;&gt;"",C509&lt;&gt;"Tem foto"),MAX(D$1:D508)+1,"")</f>
        <v/>
      </c>
      <c r="F509" s="26" t="str">
        <f aca="false">IF($I$4=0,"",IF(507&lt;=$I$4,"    """&amp;INDEX($A$2:$A$801,MATCH(507,$D$2:$D$801,0))&amp;""",",IF(507=$I$4+1,"]","")))</f>
        <v/>
      </c>
    </row>
    <row r="510" customFormat="false" ht="15" hidden="false" customHeight="false" outlineLevel="0" collapsed="false">
      <c r="A510" s="11" t="str">
        <f aca="false">IF(INVENTÁRIO!A510="","",INVENTÁRIO!A510)</f>
        <v/>
      </c>
      <c r="B510" s="11" t="str">
        <f aca="false">IF(A510="","",INVENTÁRIO!B510)</f>
        <v/>
      </c>
      <c r="C510" s="16" t="str">
        <f aca="false">IF(A510="","",IFERROR(INDEX($L$2:$L$801,MATCH(A510,$K$2:$K$801,0)),"Não verificada"))</f>
        <v/>
      </c>
      <c r="D510" s="11" t="str">
        <f aca="false">IF(AND(A510&lt;&gt;"",C510&lt;&gt;"Tem foto"),MAX(D$1:D509)+1,"")</f>
        <v/>
      </c>
      <c r="F510" s="26" t="str">
        <f aca="false">IF($I$4=0,"",IF(508&lt;=$I$4,"    """&amp;INDEX($A$2:$A$801,MATCH(508,$D$2:$D$801,0))&amp;""",",IF(508=$I$4+1,"]","")))</f>
        <v/>
      </c>
    </row>
    <row r="511" customFormat="false" ht="15" hidden="false" customHeight="false" outlineLevel="0" collapsed="false">
      <c r="A511" s="11" t="str">
        <f aca="false">IF(INVENTÁRIO!A511="","",INVENTÁRIO!A511)</f>
        <v/>
      </c>
      <c r="B511" s="11" t="str">
        <f aca="false">IF(A511="","",INVENTÁRIO!B511)</f>
        <v/>
      </c>
      <c r="C511" s="16" t="str">
        <f aca="false">IF(A511="","",IFERROR(INDEX($L$2:$L$801,MATCH(A511,$K$2:$K$801,0)),"Não verificada"))</f>
        <v/>
      </c>
      <c r="D511" s="11" t="str">
        <f aca="false">IF(AND(A511&lt;&gt;"",C511&lt;&gt;"Tem foto"),MAX(D$1:D510)+1,"")</f>
        <v/>
      </c>
      <c r="F511" s="26" t="str">
        <f aca="false">IF($I$4=0,"",IF(509&lt;=$I$4,"    """&amp;INDEX($A$2:$A$801,MATCH(509,$D$2:$D$801,0))&amp;""",",IF(509=$I$4+1,"]","")))</f>
        <v/>
      </c>
    </row>
    <row r="512" customFormat="false" ht="15" hidden="false" customHeight="false" outlineLevel="0" collapsed="false">
      <c r="A512" s="11" t="str">
        <f aca="false">IF(INVENTÁRIO!A512="","",INVENTÁRIO!A512)</f>
        <v/>
      </c>
      <c r="B512" s="11" t="str">
        <f aca="false">IF(A512="","",INVENTÁRIO!B512)</f>
        <v/>
      </c>
      <c r="C512" s="16" t="str">
        <f aca="false">IF(A512="","",IFERROR(INDEX($L$2:$L$801,MATCH(A512,$K$2:$K$801,0)),"Não verificada"))</f>
        <v/>
      </c>
      <c r="D512" s="11" t="str">
        <f aca="false">IF(AND(A512&lt;&gt;"",C512&lt;&gt;"Tem foto"),MAX(D$1:D511)+1,"")</f>
        <v/>
      </c>
      <c r="F512" s="26" t="str">
        <f aca="false">IF($I$4=0,"",IF(510&lt;=$I$4,"    """&amp;INDEX($A$2:$A$801,MATCH(510,$D$2:$D$801,0))&amp;""",",IF(510=$I$4+1,"]","")))</f>
        <v/>
      </c>
    </row>
    <row r="513" customFormat="false" ht="15" hidden="false" customHeight="false" outlineLevel="0" collapsed="false">
      <c r="A513" s="11" t="str">
        <f aca="false">IF(INVENTÁRIO!A513="","",INVENTÁRIO!A513)</f>
        <v/>
      </c>
      <c r="B513" s="11" t="str">
        <f aca="false">IF(A513="","",INVENTÁRIO!B513)</f>
        <v/>
      </c>
      <c r="C513" s="16" t="str">
        <f aca="false">IF(A513="","",IFERROR(INDEX($L$2:$L$801,MATCH(A513,$K$2:$K$801,0)),"Não verificada"))</f>
        <v/>
      </c>
      <c r="D513" s="11" t="str">
        <f aca="false">IF(AND(A513&lt;&gt;"",C513&lt;&gt;"Tem foto"),MAX(D$1:D512)+1,"")</f>
        <v/>
      </c>
      <c r="F513" s="26" t="str">
        <f aca="false">IF($I$4=0,"",IF(511&lt;=$I$4,"    """&amp;INDEX($A$2:$A$801,MATCH(511,$D$2:$D$801,0))&amp;""",",IF(511=$I$4+1,"]","")))</f>
        <v/>
      </c>
    </row>
    <row r="514" customFormat="false" ht="15" hidden="false" customHeight="false" outlineLevel="0" collapsed="false">
      <c r="A514" s="11" t="str">
        <f aca="false">IF(INVENTÁRIO!A514="","",INVENTÁRIO!A514)</f>
        <v/>
      </c>
      <c r="B514" s="11" t="str">
        <f aca="false">IF(A514="","",INVENTÁRIO!B514)</f>
        <v/>
      </c>
      <c r="C514" s="16" t="str">
        <f aca="false">IF(A514="","",IFERROR(INDEX($L$2:$L$801,MATCH(A514,$K$2:$K$801,0)),"Não verificada"))</f>
        <v/>
      </c>
      <c r="D514" s="11" t="str">
        <f aca="false">IF(AND(A514&lt;&gt;"",C514&lt;&gt;"Tem foto"),MAX(D$1:D513)+1,"")</f>
        <v/>
      </c>
      <c r="F514" s="26" t="str">
        <f aca="false">IF($I$4=0,"",IF(512&lt;=$I$4,"    """&amp;INDEX($A$2:$A$801,MATCH(512,$D$2:$D$801,0))&amp;""",",IF(512=$I$4+1,"]","")))</f>
        <v/>
      </c>
    </row>
    <row r="515" customFormat="false" ht="15" hidden="false" customHeight="false" outlineLevel="0" collapsed="false">
      <c r="A515" s="11" t="str">
        <f aca="false">IF(INVENTÁRIO!A515="","",INVENTÁRIO!A515)</f>
        <v/>
      </c>
      <c r="B515" s="11" t="str">
        <f aca="false">IF(A515="","",INVENTÁRIO!B515)</f>
        <v/>
      </c>
      <c r="C515" s="16" t="str">
        <f aca="false">IF(A515="","",IFERROR(INDEX($L$2:$L$801,MATCH(A515,$K$2:$K$801,0)),"Não verificada"))</f>
        <v/>
      </c>
      <c r="D515" s="11" t="str">
        <f aca="false">IF(AND(A515&lt;&gt;"",C515&lt;&gt;"Tem foto"),MAX(D$1:D514)+1,"")</f>
        <v/>
      </c>
      <c r="F515" s="26" t="str">
        <f aca="false">IF($I$4=0,"",IF(513&lt;=$I$4,"    """&amp;INDEX($A$2:$A$801,MATCH(513,$D$2:$D$801,0))&amp;""",",IF(513=$I$4+1,"]","")))</f>
        <v/>
      </c>
    </row>
    <row r="516" customFormat="false" ht="15" hidden="false" customHeight="false" outlineLevel="0" collapsed="false">
      <c r="A516" s="11" t="str">
        <f aca="false">IF(INVENTÁRIO!A516="","",INVENTÁRIO!A516)</f>
        <v/>
      </c>
      <c r="B516" s="11" t="str">
        <f aca="false">IF(A516="","",INVENTÁRIO!B516)</f>
        <v/>
      </c>
      <c r="C516" s="16" t="str">
        <f aca="false">IF(A516="","",IFERROR(INDEX($L$2:$L$801,MATCH(A516,$K$2:$K$801,0)),"Não verificada"))</f>
        <v/>
      </c>
      <c r="D516" s="11" t="str">
        <f aca="false">IF(AND(A516&lt;&gt;"",C516&lt;&gt;"Tem foto"),MAX(D$1:D515)+1,"")</f>
        <v/>
      </c>
      <c r="F516" s="26" t="str">
        <f aca="false">IF($I$4=0,"",IF(514&lt;=$I$4,"    """&amp;INDEX($A$2:$A$801,MATCH(514,$D$2:$D$801,0))&amp;""",",IF(514=$I$4+1,"]","")))</f>
        <v/>
      </c>
    </row>
    <row r="517" customFormat="false" ht="15" hidden="false" customHeight="false" outlineLevel="0" collapsed="false">
      <c r="A517" s="11" t="str">
        <f aca="false">IF(INVENTÁRIO!A517="","",INVENTÁRIO!A517)</f>
        <v/>
      </c>
      <c r="B517" s="11" t="str">
        <f aca="false">IF(A517="","",INVENTÁRIO!B517)</f>
        <v/>
      </c>
      <c r="C517" s="16" t="str">
        <f aca="false">IF(A517="","",IFERROR(INDEX($L$2:$L$801,MATCH(A517,$K$2:$K$801,0)),"Não verificada"))</f>
        <v/>
      </c>
      <c r="D517" s="11" t="str">
        <f aca="false">IF(AND(A517&lt;&gt;"",C517&lt;&gt;"Tem foto"),MAX(D$1:D516)+1,"")</f>
        <v/>
      </c>
      <c r="F517" s="26" t="str">
        <f aca="false">IF($I$4=0,"",IF(515&lt;=$I$4,"    """&amp;INDEX($A$2:$A$801,MATCH(515,$D$2:$D$801,0))&amp;""",",IF(515=$I$4+1,"]","")))</f>
        <v/>
      </c>
    </row>
    <row r="518" customFormat="false" ht="15" hidden="false" customHeight="false" outlineLevel="0" collapsed="false">
      <c r="A518" s="11" t="str">
        <f aca="false">IF(INVENTÁRIO!A518="","",INVENTÁRIO!A518)</f>
        <v/>
      </c>
      <c r="B518" s="11" t="str">
        <f aca="false">IF(A518="","",INVENTÁRIO!B518)</f>
        <v/>
      </c>
      <c r="C518" s="16" t="str">
        <f aca="false">IF(A518="","",IFERROR(INDEX($L$2:$L$801,MATCH(A518,$K$2:$K$801,0)),"Não verificada"))</f>
        <v/>
      </c>
      <c r="D518" s="11" t="str">
        <f aca="false">IF(AND(A518&lt;&gt;"",C518&lt;&gt;"Tem foto"),MAX(D$1:D517)+1,"")</f>
        <v/>
      </c>
      <c r="F518" s="26" t="str">
        <f aca="false">IF($I$4=0,"",IF(516&lt;=$I$4,"    """&amp;INDEX($A$2:$A$801,MATCH(516,$D$2:$D$801,0))&amp;""",",IF(516=$I$4+1,"]","")))</f>
        <v/>
      </c>
    </row>
    <row r="519" customFormat="false" ht="15" hidden="false" customHeight="false" outlineLevel="0" collapsed="false">
      <c r="A519" s="11" t="str">
        <f aca="false">IF(INVENTÁRIO!A519="","",INVENTÁRIO!A519)</f>
        <v/>
      </c>
      <c r="B519" s="11" t="str">
        <f aca="false">IF(A519="","",INVENTÁRIO!B519)</f>
        <v/>
      </c>
      <c r="C519" s="16" t="str">
        <f aca="false">IF(A519="","",IFERROR(INDEX($L$2:$L$801,MATCH(A519,$K$2:$K$801,0)),"Não verificada"))</f>
        <v/>
      </c>
      <c r="D519" s="11" t="str">
        <f aca="false">IF(AND(A519&lt;&gt;"",C519&lt;&gt;"Tem foto"),MAX(D$1:D518)+1,"")</f>
        <v/>
      </c>
      <c r="F519" s="26" t="str">
        <f aca="false">IF($I$4=0,"",IF(517&lt;=$I$4,"    """&amp;INDEX($A$2:$A$801,MATCH(517,$D$2:$D$801,0))&amp;""",",IF(517=$I$4+1,"]","")))</f>
        <v/>
      </c>
    </row>
    <row r="520" customFormat="false" ht="15" hidden="false" customHeight="false" outlineLevel="0" collapsed="false">
      <c r="A520" s="11" t="str">
        <f aca="false">IF(INVENTÁRIO!A520="","",INVENTÁRIO!A520)</f>
        <v/>
      </c>
      <c r="B520" s="11" t="str">
        <f aca="false">IF(A520="","",INVENTÁRIO!B520)</f>
        <v/>
      </c>
      <c r="C520" s="16" t="str">
        <f aca="false">IF(A520="","",IFERROR(INDEX($L$2:$L$801,MATCH(A520,$K$2:$K$801,0)),"Não verificada"))</f>
        <v/>
      </c>
      <c r="D520" s="11" t="str">
        <f aca="false">IF(AND(A520&lt;&gt;"",C520&lt;&gt;"Tem foto"),MAX(D$1:D519)+1,"")</f>
        <v/>
      </c>
      <c r="F520" s="26" t="str">
        <f aca="false">IF($I$4=0,"",IF(518&lt;=$I$4,"    """&amp;INDEX($A$2:$A$801,MATCH(518,$D$2:$D$801,0))&amp;""",",IF(518=$I$4+1,"]","")))</f>
        <v/>
      </c>
    </row>
    <row r="521" customFormat="false" ht="15" hidden="false" customHeight="false" outlineLevel="0" collapsed="false">
      <c r="A521" s="11" t="str">
        <f aca="false">IF(INVENTÁRIO!A521="","",INVENTÁRIO!A521)</f>
        <v/>
      </c>
      <c r="B521" s="11" t="str">
        <f aca="false">IF(A521="","",INVENTÁRIO!B521)</f>
        <v/>
      </c>
      <c r="C521" s="16" t="str">
        <f aca="false">IF(A521="","",IFERROR(INDEX($L$2:$L$801,MATCH(A521,$K$2:$K$801,0)),"Não verificada"))</f>
        <v/>
      </c>
      <c r="D521" s="11" t="str">
        <f aca="false">IF(AND(A521&lt;&gt;"",C521&lt;&gt;"Tem foto"),MAX(D$1:D520)+1,"")</f>
        <v/>
      </c>
      <c r="F521" s="26" t="str">
        <f aca="false">IF($I$4=0,"",IF(519&lt;=$I$4,"    """&amp;INDEX($A$2:$A$801,MATCH(519,$D$2:$D$801,0))&amp;""",",IF(519=$I$4+1,"]","")))</f>
        <v/>
      </c>
    </row>
    <row r="522" customFormat="false" ht="15" hidden="false" customHeight="false" outlineLevel="0" collapsed="false">
      <c r="A522" s="11" t="str">
        <f aca="false">IF(INVENTÁRIO!A522="","",INVENTÁRIO!A522)</f>
        <v/>
      </c>
      <c r="B522" s="11" t="str">
        <f aca="false">IF(A522="","",INVENTÁRIO!B522)</f>
        <v/>
      </c>
      <c r="C522" s="16" t="str">
        <f aca="false">IF(A522="","",IFERROR(INDEX($L$2:$L$801,MATCH(A522,$K$2:$K$801,0)),"Não verificada"))</f>
        <v/>
      </c>
      <c r="D522" s="11" t="str">
        <f aca="false">IF(AND(A522&lt;&gt;"",C522&lt;&gt;"Tem foto"),MAX(D$1:D521)+1,"")</f>
        <v/>
      </c>
      <c r="F522" s="26" t="str">
        <f aca="false">IF($I$4=0,"",IF(520&lt;=$I$4,"    """&amp;INDEX($A$2:$A$801,MATCH(520,$D$2:$D$801,0))&amp;""",",IF(520=$I$4+1,"]","")))</f>
        <v/>
      </c>
    </row>
    <row r="523" customFormat="false" ht="15" hidden="false" customHeight="false" outlineLevel="0" collapsed="false">
      <c r="A523" s="11" t="str">
        <f aca="false">IF(INVENTÁRIO!A523="","",INVENTÁRIO!A523)</f>
        <v/>
      </c>
      <c r="B523" s="11" t="str">
        <f aca="false">IF(A523="","",INVENTÁRIO!B523)</f>
        <v/>
      </c>
      <c r="C523" s="16" t="str">
        <f aca="false">IF(A523="","",IFERROR(INDEX($L$2:$L$801,MATCH(A523,$K$2:$K$801,0)),"Não verificada"))</f>
        <v/>
      </c>
      <c r="D523" s="11" t="str">
        <f aca="false">IF(AND(A523&lt;&gt;"",C523&lt;&gt;"Tem foto"),MAX(D$1:D522)+1,"")</f>
        <v/>
      </c>
      <c r="F523" s="26" t="str">
        <f aca="false">IF($I$4=0,"",IF(521&lt;=$I$4,"    """&amp;INDEX($A$2:$A$801,MATCH(521,$D$2:$D$801,0))&amp;""",",IF(521=$I$4+1,"]","")))</f>
        <v/>
      </c>
    </row>
    <row r="524" customFormat="false" ht="15" hidden="false" customHeight="false" outlineLevel="0" collapsed="false">
      <c r="A524" s="11" t="str">
        <f aca="false">IF(INVENTÁRIO!A524="","",INVENTÁRIO!A524)</f>
        <v/>
      </c>
      <c r="B524" s="11" t="str">
        <f aca="false">IF(A524="","",INVENTÁRIO!B524)</f>
        <v/>
      </c>
      <c r="C524" s="16" t="str">
        <f aca="false">IF(A524="","",IFERROR(INDEX($L$2:$L$801,MATCH(A524,$K$2:$K$801,0)),"Não verificada"))</f>
        <v/>
      </c>
      <c r="D524" s="11" t="str">
        <f aca="false">IF(AND(A524&lt;&gt;"",C524&lt;&gt;"Tem foto"),MAX(D$1:D523)+1,"")</f>
        <v/>
      </c>
      <c r="F524" s="26" t="str">
        <f aca="false">IF($I$4=0,"",IF(522&lt;=$I$4,"    """&amp;INDEX($A$2:$A$801,MATCH(522,$D$2:$D$801,0))&amp;""",",IF(522=$I$4+1,"]","")))</f>
        <v/>
      </c>
    </row>
    <row r="525" customFormat="false" ht="15" hidden="false" customHeight="false" outlineLevel="0" collapsed="false">
      <c r="A525" s="11" t="str">
        <f aca="false">IF(INVENTÁRIO!A525="","",INVENTÁRIO!A525)</f>
        <v/>
      </c>
      <c r="B525" s="11" t="str">
        <f aca="false">IF(A525="","",INVENTÁRIO!B525)</f>
        <v/>
      </c>
      <c r="C525" s="16" t="str">
        <f aca="false">IF(A525="","",IFERROR(INDEX($L$2:$L$801,MATCH(A525,$K$2:$K$801,0)),"Não verificada"))</f>
        <v/>
      </c>
      <c r="D525" s="11" t="str">
        <f aca="false">IF(AND(A525&lt;&gt;"",C525&lt;&gt;"Tem foto"),MAX(D$1:D524)+1,"")</f>
        <v/>
      </c>
      <c r="F525" s="26" t="str">
        <f aca="false">IF($I$4=0,"",IF(523&lt;=$I$4,"    """&amp;INDEX($A$2:$A$801,MATCH(523,$D$2:$D$801,0))&amp;""",",IF(523=$I$4+1,"]","")))</f>
        <v/>
      </c>
    </row>
    <row r="526" customFormat="false" ht="15" hidden="false" customHeight="false" outlineLevel="0" collapsed="false">
      <c r="A526" s="11" t="str">
        <f aca="false">IF(INVENTÁRIO!A526="","",INVENTÁRIO!A526)</f>
        <v/>
      </c>
      <c r="B526" s="11" t="str">
        <f aca="false">IF(A526="","",INVENTÁRIO!B526)</f>
        <v/>
      </c>
      <c r="C526" s="16" t="str">
        <f aca="false">IF(A526="","",IFERROR(INDEX($L$2:$L$801,MATCH(A526,$K$2:$K$801,0)),"Não verificada"))</f>
        <v/>
      </c>
      <c r="D526" s="11" t="str">
        <f aca="false">IF(AND(A526&lt;&gt;"",C526&lt;&gt;"Tem foto"),MAX(D$1:D525)+1,"")</f>
        <v/>
      </c>
      <c r="F526" s="26" t="str">
        <f aca="false">IF($I$4=0,"",IF(524&lt;=$I$4,"    """&amp;INDEX($A$2:$A$801,MATCH(524,$D$2:$D$801,0))&amp;""",",IF(524=$I$4+1,"]","")))</f>
        <v/>
      </c>
    </row>
    <row r="527" customFormat="false" ht="15" hidden="false" customHeight="false" outlineLevel="0" collapsed="false">
      <c r="A527" s="11" t="str">
        <f aca="false">IF(INVENTÁRIO!A527="","",INVENTÁRIO!A527)</f>
        <v/>
      </c>
      <c r="B527" s="11" t="str">
        <f aca="false">IF(A527="","",INVENTÁRIO!B527)</f>
        <v/>
      </c>
      <c r="C527" s="16" t="str">
        <f aca="false">IF(A527="","",IFERROR(INDEX($L$2:$L$801,MATCH(A527,$K$2:$K$801,0)),"Não verificada"))</f>
        <v/>
      </c>
      <c r="D527" s="11" t="str">
        <f aca="false">IF(AND(A527&lt;&gt;"",C527&lt;&gt;"Tem foto"),MAX(D$1:D526)+1,"")</f>
        <v/>
      </c>
      <c r="F527" s="26" t="str">
        <f aca="false">IF($I$4=0,"",IF(525&lt;=$I$4,"    """&amp;INDEX($A$2:$A$801,MATCH(525,$D$2:$D$801,0))&amp;""",",IF(525=$I$4+1,"]","")))</f>
        <v/>
      </c>
    </row>
    <row r="528" customFormat="false" ht="15" hidden="false" customHeight="false" outlineLevel="0" collapsed="false">
      <c r="A528" s="11" t="str">
        <f aca="false">IF(INVENTÁRIO!A528="","",INVENTÁRIO!A528)</f>
        <v/>
      </c>
      <c r="B528" s="11" t="str">
        <f aca="false">IF(A528="","",INVENTÁRIO!B528)</f>
        <v/>
      </c>
      <c r="C528" s="16" t="str">
        <f aca="false">IF(A528="","",IFERROR(INDEX($L$2:$L$801,MATCH(A528,$K$2:$K$801,0)),"Não verificada"))</f>
        <v/>
      </c>
      <c r="D528" s="11" t="str">
        <f aca="false">IF(AND(A528&lt;&gt;"",C528&lt;&gt;"Tem foto"),MAX(D$1:D527)+1,"")</f>
        <v/>
      </c>
      <c r="F528" s="26" t="str">
        <f aca="false">IF($I$4=0,"",IF(526&lt;=$I$4,"    """&amp;INDEX($A$2:$A$801,MATCH(526,$D$2:$D$801,0))&amp;""",",IF(526=$I$4+1,"]","")))</f>
        <v/>
      </c>
    </row>
    <row r="529" customFormat="false" ht="15" hidden="false" customHeight="false" outlineLevel="0" collapsed="false">
      <c r="A529" s="11" t="str">
        <f aca="false">IF(INVENTÁRIO!A529="","",INVENTÁRIO!A529)</f>
        <v/>
      </c>
      <c r="B529" s="11" t="str">
        <f aca="false">IF(A529="","",INVENTÁRIO!B529)</f>
        <v/>
      </c>
      <c r="C529" s="16" t="str">
        <f aca="false">IF(A529="","",IFERROR(INDEX($L$2:$L$801,MATCH(A529,$K$2:$K$801,0)),"Não verificada"))</f>
        <v/>
      </c>
      <c r="D529" s="11" t="str">
        <f aca="false">IF(AND(A529&lt;&gt;"",C529&lt;&gt;"Tem foto"),MAX(D$1:D528)+1,"")</f>
        <v/>
      </c>
      <c r="F529" s="26" t="str">
        <f aca="false">IF($I$4=0,"",IF(527&lt;=$I$4,"    """&amp;INDEX($A$2:$A$801,MATCH(527,$D$2:$D$801,0))&amp;""",",IF(527=$I$4+1,"]","")))</f>
        <v/>
      </c>
    </row>
    <row r="530" customFormat="false" ht="15" hidden="false" customHeight="false" outlineLevel="0" collapsed="false">
      <c r="A530" s="11" t="str">
        <f aca="false">IF(INVENTÁRIO!A530="","",INVENTÁRIO!A530)</f>
        <v/>
      </c>
      <c r="B530" s="11" t="str">
        <f aca="false">IF(A530="","",INVENTÁRIO!B530)</f>
        <v/>
      </c>
      <c r="C530" s="16" t="str">
        <f aca="false">IF(A530="","",IFERROR(INDEX($L$2:$L$801,MATCH(A530,$K$2:$K$801,0)),"Não verificada"))</f>
        <v/>
      </c>
      <c r="D530" s="11" t="str">
        <f aca="false">IF(AND(A530&lt;&gt;"",C530&lt;&gt;"Tem foto"),MAX(D$1:D529)+1,"")</f>
        <v/>
      </c>
      <c r="F530" s="26" t="str">
        <f aca="false">IF($I$4=0,"",IF(528&lt;=$I$4,"    """&amp;INDEX($A$2:$A$801,MATCH(528,$D$2:$D$801,0))&amp;""",",IF(528=$I$4+1,"]","")))</f>
        <v/>
      </c>
    </row>
    <row r="531" customFormat="false" ht="15" hidden="false" customHeight="false" outlineLevel="0" collapsed="false">
      <c r="A531" s="11" t="str">
        <f aca="false">IF(INVENTÁRIO!A531="","",INVENTÁRIO!A531)</f>
        <v/>
      </c>
      <c r="B531" s="11" t="str">
        <f aca="false">IF(A531="","",INVENTÁRIO!B531)</f>
        <v/>
      </c>
      <c r="C531" s="16" t="str">
        <f aca="false">IF(A531="","",IFERROR(INDEX($L$2:$L$801,MATCH(A531,$K$2:$K$801,0)),"Não verificada"))</f>
        <v/>
      </c>
      <c r="D531" s="11" t="str">
        <f aca="false">IF(AND(A531&lt;&gt;"",C531&lt;&gt;"Tem foto"),MAX(D$1:D530)+1,"")</f>
        <v/>
      </c>
      <c r="F531" s="26" t="str">
        <f aca="false">IF($I$4=0,"",IF(529&lt;=$I$4,"    """&amp;INDEX($A$2:$A$801,MATCH(529,$D$2:$D$801,0))&amp;""",",IF(529=$I$4+1,"]","")))</f>
        <v/>
      </c>
    </row>
    <row r="532" customFormat="false" ht="15" hidden="false" customHeight="false" outlineLevel="0" collapsed="false">
      <c r="A532" s="11" t="str">
        <f aca="false">IF(INVENTÁRIO!A532="","",INVENTÁRIO!A532)</f>
        <v/>
      </c>
      <c r="B532" s="11" t="str">
        <f aca="false">IF(A532="","",INVENTÁRIO!B532)</f>
        <v/>
      </c>
      <c r="C532" s="16" t="str">
        <f aca="false">IF(A532="","",IFERROR(INDEX($L$2:$L$801,MATCH(A532,$K$2:$K$801,0)),"Não verificada"))</f>
        <v/>
      </c>
      <c r="D532" s="11" t="str">
        <f aca="false">IF(AND(A532&lt;&gt;"",C532&lt;&gt;"Tem foto"),MAX(D$1:D531)+1,"")</f>
        <v/>
      </c>
      <c r="F532" s="26" t="str">
        <f aca="false">IF($I$4=0,"",IF(530&lt;=$I$4,"    """&amp;INDEX($A$2:$A$801,MATCH(530,$D$2:$D$801,0))&amp;""",",IF(530=$I$4+1,"]","")))</f>
        <v/>
      </c>
    </row>
    <row r="533" customFormat="false" ht="15" hidden="false" customHeight="false" outlineLevel="0" collapsed="false">
      <c r="A533" s="11" t="str">
        <f aca="false">IF(INVENTÁRIO!A533="","",INVENTÁRIO!A533)</f>
        <v/>
      </c>
      <c r="B533" s="11" t="str">
        <f aca="false">IF(A533="","",INVENTÁRIO!B533)</f>
        <v/>
      </c>
      <c r="C533" s="16" t="str">
        <f aca="false">IF(A533="","",IFERROR(INDEX($L$2:$L$801,MATCH(A533,$K$2:$K$801,0)),"Não verificada"))</f>
        <v/>
      </c>
      <c r="D533" s="11" t="str">
        <f aca="false">IF(AND(A533&lt;&gt;"",C533&lt;&gt;"Tem foto"),MAX(D$1:D532)+1,"")</f>
        <v/>
      </c>
      <c r="F533" s="26" t="str">
        <f aca="false">IF($I$4=0,"",IF(531&lt;=$I$4,"    """&amp;INDEX($A$2:$A$801,MATCH(531,$D$2:$D$801,0))&amp;""",",IF(531=$I$4+1,"]","")))</f>
        <v/>
      </c>
    </row>
    <row r="534" customFormat="false" ht="15" hidden="false" customHeight="false" outlineLevel="0" collapsed="false">
      <c r="A534" s="11" t="str">
        <f aca="false">IF(INVENTÁRIO!A534="","",INVENTÁRIO!A534)</f>
        <v/>
      </c>
      <c r="B534" s="11" t="str">
        <f aca="false">IF(A534="","",INVENTÁRIO!B534)</f>
        <v/>
      </c>
      <c r="C534" s="16" t="str">
        <f aca="false">IF(A534="","",IFERROR(INDEX($L$2:$L$801,MATCH(A534,$K$2:$K$801,0)),"Não verificada"))</f>
        <v/>
      </c>
      <c r="D534" s="11" t="str">
        <f aca="false">IF(AND(A534&lt;&gt;"",C534&lt;&gt;"Tem foto"),MAX(D$1:D533)+1,"")</f>
        <v/>
      </c>
      <c r="F534" s="26" t="str">
        <f aca="false">IF($I$4=0,"",IF(532&lt;=$I$4,"    """&amp;INDEX($A$2:$A$801,MATCH(532,$D$2:$D$801,0))&amp;""",",IF(532=$I$4+1,"]","")))</f>
        <v/>
      </c>
    </row>
    <row r="535" customFormat="false" ht="15" hidden="false" customHeight="false" outlineLevel="0" collapsed="false">
      <c r="A535" s="11" t="str">
        <f aca="false">IF(INVENTÁRIO!A535="","",INVENTÁRIO!A535)</f>
        <v/>
      </c>
      <c r="B535" s="11" t="str">
        <f aca="false">IF(A535="","",INVENTÁRIO!B535)</f>
        <v/>
      </c>
      <c r="C535" s="16" t="str">
        <f aca="false">IF(A535="","",IFERROR(INDEX($L$2:$L$801,MATCH(A535,$K$2:$K$801,0)),"Não verificada"))</f>
        <v/>
      </c>
      <c r="D535" s="11" t="str">
        <f aca="false">IF(AND(A535&lt;&gt;"",C535&lt;&gt;"Tem foto"),MAX(D$1:D534)+1,"")</f>
        <v/>
      </c>
      <c r="F535" s="26" t="str">
        <f aca="false">IF($I$4=0,"",IF(533&lt;=$I$4,"    """&amp;INDEX($A$2:$A$801,MATCH(533,$D$2:$D$801,0))&amp;""",",IF(533=$I$4+1,"]","")))</f>
        <v/>
      </c>
    </row>
    <row r="536" customFormat="false" ht="15" hidden="false" customHeight="false" outlineLevel="0" collapsed="false">
      <c r="A536" s="11" t="str">
        <f aca="false">IF(INVENTÁRIO!A536="","",INVENTÁRIO!A536)</f>
        <v/>
      </c>
      <c r="B536" s="11" t="str">
        <f aca="false">IF(A536="","",INVENTÁRIO!B536)</f>
        <v/>
      </c>
      <c r="C536" s="16" t="str">
        <f aca="false">IF(A536="","",IFERROR(INDEX($L$2:$L$801,MATCH(A536,$K$2:$K$801,0)),"Não verificada"))</f>
        <v/>
      </c>
      <c r="D536" s="11" t="str">
        <f aca="false">IF(AND(A536&lt;&gt;"",C536&lt;&gt;"Tem foto"),MAX(D$1:D535)+1,"")</f>
        <v/>
      </c>
      <c r="F536" s="26" t="str">
        <f aca="false">IF($I$4=0,"",IF(534&lt;=$I$4,"    """&amp;INDEX($A$2:$A$801,MATCH(534,$D$2:$D$801,0))&amp;""",",IF(534=$I$4+1,"]","")))</f>
        <v/>
      </c>
    </row>
    <row r="537" customFormat="false" ht="15" hidden="false" customHeight="false" outlineLevel="0" collapsed="false">
      <c r="A537" s="11" t="str">
        <f aca="false">IF(INVENTÁRIO!A537="","",INVENTÁRIO!A537)</f>
        <v/>
      </c>
      <c r="B537" s="11" t="str">
        <f aca="false">IF(A537="","",INVENTÁRIO!B537)</f>
        <v/>
      </c>
      <c r="C537" s="16" t="str">
        <f aca="false">IF(A537="","",IFERROR(INDEX($L$2:$L$801,MATCH(A537,$K$2:$K$801,0)),"Não verificada"))</f>
        <v/>
      </c>
      <c r="D537" s="11" t="str">
        <f aca="false">IF(AND(A537&lt;&gt;"",C537&lt;&gt;"Tem foto"),MAX(D$1:D536)+1,"")</f>
        <v/>
      </c>
      <c r="F537" s="26" t="str">
        <f aca="false">IF($I$4=0,"",IF(535&lt;=$I$4,"    """&amp;INDEX($A$2:$A$801,MATCH(535,$D$2:$D$801,0))&amp;""",",IF(535=$I$4+1,"]","")))</f>
        <v/>
      </c>
    </row>
    <row r="538" customFormat="false" ht="15" hidden="false" customHeight="false" outlineLevel="0" collapsed="false">
      <c r="A538" s="11" t="str">
        <f aca="false">IF(INVENTÁRIO!A538="","",INVENTÁRIO!A538)</f>
        <v/>
      </c>
      <c r="B538" s="11" t="str">
        <f aca="false">IF(A538="","",INVENTÁRIO!B538)</f>
        <v/>
      </c>
      <c r="C538" s="16" t="str">
        <f aca="false">IF(A538="","",IFERROR(INDEX($L$2:$L$801,MATCH(A538,$K$2:$K$801,0)),"Não verificada"))</f>
        <v/>
      </c>
      <c r="D538" s="11" t="str">
        <f aca="false">IF(AND(A538&lt;&gt;"",C538&lt;&gt;"Tem foto"),MAX(D$1:D537)+1,"")</f>
        <v/>
      </c>
      <c r="F538" s="26" t="str">
        <f aca="false">IF($I$4=0,"",IF(536&lt;=$I$4,"    """&amp;INDEX($A$2:$A$801,MATCH(536,$D$2:$D$801,0))&amp;""",",IF(536=$I$4+1,"]","")))</f>
        <v/>
      </c>
    </row>
    <row r="539" customFormat="false" ht="15" hidden="false" customHeight="false" outlineLevel="0" collapsed="false">
      <c r="A539" s="11" t="str">
        <f aca="false">IF(INVENTÁRIO!A539="","",INVENTÁRIO!A539)</f>
        <v/>
      </c>
      <c r="B539" s="11" t="str">
        <f aca="false">IF(A539="","",INVENTÁRIO!B539)</f>
        <v/>
      </c>
      <c r="C539" s="16" t="str">
        <f aca="false">IF(A539="","",IFERROR(INDEX($L$2:$L$801,MATCH(A539,$K$2:$K$801,0)),"Não verificada"))</f>
        <v/>
      </c>
      <c r="D539" s="11" t="str">
        <f aca="false">IF(AND(A539&lt;&gt;"",C539&lt;&gt;"Tem foto"),MAX(D$1:D538)+1,"")</f>
        <v/>
      </c>
      <c r="F539" s="26" t="str">
        <f aca="false">IF($I$4=0,"",IF(537&lt;=$I$4,"    """&amp;INDEX($A$2:$A$801,MATCH(537,$D$2:$D$801,0))&amp;""",",IF(537=$I$4+1,"]","")))</f>
        <v/>
      </c>
    </row>
    <row r="540" customFormat="false" ht="15" hidden="false" customHeight="false" outlineLevel="0" collapsed="false">
      <c r="A540" s="11" t="str">
        <f aca="false">IF(INVENTÁRIO!A540="","",INVENTÁRIO!A540)</f>
        <v/>
      </c>
      <c r="B540" s="11" t="str">
        <f aca="false">IF(A540="","",INVENTÁRIO!B540)</f>
        <v/>
      </c>
      <c r="C540" s="16" t="str">
        <f aca="false">IF(A540="","",IFERROR(INDEX($L$2:$L$801,MATCH(A540,$K$2:$K$801,0)),"Não verificada"))</f>
        <v/>
      </c>
      <c r="D540" s="11" t="str">
        <f aca="false">IF(AND(A540&lt;&gt;"",C540&lt;&gt;"Tem foto"),MAX(D$1:D539)+1,"")</f>
        <v/>
      </c>
      <c r="F540" s="26" t="str">
        <f aca="false">IF($I$4=0,"",IF(538&lt;=$I$4,"    """&amp;INDEX($A$2:$A$801,MATCH(538,$D$2:$D$801,0))&amp;""",",IF(538=$I$4+1,"]","")))</f>
        <v/>
      </c>
    </row>
    <row r="541" customFormat="false" ht="15" hidden="false" customHeight="false" outlineLevel="0" collapsed="false">
      <c r="A541" s="11" t="str">
        <f aca="false">IF(INVENTÁRIO!A541="","",INVENTÁRIO!A541)</f>
        <v/>
      </c>
      <c r="B541" s="11" t="str">
        <f aca="false">IF(A541="","",INVENTÁRIO!B541)</f>
        <v/>
      </c>
      <c r="C541" s="16" t="str">
        <f aca="false">IF(A541="","",IFERROR(INDEX($L$2:$L$801,MATCH(A541,$K$2:$K$801,0)),"Não verificada"))</f>
        <v/>
      </c>
      <c r="D541" s="11" t="str">
        <f aca="false">IF(AND(A541&lt;&gt;"",C541&lt;&gt;"Tem foto"),MAX(D$1:D540)+1,"")</f>
        <v/>
      </c>
      <c r="F541" s="26" t="str">
        <f aca="false">IF($I$4=0,"",IF(539&lt;=$I$4,"    """&amp;INDEX($A$2:$A$801,MATCH(539,$D$2:$D$801,0))&amp;""",",IF(539=$I$4+1,"]","")))</f>
        <v/>
      </c>
    </row>
    <row r="542" customFormat="false" ht="15" hidden="false" customHeight="false" outlineLevel="0" collapsed="false">
      <c r="A542" s="11" t="str">
        <f aca="false">IF(INVENTÁRIO!A542="","",INVENTÁRIO!A542)</f>
        <v/>
      </c>
      <c r="B542" s="11" t="str">
        <f aca="false">IF(A542="","",INVENTÁRIO!B542)</f>
        <v/>
      </c>
      <c r="C542" s="16" t="str">
        <f aca="false">IF(A542="","",IFERROR(INDEX($L$2:$L$801,MATCH(A542,$K$2:$K$801,0)),"Não verificada"))</f>
        <v/>
      </c>
      <c r="D542" s="11" t="str">
        <f aca="false">IF(AND(A542&lt;&gt;"",C542&lt;&gt;"Tem foto"),MAX(D$1:D541)+1,"")</f>
        <v/>
      </c>
      <c r="F542" s="26" t="str">
        <f aca="false">IF($I$4=0,"",IF(540&lt;=$I$4,"    """&amp;INDEX($A$2:$A$801,MATCH(540,$D$2:$D$801,0))&amp;""",",IF(540=$I$4+1,"]","")))</f>
        <v/>
      </c>
    </row>
    <row r="543" customFormat="false" ht="15" hidden="false" customHeight="false" outlineLevel="0" collapsed="false">
      <c r="A543" s="11" t="str">
        <f aca="false">IF(INVENTÁRIO!A543="","",INVENTÁRIO!A543)</f>
        <v/>
      </c>
      <c r="B543" s="11" t="str">
        <f aca="false">IF(A543="","",INVENTÁRIO!B543)</f>
        <v/>
      </c>
      <c r="C543" s="16" t="str">
        <f aca="false">IF(A543="","",IFERROR(INDEX($L$2:$L$801,MATCH(A543,$K$2:$K$801,0)),"Não verificada"))</f>
        <v/>
      </c>
      <c r="D543" s="11" t="str">
        <f aca="false">IF(AND(A543&lt;&gt;"",C543&lt;&gt;"Tem foto"),MAX(D$1:D542)+1,"")</f>
        <v/>
      </c>
      <c r="F543" s="26" t="str">
        <f aca="false">IF($I$4=0,"",IF(541&lt;=$I$4,"    """&amp;INDEX($A$2:$A$801,MATCH(541,$D$2:$D$801,0))&amp;""",",IF(541=$I$4+1,"]","")))</f>
        <v/>
      </c>
    </row>
    <row r="544" customFormat="false" ht="15" hidden="false" customHeight="false" outlineLevel="0" collapsed="false">
      <c r="A544" s="11" t="str">
        <f aca="false">IF(INVENTÁRIO!A544="","",INVENTÁRIO!A544)</f>
        <v/>
      </c>
      <c r="B544" s="11" t="str">
        <f aca="false">IF(A544="","",INVENTÁRIO!B544)</f>
        <v/>
      </c>
      <c r="C544" s="16" t="str">
        <f aca="false">IF(A544="","",IFERROR(INDEX($L$2:$L$801,MATCH(A544,$K$2:$K$801,0)),"Não verificada"))</f>
        <v/>
      </c>
      <c r="D544" s="11" t="str">
        <f aca="false">IF(AND(A544&lt;&gt;"",C544&lt;&gt;"Tem foto"),MAX(D$1:D543)+1,"")</f>
        <v/>
      </c>
      <c r="F544" s="26" t="str">
        <f aca="false">IF($I$4=0,"",IF(542&lt;=$I$4,"    """&amp;INDEX($A$2:$A$801,MATCH(542,$D$2:$D$801,0))&amp;""",",IF(542=$I$4+1,"]","")))</f>
        <v/>
      </c>
    </row>
    <row r="545" customFormat="false" ht="15" hidden="false" customHeight="false" outlineLevel="0" collapsed="false">
      <c r="A545" s="11" t="str">
        <f aca="false">IF(INVENTÁRIO!A545="","",INVENTÁRIO!A545)</f>
        <v/>
      </c>
      <c r="B545" s="11" t="str">
        <f aca="false">IF(A545="","",INVENTÁRIO!B545)</f>
        <v/>
      </c>
      <c r="C545" s="16" t="str">
        <f aca="false">IF(A545="","",IFERROR(INDEX($L$2:$L$801,MATCH(A545,$K$2:$K$801,0)),"Não verificada"))</f>
        <v/>
      </c>
      <c r="D545" s="11" t="str">
        <f aca="false">IF(AND(A545&lt;&gt;"",C545&lt;&gt;"Tem foto"),MAX(D$1:D544)+1,"")</f>
        <v/>
      </c>
      <c r="F545" s="26" t="str">
        <f aca="false">IF($I$4=0,"",IF(543&lt;=$I$4,"    """&amp;INDEX($A$2:$A$801,MATCH(543,$D$2:$D$801,0))&amp;""",",IF(543=$I$4+1,"]","")))</f>
        <v/>
      </c>
    </row>
    <row r="546" customFormat="false" ht="15" hidden="false" customHeight="false" outlineLevel="0" collapsed="false">
      <c r="A546" s="11" t="str">
        <f aca="false">IF(INVENTÁRIO!A546="","",INVENTÁRIO!A546)</f>
        <v/>
      </c>
      <c r="B546" s="11" t="str">
        <f aca="false">IF(A546="","",INVENTÁRIO!B546)</f>
        <v/>
      </c>
      <c r="C546" s="16" t="str">
        <f aca="false">IF(A546="","",IFERROR(INDEX($L$2:$L$801,MATCH(A546,$K$2:$K$801,0)),"Não verificada"))</f>
        <v/>
      </c>
      <c r="D546" s="11" t="str">
        <f aca="false">IF(AND(A546&lt;&gt;"",C546&lt;&gt;"Tem foto"),MAX(D$1:D545)+1,"")</f>
        <v/>
      </c>
      <c r="F546" s="26" t="str">
        <f aca="false">IF($I$4=0,"",IF(544&lt;=$I$4,"    """&amp;INDEX($A$2:$A$801,MATCH(544,$D$2:$D$801,0))&amp;""",",IF(544=$I$4+1,"]","")))</f>
        <v/>
      </c>
    </row>
    <row r="547" customFormat="false" ht="15" hidden="false" customHeight="false" outlineLevel="0" collapsed="false">
      <c r="A547" s="11" t="str">
        <f aca="false">IF(INVENTÁRIO!A547="","",INVENTÁRIO!A547)</f>
        <v/>
      </c>
      <c r="B547" s="11" t="str">
        <f aca="false">IF(A547="","",INVENTÁRIO!B547)</f>
        <v/>
      </c>
      <c r="C547" s="16" t="str">
        <f aca="false">IF(A547="","",IFERROR(INDEX($L$2:$L$801,MATCH(A547,$K$2:$K$801,0)),"Não verificada"))</f>
        <v/>
      </c>
      <c r="D547" s="11" t="str">
        <f aca="false">IF(AND(A547&lt;&gt;"",C547&lt;&gt;"Tem foto"),MAX(D$1:D546)+1,"")</f>
        <v/>
      </c>
      <c r="F547" s="26" t="str">
        <f aca="false">IF($I$4=0,"",IF(545&lt;=$I$4,"    """&amp;INDEX($A$2:$A$801,MATCH(545,$D$2:$D$801,0))&amp;""",",IF(545=$I$4+1,"]","")))</f>
        <v/>
      </c>
    </row>
    <row r="548" customFormat="false" ht="15" hidden="false" customHeight="false" outlineLevel="0" collapsed="false">
      <c r="A548" s="11" t="str">
        <f aca="false">IF(INVENTÁRIO!A548="","",INVENTÁRIO!A548)</f>
        <v/>
      </c>
      <c r="B548" s="11" t="str">
        <f aca="false">IF(A548="","",INVENTÁRIO!B548)</f>
        <v/>
      </c>
      <c r="C548" s="16" t="str">
        <f aca="false">IF(A548="","",IFERROR(INDEX($L$2:$L$801,MATCH(A548,$K$2:$K$801,0)),"Não verificada"))</f>
        <v/>
      </c>
      <c r="D548" s="11" t="str">
        <f aca="false">IF(AND(A548&lt;&gt;"",C548&lt;&gt;"Tem foto"),MAX(D$1:D547)+1,"")</f>
        <v/>
      </c>
      <c r="F548" s="26" t="str">
        <f aca="false">IF($I$4=0,"",IF(546&lt;=$I$4,"    """&amp;INDEX($A$2:$A$801,MATCH(546,$D$2:$D$801,0))&amp;""",",IF(546=$I$4+1,"]","")))</f>
        <v/>
      </c>
    </row>
    <row r="549" customFormat="false" ht="15" hidden="false" customHeight="false" outlineLevel="0" collapsed="false">
      <c r="A549" s="11" t="str">
        <f aca="false">IF(INVENTÁRIO!A549="","",INVENTÁRIO!A549)</f>
        <v/>
      </c>
      <c r="B549" s="11" t="str">
        <f aca="false">IF(A549="","",INVENTÁRIO!B549)</f>
        <v/>
      </c>
      <c r="C549" s="16" t="str">
        <f aca="false">IF(A549="","",IFERROR(INDEX($L$2:$L$801,MATCH(A549,$K$2:$K$801,0)),"Não verificada"))</f>
        <v/>
      </c>
      <c r="D549" s="11" t="str">
        <f aca="false">IF(AND(A549&lt;&gt;"",C549&lt;&gt;"Tem foto"),MAX(D$1:D548)+1,"")</f>
        <v/>
      </c>
      <c r="F549" s="26" t="str">
        <f aca="false">IF($I$4=0,"",IF(547&lt;=$I$4,"    """&amp;INDEX($A$2:$A$801,MATCH(547,$D$2:$D$801,0))&amp;""",",IF(547=$I$4+1,"]","")))</f>
        <v/>
      </c>
    </row>
    <row r="550" customFormat="false" ht="15" hidden="false" customHeight="false" outlineLevel="0" collapsed="false">
      <c r="A550" s="11" t="str">
        <f aca="false">IF(INVENTÁRIO!A550="","",INVENTÁRIO!A550)</f>
        <v/>
      </c>
      <c r="B550" s="11" t="str">
        <f aca="false">IF(A550="","",INVENTÁRIO!B550)</f>
        <v/>
      </c>
      <c r="C550" s="16" t="str">
        <f aca="false">IF(A550="","",IFERROR(INDEX($L$2:$L$801,MATCH(A550,$K$2:$K$801,0)),"Não verificada"))</f>
        <v/>
      </c>
      <c r="D550" s="11" t="str">
        <f aca="false">IF(AND(A550&lt;&gt;"",C550&lt;&gt;"Tem foto"),MAX(D$1:D549)+1,"")</f>
        <v/>
      </c>
      <c r="F550" s="26" t="str">
        <f aca="false">IF($I$4=0,"",IF(548&lt;=$I$4,"    """&amp;INDEX($A$2:$A$801,MATCH(548,$D$2:$D$801,0))&amp;""",",IF(548=$I$4+1,"]","")))</f>
        <v/>
      </c>
    </row>
    <row r="551" customFormat="false" ht="15" hidden="false" customHeight="false" outlineLevel="0" collapsed="false">
      <c r="A551" s="11" t="str">
        <f aca="false">IF(INVENTÁRIO!A551="","",INVENTÁRIO!A551)</f>
        <v/>
      </c>
      <c r="B551" s="11" t="str">
        <f aca="false">IF(A551="","",INVENTÁRIO!B551)</f>
        <v/>
      </c>
      <c r="C551" s="16" t="str">
        <f aca="false">IF(A551="","",IFERROR(INDEX($L$2:$L$801,MATCH(A551,$K$2:$K$801,0)),"Não verificada"))</f>
        <v/>
      </c>
      <c r="D551" s="11" t="str">
        <f aca="false">IF(AND(A551&lt;&gt;"",C551&lt;&gt;"Tem foto"),MAX(D$1:D550)+1,"")</f>
        <v/>
      </c>
      <c r="F551" s="26" t="str">
        <f aca="false">IF($I$4=0,"",IF(549&lt;=$I$4,"    """&amp;INDEX($A$2:$A$801,MATCH(549,$D$2:$D$801,0))&amp;""",",IF(549=$I$4+1,"]","")))</f>
        <v/>
      </c>
    </row>
    <row r="552" customFormat="false" ht="15" hidden="false" customHeight="false" outlineLevel="0" collapsed="false">
      <c r="A552" s="11" t="str">
        <f aca="false">IF(INVENTÁRIO!A552="","",INVENTÁRIO!A552)</f>
        <v/>
      </c>
      <c r="B552" s="11" t="str">
        <f aca="false">IF(A552="","",INVENTÁRIO!B552)</f>
        <v/>
      </c>
      <c r="C552" s="16" t="str">
        <f aca="false">IF(A552="","",IFERROR(INDEX($L$2:$L$801,MATCH(A552,$K$2:$K$801,0)),"Não verificada"))</f>
        <v/>
      </c>
      <c r="D552" s="11" t="str">
        <f aca="false">IF(AND(A552&lt;&gt;"",C552&lt;&gt;"Tem foto"),MAX(D$1:D551)+1,"")</f>
        <v/>
      </c>
      <c r="F552" s="26" t="str">
        <f aca="false">IF($I$4=0,"",IF(550&lt;=$I$4,"    """&amp;INDEX($A$2:$A$801,MATCH(550,$D$2:$D$801,0))&amp;""",",IF(550=$I$4+1,"]","")))</f>
        <v/>
      </c>
    </row>
    <row r="553" customFormat="false" ht="15" hidden="false" customHeight="false" outlineLevel="0" collapsed="false">
      <c r="A553" s="11" t="str">
        <f aca="false">IF(INVENTÁRIO!A553="","",INVENTÁRIO!A553)</f>
        <v/>
      </c>
      <c r="B553" s="11" t="str">
        <f aca="false">IF(A553="","",INVENTÁRIO!B553)</f>
        <v/>
      </c>
      <c r="C553" s="16" t="str">
        <f aca="false">IF(A553="","",IFERROR(INDEX($L$2:$L$801,MATCH(A553,$K$2:$K$801,0)),"Não verificada"))</f>
        <v/>
      </c>
      <c r="D553" s="11" t="str">
        <f aca="false">IF(AND(A553&lt;&gt;"",C553&lt;&gt;"Tem foto"),MAX(D$1:D552)+1,"")</f>
        <v/>
      </c>
      <c r="F553" s="26" t="str">
        <f aca="false">IF($I$4=0,"",IF(551&lt;=$I$4,"    """&amp;INDEX($A$2:$A$801,MATCH(551,$D$2:$D$801,0))&amp;""",",IF(551=$I$4+1,"]","")))</f>
        <v/>
      </c>
    </row>
    <row r="554" customFormat="false" ht="15" hidden="false" customHeight="false" outlineLevel="0" collapsed="false">
      <c r="A554" s="11" t="str">
        <f aca="false">IF(INVENTÁRIO!A554="","",INVENTÁRIO!A554)</f>
        <v/>
      </c>
      <c r="B554" s="11" t="str">
        <f aca="false">IF(A554="","",INVENTÁRIO!B554)</f>
        <v/>
      </c>
      <c r="C554" s="16" t="str">
        <f aca="false">IF(A554="","",IFERROR(INDEX($L$2:$L$801,MATCH(A554,$K$2:$K$801,0)),"Não verificada"))</f>
        <v/>
      </c>
      <c r="D554" s="11" t="str">
        <f aca="false">IF(AND(A554&lt;&gt;"",C554&lt;&gt;"Tem foto"),MAX(D$1:D553)+1,"")</f>
        <v/>
      </c>
      <c r="F554" s="26" t="str">
        <f aca="false">IF($I$4=0,"",IF(552&lt;=$I$4,"    """&amp;INDEX($A$2:$A$801,MATCH(552,$D$2:$D$801,0))&amp;""",",IF(552=$I$4+1,"]","")))</f>
        <v/>
      </c>
    </row>
    <row r="555" customFormat="false" ht="15" hidden="false" customHeight="false" outlineLevel="0" collapsed="false">
      <c r="A555" s="11" t="str">
        <f aca="false">IF(INVENTÁRIO!A555="","",INVENTÁRIO!A555)</f>
        <v/>
      </c>
      <c r="B555" s="11" t="str">
        <f aca="false">IF(A555="","",INVENTÁRIO!B555)</f>
        <v/>
      </c>
      <c r="C555" s="16" t="str">
        <f aca="false">IF(A555="","",IFERROR(INDEX($L$2:$L$801,MATCH(A555,$K$2:$K$801,0)),"Não verificada"))</f>
        <v/>
      </c>
      <c r="D555" s="11" t="str">
        <f aca="false">IF(AND(A555&lt;&gt;"",C555&lt;&gt;"Tem foto"),MAX(D$1:D554)+1,"")</f>
        <v/>
      </c>
      <c r="F555" s="26" t="str">
        <f aca="false">IF($I$4=0,"",IF(553&lt;=$I$4,"    """&amp;INDEX($A$2:$A$801,MATCH(553,$D$2:$D$801,0))&amp;""",",IF(553=$I$4+1,"]","")))</f>
        <v/>
      </c>
    </row>
    <row r="556" customFormat="false" ht="15" hidden="false" customHeight="false" outlineLevel="0" collapsed="false">
      <c r="A556" s="11" t="str">
        <f aca="false">IF(INVENTÁRIO!A556="","",INVENTÁRIO!A556)</f>
        <v/>
      </c>
      <c r="B556" s="11" t="str">
        <f aca="false">IF(A556="","",INVENTÁRIO!B556)</f>
        <v/>
      </c>
      <c r="C556" s="16" t="str">
        <f aca="false">IF(A556="","",IFERROR(INDEX($L$2:$L$801,MATCH(A556,$K$2:$K$801,0)),"Não verificada"))</f>
        <v/>
      </c>
      <c r="D556" s="11" t="str">
        <f aca="false">IF(AND(A556&lt;&gt;"",C556&lt;&gt;"Tem foto"),MAX(D$1:D555)+1,"")</f>
        <v/>
      </c>
      <c r="F556" s="26" t="str">
        <f aca="false">IF($I$4=0,"",IF(554&lt;=$I$4,"    """&amp;INDEX($A$2:$A$801,MATCH(554,$D$2:$D$801,0))&amp;""",",IF(554=$I$4+1,"]","")))</f>
        <v/>
      </c>
    </row>
    <row r="557" customFormat="false" ht="15" hidden="false" customHeight="false" outlineLevel="0" collapsed="false">
      <c r="A557" s="11" t="str">
        <f aca="false">IF(INVENTÁRIO!A557="","",INVENTÁRIO!A557)</f>
        <v/>
      </c>
      <c r="B557" s="11" t="str">
        <f aca="false">IF(A557="","",INVENTÁRIO!B557)</f>
        <v/>
      </c>
      <c r="C557" s="16" t="str">
        <f aca="false">IF(A557="","",IFERROR(INDEX($L$2:$L$801,MATCH(A557,$K$2:$K$801,0)),"Não verificada"))</f>
        <v/>
      </c>
      <c r="D557" s="11" t="str">
        <f aca="false">IF(AND(A557&lt;&gt;"",C557&lt;&gt;"Tem foto"),MAX(D$1:D556)+1,"")</f>
        <v/>
      </c>
      <c r="F557" s="26" t="str">
        <f aca="false">IF($I$4=0,"",IF(555&lt;=$I$4,"    """&amp;INDEX($A$2:$A$801,MATCH(555,$D$2:$D$801,0))&amp;""",",IF(555=$I$4+1,"]","")))</f>
        <v/>
      </c>
    </row>
    <row r="558" customFormat="false" ht="15" hidden="false" customHeight="false" outlineLevel="0" collapsed="false">
      <c r="A558" s="11" t="str">
        <f aca="false">IF(INVENTÁRIO!A558="","",INVENTÁRIO!A558)</f>
        <v/>
      </c>
      <c r="B558" s="11" t="str">
        <f aca="false">IF(A558="","",INVENTÁRIO!B558)</f>
        <v/>
      </c>
      <c r="C558" s="16" t="str">
        <f aca="false">IF(A558="","",IFERROR(INDEX($L$2:$L$801,MATCH(A558,$K$2:$K$801,0)),"Não verificada"))</f>
        <v/>
      </c>
      <c r="D558" s="11" t="str">
        <f aca="false">IF(AND(A558&lt;&gt;"",C558&lt;&gt;"Tem foto"),MAX(D$1:D557)+1,"")</f>
        <v/>
      </c>
      <c r="F558" s="26" t="str">
        <f aca="false">IF($I$4=0,"",IF(556&lt;=$I$4,"    """&amp;INDEX($A$2:$A$801,MATCH(556,$D$2:$D$801,0))&amp;""",",IF(556=$I$4+1,"]","")))</f>
        <v/>
      </c>
    </row>
    <row r="559" customFormat="false" ht="15" hidden="false" customHeight="false" outlineLevel="0" collapsed="false">
      <c r="A559" s="11" t="str">
        <f aca="false">IF(INVENTÁRIO!A559="","",INVENTÁRIO!A559)</f>
        <v/>
      </c>
      <c r="B559" s="11" t="str">
        <f aca="false">IF(A559="","",INVENTÁRIO!B559)</f>
        <v/>
      </c>
      <c r="C559" s="16" t="str">
        <f aca="false">IF(A559="","",IFERROR(INDEX($L$2:$L$801,MATCH(A559,$K$2:$K$801,0)),"Não verificada"))</f>
        <v/>
      </c>
      <c r="D559" s="11" t="str">
        <f aca="false">IF(AND(A559&lt;&gt;"",C559&lt;&gt;"Tem foto"),MAX(D$1:D558)+1,"")</f>
        <v/>
      </c>
      <c r="F559" s="26" t="str">
        <f aca="false">IF($I$4=0,"",IF(557&lt;=$I$4,"    """&amp;INDEX($A$2:$A$801,MATCH(557,$D$2:$D$801,0))&amp;""",",IF(557=$I$4+1,"]","")))</f>
        <v/>
      </c>
    </row>
    <row r="560" customFormat="false" ht="15" hidden="false" customHeight="false" outlineLevel="0" collapsed="false">
      <c r="A560" s="11" t="str">
        <f aca="false">IF(INVENTÁRIO!A560="","",INVENTÁRIO!A560)</f>
        <v/>
      </c>
      <c r="B560" s="11" t="str">
        <f aca="false">IF(A560="","",INVENTÁRIO!B560)</f>
        <v/>
      </c>
      <c r="C560" s="16" t="str">
        <f aca="false">IF(A560="","",IFERROR(INDEX($L$2:$L$801,MATCH(A560,$K$2:$K$801,0)),"Não verificada"))</f>
        <v/>
      </c>
      <c r="D560" s="11" t="str">
        <f aca="false">IF(AND(A560&lt;&gt;"",C560&lt;&gt;"Tem foto"),MAX(D$1:D559)+1,"")</f>
        <v/>
      </c>
      <c r="F560" s="26" t="str">
        <f aca="false">IF($I$4=0,"",IF(558&lt;=$I$4,"    """&amp;INDEX($A$2:$A$801,MATCH(558,$D$2:$D$801,0))&amp;""",",IF(558=$I$4+1,"]","")))</f>
        <v/>
      </c>
    </row>
    <row r="561" customFormat="false" ht="15" hidden="false" customHeight="false" outlineLevel="0" collapsed="false">
      <c r="A561" s="11" t="str">
        <f aca="false">IF(INVENTÁRIO!A561="","",INVENTÁRIO!A561)</f>
        <v/>
      </c>
      <c r="B561" s="11" t="str">
        <f aca="false">IF(A561="","",INVENTÁRIO!B561)</f>
        <v/>
      </c>
      <c r="C561" s="16" t="str">
        <f aca="false">IF(A561="","",IFERROR(INDEX($L$2:$L$801,MATCH(A561,$K$2:$K$801,0)),"Não verificada"))</f>
        <v/>
      </c>
      <c r="D561" s="11" t="str">
        <f aca="false">IF(AND(A561&lt;&gt;"",C561&lt;&gt;"Tem foto"),MAX(D$1:D560)+1,"")</f>
        <v/>
      </c>
      <c r="F561" s="26" t="str">
        <f aca="false">IF($I$4=0,"",IF(559&lt;=$I$4,"    """&amp;INDEX($A$2:$A$801,MATCH(559,$D$2:$D$801,0))&amp;""",",IF(559=$I$4+1,"]","")))</f>
        <v/>
      </c>
    </row>
    <row r="562" customFormat="false" ht="15" hidden="false" customHeight="false" outlineLevel="0" collapsed="false">
      <c r="A562" s="11" t="str">
        <f aca="false">IF(INVENTÁRIO!A562="","",INVENTÁRIO!A562)</f>
        <v/>
      </c>
      <c r="B562" s="11" t="str">
        <f aca="false">IF(A562="","",INVENTÁRIO!B562)</f>
        <v/>
      </c>
      <c r="C562" s="16" t="str">
        <f aca="false">IF(A562="","",IFERROR(INDEX($L$2:$L$801,MATCH(A562,$K$2:$K$801,0)),"Não verificada"))</f>
        <v/>
      </c>
      <c r="D562" s="11" t="str">
        <f aca="false">IF(AND(A562&lt;&gt;"",C562&lt;&gt;"Tem foto"),MAX(D$1:D561)+1,"")</f>
        <v/>
      </c>
      <c r="F562" s="26" t="str">
        <f aca="false">IF($I$4=0,"",IF(560&lt;=$I$4,"    """&amp;INDEX($A$2:$A$801,MATCH(560,$D$2:$D$801,0))&amp;""",",IF(560=$I$4+1,"]","")))</f>
        <v/>
      </c>
    </row>
    <row r="563" customFormat="false" ht="15" hidden="false" customHeight="false" outlineLevel="0" collapsed="false">
      <c r="A563" s="11" t="str">
        <f aca="false">IF(INVENTÁRIO!A563="","",INVENTÁRIO!A563)</f>
        <v/>
      </c>
      <c r="B563" s="11" t="str">
        <f aca="false">IF(A563="","",INVENTÁRIO!B563)</f>
        <v/>
      </c>
      <c r="C563" s="16" t="str">
        <f aca="false">IF(A563="","",IFERROR(INDEX($L$2:$L$801,MATCH(A563,$K$2:$K$801,0)),"Não verificada"))</f>
        <v/>
      </c>
      <c r="D563" s="11" t="str">
        <f aca="false">IF(AND(A563&lt;&gt;"",C563&lt;&gt;"Tem foto"),MAX(D$1:D562)+1,"")</f>
        <v/>
      </c>
      <c r="F563" s="26" t="str">
        <f aca="false">IF($I$4=0,"",IF(561&lt;=$I$4,"    """&amp;INDEX($A$2:$A$801,MATCH(561,$D$2:$D$801,0))&amp;""",",IF(561=$I$4+1,"]","")))</f>
        <v/>
      </c>
    </row>
    <row r="564" customFormat="false" ht="15" hidden="false" customHeight="false" outlineLevel="0" collapsed="false">
      <c r="A564" s="11" t="str">
        <f aca="false">IF(INVENTÁRIO!A564="","",INVENTÁRIO!A564)</f>
        <v/>
      </c>
      <c r="B564" s="11" t="str">
        <f aca="false">IF(A564="","",INVENTÁRIO!B564)</f>
        <v/>
      </c>
      <c r="C564" s="16" t="str">
        <f aca="false">IF(A564="","",IFERROR(INDEX($L$2:$L$801,MATCH(A564,$K$2:$K$801,0)),"Não verificada"))</f>
        <v/>
      </c>
      <c r="D564" s="11" t="str">
        <f aca="false">IF(AND(A564&lt;&gt;"",C564&lt;&gt;"Tem foto"),MAX(D$1:D563)+1,"")</f>
        <v/>
      </c>
      <c r="F564" s="26" t="str">
        <f aca="false">IF($I$4=0,"",IF(562&lt;=$I$4,"    """&amp;INDEX($A$2:$A$801,MATCH(562,$D$2:$D$801,0))&amp;""",",IF(562=$I$4+1,"]","")))</f>
        <v/>
      </c>
    </row>
    <row r="565" customFormat="false" ht="15" hidden="false" customHeight="false" outlineLevel="0" collapsed="false">
      <c r="A565" s="11" t="str">
        <f aca="false">IF(INVENTÁRIO!A565="","",INVENTÁRIO!A565)</f>
        <v/>
      </c>
      <c r="B565" s="11" t="str">
        <f aca="false">IF(A565="","",INVENTÁRIO!B565)</f>
        <v/>
      </c>
      <c r="C565" s="16" t="str">
        <f aca="false">IF(A565="","",IFERROR(INDEX($L$2:$L$801,MATCH(A565,$K$2:$K$801,0)),"Não verificada"))</f>
        <v/>
      </c>
      <c r="D565" s="11" t="str">
        <f aca="false">IF(AND(A565&lt;&gt;"",C565&lt;&gt;"Tem foto"),MAX(D$1:D564)+1,"")</f>
        <v/>
      </c>
      <c r="F565" s="26" t="str">
        <f aca="false">IF($I$4=0,"",IF(563&lt;=$I$4,"    """&amp;INDEX($A$2:$A$801,MATCH(563,$D$2:$D$801,0))&amp;""",",IF(563=$I$4+1,"]","")))</f>
        <v/>
      </c>
    </row>
    <row r="566" customFormat="false" ht="15" hidden="false" customHeight="false" outlineLevel="0" collapsed="false">
      <c r="A566" s="11" t="str">
        <f aca="false">IF(INVENTÁRIO!A566="","",INVENTÁRIO!A566)</f>
        <v/>
      </c>
      <c r="B566" s="11" t="str">
        <f aca="false">IF(A566="","",INVENTÁRIO!B566)</f>
        <v/>
      </c>
      <c r="C566" s="16" t="str">
        <f aca="false">IF(A566="","",IFERROR(INDEX($L$2:$L$801,MATCH(A566,$K$2:$K$801,0)),"Não verificada"))</f>
        <v/>
      </c>
      <c r="D566" s="11" t="str">
        <f aca="false">IF(AND(A566&lt;&gt;"",C566&lt;&gt;"Tem foto"),MAX(D$1:D565)+1,"")</f>
        <v/>
      </c>
      <c r="F566" s="26" t="str">
        <f aca="false">IF($I$4=0,"",IF(564&lt;=$I$4,"    """&amp;INDEX($A$2:$A$801,MATCH(564,$D$2:$D$801,0))&amp;""",",IF(564=$I$4+1,"]","")))</f>
        <v/>
      </c>
    </row>
    <row r="567" customFormat="false" ht="15" hidden="false" customHeight="false" outlineLevel="0" collapsed="false">
      <c r="A567" s="11" t="str">
        <f aca="false">IF(INVENTÁRIO!A567="","",INVENTÁRIO!A567)</f>
        <v/>
      </c>
      <c r="B567" s="11" t="str">
        <f aca="false">IF(A567="","",INVENTÁRIO!B567)</f>
        <v/>
      </c>
      <c r="C567" s="16" t="str">
        <f aca="false">IF(A567="","",IFERROR(INDEX($L$2:$L$801,MATCH(A567,$K$2:$K$801,0)),"Não verificada"))</f>
        <v/>
      </c>
      <c r="D567" s="11" t="str">
        <f aca="false">IF(AND(A567&lt;&gt;"",C567&lt;&gt;"Tem foto"),MAX(D$1:D566)+1,"")</f>
        <v/>
      </c>
      <c r="F567" s="26" t="str">
        <f aca="false">IF($I$4=0,"",IF(565&lt;=$I$4,"    """&amp;INDEX($A$2:$A$801,MATCH(565,$D$2:$D$801,0))&amp;""",",IF(565=$I$4+1,"]","")))</f>
        <v/>
      </c>
    </row>
    <row r="568" customFormat="false" ht="15" hidden="false" customHeight="false" outlineLevel="0" collapsed="false">
      <c r="A568" s="11" t="str">
        <f aca="false">IF(INVENTÁRIO!A568="","",INVENTÁRIO!A568)</f>
        <v/>
      </c>
      <c r="B568" s="11" t="str">
        <f aca="false">IF(A568="","",INVENTÁRIO!B568)</f>
        <v/>
      </c>
      <c r="C568" s="16" t="str">
        <f aca="false">IF(A568="","",IFERROR(INDEX($L$2:$L$801,MATCH(A568,$K$2:$K$801,0)),"Não verificada"))</f>
        <v/>
      </c>
      <c r="D568" s="11" t="str">
        <f aca="false">IF(AND(A568&lt;&gt;"",C568&lt;&gt;"Tem foto"),MAX(D$1:D567)+1,"")</f>
        <v/>
      </c>
      <c r="F568" s="26" t="str">
        <f aca="false">IF($I$4=0,"",IF(566&lt;=$I$4,"    """&amp;INDEX($A$2:$A$801,MATCH(566,$D$2:$D$801,0))&amp;""",",IF(566=$I$4+1,"]","")))</f>
        <v/>
      </c>
    </row>
    <row r="569" customFormat="false" ht="15" hidden="false" customHeight="false" outlineLevel="0" collapsed="false">
      <c r="A569" s="11" t="str">
        <f aca="false">IF(INVENTÁRIO!A569="","",INVENTÁRIO!A569)</f>
        <v/>
      </c>
      <c r="B569" s="11" t="str">
        <f aca="false">IF(A569="","",INVENTÁRIO!B569)</f>
        <v/>
      </c>
      <c r="C569" s="16" t="str">
        <f aca="false">IF(A569="","",IFERROR(INDEX($L$2:$L$801,MATCH(A569,$K$2:$K$801,0)),"Não verificada"))</f>
        <v/>
      </c>
      <c r="D569" s="11" t="str">
        <f aca="false">IF(AND(A569&lt;&gt;"",C569&lt;&gt;"Tem foto"),MAX(D$1:D568)+1,"")</f>
        <v/>
      </c>
      <c r="F569" s="26" t="str">
        <f aca="false">IF($I$4=0,"",IF(567&lt;=$I$4,"    """&amp;INDEX($A$2:$A$801,MATCH(567,$D$2:$D$801,0))&amp;""",",IF(567=$I$4+1,"]","")))</f>
        <v/>
      </c>
    </row>
    <row r="570" customFormat="false" ht="15" hidden="false" customHeight="false" outlineLevel="0" collapsed="false">
      <c r="A570" s="11" t="str">
        <f aca="false">IF(INVENTÁRIO!A570="","",INVENTÁRIO!A570)</f>
        <v/>
      </c>
      <c r="B570" s="11" t="str">
        <f aca="false">IF(A570="","",INVENTÁRIO!B570)</f>
        <v/>
      </c>
      <c r="C570" s="16" t="str">
        <f aca="false">IF(A570="","",IFERROR(INDEX($L$2:$L$801,MATCH(A570,$K$2:$K$801,0)),"Não verificada"))</f>
        <v/>
      </c>
      <c r="D570" s="11" t="str">
        <f aca="false">IF(AND(A570&lt;&gt;"",C570&lt;&gt;"Tem foto"),MAX(D$1:D569)+1,"")</f>
        <v/>
      </c>
      <c r="F570" s="26" t="str">
        <f aca="false">IF($I$4=0,"",IF(568&lt;=$I$4,"    """&amp;INDEX($A$2:$A$801,MATCH(568,$D$2:$D$801,0))&amp;""",",IF(568=$I$4+1,"]","")))</f>
        <v/>
      </c>
    </row>
    <row r="571" customFormat="false" ht="15" hidden="false" customHeight="false" outlineLevel="0" collapsed="false">
      <c r="A571" s="11" t="str">
        <f aca="false">IF(INVENTÁRIO!A571="","",INVENTÁRIO!A571)</f>
        <v/>
      </c>
      <c r="B571" s="11" t="str">
        <f aca="false">IF(A571="","",INVENTÁRIO!B571)</f>
        <v/>
      </c>
      <c r="C571" s="16" t="str">
        <f aca="false">IF(A571="","",IFERROR(INDEX($L$2:$L$801,MATCH(A571,$K$2:$K$801,0)),"Não verificada"))</f>
        <v/>
      </c>
      <c r="D571" s="11" t="str">
        <f aca="false">IF(AND(A571&lt;&gt;"",C571&lt;&gt;"Tem foto"),MAX(D$1:D570)+1,"")</f>
        <v/>
      </c>
      <c r="F571" s="26" t="str">
        <f aca="false">IF($I$4=0,"",IF(569&lt;=$I$4,"    """&amp;INDEX($A$2:$A$801,MATCH(569,$D$2:$D$801,0))&amp;""",",IF(569=$I$4+1,"]","")))</f>
        <v/>
      </c>
    </row>
    <row r="572" customFormat="false" ht="15" hidden="false" customHeight="false" outlineLevel="0" collapsed="false">
      <c r="A572" s="11" t="str">
        <f aca="false">IF(INVENTÁRIO!A572="","",INVENTÁRIO!A572)</f>
        <v/>
      </c>
      <c r="B572" s="11" t="str">
        <f aca="false">IF(A572="","",INVENTÁRIO!B572)</f>
        <v/>
      </c>
      <c r="C572" s="16" t="str">
        <f aca="false">IF(A572="","",IFERROR(INDEX($L$2:$L$801,MATCH(A572,$K$2:$K$801,0)),"Não verificada"))</f>
        <v/>
      </c>
      <c r="D572" s="11" t="str">
        <f aca="false">IF(AND(A572&lt;&gt;"",C572&lt;&gt;"Tem foto"),MAX(D$1:D571)+1,"")</f>
        <v/>
      </c>
      <c r="F572" s="26" t="str">
        <f aca="false">IF($I$4=0,"",IF(570&lt;=$I$4,"    """&amp;INDEX($A$2:$A$801,MATCH(570,$D$2:$D$801,0))&amp;""",",IF(570=$I$4+1,"]","")))</f>
        <v/>
      </c>
    </row>
    <row r="573" customFormat="false" ht="15" hidden="false" customHeight="false" outlineLevel="0" collapsed="false">
      <c r="A573" s="11" t="str">
        <f aca="false">IF(INVENTÁRIO!A573="","",INVENTÁRIO!A573)</f>
        <v/>
      </c>
      <c r="B573" s="11" t="str">
        <f aca="false">IF(A573="","",INVENTÁRIO!B573)</f>
        <v/>
      </c>
      <c r="C573" s="16" t="str">
        <f aca="false">IF(A573="","",IFERROR(INDEX($L$2:$L$801,MATCH(A573,$K$2:$K$801,0)),"Não verificada"))</f>
        <v/>
      </c>
      <c r="D573" s="11" t="str">
        <f aca="false">IF(AND(A573&lt;&gt;"",C573&lt;&gt;"Tem foto"),MAX(D$1:D572)+1,"")</f>
        <v/>
      </c>
      <c r="F573" s="26" t="str">
        <f aca="false">IF($I$4=0,"",IF(571&lt;=$I$4,"    """&amp;INDEX($A$2:$A$801,MATCH(571,$D$2:$D$801,0))&amp;""",",IF(571=$I$4+1,"]","")))</f>
        <v/>
      </c>
    </row>
    <row r="574" customFormat="false" ht="15" hidden="false" customHeight="false" outlineLevel="0" collapsed="false">
      <c r="A574" s="11" t="str">
        <f aca="false">IF(INVENTÁRIO!A574="","",INVENTÁRIO!A574)</f>
        <v/>
      </c>
      <c r="B574" s="11" t="str">
        <f aca="false">IF(A574="","",INVENTÁRIO!B574)</f>
        <v/>
      </c>
      <c r="C574" s="16" t="str">
        <f aca="false">IF(A574="","",IFERROR(INDEX($L$2:$L$801,MATCH(A574,$K$2:$K$801,0)),"Não verificada"))</f>
        <v/>
      </c>
      <c r="D574" s="11" t="str">
        <f aca="false">IF(AND(A574&lt;&gt;"",C574&lt;&gt;"Tem foto"),MAX(D$1:D573)+1,"")</f>
        <v/>
      </c>
      <c r="F574" s="26" t="str">
        <f aca="false">IF($I$4=0,"",IF(572&lt;=$I$4,"    """&amp;INDEX($A$2:$A$801,MATCH(572,$D$2:$D$801,0))&amp;""",",IF(572=$I$4+1,"]","")))</f>
        <v/>
      </c>
    </row>
    <row r="575" customFormat="false" ht="15" hidden="false" customHeight="false" outlineLevel="0" collapsed="false">
      <c r="A575" s="11" t="str">
        <f aca="false">IF(INVENTÁRIO!A575="","",INVENTÁRIO!A575)</f>
        <v/>
      </c>
      <c r="B575" s="11" t="str">
        <f aca="false">IF(A575="","",INVENTÁRIO!B575)</f>
        <v/>
      </c>
      <c r="C575" s="16" t="str">
        <f aca="false">IF(A575="","",IFERROR(INDEX($L$2:$L$801,MATCH(A575,$K$2:$K$801,0)),"Não verificada"))</f>
        <v/>
      </c>
      <c r="D575" s="11" t="str">
        <f aca="false">IF(AND(A575&lt;&gt;"",C575&lt;&gt;"Tem foto"),MAX(D$1:D574)+1,"")</f>
        <v/>
      </c>
      <c r="F575" s="26" t="str">
        <f aca="false">IF($I$4=0,"",IF(573&lt;=$I$4,"    """&amp;INDEX($A$2:$A$801,MATCH(573,$D$2:$D$801,0))&amp;""",",IF(573=$I$4+1,"]","")))</f>
        <v/>
      </c>
    </row>
    <row r="576" customFormat="false" ht="15" hidden="false" customHeight="false" outlineLevel="0" collapsed="false">
      <c r="A576" s="11" t="str">
        <f aca="false">IF(INVENTÁRIO!A576="","",INVENTÁRIO!A576)</f>
        <v/>
      </c>
      <c r="B576" s="11" t="str">
        <f aca="false">IF(A576="","",INVENTÁRIO!B576)</f>
        <v/>
      </c>
      <c r="C576" s="16" t="str">
        <f aca="false">IF(A576="","",IFERROR(INDEX($L$2:$L$801,MATCH(A576,$K$2:$K$801,0)),"Não verificada"))</f>
        <v/>
      </c>
      <c r="D576" s="11" t="str">
        <f aca="false">IF(AND(A576&lt;&gt;"",C576&lt;&gt;"Tem foto"),MAX(D$1:D575)+1,"")</f>
        <v/>
      </c>
      <c r="F576" s="26" t="str">
        <f aca="false">IF($I$4=0,"",IF(574&lt;=$I$4,"    """&amp;INDEX($A$2:$A$801,MATCH(574,$D$2:$D$801,0))&amp;""",",IF(574=$I$4+1,"]","")))</f>
        <v/>
      </c>
    </row>
    <row r="577" customFormat="false" ht="15" hidden="false" customHeight="false" outlineLevel="0" collapsed="false">
      <c r="A577" s="11" t="str">
        <f aca="false">IF(INVENTÁRIO!A577="","",INVENTÁRIO!A577)</f>
        <v/>
      </c>
      <c r="B577" s="11" t="str">
        <f aca="false">IF(A577="","",INVENTÁRIO!B577)</f>
        <v/>
      </c>
      <c r="C577" s="16" t="str">
        <f aca="false">IF(A577="","",IFERROR(INDEX($L$2:$L$801,MATCH(A577,$K$2:$K$801,0)),"Não verificada"))</f>
        <v/>
      </c>
      <c r="D577" s="11" t="str">
        <f aca="false">IF(AND(A577&lt;&gt;"",C577&lt;&gt;"Tem foto"),MAX(D$1:D576)+1,"")</f>
        <v/>
      </c>
      <c r="F577" s="26" t="str">
        <f aca="false">IF($I$4=0,"",IF(575&lt;=$I$4,"    """&amp;INDEX($A$2:$A$801,MATCH(575,$D$2:$D$801,0))&amp;""",",IF(575=$I$4+1,"]","")))</f>
        <v/>
      </c>
    </row>
    <row r="578" customFormat="false" ht="15" hidden="false" customHeight="false" outlineLevel="0" collapsed="false">
      <c r="A578" s="11" t="str">
        <f aca="false">IF(INVENTÁRIO!A578="","",INVENTÁRIO!A578)</f>
        <v/>
      </c>
      <c r="B578" s="11" t="str">
        <f aca="false">IF(A578="","",INVENTÁRIO!B578)</f>
        <v/>
      </c>
      <c r="C578" s="16" t="str">
        <f aca="false">IF(A578="","",IFERROR(INDEX($L$2:$L$801,MATCH(A578,$K$2:$K$801,0)),"Não verificada"))</f>
        <v/>
      </c>
      <c r="D578" s="11" t="str">
        <f aca="false">IF(AND(A578&lt;&gt;"",C578&lt;&gt;"Tem foto"),MAX(D$1:D577)+1,"")</f>
        <v/>
      </c>
      <c r="F578" s="26" t="str">
        <f aca="false">IF($I$4=0,"",IF(576&lt;=$I$4,"    """&amp;INDEX($A$2:$A$801,MATCH(576,$D$2:$D$801,0))&amp;""",",IF(576=$I$4+1,"]","")))</f>
        <v/>
      </c>
    </row>
    <row r="579" customFormat="false" ht="15" hidden="false" customHeight="false" outlineLevel="0" collapsed="false">
      <c r="A579" s="11" t="str">
        <f aca="false">IF(INVENTÁRIO!A579="","",INVENTÁRIO!A579)</f>
        <v/>
      </c>
      <c r="B579" s="11" t="str">
        <f aca="false">IF(A579="","",INVENTÁRIO!B579)</f>
        <v/>
      </c>
      <c r="C579" s="16" t="str">
        <f aca="false">IF(A579="","",IFERROR(INDEX($L$2:$L$801,MATCH(A579,$K$2:$K$801,0)),"Não verificada"))</f>
        <v/>
      </c>
      <c r="D579" s="11" t="str">
        <f aca="false">IF(AND(A579&lt;&gt;"",C579&lt;&gt;"Tem foto"),MAX(D$1:D578)+1,"")</f>
        <v/>
      </c>
      <c r="F579" s="26" t="str">
        <f aca="false">IF($I$4=0,"",IF(577&lt;=$I$4,"    """&amp;INDEX($A$2:$A$801,MATCH(577,$D$2:$D$801,0))&amp;""",",IF(577=$I$4+1,"]","")))</f>
        <v/>
      </c>
    </row>
    <row r="580" customFormat="false" ht="15" hidden="false" customHeight="false" outlineLevel="0" collapsed="false">
      <c r="A580" s="11" t="str">
        <f aca="false">IF(INVENTÁRIO!A580="","",INVENTÁRIO!A580)</f>
        <v/>
      </c>
      <c r="B580" s="11" t="str">
        <f aca="false">IF(A580="","",INVENTÁRIO!B580)</f>
        <v/>
      </c>
      <c r="C580" s="16" t="str">
        <f aca="false">IF(A580="","",IFERROR(INDEX($L$2:$L$801,MATCH(A580,$K$2:$K$801,0)),"Não verificada"))</f>
        <v/>
      </c>
      <c r="D580" s="11" t="str">
        <f aca="false">IF(AND(A580&lt;&gt;"",C580&lt;&gt;"Tem foto"),MAX(D$1:D579)+1,"")</f>
        <v/>
      </c>
      <c r="F580" s="26" t="str">
        <f aca="false">IF($I$4=0,"",IF(578&lt;=$I$4,"    """&amp;INDEX($A$2:$A$801,MATCH(578,$D$2:$D$801,0))&amp;""",",IF(578=$I$4+1,"]","")))</f>
        <v/>
      </c>
    </row>
    <row r="581" customFormat="false" ht="15" hidden="false" customHeight="false" outlineLevel="0" collapsed="false">
      <c r="A581" s="11" t="str">
        <f aca="false">IF(INVENTÁRIO!A581="","",INVENTÁRIO!A581)</f>
        <v/>
      </c>
      <c r="B581" s="11" t="str">
        <f aca="false">IF(A581="","",INVENTÁRIO!B581)</f>
        <v/>
      </c>
      <c r="C581" s="16" t="str">
        <f aca="false">IF(A581="","",IFERROR(INDEX($L$2:$L$801,MATCH(A581,$K$2:$K$801,0)),"Não verificada"))</f>
        <v/>
      </c>
      <c r="D581" s="11" t="str">
        <f aca="false">IF(AND(A581&lt;&gt;"",C581&lt;&gt;"Tem foto"),MAX(D$1:D580)+1,"")</f>
        <v/>
      </c>
      <c r="F581" s="26" t="str">
        <f aca="false">IF($I$4=0,"",IF(579&lt;=$I$4,"    """&amp;INDEX($A$2:$A$801,MATCH(579,$D$2:$D$801,0))&amp;""",",IF(579=$I$4+1,"]","")))</f>
        <v/>
      </c>
    </row>
    <row r="582" customFormat="false" ht="15" hidden="false" customHeight="false" outlineLevel="0" collapsed="false">
      <c r="A582" s="11" t="str">
        <f aca="false">IF(INVENTÁRIO!A582="","",INVENTÁRIO!A582)</f>
        <v/>
      </c>
      <c r="B582" s="11" t="str">
        <f aca="false">IF(A582="","",INVENTÁRIO!B582)</f>
        <v/>
      </c>
      <c r="C582" s="16" t="str">
        <f aca="false">IF(A582="","",IFERROR(INDEX($L$2:$L$801,MATCH(A582,$K$2:$K$801,0)),"Não verificada"))</f>
        <v/>
      </c>
      <c r="D582" s="11" t="str">
        <f aca="false">IF(AND(A582&lt;&gt;"",C582&lt;&gt;"Tem foto"),MAX(D$1:D581)+1,"")</f>
        <v/>
      </c>
      <c r="F582" s="26" t="str">
        <f aca="false">IF($I$4=0,"",IF(580&lt;=$I$4,"    """&amp;INDEX($A$2:$A$801,MATCH(580,$D$2:$D$801,0))&amp;""",",IF(580=$I$4+1,"]","")))</f>
        <v/>
      </c>
    </row>
    <row r="583" customFormat="false" ht="15" hidden="false" customHeight="false" outlineLevel="0" collapsed="false">
      <c r="A583" s="11" t="str">
        <f aca="false">IF(INVENTÁRIO!A583="","",INVENTÁRIO!A583)</f>
        <v/>
      </c>
      <c r="B583" s="11" t="str">
        <f aca="false">IF(A583="","",INVENTÁRIO!B583)</f>
        <v/>
      </c>
      <c r="C583" s="16" t="str">
        <f aca="false">IF(A583="","",IFERROR(INDEX($L$2:$L$801,MATCH(A583,$K$2:$K$801,0)),"Não verificada"))</f>
        <v/>
      </c>
      <c r="D583" s="11" t="str">
        <f aca="false">IF(AND(A583&lt;&gt;"",C583&lt;&gt;"Tem foto"),MAX(D$1:D582)+1,"")</f>
        <v/>
      </c>
      <c r="F583" s="26" t="str">
        <f aca="false">IF($I$4=0,"",IF(581&lt;=$I$4,"    """&amp;INDEX($A$2:$A$801,MATCH(581,$D$2:$D$801,0))&amp;""",",IF(581=$I$4+1,"]","")))</f>
        <v/>
      </c>
    </row>
    <row r="584" customFormat="false" ht="15" hidden="false" customHeight="false" outlineLevel="0" collapsed="false">
      <c r="A584" s="11" t="str">
        <f aca="false">IF(INVENTÁRIO!A584="","",INVENTÁRIO!A584)</f>
        <v/>
      </c>
      <c r="B584" s="11" t="str">
        <f aca="false">IF(A584="","",INVENTÁRIO!B584)</f>
        <v/>
      </c>
      <c r="C584" s="16" t="str">
        <f aca="false">IF(A584="","",IFERROR(INDEX($L$2:$L$801,MATCH(A584,$K$2:$K$801,0)),"Não verificada"))</f>
        <v/>
      </c>
      <c r="D584" s="11" t="str">
        <f aca="false">IF(AND(A584&lt;&gt;"",C584&lt;&gt;"Tem foto"),MAX(D$1:D583)+1,"")</f>
        <v/>
      </c>
      <c r="F584" s="26" t="str">
        <f aca="false">IF($I$4=0,"",IF(582&lt;=$I$4,"    """&amp;INDEX($A$2:$A$801,MATCH(582,$D$2:$D$801,0))&amp;""",",IF(582=$I$4+1,"]","")))</f>
        <v/>
      </c>
    </row>
    <row r="585" customFormat="false" ht="15" hidden="false" customHeight="false" outlineLevel="0" collapsed="false">
      <c r="A585" s="11" t="str">
        <f aca="false">IF(INVENTÁRIO!A585="","",INVENTÁRIO!A585)</f>
        <v/>
      </c>
      <c r="B585" s="11" t="str">
        <f aca="false">IF(A585="","",INVENTÁRIO!B585)</f>
        <v/>
      </c>
      <c r="C585" s="16" t="str">
        <f aca="false">IF(A585="","",IFERROR(INDEX($L$2:$L$801,MATCH(A585,$K$2:$K$801,0)),"Não verificada"))</f>
        <v/>
      </c>
      <c r="D585" s="11" t="str">
        <f aca="false">IF(AND(A585&lt;&gt;"",C585&lt;&gt;"Tem foto"),MAX(D$1:D584)+1,"")</f>
        <v/>
      </c>
      <c r="F585" s="26" t="str">
        <f aca="false">IF($I$4=0,"",IF(583&lt;=$I$4,"    """&amp;INDEX($A$2:$A$801,MATCH(583,$D$2:$D$801,0))&amp;""",",IF(583=$I$4+1,"]","")))</f>
        <v/>
      </c>
    </row>
    <row r="586" customFormat="false" ht="15" hidden="false" customHeight="false" outlineLevel="0" collapsed="false">
      <c r="A586" s="11" t="str">
        <f aca="false">IF(INVENTÁRIO!A586="","",INVENTÁRIO!A586)</f>
        <v/>
      </c>
      <c r="B586" s="11" t="str">
        <f aca="false">IF(A586="","",INVENTÁRIO!B586)</f>
        <v/>
      </c>
      <c r="C586" s="16" t="str">
        <f aca="false">IF(A586="","",IFERROR(INDEX($L$2:$L$801,MATCH(A586,$K$2:$K$801,0)),"Não verificada"))</f>
        <v/>
      </c>
      <c r="D586" s="11" t="str">
        <f aca="false">IF(AND(A586&lt;&gt;"",C586&lt;&gt;"Tem foto"),MAX(D$1:D585)+1,"")</f>
        <v/>
      </c>
      <c r="F586" s="26" t="str">
        <f aca="false">IF($I$4=0,"",IF(584&lt;=$I$4,"    """&amp;INDEX($A$2:$A$801,MATCH(584,$D$2:$D$801,0))&amp;""",",IF(584=$I$4+1,"]","")))</f>
        <v/>
      </c>
    </row>
    <row r="587" customFormat="false" ht="15" hidden="false" customHeight="false" outlineLevel="0" collapsed="false">
      <c r="A587" s="11" t="str">
        <f aca="false">IF(INVENTÁRIO!A587="","",INVENTÁRIO!A587)</f>
        <v/>
      </c>
      <c r="B587" s="11" t="str">
        <f aca="false">IF(A587="","",INVENTÁRIO!B587)</f>
        <v/>
      </c>
      <c r="C587" s="16" t="str">
        <f aca="false">IF(A587="","",IFERROR(INDEX($L$2:$L$801,MATCH(A587,$K$2:$K$801,0)),"Não verificada"))</f>
        <v/>
      </c>
      <c r="D587" s="11" t="str">
        <f aca="false">IF(AND(A587&lt;&gt;"",C587&lt;&gt;"Tem foto"),MAX(D$1:D586)+1,"")</f>
        <v/>
      </c>
      <c r="F587" s="26" t="str">
        <f aca="false">IF($I$4=0,"",IF(585&lt;=$I$4,"    """&amp;INDEX($A$2:$A$801,MATCH(585,$D$2:$D$801,0))&amp;""",",IF(585=$I$4+1,"]","")))</f>
        <v/>
      </c>
    </row>
    <row r="588" customFormat="false" ht="15" hidden="false" customHeight="false" outlineLevel="0" collapsed="false">
      <c r="A588" s="11" t="str">
        <f aca="false">IF(INVENTÁRIO!A588="","",INVENTÁRIO!A588)</f>
        <v/>
      </c>
      <c r="B588" s="11" t="str">
        <f aca="false">IF(A588="","",INVENTÁRIO!B588)</f>
        <v/>
      </c>
      <c r="C588" s="16" t="str">
        <f aca="false">IF(A588="","",IFERROR(INDEX($L$2:$L$801,MATCH(A588,$K$2:$K$801,0)),"Não verificada"))</f>
        <v/>
      </c>
      <c r="D588" s="11" t="str">
        <f aca="false">IF(AND(A588&lt;&gt;"",C588&lt;&gt;"Tem foto"),MAX(D$1:D587)+1,"")</f>
        <v/>
      </c>
      <c r="F588" s="26" t="str">
        <f aca="false">IF($I$4=0,"",IF(586&lt;=$I$4,"    """&amp;INDEX($A$2:$A$801,MATCH(586,$D$2:$D$801,0))&amp;""",",IF(586=$I$4+1,"]","")))</f>
        <v/>
      </c>
    </row>
    <row r="589" customFormat="false" ht="15" hidden="false" customHeight="false" outlineLevel="0" collapsed="false">
      <c r="A589" s="11" t="str">
        <f aca="false">IF(INVENTÁRIO!A589="","",INVENTÁRIO!A589)</f>
        <v/>
      </c>
      <c r="B589" s="11" t="str">
        <f aca="false">IF(A589="","",INVENTÁRIO!B589)</f>
        <v/>
      </c>
      <c r="C589" s="16" t="str">
        <f aca="false">IF(A589="","",IFERROR(INDEX($L$2:$L$801,MATCH(A589,$K$2:$K$801,0)),"Não verificada"))</f>
        <v/>
      </c>
      <c r="D589" s="11" t="str">
        <f aca="false">IF(AND(A589&lt;&gt;"",C589&lt;&gt;"Tem foto"),MAX(D$1:D588)+1,"")</f>
        <v/>
      </c>
      <c r="F589" s="26" t="str">
        <f aca="false">IF($I$4=0,"",IF(587&lt;=$I$4,"    """&amp;INDEX($A$2:$A$801,MATCH(587,$D$2:$D$801,0))&amp;""",",IF(587=$I$4+1,"]","")))</f>
        <v/>
      </c>
    </row>
    <row r="590" customFormat="false" ht="15" hidden="false" customHeight="false" outlineLevel="0" collapsed="false">
      <c r="A590" s="11" t="str">
        <f aca="false">IF(INVENTÁRIO!A590="","",INVENTÁRIO!A590)</f>
        <v/>
      </c>
      <c r="B590" s="11" t="str">
        <f aca="false">IF(A590="","",INVENTÁRIO!B590)</f>
        <v/>
      </c>
      <c r="C590" s="16" t="str">
        <f aca="false">IF(A590="","",IFERROR(INDEX($L$2:$L$801,MATCH(A590,$K$2:$K$801,0)),"Não verificada"))</f>
        <v/>
      </c>
      <c r="D590" s="11" t="str">
        <f aca="false">IF(AND(A590&lt;&gt;"",C590&lt;&gt;"Tem foto"),MAX(D$1:D589)+1,"")</f>
        <v/>
      </c>
      <c r="F590" s="26" t="str">
        <f aca="false">IF($I$4=0,"",IF(588&lt;=$I$4,"    """&amp;INDEX($A$2:$A$801,MATCH(588,$D$2:$D$801,0))&amp;""",",IF(588=$I$4+1,"]","")))</f>
        <v/>
      </c>
    </row>
    <row r="591" customFormat="false" ht="15" hidden="false" customHeight="false" outlineLevel="0" collapsed="false">
      <c r="A591" s="11" t="str">
        <f aca="false">IF(INVENTÁRIO!A591="","",INVENTÁRIO!A591)</f>
        <v/>
      </c>
      <c r="B591" s="11" t="str">
        <f aca="false">IF(A591="","",INVENTÁRIO!B591)</f>
        <v/>
      </c>
      <c r="C591" s="16" t="str">
        <f aca="false">IF(A591="","",IFERROR(INDEX($L$2:$L$801,MATCH(A591,$K$2:$K$801,0)),"Não verificada"))</f>
        <v/>
      </c>
      <c r="D591" s="11" t="str">
        <f aca="false">IF(AND(A591&lt;&gt;"",C591&lt;&gt;"Tem foto"),MAX(D$1:D590)+1,"")</f>
        <v/>
      </c>
      <c r="F591" s="26" t="str">
        <f aca="false">IF($I$4=0,"",IF(589&lt;=$I$4,"    """&amp;INDEX($A$2:$A$801,MATCH(589,$D$2:$D$801,0))&amp;""",",IF(589=$I$4+1,"]","")))</f>
        <v/>
      </c>
    </row>
    <row r="592" customFormat="false" ht="15" hidden="false" customHeight="false" outlineLevel="0" collapsed="false">
      <c r="A592" s="11" t="str">
        <f aca="false">IF(INVENTÁRIO!A592="","",INVENTÁRIO!A592)</f>
        <v/>
      </c>
      <c r="B592" s="11" t="str">
        <f aca="false">IF(A592="","",INVENTÁRIO!B592)</f>
        <v/>
      </c>
      <c r="C592" s="16" t="str">
        <f aca="false">IF(A592="","",IFERROR(INDEX($L$2:$L$801,MATCH(A592,$K$2:$K$801,0)),"Não verificada"))</f>
        <v/>
      </c>
      <c r="D592" s="11" t="str">
        <f aca="false">IF(AND(A592&lt;&gt;"",C592&lt;&gt;"Tem foto"),MAX(D$1:D591)+1,"")</f>
        <v/>
      </c>
      <c r="F592" s="26" t="str">
        <f aca="false">IF($I$4=0,"",IF(590&lt;=$I$4,"    """&amp;INDEX($A$2:$A$801,MATCH(590,$D$2:$D$801,0))&amp;""",",IF(590=$I$4+1,"]","")))</f>
        <v/>
      </c>
    </row>
    <row r="593" customFormat="false" ht="15" hidden="false" customHeight="false" outlineLevel="0" collapsed="false">
      <c r="A593" s="11" t="str">
        <f aca="false">IF(INVENTÁRIO!A593="","",INVENTÁRIO!A593)</f>
        <v/>
      </c>
      <c r="B593" s="11" t="str">
        <f aca="false">IF(A593="","",INVENTÁRIO!B593)</f>
        <v/>
      </c>
      <c r="C593" s="16" t="str">
        <f aca="false">IF(A593="","",IFERROR(INDEX($L$2:$L$801,MATCH(A593,$K$2:$K$801,0)),"Não verificada"))</f>
        <v/>
      </c>
      <c r="D593" s="11" t="str">
        <f aca="false">IF(AND(A593&lt;&gt;"",C593&lt;&gt;"Tem foto"),MAX(D$1:D592)+1,"")</f>
        <v/>
      </c>
      <c r="F593" s="26" t="str">
        <f aca="false">IF($I$4=0,"",IF(591&lt;=$I$4,"    """&amp;INDEX($A$2:$A$801,MATCH(591,$D$2:$D$801,0))&amp;""",",IF(591=$I$4+1,"]","")))</f>
        <v/>
      </c>
    </row>
    <row r="594" customFormat="false" ht="15" hidden="false" customHeight="false" outlineLevel="0" collapsed="false">
      <c r="A594" s="11" t="str">
        <f aca="false">IF(INVENTÁRIO!A594="","",INVENTÁRIO!A594)</f>
        <v/>
      </c>
      <c r="B594" s="11" t="str">
        <f aca="false">IF(A594="","",INVENTÁRIO!B594)</f>
        <v/>
      </c>
      <c r="C594" s="16" t="str">
        <f aca="false">IF(A594="","",IFERROR(INDEX($L$2:$L$801,MATCH(A594,$K$2:$K$801,0)),"Não verificada"))</f>
        <v/>
      </c>
      <c r="D594" s="11" t="str">
        <f aca="false">IF(AND(A594&lt;&gt;"",C594&lt;&gt;"Tem foto"),MAX(D$1:D593)+1,"")</f>
        <v/>
      </c>
      <c r="F594" s="26" t="str">
        <f aca="false">IF($I$4=0,"",IF(592&lt;=$I$4,"    """&amp;INDEX($A$2:$A$801,MATCH(592,$D$2:$D$801,0))&amp;""",",IF(592=$I$4+1,"]","")))</f>
        <v/>
      </c>
    </row>
    <row r="595" customFormat="false" ht="15" hidden="false" customHeight="false" outlineLevel="0" collapsed="false">
      <c r="A595" s="11" t="str">
        <f aca="false">IF(INVENTÁRIO!A595="","",INVENTÁRIO!A595)</f>
        <v/>
      </c>
      <c r="B595" s="11" t="str">
        <f aca="false">IF(A595="","",INVENTÁRIO!B595)</f>
        <v/>
      </c>
      <c r="C595" s="16" t="str">
        <f aca="false">IF(A595="","",IFERROR(INDEX($L$2:$L$801,MATCH(A595,$K$2:$K$801,0)),"Não verificada"))</f>
        <v/>
      </c>
      <c r="D595" s="11" t="str">
        <f aca="false">IF(AND(A595&lt;&gt;"",C595&lt;&gt;"Tem foto"),MAX(D$1:D594)+1,"")</f>
        <v/>
      </c>
      <c r="F595" s="26" t="str">
        <f aca="false">IF($I$4=0,"",IF(593&lt;=$I$4,"    """&amp;INDEX($A$2:$A$801,MATCH(593,$D$2:$D$801,0))&amp;""",",IF(593=$I$4+1,"]","")))</f>
        <v/>
      </c>
    </row>
    <row r="596" customFormat="false" ht="15" hidden="false" customHeight="false" outlineLevel="0" collapsed="false">
      <c r="A596" s="11" t="str">
        <f aca="false">IF(INVENTÁRIO!A596="","",INVENTÁRIO!A596)</f>
        <v/>
      </c>
      <c r="B596" s="11" t="str">
        <f aca="false">IF(A596="","",INVENTÁRIO!B596)</f>
        <v/>
      </c>
      <c r="C596" s="16" t="str">
        <f aca="false">IF(A596="","",IFERROR(INDEX($L$2:$L$801,MATCH(A596,$K$2:$K$801,0)),"Não verificada"))</f>
        <v/>
      </c>
      <c r="D596" s="11" t="str">
        <f aca="false">IF(AND(A596&lt;&gt;"",C596&lt;&gt;"Tem foto"),MAX(D$1:D595)+1,"")</f>
        <v/>
      </c>
      <c r="F596" s="26" t="str">
        <f aca="false">IF($I$4=0,"",IF(594&lt;=$I$4,"    """&amp;INDEX($A$2:$A$801,MATCH(594,$D$2:$D$801,0))&amp;""",",IF(594=$I$4+1,"]","")))</f>
        <v/>
      </c>
    </row>
    <row r="597" customFormat="false" ht="15" hidden="false" customHeight="false" outlineLevel="0" collapsed="false">
      <c r="A597" s="11" t="str">
        <f aca="false">IF(INVENTÁRIO!A597="","",INVENTÁRIO!A597)</f>
        <v/>
      </c>
      <c r="B597" s="11" t="str">
        <f aca="false">IF(A597="","",INVENTÁRIO!B597)</f>
        <v/>
      </c>
      <c r="C597" s="16" t="str">
        <f aca="false">IF(A597="","",IFERROR(INDEX($L$2:$L$801,MATCH(A597,$K$2:$K$801,0)),"Não verificada"))</f>
        <v/>
      </c>
      <c r="D597" s="11" t="str">
        <f aca="false">IF(AND(A597&lt;&gt;"",C597&lt;&gt;"Tem foto"),MAX(D$1:D596)+1,"")</f>
        <v/>
      </c>
      <c r="F597" s="26" t="str">
        <f aca="false">IF($I$4=0,"",IF(595&lt;=$I$4,"    """&amp;INDEX($A$2:$A$801,MATCH(595,$D$2:$D$801,0))&amp;""",",IF(595=$I$4+1,"]","")))</f>
        <v/>
      </c>
    </row>
    <row r="598" customFormat="false" ht="15" hidden="false" customHeight="false" outlineLevel="0" collapsed="false">
      <c r="A598" s="11" t="str">
        <f aca="false">IF(INVENTÁRIO!A598="","",INVENTÁRIO!A598)</f>
        <v/>
      </c>
      <c r="B598" s="11" t="str">
        <f aca="false">IF(A598="","",INVENTÁRIO!B598)</f>
        <v/>
      </c>
      <c r="C598" s="16" t="str">
        <f aca="false">IF(A598="","",IFERROR(INDEX($L$2:$L$801,MATCH(A598,$K$2:$K$801,0)),"Não verificada"))</f>
        <v/>
      </c>
      <c r="D598" s="11" t="str">
        <f aca="false">IF(AND(A598&lt;&gt;"",C598&lt;&gt;"Tem foto"),MAX(D$1:D597)+1,"")</f>
        <v/>
      </c>
      <c r="F598" s="26" t="str">
        <f aca="false">IF($I$4=0,"",IF(596&lt;=$I$4,"    """&amp;INDEX($A$2:$A$801,MATCH(596,$D$2:$D$801,0))&amp;""",",IF(596=$I$4+1,"]","")))</f>
        <v/>
      </c>
    </row>
    <row r="599" customFormat="false" ht="15" hidden="false" customHeight="false" outlineLevel="0" collapsed="false">
      <c r="A599" s="11" t="str">
        <f aca="false">IF(INVENTÁRIO!A599="","",INVENTÁRIO!A599)</f>
        <v/>
      </c>
      <c r="B599" s="11" t="str">
        <f aca="false">IF(A599="","",INVENTÁRIO!B599)</f>
        <v/>
      </c>
      <c r="C599" s="16" t="str">
        <f aca="false">IF(A599="","",IFERROR(INDEX($L$2:$L$801,MATCH(A599,$K$2:$K$801,0)),"Não verificada"))</f>
        <v/>
      </c>
      <c r="D599" s="11" t="str">
        <f aca="false">IF(AND(A599&lt;&gt;"",C599&lt;&gt;"Tem foto"),MAX(D$1:D598)+1,"")</f>
        <v/>
      </c>
      <c r="F599" s="26" t="str">
        <f aca="false">IF($I$4=0,"",IF(597&lt;=$I$4,"    """&amp;INDEX($A$2:$A$801,MATCH(597,$D$2:$D$801,0))&amp;""",",IF(597=$I$4+1,"]","")))</f>
        <v/>
      </c>
    </row>
    <row r="600" customFormat="false" ht="15" hidden="false" customHeight="false" outlineLevel="0" collapsed="false">
      <c r="A600" s="11" t="str">
        <f aca="false">IF(INVENTÁRIO!A600="","",INVENTÁRIO!A600)</f>
        <v/>
      </c>
      <c r="B600" s="11" t="str">
        <f aca="false">IF(A600="","",INVENTÁRIO!B600)</f>
        <v/>
      </c>
      <c r="C600" s="16" t="str">
        <f aca="false">IF(A600="","",IFERROR(INDEX($L$2:$L$801,MATCH(A600,$K$2:$K$801,0)),"Não verificada"))</f>
        <v/>
      </c>
      <c r="D600" s="11" t="str">
        <f aca="false">IF(AND(A600&lt;&gt;"",C600&lt;&gt;"Tem foto"),MAX(D$1:D599)+1,"")</f>
        <v/>
      </c>
      <c r="F600" s="26" t="str">
        <f aca="false">IF($I$4=0,"",IF(598&lt;=$I$4,"    """&amp;INDEX($A$2:$A$801,MATCH(598,$D$2:$D$801,0))&amp;""",",IF(598=$I$4+1,"]","")))</f>
        <v/>
      </c>
    </row>
    <row r="601" customFormat="false" ht="15" hidden="false" customHeight="false" outlineLevel="0" collapsed="false">
      <c r="A601" s="11" t="str">
        <f aca="false">IF(INVENTÁRIO!A601="","",INVENTÁRIO!A601)</f>
        <v/>
      </c>
      <c r="B601" s="11" t="str">
        <f aca="false">IF(A601="","",INVENTÁRIO!B601)</f>
        <v/>
      </c>
      <c r="C601" s="16" t="str">
        <f aca="false">IF(A601="","",IFERROR(INDEX($L$2:$L$801,MATCH(A601,$K$2:$K$801,0)),"Não verificada"))</f>
        <v/>
      </c>
      <c r="D601" s="11" t="str">
        <f aca="false">IF(AND(A601&lt;&gt;"",C601&lt;&gt;"Tem foto"),MAX(D$1:D600)+1,"")</f>
        <v/>
      </c>
      <c r="F601" s="26" t="str">
        <f aca="false">IF($I$4=0,"",IF(599&lt;=$I$4,"    """&amp;INDEX($A$2:$A$801,MATCH(599,$D$2:$D$801,0))&amp;""",",IF(599=$I$4+1,"]","")))</f>
        <v/>
      </c>
    </row>
    <row r="602" customFormat="false" ht="15" hidden="false" customHeight="false" outlineLevel="0" collapsed="false">
      <c r="A602" s="11" t="str">
        <f aca="false">IF(INVENTÁRIO!A602="","",INVENTÁRIO!A602)</f>
        <v/>
      </c>
      <c r="B602" s="11" t="str">
        <f aca="false">IF(A602="","",INVENTÁRIO!B602)</f>
        <v/>
      </c>
      <c r="C602" s="16" t="str">
        <f aca="false">IF(A602="","",IFERROR(INDEX($L$2:$L$801,MATCH(A602,$K$2:$K$801,0)),"Não verificada"))</f>
        <v/>
      </c>
      <c r="D602" s="11" t="str">
        <f aca="false">IF(AND(A602&lt;&gt;"",C602&lt;&gt;"Tem foto"),MAX(D$1:D601)+1,"")</f>
        <v/>
      </c>
      <c r="F602" s="26" t="str">
        <f aca="false">IF($I$4=0,"",IF(600&lt;=$I$4,"    """&amp;INDEX($A$2:$A$801,MATCH(600,$D$2:$D$801,0))&amp;""",",IF(600=$I$4+1,"]","")))</f>
        <v/>
      </c>
    </row>
    <row r="603" customFormat="false" ht="15" hidden="false" customHeight="false" outlineLevel="0" collapsed="false">
      <c r="A603" s="11" t="str">
        <f aca="false">IF(INVENTÁRIO!A603="","",INVENTÁRIO!A603)</f>
        <v/>
      </c>
      <c r="B603" s="11" t="str">
        <f aca="false">IF(A603="","",INVENTÁRIO!B603)</f>
        <v/>
      </c>
      <c r="C603" s="16" t="str">
        <f aca="false">IF(A603="","",IFERROR(INDEX($L$2:$L$801,MATCH(A603,$K$2:$K$801,0)),"Não verificada"))</f>
        <v/>
      </c>
      <c r="D603" s="11" t="str">
        <f aca="false">IF(AND(A603&lt;&gt;"",C603&lt;&gt;"Tem foto"),MAX(D$1:D602)+1,"")</f>
        <v/>
      </c>
      <c r="F603" s="26" t="str">
        <f aca="false">IF($I$4=0,"",IF(601&lt;=$I$4,"    """&amp;INDEX($A$2:$A$801,MATCH(601,$D$2:$D$801,0))&amp;""",",IF(601=$I$4+1,"]","")))</f>
        <v/>
      </c>
    </row>
    <row r="604" customFormat="false" ht="15" hidden="false" customHeight="false" outlineLevel="0" collapsed="false">
      <c r="A604" s="11" t="str">
        <f aca="false">IF(INVENTÁRIO!A604="","",INVENTÁRIO!A604)</f>
        <v/>
      </c>
      <c r="B604" s="11" t="str">
        <f aca="false">IF(A604="","",INVENTÁRIO!B604)</f>
        <v/>
      </c>
      <c r="C604" s="16" t="str">
        <f aca="false">IF(A604="","",IFERROR(INDEX($L$2:$L$801,MATCH(A604,$K$2:$K$801,0)),"Não verificada"))</f>
        <v/>
      </c>
      <c r="D604" s="11" t="str">
        <f aca="false">IF(AND(A604&lt;&gt;"",C604&lt;&gt;"Tem foto"),MAX(D$1:D603)+1,"")</f>
        <v/>
      </c>
      <c r="F604" s="26" t="str">
        <f aca="false">IF($I$4=0,"",IF(602&lt;=$I$4,"    """&amp;INDEX($A$2:$A$801,MATCH(602,$D$2:$D$801,0))&amp;""",",IF(602=$I$4+1,"]","")))</f>
        <v/>
      </c>
    </row>
    <row r="605" customFormat="false" ht="15" hidden="false" customHeight="false" outlineLevel="0" collapsed="false">
      <c r="A605" s="11" t="str">
        <f aca="false">IF(INVENTÁRIO!A605="","",INVENTÁRIO!A605)</f>
        <v/>
      </c>
      <c r="B605" s="11" t="str">
        <f aca="false">IF(A605="","",INVENTÁRIO!B605)</f>
        <v/>
      </c>
      <c r="C605" s="16" t="str">
        <f aca="false">IF(A605="","",IFERROR(INDEX($L$2:$L$801,MATCH(A605,$K$2:$K$801,0)),"Não verificada"))</f>
        <v/>
      </c>
      <c r="D605" s="11" t="str">
        <f aca="false">IF(AND(A605&lt;&gt;"",C605&lt;&gt;"Tem foto"),MAX(D$1:D604)+1,"")</f>
        <v/>
      </c>
      <c r="F605" s="26" t="str">
        <f aca="false">IF($I$4=0,"",IF(603&lt;=$I$4,"    """&amp;INDEX($A$2:$A$801,MATCH(603,$D$2:$D$801,0))&amp;""",",IF(603=$I$4+1,"]","")))</f>
        <v/>
      </c>
    </row>
    <row r="606" customFormat="false" ht="15" hidden="false" customHeight="false" outlineLevel="0" collapsed="false">
      <c r="A606" s="11" t="str">
        <f aca="false">IF(INVENTÁRIO!A606="","",INVENTÁRIO!A606)</f>
        <v/>
      </c>
      <c r="B606" s="11" t="str">
        <f aca="false">IF(A606="","",INVENTÁRIO!B606)</f>
        <v/>
      </c>
      <c r="C606" s="16" t="str">
        <f aca="false">IF(A606="","",IFERROR(INDEX($L$2:$L$801,MATCH(A606,$K$2:$K$801,0)),"Não verificada"))</f>
        <v/>
      </c>
      <c r="D606" s="11" t="str">
        <f aca="false">IF(AND(A606&lt;&gt;"",C606&lt;&gt;"Tem foto"),MAX(D$1:D605)+1,"")</f>
        <v/>
      </c>
      <c r="F606" s="26" t="str">
        <f aca="false">IF($I$4=0,"",IF(604&lt;=$I$4,"    """&amp;INDEX($A$2:$A$801,MATCH(604,$D$2:$D$801,0))&amp;""",",IF(604=$I$4+1,"]","")))</f>
        <v/>
      </c>
    </row>
    <row r="607" customFormat="false" ht="15" hidden="false" customHeight="false" outlineLevel="0" collapsed="false">
      <c r="A607" s="11" t="str">
        <f aca="false">IF(INVENTÁRIO!A607="","",INVENTÁRIO!A607)</f>
        <v/>
      </c>
      <c r="B607" s="11" t="str">
        <f aca="false">IF(A607="","",INVENTÁRIO!B607)</f>
        <v/>
      </c>
      <c r="C607" s="16" t="str">
        <f aca="false">IF(A607="","",IFERROR(INDEX($L$2:$L$801,MATCH(A607,$K$2:$K$801,0)),"Não verificada"))</f>
        <v/>
      </c>
      <c r="D607" s="11" t="str">
        <f aca="false">IF(AND(A607&lt;&gt;"",C607&lt;&gt;"Tem foto"),MAX(D$1:D606)+1,"")</f>
        <v/>
      </c>
      <c r="F607" s="26" t="str">
        <f aca="false">IF($I$4=0,"",IF(605&lt;=$I$4,"    """&amp;INDEX($A$2:$A$801,MATCH(605,$D$2:$D$801,0))&amp;""",",IF(605=$I$4+1,"]","")))</f>
        <v/>
      </c>
    </row>
    <row r="608" customFormat="false" ht="15" hidden="false" customHeight="false" outlineLevel="0" collapsed="false">
      <c r="A608" s="11" t="str">
        <f aca="false">IF(INVENTÁRIO!A608="","",INVENTÁRIO!A608)</f>
        <v/>
      </c>
      <c r="B608" s="11" t="str">
        <f aca="false">IF(A608="","",INVENTÁRIO!B608)</f>
        <v/>
      </c>
      <c r="C608" s="16" t="str">
        <f aca="false">IF(A608="","",IFERROR(INDEX($L$2:$L$801,MATCH(A608,$K$2:$K$801,0)),"Não verificada"))</f>
        <v/>
      </c>
      <c r="D608" s="11" t="str">
        <f aca="false">IF(AND(A608&lt;&gt;"",C608&lt;&gt;"Tem foto"),MAX(D$1:D607)+1,"")</f>
        <v/>
      </c>
      <c r="F608" s="26" t="str">
        <f aca="false">IF($I$4=0,"",IF(606&lt;=$I$4,"    """&amp;INDEX($A$2:$A$801,MATCH(606,$D$2:$D$801,0))&amp;""",",IF(606=$I$4+1,"]","")))</f>
        <v/>
      </c>
    </row>
    <row r="609" customFormat="false" ht="15" hidden="false" customHeight="false" outlineLevel="0" collapsed="false">
      <c r="A609" s="11" t="str">
        <f aca="false">IF(INVENTÁRIO!A609="","",INVENTÁRIO!A609)</f>
        <v/>
      </c>
      <c r="B609" s="11" t="str">
        <f aca="false">IF(A609="","",INVENTÁRIO!B609)</f>
        <v/>
      </c>
      <c r="C609" s="16" t="str">
        <f aca="false">IF(A609="","",IFERROR(INDEX($L$2:$L$801,MATCH(A609,$K$2:$K$801,0)),"Não verificada"))</f>
        <v/>
      </c>
      <c r="D609" s="11" t="str">
        <f aca="false">IF(AND(A609&lt;&gt;"",C609&lt;&gt;"Tem foto"),MAX(D$1:D608)+1,"")</f>
        <v/>
      </c>
      <c r="F609" s="26" t="str">
        <f aca="false">IF($I$4=0,"",IF(607&lt;=$I$4,"    """&amp;INDEX($A$2:$A$801,MATCH(607,$D$2:$D$801,0))&amp;""",",IF(607=$I$4+1,"]","")))</f>
        <v/>
      </c>
    </row>
    <row r="610" customFormat="false" ht="15" hidden="false" customHeight="false" outlineLevel="0" collapsed="false">
      <c r="A610" s="11" t="str">
        <f aca="false">IF(INVENTÁRIO!A610="","",INVENTÁRIO!A610)</f>
        <v/>
      </c>
      <c r="B610" s="11" t="str">
        <f aca="false">IF(A610="","",INVENTÁRIO!B610)</f>
        <v/>
      </c>
      <c r="C610" s="16" t="str">
        <f aca="false">IF(A610="","",IFERROR(INDEX($L$2:$L$801,MATCH(A610,$K$2:$K$801,0)),"Não verificada"))</f>
        <v/>
      </c>
      <c r="D610" s="11" t="str">
        <f aca="false">IF(AND(A610&lt;&gt;"",C610&lt;&gt;"Tem foto"),MAX(D$1:D609)+1,"")</f>
        <v/>
      </c>
      <c r="F610" s="26" t="str">
        <f aca="false">IF($I$4=0,"",IF(608&lt;=$I$4,"    """&amp;INDEX($A$2:$A$801,MATCH(608,$D$2:$D$801,0))&amp;""",",IF(608=$I$4+1,"]","")))</f>
        <v/>
      </c>
    </row>
    <row r="611" customFormat="false" ht="15" hidden="false" customHeight="false" outlineLevel="0" collapsed="false">
      <c r="A611" s="11" t="str">
        <f aca="false">IF(INVENTÁRIO!A611="","",INVENTÁRIO!A611)</f>
        <v/>
      </c>
      <c r="B611" s="11" t="str">
        <f aca="false">IF(A611="","",INVENTÁRIO!B611)</f>
        <v/>
      </c>
      <c r="C611" s="16" t="str">
        <f aca="false">IF(A611="","",IFERROR(INDEX($L$2:$L$801,MATCH(A611,$K$2:$K$801,0)),"Não verificada"))</f>
        <v/>
      </c>
      <c r="D611" s="11" t="str">
        <f aca="false">IF(AND(A611&lt;&gt;"",C611&lt;&gt;"Tem foto"),MAX(D$1:D610)+1,"")</f>
        <v/>
      </c>
      <c r="F611" s="26" t="str">
        <f aca="false">IF($I$4=0,"",IF(609&lt;=$I$4,"    """&amp;INDEX($A$2:$A$801,MATCH(609,$D$2:$D$801,0))&amp;""",",IF(609=$I$4+1,"]","")))</f>
        <v/>
      </c>
    </row>
    <row r="612" customFormat="false" ht="15" hidden="false" customHeight="false" outlineLevel="0" collapsed="false">
      <c r="A612" s="11" t="str">
        <f aca="false">IF(INVENTÁRIO!A612="","",INVENTÁRIO!A612)</f>
        <v/>
      </c>
      <c r="B612" s="11" t="str">
        <f aca="false">IF(A612="","",INVENTÁRIO!B612)</f>
        <v/>
      </c>
      <c r="C612" s="16" t="str">
        <f aca="false">IF(A612="","",IFERROR(INDEX($L$2:$L$801,MATCH(A612,$K$2:$K$801,0)),"Não verificada"))</f>
        <v/>
      </c>
      <c r="D612" s="11" t="str">
        <f aca="false">IF(AND(A612&lt;&gt;"",C612&lt;&gt;"Tem foto"),MAX(D$1:D611)+1,"")</f>
        <v/>
      </c>
      <c r="F612" s="26" t="str">
        <f aca="false">IF($I$4=0,"",IF(610&lt;=$I$4,"    """&amp;INDEX($A$2:$A$801,MATCH(610,$D$2:$D$801,0))&amp;""",",IF(610=$I$4+1,"]","")))</f>
        <v/>
      </c>
    </row>
    <row r="613" customFormat="false" ht="15" hidden="false" customHeight="false" outlineLevel="0" collapsed="false">
      <c r="A613" s="11" t="str">
        <f aca="false">IF(INVENTÁRIO!A613="","",INVENTÁRIO!A613)</f>
        <v/>
      </c>
      <c r="B613" s="11" t="str">
        <f aca="false">IF(A613="","",INVENTÁRIO!B613)</f>
        <v/>
      </c>
      <c r="C613" s="16" t="str">
        <f aca="false">IF(A613="","",IFERROR(INDEX($L$2:$L$801,MATCH(A613,$K$2:$K$801,0)),"Não verificada"))</f>
        <v/>
      </c>
      <c r="D613" s="11" t="str">
        <f aca="false">IF(AND(A613&lt;&gt;"",C613&lt;&gt;"Tem foto"),MAX(D$1:D612)+1,"")</f>
        <v/>
      </c>
      <c r="F613" s="26" t="str">
        <f aca="false">IF($I$4=0,"",IF(611&lt;=$I$4,"    """&amp;INDEX($A$2:$A$801,MATCH(611,$D$2:$D$801,0))&amp;""",",IF(611=$I$4+1,"]","")))</f>
        <v/>
      </c>
    </row>
    <row r="614" customFormat="false" ht="15" hidden="false" customHeight="false" outlineLevel="0" collapsed="false">
      <c r="A614" s="11" t="str">
        <f aca="false">IF(INVENTÁRIO!A614="","",INVENTÁRIO!A614)</f>
        <v/>
      </c>
      <c r="B614" s="11" t="str">
        <f aca="false">IF(A614="","",INVENTÁRIO!B614)</f>
        <v/>
      </c>
      <c r="C614" s="16" t="str">
        <f aca="false">IF(A614="","",IFERROR(INDEX($L$2:$L$801,MATCH(A614,$K$2:$K$801,0)),"Não verificada"))</f>
        <v/>
      </c>
      <c r="D614" s="11" t="str">
        <f aca="false">IF(AND(A614&lt;&gt;"",C614&lt;&gt;"Tem foto"),MAX(D$1:D613)+1,"")</f>
        <v/>
      </c>
      <c r="F614" s="26" t="str">
        <f aca="false">IF($I$4=0,"",IF(612&lt;=$I$4,"    """&amp;INDEX($A$2:$A$801,MATCH(612,$D$2:$D$801,0))&amp;""",",IF(612=$I$4+1,"]","")))</f>
        <v/>
      </c>
    </row>
    <row r="615" customFormat="false" ht="15" hidden="false" customHeight="false" outlineLevel="0" collapsed="false">
      <c r="A615" s="11" t="str">
        <f aca="false">IF(INVENTÁRIO!A615="","",INVENTÁRIO!A615)</f>
        <v/>
      </c>
      <c r="B615" s="11" t="str">
        <f aca="false">IF(A615="","",INVENTÁRIO!B615)</f>
        <v/>
      </c>
      <c r="C615" s="16" t="str">
        <f aca="false">IF(A615="","",IFERROR(INDEX($L$2:$L$801,MATCH(A615,$K$2:$K$801,0)),"Não verificada"))</f>
        <v/>
      </c>
      <c r="D615" s="11" t="str">
        <f aca="false">IF(AND(A615&lt;&gt;"",C615&lt;&gt;"Tem foto"),MAX(D$1:D614)+1,"")</f>
        <v/>
      </c>
      <c r="F615" s="26" t="str">
        <f aca="false">IF($I$4=0,"",IF(613&lt;=$I$4,"    """&amp;INDEX($A$2:$A$801,MATCH(613,$D$2:$D$801,0))&amp;""",",IF(613=$I$4+1,"]","")))</f>
        <v/>
      </c>
    </row>
    <row r="616" customFormat="false" ht="15" hidden="false" customHeight="false" outlineLevel="0" collapsed="false">
      <c r="A616" s="11" t="str">
        <f aca="false">IF(INVENTÁRIO!A616="","",INVENTÁRIO!A616)</f>
        <v/>
      </c>
      <c r="B616" s="11" t="str">
        <f aca="false">IF(A616="","",INVENTÁRIO!B616)</f>
        <v/>
      </c>
      <c r="C616" s="16" t="str">
        <f aca="false">IF(A616="","",IFERROR(INDEX($L$2:$L$801,MATCH(A616,$K$2:$K$801,0)),"Não verificada"))</f>
        <v/>
      </c>
      <c r="D616" s="11" t="str">
        <f aca="false">IF(AND(A616&lt;&gt;"",C616&lt;&gt;"Tem foto"),MAX(D$1:D615)+1,"")</f>
        <v/>
      </c>
      <c r="F616" s="26" t="str">
        <f aca="false">IF($I$4=0,"",IF(614&lt;=$I$4,"    """&amp;INDEX($A$2:$A$801,MATCH(614,$D$2:$D$801,0))&amp;""",",IF(614=$I$4+1,"]","")))</f>
        <v/>
      </c>
    </row>
    <row r="617" customFormat="false" ht="15" hidden="false" customHeight="false" outlineLevel="0" collapsed="false">
      <c r="A617" s="11" t="str">
        <f aca="false">IF(INVENTÁRIO!A617="","",INVENTÁRIO!A617)</f>
        <v/>
      </c>
      <c r="B617" s="11" t="str">
        <f aca="false">IF(A617="","",INVENTÁRIO!B617)</f>
        <v/>
      </c>
      <c r="C617" s="16" t="str">
        <f aca="false">IF(A617="","",IFERROR(INDEX($L$2:$L$801,MATCH(A617,$K$2:$K$801,0)),"Não verificada"))</f>
        <v/>
      </c>
      <c r="D617" s="11" t="str">
        <f aca="false">IF(AND(A617&lt;&gt;"",C617&lt;&gt;"Tem foto"),MAX(D$1:D616)+1,"")</f>
        <v/>
      </c>
      <c r="F617" s="26" t="str">
        <f aca="false">IF($I$4=0,"",IF(615&lt;=$I$4,"    """&amp;INDEX($A$2:$A$801,MATCH(615,$D$2:$D$801,0))&amp;""",",IF(615=$I$4+1,"]","")))</f>
        <v/>
      </c>
    </row>
    <row r="618" customFormat="false" ht="15" hidden="false" customHeight="false" outlineLevel="0" collapsed="false">
      <c r="A618" s="11" t="str">
        <f aca="false">IF(INVENTÁRIO!A618="","",INVENTÁRIO!A618)</f>
        <v/>
      </c>
      <c r="B618" s="11" t="str">
        <f aca="false">IF(A618="","",INVENTÁRIO!B618)</f>
        <v/>
      </c>
      <c r="C618" s="16" t="str">
        <f aca="false">IF(A618="","",IFERROR(INDEX($L$2:$L$801,MATCH(A618,$K$2:$K$801,0)),"Não verificada"))</f>
        <v/>
      </c>
      <c r="D618" s="11" t="str">
        <f aca="false">IF(AND(A618&lt;&gt;"",C618&lt;&gt;"Tem foto"),MAX(D$1:D617)+1,"")</f>
        <v/>
      </c>
      <c r="F618" s="26" t="str">
        <f aca="false">IF($I$4=0,"",IF(616&lt;=$I$4,"    """&amp;INDEX($A$2:$A$801,MATCH(616,$D$2:$D$801,0))&amp;""",",IF(616=$I$4+1,"]","")))</f>
        <v/>
      </c>
    </row>
    <row r="619" customFormat="false" ht="15" hidden="false" customHeight="false" outlineLevel="0" collapsed="false">
      <c r="A619" s="11" t="str">
        <f aca="false">IF(INVENTÁRIO!A619="","",INVENTÁRIO!A619)</f>
        <v/>
      </c>
      <c r="B619" s="11" t="str">
        <f aca="false">IF(A619="","",INVENTÁRIO!B619)</f>
        <v/>
      </c>
      <c r="C619" s="16" t="str">
        <f aca="false">IF(A619="","",IFERROR(INDEX($L$2:$L$801,MATCH(A619,$K$2:$K$801,0)),"Não verificada"))</f>
        <v/>
      </c>
      <c r="D619" s="11" t="str">
        <f aca="false">IF(AND(A619&lt;&gt;"",C619&lt;&gt;"Tem foto"),MAX(D$1:D618)+1,"")</f>
        <v/>
      </c>
      <c r="F619" s="26" t="str">
        <f aca="false">IF($I$4=0,"",IF(617&lt;=$I$4,"    """&amp;INDEX($A$2:$A$801,MATCH(617,$D$2:$D$801,0))&amp;""",",IF(617=$I$4+1,"]","")))</f>
        <v/>
      </c>
    </row>
    <row r="620" customFormat="false" ht="15" hidden="false" customHeight="false" outlineLevel="0" collapsed="false">
      <c r="A620" s="11" t="str">
        <f aca="false">IF(INVENTÁRIO!A620="","",INVENTÁRIO!A620)</f>
        <v/>
      </c>
      <c r="B620" s="11" t="str">
        <f aca="false">IF(A620="","",INVENTÁRIO!B620)</f>
        <v/>
      </c>
      <c r="C620" s="16" t="str">
        <f aca="false">IF(A620="","",IFERROR(INDEX($L$2:$L$801,MATCH(A620,$K$2:$K$801,0)),"Não verificada"))</f>
        <v/>
      </c>
      <c r="D620" s="11" t="str">
        <f aca="false">IF(AND(A620&lt;&gt;"",C620&lt;&gt;"Tem foto"),MAX(D$1:D619)+1,"")</f>
        <v/>
      </c>
      <c r="F620" s="26" t="str">
        <f aca="false">IF($I$4=0,"",IF(618&lt;=$I$4,"    """&amp;INDEX($A$2:$A$801,MATCH(618,$D$2:$D$801,0))&amp;""",",IF(618=$I$4+1,"]","")))</f>
        <v/>
      </c>
    </row>
    <row r="621" customFormat="false" ht="15" hidden="false" customHeight="false" outlineLevel="0" collapsed="false">
      <c r="A621" s="11" t="str">
        <f aca="false">IF(INVENTÁRIO!A621="","",INVENTÁRIO!A621)</f>
        <v/>
      </c>
      <c r="B621" s="11" t="str">
        <f aca="false">IF(A621="","",INVENTÁRIO!B621)</f>
        <v/>
      </c>
      <c r="C621" s="16" t="str">
        <f aca="false">IF(A621="","",IFERROR(INDEX($L$2:$L$801,MATCH(A621,$K$2:$K$801,0)),"Não verificada"))</f>
        <v/>
      </c>
      <c r="D621" s="11" t="str">
        <f aca="false">IF(AND(A621&lt;&gt;"",C621&lt;&gt;"Tem foto"),MAX(D$1:D620)+1,"")</f>
        <v/>
      </c>
      <c r="F621" s="26" t="str">
        <f aca="false">IF($I$4=0,"",IF(619&lt;=$I$4,"    """&amp;INDEX($A$2:$A$801,MATCH(619,$D$2:$D$801,0))&amp;""",",IF(619=$I$4+1,"]","")))</f>
        <v/>
      </c>
    </row>
    <row r="622" customFormat="false" ht="15" hidden="false" customHeight="false" outlineLevel="0" collapsed="false">
      <c r="A622" s="11" t="str">
        <f aca="false">IF(INVENTÁRIO!A622="","",INVENTÁRIO!A622)</f>
        <v/>
      </c>
      <c r="B622" s="11" t="str">
        <f aca="false">IF(A622="","",INVENTÁRIO!B622)</f>
        <v/>
      </c>
      <c r="C622" s="16" t="str">
        <f aca="false">IF(A622="","",IFERROR(INDEX($L$2:$L$801,MATCH(A622,$K$2:$K$801,0)),"Não verificada"))</f>
        <v/>
      </c>
      <c r="D622" s="11" t="str">
        <f aca="false">IF(AND(A622&lt;&gt;"",C622&lt;&gt;"Tem foto"),MAX(D$1:D621)+1,"")</f>
        <v/>
      </c>
      <c r="F622" s="26" t="str">
        <f aca="false">IF($I$4=0,"",IF(620&lt;=$I$4,"    """&amp;INDEX($A$2:$A$801,MATCH(620,$D$2:$D$801,0))&amp;""",",IF(620=$I$4+1,"]","")))</f>
        <v/>
      </c>
    </row>
    <row r="623" customFormat="false" ht="15" hidden="false" customHeight="false" outlineLevel="0" collapsed="false">
      <c r="A623" s="11" t="str">
        <f aca="false">IF(INVENTÁRIO!A623="","",INVENTÁRIO!A623)</f>
        <v/>
      </c>
      <c r="B623" s="11" t="str">
        <f aca="false">IF(A623="","",INVENTÁRIO!B623)</f>
        <v/>
      </c>
      <c r="C623" s="16" t="str">
        <f aca="false">IF(A623="","",IFERROR(INDEX($L$2:$L$801,MATCH(A623,$K$2:$K$801,0)),"Não verificada"))</f>
        <v/>
      </c>
      <c r="D623" s="11" t="str">
        <f aca="false">IF(AND(A623&lt;&gt;"",C623&lt;&gt;"Tem foto"),MAX(D$1:D622)+1,"")</f>
        <v/>
      </c>
      <c r="F623" s="26" t="str">
        <f aca="false">IF($I$4=0,"",IF(621&lt;=$I$4,"    """&amp;INDEX($A$2:$A$801,MATCH(621,$D$2:$D$801,0))&amp;""",",IF(621=$I$4+1,"]","")))</f>
        <v/>
      </c>
    </row>
    <row r="624" customFormat="false" ht="15" hidden="false" customHeight="false" outlineLevel="0" collapsed="false">
      <c r="A624" s="11" t="str">
        <f aca="false">IF(INVENTÁRIO!A624="","",INVENTÁRIO!A624)</f>
        <v/>
      </c>
      <c r="B624" s="11" t="str">
        <f aca="false">IF(A624="","",INVENTÁRIO!B624)</f>
        <v/>
      </c>
      <c r="C624" s="16" t="str">
        <f aca="false">IF(A624="","",IFERROR(INDEX($L$2:$L$801,MATCH(A624,$K$2:$K$801,0)),"Não verificada"))</f>
        <v/>
      </c>
      <c r="D624" s="11" t="str">
        <f aca="false">IF(AND(A624&lt;&gt;"",C624&lt;&gt;"Tem foto"),MAX(D$1:D623)+1,"")</f>
        <v/>
      </c>
      <c r="F624" s="26" t="str">
        <f aca="false">IF($I$4=0,"",IF(622&lt;=$I$4,"    """&amp;INDEX($A$2:$A$801,MATCH(622,$D$2:$D$801,0))&amp;""",",IF(622=$I$4+1,"]","")))</f>
        <v/>
      </c>
    </row>
    <row r="625" customFormat="false" ht="15" hidden="false" customHeight="false" outlineLevel="0" collapsed="false">
      <c r="A625" s="11" t="str">
        <f aca="false">IF(INVENTÁRIO!A625="","",INVENTÁRIO!A625)</f>
        <v/>
      </c>
      <c r="B625" s="11" t="str">
        <f aca="false">IF(A625="","",INVENTÁRIO!B625)</f>
        <v/>
      </c>
      <c r="C625" s="16" t="str">
        <f aca="false">IF(A625="","",IFERROR(INDEX($L$2:$L$801,MATCH(A625,$K$2:$K$801,0)),"Não verificada"))</f>
        <v/>
      </c>
      <c r="D625" s="11" t="str">
        <f aca="false">IF(AND(A625&lt;&gt;"",C625&lt;&gt;"Tem foto"),MAX(D$1:D624)+1,"")</f>
        <v/>
      </c>
      <c r="F625" s="26" t="str">
        <f aca="false">IF($I$4=0,"",IF(623&lt;=$I$4,"    """&amp;INDEX($A$2:$A$801,MATCH(623,$D$2:$D$801,0))&amp;""",",IF(623=$I$4+1,"]","")))</f>
        <v/>
      </c>
    </row>
    <row r="626" customFormat="false" ht="15" hidden="false" customHeight="false" outlineLevel="0" collapsed="false">
      <c r="A626" s="11" t="str">
        <f aca="false">IF(INVENTÁRIO!A626="","",INVENTÁRIO!A626)</f>
        <v/>
      </c>
      <c r="B626" s="11" t="str">
        <f aca="false">IF(A626="","",INVENTÁRIO!B626)</f>
        <v/>
      </c>
      <c r="C626" s="16" t="str">
        <f aca="false">IF(A626="","",IFERROR(INDEX($L$2:$L$801,MATCH(A626,$K$2:$K$801,0)),"Não verificada"))</f>
        <v/>
      </c>
      <c r="D626" s="11" t="str">
        <f aca="false">IF(AND(A626&lt;&gt;"",C626&lt;&gt;"Tem foto"),MAX(D$1:D625)+1,"")</f>
        <v/>
      </c>
      <c r="F626" s="26" t="str">
        <f aca="false">IF($I$4=0,"",IF(624&lt;=$I$4,"    """&amp;INDEX($A$2:$A$801,MATCH(624,$D$2:$D$801,0))&amp;""",",IF(624=$I$4+1,"]","")))</f>
        <v/>
      </c>
    </row>
    <row r="627" customFormat="false" ht="15" hidden="false" customHeight="false" outlineLevel="0" collapsed="false">
      <c r="A627" s="11" t="str">
        <f aca="false">IF(INVENTÁRIO!A627="","",INVENTÁRIO!A627)</f>
        <v/>
      </c>
      <c r="B627" s="11" t="str">
        <f aca="false">IF(A627="","",INVENTÁRIO!B627)</f>
        <v/>
      </c>
      <c r="C627" s="16" t="str">
        <f aca="false">IF(A627="","",IFERROR(INDEX($L$2:$L$801,MATCH(A627,$K$2:$K$801,0)),"Não verificada"))</f>
        <v/>
      </c>
      <c r="D627" s="11" t="str">
        <f aca="false">IF(AND(A627&lt;&gt;"",C627&lt;&gt;"Tem foto"),MAX(D$1:D626)+1,"")</f>
        <v/>
      </c>
      <c r="F627" s="26" t="str">
        <f aca="false">IF($I$4=0,"",IF(625&lt;=$I$4,"    """&amp;INDEX($A$2:$A$801,MATCH(625,$D$2:$D$801,0))&amp;""",",IF(625=$I$4+1,"]","")))</f>
        <v/>
      </c>
    </row>
    <row r="628" customFormat="false" ht="15" hidden="false" customHeight="false" outlineLevel="0" collapsed="false">
      <c r="A628" s="11" t="str">
        <f aca="false">IF(INVENTÁRIO!A628="","",INVENTÁRIO!A628)</f>
        <v/>
      </c>
      <c r="B628" s="11" t="str">
        <f aca="false">IF(A628="","",INVENTÁRIO!B628)</f>
        <v/>
      </c>
      <c r="C628" s="16" t="str">
        <f aca="false">IF(A628="","",IFERROR(INDEX($L$2:$L$801,MATCH(A628,$K$2:$K$801,0)),"Não verificada"))</f>
        <v/>
      </c>
      <c r="D628" s="11" t="str">
        <f aca="false">IF(AND(A628&lt;&gt;"",C628&lt;&gt;"Tem foto"),MAX(D$1:D627)+1,"")</f>
        <v/>
      </c>
      <c r="F628" s="26" t="str">
        <f aca="false">IF($I$4=0,"",IF(626&lt;=$I$4,"    """&amp;INDEX($A$2:$A$801,MATCH(626,$D$2:$D$801,0))&amp;""",",IF(626=$I$4+1,"]","")))</f>
        <v/>
      </c>
    </row>
    <row r="629" customFormat="false" ht="15" hidden="false" customHeight="false" outlineLevel="0" collapsed="false">
      <c r="A629" s="11" t="str">
        <f aca="false">IF(INVENTÁRIO!A629="","",INVENTÁRIO!A629)</f>
        <v/>
      </c>
      <c r="B629" s="11" t="str">
        <f aca="false">IF(A629="","",INVENTÁRIO!B629)</f>
        <v/>
      </c>
      <c r="C629" s="16" t="str">
        <f aca="false">IF(A629="","",IFERROR(INDEX($L$2:$L$801,MATCH(A629,$K$2:$K$801,0)),"Não verificada"))</f>
        <v/>
      </c>
      <c r="D629" s="11" t="str">
        <f aca="false">IF(AND(A629&lt;&gt;"",C629&lt;&gt;"Tem foto"),MAX(D$1:D628)+1,"")</f>
        <v/>
      </c>
      <c r="F629" s="26" t="str">
        <f aca="false">IF($I$4=0,"",IF(627&lt;=$I$4,"    """&amp;INDEX($A$2:$A$801,MATCH(627,$D$2:$D$801,0))&amp;""",",IF(627=$I$4+1,"]","")))</f>
        <v/>
      </c>
    </row>
    <row r="630" customFormat="false" ht="15" hidden="false" customHeight="false" outlineLevel="0" collapsed="false">
      <c r="A630" s="11" t="str">
        <f aca="false">IF(INVENTÁRIO!A630="","",INVENTÁRIO!A630)</f>
        <v/>
      </c>
      <c r="B630" s="11" t="str">
        <f aca="false">IF(A630="","",INVENTÁRIO!B630)</f>
        <v/>
      </c>
      <c r="C630" s="16" t="str">
        <f aca="false">IF(A630="","",IFERROR(INDEX($L$2:$L$801,MATCH(A630,$K$2:$K$801,0)),"Não verificada"))</f>
        <v/>
      </c>
      <c r="D630" s="11" t="str">
        <f aca="false">IF(AND(A630&lt;&gt;"",C630&lt;&gt;"Tem foto"),MAX(D$1:D629)+1,"")</f>
        <v/>
      </c>
      <c r="F630" s="26" t="str">
        <f aca="false">IF($I$4=0,"",IF(628&lt;=$I$4,"    """&amp;INDEX($A$2:$A$801,MATCH(628,$D$2:$D$801,0))&amp;""",",IF(628=$I$4+1,"]","")))</f>
        <v/>
      </c>
    </row>
    <row r="631" customFormat="false" ht="15" hidden="false" customHeight="false" outlineLevel="0" collapsed="false">
      <c r="A631" s="11" t="str">
        <f aca="false">IF(INVENTÁRIO!A631="","",INVENTÁRIO!A631)</f>
        <v/>
      </c>
      <c r="B631" s="11" t="str">
        <f aca="false">IF(A631="","",INVENTÁRIO!B631)</f>
        <v/>
      </c>
      <c r="C631" s="16" t="str">
        <f aca="false">IF(A631="","",IFERROR(INDEX($L$2:$L$801,MATCH(A631,$K$2:$K$801,0)),"Não verificada"))</f>
        <v/>
      </c>
      <c r="D631" s="11" t="str">
        <f aca="false">IF(AND(A631&lt;&gt;"",C631&lt;&gt;"Tem foto"),MAX(D$1:D630)+1,"")</f>
        <v/>
      </c>
      <c r="F631" s="26" t="str">
        <f aca="false">IF($I$4=0,"",IF(629&lt;=$I$4,"    """&amp;INDEX($A$2:$A$801,MATCH(629,$D$2:$D$801,0))&amp;""",",IF(629=$I$4+1,"]","")))</f>
        <v/>
      </c>
    </row>
    <row r="632" customFormat="false" ht="15" hidden="false" customHeight="false" outlineLevel="0" collapsed="false">
      <c r="A632" s="11" t="str">
        <f aca="false">IF(INVENTÁRIO!A632="","",INVENTÁRIO!A632)</f>
        <v/>
      </c>
      <c r="B632" s="11" t="str">
        <f aca="false">IF(A632="","",INVENTÁRIO!B632)</f>
        <v/>
      </c>
      <c r="C632" s="16" t="str">
        <f aca="false">IF(A632="","",IFERROR(INDEX($L$2:$L$801,MATCH(A632,$K$2:$K$801,0)),"Não verificada"))</f>
        <v/>
      </c>
      <c r="D632" s="11" t="str">
        <f aca="false">IF(AND(A632&lt;&gt;"",C632&lt;&gt;"Tem foto"),MAX(D$1:D631)+1,"")</f>
        <v/>
      </c>
      <c r="F632" s="26" t="str">
        <f aca="false">IF($I$4=0,"",IF(630&lt;=$I$4,"    """&amp;INDEX($A$2:$A$801,MATCH(630,$D$2:$D$801,0))&amp;""",",IF(630=$I$4+1,"]","")))</f>
        <v/>
      </c>
    </row>
    <row r="633" customFormat="false" ht="15" hidden="false" customHeight="false" outlineLevel="0" collapsed="false">
      <c r="A633" s="11" t="str">
        <f aca="false">IF(INVENTÁRIO!A633="","",INVENTÁRIO!A633)</f>
        <v/>
      </c>
      <c r="B633" s="11" t="str">
        <f aca="false">IF(A633="","",INVENTÁRIO!B633)</f>
        <v/>
      </c>
      <c r="C633" s="16" t="str">
        <f aca="false">IF(A633="","",IFERROR(INDEX($L$2:$L$801,MATCH(A633,$K$2:$K$801,0)),"Não verificada"))</f>
        <v/>
      </c>
      <c r="D633" s="11" t="str">
        <f aca="false">IF(AND(A633&lt;&gt;"",C633&lt;&gt;"Tem foto"),MAX(D$1:D632)+1,"")</f>
        <v/>
      </c>
      <c r="F633" s="26" t="str">
        <f aca="false">IF($I$4=0,"",IF(631&lt;=$I$4,"    """&amp;INDEX($A$2:$A$801,MATCH(631,$D$2:$D$801,0))&amp;""",",IF(631=$I$4+1,"]","")))</f>
        <v/>
      </c>
    </row>
    <row r="634" customFormat="false" ht="15" hidden="false" customHeight="false" outlineLevel="0" collapsed="false">
      <c r="A634" s="11" t="str">
        <f aca="false">IF(INVENTÁRIO!A634="","",INVENTÁRIO!A634)</f>
        <v/>
      </c>
      <c r="B634" s="11" t="str">
        <f aca="false">IF(A634="","",INVENTÁRIO!B634)</f>
        <v/>
      </c>
      <c r="C634" s="16" t="str">
        <f aca="false">IF(A634="","",IFERROR(INDEX($L$2:$L$801,MATCH(A634,$K$2:$K$801,0)),"Não verificada"))</f>
        <v/>
      </c>
      <c r="D634" s="11" t="str">
        <f aca="false">IF(AND(A634&lt;&gt;"",C634&lt;&gt;"Tem foto"),MAX(D$1:D633)+1,"")</f>
        <v/>
      </c>
      <c r="F634" s="26" t="str">
        <f aca="false">IF($I$4=0,"",IF(632&lt;=$I$4,"    """&amp;INDEX($A$2:$A$801,MATCH(632,$D$2:$D$801,0))&amp;""",",IF(632=$I$4+1,"]","")))</f>
        <v/>
      </c>
    </row>
    <row r="635" customFormat="false" ht="15" hidden="false" customHeight="false" outlineLevel="0" collapsed="false">
      <c r="A635" s="11" t="str">
        <f aca="false">IF(INVENTÁRIO!A635="","",INVENTÁRIO!A635)</f>
        <v/>
      </c>
      <c r="B635" s="11" t="str">
        <f aca="false">IF(A635="","",INVENTÁRIO!B635)</f>
        <v/>
      </c>
      <c r="C635" s="16" t="str">
        <f aca="false">IF(A635="","",IFERROR(INDEX($L$2:$L$801,MATCH(A635,$K$2:$K$801,0)),"Não verificada"))</f>
        <v/>
      </c>
      <c r="D635" s="11" t="str">
        <f aca="false">IF(AND(A635&lt;&gt;"",C635&lt;&gt;"Tem foto"),MAX(D$1:D634)+1,"")</f>
        <v/>
      </c>
      <c r="F635" s="26" t="str">
        <f aca="false">IF($I$4=0,"",IF(633&lt;=$I$4,"    """&amp;INDEX($A$2:$A$801,MATCH(633,$D$2:$D$801,0))&amp;""",",IF(633=$I$4+1,"]","")))</f>
        <v/>
      </c>
    </row>
    <row r="636" customFormat="false" ht="15" hidden="false" customHeight="false" outlineLevel="0" collapsed="false">
      <c r="A636" s="11" t="str">
        <f aca="false">IF(INVENTÁRIO!A636="","",INVENTÁRIO!A636)</f>
        <v/>
      </c>
      <c r="B636" s="11" t="str">
        <f aca="false">IF(A636="","",INVENTÁRIO!B636)</f>
        <v/>
      </c>
      <c r="C636" s="16" t="str">
        <f aca="false">IF(A636="","",IFERROR(INDEX($L$2:$L$801,MATCH(A636,$K$2:$K$801,0)),"Não verificada"))</f>
        <v/>
      </c>
      <c r="D636" s="11" t="str">
        <f aca="false">IF(AND(A636&lt;&gt;"",C636&lt;&gt;"Tem foto"),MAX(D$1:D635)+1,"")</f>
        <v/>
      </c>
      <c r="F636" s="26" t="str">
        <f aca="false">IF($I$4=0,"",IF(634&lt;=$I$4,"    """&amp;INDEX($A$2:$A$801,MATCH(634,$D$2:$D$801,0))&amp;""",",IF(634=$I$4+1,"]","")))</f>
        <v/>
      </c>
    </row>
    <row r="637" customFormat="false" ht="15" hidden="false" customHeight="false" outlineLevel="0" collapsed="false">
      <c r="A637" s="11" t="str">
        <f aca="false">IF(INVENTÁRIO!A637="","",INVENTÁRIO!A637)</f>
        <v/>
      </c>
      <c r="B637" s="11" t="str">
        <f aca="false">IF(A637="","",INVENTÁRIO!B637)</f>
        <v/>
      </c>
      <c r="C637" s="16" t="str">
        <f aca="false">IF(A637="","",IFERROR(INDEX($L$2:$L$801,MATCH(A637,$K$2:$K$801,0)),"Não verificada"))</f>
        <v/>
      </c>
      <c r="D637" s="11" t="str">
        <f aca="false">IF(AND(A637&lt;&gt;"",C637&lt;&gt;"Tem foto"),MAX(D$1:D636)+1,"")</f>
        <v/>
      </c>
      <c r="F637" s="26" t="str">
        <f aca="false">IF($I$4=0,"",IF(635&lt;=$I$4,"    """&amp;INDEX($A$2:$A$801,MATCH(635,$D$2:$D$801,0))&amp;""",",IF(635=$I$4+1,"]","")))</f>
        <v/>
      </c>
    </row>
    <row r="638" customFormat="false" ht="15" hidden="false" customHeight="false" outlineLevel="0" collapsed="false">
      <c r="A638" s="11" t="str">
        <f aca="false">IF(INVENTÁRIO!A638="","",INVENTÁRIO!A638)</f>
        <v/>
      </c>
      <c r="B638" s="11" t="str">
        <f aca="false">IF(A638="","",INVENTÁRIO!B638)</f>
        <v/>
      </c>
      <c r="C638" s="16" t="str">
        <f aca="false">IF(A638="","",IFERROR(INDEX($L$2:$L$801,MATCH(A638,$K$2:$K$801,0)),"Não verificada"))</f>
        <v/>
      </c>
      <c r="D638" s="11" t="str">
        <f aca="false">IF(AND(A638&lt;&gt;"",C638&lt;&gt;"Tem foto"),MAX(D$1:D637)+1,"")</f>
        <v/>
      </c>
      <c r="F638" s="26" t="str">
        <f aca="false">IF($I$4=0,"",IF(636&lt;=$I$4,"    """&amp;INDEX($A$2:$A$801,MATCH(636,$D$2:$D$801,0))&amp;""",",IF(636=$I$4+1,"]","")))</f>
        <v/>
      </c>
    </row>
    <row r="639" customFormat="false" ht="15" hidden="false" customHeight="false" outlineLevel="0" collapsed="false">
      <c r="A639" s="11" t="str">
        <f aca="false">IF(INVENTÁRIO!A639="","",INVENTÁRIO!A639)</f>
        <v/>
      </c>
      <c r="B639" s="11" t="str">
        <f aca="false">IF(A639="","",INVENTÁRIO!B639)</f>
        <v/>
      </c>
      <c r="C639" s="16" t="str">
        <f aca="false">IF(A639="","",IFERROR(INDEX($L$2:$L$801,MATCH(A639,$K$2:$K$801,0)),"Não verificada"))</f>
        <v/>
      </c>
      <c r="D639" s="11" t="str">
        <f aca="false">IF(AND(A639&lt;&gt;"",C639&lt;&gt;"Tem foto"),MAX(D$1:D638)+1,"")</f>
        <v/>
      </c>
      <c r="F639" s="26" t="str">
        <f aca="false">IF($I$4=0,"",IF(637&lt;=$I$4,"    """&amp;INDEX($A$2:$A$801,MATCH(637,$D$2:$D$801,0))&amp;""",",IF(637=$I$4+1,"]","")))</f>
        <v/>
      </c>
    </row>
    <row r="640" customFormat="false" ht="15" hidden="false" customHeight="false" outlineLevel="0" collapsed="false">
      <c r="A640" s="11" t="str">
        <f aca="false">IF(INVENTÁRIO!A640="","",INVENTÁRIO!A640)</f>
        <v/>
      </c>
      <c r="B640" s="11" t="str">
        <f aca="false">IF(A640="","",INVENTÁRIO!B640)</f>
        <v/>
      </c>
      <c r="C640" s="16" t="str">
        <f aca="false">IF(A640="","",IFERROR(INDEX($L$2:$L$801,MATCH(A640,$K$2:$K$801,0)),"Não verificada"))</f>
        <v/>
      </c>
      <c r="D640" s="11" t="str">
        <f aca="false">IF(AND(A640&lt;&gt;"",C640&lt;&gt;"Tem foto"),MAX(D$1:D639)+1,"")</f>
        <v/>
      </c>
      <c r="F640" s="26" t="str">
        <f aca="false">IF($I$4=0,"",IF(638&lt;=$I$4,"    """&amp;INDEX($A$2:$A$801,MATCH(638,$D$2:$D$801,0))&amp;""",",IF(638=$I$4+1,"]","")))</f>
        <v/>
      </c>
    </row>
    <row r="641" customFormat="false" ht="15" hidden="false" customHeight="false" outlineLevel="0" collapsed="false">
      <c r="A641" s="11" t="str">
        <f aca="false">IF(INVENTÁRIO!A641="","",INVENTÁRIO!A641)</f>
        <v/>
      </c>
      <c r="B641" s="11" t="str">
        <f aca="false">IF(A641="","",INVENTÁRIO!B641)</f>
        <v/>
      </c>
      <c r="C641" s="16" t="str">
        <f aca="false">IF(A641="","",IFERROR(INDEX($L$2:$L$801,MATCH(A641,$K$2:$K$801,0)),"Não verificada"))</f>
        <v/>
      </c>
      <c r="D641" s="11" t="str">
        <f aca="false">IF(AND(A641&lt;&gt;"",C641&lt;&gt;"Tem foto"),MAX(D$1:D640)+1,"")</f>
        <v/>
      </c>
      <c r="F641" s="26" t="str">
        <f aca="false">IF($I$4=0,"",IF(639&lt;=$I$4,"    """&amp;INDEX($A$2:$A$801,MATCH(639,$D$2:$D$801,0))&amp;""",",IF(639=$I$4+1,"]","")))</f>
        <v/>
      </c>
    </row>
    <row r="642" customFormat="false" ht="15" hidden="false" customHeight="false" outlineLevel="0" collapsed="false">
      <c r="A642" s="11" t="str">
        <f aca="false">IF(INVENTÁRIO!A642="","",INVENTÁRIO!A642)</f>
        <v/>
      </c>
      <c r="B642" s="11" t="str">
        <f aca="false">IF(A642="","",INVENTÁRIO!B642)</f>
        <v/>
      </c>
      <c r="C642" s="16" t="str">
        <f aca="false">IF(A642="","",IFERROR(INDEX($L$2:$L$801,MATCH(A642,$K$2:$K$801,0)),"Não verificada"))</f>
        <v/>
      </c>
      <c r="D642" s="11" t="str">
        <f aca="false">IF(AND(A642&lt;&gt;"",C642&lt;&gt;"Tem foto"),MAX(D$1:D641)+1,"")</f>
        <v/>
      </c>
      <c r="F642" s="26" t="str">
        <f aca="false">IF($I$4=0,"",IF(640&lt;=$I$4,"    """&amp;INDEX($A$2:$A$801,MATCH(640,$D$2:$D$801,0))&amp;""",",IF(640=$I$4+1,"]","")))</f>
        <v/>
      </c>
    </row>
    <row r="643" customFormat="false" ht="15" hidden="false" customHeight="false" outlineLevel="0" collapsed="false">
      <c r="A643" s="11" t="str">
        <f aca="false">IF(INVENTÁRIO!A643="","",INVENTÁRIO!A643)</f>
        <v/>
      </c>
      <c r="B643" s="11" t="str">
        <f aca="false">IF(A643="","",INVENTÁRIO!B643)</f>
        <v/>
      </c>
      <c r="C643" s="16" t="str">
        <f aca="false">IF(A643="","",IFERROR(INDEX($L$2:$L$801,MATCH(A643,$K$2:$K$801,0)),"Não verificada"))</f>
        <v/>
      </c>
      <c r="D643" s="11" t="str">
        <f aca="false">IF(AND(A643&lt;&gt;"",C643&lt;&gt;"Tem foto"),MAX(D$1:D642)+1,"")</f>
        <v/>
      </c>
      <c r="F643" s="26" t="str">
        <f aca="false">IF($I$4=0,"",IF(641&lt;=$I$4,"    """&amp;INDEX($A$2:$A$801,MATCH(641,$D$2:$D$801,0))&amp;""",",IF(641=$I$4+1,"]","")))</f>
        <v/>
      </c>
    </row>
    <row r="644" customFormat="false" ht="15" hidden="false" customHeight="false" outlineLevel="0" collapsed="false">
      <c r="A644" s="11" t="str">
        <f aca="false">IF(INVENTÁRIO!A644="","",INVENTÁRIO!A644)</f>
        <v/>
      </c>
      <c r="B644" s="11" t="str">
        <f aca="false">IF(A644="","",INVENTÁRIO!B644)</f>
        <v/>
      </c>
      <c r="C644" s="16" t="str">
        <f aca="false">IF(A644="","",IFERROR(INDEX($L$2:$L$801,MATCH(A644,$K$2:$K$801,0)),"Não verificada"))</f>
        <v/>
      </c>
      <c r="D644" s="11" t="str">
        <f aca="false">IF(AND(A644&lt;&gt;"",C644&lt;&gt;"Tem foto"),MAX(D$1:D643)+1,"")</f>
        <v/>
      </c>
      <c r="F644" s="26" t="str">
        <f aca="false">IF($I$4=0,"",IF(642&lt;=$I$4,"    """&amp;INDEX($A$2:$A$801,MATCH(642,$D$2:$D$801,0))&amp;""",",IF(642=$I$4+1,"]","")))</f>
        <v/>
      </c>
    </row>
    <row r="645" customFormat="false" ht="15" hidden="false" customHeight="false" outlineLevel="0" collapsed="false">
      <c r="A645" s="11" t="str">
        <f aca="false">IF(INVENTÁRIO!A645="","",INVENTÁRIO!A645)</f>
        <v/>
      </c>
      <c r="B645" s="11" t="str">
        <f aca="false">IF(A645="","",INVENTÁRIO!B645)</f>
        <v/>
      </c>
      <c r="C645" s="16" t="str">
        <f aca="false">IF(A645="","",IFERROR(INDEX($L$2:$L$801,MATCH(A645,$K$2:$K$801,0)),"Não verificada"))</f>
        <v/>
      </c>
      <c r="D645" s="11" t="str">
        <f aca="false">IF(AND(A645&lt;&gt;"",C645&lt;&gt;"Tem foto"),MAX(D$1:D644)+1,"")</f>
        <v/>
      </c>
      <c r="F645" s="26" t="str">
        <f aca="false">IF($I$4=0,"",IF(643&lt;=$I$4,"    """&amp;INDEX($A$2:$A$801,MATCH(643,$D$2:$D$801,0))&amp;""",",IF(643=$I$4+1,"]","")))</f>
        <v/>
      </c>
    </row>
    <row r="646" customFormat="false" ht="15" hidden="false" customHeight="false" outlineLevel="0" collapsed="false">
      <c r="A646" s="11" t="str">
        <f aca="false">IF(INVENTÁRIO!A646="","",INVENTÁRIO!A646)</f>
        <v/>
      </c>
      <c r="B646" s="11" t="str">
        <f aca="false">IF(A646="","",INVENTÁRIO!B646)</f>
        <v/>
      </c>
      <c r="C646" s="16" t="str">
        <f aca="false">IF(A646="","",IFERROR(INDEX($L$2:$L$801,MATCH(A646,$K$2:$K$801,0)),"Não verificada"))</f>
        <v/>
      </c>
      <c r="D646" s="11" t="str">
        <f aca="false">IF(AND(A646&lt;&gt;"",C646&lt;&gt;"Tem foto"),MAX(D$1:D645)+1,"")</f>
        <v/>
      </c>
      <c r="F646" s="26" t="str">
        <f aca="false">IF($I$4=0,"",IF(644&lt;=$I$4,"    """&amp;INDEX($A$2:$A$801,MATCH(644,$D$2:$D$801,0))&amp;""",",IF(644=$I$4+1,"]","")))</f>
        <v/>
      </c>
    </row>
    <row r="647" customFormat="false" ht="15" hidden="false" customHeight="false" outlineLevel="0" collapsed="false">
      <c r="A647" s="11" t="str">
        <f aca="false">IF(INVENTÁRIO!A647="","",INVENTÁRIO!A647)</f>
        <v/>
      </c>
      <c r="B647" s="11" t="str">
        <f aca="false">IF(A647="","",INVENTÁRIO!B647)</f>
        <v/>
      </c>
      <c r="C647" s="16" t="str">
        <f aca="false">IF(A647="","",IFERROR(INDEX($L$2:$L$801,MATCH(A647,$K$2:$K$801,0)),"Não verificada"))</f>
        <v/>
      </c>
      <c r="D647" s="11" t="str">
        <f aca="false">IF(AND(A647&lt;&gt;"",C647&lt;&gt;"Tem foto"),MAX(D$1:D646)+1,"")</f>
        <v/>
      </c>
      <c r="F647" s="26" t="str">
        <f aca="false">IF($I$4=0,"",IF(645&lt;=$I$4,"    """&amp;INDEX($A$2:$A$801,MATCH(645,$D$2:$D$801,0))&amp;""",",IF(645=$I$4+1,"]","")))</f>
        <v/>
      </c>
    </row>
    <row r="648" customFormat="false" ht="15" hidden="false" customHeight="false" outlineLevel="0" collapsed="false">
      <c r="A648" s="11" t="str">
        <f aca="false">IF(INVENTÁRIO!A648="","",INVENTÁRIO!A648)</f>
        <v/>
      </c>
      <c r="B648" s="11" t="str">
        <f aca="false">IF(A648="","",INVENTÁRIO!B648)</f>
        <v/>
      </c>
      <c r="C648" s="16" t="str">
        <f aca="false">IF(A648="","",IFERROR(INDEX($L$2:$L$801,MATCH(A648,$K$2:$K$801,0)),"Não verificada"))</f>
        <v/>
      </c>
      <c r="D648" s="11" t="str">
        <f aca="false">IF(AND(A648&lt;&gt;"",C648&lt;&gt;"Tem foto"),MAX(D$1:D647)+1,"")</f>
        <v/>
      </c>
      <c r="F648" s="26" t="str">
        <f aca="false">IF($I$4=0,"",IF(646&lt;=$I$4,"    """&amp;INDEX($A$2:$A$801,MATCH(646,$D$2:$D$801,0))&amp;""",",IF(646=$I$4+1,"]","")))</f>
        <v/>
      </c>
    </row>
    <row r="649" customFormat="false" ht="15" hidden="false" customHeight="false" outlineLevel="0" collapsed="false">
      <c r="A649" s="11" t="str">
        <f aca="false">IF(INVENTÁRIO!A649="","",INVENTÁRIO!A649)</f>
        <v/>
      </c>
      <c r="B649" s="11" t="str">
        <f aca="false">IF(A649="","",INVENTÁRIO!B649)</f>
        <v/>
      </c>
      <c r="C649" s="16" t="str">
        <f aca="false">IF(A649="","",IFERROR(INDEX($L$2:$L$801,MATCH(A649,$K$2:$K$801,0)),"Não verificada"))</f>
        <v/>
      </c>
      <c r="D649" s="11" t="str">
        <f aca="false">IF(AND(A649&lt;&gt;"",C649&lt;&gt;"Tem foto"),MAX(D$1:D648)+1,"")</f>
        <v/>
      </c>
      <c r="F649" s="26" t="str">
        <f aca="false">IF($I$4=0,"",IF(647&lt;=$I$4,"    """&amp;INDEX($A$2:$A$801,MATCH(647,$D$2:$D$801,0))&amp;""",",IF(647=$I$4+1,"]","")))</f>
        <v/>
      </c>
    </row>
    <row r="650" customFormat="false" ht="15" hidden="false" customHeight="false" outlineLevel="0" collapsed="false">
      <c r="A650" s="11" t="str">
        <f aca="false">IF(INVENTÁRIO!A650="","",INVENTÁRIO!A650)</f>
        <v/>
      </c>
      <c r="B650" s="11" t="str">
        <f aca="false">IF(A650="","",INVENTÁRIO!B650)</f>
        <v/>
      </c>
      <c r="C650" s="16" t="str">
        <f aca="false">IF(A650="","",IFERROR(INDEX($L$2:$L$801,MATCH(A650,$K$2:$K$801,0)),"Não verificada"))</f>
        <v/>
      </c>
      <c r="D650" s="11" t="str">
        <f aca="false">IF(AND(A650&lt;&gt;"",C650&lt;&gt;"Tem foto"),MAX(D$1:D649)+1,"")</f>
        <v/>
      </c>
      <c r="F650" s="26" t="str">
        <f aca="false">IF($I$4=0,"",IF(648&lt;=$I$4,"    """&amp;INDEX($A$2:$A$801,MATCH(648,$D$2:$D$801,0))&amp;""",",IF(648=$I$4+1,"]","")))</f>
        <v/>
      </c>
    </row>
    <row r="651" customFormat="false" ht="15" hidden="false" customHeight="false" outlineLevel="0" collapsed="false">
      <c r="A651" s="11" t="str">
        <f aca="false">IF(INVENTÁRIO!A651="","",INVENTÁRIO!A651)</f>
        <v/>
      </c>
      <c r="B651" s="11" t="str">
        <f aca="false">IF(A651="","",INVENTÁRIO!B651)</f>
        <v/>
      </c>
      <c r="C651" s="16" t="str">
        <f aca="false">IF(A651="","",IFERROR(INDEX($L$2:$L$801,MATCH(A651,$K$2:$K$801,0)),"Não verificada"))</f>
        <v/>
      </c>
      <c r="D651" s="11" t="str">
        <f aca="false">IF(AND(A651&lt;&gt;"",C651&lt;&gt;"Tem foto"),MAX(D$1:D650)+1,"")</f>
        <v/>
      </c>
      <c r="F651" s="26" t="str">
        <f aca="false">IF($I$4=0,"",IF(649&lt;=$I$4,"    """&amp;INDEX($A$2:$A$801,MATCH(649,$D$2:$D$801,0))&amp;""",",IF(649=$I$4+1,"]","")))</f>
        <v/>
      </c>
    </row>
    <row r="652" customFormat="false" ht="15" hidden="false" customHeight="false" outlineLevel="0" collapsed="false">
      <c r="A652" s="11" t="str">
        <f aca="false">IF(INVENTÁRIO!A652="","",INVENTÁRIO!A652)</f>
        <v/>
      </c>
      <c r="B652" s="11" t="str">
        <f aca="false">IF(A652="","",INVENTÁRIO!B652)</f>
        <v/>
      </c>
      <c r="C652" s="16" t="str">
        <f aca="false">IF(A652="","",IFERROR(INDEX($L$2:$L$801,MATCH(A652,$K$2:$K$801,0)),"Não verificada"))</f>
        <v/>
      </c>
      <c r="D652" s="11" t="str">
        <f aca="false">IF(AND(A652&lt;&gt;"",C652&lt;&gt;"Tem foto"),MAX(D$1:D651)+1,"")</f>
        <v/>
      </c>
      <c r="F652" s="26" t="str">
        <f aca="false">IF($I$4=0,"",IF(650&lt;=$I$4,"    """&amp;INDEX($A$2:$A$801,MATCH(650,$D$2:$D$801,0))&amp;""",",IF(650=$I$4+1,"]","")))</f>
        <v/>
      </c>
    </row>
    <row r="653" customFormat="false" ht="15" hidden="false" customHeight="false" outlineLevel="0" collapsed="false">
      <c r="A653" s="11" t="str">
        <f aca="false">IF(INVENTÁRIO!A653="","",INVENTÁRIO!A653)</f>
        <v/>
      </c>
      <c r="B653" s="11" t="str">
        <f aca="false">IF(A653="","",INVENTÁRIO!B653)</f>
        <v/>
      </c>
      <c r="C653" s="16" t="str">
        <f aca="false">IF(A653="","",IFERROR(INDEX($L$2:$L$801,MATCH(A653,$K$2:$K$801,0)),"Não verificada"))</f>
        <v/>
      </c>
      <c r="D653" s="11" t="str">
        <f aca="false">IF(AND(A653&lt;&gt;"",C653&lt;&gt;"Tem foto"),MAX(D$1:D652)+1,"")</f>
        <v/>
      </c>
      <c r="F653" s="26" t="str">
        <f aca="false">IF($I$4=0,"",IF(651&lt;=$I$4,"    """&amp;INDEX($A$2:$A$801,MATCH(651,$D$2:$D$801,0))&amp;""",",IF(651=$I$4+1,"]","")))</f>
        <v/>
      </c>
    </row>
    <row r="654" customFormat="false" ht="15" hidden="false" customHeight="false" outlineLevel="0" collapsed="false">
      <c r="A654" s="11" t="str">
        <f aca="false">IF(INVENTÁRIO!A654="","",INVENTÁRIO!A654)</f>
        <v/>
      </c>
      <c r="B654" s="11" t="str">
        <f aca="false">IF(A654="","",INVENTÁRIO!B654)</f>
        <v/>
      </c>
      <c r="C654" s="16" t="str">
        <f aca="false">IF(A654="","",IFERROR(INDEX($L$2:$L$801,MATCH(A654,$K$2:$K$801,0)),"Não verificada"))</f>
        <v/>
      </c>
      <c r="D654" s="11" t="str">
        <f aca="false">IF(AND(A654&lt;&gt;"",C654&lt;&gt;"Tem foto"),MAX(D$1:D653)+1,"")</f>
        <v/>
      </c>
      <c r="F654" s="26" t="str">
        <f aca="false">IF($I$4=0,"",IF(652&lt;=$I$4,"    """&amp;INDEX($A$2:$A$801,MATCH(652,$D$2:$D$801,0))&amp;""",",IF(652=$I$4+1,"]","")))</f>
        <v/>
      </c>
    </row>
    <row r="655" customFormat="false" ht="15" hidden="false" customHeight="false" outlineLevel="0" collapsed="false">
      <c r="A655" s="11" t="str">
        <f aca="false">IF(INVENTÁRIO!A655="","",INVENTÁRIO!A655)</f>
        <v/>
      </c>
      <c r="B655" s="11" t="str">
        <f aca="false">IF(A655="","",INVENTÁRIO!B655)</f>
        <v/>
      </c>
      <c r="C655" s="16" t="str">
        <f aca="false">IF(A655="","",IFERROR(INDEX($L$2:$L$801,MATCH(A655,$K$2:$K$801,0)),"Não verificada"))</f>
        <v/>
      </c>
      <c r="D655" s="11" t="str">
        <f aca="false">IF(AND(A655&lt;&gt;"",C655&lt;&gt;"Tem foto"),MAX(D$1:D654)+1,"")</f>
        <v/>
      </c>
      <c r="F655" s="26" t="str">
        <f aca="false">IF($I$4=0,"",IF(653&lt;=$I$4,"    """&amp;INDEX($A$2:$A$801,MATCH(653,$D$2:$D$801,0))&amp;""",",IF(653=$I$4+1,"]","")))</f>
        <v/>
      </c>
    </row>
    <row r="656" customFormat="false" ht="15" hidden="false" customHeight="false" outlineLevel="0" collapsed="false">
      <c r="A656" s="11" t="str">
        <f aca="false">IF(INVENTÁRIO!A656="","",INVENTÁRIO!A656)</f>
        <v/>
      </c>
      <c r="B656" s="11" t="str">
        <f aca="false">IF(A656="","",INVENTÁRIO!B656)</f>
        <v/>
      </c>
      <c r="C656" s="16" t="str">
        <f aca="false">IF(A656="","",IFERROR(INDEX($L$2:$L$801,MATCH(A656,$K$2:$K$801,0)),"Não verificada"))</f>
        <v/>
      </c>
      <c r="D656" s="11" t="str">
        <f aca="false">IF(AND(A656&lt;&gt;"",C656&lt;&gt;"Tem foto"),MAX(D$1:D655)+1,"")</f>
        <v/>
      </c>
      <c r="F656" s="26" t="str">
        <f aca="false">IF($I$4=0,"",IF(654&lt;=$I$4,"    """&amp;INDEX($A$2:$A$801,MATCH(654,$D$2:$D$801,0))&amp;""",",IF(654=$I$4+1,"]","")))</f>
        <v/>
      </c>
    </row>
    <row r="657" customFormat="false" ht="15" hidden="false" customHeight="false" outlineLevel="0" collapsed="false">
      <c r="A657" s="11" t="str">
        <f aca="false">IF(INVENTÁRIO!A657="","",INVENTÁRIO!A657)</f>
        <v/>
      </c>
      <c r="B657" s="11" t="str">
        <f aca="false">IF(A657="","",INVENTÁRIO!B657)</f>
        <v/>
      </c>
      <c r="C657" s="16" t="str">
        <f aca="false">IF(A657="","",IFERROR(INDEX($L$2:$L$801,MATCH(A657,$K$2:$K$801,0)),"Não verificada"))</f>
        <v/>
      </c>
      <c r="D657" s="11" t="str">
        <f aca="false">IF(AND(A657&lt;&gt;"",C657&lt;&gt;"Tem foto"),MAX(D$1:D656)+1,"")</f>
        <v/>
      </c>
      <c r="F657" s="26" t="str">
        <f aca="false">IF($I$4=0,"",IF(655&lt;=$I$4,"    """&amp;INDEX($A$2:$A$801,MATCH(655,$D$2:$D$801,0))&amp;""",",IF(655=$I$4+1,"]","")))</f>
        <v/>
      </c>
    </row>
    <row r="658" customFormat="false" ht="15" hidden="false" customHeight="false" outlineLevel="0" collapsed="false">
      <c r="A658" s="11" t="str">
        <f aca="false">IF(INVENTÁRIO!A658="","",INVENTÁRIO!A658)</f>
        <v/>
      </c>
      <c r="B658" s="11" t="str">
        <f aca="false">IF(A658="","",INVENTÁRIO!B658)</f>
        <v/>
      </c>
      <c r="C658" s="16" t="str">
        <f aca="false">IF(A658="","",IFERROR(INDEX($L$2:$L$801,MATCH(A658,$K$2:$K$801,0)),"Não verificada"))</f>
        <v/>
      </c>
      <c r="D658" s="11" t="str">
        <f aca="false">IF(AND(A658&lt;&gt;"",C658&lt;&gt;"Tem foto"),MAX(D$1:D657)+1,"")</f>
        <v/>
      </c>
      <c r="F658" s="26" t="str">
        <f aca="false">IF($I$4=0,"",IF(656&lt;=$I$4,"    """&amp;INDEX($A$2:$A$801,MATCH(656,$D$2:$D$801,0))&amp;""",",IF(656=$I$4+1,"]","")))</f>
        <v/>
      </c>
    </row>
    <row r="659" customFormat="false" ht="15" hidden="false" customHeight="false" outlineLevel="0" collapsed="false">
      <c r="A659" s="11" t="str">
        <f aca="false">IF(INVENTÁRIO!A659="","",INVENTÁRIO!A659)</f>
        <v/>
      </c>
      <c r="B659" s="11" t="str">
        <f aca="false">IF(A659="","",INVENTÁRIO!B659)</f>
        <v/>
      </c>
      <c r="C659" s="16" t="str">
        <f aca="false">IF(A659="","",IFERROR(INDEX($L$2:$L$801,MATCH(A659,$K$2:$K$801,0)),"Não verificada"))</f>
        <v/>
      </c>
      <c r="D659" s="11" t="str">
        <f aca="false">IF(AND(A659&lt;&gt;"",C659&lt;&gt;"Tem foto"),MAX(D$1:D658)+1,"")</f>
        <v/>
      </c>
      <c r="F659" s="26" t="str">
        <f aca="false">IF($I$4=0,"",IF(657&lt;=$I$4,"    """&amp;INDEX($A$2:$A$801,MATCH(657,$D$2:$D$801,0))&amp;""",",IF(657=$I$4+1,"]","")))</f>
        <v/>
      </c>
    </row>
    <row r="660" customFormat="false" ht="15" hidden="false" customHeight="false" outlineLevel="0" collapsed="false">
      <c r="A660" s="11" t="str">
        <f aca="false">IF(INVENTÁRIO!A660="","",INVENTÁRIO!A660)</f>
        <v/>
      </c>
      <c r="B660" s="11" t="str">
        <f aca="false">IF(A660="","",INVENTÁRIO!B660)</f>
        <v/>
      </c>
      <c r="C660" s="16" t="str">
        <f aca="false">IF(A660="","",IFERROR(INDEX($L$2:$L$801,MATCH(A660,$K$2:$K$801,0)),"Não verificada"))</f>
        <v/>
      </c>
      <c r="D660" s="11" t="str">
        <f aca="false">IF(AND(A660&lt;&gt;"",C660&lt;&gt;"Tem foto"),MAX(D$1:D659)+1,"")</f>
        <v/>
      </c>
      <c r="F660" s="26" t="str">
        <f aca="false">IF($I$4=0,"",IF(658&lt;=$I$4,"    """&amp;INDEX($A$2:$A$801,MATCH(658,$D$2:$D$801,0))&amp;""",",IF(658=$I$4+1,"]","")))</f>
        <v/>
      </c>
    </row>
    <row r="661" customFormat="false" ht="15" hidden="false" customHeight="false" outlineLevel="0" collapsed="false">
      <c r="A661" s="11" t="str">
        <f aca="false">IF(INVENTÁRIO!A661="","",INVENTÁRIO!A661)</f>
        <v/>
      </c>
      <c r="B661" s="11" t="str">
        <f aca="false">IF(A661="","",INVENTÁRIO!B661)</f>
        <v/>
      </c>
      <c r="C661" s="16" t="str">
        <f aca="false">IF(A661="","",IFERROR(INDEX($L$2:$L$801,MATCH(A661,$K$2:$K$801,0)),"Não verificada"))</f>
        <v/>
      </c>
      <c r="D661" s="11" t="str">
        <f aca="false">IF(AND(A661&lt;&gt;"",C661&lt;&gt;"Tem foto"),MAX(D$1:D660)+1,"")</f>
        <v/>
      </c>
      <c r="F661" s="26" t="str">
        <f aca="false">IF($I$4=0,"",IF(659&lt;=$I$4,"    """&amp;INDEX($A$2:$A$801,MATCH(659,$D$2:$D$801,0))&amp;""",",IF(659=$I$4+1,"]","")))</f>
        <v/>
      </c>
    </row>
    <row r="662" customFormat="false" ht="15" hidden="false" customHeight="false" outlineLevel="0" collapsed="false">
      <c r="A662" s="11" t="str">
        <f aca="false">IF(INVENTÁRIO!A662="","",INVENTÁRIO!A662)</f>
        <v/>
      </c>
      <c r="B662" s="11" t="str">
        <f aca="false">IF(A662="","",INVENTÁRIO!B662)</f>
        <v/>
      </c>
      <c r="C662" s="16" t="str">
        <f aca="false">IF(A662="","",IFERROR(INDEX($L$2:$L$801,MATCH(A662,$K$2:$K$801,0)),"Não verificada"))</f>
        <v/>
      </c>
      <c r="D662" s="11" t="str">
        <f aca="false">IF(AND(A662&lt;&gt;"",C662&lt;&gt;"Tem foto"),MAX(D$1:D661)+1,"")</f>
        <v/>
      </c>
      <c r="F662" s="26" t="str">
        <f aca="false">IF($I$4=0,"",IF(660&lt;=$I$4,"    """&amp;INDEX($A$2:$A$801,MATCH(660,$D$2:$D$801,0))&amp;""",",IF(660=$I$4+1,"]","")))</f>
        <v/>
      </c>
    </row>
    <row r="663" customFormat="false" ht="15" hidden="false" customHeight="false" outlineLevel="0" collapsed="false">
      <c r="A663" s="11" t="str">
        <f aca="false">IF(INVENTÁRIO!A663="","",INVENTÁRIO!A663)</f>
        <v/>
      </c>
      <c r="B663" s="11" t="str">
        <f aca="false">IF(A663="","",INVENTÁRIO!B663)</f>
        <v/>
      </c>
      <c r="C663" s="16" t="str">
        <f aca="false">IF(A663="","",IFERROR(INDEX($L$2:$L$801,MATCH(A663,$K$2:$K$801,0)),"Não verificada"))</f>
        <v/>
      </c>
      <c r="D663" s="11" t="str">
        <f aca="false">IF(AND(A663&lt;&gt;"",C663&lt;&gt;"Tem foto"),MAX(D$1:D662)+1,"")</f>
        <v/>
      </c>
      <c r="F663" s="26" t="str">
        <f aca="false">IF($I$4=0,"",IF(661&lt;=$I$4,"    """&amp;INDEX($A$2:$A$801,MATCH(661,$D$2:$D$801,0))&amp;""",",IF(661=$I$4+1,"]","")))</f>
        <v/>
      </c>
    </row>
    <row r="664" customFormat="false" ht="15" hidden="false" customHeight="false" outlineLevel="0" collapsed="false">
      <c r="A664" s="11" t="str">
        <f aca="false">IF(INVENTÁRIO!A664="","",INVENTÁRIO!A664)</f>
        <v/>
      </c>
      <c r="B664" s="11" t="str">
        <f aca="false">IF(A664="","",INVENTÁRIO!B664)</f>
        <v/>
      </c>
      <c r="C664" s="16" t="str">
        <f aca="false">IF(A664="","",IFERROR(INDEX($L$2:$L$801,MATCH(A664,$K$2:$K$801,0)),"Não verificada"))</f>
        <v/>
      </c>
      <c r="D664" s="11" t="str">
        <f aca="false">IF(AND(A664&lt;&gt;"",C664&lt;&gt;"Tem foto"),MAX(D$1:D663)+1,"")</f>
        <v/>
      </c>
      <c r="F664" s="26" t="str">
        <f aca="false">IF($I$4=0,"",IF(662&lt;=$I$4,"    """&amp;INDEX($A$2:$A$801,MATCH(662,$D$2:$D$801,0))&amp;""",",IF(662=$I$4+1,"]","")))</f>
        <v/>
      </c>
    </row>
    <row r="665" customFormat="false" ht="15" hidden="false" customHeight="false" outlineLevel="0" collapsed="false">
      <c r="A665" s="11" t="str">
        <f aca="false">IF(INVENTÁRIO!A665="","",INVENTÁRIO!A665)</f>
        <v/>
      </c>
      <c r="B665" s="11" t="str">
        <f aca="false">IF(A665="","",INVENTÁRIO!B665)</f>
        <v/>
      </c>
      <c r="C665" s="16" t="str">
        <f aca="false">IF(A665="","",IFERROR(INDEX($L$2:$L$801,MATCH(A665,$K$2:$K$801,0)),"Não verificada"))</f>
        <v/>
      </c>
      <c r="D665" s="11" t="str">
        <f aca="false">IF(AND(A665&lt;&gt;"",C665&lt;&gt;"Tem foto"),MAX(D$1:D664)+1,"")</f>
        <v/>
      </c>
      <c r="F665" s="26" t="str">
        <f aca="false">IF($I$4=0,"",IF(663&lt;=$I$4,"    """&amp;INDEX($A$2:$A$801,MATCH(663,$D$2:$D$801,0))&amp;""",",IF(663=$I$4+1,"]","")))</f>
        <v/>
      </c>
    </row>
    <row r="666" customFormat="false" ht="15" hidden="false" customHeight="false" outlineLevel="0" collapsed="false">
      <c r="A666" s="11" t="str">
        <f aca="false">IF(INVENTÁRIO!A666="","",INVENTÁRIO!A666)</f>
        <v/>
      </c>
      <c r="B666" s="11" t="str">
        <f aca="false">IF(A666="","",INVENTÁRIO!B666)</f>
        <v/>
      </c>
      <c r="C666" s="16" t="str">
        <f aca="false">IF(A666="","",IFERROR(INDEX($L$2:$L$801,MATCH(A666,$K$2:$K$801,0)),"Não verificada"))</f>
        <v/>
      </c>
      <c r="D666" s="11" t="str">
        <f aca="false">IF(AND(A666&lt;&gt;"",C666&lt;&gt;"Tem foto"),MAX(D$1:D665)+1,"")</f>
        <v/>
      </c>
      <c r="F666" s="26" t="str">
        <f aca="false">IF($I$4=0,"",IF(664&lt;=$I$4,"    """&amp;INDEX($A$2:$A$801,MATCH(664,$D$2:$D$801,0))&amp;""",",IF(664=$I$4+1,"]","")))</f>
        <v/>
      </c>
    </row>
    <row r="667" customFormat="false" ht="15" hidden="false" customHeight="false" outlineLevel="0" collapsed="false">
      <c r="A667" s="11" t="str">
        <f aca="false">IF(INVENTÁRIO!A667="","",INVENTÁRIO!A667)</f>
        <v/>
      </c>
      <c r="B667" s="11" t="str">
        <f aca="false">IF(A667="","",INVENTÁRIO!B667)</f>
        <v/>
      </c>
      <c r="C667" s="16" t="str">
        <f aca="false">IF(A667="","",IFERROR(INDEX($L$2:$L$801,MATCH(A667,$K$2:$K$801,0)),"Não verificada"))</f>
        <v/>
      </c>
      <c r="D667" s="11" t="str">
        <f aca="false">IF(AND(A667&lt;&gt;"",C667&lt;&gt;"Tem foto"),MAX(D$1:D666)+1,"")</f>
        <v/>
      </c>
      <c r="F667" s="26" t="str">
        <f aca="false">IF($I$4=0,"",IF(665&lt;=$I$4,"    """&amp;INDEX($A$2:$A$801,MATCH(665,$D$2:$D$801,0))&amp;""",",IF(665=$I$4+1,"]","")))</f>
        <v/>
      </c>
    </row>
    <row r="668" customFormat="false" ht="15" hidden="false" customHeight="false" outlineLevel="0" collapsed="false">
      <c r="A668" s="11" t="str">
        <f aca="false">IF(INVENTÁRIO!A668="","",INVENTÁRIO!A668)</f>
        <v/>
      </c>
      <c r="B668" s="11" t="str">
        <f aca="false">IF(A668="","",INVENTÁRIO!B668)</f>
        <v/>
      </c>
      <c r="C668" s="16" t="str">
        <f aca="false">IF(A668="","",IFERROR(INDEX($L$2:$L$801,MATCH(A668,$K$2:$K$801,0)),"Não verificada"))</f>
        <v/>
      </c>
      <c r="D668" s="11" t="str">
        <f aca="false">IF(AND(A668&lt;&gt;"",C668&lt;&gt;"Tem foto"),MAX(D$1:D667)+1,"")</f>
        <v/>
      </c>
      <c r="F668" s="26" t="str">
        <f aca="false">IF($I$4=0,"",IF(666&lt;=$I$4,"    """&amp;INDEX($A$2:$A$801,MATCH(666,$D$2:$D$801,0))&amp;""",",IF(666=$I$4+1,"]","")))</f>
        <v/>
      </c>
    </row>
    <row r="669" customFormat="false" ht="15" hidden="false" customHeight="false" outlineLevel="0" collapsed="false">
      <c r="A669" s="11" t="str">
        <f aca="false">IF(INVENTÁRIO!A669="","",INVENTÁRIO!A669)</f>
        <v/>
      </c>
      <c r="B669" s="11" t="str">
        <f aca="false">IF(A669="","",INVENTÁRIO!B669)</f>
        <v/>
      </c>
      <c r="C669" s="16" t="str">
        <f aca="false">IF(A669="","",IFERROR(INDEX($L$2:$L$801,MATCH(A669,$K$2:$K$801,0)),"Não verificada"))</f>
        <v/>
      </c>
      <c r="D669" s="11" t="str">
        <f aca="false">IF(AND(A669&lt;&gt;"",C669&lt;&gt;"Tem foto"),MAX(D$1:D668)+1,"")</f>
        <v/>
      </c>
      <c r="F669" s="26" t="str">
        <f aca="false">IF($I$4=0,"",IF(667&lt;=$I$4,"    """&amp;INDEX($A$2:$A$801,MATCH(667,$D$2:$D$801,0))&amp;""",",IF(667=$I$4+1,"]","")))</f>
        <v/>
      </c>
    </row>
    <row r="670" customFormat="false" ht="15" hidden="false" customHeight="false" outlineLevel="0" collapsed="false">
      <c r="A670" s="11" t="str">
        <f aca="false">IF(INVENTÁRIO!A670="","",INVENTÁRIO!A670)</f>
        <v/>
      </c>
      <c r="B670" s="11" t="str">
        <f aca="false">IF(A670="","",INVENTÁRIO!B670)</f>
        <v/>
      </c>
      <c r="C670" s="16" t="str">
        <f aca="false">IF(A670="","",IFERROR(INDEX($L$2:$L$801,MATCH(A670,$K$2:$K$801,0)),"Não verificada"))</f>
        <v/>
      </c>
      <c r="D670" s="11" t="str">
        <f aca="false">IF(AND(A670&lt;&gt;"",C670&lt;&gt;"Tem foto"),MAX(D$1:D669)+1,"")</f>
        <v/>
      </c>
      <c r="F670" s="26" t="str">
        <f aca="false">IF($I$4=0,"",IF(668&lt;=$I$4,"    """&amp;INDEX($A$2:$A$801,MATCH(668,$D$2:$D$801,0))&amp;""",",IF(668=$I$4+1,"]","")))</f>
        <v/>
      </c>
    </row>
    <row r="671" customFormat="false" ht="15" hidden="false" customHeight="false" outlineLevel="0" collapsed="false">
      <c r="A671" s="11" t="str">
        <f aca="false">IF(INVENTÁRIO!A671="","",INVENTÁRIO!A671)</f>
        <v/>
      </c>
      <c r="B671" s="11" t="str">
        <f aca="false">IF(A671="","",INVENTÁRIO!B671)</f>
        <v/>
      </c>
      <c r="C671" s="16" t="str">
        <f aca="false">IF(A671="","",IFERROR(INDEX($L$2:$L$801,MATCH(A671,$K$2:$K$801,0)),"Não verificada"))</f>
        <v/>
      </c>
      <c r="D671" s="11" t="str">
        <f aca="false">IF(AND(A671&lt;&gt;"",C671&lt;&gt;"Tem foto"),MAX(D$1:D670)+1,"")</f>
        <v/>
      </c>
      <c r="F671" s="26" t="str">
        <f aca="false">IF($I$4=0,"",IF(669&lt;=$I$4,"    """&amp;INDEX($A$2:$A$801,MATCH(669,$D$2:$D$801,0))&amp;""",",IF(669=$I$4+1,"]","")))</f>
        <v/>
      </c>
    </row>
    <row r="672" customFormat="false" ht="15" hidden="false" customHeight="false" outlineLevel="0" collapsed="false">
      <c r="A672" s="11" t="str">
        <f aca="false">IF(INVENTÁRIO!A672="","",INVENTÁRIO!A672)</f>
        <v/>
      </c>
      <c r="B672" s="11" t="str">
        <f aca="false">IF(A672="","",INVENTÁRIO!B672)</f>
        <v/>
      </c>
      <c r="C672" s="16" t="str">
        <f aca="false">IF(A672="","",IFERROR(INDEX($L$2:$L$801,MATCH(A672,$K$2:$K$801,0)),"Não verificada"))</f>
        <v/>
      </c>
      <c r="D672" s="11" t="str">
        <f aca="false">IF(AND(A672&lt;&gt;"",C672&lt;&gt;"Tem foto"),MAX(D$1:D671)+1,"")</f>
        <v/>
      </c>
      <c r="F672" s="26" t="str">
        <f aca="false">IF($I$4=0,"",IF(670&lt;=$I$4,"    """&amp;INDEX($A$2:$A$801,MATCH(670,$D$2:$D$801,0))&amp;""",",IF(670=$I$4+1,"]","")))</f>
        <v/>
      </c>
    </row>
    <row r="673" customFormat="false" ht="15" hidden="false" customHeight="false" outlineLevel="0" collapsed="false">
      <c r="A673" s="11" t="str">
        <f aca="false">IF(INVENTÁRIO!A673="","",INVENTÁRIO!A673)</f>
        <v/>
      </c>
      <c r="B673" s="11" t="str">
        <f aca="false">IF(A673="","",INVENTÁRIO!B673)</f>
        <v/>
      </c>
      <c r="C673" s="16" t="str">
        <f aca="false">IF(A673="","",IFERROR(INDEX($L$2:$L$801,MATCH(A673,$K$2:$K$801,0)),"Não verificada"))</f>
        <v/>
      </c>
      <c r="D673" s="11" t="str">
        <f aca="false">IF(AND(A673&lt;&gt;"",C673&lt;&gt;"Tem foto"),MAX(D$1:D672)+1,"")</f>
        <v/>
      </c>
      <c r="F673" s="26" t="str">
        <f aca="false">IF($I$4=0,"",IF(671&lt;=$I$4,"    """&amp;INDEX($A$2:$A$801,MATCH(671,$D$2:$D$801,0))&amp;""",",IF(671=$I$4+1,"]","")))</f>
        <v/>
      </c>
    </row>
    <row r="674" customFormat="false" ht="15" hidden="false" customHeight="false" outlineLevel="0" collapsed="false">
      <c r="A674" s="11" t="str">
        <f aca="false">IF(INVENTÁRIO!A674="","",INVENTÁRIO!A674)</f>
        <v/>
      </c>
      <c r="B674" s="11" t="str">
        <f aca="false">IF(A674="","",INVENTÁRIO!B674)</f>
        <v/>
      </c>
      <c r="C674" s="16" t="str">
        <f aca="false">IF(A674="","",IFERROR(INDEX($L$2:$L$801,MATCH(A674,$K$2:$K$801,0)),"Não verificada"))</f>
        <v/>
      </c>
      <c r="D674" s="11" t="str">
        <f aca="false">IF(AND(A674&lt;&gt;"",C674&lt;&gt;"Tem foto"),MAX(D$1:D673)+1,"")</f>
        <v/>
      </c>
      <c r="F674" s="26" t="str">
        <f aca="false">IF($I$4=0,"",IF(672&lt;=$I$4,"    """&amp;INDEX($A$2:$A$801,MATCH(672,$D$2:$D$801,0))&amp;""",",IF(672=$I$4+1,"]","")))</f>
        <v/>
      </c>
    </row>
    <row r="675" customFormat="false" ht="15" hidden="false" customHeight="false" outlineLevel="0" collapsed="false">
      <c r="A675" s="11" t="str">
        <f aca="false">IF(INVENTÁRIO!A675="","",INVENTÁRIO!A675)</f>
        <v/>
      </c>
      <c r="B675" s="11" t="str">
        <f aca="false">IF(A675="","",INVENTÁRIO!B675)</f>
        <v/>
      </c>
      <c r="C675" s="16" t="str">
        <f aca="false">IF(A675="","",IFERROR(INDEX($L$2:$L$801,MATCH(A675,$K$2:$K$801,0)),"Não verificada"))</f>
        <v/>
      </c>
      <c r="D675" s="11" t="str">
        <f aca="false">IF(AND(A675&lt;&gt;"",C675&lt;&gt;"Tem foto"),MAX(D$1:D674)+1,"")</f>
        <v/>
      </c>
      <c r="F675" s="26" t="str">
        <f aca="false">IF($I$4=0,"",IF(673&lt;=$I$4,"    """&amp;INDEX($A$2:$A$801,MATCH(673,$D$2:$D$801,0))&amp;""",",IF(673=$I$4+1,"]","")))</f>
        <v/>
      </c>
    </row>
    <row r="676" customFormat="false" ht="15" hidden="false" customHeight="false" outlineLevel="0" collapsed="false">
      <c r="A676" s="11" t="str">
        <f aca="false">IF(INVENTÁRIO!A676="","",INVENTÁRIO!A676)</f>
        <v/>
      </c>
      <c r="B676" s="11" t="str">
        <f aca="false">IF(A676="","",INVENTÁRIO!B676)</f>
        <v/>
      </c>
      <c r="C676" s="16" t="str">
        <f aca="false">IF(A676="","",IFERROR(INDEX($L$2:$L$801,MATCH(A676,$K$2:$K$801,0)),"Não verificada"))</f>
        <v/>
      </c>
      <c r="D676" s="11" t="str">
        <f aca="false">IF(AND(A676&lt;&gt;"",C676&lt;&gt;"Tem foto"),MAX(D$1:D675)+1,"")</f>
        <v/>
      </c>
      <c r="F676" s="26" t="str">
        <f aca="false">IF($I$4=0,"",IF(674&lt;=$I$4,"    """&amp;INDEX($A$2:$A$801,MATCH(674,$D$2:$D$801,0))&amp;""",",IF(674=$I$4+1,"]","")))</f>
        <v/>
      </c>
    </row>
    <row r="677" customFormat="false" ht="15" hidden="false" customHeight="false" outlineLevel="0" collapsed="false">
      <c r="A677" s="11" t="str">
        <f aca="false">IF(INVENTÁRIO!A677="","",INVENTÁRIO!A677)</f>
        <v/>
      </c>
      <c r="B677" s="11" t="str">
        <f aca="false">IF(A677="","",INVENTÁRIO!B677)</f>
        <v/>
      </c>
      <c r="C677" s="16" t="str">
        <f aca="false">IF(A677="","",IFERROR(INDEX($L$2:$L$801,MATCH(A677,$K$2:$K$801,0)),"Não verificada"))</f>
        <v/>
      </c>
      <c r="D677" s="11" t="str">
        <f aca="false">IF(AND(A677&lt;&gt;"",C677&lt;&gt;"Tem foto"),MAX(D$1:D676)+1,"")</f>
        <v/>
      </c>
      <c r="F677" s="26" t="str">
        <f aca="false">IF($I$4=0,"",IF(675&lt;=$I$4,"    """&amp;INDEX($A$2:$A$801,MATCH(675,$D$2:$D$801,0))&amp;""",",IF(675=$I$4+1,"]","")))</f>
        <v/>
      </c>
    </row>
    <row r="678" customFormat="false" ht="15" hidden="false" customHeight="false" outlineLevel="0" collapsed="false">
      <c r="A678" s="11" t="str">
        <f aca="false">IF(INVENTÁRIO!A678="","",INVENTÁRIO!A678)</f>
        <v/>
      </c>
      <c r="B678" s="11" t="str">
        <f aca="false">IF(A678="","",INVENTÁRIO!B678)</f>
        <v/>
      </c>
      <c r="C678" s="16" t="str">
        <f aca="false">IF(A678="","",IFERROR(INDEX($L$2:$L$801,MATCH(A678,$K$2:$K$801,0)),"Não verificada"))</f>
        <v/>
      </c>
      <c r="D678" s="11" t="str">
        <f aca="false">IF(AND(A678&lt;&gt;"",C678&lt;&gt;"Tem foto"),MAX(D$1:D677)+1,"")</f>
        <v/>
      </c>
      <c r="F678" s="26" t="str">
        <f aca="false">IF($I$4=0,"",IF(676&lt;=$I$4,"    """&amp;INDEX($A$2:$A$801,MATCH(676,$D$2:$D$801,0))&amp;""",",IF(676=$I$4+1,"]","")))</f>
        <v/>
      </c>
    </row>
    <row r="679" customFormat="false" ht="15" hidden="false" customHeight="false" outlineLevel="0" collapsed="false">
      <c r="A679" s="11" t="str">
        <f aca="false">IF(INVENTÁRIO!A679="","",INVENTÁRIO!A679)</f>
        <v/>
      </c>
      <c r="B679" s="11" t="str">
        <f aca="false">IF(A679="","",INVENTÁRIO!B679)</f>
        <v/>
      </c>
      <c r="C679" s="16" t="str">
        <f aca="false">IF(A679="","",IFERROR(INDEX($L$2:$L$801,MATCH(A679,$K$2:$K$801,0)),"Não verificada"))</f>
        <v/>
      </c>
      <c r="D679" s="11" t="str">
        <f aca="false">IF(AND(A679&lt;&gt;"",C679&lt;&gt;"Tem foto"),MAX(D$1:D678)+1,"")</f>
        <v/>
      </c>
      <c r="F679" s="26" t="str">
        <f aca="false">IF($I$4=0,"",IF(677&lt;=$I$4,"    """&amp;INDEX($A$2:$A$801,MATCH(677,$D$2:$D$801,0))&amp;""",",IF(677=$I$4+1,"]","")))</f>
        <v/>
      </c>
    </row>
    <row r="680" customFormat="false" ht="15" hidden="false" customHeight="false" outlineLevel="0" collapsed="false">
      <c r="A680" s="11" t="str">
        <f aca="false">IF(INVENTÁRIO!A680="","",INVENTÁRIO!A680)</f>
        <v/>
      </c>
      <c r="B680" s="11" t="str">
        <f aca="false">IF(A680="","",INVENTÁRIO!B680)</f>
        <v/>
      </c>
      <c r="C680" s="16" t="str">
        <f aca="false">IF(A680="","",IFERROR(INDEX($L$2:$L$801,MATCH(A680,$K$2:$K$801,0)),"Não verificada"))</f>
        <v/>
      </c>
      <c r="D680" s="11" t="str">
        <f aca="false">IF(AND(A680&lt;&gt;"",C680&lt;&gt;"Tem foto"),MAX(D$1:D679)+1,"")</f>
        <v/>
      </c>
      <c r="F680" s="26" t="str">
        <f aca="false">IF($I$4=0,"",IF(678&lt;=$I$4,"    """&amp;INDEX($A$2:$A$801,MATCH(678,$D$2:$D$801,0))&amp;""",",IF(678=$I$4+1,"]","")))</f>
        <v/>
      </c>
    </row>
    <row r="681" customFormat="false" ht="15" hidden="false" customHeight="false" outlineLevel="0" collapsed="false">
      <c r="A681" s="11" t="str">
        <f aca="false">IF(INVENTÁRIO!A681="","",INVENTÁRIO!A681)</f>
        <v/>
      </c>
      <c r="B681" s="11" t="str">
        <f aca="false">IF(A681="","",INVENTÁRIO!B681)</f>
        <v/>
      </c>
      <c r="C681" s="16" t="str">
        <f aca="false">IF(A681="","",IFERROR(INDEX($L$2:$L$801,MATCH(A681,$K$2:$K$801,0)),"Não verificada"))</f>
        <v/>
      </c>
      <c r="D681" s="11" t="str">
        <f aca="false">IF(AND(A681&lt;&gt;"",C681&lt;&gt;"Tem foto"),MAX(D$1:D680)+1,"")</f>
        <v/>
      </c>
      <c r="F681" s="26" t="str">
        <f aca="false">IF($I$4=0,"",IF(679&lt;=$I$4,"    """&amp;INDEX($A$2:$A$801,MATCH(679,$D$2:$D$801,0))&amp;""",",IF(679=$I$4+1,"]","")))</f>
        <v/>
      </c>
    </row>
    <row r="682" customFormat="false" ht="15" hidden="false" customHeight="false" outlineLevel="0" collapsed="false">
      <c r="A682" s="11" t="str">
        <f aca="false">IF(INVENTÁRIO!A682="","",INVENTÁRIO!A682)</f>
        <v/>
      </c>
      <c r="B682" s="11" t="str">
        <f aca="false">IF(A682="","",INVENTÁRIO!B682)</f>
        <v/>
      </c>
      <c r="C682" s="16" t="str">
        <f aca="false">IF(A682="","",IFERROR(INDEX($L$2:$L$801,MATCH(A682,$K$2:$K$801,0)),"Não verificada"))</f>
        <v/>
      </c>
      <c r="D682" s="11" t="str">
        <f aca="false">IF(AND(A682&lt;&gt;"",C682&lt;&gt;"Tem foto"),MAX(D$1:D681)+1,"")</f>
        <v/>
      </c>
      <c r="F682" s="26" t="str">
        <f aca="false">IF($I$4=0,"",IF(680&lt;=$I$4,"    """&amp;INDEX($A$2:$A$801,MATCH(680,$D$2:$D$801,0))&amp;""",",IF(680=$I$4+1,"]","")))</f>
        <v/>
      </c>
    </row>
    <row r="683" customFormat="false" ht="15" hidden="false" customHeight="false" outlineLevel="0" collapsed="false">
      <c r="A683" s="11" t="str">
        <f aca="false">IF(INVENTÁRIO!A683="","",INVENTÁRIO!A683)</f>
        <v/>
      </c>
      <c r="B683" s="11" t="str">
        <f aca="false">IF(A683="","",INVENTÁRIO!B683)</f>
        <v/>
      </c>
      <c r="C683" s="16" t="str">
        <f aca="false">IF(A683="","",IFERROR(INDEX($L$2:$L$801,MATCH(A683,$K$2:$K$801,0)),"Não verificada"))</f>
        <v/>
      </c>
      <c r="D683" s="11" t="str">
        <f aca="false">IF(AND(A683&lt;&gt;"",C683&lt;&gt;"Tem foto"),MAX(D$1:D682)+1,"")</f>
        <v/>
      </c>
      <c r="F683" s="26" t="str">
        <f aca="false">IF($I$4=0,"",IF(681&lt;=$I$4,"    """&amp;INDEX($A$2:$A$801,MATCH(681,$D$2:$D$801,0))&amp;""",",IF(681=$I$4+1,"]","")))</f>
        <v/>
      </c>
    </row>
    <row r="684" customFormat="false" ht="15" hidden="false" customHeight="false" outlineLevel="0" collapsed="false">
      <c r="A684" s="11" t="str">
        <f aca="false">IF(INVENTÁRIO!A684="","",INVENTÁRIO!A684)</f>
        <v/>
      </c>
      <c r="B684" s="11" t="str">
        <f aca="false">IF(A684="","",INVENTÁRIO!B684)</f>
        <v/>
      </c>
      <c r="C684" s="16" t="str">
        <f aca="false">IF(A684="","",IFERROR(INDEX($L$2:$L$801,MATCH(A684,$K$2:$K$801,0)),"Não verificada"))</f>
        <v/>
      </c>
      <c r="D684" s="11" t="str">
        <f aca="false">IF(AND(A684&lt;&gt;"",C684&lt;&gt;"Tem foto"),MAX(D$1:D683)+1,"")</f>
        <v/>
      </c>
      <c r="F684" s="26" t="str">
        <f aca="false">IF($I$4=0,"",IF(682&lt;=$I$4,"    """&amp;INDEX($A$2:$A$801,MATCH(682,$D$2:$D$801,0))&amp;""",",IF(682=$I$4+1,"]","")))</f>
        <v/>
      </c>
    </row>
    <row r="685" customFormat="false" ht="15" hidden="false" customHeight="false" outlineLevel="0" collapsed="false">
      <c r="A685" s="11" t="str">
        <f aca="false">IF(INVENTÁRIO!A685="","",INVENTÁRIO!A685)</f>
        <v/>
      </c>
      <c r="B685" s="11" t="str">
        <f aca="false">IF(A685="","",INVENTÁRIO!B685)</f>
        <v/>
      </c>
      <c r="C685" s="16" t="str">
        <f aca="false">IF(A685="","",IFERROR(INDEX($L$2:$L$801,MATCH(A685,$K$2:$K$801,0)),"Não verificada"))</f>
        <v/>
      </c>
      <c r="D685" s="11" t="str">
        <f aca="false">IF(AND(A685&lt;&gt;"",C685&lt;&gt;"Tem foto"),MAX(D$1:D684)+1,"")</f>
        <v/>
      </c>
      <c r="F685" s="26" t="str">
        <f aca="false">IF($I$4=0,"",IF(683&lt;=$I$4,"    """&amp;INDEX($A$2:$A$801,MATCH(683,$D$2:$D$801,0))&amp;""",",IF(683=$I$4+1,"]","")))</f>
        <v/>
      </c>
    </row>
    <row r="686" customFormat="false" ht="15" hidden="false" customHeight="false" outlineLevel="0" collapsed="false">
      <c r="A686" s="11" t="str">
        <f aca="false">IF(INVENTÁRIO!A686="","",INVENTÁRIO!A686)</f>
        <v/>
      </c>
      <c r="B686" s="11" t="str">
        <f aca="false">IF(A686="","",INVENTÁRIO!B686)</f>
        <v/>
      </c>
      <c r="C686" s="16" t="str">
        <f aca="false">IF(A686="","",IFERROR(INDEX($L$2:$L$801,MATCH(A686,$K$2:$K$801,0)),"Não verificada"))</f>
        <v/>
      </c>
      <c r="D686" s="11" t="str">
        <f aca="false">IF(AND(A686&lt;&gt;"",C686&lt;&gt;"Tem foto"),MAX(D$1:D685)+1,"")</f>
        <v/>
      </c>
      <c r="F686" s="26" t="str">
        <f aca="false">IF($I$4=0,"",IF(684&lt;=$I$4,"    """&amp;INDEX($A$2:$A$801,MATCH(684,$D$2:$D$801,0))&amp;""",",IF(684=$I$4+1,"]","")))</f>
        <v/>
      </c>
    </row>
    <row r="687" customFormat="false" ht="15" hidden="false" customHeight="false" outlineLevel="0" collapsed="false">
      <c r="A687" s="11" t="str">
        <f aca="false">IF(INVENTÁRIO!A687="","",INVENTÁRIO!A687)</f>
        <v/>
      </c>
      <c r="B687" s="11" t="str">
        <f aca="false">IF(A687="","",INVENTÁRIO!B687)</f>
        <v/>
      </c>
      <c r="C687" s="16" t="str">
        <f aca="false">IF(A687="","",IFERROR(INDEX($L$2:$L$801,MATCH(A687,$K$2:$K$801,0)),"Não verificada"))</f>
        <v/>
      </c>
      <c r="D687" s="11" t="str">
        <f aca="false">IF(AND(A687&lt;&gt;"",C687&lt;&gt;"Tem foto"),MAX(D$1:D686)+1,"")</f>
        <v/>
      </c>
      <c r="F687" s="26" t="str">
        <f aca="false">IF($I$4=0,"",IF(685&lt;=$I$4,"    """&amp;INDEX($A$2:$A$801,MATCH(685,$D$2:$D$801,0))&amp;""",",IF(685=$I$4+1,"]","")))</f>
        <v/>
      </c>
    </row>
    <row r="688" customFormat="false" ht="15" hidden="false" customHeight="false" outlineLevel="0" collapsed="false">
      <c r="A688" s="11" t="str">
        <f aca="false">IF(INVENTÁRIO!A688="","",INVENTÁRIO!A688)</f>
        <v/>
      </c>
      <c r="B688" s="11" t="str">
        <f aca="false">IF(A688="","",INVENTÁRIO!B688)</f>
        <v/>
      </c>
      <c r="C688" s="16" t="str">
        <f aca="false">IF(A688="","",IFERROR(INDEX($L$2:$L$801,MATCH(A688,$K$2:$K$801,0)),"Não verificada"))</f>
        <v/>
      </c>
      <c r="D688" s="11" t="str">
        <f aca="false">IF(AND(A688&lt;&gt;"",C688&lt;&gt;"Tem foto"),MAX(D$1:D687)+1,"")</f>
        <v/>
      </c>
      <c r="F688" s="26" t="str">
        <f aca="false">IF($I$4=0,"",IF(686&lt;=$I$4,"    """&amp;INDEX($A$2:$A$801,MATCH(686,$D$2:$D$801,0))&amp;""",",IF(686=$I$4+1,"]","")))</f>
        <v/>
      </c>
    </row>
    <row r="689" customFormat="false" ht="15" hidden="false" customHeight="false" outlineLevel="0" collapsed="false">
      <c r="A689" s="11" t="str">
        <f aca="false">IF(INVENTÁRIO!A689="","",INVENTÁRIO!A689)</f>
        <v/>
      </c>
      <c r="B689" s="11" t="str">
        <f aca="false">IF(A689="","",INVENTÁRIO!B689)</f>
        <v/>
      </c>
      <c r="C689" s="16" t="str">
        <f aca="false">IF(A689="","",IFERROR(INDEX($L$2:$L$801,MATCH(A689,$K$2:$K$801,0)),"Não verificada"))</f>
        <v/>
      </c>
      <c r="D689" s="11" t="str">
        <f aca="false">IF(AND(A689&lt;&gt;"",C689&lt;&gt;"Tem foto"),MAX(D$1:D688)+1,"")</f>
        <v/>
      </c>
      <c r="F689" s="26" t="str">
        <f aca="false">IF($I$4=0,"",IF(687&lt;=$I$4,"    """&amp;INDEX($A$2:$A$801,MATCH(687,$D$2:$D$801,0))&amp;""",",IF(687=$I$4+1,"]","")))</f>
        <v/>
      </c>
    </row>
    <row r="690" customFormat="false" ht="15" hidden="false" customHeight="false" outlineLevel="0" collapsed="false">
      <c r="A690" s="11" t="str">
        <f aca="false">IF(INVENTÁRIO!A690="","",INVENTÁRIO!A690)</f>
        <v/>
      </c>
      <c r="B690" s="11" t="str">
        <f aca="false">IF(A690="","",INVENTÁRIO!B690)</f>
        <v/>
      </c>
      <c r="C690" s="16" t="str">
        <f aca="false">IF(A690="","",IFERROR(INDEX($L$2:$L$801,MATCH(A690,$K$2:$K$801,0)),"Não verificada"))</f>
        <v/>
      </c>
      <c r="D690" s="11" t="str">
        <f aca="false">IF(AND(A690&lt;&gt;"",C690&lt;&gt;"Tem foto"),MAX(D$1:D689)+1,"")</f>
        <v/>
      </c>
      <c r="F690" s="26" t="str">
        <f aca="false">IF($I$4=0,"",IF(688&lt;=$I$4,"    """&amp;INDEX($A$2:$A$801,MATCH(688,$D$2:$D$801,0))&amp;""",",IF(688=$I$4+1,"]","")))</f>
        <v/>
      </c>
    </row>
    <row r="691" customFormat="false" ht="15" hidden="false" customHeight="false" outlineLevel="0" collapsed="false">
      <c r="A691" s="11" t="str">
        <f aca="false">IF(INVENTÁRIO!A691="","",INVENTÁRIO!A691)</f>
        <v/>
      </c>
      <c r="B691" s="11" t="str">
        <f aca="false">IF(A691="","",INVENTÁRIO!B691)</f>
        <v/>
      </c>
      <c r="C691" s="16" t="str">
        <f aca="false">IF(A691="","",IFERROR(INDEX($L$2:$L$801,MATCH(A691,$K$2:$K$801,0)),"Não verificada"))</f>
        <v/>
      </c>
      <c r="D691" s="11" t="str">
        <f aca="false">IF(AND(A691&lt;&gt;"",C691&lt;&gt;"Tem foto"),MAX(D$1:D690)+1,"")</f>
        <v/>
      </c>
      <c r="F691" s="26" t="str">
        <f aca="false">IF($I$4=0,"",IF(689&lt;=$I$4,"    """&amp;INDEX($A$2:$A$801,MATCH(689,$D$2:$D$801,0))&amp;""",",IF(689=$I$4+1,"]","")))</f>
        <v/>
      </c>
    </row>
    <row r="692" customFormat="false" ht="15" hidden="false" customHeight="false" outlineLevel="0" collapsed="false">
      <c r="A692" s="11" t="str">
        <f aca="false">IF(INVENTÁRIO!A692="","",INVENTÁRIO!A692)</f>
        <v/>
      </c>
      <c r="B692" s="11" t="str">
        <f aca="false">IF(A692="","",INVENTÁRIO!B692)</f>
        <v/>
      </c>
      <c r="C692" s="16" t="str">
        <f aca="false">IF(A692="","",IFERROR(INDEX($L$2:$L$801,MATCH(A692,$K$2:$K$801,0)),"Não verificada"))</f>
        <v/>
      </c>
      <c r="D692" s="11" t="str">
        <f aca="false">IF(AND(A692&lt;&gt;"",C692&lt;&gt;"Tem foto"),MAX(D$1:D691)+1,"")</f>
        <v/>
      </c>
      <c r="F692" s="26" t="str">
        <f aca="false">IF($I$4=0,"",IF(690&lt;=$I$4,"    """&amp;INDEX($A$2:$A$801,MATCH(690,$D$2:$D$801,0))&amp;""",",IF(690=$I$4+1,"]","")))</f>
        <v/>
      </c>
    </row>
    <row r="693" customFormat="false" ht="15" hidden="false" customHeight="false" outlineLevel="0" collapsed="false">
      <c r="A693" s="11" t="str">
        <f aca="false">IF(INVENTÁRIO!A693="","",INVENTÁRIO!A693)</f>
        <v/>
      </c>
      <c r="B693" s="11" t="str">
        <f aca="false">IF(A693="","",INVENTÁRIO!B693)</f>
        <v/>
      </c>
      <c r="C693" s="16" t="str">
        <f aca="false">IF(A693="","",IFERROR(INDEX($L$2:$L$801,MATCH(A693,$K$2:$K$801,0)),"Não verificada"))</f>
        <v/>
      </c>
      <c r="D693" s="11" t="str">
        <f aca="false">IF(AND(A693&lt;&gt;"",C693&lt;&gt;"Tem foto"),MAX(D$1:D692)+1,"")</f>
        <v/>
      </c>
      <c r="F693" s="26" t="str">
        <f aca="false">IF($I$4=0,"",IF(691&lt;=$I$4,"    """&amp;INDEX($A$2:$A$801,MATCH(691,$D$2:$D$801,0))&amp;""",",IF(691=$I$4+1,"]","")))</f>
        <v/>
      </c>
    </row>
    <row r="694" customFormat="false" ht="15" hidden="false" customHeight="false" outlineLevel="0" collapsed="false">
      <c r="A694" s="11" t="str">
        <f aca="false">IF(INVENTÁRIO!A694="","",INVENTÁRIO!A694)</f>
        <v/>
      </c>
      <c r="B694" s="11" t="str">
        <f aca="false">IF(A694="","",INVENTÁRIO!B694)</f>
        <v/>
      </c>
      <c r="C694" s="16" t="str">
        <f aca="false">IF(A694="","",IFERROR(INDEX($L$2:$L$801,MATCH(A694,$K$2:$K$801,0)),"Não verificada"))</f>
        <v/>
      </c>
      <c r="D694" s="11" t="str">
        <f aca="false">IF(AND(A694&lt;&gt;"",C694&lt;&gt;"Tem foto"),MAX(D$1:D693)+1,"")</f>
        <v/>
      </c>
      <c r="F694" s="26" t="str">
        <f aca="false">IF($I$4=0,"",IF(692&lt;=$I$4,"    """&amp;INDEX($A$2:$A$801,MATCH(692,$D$2:$D$801,0))&amp;""",",IF(692=$I$4+1,"]","")))</f>
        <v/>
      </c>
    </row>
    <row r="695" customFormat="false" ht="15" hidden="false" customHeight="false" outlineLevel="0" collapsed="false">
      <c r="A695" s="11" t="str">
        <f aca="false">IF(INVENTÁRIO!A695="","",INVENTÁRIO!A695)</f>
        <v/>
      </c>
      <c r="B695" s="11" t="str">
        <f aca="false">IF(A695="","",INVENTÁRIO!B695)</f>
        <v/>
      </c>
      <c r="C695" s="16" t="str">
        <f aca="false">IF(A695="","",IFERROR(INDEX($L$2:$L$801,MATCH(A695,$K$2:$K$801,0)),"Não verificada"))</f>
        <v/>
      </c>
      <c r="D695" s="11" t="str">
        <f aca="false">IF(AND(A695&lt;&gt;"",C695&lt;&gt;"Tem foto"),MAX(D$1:D694)+1,"")</f>
        <v/>
      </c>
      <c r="F695" s="26" t="str">
        <f aca="false">IF($I$4=0,"",IF(693&lt;=$I$4,"    """&amp;INDEX($A$2:$A$801,MATCH(693,$D$2:$D$801,0))&amp;""",",IF(693=$I$4+1,"]","")))</f>
        <v/>
      </c>
    </row>
    <row r="696" customFormat="false" ht="15" hidden="false" customHeight="false" outlineLevel="0" collapsed="false">
      <c r="A696" s="11" t="str">
        <f aca="false">IF(INVENTÁRIO!A696="","",INVENTÁRIO!A696)</f>
        <v/>
      </c>
      <c r="B696" s="11" t="str">
        <f aca="false">IF(A696="","",INVENTÁRIO!B696)</f>
        <v/>
      </c>
      <c r="C696" s="16" t="str">
        <f aca="false">IF(A696="","",IFERROR(INDEX($L$2:$L$801,MATCH(A696,$K$2:$K$801,0)),"Não verificada"))</f>
        <v/>
      </c>
      <c r="D696" s="11" t="str">
        <f aca="false">IF(AND(A696&lt;&gt;"",C696&lt;&gt;"Tem foto"),MAX(D$1:D695)+1,"")</f>
        <v/>
      </c>
      <c r="F696" s="26" t="str">
        <f aca="false">IF($I$4=0,"",IF(694&lt;=$I$4,"    """&amp;INDEX($A$2:$A$801,MATCH(694,$D$2:$D$801,0))&amp;""",",IF(694=$I$4+1,"]","")))</f>
        <v/>
      </c>
    </row>
    <row r="697" customFormat="false" ht="15" hidden="false" customHeight="false" outlineLevel="0" collapsed="false">
      <c r="A697" s="11" t="str">
        <f aca="false">IF(INVENTÁRIO!A697="","",INVENTÁRIO!A697)</f>
        <v/>
      </c>
      <c r="B697" s="11" t="str">
        <f aca="false">IF(A697="","",INVENTÁRIO!B697)</f>
        <v/>
      </c>
      <c r="C697" s="16" t="str">
        <f aca="false">IF(A697="","",IFERROR(INDEX($L$2:$L$801,MATCH(A697,$K$2:$K$801,0)),"Não verificada"))</f>
        <v/>
      </c>
      <c r="D697" s="11" t="str">
        <f aca="false">IF(AND(A697&lt;&gt;"",C697&lt;&gt;"Tem foto"),MAX(D$1:D696)+1,"")</f>
        <v/>
      </c>
      <c r="F697" s="26" t="str">
        <f aca="false">IF($I$4=0,"",IF(695&lt;=$I$4,"    """&amp;INDEX($A$2:$A$801,MATCH(695,$D$2:$D$801,0))&amp;""",",IF(695=$I$4+1,"]","")))</f>
        <v/>
      </c>
    </row>
    <row r="698" customFormat="false" ht="15" hidden="false" customHeight="false" outlineLevel="0" collapsed="false">
      <c r="A698" s="11" t="str">
        <f aca="false">IF(INVENTÁRIO!A698="","",INVENTÁRIO!A698)</f>
        <v/>
      </c>
      <c r="B698" s="11" t="str">
        <f aca="false">IF(A698="","",INVENTÁRIO!B698)</f>
        <v/>
      </c>
      <c r="C698" s="16" t="str">
        <f aca="false">IF(A698="","",IFERROR(INDEX($L$2:$L$801,MATCH(A698,$K$2:$K$801,0)),"Não verificada"))</f>
        <v/>
      </c>
      <c r="D698" s="11" t="str">
        <f aca="false">IF(AND(A698&lt;&gt;"",C698&lt;&gt;"Tem foto"),MAX(D$1:D697)+1,"")</f>
        <v/>
      </c>
      <c r="F698" s="26" t="str">
        <f aca="false">IF($I$4=0,"",IF(696&lt;=$I$4,"    """&amp;INDEX($A$2:$A$801,MATCH(696,$D$2:$D$801,0))&amp;""",",IF(696=$I$4+1,"]","")))</f>
        <v/>
      </c>
    </row>
    <row r="699" customFormat="false" ht="15" hidden="false" customHeight="false" outlineLevel="0" collapsed="false">
      <c r="A699" s="11" t="str">
        <f aca="false">IF(INVENTÁRIO!A699="","",INVENTÁRIO!A699)</f>
        <v/>
      </c>
      <c r="B699" s="11" t="str">
        <f aca="false">IF(A699="","",INVENTÁRIO!B699)</f>
        <v/>
      </c>
      <c r="C699" s="16" t="str">
        <f aca="false">IF(A699="","",IFERROR(INDEX($L$2:$L$801,MATCH(A699,$K$2:$K$801,0)),"Não verificada"))</f>
        <v/>
      </c>
      <c r="D699" s="11" t="str">
        <f aca="false">IF(AND(A699&lt;&gt;"",C699&lt;&gt;"Tem foto"),MAX(D$1:D698)+1,"")</f>
        <v/>
      </c>
      <c r="F699" s="26" t="str">
        <f aca="false">IF($I$4=0,"",IF(697&lt;=$I$4,"    """&amp;INDEX($A$2:$A$801,MATCH(697,$D$2:$D$801,0))&amp;""",",IF(697=$I$4+1,"]","")))</f>
        <v/>
      </c>
    </row>
    <row r="700" customFormat="false" ht="15" hidden="false" customHeight="false" outlineLevel="0" collapsed="false">
      <c r="A700" s="11" t="str">
        <f aca="false">IF(INVENTÁRIO!A700="","",INVENTÁRIO!A700)</f>
        <v/>
      </c>
      <c r="B700" s="11" t="str">
        <f aca="false">IF(A700="","",INVENTÁRIO!B700)</f>
        <v/>
      </c>
      <c r="C700" s="16" t="str">
        <f aca="false">IF(A700="","",IFERROR(INDEX($L$2:$L$801,MATCH(A700,$K$2:$K$801,0)),"Não verificada"))</f>
        <v/>
      </c>
      <c r="D700" s="11" t="str">
        <f aca="false">IF(AND(A700&lt;&gt;"",C700&lt;&gt;"Tem foto"),MAX(D$1:D699)+1,"")</f>
        <v/>
      </c>
      <c r="F700" s="26" t="str">
        <f aca="false">IF($I$4=0,"",IF(698&lt;=$I$4,"    """&amp;INDEX($A$2:$A$801,MATCH(698,$D$2:$D$801,0))&amp;""",",IF(698=$I$4+1,"]","")))</f>
        <v/>
      </c>
    </row>
    <row r="701" customFormat="false" ht="15" hidden="false" customHeight="false" outlineLevel="0" collapsed="false">
      <c r="A701" s="11" t="str">
        <f aca="false">IF(INVENTÁRIO!A701="","",INVENTÁRIO!A701)</f>
        <v/>
      </c>
      <c r="B701" s="11" t="str">
        <f aca="false">IF(A701="","",INVENTÁRIO!B701)</f>
        <v/>
      </c>
      <c r="C701" s="16" t="str">
        <f aca="false">IF(A701="","",IFERROR(INDEX($L$2:$L$801,MATCH(A701,$K$2:$K$801,0)),"Não verificada"))</f>
        <v/>
      </c>
      <c r="D701" s="11" t="str">
        <f aca="false">IF(AND(A701&lt;&gt;"",C701&lt;&gt;"Tem foto"),MAX(D$1:D700)+1,"")</f>
        <v/>
      </c>
      <c r="F701" s="26" t="str">
        <f aca="false">IF($I$4=0,"",IF(699&lt;=$I$4,"    """&amp;INDEX($A$2:$A$801,MATCH(699,$D$2:$D$801,0))&amp;""",",IF(699=$I$4+1,"]","")))</f>
        <v/>
      </c>
    </row>
    <row r="702" customFormat="false" ht="15" hidden="false" customHeight="false" outlineLevel="0" collapsed="false">
      <c r="A702" s="11" t="str">
        <f aca="false">IF(INVENTÁRIO!A702="","",INVENTÁRIO!A702)</f>
        <v/>
      </c>
      <c r="B702" s="11" t="str">
        <f aca="false">IF(A702="","",INVENTÁRIO!B702)</f>
        <v/>
      </c>
      <c r="C702" s="16" t="str">
        <f aca="false">IF(A702="","",IFERROR(INDEX($L$2:$L$801,MATCH(A702,$K$2:$K$801,0)),"Não verificada"))</f>
        <v/>
      </c>
      <c r="D702" s="11" t="str">
        <f aca="false">IF(AND(A702&lt;&gt;"",C702&lt;&gt;"Tem foto"),MAX(D$1:D701)+1,"")</f>
        <v/>
      </c>
      <c r="F702" s="26" t="str">
        <f aca="false">IF($I$4=0,"",IF(700&lt;=$I$4,"    """&amp;INDEX($A$2:$A$801,MATCH(700,$D$2:$D$801,0))&amp;""",",IF(700=$I$4+1,"]","")))</f>
        <v/>
      </c>
    </row>
    <row r="703" customFormat="false" ht="15" hidden="false" customHeight="false" outlineLevel="0" collapsed="false">
      <c r="A703" s="11" t="str">
        <f aca="false">IF(INVENTÁRIO!A703="","",INVENTÁRIO!A703)</f>
        <v/>
      </c>
      <c r="B703" s="11" t="str">
        <f aca="false">IF(A703="","",INVENTÁRIO!B703)</f>
        <v/>
      </c>
      <c r="C703" s="16" t="str">
        <f aca="false">IF(A703="","",IFERROR(INDEX($L$2:$L$801,MATCH(A703,$K$2:$K$801,0)),"Não verificada"))</f>
        <v/>
      </c>
      <c r="D703" s="11" t="str">
        <f aca="false">IF(AND(A703&lt;&gt;"",C703&lt;&gt;"Tem foto"),MAX(D$1:D702)+1,"")</f>
        <v/>
      </c>
      <c r="F703" s="26" t="str">
        <f aca="false">IF($I$4=0,"",IF(701&lt;=$I$4,"    """&amp;INDEX($A$2:$A$801,MATCH(701,$D$2:$D$801,0))&amp;""",",IF(701=$I$4+1,"]","")))</f>
        <v/>
      </c>
    </row>
    <row r="704" customFormat="false" ht="15" hidden="false" customHeight="false" outlineLevel="0" collapsed="false">
      <c r="A704" s="11" t="str">
        <f aca="false">IF(INVENTÁRIO!A704="","",INVENTÁRIO!A704)</f>
        <v/>
      </c>
      <c r="B704" s="11" t="str">
        <f aca="false">IF(A704="","",INVENTÁRIO!B704)</f>
        <v/>
      </c>
      <c r="C704" s="16" t="str">
        <f aca="false">IF(A704="","",IFERROR(INDEX($L$2:$L$801,MATCH(A704,$K$2:$K$801,0)),"Não verificada"))</f>
        <v/>
      </c>
      <c r="D704" s="11" t="str">
        <f aca="false">IF(AND(A704&lt;&gt;"",C704&lt;&gt;"Tem foto"),MAX(D$1:D703)+1,"")</f>
        <v/>
      </c>
      <c r="F704" s="26" t="str">
        <f aca="false">IF($I$4=0,"",IF(702&lt;=$I$4,"    """&amp;INDEX($A$2:$A$801,MATCH(702,$D$2:$D$801,0))&amp;""",",IF(702=$I$4+1,"]","")))</f>
        <v/>
      </c>
    </row>
    <row r="705" customFormat="false" ht="15" hidden="false" customHeight="false" outlineLevel="0" collapsed="false">
      <c r="A705" s="11" t="str">
        <f aca="false">IF(INVENTÁRIO!A705="","",INVENTÁRIO!A705)</f>
        <v/>
      </c>
      <c r="B705" s="11" t="str">
        <f aca="false">IF(A705="","",INVENTÁRIO!B705)</f>
        <v/>
      </c>
      <c r="C705" s="16" t="str">
        <f aca="false">IF(A705="","",IFERROR(INDEX($L$2:$L$801,MATCH(A705,$K$2:$K$801,0)),"Não verificada"))</f>
        <v/>
      </c>
      <c r="D705" s="11" t="str">
        <f aca="false">IF(AND(A705&lt;&gt;"",C705&lt;&gt;"Tem foto"),MAX(D$1:D704)+1,"")</f>
        <v/>
      </c>
      <c r="F705" s="26" t="str">
        <f aca="false">IF($I$4=0,"",IF(703&lt;=$I$4,"    """&amp;INDEX($A$2:$A$801,MATCH(703,$D$2:$D$801,0))&amp;""",",IF(703=$I$4+1,"]","")))</f>
        <v/>
      </c>
    </row>
    <row r="706" customFormat="false" ht="15" hidden="false" customHeight="false" outlineLevel="0" collapsed="false">
      <c r="A706" s="11" t="str">
        <f aca="false">IF(INVENTÁRIO!A706="","",INVENTÁRIO!A706)</f>
        <v/>
      </c>
      <c r="B706" s="11" t="str">
        <f aca="false">IF(A706="","",INVENTÁRIO!B706)</f>
        <v/>
      </c>
      <c r="C706" s="16" t="str">
        <f aca="false">IF(A706="","",IFERROR(INDEX($L$2:$L$801,MATCH(A706,$K$2:$K$801,0)),"Não verificada"))</f>
        <v/>
      </c>
      <c r="D706" s="11" t="str">
        <f aca="false">IF(AND(A706&lt;&gt;"",C706&lt;&gt;"Tem foto"),MAX(D$1:D705)+1,"")</f>
        <v/>
      </c>
      <c r="F706" s="26" t="str">
        <f aca="false">IF($I$4=0,"",IF(704&lt;=$I$4,"    """&amp;INDEX($A$2:$A$801,MATCH(704,$D$2:$D$801,0))&amp;""",",IF(704=$I$4+1,"]","")))</f>
        <v/>
      </c>
    </row>
    <row r="707" customFormat="false" ht="15" hidden="false" customHeight="false" outlineLevel="0" collapsed="false">
      <c r="A707" s="11" t="str">
        <f aca="false">IF(INVENTÁRIO!A707="","",INVENTÁRIO!A707)</f>
        <v/>
      </c>
      <c r="B707" s="11" t="str">
        <f aca="false">IF(A707="","",INVENTÁRIO!B707)</f>
        <v/>
      </c>
      <c r="C707" s="16" t="str">
        <f aca="false">IF(A707="","",IFERROR(INDEX($L$2:$L$801,MATCH(A707,$K$2:$K$801,0)),"Não verificada"))</f>
        <v/>
      </c>
      <c r="D707" s="11" t="str">
        <f aca="false">IF(AND(A707&lt;&gt;"",C707&lt;&gt;"Tem foto"),MAX(D$1:D706)+1,"")</f>
        <v/>
      </c>
      <c r="F707" s="26" t="str">
        <f aca="false">IF($I$4=0,"",IF(705&lt;=$I$4,"    """&amp;INDEX($A$2:$A$801,MATCH(705,$D$2:$D$801,0))&amp;""",",IF(705=$I$4+1,"]","")))</f>
        <v/>
      </c>
    </row>
    <row r="708" customFormat="false" ht="15" hidden="false" customHeight="false" outlineLevel="0" collapsed="false">
      <c r="A708" s="11" t="str">
        <f aca="false">IF(INVENTÁRIO!A708="","",INVENTÁRIO!A708)</f>
        <v/>
      </c>
      <c r="B708" s="11" t="str">
        <f aca="false">IF(A708="","",INVENTÁRIO!B708)</f>
        <v/>
      </c>
      <c r="C708" s="16" t="str">
        <f aca="false">IF(A708="","",IFERROR(INDEX($L$2:$L$801,MATCH(A708,$K$2:$K$801,0)),"Não verificada"))</f>
        <v/>
      </c>
      <c r="D708" s="11" t="str">
        <f aca="false">IF(AND(A708&lt;&gt;"",C708&lt;&gt;"Tem foto"),MAX(D$1:D707)+1,"")</f>
        <v/>
      </c>
      <c r="F708" s="26" t="str">
        <f aca="false">IF($I$4=0,"",IF(706&lt;=$I$4,"    """&amp;INDEX($A$2:$A$801,MATCH(706,$D$2:$D$801,0))&amp;""",",IF(706=$I$4+1,"]","")))</f>
        <v/>
      </c>
    </row>
    <row r="709" customFormat="false" ht="15" hidden="false" customHeight="false" outlineLevel="0" collapsed="false">
      <c r="A709" s="11" t="str">
        <f aca="false">IF(INVENTÁRIO!A709="","",INVENTÁRIO!A709)</f>
        <v/>
      </c>
      <c r="B709" s="11" t="str">
        <f aca="false">IF(A709="","",INVENTÁRIO!B709)</f>
        <v/>
      </c>
      <c r="C709" s="16" t="str">
        <f aca="false">IF(A709="","",IFERROR(INDEX($L$2:$L$801,MATCH(A709,$K$2:$K$801,0)),"Não verificada"))</f>
        <v/>
      </c>
      <c r="D709" s="11" t="str">
        <f aca="false">IF(AND(A709&lt;&gt;"",C709&lt;&gt;"Tem foto"),MAX(D$1:D708)+1,"")</f>
        <v/>
      </c>
      <c r="F709" s="26" t="str">
        <f aca="false">IF($I$4=0,"",IF(707&lt;=$I$4,"    """&amp;INDEX($A$2:$A$801,MATCH(707,$D$2:$D$801,0))&amp;""",",IF(707=$I$4+1,"]","")))</f>
        <v/>
      </c>
    </row>
    <row r="710" customFormat="false" ht="15" hidden="false" customHeight="false" outlineLevel="0" collapsed="false">
      <c r="A710" s="11" t="str">
        <f aca="false">IF(INVENTÁRIO!A710="","",INVENTÁRIO!A710)</f>
        <v/>
      </c>
      <c r="B710" s="11" t="str">
        <f aca="false">IF(A710="","",INVENTÁRIO!B710)</f>
        <v/>
      </c>
      <c r="C710" s="16" t="str">
        <f aca="false">IF(A710="","",IFERROR(INDEX($L$2:$L$801,MATCH(A710,$K$2:$K$801,0)),"Não verificada"))</f>
        <v/>
      </c>
      <c r="D710" s="11" t="str">
        <f aca="false">IF(AND(A710&lt;&gt;"",C710&lt;&gt;"Tem foto"),MAX(D$1:D709)+1,"")</f>
        <v/>
      </c>
      <c r="F710" s="26" t="str">
        <f aca="false">IF($I$4=0,"",IF(708&lt;=$I$4,"    """&amp;INDEX($A$2:$A$801,MATCH(708,$D$2:$D$801,0))&amp;""",",IF(708=$I$4+1,"]","")))</f>
        <v/>
      </c>
    </row>
    <row r="711" customFormat="false" ht="15" hidden="false" customHeight="false" outlineLevel="0" collapsed="false">
      <c r="A711" s="11" t="str">
        <f aca="false">IF(INVENTÁRIO!A711="","",INVENTÁRIO!A711)</f>
        <v/>
      </c>
      <c r="B711" s="11" t="str">
        <f aca="false">IF(A711="","",INVENTÁRIO!B711)</f>
        <v/>
      </c>
      <c r="C711" s="16" t="str">
        <f aca="false">IF(A711="","",IFERROR(INDEX($L$2:$L$801,MATCH(A711,$K$2:$K$801,0)),"Não verificada"))</f>
        <v/>
      </c>
      <c r="D711" s="11" t="str">
        <f aca="false">IF(AND(A711&lt;&gt;"",C711&lt;&gt;"Tem foto"),MAX(D$1:D710)+1,"")</f>
        <v/>
      </c>
      <c r="F711" s="26" t="str">
        <f aca="false">IF($I$4=0,"",IF(709&lt;=$I$4,"    """&amp;INDEX($A$2:$A$801,MATCH(709,$D$2:$D$801,0))&amp;""",",IF(709=$I$4+1,"]","")))</f>
        <v/>
      </c>
    </row>
    <row r="712" customFormat="false" ht="15" hidden="false" customHeight="false" outlineLevel="0" collapsed="false">
      <c r="A712" s="11" t="str">
        <f aca="false">IF(INVENTÁRIO!A712="","",INVENTÁRIO!A712)</f>
        <v/>
      </c>
      <c r="B712" s="11" t="str">
        <f aca="false">IF(A712="","",INVENTÁRIO!B712)</f>
        <v/>
      </c>
      <c r="C712" s="16" t="str">
        <f aca="false">IF(A712="","",IFERROR(INDEX($L$2:$L$801,MATCH(A712,$K$2:$K$801,0)),"Não verificada"))</f>
        <v/>
      </c>
      <c r="D712" s="11" t="str">
        <f aca="false">IF(AND(A712&lt;&gt;"",C712&lt;&gt;"Tem foto"),MAX(D$1:D711)+1,"")</f>
        <v/>
      </c>
      <c r="F712" s="26" t="str">
        <f aca="false">IF($I$4=0,"",IF(710&lt;=$I$4,"    """&amp;INDEX($A$2:$A$801,MATCH(710,$D$2:$D$801,0))&amp;""",",IF(710=$I$4+1,"]","")))</f>
        <v/>
      </c>
    </row>
    <row r="713" customFormat="false" ht="15" hidden="false" customHeight="false" outlineLevel="0" collapsed="false">
      <c r="A713" s="11" t="str">
        <f aca="false">IF(INVENTÁRIO!A713="","",INVENTÁRIO!A713)</f>
        <v/>
      </c>
      <c r="B713" s="11" t="str">
        <f aca="false">IF(A713="","",INVENTÁRIO!B713)</f>
        <v/>
      </c>
      <c r="C713" s="16" t="str">
        <f aca="false">IF(A713="","",IFERROR(INDEX($L$2:$L$801,MATCH(A713,$K$2:$K$801,0)),"Não verificada"))</f>
        <v/>
      </c>
      <c r="D713" s="11" t="str">
        <f aca="false">IF(AND(A713&lt;&gt;"",C713&lt;&gt;"Tem foto"),MAX(D$1:D712)+1,"")</f>
        <v/>
      </c>
      <c r="F713" s="26" t="str">
        <f aca="false">IF($I$4=0,"",IF(711&lt;=$I$4,"    """&amp;INDEX($A$2:$A$801,MATCH(711,$D$2:$D$801,0))&amp;""",",IF(711=$I$4+1,"]","")))</f>
        <v/>
      </c>
    </row>
    <row r="714" customFormat="false" ht="15" hidden="false" customHeight="false" outlineLevel="0" collapsed="false">
      <c r="A714" s="11" t="str">
        <f aca="false">IF(INVENTÁRIO!A714="","",INVENTÁRIO!A714)</f>
        <v/>
      </c>
      <c r="B714" s="11" t="str">
        <f aca="false">IF(A714="","",INVENTÁRIO!B714)</f>
        <v/>
      </c>
      <c r="C714" s="16" t="str">
        <f aca="false">IF(A714="","",IFERROR(INDEX($L$2:$L$801,MATCH(A714,$K$2:$K$801,0)),"Não verificada"))</f>
        <v/>
      </c>
      <c r="D714" s="11" t="str">
        <f aca="false">IF(AND(A714&lt;&gt;"",C714&lt;&gt;"Tem foto"),MAX(D$1:D713)+1,"")</f>
        <v/>
      </c>
      <c r="F714" s="26" t="str">
        <f aca="false">IF($I$4=0,"",IF(712&lt;=$I$4,"    """&amp;INDEX($A$2:$A$801,MATCH(712,$D$2:$D$801,0))&amp;""",",IF(712=$I$4+1,"]","")))</f>
        <v/>
      </c>
    </row>
    <row r="715" customFormat="false" ht="15" hidden="false" customHeight="false" outlineLevel="0" collapsed="false">
      <c r="A715" s="11" t="str">
        <f aca="false">IF(INVENTÁRIO!A715="","",INVENTÁRIO!A715)</f>
        <v/>
      </c>
      <c r="B715" s="11" t="str">
        <f aca="false">IF(A715="","",INVENTÁRIO!B715)</f>
        <v/>
      </c>
      <c r="C715" s="16" t="str">
        <f aca="false">IF(A715="","",IFERROR(INDEX($L$2:$L$801,MATCH(A715,$K$2:$K$801,0)),"Não verificada"))</f>
        <v/>
      </c>
      <c r="D715" s="11" t="str">
        <f aca="false">IF(AND(A715&lt;&gt;"",C715&lt;&gt;"Tem foto"),MAX(D$1:D714)+1,"")</f>
        <v/>
      </c>
      <c r="F715" s="26" t="str">
        <f aca="false">IF($I$4=0,"",IF(713&lt;=$I$4,"    """&amp;INDEX($A$2:$A$801,MATCH(713,$D$2:$D$801,0))&amp;""",",IF(713=$I$4+1,"]","")))</f>
        <v/>
      </c>
    </row>
    <row r="716" customFormat="false" ht="15" hidden="false" customHeight="false" outlineLevel="0" collapsed="false">
      <c r="A716" s="11" t="str">
        <f aca="false">IF(INVENTÁRIO!A716="","",INVENTÁRIO!A716)</f>
        <v/>
      </c>
      <c r="B716" s="11" t="str">
        <f aca="false">IF(A716="","",INVENTÁRIO!B716)</f>
        <v/>
      </c>
      <c r="C716" s="16" t="str">
        <f aca="false">IF(A716="","",IFERROR(INDEX($L$2:$L$801,MATCH(A716,$K$2:$K$801,0)),"Não verificada"))</f>
        <v/>
      </c>
      <c r="D716" s="11" t="str">
        <f aca="false">IF(AND(A716&lt;&gt;"",C716&lt;&gt;"Tem foto"),MAX(D$1:D715)+1,"")</f>
        <v/>
      </c>
      <c r="F716" s="26" t="str">
        <f aca="false">IF($I$4=0,"",IF(714&lt;=$I$4,"    """&amp;INDEX($A$2:$A$801,MATCH(714,$D$2:$D$801,0))&amp;""",",IF(714=$I$4+1,"]","")))</f>
        <v/>
      </c>
    </row>
    <row r="717" customFormat="false" ht="15" hidden="false" customHeight="false" outlineLevel="0" collapsed="false">
      <c r="A717" s="11" t="str">
        <f aca="false">IF(INVENTÁRIO!A717="","",INVENTÁRIO!A717)</f>
        <v/>
      </c>
      <c r="B717" s="11" t="str">
        <f aca="false">IF(A717="","",INVENTÁRIO!B717)</f>
        <v/>
      </c>
      <c r="C717" s="16" t="str">
        <f aca="false">IF(A717="","",IFERROR(INDEX($L$2:$L$801,MATCH(A717,$K$2:$K$801,0)),"Não verificada"))</f>
        <v/>
      </c>
      <c r="D717" s="11" t="str">
        <f aca="false">IF(AND(A717&lt;&gt;"",C717&lt;&gt;"Tem foto"),MAX(D$1:D716)+1,"")</f>
        <v/>
      </c>
      <c r="F717" s="26" t="str">
        <f aca="false">IF($I$4=0,"",IF(715&lt;=$I$4,"    """&amp;INDEX($A$2:$A$801,MATCH(715,$D$2:$D$801,0))&amp;""",",IF(715=$I$4+1,"]","")))</f>
        <v/>
      </c>
    </row>
    <row r="718" customFormat="false" ht="15" hidden="false" customHeight="false" outlineLevel="0" collapsed="false">
      <c r="A718" s="11" t="str">
        <f aca="false">IF(INVENTÁRIO!A718="","",INVENTÁRIO!A718)</f>
        <v/>
      </c>
      <c r="B718" s="11" t="str">
        <f aca="false">IF(A718="","",INVENTÁRIO!B718)</f>
        <v/>
      </c>
      <c r="C718" s="16" t="str">
        <f aca="false">IF(A718="","",IFERROR(INDEX($L$2:$L$801,MATCH(A718,$K$2:$K$801,0)),"Não verificada"))</f>
        <v/>
      </c>
      <c r="D718" s="11" t="str">
        <f aca="false">IF(AND(A718&lt;&gt;"",C718&lt;&gt;"Tem foto"),MAX(D$1:D717)+1,"")</f>
        <v/>
      </c>
      <c r="F718" s="26" t="str">
        <f aca="false">IF($I$4=0,"",IF(716&lt;=$I$4,"    """&amp;INDEX($A$2:$A$801,MATCH(716,$D$2:$D$801,0))&amp;""",",IF(716=$I$4+1,"]","")))</f>
        <v/>
      </c>
    </row>
    <row r="719" customFormat="false" ht="15" hidden="false" customHeight="false" outlineLevel="0" collapsed="false">
      <c r="A719" s="11" t="str">
        <f aca="false">IF(INVENTÁRIO!A719="","",INVENTÁRIO!A719)</f>
        <v/>
      </c>
      <c r="B719" s="11" t="str">
        <f aca="false">IF(A719="","",INVENTÁRIO!B719)</f>
        <v/>
      </c>
      <c r="C719" s="16" t="str">
        <f aca="false">IF(A719="","",IFERROR(INDEX($L$2:$L$801,MATCH(A719,$K$2:$K$801,0)),"Não verificada"))</f>
        <v/>
      </c>
      <c r="D719" s="11" t="str">
        <f aca="false">IF(AND(A719&lt;&gt;"",C719&lt;&gt;"Tem foto"),MAX(D$1:D718)+1,"")</f>
        <v/>
      </c>
      <c r="F719" s="26" t="str">
        <f aca="false">IF($I$4=0,"",IF(717&lt;=$I$4,"    """&amp;INDEX($A$2:$A$801,MATCH(717,$D$2:$D$801,0))&amp;""",",IF(717=$I$4+1,"]","")))</f>
        <v/>
      </c>
    </row>
    <row r="720" customFormat="false" ht="15" hidden="false" customHeight="false" outlineLevel="0" collapsed="false">
      <c r="A720" s="11" t="str">
        <f aca="false">IF(INVENTÁRIO!A720="","",INVENTÁRIO!A720)</f>
        <v/>
      </c>
      <c r="B720" s="11" t="str">
        <f aca="false">IF(A720="","",INVENTÁRIO!B720)</f>
        <v/>
      </c>
      <c r="C720" s="16" t="str">
        <f aca="false">IF(A720="","",IFERROR(INDEX($L$2:$L$801,MATCH(A720,$K$2:$K$801,0)),"Não verificada"))</f>
        <v/>
      </c>
      <c r="D720" s="11" t="str">
        <f aca="false">IF(AND(A720&lt;&gt;"",C720&lt;&gt;"Tem foto"),MAX(D$1:D719)+1,"")</f>
        <v/>
      </c>
      <c r="F720" s="26" t="str">
        <f aca="false">IF($I$4=0,"",IF(718&lt;=$I$4,"    """&amp;INDEX($A$2:$A$801,MATCH(718,$D$2:$D$801,0))&amp;""",",IF(718=$I$4+1,"]","")))</f>
        <v/>
      </c>
    </row>
    <row r="721" customFormat="false" ht="15" hidden="false" customHeight="false" outlineLevel="0" collapsed="false">
      <c r="A721" s="11" t="str">
        <f aca="false">IF(INVENTÁRIO!A721="","",INVENTÁRIO!A721)</f>
        <v/>
      </c>
      <c r="B721" s="11" t="str">
        <f aca="false">IF(A721="","",INVENTÁRIO!B721)</f>
        <v/>
      </c>
      <c r="C721" s="16" t="str">
        <f aca="false">IF(A721="","",IFERROR(INDEX($L$2:$L$801,MATCH(A721,$K$2:$K$801,0)),"Não verificada"))</f>
        <v/>
      </c>
      <c r="D721" s="11" t="str">
        <f aca="false">IF(AND(A721&lt;&gt;"",C721&lt;&gt;"Tem foto"),MAX(D$1:D720)+1,"")</f>
        <v/>
      </c>
      <c r="F721" s="26" t="str">
        <f aca="false">IF($I$4=0,"",IF(719&lt;=$I$4,"    """&amp;INDEX($A$2:$A$801,MATCH(719,$D$2:$D$801,0))&amp;""",",IF(719=$I$4+1,"]","")))</f>
        <v/>
      </c>
    </row>
    <row r="722" customFormat="false" ht="15" hidden="false" customHeight="false" outlineLevel="0" collapsed="false">
      <c r="A722" s="11" t="str">
        <f aca="false">IF(INVENTÁRIO!A722="","",INVENTÁRIO!A722)</f>
        <v/>
      </c>
      <c r="B722" s="11" t="str">
        <f aca="false">IF(A722="","",INVENTÁRIO!B722)</f>
        <v/>
      </c>
      <c r="C722" s="16" t="str">
        <f aca="false">IF(A722="","",IFERROR(INDEX($L$2:$L$801,MATCH(A722,$K$2:$K$801,0)),"Não verificada"))</f>
        <v/>
      </c>
      <c r="D722" s="11" t="str">
        <f aca="false">IF(AND(A722&lt;&gt;"",C722&lt;&gt;"Tem foto"),MAX(D$1:D721)+1,"")</f>
        <v/>
      </c>
      <c r="F722" s="26" t="str">
        <f aca="false">IF($I$4=0,"",IF(720&lt;=$I$4,"    """&amp;INDEX($A$2:$A$801,MATCH(720,$D$2:$D$801,0))&amp;""",",IF(720=$I$4+1,"]","")))</f>
        <v/>
      </c>
    </row>
    <row r="723" customFormat="false" ht="15" hidden="false" customHeight="false" outlineLevel="0" collapsed="false">
      <c r="A723" s="11" t="str">
        <f aca="false">IF(INVENTÁRIO!A723="","",INVENTÁRIO!A723)</f>
        <v/>
      </c>
      <c r="B723" s="11" t="str">
        <f aca="false">IF(A723="","",INVENTÁRIO!B723)</f>
        <v/>
      </c>
      <c r="C723" s="16" t="str">
        <f aca="false">IF(A723="","",IFERROR(INDEX($L$2:$L$801,MATCH(A723,$K$2:$K$801,0)),"Não verificada"))</f>
        <v/>
      </c>
      <c r="D723" s="11" t="str">
        <f aca="false">IF(AND(A723&lt;&gt;"",C723&lt;&gt;"Tem foto"),MAX(D$1:D722)+1,"")</f>
        <v/>
      </c>
      <c r="F723" s="26" t="str">
        <f aca="false">IF($I$4=0,"",IF(721&lt;=$I$4,"    """&amp;INDEX($A$2:$A$801,MATCH(721,$D$2:$D$801,0))&amp;""",",IF(721=$I$4+1,"]","")))</f>
        <v/>
      </c>
    </row>
    <row r="724" customFormat="false" ht="15" hidden="false" customHeight="false" outlineLevel="0" collapsed="false">
      <c r="A724" s="11" t="str">
        <f aca="false">IF(INVENTÁRIO!A724="","",INVENTÁRIO!A724)</f>
        <v/>
      </c>
      <c r="B724" s="11" t="str">
        <f aca="false">IF(A724="","",INVENTÁRIO!B724)</f>
        <v/>
      </c>
      <c r="C724" s="16" t="str">
        <f aca="false">IF(A724="","",IFERROR(INDEX($L$2:$L$801,MATCH(A724,$K$2:$K$801,0)),"Não verificada"))</f>
        <v/>
      </c>
      <c r="D724" s="11" t="str">
        <f aca="false">IF(AND(A724&lt;&gt;"",C724&lt;&gt;"Tem foto"),MAX(D$1:D723)+1,"")</f>
        <v/>
      </c>
      <c r="F724" s="26" t="str">
        <f aca="false">IF($I$4=0,"",IF(722&lt;=$I$4,"    """&amp;INDEX($A$2:$A$801,MATCH(722,$D$2:$D$801,0))&amp;""",",IF(722=$I$4+1,"]","")))</f>
        <v/>
      </c>
    </row>
    <row r="725" customFormat="false" ht="15" hidden="false" customHeight="false" outlineLevel="0" collapsed="false">
      <c r="A725" s="11" t="str">
        <f aca="false">IF(INVENTÁRIO!A725="","",INVENTÁRIO!A725)</f>
        <v/>
      </c>
      <c r="B725" s="11" t="str">
        <f aca="false">IF(A725="","",INVENTÁRIO!B725)</f>
        <v/>
      </c>
      <c r="C725" s="16" t="str">
        <f aca="false">IF(A725="","",IFERROR(INDEX($L$2:$L$801,MATCH(A725,$K$2:$K$801,0)),"Não verificada"))</f>
        <v/>
      </c>
      <c r="D725" s="11" t="str">
        <f aca="false">IF(AND(A725&lt;&gt;"",C725&lt;&gt;"Tem foto"),MAX(D$1:D724)+1,"")</f>
        <v/>
      </c>
      <c r="F725" s="26" t="str">
        <f aca="false">IF($I$4=0,"",IF(723&lt;=$I$4,"    """&amp;INDEX($A$2:$A$801,MATCH(723,$D$2:$D$801,0))&amp;""",",IF(723=$I$4+1,"]","")))</f>
        <v/>
      </c>
    </row>
    <row r="726" customFormat="false" ht="15" hidden="false" customHeight="false" outlineLevel="0" collapsed="false">
      <c r="A726" s="11" t="str">
        <f aca="false">IF(INVENTÁRIO!A726="","",INVENTÁRIO!A726)</f>
        <v/>
      </c>
      <c r="B726" s="11" t="str">
        <f aca="false">IF(A726="","",INVENTÁRIO!B726)</f>
        <v/>
      </c>
      <c r="C726" s="16" t="str">
        <f aca="false">IF(A726="","",IFERROR(INDEX($L$2:$L$801,MATCH(A726,$K$2:$K$801,0)),"Não verificada"))</f>
        <v/>
      </c>
      <c r="D726" s="11" t="str">
        <f aca="false">IF(AND(A726&lt;&gt;"",C726&lt;&gt;"Tem foto"),MAX(D$1:D725)+1,"")</f>
        <v/>
      </c>
      <c r="F726" s="26" t="str">
        <f aca="false">IF($I$4=0,"",IF(724&lt;=$I$4,"    """&amp;INDEX($A$2:$A$801,MATCH(724,$D$2:$D$801,0))&amp;""",",IF(724=$I$4+1,"]","")))</f>
        <v/>
      </c>
    </row>
    <row r="727" customFormat="false" ht="15" hidden="false" customHeight="false" outlineLevel="0" collapsed="false">
      <c r="A727" s="11" t="str">
        <f aca="false">IF(INVENTÁRIO!A727="","",INVENTÁRIO!A727)</f>
        <v/>
      </c>
      <c r="B727" s="11" t="str">
        <f aca="false">IF(A727="","",INVENTÁRIO!B727)</f>
        <v/>
      </c>
      <c r="C727" s="16" t="str">
        <f aca="false">IF(A727="","",IFERROR(INDEX($L$2:$L$801,MATCH(A727,$K$2:$K$801,0)),"Não verificada"))</f>
        <v/>
      </c>
      <c r="D727" s="11" t="str">
        <f aca="false">IF(AND(A727&lt;&gt;"",C727&lt;&gt;"Tem foto"),MAX(D$1:D726)+1,"")</f>
        <v/>
      </c>
      <c r="F727" s="26" t="str">
        <f aca="false">IF($I$4=0,"",IF(725&lt;=$I$4,"    """&amp;INDEX($A$2:$A$801,MATCH(725,$D$2:$D$801,0))&amp;""",",IF(725=$I$4+1,"]","")))</f>
        <v/>
      </c>
    </row>
    <row r="728" customFormat="false" ht="15" hidden="false" customHeight="false" outlineLevel="0" collapsed="false">
      <c r="A728" s="11" t="str">
        <f aca="false">IF(INVENTÁRIO!A728="","",INVENTÁRIO!A728)</f>
        <v/>
      </c>
      <c r="B728" s="11" t="str">
        <f aca="false">IF(A728="","",INVENTÁRIO!B728)</f>
        <v/>
      </c>
      <c r="C728" s="16" t="str">
        <f aca="false">IF(A728="","",IFERROR(INDEX($L$2:$L$801,MATCH(A728,$K$2:$K$801,0)),"Não verificada"))</f>
        <v/>
      </c>
      <c r="D728" s="11" t="str">
        <f aca="false">IF(AND(A728&lt;&gt;"",C728&lt;&gt;"Tem foto"),MAX(D$1:D727)+1,"")</f>
        <v/>
      </c>
      <c r="F728" s="26" t="str">
        <f aca="false">IF($I$4=0,"",IF(726&lt;=$I$4,"    """&amp;INDEX($A$2:$A$801,MATCH(726,$D$2:$D$801,0))&amp;""",",IF(726=$I$4+1,"]","")))</f>
        <v/>
      </c>
    </row>
    <row r="729" customFormat="false" ht="15" hidden="false" customHeight="false" outlineLevel="0" collapsed="false">
      <c r="A729" s="11" t="str">
        <f aca="false">IF(INVENTÁRIO!A729="","",INVENTÁRIO!A729)</f>
        <v/>
      </c>
      <c r="B729" s="11" t="str">
        <f aca="false">IF(A729="","",INVENTÁRIO!B729)</f>
        <v/>
      </c>
      <c r="C729" s="16" t="str">
        <f aca="false">IF(A729="","",IFERROR(INDEX($L$2:$L$801,MATCH(A729,$K$2:$K$801,0)),"Não verificada"))</f>
        <v/>
      </c>
      <c r="D729" s="11" t="str">
        <f aca="false">IF(AND(A729&lt;&gt;"",C729&lt;&gt;"Tem foto"),MAX(D$1:D728)+1,"")</f>
        <v/>
      </c>
      <c r="F729" s="26" t="str">
        <f aca="false">IF($I$4=0,"",IF(727&lt;=$I$4,"    """&amp;INDEX($A$2:$A$801,MATCH(727,$D$2:$D$801,0))&amp;""",",IF(727=$I$4+1,"]","")))</f>
        <v/>
      </c>
    </row>
    <row r="730" customFormat="false" ht="15" hidden="false" customHeight="false" outlineLevel="0" collapsed="false">
      <c r="A730" s="11" t="str">
        <f aca="false">IF(INVENTÁRIO!A730="","",INVENTÁRIO!A730)</f>
        <v/>
      </c>
      <c r="B730" s="11" t="str">
        <f aca="false">IF(A730="","",INVENTÁRIO!B730)</f>
        <v/>
      </c>
      <c r="C730" s="16" t="str">
        <f aca="false">IF(A730="","",IFERROR(INDEX($L$2:$L$801,MATCH(A730,$K$2:$K$801,0)),"Não verificada"))</f>
        <v/>
      </c>
      <c r="D730" s="11" t="str">
        <f aca="false">IF(AND(A730&lt;&gt;"",C730&lt;&gt;"Tem foto"),MAX(D$1:D729)+1,"")</f>
        <v/>
      </c>
      <c r="F730" s="26" t="str">
        <f aca="false">IF($I$4=0,"",IF(728&lt;=$I$4,"    """&amp;INDEX($A$2:$A$801,MATCH(728,$D$2:$D$801,0))&amp;""",",IF(728=$I$4+1,"]","")))</f>
        <v/>
      </c>
    </row>
    <row r="731" customFormat="false" ht="15" hidden="false" customHeight="false" outlineLevel="0" collapsed="false">
      <c r="A731" s="11" t="str">
        <f aca="false">IF(INVENTÁRIO!A731="","",INVENTÁRIO!A731)</f>
        <v/>
      </c>
      <c r="B731" s="11" t="str">
        <f aca="false">IF(A731="","",INVENTÁRIO!B731)</f>
        <v/>
      </c>
      <c r="C731" s="16" t="str">
        <f aca="false">IF(A731="","",IFERROR(INDEX($L$2:$L$801,MATCH(A731,$K$2:$K$801,0)),"Não verificada"))</f>
        <v/>
      </c>
      <c r="D731" s="11" t="str">
        <f aca="false">IF(AND(A731&lt;&gt;"",C731&lt;&gt;"Tem foto"),MAX(D$1:D730)+1,"")</f>
        <v/>
      </c>
      <c r="F731" s="26" t="str">
        <f aca="false">IF($I$4=0,"",IF(729&lt;=$I$4,"    """&amp;INDEX($A$2:$A$801,MATCH(729,$D$2:$D$801,0))&amp;""",",IF(729=$I$4+1,"]","")))</f>
        <v/>
      </c>
    </row>
    <row r="732" customFormat="false" ht="15" hidden="false" customHeight="false" outlineLevel="0" collapsed="false">
      <c r="A732" s="11" t="str">
        <f aca="false">IF(INVENTÁRIO!A732="","",INVENTÁRIO!A732)</f>
        <v/>
      </c>
      <c r="B732" s="11" t="str">
        <f aca="false">IF(A732="","",INVENTÁRIO!B732)</f>
        <v/>
      </c>
      <c r="C732" s="16" t="str">
        <f aca="false">IF(A732="","",IFERROR(INDEX($L$2:$L$801,MATCH(A732,$K$2:$K$801,0)),"Não verificada"))</f>
        <v/>
      </c>
      <c r="D732" s="11" t="str">
        <f aca="false">IF(AND(A732&lt;&gt;"",C732&lt;&gt;"Tem foto"),MAX(D$1:D731)+1,"")</f>
        <v/>
      </c>
      <c r="F732" s="26" t="str">
        <f aca="false">IF($I$4=0,"",IF(730&lt;=$I$4,"    """&amp;INDEX($A$2:$A$801,MATCH(730,$D$2:$D$801,0))&amp;""",",IF(730=$I$4+1,"]","")))</f>
        <v/>
      </c>
    </row>
    <row r="733" customFormat="false" ht="15" hidden="false" customHeight="false" outlineLevel="0" collapsed="false">
      <c r="A733" s="11" t="str">
        <f aca="false">IF(INVENTÁRIO!A733="","",INVENTÁRIO!A733)</f>
        <v/>
      </c>
      <c r="B733" s="11" t="str">
        <f aca="false">IF(A733="","",INVENTÁRIO!B733)</f>
        <v/>
      </c>
      <c r="C733" s="16" t="str">
        <f aca="false">IF(A733="","",IFERROR(INDEX($L$2:$L$801,MATCH(A733,$K$2:$K$801,0)),"Não verificada"))</f>
        <v/>
      </c>
      <c r="D733" s="11" t="str">
        <f aca="false">IF(AND(A733&lt;&gt;"",C733&lt;&gt;"Tem foto"),MAX(D$1:D732)+1,"")</f>
        <v/>
      </c>
      <c r="F733" s="26" t="str">
        <f aca="false">IF($I$4=0,"",IF(731&lt;=$I$4,"    """&amp;INDEX($A$2:$A$801,MATCH(731,$D$2:$D$801,0))&amp;""",",IF(731=$I$4+1,"]","")))</f>
        <v/>
      </c>
    </row>
    <row r="734" customFormat="false" ht="15" hidden="false" customHeight="false" outlineLevel="0" collapsed="false">
      <c r="A734" s="11" t="str">
        <f aca="false">IF(INVENTÁRIO!A734="","",INVENTÁRIO!A734)</f>
        <v/>
      </c>
      <c r="B734" s="11" t="str">
        <f aca="false">IF(A734="","",INVENTÁRIO!B734)</f>
        <v/>
      </c>
      <c r="C734" s="16" t="str">
        <f aca="false">IF(A734="","",IFERROR(INDEX($L$2:$L$801,MATCH(A734,$K$2:$K$801,0)),"Não verificada"))</f>
        <v/>
      </c>
      <c r="D734" s="11" t="str">
        <f aca="false">IF(AND(A734&lt;&gt;"",C734&lt;&gt;"Tem foto"),MAX(D$1:D733)+1,"")</f>
        <v/>
      </c>
      <c r="F734" s="26" t="str">
        <f aca="false">IF($I$4=0,"",IF(732&lt;=$I$4,"    """&amp;INDEX($A$2:$A$801,MATCH(732,$D$2:$D$801,0))&amp;""",",IF(732=$I$4+1,"]","")))</f>
        <v/>
      </c>
    </row>
    <row r="735" customFormat="false" ht="15" hidden="false" customHeight="false" outlineLevel="0" collapsed="false">
      <c r="A735" s="11" t="str">
        <f aca="false">IF(INVENTÁRIO!A735="","",INVENTÁRIO!A735)</f>
        <v/>
      </c>
      <c r="B735" s="11" t="str">
        <f aca="false">IF(A735="","",INVENTÁRIO!B735)</f>
        <v/>
      </c>
      <c r="C735" s="16" t="str">
        <f aca="false">IF(A735="","",IFERROR(INDEX($L$2:$L$801,MATCH(A735,$K$2:$K$801,0)),"Não verificada"))</f>
        <v/>
      </c>
      <c r="D735" s="11" t="str">
        <f aca="false">IF(AND(A735&lt;&gt;"",C735&lt;&gt;"Tem foto"),MAX(D$1:D734)+1,"")</f>
        <v/>
      </c>
      <c r="F735" s="26" t="str">
        <f aca="false">IF($I$4=0,"",IF(733&lt;=$I$4,"    """&amp;INDEX($A$2:$A$801,MATCH(733,$D$2:$D$801,0))&amp;""",",IF(733=$I$4+1,"]","")))</f>
        <v/>
      </c>
    </row>
    <row r="736" customFormat="false" ht="15" hidden="false" customHeight="false" outlineLevel="0" collapsed="false">
      <c r="A736" s="11" t="str">
        <f aca="false">IF(INVENTÁRIO!A736="","",INVENTÁRIO!A736)</f>
        <v/>
      </c>
      <c r="B736" s="11" t="str">
        <f aca="false">IF(A736="","",INVENTÁRIO!B736)</f>
        <v/>
      </c>
      <c r="C736" s="16" t="str">
        <f aca="false">IF(A736="","",IFERROR(INDEX($L$2:$L$801,MATCH(A736,$K$2:$K$801,0)),"Não verificada"))</f>
        <v/>
      </c>
      <c r="D736" s="11" t="str">
        <f aca="false">IF(AND(A736&lt;&gt;"",C736&lt;&gt;"Tem foto"),MAX(D$1:D735)+1,"")</f>
        <v/>
      </c>
      <c r="F736" s="26" t="str">
        <f aca="false">IF($I$4=0,"",IF(734&lt;=$I$4,"    """&amp;INDEX($A$2:$A$801,MATCH(734,$D$2:$D$801,0))&amp;""",",IF(734=$I$4+1,"]","")))</f>
        <v/>
      </c>
    </row>
    <row r="737" customFormat="false" ht="15" hidden="false" customHeight="false" outlineLevel="0" collapsed="false">
      <c r="A737" s="11" t="str">
        <f aca="false">IF(INVENTÁRIO!A737="","",INVENTÁRIO!A737)</f>
        <v/>
      </c>
      <c r="B737" s="11" t="str">
        <f aca="false">IF(A737="","",INVENTÁRIO!B737)</f>
        <v/>
      </c>
      <c r="C737" s="16" t="str">
        <f aca="false">IF(A737="","",IFERROR(INDEX($L$2:$L$801,MATCH(A737,$K$2:$K$801,0)),"Não verificada"))</f>
        <v/>
      </c>
      <c r="D737" s="11" t="str">
        <f aca="false">IF(AND(A737&lt;&gt;"",C737&lt;&gt;"Tem foto"),MAX(D$1:D736)+1,"")</f>
        <v/>
      </c>
      <c r="F737" s="26" t="str">
        <f aca="false">IF($I$4=0,"",IF(735&lt;=$I$4,"    """&amp;INDEX($A$2:$A$801,MATCH(735,$D$2:$D$801,0))&amp;""",",IF(735=$I$4+1,"]","")))</f>
        <v/>
      </c>
    </row>
    <row r="738" customFormat="false" ht="15" hidden="false" customHeight="false" outlineLevel="0" collapsed="false">
      <c r="A738" s="11" t="str">
        <f aca="false">IF(INVENTÁRIO!A738="","",INVENTÁRIO!A738)</f>
        <v/>
      </c>
      <c r="B738" s="11" t="str">
        <f aca="false">IF(A738="","",INVENTÁRIO!B738)</f>
        <v/>
      </c>
      <c r="C738" s="16" t="str">
        <f aca="false">IF(A738="","",IFERROR(INDEX($L$2:$L$801,MATCH(A738,$K$2:$K$801,0)),"Não verificada"))</f>
        <v/>
      </c>
      <c r="D738" s="11" t="str">
        <f aca="false">IF(AND(A738&lt;&gt;"",C738&lt;&gt;"Tem foto"),MAX(D$1:D737)+1,"")</f>
        <v/>
      </c>
      <c r="F738" s="26" t="str">
        <f aca="false">IF($I$4=0,"",IF(736&lt;=$I$4,"    """&amp;INDEX($A$2:$A$801,MATCH(736,$D$2:$D$801,0))&amp;""",",IF(736=$I$4+1,"]","")))</f>
        <v/>
      </c>
    </row>
    <row r="739" customFormat="false" ht="15" hidden="false" customHeight="false" outlineLevel="0" collapsed="false">
      <c r="A739" s="11" t="str">
        <f aca="false">IF(INVENTÁRIO!A739="","",INVENTÁRIO!A739)</f>
        <v/>
      </c>
      <c r="B739" s="11" t="str">
        <f aca="false">IF(A739="","",INVENTÁRIO!B739)</f>
        <v/>
      </c>
      <c r="C739" s="16" t="str">
        <f aca="false">IF(A739="","",IFERROR(INDEX($L$2:$L$801,MATCH(A739,$K$2:$K$801,0)),"Não verificada"))</f>
        <v/>
      </c>
      <c r="D739" s="11" t="str">
        <f aca="false">IF(AND(A739&lt;&gt;"",C739&lt;&gt;"Tem foto"),MAX(D$1:D738)+1,"")</f>
        <v/>
      </c>
      <c r="F739" s="26" t="str">
        <f aca="false">IF($I$4=0,"",IF(737&lt;=$I$4,"    """&amp;INDEX($A$2:$A$801,MATCH(737,$D$2:$D$801,0))&amp;""",",IF(737=$I$4+1,"]","")))</f>
        <v/>
      </c>
    </row>
    <row r="740" customFormat="false" ht="15" hidden="false" customHeight="false" outlineLevel="0" collapsed="false">
      <c r="A740" s="11" t="str">
        <f aca="false">IF(INVENTÁRIO!A740="","",INVENTÁRIO!A740)</f>
        <v/>
      </c>
      <c r="B740" s="11" t="str">
        <f aca="false">IF(A740="","",INVENTÁRIO!B740)</f>
        <v/>
      </c>
      <c r="C740" s="16" t="str">
        <f aca="false">IF(A740="","",IFERROR(INDEX($L$2:$L$801,MATCH(A740,$K$2:$K$801,0)),"Não verificada"))</f>
        <v/>
      </c>
      <c r="D740" s="11" t="str">
        <f aca="false">IF(AND(A740&lt;&gt;"",C740&lt;&gt;"Tem foto"),MAX(D$1:D739)+1,"")</f>
        <v/>
      </c>
      <c r="F740" s="26" t="str">
        <f aca="false">IF($I$4=0,"",IF(738&lt;=$I$4,"    """&amp;INDEX($A$2:$A$801,MATCH(738,$D$2:$D$801,0))&amp;""",",IF(738=$I$4+1,"]","")))</f>
        <v/>
      </c>
    </row>
    <row r="741" customFormat="false" ht="15" hidden="false" customHeight="false" outlineLevel="0" collapsed="false">
      <c r="A741" s="11" t="str">
        <f aca="false">IF(INVENTÁRIO!A741="","",INVENTÁRIO!A741)</f>
        <v/>
      </c>
      <c r="B741" s="11" t="str">
        <f aca="false">IF(A741="","",INVENTÁRIO!B741)</f>
        <v/>
      </c>
      <c r="C741" s="16" t="str">
        <f aca="false">IF(A741="","",IFERROR(INDEX($L$2:$L$801,MATCH(A741,$K$2:$K$801,0)),"Não verificada"))</f>
        <v/>
      </c>
      <c r="D741" s="11" t="str">
        <f aca="false">IF(AND(A741&lt;&gt;"",C741&lt;&gt;"Tem foto"),MAX(D$1:D740)+1,"")</f>
        <v/>
      </c>
      <c r="F741" s="26" t="str">
        <f aca="false">IF($I$4=0,"",IF(739&lt;=$I$4,"    """&amp;INDEX($A$2:$A$801,MATCH(739,$D$2:$D$801,0))&amp;""",",IF(739=$I$4+1,"]","")))</f>
        <v/>
      </c>
    </row>
    <row r="742" customFormat="false" ht="15" hidden="false" customHeight="false" outlineLevel="0" collapsed="false">
      <c r="A742" s="11" t="str">
        <f aca="false">IF(INVENTÁRIO!A742="","",INVENTÁRIO!A742)</f>
        <v/>
      </c>
      <c r="B742" s="11" t="str">
        <f aca="false">IF(A742="","",INVENTÁRIO!B742)</f>
        <v/>
      </c>
      <c r="C742" s="16" t="str">
        <f aca="false">IF(A742="","",IFERROR(INDEX($L$2:$L$801,MATCH(A742,$K$2:$K$801,0)),"Não verificada"))</f>
        <v/>
      </c>
      <c r="D742" s="11" t="str">
        <f aca="false">IF(AND(A742&lt;&gt;"",C742&lt;&gt;"Tem foto"),MAX(D$1:D741)+1,"")</f>
        <v/>
      </c>
      <c r="F742" s="26" t="str">
        <f aca="false">IF($I$4=0,"",IF(740&lt;=$I$4,"    """&amp;INDEX($A$2:$A$801,MATCH(740,$D$2:$D$801,0))&amp;""",",IF(740=$I$4+1,"]","")))</f>
        <v/>
      </c>
    </row>
    <row r="743" customFormat="false" ht="15" hidden="false" customHeight="false" outlineLevel="0" collapsed="false">
      <c r="A743" s="11" t="str">
        <f aca="false">IF(INVENTÁRIO!A743="","",INVENTÁRIO!A743)</f>
        <v/>
      </c>
      <c r="B743" s="11" t="str">
        <f aca="false">IF(A743="","",INVENTÁRIO!B743)</f>
        <v/>
      </c>
      <c r="C743" s="16" t="str">
        <f aca="false">IF(A743="","",IFERROR(INDEX($L$2:$L$801,MATCH(A743,$K$2:$K$801,0)),"Não verificada"))</f>
        <v/>
      </c>
      <c r="D743" s="11" t="str">
        <f aca="false">IF(AND(A743&lt;&gt;"",C743&lt;&gt;"Tem foto"),MAX(D$1:D742)+1,"")</f>
        <v/>
      </c>
      <c r="F743" s="26" t="str">
        <f aca="false">IF($I$4=0,"",IF(741&lt;=$I$4,"    """&amp;INDEX($A$2:$A$801,MATCH(741,$D$2:$D$801,0))&amp;""",",IF(741=$I$4+1,"]","")))</f>
        <v/>
      </c>
    </row>
    <row r="744" customFormat="false" ht="15" hidden="false" customHeight="false" outlineLevel="0" collapsed="false">
      <c r="A744" s="11" t="str">
        <f aca="false">IF(INVENTÁRIO!A744="","",INVENTÁRIO!A744)</f>
        <v/>
      </c>
      <c r="B744" s="11" t="str">
        <f aca="false">IF(A744="","",INVENTÁRIO!B744)</f>
        <v/>
      </c>
      <c r="C744" s="16" t="str">
        <f aca="false">IF(A744="","",IFERROR(INDEX($L$2:$L$801,MATCH(A744,$K$2:$K$801,0)),"Não verificada"))</f>
        <v/>
      </c>
      <c r="D744" s="11" t="str">
        <f aca="false">IF(AND(A744&lt;&gt;"",C744&lt;&gt;"Tem foto"),MAX(D$1:D743)+1,"")</f>
        <v/>
      </c>
      <c r="F744" s="26" t="str">
        <f aca="false">IF($I$4=0,"",IF(742&lt;=$I$4,"    """&amp;INDEX($A$2:$A$801,MATCH(742,$D$2:$D$801,0))&amp;""",",IF(742=$I$4+1,"]","")))</f>
        <v/>
      </c>
    </row>
    <row r="745" customFormat="false" ht="15" hidden="false" customHeight="false" outlineLevel="0" collapsed="false">
      <c r="A745" s="11" t="str">
        <f aca="false">IF(INVENTÁRIO!A745="","",INVENTÁRIO!A745)</f>
        <v/>
      </c>
      <c r="B745" s="11" t="str">
        <f aca="false">IF(A745="","",INVENTÁRIO!B745)</f>
        <v/>
      </c>
      <c r="C745" s="16" t="str">
        <f aca="false">IF(A745="","",IFERROR(INDEX($L$2:$L$801,MATCH(A745,$K$2:$K$801,0)),"Não verificada"))</f>
        <v/>
      </c>
      <c r="D745" s="11" t="str">
        <f aca="false">IF(AND(A745&lt;&gt;"",C745&lt;&gt;"Tem foto"),MAX(D$1:D744)+1,"")</f>
        <v/>
      </c>
      <c r="F745" s="26" t="str">
        <f aca="false">IF($I$4=0,"",IF(743&lt;=$I$4,"    """&amp;INDEX($A$2:$A$801,MATCH(743,$D$2:$D$801,0))&amp;""",",IF(743=$I$4+1,"]","")))</f>
        <v/>
      </c>
    </row>
    <row r="746" customFormat="false" ht="15" hidden="false" customHeight="false" outlineLevel="0" collapsed="false">
      <c r="A746" s="11" t="str">
        <f aca="false">IF(INVENTÁRIO!A746="","",INVENTÁRIO!A746)</f>
        <v/>
      </c>
      <c r="B746" s="11" t="str">
        <f aca="false">IF(A746="","",INVENTÁRIO!B746)</f>
        <v/>
      </c>
      <c r="C746" s="16" t="str">
        <f aca="false">IF(A746="","",IFERROR(INDEX($L$2:$L$801,MATCH(A746,$K$2:$K$801,0)),"Não verificada"))</f>
        <v/>
      </c>
      <c r="D746" s="11" t="str">
        <f aca="false">IF(AND(A746&lt;&gt;"",C746&lt;&gt;"Tem foto"),MAX(D$1:D745)+1,"")</f>
        <v/>
      </c>
      <c r="F746" s="26" t="str">
        <f aca="false">IF($I$4=0,"",IF(744&lt;=$I$4,"    """&amp;INDEX($A$2:$A$801,MATCH(744,$D$2:$D$801,0))&amp;""",",IF(744=$I$4+1,"]","")))</f>
        <v/>
      </c>
    </row>
    <row r="747" customFormat="false" ht="15" hidden="false" customHeight="false" outlineLevel="0" collapsed="false">
      <c r="A747" s="11" t="str">
        <f aca="false">IF(INVENTÁRIO!A747="","",INVENTÁRIO!A747)</f>
        <v/>
      </c>
      <c r="B747" s="11" t="str">
        <f aca="false">IF(A747="","",INVENTÁRIO!B747)</f>
        <v/>
      </c>
      <c r="C747" s="16" t="str">
        <f aca="false">IF(A747="","",IFERROR(INDEX($L$2:$L$801,MATCH(A747,$K$2:$K$801,0)),"Não verificada"))</f>
        <v/>
      </c>
      <c r="D747" s="11" t="str">
        <f aca="false">IF(AND(A747&lt;&gt;"",C747&lt;&gt;"Tem foto"),MAX(D$1:D746)+1,"")</f>
        <v/>
      </c>
      <c r="F747" s="26" t="str">
        <f aca="false">IF($I$4=0,"",IF(745&lt;=$I$4,"    """&amp;INDEX($A$2:$A$801,MATCH(745,$D$2:$D$801,0))&amp;""",",IF(745=$I$4+1,"]","")))</f>
        <v/>
      </c>
    </row>
    <row r="748" customFormat="false" ht="15" hidden="false" customHeight="false" outlineLevel="0" collapsed="false">
      <c r="A748" s="11" t="str">
        <f aca="false">IF(INVENTÁRIO!A748="","",INVENTÁRIO!A748)</f>
        <v/>
      </c>
      <c r="B748" s="11" t="str">
        <f aca="false">IF(A748="","",INVENTÁRIO!B748)</f>
        <v/>
      </c>
      <c r="C748" s="16" t="str">
        <f aca="false">IF(A748="","",IFERROR(INDEX($L$2:$L$801,MATCH(A748,$K$2:$K$801,0)),"Não verificada"))</f>
        <v/>
      </c>
      <c r="D748" s="11" t="str">
        <f aca="false">IF(AND(A748&lt;&gt;"",C748&lt;&gt;"Tem foto"),MAX(D$1:D747)+1,"")</f>
        <v/>
      </c>
      <c r="F748" s="26" t="str">
        <f aca="false">IF($I$4=0,"",IF(746&lt;=$I$4,"    """&amp;INDEX($A$2:$A$801,MATCH(746,$D$2:$D$801,0))&amp;""",",IF(746=$I$4+1,"]","")))</f>
        <v/>
      </c>
    </row>
    <row r="749" customFormat="false" ht="15" hidden="false" customHeight="false" outlineLevel="0" collapsed="false">
      <c r="A749" s="11" t="str">
        <f aca="false">IF(INVENTÁRIO!A749="","",INVENTÁRIO!A749)</f>
        <v/>
      </c>
      <c r="B749" s="11" t="str">
        <f aca="false">IF(A749="","",INVENTÁRIO!B749)</f>
        <v/>
      </c>
      <c r="C749" s="16" t="str">
        <f aca="false">IF(A749="","",IFERROR(INDEX($L$2:$L$801,MATCH(A749,$K$2:$K$801,0)),"Não verificada"))</f>
        <v/>
      </c>
      <c r="D749" s="11" t="str">
        <f aca="false">IF(AND(A749&lt;&gt;"",C749&lt;&gt;"Tem foto"),MAX(D$1:D748)+1,"")</f>
        <v/>
      </c>
      <c r="F749" s="26" t="str">
        <f aca="false">IF($I$4=0,"",IF(747&lt;=$I$4,"    """&amp;INDEX($A$2:$A$801,MATCH(747,$D$2:$D$801,0))&amp;""",",IF(747=$I$4+1,"]","")))</f>
        <v/>
      </c>
    </row>
    <row r="750" customFormat="false" ht="15" hidden="false" customHeight="false" outlineLevel="0" collapsed="false">
      <c r="A750" s="11" t="str">
        <f aca="false">IF(INVENTÁRIO!A750="","",INVENTÁRIO!A750)</f>
        <v/>
      </c>
      <c r="B750" s="11" t="str">
        <f aca="false">IF(A750="","",INVENTÁRIO!B750)</f>
        <v/>
      </c>
      <c r="C750" s="16" t="str">
        <f aca="false">IF(A750="","",IFERROR(INDEX($L$2:$L$801,MATCH(A750,$K$2:$K$801,0)),"Não verificada"))</f>
        <v/>
      </c>
      <c r="D750" s="11" t="str">
        <f aca="false">IF(AND(A750&lt;&gt;"",C750&lt;&gt;"Tem foto"),MAX(D$1:D749)+1,"")</f>
        <v/>
      </c>
      <c r="F750" s="26" t="str">
        <f aca="false">IF($I$4=0,"",IF(748&lt;=$I$4,"    """&amp;INDEX($A$2:$A$801,MATCH(748,$D$2:$D$801,0))&amp;""",",IF(748=$I$4+1,"]","")))</f>
        <v/>
      </c>
    </row>
    <row r="751" customFormat="false" ht="15" hidden="false" customHeight="false" outlineLevel="0" collapsed="false">
      <c r="A751" s="11" t="str">
        <f aca="false">IF(INVENTÁRIO!A751="","",INVENTÁRIO!A751)</f>
        <v/>
      </c>
      <c r="B751" s="11" t="str">
        <f aca="false">IF(A751="","",INVENTÁRIO!B751)</f>
        <v/>
      </c>
      <c r="C751" s="16" t="str">
        <f aca="false">IF(A751="","",IFERROR(INDEX($L$2:$L$801,MATCH(A751,$K$2:$K$801,0)),"Não verificada"))</f>
        <v/>
      </c>
      <c r="D751" s="11" t="str">
        <f aca="false">IF(AND(A751&lt;&gt;"",C751&lt;&gt;"Tem foto"),MAX(D$1:D750)+1,"")</f>
        <v/>
      </c>
      <c r="F751" s="26" t="str">
        <f aca="false">IF($I$4=0,"",IF(749&lt;=$I$4,"    """&amp;INDEX($A$2:$A$801,MATCH(749,$D$2:$D$801,0))&amp;""",",IF(749=$I$4+1,"]","")))</f>
        <v/>
      </c>
    </row>
    <row r="752" customFormat="false" ht="15" hidden="false" customHeight="false" outlineLevel="0" collapsed="false">
      <c r="A752" s="11" t="str">
        <f aca="false">IF(INVENTÁRIO!A752="","",INVENTÁRIO!A752)</f>
        <v/>
      </c>
      <c r="B752" s="11" t="str">
        <f aca="false">IF(A752="","",INVENTÁRIO!B752)</f>
        <v/>
      </c>
      <c r="C752" s="16" t="str">
        <f aca="false">IF(A752="","",IFERROR(INDEX($L$2:$L$801,MATCH(A752,$K$2:$K$801,0)),"Não verificada"))</f>
        <v/>
      </c>
      <c r="D752" s="11" t="str">
        <f aca="false">IF(AND(A752&lt;&gt;"",C752&lt;&gt;"Tem foto"),MAX(D$1:D751)+1,"")</f>
        <v/>
      </c>
      <c r="F752" s="26" t="str">
        <f aca="false">IF($I$4=0,"",IF(750&lt;=$I$4,"    """&amp;INDEX($A$2:$A$801,MATCH(750,$D$2:$D$801,0))&amp;""",",IF(750=$I$4+1,"]","")))</f>
        <v/>
      </c>
    </row>
    <row r="753" customFormat="false" ht="15" hidden="false" customHeight="false" outlineLevel="0" collapsed="false">
      <c r="A753" s="11" t="str">
        <f aca="false">IF(INVENTÁRIO!A753="","",INVENTÁRIO!A753)</f>
        <v/>
      </c>
      <c r="B753" s="11" t="str">
        <f aca="false">IF(A753="","",INVENTÁRIO!B753)</f>
        <v/>
      </c>
      <c r="C753" s="16" t="str">
        <f aca="false">IF(A753="","",IFERROR(INDEX($L$2:$L$801,MATCH(A753,$K$2:$K$801,0)),"Não verificada"))</f>
        <v/>
      </c>
      <c r="D753" s="11" t="str">
        <f aca="false">IF(AND(A753&lt;&gt;"",C753&lt;&gt;"Tem foto"),MAX(D$1:D752)+1,"")</f>
        <v/>
      </c>
      <c r="F753" s="26" t="str">
        <f aca="false">IF($I$4=0,"",IF(751&lt;=$I$4,"    """&amp;INDEX($A$2:$A$801,MATCH(751,$D$2:$D$801,0))&amp;""",",IF(751=$I$4+1,"]","")))</f>
        <v/>
      </c>
    </row>
    <row r="754" customFormat="false" ht="15" hidden="false" customHeight="false" outlineLevel="0" collapsed="false">
      <c r="A754" s="11" t="str">
        <f aca="false">IF(INVENTÁRIO!A754="","",INVENTÁRIO!A754)</f>
        <v/>
      </c>
      <c r="B754" s="11" t="str">
        <f aca="false">IF(A754="","",INVENTÁRIO!B754)</f>
        <v/>
      </c>
      <c r="C754" s="16" t="str">
        <f aca="false">IF(A754="","",IFERROR(INDEX($L$2:$L$801,MATCH(A754,$K$2:$K$801,0)),"Não verificada"))</f>
        <v/>
      </c>
      <c r="D754" s="11" t="str">
        <f aca="false">IF(AND(A754&lt;&gt;"",C754&lt;&gt;"Tem foto"),MAX(D$1:D753)+1,"")</f>
        <v/>
      </c>
      <c r="F754" s="26" t="str">
        <f aca="false">IF($I$4=0,"",IF(752&lt;=$I$4,"    """&amp;INDEX($A$2:$A$801,MATCH(752,$D$2:$D$801,0))&amp;""",",IF(752=$I$4+1,"]","")))</f>
        <v/>
      </c>
    </row>
    <row r="755" customFormat="false" ht="15" hidden="false" customHeight="false" outlineLevel="0" collapsed="false">
      <c r="A755" s="11" t="str">
        <f aca="false">IF(INVENTÁRIO!A755="","",INVENTÁRIO!A755)</f>
        <v/>
      </c>
      <c r="B755" s="11" t="str">
        <f aca="false">IF(A755="","",INVENTÁRIO!B755)</f>
        <v/>
      </c>
      <c r="C755" s="16" t="str">
        <f aca="false">IF(A755="","",IFERROR(INDEX($L$2:$L$801,MATCH(A755,$K$2:$K$801,0)),"Não verificada"))</f>
        <v/>
      </c>
      <c r="D755" s="11" t="str">
        <f aca="false">IF(AND(A755&lt;&gt;"",C755&lt;&gt;"Tem foto"),MAX(D$1:D754)+1,"")</f>
        <v/>
      </c>
      <c r="F755" s="26" t="str">
        <f aca="false">IF($I$4=0,"",IF(753&lt;=$I$4,"    """&amp;INDEX($A$2:$A$801,MATCH(753,$D$2:$D$801,0))&amp;""",",IF(753=$I$4+1,"]","")))</f>
        <v/>
      </c>
    </row>
    <row r="756" customFormat="false" ht="15" hidden="false" customHeight="false" outlineLevel="0" collapsed="false">
      <c r="A756" s="11" t="str">
        <f aca="false">IF(INVENTÁRIO!A756="","",INVENTÁRIO!A756)</f>
        <v/>
      </c>
      <c r="B756" s="11" t="str">
        <f aca="false">IF(A756="","",INVENTÁRIO!B756)</f>
        <v/>
      </c>
      <c r="C756" s="16" t="str">
        <f aca="false">IF(A756="","",IFERROR(INDEX($L$2:$L$801,MATCH(A756,$K$2:$K$801,0)),"Não verificada"))</f>
        <v/>
      </c>
      <c r="D756" s="11" t="str">
        <f aca="false">IF(AND(A756&lt;&gt;"",C756&lt;&gt;"Tem foto"),MAX(D$1:D755)+1,"")</f>
        <v/>
      </c>
      <c r="F756" s="26" t="str">
        <f aca="false">IF($I$4=0,"",IF(754&lt;=$I$4,"    """&amp;INDEX($A$2:$A$801,MATCH(754,$D$2:$D$801,0))&amp;""",",IF(754=$I$4+1,"]","")))</f>
        <v/>
      </c>
    </row>
    <row r="757" customFormat="false" ht="15" hidden="false" customHeight="false" outlineLevel="0" collapsed="false">
      <c r="A757" s="11" t="str">
        <f aca="false">IF(INVENTÁRIO!A757="","",INVENTÁRIO!A757)</f>
        <v/>
      </c>
      <c r="B757" s="11" t="str">
        <f aca="false">IF(A757="","",INVENTÁRIO!B757)</f>
        <v/>
      </c>
      <c r="C757" s="16" t="str">
        <f aca="false">IF(A757="","",IFERROR(INDEX($L$2:$L$801,MATCH(A757,$K$2:$K$801,0)),"Não verificada"))</f>
        <v/>
      </c>
      <c r="D757" s="11" t="str">
        <f aca="false">IF(AND(A757&lt;&gt;"",C757&lt;&gt;"Tem foto"),MAX(D$1:D756)+1,"")</f>
        <v/>
      </c>
      <c r="F757" s="26" t="str">
        <f aca="false">IF($I$4=0,"",IF(755&lt;=$I$4,"    """&amp;INDEX($A$2:$A$801,MATCH(755,$D$2:$D$801,0))&amp;""",",IF(755=$I$4+1,"]","")))</f>
        <v/>
      </c>
    </row>
    <row r="758" customFormat="false" ht="15" hidden="false" customHeight="false" outlineLevel="0" collapsed="false">
      <c r="A758" s="11" t="str">
        <f aca="false">IF(INVENTÁRIO!A758="","",INVENTÁRIO!A758)</f>
        <v/>
      </c>
      <c r="B758" s="11" t="str">
        <f aca="false">IF(A758="","",INVENTÁRIO!B758)</f>
        <v/>
      </c>
      <c r="C758" s="16" t="str">
        <f aca="false">IF(A758="","",IFERROR(INDEX($L$2:$L$801,MATCH(A758,$K$2:$K$801,0)),"Não verificada"))</f>
        <v/>
      </c>
      <c r="D758" s="11" t="str">
        <f aca="false">IF(AND(A758&lt;&gt;"",C758&lt;&gt;"Tem foto"),MAX(D$1:D757)+1,"")</f>
        <v/>
      </c>
      <c r="F758" s="26" t="str">
        <f aca="false">IF($I$4=0,"",IF(756&lt;=$I$4,"    """&amp;INDEX($A$2:$A$801,MATCH(756,$D$2:$D$801,0))&amp;""",",IF(756=$I$4+1,"]","")))</f>
        <v/>
      </c>
    </row>
    <row r="759" customFormat="false" ht="15" hidden="false" customHeight="false" outlineLevel="0" collapsed="false">
      <c r="A759" s="11" t="str">
        <f aca="false">IF(INVENTÁRIO!A759="","",INVENTÁRIO!A759)</f>
        <v/>
      </c>
      <c r="B759" s="11" t="str">
        <f aca="false">IF(A759="","",INVENTÁRIO!B759)</f>
        <v/>
      </c>
      <c r="C759" s="16" t="str">
        <f aca="false">IF(A759="","",IFERROR(INDEX($L$2:$L$801,MATCH(A759,$K$2:$K$801,0)),"Não verificada"))</f>
        <v/>
      </c>
      <c r="D759" s="11" t="str">
        <f aca="false">IF(AND(A759&lt;&gt;"",C759&lt;&gt;"Tem foto"),MAX(D$1:D758)+1,"")</f>
        <v/>
      </c>
      <c r="F759" s="26" t="str">
        <f aca="false">IF($I$4=0,"",IF(757&lt;=$I$4,"    """&amp;INDEX($A$2:$A$801,MATCH(757,$D$2:$D$801,0))&amp;""",",IF(757=$I$4+1,"]","")))</f>
        <v/>
      </c>
    </row>
    <row r="760" customFormat="false" ht="15" hidden="false" customHeight="false" outlineLevel="0" collapsed="false">
      <c r="A760" s="11" t="str">
        <f aca="false">IF(INVENTÁRIO!A760="","",INVENTÁRIO!A760)</f>
        <v/>
      </c>
      <c r="B760" s="11" t="str">
        <f aca="false">IF(A760="","",INVENTÁRIO!B760)</f>
        <v/>
      </c>
      <c r="C760" s="16" t="str">
        <f aca="false">IF(A760="","",IFERROR(INDEX($L$2:$L$801,MATCH(A760,$K$2:$K$801,0)),"Não verificada"))</f>
        <v/>
      </c>
      <c r="D760" s="11" t="str">
        <f aca="false">IF(AND(A760&lt;&gt;"",C760&lt;&gt;"Tem foto"),MAX(D$1:D759)+1,"")</f>
        <v/>
      </c>
      <c r="F760" s="26" t="str">
        <f aca="false">IF($I$4=0,"",IF(758&lt;=$I$4,"    """&amp;INDEX($A$2:$A$801,MATCH(758,$D$2:$D$801,0))&amp;""",",IF(758=$I$4+1,"]","")))</f>
        <v/>
      </c>
    </row>
    <row r="761" customFormat="false" ht="15" hidden="false" customHeight="false" outlineLevel="0" collapsed="false">
      <c r="A761" s="11" t="str">
        <f aca="false">IF(INVENTÁRIO!A761="","",INVENTÁRIO!A761)</f>
        <v/>
      </c>
      <c r="B761" s="11" t="str">
        <f aca="false">IF(A761="","",INVENTÁRIO!B761)</f>
        <v/>
      </c>
      <c r="C761" s="16" t="str">
        <f aca="false">IF(A761="","",IFERROR(INDEX($L$2:$L$801,MATCH(A761,$K$2:$K$801,0)),"Não verificada"))</f>
        <v/>
      </c>
      <c r="D761" s="11" t="str">
        <f aca="false">IF(AND(A761&lt;&gt;"",C761&lt;&gt;"Tem foto"),MAX(D$1:D760)+1,"")</f>
        <v/>
      </c>
      <c r="F761" s="26" t="str">
        <f aca="false">IF($I$4=0,"",IF(759&lt;=$I$4,"    """&amp;INDEX($A$2:$A$801,MATCH(759,$D$2:$D$801,0))&amp;""",",IF(759=$I$4+1,"]","")))</f>
        <v/>
      </c>
    </row>
    <row r="762" customFormat="false" ht="15" hidden="false" customHeight="false" outlineLevel="0" collapsed="false">
      <c r="A762" s="11" t="str">
        <f aca="false">IF(INVENTÁRIO!A762="","",INVENTÁRIO!A762)</f>
        <v/>
      </c>
      <c r="B762" s="11" t="str">
        <f aca="false">IF(A762="","",INVENTÁRIO!B762)</f>
        <v/>
      </c>
      <c r="C762" s="16" t="str">
        <f aca="false">IF(A762="","",IFERROR(INDEX($L$2:$L$801,MATCH(A762,$K$2:$K$801,0)),"Não verificada"))</f>
        <v/>
      </c>
      <c r="D762" s="11" t="str">
        <f aca="false">IF(AND(A762&lt;&gt;"",C762&lt;&gt;"Tem foto"),MAX(D$1:D761)+1,"")</f>
        <v/>
      </c>
      <c r="F762" s="26" t="str">
        <f aca="false">IF($I$4=0,"",IF(760&lt;=$I$4,"    """&amp;INDEX($A$2:$A$801,MATCH(760,$D$2:$D$801,0))&amp;""",",IF(760=$I$4+1,"]","")))</f>
        <v/>
      </c>
    </row>
    <row r="763" customFormat="false" ht="15" hidden="false" customHeight="false" outlineLevel="0" collapsed="false">
      <c r="A763" s="11" t="str">
        <f aca="false">IF(INVENTÁRIO!A763="","",INVENTÁRIO!A763)</f>
        <v/>
      </c>
      <c r="B763" s="11" t="str">
        <f aca="false">IF(A763="","",INVENTÁRIO!B763)</f>
        <v/>
      </c>
      <c r="C763" s="16" t="str">
        <f aca="false">IF(A763="","",IFERROR(INDEX($L$2:$L$801,MATCH(A763,$K$2:$K$801,0)),"Não verificada"))</f>
        <v/>
      </c>
      <c r="D763" s="11" t="str">
        <f aca="false">IF(AND(A763&lt;&gt;"",C763&lt;&gt;"Tem foto"),MAX(D$1:D762)+1,"")</f>
        <v/>
      </c>
      <c r="F763" s="26" t="str">
        <f aca="false">IF($I$4=0,"",IF(761&lt;=$I$4,"    """&amp;INDEX($A$2:$A$801,MATCH(761,$D$2:$D$801,0))&amp;""",",IF(761=$I$4+1,"]","")))</f>
        <v/>
      </c>
    </row>
    <row r="764" customFormat="false" ht="15" hidden="false" customHeight="false" outlineLevel="0" collapsed="false">
      <c r="A764" s="11" t="str">
        <f aca="false">IF(INVENTÁRIO!A764="","",INVENTÁRIO!A764)</f>
        <v/>
      </c>
      <c r="B764" s="11" t="str">
        <f aca="false">IF(A764="","",INVENTÁRIO!B764)</f>
        <v/>
      </c>
      <c r="C764" s="16" t="str">
        <f aca="false">IF(A764="","",IFERROR(INDEX($L$2:$L$801,MATCH(A764,$K$2:$K$801,0)),"Não verificada"))</f>
        <v/>
      </c>
      <c r="D764" s="11" t="str">
        <f aca="false">IF(AND(A764&lt;&gt;"",C764&lt;&gt;"Tem foto"),MAX(D$1:D763)+1,"")</f>
        <v/>
      </c>
      <c r="F764" s="26" t="str">
        <f aca="false">IF($I$4=0,"",IF(762&lt;=$I$4,"    """&amp;INDEX($A$2:$A$801,MATCH(762,$D$2:$D$801,0))&amp;""",",IF(762=$I$4+1,"]","")))</f>
        <v/>
      </c>
    </row>
    <row r="765" customFormat="false" ht="15" hidden="false" customHeight="false" outlineLevel="0" collapsed="false">
      <c r="A765" s="11" t="str">
        <f aca="false">IF(INVENTÁRIO!A765="","",INVENTÁRIO!A765)</f>
        <v/>
      </c>
      <c r="B765" s="11" t="str">
        <f aca="false">IF(A765="","",INVENTÁRIO!B765)</f>
        <v/>
      </c>
      <c r="C765" s="16" t="str">
        <f aca="false">IF(A765="","",IFERROR(INDEX($L$2:$L$801,MATCH(A765,$K$2:$K$801,0)),"Não verificada"))</f>
        <v/>
      </c>
      <c r="D765" s="11" t="str">
        <f aca="false">IF(AND(A765&lt;&gt;"",C765&lt;&gt;"Tem foto"),MAX(D$1:D764)+1,"")</f>
        <v/>
      </c>
      <c r="F765" s="26" t="str">
        <f aca="false">IF($I$4=0,"",IF(763&lt;=$I$4,"    """&amp;INDEX($A$2:$A$801,MATCH(763,$D$2:$D$801,0))&amp;""",",IF(763=$I$4+1,"]","")))</f>
        <v/>
      </c>
    </row>
    <row r="766" customFormat="false" ht="15" hidden="false" customHeight="false" outlineLevel="0" collapsed="false">
      <c r="A766" s="11" t="str">
        <f aca="false">IF(INVENTÁRIO!A766="","",INVENTÁRIO!A766)</f>
        <v/>
      </c>
      <c r="B766" s="11" t="str">
        <f aca="false">IF(A766="","",INVENTÁRIO!B766)</f>
        <v/>
      </c>
      <c r="C766" s="16" t="str">
        <f aca="false">IF(A766="","",IFERROR(INDEX($L$2:$L$801,MATCH(A766,$K$2:$K$801,0)),"Não verificada"))</f>
        <v/>
      </c>
      <c r="D766" s="11" t="str">
        <f aca="false">IF(AND(A766&lt;&gt;"",C766&lt;&gt;"Tem foto"),MAX(D$1:D765)+1,"")</f>
        <v/>
      </c>
      <c r="F766" s="26" t="str">
        <f aca="false">IF($I$4=0,"",IF(764&lt;=$I$4,"    """&amp;INDEX($A$2:$A$801,MATCH(764,$D$2:$D$801,0))&amp;""",",IF(764=$I$4+1,"]","")))</f>
        <v/>
      </c>
    </row>
    <row r="767" customFormat="false" ht="15" hidden="false" customHeight="false" outlineLevel="0" collapsed="false">
      <c r="A767" s="11" t="str">
        <f aca="false">IF(INVENTÁRIO!A767="","",INVENTÁRIO!A767)</f>
        <v/>
      </c>
      <c r="B767" s="11" t="str">
        <f aca="false">IF(A767="","",INVENTÁRIO!B767)</f>
        <v/>
      </c>
      <c r="C767" s="16" t="str">
        <f aca="false">IF(A767="","",IFERROR(INDEX($L$2:$L$801,MATCH(A767,$K$2:$K$801,0)),"Não verificada"))</f>
        <v/>
      </c>
      <c r="D767" s="11" t="str">
        <f aca="false">IF(AND(A767&lt;&gt;"",C767&lt;&gt;"Tem foto"),MAX(D$1:D766)+1,"")</f>
        <v/>
      </c>
      <c r="F767" s="26" t="str">
        <f aca="false">IF($I$4=0,"",IF(765&lt;=$I$4,"    """&amp;INDEX($A$2:$A$801,MATCH(765,$D$2:$D$801,0))&amp;""",",IF(765=$I$4+1,"]","")))</f>
        <v/>
      </c>
    </row>
    <row r="768" customFormat="false" ht="15" hidden="false" customHeight="false" outlineLevel="0" collapsed="false">
      <c r="A768" s="11" t="str">
        <f aca="false">IF(INVENTÁRIO!A768="","",INVENTÁRIO!A768)</f>
        <v/>
      </c>
      <c r="B768" s="11" t="str">
        <f aca="false">IF(A768="","",INVENTÁRIO!B768)</f>
        <v/>
      </c>
      <c r="C768" s="16" t="str">
        <f aca="false">IF(A768="","",IFERROR(INDEX($L$2:$L$801,MATCH(A768,$K$2:$K$801,0)),"Não verificada"))</f>
        <v/>
      </c>
      <c r="D768" s="11" t="str">
        <f aca="false">IF(AND(A768&lt;&gt;"",C768&lt;&gt;"Tem foto"),MAX(D$1:D767)+1,"")</f>
        <v/>
      </c>
      <c r="F768" s="26" t="str">
        <f aca="false">IF($I$4=0,"",IF(766&lt;=$I$4,"    """&amp;INDEX($A$2:$A$801,MATCH(766,$D$2:$D$801,0))&amp;""",",IF(766=$I$4+1,"]","")))</f>
        <v/>
      </c>
    </row>
    <row r="769" customFormat="false" ht="15" hidden="false" customHeight="false" outlineLevel="0" collapsed="false">
      <c r="A769" s="11" t="str">
        <f aca="false">IF(INVENTÁRIO!A769="","",INVENTÁRIO!A769)</f>
        <v/>
      </c>
      <c r="B769" s="11" t="str">
        <f aca="false">IF(A769="","",INVENTÁRIO!B769)</f>
        <v/>
      </c>
      <c r="C769" s="16" t="str">
        <f aca="false">IF(A769="","",IFERROR(INDEX($L$2:$L$801,MATCH(A769,$K$2:$K$801,0)),"Não verificada"))</f>
        <v/>
      </c>
      <c r="D769" s="11" t="str">
        <f aca="false">IF(AND(A769&lt;&gt;"",C769&lt;&gt;"Tem foto"),MAX(D$1:D768)+1,"")</f>
        <v/>
      </c>
      <c r="F769" s="26" t="str">
        <f aca="false">IF($I$4=0,"",IF(767&lt;=$I$4,"    """&amp;INDEX($A$2:$A$801,MATCH(767,$D$2:$D$801,0))&amp;""",",IF(767=$I$4+1,"]","")))</f>
        <v/>
      </c>
    </row>
    <row r="770" customFormat="false" ht="15" hidden="false" customHeight="false" outlineLevel="0" collapsed="false">
      <c r="A770" s="11" t="str">
        <f aca="false">IF(INVENTÁRIO!A770="","",INVENTÁRIO!A770)</f>
        <v/>
      </c>
      <c r="B770" s="11" t="str">
        <f aca="false">IF(A770="","",INVENTÁRIO!B770)</f>
        <v/>
      </c>
      <c r="C770" s="16" t="str">
        <f aca="false">IF(A770="","",IFERROR(INDEX($L$2:$L$801,MATCH(A770,$K$2:$K$801,0)),"Não verificada"))</f>
        <v/>
      </c>
      <c r="D770" s="11" t="str">
        <f aca="false">IF(AND(A770&lt;&gt;"",C770&lt;&gt;"Tem foto"),MAX(D$1:D769)+1,"")</f>
        <v/>
      </c>
      <c r="F770" s="26" t="str">
        <f aca="false">IF($I$4=0,"",IF(768&lt;=$I$4,"    """&amp;INDEX($A$2:$A$801,MATCH(768,$D$2:$D$801,0))&amp;""",",IF(768=$I$4+1,"]","")))</f>
        <v/>
      </c>
    </row>
    <row r="771" customFormat="false" ht="15" hidden="false" customHeight="false" outlineLevel="0" collapsed="false">
      <c r="A771" s="11" t="str">
        <f aca="false">IF(INVENTÁRIO!A771="","",INVENTÁRIO!A771)</f>
        <v/>
      </c>
      <c r="B771" s="11" t="str">
        <f aca="false">IF(A771="","",INVENTÁRIO!B771)</f>
        <v/>
      </c>
      <c r="C771" s="16" t="str">
        <f aca="false">IF(A771="","",IFERROR(INDEX($L$2:$L$801,MATCH(A771,$K$2:$K$801,0)),"Não verificada"))</f>
        <v/>
      </c>
      <c r="D771" s="11" t="str">
        <f aca="false">IF(AND(A771&lt;&gt;"",C771&lt;&gt;"Tem foto"),MAX(D$1:D770)+1,"")</f>
        <v/>
      </c>
      <c r="F771" s="26" t="str">
        <f aca="false">IF($I$4=0,"",IF(769&lt;=$I$4,"    """&amp;INDEX($A$2:$A$801,MATCH(769,$D$2:$D$801,0))&amp;""",",IF(769=$I$4+1,"]","")))</f>
        <v/>
      </c>
    </row>
    <row r="772" customFormat="false" ht="15" hidden="false" customHeight="false" outlineLevel="0" collapsed="false">
      <c r="A772" s="11" t="str">
        <f aca="false">IF(INVENTÁRIO!A772="","",INVENTÁRIO!A772)</f>
        <v/>
      </c>
      <c r="B772" s="11" t="str">
        <f aca="false">IF(A772="","",INVENTÁRIO!B772)</f>
        <v/>
      </c>
      <c r="C772" s="16" t="str">
        <f aca="false">IF(A772="","",IFERROR(INDEX($L$2:$L$801,MATCH(A772,$K$2:$K$801,0)),"Não verificada"))</f>
        <v/>
      </c>
      <c r="D772" s="11" t="str">
        <f aca="false">IF(AND(A772&lt;&gt;"",C772&lt;&gt;"Tem foto"),MAX(D$1:D771)+1,"")</f>
        <v/>
      </c>
      <c r="F772" s="26" t="str">
        <f aca="false">IF($I$4=0,"",IF(770&lt;=$I$4,"    """&amp;INDEX($A$2:$A$801,MATCH(770,$D$2:$D$801,0))&amp;""",",IF(770=$I$4+1,"]","")))</f>
        <v/>
      </c>
    </row>
    <row r="773" customFormat="false" ht="15" hidden="false" customHeight="false" outlineLevel="0" collapsed="false">
      <c r="A773" s="11" t="str">
        <f aca="false">IF(INVENTÁRIO!A773="","",INVENTÁRIO!A773)</f>
        <v/>
      </c>
      <c r="B773" s="11" t="str">
        <f aca="false">IF(A773="","",INVENTÁRIO!B773)</f>
        <v/>
      </c>
      <c r="C773" s="16" t="str">
        <f aca="false">IF(A773="","",IFERROR(INDEX($L$2:$L$801,MATCH(A773,$K$2:$K$801,0)),"Não verificada"))</f>
        <v/>
      </c>
      <c r="D773" s="11" t="str">
        <f aca="false">IF(AND(A773&lt;&gt;"",C773&lt;&gt;"Tem foto"),MAX(D$1:D772)+1,"")</f>
        <v/>
      </c>
      <c r="F773" s="26" t="str">
        <f aca="false">IF($I$4=0,"",IF(771&lt;=$I$4,"    """&amp;INDEX($A$2:$A$801,MATCH(771,$D$2:$D$801,0))&amp;""",",IF(771=$I$4+1,"]","")))</f>
        <v/>
      </c>
    </row>
    <row r="774" customFormat="false" ht="15" hidden="false" customHeight="false" outlineLevel="0" collapsed="false">
      <c r="A774" s="11" t="str">
        <f aca="false">IF(INVENTÁRIO!A774="","",INVENTÁRIO!A774)</f>
        <v/>
      </c>
      <c r="B774" s="11" t="str">
        <f aca="false">IF(A774="","",INVENTÁRIO!B774)</f>
        <v/>
      </c>
      <c r="C774" s="16" t="str">
        <f aca="false">IF(A774="","",IFERROR(INDEX($L$2:$L$801,MATCH(A774,$K$2:$K$801,0)),"Não verificada"))</f>
        <v/>
      </c>
      <c r="D774" s="11" t="str">
        <f aca="false">IF(AND(A774&lt;&gt;"",C774&lt;&gt;"Tem foto"),MAX(D$1:D773)+1,"")</f>
        <v/>
      </c>
      <c r="F774" s="26" t="str">
        <f aca="false">IF($I$4=0,"",IF(772&lt;=$I$4,"    """&amp;INDEX($A$2:$A$801,MATCH(772,$D$2:$D$801,0))&amp;""",",IF(772=$I$4+1,"]","")))</f>
        <v/>
      </c>
    </row>
    <row r="775" customFormat="false" ht="15" hidden="false" customHeight="false" outlineLevel="0" collapsed="false">
      <c r="A775" s="11" t="str">
        <f aca="false">IF(INVENTÁRIO!A775="","",INVENTÁRIO!A775)</f>
        <v/>
      </c>
      <c r="B775" s="11" t="str">
        <f aca="false">IF(A775="","",INVENTÁRIO!B775)</f>
        <v/>
      </c>
      <c r="C775" s="16" t="str">
        <f aca="false">IF(A775="","",IFERROR(INDEX($L$2:$L$801,MATCH(A775,$K$2:$K$801,0)),"Não verificada"))</f>
        <v/>
      </c>
      <c r="D775" s="11" t="str">
        <f aca="false">IF(AND(A775&lt;&gt;"",C775&lt;&gt;"Tem foto"),MAX(D$1:D774)+1,"")</f>
        <v/>
      </c>
      <c r="F775" s="26" t="str">
        <f aca="false">IF($I$4=0,"",IF(773&lt;=$I$4,"    """&amp;INDEX($A$2:$A$801,MATCH(773,$D$2:$D$801,0))&amp;""",",IF(773=$I$4+1,"]","")))</f>
        <v/>
      </c>
    </row>
    <row r="776" customFormat="false" ht="15" hidden="false" customHeight="false" outlineLevel="0" collapsed="false">
      <c r="A776" s="11" t="str">
        <f aca="false">IF(INVENTÁRIO!A776="","",INVENTÁRIO!A776)</f>
        <v/>
      </c>
      <c r="B776" s="11" t="str">
        <f aca="false">IF(A776="","",INVENTÁRIO!B776)</f>
        <v/>
      </c>
      <c r="C776" s="16" t="str">
        <f aca="false">IF(A776="","",IFERROR(INDEX($L$2:$L$801,MATCH(A776,$K$2:$K$801,0)),"Não verificada"))</f>
        <v/>
      </c>
      <c r="D776" s="11" t="str">
        <f aca="false">IF(AND(A776&lt;&gt;"",C776&lt;&gt;"Tem foto"),MAX(D$1:D775)+1,"")</f>
        <v/>
      </c>
      <c r="F776" s="26" t="str">
        <f aca="false">IF($I$4=0,"",IF(774&lt;=$I$4,"    """&amp;INDEX($A$2:$A$801,MATCH(774,$D$2:$D$801,0))&amp;""",",IF(774=$I$4+1,"]","")))</f>
        <v/>
      </c>
    </row>
    <row r="777" customFormat="false" ht="15" hidden="false" customHeight="false" outlineLevel="0" collapsed="false">
      <c r="A777" s="11" t="str">
        <f aca="false">IF(INVENTÁRIO!A777="","",INVENTÁRIO!A777)</f>
        <v/>
      </c>
      <c r="B777" s="11" t="str">
        <f aca="false">IF(A777="","",INVENTÁRIO!B777)</f>
        <v/>
      </c>
      <c r="C777" s="16" t="str">
        <f aca="false">IF(A777="","",IFERROR(INDEX($L$2:$L$801,MATCH(A777,$K$2:$K$801,0)),"Não verificada"))</f>
        <v/>
      </c>
      <c r="D777" s="11" t="str">
        <f aca="false">IF(AND(A777&lt;&gt;"",C777&lt;&gt;"Tem foto"),MAX(D$1:D776)+1,"")</f>
        <v/>
      </c>
      <c r="F777" s="26" t="str">
        <f aca="false">IF($I$4=0,"",IF(775&lt;=$I$4,"    """&amp;INDEX($A$2:$A$801,MATCH(775,$D$2:$D$801,0))&amp;""",",IF(775=$I$4+1,"]","")))</f>
        <v/>
      </c>
    </row>
    <row r="778" customFormat="false" ht="15" hidden="false" customHeight="false" outlineLevel="0" collapsed="false">
      <c r="A778" s="11" t="str">
        <f aca="false">IF(INVENTÁRIO!A778="","",INVENTÁRIO!A778)</f>
        <v/>
      </c>
      <c r="B778" s="11" t="str">
        <f aca="false">IF(A778="","",INVENTÁRIO!B778)</f>
        <v/>
      </c>
      <c r="C778" s="16" t="str">
        <f aca="false">IF(A778="","",IFERROR(INDEX($L$2:$L$801,MATCH(A778,$K$2:$K$801,0)),"Não verificada"))</f>
        <v/>
      </c>
      <c r="D778" s="11" t="str">
        <f aca="false">IF(AND(A778&lt;&gt;"",C778&lt;&gt;"Tem foto"),MAX(D$1:D777)+1,"")</f>
        <v/>
      </c>
      <c r="F778" s="26" t="str">
        <f aca="false">IF($I$4=0,"",IF(776&lt;=$I$4,"    """&amp;INDEX($A$2:$A$801,MATCH(776,$D$2:$D$801,0))&amp;""",",IF(776=$I$4+1,"]","")))</f>
        <v/>
      </c>
    </row>
    <row r="779" customFormat="false" ht="15" hidden="false" customHeight="false" outlineLevel="0" collapsed="false">
      <c r="A779" s="11" t="str">
        <f aca="false">IF(INVENTÁRIO!A779="","",INVENTÁRIO!A779)</f>
        <v/>
      </c>
      <c r="B779" s="11" t="str">
        <f aca="false">IF(A779="","",INVENTÁRIO!B779)</f>
        <v/>
      </c>
      <c r="C779" s="16" t="str">
        <f aca="false">IF(A779="","",IFERROR(INDEX($L$2:$L$801,MATCH(A779,$K$2:$K$801,0)),"Não verificada"))</f>
        <v/>
      </c>
      <c r="D779" s="11" t="str">
        <f aca="false">IF(AND(A779&lt;&gt;"",C779&lt;&gt;"Tem foto"),MAX(D$1:D778)+1,"")</f>
        <v/>
      </c>
      <c r="F779" s="26" t="str">
        <f aca="false">IF($I$4=0,"",IF(777&lt;=$I$4,"    """&amp;INDEX($A$2:$A$801,MATCH(777,$D$2:$D$801,0))&amp;""",",IF(777=$I$4+1,"]","")))</f>
        <v/>
      </c>
    </row>
    <row r="780" customFormat="false" ht="15" hidden="false" customHeight="false" outlineLevel="0" collapsed="false">
      <c r="A780" s="11" t="str">
        <f aca="false">IF(INVENTÁRIO!A780="","",INVENTÁRIO!A780)</f>
        <v/>
      </c>
      <c r="B780" s="11" t="str">
        <f aca="false">IF(A780="","",INVENTÁRIO!B780)</f>
        <v/>
      </c>
      <c r="C780" s="16" t="str">
        <f aca="false">IF(A780="","",IFERROR(INDEX($L$2:$L$801,MATCH(A780,$K$2:$K$801,0)),"Não verificada"))</f>
        <v/>
      </c>
      <c r="D780" s="11" t="str">
        <f aca="false">IF(AND(A780&lt;&gt;"",C780&lt;&gt;"Tem foto"),MAX(D$1:D779)+1,"")</f>
        <v/>
      </c>
      <c r="F780" s="26" t="str">
        <f aca="false">IF($I$4=0,"",IF(778&lt;=$I$4,"    """&amp;INDEX($A$2:$A$801,MATCH(778,$D$2:$D$801,0))&amp;""",",IF(778=$I$4+1,"]","")))</f>
        <v/>
      </c>
    </row>
    <row r="781" customFormat="false" ht="15" hidden="false" customHeight="false" outlineLevel="0" collapsed="false">
      <c r="A781" s="11" t="str">
        <f aca="false">IF(INVENTÁRIO!A781="","",INVENTÁRIO!A781)</f>
        <v/>
      </c>
      <c r="B781" s="11" t="str">
        <f aca="false">IF(A781="","",INVENTÁRIO!B781)</f>
        <v/>
      </c>
      <c r="C781" s="16" t="str">
        <f aca="false">IF(A781="","",IFERROR(INDEX($L$2:$L$801,MATCH(A781,$K$2:$K$801,0)),"Não verificada"))</f>
        <v/>
      </c>
      <c r="D781" s="11" t="str">
        <f aca="false">IF(AND(A781&lt;&gt;"",C781&lt;&gt;"Tem foto"),MAX(D$1:D780)+1,"")</f>
        <v/>
      </c>
      <c r="F781" s="26" t="str">
        <f aca="false">IF($I$4=0,"",IF(779&lt;=$I$4,"    """&amp;INDEX($A$2:$A$801,MATCH(779,$D$2:$D$801,0))&amp;""",",IF(779=$I$4+1,"]","")))</f>
        <v/>
      </c>
    </row>
    <row r="782" customFormat="false" ht="15" hidden="false" customHeight="false" outlineLevel="0" collapsed="false">
      <c r="A782" s="11" t="str">
        <f aca="false">IF(INVENTÁRIO!A782="","",INVENTÁRIO!A782)</f>
        <v/>
      </c>
      <c r="B782" s="11" t="str">
        <f aca="false">IF(A782="","",INVENTÁRIO!B782)</f>
        <v/>
      </c>
      <c r="C782" s="16" t="str">
        <f aca="false">IF(A782="","",IFERROR(INDEX($L$2:$L$801,MATCH(A782,$K$2:$K$801,0)),"Não verificada"))</f>
        <v/>
      </c>
      <c r="D782" s="11" t="str">
        <f aca="false">IF(AND(A782&lt;&gt;"",C782&lt;&gt;"Tem foto"),MAX(D$1:D781)+1,"")</f>
        <v/>
      </c>
      <c r="F782" s="26" t="str">
        <f aca="false">IF($I$4=0,"",IF(780&lt;=$I$4,"    """&amp;INDEX($A$2:$A$801,MATCH(780,$D$2:$D$801,0))&amp;""",",IF(780=$I$4+1,"]","")))</f>
        <v/>
      </c>
    </row>
    <row r="783" customFormat="false" ht="15" hidden="false" customHeight="false" outlineLevel="0" collapsed="false">
      <c r="A783" s="11" t="str">
        <f aca="false">IF(INVENTÁRIO!A783="","",INVENTÁRIO!A783)</f>
        <v/>
      </c>
      <c r="B783" s="11" t="str">
        <f aca="false">IF(A783="","",INVENTÁRIO!B783)</f>
        <v/>
      </c>
      <c r="C783" s="16" t="str">
        <f aca="false">IF(A783="","",IFERROR(INDEX($L$2:$L$801,MATCH(A783,$K$2:$K$801,0)),"Não verificada"))</f>
        <v/>
      </c>
      <c r="D783" s="11" t="str">
        <f aca="false">IF(AND(A783&lt;&gt;"",C783&lt;&gt;"Tem foto"),MAX(D$1:D782)+1,"")</f>
        <v/>
      </c>
      <c r="F783" s="26" t="str">
        <f aca="false">IF($I$4=0,"",IF(781&lt;=$I$4,"    """&amp;INDEX($A$2:$A$801,MATCH(781,$D$2:$D$801,0))&amp;""",",IF(781=$I$4+1,"]","")))</f>
        <v/>
      </c>
    </row>
    <row r="784" customFormat="false" ht="15" hidden="false" customHeight="false" outlineLevel="0" collapsed="false">
      <c r="A784" s="11" t="str">
        <f aca="false">IF(INVENTÁRIO!A784="","",INVENTÁRIO!A784)</f>
        <v/>
      </c>
      <c r="B784" s="11" t="str">
        <f aca="false">IF(A784="","",INVENTÁRIO!B784)</f>
        <v/>
      </c>
      <c r="C784" s="16" t="str">
        <f aca="false">IF(A784="","",IFERROR(INDEX($L$2:$L$801,MATCH(A784,$K$2:$K$801,0)),"Não verificada"))</f>
        <v/>
      </c>
      <c r="D784" s="11" t="str">
        <f aca="false">IF(AND(A784&lt;&gt;"",C784&lt;&gt;"Tem foto"),MAX(D$1:D783)+1,"")</f>
        <v/>
      </c>
      <c r="F784" s="26" t="str">
        <f aca="false">IF($I$4=0,"",IF(782&lt;=$I$4,"    """&amp;INDEX($A$2:$A$801,MATCH(782,$D$2:$D$801,0))&amp;""",",IF(782=$I$4+1,"]","")))</f>
        <v/>
      </c>
    </row>
    <row r="785" customFormat="false" ht="15" hidden="false" customHeight="false" outlineLevel="0" collapsed="false">
      <c r="A785" s="11" t="str">
        <f aca="false">IF(INVENTÁRIO!A785="","",INVENTÁRIO!A785)</f>
        <v/>
      </c>
      <c r="B785" s="11" t="str">
        <f aca="false">IF(A785="","",INVENTÁRIO!B785)</f>
        <v/>
      </c>
      <c r="C785" s="16" t="str">
        <f aca="false">IF(A785="","",IFERROR(INDEX($L$2:$L$801,MATCH(A785,$K$2:$K$801,0)),"Não verificada"))</f>
        <v/>
      </c>
      <c r="D785" s="11" t="str">
        <f aca="false">IF(AND(A785&lt;&gt;"",C785&lt;&gt;"Tem foto"),MAX(D$1:D784)+1,"")</f>
        <v/>
      </c>
      <c r="F785" s="26" t="str">
        <f aca="false">IF($I$4=0,"",IF(783&lt;=$I$4,"    """&amp;INDEX($A$2:$A$801,MATCH(783,$D$2:$D$801,0))&amp;""",",IF(783=$I$4+1,"]","")))</f>
        <v/>
      </c>
    </row>
    <row r="786" customFormat="false" ht="15" hidden="false" customHeight="false" outlineLevel="0" collapsed="false">
      <c r="A786" s="11" t="str">
        <f aca="false">IF(INVENTÁRIO!A786="","",INVENTÁRIO!A786)</f>
        <v/>
      </c>
      <c r="B786" s="11" t="str">
        <f aca="false">IF(A786="","",INVENTÁRIO!B786)</f>
        <v/>
      </c>
      <c r="C786" s="16" t="str">
        <f aca="false">IF(A786="","",IFERROR(INDEX($L$2:$L$801,MATCH(A786,$K$2:$K$801,0)),"Não verificada"))</f>
        <v/>
      </c>
      <c r="D786" s="11" t="str">
        <f aca="false">IF(AND(A786&lt;&gt;"",C786&lt;&gt;"Tem foto"),MAX(D$1:D785)+1,"")</f>
        <v/>
      </c>
      <c r="F786" s="26" t="str">
        <f aca="false">IF($I$4=0,"",IF(784&lt;=$I$4,"    """&amp;INDEX($A$2:$A$801,MATCH(784,$D$2:$D$801,0))&amp;""",",IF(784=$I$4+1,"]","")))</f>
        <v/>
      </c>
    </row>
    <row r="787" customFormat="false" ht="15" hidden="false" customHeight="false" outlineLevel="0" collapsed="false">
      <c r="A787" s="11" t="str">
        <f aca="false">IF(INVENTÁRIO!A787="","",INVENTÁRIO!A787)</f>
        <v/>
      </c>
      <c r="B787" s="11" t="str">
        <f aca="false">IF(A787="","",INVENTÁRIO!B787)</f>
        <v/>
      </c>
      <c r="C787" s="16" t="str">
        <f aca="false">IF(A787="","",IFERROR(INDEX($L$2:$L$801,MATCH(A787,$K$2:$K$801,0)),"Não verificada"))</f>
        <v/>
      </c>
      <c r="D787" s="11" t="str">
        <f aca="false">IF(AND(A787&lt;&gt;"",C787&lt;&gt;"Tem foto"),MAX(D$1:D786)+1,"")</f>
        <v/>
      </c>
      <c r="F787" s="26" t="str">
        <f aca="false">IF($I$4=0,"",IF(785&lt;=$I$4,"    """&amp;INDEX($A$2:$A$801,MATCH(785,$D$2:$D$801,0))&amp;""",",IF(785=$I$4+1,"]","")))</f>
        <v/>
      </c>
    </row>
    <row r="788" customFormat="false" ht="15" hidden="false" customHeight="false" outlineLevel="0" collapsed="false">
      <c r="A788" s="11" t="str">
        <f aca="false">IF(INVENTÁRIO!A788="","",INVENTÁRIO!A788)</f>
        <v/>
      </c>
      <c r="B788" s="11" t="str">
        <f aca="false">IF(A788="","",INVENTÁRIO!B788)</f>
        <v/>
      </c>
      <c r="C788" s="16" t="str">
        <f aca="false">IF(A788="","",IFERROR(INDEX($L$2:$L$801,MATCH(A788,$K$2:$K$801,0)),"Não verificada"))</f>
        <v/>
      </c>
      <c r="D788" s="11" t="str">
        <f aca="false">IF(AND(A788&lt;&gt;"",C788&lt;&gt;"Tem foto"),MAX(D$1:D787)+1,"")</f>
        <v/>
      </c>
      <c r="F788" s="26" t="str">
        <f aca="false">IF($I$4=0,"",IF(786&lt;=$I$4,"    """&amp;INDEX($A$2:$A$801,MATCH(786,$D$2:$D$801,0))&amp;""",",IF(786=$I$4+1,"]","")))</f>
        <v/>
      </c>
    </row>
    <row r="789" customFormat="false" ht="15" hidden="false" customHeight="false" outlineLevel="0" collapsed="false">
      <c r="A789" s="11" t="str">
        <f aca="false">IF(INVENTÁRIO!A789="","",INVENTÁRIO!A789)</f>
        <v/>
      </c>
      <c r="B789" s="11" t="str">
        <f aca="false">IF(A789="","",INVENTÁRIO!B789)</f>
        <v/>
      </c>
      <c r="C789" s="16" t="str">
        <f aca="false">IF(A789="","",IFERROR(INDEX($L$2:$L$801,MATCH(A789,$K$2:$K$801,0)),"Não verificada"))</f>
        <v/>
      </c>
      <c r="D789" s="11" t="str">
        <f aca="false">IF(AND(A789&lt;&gt;"",C789&lt;&gt;"Tem foto"),MAX(D$1:D788)+1,"")</f>
        <v/>
      </c>
      <c r="F789" s="26" t="str">
        <f aca="false">IF($I$4=0,"",IF(787&lt;=$I$4,"    """&amp;INDEX($A$2:$A$801,MATCH(787,$D$2:$D$801,0))&amp;""",",IF(787=$I$4+1,"]","")))</f>
        <v/>
      </c>
    </row>
    <row r="790" customFormat="false" ht="15" hidden="false" customHeight="false" outlineLevel="0" collapsed="false">
      <c r="A790" s="11" t="str">
        <f aca="false">IF(INVENTÁRIO!A790="","",INVENTÁRIO!A790)</f>
        <v/>
      </c>
      <c r="B790" s="11" t="str">
        <f aca="false">IF(A790="","",INVENTÁRIO!B790)</f>
        <v/>
      </c>
      <c r="C790" s="16" t="str">
        <f aca="false">IF(A790="","",IFERROR(INDEX($L$2:$L$801,MATCH(A790,$K$2:$K$801,0)),"Não verificada"))</f>
        <v/>
      </c>
      <c r="D790" s="11" t="str">
        <f aca="false">IF(AND(A790&lt;&gt;"",C790&lt;&gt;"Tem foto"),MAX(D$1:D789)+1,"")</f>
        <v/>
      </c>
      <c r="F790" s="26" t="str">
        <f aca="false">IF($I$4=0,"",IF(788&lt;=$I$4,"    """&amp;INDEX($A$2:$A$801,MATCH(788,$D$2:$D$801,0))&amp;""",",IF(788=$I$4+1,"]","")))</f>
        <v/>
      </c>
    </row>
    <row r="791" customFormat="false" ht="15" hidden="false" customHeight="false" outlineLevel="0" collapsed="false">
      <c r="A791" s="11" t="str">
        <f aca="false">IF(INVENTÁRIO!A791="","",INVENTÁRIO!A791)</f>
        <v/>
      </c>
      <c r="B791" s="11" t="str">
        <f aca="false">IF(A791="","",INVENTÁRIO!B791)</f>
        <v/>
      </c>
      <c r="C791" s="16" t="str">
        <f aca="false">IF(A791="","",IFERROR(INDEX($L$2:$L$801,MATCH(A791,$K$2:$K$801,0)),"Não verificada"))</f>
        <v/>
      </c>
      <c r="D791" s="11" t="str">
        <f aca="false">IF(AND(A791&lt;&gt;"",C791&lt;&gt;"Tem foto"),MAX(D$1:D790)+1,"")</f>
        <v/>
      </c>
      <c r="F791" s="26" t="str">
        <f aca="false">IF($I$4=0,"",IF(789&lt;=$I$4,"    """&amp;INDEX($A$2:$A$801,MATCH(789,$D$2:$D$801,0))&amp;""",",IF(789=$I$4+1,"]","")))</f>
        <v/>
      </c>
    </row>
    <row r="792" customFormat="false" ht="15" hidden="false" customHeight="false" outlineLevel="0" collapsed="false">
      <c r="A792" s="11" t="str">
        <f aca="false">IF(INVENTÁRIO!A792="","",INVENTÁRIO!A792)</f>
        <v/>
      </c>
      <c r="B792" s="11" t="str">
        <f aca="false">IF(A792="","",INVENTÁRIO!B792)</f>
        <v/>
      </c>
      <c r="C792" s="16" t="str">
        <f aca="false">IF(A792="","",IFERROR(INDEX($L$2:$L$801,MATCH(A792,$K$2:$K$801,0)),"Não verificada"))</f>
        <v/>
      </c>
      <c r="D792" s="11" t="str">
        <f aca="false">IF(AND(A792&lt;&gt;"",C792&lt;&gt;"Tem foto"),MAX(D$1:D791)+1,"")</f>
        <v/>
      </c>
      <c r="F792" s="26" t="str">
        <f aca="false">IF($I$4=0,"",IF(790&lt;=$I$4,"    """&amp;INDEX($A$2:$A$801,MATCH(790,$D$2:$D$801,0))&amp;""",",IF(790=$I$4+1,"]","")))</f>
        <v/>
      </c>
    </row>
    <row r="793" customFormat="false" ht="15" hidden="false" customHeight="false" outlineLevel="0" collapsed="false">
      <c r="A793" s="11" t="str">
        <f aca="false">IF(INVENTÁRIO!A793="","",INVENTÁRIO!A793)</f>
        <v/>
      </c>
      <c r="B793" s="11" t="str">
        <f aca="false">IF(A793="","",INVENTÁRIO!B793)</f>
        <v/>
      </c>
      <c r="C793" s="16" t="str">
        <f aca="false">IF(A793="","",IFERROR(INDEX($L$2:$L$801,MATCH(A793,$K$2:$K$801,0)),"Não verificada"))</f>
        <v/>
      </c>
      <c r="D793" s="11" t="str">
        <f aca="false">IF(AND(A793&lt;&gt;"",C793&lt;&gt;"Tem foto"),MAX(D$1:D792)+1,"")</f>
        <v/>
      </c>
      <c r="F793" s="26" t="str">
        <f aca="false">IF($I$4=0,"",IF(791&lt;=$I$4,"    """&amp;INDEX($A$2:$A$801,MATCH(791,$D$2:$D$801,0))&amp;""",",IF(791=$I$4+1,"]","")))</f>
        <v/>
      </c>
    </row>
    <row r="794" customFormat="false" ht="15" hidden="false" customHeight="false" outlineLevel="0" collapsed="false">
      <c r="A794" s="11" t="str">
        <f aca="false">IF(INVENTÁRIO!A794="","",INVENTÁRIO!A794)</f>
        <v/>
      </c>
      <c r="B794" s="11" t="str">
        <f aca="false">IF(A794="","",INVENTÁRIO!B794)</f>
        <v/>
      </c>
      <c r="C794" s="16" t="str">
        <f aca="false">IF(A794="","",IFERROR(INDEX($L$2:$L$801,MATCH(A794,$K$2:$K$801,0)),"Não verificada"))</f>
        <v/>
      </c>
      <c r="D794" s="11" t="str">
        <f aca="false">IF(AND(A794&lt;&gt;"",C794&lt;&gt;"Tem foto"),MAX(D$1:D793)+1,"")</f>
        <v/>
      </c>
      <c r="F794" s="26" t="str">
        <f aca="false">IF($I$4=0,"",IF(792&lt;=$I$4,"    """&amp;INDEX($A$2:$A$801,MATCH(792,$D$2:$D$801,0))&amp;""",",IF(792=$I$4+1,"]","")))</f>
        <v/>
      </c>
    </row>
    <row r="795" customFormat="false" ht="15" hidden="false" customHeight="false" outlineLevel="0" collapsed="false">
      <c r="A795" s="11" t="str">
        <f aca="false">IF(INVENTÁRIO!A795="","",INVENTÁRIO!A795)</f>
        <v/>
      </c>
      <c r="B795" s="11" t="str">
        <f aca="false">IF(A795="","",INVENTÁRIO!B795)</f>
        <v/>
      </c>
      <c r="C795" s="16" t="str">
        <f aca="false">IF(A795="","",IFERROR(INDEX($L$2:$L$801,MATCH(A795,$K$2:$K$801,0)),"Não verificada"))</f>
        <v/>
      </c>
      <c r="D795" s="11" t="str">
        <f aca="false">IF(AND(A795&lt;&gt;"",C795&lt;&gt;"Tem foto"),MAX(D$1:D794)+1,"")</f>
        <v/>
      </c>
      <c r="F795" s="26" t="str">
        <f aca="false">IF($I$4=0,"",IF(793&lt;=$I$4,"    """&amp;INDEX($A$2:$A$801,MATCH(793,$D$2:$D$801,0))&amp;""",",IF(793=$I$4+1,"]","")))</f>
        <v/>
      </c>
    </row>
    <row r="796" customFormat="false" ht="15" hidden="false" customHeight="false" outlineLevel="0" collapsed="false">
      <c r="A796" s="11" t="str">
        <f aca="false">IF(INVENTÁRIO!A796="","",INVENTÁRIO!A796)</f>
        <v/>
      </c>
      <c r="B796" s="11" t="str">
        <f aca="false">IF(A796="","",INVENTÁRIO!B796)</f>
        <v/>
      </c>
      <c r="C796" s="16" t="str">
        <f aca="false">IF(A796="","",IFERROR(INDEX($L$2:$L$801,MATCH(A796,$K$2:$K$801,0)),"Não verificada"))</f>
        <v/>
      </c>
      <c r="D796" s="11" t="str">
        <f aca="false">IF(AND(A796&lt;&gt;"",C796&lt;&gt;"Tem foto"),MAX(D$1:D795)+1,"")</f>
        <v/>
      </c>
      <c r="F796" s="26" t="str">
        <f aca="false">IF($I$4=0,"",IF(794&lt;=$I$4,"    """&amp;INDEX($A$2:$A$801,MATCH(794,$D$2:$D$801,0))&amp;""",",IF(794=$I$4+1,"]","")))</f>
        <v/>
      </c>
    </row>
    <row r="797" customFormat="false" ht="15" hidden="false" customHeight="false" outlineLevel="0" collapsed="false">
      <c r="A797" s="11" t="str">
        <f aca="false">IF(INVENTÁRIO!A797="","",INVENTÁRIO!A797)</f>
        <v/>
      </c>
      <c r="B797" s="11" t="str">
        <f aca="false">IF(A797="","",INVENTÁRIO!B797)</f>
        <v/>
      </c>
      <c r="C797" s="16" t="str">
        <f aca="false">IF(A797="","",IFERROR(INDEX($L$2:$L$801,MATCH(A797,$K$2:$K$801,0)),"Não verificada"))</f>
        <v/>
      </c>
      <c r="D797" s="11" t="str">
        <f aca="false">IF(AND(A797&lt;&gt;"",C797&lt;&gt;"Tem foto"),MAX(D$1:D796)+1,"")</f>
        <v/>
      </c>
      <c r="F797" s="26" t="str">
        <f aca="false">IF($I$4=0,"",IF(795&lt;=$I$4,"    """&amp;INDEX($A$2:$A$801,MATCH(795,$D$2:$D$801,0))&amp;""",",IF(795=$I$4+1,"]","")))</f>
        <v/>
      </c>
    </row>
    <row r="798" customFormat="false" ht="15" hidden="false" customHeight="false" outlineLevel="0" collapsed="false">
      <c r="A798" s="11" t="str">
        <f aca="false">IF(INVENTÁRIO!A798="","",INVENTÁRIO!A798)</f>
        <v/>
      </c>
      <c r="B798" s="11" t="str">
        <f aca="false">IF(A798="","",INVENTÁRIO!B798)</f>
        <v/>
      </c>
      <c r="C798" s="16" t="str">
        <f aca="false">IF(A798="","",IFERROR(INDEX($L$2:$L$801,MATCH(A798,$K$2:$K$801,0)),"Não verificada"))</f>
        <v/>
      </c>
      <c r="D798" s="11" t="str">
        <f aca="false">IF(AND(A798&lt;&gt;"",C798&lt;&gt;"Tem foto"),MAX(D$1:D797)+1,"")</f>
        <v/>
      </c>
      <c r="F798" s="26" t="str">
        <f aca="false">IF($I$4=0,"",IF(796&lt;=$I$4,"    """&amp;INDEX($A$2:$A$801,MATCH(796,$D$2:$D$801,0))&amp;""",",IF(796=$I$4+1,"]","")))</f>
        <v/>
      </c>
    </row>
    <row r="799" customFormat="false" ht="15" hidden="false" customHeight="false" outlineLevel="0" collapsed="false">
      <c r="A799" s="11" t="str">
        <f aca="false">IF(INVENTÁRIO!A799="","",INVENTÁRIO!A799)</f>
        <v/>
      </c>
      <c r="B799" s="11" t="str">
        <f aca="false">IF(A799="","",INVENTÁRIO!B799)</f>
        <v/>
      </c>
      <c r="C799" s="16" t="str">
        <f aca="false">IF(A799="","",IFERROR(INDEX($L$2:$L$801,MATCH(A799,$K$2:$K$801,0)),"Não verificada"))</f>
        <v/>
      </c>
      <c r="D799" s="11" t="str">
        <f aca="false">IF(AND(A799&lt;&gt;"",C799&lt;&gt;"Tem foto"),MAX(D$1:D798)+1,"")</f>
        <v/>
      </c>
      <c r="F799" s="26" t="str">
        <f aca="false">IF($I$4=0,"",IF(797&lt;=$I$4,"    """&amp;INDEX($A$2:$A$801,MATCH(797,$D$2:$D$801,0))&amp;""",",IF(797=$I$4+1,"]","")))</f>
        <v/>
      </c>
    </row>
    <row r="800" customFormat="false" ht="15" hidden="false" customHeight="false" outlineLevel="0" collapsed="false">
      <c r="A800" s="11" t="str">
        <f aca="false">IF(INVENTÁRIO!A800="","",INVENTÁRIO!A800)</f>
        <v/>
      </c>
      <c r="B800" s="11" t="str">
        <f aca="false">IF(A800="","",INVENTÁRIO!B800)</f>
        <v/>
      </c>
      <c r="C800" s="16" t="str">
        <f aca="false">IF(A800="","",IFERROR(INDEX($L$2:$L$801,MATCH(A800,$K$2:$K$801,0)),"Não verificada"))</f>
        <v/>
      </c>
      <c r="D800" s="11" t="str">
        <f aca="false">IF(AND(A800&lt;&gt;"",C800&lt;&gt;"Tem foto"),MAX(D$1:D799)+1,"")</f>
        <v/>
      </c>
      <c r="F800" s="26" t="str">
        <f aca="false">IF($I$4=0,"",IF(798&lt;=$I$4,"    """&amp;INDEX($A$2:$A$801,MATCH(798,$D$2:$D$801,0))&amp;""",",IF(798=$I$4+1,"]","")))</f>
        <v/>
      </c>
    </row>
    <row r="801" customFormat="false" ht="15" hidden="false" customHeight="false" outlineLevel="0" collapsed="false">
      <c r="A801" s="11" t="str">
        <f aca="false">IF(INVENTÁRIO!A801="","",INVENTÁRIO!A801)</f>
        <v/>
      </c>
      <c r="B801" s="11" t="str">
        <f aca="false">IF(A801="","",INVENTÁRIO!B801)</f>
        <v/>
      </c>
      <c r="C801" s="16" t="str">
        <f aca="false">IF(A801="","",IFERROR(INDEX($L$2:$L$801,MATCH(A801,$K$2:$K$801,0)),"Não verificada"))</f>
        <v/>
      </c>
      <c r="D801" s="11" t="str">
        <f aca="false">IF(AND(A801&lt;&gt;"",C801&lt;&gt;"Tem foto"),MAX(D$1:D800)+1,"")</f>
        <v/>
      </c>
      <c r="F801" s="26" t="str">
        <f aca="false">IF($I$4=0,"",IF(799&lt;=$I$4,"    """&amp;INDEX($A$2:$A$801,MATCH(799,$D$2:$D$801,0))&amp;""",",IF(799=$I$4+1,"]","")))</f>
        <v/>
      </c>
    </row>
    <row r="802" customFormat="false" ht="15" hidden="false" customHeight="false" outlineLevel="0" collapsed="false">
      <c r="F802" s="26" t="str">
        <f aca="false">IF($I$4=0,"",IF(800&lt;=$I$4,"    """&amp;INDEX($A$2:$A$801,MATCH(800,$D$2:$D$801,0))&amp;""",",IF(800=$I$4+1,"]","")))</f>
        <v/>
      </c>
    </row>
    <row r="803" customFormat="false" ht="15" hidden="false" customHeight="false" outlineLevel="0" collapsed="false">
      <c r="F803" s="26" t="str">
        <f aca="false">IF($I$4=0,"",IF(801&lt;=$I$4,"    """&amp;INDEX($A$2:$A$801,MATCH(801,$D$2:$D$801,0))&amp;""",",IF(801=$I$4+1,"]","")))</f>
        <v/>
      </c>
    </row>
  </sheetData>
  <conditionalFormatting sqref="C2:C801">
    <cfRule type="expression" priority="2" aboveAverage="0" equalAverage="0" bottom="0" percent="0" rank="0" text="" dxfId="10">
      <formula>$C2="Tem foto"</formula>
    </cfRule>
    <cfRule type="expression" priority="3" aboveAverage="0" equalAverage="0" bottom="0" percent="0" rank="0" text="" dxfId="11">
      <formula>AND($C2&lt;&gt;"",$C2&lt;&gt;"Tem foto")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40"/>
    <col collapsed="false" customWidth="true" hidden="false" outlineLevel="0" max="8" min="8" style="0" width="40"/>
    <col collapsed="false" customWidth="true" hidden="false" outlineLevel="0" max="10" min="10" style="0" width="30"/>
    <col collapsed="false" customWidth="true" hidden="false" outlineLevel="0" max="11" min="11" style="0" width="20"/>
    <col collapsed="false" customWidth="true" hidden="false" outlineLevel="0" max="16" min="16" style="0" width="22"/>
  </cols>
  <sheetData>
    <row r="1" customFormat="false" ht="33.75" hidden="false" customHeight="true" outlineLevel="0" collapsed="false">
      <c r="A1" s="8" t="s">
        <v>123</v>
      </c>
      <c r="B1" s="8" t="s">
        <v>124</v>
      </c>
      <c r="C1" s="8" t="s">
        <v>125</v>
      </c>
      <c r="D1" s="8" t="s">
        <v>126</v>
      </c>
      <c r="E1" s="8" t="s">
        <v>45</v>
      </c>
      <c r="F1" s="8" t="s">
        <v>127</v>
      </c>
      <c r="G1" s="8" t="s">
        <v>128</v>
      </c>
      <c r="H1" s="8" t="s">
        <v>129</v>
      </c>
      <c r="I1" s="8" t="s">
        <v>130</v>
      </c>
      <c r="J1" s="8" t="s">
        <v>60</v>
      </c>
      <c r="K1" s="8" t="s">
        <v>63</v>
      </c>
      <c r="L1" s="8" t="s">
        <v>131</v>
      </c>
      <c r="M1" s="8" t="s">
        <v>132</v>
      </c>
      <c r="N1" s="8" t="s">
        <v>133</v>
      </c>
      <c r="O1" s="8" t="s">
        <v>134</v>
      </c>
      <c r="P1" s="8" t="s">
        <v>135</v>
      </c>
      <c r="Q1" s="8" t="s">
        <v>136</v>
      </c>
      <c r="R1" s="8" t="s">
        <v>137</v>
      </c>
      <c r="S1" s="8" t="s">
        <v>138</v>
      </c>
      <c r="T1" s="8" t="s">
        <v>139</v>
      </c>
      <c r="U1" s="8" t="s">
        <v>140</v>
      </c>
      <c r="V1" s="8" t="s">
        <v>141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str">
        <f aca="false">TRIM(SUBSTITUTE(INDEX(LISTAS!$A$4:$T$63,B2,A2)&amp;"",CHAR(160)," "))</f>
        <v/>
      </c>
      <c r="D2" s="0" t="str">
        <f aca="false">IF(C2="","",TRIM(RIGHT(SUBSTITUTE(C2," ",REPT(" ",100)),100)))</f>
        <v/>
      </c>
      <c r="E2" s="0" t="str">
        <f aca="false">IF(D2="","",UPPER(SUBSTITUTE(SUBSTITUTE(D2,"(",""),")","")))</f>
        <v/>
      </c>
      <c r="F2" s="0" t="str">
        <f aca="false">IF(C2="","",LEFT(C2,FIND(" ",C2&amp;" ")-1))</f>
        <v/>
      </c>
      <c r="G2" s="0" t="n">
        <f aca="false">IFERROR(VALUE(SUBSTITUTE(LOWER(F2),"x","")),0)</f>
        <v>0</v>
      </c>
      <c r="H2" s="0" t="str">
        <f aca="false">IF(C2="","",TRIM(MID(C2,LEN(F2)+2,999)))</f>
        <v/>
      </c>
      <c r="I2" s="0" t="n">
        <f aca="false">IF(OR(C2="",LEFT(C2,2)="//"),0,IFERROR(IF(AND(G2&gt;0,G2=INT(G2),FIND("-",E2)&gt;1,NOT(EXACT(UPPER(LEFT(E2,1)),LOWER(LEFT(E2,1)))),ISNUMBER(VALUE(MID(E2,FIND("-",E2)+1,10)))),1,0),0))</f>
        <v>0</v>
      </c>
      <c r="J2" s="0" t="str">
        <f aca="false">IF(I2=1,TRIM(LEFT(H2,MAX(0,LEN(H2)-LEN(D2)))),"")</f>
        <v/>
      </c>
      <c r="K2" s="0" t="str">
        <f aca="false">INDEX($P$2:$P$21,A2)</f>
        <v>Deck 1</v>
      </c>
      <c r="L2" s="0" t="n">
        <f aca="false">IF(AND(C2&lt;&gt;"",LEFT(C2,2)&lt;&gt;"//",I2=0),1,0)</f>
        <v>0</v>
      </c>
      <c r="M2" s="0" t="str">
        <f aca="false">IF(I2=1,MAX(M$1:M1)+1,"")</f>
        <v/>
      </c>
      <c r="N2" s="0" t="str">
        <f aca="false">IFERROR(MATCH(ROW()-1,$V$2:$V$1201,0),"")</f>
        <v/>
      </c>
      <c r="O2" s="0" t="n">
        <v>1</v>
      </c>
      <c r="P2" s="0" t="str">
        <f aca="false">IF(TRIM(LISTAS!A1&amp;"")="","Deck "&amp;O2,TRIM(LISTAS!A1&amp;""))</f>
        <v>Deck 1</v>
      </c>
      <c r="Q2" s="0" t="n">
        <f aca="false">IF(COUNTIFS($A$2:$A$1201,O2,$I$2:$I$1201,1)&gt;0,1,0)</f>
        <v>0</v>
      </c>
      <c r="R2" s="0" t="str">
        <f aca="false">IF(E2="","",IFERROR(LEFT(E2,FIND("-",E2)-1),E2))</f>
        <v/>
      </c>
      <c r="S2" s="0" t="str">
        <f aca="false">IF(R2="","",IF(ISNUMBER(--MID(R2,1,1)),0,IF(ISNUMBER(--MID(R2,2,1)),1,IF(ISNUMBER(--MID(R2,3,1)),2,IF(ISNUMBER(--MID(R2,4,1)),3,MIN(LEN(R2),4))))))</f>
        <v/>
      </c>
      <c r="T2" s="0" t="str">
        <f aca="false">IF(E2="","",LEFT(R2,S2)&amp;REPT("0",4-S2)&amp;RIGHT("000"&amp;IFERROR(VALUE(MID(R2,S2+1,9)),0),3)&amp;RIGHT("0000"&amp;IFERROR(VALUE(MID(E2,FIND("-",E2)+1,9)),0),4))</f>
        <v/>
      </c>
      <c r="U2" s="0" t="str">
        <f aca="false">IF(I2=1,"K"&amp;RIGHT("00"&amp;A2,2)&amp;T2&amp;RIGHT("00000"&amp;ROW(),5),"")</f>
        <v/>
      </c>
      <c r="V2" s="0" t="str">
        <f aca="false">IF(U2="","",COUNTIFS($I$2:$I$1201,1,$U$2:$U$1201,"&lt;"&amp;U2)+1)</f>
        <v/>
      </c>
    </row>
    <row r="3" customFormat="false" ht="15" hidden="false" customHeight="false" outlineLevel="0" collapsed="false">
      <c r="A3" s="0" t="n">
        <v>1</v>
      </c>
      <c r="B3" s="0" t="n">
        <v>2</v>
      </c>
      <c r="C3" s="0" t="str">
        <f aca="false">TRIM(SUBSTITUTE(INDEX(LISTAS!$A$4:$T$63,B3,A3)&amp;"",CHAR(160)," "))</f>
        <v/>
      </c>
      <c r="D3" s="0" t="str">
        <f aca="false">IF(C3="","",TRIM(RIGHT(SUBSTITUTE(C3," ",REPT(" ",100)),100)))</f>
        <v/>
      </c>
      <c r="E3" s="0" t="str">
        <f aca="false">IF(D3="","",UPPER(SUBSTITUTE(SUBSTITUTE(D3,"(",""),")","")))</f>
        <v/>
      </c>
      <c r="F3" s="0" t="str">
        <f aca="false">IF(C3="","",LEFT(C3,FIND(" ",C3&amp;" ")-1))</f>
        <v/>
      </c>
      <c r="G3" s="0" t="n">
        <f aca="false">IFERROR(VALUE(SUBSTITUTE(LOWER(F3),"x","")),0)</f>
        <v>0</v>
      </c>
      <c r="H3" s="0" t="str">
        <f aca="false">IF(C3="","",TRIM(MID(C3,LEN(F3)+2,999)))</f>
        <v/>
      </c>
      <c r="I3" s="0" t="n">
        <f aca="false">IF(OR(C3="",LEFT(C3,2)="//"),0,IFERROR(IF(AND(G3&gt;0,G3=INT(G3),FIND("-",E3)&gt;1,NOT(EXACT(UPPER(LEFT(E3,1)),LOWER(LEFT(E3,1)))),ISNUMBER(VALUE(MID(E3,FIND("-",E3)+1,10)))),1,0),0))</f>
        <v>0</v>
      </c>
      <c r="J3" s="0" t="str">
        <f aca="false">IF(I3=1,TRIM(LEFT(H3,MAX(0,LEN(H3)-LEN(D3)))),"")</f>
        <v/>
      </c>
      <c r="K3" s="0" t="str">
        <f aca="false">INDEX($P$2:$P$21,A3)</f>
        <v>Deck 1</v>
      </c>
      <c r="L3" s="0" t="n">
        <f aca="false">IF(AND(C3&lt;&gt;"",LEFT(C3,2)&lt;&gt;"//",I3=0),1,0)</f>
        <v>0</v>
      </c>
      <c r="M3" s="0" t="str">
        <f aca="false">IF(I3=1,MAX(M$1:M2)+1,"")</f>
        <v/>
      </c>
      <c r="N3" s="0" t="str">
        <f aca="false">IFERROR(MATCH(ROW()-1,$V$2:$V$1201,0),"")</f>
        <v/>
      </c>
      <c r="O3" s="0" t="n">
        <v>2</v>
      </c>
      <c r="P3" s="0" t="str">
        <f aca="false">IF(TRIM(LISTAS!B1&amp;"")="","Deck "&amp;O3,TRIM(LISTAS!B1&amp;""))</f>
        <v>Deck 2</v>
      </c>
      <c r="Q3" s="0" t="n">
        <f aca="false">IF(COUNTIFS($A$2:$A$1201,O3,$I$2:$I$1201,1)&gt;0,1,0)</f>
        <v>0</v>
      </c>
      <c r="R3" s="0" t="str">
        <f aca="false">IF(E3="","",IFERROR(LEFT(E3,FIND("-",E3)-1),E3))</f>
        <v/>
      </c>
      <c r="S3" s="0" t="str">
        <f aca="false">IF(R3="","",IF(ISNUMBER(--MID(R3,1,1)),0,IF(ISNUMBER(--MID(R3,2,1)),1,IF(ISNUMBER(--MID(R3,3,1)),2,IF(ISNUMBER(--MID(R3,4,1)),3,MIN(LEN(R3),4))))))</f>
        <v/>
      </c>
      <c r="T3" s="0" t="str">
        <f aca="false">IF(E3="","",LEFT(R3,S3)&amp;REPT("0",4-S3)&amp;RIGHT("000"&amp;IFERROR(VALUE(MID(R3,S3+1,9)),0),3)&amp;RIGHT("0000"&amp;IFERROR(VALUE(MID(E3,FIND("-",E3)+1,9)),0),4))</f>
        <v/>
      </c>
      <c r="U3" s="0" t="str">
        <f aca="false">IF(I3=1,"K"&amp;RIGHT("00"&amp;A3,2)&amp;T3&amp;RIGHT("00000"&amp;ROW(),5),"")</f>
        <v/>
      </c>
      <c r="V3" s="0" t="str">
        <f aca="false">IF(U3="","",COUNTIFS($I$2:$I$1201,1,$U$2:$U$1201,"&lt;"&amp;U3)+1)</f>
        <v/>
      </c>
    </row>
    <row r="4" customFormat="false" ht="15" hidden="false" customHeight="false" outlineLevel="0" collapsed="false">
      <c r="A4" s="0" t="n">
        <v>1</v>
      </c>
      <c r="B4" s="0" t="n">
        <v>3</v>
      </c>
      <c r="C4" s="0" t="str">
        <f aca="false">TRIM(SUBSTITUTE(INDEX(LISTAS!$A$4:$T$63,B4,A4)&amp;"",CHAR(160)," "))</f>
        <v/>
      </c>
      <c r="D4" s="0" t="str">
        <f aca="false">IF(C4="","",TRIM(RIGHT(SUBSTITUTE(C4," ",REPT(" ",100)),100)))</f>
        <v/>
      </c>
      <c r="E4" s="0" t="str">
        <f aca="false">IF(D4="","",UPPER(SUBSTITUTE(SUBSTITUTE(D4,"(",""),")","")))</f>
        <v/>
      </c>
      <c r="F4" s="0" t="str">
        <f aca="false">IF(C4="","",LEFT(C4,FIND(" ",C4&amp;" ")-1))</f>
        <v/>
      </c>
      <c r="G4" s="0" t="n">
        <f aca="false">IFERROR(VALUE(SUBSTITUTE(LOWER(F4),"x","")),0)</f>
        <v>0</v>
      </c>
      <c r="H4" s="0" t="str">
        <f aca="false">IF(C4="","",TRIM(MID(C4,LEN(F4)+2,999)))</f>
        <v/>
      </c>
      <c r="I4" s="0" t="n">
        <f aca="false">IF(OR(C4="",LEFT(C4,2)="//"),0,IFERROR(IF(AND(G4&gt;0,G4=INT(G4),FIND("-",E4)&gt;1,NOT(EXACT(UPPER(LEFT(E4,1)),LOWER(LEFT(E4,1)))),ISNUMBER(VALUE(MID(E4,FIND("-",E4)+1,10)))),1,0),0))</f>
        <v>0</v>
      </c>
      <c r="J4" s="0" t="str">
        <f aca="false">IF(I4=1,TRIM(LEFT(H4,MAX(0,LEN(H4)-LEN(D4)))),"")</f>
        <v/>
      </c>
      <c r="K4" s="0" t="str">
        <f aca="false">INDEX($P$2:$P$21,A4)</f>
        <v>Deck 1</v>
      </c>
      <c r="L4" s="0" t="n">
        <f aca="false">IF(AND(C4&lt;&gt;"",LEFT(C4,2)&lt;&gt;"//",I4=0),1,0)</f>
        <v>0</v>
      </c>
      <c r="M4" s="0" t="str">
        <f aca="false">IF(I4=1,MAX(M$1:M3)+1,"")</f>
        <v/>
      </c>
      <c r="N4" s="0" t="str">
        <f aca="false">IFERROR(MATCH(ROW()-1,$V$2:$V$1201,0),"")</f>
        <v/>
      </c>
      <c r="O4" s="0" t="n">
        <v>3</v>
      </c>
      <c r="P4" s="0" t="str">
        <f aca="false">IF(TRIM(LISTAS!C1&amp;"")="","Deck "&amp;O4,TRIM(LISTAS!C1&amp;""))</f>
        <v>Deck 3</v>
      </c>
      <c r="Q4" s="0" t="n">
        <f aca="false">IF(COUNTIFS($A$2:$A$1201,O4,$I$2:$I$1201,1)&gt;0,1,0)</f>
        <v>0</v>
      </c>
      <c r="R4" s="0" t="str">
        <f aca="false">IF(E4="","",IFERROR(LEFT(E4,FIND("-",E4)-1),E4))</f>
        <v/>
      </c>
      <c r="S4" s="0" t="str">
        <f aca="false">IF(R4="","",IF(ISNUMBER(--MID(R4,1,1)),0,IF(ISNUMBER(--MID(R4,2,1)),1,IF(ISNUMBER(--MID(R4,3,1)),2,IF(ISNUMBER(--MID(R4,4,1)),3,MIN(LEN(R4),4))))))</f>
        <v/>
      </c>
      <c r="T4" s="0" t="str">
        <f aca="false">IF(E4="","",LEFT(R4,S4)&amp;REPT("0",4-S4)&amp;RIGHT("000"&amp;IFERROR(VALUE(MID(R4,S4+1,9)),0),3)&amp;RIGHT("0000"&amp;IFERROR(VALUE(MID(E4,FIND("-",E4)+1,9)),0),4))</f>
        <v/>
      </c>
      <c r="U4" s="0" t="str">
        <f aca="false">IF(I4=1,"K"&amp;RIGHT("00"&amp;A4,2)&amp;T4&amp;RIGHT("00000"&amp;ROW(),5),"")</f>
        <v/>
      </c>
      <c r="V4" s="0" t="str">
        <f aca="false">IF(U4="","",COUNTIFS($I$2:$I$1201,1,$U$2:$U$1201,"&lt;"&amp;U4)+1)</f>
        <v/>
      </c>
    </row>
    <row r="5" customFormat="false" ht="15" hidden="false" customHeight="false" outlineLevel="0" collapsed="false">
      <c r="A5" s="0" t="n">
        <v>1</v>
      </c>
      <c r="B5" s="0" t="n">
        <v>4</v>
      </c>
      <c r="C5" s="0" t="str">
        <f aca="false">TRIM(SUBSTITUTE(INDEX(LISTAS!$A$4:$T$63,B5,A5)&amp;"",CHAR(160)," "))</f>
        <v/>
      </c>
      <c r="D5" s="0" t="str">
        <f aca="false">IF(C5="","",TRIM(RIGHT(SUBSTITUTE(C5," ",REPT(" ",100)),100)))</f>
        <v/>
      </c>
      <c r="E5" s="0" t="str">
        <f aca="false">IF(D5="","",UPPER(SUBSTITUTE(SUBSTITUTE(D5,"(",""),")","")))</f>
        <v/>
      </c>
      <c r="F5" s="0" t="str">
        <f aca="false">IF(C5="","",LEFT(C5,FIND(" ",C5&amp;" ")-1))</f>
        <v/>
      </c>
      <c r="G5" s="0" t="n">
        <f aca="false">IFERROR(VALUE(SUBSTITUTE(LOWER(F5),"x","")),0)</f>
        <v>0</v>
      </c>
      <c r="H5" s="0" t="str">
        <f aca="false">IF(C5="","",TRIM(MID(C5,LEN(F5)+2,999)))</f>
        <v/>
      </c>
      <c r="I5" s="0" t="n">
        <f aca="false">IF(OR(C5="",LEFT(C5,2)="//"),0,IFERROR(IF(AND(G5&gt;0,G5=INT(G5),FIND("-",E5)&gt;1,NOT(EXACT(UPPER(LEFT(E5,1)),LOWER(LEFT(E5,1)))),ISNUMBER(VALUE(MID(E5,FIND("-",E5)+1,10)))),1,0),0))</f>
        <v>0</v>
      </c>
      <c r="J5" s="0" t="str">
        <f aca="false">IF(I5=1,TRIM(LEFT(H5,MAX(0,LEN(H5)-LEN(D5)))),"")</f>
        <v/>
      </c>
      <c r="K5" s="0" t="str">
        <f aca="false">INDEX($P$2:$P$21,A5)</f>
        <v>Deck 1</v>
      </c>
      <c r="L5" s="0" t="n">
        <f aca="false">IF(AND(C5&lt;&gt;"",LEFT(C5,2)&lt;&gt;"//",I5=0),1,0)</f>
        <v>0</v>
      </c>
      <c r="M5" s="0" t="str">
        <f aca="false">IF(I5=1,MAX(M$1:M4)+1,"")</f>
        <v/>
      </c>
      <c r="N5" s="0" t="str">
        <f aca="false">IFERROR(MATCH(ROW()-1,$V$2:$V$1201,0),"")</f>
        <v/>
      </c>
      <c r="O5" s="0" t="n">
        <v>4</v>
      </c>
      <c r="P5" s="0" t="str">
        <f aca="false">IF(TRIM(LISTAS!D1&amp;"")="","Deck "&amp;O5,TRIM(LISTAS!D1&amp;""))</f>
        <v>Deck 4</v>
      </c>
      <c r="Q5" s="0" t="n">
        <f aca="false">IF(COUNTIFS($A$2:$A$1201,O5,$I$2:$I$1201,1)&gt;0,1,0)</f>
        <v>0</v>
      </c>
      <c r="R5" s="0" t="str">
        <f aca="false">IF(E5="","",IFERROR(LEFT(E5,FIND("-",E5)-1),E5))</f>
        <v/>
      </c>
      <c r="S5" s="0" t="str">
        <f aca="false">IF(R5="","",IF(ISNUMBER(--MID(R5,1,1)),0,IF(ISNUMBER(--MID(R5,2,1)),1,IF(ISNUMBER(--MID(R5,3,1)),2,IF(ISNUMBER(--MID(R5,4,1)),3,MIN(LEN(R5),4))))))</f>
        <v/>
      </c>
      <c r="T5" s="0" t="str">
        <f aca="false">IF(E5="","",LEFT(R5,S5)&amp;REPT("0",4-S5)&amp;RIGHT("000"&amp;IFERROR(VALUE(MID(R5,S5+1,9)),0),3)&amp;RIGHT("0000"&amp;IFERROR(VALUE(MID(E5,FIND("-",E5)+1,9)),0),4))</f>
        <v/>
      </c>
      <c r="U5" s="0" t="str">
        <f aca="false">IF(I5=1,"K"&amp;RIGHT("00"&amp;A5,2)&amp;T5&amp;RIGHT("00000"&amp;ROW(),5),"")</f>
        <v/>
      </c>
      <c r="V5" s="0" t="str">
        <f aca="false">IF(U5="","",COUNTIFS($I$2:$I$1201,1,$U$2:$U$1201,"&lt;"&amp;U5)+1)</f>
        <v/>
      </c>
    </row>
    <row r="6" customFormat="false" ht="15" hidden="false" customHeight="false" outlineLevel="0" collapsed="false">
      <c r="A6" s="0" t="n">
        <v>1</v>
      </c>
      <c r="B6" s="0" t="n">
        <v>5</v>
      </c>
      <c r="C6" s="0" t="str">
        <f aca="false">TRIM(SUBSTITUTE(INDEX(LISTAS!$A$4:$T$63,B6,A6)&amp;"",CHAR(160)," "))</f>
        <v/>
      </c>
      <c r="D6" s="0" t="str">
        <f aca="false">IF(C6="","",TRIM(RIGHT(SUBSTITUTE(C6," ",REPT(" ",100)),100)))</f>
        <v/>
      </c>
      <c r="E6" s="0" t="str">
        <f aca="false">IF(D6="","",UPPER(SUBSTITUTE(SUBSTITUTE(D6,"(",""),")","")))</f>
        <v/>
      </c>
      <c r="F6" s="0" t="str">
        <f aca="false">IF(C6="","",LEFT(C6,FIND(" ",C6&amp;" ")-1))</f>
        <v/>
      </c>
      <c r="G6" s="0" t="n">
        <f aca="false">IFERROR(VALUE(SUBSTITUTE(LOWER(F6),"x","")),0)</f>
        <v>0</v>
      </c>
      <c r="H6" s="0" t="str">
        <f aca="false">IF(C6="","",TRIM(MID(C6,LEN(F6)+2,999)))</f>
        <v/>
      </c>
      <c r="I6" s="0" t="n">
        <f aca="false">IF(OR(C6="",LEFT(C6,2)="//"),0,IFERROR(IF(AND(G6&gt;0,G6=INT(G6),FIND("-",E6)&gt;1,NOT(EXACT(UPPER(LEFT(E6,1)),LOWER(LEFT(E6,1)))),ISNUMBER(VALUE(MID(E6,FIND("-",E6)+1,10)))),1,0),0))</f>
        <v>0</v>
      </c>
      <c r="J6" s="0" t="str">
        <f aca="false">IF(I6=1,TRIM(LEFT(H6,MAX(0,LEN(H6)-LEN(D6)))),"")</f>
        <v/>
      </c>
      <c r="K6" s="0" t="str">
        <f aca="false">INDEX($P$2:$P$21,A6)</f>
        <v>Deck 1</v>
      </c>
      <c r="L6" s="0" t="n">
        <f aca="false">IF(AND(C6&lt;&gt;"",LEFT(C6,2)&lt;&gt;"//",I6=0),1,0)</f>
        <v>0</v>
      </c>
      <c r="M6" s="0" t="str">
        <f aca="false">IF(I6=1,MAX(M$1:M5)+1,"")</f>
        <v/>
      </c>
      <c r="N6" s="0" t="str">
        <f aca="false">IFERROR(MATCH(ROW()-1,$V$2:$V$1201,0),"")</f>
        <v/>
      </c>
      <c r="O6" s="0" t="n">
        <v>5</v>
      </c>
      <c r="P6" s="0" t="str">
        <f aca="false">IF(TRIM(LISTAS!E1&amp;"")="","Deck "&amp;O6,TRIM(LISTAS!E1&amp;""))</f>
        <v>Deck 5</v>
      </c>
      <c r="Q6" s="0" t="n">
        <f aca="false">IF(COUNTIFS($A$2:$A$1201,O6,$I$2:$I$1201,1)&gt;0,1,0)</f>
        <v>0</v>
      </c>
      <c r="R6" s="0" t="str">
        <f aca="false">IF(E6="","",IFERROR(LEFT(E6,FIND("-",E6)-1),E6))</f>
        <v/>
      </c>
      <c r="S6" s="0" t="str">
        <f aca="false">IF(R6="","",IF(ISNUMBER(--MID(R6,1,1)),0,IF(ISNUMBER(--MID(R6,2,1)),1,IF(ISNUMBER(--MID(R6,3,1)),2,IF(ISNUMBER(--MID(R6,4,1)),3,MIN(LEN(R6),4))))))</f>
        <v/>
      </c>
      <c r="T6" s="0" t="str">
        <f aca="false">IF(E6="","",LEFT(R6,S6)&amp;REPT("0",4-S6)&amp;RIGHT("000"&amp;IFERROR(VALUE(MID(R6,S6+1,9)),0),3)&amp;RIGHT("0000"&amp;IFERROR(VALUE(MID(E6,FIND("-",E6)+1,9)),0),4))</f>
        <v/>
      </c>
      <c r="U6" s="0" t="str">
        <f aca="false">IF(I6=1,"K"&amp;RIGHT("00"&amp;A6,2)&amp;T6&amp;RIGHT("00000"&amp;ROW(),5),"")</f>
        <v/>
      </c>
      <c r="V6" s="0" t="str">
        <f aca="false">IF(U6="","",COUNTIFS($I$2:$I$1201,1,$U$2:$U$1201,"&lt;"&amp;U6)+1)</f>
        <v/>
      </c>
    </row>
    <row r="7" customFormat="false" ht="15" hidden="false" customHeight="false" outlineLevel="0" collapsed="false">
      <c r="A7" s="0" t="n">
        <v>1</v>
      </c>
      <c r="B7" s="0" t="n">
        <v>6</v>
      </c>
      <c r="C7" s="0" t="str">
        <f aca="false">TRIM(SUBSTITUTE(INDEX(LISTAS!$A$4:$T$63,B7,A7)&amp;"",CHAR(160)," "))</f>
        <v/>
      </c>
      <c r="D7" s="0" t="str">
        <f aca="false">IF(C7="","",TRIM(RIGHT(SUBSTITUTE(C7," ",REPT(" ",100)),100)))</f>
        <v/>
      </c>
      <c r="E7" s="0" t="str">
        <f aca="false">IF(D7="","",UPPER(SUBSTITUTE(SUBSTITUTE(D7,"(",""),")","")))</f>
        <v/>
      </c>
      <c r="F7" s="0" t="str">
        <f aca="false">IF(C7="","",LEFT(C7,FIND(" ",C7&amp;" ")-1))</f>
        <v/>
      </c>
      <c r="G7" s="0" t="n">
        <f aca="false">IFERROR(VALUE(SUBSTITUTE(LOWER(F7),"x","")),0)</f>
        <v>0</v>
      </c>
      <c r="H7" s="0" t="str">
        <f aca="false">IF(C7="","",TRIM(MID(C7,LEN(F7)+2,999)))</f>
        <v/>
      </c>
      <c r="I7" s="0" t="n">
        <f aca="false">IF(OR(C7="",LEFT(C7,2)="//"),0,IFERROR(IF(AND(G7&gt;0,G7=INT(G7),FIND("-",E7)&gt;1,NOT(EXACT(UPPER(LEFT(E7,1)),LOWER(LEFT(E7,1)))),ISNUMBER(VALUE(MID(E7,FIND("-",E7)+1,10)))),1,0),0))</f>
        <v>0</v>
      </c>
      <c r="J7" s="0" t="str">
        <f aca="false">IF(I7=1,TRIM(LEFT(H7,MAX(0,LEN(H7)-LEN(D7)))),"")</f>
        <v/>
      </c>
      <c r="K7" s="0" t="str">
        <f aca="false">INDEX($P$2:$P$21,A7)</f>
        <v>Deck 1</v>
      </c>
      <c r="L7" s="0" t="n">
        <f aca="false">IF(AND(C7&lt;&gt;"",LEFT(C7,2)&lt;&gt;"//",I7=0),1,0)</f>
        <v>0</v>
      </c>
      <c r="M7" s="0" t="str">
        <f aca="false">IF(I7=1,MAX(M$1:M6)+1,"")</f>
        <v/>
      </c>
      <c r="N7" s="0" t="str">
        <f aca="false">IFERROR(MATCH(ROW()-1,$V$2:$V$1201,0),"")</f>
        <v/>
      </c>
      <c r="O7" s="0" t="n">
        <v>6</v>
      </c>
      <c r="P7" s="0" t="str">
        <f aca="false">IF(TRIM(LISTAS!F1&amp;"")="","Deck "&amp;O7,TRIM(LISTAS!F1&amp;""))</f>
        <v>Deck 6</v>
      </c>
      <c r="Q7" s="0" t="n">
        <f aca="false">IF(COUNTIFS($A$2:$A$1201,O7,$I$2:$I$1201,1)&gt;0,1,0)</f>
        <v>0</v>
      </c>
      <c r="R7" s="0" t="str">
        <f aca="false">IF(E7="","",IFERROR(LEFT(E7,FIND("-",E7)-1),E7))</f>
        <v/>
      </c>
      <c r="S7" s="0" t="str">
        <f aca="false">IF(R7="","",IF(ISNUMBER(--MID(R7,1,1)),0,IF(ISNUMBER(--MID(R7,2,1)),1,IF(ISNUMBER(--MID(R7,3,1)),2,IF(ISNUMBER(--MID(R7,4,1)),3,MIN(LEN(R7),4))))))</f>
        <v/>
      </c>
      <c r="T7" s="0" t="str">
        <f aca="false">IF(E7="","",LEFT(R7,S7)&amp;REPT("0",4-S7)&amp;RIGHT("000"&amp;IFERROR(VALUE(MID(R7,S7+1,9)),0),3)&amp;RIGHT("0000"&amp;IFERROR(VALUE(MID(E7,FIND("-",E7)+1,9)),0),4))</f>
        <v/>
      </c>
      <c r="U7" s="0" t="str">
        <f aca="false">IF(I7=1,"K"&amp;RIGHT("00"&amp;A7,2)&amp;T7&amp;RIGHT("00000"&amp;ROW(),5),"")</f>
        <v/>
      </c>
      <c r="V7" s="0" t="str">
        <f aca="false">IF(U7="","",COUNTIFS($I$2:$I$1201,1,$U$2:$U$1201,"&lt;"&amp;U7)+1)</f>
        <v/>
      </c>
    </row>
    <row r="8" customFormat="false" ht="15" hidden="false" customHeight="false" outlineLevel="0" collapsed="false">
      <c r="A8" s="0" t="n">
        <v>1</v>
      </c>
      <c r="B8" s="0" t="n">
        <v>7</v>
      </c>
      <c r="C8" s="0" t="str">
        <f aca="false">TRIM(SUBSTITUTE(INDEX(LISTAS!$A$4:$T$63,B8,A8)&amp;"",CHAR(160)," "))</f>
        <v/>
      </c>
      <c r="D8" s="0" t="str">
        <f aca="false">IF(C8="","",TRIM(RIGHT(SUBSTITUTE(C8," ",REPT(" ",100)),100)))</f>
        <v/>
      </c>
      <c r="E8" s="0" t="str">
        <f aca="false">IF(D8="","",UPPER(SUBSTITUTE(SUBSTITUTE(D8,"(",""),")","")))</f>
        <v/>
      </c>
      <c r="F8" s="0" t="str">
        <f aca="false">IF(C8="","",LEFT(C8,FIND(" ",C8&amp;" ")-1))</f>
        <v/>
      </c>
      <c r="G8" s="0" t="n">
        <f aca="false">IFERROR(VALUE(SUBSTITUTE(LOWER(F8),"x","")),0)</f>
        <v>0</v>
      </c>
      <c r="H8" s="0" t="str">
        <f aca="false">IF(C8="","",TRIM(MID(C8,LEN(F8)+2,999)))</f>
        <v/>
      </c>
      <c r="I8" s="0" t="n">
        <f aca="false">IF(OR(C8="",LEFT(C8,2)="//"),0,IFERROR(IF(AND(G8&gt;0,G8=INT(G8),FIND("-",E8)&gt;1,NOT(EXACT(UPPER(LEFT(E8,1)),LOWER(LEFT(E8,1)))),ISNUMBER(VALUE(MID(E8,FIND("-",E8)+1,10)))),1,0),0))</f>
        <v>0</v>
      </c>
      <c r="J8" s="0" t="str">
        <f aca="false">IF(I8=1,TRIM(LEFT(H8,MAX(0,LEN(H8)-LEN(D8)))),"")</f>
        <v/>
      </c>
      <c r="K8" s="0" t="str">
        <f aca="false">INDEX($P$2:$P$21,A8)</f>
        <v>Deck 1</v>
      </c>
      <c r="L8" s="0" t="n">
        <f aca="false">IF(AND(C8&lt;&gt;"",LEFT(C8,2)&lt;&gt;"//",I8=0),1,0)</f>
        <v>0</v>
      </c>
      <c r="M8" s="0" t="str">
        <f aca="false">IF(I8=1,MAX(M$1:M7)+1,"")</f>
        <v/>
      </c>
      <c r="N8" s="0" t="str">
        <f aca="false">IFERROR(MATCH(ROW()-1,$V$2:$V$1201,0),"")</f>
        <v/>
      </c>
      <c r="O8" s="0" t="n">
        <v>7</v>
      </c>
      <c r="P8" s="0" t="str">
        <f aca="false">IF(TRIM(LISTAS!G1&amp;"")="","Deck "&amp;O8,TRIM(LISTAS!G1&amp;""))</f>
        <v>Deck 7</v>
      </c>
      <c r="Q8" s="0" t="n">
        <f aca="false">IF(COUNTIFS($A$2:$A$1201,O8,$I$2:$I$1201,1)&gt;0,1,0)</f>
        <v>0</v>
      </c>
      <c r="R8" s="0" t="str">
        <f aca="false">IF(E8="","",IFERROR(LEFT(E8,FIND("-",E8)-1),E8))</f>
        <v/>
      </c>
      <c r="S8" s="0" t="str">
        <f aca="false">IF(R8="","",IF(ISNUMBER(--MID(R8,1,1)),0,IF(ISNUMBER(--MID(R8,2,1)),1,IF(ISNUMBER(--MID(R8,3,1)),2,IF(ISNUMBER(--MID(R8,4,1)),3,MIN(LEN(R8),4))))))</f>
        <v/>
      </c>
      <c r="T8" s="0" t="str">
        <f aca="false">IF(E8="","",LEFT(R8,S8)&amp;REPT("0",4-S8)&amp;RIGHT("000"&amp;IFERROR(VALUE(MID(R8,S8+1,9)),0),3)&amp;RIGHT("0000"&amp;IFERROR(VALUE(MID(E8,FIND("-",E8)+1,9)),0),4))</f>
        <v/>
      </c>
      <c r="U8" s="0" t="str">
        <f aca="false">IF(I8=1,"K"&amp;RIGHT("00"&amp;A8,2)&amp;T8&amp;RIGHT("00000"&amp;ROW(),5),"")</f>
        <v/>
      </c>
      <c r="V8" s="0" t="str">
        <f aca="false">IF(U8="","",COUNTIFS($I$2:$I$1201,1,$U$2:$U$1201,"&lt;"&amp;U8)+1)</f>
        <v/>
      </c>
    </row>
    <row r="9" customFormat="false" ht="15" hidden="false" customHeight="false" outlineLevel="0" collapsed="false">
      <c r="A9" s="0" t="n">
        <v>1</v>
      </c>
      <c r="B9" s="0" t="n">
        <v>8</v>
      </c>
      <c r="C9" s="0" t="str">
        <f aca="false">TRIM(SUBSTITUTE(INDEX(LISTAS!$A$4:$T$63,B9,A9)&amp;"",CHAR(160)," "))</f>
        <v/>
      </c>
      <c r="D9" s="0" t="str">
        <f aca="false">IF(C9="","",TRIM(RIGHT(SUBSTITUTE(C9," ",REPT(" ",100)),100)))</f>
        <v/>
      </c>
      <c r="E9" s="0" t="str">
        <f aca="false">IF(D9="","",UPPER(SUBSTITUTE(SUBSTITUTE(D9,"(",""),")","")))</f>
        <v/>
      </c>
      <c r="F9" s="0" t="str">
        <f aca="false">IF(C9="","",LEFT(C9,FIND(" ",C9&amp;" ")-1))</f>
        <v/>
      </c>
      <c r="G9" s="0" t="n">
        <f aca="false">IFERROR(VALUE(SUBSTITUTE(LOWER(F9),"x","")),0)</f>
        <v>0</v>
      </c>
      <c r="H9" s="0" t="str">
        <f aca="false">IF(C9="","",TRIM(MID(C9,LEN(F9)+2,999)))</f>
        <v/>
      </c>
      <c r="I9" s="0" t="n">
        <f aca="false">IF(OR(C9="",LEFT(C9,2)="//"),0,IFERROR(IF(AND(G9&gt;0,G9=INT(G9),FIND("-",E9)&gt;1,NOT(EXACT(UPPER(LEFT(E9,1)),LOWER(LEFT(E9,1)))),ISNUMBER(VALUE(MID(E9,FIND("-",E9)+1,10)))),1,0),0))</f>
        <v>0</v>
      </c>
      <c r="J9" s="0" t="str">
        <f aca="false">IF(I9=1,TRIM(LEFT(H9,MAX(0,LEN(H9)-LEN(D9)))),"")</f>
        <v/>
      </c>
      <c r="K9" s="0" t="str">
        <f aca="false">INDEX($P$2:$P$21,A9)</f>
        <v>Deck 1</v>
      </c>
      <c r="L9" s="0" t="n">
        <f aca="false">IF(AND(C9&lt;&gt;"",LEFT(C9,2)&lt;&gt;"//",I9=0),1,0)</f>
        <v>0</v>
      </c>
      <c r="M9" s="0" t="str">
        <f aca="false">IF(I9=1,MAX(M$1:M8)+1,"")</f>
        <v/>
      </c>
      <c r="N9" s="0" t="str">
        <f aca="false">IFERROR(MATCH(ROW()-1,$V$2:$V$1201,0),"")</f>
        <v/>
      </c>
      <c r="O9" s="0" t="n">
        <v>8</v>
      </c>
      <c r="P9" s="0" t="str">
        <f aca="false">IF(TRIM(LISTAS!H1&amp;"")="","Deck "&amp;O9,TRIM(LISTAS!H1&amp;""))</f>
        <v>Deck 8</v>
      </c>
      <c r="Q9" s="0" t="n">
        <f aca="false">IF(COUNTIFS($A$2:$A$1201,O9,$I$2:$I$1201,1)&gt;0,1,0)</f>
        <v>0</v>
      </c>
      <c r="R9" s="0" t="str">
        <f aca="false">IF(E9="","",IFERROR(LEFT(E9,FIND("-",E9)-1),E9))</f>
        <v/>
      </c>
      <c r="S9" s="0" t="str">
        <f aca="false">IF(R9="","",IF(ISNUMBER(--MID(R9,1,1)),0,IF(ISNUMBER(--MID(R9,2,1)),1,IF(ISNUMBER(--MID(R9,3,1)),2,IF(ISNUMBER(--MID(R9,4,1)),3,MIN(LEN(R9),4))))))</f>
        <v/>
      </c>
      <c r="T9" s="0" t="str">
        <f aca="false">IF(E9="","",LEFT(R9,S9)&amp;REPT("0",4-S9)&amp;RIGHT("000"&amp;IFERROR(VALUE(MID(R9,S9+1,9)),0),3)&amp;RIGHT("0000"&amp;IFERROR(VALUE(MID(E9,FIND("-",E9)+1,9)),0),4))</f>
        <v/>
      </c>
      <c r="U9" s="0" t="str">
        <f aca="false">IF(I9=1,"K"&amp;RIGHT("00"&amp;A9,2)&amp;T9&amp;RIGHT("00000"&amp;ROW(),5),"")</f>
        <v/>
      </c>
      <c r="V9" s="0" t="str">
        <f aca="false">IF(U9="","",COUNTIFS($I$2:$I$1201,1,$U$2:$U$1201,"&lt;"&amp;U9)+1)</f>
        <v/>
      </c>
    </row>
    <row r="10" customFormat="false" ht="15" hidden="false" customHeight="false" outlineLevel="0" collapsed="false">
      <c r="A10" s="0" t="n">
        <v>1</v>
      </c>
      <c r="B10" s="0" t="n">
        <v>9</v>
      </c>
      <c r="C10" s="0" t="str">
        <f aca="false">TRIM(SUBSTITUTE(INDEX(LISTAS!$A$4:$T$63,B10,A10)&amp;"",CHAR(160)," "))</f>
        <v/>
      </c>
      <c r="D10" s="0" t="str">
        <f aca="false">IF(C10="","",TRIM(RIGHT(SUBSTITUTE(C10," ",REPT(" ",100)),100)))</f>
        <v/>
      </c>
      <c r="E10" s="0" t="str">
        <f aca="false">IF(D10="","",UPPER(SUBSTITUTE(SUBSTITUTE(D10,"(",""),")","")))</f>
        <v/>
      </c>
      <c r="F10" s="0" t="str">
        <f aca="false">IF(C10="","",LEFT(C10,FIND(" ",C10&amp;" ")-1))</f>
        <v/>
      </c>
      <c r="G10" s="0" t="n">
        <f aca="false">IFERROR(VALUE(SUBSTITUTE(LOWER(F10),"x","")),0)</f>
        <v>0</v>
      </c>
      <c r="H10" s="0" t="str">
        <f aca="false">IF(C10="","",TRIM(MID(C10,LEN(F10)+2,999)))</f>
        <v/>
      </c>
      <c r="I10" s="0" t="n">
        <f aca="false">IF(OR(C10="",LEFT(C10,2)="//"),0,IFERROR(IF(AND(G10&gt;0,G10=INT(G10),FIND("-",E10)&gt;1,NOT(EXACT(UPPER(LEFT(E10,1)),LOWER(LEFT(E10,1)))),ISNUMBER(VALUE(MID(E10,FIND("-",E10)+1,10)))),1,0),0))</f>
        <v>0</v>
      </c>
      <c r="J10" s="0" t="str">
        <f aca="false">IF(I10=1,TRIM(LEFT(H10,MAX(0,LEN(H10)-LEN(D10)))),"")</f>
        <v/>
      </c>
      <c r="K10" s="0" t="str">
        <f aca="false">INDEX($P$2:$P$21,A10)</f>
        <v>Deck 1</v>
      </c>
      <c r="L10" s="0" t="n">
        <f aca="false">IF(AND(C10&lt;&gt;"",LEFT(C10,2)&lt;&gt;"//",I10=0),1,0)</f>
        <v>0</v>
      </c>
      <c r="M10" s="0" t="str">
        <f aca="false">IF(I10=1,MAX(M$1:M9)+1,"")</f>
        <v/>
      </c>
      <c r="N10" s="0" t="str">
        <f aca="false">IFERROR(MATCH(ROW()-1,$V$2:$V$1201,0),"")</f>
        <v/>
      </c>
      <c r="O10" s="0" t="n">
        <v>9</v>
      </c>
      <c r="P10" s="0" t="str">
        <f aca="false">IF(TRIM(LISTAS!I1&amp;"")="","Deck "&amp;O10,TRIM(LISTAS!I1&amp;""))</f>
        <v>Deck 9</v>
      </c>
      <c r="Q10" s="0" t="n">
        <f aca="false">IF(COUNTIFS($A$2:$A$1201,O10,$I$2:$I$1201,1)&gt;0,1,0)</f>
        <v>0</v>
      </c>
      <c r="R10" s="0" t="str">
        <f aca="false">IF(E10="","",IFERROR(LEFT(E10,FIND("-",E10)-1),E10))</f>
        <v/>
      </c>
      <c r="S10" s="0" t="str">
        <f aca="false">IF(R10="","",IF(ISNUMBER(--MID(R10,1,1)),0,IF(ISNUMBER(--MID(R10,2,1)),1,IF(ISNUMBER(--MID(R10,3,1)),2,IF(ISNUMBER(--MID(R10,4,1)),3,MIN(LEN(R10),4))))))</f>
        <v/>
      </c>
      <c r="T10" s="0" t="str">
        <f aca="false">IF(E10="","",LEFT(R10,S10)&amp;REPT("0",4-S10)&amp;RIGHT("000"&amp;IFERROR(VALUE(MID(R10,S10+1,9)),0),3)&amp;RIGHT("0000"&amp;IFERROR(VALUE(MID(E10,FIND("-",E10)+1,9)),0),4))</f>
        <v/>
      </c>
      <c r="U10" s="0" t="str">
        <f aca="false">IF(I10=1,"K"&amp;RIGHT("00"&amp;A10,2)&amp;T10&amp;RIGHT("00000"&amp;ROW(),5),"")</f>
        <v/>
      </c>
      <c r="V10" s="0" t="str">
        <f aca="false">IF(U10="","",COUNTIFS($I$2:$I$1201,1,$U$2:$U$1201,"&lt;"&amp;U10)+1)</f>
        <v/>
      </c>
    </row>
    <row r="11" customFormat="false" ht="15" hidden="false" customHeight="false" outlineLevel="0" collapsed="false">
      <c r="A11" s="0" t="n">
        <v>1</v>
      </c>
      <c r="B11" s="0" t="n">
        <v>10</v>
      </c>
      <c r="C11" s="0" t="str">
        <f aca="false">TRIM(SUBSTITUTE(INDEX(LISTAS!$A$4:$T$63,B11,A11)&amp;"",CHAR(160)," "))</f>
        <v/>
      </c>
      <c r="D11" s="0" t="str">
        <f aca="false">IF(C11="","",TRIM(RIGHT(SUBSTITUTE(C11," ",REPT(" ",100)),100)))</f>
        <v/>
      </c>
      <c r="E11" s="0" t="str">
        <f aca="false">IF(D11="","",UPPER(SUBSTITUTE(SUBSTITUTE(D11,"(",""),")","")))</f>
        <v/>
      </c>
      <c r="F11" s="0" t="str">
        <f aca="false">IF(C11="","",LEFT(C11,FIND(" ",C11&amp;" ")-1))</f>
        <v/>
      </c>
      <c r="G11" s="0" t="n">
        <f aca="false">IFERROR(VALUE(SUBSTITUTE(LOWER(F11),"x","")),0)</f>
        <v>0</v>
      </c>
      <c r="H11" s="0" t="str">
        <f aca="false">IF(C11="","",TRIM(MID(C11,LEN(F11)+2,999)))</f>
        <v/>
      </c>
      <c r="I11" s="0" t="n">
        <f aca="false">IF(OR(C11="",LEFT(C11,2)="//"),0,IFERROR(IF(AND(G11&gt;0,G11=INT(G11),FIND("-",E11)&gt;1,NOT(EXACT(UPPER(LEFT(E11,1)),LOWER(LEFT(E11,1)))),ISNUMBER(VALUE(MID(E11,FIND("-",E11)+1,10)))),1,0),0))</f>
        <v>0</v>
      </c>
      <c r="J11" s="0" t="str">
        <f aca="false">IF(I11=1,TRIM(LEFT(H11,MAX(0,LEN(H11)-LEN(D11)))),"")</f>
        <v/>
      </c>
      <c r="K11" s="0" t="str">
        <f aca="false">INDEX($P$2:$P$21,A11)</f>
        <v>Deck 1</v>
      </c>
      <c r="L11" s="0" t="n">
        <f aca="false">IF(AND(C11&lt;&gt;"",LEFT(C11,2)&lt;&gt;"//",I11=0),1,0)</f>
        <v>0</v>
      </c>
      <c r="M11" s="0" t="str">
        <f aca="false">IF(I11=1,MAX(M$1:M10)+1,"")</f>
        <v/>
      </c>
      <c r="N11" s="0" t="str">
        <f aca="false">IFERROR(MATCH(ROW()-1,$V$2:$V$1201,0),"")</f>
        <v/>
      </c>
      <c r="O11" s="0" t="n">
        <v>10</v>
      </c>
      <c r="P11" s="0" t="str">
        <f aca="false">IF(TRIM(LISTAS!J1&amp;"")="","Deck "&amp;O11,TRIM(LISTAS!J1&amp;""))</f>
        <v>Deck 10</v>
      </c>
      <c r="Q11" s="0" t="n">
        <f aca="false">IF(COUNTIFS($A$2:$A$1201,O11,$I$2:$I$1201,1)&gt;0,1,0)</f>
        <v>0</v>
      </c>
      <c r="R11" s="0" t="str">
        <f aca="false">IF(E11="","",IFERROR(LEFT(E11,FIND("-",E11)-1),E11))</f>
        <v/>
      </c>
      <c r="S11" s="0" t="str">
        <f aca="false">IF(R11="","",IF(ISNUMBER(--MID(R11,1,1)),0,IF(ISNUMBER(--MID(R11,2,1)),1,IF(ISNUMBER(--MID(R11,3,1)),2,IF(ISNUMBER(--MID(R11,4,1)),3,MIN(LEN(R11),4))))))</f>
        <v/>
      </c>
      <c r="T11" s="0" t="str">
        <f aca="false">IF(E11="","",LEFT(R11,S11)&amp;REPT("0",4-S11)&amp;RIGHT("000"&amp;IFERROR(VALUE(MID(R11,S11+1,9)),0),3)&amp;RIGHT("0000"&amp;IFERROR(VALUE(MID(E11,FIND("-",E11)+1,9)),0),4))</f>
        <v/>
      </c>
      <c r="U11" s="0" t="str">
        <f aca="false">IF(I11=1,"K"&amp;RIGHT("00"&amp;A11,2)&amp;T11&amp;RIGHT("00000"&amp;ROW(),5),"")</f>
        <v/>
      </c>
      <c r="V11" s="0" t="str">
        <f aca="false">IF(U11="","",COUNTIFS($I$2:$I$1201,1,$U$2:$U$1201,"&lt;"&amp;U11)+1)</f>
        <v/>
      </c>
    </row>
    <row r="12" customFormat="false" ht="15" hidden="false" customHeight="false" outlineLevel="0" collapsed="false">
      <c r="A12" s="0" t="n">
        <v>1</v>
      </c>
      <c r="B12" s="0" t="n">
        <v>11</v>
      </c>
      <c r="C12" s="0" t="str">
        <f aca="false">TRIM(SUBSTITUTE(INDEX(LISTAS!$A$4:$T$63,B12,A12)&amp;"",CHAR(160)," "))</f>
        <v/>
      </c>
      <c r="D12" s="0" t="str">
        <f aca="false">IF(C12="","",TRIM(RIGHT(SUBSTITUTE(C12," ",REPT(" ",100)),100)))</f>
        <v/>
      </c>
      <c r="E12" s="0" t="str">
        <f aca="false">IF(D12="","",UPPER(SUBSTITUTE(SUBSTITUTE(D12,"(",""),")","")))</f>
        <v/>
      </c>
      <c r="F12" s="0" t="str">
        <f aca="false">IF(C12="","",LEFT(C12,FIND(" ",C12&amp;" ")-1))</f>
        <v/>
      </c>
      <c r="G12" s="0" t="n">
        <f aca="false">IFERROR(VALUE(SUBSTITUTE(LOWER(F12),"x","")),0)</f>
        <v>0</v>
      </c>
      <c r="H12" s="0" t="str">
        <f aca="false">IF(C12="","",TRIM(MID(C12,LEN(F12)+2,999)))</f>
        <v/>
      </c>
      <c r="I12" s="0" t="n">
        <f aca="false">IF(OR(C12="",LEFT(C12,2)="//"),0,IFERROR(IF(AND(G12&gt;0,G12=INT(G12),FIND("-",E12)&gt;1,NOT(EXACT(UPPER(LEFT(E12,1)),LOWER(LEFT(E12,1)))),ISNUMBER(VALUE(MID(E12,FIND("-",E12)+1,10)))),1,0),0))</f>
        <v>0</v>
      </c>
      <c r="J12" s="0" t="str">
        <f aca="false">IF(I12=1,TRIM(LEFT(H12,MAX(0,LEN(H12)-LEN(D12)))),"")</f>
        <v/>
      </c>
      <c r="K12" s="0" t="str">
        <f aca="false">INDEX($P$2:$P$21,A12)</f>
        <v>Deck 1</v>
      </c>
      <c r="L12" s="0" t="n">
        <f aca="false">IF(AND(C12&lt;&gt;"",LEFT(C12,2)&lt;&gt;"//",I12=0),1,0)</f>
        <v>0</v>
      </c>
      <c r="M12" s="0" t="str">
        <f aca="false">IF(I12=1,MAX(M$1:M11)+1,"")</f>
        <v/>
      </c>
      <c r="N12" s="0" t="str">
        <f aca="false">IFERROR(MATCH(ROW()-1,$V$2:$V$1201,0),"")</f>
        <v/>
      </c>
      <c r="O12" s="0" t="n">
        <v>11</v>
      </c>
      <c r="P12" s="0" t="str">
        <f aca="false">IF(TRIM(LISTAS!K1&amp;"")="","Deck "&amp;O12,TRIM(LISTAS!K1&amp;""))</f>
        <v>Deck 11</v>
      </c>
      <c r="Q12" s="0" t="n">
        <f aca="false">IF(COUNTIFS($A$2:$A$1201,O12,$I$2:$I$1201,1)&gt;0,1,0)</f>
        <v>0</v>
      </c>
      <c r="R12" s="0" t="str">
        <f aca="false">IF(E12="","",IFERROR(LEFT(E12,FIND("-",E12)-1),E12))</f>
        <v/>
      </c>
      <c r="S12" s="0" t="str">
        <f aca="false">IF(R12="","",IF(ISNUMBER(--MID(R12,1,1)),0,IF(ISNUMBER(--MID(R12,2,1)),1,IF(ISNUMBER(--MID(R12,3,1)),2,IF(ISNUMBER(--MID(R12,4,1)),3,MIN(LEN(R12),4))))))</f>
        <v/>
      </c>
      <c r="T12" s="0" t="str">
        <f aca="false">IF(E12="","",LEFT(R12,S12)&amp;REPT("0",4-S12)&amp;RIGHT("000"&amp;IFERROR(VALUE(MID(R12,S12+1,9)),0),3)&amp;RIGHT("0000"&amp;IFERROR(VALUE(MID(E12,FIND("-",E12)+1,9)),0),4))</f>
        <v/>
      </c>
      <c r="U12" s="0" t="str">
        <f aca="false">IF(I12=1,"K"&amp;RIGHT("00"&amp;A12,2)&amp;T12&amp;RIGHT("00000"&amp;ROW(),5),"")</f>
        <v/>
      </c>
      <c r="V12" s="0" t="str">
        <f aca="false">IF(U12="","",COUNTIFS($I$2:$I$1201,1,$U$2:$U$1201,"&lt;"&amp;U12)+1)</f>
        <v/>
      </c>
    </row>
    <row r="13" customFormat="false" ht="15" hidden="false" customHeight="false" outlineLevel="0" collapsed="false">
      <c r="A13" s="0" t="n">
        <v>1</v>
      </c>
      <c r="B13" s="0" t="n">
        <v>12</v>
      </c>
      <c r="C13" s="0" t="str">
        <f aca="false">TRIM(SUBSTITUTE(INDEX(LISTAS!$A$4:$T$63,B13,A13)&amp;"",CHAR(160)," "))</f>
        <v/>
      </c>
      <c r="D13" s="0" t="str">
        <f aca="false">IF(C13="","",TRIM(RIGHT(SUBSTITUTE(C13," ",REPT(" ",100)),100)))</f>
        <v/>
      </c>
      <c r="E13" s="0" t="str">
        <f aca="false">IF(D13="","",UPPER(SUBSTITUTE(SUBSTITUTE(D13,"(",""),")","")))</f>
        <v/>
      </c>
      <c r="F13" s="0" t="str">
        <f aca="false">IF(C13="","",LEFT(C13,FIND(" ",C13&amp;" ")-1))</f>
        <v/>
      </c>
      <c r="G13" s="0" t="n">
        <f aca="false">IFERROR(VALUE(SUBSTITUTE(LOWER(F13),"x","")),0)</f>
        <v>0</v>
      </c>
      <c r="H13" s="0" t="str">
        <f aca="false">IF(C13="","",TRIM(MID(C13,LEN(F13)+2,999)))</f>
        <v/>
      </c>
      <c r="I13" s="0" t="n">
        <f aca="false">IF(OR(C13="",LEFT(C13,2)="//"),0,IFERROR(IF(AND(G13&gt;0,G13=INT(G13),FIND("-",E13)&gt;1,NOT(EXACT(UPPER(LEFT(E13,1)),LOWER(LEFT(E13,1)))),ISNUMBER(VALUE(MID(E13,FIND("-",E13)+1,10)))),1,0),0))</f>
        <v>0</v>
      </c>
      <c r="J13" s="0" t="str">
        <f aca="false">IF(I13=1,TRIM(LEFT(H13,MAX(0,LEN(H13)-LEN(D13)))),"")</f>
        <v/>
      </c>
      <c r="K13" s="0" t="str">
        <f aca="false">INDEX($P$2:$P$21,A13)</f>
        <v>Deck 1</v>
      </c>
      <c r="L13" s="0" t="n">
        <f aca="false">IF(AND(C13&lt;&gt;"",LEFT(C13,2)&lt;&gt;"//",I13=0),1,0)</f>
        <v>0</v>
      </c>
      <c r="M13" s="0" t="str">
        <f aca="false">IF(I13=1,MAX(M$1:M12)+1,"")</f>
        <v/>
      </c>
      <c r="N13" s="0" t="str">
        <f aca="false">IFERROR(MATCH(ROW()-1,$V$2:$V$1201,0),"")</f>
        <v/>
      </c>
      <c r="O13" s="0" t="n">
        <v>12</v>
      </c>
      <c r="P13" s="0" t="str">
        <f aca="false">IF(TRIM(LISTAS!L1&amp;"")="","Deck "&amp;O13,TRIM(LISTAS!L1&amp;""))</f>
        <v>Deck 12</v>
      </c>
      <c r="Q13" s="0" t="n">
        <f aca="false">IF(COUNTIFS($A$2:$A$1201,O13,$I$2:$I$1201,1)&gt;0,1,0)</f>
        <v>0</v>
      </c>
      <c r="R13" s="0" t="str">
        <f aca="false">IF(E13="","",IFERROR(LEFT(E13,FIND("-",E13)-1),E13))</f>
        <v/>
      </c>
      <c r="S13" s="0" t="str">
        <f aca="false">IF(R13="","",IF(ISNUMBER(--MID(R13,1,1)),0,IF(ISNUMBER(--MID(R13,2,1)),1,IF(ISNUMBER(--MID(R13,3,1)),2,IF(ISNUMBER(--MID(R13,4,1)),3,MIN(LEN(R13),4))))))</f>
        <v/>
      </c>
      <c r="T13" s="0" t="str">
        <f aca="false">IF(E13="","",LEFT(R13,S13)&amp;REPT("0",4-S13)&amp;RIGHT("000"&amp;IFERROR(VALUE(MID(R13,S13+1,9)),0),3)&amp;RIGHT("0000"&amp;IFERROR(VALUE(MID(E13,FIND("-",E13)+1,9)),0),4))</f>
        <v/>
      </c>
      <c r="U13" s="0" t="str">
        <f aca="false">IF(I13=1,"K"&amp;RIGHT("00"&amp;A13,2)&amp;T13&amp;RIGHT("00000"&amp;ROW(),5),"")</f>
        <v/>
      </c>
      <c r="V13" s="0" t="str">
        <f aca="false">IF(U13="","",COUNTIFS($I$2:$I$1201,1,$U$2:$U$1201,"&lt;"&amp;U13)+1)</f>
        <v/>
      </c>
    </row>
    <row r="14" customFormat="false" ht="15" hidden="false" customHeight="false" outlineLevel="0" collapsed="false">
      <c r="A14" s="0" t="n">
        <v>1</v>
      </c>
      <c r="B14" s="0" t="n">
        <v>13</v>
      </c>
      <c r="C14" s="0" t="str">
        <f aca="false">TRIM(SUBSTITUTE(INDEX(LISTAS!$A$4:$T$63,B14,A14)&amp;"",CHAR(160)," "))</f>
        <v/>
      </c>
      <c r="D14" s="0" t="str">
        <f aca="false">IF(C14="","",TRIM(RIGHT(SUBSTITUTE(C14," ",REPT(" ",100)),100)))</f>
        <v/>
      </c>
      <c r="E14" s="0" t="str">
        <f aca="false">IF(D14="","",UPPER(SUBSTITUTE(SUBSTITUTE(D14,"(",""),")","")))</f>
        <v/>
      </c>
      <c r="F14" s="0" t="str">
        <f aca="false">IF(C14="","",LEFT(C14,FIND(" ",C14&amp;" ")-1))</f>
        <v/>
      </c>
      <c r="G14" s="0" t="n">
        <f aca="false">IFERROR(VALUE(SUBSTITUTE(LOWER(F14),"x","")),0)</f>
        <v>0</v>
      </c>
      <c r="H14" s="0" t="str">
        <f aca="false">IF(C14="","",TRIM(MID(C14,LEN(F14)+2,999)))</f>
        <v/>
      </c>
      <c r="I14" s="0" t="n">
        <f aca="false">IF(OR(C14="",LEFT(C14,2)="//"),0,IFERROR(IF(AND(G14&gt;0,G14=INT(G14),FIND("-",E14)&gt;1,NOT(EXACT(UPPER(LEFT(E14,1)),LOWER(LEFT(E14,1)))),ISNUMBER(VALUE(MID(E14,FIND("-",E14)+1,10)))),1,0),0))</f>
        <v>0</v>
      </c>
      <c r="J14" s="0" t="str">
        <f aca="false">IF(I14=1,TRIM(LEFT(H14,MAX(0,LEN(H14)-LEN(D14)))),"")</f>
        <v/>
      </c>
      <c r="K14" s="0" t="str">
        <f aca="false">INDEX($P$2:$P$21,A14)</f>
        <v>Deck 1</v>
      </c>
      <c r="L14" s="0" t="n">
        <f aca="false">IF(AND(C14&lt;&gt;"",LEFT(C14,2)&lt;&gt;"//",I14=0),1,0)</f>
        <v>0</v>
      </c>
      <c r="M14" s="0" t="str">
        <f aca="false">IF(I14=1,MAX(M$1:M13)+1,"")</f>
        <v/>
      </c>
      <c r="N14" s="0" t="str">
        <f aca="false">IFERROR(MATCH(ROW()-1,$V$2:$V$1201,0),"")</f>
        <v/>
      </c>
      <c r="O14" s="0" t="n">
        <v>13</v>
      </c>
      <c r="P14" s="0" t="str">
        <f aca="false">IF(TRIM(LISTAS!M1&amp;"")="","Deck "&amp;O14,TRIM(LISTAS!M1&amp;""))</f>
        <v>Deck 13</v>
      </c>
      <c r="Q14" s="0" t="n">
        <f aca="false">IF(COUNTIFS($A$2:$A$1201,O14,$I$2:$I$1201,1)&gt;0,1,0)</f>
        <v>0</v>
      </c>
      <c r="R14" s="0" t="str">
        <f aca="false">IF(E14="","",IFERROR(LEFT(E14,FIND("-",E14)-1),E14))</f>
        <v/>
      </c>
      <c r="S14" s="0" t="str">
        <f aca="false">IF(R14="","",IF(ISNUMBER(--MID(R14,1,1)),0,IF(ISNUMBER(--MID(R14,2,1)),1,IF(ISNUMBER(--MID(R14,3,1)),2,IF(ISNUMBER(--MID(R14,4,1)),3,MIN(LEN(R14),4))))))</f>
        <v/>
      </c>
      <c r="T14" s="0" t="str">
        <f aca="false">IF(E14="","",LEFT(R14,S14)&amp;REPT("0",4-S14)&amp;RIGHT("000"&amp;IFERROR(VALUE(MID(R14,S14+1,9)),0),3)&amp;RIGHT("0000"&amp;IFERROR(VALUE(MID(E14,FIND("-",E14)+1,9)),0),4))</f>
        <v/>
      </c>
      <c r="U14" s="0" t="str">
        <f aca="false">IF(I14=1,"K"&amp;RIGHT("00"&amp;A14,2)&amp;T14&amp;RIGHT("00000"&amp;ROW(),5),"")</f>
        <v/>
      </c>
      <c r="V14" s="0" t="str">
        <f aca="false">IF(U14="","",COUNTIFS($I$2:$I$1201,1,$U$2:$U$1201,"&lt;"&amp;U14)+1)</f>
        <v/>
      </c>
    </row>
    <row r="15" customFormat="false" ht="15" hidden="false" customHeight="false" outlineLevel="0" collapsed="false">
      <c r="A15" s="0" t="n">
        <v>1</v>
      </c>
      <c r="B15" s="0" t="n">
        <v>14</v>
      </c>
      <c r="C15" s="0" t="str">
        <f aca="false">TRIM(SUBSTITUTE(INDEX(LISTAS!$A$4:$T$63,B15,A15)&amp;"",CHAR(160)," "))</f>
        <v/>
      </c>
      <c r="D15" s="0" t="str">
        <f aca="false">IF(C15="","",TRIM(RIGHT(SUBSTITUTE(C15," ",REPT(" ",100)),100)))</f>
        <v/>
      </c>
      <c r="E15" s="0" t="str">
        <f aca="false">IF(D15="","",UPPER(SUBSTITUTE(SUBSTITUTE(D15,"(",""),")","")))</f>
        <v/>
      </c>
      <c r="F15" s="0" t="str">
        <f aca="false">IF(C15="","",LEFT(C15,FIND(" ",C15&amp;" ")-1))</f>
        <v/>
      </c>
      <c r="G15" s="0" t="n">
        <f aca="false">IFERROR(VALUE(SUBSTITUTE(LOWER(F15),"x","")),0)</f>
        <v>0</v>
      </c>
      <c r="H15" s="0" t="str">
        <f aca="false">IF(C15="","",TRIM(MID(C15,LEN(F15)+2,999)))</f>
        <v/>
      </c>
      <c r="I15" s="0" t="n">
        <f aca="false">IF(OR(C15="",LEFT(C15,2)="//"),0,IFERROR(IF(AND(G15&gt;0,G15=INT(G15),FIND("-",E15)&gt;1,NOT(EXACT(UPPER(LEFT(E15,1)),LOWER(LEFT(E15,1)))),ISNUMBER(VALUE(MID(E15,FIND("-",E15)+1,10)))),1,0),0))</f>
        <v>0</v>
      </c>
      <c r="J15" s="0" t="str">
        <f aca="false">IF(I15=1,TRIM(LEFT(H15,MAX(0,LEN(H15)-LEN(D15)))),"")</f>
        <v/>
      </c>
      <c r="K15" s="0" t="str">
        <f aca="false">INDEX($P$2:$P$21,A15)</f>
        <v>Deck 1</v>
      </c>
      <c r="L15" s="0" t="n">
        <f aca="false">IF(AND(C15&lt;&gt;"",LEFT(C15,2)&lt;&gt;"//",I15=0),1,0)</f>
        <v>0</v>
      </c>
      <c r="M15" s="0" t="str">
        <f aca="false">IF(I15=1,MAX(M$1:M14)+1,"")</f>
        <v/>
      </c>
      <c r="N15" s="0" t="str">
        <f aca="false">IFERROR(MATCH(ROW()-1,$V$2:$V$1201,0),"")</f>
        <v/>
      </c>
      <c r="O15" s="0" t="n">
        <v>14</v>
      </c>
      <c r="P15" s="0" t="str">
        <f aca="false">IF(TRIM(LISTAS!N1&amp;"")="","Deck "&amp;O15,TRIM(LISTAS!N1&amp;""))</f>
        <v>Deck 14</v>
      </c>
      <c r="Q15" s="0" t="n">
        <f aca="false">IF(COUNTIFS($A$2:$A$1201,O15,$I$2:$I$1201,1)&gt;0,1,0)</f>
        <v>0</v>
      </c>
      <c r="R15" s="0" t="str">
        <f aca="false">IF(E15="","",IFERROR(LEFT(E15,FIND("-",E15)-1),E15))</f>
        <v/>
      </c>
      <c r="S15" s="0" t="str">
        <f aca="false">IF(R15="","",IF(ISNUMBER(--MID(R15,1,1)),0,IF(ISNUMBER(--MID(R15,2,1)),1,IF(ISNUMBER(--MID(R15,3,1)),2,IF(ISNUMBER(--MID(R15,4,1)),3,MIN(LEN(R15),4))))))</f>
        <v/>
      </c>
      <c r="T15" s="0" t="str">
        <f aca="false">IF(E15="","",LEFT(R15,S15)&amp;REPT("0",4-S15)&amp;RIGHT("000"&amp;IFERROR(VALUE(MID(R15,S15+1,9)),0),3)&amp;RIGHT("0000"&amp;IFERROR(VALUE(MID(E15,FIND("-",E15)+1,9)),0),4))</f>
        <v/>
      </c>
      <c r="U15" s="0" t="str">
        <f aca="false">IF(I15=1,"K"&amp;RIGHT("00"&amp;A15,2)&amp;T15&amp;RIGHT("00000"&amp;ROW(),5),"")</f>
        <v/>
      </c>
      <c r="V15" s="0" t="str">
        <f aca="false">IF(U15="","",COUNTIFS($I$2:$I$1201,1,$U$2:$U$1201,"&lt;"&amp;U15)+1)</f>
        <v/>
      </c>
    </row>
    <row r="16" customFormat="false" ht="15" hidden="false" customHeight="false" outlineLevel="0" collapsed="false">
      <c r="A16" s="0" t="n">
        <v>1</v>
      </c>
      <c r="B16" s="0" t="n">
        <v>15</v>
      </c>
      <c r="C16" s="0" t="str">
        <f aca="false">TRIM(SUBSTITUTE(INDEX(LISTAS!$A$4:$T$63,B16,A16)&amp;"",CHAR(160)," "))</f>
        <v/>
      </c>
      <c r="D16" s="0" t="str">
        <f aca="false">IF(C16="","",TRIM(RIGHT(SUBSTITUTE(C16," ",REPT(" ",100)),100)))</f>
        <v/>
      </c>
      <c r="E16" s="0" t="str">
        <f aca="false">IF(D16="","",UPPER(SUBSTITUTE(SUBSTITUTE(D16,"(",""),")","")))</f>
        <v/>
      </c>
      <c r="F16" s="0" t="str">
        <f aca="false">IF(C16="","",LEFT(C16,FIND(" ",C16&amp;" ")-1))</f>
        <v/>
      </c>
      <c r="G16" s="0" t="n">
        <f aca="false">IFERROR(VALUE(SUBSTITUTE(LOWER(F16),"x","")),0)</f>
        <v>0</v>
      </c>
      <c r="H16" s="0" t="str">
        <f aca="false">IF(C16="","",TRIM(MID(C16,LEN(F16)+2,999)))</f>
        <v/>
      </c>
      <c r="I16" s="0" t="n">
        <f aca="false">IF(OR(C16="",LEFT(C16,2)="//"),0,IFERROR(IF(AND(G16&gt;0,G16=INT(G16),FIND("-",E16)&gt;1,NOT(EXACT(UPPER(LEFT(E16,1)),LOWER(LEFT(E16,1)))),ISNUMBER(VALUE(MID(E16,FIND("-",E16)+1,10)))),1,0),0))</f>
        <v>0</v>
      </c>
      <c r="J16" s="0" t="str">
        <f aca="false">IF(I16=1,TRIM(LEFT(H16,MAX(0,LEN(H16)-LEN(D16)))),"")</f>
        <v/>
      </c>
      <c r="K16" s="0" t="str">
        <f aca="false">INDEX($P$2:$P$21,A16)</f>
        <v>Deck 1</v>
      </c>
      <c r="L16" s="0" t="n">
        <f aca="false">IF(AND(C16&lt;&gt;"",LEFT(C16,2)&lt;&gt;"//",I16=0),1,0)</f>
        <v>0</v>
      </c>
      <c r="M16" s="0" t="str">
        <f aca="false">IF(I16=1,MAX(M$1:M15)+1,"")</f>
        <v/>
      </c>
      <c r="N16" s="0" t="str">
        <f aca="false">IFERROR(MATCH(ROW()-1,$V$2:$V$1201,0),"")</f>
        <v/>
      </c>
      <c r="O16" s="0" t="n">
        <v>15</v>
      </c>
      <c r="P16" s="0" t="str">
        <f aca="false">IF(TRIM(LISTAS!O1&amp;"")="","Deck "&amp;O16,TRIM(LISTAS!O1&amp;""))</f>
        <v>Deck 15</v>
      </c>
      <c r="Q16" s="0" t="n">
        <f aca="false">IF(COUNTIFS($A$2:$A$1201,O16,$I$2:$I$1201,1)&gt;0,1,0)</f>
        <v>0</v>
      </c>
      <c r="R16" s="0" t="str">
        <f aca="false">IF(E16="","",IFERROR(LEFT(E16,FIND("-",E16)-1),E16))</f>
        <v/>
      </c>
      <c r="S16" s="0" t="str">
        <f aca="false">IF(R16="","",IF(ISNUMBER(--MID(R16,1,1)),0,IF(ISNUMBER(--MID(R16,2,1)),1,IF(ISNUMBER(--MID(R16,3,1)),2,IF(ISNUMBER(--MID(R16,4,1)),3,MIN(LEN(R16),4))))))</f>
        <v/>
      </c>
      <c r="T16" s="0" t="str">
        <f aca="false">IF(E16="","",LEFT(R16,S16)&amp;REPT("0",4-S16)&amp;RIGHT("000"&amp;IFERROR(VALUE(MID(R16,S16+1,9)),0),3)&amp;RIGHT("0000"&amp;IFERROR(VALUE(MID(E16,FIND("-",E16)+1,9)),0),4))</f>
        <v/>
      </c>
      <c r="U16" s="0" t="str">
        <f aca="false">IF(I16=1,"K"&amp;RIGHT("00"&amp;A16,2)&amp;T16&amp;RIGHT("00000"&amp;ROW(),5),"")</f>
        <v/>
      </c>
      <c r="V16" s="0" t="str">
        <f aca="false">IF(U16="","",COUNTIFS($I$2:$I$1201,1,$U$2:$U$1201,"&lt;"&amp;U16)+1)</f>
        <v/>
      </c>
    </row>
    <row r="17" customFormat="false" ht="15" hidden="false" customHeight="false" outlineLevel="0" collapsed="false">
      <c r="A17" s="0" t="n">
        <v>1</v>
      </c>
      <c r="B17" s="0" t="n">
        <v>16</v>
      </c>
      <c r="C17" s="0" t="str">
        <f aca="false">TRIM(SUBSTITUTE(INDEX(LISTAS!$A$4:$T$63,B17,A17)&amp;"",CHAR(160)," "))</f>
        <v/>
      </c>
      <c r="D17" s="0" t="str">
        <f aca="false">IF(C17="","",TRIM(RIGHT(SUBSTITUTE(C17," ",REPT(" ",100)),100)))</f>
        <v/>
      </c>
      <c r="E17" s="0" t="str">
        <f aca="false">IF(D17="","",UPPER(SUBSTITUTE(SUBSTITUTE(D17,"(",""),")","")))</f>
        <v/>
      </c>
      <c r="F17" s="0" t="str">
        <f aca="false">IF(C17="","",LEFT(C17,FIND(" ",C17&amp;" ")-1))</f>
        <v/>
      </c>
      <c r="G17" s="0" t="n">
        <f aca="false">IFERROR(VALUE(SUBSTITUTE(LOWER(F17),"x","")),0)</f>
        <v>0</v>
      </c>
      <c r="H17" s="0" t="str">
        <f aca="false">IF(C17="","",TRIM(MID(C17,LEN(F17)+2,999)))</f>
        <v/>
      </c>
      <c r="I17" s="0" t="n">
        <f aca="false">IF(OR(C17="",LEFT(C17,2)="//"),0,IFERROR(IF(AND(G17&gt;0,G17=INT(G17),FIND("-",E17)&gt;1,NOT(EXACT(UPPER(LEFT(E17,1)),LOWER(LEFT(E17,1)))),ISNUMBER(VALUE(MID(E17,FIND("-",E17)+1,10)))),1,0),0))</f>
        <v>0</v>
      </c>
      <c r="J17" s="0" t="str">
        <f aca="false">IF(I17=1,TRIM(LEFT(H17,MAX(0,LEN(H17)-LEN(D17)))),"")</f>
        <v/>
      </c>
      <c r="K17" s="0" t="str">
        <f aca="false">INDEX($P$2:$P$21,A17)</f>
        <v>Deck 1</v>
      </c>
      <c r="L17" s="0" t="n">
        <f aca="false">IF(AND(C17&lt;&gt;"",LEFT(C17,2)&lt;&gt;"//",I17=0),1,0)</f>
        <v>0</v>
      </c>
      <c r="M17" s="0" t="str">
        <f aca="false">IF(I17=1,MAX(M$1:M16)+1,"")</f>
        <v/>
      </c>
      <c r="N17" s="0" t="str">
        <f aca="false">IFERROR(MATCH(ROW()-1,$V$2:$V$1201,0),"")</f>
        <v/>
      </c>
      <c r="O17" s="0" t="n">
        <v>16</v>
      </c>
      <c r="P17" s="0" t="str">
        <f aca="false">IF(TRIM(LISTAS!P1&amp;"")="","Deck "&amp;O17,TRIM(LISTAS!P1&amp;""))</f>
        <v>Deck 16</v>
      </c>
      <c r="Q17" s="0" t="n">
        <f aca="false">IF(COUNTIFS($A$2:$A$1201,O17,$I$2:$I$1201,1)&gt;0,1,0)</f>
        <v>0</v>
      </c>
      <c r="R17" s="0" t="str">
        <f aca="false">IF(E17="","",IFERROR(LEFT(E17,FIND("-",E17)-1),E17))</f>
        <v/>
      </c>
      <c r="S17" s="0" t="str">
        <f aca="false">IF(R17="","",IF(ISNUMBER(--MID(R17,1,1)),0,IF(ISNUMBER(--MID(R17,2,1)),1,IF(ISNUMBER(--MID(R17,3,1)),2,IF(ISNUMBER(--MID(R17,4,1)),3,MIN(LEN(R17),4))))))</f>
        <v/>
      </c>
      <c r="T17" s="0" t="str">
        <f aca="false">IF(E17="","",LEFT(R17,S17)&amp;REPT("0",4-S17)&amp;RIGHT("000"&amp;IFERROR(VALUE(MID(R17,S17+1,9)),0),3)&amp;RIGHT("0000"&amp;IFERROR(VALUE(MID(E17,FIND("-",E17)+1,9)),0),4))</f>
        <v/>
      </c>
      <c r="U17" s="0" t="str">
        <f aca="false">IF(I17=1,"K"&amp;RIGHT("00"&amp;A17,2)&amp;T17&amp;RIGHT("00000"&amp;ROW(),5),"")</f>
        <v/>
      </c>
      <c r="V17" s="0" t="str">
        <f aca="false">IF(U17="","",COUNTIFS($I$2:$I$1201,1,$U$2:$U$1201,"&lt;"&amp;U17)+1)</f>
        <v/>
      </c>
    </row>
    <row r="18" customFormat="false" ht="15" hidden="false" customHeight="false" outlineLevel="0" collapsed="false">
      <c r="A18" s="0" t="n">
        <v>1</v>
      </c>
      <c r="B18" s="0" t="n">
        <v>17</v>
      </c>
      <c r="C18" s="0" t="str">
        <f aca="false">TRIM(SUBSTITUTE(INDEX(LISTAS!$A$4:$T$63,B18,A18)&amp;"",CHAR(160)," "))</f>
        <v/>
      </c>
      <c r="D18" s="0" t="str">
        <f aca="false">IF(C18="","",TRIM(RIGHT(SUBSTITUTE(C18," ",REPT(" ",100)),100)))</f>
        <v/>
      </c>
      <c r="E18" s="0" t="str">
        <f aca="false">IF(D18="","",UPPER(SUBSTITUTE(SUBSTITUTE(D18,"(",""),")","")))</f>
        <v/>
      </c>
      <c r="F18" s="0" t="str">
        <f aca="false">IF(C18="","",LEFT(C18,FIND(" ",C18&amp;" ")-1))</f>
        <v/>
      </c>
      <c r="G18" s="0" t="n">
        <f aca="false">IFERROR(VALUE(SUBSTITUTE(LOWER(F18),"x","")),0)</f>
        <v>0</v>
      </c>
      <c r="H18" s="0" t="str">
        <f aca="false">IF(C18="","",TRIM(MID(C18,LEN(F18)+2,999)))</f>
        <v/>
      </c>
      <c r="I18" s="0" t="n">
        <f aca="false">IF(OR(C18="",LEFT(C18,2)="//"),0,IFERROR(IF(AND(G18&gt;0,G18=INT(G18),FIND("-",E18)&gt;1,NOT(EXACT(UPPER(LEFT(E18,1)),LOWER(LEFT(E18,1)))),ISNUMBER(VALUE(MID(E18,FIND("-",E18)+1,10)))),1,0),0))</f>
        <v>0</v>
      </c>
      <c r="J18" s="0" t="str">
        <f aca="false">IF(I18=1,TRIM(LEFT(H18,MAX(0,LEN(H18)-LEN(D18)))),"")</f>
        <v/>
      </c>
      <c r="K18" s="0" t="str">
        <f aca="false">INDEX($P$2:$P$21,A18)</f>
        <v>Deck 1</v>
      </c>
      <c r="L18" s="0" t="n">
        <f aca="false">IF(AND(C18&lt;&gt;"",LEFT(C18,2)&lt;&gt;"//",I18=0),1,0)</f>
        <v>0</v>
      </c>
      <c r="M18" s="0" t="str">
        <f aca="false">IF(I18=1,MAX(M$1:M17)+1,"")</f>
        <v/>
      </c>
      <c r="N18" s="0" t="str">
        <f aca="false">IFERROR(MATCH(ROW()-1,$V$2:$V$1201,0),"")</f>
        <v/>
      </c>
      <c r="O18" s="0" t="n">
        <v>17</v>
      </c>
      <c r="P18" s="0" t="str">
        <f aca="false">IF(TRIM(LISTAS!Q1&amp;"")="","Deck "&amp;O18,TRIM(LISTAS!Q1&amp;""))</f>
        <v>Deck 17</v>
      </c>
      <c r="Q18" s="0" t="n">
        <f aca="false">IF(COUNTIFS($A$2:$A$1201,O18,$I$2:$I$1201,1)&gt;0,1,0)</f>
        <v>0</v>
      </c>
      <c r="R18" s="0" t="str">
        <f aca="false">IF(E18="","",IFERROR(LEFT(E18,FIND("-",E18)-1),E18))</f>
        <v/>
      </c>
      <c r="S18" s="0" t="str">
        <f aca="false">IF(R18="","",IF(ISNUMBER(--MID(R18,1,1)),0,IF(ISNUMBER(--MID(R18,2,1)),1,IF(ISNUMBER(--MID(R18,3,1)),2,IF(ISNUMBER(--MID(R18,4,1)),3,MIN(LEN(R18),4))))))</f>
        <v/>
      </c>
      <c r="T18" s="0" t="str">
        <f aca="false">IF(E18="","",LEFT(R18,S18)&amp;REPT("0",4-S18)&amp;RIGHT("000"&amp;IFERROR(VALUE(MID(R18,S18+1,9)),0),3)&amp;RIGHT("0000"&amp;IFERROR(VALUE(MID(E18,FIND("-",E18)+1,9)),0),4))</f>
        <v/>
      </c>
      <c r="U18" s="0" t="str">
        <f aca="false">IF(I18=1,"K"&amp;RIGHT("00"&amp;A18,2)&amp;T18&amp;RIGHT("00000"&amp;ROW(),5),"")</f>
        <v/>
      </c>
      <c r="V18" s="0" t="str">
        <f aca="false">IF(U18="","",COUNTIFS($I$2:$I$1201,1,$U$2:$U$1201,"&lt;"&amp;U18)+1)</f>
        <v/>
      </c>
    </row>
    <row r="19" customFormat="false" ht="15" hidden="false" customHeight="false" outlineLevel="0" collapsed="false">
      <c r="A19" s="0" t="n">
        <v>1</v>
      </c>
      <c r="B19" s="0" t="n">
        <v>18</v>
      </c>
      <c r="C19" s="0" t="str">
        <f aca="false">TRIM(SUBSTITUTE(INDEX(LISTAS!$A$4:$T$63,B19,A19)&amp;"",CHAR(160)," "))</f>
        <v/>
      </c>
      <c r="D19" s="0" t="str">
        <f aca="false">IF(C19="","",TRIM(RIGHT(SUBSTITUTE(C19," ",REPT(" ",100)),100)))</f>
        <v/>
      </c>
      <c r="E19" s="0" t="str">
        <f aca="false">IF(D19="","",UPPER(SUBSTITUTE(SUBSTITUTE(D19,"(",""),")","")))</f>
        <v/>
      </c>
      <c r="F19" s="0" t="str">
        <f aca="false">IF(C19="","",LEFT(C19,FIND(" ",C19&amp;" ")-1))</f>
        <v/>
      </c>
      <c r="G19" s="0" t="n">
        <f aca="false">IFERROR(VALUE(SUBSTITUTE(LOWER(F19),"x","")),0)</f>
        <v>0</v>
      </c>
      <c r="H19" s="0" t="str">
        <f aca="false">IF(C19="","",TRIM(MID(C19,LEN(F19)+2,999)))</f>
        <v/>
      </c>
      <c r="I19" s="0" t="n">
        <f aca="false">IF(OR(C19="",LEFT(C19,2)="//"),0,IFERROR(IF(AND(G19&gt;0,G19=INT(G19),FIND("-",E19)&gt;1,NOT(EXACT(UPPER(LEFT(E19,1)),LOWER(LEFT(E19,1)))),ISNUMBER(VALUE(MID(E19,FIND("-",E19)+1,10)))),1,0),0))</f>
        <v>0</v>
      </c>
      <c r="J19" s="0" t="str">
        <f aca="false">IF(I19=1,TRIM(LEFT(H19,MAX(0,LEN(H19)-LEN(D19)))),"")</f>
        <v/>
      </c>
      <c r="K19" s="0" t="str">
        <f aca="false">INDEX($P$2:$P$21,A19)</f>
        <v>Deck 1</v>
      </c>
      <c r="L19" s="0" t="n">
        <f aca="false">IF(AND(C19&lt;&gt;"",LEFT(C19,2)&lt;&gt;"//",I19=0),1,0)</f>
        <v>0</v>
      </c>
      <c r="M19" s="0" t="str">
        <f aca="false">IF(I19=1,MAX(M$1:M18)+1,"")</f>
        <v/>
      </c>
      <c r="N19" s="0" t="str">
        <f aca="false">IFERROR(MATCH(ROW()-1,$V$2:$V$1201,0),"")</f>
        <v/>
      </c>
      <c r="O19" s="0" t="n">
        <v>18</v>
      </c>
      <c r="P19" s="0" t="str">
        <f aca="false">IF(TRIM(LISTAS!R1&amp;"")="","Deck "&amp;O19,TRIM(LISTAS!R1&amp;""))</f>
        <v>Deck 18</v>
      </c>
      <c r="Q19" s="0" t="n">
        <f aca="false">IF(COUNTIFS($A$2:$A$1201,O19,$I$2:$I$1201,1)&gt;0,1,0)</f>
        <v>0</v>
      </c>
      <c r="R19" s="0" t="str">
        <f aca="false">IF(E19="","",IFERROR(LEFT(E19,FIND("-",E19)-1),E19))</f>
        <v/>
      </c>
      <c r="S19" s="0" t="str">
        <f aca="false">IF(R19="","",IF(ISNUMBER(--MID(R19,1,1)),0,IF(ISNUMBER(--MID(R19,2,1)),1,IF(ISNUMBER(--MID(R19,3,1)),2,IF(ISNUMBER(--MID(R19,4,1)),3,MIN(LEN(R19),4))))))</f>
        <v/>
      </c>
      <c r="T19" s="0" t="str">
        <f aca="false">IF(E19="","",LEFT(R19,S19)&amp;REPT("0",4-S19)&amp;RIGHT("000"&amp;IFERROR(VALUE(MID(R19,S19+1,9)),0),3)&amp;RIGHT("0000"&amp;IFERROR(VALUE(MID(E19,FIND("-",E19)+1,9)),0),4))</f>
        <v/>
      </c>
      <c r="U19" s="0" t="str">
        <f aca="false">IF(I19=1,"K"&amp;RIGHT("00"&amp;A19,2)&amp;T19&amp;RIGHT("00000"&amp;ROW(),5),"")</f>
        <v/>
      </c>
      <c r="V19" s="0" t="str">
        <f aca="false">IF(U19="","",COUNTIFS($I$2:$I$1201,1,$U$2:$U$1201,"&lt;"&amp;U19)+1)</f>
        <v/>
      </c>
    </row>
    <row r="20" customFormat="false" ht="15" hidden="false" customHeight="false" outlineLevel="0" collapsed="false">
      <c r="A20" s="0" t="n">
        <v>1</v>
      </c>
      <c r="B20" s="0" t="n">
        <v>19</v>
      </c>
      <c r="C20" s="0" t="str">
        <f aca="false">TRIM(SUBSTITUTE(INDEX(LISTAS!$A$4:$T$63,B20,A20)&amp;"",CHAR(160)," "))</f>
        <v/>
      </c>
      <c r="D20" s="0" t="str">
        <f aca="false">IF(C20="","",TRIM(RIGHT(SUBSTITUTE(C20," ",REPT(" ",100)),100)))</f>
        <v/>
      </c>
      <c r="E20" s="0" t="str">
        <f aca="false">IF(D20="","",UPPER(SUBSTITUTE(SUBSTITUTE(D20,"(",""),")","")))</f>
        <v/>
      </c>
      <c r="F20" s="0" t="str">
        <f aca="false">IF(C20="","",LEFT(C20,FIND(" ",C20&amp;" ")-1))</f>
        <v/>
      </c>
      <c r="G20" s="0" t="n">
        <f aca="false">IFERROR(VALUE(SUBSTITUTE(LOWER(F20),"x","")),0)</f>
        <v>0</v>
      </c>
      <c r="H20" s="0" t="str">
        <f aca="false">IF(C20="","",TRIM(MID(C20,LEN(F20)+2,999)))</f>
        <v/>
      </c>
      <c r="I20" s="0" t="n">
        <f aca="false">IF(OR(C20="",LEFT(C20,2)="//"),0,IFERROR(IF(AND(G20&gt;0,G20=INT(G20),FIND("-",E20)&gt;1,NOT(EXACT(UPPER(LEFT(E20,1)),LOWER(LEFT(E20,1)))),ISNUMBER(VALUE(MID(E20,FIND("-",E20)+1,10)))),1,0),0))</f>
        <v>0</v>
      </c>
      <c r="J20" s="0" t="str">
        <f aca="false">IF(I20=1,TRIM(LEFT(H20,MAX(0,LEN(H20)-LEN(D20)))),"")</f>
        <v/>
      </c>
      <c r="K20" s="0" t="str">
        <f aca="false">INDEX($P$2:$P$21,A20)</f>
        <v>Deck 1</v>
      </c>
      <c r="L20" s="0" t="n">
        <f aca="false">IF(AND(C20&lt;&gt;"",LEFT(C20,2)&lt;&gt;"//",I20=0),1,0)</f>
        <v>0</v>
      </c>
      <c r="M20" s="0" t="str">
        <f aca="false">IF(I20=1,MAX(M$1:M19)+1,"")</f>
        <v/>
      </c>
      <c r="N20" s="0" t="str">
        <f aca="false">IFERROR(MATCH(ROW()-1,$V$2:$V$1201,0),"")</f>
        <v/>
      </c>
      <c r="O20" s="0" t="n">
        <v>19</v>
      </c>
      <c r="P20" s="0" t="str">
        <f aca="false">IF(TRIM(LISTAS!S1&amp;"")="","Deck "&amp;O20,TRIM(LISTAS!S1&amp;""))</f>
        <v>Deck 19</v>
      </c>
      <c r="Q20" s="0" t="n">
        <f aca="false">IF(COUNTIFS($A$2:$A$1201,O20,$I$2:$I$1201,1)&gt;0,1,0)</f>
        <v>0</v>
      </c>
      <c r="R20" s="0" t="str">
        <f aca="false">IF(E20="","",IFERROR(LEFT(E20,FIND("-",E20)-1),E20))</f>
        <v/>
      </c>
      <c r="S20" s="0" t="str">
        <f aca="false">IF(R20="","",IF(ISNUMBER(--MID(R20,1,1)),0,IF(ISNUMBER(--MID(R20,2,1)),1,IF(ISNUMBER(--MID(R20,3,1)),2,IF(ISNUMBER(--MID(R20,4,1)),3,MIN(LEN(R20),4))))))</f>
        <v/>
      </c>
      <c r="T20" s="0" t="str">
        <f aca="false">IF(E20="","",LEFT(R20,S20)&amp;REPT("0",4-S20)&amp;RIGHT("000"&amp;IFERROR(VALUE(MID(R20,S20+1,9)),0),3)&amp;RIGHT("0000"&amp;IFERROR(VALUE(MID(E20,FIND("-",E20)+1,9)),0),4))</f>
        <v/>
      </c>
      <c r="U20" s="0" t="str">
        <f aca="false">IF(I20=1,"K"&amp;RIGHT("00"&amp;A20,2)&amp;T20&amp;RIGHT("00000"&amp;ROW(),5),"")</f>
        <v/>
      </c>
      <c r="V20" s="0" t="str">
        <f aca="false">IF(U20="","",COUNTIFS($I$2:$I$1201,1,$U$2:$U$1201,"&lt;"&amp;U20)+1)</f>
        <v/>
      </c>
    </row>
    <row r="21" customFormat="false" ht="15" hidden="false" customHeight="false" outlineLevel="0" collapsed="false">
      <c r="A21" s="0" t="n">
        <v>1</v>
      </c>
      <c r="B21" s="0" t="n">
        <v>20</v>
      </c>
      <c r="C21" s="0" t="str">
        <f aca="false">TRIM(SUBSTITUTE(INDEX(LISTAS!$A$4:$T$63,B21,A21)&amp;"",CHAR(160)," "))</f>
        <v/>
      </c>
      <c r="D21" s="0" t="str">
        <f aca="false">IF(C21="","",TRIM(RIGHT(SUBSTITUTE(C21," ",REPT(" ",100)),100)))</f>
        <v/>
      </c>
      <c r="E21" s="0" t="str">
        <f aca="false">IF(D21="","",UPPER(SUBSTITUTE(SUBSTITUTE(D21,"(",""),")","")))</f>
        <v/>
      </c>
      <c r="F21" s="0" t="str">
        <f aca="false">IF(C21="","",LEFT(C21,FIND(" ",C21&amp;" ")-1))</f>
        <v/>
      </c>
      <c r="G21" s="0" t="n">
        <f aca="false">IFERROR(VALUE(SUBSTITUTE(LOWER(F21),"x","")),0)</f>
        <v>0</v>
      </c>
      <c r="H21" s="0" t="str">
        <f aca="false">IF(C21="","",TRIM(MID(C21,LEN(F21)+2,999)))</f>
        <v/>
      </c>
      <c r="I21" s="0" t="n">
        <f aca="false">IF(OR(C21="",LEFT(C21,2)="//"),0,IFERROR(IF(AND(G21&gt;0,G21=INT(G21),FIND("-",E21)&gt;1,NOT(EXACT(UPPER(LEFT(E21,1)),LOWER(LEFT(E21,1)))),ISNUMBER(VALUE(MID(E21,FIND("-",E21)+1,10)))),1,0),0))</f>
        <v>0</v>
      </c>
      <c r="J21" s="0" t="str">
        <f aca="false">IF(I21=1,TRIM(LEFT(H21,MAX(0,LEN(H21)-LEN(D21)))),"")</f>
        <v/>
      </c>
      <c r="K21" s="0" t="str">
        <f aca="false">INDEX($P$2:$P$21,A21)</f>
        <v>Deck 1</v>
      </c>
      <c r="L21" s="0" t="n">
        <f aca="false">IF(AND(C21&lt;&gt;"",LEFT(C21,2)&lt;&gt;"//",I21=0),1,0)</f>
        <v>0</v>
      </c>
      <c r="M21" s="0" t="str">
        <f aca="false">IF(I21=1,MAX(M$1:M20)+1,"")</f>
        <v/>
      </c>
      <c r="N21" s="0" t="str">
        <f aca="false">IFERROR(MATCH(ROW()-1,$V$2:$V$1201,0),"")</f>
        <v/>
      </c>
      <c r="O21" s="0" t="n">
        <v>20</v>
      </c>
      <c r="P21" s="0" t="str">
        <f aca="false">IF(TRIM(LISTAS!T1&amp;"")="","Deck "&amp;O21,TRIM(LISTAS!T1&amp;""))</f>
        <v>Deck 20</v>
      </c>
      <c r="Q21" s="0" t="n">
        <f aca="false">IF(COUNTIFS($A$2:$A$1201,O21,$I$2:$I$1201,1)&gt;0,1,0)</f>
        <v>0</v>
      </c>
      <c r="R21" s="0" t="str">
        <f aca="false">IF(E21="","",IFERROR(LEFT(E21,FIND("-",E21)-1),E21))</f>
        <v/>
      </c>
      <c r="S21" s="0" t="str">
        <f aca="false">IF(R21="","",IF(ISNUMBER(--MID(R21,1,1)),0,IF(ISNUMBER(--MID(R21,2,1)),1,IF(ISNUMBER(--MID(R21,3,1)),2,IF(ISNUMBER(--MID(R21,4,1)),3,MIN(LEN(R21),4))))))</f>
        <v/>
      </c>
      <c r="T21" s="0" t="str">
        <f aca="false">IF(E21="","",LEFT(R21,S21)&amp;REPT("0",4-S21)&amp;RIGHT("000"&amp;IFERROR(VALUE(MID(R21,S21+1,9)),0),3)&amp;RIGHT("0000"&amp;IFERROR(VALUE(MID(E21,FIND("-",E21)+1,9)),0),4))</f>
        <v/>
      </c>
      <c r="U21" s="0" t="str">
        <f aca="false">IF(I21=1,"K"&amp;RIGHT("00"&amp;A21,2)&amp;T21&amp;RIGHT("00000"&amp;ROW(),5),"")</f>
        <v/>
      </c>
      <c r="V21" s="0" t="str">
        <f aca="false">IF(U21="","",COUNTIFS($I$2:$I$1201,1,$U$2:$U$1201,"&lt;"&amp;U21)+1)</f>
        <v/>
      </c>
    </row>
    <row r="22" customFormat="false" ht="15" hidden="false" customHeight="false" outlineLevel="0" collapsed="false">
      <c r="A22" s="0" t="n">
        <v>1</v>
      </c>
      <c r="B22" s="0" t="n">
        <v>21</v>
      </c>
      <c r="C22" s="0" t="str">
        <f aca="false">TRIM(SUBSTITUTE(INDEX(LISTAS!$A$4:$T$63,B22,A22)&amp;"",CHAR(160)," "))</f>
        <v/>
      </c>
      <c r="D22" s="0" t="str">
        <f aca="false">IF(C22="","",TRIM(RIGHT(SUBSTITUTE(C22," ",REPT(" ",100)),100)))</f>
        <v/>
      </c>
      <c r="E22" s="0" t="str">
        <f aca="false">IF(D22="","",UPPER(SUBSTITUTE(SUBSTITUTE(D22,"(",""),")","")))</f>
        <v/>
      </c>
      <c r="F22" s="0" t="str">
        <f aca="false">IF(C22="","",LEFT(C22,FIND(" ",C22&amp;" ")-1))</f>
        <v/>
      </c>
      <c r="G22" s="0" t="n">
        <f aca="false">IFERROR(VALUE(SUBSTITUTE(LOWER(F22),"x","")),0)</f>
        <v>0</v>
      </c>
      <c r="H22" s="0" t="str">
        <f aca="false">IF(C22="","",TRIM(MID(C22,LEN(F22)+2,999)))</f>
        <v/>
      </c>
      <c r="I22" s="0" t="n">
        <f aca="false">IF(OR(C22="",LEFT(C22,2)="//"),0,IFERROR(IF(AND(G22&gt;0,G22=INT(G22),FIND("-",E22)&gt;1,NOT(EXACT(UPPER(LEFT(E22,1)),LOWER(LEFT(E22,1)))),ISNUMBER(VALUE(MID(E22,FIND("-",E22)+1,10)))),1,0),0))</f>
        <v>0</v>
      </c>
      <c r="J22" s="0" t="str">
        <f aca="false">IF(I22=1,TRIM(LEFT(H22,MAX(0,LEN(H22)-LEN(D22)))),"")</f>
        <v/>
      </c>
      <c r="K22" s="0" t="str">
        <f aca="false">INDEX($P$2:$P$21,A22)</f>
        <v>Deck 1</v>
      </c>
      <c r="L22" s="0" t="n">
        <f aca="false">IF(AND(C22&lt;&gt;"",LEFT(C22,2)&lt;&gt;"//",I22=0),1,0)</f>
        <v>0</v>
      </c>
      <c r="M22" s="0" t="str">
        <f aca="false">IF(I22=1,MAX(M$1:M21)+1,"")</f>
        <v/>
      </c>
      <c r="N22" s="0" t="str">
        <f aca="false">IFERROR(MATCH(ROW()-1,$V$2:$V$1201,0),"")</f>
        <v/>
      </c>
      <c r="R22" s="0" t="str">
        <f aca="false">IF(E22="","",IFERROR(LEFT(E22,FIND("-",E22)-1),E22))</f>
        <v/>
      </c>
      <c r="S22" s="0" t="str">
        <f aca="false">IF(R22="","",IF(ISNUMBER(--MID(R22,1,1)),0,IF(ISNUMBER(--MID(R22,2,1)),1,IF(ISNUMBER(--MID(R22,3,1)),2,IF(ISNUMBER(--MID(R22,4,1)),3,MIN(LEN(R22),4))))))</f>
        <v/>
      </c>
      <c r="T22" s="0" t="str">
        <f aca="false">IF(E22="","",LEFT(R22,S22)&amp;REPT("0",4-S22)&amp;RIGHT("000"&amp;IFERROR(VALUE(MID(R22,S22+1,9)),0),3)&amp;RIGHT("0000"&amp;IFERROR(VALUE(MID(E22,FIND("-",E22)+1,9)),0),4))</f>
        <v/>
      </c>
      <c r="U22" s="0" t="str">
        <f aca="false">IF(I22=1,"K"&amp;RIGHT("00"&amp;A22,2)&amp;T22&amp;RIGHT("00000"&amp;ROW(),5),"")</f>
        <v/>
      </c>
      <c r="V22" s="0" t="str">
        <f aca="false">IF(U22="","",COUNTIFS($I$2:$I$1201,1,$U$2:$U$1201,"&lt;"&amp;U22)+1)</f>
        <v/>
      </c>
    </row>
    <row r="23" customFormat="false" ht="15" hidden="false" customHeight="false" outlineLevel="0" collapsed="false">
      <c r="A23" s="0" t="n">
        <v>1</v>
      </c>
      <c r="B23" s="0" t="n">
        <v>22</v>
      </c>
      <c r="C23" s="0" t="str">
        <f aca="false">TRIM(SUBSTITUTE(INDEX(LISTAS!$A$4:$T$63,B23,A23)&amp;"",CHAR(160)," "))</f>
        <v/>
      </c>
      <c r="D23" s="0" t="str">
        <f aca="false">IF(C23="","",TRIM(RIGHT(SUBSTITUTE(C23," ",REPT(" ",100)),100)))</f>
        <v/>
      </c>
      <c r="E23" s="0" t="str">
        <f aca="false">IF(D23="","",UPPER(SUBSTITUTE(SUBSTITUTE(D23,"(",""),")","")))</f>
        <v/>
      </c>
      <c r="F23" s="0" t="str">
        <f aca="false">IF(C23="","",LEFT(C23,FIND(" ",C23&amp;" ")-1))</f>
        <v/>
      </c>
      <c r="G23" s="0" t="n">
        <f aca="false">IFERROR(VALUE(SUBSTITUTE(LOWER(F23),"x","")),0)</f>
        <v>0</v>
      </c>
      <c r="H23" s="0" t="str">
        <f aca="false">IF(C23="","",TRIM(MID(C23,LEN(F23)+2,999)))</f>
        <v/>
      </c>
      <c r="I23" s="0" t="n">
        <f aca="false">IF(OR(C23="",LEFT(C23,2)="//"),0,IFERROR(IF(AND(G23&gt;0,G23=INT(G23),FIND("-",E23)&gt;1,NOT(EXACT(UPPER(LEFT(E23,1)),LOWER(LEFT(E23,1)))),ISNUMBER(VALUE(MID(E23,FIND("-",E23)+1,10)))),1,0),0))</f>
        <v>0</v>
      </c>
      <c r="J23" s="0" t="str">
        <f aca="false">IF(I23=1,TRIM(LEFT(H23,MAX(0,LEN(H23)-LEN(D23)))),"")</f>
        <v/>
      </c>
      <c r="K23" s="0" t="str">
        <f aca="false">INDEX($P$2:$P$21,A23)</f>
        <v>Deck 1</v>
      </c>
      <c r="L23" s="0" t="n">
        <f aca="false">IF(AND(C23&lt;&gt;"",LEFT(C23,2)&lt;&gt;"//",I23=0),1,0)</f>
        <v>0</v>
      </c>
      <c r="M23" s="0" t="str">
        <f aca="false">IF(I23=1,MAX(M$1:M22)+1,"")</f>
        <v/>
      </c>
      <c r="N23" s="0" t="str">
        <f aca="false">IFERROR(MATCH(ROW()-1,$V$2:$V$1201,0),"")</f>
        <v/>
      </c>
      <c r="R23" s="0" t="str">
        <f aca="false">IF(E23="","",IFERROR(LEFT(E23,FIND("-",E23)-1),E23))</f>
        <v/>
      </c>
      <c r="S23" s="0" t="str">
        <f aca="false">IF(R23="","",IF(ISNUMBER(--MID(R23,1,1)),0,IF(ISNUMBER(--MID(R23,2,1)),1,IF(ISNUMBER(--MID(R23,3,1)),2,IF(ISNUMBER(--MID(R23,4,1)),3,MIN(LEN(R23),4))))))</f>
        <v/>
      </c>
      <c r="T23" s="0" t="str">
        <f aca="false">IF(E23="","",LEFT(R23,S23)&amp;REPT("0",4-S23)&amp;RIGHT("000"&amp;IFERROR(VALUE(MID(R23,S23+1,9)),0),3)&amp;RIGHT("0000"&amp;IFERROR(VALUE(MID(E23,FIND("-",E23)+1,9)),0),4))</f>
        <v/>
      </c>
      <c r="U23" s="0" t="str">
        <f aca="false">IF(I23=1,"K"&amp;RIGHT("00"&amp;A23,2)&amp;T23&amp;RIGHT("00000"&amp;ROW(),5),"")</f>
        <v/>
      </c>
      <c r="V23" s="0" t="str">
        <f aca="false">IF(U23="","",COUNTIFS($I$2:$I$1201,1,$U$2:$U$1201,"&lt;"&amp;U23)+1)</f>
        <v/>
      </c>
    </row>
    <row r="24" customFormat="false" ht="15" hidden="false" customHeight="false" outlineLevel="0" collapsed="false">
      <c r="A24" s="0" t="n">
        <v>1</v>
      </c>
      <c r="B24" s="0" t="n">
        <v>23</v>
      </c>
      <c r="C24" s="0" t="str">
        <f aca="false">TRIM(SUBSTITUTE(INDEX(LISTAS!$A$4:$T$63,B24,A24)&amp;"",CHAR(160)," "))</f>
        <v/>
      </c>
      <c r="D24" s="0" t="str">
        <f aca="false">IF(C24="","",TRIM(RIGHT(SUBSTITUTE(C24," ",REPT(" ",100)),100)))</f>
        <v/>
      </c>
      <c r="E24" s="0" t="str">
        <f aca="false">IF(D24="","",UPPER(SUBSTITUTE(SUBSTITUTE(D24,"(",""),")","")))</f>
        <v/>
      </c>
      <c r="F24" s="0" t="str">
        <f aca="false">IF(C24="","",LEFT(C24,FIND(" ",C24&amp;" ")-1))</f>
        <v/>
      </c>
      <c r="G24" s="0" t="n">
        <f aca="false">IFERROR(VALUE(SUBSTITUTE(LOWER(F24),"x","")),0)</f>
        <v>0</v>
      </c>
      <c r="H24" s="0" t="str">
        <f aca="false">IF(C24="","",TRIM(MID(C24,LEN(F24)+2,999)))</f>
        <v/>
      </c>
      <c r="I24" s="0" t="n">
        <f aca="false">IF(OR(C24="",LEFT(C24,2)="//"),0,IFERROR(IF(AND(G24&gt;0,G24=INT(G24),FIND("-",E24)&gt;1,NOT(EXACT(UPPER(LEFT(E24,1)),LOWER(LEFT(E24,1)))),ISNUMBER(VALUE(MID(E24,FIND("-",E24)+1,10)))),1,0),0))</f>
        <v>0</v>
      </c>
      <c r="J24" s="0" t="str">
        <f aca="false">IF(I24=1,TRIM(LEFT(H24,MAX(0,LEN(H24)-LEN(D24)))),"")</f>
        <v/>
      </c>
      <c r="K24" s="0" t="str">
        <f aca="false">INDEX($P$2:$P$21,A24)</f>
        <v>Deck 1</v>
      </c>
      <c r="L24" s="0" t="n">
        <f aca="false">IF(AND(C24&lt;&gt;"",LEFT(C24,2)&lt;&gt;"//",I24=0),1,0)</f>
        <v>0</v>
      </c>
      <c r="M24" s="0" t="str">
        <f aca="false">IF(I24=1,MAX(M$1:M23)+1,"")</f>
        <v/>
      </c>
      <c r="N24" s="0" t="str">
        <f aca="false">IFERROR(MATCH(ROW()-1,$V$2:$V$1201,0),"")</f>
        <v/>
      </c>
      <c r="R24" s="0" t="str">
        <f aca="false">IF(E24="","",IFERROR(LEFT(E24,FIND("-",E24)-1),E24))</f>
        <v/>
      </c>
      <c r="S24" s="0" t="str">
        <f aca="false">IF(R24="","",IF(ISNUMBER(--MID(R24,1,1)),0,IF(ISNUMBER(--MID(R24,2,1)),1,IF(ISNUMBER(--MID(R24,3,1)),2,IF(ISNUMBER(--MID(R24,4,1)),3,MIN(LEN(R24),4))))))</f>
        <v/>
      </c>
      <c r="T24" s="0" t="str">
        <f aca="false">IF(E24="","",LEFT(R24,S24)&amp;REPT("0",4-S24)&amp;RIGHT("000"&amp;IFERROR(VALUE(MID(R24,S24+1,9)),0),3)&amp;RIGHT("0000"&amp;IFERROR(VALUE(MID(E24,FIND("-",E24)+1,9)),0),4))</f>
        <v/>
      </c>
      <c r="U24" s="0" t="str">
        <f aca="false">IF(I24=1,"K"&amp;RIGHT("00"&amp;A24,2)&amp;T24&amp;RIGHT("00000"&amp;ROW(),5),"")</f>
        <v/>
      </c>
      <c r="V24" s="0" t="str">
        <f aca="false">IF(U24="","",COUNTIFS($I$2:$I$1201,1,$U$2:$U$1201,"&lt;"&amp;U24)+1)</f>
        <v/>
      </c>
    </row>
    <row r="25" customFormat="false" ht="15" hidden="false" customHeight="false" outlineLevel="0" collapsed="false">
      <c r="A25" s="0" t="n">
        <v>1</v>
      </c>
      <c r="B25" s="0" t="n">
        <v>24</v>
      </c>
      <c r="C25" s="0" t="str">
        <f aca="false">TRIM(SUBSTITUTE(INDEX(LISTAS!$A$4:$T$63,B25,A25)&amp;"",CHAR(160)," "))</f>
        <v/>
      </c>
      <c r="D25" s="0" t="str">
        <f aca="false">IF(C25="","",TRIM(RIGHT(SUBSTITUTE(C25," ",REPT(" ",100)),100)))</f>
        <v/>
      </c>
      <c r="E25" s="0" t="str">
        <f aca="false">IF(D25="","",UPPER(SUBSTITUTE(SUBSTITUTE(D25,"(",""),")","")))</f>
        <v/>
      </c>
      <c r="F25" s="0" t="str">
        <f aca="false">IF(C25="","",LEFT(C25,FIND(" ",C25&amp;" ")-1))</f>
        <v/>
      </c>
      <c r="G25" s="0" t="n">
        <f aca="false">IFERROR(VALUE(SUBSTITUTE(LOWER(F25),"x","")),0)</f>
        <v>0</v>
      </c>
      <c r="H25" s="0" t="str">
        <f aca="false">IF(C25="","",TRIM(MID(C25,LEN(F25)+2,999)))</f>
        <v/>
      </c>
      <c r="I25" s="0" t="n">
        <f aca="false">IF(OR(C25="",LEFT(C25,2)="//"),0,IFERROR(IF(AND(G25&gt;0,G25=INT(G25),FIND("-",E25)&gt;1,NOT(EXACT(UPPER(LEFT(E25,1)),LOWER(LEFT(E25,1)))),ISNUMBER(VALUE(MID(E25,FIND("-",E25)+1,10)))),1,0),0))</f>
        <v>0</v>
      </c>
      <c r="J25" s="0" t="str">
        <f aca="false">IF(I25=1,TRIM(LEFT(H25,MAX(0,LEN(H25)-LEN(D25)))),"")</f>
        <v/>
      </c>
      <c r="K25" s="0" t="str">
        <f aca="false">INDEX($P$2:$P$21,A25)</f>
        <v>Deck 1</v>
      </c>
      <c r="L25" s="0" t="n">
        <f aca="false">IF(AND(C25&lt;&gt;"",LEFT(C25,2)&lt;&gt;"//",I25=0),1,0)</f>
        <v>0</v>
      </c>
      <c r="M25" s="0" t="str">
        <f aca="false">IF(I25=1,MAX(M$1:M24)+1,"")</f>
        <v/>
      </c>
      <c r="N25" s="0" t="str">
        <f aca="false">IFERROR(MATCH(ROW()-1,$V$2:$V$1201,0),"")</f>
        <v/>
      </c>
      <c r="R25" s="0" t="str">
        <f aca="false">IF(E25="","",IFERROR(LEFT(E25,FIND("-",E25)-1),E25))</f>
        <v/>
      </c>
      <c r="S25" s="0" t="str">
        <f aca="false">IF(R25="","",IF(ISNUMBER(--MID(R25,1,1)),0,IF(ISNUMBER(--MID(R25,2,1)),1,IF(ISNUMBER(--MID(R25,3,1)),2,IF(ISNUMBER(--MID(R25,4,1)),3,MIN(LEN(R25),4))))))</f>
        <v/>
      </c>
      <c r="T25" s="0" t="str">
        <f aca="false">IF(E25="","",LEFT(R25,S25)&amp;REPT("0",4-S25)&amp;RIGHT("000"&amp;IFERROR(VALUE(MID(R25,S25+1,9)),0),3)&amp;RIGHT("0000"&amp;IFERROR(VALUE(MID(E25,FIND("-",E25)+1,9)),0),4))</f>
        <v/>
      </c>
      <c r="U25" s="0" t="str">
        <f aca="false">IF(I25=1,"K"&amp;RIGHT("00"&amp;A25,2)&amp;T25&amp;RIGHT("00000"&amp;ROW(),5),"")</f>
        <v/>
      </c>
      <c r="V25" s="0" t="str">
        <f aca="false">IF(U25="","",COUNTIFS($I$2:$I$1201,1,$U$2:$U$1201,"&lt;"&amp;U25)+1)</f>
        <v/>
      </c>
    </row>
    <row r="26" customFormat="false" ht="15" hidden="false" customHeight="false" outlineLevel="0" collapsed="false">
      <c r="A26" s="0" t="n">
        <v>1</v>
      </c>
      <c r="B26" s="0" t="n">
        <v>25</v>
      </c>
      <c r="C26" s="0" t="str">
        <f aca="false">TRIM(SUBSTITUTE(INDEX(LISTAS!$A$4:$T$63,B26,A26)&amp;"",CHAR(160)," "))</f>
        <v/>
      </c>
      <c r="D26" s="0" t="str">
        <f aca="false">IF(C26="","",TRIM(RIGHT(SUBSTITUTE(C26," ",REPT(" ",100)),100)))</f>
        <v/>
      </c>
      <c r="E26" s="0" t="str">
        <f aca="false">IF(D26="","",UPPER(SUBSTITUTE(SUBSTITUTE(D26,"(",""),")","")))</f>
        <v/>
      </c>
      <c r="F26" s="0" t="str">
        <f aca="false">IF(C26="","",LEFT(C26,FIND(" ",C26&amp;" ")-1))</f>
        <v/>
      </c>
      <c r="G26" s="0" t="n">
        <f aca="false">IFERROR(VALUE(SUBSTITUTE(LOWER(F26),"x","")),0)</f>
        <v>0</v>
      </c>
      <c r="H26" s="0" t="str">
        <f aca="false">IF(C26="","",TRIM(MID(C26,LEN(F26)+2,999)))</f>
        <v/>
      </c>
      <c r="I26" s="0" t="n">
        <f aca="false">IF(OR(C26="",LEFT(C26,2)="//"),0,IFERROR(IF(AND(G26&gt;0,G26=INT(G26),FIND("-",E26)&gt;1,NOT(EXACT(UPPER(LEFT(E26,1)),LOWER(LEFT(E26,1)))),ISNUMBER(VALUE(MID(E26,FIND("-",E26)+1,10)))),1,0),0))</f>
        <v>0</v>
      </c>
      <c r="J26" s="0" t="str">
        <f aca="false">IF(I26=1,TRIM(LEFT(H26,MAX(0,LEN(H26)-LEN(D26)))),"")</f>
        <v/>
      </c>
      <c r="K26" s="0" t="str">
        <f aca="false">INDEX($P$2:$P$21,A26)</f>
        <v>Deck 1</v>
      </c>
      <c r="L26" s="0" t="n">
        <f aca="false">IF(AND(C26&lt;&gt;"",LEFT(C26,2)&lt;&gt;"//",I26=0),1,0)</f>
        <v>0</v>
      </c>
      <c r="M26" s="0" t="str">
        <f aca="false">IF(I26=1,MAX(M$1:M25)+1,"")</f>
        <v/>
      </c>
      <c r="N26" s="0" t="str">
        <f aca="false">IFERROR(MATCH(ROW()-1,$V$2:$V$1201,0),"")</f>
        <v/>
      </c>
      <c r="R26" s="0" t="str">
        <f aca="false">IF(E26="","",IFERROR(LEFT(E26,FIND("-",E26)-1),E26))</f>
        <v/>
      </c>
      <c r="S26" s="0" t="str">
        <f aca="false">IF(R26="","",IF(ISNUMBER(--MID(R26,1,1)),0,IF(ISNUMBER(--MID(R26,2,1)),1,IF(ISNUMBER(--MID(R26,3,1)),2,IF(ISNUMBER(--MID(R26,4,1)),3,MIN(LEN(R26),4))))))</f>
        <v/>
      </c>
      <c r="T26" s="0" t="str">
        <f aca="false">IF(E26="","",LEFT(R26,S26)&amp;REPT("0",4-S26)&amp;RIGHT("000"&amp;IFERROR(VALUE(MID(R26,S26+1,9)),0),3)&amp;RIGHT("0000"&amp;IFERROR(VALUE(MID(E26,FIND("-",E26)+1,9)),0),4))</f>
        <v/>
      </c>
      <c r="U26" s="0" t="str">
        <f aca="false">IF(I26=1,"K"&amp;RIGHT("00"&amp;A26,2)&amp;T26&amp;RIGHT("00000"&amp;ROW(),5),"")</f>
        <v/>
      </c>
      <c r="V26" s="0" t="str">
        <f aca="false">IF(U26="","",COUNTIFS($I$2:$I$1201,1,$U$2:$U$1201,"&lt;"&amp;U26)+1)</f>
        <v/>
      </c>
    </row>
    <row r="27" customFormat="false" ht="15" hidden="false" customHeight="false" outlineLevel="0" collapsed="false">
      <c r="A27" s="0" t="n">
        <v>1</v>
      </c>
      <c r="B27" s="0" t="n">
        <v>26</v>
      </c>
      <c r="C27" s="0" t="str">
        <f aca="false">TRIM(SUBSTITUTE(INDEX(LISTAS!$A$4:$T$63,B27,A27)&amp;"",CHAR(160)," "))</f>
        <v/>
      </c>
      <c r="D27" s="0" t="str">
        <f aca="false">IF(C27="","",TRIM(RIGHT(SUBSTITUTE(C27," ",REPT(" ",100)),100)))</f>
        <v/>
      </c>
      <c r="E27" s="0" t="str">
        <f aca="false">IF(D27="","",UPPER(SUBSTITUTE(SUBSTITUTE(D27,"(",""),")","")))</f>
        <v/>
      </c>
      <c r="F27" s="0" t="str">
        <f aca="false">IF(C27="","",LEFT(C27,FIND(" ",C27&amp;" ")-1))</f>
        <v/>
      </c>
      <c r="G27" s="0" t="n">
        <f aca="false">IFERROR(VALUE(SUBSTITUTE(LOWER(F27),"x","")),0)</f>
        <v>0</v>
      </c>
      <c r="H27" s="0" t="str">
        <f aca="false">IF(C27="","",TRIM(MID(C27,LEN(F27)+2,999)))</f>
        <v/>
      </c>
      <c r="I27" s="0" t="n">
        <f aca="false">IF(OR(C27="",LEFT(C27,2)="//"),0,IFERROR(IF(AND(G27&gt;0,G27=INT(G27),FIND("-",E27)&gt;1,NOT(EXACT(UPPER(LEFT(E27,1)),LOWER(LEFT(E27,1)))),ISNUMBER(VALUE(MID(E27,FIND("-",E27)+1,10)))),1,0),0))</f>
        <v>0</v>
      </c>
      <c r="J27" s="0" t="str">
        <f aca="false">IF(I27=1,TRIM(LEFT(H27,MAX(0,LEN(H27)-LEN(D27)))),"")</f>
        <v/>
      </c>
      <c r="K27" s="0" t="str">
        <f aca="false">INDEX($P$2:$P$21,A27)</f>
        <v>Deck 1</v>
      </c>
      <c r="L27" s="0" t="n">
        <f aca="false">IF(AND(C27&lt;&gt;"",LEFT(C27,2)&lt;&gt;"//",I27=0),1,0)</f>
        <v>0</v>
      </c>
      <c r="M27" s="0" t="str">
        <f aca="false">IF(I27=1,MAX(M$1:M26)+1,"")</f>
        <v/>
      </c>
      <c r="N27" s="0" t="str">
        <f aca="false">IFERROR(MATCH(ROW()-1,$V$2:$V$1201,0),"")</f>
        <v/>
      </c>
      <c r="R27" s="0" t="str">
        <f aca="false">IF(E27="","",IFERROR(LEFT(E27,FIND("-",E27)-1),E27))</f>
        <v/>
      </c>
      <c r="S27" s="0" t="str">
        <f aca="false">IF(R27="","",IF(ISNUMBER(--MID(R27,1,1)),0,IF(ISNUMBER(--MID(R27,2,1)),1,IF(ISNUMBER(--MID(R27,3,1)),2,IF(ISNUMBER(--MID(R27,4,1)),3,MIN(LEN(R27),4))))))</f>
        <v/>
      </c>
      <c r="T27" s="0" t="str">
        <f aca="false">IF(E27="","",LEFT(R27,S27)&amp;REPT("0",4-S27)&amp;RIGHT("000"&amp;IFERROR(VALUE(MID(R27,S27+1,9)),0),3)&amp;RIGHT("0000"&amp;IFERROR(VALUE(MID(E27,FIND("-",E27)+1,9)),0),4))</f>
        <v/>
      </c>
      <c r="U27" s="0" t="str">
        <f aca="false">IF(I27=1,"K"&amp;RIGHT("00"&amp;A27,2)&amp;T27&amp;RIGHT("00000"&amp;ROW(),5),"")</f>
        <v/>
      </c>
      <c r="V27" s="0" t="str">
        <f aca="false">IF(U27="","",COUNTIFS($I$2:$I$1201,1,$U$2:$U$1201,"&lt;"&amp;U27)+1)</f>
        <v/>
      </c>
    </row>
    <row r="28" customFormat="false" ht="15" hidden="false" customHeight="false" outlineLevel="0" collapsed="false">
      <c r="A28" s="0" t="n">
        <v>1</v>
      </c>
      <c r="B28" s="0" t="n">
        <v>27</v>
      </c>
      <c r="C28" s="0" t="str">
        <f aca="false">TRIM(SUBSTITUTE(INDEX(LISTAS!$A$4:$T$63,B28,A28)&amp;"",CHAR(160)," "))</f>
        <v/>
      </c>
      <c r="D28" s="0" t="str">
        <f aca="false">IF(C28="","",TRIM(RIGHT(SUBSTITUTE(C28," ",REPT(" ",100)),100)))</f>
        <v/>
      </c>
      <c r="E28" s="0" t="str">
        <f aca="false">IF(D28="","",UPPER(SUBSTITUTE(SUBSTITUTE(D28,"(",""),")","")))</f>
        <v/>
      </c>
      <c r="F28" s="0" t="str">
        <f aca="false">IF(C28="","",LEFT(C28,FIND(" ",C28&amp;" ")-1))</f>
        <v/>
      </c>
      <c r="G28" s="0" t="n">
        <f aca="false">IFERROR(VALUE(SUBSTITUTE(LOWER(F28),"x","")),0)</f>
        <v>0</v>
      </c>
      <c r="H28" s="0" t="str">
        <f aca="false">IF(C28="","",TRIM(MID(C28,LEN(F28)+2,999)))</f>
        <v/>
      </c>
      <c r="I28" s="0" t="n">
        <f aca="false">IF(OR(C28="",LEFT(C28,2)="//"),0,IFERROR(IF(AND(G28&gt;0,G28=INT(G28),FIND("-",E28)&gt;1,NOT(EXACT(UPPER(LEFT(E28,1)),LOWER(LEFT(E28,1)))),ISNUMBER(VALUE(MID(E28,FIND("-",E28)+1,10)))),1,0),0))</f>
        <v>0</v>
      </c>
      <c r="J28" s="0" t="str">
        <f aca="false">IF(I28=1,TRIM(LEFT(H28,MAX(0,LEN(H28)-LEN(D28)))),"")</f>
        <v/>
      </c>
      <c r="K28" s="0" t="str">
        <f aca="false">INDEX($P$2:$P$21,A28)</f>
        <v>Deck 1</v>
      </c>
      <c r="L28" s="0" t="n">
        <f aca="false">IF(AND(C28&lt;&gt;"",LEFT(C28,2)&lt;&gt;"//",I28=0),1,0)</f>
        <v>0</v>
      </c>
      <c r="M28" s="0" t="str">
        <f aca="false">IF(I28=1,MAX(M$1:M27)+1,"")</f>
        <v/>
      </c>
      <c r="N28" s="0" t="str">
        <f aca="false">IFERROR(MATCH(ROW()-1,$V$2:$V$1201,0),"")</f>
        <v/>
      </c>
      <c r="R28" s="0" t="str">
        <f aca="false">IF(E28="","",IFERROR(LEFT(E28,FIND("-",E28)-1),E28))</f>
        <v/>
      </c>
      <c r="S28" s="0" t="str">
        <f aca="false">IF(R28="","",IF(ISNUMBER(--MID(R28,1,1)),0,IF(ISNUMBER(--MID(R28,2,1)),1,IF(ISNUMBER(--MID(R28,3,1)),2,IF(ISNUMBER(--MID(R28,4,1)),3,MIN(LEN(R28),4))))))</f>
        <v/>
      </c>
      <c r="T28" s="0" t="str">
        <f aca="false">IF(E28="","",LEFT(R28,S28)&amp;REPT("0",4-S28)&amp;RIGHT("000"&amp;IFERROR(VALUE(MID(R28,S28+1,9)),0),3)&amp;RIGHT("0000"&amp;IFERROR(VALUE(MID(E28,FIND("-",E28)+1,9)),0),4))</f>
        <v/>
      </c>
      <c r="U28" s="0" t="str">
        <f aca="false">IF(I28=1,"K"&amp;RIGHT("00"&amp;A28,2)&amp;T28&amp;RIGHT("00000"&amp;ROW(),5),"")</f>
        <v/>
      </c>
      <c r="V28" s="0" t="str">
        <f aca="false">IF(U28="","",COUNTIFS($I$2:$I$1201,1,$U$2:$U$1201,"&lt;"&amp;U28)+1)</f>
        <v/>
      </c>
    </row>
    <row r="29" customFormat="false" ht="15" hidden="false" customHeight="false" outlineLevel="0" collapsed="false">
      <c r="A29" s="0" t="n">
        <v>1</v>
      </c>
      <c r="B29" s="0" t="n">
        <v>28</v>
      </c>
      <c r="C29" s="0" t="str">
        <f aca="false">TRIM(SUBSTITUTE(INDEX(LISTAS!$A$4:$T$63,B29,A29)&amp;"",CHAR(160)," "))</f>
        <v/>
      </c>
      <c r="D29" s="0" t="str">
        <f aca="false">IF(C29="","",TRIM(RIGHT(SUBSTITUTE(C29," ",REPT(" ",100)),100)))</f>
        <v/>
      </c>
      <c r="E29" s="0" t="str">
        <f aca="false">IF(D29="","",UPPER(SUBSTITUTE(SUBSTITUTE(D29,"(",""),")","")))</f>
        <v/>
      </c>
      <c r="F29" s="0" t="str">
        <f aca="false">IF(C29="","",LEFT(C29,FIND(" ",C29&amp;" ")-1))</f>
        <v/>
      </c>
      <c r="G29" s="0" t="n">
        <f aca="false">IFERROR(VALUE(SUBSTITUTE(LOWER(F29),"x","")),0)</f>
        <v>0</v>
      </c>
      <c r="H29" s="0" t="str">
        <f aca="false">IF(C29="","",TRIM(MID(C29,LEN(F29)+2,999)))</f>
        <v/>
      </c>
      <c r="I29" s="0" t="n">
        <f aca="false">IF(OR(C29="",LEFT(C29,2)="//"),0,IFERROR(IF(AND(G29&gt;0,G29=INT(G29),FIND("-",E29)&gt;1,NOT(EXACT(UPPER(LEFT(E29,1)),LOWER(LEFT(E29,1)))),ISNUMBER(VALUE(MID(E29,FIND("-",E29)+1,10)))),1,0),0))</f>
        <v>0</v>
      </c>
      <c r="J29" s="0" t="str">
        <f aca="false">IF(I29=1,TRIM(LEFT(H29,MAX(0,LEN(H29)-LEN(D29)))),"")</f>
        <v/>
      </c>
      <c r="K29" s="0" t="str">
        <f aca="false">INDEX($P$2:$P$21,A29)</f>
        <v>Deck 1</v>
      </c>
      <c r="L29" s="0" t="n">
        <f aca="false">IF(AND(C29&lt;&gt;"",LEFT(C29,2)&lt;&gt;"//",I29=0),1,0)</f>
        <v>0</v>
      </c>
      <c r="M29" s="0" t="str">
        <f aca="false">IF(I29=1,MAX(M$1:M28)+1,"")</f>
        <v/>
      </c>
      <c r="N29" s="0" t="str">
        <f aca="false">IFERROR(MATCH(ROW()-1,$V$2:$V$1201,0),"")</f>
        <v/>
      </c>
      <c r="R29" s="0" t="str">
        <f aca="false">IF(E29="","",IFERROR(LEFT(E29,FIND("-",E29)-1),E29))</f>
        <v/>
      </c>
      <c r="S29" s="0" t="str">
        <f aca="false">IF(R29="","",IF(ISNUMBER(--MID(R29,1,1)),0,IF(ISNUMBER(--MID(R29,2,1)),1,IF(ISNUMBER(--MID(R29,3,1)),2,IF(ISNUMBER(--MID(R29,4,1)),3,MIN(LEN(R29),4))))))</f>
        <v/>
      </c>
      <c r="T29" s="0" t="str">
        <f aca="false">IF(E29="","",LEFT(R29,S29)&amp;REPT("0",4-S29)&amp;RIGHT("000"&amp;IFERROR(VALUE(MID(R29,S29+1,9)),0),3)&amp;RIGHT("0000"&amp;IFERROR(VALUE(MID(E29,FIND("-",E29)+1,9)),0),4))</f>
        <v/>
      </c>
      <c r="U29" s="0" t="str">
        <f aca="false">IF(I29=1,"K"&amp;RIGHT("00"&amp;A29,2)&amp;T29&amp;RIGHT("00000"&amp;ROW(),5),"")</f>
        <v/>
      </c>
      <c r="V29" s="0" t="str">
        <f aca="false">IF(U29="","",COUNTIFS($I$2:$I$1201,1,$U$2:$U$1201,"&lt;"&amp;U29)+1)</f>
        <v/>
      </c>
    </row>
    <row r="30" customFormat="false" ht="15" hidden="false" customHeight="false" outlineLevel="0" collapsed="false">
      <c r="A30" s="0" t="n">
        <v>1</v>
      </c>
      <c r="B30" s="0" t="n">
        <v>29</v>
      </c>
      <c r="C30" s="0" t="str">
        <f aca="false">TRIM(SUBSTITUTE(INDEX(LISTAS!$A$4:$T$63,B30,A30)&amp;"",CHAR(160)," "))</f>
        <v/>
      </c>
      <c r="D30" s="0" t="str">
        <f aca="false">IF(C30="","",TRIM(RIGHT(SUBSTITUTE(C30," ",REPT(" ",100)),100)))</f>
        <v/>
      </c>
      <c r="E30" s="0" t="str">
        <f aca="false">IF(D30="","",UPPER(SUBSTITUTE(SUBSTITUTE(D30,"(",""),")","")))</f>
        <v/>
      </c>
      <c r="F30" s="0" t="str">
        <f aca="false">IF(C30="","",LEFT(C30,FIND(" ",C30&amp;" ")-1))</f>
        <v/>
      </c>
      <c r="G30" s="0" t="n">
        <f aca="false">IFERROR(VALUE(SUBSTITUTE(LOWER(F30),"x","")),0)</f>
        <v>0</v>
      </c>
      <c r="H30" s="0" t="str">
        <f aca="false">IF(C30="","",TRIM(MID(C30,LEN(F30)+2,999)))</f>
        <v/>
      </c>
      <c r="I30" s="0" t="n">
        <f aca="false">IF(OR(C30="",LEFT(C30,2)="//"),0,IFERROR(IF(AND(G30&gt;0,G30=INT(G30),FIND("-",E30)&gt;1,NOT(EXACT(UPPER(LEFT(E30,1)),LOWER(LEFT(E30,1)))),ISNUMBER(VALUE(MID(E30,FIND("-",E30)+1,10)))),1,0),0))</f>
        <v>0</v>
      </c>
      <c r="J30" s="0" t="str">
        <f aca="false">IF(I30=1,TRIM(LEFT(H30,MAX(0,LEN(H30)-LEN(D30)))),"")</f>
        <v/>
      </c>
      <c r="K30" s="0" t="str">
        <f aca="false">INDEX($P$2:$P$21,A30)</f>
        <v>Deck 1</v>
      </c>
      <c r="L30" s="0" t="n">
        <f aca="false">IF(AND(C30&lt;&gt;"",LEFT(C30,2)&lt;&gt;"//",I30=0),1,0)</f>
        <v>0</v>
      </c>
      <c r="M30" s="0" t="str">
        <f aca="false">IF(I30=1,MAX(M$1:M29)+1,"")</f>
        <v/>
      </c>
      <c r="N30" s="0" t="str">
        <f aca="false">IFERROR(MATCH(ROW()-1,$V$2:$V$1201,0),"")</f>
        <v/>
      </c>
      <c r="R30" s="0" t="str">
        <f aca="false">IF(E30="","",IFERROR(LEFT(E30,FIND("-",E30)-1),E30))</f>
        <v/>
      </c>
      <c r="S30" s="0" t="str">
        <f aca="false">IF(R30="","",IF(ISNUMBER(--MID(R30,1,1)),0,IF(ISNUMBER(--MID(R30,2,1)),1,IF(ISNUMBER(--MID(R30,3,1)),2,IF(ISNUMBER(--MID(R30,4,1)),3,MIN(LEN(R30),4))))))</f>
        <v/>
      </c>
      <c r="T30" s="0" t="str">
        <f aca="false">IF(E30="","",LEFT(R30,S30)&amp;REPT("0",4-S30)&amp;RIGHT("000"&amp;IFERROR(VALUE(MID(R30,S30+1,9)),0),3)&amp;RIGHT("0000"&amp;IFERROR(VALUE(MID(E30,FIND("-",E30)+1,9)),0),4))</f>
        <v/>
      </c>
      <c r="U30" s="0" t="str">
        <f aca="false">IF(I30=1,"K"&amp;RIGHT("00"&amp;A30,2)&amp;T30&amp;RIGHT("00000"&amp;ROW(),5),"")</f>
        <v/>
      </c>
      <c r="V30" s="0" t="str">
        <f aca="false">IF(U30="","",COUNTIFS($I$2:$I$1201,1,$U$2:$U$1201,"&lt;"&amp;U30)+1)</f>
        <v/>
      </c>
    </row>
    <row r="31" customFormat="false" ht="15" hidden="false" customHeight="false" outlineLevel="0" collapsed="false">
      <c r="A31" s="0" t="n">
        <v>1</v>
      </c>
      <c r="B31" s="0" t="n">
        <v>30</v>
      </c>
      <c r="C31" s="0" t="str">
        <f aca="false">TRIM(SUBSTITUTE(INDEX(LISTAS!$A$4:$T$63,B31,A31)&amp;"",CHAR(160)," "))</f>
        <v/>
      </c>
      <c r="D31" s="0" t="str">
        <f aca="false">IF(C31="","",TRIM(RIGHT(SUBSTITUTE(C31," ",REPT(" ",100)),100)))</f>
        <v/>
      </c>
      <c r="E31" s="0" t="str">
        <f aca="false">IF(D31="","",UPPER(SUBSTITUTE(SUBSTITUTE(D31,"(",""),")","")))</f>
        <v/>
      </c>
      <c r="F31" s="0" t="str">
        <f aca="false">IF(C31="","",LEFT(C31,FIND(" ",C31&amp;" ")-1))</f>
        <v/>
      </c>
      <c r="G31" s="0" t="n">
        <f aca="false">IFERROR(VALUE(SUBSTITUTE(LOWER(F31),"x","")),0)</f>
        <v>0</v>
      </c>
      <c r="H31" s="0" t="str">
        <f aca="false">IF(C31="","",TRIM(MID(C31,LEN(F31)+2,999)))</f>
        <v/>
      </c>
      <c r="I31" s="0" t="n">
        <f aca="false">IF(OR(C31="",LEFT(C31,2)="//"),0,IFERROR(IF(AND(G31&gt;0,G31=INT(G31),FIND("-",E31)&gt;1,NOT(EXACT(UPPER(LEFT(E31,1)),LOWER(LEFT(E31,1)))),ISNUMBER(VALUE(MID(E31,FIND("-",E31)+1,10)))),1,0),0))</f>
        <v>0</v>
      </c>
      <c r="J31" s="0" t="str">
        <f aca="false">IF(I31=1,TRIM(LEFT(H31,MAX(0,LEN(H31)-LEN(D31)))),"")</f>
        <v/>
      </c>
      <c r="K31" s="0" t="str">
        <f aca="false">INDEX($P$2:$P$21,A31)</f>
        <v>Deck 1</v>
      </c>
      <c r="L31" s="0" t="n">
        <f aca="false">IF(AND(C31&lt;&gt;"",LEFT(C31,2)&lt;&gt;"//",I31=0),1,0)</f>
        <v>0</v>
      </c>
      <c r="M31" s="0" t="str">
        <f aca="false">IF(I31=1,MAX(M$1:M30)+1,"")</f>
        <v/>
      </c>
      <c r="N31" s="0" t="str">
        <f aca="false">IFERROR(MATCH(ROW()-1,$V$2:$V$1201,0),"")</f>
        <v/>
      </c>
      <c r="R31" s="0" t="str">
        <f aca="false">IF(E31="","",IFERROR(LEFT(E31,FIND("-",E31)-1),E31))</f>
        <v/>
      </c>
      <c r="S31" s="0" t="str">
        <f aca="false">IF(R31="","",IF(ISNUMBER(--MID(R31,1,1)),0,IF(ISNUMBER(--MID(R31,2,1)),1,IF(ISNUMBER(--MID(R31,3,1)),2,IF(ISNUMBER(--MID(R31,4,1)),3,MIN(LEN(R31),4))))))</f>
        <v/>
      </c>
      <c r="T31" s="0" t="str">
        <f aca="false">IF(E31="","",LEFT(R31,S31)&amp;REPT("0",4-S31)&amp;RIGHT("000"&amp;IFERROR(VALUE(MID(R31,S31+1,9)),0),3)&amp;RIGHT("0000"&amp;IFERROR(VALUE(MID(E31,FIND("-",E31)+1,9)),0),4))</f>
        <v/>
      </c>
      <c r="U31" s="0" t="str">
        <f aca="false">IF(I31=1,"K"&amp;RIGHT("00"&amp;A31,2)&amp;T31&amp;RIGHT("00000"&amp;ROW(),5),"")</f>
        <v/>
      </c>
      <c r="V31" s="0" t="str">
        <f aca="false">IF(U31="","",COUNTIFS($I$2:$I$1201,1,$U$2:$U$1201,"&lt;"&amp;U31)+1)</f>
        <v/>
      </c>
    </row>
    <row r="32" customFormat="false" ht="15" hidden="false" customHeight="false" outlineLevel="0" collapsed="false">
      <c r="A32" s="0" t="n">
        <v>1</v>
      </c>
      <c r="B32" s="0" t="n">
        <v>31</v>
      </c>
      <c r="C32" s="0" t="str">
        <f aca="false">TRIM(SUBSTITUTE(INDEX(LISTAS!$A$4:$T$63,B32,A32)&amp;"",CHAR(160)," "))</f>
        <v/>
      </c>
      <c r="D32" s="0" t="str">
        <f aca="false">IF(C32="","",TRIM(RIGHT(SUBSTITUTE(C32," ",REPT(" ",100)),100)))</f>
        <v/>
      </c>
      <c r="E32" s="0" t="str">
        <f aca="false">IF(D32="","",UPPER(SUBSTITUTE(SUBSTITUTE(D32,"(",""),")","")))</f>
        <v/>
      </c>
      <c r="F32" s="0" t="str">
        <f aca="false">IF(C32="","",LEFT(C32,FIND(" ",C32&amp;" ")-1))</f>
        <v/>
      </c>
      <c r="G32" s="0" t="n">
        <f aca="false">IFERROR(VALUE(SUBSTITUTE(LOWER(F32),"x","")),0)</f>
        <v>0</v>
      </c>
      <c r="H32" s="0" t="str">
        <f aca="false">IF(C32="","",TRIM(MID(C32,LEN(F32)+2,999)))</f>
        <v/>
      </c>
      <c r="I32" s="0" t="n">
        <f aca="false">IF(OR(C32="",LEFT(C32,2)="//"),0,IFERROR(IF(AND(G32&gt;0,G32=INT(G32),FIND("-",E32)&gt;1,NOT(EXACT(UPPER(LEFT(E32,1)),LOWER(LEFT(E32,1)))),ISNUMBER(VALUE(MID(E32,FIND("-",E32)+1,10)))),1,0),0))</f>
        <v>0</v>
      </c>
      <c r="J32" s="0" t="str">
        <f aca="false">IF(I32=1,TRIM(LEFT(H32,MAX(0,LEN(H32)-LEN(D32)))),"")</f>
        <v/>
      </c>
      <c r="K32" s="0" t="str">
        <f aca="false">INDEX($P$2:$P$21,A32)</f>
        <v>Deck 1</v>
      </c>
      <c r="L32" s="0" t="n">
        <f aca="false">IF(AND(C32&lt;&gt;"",LEFT(C32,2)&lt;&gt;"//",I32=0),1,0)</f>
        <v>0</v>
      </c>
      <c r="M32" s="0" t="str">
        <f aca="false">IF(I32=1,MAX(M$1:M31)+1,"")</f>
        <v/>
      </c>
      <c r="N32" s="0" t="str">
        <f aca="false">IFERROR(MATCH(ROW()-1,$V$2:$V$1201,0),"")</f>
        <v/>
      </c>
      <c r="R32" s="0" t="str">
        <f aca="false">IF(E32="","",IFERROR(LEFT(E32,FIND("-",E32)-1),E32))</f>
        <v/>
      </c>
      <c r="S32" s="0" t="str">
        <f aca="false">IF(R32="","",IF(ISNUMBER(--MID(R32,1,1)),0,IF(ISNUMBER(--MID(R32,2,1)),1,IF(ISNUMBER(--MID(R32,3,1)),2,IF(ISNUMBER(--MID(R32,4,1)),3,MIN(LEN(R32),4))))))</f>
        <v/>
      </c>
      <c r="T32" s="0" t="str">
        <f aca="false">IF(E32="","",LEFT(R32,S32)&amp;REPT("0",4-S32)&amp;RIGHT("000"&amp;IFERROR(VALUE(MID(R32,S32+1,9)),0),3)&amp;RIGHT("0000"&amp;IFERROR(VALUE(MID(E32,FIND("-",E32)+1,9)),0),4))</f>
        <v/>
      </c>
      <c r="U32" s="0" t="str">
        <f aca="false">IF(I32=1,"K"&amp;RIGHT("00"&amp;A32,2)&amp;T32&amp;RIGHT("00000"&amp;ROW(),5),"")</f>
        <v/>
      </c>
      <c r="V32" s="0" t="str">
        <f aca="false">IF(U32="","",COUNTIFS($I$2:$I$1201,1,$U$2:$U$1201,"&lt;"&amp;U32)+1)</f>
        <v/>
      </c>
    </row>
    <row r="33" customFormat="false" ht="15" hidden="false" customHeight="false" outlineLevel="0" collapsed="false">
      <c r="A33" s="0" t="n">
        <v>1</v>
      </c>
      <c r="B33" s="0" t="n">
        <v>32</v>
      </c>
      <c r="C33" s="0" t="str">
        <f aca="false">TRIM(SUBSTITUTE(INDEX(LISTAS!$A$4:$T$63,B33,A33)&amp;"",CHAR(160)," "))</f>
        <v/>
      </c>
      <c r="D33" s="0" t="str">
        <f aca="false">IF(C33="","",TRIM(RIGHT(SUBSTITUTE(C33," ",REPT(" ",100)),100)))</f>
        <v/>
      </c>
      <c r="E33" s="0" t="str">
        <f aca="false">IF(D33="","",UPPER(SUBSTITUTE(SUBSTITUTE(D33,"(",""),")","")))</f>
        <v/>
      </c>
      <c r="F33" s="0" t="str">
        <f aca="false">IF(C33="","",LEFT(C33,FIND(" ",C33&amp;" ")-1))</f>
        <v/>
      </c>
      <c r="G33" s="0" t="n">
        <f aca="false">IFERROR(VALUE(SUBSTITUTE(LOWER(F33),"x","")),0)</f>
        <v>0</v>
      </c>
      <c r="H33" s="0" t="str">
        <f aca="false">IF(C33="","",TRIM(MID(C33,LEN(F33)+2,999)))</f>
        <v/>
      </c>
      <c r="I33" s="0" t="n">
        <f aca="false">IF(OR(C33="",LEFT(C33,2)="//"),0,IFERROR(IF(AND(G33&gt;0,G33=INT(G33),FIND("-",E33)&gt;1,NOT(EXACT(UPPER(LEFT(E33,1)),LOWER(LEFT(E33,1)))),ISNUMBER(VALUE(MID(E33,FIND("-",E33)+1,10)))),1,0),0))</f>
        <v>0</v>
      </c>
      <c r="J33" s="0" t="str">
        <f aca="false">IF(I33=1,TRIM(LEFT(H33,MAX(0,LEN(H33)-LEN(D33)))),"")</f>
        <v/>
      </c>
      <c r="K33" s="0" t="str">
        <f aca="false">INDEX($P$2:$P$21,A33)</f>
        <v>Deck 1</v>
      </c>
      <c r="L33" s="0" t="n">
        <f aca="false">IF(AND(C33&lt;&gt;"",LEFT(C33,2)&lt;&gt;"//",I33=0),1,0)</f>
        <v>0</v>
      </c>
      <c r="M33" s="0" t="str">
        <f aca="false">IF(I33=1,MAX(M$1:M32)+1,"")</f>
        <v/>
      </c>
      <c r="N33" s="0" t="str">
        <f aca="false">IFERROR(MATCH(ROW()-1,$V$2:$V$1201,0),"")</f>
        <v/>
      </c>
      <c r="R33" s="0" t="str">
        <f aca="false">IF(E33="","",IFERROR(LEFT(E33,FIND("-",E33)-1),E33))</f>
        <v/>
      </c>
      <c r="S33" s="0" t="str">
        <f aca="false">IF(R33="","",IF(ISNUMBER(--MID(R33,1,1)),0,IF(ISNUMBER(--MID(R33,2,1)),1,IF(ISNUMBER(--MID(R33,3,1)),2,IF(ISNUMBER(--MID(R33,4,1)),3,MIN(LEN(R33),4))))))</f>
        <v/>
      </c>
      <c r="T33" s="0" t="str">
        <f aca="false">IF(E33="","",LEFT(R33,S33)&amp;REPT("0",4-S33)&amp;RIGHT("000"&amp;IFERROR(VALUE(MID(R33,S33+1,9)),0),3)&amp;RIGHT("0000"&amp;IFERROR(VALUE(MID(E33,FIND("-",E33)+1,9)),0),4))</f>
        <v/>
      </c>
      <c r="U33" s="0" t="str">
        <f aca="false">IF(I33=1,"K"&amp;RIGHT("00"&amp;A33,2)&amp;T33&amp;RIGHT("00000"&amp;ROW(),5),"")</f>
        <v/>
      </c>
      <c r="V33" s="0" t="str">
        <f aca="false">IF(U33="","",COUNTIFS($I$2:$I$1201,1,$U$2:$U$1201,"&lt;"&amp;U33)+1)</f>
        <v/>
      </c>
    </row>
    <row r="34" customFormat="false" ht="15" hidden="false" customHeight="false" outlineLevel="0" collapsed="false">
      <c r="A34" s="0" t="n">
        <v>1</v>
      </c>
      <c r="B34" s="0" t="n">
        <v>33</v>
      </c>
      <c r="C34" s="0" t="str">
        <f aca="false">TRIM(SUBSTITUTE(INDEX(LISTAS!$A$4:$T$63,B34,A34)&amp;"",CHAR(160)," "))</f>
        <v/>
      </c>
      <c r="D34" s="0" t="str">
        <f aca="false">IF(C34="","",TRIM(RIGHT(SUBSTITUTE(C34," ",REPT(" ",100)),100)))</f>
        <v/>
      </c>
      <c r="E34" s="0" t="str">
        <f aca="false">IF(D34="","",UPPER(SUBSTITUTE(SUBSTITUTE(D34,"(",""),")","")))</f>
        <v/>
      </c>
      <c r="F34" s="0" t="str">
        <f aca="false">IF(C34="","",LEFT(C34,FIND(" ",C34&amp;" ")-1))</f>
        <v/>
      </c>
      <c r="G34" s="0" t="n">
        <f aca="false">IFERROR(VALUE(SUBSTITUTE(LOWER(F34),"x","")),0)</f>
        <v>0</v>
      </c>
      <c r="H34" s="0" t="str">
        <f aca="false">IF(C34="","",TRIM(MID(C34,LEN(F34)+2,999)))</f>
        <v/>
      </c>
      <c r="I34" s="0" t="n">
        <f aca="false">IF(OR(C34="",LEFT(C34,2)="//"),0,IFERROR(IF(AND(G34&gt;0,G34=INT(G34),FIND("-",E34)&gt;1,NOT(EXACT(UPPER(LEFT(E34,1)),LOWER(LEFT(E34,1)))),ISNUMBER(VALUE(MID(E34,FIND("-",E34)+1,10)))),1,0),0))</f>
        <v>0</v>
      </c>
      <c r="J34" s="0" t="str">
        <f aca="false">IF(I34=1,TRIM(LEFT(H34,MAX(0,LEN(H34)-LEN(D34)))),"")</f>
        <v/>
      </c>
      <c r="K34" s="0" t="str">
        <f aca="false">INDEX($P$2:$P$21,A34)</f>
        <v>Deck 1</v>
      </c>
      <c r="L34" s="0" t="n">
        <f aca="false">IF(AND(C34&lt;&gt;"",LEFT(C34,2)&lt;&gt;"//",I34=0),1,0)</f>
        <v>0</v>
      </c>
      <c r="M34" s="0" t="str">
        <f aca="false">IF(I34=1,MAX(M$1:M33)+1,"")</f>
        <v/>
      </c>
      <c r="N34" s="0" t="str">
        <f aca="false">IFERROR(MATCH(ROW()-1,$V$2:$V$1201,0),"")</f>
        <v/>
      </c>
      <c r="R34" s="0" t="str">
        <f aca="false">IF(E34="","",IFERROR(LEFT(E34,FIND("-",E34)-1),E34))</f>
        <v/>
      </c>
      <c r="S34" s="0" t="str">
        <f aca="false">IF(R34="","",IF(ISNUMBER(--MID(R34,1,1)),0,IF(ISNUMBER(--MID(R34,2,1)),1,IF(ISNUMBER(--MID(R34,3,1)),2,IF(ISNUMBER(--MID(R34,4,1)),3,MIN(LEN(R34),4))))))</f>
        <v/>
      </c>
      <c r="T34" s="0" t="str">
        <f aca="false">IF(E34="","",LEFT(R34,S34)&amp;REPT("0",4-S34)&amp;RIGHT("000"&amp;IFERROR(VALUE(MID(R34,S34+1,9)),0),3)&amp;RIGHT("0000"&amp;IFERROR(VALUE(MID(E34,FIND("-",E34)+1,9)),0),4))</f>
        <v/>
      </c>
      <c r="U34" s="0" t="str">
        <f aca="false">IF(I34=1,"K"&amp;RIGHT("00"&amp;A34,2)&amp;T34&amp;RIGHT("00000"&amp;ROW(),5),"")</f>
        <v/>
      </c>
      <c r="V34" s="0" t="str">
        <f aca="false">IF(U34="","",COUNTIFS($I$2:$I$1201,1,$U$2:$U$1201,"&lt;"&amp;U34)+1)</f>
        <v/>
      </c>
    </row>
    <row r="35" customFormat="false" ht="15" hidden="false" customHeight="false" outlineLevel="0" collapsed="false">
      <c r="A35" s="0" t="n">
        <v>1</v>
      </c>
      <c r="B35" s="0" t="n">
        <v>34</v>
      </c>
      <c r="C35" s="0" t="str">
        <f aca="false">TRIM(SUBSTITUTE(INDEX(LISTAS!$A$4:$T$63,B35,A35)&amp;"",CHAR(160)," "))</f>
        <v/>
      </c>
      <c r="D35" s="0" t="str">
        <f aca="false">IF(C35="","",TRIM(RIGHT(SUBSTITUTE(C35," ",REPT(" ",100)),100)))</f>
        <v/>
      </c>
      <c r="E35" s="0" t="str">
        <f aca="false">IF(D35="","",UPPER(SUBSTITUTE(SUBSTITUTE(D35,"(",""),")","")))</f>
        <v/>
      </c>
      <c r="F35" s="0" t="str">
        <f aca="false">IF(C35="","",LEFT(C35,FIND(" ",C35&amp;" ")-1))</f>
        <v/>
      </c>
      <c r="G35" s="0" t="n">
        <f aca="false">IFERROR(VALUE(SUBSTITUTE(LOWER(F35),"x","")),0)</f>
        <v>0</v>
      </c>
      <c r="H35" s="0" t="str">
        <f aca="false">IF(C35="","",TRIM(MID(C35,LEN(F35)+2,999)))</f>
        <v/>
      </c>
      <c r="I35" s="0" t="n">
        <f aca="false">IF(OR(C35="",LEFT(C35,2)="//"),0,IFERROR(IF(AND(G35&gt;0,G35=INT(G35),FIND("-",E35)&gt;1,NOT(EXACT(UPPER(LEFT(E35,1)),LOWER(LEFT(E35,1)))),ISNUMBER(VALUE(MID(E35,FIND("-",E35)+1,10)))),1,0),0))</f>
        <v>0</v>
      </c>
      <c r="J35" s="0" t="str">
        <f aca="false">IF(I35=1,TRIM(LEFT(H35,MAX(0,LEN(H35)-LEN(D35)))),"")</f>
        <v/>
      </c>
      <c r="K35" s="0" t="str">
        <f aca="false">INDEX($P$2:$P$21,A35)</f>
        <v>Deck 1</v>
      </c>
      <c r="L35" s="0" t="n">
        <f aca="false">IF(AND(C35&lt;&gt;"",LEFT(C35,2)&lt;&gt;"//",I35=0),1,0)</f>
        <v>0</v>
      </c>
      <c r="M35" s="0" t="str">
        <f aca="false">IF(I35=1,MAX(M$1:M34)+1,"")</f>
        <v/>
      </c>
      <c r="N35" s="0" t="str">
        <f aca="false">IFERROR(MATCH(ROW()-1,$V$2:$V$1201,0),"")</f>
        <v/>
      </c>
      <c r="R35" s="0" t="str">
        <f aca="false">IF(E35="","",IFERROR(LEFT(E35,FIND("-",E35)-1),E35))</f>
        <v/>
      </c>
      <c r="S35" s="0" t="str">
        <f aca="false">IF(R35="","",IF(ISNUMBER(--MID(R35,1,1)),0,IF(ISNUMBER(--MID(R35,2,1)),1,IF(ISNUMBER(--MID(R35,3,1)),2,IF(ISNUMBER(--MID(R35,4,1)),3,MIN(LEN(R35),4))))))</f>
        <v/>
      </c>
      <c r="T35" s="0" t="str">
        <f aca="false">IF(E35="","",LEFT(R35,S35)&amp;REPT("0",4-S35)&amp;RIGHT("000"&amp;IFERROR(VALUE(MID(R35,S35+1,9)),0),3)&amp;RIGHT("0000"&amp;IFERROR(VALUE(MID(E35,FIND("-",E35)+1,9)),0),4))</f>
        <v/>
      </c>
      <c r="U35" s="0" t="str">
        <f aca="false">IF(I35=1,"K"&amp;RIGHT("00"&amp;A35,2)&amp;T35&amp;RIGHT("00000"&amp;ROW(),5),"")</f>
        <v/>
      </c>
      <c r="V35" s="0" t="str">
        <f aca="false">IF(U35="","",COUNTIFS($I$2:$I$1201,1,$U$2:$U$1201,"&lt;"&amp;U35)+1)</f>
        <v/>
      </c>
    </row>
    <row r="36" customFormat="false" ht="15" hidden="false" customHeight="false" outlineLevel="0" collapsed="false">
      <c r="A36" s="0" t="n">
        <v>1</v>
      </c>
      <c r="B36" s="0" t="n">
        <v>35</v>
      </c>
      <c r="C36" s="0" t="str">
        <f aca="false">TRIM(SUBSTITUTE(INDEX(LISTAS!$A$4:$T$63,B36,A36)&amp;"",CHAR(160)," "))</f>
        <v/>
      </c>
      <c r="D36" s="0" t="str">
        <f aca="false">IF(C36="","",TRIM(RIGHT(SUBSTITUTE(C36," ",REPT(" ",100)),100)))</f>
        <v/>
      </c>
      <c r="E36" s="0" t="str">
        <f aca="false">IF(D36="","",UPPER(SUBSTITUTE(SUBSTITUTE(D36,"(",""),")","")))</f>
        <v/>
      </c>
      <c r="F36" s="0" t="str">
        <f aca="false">IF(C36="","",LEFT(C36,FIND(" ",C36&amp;" ")-1))</f>
        <v/>
      </c>
      <c r="G36" s="0" t="n">
        <f aca="false">IFERROR(VALUE(SUBSTITUTE(LOWER(F36),"x","")),0)</f>
        <v>0</v>
      </c>
      <c r="H36" s="0" t="str">
        <f aca="false">IF(C36="","",TRIM(MID(C36,LEN(F36)+2,999)))</f>
        <v/>
      </c>
      <c r="I36" s="0" t="n">
        <f aca="false">IF(OR(C36="",LEFT(C36,2)="//"),0,IFERROR(IF(AND(G36&gt;0,G36=INT(G36),FIND("-",E36)&gt;1,NOT(EXACT(UPPER(LEFT(E36,1)),LOWER(LEFT(E36,1)))),ISNUMBER(VALUE(MID(E36,FIND("-",E36)+1,10)))),1,0),0))</f>
        <v>0</v>
      </c>
      <c r="J36" s="0" t="str">
        <f aca="false">IF(I36=1,TRIM(LEFT(H36,MAX(0,LEN(H36)-LEN(D36)))),"")</f>
        <v/>
      </c>
      <c r="K36" s="0" t="str">
        <f aca="false">INDEX($P$2:$P$21,A36)</f>
        <v>Deck 1</v>
      </c>
      <c r="L36" s="0" t="n">
        <f aca="false">IF(AND(C36&lt;&gt;"",LEFT(C36,2)&lt;&gt;"//",I36=0),1,0)</f>
        <v>0</v>
      </c>
      <c r="M36" s="0" t="str">
        <f aca="false">IF(I36=1,MAX(M$1:M35)+1,"")</f>
        <v/>
      </c>
      <c r="N36" s="0" t="str">
        <f aca="false">IFERROR(MATCH(ROW()-1,$V$2:$V$1201,0),"")</f>
        <v/>
      </c>
      <c r="R36" s="0" t="str">
        <f aca="false">IF(E36="","",IFERROR(LEFT(E36,FIND("-",E36)-1),E36))</f>
        <v/>
      </c>
      <c r="S36" s="0" t="str">
        <f aca="false">IF(R36="","",IF(ISNUMBER(--MID(R36,1,1)),0,IF(ISNUMBER(--MID(R36,2,1)),1,IF(ISNUMBER(--MID(R36,3,1)),2,IF(ISNUMBER(--MID(R36,4,1)),3,MIN(LEN(R36),4))))))</f>
        <v/>
      </c>
      <c r="T36" s="0" t="str">
        <f aca="false">IF(E36="","",LEFT(R36,S36)&amp;REPT("0",4-S36)&amp;RIGHT("000"&amp;IFERROR(VALUE(MID(R36,S36+1,9)),0),3)&amp;RIGHT("0000"&amp;IFERROR(VALUE(MID(E36,FIND("-",E36)+1,9)),0),4))</f>
        <v/>
      </c>
      <c r="U36" s="0" t="str">
        <f aca="false">IF(I36=1,"K"&amp;RIGHT("00"&amp;A36,2)&amp;T36&amp;RIGHT("00000"&amp;ROW(),5),"")</f>
        <v/>
      </c>
      <c r="V36" s="0" t="str">
        <f aca="false">IF(U36="","",COUNTIFS($I$2:$I$1201,1,$U$2:$U$1201,"&lt;"&amp;U36)+1)</f>
        <v/>
      </c>
    </row>
    <row r="37" customFormat="false" ht="15" hidden="false" customHeight="false" outlineLevel="0" collapsed="false">
      <c r="A37" s="0" t="n">
        <v>1</v>
      </c>
      <c r="B37" s="0" t="n">
        <v>36</v>
      </c>
      <c r="C37" s="0" t="str">
        <f aca="false">TRIM(SUBSTITUTE(INDEX(LISTAS!$A$4:$T$63,B37,A37)&amp;"",CHAR(160)," "))</f>
        <v/>
      </c>
      <c r="D37" s="0" t="str">
        <f aca="false">IF(C37="","",TRIM(RIGHT(SUBSTITUTE(C37," ",REPT(" ",100)),100)))</f>
        <v/>
      </c>
      <c r="E37" s="0" t="str">
        <f aca="false">IF(D37="","",UPPER(SUBSTITUTE(SUBSTITUTE(D37,"(",""),")","")))</f>
        <v/>
      </c>
      <c r="F37" s="0" t="str">
        <f aca="false">IF(C37="","",LEFT(C37,FIND(" ",C37&amp;" ")-1))</f>
        <v/>
      </c>
      <c r="G37" s="0" t="n">
        <f aca="false">IFERROR(VALUE(SUBSTITUTE(LOWER(F37),"x","")),0)</f>
        <v>0</v>
      </c>
      <c r="H37" s="0" t="str">
        <f aca="false">IF(C37="","",TRIM(MID(C37,LEN(F37)+2,999)))</f>
        <v/>
      </c>
      <c r="I37" s="0" t="n">
        <f aca="false">IF(OR(C37="",LEFT(C37,2)="//"),0,IFERROR(IF(AND(G37&gt;0,G37=INT(G37),FIND("-",E37)&gt;1,NOT(EXACT(UPPER(LEFT(E37,1)),LOWER(LEFT(E37,1)))),ISNUMBER(VALUE(MID(E37,FIND("-",E37)+1,10)))),1,0),0))</f>
        <v>0</v>
      </c>
      <c r="J37" s="0" t="str">
        <f aca="false">IF(I37=1,TRIM(LEFT(H37,MAX(0,LEN(H37)-LEN(D37)))),"")</f>
        <v/>
      </c>
      <c r="K37" s="0" t="str">
        <f aca="false">INDEX($P$2:$P$21,A37)</f>
        <v>Deck 1</v>
      </c>
      <c r="L37" s="0" t="n">
        <f aca="false">IF(AND(C37&lt;&gt;"",LEFT(C37,2)&lt;&gt;"//",I37=0),1,0)</f>
        <v>0</v>
      </c>
      <c r="M37" s="0" t="str">
        <f aca="false">IF(I37=1,MAX(M$1:M36)+1,"")</f>
        <v/>
      </c>
      <c r="N37" s="0" t="str">
        <f aca="false">IFERROR(MATCH(ROW()-1,$V$2:$V$1201,0),"")</f>
        <v/>
      </c>
      <c r="R37" s="0" t="str">
        <f aca="false">IF(E37="","",IFERROR(LEFT(E37,FIND("-",E37)-1),E37))</f>
        <v/>
      </c>
      <c r="S37" s="0" t="str">
        <f aca="false">IF(R37="","",IF(ISNUMBER(--MID(R37,1,1)),0,IF(ISNUMBER(--MID(R37,2,1)),1,IF(ISNUMBER(--MID(R37,3,1)),2,IF(ISNUMBER(--MID(R37,4,1)),3,MIN(LEN(R37),4))))))</f>
        <v/>
      </c>
      <c r="T37" s="0" t="str">
        <f aca="false">IF(E37="","",LEFT(R37,S37)&amp;REPT("0",4-S37)&amp;RIGHT("000"&amp;IFERROR(VALUE(MID(R37,S37+1,9)),0),3)&amp;RIGHT("0000"&amp;IFERROR(VALUE(MID(E37,FIND("-",E37)+1,9)),0),4))</f>
        <v/>
      </c>
      <c r="U37" s="0" t="str">
        <f aca="false">IF(I37=1,"K"&amp;RIGHT("00"&amp;A37,2)&amp;T37&amp;RIGHT("00000"&amp;ROW(),5),"")</f>
        <v/>
      </c>
      <c r="V37" s="0" t="str">
        <f aca="false">IF(U37="","",COUNTIFS($I$2:$I$1201,1,$U$2:$U$1201,"&lt;"&amp;U37)+1)</f>
        <v/>
      </c>
    </row>
    <row r="38" customFormat="false" ht="15" hidden="false" customHeight="false" outlineLevel="0" collapsed="false">
      <c r="A38" s="0" t="n">
        <v>1</v>
      </c>
      <c r="B38" s="0" t="n">
        <v>37</v>
      </c>
      <c r="C38" s="0" t="str">
        <f aca="false">TRIM(SUBSTITUTE(INDEX(LISTAS!$A$4:$T$63,B38,A38)&amp;"",CHAR(160)," "))</f>
        <v/>
      </c>
      <c r="D38" s="0" t="str">
        <f aca="false">IF(C38="","",TRIM(RIGHT(SUBSTITUTE(C38," ",REPT(" ",100)),100)))</f>
        <v/>
      </c>
      <c r="E38" s="0" t="str">
        <f aca="false">IF(D38="","",UPPER(SUBSTITUTE(SUBSTITUTE(D38,"(",""),")","")))</f>
        <v/>
      </c>
      <c r="F38" s="0" t="str">
        <f aca="false">IF(C38="","",LEFT(C38,FIND(" ",C38&amp;" ")-1))</f>
        <v/>
      </c>
      <c r="G38" s="0" t="n">
        <f aca="false">IFERROR(VALUE(SUBSTITUTE(LOWER(F38),"x","")),0)</f>
        <v>0</v>
      </c>
      <c r="H38" s="0" t="str">
        <f aca="false">IF(C38="","",TRIM(MID(C38,LEN(F38)+2,999)))</f>
        <v/>
      </c>
      <c r="I38" s="0" t="n">
        <f aca="false">IF(OR(C38="",LEFT(C38,2)="//"),0,IFERROR(IF(AND(G38&gt;0,G38=INT(G38),FIND("-",E38)&gt;1,NOT(EXACT(UPPER(LEFT(E38,1)),LOWER(LEFT(E38,1)))),ISNUMBER(VALUE(MID(E38,FIND("-",E38)+1,10)))),1,0),0))</f>
        <v>0</v>
      </c>
      <c r="J38" s="0" t="str">
        <f aca="false">IF(I38=1,TRIM(LEFT(H38,MAX(0,LEN(H38)-LEN(D38)))),"")</f>
        <v/>
      </c>
      <c r="K38" s="0" t="str">
        <f aca="false">INDEX($P$2:$P$21,A38)</f>
        <v>Deck 1</v>
      </c>
      <c r="L38" s="0" t="n">
        <f aca="false">IF(AND(C38&lt;&gt;"",LEFT(C38,2)&lt;&gt;"//",I38=0),1,0)</f>
        <v>0</v>
      </c>
      <c r="M38" s="0" t="str">
        <f aca="false">IF(I38=1,MAX(M$1:M37)+1,"")</f>
        <v/>
      </c>
      <c r="N38" s="0" t="str">
        <f aca="false">IFERROR(MATCH(ROW()-1,$V$2:$V$1201,0),"")</f>
        <v/>
      </c>
      <c r="R38" s="0" t="str">
        <f aca="false">IF(E38="","",IFERROR(LEFT(E38,FIND("-",E38)-1),E38))</f>
        <v/>
      </c>
      <c r="S38" s="0" t="str">
        <f aca="false">IF(R38="","",IF(ISNUMBER(--MID(R38,1,1)),0,IF(ISNUMBER(--MID(R38,2,1)),1,IF(ISNUMBER(--MID(R38,3,1)),2,IF(ISNUMBER(--MID(R38,4,1)),3,MIN(LEN(R38),4))))))</f>
        <v/>
      </c>
      <c r="T38" s="0" t="str">
        <f aca="false">IF(E38="","",LEFT(R38,S38)&amp;REPT("0",4-S38)&amp;RIGHT("000"&amp;IFERROR(VALUE(MID(R38,S38+1,9)),0),3)&amp;RIGHT("0000"&amp;IFERROR(VALUE(MID(E38,FIND("-",E38)+1,9)),0),4))</f>
        <v/>
      </c>
      <c r="U38" s="0" t="str">
        <f aca="false">IF(I38=1,"K"&amp;RIGHT("00"&amp;A38,2)&amp;T38&amp;RIGHT("00000"&amp;ROW(),5),"")</f>
        <v/>
      </c>
      <c r="V38" s="0" t="str">
        <f aca="false">IF(U38="","",COUNTIFS($I$2:$I$1201,1,$U$2:$U$1201,"&lt;"&amp;U38)+1)</f>
        <v/>
      </c>
    </row>
    <row r="39" customFormat="false" ht="15" hidden="false" customHeight="false" outlineLevel="0" collapsed="false">
      <c r="A39" s="0" t="n">
        <v>1</v>
      </c>
      <c r="B39" s="0" t="n">
        <v>38</v>
      </c>
      <c r="C39" s="0" t="str">
        <f aca="false">TRIM(SUBSTITUTE(INDEX(LISTAS!$A$4:$T$63,B39,A39)&amp;"",CHAR(160)," "))</f>
        <v/>
      </c>
      <c r="D39" s="0" t="str">
        <f aca="false">IF(C39="","",TRIM(RIGHT(SUBSTITUTE(C39," ",REPT(" ",100)),100)))</f>
        <v/>
      </c>
      <c r="E39" s="0" t="str">
        <f aca="false">IF(D39="","",UPPER(SUBSTITUTE(SUBSTITUTE(D39,"(",""),")","")))</f>
        <v/>
      </c>
      <c r="F39" s="0" t="str">
        <f aca="false">IF(C39="","",LEFT(C39,FIND(" ",C39&amp;" ")-1))</f>
        <v/>
      </c>
      <c r="G39" s="0" t="n">
        <f aca="false">IFERROR(VALUE(SUBSTITUTE(LOWER(F39),"x","")),0)</f>
        <v>0</v>
      </c>
      <c r="H39" s="0" t="str">
        <f aca="false">IF(C39="","",TRIM(MID(C39,LEN(F39)+2,999)))</f>
        <v/>
      </c>
      <c r="I39" s="0" t="n">
        <f aca="false">IF(OR(C39="",LEFT(C39,2)="//"),0,IFERROR(IF(AND(G39&gt;0,G39=INT(G39),FIND("-",E39)&gt;1,NOT(EXACT(UPPER(LEFT(E39,1)),LOWER(LEFT(E39,1)))),ISNUMBER(VALUE(MID(E39,FIND("-",E39)+1,10)))),1,0),0))</f>
        <v>0</v>
      </c>
      <c r="J39" s="0" t="str">
        <f aca="false">IF(I39=1,TRIM(LEFT(H39,MAX(0,LEN(H39)-LEN(D39)))),"")</f>
        <v/>
      </c>
      <c r="K39" s="0" t="str">
        <f aca="false">INDEX($P$2:$P$21,A39)</f>
        <v>Deck 1</v>
      </c>
      <c r="L39" s="0" t="n">
        <f aca="false">IF(AND(C39&lt;&gt;"",LEFT(C39,2)&lt;&gt;"//",I39=0),1,0)</f>
        <v>0</v>
      </c>
      <c r="M39" s="0" t="str">
        <f aca="false">IF(I39=1,MAX(M$1:M38)+1,"")</f>
        <v/>
      </c>
      <c r="N39" s="0" t="str">
        <f aca="false">IFERROR(MATCH(ROW()-1,$V$2:$V$1201,0),"")</f>
        <v/>
      </c>
      <c r="R39" s="0" t="str">
        <f aca="false">IF(E39="","",IFERROR(LEFT(E39,FIND("-",E39)-1),E39))</f>
        <v/>
      </c>
      <c r="S39" s="0" t="str">
        <f aca="false">IF(R39="","",IF(ISNUMBER(--MID(R39,1,1)),0,IF(ISNUMBER(--MID(R39,2,1)),1,IF(ISNUMBER(--MID(R39,3,1)),2,IF(ISNUMBER(--MID(R39,4,1)),3,MIN(LEN(R39),4))))))</f>
        <v/>
      </c>
      <c r="T39" s="0" t="str">
        <f aca="false">IF(E39="","",LEFT(R39,S39)&amp;REPT("0",4-S39)&amp;RIGHT("000"&amp;IFERROR(VALUE(MID(R39,S39+1,9)),0),3)&amp;RIGHT("0000"&amp;IFERROR(VALUE(MID(E39,FIND("-",E39)+1,9)),0),4))</f>
        <v/>
      </c>
      <c r="U39" s="0" t="str">
        <f aca="false">IF(I39=1,"K"&amp;RIGHT("00"&amp;A39,2)&amp;T39&amp;RIGHT("00000"&amp;ROW(),5),"")</f>
        <v/>
      </c>
      <c r="V39" s="0" t="str">
        <f aca="false">IF(U39="","",COUNTIFS($I$2:$I$1201,1,$U$2:$U$1201,"&lt;"&amp;U39)+1)</f>
        <v/>
      </c>
    </row>
    <row r="40" customFormat="false" ht="15" hidden="false" customHeight="false" outlineLevel="0" collapsed="false">
      <c r="A40" s="0" t="n">
        <v>1</v>
      </c>
      <c r="B40" s="0" t="n">
        <v>39</v>
      </c>
      <c r="C40" s="0" t="str">
        <f aca="false">TRIM(SUBSTITUTE(INDEX(LISTAS!$A$4:$T$63,B40,A40)&amp;"",CHAR(160)," "))</f>
        <v/>
      </c>
      <c r="D40" s="0" t="str">
        <f aca="false">IF(C40="","",TRIM(RIGHT(SUBSTITUTE(C40," ",REPT(" ",100)),100)))</f>
        <v/>
      </c>
      <c r="E40" s="0" t="str">
        <f aca="false">IF(D40="","",UPPER(SUBSTITUTE(SUBSTITUTE(D40,"(",""),")","")))</f>
        <v/>
      </c>
      <c r="F40" s="0" t="str">
        <f aca="false">IF(C40="","",LEFT(C40,FIND(" ",C40&amp;" ")-1))</f>
        <v/>
      </c>
      <c r="G40" s="0" t="n">
        <f aca="false">IFERROR(VALUE(SUBSTITUTE(LOWER(F40),"x","")),0)</f>
        <v>0</v>
      </c>
      <c r="H40" s="0" t="str">
        <f aca="false">IF(C40="","",TRIM(MID(C40,LEN(F40)+2,999)))</f>
        <v/>
      </c>
      <c r="I40" s="0" t="n">
        <f aca="false">IF(OR(C40="",LEFT(C40,2)="//"),0,IFERROR(IF(AND(G40&gt;0,G40=INT(G40),FIND("-",E40)&gt;1,NOT(EXACT(UPPER(LEFT(E40,1)),LOWER(LEFT(E40,1)))),ISNUMBER(VALUE(MID(E40,FIND("-",E40)+1,10)))),1,0),0))</f>
        <v>0</v>
      </c>
      <c r="J40" s="0" t="str">
        <f aca="false">IF(I40=1,TRIM(LEFT(H40,MAX(0,LEN(H40)-LEN(D40)))),"")</f>
        <v/>
      </c>
      <c r="K40" s="0" t="str">
        <f aca="false">INDEX($P$2:$P$21,A40)</f>
        <v>Deck 1</v>
      </c>
      <c r="L40" s="0" t="n">
        <f aca="false">IF(AND(C40&lt;&gt;"",LEFT(C40,2)&lt;&gt;"//",I40=0),1,0)</f>
        <v>0</v>
      </c>
      <c r="M40" s="0" t="str">
        <f aca="false">IF(I40=1,MAX(M$1:M39)+1,"")</f>
        <v/>
      </c>
      <c r="N40" s="0" t="str">
        <f aca="false">IFERROR(MATCH(ROW()-1,$V$2:$V$1201,0),"")</f>
        <v/>
      </c>
      <c r="R40" s="0" t="str">
        <f aca="false">IF(E40="","",IFERROR(LEFT(E40,FIND("-",E40)-1),E40))</f>
        <v/>
      </c>
      <c r="S40" s="0" t="str">
        <f aca="false">IF(R40="","",IF(ISNUMBER(--MID(R40,1,1)),0,IF(ISNUMBER(--MID(R40,2,1)),1,IF(ISNUMBER(--MID(R40,3,1)),2,IF(ISNUMBER(--MID(R40,4,1)),3,MIN(LEN(R40),4))))))</f>
        <v/>
      </c>
      <c r="T40" s="0" t="str">
        <f aca="false">IF(E40="","",LEFT(R40,S40)&amp;REPT("0",4-S40)&amp;RIGHT("000"&amp;IFERROR(VALUE(MID(R40,S40+1,9)),0),3)&amp;RIGHT("0000"&amp;IFERROR(VALUE(MID(E40,FIND("-",E40)+1,9)),0),4))</f>
        <v/>
      </c>
      <c r="U40" s="0" t="str">
        <f aca="false">IF(I40=1,"K"&amp;RIGHT("00"&amp;A40,2)&amp;T40&amp;RIGHT("00000"&amp;ROW(),5),"")</f>
        <v/>
      </c>
      <c r="V40" s="0" t="str">
        <f aca="false">IF(U40="","",COUNTIFS($I$2:$I$1201,1,$U$2:$U$1201,"&lt;"&amp;U40)+1)</f>
        <v/>
      </c>
    </row>
    <row r="41" customFormat="false" ht="15" hidden="false" customHeight="false" outlineLevel="0" collapsed="false">
      <c r="A41" s="0" t="n">
        <v>1</v>
      </c>
      <c r="B41" s="0" t="n">
        <v>40</v>
      </c>
      <c r="C41" s="0" t="str">
        <f aca="false">TRIM(SUBSTITUTE(INDEX(LISTAS!$A$4:$T$63,B41,A41)&amp;"",CHAR(160)," "))</f>
        <v/>
      </c>
      <c r="D41" s="0" t="str">
        <f aca="false">IF(C41="","",TRIM(RIGHT(SUBSTITUTE(C41," ",REPT(" ",100)),100)))</f>
        <v/>
      </c>
      <c r="E41" s="0" t="str">
        <f aca="false">IF(D41="","",UPPER(SUBSTITUTE(SUBSTITUTE(D41,"(",""),")","")))</f>
        <v/>
      </c>
      <c r="F41" s="0" t="str">
        <f aca="false">IF(C41="","",LEFT(C41,FIND(" ",C41&amp;" ")-1))</f>
        <v/>
      </c>
      <c r="G41" s="0" t="n">
        <f aca="false">IFERROR(VALUE(SUBSTITUTE(LOWER(F41),"x","")),0)</f>
        <v>0</v>
      </c>
      <c r="H41" s="0" t="str">
        <f aca="false">IF(C41="","",TRIM(MID(C41,LEN(F41)+2,999)))</f>
        <v/>
      </c>
      <c r="I41" s="0" t="n">
        <f aca="false">IF(OR(C41="",LEFT(C41,2)="//"),0,IFERROR(IF(AND(G41&gt;0,G41=INT(G41),FIND("-",E41)&gt;1,NOT(EXACT(UPPER(LEFT(E41,1)),LOWER(LEFT(E41,1)))),ISNUMBER(VALUE(MID(E41,FIND("-",E41)+1,10)))),1,0),0))</f>
        <v>0</v>
      </c>
      <c r="J41" s="0" t="str">
        <f aca="false">IF(I41=1,TRIM(LEFT(H41,MAX(0,LEN(H41)-LEN(D41)))),"")</f>
        <v/>
      </c>
      <c r="K41" s="0" t="str">
        <f aca="false">INDEX($P$2:$P$21,A41)</f>
        <v>Deck 1</v>
      </c>
      <c r="L41" s="0" t="n">
        <f aca="false">IF(AND(C41&lt;&gt;"",LEFT(C41,2)&lt;&gt;"//",I41=0),1,0)</f>
        <v>0</v>
      </c>
      <c r="M41" s="0" t="str">
        <f aca="false">IF(I41=1,MAX(M$1:M40)+1,"")</f>
        <v/>
      </c>
      <c r="N41" s="0" t="str">
        <f aca="false">IFERROR(MATCH(ROW()-1,$V$2:$V$1201,0),"")</f>
        <v/>
      </c>
      <c r="R41" s="0" t="str">
        <f aca="false">IF(E41="","",IFERROR(LEFT(E41,FIND("-",E41)-1),E41))</f>
        <v/>
      </c>
      <c r="S41" s="0" t="str">
        <f aca="false">IF(R41="","",IF(ISNUMBER(--MID(R41,1,1)),0,IF(ISNUMBER(--MID(R41,2,1)),1,IF(ISNUMBER(--MID(R41,3,1)),2,IF(ISNUMBER(--MID(R41,4,1)),3,MIN(LEN(R41),4))))))</f>
        <v/>
      </c>
      <c r="T41" s="0" t="str">
        <f aca="false">IF(E41="","",LEFT(R41,S41)&amp;REPT("0",4-S41)&amp;RIGHT("000"&amp;IFERROR(VALUE(MID(R41,S41+1,9)),0),3)&amp;RIGHT("0000"&amp;IFERROR(VALUE(MID(E41,FIND("-",E41)+1,9)),0),4))</f>
        <v/>
      </c>
      <c r="U41" s="0" t="str">
        <f aca="false">IF(I41=1,"K"&amp;RIGHT("00"&amp;A41,2)&amp;T41&amp;RIGHT("00000"&amp;ROW(),5),"")</f>
        <v/>
      </c>
      <c r="V41" s="0" t="str">
        <f aca="false">IF(U41="","",COUNTIFS($I$2:$I$1201,1,$U$2:$U$1201,"&lt;"&amp;U41)+1)</f>
        <v/>
      </c>
    </row>
    <row r="42" customFormat="false" ht="15" hidden="false" customHeight="false" outlineLevel="0" collapsed="false">
      <c r="A42" s="0" t="n">
        <v>1</v>
      </c>
      <c r="B42" s="0" t="n">
        <v>41</v>
      </c>
      <c r="C42" s="0" t="str">
        <f aca="false">TRIM(SUBSTITUTE(INDEX(LISTAS!$A$4:$T$63,B42,A42)&amp;"",CHAR(160)," "))</f>
        <v/>
      </c>
      <c r="D42" s="0" t="str">
        <f aca="false">IF(C42="","",TRIM(RIGHT(SUBSTITUTE(C42," ",REPT(" ",100)),100)))</f>
        <v/>
      </c>
      <c r="E42" s="0" t="str">
        <f aca="false">IF(D42="","",UPPER(SUBSTITUTE(SUBSTITUTE(D42,"(",""),")","")))</f>
        <v/>
      </c>
      <c r="F42" s="0" t="str">
        <f aca="false">IF(C42="","",LEFT(C42,FIND(" ",C42&amp;" ")-1))</f>
        <v/>
      </c>
      <c r="G42" s="0" t="n">
        <f aca="false">IFERROR(VALUE(SUBSTITUTE(LOWER(F42),"x","")),0)</f>
        <v>0</v>
      </c>
      <c r="H42" s="0" t="str">
        <f aca="false">IF(C42="","",TRIM(MID(C42,LEN(F42)+2,999)))</f>
        <v/>
      </c>
      <c r="I42" s="0" t="n">
        <f aca="false">IF(OR(C42="",LEFT(C42,2)="//"),0,IFERROR(IF(AND(G42&gt;0,G42=INT(G42),FIND("-",E42)&gt;1,NOT(EXACT(UPPER(LEFT(E42,1)),LOWER(LEFT(E42,1)))),ISNUMBER(VALUE(MID(E42,FIND("-",E42)+1,10)))),1,0),0))</f>
        <v>0</v>
      </c>
      <c r="J42" s="0" t="str">
        <f aca="false">IF(I42=1,TRIM(LEFT(H42,MAX(0,LEN(H42)-LEN(D42)))),"")</f>
        <v/>
      </c>
      <c r="K42" s="0" t="str">
        <f aca="false">INDEX($P$2:$P$21,A42)</f>
        <v>Deck 1</v>
      </c>
      <c r="L42" s="0" t="n">
        <f aca="false">IF(AND(C42&lt;&gt;"",LEFT(C42,2)&lt;&gt;"//",I42=0),1,0)</f>
        <v>0</v>
      </c>
      <c r="M42" s="0" t="str">
        <f aca="false">IF(I42=1,MAX(M$1:M41)+1,"")</f>
        <v/>
      </c>
      <c r="N42" s="0" t="str">
        <f aca="false">IFERROR(MATCH(ROW()-1,$V$2:$V$1201,0),"")</f>
        <v/>
      </c>
      <c r="R42" s="0" t="str">
        <f aca="false">IF(E42="","",IFERROR(LEFT(E42,FIND("-",E42)-1),E42))</f>
        <v/>
      </c>
      <c r="S42" s="0" t="str">
        <f aca="false">IF(R42="","",IF(ISNUMBER(--MID(R42,1,1)),0,IF(ISNUMBER(--MID(R42,2,1)),1,IF(ISNUMBER(--MID(R42,3,1)),2,IF(ISNUMBER(--MID(R42,4,1)),3,MIN(LEN(R42),4))))))</f>
        <v/>
      </c>
      <c r="T42" s="0" t="str">
        <f aca="false">IF(E42="","",LEFT(R42,S42)&amp;REPT("0",4-S42)&amp;RIGHT("000"&amp;IFERROR(VALUE(MID(R42,S42+1,9)),0),3)&amp;RIGHT("0000"&amp;IFERROR(VALUE(MID(E42,FIND("-",E42)+1,9)),0),4))</f>
        <v/>
      </c>
      <c r="U42" s="0" t="str">
        <f aca="false">IF(I42=1,"K"&amp;RIGHT("00"&amp;A42,2)&amp;T42&amp;RIGHT("00000"&amp;ROW(),5),"")</f>
        <v/>
      </c>
      <c r="V42" s="0" t="str">
        <f aca="false">IF(U42="","",COUNTIFS($I$2:$I$1201,1,$U$2:$U$1201,"&lt;"&amp;U42)+1)</f>
        <v/>
      </c>
    </row>
    <row r="43" customFormat="false" ht="15" hidden="false" customHeight="false" outlineLevel="0" collapsed="false">
      <c r="A43" s="0" t="n">
        <v>1</v>
      </c>
      <c r="B43" s="0" t="n">
        <v>42</v>
      </c>
      <c r="C43" s="0" t="str">
        <f aca="false">TRIM(SUBSTITUTE(INDEX(LISTAS!$A$4:$T$63,B43,A43)&amp;"",CHAR(160)," "))</f>
        <v/>
      </c>
      <c r="D43" s="0" t="str">
        <f aca="false">IF(C43="","",TRIM(RIGHT(SUBSTITUTE(C43," ",REPT(" ",100)),100)))</f>
        <v/>
      </c>
      <c r="E43" s="0" t="str">
        <f aca="false">IF(D43="","",UPPER(SUBSTITUTE(SUBSTITUTE(D43,"(",""),")","")))</f>
        <v/>
      </c>
      <c r="F43" s="0" t="str">
        <f aca="false">IF(C43="","",LEFT(C43,FIND(" ",C43&amp;" ")-1))</f>
        <v/>
      </c>
      <c r="G43" s="0" t="n">
        <f aca="false">IFERROR(VALUE(SUBSTITUTE(LOWER(F43),"x","")),0)</f>
        <v>0</v>
      </c>
      <c r="H43" s="0" t="str">
        <f aca="false">IF(C43="","",TRIM(MID(C43,LEN(F43)+2,999)))</f>
        <v/>
      </c>
      <c r="I43" s="0" t="n">
        <f aca="false">IF(OR(C43="",LEFT(C43,2)="//"),0,IFERROR(IF(AND(G43&gt;0,G43=INT(G43),FIND("-",E43)&gt;1,NOT(EXACT(UPPER(LEFT(E43,1)),LOWER(LEFT(E43,1)))),ISNUMBER(VALUE(MID(E43,FIND("-",E43)+1,10)))),1,0),0))</f>
        <v>0</v>
      </c>
      <c r="J43" s="0" t="str">
        <f aca="false">IF(I43=1,TRIM(LEFT(H43,MAX(0,LEN(H43)-LEN(D43)))),"")</f>
        <v/>
      </c>
      <c r="K43" s="0" t="str">
        <f aca="false">INDEX($P$2:$P$21,A43)</f>
        <v>Deck 1</v>
      </c>
      <c r="L43" s="0" t="n">
        <f aca="false">IF(AND(C43&lt;&gt;"",LEFT(C43,2)&lt;&gt;"//",I43=0),1,0)</f>
        <v>0</v>
      </c>
      <c r="M43" s="0" t="str">
        <f aca="false">IF(I43=1,MAX(M$1:M42)+1,"")</f>
        <v/>
      </c>
      <c r="N43" s="0" t="str">
        <f aca="false">IFERROR(MATCH(ROW()-1,$V$2:$V$1201,0),"")</f>
        <v/>
      </c>
      <c r="R43" s="0" t="str">
        <f aca="false">IF(E43="","",IFERROR(LEFT(E43,FIND("-",E43)-1),E43))</f>
        <v/>
      </c>
      <c r="S43" s="0" t="str">
        <f aca="false">IF(R43="","",IF(ISNUMBER(--MID(R43,1,1)),0,IF(ISNUMBER(--MID(R43,2,1)),1,IF(ISNUMBER(--MID(R43,3,1)),2,IF(ISNUMBER(--MID(R43,4,1)),3,MIN(LEN(R43),4))))))</f>
        <v/>
      </c>
      <c r="T43" s="0" t="str">
        <f aca="false">IF(E43="","",LEFT(R43,S43)&amp;REPT("0",4-S43)&amp;RIGHT("000"&amp;IFERROR(VALUE(MID(R43,S43+1,9)),0),3)&amp;RIGHT("0000"&amp;IFERROR(VALUE(MID(E43,FIND("-",E43)+1,9)),0),4))</f>
        <v/>
      </c>
      <c r="U43" s="0" t="str">
        <f aca="false">IF(I43=1,"K"&amp;RIGHT("00"&amp;A43,2)&amp;T43&amp;RIGHT("00000"&amp;ROW(),5),"")</f>
        <v/>
      </c>
      <c r="V43" s="0" t="str">
        <f aca="false">IF(U43="","",COUNTIFS($I$2:$I$1201,1,$U$2:$U$1201,"&lt;"&amp;U43)+1)</f>
        <v/>
      </c>
    </row>
    <row r="44" customFormat="false" ht="15" hidden="false" customHeight="false" outlineLevel="0" collapsed="false">
      <c r="A44" s="0" t="n">
        <v>1</v>
      </c>
      <c r="B44" s="0" t="n">
        <v>43</v>
      </c>
      <c r="C44" s="0" t="str">
        <f aca="false">TRIM(SUBSTITUTE(INDEX(LISTAS!$A$4:$T$63,B44,A44)&amp;"",CHAR(160)," "))</f>
        <v/>
      </c>
      <c r="D44" s="0" t="str">
        <f aca="false">IF(C44="","",TRIM(RIGHT(SUBSTITUTE(C44," ",REPT(" ",100)),100)))</f>
        <v/>
      </c>
      <c r="E44" s="0" t="str">
        <f aca="false">IF(D44="","",UPPER(SUBSTITUTE(SUBSTITUTE(D44,"(",""),")","")))</f>
        <v/>
      </c>
      <c r="F44" s="0" t="str">
        <f aca="false">IF(C44="","",LEFT(C44,FIND(" ",C44&amp;" ")-1))</f>
        <v/>
      </c>
      <c r="G44" s="0" t="n">
        <f aca="false">IFERROR(VALUE(SUBSTITUTE(LOWER(F44),"x","")),0)</f>
        <v>0</v>
      </c>
      <c r="H44" s="0" t="str">
        <f aca="false">IF(C44="","",TRIM(MID(C44,LEN(F44)+2,999)))</f>
        <v/>
      </c>
      <c r="I44" s="0" t="n">
        <f aca="false">IF(OR(C44="",LEFT(C44,2)="//"),0,IFERROR(IF(AND(G44&gt;0,G44=INT(G44),FIND("-",E44)&gt;1,NOT(EXACT(UPPER(LEFT(E44,1)),LOWER(LEFT(E44,1)))),ISNUMBER(VALUE(MID(E44,FIND("-",E44)+1,10)))),1,0),0))</f>
        <v>0</v>
      </c>
      <c r="J44" s="0" t="str">
        <f aca="false">IF(I44=1,TRIM(LEFT(H44,MAX(0,LEN(H44)-LEN(D44)))),"")</f>
        <v/>
      </c>
      <c r="K44" s="0" t="str">
        <f aca="false">INDEX($P$2:$P$21,A44)</f>
        <v>Deck 1</v>
      </c>
      <c r="L44" s="0" t="n">
        <f aca="false">IF(AND(C44&lt;&gt;"",LEFT(C44,2)&lt;&gt;"//",I44=0),1,0)</f>
        <v>0</v>
      </c>
      <c r="M44" s="0" t="str">
        <f aca="false">IF(I44=1,MAX(M$1:M43)+1,"")</f>
        <v/>
      </c>
      <c r="N44" s="0" t="str">
        <f aca="false">IFERROR(MATCH(ROW()-1,$V$2:$V$1201,0),"")</f>
        <v/>
      </c>
      <c r="R44" s="0" t="str">
        <f aca="false">IF(E44="","",IFERROR(LEFT(E44,FIND("-",E44)-1),E44))</f>
        <v/>
      </c>
      <c r="S44" s="0" t="str">
        <f aca="false">IF(R44="","",IF(ISNUMBER(--MID(R44,1,1)),0,IF(ISNUMBER(--MID(R44,2,1)),1,IF(ISNUMBER(--MID(R44,3,1)),2,IF(ISNUMBER(--MID(R44,4,1)),3,MIN(LEN(R44),4))))))</f>
        <v/>
      </c>
      <c r="T44" s="0" t="str">
        <f aca="false">IF(E44="","",LEFT(R44,S44)&amp;REPT("0",4-S44)&amp;RIGHT("000"&amp;IFERROR(VALUE(MID(R44,S44+1,9)),0),3)&amp;RIGHT("0000"&amp;IFERROR(VALUE(MID(E44,FIND("-",E44)+1,9)),0),4))</f>
        <v/>
      </c>
      <c r="U44" s="0" t="str">
        <f aca="false">IF(I44=1,"K"&amp;RIGHT("00"&amp;A44,2)&amp;T44&amp;RIGHT("00000"&amp;ROW(),5),"")</f>
        <v/>
      </c>
      <c r="V44" s="0" t="str">
        <f aca="false">IF(U44="","",COUNTIFS($I$2:$I$1201,1,$U$2:$U$1201,"&lt;"&amp;U44)+1)</f>
        <v/>
      </c>
    </row>
    <row r="45" customFormat="false" ht="15" hidden="false" customHeight="false" outlineLevel="0" collapsed="false">
      <c r="A45" s="0" t="n">
        <v>1</v>
      </c>
      <c r="B45" s="0" t="n">
        <v>44</v>
      </c>
      <c r="C45" s="0" t="str">
        <f aca="false">TRIM(SUBSTITUTE(INDEX(LISTAS!$A$4:$T$63,B45,A45)&amp;"",CHAR(160)," "))</f>
        <v/>
      </c>
      <c r="D45" s="0" t="str">
        <f aca="false">IF(C45="","",TRIM(RIGHT(SUBSTITUTE(C45," ",REPT(" ",100)),100)))</f>
        <v/>
      </c>
      <c r="E45" s="0" t="str">
        <f aca="false">IF(D45="","",UPPER(SUBSTITUTE(SUBSTITUTE(D45,"(",""),")","")))</f>
        <v/>
      </c>
      <c r="F45" s="0" t="str">
        <f aca="false">IF(C45="","",LEFT(C45,FIND(" ",C45&amp;" ")-1))</f>
        <v/>
      </c>
      <c r="G45" s="0" t="n">
        <f aca="false">IFERROR(VALUE(SUBSTITUTE(LOWER(F45),"x","")),0)</f>
        <v>0</v>
      </c>
      <c r="H45" s="0" t="str">
        <f aca="false">IF(C45="","",TRIM(MID(C45,LEN(F45)+2,999)))</f>
        <v/>
      </c>
      <c r="I45" s="0" t="n">
        <f aca="false">IF(OR(C45="",LEFT(C45,2)="//"),0,IFERROR(IF(AND(G45&gt;0,G45=INT(G45),FIND("-",E45)&gt;1,NOT(EXACT(UPPER(LEFT(E45,1)),LOWER(LEFT(E45,1)))),ISNUMBER(VALUE(MID(E45,FIND("-",E45)+1,10)))),1,0),0))</f>
        <v>0</v>
      </c>
      <c r="J45" s="0" t="str">
        <f aca="false">IF(I45=1,TRIM(LEFT(H45,MAX(0,LEN(H45)-LEN(D45)))),"")</f>
        <v/>
      </c>
      <c r="K45" s="0" t="str">
        <f aca="false">INDEX($P$2:$P$21,A45)</f>
        <v>Deck 1</v>
      </c>
      <c r="L45" s="0" t="n">
        <f aca="false">IF(AND(C45&lt;&gt;"",LEFT(C45,2)&lt;&gt;"//",I45=0),1,0)</f>
        <v>0</v>
      </c>
      <c r="M45" s="0" t="str">
        <f aca="false">IF(I45=1,MAX(M$1:M44)+1,"")</f>
        <v/>
      </c>
      <c r="N45" s="0" t="str">
        <f aca="false">IFERROR(MATCH(ROW()-1,$V$2:$V$1201,0),"")</f>
        <v/>
      </c>
      <c r="R45" s="0" t="str">
        <f aca="false">IF(E45="","",IFERROR(LEFT(E45,FIND("-",E45)-1),E45))</f>
        <v/>
      </c>
      <c r="S45" s="0" t="str">
        <f aca="false">IF(R45="","",IF(ISNUMBER(--MID(R45,1,1)),0,IF(ISNUMBER(--MID(R45,2,1)),1,IF(ISNUMBER(--MID(R45,3,1)),2,IF(ISNUMBER(--MID(R45,4,1)),3,MIN(LEN(R45),4))))))</f>
        <v/>
      </c>
      <c r="T45" s="0" t="str">
        <f aca="false">IF(E45="","",LEFT(R45,S45)&amp;REPT("0",4-S45)&amp;RIGHT("000"&amp;IFERROR(VALUE(MID(R45,S45+1,9)),0),3)&amp;RIGHT("0000"&amp;IFERROR(VALUE(MID(E45,FIND("-",E45)+1,9)),0),4))</f>
        <v/>
      </c>
      <c r="U45" s="0" t="str">
        <f aca="false">IF(I45=1,"K"&amp;RIGHT("00"&amp;A45,2)&amp;T45&amp;RIGHT("00000"&amp;ROW(),5),"")</f>
        <v/>
      </c>
      <c r="V45" s="0" t="str">
        <f aca="false">IF(U45="","",COUNTIFS($I$2:$I$1201,1,$U$2:$U$1201,"&lt;"&amp;U45)+1)</f>
        <v/>
      </c>
    </row>
    <row r="46" customFormat="false" ht="15" hidden="false" customHeight="false" outlineLevel="0" collapsed="false">
      <c r="A46" s="0" t="n">
        <v>1</v>
      </c>
      <c r="B46" s="0" t="n">
        <v>45</v>
      </c>
      <c r="C46" s="0" t="str">
        <f aca="false">TRIM(SUBSTITUTE(INDEX(LISTAS!$A$4:$T$63,B46,A46)&amp;"",CHAR(160)," "))</f>
        <v/>
      </c>
      <c r="D46" s="0" t="str">
        <f aca="false">IF(C46="","",TRIM(RIGHT(SUBSTITUTE(C46," ",REPT(" ",100)),100)))</f>
        <v/>
      </c>
      <c r="E46" s="0" t="str">
        <f aca="false">IF(D46="","",UPPER(SUBSTITUTE(SUBSTITUTE(D46,"(",""),")","")))</f>
        <v/>
      </c>
      <c r="F46" s="0" t="str">
        <f aca="false">IF(C46="","",LEFT(C46,FIND(" ",C46&amp;" ")-1))</f>
        <v/>
      </c>
      <c r="G46" s="0" t="n">
        <f aca="false">IFERROR(VALUE(SUBSTITUTE(LOWER(F46),"x","")),0)</f>
        <v>0</v>
      </c>
      <c r="H46" s="0" t="str">
        <f aca="false">IF(C46="","",TRIM(MID(C46,LEN(F46)+2,999)))</f>
        <v/>
      </c>
      <c r="I46" s="0" t="n">
        <f aca="false">IF(OR(C46="",LEFT(C46,2)="//"),0,IFERROR(IF(AND(G46&gt;0,G46=INT(G46),FIND("-",E46)&gt;1,NOT(EXACT(UPPER(LEFT(E46,1)),LOWER(LEFT(E46,1)))),ISNUMBER(VALUE(MID(E46,FIND("-",E46)+1,10)))),1,0),0))</f>
        <v>0</v>
      </c>
      <c r="J46" s="0" t="str">
        <f aca="false">IF(I46=1,TRIM(LEFT(H46,MAX(0,LEN(H46)-LEN(D46)))),"")</f>
        <v/>
      </c>
      <c r="K46" s="0" t="str">
        <f aca="false">INDEX($P$2:$P$21,A46)</f>
        <v>Deck 1</v>
      </c>
      <c r="L46" s="0" t="n">
        <f aca="false">IF(AND(C46&lt;&gt;"",LEFT(C46,2)&lt;&gt;"//",I46=0),1,0)</f>
        <v>0</v>
      </c>
      <c r="M46" s="0" t="str">
        <f aca="false">IF(I46=1,MAX(M$1:M45)+1,"")</f>
        <v/>
      </c>
      <c r="N46" s="0" t="str">
        <f aca="false">IFERROR(MATCH(ROW()-1,$V$2:$V$1201,0),"")</f>
        <v/>
      </c>
      <c r="R46" s="0" t="str">
        <f aca="false">IF(E46="","",IFERROR(LEFT(E46,FIND("-",E46)-1),E46))</f>
        <v/>
      </c>
      <c r="S46" s="0" t="str">
        <f aca="false">IF(R46="","",IF(ISNUMBER(--MID(R46,1,1)),0,IF(ISNUMBER(--MID(R46,2,1)),1,IF(ISNUMBER(--MID(R46,3,1)),2,IF(ISNUMBER(--MID(R46,4,1)),3,MIN(LEN(R46),4))))))</f>
        <v/>
      </c>
      <c r="T46" s="0" t="str">
        <f aca="false">IF(E46="","",LEFT(R46,S46)&amp;REPT("0",4-S46)&amp;RIGHT("000"&amp;IFERROR(VALUE(MID(R46,S46+1,9)),0),3)&amp;RIGHT("0000"&amp;IFERROR(VALUE(MID(E46,FIND("-",E46)+1,9)),0),4))</f>
        <v/>
      </c>
      <c r="U46" s="0" t="str">
        <f aca="false">IF(I46=1,"K"&amp;RIGHT("00"&amp;A46,2)&amp;T46&amp;RIGHT("00000"&amp;ROW(),5),"")</f>
        <v/>
      </c>
      <c r="V46" s="0" t="str">
        <f aca="false">IF(U46="","",COUNTIFS($I$2:$I$1201,1,$U$2:$U$1201,"&lt;"&amp;U46)+1)</f>
        <v/>
      </c>
    </row>
    <row r="47" customFormat="false" ht="15" hidden="false" customHeight="false" outlineLevel="0" collapsed="false">
      <c r="A47" s="0" t="n">
        <v>1</v>
      </c>
      <c r="B47" s="0" t="n">
        <v>46</v>
      </c>
      <c r="C47" s="0" t="str">
        <f aca="false">TRIM(SUBSTITUTE(INDEX(LISTAS!$A$4:$T$63,B47,A47)&amp;"",CHAR(160)," "))</f>
        <v/>
      </c>
      <c r="D47" s="0" t="str">
        <f aca="false">IF(C47="","",TRIM(RIGHT(SUBSTITUTE(C47," ",REPT(" ",100)),100)))</f>
        <v/>
      </c>
      <c r="E47" s="0" t="str">
        <f aca="false">IF(D47="","",UPPER(SUBSTITUTE(SUBSTITUTE(D47,"(",""),")","")))</f>
        <v/>
      </c>
      <c r="F47" s="0" t="str">
        <f aca="false">IF(C47="","",LEFT(C47,FIND(" ",C47&amp;" ")-1))</f>
        <v/>
      </c>
      <c r="G47" s="0" t="n">
        <f aca="false">IFERROR(VALUE(SUBSTITUTE(LOWER(F47),"x","")),0)</f>
        <v>0</v>
      </c>
      <c r="H47" s="0" t="str">
        <f aca="false">IF(C47="","",TRIM(MID(C47,LEN(F47)+2,999)))</f>
        <v/>
      </c>
      <c r="I47" s="0" t="n">
        <f aca="false">IF(OR(C47="",LEFT(C47,2)="//"),0,IFERROR(IF(AND(G47&gt;0,G47=INT(G47),FIND("-",E47)&gt;1,NOT(EXACT(UPPER(LEFT(E47,1)),LOWER(LEFT(E47,1)))),ISNUMBER(VALUE(MID(E47,FIND("-",E47)+1,10)))),1,0),0))</f>
        <v>0</v>
      </c>
      <c r="J47" s="0" t="str">
        <f aca="false">IF(I47=1,TRIM(LEFT(H47,MAX(0,LEN(H47)-LEN(D47)))),"")</f>
        <v/>
      </c>
      <c r="K47" s="0" t="str">
        <f aca="false">INDEX($P$2:$P$21,A47)</f>
        <v>Deck 1</v>
      </c>
      <c r="L47" s="0" t="n">
        <f aca="false">IF(AND(C47&lt;&gt;"",LEFT(C47,2)&lt;&gt;"//",I47=0),1,0)</f>
        <v>0</v>
      </c>
      <c r="M47" s="0" t="str">
        <f aca="false">IF(I47=1,MAX(M$1:M46)+1,"")</f>
        <v/>
      </c>
      <c r="N47" s="0" t="str">
        <f aca="false">IFERROR(MATCH(ROW()-1,$V$2:$V$1201,0),"")</f>
        <v/>
      </c>
      <c r="R47" s="0" t="str">
        <f aca="false">IF(E47="","",IFERROR(LEFT(E47,FIND("-",E47)-1),E47))</f>
        <v/>
      </c>
      <c r="S47" s="0" t="str">
        <f aca="false">IF(R47="","",IF(ISNUMBER(--MID(R47,1,1)),0,IF(ISNUMBER(--MID(R47,2,1)),1,IF(ISNUMBER(--MID(R47,3,1)),2,IF(ISNUMBER(--MID(R47,4,1)),3,MIN(LEN(R47),4))))))</f>
        <v/>
      </c>
      <c r="T47" s="0" t="str">
        <f aca="false">IF(E47="","",LEFT(R47,S47)&amp;REPT("0",4-S47)&amp;RIGHT("000"&amp;IFERROR(VALUE(MID(R47,S47+1,9)),0),3)&amp;RIGHT("0000"&amp;IFERROR(VALUE(MID(E47,FIND("-",E47)+1,9)),0),4))</f>
        <v/>
      </c>
      <c r="U47" s="0" t="str">
        <f aca="false">IF(I47=1,"K"&amp;RIGHT("00"&amp;A47,2)&amp;T47&amp;RIGHT("00000"&amp;ROW(),5),"")</f>
        <v/>
      </c>
      <c r="V47" s="0" t="str">
        <f aca="false">IF(U47="","",COUNTIFS($I$2:$I$1201,1,$U$2:$U$1201,"&lt;"&amp;U47)+1)</f>
        <v/>
      </c>
    </row>
    <row r="48" customFormat="false" ht="15" hidden="false" customHeight="false" outlineLevel="0" collapsed="false">
      <c r="A48" s="0" t="n">
        <v>1</v>
      </c>
      <c r="B48" s="0" t="n">
        <v>47</v>
      </c>
      <c r="C48" s="0" t="str">
        <f aca="false">TRIM(SUBSTITUTE(INDEX(LISTAS!$A$4:$T$63,B48,A48)&amp;"",CHAR(160)," "))</f>
        <v/>
      </c>
      <c r="D48" s="0" t="str">
        <f aca="false">IF(C48="","",TRIM(RIGHT(SUBSTITUTE(C48," ",REPT(" ",100)),100)))</f>
        <v/>
      </c>
      <c r="E48" s="0" t="str">
        <f aca="false">IF(D48="","",UPPER(SUBSTITUTE(SUBSTITUTE(D48,"(",""),")","")))</f>
        <v/>
      </c>
      <c r="F48" s="0" t="str">
        <f aca="false">IF(C48="","",LEFT(C48,FIND(" ",C48&amp;" ")-1))</f>
        <v/>
      </c>
      <c r="G48" s="0" t="n">
        <f aca="false">IFERROR(VALUE(SUBSTITUTE(LOWER(F48),"x","")),0)</f>
        <v>0</v>
      </c>
      <c r="H48" s="0" t="str">
        <f aca="false">IF(C48="","",TRIM(MID(C48,LEN(F48)+2,999)))</f>
        <v/>
      </c>
      <c r="I48" s="0" t="n">
        <f aca="false">IF(OR(C48="",LEFT(C48,2)="//"),0,IFERROR(IF(AND(G48&gt;0,G48=INT(G48),FIND("-",E48)&gt;1,NOT(EXACT(UPPER(LEFT(E48,1)),LOWER(LEFT(E48,1)))),ISNUMBER(VALUE(MID(E48,FIND("-",E48)+1,10)))),1,0),0))</f>
        <v>0</v>
      </c>
      <c r="J48" s="0" t="str">
        <f aca="false">IF(I48=1,TRIM(LEFT(H48,MAX(0,LEN(H48)-LEN(D48)))),"")</f>
        <v/>
      </c>
      <c r="K48" s="0" t="str">
        <f aca="false">INDEX($P$2:$P$21,A48)</f>
        <v>Deck 1</v>
      </c>
      <c r="L48" s="0" t="n">
        <f aca="false">IF(AND(C48&lt;&gt;"",LEFT(C48,2)&lt;&gt;"//",I48=0),1,0)</f>
        <v>0</v>
      </c>
      <c r="M48" s="0" t="str">
        <f aca="false">IF(I48=1,MAX(M$1:M47)+1,"")</f>
        <v/>
      </c>
      <c r="N48" s="0" t="str">
        <f aca="false">IFERROR(MATCH(ROW()-1,$V$2:$V$1201,0),"")</f>
        <v/>
      </c>
      <c r="R48" s="0" t="str">
        <f aca="false">IF(E48="","",IFERROR(LEFT(E48,FIND("-",E48)-1),E48))</f>
        <v/>
      </c>
      <c r="S48" s="0" t="str">
        <f aca="false">IF(R48="","",IF(ISNUMBER(--MID(R48,1,1)),0,IF(ISNUMBER(--MID(R48,2,1)),1,IF(ISNUMBER(--MID(R48,3,1)),2,IF(ISNUMBER(--MID(R48,4,1)),3,MIN(LEN(R48),4))))))</f>
        <v/>
      </c>
      <c r="T48" s="0" t="str">
        <f aca="false">IF(E48="","",LEFT(R48,S48)&amp;REPT("0",4-S48)&amp;RIGHT("000"&amp;IFERROR(VALUE(MID(R48,S48+1,9)),0),3)&amp;RIGHT("0000"&amp;IFERROR(VALUE(MID(E48,FIND("-",E48)+1,9)),0),4))</f>
        <v/>
      </c>
      <c r="U48" s="0" t="str">
        <f aca="false">IF(I48=1,"K"&amp;RIGHT("00"&amp;A48,2)&amp;T48&amp;RIGHT("00000"&amp;ROW(),5),"")</f>
        <v/>
      </c>
      <c r="V48" s="0" t="str">
        <f aca="false">IF(U48="","",COUNTIFS($I$2:$I$1201,1,$U$2:$U$1201,"&lt;"&amp;U48)+1)</f>
        <v/>
      </c>
    </row>
    <row r="49" customFormat="false" ht="15" hidden="false" customHeight="false" outlineLevel="0" collapsed="false">
      <c r="A49" s="0" t="n">
        <v>1</v>
      </c>
      <c r="B49" s="0" t="n">
        <v>48</v>
      </c>
      <c r="C49" s="0" t="str">
        <f aca="false">TRIM(SUBSTITUTE(INDEX(LISTAS!$A$4:$T$63,B49,A49)&amp;"",CHAR(160)," "))</f>
        <v/>
      </c>
      <c r="D49" s="0" t="str">
        <f aca="false">IF(C49="","",TRIM(RIGHT(SUBSTITUTE(C49," ",REPT(" ",100)),100)))</f>
        <v/>
      </c>
      <c r="E49" s="0" t="str">
        <f aca="false">IF(D49="","",UPPER(SUBSTITUTE(SUBSTITUTE(D49,"(",""),")","")))</f>
        <v/>
      </c>
      <c r="F49" s="0" t="str">
        <f aca="false">IF(C49="","",LEFT(C49,FIND(" ",C49&amp;" ")-1))</f>
        <v/>
      </c>
      <c r="G49" s="0" t="n">
        <f aca="false">IFERROR(VALUE(SUBSTITUTE(LOWER(F49),"x","")),0)</f>
        <v>0</v>
      </c>
      <c r="H49" s="0" t="str">
        <f aca="false">IF(C49="","",TRIM(MID(C49,LEN(F49)+2,999)))</f>
        <v/>
      </c>
      <c r="I49" s="0" t="n">
        <f aca="false">IF(OR(C49="",LEFT(C49,2)="//"),0,IFERROR(IF(AND(G49&gt;0,G49=INT(G49),FIND("-",E49)&gt;1,NOT(EXACT(UPPER(LEFT(E49,1)),LOWER(LEFT(E49,1)))),ISNUMBER(VALUE(MID(E49,FIND("-",E49)+1,10)))),1,0),0))</f>
        <v>0</v>
      </c>
      <c r="J49" s="0" t="str">
        <f aca="false">IF(I49=1,TRIM(LEFT(H49,MAX(0,LEN(H49)-LEN(D49)))),"")</f>
        <v/>
      </c>
      <c r="K49" s="0" t="str">
        <f aca="false">INDEX($P$2:$P$21,A49)</f>
        <v>Deck 1</v>
      </c>
      <c r="L49" s="0" t="n">
        <f aca="false">IF(AND(C49&lt;&gt;"",LEFT(C49,2)&lt;&gt;"//",I49=0),1,0)</f>
        <v>0</v>
      </c>
      <c r="M49" s="0" t="str">
        <f aca="false">IF(I49=1,MAX(M$1:M48)+1,"")</f>
        <v/>
      </c>
      <c r="N49" s="0" t="str">
        <f aca="false">IFERROR(MATCH(ROW()-1,$V$2:$V$1201,0),"")</f>
        <v/>
      </c>
      <c r="R49" s="0" t="str">
        <f aca="false">IF(E49="","",IFERROR(LEFT(E49,FIND("-",E49)-1),E49))</f>
        <v/>
      </c>
      <c r="S49" s="0" t="str">
        <f aca="false">IF(R49="","",IF(ISNUMBER(--MID(R49,1,1)),0,IF(ISNUMBER(--MID(R49,2,1)),1,IF(ISNUMBER(--MID(R49,3,1)),2,IF(ISNUMBER(--MID(R49,4,1)),3,MIN(LEN(R49),4))))))</f>
        <v/>
      </c>
      <c r="T49" s="0" t="str">
        <f aca="false">IF(E49="","",LEFT(R49,S49)&amp;REPT("0",4-S49)&amp;RIGHT("000"&amp;IFERROR(VALUE(MID(R49,S49+1,9)),0),3)&amp;RIGHT("0000"&amp;IFERROR(VALUE(MID(E49,FIND("-",E49)+1,9)),0),4))</f>
        <v/>
      </c>
      <c r="U49" s="0" t="str">
        <f aca="false">IF(I49=1,"K"&amp;RIGHT("00"&amp;A49,2)&amp;T49&amp;RIGHT("00000"&amp;ROW(),5),"")</f>
        <v/>
      </c>
      <c r="V49" s="0" t="str">
        <f aca="false">IF(U49="","",COUNTIFS($I$2:$I$1201,1,$U$2:$U$1201,"&lt;"&amp;U49)+1)</f>
        <v/>
      </c>
    </row>
    <row r="50" customFormat="false" ht="15" hidden="false" customHeight="false" outlineLevel="0" collapsed="false">
      <c r="A50" s="0" t="n">
        <v>1</v>
      </c>
      <c r="B50" s="0" t="n">
        <v>49</v>
      </c>
      <c r="C50" s="0" t="str">
        <f aca="false">TRIM(SUBSTITUTE(INDEX(LISTAS!$A$4:$T$63,B50,A50)&amp;"",CHAR(160)," "))</f>
        <v/>
      </c>
      <c r="D50" s="0" t="str">
        <f aca="false">IF(C50="","",TRIM(RIGHT(SUBSTITUTE(C50," ",REPT(" ",100)),100)))</f>
        <v/>
      </c>
      <c r="E50" s="0" t="str">
        <f aca="false">IF(D50="","",UPPER(SUBSTITUTE(SUBSTITUTE(D50,"(",""),")","")))</f>
        <v/>
      </c>
      <c r="F50" s="0" t="str">
        <f aca="false">IF(C50="","",LEFT(C50,FIND(" ",C50&amp;" ")-1))</f>
        <v/>
      </c>
      <c r="G50" s="0" t="n">
        <f aca="false">IFERROR(VALUE(SUBSTITUTE(LOWER(F50),"x","")),0)</f>
        <v>0</v>
      </c>
      <c r="H50" s="0" t="str">
        <f aca="false">IF(C50="","",TRIM(MID(C50,LEN(F50)+2,999)))</f>
        <v/>
      </c>
      <c r="I50" s="0" t="n">
        <f aca="false">IF(OR(C50="",LEFT(C50,2)="//"),0,IFERROR(IF(AND(G50&gt;0,G50=INT(G50),FIND("-",E50)&gt;1,NOT(EXACT(UPPER(LEFT(E50,1)),LOWER(LEFT(E50,1)))),ISNUMBER(VALUE(MID(E50,FIND("-",E50)+1,10)))),1,0),0))</f>
        <v>0</v>
      </c>
      <c r="J50" s="0" t="str">
        <f aca="false">IF(I50=1,TRIM(LEFT(H50,MAX(0,LEN(H50)-LEN(D50)))),"")</f>
        <v/>
      </c>
      <c r="K50" s="0" t="str">
        <f aca="false">INDEX($P$2:$P$21,A50)</f>
        <v>Deck 1</v>
      </c>
      <c r="L50" s="0" t="n">
        <f aca="false">IF(AND(C50&lt;&gt;"",LEFT(C50,2)&lt;&gt;"//",I50=0),1,0)</f>
        <v>0</v>
      </c>
      <c r="M50" s="0" t="str">
        <f aca="false">IF(I50=1,MAX(M$1:M49)+1,"")</f>
        <v/>
      </c>
      <c r="N50" s="0" t="str">
        <f aca="false">IFERROR(MATCH(ROW()-1,$V$2:$V$1201,0),"")</f>
        <v/>
      </c>
      <c r="R50" s="0" t="str">
        <f aca="false">IF(E50="","",IFERROR(LEFT(E50,FIND("-",E50)-1),E50))</f>
        <v/>
      </c>
      <c r="S50" s="0" t="str">
        <f aca="false">IF(R50="","",IF(ISNUMBER(--MID(R50,1,1)),0,IF(ISNUMBER(--MID(R50,2,1)),1,IF(ISNUMBER(--MID(R50,3,1)),2,IF(ISNUMBER(--MID(R50,4,1)),3,MIN(LEN(R50),4))))))</f>
        <v/>
      </c>
      <c r="T50" s="0" t="str">
        <f aca="false">IF(E50="","",LEFT(R50,S50)&amp;REPT("0",4-S50)&amp;RIGHT("000"&amp;IFERROR(VALUE(MID(R50,S50+1,9)),0),3)&amp;RIGHT("0000"&amp;IFERROR(VALUE(MID(E50,FIND("-",E50)+1,9)),0),4))</f>
        <v/>
      </c>
      <c r="U50" s="0" t="str">
        <f aca="false">IF(I50=1,"K"&amp;RIGHT("00"&amp;A50,2)&amp;T50&amp;RIGHT("00000"&amp;ROW(),5),"")</f>
        <v/>
      </c>
      <c r="V50" s="0" t="str">
        <f aca="false">IF(U50="","",COUNTIFS($I$2:$I$1201,1,$U$2:$U$1201,"&lt;"&amp;U50)+1)</f>
        <v/>
      </c>
    </row>
    <row r="51" customFormat="false" ht="15" hidden="false" customHeight="false" outlineLevel="0" collapsed="false">
      <c r="A51" s="0" t="n">
        <v>1</v>
      </c>
      <c r="B51" s="0" t="n">
        <v>50</v>
      </c>
      <c r="C51" s="0" t="str">
        <f aca="false">TRIM(SUBSTITUTE(INDEX(LISTAS!$A$4:$T$63,B51,A51)&amp;"",CHAR(160)," "))</f>
        <v/>
      </c>
      <c r="D51" s="0" t="str">
        <f aca="false">IF(C51="","",TRIM(RIGHT(SUBSTITUTE(C51," ",REPT(" ",100)),100)))</f>
        <v/>
      </c>
      <c r="E51" s="0" t="str">
        <f aca="false">IF(D51="","",UPPER(SUBSTITUTE(SUBSTITUTE(D51,"(",""),")","")))</f>
        <v/>
      </c>
      <c r="F51" s="0" t="str">
        <f aca="false">IF(C51="","",LEFT(C51,FIND(" ",C51&amp;" ")-1))</f>
        <v/>
      </c>
      <c r="G51" s="0" t="n">
        <f aca="false">IFERROR(VALUE(SUBSTITUTE(LOWER(F51),"x","")),0)</f>
        <v>0</v>
      </c>
      <c r="H51" s="0" t="str">
        <f aca="false">IF(C51="","",TRIM(MID(C51,LEN(F51)+2,999)))</f>
        <v/>
      </c>
      <c r="I51" s="0" t="n">
        <f aca="false">IF(OR(C51="",LEFT(C51,2)="//"),0,IFERROR(IF(AND(G51&gt;0,G51=INT(G51),FIND("-",E51)&gt;1,NOT(EXACT(UPPER(LEFT(E51,1)),LOWER(LEFT(E51,1)))),ISNUMBER(VALUE(MID(E51,FIND("-",E51)+1,10)))),1,0),0))</f>
        <v>0</v>
      </c>
      <c r="J51" s="0" t="str">
        <f aca="false">IF(I51=1,TRIM(LEFT(H51,MAX(0,LEN(H51)-LEN(D51)))),"")</f>
        <v/>
      </c>
      <c r="K51" s="0" t="str">
        <f aca="false">INDEX($P$2:$P$21,A51)</f>
        <v>Deck 1</v>
      </c>
      <c r="L51" s="0" t="n">
        <f aca="false">IF(AND(C51&lt;&gt;"",LEFT(C51,2)&lt;&gt;"//",I51=0),1,0)</f>
        <v>0</v>
      </c>
      <c r="M51" s="0" t="str">
        <f aca="false">IF(I51=1,MAX(M$1:M50)+1,"")</f>
        <v/>
      </c>
      <c r="N51" s="0" t="str">
        <f aca="false">IFERROR(MATCH(ROW()-1,$V$2:$V$1201,0),"")</f>
        <v/>
      </c>
      <c r="R51" s="0" t="str">
        <f aca="false">IF(E51="","",IFERROR(LEFT(E51,FIND("-",E51)-1),E51))</f>
        <v/>
      </c>
      <c r="S51" s="0" t="str">
        <f aca="false">IF(R51="","",IF(ISNUMBER(--MID(R51,1,1)),0,IF(ISNUMBER(--MID(R51,2,1)),1,IF(ISNUMBER(--MID(R51,3,1)),2,IF(ISNUMBER(--MID(R51,4,1)),3,MIN(LEN(R51),4))))))</f>
        <v/>
      </c>
      <c r="T51" s="0" t="str">
        <f aca="false">IF(E51="","",LEFT(R51,S51)&amp;REPT("0",4-S51)&amp;RIGHT("000"&amp;IFERROR(VALUE(MID(R51,S51+1,9)),0),3)&amp;RIGHT("0000"&amp;IFERROR(VALUE(MID(E51,FIND("-",E51)+1,9)),0),4))</f>
        <v/>
      </c>
      <c r="U51" s="0" t="str">
        <f aca="false">IF(I51=1,"K"&amp;RIGHT("00"&amp;A51,2)&amp;T51&amp;RIGHT("00000"&amp;ROW(),5),"")</f>
        <v/>
      </c>
      <c r="V51" s="0" t="str">
        <f aca="false">IF(U51="","",COUNTIFS($I$2:$I$1201,1,$U$2:$U$1201,"&lt;"&amp;U51)+1)</f>
        <v/>
      </c>
    </row>
    <row r="52" customFormat="false" ht="15" hidden="false" customHeight="false" outlineLevel="0" collapsed="false">
      <c r="A52" s="0" t="n">
        <v>1</v>
      </c>
      <c r="B52" s="0" t="n">
        <v>51</v>
      </c>
      <c r="C52" s="0" t="str">
        <f aca="false">TRIM(SUBSTITUTE(INDEX(LISTAS!$A$4:$T$63,B52,A52)&amp;"",CHAR(160)," "))</f>
        <v/>
      </c>
      <c r="D52" s="0" t="str">
        <f aca="false">IF(C52="","",TRIM(RIGHT(SUBSTITUTE(C52," ",REPT(" ",100)),100)))</f>
        <v/>
      </c>
      <c r="E52" s="0" t="str">
        <f aca="false">IF(D52="","",UPPER(SUBSTITUTE(SUBSTITUTE(D52,"(",""),")","")))</f>
        <v/>
      </c>
      <c r="F52" s="0" t="str">
        <f aca="false">IF(C52="","",LEFT(C52,FIND(" ",C52&amp;" ")-1))</f>
        <v/>
      </c>
      <c r="G52" s="0" t="n">
        <f aca="false">IFERROR(VALUE(SUBSTITUTE(LOWER(F52),"x","")),0)</f>
        <v>0</v>
      </c>
      <c r="H52" s="0" t="str">
        <f aca="false">IF(C52="","",TRIM(MID(C52,LEN(F52)+2,999)))</f>
        <v/>
      </c>
      <c r="I52" s="0" t="n">
        <f aca="false">IF(OR(C52="",LEFT(C52,2)="//"),0,IFERROR(IF(AND(G52&gt;0,G52=INT(G52),FIND("-",E52)&gt;1,NOT(EXACT(UPPER(LEFT(E52,1)),LOWER(LEFT(E52,1)))),ISNUMBER(VALUE(MID(E52,FIND("-",E52)+1,10)))),1,0),0))</f>
        <v>0</v>
      </c>
      <c r="J52" s="0" t="str">
        <f aca="false">IF(I52=1,TRIM(LEFT(H52,MAX(0,LEN(H52)-LEN(D52)))),"")</f>
        <v/>
      </c>
      <c r="K52" s="0" t="str">
        <f aca="false">INDEX($P$2:$P$21,A52)</f>
        <v>Deck 1</v>
      </c>
      <c r="L52" s="0" t="n">
        <f aca="false">IF(AND(C52&lt;&gt;"",LEFT(C52,2)&lt;&gt;"//",I52=0),1,0)</f>
        <v>0</v>
      </c>
      <c r="M52" s="0" t="str">
        <f aca="false">IF(I52=1,MAX(M$1:M51)+1,"")</f>
        <v/>
      </c>
      <c r="N52" s="0" t="str">
        <f aca="false">IFERROR(MATCH(ROW()-1,$V$2:$V$1201,0),"")</f>
        <v/>
      </c>
      <c r="R52" s="0" t="str">
        <f aca="false">IF(E52="","",IFERROR(LEFT(E52,FIND("-",E52)-1),E52))</f>
        <v/>
      </c>
      <c r="S52" s="0" t="str">
        <f aca="false">IF(R52="","",IF(ISNUMBER(--MID(R52,1,1)),0,IF(ISNUMBER(--MID(R52,2,1)),1,IF(ISNUMBER(--MID(R52,3,1)),2,IF(ISNUMBER(--MID(R52,4,1)),3,MIN(LEN(R52),4))))))</f>
        <v/>
      </c>
      <c r="T52" s="0" t="str">
        <f aca="false">IF(E52="","",LEFT(R52,S52)&amp;REPT("0",4-S52)&amp;RIGHT("000"&amp;IFERROR(VALUE(MID(R52,S52+1,9)),0),3)&amp;RIGHT("0000"&amp;IFERROR(VALUE(MID(E52,FIND("-",E52)+1,9)),0),4))</f>
        <v/>
      </c>
      <c r="U52" s="0" t="str">
        <f aca="false">IF(I52=1,"K"&amp;RIGHT("00"&amp;A52,2)&amp;T52&amp;RIGHT("00000"&amp;ROW(),5),"")</f>
        <v/>
      </c>
      <c r="V52" s="0" t="str">
        <f aca="false">IF(U52="","",COUNTIFS($I$2:$I$1201,1,$U$2:$U$1201,"&lt;"&amp;U52)+1)</f>
        <v/>
      </c>
    </row>
    <row r="53" customFormat="false" ht="15" hidden="false" customHeight="false" outlineLevel="0" collapsed="false">
      <c r="A53" s="0" t="n">
        <v>1</v>
      </c>
      <c r="B53" s="0" t="n">
        <v>52</v>
      </c>
      <c r="C53" s="0" t="str">
        <f aca="false">TRIM(SUBSTITUTE(INDEX(LISTAS!$A$4:$T$63,B53,A53)&amp;"",CHAR(160)," "))</f>
        <v/>
      </c>
      <c r="D53" s="0" t="str">
        <f aca="false">IF(C53="","",TRIM(RIGHT(SUBSTITUTE(C53," ",REPT(" ",100)),100)))</f>
        <v/>
      </c>
      <c r="E53" s="0" t="str">
        <f aca="false">IF(D53="","",UPPER(SUBSTITUTE(SUBSTITUTE(D53,"(",""),")","")))</f>
        <v/>
      </c>
      <c r="F53" s="0" t="str">
        <f aca="false">IF(C53="","",LEFT(C53,FIND(" ",C53&amp;" ")-1))</f>
        <v/>
      </c>
      <c r="G53" s="0" t="n">
        <f aca="false">IFERROR(VALUE(SUBSTITUTE(LOWER(F53),"x","")),0)</f>
        <v>0</v>
      </c>
      <c r="H53" s="0" t="str">
        <f aca="false">IF(C53="","",TRIM(MID(C53,LEN(F53)+2,999)))</f>
        <v/>
      </c>
      <c r="I53" s="0" t="n">
        <f aca="false">IF(OR(C53="",LEFT(C53,2)="//"),0,IFERROR(IF(AND(G53&gt;0,G53=INT(G53),FIND("-",E53)&gt;1,NOT(EXACT(UPPER(LEFT(E53,1)),LOWER(LEFT(E53,1)))),ISNUMBER(VALUE(MID(E53,FIND("-",E53)+1,10)))),1,0),0))</f>
        <v>0</v>
      </c>
      <c r="J53" s="0" t="str">
        <f aca="false">IF(I53=1,TRIM(LEFT(H53,MAX(0,LEN(H53)-LEN(D53)))),"")</f>
        <v/>
      </c>
      <c r="K53" s="0" t="str">
        <f aca="false">INDEX($P$2:$P$21,A53)</f>
        <v>Deck 1</v>
      </c>
      <c r="L53" s="0" t="n">
        <f aca="false">IF(AND(C53&lt;&gt;"",LEFT(C53,2)&lt;&gt;"//",I53=0),1,0)</f>
        <v>0</v>
      </c>
      <c r="M53" s="0" t="str">
        <f aca="false">IF(I53=1,MAX(M$1:M52)+1,"")</f>
        <v/>
      </c>
      <c r="N53" s="0" t="str">
        <f aca="false">IFERROR(MATCH(ROW()-1,$V$2:$V$1201,0),"")</f>
        <v/>
      </c>
      <c r="R53" s="0" t="str">
        <f aca="false">IF(E53="","",IFERROR(LEFT(E53,FIND("-",E53)-1),E53))</f>
        <v/>
      </c>
      <c r="S53" s="0" t="str">
        <f aca="false">IF(R53="","",IF(ISNUMBER(--MID(R53,1,1)),0,IF(ISNUMBER(--MID(R53,2,1)),1,IF(ISNUMBER(--MID(R53,3,1)),2,IF(ISNUMBER(--MID(R53,4,1)),3,MIN(LEN(R53),4))))))</f>
        <v/>
      </c>
      <c r="T53" s="0" t="str">
        <f aca="false">IF(E53="","",LEFT(R53,S53)&amp;REPT("0",4-S53)&amp;RIGHT("000"&amp;IFERROR(VALUE(MID(R53,S53+1,9)),0),3)&amp;RIGHT("0000"&amp;IFERROR(VALUE(MID(E53,FIND("-",E53)+1,9)),0),4))</f>
        <v/>
      </c>
      <c r="U53" s="0" t="str">
        <f aca="false">IF(I53=1,"K"&amp;RIGHT("00"&amp;A53,2)&amp;T53&amp;RIGHT("00000"&amp;ROW(),5),"")</f>
        <v/>
      </c>
      <c r="V53" s="0" t="str">
        <f aca="false">IF(U53="","",COUNTIFS($I$2:$I$1201,1,$U$2:$U$1201,"&lt;"&amp;U53)+1)</f>
        <v/>
      </c>
    </row>
    <row r="54" customFormat="false" ht="15" hidden="false" customHeight="false" outlineLevel="0" collapsed="false">
      <c r="A54" s="0" t="n">
        <v>1</v>
      </c>
      <c r="B54" s="0" t="n">
        <v>53</v>
      </c>
      <c r="C54" s="0" t="str">
        <f aca="false">TRIM(SUBSTITUTE(INDEX(LISTAS!$A$4:$T$63,B54,A54)&amp;"",CHAR(160)," "))</f>
        <v/>
      </c>
      <c r="D54" s="0" t="str">
        <f aca="false">IF(C54="","",TRIM(RIGHT(SUBSTITUTE(C54," ",REPT(" ",100)),100)))</f>
        <v/>
      </c>
      <c r="E54" s="0" t="str">
        <f aca="false">IF(D54="","",UPPER(SUBSTITUTE(SUBSTITUTE(D54,"(",""),")","")))</f>
        <v/>
      </c>
      <c r="F54" s="0" t="str">
        <f aca="false">IF(C54="","",LEFT(C54,FIND(" ",C54&amp;" ")-1))</f>
        <v/>
      </c>
      <c r="G54" s="0" t="n">
        <f aca="false">IFERROR(VALUE(SUBSTITUTE(LOWER(F54),"x","")),0)</f>
        <v>0</v>
      </c>
      <c r="H54" s="0" t="str">
        <f aca="false">IF(C54="","",TRIM(MID(C54,LEN(F54)+2,999)))</f>
        <v/>
      </c>
      <c r="I54" s="0" t="n">
        <f aca="false">IF(OR(C54="",LEFT(C54,2)="//"),0,IFERROR(IF(AND(G54&gt;0,G54=INT(G54),FIND("-",E54)&gt;1,NOT(EXACT(UPPER(LEFT(E54,1)),LOWER(LEFT(E54,1)))),ISNUMBER(VALUE(MID(E54,FIND("-",E54)+1,10)))),1,0),0))</f>
        <v>0</v>
      </c>
      <c r="J54" s="0" t="str">
        <f aca="false">IF(I54=1,TRIM(LEFT(H54,MAX(0,LEN(H54)-LEN(D54)))),"")</f>
        <v/>
      </c>
      <c r="K54" s="0" t="str">
        <f aca="false">INDEX($P$2:$P$21,A54)</f>
        <v>Deck 1</v>
      </c>
      <c r="L54" s="0" t="n">
        <f aca="false">IF(AND(C54&lt;&gt;"",LEFT(C54,2)&lt;&gt;"//",I54=0),1,0)</f>
        <v>0</v>
      </c>
      <c r="M54" s="0" t="str">
        <f aca="false">IF(I54=1,MAX(M$1:M53)+1,"")</f>
        <v/>
      </c>
      <c r="N54" s="0" t="str">
        <f aca="false">IFERROR(MATCH(ROW()-1,$V$2:$V$1201,0),"")</f>
        <v/>
      </c>
      <c r="R54" s="0" t="str">
        <f aca="false">IF(E54="","",IFERROR(LEFT(E54,FIND("-",E54)-1),E54))</f>
        <v/>
      </c>
      <c r="S54" s="0" t="str">
        <f aca="false">IF(R54="","",IF(ISNUMBER(--MID(R54,1,1)),0,IF(ISNUMBER(--MID(R54,2,1)),1,IF(ISNUMBER(--MID(R54,3,1)),2,IF(ISNUMBER(--MID(R54,4,1)),3,MIN(LEN(R54),4))))))</f>
        <v/>
      </c>
      <c r="T54" s="0" t="str">
        <f aca="false">IF(E54="","",LEFT(R54,S54)&amp;REPT("0",4-S54)&amp;RIGHT("000"&amp;IFERROR(VALUE(MID(R54,S54+1,9)),0),3)&amp;RIGHT("0000"&amp;IFERROR(VALUE(MID(E54,FIND("-",E54)+1,9)),0),4))</f>
        <v/>
      </c>
      <c r="U54" s="0" t="str">
        <f aca="false">IF(I54=1,"K"&amp;RIGHT("00"&amp;A54,2)&amp;T54&amp;RIGHT("00000"&amp;ROW(),5),"")</f>
        <v/>
      </c>
      <c r="V54" s="0" t="str">
        <f aca="false">IF(U54="","",COUNTIFS($I$2:$I$1201,1,$U$2:$U$1201,"&lt;"&amp;U54)+1)</f>
        <v/>
      </c>
    </row>
    <row r="55" customFormat="false" ht="15" hidden="false" customHeight="false" outlineLevel="0" collapsed="false">
      <c r="A55" s="0" t="n">
        <v>1</v>
      </c>
      <c r="B55" s="0" t="n">
        <v>54</v>
      </c>
      <c r="C55" s="0" t="str">
        <f aca="false">TRIM(SUBSTITUTE(INDEX(LISTAS!$A$4:$T$63,B55,A55)&amp;"",CHAR(160)," "))</f>
        <v/>
      </c>
      <c r="D55" s="0" t="str">
        <f aca="false">IF(C55="","",TRIM(RIGHT(SUBSTITUTE(C55," ",REPT(" ",100)),100)))</f>
        <v/>
      </c>
      <c r="E55" s="0" t="str">
        <f aca="false">IF(D55="","",UPPER(SUBSTITUTE(SUBSTITUTE(D55,"(",""),")","")))</f>
        <v/>
      </c>
      <c r="F55" s="0" t="str">
        <f aca="false">IF(C55="","",LEFT(C55,FIND(" ",C55&amp;" ")-1))</f>
        <v/>
      </c>
      <c r="G55" s="0" t="n">
        <f aca="false">IFERROR(VALUE(SUBSTITUTE(LOWER(F55),"x","")),0)</f>
        <v>0</v>
      </c>
      <c r="H55" s="0" t="str">
        <f aca="false">IF(C55="","",TRIM(MID(C55,LEN(F55)+2,999)))</f>
        <v/>
      </c>
      <c r="I55" s="0" t="n">
        <f aca="false">IF(OR(C55="",LEFT(C55,2)="//"),0,IFERROR(IF(AND(G55&gt;0,G55=INT(G55),FIND("-",E55)&gt;1,NOT(EXACT(UPPER(LEFT(E55,1)),LOWER(LEFT(E55,1)))),ISNUMBER(VALUE(MID(E55,FIND("-",E55)+1,10)))),1,0),0))</f>
        <v>0</v>
      </c>
      <c r="J55" s="0" t="str">
        <f aca="false">IF(I55=1,TRIM(LEFT(H55,MAX(0,LEN(H55)-LEN(D55)))),"")</f>
        <v/>
      </c>
      <c r="K55" s="0" t="str">
        <f aca="false">INDEX($P$2:$P$21,A55)</f>
        <v>Deck 1</v>
      </c>
      <c r="L55" s="0" t="n">
        <f aca="false">IF(AND(C55&lt;&gt;"",LEFT(C55,2)&lt;&gt;"//",I55=0),1,0)</f>
        <v>0</v>
      </c>
      <c r="M55" s="0" t="str">
        <f aca="false">IF(I55=1,MAX(M$1:M54)+1,"")</f>
        <v/>
      </c>
      <c r="N55" s="0" t="str">
        <f aca="false">IFERROR(MATCH(ROW()-1,$V$2:$V$1201,0),"")</f>
        <v/>
      </c>
      <c r="R55" s="0" t="str">
        <f aca="false">IF(E55="","",IFERROR(LEFT(E55,FIND("-",E55)-1),E55))</f>
        <v/>
      </c>
      <c r="S55" s="0" t="str">
        <f aca="false">IF(R55="","",IF(ISNUMBER(--MID(R55,1,1)),0,IF(ISNUMBER(--MID(R55,2,1)),1,IF(ISNUMBER(--MID(R55,3,1)),2,IF(ISNUMBER(--MID(R55,4,1)),3,MIN(LEN(R55),4))))))</f>
        <v/>
      </c>
      <c r="T55" s="0" t="str">
        <f aca="false">IF(E55="","",LEFT(R55,S55)&amp;REPT("0",4-S55)&amp;RIGHT("000"&amp;IFERROR(VALUE(MID(R55,S55+1,9)),0),3)&amp;RIGHT("0000"&amp;IFERROR(VALUE(MID(E55,FIND("-",E55)+1,9)),0),4))</f>
        <v/>
      </c>
      <c r="U55" s="0" t="str">
        <f aca="false">IF(I55=1,"K"&amp;RIGHT("00"&amp;A55,2)&amp;T55&amp;RIGHT("00000"&amp;ROW(),5),"")</f>
        <v/>
      </c>
      <c r="V55" s="0" t="str">
        <f aca="false">IF(U55="","",COUNTIFS($I$2:$I$1201,1,$U$2:$U$1201,"&lt;"&amp;U55)+1)</f>
        <v/>
      </c>
    </row>
    <row r="56" customFormat="false" ht="15" hidden="false" customHeight="false" outlineLevel="0" collapsed="false">
      <c r="A56" s="0" t="n">
        <v>1</v>
      </c>
      <c r="B56" s="0" t="n">
        <v>55</v>
      </c>
      <c r="C56" s="0" t="str">
        <f aca="false">TRIM(SUBSTITUTE(INDEX(LISTAS!$A$4:$T$63,B56,A56)&amp;"",CHAR(160)," "))</f>
        <v/>
      </c>
      <c r="D56" s="0" t="str">
        <f aca="false">IF(C56="","",TRIM(RIGHT(SUBSTITUTE(C56," ",REPT(" ",100)),100)))</f>
        <v/>
      </c>
      <c r="E56" s="0" t="str">
        <f aca="false">IF(D56="","",UPPER(SUBSTITUTE(SUBSTITUTE(D56,"(",""),")","")))</f>
        <v/>
      </c>
      <c r="F56" s="0" t="str">
        <f aca="false">IF(C56="","",LEFT(C56,FIND(" ",C56&amp;" ")-1))</f>
        <v/>
      </c>
      <c r="G56" s="0" t="n">
        <f aca="false">IFERROR(VALUE(SUBSTITUTE(LOWER(F56),"x","")),0)</f>
        <v>0</v>
      </c>
      <c r="H56" s="0" t="str">
        <f aca="false">IF(C56="","",TRIM(MID(C56,LEN(F56)+2,999)))</f>
        <v/>
      </c>
      <c r="I56" s="0" t="n">
        <f aca="false">IF(OR(C56="",LEFT(C56,2)="//"),0,IFERROR(IF(AND(G56&gt;0,G56=INT(G56),FIND("-",E56)&gt;1,NOT(EXACT(UPPER(LEFT(E56,1)),LOWER(LEFT(E56,1)))),ISNUMBER(VALUE(MID(E56,FIND("-",E56)+1,10)))),1,0),0))</f>
        <v>0</v>
      </c>
      <c r="J56" s="0" t="str">
        <f aca="false">IF(I56=1,TRIM(LEFT(H56,MAX(0,LEN(H56)-LEN(D56)))),"")</f>
        <v/>
      </c>
      <c r="K56" s="0" t="str">
        <f aca="false">INDEX($P$2:$P$21,A56)</f>
        <v>Deck 1</v>
      </c>
      <c r="L56" s="0" t="n">
        <f aca="false">IF(AND(C56&lt;&gt;"",LEFT(C56,2)&lt;&gt;"//",I56=0),1,0)</f>
        <v>0</v>
      </c>
      <c r="M56" s="0" t="str">
        <f aca="false">IF(I56=1,MAX(M$1:M55)+1,"")</f>
        <v/>
      </c>
      <c r="N56" s="0" t="str">
        <f aca="false">IFERROR(MATCH(ROW()-1,$V$2:$V$1201,0),"")</f>
        <v/>
      </c>
      <c r="R56" s="0" t="str">
        <f aca="false">IF(E56="","",IFERROR(LEFT(E56,FIND("-",E56)-1),E56))</f>
        <v/>
      </c>
      <c r="S56" s="0" t="str">
        <f aca="false">IF(R56="","",IF(ISNUMBER(--MID(R56,1,1)),0,IF(ISNUMBER(--MID(R56,2,1)),1,IF(ISNUMBER(--MID(R56,3,1)),2,IF(ISNUMBER(--MID(R56,4,1)),3,MIN(LEN(R56),4))))))</f>
        <v/>
      </c>
      <c r="T56" s="0" t="str">
        <f aca="false">IF(E56="","",LEFT(R56,S56)&amp;REPT("0",4-S56)&amp;RIGHT("000"&amp;IFERROR(VALUE(MID(R56,S56+1,9)),0),3)&amp;RIGHT("0000"&amp;IFERROR(VALUE(MID(E56,FIND("-",E56)+1,9)),0),4))</f>
        <v/>
      </c>
      <c r="U56" s="0" t="str">
        <f aca="false">IF(I56=1,"K"&amp;RIGHT("00"&amp;A56,2)&amp;T56&amp;RIGHT("00000"&amp;ROW(),5),"")</f>
        <v/>
      </c>
      <c r="V56" s="0" t="str">
        <f aca="false">IF(U56="","",COUNTIFS($I$2:$I$1201,1,$U$2:$U$1201,"&lt;"&amp;U56)+1)</f>
        <v/>
      </c>
    </row>
    <row r="57" customFormat="false" ht="15" hidden="false" customHeight="false" outlineLevel="0" collapsed="false">
      <c r="A57" s="0" t="n">
        <v>1</v>
      </c>
      <c r="B57" s="0" t="n">
        <v>56</v>
      </c>
      <c r="C57" s="0" t="str">
        <f aca="false">TRIM(SUBSTITUTE(INDEX(LISTAS!$A$4:$T$63,B57,A57)&amp;"",CHAR(160)," "))</f>
        <v/>
      </c>
      <c r="D57" s="0" t="str">
        <f aca="false">IF(C57="","",TRIM(RIGHT(SUBSTITUTE(C57," ",REPT(" ",100)),100)))</f>
        <v/>
      </c>
      <c r="E57" s="0" t="str">
        <f aca="false">IF(D57="","",UPPER(SUBSTITUTE(SUBSTITUTE(D57,"(",""),")","")))</f>
        <v/>
      </c>
      <c r="F57" s="0" t="str">
        <f aca="false">IF(C57="","",LEFT(C57,FIND(" ",C57&amp;" ")-1))</f>
        <v/>
      </c>
      <c r="G57" s="0" t="n">
        <f aca="false">IFERROR(VALUE(SUBSTITUTE(LOWER(F57),"x","")),0)</f>
        <v>0</v>
      </c>
      <c r="H57" s="0" t="str">
        <f aca="false">IF(C57="","",TRIM(MID(C57,LEN(F57)+2,999)))</f>
        <v/>
      </c>
      <c r="I57" s="0" t="n">
        <f aca="false">IF(OR(C57="",LEFT(C57,2)="//"),0,IFERROR(IF(AND(G57&gt;0,G57=INT(G57),FIND("-",E57)&gt;1,NOT(EXACT(UPPER(LEFT(E57,1)),LOWER(LEFT(E57,1)))),ISNUMBER(VALUE(MID(E57,FIND("-",E57)+1,10)))),1,0),0))</f>
        <v>0</v>
      </c>
      <c r="J57" s="0" t="str">
        <f aca="false">IF(I57=1,TRIM(LEFT(H57,MAX(0,LEN(H57)-LEN(D57)))),"")</f>
        <v/>
      </c>
      <c r="K57" s="0" t="str">
        <f aca="false">INDEX($P$2:$P$21,A57)</f>
        <v>Deck 1</v>
      </c>
      <c r="L57" s="0" t="n">
        <f aca="false">IF(AND(C57&lt;&gt;"",LEFT(C57,2)&lt;&gt;"//",I57=0),1,0)</f>
        <v>0</v>
      </c>
      <c r="M57" s="0" t="str">
        <f aca="false">IF(I57=1,MAX(M$1:M56)+1,"")</f>
        <v/>
      </c>
      <c r="N57" s="0" t="str">
        <f aca="false">IFERROR(MATCH(ROW()-1,$V$2:$V$1201,0),"")</f>
        <v/>
      </c>
      <c r="R57" s="0" t="str">
        <f aca="false">IF(E57="","",IFERROR(LEFT(E57,FIND("-",E57)-1),E57))</f>
        <v/>
      </c>
      <c r="S57" s="0" t="str">
        <f aca="false">IF(R57="","",IF(ISNUMBER(--MID(R57,1,1)),0,IF(ISNUMBER(--MID(R57,2,1)),1,IF(ISNUMBER(--MID(R57,3,1)),2,IF(ISNUMBER(--MID(R57,4,1)),3,MIN(LEN(R57),4))))))</f>
        <v/>
      </c>
      <c r="T57" s="0" t="str">
        <f aca="false">IF(E57="","",LEFT(R57,S57)&amp;REPT("0",4-S57)&amp;RIGHT("000"&amp;IFERROR(VALUE(MID(R57,S57+1,9)),0),3)&amp;RIGHT("0000"&amp;IFERROR(VALUE(MID(E57,FIND("-",E57)+1,9)),0),4))</f>
        <v/>
      </c>
      <c r="U57" s="0" t="str">
        <f aca="false">IF(I57=1,"K"&amp;RIGHT("00"&amp;A57,2)&amp;T57&amp;RIGHT("00000"&amp;ROW(),5),"")</f>
        <v/>
      </c>
      <c r="V57" s="0" t="str">
        <f aca="false">IF(U57="","",COUNTIFS($I$2:$I$1201,1,$U$2:$U$1201,"&lt;"&amp;U57)+1)</f>
        <v/>
      </c>
    </row>
    <row r="58" customFormat="false" ht="15" hidden="false" customHeight="false" outlineLevel="0" collapsed="false">
      <c r="A58" s="0" t="n">
        <v>1</v>
      </c>
      <c r="B58" s="0" t="n">
        <v>57</v>
      </c>
      <c r="C58" s="0" t="str">
        <f aca="false">TRIM(SUBSTITUTE(INDEX(LISTAS!$A$4:$T$63,B58,A58)&amp;"",CHAR(160)," "))</f>
        <v/>
      </c>
      <c r="D58" s="0" t="str">
        <f aca="false">IF(C58="","",TRIM(RIGHT(SUBSTITUTE(C58," ",REPT(" ",100)),100)))</f>
        <v/>
      </c>
      <c r="E58" s="0" t="str">
        <f aca="false">IF(D58="","",UPPER(SUBSTITUTE(SUBSTITUTE(D58,"(",""),")","")))</f>
        <v/>
      </c>
      <c r="F58" s="0" t="str">
        <f aca="false">IF(C58="","",LEFT(C58,FIND(" ",C58&amp;" ")-1))</f>
        <v/>
      </c>
      <c r="G58" s="0" t="n">
        <f aca="false">IFERROR(VALUE(SUBSTITUTE(LOWER(F58),"x","")),0)</f>
        <v>0</v>
      </c>
      <c r="H58" s="0" t="str">
        <f aca="false">IF(C58="","",TRIM(MID(C58,LEN(F58)+2,999)))</f>
        <v/>
      </c>
      <c r="I58" s="0" t="n">
        <f aca="false">IF(OR(C58="",LEFT(C58,2)="//"),0,IFERROR(IF(AND(G58&gt;0,G58=INT(G58),FIND("-",E58)&gt;1,NOT(EXACT(UPPER(LEFT(E58,1)),LOWER(LEFT(E58,1)))),ISNUMBER(VALUE(MID(E58,FIND("-",E58)+1,10)))),1,0),0))</f>
        <v>0</v>
      </c>
      <c r="J58" s="0" t="str">
        <f aca="false">IF(I58=1,TRIM(LEFT(H58,MAX(0,LEN(H58)-LEN(D58)))),"")</f>
        <v/>
      </c>
      <c r="K58" s="0" t="str">
        <f aca="false">INDEX($P$2:$P$21,A58)</f>
        <v>Deck 1</v>
      </c>
      <c r="L58" s="0" t="n">
        <f aca="false">IF(AND(C58&lt;&gt;"",LEFT(C58,2)&lt;&gt;"//",I58=0),1,0)</f>
        <v>0</v>
      </c>
      <c r="M58" s="0" t="str">
        <f aca="false">IF(I58=1,MAX(M$1:M57)+1,"")</f>
        <v/>
      </c>
      <c r="N58" s="0" t="str">
        <f aca="false">IFERROR(MATCH(ROW()-1,$V$2:$V$1201,0),"")</f>
        <v/>
      </c>
      <c r="R58" s="0" t="str">
        <f aca="false">IF(E58="","",IFERROR(LEFT(E58,FIND("-",E58)-1),E58))</f>
        <v/>
      </c>
      <c r="S58" s="0" t="str">
        <f aca="false">IF(R58="","",IF(ISNUMBER(--MID(R58,1,1)),0,IF(ISNUMBER(--MID(R58,2,1)),1,IF(ISNUMBER(--MID(R58,3,1)),2,IF(ISNUMBER(--MID(R58,4,1)),3,MIN(LEN(R58),4))))))</f>
        <v/>
      </c>
      <c r="T58" s="0" t="str">
        <f aca="false">IF(E58="","",LEFT(R58,S58)&amp;REPT("0",4-S58)&amp;RIGHT("000"&amp;IFERROR(VALUE(MID(R58,S58+1,9)),0),3)&amp;RIGHT("0000"&amp;IFERROR(VALUE(MID(E58,FIND("-",E58)+1,9)),0),4))</f>
        <v/>
      </c>
      <c r="U58" s="0" t="str">
        <f aca="false">IF(I58=1,"K"&amp;RIGHT("00"&amp;A58,2)&amp;T58&amp;RIGHT("00000"&amp;ROW(),5),"")</f>
        <v/>
      </c>
      <c r="V58" s="0" t="str">
        <f aca="false">IF(U58="","",COUNTIFS($I$2:$I$1201,1,$U$2:$U$1201,"&lt;"&amp;U58)+1)</f>
        <v/>
      </c>
    </row>
    <row r="59" customFormat="false" ht="15" hidden="false" customHeight="false" outlineLevel="0" collapsed="false">
      <c r="A59" s="0" t="n">
        <v>1</v>
      </c>
      <c r="B59" s="0" t="n">
        <v>58</v>
      </c>
      <c r="C59" s="0" t="str">
        <f aca="false">TRIM(SUBSTITUTE(INDEX(LISTAS!$A$4:$T$63,B59,A59)&amp;"",CHAR(160)," "))</f>
        <v/>
      </c>
      <c r="D59" s="0" t="str">
        <f aca="false">IF(C59="","",TRIM(RIGHT(SUBSTITUTE(C59," ",REPT(" ",100)),100)))</f>
        <v/>
      </c>
      <c r="E59" s="0" t="str">
        <f aca="false">IF(D59="","",UPPER(SUBSTITUTE(SUBSTITUTE(D59,"(",""),")","")))</f>
        <v/>
      </c>
      <c r="F59" s="0" t="str">
        <f aca="false">IF(C59="","",LEFT(C59,FIND(" ",C59&amp;" ")-1))</f>
        <v/>
      </c>
      <c r="G59" s="0" t="n">
        <f aca="false">IFERROR(VALUE(SUBSTITUTE(LOWER(F59),"x","")),0)</f>
        <v>0</v>
      </c>
      <c r="H59" s="0" t="str">
        <f aca="false">IF(C59="","",TRIM(MID(C59,LEN(F59)+2,999)))</f>
        <v/>
      </c>
      <c r="I59" s="0" t="n">
        <f aca="false">IF(OR(C59="",LEFT(C59,2)="//"),0,IFERROR(IF(AND(G59&gt;0,G59=INT(G59),FIND("-",E59)&gt;1,NOT(EXACT(UPPER(LEFT(E59,1)),LOWER(LEFT(E59,1)))),ISNUMBER(VALUE(MID(E59,FIND("-",E59)+1,10)))),1,0),0))</f>
        <v>0</v>
      </c>
      <c r="J59" s="0" t="str">
        <f aca="false">IF(I59=1,TRIM(LEFT(H59,MAX(0,LEN(H59)-LEN(D59)))),"")</f>
        <v/>
      </c>
      <c r="K59" s="0" t="str">
        <f aca="false">INDEX($P$2:$P$21,A59)</f>
        <v>Deck 1</v>
      </c>
      <c r="L59" s="0" t="n">
        <f aca="false">IF(AND(C59&lt;&gt;"",LEFT(C59,2)&lt;&gt;"//",I59=0),1,0)</f>
        <v>0</v>
      </c>
      <c r="M59" s="0" t="str">
        <f aca="false">IF(I59=1,MAX(M$1:M58)+1,"")</f>
        <v/>
      </c>
      <c r="N59" s="0" t="str">
        <f aca="false">IFERROR(MATCH(ROW()-1,$V$2:$V$1201,0),"")</f>
        <v/>
      </c>
      <c r="R59" s="0" t="str">
        <f aca="false">IF(E59="","",IFERROR(LEFT(E59,FIND("-",E59)-1),E59))</f>
        <v/>
      </c>
      <c r="S59" s="0" t="str">
        <f aca="false">IF(R59="","",IF(ISNUMBER(--MID(R59,1,1)),0,IF(ISNUMBER(--MID(R59,2,1)),1,IF(ISNUMBER(--MID(R59,3,1)),2,IF(ISNUMBER(--MID(R59,4,1)),3,MIN(LEN(R59),4))))))</f>
        <v/>
      </c>
      <c r="T59" s="0" t="str">
        <f aca="false">IF(E59="","",LEFT(R59,S59)&amp;REPT("0",4-S59)&amp;RIGHT("000"&amp;IFERROR(VALUE(MID(R59,S59+1,9)),0),3)&amp;RIGHT("0000"&amp;IFERROR(VALUE(MID(E59,FIND("-",E59)+1,9)),0),4))</f>
        <v/>
      </c>
      <c r="U59" s="0" t="str">
        <f aca="false">IF(I59=1,"K"&amp;RIGHT("00"&amp;A59,2)&amp;T59&amp;RIGHT("00000"&amp;ROW(),5),"")</f>
        <v/>
      </c>
      <c r="V59" s="0" t="str">
        <f aca="false">IF(U59="","",COUNTIFS($I$2:$I$1201,1,$U$2:$U$1201,"&lt;"&amp;U59)+1)</f>
        <v/>
      </c>
    </row>
    <row r="60" customFormat="false" ht="15" hidden="false" customHeight="false" outlineLevel="0" collapsed="false">
      <c r="A60" s="0" t="n">
        <v>1</v>
      </c>
      <c r="B60" s="0" t="n">
        <v>59</v>
      </c>
      <c r="C60" s="0" t="str">
        <f aca="false">TRIM(SUBSTITUTE(INDEX(LISTAS!$A$4:$T$63,B60,A60)&amp;"",CHAR(160)," "))</f>
        <v/>
      </c>
      <c r="D60" s="0" t="str">
        <f aca="false">IF(C60="","",TRIM(RIGHT(SUBSTITUTE(C60," ",REPT(" ",100)),100)))</f>
        <v/>
      </c>
      <c r="E60" s="0" t="str">
        <f aca="false">IF(D60="","",UPPER(SUBSTITUTE(SUBSTITUTE(D60,"(",""),")","")))</f>
        <v/>
      </c>
      <c r="F60" s="0" t="str">
        <f aca="false">IF(C60="","",LEFT(C60,FIND(" ",C60&amp;" ")-1))</f>
        <v/>
      </c>
      <c r="G60" s="0" t="n">
        <f aca="false">IFERROR(VALUE(SUBSTITUTE(LOWER(F60),"x","")),0)</f>
        <v>0</v>
      </c>
      <c r="H60" s="0" t="str">
        <f aca="false">IF(C60="","",TRIM(MID(C60,LEN(F60)+2,999)))</f>
        <v/>
      </c>
      <c r="I60" s="0" t="n">
        <f aca="false">IF(OR(C60="",LEFT(C60,2)="//"),0,IFERROR(IF(AND(G60&gt;0,G60=INT(G60),FIND("-",E60)&gt;1,NOT(EXACT(UPPER(LEFT(E60,1)),LOWER(LEFT(E60,1)))),ISNUMBER(VALUE(MID(E60,FIND("-",E60)+1,10)))),1,0),0))</f>
        <v>0</v>
      </c>
      <c r="J60" s="0" t="str">
        <f aca="false">IF(I60=1,TRIM(LEFT(H60,MAX(0,LEN(H60)-LEN(D60)))),"")</f>
        <v/>
      </c>
      <c r="K60" s="0" t="str">
        <f aca="false">INDEX($P$2:$P$21,A60)</f>
        <v>Deck 1</v>
      </c>
      <c r="L60" s="0" t="n">
        <f aca="false">IF(AND(C60&lt;&gt;"",LEFT(C60,2)&lt;&gt;"//",I60=0),1,0)</f>
        <v>0</v>
      </c>
      <c r="M60" s="0" t="str">
        <f aca="false">IF(I60=1,MAX(M$1:M59)+1,"")</f>
        <v/>
      </c>
      <c r="N60" s="0" t="str">
        <f aca="false">IFERROR(MATCH(ROW()-1,$V$2:$V$1201,0),"")</f>
        <v/>
      </c>
      <c r="R60" s="0" t="str">
        <f aca="false">IF(E60="","",IFERROR(LEFT(E60,FIND("-",E60)-1),E60))</f>
        <v/>
      </c>
      <c r="S60" s="0" t="str">
        <f aca="false">IF(R60="","",IF(ISNUMBER(--MID(R60,1,1)),0,IF(ISNUMBER(--MID(R60,2,1)),1,IF(ISNUMBER(--MID(R60,3,1)),2,IF(ISNUMBER(--MID(R60,4,1)),3,MIN(LEN(R60),4))))))</f>
        <v/>
      </c>
      <c r="T60" s="0" t="str">
        <f aca="false">IF(E60="","",LEFT(R60,S60)&amp;REPT("0",4-S60)&amp;RIGHT("000"&amp;IFERROR(VALUE(MID(R60,S60+1,9)),0),3)&amp;RIGHT("0000"&amp;IFERROR(VALUE(MID(E60,FIND("-",E60)+1,9)),0),4))</f>
        <v/>
      </c>
      <c r="U60" s="0" t="str">
        <f aca="false">IF(I60=1,"K"&amp;RIGHT("00"&amp;A60,2)&amp;T60&amp;RIGHT("00000"&amp;ROW(),5),"")</f>
        <v/>
      </c>
      <c r="V60" s="0" t="str">
        <f aca="false">IF(U60="","",COUNTIFS($I$2:$I$1201,1,$U$2:$U$1201,"&lt;"&amp;U60)+1)</f>
        <v/>
      </c>
    </row>
    <row r="61" customFormat="false" ht="15" hidden="false" customHeight="false" outlineLevel="0" collapsed="false">
      <c r="A61" s="0" t="n">
        <v>1</v>
      </c>
      <c r="B61" s="0" t="n">
        <v>60</v>
      </c>
      <c r="C61" s="0" t="str">
        <f aca="false">TRIM(SUBSTITUTE(INDEX(LISTAS!$A$4:$T$63,B61,A61)&amp;"",CHAR(160)," "))</f>
        <v/>
      </c>
      <c r="D61" s="0" t="str">
        <f aca="false">IF(C61="","",TRIM(RIGHT(SUBSTITUTE(C61," ",REPT(" ",100)),100)))</f>
        <v/>
      </c>
      <c r="E61" s="0" t="str">
        <f aca="false">IF(D61="","",UPPER(SUBSTITUTE(SUBSTITUTE(D61,"(",""),")","")))</f>
        <v/>
      </c>
      <c r="F61" s="0" t="str">
        <f aca="false">IF(C61="","",LEFT(C61,FIND(" ",C61&amp;" ")-1))</f>
        <v/>
      </c>
      <c r="G61" s="0" t="n">
        <f aca="false">IFERROR(VALUE(SUBSTITUTE(LOWER(F61),"x","")),0)</f>
        <v>0</v>
      </c>
      <c r="H61" s="0" t="str">
        <f aca="false">IF(C61="","",TRIM(MID(C61,LEN(F61)+2,999)))</f>
        <v/>
      </c>
      <c r="I61" s="0" t="n">
        <f aca="false">IF(OR(C61="",LEFT(C61,2)="//"),0,IFERROR(IF(AND(G61&gt;0,G61=INT(G61),FIND("-",E61)&gt;1,NOT(EXACT(UPPER(LEFT(E61,1)),LOWER(LEFT(E61,1)))),ISNUMBER(VALUE(MID(E61,FIND("-",E61)+1,10)))),1,0),0))</f>
        <v>0</v>
      </c>
      <c r="J61" s="0" t="str">
        <f aca="false">IF(I61=1,TRIM(LEFT(H61,MAX(0,LEN(H61)-LEN(D61)))),"")</f>
        <v/>
      </c>
      <c r="K61" s="0" t="str">
        <f aca="false">INDEX($P$2:$P$21,A61)</f>
        <v>Deck 1</v>
      </c>
      <c r="L61" s="0" t="n">
        <f aca="false">IF(AND(C61&lt;&gt;"",LEFT(C61,2)&lt;&gt;"//",I61=0),1,0)</f>
        <v>0</v>
      </c>
      <c r="M61" s="0" t="str">
        <f aca="false">IF(I61=1,MAX(M$1:M60)+1,"")</f>
        <v/>
      </c>
      <c r="N61" s="0" t="str">
        <f aca="false">IFERROR(MATCH(ROW()-1,$V$2:$V$1201,0),"")</f>
        <v/>
      </c>
      <c r="R61" s="0" t="str">
        <f aca="false">IF(E61="","",IFERROR(LEFT(E61,FIND("-",E61)-1),E61))</f>
        <v/>
      </c>
      <c r="S61" s="0" t="str">
        <f aca="false">IF(R61="","",IF(ISNUMBER(--MID(R61,1,1)),0,IF(ISNUMBER(--MID(R61,2,1)),1,IF(ISNUMBER(--MID(R61,3,1)),2,IF(ISNUMBER(--MID(R61,4,1)),3,MIN(LEN(R61),4))))))</f>
        <v/>
      </c>
      <c r="T61" s="0" t="str">
        <f aca="false">IF(E61="","",LEFT(R61,S61)&amp;REPT("0",4-S61)&amp;RIGHT("000"&amp;IFERROR(VALUE(MID(R61,S61+1,9)),0),3)&amp;RIGHT("0000"&amp;IFERROR(VALUE(MID(E61,FIND("-",E61)+1,9)),0),4))</f>
        <v/>
      </c>
      <c r="U61" s="0" t="str">
        <f aca="false">IF(I61=1,"K"&amp;RIGHT("00"&amp;A61,2)&amp;T61&amp;RIGHT("00000"&amp;ROW(),5),"")</f>
        <v/>
      </c>
      <c r="V61" s="0" t="str">
        <f aca="false">IF(U61="","",COUNTIFS($I$2:$I$1201,1,$U$2:$U$1201,"&lt;"&amp;U61)+1)</f>
        <v/>
      </c>
    </row>
    <row r="62" customFormat="false" ht="15" hidden="false" customHeight="false" outlineLevel="0" collapsed="false">
      <c r="A62" s="0" t="n">
        <v>2</v>
      </c>
      <c r="B62" s="0" t="n">
        <v>1</v>
      </c>
      <c r="C62" s="0" t="str">
        <f aca="false">TRIM(SUBSTITUTE(INDEX(LISTAS!$A$4:$T$63,B62,A62)&amp;"",CHAR(160)," "))</f>
        <v/>
      </c>
      <c r="D62" s="0" t="str">
        <f aca="false">IF(C62="","",TRIM(RIGHT(SUBSTITUTE(C62," ",REPT(" ",100)),100)))</f>
        <v/>
      </c>
      <c r="E62" s="0" t="str">
        <f aca="false">IF(D62="","",UPPER(SUBSTITUTE(SUBSTITUTE(D62,"(",""),")","")))</f>
        <v/>
      </c>
      <c r="F62" s="0" t="str">
        <f aca="false">IF(C62="","",LEFT(C62,FIND(" ",C62&amp;" ")-1))</f>
        <v/>
      </c>
      <c r="G62" s="0" t="n">
        <f aca="false">IFERROR(VALUE(SUBSTITUTE(LOWER(F62),"x","")),0)</f>
        <v>0</v>
      </c>
      <c r="H62" s="0" t="str">
        <f aca="false">IF(C62="","",TRIM(MID(C62,LEN(F62)+2,999)))</f>
        <v/>
      </c>
      <c r="I62" s="0" t="n">
        <f aca="false">IF(OR(C62="",LEFT(C62,2)="//"),0,IFERROR(IF(AND(G62&gt;0,G62=INT(G62),FIND("-",E62)&gt;1,NOT(EXACT(UPPER(LEFT(E62,1)),LOWER(LEFT(E62,1)))),ISNUMBER(VALUE(MID(E62,FIND("-",E62)+1,10)))),1,0),0))</f>
        <v>0</v>
      </c>
      <c r="J62" s="0" t="str">
        <f aca="false">IF(I62=1,TRIM(LEFT(H62,MAX(0,LEN(H62)-LEN(D62)))),"")</f>
        <v/>
      </c>
      <c r="K62" s="0" t="str">
        <f aca="false">INDEX($P$2:$P$21,A62)</f>
        <v>Deck 2</v>
      </c>
      <c r="L62" s="0" t="n">
        <f aca="false">IF(AND(C62&lt;&gt;"",LEFT(C62,2)&lt;&gt;"//",I62=0),1,0)</f>
        <v>0</v>
      </c>
      <c r="M62" s="0" t="str">
        <f aca="false">IF(I62=1,MAX(M$1:M61)+1,"")</f>
        <v/>
      </c>
      <c r="N62" s="0" t="str">
        <f aca="false">IFERROR(MATCH(ROW()-1,$V$2:$V$1201,0),"")</f>
        <v/>
      </c>
      <c r="R62" s="0" t="str">
        <f aca="false">IF(E62="","",IFERROR(LEFT(E62,FIND("-",E62)-1),E62))</f>
        <v/>
      </c>
      <c r="S62" s="0" t="str">
        <f aca="false">IF(R62="","",IF(ISNUMBER(--MID(R62,1,1)),0,IF(ISNUMBER(--MID(R62,2,1)),1,IF(ISNUMBER(--MID(R62,3,1)),2,IF(ISNUMBER(--MID(R62,4,1)),3,MIN(LEN(R62),4))))))</f>
        <v/>
      </c>
      <c r="T62" s="0" t="str">
        <f aca="false">IF(E62="","",LEFT(R62,S62)&amp;REPT("0",4-S62)&amp;RIGHT("000"&amp;IFERROR(VALUE(MID(R62,S62+1,9)),0),3)&amp;RIGHT("0000"&amp;IFERROR(VALUE(MID(E62,FIND("-",E62)+1,9)),0),4))</f>
        <v/>
      </c>
      <c r="U62" s="0" t="str">
        <f aca="false">IF(I62=1,"K"&amp;RIGHT("00"&amp;A62,2)&amp;T62&amp;RIGHT("00000"&amp;ROW(),5),"")</f>
        <v/>
      </c>
      <c r="V62" s="0" t="str">
        <f aca="false">IF(U62="","",COUNTIFS($I$2:$I$1201,1,$U$2:$U$1201,"&lt;"&amp;U62)+1)</f>
        <v/>
      </c>
    </row>
    <row r="63" customFormat="false" ht="15" hidden="false" customHeight="false" outlineLevel="0" collapsed="false">
      <c r="A63" s="0" t="n">
        <v>2</v>
      </c>
      <c r="B63" s="0" t="n">
        <v>2</v>
      </c>
      <c r="C63" s="0" t="str">
        <f aca="false">TRIM(SUBSTITUTE(INDEX(LISTAS!$A$4:$T$63,B63,A63)&amp;"",CHAR(160)," "))</f>
        <v/>
      </c>
      <c r="D63" s="0" t="str">
        <f aca="false">IF(C63="","",TRIM(RIGHT(SUBSTITUTE(C63," ",REPT(" ",100)),100)))</f>
        <v/>
      </c>
      <c r="E63" s="0" t="str">
        <f aca="false">IF(D63="","",UPPER(SUBSTITUTE(SUBSTITUTE(D63,"(",""),")","")))</f>
        <v/>
      </c>
      <c r="F63" s="0" t="str">
        <f aca="false">IF(C63="","",LEFT(C63,FIND(" ",C63&amp;" ")-1))</f>
        <v/>
      </c>
      <c r="G63" s="0" t="n">
        <f aca="false">IFERROR(VALUE(SUBSTITUTE(LOWER(F63),"x","")),0)</f>
        <v>0</v>
      </c>
      <c r="H63" s="0" t="str">
        <f aca="false">IF(C63="","",TRIM(MID(C63,LEN(F63)+2,999)))</f>
        <v/>
      </c>
      <c r="I63" s="0" t="n">
        <f aca="false">IF(OR(C63="",LEFT(C63,2)="//"),0,IFERROR(IF(AND(G63&gt;0,G63=INT(G63),FIND("-",E63)&gt;1,NOT(EXACT(UPPER(LEFT(E63,1)),LOWER(LEFT(E63,1)))),ISNUMBER(VALUE(MID(E63,FIND("-",E63)+1,10)))),1,0),0))</f>
        <v>0</v>
      </c>
      <c r="J63" s="0" t="str">
        <f aca="false">IF(I63=1,TRIM(LEFT(H63,MAX(0,LEN(H63)-LEN(D63)))),"")</f>
        <v/>
      </c>
      <c r="K63" s="0" t="str">
        <f aca="false">INDEX($P$2:$P$21,A63)</f>
        <v>Deck 2</v>
      </c>
      <c r="L63" s="0" t="n">
        <f aca="false">IF(AND(C63&lt;&gt;"",LEFT(C63,2)&lt;&gt;"//",I63=0),1,0)</f>
        <v>0</v>
      </c>
      <c r="M63" s="0" t="str">
        <f aca="false">IF(I63=1,MAX(M$1:M62)+1,"")</f>
        <v/>
      </c>
      <c r="N63" s="0" t="str">
        <f aca="false">IFERROR(MATCH(ROW()-1,$V$2:$V$1201,0),"")</f>
        <v/>
      </c>
      <c r="R63" s="0" t="str">
        <f aca="false">IF(E63="","",IFERROR(LEFT(E63,FIND("-",E63)-1),E63))</f>
        <v/>
      </c>
      <c r="S63" s="0" t="str">
        <f aca="false">IF(R63="","",IF(ISNUMBER(--MID(R63,1,1)),0,IF(ISNUMBER(--MID(R63,2,1)),1,IF(ISNUMBER(--MID(R63,3,1)),2,IF(ISNUMBER(--MID(R63,4,1)),3,MIN(LEN(R63),4))))))</f>
        <v/>
      </c>
      <c r="T63" s="0" t="str">
        <f aca="false">IF(E63="","",LEFT(R63,S63)&amp;REPT("0",4-S63)&amp;RIGHT("000"&amp;IFERROR(VALUE(MID(R63,S63+1,9)),0),3)&amp;RIGHT("0000"&amp;IFERROR(VALUE(MID(E63,FIND("-",E63)+1,9)),0),4))</f>
        <v/>
      </c>
      <c r="U63" s="0" t="str">
        <f aca="false">IF(I63=1,"K"&amp;RIGHT("00"&amp;A63,2)&amp;T63&amp;RIGHT("00000"&amp;ROW(),5),"")</f>
        <v/>
      </c>
      <c r="V63" s="0" t="str">
        <f aca="false">IF(U63="","",COUNTIFS($I$2:$I$1201,1,$U$2:$U$1201,"&lt;"&amp;U63)+1)</f>
        <v/>
      </c>
    </row>
    <row r="64" customFormat="false" ht="15" hidden="false" customHeight="false" outlineLevel="0" collapsed="false">
      <c r="A64" s="0" t="n">
        <v>2</v>
      </c>
      <c r="B64" s="0" t="n">
        <v>3</v>
      </c>
      <c r="C64" s="0" t="str">
        <f aca="false">TRIM(SUBSTITUTE(INDEX(LISTAS!$A$4:$T$63,B64,A64)&amp;"",CHAR(160)," "))</f>
        <v/>
      </c>
      <c r="D64" s="0" t="str">
        <f aca="false">IF(C64="","",TRIM(RIGHT(SUBSTITUTE(C64," ",REPT(" ",100)),100)))</f>
        <v/>
      </c>
      <c r="E64" s="0" t="str">
        <f aca="false">IF(D64="","",UPPER(SUBSTITUTE(SUBSTITUTE(D64,"(",""),")","")))</f>
        <v/>
      </c>
      <c r="F64" s="0" t="str">
        <f aca="false">IF(C64="","",LEFT(C64,FIND(" ",C64&amp;" ")-1))</f>
        <v/>
      </c>
      <c r="G64" s="0" t="n">
        <f aca="false">IFERROR(VALUE(SUBSTITUTE(LOWER(F64),"x","")),0)</f>
        <v>0</v>
      </c>
      <c r="H64" s="0" t="str">
        <f aca="false">IF(C64="","",TRIM(MID(C64,LEN(F64)+2,999)))</f>
        <v/>
      </c>
      <c r="I64" s="0" t="n">
        <f aca="false">IF(OR(C64="",LEFT(C64,2)="//"),0,IFERROR(IF(AND(G64&gt;0,G64=INT(G64),FIND("-",E64)&gt;1,NOT(EXACT(UPPER(LEFT(E64,1)),LOWER(LEFT(E64,1)))),ISNUMBER(VALUE(MID(E64,FIND("-",E64)+1,10)))),1,0),0))</f>
        <v>0</v>
      </c>
      <c r="J64" s="0" t="str">
        <f aca="false">IF(I64=1,TRIM(LEFT(H64,MAX(0,LEN(H64)-LEN(D64)))),"")</f>
        <v/>
      </c>
      <c r="K64" s="0" t="str">
        <f aca="false">INDEX($P$2:$P$21,A64)</f>
        <v>Deck 2</v>
      </c>
      <c r="L64" s="0" t="n">
        <f aca="false">IF(AND(C64&lt;&gt;"",LEFT(C64,2)&lt;&gt;"//",I64=0),1,0)</f>
        <v>0</v>
      </c>
      <c r="M64" s="0" t="str">
        <f aca="false">IF(I64=1,MAX(M$1:M63)+1,"")</f>
        <v/>
      </c>
      <c r="N64" s="0" t="str">
        <f aca="false">IFERROR(MATCH(ROW()-1,$V$2:$V$1201,0),"")</f>
        <v/>
      </c>
      <c r="R64" s="0" t="str">
        <f aca="false">IF(E64="","",IFERROR(LEFT(E64,FIND("-",E64)-1),E64))</f>
        <v/>
      </c>
      <c r="S64" s="0" t="str">
        <f aca="false">IF(R64="","",IF(ISNUMBER(--MID(R64,1,1)),0,IF(ISNUMBER(--MID(R64,2,1)),1,IF(ISNUMBER(--MID(R64,3,1)),2,IF(ISNUMBER(--MID(R64,4,1)),3,MIN(LEN(R64),4))))))</f>
        <v/>
      </c>
      <c r="T64" s="0" t="str">
        <f aca="false">IF(E64="","",LEFT(R64,S64)&amp;REPT("0",4-S64)&amp;RIGHT("000"&amp;IFERROR(VALUE(MID(R64,S64+1,9)),0),3)&amp;RIGHT("0000"&amp;IFERROR(VALUE(MID(E64,FIND("-",E64)+1,9)),0),4))</f>
        <v/>
      </c>
      <c r="U64" s="0" t="str">
        <f aca="false">IF(I64=1,"K"&amp;RIGHT("00"&amp;A64,2)&amp;T64&amp;RIGHT("00000"&amp;ROW(),5),"")</f>
        <v/>
      </c>
      <c r="V64" s="0" t="str">
        <f aca="false">IF(U64="","",COUNTIFS($I$2:$I$1201,1,$U$2:$U$1201,"&lt;"&amp;U64)+1)</f>
        <v/>
      </c>
    </row>
    <row r="65" customFormat="false" ht="15" hidden="false" customHeight="false" outlineLevel="0" collapsed="false">
      <c r="A65" s="0" t="n">
        <v>2</v>
      </c>
      <c r="B65" s="0" t="n">
        <v>4</v>
      </c>
      <c r="C65" s="0" t="str">
        <f aca="false">TRIM(SUBSTITUTE(INDEX(LISTAS!$A$4:$T$63,B65,A65)&amp;"",CHAR(160)," "))</f>
        <v/>
      </c>
      <c r="D65" s="0" t="str">
        <f aca="false">IF(C65="","",TRIM(RIGHT(SUBSTITUTE(C65," ",REPT(" ",100)),100)))</f>
        <v/>
      </c>
      <c r="E65" s="0" t="str">
        <f aca="false">IF(D65="","",UPPER(SUBSTITUTE(SUBSTITUTE(D65,"(",""),")","")))</f>
        <v/>
      </c>
      <c r="F65" s="0" t="str">
        <f aca="false">IF(C65="","",LEFT(C65,FIND(" ",C65&amp;" ")-1))</f>
        <v/>
      </c>
      <c r="G65" s="0" t="n">
        <f aca="false">IFERROR(VALUE(SUBSTITUTE(LOWER(F65),"x","")),0)</f>
        <v>0</v>
      </c>
      <c r="H65" s="0" t="str">
        <f aca="false">IF(C65="","",TRIM(MID(C65,LEN(F65)+2,999)))</f>
        <v/>
      </c>
      <c r="I65" s="0" t="n">
        <f aca="false">IF(OR(C65="",LEFT(C65,2)="//"),0,IFERROR(IF(AND(G65&gt;0,G65=INT(G65),FIND("-",E65)&gt;1,NOT(EXACT(UPPER(LEFT(E65,1)),LOWER(LEFT(E65,1)))),ISNUMBER(VALUE(MID(E65,FIND("-",E65)+1,10)))),1,0),0))</f>
        <v>0</v>
      </c>
      <c r="J65" s="0" t="str">
        <f aca="false">IF(I65=1,TRIM(LEFT(H65,MAX(0,LEN(H65)-LEN(D65)))),"")</f>
        <v/>
      </c>
      <c r="K65" s="0" t="str">
        <f aca="false">INDEX($P$2:$P$21,A65)</f>
        <v>Deck 2</v>
      </c>
      <c r="L65" s="0" t="n">
        <f aca="false">IF(AND(C65&lt;&gt;"",LEFT(C65,2)&lt;&gt;"//",I65=0),1,0)</f>
        <v>0</v>
      </c>
      <c r="M65" s="0" t="str">
        <f aca="false">IF(I65=1,MAX(M$1:M64)+1,"")</f>
        <v/>
      </c>
      <c r="N65" s="0" t="str">
        <f aca="false">IFERROR(MATCH(ROW()-1,$V$2:$V$1201,0),"")</f>
        <v/>
      </c>
      <c r="R65" s="0" t="str">
        <f aca="false">IF(E65="","",IFERROR(LEFT(E65,FIND("-",E65)-1),E65))</f>
        <v/>
      </c>
      <c r="S65" s="0" t="str">
        <f aca="false">IF(R65="","",IF(ISNUMBER(--MID(R65,1,1)),0,IF(ISNUMBER(--MID(R65,2,1)),1,IF(ISNUMBER(--MID(R65,3,1)),2,IF(ISNUMBER(--MID(R65,4,1)),3,MIN(LEN(R65),4))))))</f>
        <v/>
      </c>
      <c r="T65" s="0" t="str">
        <f aca="false">IF(E65="","",LEFT(R65,S65)&amp;REPT("0",4-S65)&amp;RIGHT("000"&amp;IFERROR(VALUE(MID(R65,S65+1,9)),0),3)&amp;RIGHT("0000"&amp;IFERROR(VALUE(MID(E65,FIND("-",E65)+1,9)),0),4))</f>
        <v/>
      </c>
      <c r="U65" s="0" t="str">
        <f aca="false">IF(I65=1,"K"&amp;RIGHT("00"&amp;A65,2)&amp;T65&amp;RIGHT("00000"&amp;ROW(),5),"")</f>
        <v/>
      </c>
      <c r="V65" s="0" t="str">
        <f aca="false">IF(U65="","",COUNTIFS($I$2:$I$1201,1,$U$2:$U$1201,"&lt;"&amp;U65)+1)</f>
        <v/>
      </c>
    </row>
    <row r="66" customFormat="false" ht="15" hidden="false" customHeight="false" outlineLevel="0" collapsed="false">
      <c r="A66" s="0" t="n">
        <v>2</v>
      </c>
      <c r="B66" s="0" t="n">
        <v>5</v>
      </c>
      <c r="C66" s="0" t="str">
        <f aca="false">TRIM(SUBSTITUTE(INDEX(LISTAS!$A$4:$T$63,B66,A66)&amp;"",CHAR(160)," "))</f>
        <v/>
      </c>
      <c r="D66" s="0" t="str">
        <f aca="false">IF(C66="","",TRIM(RIGHT(SUBSTITUTE(C66," ",REPT(" ",100)),100)))</f>
        <v/>
      </c>
      <c r="E66" s="0" t="str">
        <f aca="false">IF(D66="","",UPPER(SUBSTITUTE(SUBSTITUTE(D66,"(",""),")","")))</f>
        <v/>
      </c>
      <c r="F66" s="0" t="str">
        <f aca="false">IF(C66="","",LEFT(C66,FIND(" ",C66&amp;" ")-1))</f>
        <v/>
      </c>
      <c r="G66" s="0" t="n">
        <f aca="false">IFERROR(VALUE(SUBSTITUTE(LOWER(F66),"x","")),0)</f>
        <v>0</v>
      </c>
      <c r="H66" s="0" t="str">
        <f aca="false">IF(C66="","",TRIM(MID(C66,LEN(F66)+2,999)))</f>
        <v/>
      </c>
      <c r="I66" s="0" t="n">
        <f aca="false">IF(OR(C66="",LEFT(C66,2)="//"),0,IFERROR(IF(AND(G66&gt;0,G66=INT(G66),FIND("-",E66)&gt;1,NOT(EXACT(UPPER(LEFT(E66,1)),LOWER(LEFT(E66,1)))),ISNUMBER(VALUE(MID(E66,FIND("-",E66)+1,10)))),1,0),0))</f>
        <v>0</v>
      </c>
      <c r="J66" s="0" t="str">
        <f aca="false">IF(I66=1,TRIM(LEFT(H66,MAX(0,LEN(H66)-LEN(D66)))),"")</f>
        <v/>
      </c>
      <c r="K66" s="0" t="str">
        <f aca="false">INDEX($P$2:$P$21,A66)</f>
        <v>Deck 2</v>
      </c>
      <c r="L66" s="0" t="n">
        <f aca="false">IF(AND(C66&lt;&gt;"",LEFT(C66,2)&lt;&gt;"//",I66=0),1,0)</f>
        <v>0</v>
      </c>
      <c r="M66" s="0" t="str">
        <f aca="false">IF(I66=1,MAX(M$1:M65)+1,"")</f>
        <v/>
      </c>
      <c r="N66" s="0" t="str">
        <f aca="false">IFERROR(MATCH(ROW()-1,$V$2:$V$1201,0),"")</f>
        <v/>
      </c>
      <c r="R66" s="0" t="str">
        <f aca="false">IF(E66="","",IFERROR(LEFT(E66,FIND("-",E66)-1),E66))</f>
        <v/>
      </c>
      <c r="S66" s="0" t="str">
        <f aca="false">IF(R66="","",IF(ISNUMBER(--MID(R66,1,1)),0,IF(ISNUMBER(--MID(R66,2,1)),1,IF(ISNUMBER(--MID(R66,3,1)),2,IF(ISNUMBER(--MID(R66,4,1)),3,MIN(LEN(R66),4))))))</f>
        <v/>
      </c>
      <c r="T66" s="0" t="str">
        <f aca="false">IF(E66="","",LEFT(R66,S66)&amp;REPT("0",4-S66)&amp;RIGHT("000"&amp;IFERROR(VALUE(MID(R66,S66+1,9)),0),3)&amp;RIGHT("0000"&amp;IFERROR(VALUE(MID(E66,FIND("-",E66)+1,9)),0),4))</f>
        <v/>
      </c>
      <c r="U66" s="0" t="str">
        <f aca="false">IF(I66=1,"K"&amp;RIGHT("00"&amp;A66,2)&amp;T66&amp;RIGHT("00000"&amp;ROW(),5),"")</f>
        <v/>
      </c>
      <c r="V66" s="0" t="str">
        <f aca="false">IF(U66="","",COUNTIFS($I$2:$I$1201,1,$U$2:$U$1201,"&lt;"&amp;U66)+1)</f>
        <v/>
      </c>
    </row>
    <row r="67" customFormat="false" ht="15" hidden="false" customHeight="false" outlineLevel="0" collapsed="false">
      <c r="A67" s="0" t="n">
        <v>2</v>
      </c>
      <c r="B67" s="0" t="n">
        <v>6</v>
      </c>
      <c r="C67" s="0" t="str">
        <f aca="false">TRIM(SUBSTITUTE(INDEX(LISTAS!$A$4:$T$63,B67,A67)&amp;"",CHAR(160)," "))</f>
        <v/>
      </c>
      <c r="D67" s="0" t="str">
        <f aca="false">IF(C67="","",TRIM(RIGHT(SUBSTITUTE(C67," ",REPT(" ",100)),100)))</f>
        <v/>
      </c>
      <c r="E67" s="0" t="str">
        <f aca="false">IF(D67="","",UPPER(SUBSTITUTE(SUBSTITUTE(D67,"(",""),")","")))</f>
        <v/>
      </c>
      <c r="F67" s="0" t="str">
        <f aca="false">IF(C67="","",LEFT(C67,FIND(" ",C67&amp;" ")-1))</f>
        <v/>
      </c>
      <c r="G67" s="0" t="n">
        <f aca="false">IFERROR(VALUE(SUBSTITUTE(LOWER(F67),"x","")),0)</f>
        <v>0</v>
      </c>
      <c r="H67" s="0" t="str">
        <f aca="false">IF(C67="","",TRIM(MID(C67,LEN(F67)+2,999)))</f>
        <v/>
      </c>
      <c r="I67" s="0" t="n">
        <f aca="false">IF(OR(C67="",LEFT(C67,2)="//"),0,IFERROR(IF(AND(G67&gt;0,G67=INT(G67),FIND("-",E67)&gt;1,NOT(EXACT(UPPER(LEFT(E67,1)),LOWER(LEFT(E67,1)))),ISNUMBER(VALUE(MID(E67,FIND("-",E67)+1,10)))),1,0),0))</f>
        <v>0</v>
      </c>
      <c r="J67" s="0" t="str">
        <f aca="false">IF(I67=1,TRIM(LEFT(H67,MAX(0,LEN(H67)-LEN(D67)))),"")</f>
        <v/>
      </c>
      <c r="K67" s="0" t="str">
        <f aca="false">INDEX($P$2:$P$21,A67)</f>
        <v>Deck 2</v>
      </c>
      <c r="L67" s="0" t="n">
        <f aca="false">IF(AND(C67&lt;&gt;"",LEFT(C67,2)&lt;&gt;"//",I67=0),1,0)</f>
        <v>0</v>
      </c>
      <c r="M67" s="0" t="str">
        <f aca="false">IF(I67=1,MAX(M$1:M66)+1,"")</f>
        <v/>
      </c>
      <c r="N67" s="0" t="str">
        <f aca="false">IFERROR(MATCH(ROW()-1,$V$2:$V$1201,0),"")</f>
        <v/>
      </c>
      <c r="R67" s="0" t="str">
        <f aca="false">IF(E67="","",IFERROR(LEFT(E67,FIND("-",E67)-1),E67))</f>
        <v/>
      </c>
      <c r="S67" s="0" t="str">
        <f aca="false">IF(R67="","",IF(ISNUMBER(--MID(R67,1,1)),0,IF(ISNUMBER(--MID(R67,2,1)),1,IF(ISNUMBER(--MID(R67,3,1)),2,IF(ISNUMBER(--MID(R67,4,1)),3,MIN(LEN(R67),4))))))</f>
        <v/>
      </c>
      <c r="T67" s="0" t="str">
        <f aca="false">IF(E67="","",LEFT(R67,S67)&amp;REPT("0",4-S67)&amp;RIGHT("000"&amp;IFERROR(VALUE(MID(R67,S67+1,9)),0),3)&amp;RIGHT("0000"&amp;IFERROR(VALUE(MID(E67,FIND("-",E67)+1,9)),0),4))</f>
        <v/>
      </c>
      <c r="U67" s="0" t="str">
        <f aca="false">IF(I67=1,"K"&amp;RIGHT("00"&amp;A67,2)&amp;T67&amp;RIGHT("00000"&amp;ROW(),5),"")</f>
        <v/>
      </c>
      <c r="V67" s="0" t="str">
        <f aca="false">IF(U67="","",COUNTIFS($I$2:$I$1201,1,$U$2:$U$1201,"&lt;"&amp;U67)+1)</f>
        <v/>
      </c>
    </row>
    <row r="68" customFormat="false" ht="15" hidden="false" customHeight="false" outlineLevel="0" collapsed="false">
      <c r="A68" s="0" t="n">
        <v>2</v>
      </c>
      <c r="B68" s="0" t="n">
        <v>7</v>
      </c>
      <c r="C68" s="0" t="str">
        <f aca="false">TRIM(SUBSTITUTE(INDEX(LISTAS!$A$4:$T$63,B68,A68)&amp;"",CHAR(160)," "))</f>
        <v/>
      </c>
      <c r="D68" s="0" t="str">
        <f aca="false">IF(C68="","",TRIM(RIGHT(SUBSTITUTE(C68," ",REPT(" ",100)),100)))</f>
        <v/>
      </c>
      <c r="E68" s="0" t="str">
        <f aca="false">IF(D68="","",UPPER(SUBSTITUTE(SUBSTITUTE(D68,"(",""),")","")))</f>
        <v/>
      </c>
      <c r="F68" s="0" t="str">
        <f aca="false">IF(C68="","",LEFT(C68,FIND(" ",C68&amp;" ")-1))</f>
        <v/>
      </c>
      <c r="G68" s="0" t="n">
        <f aca="false">IFERROR(VALUE(SUBSTITUTE(LOWER(F68),"x","")),0)</f>
        <v>0</v>
      </c>
      <c r="H68" s="0" t="str">
        <f aca="false">IF(C68="","",TRIM(MID(C68,LEN(F68)+2,999)))</f>
        <v/>
      </c>
      <c r="I68" s="0" t="n">
        <f aca="false">IF(OR(C68="",LEFT(C68,2)="//"),0,IFERROR(IF(AND(G68&gt;0,G68=INT(G68),FIND("-",E68)&gt;1,NOT(EXACT(UPPER(LEFT(E68,1)),LOWER(LEFT(E68,1)))),ISNUMBER(VALUE(MID(E68,FIND("-",E68)+1,10)))),1,0),0))</f>
        <v>0</v>
      </c>
      <c r="J68" s="0" t="str">
        <f aca="false">IF(I68=1,TRIM(LEFT(H68,MAX(0,LEN(H68)-LEN(D68)))),"")</f>
        <v/>
      </c>
      <c r="K68" s="0" t="str">
        <f aca="false">INDEX($P$2:$P$21,A68)</f>
        <v>Deck 2</v>
      </c>
      <c r="L68" s="0" t="n">
        <f aca="false">IF(AND(C68&lt;&gt;"",LEFT(C68,2)&lt;&gt;"//",I68=0),1,0)</f>
        <v>0</v>
      </c>
      <c r="M68" s="0" t="str">
        <f aca="false">IF(I68=1,MAX(M$1:M67)+1,"")</f>
        <v/>
      </c>
      <c r="N68" s="0" t="str">
        <f aca="false">IFERROR(MATCH(ROW()-1,$V$2:$V$1201,0),"")</f>
        <v/>
      </c>
      <c r="R68" s="0" t="str">
        <f aca="false">IF(E68="","",IFERROR(LEFT(E68,FIND("-",E68)-1),E68))</f>
        <v/>
      </c>
      <c r="S68" s="0" t="str">
        <f aca="false">IF(R68="","",IF(ISNUMBER(--MID(R68,1,1)),0,IF(ISNUMBER(--MID(R68,2,1)),1,IF(ISNUMBER(--MID(R68,3,1)),2,IF(ISNUMBER(--MID(R68,4,1)),3,MIN(LEN(R68),4))))))</f>
        <v/>
      </c>
      <c r="T68" s="0" t="str">
        <f aca="false">IF(E68="","",LEFT(R68,S68)&amp;REPT("0",4-S68)&amp;RIGHT("000"&amp;IFERROR(VALUE(MID(R68,S68+1,9)),0),3)&amp;RIGHT("0000"&amp;IFERROR(VALUE(MID(E68,FIND("-",E68)+1,9)),0),4))</f>
        <v/>
      </c>
      <c r="U68" s="0" t="str">
        <f aca="false">IF(I68=1,"K"&amp;RIGHT("00"&amp;A68,2)&amp;T68&amp;RIGHT("00000"&amp;ROW(),5),"")</f>
        <v/>
      </c>
      <c r="V68" s="0" t="str">
        <f aca="false">IF(U68="","",COUNTIFS($I$2:$I$1201,1,$U$2:$U$1201,"&lt;"&amp;U68)+1)</f>
        <v/>
      </c>
    </row>
    <row r="69" customFormat="false" ht="15" hidden="false" customHeight="false" outlineLevel="0" collapsed="false">
      <c r="A69" s="0" t="n">
        <v>2</v>
      </c>
      <c r="B69" s="0" t="n">
        <v>8</v>
      </c>
      <c r="C69" s="0" t="str">
        <f aca="false">TRIM(SUBSTITUTE(INDEX(LISTAS!$A$4:$T$63,B69,A69)&amp;"",CHAR(160)," "))</f>
        <v/>
      </c>
      <c r="D69" s="0" t="str">
        <f aca="false">IF(C69="","",TRIM(RIGHT(SUBSTITUTE(C69," ",REPT(" ",100)),100)))</f>
        <v/>
      </c>
      <c r="E69" s="0" t="str">
        <f aca="false">IF(D69="","",UPPER(SUBSTITUTE(SUBSTITUTE(D69,"(",""),")","")))</f>
        <v/>
      </c>
      <c r="F69" s="0" t="str">
        <f aca="false">IF(C69="","",LEFT(C69,FIND(" ",C69&amp;" ")-1))</f>
        <v/>
      </c>
      <c r="G69" s="0" t="n">
        <f aca="false">IFERROR(VALUE(SUBSTITUTE(LOWER(F69),"x","")),0)</f>
        <v>0</v>
      </c>
      <c r="H69" s="0" t="str">
        <f aca="false">IF(C69="","",TRIM(MID(C69,LEN(F69)+2,999)))</f>
        <v/>
      </c>
      <c r="I69" s="0" t="n">
        <f aca="false">IF(OR(C69="",LEFT(C69,2)="//"),0,IFERROR(IF(AND(G69&gt;0,G69=INT(G69),FIND("-",E69)&gt;1,NOT(EXACT(UPPER(LEFT(E69,1)),LOWER(LEFT(E69,1)))),ISNUMBER(VALUE(MID(E69,FIND("-",E69)+1,10)))),1,0),0))</f>
        <v>0</v>
      </c>
      <c r="J69" s="0" t="str">
        <f aca="false">IF(I69=1,TRIM(LEFT(H69,MAX(0,LEN(H69)-LEN(D69)))),"")</f>
        <v/>
      </c>
      <c r="K69" s="0" t="str">
        <f aca="false">INDEX($P$2:$P$21,A69)</f>
        <v>Deck 2</v>
      </c>
      <c r="L69" s="0" t="n">
        <f aca="false">IF(AND(C69&lt;&gt;"",LEFT(C69,2)&lt;&gt;"//",I69=0),1,0)</f>
        <v>0</v>
      </c>
      <c r="M69" s="0" t="str">
        <f aca="false">IF(I69=1,MAX(M$1:M68)+1,"")</f>
        <v/>
      </c>
      <c r="N69" s="0" t="str">
        <f aca="false">IFERROR(MATCH(ROW()-1,$V$2:$V$1201,0),"")</f>
        <v/>
      </c>
      <c r="R69" s="0" t="str">
        <f aca="false">IF(E69="","",IFERROR(LEFT(E69,FIND("-",E69)-1),E69))</f>
        <v/>
      </c>
      <c r="S69" s="0" t="str">
        <f aca="false">IF(R69="","",IF(ISNUMBER(--MID(R69,1,1)),0,IF(ISNUMBER(--MID(R69,2,1)),1,IF(ISNUMBER(--MID(R69,3,1)),2,IF(ISNUMBER(--MID(R69,4,1)),3,MIN(LEN(R69),4))))))</f>
        <v/>
      </c>
      <c r="T69" s="0" t="str">
        <f aca="false">IF(E69="","",LEFT(R69,S69)&amp;REPT("0",4-S69)&amp;RIGHT("000"&amp;IFERROR(VALUE(MID(R69,S69+1,9)),0),3)&amp;RIGHT("0000"&amp;IFERROR(VALUE(MID(E69,FIND("-",E69)+1,9)),0),4))</f>
        <v/>
      </c>
      <c r="U69" s="0" t="str">
        <f aca="false">IF(I69=1,"K"&amp;RIGHT("00"&amp;A69,2)&amp;T69&amp;RIGHT("00000"&amp;ROW(),5),"")</f>
        <v/>
      </c>
      <c r="V69" s="0" t="str">
        <f aca="false">IF(U69="","",COUNTIFS($I$2:$I$1201,1,$U$2:$U$1201,"&lt;"&amp;U69)+1)</f>
        <v/>
      </c>
    </row>
    <row r="70" customFormat="false" ht="15" hidden="false" customHeight="false" outlineLevel="0" collapsed="false">
      <c r="A70" s="0" t="n">
        <v>2</v>
      </c>
      <c r="B70" s="0" t="n">
        <v>9</v>
      </c>
      <c r="C70" s="0" t="str">
        <f aca="false">TRIM(SUBSTITUTE(INDEX(LISTAS!$A$4:$T$63,B70,A70)&amp;"",CHAR(160)," "))</f>
        <v/>
      </c>
      <c r="D70" s="0" t="str">
        <f aca="false">IF(C70="","",TRIM(RIGHT(SUBSTITUTE(C70," ",REPT(" ",100)),100)))</f>
        <v/>
      </c>
      <c r="E70" s="0" t="str">
        <f aca="false">IF(D70="","",UPPER(SUBSTITUTE(SUBSTITUTE(D70,"(",""),")","")))</f>
        <v/>
      </c>
      <c r="F70" s="0" t="str">
        <f aca="false">IF(C70="","",LEFT(C70,FIND(" ",C70&amp;" ")-1))</f>
        <v/>
      </c>
      <c r="G70" s="0" t="n">
        <f aca="false">IFERROR(VALUE(SUBSTITUTE(LOWER(F70),"x","")),0)</f>
        <v>0</v>
      </c>
      <c r="H70" s="0" t="str">
        <f aca="false">IF(C70="","",TRIM(MID(C70,LEN(F70)+2,999)))</f>
        <v/>
      </c>
      <c r="I70" s="0" t="n">
        <f aca="false">IF(OR(C70="",LEFT(C70,2)="//"),0,IFERROR(IF(AND(G70&gt;0,G70=INT(G70),FIND("-",E70)&gt;1,NOT(EXACT(UPPER(LEFT(E70,1)),LOWER(LEFT(E70,1)))),ISNUMBER(VALUE(MID(E70,FIND("-",E70)+1,10)))),1,0),0))</f>
        <v>0</v>
      </c>
      <c r="J70" s="0" t="str">
        <f aca="false">IF(I70=1,TRIM(LEFT(H70,MAX(0,LEN(H70)-LEN(D70)))),"")</f>
        <v/>
      </c>
      <c r="K70" s="0" t="str">
        <f aca="false">INDEX($P$2:$P$21,A70)</f>
        <v>Deck 2</v>
      </c>
      <c r="L70" s="0" t="n">
        <f aca="false">IF(AND(C70&lt;&gt;"",LEFT(C70,2)&lt;&gt;"//",I70=0),1,0)</f>
        <v>0</v>
      </c>
      <c r="M70" s="0" t="str">
        <f aca="false">IF(I70=1,MAX(M$1:M69)+1,"")</f>
        <v/>
      </c>
      <c r="N70" s="0" t="str">
        <f aca="false">IFERROR(MATCH(ROW()-1,$V$2:$V$1201,0),"")</f>
        <v/>
      </c>
      <c r="R70" s="0" t="str">
        <f aca="false">IF(E70="","",IFERROR(LEFT(E70,FIND("-",E70)-1),E70))</f>
        <v/>
      </c>
      <c r="S70" s="0" t="str">
        <f aca="false">IF(R70="","",IF(ISNUMBER(--MID(R70,1,1)),0,IF(ISNUMBER(--MID(R70,2,1)),1,IF(ISNUMBER(--MID(R70,3,1)),2,IF(ISNUMBER(--MID(R70,4,1)),3,MIN(LEN(R70),4))))))</f>
        <v/>
      </c>
      <c r="T70" s="0" t="str">
        <f aca="false">IF(E70="","",LEFT(R70,S70)&amp;REPT("0",4-S70)&amp;RIGHT("000"&amp;IFERROR(VALUE(MID(R70,S70+1,9)),0),3)&amp;RIGHT("0000"&amp;IFERROR(VALUE(MID(E70,FIND("-",E70)+1,9)),0),4))</f>
        <v/>
      </c>
      <c r="U70" s="0" t="str">
        <f aca="false">IF(I70=1,"K"&amp;RIGHT("00"&amp;A70,2)&amp;T70&amp;RIGHT("00000"&amp;ROW(),5),"")</f>
        <v/>
      </c>
      <c r="V70" s="0" t="str">
        <f aca="false">IF(U70="","",COUNTIFS($I$2:$I$1201,1,$U$2:$U$1201,"&lt;"&amp;U70)+1)</f>
        <v/>
      </c>
    </row>
    <row r="71" customFormat="false" ht="15" hidden="false" customHeight="false" outlineLevel="0" collapsed="false">
      <c r="A71" s="0" t="n">
        <v>2</v>
      </c>
      <c r="B71" s="0" t="n">
        <v>10</v>
      </c>
      <c r="C71" s="0" t="str">
        <f aca="false">TRIM(SUBSTITUTE(INDEX(LISTAS!$A$4:$T$63,B71,A71)&amp;"",CHAR(160)," "))</f>
        <v/>
      </c>
      <c r="D71" s="0" t="str">
        <f aca="false">IF(C71="","",TRIM(RIGHT(SUBSTITUTE(C71," ",REPT(" ",100)),100)))</f>
        <v/>
      </c>
      <c r="E71" s="0" t="str">
        <f aca="false">IF(D71="","",UPPER(SUBSTITUTE(SUBSTITUTE(D71,"(",""),")","")))</f>
        <v/>
      </c>
      <c r="F71" s="0" t="str">
        <f aca="false">IF(C71="","",LEFT(C71,FIND(" ",C71&amp;" ")-1))</f>
        <v/>
      </c>
      <c r="G71" s="0" t="n">
        <f aca="false">IFERROR(VALUE(SUBSTITUTE(LOWER(F71),"x","")),0)</f>
        <v>0</v>
      </c>
      <c r="H71" s="0" t="str">
        <f aca="false">IF(C71="","",TRIM(MID(C71,LEN(F71)+2,999)))</f>
        <v/>
      </c>
      <c r="I71" s="0" t="n">
        <f aca="false">IF(OR(C71="",LEFT(C71,2)="//"),0,IFERROR(IF(AND(G71&gt;0,G71=INT(G71),FIND("-",E71)&gt;1,NOT(EXACT(UPPER(LEFT(E71,1)),LOWER(LEFT(E71,1)))),ISNUMBER(VALUE(MID(E71,FIND("-",E71)+1,10)))),1,0),0))</f>
        <v>0</v>
      </c>
      <c r="J71" s="0" t="str">
        <f aca="false">IF(I71=1,TRIM(LEFT(H71,MAX(0,LEN(H71)-LEN(D71)))),"")</f>
        <v/>
      </c>
      <c r="K71" s="0" t="str">
        <f aca="false">INDEX($P$2:$P$21,A71)</f>
        <v>Deck 2</v>
      </c>
      <c r="L71" s="0" t="n">
        <f aca="false">IF(AND(C71&lt;&gt;"",LEFT(C71,2)&lt;&gt;"//",I71=0),1,0)</f>
        <v>0</v>
      </c>
      <c r="M71" s="0" t="str">
        <f aca="false">IF(I71=1,MAX(M$1:M70)+1,"")</f>
        <v/>
      </c>
      <c r="N71" s="0" t="str">
        <f aca="false">IFERROR(MATCH(ROW()-1,$V$2:$V$1201,0),"")</f>
        <v/>
      </c>
      <c r="R71" s="0" t="str">
        <f aca="false">IF(E71="","",IFERROR(LEFT(E71,FIND("-",E71)-1),E71))</f>
        <v/>
      </c>
      <c r="S71" s="0" t="str">
        <f aca="false">IF(R71="","",IF(ISNUMBER(--MID(R71,1,1)),0,IF(ISNUMBER(--MID(R71,2,1)),1,IF(ISNUMBER(--MID(R71,3,1)),2,IF(ISNUMBER(--MID(R71,4,1)),3,MIN(LEN(R71),4))))))</f>
        <v/>
      </c>
      <c r="T71" s="0" t="str">
        <f aca="false">IF(E71="","",LEFT(R71,S71)&amp;REPT("0",4-S71)&amp;RIGHT("000"&amp;IFERROR(VALUE(MID(R71,S71+1,9)),0),3)&amp;RIGHT("0000"&amp;IFERROR(VALUE(MID(E71,FIND("-",E71)+1,9)),0),4))</f>
        <v/>
      </c>
      <c r="U71" s="0" t="str">
        <f aca="false">IF(I71=1,"K"&amp;RIGHT("00"&amp;A71,2)&amp;T71&amp;RIGHT("00000"&amp;ROW(),5),"")</f>
        <v/>
      </c>
      <c r="V71" s="0" t="str">
        <f aca="false">IF(U71="","",COUNTIFS($I$2:$I$1201,1,$U$2:$U$1201,"&lt;"&amp;U71)+1)</f>
        <v/>
      </c>
    </row>
    <row r="72" customFormat="false" ht="15" hidden="false" customHeight="false" outlineLevel="0" collapsed="false">
      <c r="A72" s="0" t="n">
        <v>2</v>
      </c>
      <c r="B72" s="0" t="n">
        <v>11</v>
      </c>
      <c r="C72" s="0" t="str">
        <f aca="false">TRIM(SUBSTITUTE(INDEX(LISTAS!$A$4:$T$63,B72,A72)&amp;"",CHAR(160)," "))</f>
        <v/>
      </c>
      <c r="D72" s="0" t="str">
        <f aca="false">IF(C72="","",TRIM(RIGHT(SUBSTITUTE(C72," ",REPT(" ",100)),100)))</f>
        <v/>
      </c>
      <c r="E72" s="0" t="str">
        <f aca="false">IF(D72="","",UPPER(SUBSTITUTE(SUBSTITUTE(D72,"(",""),")","")))</f>
        <v/>
      </c>
      <c r="F72" s="0" t="str">
        <f aca="false">IF(C72="","",LEFT(C72,FIND(" ",C72&amp;" ")-1))</f>
        <v/>
      </c>
      <c r="G72" s="0" t="n">
        <f aca="false">IFERROR(VALUE(SUBSTITUTE(LOWER(F72),"x","")),0)</f>
        <v>0</v>
      </c>
      <c r="H72" s="0" t="str">
        <f aca="false">IF(C72="","",TRIM(MID(C72,LEN(F72)+2,999)))</f>
        <v/>
      </c>
      <c r="I72" s="0" t="n">
        <f aca="false">IF(OR(C72="",LEFT(C72,2)="//"),0,IFERROR(IF(AND(G72&gt;0,G72=INT(G72),FIND("-",E72)&gt;1,NOT(EXACT(UPPER(LEFT(E72,1)),LOWER(LEFT(E72,1)))),ISNUMBER(VALUE(MID(E72,FIND("-",E72)+1,10)))),1,0),0))</f>
        <v>0</v>
      </c>
      <c r="J72" s="0" t="str">
        <f aca="false">IF(I72=1,TRIM(LEFT(H72,MAX(0,LEN(H72)-LEN(D72)))),"")</f>
        <v/>
      </c>
      <c r="K72" s="0" t="str">
        <f aca="false">INDEX($P$2:$P$21,A72)</f>
        <v>Deck 2</v>
      </c>
      <c r="L72" s="0" t="n">
        <f aca="false">IF(AND(C72&lt;&gt;"",LEFT(C72,2)&lt;&gt;"//",I72=0),1,0)</f>
        <v>0</v>
      </c>
      <c r="M72" s="0" t="str">
        <f aca="false">IF(I72=1,MAX(M$1:M71)+1,"")</f>
        <v/>
      </c>
      <c r="N72" s="0" t="str">
        <f aca="false">IFERROR(MATCH(ROW()-1,$V$2:$V$1201,0),"")</f>
        <v/>
      </c>
      <c r="R72" s="0" t="str">
        <f aca="false">IF(E72="","",IFERROR(LEFT(E72,FIND("-",E72)-1),E72))</f>
        <v/>
      </c>
      <c r="S72" s="0" t="str">
        <f aca="false">IF(R72="","",IF(ISNUMBER(--MID(R72,1,1)),0,IF(ISNUMBER(--MID(R72,2,1)),1,IF(ISNUMBER(--MID(R72,3,1)),2,IF(ISNUMBER(--MID(R72,4,1)),3,MIN(LEN(R72),4))))))</f>
        <v/>
      </c>
      <c r="T72" s="0" t="str">
        <f aca="false">IF(E72="","",LEFT(R72,S72)&amp;REPT("0",4-S72)&amp;RIGHT("000"&amp;IFERROR(VALUE(MID(R72,S72+1,9)),0),3)&amp;RIGHT("0000"&amp;IFERROR(VALUE(MID(E72,FIND("-",E72)+1,9)),0),4))</f>
        <v/>
      </c>
      <c r="U72" s="0" t="str">
        <f aca="false">IF(I72=1,"K"&amp;RIGHT("00"&amp;A72,2)&amp;T72&amp;RIGHT("00000"&amp;ROW(),5),"")</f>
        <v/>
      </c>
      <c r="V72" s="0" t="str">
        <f aca="false">IF(U72="","",COUNTIFS($I$2:$I$1201,1,$U$2:$U$1201,"&lt;"&amp;U72)+1)</f>
        <v/>
      </c>
    </row>
    <row r="73" customFormat="false" ht="15" hidden="false" customHeight="false" outlineLevel="0" collapsed="false">
      <c r="A73" s="0" t="n">
        <v>2</v>
      </c>
      <c r="B73" s="0" t="n">
        <v>12</v>
      </c>
      <c r="C73" s="0" t="str">
        <f aca="false">TRIM(SUBSTITUTE(INDEX(LISTAS!$A$4:$T$63,B73,A73)&amp;"",CHAR(160)," "))</f>
        <v/>
      </c>
      <c r="D73" s="0" t="str">
        <f aca="false">IF(C73="","",TRIM(RIGHT(SUBSTITUTE(C73," ",REPT(" ",100)),100)))</f>
        <v/>
      </c>
      <c r="E73" s="0" t="str">
        <f aca="false">IF(D73="","",UPPER(SUBSTITUTE(SUBSTITUTE(D73,"(",""),")","")))</f>
        <v/>
      </c>
      <c r="F73" s="0" t="str">
        <f aca="false">IF(C73="","",LEFT(C73,FIND(" ",C73&amp;" ")-1))</f>
        <v/>
      </c>
      <c r="G73" s="0" t="n">
        <f aca="false">IFERROR(VALUE(SUBSTITUTE(LOWER(F73),"x","")),0)</f>
        <v>0</v>
      </c>
      <c r="H73" s="0" t="str">
        <f aca="false">IF(C73="","",TRIM(MID(C73,LEN(F73)+2,999)))</f>
        <v/>
      </c>
      <c r="I73" s="0" t="n">
        <f aca="false">IF(OR(C73="",LEFT(C73,2)="//"),0,IFERROR(IF(AND(G73&gt;0,G73=INT(G73),FIND("-",E73)&gt;1,NOT(EXACT(UPPER(LEFT(E73,1)),LOWER(LEFT(E73,1)))),ISNUMBER(VALUE(MID(E73,FIND("-",E73)+1,10)))),1,0),0))</f>
        <v>0</v>
      </c>
      <c r="J73" s="0" t="str">
        <f aca="false">IF(I73=1,TRIM(LEFT(H73,MAX(0,LEN(H73)-LEN(D73)))),"")</f>
        <v/>
      </c>
      <c r="K73" s="0" t="str">
        <f aca="false">INDEX($P$2:$P$21,A73)</f>
        <v>Deck 2</v>
      </c>
      <c r="L73" s="0" t="n">
        <f aca="false">IF(AND(C73&lt;&gt;"",LEFT(C73,2)&lt;&gt;"//",I73=0),1,0)</f>
        <v>0</v>
      </c>
      <c r="M73" s="0" t="str">
        <f aca="false">IF(I73=1,MAX(M$1:M72)+1,"")</f>
        <v/>
      </c>
      <c r="N73" s="0" t="str">
        <f aca="false">IFERROR(MATCH(ROW()-1,$V$2:$V$1201,0),"")</f>
        <v/>
      </c>
      <c r="R73" s="0" t="str">
        <f aca="false">IF(E73="","",IFERROR(LEFT(E73,FIND("-",E73)-1),E73))</f>
        <v/>
      </c>
      <c r="S73" s="0" t="str">
        <f aca="false">IF(R73="","",IF(ISNUMBER(--MID(R73,1,1)),0,IF(ISNUMBER(--MID(R73,2,1)),1,IF(ISNUMBER(--MID(R73,3,1)),2,IF(ISNUMBER(--MID(R73,4,1)),3,MIN(LEN(R73),4))))))</f>
        <v/>
      </c>
      <c r="T73" s="0" t="str">
        <f aca="false">IF(E73="","",LEFT(R73,S73)&amp;REPT("0",4-S73)&amp;RIGHT("000"&amp;IFERROR(VALUE(MID(R73,S73+1,9)),0),3)&amp;RIGHT("0000"&amp;IFERROR(VALUE(MID(E73,FIND("-",E73)+1,9)),0),4))</f>
        <v/>
      </c>
      <c r="U73" s="0" t="str">
        <f aca="false">IF(I73=1,"K"&amp;RIGHT("00"&amp;A73,2)&amp;T73&amp;RIGHT("00000"&amp;ROW(),5),"")</f>
        <v/>
      </c>
      <c r="V73" s="0" t="str">
        <f aca="false">IF(U73="","",COUNTIFS($I$2:$I$1201,1,$U$2:$U$1201,"&lt;"&amp;U73)+1)</f>
        <v/>
      </c>
    </row>
    <row r="74" customFormat="false" ht="15" hidden="false" customHeight="false" outlineLevel="0" collapsed="false">
      <c r="A74" s="0" t="n">
        <v>2</v>
      </c>
      <c r="B74" s="0" t="n">
        <v>13</v>
      </c>
      <c r="C74" s="0" t="str">
        <f aca="false">TRIM(SUBSTITUTE(INDEX(LISTAS!$A$4:$T$63,B74,A74)&amp;"",CHAR(160)," "))</f>
        <v/>
      </c>
      <c r="D74" s="0" t="str">
        <f aca="false">IF(C74="","",TRIM(RIGHT(SUBSTITUTE(C74," ",REPT(" ",100)),100)))</f>
        <v/>
      </c>
      <c r="E74" s="0" t="str">
        <f aca="false">IF(D74="","",UPPER(SUBSTITUTE(SUBSTITUTE(D74,"(",""),")","")))</f>
        <v/>
      </c>
      <c r="F74" s="0" t="str">
        <f aca="false">IF(C74="","",LEFT(C74,FIND(" ",C74&amp;" ")-1))</f>
        <v/>
      </c>
      <c r="G74" s="0" t="n">
        <f aca="false">IFERROR(VALUE(SUBSTITUTE(LOWER(F74),"x","")),0)</f>
        <v>0</v>
      </c>
      <c r="H74" s="0" t="str">
        <f aca="false">IF(C74="","",TRIM(MID(C74,LEN(F74)+2,999)))</f>
        <v/>
      </c>
      <c r="I74" s="0" t="n">
        <f aca="false">IF(OR(C74="",LEFT(C74,2)="//"),0,IFERROR(IF(AND(G74&gt;0,G74=INT(G74),FIND("-",E74)&gt;1,NOT(EXACT(UPPER(LEFT(E74,1)),LOWER(LEFT(E74,1)))),ISNUMBER(VALUE(MID(E74,FIND("-",E74)+1,10)))),1,0),0))</f>
        <v>0</v>
      </c>
      <c r="J74" s="0" t="str">
        <f aca="false">IF(I74=1,TRIM(LEFT(H74,MAX(0,LEN(H74)-LEN(D74)))),"")</f>
        <v/>
      </c>
      <c r="K74" s="0" t="str">
        <f aca="false">INDEX($P$2:$P$21,A74)</f>
        <v>Deck 2</v>
      </c>
      <c r="L74" s="0" t="n">
        <f aca="false">IF(AND(C74&lt;&gt;"",LEFT(C74,2)&lt;&gt;"//",I74=0),1,0)</f>
        <v>0</v>
      </c>
      <c r="M74" s="0" t="str">
        <f aca="false">IF(I74=1,MAX(M$1:M73)+1,"")</f>
        <v/>
      </c>
      <c r="N74" s="0" t="str">
        <f aca="false">IFERROR(MATCH(ROW()-1,$V$2:$V$1201,0),"")</f>
        <v/>
      </c>
      <c r="R74" s="0" t="str">
        <f aca="false">IF(E74="","",IFERROR(LEFT(E74,FIND("-",E74)-1),E74))</f>
        <v/>
      </c>
      <c r="S74" s="0" t="str">
        <f aca="false">IF(R74="","",IF(ISNUMBER(--MID(R74,1,1)),0,IF(ISNUMBER(--MID(R74,2,1)),1,IF(ISNUMBER(--MID(R74,3,1)),2,IF(ISNUMBER(--MID(R74,4,1)),3,MIN(LEN(R74),4))))))</f>
        <v/>
      </c>
      <c r="T74" s="0" t="str">
        <f aca="false">IF(E74="","",LEFT(R74,S74)&amp;REPT("0",4-S74)&amp;RIGHT("000"&amp;IFERROR(VALUE(MID(R74,S74+1,9)),0),3)&amp;RIGHT("0000"&amp;IFERROR(VALUE(MID(E74,FIND("-",E74)+1,9)),0),4))</f>
        <v/>
      </c>
      <c r="U74" s="0" t="str">
        <f aca="false">IF(I74=1,"K"&amp;RIGHT("00"&amp;A74,2)&amp;T74&amp;RIGHT("00000"&amp;ROW(),5),"")</f>
        <v/>
      </c>
      <c r="V74" s="0" t="str">
        <f aca="false">IF(U74="","",COUNTIFS($I$2:$I$1201,1,$U$2:$U$1201,"&lt;"&amp;U74)+1)</f>
        <v/>
      </c>
    </row>
    <row r="75" customFormat="false" ht="15" hidden="false" customHeight="false" outlineLevel="0" collapsed="false">
      <c r="A75" s="0" t="n">
        <v>2</v>
      </c>
      <c r="B75" s="0" t="n">
        <v>14</v>
      </c>
      <c r="C75" s="0" t="str">
        <f aca="false">TRIM(SUBSTITUTE(INDEX(LISTAS!$A$4:$T$63,B75,A75)&amp;"",CHAR(160)," "))</f>
        <v/>
      </c>
      <c r="D75" s="0" t="str">
        <f aca="false">IF(C75="","",TRIM(RIGHT(SUBSTITUTE(C75," ",REPT(" ",100)),100)))</f>
        <v/>
      </c>
      <c r="E75" s="0" t="str">
        <f aca="false">IF(D75="","",UPPER(SUBSTITUTE(SUBSTITUTE(D75,"(",""),")","")))</f>
        <v/>
      </c>
      <c r="F75" s="0" t="str">
        <f aca="false">IF(C75="","",LEFT(C75,FIND(" ",C75&amp;" ")-1))</f>
        <v/>
      </c>
      <c r="G75" s="0" t="n">
        <f aca="false">IFERROR(VALUE(SUBSTITUTE(LOWER(F75),"x","")),0)</f>
        <v>0</v>
      </c>
      <c r="H75" s="0" t="str">
        <f aca="false">IF(C75="","",TRIM(MID(C75,LEN(F75)+2,999)))</f>
        <v/>
      </c>
      <c r="I75" s="0" t="n">
        <f aca="false">IF(OR(C75="",LEFT(C75,2)="//"),0,IFERROR(IF(AND(G75&gt;0,G75=INT(G75),FIND("-",E75)&gt;1,NOT(EXACT(UPPER(LEFT(E75,1)),LOWER(LEFT(E75,1)))),ISNUMBER(VALUE(MID(E75,FIND("-",E75)+1,10)))),1,0),0))</f>
        <v>0</v>
      </c>
      <c r="J75" s="0" t="str">
        <f aca="false">IF(I75=1,TRIM(LEFT(H75,MAX(0,LEN(H75)-LEN(D75)))),"")</f>
        <v/>
      </c>
      <c r="K75" s="0" t="str">
        <f aca="false">INDEX($P$2:$P$21,A75)</f>
        <v>Deck 2</v>
      </c>
      <c r="L75" s="0" t="n">
        <f aca="false">IF(AND(C75&lt;&gt;"",LEFT(C75,2)&lt;&gt;"//",I75=0),1,0)</f>
        <v>0</v>
      </c>
      <c r="M75" s="0" t="str">
        <f aca="false">IF(I75=1,MAX(M$1:M74)+1,"")</f>
        <v/>
      </c>
      <c r="N75" s="0" t="str">
        <f aca="false">IFERROR(MATCH(ROW()-1,$V$2:$V$1201,0),"")</f>
        <v/>
      </c>
      <c r="R75" s="0" t="str">
        <f aca="false">IF(E75="","",IFERROR(LEFT(E75,FIND("-",E75)-1),E75))</f>
        <v/>
      </c>
      <c r="S75" s="0" t="str">
        <f aca="false">IF(R75="","",IF(ISNUMBER(--MID(R75,1,1)),0,IF(ISNUMBER(--MID(R75,2,1)),1,IF(ISNUMBER(--MID(R75,3,1)),2,IF(ISNUMBER(--MID(R75,4,1)),3,MIN(LEN(R75),4))))))</f>
        <v/>
      </c>
      <c r="T75" s="0" t="str">
        <f aca="false">IF(E75="","",LEFT(R75,S75)&amp;REPT("0",4-S75)&amp;RIGHT("000"&amp;IFERROR(VALUE(MID(R75,S75+1,9)),0),3)&amp;RIGHT("0000"&amp;IFERROR(VALUE(MID(E75,FIND("-",E75)+1,9)),0),4))</f>
        <v/>
      </c>
      <c r="U75" s="0" t="str">
        <f aca="false">IF(I75=1,"K"&amp;RIGHT("00"&amp;A75,2)&amp;T75&amp;RIGHT("00000"&amp;ROW(),5),"")</f>
        <v/>
      </c>
      <c r="V75" s="0" t="str">
        <f aca="false">IF(U75="","",COUNTIFS($I$2:$I$1201,1,$U$2:$U$1201,"&lt;"&amp;U75)+1)</f>
        <v/>
      </c>
    </row>
    <row r="76" customFormat="false" ht="15" hidden="false" customHeight="false" outlineLevel="0" collapsed="false">
      <c r="A76" s="0" t="n">
        <v>2</v>
      </c>
      <c r="B76" s="0" t="n">
        <v>15</v>
      </c>
      <c r="C76" s="0" t="str">
        <f aca="false">TRIM(SUBSTITUTE(INDEX(LISTAS!$A$4:$T$63,B76,A76)&amp;"",CHAR(160)," "))</f>
        <v/>
      </c>
      <c r="D76" s="0" t="str">
        <f aca="false">IF(C76="","",TRIM(RIGHT(SUBSTITUTE(C76," ",REPT(" ",100)),100)))</f>
        <v/>
      </c>
      <c r="E76" s="0" t="str">
        <f aca="false">IF(D76="","",UPPER(SUBSTITUTE(SUBSTITUTE(D76,"(",""),")","")))</f>
        <v/>
      </c>
      <c r="F76" s="0" t="str">
        <f aca="false">IF(C76="","",LEFT(C76,FIND(" ",C76&amp;" ")-1))</f>
        <v/>
      </c>
      <c r="G76" s="0" t="n">
        <f aca="false">IFERROR(VALUE(SUBSTITUTE(LOWER(F76),"x","")),0)</f>
        <v>0</v>
      </c>
      <c r="H76" s="0" t="str">
        <f aca="false">IF(C76="","",TRIM(MID(C76,LEN(F76)+2,999)))</f>
        <v/>
      </c>
      <c r="I76" s="0" t="n">
        <f aca="false">IF(OR(C76="",LEFT(C76,2)="//"),0,IFERROR(IF(AND(G76&gt;0,G76=INT(G76),FIND("-",E76)&gt;1,NOT(EXACT(UPPER(LEFT(E76,1)),LOWER(LEFT(E76,1)))),ISNUMBER(VALUE(MID(E76,FIND("-",E76)+1,10)))),1,0),0))</f>
        <v>0</v>
      </c>
      <c r="J76" s="0" t="str">
        <f aca="false">IF(I76=1,TRIM(LEFT(H76,MAX(0,LEN(H76)-LEN(D76)))),"")</f>
        <v/>
      </c>
      <c r="K76" s="0" t="str">
        <f aca="false">INDEX($P$2:$P$21,A76)</f>
        <v>Deck 2</v>
      </c>
      <c r="L76" s="0" t="n">
        <f aca="false">IF(AND(C76&lt;&gt;"",LEFT(C76,2)&lt;&gt;"//",I76=0),1,0)</f>
        <v>0</v>
      </c>
      <c r="M76" s="0" t="str">
        <f aca="false">IF(I76=1,MAX(M$1:M75)+1,"")</f>
        <v/>
      </c>
      <c r="N76" s="0" t="str">
        <f aca="false">IFERROR(MATCH(ROW()-1,$V$2:$V$1201,0),"")</f>
        <v/>
      </c>
      <c r="R76" s="0" t="str">
        <f aca="false">IF(E76="","",IFERROR(LEFT(E76,FIND("-",E76)-1),E76))</f>
        <v/>
      </c>
      <c r="S76" s="0" t="str">
        <f aca="false">IF(R76="","",IF(ISNUMBER(--MID(R76,1,1)),0,IF(ISNUMBER(--MID(R76,2,1)),1,IF(ISNUMBER(--MID(R76,3,1)),2,IF(ISNUMBER(--MID(R76,4,1)),3,MIN(LEN(R76),4))))))</f>
        <v/>
      </c>
      <c r="T76" s="0" t="str">
        <f aca="false">IF(E76="","",LEFT(R76,S76)&amp;REPT("0",4-S76)&amp;RIGHT("000"&amp;IFERROR(VALUE(MID(R76,S76+1,9)),0),3)&amp;RIGHT("0000"&amp;IFERROR(VALUE(MID(E76,FIND("-",E76)+1,9)),0),4))</f>
        <v/>
      </c>
      <c r="U76" s="0" t="str">
        <f aca="false">IF(I76=1,"K"&amp;RIGHT("00"&amp;A76,2)&amp;T76&amp;RIGHT("00000"&amp;ROW(),5),"")</f>
        <v/>
      </c>
      <c r="V76" s="0" t="str">
        <f aca="false">IF(U76="","",COUNTIFS($I$2:$I$1201,1,$U$2:$U$1201,"&lt;"&amp;U76)+1)</f>
        <v/>
      </c>
    </row>
    <row r="77" customFormat="false" ht="15" hidden="false" customHeight="false" outlineLevel="0" collapsed="false">
      <c r="A77" s="0" t="n">
        <v>2</v>
      </c>
      <c r="B77" s="0" t="n">
        <v>16</v>
      </c>
      <c r="C77" s="0" t="str">
        <f aca="false">TRIM(SUBSTITUTE(INDEX(LISTAS!$A$4:$T$63,B77,A77)&amp;"",CHAR(160)," "))</f>
        <v/>
      </c>
      <c r="D77" s="0" t="str">
        <f aca="false">IF(C77="","",TRIM(RIGHT(SUBSTITUTE(C77," ",REPT(" ",100)),100)))</f>
        <v/>
      </c>
      <c r="E77" s="0" t="str">
        <f aca="false">IF(D77="","",UPPER(SUBSTITUTE(SUBSTITUTE(D77,"(",""),")","")))</f>
        <v/>
      </c>
      <c r="F77" s="0" t="str">
        <f aca="false">IF(C77="","",LEFT(C77,FIND(" ",C77&amp;" ")-1))</f>
        <v/>
      </c>
      <c r="G77" s="0" t="n">
        <f aca="false">IFERROR(VALUE(SUBSTITUTE(LOWER(F77),"x","")),0)</f>
        <v>0</v>
      </c>
      <c r="H77" s="0" t="str">
        <f aca="false">IF(C77="","",TRIM(MID(C77,LEN(F77)+2,999)))</f>
        <v/>
      </c>
      <c r="I77" s="0" t="n">
        <f aca="false">IF(OR(C77="",LEFT(C77,2)="//"),0,IFERROR(IF(AND(G77&gt;0,G77=INT(G77),FIND("-",E77)&gt;1,NOT(EXACT(UPPER(LEFT(E77,1)),LOWER(LEFT(E77,1)))),ISNUMBER(VALUE(MID(E77,FIND("-",E77)+1,10)))),1,0),0))</f>
        <v>0</v>
      </c>
      <c r="J77" s="0" t="str">
        <f aca="false">IF(I77=1,TRIM(LEFT(H77,MAX(0,LEN(H77)-LEN(D77)))),"")</f>
        <v/>
      </c>
      <c r="K77" s="0" t="str">
        <f aca="false">INDEX($P$2:$P$21,A77)</f>
        <v>Deck 2</v>
      </c>
      <c r="L77" s="0" t="n">
        <f aca="false">IF(AND(C77&lt;&gt;"",LEFT(C77,2)&lt;&gt;"//",I77=0),1,0)</f>
        <v>0</v>
      </c>
      <c r="M77" s="0" t="str">
        <f aca="false">IF(I77=1,MAX(M$1:M76)+1,"")</f>
        <v/>
      </c>
      <c r="N77" s="0" t="str">
        <f aca="false">IFERROR(MATCH(ROW()-1,$V$2:$V$1201,0),"")</f>
        <v/>
      </c>
      <c r="R77" s="0" t="str">
        <f aca="false">IF(E77="","",IFERROR(LEFT(E77,FIND("-",E77)-1),E77))</f>
        <v/>
      </c>
      <c r="S77" s="0" t="str">
        <f aca="false">IF(R77="","",IF(ISNUMBER(--MID(R77,1,1)),0,IF(ISNUMBER(--MID(R77,2,1)),1,IF(ISNUMBER(--MID(R77,3,1)),2,IF(ISNUMBER(--MID(R77,4,1)),3,MIN(LEN(R77),4))))))</f>
        <v/>
      </c>
      <c r="T77" s="0" t="str">
        <f aca="false">IF(E77="","",LEFT(R77,S77)&amp;REPT("0",4-S77)&amp;RIGHT("000"&amp;IFERROR(VALUE(MID(R77,S77+1,9)),0),3)&amp;RIGHT("0000"&amp;IFERROR(VALUE(MID(E77,FIND("-",E77)+1,9)),0),4))</f>
        <v/>
      </c>
      <c r="U77" s="0" t="str">
        <f aca="false">IF(I77=1,"K"&amp;RIGHT("00"&amp;A77,2)&amp;T77&amp;RIGHT("00000"&amp;ROW(),5),"")</f>
        <v/>
      </c>
      <c r="V77" s="0" t="str">
        <f aca="false">IF(U77="","",COUNTIFS($I$2:$I$1201,1,$U$2:$U$1201,"&lt;"&amp;U77)+1)</f>
        <v/>
      </c>
    </row>
    <row r="78" customFormat="false" ht="15" hidden="false" customHeight="false" outlineLevel="0" collapsed="false">
      <c r="A78" s="0" t="n">
        <v>2</v>
      </c>
      <c r="B78" s="0" t="n">
        <v>17</v>
      </c>
      <c r="C78" s="0" t="str">
        <f aca="false">TRIM(SUBSTITUTE(INDEX(LISTAS!$A$4:$T$63,B78,A78)&amp;"",CHAR(160)," "))</f>
        <v/>
      </c>
      <c r="D78" s="0" t="str">
        <f aca="false">IF(C78="","",TRIM(RIGHT(SUBSTITUTE(C78," ",REPT(" ",100)),100)))</f>
        <v/>
      </c>
      <c r="E78" s="0" t="str">
        <f aca="false">IF(D78="","",UPPER(SUBSTITUTE(SUBSTITUTE(D78,"(",""),")","")))</f>
        <v/>
      </c>
      <c r="F78" s="0" t="str">
        <f aca="false">IF(C78="","",LEFT(C78,FIND(" ",C78&amp;" ")-1))</f>
        <v/>
      </c>
      <c r="G78" s="0" t="n">
        <f aca="false">IFERROR(VALUE(SUBSTITUTE(LOWER(F78),"x","")),0)</f>
        <v>0</v>
      </c>
      <c r="H78" s="0" t="str">
        <f aca="false">IF(C78="","",TRIM(MID(C78,LEN(F78)+2,999)))</f>
        <v/>
      </c>
      <c r="I78" s="0" t="n">
        <f aca="false">IF(OR(C78="",LEFT(C78,2)="//"),0,IFERROR(IF(AND(G78&gt;0,G78=INT(G78),FIND("-",E78)&gt;1,NOT(EXACT(UPPER(LEFT(E78,1)),LOWER(LEFT(E78,1)))),ISNUMBER(VALUE(MID(E78,FIND("-",E78)+1,10)))),1,0),0))</f>
        <v>0</v>
      </c>
      <c r="J78" s="0" t="str">
        <f aca="false">IF(I78=1,TRIM(LEFT(H78,MAX(0,LEN(H78)-LEN(D78)))),"")</f>
        <v/>
      </c>
      <c r="K78" s="0" t="str">
        <f aca="false">INDEX($P$2:$P$21,A78)</f>
        <v>Deck 2</v>
      </c>
      <c r="L78" s="0" t="n">
        <f aca="false">IF(AND(C78&lt;&gt;"",LEFT(C78,2)&lt;&gt;"//",I78=0),1,0)</f>
        <v>0</v>
      </c>
      <c r="M78" s="0" t="str">
        <f aca="false">IF(I78=1,MAX(M$1:M77)+1,"")</f>
        <v/>
      </c>
      <c r="N78" s="0" t="str">
        <f aca="false">IFERROR(MATCH(ROW()-1,$V$2:$V$1201,0),"")</f>
        <v/>
      </c>
      <c r="R78" s="0" t="str">
        <f aca="false">IF(E78="","",IFERROR(LEFT(E78,FIND("-",E78)-1),E78))</f>
        <v/>
      </c>
      <c r="S78" s="0" t="str">
        <f aca="false">IF(R78="","",IF(ISNUMBER(--MID(R78,1,1)),0,IF(ISNUMBER(--MID(R78,2,1)),1,IF(ISNUMBER(--MID(R78,3,1)),2,IF(ISNUMBER(--MID(R78,4,1)),3,MIN(LEN(R78),4))))))</f>
        <v/>
      </c>
      <c r="T78" s="0" t="str">
        <f aca="false">IF(E78="","",LEFT(R78,S78)&amp;REPT("0",4-S78)&amp;RIGHT("000"&amp;IFERROR(VALUE(MID(R78,S78+1,9)),0),3)&amp;RIGHT("0000"&amp;IFERROR(VALUE(MID(E78,FIND("-",E78)+1,9)),0),4))</f>
        <v/>
      </c>
      <c r="U78" s="0" t="str">
        <f aca="false">IF(I78=1,"K"&amp;RIGHT("00"&amp;A78,2)&amp;T78&amp;RIGHT("00000"&amp;ROW(),5),"")</f>
        <v/>
      </c>
      <c r="V78" s="0" t="str">
        <f aca="false">IF(U78="","",COUNTIFS($I$2:$I$1201,1,$U$2:$U$1201,"&lt;"&amp;U78)+1)</f>
        <v/>
      </c>
    </row>
    <row r="79" customFormat="false" ht="15" hidden="false" customHeight="false" outlineLevel="0" collapsed="false">
      <c r="A79" s="0" t="n">
        <v>2</v>
      </c>
      <c r="B79" s="0" t="n">
        <v>18</v>
      </c>
      <c r="C79" s="0" t="str">
        <f aca="false">TRIM(SUBSTITUTE(INDEX(LISTAS!$A$4:$T$63,B79,A79)&amp;"",CHAR(160)," "))</f>
        <v/>
      </c>
      <c r="D79" s="0" t="str">
        <f aca="false">IF(C79="","",TRIM(RIGHT(SUBSTITUTE(C79," ",REPT(" ",100)),100)))</f>
        <v/>
      </c>
      <c r="E79" s="0" t="str">
        <f aca="false">IF(D79="","",UPPER(SUBSTITUTE(SUBSTITUTE(D79,"(",""),")","")))</f>
        <v/>
      </c>
      <c r="F79" s="0" t="str">
        <f aca="false">IF(C79="","",LEFT(C79,FIND(" ",C79&amp;" ")-1))</f>
        <v/>
      </c>
      <c r="G79" s="0" t="n">
        <f aca="false">IFERROR(VALUE(SUBSTITUTE(LOWER(F79),"x","")),0)</f>
        <v>0</v>
      </c>
      <c r="H79" s="0" t="str">
        <f aca="false">IF(C79="","",TRIM(MID(C79,LEN(F79)+2,999)))</f>
        <v/>
      </c>
      <c r="I79" s="0" t="n">
        <f aca="false">IF(OR(C79="",LEFT(C79,2)="//"),0,IFERROR(IF(AND(G79&gt;0,G79=INT(G79),FIND("-",E79)&gt;1,NOT(EXACT(UPPER(LEFT(E79,1)),LOWER(LEFT(E79,1)))),ISNUMBER(VALUE(MID(E79,FIND("-",E79)+1,10)))),1,0),0))</f>
        <v>0</v>
      </c>
      <c r="J79" s="0" t="str">
        <f aca="false">IF(I79=1,TRIM(LEFT(H79,MAX(0,LEN(H79)-LEN(D79)))),"")</f>
        <v/>
      </c>
      <c r="K79" s="0" t="str">
        <f aca="false">INDEX($P$2:$P$21,A79)</f>
        <v>Deck 2</v>
      </c>
      <c r="L79" s="0" t="n">
        <f aca="false">IF(AND(C79&lt;&gt;"",LEFT(C79,2)&lt;&gt;"//",I79=0),1,0)</f>
        <v>0</v>
      </c>
      <c r="M79" s="0" t="str">
        <f aca="false">IF(I79=1,MAX(M$1:M78)+1,"")</f>
        <v/>
      </c>
      <c r="N79" s="0" t="str">
        <f aca="false">IFERROR(MATCH(ROW()-1,$V$2:$V$1201,0),"")</f>
        <v/>
      </c>
      <c r="R79" s="0" t="str">
        <f aca="false">IF(E79="","",IFERROR(LEFT(E79,FIND("-",E79)-1),E79))</f>
        <v/>
      </c>
      <c r="S79" s="0" t="str">
        <f aca="false">IF(R79="","",IF(ISNUMBER(--MID(R79,1,1)),0,IF(ISNUMBER(--MID(R79,2,1)),1,IF(ISNUMBER(--MID(R79,3,1)),2,IF(ISNUMBER(--MID(R79,4,1)),3,MIN(LEN(R79),4))))))</f>
        <v/>
      </c>
      <c r="T79" s="0" t="str">
        <f aca="false">IF(E79="","",LEFT(R79,S79)&amp;REPT("0",4-S79)&amp;RIGHT("000"&amp;IFERROR(VALUE(MID(R79,S79+1,9)),0),3)&amp;RIGHT("0000"&amp;IFERROR(VALUE(MID(E79,FIND("-",E79)+1,9)),0),4))</f>
        <v/>
      </c>
      <c r="U79" s="0" t="str">
        <f aca="false">IF(I79=1,"K"&amp;RIGHT("00"&amp;A79,2)&amp;T79&amp;RIGHT("00000"&amp;ROW(),5),"")</f>
        <v/>
      </c>
      <c r="V79" s="0" t="str">
        <f aca="false">IF(U79="","",COUNTIFS($I$2:$I$1201,1,$U$2:$U$1201,"&lt;"&amp;U79)+1)</f>
        <v/>
      </c>
    </row>
    <row r="80" customFormat="false" ht="15" hidden="false" customHeight="false" outlineLevel="0" collapsed="false">
      <c r="A80" s="0" t="n">
        <v>2</v>
      </c>
      <c r="B80" s="0" t="n">
        <v>19</v>
      </c>
      <c r="C80" s="0" t="str">
        <f aca="false">TRIM(SUBSTITUTE(INDEX(LISTAS!$A$4:$T$63,B80,A80)&amp;"",CHAR(160)," "))</f>
        <v/>
      </c>
      <c r="D80" s="0" t="str">
        <f aca="false">IF(C80="","",TRIM(RIGHT(SUBSTITUTE(C80," ",REPT(" ",100)),100)))</f>
        <v/>
      </c>
      <c r="E80" s="0" t="str">
        <f aca="false">IF(D80="","",UPPER(SUBSTITUTE(SUBSTITUTE(D80,"(",""),")","")))</f>
        <v/>
      </c>
      <c r="F80" s="0" t="str">
        <f aca="false">IF(C80="","",LEFT(C80,FIND(" ",C80&amp;" ")-1))</f>
        <v/>
      </c>
      <c r="G80" s="0" t="n">
        <f aca="false">IFERROR(VALUE(SUBSTITUTE(LOWER(F80),"x","")),0)</f>
        <v>0</v>
      </c>
      <c r="H80" s="0" t="str">
        <f aca="false">IF(C80="","",TRIM(MID(C80,LEN(F80)+2,999)))</f>
        <v/>
      </c>
      <c r="I80" s="0" t="n">
        <f aca="false">IF(OR(C80="",LEFT(C80,2)="//"),0,IFERROR(IF(AND(G80&gt;0,G80=INT(G80),FIND("-",E80)&gt;1,NOT(EXACT(UPPER(LEFT(E80,1)),LOWER(LEFT(E80,1)))),ISNUMBER(VALUE(MID(E80,FIND("-",E80)+1,10)))),1,0),0))</f>
        <v>0</v>
      </c>
      <c r="J80" s="0" t="str">
        <f aca="false">IF(I80=1,TRIM(LEFT(H80,MAX(0,LEN(H80)-LEN(D80)))),"")</f>
        <v/>
      </c>
      <c r="K80" s="0" t="str">
        <f aca="false">INDEX($P$2:$P$21,A80)</f>
        <v>Deck 2</v>
      </c>
      <c r="L80" s="0" t="n">
        <f aca="false">IF(AND(C80&lt;&gt;"",LEFT(C80,2)&lt;&gt;"//",I80=0),1,0)</f>
        <v>0</v>
      </c>
      <c r="M80" s="0" t="str">
        <f aca="false">IF(I80=1,MAX(M$1:M79)+1,"")</f>
        <v/>
      </c>
      <c r="N80" s="0" t="str">
        <f aca="false">IFERROR(MATCH(ROW()-1,$V$2:$V$1201,0),"")</f>
        <v/>
      </c>
      <c r="R80" s="0" t="str">
        <f aca="false">IF(E80="","",IFERROR(LEFT(E80,FIND("-",E80)-1),E80))</f>
        <v/>
      </c>
      <c r="S80" s="0" t="str">
        <f aca="false">IF(R80="","",IF(ISNUMBER(--MID(R80,1,1)),0,IF(ISNUMBER(--MID(R80,2,1)),1,IF(ISNUMBER(--MID(R80,3,1)),2,IF(ISNUMBER(--MID(R80,4,1)),3,MIN(LEN(R80),4))))))</f>
        <v/>
      </c>
      <c r="T80" s="0" t="str">
        <f aca="false">IF(E80="","",LEFT(R80,S80)&amp;REPT("0",4-S80)&amp;RIGHT("000"&amp;IFERROR(VALUE(MID(R80,S80+1,9)),0),3)&amp;RIGHT("0000"&amp;IFERROR(VALUE(MID(E80,FIND("-",E80)+1,9)),0),4))</f>
        <v/>
      </c>
      <c r="U80" s="0" t="str">
        <f aca="false">IF(I80=1,"K"&amp;RIGHT("00"&amp;A80,2)&amp;T80&amp;RIGHT("00000"&amp;ROW(),5),"")</f>
        <v/>
      </c>
      <c r="V80" s="0" t="str">
        <f aca="false">IF(U80="","",COUNTIFS($I$2:$I$1201,1,$U$2:$U$1201,"&lt;"&amp;U80)+1)</f>
        <v/>
      </c>
    </row>
    <row r="81" customFormat="false" ht="15" hidden="false" customHeight="false" outlineLevel="0" collapsed="false">
      <c r="A81" s="0" t="n">
        <v>2</v>
      </c>
      <c r="B81" s="0" t="n">
        <v>20</v>
      </c>
      <c r="C81" s="0" t="str">
        <f aca="false">TRIM(SUBSTITUTE(INDEX(LISTAS!$A$4:$T$63,B81,A81)&amp;"",CHAR(160)," "))</f>
        <v/>
      </c>
      <c r="D81" s="0" t="str">
        <f aca="false">IF(C81="","",TRIM(RIGHT(SUBSTITUTE(C81," ",REPT(" ",100)),100)))</f>
        <v/>
      </c>
      <c r="E81" s="0" t="str">
        <f aca="false">IF(D81="","",UPPER(SUBSTITUTE(SUBSTITUTE(D81,"(",""),")","")))</f>
        <v/>
      </c>
      <c r="F81" s="0" t="str">
        <f aca="false">IF(C81="","",LEFT(C81,FIND(" ",C81&amp;" ")-1))</f>
        <v/>
      </c>
      <c r="G81" s="0" t="n">
        <f aca="false">IFERROR(VALUE(SUBSTITUTE(LOWER(F81),"x","")),0)</f>
        <v>0</v>
      </c>
      <c r="H81" s="0" t="str">
        <f aca="false">IF(C81="","",TRIM(MID(C81,LEN(F81)+2,999)))</f>
        <v/>
      </c>
      <c r="I81" s="0" t="n">
        <f aca="false">IF(OR(C81="",LEFT(C81,2)="//"),0,IFERROR(IF(AND(G81&gt;0,G81=INT(G81),FIND("-",E81)&gt;1,NOT(EXACT(UPPER(LEFT(E81,1)),LOWER(LEFT(E81,1)))),ISNUMBER(VALUE(MID(E81,FIND("-",E81)+1,10)))),1,0),0))</f>
        <v>0</v>
      </c>
      <c r="J81" s="0" t="str">
        <f aca="false">IF(I81=1,TRIM(LEFT(H81,MAX(0,LEN(H81)-LEN(D81)))),"")</f>
        <v/>
      </c>
      <c r="K81" s="0" t="str">
        <f aca="false">INDEX($P$2:$P$21,A81)</f>
        <v>Deck 2</v>
      </c>
      <c r="L81" s="0" t="n">
        <f aca="false">IF(AND(C81&lt;&gt;"",LEFT(C81,2)&lt;&gt;"//",I81=0),1,0)</f>
        <v>0</v>
      </c>
      <c r="M81" s="0" t="str">
        <f aca="false">IF(I81=1,MAX(M$1:M80)+1,"")</f>
        <v/>
      </c>
      <c r="N81" s="0" t="str">
        <f aca="false">IFERROR(MATCH(ROW()-1,$V$2:$V$1201,0),"")</f>
        <v/>
      </c>
      <c r="R81" s="0" t="str">
        <f aca="false">IF(E81="","",IFERROR(LEFT(E81,FIND("-",E81)-1),E81))</f>
        <v/>
      </c>
      <c r="S81" s="0" t="str">
        <f aca="false">IF(R81="","",IF(ISNUMBER(--MID(R81,1,1)),0,IF(ISNUMBER(--MID(R81,2,1)),1,IF(ISNUMBER(--MID(R81,3,1)),2,IF(ISNUMBER(--MID(R81,4,1)),3,MIN(LEN(R81),4))))))</f>
        <v/>
      </c>
      <c r="T81" s="0" t="str">
        <f aca="false">IF(E81="","",LEFT(R81,S81)&amp;REPT("0",4-S81)&amp;RIGHT("000"&amp;IFERROR(VALUE(MID(R81,S81+1,9)),0),3)&amp;RIGHT("0000"&amp;IFERROR(VALUE(MID(E81,FIND("-",E81)+1,9)),0),4))</f>
        <v/>
      </c>
      <c r="U81" s="0" t="str">
        <f aca="false">IF(I81=1,"K"&amp;RIGHT("00"&amp;A81,2)&amp;T81&amp;RIGHT("00000"&amp;ROW(),5),"")</f>
        <v/>
      </c>
      <c r="V81" s="0" t="str">
        <f aca="false">IF(U81="","",COUNTIFS($I$2:$I$1201,1,$U$2:$U$1201,"&lt;"&amp;U81)+1)</f>
        <v/>
      </c>
    </row>
    <row r="82" customFormat="false" ht="15" hidden="false" customHeight="false" outlineLevel="0" collapsed="false">
      <c r="A82" s="0" t="n">
        <v>2</v>
      </c>
      <c r="B82" s="0" t="n">
        <v>21</v>
      </c>
      <c r="C82" s="0" t="str">
        <f aca="false">TRIM(SUBSTITUTE(INDEX(LISTAS!$A$4:$T$63,B82,A82)&amp;"",CHAR(160)," "))</f>
        <v/>
      </c>
      <c r="D82" s="0" t="str">
        <f aca="false">IF(C82="","",TRIM(RIGHT(SUBSTITUTE(C82," ",REPT(" ",100)),100)))</f>
        <v/>
      </c>
      <c r="E82" s="0" t="str">
        <f aca="false">IF(D82="","",UPPER(SUBSTITUTE(SUBSTITUTE(D82,"(",""),")","")))</f>
        <v/>
      </c>
      <c r="F82" s="0" t="str">
        <f aca="false">IF(C82="","",LEFT(C82,FIND(" ",C82&amp;" ")-1))</f>
        <v/>
      </c>
      <c r="G82" s="0" t="n">
        <f aca="false">IFERROR(VALUE(SUBSTITUTE(LOWER(F82),"x","")),0)</f>
        <v>0</v>
      </c>
      <c r="H82" s="0" t="str">
        <f aca="false">IF(C82="","",TRIM(MID(C82,LEN(F82)+2,999)))</f>
        <v/>
      </c>
      <c r="I82" s="0" t="n">
        <f aca="false">IF(OR(C82="",LEFT(C82,2)="//"),0,IFERROR(IF(AND(G82&gt;0,G82=INT(G82),FIND("-",E82)&gt;1,NOT(EXACT(UPPER(LEFT(E82,1)),LOWER(LEFT(E82,1)))),ISNUMBER(VALUE(MID(E82,FIND("-",E82)+1,10)))),1,0),0))</f>
        <v>0</v>
      </c>
      <c r="J82" s="0" t="str">
        <f aca="false">IF(I82=1,TRIM(LEFT(H82,MAX(0,LEN(H82)-LEN(D82)))),"")</f>
        <v/>
      </c>
      <c r="K82" s="0" t="str">
        <f aca="false">INDEX($P$2:$P$21,A82)</f>
        <v>Deck 2</v>
      </c>
      <c r="L82" s="0" t="n">
        <f aca="false">IF(AND(C82&lt;&gt;"",LEFT(C82,2)&lt;&gt;"//",I82=0),1,0)</f>
        <v>0</v>
      </c>
      <c r="M82" s="0" t="str">
        <f aca="false">IF(I82=1,MAX(M$1:M81)+1,"")</f>
        <v/>
      </c>
      <c r="N82" s="0" t="str">
        <f aca="false">IFERROR(MATCH(ROW()-1,$V$2:$V$1201,0),"")</f>
        <v/>
      </c>
      <c r="R82" s="0" t="str">
        <f aca="false">IF(E82="","",IFERROR(LEFT(E82,FIND("-",E82)-1),E82))</f>
        <v/>
      </c>
      <c r="S82" s="0" t="str">
        <f aca="false">IF(R82="","",IF(ISNUMBER(--MID(R82,1,1)),0,IF(ISNUMBER(--MID(R82,2,1)),1,IF(ISNUMBER(--MID(R82,3,1)),2,IF(ISNUMBER(--MID(R82,4,1)),3,MIN(LEN(R82),4))))))</f>
        <v/>
      </c>
      <c r="T82" s="0" t="str">
        <f aca="false">IF(E82="","",LEFT(R82,S82)&amp;REPT("0",4-S82)&amp;RIGHT("000"&amp;IFERROR(VALUE(MID(R82,S82+1,9)),0),3)&amp;RIGHT("0000"&amp;IFERROR(VALUE(MID(E82,FIND("-",E82)+1,9)),0),4))</f>
        <v/>
      </c>
      <c r="U82" s="0" t="str">
        <f aca="false">IF(I82=1,"K"&amp;RIGHT("00"&amp;A82,2)&amp;T82&amp;RIGHT("00000"&amp;ROW(),5),"")</f>
        <v/>
      </c>
      <c r="V82" s="0" t="str">
        <f aca="false">IF(U82="","",COUNTIFS($I$2:$I$1201,1,$U$2:$U$1201,"&lt;"&amp;U82)+1)</f>
        <v/>
      </c>
    </row>
    <row r="83" customFormat="false" ht="15" hidden="false" customHeight="false" outlineLevel="0" collapsed="false">
      <c r="A83" s="0" t="n">
        <v>2</v>
      </c>
      <c r="B83" s="0" t="n">
        <v>22</v>
      </c>
      <c r="C83" s="0" t="str">
        <f aca="false">TRIM(SUBSTITUTE(INDEX(LISTAS!$A$4:$T$63,B83,A83)&amp;"",CHAR(160)," "))</f>
        <v/>
      </c>
      <c r="D83" s="0" t="str">
        <f aca="false">IF(C83="","",TRIM(RIGHT(SUBSTITUTE(C83," ",REPT(" ",100)),100)))</f>
        <v/>
      </c>
      <c r="E83" s="0" t="str">
        <f aca="false">IF(D83="","",UPPER(SUBSTITUTE(SUBSTITUTE(D83,"(",""),")","")))</f>
        <v/>
      </c>
      <c r="F83" s="0" t="str">
        <f aca="false">IF(C83="","",LEFT(C83,FIND(" ",C83&amp;" ")-1))</f>
        <v/>
      </c>
      <c r="G83" s="0" t="n">
        <f aca="false">IFERROR(VALUE(SUBSTITUTE(LOWER(F83),"x","")),0)</f>
        <v>0</v>
      </c>
      <c r="H83" s="0" t="str">
        <f aca="false">IF(C83="","",TRIM(MID(C83,LEN(F83)+2,999)))</f>
        <v/>
      </c>
      <c r="I83" s="0" t="n">
        <f aca="false">IF(OR(C83="",LEFT(C83,2)="//"),0,IFERROR(IF(AND(G83&gt;0,G83=INT(G83),FIND("-",E83)&gt;1,NOT(EXACT(UPPER(LEFT(E83,1)),LOWER(LEFT(E83,1)))),ISNUMBER(VALUE(MID(E83,FIND("-",E83)+1,10)))),1,0),0))</f>
        <v>0</v>
      </c>
      <c r="J83" s="0" t="str">
        <f aca="false">IF(I83=1,TRIM(LEFT(H83,MAX(0,LEN(H83)-LEN(D83)))),"")</f>
        <v/>
      </c>
      <c r="K83" s="0" t="str">
        <f aca="false">INDEX($P$2:$P$21,A83)</f>
        <v>Deck 2</v>
      </c>
      <c r="L83" s="0" t="n">
        <f aca="false">IF(AND(C83&lt;&gt;"",LEFT(C83,2)&lt;&gt;"//",I83=0),1,0)</f>
        <v>0</v>
      </c>
      <c r="M83" s="0" t="str">
        <f aca="false">IF(I83=1,MAX(M$1:M82)+1,"")</f>
        <v/>
      </c>
      <c r="N83" s="0" t="str">
        <f aca="false">IFERROR(MATCH(ROW()-1,$V$2:$V$1201,0),"")</f>
        <v/>
      </c>
      <c r="R83" s="0" t="str">
        <f aca="false">IF(E83="","",IFERROR(LEFT(E83,FIND("-",E83)-1),E83))</f>
        <v/>
      </c>
      <c r="S83" s="0" t="str">
        <f aca="false">IF(R83="","",IF(ISNUMBER(--MID(R83,1,1)),0,IF(ISNUMBER(--MID(R83,2,1)),1,IF(ISNUMBER(--MID(R83,3,1)),2,IF(ISNUMBER(--MID(R83,4,1)),3,MIN(LEN(R83),4))))))</f>
        <v/>
      </c>
      <c r="T83" s="0" t="str">
        <f aca="false">IF(E83="","",LEFT(R83,S83)&amp;REPT("0",4-S83)&amp;RIGHT("000"&amp;IFERROR(VALUE(MID(R83,S83+1,9)),0),3)&amp;RIGHT("0000"&amp;IFERROR(VALUE(MID(E83,FIND("-",E83)+1,9)),0),4))</f>
        <v/>
      </c>
      <c r="U83" s="0" t="str">
        <f aca="false">IF(I83=1,"K"&amp;RIGHT("00"&amp;A83,2)&amp;T83&amp;RIGHT("00000"&amp;ROW(),5),"")</f>
        <v/>
      </c>
      <c r="V83" s="0" t="str">
        <f aca="false">IF(U83="","",COUNTIFS($I$2:$I$1201,1,$U$2:$U$1201,"&lt;"&amp;U83)+1)</f>
        <v/>
      </c>
    </row>
    <row r="84" customFormat="false" ht="15" hidden="false" customHeight="false" outlineLevel="0" collapsed="false">
      <c r="A84" s="0" t="n">
        <v>2</v>
      </c>
      <c r="B84" s="0" t="n">
        <v>23</v>
      </c>
      <c r="C84" s="0" t="str">
        <f aca="false">TRIM(SUBSTITUTE(INDEX(LISTAS!$A$4:$T$63,B84,A84)&amp;"",CHAR(160)," "))</f>
        <v/>
      </c>
      <c r="D84" s="0" t="str">
        <f aca="false">IF(C84="","",TRIM(RIGHT(SUBSTITUTE(C84," ",REPT(" ",100)),100)))</f>
        <v/>
      </c>
      <c r="E84" s="0" t="str">
        <f aca="false">IF(D84="","",UPPER(SUBSTITUTE(SUBSTITUTE(D84,"(",""),")","")))</f>
        <v/>
      </c>
      <c r="F84" s="0" t="str">
        <f aca="false">IF(C84="","",LEFT(C84,FIND(" ",C84&amp;" ")-1))</f>
        <v/>
      </c>
      <c r="G84" s="0" t="n">
        <f aca="false">IFERROR(VALUE(SUBSTITUTE(LOWER(F84),"x","")),0)</f>
        <v>0</v>
      </c>
      <c r="H84" s="0" t="str">
        <f aca="false">IF(C84="","",TRIM(MID(C84,LEN(F84)+2,999)))</f>
        <v/>
      </c>
      <c r="I84" s="0" t="n">
        <f aca="false">IF(OR(C84="",LEFT(C84,2)="//"),0,IFERROR(IF(AND(G84&gt;0,G84=INT(G84),FIND("-",E84)&gt;1,NOT(EXACT(UPPER(LEFT(E84,1)),LOWER(LEFT(E84,1)))),ISNUMBER(VALUE(MID(E84,FIND("-",E84)+1,10)))),1,0),0))</f>
        <v>0</v>
      </c>
      <c r="J84" s="0" t="str">
        <f aca="false">IF(I84=1,TRIM(LEFT(H84,MAX(0,LEN(H84)-LEN(D84)))),"")</f>
        <v/>
      </c>
      <c r="K84" s="0" t="str">
        <f aca="false">INDEX($P$2:$P$21,A84)</f>
        <v>Deck 2</v>
      </c>
      <c r="L84" s="0" t="n">
        <f aca="false">IF(AND(C84&lt;&gt;"",LEFT(C84,2)&lt;&gt;"//",I84=0),1,0)</f>
        <v>0</v>
      </c>
      <c r="M84" s="0" t="str">
        <f aca="false">IF(I84=1,MAX(M$1:M83)+1,"")</f>
        <v/>
      </c>
      <c r="N84" s="0" t="str">
        <f aca="false">IFERROR(MATCH(ROW()-1,$V$2:$V$1201,0),"")</f>
        <v/>
      </c>
      <c r="R84" s="0" t="str">
        <f aca="false">IF(E84="","",IFERROR(LEFT(E84,FIND("-",E84)-1),E84))</f>
        <v/>
      </c>
      <c r="S84" s="0" t="str">
        <f aca="false">IF(R84="","",IF(ISNUMBER(--MID(R84,1,1)),0,IF(ISNUMBER(--MID(R84,2,1)),1,IF(ISNUMBER(--MID(R84,3,1)),2,IF(ISNUMBER(--MID(R84,4,1)),3,MIN(LEN(R84),4))))))</f>
        <v/>
      </c>
      <c r="T84" s="0" t="str">
        <f aca="false">IF(E84="","",LEFT(R84,S84)&amp;REPT("0",4-S84)&amp;RIGHT("000"&amp;IFERROR(VALUE(MID(R84,S84+1,9)),0),3)&amp;RIGHT("0000"&amp;IFERROR(VALUE(MID(E84,FIND("-",E84)+1,9)),0),4))</f>
        <v/>
      </c>
      <c r="U84" s="0" t="str">
        <f aca="false">IF(I84=1,"K"&amp;RIGHT("00"&amp;A84,2)&amp;T84&amp;RIGHT("00000"&amp;ROW(),5),"")</f>
        <v/>
      </c>
      <c r="V84" s="0" t="str">
        <f aca="false">IF(U84="","",COUNTIFS($I$2:$I$1201,1,$U$2:$U$1201,"&lt;"&amp;U84)+1)</f>
        <v/>
      </c>
    </row>
    <row r="85" customFormat="false" ht="15" hidden="false" customHeight="false" outlineLevel="0" collapsed="false">
      <c r="A85" s="0" t="n">
        <v>2</v>
      </c>
      <c r="B85" s="0" t="n">
        <v>24</v>
      </c>
      <c r="C85" s="0" t="str">
        <f aca="false">TRIM(SUBSTITUTE(INDEX(LISTAS!$A$4:$T$63,B85,A85)&amp;"",CHAR(160)," "))</f>
        <v/>
      </c>
      <c r="D85" s="0" t="str">
        <f aca="false">IF(C85="","",TRIM(RIGHT(SUBSTITUTE(C85," ",REPT(" ",100)),100)))</f>
        <v/>
      </c>
      <c r="E85" s="0" t="str">
        <f aca="false">IF(D85="","",UPPER(SUBSTITUTE(SUBSTITUTE(D85,"(",""),")","")))</f>
        <v/>
      </c>
      <c r="F85" s="0" t="str">
        <f aca="false">IF(C85="","",LEFT(C85,FIND(" ",C85&amp;" ")-1))</f>
        <v/>
      </c>
      <c r="G85" s="0" t="n">
        <f aca="false">IFERROR(VALUE(SUBSTITUTE(LOWER(F85),"x","")),0)</f>
        <v>0</v>
      </c>
      <c r="H85" s="0" t="str">
        <f aca="false">IF(C85="","",TRIM(MID(C85,LEN(F85)+2,999)))</f>
        <v/>
      </c>
      <c r="I85" s="0" t="n">
        <f aca="false">IF(OR(C85="",LEFT(C85,2)="//"),0,IFERROR(IF(AND(G85&gt;0,G85=INT(G85),FIND("-",E85)&gt;1,NOT(EXACT(UPPER(LEFT(E85,1)),LOWER(LEFT(E85,1)))),ISNUMBER(VALUE(MID(E85,FIND("-",E85)+1,10)))),1,0),0))</f>
        <v>0</v>
      </c>
      <c r="J85" s="0" t="str">
        <f aca="false">IF(I85=1,TRIM(LEFT(H85,MAX(0,LEN(H85)-LEN(D85)))),"")</f>
        <v/>
      </c>
      <c r="K85" s="0" t="str">
        <f aca="false">INDEX($P$2:$P$21,A85)</f>
        <v>Deck 2</v>
      </c>
      <c r="L85" s="0" t="n">
        <f aca="false">IF(AND(C85&lt;&gt;"",LEFT(C85,2)&lt;&gt;"//",I85=0),1,0)</f>
        <v>0</v>
      </c>
      <c r="M85" s="0" t="str">
        <f aca="false">IF(I85=1,MAX(M$1:M84)+1,"")</f>
        <v/>
      </c>
      <c r="N85" s="0" t="str">
        <f aca="false">IFERROR(MATCH(ROW()-1,$V$2:$V$1201,0),"")</f>
        <v/>
      </c>
      <c r="R85" s="0" t="str">
        <f aca="false">IF(E85="","",IFERROR(LEFT(E85,FIND("-",E85)-1),E85))</f>
        <v/>
      </c>
      <c r="S85" s="0" t="str">
        <f aca="false">IF(R85="","",IF(ISNUMBER(--MID(R85,1,1)),0,IF(ISNUMBER(--MID(R85,2,1)),1,IF(ISNUMBER(--MID(R85,3,1)),2,IF(ISNUMBER(--MID(R85,4,1)),3,MIN(LEN(R85),4))))))</f>
        <v/>
      </c>
      <c r="T85" s="0" t="str">
        <f aca="false">IF(E85="","",LEFT(R85,S85)&amp;REPT("0",4-S85)&amp;RIGHT("000"&amp;IFERROR(VALUE(MID(R85,S85+1,9)),0),3)&amp;RIGHT("0000"&amp;IFERROR(VALUE(MID(E85,FIND("-",E85)+1,9)),0),4))</f>
        <v/>
      </c>
      <c r="U85" s="0" t="str">
        <f aca="false">IF(I85=1,"K"&amp;RIGHT("00"&amp;A85,2)&amp;T85&amp;RIGHT("00000"&amp;ROW(),5),"")</f>
        <v/>
      </c>
      <c r="V85" s="0" t="str">
        <f aca="false">IF(U85="","",COUNTIFS($I$2:$I$1201,1,$U$2:$U$1201,"&lt;"&amp;U85)+1)</f>
        <v/>
      </c>
    </row>
    <row r="86" customFormat="false" ht="15" hidden="false" customHeight="false" outlineLevel="0" collapsed="false">
      <c r="A86" s="0" t="n">
        <v>2</v>
      </c>
      <c r="B86" s="0" t="n">
        <v>25</v>
      </c>
      <c r="C86" s="0" t="str">
        <f aca="false">TRIM(SUBSTITUTE(INDEX(LISTAS!$A$4:$T$63,B86,A86)&amp;"",CHAR(160)," "))</f>
        <v/>
      </c>
      <c r="D86" s="0" t="str">
        <f aca="false">IF(C86="","",TRIM(RIGHT(SUBSTITUTE(C86," ",REPT(" ",100)),100)))</f>
        <v/>
      </c>
      <c r="E86" s="0" t="str">
        <f aca="false">IF(D86="","",UPPER(SUBSTITUTE(SUBSTITUTE(D86,"(",""),")","")))</f>
        <v/>
      </c>
      <c r="F86" s="0" t="str">
        <f aca="false">IF(C86="","",LEFT(C86,FIND(" ",C86&amp;" ")-1))</f>
        <v/>
      </c>
      <c r="G86" s="0" t="n">
        <f aca="false">IFERROR(VALUE(SUBSTITUTE(LOWER(F86),"x","")),0)</f>
        <v>0</v>
      </c>
      <c r="H86" s="0" t="str">
        <f aca="false">IF(C86="","",TRIM(MID(C86,LEN(F86)+2,999)))</f>
        <v/>
      </c>
      <c r="I86" s="0" t="n">
        <f aca="false">IF(OR(C86="",LEFT(C86,2)="//"),0,IFERROR(IF(AND(G86&gt;0,G86=INT(G86),FIND("-",E86)&gt;1,NOT(EXACT(UPPER(LEFT(E86,1)),LOWER(LEFT(E86,1)))),ISNUMBER(VALUE(MID(E86,FIND("-",E86)+1,10)))),1,0),0))</f>
        <v>0</v>
      </c>
      <c r="J86" s="0" t="str">
        <f aca="false">IF(I86=1,TRIM(LEFT(H86,MAX(0,LEN(H86)-LEN(D86)))),"")</f>
        <v/>
      </c>
      <c r="K86" s="0" t="str">
        <f aca="false">INDEX($P$2:$P$21,A86)</f>
        <v>Deck 2</v>
      </c>
      <c r="L86" s="0" t="n">
        <f aca="false">IF(AND(C86&lt;&gt;"",LEFT(C86,2)&lt;&gt;"//",I86=0),1,0)</f>
        <v>0</v>
      </c>
      <c r="M86" s="0" t="str">
        <f aca="false">IF(I86=1,MAX(M$1:M85)+1,"")</f>
        <v/>
      </c>
      <c r="N86" s="0" t="str">
        <f aca="false">IFERROR(MATCH(ROW()-1,$V$2:$V$1201,0),"")</f>
        <v/>
      </c>
      <c r="R86" s="0" t="str">
        <f aca="false">IF(E86="","",IFERROR(LEFT(E86,FIND("-",E86)-1),E86))</f>
        <v/>
      </c>
      <c r="S86" s="0" t="str">
        <f aca="false">IF(R86="","",IF(ISNUMBER(--MID(R86,1,1)),0,IF(ISNUMBER(--MID(R86,2,1)),1,IF(ISNUMBER(--MID(R86,3,1)),2,IF(ISNUMBER(--MID(R86,4,1)),3,MIN(LEN(R86),4))))))</f>
        <v/>
      </c>
      <c r="T86" s="0" t="str">
        <f aca="false">IF(E86="","",LEFT(R86,S86)&amp;REPT("0",4-S86)&amp;RIGHT("000"&amp;IFERROR(VALUE(MID(R86,S86+1,9)),0),3)&amp;RIGHT("0000"&amp;IFERROR(VALUE(MID(E86,FIND("-",E86)+1,9)),0),4))</f>
        <v/>
      </c>
      <c r="U86" s="0" t="str">
        <f aca="false">IF(I86=1,"K"&amp;RIGHT("00"&amp;A86,2)&amp;T86&amp;RIGHT("00000"&amp;ROW(),5),"")</f>
        <v/>
      </c>
      <c r="V86" s="0" t="str">
        <f aca="false">IF(U86="","",COUNTIFS($I$2:$I$1201,1,$U$2:$U$1201,"&lt;"&amp;U86)+1)</f>
        <v/>
      </c>
    </row>
    <row r="87" customFormat="false" ht="15" hidden="false" customHeight="false" outlineLevel="0" collapsed="false">
      <c r="A87" s="0" t="n">
        <v>2</v>
      </c>
      <c r="B87" s="0" t="n">
        <v>26</v>
      </c>
      <c r="C87" s="0" t="str">
        <f aca="false">TRIM(SUBSTITUTE(INDEX(LISTAS!$A$4:$T$63,B87,A87)&amp;"",CHAR(160)," "))</f>
        <v/>
      </c>
      <c r="D87" s="0" t="str">
        <f aca="false">IF(C87="","",TRIM(RIGHT(SUBSTITUTE(C87," ",REPT(" ",100)),100)))</f>
        <v/>
      </c>
      <c r="E87" s="0" t="str">
        <f aca="false">IF(D87="","",UPPER(SUBSTITUTE(SUBSTITUTE(D87,"(",""),")","")))</f>
        <v/>
      </c>
      <c r="F87" s="0" t="str">
        <f aca="false">IF(C87="","",LEFT(C87,FIND(" ",C87&amp;" ")-1))</f>
        <v/>
      </c>
      <c r="G87" s="0" t="n">
        <f aca="false">IFERROR(VALUE(SUBSTITUTE(LOWER(F87),"x","")),0)</f>
        <v>0</v>
      </c>
      <c r="H87" s="0" t="str">
        <f aca="false">IF(C87="","",TRIM(MID(C87,LEN(F87)+2,999)))</f>
        <v/>
      </c>
      <c r="I87" s="0" t="n">
        <f aca="false">IF(OR(C87="",LEFT(C87,2)="//"),0,IFERROR(IF(AND(G87&gt;0,G87=INT(G87),FIND("-",E87)&gt;1,NOT(EXACT(UPPER(LEFT(E87,1)),LOWER(LEFT(E87,1)))),ISNUMBER(VALUE(MID(E87,FIND("-",E87)+1,10)))),1,0),0))</f>
        <v>0</v>
      </c>
      <c r="J87" s="0" t="str">
        <f aca="false">IF(I87=1,TRIM(LEFT(H87,MAX(0,LEN(H87)-LEN(D87)))),"")</f>
        <v/>
      </c>
      <c r="K87" s="0" t="str">
        <f aca="false">INDEX($P$2:$P$21,A87)</f>
        <v>Deck 2</v>
      </c>
      <c r="L87" s="0" t="n">
        <f aca="false">IF(AND(C87&lt;&gt;"",LEFT(C87,2)&lt;&gt;"//",I87=0),1,0)</f>
        <v>0</v>
      </c>
      <c r="M87" s="0" t="str">
        <f aca="false">IF(I87=1,MAX(M$1:M86)+1,"")</f>
        <v/>
      </c>
      <c r="N87" s="0" t="str">
        <f aca="false">IFERROR(MATCH(ROW()-1,$V$2:$V$1201,0),"")</f>
        <v/>
      </c>
      <c r="R87" s="0" t="str">
        <f aca="false">IF(E87="","",IFERROR(LEFT(E87,FIND("-",E87)-1),E87))</f>
        <v/>
      </c>
      <c r="S87" s="0" t="str">
        <f aca="false">IF(R87="","",IF(ISNUMBER(--MID(R87,1,1)),0,IF(ISNUMBER(--MID(R87,2,1)),1,IF(ISNUMBER(--MID(R87,3,1)),2,IF(ISNUMBER(--MID(R87,4,1)),3,MIN(LEN(R87),4))))))</f>
        <v/>
      </c>
      <c r="T87" s="0" t="str">
        <f aca="false">IF(E87="","",LEFT(R87,S87)&amp;REPT("0",4-S87)&amp;RIGHT("000"&amp;IFERROR(VALUE(MID(R87,S87+1,9)),0),3)&amp;RIGHT("0000"&amp;IFERROR(VALUE(MID(E87,FIND("-",E87)+1,9)),0),4))</f>
        <v/>
      </c>
      <c r="U87" s="0" t="str">
        <f aca="false">IF(I87=1,"K"&amp;RIGHT("00"&amp;A87,2)&amp;T87&amp;RIGHT("00000"&amp;ROW(),5),"")</f>
        <v/>
      </c>
      <c r="V87" s="0" t="str">
        <f aca="false">IF(U87="","",COUNTIFS($I$2:$I$1201,1,$U$2:$U$1201,"&lt;"&amp;U87)+1)</f>
        <v/>
      </c>
    </row>
    <row r="88" customFormat="false" ht="15" hidden="false" customHeight="false" outlineLevel="0" collapsed="false">
      <c r="A88" s="0" t="n">
        <v>2</v>
      </c>
      <c r="B88" s="0" t="n">
        <v>27</v>
      </c>
      <c r="C88" s="0" t="str">
        <f aca="false">TRIM(SUBSTITUTE(INDEX(LISTAS!$A$4:$T$63,B88,A88)&amp;"",CHAR(160)," "))</f>
        <v/>
      </c>
      <c r="D88" s="0" t="str">
        <f aca="false">IF(C88="","",TRIM(RIGHT(SUBSTITUTE(C88," ",REPT(" ",100)),100)))</f>
        <v/>
      </c>
      <c r="E88" s="0" t="str">
        <f aca="false">IF(D88="","",UPPER(SUBSTITUTE(SUBSTITUTE(D88,"(",""),")","")))</f>
        <v/>
      </c>
      <c r="F88" s="0" t="str">
        <f aca="false">IF(C88="","",LEFT(C88,FIND(" ",C88&amp;" ")-1))</f>
        <v/>
      </c>
      <c r="G88" s="0" t="n">
        <f aca="false">IFERROR(VALUE(SUBSTITUTE(LOWER(F88),"x","")),0)</f>
        <v>0</v>
      </c>
      <c r="H88" s="0" t="str">
        <f aca="false">IF(C88="","",TRIM(MID(C88,LEN(F88)+2,999)))</f>
        <v/>
      </c>
      <c r="I88" s="0" t="n">
        <f aca="false">IF(OR(C88="",LEFT(C88,2)="//"),0,IFERROR(IF(AND(G88&gt;0,G88=INT(G88),FIND("-",E88)&gt;1,NOT(EXACT(UPPER(LEFT(E88,1)),LOWER(LEFT(E88,1)))),ISNUMBER(VALUE(MID(E88,FIND("-",E88)+1,10)))),1,0),0))</f>
        <v>0</v>
      </c>
      <c r="J88" s="0" t="str">
        <f aca="false">IF(I88=1,TRIM(LEFT(H88,MAX(0,LEN(H88)-LEN(D88)))),"")</f>
        <v/>
      </c>
      <c r="K88" s="0" t="str">
        <f aca="false">INDEX($P$2:$P$21,A88)</f>
        <v>Deck 2</v>
      </c>
      <c r="L88" s="0" t="n">
        <f aca="false">IF(AND(C88&lt;&gt;"",LEFT(C88,2)&lt;&gt;"//",I88=0),1,0)</f>
        <v>0</v>
      </c>
      <c r="M88" s="0" t="str">
        <f aca="false">IF(I88=1,MAX(M$1:M87)+1,"")</f>
        <v/>
      </c>
      <c r="N88" s="0" t="str">
        <f aca="false">IFERROR(MATCH(ROW()-1,$V$2:$V$1201,0),"")</f>
        <v/>
      </c>
      <c r="R88" s="0" t="str">
        <f aca="false">IF(E88="","",IFERROR(LEFT(E88,FIND("-",E88)-1),E88))</f>
        <v/>
      </c>
      <c r="S88" s="0" t="str">
        <f aca="false">IF(R88="","",IF(ISNUMBER(--MID(R88,1,1)),0,IF(ISNUMBER(--MID(R88,2,1)),1,IF(ISNUMBER(--MID(R88,3,1)),2,IF(ISNUMBER(--MID(R88,4,1)),3,MIN(LEN(R88),4))))))</f>
        <v/>
      </c>
      <c r="T88" s="0" t="str">
        <f aca="false">IF(E88="","",LEFT(R88,S88)&amp;REPT("0",4-S88)&amp;RIGHT("000"&amp;IFERROR(VALUE(MID(R88,S88+1,9)),0),3)&amp;RIGHT("0000"&amp;IFERROR(VALUE(MID(E88,FIND("-",E88)+1,9)),0),4))</f>
        <v/>
      </c>
      <c r="U88" s="0" t="str">
        <f aca="false">IF(I88=1,"K"&amp;RIGHT("00"&amp;A88,2)&amp;T88&amp;RIGHT("00000"&amp;ROW(),5),"")</f>
        <v/>
      </c>
      <c r="V88" s="0" t="str">
        <f aca="false">IF(U88="","",COUNTIFS($I$2:$I$1201,1,$U$2:$U$1201,"&lt;"&amp;U88)+1)</f>
        <v/>
      </c>
    </row>
    <row r="89" customFormat="false" ht="15" hidden="false" customHeight="false" outlineLevel="0" collapsed="false">
      <c r="A89" s="0" t="n">
        <v>2</v>
      </c>
      <c r="B89" s="0" t="n">
        <v>28</v>
      </c>
      <c r="C89" s="0" t="str">
        <f aca="false">TRIM(SUBSTITUTE(INDEX(LISTAS!$A$4:$T$63,B89,A89)&amp;"",CHAR(160)," "))</f>
        <v/>
      </c>
      <c r="D89" s="0" t="str">
        <f aca="false">IF(C89="","",TRIM(RIGHT(SUBSTITUTE(C89," ",REPT(" ",100)),100)))</f>
        <v/>
      </c>
      <c r="E89" s="0" t="str">
        <f aca="false">IF(D89="","",UPPER(SUBSTITUTE(SUBSTITUTE(D89,"(",""),")","")))</f>
        <v/>
      </c>
      <c r="F89" s="0" t="str">
        <f aca="false">IF(C89="","",LEFT(C89,FIND(" ",C89&amp;" ")-1))</f>
        <v/>
      </c>
      <c r="G89" s="0" t="n">
        <f aca="false">IFERROR(VALUE(SUBSTITUTE(LOWER(F89),"x","")),0)</f>
        <v>0</v>
      </c>
      <c r="H89" s="0" t="str">
        <f aca="false">IF(C89="","",TRIM(MID(C89,LEN(F89)+2,999)))</f>
        <v/>
      </c>
      <c r="I89" s="0" t="n">
        <f aca="false">IF(OR(C89="",LEFT(C89,2)="//"),0,IFERROR(IF(AND(G89&gt;0,G89=INT(G89),FIND("-",E89)&gt;1,NOT(EXACT(UPPER(LEFT(E89,1)),LOWER(LEFT(E89,1)))),ISNUMBER(VALUE(MID(E89,FIND("-",E89)+1,10)))),1,0),0))</f>
        <v>0</v>
      </c>
      <c r="J89" s="0" t="str">
        <f aca="false">IF(I89=1,TRIM(LEFT(H89,MAX(0,LEN(H89)-LEN(D89)))),"")</f>
        <v/>
      </c>
      <c r="K89" s="0" t="str">
        <f aca="false">INDEX($P$2:$P$21,A89)</f>
        <v>Deck 2</v>
      </c>
      <c r="L89" s="0" t="n">
        <f aca="false">IF(AND(C89&lt;&gt;"",LEFT(C89,2)&lt;&gt;"//",I89=0),1,0)</f>
        <v>0</v>
      </c>
      <c r="M89" s="0" t="str">
        <f aca="false">IF(I89=1,MAX(M$1:M88)+1,"")</f>
        <v/>
      </c>
      <c r="N89" s="0" t="str">
        <f aca="false">IFERROR(MATCH(ROW()-1,$V$2:$V$1201,0),"")</f>
        <v/>
      </c>
      <c r="R89" s="0" t="str">
        <f aca="false">IF(E89="","",IFERROR(LEFT(E89,FIND("-",E89)-1),E89))</f>
        <v/>
      </c>
      <c r="S89" s="0" t="str">
        <f aca="false">IF(R89="","",IF(ISNUMBER(--MID(R89,1,1)),0,IF(ISNUMBER(--MID(R89,2,1)),1,IF(ISNUMBER(--MID(R89,3,1)),2,IF(ISNUMBER(--MID(R89,4,1)),3,MIN(LEN(R89),4))))))</f>
        <v/>
      </c>
      <c r="T89" s="0" t="str">
        <f aca="false">IF(E89="","",LEFT(R89,S89)&amp;REPT("0",4-S89)&amp;RIGHT("000"&amp;IFERROR(VALUE(MID(R89,S89+1,9)),0),3)&amp;RIGHT("0000"&amp;IFERROR(VALUE(MID(E89,FIND("-",E89)+1,9)),0),4))</f>
        <v/>
      </c>
      <c r="U89" s="0" t="str">
        <f aca="false">IF(I89=1,"K"&amp;RIGHT("00"&amp;A89,2)&amp;T89&amp;RIGHT("00000"&amp;ROW(),5),"")</f>
        <v/>
      </c>
      <c r="V89" s="0" t="str">
        <f aca="false">IF(U89="","",COUNTIFS($I$2:$I$1201,1,$U$2:$U$1201,"&lt;"&amp;U89)+1)</f>
        <v/>
      </c>
    </row>
    <row r="90" customFormat="false" ht="15" hidden="false" customHeight="false" outlineLevel="0" collapsed="false">
      <c r="A90" s="0" t="n">
        <v>2</v>
      </c>
      <c r="B90" s="0" t="n">
        <v>29</v>
      </c>
      <c r="C90" s="0" t="str">
        <f aca="false">TRIM(SUBSTITUTE(INDEX(LISTAS!$A$4:$T$63,B90,A90)&amp;"",CHAR(160)," "))</f>
        <v/>
      </c>
      <c r="D90" s="0" t="str">
        <f aca="false">IF(C90="","",TRIM(RIGHT(SUBSTITUTE(C90," ",REPT(" ",100)),100)))</f>
        <v/>
      </c>
      <c r="E90" s="0" t="str">
        <f aca="false">IF(D90="","",UPPER(SUBSTITUTE(SUBSTITUTE(D90,"(",""),")","")))</f>
        <v/>
      </c>
      <c r="F90" s="0" t="str">
        <f aca="false">IF(C90="","",LEFT(C90,FIND(" ",C90&amp;" ")-1))</f>
        <v/>
      </c>
      <c r="G90" s="0" t="n">
        <f aca="false">IFERROR(VALUE(SUBSTITUTE(LOWER(F90),"x","")),0)</f>
        <v>0</v>
      </c>
      <c r="H90" s="0" t="str">
        <f aca="false">IF(C90="","",TRIM(MID(C90,LEN(F90)+2,999)))</f>
        <v/>
      </c>
      <c r="I90" s="0" t="n">
        <f aca="false">IF(OR(C90="",LEFT(C90,2)="//"),0,IFERROR(IF(AND(G90&gt;0,G90=INT(G90),FIND("-",E90)&gt;1,NOT(EXACT(UPPER(LEFT(E90,1)),LOWER(LEFT(E90,1)))),ISNUMBER(VALUE(MID(E90,FIND("-",E90)+1,10)))),1,0),0))</f>
        <v>0</v>
      </c>
      <c r="J90" s="0" t="str">
        <f aca="false">IF(I90=1,TRIM(LEFT(H90,MAX(0,LEN(H90)-LEN(D90)))),"")</f>
        <v/>
      </c>
      <c r="K90" s="0" t="str">
        <f aca="false">INDEX($P$2:$P$21,A90)</f>
        <v>Deck 2</v>
      </c>
      <c r="L90" s="0" t="n">
        <f aca="false">IF(AND(C90&lt;&gt;"",LEFT(C90,2)&lt;&gt;"//",I90=0),1,0)</f>
        <v>0</v>
      </c>
      <c r="M90" s="0" t="str">
        <f aca="false">IF(I90=1,MAX(M$1:M89)+1,"")</f>
        <v/>
      </c>
      <c r="N90" s="0" t="str">
        <f aca="false">IFERROR(MATCH(ROW()-1,$V$2:$V$1201,0),"")</f>
        <v/>
      </c>
      <c r="R90" s="0" t="str">
        <f aca="false">IF(E90="","",IFERROR(LEFT(E90,FIND("-",E90)-1),E90))</f>
        <v/>
      </c>
      <c r="S90" s="0" t="str">
        <f aca="false">IF(R90="","",IF(ISNUMBER(--MID(R90,1,1)),0,IF(ISNUMBER(--MID(R90,2,1)),1,IF(ISNUMBER(--MID(R90,3,1)),2,IF(ISNUMBER(--MID(R90,4,1)),3,MIN(LEN(R90),4))))))</f>
        <v/>
      </c>
      <c r="T90" s="0" t="str">
        <f aca="false">IF(E90="","",LEFT(R90,S90)&amp;REPT("0",4-S90)&amp;RIGHT("000"&amp;IFERROR(VALUE(MID(R90,S90+1,9)),0),3)&amp;RIGHT("0000"&amp;IFERROR(VALUE(MID(E90,FIND("-",E90)+1,9)),0),4))</f>
        <v/>
      </c>
      <c r="U90" s="0" t="str">
        <f aca="false">IF(I90=1,"K"&amp;RIGHT("00"&amp;A90,2)&amp;T90&amp;RIGHT("00000"&amp;ROW(),5),"")</f>
        <v/>
      </c>
      <c r="V90" s="0" t="str">
        <f aca="false">IF(U90="","",COUNTIFS($I$2:$I$1201,1,$U$2:$U$1201,"&lt;"&amp;U90)+1)</f>
        <v/>
      </c>
    </row>
    <row r="91" customFormat="false" ht="15" hidden="false" customHeight="false" outlineLevel="0" collapsed="false">
      <c r="A91" s="0" t="n">
        <v>2</v>
      </c>
      <c r="B91" s="0" t="n">
        <v>30</v>
      </c>
      <c r="C91" s="0" t="str">
        <f aca="false">TRIM(SUBSTITUTE(INDEX(LISTAS!$A$4:$T$63,B91,A91)&amp;"",CHAR(160)," "))</f>
        <v/>
      </c>
      <c r="D91" s="0" t="str">
        <f aca="false">IF(C91="","",TRIM(RIGHT(SUBSTITUTE(C91," ",REPT(" ",100)),100)))</f>
        <v/>
      </c>
      <c r="E91" s="0" t="str">
        <f aca="false">IF(D91="","",UPPER(SUBSTITUTE(SUBSTITUTE(D91,"(",""),")","")))</f>
        <v/>
      </c>
      <c r="F91" s="0" t="str">
        <f aca="false">IF(C91="","",LEFT(C91,FIND(" ",C91&amp;" ")-1))</f>
        <v/>
      </c>
      <c r="G91" s="0" t="n">
        <f aca="false">IFERROR(VALUE(SUBSTITUTE(LOWER(F91),"x","")),0)</f>
        <v>0</v>
      </c>
      <c r="H91" s="0" t="str">
        <f aca="false">IF(C91="","",TRIM(MID(C91,LEN(F91)+2,999)))</f>
        <v/>
      </c>
      <c r="I91" s="0" t="n">
        <f aca="false">IF(OR(C91="",LEFT(C91,2)="//"),0,IFERROR(IF(AND(G91&gt;0,G91=INT(G91),FIND("-",E91)&gt;1,NOT(EXACT(UPPER(LEFT(E91,1)),LOWER(LEFT(E91,1)))),ISNUMBER(VALUE(MID(E91,FIND("-",E91)+1,10)))),1,0),0))</f>
        <v>0</v>
      </c>
      <c r="J91" s="0" t="str">
        <f aca="false">IF(I91=1,TRIM(LEFT(H91,MAX(0,LEN(H91)-LEN(D91)))),"")</f>
        <v/>
      </c>
      <c r="K91" s="0" t="str">
        <f aca="false">INDEX($P$2:$P$21,A91)</f>
        <v>Deck 2</v>
      </c>
      <c r="L91" s="0" t="n">
        <f aca="false">IF(AND(C91&lt;&gt;"",LEFT(C91,2)&lt;&gt;"//",I91=0),1,0)</f>
        <v>0</v>
      </c>
      <c r="M91" s="0" t="str">
        <f aca="false">IF(I91=1,MAX(M$1:M90)+1,"")</f>
        <v/>
      </c>
      <c r="N91" s="0" t="str">
        <f aca="false">IFERROR(MATCH(ROW()-1,$V$2:$V$1201,0),"")</f>
        <v/>
      </c>
      <c r="R91" s="0" t="str">
        <f aca="false">IF(E91="","",IFERROR(LEFT(E91,FIND("-",E91)-1),E91))</f>
        <v/>
      </c>
      <c r="S91" s="0" t="str">
        <f aca="false">IF(R91="","",IF(ISNUMBER(--MID(R91,1,1)),0,IF(ISNUMBER(--MID(R91,2,1)),1,IF(ISNUMBER(--MID(R91,3,1)),2,IF(ISNUMBER(--MID(R91,4,1)),3,MIN(LEN(R91),4))))))</f>
        <v/>
      </c>
      <c r="T91" s="0" t="str">
        <f aca="false">IF(E91="","",LEFT(R91,S91)&amp;REPT("0",4-S91)&amp;RIGHT("000"&amp;IFERROR(VALUE(MID(R91,S91+1,9)),0),3)&amp;RIGHT("0000"&amp;IFERROR(VALUE(MID(E91,FIND("-",E91)+1,9)),0),4))</f>
        <v/>
      </c>
      <c r="U91" s="0" t="str">
        <f aca="false">IF(I91=1,"K"&amp;RIGHT("00"&amp;A91,2)&amp;T91&amp;RIGHT("00000"&amp;ROW(),5),"")</f>
        <v/>
      </c>
      <c r="V91" s="0" t="str">
        <f aca="false">IF(U91="","",COUNTIFS($I$2:$I$1201,1,$U$2:$U$1201,"&lt;"&amp;U91)+1)</f>
        <v/>
      </c>
    </row>
    <row r="92" customFormat="false" ht="15" hidden="false" customHeight="false" outlineLevel="0" collapsed="false">
      <c r="A92" s="0" t="n">
        <v>2</v>
      </c>
      <c r="B92" s="0" t="n">
        <v>31</v>
      </c>
      <c r="C92" s="0" t="str">
        <f aca="false">TRIM(SUBSTITUTE(INDEX(LISTAS!$A$4:$T$63,B92,A92)&amp;"",CHAR(160)," "))</f>
        <v/>
      </c>
      <c r="D92" s="0" t="str">
        <f aca="false">IF(C92="","",TRIM(RIGHT(SUBSTITUTE(C92," ",REPT(" ",100)),100)))</f>
        <v/>
      </c>
      <c r="E92" s="0" t="str">
        <f aca="false">IF(D92="","",UPPER(SUBSTITUTE(SUBSTITUTE(D92,"(",""),")","")))</f>
        <v/>
      </c>
      <c r="F92" s="0" t="str">
        <f aca="false">IF(C92="","",LEFT(C92,FIND(" ",C92&amp;" ")-1))</f>
        <v/>
      </c>
      <c r="G92" s="0" t="n">
        <f aca="false">IFERROR(VALUE(SUBSTITUTE(LOWER(F92),"x","")),0)</f>
        <v>0</v>
      </c>
      <c r="H92" s="0" t="str">
        <f aca="false">IF(C92="","",TRIM(MID(C92,LEN(F92)+2,999)))</f>
        <v/>
      </c>
      <c r="I92" s="0" t="n">
        <f aca="false">IF(OR(C92="",LEFT(C92,2)="//"),0,IFERROR(IF(AND(G92&gt;0,G92=INT(G92),FIND("-",E92)&gt;1,NOT(EXACT(UPPER(LEFT(E92,1)),LOWER(LEFT(E92,1)))),ISNUMBER(VALUE(MID(E92,FIND("-",E92)+1,10)))),1,0),0))</f>
        <v>0</v>
      </c>
      <c r="J92" s="0" t="str">
        <f aca="false">IF(I92=1,TRIM(LEFT(H92,MAX(0,LEN(H92)-LEN(D92)))),"")</f>
        <v/>
      </c>
      <c r="K92" s="0" t="str">
        <f aca="false">INDEX($P$2:$P$21,A92)</f>
        <v>Deck 2</v>
      </c>
      <c r="L92" s="0" t="n">
        <f aca="false">IF(AND(C92&lt;&gt;"",LEFT(C92,2)&lt;&gt;"//",I92=0),1,0)</f>
        <v>0</v>
      </c>
      <c r="M92" s="0" t="str">
        <f aca="false">IF(I92=1,MAX(M$1:M91)+1,"")</f>
        <v/>
      </c>
      <c r="N92" s="0" t="str">
        <f aca="false">IFERROR(MATCH(ROW()-1,$V$2:$V$1201,0),"")</f>
        <v/>
      </c>
      <c r="R92" s="0" t="str">
        <f aca="false">IF(E92="","",IFERROR(LEFT(E92,FIND("-",E92)-1),E92))</f>
        <v/>
      </c>
      <c r="S92" s="0" t="str">
        <f aca="false">IF(R92="","",IF(ISNUMBER(--MID(R92,1,1)),0,IF(ISNUMBER(--MID(R92,2,1)),1,IF(ISNUMBER(--MID(R92,3,1)),2,IF(ISNUMBER(--MID(R92,4,1)),3,MIN(LEN(R92),4))))))</f>
        <v/>
      </c>
      <c r="T92" s="0" t="str">
        <f aca="false">IF(E92="","",LEFT(R92,S92)&amp;REPT("0",4-S92)&amp;RIGHT("000"&amp;IFERROR(VALUE(MID(R92,S92+1,9)),0),3)&amp;RIGHT("0000"&amp;IFERROR(VALUE(MID(E92,FIND("-",E92)+1,9)),0),4))</f>
        <v/>
      </c>
      <c r="U92" s="0" t="str">
        <f aca="false">IF(I92=1,"K"&amp;RIGHT("00"&amp;A92,2)&amp;T92&amp;RIGHT("00000"&amp;ROW(),5),"")</f>
        <v/>
      </c>
      <c r="V92" s="0" t="str">
        <f aca="false">IF(U92="","",COUNTIFS($I$2:$I$1201,1,$U$2:$U$1201,"&lt;"&amp;U92)+1)</f>
        <v/>
      </c>
    </row>
    <row r="93" customFormat="false" ht="15" hidden="false" customHeight="false" outlineLevel="0" collapsed="false">
      <c r="A93" s="0" t="n">
        <v>2</v>
      </c>
      <c r="B93" s="0" t="n">
        <v>32</v>
      </c>
      <c r="C93" s="0" t="str">
        <f aca="false">TRIM(SUBSTITUTE(INDEX(LISTAS!$A$4:$T$63,B93,A93)&amp;"",CHAR(160)," "))</f>
        <v/>
      </c>
      <c r="D93" s="0" t="str">
        <f aca="false">IF(C93="","",TRIM(RIGHT(SUBSTITUTE(C93," ",REPT(" ",100)),100)))</f>
        <v/>
      </c>
      <c r="E93" s="0" t="str">
        <f aca="false">IF(D93="","",UPPER(SUBSTITUTE(SUBSTITUTE(D93,"(",""),")","")))</f>
        <v/>
      </c>
      <c r="F93" s="0" t="str">
        <f aca="false">IF(C93="","",LEFT(C93,FIND(" ",C93&amp;" ")-1))</f>
        <v/>
      </c>
      <c r="G93" s="0" t="n">
        <f aca="false">IFERROR(VALUE(SUBSTITUTE(LOWER(F93),"x","")),0)</f>
        <v>0</v>
      </c>
      <c r="H93" s="0" t="str">
        <f aca="false">IF(C93="","",TRIM(MID(C93,LEN(F93)+2,999)))</f>
        <v/>
      </c>
      <c r="I93" s="0" t="n">
        <f aca="false">IF(OR(C93="",LEFT(C93,2)="//"),0,IFERROR(IF(AND(G93&gt;0,G93=INT(G93),FIND("-",E93)&gt;1,NOT(EXACT(UPPER(LEFT(E93,1)),LOWER(LEFT(E93,1)))),ISNUMBER(VALUE(MID(E93,FIND("-",E93)+1,10)))),1,0),0))</f>
        <v>0</v>
      </c>
      <c r="J93" s="0" t="str">
        <f aca="false">IF(I93=1,TRIM(LEFT(H93,MAX(0,LEN(H93)-LEN(D93)))),"")</f>
        <v/>
      </c>
      <c r="K93" s="0" t="str">
        <f aca="false">INDEX($P$2:$P$21,A93)</f>
        <v>Deck 2</v>
      </c>
      <c r="L93" s="0" t="n">
        <f aca="false">IF(AND(C93&lt;&gt;"",LEFT(C93,2)&lt;&gt;"//",I93=0),1,0)</f>
        <v>0</v>
      </c>
      <c r="M93" s="0" t="str">
        <f aca="false">IF(I93=1,MAX(M$1:M92)+1,"")</f>
        <v/>
      </c>
      <c r="N93" s="0" t="str">
        <f aca="false">IFERROR(MATCH(ROW()-1,$V$2:$V$1201,0),"")</f>
        <v/>
      </c>
      <c r="R93" s="0" t="str">
        <f aca="false">IF(E93="","",IFERROR(LEFT(E93,FIND("-",E93)-1),E93))</f>
        <v/>
      </c>
      <c r="S93" s="0" t="str">
        <f aca="false">IF(R93="","",IF(ISNUMBER(--MID(R93,1,1)),0,IF(ISNUMBER(--MID(R93,2,1)),1,IF(ISNUMBER(--MID(R93,3,1)),2,IF(ISNUMBER(--MID(R93,4,1)),3,MIN(LEN(R93),4))))))</f>
        <v/>
      </c>
      <c r="T93" s="0" t="str">
        <f aca="false">IF(E93="","",LEFT(R93,S93)&amp;REPT("0",4-S93)&amp;RIGHT("000"&amp;IFERROR(VALUE(MID(R93,S93+1,9)),0),3)&amp;RIGHT("0000"&amp;IFERROR(VALUE(MID(E93,FIND("-",E93)+1,9)),0),4))</f>
        <v/>
      </c>
      <c r="U93" s="0" t="str">
        <f aca="false">IF(I93=1,"K"&amp;RIGHT("00"&amp;A93,2)&amp;T93&amp;RIGHT("00000"&amp;ROW(),5),"")</f>
        <v/>
      </c>
      <c r="V93" s="0" t="str">
        <f aca="false">IF(U93="","",COUNTIFS($I$2:$I$1201,1,$U$2:$U$1201,"&lt;"&amp;U93)+1)</f>
        <v/>
      </c>
    </row>
    <row r="94" customFormat="false" ht="15" hidden="false" customHeight="false" outlineLevel="0" collapsed="false">
      <c r="A94" s="0" t="n">
        <v>2</v>
      </c>
      <c r="B94" s="0" t="n">
        <v>33</v>
      </c>
      <c r="C94" s="0" t="str">
        <f aca="false">TRIM(SUBSTITUTE(INDEX(LISTAS!$A$4:$T$63,B94,A94)&amp;"",CHAR(160)," "))</f>
        <v/>
      </c>
      <c r="D94" s="0" t="str">
        <f aca="false">IF(C94="","",TRIM(RIGHT(SUBSTITUTE(C94," ",REPT(" ",100)),100)))</f>
        <v/>
      </c>
      <c r="E94" s="0" t="str">
        <f aca="false">IF(D94="","",UPPER(SUBSTITUTE(SUBSTITUTE(D94,"(",""),")","")))</f>
        <v/>
      </c>
      <c r="F94" s="0" t="str">
        <f aca="false">IF(C94="","",LEFT(C94,FIND(" ",C94&amp;" ")-1))</f>
        <v/>
      </c>
      <c r="G94" s="0" t="n">
        <f aca="false">IFERROR(VALUE(SUBSTITUTE(LOWER(F94),"x","")),0)</f>
        <v>0</v>
      </c>
      <c r="H94" s="0" t="str">
        <f aca="false">IF(C94="","",TRIM(MID(C94,LEN(F94)+2,999)))</f>
        <v/>
      </c>
      <c r="I94" s="0" t="n">
        <f aca="false">IF(OR(C94="",LEFT(C94,2)="//"),0,IFERROR(IF(AND(G94&gt;0,G94=INT(G94),FIND("-",E94)&gt;1,NOT(EXACT(UPPER(LEFT(E94,1)),LOWER(LEFT(E94,1)))),ISNUMBER(VALUE(MID(E94,FIND("-",E94)+1,10)))),1,0),0))</f>
        <v>0</v>
      </c>
      <c r="J94" s="0" t="str">
        <f aca="false">IF(I94=1,TRIM(LEFT(H94,MAX(0,LEN(H94)-LEN(D94)))),"")</f>
        <v/>
      </c>
      <c r="K94" s="0" t="str">
        <f aca="false">INDEX($P$2:$P$21,A94)</f>
        <v>Deck 2</v>
      </c>
      <c r="L94" s="0" t="n">
        <f aca="false">IF(AND(C94&lt;&gt;"",LEFT(C94,2)&lt;&gt;"//",I94=0),1,0)</f>
        <v>0</v>
      </c>
      <c r="M94" s="0" t="str">
        <f aca="false">IF(I94=1,MAX(M$1:M93)+1,"")</f>
        <v/>
      </c>
      <c r="N94" s="0" t="str">
        <f aca="false">IFERROR(MATCH(ROW()-1,$V$2:$V$1201,0),"")</f>
        <v/>
      </c>
      <c r="R94" s="0" t="str">
        <f aca="false">IF(E94="","",IFERROR(LEFT(E94,FIND("-",E94)-1),E94))</f>
        <v/>
      </c>
      <c r="S94" s="0" t="str">
        <f aca="false">IF(R94="","",IF(ISNUMBER(--MID(R94,1,1)),0,IF(ISNUMBER(--MID(R94,2,1)),1,IF(ISNUMBER(--MID(R94,3,1)),2,IF(ISNUMBER(--MID(R94,4,1)),3,MIN(LEN(R94),4))))))</f>
        <v/>
      </c>
      <c r="T94" s="0" t="str">
        <f aca="false">IF(E94="","",LEFT(R94,S94)&amp;REPT("0",4-S94)&amp;RIGHT("000"&amp;IFERROR(VALUE(MID(R94,S94+1,9)),0),3)&amp;RIGHT("0000"&amp;IFERROR(VALUE(MID(E94,FIND("-",E94)+1,9)),0),4))</f>
        <v/>
      </c>
      <c r="U94" s="0" t="str">
        <f aca="false">IF(I94=1,"K"&amp;RIGHT("00"&amp;A94,2)&amp;T94&amp;RIGHT("00000"&amp;ROW(),5),"")</f>
        <v/>
      </c>
      <c r="V94" s="0" t="str">
        <f aca="false">IF(U94="","",COUNTIFS($I$2:$I$1201,1,$U$2:$U$1201,"&lt;"&amp;U94)+1)</f>
        <v/>
      </c>
    </row>
    <row r="95" customFormat="false" ht="15" hidden="false" customHeight="false" outlineLevel="0" collapsed="false">
      <c r="A95" s="0" t="n">
        <v>2</v>
      </c>
      <c r="B95" s="0" t="n">
        <v>34</v>
      </c>
      <c r="C95" s="0" t="str">
        <f aca="false">TRIM(SUBSTITUTE(INDEX(LISTAS!$A$4:$T$63,B95,A95)&amp;"",CHAR(160)," "))</f>
        <v/>
      </c>
      <c r="D95" s="0" t="str">
        <f aca="false">IF(C95="","",TRIM(RIGHT(SUBSTITUTE(C95," ",REPT(" ",100)),100)))</f>
        <v/>
      </c>
      <c r="E95" s="0" t="str">
        <f aca="false">IF(D95="","",UPPER(SUBSTITUTE(SUBSTITUTE(D95,"(",""),")","")))</f>
        <v/>
      </c>
      <c r="F95" s="0" t="str">
        <f aca="false">IF(C95="","",LEFT(C95,FIND(" ",C95&amp;" ")-1))</f>
        <v/>
      </c>
      <c r="G95" s="0" t="n">
        <f aca="false">IFERROR(VALUE(SUBSTITUTE(LOWER(F95),"x","")),0)</f>
        <v>0</v>
      </c>
      <c r="H95" s="0" t="str">
        <f aca="false">IF(C95="","",TRIM(MID(C95,LEN(F95)+2,999)))</f>
        <v/>
      </c>
      <c r="I95" s="0" t="n">
        <f aca="false">IF(OR(C95="",LEFT(C95,2)="//"),0,IFERROR(IF(AND(G95&gt;0,G95=INT(G95),FIND("-",E95)&gt;1,NOT(EXACT(UPPER(LEFT(E95,1)),LOWER(LEFT(E95,1)))),ISNUMBER(VALUE(MID(E95,FIND("-",E95)+1,10)))),1,0),0))</f>
        <v>0</v>
      </c>
      <c r="J95" s="0" t="str">
        <f aca="false">IF(I95=1,TRIM(LEFT(H95,MAX(0,LEN(H95)-LEN(D95)))),"")</f>
        <v/>
      </c>
      <c r="K95" s="0" t="str">
        <f aca="false">INDEX($P$2:$P$21,A95)</f>
        <v>Deck 2</v>
      </c>
      <c r="L95" s="0" t="n">
        <f aca="false">IF(AND(C95&lt;&gt;"",LEFT(C95,2)&lt;&gt;"//",I95=0),1,0)</f>
        <v>0</v>
      </c>
      <c r="M95" s="0" t="str">
        <f aca="false">IF(I95=1,MAX(M$1:M94)+1,"")</f>
        <v/>
      </c>
      <c r="N95" s="0" t="str">
        <f aca="false">IFERROR(MATCH(ROW()-1,$V$2:$V$1201,0),"")</f>
        <v/>
      </c>
      <c r="R95" s="0" t="str">
        <f aca="false">IF(E95="","",IFERROR(LEFT(E95,FIND("-",E95)-1),E95))</f>
        <v/>
      </c>
      <c r="S95" s="0" t="str">
        <f aca="false">IF(R95="","",IF(ISNUMBER(--MID(R95,1,1)),0,IF(ISNUMBER(--MID(R95,2,1)),1,IF(ISNUMBER(--MID(R95,3,1)),2,IF(ISNUMBER(--MID(R95,4,1)),3,MIN(LEN(R95),4))))))</f>
        <v/>
      </c>
      <c r="T95" s="0" t="str">
        <f aca="false">IF(E95="","",LEFT(R95,S95)&amp;REPT("0",4-S95)&amp;RIGHT("000"&amp;IFERROR(VALUE(MID(R95,S95+1,9)),0),3)&amp;RIGHT("0000"&amp;IFERROR(VALUE(MID(E95,FIND("-",E95)+1,9)),0),4))</f>
        <v/>
      </c>
      <c r="U95" s="0" t="str">
        <f aca="false">IF(I95=1,"K"&amp;RIGHT("00"&amp;A95,2)&amp;T95&amp;RIGHT("00000"&amp;ROW(),5),"")</f>
        <v/>
      </c>
      <c r="V95" s="0" t="str">
        <f aca="false">IF(U95="","",COUNTIFS($I$2:$I$1201,1,$U$2:$U$1201,"&lt;"&amp;U95)+1)</f>
        <v/>
      </c>
    </row>
    <row r="96" customFormat="false" ht="15" hidden="false" customHeight="false" outlineLevel="0" collapsed="false">
      <c r="A96" s="0" t="n">
        <v>2</v>
      </c>
      <c r="B96" s="0" t="n">
        <v>35</v>
      </c>
      <c r="C96" s="0" t="str">
        <f aca="false">TRIM(SUBSTITUTE(INDEX(LISTAS!$A$4:$T$63,B96,A96)&amp;"",CHAR(160)," "))</f>
        <v/>
      </c>
      <c r="D96" s="0" t="str">
        <f aca="false">IF(C96="","",TRIM(RIGHT(SUBSTITUTE(C96," ",REPT(" ",100)),100)))</f>
        <v/>
      </c>
      <c r="E96" s="0" t="str">
        <f aca="false">IF(D96="","",UPPER(SUBSTITUTE(SUBSTITUTE(D96,"(",""),")","")))</f>
        <v/>
      </c>
      <c r="F96" s="0" t="str">
        <f aca="false">IF(C96="","",LEFT(C96,FIND(" ",C96&amp;" ")-1))</f>
        <v/>
      </c>
      <c r="G96" s="0" t="n">
        <f aca="false">IFERROR(VALUE(SUBSTITUTE(LOWER(F96),"x","")),0)</f>
        <v>0</v>
      </c>
      <c r="H96" s="0" t="str">
        <f aca="false">IF(C96="","",TRIM(MID(C96,LEN(F96)+2,999)))</f>
        <v/>
      </c>
      <c r="I96" s="0" t="n">
        <f aca="false">IF(OR(C96="",LEFT(C96,2)="//"),0,IFERROR(IF(AND(G96&gt;0,G96=INT(G96),FIND("-",E96)&gt;1,NOT(EXACT(UPPER(LEFT(E96,1)),LOWER(LEFT(E96,1)))),ISNUMBER(VALUE(MID(E96,FIND("-",E96)+1,10)))),1,0),0))</f>
        <v>0</v>
      </c>
      <c r="J96" s="0" t="str">
        <f aca="false">IF(I96=1,TRIM(LEFT(H96,MAX(0,LEN(H96)-LEN(D96)))),"")</f>
        <v/>
      </c>
      <c r="K96" s="0" t="str">
        <f aca="false">INDEX($P$2:$P$21,A96)</f>
        <v>Deck 2</v>
      </c>
      <c r="L96" s="0" t="n">
        <f aca="false">IF(AND(C96&lt;&gt;"",LEFT(C96,2)&lt;&gt;"//",I96=0),1,0)</f>
        <v>0</v>
      </c>
      <c r="M96" s="0" t="str">
        <f aca="false">IF(I96=1,MAX(M$1:M95)+1,"")</f>
        <v/>
      </c>
      <c r="N96" s="0" t="str">
        <f aca="false">IFERROR(MATCH(ROW()-1,$V$2:$V$1201,0),"")</f>
        <v/>
      </c>
      <c r="R96" s="0" t="str">
        <f aca="false">IF(E96="","",IFERROR(LEFT(E96,FIND("-",E96)-1),E96))</f>
        <v/>
      </c>
      <c r="S96" s="0" t="str">
        <f aca="false">IF(R96="","",IF(ISNUMBER(--MID(R96,1,1)),0,IF(ISNUMBER(--MID(R96,2,1)),1,IF(ISNUMBER(--MID(R96,3,1)),2,IF(ISNUMBER(--MID(R96,4,1)),3,MIN(LEN(R96),4))))))</f>
        <v/>
      </c>
      <c r="T96" s="0" t="str">
        <f aca="false">IF(E96="","",LEFT(R96,S96)&amp;REPT("0",4-S96)&amp;RIGHT("000"&amp;IFERROR(VALUE(MID(R96,S96+1,9)),0),3)&amp;RIGHT("0000"&amp;IFERROR(VALUE(MID(E96,FIND("-",E96)+1,9)),0),4))</f>
        <v/>
      </c>
      <c r="U96" s="0" t="str">
        <f aca="false">IF(I96=1,"K"&amp;RIGHT("00"&amp;A96,2)&amp;T96&amp;RIGHT("00000"&amp;ROW(),5),"")</f>
        <v/>
      </c>
      <c r="V96" s="0" t="str">
        <f aca="false">IF(U96="","",COUNTIFS($I$2:$I$1201,1,$U$2:$U$1201,"&lt;"&amp;U96)+1)</f>
        <v/>
      </c>
    </row>
    <row r="97" customFormat="false" ht="15" hidden="false" customHeight="false" outlineLevel="0" collapsed="false">
      <c r="A97" s="0" t="n">
        <v>2</v>
      </c>
      <c r="B97" s="0" t="n">
        <v>36</v>
      </c>
      <c r="C97" s="0" t="str">
        <f aca="false">TRIM(SUBSTITUTE(INDEX(LISTAS!$A$4:$T$63,B97,A97)&amp;"",CHAR(160)," "))</f>
        <v/>
      </c>
      <c r="D97" s="0" t="str">
        <f aca="false">IF(C97="","",TRIM(RIGHT(SUBSTITUTE(C97," ",REPT(" ",100)),100)))</f>
        <v/>
      </c>
      <c r="E97" s="0" t="str">
        <f aca="false">IF(D97="","",UPPER(SUBSTITUTE(SUBSTITUTE(D97,"(",""),")","")))</f>
        <v/>
      </c>
      <c r="F97" s="0" t="str">
        <f aca="false">IF(C97="","",LEFT(C97,FIND(" ",C97&amp;" ")-1))</f>
        <v/>
      </c>
      <c r="G97" s="0" t="n">
        <f aca="false">IFERROR(VALUE(SUBSTITUTE(LOWER(F97),"x","")),0)</f>
        <v>0</v>
      </c>
      <c r="H97" s="0" t="str">
        <f aca="false">IF(C97="","",TRIM(MID(C97,LEN(F97)+2,999)))</f>
        <v/>
      </c>
      <c r="I97" s="0" t="n">
        <f aca="false">IF(OR(C97="",LEFT(C97,2)="//"),0,IFERROR(IF(AND(G97&gt;0,G97=INT(G97),FIND("-",E97)&gt;1,NOT(EXACT(UPPER(LEFT(E97,1)),LOWER(LEFT(E97,1)))),ISNUMBER(VALUE(MID(E97,FIND("-",E97)+1,10)))),1,0),0))</f>
        <v>0</v>
      </c>
      <c r="J97" s="0" t="str">
        <f aca="false">IF(I97=1,TRIM(LEFT(H97,MAX(0,LEN(H97)-LEN(D97)))),"")</f>
        <v/>
      </c>
      <c r="K97" s="0" t="str">
        <f aca="false">INDEX($P$2:$P$21,A97)</f>
        <v>Deck 2</v>
      </c>
      <c r="L97" s="0" t="n">
        <f aca="false">IF(AND(C97&lt;&gt;"",LEFT(C97,2)&lt;&gt;"//",I97=0),1,0)</f>
        <v>0</v>
      </c>
      <c r="M97" s="0" t="str">
        <f aca="false">IF(I97=1,MAX(M$1:M96)+1,"")</f>
        <v/>
      </c>
      <c r="N97" s="0" t="str">
        <f aca="false">IFERROR(MATCH(ROW()-1,$V$2:$V$1201,0),"")</f>
        <v/>
      </c>
      <c r="R97" s="0" t="str">
        <f aca="false">IF(E97="","",IFERROR(LEFT(E97,FIND("-",E97)-1),E97))</f>
        <v/>
      </c>
      <c r="S97" s="0" t="str">
        <f aca="false">IF(R97="","",IF(ISNUMBER(--MID(R97,1,1)),0,IF(ISNUMBER(--MID(R97,2,1)),1,IF(ISNUMBER(--MID(R97,3,1)),2,IF(ISNUMBER(--MID(R97,4,1)),3,MIN(LEN(R97),4))))))</f>
        <v/>
      </c>
      <c r="T97" s="0" t="str">
        <f aca="false">IF(E97="","",LEFT(R97,S97)&amp;REPT("0",4-S97)&amp;RIGHT("000"&amp;IFERROR(VALUE(MID(R97,S97+1,9)),0),3)&amp;RIGHT("0000"&amp;IFERROR(VALUE(MID(E97,FIND("-",E97)+1,9)),0),4))</f>
        <v/>
      </c>
      <c r="U97" s="0" t="str">
        <f aca="false">IF(I97=1,"K"&amp;RIGHT("00"&amp;A97,2)&amp;T97&amp;RIGHT("00000"&amp;ROW(),5),"")</f>
        <v/>
      </c>
      <c r="V97" s="0" t="str">
        <f aca="false">IF(U97="","",COUNTIFS($I$2:$I$1201,1,$U$2:$U$1201,"&lt;"&amp;U97)+1)</f>
        <v/>
      </c>
    </row>
    <row r="98" customFormat="false" ht="15" hidden="false" customHeight="false" outlineLevel="0" collapsed="false">
      <c r="A98" s="0" t="n">
        <v>2</v>
      </c>
      <c r="B98" s="0" t="n">
        <v>37</v>
      </c>
      <c r="C98" s="0" t="str">
        <f aca="false">TRIM(SUBSTITUTE(INDEX(LISTAS!$A$4:$T$63,B98,A98)&amp;"",CHAR(160)," "))</f>
        <v/>
      </c>
      <c r="D98" s="0" t="str">
        <f aca="false">IF(C98="","",TRIM(RIGHT(SUBSTITUTE(C98," ",REPT(" ",100)),100)))</f>
        <v/>
      </c>
      <c r="E98" s="0" t="str">
        <f aca="false">IF(D98="","",UPPER(SUBSTITUTE(SUBSTITUTE(D98,"(",""),")","")))</f>
        <v/>
      </c>
      <c r="F98" s="0" t="str">
        <f aca="false">IF(C98="","",LEFT(C98,FIND(" ",C98&amp;" ")-1))</f>
        <v/>
      </c>
      <c r="G98" s="0" t="n">
        <f aca="false">IFERROR(VALUE(SUBSTITUTE(LOWER(F98),"x","")),0)</f>
        <v>0</v>
      </c>
      <c r="H98" s="0" t="str">
        <f aca="false">IF(C98="","",TRIM(MID(C98,LEN(F98)+2,999)))</f>
        <v/>
      </c>
      <c r="I98" s="0" t="n">
        <f aca="false">IF(OR(C98="",LEFT(C98,2)="//"),0,IFERROR(IF(AND(G98&gt;0,G98=INT(G98),FIND("-",E98)&gt;1,NOT(EXACT(UPPER(LEFT(E98,1)),LOWER(LEFT(E98,1)))),ISNUMBER(VALUE(MID(E98,FIND("-",E98)+1,10)))),1,0),0))</f>
        <v>0</v>
      </c>
      <c r="J98" s="0" t="str">
        <f aca="false">IF(I98=1,TRIM(LEFT(H98,MAX(0,LEN(H98)-LEN(D98)))),"")</f>
        <v/>
      </c>
      <c r="K98" s="0" t="str">
        <f aca="false">INDEX($P$2:$P$21,A98)</f>
        <v>Deck 2</v>
      </c>
      <c r="L98" s="0" t="n">
        <f aca="false">IF(AND(C98&lt;&gt;"",LEFT(C98,2)&lt;&gt;"//",I98=0),1,0)</f>
        <v>0</v>
      </c>
      <c r="M98" s="0" t="str">
        <f aca="false">IF(I98=1,MAX(M$1:M97)+1,"")</f>
        <v/>
      </c>
      <c r="N98" s="0" t="str">
        <f aca="false">IFERROR(MATCH(ROW()-1,$V$2:$V$1201,0),"")</f>
        <v/>
      </c>
      <c r="R98" s="0" t="str">
        <f aca="false">IF(E98="","",IFERROR(LEFT(E98,FIND("-",E98)-1),E98))</f>
        <v/>
      </c>
      <c r="S98" s="0" t="str">
        <f aca="false">IF(R98="","",IF(ISNUMBER(--MID(R98,1,1)),0,IF(ISNUMBER(--MID(R98,2,1)),1,IF(ISNUMBER(--MID(R98,3,1)),2,IF(ISNUMBER(--MID(R98,4,1)),3,MIN(LEN(R98),4))))))</f>
        <v/>
      </c>
      <c r="T98" s="0" t="str">
        <f aca="false">IF(E98="","",LEFT(R98,S98)&amp;REPT("0",4-S98)&amp;RIGHT("000"&amp;IFERROR(VALUE(MID(R98,S98+1,9)),0),3)&amp;RIGHT("0000"&amp;IFERROR(VALUE(MID(E98,FIND("-",E98)+1,9)),0),4))</f>
        <v/>
      </c>
      <c r="U98" s="0" t="str">
        <f aca="false">IF(I98=1,"K"&amp;RIGHT("00"&amp;A98,2)&amp;T98&amp;RIGHT("00000"&amp;ROW(),5),"")</f>
        <v/>
      </c>
      <c r="V98" s="0" t="str">
        <f aca="false">IF(U98="","",COUNTIFS($I$2:$I$1201,1,$U$2:$U$1201,"&lt;"&amp;U98)+1)</f>
        <v/>
      </c>
    </row>
    <row r="99" customFormat="false" ht="15" hidden="false" customHeight="false" outlineLevel="0" collapsed="false">
      <c r="A99" s="0" t="n">
        <v>2</v>
      </c>
      <c r="B99" s="0" t="n">
        <v>38</v>
      </c>
      <c r="C99" s="0" t="str">
        <f aca="false">TRIM(SUBSTITUTE(INDEX(LISTAS!$A$4:$T$63,B99,A99)&amp;"",CHAR(160)," "))</f>
        <v/>
      </c>
      <c r="D99" s="0" t="str">
        <f aca="false">IF(C99="","",TRIM(RIGHT(SUBSTITUTE(C99," ",REPT(" ",100)),100)))</f>
        <v/>
      </c>
      <c r="E99" s="0" t="str">
        <f aca="false">IF(D99="","",UPPER(SUBSTITUTE(SUBSTITUTE(D99,"(",""),")","")))</f>
        <v/>
      </c>
      <c r="F99" s="0" t="str">
        <f aca="false">IF(C99="","",LEFT(C99,FIND(" ",C99&amp;" ")-1))</f>
        <v/>
      </c>
      <c r="G99" s="0" t="n">
        <f aca="false">IFERROR(VALUE(SUBSTITUTE(LOWER(F99),"x","")),0)</f>
        <v>0</v>
      </c>
      <c r="H99" s="0" t="str">
        <f aca="false">IF(C99="","",TRIM(MID(C99,LEN(F99)+2,999)))</f>
        <v/>
      </c>
      <c r="I99" s="0" t="n">
        <f aca="false">IF(OR(C99="",LEFT(C99,2)="//"),0,IFERROR(IF(AND(G99&gt;0,G99=INT(G99),FIND("-",E99)&gt;1,NOT(EXACT(UPPER(LEFT(E99,1)),LOWER(LEFT(E99,1)))),ISNUMBER(VALUE(MID(E99,FIND("-",E99)+1,10)))),1,0),0))</f>
        <v>0</v>
      </c>
      <c r="J99" s="0" t="str">
        <f aca="false">IF(I99=1,TRIM(LEFT(H99,MAX(0,LEN(H99)-LEN(D99)))),"")</f>
        <v/>
      </c>
      <c r="K99" s="0" t="str">
        <f aca="false">INDEX($P$2:$P$21,A99)</f>
        <v>Deck 2</v>
      </c>
      <c r="L99" s="0" t="n">
        <f aca="false">IF(AND(C99&lt;&gt;"",LEFT(C99,2)&lt;&gt;"//",I99=0),1,0)</f>
        <v>0</v>
      </c>
      <c r="M99" s="0" t="str">
        <f aca="false">IF(I99=1,MAX(M$1:M98)+1,"")</f>
        <v/>
      </c>
      <c r="N99" s="0" t="str">
        <f aca="false">IFERROR(MATCH(ROW()-1,$V$2:$V$1201,0),"")</f>
        <v/>
      </c>
      <c r="R99" s="0" t="str">
        <f aca="false">IF(E99="","",IFERROR(LEFT(E99,FIND("-",E99)-1),E99))</f>
        <v/>
      </c>
      <c r="S99" s="0" t="str">
        <f aca="false">IF(R99="","",IF(ISNUMBER(--MID(R99,1,1)),0,IF(ISNUMBER(--MID(R99,2,1)),1,IF(ISNUMBER(--MID(R99,3,1)),2,IF(ISNUMBER(--MID(R99,4,1)),3,MIN(LEN(R99),4))))))</f>
        <v/>
      </c>
      <c r="T99" s="0" t="str">
        <f aca="false">IF(E99="","",LEFT(R99,S99)&amp;REPT("0",4-S99)&amp;RIGHT("000"&amp;IFERROR(VALUE(MID(R99,S99+1,9)),0),3)&amp;RIGHT("0000"&amp;IFERROR(VALUE(MID(E99,FIND("-",E99)+1,9)),0),4))</f>
        <v/>
      </c>
      <c r="U99" s="0" t="str">
        <f aca="false">IF(I99=1,"K"&amp;RIGHT("00"&amp;A99,2)&amp;T99&amp;RIGHT("00000"&amp;ROW(),5),"")</f>
        <v/>
      </c>
      <c r="V99" s="0" t="str">
        <f aca="false">IF(U99="","",COUNTIFS($I$2:$I$1201,1,$U$2:$U$1201,"&lt;"&amp;U99)+1)</f>
        <v/>
      </c>
    </row>
    <row r="100" customFormat="false" ht="15" hidden="false" customHeight="false" outlineLevel="0" collapsed="false">
      <c r="A100" s="0" t="n">
        <v>2</v>
      </c>
      <c r="B100" s="0" t="n">
        <v>39</v>
      </c>
      <c r="C100" s="0" t="str">
        <f aca="false">TRIM(SUBSTITUTE(INDEX(LISTAS!$A$4:$T$63,B100,A100)&amp;"",CHAR(160)," "))</f>
        <v/>
      </c>
      <c r="D100" s="0" t="str">
        <f aca="false">IF(C100="","",TRIM(RIGHT(SUBSTITUTE(C100," ",REPT(" ",100)),100)))</f>
        <v/>
      </c>
      <c r="E100" s="0" t="str">
        <f aca="false">IF(D100="","",UPPER(SUBSTITUTE(SUBSTITUTE(D100,"(",""),")","")))</f>
        <v/>
      </c>
      <c r="F100" s="0" t="str">
        <f aca="false">IF(C100="","",LEFT(C100,FIND(" ",C100&amp;" ")-1))</f>
        <v/>
      </c>
      <c r="G100" s="0" t="n">
        <f aca="false">IFERROR(VALUE(SUBSTITUTE(LOWER(F100),"x","")),0)</f>
        <v>0</v>
      </c>
      <c r="H100" s="0" t="str">
        <f aca="false">IF(C100="","",TRIM(MID(C100,LEN(F100)+2,999)))</f>
        <v/>
      </c>
      <c r="I100" s="0" t="n">
        <f aca="false">IF(OR(C100="",LEFT(C100,2)="//"),0,IFERROR(IF(AND(G100&gt;0,G100=INT(G100),FIND("-",E100)&gt;1,NOT(EXACT(UPPER(LEFT(E100,1)),LOWER(LEFT(E100,1)))),ISNUMBER(VALUE(MID(E100,FIND("-",E100)+1,10)))),1,0),0))</f>
        <v>0</v>
      </c>
      <c r="J100" s="0" t="str">
        <f aca="false">IF(I100=1,TRIM(LEFT(H100,MAX(0,LEN(H100)-LEN(D100)))),"")</f>
        <v/>
      </c>
      <c r="K100" s="0" t="str">
        <f aca="false">INDEX($P$2:$P$21,A100)</f>
        <v>Deck 2</v>
      </c>
      <c r="L100" s="0" t="n">
        <f aca="false">IF(AND(C100&lt;&gt;"",LEFT(C100,2)&lt;&gt;"//",I100=0),1,0)</f>
        <v>0</v>
      </c>
      <c r="M100" s="0" t="str">
        <f aca="false">IF(I100=1,MAX(M$1:M99)+1,"")</f>
        <v/>
      </c>
      <c r="N100" s="0" t="str">
        <f aca="false">IFERROR(MATCH(ROW()-1,$V$2:$V$1201,0),"")</f>
        <v/>
      </c>
      <c r="R100" s="0" t="str">
        <f aca="false">IF(E100="","",IFERROR(LEFT(E100,FIND("-",E100)-1),E100))</f>
        <v/>
      </c>
      <c r="S100" s="0" t="str">
        <f aca="false">IF(R100="","",IF(ISNUMBER(--MID(R100,1,1)),0,IF(ISNUMBER(--MID(R100,2,1)),1,IF(ISNUMBER(--MID(R100,3,1)),2,IF(ISNUMBER(--MID(R100,4,1)),3,MIN(LEN(R100),4))))))</f>
        <v/>
      </c>
      <c r="T100" s="0" t="str">
        <f aca="false">IF(E100="","",LEFT(R100,S100)&amp;REPT("0",4-S100)&amp;RIGHT("000"&amp;IFERROR(VALUE(MID(R100,S100+1,9)),0),3)&amp;RIGHT("0000"&amp;IFERROR(VALUE(MID(E100,FIND("-",E100)+1,9)),0),4))</f>
        <v/>
      </c>
      <c r="U100" s="0" t="str">
        <f aca="false">IF(I100=1,"K"&amp;RIGHT("00"&amp;A100,2)&amp;T100&amp;RIGHT("00000"&amp;ROW(),5),"")</f>
        <v/>
      </c>
      <c r="V100" s="0" t="str">
        <f aca="false">IF(U100="","",COUNTIFS($I$2:$I$1201,1,$U$2:$U$1201,"&lt;"&amp;U100)+1)</f>
        <v/>
      </c>
    </row>
    <row r="101" customFormat="false" ht="15" hidden="false" customHeight="false" outlineLevel="0" collapsed="false">
      <c r="A101" s="0" t="n">
        <v>2</v>
      </c>
      <c r="B101" s="0" t="n">
        <v>40</v>
      </c>
      <c r="C101" s="0" t="str">
        <f aca="false">TRIM(SUBSTITUTE(INDEX(LISTAS!$A$4:$T$63,B101,A101)&amp;"",CHAR(160)," "))</f>
        <v/>
      </c>
      <c r="D101" s="0" t="str">
        <f aca="false">IF(C101="","",TRIM(RIGHT(SUBSTITUTE(C101," ",REPT(" ",100)),100)))</f>
        <v/>
      </c>
      <c r="E101" s="0" t="str">
        <f aca="false">IF(D101="","",UPPER(SUBSTITUTE(SUBSTITUTE(D101,"(",""),")","")))</f>
        <v/>
      </c>
      <c r="F101" s="0" t="str">
        <f aca="false">IF(C101="","",LEFT(C101,FIND(" ",C101&amp;" ")-1))</f>
        <v/>
      </c>
      <c r="G101" s="0" t="n">
        <f aca="false">IFERROR(VALUE(SUBSTITUTE(LOWER(F101),"x","")),0)</f>
        <v>0</v>
      </c>
      <c r="H101" s="0" t="str">
        <f aca="false">IF(C101="","",TRIM(MID(C101,LEN(F101)+2,999)))</f>
        <v/>
      </c>
      <c r="I101" s="0" t="n">
        <f aca="false">IF(OR(C101="",LEFT(C101,2)="//"),0,IFERROR(IF(AND(G101&gt;0,G101=INT(G101),FIND("-",E101)&gt;1,NOT(EXACT(UPPER(LEFT(E101,1)),LOWER(LEFT(E101,1)))),ISNUMBER(VALUE(MID(E101,FIND("-",E101)+1,10)))),1,0),0))</f>
        <v>0</v>
      </c>
      <c r="J101" s="0" t="str">
        <f aca="false">IF(I101=1,TRIM(LEFT(H101,MAX(0,LEN(H101)-LEN(D101)))),"")</f>
        <v/>
      </c>
      <c r="K101" s="0" t="str">
        <f aca="false">INDEX($P$2:$P$21,A101)</f>
        <v>Deck 2</v>
      </c>
      <c r="L101" s="0" t="n">
        <f aca="false">IF(AND(C101&lt;&gt;"",LEFT(C101,2)&lt;&gt;"//",I101=0),1,0)</f>
        <v>0</v>
      </c>
      <c r="M101" s="0" t="str">
        <f aca="false">IF(I101=1,MAX(M$1:M100)+1,"")</f>
        <v/>
      </c>
      <c r="N101" s="0" t="str">
        <f aca="false">IFERROR(MATCH(ROW()-1,$V$2:$V$1201,0),"")</f>
        <v/>
      </c>
      <c r="R101" s="0" t="str">
        <f aca="false">IF(E101="","",IFERROR(LEFT(E101,FIND("-",E101)-1),E101))</f>
        <v/>
      </c>
      <c r="S101" s="0" t="str">
        <f aca="false">IF(R101="","",IF(ISNUMBER(--MID(R101,1,1)),0,IF(ISNUMBER(--MID(R101,2,1)),1,IF(ISNUMBER(--MID(R101,3,1)),2,IF(ISNUMBER(--MID(R101,4,1)),3,MIN(LEN(R101),4))))))</f>
        <v/>
      </c>
      <c r="T101" s="0" t="str">
        <f aca="false">IF(E101="","",LEFT(R101,S101)&amp;REPT("0",4-S101)&amp;RIGHT("000"&amp;IFERROR(VALUE(MID(R101,S101+1,9)),0),3)&amp;RIGHT("0000"&amp;IFERROR(VALUE(MID(E101,FIND("-",E101)+1,9)),0),4))</f>
        <v/>
      </c>
      <c r="U101" s="0" t="str">
        <f aca="false">IF(I101=1,"K"&amp;RIGHT("00"&amp;A101,2)&amp;T101&amp;RIGHT("00000"&amp;ROW(),5),"")</f>
        <v/>
      </c>
      <c r="V101" s="0" t="str">
        <f aca="false">IF(U101="","",COUNTIFS($I$2:$I$1201,1,$U$2:$U$1201,"&lt;"&amp;U101)+1)</f>
        <v/>
      </c>
    </row>
    <row r="102" customFormat="false" ht="15" hidden="false" customHeight="false" outlineLevel="0" collapsed="false">
      <c r="A102" s="0" t="n">
        <v>2</v>
      </c>
      <c r="B102" s="0" t="n">
        <v>41</v>
      </c>
      <c r="C102" s="0" t="str">
        <f aca="false">TRIM(SUBSTITUTE(INDEX(LISTAS!$A$4:$T$63,B102,A102)&amp;"",CHAR(160)," "))</f>
        <v/>
      </c>
      <c r="D102" s="0" t="str">
        <f aca="false">IF(C102="","",TRIM(RIGHT(SUBSTITUTE(C102," ",REPT(" ",100)),100)))</f>
        <v/>
      </c>
      <c r="E102" s="0" t="str">
        <f aca="false">IF(D102="","",UPPER(SUBSTITUTE(SUBSTITUTE(D102,"(",""),")","")))</f>
        <v/>
      </c>
      <c r="F102" s="0" t="str">
        <f aca="false">IF(C102="","",LEFT(C102,FIND(" ",C102&amp;" ")-1))</f>
        <v/>
      </c>
      <c r="G102" s="0" t="n">
        <f aca="false">IFERROR(VALUE(SUBSTITUTE(LOWER(F102),"x","")),0)</f>
        <v>0</v>
      </c>
      <c r="H102" s="0" t="str">
        <f aca="false">IF(C102="","",TRIM(MID(C102,LEN(F102)+2,999)))</f>
        <v/>
      </c>
      <c r="I102" s="0" t="n">
        <f aca="false">IF(OR(C102="",LEFT(C102,2)="//"),0,IFERROR(IF(AND(G102&gt;0,G102=INT(G102),FIND("-",E102)&gt;1,NOT(EXACT(UPPER(LEFT(E102,1)),LOWER(LEFT(E102,1)))),ISNUMBER(VALUE(MID(E102,FIND("-",E102)+1,10)))),1,0),0))</f>
        <v>0</v>
      </c>
      <c r="J102" s="0" t="str">
        <f aca="false">IF(I102=1,TRIM(LEFT(H102,MAX(0,LEN(H102)-LEN(D102)))),"")</f>
        <v/>
      </c>
      <c r="K102" s="0" t="str">
        <f aca="false">INDEX($P$2:$P$21,A102)</f>
        <v>Deck 2</v>
      </c>
      <c r="L102" s="0" t="n">
        <f aca="false">IF(AND(C102&lt;&gt;"",LEFT(C102,2)&lt;&gt;"//",I102=0),1,0)</f>
        <v>0</v>
      </c>
      <c r="M102" s="0" t="str">
        <f aca="false">IF(I102=1,MAX(M$1:M101)+1,"")</f>
        <v/>
      </c>
      <c r="N102" s="0" t="str">
        <f aca="false">IFERROR(MATCH(ROW()-1,$V$2:$V$1201,0),"")</f>
        <v/>
      </c>
      <c r="R102" s="0" t="str">
        <f aca="false">IF(E102="","",IFERROR(LEFT(E102,FIND("-",E102)-1),E102))</f>
        <v/>
      </c>
      <c r="S102" s="0" t="str">
        <f aca="false">IF(R102="","",IF(ISNUMBER(--MID(R102,1,1)),0,IF(ISNUMBER(--MID(R102,2,1)),1,IF(ISNUMBER(--MID(R102,3,1)),2,IF(ISNUMBER(--MID(R102,4,1)),3,MIN(LEN(R102),4))))))</f>
        <v/>
      </c>
      <c r="T102" s="0" t="str">
        <f aca="false">IF(E102="","",LEFT(R102,S102)&amp;REPT("0",4-S102)&amp;RIGHT("000"&amp;IFERROR(VALUE(MID(R102,S102+1,9)),0),3)&amp;RIGHT("0000"&amp;IFERROR(VALUE(MID(E102,FIND("-",E102)+1,9)),0),4))</f>
        <v/>
      </c>
      <c r="U102" s="0" t="str">
        <f aca="false">IF(I102=1,"K"&amp;RIGHT("00"&amp;A102,2)&amp;T102&amp;RIGHT("00000"&amp;ROW(),5),"")</f>
        <v/>
      </c>
      <c r="V102" s="0" t="str">
        <f aca="false">IF(U102="","",COUNTIFS($I$2:$I$1201,1,$U$2:$U$1201,"&lt;"&amp;U102)+1)</f>
        <v/>
      </c>
    </row>
    <row r="103" customFormat="false" ht="15" hidden="false" customHeight="false" outlineLevel="0" collapsed="false">
      <c r="A103" s="0" t="n">
        <v>2</v>
      </c>
      <c r="B103" s="0" t="n">
        <v>42</v>
      </c>
      <c r="C103" s="0" t="str">
        <f aca="false">TRIM(SUBSTITUTE(INDEX(LISTAS!$A$4:$T$63,B103,A103)&amp;"",CHAR(160)," "))</f>
        <v/>
      </c>
      <c r="D103" s="0" t="str">
        <f aca="false">IF(C103="","",TRIM(RIGHT(SUBSTITUTE(C103," ",REPT(" ",100)),100)))</f>
        <v/>
      </c>
      <c r="E103" s="0" t="str">
        <f aca="false">IF(D103="","",UPPER(SUBSTITUTE(SUBSTITUTE(D103,"(",""),")","")))</f>
        <v/>
      </c>
      <c r="F103" s="0" t="str">
        <f aca="false">IF(C103="","",LEFT(C103,FIND(" ",C103&amp;" ")-1))</f>
        <v/>
      </c>
      <c r="G103" s="0" t="n">
        <f aca="false">IFERROR(VALUE(SUBSTITUTE(LOWER(F103),"x","")),0)</f>
        <v>0</v>
      </c>
      <c r="H103" s="0" t="str">
        <f aca="false">IF(C103="","",TRIM(MID(C103,LEN(F103)+2,999)))</f>
        <v/>
      </c>
      <c r="I103" s="0" t="n">
        <f aca="false">IF(OR(C103="",LEFT(C103,2)="//"),0,IFERROR(IF(AND(G103&gt;0,G103=INT(G103),FIND("-",E103)&gt;1,NOT(EXACT(UPPER(LEFT(E103,1)),LOWER(LEFT(E103,1)))),ISNUMBER(VALUE(MID(E103,FIND("-",E103)+1,10)))),1,0),0))</f>
        <v>0</v>
      </c>
      <c r="J103" s="0" t="str">
        <f aca="false">IF(I103=1,TRIM(LEFT(H103,MAX(0,LEN(H103)-LEN(D103)))),"")</f>
        <v/>
      </c>
      <c r="K103" s="0" t="str">
        <f aca="false">INDEX($P$2:$P$21,A103)</f>
        <v>Deck 2</v>
      </c>
      <c r="L103" s="0" t="n">
        <f aca="false">IF(AND(C103&lt;&gt;"",LEFT(C103,2)&lt;&gt;"//",I103=0),1,0)</f>
        <v>0</v>
      </c>
      <c r="M103" s="0" t="str">
        <f aca="false">IF(I103=1,MAX(M$1:M102)+1,"")</f>
        <v/>
      </c>
      <c r="N103" s="0" t="str">
        <f aca="false">IFERROR(MATCH(ROW()-1,$V$2:$V$1201,0),"")</f>
        <v/>
      </c>
      <c r="R103" s="0" t="str">
        <f aca="false">IF(E103="","",IFERROR(LEFT(E103,FIND("-",E103)-1),E103))</f>
        <v/>
      </c>
      <c r="S103" s="0" t="str">
        <f aca="false">IF(R103="","",IF(ISNUMBER(--MID(R103,1,1)),0,IF(ISNUMBER(--MID(R103,2,1)),1,IF(ISNUMBER(--MID(R103,3,1)),2,IF(ISNUMBER(--MID(R103,4,1)),3,MIN(LEN(R103),4))))))</f>
        <v/>
      </c>
      <c r="T103" s="0" t="str">
        <f aca="false">IF(E103="","",LEFT(R103,S103)&amp;REPT("0",4-S103)&amp;RIGHT("000"&amp;IFERROR(VALUE(MID(R103,S103+1,9)),0),3)&amp;RIGHT("0000"&amp;IFERROR(VALUE(MID(E103,FIND("-",E103)+1,9)),0),4))</f>
        <v/>
      </c>
      <c r="U103" s="0" t="str">
        <f aca="false">IF(I103=1,"K"&amp;RIGHT("00"&amp;A103,2)&amp;T103&amp;RIGHT("00000"&amp;ROW(),5),"")</f>
        <v/>
      </c>
      <c r="V103" s="0" t="str">
        <f aca="false">IF(U103="","",COUNTIFS($I$2:$I$1201,1,$U$2:$U$1201,"&lt;"&amp;U103)+1)</f>
        <v/>
      </c>
    </row>
    <row r="104" customFormat="false" ht="15" hidden="false" customHeight="false" outlineLevel="0" collapsed="false">
      <c r="A104" s="0" t="n">
        <v>2</v>
      </c>
      <c r="B104" s="0" t="n">
        <v>43</v>
      </c>
      <c r="C104" s="0" t="str">
        <f aca="false">TRIM(SUBSTITUTE(INDEX(LISTAS!$A$4:$T$63,B104,A104)&amp;"",CHAR(160)," "))</f>
        <v/>
      </c>
      <c r="D104" s="0" t="str">
        <f aca="false">IF(C104="","",TRIM(RIGHT(SUBSTITUTE(C104," ",REPT(" ",100)),100)))</f>
        <v/>
      </c>
      <c r="E104" s="0" t="str">
        <f aca="false">IF(D104="","",UPPER(SUBSTITUTE(SUBSTITUTE(D104,"(",""),")","")))</f>
        <v/>
      </c>
      <c r="F104" s="0" t="str">
        <f aca="false">IF(C104="","",LEFT(C104,FIND(" ",C104&amp;" ")-1))</f>
        <v/>
      </c>
      <c r="G104" s="0" t="n">
        <f aca="false">IFERROR(VALUE(SUBSTITUTE(LOWER(F104),"x","")),0)</f>
        <v>0</v>
      </c>
      <c r="H104" s="0" t="str">
        <f aca="false">IF(C104="","",TRIM(MID(C104,LEN(F104)+2,999)))</f>
        <v/>
      </c>
      <c r="I104" s="0" t="n">
        <f aca="false">IF(OR(C104="",LEFT(C104,2)="//"),0,IFERROR(IF(AND(G104&gt;0,G104=INT(G104),FIND("-",E104)&gt;1,NOT(EXACT(UPPER(LEFT(E104,1)),LOWER(LEFT(E104,1)))),ISNUMBER(VALUE(MID(E104,FIND("-",E104)+1,10)))),1,0),0))</f>
        <v>0</v>
      </c>
      <c r="J104" s="0" t="str">
        <f aca="false">IF(I104=1,TRIM(LEFT(H104,MAX(0,LEN(H104)-LEN(D104)))),"")</f>
        <v/>
      </c>
      <c r="K104" s="0" t="str">
        <f aca="false">INDEX($P$2:$P$21,A104)</f>
        <v>Deck 2</v>
      </c>
      <c r="L104" s="0" t="n">
        <f aca="false">IF(AND(C104&lt;&gt;"",LEFT(C104,2)&lt;&gt;"//",I104=0),1,0)</f>
        <v>0</v>
      </c>
      <c r="M104" s="0" t="str">
        <f aca="false">IF(I104=1,MAX(M$1:M103)+1,"")</f>
        <v/>
      </c>
      <c r="N104" s="0" t="str">
        <f aca="false">IFERROR(MATCH(ROW()-1,$V$2:$V$1201,0),"")</f>
        <v/>
      </c>
      <c r="R104" s="0" t="str">
        <f aca="false">IF(E104="","",IFERROR(LEFT(E104,FIND("-",E104)-1),E104))</f>
        <v/>
      </c>
      <c r="S104" s="0" t="str">
        <f aca="false">IF(R104="","",IF(ISNUMBER(--MID(R104,1,1)),0,IF(ISNUMBER(--MID(R104,2,1)),1,IF(ISNUMBER(--MID(R104,3,1)),2,IF(ISNUMBER(--MID(R104,4,1)),3,MIN(LEN(R104),4))))))</f>
        <v/>
      </c>
      <c r="T104" s="0" t="str">
        <f aca="false">IF(E104="","",LEFT(R104,S104)&amp;REPT("0",4-S104)&amp;RIGHT("000"&amp;IFERROR(VALUE(MID(R104,S104+1,9)),0),3)&amp;RIGHT("0000"&amp;IFERROR(VALUE(MID(E104,FIND("-",E104)+1,9)),0),4))</f>
        <v/>
      </c>
      <c r="U104" s="0" t="str">
        <f aca="false">IF(I104=1,"K"&amp;RIGHT("00"&amp;A104,2)&amp;T104&amp;RIGHT("00000"&amp;ROW(),5),"")</f>
        <v/>
      </c>
      <c r="V104" s="0" t="str">
        <f aca="false">IF(U104="","",COUNTIFS($I$2:$I$1201,1,$U$2:$U$1201,"&lt;"&amp;U104)+1)</f>
        <v/>
      </c>
    </row>
    <row r="105" customFormat="false" ht="15" hidden="false" customHeight="false" outlineLevel="0" collapsed="false">
      <c r="A105" s="0" t="n">
        <v>2</v>
      </c>
      <c r="B105" s="0" t="n">
        <v>44</v>
      </c>
      <c r="C105" s="0" t="str">
        <f aca="false">TRIM(SUBSTITUTE(INDEX(LISTAS!$A$4:$T$63,B105,A105)&amp;"",CHAR(160)," "))</f>
        <v/>
      </c>
      <c r="D105" s="0" t="str">
        <f aca="false">IF(C105="","",TRIM(RIGHT(SUBSTITUTE(C105," ",REPT(" ",100)),100)))</f>
        <v/>
      </c>
      <c r="E105" s="0" t="str">
        <f aca="false">IF(D105="","",UPPER(SUBSTITUTE(SUBSTITUTE(D105,"(",""),")","")))</f>
        <v/>
      </c>
      <c r="F105" s="0" t="str">
        <f aca="false">IF(C105="","",LEFT(C105,FIND(" ",C105&amp;" ")-1))</f>
        <v/>
      </c>
      <c r="G105" s="0" t="n">
        <f aca="false">IFERROR(VALUE(SUBSTITUTE(LOWER(F105),"x","")),0)</f>
        <v>0</v>
      </c>
      <c r="H105" s="0" t="str">
        <f aca="false">IF(C105="","",TRIM(MID(C105,LEN(F105)+2,999)))</f>
        <v/>
      </c>
      <c r="I105" s="0" t="n">
        <f aca="false">IF(OR(C105="",LEFT(C105,2)="//"),0,IFERROR(IF(AND(G105&gt;0,G105=INT(G105),FIND("-",E105)&gt;1,NOT(EXACT(UPPER(LEFT(E105,1)),LOWER(LEFT(E105,1)))),ISNUMBER(VALUE(MID(E105,FIND("-",E105)+1,10)))),1,0),0))</f>
        <v>0</v>
      </c>
      <c r="J105" s="0" t="str">
        <f aca="false">IF(I105=1,TRIM(LEFT(H105,MAX(0,LEN(H105)-LEN(D105)))),"")</f>
        <v/>
      </c>
      <c r="K105" s="0" t="str">
        <f aca="false">INDEX($P$2:$P$21,A105)</f>
        <v>Deck 2</v>
      </c>
      <c r="L105" s="0" t="n">
        <f aca="false">IF(AND(C105&lt;&gt;"",LEFT(C105,2)&lt;&gt;"//",I105=0),1,0)</f>
        <v>0</v>
      </c>
      <c r="M105" s="0" t="str">
        <f aca="false">IF(I105=1,MAX(M$1:M104)+1,"")</f>
        <v/>
      </c>
      <c r="N105" s="0" t="str">
        <f aca="false">IFERROR(MATCH(ROW()-1,$V$2:$V$1201,0),"")</f>
        <v/>
      </c>
      <c r="R105" s="0" t="str">
        <f aca="false">IF(E105="","",IFERROR(LEFT(E105,FIND("-",E105)-1),E105))</f>
        <v/>
      </c>
      <c r="S105" s="0" t="str">
        <f aca="false">IF(R105="","",IF(ISNUMBER(--MID(R105,1,1)),0,IF(ISNUMBER(--MID(R105,2,1)),1,IF(ISNUMBER(--MID(R105,3,1)),2,IF(ISNUMBER(--MID(R105,4,1)),3,MIN(LEN(R105),4))))))</f>
        <v/>
      </c>
      <c r="T105" s="0" t="str">
        <f aca="false">IF(E105="","",LEFT(R105,S105)&amp;REPT("0",4-S105)&amp;RIGHT("000"&amp;IFERROR(VALUE(MID(R105,S105+1,9)),0),3)&amp;RIGHT("0000"&amp;IFERROR(VALUE(MID(E105,FIND("-",E105)+1,9)),0),4))</f>
        <v/>
      </c>
      <c r="U105" s="0" t="str">
        <f aca="false">IF(I105=1,"K"&amp;RIGHT("00"&amp;A105,2)&amp;T105&amp;RIGHT("00000"&amp;ROW(),5),"")</f>
        <v/>
      </c>
      <c r="V105" s="0" t="str">
        <f aca="false">IF(U105="","",COUNTIFS($I$2:$I$1201,1,$U$2:$U$1201,"&lt;"&amp;U105)+1)</f>
        <v/>
      </c>
    </row>
    <row r="106" customFormat="false" ht="15" hidden="false" customHeight="false" outlineLevel="0" collapsed="false">
      <c r="A106" s="0" t="n">
        <v>2</v>
      </c>
      <c r="B106" s="0" t="n">
        <v>45</v>
      </c>
      <c r="C106" s="0" t="str">
        <f aca="false">TRIM(SUBSTITUTE(INDEX(LISTAS!$A$4:$T$63,B106,A106)&amp;"",CHAR(160)," "))</f>
        <v/>
      </c>
      <c r="D106" s="0" t="str">
        <f aca="false">IF(C106="","",TRIM(RIGHT(SUBSTITUTE(C106," ",REPT(" ",100)),100)))</f>
        <v/>
      </c>
      <c r="E106" s="0" t="str">
        <f aca="false">IF(D106="","",UPPER(SUBSTITUTE(SUBSTITUTE(D106,"(",""),")","")))</f>
        <v/>
      </c>
      <c r="F106" s="0" t="str">
        <f aca="false">IF(C106="","",LEFT(C106,FIND(" ",C106&amp;" ")-1))</f>
        <v/>
      </c>
      <c r="G106" s="0" t="n">
        <f aca="false">IFERROR(VALUE(SUBSTITUTE(LOWER(F106),"x","")),0)</f>
        <v>0</v>
      </c>
      <c r="H106" s="0" t="str">
        <f aca="false">IF(C106="","",TRIM(MID(C106,LEN(F106)+2,999)))</f>
        <v/>
      </c>
      <c r="I106" s="0" t="n">
        <f aca="false">IF(OR(C106="",LEFT(C106,2)="//"),0,IFERROR(IF(AND(G106&gt;0,G106=INT(G106),FIND("-",E106)&gt;1,NOT(EXACT(UPPER(LEFT(E106,1)),LOWER(LEFT(E106,1)))),ISNUMBER(VALUE(MID(E106,FIND("-",E106)+1,10)))),1,0),0))</f>
        <v>0</v>
      </c>
      <c r="J106" s="0" t="str">
        <f aca="false">IF(I106=1,TRIM(LEFT(H106,MAX(0,LEN(H106)-LEN(D106)))),"")</f>
        <v/>
      </c>
      <c r="K106" s="0" t="str">
        <f aca="false">INDEX($P$2:$P$21,A106)</f>
        <v>Deck 2</v>
      </c>
      <c r="L106" s="0" t="n">
        <f aca="false">IF(AND(C106&lt;&gt;"",LEFT(C106,2)&lt;&gt;"//",I106=0),1,0)</f>
        <v>0</v>
      </c>
      <c r="M106" s="0" t="str">
        <f aca="false">IF(I106=1,MAX(M$1:M105)+1,"")</f>
        <v/>
      </c>
      <c r="N106" s="0" t="str">
        <f aca="false">IFERROR(MATCH(ROW()-1,$V$2:$V$1201,0),"")</f>
        <v/>
      </c>
      <c r="R106" s="0" t="str">
        <f aca="false">IF(E106="","",IFERROR(LEFT(E106,FIND("-",E106)-1),E106))</f>
        <v/>
      </c>
      <c r="S106" s="0" t="str">
        <f aca="false">IF(R106="","",IF(ISNUMBER(--MID(R106,1,1)),0,IF(ISNUMBER(--MID(R106,2,1)),1,IF(ISNUMBER(--MID(R106,3,1)),2,IF(ISNUMBER(--MID(R106,4,1)),3,MIN(LEN(R106),4))))))</f>
        <v/>
      </c>
      <c r="T106" s="0" t="str">
        <f aca="false">IF(E106="","",LEFT(R106,S106)&amp;REPT("0",4-S106)&amp;RIGHT("000"&amp;IFERROR(VALUE(MID(R106,S106+1,9)),0),3)&amp;RIGHT("0000"&amp;IFERROR(VALUE(MID(E106,FIND("-",E106)+1,9)),0),4))</f>
        <v/>
      </c>
      <c r="U106" s="0" t="str">
        <f aca="false">IF(I106=1,"K"&amp;RIGHT("00"&amp;A106,2)&amp;T106&amp;RIGHT("00000"&amp;ROW(),5),"")</f>
        <v/>
      </c>
      <c r="V106" s="0" t="str">
        <f aca="false">IF(U106="","",COUNTIFS($I$2:$I$1201,1,$U$2:$U$1201,"&lt;"&amp;U106)+1)</f>
        <v/>
      </c>
    </row>
    <row r="107" customFormat="false" ht="15" hidden="false" customHeight="false" outlineLevel="0" collapsed="false">
      <c r="A107" s="0" t="n">
        <v>2</v>
      </c>
      <c r="B107" s="0" t="n">
        <v>46</v>
      </c>
      <c r="C107" s="0" t="str">
        <f aca="false">TRIM(SUBSTITUTE(INDEX(LISTAS!$A$4:$T$63,B107,A107)&amp;"",CHAR(160)," "))</f>
        <v/>
      </c>
      <c r="D107" s="0" t="str">
        <f aca="false">IF(C107="","",TRIM(RIGHT(SUBSTITUTE(C107," ",REPT(" ",100)),100)))</f>
        <v/>
      </c>
      <c r="E107" s="0" t="str">
        <f aca="false">IF(D107="","",UPPER(SUBSTITUTE(SUBSTITUTE(D107,"(",""),")","")))</f>
        <v/>
      </c>
      <c r="F107" s="0" t="str">
        <f aca="false">IF(C107="","",LEFT(C107,FIND(" ",C107&amp;" ")-1))</f>
        <v/>
      </c>
      <c r="G107" s="0" t="n">
        <f aca="false">IFERROR(VALUE(SUBSTITUTE(LOWER(F107),"x","")),0)</f>
        <v>0</v>
      </c>
      <c r="H107" s="0" t="str">
        <f aca="false">IF(C107="","",TRIM(MID(C107,LEN(F107)+2,999)))</f>
        <v/>
      </c>
      <c r="I107" s="0" t="n">
        <f aca="false">IF(OR(C107="",LEFT(C107,2)="//"),0,IFERROR(IF(AND(G107&gt;0,G107=INT(G107),FIND("-",E107)&gt;1,NOT(EXACT(UPPER(LEFT(E107,1)),LOWER(LEFT(E107,1)))),ISNUMBER(VALUE(MID(E107,FIND("-",E107)+1,10)))),1,0),0))</f>
        <v>0</v>
      </c>
      <c r="J107" s="0" t="str">
        <f aca="false">IF(I107=1,TRIM(LEFT(H107,MAX(0,LEN(H107)-LEN(D107)))),"")</f>
        <v/>
      </c>
      <c r="K107" s="0" t="str">
        <f aca="false">INDEX($P$2:$P$21,A107)</f>
        <v>Deck 2</v>
      </c>
      <c r="L107" s="0" t="n">
        <f aca="false">IF(AND(C107&lt;&gt;"",LEFT(C107,2)&lt;&gt;"//",I107=0),1,0)</f>
        <v>0</v>
      </c>
      <c r="M107" s="0" t="str">
        <f aca="false">IF(I107=1,MAX(M$1:M106)+1,"")</f>
        <v/>
      </c>
      <c r="N107" s="0" t="str">
        <f aca="false">IFERROR(MATCH(ROW()-1,$V$2:$V$1201,0),"")</f>
        <v/>
      </c>
      <c r="R107" s="0" t="str">
        <f aca="false">IF(E107="","",IFERROR(LEFT(E107,FIND("-",E107)-1),E107))</f>
        <v/>
      </c>
      <c r="S107" s="0" t="str">
        <f aca="false">IF(R107="","",IF(ISNUMBER(--MID(R107,1,1)),0,IF(ISNUMBER(--MID(R107,2,1)),1,IF(ISNUMBER(--MID(R107,3,1)),2,IF(ISNUMBER(--MID(R107,4,1)),3,MIN(LEN(R107),4))))))</f>
        <v/>
      </c>
      <c r="T107" s="0" t="str">
        <f aca="false">IF(E107="","",LEFT(R107,S107)&amp;REPT("0",4-S107)&amp;RIGHT("000"&amp;IFERROR(VALUE(MID(R107,S107+1,9)),0),3)&amp;RIGHT("0000"&amp;IFERROR(VALUE(MID(E107,FIND("-",E107)+1,9)),0),4))</f>
        <v/>
      </c>
      <c r="U107" s="0" t="str">
        <f aca="false">IF(I107=1,"K"&amp;RIGHT("00"&amp;A107,2)&amp;T107&amp;RIGHT("00000"&amp;ROW(),5),"")</f>
        <v/>
      </c>
      <c r="V107" s="0" t="str">
        <f aca="false">IF(U107="","",COUNTIFS($I$2:$I$1201,1,$U$2:$U$1201,"&lt;"&amp;U107)+1)</f>
        <v/>
      </c>
    </row>
    <row r="108" customFormat="false" ht="15" hidden="false" customHeight="false" outlineLevel="0" collapsed="false">
      <c r="A108" s="0" t="n">
        <v>2</v>
      </c>
      <c r="B108" s="0" t="n">
        <v>47</v>
      </c>
      <c r="C108" s="0" t="str">
        <f aca="false">TRIM(SUBSTITUTE(INDEX(LISTAS!$A$4:$T$63,B108,A108)&amp;"",CHAR(160)," "))</f>
        <v/>
      </c>
      <c r="D108" s="0" t="str">
        <f aca="false">IF(C108="","",TRIM(RIGHT(SUBSTITUTE(C108," ",REPT(" ",100)),100)))</f>
        <v/>
      </c>
      <c r="E108" s="0" t="str">
        <f aca="false">IF(D108="","",UPPER(SUBSTITUTE(SUBSTITUTE(D108,"(",""),")","")))</f>
        <v/>
      </c>
      <c r="F108" s="0" t="str">
        <f aca="false">IF(C108="","",LEFT(C108,FIND(" ",C108&amp;" ")-1))</f>
        <v/>
      </c>
      <c r="G108" s="0" t="n">
        <f aca="false">IFERROR(VALUE(SUBSTITUTE(LOWER(F108),"x","")),0)</f>
        <v>0</v>
      </c>
      <c r="H108" s="0" t="str">
        <f aca="false">IF(C108="","",TRIM(MID(C108,LEN(F108)+2,999)))</f>
        <v/>
      </c>
      <c r="I108" s="0" t="n">
        <f aca="false">IF(OR(C108="",LEFT(C108,2)="//"),0,IFERROR(IF(AND(G108&gt;0,G108=INT(G108),FIND("-",E108)&gt;1,NOT(EXACT(UPPER(LEFT(E108,1)),LOWER(LEFT(E108,1)))),ISNUMBER(VALUE(MID(E108,FIND("-",E108)+1,10)))),1,0),0))</f>
        <v>0</v>
      </c>
      <c r="J108" s="0" t="str">
        <f aca="false">IF(I108=1,TRIM(LEFT(H108,MAX(0,LEN(H108)-LEN(D108)))),"")</f>
        <v/>
      </c>
      <c r="K108" s="0" t="str">
        <f aca="false">INDEX($P$2:$P$21,A108)</f>
        <v>Deck 2</v>
      </c>
      <c r="L108" s="0" t="n">
        <f aca="false">IF(AND(C108&lt;&gt;"",LEFT(C108,2)&lt;&gt;"//",I108=0),1,0)</f>
        <v>0</v>
      </c>
      <c r="M108" s="0" t="str">
        <f aca="false">IF(I108=1,MAX(M$1:M107)+1,"")</f>
        <v/>
      </c>
      <c r="N108" s="0" t="str">
        <f aca="false">IFERROR(MATCH(ROW()-1,$V$2:$V$1201,0),"")</f>
        <v/>
      </c>
      <c r="R108" s="0" t="str">
        <f aca="false">IF(E108="","",IFERROR(LEFT(E108,FIND("-",E108)-1),E108))</f>
        <v/>
      </c>
      <c r="S108" s="0" t="str">
        <f aca="false">IF(R108="","",IF(ISNUMBER(--MID(R108,1,1)),0,IF(ISNUMBER(--MID(R108,2,1)),1,IF(ISNUMBER(--MID(R108,3,1)),2,IF(ISNUMBER(--MID(R108,4,1)),3,MIN(LEN(R108),4))))))</f>
        <v/>
      </c>
      <c r="T108" s="0" t="str">
        <f aca="false">IF(E108="","",LEFT(R108,S108)&amp;REPT("0",4-S108)&amp;RIGHT("000"&amp;IFERROR(VALUE(MID(R108,S108+1,9)),0),3)&amp;RIGHT("0000"&amp;IFERROR(VALUE(MID(E108,FIND("-",E108)+1,9)),0),4))</f>
        <v/>
      </c>
      <c r="U108" s="0" t="str">
        <f aca="false">IF(I108=1,"K"&amp;RIGHT("00"&amp;A108,2)&amp;T108&amp;RIGHT("00000"&amp;ROW(),5),"")</f>
        <v/>
      </c>
      <c r="V108" s="0" t="str">
        <f aca="false">IF(U108="","",COUNTIFS($I$2:$I$1201,1,$U$2:$U$1201,"&lt;"&amp;U108)+1)</f>
        <v/>
      </c>
    </row>
    <row r="109" customFormat="false" ht="15" hidden="false" customHeight="false" outlineLevel="0" collapsed="false">
      <c r="A109" s="0" t="n">
        <v>2</v>
      </c>
      <c r="B109" s="0" t="n">
        <v>48</v>
      </c>
      <c r="C109" s="0" t="str">
        <f aca="false">TRIM(SUBSTITUTE(INDEX(LISTAS!$A$4:$T$63,B109,A109)&amp;"",CHAR(160)," "))</f>
        <v/>
      </c>
      <c r="D109" s="0" t="str">
        <f aca="false">IF(C109="","",TRIM(RIGHT(SUBSTITUTE(C109," ",REPT(" ",100)),100)))</f>
        <v/>
      </c>
      <c r="E109" s="0" t="str">
        <f aca="false">IF(D109="","",UPPER(SUBSTITUTE(SUBSTITUTE(D109,"(",""),")","")))</f>
        <v/>
      </c>
      <c r="F109" s="0" t="str">
        <f aca="false">IF(C109="","",LEFT(C109,FIND(" ",C109&amp;" ")-1))</f>
        <v/>
      </c>
      <c r="G109" s="0" t="n">
        <f aca="false">IFERROR(VALUE(SUBSTITUTE(LOWER(F109),"x","")),0)</f>
        <v>0</v>
      </c>
      <c r="H109" s="0" t="str">
        <f aca="false">IF(C109="","",TRIM(MID(C109,LEN(F109)+2,999)))</f>
        <v/>
      </c>
      <c r="I109" s="0" t="n">
        <f aca="false">IF(OR(C109="",LEFT(C109,2)="//"),0,IFERROR(IF(AND(G109&gt;0,G109=INT(G109),FIND("-",E109)&gt;1,NOT(EXACT(UPPER(LEFT(E109,1)),LOWER(LEFT(E109,1)))),ISNUMBER(VALUE(MID(E109,FIND("-",E109)+1,10)))),1,0),0))</f>
        <v>0</v>
      </c>
      <c r="J109" s="0" t="str">
        <f aca="false">IF(I109=1,TRIM(LEFT(H109,MAX(0,LEN(H109)-LEN(D109)))),"")</f>
        <v/>
      </c>
      <c r="K109" s="0" t="str">
        <f aca="false">INDEX($P$2:$P$21,A109)</f>
        <v>Deck 2</v>
      </c>
      <c r="L109" s="0" t="n">
        <f aca="false">IF(AND(C109&lt;&gt;"",LEFT(C109,2)&lt;&gt;"//",I109=0),1,0)</f>
        <v>0</v>
      </c>
      <c r="M109" s="0" t="str">
        <f aca="false">IF(I109=1,MAX(M$1:M108)+1,"")</f>
        <v/>
      </c>
      <c r="N109" s="0" t="str">
        <f aca="false">IFERROR(MATCH(ROW()-1,$V$2:$V$1201,0),"")</f>
        <v/>
      </c>
      <c r="R109" s="0" t="str">
        <f aca="false">IF(E109="","",IFERROR(LEFT(E109,FIND("-",E109)-1),E109))</f>
        <v/>
      </c>
      <c r="S109" s="0" t="str">
        <f aca="false">IF(R109="","",IF(ISNUMBER(--MID(R109,1,1)),0,IF(ISNUMBER(--MID(R109,2,1)),1,IF(ISNUMBER(--MID(R109,3,1)),2,IF(ISNUMBER(--MID(R109,4,1)),3,MIN(LEN(R109),4))))))</f>
        <v/>
      </c>
      <c r="T109" s="0" t="str">
        <f aca="false">IF(E109="","",LEFT(R109,S109)&amp;REPT("0",4-S109)&amp;RIGHT("000"&amp;IFERROR(VALUE(MID(R109,S109+1,9)),0),3)&amp;RIGHT("0000"&amp;IFERROR(VALUE(MID(E109,FIND("-",E109)+1,9)),0),4))</f>
        <v/>
      </c>
      <c r="U109" s="0" t="str">
        <f aca="false">IF(I109=1,"K"&amp;RIGHT("00"&amp;A109,2)&amp;T109&amp;RIGHT("00000"&amp;ROW(),5),"")</f>
        <v/>
      </c>
      <c r="V109" s="0" t="str">
        <f aca="false">IF(U109="","",COUNTIFS($I$2:$I$1201,1,$U$2:$U$1201,"&lt;"&amp;U109)+1)</f>
        <v/>
      </c>
    </row>
    <row r="110" customFormat="false" ht="15" hidden="false" customHeight="false" outlineLevel="0" collapsed="false">
      <c r="A110" s="0" t="n">
        <v>2</v>
      </c>
      <c r="B110" s="0" t="n">
        <v>49</v>
      </c>
      <c r="C110" s="0" t="str">
        <f aca="false">TRIM(SUBSTITUTE(INDEX(LISTAS!$A$4:$T$63,B110,A110)&amp;"",CHAR(160)," "))</f>
        <v/>
      </c>
      <c r="D110" s="0" t="str">
        <f aca="false">IF(C110="","",TRIM(RIGHT(SUBSTITUTE(C110," ",REPT(" ",100)),100)))</f>
        <v/>
      </c>
      <c r="E110" s="0" t="str">
        <f aca="false">IF(D110="","",UPPER(SUBSTITUTE(SUBSTITUTE(D110,"(",""),")","")))</f>
        <v/>
      </c>
      <c r="F110" s="0" t="str">
        <f aca="false">IF(C110="","",LEFT(C110,FIND(" ",C110&amp;" ")-1))</f>
        <v/>
      </c>
      <c r="G110" s="0" t="n">
        <f aca="false">IFERROR(VALUE(SUBSTITUTE(LOWER(F110),"x","")),0)</f>
        <v>0</v>
      </c>
      <c r="H110" s="0" t="str">
        <f aca="false">IF(C110="","",TRIM(MID(C110,LEN(F110)+2,999)))</f>
        <v/>
      </c>
      <c r="I110" s="0" t="n">
        <f aca="false">IF(OR(C110="",LEFT(C110,2)="//"),0,IFERROR(IF(AND(G110&gt;0,G110=INT(G110),FIND("-",E110)&gt;1,NOT(EXACT(UPPER(LEFT(E110,1)),LOWER(LEFT(E110,1)))),ISNUMBER(VALUE(MID(E110,FIND("-",E110)+1,10)))),1,0),0))</f>
        <v>0</v>
      </c>
      <c r="J110" s="0" t="str">
        <f aca="false">IF(I110=1,TRIM(LEFT(H110,MAX(0,LEN(H110)-LEN(D110)))),"")</f>
        <v/>
      </c>
      <c r="K110" s="0" t="str">
        <f aca="false">INDEX($P$2:$P$21,A110)</f>
        <v>Deck 2</v>
      </c>
      <c r="L110" s="0" t="n">
        <f aca="false">IF(AND(C110&lt;&gt;"",LEFT(C110,2)&lt;&gt;"//",I110=0),1,0)</f>
        <v>0</v>
      </c>
      <c r="M110" s="0" t="str">
        <f aca="false">IF(I110=1,MAX(M$1:M109)+1,"")</f>
        <v/>
      </c>
      <c r="N110" s="0" t="str">
        <f aca="false">IFERROR(MATCH(ROW()-1,$V$2:$V$1201,0),"")</f>
        <v/>
      </c>
      <c r="R110" s="0" t="str">
        <f aca="false">IF(E110="","",IFERROR(LEFT(E110,FIND("-",E110)-1),E110))</f>
        <v/>
      </c>
      <c r="S110" s="0" t="str">
        <f aca="false">IF(R110="","",IF(ISNUMBER(--MID(R110,1,1)),0,IF(ISNUMBER(--MID(R110,2,1)),1,IF(ISNUMBER(--MID(R110,3,1)),2,IF(ISNUMBER(--MID(R110,4,1)),3,MIN(LEN(R110),4))))))</f>
        <v/>
      </c>
      <c r="T110" s="0" t="str">
        <f aca="false">IF(E110="","",LEFT(R110,S110)&amp;REPT("0",4-S110)&amp;RIGHT("000"&amp;IFERROR(VALUE(MID(R110,S110+1,9)),0),3)&amp;RIGHT("0000"&amp;IFERROR(VALUE(MID(E110,FIND("-",E110)+1,9)),0),4))</f>
        <v/>
      </c>
      <c r="U110" s="0" t="str">
        <f aca="false">IF(I110=1,"K"&amp;RIGHT("00"&amp;A110,2)&amp;T110&amp;RIGHT("00000"&amp;ROW(),5),"")</f>
        <v/>
      </c>
      <c r="V110" s="0" t="str">
        <f aca="false">IF(U110="","",COUNTIFS($I$2:$I$1201,1,$U$2:$U$1201,"&lt;"&amp;U110)+1)</f>
        <v/>
      </c>
    </row>
    <row r="111" customFormat="false" ht="15" hidden="false" customHeight="false" outlineLevel="0" collapsed="false">
      <c r="A111" s="0" t="n">
        <v>2</v>
      </c>
      <c r="B111" s="0" t="n">
        <v>50</v>
      </c>
      <c r="C111" s="0" t="str">
        <f aca="false">TRIM(SUBSTITUTE(INDEX(LISTAS!$A$4:$T$63,B111,A111)&amp;"",CHAR(160)," "))</f>
        <v/>
      </c>
      <c r="D111" s="0" t="str">
        <f aca="false">IF(C111="","",TRIM(RIGHT(SUBSTITUTE(C111," ",REPT(" ",100)),100)))</f>
        <v/>
      </c>
      <c r="E111" s="0" t="str">
        <f aca="false">IF(D111="","",UPPER(SUBSTITUTE(SUBSTITUTE(D111,"(",""),")","")))</f>
        <v/>
      </c>
      <c r="F111" s="0" t="str">
        <f aca="false">IF(C111="","",LEFT(C111,FIND(" ",C111&amp;" ")-1))</f>
        <v/>
      </c>
      <c r="G111" s="0" t="n">
        <f aca="false">IFERROR(VALUE(SUBSTITUTE(LOWER(F111),"x","")),0)</f>
        <v>0</v>
      </c>
      <c r="H111" s="0" t="str">
        <f aca="false">IF(C111="","",TRIM(MID(C111,LEN(F111)+2,999)))</f>
        <v/>
      </c>
      <c r="I111" s="0" t="n">
        <f aca="false">IF(OR(C111="",LEFT(C111,2)="//"),0,IFERROR(IF(AND(G111&gt;0,G111=INT(G111),FIND("-",E111)&gt;1,NOT(EXACT(UPPER(LEFT(E111,1)),LOWER(LEFT(E111,1)))),ISNUMBER(VALUE(MID(E111,FIND("-",E111)+1,10)))),1,0),0))</f>
        <v>0</v>
      </c>
      <c r="J111" s="0" t="str">
        <f aca="false">IF(I111=1,TRIM(LEFT(H111,MAX(0,LEN(H111)-LEN(D111)))),"")</f>
        <v/>
      </c>
      <c r="K111" s="0" t="str">
        <f aca="false">INDEX($P$2:$P$21,A111)</f>
        <v>Deck 2</v>
      </c>
      <c r="L111" s="0" t="n">
        <f aca="false">IF(AND(C111&lt;&gt;"",LEFT(C111,2)&lt;&gt;"//",I111=0),1,0)</f>
        <v>0</v>
      </c>
      <c r="M111" s="0" t="str">
        <f aca="false">IF(I111=1,MAX(M$1:M110)+1,"")</f>
        <v/>
      </c>
      <c r="N111" s="0" t="str">
        <f aca="false">IFERROR(MATCH(ROW()-1,$V$2:$V$1201,0),"")</f>
        <v/>
      </c>
      <c r="R111" s="0" t="str">
        <f aca="false">IF(E111="","",IFERROR(LEFT(E111,FIND("-",E111)-1),E111))</f>
        <v/>
      </c>
      <c r="S111" s="0" t="str">
        <f aca="false">IF(R111="","",IF(ISNUMBER(--MID(R111,1,1)),0,IF(ISNUMBER(--MID(R111,2,1)),1,IF(ISNUMBER(--MID(R111,3,1)),2,IF(ISNUMBER(--MID(R111,4,1)),3,MIN(LEN(R111),4))))))</f>
        <v/>
      </c>
      <c r="T111" s="0" t="str">
        <f aca="false">IF(E111="","",LEFT(R111,S111)&amp;REPT("0",4-S111)&amp;RIGHT("000"&amp;IFERROR(VALUE(MID(R111,S111+1,9)),0),3)&amp;RIGHT("0000"&amp;IFERROR(VALUE(MID(E111,FIND("-",E111)+1,9)),0),4))</f>
        <v/>
      </c>
      <c r="U111" s="0" t="str">
        <f aca="false">IF(I111=1,"K"&amp;RIGHT("00"&amp;A111,2)&amp;T111&amp;RIGHT("00000"&amp;ROW(),5),"")</f>
        <v/>
      </c>
      <c r="V111" s="0" t="str">
        <f aca="false">IF(U111="","",COUNTIFS($I$2:$I$1201,1,$U$2:$U$1201,"&lt;"&amp;U111)+1)</f>
        <v/>
      </c>
    </row>
    <row r="112" customFormat="false" ht="15" hidden="false" customHeight="false" outlineLevel="0" collapsed="false">
      <c r="A112" s="0" t="n">
        <v>2</v>
      </c>
      <c r="B112" s="0" t="n">
        <v>51</v>
      </c>
      <c r="C112" s="0" t="str">
        <f aca="false">TRIM(SUBSTITUTE(INDEX(LISTAS!$A$4:$T$63,B112,A112)&amp;"",CHAR(160)," "))</f>
        <v/>
      </c>
      <c r="D112" s="0" t="str">
        <f aca="false">IF(C112="","",TRIM(RIGHT(SUBSTITUTE(C112," ",REPT(" ",100)),100)))</f>
        <v/>
      </c>
      <c r="E112" s="0" t="str">
        <f aca="false">IF(D112="","",UPPER(SUBSTITUTE(SUBSTITUTE(D112,"(",""),")","")))</f>
        <v/>
      </c>
      <c r="F112" s="0" t="str">
        <f aca="false">IF(C112="","",LEFT(C112,FIND(" ",C112&amp;" ")-1))</f>
        <v/>
      </c>
      <c r="G112" s="0" t="n">
        <f aca="false">IFERROR(VALUE(SUBSTITUTE(LOWER(F112),"x","")),0)</f>
        <v>0</v>
      </c>
      <c r="H112" s="0" t="str">
        <f aca="false">IF(C112="","",TRIM(MID(C112,LEN(F112)+2,999)))</f>
        <v/>
      </c>
      <c r="I112" s="0" t="n">
        <f aca="false">IF(OR(C112="",LEFT(C112,2)="//"),0,IFERROR(IF(AND(G112&gt;0,G112=INT(G112),FIND("-",E112)&gt;1,NOT(EXACT(UPPER(LEFT(E112,1)),LOWER(LEFT(E112,1)))),ISNUMBER(VALUE(MID(E112,FIND("-",E112)+1,10)))),1,0),0))</f>
        <v>0</v>
      </c>
      <c r="J112" s="0" t="str">
        <f aca="false">IF(I112=1,TRIM(LEFT(H112,MAX(0,LEN(H112)-LEN(D112)))),"")</f>
        <v/>
      </c>
      <c r="K112" s="0" t="str">
        <f aca="false">INDEX($P$2:$P$21,A112)</f>
        <v>Deck 2</v>
      </c>
      <c r="L112" s="0" t="n">
        <f aca="false">IF(AND(C112&lt;&gt;"",LEFT(C112,2)&lt;&gt;"//",I112=0),1,0)</f>
        <v>0</v>
      </c>
      <c r="M112" s="0" t="str">
        <f aca="false">IF(I112=1,MAX(M$1:M111)+1,"")</f>
        <v/>
      </c>
      <c r="N112" s="0" t="str">
        <f aca="false">IFERROR(MATCH(ROW()-1,$V$2:$V$1201,0),"")</f>
        <v/>
      </c>
      <c r="R112" s="0" t="str">
        <f aca="false">IF(E112="","",IFERROR(LEFT(E112,FIND("-",E112)-1),E112))</f>
        <v/>
      </c>
      <c r="S112" s="0" t="str">
        <f aca="false">IF(R112="","",IF(ISNUMBER(--MID(R112,1,1)),0,IF(ISNUMBER(--MID(R112,2,1)),1,IF(ISNUMBER(--MID(R112,3,1)),2,IF(ISNUMBER(--MID(R112,4,1)),3,MIN(LEN(R112),4))))))</f>
        <v/>
      </c>
      <c r="T112" s="0" t="str">
        <f aca="false">IF(E112="","",LEFT(R112,S112)&amp;REPT("0",4-S112)&amp;RIGHT("000"&amp;IFERROR(VALUE(MID(R112,S112+1,9)),0),3)&amp;RIGHT("0000"&amp;IFERROR(VALUE(MID(E112,FIND("-",E112)+1,9)),0),4))</f>
        <v/>
      </c>
      <c r="U112" s="0" t="str">
        <f aca="false">IF(I112=1,"K"&amp;RIGHT("00"&amp;A112,2)&amp;T112&amp;RIGHT("00000"&amp;ROW(),5),"")</f>
        <v/>
      </c>
      <c r="V112" s="0" t="str">
        <f aca="false">IF(U112="","",COUNTIFS($I$2:$I$1201,1,$U$2:$U$1201,"&lt;"&amp;U112)+1)</f>
        <v/>
      </c>
    </row>
    <row r="113" customFormat="false" ht="15" hidden="false" customHeight="false" outlineLevel="0" collapsed="false">
      <c r="A113" s="0" t="n">
        <v>2</v>
      </c>
      <c r="B113" s="0" t="n">
        <v>52</v>
      </c>
      <c r="C113" s="0" t="str">
        <f aca="false">TRIM(SUBSTITUTE(INDEX(LISTAS!$A$4:$T$63,B113,A113)&amp;"",CHAR(160)," "))</f>
        <v/>
      </c>
      <c r="D113" s="0" t="str">
        <f aca="false">IF(C113="","",TRIM(RIGHT(SUBSTITUTE(C113," ",REPT(" ",100)),100)))</f>
        <v/>
      </c>
      <c r="E113" s="0" t="str">
        <f aca="false">IF(D113="","",UPPER(SUBSTITUTE(SUBSTITUTE(D113,"(",""),")","")))</f>
        <v/>
      </c>
      <c r="F113" s="0" t="str">
        <f aca="false">IF(C113="","",LEFT(C113,FIND(" ",C113&amp;" ")-1))</f>
        <v/>
      </c>
      <c r="G113" s="0" t="n">
        <f aca="false">IFERROR(VALUE(SUBSTITUTE(LOWER(F113),"x","")),0)</f>
        <v>0</v>
      </c>
      <c r="H113" s="0" t="str">
        <f aca="false">IF(C113="","",TRIM(MID(C113,LEN(F113)+2,999)))</f>
        <v/>
      </c>
      <c r="I113" s="0" t="n">
        <f aca="false">IF(OR(C113="",LEFT(C113,2)="//"),0,IFERROR(IF(AND(G113&gt;0,G113=INT(G113),FIND("-",E113)&gt;1,NOT(EXACT(UPPER(LEFT(E113,1)),LOWER(LEFT(E113,1)))),ISNUMBER(VALUE(MID(E113,FIND("-",E113)+1,10)))),1,0),0))</f>
        <v>0</v>
      </c>
      <c r="J113" s="0" t="str">
        <f aca="false">IF(I113=1,TRIM(LEFT(H113,MAX(0,LEN(H113)-LEN(D113)))),"")</f>
        <v/>
      </c>
      <c r="K113" s="0" t="str">
        <f aca="false">INDEX($P$2:$P$21,A113)</f>
        <v>Deck 2</v>
      </c>
      <c r="L113" s="0" t="n">
        <f aca="false">IF(AND(C113&lt;&gt;"",LEFT(C113,2)&lt;&gt;"//",I113=0),1,0)</f>
        <v>0</v>
      </c>
      <c r="M113" s="0" t="str">
        <f aca="false">IF(I113=1,MAX(M$1:M112)+1,"")</f>
        <v/>
      </c>
      <c r="N113" s="0" t="str">
        <f aca="false">IFERROR(MATCH(ROW()-1,$V$2:$V$1201,0),"")</f>
        <v/>
      </c>
      <c r="R113" s="0" t="str">
        <f aca="false">IF(E113="","",IFERROR(LEFT(E113,FIND("-",E113)-1),E113))</f>
        <v/>
      </c>
      <c r="S113" s="0" t="str">
        <f aca="false">IF(R113="","",IF(ISNUMBER(--MID(R113,1,1)),0,IF(ISNUMBER(--MID(R113,2,1)),1,IF(ISNUMBER(--MID(R113,3,1)),2,IF(ISNUMBER(--MID(R113,4,1)),3,MIN(LEN(R113),4))))))</f>
        <v/>
      </c>
      <c r="T113" s="0" t="str">
        <f aca="false">IF(E113="","",LEFT(R113,S113)&amp;REPT("0",4-S113)&amp;RIGHT("000"&amp;IFERROR(VALUE(MID(R113,S113+1,9)),0),3)&amp;RIGHT("0000"&amp;IFERROR(VALUE(MID(E113,FIND("-",E113)+1,9)),0),4))</f>
        <v/>
      </c>
      <c r="U113" s="0" t="str">
        <f aca="false">IF(I113=1,"K"&amp;RIGHT("00"&amp;A113,2)&amp;T113&amp;RIGHT("00000"&amp;ROW(),5),"")</f>
        <v/>
      </c>
      <c r="V113" s="0" t="str">
        <f aca="false">IF(U113="","",COUNTIFS($I$2:$I$1201,1,$U$2:$U$1201,"&lt;"&amp;U113)+1)</f>
        <v/>
      </c>
    </row>
    <row r="114" customFormat="false" ht="15" hidden="false" customHeight="false" outlineLevel="0" collapsed="false">
      <c r="A114" s="0" t="n">
        <v>2</v>
      </c>
      <c r="B114" s="0" t="n">
        <v>53</v>
      </c>
      <c r="C114" s="0" t="str">
        <f aca="false">TRIM(SUBSTITUTE(INDEX(LISTAS!$A$4:$T$63,B114,A114)&amp;"",CHAR(160)," "))</f>
        <v/>
      </c>
      <c r="D114" s="0" t="str">
        <f aca="false">IF(C114="","",TRIM(RIGHT(SUBSTITUTE(C114," ",REPT(" ",100)),100)))</f>
        <v/>
      </c>
      <c r="E114" s="0" t="str">
        <f aca="false">IF(D114="","",UPPER(SUBSTITUTE(SUBSTITUTE(D114,"(",""),")","")))</f>
        <v/>
      </c>
      <c r="F114" s="0" t="str">
        <f aca="false">IF(C114="","",LEFT(C114,FIND(" ",C114&amp;" ")-1))</f>
        <v/>
      </c>
      <c r="G114" s="0" t="n">
        <f aca="false">IFERROR(VALUE(SUBSTITUTE(LOWER(F114),"x","")),0)</f>
        <v>0</v>
      </c>
      <c r="H114" s="0" t="str">
        <f aca="false">IF(C114="","",TRIM(MID(C114,LEN(F114)+2,999)))</f>
        <v/>
      </c>
      <c r="I114" s="0" t="n">
        <f aca="false">IF(OR(C114="",LEFT(C114,2)="//"),0,IFERROR(IF(AND(G114&gt;0,G114=INT(G114),FIND("-",E114)&gt;1,NOT(EXACT(UPPER(LEFT(E114,1)),LOWER(LEFT(E114,1)))),ISNUMBER(VALUE(MID(E114,FIND("-",E114)+1,10)))),1,0),0))</f>
        <v>0</v>
      </c>
      <c r="J114" s="0" t="str">
        <f aca="false">IF(I114=1,TRIM(LEFT(H114,MAX(0,LEN(H114)-LEN(D114)))),"")</f>
        <v/>
      </c>
      <c r="K114" s="0" t="str">
        <f aca="false">INDEX($P$2:$P$21,A114)</f>
        <v>Deck 2</v>
      </c>
      <c r="L114" s="0" t="n">
        <f aca="false">IF(AND(C114&lt;&gt;"",LEFT(C114,2)&lt;&gt;"//",I114=0),1,0)</f>
        <v>0</v>
      </c>
      <c r="M114" s="0" t="str">
        <f aca="false">IF(I114=1,MAX(M$1:M113)+1,"")</f>
        <v/>
      </c>
      <c r="N114" s="0" t="str">
        <f aca="false">IFERROR(MATCH(ROW()-1,$V$2:$V$1201,0),"")</f>
        <v/>
      </c>
      <c r="R114" s="0" t="str">
        <f aca="false">IF(E114="","",IFERROR(LEFT(E114,FIND("-",E114)-1),E114))</f>
        <v/>
      </c>
      <c r="S114" s="0" t="str">
        <f aca="false">IF(R114="","",IF(ISNUMBER(--MID(R114,1,1)),0,IF(ISNUMBER(--MID(R114,2,1)),1,IF(ISNUMBER(--MID(R114,3,1)),2,IF(ISNUMBER(--MID(R114,4,1)),3,MIN(LEN(R114),4))))))</f>
        <v/>
      </c>
      <c r="T114" s="0" t="str">
        <f aca="false">IF(E114="","",LEFT(R114,S114)&amp;REPT("0",4-S114)&amp;RIGHT("000"&amp;IFERROR(VALUE(MID(R114,S114+1,9)),0),3)&amp;RIGHT("0000"&amp;IFERROR(VALUE(MID(E114,FIND("-",E114)+1,9)),0),4))</f>
        <v/>
      </c>
      <c r="U114" s="0" t="str">
        <f aca="false">IF(I114=1,"K"&amp;RIGHT("00"&amp;A114,2)&amp;T114&amp;RIGHT("00000"&amp;ROW(),5),"")</f>
        <v/>
      </c>
      <c r="V114" s="0" t="str">
        <f aca="false">IF(U114="","",COUNTIFS($I$2:$I$1201,1,$U$2:$U$1201,"&lt;"&amp;U114)+1)</f>
        <v/>
      </c>
    </row>
    <row r="115" customFormat="false" ht="15" hidden="false" customHeight="false" outlineLevel="0" collapsed="false">
      <c r="A115" s="0" t="n">
        <v>2</v>
      </c>
      <c r="B115" s="0" t="n">
        <v>54</v>
      </c>
      <c r="C115" s="0" t="str">
        <f aca="false">TRIM(SUBSTITUTE(INDEX(LISTAS!$A$4:$T$63,B115,A115)&amp;"",CHAR(160)," "))</f>
        <v/>
      </c>
      <c r="D115" s="0" t="str">
        <f aca="false">IF(C115="","",TRIM(RIGHT(SUBSTITUTE(C115," ",REPT(" ",100)),100)))</f>
        <v/>
      </c>
      <c r="E115" s="0" t="str">
        <f aca="false">IF(D115="","",UPPER(SUBSTITUTE(SUBSTITUTE(D115,"(",""),")","")))</f>
        <v/>
      </c>
      <c r="F115" s="0" t="str">
        <f aca="false">IF(C115="","",LEFT(C115,FIND(" ",C115&amp;" ")-1))</f>
        <v/>
      </c>
      <c r="G115" s="0" t="n">
        <f aca="false">IFERROR(VALUE(SUBSTITUTE(LOWER(F115),"x","")),0)</f>
        <v>0</v>
      </c>
      <c r="H115" s="0" t="str">
        <f aca="false">IF(C115="","",TRIM(MID(C115,LEN(F115)+2,999)))</f>
        <v/>
      </c>
      <c r="I115" s="0" t="n">
        <f aca="false">IF(OR(C115="",LEFT(C115,2)="//"),0,IFERROR(IF(AND(G115&gt;0,G115=INT(G115),FIND("-",E115)&gt;1,NOT(EXACT(UPPER(LEFT(E115,1)),LOWER(LEFT(E115,1)))),ISNUMBER(VALUE(MID(E115,FIND("-",E115)+1,10)))),1,0),0))</f>
        <v>0</v>
      </c>
      <c r="J115" s="0" t="str">
        <f aca="false">IF(I115=1,TRIM(LEFT(H115,MAX(0,LEN(H115)-LEN(D115)))),"")</f>
        <v/>
      </c>
      <c r="K115" s="0" t="str">
        <f aca="false">INDEX($P$2:$P$21,A115)</f>
        <v>Deck 2</v>
      </c>
      <c r="L115" s="0" t="n">
        <f aca="false">IF(AND(C115&lt;&gt;"",LEFT(C115,2)&lt;&gt;"//",I115=0),1,0)</f>
        <v>0</v>
      </c>
      <c r="M115" s="0" t="str">
        <f aca="false">IF(I115=1,MAX(M$1:M114)+1,"")</f>
        <v/>
      </c>
      <c r="N115" s="0" t="str">
        <f aca="false">IFERROR(MATCH(ROW()-1,$V$2:$V$1201,0),"")</f>
        <v/>
      </c>
      <c r="R115" s="0" t="str">
        <f aca="false">IF(E115="","",IFERROR(LEFT(E115,FIND("-",E115)-1),E115))</f>
        <v/>
      </c>
      <c r="S115" s="0" t="str">
        <f aca="false">IF(R115="","",IF(ISNUMBER(--MID(R115,1,1)),0,IF(ISNUMBER(--MID(R115,2,1)),1,IF(ISNUMBER(--MID(R115,3,1)),2,IF(ISNUMBER(--MID(R115,4,1)),3,MIN(LEN(R115),4))))))</f>
        <v/>
      </c>
      <c r="T115" s="0" t="str">
        <f aca="false">IF(E115="","",LEFT(R115,S115)&amp;REPT("0",4-S115)&amp;RIGHT("000"&amp;IFERROR(VALUE(MID(R115,S115+1,9)),0),3)&amp;RIGHT("0000"&amp;IFERROR(VALUE(MID(E115,FIND("-",E115)+1,9)),0),4))</f>
        <v/>
      </c>
      <c r="U115" s="0" t="str">
        <f aca="false">IF(I115=1,"K"&amp;RIGHT("00"&amp;A115,2)&amp;T115&amp;RIGHT("00000"&amp;ROW(),5),"")</f>
        <v/>
      </c>
      <c r="V115" s="0" t="str">
        <f aca="false">IF(U115="","",COUNTIFS($I$2:$I$1201,1,$U$2:$U$1201,"&lt;"&amp;U115)+1)</f>
        <v/>
      </c>
    </row>
    <row r="116" customFormat="false" ht="15" hidden="false" customHeight="false" outlineLevel="0" collapsed="false">
      <c r="A116" s="0" t="n">
        <v>2</v>
      </c>
      <c r="B116" s="0" t="n">
        <v>55</v>
      </c>
      <c r="C116" s="0" t="str">
        <f aca="false">TRIM(SUBSTITUTE(INDEX(LISTAS!$A$4:$T$63,B116,A116)&amp;"",CHAR(160)," "))</f>
        <v/>
      </c>
      <c r="D116" s="0" t="str">
        <f aca="false">IF(C116="","",TRIM(RIGHT(SUBSTITUTE(C116," ",REPT(" ",100)),100)))</f>
        <v/>
      </c>
      <c r="E116" s="0" t="str">
        <f aca="false">IF(D116="","",UPPER(SUBSTITUTE(SUBSTITUTE(D116,"(",""),")","")))</f>
        <v/>
      </c>
      <c r="F116" s="0" t="str">
        <f aca="false">IF(C116="","",LEFT(C116,FIND(" ",C116&amp;" ")-1))</f>
        <v/>
      </c>
      <c r="G116" s="0" t="n">
        <f aca="false">IFERROR(VALUE(SUBSTITUTE(LOWER(F116),"x","")),0)</f>
        <v>0</v>
      </c>
      <c r="H116" s="0" t="str">
        <f aca="false">IF(C116="","",TRIM(MID(C116,LEN(F116)+2,999)))</f>
        <v/>
      </c>
      <c r="I116" s="0" t="n">
        <f aca="false">IF(OR(C116="",LEFT(C116,2)="//"),0,IFERROR(IF(AND(G116&gt;0,G116=INT(G116),FIND("-",E116)&gt;1,NOT(EXACT(UPPER(LEFT(E116,1)),LOWER(LEFT(E116,1)))),ISNUMBER(VALUE(MID(E116,FIND("-",E116)+1,10)))),1,0),0))</f>
        <v>0</v>
      </c>
      <c r="J116" s="0" t="str">
        <f aca="false">IF(I116=1,TRIM(LEFT(H116,MAX(0,LEN(H116)-LEN(D116)))),"")</f>
        <v/>
      </c>
      <c r="K116" s="0" t="str">
        <f aca="false">INDEX($P$2:$P$21,A116)</f>
        <v>Deck 2</v>
      </c>
      <c r="L116" s="0" t="n">
        <f aca="false">IF(AND(C116&lt;&gt;"",LEFT(C116,2)&lt;&gt;"//",I116=0),1,0)</f>
        <v>0</v>
      </c>
      <c r="M116" s="0" t="str">
        <f aca="false">IF(I116=1,MAX(M$1:M115)+1,"")</f>
        <v/>
      </c>
      <c r="N116" s="0" t="str">
        <f aca="false">IFERROR(MATCH(ROW()-1,$V$2:$V$1201,0),"")</f>
        <v/>
      </c>
      <c r="R116" s="0" t="str">
        <f aca="false">IF(E116="","",IFERROR(LEFT(E116,FIND("-",E116)-1),E116))</f>
        <v/>
      </c>
      <c r="S116" s="0" t="str">
        <f aca="false">IF(R116="","",IF(ISNUMBER(--MID(R116,1,1)),0,IF(ISNUMBER(--MID(R116,2,1)),1,IF(ISNUMBER(--MID(R116,3,1)),2,IF(ISNUMBER(--MID(R116,4,1)),3,MIN(LEN(R116),4))))))</f>
        <v/>
      </c>
      <c r="T116" s="0" t="str">
        <f aca="false">IF(E116="","",LEFT(R116,S116)&amp;REPT("0",4-S116)&amp;RIGHT("000"&amp;IFERROR(VALUE(MID(R116,S116+1,9)),0),3)&amp;RIGHT("0000"&amp;IFERROR(VALUE(MID(E116,FIND("-",E116)+1,9)),0),4))</f>
        <v/>
      </c>
      <c r="U116" s="0" t="str">
        <f aca="false">IF(I116=1,"K"&amp;RIGHT("00"&amp;A116,2)&amp;T116&amp;RIGHT("00000"&amp;ROW(),5),"")</f>
        <v/>
      </c>
      <c r="V116" s="0" t="str">
        <f aca="false">IF(U116="","",COUNTIFS($I$2:$I$1201,1,$U$2:$U$1201,"&lt;"&amp;U116)+1)</f>
        <v/>
      </c>
    </row>
    <row r="117" customFormat="false" ht="15" hidden="false" customHeight="false" outlineLevel="0" collapsed="false">
      <c r="A117" s="0" t="n">
        <v>2</v>
      </c>
      <c r="B117" s="0" t="n">
        <v>56</v>
      </c>
      <c r="C117" s="0" t="str">
        <f aca="false">TRIM(SUBSTITUTE(INDEX(LISTAS!$A$4:$T$63,B117,A117)&amp;"",CHAR(160)," "))</f>
        <v/>
      </c>
      <c r="D117" s="0" t="str">
        <f aca="false">IF(C117="","",TRIM(RIGHT(SUBSTITUTE(C117," ",REPT(" ",100)),100)))</f>
        <v/>
      </c>
      <c r="E117" s="0" t="str">
        <f aca="false">IF(D117="","",UPPER(SUBSTITUTE(SUBSTITUTE(D117,"(",""),")","")))</f>
        <v/>
      </c>
      <c r="F117" s="0" t="str">
        <f aca="false">IF(C117="","",LEFT(C117,FIND(" ",C117&amp;" ")-1))</f>
        <v/>
      </c>
      <c r="G117" s="0" t="n">
        <f aca="false">IFERROR(VALUE(SUBSTITUTE(LOWER(F117),"x","")),0)</f>
        <v>0</v>
      </c>
      <c r="H117" s="0" t="str">
        <f aca="false">IF(C117="","",TRIM(MID(C117,LEN(F117)+2,999)))</f>
        <v/>
      </c>
      <c r="I117" s="0" t="n">
        <f aca="false">IF(OR(C117="",LEFT(C117,2)="//"),0,IFERROR(IF(AND(G117&gt;0,G117=INT(G117),FIND("-",E117)&gt;1,NOT(EXACT(UPPER(LEFT(E117,1)),LOWER(LEFT(E117,1)))),ISNUMBER(VALUE(MID(E117,FIND("-",E117)+1,10)))),1,0),0))</f>
        <v>0</v>
      </c>
      <c r="J117" s="0" t="str">
        <f aca="false">IF(I117=1,TRIM(LEFT(H117,MAX(0,LEN(H117)-LEN(D117)))),"")</f>
        <v/>
      </c>
      <c r="K117" s="0" t="str">
        <f aca="false">INDEX($P$2:$P$21,A117)</f>
        <v>Deck 2</v>
      </c>
      <c r="L117" s="0" t="n">
        <f aca="false">IF(AND(C117&lt;&gt;"",LEFT(C117,2)&lt;&gt;"//",I117=0),1,0)</f>
        <v>0</v>
      </c>
      <c r="M117" s="0" t="str">
        <f aca="false">IF(I117=1,MAX(M$1:M116)+1,"")</f>
        <v/>
      </c>
      <c r="N117" s="0" t="str">
        <f aca="false">IFERROR(MATCH(ROW()-1,$V$2:$V$1201,0),"")</f>
        <v/>
      </c>
      <c r="R117" s="0" t="str">
        <f aca="false">IF(E117="","",IFERROR(LEFT(E117,FIND("-",E117)-1),E117))</f>
        <v/>
      </c>
      <c r="S117" s="0" t="str">
        <f aca="false">IF(R117="","",IF(ISNUMBER(--MID(R117,1,1)),0,IF(ISNUMBER(--MID(R117,2,1)),1,IF(ISNUMBER(--MID(R117,3,1)),2,IF(ISNUMBER(--MID(R117,4,1)),3,MIN(LEN(R117),4))))))</f>
        <v/>
      </c>
      <c r="T117" s="0" t="str">
        <f aca="false">IF(E117="","",LEFT(R117,S117)&amp;REPT("0",4-S117)&amp;RIGHT("000"&amp;IFERROR(VALUE(MID(R117,S117+1,9)),0),3)&amp;RIGHT("0000"&amp;IFERROR(VALUE(MID(E117,FIND("-",E117)+1,9)),0),4))</f>
        <v/>
      </c>
      <c r="U117" s="0" t="str">
        <f aca="false">IF(I117=1,"K"&amp;RIGHT("00"&amp;A117,2)&amp;T117&amp;RIGHT("00000"&amp;ROW(),5),"")</f>
        <v/>
      </c>
      <c r="V117" s="0" t="str">
        <f aca="false">IF(U117="","",COUNTIFS($I$2:$I$1201,1,$U$2:$U$1201,"&lt;"&amp;U117)+1)</f>
        <v/>
      </c>
    </row>
    <row r="118" customFormat="false" ht="15" hidden="false" customHeight="false" outlineLevel="0" collapsed="false">
      <c r="A118" s="0" t="n">
        <v>2</v>
      </c>
      <c r="B118" s="0" t="n">
        <v>57</v>
      </c>
      <c r="C118" s="0" t="str">
        <f aca="false">TRIM(SUBSTITUTE(INDEX(LISTAS!$A$4:$T$63,B118,A118)&amp;"",CHAR(160)," "))</f>
        <v/>
      </c>
      <c r="D118" s="0" t="str">
        <f aca="false">IF(C118="","",TRIM(RIGHT(SUBSTITUTE(C118," ",REPT(" ",100)),100)))</f>
        <v/>
      </c>
      <c r="E118" s="0" t="str">
        <f aca="false">IF(D118="","",UPPER(SUBSTITUTE(SUBSTITUTE(D118,"(",""),")","")))</f>
        <v/>
      </c>
      <c r="F118" s="0" t="str">
        <f aca="false">IF(C118="","",LEFT(C118,FIND(" ",C118&amp;" ")-1))</f>
        <v/>
      </c>
      <c r="G118" s="0" t="n">
        <f aca="false">IFERROR(VALUE(SUBSTITUTE(LOWER(F118),"x","")),0)</f>
        <v>0</v>
      </c>
      <c r="H118" s="0" t="str">
        <f aca="false">IF(C118="","",TRIM(MID(C118,LEN(F118)+2,999)))</f>
        <v/>
      </c>
      <c r="I118" s="0" t="n">
        <f aca="false">IF(OR(C118="",LEFT(C118,2)="//"),0,IFERROR(IF(AND(G118&gt;0,G118=INT(G118),FIND("-",E118)&gt;1,NOT(EXACT(UPPER(LEFT(E118,1)),LOWER(LEFT(E118,1)))),ISNUMBER(VALUE(MID(E118,FIND("-",E118)+1,10)))),1,0),0))</f>
        <v>0</v>
      </c>
      <c r="J118" s="0" t="str">
        <f aca="false">IF(I118=1,TRIM(LEFT(H118,MAX(0,LEN(H118)-LEN(D118)))),"")</f>
        <v/>
      </c>
      <c r="K118" s="0" t="str">
        <f aca="false">INDEX($P$2:$P$21,A118)</f>
        <v>Deck 2</v>
      </c>
      <c r="L118" s="0" t="n">
        <f aca="false">IF(AND(C118&lt;&gt;"",LEFT(C118,2)&lt;&gt;"//",I118=0),1,0)</f>
        <v>0</v>
      </c>
      <c r="M118" s="0" t="str">
        <f aca="false">IF(I118=1,MAX(M$1:M117)+1,"")</f>
        <v/>
      </c>
      <c r="N118" s="0" t="str">
        <f aca="false">IFERROR(MATCH(ROW()-1,$V$2:$V$1201,0),"")</f>
        <v/>
      </c>
      <c r="R118" s="0" t="str">
        <f aca="false">IF(E118="","",IFERROR(LEFT(E118,FIND("-",E118)-1),E118))</f>
        <v/>
      </c>
      <c r="S118" s="0" t="str">
        <f aca="false">IF(R118="","",IF(ISNUMBER(--MID(R118,1,1)),0,IF(ISNUMBER(--MID(R118,2,1)),1,IF(ISNUMBER(--MID(R118,3,1)),2,IF(ISNUMBER(--MID(R118,4,1)),3,MIN(LEN(R118),4))))))</f>
        <v/>
      </c>
      <c r="T118" s="0" t="str">
        <f aca="false">IF(E118="","",LEFT(R118,S118)&amp;REPT("0",4-S118)&amp;RIGHT("000"&amp;IFERROR(VALUE(MID(R118,S118+1,9)),0),3)&amp;RIGHT("0000"&amp;IFERROR(VALUE(MID(E118,FIND("-",E118)+1,9)),0),4))</f>
        <v/>
      </c>
      <c r="U118" s="0" t="str">
        <f aca="false">IF(I118=1,"K"&amp;RIGHT("00"&amp;A118,2)&amp;T118&amp;RIGHT("00000"&amp;ROW(),5),"")</f>
        <v/>
      </c>
      <c r="V118" s="0" t="str">
        <f aca="false">IF(U118="","",COUNTIFS($I$2:$I$1201,1,$U$2:$U$1201,"&lt;"&amp;U118)+1)</f>
        <v/>
      </c>
    </row>
    <row r="119" customFormat="false" ht="15" hidden="false" customHeight="false" outlineLevel="0" collapsed="false">
      <c r="A119" s="0" t="n">
        <v>2</v>
      </c>
      <c r="B119" s="0" t="n">
        <v>58</v>
      </c>
      <c r="C119" s="0" t="str">
        <f aca="false">TRIM(SUBSTITUTE(INDEX(LISTAS!$A$4:$T$63,B119,A119)&amp;"",CHAR(160)," "))</f>
        <v/>
      </c>
      <c r="D119" s="0" t="str">
        <f aca="false">IF(C119="","",TRIM(RIGHT(SUBSTITUTE(C119," ",REPT(" ",100)),100)))</f>
        <v/>
      </c>
      <c r="E119" s="0" t="str">
        <f aca="false">IF(D119="","",UPPER(SUBSTITUTE(SUBSTITUTE(D119,"(",""),")","")))</f>
        <v/>
      </c>
      <c r="F119" s="0" t="str">
        <f aca="false">IF(C119="","",LEFT(C119,FIND(" ",C119&amp;" ")-1))</f>
        <v/>
      </c>
      <c r="G119" s="0" t="n">
        <f aca="false">IFERROR(VALUE(SUBSTITUTE(LOWER(F119),"x","")),0)</f>
        <v>0</v>
      </c>
      <c r="H119" s="0" t="str">
        <f aca="false">IF(C119="","",TRIM(MID(C119,LEN(F119)+2,999)))</f>
        <v/>
      </c>
      <c r="I119" s="0" t="n">
        <f aca="false">IF(OR(C119="",LEFT(C119,2)="//"),0,IFERROR(IF(AND(G119&gt;0,G119=INT(G119),FIND("-",E119)&gt;1,NOT(EXACT(UPPER(LEFT(E119,1)),LOWER(LEFT(E119,1)))),ISNUMBER(VALUE(MID(E119,FIND("-",E119)+1,10)))),1,0),0))</f>
        <v>0</v>
      </c>
      <c r="J119" s="0" t="str">
        <f aca="false">IF(I119=1,TRIM(LEFT(H119,MAX(0,LEN(H119)-LEN(D119)))),"")</f>
        <v/>
      </c>
      <c r="K119" s="0" t="str">
        <f aca="false">INDEX($P$2:$P$21,A119)</f>
        <v>Deck 2</v>
      </c>
      <c r="L119" s="0" t="n">
        <f aca="false">IF(AND(C119&lt;&gt;"",LEFT(C119,2)&lt;&gt;"//",I119=0),1,0)</f>
        <v>0</v>
      </c>
      <c r="M119" s="0" t="str">
        <f aca="false">IF(I119=1,MAX(M$1:M118)+1,"")</f>
        <v/>
      </c>
      <c r="N119" s="0" t="str">
        <f aca="false">IFERROR(MATCH(ROW()-1,$V$2:$V$1201,0),"")</f>
        <v/>
      </c>
      <c r="R119" s="0" t="str">
        <f aca="false">IF(E119="","",IFERROR(LEFT(E119,FIND("-",E119)-1),E119))</f>
        <v/>
      </c>
      <c r="S119" s="0" t="str">
        <f aca="false">IF(R119="","",IF(ISNUMBER(--MID(R119,1,1)),0,IF(ISNUMBER(--MID(R119,2,1)),1,IF(ISNUMBER(--MID(R119,3,1)),2,IF(ISNUMBER(--MID(R119,4,1)),3,MIN(LEN(R119),4))))))</f>
        <v/>
      </c>
      <c r="T119" s="0" t="str">
        <f aca="false">IF(E119="","",LEFT(R119,S119)&amp;REPT("0",4-S119)&amp;RIGHT("000"&amp;IFERROR(VALUE(MID(R119,S119+1,9)),0),3)&amp;RIGHT("0000"&amp;IFERROR(VALUE(MID(E119,FIND("-",E119)+1,9)),0),4))</f>
        <v/>
      </c>
      <c r="U119" s="0" t="str">
        <f aca="false">IF(I119=1,"K"&amp;RIGHT("00"&amp;A119,2)&amp;T119&amp;RIGHT("00000"&amp;ROW(),5),"")</f>
        <v/>
      </c>
      <c r="V119" s="0" t="str">
        <f aca="false">IF(U119="","",COUNTIFS($I$2:$I$1201,1,$U$2:$U$1201,"&lt;"&amp;U119)+1)</f>
        <v/>
      </c>
    </row>
    <row r="120" customFormat="false" ht="15" hidden="false" customHeight="false" outlineLevel="0" collapsed="false">
      <c r="A120" s="0" t="n">
        <v>2</v>
      </c>
      <c r="B120" s="0" t="n">
        <v>59</v>
      </c>
      <c r="C120" s="0" t="str">
        <f aca="false">TRIM(SUBSTITUTE(INDEX(LISTAS!$A$4:$T$63,B120,A120)&amp;"",CHAR(160)," "))</f>
        <v/>
      </c>
      <c r="D120" s="0" t="str">
        <f aca="false">IF(C120="","",TRIM(RIGHT(SUBSTITUTE(C120," ",REPT(" ",100)),100)))</f>
        <v/>
      </c>
      <c r="E120" s="0" t="str">
        <f aca="false">IF(D120="","",UPPER(SUBSTITUTE(SUBSTITUTE(D120,"(",""),")","")))</f>
        <v/>
      </c>
      <c r="F120" s="0" t="str">
        <f aca="false">IF(C120="","",LEFT(C120,FIND(" ",C120&amp;" ")-1))</f>
        <v/>
      </c>
      <c r="G120" s="0" t="n">
        <f aca="false">IFERROR(VALUE(SUBSTITUTE(LOWER(F120),"x","")),0)</f>
        <v>0</v>
      </c>
      <c r="H120" s="0" t="str">
        <f aca="false">IF(C120="","",TRIM(MID(C120,LEN(F120)+2,999)))</f>
        <v/>
      </c>
      <c r="I120" s="0" t="n">
        <f aca="false">IF(OR(C120="",LEFT(C120,2)="//"),0,IFERROR(IF(AND(G120&gt;0,G120=INT(G120),FIND("-",E120)&gt;1,NOT(EXACT(UPPER(LEFT(E120,1)),LOWER(LEFT(E120,1)))),ISNUMBER(VALUE(MID(E120,FIND("-",E120)+1,10)))),1,0),0))</f>
        <v>0</v>
      </c>
      <c r="J120" s="0" t="str">
        <f aca="false">IF(I120=1,TRIM(LEFT(H120,MAX(0,LEN(H120)-LEN(D120)))),"")</f>
        <v/>
      </c>
      <c r="K120" s="0" t="str">
        <f aca="false">INDEX($P$2:$P$21,A120)</f>
        <v>Deck 2</v>
      </c>
      <c r="L120" s="0" t="n">
        <f aca="false">IF(AND(C120&lt;&gt;"",LEFT(C120,2)&lt;&gt;"//",I120=0),1,0)</f>
        <v>0</v>
      </c>
      <c r="M120" s="0" t="str">
        <f aca="false">IF(I120=1,MAX(M$1:M119)+1,"")</f>
        <v/>
      </c>
      <c r="N120" s="0" t="str">
        <f aca="false">IFERROR(MATCH(ROW()-1,$V$2:$V$1201,0),"")</f>
        <v/>
      </c>
      <c r="R120" s="0" t="str">
        <f aca="false">IF(E120="","",IFERROR(LEFT(E120,FIND("-",E120)-1),E120))</f>
        <v/>
      </c>
      <c r="S120" s="0" t="str">
        <f aca="false">IF(R120="","",IF(ISNUMBER(--MID(R120,1,1)),0,IF(ISNUMBER(--MID(R120,2,1)),1,IF(ISNUMBER(--MID(R120,3,1)),2,IF(ISNUMBER(--MID(R120,4,1)),3,MIN(LEN(R120),4))))))</f>
        <v/>
      </c>
      <c r="T120" s="0" t="str">
        <f aca="false">IF(E120="","",LEFT(R120,S120)&amp;REPT("0",4-S120)&amp;RIGHT("000"&amp;IFERROR(VALUE(MID(R120,S120+1,9)),0),3)&amp;RIGHT("0000"&amp;IFERROR(VALUE(MID(E120,FIND("-",E120)+1,9)),0),4))</f>
        <v/>
      </c>
      <c r="U120" s="0" t="str">
        <f aca="false">IF(I120=1,"K"&amp;RIGHT("00"&amp;A120,2)&amp;T120&amp;RIGHT("00000"&amp;ROW(),5),"")</f>
        <v/>
      </c>
      <c r="V120" s="0" t="str">
        <f aca="false">IF(U120="","",COUNTIFS($I$2:$I$1201,1,$U$2:$U$1201,"&lt;"&amp;U120)+1)</f>
        <v/>
      </c>
    </row>
    <row r="121" customFormat="false" ht="15" hidden="false" customHeight="false" outlineLevel="0" collapsed="false">
      <c r="A121" s="0" t="n">
        <v>2</v>
      </c>
      <c r="B121" s="0" t="n">
        <v>60</v>
      </c>
      <c r="C121" s="0" t="str">
        <f aca="false">TRIM(SUBSTITUTE(INDEX(LISTAS!$A$4:$T$63,B121,A121)&amp;"",CHAR(160)," "))</f>
        <v/>
      </c>
      <c r="D121" s="0" t="str">
        <f aca="false">IF(C121="","",TRIM(RIGHT(SUBSTITUTE(C121," ",REPT(" ",100)),100)))</f>
        <v/>
      </c>
      <c r="E121" s="0" t="str">
        <f aca="false">IF(D121="","",UPPER(SUBSTITUTE(SUBSTITUTE(D121,"(",""),")","")))</f>
        <v/>
      </c>
      <c r="F121" s="0" t="str">
        <f aca="false">IF(C121="","",LEFT(C121,FIND(" ",C121&amp;" ")-1))</f>
        <v/>
      </c>
      <c r="G121" s="0" t="n">
        <f aca="false">IFERROR(VALUE(SUBSTITUTE(LOWER(F121),"x","")),0)</f>
        <v>0</v>
      </c>
      <c r="H121" s="0" t="str">
        <f aca="false">IF(C121="","",TRIM(MID(C121,LEN(F121)+2,999)))</f>
        <v/>
      </c>
      <c r="I121" s="0" t="n">
        <f aca="false">IF(OR(C121="",LEFT(C121,2)="//"),0,IFERROR(IF(AND(G121&gt;0,G121=INT(G121),FIND("-",E121)&gt;1,NOT(EXACT(UPPER(LEFT(E121,1)),LOWER(LEFT(E121,1)))),ISNUMBER(VALUE(MID(E121,FIND("-",E121)+1,10)))),1,0),0))</f>
        <v>0</v>
      </c>
      <c r="J121" s="0" t="str">
        <f aca="false">IF(I121=1,TRIM(LEFT(H121,MAX(0,LEN(H121)-LEN(D121)))),"")</f>
        <v/>
      </c>
      <c r="K121" s="0" t="str">
        <f aca="false">INDEX($P$2:$P$21,A121)</f>
        <v>Deck 2</v>
      </c>
      <c r="L121" s="0" t="n">
        <f aca="false">IF(AND(C121&lt;&gt;"",LEFT(C121,2)&lt;&gt;"//",I121=0),1,0)</f>
        <v>0</v>
      </c>
      <c r="M121" s="0" t="str">
        <f aca="false">IF(I121=1,MAX(M$1:M120)+1,"")</f>
        <v/>
      </c>
      <c r="N121" s="0" t="str">
        <f aca="false">IFERROR(MATCH(ROW()-1,$V$2:$V$1201,0),"")</f>
        <v/>
      </c>
      <c r="R121" s="0" t="str">
        <f aca="false">IF(E121="","",IFERROR(LEFT(E121,FIND("-",E121)-1),E121))</f>
        <v/>
      </c>
      <c r="S121" s="0" t="str">
        <f aca="false">IF(R121="","",IF(ISNUMBER(--MID(R121,1,1)),0,IF(ISNUMBER(--MID(R121,2,1)),1,IF(ISNUMBER(--MID(R121,3,1)),2,IF(ISNUMBER(--MID(R121,4,1)),3,MIN(LEN(R121),4))))))</f>
        <v/>
      </c>
      <c r="T121" s="0" t="str">
        <f aca="false">IF(E121="","",LEFT(R121,S121)&amp;REPT("0",4-S121)&amp;RIGHT("000"&amp;IFERROR(VALUE(MID(R121,S121+1,9)),0),3)&amp;RIGHT("0000"&amp;IFERROR(VALUE(MID(E121,FIND("-",E121)+1,9)),0),4))</f>
        <v/>
      </c>
      <c r="U121" s="0" t="str">
        <f aca="false">IF(I121=1,"K"&amp;RIGHT("00"&amp;A121,2)&amp;T121&amp;RIGHT("00000"&amp;ROW(),5),"")</f>
        <v/>
      </c>
      <c r="V121" s="0" t="str">
        <f aca="false">IF(U121="","",COUNTIFS($I$2:$I$1201,1,$U$2:$U$1201,"&lt;"&amp;U121)+1)</f>
        <v/>
      </c>
    </row>
    <row r="122" customFormat="false" ht="15" hidden="false" customHeight="false" outlineLevel="0" collapsed="false">
      <c r="A122" s="0" t="n">
        <v>3</v>
      </c>
      <c r="B122" s="0" t="n">
        <v>1</v>
      </c>
      <c r="C122" s="0" t="str">
        <f aca="false">TRIM(SUBSTITUTE(INDEX(LISTAS!$A$4:$T$63,B122,A122)&amp;"",CHAR(160)," "))</f>
        <v/>
      </c>
      <c r="D122" s="0" t="str">
        <f aca="false">IF(C122="","",TRIM(RIGHT(SUBSTITUTE(C122," ",REPT(" ",100)),100)))</f>
        <v/>
      </c>
      <c r="E122" s="0" t="str">
        <f aca="false">IF(D122="","",UPPER(SUBSTITUTE(SUBSTITUTE(D122,"(",""),")","")))</f>
        <v/>
      </c>
      <c r="F122" s="0" t="str">
        <f aca="false">IF(C122="","",LEFT(C122,FIND(" ",C122&amp;" ")-1))</f>
        <v/>
      </c>
      <c r="G122" s="0" t="n">
        <f aca="false">IFERROR(VALUE(SUBSTITUTE(LOWER(F122),"x","")),0)</f>
        <v>0</v>
      </c>
      <c r="H122" s="0" t="str">
        <f aca="false">IF(C122="","",TRIM(MID(C122,LEN(F122)+2,999)))</f>
        <v/>
      </c>
      <c r="I122" s="0" t="n">
        <f aca="false">IF(OR(C122="",LEFT(C122,2)="//"),0,IFERROR(IF(AND(G122&gt;0,G122=INT(G122),FIND("-",E122)&gt;1,NOT(EXACT(UPPER(LEFT(E122,1)),LOWER(LEFT(E122,1)))),ISNUMBER(VALUE(MID(E122,FIND("-",E122)+1,10)))),1,0),0))</f>
        <v>0</v>
      </c>
      <c r="J122" s="0" t="str">
        <f aca="false">IF(I122=1,TRIM(LEFT(H122,MAX(0,LEN(H122)-LEN(D122)))),"")</f>
        <v/>
      </c>
      <c r="K122" s="0" t="str">
        <f aca="false">INDEX($P$2:$P$21,A122)</f>
        <v>Deck 3</v>
      </c>
      <c r="L122" s="0" t="n">
        <f aca="false">IF(AND(C122&lt;&gt;"",LEFT(C122,2)&lt;&gt;"//",I122=0),1,0)</f>
        <v>0</v>
      </c>
      <c r="M122" s="0" t="str">
        <f aca="false">IF(I122=1,MAX(M$1:M121)+1,"")</f>
        <v/>
      </c>
      <c r="N122" s="0" t="str">
        <f aca="false">IFERROR(MATCH(ROW()-1,$V$2:$V$1201,0),"")</f>
        <v/>
      </c>
      <c r="R122" s="0" t="str">
        <f aca="false">IF(E122="","",IFERROR(LEFT(E122,FIND("-",E122)-1),E122))</f>
        <v/>
      </c>
      <c r="S122" s="0" t="str">
        <f aca="false">IF(R122="","",IF(ISNUMBER(--MID(R122,1,1)),0,IF(ISNUMBER(--MID(R122,2,1)),1,IF(ISNUMBER(--MID(R122,3,1)),2,IF(ISNUMBER(--MID(R122,4,1)),3,MIN(LEN(R122),4))))))</f>
        <v/>
      </c>
      <c r="T122" s="0" t="str">
        <f aca="false">IF(E122="","",LEFT(R122,S122)&amp;REPT("0",4-S122)&amp;RIGHT("000"&amp;IFERROR(VALUE(MID(R122,S122+1,9)),0),3)&amp;RIGHT("0000"&amp;IFERROR(VALUE(MID(E122,FIND("-",E122)+1,9)),0),4))</f>
        <v/>
      </c>
      <c r="U122" s="0" t="str">
        <f aca="false">IF(I122=1,"K"&amp;RIGHT("00"&amp;A122,2)&amp;T122&amp;RIGHT("00000"&amp;ROW(),5),"")</f>
        <v/>
      </c>
      <c r="V122" s="0" t="str">
        <f aca="false">IF(U122="","",COUNTIFS($I$2:$I$1201,1,$U$2:$U$1201,"&lt;"&amp;U122)+1)</f>
        <v/>
      </c>
    </row>
    <row r="123" customFormat="false" ht="15" hidden="false" customHeight="false" outlineLevel="0" collapsed="false">
      <c r="A123" s="0" t="n">
        <v>3</v>
      </c>
      <c r="B123" s="0" t="n">
        <v>2</v>
      </c>
      <c r="C123" s="0" t="str">
        <f aca="false">TRIM(SUBSTITUTE(INDEX(LISTAS!$A$4:$T$63,B123,A123)&amp;"",CHAR(160)," "))</f>
        <v/>
      </c>
      <c r="D123" s="0" t="str">
        <f aca="false">IF(C123="","",TRIM(RIGHT(SUBSTITUTE(C123," ",REPT(" ",100)),100)))</f>
        <v/>
      </c>
      <c r="E123" s="0" t="str">
        <f aca="false">IF(D123="","",UPPER(SUBSTITUTE(SUBSTITUTE(D123,"(",""),")","")))</f>
        <v/>
      </c>
      <c r="F123" s="0" t="str">
        <f aca="false">IF(C123="","",LEFT(C123,FIND(" ",C123&amp;" ")-1))</f>
        <v/>
      </c>
      <c r="G123" s="0" t="n">
        <f aca="false">IFERROR(VALUE(SUBSTITUTE(LOWER(F123),"x","")),0)</f>
        <v>0</v>
      </c>
      <c r="H123" s="0" t="str">
        <f aca="false">IF(C123="","",TRIM(MID(C123,LEN(F123)+2,999)))</f>
        <v/>
      </c>
      <c r="I123" s="0" t="n">
        <f aca="false">IF(OR(C123="",LEFT(C123,2)="//"),0,IFERROR(IF(AND(G123&gt;0,G123=INT(G123),FIND("-",E123)&gt;1,NOT(EXACT(UPPER(LEFT(E123,1)),LOWER(LEFT(E123,1)))),ISNUMBER(VALUE(MID(E123,FIND("-",E123)+1,10)))),1,0),0))</f>
        <v>0</v>
      </c>
      <c r="J123" s="0" t="str">
        <f aca="false">IF(I123=1,TRIM(LEFT(H123,MAX(0,LEN(H123)-LEN(D123)))),"")</f>
        <v/>
      </c>
      <c r="K123" s="0" t="str">
        <f aca="false">INDEX($P$2:$P$21,A123)</f>
        <v>Deck 3</v>
      </c>
      <c r="L123" s="0" t="n">
        <f aca="false">IF(AND(C123&lt;&gt;"",LEFT(C123,2)&lt;&gt;"//",I123=0),1,0)</f>
        <v>0</v>
      </c>
      <c r="M123" s="0" t="str">
        <f aca="false">IF(I123=1,MAX(M$1:M122)+1,"")</f>
        <v/>
      </c>
      <c r="N123" s="0" t="str">
        <f aca="false">IFERROR(MATCH(ROW()-1,$V$2:$V$1201,0),"")</f>
        <v/>
      </c>
      <c r="R123" s="0" t="str">
        <f aca="false">IF(E123="","",IFERROR(LEFT(E123,FIND("-",E123)-1),E123))</f>
        <v/>
      </c>
      <c r="S123" s="0" t="str">
        <f aca="false">IF(R123="","",IF(ISNUMBER(--MID(R123,1,1)),0,IF(ISNUMBER(--MID(R123,2,1)),1,IF(ISNUMBER(--MID(R123,3,1)),2,IF(ISNUMBER(--MID(R123,4,1)),3,MIN(LEN(R123),4))))))</f>
        <v/>
      </c>
      <c r="T123" s="0" t="str">
        <f aca="false">IF(E123="","",LEFT(R123,S123)&amp;REPT("0",4-S123)&amp;RIGHT("000"&amp;IFERROR(VALUE(MID(R123,S123+1,9)),0),3)&amp;RIGHT("0000"&amp;IFERROR(VALUE(MID(E123,FIND("-",E123)+1,9)),0),4))</f>
        <v/>
      </c>
      <c r="U123" s="0" t="str">
        <f aca="false">IF(I123=1,"K"&amp;RIGHT("00"&amp;A123,2)&amp;T123&amp;RIGHT("00000"&amp;ROW(),5),"")</f>
        <v/>
      </c>
      <c r="V123" s="0" t="str">
        <f aca="false">IF(U123="","",COUNTIFS($I$2:$I$1201,1,$U$2:$U$1201,"&lt;"&amp;U123)+1)</f>
        <v/>
      </c>
    </row>
    <row r="124" customFormat="false" ht="15" hidden="false" customHeight="false" outlineLevel="0" collapsed="false">
      <c r="A124" s="0" t="n">
        <v>3</v>
      </c>
      <c r="B124" s="0" t="n">
        <v>3</v>
      </c>
      <c r="C124" s="0" t="str">
        <f aca="false">TRIM(SUBSTITUTE(INDEX(LISTAS!$A$4:$T$63,B124,A124)&amp;"",CHAR(160)," "))</f>
        <v/>
      </c>
      <c r="D124" s="0" t="str">
        <f aca="false">IF(C124="","",TRIM(RIGHT(SUBSTITUTE(C124," ",REPT(" ",100)),100)))</f>
        <v/>
      </c>
      <c r="E124" s="0" t="str">
        <f aca="false">IF(D124="","",UPPER(SUBSTITUTE(SUBSTITUTE(D124,"(",""),")","")))</f>
        <v/>
      </c>
      <c r="F124" s="0" t="str">
        <f aca="false">IF(C124="","",LEFT(C124,FIND(" ",C124&amp;" ")-1))</f>
        <v/>
      </c>
      <c r="G124" s="0" t="n">
        <f aca="false">IFERROR(VALUE(SUBSTITUTE(LOWER(F124),"x","")),0)</f>
        <v>0</v>
      </c>
      <c r="H124" s="0" t="str">
        <f aca="false">IF(C124="","",TRIM(MID(C124,LEN(F124)+2,999)))</f>
        <v/>
      </c>
      <c r="I124" s="0" t="n">
        <f aca="false">IF(OR(C124="",LEFT(C124,2)="//"),0,IFERROR(IF(AND(G124&gt;0,G124=INT(G124),FIND("-",E124)&gt;1,NOT(EXACT(UPPER(LEFT(E124,1)),LOWER(LEFT(E124,1)))),ISNUMBER(VALUE(MID(E124,FIND("-",E124)+1,10)))),1,0),0))</f>
        <v>0</v>
      </c>
      <c r="J124" s="0" t="str">
        <f aca="false">IF(I124=1,TRIM(LEFT(H124,MAX(0,LEN(H124)-LEN(D124)))),"")</f>
        <v/>
      </c>
      <c r="K124" s="0" t="str">
        <f aca="false">INDEX($P$2:$P$21,A124)</f>
        <v>Deck 3</v>
      </c>
      <c r="L124" s="0" t="n">
        <f aca="false">IF(AND(C124&lt;&gt;"",LEFT(C124,2)&lt;&gt;"//",I124=0),1,0)</f>
        <v>0</v>
      </c>
      <c r="M124" s="0" t="str">
        <f aca="false">IF(I124=1,MAX(M$1:M123)+1,"")</f>
        <v/>
      </c>
      <c r="N124" s="0" t="str">
        <f aca="false">IFERROR(MATCH(ROW()-1,$V$2:$V$1201,0),"")</f>
        <v/>
      </c>
      <c r="R124" s="0" t="str">
        <f aca="false">IF(E124="","",IFERROR(LEFT(E124,FIND("-",E124)-1),E124))</f>
        <v/>
      </c>
      <c r="S124" s="0" t="str">
        <f aca="false">IF(R124="","",IF(ISNUMBER(--MID(R124,1,1)),0,IF(ISNUMBER(--MID(R124,2,1)),1,IF(ISNUMBER(--MID(R124,3,1)),2,IF(ISNUMBER(--MID(R124,4,1)),3,MIN(LEN(R124),4))))))</f>
        <v/>
      </c>
      <c r="T124" s="0" t="str">
        <f aca="false">IF(E124="","",LEFT(R124,S124)&amp;REPT("0",4-S124)&amp;RIGHT("000"&amp;IFERROR(VALUE(MID(R124,S124+1,9)),0),3)&amp;RIGHT("0000"&amp;IFERROR(VALUE(MID(E124,FIND("-",E124)+1,9)),0),4))</f>
        <v/>
      </c>
      <c r="U124" s="0" t="str">
        <f aca="false">IF(I124=1,"K"&amp;RIGHT("00"&amp;A124,2)&amp;T124&amp;RIGHT("00000"&amp;ROW(),5),"")</f>
        <v/>
      </c>
      <c r="V124" s="0" t="str">
        <f aca="false">IF(U124="","",COUNTIFS($I$2:$I$1201,1,$U$2:$U$1201,"&lt;"&amp;U124)+1)</f>
        <v/>
      </c>
    </row>
    <row r="125" customFormat="false" ht="15" hidden="false" customHeight="false" outlineLevel="0" collapsed="false">
      <c r="A125" s="0" t="n">
        <v>3</v>
      </c>
      <c r="B125" s="0" t="n">
        <v>4</v>
      </c>
      <c r="C125" s="0" t="str">
        <f aca="false">TRIM(SUBSTITUTE(INDEX(LISTAS!$A$4:$T$63,B125,A125)&amp;"",CHAR(160)," "))</f>
        <v/>
      </c>
      <c r="D125" s="0" t="str">
        <f aca="false">IF(C125="","",TRIM(RIGHT(SUBSTITUTE(C125," ",REPT(" ",100)),100)))</f>
        <v/>
      </c>
      <c r="E125" s="0" t="str">
        <f aca="false">IF(D125="","",UPPER(SUBSTITUTE(SUBSTITUTE(D125,"(",""),")","")))</f>
        <v/>
      </c>
      <c r="F125" s="0" t="str">
        <f aca="false">IF(C125="","",LEFT(C125,FIND(" ",C125&amp;" ")-1))</f>
        <v/>
      </c>
      <c r="G125" s="0" t="n">
        <f aca="false">IFERROR(VALUE(SUBSTITUTE(LOWER(F125),"x","")),0)</f>
        <v>0</v>
      </c>
      <c r="H125" s="0" t="str">
        <f aca="false">IF(C125="","",TRIM(MID(C125,LEN(F125)+2,999)))</f>
        <v/>
      </c>
      <c r="I125" s="0" t="n">
        <f aca="false">IF(OR(C125="",LEFT(C125,2)="//"),0,IFERROR(IF(AND(G125&gt;0,G125=INT(G125),FIND("-",E125)&gt;1,NOT(EXACT(UPPER(LEFT(E125,1)),LOWER(LEFT(E125,1)))),ISNUMBER(VALUE(MID(E125,FIND("-",E125)+1,10)))),1,0),0))</f>
        <v>0</v>
      </c>
      <c r="J125" s="0" t="str">
        <f aca="false">IF(I125=1,TRIM(LEFT(H125,MAX(0,LEN(H125)-LEN(D125)))),"")</f>
        <v/>
      </c>
      <c r="K125" s="0" t="str">
        <f aca="false">INDEX($P$2:$P$21,A125)</f>
        <v>Deck 3</v>
      </c>
      <c r="L125" s="0" t="n">
        <f aca="false">IF(AND(C125&lt;&gt;"",LEFT(C125,2)&lt;&gt;"//",I125=0),1,0)</f>
        <v>0</v>
      </c>
      <c r="M125" s="0" t="str">
        <f aca="false">IF(I125=1,MAX(M$1:M124)+1,"")</f>
        <v/>
      </c>
      <c r="N125" s="0" t="str">
        <f aca="false">IFERROR(MATCH(ROW()-1,$V$2:$V$1201,0),"")</f>
        <v/>
      </c>
      <c r="R125" s="0" t="str">
        <f aca="false">IF(E125="","",IFERROR(LEFT(E125,FIND("-",E125)-1),E125))</f>
        <v/>
      </c>
      <c r="S125" s="0" t="str">
        <f aca="false">IF(R125="","",IF(ISNUMBER(--MID(R125,1,1)),0,IF(ISNUMBER(--MID(R125,2,1)),1,IF(ISNUMBER(--MID(R125,3,1)),2,IF(ISNUMBER(--MID(R125,4,1)),3,MIN(LEN(R125),4))))))</f>
        <v/>
      </c>
      <c r="T125" s="0" t="str">
        <f aca="false">IF(E125="","",LEFT(R125,S125)&amp;REPT("0",4-S125)&amp;RIGHT("000"&amp;IFERROR(VALUE(MID(R125,S125+1,9)),0),3)&amp;RIGHT("0000"&amp;IFERROR(VALUE(MID(E125,FIND("-",E125)+1,9)),0),4))</f>
        <v/>
      </c>
      <c r="U125" s="0" t="str">
        <f aca="false">IF(I125=1,"K"&amp;RIGHT("00"&amp;A125,2)&amp;T125&amp;RIGHT("00000"&amp;ROW(),5),"")</f>
        <v/>
      </c>
      <c r="V125" s="0" t="str">
        <f aca="false">IF(U125="","",COUNTIFS($I$2:$I$1201,1,$U$2:$U$1201,"&lt;"&amp;U125)+1)</f>
        <v/>
      </c>
    </row>
    <row r="126" customFormat="false" ht="15" hidden="false" customHeight="false" outlineLevel="0" collapsed="false">
      <c r="A126" s="0" t="n">
        <v>3</v>
      </c>
      <c r="B126" s="0" t="n">
        <v>5</v>
      </c>
      <c r="C126" s="0" t="str">
        <f aca="false">TRIM(SUBSTITUTE(INDEX(LISTAS!$A$4:$T$63,B126,A126)&amp;"",CHAR(160)," "))</f>
        <v/>
      </c>
      <c r="D126" s="0" t="str">
        <f aca="false">IF(C126="","",TRIM(RIGHT(SUBSTITUTE(C126," ",REPT(" ",100)),100)))</f>
        <v/>
      </c>
      <c r="E126" s="0" t="str">
        <f aca="false">IF(D126="","",UPPER(SUBSTITUTE(SUBSTITUTE(D126,"(",""),")","")))</f>
        <v/>
      </c>
      <c r="F126" s="0" t="str">
        <f aca="false">IF(C126="","",LEFT(C126,FIND(" ",C126&amp;" ")-1))</f>
        <v/>
      </c>
      <c r="G126" s="0" t="n">
        <f aca="false">IFERROR(VALUE(SUBSTITUTE(LOWER(F126),"x","")),0)</f>
        <v>0</v>
      </c>
      <c r="H126" s="0" t="str">
        <f aca="false">IF(C126="","",TRIM(MID(C126,LEN(F126)+2,999)))</f>
        <v/>
      </c>
      <c r="I126" s="0" t="n">
        <f aca="false">IF(OR(C126="",LEFT(C126,2)="//"),0,IFERROR(IF(AND(G126&gt;0,G126=INT(G126),FIND("-",E126)&gt;1,NOT(EXACT(UPPER(LEFT(E126,1)),LOWER(LEFT(E126,1)))),ISNUMBER(VALUE(MID(E126,FIND("-",E126)+1,10)))),1,0),0))</f>
        <v>0</v>
      </c>
      <c r="J126" s="0" t="str">
        <f aca="false">IF(I126=1,TRIM(LEFT(H126,MAX(0,LEN(H126)-LEN(D126)))),"")</f>
        <v/>
      </c>
      <c r="K126" s="0" t="str">
        <f aca="false">INDEX($P$2:$P$21,A126)</f>
        <v>Deck 3</v>
      </c>
      <c r="L126" s="0" t="n">
        <f aca="false">IF(AND(C126&lt;&gt;"",LEFT(C126,2)&lt;&gt;"//",I126=0),1,0)</f>
        <v>0</v>
      </c>
      <c r="M126" s="0" t="str">
        <f aca="false">IF(I126=1,MAX(M$1:M125)+1,"")</f>
        <v/>
      </c>
      <c r="N126" s="0" t="str">
        <f aca="false">IFERROR(MATCH(ROW()-1,$V$2:$V$1201,0),"")</f>
        <v/>
      </c>
      <c r="R126" s="0" t="str">
        <f aca="false">IF(E126="","",IFERROR(LEFT(E126,FIND("-",E126)-1),E126))</f>
        <v/>
      </c>
      <c r="S126" s="0" t="str">
        <f aca="false">IF(R126="","",IF(ISNUMBER(--MID(R126,1,1)),0,IF(ISNUMBER(--MID(R126,2,1)),1,IF(ISNUMBER(--MID(R126,3,1)),2,IF(ISNUMBER(--MID(R126,4,1)),3,MIN(LEN(R126),4))))))</f>
        <v/>
      </c>
      <c r="T126" s="0" t="str">
        <f aca="false">IF(E126="","",LEFT(R126,S126)&amp;REPT("0",4-S126)&amp;RIGHT("000"&amp;IFERROR(VALUE(MID(R126,S126+1,9)),0),3)&amp;RIGHT("0000"&amp;IFERROR(VALUE(MID(E126,FIND("-",E126)+1,9)),0),4))</f>
        <v/>
      </c>
      <c r="U126" s="0" t="str">
        <f aca="false">IF(I126=1,"K"&amp;RIGHT("00"&amp;A126,2)&amp;T126&amp;RIGHT("00000"&amp;ROW(),5),"")</f>
        <v/>
      </c>
      <c r="V126" s="0" t="str">
        <f aca="false">IF(U126="","",COUNTIFS($I$2:$I$1201,1,$U$2:$U$1201,"&lt;"&amp;U126)+1)</f>
        <v/>
      </c>
    </row>
    <row r="127" customFormat="false" ht="15" hidden="false" customHeight="false" outlineLevel="0" collapsed="false">
      <c r="A127" s="0" t="n">
        <v>3</v>
      </c>
      <c r="B127" s="0" t="n">
        <v>6</v>
      </c>
      <c r="C127" s="0" t="str">
        <f aca="false">TRIM(SUBSTITUTE(INDEX(LISTAS!$A$4:$T$63,B127,A127)&amp;"",CHAR(160)," "))</f>
        <v/>
      </c>
      <c r="D127" s="0" t="str">
        <f aca="false">IF(C127="","",TRIM(RIGHT(SUBSTITUTE(C127," ",REPT(" ",100)),100)))</f>
        <v/>
      </c>
      <c r="E127" s="0" t="str">
        <f aca="false">IF(D127="","",UPPER(SUBSTITUTE(SUBSTITUTE(D127,"(",""),")","")))</f>
        <v/>
      </c>
      <c r="F127" s="0" t="str">
        <f aca="false">IF(C127="","",LEFT(C127,FIND(" ",C127&amp;" ")-1))</f>
        <v/>
      </c>
      <c r="G127" s="0" t="n">
        <f aca="false">IFERROR(VALUE(SUBSTITUTE(LOWER(F127),"x","")),0)</f>
        <v>0</v>
      </c>
      <c r="H127" s="0" t="str">
        <f aca="false">IF(C127="","",TRIM(MID(C127,LEN(F127)+2,999)))</f>
        <v/>
      </c>
      <c r="I127" s="0" t="n">
        <f aca="false">IF(OR(C127="",LEFT(C127,2)="//"),0,IFERROR(IF(AND(G127&gt;0,G127=INT(G127),FIND("-",E127)&gt;1,NOT(EXACT(UPPER(LEFT(E127,1)),LOWER(LEFT(E127,1)))),ISNUMBER(VALUE(MID(E127,FIND("-",E127)+1,10)))),1,0),0))</f>
        <v>0</v>
      </c>
      <c r="J127" s="0" t="str">
        <f aca="false">IF(I127=1,TRIM(LEFT(H127,MAX(0,LEN(H127)-LEN(D127)))),"")</f>
        <v/>
      </c>
      <c r="K127" s="0" t="str">
        <f aca="false">INDEX($P$2:$P$21,A127)</f>
        <v>Deck 3</v>
      </c>
      <c r="L127" s="0" t="n">
        <f aca="false">IF(AND(C127&lt;&gt;"",LEFT(C127,2)&lt;&gt;"//",I127=0),1,0)</f>
        <v>0</v>
      </c>
      <c r="M127" s="0" t="str">
        <f aca="false">IF(I127=1,MAX(M$1:M126)+1,"")</f>
        <v/>
      </c>
      <c r="N127" s="0" t="str">
        <f aca="false">IFERROR(MATCH(ROW()-1,$V$2:$V$1201,0),"")</f>
        <v/>
      </c>
      <c r="R127" s="0" t="str">
        <f aca="false">IF(E127="","",IFERROR(LEFT(E127,FIND("-",E127)-1),E127))</f>
        <v/>
      </c>
      <c r="S127" s="0" t="str">
        <f aca="false">IF(R127="","",IF(ISNUMBER(--MID(R127,1,1)),0,IF(ISNUMBER(--MID(R127,2,1)),1,IF(ISNUMBER(--MID(R127,3,1)),2,IF(ISNUMBER(--MID(R127,4,1)),3,MIN(LEN(R127),4))))))</f>
        <v/>
      </c>
      <c r="T127" s="0" t="str">
        <f aca="false">IF(E127="","",LEFT(R127,S127)&amp;REPT("0",4-S127)&amp;RIGHT("000"&amp;IFERROR(VALUE(MID(R127,S127+1,9)),0),3)&amp;RIGHT("0000"&amp;IFERROR(VALUE(MID(E127,FIND("-",E127)+1,9)),0),4))</f>
        <v/>
      </c>
      <c r="U127" s="0" t="str">
        <f aca="false">IF(I127=1,"K"&amp;RIGHT("00"&amp;A127,2)&amp;T127&amp;RIGHT("00000"&amp;ROW(),5),"")</f>
        <v/>
      </c>
      <c r="V127" s="0" t="str">
        <f aca="false">IF(U127="","",COUNTIFS($I$2:$I$1201,1,$U$2:$U$1201,"&lt;"&amp;U127)+1)</f>
        <v/>
      </c>
    </row>
    <row r="128" customFormat="false" ht="15" hidden="false" customHeight="false" outlineLevel="0" collapsed="false">
      <c r="A128" s="0" t="n">
        <v>3</v>
      </c>
      <c r="B128" s="0" t="n">
        <v>7</v>
      </c>
      <c r="C128" s="0" t="str">
        <f aca="false">TRIM(SUBSTITUTE(INDEX(LISTAS!$A$4:$T$63,B128,A128)&amp;"",CHAR(160)," "))</f>
        <v/>
      </c>
      <c r="D128" s="0" t="str">
        <f aca="false">IF(C128="","",TRIM(RIGHT(SUBSTITUTE(C128," ",REPT(" ",100)),100)))</f>
        <v/>
      </c>
      <c r="E128" s="0" t="str">
        <f aca="false">IF(D128="","",UPPER(SUBSTITUTE(SUBSTITUTE(D128,"(",""),")","")))</f>
        <v/>
      </c>
      <c r="F128" s="0" t="str">
        <f aca="false">IF(C128="","",LEFT(C128,FIND(" ",C128&amp;" ")-1))</f>
        <v/>
      </c>
      <c r="G128" s="0" t="n">
        <f aca="false">IFERROR(VALUE(SUBSTITUTE(LOWER(F128),"x","")),0)</f>
        <v>0</v>
      </c>
      <c r="H128" s="0" t="str">
        <f aca="false">IF(C128="","",TRIM(MID(C128,LEN(F128)+2,999)))</f>
        <v/>
      </c>
      <c r="I128" s="0" t="n">
        <f aca="false">IF(OR(C128="",LEFT(C128,2)="//"),0,IFERROR(IF(AND(G128&gt;0,G128=INT(G128),FIND("-",E128)&gt;1,NOT(EXACT(UPPER(LEFT(E128,1)),LOWER(LEFT(E128,1)))),ISNUMBER(VALUE(MID(E128,FIND("-",E128)+1,10)))),1,0),0))</f>
        <v>0</v>
      </c>
      <c r="J128" s="0" t="str">
        <f aca="false">IF(I128=1,TRIM(LEFT(H128,MAX(0,LEN(H128)-LEN(D128)))),"")</f>
        <v/>
      </c>
      <c r="K128" s="0" t="str">
        <f aca="false">INDEX($P$2:$P$21,A128)</f>
        <v>Deck 3</v>
      </c>
      <c r="L128" s="0" t="n">
        <f aca="false">IF(AND(C128&lt;&gt;"",LEFT(C128,2)&lt;&gt;"//",I128=0),1,0)</f>
        <v>0</v>
      </c>
      <c r="M128" s="0" t="str">
        <f aca="false">IF(I128=1,MAX(M$1:M127)+1,"")</f>
        <v/>
      </c>
      <c r="N128" s="0" t="str">
        <f aca="false">IFERROR(MATCH(ROW()-1,$V$2:$V$1201,0),"")</f>
        <v/>
      </c>
      <c r="R128" s="0" t="str">
        <f aca="false">IF(E128="","",IFERROR(LEFT(E128,FIND("-",E128)-1),E128))</f>
        <v/>
      </c>
      <c r="S128" s="0" t="str">
        <f aca="false">IF(R128="","",IF(ISNUMBER(--MID(R128,1,1)),0,IF(ISNUMBER(--MID(R128,2,1)),1,IF(ISNUMBER(--MID(R128,3,1)),2,IF(ISNUMBER(--MID(R128,4,1)),3,MIN(LEN(R128),4))))))</f>
        <v/>
      </c>
      <c r="T128" s="0" t="str">
        <f aca="false">IF(E128="","",LEFT(R128,S128)&amp;REPT("0",4-S128)&amp;RIGHT("000"&amp;IFERROR(VALUE(MID(R128,S128+1,9)),0),3)&amp;RIGHT("0000"&amp;IFERROR(VALUE(MID(E128,FIND("-",E128)+1,9)),0),4))</f>
        <v/>
      </c>
      <c r="U128" s="0" t="str">
        <f aca="false">IF(I128=1,"K"&amp;RIGHT("00"&amp;A128,2)&amp;T128&amp;RIGHT("00000"&amp;ROW(),5),"")</f>
        <v/>
      </c>
      <c r="V128" s="0" t="str">
        <f aca="false">IF(U128="","",COUNTIFS($I$2:$I$1201,1,$U$2:$U$1201,"&lt;"&amp;U128)+1)</f>
        <v/>
      </c>
    </row>
    <row r="129" customFormat="false" ht="15" hidden="false" customHeight="false" outlineLevel="0" collapsed="false">
      <c r="A129" s="0" t="n">
        <v>3</v>
      </c>
      <c r="B129" s="0" t="n">
        <v>8</v>
      </c>
      <c r="C129" s="0" t="str">
        <f aca="false">TRIM(SUBSTITUTE(INDEX(LISTAS!$A$4:$T$63,B129,A129)&amp;"",CHAR(160)," "))</f>
        <v/>
      </c>
      <c r="D129" s="0" t="str">
        <f aca="false">IF(C129="","",TRIM(RIGHT(SUBSTITUTE(C129," ",REPT(" ",100)),100)))</f>
        <v/>
      </c>
      <c r="E129" s="0" t="str">
        <f aca="false">IF(D129="","",UPPER(SUBSTITUTE(SUBSTITUTE(D129,"(",""),")","")))</f>
        <v/>
      </c>
      <c r="F129" s="0" t="str">
        <f aca="false">IF(C129="","",LEFT(C129,FIND(" ",C129&amp;" ")-1))</f>
        <v/>
      </c>
      <c r="G129" s="0" t="n">
        <f aca="false">IFERROR(VALUE(SUBSTITUTE(LOWER(F129),"x","")),0)</f>
        <v>0</v>
      </c>
      <c r="H129" s="0" t="str">
        <f aca="false">IF(C129="","",TRIM(MID(C129,LEN(F129)+2,999)))</f>
        <v/>
      </c>
      <c r="I129" s="0" t="n">
        <f aca="false">IF(OR(C129="",LEFT(C129,2)="//"),0,IFERROR(IF(AND(G129&gt;0,G129=INT(G129),FIND("-",E129)&gt;1,NOT(EXACT(UPPER(LEFT(E129,1)),LOWER(LEFT(E129,1)))),ISNUMBER(VALUE(MID(E129,FIND("-",E129)+1,10)))),1,0),0))</f>
        <v>0</v>
      </c>
      <c r="J129" s="0" t="str">
        <f aca="false">IF(I129=1,TRIM(LEFT(H129,MAX(0,LEN(H129)-LEN(D129)))),"")</f>
        <v/>
      </c>
      <c r="K129" s="0" t="str">
        <f aca="false">INDEX($P$2:$P$21,A129)</f>
        <v>Deck 3</v>
      </c>
      <c r="L129" s="0" t="n">
        <f aca="false">IF(AND(C129&lt;&gt;"",LEFT(C129,2)&lt;&gt;"//",I129=0),1,0)</f>
        <v>0</v>
      </c>
      <c r="M129" s="0" t="str">
        <f aca="false">IF(I129=1,MAX(M$1:M128)+1,"")</f>
        <v/>
      </c>
      <c r="N129" s="0" t="str">
        <f aca="false">IFERROR(MATCH(ROW()-1,$V$2:$V$1201,0),"")</f>
        <v/>
      </c>
      <c r="R129" s="0" t="str">
        <f aca="false">IF(E129="","",IFERROR(LEFT(E129,FIND("-",E129)-1),E129))</f>
        <v/>
      </c>
      <c r="S129" s="0" t="str">
        <f aca="false">IF(R129="","",IF(ISNUMBER(--MID(R129,1,1)),0,IF(ISNUMBER(--MID(R129,2,1)),1,IF(ISNUMBER(--MID(R129,3,1)),2,IF(ISNUMBER(--MID(R129,4,1)),3,MIN(LEN(R129),4))))))</f>
        <v/>
      </c>
      <c r="T129" s="0" t="str">
        <f aca="false">IF(E129="","",LEFT(R129,S129)&amp;REPT("0",4-S129)&amp;RIGHT("000"&amp;IFERROR(VALUE(MID(R129,S129+1,9)),0),3)&amp;RIGHT("0000"&amp;IFERROR(VALUE(MID(E129,FIND("-",E129)+1,9)),0),4))</f>
        <v/>
      </c>
      <c r="U129" s="0" t="str">
        <f aca="false">IF(I129=1,"K"&amp;RIGHT("00"&amp;A129,2)&amp;T129&amp;RIGHT("00000"&amp;ROW(),5),"")</f>
        <v/>
      </c>
      <c r="V129" s="0" t="str">
        <f aca="false">IF(U129="","",COUNTIFS($I$2:$I$1201,1,$U$2:$U$1201,"&lt;"&amp;U129)+1)</f>
        <v/>
      </c>
    </row>
    <row r="130" customFormat="false" ht="15" hidden="false" customHeight="false" outlineLevel="0" collapsed="false">
      <c r="A130" s="0" t="n">
        <v>3</v>
      </c>
      <c r="B130" s="0" t="n">
        <v>9</v>
      </c>
      <c r="C130" s="0" t="str">
        <f aca="false">TRIM(SUBSTITUTE(INDEX(LISTAS!$A$4:$T$63,B130,A130)&amp;"",CHAR(160)," "))</f>
        <v/>
      </c>
      <c r="D130" s="0" t="str">
        <f aca="false">IF(C130="","",TRIM(RIGHT(SUBSTITUTE(C130," ",REPT(" ",100)),100)))</f>
        <v/>
      </c>
      <c r="E130" s="0" t="str">
        <f aca="false">IF(D130="","",UPPER(SUBSTITUTE(SUBSTITUTE(D130,"(",""),")","")))</f>
        <v/>
      </c>
      <c r="F130" s="0" t="str">
        <f aca="false">IF(C130="","",LEFT(C130,FIND(" ",C130&amp;" ")-1))</f>
        <v/>
      </c>
      <c r="G130" s="0" t="n">
        <f aca="false">IFERROR(VALUE(SUBSTITUTE(LOWER(F130),"x","")),0)</f>
        <v>0</v>
      </c>
      <c r="H130" s="0" t="str">
        <f aca="false">IF(C130="","",TRIM(MID(C130,LEN(F130)+2,999)))</f>
        <v/>
      </c>
      <c r="I130" s="0" t="n">
        <f aca="false">IF(OR(C130="",LEFT(C130,2)="//"),0,IFERROR(IF(AND(G130&gt;0,G130=INT(G130),FIND("-",E130)&gt;1,NOT(EXACT(UPPER(LEFT(E130,1)),LOWER(LEFT(E130,1)))),ISNUMBER(VALUE(MID(E130,FIND("-",E130)+1,10)))),1,0),0))</f>
        <v>0</v>
      </c>
      <c r="J130" s="0" t="str">
        <f aca="false">IF(I130=1,TRIM(LEFT(H130,MAX(0,LEN(H130)-LEN(D130)))),"")</f>
        <v/>
      </c>
      <c r="K130" s="0" t="str">
        <f aca="false">INDEX($P$2:$P$21,A130)</f>
        <v>Deck 3</v>
      </c>
      <c r="L130" s="0" t="n">
        <f aca="false">IF(AND(C130&lt;&gt;"",LEFT(C130,2)&lt;&gt;"//",I130=0),1,0)</f>
        <v>0</v>
      </c>
      <c r="M130" s="0" t="str">
        <f aca="false">IF(I130=1,MAX(M$1:M129)+1,"")</f>
        <v/>
      </c>
      <c r="N130" s="0" t="str">
        <f aca="false">IFERROR(MATCH(ROW()-1,$V$2:$V$1201,0),"")</f>
        <v/>
      </c>
      <c r="R130" s="0" t="str">
        <f aca="false">IF(E130="","",IFERROR(LEFT(E130,FIND("-",E130)-1),E130))</f>
        <v/>
      </c>
      <c r="S130" s="0" t="str">
        <f aca="false">IF(R130="","",IF(ISNUMBER(--MID(R130,1,1)),0,IF(ISNUMBER(--MID(R130,2,1)),1,IF(ISNUMBER(--MID(R130,3,1)),2,IF(ISNUMBER(--MID(R130,4,1)),3,MIN(LEN(R130),4))))))</f>
        <v/>
      </c>
      <c r="T130" s="0" t="str">
        <f aca="false">IF(E130="","",LEFT(R130,S130)&amp;REPT("0",4-S130)&amp;RIGHT("000"&amp;IFERROR(VALUE(MID(R130,S130+1,9)),0),3)&amp;RIGHT("0000"&amp;IFERROR(VALUE(MID(E130,FIND("-",E130)+1,9)),0),4))</f>
        <v/>
      </c>
      <c r="U130" s="0" t="str">
        <f aca="false">IF(I130=1,"K"&amp;RIGHT("00"&amp;A130,2)&amp;T130&amp;RIGHT("00000"&amp;ROW(),5),"")</f>
        <v/>
      </c>
      <c r="V130" s="0" t="str">
        <f aca="false">IF(U130="","",COUNTIFS($I$2:$I$1201,1,$U$2:$U$1201,"&lt;"&amp;U130)+1)</f>
        <v/>
      </c>
    </row>
    <row r="131" customFormat="false" ht="15" hidden="false" customHeight="false" outlineLevel="0" collapsed="false">
      <c r="A131" s="0" t="n">
        <v>3</v>
      </c>
      <c r="B131" s="0" t="n">
        <v>10</v>
      </c>
      <c r="C131" s="0" t="str">
        <f aca="false">TRIM(SUBSTITUTE(INDEX(LISTAS!$A$4:$T$63,B131,A131)&amp;"",CHAR(160)," "))</f>
        <v/>
      </c>
      <c r="D131" s="0" t="str">
        <f aca="false">IF(C131="","",TRIM(RIGHT(SUBSTITUTE(C131," ",REPT(" ",100)),100)))</f>
        <v/>
      </c>
      <c r="E131" s="0" t="str">
        <f aca="false">IF(D131="","",UPPER(SUBSTITUTE(SUBSTITUTE(D131,"(",""),")","")))</f>
        <v/>
      </c>
      <c r="F131" s="0" t="str">
        <f aca="false">IF(C131="","",LEFT(C131,FIND(" ",C131&amp;" ")-1))</f>
        <v/>
      </c>
      <c r="G131" s="0" t="n">
        <f aca="false">IFERROR(VALUE(SUBSTITUTE(LOWER(F131),"x","")),0)</f>
        <v>0</v>
      </c>
      <c r="H131" s="0" t="str">
        <f aca="false">IF(C131="","",TRIM(MID(C131,LEN(F131)+2,999)))</f>
        <v/>
      </c>
      <c r="I131" s="0" t="n">
        <f aca="false">IF(OR(C131="",LEFT(C131,2)="//"),0,IFERROR(IF(AND(G131&gt;0,G131=INT(G131),FIND("-",E131)&gt;1,NOT(EXACT(UPPER(LEFT(E131,1)),LOWER(LEFT(E131,1)))),ISNUMBER(VALUE(MID(E131,FIND("-",E131)+1,10)))),1,0),0))</f>
        <v>0</v>
      </c>
      <c r="J131" s="0" t="str">
        <f aca="false">IF(I131=1,TRIM(LEFT(H131,MAX(0,LEN(H131)-LEN(D131)))),"")</f>
        <v/>
      </c>
      <c r="K131" s="0" t="str">
        <f aca="false">INDEX($P$2:$P$21,A131)</f>
        <v>Deck 3</v>
      </c>
      <c r="L131" s="0" t="n">
        <f aca="false">IF(AND(C131&lt;&gt;"",LEFT(C131,2)&lt;&gt;"//",I131=0),1,0)</f>
        <v>0</v>
      </c>
      <c r="M131" s="0" t="str">
        <f aca="false">IF(I131=1,MAX(M$1:M130)+1,"")</f>
        <v/>
      </c>
      <c r="N131" s="0" t="str">
        <f aca="false">IFERROR(MATCH(ROW()-1,$V$2:$V$1201,0),"")</f>
        <v/>
      </c>
      <c r="R131" s="0" t="str">
        <f aca="false">IF(E131="","",IFERROR(LEFT(E131,FIND("-",E131)-1),E131))</f>
        <v/>
      </c>
      <c r="S131" s="0" t="str">
        <f aca="false">IF(R131="","",IF(ISNUMBER(--MID(R131,1,1)),0,IF(ISNUMBER(--MID(R131,2,1)),1,IF(ISNUMBER(--MID(R131,3,1)),2,IF(ISNUMBER(--MID(R131,4,1)),3,MIN(LEN(R131),4))))))</f>
        <v/>
      </c>
      <c r="T131" s="0" t="str">
        <f aca="false">IF(E131="","",LEFT(R131,S131)&amp;REPT("0",4-S131)&amp;RIGHT("000"&amp;IFERROR(VALUE(MID(R131,S131+1,9)),0),3)&amp;RIGHT("0000"&amp;IFERROR(VALUE(MID(E131,FIND("-",E131)+1,9)),0),4))</f>
        <v/>
      </c>
      <c r="U131" s="0" t="str">
        <f aca="false">IF(I131=1,"K"&amp;RIGHT("00"&amp;A131,2)&amp;T131&amp;RIGHT("00000"&amp;ROW(),5),"")</f>
        <v/>
      </c>
      <c r="V131" s="0" t="str">
        <f aca="false">IF(U131="","",COUNTIFS($I$2:$I$1201,1,$U$2:$U$1201,"&lt;"&amp;U131)+1)</f>
        <v/>
      </c>
    </row>
    <row r="132" customFormat="false" ht="15" hidden="false" customHeight="false" outlineLevel="0" collapsed="false">
      <c r="A132" s="0" t="n">
        <v>3</v>
      </c>
      <c r="B132" s="0" t="n">
        <v>11</v>
      </c>
      <c r="C132" s="0" t="str">
        <f aca="false">TRIM(SUBSTITUTE(INDEX(LISTAS!$A$4:$T$63,B132,A132)&amp;"",CHAR(160)," "))</f>
        <v/>
      </c>
      <c r="D132" s="0" t="str">
        <f aca="false">IF(C132="","",TRIM(RIGHT(SUBSTITUTE(C132," ",REPT(" ",100)),100)))</f>
        <v/>
      </c>
      <c r="E132" s="0" t="str">
        <f aca="false">IF(D132="","",UPPER(SUBSTITUTE(SUBSTITUTE(D132,"(",""),")","")))</f>
        <v/>
      </c>
      <c r="F132" s="0" t="str">
        <f aca="false">IF(C132="","",LEFT(C132,FIND(" ",C132&amp;" ")-1))</f>
        <v/>
      </c>
      <c r="G132" s="0" t="n">
        <f aca="false">IFERROR(VALUE(SUBSTITUTE(LOWER(F132),"x","")),0)</f>
        <v>0</v>
      </c>
      <c r="H132" s="0" t="str">
        <f aca="false">IF(C132="","",TRIM(MID(C132,LEN(F132)+2,999)))</f>
        <v/>
      </c>
      <c r="I132" s="0" t="n">
        <f aca="false">IF(OR(C132="",LEFT(C132,2)="//"),0,IFERROR(IF(AND(G132&gt;0,G132=INT(G132),FIND("-",E132)&gt;1,NOT(EXACT(UPPER(LEFT(E132,1)),LOWER(LEFT(E132,1)))),ISNUMBER(VALUE(MID(E132,FIND("-",E132)+1,10)))),1,0),0))</f>
        <v>0</v>
      </c>
      <c r="J132" s="0" t="str">
        <f aca="false">IF(I132=1,TRIM(LEFT(H132,MAX(0,LEN(H132)-LEN(D132)))),"")</f>
        <v/>
      </c>
      <c r="K132" s="0" t="str">
        <f aca="false">INDEX($P$2:$P$21,A132)</f>
        <v>Deck 3</v>
      </c>
      <c r="L132" s="0" t="n">
        <f aca="false">IF(AND(C132&lt;&gt;"",LEFT(C132,2)&lt;&gt;"//",I132=0),1,0)</f>
        <v>0</v>
      </c>
      <c r="M132" s="0" t="str">
        <f aca="false">IF(I132=1,MAX(M$1:M131)+1,"")</f>
        <v/>
      </c>
      <c r="N132" s="0" t="str">
        <f aca="false">IFERROR(MATCH(ROW()-1,$V$2:$V$1201,0),"")</f>
        <v/>
      </c>
      <c r="R132" s="0" t="str">
        <f aca="false">IF(E132="","",IFERROR(LEFT(E132,FIND("-",E132)-1),E132))</f>
        <v/>
      </c>
      <c r="S132" s="0" t="str">
        <f aca="false">IF(R132="","",IF(ISNUMBER(--MID(R132,1,1)),0,IF(ISNUMBER(--MID(R132,2,1)),1,IF(ISNUMBER(--MID(R132,3,1)),2,IF(ISNUMBER(--MID(R132,4,1)),3,MIN(LEN(R132),4))))))</f>
        <v/>
      </c>
      <c r="T132" s="0" t="str">
        <f aca="false">IF(E132="","",LEFT(R132,S132)&amp;REPT("0",4-S132)&amp;RIGHT("000"&amp;IFERROR(VALUE(MID(R132,S132+1,9)),0),3)&amp;RIGHT("0000"&amp;IFERROR(VALUE(MID(E132,FIND("-",E132)+1,9)),0),4))</f>
        <v/>
      </c>
      <c r="U132" s="0" t="str">
        <f aca="false">IF(I132=1,"K"&amp;RIGHT("00"&amp;A132,2)&amp;T132&amp;RIGHT("00000"&amp;ROW(),5),"")</f>
        <v/>
      </c>
      <c r="V132" s="0" t="str">
        <f aca="false">IF(U132="","",COUNTIFS($I$2:$I$1201,1,$U$2:$U$1201,"&lt;"&amp;U132)+1)</f>
        <v/>
      </c>
    </row>
    <row r="133" customFormat="false" ht="15" hidden="false" customHeight="false" outlineLevel="0" collapsed="false">
      <c r="A133" s="0" t="n">
        <v>3</v>
      </c>
      <c r="B133" s="0" t="n">
        <v>12</v>
      </c>
      <c r="C133" s="0" t="str">
        <f aca="false">TRIM(SUBSTITUTE(INDEX(LISTAS!$A$4:$T$63,B133,A133)&amp;"",CHAR(160)," "))</f>
        <v/>
      </c>
      <c r="D133" s="0" t="str">
        <f aca="false">IF(C133="","",TRIM(RIGHT(SUBSTITUTE(C133," ",REPT(" ",100)),100)))</f>
        <v/>
      </c>
      <c r="E133" s="0" t="str">
        <f aca="false">IF(D133="","",UPPER(SUBSTITUTE(SUBSTITUTE(D133,"(",""),")","")))</f>
        <v/>
      </c>
      <c r="F133" s="0" t="str">
        <f aca="false">IF(C133="","",LEFT(C133,FIND(" ",C133&amp;" ")-1))</f>
        <v/>
      </c>
      <c r="G133" s="0" t="n">
        <f aca="false">IFERROR(VALUE(SUBSTITUTE(LOWER(F133),"x","")),0)</f>
        <v>0</v>
      </c>
      <c r="H133" s="0" t="str">
        <f aca="false">IF(C133="","",TRIM(MID(C133,LEN(F133)+2,999)))</f>
        <v/>
      </c>
      <c r="I133" s="0" t="n">
        <f aca="false">IF(OR(C133="",LEFT(C133,2)="//"),0,IFERROR(IF(AND(G133&gt;0,G133=INT(G133),FIND("-",E133)&gt;1,NOT(EXACT(UPPER(LEFT(E133,1)),LOWER(LEFT(E133,1)))),ISNUMBER(VALUE(MID(E133,FIND("-",E133)+1,10)))),1,0),0))</f>
        <v>0</v>
      </c>
      <c r="J133" s="0" t="str">
        <f aca="false">IF(I133=1,TRIM(LEFT(H133,MAX(0,LEN(H133)-LEN(D133)))),"")</f>
        <v/>
      </c>
      <c r="K133" s="0" t="str">
        <f aca="false">INDEX($P$2:$P$21,A133)</f>
        <v>Deck 3</v>
      </c>
      <c r="L133" s="0" t="n">
        <f aca="false">IF(AND(C133&lt;&gt;"",LEFT(C133,2)&lt;&gt;"//",I133=0),1,0)</f>
        <v>0</v>
      </c>
      <c r="M133" s="0" t="str">
        <f aca="false">IF(I133=1,MAX(M$1:M132)+1,"")</f>
        <v/>
      </c>
      <c r="N133" s="0" t="str">
        <f aca="false">IFERROR(MATCH(ROW()-1,$V$2:$V$1201,0),"")</f>
        <v/>
      </c>
      <c r="R133" s="0" t="str">
        <f aca="false">IF(E133="","",IFERROR(LEFT(E133,FIND("-",E133)-1),E133))</f>
        <v/>
      </c>
      <c r="S133" s="0" t="str">
        <f aca="false">IF(R133="","",IF(ISNUMBER(--MID(R133,1,1)),0,IF(ISNUMBER(--MID(R133,2,1)),1,IF(ISNUMBER(--MID(R133,3,1)),2,IF(ISNUMBER(--MID(R133,4,1)),3,MIN(LEN(R133),4))))))</f>
        <v/>
      </c>
      <c r="T133" s="0" t="str">
        <f aca="false">IF(E133="","",LEFT(R133,S133)&amp;REPT("0",4-S133)&amp;RIGHT("000"&amp;IFERROR(VALUE(MID(R133,S133+1,9)),0),3)&amp;RIGHT("0000"&amp;IFERROR(VALUE(MID(E133,FIND("-",E133)+1,9)),0),4))</f>
        <v/>
      </c>
      <c r="U133" s="0" t="str">
        <f aca="false">IF(I133=1,"K"&amp;RIGHT("00"&amp;A133,2)&amp;T133&amp;RIGHT("00000"&amp;ROW(),5),"")</f>
        <v/>
      </c>
      <c r="V133" s="0" t="str">
        <f aca="false">IF(U133="","",COUNTIFS($I$2:$I$1201,1,$U$2:$U$1201,"&lt;"&amp;U133)+1)</f>
        <v/>
      </c>
    </row>
    <row r="134" customFormat="false" ht="15" hidden="false" customHeight="false" outlineLevel="0" collapsed="false">
      <c r="A134" s="0" t="n">
        <v>3</v>
      </c>
      <c r="B134" s="0" t="n">
        <v>13</v>
      </c>
      <c r="C134" s="0" t="str">
        <f aca="false">TRIM(SUBSTITUTE(INDEX(LISTAS!$A$4:$T$63,B134,A134)&amp;"",CHAR(160)," "))</f>
        <v/>
      </c>
      <c r="D134" s="0" t="str">
        <f aca="false">IF(C134="","",TRIM(RIGHT(SUBSTITUTE(C134," ",REPT(" ",100)),100)))</f>
        <v/>
      </c>
      <c r="E134" s="0" t="str">
        <f aca="false">IF(D134="","",UPPER(SUBSTITUTE(SUBSTITUTE(D134,"(",""),")","")))</f>
        <v/>
      </c>
      <c r="F134" s="0" t="str">
        <f aca="false">IF(C134="","",LEFT(C134,FIND(" ",C134&amp;" ")-1))</f>
        <v/>
      </c>
      <c r="G134" s="0" t="n">
        <f aca="false">IFERROR(VALUE(SUBSTITUTE(LOWER(F134),"x","")),0)</f>
        <v>0</v>
      </c>
      <c r="H134" s="0" t="str">
        <f aca="false">IF(C134="","",TRIM(MID(C134,LEN(F134)+2,999)))</f>
        <v/>
      </c>
      <c r="I134" s="0" t="n">
        <f aca="false">IF(OR(C134="",LEFT(C134,2)="//"),0,IFERROR(IF(AND(G134&gt;0,G134=INT(G134),FIND("-",E134)&gt;1,NOT(EXACT(UPPER(LEFT(E134,1)),LOWER(LEFT(E134,1)))),ISNUMBER(VALUE(MID(E134,FIND("-",E134)+1,10)))),1,0),0))</f>
        <v>0</v>
      </c>
      <c r="J134" s="0" t="str">
        <f aca="false">IF(I134=1,TRIM(LEFT(H134,MAX(0,LEN(H134)-LEN(D134)))),"")</f>
        <v/>
      </c>
      <c r="K134" s="0" t="str">
        <f aca="false">INDEX($P$2:$P$21,A134)</f>
        <v>Deck 3</v>
      </c>
      <c r="L134" s="0" t="n">
        <f aca="false">IF(AND(C134&lt;&gt;"",LEFT(C134,2)&lt;&gt;"//",I134=0),1,0)</f>
        <v>0</v>
      </c>
      <c r="M134" s="0" t="str">
        <f aca="false">IF(I134=1,MAX(M$1:M133)+1,"")</f>
        <v/>
      </c>
      <c r="N134" s="0" t="str">
        <f aca="false">IFERROR(MATCH(ROW()-1,$V$2:$V$1201,0),"")</f>
        <v/>
      </c>
      <c r="R134" s="0" t="str">
        <f aca="false">IF(E134="","",IFERROR(LEFT(E134,FIND("-",E134)-1),E134))</f>
        <v/>
      </c>
      <c r="S134" s="0" t="str">
        <f aca="false">IF(R134="","",IF(ISNUMBER(--MID(R134,1,1)),0,IF(ISNUMBER(--MID(R134,2,1)),1,IF(ISNUMBER(--MID(R134,3,1)),2,IF(ISNUMBER(--MID(R134,4,1)),3,MIN(LEN(R134),4))))))</f>
        <v/>
      </c>
      <c r="T134" s="0" t="str">
        <f aca="false">IF(E134="","",LEFT(R134,S134)&amp;REPT("0",4-S134)&amp;RIGHT("000"&amp;IFERROR(VALUE(MID(R134,S134+1,9)),0),3)&amp;RIGHT("0000"&amp;IFERROR(VALUE(MID(E134,FIND("-",E134)+1,9)),0),4))</f>
        <v/>
      </c>
      <c r="U134" s="0" t="str">
        <f aca="false">IF(I134=1,"K"&amp;RIGHT("00"&amp;A134,2)&amp;T134&amp;RIGHT("00000"&amp;ROW(),5),"")</f>
        <v/>
      </c>
      <c r="V134" s="0" t="str">
        <f aca="false">IF(U134="","",COUNTIFS($I$2:$I$1201,1,$U$2:$U$1201,"&lt;"&amp;U134)+1)</f>
        <v/>
      </c>
    </row>
    <row r="135" customFormat="false" ht="15" hidden="false" customHeight="false" outlineLevel="0" collapsed="false">
      <c r="A135" s="0" t="n">
        <v>3</v>
      </c>
      <c r="B135" s="0" t="n">
        <v>14</v>
      </c>
      <c r="C135" s="0" t="str">
        <f aca="false">TRIM(SUBSTITUTE(INDEX(LISTAS!$A$4:$T$63,B135,A135)&amp;"",CHAR(160)," "))</f>
        <v/>
      </c>
      <c r="D135" s="0" t="str">
        <f aca="false">IF(C135="","",TRIM(RIGHT(SUBSTITUTE(C135," ",REPT(" ",100)),100)))</f>
        <v/>
      </c>
      <c r="E135" s="0" t="str">
        <f aca="false">IF(D135="","",UPPER(SUBSTITUTE(SUBSTITUTE(D135,"(",""),")","")))</f>
        <v/>
      </c>
      <c r="F135" s="0" t="str">
        <f aca="false">IF(C135="","",LEFT(C135,FIND(" ",C135&amp;" ")-1))</f>
        <v/>
      </c>
      <c r="G135" s="0" t="n">
        <f aca="false">IFERROR(VALUE(SUBSTITUTE(LOWER(F135),"x","")),0)</f>
        <v>0</v>
      </c>
      <c r="H135" s="0" t="str">
        <f aca="false">IF(C135="","",TRIM(MID(C135,LEN(F135)+2,999)))</f>
        <v/>
      </c>
      <c r="I135" s="0" t="n">
        <f aca="false">IF(OR(C135="",LEFT(C135,2)="//"),0,IFERROR(IF(AND(G135&gt;0,G135=INT(G135),FIND("-",E135)&gt;1,NOT(EXACT(UPPER(LEFT(E135,1)),LOWER(LEFT(E135,1)))),ISNUMBER(VALUE(MID(E135,FIND("-",E135)+1,10)))),1,0),0))</f>
        <v>0</v>
      </c>
      <c r="J135" s="0" t="str">
        <f aca="false">IF(I135=1,TRIM(LEFT(H135,MAX(0,LEN(H135)-LEN(D135)))),"")</f>
        <v/>
      </c>
      <c r="K135" s="0" t="str">
        <f aca="false">INDEX($P$2:$P$21,A135)</f>
        <v>Deck 3</v>
      </c>
      <c r="L135" s="0" t="n">
        <f aca="false">IF(AND(C135&lt;&gt;"",LEFT(C135,2)&lt;&gt;"//",I135=0),1,0)</f>
        <v>0</v>
      </c>
      <c r="M135" s="0" t="str">
        <f aca="false">IF(I135=1,MAX(M$1:M134)+1,"")</f>
        <v/>
      </c>
      <c r="N135" s="0" t="str">
        <f aca="false">IFERROR(MATCH(ROW()-1,$V$2:$V$1201,0),"")</f>
        <v/>
      </c>
      <c r="R135" s="0" t="str">
        <f aca="false">IF(E135="","",IFERROR(LEFT(E135,FIND("-",E135)-1),E135))</f>
        <v/>
      </c>
      <c r="S135" s="0" t="str">
        <f aca="false">IF(R135="","",IF(ISNUMBER(--MID(R135,1,1)),0,IF(ISNUMBER(--MID(R135,2,1)),1,IF(ISNUMBER(--MID(R135,3,1)),2,IF(ISNUMBER(--MID(R135,4,1)),3,MIN(LEN(R135),4))))))</f>
        <v/>
      </c>
      <c r="T135" s="0" t="str">
        <f aca="false">IF(E135="","",LEFT(R135,S135)&amp;REPT("0",4-S135)&amp;RIGHT("000"&amp;IFERROR(VALUE(MID(R135,S135+1,9)),0),3)&amp;RIGHT("0000"&amp;IFERROR(VALUE(MID(E135,FIND("-",E135)+1,9)),0),4))</f>
        <v/>
      </c>
      <c r="U135" s="0" t="str">
        <f aca="false">IF(I135=1,"K"&amp;RIGHT("00"&amp;A135,2)&amp;T135&amp;RIGHT("00000"&amp;ROW(),5),"")</f>
        <v/>
      </c>
      <c r="V135" s="0" t="str">
        <f aca="false">IF(U135="","",COUNTIFS($I$2:$I$1201,1,$U$2:$U$1201,"&lt;"&amp;U135)+1)</f>
        <v/>
      </c>
    </row>
    <row r="136" customFormat="false" ht="15" hidden="false" customHeight="false" outlineLevel="0" collapsed="false">
      <c r="A136" s="0" t="n">
        <v>3</v>
      </c>
      <c r="B136" s="0" t="n">
        <v>15</v>
      </c>
      <c r="C136" s="0" t="str">
        <f aca="false">TRIM(SUBSTITUTE(INDEX(LISTAS!$A$4:$T$63,B136,A136)&amp;"",CHAR(160)," "))</f>
        <v/>
      </c>
      <c r="D136" s="0" t="str">
        <f aca="false">IF(C136="","",TRIM(RIGHT(SUBSTITUTE(C136," ",REPT(" ",100)),100)))</f>
        <v/>
      </c>
      <c r="E136" s="0" t="str">
        <f aca="false">IF(D136="","",UPPER(SUBSTITUTE(SUBSTITUTE(D136,"(",""),")","")))</f>
        <v/>
      </c>
      <c r="F136" s="0" t="str">
        <f aca="false">IF(C136="","",LEFT(C136,FIND(" ",C136&amp;" ")-1))</f>
        <v/>
      </c>
      <c r="G136" s="0" t="n">
        <f aca="false">IFERROR(VALUE(SUBSTITUTE(LOWER(F136),"x","")),0)</f>
        <v>0</v>
      </c>
      <c r="H136" s="0" t="str">
        <f aca="false">IF(C136="","",TRIM(MID(C136,LEN(F136)+2,999)))</f>
        <v/>
      </c>
      <c r="I136" s="0" t="n">
        <f aca="false">IF(OR(C136="",LEFT(C136,2)="//"),0,IFERROR(IF(AND(G136&gt;0,G136=INT(G136),FIND("-",E136)&gt;1,NOT(EXACT(UPPER(LEFT(E136,1)),LOWER(LEFT(E136,1)))),ISNUMBER(VALUE(MID(E136,FIND("-",E136)+1,10)))),1,0),0))</f>
        <v>0</v>
      </c>
      <c r="J136" s="0" t="str">
        <f aca="false">IF(I136=1,TRIM(LEFT(H136,MAX(0,LEN(H136)-LEN(D136)))),"")</f>
        <v/>
      </c>
      <c r="K136" s="0" t="str">
        <f aca="false">INDEX($P$2:$P$21,A136)</f>
        <v>Deck 3</v>
      </c>
      <c r="L136" s="0" t="n">
        <f aca="false">IF(AND(C136&lt;&gt;"",LEFT(C136,2)&lt;&gt;"//",I136=0),1,0)</f>
        <v>0</v>
      </c>
      <c r="M136" s="0" t="str">
        <f aca="false">IF(I136=1,MAX(M$1:M135)+1,"")</f>
        <v/>
      </c>
      <c r="N136" s="0" t="str">
        <f aca="false">IFERROR(MATCH(ROW()-1,$V$2:$V$1201,0),"")</f>
        <v/>
      </c>
      <c r="R136" s="0" t="str">
        <f aca="false">IF(E136="","",IFERROR(LEFT(E136,FIND("-",E136)-1),E136))</f>
        <v/>
      </c>
      <c r="S136" s="0" t="str">
        <f aca="false">IF(R136="","",IF(ISNUMBER(--MID(R136,1,1)),0,IF(ISNUMBER(--MID(R136,2,1)),1,IF(ISNUMBER(--MID(R136,3,1)),2,IF(ISNUMBER(--MID(R136,4,1)),3,MIN(LEN(R136),4))))))</f>
        <v/>
      </c>
      <c r="T136" s="0" t="str">
        <f aca="false">IF(E136="","",LEFT(R136,S136)&amp;REPT("0",4-S136)&amp;RIGHT("000"&amp;IFERROR(VALUE(MID(R136,S136+1,9)),0),3)&amp;RIGHT("0000"&amp;IFERROR(VALUE(MID(E136,FIND("-",E136)+1,9)),0),4))</f>
        <v/>
      </c>
      <c r="U136" s="0" t="str">
        <f aca="false">IF(I136=1,"K"&amp;RIGHT("00"&amp;A136,2)&amp;T136&amp;RIGHT("00000"&amp;ROW(),5),"")</f>
        <v/>
      </c>
      <c r="V136" s="0" t="str">
        <f aca="false">IF(U136="","",COUNTIFS($I$2:$I$1201,1,$U$2:$U$1201,"&lt;"&amp;U136)+1)</f>
        <v/>
      </c>
    </row>
    <row r="137" customFormat="false" ht="15" hidden="false" customHeight="false" outlineLevel="0" collapsed="false">
      <c r="A137" s="0" t="n">
        <v>3</v>
      </c>
      <c r="B137" s="0" t="n">
        <v>16</v>
      </c>
      <c r="C137" s="0" t="str">
        <f aca="false">TRIM(SUBSTITUTE(INDEX(LISTAS!$A$4:$T$63,B137,A137)&amp;"",CHAR(160)," "))</f>
        <v/>
      </c>
      <c r="D137" s="0" t="str">
        <f aca="false">IF(C137="","",TRIM(RIGHT(SUBSTITUTE(C137," ",REPT(" ",100)),100)))</f>
        <v/>
      </c>
      <c r="E137" s="0" t="str">
        <f aca="false">IF(D137="","",UPPER(SUBSTITUTE(SUBSTITUTE(D137,"(",""),")","")))</f>
        <v/>
      </c>
      <c r="F137" s="0" t="str">
        <f aca="false">IF(C137="","",LEFT(C137,FIND(" ",C137&amp;" ")-1))</f>
        <v/>
      </c>
      <c r="G137" s="0" t="n">
        <f aca="false">IFERROR(VALUE(SUBSTITUTE(LOWER(F137),"x","")),0)</f>
        <v>0</v>
      </c>
      <c r="H137" s="0" t="str">
        <f aca="false">IF(C137="","",TRIM(MID(C137,LEN(F137)+2,999)))</f>
        <v/>
      </c>
      <c r="I137" s="0" t="n">
        <f aca="false">IF(OR(C137="",LEFT(C137,2)="//"),0,IFERROR(IF(AND(G137&gt;0,G137=INT(G137),FIND("-",E137)&gt;1,NOT(EXACT(UPPER(LEFT(E137,1)),LOWER(LEFT(E137,1)))),ISNUMBER(VALUE(MID(E137,FIND("-",E137)+1,10)))),1,0),0))</f>
        <v>0</v>
      </c>
      <c r="J137" s="0" t="str">
        <f aca="false">IF(I137=1,TRIM(LEFT(H137,MAX(0,LEN(H137)-LEN(D137)))),"")</f>
        <v/>
      </c>
      <c r="K137" s="0" t="str">
        <f aca="false">INDEX($P$2:$P$21,A137)</f>
        <v>Deck 3</v>
      </c>
      <c r="L137" s="0" t="n">
        <f aca="false">IF(AND(C137&lt;&gt;"",LEFT(C137,2)&lt;&gt;"//",I137=0),1,0)</f>
        <v>0</v>
      </c>
      <c r="M137" s="0" t="str">
        <f aca="false">IF(I137=1,MAX(M$1:M136)+1,"")</f>
        <v/>
      </c>
      <c r="N137" s="0" t="str">
        <f aca="false">IFERROR(MATCH(ROW()-1,$V$2:$V$1201,0),"")</f>
        <v/>
      </c>
      <c r="R137" s="0" t="str">
        <f aca="false">IF(E137="","",IFERROR(LEFT(E137,FIND("-",E137)-1),E137))</f>
        <v/>
      </c>
      <c r="S137" s="0" t="str">
        <f aca="false">IF(R137="","",IF(ISNUMBER(--MID(R137,1,1)),0,IF(ISNUMBER(--MID(R137,2,1)),1,IF(ISNUMBER(--MID(R137,3,1)),2,IF(ISNUMBER(--MID(R137,4,1)),3,MIN(LEN(R137),4))))))</f>
        <v/>
      </c>
      <c r="T137" s="0" t="str">
        <f aca="false">IF(E137="","",LEFT(R137,S137)&amp;REPT("0",4-S137)&amp;RIGHT("000"&amp;IFERROR(VALUE(MID(R137,S137+1,9)),0),3)&amp;RIGHT("0000"&amp;IFERROR(VALUE(MID(E137,FIND("-",E137)+1,9)),0),4))</f>
        <v/>
      </c>
      <c r="U137" s="0" t="str">
        <f aca="false">IF(I137=1,"K"&amp;RIGHT("00"&amp;A137,2)&amp;T137&amp;RIGHT("00000"&amp;ROW(),5),"")</f>
        <v/>
      </c>
      <c r="V137" s="0" t="str">
        <f aca="false">IF(U137="","",COUNTIFS($I$2:$I$1201,1,$U$2:$U$1201,"&lt;"&amp;U137)+1)</f>
        <v/>
      </c>
    </row>
    <row r="138" customFormat="false" ht="15" hidden="false" customHeight="false" outlineLevel="0" collapsed="false">
      <c r="A138" s="0" t="n">
        <v>3</v>
      </c>
      <c r="B138" s="0" t="n">
        <v>17</v>
      </c>
      <c r="C138" s="0" t="str">
        <f aca="false">TRIM(SUBSTITUTE(INDEX(LISTAS!$A$4:$T$63,B138,A138)&amp;"",CHAR(160)," "))</f>
        <v/>
      </c>
      <c r="D138" s="0" t="str">
        <f aca="false">IF(C138="","",TRIM(RIGHT(SUBSTITUTE(C138," ",REPT(" ",100)),100)))</f>
        <v/>
      </c>
      <c r="E138" s="0" t="str">
        <f aca="false">IF(D138="","",UPPER(SUBSTITUTE(SUBSTITUTE(D138,"(",""),")","")))</f>
        <v/>
      </c>
      <c r="F138" s="0" t="str">
        <f aca="false">IF(C138="","",LEFT(C138,FIND(" ",C138&amp;" ")-1))</f>
        <v/>
      </c>
      <c r="G138" s="0" t="n">
        <f aca="false">IFERROR(VALUE(SUBSTITUTE(LOWER(F138),"x","")),0)</f>
        <v>0</v>
      </c>
      <c r="H138" s="0" t="str">
        <f aca="false">IF(C138="","",TRIM(MID(C138,LEN(F138)+2,999)))</f>
        <v/>
      </c>
      <c r="I138" s="0" t="n">
        <f aca="false">IF(OR(C138="",LEFT(C138,2)="//"),0,IFERROR(IF(AND(G138&gt;0,G138=INT(G138),FIND("-",E138)&gt;1,NOT(EXACT(UPPER(LEFT(E138,1)),LOWER(LEFT(E138,1)))),ISNUMBER(VALUE(MID(E138,FIND("-",E138)+1,10)))),1,0),0))</f>
        <v>0</v>
      </c>
      <c r="J138" s="0" t="str">
        <f aca="false">IF(I138=1,TRIM(LEFT(H138,MAX(0,LEN(H138)-LEN(D138)))),"")</f>
        <v/>
      </c>
      <c r="K138" s="0" t="str">
        <f aca="false">INDEX($P$2:$P$21,A138)</f>
        <v>Deck 3</v>
      </c>
      <c r="L138" s="0" t="n">
        <f aca="false">IF(AND(C138&lt;&gt;"",LEFT(C138,2)&lt;&gt;"//",I138=0),1,0)</f>
        <v>0</v>
      </c>
      <c r="M138" s="0" t="str">
        <f aca="false">IF(I138=1,MAX(M$1:M137)+1,"")</f>
        <v/>
      </c>
      <c r="N138" s="0" t="str">
        <f aca="false">IFERROR(MATCH(ROW()-1,$V$2:$V$1201,0),"")</f>
        <v/>
      </c>
      <c r="R138" s="0" t="str">
        <f aca="false">IF(E138="","",IFERROR(LEFT(E138,FIND("-",E138)-1),E138))</f>
        <v/>
      </c>
      <c r="S138" s="0" t="str">
        <f aca="false">IF(R138="","",IF(ISNUMBER(--MID(R138,1,1)),0,IF(ISNUMBER(--MID(R138,2,1)),1,IF(ISNUMBER(--MID(R138,3,1)),2,IF(ISNUMBER(--MID(R138,4,1)),3,MIN(LEN(R138),4))))))</f>
        <v/>
      </c>
      <c r="T138" s="0" t="str">
        <f aca="false">IF(E138="","",LEFT(R138,S138)&amp;REPT("0",4-S138)&amp;RIGHT("000"&amp;IFERROR(VALUE(MID(R138,S138+1,9)),0),3)&amp;RIGHT("0000"&amp;IFERROR(VALUE(MID(E138,FIND("-",E138)+1,9)),0),4))</f>
        <v/>
      </c>
      <c r="U138" s="0" t="str">
        <f aca="false">IF(I138=1,"K"&amp;RIGHT("00"&amp;A138,2)&amp;T138&amp;RIGHT("00000"&amp;ROW(),5),"")</f>
        <v/>
      </c>
      <c r="V138" s="0" t="str">
        <f aca="false">IF(U138="","",COUNTIFS($I$2:$I$1201,1,$U$2:$U$1201,"&lt;"&amp;U138)+1)</f>
        <v/>
      </c>
    </row>
    <row r="139" customFormat="false" ht="15" hidden="false" customHeight="false" outlineLevel="0" collapsed="false">
      <c r="A139" s="0" t="n">
        <v>3</v>
      </c>
      <c r="B139" s="0" t="n">
        <v>18</v>
      </c>
      <c r="C139" s="0" t="str">
        <f aca="false">TRIM(SUBSTITUTE(INDEX(LISTAS!$A$4:$T$63,B139,A139)&amp;"",CHAR(160)," "))</f>
        <v/>
      </c>
      <c r="D139" s="0" t="str">
        <f aca="false">IF(C139="","",TRIM(RIGHT(SUBSTITUTE(C139," ",REPT(" ",100)),100)))</f>
        <v/>
      </c>
      <c r="E139" s="0" t="str">
        <f aca="false">IF(D139="","",UPPER(SUBSTITUTE(SUBSTITUTE(D139,"(",""),")","")))</f>
        <v/>
      </c>
      <c r="F139" s="0" t="str">
        <f aca="false">IF(C139="","",LEFT(C139,FIND(" ",C139&amp;" ")-1))</f>
        <v/>
      </c>
      <c r="G139" s="0" t="n">
        <f aca="false">IFERROR(VALUE(SUBSTITUTE(LOWER(F139),"x","")),0)</f>
        <v>0</v>
      </c>
      <c r="H139" s="0" t="str">
        <f aca="false">IF(C139="","",TRIM(MID(C139,LEN(F139)+2,999)))</f>
        <v/>
      </c>
      <c r="I139" s="0" t="n">
        <f aca="false">IF(OR(C139="",LEFT(C139,2)="//"),0,IFERROR(IF(AND(G139&gt;0,G139=INT(G139),FIND("-",E139)&gt;1,NOT(EXACT(UPPER(LEFT(E139,1)),LOWER(LEFT(E139,1)))),ISNUMBER(VALUE(MID(E139,FIND("-",E139)+1,10)))),1,0),0))</f>
        <v>0</v>
      </c>
      <c r="J139" s="0" t="str">
        <f aca="false">IF(I139=1,TRIM(LEFT(H139,MAX(0,LEN(H139)-LEN(D139)))),"")</f>
        <v/>
      </c>
      <c r="K139" s="0" t="str">
        <f aca="false">INDEX($P$2:$P$21,A139)</f>
        <v>Deck 3</v>
      </c>
      <c r="L139" s="0" t="n">
        <f aca="false">IF(AND(C139&lt;&gt;"",LEFT(C139,2)&lt;&gt;"//",I139=0),1,0)</f>
        <v>0</v>
      </c>
      <c r="M139" s="0" t="str">
        <f aca="false">IF(I139=1,MAX(M$1:M138)+1,"")</f>
        <v/>
      </c>
      <c r="N139" s="0" t="str">
        <f aca="false">IFERROR(MATCH(ROW()-1,$V$2:$V$1201,0),"")</f>
        <v/>
      </c>
      <c r="R139" s="0" t="str">
        <f aca="false">IF(E139="","",IFERROR(LEFT(E139,FIND("-",E139)-1),E139))</f>
        <v/>
      </c>
      <c r="S139" s="0" t="str">
        <f aca="false">IF(R139="","",IF(ISNUMBER(--MID(R139,1,1)),0,IF(ISNUMBER(--MID(R139,2,1)),1,IF(ISNUMBER(--MID(R139,3,1)),2,IF(ISNUMBER(--MID(R139,4,1)),3,MIN(LEN(R139),4))))))</f>
        <v/>
      </c>
      <c r="T139" s="0" t="str">
        <f aca="false">IF(E139="","",LEFT(R139,S139)&amp;REPT("0",4-S139)&amp;RIGHT("000"&amp;IFERROR(VALUE(MID(R139,S139+1,9)),0),3)&amp;RIGHT("0000"&amp;IFERROR(VALUE(MID(E139,FIND("-",E139)+1,9)),0),4))</f>
        <v/>
      </c>
      <c r="U139" s="0" t="str">
        <f aca="false">IF(I139=1,"K"&amp;RIGHT("00"&amp;A139,2)&amp;T139&amp;RIGHT("00000"&amp;ROW(),5),"")</f>
        <v/>
      </c>
      <c r="V139" s="0" t="str">
        <f aca="false">IF(U139="","",COUNTIFS($I$2:$I$1201,1,$U$2:$U$1201,"&lt;"&amp;U139)+1)</f>
        <v/>
      </c>
    </row>
    <row r="140" customFormat="false" ht="15" hidden="false" customHeight="false" outlineLevel="0" collapsed="false">
      <c r="A140" s="0" t="n">
        <v>3</v>
      </c>
      <c r="B140" s="0" t="n">
        <v>19</v>
      </c>
      <c r="C140" s="0" t="str">
        <f aca="false">TRIM(SUBSTITUTE(INDEX(LISTAS!$A$4:$T$63,B140,A140)&amp;"",CHAR(160)," "))</f>
        <v/>
      </c>
      <c r="D140" s="0" t="str">
        <f aca="false">IF(C140="","",TRIM(RIGHT(SUBSTITUTE(C140," ",REPT(" ",100)),100)))</f>
        <v/>
      </c>
      <c r="E140" s="0" t="str">
        <f aca="false">IF(D140="","",UPPER(SUBSTITUTE(SUBSTITUTE(D140,"(",""),")","")))</f>
        <v/>
      </c>
      <c r="F140" s="0" t="str">
        <f aca="false">IF(C140="","",LEFT(C140,FIND(" ",C140&amp;" ")-1))</f>
        <v/>
      </c>
      <c r="G140" s="0" t="n">
        <f aca="false">IFERROR(VALUE(SUBSTITUTE(LOWER(F140),"x","")),0)</f>
        <v>0</v>
      </c>
      <c r="H140" s="0" t="str">
        <f aca="false">IF(C140="","",TRIM(MID(C140,LEN(F140)+2,999)))</f>
        <v/>
      </c>
      <c r="I140" s="0" t="n">
        <f aca="false">IF(OR(C140="",LEFT(C140,2)="//"),0,IFERROR(IF(AND(G140&gt;0,G140=INT(G140),FIND("-",E140)&gt;1,NOT(EXACT(UPPER(LEFT(E140,1)),LOWER(LEFT(E140,1)))),ISNUMBER(VALUE(MID(E140,FIND("-",E140)+1,10)))),1,0),0))</f>
        <v>0</v>
      </c>
      <c r="J140" s="0" t="str">
        <f aca="false">IF(I140=1,TRIM(LEFT(H140,MAX(0,LEN(H140)-LEN(D140)))),"")</f>
        <v/>
      </c>
      <c r="K140" s="0" t="str">
        <f aca="false">INDEX($P$2:$P$21,A140)</f>
        <v>Deck 3</v>
      </c>
      <c r="L140" s="0" t="n">
        <f aca="false">IF(AND(C140&lt;&gt;"",LEFT(C140,2)&lt;&gt;"//",I140=0),1,0)</f>
        <v>0</v>
      </c>
      <c r="M140" s="0" t="str">
        <f aca="false">IF(I140=1,MAX(M$1:M139)+1,"")</f>
        <v/>
      </c>
      <c r="N140" s="0" t="str">
        <f aca="false">IFERROR(MATCH(ROW()-1,$V$2:$V$1201,0),"")</f>
        <v/>
      </c>
      <c r="R140" s="0" t="str">
        <f aca="false">IF(E140="","",IFERROR(LEFT(E140,FIND("-",E140)-1),E140))</f>
        <v/>
      </c>
      <c r="S140" s="0" t="str">
        <f aca="false">IF(R140="","",IF(ISNUMBER(--MID(R140,1,1)),0,IF(ISNUMBER(--MID(R140,2,1)),1,IF(ISNUMBER(--MID(R140,3,1)),2,IF(ISNUMBER(--MID(R140,4,1)),3,MIN(LEN(R140),4))))))</f>
        <v/>
      </c>
      <c r="T140" s="0" t="str">
        <f aca="false">IF(E140="","",LEFT(R140,S140)&amp;REPT("0",4-S140)&amp;RIGHT("000"&amp;IFERROR(VALUE(MID(R140,S140+1,9)),0),3)&amp;RIGHT("0000"&amp;IFERROR(VALUE(MID(E140,FIND("-",E140)+1,9)),0),4))</f>
        <v/>
      </c>
      <c r="U140" s="0" t="str">
        <f aca="false">IF(I140=1,"K"&amp;RIGHT("00"&amp;A140,2)&amp;T140&amp;RIGHT("00000"&amp;ROW(),5),"")</f>
        <v/>
      </c>
      <c r="V140" s="0" t="str">
        <f aca="false">IF(U140="","",COUNTIFS($I$2:$I$1201,1,$U$2:$U$1201,"&lt;"&amp;U140)+1)</f>
        <v/>
      </c>
    </row>
    <row r="141" customFormat="false" ht="15" hidden="false" customHeight="false" outlineLevel="0" collapsed="false">
      <c r="A141" s="0" t="n">
        <v>3</v>
      </c>
      <c r="B141" s="0" t="n">
        <v>20</v>
      </c>
      <c r="C141" s="0" t="str">
        <f aca="false">TRIM(SUBSTITUTE(INDEX(LISTAS!$A$4:$T$63,B141,A141)&amp;"",CHAR(160)," "))</f>
        <v/>
      </c>
      <c r="D141" s="0" t="str">
        <f aca="false">IF(C141="","",TRIM(RIGHT(SUBSTITUTE(C141," ",REPT(" ",100)),100)))</f>
        <v/>
      </c>
      <c r="E141" s="0" t="str">
        <f aca="false">IF(D141="","",UPPER(SUBSTITUTE(SUBSTITUTE(D141,"(",""),")","")))</f>
        <v/>
      </c>
      <c r="F141" s="0" t="str">
        <f aca="false">IF(C141="","",LEFT(C141,FIND(" ",C141&amp;" ")-1))</f>
        <v/>
      </c>
      <c r="G141" s="0" t="n">
        <f aca="false">IFERROR(VALUE(SUBSTITUTE(LOWER(F141),"x","")),0)</f>
        <v>0</v>
      </c>
      <c r="H141" s="0" t="str">
        <f aca="false">IF(C141="","",TRIM(MID(C141,LEN(F141)+2,999)))</f>
        <v/>
      </c>
      <c r="I141" s="0" t="n">
        <f aca="false">IF(OR(C141="",LEFT(C141,2)="//"),0,IFERROR(IF(AND(G141&gt;0,G141=INT(G141),FIND("-",E141)&gt;1,NOT(EXACT(UPPER(LEFT(E141,1)),LOWER(LEFT(E141,1)))),ISNUMBER(VALUE(MID(E141,FIND("-",E141)+1,10)))),1,0),0))</f>
        <v>0</v>
      </c>
      <c r="J141" s="0" t="str">
        <f aca="false">IF(I141=1,TRIM(LEFT(H141,MAX(0,LEN(H141)-LEN(D141)))),"")</f>
        <v/>
      </c>
      <c r="K141" s="0" t="str">
        <f aca="false">INDEX($P$2:$P$21,A141)</f>
        <v>Deck 3</v>
      </c>
      <c r="L141" s="0" t="n">
        <f aca="false">IF(AND(C141&lt;&gt;"",LEFT(C141,2)&lt;&gt;"//",I141=0),1,0)</f>
        <v>0</v>
      </c>
      <c r="M141" s="0" t="str">
        <f aca="false">IF(I141=1,MAX(M$1:M140)+1,"")</f>
        <v/>
      </c>
      <c r="N141" s="0" t="str">
        <f aca="false">IFERROR(MATCH(ROW()-1,$V$2:$V$1201,0),"")</f>
        <v/>
      </c>
      <c r="R141" s="0" t="str">
        <f aca="false">IF(E141="","",IFERROR(LEFT(E141,FIND("-",E141)-1),E141))</f>
        <v/>
      </c>
      <c r="S141" s="0" t="str">
        <f aca="false">IF(R141="","",IF(ISNUMBER(--MID(R141,1,1)),0,IF(ISNUMBER(--MID(R141,2,1)),1,IF(ISNUMBER(--MID(R141,3,1)),2,IF(ISNUMBER(--MID(R141,4,1)),3,MIN(LEN(R141),4))))))</f>
        <v/>
      </c>
      <c r="T141" s="0" t="str">
        <f aca="false">IF(E141="","",LEFT(R141,S141)&amp;REPT("0",4-S141)&amp;RIGHT("000"&amp;IFERROR(VALUE(MID(R141,S141+1,9)),0),3)&amp;RIGHT("0000"&amp;IFERROR(VALUE(MID(E141,FIND("-",E141)+1,9)),0),4))</f>
        <v/>
      </c>
      <c r="U141" s="0" t="str">
        <f aca="false">IF(I141=1,"K"&amp;RIGHT("00"&amp;A141,2)&amp;T141&amp;RIGHT("00000"&amp;ROW(),5),"")</f>
        <v/>
      </c>
      <c r="V141" s="0" t="str">
        <f aca="false">IF(U141="","",COUNTIFS($I$2:$I$1201,1,$U$2:$U$1201,"&lt;"&amp;U141)+1)</f>
        <v/>
      </c>
    </row>
    <row r="142" customFormat="false" ht="15" hidden="false" customHeight="false" outlineLevel="0" collapsed="false">
      <c r="A142" s="0" t="n">
        <v>3</v>
      </c>
      <c r="B142" s="0" t="n">
        <v>21</v>
      </c>
      <c r="C142" s="0" t="str">
        <f aca="false">TRIM(SUBSTITUTE(INDEX(LISTAS!$A$4:$T$63,B142,A142)&amp;"",CHAR(160)," "))</f>
        <v/>
      </c>
      <c r="D142" s="0" t="str">
        <f aca="false">IF(C142="","",TRIM(RIGHT(SUBSTITUTE(C142," ",REPT(" ",100)),100)))</f>
        <v/>
      </c>
      <c r="E142" s="0" t="str">
        <f aca="false">IF(D142="","",UPPER(SUBSTITUTE(SUBSTITUTE(D142,"(",""),")","")))</f>
        <v/>
      </c>
      <c r="F142" s="0" t="str">
        <f aca="false">IF(C142="","",LEFT(C142,FIND(" ",C142&amp;" ")-1))</f>
        <v/>
      </c>
      <c r="G142" s="0" t="n">
        <f aca="false">IFERROR(VALUE(SUBSTITUTE(LOWER(F142),"x","")),0)</f>
        <v>0</v>
      </c>
      <c r="H142" s="0" t="str">
        <f aca="false">IF(C142="","",TRIM(MID(C142,LEN(F142)+2,999)))</f>
        <v/>
      </c>
      <c r="I142" s="0" t="n">
        <f aca="false">IF(OR(C142="",LEFT(C142,2)="//"),0,IFERROR(IF(AND(G142&gt;0,G142=INT(G142),FIND("-",E142)&gt;1,NOT(EXACT(UPPER(LEFT(E142,1)),LOWER(LEFT(E142,1)))),ISNUMBER(VALUE(MID(E142,FIND("-",E142)+1,10)))),1,0),0))</f>
        <v>0</v>
      </c>
      <c r="J142" s="0" t="str">
        <f aca="false">IF(I142=1,TRIM(LEFT(H142,MAX(0,LEN(H142)-LEN(D142)))),"")</f>
        <v/>
      </c>
      <c r="K142" s="0" t="str">
        <f aca="false">INDEX($P$2:$P$21,A142)</f>
        <v>Deck 3</v>
      </c>
      <c r="L142" s="0" t="n">
        <f aca="false">IF(AND(C142&lt;&gt;"",LEFT(C142,2)&lt;&gt;"//",I142=0),1,0)</f>
        <v>0</v>
      </c>
      <c r="M142" s="0" t="str">
        <f aca="false">IF(I142=1,MAX(M$1:M141)+1,"")</f>
        <v/>
      </c>
      <c r="N142" s="0" t="str">
        <f aca="false">IFERROR(MATCH(ROW()-1,$V$2:$V$1201,0),"")</f>
        <v/>
      </c>
      <c r="R142" s="0" t="str">
        <f aca="false">IF(E142="","",IFERROR(LEFT(E142,FIND("-",E142)-1),E142))</f>
        <v/>
      </c>
      <c r="S142" s="0" t="str">
        <f aca="false">IF(R142="","",IF(ISNUMBER(--MID(R142,1,1)),0,IF(ISNUMBER(--MID(R142,2,1)),1,IF(ISNUMBER(--MID(R142,3,1)),2,IF(ISNUMBER(--MID(R142,4,1)),3,MIN(LEN(R142),4))))))</f>
        <v/>
      </c>
      <c r="T142" s="0" t="str">
        <f aca="false">IF(E142="","",LEFT(R142,S142)&amp;REPT("0",4-S142)&amp;RIGHT("000"&amp;IFERROR(VALUE(MID(R142,S142+1,9)),0),3)&amp;RIGHT("0000"&amp;IFERROR(VALUE(MID(E142,FIND("-",E142)+1,9)),0),4))</f>
        <v/>
      </c>
      <c r="U142" s="0" t="str">
        <f aca="false">IF(I142=1,"K"&amp;RIGHT("00"&amp;A142,2)&amp;T142&amp;RIGHT("00000"&amp;ROW(),5),"")</f>
        <v/>
      </c>
      <c r="V142" s="0" t="str">
        <f aca="false">IF(U142="","",COUNTIFS($I$2:$I$1201,1,$U$2:$U$1201,"&lt;"&amp;U142)+1)</f>
        <v/>
      </c>
    </row>
    <row r="143" customFormat="false" ht="15" hidden="false" customHeight="false" outlineLevel="0" collapsed="false">
      <c r="A143" s="0" t="n">
        <v>3</v>
      </c>
      <c r="B143" s="0" t="n">
        <v>22</v>
      </c>
      <c r="C143" s="0" t="str">
        <f aca="false">TRIM(SUBSTITUTE(INDEX(LISTAS!$A$4:$T$63,B143,A143)&amp;"",CHAR(160)," "))</f>
        <v/>
      </c>
      <c r="D143" s="0" t="str">
        <f aca="false">IF(C143="","",TRIM(RIGHT(SUBSTITUTE(C143," ",REPT(" ",100)),100)))</f>
        <v/>
      </c>
      <c r="E143" s="0" t="str">
        <f aca="false">IF(D143="","",UPPER(SUBSTITUTE(SUBSTITUTE(D143,"(",""),")","")))</f>
        <v/>
      </c>
      <c r="F143" s="0" t="str">
        <f aca="false">IF(C143="","",LEFT(C143,FIND(" ",C143&amp;" ")-1))</f>
        <v/>
      </c>
      <c r="G143" s="0" t="n">
        <f aca="false">IFERROR(VALUE(SUBSTITUTE(LOWER(F143),"x","")),0)</f>
        <v>0</v>
      </c>
      <c r="H143" s="0" t="str">
        <f aca="false">IF(C143="","",TRIM(MID(C143,LEN(F143)+2,999)))</f>
        <v/>
      </c>
      <c r="I143" s="0" t="n">
        <f aca="false">IF(OR(C143="",LEFT(C143,2)="//"),0,IFERROR(IF(AND(G143&gt;0,G143=INT(G143),FIND("-",E143)&gt;1,NOT(EXACT(UPPER(LEFT(E143,1)),LOWER(LEFT(E143,1)))),ISNUMBER(VALUE(MID(E143,FIND("-",E143)+1,10)))),1,0),0))</f>
        <v>0</v>
      </c>
      <c r="J143" s="0" t="str">
        <f aca="false">IF(I143=1,TRIM(LEFT(H143,MAX(0,LEN(H143)-LEN(D143)))),"")</f>
        <v/>
      </c>
      <c r="K143" s="0" t="str">
        <f aca="false">INDEX($P$2:$P$21,A143)</f>
        <v>Deck 3</v>
      </c>
      <c r="L143" s="0" t="n">
        <f aca="false">IF(AND(C143&lt;&gt;"",LEFT(C143,2)&lt;&gt;"//",I143=0),1,0)</f>
        <v>0</v>
      </c>
      <c r="M143" s="0" t="str">
        <f aca="false">IF(I143=1,MAX(M$1:M142)+1,"")</f>
        <v/>
      </c>
      <c r="N143" s="0" t="str">
        <f aca="false">IFERROR(MATCH(ROW()-1,$V$2:$V$1201,0),"")</f>
        <v/>
      </c>
      <c r="R143" s="0" t="str">
        <f aca="false">IF(E143="","",IFERROR(LEFT(E143,FIND("-",E143)-1),E143))</f>
        <v/>
      </c>
      <c r="S143" s="0" t="str">
        <f aca="false">IF(R143="","",IF(ISNUMBER(--MID(R143,1,1)),0,IF(ISNUMBER(--MID(R143,2,1)),1,IF(ISNUMBER(--MID(R143,3,1)),2,IF(ISNUMBER(--MID(R143,4,1)),3,MIN(LEN(R143),4))))))</f>
        <v/>
      </c>
      <c r="T143" s="0" t="str">
        <f aca="false">IF(E143="","",LEFT(R143,S143)&amp;REPT("0",4-S143)&amp;RIGHT("000"&amp;IFERROR(VALUE(MID(R143,S143+1,9)),0),3)&amp;RIGHT("0000"&amp;IFERROR(VALUE(MID(E143,FIND("-",E143)+1,9)),0),4))</f>
        <v/>
      </c>
      <c r="U143" s="0" t="str">
        <f aca="false">IF(I143=1,"K"&amp;RIGHT("00"&amp;A143,2)&amp;T143&amp;RIGHT("00000"&amp;ROW(),5),"")</f>
        <v/>
      </c>
      <c r="V143" s="0" t="str">
        <f aca="false">IF(U143="","",COUNTIFS($I$2:$I$1201,1,$U$2:$U$1201,"&lt;"&amp;U143)+1)</f>
        <v/>
      </c>
    </row>
    <row r="144" customFormat="false" ht="15" hidden="false" customHeight="false" outlineLevel="0" collapsed="false">
      <c r="A144" s="0" t="n">
        <v>3</v>
      </c>
      <c r="B144" s="0" t="n">
        <v>23</v>
      </c>
      <c r="C144" s="0" t="str">
        <f aca="false">TRIM(SUBSTITUTE(INDEX(LISTAS!$A$4:$T$63,B144,A144)&amp;"",CHAR(160)," "))</f>
        <v/>
      </c>
      <c r="D144" s="0" t="str">
        <f aca="false">IF(C144="","",TRIM(RIGHT(SUBSTITUTE(C144," ",REPT(" ",100)),100)))</f>
        <v/>
      </c>
      <c r="E144" s="0" t="str">
        <f aca="false">IF(D144="","",UPPER(SUBSTITUTE(SUBSTITUTE(D144,"(",""),")","")))</f>
        <v/>
      </c>
      <c r="F144" s="0" t="str">
        <f aca="false">IF(C144="","",LEFT(C144,FIND(" ",C144&amp;" ")-1))</f>
        <v/>
      </c>
      <c r="G144" s="0" t="n">
        <f aca="false">IFERROR(VALUE(SUBSTITUTE(LOWER(F144),"x","")),0)</f>
        <v>0</v>
      </c>
      <c r="H144" s="0" t="str">
        <f aca="false">IF(C144="","",TRIM(MID(C144,LEN(F144)+2,999)))</f>
        <v/>
      </c>
      <c r="I144" s="0" t="n">
        <f aca="false">IF(OR(C144="",LEFT(C144,2)="//"),0,IFERROR(IF(AND(G144&gt;0,G144=INT(G144),FIND("-",E144)&gt;1,NOT(EXACT(UPPER(LEFT(E144,1)),LOWER(LEFT(E144,1)))),ISNUMBER(VALUE(MID(E144,FIND("-",E144)+1,10)))),1,0),0))</f>
        <v>0</v>
      </c>
      <c r="J144" s="0" t="str">
        <f aca="false">IF(I144=1,TRIM(LEFT(H144,MAX(0,LEN(H144)-LEN(D144)))),"")</f>
        <v/>
      </c>
      <c r="K144" s="0" t="str">
        <f aca="false">INDEX($P$2:$P$21,A144)</f>
        <v>Deck 3</v>
      </c>
      <c r="L144" s="0" t="n">
        <f aca="false">IF(AND(C144&lt;&gt;"",LEFT(C144,2)&lt;&gt;"//",I144=0),1,0)</f>
        <v>0</v>
      </c>
      <c r="M144" s="0" t="str">
        <f aca="false">IF(I144=1,MAX(M$1:M143)+1,"")</f>
        <v/>
      </c>
      <c r="N144" s="0" t="str">
        <f aca="false">IFERROR(MATCH(ROW()-1,$V$2:$V$1201,0),"")</f>
        <v/>
      </c>
      <c r="R144" s="0" t="str">
        <f aca="false">IF(E144="","",IFERROR(LEFT(E144,FIND("-",E144)-1),E144))</f>
        <v/>
      </c>
      <c r="S144" s="0" t="str">
        <f aca="false">IF(R144="","",IF(ISNUMBER(--MID(R144,1,1)),0,IF(ISNUMBER(--MID(R144,2,1)),1,IF(ISNUMBER(--MID(R144,3,1)),2,IF(ISNUMBER(--MID(R144,4,1)),3,MIN(LEN(R144),4))))))</f>
        <v/>
      </c>
      <c r="T144" s="0" t="str">
        <f aca="false">IF(E144="","",LEFT(R144,S144)&amp;REPT("0",4-S144)&amp;RIGHT("000"&amp;IFERROR(VALUE(MID(R144,S144+1,9)),0),3)&amp;RIGHT("0000"&amp;IFERROR(VALUE(MID(E144,FIND("-",E144)+1,9)),0),4))</f>
        <v/>
      </c>
      <c r="U144" s="0" t="str">
        <f aca="false">IF(I144=1,"K"&amp;RIGHT("00"&amp;A144,2)&amp;T144&amp;RIGHT("00000"&amp;ROW(),5),"")</f>
        <v/>
      </c>
      <c r="V144" s="0" t="str">
        <f aca="false">IF(U144="","",COUNTIFS($I$2:$I$1201,1,$U$2:$U$1201,"&lt;"&amp;U144)+1)</f>
        <v/>
      </c>
    </row>
    <row r="145" customFormat="false" ht="15" hidden="false" customHeight="false" outlineLevel="0" collapsed="false">
      <c r="A145" s="0" t="n">
        <v>3</v>
      </c>
      <c r="B145" s="0" t="n">
        <v>24</v>
      </c>
      <c r="C145" s="0" t="str">
        <f aca="false">TRIM(SUBSTITUTE(INDEX(LISTAS!$A$4:$T$63,B145,A145)&amp;"",CHAR(160)," "))</f>
        <v/>
      </c>
      <c r="D145" s="0" t="str">
        <f aca="false">IF(C145="","",TRIM(RIGHT(SUBSTITUTE(C145," ",REPT(" ",100)),100)))</f>
        <v/>
      </c>
      <c r="E145" s="0" t="str">
        <f aca="false">IF(D145="","",UPPER(SUBSTITUTE(SUBSTITUTE(D145,"(",""),")","")))</f>
        <v/>
      </c>
      <c r="F145" s="0" t="str">
        <f aca="false">IF(C145="","",LEFT(C145,FIND(" ",C145&amp;" ")-1))</f>
        <v/>
      </c>
      <c r="G145" s="0" t="n">
        <f aca="false">IFERROR(VALUE(SUBSTITUTE(LOWER(F145),"x","")),0)</f>
        <v>0</v>
      </c>
      <c r="H145" s="0" t="str">
        <f aca="false">IF(C145="","",TRIM(MID(C145,LEN(F145)+2,999)))</f>
        <v/>
      </c>
      <c r="I145" s="0" t="n">
        <f aca="false">IF(OR(C145="",LEFT(C145,2)="//"),0,IFERROR(IF(AND(G145&gt;0,G145=INT(G145),FIND("-",E145)&gt;1,NOT(EXACT(UPPER(LEFT(E145,1)),LOWER(LEFT(E145,1)))),ISNUMBER(VALUE(MID(E145,FIND("-",E145)+1,10)))),1,0),0))</f>
        <v>0</v>
      </c>
      <c r="J145" s="0" t="str">
        <f aca="false">IF(I145=1,TRIM(LEFT(H145,MAX(0,LEN(H145)-LEN(D145)))),"")</f>
        <v/>
      </c>
      <c r="K145" s="0" t="str">
        <f aca="false">INDEX($P$2:$P$21,A145)</f>
        <v>Deck 3</v>
      </c>
      <c r="L145" s="0" t="n">
        <f aca="false">IF(AND(C145&lt;&gt;"",LEFT(C145,2)&lt;&gt;"//",I145=0),1,0)</f>
        <v>0</v>
      </c>
      <c r="M145" s="0" t="str">
        <f aca="false">IF(I145=1,MAX(M$1:M144)+1,"")</f>
        <v/>
      </c>
      <c r="N145" s="0" t="str">
        <f aca="false">IFERROR(MATCH(ROW()-1,$V$2:$V$1201,0),"")</f>
        <v/>
      </c>
      <c r="R145" s="0" t="str">
        <f aca="false">IF(E145="","",IFERROR(LEFT(E145,FIND("-",E145)-1),E145))</f>
        <v/>
      </c>
      <c r="S145" s="0" t="str">
        <f aca="false">IF(R145="","",IF(ISNUMBER(--MID(R145,1,1)),0,IF(ISNUMBER(--MID(R145,2,1)),1,IF(ISNUMBER(--MID(R145,3,1)),2,IF(ISNUMBER(--MID(R145,4,1)),3,MIN(LEN(R145),4))))))</f>
        <v/>
      </c>
      <c r="T145" s="0" t="str">
        <f aca="false">IF(E145="","",LEFT(R145,S145)&amp;REPT("0",4-S145)&amp;RIGHT("000"&amp;IFERROR(VALUE(MID(R145,S145+1,9)),0),3)&amp;RIGHT("0000"&amp;IFERROR(VALUE(MID(E145,FIND("-",E145)+1,9)),0),4))</f>
        <v/>
      </c>
      <c r="U145" s="0" t="str">
        <f aca="false">IF(I145=1,"K"&amp;RIGHT("00"&amp;A145,2)&amp;T145&amp;RIGHT("00000"&amp;ROW(),5),"")</f>
        <v/>
      </c>
      <c r="V145" s="0" t="str">
        <f aca="false">IF(U145="","",COUNTIFS($I$2:$I$1201,1,$U$2:$U$1201,"&lt;"&amp;U145)+1)</f>
        <v/>
      </c>
    </row>
    <row r="146" customFormat="false" ht="15" hidden="false" customHeight="false" outlineLevel="0" collapsed="false">
      <c r="A146" s="0" t="n">
        <v>3</v>
      </c>
      <c r="B146" s="0" t="n">
        <v>25</v>
      </c>
      <c r="C146" s="0" t="str">
        <f aca="false">TRIM(SUBSTITUTE(INDEX(LISTAS!$A$4:$T$63,B146,A146)&amp;"",CHAR(160)," "))</f>
        <v/>
      </c>
      <c r="D146" s="0" t="str">
        <f aca="false">IF(C146="","",TRIM(RIGHT(SUBSTITUTE(C146," ",REPT(" ",100)),100)))</f>
        <v/>
      </c>
      <c r="E146" s="0" t="str">
        <f aca="false">IF(D146="","",UPPER(SUBSTITUTE(SUBSTITUTE(D146,"(",""),")","")))</f>
        <v/>
      </c>
      <c r="F146" s="0" t="str">
        <f aca="false">IF(C146="","",LEFT(C146,FIND(" ",C146&amp;" ")-1))</f>
        <v/>
      </c>
      <c r="G146" s="0" t="n">
        <f aca="false">IFERROR(VALUE(SUBSTITUTE(LOWER(F146),"x","")),0)</f>
        <v>0</v>
      </c>
      <c r="H146" s="0" t="str">
        <f aca="false">IF(C146="","",TRIM(MID(C146,LEN(F146)+2,999)))</f>
        <v/>
      </c>
      <c r="I146" s="0" t="n">
        <f aca="false">IF(OR(C146="",LEFT(C146,2)="//"),0,IFERROR(IF(AND(G146&gt;0,G146=INT(G146),FIND("-",E146)&gt;1,NOT(EXACT(UPPER(LEFT(E146,1)),LOWER(LEFT(E146,1)))),ISNUMBER(VALUE(MID(E146,FIND("-",E146)+1,10)))),1,0),0))</f>
        <v>0</v>
      </c>
      <c r="J146" s="0" t="str">
        <f aca="false">IF(I146=1,TRIM(LEFT(H146,MAX(0,LEN(H146)-LEN(D146)))),"")</f>
        <v/>
      </c>
      <c r="K146" s="0" t="str">
        <f aca="false">INDEX($P$2:$P$21,A146)</f>
        <v>Deck 3</v>
      </c>
      <c r="L146" s="0" t="n">
        <f aca="false">IF(AND(C146&lt;&gt;"",LEFT(C146,2)&lt;&gt;"//",I146=0),1,0)</f>
        <v>0</v>
      </c>
      <c r="M146" s="0" t="str">
        <f aca="false">IF(I146=1,MAX(M$1:M145)+1,"")</f>
        <v/>
      </c>
      <c r="N146" s="0" t="str">
        <f aca="false">IFERROR(MATCH(ROW()-1,$V$2:$V$1201,0),"")</f>
        <v/>
      </c>
      <c r="R146" s="0" t="str">
        <f aca="false">IF(E146="","",IFERROR(LEFT(E146,FIND("-",E146)-1),E146))</f>
        <v/>
      </c>
      <c r="S146" s="0" t="str">
        <f aca="false">IF(R146="","",IF(ISNUMBER(--MID(R146,1,1)),0,IF(ISNUMBER(--MID(R146,2,1)),1,IF(ISNUMBER(--MID(R146,3,1)),2,IF(ISNUMBER(--MID(R146,4,1)),3,MIN(LEN(R146),4))))))</f>
        <v/>
      </c>
      <c r="T146" s="0" t="str">
        <f aca="false">IF(E146="","",LEFT(R146,S146)&amp;REPT("0",4-S146)&amp;RIGHT("000"&amp;IFERROR(VALUE(MID(R146,S146+1,9)),0),3)&amp;RIGHT("0000"&amp;IFERROR(VALUE(MID(E146,FIND("-",E146)+1,9)),0),4))</f>
        <v/>
      </c>
      <c r="U146" s="0" t="str">
        <f aca="false">IF(I146=1,"K"&amp;RIGHT("00"&amp;A146,2)&amp;T146&amp;RIGHT("00000"&amp;ROW(),5),"")</f>
        <v/>
      </c>
      <c r="V146" s="0" t="str">
        <f aca="false">IF(U146="","",COUNTIFS($I$2:$I$1201,1,$U$2:$U$1201,"&lt;"&amp;U146)+1)</f>
        <v/>
      </c>
    </row>
    <row r="147" customFormat="false" ht="15" hidden="false" customHeight="false" outlineLevel="0" collapsed="false">
      <c r="A147" s="0" t="n">
        <v>3</v>
      </c>
      <c r="B147" s="0" t="n">
        <v>26</v>
      </c>
      <c r="C147" s="0" t="str">
        <f aca="false">TRIM(SUBSTITUTE(INDEX(LISTAS!$A$4:$T$63,B147,A147)&amp;"",CHAR(160)," "))</f>
        <v/>
      </c>
      <c r="D147" s="0" t="str">
        <f aca="false">IF(C147="","",TRIM(RIGHT(SUBSTITUTE(C147," ",REPT(" ",100)),100)))</f>
        <v/>
      </c>
      <c r="E147" s="0" t="str">
        <f aca="false">IF(D147="","",UPPER(SUBSTITUTE(SUBSTITUTE(D147,"(",""),")","")))</f>
        <v/>
      </c>
      <c r="F147" s="0" t="str">
        <f aca="false">IF(C147="","",LEFT(C147,FIND(" ",C147&amp;" ")-1))</f>
        <v/>
      </c>
      <c r="G147" s="0" t="n">
        <f aca="false">IFERROR(VALUE(SUBSTITUTE(LOWER(F147),"x","")),0)</f>
        <v>0</v>
      </c>
      <c r="H147" s="0" t="str">
        <f aca="false">IF(C147="","",TRIM(MID(C147,LEN(F147)+2,999)))</f>
        <v/>
      </c>
      <c r="I147" s="0" t="n">
        <f aca="false">IF(OR(C147="",LEFT(C147,2)="//"),0,IFERROR(IF(AND(G147&gt;0,G147=INT(G147),FIND("-",E147)&gt;1,NOT(EXACT(UPPER(LEFT(E147,1)),LOWER(LEFT(E147,1)))),ISNUMBER(VALUE(MID(E147,FIND("-",E147)+1,10)))),1,0),0))</f>
        <v>0</v>
      </c>
      <c r="J147" s="0" t="str">
        <f aca="false">IF(I147=1,TRIM(LEFT(H147,MAX(0,LEN(H147)-LEN(D147)))),"")</f>
        <v/>
      </c>
      <c r="K147" s="0" t="str">
        <f aca="false">INDEX($P$2:$P$21,A147)</f>
        <v>Deck 3</v>
      </c>
      <c r="L147" s="0" t="n">
        <f aca="false">IF(AND(C147&lt;&gt;"",LEFT(C147,2)&lt;&gt;"//",I147=0),1,0)</f>
        <v>0</v>
      </c>
      <c r="M147" s="0" t="str">
        <f aca="false">IF(I147=1,MAX(M$1:M146)+1,"")</f>
        <v/>
      </c>
      <c r="N147" s="0" t="str">
        <f aca="false">IFERROR(MATCH(ROW()-1,$V$2:$V$1201,0),"")</f>
        <v/>
      </c>
      <c r="R147" s="0" t="str">
        <f aca="false">IF(E147="","",IFERROR(LEFT(E147,FIND("-",E147)-1),E147))</f>
        <v/>
      </c>
      <c r="S147" s="0" t="str">
        <f aca="false">IF(R147="","",IF(ISNUMBER(--MID(R147,1,1)),0,IF(ISNUMBER(--MID(R147,2,1)),1,IF(ISNUMBER(--MID(R147,3,1)),2,IF(ISNUMBER(--MID(R147,4,1)),3,MIN(LEN(R147),4))))))</f>
        <v/>
      </c>
      <c r="T147" s="0" t="str">
        <f aca="false">IF(E147="","",LEFT(R147,S147)&amp;REPT("0",4-S147)&amp;RIGHT("000"&amp;IFERROR(VALUE(MID(R147,S147+1,9)),0),3)&amp;RIGHT("0000"&amp;IFERROR(VALUE(MID(E147,FIND("-",E147)+1,9)),0),4))</f>
        <v/>
      </c>
      <c r="U147" s="0" t="str">
        <f aca="false">IF(I147=1,"K"&amp;RIGHT("00"&amp;A147,2)&amp;T147&amp;RIGHT("00000"&amp;ROW(),5),"")</f>
        <v/>
      </c>
      <c r="V147" s="0" t="str">
        <f aca="false">IF(U147="","",COUNTIFS($I$2:$I$1201,1,$U$2:$U$1201,"&lt;"&amp;U147)+1)</f>
        <v/>
      </c>
    </row>
    <row r="148" customFormat="false" ht="15" hidden="false" customHeight="false" outlineLevel="0" collapsed="false">
      <c r="A148" s="0" t="n">
        <v>3</v>
      </c>
      <c r="B148" s="0" t="n">
        <v>27</v>
      </c>
      <c r="C148" s="0" t="str">
        <f aca="false">TRIM(SUBSTITUTE(INDEX(LISTAS!$A$4:$T$63,B148,A148)&amp;"",CHAR(160)," "))</f>
        <v/>
      </c>
      <c r="D148" s="0" t="str">
        <f aca="false">IF(C148="","",TRIM(RIGHT(SUBSTITUTE(C148," ",REPT(" ",100)),100)))</f>
        <v/>
      </c>
      <c r="E148" s="0" t="str">
        <f aca="false">IF(D148="","",UPPER(SUBSTITUTE(SUBSTITUTE(D148,"(",""),")","")))</f>
        <v/>
      </c>
      <c r="F148" s="0" t="str">
        <f aca="false">IF(C148="","",LEFT(C148,FIND(" ",C148&amp;" ")-1))</f>
        <v/>
      </c>
      <c r="G148" s="0" t="n">
        <f aca="false">IFERROR(VALUE(SUBSTITUTE(LOWER(F148),"x","")),0)</f>
        <v>0</v>
      </c>
      <c r="H148" s="0" t="str">
        <f aca="false">IF(C148="","",TRIM(MID(C148,LEN(F148)+2,999)))</f>
        <v/>
      </c>
      <c r="I148" s="0" t="n">
        <f aca="false">IF(OR(C148="",LEFT(C148,2)="//"),0,IFERROR(IF(AND(G148&gt;0,G148=INT(G148),FIND("-",E148)&gt;1,NOT(EXACT(UPPER(LEFT(E148,1)),LOWER(LEFT(E148,1)))),ISNUMBER(VALUE(MID(E148,FIND("-",E148)+1,10)))),1,0),0))</f>
        <v>0</v>
      </c>
      <c r="J148" s="0" t="str">
        <f aca="false">IF(I148=1,TRIM(LEFT(H148,MAX(0,LEN(H148)-LEN(D148)))),"")</f>
        <v/>
      </c>
      <c r="K148" s="0" t="str">
        <f aca="false">INDEX($P$2:$P$21,A148)</f>
        <v>Deck 3</v>
      </c>
      <c r="L148" s="0" t="n">
        <f aca="false">IF(AND(C148&lt;&gt;"",LEFT(C148,2)&lt;&gt;"//",I148=0),1,0)</f>
        <v>0</v>
      </c>
      <c r="M148" s="0" t="str">
        <f aca="false">IF(I148=1,MAX(M$1:M147)+1,"")</f>
        <v/>
      </c>
      <c r="N148" s="0" t="str">
        <f aca="false">IFERROR(MATCH(ROW()-1,$V$2:$V$1201,0),"")</f>
        <v/>
      </c>
      <c r="R148" s="0" t="str">
        <f aca="false">IF(E148="","",IFERROR(LEFT(E148,FIND("-",E148)-1),E148))</f>
        <v/>
      </c>
      <c r="S148" s="0" t="str">
        <f aca="false">IF(R148="","",IF(ISNUMBER(--MID(R148,1,1)),0,IF(ISNUMBER(--MID(R148,2,1)),1,IF(ISNUMBER(--MID(R148,3,1)),2,IF(ISNUMBER(--MID(R148,4,1)),3,MIN(LEN(R148),4))))))</f>
        <v/>
      </c>
      <c r="T148" s="0" t="str">
        <f aca="false">IF(E148="","",LEFT(R148,S148)&amp;REPT("0",4-S148)&amp;RIGHT("000"&amp;IFERROR(VALUE(MID(R148,S148+1,9)),0),3)&amp;RIGHT("0000"&amp;IFERROR(VALUE(MID(E148,FIND("-",E148)+1,9)),0),4))</f>
        <v/>
      </c>
      <c r="U148" s="0" t="str">
        <f aca="false">IF(I148=1,"K"&amp;RIGHT("00"&amp;A148,2)&amp;T148&amp;RIGHT("00000"&amp;ROW(),5),"")</f>
        <v/>
      </c>
      <c r="V148" s="0" t="str">
        <f aca="false">IF(U148="","",COUNTIFS($I$2:$I$1201,1,$U$2:$U$1201,"&lt;"&amp;U148)+1)</f>
        <v/>
      </c>
    </row>
    <row r="149" customFormat="false" ht="15" hidden="false" customHeight="false" outlineLevel="0" collapsed="false">
      <c r="A149" s="0" t="n">
        <v>3</v>
      </c>
      <c r="B149" s="0" t="n">
        <v>28</v>
      </c>
      <c r="C149" s="0" t="str">
        <f aca="false">TRIM(SUBSTITUTE(INDEX(LISTAS!$A$4:$T$63,B149,A149)&amp;"",CHAR(160)," "))</f>
        <v/>
      </c>
      <c r="D149" s="0" t="str">
        <f aca="false">IF(C149="","",TRIM(RIGHT(SUBSTITUTE(C149," ",REPT(" ",100)),100)))</f>
        <v/>
      </c>
      <c r="E149" s="0" t="str">
        <f aca="false">IF(D149="","",UPPER(SUBSTITUTE(SUBSTITUTE(D149,"(",""),")","")))</f>
        <v/>
      </c>
      <c r="F149" s="0" t="str">
        <f aca="false">IF(C149="","",LEFT(C149,FIND(" ",C149&amp;" ")-1))</f>
        <v/>
      </c>
      <c r="G149" s="0" t="n">
        <f aca="false">IFERROR(VALUE(SUBSTITUTE(LOWER(F149),"x","")),0)</f>
        <v>0</v>
      </c>
      <c r="H149" s="0" t="str">
        <f aca="false">IF(C149="","",TRIM(MID(C149,LEN(F149)+2,999)))</f>
        <v/>
      </c>
      <c r="I149" s="0" t="n">
        <f aca="false">IF(OR(C149="",LEFT(C149,2)="//"),0,IFERROR(IF(AND(G149&gt;0,G149=INT(G149),FIND("-",E149)&gt;1,NOT(EXACT(UPPER(LEFT(E149,1)),LOWER(LEFT(E149,1)))),ISNUMBER(VALUE(MID(E149,FIND("-",E149)+1,10)))),1,0),0))</f>
        <v>0</v>
      </c>
      <c r="J149" s="0" t="str">
        <f aca="false">IF(I149=1,TRIM(LEFT(H149,MAX(0,LEN(H149)-LEN(D149)))),"")</f>
        <v/>
      </c>
      <c r="K149" s="0" t="str">
        <f aca="false">INDEX($P$2:$P$21,A149)</f>
        <v>Deck 3</v>
      </c>
      <c r="L149" s="0" t="n">
        <f aca="false">IF(AND(C149&lt;&gt;"",LEFT(C149,2)&lt;&gt;"//",I149=0),1,0)</f>
        <v>0</v>
      </c>
      <c r="M149" s="0" t="str">
        <f aca="false">IF(I149=1,MAX(M$1:M148)+1,"")</f>
        <v/>
      </c>
      <c r="N149" s="0" t="str">
        <f aca="false">IFERROR(MATCH(ROW()-1,$V$2:$V$1201,0),"")</f>
        <v/>
      </c>
      <c r="R149" s="0" t="str">
        <f aca="false">IF(E149="","",IFERROR(LEFT(E149,FIND("-",E149)-1),E149))</f>
        <v/>
      </c>
      <c r="S149" s="0" t="str">
        <f aca="false">IF(R149="","",IF(ISNUMBER(--MID(R149,1,1)),0,IF(ISNUMBER(--MID(R149,2,1)),1,IF(ISNUMBER(--MID(R149,3,1)),2,IF(ISNUMBER(--MID(R149,4,1)),3,MIN(LEN(R149),4))))))</f>
        <v/>
      </c>
      <c r="T149" s="0" t="str">
        <f aca="false">IF(E149="","",LEFT(R149,S149)&amp;REPT("0",4-S149)&amp;RIGHT("000"&amp;IFERROR(VALUE(MID(R149,S149+1,9)),0),3)&amp;RIGHT("0000"&amp;IFERROR(VALUE(MID(E149,FIND("-",E149)+1,9)),0),4))</f>
        <v/>
      </c>
      <c r="U149" s="0" t="str">
        <f aca="false">IF(I149=1,"K"&amp;RIGHT("00"&amp;A149,2)&amp;T149&amp;RIGHT("00000"&amp;ROW(),5),"")</f>
        <v/>
      </c>
      <c r="V149" s="0" t="str">
        <f aca="false">IF(U149="","",COUNTIFS($I$2:$I$1201,1,$U$2:$U$1201,"&lt;"&amp;U149)+1)</f>
        <v/>
      </c>
    </row>
    <row r="150" customFormat="false" ht="15" hidden="false" customHeight="false" outlineLevel="0" collapsed="false">
      <c r="A150" s="0" t="n">
        <v>3</v>
      </c>
      <c r="B150" s="0" t="n">
        <v>29</v>
      </c>
      <c r="C150" s="0" t="str">
        <f aca="false">TRIM(SUBSTITUTE(INDEX(LISTAS!$A$4:$T$63,B150,A150)&amp;"",CHAR(160)," "))</f>
        <v/>
      </c>
      <c r="D150" s="0" t="str">
        <f aca="false">IF(C150="","",TRIM(RIGHT(SUBSTITUTE(C150," ",REPT(" ",100)),100)))</f>
        <v/>
      </c>
      <c r="E150" s="0" t="str">
        <f aca="false">IF(D150="","",UPPER(SUBSTITUTE(SUBSTITUTE(D150,"(",""),")","")))</f>
        <v/>
      </c>
      <c r="F150" s="0" t="str">
        <f aca="false">IF(C150="","",LEFT(C150,FIND(" ",C150&amp;" ")-1))</f>
        <v/>
      </c>
      <c r="G150" s="0" t="n">
        <f aca="false">IFERROR(VALUE(SUBSTITUTE(LOWER(F150),"x","")),0)</f>
        <v>0</v>
      </c>
      <c r="H150" s="0" t="str">
        <f aca="false">IF(C150="","",TRIM(MID(C150,LEN(F150)+2,999)))</f>
        <v/>
      </c>
      <c r="I150" s="0" t="n">
        <f aca="false">IF(OR(C150="",LEFT(C150,2)="//"),0,IFERROR(IF(AND(G150&gt;0,G150=INT(G150),FIND("-",E150)&gt;1,NOT(EXACT(UPPER(LEFT(E150,1)),LOWER(LEFT(E150,1)))),ISNUMBER(VALUE(MID(E150,FIND("-",E150)+1,10)))),1,0),0))</f>
        <v>0</v>
      </c>
      <c r="J150" s="0" t="str">
        <f aca="false">IF(I150=1,TRIM(LEFT(H150,MAX(0,LEN(H150)-LEN(D150)))),"")</f>
        <v/>
      </c>
      <c r="K150" s="0" t="str">
        <f aca="false">INDEX($P$2:$P$21,A150)</f>
        <v>Deck 3</v>
      </c>
      <c r="L150" s="0" t="n">
        <f aca="false">IF(AND(C150&lt;&gt;"",LEFT(C150,2)&lt;&gt;"//",I150=0),1,0)</f>
        <v>0</v>
      </c>
      <c r="M150" s="0" t="str">
        <f aca="false">IF(I150=1,MAX(M$1:M149)+1,"")</f>
        <v/>
      </c>
      <c r="N150" s="0" t="str">
        <f aca="false">IFERROR(MATCH(ROW()-1,$V$2:$V$1201,0),"")</f>
        <v/>
      </c>
      <c r="R150" s="0" t="str">
        <f aca="false">IF(E150="","",IFERROR(LEFT(E150,FIND("-",E150)-1),E150))</f>
        <v/>
      </c>
      <c r="S150" s="0" t="str">
        <f aca="false">IF(R150="","",IF(ISNUMBER(--MID(R150,1,1)),0,IF(ISNUMBER(--MID(R150,2,1)),1,IF(ISNUMBER(--MID(R150,3,1)),2,IF(ISNUMBER(--MID(R150,4,1)),3,MIN(LEN(R150),4))))))</f>
        <v/>
      </c>
      <c r="T150" s="0" t="str">
        <f aca="false">IF(E150="","",LEFT(R150,S150)&amp;REPT("0",4-S150)&amp;RIGHT("000"&amp;IFERROR(VALUE(MID(R150,S150+1,9)),0),3)&amp;RIGHT("0000"&amp;IFERROR(VALUE(MID(E150,FIND("-",E150)+1,9)),0),4))</f>
        <v/>
      </c>
      <c r="U150" s="0" t="str">
        <f aca="false">IF(I150=1,"K"&amp;RIGHT("00"&amp;A150,2)&amp;T150&amp;RIGHT("00000"&amp;ROW(),5),"")</f>
        <v/>
      </c>
      <c r="V150" s="0" t="str">
        <f aca="false">IF(U150="","",COUNTIFS($I$2:$I$1201,1,$U$2:$U$1201,"&lt;"&amp;U150)+1)</f>
        <v/>
      </c>
    </row>
    <row r="151" customFormat="false" ht="15" hidden="false" customHeight="false" outlineLevel="0" collapsed="false">
      <c r="A151" s="0" t="n">
        <v>3</v>
      </c>
      <c r="B151" s="0" t="n">
        <v>30</v>
      </c>
      <c r="C151" s="0" t="str">
        <f aca="false">TRIM(SUBSTITUTE(INDEX(LISTAS!$A$4:$T$63,B151,A151)&amp;"",CHAR(160)," "))</f>
        <v/>
      </c>
      <c r="D151" s="0" t="str">
        <f aca="false">IF(C151="","",TRIM(RIGHT(SUBSTITUTE(C151," ",REPT(" ",100)),100)))</f>
        <v/>
      </c>
      <c r="E151" s="0" t="str">
        <f aca="false">IF(D151="","",UPPER(SUBSTITUTE(SUBSTITUTE(D151,"(",""),")","")))</f>
        <v/>
      </c>
      <c r="F151" s="0" t="str">
        <f aca="false">IF(C151="","",LEFT(C151,FIND(" ",C151&amp;" ")-1))</f>
        <v/>
      </c>
      <c r="G151" s="0" t="n">
        <f aca="false">IFERROR(VALUE(SUBSTITUTE(LOWER(F151),"x","")),0)</f>
        <v>0</v>
      </c>
      <c r="H151" s="0" t="str">
        <f aca="false">IF(C151="","",TRIM(MID(C151,LEN(F151)+2,999)))</f>
        <v/>
      </c>
      <c r="I151" s="0" t="n">
        <f aca="false">IF(OR(C151="",LEFT(C151,2)="//"),0,IFERROR(IF(AND(G151&gt;0,G151=INT(G151),FIND("-",E151)&gt;1,NOT(EXACT(UPPER(LEFT(E151,1)),LOWER(LEFT(E151,1)))),ISNUMBER(VALUE(MID(E151,FIND("-",E151)+1,10)))),1,0),0))</f>
        <v>0</v>
      </c>
      <c r="J151" s="0" t="str">
        <f aca="false">IF(I151=1,TRIM(LEFT(H151,MAX(0,LEN(H151)-LEN(D151)))),"")</f>
        <v/>
      </c>
      <c r="K151" s="0" t="str">
        <f aca="false">INDEX($P$2:$P$21,A151)</f>
        <v>Deck 3</v>
      </c>
      <c r="L151" s="0" t="n">
        <f aca="false">IF(AND(C151&lt;&gt;"",LEFT(C151,2)&lt;&gt;"//",I151=0),1,0)</f>
        <v>0</v>
      </c>
      <c r="M151" s="0" t="str">
        <f aca="false">IF(I151=1,MAX(M$1:M150)+1,"")</f>
        <v/>
      </c>
      <c r="N151" s="0" t="str">
        <f aca="false">IFERROR(MATCH(ROW()-1,$V$2:$V$1201,0),"")</f>
        <v/>
      </c>
      <c r="R151" s="0" t="str">
        <f aca="false">IF(E151="","",IFERROR(LEFT(E151,FIND("-",E151)-1),E151))</f>
        <v/>
      </c>
      <c r="S151" s="0" t="str">
        <f aca="false">IF(R151="","",IF(ISNUMBER(--MID(R151,1,1)),0,IF(ISNUMBER(--MID(R151,2,1)),1,IF(ISNUMBER(--MID(R151,3,1)),2,IF(ISNUMBER(--MID(R151,4,1)),3,MIN(LEN(R151),4))))))</f>
        <v/>
      </c>
      <c r="T151" s="0" t="str">
        <f aca="false">IF(E151="","",LEFT(R151,S151)&amp;REPT("0",4-S151)&amp;RIGHT("000"&amp;IFERROR(VALUE(MID(R151,S151+1,9)),0),3)&amp;RIGHT("0000"&amp;IFERROR(VALUE(MID(E151,FIND("-",E151)+1,9)),0),4))</f>
        <v/>
      </c>
      <c r="U151" s="0" t="str">
        <f aca="false">IF(I151=1,"K"&amp;RIGHT("00"&amp;A151,2)&amp;T151&amp;RIGHT("00000"&amp;ROW(),5),"")</f>
        <v/>
      </c>
      <c r="V151" s="0" t="str">
        <f aca="false">IF(U151="","",COUNTIFS($I$2:$I$1201,1,$U$2:$U$1201,"&lt;"&amp;U151)+1)</f>
        <v/>
      </c>
    </row>
    <row r="152" customFormat="false" ht="15" hidden="false" customHeight="false" outlineLevel="0" collapsed="false">
      <c r="A152" s="0" t="n">
        <v>3</v>
      </c>
      <c r="B152" s="0" t="n">
        <v>31</v>
      </c>
      <c r="C152" s="0" t="str">
        <f aca="false">TRIM(SUBSTITUTE(INDEX(LISTAS!$A$4:$T$63,B152,A152)&amp;"",CHAR(160)," "))</f>
        <v/>
      </c>
      <c r="D152" s="0" t="str">
        <f aca="false">IF(C152="","",TRIM(RIGHT(SUBSTITUTE(C152," ",REPT(" ",100)),100)))</f>
        <v/>
      </c>
      <c r="E152" s="0" t="str">
        <f aca="false">IF(D152="","",UPPER(SUBSTITUTE(SUBSTITUTE(D152,"(",""),")","")))</f>
        <v/>
      </c>
      <c r="F152" s="0" t="str">
        <f aca="false">IF(C152="","",LEFT(C152,FIND(" ",C152&amp;" ")-1))</f>
        <v/>
      </c>
      <c r="G152" s="0" t="n">
        <f aca="false">IFERROR(VALUE(SUBSTITUTE(LOWER(F152),"x","")),0)</f>
        <v>0</v>
      </c>
      <c r="H152" s="0" t="str">
        <f aca="false">IF(C152="","",TRIM(MID(C152,LEN(F152)+2,999)))</f>
        <v/>
      </c>
      <c r="I152" s="0" t="n">
        <f aca="false">IF(OR(C152="",LEFT(C152,2)="//"),0,IFERROR(IF(AND(G152&gt;0,G152=INT(G152),FIND("-",E152)&gt;1,NOT(EXACT(UPPER(LEFT(E152,1)),LOWER(LEFT(E152,1)))),ISNUMBER(VALUE(MID(E152,FIND("-",E152)+1,10)))),1,0),0))</f>
        <v>0</v>
      </c>
      <c r="J152" s="0" t="str">
        <f aca="false">IF(I152=1,TRIM(LEFT(H152,MAX(0,LEN(H152)-LEN(D152)))),"")</f>
        <v/>
      </c>
      <c r="K152" s="0" t="str">
        <f aca="false">INDEX($P$2:$P$21,A152)</f>
        <v>Deck 3</v>
      </c>
      <c r="L152" s="0" t="n">
        <f aca="false">IF(AND(C152&lt;&gt;"",LEFT(C152,2)&lt;&gt;"//",I152=0),1,0)</f>
        <v>0</v>
      </c>
      <c r="M152" s="0" t="str">
        <f aca="false">IF(I152=1,MAX(M$1:M151)+1,"")</f>
        <v/>
      </c>
      <c r="N152" s="0" t="str">
        <f aca="false">IFERROR(MATCH(ROW()-1,$V$2:$V$1201,0),"")</f>
        <v/>
      </c>
      <c r="R152" s="0" t="str">
        <f aca="false">IF(E152="","",IFERROR(LEFT(E152,FIND("-",E152)-1),E152))</f>
        <v/>
      </c>
      <c r="S152" s="0" t="str">
        <f aca="false">IF(R152="","",IF(ISNUMBER(--MID(R152,1,1)),0,IF(ISNUMBER(--MID(R152,2,1)),1,IF(ISNUMBER(--MID(R152,3,1)),2,IF(ISNUMBER(--MID(R152,4,1)),3,MIN(LEN(R152),4))))))</f>
        <v/>
      </c>
      <c r="T152" s="0" t="str">
        <f aca="false">IF(E152="","",LEFT(R152,S152)&amp;REPT("0",4-S152)&amp;RIGHT("000"&amp;IFERROR(VALUE(MID(R152,S152+1,9)),0),3)&amp;RIGHT("0000"&amp;IFERROR(VALUE(MID(E152,FIND("-",E152)+1,9)),0),4))</f>
        <v/>
      </c>
      <c r="U152" s="0" t="str">
        <f aca="false">IF(I152=1,"K"&amp;RIGHT("00"&amp;A152,2)&amp;T152&amp;RIGHT("00000"&amp;ROW(),5),"")</f>
        <v/>
      </c>
      <c r="V152" s="0" t="str">
        <f aca="false">IF(U152="","",COUNTIFS($I$2:$I$1201,1,$U$2:$U$1201,"&lt;"&amp;U152)+1)</f>
        <v/>
      </c>
    </row>
    <row r="153" customFormat="false" ht="15" hidden="false" customHeight="false" outlineLevel="0" collapsed="false">
      <c r="A153" s="0" t="n">
        <v>3</v>
      </c>
      <c r="B153" s="0" t="n">
        <v>32</v>
      </c>
      <c r="C153" s="0" t="str">
        <f aca="false">TRIM(SUBSTITUTE(INDEX(LISTAS!$A$4:$T$63,B153,A153)&amp;"",CHAR(160)," "))</f>
        <v/>
      </c>
      <c r="D153" s="0" t="str">
        <f aca="false">IF(C153="","",TRIM(RIGHT(SUBSTITUTE(C153," ",REPT(" ",100)),100)))</f>
        <v/>
      </c>
      <c r="E153" s="0" t="str">
        <f aca="false">IF(D153="","",UPPER(SUBSTITUTE(SUBSTITUTE(D153,"(",""),")","")))</f>
        <v/>
      </c>
      <c r="F153" s="0" t="str">
        <f aca="false">IF(C153="","",LEFT(C153,FIND(" ",C153&amp;" ")-1))</f>
        <v/>
      </c>
      <c r="G153" s="0" t="n">
        <f aca="false">IFERROR(VALUE(SUBSTITUTE(LOWER(F153),"x","")),0)</f>
        <v>0</v>
      </c>
      <c r="H153" s="0" t="str">
        <f aca="false">IF(C153="","",TRIM(MID(C153,LEN(F153)+2,999)))</f>
        <v/>
      </c>
      <c r="I153" s="0" t="n">
        <f aca="false">IF(OR(C153="",LEFT(C153,2)="//"),0,IFERROR(IF(AND(G153&gt;0,G153=INT(G153),FIND("-",E153)&gt;1,NOT(EXACT(UPPER(LEFT(E153,1)),LOWER(LEFT(E153,1)))),ISNUMBER(VALUE(MID(E153,FIND("-",E153)+1,10)))),1,0),0))</f>
        <v>0</v>
      </c>
      <c r="J153" s="0" t="str">
        <f aca="false">IF(I153=1,TRIM(LEFT(H153,MAX(0,LEN(H153)-LEN(D153)))),"")</f>
        <v/>
      </c>
      <c r="K153" s="0" t="str">
        <f aca="false">INDEX($P$2:$P$21,A153)</f>
        <v>Deck 3</v>
      </c>
      <c r="L153" s="0" t="n">
        <f aca="false">IF(AND(C153&lt;&gt;"",LEFT(C153,2)&lt;&gt;"//",I153=0),1,0)</f>
        <v>0</v>
      </c>
      <c r="M153" s="0" t="str">
        <f aca="false">IF(I153=1,MAX(M$1:M152)+1,"")</f>
        <v/>
      </c>
      <c r="N153" s="0" t="str">
        <f aca="false">IFERROR(MATCH(ROW()-1,$V$2:$V$1201,0),"")</f>
        <v/>
      </c>
      <c r="R153" s="0" t="str">
        <f aca="false">IF(E153="","",IFERROR(LEFT(E153,FIND("-",E153)-1),E153))</f>
        <v/>
      </c>
      <c r="S153" s="0" t="str">
        <f aca="false">IF(R153="","",IF(ISNUMBER(--MID(R153,1,1)),0,IF(ISNUMBER(--MID(R153,2,1)),1,IF(ISNUMBER(--MID(R153,3,1)),2,IF(ISNUMBER(--MID(R153,4,1)),3,MIN(LEN(R153),4))))))</f>
        <v/>
      </c>
      <c r="T153" s="0" t="str">
        <f aca="false">IF(E153="","",LEFT(R153,S153)&amp;REPT("0",4-S153)&amp;RIGHT("000"&amp;IFERROR(VALUE(MID(R153,S153+1,9)),0),3)&amp;RIGHT("0000"&amp;IFERROR(VALUE(MID(E153,FIND("-",E153)+1,9)),0),4))</f>
        <v/>
      </c>
      <c r="U153" s="0" t="str">
        <f aca="false">IF(I153=1,"K"&amp;RIGHT("00"&amp;A153,2)&amp;T153&amp;RIGHT("00000"&amp;ROW(),5),"")</f>
        <v/>
      </c>
      <c r="V153" s="0" t="str">
        <f aca="false">IF(U153="","",COUNTIFS($I$2:$I$1201,1,$U$2:$U$1201,"&lt;"&amp;U153)+1)</f>
        <v/>
      </c>
    </row>
    <row r="154" customFormat="false" ht="15" hidden="false" customHeight="false" outlineLevel="0" collapsed="false">
      <c r="A154" s="0" t="n">
        <v>3</v>
      </c>
      <c r="B154" s="0" t="n">
        <v>33</v>
      </c>
      <c r="C154" s="0" t="str">
        <f aca="false">TRIM(SUBSTITUTE(INDEX(LISTAS!$A$4:$T$63,B154,A154)&amp;"",CHAR(160)," "))</f>
        <v/>
      </c>
      <c r="D154" s="0" t="str">
        <f aca="false">IF(C154="","",TRIM(RIGHT(SUBSTITUTE(C154," ",REPT(" ",100)),100)))</f>
        <v/>
      </c>
      <c r="E154" s="0" t="str">
        <f aca="false">IF(D154="","",UPPER(SUBSTITUTE(SUBSTITUTE(D154,"(",""),")","")))</f>
        <v/>
      </c>
      <c r="F154" s="0" t="str">
        <f aca="false">IF(C154="","",LEFT(C154,FIND(" ",C154&amp;" ")-1))</f>
        <v/>
      </c>
      <c r="G154" s="0" t="n">
        <f aca="false">IFERROR(VALUE(SUBSTITUTE(LOWER(F154),"x","")),0)</f>
        <v>0</v>
      </c>
      <c r="H154" s="0" t="str">
        <f aca="false">IF(C154="","",TRIM(MID(C154,LEN(F154)+2,999)))</f>
        <v/>
      </c>
      <c r="I154" s="0" t="n">
        <f aca="false">IF(OR(C154="",LEFT(C154,2)="//"),0,IFERROR(IF(AND(G154&gt;0,G154=INT(G154),FIND("-",E154)&gt;1,NOT(EXACT(UPPER(LEFT(E154,1)),LOWER(LEFT(E154,1)))),ISNUMBER(VALUE(MID(E154,FIND("-",E154)+1,10)))),1,0),0))</f>
        <v>0</v>
      </c>
      <c r="J154" s="0" t="str">
        <f aca="false">IF(I154=1,TRIM(LEFT(H154,MAX(0,LEN(H154)-LEN(D154)))),"")</f>
        <v/>
      </c>
      <c r="K154" s="0" t="str">
        <f aca="false">INDEX($P$2:$P$21,A154)</f>
        <v>Deck 3</v>
      </c>
      <c r="L154" s="0" t="n">
        <f aca="false">IF(AND(C154&lt;&gt;"",LEFT(C154,2)&lt;&gt;"//",I154=0),1,0)</f>
        <v>0</v>
      </c>
      <c r="M154" s="0" t="str">
        <f aca="false">IF(I154=1,MAX(M$1:M153)+1,"")</f>
        <v/>
      </c>
      <c r="N154" s="0" t="str">
        <f aca="false">IFERROR(MATCH(ROW()-1,$V$2:$V$1201,0),"")</f>
        <v/>
      </c>
      <c r="R154" s="0" t="str">
        <f aca="false">IF(E154="","",IFERROR(LEFT(E154,FIND("-",E154)-1),E154))</f>
        <v/>
      </c>
      <c r="S154" s="0" t="str">
        <f aca="false">IF(R154="","",IF(ISNUMBER(--MID(R154,1,1)),0,IF(ISNUMBER(--MID(R154,2,1)),1,IF(ISNUMBER(--MID(R154,3,1)),2,IF(ISNUMBER(--MID(R154,4,1)),3,MIN(LEN(R154),4))))))</f>
        <v/>
      </c>
      <c r="T154" s="0" t="str">
        <f aca="false">IF(E154="","",LEFT(R154,S154)&amp;REPT("0",4-S154)&amp;RIGHT("000"&amp;IFERROR(VALUE(MID(R154,S154+1,9)),0),3)&amp;RIGHT("0000"&amp;IFERROR(VALUE(MID(E154,FIND("-",E154)+1,9)),0),4))</f>
        <v/>
      </c>
      <c r="U154" s="0" t="str">
        <f aca="false">IF(I154=1,"K"&amp;RIGHT("00"&amp;A154,2)&amp;T154&amp;RIGHT("00000"&amp;ROW(),5),"")</f>
        <v/>
      </c>
      <c r="V154" s="0" t="str">
        <f aca="false">IF(U154="","",COUNTIFS($I$2:$I$1201,1,$U$2:$U$1201,"&lt;"&amp;U154)+1)</f>
        <v/>
      </c>
    </row>
    <row r="155" customFormat="false" ht="15" hidden="false" customHeight="false" outlineLevel="0" collapsed="false">
      <c r="A155" s="0" t="n">
        <v>3</v>
      </c>
      <c r="B155" s="0" t="n">
        <v>34</v>
      </c>
      <c r="C155" s="0" t="str">
        <f aca="false">TRIM(SUBSTITUTE(INDEX(LISTAS!$A$4:$T$63,B155,A155)&amp;"",CHAR(160)," "))</f>
        <v/>
      </c>
      <c r="D155" s="0" t="str">
        <f aca="false">IF(C155="","",TRIM(RIGHT(SUBSTITUTE(C155," ",REPT(" ",100)),100)))</f>
        <v/>
      </c>
      <c r="E155" s="0" t="str">
        <f aca="false">IF(D155="","",UPPER(SUBSTITUTE(SUBSTITUTE(D155,"(",""),")","")))</f>
        <v/>
      </c>
      <c r="F155" s="0" t="str">
        <f aca="false">IF(C155="","",LEFT(C155,FIND(" ",C155&amp;" ")-1))</f>
        <v/>
      </c>
      <c r="G155" s="0" t="n">
        <f aca="false">IFERROR(VALUE(SUBSTITUTE(LOWER(F155),"x","")),0)</f>
        <v>0</v>
      </c>
      <c r="H155" s="0" t="str">
        <f aca="false">IF(C155="","",TRIM(MID(C155,LEN(F155)+2,999)))</f>
        <v/>
      </c>
      <c r="I155" s="0" t="n">
        <f aca="false">IF(OR(C155="",LEFT(C155,2)="//"),0,IFERROR(IF(AND(G155&gt;0,G155=INT(G155),FIND("-",E155)&gt;1,NOT(EXACT(UPPER(LEFT(E155,1)),LOWER(LEFT(E155,1)))),ISNUMBER(VALUE(MID(E155,FIND("-",E155)+1,10)))),1,0),0))</f>
        <v>0</v>
      </c>
      <c r="J155" s="0" t="str">
        <f aca="false">IF(I155=1,TRIM(LEFT(H155,MAX(0,LEN(H155)-LEN(D155)))),"")</f>
        <v/>
      </c>
      <c r="K155" s="0" t="str">
        <f aca="false">INDEX($P$2:$P$21,A155)</f>
        <v>Deck 3</v>
      </c>
      <c r="L155" s="0" t="n">
        <f aca="false">IF(AND(C155&lt;&gt;"",LEFT(C155,2)&lt;&gt;"//",I155=0),1,0)</f>
        <v>0</v>
      </c>
      <c r="M155" s="0" t="str">
        <f aca="false">IF(I155=1,MAX(M$1:M154)+1,"")</f>
        <v/>
      </c>
      <c r="N155" s="0" t="str">
        <f aca="false">IFERROR(MATCH(ROW()-1,$V$2:$V$1201,0),"")</f>
        <v/>
      </c>
      <c r="R155" s="0" t="str">
        <f aca="false">IF(E155="","",IFERROR(LEFT(E155,FIND("-",E155)-1),E155))</f>
        <v/>
      </c>
      <c r="S155" s="0" t="str">
        <f aca="false">IF(R155="","",IF(ISNUMBER(--MID(R155,1,1)),0,IF(ISNUMBER(--MID(R155,2,1)),1,IF(ISNUMBER(--MID(R155,3,1)),2,IF(ISNUMBER(--MID(R155,4,1)),3,MIN(LEN(R155),4))))))</f>
        <v/>
      </c>
      <c r="T155" s="0" t="str">
        <f aca="false">IF(E155="","",LEFT(R155,S155)&amp;REPT("0",4-S155)&amp;RIGHT("000"&amp;IFERROR(VALUE(MID(R155,S155+1,9)),0),3)&amp;RIGHT("0000"&amp;IFERROR(VALUE(MID(E155,FIND("-",E155)+1,9)),0),4))</f>
        <v/>
      </c>
      <c r="U155" s="0" t="str">
        <f aca="false">IF(I155=1,"K"&amp;RIGHT("00"&amp;A155,2)&amp;T155&amp;RIGHT("00000"&amp;ROW(),5),"")</f>
        <v/>
      </c>
      <c r="V155" s="0" t="str">
        <f aca="false">IF(U155="","",COUNTIFS($I$2:$I$1201,1,$U$2:$U$1201,"&lt;"&amp;U155)+1)</f>
        <v/>
      </c>
    </row>
    <row r="156" customFormat="false" ht="15" hidden="false" customHeight="false" outlineLevel="0" collapsed="false">
      <c r="A156" s="0" t="n">
        <v>3</v>
      </c>
      <c r="B156" s="0" t="n">
        <v>35</v>
      </c>
      <c r="C156" s="0" t="str">
        <f aca="false">TRIM(SUBSTITUTE(INDEX(LISTAS!$A$4:$T$63,B156,A156)&amp;"",CHAR(160)," "))</f>
        <v/>
      </c>
      <c r="D156" s="0" t="str">
        <f aca="false">IF(C156="","",TRIM(RIGHT(SUBSTITUTE(C156," ",REPT(" ",100)),100)))</f>
        <v/>
      </c>
      <c r="E156" s="0" t="str">
        <f aca="false">IF(D156="","",UPPER(SUBSTITUTE(SUBSTITUTE(D156,"(",""),")","")))</f>
        <v/>
      </c>
      <c r="F156" s="0" t="str">
        <f aca="false">IF(C156="","",LEFT(C156,FIND(" ",C156&amp;" ")-1))</f>
        <v/>
      </c>
      <c r="G156" s="0" t="n">
        <f aca="false">IFERROR(VALUE(SUBSTITUTE(LOWER(F156),"x","")),0)</f>
        <v>0</v>
      </c>
      <c r="H156" s="0" t="str">
        <f aca="false">IF(C156="","",TRIM(MID(C156,LEN(F156)+2,999)))</f>
        <v/>
      </c>
      <c r="I156" s="0" t="n">
        <f aca="false">IF(OR(C156="",LEFT(C156,2)="//"),0,IFERROR(IF(AND(G156&gt;0,G156=INT(G156),FIND("-",E156)&gt;1,NOT(EXACT(UPPER(LEFT(E156,1)),LOWER(LEFT(E156,1)))),ISNUMBER(VALUE(MID(E156,FIND("-",E156)+1,10)))),1,0),0))</f>
        <v>0</v>
      </c>
      <c r="J156" s="0" t="str">
        <f aca="false">IF(I156=1,TRIM(LEFT(H156,MAX(0,LEN(H156)-LEN(D156)))),"")</f>
        <v/>
      </c>
      <c r="K156" s="0" t="str">
        <f aca="false">INDEX($P$2:$P$21,A156)</f>
        <v>Deck 3</v>
      </c>
      <c r="L156" s="0" t="n">
        <f aca="false">IF(AND(C156&lt;&gt;"",LEFT(C156,2)&lt;&gt;"//",I156=0),1,0)</f>
        <v>0</v>
      </c>
      <c r="M156" s="0" t="str">
        <f aca="false">IF(I156=1,MAX(M$1:M155)+1,"")</f>
        <v/>
      </c>
      <c r="N156" s="0" t="str">
        <f aca="false">IFERROR(MATCH(ROW()-1,$V$2:$V$1201,0),"")</f>
        <v/>
      </c>
      <c r="R156" s="0" t="str">
        <f aca="false">IF(E156="","",IFERROR(LEFT(E156,FIND("-",E156)-1),E156))</f>
        <v/>
      </c>
      <c r="S156" s="0" t="str">
        <f aca="false">IF(R156="","",IF(ISNUMBER(--MID(R156,1,1)),0,IF(ISNUMBER(--MID(R156,2,1)),1,IF(ISNUMBER(--MID(R156,3,1)),2,IF(ISNUMBER(--MID(R156,4,1)),3,MIN(LEN(R156),4))))))</f>
        <v/>
      </c>
      <c r="T156" s="0" t="str">
        <f aca="false">IF(E156="","",LEFT(R156,S156)&amp;REPT("0",4-S156)&amp;RIGHT("000"&amp;IFERROR(VALUE(MID(R156,S156+1,9)),0),3)&amp;RIGHT("0000"&amp;IFERROR(VALUE(MID(E156,FIND("-",E156)+1,9)),0),4))</f>
        <v/>
      </c>
      <c r="U156" s="0" t="str">
        <f aca="false">IF(I156=1,"K"&amp;RIGHT("00"&amp;A156,2)&amp;T156&amp;RIGHT("00000"&amp;ROW(),5),"")</f>
        <v/>
      </c>
      <c r="V156" s="0" t="str">
        <f aca="false">IF(U156="","",COUNTIFS($I$2:$I$1201,1,$U$2:$U$1201,"&lt;"&amp;U156)+1)</f>
        <v/>
      </c>
    </row>
    <row r="157" customFormat="false" ht="15" hidden="false" customHeight="false" outlineLevel="0" collapsed="false">
      <c r="A157" s="0" t="n">
        <v>3</v>
      </c>
      <c r="B157" s="0" t="n">
        <v>36</v>
      </c>
      <c r="C157" s="0" t="str">
        <f aca="false">TRIM(SUBSTITUTE(INDEX(LISTAS!$A$4:$T$63,B157,A157)&amp;"",CHAR(160)," "))</f>
        <v/>
      </c>
      <c r="D157" s="0" t="str">
        <f aca="false">IF(C157="","",TRIM(RIGHT(SUBSTITUTE(C157," ",REPT(" ",100)),100)))</f>
        <v/>
      </c>
      <c r="E157" s="0" t="str">
        <f aca="false">IF(D157="","",UPPER(SUBSTITUTE(SUBSTITUTE(D157,"(",""),")","")))</f>
        <v/>
      </c>
      <c r="F157" s="0" t="str">
        <f aca="false">IF(C157="","",LEFT(C157,FIND(" ",C157&amp;" ")-1))</f>
        <v/>
      </c>
      <c r="G157" s="0" t="n">
        <f aca="false">IFERROR(VALUE(SUBSTITUTE(LOWER(F157),"x","")),0)</f>
        <v>0</v>
      </c>
      <c r="H157" s="0" t="str">
        <f aca="false">IF(C157="","",TRIM(MID(C157,LEN(F157)+2,999)))</f>
        <v/>
      </c>
      <c r="I157" s="0" t="n">
        <f aca="false">IF(OR(C157="",LEFT(C157,2)="//"),0,IFERROR(IF(AND(G157&gt;0,G157=INT(G157),FIND("-",E157)&gt;1,NOT(EXACT(UPPER(LEFT(E157,1)),LOWER(LEFT(E157,1)))),ISNUMBER(VALUE(MID(E157,FIND("-",E157)+1,10)))),1,0),0))</f>
        <v>0</v>
      </c>
      <c r="J157" s="0" t="str">
        <f aca="false">IF(I157=1,TRIM(LEFT(H157,MAX(0,LEN(H157)-LEN(D157)))),"")</f>
        <v/>
      </c>
      <c r="K157" s="0" t="str">
        <f aca="false">INDEX($P$2:$P$21,A157)</f>
        <v>Deck 3</v>
      </c>
      <c r="L157" s="0" t="n">
        <f aca="false">IF(AND(C157&lt;&gt;"",LEFT(C157,2)&lt;&gt;"//",I157=0),1,0)</f>
        <v>0</v>
      </c>
      <c r="M157" s="0" t="str">
        <f aca="false">IF(I157=1,MAX(M$1:M156)+1,"")</f>
        <v/>
      </c>
      <c r="N157" s="0" t="str">
        <f aca="false">IFERROR(MATCH(ROW()-1,$V$2:$V$1201,0),"")</f>
        <v/>
      </c>
      <c r="R157" s="0" t="str">
        <f aca="false">IF(E157="","",IFERROR(LEFT(E157,FIND("-",E157)-1),E157))</f>
        <v/>
      </c>
      <c r="S157" s="0" t="str">
        <f aca="false">IF(R157="","",IF(ISNUMBER(--MID(R157,1,1)),0,IF(ISNUMBER(--MID(R157,2,1)),1,IF(ISNUMBER(--MID(R157,3,1)),2,IF(ISNUMBER(--MID(R157,4,1)),3,MIN(LEN(R157),4))))))</f>
        <v/>
      </c>
      <c r="T157" s="0" t="str">
        <f aca="false">IF(E157="","",LEFT(R157,S157)&amp;REPT("0",4-S157)&amp;RIGHT("000"&amp;IFERROR(VALUE(MID(R157,S157+1,9)),0),3)&amp;RIGHT("0000"&amp;IFERROR(VALUE(MID(E157,FIND("-",E157)+1,9)),0),4))</f>
        <v/>
      </c>
      <c r="U157" s="0" t="str">
        <f aca="false">IF(I157=1,"K"&amp;RIGHT("00"&amp;A157,2)&amp;T157&amp;RIGHT("00000"&amp;ROW(),5),"")</f>
        <v/>
      </c>
      <c r="V157" s="0" t="str">
        <f aca="false">IF(U157="","",COUNTIFS($I$2:$I$1201,1,$U$2:$U$1201,"&lt;"&amp;U157)+1)</f>
        <v/>
      </c>
    </row>
    <row r="158" customFormat="false" ht="15" hidden="false" customHeight="false" outlineLevel="0" collapsed="false">
      <c r="A158" s="0" t="n">
        <v>3</v>
      </c>
      <c r="B158" s="0" t="n">
        <v>37</v>
      </c>
      <c r="C158" s="0" t="str">
        <f aca="false">TRIM(SUBSTITUTE(INDEX(LISTAS!$A$4:$T$63,B158,A158)&amp;"",CHAR(160)," "))</f>
        <v/>
      </c>
      <c r="D158" s="0" t="str">
        <f aca="false">IF(C158="","",TRIM(RIGHT(SUBSTITUTE(C158," ",REPT(" ",100)),100)))</f>
        <v/>
      </c>
      <c r="E158" s="0" t="str">
        <f aca="false">IF(D158="","",UPPER(SUBSTITUTE(SUBSTITUTE(D158,"(",""),")","")))</f>
        <v/>
      </c>
      <c r="F158" s="0" t="str">
        <f aca="false">IF(C158="","",LEFT(C158,FIND(" ",C158&amp;" ")-1))</f>
        <v/>
      </c>
      <c r="G158" s="0" t="n">
        <f aca="false">IFERROR(VALUE(SUBSTITUTE(LOWER(F158),"x","")),0)</f>
        <v>0</v>
      </c>
      <c r="H158" s="0" t="str">
        <f aca="false">IF(C158="","",TRIM(MID(C158,LEN(F158)+2,999)))</f>
        <v/>
      </c>
      <c r="I158" s="0" t="n">
        <f aca="false">IF(OR(C158="",LEFT(C158,2)="//"),0,IFERROR(IF(AND(G158&gt;0,G158=INT(G158),FIND("-",E158)&gt;1,NOT(EXACT(UPPER(LEFT(E158,1)),LOWER(LEFT(E158,1)))),ISNUMBER(VALUE(MID(E158,FIND("-",E158)+1,10)))),1,0),0))</f>
        <v>0</v>
      </c>
      <c r="J158" s="0" t="str">
        <f aca="false">IF(I158=1,TRIM(LEFT(H158,MAX(0,LEN(H158)-LEN(D158)))),"")</f>
        <v/>
      </c>
      <c r="K158" s="0" t="str">
        <f aca="false">INDEX($P$2:$P$21,A158)</f>
        <v>Deck 3</v>
      </c>
      <c r="L158" s="0" t="n">
        <f aca="false">IF(AND(C158&lt;&gt;"",LEFT(C158,2)&lt;&gt;"//",I158=0),1,0)</f>
        <v>0</v>
      </c>
      <c r="M158" s="0" t="str">
        <f aca="false">IF(I158=1,MAX(M$1:M157)+1,"")</f>
        <v/>
      </c>
      <c r="N158" s="0" t="str">
        <f aca="false">IFERROR(MATCH(ROW()-1,$V$2:$V$1201,0),"")</f>
        <v/>
      </c>
      <c r="R158" s="0" t="str">
        <f aca="false">IF(E158="","",IFERROR(LEFT(E158,FIND("-",E158)-1),E158))</f>
        <v/>
      </c>
      <c r="S158" s="0" t="str">
        <f aca="false">IF(R158="","",IF(ISNUMBER(--MID(R158,1,1)),0,IF(ISNUMBER(--MID(R158,2,1)),1,IF(ISNUMBER(--MID(R158,3,1)),2,IF(ISNUMBER(--MID(R158,4,1)),3,MIN(LEN(R158),4))))))</f>
        <v/>
      </c>
      <c r="T158" s="0" t="str">
        <f aca="false">IF(E158="","",LEFT(R158,S158)&amp;REPT("0",4-S158)&amp;RIGHT("000"&amp;IFERROR(VALUE(MID(R158,S158+1,9)),0),3)&amp;RIGHT("0000"&amp;IFERROR(VALUE(MID(E158,FIND("-",E158)+1,9)),0),4))</f>
        <v/>
      </c>
      <c r="U158" s="0" t="str">
        <f aca="false">IF(I158=1,"K"&amp;RIGHT("00"&amp;A158,2)&amp;T158&amp;RIGHT("00000"&amp;ROW(),5),"")</f>
        <v/>
      </c>
      <c r="V158" s="0" t="str">
        <f aca="false">IF(U158="","",COUNTIFS($I$2:$I$1201,1,$U$2:$U$1201,"&lt;"&amp;U158)+1)</f>
        <v/>
      </c>
    </row>
    <row r="159" customFormat="false" ht="15" hidden="false" customHeight="false" outlineLevel="0" collapsed="false">
      <c r="A159" s="0" t="n">
        <v>3</v>
      </c>
      <c r="B159" s="0" t="n">
        <v>38</v>
      </c>
      <c r="C159" s="0" t="str">
        <f aca="false">TRIM(SUBSTITUTE(INDEX(LISTAS!$A$4:$T$63,B159,A159)&amp;"",CHAR(160)," "))</f>
        <v/>
      </c>
      <c r="D159" s="0" t="str">
        <f aca="false">IF(C159="","",TRIM(RIGHT(SUBSTITUTE(C159," ",REPT(" ",100)),100)))</f>
        <v/>
      </c>
      <c r="E159" s="0" t="str">
        <f aca="false">IF(D159="","",UPPER(SUBSTITUTE(SUBSTITUTE(D159,"(",""),")","")))</f>
        <v/>
      </c>
      <c r="F159" s="0" t="str">
        <f aca="false">IF(C159="","",LEFT(C159,FIND(" ",C159&amp;" ")-1))</f>
        <v/>
      </c>
      <c r="G159" s="0" t="n">
        <f aca="false">IFERROR(VALUE(SUBSTITUTE(LOWER(F159),"x","")),0)</f>
        <v>0</v>
      </c>
      <c r="H159" s="0" t="str">
        <f aca="false">IF(C159="","",TRIM(MID(C159,LEN(F159)+2,999)))</f>
        <v/>
      </c>
      <c r="I159" s="0" t="n">
        <f aca="false">IF(OR(C159="",LEFT(C159,2)="//"),0,IFERROR(IF(AND(G159&gt;0,G159=INT(G159),FIND("-",E159)&gt;1,NOT(EXACT(UPPER(LEFT(E159,1)),LOWER(LEFT(E159,1)))),ISNUMBER(VALUE(MID(E159,FIND("-",E159)+1,10)))),1,0),0))</f>
        <v>0</v>
      </c>
      <c r="J159" s="0" t="str">
        <f aca="false">IF(I159=1,TRIM(LEFT(H159,MAX(0,LEN(H159)-LEN(D159)))),"")</f>
        <v/>
      </c>
      <c r="K159" s="0" t="str">
        <f aca="false">INDEX($P$2:$P$21,A159)</f>
        <v>Deck 3</v>
      </c>
      <c r="L159" s="0" t="n">
        <f aca="false">IF(AND(C159&lt;&gt;"",LEFT(C159,2)&lt;&gt;"//",I159=0),1,0)</f>
        <v>0</v>
      </c>
      <c r="M159" s="0" t="str">
        <f aca="false">IF(I159=1,MAX(M$1:M158)+1,"")</f>
        <v/>
      </c>
      <c r="N159" s="0" t="str">
        <f aca="false">IFERROR(MATCH(ROW()-1,$V$2:$V$1201,0),"")</f>
        <v/>
      </c>
      <c r="R159" s="0" t="str">
        <f aca="false">IF(E159="","",IFERROR(LEFT(E159,FIND("-",E159)-1),E159))</f>
        <v/>
      </c>
      <c r="S159" s="0" t="str">
        <f aca="false">IF(R159="","",IF(ISNUMBER(--MID(R159,1,1)),0,IF(ISNUMBER(--MID(R159,2,1)),1,IF(ISNUMBER(--MID(R159,3,1)),2,IF(ISNUMBER(--MID(R159,4,1)),3,MIN(LEN(R159),4))))))</f>
        <v/>
      </c>
      <c r="T159" s="0" t="str">
        <f aca="false">IF(E159="","",LEFT(R159,S159)&amp;REPT("0",4-S159)&amp;RIGHT("000"&amp;IFERROR(VALUE(MID(R159,S159+1,9)),0),3)&amp;RIGHT("0000"&amp;IFERROR(VALUE(MID(E159,FIND("-",E159)+1,9)),0),4))</f>
        <v/>
      </c>
      <c r="U159" s="0" t="str">
        <f aca="false">IF(I159=1,"K"&amp;RIGHT("00"&amp;A159,2)&amp;T159&amp;RIGHT("00000"&amp;ROW(),5),"")</f>
        <v/>
      </c>
      <c r="V159" s="0" t="str">
        <f aca="false">IF(U159="","",COUNTIFS($I$2:$I$1201,1,$U$2:$U$1201,"&lt;"&amp;U159)+1)</f>
        <v/>
      </c>
    </row>
    <row r="160" customFormat="false" ht="15" hidden="false" customHeight="false" outlineLevel="0" collapsed="false">
      <c r="A160" s="0" t="n">
        <v>3</v>
      </c>
      <c r="B160" s="0" t="n">
        <v>39</v>
      </c>
      <c r="C160" s="0" t="str">
        <f aca="false">TRIM(SUBSTITUTE(INDEX(LISTAS!$A$4:$T$63,B160,A160)&amp;"",CHAR(160)," "))</f>
        <v/>
      </c>
      <c r="D160" s="0" t="str">
        <f aca="false">IF(C160="","",TRIM(RIGHT(SUBSTITUTE(C160," ",REPT(" ",100)),100)))</f>
        <v/>
      </c>
      <c r="E160" s="0" t="str">
        <f aca="false">IF(D160="","",UPPER(SUBSTITUTE(SUBSTITUTE(D160,"(",""),")","")))</f>
        <v/>
      </c>
      <c r="F160" s="0" t="str">
        <f aca="false">IF(C160="","",LEFT(C160,FIND(" ",C160&amp;" ")-1))</f>
        <v/>
      </c>
      <c r="G160" s="0" t="n">
        <f aca="false">IFERROR(VALUE(SUBSTITUTE(LOWER(F160),"x","")),0)</f>
        <v>0</v>
      </c>
      <c r="H160" s="0" t="str">
        <f aca="false">IF(C160="","",TRIM(MID(C160,LEN(F160)+2,999)))</f>
        <v/>
      </c>
      <c r="I160" s="0" t="n">
        <f aca="false">IF(OR(C160="",LEFT(C160,2)="//"),0,IFERROR(IF(AND(G160&gt;0,G160=INT(G160),FIND("-",E160)&gt;1,NOT(EXACT(UPPER(LEFT(E160,1)),LOWER(LEFT(E160,1)))),ISNUMBER(VALUE(MID(E160,FIND("-",E160)+1,10)))),1,0),0))</f>
        <v>0</v>
      </c>
      <c r="J160" s="0" t="str">
        <f aca="false">IF(I160=1,TRIM(LEFT(H160,MAX(0,LEN(H160)-LEN(D160)))),"")</f>
        <v/>
      </c>
      <c r="K160" s="0" t="str">
        <f aca="false">INDEX($P$2:$P$21,A160)</f>
        <v>Deck 3</v>
      </c>
      <c r="L160" s="0" t="n">
        <f aca="false">IF(AND(C160&lt;&gt;"",LEFT(C160,2)&lt;&gt;"//",I160=0),1,0)</f>
        <v>0</v>
      </c>
      <c r="M160" s="0" t="str">
        <f aca="false">IF(I160=1,MAX(M$1:M159)+1,"")</f>
        <v/>
      </c>
      <c r="N160" s="0" t="str">
        <f aca="false">IFERROR(MATCH(ROW()-1,$V$2:$V$1201,0),"")</f>
        <v/>
      </c>
      <c r="R160" s="0" t="str">
        <f aca="false">IF(E160="","",IFERROR(LEFT(E160,FIND("-",E160)-1),E160))</f>
        <v/>
      </c>
      <c r="S160" s="0" t="str">
        <f aca="false">IF(R160="","",IF(ISNUMBER(--MID(R160,1,1)),0,IF(ISNUMBER(--MID(R160,2,1)),1,IF(ISNUMBER(--MID(R160,3,1)),2,IF(ISNUMBER(--MID(R160,4,1)),3,MIN(LEN(R160),4))))))</f>
        <v/>
      </c>
      <c r="T160" s="0" t="str">
        <f aca="false">IF(E160="","",LEFT(R160,S160)&amp;REPT("0",4-S160)&amp;RIGHT("000"&amp;IFERROR(VALUE(MID(R160,S160+1,9)),0),3)&amp;RIGHT("0000"&amp;IFERROR(VALUE(MID(E160,FIND("-",E160)+1,9)),0),4))</f>
        <v/>
      </c>
      <c r="U160" s="0" t="str">
        <f aca="false">IF(I160=1,"K"&amp;RIGHT("00"&amp;A160,2)&amp;T160&amp;RIGHT("00000"&amp;ROW(),5),"")</f>
        <v/>
      </c>
      <c r="V160" s="0" t="str">
        <f aca="false">IF(U160="","",COUNTIFS($I$2:$I$1201,1,$U$2:$U$1201,"&lt;"&amp;U160)+1)</f>
        <v/>
      </c>
    </row>
    <row r="161" customFormat="false" ht="15" hidden="false" customHeight="false" outlineLevel="0" collapsed="false">
      <c r="A161" s="0" t="n">
        <v>3</v>
      </c>
      <c r="B161" s="0" t="n">
        <v>40</v>
      </c>
      <c r="C161" s="0" t="str">
        <f aca="false">TRIM(SUBSTITUTE(INDEX(LISTAS!$A$4:$T$63,B161,A161)&amp;"",CHAR(160)," "))</f>
        <v/>
      </c>
      <c r="D161" s="0" t="str">
        <f aca="false">IF(C161="","",TRIM(RIGHT(SUBSTITUTE(C161," ",REPT(" ",100)),100)))</f>
        <v/>
      </c>
      <c r="E161" s="0" t="str">
        <f aca="false">IF(D161="","",UPPER(SUBSTITUTE(SUBSTITUTE(D161,"(",""),")","")))</f>
        <v/>
      </c>
      <c r="F161" s="0" t="str">
        <f aca="false">IF(C161="","",LEFT(C161,FIND(" ",C161&amp;" ")-1))</f>
        <v/>
      </c>
      <c r="G161" s="0" t="n">
        <f aca="false">IFERROR(VALUE(SUBSTITUTE(LOWER(F161),"x","")),0)</f>
        <v>0</v>
      </c>
      <c r="H161" s="0" t="str">
        <f aca="false">IF(C161="","",TRIM(MID(C161,LEN(F161)+2,999)))</f>
        <v/>
      </c>
      <c r="I161" s="0" t="n">
        <f aca="false">IF(OR(C161="",LEFT(C161,2)="//"),0,IFERROR(IF(AND(G161&gt;0,G161=INT(G161),FIND("-",E161)&gt;1,NOT(EXACT(UPPER(LEFT(E161,1)),LOWER(LEFT(E161,1)))),ISNUMBER(VALUE(MID(E161,FIND("-",E161)+1,10)))),1,0),0))</f>
        <v>0</v>
      </c>
      <c r="J161" s="0" t="str">
        <f aca="false">IF(I161=1,TRIM(LEFT(H161,MAX(0,LEN(H161)-LEN(D161)))),"")</f>
        <v/>
      </c>
      <c r="K161" s="0" t="str">
        <f aca="false">INDEX($P$2:$P$21,A161)</f>
        <v>Deck 3</v>
      </c>
      <c r="L161" s="0" t="n">
        <f aca="false">IF(AND(C161&lt;&gt;"",LEFT(C161,2)&lt;&gt;"//",I161=0),1,0)</f>
        <v>0</v>
      </c>
      <c r="M161" s="0" t="str">
        <f aca="false">IF(I161=1,MAX(M$1:M160)+1,"")</f>
        <v/>
      </c>
      <c r="N161" s="0" t="str">
        <f aca="false">IFERROR(MATCH(ROW()-1,$V$2:$V$1201,0),"")</f>
        <v/>
      </c>
      <c r="R161" s="0" t="str">
        <f aca="false">IF(E161="","",IFERROR(LEFT(E161,FIND("-",E161)-1),E161))</f>
        <v/>
      </c>
      <c r="S161" s="0" t="str">
        <f aca="false">IF(R161="","",IF(ISNUMBER(--MID(R161,1,1)),0,IF(ISNUMBER(--MID(R161,2,1)),1,IF(ISNUMBER(--MID(R161,3,1)),2,IF(ISNUMBER(--MID(R161,4,1)),3,MIN(LEN(R161),4))))))</f>
        <v/>
      </c>
      <c r="T161" s="0" t="str">
        <f aca="false">IF(E161="","",LEFT(R161,S161)&amp;REPT("0",4-S161)&amp;RIGHT("000"&amp;IFERROR(VALUE(MID(R161,S161+1,9)),0),3)&amp;RIGHT("0000"&amp;IFERROR(VALUE(MID(E161,FIND("-",E161)+1,9)),0),4))</f>
        <v/>
      </c>
      <c r="U161" s="0" t="str">
        <f aca="false">IF(I161=1,"K"&amp;RIGHT("00"&amp;A161,2)&amp;T161&amp;RIGHT("00000"&amp;ROW(),5),"")</f>
        <v/>
      </c>
      <c r="V161" s="0" t="str">
        <f aca="false">IF(U161="","",COUNTIFS($I$2:$I$1201,1,$U$2:$U$1201,"&lt;"&amp;U161)+1)</f>
        <v/>
      </c>
    </row>
    <row r="162" customFormat="false" ht="15" hidden="false" customHeight="false" outlineLevel="0" collapsed="false">
      <c r="A162" s="0" t="n">
        <v>3</v>
      </c>
      <c r="B162" s="0" t="n">
        <v>41</v>
      </c>
      <c r="C162" s="0" t="str">
        <f aca="false">TRIM(SUBSTITUTE(INDEX(LISTAS!$A$4:$T$63,B162,A162)&amp;"",CHAR(160)," "))</f>
        <v/>
      </c>
      <c r="D162" s="0" t="str">
        <f aca="false">IF(C162="","",TRIM(RIGHT(SUBSTITUTE(C162," ",REPT(" ",100)),100)))</f>
        <v/>
      </c>
      <c r="E162" s="0" t="str">
        <f aca="false">IF(D162="","",UPPER(SUBSTITUTE(SUBSTITUTE(D162,"(",""),")","")))</f>
        <v/>
      </c>
      <c r="F162" s="0" t="str">
        <f aca="false">IF(C162="","",LEFT(C162,FIND(" ",C162&amp;" ")-1))</f>
        <v/>
      </c>
      <c r="G162" s="0" t="n">
        <f aca="false">IFERROR(VALUE(SUBSTITUTE(LOWER(F162),"x","")),0)</f>
        <v>0</v>
      </c>
      <c r="H162" s="0" t="str">
        <f aca="false">IF(C162="","",TRIM(MID(C162,LEN(F162)+2,999)))</f>
        <v/>
      </c>
      <c r="I162" s="0" t="n">
        <f aca="false">IF(OR(C162="",LEFT(C162,2)="//"),0,IFERROR(IF(AND(G162&gt;0,G162=INT(G162),FIND("-",E162)&gt;1,NOT(EXACT(UPPER(LEFT(E162,1)),LOWER(LEFT(E162,1)))),ISNUMBER(VALUE(MID(E162,FIND("-",E162)+1,10)))),1,0),0))</f>
        <v>0</v>
      </c>
      <c r="J162" s="0" t="str">
        <f aca="false">IF(I162=1,TRIM(LEFT(H162,MAX(0,LEN(H162)-LEN(D162)))),"")</f>
        <v/>
      </c>
      <c r="K162" s="0" t="str">
        <f aca="false">INDEX($P$2:$P$21,A162)</f>
        <v>Deck 3</v>
      </c>
      <c r="L162" s="0" t="n">
        <f aca="false">IF(AND(C162&lt;&gt;"",LEFT(C162,2)&lt;&gt;"//",I162=0),1,0)</f>
        <v>0</v>
      </c>
      <c r="M162" s="0" t="str">
        <f aca="false">IF(I162=1,MAX(M$1:M161)+1,"")</f>
        <v/>
      </c>
      <c r="N162" s="0" t="str">
        <f aca="false">IFERROR(MATCH(ROW()-1,$V$2:$V$1201,0),"")</f>
        <v/>
      </c>
      <c r="R162" s="0" t="str">
        <f aca="false">IF(E162="","",IFERROR(LEFT(E162,FIND("-",E162)-1),E162))</f>
        <v/>
      </c>
      <c r="S162" s="0" t="str">
        <f aca="false">IF(R162="","",IF(ISNUMBER(--MID(R162,1,1)),0,IF(ISNUMBER(--MID(R162,2,1)),1,IF(ISNUMBER(--MID(R162,3,1)),2,IF(ISNUMBER(--MID(R162,4,1)),3,MIN(LEN(R162),4))))))</f>
        <v/>
      </c>
      <c r="T162" s="0" t="str">
        <f aca="false">IF(E162="","",LEFT(R162,S162)&amp;REPT("0",4-S162)&amp;RIGHT("000"&amp;IFERROR(VALUE(MID(R162,S162+1,9)),0),3)&amp;RIGHT("0000"&amp;IFERROR(VALUE(MID(E162,FIND("-",E162)+1,9)),0),4))</f>
        <v/>
      </c>
      <c r="U162" s="0" t="str">
        <f aca="false">IF(I162=1,"K"&amp;RIGHT("00"&amp;A162,2)&amp;T162&amp;RIGHT("00000"&amp;ROW(),5),"")</f>
        <v/>
      </c>
      <c r="V162" s="0" t="str">
        <f aca="false">IF(U162="","",COUNTIFS($I$2:$I$1201,1,$U$2:$U$1201,"&lt;"&amp;U162)+1)</f>
        <v/>
      </c>
    </row>
    <row r="163" customFormat="false" ht="15" hidden="false" customHeight="false" outlineLevel="0" collapsed="false">
      <c r="A163" s="0" t="n">
        <v>3</v>
      </c>
      <c r="B163" s="0" t="n">
        <v>42</v>
      </c>
      <c r="C163" s="0" t="str">
        <f aca="false">TRIM(SUBSTITUTE(INDEX(LISTAS!$A$4:$T$63,B163,A163)&amp;"",CHAR(160)," "))</f>
        <v/>
      </c>
      <c r="D163" s="0" t="str">
        <f aca="false">IF(C163="","",TRIM(RIGHT(SUBSTITUTE(C163," ",REPT(" ",100)),100)))</f>
        <v/>
      </c>
      <c r="E163" s="0" t="str">
        <f aca="false">IF(D163="","",UPPER(SUBSTITUTE(SUBSTITUTE(D163,"(",""),")","")))</f>
        <v/>
      </c>
      <c r="F163" s="0" t="str">
        <f aca="false">IF(C163="","",LEFT(C163,FIND(" ",C163&amp;" ")-1))</f>
        <v/>
      </c>
      <c r="G163" s="0" t="n">
        <f aca="false">IFERROR(VALUE(SUBSTITUTE(LOWER(F163),"x","")),0)</f>
        <v>0</v>
      </c>
      <c r="H163" s="0" t="str">
        <f aca="false">IF(C163="","",TRIM(MID(C163,LEN(F163)+2,999)))</f>
        <v/>
      </c>
      <c r="I163" s="0" t="n">
        <f aca="false">IF(OR(C163="",LEFT(C163,2)="//"),0,IFERROR(IF(AND(G163&gt;0,G163=INT(G163),FIND("-",E163)&gt;1,NOT(EXACT(UPPER(LEFT(E163,1)),LOWER(LEFT(E163,1)))),ISNUMBER(VALUE(MID(E163,FIND("-",E163)+1,10)))),1,0),0))</f>
        <v>0</v>
      </c>
      <c r="J163" s="0" t="str">
        <f aca="false">IF(I163=1,TRIM(LEFT(H163,MAX(0,LEN(H163)-LEN(D163)))),"")</f>
        <v/>
      </c>
      <c r="K163" s="0" t="str">
        <f aca="false">INDEX($P$2:$P$21,A163)</f>
        <v>Deck 3</v>
      </c>
      <c r="L163" s="0" t="n">
        <f aca="false">IF(AND(C163&lt;&gt;"",LEFT(C163,2)&lt;&gt;"//",I163=0),1,0)</f>
        <v>0</v>
      </c>
      <c r="M163" s="0" t="str">
        <f aca="false">IF(I163=1,MAX(M$1:M162)+1,"")</f>
        <v/>
      </c>
      <c r="N163" s="0" t="str">
        <f aca="false">IFERROR(MATCH(ROW()-1,$V$2:$V$1201,0),"")</f>
        <v/>
      </c>
      <c r="R163" s="0" t="str">
        <f aca="false">IF(E163="","",IFERROR(LEFT(E163,FIND("-",E163)-1),E163))</f>
        <v/>
      </c>
      <c r="S163" s="0" t="str">
        <f aca="false">IF(R163="","",IF(ISNUMBER(--MID(R163,1,1)),0,IF(ISNUMBER(--MID(R163,2,1)),1,IF(ISNUMBER(--MID(R163,3,1)),2,IF(ISNUMBER(--MID(R163,4,1)),3,MIN(LEN(R163),4))))))</f>
        <v/>
      </c>
      <c r="T163" s="0" t="str">
        <f aca="false">IF(E163="","",LEFT(R163,S163)&amp;REPT("0",4-S163)&amp;RIGHT("000"&amp;IFERROR(VALUE(MID(R163,S163+1,9)),0),3)&amp;RIGHT("0000"&amp;IFERROR(VALUE(MID(E163,FIND("-",E163)+1,9)),0),4))</f>
        <v/>
      </c>
      <c r="U163" s="0" t="str">
        <f aca="false">IF(I163=1,"K"&amp;RIGHT("00"&amp;A163,2)&amp;T163&amp;RIGHT("00000"&amp;ROW(),5),"")</f>
        <v/>
      </c>
      <c r="V163" s="0" t="str">
        <f aca="false">IF(U163="","",COUNTIFS($I$2:$I$1201,1,$U$2:$U$1201,"&lt;"&amp;U163)+1)</f>
        <v/>
      </c>
    </row>
    <row r="164" customFormat="false" ht="15" hidden="false" customHeight="false" outlineLevel="0" collapsed="false">
      <c r="A164" s="0" t="n">
        <v>3</v>
      </c>
      <c r="B164" s="0" t="n">
        <v>43</v>
      </c>
      <c r="C164" s="0" t="str">
        <f aca="false">TRIM(SUBSTITUTE(INDEX(LISTAS!$A$4:$T$63,B164,A164)&amp;"",CHAR(160)," "))</f>
        <v/>
      </c>
      <c r="D164" s="0" t="str">
        <f aca="false">IF(C164="","",TRIM(RIGHT(SUBSTITUTE(C164," ",REPT(" ",100)),100)))</f>
        <v/>
      </c>
      <c r="E164" s="0" t="str">
        <f aca="false">IF(D164="","",UPPER(SUBSTITUTE(SUBSTITUTE(D164,"(",""),")","")))</f>
        <v/>
      </c>
      <c r="F164" s="0" t="str">
        <f aca="false">IF(C164="","",LEFT(C164,FIND(" ",C164&amp;" ")-1))</f>
        <v/>
      </c>
      <c r="G164" s="0" t="n">
        <f aca="false">IFERROR(VALUE(SUBSTITUTE(LOWER(F164),"x","")),0)</f>
        <v>0</v>
      </c>
      <c r="H164" s="0" t="str">
        <f aca="false">IF(C164="","",TRIM(MID(C164,LEN(F164)+2,999)))</f>
        <v/>
      </c>
      <c r="I164" s="0" t="n">
        <f aca="false">IF(OR(C164="",LEFT(C164,2)="//"),0,IFERROR(IF(AND(G164&gt;0,G164=INT(G164),FIND("-",E164)&gt;1,NOT(EXACT(UPPER(LEFT(E164,1)),LOWER(LEFT(E164,1)))),ISNUMBER(VALUE(MID(E164,FIND("-",E164)+1,10)))),1,0),0))</f>
        <v>0</v>
      </c>
      <c r="J164" s="0" t="str">
        <f aca="false">IF(I164=1,TRIM(LEFT(H164,MAX(0,LEN(H164)-LEN(D164)))),"")</f>
        <v/>
      </c>
      <c r="K164" s="0" t="str">
        <f aca="false">INDEX($P$2:$P$21,A164)</f>
        <v>Deck 3</v>
      </c>
      <c r="L164" s="0" t="n">
        <f aca="false">IF(AND(C164&lt;&gt;"",LEFT(C164,2)&lt;&gt;"//",I164=0),1,0)</f>
        <v>0</v>
      </c>
      <c r="M164" s="0" t="str">
        <f aca="false">IF(I164=1,MAX(M$1:M163)+1,"")</f>
        <v/>
      </c>
      <c r="N164" s="0" t="str">
        <f aca="false">IFERROR(MATCH(ROW()-1,$V$2:$V$1201,0),"")</f>
        <v/>
      </c>
      <c r="R164" s="0" t="str">
        <f aca="false">IF(E164="","",IFERROR(LEFT(E164,FIND("-",E164)-1),E164))</f>
        <v/>
      </c>
      <c r="S164" s="0" t="str">
        <f aca="false">IF(R164="","",IF(ISNUMBER(--MID(R164,1,1)),0,IF(ISNUMBER(--MID(R164,2,1)),1,IF(ISNUMBER(--MID(R164,3,1)),2,IF(ISNUMBER(--MID(R164,4,1)),3,MIN(LEN(R164),4))))))</f>
        <v/>
      </c>
      <c r="T164" s="0" t="str">
        <f aca="false">IF(E164="","",LEFT(R164,S164)&amp;REPT("0",4-S164)&amp;RIGHT("000"&amp;IFERROR(VALUE(MID(R164,S164+1,9)),0),3)&amp;RIGHT("0000"&amp;IFERROR(VALUE(MID(E164,FIND("-",E164)+1,9)),0),4))</f>
        <v/>
      </c>
      <c r="U164" s="0" t="str">
        <f aca="false">IF(I164=1,"K"&amp;RIGHT("00"&amp;A164,2)&amp;T164&amp;RIGHT("00000"&amp;ROW(),5),"")</f>
        <v/>
      </c>
      <c r="V164" s="0" t="str">
        <f aca="false">IF(U164="","",COUNTIFS($I$2:$I$1201,1,$U$2:$U$1201,"&lt;"&amp;U164)+1)</f>
        <v/>
      </c>
    </row>
    <row r="165" customFormat="false" ht="15" hidden="false" customHeight="false" outlineLevel="0" collapsed="false">
      <c r="A165" s="0" t="n">
        <v>3</v>
      </c>
      <c r="B165" s="0" t="n">
        <v>44</v>
      </c>
      <c r="C165" s="0" t="str">
        <f aca="false">TRIM(SUBSTITUTE(INDEX(LISTAS!$A$4:$T$63,B165,A165)&amp;"",CHAR(160)," "))</f>
        <v/>
      </c>
      <c r="D165" s="0" t="str">
        <f aca="false">IF(C165="","",TRIM(RIGHT(SUBSTITUTE(C165," ",REPT(" ",100)),100)))</f>
        <v/>
      </c>
      <c r="E165" s="0" t="str">
        <f aca="false">IF(D165="","",UPPER(SUBSTITUTE(SUBSTITUTE(D165,"(",""),")","")))</f>
        <v/>
      </c>
      <c r="F165" s="0" t="str">
        <f aca="false">IF(C165="","",LEFT(C165,FIND(" ",C165&amp;" ")-1))</f>
        <v/>
      </c>
      <c r="G165" s="0" t="n">
        <f aca="false">IFERROR(VALUE(SUBSTITUTE(LOWER(F165),"x","")),0)</f>
        <v>0</v>
      </c>
      <c r="H165" s="0" t="str">
        <f aca="false">IF(C165="","",TRIM(MID(C165,LEN(F165)+2,999)))</f>
        <v/>
      </c>
      <c r="I165" s="0" t="n">
        <f aca="false">IF(OR(C165="",LEFT(C165,2)="//"),0,IFERROR(IF(AND(G165&gt;0,G165=INT(G165),FIND("-",E165)&gt;1,NOT(EXACT(UPPER(LEFT(E165,1)),LOWER(LEFT(E165,1)))),ISNUMBER(VALUE(MID(E165,FIND("-",E165)+1,10)))),1,0),0))</f>
        <v>0</v>
      </c>
      <c r="J165" s="0" t="str">
        <f aca="false">IF(I165=1,TRIM(LEFT(H165,MAX(0,LEN(H165)-LEN(D165)))),"")</f>
        <v/>
      </c>
      <c r="K165" s="0" t="str">
        <f aca="false">INDEX($P$2:$P$21,A165)</f>
        <v>Deck 3</v>
      </c>
      <c r="L165" s="0" t="n">
        <f aca="false">IF(AND(C165&lt;&gt;"",LEFT(C165,2)&lt;&gt;"//",I165=0),1,0)</f>
        <v>0</v>
      </c>
      <c r="M165" s="0" t="str">
        <f aca="false">IF(I165=1,MAX(M$1:M164)+1,"")</f>
        <v/>
      </c>
      <c r="N165" s="0" t="str">
        <f aca="false">IFERROR(MATCH(ROW()-1,$V$2:$V$1201,0),"")</f>
        <v/>
      </c>
      <c r="R165" s="0" t="str">
        <f aca="false">IF(E165="","",IFERROR(LEFT(E165,FIND("-",E165)-1),E165))</f>
        <v/>
      </c>
      <c r="S165" s="0" t="str">
        <f aca="false">IF(R165="","",IF(ISNUMBER(--MID(R165,1,1)),0,IF(ISNUMBER(--MID(R165,2,1)),1,IF(ISNUMBER(--MID(R165,3,1)),2,IF(ISNUMBER(--MID(R165,4,1)),3,MIN(LEN(R165),4))))))</f>
        <v/>
      </c>
      <c r="T165" s="0" t="str">
        <f aca="false">IF(E165="","",LEFT(R165,S165)&amp;REPT("0",4-S165)&amp;RIGHT("000"&amp;IFERROR(VALUE(MID(R165,S165+1,9)),0),3)&amp;RIGHT("0000"&amp;IFERROR(VALUE(MID(E165,FIND("-",E165)+1,9)),0),4))</f>
        <v/>
      </c>
      <c r="U165" s="0" t="str">
        <f aca="false">IF(I165=1,"K"&amp;RIGHT("00"&amp;A165,2)&amp;T165&amp;RIGHT("00000"&amp;ROW(),5),"")</f>
        <v/>
      </c>
      <c r="V165" s="0" t="str">
        <f aca="false">IF(U165="","",COUNTIFS($I$2:$I$1201,1,$U$2:$U$1201,"&lt;"&amp;U165)+1)</f>
        <v/>
      </c>
    </row>
    <row r="166" customFormat="false" ht="15" hidden="false" customHeight="false" outlineLevel="0" collapsed="false">
      <c r="A166" s="0" t="n">
        <v>3</v>
      </c>
      <c r="B166" s="0" t="n">
        <v>45</v>
      </c>
      <c r="C166" s="0" t="str">
        <f aca="false">TRIM(SUBSTITUTE(INDEX(LISTAS!$A$4:$T$63,B166,A166)&amp;"",CHAR(160)," "))</f>
        <v/>
      </c>
      <c r="D166" s="0" t="str">
        <f aca="false">IF(C166="","",TRIM(RIGHT(SUBSTITUTE(C166," ",REPT(" ",100)),100)))</f>
        <v/>
      </c>
      <c r="E166" s="0" t="str">
        <f aca="false">IF(D166="","",UPPER(SUBSTITUTE(SUBSTITUTE(D166,"(",""),")","")))</f>
        <v/>
      </c>
      <c r="F166" s="0" t="str">
        <f aca="false">IF(C166="","",LEFT(C166,FIND(" ",C166&amp;" ")-1))</f>
        <v/>
      </c>
      <c r="G166" s="0" t="n">
        <f aca="false">IFERROR(VALUE(SUBSTITUTE(LOWER(F166),"x","")),0)</f>
        <v>0</v>
      </c>
      <c r="H166" s="0" t="str">
        <f aca="false">IF(C166="","",TRIM(MID(C166,LEN(F166)+2,999)))</f>
        <v/>
      </c>
      <c r="I166" s="0" t="n">
        <f aca="false">IF(OR(C166="",LEFT(C166,2)="//"),0,IFERROR(IF(AND(G166&gt;0,G166=INT(G166),FIND("-",E166)&gt;1,NOT(EXACT(UPPER(LEFT(E166,1)),LOWER(LEFT(E166,1)))),ISNUMBER(VALUE(MID(E166,FIND("-",E166)+1,10)))),1,0),0))</f>
        <v>0</v>
      </c>
      <c r="J166" s="0" t="str">
        <f aca="false">IF(I166=1,TRIM(LEFT(H166,MAX(0,LEN(H166)-LEN(D166)))),"")</f>
        <v/>
      </c>
      <c r="K166" s="0" t="str">
        <f aca="false">INDEX($P$2:$P$21,A166)</f>
        <v>Deck 3</v>
      </c>
      <c r="L166" s="0" t="n">
        <f aca="false">IF(AND(C166&lt;&gt;"",LEFT(C166,2)&lt;&gt;"//",I166=0),1,0)</f>
        <v>0</v>
      </c>
      <c r="M166" s="0" t="str">
        <f aca="false">IF(I166=1,MAX(M$1:M165)+1,"")</f>
        <v/>
      </c>
      <c r="N166" s="0" t="str">
        <f aca="false">IFERROR(MATCH(ROW()-1,$V$2:$V$1201,0),"")</f>
        <v/>
      </c>
      <c r="R166" s="0" t="str">
        <f aca="false">IF(E166="","",IFERROR(LEFT(E166,FIND("-",E166)-1),E166))</f>
        <v/>
      </c>
      <c r="S166" s="0" t="str">
        <f aca="false">IF(R166="","",IF(ISNUMBER(--MID(R166,1,1)),0,IF(ISNUMBER(--MID(R166,2,1)),1,IF(ISNUMBER(--MID(R166,3,1)),2,IF(ISNUMBER(--MID(R166,4,1)),3,MIN(LEN(R166),4))))))</f>
        <v/>
      </c>
      <c r="T166" s="0" t="str">
        <f aca="false">IF(E166="","",LEFT(R166,S166)&amp;REPT("0",4-S166)&amp;RIGHT("000"&amp;IFERROR(VALUE(MID(R166,S166+1,9)),0),3)&amp;RIGHT("0000"&amp;IFERROR(VALUE(MID(E166,FIND("-",E166)+1,9)),0),4))</f>
        <v/>
      </c>
      <c r="U166" s="0" t="str">
        <f aca="false">IF(I166=1,"K"&amp;RIGHT("00"&amp;A166,2)&amp;T166&amp;RIGHT("00000"&amp;ROW(),5),"")</f>
        <v/>
      </c>
      <c r="V166" s="0" t="str">
        <f aca="false">IF(U166="","",COUNTIFS($I$2:$I$1201,1,$U$2:$U$1201,"&lt;"&amp;U166)+1)</f>
        <v/>
      </c>
    </row>
    <row r="167" customFormat="false" ht="15" hidden="false" customHeight="false" outlineLevel="0" collapsed="false">
      <c r="A167" s="0" t="n">
        <v>3</v>
      </c>
      <c r="B167" s="0" t="n">
        <v>46</v>
      </c>
      <c r="C167" s="0" t="str">
        <f aca="false">TRIM(SUBSTITUTE(INDEX(LISTAS!$A$4:$T$63,B167,A167)&amp;"",CHAR(160)," "))</f>
        <v/>
      </c>
      <c r="D167" s="0" t="str">
        <f aca="false">IF(C167="","",TRIM(RIGHT(SUBSTITUTE(C167," ",REPT(" ",100)),100)))</f>
        <v/>
      </c>
      <c r="E167" s="0" t="str">
        <f aca="false">IF(D167="","",UPPER(SUBSTITUTE(SUBSTITUTE(D167,"(",""),")","")))</f>
        <v/>
      </c>
      <c r="F167" s="0" t="str">
        <f aca="false">IF(C167="","",LEFT(C167,FIND(" ",C167&amp;" ")-1))</f>
        <v/>
      </c>
      <c r="G167" s="0" t="n">
        <f aca="false">IFERROR(VALUE(SUBSTITUTE(LOWER(F167),"x","")),0)</f>
        <v>0</v>
      </c>
      <c r="H167" s="0" t="str">
        <f aca="false">IF(C167="","",TRIM(MID(C167,LEN(F167)+2,999)))</f>
        <v/>
      </c>
      <c r="I167" s="0" t="n">
        <f aca="false">IF(OR(C167="",LEFT(C167,2)="//"),0,IFERROR(IF(AND(G167&gt;0,G167=INT(G167),FIND("-",E167)&gt;1,NOT(EXACT(UPPER(LEFT(E167,1)),LOWER(LEFT(E167,1)))),ISNUMBER(VALUE(MID(E167,FIND("-",E167)+1,10)))),1,0),0))</f>
        <v>0</v>
      </c>
      <c r="J167" s="0" t="str">
        <f aca="false">IF(I167=1,TRIM(LEFT(H167,MAX(0,LEN(H167)-LEN(D167)))),"")</f>
        <v/>
      </c>
      <c r="K167" s="0" t="str">
        <f aca="false">INDEX($P$2:$P$21,A167)</f>
        <v>Deck 3</v>
      </c>
      <c r="L167" s="0" t="n">
        <f aca="false">IF(AND(C167&lt;&gt;"",LEFT(C167,2)&lt;&gt;"//",I167=0),1,0)</f>
        <v>0</v>
      </c>
      <c r="M167" s="0" t="str">
        <f aca="false">IF(I167=1,MAX(M$1:M166)+1,"")</f>
        <v/>
      </c>
      <c r="N167" s="0" t="str">
        <f aca="false">IFERROR(MATCH(ROW()-1,$V$2:$V$1201,0),"")</f>
        <v/>
      </c>
      <c r="R167" s="0" t="str">
        <f aca="false">IF(E167="","",IFERROR(LEFT(E167,FIND("-",E167)-1),E167))</f>
        <v/>
      </c>
      <c r="S167" s="0" t="str">
        <f aca="false">IF(R167="","",IF(ISNUMBER(--MID(R167,1,1)),0,IF(ISNUMBER(--MID(R167,2,1)),1,IF(ISNUMBER(--MID(R167,3,1)),2,IF(ISNUMBER(--MID(R167,4,1)),3,MIN(LEN(R167),4))))))</f>
        <v/>
      </c>
      <c r="T167" s="0" t="str">
        <f aca="false">IF(E167="","",LEFT(R167,S167)&amp;REPT("0",4-S167)&amp;RIGHT("000"&amp;IFERROR(VALUE(MID(R167,S167+1,9)),0),3)&amp;RIGHT("0000"&amp;IFERROR(VALUE(MID(E167,FIND("-",E167)+1,9)),0),4))</f>
        <v/>
      </c>
      <c r="U167" s="0" t="str">
        <f aca="false">IF(I167=1,"K"&amp;RIGHT("00"&amp;A167,2)&amp;T167&amp;RIGHT("00000"&amp;ROW(),5),"")</f>
        <v/>
      </c>
      <c r="V167" s="0" t="str">
        <f aca="false">IF(U167="","",COUNTIFS($I$2:$I$1201,1,$U$2:$U$1201,"&lt;"&amp;U167)+1)</f>
        <v/>
      </c>
    </row>
    <row r="168" customFormat="false" ht="15" hidden="false" customHeight="false" outlineLevel="0" collapsed="false">
      <c r="A168" s="0" t="n">
        <v>3</v>
      </c>
      <c r="B168" s="0" t="n">
        <v>47</v>
      </c>
      <c r="C168" s="0" t="str">
        <f aca="false">TRIM(SUBSTITUTE(INDEX(LISTAS!$A$4:$T$63,B168,A168)&amp;"",CHAR(160)," "))</f>
        <v/>
      </c>
      <c r="D168" s="0" t="str">
        <f aca="false">IF(C168="","",TRIM(RIGHT(SUBSTITUTE(C168," ",REPT(" ",100)),100)))</f>
        <v/>
      </c>
      <c r="E168" s="0" t="str">
        <f aca="false">IF(D168="","",UPPER(SUBSTITUTE(SUBSTITUTE(D168,"(",""),")","")))</f>
        <v/>
      </c>
      <c r="F168" s="0" t="str">
        <f aca="false">IF(C168="","",LEFT(C168,FIND(" ",C168&amp;" ")-1))</f>
        <v/>
      </c>
      <c r="G168" s="0" t="n">
        <f aca="false">IFERROR(VALUE(SUBSTITUTE(LOWER(F168),"x","")),0)</f>
        <v>0</v>
      </c>
      <c r="H168" s="0" t="str">
        <f aca="false">IF(C168="","",TRIM(MID(C168,LEN(F168)+2,999)))</f>
        <v/>
      </c>
      <c r="I168" s="0" t="n">
        <f aca="false">IF(OR(C168="",LEFT(C168,2)="//"),0,IFERROR(IF(AND(G168&gt;0,G168=INT(G168),FIND("-",E168)&gt;1,NOT(EXACT(UPPER(LEFT(E168,1)),LOWER(LEFT(E168,1)))),ISNUMBER(VALUE(MID(E168,FIND("-",E168)+1,10)))),1,0),0))</f>
        <v>0</v>
      </c>
      <c r="J168" s="0" t="str">
        <f aca="false">IF(I168=1,TRIM(LEFT(H168,MAX(0,LEN(H168)-LEN(D168)))),"")</f>
        <v/>
      </c>
      <c r="K168" s="0" t="str">
        <f aca="false">INDEX($P$2:$P$21,A168)</f>
        <v>Deck 3</v>
      </c>
      <c r="L168" s="0" t="n">
        <f aca="false">IF(AND(C168&lt;&gt;"",LEFT(C168,2)&lt;&gt;"//",I168=0),1,0)</f>
        <v>0</v>
      </c>
      <c r="M168" s="0" t="str">
        <f aca="false">IF(I168=1,MAX(M$1:M167)+1,"")</f>
        <v/>
      </c>
      <c r="N168" s="0" t="str">
        <f aca="false">IFERROR(MATCH(ROW()-1,$V$2:$V$1201,0),"")</f>
        <v/>
      </c>
      <c r="R168" s="0" t="str">
        <f aca="false">IF(E168="","",IFERROR(LEFT(E168,FIND("-",E168)-1),E168))</f>
        <v/>
      </c>
      <c r="S168" s="0" t="str">
        <f aca="false">IF(R168="","",IF(ISNUMBER(--MID(R168,1,1)),0,IF(ISNUMBER(--MID(R168,2,1)),1,IF(ISNUMBER(--MID(R168,3,1)),2,IF(ISNUMBER(--MID(R168,4,1)),3,MIN(LEN(R168),4))))))</f>
        <v/>
      </c>
      <c r="T168" s="0" t="str">
        <f aca="false">IF(E168="","",LEFT(R168,S168)&amp;REPT("0",4-S168)&amp;RIGHT("000"&amp;IFERROR(VALUE(MID(R168,S168+1,9)),0),3)&amp;RIGHT("0000"&amp;IFERROR(VALUE(MID(E168,FIND("-",E168)+1,9)),0),4))</f>
        <v/>
      </c>
      <c r="U168" s="0" t="str">
        <f aca="false">IF(I168=1,"K"&amp;RIGHT("00"&amp;A168,2)&amp;T168&amp;RIGHT("00000"&amp;ROW(),5),"")</f>
        <v/>
      </c>
      <c r="V168" s="0" t="str">
        <f aca="false">IF(U168="","",COUNTIFS($I$2:$I$1201,1,$U$2:$U$1201,"&lt;"&amp;U168)+1)</f>
        <v/>
      </c>
    </row>
    <row r="169" customFormat="false" ht="15" hidden="false" customHeight="false" outlineLevel="0" collapsed="false">
      <c r="A169" s="0" t="n">
        <v>3</v>
      </c>
      <c r="B169" s="0" t="n">
        <v>48</v>
      </c>
      <c r="C169" s="0" t="str">
        <f aca="false">TRIM(SUBSTITUTE(INDEX(LISTAS!$A$4:$T$63,B169,A169)&amp;"",CHAR(160)," "))</f>
        <v/>
      </c>
      <c r="D169" s="0" t="str">
        <f aca="false">IF(C169="","",TRIM(RIGHT(SUBSTITUTE(C169," ",REPT(" ",100)),100)))</f>
        <v/>
      </c>
      <c r="E169" s="0" t="str">
        <f aca="false">IF(D169="","",UPPER(SUBSTITUTE(SUBSTITUTE(D169,"(",""),")","")))</f>
        <v/>
      </c>
      <c r="F169" s="0" t="str">
        <f aca="false">IF(C169="","",LEFT(C169,FIND(" ",C169&amp;" ")-1))</f>
        <v/>
      </c>
      <c r="G169" s="0" t="n">
        <f aca="false">IFERROR(VALUE(SUBSTITUTE(LOWER(F169),"x","")),0)</f>
        <v>0</v>
      </c>
      <c r="H169" s="0" t="str">
        <f aca="false">IF(C169="","",TRIM(MID(C169,LEN(F169)+2,999)))</f>
        <v/>
      </c>
      <c r="I169" s="0" t="n">
        <f aca="false">IF(OR(C169="",LEFT(C169,2)="//"),0,IFERROR(IF(AND(G169&gt;0,G169=INT(G169),FIND("-",E169)&gt;1,NOT(EXACT(UPPER(LEFT(E169,1)),LOWER(LEFT(E169,1)))),ISNUMBER(VALUE(MID(E169,FIND("-",E169)+1,10)))),1,0),0))</f>
        <v>0</v>
      </c>
      <c r="J169" s="0" t="str">
        <f aca="false">IF(I169=1,TRIM(LEFT(H169,MAX(0,LEN(H169)-LEN(D169)))),"")</f>
        <v/>
      </c>
      <c r="K169" s="0" t="str">
        <f aca="false">INDEX($P$2:$P$21,A169)</f>
        <v>Deck 3</v>
      </c>
      <c r="L169" s="0" t="n">
        <f aca="false">IF(AND(C169&lt;&gt;"",LEFT(C169,2)&lt;&gt;"//",I169=0),1,0)</f>
        <v>0</v>
      </c>
      <c r="M169" s="0" t="str">
        <f aca="false">IF(I169=1,MAX(M$1:M168)+1,"")</f>
        <v/>
      </c>
      <c r="N169" s="0" t="str">
        <f aca="false">IFERROR(MATCH(ROW()-1,$V$2:$V$1201,0),"")</f>
        <v/>
      </c>
      <c r="R169" s="0" t="str">
        <f aca="false">IF(E169="","",IFERROR(LEFT(E169,FIND("-",E169)-1),E169))</f>
        <v/>
      </c>
      <c r="S169" s="0" t="str">
        <f aca="false">IF(R169="","",IF(ISNUMBER(--MID(R169,1,1)),0,IF(ISNUMBER(--MID(R169,2,1)),1,IF(ISNUMBER(--MID(R169,3,1)),2,IF(ISNUMBER(--MID(R169,4,1)),3,MIN(LEN(R169),4))))))</f>
        <v/>
      </c>
      <c r="T169" s="0" t="str">
        <f aca="false">IF(E169="","",LEFT(R169,S169)&amp;REPT("0",4-S169)&amp;RIGHT("000"&amp;IFERROR(VALUE(MID(R169,S169+1,9)),0),3)&amp;RIGHT("0000"&amp;IFERROR(VALUE(MID(E169,FIND("-",E169)+1,9)),0),4))</f>
        <v/>
      </c>
      <c r="U169" s="0" t="str">
        <f aca="false">IF(I169=1,"K"&amp;RIGHT("00"&amp;A169,2)&amp;T169&amp;RIGHT("00000"&amp;ROW(),5),"")</f>
        <v/>
      </c>
      <c r="V169" s="0" t="str">
        <f aca="false">IF(U169="","",COUNTIFS($I$2:$I$1201,1,$U$2:$U$1201,"&lt;"&amp;U169)+1)</f>
        <v/>
      </c>
    </row>
    <row r="170" customFormat="false" ht="15" hidden="false" customHeight="false" outlineLevel="0" collapsed="false">
      <c r="A170" s="0" t="n">
        <v>3</v>
      </c>
      <c r="B170" s="0" t="n">
        <v>49</v>
      </c>
      <c r="C170" s="0" t="str">
        <f aca="false">TRIM(SUBSTITUTE(INDEX(LISTAS!$A$4:$T$63,B170,A170)&amp;"",CHAR(160)," "))</f>
        <v/>
      </c>
      <c r="D170" s="0" t="str">
        <f aca="false">IF(C170="","",TRIM(RIGHT(SUBSTITUTE(C170," ",REPT(" ",100)),100)))</f>
        <v/>
      </c>
      <c r="E170" s="0" t="str">
        <f aca="false">IF(D170="","",UPPER(SUBSTITUTE(SUBSTITUTE(D170,"(",""),")","")))</f>
        <v/>
      </c>
      <c r="F170" s="0" t="str">
        <f aca="false">IF(C170="","",LEFT(C170,FIND(" ",C170&amp;" ")-1))</f>
        <v/>
      </c>
      <c r="G170" s="0" t="n">
        <f aca="false">IFERROR(VALUE(SUBSTITUTE(LOWER(F170),"x","")),0)</f>
        <v>0</v>
      </c>
      <c r="H170" s="0" t="str">
        <f aca="false">IF(C170="","",TRIM(MID(C170,LEN(F170)+2,999)))</f>
        <v/>
      </c>
      <c r="I170" s="0" t="n">
        <f aca="false">IF(OR(C170="",LEFT(C170,2)="//"),0,IFERROR(IF(AND(G170&gt;0,G170=INT(G170),FIND("-",E170)&gt;1,NOT(EXACT(UPPER(LEFT(E170,1)),LOWER(LEFT(E170,1)))),ISNUMBER(VALUE(MID(E170,FIND("-",E170)+1,10)))),1,0),0))</f>
        <v>0</v>
      </c>
      <c r="J170" s="0" t="str">
        <f aca="false">IF(I170=1,TRIM(LEFT(H170,MAX(0,LEN(H170)-LEN(D170)))),"")</f>
        <v/>
      </c>
      <c r="K170" s="0" t="str">
        <f aca="false">INDEX($P$2:$P$21,A170)</f>
        <v>Deck 3</v>
      </c>
      <c r="L170" s="0" t="n">
        <f aca="false">IF(AND(C170&lt;&gt;"",LEFT(C170,2)&lt;&gt;"//",I170=0),1,0)</f>
        <v>0</v>
      </c>
      <c r="M170" s="0" t="str">
        <f aca="false">IF(I170=1,MAX(M$1:M169)+1,"")</f>
        <v/>
      </c>
      <c r="N170" s="0" t="str">
        <f aca="false">IFERROR(MATCH(ROW()-1,$V$2:$V$1201,0),"")</f>
        <v/>
      </c>
      <c r="R170" s="0" t="str">
        <f aca="false">IF(E170="","",IFERROR(LEFT(E170,FIND("-",E170)-1),E170))</f>
        <v/>
      </c>
      <c r="S170" s="0" t="str">
        <f aca="false">IF(R170="","",IF(ISNUMBER(--MID(R170,1,1)),0,IF(ISNUMBER(--MID(R170,2,1)),1,IF(ISNUMBER(--MID(R170,3,1)),2,IF(ISNUMBER(--MID(R170,4,1)),3,MIN(LEN(R170),4))))))</f>
        <v/>
      </c>
      <c r="T170" s="0" t="str">
        <f aca="false">IF(E170="","",LEFT(R170,S170)&amp;REPT("0",4-S170)&amp;RIGHT("000"&amp;IFERROR(VALUE(MID(R170,S170+1,9)),0),3)&amp;RIGHT("0000"&amp;IFERROR(VALUE(MID(E170,FIND("-",E170)+1,9)),0),4))</f>
        <v/>
      </c>
      <c r="U170" s="0" t="str">
        <f aca="false">IF(I170=1,"K"&amp;RIGHT("00"&amp;A170,2)&amp;T170&amp;RIGHT("00000"&amp;ROW(),5),"")</f>
        <v/>
      </c>
      <c r="V170" s="0" t="str">
        <f aca="false">IF(U170="","",COUNTIFS($I$2:$I$1201,1,$U$2:$U$1201,"&lt;"&amp;U170)+1)</f>
        <v/>
      </c>
    </row>
    <row r="171" customFormat="false" ht="15" hidden="false" customHeight="false" outlineLevel="0" collapsed="false">
      <c r="A171" s="0" t="n">
        <v>3</v>
      </c>
      <c r="B171" s="0" t="n">
        <v>50</v>
      </c>
      <c r="C171" s="0" t="str">
        <f aca="false">TRIM(SUBSTITUTE(INDEX(LISTAS!$A$4:$T$63,B171,A171)&amp;"",CHAR(160)," "))</f>
        <v/>
      </c>
      <c r="D171" s="0" t="str">
        <f aca="false">IF(C171="","",TRIM(RIGHT(SUBSTITUTE(C171," ",REPT(" ",100)),100)))</f>
        <v/>
      </c>
      <c r="E171" s="0" t="str">
        <f aca="false">IF(D171="","",UPPER(SUBSTITUTE(SUBSTITUTE(D171,"(",""),")","")))</f>
        <v/>
      </c>
      <c r="F171" s="0" t="str">
        <f aca="false">IF(C171="","",LEFT(C171,FIND(" ",C171&amp;" ")-1))</f>
        <v/>
      </c>
      <c r="G171" s="0" t="n">
        <f aca="false">IFERROR(VALUE(SUBSTITUTE(LOWER(F171),"x","")),0)</f>
        <v>0</v>
      </c>
      <c r="H171" s="0" t="str">
        <f aca="false">IF(C171="","",TRIM(MID(C171,LEN(F171)+2,999)))</f>
        <v/>
      </c>
      <c r="I171" s="0" t="n">
        <f aca="false">IF(OR(C171="",LEFT(C171,2)="//"),0,IFERROR(IF(AND(G171&gt;0,G171=INT(G171),FIND("-",E171)&gt;1,NOT(EXACT(UPPER(LEFT(E171,1)),LOWER(LEFT(E171,1)))),ISNUMBER(VALUE(MID(E171,FIND("-",E171)+1,10)))),1,0),0))</f>
        <v>0</v>
      </c>
      <c r="J171" s="0" t="str">
        <f aca="false">IF(I171=1,TRIM(LEFT(H171,MAX(0,LEN(H171)-LEN(D171)))),"")</f>
        <v/>
      </c>
      <c r="K171" s="0" t="str">
        <f aca="false">INDEX($P$2:$P$21,A171)</f>
        <v>Deck 3</v>
      </c>
      <c r="L171" s="0" t="n">
        <f aca="false">IF(AND(C171&lt;&gt;"",LEFT(C171,2)&lt;&gt;"//",I171=0),1,0)</f>
        <v>0</v>
      </c>
      <c r="M171" s="0" t="str">
        <f aca="false">IF(I171=1,MAX(M$1:M170)+1,"")</f>
        <v/>
      </c>
      <c r="N171" s="0" t="str">
        <f aca="false">IFERROR(MATCH(ROW()-1,$V$2:$V$1201,0),"")</f>
        <v/>
      </c>
      <c r="R171" s="0" t="str">
        <f aca="false">IF(E171="","",IFERROR(LEFT(E171,FIND("-",E171)-1),E171))</f>
        <v/>
      </c>
      <c r="S171" s="0" t="str">
        <f aca="false">IF(R171="","",IF(ISNUMBER(--MID(R171,1,1)),0,IF(ISNUMBER(--MID(R171,2,1)),1,IF(ISNUMBER(--MID(R171,3,1)),2,IF(ISNUMBER(--MID(R171,4,1)),3,MIN(LEN(R171),4))))))</f>
        <v/>
      </c>
      <c r="T171" s="0" t="str">
        <f aca="false">IF(E171="","",LEFT(R171,S171)&amp;REPT("0",4-S171)&amp;RIGHT("000"&amp;IFERROR(VALUE(MID(R171,S171+1,9)),0),3)&amp;RIGHT("0000"&amp;IFERROR(VALUE(MID(E171,FIND("-",E171)+1,9)),0),4))</f>
        <v/>
      </c>
      <c r="U171" s="0" t="str">
        <f aca="false">IF(I171=1,"K"&amp;RIGHT("00"&amp;A171,2)&amp;T171&amp;RIGHT("00000"&amp;ROW(),5),"")</f>
        <v/>
      </c>
      <c r="V171" s="0" t="str">
        <f aca="false">IF(U171="","",COUNTIFS($I$2:$I$1201,1,$U$2:$U$1201,"&lt;"&amp;U171)+1)</f>
        <v/>
      </c>
    </row>
    <row r="172" customFormat="false" ht="15" hidden="false" customHeight="false" outlineLevel="0" collapsed="false">
      <c r="A172" s="0" t="n">
        <v>3</v>
      </c>
      <c r="B172" s="0" t="n">
        <v>51</v>
      </c>
      <c r="C172" s="0" t="str">
        <f aca="false">TRIM(SUBSTITUTE(INDEX(LISTAS!$A$4:$T$63,B172,A172)&amp;"",CHAR(160)," "))</f>
        <v/>
      </c>
      <c r="D172" s="0" t="str">
        <f aca="false">IF(C172="","",TRIM(RIGHT(SUBSTITUTE(C172," ",REPT(" ",100)),100)))</f>
        <v/>
      </c>
      <c r="E172" s="0" t="str">
        <f aca="false">IF(D172="","",UPPER(SUBSTITUTE(SUBSTITUTE(D172,"(",""),")","")))</f>
        <v/>
      </c>
      <c r="F172" s="0" t="str">
        <f aca="false">IF(C172="","",LEFT(C172,FIND(" ",C172&amp;" ")-1))</f>
        <v/>
      </c>
      <c r="G172" s="0" t="n">
        <f aca="false">IFERROR(VALUE(SUBSTITUTE(LOWER(F172),"x","")),0)</f>
        <v>0</v>
      </c>
      <c r="H172" s="0" t="str">
        <f aca="false">IF(C172="","",TRIM(MID(C172,LEN(F172)+2,999)))</f>
        <v/>
      </c>
      <c r="I172" s="0" t="n">
        <f aca="false">IF(OR(C172="",LEFT(C172,2)="//"),0,IFERROR(IF(AND(G172&gt;0,G172=INT(G172),FIND("-",E172)&gt;1,NOT(EXACT(UPPER(LEFT(E172,1)),LOWER(LEFT(E172,1)))),ISNUMBER(VALUE(MID(E172,FIND("-",E172)+1,10)))),1,0),0))</f>
        <v>0</v>
      </c>
      <c r="J172" s="0" t="str">
        <f aca="false">IF(I172=1,TRIM(LEFT(H172,MAX(0,LEN(H172)-LEN(D172)))),"")</f>
        <v/>
      </c>
      <c r="K172" s="0" t="str">
        <f aca="false">INDEX($P$2:$P$21,A172)</f>
        <v>Deck 3</v>
      </c>
      <c r="L172" s="0" t="n">
        <f aca="false">IF(AND(C172&lt;&gt;"",LEFT(C172,2)&lt;&gt;"//",I172=0),1,0)</f>
        <v>0</v>
      </c>
      <c r="M172" s="0" t="str">
        <f aca="false">IF(I172=1,MAX(M$1:M171)+1,"")</f>
        <v/>
      </c>
      <c r="N172" s="0" t="str">
        <f aca="false">IFERROR(MATCH(ROW()-1,$V$2:$V$1201,0),"")</f>
        <v/>
      </c>
      <c r="R172" s="0" t="str">
        <f aca="false">IF(E172="","",IFERROR(LEFT(E172,FIND("-",E172)-1),E172))</f>
        <v/>
      </c>
      <c r="S172" s="0" t="str">
        <f aca="false">IF(R172="","",IF(ISNUMBER(--MID(R172,1,1)),0,IF(ISNUMBER(--MID(R172,2,1)),1,IF(ISNUMBER(--MID(R172,3,1)),2,IF(ISNUMBER(--MID(R172,4,1)),3,MIN(LEN(R172),4))))))</f>
        <v/>
      </c>
      <c r="T172" s="0" t="str">
        <f aca="false">IF(E172="","",LEFT(R172,S172)&amp;REPT("0",4-S172)&amp;RIGHT("000"&amp;IFERROR(VALUE(MID(R172,S172+1,9)),0),3)&amp;RIGHT("0000"&amp;IFERROR(VALUE(MID(E172,FIND("-",E172)+1,9)),0),4))</f>
        <v/>
      </c>
      <c r="U172" s="0" t="str">
        <f aca="false">IF(I172=1,"K"&amp;RIGHT("00"&amp;A172,2)&amp;T172&amp;RIGHT("00000"&amp;ROW(),5),"")</f>
        <v/>
      </c>
      <c r="V172" s="0" t="str">
        <f aca="false">IF(U172="","",COUNTIFS($I$2:$I$1201,1,$U$2:$U$1201,"&lt;"&amp;U172)+1)</f>
        <v/>
      </c>
    </row>
    <row r="173" customFormat="false" ht="15" hidden="false" customHeight="false" outlineLevel="0" collapsed="false">
      <c r="A173" s="0" t="n">
        <v>3</v>
      </c>
      <c r="B173" s="0" t="n">
        <v>52</v>
      </c>
      <c r="C173" s="0" t="str">
        <f aca="false">TRIM(SUBSTITUTE(INDEX(LISTAS!$A$4:$T$63,B173,A173)&amp;"",CHAR(160)," "))</f>
        <v/>
      </c>
      <c r="D173" s="0" t="str">
        <f aca="false">IF(C173="","",TRIM(RIGHT(SUBSTITUTE(C173," ",REPT(" ",100)),100)))</f>
        <v/>
      </c>
      <c r="E173" s="0" t="str">
        <f aca="false">IF(D173="","",UPPER(SUBSTITUTE(SUBSTITUTE(D173,"(",""),")","")))</f>
        <v/>
      </c>
      <c r="F173" s="0" t="str">
        <f aca="false">IF(C173="","",LEFT(C173,FIND(" ",C173&amp;" ")-1))</f>
        <v/>
      </c>
      <c r="G173" s="0" t="n">
        <f aca="false">IFERROR(VALUE(SUBSTITUTE(LOWER(F173),"x","")),0)</f>
        <v>0</v>
      </c>
      <c r="H173" s="0" t="str">
        <f aca="false">IF(C173="","",TRIM(MID(C173,LEN(F173)+2,999)))</f>
        <v/>
      </c>
      <c r="I173" s="0" t="n">
        <f aca="false">IF(OR(C173="",LEFT(C173,2)="//"),0,IFERROR(IF(AND(G173&gt;0,G173=INT(G173),FIND("-",E173)&gt;1,NOT(EXACT(UPPER(LEFT(E173,1)),LOWER(LEFT(E173,1)))),ISNUMBER(VALUE(MID(E173,FIND("-",E173)+1,10)))),1,0),0))</f>
        <v>0</v>
      </c>
      <c r="J173" s="0" t="str">
        <f aca="false">IF(I173=1,TRIM(LEFT(H173,MAX(0,LEN(H173)-LEN(D173)))),"")</f>
        <v/>
      </c>
      <c r="K173" s="0" t="str">
        <f aca="false">INDEX($P$2:$P$21,A173)</f>
        <v>Deck 3</v>
      </c>
      <c r="L173" s="0" t="n">
        <f aca="false">IF(AND(C173&lt;&gt;"",LEFT(C173,2)&lt;&gt;"//",I173=0),1,0)</f>
        <v>0</v>
      </c>
      <c r="M173" s="0" t="str">
        <f aca="false">IF(I173=1,MAX(M$1:M172)+1,"")</f>
        <v/>
      </c>
      <c r="N173" s="0" t="str">
        <f aca="false">IFERROR(MATCH(ROW()-1,$V$2:$V$1201,0),"")</f>
        <v/>
      </c>
      <c r="R173" s="0" t="str">
        <f aca="false">IF(E173="","",IFERROR(LEFT(E173,FIND("-",E173)-1),E173))</f>
        <v/>
      </c>
      <c r="S173" s="0" t="str">
        <f aca="false">IF(R173="","",IF(ISNUMBER(--MID(R173,1,1)),0,IF(ISNUMBER(--MID(R173,2,1)),1,IF(ISNUMBER(--MID(R173,3,1)),2,IF(ISNUMBER(--MID(R173,4,1)),3,MIN(LEN(R173),4))))))</f>
        <v/>
      </c>
      <c r="T173" s="0" t="str">
        <f aca="false">IF(E173="","",LEFT(R173,S173)&amp;REPT("0",4-S173)&amp;RIGHT("000"&amp;IFERROR(VALUE(MID(R173,S173+1,9)),0),3)&amp;RIGHT("0000"&amp;IFERROR(VALUE(MID(E173,FIND("-",E173)+1,9)),0),4))</f>
        <v/>
      </c>
      <c r="U173" s="0" t="str">
        <f aca="false">IF(I173=1,"K"&amp;RIGHT("00"&amp;A173,2)&amp;T173&amp;RIGHT("00000"&amp;ROW(),5),"")</f>
        <v/>
      </c>
      <c r="V173" s="0" t="str">
        <f aca="false">IF(U173="","",COUNTIFS($I$2:$I$1201,1,$U$2:$U$1201,"&lt;"&amp;U173)+1)</f>
        <v/>
      </c>
    </row>
    <row r="174" customFormat="false" ht="15" hidden="false" customHeight="false" outlineLevel="0" collapsed="false">
      <c r="A174" s="0" t="n">
        <v>3</v>
      </c>
      <c r="B174" s="0" t="n">
        <v>53</v>
      </c>
      <c r="C174" s="0" t="str">
        <f aca="false">TRIM(SUBSTITUTE(INDEX(LISTAS!$A$4:$T$63,B174,A174)&amp;"",CHAR(160)," "))</f>
        <v/>
      </c>
      <c r="D174" s="0" t="str">
        <f aca="false">IF(C174="","",TRIM(RIGHT(SUBSTITUTE(C174," ",REPT(" ",100)),100)))</f>
        <v/>
      </c>
      <c r="E174" s="0" t="str">
        <f aca="false">IF(D174="","",UPPER(SUBSTITUTE(SUBSTITUTE(D174,"(",""),")","")))</f>
        <v/>
      </c>
      <c r="F174" s="0" t="str">
        <f aca="false">IF(C174="","",LEFT(C174,FIND(" ",C174&amp;" ")-1))</f>
        <v/>
      </c>
      <c r="G174" s="0" t="n">
        <f aca="false">IFERROR(VALUE(SUBSTITUTE(LOWER(F174),"x","")),0)</f>
        <v>0</v>
      </c>
      <c r="H174" s="0" t="str">
        <f aca="false">IF(C174="","",TRIM(MID(C174,LEN(F174)+2,999)))</f>
        <v/>
      </c>
      <c r="I174" s="0" t="n">
        <f aca="false">IF(OR(C174="",LEFT(C174,2)="//"),0,IFERROR(IF(AND(G174&gt;0,G174=INT(G174),FIND("-",E174)&gt;1,NOT(EXACT(UPPER(LEFT(E174,1)),LOWER(LEFT(E174,1)))),ISNUMBER(VALUE(MID(E174,FIND("-",E174)+1,10)))),1,0),0))</f>
        <v>0</v>
      </c>
      <c r="J174" s="0" t="str">
        <f aca="false">IF(I174=1,TRIM(LEFT(H174,MAX(0,LEN(H174)-LEN(D174)))),"")</f>
        <v/>
      </c>
      <c r="K174" s="0" t="str">
        <f aca="false">INDEX($P$2:$P$21,A174)</f>
        <v>Deck 3</v>
      </c>
      <c r="L174" s="0" t="n">
        <f aca="false">IF(AND(C174&lt;&gt;"",LEFT(C174,2)&lt;&gt;"//",I174=0),1,0)</f>
        <v>0</v>
      </c>
      <c r="M174" s="0" t="str">
        <f aca="false">IF(I174=1,MAX(M$1:M173)+1,"")</f>
        <v/>
      </c>
      <c r="N174" s="0" t="str">
        <f aca="false">IFERROR(MATCH(ROW()-1,$V$2:$V$1201,0),"")</f>
        <v/>
      </c>
      <c r="R174" s="0" t="str">
        <f aca="false">IF(E174="","",IFERROR(LEFT(E174,FIND("-",E174)-1),E174))</f>
        <v/>
      </c>
      <c r="S174" s="0" t="str">
        <f aca="false">IF(R174="","",IF(ISNUMBER(--MID(R174,1,1)),0,IF(ISNUMBER(--MID(R174,2,1)),1,IF(ISNUMBER(--MID(R174,3,1)),2,IF(ISNUMBER(--MID(R174,4,1)),3,MIN(LEN(R174),4))))))</f>
        <v/>
      </c>
      <c r="T174" s="0" t="str">
        <f aca="false">IF(E174="","",LEFT(R174,S174)&amp;REPT("0",4-S174)&amp;RIGHT("000"&amp;IFERROR(VALUE(MID(R174,S174+1,9)),0),3)&amp;RIGHT("0000"&amp;IFERROR(VALUE(MID(E174,FIND("-",E174)+1,9)),0),4))</f>
        <v/>
      </c>
      <c r="U174" s="0" t="str">
        <f aca="false">IF(I174=1,"K"&amp;RIGHT("00"&amp;A174,2)&amp;T174&amp;RIGHT("00000"&amp;ROW(),5),"")</f>
        <v/>
      </c>
      <c r="V174" s="0" t="str">
        <f aca="false">IF(U174="","",COUNTIFS($I$2:$I$1201,1,$U$2:$U$1201,"&lt;"&amp;U174)+1)</f>
        <v/>
      </c>
    </row>
    <row r="175" customFormat="false" ht="15" hidden="false" customHeight="false" outlineLevel="0" collapsed="false">
      <c r="A175" s="0" t="n">
        <v>3</v>
      </c>
      <c r="B175" s="0" t="n">
        <v>54</v>
      </c>
      <c r="C175" s="0" t="str">
        <f aca="false">TRIM(SUBSTITUTE(INDEX(LISTAS!$A$4:$T$63,B175,A175)&amp;"",CHAR(160)," "))</f>
        <v/>
      </c>
      <c r="D175" s="0" t="str">
        <f aca="false">IF(C175="","",TRIM(RIGHT(SUBSTITUTE(C175," ",REPT(" ",100)),100)))</f>
        <v/>
      </c>
      <c r="E175" s="0" t="str">
        <f aca="false">IF(D175="","",UPPER(SUBSTITUTE(SUBSTITUTE(D175,"(",""),")","")))</f>
        <v/>
      </c>
      <c r="F175" s="0" t="str">
        <f aca="false">IF(C175="","",LEFT(C175,FIND(" ",C175&amp;" ")-1))</f>
        <v/>
      </c>
      <c r="G175" s="0" t="n">
        <f aca="false">IFERROR(VALUE(SUBSTITUTE(LOWER(F175),"x","")),0)</f>
        <v>0</v>
      </c>
      <c r="H175" s="0" t="str">
        <f aca="false">IF(C175="","",TRIM(MID(C175,LEN(F175)+2,999)))</f>
        <v/>
      </c>
      <c r="I175" s="0" t="n">
        <f aca="false">IF(OR(C175="",LEFT(C175,2)="//"),0,IFERROR(IF(AND(G175&gt;0,G175=INT(G175),FIND("-",E175)&gt;1,NOT(EXACT(UPPER(LEFT(E175,1)),LOWER(LEFT(E175,1)))),ISNUMBER(VALUE(MID(E175,FIND("-",E175)+1,10)))),1,0),0))</f>
        <v>0</v>
      </c>
      <c r="J175" s="0" t="str">
        <f aca="false">IF(I175=1,TRIM(LEFT(H175,MAX(0,LEN(H175)-LEN(D175)))),"")</f>
        <v/>
      </c>
      <c r="K175" s="0" t="str">
        <f aca="false">INDEX($P$2:$P$21,A175)</f>
        <v>Deck 3</v>
      </c>
      <c r="L175" s="0" t="n">
        <f aca="false">IF(AND(C175&lt;&gt;"",LEFT(C175,2)&lt;&gt;"//",I175=0),1,0)</f>
        <v>0</v>
      </c>
      <c r="M175" s="0" t="str">
        <f aca="false">IF(I175=1,MAX(M$1:M174)+1,"")</f>
        <v/>
      </c>
      <c r="N175" s="0" t="str">
        <f aca="false">IFERROR(MATCH(ROW()-1,$V$2:$V$1201,0),"")</f>
        <v/>
      </c>
      <c r="R175" s="0" t="str">
        <f aca="false">IF(E175="","",IFERROR(LEFT(E175,FIND("-",E175)-1),E175))</f>
        <v/>
      </c>
      <c r="S175" s="0" t="str">
        <f aca="false">IF(R175="","",IF(ISNUMBER(--MID(R175,1,1)),0,IF(ISNUMBER(--MID(R175,2,1)),1,IF(ISNUMBER(--MID(R175,3,1)),2,IF(ISNUMBER(--MID(R175,4,1)),3,MIN(LEN(R175),4))))))</f>
        <v/>
      </c>
      <c r="T175" s="0" t="str">
        <f aca="false">IF(E175="","",LEFT(R175,S175)&amp;REPT("0",4-S175)&amp;RIGHT("000"&amp;IFERROR(VALUE(MID(R175,S175+1,9)),0),3)&amp;RIGHT("0000"&amp;IFERROR(VALUE(MID(E175,FIND("-",E175)+1,9)),0),4))</f>
        <v/>
      </c>
      <c r="U175" s="0" t="str">
        <f aca="false">IF(I175=1,"K"&amp;RIGHT("00"&amp;A175,2)&amp;T175&amp;RIGHT("00000"&amp;ROW(),5),"")</f>
        <v/>
      </c>
      <c r="V175" s="0" t="str">
        <f aca="false">IF(U175="","",COUNTIFS($I$2:$I$1201,1,$U$2:$U$1201,"&lt;"&amp;U175)+1)</f>
        <v/>
      </c>
    </row>
    <row r="176" customFormat="false" ht="15" hidden="false" customHeight="false" outlineLevel="0" collapsed="false">
      <c r="A176" s="0" t="n">
        <v>3</v>
      </c>
      <c r="B176" s="0" t="n">
        <v>55</v>
      </c>
      <c r="C176" s="0" t="str">
        <f aca="false">TRIM(SUBSTITUTE(INDEX(LISTAS!$A$4:$T$63,B176,A176)&amp;"",CHAR(160)," "))</f>
        <v/>
      </c>
      <c r="D176" s="0" t="str">
        <f aca="false">IF(C176="","",TRIM(RIGHT(SUBSTITUTE(C176," ",REPT(" ",100)),100)))</f>
        <v/>
      </c>
      <c r="E176" s="0" t="str">
        <f aca="false">IF(D176="","",UPPER(SUBSTITUTE(SUBSTITUTE(D176,"(",""),")","")))</f>
        <v/>
      </c>
      <c r="F176" s="0" t="str">
        <f aca="false">IF(C176="","",LEFT(C176,FIND(" ",C176&amp;" ")-1))</f>
        <v/>
      </c>
      <c r="G176" s="0" t="n">
        <f aca="false">IFERROR(VALUE(SUBSTITUTE(LOWER(F176),"x","")),0)</f>
        <v>0</v>
      </c>
      <c r="H176" s="0" t="str">
        <f aca="false">IF(C176="","",TRIM(MID(C176,LEN(F176)+2,999)))</f>
        <v/>
      </c>
      <c r="I176" s="0" t="n">
        <f aca="false">IF(OR(C176="",LEFT(C176,2)="//"),0,IFERROR(IF(AND(G176&gt;0,G176=INT(G176),FIND("-",E176)&gt;1,NOT(EXACT(UPPER(LEFT(E176,1)),LOWER(LEFT(E176,1)))),ISNUMBER(VALUE(MID(E176,FIND("-",E176)+1,10)))),1,0),0))</f>
        <v>0</v>
      </c>
      <c r="J176" s="0" t="str">
        <f aca="false">IF(I176=1,TRIM(LEFT(H176,MAX(0,LEN(H176)-LEN(D176)))),"")</f>
        <v/>
      </c>
      <c r="K176" s="0" t="str">
        <f aca="false">INDEX($P$2:$P$21,A176)</f>
        <v>Deck 3</v>
      </c>
      <c r="L176" s="0" t="n">
        <f aca="false">IF(AND(C176&lt;&gt;"",LEFT(C176,2)&lt;&gt;"//",I176=0),1,0)</f>
        <v>0</v>
      </c>
      <c r="M176" s="0" t="str">
        <f aca="false">IF(I176=1,MAX(M$1:M175)+1,"")</f>
        <v/>
      </c>
      <c r="N176" s="0" t="str">
        <f aca="false">IFERROR(MATCH(ROW()-1,$V$2:$V$1201,0),"")</f>
        <v/>
      </c>
      <c r="R176" s="0" t="str">
        <f aca="false">IF(E176="","",IFERROR(LEFT(E176,FIND("-",E176)-1),E176))</f>
        <v/>
      </c>
      <c r="S176" s="0" t="str">
        <f aca="false">IF(R176="","",IF(ISNUMBER(--MID(R176,1,1)),0,IF(ISNUMBER(--MID(R176,2,1)),1,IF(ISNUMBER(--MID(R176,3,1)),2,IF(ISNUMBER(--MID(R176,4,1)),3,MIN(LEN(R176),4))))))</f>
        <v/>
      </c>
      <c r="T176" s="0" t="str">
        <f aca="false">IF(E176="","",LEFT(R176,S176)&amp;REPT("0",4-S176)&amp;RIGHT("000"&amp;IFERROR(VALUE(MID(R176,S176+1,9)),0),3)&amp;RIGHT("0000"&amp;IFERROR(VALUE(MID(E176,FIND("-",E176)+1,9)),0),4))</f>
        <v/>
      </c>
      <c r="U176" s="0" t="str">
        <f aca="false">IF(I176=1,"K"&amp;RIGHT("00"&amp;A176,2)&amp;T176&amp;RIGHT("00000"&amp;ROW(),5),"")</f>
        <v/>
      </c>
      <c r="V176" s="0" t="str">
        <f aca="false">IF(U176="","",COUNTIFS($I$2:$I$1201,1,$U$2:$U$1201,"&lt;"&amp;U176)+1)</f>
        <v/>
      </c>
    </row>
    <row r="177" customFormat="false" ht="15" hidden="false" customHeight="false" outlineLevel="0" collapsed="false">
      <c r="A177" s="0" t="n">
        <v>3</v>
      </c>
      <c r="B177" s="0" t="n">
        <v>56</v>
      </c>
      <c r="C177" s="0" t="str">
        <f aca="false">TRIM(SUBSTITUTE(INDEX(LISTAS!$A$4:$T$63,B177,A177)&amp;"",CHAR(160)," "))</f>
        <v/>
      </c>
      <c r="D177" s="0" t="str">
        <f aca="false">IF(C177="","",TRIM(RIGHT(SUBSTITUTE(C177," ",REPT(" ",100)),100)))</f>
        <v/>
      </c>
      <c r="E177" s="0" t="str">
        <f aca="false">IF(D177="","",UPPER(SUBSTITUTE(SUBSTITUTE(D177,"(",""),")","")))</f>
        <v/>
      </c>
      <c r="F177" s="0" t="str">
        <f aca="false">IF(C177="","",LEFT(C177,FIND(" ",C177&amp;" ")-1))</f>
        <v/>
      </c>
      <c r="G177" s="0" t="n">
        <f aca="false">IFERROR(VALUE(SUBSTITUTE(LOWER(F177),"x","")),0)</f>
        <v>0</v>
      </c>
      <c r="H177" s="0" t="str">
        <f aca="false">IF(C177="","",TRIM(MID(C177,LEN(F177)+2,999)))</f>
        <v/>
      </c>
      <c r="I177" s="0" t="n">
        <f aca="false">IF(OR(C177="",LEFT(C177,2)="//"),0,IFERROR(IF(AND(G177&gt;0,G177=INT(G177),FIND("-",E177)&gt;1,NOT(EXACT(UPPER(LEFT(E177,1)),LOWER(LEFT(E177,1)))),ISNUMBER(VALUE(MID(E177,FIND("-",E177)+1,10)))),1,0),0))</f>
        <v>0</v>
      </c>
      <c r="J177" s="0" t="str">
        <f aca="false">IF(I177=1,TRIM(LEFT(H177,MAX(0,LEN(H177)-LEN(D177)))),"")</f>
        <v/>
      </c>
      <c r="K177" s="0" t="str">
        <f aca="false">INDEX($P$2:$P$21,A177)</f>
        <v>Deck 3</v>
      </c>
      <c r="L177" s="0" t="n">
        <f aca="false">IF(AND(C177&lt;&gt;"",LEFT(C177,2)&lt;&gt;"//",I177=0),1,0)</f>
        <v>0</v>
      </c>
      <c r="M177" s="0" t="str">
        <f aca="false">IF(I177=1,MAX(M$1:M176)+1,"")</f>
        <v/>
      </c>
      <c r="N177" s="0" t="str">
        <f aca="false">IFERROR(MATCH(ROW()-1,$V$2:$V$1201,0),"")</f>
        <v/>
      </c>
      <c r="R177" s="0" t="str">
        <f aca="false">IF(E177="","",IFERROR(LEFT(E177,FIND("-",E177)-1),E177))</f>
        <v/>
      </c>
      <c r="S177" s="0" t="str">
        <f aca="false">IF(R177="","",IF(ISNUMBER(--MID(R177,1,1)),0,IF(ISNUMBER(--MID(R177,2,1)),1,IF(ISNUMBER(--MID(R177,3,1)),2,IF(ISNUMBER(--MID(R177,4,1)),3,MIN(LEN(R177),4))))))</f>
        <v/>
      </c>
      <c r="T177" s="0" t="str">
        <f aca="false">IF(E177="","",LEFT(R177,S177)&amp;REPT("0",4-S177)&amp;RIGHT("000"&amp;IFERROR(VALUE(MID(R177,S177+1,9)),0),3)&amp;RIGHT("0000"&amp;IFERROR(VALUE(MID(E177,FIND("-",E177)+1,9)),0),4))</f>
        <v/>
      </c>
      <c r="U177" s="0" t="str">
        <f aca="false">IF(I177=1,"K"&amp;RIGHT("00"&amp;A177,2)&amp;T177&amp;RIGHT("00000"&amp;ROW(),5),"")</f>
        <v/>
      </c>
      <c r="V177" s="0" t="str">
        <f aca="false">IF(U177="","",COUNTIFS($I$2:$I$1201,1,$U$2:$U$1201,"&lt;"&amp;U177)+1)</f>
        <v/>
      </c>
    </row>
    <row r="178" customFormat="false" ht="15" hidden="false" customHeight="false" outlineLevel="0" collapsed="false">
      <c r="A178" s="0" t="n">
        <v>3</v>
      </c>
      <c r="B178" s="0" t="n">
        <v>57</v>
      </c>
      <c r="C178" s="0" t="str">
        <f aca="false">TRIM(SUBSTITUTE(INDEX(LISTAS!$A$4:$T$63,B178,A178)&amp;"",CHAR(160)," "))</f>
        <v/>
      </c>
      <c r="D178" s="0" t="str">
        <f aca="false">IF(C178="","",TRIM(RIGHT(SUBSTITUTE(C178," ",REPT(" ",100)),100)))</f>
        <v/>
      </c>
      <c r="E178" s="0" t="str">
        <f aca="false">IF(D178="","",UPPER(SUBSTITUTE(SUBSTITUTE(D178,"(",""),")","")))</f>
        <v/>
      </c>
      <c r="F178" s="0" t="str">
        <f aca="false">IF(C178="","",LEFT(C178,FIND(" ",C178&amp;" ")-1))</f>
        <v/>
      </c>
      <c r="G178" s="0" t="n">
        <f aca="false">IFERROR(VALUE(SUBSTITUTE(LOWER(F178),"x","")),0)</f>
        <v>0</v>
      </c>
      <c r="H178" s="0" t="str">
        <f aca="false">IF(C178="","",TRIM(MID(C178,LEN(F178)+2,999)))</f>
        <v/>
      </c>
      <c r="I178" s="0" t="n">
        <f aca="false">IF(OR(C178="",LEFT(C178,2)="//"),0,IFERROR(IF(AND(G178&gt;0,G178=INT(G178),FIND("-",E178)&gt;1,NOT(EXACT(UPPER(LEFT(E178,1)),LOWER(LEFT(E178,1)))),ISNUMBER(VALUE(MID(E178,FIND("-",E178)+1,10)))),1,0),0))</f>
        <v>0</v>
      </c>
      <c r="J178" s="0" t="str">
        <f aca="false">IF(I178=1,TRIM(LEFT(H178,MAX(0,LEN(H178)-LEN(D178)))),"")</f>
        <v/>
      </c>
      <c r="K178" s="0" t="str">
        <f aca="false">INDEX($P$2:$P$21,A178)</f>
        <v>Deck 3</v>
      </c>
      <c r="L178" s="0" t="n">
        <f aca="false">IF(AND(C178&lt;&gt;"",LEFT(C178,2)&lt;&gt;"//",I178=0),1,0)</f>
        <v>0</v>
      </c>
      <c r="M178" s="0" t="str">
        <f aca="false">IF(I178=1,MAX(M$1:M177)+1,"")</f>
        <v/>
      </c>
      <c r="N178" s="0" t="str">
        <f aca="false">IFERROR(MATCH(ROW()-1,$V$2:$V$1201,0),"")</f>
        <v/>
      </c>
      <c r="R178" s="0" t="str">
        <f aca="false">IF(E178="","",IFERROR(LEFT(E178,FIND("-",E178)-1),E178))</f>
        <v/>
      </c>
      <c r="S178" s="0" t="str">
        <f aca="false">IF(R178="","",IF(ISNUMBER(--MID(R178,1,1)),0,IF(ISNUMBER(--MID(R178,2,1)),1,IF(ISNUMBER(--MID(R178,3,1)),2,IF(ISNUMBER(--MID(R178,4,1)),3,MIN(LEN(R178),4))))))</f>
        <v/>
      </c>
      <c r="T178" s="0" t="str">
        <f aca="false">IF(E178="","",LEFT(R178,S178)&amp;REPT("0",4-S178)&amp;RIGHT("000"&amp;IFERROR(VALUE(MID(R178,S178+1,9)),0),3)&amp;RIGHT("0000"&amp;IFERROR(VALUE(MID(E178,FIND("-",E178)+1,9)),0),4))</f>
        <v/>
      </c>
      <c r="U178" s="0" t="str">
        <f aca="false">IF(I178=1,"K"&amp;RIGHT("00"&amp;A178,2)&amp;T178&amp;RIGHT("00000"&amp;ROW(),5),"")</f>
        <v/>
      </c>
      <c r="V178" s="0" t="str">
        <f aca="false">IF(U178="","",COUNTIFS($I$2:$I$1201,1,$U$2:$U$1201,"&lt;"&amp;U178)+1)</f>
        <v/>
      </c>
    </row>
    <row r="179" customFormat="false" ht="15" hidden="false" customHeight="false" outlineLevel="0" collapsed="false">
      <c r="A179" s="0" t="n">
        <v>3</v>
      </c>
      <c r="B179" s="0" t="n">
        <v>58</v>
      </c>
      <c r="C179" s="0" t="str">
        <f aca="false">TRIM(SUBSTITUTE(INDEX(LISTAS!$A$4:$T$63,B179,A179)&amp;"",CHAR(160)," "))</f>
        <v/>
      </c>
      <c r="D179" s="0" t="str">
        <f aca="false">IF(C179="","",TRIM(RIGHT(SUBSTITUTE(C179," ",REPT(" ",100)),100)))</f>
        <v/>
      </c>
      <c r="E179" s="0" t="str">
        <f aca="false">IF(D179="","",UPPER(SUBSTITUTE(SUBSTITUTE(D179,"(",""),")","")))</f>
        <v/>
      </c>
      <c r="F179" s="0" t="str">
        <f aca="false">IF(C179="","",LEFT(C179,FIND(" ",C179&amp;" ")-1))</f>
        <v/>
      </c>
      <c r="G179" s="0" t="n">
        <f aca="false">IFERROR(VALUE(SUBSTITUTE(LOWER(F179),"x","")),0)</f>
        <v>0</v>
      </c>
      <c r="H179" s="0" t="str">
        <f aca="false">IF(C179="","",TRIM(MID(C179,LEN(F179)+2,999)))</f>
        <v/>
      </c>
      <c r="I179" s="0" t="n">
        <f aca="false">IF(OR(C179="",LEFT(C179,2)="//"),0,IFERROR(IF(AND(G179&gt;0,G179=INT(G179),FIND("-",E179)&gt;1,NOT(EXACT(UPPER(LEFT(E179,1)),LOWER(LEFT(E179,1)))),ISNUMBER(VALUE(MID(E179,FIND("-",E179)+1,10)))),1,0),0))</f>
        <v>0</v>
      </c>
      <c r="J179" s="0" t="str">
        <f aca="false">IF(I179=1,TRIM(LEFT(H179,MAX(0,LEN(H179)-LEN(D179)))),"")</f>
        <v/>
      </c>
      <c r="K179" s="0" t="str">
        <f aca="false">INDEX($P$2:$P$21,A179)</f>
        <v>Deck 3</v>
      </c>
      <c r="L179" s="0" t="n">
        <f aca="false">IF(AND(C179&lt;&gt;"",LEFT(C179,2)&lt;&gt;"//",I179=0),1,0)</f>
        <v>0</v>
      </c>
      <c r="M179" s="0" t="str">
        <f aca="false">IF(I179=1,MAX(M$1:M178)+1,"")</f>
        <v/>
      </c>
      <c r="N179" s="0" t="str">
        <f aca="false">IFERROR(MATCH(ROW()-1,$V$2:$V$1201,0),"")</f>
        <v/>
      </c>
      <c r="R179" s="0" t="str">
        <f aca="false">IF(E179="","",IFERROR(LEFT(E179,FIND("-",E179)-1),E179))</f>
        <v/>
      </c>
      <c r="S179" s="0" t="str">
        <f aca="false">IF(R179="","",IF(ISNUMBER(--MID(R179,1,1)),0,IF(ISNUMBER(--MID(R179,2,1)),1,IF(ISNUMBER(--MID(R179,3,1)),2,IF(ISNUMBER(--MID(R179,4,1)),3,MIN(LEN(R179),4))))))</f>
        <v/>
      </c>
      <c r="T179" s="0" t="str">
        <f aca="false">IF(E179="","",LEFT(R179,S179)&amp;REPT("0",4-S179)&amp;RIGHT("000"&amp;IFERROR(VALUE(MID(R179,S179+1,9)),0),3)&amp;RIGHT("0000"&amp;IFERROR(VALUE(MID(E179,FIND("-",E179)+1,9)),0),4))</f>
        <v/>
      </c>
      <c r="U179" s="0" t="str">
        <f aca="false">IF(I179=1,"K"&amp;RIGHT("00"&amp;A179,2)&amp;T179&amp;RIGHT("00000"&amp;ROW(),5),"")</f>
        <v/>
      </c>
      <c r="V179" s="0" t="str">
        <f aca="false">IF(U179="","",COUNTIFS($I$2:$I$1201,1,$U$2:$U$1201,"&lt;"&amp;U179)+1)</f>
        <v/>
      </c>
    </row>
    <row r="180" customFormat="false" ht="15" hidden="false" customHeight="false" outlineLevel="0" collapsed="false">
      <c r="A180" s="0" t="n">
        <v>3</v>
      </c>
      <c r="B180" s="0" t="n">
        <v>59</v>
      </c>
      <c r="C180" s="0" t="str">
        <f aca="false">TRIM(SUBSTITUTE(INDEX(LISTAS!$A$4:$T$63,B180,A180)&amp;"",CHAR(160)," "))</f>
        <v/>
      </c>
      <c r="D180" s="0" t="str">
        <f aca="false">IF(C180="","",TRIM(RIGHT(SUBSTITUTE(C180," ",REPT(" ",100)),100)))</f>
        <v/>
      </c>
      <c r="E180" s="0" t="str">
        <f aca="false">IF(D180="","",UPPER(SUBSTITUTE(SUBSTITUTE(D180,"(",""),")","")))</f>
        <v/>
      </c>
      <c r="F180" s="0" t="str">
        <f aca="false">IF(C180="","",LEFT(C180,FIND(" ",C180&amp;" ")-1))</f>
        <v/>
      </c>
      <c r="G180" s="0" t="n">
        <f aca="false">IFERROR(VALUE(SUBSTITUTE(LOWER(F180),"x","")),0)</f>
        <v>0</v>
      </c>
      <c r="H180" s="0" t="str">
        <f aca="false">IF(C180="","",TRIM(MID(C180,LEN(F180)+2,999)))</f>
        <v/>
      </c>
      <c r="I180" s="0" t="n">
        <f aca="false">IF(OR(C180="",LEFT(C180,2)="//"),0,IFERROR(IF(AND(G180&gt;0,G180=INT(G180),FIND("-",E180)&gt;1,NOT(EXACT(UPPER(LEFT(E180,1)),LOWER(LEFT(E180,1)))),ISNUMBER(VALUE(MID(E180,FIND("-",E180)+1,10)))),1,0),0))</f>
        <v>0</v>
      </c>
      <c r="J180" s="0" t="str">
        <f aca="false">IF(I180=1,TRIM(LEFT(H180,MAX(0,LEN(H180)-LEN(D180)))),"")</f>
        <v/>
      </c>
      <c r="K180" s="0" t="str">
        <f aca="false">INDEX($P$2:$P$21,A180)</f>
        <v>Deck 3</v>
      </c>
      <c r="L180" s="0" t="n">
        <f aca="false">IF(AND(C180&lt;&gt;"",LEFT(C180,2)&lt;&gt;"//",I180=0),1,0)</f>
        <v>0</v>
      </c>
      <c r="M180" s="0" t="str">
        <f aca="false">IF(I180=1,MAX(M$1:M179)+1,"")</f>
        <v/>
      </c>
      <c r="N180" s="0" t="str">
        <f aca="false">IFERROR(MATCH(ROW()-1,$V$2:$V$1201,0),"")</f>
        <v/>
      </c>
      <c r="R180" s="0" t="str">
        <f aca="false">IF(E180="","",IFERROR(LEFT(E180,FIND("-",E180)-1),E180))</f>
        <v/>
      </c>
      <c r="S180" s="0" t="str">
        <f aca="false">IF(R180="","",IF(ISNUMBER(--MID(R180,1,1)),0,IF(ISNUMBER(--MID(R180,2,1)),1,IF(ISNUMBER(--MID(R180,3,1)),2,IF(ISNUMBER(--MID(R180,4,1)),3,MIN(LEN(R180),4))))))</f>
        <v/>
      </c>
      <c r="T180" s="0" t="str">
        <f aca="false">IF(E180="","",LEFT(R180,S180)&amp;REPT("0",4-S180)&amp;RIGHT("000"&amp;IFERROR(VALUE(MID(R180,S180+1,9)),0),3)&amp;RIGHT("0000"&amp;IFERROR(VALUE(MID(E180,FIND("-",E180)+1,9)),0),4))</f>
        <v/>
      </c>
      <c r="U180" s="0" t="str">
        <f aca="false">IF(I180=1,"K"&amp;RIGHT("00"&amp;A180,2)&amp;T180&amp;RIGHT("00000"&amp;ROW(),5),"")</f>
        <v/>
      </c>
      <c r="V180" s="0" t="str">
        <f aca="false">IF(U180="","",COUNTIFS($I$2:$I$1201,1,$U$2:$U$1201,"&lt;"&amp;U180)+1)</f>
        <v/>
      </c>
    </row>
    <row r="181" customFormat="false" ht="15" hidden="false" customHeight="false" outlineLevel="0" collapsed="false">
      <c r="A181" s="0" t="n">
        <v>3</v>
      </c>
      <c r="B181" s="0" t="n">
        <v>60</v>
      </c>
      <c r="C181" s="0" t="str">
        <f aca="false">TRIM(SUBSTITUTE(INDEX(LISTAS!$A$4:$T$63,B181,A181)&amp;"",CHAR(160)," "))</f>
        <v/>
      </c>
      <c r="D181" s="0" t="str">
        <f aca="false">IF(C181="","",TRIM(RIGHT(SUBSTITUTE(C181," ",REPT(" ",100)),100)))</f>
        <v/>
      </c>
      <c r="E181" s="0" t="str">
        <f aca="false">IF(D181="","",UPPER(SUBSTITUTE(SUBSTITUTE(D181,"(",""),")","")))</f>
        <v/>
      </c>
      <c r="F181" s="0" t="str">
        <f aca="false">IF(C181="","",LEFT(C181,FIND(" ",C181&amp;" ")-1))</f>
        <v/>
      </c>
      <c r="G181" s="0" t="n">
        <f aca="false">IFERROR(VALUE(SUBSTITUTE(LOWER(F181),"x","")),0)</f>
        <v>0</v>
      </c>
      <c r="H181" s="0" t="str">
        <f aca="false">IF(C181="","",TRIM(MID(C181,LEN(F181)+2,999)))</f>
        <v/>
      </c>
      <c r="I181" s="0" t="n">
        <f aca="false">IF(OR(C181="",LEFT(C181,2)="//"),0,IFERROR(IF(AND(G181&gt;0,G181=INT(G181),FIND("-",E181)&gt;1,NOT(EXACT(UPPER(LEFT(E181,1)),LOWER(LEFT(E181,1)))),ISNUMBER(VALUE(MID(E181,FIND("-",E181)+1,10)))),1,0),0))</f>
        <v>0</v>
      </c>
      <c r="J181" s="0" t="str">
        <f aca="false">IF(I181=1,TRIM(LEFT(H181,MAX(0,LEN(H181)-LEN(D181)))),"")</f>
        <v/>
      </c>
      <c r="K181" s="0" t="str">
        <f aca="false">INDEX($P$2:$P$21,A181)</f>
        <v>Deck 3</v>
      </c>
      <c r="L181" s="0" t="n">
        <f aca="false">IF(AND(C181&lt;&gt;"",LEFT(C181,2)&lt;&gt;"//",I181=0),1,0)</f>
        <v>0</v>
      </c>
      <c r="M181" s="0" t="str">
        <f aca="false">IF(I181=1,MAX(M$1:M180)+1,"")</f>
        <v/>
      </c>
      <c r="N181" s="0" t="str">
        <f aca="false">IFERROR(MATCH(ROW()-1,$V$2:$V$1201,0),"")</f>
        <v/>
      </c>
      <c r="R181" s="0" t="str">
        <f aca="false">IF(E181="","",IFERROR(LEFT(E181,FIND("-",E181)-1),E181))</f>
        <v/>
      </c>
      <c r="S181" s="0" t="str">
        <f aca="false">IF(R181="","",IF(ISNUMBER(--MID(R181,1,1)),0,IF(ISNUMBER(--MID(R181,2,1)),1,IF(ISNUMBER(--MID(R181,3,1)),2,IF(ISNUMBER(--MID(R181,4,1)),3,MIN(LEN(R181),4))))))</f>
        <v/>
      </c>
      <c r="T181" s="0" t="str">
        <f aca="false">IF(E181="","",LEFT(R181,S181)&amp;REPT("0",4-S181)&amp;RIGHT("000"&amp;IFERROR(VALUE(MID(R181,S181+1,9)),0),3)&amp;RIGHT("0000"&amp;IFERROR(VALUE(MID(E181,FIND("-",E181)+1,9)),0),4))</f>
        <v/>
      </c>
      <c r="U181" s="0" t="str">
        <f aca="false">IF(I181=1,"K"&amp;RIGHT("00"&amp;A181,2)&amp;T181&amp;RIGHT("00000"&amp;ROW(),5),"")</f>
        <v/>
      </c>
      <c r="V181" s="0" t="str">
        <f aca="false">IF(U181="","",COUNTIFS($I$2:$I$1201,1,$U$2:$U$1201,"&lt;"&amp;U181)+1)</f>
        <v/>
      </c>
    </row>
    <row r="182" customFormat="false" ht="15" hidden="false" customHeight="false" outlineLevel="0" collapsed="false">
      <c r="A182" s="0" t="n">
        <v>4</v>
      </c>
      <c r="B182" s="0" t="n">
        <v>1</v>
      </c>
      <c r="C182" s="0" t="str">
        <f aca="false">TRIM(SUBSTITUTE(INDEX(LISTAS!$A$4:$T$63,B182,A182)&amp;"",CHAR(160)," "))</f>
        <v/>
      </c>
      <c r="D182" s="0" t="str">
        <f aca="false">IF(C182="","",TRIM(RIGHT(SUBSTITUTE(C182," ",REPT(" ",100)),100)))</f>
        <v/>
      </c>
      <c r="E182" s="0" t="str">
        <f aca="false">IF(D182="","",UPPER(SUBSTITUTE(SUBSTITUTE(D182,"(",""),")","")))</f>
        <v/>
      </c>
      <c r="F182" s="0" t="str">
        <f aca="false">IF(C182="","",LEFT(C182,FIND(" ",C182&amp;" ")-1))</f>
        <v/>
      </c>
      <c r="G182" s="0" t="n">
        <f aca="false">IFERROR(VALUE(SUBSTITUTE(LOWER(F182),"x","")),0)</f>
        <v>0</v>
      </c>
      <c r="H182" s="0" t="str">
        <f aca="false">IF(C182="","",TRIM(MID(C182,LEN(F182)+2,999)))</f>
        <v/>
      </c>
      <c r="I182" s="0" t="n">
        <f aca="false">IF(OR(C182="",LEFT(C182,2)="//"),0,IFERROR(IF(AND(G182&gt;0,G182=INT(G182),FIND("-",E182)&gt;1,NOT(EXACT(UPPER(LEFT(E182,1)),LOWER(LEFT(E182,1)))),ISNUMBER(VALUE(MID(E182,FIND("-",E182)+1,10)))),1,0),0))</f>
        <v>0</v>
      </c>
      <c r="J182" s="0" t="str">
        <f aca="false">IF(I182=1,TRIM(LEFT(H182,MAX(0,LEN(H182)-LEN(D182)))),"")</f>
        <v/>
      </c>
      <c r="K182" s="0" t="str">
        <f aca="false">INDEX($P$2:$P$21,A182)</f>
        <v>Deck 4</v>
      </c>
      <c r="L182" s="0" t="n">
        <f aca="false">IF(AND(C182&lt;&gt;"",LEFT(C182,2)&lt;&gt;"//",I182=0),1,0)</f>
        <v>0</v>
      </c>
      <c r="M182" s="0" t="str">
        <f aca="false">IF(I182=1,MAX(M$1:M181)+1,"")</f>
        <v/>
      </c>
      <c r="N182" s="0" t="str">
        <f aca="false">IFERROR(MATCH(ROW()-1,$V$2:$V$1201,0),"")</f>
        <v/>
      </c>
      <c r="R182" s="0" t="str">
        <f aca="false">IF(E182="","",IFERROR(LEFT(E182,FIND("-",E182)-1),E182))</f>
        <v/>
      </c>
      <c r="S182" s="0" t="str">
        <f aca="false">IF(R182="","",IF(ISNUMBER(--MID(R182,1,1)),0,IF(ISNUMBER(--MID(R182,2,1)),1,IF(ISNUMBER(--MID(R182,3,1)),2,IF(ISNUMBER(--MID(R182,4,1)),3,MIN(LEN(R182),4))))))</f>
        <v/>
      </c>
      <c r="T182" s="0" t="str">
        <f aca="false">IF(E182="","",LEFT(R182,S182)&amp;REPT("0",4-S182)&amp;RIGHT("000"&amp;IFERROR(VALUE(MID(R182,S182+1,9)),0),3)&amp;RIGHT("0000"&amp;IFERROR(VALUE(MID(E182,FIND("-",E182)+1,9)),0),4))</f>
        <v/>
      </c>
      <c r="U182" s="0" t="str">
        <f aca="false">IF(I182=1,"K"&amp;RIGHT("00"&amp;A182,2)&amp;T182&amp;RIGHT("00000"&amp;ROW(),5),"")</f>
        <v/>
      </c>
      <c r="V182" s="0" t="str">
        <f aca="false">IF(U182="","",COUNTIFS($I$2:$I$1201,1,$U$2:$U$1201,"&lt;"&amp;U182)+1)</f>
        <v/>
      </c>
    </row>
    <row r="183" customFormat="false" ht="15" hidden="false" customHeight="false" outlineLevel="0" collapsed="false">
      <c r="A183" s="0" t="n">
        <v>4</v>
      </c>
      <c r="B183" s="0" t="n">
        <v>2</v>
      </c>
      <c r="C183" s="0" t="str">
        <f aca="false">TRIM(SUBSTITUTE(INDEX(LISTAS!$A$4:$T$63,B183,A183)&amp;"",CHAR(160)," "))</f>
        <v/>
      </c>
      <c r="D183" s="0" t="str">
        <f aca="false">IF(C183="","",TRIM(RIGHT(SUBSTITUTE(C183," ",REPT(" ",100)),100)))</f>
        <v/>
      </c>
      <c r="E183" s="0" t="str">
        <f aca="false">IF(D183="","",UPPER(SUBSTITUTE(SUBSTITUTE(D183,"(",""),")","")))</f>
        <v/>
      </c>
      <c r="F183" s="0" t="str">
        <f aca="false">IF(C183="","",LEFT(C183,FIND(" ",C183&amp;" ")-1))</f>
        <v/>
      </c>
      <c r="G183" s="0" t="n">
        <f aca="false">IFERROR(VALUE(SUBSTITUTE(LOWER(F183),"x","")),0)</f>
        <v>0</v>
      </c>
      <c r="H183" s="0" t="str">
        <f aca="false">IF(C183="","",TRIM(MID(C183,LEN(F183)+2,999)))</f>
        <v/>
      </c>
      <c r="I183" s="0" t="n">
        <f aca="false">IF(OR(C183="",LEFT(C183,2)="//"),0,IFERROR(IF(AND(G183&gt;0,G183=INT(G183),FIND("-",E183)&gt;1,NOT(EXACT(UPPER(LEFT(E183,1)),LOWER(LEFT(E183,1)))),ISNUMBER(VALUE(MID(E183,FIND("-",E183)+1,10)))),1,0),0))</f>
        <v>0</v>
      </c>
      <c r="J183" s="0" t="str">
        <f aca="false">IF(I183=1,TRIM(LEFT(H183,MAX(0,LEN(H183)-LEN(D183)))),"")</f>
        <v/>
      </c>
      <c r="K183" s="0" t="str">
        <f aca="false">INDEX($P$2:$P$21,A183)</f>
        <v>Deck 4</v>
      </c>
      <c r="L183" s="0" t="n">
        <f aca="false">IF(AND(C183&lt;&gt;"",LEFT(C183,2)&lt;&gt;"//",I183=0),1,0)</f>
        <v>0</v>
      </c>
      <c r="M183" s="0" t="str">
        <f aca="false">IF(I183=1,MAX(M$1:M182)+1,"")</f>
        <v/>
      </c>
      <c r="N183" s="0" t="str">
        <f aca="false">IFERROR(MATCH(ROW()-1,$V$2:$V$1201,0),"")</f>
        <v/>
      </c>
      <c r="R183" s="0" t="str">
        <f aca="false">IF(E183="","",IFERROR(LEFT(E183,FIND("-",E183)-1),E183))</f>
        <v/>
      </c>
      <c r="S183" s="0" t="str">
        <f aca="false">IF(R183="","",IF(ISNUMBER(--MID(R183,1,1)),0,IF(ISNUMBER(--MID(R183,2,1)),1,IF(ISNUMBER(--MID(R183,3,1)),2,IF(ISNUMBER(--MID(R183,4,1)),3,MIN(LEN(R183),4))))))</f>
        <v/>
      </c>
      <c r="T183" s="0" t="str">
        <f aca="false">IF(E183="","",LEFT(R183,S183)&amp;REPT("0",4-S183)&amp;RIGHT("000"&amp;IFERROR(VALUE(MID(R183,S183+1,9)),0),3)&amp;RIGHT("0000"&amp;IFERROR(VALUE(MID(E183,FIND("-",E183)+1,9)),0),4))</f>
        <v/>
      </c>
      <c r="U183" s="0" t="str">
        <f aca="false">IF(I183=1,"K"&amp;RIGHT("00"&amp;A183,2)&amp;T183&amp;RIGHT("00000"&amp;ROW(),5),"")</f>
        <v/>
      </c>
      <c r="V183" s="0" t="str">
        <f aca="false">IF(U183="","",COUNTIFS($I$2:$I$1201,1,$U$2:$U$1201,"&lt;"&amp;U183)+1)</f>
        <v/>
      </c>
    </row>
    <row r="184" customFormat="false" ht="15" hidden="false" customHeight="false" outlineLevel="0" collapsed="false">
      <c r="A184" s="0" t="n">
        <v>4</v>
      </c>
      <c r="B184" s="0" t="n">
        <v>3</v>
      </c>
      <c r="C184" s="0" t="str">
        <f aca="false">TRIM(SUBSTITUTE(INDEX(LISTAS!$A$4:$T$63,B184,A184)&amp;"",CHAR(160)," "))</f>
        <v/>
      </c>
      <c r="D184" s="0" t="str">
        <f aca="false">IF(C184="","",TRIM(RIGHT(SUBSTITUTE(C184," ",REPT(" ",100)),100)))</f>
        <v/>
      </c>
      <c r="E184" s="0" t="str">
        <f aca="false">IF(D184="","",UPPER(SUBSTITUTE(SUBSTITUTE(D184,"(",""),")","")))</f>
        <v/>
      </c>
      <c r="F184" s="0" t="str">
        <f aca="false">IF(C184="","",LEFT(C184,FIND(" ",C184&amp;" ")-1))</f>
        <v/>
      </c>
      <c r="G184" s="0" t="n">
        <f aca="false">IFERROR(VALUE(SUBSTITUTE(LOWER(F184),"x","")),0)</f>
        <v>0</v>
      </c>
      <c r="H184" s="0" t="str">
        <f aca="false">IF(C184="","",TRIM(MID(C184,LEN(F184)+2,999)))</f>
        <v/>
      </c>
      <c r="I184" s="0" t="n">
        <f aca="false">IF(OR(C184="",LEFT(C184,2)="//"),0,IFERROR(IF(AND(G184&gt;0,G184=INT(G184),FIND("-",E184)&gt;1,NOT(EXACT(UPPER(LEFT(E184,1)),LOWER(LEFT(E184,1)))),ISNUMBER(VALUE(MID(E184,FIND("-",E184)+1,10)))),1,0),0))</f>
        <v>0</v>
      </c>
      <c r="J184" s="0" t="str">
        <f aca="false">IF(I184=1,TRIM(LEFT(H184,MAX(0,LEN(H184)-LEN(D184)))),"")</f>
        <v/>
      </c>
      <c r="K184" s="0" t="str">
        <f aca="false">INDEX($P$2:$P$21,A184)</f>
        <v>Deck 4</v>
      </c>
      <c r="L184" s="0" t="n">
        <f aca="false">IF(AND(C184&lt;&gt;"",LEFT(C184,2)&lt;&gt;"//",I184=0),1,0)</f>
        <v>0</v>
      </c>
      <c r="M184" s="0" t="str">
        <f aca="false">IF(I184=1,MAX(M$1:M183)+1,"")</f>
        <v/>
      </c>
      <c r="N184" s="0" t="str">
        <f aca="false">IFERROR(MATCH(ROW()-1,$V$2:$V$1201,0),"")</f>
        <v/>
      </c>
      <c r="R184" s="0" t="str">
        <f aca="false">IF(E184="","",IFERROR(LEFT(E184,FIND("-",E184)-1),E184))</f>
        <v/>
      </c>
      <c r="S184" s="0" t="str">
        <f aca="false">IF(R184="","",IF(ISNUMBER(--MID(R184,1,1)),0,IF(ISNUMBER(--MID(R184,2,1)),1,IF(ISNUMBER(--MID(R184,3,1)),2,IF(ISNUMBER(--MID(R184,4,1)),3,MIN(LEN(R184),4))))))</f>
        <v/>
      </c>
      <c r="T184" s="0" t="str">
        <f aca="false">IF(E184="","",LEFT(R184,S184)&amp;REPT("0",4-S184)&amp;RIGHT("000"&amp;IFERROR(VALUE(MID(R184,S184+1,9)),0),3)&amp;RIGHT("0000"&amp;IFERROR(VALUE(MID(E184,FIND("-",E184)+1,9)),0),4))</f>
        <v/>
      </c>
      <c r="U184" s="0" t="str">
        <f aca="false">IF(I184=1,"K"&amp;RIGHT("00"&amp;A184,2)&amp;T184&amp;RIGHT("00000"&amp;ROW(),5),"")</f>
        <v/>
      </c>
      <c r="V184" s="0" t="str">
        <f aca="false">IF(U184="","",COUNTIFS($I$2:$I$1201,1,$U$2:$U$1201,"&lt;"&amp;U184)+1)</f>
        <v/>
      </c>
    </row>
    <row r="185" customFormat="false" ht="15" hidden="false" customHeight="false" outlineLevel="0" collapsed="false">
      <c r="A185" s="0" t="n">
        <v>4</v>
      </c>
      <c r="B185" s="0" t="n">
        <v>4</v>
      </c>
      <c r="C185" s="0" t="str">
        <f aca="false">TRIM(SUBSTITUTE(INDEX(LISTAS!$A$4:$T$63,B185,A185)&amp;"",CHAR(160)," "))</f>
        <v/>
      </c>
      <c r="D185" s="0" t="str">
        <f aca="false">IF(C185="","",TRIM(RIGHT(SUBSTITUTE(C185," ",REPT(" ",100)),100)))</f>
        <v/>
      </c>
      <c r="E185" s="0" t="str">
        <f aca="false">IF(D185="","",UPPER(SUBSTITUTE(SUBSTITUTE(D185,"(",""),")","")))</f>
        <v/>
      </c>
      <c r="F185" s="0" t="str">
        <f aca="false">IF(C185="","",LEFT(C185,FIND(" ",C185&amp;" ")-1))</f>
        <v/>
      </c>
      <c r="G185" s="0" t="n">
        <f aca="false">IFERROR(VALUE(SUBSTITUTE(LOWER(F185),"x","")),0)</f>
        <v>0</v>
      </c>
      <c r="H185" s="0" t="str">
        <f aca="false">IF(C185="","",TRIM(MID(C185,LEN(F185)+2,999)))</f>
        <v/>
      </c>
      <c r="I185" s="0" t="n">
        <f aca="false">IF(OR(C185="",LEFT(C185,2)="//"),0,IFERROR(IF(AND(G185&gt;0,G185=INT(G185),FIND("-",E185)&gt;1,NOT(EXACT(UPPER(LEFT(E185,1)),LOWER(LEFT(E185,1)))),ISNUMBER(VALUE(MID(E185,FIND("-",E185)+1,10)))),1,0),0))</f>
        <v>0</v>
      </c>
      <c r="J185" s="0" t="str">
        <f aca="false">IF(I185=1,TRIM(LEFT(H185,MAX(0,LEN(H185)-LEN(D185)))),"")</f>
        <v/>
      </c>
      <c r="K185" s="0" t="str">
        <f aca="false">INDEX($P$2:$P$21,A185)</f>
        <v>Deck 4</v>
      </c>
      <c r="L185" s="0" t="n">
        <f aca="false">IF(AND(C185&lt;&gt;"",LEFT(C185,2)&lt;&gt;"//",I185=0),1,0)</f>
        <v>0</v>
      </c>
      <c r="M185" s="0" t="str">
        <f aca="false">IF(I185=1,MAX(M$1:M184)+1,"")</f>
        <v/>
      </c>
      <c r="N185" s="0" t="str">
        <f aca="false">IFERROR(MATCH(ROW()-1,$V$2:$V$1201,0),"")</f>
        <v/>
      </c>
      <c r="R185" s="0" t="str">
        <f aca="false">IF(E185="","",IFERROR(LEFT(E185,FIND("-",E185)-1),E185))</f>
        <v/>
      </c>
      <c r="S185" s="0" t="str">
        <f aca="false">IF(R185="","",IF(ISNUMBER(--MID(R185,1,1)),0,IF(ISNUMBER(--MID(R185,2,1)),1,IF(ISNUMBER(--MID(R185,3,1)),2,IF(ISNUMBER(--MID(R185,4,1)),3,MIN(LEN(R185),4))))))</f>
        <v/>
      </c>
      <c r="T185" s="0" t="str">
        <f aca="false">IF(E185="","",LEFT(R185,S185)&amp;REPT("0",4-S185)&amp;RIGHT("000"&amp;IFERROR(VALUE(MID(R185,S185+1,9)),0),3)&amp;RIGHT("0000"&amp;IFERROR(VALUE(MID(E185,FIND("-",E185)+1,9)),0),4))</f>
        <v/>
      </c>
      <c r="U185" s="0" t="str">
        <f aca="false">IF(I185=1,"K"&amp;RIGHT("00"&amp;A185,2)&amp;T185&amp;RIGHT("00000"&amp;ROW(),5),"")</f>
        <v/>
      </c>
      <c r="V185" s="0" t="str">
        <f aca="false">IF(U185="","",COUNTIFS($I$2:$I$1201,1,$U$2:$U$1201,"&lt;"&amp;U185)+1)</f>
        <v/>
      </c>
    </row>
    <row r="186" customFormat="false" ht="15" hidden="false" customHeight="false" outlineLevel="0" collapsed="false">
      <c r="A186" s="0" t="n">
        <v>4</v>
      </c>
      <c r="B186" s="0" t="n">
        <v>5</v>
      </c>
      <c r="C186" s="0" t="str">
        <f aca="false">TRIM(SUBSTITUTE(INDEX(LISTAS!$A$4:$T$63,B186,A186)&amp;"",CHAR(160)," "))</f>
        <v/>
      </c>
      <c r="D186" s="0" t="str">
        <f aca="false">IF(C186="","",TRIM(RIGHT(SUBSTITUTE(C186," ",REPT(" ",100)),100)))</f>
        <v/>
      </c>
      <c r="E186" s="0" t="str">
        <f aca="false">IF(D186="","",UPPER(SUBSTITUTE(SUBSTITUTE(D186,"(",""),")","")))</f>
        <v/>
      </c>
      <c r="F186" s="0" t="str">
        <f aca="false">IF(C186="","",LEFT(C186,FIND(" ",C186&amp;" ")-1))</f>
        <v/>
      </c>
      <c r="G186" s="0" t="n">
        <f aca="false">IFERROR(VALUE(SUBSTITUTE(LOWER(F186),"x","")),0)</f>
        <v>0</v>
      </c>
      <c r="H186" s="0" t="str">
        <f aca="false">IF(C186="","",TRIM(MID(C186,LEN(F186)+2,999)))</f>
        <v/>
      </c>
      <c r="I186" s="0" t="n">
        <f aca="false">IF(OR(C186="",LEFT(C186,2)="//"),0,IFERROR(IF(AND(G186&gt;0,G186=INT(G186),FIND("-",E186)&gt;1,NOT(EXACT(UPPER(LEFT(E186,1)),LOWER(LEFT(E186,1)))),ISNUMBER(VALUE(MID(E186,FIND("-",E186)+1,10)))),1,0),0))</f>
        <v>0</v>
      </c>
      <c r="J186" s="0" t="str">
        <f aca="false">IF(I186=1,TRIM(LEFT(H186,MAX(0,LEN(H186)-LEN(D186)))),"")</f>
        <v/>
      </c>
      <c r="K186" s="0" t="str">
        <f aca="false">INDEX($P$2:$P$21,A186)</f>
        <v>Deck 4</v>
      </c>
      <c r="L186" s="0" t="n">
        <f aca="false">IF(AND(C186&lt;&gt;"",LEFT(C186,2)&lt;&gt;"//",I186=0),1,0)</f>
        <v>0</v>
      </c>
      <c r="M186" s="0" t="str">
        <f aca="false">IF(I186=1,MAX(M$1:M185)+1,"")</f>
        <v/>
      </c>
      <c r="N186" s="0" t="str">
        <f aca="false">IFERROR(MATCH(ROW()-1,$V$2:$V$1201,0),"")</f>
        <v/>
      </c>
      <c r="R186" s="0" t="str">
        <f aca="false">IF(E186="","",IFERROR(LEFT(E186,FIND("-",E186)-1),E186))</f>
        <v/>
      </c>
      <c r="S186" s="0" t="str">
        <f aca="false">IF(R186="","",IF(ISNUMBER(--MID(R186,1,1)),0,IF(ISNUMBER(--MID(R186,2,1)),1,IF(ISNUMBER(--MID(R186,3,1)),2,IF(ISNUMBER(--MID(R186,4,1)),3,MIN(LEN(R186),4))))))</f>
        <v/>
      </c>
      <c r="T186" s="0" t="str">
        <f aca="false">IF(E186="","",LEFT(R186,S186)&amp;REPT("0",4-S186)&amp;RIGHT("000"&amp;IFERROR(VALUE(MID(R186,S186+1,9)),0),3)&amp;RIGHT("0000"&amp;IFERROR(VALUE(MID(E186,FIND("-",E186)+1,9)),0),4))</f>
        <v/>
      </c>
      <c r="U186" s="0" t="str">
        <f aca="false">IF(I186=1,"K"&amp;RIGHT("00"&amp;A186,2)&amp;T186&amp;RIGHT("00000"&amp;ROW(),5),"")</f>
        <v/>
      </c>
      <c r="V186" s="0" t="str">
        <f aca="false">IF(U186="","",COUNTIFS($I$2:$I$1201,1,$U$2:$U$1201,"&lt;"&amp;U186)+1)</f>
        <v/>
      </c>
    </row>
    <row r="187" customFormat="false" ht="15" hidden="false" customHeight="false" outlineLevel="0" collapsed="false">
      <c r="A187" s="0" t="n">
        <v>4</v>
      </c>
      <c r="B187" s="0" t="n">
        <v>6</v>
      </c>
      <c r="C187" s="0" t="str">
        <f aca="false">TRIM(SUBSTITUTE(INDEX(LISTAS!$A$4:$T$63,B187,A187)&amp;"",CHAR(160)," "))</f>
        <v/>
      </c>
      <c r="D187" s="0" t="str">
        <f aca="false">IF(C187="","",TRIM(RIGHT(SUBSTITUTE(C187," ",REPT(" ",100)),100)))</f>
        <v/>
      </c>
      <c r="E187" s="0" t="str">
        <f aca="false">IF(D187="","",UPPER(SUBSTITUTE(SUBSTITUTE(D187,"(",""),")","")))</f>
        <v/>
      </c>
      <c r="F187" s="0" t="str">
        <f aca="false">IF(C187="","",LEFT(C187,FIND(" ",C187&amp;" ")-1))</f>
        <v/>
      </c>
      <c r="G187" s="0" t="n">
        <f aca="false">IFERROR(VALUE(SUBSTITUTE(LOWER(F187),"x","")),0)</f>
        <v>0</v>
      </c>
      <c r="H187" s="0" t="str">
        <f aca="false">IF(C187="","",TRIM(MID(C187,LEN(F187)+2,999)))</f>
        <v/>
      </c>
      <c r="I187" s="0" t="n">
        <f aca="false">IF(OR(C187="",LEFT(C187,2)="//"),0,IFERROR(IF(AND(G187&gt;0,G187=INT(G187),FIND("-",E187)&gt;1,NOT(EXACT(UPPER(LEFT(E187,1)),LOWER(LEFT(E187,1)))),ISNUMBER(VALUE(MID(E187,FIND("-",E187)+1,10)))),1,0),0))</f>
        <v>0</v>
      </c>
      <c r="J187" s="0" t="str">
        <f aca="false">IF(I187=1,TRIM(LEFT(H187,MAX(0,LEN(H187)-LEN(D187)))),"")</f>
        <v/>
      </c>
      <c r="K187" s="0" t="str">
        <f aca="false">INDEX($P$2:$P$21,A187)</f>
        <v>Deck 4</v>
      </c>
      <c r="L187" s="0" t="n">
        <f aca="false">IF(AND(C187&lt;&gt;"",LEFT(C187,2)&lt;&gt;"//",I187=0),1,0)</f>
        <v>0</v>
      </c>
      <c r="M187" s="0" t="str">
        <f aca="false">IF(I187=1,MAX(M$1:M186)+1,"")</f>
        <v/>
      </c>
      <c r="N187" s="0" t="str">
        <f aca="false">IFERROR(MATCH(ROW()-1,$V$2:$V$1201,0),"")</f>
        <v/>
      </c>
      <c r="R187" s="0" t="str">
        <f aca="false">IF(E187="","",IFERROR(LEFT(E187,FIND("-",E187)-1),E187))</f>
        <v/>
      </c>
      <c r="S187" s="0" t="str">
        <f aca="false">IF(R187="","",IF(ISNUMBER(--MID(R187,1,1)),0,IF(ISNUMBER(--MID(R187,2,1)),1,IF(ISNUMBER(--MID(R187,3,1)),2,IF(ISNUMBER(--MID(R187,4,1)),3,MIN(LEN(R187),4))))))</f>
        <v/>
      </c>
      <c r="T187" s="0" t="str">
        <f aca="false">IF(E187="","",LEFT(R187,S187)&amp;REPT("0",4-S187)&amp;RIGHT("000"&amp;IFERROR(VALUE(MID(R187,S187+1,9)),0),3)&amp;RIGHT("0000"&amp;IFERROR(VALUE(MID(E187,FIND("-",E187)+1,9)),0),4))</f>
        <v/>
      </c>
      <c r="U187" s="0" t="str">
        <f aca="false">IF(I187=1,"K"&amp;RIGHT("00"&amp;A187,2)&amp;T187&amp;RIGHT("00000"&amp;ROW(),5),"")</f>
        <v/>
      </c>
      <c r="V187" s="0" t="str">
        <f aca="false">IF(U187="","",COUNTIFS($I$2:$I$1201,1,$U$2:$U$1201,"&lt;"&amp;U187)+1)</f>
        <v/>
      </c>
    </row>
    <row r="188" customFormat="false" ht="15" hidden="false" customHeight="false" outlineLevel="0" collapsed="false">
      <c r="A188" s="0" t="n">
        <v>4</v>
      </c>
      <c r="B188" s="0" t="n">
        <v>7</v>
      </c>
      <c r="C188" s="0" t="str">
        <f aca="false">TRIM(SUBSTITUTE(INDEX(LISTAS!$A$4:$T$63,B188,A188)&amp;"",CHAR(160)," "))</f>
        <v/>
      </c>
      <c r="D188" s="0" t="str">
        <f aca="false">IF(C188="","",TRIM(RIGHT(SUBSTITUTE(C188," ",REPT(" ",100)),100)))</f>
        <v/>
      </c>
      <c r="E188" s="0" t="str">
        <f aca="false">IF(D188="","",UPPER(SUBSTITUTE(SUBSTITUTE(D188,"(",""),")","")))</f>
        <v/>
      </c>
      <c r="F188" s="0" t="str">
        <f aca="false">IF(C188="","",LEFT(C188,FIND(" ",C188&amp;" ")-1))</f>
        <v/>
      </c>
      <c r="G188" s="0" t="n">
        <f aca="false">IFERROR(VALUE(SUBSTITUTE(LOWER(F188),"x","")),0)</f>
        <v>0</v>
      </c>
      <c r="H188" s="0" t="str">
        <f aca="false">IF(C188="","",TRIM(MID(C188,LEN(F188)+2,999)))</f>
        <v/>
      </c>
      <c r="I188" s="0" t="n">
        <f aca="false">IF(OR(C188="",LEFT(C188,2)="//"),0,IFERROR(IF(AND(G188&gt;0,G188=INT(G188),FIND("-",E188)&gt;1,NOT(EXACT(UPPER(LEFT(E188,1)),LOWER(LEFT(E188,1)))),ISNUMBER(VALUE(MID(E188,FIND("-",E188)+1,10)))),1,0),0))</f>
        <v>0</v>
      </c>
      <c r="J188" s="0" t="str">
        <f aca="false">IF(I188=1,TRIM(LEFT(H188,MAX(0,LEN(H188)-LEN(D188)))),"")</f>
        <v/>
      </c>
      <c r="K188" s="0" t="str">
        <f aca="false">INDEX($P$2:$P$21,A188)</f>
        <v>Deck 4</v>
      </c>
      <c r="L188" s="0" t="n">
        <f aca="false">IF(AND(C188&lt;&gt;"",LEFT(C188,2)&lt;&gt;"//",I188=0),1,0)</f>
        <v>0</v>
      </c>
      <c r="M188" s="0" t="str">
        <f aca="false">IF(I188=1,MAX(M$1:M187)+1,"")</f>
        <v/>
      </c>
      <c r="N188" s="0" t="str">
        <f aca="false">IFERROR(MATCH(ROW()-1,$V$2:$V$1201,0),"")</f>
        <v/>
      </c>
      <c r="R188" s="0" t="str">
        <f aca="false">IF(E188="","",IFERROR(LEFT(E188,FIND("-",E188)-1),E188))</f>
        <v/>
      </c>
      <c r="S188" s="0" t="str">
        <f aca="false">IF(R188="","",IF(ISNUMBER(--MID(R188,1,1)),0,IF(ISNUMBER(--MID(R188,2,1)),1,IF(ISNUMBER(--MID(R188,3,1)),2,IF(ISNUMBER(--MID(R188,4,1)),3,MIN(LEN(R188),4))))))</f>
        <v/>
      </c>
      <c r="T188" s="0" t="str">
        <f aca="false">IF(E188="","",LEFT(R188,S188)&amp;REPT("0",4-S188)&amp;RIGHT("000"&amp;IFERROR(VALUE(MID(R188,S188+1,9)),0),3)&amp;RIGHT("0000"&amp;IFERROR(VALUE(MID(E188,FIND("-",E188)+1,9)),0),4))</f>
        <v/>
      </c>
      <c r="U188" s="0" t="str">
        <f aca="false">IF(I188=1,"K"&amp;RIGHT("00"&amp;A188,2)&amp;T188&amp;RIGHT("00000"&amp;ROW(),5),"")</f>
        <v/>
      </c>
      <c r="V188" s="0" t="str">
        <f aca="false">IF(U188="","",COUNTIFS($I$2:$I$1201,1,$U$2:$U$1201,"&lt;"&amp;U188)+1)</f>
        <v/>
      </c>
    </row>
    <row r="189" customFormat="false" ht="15" hidden="false" customHeight="false" outlineLevel="0" collapsed="false">
      <c r="A189" s="0" t="n">
        <v>4</v>
      </c>
      <c r="B189" s="0" t="n">
        <v>8</v>
      </c>
      <c r="C189" s="0" t="str">
        <f aca="false">TRIM(SUBSTITUTE(INDEX(LISTAS!$A$4:$T$63,B189,A189)&amp;"",CHAR(160)," "))</f>
        <v/>
      </c>
      <c r="D189" s="0" t="str">
        <f aca="false">IF(C189="","",TRIM(RIGHT(SUBSTITUTE(C189," ",REPT(" ",100)),100)))</f>
        <v/>
      </c>
      <c r="E189" s="0" t="str">
        <f aca="false">IF(D189="","",UPPER(SUBSTITUTE(SUBSTITUTE(D189,"(",""),")","")))</f>
        <v/>
      </c>
      <c r="F189" s="0" t="str">
        <f aca="false">IF(C189="","",LEFT(C189,FIND(" ",C189&amp;" ")-1))</f>
        <v/>
      </c>
      <c r="G189" s="0" t="n">
        <f aca="false">IFERROR(VALUE(SUBSTITUTE(LOWER(F189),"x","")),0)</f>
        <v>0</v>
      </c>
      <c r="H189" s="0" t="str">
        <f aca="false">IF(C189="","",TRIM(MID(C189,LEN(F189)+2,999)))</f>
        <v/>
      </c>
      <c r="I189" s="0" t="n">
        <f aca="false">IF(OR(C189="",LEFT(C189,2)="//"),0,IFERROR(IF(AND(G189&gt;0,G189=INT(G189),FIND("-",E189)&gt;1,NOT(EXACT(UPPER(LEFT(E189,1)),LOWER(LEFT(E189,1)))),ISNUMBER(VALUE(MID(E189,FIND("-",E189)+1,10)))),1,0),0))</f>
        <v>0</v>
      </c>
      <c r="J189" s="0" t="str">
        <f aca="false">IF(I189=1,TRIM(LEFT(H189,MAX(0,LEN(H189)-LEN(D189)))),"")</f>
        <v/>
      </c>
      <c r="K189" s="0" t="str">
        <f aca="false">INDEX($P$2:$P$21,A189)</f>
        <v>Deck 4</v>
      </c>
      <c r="L189" s="0" t="n">
        <f aca="false">IF(AND(C189&lt;&gt;"",LEFT(C189,2)&lt;&gt;"//",I189=0),1,0)</f>
        <v>0</v>
      </c>
      <c r="M189" s="0" t="str">
        <f aca="false">IF(I189=1,MAX(M$1:M188)+1,"")</f>
        <v/>
      </c>
      <c r="N189" s="0" t="str">
        <f aca="false">IFERROR(MATCH(ROW()-1,$V$2:$V$1201,0),"")</f>
        <v/>
      </c>
      <c r="R189" s="0" t="str">
        <f aca="false">IF(E189="","",IFERROR(LEFT(E189,FIND("-",E189)-1),E189))</f>
        <v/>
      </c>
      <c r="S189" s="0" t="str">
        <f aca="false">IF(R189="","",IF(ISNUMBER(--MID(R189,1,1)),0,IF(ISNUMBER(--MID(R189,2,1)),1,IF(ISNUMBER(--MID(R189,3,1)),2,IF(ISNUMBER(--MID(R189,4,1)),3,MIN(LEN(R189),4))))))</f>
        <v/>
      </c>
      <c r="T189" s="0" t="str">
        <f aca="false">IF(E189="","",LEFT(R189,S189)&amp;REPT("0",4-S189)&amp;RIGHT("000"&amp;IFERROR(VALUE(MID(R189,S189+1,9)),0),3)&amp;RIGHT("0000"&amp;IFERROR(VALUE(MID(E189,FIND("-",E189)+1,9)),0),4))</f>
        <v/>
      </c>
      <c r="U189" s="0" t="str">
        <f aca="false">IF(I189=1,"K"&amp;RIGHT("00"&amp;A189,2)&amp;T189&amp;RIGHT("00000"&amp;ROW(),5),"")</f>
        <v/>
      </c>
      <c r="V189" s="0" t="str">
        <f aca="false">IF(U189="","",COUNTIFS($I$2:$I$1201,1,$U$2:$U$1201,"&lt;"&amp;U189)+1)</f>
        <v/>
      </c>
    </row>
    <row r="190" customFormat="false" ht="15" hidden="false" customHeight="false" outlineLevel="0" collapsed="false">
      <c r="A190" s="0" t="n">
        <v>4</v>
      </c>
      <c r="B190" s="0" t="n">
        <v>9</v>
      </c>
      <c r="C190" s="0" t="str">
        <f aca="false">TRIM(SUBSTITUTE(INDEX(LISTAS!$A$4:$T$63,B190,A190)&amp;"",CHAR(160)," "))</f>
        <v/>
      </c>
      <c r="D190" s="0" t="str">
        <f aca="false">IF(C190="","",TRIM(RIGHT(SUBSTITUTE(C190," ",REPT(" ",100)),100)))</f>
        <v/>
      </c>
      <c r="E190" s="0" t="str">
        <f aca="false">IF(D190="","",UPPER(SUBSTITUTE(SUBSTITUTE(D190,"(",""),")","")))</f>
        <v/>
      </c>
      <c r="F190" s="0" t="str">
        <f aca="false">IF(C190="","",LEFT(C190,FIND(" ",C190&amp;" ")-1))</f>
        <v/>
      </c>
      <c r="G190" s="0" t="n">
        <f aca="false">IFERROR(VALUE(SUBSTITUTE(LOWER(F190),"x","")),0)</f>
        <v>0</v>
      </c>
      <c r="H190" s="0" t="str">
        <f aca="false">IF(C190="","",TRIM(MID(C190,LEN(F190)+2,999)))</f>
        <v/>
      </c>
      <c r="I190" s="0" t="n">
        <f aca="false">IF(OR(C190="",LEFT(C190,2)="//"),0,IFERROR(IF(AND(G190&gt;0,G190=INT(G190),FIND("-",E190)&gt;1,NOT(EXACT(UPPER(LEFT(E190,1)),LOWER(LEFT(E190,1)))),ISNUMBER(VALUE(MID(E190,FIND("-",E190)+1,10)))),1,0),0))</f>
        <v>0</v>
      </c>
      <c r="J190" s="0" t="str">
        <f aca="false">IF(I190=1,TRIM(LEFT(H190,MAX(0,LEN(H190)-LEN(D190)))),"")</f>
        <v/>
      </c>
      <c r="K190" s="0" t="str">
        <f aca="false">INDEX($P$2:$P$21,A190)</f>
        <v>Deck 4</v>
      </c>
      <c r="L190" s="0" t="n">
        <f aca="false">IF(AND(C190&lt;&gt;"",LEFT(C190,2)&lt;&gt;"//",I190=0),1,0)</f>
        <v>0</v>
      </c>
      <c r="M190" s="0" t="str">
        <f aca="false">IF(I190=1,MAX(M$1:M189)+1,"")</f>
        <v/>
      </c>
      <c r="N190" s="0" t="str">
        <f aca="false">IFERROR(MATCH(ROW()-1,$V$2:$V$1201,0),"")</f>
        <v/>
      </c>
      <c r="R190" s="0" t="str">
        <f aca="false">IF(E190="","",IFERROR(LEFT(E190,FIND("-",E190)-1),E190))</f>
        <v/>
      </c>
      <c r="S190" s="0" t="str">
        <f aca="false">IF(R190="","",IF(ISNUMBER(--MID(R190,1,1)),0,IF(ISNUMBER(--MID(R190,2,1)),1,IF(ISNUMBER(--MID(R190,3,1)),2,IF(ISNUMBER(--MID(R190,4,1)),3,MIN(LEN(R190),4))))))</f>
        <v/>
      </c>
      <c r="T190" s="0" t="str">
        <f aca="false">IF(E190="","",LEFT(R190,S190)&amp;REPT("0",4-S190)&amp;RIGHT("000"&amp;IFERROR(VALUE(MID(R190,S190+1,9)),0),3)&amp;RIGHT("0000"&amp;IFERROR(VALUE(MID(E190,FIND("-",E190)+1,9)),0),4))</f>
        <v/>
      </c>
      <c r="U190" s="0" t="str">
        <f aca="false">IF(I190=1,"K"&amp;RIGHT("00"&amp;A190,2)&amp;T190&amp;RIGHT("00000"&amp;ROW(),5),"")</f>
        <v/>
      </c>
      <c r="V190" s="0" t="str">
        <f aca="false">IF(U190="","",COUNTIFS($I$2:$I$1201,1,$U$2:$U$1201,"&lt;"&amp;U190)+1)</f>
        <v/>
      </c>
    </row>
    <row r="191" customFormat="false" ht="15" hidden="false" customHeight="false" outlineLevel="0" collapsed="false">
      <c r="A191" s="0" t="n">
        <v>4</v>
      </c>
      <c r="B191" s="0" t="n">
        <v>10</v>
      </c>
      <c r="C191" s="0" t="str">
        <f aca="false">TRIM(SUBSTITUTE(INDEX(LISTAS!$A$4:$T$63,B191,A191)&amp;"",CHAR(160)," "))</f>
        <v/>
      </c>
      <c r="D191" s="0" t="str">
        <f aca="false">IF(C191="","",TRIM(RIGHT(SUBSTITUTE(C191," ",REPT(" ",100)),100)))</f>
        <v/>
      </c>
      <c r="E191" s="0" t="str">
        <f aca="false">IF(D191="","",UPPER(SUBSTITUTE(SUBSTITUTE(D191,"(",""),")","")))</f>
        <v/>
      </c>
      <c r="F191" s="0" t="str">
        <f aca="false">IF(C191="","",LEFT(C191,FIND(" ",C191&amp;" ")-1))</f>
        <v/>
      </c>
      <c r="G191" s="0" t="n">
        <f aca="false">IFERROR(VALUE(SUBSTITUTE(LOWER(F191),"x","")),0)</f>
        <v>0</v>
      </c>
      <c r="H191" s="0" t="str">
        <f aca="false">IF(C191="","",TRIM(MID(C191,LEN(F191)+2,999)))</f>
        <v/>
      </c>
      <c r="I191" s="0" t="n">
        <f aca="false">IF(OR(C191="",LEFT(C191,2)="//"),0,IFERROR(IF(AND(G191&gt;0,G191=INT(G191),FIND("-",E191)&gt;1,NOT(EXACT(UPPER(LEFT(E191,1)),LOWER(LEFT(E191,1)))),ISNUMBER(VALUE(MID(E191,FIND("-",E191)+1,10)))),1,0),0))</f>
        <v>0</v>
      </c>
      <c r="J191" s="0" t="str">
        <f aca="false">IF(I191=1,TRIM(LEFT(H191,MAX(0,LEN(H191)-LEN(D191)))),"")</f>
        <v/>
      </c>
      <c r="K191" s="0" t="str">
        <f aca="false">INDEX($P$2:$P$21,A191)</f>
        <v>Deck 4</v>
      </c>
      <c r="L191" s="0" t="n">
        <f aca="false">IF(AND(C191&lt;&gt;"",LEFT(C191,2)&lt;&gt;"//",I191=0),1,0)</f>
        <v>0</v>
      </c>
      <c r="M191" s="0" t="str">
        <f aca="false">IF(I191=1,MAX(M$1:M190)+1,"")</f>
        <v/>
      </c>
      <c r="N191" s="0" t="str">
        <f aca="false">IFERROR(MATCH(ROW()-1,$V$2:$V$1201,0),"")</f>
        <v/>
      </c>
      <c r="R191" s="0" t="str">
        <f aca="false">IF(E191="","",IFERROR(LEFT(E191,FIND("-",E191)-1),E191))</f>
        <v/>
      </c>
      <c r="S191" s="0" t="str">
        <f aca="false">IF(R191="","",IF(ISNUMBER(--MID(R191,1,1)),0,IF(ISNUMBER(--MID(R191,2,1)),1,IF(ISNUMBER(--MID(R191,3,1)),2,IF(ISNUMBER(--MID(R191,4,1)),3,MIN(LEN(R191),4))))))</f>
        <v/>
      </c>
      <c r="T191" s="0" t="str">
        <f aca="false">IF(E191="","",LEFT(R191,S191)&amp;REPT("0",4-S191)&amp;RIGHT("000"&amp;IFERROR(VALUE(MID(R191,S191+1,9)),0),3)&amp;RIGHT("0000"&amp;IFERROR(VALUE(MID(E191,FIND("-",E191)+1,9)),0),4))</f>
        <v/>
      </c>
      <c r="U191" s="0" t="str">
        <f aca="false">IF(I191=1,"K"&amp;RIGHT("00"&amp;A191,2)&amp;T191&amp;RIGHT("00000"&amp;ROW(),5),"")</f>
        <v/>
      </c>
      <c r="V191" s="0" t="str">
        <f aca="false">IF(U191="","",COUNTIFS($I$2:$I$1201,1,$U$2:$U$1201,"&lt;"&amp;U191)+1)</f>
        <v/>
      </c>
    </row>
    <row r="192" customFormat="false" ht="15" hidden="false" customHeight="false" outlineLevel="0" collapsed="false">
      <c r="A192" s="0" t="n">
        <v>4</v>
      </c>
      <c r="B192" s="0" t="n">
        <v>11</v>
      </c>
      <c r="C192" s="0" t="str">
        <f aca="false">TRIM(SUBSTITUTE(INDEX(LISTAS!$A$4:$T$63,B192,A192)&amp;"",CHAR(160)," "))</f>
        <v/>
      </c>
      <c r="D192" s="0" t="str">
        <f aca="false">IF(C192="","",TRIM(RIGHT(SUBSTITUTE(C192," ",REPT(" ",100)),100)))</f>
        <v/>
      </c>
      <c r="E192" s="0" t="str">
        <f aca="false">IF(D192="","",UPPER(SUBSTITUTE(SUBSTITUTE(D192,"(",""),")","")))</f>
        <v/>
      </c>
      <c r="F192" s="0" t="str">
        <f aca="false">IF(C192="","",LEFT(C192,FIND(" ",C192&amp;" ")-1))</f>
        <v/>
      </c>
      <c r="G192" s="0" t="n">
        <f aca="false">IFERROR(VALUE(SUBSTITUTE(LOWER(F192),"x","")),0)</f>
        <v>0</v>
      </c>
      <c r="H192" s="0" t="str">
        <f aca="false">IF(C192="","",TRIM(MID(C192,LEN(F192)+2,999)))</f>
        <v/>
      </c>
      <c r="I192" s="0" t="n">
        <f aca="false">IF(OR(C192="",LEFT(C192,2)="//"),0,IFERROR(IF(AND(G192&gt;0,G192=INT(G192),FIND("-",E192)&gt;1,NOT(EXACT(UPPER(LEFT(E192,1)),LOWER(LEFT(E192,1)))),ISNUMBER(VALUE(MID(E192,FIND("-",E192)+1,10)))),1,0),0))</f>
        <v>0</v>
      </c>
      <c r="J192" s="0" t="str">
        <f aca="false">IF(I192=1,TRIM(LEFT(H192,MAX(0,LEN(H192)-LEN(D192)))),"")</f>
        <v/>
      </c>
      <c r="K192" s="0" t="str">
        <f aca="false">INDEX($P$2:$P$21,A192)</f>
        <v>Deck 4</v>
      </c>
      <c r="L192" s="0" t="n">
        <f aca="false">IF(AND(C192&lt;&gt;"",LEFT(C192,2)&lt;&gt;"//",I192=0),1,0)</f>
        <v>0</v>
      </c>
      <c r="M192" s="0" t="str">
        <f aca="false">IF(I192=1,MAX(M$1:M191)+1,"")</f>
        <v/>
      </c>
      <c r="N192" s="0" t="str">
        <f aca="false">IFERROR(MATCH(ROW()-1,$V$2:$V$1201,0),"")</f>
        <v/>
      </c>
      <c r="R192" s="0" t="str">
        <f aca="false">IF(E192="","",IFERROR(LEFT(E192,FIND("-",E192)-1),E192))</f>
        <v/>
      </c>
      <c r="S192" s="0" t="str">
        <f aca="false">IF(R192="","",IF(ISNUMBER(--MID(R192,1,1)),0,IF(ISNUMBER(--MID(R192,2,1)),1,IF(ISNUMBER(--MID(R192,3,1)),2,IF(ISNUMBER(--MID(R192,4,1)),3,MIN(LEN(R192),4))))))</f>
        <v/>
      </c>
      <c r="T192" s="0" t="str">
        <f aca="false">IF(E192="","",LEFT(R192,S192)&amp;REPT("0",4-S192)&amp;RIGHT("000"&amp;IFERROR(VALUE(MID(R192,S192+1,9)),0),3)&amp;RIGHT("0000"&amp;IFERROR(VALUE(MID(E192,FIND("-",E192)+1,9)),0),4))</f>
        <v/>
      </c>
      <c r="U192" s="0" t="str">
        <f aca="false">IF(I192=1,"K"&amp;RIGHT("00"&amp;A192,2)&amp;T192&amp;RIGHT("00000"&amp;ROW(),5),"")</f>
        <v/>
      </c>
      <c r="V192" s="0" t="str">
        <f aca="false">IF(U192="","",COUNTIFS($I$2:$I$1201,1,$U$2:$U$1201,"&lt;"&amp;U192)+1)</f>
        <v/>
      </c>
    </row>
    <row r="193" customFormat="false" ht="15" hidden="false" customHeight="false" outlineLevel="0" collapsed="false">
      <c r="A193" s="0" t="n">
        <v>4</v>
      </c>
      <c r="B193" s="0" t="n">
        <v>12</v>
      </c>
      <c r="C193" s="0" t="str">
        <f aca="false">TRIM(SUBSTITUTE(INDEX(LISTAS!$A$4:$T$63,B193,A193)&amp;"",CHAR(160)," "))</f>
        <v/>
      </c>
      <c r="D193" s="0" t="str">
        <f aca="false">IF(C193="","",TRIM(RIGHT(SUBSTITUTE(C193," ",REPT(" ",100)),100)))</f>
        <v/>
      </c>
      <c r="E193" s="0" t="str">
        <f aca="false">IF(D193="","",UPPER(SUBSTITUTE(SUBSTITUTE(D193,"(",""),")","")))</f>
        <v/>
      </c>
      <c r="F193" s="0" t="str">
        <f aca="false">IF(C193="","",LEFT(C193,FIND(" ",C193&amp;" ")-1))</f>
        <v/>
      </c>
      <c r="G193" s="0" t="n">
        <f aca="false">IFERROR(VALUE(SUBSTITUTE(LOWER(F193),"x","")),0)</f>
        <v>0</v>
      </c>
      <c r="H193" s="0" t="str">
        <f aca="false">IF(C193="","",TRIM(MID(C193,LEN(F193)+2,999)))</f>
        <v/>
      </c>
      <c r="I193" s="0" t="n">
        <f aca="false">IF(OR(C193="",LEFT(C193,2)="//"),0,IFERROR(IF(AND(G193&gt;0,G193=INT(G193),FIND("-",E193)&gt;1,NOT(EXACT(UPPER(LEFT(E193,1)),LOWER(LEFT(E193,1)))),ISNUMBER(VALUE(MID(E193,FIND("-",E193)+1,10)))),1,0),0))</f>
        <v>0</v>
      </c>
      <c r="J193" s="0" t="str">
        <f aca="false">IF(I193=1,TRIM(LEFT(H193,MAX(0,LEN(H193)-LEN(D193)))),"")</f>
        <v/>
      </c>
      <c r="K193" s="0" t="str">
        <f aca="false">INDEX($P$2:$P$21,A193)</f>
        <v>Deck 4</v>
      </c>
      <c r="L193" s="0" t="n">
        <f aca="false">IF(AND(C193&lt;&gt;"",LEFT(C193,2)&lt;&gt;"//",I193=0),1,0)</f>
        <v>0</v>
      </c>
      <c r="M193" s="0" t="str">
        <f aca="false">IF(I193=1,MAX(M$1:M192)+1,"")</f>
        <v/>
      </c>
      <c r="N193" s="0" t="str">
        <f aca="false">IFERROR(MATCH(ROW()-1,$V$2:$V$1201,0),"")</f>
        <v/>
      </c>
      <c r="R193" s="0" t="str">
        <f aca="false">IF(E193="","",IFERROR(LEFT(E193,FIND("-",E193)-1),E193))</f>
        <v/>
      </c>
      <c r="S193" s="0" t="str">
        <f aca="false">IF(R193="","",IF(ISNUMBER(--MID(R193,1,1)),0,IF(ISNUMBER(--MID(R193,2,1)),1,IF(ISNUMBER(--MID(R193,3,1)),2,IF(ISNUMBER(--MID(R193,4,1)),3,MIN(LEN(R193),4))))))</f>
        <v/>
      </c>
      <c r="T193" s="0" t="str">
        <f aca="false">IF(E193="","",LEFT(R193,S193)&amp;REPT("0",4-S193)&amp;RIGHT("000"&amp;IFERROR(VALUE(MID(R193,S193+1,9)),0),3)&amp;RIGHT("0000"&amp;IFERROR(VALUE(MID(E193,FIND("-",E193)+1,9)),0),4))</f>
        <v/>
      </c>
      <c r="U193" s="0" t="str">
        <f aca="false">IF(I193=1,"K"&amp;RIGHT("00"&amp;A193,2)&amp;T193&amp;RIGHT("00000"&amp;ROW(),5),"")</f>
        <v/>
      </c>
      <c r="V193" s="0" t="str">
        <f aca="false">IF(U193="","",COUNTIFS($I$2:$I$1201,1,$U$2:$U$1201,"&lt;"&amp;U193)+1)</f>
        <v/>
      </c>
    </row>
    <row r="194" customFormat="false" ht="15" hidden="false" customHeight="false" outlineLevel="0" collapsed="false">
      <c r="A194" s="0" t="n">
        <v>4</v>
      </c>
      <c r="B194" s="0" t="n">
        <v>13</v>
      </c>
      <c r="C194" s="0" t="str">
        <f aca="false">TRIM(SUBSTITUTE(INDEX(LISTAS!$A$4:$T$63,B194,A194)&amp;"",CHAR(160)," "))</f>
        <v/>
      </c>
      <c r="D194" s="0" t="str">
        <f aca="false">IF(C194="","",TRIM(RIGHT(SUBSTITUTE(C194," ",REPT(" ",100)),100)))</f>
        <v/>
      </c>
      <c r="E194" s="0" t="str">
        <f aca="false">IF(D194="","",UPPER(SUBSTITUTE(SUBSTITUTE(D194,"(",""),")","")))</f>
        <v/>
      </c>
      <c r="F194" s="0" t="str">
        <f aca="false">IF(C194="","",LEFT(C194,FIND(" ",C194&amp;" ")-1))</f>
        <v/>
      </c>
      <c r="G194" s="0" t="n">
        <f aca="false">IFERROR(VALUE(SUBSTITUTE(LOWER(F194),"x","")),0)</f>
        <v>0</v>
      </c>
      <c r="H194" s="0" t="str">
        <f aca="false">IF(C194="","",TRIM(MID(C194,LEN(F194)+2,999)))</f>
        <v/>
      </c>
      <c r="I194" s="0" t="n">
        <f aca="false">IF(OR(C194="",LEFT(C194,2)="//"),0,IFERROR(IF(AND(G194&gt;0,G194=INT(G194),FIND("-",E194)&gt;1,NOT(EXACT(UPPER(LEFT(E194,1)),LOWER(LEFT(E194,1)))),ISNUMBER(VALUE(MID(E194,FIND("-",E194)+1,10)))),1,0),0))</f>
        <v>0</v>
      </c>
      <c r="J194" s="0" t="str">
        <f aca="false">IF(I194=1,TRIM(LEFT(H194,MAX(0,LEN(H194)-LEN(D194)))),"")</f>
        <v/>
      </c>
      <c r="K194" s="0" t="str">
        <f aca="false">INDEX($P$2:$P$21,A194)</f>
        <v>Deck 4</v>
      </c>
      <c r="L194" s="0" t="n">
        <f aca="false">IF(AND(C194&lt;&gt;"",LEFT(C194,2)&lt;&gt;"//",I194=0),1,0)</f>
        <v>0</v>
      </c>
      <c r="M194" s="0" t="str">
        <f aca="false">IF(I194=1,MAX(M$1:M193)+1,"")</f>
        <v/>
      </c>
      <c r="N194" s="0" t="str">
        <f aca="false">IFERROR(MATCH(ROW()-1,$V$2:$V$1201,0),"")</f>
        <v/>
      </c>
      <c r="R194" s="0" t="str">
        <f aca="false">IF(E194="","",IFERROR(LEFT(E194,FIND("-",E194)-1),E194))</f>
        <v/>
      </c>
      <c r="S194" s="0" t="str">
        <f aca="false">IF(R194="","",IF(ISNUMBER(--MID(R194,1,1)),0,IF(ISNUMBER(--MID(R194,2,1)),1,IF(ISNUMBER(--MID(R194,3,1)),2,IF(ISNUMBER(--MID(R194,4,1)),3,MIN(LEN(R194),4))))))</f>
        <v/>
      </c>
      <c r="T194" s="0" t="str">
        <f aca="false">IF(E194="","",LEFT(R194,S194)&amp;REPT("0",4-S194)&amp;RIGHT("000"&amp;IFERROR(VALUE(MID(R194,S194+1,9)),0),3)&amp;RIGHT("0000"&amp;IFERROR(VALUE(MID(E194,FIND("-",E194)+1,9)),0),4))</f>
        <v/>
      </c>
      <c r="U194" s="0" t="str">
        <f aca="false">IF(I194=1,"K"&amp;RIGHT("00"&amp;A194,2)&amp;T194&amp;RIGHT("00000"&amp;ROW(),5),"")</f>
        <v/>
      </c>
      <c r="V194" s="0" t="str">
        <f aca="false">IF(U194="","",COUNTIFS($I$2:$I$1201,1,$U$2:$U$1201,"&lt;"&amp;U194)+1)</f>
        <v/>
      </c>
    </row>
    <row r="195" customFormat="false" ht="15" hidden="false" customHeight="false" outlineLevel="0" collapsed="false">
      <c r="A195" s="0" t="n">
        <v>4</v>
      </c>
      <c r="B195" s="0" t="n">
        <v>14</v>
      </c>
      <c r="C195" s="0" t="str">
        <f aca="false">TRIM(SUBSTITUTE(INDEX(LISTAS!$A$4:$T$63,B195,A195)&amp;"",CHAR(160)," "))</f>
        <v/>
      </c>
      <c r="D195" s="0" t="str">
        <f aca="false">IF(C195="","",TRIM(RIGHT(SUBSTITUTE(C195," ",REPT(" ",100)),100)))</f>
        <v/>
      </c>
      <c r="E195" s="0" t="str">
        <f aca="false">IF(D195="","",UPPER(SUBSTITUTE(SUBSTITUTE(D195,"(",""),")","")))</f>
        <v/>
      </c>
      <c r="F195" s="0" t="str">
        <f aca="false">IF(C195="","",LEFT(C195,FIND(" ",C195&amp;" ")-1))</f>
        <v/>
      </c>
      <c r="G195" s="0" t="n">
        <f aca="false">IFERROR(VALUE(SUBSTITUTE(LOWER(F195),"x","")),0)</f>
        <v>0</v>
      </c>
      <c r="H195" s="0" t="str">
        <f aca="false">IF(C195="","",TRIM(MID(C195,LEN(F195)+2,999)))</f>
        <v/>
      </c>
      <c r="I195" s="0" t="n">
        <f aca="false">IF(OR(C195="",LEFT(C195,2)="//"),0,IFERROR(IF(AND(G195&gt;0,G195=INT(G195),FIND("-",E195)&gt;1,NOT(EXACT(UPPER(LEFT(E195,1)),LOWER(LEFT(E195,1)))),ISNUMBER(VALUE(MID(E195,FIND("-",E195)+1,10)))),1,0),0))</f>
        <v>0</v>
      </c>
      <c r="J195" s="0" t="str">
        <f aca="false">IF(I195=1,TRIM(LEFT(H195,MAX(0,LEN(H195)-LEN(D195)))),"")</f>
        <v/>
      </c>
      <c r="K195" s="0" t="str">
        <f aca="false">INDEX($P$2:$P$21,A195)</f>
        <v>Deck 4</v>
      </c>
      <c r="L195" s="0" t="n">
        <f aca="false">IF(AND(C195&lt;&gt;"",LEFT(C195,2)&lt;&gt;"//",I195=0),1,0)</f>
        <v>0</v>
      </c>
      <c r="M195" s="0" t="str">
        <f aca="false">IF(I195=1,MAX(M$1:M194)+1,"")</f>
        <v/>
      </c>
      <c r="N195" s="0" t="str">
        <f aca="false">IFERROR(MATCH(ROW()-1,$V$2:$V$1201,0),"")</f>
        <v/>
      </c>
      <c r="R195" s="0" t="str">
        <f aca="false">IF(E195="","",IFERROR(LEFT(E195,FIND("-",E195)-1),E195))</f>
        <v/>
      </c>
      <c r="S195" s="0" t="str">
        <f aca="false">IF(R195="","",IF(ISNUMBER(--MID(R195,1,1)),0,IF(ISNUMBER(--MID(R195,2,1)),1,IF(ISNUMBER(--MID(R195,3,1)),2,IF(ISNUMBER(--MID(R195,4,1)),3,MIN(LEN(R195),4))))))</f>
        <v/>
      </c>
      <c r="T195" s="0" t="str">
        <f aca="false">IF(E195="","",LEFT(R195,S195)&amp;REPT("0",4-S195)&amp;RIGHT("000"&amp;IFERROR(VALUE(MID(R195,S195+1,9)),0),3)&amp;RIGHT("0000"&amp;IFERROR(VALUE(MID(E195,FIND("-",E195)+1,9)),0),4))</f>
        <v/>
      </c>
      <c r="U195" s="0" t="str">
        <f aca="false">IF(I195=1,"K"&amp;RIGHT("00"&amp;A195,2)&amp;T195&amp;RIGHT("00000"&amp;ROW(),5),"")</f>
        <v/>
      </c>
      <c r="V195" s="0" t="str">
        <f aca="false">IF(U195="","",COUNTIFS($I$2:$I$1201,1,$U$2:$U$1201,"&lt;"&amp;U195)+1)</f>
        <v/>
      </c>
    </row>
    <row r="196" customFormat="false" ht="15" hidden="false" customHeight="false" outlineLevel="0" collapsed="false">
      <c r="A196" s="0" t="n">
        <v>4</v>
      </c>
      <c r="B196" s="0" t="n">
        <v>15</v>
      </c>
      <c r="C196" s="0" t="str">
        <f aca="false">TRIM(SUBSTITUTE(INDEX(LISTAS!$A$4:$T$63,B196,A196)&amp;"",CHAR(160)," "))</f>
        <v/>
      </c>
      <c r="D196" s="0" t="str">
        <f aca="false">IF(C196="","",TRIM(RIGHT(SUBSTITUTE(C196," ",REPT(" ",100)),100)))</f>
        <v/>
      </c>
      <c r="E196" s="0" t="str">
        <f aca="false">IF(D196="","",UPPER(SUBSTITUTE(SUBSTITUTE(D196,"(",""),")","")))</f>
        <v/>
      </c>
      <c r="F196" s="0" t="str">
        <f aca="false">IF(C196="","",LEFT(C196,FIND(" ",C196&amp;" ")-1))</f>
        <v/>
      </c>
      <c r="G196" s="0" t="n">
        <f aca="false">IFERROR(VALUE(SUBSTITUTE(LOWER(F196),"x","")),0)</f>
        <v>0</v>
      </c>
      <c r="H196" s="0" t="str">
        <f aca="false">IF(C196="","",TRIM(MID(C196,LEN(F196)+2,999)))</f>
        <v/>
      </c>
      <c r="I196" s="0" t="n">
        <f aca="false">IF(OR(C196="",LEFT(C196,2)="//"),0,IFERROR(IF(AND(G196&gt;0,G196=INT(G196),FIND("-",E196)&gt;1,NOT(EXACT(UPPER(LEFT(E196,1)),LOWER(LEFT(E196,1)))),ISNUMBER(VALUE(MID(E196,FIND("-",E196)+1,10)))),1,0),0))</f>
        <v>0</v>
      </c>
      <c r="J196" s="0" t="str">
        <f aca="false">IF(I196=1,TRIM(LEFT(H196,MAX(0,LEN(H196)-LEN(D196)))),"")</f>
        <v/>
      </c>
      <c r="K196" s="0" t="str">
        <f aca="false">INDEX($P$2:$P$21,A196)</f>
        <v>Deck 4</v>
      </c>
      <c r="L196" s="0" t="n">
        <f aca="false">IF(AND(C196&lt;&gt;"",LEFT(C196,2)&lt;&gt;"//",I196=0),1,0)</f>
        <v>0</v>
      </c>
      <c r="M196" s="0" t="str">
        <f aca="false">IF(I196=1,MAX(M$1:M195)+1,"")</f>
        <v/>
      </c>
      <c r="N196" s="0" t="str">
        <f aca="false">IFERROR(MATCH(ROW()-1,$V$2:$V$1201,0),"")</f>
        <v/>
      </c>
      <c r="R196" s="0" t="str">
        <f aca="false">IF(E196="","",IFERROR(LEFT(E196,FIND("-",E196)-1),E196))</f>
        <v/>
      </c>
      <c r="S196" s="0" t="str">
        <f aca="false">IF(R196="","",IF(ISNUMBER(--MID(R196,1,1)),0,IF(ISNUMBER(--MID(R196,2,1)),1,IF(ISNUMBER(--MID(R196,3,1)),2,IF(ISNUMBER(--MID(R196,4,1)),3,MIN(LEN(R196),4))))))</f>
        <v/>
      </c>
      <c r="T196" s="0" t="str">
        <f aca="false">IF(E196="","",LEFT(R196,S196)&amp;REPT("0",4-S196)&amp;RIGHT("000"&amp;IFERROR(VALUE(MID(R196,S196+1,9)),0),3)&amp;RIGHT("0000"&amp;IFERROR(VALUE(MID(E196,FIND("-",E196)+1,9)),0),4))</f>
        <v/>
      </c>
      <c r="U196" s="0" t="str">
        <f aca="false">IF(I196=1,"K"&amp;RIGHT("00"&amp;A196,2)&amp;T196&amp;RIGHT("00000"&amp;ROW(),5),"")</f>
        <v/>
      </c>
      <c r="V196" s="0" t="str">
        <f aca="false">IF(U196="","",COUNTIFS($I$2:$I$1201,1,$U$2:$U$1201,"&lt;"&amp;U196)+1)</f>
        <v/>
      </c>
    </row>
    <row r="197" customFormat="false" ht="15" hidden="false" customHeight="false" outlineLevel="0" collapsed="false">
      <c r="A197" s="0" t="n">
        <v>4</v>
      </c>
      <c r="B197" s="0" t="n">
        <v>16</v>
      </c>
      <c r="C197" s="0" t="str">
        <f aca="false">TRIM(SUBSTITUTE(INDEX(LISTAS!$A$4:$T$63,B197,A197)&amp;"",CHAR(160)," "))</f>
        <v/>
      </c>
      <c r="D197" s="0" t="str">
        <f aca="false">IF(C197="","",TRIM(RIGHT(SUBSTITUTE(C197," ",REPT(" ",100)),100)))</f>
        <v/>
      </c>
      <c r="E197" s="0" t="str">
        <f aca="false">IF(D197="","",UPPER(SUBSTITUTE(SUBSTITUTE(D197,"(",""),")","")))</f>
        <v/>
      </c>
      <c r="F197" s="0" t="str">
        <f aca="false">IF(C197="","",LEFT(C197,FIND(" ",C197&amp;" ")-1))</f>
        <v/>
      </c>
      <c r="G197" s="0" t="n">
        <f aca="false">IFERROR(VALUE(SUBSTITUTE(LOWER(F197),"x","")),0)</f>
        <v>0</v>
      </c>
      <c r="H197" s="0" t="str">
        <f aca="false">IF(C197="","",TRIM(MID(C197,LEN(F197)+2,999)))</f>
        <v/>
      </c>
      <c r="I197" s="0" t="n">
        <f aca="false">IF(OR(C197="",LEFT(C197,2)="//"),0,IFERROR(IF(AND(G197&gt;0,G197=INT(G197),FIND("-",E197)&gt;1,NOT(EXACT(UPPER(LEFT(E197,1)),LOWER(LEFT(E197,1)))),ISNUMBER(VALUE(MID(E197,FIND("-",E197)+1,10)))),1,0),0))</f>
        <v>0</v>
      </c>
      <c r="J197" s="0" t="str">
        <f aca="false">IF(I197=1,TRIM(LEFT(H197,MAX(0,LEN(H197)-LEN(D197)))),"")</f>
        <v/>
      </c>
      <c r="K197" s="0" t="str">
        <f aca="false">INDEX($P$2:$P$21,A197)</f>
        <v>Deck 4</v>
      </c>
      <c r="L197" s="0" t="n">
        <f aca="false">IF(AND(C197&lt;&gt;"",LEFT(C197,2)&lt;&gt;"//",I197=0),1,0)</f>
        <v>0</v>
      </c>
      <c r="M197" s="0" t="str">
        <f aca="false">IF(I197=1,MAX(M$1:M196)+1,"")</f>
        <v/>
      </c>
      <c r="N197" s="0" t="str">
        <f aca="false">IFERROR(MATCH(ROW()-1,$V$2:$V$1201,0),"")</f>
        <v/>
      </c>
      <c r="R197" s="0" t="str">
        <f aca="false">IF(E197="","",IFERROR(LEFT(E197,FIND("-",E197)-1),E197))</f>
        <v/>
      </c>
      <c r="S197" s="0" t="str">
        <f aca="false">IF(R197="","",IF(ISNUMBER(--MID(R197,1,1)),0,IF(ISNUMBER(--MID(R197,2,1)),1,IF(ISNUMBER(--MID(R197,3,1)),2,IF(ISNUMBER(--MID(R197,4,1)),3,MIN(LEN(R197),4))))))</f>
        <v/>
      </c>
      <c r="T197" s="0" t="str">
        <f aca="false">IF(E197="","",LEFT(R197,S197)&amp;REPT("0",4-S197)&amp;RIGHT("000"&amp;IFERROR(VALUE(MID(R197,S197+1,9)),0),3)&amp;RIGHT("0000"&amp;IFERROR(VALUE(MID(E197,FIND("-",E197)+1,9)),0),4))</f>
        <v/>
      </c>
      <c r="U197" s="0" t="str">
        <f aca="false">IF(I197=1,"K"&amp;RIGHT("00"&amp;A197,2)&amp;T197&amp;RIGHT("00000"&amp;ROW(),5),"")</f>
        <v/>
      </c>
      <c r="V197" s="0" t="str">
        <f aca="false">IF(U197="","",COUNTIFS($I$2:$I$1201,1,$U$2:$U$1201,"&lt;"&amp;U197)+1)</f>
        <v/>
      </c>
    </row>
    <row r="198" customFormat="false" ht="15" hidden="false" customHeight="false" outlineLevel="0" collapsed="false">
      <c r="A198" s="0" t="n">
        <v>4</v>
      </c>
      <c r="B198" s="0" t="n">
        <v>17</v>
      </c>
      <c r="C198" s="0" t="str">
        <f aca="false">TRIM(SUBSTITUTE(INDEX(LISTAS!$A$4:$T$63,B198,A198)&amp;"",CHAR(160)," "))</f>
        <v/>
      </c>
      <c r="D198" s="0" t="str">
        <f aca="false">IF(C198="","",TRIM(RIGHT(SUBSTITUTE(C198," ",REPT(" ",100)),100)))</f>
        <v/>
      </c>
      <c r="E198" s="0" t="str">
        <f aca="false">IF(D198="","",UPPER(SUBSTITUTE(SUBSTITUTE(D198,"(",""),")","")))</f>
        <v/>
      </c>
      <c r="F198" s="0" t="str">
        <f aca="false">IF(C198="","",LEFT(C198,FIND(" ",C198&amp;" ")-1))</f>
        <v/>
      </c>
      <c r="G198" s="0" t="n">
        <f aca="false">IFERROR(VALUE(SUBSTITUTE(LOWER(F198),"x","")),0)</f>
        <v>0</v>
      </c>
      <c r="H198" s="0" t="str">
        <f aca="false">IF(C198="","",TRIM(MID(C198,LEN(F198)+2,999)))</f>
        <v/>
      </c>
      <c r="I198" s="0" t="n">
        <f aca="false">IF(OR(C198="",LEFT(C198,2)="//"),0,IFERROR(IF(AND(G198&gt;0,G198=INT(G198),FIND("-",E198)&gt;1,NOT(EXACT(UPPER(LEFT(E198,1)),LOWER(LEFT(E198,1)))),ISNUMBER(VALUE(MID(E198,FIND("-",E198)+1,10)))),1,0),0))</f>
        <v>0</v>
      </c>
      <c r="J198" s="0" t="str">
        <f aca="false">IF(I198=1,TRIM(LEFT(H198,MAX(0,LEN(H198)-LEN(D198)))),"")</f>
        <v/>
      </c>
      <c r="K198" s="0" t="str">
        <f aca="false">INDEX($P$2:$P$21,A198)</f>
        <v>Deck 4</v>
      </c>
      <c r="L198" s="0" t="n">
        <f aca="false">IF(AND(C198&lt;&gt;"",LEFT(C198,2)&lt;&gt;"//",I198=0),1,0)</f>
        <v>0</v>
      </c>
      <c r="M198" s="0" t="str">
        <f aca="false">IF(I198=1,MAX(M$1:M197)+1,"")</f>
        <v/>
      </c>
      <c r="N198" s="0" t="str">
        <f aca="false">IFERROR(MATCH(ROW()-1,$V$2:$V$1201,0),"")</f>
        <v/>
      </c>
      <c r="R198" s="0" t="str">
        <f aca="false">IF(E198="","",IFERROR(LEFT(E198,FIND("-",E198)-1),E198))</f>
        <v/>
      </c>
      <c r="S198" s="0" t="str">
        <f aca="false">IF(R198="","",IF(ISNUMBER(--MID(R198,1,1)),0,IF(ISNUMBER(--MID(R198,2,1)),1,IF(ISNUMBER(--MID(R198,3,1)),2,IF(ISNUMBER(--MID(R198,4,1)),3,MIN(LEN(R198),4))))))</f>
        <v/>
      </c>
      <c r="T198" s="0" t="str">
        <f aca="false">IF(E198="","",LEFT(R198,S198)&amp;REPT("0",4-S198)&amp;RIGHT("000"&amp;IFERROR(VALUE(MID(R198,S198+1,9)),0),3)&amp;RIGHT("0000"&amp;IFERROR(VALUE(MID(E198,FIND("-",E198)+1,9)),0),4))</f>
        <v/>
      </c>
      <c r="U198" s="0" t="str">
        <f aca="false">IF(I198=1,"K"&amp;RIGHT("00"&amp;A198,2)&amp;T198&amp;RIGHT("00000"&amp;ROW(),5),"")</f>
        <v/>
      </c>
      <c r="V198" s="0" t="str">
        <f aca="false">IF(U198="","",COUNTIFS($I$2:$I$1201,1,$U$2:$U$1201,"&lt;"&amp;U198)+1)</f>
        <v/>
      </c>
    </row>
    <row r="199" customFormat="false" ht="15" hidden="false" customHeight="false" outlineLevel="0" collapsed="false">
      <c r="A199" s="0" t="n">
        <v>4</v>
      </c>
      <c r="B199" s="0" t="n">
        <v>18</v>
      </c>
      <c r="C199" s="0" t="str">
        <f aca="false">TRIM(SUBSTITUTE(INDEX(LISTAS!$A$4:$T$63,B199,A199)&amp;"",CHAR(160)," "))</f>
        <v/>
      </c>
      <c r="D199" s="0" t="str">
        <f aca="false">IF(C199="","",TRIM(RIGHT(SUBSTITUTE(C199," ",REPT(" ",100)),100)))</f>
        <v/>
      </c>
      <c r="E199" s="0" t="str">
        <f aca="false">IF(D199="","",UPPER(SUBSTITUTE(SUBSTITUTE(D199,"(",""),")","")))</f>
        <v/>
      </c>
      <c r="F199" s="0" t="str">
        <f aca="false">IF(C199="","",LEFT(C199,FIND(" ",C199&amp;" ")-1))</f>
        <v/>
      </c>
      <c r="G199" s="0" t="n">
        <f aca="false">IFERROR(VALUE(SUBSTITUTE(LOWER(F199),"x","")),0)</f>
        <v>0</v>
      </c>
      <c r="H199" s="0" t="str">
        <f aca="false">IF(C199="","",TRIM(MID(C199,LEN(F199)+2,999)))</f>
        <v/>
      </c>
      <c r="I199" s="0" t="n">
        <f aca="false">IF(OR(C199="",LEFT(C199,2)="//"),0,IFERROR(IF(AND(G199&gt;0,G199=INT(G199),FIND("-",E199)&gt;1,NOT(EXACT(UPPER(LEFT(E199,1)),LOWER(LEFT(E199,1)))),ISNUMBER(VALUE(MID(E199,FIND("-",E199)+1,10)))),1,0),0))</f>
        <v>0</v>
      </c>
      <c r="J199" s="0" t="str">
        <f aca="false">IF(I199=1,TRIM(LEFT(H199,MAX(0,LEN(H199)-LEN(D199)))),"")</f>
        <v/>
      </c>
      <c r="K199" s="0" t="str">
        <f aca="false">INDEX($P$2:$P$21,A199)</f>
        <v>Deck 4</v>
      </c>
      <c r="L199" s="0" t="n">
        <f aca="false">IF(AND(C199&lt;&gt;"",LEFT(C199,2)&lt;&gt;"//",I199=0),1,0)</f>
        <v>0</v>
      </c>
      <c r="M199" s="0" t="str">
        <f aca="false">IF(I199=1,MAX(M$1:M198)+1,"")</f>
        <v/>
      </c>
      <c r="N199" s="0" t="str">
        <f aca="false">IFERROR(MATCH(ROW()-1,$V$2:$V$1201,0),"")</f>
        <v/>
      </c>
      <c r="R199" s="0" t="str">
        <f aca="false">IF(E199="","",IFERROR(LEFT(E199,FIND("-",E199)-1),E199))</f>
        <v/>
      </c>
      <c r="S199" s="0" t="str">
        <f aca="false">IF(R199="","",IF(ISNUMBER(--MID(R199,1,1)),0,IF(ISNUMBER(--MID(R199,2,1)),1,IF(ISNUMBER(--MID(R199,3,1)),2,IF(ISNUMBER(--MID(R199,4,1)),3,MIN(LEN(R199),4))))))</f>
        <v/>
      </c>
      <c r="T199" s="0" t="str">
        <f aca="false">IF(E199="","",LEFT(R199,S199)&amp;REPT("0",4-S199)&amp;RIGHT("000"&amp;IFERROR(VALUE(MID(R199,S199+1,9)),0),3)&amp;RIGHT("0000"&amp;IFERROR(VALUE(MID(E199,FIND("-",E199)+1,9)),0),4))</f>
        <v/>
      </c>
      <c r="U199" s="0" t="str">
        <f aca="false">IF(I199=1,"K"&amp;RIGHT("00"&amp;A199,2)&amp;T199&amp;RIGHT("00000"&amp;ROW(),5),"")</f>
        <v/>
      </c>
      <c r="V199" s="0" t="str">
        <f aca="false">IF(U199="","",COUNTIFS($I$2:$I$1201,1,$U$2:$U$1201,"&lt;"&amp;U199)+1)</f>
        <v/>
      </c>
    </row>
    <row r="200" customFormat="false" ht="15" hidden="false" customHeight="false" outlineLevel="0" collapsed="false">
      <c r="A200" s="0" t="n">
        <v>4</v>
      </c>
      <c r="B200" s="0" t="n">
        <v>19</v>
      </c>
      <c r="C200" s="0" t="str">
        <f aca="false">TRIM(SUBSTITUTE(INDEX(LISTAS!$A$4:$T$63,B200,A200)&amp;"",CHAR(160)," "))</f>
        <v/>
      </c>
      <c r="D200" s="0" t="str">
        <f aca="false">IF(C200="","",TRIM(RIGHT(SUBSTITUTE(C200," ",REPT(" ",100)),100)))</f>
        <v/>
      </c>
      <c r="E200" s="0" t="str">
        <f aca="false">IF(D200="","",UPPER(SUBSTITUTE(SUBSTITUTE(D200,"(",""),")","")))</f>
        <v/>
      </c>
      <c r="F200" s="0" t="str">
        <f aca="false">IF(C200="","",LEFT(C200,FIND(" ",C200&amp;" ")-1))</f>
        <v/>
      </c>
      <c r="G200" s="0" t="n">
        <f aca="false">IFERROR(VALUE(SUBSTITUTE(LOWER(F200),"x","")),0)</f>
        <v>0</v>
      </c>
      <c r="H200" s="0" t="str">
        <f aca="false">IF(C200="","",TRIM(MID(C200,LEN(F200)+2,999)))</f>
        <v/>
      </c>
      <c r="I200" s="0" t="n">
        <f aca="false">IF(OR(C200="",LEFT(C200,2)="//"),0,IFERROR(IF(AND(G200&gt;0,G200=INT(G200),FIND("-",E200)&gt;1,NOT(EXACT(UPPER(LEFT(E200,1)),LOWER(LEFT(E200,1)))),ISNUMBER(VALUE(MID(E200,FIND("-",E200)+1,10)))),1,0),0))</f>
        <v>0</v>
      </c>
      <c r="J200" s="0" t="str">
        <f aca="false">IF(I200=1,TRIM(LEFT(H200,MAX(0,LEN(H200)-LEN(D200)))),"")</f>
        <v/>
      </c>
      <c r="K200" s="0" t="str">
        <f aca="false">INDEX($P$2:$P$21,A200)</f>
        <v>Deck 4</v>
      </c>
      <c r="L200" s="0" t="n">
        <f aca="false">IF(AND(C200&lt;&gt;"",LEFT(C200,2)&lt;&gt;"//",I200=0),1,0)</f>
        <v>0</v>
      </c>
      <c r="M200" s="0" t="str">
        <f aca="false">IF(I200=1,MAX(M$1:M199)+1,"")</f>
        <v/>
      </c>
      <c r="N200" s="0" t="str">
        <f aca="false">IFERROR(MATCH(ROW()-1,$V$2:$V$1201,0),"")</f>
        <v/>
      </c>
      <c r="R200" s="0" t="str">
        <f aca="false">IF(E200="","",IFERROR(LEFT(E200,FIND("-",E200)-1),E200))</f>
        <v/>
      </c>
      <c r="S200" s="0" t="str">
        <f aca="false">IF(R200="","",IF(ISNUMBER(--MID(R200,1,1)),0,IF(ISNUMBER(--MID(R200,2,1)),1,IF(ISNUMBER(--MID(R200,3,1)),2,IF(ISNUMBER(--MID(R200,4,1)),3,MIN(LEN(R200),4))))))</f>
        <v/>
      </c>
      <c r="T200" s="0" t="str">
        <f aca="false">IF(E200="","",LEFT(R200,S200)&amp;REPT("0",4-S200)&amp;RIGHT("000"&amp;IFERROR(VALUE(MID(R200,S200+1,9)),0),3)&amp;RIGHT("0000"&amp;IFERROR(VALUE(MID(E200,FIND("-",E200)+1,9)),0),4))</f>
        <v/>
      </c>
      <c r="U200" s="0" t="str">
        <f aca="false">IF(I200=1,"K"&amp;RIGHT("00"&amp;A200,2)&amp;T200&amp;RIGHT("00000"&amp;ROW(),5),"")</f>
        <v/>
      </c>
      <c r="V200" s="0" t="str">
        <f aca="false">IF(U200="","",COUNTIFS($I$2:$I$1201,1,$U$2:$U$1201,"&lt;"&amp;U200)+1)</f>
        <v/>
      </c>
    </row>
    <row r="201" customFormat="false" ht="15" hidden="false" customHeight="false" outlineLevel="0" collapsed="false">
      <c r="A201" s="0" t="n">
        <v>4</v>
      </c>
      <c r="B201" s="0" t="n">
        <v>20</v>
      </c>
      <c r="C201" s="0" t="str">
        <f aca="false">TRIM(SUBSTITUTE(INDEX(LISTAS!$A$4:$T$63,B201,A201)&amp;"",CHAR(160)," "))</f>
        <v/>
      </c>
      <c r="D201" s="0" t="str">
        <f aca="false">IF(C201="","",TRIM(RIGHT(SUBSTITUTE(C201," ",REPT(" ",100)),100)))</f>
        <v/>
      </c>
      <c r="E201" s="0" t="str">
        <f aca="false">IF(D201="","",UPPER(SUBSTITUTE(SUBSTITUTE(D201,"(",""),")","")))</f>
        <v/>
      </c>
      <c r="F201" s="0" t="str">
        <f aca="false">IF(C201="","",LEFT(C201,FIND(" ",C201&amp;" ")-1))</f>
        <v/>
      </c>
      <c r="G201" s="0" t="n">
        <f aca="false">IFERROR(VALUE(SUBSTITUTE(LOWER(F201),"x","")),0)</f>
        <v>0</v>
      </c>
      <c r="H201" s="0" t="str">
        <f aca="false">IF(C201="","",TRIM(MID(C201,LEN(F201)+2,999)))</f>
        <v/>
      </c>
      <c r="I201" s="0" t="n">
        <f aca="false">IF(OR(C201="",LEFT(C201,2)="//"),0,IFERROR(IF(AND(G201&gt;0,G201=INT(G201),FIND("-",E201)&gt;1,NOT(EXACT(UPPER(LEFT(E201,1)),LOWER(LEFT(E201,1)))),ISNUMBER(VALUE(MID(E201,FIND("-",E201)+1,10)))),1,0),0))</f>
        <v>0</v>
      </c>
      <c r="J201" s="0" t="str">
        <f aca="false">IF(I201=1,TRIM(LEFT(H201,MAX(0,LEN(H201)-LEN(D201)))),"")</f>
        <v/>
      </c>
      <c r="K201" s="0" t="str">
        <f aca="false">INDEX($P$2:$P$21,A201)</f>
        <v>Deck 4</v>
      </c>
      <c r="L201" s="0" t="n">
        <f aca="false">IF(AND(C201&lt;&gt;"",LEFT(C201,2)&lt;&gt;"//",I201=0),1,0)</f>
        <v>0</v>
      </c>
      <c r="M201" s="0" t="str">
        <f aca="false">IF(I201=1,MAX(M$1:M200)+1,"")</f>
        <v/>
      </c>
      <c r="N201" s="0" t="str">
        <f aca="false">IFERROR(MATCH(ROW()-1,$V$2:$V$1201,0),"")</f>
        <v/>
      </c>
      <c r="R201" s="0" t="str">
        <f aca="false">IF(E201="","",IFERROR(LEFT(E201,FIND("-",E201)-1),E201))</f>
        <v/>
      </c>
      <c r="S201" s="0" t="str">
        <f aca="false">IF(R201="","",IF(ISNUMBER(--MID(R201,1,1)),0,IF(ISNUMBER(--MID(R201,2,1)),1,IF(ISNUMBER(--MID(R201,3,1)),2,IF(ISNUMBER(--MID(R201,4,1)),3,MIN(LEN(R201),4))))))</f>
        <v/>
      </c>
      <c r="T201" s="0" t="str">
        <f aca="false">IF(E201="","",LEFT(R201,S201)&amp;REPT("0",4-S201)&amp;RIGHT("000"&amp;IFERROR(VALUE(MID(R201,S201+1,9)),0),3)&amp;RIGHT("0000"&amp;IFERROR(VALUE(MID(E201,FIND("-",E201)+1,9)),0),4))</f>
        <v/>
      </c>
      <c r="U201" s="0" t="str">
        <f aca="false">IF(I201=1,"K"&amp;RIGHT("00"&amp;A201,2)&amp;T201&amp;RIGHT("00000"&amp;ROW(),5),"")</f>
        <v/>
      </c>
      <c r="V201" s="0" t="str">
        <f aca="false">IF(U201="","",COUNTIFS($I$2:$I$1201,1,$U$2:$U$1201,"&lt;"&amp;U201)+1)</f>
        <v/>
      </c>
    </row>
    <row r="202" customFormat="false" ht="15" hidden="false" customHeight="false" outlineLevel="0" collapsed="false">
      <c r="A202" s="0" t="n">
        <v>4</v>
      </c>
      <c r="B202" s="0" t="n">
        <v>21</v>
      </c>
      <c r="C202" s="0" t="str">
        <f aca="false">TRIM(SUBSTITUTE(INDEX(LISTAS!$A$4:$T$63,B202,A202)&amp;"",CHAR(160)," "))</f>
        <v/>
      </c>
      <c r="D202" s="0" t="str">
        <f aca="false">IF(C202="","",TRIM(RIGHT(SUBSTITUTE(C202," ",REPT(" ",100)),100)))</f>
        <v/>
      </c>
      <c r="E202" s="0" t="str">
        <f aca="false">IF(D202="","",UPPER(SUBSTITUTE(SUBSTITUTE(D202,"(",""),")","")))</f>
        <v/>
      </c>
      <c r="F202" s="0" t="str">
        <f aca="false">IF(C202="","",LEFT(C202,FIND(" ",C202&amp;" ")-1))</f>
        <v/>
      </c>
      <c r="G202" s="0" t="n">
        <f aca="false">IFERROR(VALUE(SUBSTITUTE(LOWER(F202),"x","")),0)</f>
        <v>0</v>
      </c>
      <c r="H202" s="0" t="str">
        <f aca="false">IF(C202="","",TRIM(MID(C202,LEN(F202)+2,999)))</f>
        <v/>
      </c>
      <c r="I202" s="0" t="n">
        <f aca="false">IF(OR(C202="",LEFT(C202,2)="//"),0,IFERROR(IF(AND(G202&gt;0,G202=INT(G202),FIND("-",E202)&gt;1,NOT(EXACT(UPPER(LEFT(E202,1)),LOWER(LEFT(E202,1)))),ISNUMBER(VALUE(MID(E202,FIND("-",E202)+1,10)))),1,0),0))</f>
        <v>0</v>
      </c>
      <c r="J202" s="0" t="str">
        <f aca="false">IF(I202=1,TRIM(LEFT(H202,MAX(0,LEN(H202)-LEN(D202)))),"")</f>
        <v/>
      </c>
      <c r="K202" s="0" t="str">
        <f aca="false">INDEX($P$2:$P$21,A202)</f>
        <v>Deck 4</v>
      </c>
      <c r="L202" s="0" t="n">
        <f aca="false">IF(AND(C202&lt;&gt;"",LEFT(C202,2)&lt;&gt;"//",I202=0),1,0)</f>
        <v>0</v>
      </c>
      <c r="M202" s="0" t="str">
        <f aca="false">IF(I202=1,MAX(M$1:M201)+1,"")</f>
        <v/>
      </c>
      <c r="N202" s="0" t="str">
        <f aca="false">IFERROR(MATCH(ROW()-1,$V$2:$V$1201,0),"")</f>
        <v/>
      </c>
      <c r="R202" s="0" t="str">
        <f aca="false">IF(E202="","",IFERROR(LEFT(E202,FIND("-",E202)-1),E202))</f>
        <v/>
      </c>
      <c r="S202" s="0" t="str">
        <f aca="false">IF(R202="","",IF(ISNUMBER(--MID(R202,1,1)),0,IF(ISNUMBER(--MID(R202,2,1)),1,IF(ISNUMBER(--MID(R202,3,1)),2,IF(ISNUMBER(--MID(R202,4,1)),3,MIN(LEN(R202),4))))))</f>
        <v/>
      </c>
      <c r="T202" s="0" t="str">
        <f aca="false">IF(E202="","",LEFT(R202,S202)&amp;REPT("0",4-S202)&amp;RIGHT("000"&amp;IFERROR(VALUE(MID(R202,S202+1,9)),0),3)&amp;RIGHT("0000"&amp;IFERROR(VALUE(MID(E202,FIND("-",E202)+1,9)),0),4))</f>
        <v/>
      </c>
      <c r="U202" s="0" t="str">
        <f aca="false">IF(I202=1,"K"&amp;RIGHT("00"&amp;A202,2)&amp;T202&amp;RIGHT("00000"&amp;ROW(),5),"")</f>
        <v/>
      </c>
      <c r="V202" s="0" t="str">
        <f aca="false">IF(U202="","",COUNTIFS($I$2:$I$1201,1,$U$2:$U$1201,"&lt;"&amp;U202)+1)</f>
        <v/>
      </c>
    </row>
    <row r="203" customFormat="false" ht="15" hidden="false" customHeight="false" outlineLevel="0" collapsed="false">
      <c r="A203" s="0" t="n">
        <v>4</v>
      </c>
      <c r="B203" s="0" t="n">
        <v>22</v>
      </c>
      <c r="C203" s="0" t="str">
        <f aca="false">TRIM(SUBSTITUTE(INDEX(LISTAS!$A$4:$T$63,B203,A203)&amp;"",CHAR(160)," "))</f>
        <v/>
      </c>
      <c r="D203" s="0" t="str">
        <f aca="false">IF(C203="","",TRIM(RIGHT(SUBSTITUTE(C203," ",REPT(" ",100)),100)))</f>
        <v/>
      </c>
      <c r="E203" s="0" t="str">
        <f aca="false">IF(D203="","",UPPER(SUBSTITUTE(SUBSTITUTE(D203,"(",""),")","")))</f>
        <v/>
      </c>
      <c r="F203" s="0" t="str">
        <f aca="false">IF(C203="","",LEFT(C203,FIND(" ",C203&amp;" ")-1))</f>
        <v/>
      </c>
      <c r="G203" s="0" t="n">
        <f aca="false">IFERROR(VALUE(SUBSTITUTE(LOWER(F203),"x","")),0)</f>
        <v>0</v>
      </c>
      <c r="H203" s="0" t="str">
        <f aca="false">IF(C203="","",TRIM(MID(C203,LEN(F203)+2,999)))</f>
        <v/>
      </c>
      <c r="I203" s="0" t="n">
        <f aca="false">IF(OR(C203="",LEFT(C203,2)="//"),0,IFERROR(IF(AND(G203&gt;0,G203=INT(G203),FIND("-",E203)&gt;1,NOT(EXACT(UPPER(LEFT(E203,1)),LOWER(LEFT(E203,1)))),ISNUMBER(VALUE(MID(E203,FIND("-",E203)+1,10)))),1,0),0))</f>
        <v>0</v>
      </c>
      <c r="J203" s="0" t="str">
        <f aca="false">IF(I203=1,TRIM(LEFT(H203,MAX(0,LEN(H203)-LEN(D203)))),"")</f>
        <v/>
      </c>
      <c r="K203" s="0" t="str">
        <f aca="false">INDEX($P$2:$P$21,A203)</f>
        <v>Deck 4</v>
      </c>
      <c r="L203" s="0" t="n">
        <f aca="false">IF(AND(C203&lt;&gt;"",LEFT(C203,2)&lt;&gt;"//",I203=0),1,0)</f>
        <v>0</v>
      </c>
      <c r="M203" s="0" t="str">
        <f aca="false">IF(I203=1,MAX(M$1:M202)+1,"")</f>
        <v/>
      </c>
      <c r="N203" s="0" t="str">
        <f aca="false">IFERROR(MATCH(ROW()-1,$V$2:$V$1201,0),"")</f>
        <v/>
      </c>
      <c r="R203" s="0" t="str">
        <f aca="false">IF(E203="","",IFERROR(LEFT(E203,FIND("-",E203)-1),E203))</f>
        <v/>
      </c>
      <c r="S203" s="0" t="str">
        <f aca="false">IF(R203="","",IF(ISNUMBER(--MID(R203,1,1)),0,IF(ISNUMBER(--MID(R203,2,1)),1,IF(ISNUMBER(--MID(R203,3,1)),2,IF(ISNUMBER(--MID(R203,4,1)),3,MIN(LEN(R203),4))))))</f>
        <v/>
      </c>
      <c r="T203" s="0" t="str">
        <f aca="false">IF(E203="","",LEFT(R203,S203)&amp;REPT("0",4-S203)&amp;RIGHT("000"&amp;IFERROR(VALUE(MID(R203,S203+1,9)),0),3)&amp;RIGHT("0000"&amp;IFERROR(VALUE(MID(E203,FIND("-",E203)+1,9)),0),4))</f>
        <v/>
      </c>
      <c r="U203" s="0" t="str">
        <f aca="false">IF(I203=1,"K"&amp;RIGHT("00"&amp;A203,2)&amp;T203&amp;RIGHT("00000"&amp;ROW(),5),"")</f>
        <v/>
      </c>
      <c r="V203" s="0" t="str">
        <f aca="false">IF(U203="","",COUNTIFS($I$2:$I$1201,1,$U$2:$U$1201,"&lt;"&amp;U203)+1)</f>
        <v/>
      </c>
    </row>
    <row r="204" customFormat="false" ht="15" hidden="false" customHeight="false" outlineLevel="0" collapsed="false">
      <c r="A204" s="0" t="n">
        <v>4</v>
      </c>
      <c r="B204" s="0" t="n">
        <v>23</v>
      </c>
      <c r="C204" s="0" t="str">
        <f aca="false">TRIM(SUBSTITUTE(INDEX(LISTAS!$A$4:$T$63,B204,A204)&amp;"",CHAR(160)," "))</f>
        <v/>
      </c>
      <c r="D204" s="0" t="str">
        <f aca="false">IF(C204="","",TRIM(RIGHT(SUBSTITUTE(C204," ",REPT(" ",100)),100)))</f>
        <v/>
      </c>
      <c r="E204" s="0" t="str">
        <f aca="false">IF(D204="","",UPPER(SUBSTITUTE(SUBSTITUTE(D204,"(",""),")","")))</f>
        <v/>
      </c>
      <c r="F204" s="0" t="str">
        <f aca="false">IF(C204="","",LEFT(C204,FIND(" ",C204&amp;" ")-1))</f>
        <v/>
      </c>
      <c r="G204" s="0" t="n">
        <f aca="false">IFERROR(VALUE(SUBSTITUTE(LOWER(F204),"x","")),0)</f>
        <v>0</v>
      </c>
      <c r="H204" s="0" t="str">
        <f aca="false">IF(C204="","",TRIM(MID(C204,LEN(F204)+2,999)))</f>
        <v/>
      </c>
      <c r="I204" s="0" t="n">
        <f aca="false">IF(OR(C204="",LEFT(C204,2)="//"),0,IFERROR(IF(AND(G204&gt;0,G204=INT(G204),FIND("-",E204)&gt;1,NOT(EXACT(UPPER(LEFT(E204,1)),LOWER(LEFT(E204,1)))),ISNUMBER(VALUE(MID(E204,FIND("-",E204)+1,10)))),1,0),0))</f>
        <v>0</v>
      </c>
      <c r="J204" s="0" t="str">
        <f aca="false">IF(I204=1,TRIM(LEFT(H204,MAX(0,LEN(H204)-LEN(D204)))),"")</f>
        <v/>
      </c>
      <c r="K204" s="0" t="str">
        <f aca="false">INDEX($P$2:$P$21,A204)</f>
        <v>Deck 4</v>
      </c>
      <c r="L204" s="0" t="n">
        <f aca="false">IF(AND(C204&lt;&gt;"",LEFT(C204,2)&lt;&gt;"//",I204=0),1,0)</f>
        <v>0</v>
      </c>
      <c r="M204" s="0" t="str">
        <f aca="false">IF(I204=1,MAX(M$1:M203)+1,"")</f>
        <v/>
      </c>
      <c r="N204" s="0" t="str">
        <f aca="false">IFERROR(MATCH(ROW()-1,$V$2:$V$1201,0),"")</f>
        <v/>
      </c>
      <c r="R204" s="0" t="str">
        <f aca="false">IF(E204="","",IFERROR(LEFT(E204,FIND("-",E204)-1),E204))</f>
        <v/>
      </c>
      <c r="S204" s="0" t="str">
        <f aca="false">IF(R204="","",IF(ISNUMBER(--MID(R204,1,1)),0,IF(ISNUMBER(--MID(R204,2,1)),1,IF(ISNUMBER(--MID(R204,3,1)),2,IF(ISNUMBER(--MID(R204,4,1)),3,MIN(LEN(R204),4))))))</f>
        <v/>
      </c>
      <c r="T204" s="0" t="str">
        <f aca="false">IF(E204="","",LEFT(R204,S204)&amp;REPT("0",4-S204)&amp;RIGHT("000"&amp;IFERROR(VALUE(MID(R204,S204+1,9)),0),3)&amp;RIGHT("0000"&amp;IFERROR(VALUE(MID(E204,FIND("-",E204)+1,9)),0),4))</f>
        <v/>
      </c>
      <c r="U204" s="0" t="str">
        <f aca="false">IF(I204=1,"K"&amp;RIGHT("00"&amp;A204,2)&amp;T204&amp;RIGHT("00000"&amp;ROW(),5),"")</f>
        <v/>
      </c>
      <c r="V204" s="0" t="str">
        <f aca="false">IF(U204="","",COUNTIFS($I$2:$I$1201,1,$U$2:$U$1201,"&lt;"&amp;U204)+1)</f>
        <v/>
      </c>
    </row>
    <row r="205" customFormat="false" ht="15" hidden="false" customHeight="false" outlineLevel="0" collapsed="false">
      <c r="A205" s="0" t="n">
        <v>4</v>
      </c>
      <c r="B205" s="0" t="n">
        <v>24</v>
      </c>
      <c r="C205" s="0" t="str">
        <f aca="false">TRIM(SUBSTITUTE(INDEX(LISTAS!$A$4:$T$63,B205,A205)&amp;"",CHAR(160)," "))</f>
        <v/>
      </c>
      <c r="D205" s="0" t="str">
        <f aca="false">IF(C205="","",TRIM(RIGHT(SUBSTITUTE(C205," ",REPT(" ",100)),100)))</f>
        <v/>
      </c>
      <c r="E205" s="0" t="str">
        <f aca="false">IF(D205="","",UPPER(SUBSTITUTE(SUBSTITUTE(D205,"(",""),")","")))</f>
        <v/>
      </c>
      <c r="F205" s="0" t="str">
        <f aca="false">IF(C205="","",LEFT(C205,FIND(" ",C205&amp;" ")-1))</f>
        <v/>
      </c>
      <c r="G205" s="0" t="n">
        <f aca="false">IFERROR(VALUE(SUBSTITUTE(LOWER(F205),"x","")),0)</f>
        <v>0</v>
      </c>
      <c r="H205" s="0" t="str">
        <f aca="false">IF(C205="","",TRIM(MID(C205,LEN(F205)+2,999)))</f>
        <v/>
      </c>
      <c r="I205" s="0" t="n">
        <f aca="false">IF(OR(C205="",LEFT(C205,2)="//"),0,IFERROR(IF(AND(G205&gt;0,G205=INT(G205),FIND("-",E205)&gt;1,NOT(EXACT(UPPER(LEFT(E205,1)),LOWER(LEFT(E205,1)))),ISNUMBER(VALUE(MID(E205,FIND("-",E205)+1,10)))),1,0),0))</f>
        <v>0</v>
      </c>
      <c r="J205" s="0" t="str">
        <f aca="false">IF(I205=1,TRIM(LEFT(H205,MAX(0,LEN(H205)-LEN(D205)))),"")</f>
        <v/>
      </c>
      <c r="K205" s="0" t="str">
        <f aca="false">INDEX($P$2:$P$21,A205)</f>
        <v>Deck 4</v>
      </c>
      <c r="L205" s="0" t="n">
        <f aca="false">IF(AND(C205&lt;&gt;"",LEFT(C205,2)&lt;&gt;"//",I205=0),1,0)</f>
        <v>0</v>
      </c>
      <c r="M205" s="0" t="str">
        <f aca="false">IF(I205=1,MAX(M$1:M204)+1,"")</f>
        <v/>
      </c>
      <c r="N205" s="0" t="str">
        <f aca="false">IFERROR(MATCH(ROW()-1,$V$2:$V$1201,0),"")</f>
        <v/>
      </c>
      <c r="R205" s="0" t="str">
        <f aca="false">IF(E205="","",IFERROR(LEFT(E205,FIND("-",E205)-1),E205))</f>
        <v/>
      </c>
      <c r="S205" s="0" t="str">
        <f aca="false">IF(R205="","",IF(ISNUMBER(--MID(R205,1,1)),0,IF(ISNUMBER(--MID(R205,2,1)),1,IF(ISNUMBER(--MID(R205,3,1)),2,IF(ISNUMBER(--MID(R205,4,1)),3,MIN(LEN(R205),4))))))</f>
        <v/>
      </c>
      <c r="T205" s="0" t="str">
        <f aca="false">IF(E205="","",LEFT(R205,S205)&amp;REPT("0",4-S205)&amp;RIGHT("000"&amp;IFERROR(VALUE(MID(R205,S205+1,9)),0),3)&amp;RIGHT("0000"&amp;IFERROR(VALUE(MID(E205,FIND("-",E205)+1,9)),0),4))</f>
        <v/>
      </c>
      <c r="U205" s="0" t="str">
        <f aca="false">IF(I205=1,"K"&amp;RIGHT("00"&amp;A205,2)&amp;T205&amp;RIGHT("00000"&amp;ROW(),5),"")</f>
        <v/>
      </c>
      <c r="V205" s="0" t="str">
        <f aca="false">IF(U205="","",COUNTIFS($I$2:$I$1201,1,$U$2:$U$1201,"&lt;"&amp;U205)+1)</f>
        <v/>
      </c>
    </row>
    <row r="206" customFormat="false" ht="15" hidden="false" customHeight="false" outlineLevel="0" collapsed="false">
      <c r="A206" s="0" t="n">
        <v>4</v>
      </c>
      <c r="B206" s="0" t="n">
        <v>25</v>
      </c>
      <c r="C206" s="0" t="str">
        <f aca="false">TRIM(SUBSTITUTE(INDEX(LISTAS!$A$4:$T$63,B206,A206)&amp;"",CHAR(160)," "))</f>
        <v/>
      </c>
      <c r="D206" s="0" t="str">
        <f aca="false">IF(C206="","",TRIM(RIGHT(SUBSTITUTE(C206," ",REPT(" ",100)),100)))</f>
        <v/>
      </c>
      <c r="E206" s="0" t="str">
        <f aca="false">IF(D206="","",UPPER(SUBSTITUTE(SUBSTITUTE(D206,"(",""),")","")))</f>
        <v/>
      </c>
      <c r="F206" s="0" t="str">
        <f aca="false">IF(C206="","",LEFT(C206,FIND(" ",C206&amp;" ")-1))</f>
        <v/>
      </c>
      <c r="G206" s="0" t="n">
        <f aca="false">IFERROR(VALUE(SUBSTITUTE(LOWER(F206),"x","")),0)</f>
        <v>0</v>
      </c>
      <c r="H206" s="0" t="str">
        <f aca="false">IF(C206="","",TRIM(MID(C206,LEN(F206)+2,999)))</f>
        <v/>
      </c>
      <c r="I206" s="0" t="n">
        <f aca="false">IF(OR(C206="",LEFT(C206,2)="//"),0,IFERROR(IF(AND(G206&gt;0,G206=INT(G206),FIND("-",E206)&gt;1,NOT(EXACT(UPPER(LEFT(E206,1)),LOWER(LEFT(E206,1)))),ISNUMBER(VALUE(MID(E206,FIND("-",E206)+1,10)))),1,0),0))</f>
        <v>0</v>
      </c>
      <c r="J206" s="0" t="str">
        <f aca="false">IF(I206=1,TRIM(LEFT(H206,MAX(0,LEN(H206)-LEN(D206)))),"")</f>
        <v/>
      </c>
      <c r="K206" s="0" t="str">
        <f aca="false">INDEX($P$2:$P$21,A206)</f>
        <v>Deck 4</v>
      </c>
      <c r="L206" s="0" t="n">
        <f aca="false">IF(AND(C206&lt;&gt;"",LEFT(C206,2)&lt;&gt;"//",I206=0),1,0)</f>
        <v>0</v>
      </c>
      <c r="M206" s="0" t="str">
        <f aca="false">IF(I206=1,MAX(M$1:M205)+1,"")</f>
        <v/>
      </c>
      <c r="N206" s="0" t="str">
        <f aca="false">IFERROR(MATCH(ROW()-1,$V$2:$V$1201,0),"")</f>
        <v/>
      </c>
      <c r="R206" s="0" t="str">
        <f aca="false">IF(E206="","",IFERROR(LEFT(E206,FIND("-",E206)-1),E206))</f>
        <v/>
      </c>
      <c r="S206" s="0" t="str">
        <f aca="false">IF(R206="","",IF(ISNUMBER(--MID(R206,1,1)),0,IF(ISNUMBER(--MID(R206,2,1)),1,IF(ISNUMBER(--MID(R206,3,1)),2,IF(ISNUMBER(--MID(R206,4,1)),3,MIN(LEN(R206),4))))))</f>
        <v/>
      </c>
      <c r="T206" s="0" t="str">
        <f aca="false">IF(E206="","",LEFT(R206,S206)&amp;REPT("0",4-S206)&amp;RIGHT("000"&amp;IFERROR(VALUE(MID(R206,S206+1,9)),0),3)&amp;RIGHT("0000"&amp;IFERROR(VALUE(MID(E206,FIND("-",E206)+1,9)),0),4))</f>
        <v/>
      </c>
      <c r="U206" s="0" t="str">
        <f aca="false">IF(I206=1,"K"&amp;RIGHT("00"&amp;A206,2)&amp;T206&amp;RIGHT("00000"&amp;ROW(),5),"")</f>
        <v/>
      </c>
      <c r="V206" s="0" t="str">
        <f aca="false">IF(U206="","",COUNTIFS($I$2:$I$1201,1,$U$2:$U$1201,"&lt;"&amp;U206)+1)</f>
        <v/>
      </c>
    </row>
    <row r="207" customFormat="false" ht="15" hidden="false" customHeight="false" outlineLevel="0" collapsed="false">
      <c r="A207" s="0" t="n">
        <v>4</v>
      </c>
      <c r="B207" s="0" t="n">
        <v>26</v>
      </c>
      <c r="C207" s="0" t="str">
        <f aca="false">TRIM(SUBSTITUTE(INDEX(LISTAS!$A$4:$T$63,B207,A207)&amp;"",CHAR(160)," "))</f>
        <v/>
      </c>
      <c r="D207" s="0" t="str">
        <f aca="false">IF(C207="","",TRIM(RIGHT(SUBSTITUTE(C207," ",REPT(" ",100)),100)))</f>
        <v/>
      </c>
      <c r="E207" s="0" t="str">
        <f aca="false">IF(D207="","",UPPER(SUBSTITUTE(SUBSTITUTE(D207,"(",""),")","")))</f>
        <v/>
      </c>
      <c r="F207" s="0" t="str">
        <f aca="false">IF(C207="","",LEFT(C207,FIND(" ",C207&amp;" ")-1))</f>
        <v/>
      </c>
      <c r="G207" s="0" t="n">
        <f aca="false">IFERROR(VALUE(SUBSTITUTE(LOWER(F207),"x","")),0)</f>
        <v>0</v>
      </c>
      <c r="H207" s="0" t="str">
        <f aca="false">IF(C207="","",TRIM(MID(C207,LEN(F207)+2,999)))</f>
        <v/>
      </c>
      <c r="I207" s="0" t="n">
        <f aca="false">IF(OR(C207="",LEFT(C207,2)="//"),0,IFERROR(IF(AND(G207&gt;0,G207=INT(G207),FIND("-",E207)&gt;1,NOT(EXACT(UPPER(LEFT(E207,1)),LOWER(LEFT(E207,1)))),ISNUMBER(VALUE(MID(E207,FIND("-",E207)+1,10)))),1,0),0))</f>
        <v>0</v>
      </c>
      <c r="J207" s="0" t="str">
        <f aca="false">IF(I207=1,TRIM(LEFT(H207,MAX(0,LEN(H207)-LEN(D207)))),"")</f>
        <v/>
      </c>
      <c r="K207" s="0" t="str">
        <f aca="false">INDEX($P$2:$P$21,A207)</f>
        <v>Deck 4</v>
      </c>
      <c r="L207" s="0" t="n">
        <f aca="false">IF(AND(C207&lt;&gt;"",LEFT(C207,2)&lt;&gt;"//",I207=0),1,0)</f>
        <v>0</v>
      </c>
      <c r="M207" s="0" t="str">
        <f aca="false">IF(I207=1,MAX(M$1:M206)+1,"")</f>
        <v/>
      </c>
      <c r="N207" s="0" t="str">
        <f aca="false">IFERROR(MATCH(ROW()-1,$V$2:$V$1201,0),"")</f>
        <v/>
      </c>
      <c r="R207" s="0" t="str">
        <f aca="false">IF(E207="","",IFERROR(LEFT(E207,FIND("-",E207)-1),E207))</f>
        <v/>
      </c>
      <c r="S207" s="0" t="str">
        <f aca="false">IF(R207="","",IF(ISNUMBER(--MID(R207,1,1)),0,IF(ISNUMBER(--MID(R207,2,1)),1,IF(ISNUMBER(--MID(R207,3,1)),2,IF(ISNUMBER(--MID(R207,4,1)),3,MIN(LEN(R207),4))))))</f>
        <v/>
      </c>
      <c r="T207" s="0" t="str">
        <f aca="false">IF(E207="","",LEFT(R207,S207)&amp;REPT("0",4-S207)&amp;RIGHT("000"&amp;IFERROR(VALUE(MID(R207,S207+1,9)),0),3)&amp;RIGHT("0000"&amp;IFERROR(VALUE(MID(E207,FIND("-",E207)+1,9)),0),4))</f>
        <v/>
      </c>
      <c r="U207" s="0" t="str">
        <f aca="false">IF(I207=1,"K"&amp;RIGHT("00"&amp;A207,2)&amp;T207&amp;RIGHT("00000"&amp;ROW(),5),"")</f>
        <v/>
      </c>
      <c r="V207" s="0" t="str">
        <f aca="false">IF(U207="","",COUNTIFS($I$2:$I$1201,1,$U$2:$U$1201,"&lt;"&amp;U207)+1)</f>
        <v/>
      </c>
    </row>
    <row r="208" customFormat="false" ht="15" hidden="false" customHeight="false" outlineLevel="0" collapsed="false">
      <c r="A208" s="0" t="n">
        <v>4</v>
      </c>
      <c r="B208" s="0" t="n">
        <v>27</v>
      </c>
      <c r="C208" s="0" t="str">
        <f aca="false">TRIM(SUBSTITUTE(INDEX(LISTAS!$A$4:$T$63,B208,A208)&amp;"",CHAR(160)," "))</f>
        <v/>
      </c>
      <c r="D208" s="0" t="str">
        <f aca="false">IF(C208="","",TRIM(RIGHT(SUBSTITUTE(C208," ",REPT(" ",100)),100)))</f>
        <v/>
      </c>
      <c r="E208" s="0" t="str">
        <f aca="false">IF(D208="","",UPPER(SUBSTITUTE(SUBSTITUTE(D208,"(",""),")","")))</f>
        <v/>
      </c>
      <c r="F208" s="0" t="str">
        <f aca="false">IF(C208="","",LEFT(C208,FIND(" ",C208&amp;" ")-1))</f>
        <v/>
      </c>
      <c r="G208" s="0" t="n">
        <f aca="false">IFERROR(VALUE(SUBSTITUTE(LOWER(F208),"x","")),0)</f>
        <v>0</v>
      </c>
      <c r="H208" s="0" t="str">
        <f aca="false">IF(C208="","",TRIM(MID(C208,LEN(F208)+2,999)))</f>
        <v/>
      </c>
      <c r="I208" s="0" t="n">
        <f aca="false">IF(OR(C208="",LEFT(C208,2)="//"),0,IFERROR(IF(AND(G208&gt;0,G208=INT(G208),FIND("-",E208)&gt;1,NOT(EXACT(UPPER(LEFT(E208,1)),LOWER(LEFT(E208,1)))),ISNUMBER(VALUE(MID(E208,FIND("-",E208)+1,10)))),1,0),0))</f>
        <v>0</v>
      </c>
      <c r="J208" s="0" t="str">
        <f aca="false">IF(I208=1,TRIM(LEFT(H208,MAX(0,LEN(H208)-LEN(D208)))),"")</f>
        <v/>
      </c>
      <c r="K208" s="0" t="str">
        <f aca="false">INDEX($P$2:$P$21,A208)</f>
        <v>Deck 4</v>
      </c>
      <c r="L208" s="0" t="n">
        <f aca="false">IF(AND(C208&lt;&gt;"",LEFT(C208,2)&lt;&gt;"//",I208=0),1,0)</f>
        <v>0</v>
      </c>
      <c r="M208" s="0" t="str">
        <f aca="false">IF(I208=1,MAX(M$1:M207)+1,"")</f>
        <v/>
      </c>
      <c r="N208" s="0" t="str">
        <f aca="false">IFERROR(MATCH(ROW()-1,$V$2:$V$1201,0),"")</f>
        <v/>
      </c>
      <c r="R208" s="0" t="str">
        <f aca="false">IF(E208="","",IFERROR(LEFT(E208,FIND("-",E208)-1),E208))</f>
        <v/>
      </c>
      <c r="S208" s="0" t="str">
        <f aca="false">IF(R208="","",IF(ISNUMBER(--MID(R208,1,1)),0,IF(ISNUMBER(--MID(R208,2,1)),1,IF(ISNUMBER(--MID(R208,3,1)),2,IF(ISNUMBER(--MID(R208,4,1)),3,MIN(LEN(R208),4))))))</f>
        <v/>
      </c>
      <c r="T208" s="0" t="str">
        <f aca="false">IF(E208="","",LEFT(R208,S208)&amp;REPT("0",4-S208)&amp;RIGHT("000"&amp;IFERROR(VALUE(MID(R208,S208+1,9)),0),3)&amp;RIGHT("0000"&amp;IFERROR(VALUE(MID(E208,FIND("-",E208)+1,9)),0),4))</f>
        <v/>
      </c>
      <c r="U208" s="0" t="str">
        <f aca="false">IF(I208=1,"K"&amp;RIGHT("00"&amp;A208,2)&amp;T208&amp;RIGHT("00000"&amp;ROW(),5),"")</f>
        <v/>
      </c>
      <c r="V208" s="0" t="str">
        <f aca="false">IF(U208="","",COUNTIFS($I$2:$I$1201,1,$U$2:$U$1201,"&lt;"&amp;U208)+1)</f>
        <v/>
      </c>
    </row>
    <row r="209" customFormat="false" ht="15" hidden="false" customHeight="false" outlineLevel="0" collapsed="false">
      <c r="A209" s="0" t="n">
        <v>4</v>
      </c>
      <c r="B209" s="0" t="n">
        <v>28</v>
      </c>
      <c r="C209" s="0" t="str">
        <f aca="false">TRIM(SUBSTITUTE(INDEX(LISTAS!$A$4:$T$63,B209,A209)&amp;"",CHAR(160)," "))</f>
        <v/>
      </c>
      <c r="D209" s="0" t="str">
        <f aca="false">IF(C209="","",TRIM(RIGHT(SUBSTITUTE(C209," ",REPT(" ",100)),100)))</f>
        <v/>
      </c>
      <c r="E209" s="0" t="str">
        <f aca="false">IF(D209="","",UPPER(SUBSTITUTE(SUBSTITUTE(D209,"(",""),")","")))</f>
        <v/>
      </c>
      <c r="F209" s="0" t="str">
        <f aca="false">IF(C209="","",LEFT(C209,FIND(" ",C209&amp;" ")-1))</f>
        <v/>
      </c>
      <c r="G209" s="0" t="n">
        <f aca="false">IFERROR(VALUE(SUBSTITUTE(LOWER(F209),"x","")),0)</f>
        <v>0</v>
      </c>
      <c r="H209" s="0" t="str">
        <f aca="false">IF(C209="","",TRIM(MID(C209,LEN(F209)+2,999)))</f>
        <v/>
      </c>
      <c r="I209" s="0" t="n">
        <f aca="false">IF(OR(C209="",LEFT(C209,2)="//"),0,IFERROR(IF(AND(G209&gt;0,G209=INT(G209),FIND("-",E209)&gt;1,NOT(EXACT(UPPER(LEFT(E209,1)),LOWER(LEFT(E209,1)))),ISNUMBER(VALUE(MID(E209,FIND("-",E209)+1,10)))),1,0),0))</f>
        <v>0</v>
      </c>
      <c r="J209" s="0" t="str">
        <f aca="false">IF(I209=1,TRIM(LEFT(H209,MAX(0,LEN(H209)-LEN(D209)))),"")</f>
        <v/>
      </c>
      <c r="K209" s="0" t="str">
        <f aca="false">INDEX($P$2:$P$21,A209)</f>
        <v>Deck 4</v>
      </c>
      <c r="L209" s="0" t="n">
        <f aca="false">IF(AND(C209&lt;&gt;"",LEFT(C209,2)&lt;&gt;"//",I209=0),1,0)</f>
        <v>0</v>
      </c>
      <c r="M209" s="0" t="str">
        <f aca="false">IF(I209=1,MAX(M$1:M208)+1,"")</f>
        <v/>
      </c>
      <c r="N209" s="0" t="str">
        <f aca="false">IFERROR(MATCH(ROW()-1,$V$2:$V$1201,0),"")</f>
        <v/>
      </c>
      <c r="R209" s="0" t="str">
        <f aca="false">IF(E209="","",IFERROR(LEFT(E209,FIND("-",E209)-1),E209))</f>
        <v/>
      </c>
      <c r="S209" s="0" t="str">
        <f aca="false">IF(R209="","",IF(ISNUMBER(--MID(R209,1,1)),0,IF(ISNUMBER(--MID(R209,2,1)),1,IF(ISNUMBER(--MID(R209,3,1)),2,IF(ISNUMBER(--MID(R209,4,1)),3,MIN(LEN(R209),4))))))</f>
        <v/>
      </c>
      <c r="T209" s="0" t="str">
        <f aca="false">IF(E209="","",LEFT(R209,S209)&amp;REPT("0",4-S209)&amp;RIGHT("000"&amp;IFERROR(VALUE(MID(R209,S209+1,9)),0),3)&amp;RIGHT("0000"&amp;IFERROR(VALUE(MID(E209,FIND("-",E209)+1,9)),0),4))</f>
        <v/>
      </c>
      <c r="U209" s="0" t="str">
        <f aca="false">IF(I209=1,"K"&amp;RIGHT("00"&amp;A209,2)&amp;T209&amp;RIGHT("00000"&amp;ROW(),5),"")</f>
        <v/>
      </c>
      <c r="V209" s="0" t="str">
        <f aca="false">IF(U209="","",COUNTIFS($I$2:$I$1201,1,$U$2:$U$1201,"&lt;"&amp;U209)+1)</f>
        <v/>
      </c>
    </row>
    <row r="210" customFormat="false" ht="15" hidden="false" customHeight="false" outlineLevel="0" collapsed="false">
      <c r="A210" s="0" t="n">
        <v>4</v>
      </c>
      <c r="B210" s="0" t="n">
        <v>29</v>
      </c>
      <c r="C210" s="0" t="str">
        <f aca="false">TRIM(SUBSTITUTE(INDEX(LISTAS!$A$4:$T$63,B210,A210)&amp;"",CHAR(160)," "))</f>
        <v/>
      </c>
      <c r="D210" s="0" t="str">
        <f aca="false">IF(C210="","",TRIM(RIGHT(SUBSTITUTE(C210," ",REPT(" ",100)),100)))</f>
        <v/>
      </c>
      <c r="E210" s="0" t="str">
        <f aca="false">IF(D210="","",UPPER(SUBSTITUTE(SUBSTITUTE(D210,"(",""),")","")))</f>
        <v/>
      </c>
      <c r="F210" s="0" t="str">
        <f aca="false">IF(C210="","",LEFT(C210,FIND(" ",C210&amp;" ")-1))</f>
        <v/>
      </c>
      <c r="G210" s="0" t="n">
        <f aca="false">IFERROR(VALUE(SUBSTITUTE(LOWER(F210),"x","")),0)</f>
        <v>0</v>
      </c>
      <c r="H210" s="0" t="str">
        <f aca="false">IF(C210="","",TRIM(MID(C210,LEN(F210)+2,999)))</f>
        <v/>
      </c>
      <c r="I210" s="0" t="n">
        <f aca="false">IF(OR(C210="",LEFT(C210,2)="//"),0,IFERROR(IF(AND(G210&gt;0,G210=INT(G210),FIND("-",E210)&gt;1,NOT(EXACT(UPPER(LEFT(E210,1)),LOWER(LEFT(E210,1)))),ISNUMBER(VALUE(MID(E210,FIND("-",E210)+1,10)))),1,0),0))</f>
        <v>0</v>
      </c>
      <c r="J210" s="0" t="str">
        <f aca="false">IF(I210=1,TRIM(LEFT(H210,MAX(0,LEN(H210)-LEN(D210)))),"")</f>
        <v/>
      </c>
      <c r="K210" s="0" t="str">
        <f aca="false">INDEX($P$2:$P$21,A210)</f>
        <v>Deck 4</v>
      </c>
      <c r="L210" s="0" t="n">
        <f aca="false">IF(AND(C210&lt;&gt;"",LEFT(C210,2)&lt;&gt;"//",I210=0),1,0)</f>
        <v>0</v>
      </c>
      <c r="M210" s="0" t="str">
        <f aca="false">IF(I210=1,MAX(M$1:M209)+1,"")</f>
        <v/>
      </c>
      <c r="N210" s="0" t="str">
        <f aca="false">IFERROR(MATCH(ROW()-1,$V$2:$V$1201,0),"")</f>
        <v/>
      </c>
      <c r="R210" s="0" t="str">
        <f aca="false">IF(E210="","",IFERROR(LEFT(E210,FIND("-",E210)-1),E210))</f>
        <v/>
      </c>
      <c r="S210" s="0" t="str">
        <f aca="false">IF(R210="","",IF(ISNUMBER(--MID(R210,1,1)),0,IF(ISNUMBER(--MID(R210,2,1)),1,IF(ISNUMBER(--MID(R210,3,1)),2,IF(ISNUMBER(--MID(R210,4,1)),3,MIN(LEN(R210),4))))))</f>
        <v/>
      </c>
      <c r="T210" s="0" t="str">
        <f aca="false">IF(E210="","",LEFT(R210,S210)&amp;REPT("0",4-S210)&amp;RIGHT("000"&amp;IFERROR(VALUE(MID(R210,S210+1,9)),0),3)&amp;RIGHT("0000"&amp;IFERROR(VALUE(MID(E210,FIND("-",E210)+1,9)),0),4))</f>
        <v/>
      </c>
      <c r="U210" s="0" t="str">
        <f aca="false">IF(I210=1,"K"&amp;RIGHT("00"&amp;A210,2)&amp;T210&amp;RIGHT("00000"&amp;ROW(),5),"")</f>
        <v/>
      </c>
      <c r="V210" s="0" t="str">
        <f aca="false">IF(U210="","",COUNTIFS($I$2:$I$1201,1,$U$2:$U$1201,"&lt;"&amp;U210)+1)</f>
        <v/>
      </c>
    </row>
    <row r="211" customFormat="false" ht="15" hidden="false" customHeight="false" outlineLevel="0" collapsed="false">
      <c r="A211" s="0" t="n">
        <v>4</v>
      </c>
      <c r="B211" s="0" t="n">
        <v>30</v>
      </c>
      <c r="C211" s="0" t="str">
        <f aca="false">TRIM(SUBSTITUTE(INDEX(LISTAS!$A$4:$T$63,B211,A211)&amp;"",CHAR(160)," "))</f>
        <v/>
      </c>
      <c r="D211" s="0" t="str">
        <f aca="false">IF(C211="","",TRIM(RIGHT(SUBSTITUTE(C211," ",REPT(" ",100)),100)))</f>
        <v/>
      </c>
      <c r="E211" s="0" t="str">
        <f aca="false">IF(D211="","",UPPER(SUBSTITUTE(SUBSTITUTE(D211,"(",""),")","")))</f>
        <v/>
      </c>
      <c r="F211" s="0" t="str">
        <f aca="false">IF(C211="","",LEFT(C211,FIND(" ",C211&amp;" ")-1))</f>
        <v/>
      </c>
      <c r="G211" s="0" t="n">
        <f aca="false">IFERROR(VALUE(SUBSTITUTE(LOWER(F211),"x","")),0)</f>
        <v>0</v>
      </c>
      <c r="H211" s="0" t="str">
        <f aca="false">IF(C211="","",TRIM(MID(C211,LEN(F211)+2,999)))</f>
        <v/>
      </c>
      <c r="I211" s="0" t="n">
        <f aca="false">IF(OR(C211="",LEFT(C211,2)="//"),0,IFERROR(IF(AND(G211&gt;0,G211=INT(G211),FIND("-",E211)&gt;1,NOT(EXACT(UPPER(LEFT(E211,1)),LOWER(LEFT(E211,1)))),ISNUMBER(VALUE(MID(E211,FIND("-",E211)+1,10)))),1,0),0))</f>
        <v>0</v>
      </c>
      <c r="J211" s="0" t="str">
        <f aca="false">IF(I211=1,TRIM(LEFT(H211,MAX(0,LEN(H211)-LEN(D211)))),"")</f>
        <v/>
      </c>
      <c r="K211" s="0" t="str">
        <f aca="false">INDEX($P$2:$P$21,A211)</f>
        <v>Deck 4</v>
      </c>
      <c r="L211" s="0" t="n">
        <f aca="false">IF(AND(C211&lt;&gt;"",LEFT(C211,2)&lt;&gt;"//",I211=0),1,0)</f>
        <v>0</v>
      </c>
      <c r="M211" s="0" t="str">
        <f aca="false">IF(I211=1,MAX(M$1:M210)+1,"")</f>
        <v/>
      </c>
      <c r="N211" s="0" t="str">
        <f aca="false">IFERROR(MATCH(ROW()-1,$V$2:$V$1201,0),"")</f>
        <v/>
      </c>
      <c r="R211" s="0" t="str">
        <f aca="false">IF(E211="","",IFERROR(LEFT(E211,FIND("-",E211)-1),E211))</f>
        <v/>
      </c>
      <c r="S211" s="0" t="str">
        <f aca="false">IF(R211="","",IF(ISNUMBER(--MID(R211,1,1)),0,IF(ISNUMBER(--MID(R211,2,1)),1,IF(ISNUMBER(--MID(R211,3,1)),2,IF(ISNUMBER(--MID(R211,4,1)),3,MIN(LEN(R211),4))))))</f>
        <v/>
      </c>
      <c r="T211" s="0" t="str">
        <f aca="false">IF(E211="","",LEFT(R211,S211)&amp;REPT("0",4-S211)&amp;RIGHT("000"&amp;IFERROR(VALUE(MID(R211,S211+1,9)),0),3)&amp;RIGHT("0000"&amp;IFERROR(VALUE(MID(E211,FIND("-",E211)+1,9)),0),4))</f>
        <v/>
      </c>
      <c r="U211" s="0" t="str">
        <f aca="false">IF(I211=1,"K"&amp;RIGHT("00"&amp;A211,2)&amp;T211&amp;RIGHT("00000"&amp;ROW(),5),"")</f>
        <v/>
      </c>
      <c r="V211" s="0" t="str">
        <f aca="false">IF(U211="","",COUNTIFS($I$2:$I$1201,1,$U$2:$U$1201,"&lt;"&amp;U211)+1)</f>
        <v/>
      </c>
    </row>
    <row r="212" customFormat="false" ht="15" hidden="false" customHeight="false" outlineLevel="0" collapsed="false">
      <c r="A212" s="0" t="n">
        <v>4</v>
      </c>
      <c r="B212" s="0" t="n">
        <v>31</v>
      </c>
      <c r="C212" s="0" t="str">
        <f aca="false">TRIM(SUBSTITUTE(INDEX(LISTAS!$A$4:$T$63,B212,A212)&amp;"",CHAR(160)," "))</f>
        <v/>
      </c>
      <c r="D212" s="0" t="str">
        <f aca="false">IF(C212="","",TRIM(RIGHT(SUBSTITUTE(C212," ",REPT(" ",100)),100)))</f>
        <v/>
      </c>
      <c r="E212" s="0" t="str">
        <f aca="false">IF(D212="","",UPPER(SUBSTITUTE(SUBSTITUTE(D212,"(",""),")","")))</f>
        <v/>
      </c>
      <c r="F212" s="0" t="str">
        <f aca="false">IF(C212="","",LEFT(C212,FIND(" ",C212&amp;" ")-1))</f>
        <v/>
      </c>
      <c r="G212" s="0" t="n">
        <f aca="false">IFERROR(VALUE(SUBSTITUTE(LOWER(F212),"x","")),0)</f>
        <v>0</v>
      </c>
      <c r="H212" s="0" t="str">
        <f aca="false">IF(C212="","",TRIM(MID(C212,LEN(F212)+2,999)))</f>
        <v/>
      </c>
      <c r="I212" s="0" t="n">
        <f aca="false">IF(OR(C212="",LEFT(C212,2)="//"),0,IFERROR(IF(AND(G212&gt;0,G212=INT(G212),FIND("-",E212)&gt;1,NOT(EXACT(UPPER(LEFT(E212,1)),LOWER(LEFT(E212,1)))),ISNUMBER(VALUE(MID(E212,FIND("-",E212)+1,10)))),1,0),0))</f>
        <v>0</v>
      </c>
      <c r="J212" s="0" t="str">
        <f aca="false">IF(I212=1,TRIM(LEFT(H212,MAX(0,LEN(H212)-LEN(D212)))),"")</f>
        <v/>
      </c>
      <c r="K212" s="0" t="str">
        <f aca="false">INDEX($P$2:$P$21,A212)</f>
        <v>Deck 4</v>
      </c>
      <c r="L212" s="0" t="n">
        <f aca="false">IF(AND(C212&lt;&gt;"",LEFT(C212,2)&lt;&gt;"//",I212=0),1,0)</f>
        <v>0</v>
      </c>
      <c r="M212" s="0" t="str">
        <f aca="false">IF(I212=1,MAX(M$1:M211)+1,"")</f>
        <v/>
      </c>
      <c r="N212" s="0" t="str">
        <f aca="false">IFERROR(MATCH(ROW()-1,$V$2:$V$1201,0),"")</f>
        <v/>
      </c>
      <c r="R212" s="0" t="str">
        <f aca="false">IF(E212="","",IFERROR(LEFT(E212,FIND("-",E212)-1),E212))</f>
        <v/>
      </c>
      <c r="S212" s="0" t="str">
        <f aca="false">IF(R212="","",IF(ISNUMBER(--MID(R212,1,1)),0,IF(ISNUMBER(--MID(R212,2,1)),1,IF(ISNUMBER(--MID(R212,3,1)),2,IF(ISNUMBER(--MID(R212,4,1)),3,MIN(LEN(R212),4))))))</f>
        <v/>
      </c>
      <c r="T212" s="0" t="str">
        <f aca="false">IF(E212="","",LEFT(R212,S212)&amp;REPT("0",4-S212)&amp;RIGHT("000"&amp;IFERROR(VALUE(MID(R212,S212+1,9)),0),3)&amp;RIGHT("0000"&amp;IFERROR(VALUE(MID(E212,FIND("-",E212)+1,9)),0),4))</f>
        <v/>
      </c>
      <c r="U212" s="0" t="str">
        <f aca="false">IF(I212=1,"K"&amp;RIGHT("00"&amp;A212,2)&amp;T212&amp;RIGHT("00000"&amp;ROW(),5),"")</f>
        <v/>
      </c>
      <c r="V212" s="0" t="str">
        <f aca="false">IF(U212="","",COUNTIFS($I$2:$I$1201,1,$U$2:$U$1201,"&lt;"&amp;U212)+1)</f>
        <v/>
      </c>
    </row>
    <row r="213" customFormat="false" ht="15" hidden="false" customHeight="false" outlineLevel="0" collapsed="false">
      <c r="A213" s="0" t="n">
        <v>4</v>
      </c>
      <c r="B213" s="0" t="n">
        <v>32</v>
      </c>
      <c r="C213" s="0" t="str">
        <f aca="false">TRIM(SUBSTITUTE(INDEX(LISTAS!$A$4:$T$63,B213,A213)&amp;"",CHAR(160)," "))</f>
        <v/>
      </c>
      <c r="D213" s="0" t="str">
        <f aca="false">IF(C213="","",TRIM(RIGHT(SUBSTITUTE(C213," ",REPT(" ",100)),100)))</f>
        <v/>
      </c>
      <c r="E213" s="0" t="str">
        <f aca="false">IF(D213="","",UPPER(SUBSTITUTE(SUBSTITUTE(D213,"(",""),")","")))</f>
        <v/>
      </c>
      <c r="F213" s="0" t="str">
        <f aca="false">IF(C213="","",LEFT(C213,FIND(" ",C213&amp;" ")-1))</f>
        <v/>
      </c>
      <c r="G213" s="0" t="n">
        <f aca="false">IFERROR(VALUE(SUBSTITUTE(LOWER(F213),"x","")),0)</f>
        <v>0</v>
      </c>
      <c r="H213" s="0" t="str">
        <f aca="false">IF(C213="","",TRIM(MID(C213,LEN(F213)+2,999)))</f>
        <v/>
      </c>
      <c r="I213" s="0" t="n">
        <f aca="false">IF(OR(C213="",LEFT(C213,2)="//"),0,IFERROR(IF(AND(G213&gt;0,G213=INT(G213),FIND("-",E213)&gt;1,NOT(EXACT(UPPER(LEFT(E213,1)),LOWER(LEFT(E213,1)))),ISNUMBER(VALUE(MID(E213,FIND("-",E213)+1,10)))),1,0),0))</f>
        <v>0</v>
      </c>
      <c r="J213" s="0" t="str">
        <f aca="false">IF(I213=1,TRIM(LEFT(H213,MAX(0,LEN(H213)-LEN(D213)))),"")</f>
        <v/>
      </c>
      <c r="K213" s="0" t="str">
        <f aca="false">INDEX($P$2:$P$21,A213)</f>
        <v>Deck 4</v>
      </c>
      <c r="L213" s="0" t="n">
        <f aca="false">IF(AND(C213&lt;&gt;"",LEFT(C213,2)&lt;&gt;"//",I213=0),1,0)</f>
        <v>0</v>
      </c>
      <c r="M213" s="0" t="str">
        <f aca="false">IF(I213=1,MAX(M$1:M212)+1,"")</f>
        <v/>
      </c>
      <c r="N213" s="0" t="str">
        <f aca="false">IFERROR(MATCH(ROW()-1,$V$2:$V$1201,0),"")</f>
        <v/>
      </c>
      <c r="R213" s="0" t="str">
        <f aca="false">IF(E213="","",IFERROR(LEFT(E213,FIND("-",E213)-1),E213))</f>
        <v/>
      </c>
      <c r="S213" s="0" t="str">
        <f aca="false">IF(R213="","",IF(ISNUMBER(--MID(R213,1,1)),0,IF(ISNUMBER(--MID(R213,2,1)),1,IF(ISNUMBER(--MID(R213,3,1)),2,IF(ISNUMBER(--MID(R213,4,1)),3,MIN(LEN(R213),4))))))</f>
        <v/>
      </c>
      <c r="T213" s="0" t="str">
        <f aca="false">IF(E213="","",LEFT(R213,S213)&amp;REPT("0",4-S213)&amp;RIGHT("000"&amp;IFERROR(VALUE(MID(R213,S213+1,9)),0),3)&amp;RIGHT("0000"&amp;IFERROR(VALUE(MID(E213,FIND("-",E213)+1,9)),0),4))</f>
        <v/>
      </c>
      <c r="U213" s="0" t="str">
        <f aca="false">IF(I213=1,"K"&amp;RIGHT("00"&amp;A213,2)&amp;T213&amp;RIGHT("00000"&amp;ROW(),5),"")</f>
        <v/>
      </c>
      <c r="V213" s="0" t="str">
        <f aca="false">IF(U213="","",COUNTIFS($I$2:$I$1201,1,$U$2:$U$1201,"&lt;"&amp;U213)+1)</f>
        <v/>
      </c>
    </row>
    <row r="214" customFormat="false" ht="15" hidden="false" customHeight="false" outlineLevel="0" collapsed="false">
      <c r="A214" s="0" t="n">
        <v>4</v>
      </c>
      <c r="B214" s="0" t="n">
        <v>33</v>
      </c>
      <c r="C214" s="0" t="str">
        <f aca="false">TRIM(SUBSTITUTE(INDEX(LISTAS!$A$4:$T$63,B214,A214)&amp;"",CHAR(160)," "))</f>
        <v/>
      </c>
      <c r="D214" s="0" t="str">
        <f aca="false">IF(C214="","",TRIM(RIGHT(SUBSTITUTE(C214," ",REPT(" ",100)),100)))</f>
        <v/>
      </c>
      <c r="E214" s="0" t="str">
        <f aca="false">IF(D214="","",UPPER(SUBSTITUTE(SUBSTITUTE(D214,"(",""),")","")))</f>
        <v/>
      </c>
      <c r="F214" s="0" t="str">
        <f aca="false">IF(C214="","",LEFT(C214,FIND(" ",C214&amp;" ")-1))</f>
        <v/>
      </c>
      <c r="G214" s="0" t="n">
        <f aca="false">IFERROR(VALUE(SUBSTITUTE(LOWER(F214),"x","")),0)</f>
        <v>0</v>
      </c>
      <c r="H214" s="0" t="str">
        <f aca="false">IF(C214="","",TRIM(MID(C214,LEN(F214)+2,999)))</f>
        <v/>
      </c>
      <c r="I214" s="0" t="n">
        <f aca="false">IF(OR(C214="",LEFT(C214,2)="//"),0,IFERROR(IF(AND(G214&gt;0,G214=INT(G214),FIND("-",E214)&gt;1,NOT(EXACT(UPPER(LEFT(E214,1)),LOWER(LEFT(E214,1)))),ISNUMBER(VALUE(MID(E214,FIND("-",E214)+1,10)))),1,0),0))</f>
        <v>0</v>
      </c>
      <c r="J214" s="0" t="str">
        <f aca="false">IF(I214=1,TRIM(LEFT(H214,MAX(0,LEN(H214)-LEN(D214)))),"")</f>
        <v/>
      </c>
      <c r="K214" s="0" t="str">
        <f aca="false">INDEX($P$2:$P$21,A214)</f>
        <v>Deck 4</v>
      </c>
      <c r="L214" s="0" t="n">
        <f aca="false">IF(AND(C214&lt;&gt;"",LEFT(C214,2)&lt;&gt;"//",I214=0),1,0)</f>
        <v>0</v>
      </c>
      <c r="M214" s="0" t="str">
        <f aca="false">IF(I214=1,MAX(M$1:M213)+1,"")</f>
        <v/>
      </c>
      <c r="N214" s="0" t="str">
        <f aca="false">IFERROR(MATCH(ROW()-1,$V$2:$V$1201,0),"")</f>
        <v/>
      </c>
      <c r="R214" s="0" t="str">
        <f aca="false">IF(E214="","",IFERROR(LEFT(E214,FIND("-",E214)-1),E214))</f>
        <v/>
      </c>
      <c r="S214" s="0" t="str">
        <f aca="false">IF(R214="","",IF(ISNUMBER(--MID(R214,1,1)),0,IF(ISNUMBER(--MID(R214,2,1)),1,IF(ISNUMBER(--MID(R214,3,1)),2,IF(ISNUMBER(--MID(R214,4,1)),3,MIN(LEN(R214),4))))))</f>
        <v/>
      </c>
      <c r="T214" s="0" t="str">
        <f aca="false">IF(E214="","",LEFT(R214,S214)&amp;REPT("0",4-S214)&amp;RIGHT("000"&amp;IFERROR(VALUE(MID(R214,S214+1,9)),0),3)&amp;RIGHT("0000"&amp;IFERROR(VALUE(MID(E214,FIND("-",E214)+1,9)),0),4))</f>
        <v/>
      </c>
      <c r="U214" s="0" t="str">
        <f aca="false">IF(I214=1,"K"&amp;RIGHT("00"&amp;A214,2)&amp;T214&amp;RIGHT("00000"&amp;ROW(),5),"")</f>
        <v/>
      </c>
      <c r="V214" s="0" t="str">
        <f aca="false">IF(U214="","",COUNTIFS($I$2:$I$1201,1,$U$2:$U$1201,"&lt;"&amp;U214)+1)</f>
        <v/>
      </c>
    </row>
    <row r="215" customFormat="false" ht="15" hidden="false" customHeight="false" outlineLevel="0" collapsed="false">
      <c r="A215" s="0" t="n">
        <v>4</v>
      </c>
      <c r="B215" s="0" t="n">
        <v>34</v>
      </c>
      <c r="C215" s="0" t="str">
        <f aca="false">TRIM(SUBSTITUTE(INDEX(LISTAS!$A$4:$T$63,B215,A215)&amp;"",CHAR(160)," "))</f>
        <v/>
      </c>
      <c r="D215" s="0" t="str">
        <f aca="false">IF(C215="","",TRIM(RIGHT(SUBSTITUTE(C215," ",REPT(" ",100)),100)))</f>
        <v/>
      </c>
      <c r="E215" s="0" t="str">
        <f aca="false">IF(D215="","",UPPER(SUBSTITUTE(SUBSTITUTE(D215,"(",""),")","")))</f>
        <v/>
      </c>
      <c r="F215" s="0" t="str">
        <f aca="false">IF(C215="","",LEFT(C215,FIND(" ",C215&amp;" ")-1))</f>
        <v/>
      </c>
      <c r="G215" s="0" t="n">
        <f aca="false">IFERROR(VALUE(SUBSTITUTE(LOWER(F215),"x","")),0)</f>
        <v>0</v>
      </c>
      <c r="H215" s="0" t="str">
        <f aca="false">IF(C215="","",TRIM(MID(C215,LEN(F215)+2,999)))</f>
        <v/>
      </c>
      <c r="I215" s="0" t="n">
        <f aca="false">IF(OR(C215="",LEFT(C215,2)="//"),0,IFERROR(IF(AND(G215&gt;0,G215=INT(G215),FIND("-",E215)&gt;1,NOT(EXACT(UPPER(LEFT(E215,1)),LOWER(LEFT(E215,1)))),ISNUMBER(VALUE(MID(E215,FIND("-",E215)+1,10)))),1,0),0))</f>
        <v>0</v>
      </c>
      <c r="J215" s="0" t="str">
        <f aca="false">IF(I215=1,TRIM(LEFT(H215,MAX(0,LEN(H215)-LEN(D215)))),"")</f>
        <v/>
      </c>
      <c r="K215" s="0" t="str">
        <f aca="false">INDEX($P$2:$P$21,A215)</f>
        <v>Deck 4</v>
      </c>
      <c r="L215" s="0" t="n">
        <f aca="false">IF(AND(C215&lt;&gt;"",LEFT(C215,2)&lt;&gt;"//",I215=0),1,0)</f>
        <v>0</v>
      </c>
      <c r="M215" s="0" t="str">
        <f aca="false">IF(I215=1,MAX(M$1:M214)+1,"")</f>
        <v/>
      </c>
      <c r="N215" s="0" t="str">
        <f aca="false">IFERROR(MATCH(ROW()-1,$V$2:$V$1201,0),"")</f>
        <v/>
      </c>
      <c r="R215" s="0" t="str">
        <f aca="false">IF(E215="","",IFERROR(LEFT(E215,FIND("-",E215)-1),E215))</f>
        <v/>
      </c>
      <c r="S215" s="0" t="str">
        <f aca="false">IF(R215="","",IF(ISNUMBER(--MID(R215,1,1)),0,IF(ISNUMBER(--MID(R215,2,1)),1,IF(ISNUMBER(--MID(R215,3,1)),2,IF(ISNUMBER(--MID(R215,4,1)),3,MIN(LEN(R215),4))))))</f>
        <v/>
      </c>
      <c r="T215" s="0" t="str">
        <f aca="false">IF(E215="","",LEFT(R215,S215)&amp;REPT("0",4-S215)&amp;RIGHT("000"&amp;IFERROR(VALUE(MID(R215,S215+1,9)),0),3)&amp;RIGHT("0000"&amp;IFERROR(VALUE(MID(E215,FIND("-",E215)+1,9)),0),4))</f>
        <v/>
      </c>
      <c r="U215" s="0" t="str">
        <f aca="false">IF(I215=1,"K"&amp;RIGHT("00"&amp;A215,2)&amp;T215&amp;RIGHT("00000"&amp;ROW(),5),"")</f>
        <v/>
      </c>
      <c r="V215" s="0" t="str">
        <f aca="false">IF(U215="","",COUNTIFS($I$2:$I$1201,1,$U$2:$U$1201,"&lt;"&amp;U215)+1)</f>
        <v/>
      </c>
    </row>
    <row r="216" customFormat="false" ht="15" hidden="false" customHeight="false" outlineLevel="0" collapsed="false">
      <c r="A216" s="0" t="n">
        <v>4</v>
      </c>
      <c r="B216" s="0" t="n">
        <v>35</v>
      </c>
      <c r="C216" s="0" t="str">
        <f aca="false">TRIM(SUBSTITUTE(INDEX(LISTAS!$A$4:$T$63,B216,A216)&amp;"",CHAR(160)," "))</f>
        <v/>
      </c>
      <c r="D216" s="0" t="str">
        <f aca="false">IF(C216="","",TRIM(RIGHT(SUBSTITUTE(C216," ",REPT(" ",100)),100)))</f>
        <v/>
      </c>
      <c r="E216" s="0" t="str">
        <f aca="false">IF(D216="","",UPPER(SUBSTITUTE(SUBSTITUTE(D216,"(",""),")","")))</f>
        <v/>
      </c>
      <c r="F216" s="0" t="str">
        <f aca="false">IF(C216="","",LEFT(C216,FIND(" ",C216&amp;" ")-1))</f>
        <v/>
      </c>
      <c r="G216" s="0" t="n">
        <f aca="false">IFERROR(VALUE(SUBSTITUTE(LOWER(F216),"x","")),0)</f>
        <v>0</v>
      </c>
      <c r="H216" s="0" t="str">
        <f aca="false">IF(C216="","",TRIM(MID(C216,LEN(F216)+2,999)))</f>
        <v/>
      </c>
      <c r="I216" s="0" t="n">
        <f aca="false">IF(OR(C216="",LEFT(C216,2)="//"),0,IFERROR(IF(AND(G216&gt;0,G216=INT(G216),FIND("-",E216)&gt;1,NOT(EXACT(UPPER(LEFT(E216,1)),LOWER(LEFT(E216,1)))),ISNUMBER(VALUE(MID(E216,FIND("-",E216)+1,10)))),1,0),0))</f>
        <v>0</v>
      </c>
      <c r="J216" s="0" t="str">
        <f aca="false">IF(I216=1,TRIM(LEFT(H216,MAX(0,LEN(H216)-LEN(D216)))),"")</f>
        <v/>
      </c>
      <c r="K216" s="0" t="str">
        <f aca="false">INDEX($P$2:$P$21,A216)</f>
        <v>Deck 4</v>
      </c>
      <c r="L216" s="0" t="n">
        <f aca="false">IF(AND(C216&lt;&gt;"",LEFT(C216,2)&lt;&gt;"//",I216=0),1,0)</f>
        <v>0</v>
      </c>
      <c r="M216" s="0" t="str">
        <f aca="false">IF(I216=1,MAX(M$1:M215)+1,"")</f>
        <v/>
      </c>
      <c r="N216" s="0" t="str">
        <f aca="false">IFERROR(MATCH(ROW()-1,$V$2:$V$1201,0),"")</f>
        <v/>
      </c>
      <c r="R216" s="0" t="str">
        <f aca="false">IF(E216="","",IFERROR(LEFT(E216,FIND("-",E216)-1),E216))</f>
        <v/>
      </c>
      <c r="S216" s="0" t="str">
        <f aca="false">IF(R216="","",IF(ISNUMBER(--MID(R216,1,1)),0,IF(ISNUMBER(--MID(R216,2,1)),1,IF(ISNUMBER(--MID(R216,3,1)),2,IF(ISNUMBER(--MID(R216,4,1)),3,MIN(LEN(R216),4))))))</f>
        <v/>
      </c>
      <c r="T216" s="0" t="str">
        <f aca="false">IF(E216="","",LEFT(R216,S216)&amp;REPT("0",4-S216)&amp;RIGHT("000"&amp;IFERROR(VALUE(MID(R216,S216+1,9)),0),3)&amp;RIGHT("0000"&amp;IFERROR(VALUE(MID(E216,FIND("-",E216)+1,9)),0),4))</f>
        <v/>
      </c>
      <c r="U216" s="0" t="str">
        <f aca="false">IF(I216=1,"K"&amp;RIGHT("00"&amp;A216,2)&amp;T216&amp;RIGHT("00000"&amp;ROW(),5),"")</f>
        <v/>
      </c>
      <c r="V216" s="0" t="str">
        <f aca="false">IF(U216="","",COUNTIFS($I$2:$I$1201,1,$U$2:$U$1201,"&lt;"&amp;U216)+1)</f>
        <v/>
      </c>
    </row>
    <row r="217" customFormat="false" ht="15" hidden="false" customHeight="false" outlineLevel="0" collapsed="false">
      <c r="A217" s="0" t="n">
        <v>4</v>
      </c>
      <c r="B217" s="0" t="n">
        <v>36</v>
      </c>
      <c r="C217" s="0" t="str">
        <f aca="false">TRIM(SUBSTITUTE(INDEX(LISTAS!$A$4:$T$63,B217,A217)&amp;"",CHAR(160)," "))</f>
        <v/>
      </c>
      <c r="D217" s="0" t="str">
        <f aca="false">IF(C217="","",TRIM(RIGHT(SUBSTITUTE(C217," ",REPT(" ",100)),100)))</f>
        <v/>
      </c>
      <c r="E217" s="0" t="str">
        <f aca="false">IF(D217="","",UPPER(SUBSTITUTE(SUBSTITUTE(D217,"(",""),")","")))</f>
        <v/>
      </c>
      <c r="F217" s="0" t="str">
        <f aca="false">IF(C217="","",LEFT(C217,FIND(" ",C217&amp;" ")-1))</f>
        <v/>
      </c>
      <c r="G217" s="0" t="n">
        <f aca="false">IFERROR(VALUE(SUBSTITUTE(LOWER(F217),"x","")),0)</f>
        <v>0</v>
      </c>
      <c r="H217" s="0" t="str">
        <f aca="false">IF(C217="","",TRIM(MID(C217,LEN(F217)+2,999)))</f>
        <v/>
      </c>
      <c r="I217" s="0" t="n">
        <f aca="false">IF(OR(C217="",LEFT(C217,2)="//"),0,IFERROR(IF(AND(G217&gt;0,G217=INT(G217),FIND("-",E217)&gt;1,NOT(EXACT(UPPER(LEFT(E217,1)),LOWER(LEFT(E217,1)))),ISNUMBER(VALUE(MID(E217,FIND("-",E217)+1,10)))),1,0),0))</f>
        <v>0</v>
      </c>
      <c r="J217" s="0" t="str">
        <f aca="false">IF(I217=1,TRIM(LEFT(H217,MAX(0,LEN(H217)-LEN(D217)))),"")</f>
        <v/>
      </c>
      <c r="K217" s="0" t="str">
        <f aca="false">INDEX($P$2:$P$21,A217)</f>
        <v>Deck 4</v>
      </c>
      <c r="L217" s="0" t="n">
        <f aca="false">IF(AND(C217&lt;&gt;"",LEFT(C217,2)&lt;&gt;"//",I217=0),1,0)</f>
        <v>0</v>
      </c>
      <c r="M217" s="0" t="str">
        <f aca="false">IF(I217=1,MAX(M$1:M216)+1,"")</f>
        <v/>
      </c>
      <c r="N217" s="0" t="str">
        <f aca="false">IFERROR(MATCH(ROW()-1,$V$2:$V$1201,0),"")</f>
        <v/>
      </c>
      <c r="R217" s="0" t="str">
        <f aca="false">IF(E217="","",IFERROR(LEFT(E217,FIND("-",E217)-1),E217))</f>
        <v/>
      </c>
      <c r="S217" s="0" t="str">
        <f aca="false">IF(R217="","",IF(ISNUMBER(--MID(R217,1,1)),0,IF(ISNUMBER(--MID(R217,2,1)),1,IF(ISNUMBER(--MID(R217,3,1)),2,IF(ISNUMBER(--MID(R217,4,1)),3,MIN(LEN(R217),4))))))</f>
        <v/>
      </c>
      <c r="T217" s="0" t="str">
        <f aca="false">IF(E217="","",LEFT(R217,S217)&amp;REPT("0",4-S217)&amp;RIGHT("000"&amp;IFERROR(VALUE(MID(R217,S217+1,9)),0),3)&amp;RIGHT("0000"&amp;IFERROR(VALUE(MID(E217,FIND("-",E217)+1,9)),0),4))</f>
        <v/>
      </c>
      <c r="U217" s="0" t="str">
        <f aca="false">IF(I217=1,"K"&amp;RIGHT("00"&amp;A217,2)&amp;T217&amp;RIGHT("00000"&amp;ROW(),5),"")</f>
        <v/>
      </c>
      <c r="V217" s="0" t="str">
        <f aca="false">IF(U217="","",COUNTIFS($I$2:$I$1201,1,$U$2:$U$1201,"&lt;"&amp;U217)+1)</f>
        <v/>
      </c>
    </row>
    <row r="218" customFormat="false" ht="15" hidden="false" customHeight="false" outlineLevel="0" collapsed="false">
      <c r="A218" s="0" t="n">
        <v>4</v>
      </c>
      <c r="B218" s="0" t="n">
        <v>37</v>
      </c>
      <c r="C218" s="0" t="str">
        <f aca="false">TRIM(SUBSTITUTE(INDEX(LISTAS!$A$4:$T$63,B218,A218)&amp;"",CHAR(160)," "))</f>
        <v/>
      </c>
      <c r="D218" s="0" t="str">
        <f aca="false">IF(C218="","",TRIM(RIGHT(SUBSTITUTE(C218," ",REPT(" ",100)),100)))</f>
        <v/>
      </c>
      <c r="E218" s="0" t="str">
        <f aca="false">IF(D218="","",UPPER(SUBSTITUTE(SUBSTITUTE(D218,"(",""),")","")))</f>
        <v/>
      </c>
      <c r="F218" s="0" t="str">
        <f aca="false">IF(C218="","",LEFT(C218,FIND(" ",C218&amp;" ")-1))</f>
        <v/>
      </c>
      <c r="G218" s="0" t="n">
        <f aca="false">IFERROR(VALUE(SUBSTITUTE(LOWER(F218),"x","")),0)</f>
        <v>0</v>
      </c>
      <c r="H218" s="0" t="str">
        <f aca="false">IF(C218="","",TRIM(MID(C218,LEN(F218)+2,999)))</f>
        <v/>
      </c>
      <c r="I218" s="0" t="n">
        <f aca="false">IF(OR(C218="",LEFT(C218,2)="//"),0,IFERROR(IF(AND(G218&gt;0,G218=INT(G218),FIND("-",E218)&gt;1,NOT(EXACT(UPPER(LEFT(E218,1)),LOWER(LEFT(E218,1)))),ISNUMBER(VALUE(MID(E218,FIND("-",E218)+1,10)))),1,0),0))</f>
        <v>0</v>
      </c>
      <c r="J218" s="0" t="str">
        <f aca="false">IF(I218=1,TRIM(LEFT(H218,MAX(0,LEN(H218)-LEN(D218)))),"")</f>
        <v/>
      </c>
      <c r="K218" s="0" t="str">
        <f aca="false">INDEX($P$2:$P$21,A218)</f>
        <v>Deck 4</v>
      </c>
      <c r="L218" s="0" t="n">
        <f aca="false">IF(AND(C218&lt;&gt;"",LEFT(C218,2)&lt;&gt;"//",I218=0),1,0)</f>
        <v>0</v>
      </c>
      <c r="M218" s="0" t="str">
        <f aca="false">IF(I218=1,MAX(M$1:M217)+1,"")</f>
        <v/>
      </c>
      <c r="N218" s="0" t="str">
        <f aca="false">IFERROR(MATCH(ROW()-1,$V$2:$V$1201,0),"")</f>
        <v/>
      </c>
      <c r="R218" s="0" t="str">
        <f aca="false">IF(E218="","",IFERROR(LEFT(E218,FIND("-",E218)-1),E218))</f>
        <v/>
      </c>
      <c r="S218" s="0" t="str">
        <f aca="false">IF(R218="","",IF(ISNUMBER(--MID(R218,1,1)),0,IF(ISNUMBER(--MID(R218,2,1)),1,IF(ISNUMBER(--MID(R218,3,1)),2,IF(ISNUMBER(--MID(R218,4,1)),3,MIN(LEN(R218),4))))))</f>
        <v/>
      </c>
      <c r="T218" s="0" t="str">
        <f aca="false">IF(E218="","",LEFT(R218,S218)&amp;REPT("0",4-S218)&amp;RIGHT("000"&amp;IFERROR(VALUE(MID(R218,S218+1,9)),0),3)&amp;RIGHT("0000"&amp;IFERROR(VALUE(MID(E218,FIND("-",E218)+1,9)),0),4))</f>
        <v/>
      </c>
      <c r="U218" s="0" t="str">
        <f aca="false">IF(I218=1,"K"&amp;RIGHT("00"&amp;A218,2)&amp;T218&amp;RIGHT("00000"&amp;ROW(),5),"")</f>
        <v/>
      </c>
      <c r="V218" s="0" t="str">
        <f aca="false">IF(U218="","",COUNTIFS($I$2:$I$1201,1,$U$2:$U$1201,"&lt;"&amp;U218)+1)</f>
        <v/>
      </c>
    </row>
    <row r="219" customFormat="false" ht="15" hidden="false" customHeight="false" outlineLevel="0" collapsed="false">
      <c r="A219" s="0" t="n">
        <v>4</v>
      </c>
      <c r="B219" s="0" t="n">
        <v>38</v>
      </c>
      <c r="C219" s="0" t="str">
        <f aca="false">TRIM(SUBSTITUTE(INDEX(LISTAS!$A$4:$T$63,B219,A219)&amp;"",CHAR(160)," "))</f>
        <v/>
      </c>
      <c r="D219" s="0" t="str">
        <f aca="false">IF(C219="","",TRIM(RIGHT(SUBSTITUTE(C219," ",REPT(" ",100)),100)))</f>
        <v/>
      </c>
      <c r="E219" s="0" t="str">
        <f aca="false">IF(D219="","",UPPER(SUBSTITUTE(SUBSTITUTE(D219,"(",""),")","")))</f>
        <v/>
      </c>
      <c r="F219" s="0" t="str">
        <f aca="false">IF(C219="","",LEFT(C219,FIND(" ",C219&amp;" ")-1))</f>
        <v/>
      </c>
      <c r="G219" s="0" t="n">
        <f aca="false">IFERROR(VALUE(SUBSTITUTE(LOWER(F219),"x","")),0)</f>
        <v>0</v>
      </c>
      <c r="H219" s="0" t="str">
        <f aca="false">IF(C219="","",TRIM(MID(C219,LEN(F219)+2,999)))</f>
        <v/>
      </c>
      <c r="I219" s="0" t="n">
        <f aca="false">IF(OR(C219="",LEFT(C219,2)="//"),0,IFERROR(IF(AND(G219&gt;0,G219=INT(G219),FIND("-",E219)&gt;1,NOT(EXACT(UPPER(LEFT(E219,1)),LOWER(LEFT(E219,1)))),ISNUMBER(VALUE(MID(E219,FIND("-",E219)+1,10)))),1,0),0))</f>
        <v>0</v>
      </c>
      <c r="J219" s="0" t="str">
        <f aca="false">IF(I219=1,TRIM(LEFT(H219,MAX(0,LEN(H219)-LEN(D219)))),"")</f>
        <v/>
      </c>
      <c r="K219" s="0" t="str">
        <f aca="false">INDEX($P$2:$P$21,A219)</f>
        <v>Deck 4</v>
      </c>
      <c r="L219" s="0" t="n">
        <f aca="false">IF(AND(C219&lt;&gt;"",LEFT(C219,2)&lt;&gt;"//",I219=0),1,0)</f>
        <v>0</v>
      </c>
      <c r="M219" s="0" t="str">
        <f aca="false">IF(I219=1,MAX(M$1:M218)+1,"")</f>
        <v/>
      </c>
      <c r="N219" s="0" t="str">
        <f aca="false">IFERROR(MATCH(ROW()-1,$V$2:$V$1201,0),"")</f>
        <v/>
      </c>
      <c r="R219" s="0" t="str">
        <f aca="false">IF(E219="","",IFERROR(LEFT(E219,FIND("-",E219)-1),E219))</f>
        <v/>
      </c>
      <c r="S219" s="0" t="str">
        <f aca="false">IF(R219="","",IF(ISNUMBER(--MID(R219,1,1)),0,IF(ISNUMBER(--MID(R219,2,1)),1,IF(ISNUMBER(--MID(R219,3,1)),2,IF(ISNUMBER(--MID(R219,4,1)),3,MIN(LEN(R219),4))))))</f>
        <v/>
      </c>
      <c r="T219" s="0" t="str">
        <f aca="false">IF(E219="","",LEFT(R219,S219)&amp;REPT("0",4-S219)&amp;RIGHT("000"&amp;IFERROR(VALUE(MID(R219,S219+1,9)),0),3)&amp;RIGHT("0000"&amp;IFERROR(VALUE(MID(E219,FIND("-",E219)+1,9)),0),4))</f>
        <v/>
      </c>
      <c r="U219" s="0" t="str">
        <f aca="false">IF(I219=1,"K"&amp;RIGHT("00"&amp;A219,2)&amp;T219&amp;RIGHT("00000"&amp;ROW(),5),"")</f>
        <v/>
      </c>
      <c r="V219" s="0" t="str">
        <f aca="false">IF(U219="","",COUNTIFS($I$2:$I$1201,1,$U$2:$U$1201,"&lt;"&amp;U219)+1)</f>
        <v/>
      </c>
    </row>
    <row r="220" customFormat="false" ht="15" hidden="false" customHeight="false" outlineLevel="0" collapsed="false">
      <c r="A220" s="0" t="n">
        <v>4</v>
      </c>
      <c r="B220" s="0" t="n">
        <v>39</v>
      </c>
      <c r="C220" s="0" t="str">
        <f aca="false">TRIM(SUBSTITUTE(INDEX(LISTAS!$A$4:$T$63,B220,A220)&amp;"",CHAR(160)," "))</f>
        <v/>
      </c>
      <c r="D220" s="0" t="str">
        <f aca="false">IF(C220="","",TRIM(RIGHT(SUBSTITUTE(C220," ",REPT(" ",100)),100)))</f>
        <v/>
      </c>
      <c r="E220" s="0" t="str">
        <f aca="false">IF(D220="","",UPPER(SUBSTITUTE(SUBSTITUTE(D220,"(",""),")","")))</f>
        <v/>
      </c>
      <c r="F220" s="0" t="str">
        <f aca="false">IF(C220="","",LEFT(C220,FIND(" ",C220&amp;" ")-1))</f>
        <v/>
      </c>
      <c r="G220" s="0" t="n">
        <f aca="false">IFERROR(VALUE(SUBSTITUTE(LOWER(F220),"x","")),0)</f>
        <v>0</v>
      </c>
      <c r="H220" s="0" t="str">
        <f aca="false">IF(C220="","",TRIM(MID(C220,LEN(F220)+2,999)))</f>
        <v/>
      </c>
      <c r="I220" s="0" t="n">
        <f aca="false">IF(OR(C220="",LEFT(C220,2)="//"),0,IFERROR(IF(AND(G220&gt;0,G220=INT(G220),FIND("-",E220)&gt;1,NOT(EXACT(UPPER(LEFT(E220,1)),LOWER(LEFT(E220,1)))),ISNUMBER(VALUE(MID(E220,FIND("-",E220)+1,10)))),1,0),0))</f>
        <v>0</v>
      </c>
      <c r="J220" s="0" t="str">
        <f aca="false">IF(I220=1,TRIM(LEFT(H220,MAX(0,LEN(H220)-LEN(D220)))),"")</f>
        <v/>
      </c>
      <c r="K220" s="0" t="str">
        <f aca="false">INDEX($P$2:$P$21,A220)</f>
        <v>Deck 4</v>
      </c>
      <c r="L220" s="0" t="n">
        <f aca="false">IF(AND(C220&lt;&gt;"",LEFT(C220,2)&lt;&gt;"//",I220=0),1,0)</f>
        <v>0</v>
      </c>
      <c r="M220" s="0" t="str">
        <f aca="false">IF(I220=1,MAX(M$1:M219)+1,"")</f>
        <v/>
      </c>
      <c r="N220" s="0" t="str">
        <f aca="false">IFERROR(MATCH(ROW()-1,$V$2:$V$1201,0),"")</f>
        <v/>
      </c>
      <c r="R220" s="0" t="str">
        <f aca="false">IF(E220="","",IFERROR(LEFT(E220,FIND("-",E220)-1),E220))</f>
        <v/>
      </c>
      <c r="S220" s="0" t="str">
        <f aca="false">IF(R220="","",IF(ISNUMBER(--MID(R220,1,1)),0,IF(ISNUMBER(--MID(R220,2,1)),1,IF(ISNUMBER(--MID(R220,3,1)),2,IF(ISNUMBER(--MID(R220,4,1)),3,MIN(LEN(R220),4))))))</f>
        <v/>
      </c>
      <c r="T220" s="0" t="str">
        <f aca="false">IF(E220="","",LEFT(R220,S220)&amp;REPT("0",4-S220)&amp;RIGHT("000"&amp;IFERROR(VALUE(MID(R220,S220+1,9)),0),3)&amp;RIGHT("0000"&amp;IFERROR(VALUE(MID(E220,FIND("-",E220)+1,9)),0),4))</f>
        <v/>
      </c>
      <c r="U220" s="0" t="str">
        <f aca="false">IF(I220=1,"K"&amp;RIGHT("00"&amp;A220,2)&amp;T220&amp;RIGHT("00000"&amp;ROW(),5),"")</f>
        <v/>
      </c>
      <c r="V220" s="0" t="str">
        <f aca="false">IF(U220="","",COUNTIFS($I$2:$I$1201,1,$U$2:$U$1201,"&lt;"&amp;U220)+1)</f>
        <v/>
      </c>
    </row>
    <row r="221" customFormat="false" ht="15" hidden="false" customHeight="false" outlineLevel="0" collapsed="false">
      <c r="A221" s="0" t="n">
        <v>4</v>
      </c>
      <c r="B221" s="0" t="n">
        <v>40</v>
      </c>
      <c r="C221" s="0" t="str">
        <f aca="false">TRIM(SUBSTITUTE(INDEX(LISTAS!$A$4:$T$63,B221,A221)&amp;"",CHAR(160)," "))</f>
        <v/>
      </c>
      <c r="D221" s="0" t="str">
        <f aca="false">IF(C221="","",TRIM(RIGHT(SUBSTITUTE(C221," ",REPT(" ",100)),100)))</f>
        <v/>
      </c>
      <c r="E221" s="0" t="str">
        <f aca="false">IF(D221="","",UPPER(SUBSTITUTE(SUBSTITUTE(D221,"(",""),")","")))</f>
        <v/>
      </c>
      <c r="F221" s="0" t="str">
        <f aca="false">IF(C221="","",LEFT(C221,FIND(" ",C221&amp;" ")-1))</f>
        <v/>
      </c>
      <c r="G221" s="0" t="n">
        <f aca="false">IFERROR(VALUE(SUBSTITUTE(LOWER(F221),"x","")),0)</f>
        <v>0</v>
      </c>
      <c r="H221" s="0" t="str">
        <f aca="false">IF(C221="","",TRIM(MID(C221,LEN(F221)+2,999)))</f>
        <v/>
      </c>
      <c r="I221" s="0" t="n">
        <f aca="false">IF(OR(C221="",LEFT(C221,2)="//"),0,IFERROR(IF(AND(G221&gt;0,G221=INT(G221),FIND("-",E221)&gt;1,NOT(EXACT(UPPER(LEFT(E221,1)),LOWER(LEFT(E221,1)))),ISNUMBER(VALUE(MID(E221,FIND("-",E221)+1,10)))),1,0),0))</f>
        <v>0</v>
      </c>
      <c r="J221" s="0" t="str">
        <f aca="false">IF(I221=1,TRIM(LEFT(H221,MAX(0,LEN(H221)-LEN(D221)))),"")</f>
        <v/>
      </c>
      <c r="K221" s="0" t="str">
        <f aca="false">INDEX($P$2:$P$21,A221)</f>
        <v>Deck 4</v>
      </c>
      <c r="L221" s="0" t="n">
        <f aca="false">IF(AND(C221&lt;&gt;"",LEFT(C221,2)&lt;&gt;"//",I221=0),1,0)</f>
        <v>0</v>
      </c>
      <c r="M221" s="0" t="str">
        <f aca="false">IF(I221=1,MAX(M$1:M220)+1,"")</f>
        <v/>
      </c>
      <c r="N221" s="0" t="str">
        <f aca="false">IFERROR(MATCH(ROW()-1,$V$2:$V$1201,0),"")</f>
        <v/>
      </c>
      <c r="R221" s="0" t="str">
        <f aca="false">IF(E221="","",IFERROR(LEFT(E221,FIND("-",E221)-1),E221))</f>
        <v/>
      </c>
      <c r="S221" s="0" t="str">
        <f aca="false">IF(R221="","",IF(ISNUMBER(--MID(R221,1,1)),0,IF(ISNUMBER(--MID(R221,2,1)),1,IF(ISNUMBER(--MID(R221,3,1)),2,IF(ISNUMBER(--MID(R221,4,1)),3,MIN(LEN(R221),4))))))</f>
        <v/>
      </c>
      <c r="T221" s="0" t="str">
        <f aca="false">IF(E221="","",LEFT(R221,S221)&amp;REPT("0",4-S221)&amp;RIGHT("000"&amp;IFERROR(VALUE(MID(R221,S221+1,9)),0),3)&amp;RIGHT("0000"&amp;IFERROR(VALUE(MID(E221,FIND("-",E221)+1,9)),0),4))</f>
        <v/>
      </c>
      <c r="U221" s="0" t="str">
        <f aca="false">IF(I221=1,"K"&amp;RIGHT("00"&amp;A221,2)&amp;T221&amp;RIGHT("00000"&amp;ROW(),5),"")</f>
        <v/>
      </c>
      <c r="V221" s="0" t="str">
        <f aca="false">IF(U221="","",COUNTIFS($I$2:$I$1201,1,$U$2:$U$1201,"&lt;"&amp;U221)+1)</f>
        <v/>
      </c>
    </row>
    <row r="222" customFormat="false" ht="15" hidden="false" customHeight="false" outlineLevel="0" collapsed="false">
      <c r="A222" s="0" t="n">
        <v>4</v>
      </c>
      <c r="B222" s="0" t="n">
        <v>41</v>
      </c>
      <c r="C222" s="0" t="str">
        <f aca="false">TRIM(SUBSTITUTE(INDEX(LISTAS!$A$4:$T$63,B222,A222)&amp;"",CHAR(160)," "))</f>
        <v/>
      </c>
      <c r="D222" s="0" t="str">
        <f aca="false">IF(C222="","",TRIM(RIGHT(SUBSTITUTE(C222," ",REPT(" ",100)),100)))</f>
        <v/>
      </c>
      <c r="E222" s="0" t="str">
        <f aca="false">IF(D222="","",UPPER(SUBSTITUTE(SUBSTITUTE(D222,"(",""),")","")))</f>
        <v/>
      </c>
      <c r="F222" s="0" t="str">
        <f aca="false">IF(C222="","",LEFT(C222,FIND(" ",C222&amp;" ")-1))</f>
        <v/>
      </c>
      <c r="G222" s="0" t="n">
        <f aca="false">IFERROR(VALUE(SUBSTITUTE(LOWER(F222),"x","")),0)</f>
        <v>0</v>
      </c>
      <c r="H222" s="0" t="str">
        <f aca="false">IF(C222="","",TRIM(MID(C222,LEN(F222)+2,999)))</f>
        <v/>
      </c>
      <c r="I222" s="0" t="n">
        <f aca="false">IF(OR(C222="",LEFT(C222,2)="//"),0,IFERROR(IF(AND(G222&gt;0,G222=INT(G222),FIND("-",E222)&gt;1,NOT(EXACT(UPPER(LEFT(E222,1)),LOWER(LEFT(E222,1)))),ISNUMBER(VALUE(MID(E222,FIND("-",E222)+1,10)))),1,0),0))</f>
        <v>0</v>
      </c>
      <c r="J222" s="0" t="str">
        <f aca="false">IF(I222=1,TRIM(LEFT(H222,MAX(0,LEN(H222)-LEN(D222)))),"")</f>
        <v/>
      </c>
      <c r="K222" s="0" t="str">
        <f aca="false">INDEX($P$2:$P$21,A222)</f>
        <v>Deck 4</v>
      </c>
      <c r="L222" s="0" t="n">
        <f aca="false">IF(AND(C222&lt;&gt;"",LEFT(C222,2)&lt;&gt;"//",I222=0),1,0)</f>
        <v>0</v>
      </c>
      <c r="M222" s="0" t="str">
        <f aca="false">IF(I222=1,MAX(M$1:M221)+1,"")</f>
        <v/>
      </c>
      <c r="N222" s="0" t="str">
        <f aca="false">IFERROR(MATCH(ROW()-1,$V$2:$V$1201,0),"")</f>
        <v/>
      </c>
      <c r="R222" s="0" t="str">
        <f aca="false">IF(E222="","",IFERROR(LEFT(E222,FIND("-",E222)-1),E222))</f>
        <v/>
      </c>
      <c r="S222" s="0" t="str">
        <f aca="false">IF(R222="","",IF(ISNUMBER(--MID(R222,1,1)),0,IF(ISNUMBER(--MID(R222,2,1)),1,IF(ISNUMBER(--MID(R222,3,1)),2,IF(ISNUMBER(--MID(R222,4,1)),3,MIN(LEN(R222),4))))))</f>
        <v/>
      </c>
      <c r="T222" s="0" t="str">
        <f aca="false">IF(E222="","",LEFT(R222,S222)&amp;REPT("0",4-S222)&amp;RIGHT("000"&amp;IFERROR(VALUE(MID(R222,S222+1,9)),0),3)&amp;RIGHT("0000"&amp;IFERROR(VALUE(MID(E222,FIND("-",E222)+1,9)),0),4))</f>
        <v/>
      </c>
      <c r="U222" s="0" t="str">
        <f aca="false">IF(I222=1,"K"&amp;RIGHT("00"&amp;A222,2)&amp;T222&amp;RIGHT("00000"&amp;ROW(),5),"")</f>
        <v/>
      </c>
      <c r="V222" s="0" t="str">
        <f aca="false">IF(U222="","",COUNTIFS($I$2:$I$1201,1,$U$2:$U$1201,"&lt;"&amp;U222)+1)</f>
        <v/>
      </c>
    </row>
    <row r="223" customFormat="false" ht="15" hidden="false" customHeight="false" outlineLevel="0" collapsed="false">
      <c r="A223" s="0" t="n">
        <v>4</v>
      </c>
      <c r="B223" s="0" t="n">
        <v>42</v>
      </c>
      <c r="C223" s="0" t="str">
        <f aca="false">TRIM(SUBSTITUTE(INDEX(LISTAS!$A$4:$T$63,B223,A223)&amp;"",CHAR(160)," "))</f>
        <v/>
      </c>
      <c r="D223" s="0" t="str">
        <f aca="false">IF(C223="","",TRIM(RIGHT(SUBSTITUTE(C223," ",REPT(" ",100)),100)))</f>
        <v/>
      </c>
      <c r="E223" s="0" t="str">
        <f aca="false">IF(D223="","",UPPER(SUBSTITUTE(SUBSTITUTE(D223,"(",""),")","")))</f>
        <v/>
      </c>
      <c r="F223" s="0" t="str">
        <f aca="false">IF(C223="","",LEFT(C223,FIND(" ",C223&amp;" ")-1))</f>
        <v/>
      </c>
      <c r="G223" s="0" t="n">
        <f aca="false">IFERROR(VALUE(SUBSTITUTE(LOWER(F223),"x","")),0)</f>
        <v>0</v>
      </c>
      <c r="H223" s="0" t="str">
        <f aca="false">IF(C223="","",TRIM(MID(C223,LEN(F223)+2,999)))</f>
        <v/>
      </c>
      <c r="I223" s="0" t="n">
        <f aca="false">IF(OR(C223="",LEFT(C223,2)="//"),0,IFERROR(IF(AND(G223&gt;0,G223=INT(G223),FIND("-",E223)&gt;1,NOT(EXACT(UPPER(LEFT(E223,1)),LOWER(LEFT(E223,1)))),ISNUMBER(VALUE(MID(E223,FIND("-",E223)+1,10)))),1,0),0))</f>
        <v>0</v>
      </c>
      <c r="J223" s="0" t="str">
        <f aca="false">IF(I223=1,TRIM(LEFT(H223,MAX(0,LEN(H223)-LEN(D223)))),"")</f>
        <v/>
      </c>
      <c r="K223" s="0" t="str">
        <f aca="false">INDEX($P$2:$P$21,A223)</f>
        <v>Deck 4</v>
      </c>
      <c r="L223" s="0" t="n">
        <f aca="false">IF(AND(C223&lt;&gt;"",LEFT(C223,2)&lt;&gt;"//",I223=0),1,0)</f>
        <v>0</v>
      </c>
      <c r="M223" s="0" t="str">
        <f aca="false">IF(I223=1,MAX(M$1:M222)+1,"")</f>
        <v/>
      </c>
      <c r="N223" s="0" t="str">
        <f aca="false">IFERROR(MATCH(ROW()-1,$V$2:$V$1201,0),"")</f>
        <v/>
      </c>
      <c r="R223" s="0" t="str">
        <f aca="false">IF(E223="","",IFERROR(LEFT(E223,FIND("-",E223)-1),E223))</f>
        <v/>
      </c>
      <c r="S223" s="0" t="str">
        <f aca="false">IF(R223="","",IF(ISNUMBER(--MID(R223,1,1)),0,IF(ISNUMBER(--MID(R223,2,1)),1,IF(ISNUMBER(--MID(R223,3,1)),2,IF(ISNUMBER(--MID(R223,4,1)),3,MIN(LEN(R223),4))))))</f>
        <v/>
      </c>
      <c r="T223" s="0" t="str">
        <f aca="false">IF(E223="","",LEFT(R223,S223)&amp;REPT("0",4-S223)&amp;RIGHT("000"&amp;IFERROR(VALUE(MID(R223,S223+1,9)),0),3)&amp;RIGHT("0000"&amp;IFERROR(VALUE(MID(E223,FIND("-",E223)+1,9)),0),4))</f>
        <v/>
      </c>
      <c r="U223" s="0" t="str">
        <f aca="false">IF(I223=1,"K"&amp;RIGHT("00"&amp;A223,2)&amp;T223&amp;RIGHT("00000"&amp;ROW(),5),"")</f>
        <v/>
      </c>
      <c r="V223" s="0" t="str">
        <f aca="false">IF(U223="","",COUNTIFS($I$2:$I$1201,1,$U$2:$U$1201,"&lt;"&amp;U223)+1)</f>
        <v/>
      </c>
    </row>
    <row r="224" customFormat="false" ht="15" hidden="false" customHeight="false" outlineLevel="0" collapsed="false">
      <c r="A224" s="0" t="n">
        <v>4</v>
      </c>
      <c r="B224" s="0" t="n">
        <v>43</v>
      </c>
      <c r="C224" s="0" t="str">
        <f aca="false">TRIM(SUBSTITUTE(INDEX(LISTAS!$A$4:$T$63,B224,A224)&amp;"",CHAR(160)," "))</f>
        <v/>
      </c>
      <c r="D224" s="0" t="str">
        <f aca="false">IF(C224="","",TRIM(RIGHT(SUBSTITUTE(C224," ",REPT(" ",100)),100)))</f>
        <v/>
      </c>
      <c r="E224" s="0" t="str">
        <f aca="false">IF(D224="","",UPPER(SUBSTITUTE(SUBSTITUTE(D224,"(",""),")","")))</f>
        <v/>
      </c>
      <c r="F224" s="0" t="str">
        <f aca="false">IF(C224="","",LEFT(C224,FIND(" ",C224&amp;" ")-1))</f>
        <v/>
      </c>
      <c r="G224" s="0" t="n">
        <f aca="false">IFERROR(VALUE(SUBSTITUTE(LOWER(F224),"x","")),0)</f>
        <v>0</v>
      </c>
      <c r="H224" s="0" t="str">
        <f aca="false">IF(C224="","",TRIM(MID(C224,LEN(F224)+2,999)))</f>
        <v/>
      </c>
      <c r="I224" s="0" t="n">
        <f aca="false">IF(OR(C224="",LEFT(C224,2)="//"),0,IFERROR(IF(AND(G224&gt;0,G224=INT(G224),FIND("-",E224)&gt;1,NOT(EXACT(UPPER(LEFT(E224,1)),LOWER(LEFT(E224,1)))),ISNUMBER(VALUE(MID(E224,FIND("-",E224)+1,10)))),1,0),0))</f>
        <v>0</v>
      </c>
      <c r="J224" s="0" t="str">
        <f aca="false">IF(I224=1,TRIM(LEFT(H224,MAX(0,LEN(H224)-LEN(D224)))),"")</f>
        <v/>
      </c>
      <c r="K224" s="0" t="str">
        <f aca="false">INDEX($P$2:$P$21,A224)</f>
        <v>Deck 4</v>
      </c>
      <c r="L224" s="0" t="n">
        <f aca="false">IF(AND(C224&lt;&gt;"",LEFT(C224,2)&lt;&gt;"//",I224=0),1,0)</f>
        <v>0</v>
      </c>
      <c r="M224" s="0" t="str">
        <f aca="false">IF(I224=1,MAX(M$1:M223)+1,"")</f>
        <v/>
      </c>
      <c r="N224" s="0" t="str">
        <f aca="false">IFERROR(MATCH(ROW()-1,$V$2:$V$1201,0),"")</f>
        <v/>
      </c>
      <c r="R224" s="0" t="str">
        <f aca="false">IF(E224="","",IFERROR(LEFT(E224,FIND("-",E224)-1),E224))</f>
        <v/>
      </c>
      <c r="S224" s="0" t="str">
        <f aca="false">IF(R224="","",IF(ISNUMBER(--MID(R224,1,1)),0,IF(ISNUMBER(--MID(R224,2,1)),1,IF(ISNUMBER(--MID(R224,3,1)),2,IF(ISNUMBER(--MID(R224,4,1)),3,MIN(LEN(R224),4))))))</f>
        <v/>
      </c>
      <c r="T224" s="0" t="str">
        <f aca="false">IF(E224="","",LEFT(R224,S224)&amp;REPT("0",4-S224)&amp;RIGHT("000"&amp;IFERROR(VALUE(MID(R224,S224+1,9)),0),3)&amp;RIGHT("0000"&amp;IFERROR(VALUE(MID(E224,FIND("-",E224)+1,9)),0),4))</f>
        <v/>
      </c>
      <c r="U224" s="0" t="str">
        <f aca="false">IF(I224=1,"K"&amp;RIGHT("00"&amp;A224,2)&amp;T224&amp;RIGHT("00000"&amp;ROW(),5),"")</f>
        <v/>
      </c>
      <c r="V224" s="0" t="str">
        <f aca="false">IF(U224="","",COUNTIFS($I$2:$I$1201,1,$U$2:$U$1201,"&lt;"&amp;U224)+1)</f>
        <v/>
      </c>
    </row>
    <row r="225" customFormat="false" ht="15" hidden="false" customHeight="false" outlineLevel="0" collapsed="false">
      <c r="A225" s="0" t="n">
        <v>4</v>
      </c>
      <c r="B225" s="0" t="n">
        <v>44</v>
      </c>
      <c r="C225" s="0" t="str">
        <f aca="false">TRIM(SUBSTITUTE(INDEX(LISTAS!$A$4:$T$63,B225,A225)&amp;"",CHAR(160)," "))</f>
        <v/>
      </c>
      <c r="D225" s="0" t="str">
        <f aca="false">IF(C225="","",TRIM(RIGHT(SUBSTITUTE(C225," ",REPT(" ",100)),100)))</f>
        <v/>
      </c>
      <c r="E225" s="0" t="str">
        <f aca="false">IF(D225="","",UPPER(SUBSTITUTE(SUBSTITUTE(D225,"(",""),")","")))</f>
        <v/>
      </c>
      <c r="F225" s="0" t="str">
        <f aca="false">IF(C225="","",LEFT(C225,FIND(" ",C225&amp;" ")-1))</f>
        <v/>
      </c>
      <c r="G225" s="0" t="n">
        <f aca="false">IFERROR(VALUE(SUBSTITUTE(LOWER(F225),"x","")),0)</f>
        <v>0</v>
      </c>
      <c r="H225" s="0" t="str">
        <f aca="false">IF(C225="","",TRIM(MID(C225,LEN(F225)+2,999)))</f>
        <v/>
      </c>
      <c r="I225" s="0" t="n">
        <f aca="false">IF(OR(C225="",LEFT(C225,2)="//"),0,IFERROR(IF(AND(G225&gt;0,G225=INT(G225),FIND("-",E225)&gt;1,NOT(EXACT(UPPER(LEFT(E225,1)),LOWER(LEFT(E225,1)))),ISNUMBER(VALUE(MID(E225,FIND("-",E225)+1,10)))),1,0),0))</f>
        <v>0</v>
      </c>
      <c r="J225" s="0" t="str">
        <f aca="false">IF(I225=1,TRIM(LEFT(H225,MAX(0,LEN(H225)-LEN(D225)))),"")</f>
        <v/>
      </c>
      <c r="K225" s="0" t="str">
        <f aca="false">INDEX($P$2:$P$21,A225)</f>
        <v>Deck 4</v>
      </c>
      <c r="L225" s="0" t="n">
        <f aca="false">IF(AND(C225&lt;&gt;"",LEFT(C225,2)&lt;&gt;"//",I225=0),1,0)</f>
        <v>0</v>
      </c>
      <c r="M225" s="0" t="str">
        <f aca="false">IF(I225=1,MAX(M$1:M224)+1,"")</f>
        <v/>
      </c>
      <c r="N225" s="0" t="str">
        <f aca="false">IFERROR(MATCH(ROW()-1,$V$2:$V$1201,0),"")</f>
        <v/>
      </c>
      <c r="R225" s="0" t="str">
        <f aca="false">IF(E225="","",IFERROR(LEFT(E225,FIND("-",E225)-1),E225))</f>
        <v/>
      </c>
      <c r="S225" s="0" t="str">
        <f aca="false">IF(R225="","",IF(ISNUMBER(--MID(R225,1,1)),0,IF(ISNUMBER(--MID(R225,2,1)),1,IF(ISNUMBER(--MID(R225,3,1)),2,IF(ISNUMBER(--MID(R225,4,1)),3,MIN(LEN(R225),4))))))</f>
        <v/>
      </c>
      <c r="T225" s="0" t="str">
        <f aca="false">IF(E225="","",LEFT(R225,S225)&amp;REPT("0",4-S225)&amp;RIGHT("000"&amp;IFERROR(VALUE(MID(R225,S225+1,9)),0),3)&amp;RIGHT("0000"&amp;IFERROR(VALUE(MID(E225,FIND("-",E225)+1,9)),0),4))</f>
        <v/>
      </c>
      <c r="U225" s="0" t="str">
        <f aca="false">IF(I225=1,"K"&amp;RIGHT("00"&amp;A225,2)&amp;T225&amp;RIGHT("00000"&amp;ROW(),5),"")</f>
        <v/>
      </c>
      <c r="V225" s="0" t="str">
        <f aca="false">IF(U225="","",COUNTIFS($I$2:$I$1201,1,$U$2:$U$1201,"&lt;"&amp;U225)+1)</f>
        <v/>
      </c>
    </row>
    <row r="226" customFormat="false" ht="15" hidden="false" customHeight="false" outlineLevel="0" collapsed="false">
      <c r="A226" s="0" t="n">
        <v>4</v>
      </c>
      <c r="B226" s="0" t="n">
        <v>45</v>
      </c>
      <c r="C226" s="0" t="str">
        <f aca="false">TRIM(SUBSTITUTE(INDEX(LISTAS!$A$4:$T$63,B226,A226)&amp;"",CHAR(160)," "))</f>
        <v/>
      </c>
      <c r="D226" s="0" t="str">
        <f aca="false">IF(C226="","",TRIM(RIGHT(SUBSTITUTE(C226," ",REPT(" ",100)),100)))</f>
        <v/>
      </c>
      <c r="E226" s="0" t="str">
        <f aca="false">IF(D226="","",UPPER(SUBSTITUTE(SUBSTITUTE(D226,"(",""),")","")))</f>
        <v/>
      </c>
      <c r="F226" s="0" t="str">
        <f aca="false">IF(C226="","",LEFT(C226,FIND(" ",C226&amp;" ")-1))</f>
        <v/>
      </c>
      <c r="G226" s="0" t="n">
        <f aca="false">IFERROR(VALUE(SUBSTITUTE(LOWER(F226),"x","")),0)</f>
        <v>0</v>
      </c>
      <c r="H226" s="0" t="str">
        <f aca="false">IF(C226="","",TRIM(MID(C226,LEN(F226)+2,999)))</f>
        <v/>
      </c>
      <c r="I226" s="0" t="n">
        <f aca="false">IF(OR(C226="",LEFT(C226,2)="//"),0,IFERROR(IF(AND(G226&gt;0,G226=INT(G226),FIND("-",E226)&gt;1,NOT(EXACT(UPPER(LEFT(E226,1)),LOWER(LEFT(E226,1)))),ISNUMBER(VALUE(MID(E226,FIND("-",E226)+1,10)))),1,0),0))</f>
        <v>0</v>
      </c>
      <c r="J226" s="0" t="str">
        <f aca="false">IF(I226=1,TRIM(LEFT(H226,MAX(0,LEN(H226)-LEN(D226)))),"")</f>
        <v/>
      </c>
      <c r="K226" s="0" t="str">
        <f aca="false">INDEX($P$2:$P$21,A226)</f>
        <v>Deck 4</v>
      </c>
      <c r="L226" s="0" t="n">
        <f aca="false">IF(AND(C226&lt;&gt;"",LEFT(C226,2)&lt;&gt;"//",I226=0),1,0)</f>
        <v>0</v>
      </c>
      <c r="M226" s="0" t="str">
        <f aca="false">IF(I226=1,MAX(M$1:M225)+1,"")</f>
        <v/>
      </c>
      <c r="N226" s="0" t="str">
        <f aca="false">IFERROR(MATCH(ROW()-1,$V$2:$V$1201,0),"")</f>
        <v/>
      </c>
      <c r="R226" s="0" t="str">
        <f aca="false">IF(E226="","",IFERROR(LEFT(E226,FIND("-",E226)-1),E226))</f>
        <v/>
      </c>
      <c r="S226" s="0" t="str">
        <f aca="false">IF(R226="","",IF(ISNUMBER(--MID(R226,1,1)),0,IF(ISNUMBER(--MID(R226,2,1)),1,IF(ISNUMBER(--MID(R226,3,1)),2,IF(ISNUMBER(--MID(R226,4,1)),3,MIN(LEN(R226),4))))))</f>
        <v/>
      </c>
      <c r="T226" s="0" t="str">
        <f aca="false">IF(E226="","",LEFT(R226,S226)&amp;REPT("0",4-S226)&amp;RIGHT("000"&amp;IFERROR(VALUE(MID(R226,S226+1,9)),0),3)&amp;RIGHT("0000"&amp;IFERROR(VALUE(MID(E226,FIND("-",E226)+1,9)),0),4))</f>
        <v/>
      </c>
      <c r="U226" s="0" t="str">
        <f aca="false">IF(I226=1,"K"&amp;RIGHT("00"&amp;A226,2)&amp;T226&amp;RIGHT("00000"&amp;ROW(),5),"")</f>
        <v/>
      </c>
      <c r="V226" s="0" t="str">
        <f aca="false">IF(U226="","",COUNTIFS($I$2:$I$1201,1,$U$2:$U$1201,"&lt;"&amp;U226)+1)</f>
        <v/>
      </c>
    </row>
    <row r="227" customFormat="false" ht="15" hidden="false" customHeight="false" outlineLevel="0" collapsed="false">
      <c r="A227" s="0" t="n">
        <v>4</v>
      </c>
      <c r="B227" s="0" t="n">
        <v>46</v>
      </c>
      <c r="C227" s="0" t="str">
        <f aca="false">TRIM(SUBSTITUTE(INDEX(LISTAS!$A$4:$T$63,B227,A227)&amp;"",CHAR(160)," "))</f>
        <v/>
      </c>
      <c r="D227" s="0" t="str">
        <f aca="false">IF(C227="","",TRIM(RIGHT(SUBSTITUTE(C227," ",REPT(" ",100)),100)))</f>
        <v/>
      </c>
      <c r="E227" s="0" t="str">
        <f aca="false">IF(D227="","",UPPER(SUBSTITUTE(SUBSTITUTE(D227,"(",""),")","")))</f>
        <v/>
      </c>
      <c r="F227" s="0" t="str">
        <f aca="false">IF(C227="","",LEFT(C227,FIND(" ",C227&amp;" ")-1))</f>
        <v/>
      </c>
      <c r="G227" s="0" t="n">
        <f aca="false">IFERROR(VALUE(SUBSTITUTE(LOWER(F227),"x","")),0)</f>
        <v>0</v>
      </c>
      <c r="H227" s="0" t="str">
        <f aca="false">IF(C227="","",TRIM(MID(C227,LEN(F227)+2,999)))</f>
        <v/>
      </c>
      <c r="I227" s="0" t="n">
        <f aca="false">IF(OR(C227="",LEFT(C227,2)="//"),0,IFERROR(IF(AND(G227&gt;0,G227=INT(G227),FIND("-",E227)&gt;1,NOT(EXACT(UPPER(LEFT(E227,1)),LOWER(LEFT(E227,1)))),ISNUMBER(VALUE(MID(E227,FIND("-",E227)+1,10)))),1,0),0))</f>
        <v>0</v>
      </c>
      <c r="J227" s="0" t="str">
        <f aca="false">IF(I227=1,TRIM(LEFT(H227,MAX(0,LEN(H227)-LEN(D227)))),"")</f>
        <v/>
      </c>
      <c r="K227" s="0" t="str">
        <f aca="false">INDEX($P$2:$P$21,A227)</f>
        <v>Deck 4</v>
      </c>
      <c r="L227" s="0" t="n">
        <f aca="false">IF(AND(C227&lt;&gt;"",LEFT(C227,2)&lt;&gt;"//",I227=0),1,0)</f>
        <v>0</v>
      </c>
      <c r="M227" s="0" t="str">
        <f aca="false">IF(I227=1,MAX(M$1:M226)+1,"")</f>
        <v/>
      </c>
      <c r="N227" s="0" t="str">
        <f aca="false">IFERROR(MATCH(ROW()-1,$V$2:$V$1201,0),"")</f>
        <v/>
      </c>
      <c r="R227" s="0" t="str">
        <f aca="false">IF(E227="","",IFERROR(LEFT(E227,FIND("-",E227)-1),E227))</f>
        <v/>
      </c>
      <c r="S227" s="0" t="str">
        <f aca="false">IF(R227="","",IF(ISNUMBER(--MID(R227,1,1)),0,IF(ISNUMBER(--MID(R227,2,1)),1,IF(ISNUMBER(--MID(R227,3,1)),2,IF(ISNUMBER(--MID(R227,4,1)),3,MIN(LEN(R227),4))))))</f>
        <v/>
      </c>
      <c r="T227" s="0" t="str">
        <f aca="false">IF(E227="","",LEFT(R227,S227)&amp;REPT("0",4-S227)&amp;RIGHT("000"&amp;IFERROR(VALUE(MID(R227,S227+1,9)),0),3)&amp;RIGHT("0000"&amp;IFERROR(VALUE(MID(E227,FIND("-",E227)+1,9)),0),4))</f>
        <v/>
      </c>
      <c r="U227" s="0" t="str">
        <f aca="false">IF(I227=1,"K"&amp;RIGHT("00"&amp;A227,2)&amp;T227&amp;RIGHT("00000"&amp;ROW(),5),"")</f>
        <v/>
      </c>
      <c r="V227" s="0" t="str">
        <f aca="false">IF(U227="","",COUNTIFS($I$2:$I$1201,1,$U$2:$U$1201,"&lt;"&amp;U227)+1)</f>
        <v/>
      </c>
    </row>
    <row r="228" customFormat="false" ht="15" hidden="false" customHeight="false" outlineLevel="0" collapsed="false">
      <c r="A228" s="0" t="n">
        <v>4</v>
      </c>
      <c r="B228" s="0" t="n">
        <v>47</v>
      </c>
      <c r="C228" s="0" t="str">
        <f aca="false">TRIM(SUBSTITUTE(INDEX(LISTAS!$A$4:$T$63,B228,A228)&amp;"",CHAR(160)," "))</f>
        <v/>
      </c>
      <c r="D228" s="0" t="str">
        <f aca="false">IF(C228="","",TRIM(RIGHT(SUBSTITUTE(C228," ",REPT(" ",100)),100)))</f>
        <v/>
      </c>
      <c r="E228" s="0" t="str">
        <f aca="false">IF(D228="","",UPPER(SUBSTITUTE(SUBSTITUTE(D228,"(",""),")","")))</f>
        <v/>
      </c>
      <c r="F228" s="0" t="str">
        <f aca="false">IF(C228="","",LEFT(C228,FIND(" ",C228&amp;" ")-1))</f>
        <v/>
      </c>
      <c r="G228" s="0" t="n">
        <f aca="false">IFERROR(VALUE(SUBSTITUTE(LOWER(F228),"x","")),0)</f>
        <v>0</v>
      </c>
      <c r="H228" s="0" t="str">
        <f aca="false">IF(C228="","",TRIM(MID(C228,LEN(F228)+2,999)))</f>
        <v/>
      </c>
      <c r="I228" s="0" t="n">
        <f aca="false">IF(OR(C228="",LEFT(C228,2)="//"),0,IFERROR(IF(AND(G228&gt;0,G228=INT(G228),FIND("-",E228)&gt;1,NOT(EXACT(UPPER(LEFT(E228,1)),LOWER(LEFT(E228,1)))),ISNUMBER(VALUE(MID(E228,FIND("-",E228)+1,10)))),1,0),0))</f>
        <v>0</v>
      </c>
      <c r="J228" s="0" t="str">
        <f aca="false">IF(I228=1,TRIM(LEFT(H228,MAX(0,LEN(H228)-LEN(D228)))),"")</f>
        <v/>
      </c>
      <c r="K228" s="0" t="str">
        <f aca="false">INDEX($P$2:$P$21,A228)</f>
        <v>Deck 4</v>
      </c>
      <c r="L228" s="0" t="n">
        <f aca="false">IF(AND(C228&lt;&gt;"",LEFT(C228,2)&lt;&gt;"//",I228=0),1,0)</f>
        <v>0</v>
      </c>
      <c r="M228" s="0" t="str">
        <f aca="false">IF(I228=1,MAX(M$1:M227)+1,"")</f>
        <v/>
      </c>
      <c r="N228" s="0" t="str">
        <f aca="false">IFERROR(MATCH(ROW()-1,$V$2:$V$1201,0),"")</f>
        <v/>
      </c>
      <c r="R228" s="0" t="str">
        <f aca="false">IF(E228="","",IFERROR(LEFT(E228,FIND("-",E228)-1),E228))</f>
        <v/>
      </c>
      <c r="S228" s="0" t="str">
        <f aca="false">IF(R228="","",IF(ISNUMBER(--MID(R228,1,1)),0,IF(ISNUMBER(--MID(R228,2,1)),1,IF(ISNUMBER(--MID(R228,3,1)),2,IF(ISNUMBER(--MID(R228,4,1)),3,MIN(LEN(R228),4))))))</f>
        <v/>
      </c>
      <c r="T228" s="0" t="str">
        <f aca="false">IF(E228="","",LEFT(R228,S228)&amp;REPT("0",4-S228)&amp;RIGHT("000"&amp;IFERROR(VALUE(MID(R228,S228+1,9)),0),3)&amp;RIGHT("0000"&amp;IFERROR(VALUE(MID(E228,FIND("-",E228)+1,9)),0),4))</f>
        <v/>
      </c>
      <c r="U228" s="0" t="str">
        <f aca="false">IF(I228=1,"K"&amp;RIGHT("00"&amp;A228,2)&amp;T228&amp;RIGHT("00000"&amp;ROW(),5),"")</f>
        <v/>
      </c>
      <c r="V228" s="0" t="str">
        <f aca="false">IF(U228="","",COUNTIFS($I$2:$I$1201,1,$U$2:$U$1201,"&lt;"&amp;U228)+1)</f>
        <v/>
      </c>
    </row>
    <row r="229" customFormat="false" ht="15" hidden="false" customHeight="false" outlineLevel="0" collapsed="false">
      <c r="A229" s="0" t="n">
        <v>4</v>
      </c>
      <c r="B229" s="0" t="n">
        <v>48</v>
      </c>
      <c r="C229" s="0" t="str">
        <f aca="false">TRIM(SUBSTITUTE(INDEX(LISTAS!$A$4:$T$63,B229,A229)&amp;"",CHAR(160)," "))</f>
        <v/>
      </c>
      <c r="D229" s="0" t="str">
        <f aca="false">IF(C229="","",TRIM(RIGHT(SUBSTITUTE(C229," ",REPT(" ",100)),100)))</f>
        <v/>
      </c>
      <c r="E229" s="0" t="str">
        <f aca="false">IF(D229="","",UPPER(SUBSTITUTE(SUBSTITUTE(D229,"(",""),")","")))</f>
        <v/>
      </c>
      <c r="F229" s="0" t="str">
        <f aca="false">IF(C229="","",LEFT(C229,FIND(" ",C229&amp;" ")-1))</f>
        <v/>
      </c>
      <c r="G229" s="0" t="n">
        <f aca="false">IFERROR(VALUE(SUBSTITUTE(LOWER(F229),"x","")),0)</f>
        <v>0</v>
      </c>
      <c r="H229" s="0" t="str">
        <f aca="false">IF(C229="","",TRIM(MID(C229,LEN(F229)+2,999)))</f>
        <v/>
      </c>
      <c r="I229" s="0" t="n">
        <f aca="false">IF(OR(C229="",LEFT(C229,2)="//"),0,IFERROR(IF(AND(G229&gt;0,G229=INT(G229),FIND("-",E229)&gt;1,NOT(EXACT(UPPER(LEFT(E229,1)),LOWER(LEFT(E229,1)))),ISNUMBER(VALUE(MID(E229,FIND("-",E229)+1,10)))),1,0),0))</f>
        <v>0</v>
      </c>
      <c r="J229" s="0" t="str">
        <f aca="false">IF(I229=1,TRIM(LEFT(H229,MAX(0,LEN(H229)-LEN(D229)))),"")</f>
        <v/>
      </c>
      <c r="K229" s="0" t="str">
        <f aca="false">INDEX($P$2:$P$21,A229)</f>
        <v>Deck 4</v>
      </c>
      <c r="L229" s="0" t="n">
        <f aca="false">IF(AND(C229&lt;&gt;"",LEFT(C229,2)&lt;&gt;"//",I229=0),1,0)</f>
        <v>0</v>
      </c>
      <c r="M229" s="0" t="str">
        <f aca="false">IF(I229=1,MAX(M$1:M228)+1,"")</f>
        <v/>
      </c>
      <c r="N229" s="0" t="str">
        <f aca="false">IFERROR(MATCH(ROW()-1,$V$2:$V$1201,0),"")</f>
        <v/>
      </c>
      <c r="R229" s="0" t="str">
        <f aca="false">IF(E229="","",IFERROR(LEFT(E229,FIND("-",E229)-1),E229))</f>
        <v/>
      </c>
      <c r="S229" s="0" t="str">
        <f aca="false">IF(R229="","",IF(ISNUMBER(--MID(R229,1,1)),0,IF(ISNUMBER(--MID(R229,2,1)),1,IF(ISNUMBER(--MID(R229,3,1)),2,IF(ISNUMBER(--MID(R229,4,1)),3,MIN(LEN(R229),4))))))</f>
        <v/>
      </c>
      <c r="T229" s="0" t="str">
        <f aca="false">IF(E229="","",LEFT(R229,S229)&amp;REPT("0",4-S229)&amp;RIGHT("000"&amp;IFERROR(VALUE(MID(R229,S229+1,9)),0),3)&amp;RIGHT("0000"&amp;IFERROR(VALUE(MID(E229,FIND("-",E229)+1,9)),0),4))</f>
        <v/>
      </c>
      <c r="U229" s="0" t="str">
        <f aca="false">IF(I229=1,"K"&amp;RIGHT("00"&amp;A229,2)&amp;T229&amp;RIGHT("00000"&amp;ROW(),5),"")</f>
        <v/>
      </c>
      <c r="V229" s="0" t="str">
        <f aca="false">IF(U229="","",COUNTIFS($I$2:$I$1201,1,$U$2:$U$1201,"&lt;"&amp;U229)+1)</f>
        <v/>
      </c>
    </row>
    <row r="230" customFormat="false" ht="15" hidden="false" customHeight="false" outlineLevel="0" collapsed="false">
      <c r="A230" s="0" t="n">
        <v>4</v>
      </c>
      <c r="B230" s="0" t="n">
        <v>49</v>
      </c>
      <c r="C230" s="0" t="str">
        <f aca="false">TRIM(SUBSTITUTE(INDEX(LISTAS!$A$4:$T$63,B230,A230)&amp;"",CHAR(160)," "))</f>
        <v/>
      </c>
      <c r="D230" s="0" t="str">
        <f aca="false">IF(C230="","",TRIM(RIGHT(SUBSTITUTE(C230," ",REPT(" ",100)),100)))</f>
        <v/>
      </c>
      <c r="E230" s="0" t="str">
        <f aca="false">IF(D230="","",UPPER(SUBSTITUTE(SUBSTITUTE(D230,"(",""),")","")))</f>
        <v/>
      </c>
      <c r="F230" s="0" t="str">
        <f aca="false">IF(C230="","",LEFT(C230,FIND(" ",C230&amp;" ")-1))</f>
        <v/>
      </c>
      <c r="G230" s="0" t="n">
        <f aca="false">IFERROR(VALUE(SUBSTITUTE(LOWER(F230),"x","")),0)</f>
        <v>0</v>
      </c>
      <c r="H230" s="0" t="str">
        <f aca="false">IF(C230="","",TRIM(MID(C230,LEN(F230)+2,999)))</f>
        <v/>
      </c>
      <c r="I230" s="0" t="n">
        <f aca="false">IF(OR(C230="",LEFT(C230,2)="//"),0,IFERROR(IF(AND(G230&gt;0,G230=INT(G230),FIND("-",E230)&gt;1,NOT(EXACT(UPPER(LEFT(E230,1)),LOWER(LEFT(E230,1)))),ISNUMBER(VALUE(MID(E230,FIND("-",E230)+1,10)))),1,0),0))</f>
        <v>0</v>
      </c>
      <c r="J230" s="0" t="str">
        <f aca="false">IF(I230=1,TRIM(LEFT(H230,MAX(0,LEN(H230)-LEN(D230)))),"")</f>
        <v/>
      </c>
      <c r="K230" s="0" t="str">
        <f aca="false">INDEX($P$2:$P$21,A230)</f>
        <v>Deck 4</v>
      </c>
      <c r="L230" s="0" t="n">
        <f aca="false">IF(AND(C230&lt;&gt;"",LEFT(C230,2)&lt;&gt;"//",I230=0),1,0)</f>
        <v>0</v>
      </c>
      <c r="M230" s="0" t="str">
        <f aca="false">IF(I230=1,MAX(M$1:M229)+1,"")</f>
        <v/>
      </c>
      <c r="N230" s="0" t="str">
        <f aca="false">IFERROR(MATCH(ROW()-1,$V$2:$V$1201,0),"")</f>
        <v/>
      </c>
      <c r="R230" s="0" t="str">
        <f aca="false">IF(E230="","",IFERROR(LEFT(E230,FIND("-",E230)-1),E230))</f>
        <v/>
      </c>
      <c r="S230" s="0" t="str">
        <f aca="false">IF(R230="","",IF(ISNUMBER(--MID(R230,1,1)),0,IF(ISNUMBER(--MID(R230,2,1)),1,IF(ISNUMBER(--MID(R230,3,1)),2,IF(ISNUMBER(--MID(R230,4,1)),3,MIN(LEN(R230),4))))))</f>
        <v/>
      </c>
      <c r="T230" s="0" t="str">
        <f aca="false">IF(E230="","",LEFT(R230,S230)&amp;REPT("0",4-S230)&amp;RIGHT("000"&amp;IFERROR(VALUE(MID(R230,S230+1,9)),0),3)&amp;RIGHT("0000"&amp;IFERROR(VALUE(MID(E230,FIND("-",E230)+1,9)),0),4))</f>
        <v/>
      </c>
      <c r="U230" s="0" t="str">
        <f aca="false">IF(I230=1,"K"&amp;RIGHT("00"&amp;A230,2)&amp;T230&amp;RIGHT("00000"&amp;ROW(),5),"")</f>
        <v/>
      </c>
      <c r="V230" s="0" t="str">
        <f aca="false">IF(U230="","",COUNTIFS($I$2:$I$1201,1,$U$2:$U$1201,"&lt;"&amp;U230)+1)</f>
        <v/>
      </c>
    </row>
    <row r="231" customFormat="false" ht="15" hidden="false" customHeight="false" outlineLevel="0" collapsed="false">
      <c r="A231" s="0" t="n">
        <v>4</v>
      </c>
      <c r="B231" s="0" t="n">
        <v>50</v>
      </c>
      <c r="C231" s="0" t="str">
        <f aca="false">TRIM(SUBSTITUTE(INDEX(LISTAS!$A$4:$T$63,B231,A231)&amp;"",CHAR(160)," "))</f>
        <v/>
      </c>
      <c r="D231" s="0" t="str">
        <f aca="false">IF(C231="","",TRIM(RIGHT(SUBSTITUTE(C231," ",REPT(" ",100)),100)))</f>
        <v/>
      </c>
      <c r="E231" s="0" t="str">
        <f aca="false">IF(D231="","",UPPER(SUBSTITUTE(SUBSTITUTE(D231,"(",""),")","")))</f>
        <v/>
      </c>
      <c r="F231" s="0" t="str">
        <f aca="false">IF(C231="","",LEFT(C231,FIND(" ",C231&amp;" ")-1))</f>
        <v/>
      </c>
      <c r="G231" s="0" t="n">
        <f aca="false">IFERROR(VALUE(SUBSTITUTE(LOWER(F231),"x","")),0)</f>
        <v>0</v>
      </c>
      <c r="H231" s="0" t="str">
        <f aca="false">IF(C231="","",TRIM(MID(C231,LEN(F231)+2,999)))</f>
        <v/>
      </c>
      <c r="I231" s="0" t="n">
        <f aca="false">IF(OR(C231="",LEFT(C231,2)="//"),0,IFERROR(IF(AND(G231&gt;0,G231=INT(G231),FIND("-",E231)&gt;1,NOT(EXACT(UPPER(LEFT(E231,1)),LOWER(LEFT(E231,1)))),ISNUMBER(VALUE(MID(E231,FIND("-",E231)+1,10)))),1,0),0))</f>
        <v>0</v>
      </c>
      <c r="J231" s="0" t="str">
        <f aca="false">IF(I231=1,TRIM(LEFT(H231,MAX(0,LEN(H231)-LEN(D231)))),"")</f>
        <v/>
      </c>
      <c r="K231" s="0" t="str">
        <f aca="false">INDEX($P$2:$P$21,A231)</f>
        <v>Deck 4</v>
      </c>
      <c r="L231" s="0" t="n">
        <f aca="false">IF(AND(C231&lt;&gt;"",LEFT(C231,2)&lt;&gt;"//",I231=0),1,0)</f>
        <v>0</v>
      </c>
      <c r="M231" s="0" t="str">
        <f aca="false">IF(I231=1,MAX(M$1:M230)+1,"")</f>
        <v/>
      </c>
      <c r="N231" s="0" t="str">
        <f aca="false">IFERROR(MATCH(ROW()-1,$V$2:$V$1201,0),"")</f>
        <v/>
      </c>
      <c r="R231" s="0" t="str">
        <f aca="false">IF(E231="","",IFERROR(LEFT(E231,FIND("-",E231)-1),E231))</f>
        <v/>
      </c>
      <c r="S231" s="0" t="str">
        <f aca="false">IF(R231="","",IF(ISNUMBER(--MID(R231,1,1)),0,IF(ISNUMBER(--MID(R231,2,1)),1,IF(ISNUMBER(--MID(R231,3,1)),2,IF(ISNUMBER(--MID(R231,4,1)),3,MIN(LEN(R231),4))))))</f>
        <v/>
      </c>
      <c r="T231" s="0" t="str">
        <f aca="false">IF(E231="","",LEFT(R231,S231)&amp;REPT("0",4-S231)&amp;RIGHT("000"&amp;IFERROR(VALUE(MID(R231,S231+1,9)),0),3)&amp;RIGHT("0000"&amp;IFERROR(VALUE(MID(E231,FIND("-",E231)+1,9)),0),4))</f>
        <v/>
      </c>
      <c r="U231" s="0" t="str">
        <f aca="false">IF(I231=1,"K"&amp;RIGHT("00"&amp;A231,2)&amp;T231&amp;RIGHT("00000"&amp;ROW(),5),"")</f>
        <v/>
      </c>
      <c r="V231" s="0" t="str">
        <f aca="false">IF(U231="","",COUNTIFS($I$2:$I$1201,1,$U$2:$U$1201,"&lt;"&amp;U231)+1)</f>
        <v/>
      </c>
    </row>
    <row r="232" customFormat="false" ht="15" hidden="false" customHeight="false" outlineLevel="0" collapsed="false">
      <c r="A232" s="0" t="n">
        <v>4</v>
      </c>
      <c r="B232" s="0" t="n">
        <v>51</v>
      </c>
      <c r="C232" s="0" t="str">
        <f aca="false">TRIM(SUBSTITUTE(INDEX(LISTAS!$A$4:$T$63,B232,A232)&amp;"",CHAR(160)," "))</f>
        <v/>
      </c>
      <c r="D232" s="0" t="str">
        <f aca="false">IF(C232="","",TRIM(RIGHT(SUBSTITUTE(C232," ",REPT(" ",100)),100)))</f>
        <v/>
      </c>
      <c r="E232" s="0" t="str">
        <f aca="false">IF(D232="","",UPPER(SUBSTITUTE(SUBSTITUTE(D232,"(",""),")","")))</f>
        <v/>
      </c>
      <c r="F232" s="0" t="str">
        <f aca="false">IF(C232="","",LEFT(C232,FIND(" ",C232&amp;" ")-1))</f>
        <v/>
      </c>
      <c r="G232" s="0" t="n">
        <f aca="false">IFERROR(VALUE(SUBSTITUTE(LOWER(F232),"x","")),0)</f>
        <v>0</v>
      </c>
      <c r="H232" s="0" t="str">
        <f aca="false">IF(C232="","",TRIM(MID(C232,LEN(F232)+2,999)))</f>
        <v/>
      </c>
      <c r="I232" s="0" t="n">
        <f aca="false">IF(OR(C232="",LEFT(C232,2)="//"),0,IFERROR(IF(AND(G232&gt;0,G232=INT(G232),FIND("-",E232)&gt;1,NOT(EXACT(UPPER(LEFT(E232,1)),LOWER(LEFT(E232,1)))),ISNUMBER(VALUE(MID(E232,FIND("-",E232)+1,10)))),1,0),0))</f>
        <v>0</v>
      </c>
      <c r="J232" s="0" t="str">
        <f aca="false">IF(I232=1,TRIM(LEFT(H232,MAX(0,LEN(H232)-LEN(D232)))),"")</f>
        <v/>
      </c>
      <c r="K232" s="0" t="str">
        <f aca="false">INDEX($P$2:$P$21,A232)</f>
        <v>Deck 4</v>
      </c>
      <c r="L232" s="0" t="n">
        <f aca="false">IF(AND(C232&lt;&gt;"",LEFT(C232,2)&lt;&gt;"//",I232=0),1,0)</f>
        <v>0</v>
      </c>
      <c r="M232" s="0" t="str">
        <f aca="false">IF(I232=1,MAX(M$1:M231)+1,"")</f>
        <v/>
      </c>
      <c r="N232" s="0" t="str">
        <f aca="false">IFERROR(MATCH(ROW()-1,$V$2:$V$1201,0),"")</f>
        <v/>
      </c>
      <c r="R232" s="0" t="str">
        <f aca="false">IF(E232="","",IFERROR(LEFT(E232,FIND("-",E232)-1),E232))</f>
        <v/>
      </c>
      <c r="S232" s="0" t="str">
        <f aca="false">IF(R232="","",IF(ISNUMBER(--MID(R232,1,1)),0,IF(ISNUMBER(--MID(R232,2,1)),1,IF(ISNUMBER(--MID(R232,3,1)),2,IF(ISNUMBER(--MID(R232,4,1)),3,MIN(LEN(R232),4))))))</f>
        <v/>
      </c>
      <c r="T232" s="0" t="str">
        <f aca="false">IF(E232="","",LEFT(R232,S232)&amp;REPT("0",4-S232)&amp;RIGHT("000"&amp;IFERROR(VALUE(MID(R232,S232+1,9)),0),3)&amp;RIGHT("0000"&amp;IFERROR(VALUE(MID(E232,FIND("-",E232)+1,9)),0),4))</f>
        <v/>
      </c>
      <c r="U232" s="0" t="str">
        <f aca="false">IF(I232=1,"K"&amp;RIGHT("00"&amp;A232,2)&amp;T232&amp;RIGHT("00000"&amp;ROW(),5),"")</f>
        <v/>
      </c>
      <c r="V232" s="0" t="str">
        <f aca="false">IF(U232="","",COUNTIFS($I$2:$I$1201,1,$U$2:$U$1201,"&lt;"&amp;U232)+1)</f>
        <v/>
      </c>
    </row>
    <row r="233" customFormat="false" ht="15" hidden="false" customHeight="false" outlineLevel="0" collapsed="false">
      <c r="A233" s="0" t="n">
        <v>4</v>
      </c>
      <c r="B233" s="0" t="n">
        <v>52</v>
      </c>
      <c r="C233" s="0" t="str">
        <f aca="false">TRIM(SUBSTITUTE(INDEX(LISTAS!$A$4:$T$63,B233,A233)&amp;"",CHAR(160)," "))</f>
        <v/>
      </c>
      <c r="D233" s="0" t="str">
        <f aca="false">IF(C233="","",TRIM(RIGHT(SUBSTITUTE(C233," ",REPT(" ",100)),100)))</f>
        <v/>
      </c>
      <c r="E233" s="0" t="str">
        <f aca="false">IF(D233="","",UPPER(SUBSTITUTE(SUBSTITUTE(D233,"(",""),")","")))</f>
        <v/>
      </c>
      <c r="F233" s="0" t="str">
        <f aca="false">IF(C233="","",LEFT(C233,FIND(" ",C233&amp;" ")-1))</f>
        <v/>
      </c>
      <c r="G233" s="0" t="n">
        <f aca="false">IFERROR(VALUE(SUBSTITUTE(LOWER(F233),"x","")),0)</f>
        <v>0</v>
      </c>
      <c r="H233" s="0" t="str">
        <f aca="false">IF(C233="","",TRIM(MID(C233,LEN(F233)+2,999)))</f>
        <v/>
      </c>
      <c r="I233" s="0" t="n">
        <f aca="false">IF(OR(C233="",LEFT(C233,2)="//"),0,IFERROR(IF(AND(G233&gt;0,G233=INT(G233),FIND("-",E233)&gt;1,NOT(EXACT(UPPER(LEFT(E233,1)),LOWER(LEFT(E233,1)))),ISNUMBER(VALUE(MID(E233,FIND("-",E233)+1,10)))),1,0),0))</f>
        <v>0</v>
      </c>
      <c r="J233" s="0" t="str">
        <f aca="false">IF(I233=1,TRIM(LEFT(H233,MAX(0,LEN(H233)-LEN(D233)))),"")</f>
        <v/>
      </c>
      <c r="K233" s="0" t="str">
        <f aca="false">INDEX($P$2:$P$21,A233)</f>
        <v>Deck 4</v>
      </c>
      <c r="L233" s="0" t="n">
        <f aca="false">IF(AND(C233&lt;&gt;"",LEFT(C233,2)&lt;&gt;"//",I233=0),1,0)</f>
        <v>0</v>
      </c>
      <c r="M233" s="0" t="str">
        <f aca="false">IF(I233=1,MAX(M$1:M232)+1,"")</f>
        <v/>
      </c>
      <c r="N233" s="0" t="str">
        <f aca="false">IFERROR(MATCH(ROW()-1,$V$2:$V$1201,0),"")</f>
        <v/>
      </c>
      <c r="R233" s="0" t="str">
        <f aca="false">IF(E233="","",IFERROR(LEFT(E233,FIND("-",E233)-1),E233))</f>
        <v/>
      </c>
      <c r="S233" s="0" t="str">
        <f aca="false">IF(R233="","",IF(ISNUMBER(--MID(R233,1,1)),0,IF(ISNUMBER(--MID(R233,2,1)),1,IF(ISNUMBER(--MID(R233,3,1)),2,IF(ISNUMBER(--MID(R233,4,1)),3,MIN(LEN(R233),4))))))</f>
        <v/>
      </c>
      <c r="T233" s="0" t="str">
        <f aca="false">IF(E233="","",LEFT(R233,S233)&amp;REPT("0",4-S233)&amp;RIGHT("000"&amp;IFERROR(VALUE(MID(R233,S233+1,9)),0),3)&amp;RIGHT("0000"&amp;IFERROR(VALUE(MID(E233,FIND("-",E233)+1,9)),0),4))</f>
        <v/>
      </c>
      <c r="U233" s="0" t="str">
        <f aca="false">IF(I233=1,"K"&amp;RIGHT("00"&amp;A233,2)&amp;T233&amp;RIGHT("00000"&amp;ROW(),5),"")</f>
        <v/>
      </c>
      <c r="V233" s="0" t="str">
        <f aca="false">IF(U233="","",COUNTIFS($I$2:$I$1201,1,$U$2:$U$1201,"&lt;"&amp;U233)+1)</f>
        <v/>
      </c>
    </row>
    <row r="234" customFormat="false" ht="15" hidden="false" customHeight="false" outlineLevel="0" collapsed="false">
      <c r="A234" s="0" t="n">
        <v>4</v>
      </c>
      <c r="B234" s="0" t="n">
        <v>53</v>
      </c>
      <c r="C234" s="0" t="str">
        <f aca="false">TRIM(SUBSTITUTE(INDEX(LISTAS!$A$4:$T$63,B234,A234)&amp;"",CHAR(160)," "))</f>
        <v/>
      </c>
      <c r="D234" s="0" t="str">
        <f aca="false">IF(C234="","",TRIM(RIGHT(SUBSTITUTE(C234," ",REPT(" ",100)),100)))</f>
        <v/>
      </c>
      <c r="E234" s="0" t="str">
        <f aca="false">IF(D234="","",UPPER(SUBSTITUTE(SUBSTITUTE(D234,"(",""),")","")))</f>
        <v/>
      </c>
      <c r="F234" s="0" t="str">
        <f aca="false">IF(C234="","",LEFT(C234,FIND(" ",C234&amp;" ")-1))</f>
        <v/>
      </c>
      <c r="G234" s="0" t="n">
        <f aca="false">IFERROR(VALUE(SUBSTITUTE(LOWER(F234),"x","")),0)</f>
        <v>0</v>
      </c>
      <c r="H234" s="0" t="str">
        <f aca="false">IF(C234="","",TRIM(MID(C234,LEN(F234)+2,999)))</f>
        <v/>
      </c>
      <c r="I234" s="0" t="n">
        <f aca="false">IF(OR(C234="",LEFT(C234,2)="//"),0,IFERROR(IF(AND(G234&gt;0,G234=INT(G234),FIND("-",E234)&gt;1,NOT(EXACT(UPPER(LEFT(E234,1)),LOWER(LEFT(E234,1)))),ISNUMBER(VALUE(MID(E234,FIND("-",E234)+1,10)))),1,0),0))</f>
        <v>0</v>
      </c>
      <c r="J234" s="0" t="str">
        <f aca="false">IF(I234=1,TRIM(LEFT(H234,MAX(0,LEN(H234)-LEN(D234)))),"")</f>
        <v/>
      </c>
      <c r="K234" s="0" t="str">
        <f aca="false">INDEX($P$2:$P$21,A234)</f>
        <v>Deck 4</v>
      </c>
      <c r="L234" s="0" t="n">
        <f aca="false">IF(AND(C234&lt;&gt;"",LEFT(C234,2)&lt;&gt;"//",I234=0),1,0)</f>
        <v>0</v>
      </c>
      <c r="M234" s="0" t="str">
        <f aca="false">IF(I234=1,MAX(M$1:M233)+1,"")</f>
        <v/>
      </c>
      <c r="N234" s="0" t="str">
        <f aca="false">IFERROR(MATCH(ROW()-1,$V$2:$V$1201,0),"")</f>
        <v/>
      </c>
      <c r="R234" s="0" t="str">
        <f aca="false">IF(E234="","",IFERROR(LEFT(E234,FIND("-",E234)-1),E234))</f>
        <v/>
      </c>
      <c r="S234" s="0" t="str">
        <f aca="false">IF(R234="","",IF(ISNUMBER(--MID(R234,1,1)),0,IF(ISNUMBER(--MID(R234,2,1)),1,IF(ISNUMBER(--MID(R234,3,1)),2,IF(ISNUMBER(--MID(R234,4,1)),3,MIN(LEN(R234),4))))))</f>
        <v/>
      </c>
      <c r="T234" s="0" t="str">
        <f aca="false">IF(E234="","",LEFT(R234,S234)&amp;REPT("0",4-S234)&amp;RIGHT("000"&amp;IFERROR(VALUE(MID(R234,S234+1,9)),0),3)&amp;RIGHT("0000"&amp;IFERROR(VALUE(MID(E234,FIND("-",E234)+1,9)),0),4))</f>
        <v/>
      </c>
      <c r="U234" s="0" t="str">
        <f aca="false">IF(I234=1,"K"&amp;RIGHT("00"&amp;A234,2)&amp;T234&amp;RIGHT("00000"&amp;ROW(),5),"")</f>
        <v/>
      </c>
      <c r="V234" s="0" t="str">
        <f aca="false">IF(U234="","",COUNTIFS($I$2:$I$1201,1,$U$2:$U$1201,"&lt;"&amp;U234)+1)</f>
        <v/>
      </c>
    </row>
    <row r="235" customFormat="false" ht="15" hidden="false" customHeight="false" outlineLevel="0" collapsed="false">
      <c r="A235" s="0" t="n">
        <v>4</v>
      </c>
      <c r="B235" s="0" t="n">
        <v>54</v>
      </c>
      <c r="C235" s="0" t="str">
        <f aca="false">TRIM(SUBSTITUTE(INDEX(LISTAS!$A$4:$T$63,B235,A235)&amp;"",CHAR(160)," "))</f>
        <v/>
      </c>
      <c r="D235" s="0" t="str">
        <f aca="false">IF(C235="","",TRIM(RIGHT(SUBSTITUTE(C235," ",REPT(" ",100)),100)))</f>
        <v/>
      </c>
      <c r="E235" s="0" t="str">
        <f aca="false">IF(D235="","",UPPER(SUBSTITUTE(SUBSTITUTE(D235,"(",""),")","")))</f>
        <v/>
      </c>
      <c r="F235" s="0" t="str">
        <f aca="false">IF(C235="","",LEFT(C235,FIND(" ",C235&amp;" ")-1))</f>
        <v/>
      </c>
      <c r="G235" s="0" t="n">
        <f aca="false">IFERROR(VALUE(SUBSTITUTE(LOWER(F235),"x","")),0)</f>
        <v>0</v>
      </c>
      <c r="H235" s="0" t="str">
        <f aca="false">IF(C235="","",TRIM(MID(C235,LEN(F235)+2,999)))</f>
        <v/>
      </c>
      <c r="I235" s="0" t="n">
        <f aca="false">IF(OR(C235="",LEFT(C235,2)="//"),0,IFERROR(IF(AND(G235&gt;0,G235=INT(G235),FIND("-",E235)&gt;1,NOT(EXACT(UPPER(LEFT(E235,1)),LOWER(LEFT(E235,1)))),ISNUMBER(VALUE(MID(E235,FIND("-",E235)+1,10)))),1,0),0))</f>
        <v>0</v>
      </c>
      <c r="J235" s="0" t="str">
        <f aca="false">IF(I235=1,TRIM(LEFT(H235,MAX(0,LEN(H235)-LEN(D235)))),"")</f>
        <v/>
      </c>
      <c r="K235" s="0" t="str">
        <f aca="false">INDEX($P$2:$P$21,A235)</f>
        <v>Deck 4</v>
      </c>
      <c r="L235" s="0" t="n">
        <f aca="false">IF(AND(C235&lt;&gt;"",LEFT(C235,2)&lt;&gt;"//",I235=0),1,0)</f>
        <v>0</v>
      </c>
      <c r="M235" s="0" t="str">
        <f aca="false">IF(I235=1,MAX(M$1:M234)+1,"")</f>
        <v/>
      </c>
      <c r="N235" s="0" t="str">
        <f aca="false">IFERROR(MATCH(ROW()-1,$V$2:$V$1201,0),"")</f>
        <v/>
      </c>
      <c r="R235" s="0" t="str">
        <f aca="false">IF(E235="","",IFERROR(LEFT(E235,FIND("-",E235)-1),E235))</f>
        <v/>
      </c>
      <c r="S235" s="0" t="str">
        <f aca="false">IF(R235="","",IF(ISNUMBER(--MID(R235,1,1)),0,IF(ISNUMBER(--MID(R235,2,1)),1,IF(ISNUMBER(--MID(R235,3,1)),2,IF(ISNUMBER(--MID(R235,4,1)),3,MIN(LEN(R235),4))))))</f>
        <v/>
      </c>
      <c r="T235" s="0" t="str">
        <f aca="false">IF(E235="","",LEFT(R235,S235)&amp;REPT("0",4-S235)&amp;RIGHT("000"&amp;IFERROR(VALUE(MID(R235,S235+1,9)),0),3)&amp;RIGHT("0000"&amp;IFERROR(VALUE(MID(E235,FIND("-",E235)+1,9)),0),4))</f>
        <v/>
      </c>
      <c r="U235" s="0" t="str">
        <f aca="false">IF(I235=1,"K"&amp;RIGHT("00"&amp;A235,2)&amp;T235&amp;RIGHT("00000"&amp;ROW(),5),"")</f>
        <v/>
      </c>
      <c r="V235" s="0" t="str">
        <f aca="false">IF(U235="","",COUNTIFS($I$2:$I$1201,1,$U$2:$U$1201,"&lt;"&amp;U235)+1)</f>
        <v/>
      </c>
    </row>
    <row r="236" customFormat="false" ht="15" hidden="false" customHeight="false" outlineLevel="0" collapsed="false">
      <c r="A236" s="0" t="n">
        <v>4</v>
      </c>
      <c r="B236" s="0" t="n">
        <v>55</v>
      </c>
      <c r="C236" s="0" t="str">
        <f aca="false">TRIM(SUBSTITUTE(INDEX(LISTAS!$A$4:$T$63,B236,A236)&amp;"",CHAR(160)," "))</f>
        <v/>
      </c>
      <c r="D236" s="0" t="str">
        <f aca="false">IF(C236="","",TRIM(RIGHT(SUBSTITUTE(C236," ",REPT(" ",100)),100)))</f>
        <v/>
      </c>
      <c r="E236" s="0" t="str">
        <f aca="false">IF(D236="","",UPPER(SUBSTITUTE(SUBSTITUTE(D236,"(",""),")","")))</f>
        <v/>
      </c>
      <c r="F236" s="0" t="str">
        <f aca="false">IF(C236="","",LEFT(C236,FIND(" ",C236&amp;" ")-1))</f>
        <v/>
      </c>
      <c r="G236" s="0" t="n">
        <f aca="false">IFERROR(VALUE(SUBSTITUTE(LOWER(F236),"x","")),0)</f>
        <v>0</v>
      </c>
      <c r="H236" s="0" t="str">
        <f aca="false">IF(C236="","",TRIM(MID(C236,LEN(F236)+2,999)))</f>
        <v/>
      </c>
      <c r="I236" s="0" t="n">
        <f aca="false">IF(OR(C236="",LEFT(C236,2)="//"),0,IFERROR(IF(AND(G236&gt;0,G236=INT(G236),FIND("-",E236)&gt;1,NOT(EXACT(UPPER(LEFT(E236,1)),LOWER(LEFT(E236,1)))),ISNUMBER(VALUE(MID(E236,FIND("-",E236)+1,10)))),1,0),0))</f>
        <v>0</v>
      </c>
      <c r="J236" s="0" t="str">
        <f aca="false">IF(I236=1,TRIM(LEFT(H236,MAX(0,LEN(H236)-LEN(D236)))),"")</f>
        <v/>
      </c>
      <c r="K236" s="0" t="str">
        <f aca="false">INDEX($P$2:$P$21,A236)</f>
        <v>Deck 4</v>
      </c>
      <c r="L236" s="0" t="n">
        <f aca="false">IF(AND(C236&lt;&gt;"",LEFT(C236,2)&lt;&gt;"//",I236=0),1,0)</f>
        <v>0</v>
      </c>
      <c r="M236" s="0" t="str">
        <f aca="false">IF(I236=1,MAX(M$1:M235)+1,"")</f>
        <v/>
      </c>
      <c r="N236" s="0" t="str">
        <f aca="false">IFERROR(MATCH(ROW()-1,$V$2:$V$1201,0),"")</f>
        <v/>
      </c>
      <c r="R236" s="0" t="str">
        <f aca="false">IF(E236="","",IFERROR(LEFT(E236,FIND("-",E236)-1),E236))</f>
        <v/>
      </c>
      <c r="S236" s="0" t="str">
        <f aca="false">IF(R236="","",IF(ISNUMBER(--MID(R236,1,1)),0,IF(ISNUMBER(--MID(R236,2,1)),1,IF(ISNUMBER(--MID(R236,3,1)),2,IF(ISNUMBER(--MID(R236,4,1)),3,MIN(LEN(R236),4))))))</f>
        <v/>
      </c>
      <c r="T236" s="0" t="str">
        <f aca="false">IF(E236="","",LEFT(R236,S236)&amp;REPT("0",4-S236)&amp;RIGHT("000"&amp;IFERROR(VALUE(MID(R236,S236+1,9)),0),3)&amp;RIGHT("0000"&amp;IFERROR(VALUE(MID(E236,FIND("-",E236)+1,9)),0),4))</f>
        <v/>
      </c>
      <c r="U236" s="0" t="str">
        <f aca="false">IF(I236=1,"K"&amp;RIGHT("00"&amp;A236,2)&amp;T236&amp;RIGHT("00000"&amp;ROW(),5),"")</f>
        <v/>
      </c>
      <c r="V236" s="0" t="str">
        <f aca="false">IF(U236="","",COUNTIFS($I$2:$I$1201,1,$U$2:$U$1201,"&lt;"&amp;U236)+1)</f>
        <v/>
      </c>
    </row>
    <row r="237" customFormat="false" ht="15" hidden="false" customHeight="false" outlineLevel="0" collapsed="false">
      <c r="A237" s="0" t="n">
        <v>4</v>
      </c>
      <c r="B237" s="0" t="n">
        <v>56</v>
      </c>
      <c r="C237" s="0" t="str">
        <f aca="false">TRIM(SUBSTITUTE(INDEX(LISTAS!$A$4:$T$63,B237,A237)&amp;"",CHAR(160)," "))</f>
        <v/>
      </c>
      <c r="D237" s="0" t="str">
        <f aca="false">IF(C237="","",TRIM(RIGHT(SUBSTITUTE(C237," ",REPT(" ",100)),100)))</f>
        <v/>
      </c>
      <c r="E237" s="0" t="str">
        <f aca="false">IF(D237="","",UPPER(SUBSTITUTE(SUBSTITUTE(D237,"(",""),")","")))</f>
        <v/>
      </c>
      <c r="F237" s="0" t="str">
        <f aca="false">IF(C237="","",LEFT(C237,FIND(" ",C237&amp;" ")-1))</f>
        <v/>
      </c>
      <c r="G237" s="0" t="n">
        <f aca="false">IFERROR(VALUE(SUBSTITUTE(LOWER(F237),"x","")),0)</f>
        <v>0</v>
      </c>
      <c r="H237" s="0" t="str">
        <f aca="false">IF(C237="","",TRIM(MID(C237,LEN(F237)+2,999)))</f>
        <v/>
      </c>
      <c r="I237" s="0" t="n">
        <f aca="false">IF(OR(C237="",LEFT(C237,2)="//"),0,IFERROR(IF(AND(G237&gt;0,G237=INT(G237),FIND("-",E237)&gt;1,NOT(EXACT(UPPER(LEFT(E237,1)),LOWER(LEFT(E237,1)))),ISNUMBER(VALUE(MID(E237,FIND("-",E237)+1,10)))),1,0),0))</f>
        <v>0</v>
      </c>
      <c r="J237" s="0" t="str">
        <f aca="false">IF(I237=1,TRIM(LEFT(H237,MAX(0,LEN(H237)-LEN(D237)))),"")</f>
        <v/>
      </c>
      <c r="K237" s="0" t="str">
        <f aca="false">INDEX($P$2:$P$21,A237)</f>
        <v>Deck 4</v>
      </c>
      <c r="L237" s="0" t="n">
        <f aca="false">IF(AND(C237&lt;&gt;"",LEFT(C237,2)&lt;&gt;"//",I237=0),1,0)</f>
        <v>0</v>
      </c>
      <c r="M237" s="0" t="str">
        <f aca="false">IF(I237=1,MAX(M$1:M236)+1,"")</f>
        <v/>
      </c>
      <c r="N237" s="0" t="str">
        <f aca="false">IFERROR(MATCH(ROW()-1,$V$2:$V$1201,0),"")</f>
        <v/>
      </c>
      <c r="R237" s="0" t="str">
        <f aca="false">IF(E237="","",IFERROR(LEFT(E237,FIND("-",E237)-1),E237))</f>
        <v/>
      </c>
      <c r="S237" s="0" t="str">
        <f aca="false">IF(R237="","",IF(ISNUMBER(--MID(R237,1,1)),0,IF(ISNUMBER(--MID(R237,2,1)),1,IF(ISNUMBER(--MID(R237,3,1)),2,IF(ISNUMBER(--MID(R237,4,1)),3,MIN(LEN(R237),4))))))</f>
        <v/>
      </c>
      <c r="T237" s="0" t="str">
        <f aca="false">IF(E237="","",LEFT(R237,S237)&amp;REPT("0",4-S237)&amp;RIGHT("000"&amp;IFERROR(VALUE(MID(R237,S237+1,9)),0),3)&amp;RIGHT("0000"&amp;IFERROR(VALUE(MID(E237,FIND("-",E237)+1,9)),0),4))</f>
        <v/>
      </c>
      <c r="U237" s="0" t="str">
        <f aca="false">IF(I237=1,"K"&amp;RIGHT("00"&amp;A237,2)&amp;T237&amp;RIGHT("00000"&amp;ROW(),5),"")</f>
        <v/>
      </c>
      <c r="V237" s="0" t="str">
        <f aca="false">IF(U237="","",COUNTIFS($I$2:$I$1201,1,$U$2:$U$1201,"&lt;"&amp;U237)+1)</f>
        <v/>
      </c>
    </row>
    <row r="238" customFormat="false" ht="15" hidden="false" customHeight="false" outlineLevel="0" collapsed="false">
      <c r="A238" s="0" t="n">
        <v>4</v>
      </c>
      <c r="B238" s="0" t="n">
        <v>57</v>
      </c>
      <c r="C238" s="0" t="str">
        <f aca="false">TRIM(SUBSTITUTE(INDEX(LISTAS!$A$4:$T$63,B238,A238)&amp;"",CHAR(160)," "))</f>
        <v/>
      </c>
      <c r="D238" s="0" t="str">
        <f aca="false">IF(C238="","",TRIM(RIGHT(SUBSTITUTE(C238," ",REPT(" ",100)),100)))</f>
        <v/>
      </c>
      <c r="E238" s="0" t="str">
        <f aca="false">IF(D238="","",UPPER(SUBSTITUTE(SUBSTITUTE(D238,"(",""),")","")))</f>
        <v/>
      </c>
      <c r="F238" s="0" t="str">
        <f aca="false">IF(C238="","",LEFT(C238,FIND(" ",C238&amp;" ")-1))</f>
        <v/>
      </c>
      <c r="G238" s="0" t="n">
        <f aca="false">IFERROR(VALUE(SUBSTITUTE(LOWER(F238),"x","")),0)</f>
        <v>0</v>
      </c>
      <c r="H238" s="0" t="str">
        <f aca="false">IF(C238="","",TRIM(MID(C238,LEN(F238)+2,999)))</f>
        <v/>
      </c>
      <c r="I238" s="0" t="n">
        <f aca="false">IF(OR(C238="",LEFT(C238,2)="//"),0,IFERROR(IF(AND(G238&gt;0,G238=INT(G238),FIND("-",E238)&gt;1,NOT(EXACT(UPPER(LEFT(E238,1)),LOWER(LEFT(E238,1)))),ISNUMBER(VALUE(MID(E238,FIND("-",E238)+1,10)))),1,0),0))</f>
        <v>0</v>
      </c>
      <c r="J238" s="0" t="str">
        <f aca="false">IF(I238=1,TRIM(LEFT(H238,MAX(0,LEN(H238)-LEN(D238)))),"")</f>
        <v/>
      </c>
      <c r="K238" s="0" t="str">
        <f aca="false">INDEX($P$2:$P$21,A238)</f>
        <v>Deck 4</v>
      </c>
      <c r="L238" s="0" t="n">
        <f aca="false">IF(AND(C238&lt;&gt;"",LEFT(C238,2)&lt;&gt;"//",I238=0),1,0)</f>
        <v>0</v>
      </c>
      <c r="M238" s="0" t="str">
        <f aca="false">IF(I238=1,MAX(M$1:M237)+1,"")</f>
        <v/>
      </c>
      <c r="N238" s="0" t="str">
        <f aca="false">IFERROR(MATCH(ROW()-1,$V$2:$V$1201,0),"")</f>
        <v/>
      </c>
      <c r="R238" s="0" t="str">
        <f aca="false">IF(E238="","",IFERROR(LEFT(E238,FIND("-",E238)-1),E238))</f>
        <v/>
      </c>
      <c r="S238" s="0" t="str">
        <f aca="false">IF(R238="","",IF(ISNUMBER(--MID(R238,1,1)),0,IF(ISNUMBER(--MID(R238,2,1)),1,IF(ISNUMBER(--MID(R238,3,1)),2,IF(ISNUMBER(--MID(R238,4,1)),3,MIN(LEN(R238),4))))))</f>
        <v/>
      </c>
      <c r="T238" s="0" t="str">
        <f aca="false">IF(E238="","",LEFT(R238,S238)&amp;REPT("0",4-S238)&amp;RIGHT("000"&amp;IFERROR(VALUE(MID(R238,S238+1,9)),0),3)&amp;RIGHT("0000"&amp;IFERROR(VALUE(MID(E238,FIND("-",E238)+1,9)),0),4))</f>
        <v/>
      </c>
      <c r="U238" s="0" t="str">
        <f aca="false">IF(I238=1,"K"&amp;RIGHT("00"&amp;A238,2)&amp;T238&amp;RIGHT("00000"&amp;ROW(),5),"")</f>
        <v/>
      </c>
      <c r="V238" s="0" t="str">
        <f aca="false">IF(U238="","",COUNTIFS($I$2:$I$1201,1,$U$2:$U$1201,"&lt;"&amp;U238)+1)</f>
        <v/>
      </c>
    </row>
    <row r="239" customFormat="false" ht="15" hidden="false" customHeight="false" outlineLevel="0" collapsed="false">
      <c r="A239" s="0" t="n">
        <v>4</v>
      </c>
      <c r="B239" s="0" t="n">
        <v>58</v>
      </c>
      <c r="C239" s="0" t="str">
        <f aca="false">TRIM(SUBSTITUTE(INDEX(LISTAS!$A$4:$T$63,B239,A239)&amp;"",CHAR(160)," "))</f>
        <v/>
      </c>
      <c r="D239" s="0" t="str">
        <f aca="false">IF(C239="","",TRIM(RIGHT(SUBSTITUTE(C239," ",REPT(" ",100)),100)))</f>
        <v/>
      </c>
      <c r="E239" s="0" t="str">
        <f aca="false">IF(D239="","",UPPER(SUBSTITUTE(SUBSTITUTE(D239,"(",""),")","")))</f>
        <v/>
      </c>
      <c r="F239" s="0" t="str">
        <f aca="false">IF(C239="","",LEFT(C239,FIND(" ",C239&amp;" ")-1))</f>
        <v/>
      </c>
      <c r="G239" s="0" t="n">
        <f aca="false">IFERROR(VALUE(SUBSTITUTE(LOWER(F239),"x","")),0)</f>
        <v>0</v>
      </c>
      <c r="H239" s="0" t="str">
        <f aca="false">IF(C239="","",TRIM(MID(C239,LEN(F239)+2,999)))</f>
        <v/>
      </c>
      <c r="I239" s="0" t="n">
        <f aca="false">IF(OR(C239="",LEFT(C239,2)="//"),0,IFERROR(IF(AND(G239&gt;0,G239=INT(G239),FIND("-",E239)&gt;1,NOT(EXACT(UPPER(LEFT(E239,1)),LOWER(LEFT(E239,1)))),ISNUMBER(VALUE(MID(E239,FIND("-",E239)+1,10)))),1,0),0))</f>
        <v>0</v>
      </c>
      <c r="J239" s="0" t="str">
        <f aca="false">IF(I239=1,TRIM(LEFT(H239,MAX(0,LEN(H239)-LEN(D239)))),"")</f>
        <v/>
      </c>
      <c r="K239" s="0" t="str">
        <f aca="false">INDEX($P$2:$P$21,A239)</f>
        <v>Deck 4</v>
      </c>
      <c r="L239" s="0" t="n">
        <f aca="false">IF(AND(C239&lt;&gt;"",LEFT(C239,2)&lt;&gt;"//",I239=0),1,0)</f>
        <v>0</v>
      </c>
      <c r="M239" s="0" t="str">
        <f aca="false">IF(I239=1,MAX(M$1:M238)+1,"")</f>
        <v/>
      </c>
      <c r="N239" s="0" t="str">
        <f aca="false">IFERROR(MATCH(ROW()-1,$V$2:$V$1201,0),"")</f>
        <v/>
      </c>
      <c r="R239" s="0" t="str">
        <f aca="false">IF(E239="","",IFERROR(LEFT(E239,FIND("-",E239)-1),E239))</f>
        <v/>
      </c>
      <c r="S239" s="0" t="str">
        <f aca="false">IF(R239="","",IF(ISNUMBER(--MID(R239,1,1)),0,IF(ISNUMBER(--MID(R239,2,1)),1,IF(ISNUMBER(--MID(R239,3,1)),2,IF(ISNUMBER(--MID(R239,4,1)),3,MIN(LEN(R239),4))))))</f>
        <v/>
      </c>
      <c r="T239" s="0" t="str">
        <f aca="false">IF(E239="","",LEFT(R239,S239)&amp;REPT("0",4-S239)&amp;RIGHT("000"&amp;IFERROR(VALUE(MID(R239,S239+1,9)),0),3)&amp;RIGHT("0000"&amp;IFERROR(VALUE(MID(E239,FIND("-",E239)+1,9)),0),4))</f>
        <v/>
      </c>
      <c r="U239" s="0" t="str">
        <f aca="false">IF(I239=1,"K"&amp;RIGHT("00"&amp;A239,2)&amp;T239&amp;RIGHT("00000"&amp;ROW(),5),"")</f>
        <v/>
      </c>
      <c r="V239" s="0" t="str">
        <f aca="false">IF(U239="","",COUNTIFS($I$2:$I$1201,1,$U$2:$U$1201,"&lt;"&amp;U239)+1)</f>
        <v/>
      </c>
    </row>
    <row r="240" customFormat="false" ht="15" hidden="false" customHeight="false" outlineLevel="0" collapsed="false">
      <c r="A240" s="0" t="n">
        <v>4</v>
      </c>
      <c r="B240" s="0" t="n">
        <v>59</v>
      </c>
      <c r="C240" s="0" t="str">
        <f aca="false">TRIM(SUBSTITUTE(INDEX(LISTAS!$A$4:$T$63,B240,A240)&amp;"",CHAR(160)," "))</f>
        <v/>
      </c>
      <c r="D240" s="0" t="str">
        <f aca="false">IF(C240="","",TRIM(RIGHT(SUBSTITUTE(C240," ",REPT(" ",100)),100)))</f>
        <v/>
      </c>
      <c r="E240" s="0" t="str">
        <f aca="false">IF(D240="","",UPPER(SUBSTITUTE(SUBSTITUTE(D240,"(",""),")","")))</f>
        <v/>
      </c>
      <c r="F240" s="0" t="str">
        <f aca="false">IF(C240="","",LEFT(C240,FIND(" ",C240&amp;" ")-1))</f>
        <v/>
      </c>
      <c r="G240" s="0" t="n">
        <f aca="false">IFERROR(VALUE(SUBSTITUTE(LOWER(F240),"x","")),0)</f>
        <v>0</v>
      </c>
      <c r="H240" s="0" t="str">
        <f aca="false">IF(C240="","",TRIM(MID(C240,LEN(F240)+2,999)))</f>
        <v/>
      </c>
      <c r="I240" s="0" t="n">
        <f aca="false">IF(OR(C240="",LEFT(C240,2)="//"),0,IFERROR(IF(AND(G240&gt;0,G240=INT(G240),FIND("-",E240)&gt;1,NOT(EXACT(UPPER(LEFT(E240,1)),LOWER(LEFT(E240,1)))),ISNUMBER(VALUE(MID(E240,FIND("-",E240)+1,10)))),1,0),0))</f>
        <v>0</v>
      </c>
      <c r="J240" s="0" t="str">
        <f aca="false">IF(I240=1,TRIM(LEFT(H240,MAX(0,LEN(H240)-LEN(D240)))),"")</f>
        <v/>
      </c>
      <c r="K240" s="0" t="str">
        <f aca="false">INDEX($P$2:$P$21,A240)</f>
        <v>Deck 4</v>
      </c>
      <c r="L240" s="0" t="n">
        <f aca="false">IF(AND(C240&lt;&gt;"",LEFT(C240,2)&lt;&gt;"//",I240=0),1,0)</f>
        <v>0</v>
      </c>
      <c r="M240" s="0" t="str">
        <f aca="false">IF(I240=1,MAX(M$1:M239)+1,"")</f>
        <v/>
      </c>
      <c r="N240" s="0" t="str">
        <f aca="false">IFERROR(MATCH(ROW()-1,$V$2:$V$1201,0),"")</f>
        <v/>
      </c>
      <c r="R240" s="0" t="str">
        <f aca="false">IF(E240="","",IFERROR(LEFT(E240,FIND("-",E240)-1),E240))</f>
        <v/>
      </c>
      <c r="S240" s="0" t="str">
        <f aca="false">IF(R240="","",IF(ISNUMBER(--MID(R240,1,1)),0,IF(ISNUMBER(--MID(R240,2,1)),1,IF(ISNUMBER(--MID(R240,3,1)),2,IF(ISNUMBER(--MID(R240,4,1)),3,MIN(LEN(R240),4))))))</f>
        <v/>
      </c>
      <c r="T240" s="0" t="str">
        <f aca="false">IF(E240="","",LEFT(R240,S240)&amp;REPT("0",4-S240)&amp;RIGHT("000"&amp;IFERROR(VALUE(MID(R240,S240+1,9)),0),3)&amp;RIGHT("0000"&amp;IFERROR(VALUE(MID(E240,FIND("-",E240)+1,9)),0),4))</f>
        <v/>
      </c>
      <c r="U240" s="0" t="str">
        <f aca="false">IF(I240=1,"K"&amp;RIGHT("00"&amp;A240,2)&amp;T240&amp;RIGHT("00000"&amp;ROW(),5),"")</f>
        <v/>
      </c>
      <c r="V240" s="0" t="str">
        <f aca="false">IF(U240="","",COUNTIFS($I$2:$I$1201,1,$U$2:$U$1201,"&lt;"&amp;U240)+1)</f>
        <v/>
      </c>
    </row>
    <row r="241" customFormat="false" ht="15" hidden="false" customHeight="false" outlineLevel="0" collapsed="false">
      <c r="A241" s="0" t="n">
        <v>4</v>
      </c>
      <c r="B241" s="0" t="n">
        <v>60</v>
      </c>
      <c r="C241" s="0" t="str">
        <f aca="false">TRIM(SUBSTITUTE(INDEX(LISTAS!$A$4:$T$63,B241,A241)&amp;"",CHAR(160)," "))</f>
        <v/>
      </c>
      <c r="D241" s="0" t="str">
        <f aca="false">IF(C241="","",TRIM(RIGHT(SUBSTITUTE(C241," ",REPT(" ",100)),100)))</f>
        <v/>
      </c>
      <c r="E241" s="0" t="str">
        <f aca="false">IF(D241="","",UPPER(SUBSTITUTE(SUBSTITUTE(D241,"(",""),")","")))</f>
        <v/>
      </c>
      <c r="F241" s="0" t="str">
        <f aca="false">IF(C241="","",LEFT(C241,FIND(" ",C241&amp;" ")-1))</f>
        <v/>
      </c>
      <c r="G241" s="0" t="n">
        <f aca="false">IFERROR(VALUE(SUBSTITUTE(LOWER(F241),"x","")),0)</f>
        <v>0</v>
      </c>
      <c r="H241" s="0" t="str">
        <f aca="false">IF(C241="","",TRIM(MID(C241,LEN(F241)+2,999)))</f>
        <v/>
      </c>
      <c r="I241" s="0" t="n">
        <f aca="false">IF(OR(C241="",LEFT(C241,2)="//"),0,IFERROR(IF(AND(G241&gt;0,G241=INT(G241),FIND("-",E241)&gt;1,NOT(EXACT(UPPER(LEFT(E241,1)),LOWER(LEFT(E241,1)))),ISNUMBER(VALUE(MID(E241,FIND("-",E241)+1,10)))),1,0),0))</f>
        <v>0</v>
      </c>
      <c r="J241" s="0" t="str">
        <f aca="false">IF(I241=1,TRIM(LEFT(H241,MAX(0,LEN(H241)-LEN(D241)))),"")</f>
        <v/>
      </c>
      <c r="K241" s="0" t="str">
        <f aca="false">INDEX($P$2:$P$21,A241)</f>
        <v>Deck 4</v>
      </c>
      <c r="L241" s="0" t="n">
        <f aca="false">IF(AND(C241&lt;&gt;"",LEFT(C241,2)&lt;&gt;"//",I241=0),1,0)</f>
        <v>0</v>
      </c>
      <c r="M241" s="0" t="str">
        <f aca="false">IF(I241=1,MAX(M$1:M240)+1,"")</f>
        <v/>
      </c>
      <c r="N241" s="0" t="str">
        <f aca="false">IFERROR(MATCH(ROW()-1,$V$2:$V$1201,0),"")</f>
        <v/>
      </c>
      <c r="R241" s="0" t="str">
        <f aca="false">IF(E241="","",IFERROR(LEFT(E241,FIND("-",E241)-1),E241))</f>
        <v/>
      </c>
      <c r="S241" s="0" t="str">
        <f aca="false">IF(R241="","",IF(ISNUMBER(--MID(R241,1,1)),0,IF(ISNUMBER(--MID(R241,2,1)),1,IF(ISNUMBER(--MID(R241,3,1)),2,IF(ISNUMBER(--MID(R241,4,1)),3,MIN(LEN(R241),4))))))</f>
        <v/>
      </c>
      <c r="T241" s="0" t="str">
        <f aca="false">IF(E241="","",LEFT(R241,S241)&amp;REPT("0",4-S241)&amp;RIGHT("000"&amp;IFERROR(VALUE(MID(R241,S241+1,9)),0),3)&amp;RIGHT("0000"&amp;IFERROR(VALUE(MID(E241,FIND("-",E241)+1,9)),0),4))</f>
        <v/>
      </c>
      <c r="U241" s="0" t="str">
        <f aca="false">IF(I241=1,"K"&amp;RIGHT("00"&amp;A241,2)&amp;T241&amp;RIGHT("00000"&amp;ROW(),5),"")</f>
        <v/>
      </c>
      <c r="V241" s="0" t="str">
        <f aca="false">IF(U241="","",COUNTIFS($I$2:$I$1201,1,$U$2:$U$1201,"&lt;"&amp;U241)+1)</f>
        <v/>
      </c>
    </row>
    <row r="242" customFormat="false" ht="15" hidden="false" customHeight="false" outlineLevel="0" collapsed="false">
      <c r="A242" s="0" t="n">
        <v>5</v>
      </c>
      <c r="B242" s="0" t="n">
        <v>1</v>
      </c>
      <c r="C242" s="0" t="str">
        <f aca="false">TRIM(SUBSTITUTE(INDEX(LISTAS!$A$4:$T$63,B242,A242)&amp;"",CHAR(160)," "))</f>
        <v/>
      </c>
      <c r="D242" s="0" t="str">
        <f aca="false">IF(C242="","",TRIM(RIGHT(SUBSTITUTE(C242," ",REPT(" ",100)),100)))</f>
        <v/>
      </c>
      <c r="E242" s="0" t="str">
        <f aca="false">IF(D242="","",UPPER(SUBSTITUTE(SUBSTITUTE(D242,"(",""),")","")))</f>
        <v/>
      </c>
      <c r="F242" s="0" t="str">
        <f aca="false">IF(C242="","",LEFT(C242,FIND(" ",C242&amp;" ")-1))</f>
        <v/>
      </c>
      <c r="G242" s="0" t="n">
        <f aca="false">IFERROR(VALUE(SUBSTITUTE(LOWER(F242),"x","")),0)</f>
        <v>0</v>
      </c>
      <c r="H242" s="0" t="str">
        <f aca="false">IF(C242="","",TRIM(MID(C242,LEN(F242)+2,999)))</f>
        <v/>
      </c>
      <c r="I242" s="0" t="n">
        <f aca="false">IF(OR(C242="",LEFT(C242,2)="//"),0,IFERROR(IF(AND(G242&gt;0,G242=INT(G242),FIND("-",E242)&gt;1,NOT(EXACT(UPPER(LEFT(E242,1)),LOWER(LEFT(E242,1)))),ISNUMBER(VALUE(MID(E242,FIND("-",E242)+1,10)))),1,0),0))</f>
        <v>0</v>
      </c>
      <c r="J242" s="0" t="str">
        <f aca="false">IF(I242=1,TRIM(LEFT(H242,MAX(0,LEN(H242)-LEN(D242)))),"")</f>
        <v/>
      </c>
      <c r="K242" s="0" t="str">
        <f aca="false">INDEX($P$2:$P$21,A242)</f>
        <v>Deck 5</v>
      </c>
      <c r="L242" s="0" t="n">
        <f aca="false">IF(AND(C242&lt;&gt;"",LEFT(C242,2)&lt;&gt;"//",I242=0),1,0)</f>
        <v>0</v>
      </c>
      <c r="M242" s="0" t="str">
        <f aca="false">IF(I242=1,MAX(M$1:M241)+1,"")</f>
        <v/>
      </c>
      <c r="N242" s="0" t="str">
        <f aca="false">IFERROR(MATCH(ROW()-1,$V$2:$V$1201,0),"")</f>
        <v/>
      </c>
      <c r="R242" s="0" t="str">
        <f aca="false">IF(E242="","",IFERROR(LEFT(E242,FIND("-",E242)-1),E242))</f>
        <v/>
      </c>
      <c r="S242" s="0" t="str">
        <f aca="false">IF(R242="","",IF(ISNUMBER(--MID(R242,1,1)),0,IF(ISNUMBER(--MID(R242,2,1)),1,IF(ISNUMBER(--MID(R242,3,1)),2,IF(ISNUMBER(--MID(R242,4,1)),3,MIN(LEN(R242),4))))))</f>
        <v/>
      </c>
      <c r="T242" s="0" t="str">
        <f aca="false">IF(E242="","",LEFT(R242,S242)&amp;REPT("0",4-S242)&amp;RIGHT("000"&amp;IFERROR(VALUE(MID(R242,S242+1,9)),0),3)&amp;RIGHT("0000"&amp;IFERROR(VALUE(MID(E242,FIND("-",E242)+1,9)),0),4))</f>
        <v/>
      </c>
      <c r="U242" s="0" t="str">
        <f aca="false">IF(I242=1,"K"&amp;RIGHT("00"&amp;A242,2)&amp;T242&amp;RIGHT("00000"&amp;ROW(),5),"")</f>
        <v/>
      </c>
      <c r="V242" s="0" t="str">
        <f aca="false">IF(U242="","",COUNTIFS($I$2:$I$1201,1,$U$2:$U$1201,"&lt;"&amp;U242)+1)</f>
        <v/>
      </c>
    </row>
    <row r="243" customFormat="false" ht="15" hidden="false" customHeight="false" outlineLevel="0" collapsed="false">
      <c r="A243" s="0" t="n">
        <v>5</v>
      </c>
      <c r="B243" s="0" t="n">
        <v>2</v>
      </c>
      <c r="C243" s="0" t="str">
        <f aca="false">TRIM(SUBSTITUTE(INDEX(LISTAS!$A$4:$T$63,B243,A243)&amp;"",CHAR(160)," "))</f>
        <v/>
      </c>
      <c r="D243" s="0" t="str">
        <f aca="false">IF(C243="","",TRIM(RIGHT(SUBSTITUTE(C243," ",REPT(" ",100)),100)))</f>
        <v/>
      </c>
      <c r="E243" s="0" t="str">
        <f aca="false">IF(D243="","",UPPER(SUBSTITUTE(SUBSTITUTE(D243,"(",""),")","")))</f>
        <v/>
      </c>
      <c r="F243" s="0" t="str">
        <f aca="false">IF(C243="","",LEFT(C243,FIND(" ",C243&amp;" ")-1))</f>
        <v/>
      </c>
      <c r="G243" s="0" t="n">
        <f aca="false">IFERROR(VALUE(SUBSTITUTE(LOWER(F243),"x","")),0)</f>
        <v>0</v>
      </c>
      <c r="H243" s="0" t="str">
        <f aca="false">IF(C243="","",TRIM(MID(C243,LEN(F243)+2,999)))</f>
        <v/>
      </c>
      <c r="I243" s="0" t="n">
        <f aca="false">IF(OR(C243="",LEFT(C243,2)="//"),0,IFERROR(IF(AND(G243&gt;0,G243=INT(G243),FIND("-",E243)&gt;1,NOT(EXACT(UPPER(LEFT(E243,1)),LOWER(LEFT(E243,1)))),ISNUMBER(VALUE(MID(E243,FIND("-",E243)+1,10)))),1,0),0))</f>
        <v>0</v>
      </c>
      <c r="J243" s="0" t="str">
        <f aca="false">IF(I243=1,TRIM(LEFT(H243,MAX(0,LEN(H243)-LEN(D243)))),"")</f>
        <v/>
      </c>
      <c r="K243" s="0" t="str">
        <f aca="false">INDEX($P$2:$P$21,A243)</f>
        <v>Deck 5</v>
      </c>
      <c r="L243" s="0" t="n">
        <f aca="false">IF(AND(C243&lt;&gt;"",LEFT(C243,2)&lt;&gt;"//",I243=0),1,0)</f>
        <v>0</v>
      </c>
      <c r="M243" s="0" t="str">
        <f aca="false">IF(I243=1,MAX(M$1:M242)+1,"")</f>
        <v/>
      </c>
      <c r="N243" s="0" t="str">
        <f aca="false">IFERROR(MATCH(ROW()-1,$V$2:$V$1201,0),"")</f>
        <v/>
      </c>
      <c r="R243" s="0" t="str">
        <f aca="false">IF(E243="","",IFERROR(LEFT(E243,FIND("-",E243)-1),E243))</f>
        <v/>
      </c>
      <c r="S243" s="0" t="str">
        <f aca="false">IF(R243="","",IF(ISNUMBER(--MID(R243,1,1)),0,IF(ISNUMBER(--MID(R243,2,1)),1,IF(ISNUMBER(--MID(R243,3,1)),2,IF(ISNUMBER(--MID(R243,4,1)),3,MIN(LEN(R243),4))))))</f>
        <v/>
      </c>
      <c r="T243" s="0" t="str">
        <f aca="false">IF(E243="","",LEFT(R243,S243)&amp;REPT("0",4-S243)&amp;RIGHT("000"&amp;IFERROR(VALUE(MID(R243,S243+1,9)),0),3)&amp;RIGHT("0000"&amp;IFERROR(VALUE(MID(E243,FIND("-",E243)+1,9)),0),4))</f>
        <v/>
      </c>
      <c r="U243" s="0" t="str">
        <f aca="false">IF(I243=1,"K"&amp;RIGHT("00"&amp;A243,2)&amp;T243&amp;RIGHT("00000"&amp;ROW(),5),"")</f>
        <v/>
      </c>
      <c r="V243" s="0" t="str">
        <f aca="false">IF(U243="","",COUNTIFS($I$2:$I$1201,1,$U$2:$U$1201,"&lt;"&amp;U243)+1)</f>
        <v/>
      </c>
    </row>
    <row r="244" customFormat="false" ht="15" hidden="false" customHeight="false" outlineLevel="0" collapsed="false">
      <c r="A244" s="0" t="n">
        <v>5</v>
      </c>
      <c r="B244" s="0" t="n">
        <v>3</v>
      </c>
      <c r="C244" s="0" t="str">
        <f aca="false">TRIM(SUBSTITUTE(INDEX(LISTAS!$A$4:$T$63,B244,A244)&amp;"",CHAR(160)," "))</f>
        <v/>
      </c>
      <c r="D244" s="0" t="str">
        <f aca="false">IF(C244="","",TRIM(RIGHT(SUBSTITUTE(C244," ",REPT(" ",100)),100)))</f>
        <v/>
      </c>
      <c r="E244" s="0" t="str">
        <f aca="false">IF(D244="","",UPPER(SUBSTITUTE(SUBSTITUTE(D244,"(",""),")","")))</f>
        <v/>
      </c>
      <c r="F244" s="0" t="str">
        <f aca="false">IF(C244="","",LEFT(C244,FIND(" ",C244&amp;" ")-1))</f>
        <v/>
      </c>
      <c r="G244" s="0" t="n">
        <f aca="false">IFERROR(VALUE(SUBSTITUTE(LOWER(F244),"x","")),0)</f>
        <v>0</v>
      </c>
      <c r="H244" s="0" t="str">
        <f aca="false">IF(C244="","",TRIM(MID(C244,LEN(F244)+2,999)))</f>
        <v/>
      </c>
      <c r="I244" s="0" t="n">
        <f aca="false">IF(OR(C244="",LEFT(C244,2)="//"),0,IFERROR(IF(AND(G244&gt;0,G244=INT(G244),FIND("-",E244)&gt;1,NOT(EXACT(UPPER(LEFT(E244,1)),LOWER(LEFT(E244,1)))),ISNUMBER(VALUE(MID(E244,FIND("-",E244)+1,10)))),1,0),0))</f>
        <v>0</v>
      </c>
      <c r="J244" s="0" t="str">
        <f aca="false">IF(I244=1,TRIM(LEFT(H244,MAX(0,LEN(H244)-LEN(D244)))),"")</f>
        <v/>
      </c>
      <c r="K244" s="0" t="str">
        <f aca="false">INDEX($P$2:$P$21,A244)</f>
        <v>Deck 5</v>
      </c>
      <c r="L244" s="0" t="n">
        <f aca="false">IF(AND(C244&lt;&gt;"",LEFT(C244,2)&lt;&gt;"//",I244=0),1,0)</f>
        <v>0</v>
      </c>
      <c r="M244" s="0" t="str">
        <f aca="false">IF(I244=1,MAX(M$1:M243)+1,"")</f>
        <v/>
      </c>
      <c r="N244" s="0" t="str">
        <f aca="false">IFERROR(MATCH(ROW()-1,$V$2:$V$1201,0),"")</f>
        <v/>
      </c>
      <c r="R244" s="0" t="str">
        <f aca="false">IF(E244="","",IFERROR(LEFT(E244,FIND("-",E244)-1),E244))</f>
        <v/>
      </c>
      <c r="S244" s="0" t="str">
        <f aca="false">IF(R244="","",IF(ISNUMBER(--MID(R244,1,1)),0,IF(ISNUMBER(--MID(R244,2,1)),1,IF(ISNUMBER(--MID(R244,3,1)),2,IF(ISNUMBER(--MID(R244,4,1)),3,MIN(LEN(R244),4))))))</f>
        <v/>
      </c>
      <c r="T244" s="0" t="str">
        <f aca="false">IF(E244="","",LEFT(R244,S244)&amp;REPT("0",4-S244)&amp;RIGHT("000"&amp;IFERROR(VALUE(MID(R244,S244+1,9)),0),3)&amp;RIGHT("0000"&amp;IFERROR(VALUE(MID(E244,FIND("-",E244)+1,9)),0),4))</f>
        <v/>
      </c>
      <c r="U244" s="0" t="str">
        <f aca="false">IF(I244=1,"K"&amp;RIGHT("00"&amp;A244,2)&amp;T244&amp;RIGHT("00000"&amp;ROW(),5),"")</f>
        <v/>
      </c>
      <c r="V244" s="0" t="str">
        <f aca="false">IF(U244="","",COUNTIFS($I$2:$I$1201,1,$U$2:$U$1201,"&lt;"&amp;U244)+1)</f>
        <v/>
      </c>
    </row>
    <row r="245" customFormat="false" ht="15" hidden="false" customHeight="false" outlineLevel="0" collapsed="false">
      <c r="A245" s="0" t="n">
        <v>5</v>
      </c>
      <c r="B245" s="0" t="n">
        <v>4</v>
      </c>
      <c r="C245" s="0" t="str">
        <f aca="false">TRIM(SUBSTITUTE(INDEX(LISTAS!$A$4:$T$63,B245,A245)&amp;"",CHAR(160)," "))</f>
        <v/>
      </c>
      <c r="D245" s="0" t="str">
        <f aca="false">IF(C245="","",TRIM(RIGHT(SUBSTITUTE(C245," ",REPT(" ",100)),100)))</f>
        <v/>
      </c>
      <c r="E245" s="0" t="str">
        <f aca="false">IF(D245="","",UPPER(SUBSTITUTE(SUBSTITUTE(D245,"(",""),")","")))</f>
        <v/>
      </c>
      <c r="F245" s="0" t="str">
        <f aca="false">IF(C245="","",LEFT(C245,FIND(" ",C245&amp;" ")-1))</f>
        <v/>
      </c>
      <c r="G245" s="0" t="n">
        <f aca="false">IFERROR(VALUE(SUBSTITUTE(LOWER(F245),"x","")),0)</f>
        <v>0</v>
      </c>
      <c r="H245" s="0" t="str">
        <f aca="false">IF(C245="","",TRIM(MID(C245,LEN(F245)+2,999)))</f>
        <v/>
      </c>
      <c r="I245" s="0" t="n">
        <f aca="false">IF(OR(C245="",LEFT(C245,2)="//"),0,IFERROR(IF(AND(G245&gt;0,G245=INT(G245),FIND("-",E245)&gt;1,NOT(EXACT(UPPER(LEFT(E245,1)),LOWER(LEFT(E245,1)))),ISNUMBER(VALUE(MID(E245,FIND("-",E245)+1,10)))),1,0),0))</f>
        <v>0</v>
      </c>
      <c r="J245" s="0" t="str">
        <f aca="false">IF(I245=1,TRIM(LEFT(H245,MAX(0,LEN(H245)-LEN(D245)))),"")</f>
        <v/>
      </c>
      <c r="K245" s="0" t="str">
        <f aca="false">INDEX($P$2:$P$21,A245)</f>
        <v>Deck 5</v>
      </c>
      <c r="L245" s="0" t="n">
        <f aca="false">IF(AND(C245&lt;&gt;"",LEFT(C245,2)&lt;&gt;"//",I245=0),1,0)</f>
        <v>0</v>
      </c>
      <c r="M245" s="0" t="str">
        <f aca="false">IF(I245=1,MAX(M$1:M244)+1,"")</f>
        <v/>
      </c>
      <c r="N245" s="0" t="str">
        <f aca="false">IFERROR(MATCH(ROW()-1,$V$2:$V$1201,0),"")</f>
        <v/>
      </c>
      <c r="R245" s="0" t="str">
        <f aca="false">IF(E245="","",IFERROR(LEFT(E245,FIND("-",E245)-1),E245))</f>
        <v/>
      </c>
      <c r="S245" s="0" t="str">
        <f aca="false">IF(R245="","",IF(ISNUMBER(--MID(R245,1,1)),0,IF(ISNUMBER(--MID(R245,2,1)),1,IF(ISNUMBER(--MID(R245,3,1)),2,IF(ISNUMBER(--MID(R245,4,1)),3,MIN(LEN(R245),4))))))</f>
        <v/>
      </c>
      <c r="T245" s="0" t="str">
        <f aca="false">IF(E245="","",LEFT(R245,S245)&amp;REPT("0",4-S245)&amp;RIGHT("000"&amp;IFERROR(VALUE(MID(R245,S245+1,9)),0),3)&amp;RIGHT("0000"&amp;IFERROR(VALUE(MID(E245,FIND("-",E245)+1,9)),0),4))</f>
        <v/>
      </c>
      <c r="U245" s="0" t="str">
        <f aca="false">IF(I245=1,"K"&amp;RIGHT("00"&amp;A245,2)&amp;T245&amp;RIGHT("00000"&amp;ROW(),5),"")</f>
        <v/>
      </c>
      <c r="V245" s="0" t="str">
        <f aca="false">IF(U245="","",COUNTIFS($I$2:$I$1201,1,$U$2:$U$1201,"&lt;"&amp;U245)+1)</f>
        <v/>
      </c>
    </row>
    <row r="246" customFormat="false" ht="15" hidden="false" customHeight="false" outlineLevel="0" collapsed="false">
      <c r="A246" s="0" t="n">
        <v>5</v>
      </c>
      <c r="B246" s="0" t="n">
        <v>5</v>
      </c>
      <c r="C246" s="0" t="str">
        <f aca="false">TRIM(SUBSTITUTE(INDEX(LISTAS!$A$4:$T$63,B246,A246)&amp;"",CHAR(160)," "))</f>
        <v/>
      </c>
      <c r="D246" s="0" t="str">
        <f aca="false">IF(C246="","",TRIM(RIGHT(SUBSTITUTE(C246," ",REPT(" ",100)),100)))</f>
        <v/>
      </c>
      <c r="E246" s="0" t="str">
        <f aca="false">IF(D246="","",UPPER(SUBSTITUTE(SUBSTITUTE(D246,"(",""),")","")))</f>
        <v/>
      </c>
      <c r="F246" s="0" t="str">
        <f aca="false">IF(C246="","",LEFT(C246,FIND(" ",C246&amp;" ")-1))</f>
        <v/>
      </c>
      <c r="G246" s="0" t="n">
        <f aca="false">IFERROR(VALUE(SUBSTITUTE(LOWER(F246),"x","")),0)</f>
        <v>0</v>
      </c>
      <c r="H246" s="0" t="str">
        <f aca="false">IF(C246="","",TRIM(MID(C246,LEN(F246)+2,999)))</f>
        <v/>
      </c>
      <c r="I246" s="0" t="n">
        <f aca="false">IF(OR(C246="",LEFT(C246,2)="//"),0,IFERROR(IF(AND(G246&gt;0,G246=INT(G246),FIND("-",E246)&gt;1,NOT(EXACT(UPPER(LEFT(E246,1)),LOWER(LEFT(E246,1)))),ISNUMBER(VALUE(MID(E246,FIND("-",E246)+1,10)))),1,0),0))</f>
        <v>0</v>
      </c>
      <c r="J246" s="0" t="str">
        <f aca="false">IF(I246=1,TRIM(LEFT(H246,MAX(0,LEN(H246)-LEN(D246)))),"")</f>
        <v/>
      </c>
      <c r="K246" s="0" t="str">
        <f aca="false">INDEX($P$2:$P$21,A246)</f>
        <v>Deck 5</v>
      </c>
      <c r="L246" s="0" t="n">
        <f aca="false">IF(AND(C246&lt;&gt;"",LEFT(C246,2)&lt;&gt;"//",I246=0),1,0)</f>
        <v>0</v>
      </c>
      <c r="M246" s="0" t="str">
        <f aca="false">IF(I246=1,MAX(M$1:M245)+1,"")</f>
        <v/>
      </c>
      <c r="N246" s="0" t="str">
        <f aca="false">IFERROR(MATCH(ROW()-1,$V$2:$V$1201,0),"")</f>
        <v/>
      </c>
      <c r="R246" s="0" t="str">
        <f aca="false">IF(E246="","",IFERROR(LEFT(E246,FIND("-",E246)-1),E246))</f>
        <v/>
      </c>
      <c r="S246" s="0" t="str">
        <f aca="false">IF(R246="","",IF(ISNUMBER(--MID(R246,1,1)),0,IF(ISNUMBER(--MID(R246,2,1)),1,IF(ISNUMBER(--MID(R246,3,1)),2,IF(ISNUMBER(--MID(R246,4,1)),3,MIN(LEN(R246),4))))))</f>
        <v/>
      </c>
      <c r="T246" s="0" t="str">
        <f aca="false">IF(E246="","",LEFT(R246,S246)&amp;REPT("0",4-S246)&amp;RIGHT("000"&amp;IFERROR(VALUE(MID(R246,S246+1,9)),0),3)&amp;RIGHT("0000"&amp;IFERROR(VALUE(MID(E246,FIND("-",E246)+1,9)),0),4))</f>
        <v/>
      </c>
      <c r="U246" s="0" t="str">
        <f aca="false">IF(I246=1,"K"&amp;RIGHT("00"&amp;A246,2)&amp;T246&amp;RIGHT("00000"&amp;ROW(),5),"")</f>
        <v/>
      </c>
      <c r="V246" s="0" t="str">
        <f aca="false">IF(U246="","",COUNTIFS($I$2:$I$1201,1,$U$2:$U$1201,"&lt;"&amp;U246)+1)</f>
        <v/>
      </c>
    </row>
    <row r="247" customFormat="false" ht="15" hidden="false" customHeight="false" outlineLevel="0" collapsed="false">
      <c r="A247" s="0" t="n">
        <v>5</v>
      </c>
      <c r="B247" s="0" t="n">
        <v>6</v>
      </c>
      <c r="C247" s="0" t="str">
        <f aca="false">TRIM(SUBSTITUTE(INDEX(LISTAS!$A$4:$T$63,B247,A247)&amp;"",CHAR(160)," "))</f>
        <v/>
      </c>
      <c r="D247" s="0" t="str">
        <f aca="false">IF(C247="","",TRIM(RIGHT(SUBSTITUTE(C247," ",REPT(" ",100)),100)))</f>
        <v/>
      </c>
      <c r="E247" s="0" t="str">
        <f aca="false">IF(D247="","",UPPER(SUBSTITUTE(SUBSTITUTE(D247,"(",""),")","")))</f>
        <v/>
      </c>
      <c r="F247" s="0" t="str">
        <f aca="false">IF(C247="","",LEFT(C247,FIND(" ",C247&amp;" ")-1))</f>
        <v/>
      </c>
      <c r="G247" s="0" t="n">
        <f aca="false">IFERROR(VALUE(SUBSTITUTE(LOWER(F247),"x","")),0)</f>
        <v>0</v>
      </c>
      <c r="H247" s="0" t="str">
        <f aca="false">IF(C247="","",TRIM(MID(C247,LEN(F247)+2,999)))</f>
        <v/>
      </c>
      <c r="I247" s="0" t="n">
        <f aca="false">IF(OR(C247="",LEFT(C247,2)="//"),0,IFERROR(IF(AND(G247&gt;0,G247=INT(G247),FIND("-",E247)&gt;1,NOT(EXACT(UPPER(LEFT(E247,1)),LOWER(LEFT(E247,1)))),ISNUMBER(VALUE(MID(E247,FIND("-",E247)+1,10)))),1,0),0))</f>
        <v>0</v>
      </c>
      <c r="J247" s="0" t="str">
        <f aca="false">IF(I247=1,TRIM(LEFT(H247,MAX(0,LEN(H247)-LEN(D247)))),"")</f>
        <v/>
      </c>
      <c r="K247" s="0" t="str">
        <f aca="false">INDEX($P$2:$P$21,A247)</f>
        <v>Deck 5</v>
      </c>
      <c r="L247" s="0" t="n">
        <f aca="false">IF(AND(C247&lt;&gt;"",LEFT(C247,2)&lt;&gt;"//",I247=0),1,0)</f>
        <v>0</v>
      </c>
      <c r="M247" s="0" t="str">
        <f aca="false">IF(I247=1,MAX(M$1:M246)+1,"")</f>
        <v/>
      </c>
      <c r="N247" s="0" t="str">
        <f aca="false">IFERROR(MATCH(ROW()-1,$V$2:$V$1201,0),"")</f>
        <v/>
      </c>
      <c r="R247" s="0" t="str">
        <f aca="false">IF(E247="","",IFERROR(LEFT(E247,FIND("-",E247)-1),E247))</f>
        <v/>
      </c>
      <c r="S247" s="0" t="str">
        <f aca="false">IF(R247="","",IF(ISNUMBER(--MID(R247,1,1)),0,IF(ISNUMBER(--MID(R247,2,1)),1,IF(ISNUMBER(--MID(R247,3,1)),2,IF(ISNUMBER(--MID(R247,4,1)),3,MIN(LEN(R247),4))))))</f>
        <v/>
      </c>
      <c r="T247" s="0" t="str">
        <f aca="false">IF(E247="","",LEFT(R247,S247)&amp;REPT("0",4-S247)&amp;RIGHT("000"&amp;IFERROR(VALUE(MID(R247,S247+1,9)),0),3)&amp;RIGHT("0000"&amp;IFERROR(VALUE(MID(E247,FIND("-",E247)+1,9)),0),4))</f>
        <v/>
      </c>
      <c r="U247" s="0" t="str">
        <f aca="false">IF(I247=1,"K"&amp;RIGHT("00"&amp;A247,2)&amp;T247&amp;RIGHT("00000"&amp;ROW(),5),"")</f>
        <v/>
      </c>
      <c r="V247" s="0" t="str">
        <f aca="false">IF(U247="","",COUNTIFS($I$2:$I$1201,1,$U$2:$U$1201,"&lt;"&amp;U247)+1)</f>
        <v/>
      </c>
    </row>
    <row r="248" customFormat="false" ht="15" hidden="false" customHeight="false" outlineLevel="0" collapsed="false">
      <c r="A248" s="0" t="n">
        <v>5</v>
      </c>
      <c r="B248" s="0" t="n">
        <v>7</v>
      </c>
      <c r="C248" s="0" t="str">
        <f aca="false">TRIM(SUBSTITUTE(INDEX(LISTAS!$A$4:$T$63,B248,A248)&amp;"",CHAR(160)," "))</f>
        <v/>
      </c>
      <c r="D248" s="0" t="str">
        <f aca="false">IF(C248="","",TRIM(RIGHT(SUBSTITUTE(C248," ",REPT(" ",100)),100)))</f>
        <v/>
      </c>
      <c r="E248" s="0" t="str">
        <f aca="false">IF(D248="","",UPPER(SUBSTITUTE(SUBSTITUTE(D248,"(",""),")","")))</f>
        <v/>
      </c>
      <c r="F248" s="0" t="str">
        <f aca="false">IF(C248="","",LEFT(C248,FIND(" ",C248&amp;" ")-1))</f>
        <v/>
      </c>
      <c r="G248" s="0" t="n">
        <f aca="false">IFERROR(VALUE(SUBSTITUTE(LOWER(F248),"x","")),0)</f>
        <v>0</v>
      </c>
      <c r="H248" s="0" t="str">
        <f aca="false">IF(C248="","",TRIM(MID(C248,LEN(F248)+2,999)))</f>
        <v/>
      </c>
      <c r="I248" s="0" t="n">
        <f aca="false">IF(OR(C248="",LEFT(C248,2)="//"),0,IFERROR(IF(AND(G248&gt;0,G248=INT(G248),FIND("-",E248)&gt;1,NOT(EXACT(UPPER(LEFT(E248,1)),LOWER(LEFT(E248,1)))),ISNUMBER(VALUE(MID(E248,FIND("-",E248)+1,10)))),1,0),0))</f>
        <v>0</v>
      </c>
      <c r="J248" s="0" t="str">
        <f aca="false">IF(I248=1,TRIM(LEFT(H248,MAX(0,LEN(H248)-LEN(D248)))),"")</f>
        <v/>
      </c>
      <c r="K248" s="0" t="str">
        <f aca="false">INDEX($P$2:$P$21,A248)</f>
        <v>Deck 5</v>
      </c>
      <c r="L248" s="0" t="n">
        <f aca="false">IF(AND(C248&lt;&gt;"",LEFT(C248,2)&lt;&gt;"//",I248=0),1,0)</f>
        <v>0</v>
      </c>
      <c r="M248" s="0" t="str">
        <f aca="false">IF(I248=1,MAX(M$1:M247)+1,"")</f>
        <v/>
      </c>
      <c r="N248" s="0" t="str">
        <f aca="false">IFERROR(MATCH(ROW()-1,$V$2:$V$1201,0),"")</f>
        <v/>
      </c>
      <c r="R248" s="0" t="str">
        <f aca="false">IF(E248="","",IFERROR(LEFT(E248,FIND("-",E248)-1),E248))</f>
        <v/>
      </c>
      <c r="S248" s="0" t="str">
        <f aca="false">IF(R248="","",IF(ISNUMBER(--MID(R248,1,1)),0,IF(ISNUMBER(--MID(R248,2,1)),1,IF(ISNUMBER(--MID(R248,3,1)),2,IF(ISNUMBER(--MID(R248,4,1)),3,MIN(LEN(R248),4))))))</f>
        <v/>
      </c>
      <c r="T248" s="0" t="str">
        <f aca="false">IF(E248="","",LEFT(R248,S248)&amp;REPT("0",4-S248)&amp;RIGHT("000"&amp;IFERROR(VALUE(MID(R248,S248+1,9)),0),3)&amp;RIGHT("0000"&amp;IFERROR(VALUE(MID(E248,FIND("-",E248)+1,9)),0),4))</f>
        <v/>
      </c>
      <c r="U248" s="0" t="str">
        <f aca="false">IF(I248=1,"K"&amp;RIGHT("00"&amp;A248,2)&amp;T248&amp;RIGHT("00000"&amp;ROW(),5),"")</f>
        <v/>
      </c>
      <c r="V248" s="0" t="str">
        <f aca="false">IF(U248="","",COUNTIFS($I$2:$I$1201,1,$U$2:$U$1201,"&lt;"&amp;U248)+1)</f>
        <v/>
      </c>
    </row>
    <row r="249" customFormat="false" ht="15" hidden="false" customHeight="false" outlineLevel="0" collapsed="false">
      <c r="A249" s="0" t="n">
        <v>5</v>
      </c>
      <c r="B249" s="0" t="n">
        <v>8</v>
      </c>
      <c r="C249" s="0" t="str">
        <f aca="false">TRIM(SUBSTITUTE(INDEX(LISTAS!$A$4:$T$63,B249,A249)&amp;"",CHAR(160)," "))</f>
        <v/>
      </c>
      <c r="D249" s="0" t="str">
        <f aca="false">IF(C249="","",TRIM(RIGHT(SUBSTITUTE(C249," ",REPT(" ",100)),100)))</f>
        <v/>
      </c>
      <c r="E249" s="0" t="str">
        <f aca="false">IF(D249="","",UPPER(SUBSTITUTE(SUBSTITUTE(D249,"(",""),")","")))</f>
        <v/>
      </c>
      <c r="F249" s="0" t="str">
        <f aca="false">IF(C249="","",LEFT(C249,FIND(" ",C249&amp;" ")-1))</f>
        <v/>
      </c>
      <c r="G249" s="0" t="n">
        <f aca="false">IFERROR(VALUE(SUBSTITUTE(LOWER(F249),"x","")),0)</f>
        <v>0</v>
      </c>
      <c r="H249" s="0" t="str">
        <f aca="false">IF(C249="","",TRIM(MID(C249,LEN(F249)+2,999)))</f>
        <v/>
      </c>
      <c r="I249" s="0" t="n">
        <f aca="false">IF(OR(C249="",LEFT(C249,2)="//"),0,IFERROR(IF(AND(G249&gt;0,G249=INT(G249),FIND("-",E249)&gt;1,NOT(EXACT(UPPER(LEFT(E249,1)),LOWER(LEFT(E249,1)))),ISNUMBER(VALUE(MID(E249,FIND("-",E249)+1,10)))),1,0),0))</f>
        <v>0</v>
      </c>
      <c r="J249" s="0" t="str">
        <f aca="false">IF(I249=1,TRIM(LEFT(H249,MAX(0,LEN(H249)-LEN(D249)))),"")</f>
        <v/>
      </c>
      <c r="K249" s="0" t="str">
        <f aca="false">INDEX($P$2:$P$21,A249)</f>
        <v>Deck 5</v>
      </c>
      <c r="L249" s="0" t="n">
        <f aca="false">IF(AND(C249&lt;&gt;"",LEFT(C249,2)&lt;&gt;"//",I249=0),1,0)</f>
        <v>0</v>
      </c>
      <c r="M249" s="0" t="str">
        <f aca="false">IF(I249=1,MAX(M$1:M248)+1,"")</f>
        <v/>
      </c>
      <c r="N249" s="0" t="str">
        <f aca="false">IFERROR(MATCH(ROW()-1,$V$2:$V$1201,0),"")</f>
        <v/>
      </c>
      <c r="R249" s="0" t="str">
        <f aca="false">IF(E249="","",IFERROR(LEFT(E249,FIND("-",E249)-1),E249))</f>
        <v/>
      </c>
      <c r="S249" s="0" t="str">
        <f aca="false">IF(R249="","",IF(ISNUMBER(--MID(R249,1,1)),0,IF(ISNUMBER(--MID(R249,2,1)),1,IF(ISNUMBER(--MID(R249,3,1)),2,IF(ISNUMBER(--MID(R249,4,1)),3,MIN(LEN(R249),4))))))</f>
        <v/>
      </c>
      <c r="T249" s="0" t="str">
        <f aca="false">IF(E249="","",LEFT(R249,S249)&amp;REPT("0",4-S249)&amp;RIGHT("000"&amp;IFERROR(VALUE(MID(R249,S249+1,9)),0),3)&amp;RIGHT("0000"&amp;IFERROR(VALUE(MID(E249,FIND("-",E249)+1,9)),0),4))</f>
        <v/>
      </c>
      <c r="U249" s="0" t="str">
        <f aca="false">IF(I249=1,"K"&amp;RIGHT("00"&amp;A249,2)&amp;T249&amp;RIGHT("00000"&amp;ROW(),5),"")</f>
        <v/>
      </c>
      <c r="V249" s="0" t="str">
        <f aca="false">IF(U249="","",COUNTIFS($I$2:$I$1201,1,$U$2:$U$1201,"&lt;"&amp;U249)+1)</f>
        <v/>
      </c>
    </row>
    <row r="250" customFormat="false" ht="15" hidden="false" customHeight="false" outlineLevel="0" collapsed="false">
      <c r="A250" s="0" t="n">
        <v>5</v>
      </c>
      <c r="B250" s="0" t="n">
        <v>9</v>
      </c>
      <c r="C250" s="0" t="str">
        <f aca="false">TRIM(SUBSTITUTE(INDEX(LISTAS!$A$4:$T$63,B250,A250)&amp;"",CHAR(160)," "))</f>
        <v/>
      </c>
      <c r="D250" s="0" t="str">
        <f aca="false">IF(C250="","",TRIM(RIGHT(SUBSTITUTE(C250," ",REPT(" ",100)),100)))</f>
        <v/>
      </c>
      <c r="E250" s="0" t="str">
        <f aca="false">IF(D250="","",UPPER(SUBSTITUTE(SUBSTITUTE(D250,"(",""),")","")))</f>
        <v/>
      </c>
      <c r="F250" s="0" t="str">
        <f aca="false">IF(C250="","",LEFT(C250,FIND(" ",C250&amp;" ")-1))</f>
        <v/>
      </c>
      <c r="G250" s="0" t="n">
        <f aca="false">IFERROR(VALUE(SUBSTITUTE(LOWER(F250),"x","")),0)</f>
        <v>0</v>
      </c>
      <c r="H250" s="0" t="str">
        <f aca="false">IF(C250="","",TRIM(MID(C250,LEN(F250)+2,999)))</f>
        <v/>
      </c>
      <c r="I250" s="0" t="n">
        <f aca="false">IF(OR(C250="",LEFT(C250,2)="//"),0,IFERROR(IF(AND(G250&gt;0,G250=INT(G250),FIND("-",E250)&gt;1,NOT(EXACT(UPPER(LEFT(E250,1)),LOWER(LEFT(E250,1)))),ISNUMBER(VALUE(MID(E250,FIND("-",E250)+1,10)))),1,0),0))</f>
        <v>0</v>
      </c>
      <c r="J250" s="0" t="str">
        <f aca="false">IF(I250=1,TRIM(LEFT(H250,MAX(0,LEN(H250)-LEN(D250)))),"")</f>
        <v/>
      </c>
      <c r="K250" s="0" t="str">
        <f aca="false">INDEX($P$2:$P$21,A250)</f>
        <v>Deck 5</v>
      </c>
      <c r="L250" s="0" t="n">
        <f aca="false">IF(AND(C250&lt;&gt;"",LEFT(C250,2)&lt;&gt;"//",I250=0),1,0)</f>
        <v>0</v>
      </c>
      <c r="M250" s="0" t="str">
        <f aca="false">IF(I250=1,MAX(M$1:M249)+1,"")</f>
        <v/>
      </c>
      <c r="N250" s="0" t="str">
        <f aca="false">IFERROR(MATCH(ROW()-1,$V$2:$V$1201,0),"")</f>
        <v/>
      </c>
      <c r="R250" s="0" t="str">
        <f aca="false">IF(E250="","",IFERROR(LEFT(E250,FIND("-",E250)-1),E250))</f>
        <v/>
      </c>
      <c r="S250" s="0" t="str">
        <f aca="false">IF(R250="","",IF(ISNUMBER(--MID(R250,1,1)),0,IF(ISNUMBER(--MID(R250,2,1)),1,IF(ISNUMBER(--MID(R250,3,1)),2,IF(ISNUMBER(--MID(R250,4,1)),3,MIN(LEN(R250),4))))))</f>
        <v/>
      </c>
      <c r="T250" s="0" t="str">
        <f aca="false">IF(E250="","",LEFT(R250,S250)&amp;REPT("0",4-S250)&amp;RIGHT("000"&amp;IFERROR(VALUE(MID(R250,S250+1,9)),0),3)&amp;RIGHT("0000"&amp;IFERROR(VALUE(MID(E250,FIND("-",E250)+1,9)),0),4))</f>
        <v/>
      </c>
      <c r="U250" s="0" t="str">
        <f aca="false">IF(I250=1,"K"&amp;RIGHT("00"&amp;A250,2)&amp;T250&amp;RIGHT("00000"&amp;ROW(),5),"")</f>
        <v/>
      </c>
      <c r="V250" s="0" t="str">
        <f aca="false">IF(U250="","",COUNTIFS($I$2:$I$1201,1,$U$2:$U$1201,"&lt;"&amp;U250)+1)</f>
        <v/>
      </c>
    </row>
    <row r="251" customFormat="false" ht="15" hidden="false" customHeight="false" outlineLevel="0" collapsed="false">
      <c r="A251" s="0" t="n">
        <v>5</v>
      </c>
      <c r="B251" s="0" t="n">
        <v>10</v>
      </c>
      <c r="C251" s="0" t="str">
        <f aca="false">TRIM(SUBSTITUTE(INDEX(LISTAS!$A$4:$T$63,B251,A251)&amp;"",CHAR(160)," "))</f>
        <v/>
      </c>
      <c r="D251" s="0" t="str">
        <f aca="false">IF(C251="","",TRIM(RIGHT(SUBSTITUTE(C251," ",REPT(" ",100)),100)))</f>
        <v/>
      </c>
      <c r="E251" s="0" t="str">
        <f aca="false">IF(D251="","",UPPER(SUBSTITUTE(SUBSTITUTE(D251,"(",""),")","")))</f>
        <v/>
      </c>
      <c r="F251" s="0" t="str">
        <f aca="false">IF(C251="","",LEFT(C251,FIND(" ",C251&amp;" ")-1))</f>
        <v/>
      </c>
      <c r="G251" s="0" t="n">
        <f aca="false">IFERROR(VALUE(SUBSTITUTE(LOWER(F251),"x","")),0)</f>
        <v>0</v>
      </c>
      <c r="H251" s="0" t="str">
        <f aca="false">IF(C251="","",TRIM(MID(C251,LEN(F251)+2,999)))</f>
        <v/>
      </c>
      <c r="I251" s="0" t="n">
        <f aca="false">IF(OR(C251="",LEFT(C251,2)="//"),0,IFERROR(IF(AND(G251&gt;0,G251=INT(G251),FIND("-",E251)&gt;1,NOT(EXACT(UPPER(LEFT(E251,1)),LOWER(LEFT(E251,1)))),ISNUMBER(VALUE(MID(E251,FIND("-",E251)+1,10)))),1,0),0))</f>
        <v>0</v>
      </c>
      <c r="J251" s="0" t="str">
        <f aca="false">IF(I251=1,TRIM(LEFT(H251,MAX(0,LEN(H251)-LEN(D251)))),"")</f>
        <v/>
      </c>
      <c r="K251" s="0" t="str">
        <f aca="false">INDEX($P$2:$P$21,A251)</f>
        <v>Deck 5</v>
      </c>
      <c r="L251" s="0" t="n">
        <f aca="false">IF(AND(C251&lt;&gt;"",LEFT(C251,2)&lt;&gt;"//",I251=0),1,0)</f>
        <v>0</v>
      </c>
      <c r="M251" s="0" t="str">
        <f aca="false">IF(I251=1,MAX(M$1:M250)+1,"")</f>
        <v/>
      </c>
      <c r="N251" s="0" t="str">
        <f aca="false">IFERROR(MATCH(ROW()-1,$V$2:$V$1201,0),"")</f>
        <v/>
      </c>
      <c r="R251" s="0" t="str">
        <f aca="false">IF(E251="","",IFERROR(LEFT(E251,FIND("-",E251)-1),E251))</f>
        <v/>
      </c>
      <c r="S251" s="0" t="str">
        <f aca="false">IF(R251="","",IF(ISNUMBER(--MID(R251,1,1)),0,IF(ISNUMBER(--MID(R251,2,1)),1,IF(ISNUMBER(--MID(R251,3,1)),2,IF(ISNUMBER(--MID(R251,4,1)),3,MIN(LEN(R251),4))))))</f>
        <v/>
      </c>
      <c r="T251" s="0" t="str">
        <f aca="false">IF(E251="","",LEFT(R251,S251)&amp;REPT("0",4-S251)&amp;RIGHT("000"&amp;IFERROR(VALUE(MID(R251,S251+1,9)),0),3)&amp;RIGHT("0000"&amp;IFERROR(VALUE(MID(E251,FIND("-",E251)+1,9)),0),4))</f>
        <v/>
      </c>
      <c r="U251" s="0" t="str">
        <f aca="false">IF(I251=1,"K"&amp;RIGHT("00"&amp;A251,2)&amp;T251&amp;RIGHT("00000"&amp;ROW(),5),"")</f>
        <v/>
      </c>
      <c r="V251" s="0" t="str">
        <f aca="false">IF(U251="","",COUNTIFS($I$2:$I$1201,1,$U$2:$U$1201,"&lt;"&amp;U251)+1)</f>
        <v/>
      </c>
    </row>
    <row r="252" customFormat="false" ht="15" hidden="false" customHeight="false" outlineLevel="0" collapsed="false">
      <c r="A252" s="0" t="n">
        <v>5</v>
      </c>
      <c r="B252" s="0" t="n">
        <v>11</v>
      </c>
      <c r="C252" s="0" t="str">
        <f aca="false">TRIM(SUBSTITUTE(INDEX(LISTAS!$A$4:$T$63,B252,A252)&amp;"",CHAR(160)," "))</f>
        <v/>
      </c>
      <c r="D252" s="0" t="str">
        <f aca="false">IF(C252="","",TRIM(RIGHT(SUBSTITUTE(C252," ",REPT(" ",100)),100)))</f>
        <v/>
      </c>
      <c r="E252" s="0" t="str">
        <f aca="false">IF(D252="","",UPPER(SUBSTITUTE(SUBSTITUTE(D252,"(",""),")","")))</f>
        <v/>
      </c>
      <c r="F252" s="0" t="str">
        <f aca="false">IF(C252="","",LEFT(C252,FIND(" ",C252&amp;" ")-1))</f>
        <v/>
      </c>
      <c r="G252" s="0" t="n">
        <f aca="false">IFERROR(VALUE(SUBSTITUTE(LOWER(F252),"x","")),0)</f>
        <v>0</v>
      </c>
      <c r="H252" s="0" t="str">
        <f aca="false">IF(C252="","",TRIM(MID(C252,LEN(F252)+2,999)))</f>
        <v/>
      </c>
      <c r="I252" s="0" t="n">
        <f aca="false">IF(OR(C252="",LEFT(C252,2)="//"),0,IFERROR(IF(AND(G252&gt;0,G252=INT(G252),FIND("-",E252)&gt;1,NOT(EXACT(UPPER(LEFT(E252,1)),LOWER(LEFT(E252,1)))),ISNUMBER(VALUE(MID(E252,FIND("-",E252)+1,10)))),1,0),0))</f>
        <v>0</v>
      </c>
      <c r="J252" s="0" t="str">
        <f aca="false">IF(I252=1,TRIM(LEFT(H252,MAX(0,LEN(H252)-LEN(D252)))),"")</f>
        <v/>
      </c>
      <c r="K252" s="0" t="str">
        <f aca="false">INDEX($P$2:$P$21,A252)</f>
        <v>Deck 5</v>
      </c>
      <c r="L252" s="0" t="n">
        <f aca="false">IF(AND(C252&lt;&gt;"",LEFT(C252,2)&lt;&gt;"//",I252=0),1,0)</f>
        <v>0</v>
      </c>
      <c r="M252" s="0" t="str">
        <f aca="false">IF(I252=1,MAX(M$1:M251)+1,"")</f>
        <v/>
      </c>
      <c r="N252" s="0" t="str">
        <f aca="false">IFERROR(MATCH(ROW()-1,$V$2:$V$1201,0),"")</f>
        <v/>
      </c>
      <c r="R252" s="0" t="str">
        <f aca="false">IF(E252="","",IFERROR(LEFT(E252,FIND("-",E252)-1),E252))</f>
        <v/>
      </c>
      <c r="S252" s="0" t="str">
        <f aca="false">IF(R252="","",IF(ISNUMBER(--MID(R252,1,1)),0,IF(ISNUMBER(--MID(R252,2,1)),1,IF(ISNUMBER(--MID(R252,3,1)),2,IF(ISNUMBER(--MID(R252,4,1)),3,MIN(LEN(R252),4))))))</f>
        <v/>
      </c>
      <c r="T252" s="0" t="str">
        <f aca="false">IF(E252="","",LEFT(R252,S252)&amp;REPT("0",4-S252)&amp;RIGHT("000"&amp;IFERROR(VALUE(MID(R252,S252+1,9)),0),3)&amp;RIGHT("0000"&amp;IFERROR(VALUE(MID(E252,FIND("-",E252)+1,9)),0),4))</f>
        <v/>
      </c>
      <c r="U252" s="0" t="str">
        <f aca="false">IF(I252=1,"K"&amp;RIGHT("00"&amp;A252,2)&amp;T252&amp;RIGHT("00000"&amp;ROW(),5),"")</f>
        <v/>
      </c>
      <c r="V252" s="0" t="str">
        <f aca="false">IF(U252="","",COUNTIFS($I$2:$I$1201,1,$U$2:$U$1201,"&lt;"&amp;U252)+1)</f>
        <v/>
      </c>
    </row>
    <row r="253" customFormat="false" ht="15" hidden="false" customHeight="false" outlineLevel="0" collapsed="false">
      <c r="A253" s="0" t="n">
        <v>5</v>
      </c>
      <c r="B253" s="0" t="n">
        <v>12</v>
      </c>
      <c r="C253" s="0" t="str">
        <f aca="false">TRIM(SUBSTITUTE(INDEX(LISTAS!$A$4:$T$63,B253,A253)&amp;"",CHAR(160)," "))</f>
        <v/>
      </c>
      <c r="D253" s="0" t="str">
        <f aca="false">IF(C253="","",TRIM(RIGHT(SUBSTITUTE(C253," ",REPT(" ",100)),100)))</f>
        <v/>
      </c>
      <c r="E253" s="0" t="str">
        <f aca="false">IF(D253="","",UPPER(SUBSTITUTE(SUBSTITUTE(D253,"(",""),")","")))</f>
        <v/>
      </c>
      <c r="F253" s="0" t="str">
        <f aca="false">IF(C253="","",LEFT(C253,FIND(" ",C253&amp;" ")-1))</f>
        <v/>
      </c>
      <c r="G253" s="0" t="n">
        <f aca="false">IFERROR(VALUE(SUBSTITUTE(LOWER(F253),"x","")),0)</f>
        <v>0</v>
      </c>
      <c r="H253" s="0" t="str">
        <f aca="false">IF(C253="","",TRIM(MID(C253,LEN(F253)+2,999)))</f>
        <v/>
      </c>
      <c r="I253" s="0" t="n">
        <f aca="false">IF(OR(C253="",LEFT(C253,2)="//"),0,IFERROR(IF(AND(G253&gt;0,G253=INT(G253),FIND("-",E253)&gt;1,NOT(EXACT(UPPER(LEFT(E253,1)),LOWER(LEFT(E253,1)))),ISNUMBER(VALUE(MID(E253,FIND("-",E253)+1,10)))),1,0),0))</f>
        <v>0</v>
      </c>
      <c r="J253" s="0" t="str">
        <f aca="false">IF(I253=1,TRIM(LEFT(H253,MAX(0,LEN(H253)-LEN(D253)))),"")</f>
        <v/>
      </c>
      <c r="K253" s="0" t="str">
        <f aca="false">INDEX($P$2:$P$21,A253)</f>
        <v>Deck 5</v>
      </c>
      <c r="L253" s="0" t="n">
        <f aca="false">IF(AND(C253&lt;&gt;"",LEFT(C253,2)&lt;&gt;"//",I253=0),1,0)</f>
        <v>0</v>
      </c>
      <c r="M253" s="0" t="str">
        <f aca="false">IF(I253=1,MAX(M$1:M252)+1,"")</f>
        <v/>
      </c>
      <c r="N253" s="0" t="str">
        <f aca="false">IFERROR(MATCH(ROW()-1,$V$2:$V$1201,0),"")</f>
        <v/>
      </c>
      <c r="R253" s="0" t="str">
        <f aca="false">IF(E253="","",IFERROR(LEFT(E253,FIND("-",E253)-1),E253))</f>
        <v/>
      </c>
      <c r="S253" s="0" t="str">
        <f aca="false">IF(R253="","",IF(ISNUMBER(--MID(R253,1,1)),0,IF(ISNUMBER(--MID(R253,2,1)),1,IF(ISNUMBER(--MID(R253,3,1)),2,IF(ISNUMBER(--MID(R253,4,1)),3,MIN(LEN(R253),4))))))</f>
        <v/>
      </c>
      <c r="T253" s="0" t="str">
        <f aca="false">IF(E253="","",LEFT(R253,S253)&amp;REPT("0",4-S253)&amp;RIGHT("000"&amp;IFERROR(VALUE(MID(R253,S253+1,9)),0),3)&amp;RIGHT("0000"&amp;IFERROR(VALUE(MID(E253,FIND("-",E253)+1,9)),0),4))</f>
        <v/>
      </c>
      <c r="U253" s="0" t="str">
        <f aca="false">IF(I253=1,"K"&amp;RIGHT("00"&amp;A253,2)&amp;T253&amp;RIGHT("00000"&amp;ROW(),5),"")</f>
        <v/>
      </c>
      <c r="V253" s="0" t="str">
        <f aca="false">IF(U253="","",COUNTIFS($I$2:$I$1201,1,$U$2:$U$1201,"&lt;"&amp;U253)+1)</f>
        <v/>
      </c>
    </row>
    <row r="254" customFormat="false" ht="15" hidden="false" customHeight="false" outlineLevel="0" collapsed="false">
      <c r="A254" s="0" t="n">
        <v>5</v>
      </c>
      <c r="B254" s="0" t="n">
        <v>13</v>
      </c>
      <c r="C254" s="0" t="str">
        <f aca="false">TRIM(SUBSTITUTE(INDEX(LISTAS!$A$4:$T$63,B254,A254)&amp;"",CHAR(160)," "))</f>
        <v/>
      </c>
      <c r="D254" s="0" t="str">
        <f aca="false">IF(C254="","",TRIM(RIGHT(SUBSTITUTE(C254," ",REPT(" ",100)),100)))</f>
        <v/>
      </c>
      <c r="E254" s="0" t="str">
        <f aca="false">IF(D254="","",UPPER(SUBSTITUTE(SUBSTITUTE(D254,"(",""),")","")))</f>
        <v/>
      </c>
      <c r="F254" s="0" t="str">
        <f aca="false">IF(C254="","",LEFT(C254,FIND(" ",C254&amp;" ")-1))</f>
        <v/>
      </c>
      <c r="G254" s="0" t="n">
        <f aca="false">IFERROR(VALUE(SUBSTITUTE(LOWER(F254),"x","")),0)</f>
        <v>0</v>
      </c>
      <c r="H254" s="0" t="str">
        <f aca="false">IF(C254="","",TRIM(MID(C254,LEN(F254)+2,999)))</f>
        <v/>
      </c>
      <c r="I254" s="0" t="n">
        <f aca="false">IF(OR(C254="",LEFT(C254,2)="//"),0,IFERROR(IF(AND(G254&gt;0,G254=INT(G254),FIND("-",E254)&gt;1,NOT(EXACT(UPPER(LEFT(E254,1)),LOWER(LEFT(E254,1)))),ISNUMBER(VALUE(MID(E254,FIND("-",E254)+1,10)))),1,0),0))</f>
        <v>0</v>
      </c>
      <c r="J254" s="0" t="str">
        <f aca="false">IF(I254=1,TRIM(LEFT(H254,MAX(0,LEN(H254)-LEN(D254)))),"")</f>
        <v/>
      </c>
      <c r="K254" s="0" t="str">
        <f aca="false">INDEX($P$2:$P$21,A254)</f>
        <v>Deck 5</v>
      </c>
      <c r="L254" s="0" t="n">
        <f aca="false">IF(AND(C254&lt;&gt;"",LEFT(C254,2)&lt;&gt;"//",I254=0),1,0)</f>
        <v>0</v>
      </c>
      <c r="M254" s="0" t="str">
        <f aca="false">IF(I254=1,MAX(M$1:M253)+1,"")</f>
        <v/>
      </c>
      <c r="N254" s="0" t="str">
        <f aca="false">IFERROR(MATCH(ROW()-1,$V$2:$V$1201,0),"")</f>
        <v/>
      </c>
      <c r="R254" s="0" t="str">
        <f aca="false">IF(E254="","",IFERROR(LEFT(E254,FIND("-",E254)-1),E254))</f>
        <v/>
      </c>
      <c r="S254" s="0" t="str">
        <f aca="false">IF(R254="","",IF(ISNUMBER(--MID(R254,1,1)),0,IF(ISNUMBER(--MID(R254,2,1)),1,IF(ISNUMBER(--MID(R254,3,1)),2,IF(ISNUMBER(--MID(R254,4,1)),3,MIN(LEN(R254),4))))))</f>
        <v/>
      </c>
      <c r="T254" s="0" t="str">
        <f aca="false">IF(E254="","",LEFT(R254,S254)&amp;REPT("0",4-S254)&amp;RIGHT("000"&amp;IFERROR(VALUE(MID(R254,S254+1,9)),0),3)&amp;RIGHT("0000"&amp;IFERROR(VALUE(MID(E254,FIND("-",E254)+1,9)),0),4))</f>
        <v/>
      </c>
      <c r="U254" s="0" t="str">
        <f aca="false">IF(I254=1,"K"&amp;RIGHT("00"&amp;A254,2)&amp;T254&amp;RIGHT("00000"&amp;ROW(),5),"")</f>
        <v/>
      </c>
      <c r="V254" s="0" t="str">
        <f aca="false">IF(U254="","",COUNTIFS($I$2:$I$1201,1,$U$2:$U$1201,"&lt;"&amp;U254)+1)</f>
        <v/>
      </c>
    </row>
    <row r="255" customFormat="false" ht="15" hidden="false" customHeight="false" outlineLevel="0" collapsed="false">
      <c r="A255" s="0" t="n">
        <v>5</v>
      </c>
      <c r="B255" s="0" t="n">
        <v>14</v>
      </c>
      <c r="C255" s="0" t="str">
        <f aca="false">TRIM(SUBSTITUTE(INDEX(LISTAS!$A$4:$T$63,B255,A255)&amp;"",CHAR(160)," "))</f>
        <v/>
      </c>
      <c r="D255" s="0" t="str">
        <f aca="false">IF(C255="","",TRIM(RIGHT(SUBSTITUTE(C255," ",REPT(" ",100)),100)))</f>
        <v/>
      </c>
      <c r="E255" s="0" t="str">
        <f aca="false">IF(D255="","",UPPER(SUBSTITUTE(SUBSTITUTE(D255,"(",""),")","")))</f>
        <v/>
      </c>
      <c r="F255" s="0" t="str">
        <f aca="false">IF(C255="","",LEFT(C255,FIND(" ",C255&amp;" ")-1))</f>
        <v/>
      </c>
      <c r="G255" s="0" t="n">
        <f aca="false">IFERROR(VALUE(SUBSTITUTE(LOWER(F255),"x","")),0)</f>
        <v>0</v>
      </c>
      <c r="H255" s="0" t="str">
        <f aca="false">IF(C255="","",TRIM(MID(C255,LEN(F255)+2,999)))</f>
        <v/>
      </c>
      <c r="I255" s="0" t="n">
        <f aca="false">IF(OR(C255="",LEFT(C255,2)="//"),0,IFERROR(IF(AND(G255&gt;0,G255=INT(G255),FIND("-",E255)&gt;1,NOT(EXACT(UPPER(LEFT(E255,1)),LOWER(LEFT(E255,1)))),ISNUMBER(VALUE(MID(E255,FIND("-",E255)+1,10)))),1,0),0))</f>
        <v>0</v>
      </c>
      <c r="J255" s="0" t="str">
        <f aca="false">IF(I255=1,TRIM(LEFT(H255,MAX(0,LEN(H255)-LEN(D255)))),"")</f>
        <v/>
      </c>
      <c r="K255" s="0" t="str">
        <f aca="false">INDEX($P$2:$P$21,A255)</f>
        <v>Deck 5</v>
      </c>
      <c r="L255" s="0" t="n">
        <f aca="false">IF(AND(C255&lt;&gt;"",LEFT(C255,2)&lt;&gt;"//",I255=0),1,0)</f>
        <v>0</v>
      </c>
      <c r="M255" s="0" t="str">
        <f aca="false">IF(I255=1,MAX(M$1:M254)+1,"")</f>
        <v/>
      </c>
      <c r="N255" s="0" t="str">
        <f aca="false">IFERROR(MATCH(ROW()-1,$V$2:$V$1201,0),"")</f>
        <v/>
      </c>
      <c r="R255" s="0" t="str">
        <f aca="false">IF(E255="","",IFERROR(LEFT(E255,FIND("-",E255)-1),E255))</f>
        <v/>
      </c>
      <c r="S255" s="0" t="str">
        <f aca="false">IF(R255="","",IF(ISNUMBER(--MID(R255,1,1)),0,IF(ISNUMBER(--MID(R255,2,1)),1,IF(ISNUMBER(--MID(R255,3,1)),2,IF(ISNUMBER(--MID(R255,4,1)),3,MIN(LEN(R255),4))))))</f>
        <v/>
      </c>
      <c r="T255" s="0" t="str">
        <f aca="false">IF(E255="","",LEFT(R255,S255)&amp;REPT("0",4-S255)&amp;RIGHT("000"&amp;IFERROR(VALUE(MID(R255,S255+1,9)),0),3)&amp;RIGHT("0000"&amp;IFERROR(VALUE(MID(E255,FIND("-",E255)+1,9)),0),4))</f>
        <v/>
      </c>
      <c r="U255" s="0" t="str">
        <f aca="false">IF(I255=1,"K"&amp;RIGHT("00"&amp;A255,2)&amp;T255&amp;RIGHT("00000"&amp;ROW(),5),"")</f>
        <v/>
      </c>
      <c r="V255" s="0" t="str">
        <f aca="false">IF(U255="","",COUNTIFS($I$2:$I$1201,1,$U$2:$U$1201,"&lt;"&amp;U255)+1)</f>
        <v/>
      </c>
    </row>
    <row r="256" customFormat="false" ht="15" hidden="false" customHeight="false" outlineLevel="0" collapsed="false">
      <c r="A256" s="0" t="n">
        <v>5</v>
      </c>
      <c r="B256" s="0" t="n">
        <v>15</v>
      </c>
      <c r="C256" s="0" t="str">
        <f aca="false">TRIM(SUBSTITUTE(INDEX(LISTAS!$A$4:$T$63,B256,A256)&amp;"",CHAR(160)," "))</f>
        <v/>
      </c>
      <c r="D256" s="0" t="str">
        <f aca="false">IF(C256="","",TRIM(RIGHT(SUBSTITUTE(C256," ",REPT(" ",100)),100)))</f>
        <v/>
      </c>
      <c r="E256" s="0" t="str">
        <f aca="false">IF(D256="","",UPPER(SUBSTITUTE(SUBSTITUTE(D256,"(",""),")","")))</f>
        <v/>
      </c>
      <c r="F256" s="0" t="str">
        <f aca="false">IF(C256="","",LEFT(C256,FIND(" ",C256&amp;" ")-1))</f>
        <v/>
      </c>
      <c r="G256" s="0" t="n">
        <f aca="false">IFERROR(VALUE(SUBSTITUTE(LOWER(F256),"x","")),0)</f>
        <v>0</v>
      </c>
      <c r="H256" s="0" t="str">
        <f aca="false">IF(C256="","",TRIM(MID(C256,LEN(F256)+2,999)))</f>
        <v/>
      </c>
      <c r="I256" s="0" t="n">
        <f aca="false">IF(OR(C256="",LEFT(C256,2)="//"),0,IFERROR(IF(AND(G256&gt;0,G256=INT(G256),FIND("-",E256)&gt;1,NOT(EXACT(UPPER(LEFT(E256,1)),LOWER(LEFT(E256,1)))),ISNUMBER(VALUE(MID(E256,FIND("-",E256)+1,10)))),1,0),0))</f>
        <v>0</v>
      </c>
      <c r="J256" s="0" t="str">
        <f aca="false">IF(I256=1,TRIM(LEFT(H256,MAX(0,LEN(H256)-LEN(D256)))),"")</f>
        <v/>
      </c>
      <c r="K256" s="0" t="str">
        <f aca="false">INDEX($P$2:$P$21,A256)</f>
        <v>Deck 5</v>
      </c>
      <c r="L256" s="0" t="n">
        <f aca="false">IF(AND(C256&lt;&gt;"",LEFT(C256,2)&lt;&gt;"//",I256=0),1,0)</f>
        <v>0</v>
      </c>
      <c r="M256" s="0" t="str">
        <f aca="false">IF(I256=1,MAX(M$1:M255)+1,"")</f>
        <v/>
      </c>
      <c r="N256" s="0" t="str">
        <f aca="false">IFERROR(MATCH(ROW()-1,$V$2:$V$1201,0),"")</f>
        <v/>
      </c>
      <c r="R256" s="0" t="str">
        <f aca="false">IF(E256="","",IFERROR(LEFT(E256,FIND("-",E256)-1),E256))</f>
        <v/>
      </c>
      <c r="S256" s="0" t="str">
        <f aca="false">IF(R256="","",IF(ISNUMBER(--MID(R256,1,1)),0,IF(ISNUMBER(--MID(R256,2,1)),1,IF(ISNUMBER(--MID(R256,3,1)),2,IF(ISNUMBER(--MID(R256,4,1)),3,MIN(LEN(R256),4))))))</f>
        <v/>
      </c>
      <c r="T256" s="0" t="str">
        <f aca="false">IF(E256="","",LEFT(R256,S256)&amp;REPT("0",4-S256)&amp;RIGHT("000"&amp;IFERROR(VALUE(MID(R256,S256+1,9)),0),3)&amp;RIGHT("0000"&amp;IFERROR(VALUE(MID(E256,FIND("-",E256)+1,9)),0),4))</f>
        <v/>
      </c>
      <c r="U256" s="0" t="str">
        <f aca="false">IF(I256=1,"K"&amp;RIGHT("00"&amp;A256,2)&amp;T256&amp;RIGHT("00000"&amp;ROW(),5),"")</f>
        <v/>
      </c>
      <c r="V256" s="0" t="str">
        <f aca="false">IF(U256="","",COUNTIFS($I$2:$I$1201,1,$U$2:$U$1201,"&lt;"&amp;U256)+1)</f>
        <v/>
      </c>
    </row>
    <row r="257" customFormat="false" ht="15" hidden="false" customHeight="false" outlineLevel="0" collapsed="false">
      <c r="A257" s="0" t="n">
        <v>5</v>
      </c>
      <c r="B257" s="0" t="n">
        <v>16</v>
      </c>
      <c r="C257" s="0" t="str">
        <f aca="false">TRIM(SUBSTITUTE(INDEX(LISTAS!$A$4:$T$63,B257,A257)&amp;"",CHAR(160)," "))</f>
        <v/>
      </c>
      <c r="D257" s="0" t="str">
        <f aca="false">IF(C257="","",TRIM(RIGHT(SUBSTITUTE(C257," ",REPT(" ",100)),100)))</f>
        <v/>
      </c>
      <c r="E257" s="0" t="str">
        <f aca="false">IF(D257="","",UPPER(SUBSTITUTE(SUBSTITUTE(D257,"(",""),")","")))</f>
        <v/>
      </c>
      <c r="F257" s="0" t="str">
        <f aca="false">IF(C257="","",LEFT(C257,FIND(" ",C257&amp;" ")-1))</f>
        <v/>
      </c>
      <c r="G257" s="0" t="n">
        <f aca="false">IFERROR(VALUE(SUBSTITUTE(LOWER(F257),"x","")),0)</f>
        <v>0</v>
      </c>
      <c r="H257" s="0" t="str">
        <f aca="false">IF(C257="","",TRIM(MID(C257,LEN(F257)+2,999)))</f>
        <v/>
      </c>
      <c r="I257" s="0" t="n">
        <f aca="false">IF(OR(C257="",LEFT(C257,2)="//"),0,IFERROR(IF(AND(G257&gt;0,G257=INT(G257),FIND("-",E257)&gt;1,NOT(EXACT(UPPER(LEFT(E257,1)),LOWER(LEFT(E257,1)))),ISNUMBER(VALUE(MID(E257,FIND("-",E257)+1,10)))),1,0),0))</f>
        <v>0</v>
      </c>
      <c r="J257" s="0" t="str">
        <f aca="false">IF(I257=1,TRIM(LEFT(H257,MAX(0,LEN(H257)-LEN(D257)))),"")</f>
        <v/>
      </c>
      <c r="K257" s="0" t="str">
        <f aca="false">INDEX($P$2:$P$21,A257)</f>
        <v>Deck 5</v>
      </c>
      <c r="L257" s="0" t="n">
        <f aca="false">IF(AND(C257&lt;&gt;"",LEFT(C257,2)&lt;&gt;"//",I257=0),1,0)</f>
        <v>0</v>
      </c>
      <c r="M257" s="0" t="str">
        <f aca="false">IF(I257=1,MAX(M$1:M256)+1,"")</f>
        <v/>
      </c>
      <c r="N257" s="0" t="str">
        <f aca="false">IFERROR(MATCH(ROW()-1,$V$2:$V$1201,0),"")</f>
        <v/>
      </c>
      <c r="R257" s="0" t="str">
        <f aca="false">IF(E257="","",IFERROR(LEFT(E257,FIND("-",E257)-1),E257))</f>
        <v/>
      </c>
      <c r="S257" s="0" t="str">
        <f aca="false">IF(R257="","",IF(ISNUMBER(--MID(R257,1,1)),0,IF(ISNUMBER(--MID(R257,2,1)),1,IF(ISNUMBER(--MID(R257,3,1)),2,IF(ISNUMBER(--MID(R257,4,1)),3,MIN(LEN(R257),4))))))</f>
        <v/>
      </c>
      <c r="T257" s="0" t="str">
        <f aca="false">IF(E257="","",LEFT(R257,S257)&amp;REPT("0",4-S257)&amp;RIGHT("000"&amp;IFERROR(VALUE(MID(R257,S257+1,9)),0),3)&amp;RIGHT("0000"&amp;IFERROR(VALUE(MID(E257,FIND("-",E257)+1,9)),0),4))</f>
        <v/>
      </c>
      <c r="U257" s="0" t="str">
        <f aca="false">IF(I257=1,"K"&amp;RIGHT("00"&amp;A257,2)&amp;T257&amp;RIGHT("00000"&amp;ROW(),5),"")</f>
        <v/>
      </c>
      <c r="V257" s="0" t="str">
        <f aca="false">IF(U257="","",COUNTIFS($I$2:$I$1201,1,$U$2:$U$1201,"&lt;"&amp;U257)+1)</f>
        <v/>
      </c>
    </row>
    <row r="258" customFormat="false" ht="15" hidden="false" customHeight="false" outlineLevel="0" collapsed="false">
      <c r="A258" s="0" t="n">
        <v>5</v>
      </c>
      <c r="B258" s="0" t="n">
        <v>17</v>
      </c>
      <c r="C258" s="0" t="str">
        <f aca="false">TRIM(SUBSTITUTE(INDEX(LISTAS!$A$4:$T$63,B258,A258)&amp;"",CHAR(160)," "))</f>
        <v/>
      </c>
      <c r="D258" s="0" t="str">
        <f aca="false">IF(C258="","",TRIM(RIGHT(SUBSTITUTE(C258," ",REPT(" ",100)),100)))</f>
        <v/>
      </c>
      <c r="E258" s="0" t="str">
        <f aca="false">IF(D258="","",UPPER(SUBSTITUTE(SUBSTITUTE(D258,"(",""),")","")))</f>
        <v/>
      </c>
      <c r="F258" s="0" t="str">
        <f aca="false">IF(C258="","",LEFT(C258,FIND(" ",C258&amp;" ")-1))</f>
        <v/>
      </c>
      <c r="G258" s="0" t="n">
        <f aca="false">IFERROR(VALUE(SUBSTITUTE(LOWER(F258),"x","")),0)</f>
        <v>0</v>
      </c>
      <c r="H258" s="0" t="str">
        <f aca="false">IF(C258="","",TRIM(MID(C258,LEN(F258)+2,999)))</f>
        <v/>
      </c>
      <c r="I258" s="0" t="n">
        <f aca="false">IF(OR(C258="",LEFT(C258,2)="//"),0,IFERROR(IF(AND(G258&gt;0,G258=INT(G258),FIND("-",E258)&gt;1,NOT(EXACT(UPPER(LEFT(E258,1)),LOWER(LEFT(E258,1)))),ISNUMBER(VALUE(MID(E258,FIND("-",E258)+1,10)))),1,0),0))</f>
        <v>0</v>
      </c>
      <c r="J258" s="0" t="str">
        <f aca="false">IF(I258=1,TRIM(LEFT(H258,MAX(0,LEN(H258)-LEN(D258)))),"")</f>
        <v/>
      </c>
      <c r="K258" s="0" t="str">
        <f aca="false">INDEX($P$2:$P$21,A258)</f>
        <v>Deck 5</v>
      </c>
      <c r="L258" s="0" t="n">
        <f aca="false">IF(AND(C258&lt;&gt;"",LEFT(C258,2)&lt;&gt;"//",I258=0),1,0)</f>
        <v>0</v>
      </c>
      <c r="M258" s="0" t="str">
        <f aca="false">IF(I258=1,MAX(M$1:M257)+1,"")</f>
        <v/>
      </c>
      <c r="N258" s="0" t="str">
        <f aca="false">IFERROR(MATCH(ROW()-1,$V$2:$V$1201,0),"")</f>
        <v/>
      </c>
      <c r="R258" s="0" t="str">
        <f aca="false">IF(E258="","",IFERROR(LEFT(E258,FIND("-",E258)-1),E258))</f>
        <v/>
      </c>
      <c r="S258" s="0" t="str">
        <f aca="false">IF(R258="","",IF(ISNUMBER(--MID(R258,1,1)),0,IF(ISNUMBER(--MID(R258,2,1)),1,IF(ISNUMBER(--MID(R258,3,1)),2,IF(ISNUMBER(--MID(R258,4,1)),3,MIN(LEN(R258),4))))))</f>
        <v/>
      </c>
      <c r="T258" s="0" t="str">
        <f aca="false">IF(E258="","",LEFT(R258,S258)&amp;REPT("0",4-S258)&amp;RIGHT("000"&amp;IFERROR(VALUE(MID(R258,S258+1,9)),0),3)&amp;RIGHT("0000"&amp;IFERROR(VALUE(MID(E258,FIND("-",E258)+1,9)),0),4))</f>
        <v/>
      </c>
      <c r="U258" s="0" t="str">
        <f aca="false">IF(I258=1,"K"&amp;RIGHT("00"&amp;A258,2)&amp;T258&amp;RIGHT("00000"&amp;ROW(),5),"")</f>
        <v/>
      </c>
      <c r="V258" s="0" t="str">
        <f aca="false">IF(U258="","",COUNTIFS($I$2:$I$1201,1,$U$2:$U$1201,"&lt;"&amp;U258)+1)</f>
        <v/>
      </c>
    </row>
    <row r="259" customFormat="false" ht="15" hidden="false" customHeight="false" outlineLevel="0" collapsed="false">
      <c r="A259" s="0" t="n">
        <v>5</v>
      </c>
      <c r="B259" s="0" t="n">
        <v>18</v>
      </c>
      <c r="C259" s="0" t="str">
        <f aca="false">TRIM(SUBSTITUTE(INDEX(LISTAS!$A$4:$T$63,B259,A259)&amp;"",CHAR(160)," "))</f>
        <v/>
      </c>
      <c r="D259" s="0" t="str">
        <f aca="false">IF(C259="","",TRIM(RIGHT(SUBSTITUTE(C259," ",REPT(" ",100)),100)))</f>
        <v/>
      </c>
      <c r="E259" s="0" t="str">
        <f aca="false">IF(D259="","",UPPER(SUBSTITUTE(SUBSTITUTE(D259,"(",""),")","")))</f>
        <v/>
      </c>
      <c r="F259" s="0" t="str">
        <f aca="false">IF(C259="","",LEFT(C259,FIND(" ",C259&amp;" ")-1))</f>
        <v/>
      </c>
      <c r="G259" s="0" t="n">
        <f aca="false">IFERROR(VALUE(SUBSTITUTE(LOWER(F259),"x","")),0)</f>
        <v>0</v>
      </c>
      <c r="H259" s="0" t="str">
        <f aca="false">IF(C259="","",TRIM(MID(C259,LEN(F259)+2,999)))</f>
        <v/>
      </c>
      <c r="I259" s="0" t="n">
        <f aca="false">IF(OR(C259="",LEFT(C259,2)="//"),0,IFERROR(IF(AND(G259&gt;0,G259=INT(G259),FIND("-",E259)&gt;1,NOT(EXACT(UPPER(LEFT(E259,1)),LOWER(LEFT(E259,1)))),ISNUMBER(VALUE(MID(E259,FIND("-",E259)+1,10)))),1,0),0))</f>
        <v>0</v>
      </c>
      <c r="J259" s="0" t="str">
        <f aca="false">IF(I259=1,TRIM(LEFT(H259,MAX(0,LEN(H259)-LEN(D259)))),"")</f>
        <v/>
      </c>
      <c r="K259" s="0" t="str">
        <f aca="false">INDEX($P$2:$P$21,A259)</f>
        <v>Deck 5</v>
      </c>
      <c r="L259" s="0" t="n">
        <f aca="false">IF(AND(C259&lt;&gt;"",LEFT(C259,2)&lt;&gt;"//",I259=0),1,0)</f>
        <v>0</v>
      </c>
      <c r="M259" s="0" t="str">
        <f aca="false">IF(I259=1,MAX(M$1:M258)+1,"")</f>
        <v/>
      </c>
      <c r="N259" s="0" t="str">
        <f aca="false">IFERROR(MATCH(ROW()-1,$V$2:$V$1201,0),"")</f>
        <v/>
      </c>
      <c r="R259" s="0" t="str">
        <f aca="false">IF(E259="","",IFERROR(LEFT(E259,FIND("-",E259)-1),E259))</f>
        <v/>
      </c>
      <c r="S259" s="0" t="str">
        <f aca="false">IF(R259="","",IF(ISNUMBER(--MID(R259,1,1)),0,IF(ISNUMBER(--MID(R259,2,1)),1,IF(ISNUMBER(--MID(R259,3,1)),2,IF(ISNUMBER(--MID(R259,4,1)),3,MIN(LEN(R259),4))))))</f>
        <v/>
      </c>
      <c r="T259" s="0" t="str">
        <f aca="false">IF(E259="","",LEFT(R259,S259)&amp;REPT("0",4-S259)&amp;RIGHT("000"&amp;IFERROR(VALUE(MID(R259,S259+1,9)),0),3)&amp;RIGHT("0000"&amp;IFERROR(VALUE(MID(E259,FIND("-",E259)+1,9)),0),4))</f>
        <v/>
      </c>
      <c r="U259" s="0" t="str">
        <f aca="false">IF(I259=1,"K"&amp;RIGHT("00"&amp;A259,2)&amp;T259&amp;RIGHT("00000"&amp;ROW(),5),"")</f>
        <v/>
      </c>
      <c r="V259" s="0" t="str">
        <f aca="false">IF(U259="","",COUNTIFS($I$2:$I$1201,1,$U$2:$U$1201,"&lt;"&amp;U259)+1)</f>
        <v/>
      </c>
    </row>
    <row r="260" customFormat="false" ht="15" hidden="false" customHeight="false" outlineLevel="0" collapsed="false">
      <c r="A260" s="0" t="n">
        <v>5</v>
      </c>
      <c r="B260" s="0" t="n">
        <v>19</v>
      </c>
      <c r="C260" s="0" t="str">
        <f aca="false">TRIM(SUBSTITUTE(INDEX(LISTAS!$A$4:$T$63,B260,A260)&amp;"",CHAR(160)," "))</f>
        <v/>
      </c>
      <c r="D260" s="0" t="str">
        <f aca="false">IF(C260="","",TRIM(RIGHT(SUBSTITUTE(C260," ",REPT(" ",100)),100)))</f>
        <v/>
      </c>
      <c r="E260" s="0" t="str">
        <f aca="false">IF(D260="","",UPPER(SUBSTITUTE(SUBSTITUTE(D260,"(",""),")","")))</f>
        <v/>
      </c>
      <c r="F260" s="0" t="str">
        <f aca="false">IF(C260="","",LEFT(C260,FIND(" ",C260&amp;" ")-1))</f>
        <v/>
      </c>
      <c r="G260" s="0" t="n">
        <f aca="false">IFERROR(VALUE(SUBSTITUTE(LOWER(F260),"x","")),0)</f>
        <v>0</v>
      </c>
      <c r="H260" s="0" t="str">
        <f aca="false">IF(C260="","",TRIM(MID(C260,LEN(F260)+2,999)))</f>
        <v/>
      </c>
      <c r="I260" s="0" t="n">
        <f aca="false">IF(OR(C260="",LEFT(C260,2)="//"),0,IFERROR(IF(AND(G260&gt;0,G260=INT(G260),FIND("-",E260)&gt;1,NOT(EXACT(UPPER(LEFT(E260,1)),LOWER(LEFT(E260,1)))),ISNUMBER(VALUE(MID(E260,FIND("-",E260)+1,10)))),1,0),0))</f>
        <v>0</v>
      </c>
      <c r="J260" s="0" t="str">
        <f aca="false">IF(I260=1,TRIM(LEFT(H260,MAX(0,LEN(H260)-LEN(D260)))),"")</f>
        <v/>
      </c>
      <c r="K260" s="0" t="str">
        <f aca="false">INDEX($P$2:$P$21,A260)</f>
        <v>Deck 5</v>
      </c>
      <c r="L260" s="0" t="n">
        <f aca="false">IF(AND(C260&lt;&gt;"",LEFT(C260,2)&lt;&gt;"//",I260=0),1,0)</f>
        <v>0</v>
      </c>
      <c r="M260" s="0" t="str">
        <f aca="false">IF(I260=1,MAX(M$1:M259)+1,"")</f>
        <v/>
      </c>
      <c r="N260" s="0" t="str">
        <f aca="false">IFERROR(MATCH(ROW()-1,$V$2:$V$1201,0),"")</f>
        <v/>
      </c>
      <c r="R260" s="0" t="str">
        <f aca="false">IF(E260="","",IFERROR(LEFT(E260,FIND("-",E260)-1),E260))</f>
        <v/>
      </c>
      <c r="S260" s="0" t="str">
        <f aca="false">IF(R260="","",IF(ISNUMBER(--MID(R260,1,1)),0,IF(ISNUMBER(--MID(R260,2,1)),1,IF(ISNUMBER(--MID(R260,3,1)),2,IF(ISNUMBER(--MID(R260,4,1)),3,MIN(LEN(R260),4))))))</f>
        <v/>
      </c>
      <c r="T260" s="0" t="str">
        <f aca="false">IF(E260="","",LEFT(R260,S260)&amp;REPT("0",4-S260)&amp;RIGHT("000"&amp;IFERROR(VALUE(MID(R260,S260+1,9)),0),3)&amp;RIGHT("0000"&amp;IFERROR(VALUE(MID(E260,FIND("-",E260)+1,9)),0),4))</f>
        <v/>
      </c>
      <c r="U260" s="0" t="str">
        <f aca="false">IF(I260=1,"K"&amp;RIGHT("00"&amp;A260,2)&amp;T260&amp;RIGHT("00000"&amp;ROW(),5),"")</f>
        <v/>
      </c>
      <c r="V260" s="0" t="str">
        <f aca="false">IF(U260="","",COUNTIFS($I$2:$I$1201,1,$U$2:$U$1201,"&lt;"&amp;U260)+1)</f>
        <v/>
      </c>
    </row>
    <row r="261" customFormat="false" ht="15" hidden="false" customHeight="false" outlineLevel="0" collapsed="false">
      <c r="A261" s="0" t="n">
        <v>5</v>
      </c>
      <c r="B261" s="0" t="n">
        <v>20</v>
      </c>
      <c r="C261" s="0" t="str">
        <f aca="false">TRIM(SUBSTITUTE(INDEX(LISTAS!$A$4:$T$63,B261,A261)&amp;"",CHAR(160)," "))</f>
        <v/>
      </c>
      <c r="D261" s="0" t="str">
        <f aca="false">IF(C261="","",TRIM(RIGHT(SUBSTITUTE(C261," ",REPT(" ",100)),100)))</f>
        <v/>
      </c>
      <c r="E261" s="0" t="str">
        <f aca="false">IF(D261="","",UPPER(SUBSTITUTE(SUBSTITUTE(D261,"(",""),")","")))</f>
        <v/>
      </c>
      <c r="F261" s="0" t="str">
        <f aca="false">IF(C261="","",LEFT(C261,FIND(" ",C261&amp;" ")-1))</f>
        <v/>
      </c>
      <c r="G261" s="0" t="n">
        <f aca="false">IFERROR(VALUE(SUBSTITUTE(LOWER(F261),"x","")),0)</f>
        <v>0</v>
      </c>
      <c r="H261" s="0" t="str">
        <f aca="false">IF(C261="","",TRIM(MID(C261,LEN(F261)+2,999)))</f>
        <v/>
      </c>
      <c r="I261" s="0" t="n">
        <f aca="false">IF(OR(C261="",LEFT(C261,2)="//"),0,IFERROR(IF(AND(G261&gt;0,G261=INT(G261),FIND("-",E261)&gt;1,NOT(EXACT(UPPER(LEFT(E261,1)),LOWER(LEFT(E261,1)))),ISNUMBER(VALUE(MID(E261,FIND("-",E261)+1,10)))),1,0),0))</f>
        <v>0</v>
      </c>
      <c r="J261" s="0" t="str">
        <f aca="false">IF(I261=1,TRIM(LEFT(H261,MAX(0,LEN(H261)-LEN(D261)))),"")</f>
        <v/>
      </c>
      <c r="K261" s="0" t="str">
        <f aca="false">INDEX($P$2:$P$21,A261)</f>
        <v>Deck 5</v>
      </c>
      <c r="L261" s="0" t="n">
        <f aca="false">IF(AND(C261&lt;&gt;"",LEFT(C261,2)&lt;&gt;"//",I261=0),1,0)</f>
        <v>0</v>
      </c>
      <c r="M261" s="0" t="str">
        <f aca="false">IF(I261=1,MAX(M$1:M260)+1,"")</f>
        <v/>
      </c>
      <c r="N261" s="0" t="str">
        <f aca="false">IFERROR(MATCH(ROW()-1,$V$2:$V$1201,0),"")</f>
        <v/>
      </c>
      <c r="R261" s="0" t="str">
        <f aca="false">IF(E261="","",IFERROR(LEFT(E261,FIND("-",E261)-1),E261))</f>
        <v/>
      </c>
      <c r="S261" s="0" t="str">
        <f aca="false">IF(R261="","",IF(ISNUMBER(--MID(R261,1,1)),0,IF(ISNUMBER(--MID(R261,2,1)),1,IF(ISNUMBER(--MID(R261,3,1)),2,IF(ISNUMBER(--MID(R261,4,1)),3,MIN(LEN(R261),4))))))</f>
        <v/>
      </c>
      <c r="T261" s="0" t="str">
        <f aca="false">IF(E261="","",LEFT(R261,S261)&amp;REPT("0",4-S261)&amp;RIGHT("000"&amp;IFERROR(VALUE(MID(R261,S261+1,9)),0),3)&amp;RIGHT("0000"&amp;IFERROR(VALUE(MID(E261,FIND("-",E261)+1,9)),0),4))</f>
        <v/>
      </c>
      <c r="U261" s="0" t="str">
        <f aca="false">IF(I261=1,"K"&amp;RIGHT("00"&amp;A261,2)&amp;T261&amp;RIGHT("00000"&amp;ROW(),5),"")</f>
        <v/>
      </c>
      <c r="V261" s="0" t="str">
        <f aca="false">IF(U261="","",COUNTIFS($I$2:$I$1201,1,$U$2:$U$1201,"&lt;"&amp;U261)+1)</f>
        <v/>
      </c>
    </row>
    <row r="262" customFormat="false" ht="15" hidden="false" customHeight="false" outlineLevel="0" collapsed="false">
      <c r="A262" s="0" t="n">
        <v>5</v>
      </c>
      <c r="B262" s="0" t="n">
        <v>21</v>
      </c>
      <c r="C262" s="0" t="str">
        <f aca="false">TRIM(SUBSTITUTE(INDEX(LISTAS!$A$4:$T$63,B262,A262)&amp;"",CHAR(160)," "))</f>
        <v/>
      </c>
      <c r="D262" s="0" t="str">
        <f aca="false">IF(C262="","",TRIM(RIGHT(SUBSTITUTE(C262," ",REPT(" ",100)),100)))</f>
        <v/>
      </c>
      <c r="E262" s="0" t="str">
        <f aca="false">IF(D262="","",UPPER(SUBSTITUTE(SUBSTITUTE(D262,"(",""),")","")))</f>
        <v/>
      </c>
      <c r="F262" s="0" t="str">
        <f aca="false">IF(C262="","",LEFT(C262,FIND(" ",C262&amp;" ")-1))</f>
        <v/>
      </c>
      <c r="G262" s="0" t="n">
        <f aca="false">IFERROR(VALUE(SUBSTITUTE(LOWER(F262),"x","")),0)</f>
        <v>0</v>
      </c>
      <c r="H262" s="0" t="str">
        <f aca="false">IF(C262="","",TRIM(MID(C262,LEN(F262)+2,999)))</f>
        <v/>
      </c>
      <c r="I262" s="0" t="n">
        <f aca="false">IF(OR(C262="",LEFT(C262,2)="//"),0,IFERROR(IF(AND(G262&gt;0,G262=INT(G262),FIND("-",E262)&gt;1,NOT(EXACT(UPPER(LEFT(E262,1)),LOWER(LEFT(E262,1)))),ISNUMBER(VALUE(MID(E262,FIND("-",E262)+1,10)))),1,0),0))</f>
        <v>0</v>
      </c>
      <c r="J262" s="0" t="str">
        <f aca="false">IF(I262=1,TRIM(LEFT(H262,MAX(0,LEN(H262)-LEN(D262)))),"")</f>
        <v/>
      </c>
      <c r="K262" s="0" t="str">
        <f aca="false">INDEX($P$2:$P$21,A262)</f>
        <v>Deck 5</v>
      </c>
      <c r="L262" s="0" t="n">
        <f aca="false">IF(AND(C262&lt;&gt;"",LEFT(C262,2)&lt;&gt;"//",I262=0),1,0)</f>
        <v>0</v>
      </c>
      <c r="M262" s="0" t="str">
        <f aca="false">IF(I262=1,MAX(M$1:M261)+1,"")</f>
        <v/>
      </c>
      <c r="N262" s="0" t="str">
        <f aca="false">IFERROR(MATCH(ROW()-1,$V$2:$V$1201,0),"")</f>
        <v/>
      </c>
      <c r="R262" s="0" t="str">
        <f aca="false">IF(E262="","",IFERROR(LEFT(E262,FIND("-",E262)-1),E262))</f>
        <v/>
      </c>
      <c r="S262" s="0" t="str">
        <f aca="false">IF(R262="","",IF(ISNUMBER(--MID(R262,1,1)),0,IF(ISNUMBER(--MID(R262,2,1)),1,IF(ISNUMBER(--MID(R262,3,1)),2,IF(ISNUMBER(--MID(R262,4,1)),3,MIN(LEN(R262),4))))))</f>
        <v/>
      </c>
      <c r="T262" s="0" t="str">
        <f aca="false">IF(E262="","",LEFT(R262,S262)&amp;REPT("0",4-S262)&amp;RIGHT("000"&amp;IFERROR(VALUE(MID(R262,S262+1,9)),0),3)&amp;RIGHT("0000"&amp;IFERROR(VALUE(MID(E262,FIND("-",E262)+1,9)),0),4))</f>
        <v/>
      </c>
      <c r="U262" s="0" t="str">
        <f aca="false">IF(I262=1,"K"&amp;RIGHT("00"&amp;A262,2)&amp;T262&amp;RIGHT("00000"&amp;ROW(),5),"")</f>
        <v/>
      </c>
      <c r="V262" s="0" t="str">
        <f aca="false">IF(U262="","",COUNTIFS($I$2:$I$1201,1,$U$2:$U$1201,"&lt;"&amp;U262)+1)</f>
        <v/>
      </c>
    </row>
    <row r="263" customFormat="false" ht="15" hidden="false" customHeight="false" outlineLevel="0" collapsed="false">
      <c r="A263" s="0" t="n">
        <v>5</v>
      </c>
      <c r="B263" s="0" t="n">
        <v>22</v>
      </c>
      <c r="C263" s="0" t="str">
        <f aca="false">TRIM(SUBSTITUTE(INDEX(LISTAS!$A$4:$T$63,B263,A263)&amp;"",CHAR(160)," "))</f>
        <v/>
      </c>
      <c r="D263" s="0" t="str">
        <f aca="false">IF(C263="","",TRIM(RIGHT(SUBSTITUTE(C263," ",REPT(" ",100)),100)))</f>
        <v/>
      </c>
      <c r="E263" s="0" t="str">
        <f aca="false">IF(D263="","",UPPER(SUBSTITUTE(SUBSTITUTE(D263,"(",""),")","")))</f>
        <v/>
      </c>
      <c r="F263" s="0" t="str">
        <f aca="false">IF(C263="","",LEFT(C263,FIND(" ",C263&amp;" ")-1))</f>
        <v/>
      </c>
      <c r="G263" s="0" t="n">
        <f aca="false">IFERROR(VALUE(SUBSTITUTE(LOWER(F263),"x","")),0)</f>
        <v>0</v>
      </c>
      <c r="H263" s="0" t="str">
        <f aca="false">IF(C263="","",TRIM(MID(C263,LEN(F263)+2,999)))</f>
        <v/>
      </c>
      <c r="I263" s="0" t="n">
        <f aca="false">IF(OR(C263="",LEFT(C263,2)="//"),0,IFERROR(IF(AND(G263&gt;0,G263=INT(G263),FIND("-",E263)&gt;1,NOT(EXACT(UPPER(LEFT(E263,1)),LOWER(LEFT(E263,1)))),ISNUMBER(VALUE(MID(E263,FIND("-",E263)+1,10)))),1,0),0))</f>
        <v>0</v>
      </c>
      <c r="J263" s="0" t="str">
        <f aca="false">IF(I263=1,TRIM(LEFT(H263,MAX(0,LEN(H263)-LEN(D263)))),"")</f>
        <v/>
      </c>
      <c r="K263" s="0" t="str">
        <f aca="false">INDEX($P$2:$P$21,A263)</f>
        <v>Deck 5</v>
      </c>
      <c r="L263" s="0" t="n">
        <f aca="false">IF(AND(C263&lt;&gt;"",LEFT(C263,2)&lt;&gt;"//",I263=0),1,0)</f>
        <v>0</v>
      </c>
      <c r="M263" s="0" t="str">
        <f aca="false">IF(I263=1,MAX(M$1:M262)+1,"")</f>
        <v/>
      </c>
      <c r="N263" s="0" t="str">
        <f aca="false">IFERROR(MATCH(ROW()-1,$V$2:$V$1201,0),"")</f>
        <v/>
      </c>
      <c r="R263" s="0" t="str">
        <f aca="false">IF(E263="","",IFERROR(LEFT(E263,FIND("-",E263)-1),E263))</f>
        <v/>
      </c>
      <c r="S263" s="0" t="str">
        <f aca="false">IF(R263="","",IF(ISNUMBER(--MID(R263,1,1)),0,IF(ISNUMBER(--MID(R263,2,1)),1,IF(ISNUMBER(--MID(R263,3,1)),2,IF(ISNUMBER(--MID(R263,4,1)),3,MIN(LEN(R263),4))))))</f>
        <v/>
      </c>
      <c r="T263" s="0" t="str">
        <f aca="false">IF(E263="","",LEFT(R263,S263)&amp;REPT("0",4-S263)&amp;RIGHT("000"&amp;IFERROR(VALUE(MID(R263,S263+1,9)),0),3)&amp;RIGHT("0000"&amp;IFERROR(VALUE(MID(E263,FIND("-",E263)+1,9)),0),4))</f>
        <v/>
      </c>
      <c r="U263" s="0" t="str">
        <f aca="false">IF(I263=1,"K"&amp;RIGHT("00"&amp;A263,2)&amp;T263&amp;RIGHT("00000"&amp;ROW(),5),"")</f>
        <v/>
      </c>
      <c r="V263" s="0" t="str">
        <f aca="false">IF(U263="","",COUNTIFS($I$2:$I$1201,1,$U$2:$U$1201,"&lt;"&amp;U263)+1)</f>
        <v/>
      </c>
    </row>
    <row r="264" customFormat="false" ht="15" hidden="false" customHeight="false" outlineLevel="0" collapsed="false">
      <c r="A264" s="0" t="n">
        <v>5</v>
      </c>
      <c r="B264" s="0" t="n">
        <v>23</v>
      </c>
      <c r="C264" s="0" t="str">
        <f aca="false">TRIM(SUBSTITUTE(INDEX(LISTAS!$A$4:$T$63,B264,A264)&amp;"",CHAR(160)," "))</f>
        <v/>
      </c>
      <c r="D264" s="0" t="str">
        <f aca="false">IF(C264="","",TRIM(RIGHT(SUBSTITUTE(C264," ",REPT(" ",100)),100)))</f>
        <v/>
      </c>
      <c r="E264" s="0" t="str">
        <f aca="false">IF(D264="","",UPPER(SUBSTITUTE(SUBSTITUTE(D264,"(",""),")","")))</f>
        <v/>
      </c>
      <c r="F264" s="0" t="str">
        <f aca="false">IF(C264="","",LEFT(C264,FIND(" ",C264&amp;" ")-1))</f>
        <v/>
      </c>
      <c r="G264" s="0" t="n">
        <f aca="false">IFERROR(VALUE(SUBSTITUTE(LOWER(F264),"x","")),0)</f>
        <v>0</v>
      </c>
      <c r="H264" s="0" t="str">
        <f aca="false">IF(C264="","",TRIM(MID(C264,LEN(F264)+2,999)))</f>
        <v/>
      </c>
      <c r="I264" s="0" t="n">
        <f aca="false">IF(OR(C264="",LEFT(C264,2)="//"),0,IFERROR(IF(AND(G264&gt;0,G264=INT(G264),FIND("-",E264)&gt;1,NOT(EXACT(UPPER(LEFT(E264,1)),LOWER(LEFT(E264,1)))),ISNUMBER(VALUE(MID(E264,FIND("-",E264)+1,10)))),1,0),0))</f>
        <v>0</v>
      </c>
      <c r="J264" s="0" t="str">
        <f aca="false">IF(I264=1,TRIM(LEFT(H264,MAX(0,LEN(H264)-LEN(D264)))),"")</f>
        <v/>
      </c>
      <c r="K264" s="0" t="str">
        <f aca="false">INDEX($P$2:$P$21,A264)</f>
        <v>Deck 5</v>
      </c>
      <c r="L264" s="0" t="n">
        <f aca="false">IF(AND(C264&lt;&gt;"",LEFT(C264,2)&lt;&gt;"//",I264=0),1,0)</f>
        <v>0</v>
      </c>
      <c r="M264" s="0" t="str">
        <f aca="false">IF(I264=1,MAX(M$1:M263)+1,"")</f>
        <v/>
      </c>
      <c r="N264" s="0" t="str">
        <f aca="false">IFERROR(MATCH(ROW()-1,$V$2:$V$1201,0),"")</f>
        <v/>
      </c>
      <c r="R264" s="0" t="str">
        <f aca="false">IF(E264="","",IFERROR(LEFT(E264,FIND("-",E264)-1),E264))</f>
        <v/>
      </c>
      <c r="S264" s="0" t="str">
        <f aca="false">IF(R264="","",IF(ISNUMBER(--MID(R264,1,1)),0,IF(ISNUMBER(--MID(R264,2,1)),1,IF(ISNUMBER(--MID(R264,3,1)),2,IF(ISNUMBER(--MID(R264,4,1)),3,MIN(LEN(R264),4))))))</f>
        <v/>
      </c>
      <c r="T264" s="0" t="str">
        <f aca="false">IF(E264="","",LEFT(R264,S264)&amp;REPT("0",4-S264)&amp;RIGHT("000"&amp;IFERROR(VALUE(MID(R264,S264+1,9)),0),3)&amp;RIGHT("0000"&amp;IFERROR(VALUE(MID(E264,FIND("-",E264)+1,9)),0),4))</f>
        <v/>
      </c>
      <c r="U264" s="0" t="str">
        <f aca="false">IF(I264=1,"K"&amp;RIGHT("00"&amp;A264,2)&amp;T264&amp;RIGHT("00000"&amp;ROW(),5),"")</f>
        <v/>
      </c>
      <c r="V264" s="0" t="str">
        <f aca="false">IF(U264="","",COUNTIFS($I$2:$I$1201,1,$U$2:$U$1201,"&lt;"&amp;U264)+1)</f>
        <v/>
      </c>
    </row>
    <row r="265" customFormat="false" ht="15" hidden="false" customHeight="false" outlineLevel="0" collapsed="false">
      <c r="A265" s="0" t="n">
        <v>5</v>
      </c>
      <c r="B265" s="0" t="n">
        <v>24</v>
      </c>
      <c r="C265" s="0" t="str">
        <f aca="false">TRIM(SUBSTITUTE(INDEX(LISTAS!$A$4:$T$63,B265,A265)&amp;"",CHAR(160)," "))</f>
        <v/>
      </c>
      <c r="D265" s="0" t="str">
        <f aca="false">IF(C265="","",TRIM(RIGHT(SUBSTITUTE(C265," ",REPT(" ",100)),100)))</f>
        <v/>
      </c>
      <c r="E265" s="0" t="str">
        <f aca="false">IF(D265="","",UPPER(SUBSTITUTE(SUBSTITUTE(D265,"(",""),")","")))</f>
        <v/>
      </c>
      <c r="F265" s="0" t="str">
        <f aca="false">IF(C265="","",LEFT(C265,FIND(" ",C265&amp;" ")-1))</f>
        <v/>
      </c>
      <c r="G265" s="0" t="n">
        <f aca="false">IFERROR(VALUE(SUBSTITUTE(LOWER(F265),"x","")),0)</f>
        <v>0</v>
      </c>
      <c r="H265" s="0" t="str">
        <f aca="false">IF(C265="","",TRIM(MID(C265,LEN(F265)+2,999)))</f>
        <v/>
      </c>
      <c r="I265" s="0" t="n">
        <f aca="false">IF(OR(C265="",LEFT(C265,2)="//"),0,IFERROR(IF(AND(G265&gt;0,G265=INT(G265),FIND("-",E265)&gt;1,NOT(EXACT(UPPER(LEFT(E265,1)),LOWER(LEFT(E265,1)))),ISNUMBER(VALUE(MID(E265,FIND("-",E265)+1,10)))),1,0),0))</f>
        <v>0</v>
      </c>
      <c r="J265" s="0" t="str">
        <f aca="false">IF(I265=1,TRIM(LEFT(H265,MAX(0,LEN(H265)-LEN(D265)))),"")</f>
        <v/>
      </c>
      <c r="K265" s="0" t="str">
        <f aca="false">INDEX($P$2:$P$21,A265)</f>
        <v>Deck 5</v>
      </c>
      <c r="L265" s="0" t="n">
        <f aca="false">IF(AND(C265&lt;&gt;"",LEFT(C265,2)&lt;&gt;"//",I265=0),1,0)</f>
        <v>0</v>
      </c>
      <c r="M265" s="0" t="str">
        <f aca="false">IF(I265=1,MAX(M$1:M264)+1,"")</f>
        <v/>
      </c>
      <c r="N265" s="0" t="str">
        <f aca="false">IFERROR(MATCH(ROW()-1,$V$2:$V$1201,0),"")</f>
        <v/>
      </c>
      <c r="R265" s="0" t="str">
        <f aca="false">IF(E265="","",IFERROR(LEFT(E265,FIND("-",E265)-1),E265))</f>
        <v/>
      </c>
      <c r="S265" s="0" t="str">
        <f aca="false">IF(R265="","",IF(ISNUMBER(--MID(R265,1,1)),0,IF(ISNUMBER(--MID(R265,2,1)),1,IF(ISNUMBER(--MID(R265,3,1)),2,IF(ISNUMBER(--MID(R265,4,1)),3,MIN(LEN(R265),4))))))</f>
        <v/>
      </c>
      <c r="T265" s="0" t="str">
        <f aca="false">IF(E265="","",LEFT(R265,S265)&amp;REPT("0",4-S265)&amp;RIGHT("000"&amp;IFERROR(VALUE(MID(R265,S265+1,9)),0),3)&amp;RIGHT("0000"&amp;IFERROR(VALUE(MID(E265,FIND("-",E265)+1,9)),0),4))</f>
        <v/>
      </c>
      <c r="U265" s="0" t="str">
        <f aca="false">IF(I265=1,"K"&amp;RIGHT("00"&amp;A265,2)&amp;T265&amp;RIGHT("00000"&amp;ROW(),5),"")</f>
        <v/>
      </c>
      <c r="V265" s="0" t="str">
        <f aca="false">IF(U265="","",COUNTIFS($I$2:$I$1201,1,$U$2:$U$1201,"&lt;"&amp;U265)+1)</f>
        <v/>
      </c>
    </row>
    <row r="266" customFormat="false" ht="15" hidden="false" customHeight="false" outlineLevel="0" collapsed="false">
      <c r="A266" s="0" t="n">
        <v>5</v>
      </c>
      <c r="B266" s="0" t="n">
        <v>25</v>
      </c>
      <c r="C266" s="0" t="str">
        <f aca="false">TRIM(SUBSTITUTE(INDEX(LISTAS!$A$4:$T$63,B266,A266)&amp;"",CHAR(160)," "))</f>
        <v/>
      </c>
      <c r="D266" s="0" t="str">
        <f aca="false">IF(C266="","",TRIM(RIGHT(SUBSTITUTE(C266," ",REPT(" ",100)),100)))</f>
        <v/>
      </c>
      <c r="E266" s="0" t="str">
        <f aca="false">IF(D266="","",UPPER(SUBSTITUTE(SUBSTITUTE(D266,"(",""),")","")))</f>
        <v/>
      </c>
      <c r="F266" s="0" t="str">
        <f aca="false">IF(C266="","",LEFT(C266,FIND(" ",C266&amp;" ")-1))</f>
        <v/>
      </c>
      <c r="G266" s="0" t="n">
        <f aca="false">IFERROR(VALUE(SUBSTITUTE(LOWER(F266),"x","")),0)</f>
        <v>0</v>
      </c>
      <c r="H266" s="0" t="str">
        <f aca="false">IF(C266="","",TRIM(MID(C266,LEN(F266)+2,999)))</f>
        <v/>
      </c>
      <c r="I266" s="0" t="n">
        <f aca="false">IF(OR(C266="",LEFT(C266,2)="//"),0,IFERROR(IF(AND(G266&gt;0,G266=INT(G266),FIND("-",E266)&gt;1,NOT(EXACT(UPPER(LEFT(E266,1)),LOWER(LEFT(E266,1)))),ISNUMBER(VALUE(MID(E266,FIND("-",E266)+1,10)))),1,0),0))</f>
        <v>0</v>
      </c>
      <c r="J266" s="0" t="str">
        <f aca="false">IF(I266=1,TRIM(LEFT(H266,MAX(0,LEN(H266)-LEN(D266)))),"")</f>
        <v/>
      </c>
      <c r="K266" s="0" t="str">
        <f aca="false">INDEX($P$2:$P$21,A266)</f>
        <v>Deck 5</v>
      </c>
      <c r="L266" s="0" t="n">
        <f aca="false">IF(AND(C266&lt;&gt;"",LEFT(C266,2)&lt;&gt;"//",I266=0),1,0)</f>
        <v>0</v>
      </c>
      <c r="M266" s="0" t="str">
        <f aca="false">IF(I266=1,MAX(M$1:M265)+1,"")</f>
        <v/>
      </c>
      <c r="N266" s="0" t="str">
        <f aca="false">IFERROR(MATCH(ROW()-1,$V$2:$V$1201,0),"")</f>
        <v/>
      </c>
      <c r="R266" s="0" t="str">
        <f aca="false">IF(E266="","",IFERROR(LEFT(E266,FIND("-",E266)-1),E266))</f>
        <v/>
      </c>
      <c r="S266" s="0" t="str">
        <f aca="false">IF(R266="","",IF(ISNUMBER(--MID(R266,1,1)),0,IF(ISNUMBER(--MID(R266,2,1)),1,IF(ISNUMBER(--MID(R266,3,1)),2,IF(ISNUMBER(--MID(R266,4,1)),3,MIN(LEN(R266),4))))))</f>
        <v/>
      </c>
      <c r="T266" s="0" t="str">
        <f aca="false">IF(E266="","",LEFT(R266,S266)&amp;REPT("0",4-S266)&amp;RIGHT("000"&amp;IFERROR(VALUE(MID(R266,S266+1,9)),0),3)&amp;RIGHT("0000"&amp;IFERROR(VALUE(MID(E266,FIND("-",E266)+1,9)),0),4))</f>
        <v/>
      </c>
      <c r="U266" s="0" t="str">
        <f aca="false">IF(I266=1,"K"&amp;RIGHT("00"&amp;A266,2)&amp;T266&amp;RIGHT("00000"&amp;ROW(),5),"")</f>
        <v/>
      </c>
      <c r="V266" s="0" t="str">
        <f aca="false">IF(U266="","",COUNTIFS($I$2:$I$1201,1,$U$2:$U$1201,"&lt;"&amp;U266)+1)</f>
        <v/>
      </c>
    </row>
    <row r="267" customFormat="false" ht="15" hidden="false" customHeight="false" outlineLevel="0" collapsed="false">
      <c r="A267" s="0" t="n">
        <v>5</v>
      </c>
      <c r="B267" s="0" t="n">
        <v>26</v>
      </c>
      <c r="C267" s="0" t="str">
        <f aca="false">TRIM(SUBSTITUTE(INDEX(LISTAS!$A$4:$T$63,B267,A267)&amp;"",CHAR(160)," "))</f>
        <v/>
      </c>
      <c r="D267" s="0" t="str">
        <f aca="false">IF(C267="","",TRIM(RIGHT(SUBSTITUTE(C267," ",REPT(" ",100)),100)))</f>
        <v/>
      </c>
      <c r="E267" s="0" t="str">
        <f aca="false">IF(D267="","",UPPER(SUBSTITUTE(SUBSTITUTE(D267,"(",""),")","")))</f>
        <v/>
      </c>
      <c r="F267" s="0" t="str">
        <f aca="false">IF(C267="","",LEFT(C267,FIND(" ",C267&amp;" ")-1))</f>
        <v/>
      </c>
      <c r="G267" s="0" t="n">
        <f aca="false">IFERROR(VALUE(SUBSTITUTE(LOWER(F267),"x","")),0)</f>
        <v>0</v>
      </c>
      <c r="H267" s="0" t="str">
        <f aca="false">IF(C267="","",TRIM(MID(C267,LEN(F267)+2,999)))</f>
        <v/>
      </c>
      <c r="I267" s="0" t="n">
        <f aca="false">IF(OR(C267="",LEFT(C267,2)="//"),0,IFERROR(IF(AND(G267&gt;0,G267=INT(G267),FIND("-",E267)&gt;1,NOT(EXACT(UPPER(LEFT(E267,1)),LOWER(LEFT(E267,1)))),ISNUMBER(VALUE(MID(E267,FIND("-",E267)+1,10)))),1,0),0))</f>
        <v>0</v>
      </c>
      <c r="J267" s="0" t="str">
        <f aca="false">IF(I267=1,TRIM(LEFT(H267,MAX(0,LEN(H267)-LEN(D267)))),"")</f>
        <v/>
      </c>
      <c r="K267" s="0" t="str">
        <f aca="false">INDEX($P$2:$P$21,A267)</f>
        <v>Deck 5</v>
      </c>
      <c r="L267" s="0" t="n">
        <f aca="false">IF(AND(C267&lt;&gt;"",LEFT(C267,2)&lt;&gt;"//",I267=0),1,0)</f>
        <v>0</v>
      </c>
      <c r="M267" s="0" t="str">
        <f aca="false">IF(I267=1,MAX(M$1:M266)+1,"")</f>
        <v/>
      </c>
      <c r="N267" s="0" t="str">
        <f aca="false">IFERROR(MATCH(ROW()-1,$V$2:$V$1201,0),"")</f>
        <v/>
      </c>
      <c r="R267" s="0" t="str">
        <f aca="false">IF(E267="","",IFERROR(LEFT(E267,FIND("-",E267)-1),E267))</f>
        <v/>
      </c>
      <c r="S267" s="0" t="str">
        <f aca="false">IF(R267="","",IF(ISNUMBER(--MID(R267,1,1)),0,IF(ISNUMBER(--MID(R267,2,1)),1,IF(ISNUMBER(--MID(R267,3,1)),2,IF(ISNUMBER(--MID(R267,4,1)),3,MIN(LEN(R267),4))))))</f>
        <v/>
      </c>
      <c r="T267" s="0" t="str">
        <f aca="false">IF(E267="","",LEFT(R267,S267)&amp;REPT("0",4-S267)&amp;RIGHT("000"&amp;IFERROR(VALUE(MID(R267,S267+1,9)),0),3)&amp;RIGHT("0000"&amp;IFERROR(VALUE(MID(E267,FIND("-",E267)+1,9)),0),4))</f>
        <v/>
      </c>
      <c r="U267" s="0" t="str">
        <f aca="false">IF(I267=1,"K"&amp;RIGHT("00"&amp;A267,2)&amp;T267&amp;RIGHT("00000"&amp;ROW(),5),"")</f>
        <v/>
      </c>
      <c r="V267" s="0" t="str">
        <f aca="false">IF(U267="","",COUNTIFS($I$2:$I$1201,1,$U$2:$U$1201,"&lt;"&amp;U267)+1)</f>
        <v/>
      </c>
    </row>
    <row r="268" customFormat="false" ht="15" hidden="false" customHeight="false" outlineLevel="0" collapsed="false">
      <c r="A268" s="0" t="n">
        <v>5</v>
      </c>
      <c r="B268" s="0" t="n">
        <v>27</v>
      </c>
      <c r="C268" s="0" t="str">
        <f aca="false">TRIM(SUBSTITUTE(INDEX(LISTAS!$A$4:$T$63,B268,A268)&amp;"",CHAR(160)," "))</f>
        <v/>
      </c>
      <c r="D268" s="0" t="str">
        <f aca="false">IF(C268="","",TRIM(RIGHT(SUBSTITUTE(C268," ",REPT(" ",100)),100)))</f>
        <v/>
      </c>
      <c r="E268" s="0" t="str">
        <f aca="false">IF(D268="","",UPPER(SUBSTITUTE(SUBSTITUTE(D268,"(",""),")","")))</f>
        <v/>
      </c>
      <c r="F268" s="0" t="str">
        <f aca="false">IF(C268="","",LEFT(C268,FIND(" ",C268&amp;" ")-1))</f>
        <v/>
      </c>
      <c r="G268" s="0" t="n">
        <f aca="false">IFERROR(VALUE(SUBSTITUTE(LOWER(F268),"x","")),0)</f>
        <v>0</v>
      </c>
      <c r="H268" s="0" t="str">
        <f aca="false">IF(C268="","",TRIM(MID(C268,LEN(F268)+2,999)))</f>
        <v/>
      </c>
      <c r="I268" s="0" t="n">
        <f aca="false">IF(OR(C268="",LEFT(C268,2)="//"),0,IFERROR(IF(AND(G268&gt;0,G268=INT(G268),FIND("-",E268)&gt;1,NOT(EXACT(UPPER(LEFT(E268,1)),LOWER(LEFT(E268,1)))),ISNUMBER(VALUE(MID(E268,FIND("-",E268)+1,10)))),1,0),0))</f>
        <v>0</v>
      </c>
      <c r="J268" s="0" t="str">
        <f aca="false">IF(I268=1,TRIM(LEFT(H268,MAX(0,LEN(H268)-LEN(D268)))),"")</f>
        <v/>
      </c>
      <c r="K268" s="0" t="str">
        <f aca="false">INDEX($P$2:$P$21,A268)</f>
        <v>Deck 5</v>
      </c>
      <c r="L268" s="0" t="n">
        <f aca="false">IF(AND(C268&lt;&gt;"",LEFT(C268,2)&lt;&gt;"//",I268=0),1,0)</f>
        <v>0</v>
      </c>
      <c r="M268" s="0" t="str">
        <f aca="false">IF(I268=1,MAX(M$1:M267)+1,"")</f>
        <v/>
      </c>
      <c r="N268" s="0" t="str">
        <f aca="false">IFERROR(MATCH(ROW()-1,$V$2:$V$1201,0),"")</f>
        <v/>
      </c>
      <c r="R268" s="0" t="str">
        <f aca="false">IF(E268="","",IFERROR(LEFT(E268,FIND("-",E268)-1),E268))</f>
        <v/>
      </c>
      <c r="S268" s="0" t="str">
        <f aca="false">IF(R268="","",IF(ISNUMBER(--MID(R268,1,1)),0,IF(ISNUMBER(--MID(R268,2,1)),1,IF(ISNUMBER(--MID(R268,3,1)),2,IF(ISNUMBER(--MID(R268,4,1)),3,MIN(LEN(R268),4))))))</f>
        <v/>
      </c>
      <c r="T268" s="0" t="str">
        <f aca="false">IF(E268="","",LEFT(R268,S268)&amp;REPT("0",4-S268)&amp;RIGHT("000"&amp;IFERROR(VALUE(MID(R268,S268+1,9)),0),3)&amp;RIGHT("0000"&amp;IFERROR(VALUE(MID(E268,FIND("-",E268)+1,9)),0),4))</f>
        <v/>
      </c>
      <c r="U268" s="0" t="str">
        <f aca="false">IF(I268=1,"K"&amp;RIGHT("00"&amp;A268,2)&amp;T268&amp;RIGHT("00000"&amp;ROW(),5),"")</f>
        <v/>
      </c>
      <c r="V268" s="0" t="str">
        <f aca="false">IF(U268="","",COUNTIFS($I$2:$I$1201,1,$U$2:$U$1201,"&lt;"&amp;U268)+1)</f>
        <v/>
      </c>
    </row>
    <row r="269" customFormat="false" ht="15" hidden="false" customHeight="false" outlineLevel="0" collapsed="false">
      <c r="A269" s="0" t="n">
        <v>5</v>
      </c>
      <c r="B269" s="0" t="n">
        <v>28</v>
      </c>
      <c r="C269" s="0" t="str">
        <f aca="false">TRIM(SUBSTITUTE(INDEX(LISTAS!$A$4:$T$63,B269,A269)&amp;"",CHAR(160)," "))</f>
        <v/>
      </c>
      <c r="D269" s="0" t="str">
        <f aca="false">IF(C269="","",TRIM(RIGHT(SUBSTITUTE(C269," ",REPT(" ",100)),100)))</f>
        <v/>
      </c>
      <c r="E269" s="0" t="str">
        <f aca="false">IF(D269="","",UPPER(SUBSTITUTE(SUBSTITUTE(D269,"(",""),")","")))</f>
        <v/>
      </c>
      <c r="F269" s="0" t="str">
        <f aca="false">IF(C269="","",LEFT(C269,FIND(" ",C269&amp;" ")-1))</f>
        <v/>
      </c>
      <c r="G269" s="0" t="n">
        <f aca="false">IFERROR(VALUE(SUBSTITUTE(LOWER(F269),"x","")),0)</f>
        <v>0</v>
      </c>
      <c r="H269" s="0" t="str">
        <f aca="false">IF(C269="","",TRIM(MID(C269,LEN(F269)+2,999)))</f>
        <v/>
      </c>
      <c r="I269" s="0" t="n">
        <f aca="false">IF(OR(C269="",LEFT(C269,2)="//"),0,IFERROR(IF(AND(G269&gt;0,G269=INT(G269),FIND("-",E269)&gt;1,NOT(EXACT(UPPER(LEFT(E269,1)),LOWER(LEFT(E269,1)))),ISNUMBER(VALUE(MID(E269,FIND("-",E269)+1,10)))),1,0),0))</f>
        <v>0</v>
      </c>
      <c r="J269" s="0" t="str">
        <f aca="false">IF(I269=1,TRIM(LEFT(H269,MAX(0,LEN(H269)-LEN(D269)))),"")</f>
        <v/>
      </c>
      <c r="K269" s="0" t="str">
        <f aca="false">INDEX($P$2:$P$21,A269)</f>
        <v>Deck 5</v>
      </c>
      <c r="L269" s="0" t="n">
        <f aca="false">IF(AND(C269&lt;&gt;"",LEFT(C269,2)&lt;&gt;"//",I269=0),1,0)</f>
        <v>0</v>
      </c>
      <c r="M269" s="0" t="str">
        <f aca="false">IF(I269=1,MAX(M$1:M268)+1,"")</f>
        <v/>
      </c>
      <c r="N269" s="0" t="str">
        <f aca="false">IFERROR(MATCH(ROW()-1,$V$2:$V$1201,0),"")</f>
        <v/>
      </c>
      <c r="R269" s="0" t="str">
        <f aca="false">IF(E269="","",IFERROR(LEFT(E269,FIND("-",E269)-1),E269))</f>
        <v/>
      </c>
      <c r="S269" s="0" t="str">
        <f aca="false">IF(R269="","",IF(ISNUMBER(--MID(R269,1,1)),0,IF(ISNUMBER(--MID(R269,2,1)),1,IF(ISNUMBER(--MID(R269,3,1)),2,IF(ISNUMBER(--MID(R269,4,1)),3,MIN(LEN(R269),4))))))</f>
        <v/>
      </c>
      <c r="T269" s="0" t="str">
        <f aca="false">IF(E269="","",LEFT(R269,S269)&amp;REPT("0",4-S269)&amp;RIGHT("000"&amp;IFERROR(VALUE(MID(R269,S269+1,9)),0),3)&amp;RIGHT("0000"&amp;IFERROR(VALUE(MID(E269,FIND("-",E269)+1,9)),0),4))</f>
        <v/>
      </c>
      <c r="U269" s="0" t="str">
        <f aca="false">IF(I269=1,"K"&amp;RIGHT("00"&amp;A269,2)&amp;T269&amp;RIGHT("00000"&amp;ROW(),5),"")</f>
        <v/>
      </c>
      <c r="V269" s="0" t="str">
        <f aca="false">IF(U269="","",COUNTIFS($I$2:$I$1201,1,$U$2:$U$1201,"&lt;"&amp;U269)+1)</f>
        <v/>
      </c>
    </row>
    <row r="270" customFormat="false" ht="15" hidden="false" customHeight="false" outlineLevel="0" collapsed="false">
      <c r="A270" s="0" t="n">
        <v>5</v>
      </c>
      <c r="B270" s="0" t="n">
        <v>29</v>
      </c>
      <c r="C270" s="0" t="str">
        <f aca="false">TRIM(SUBSTITUTE(INDEX(LISTAS!$A$4:$T$63,B270,A270)&amp;"",CHAR(160)," "))</f>
        <v/>
      </c>
      <c r="D270" s="0" t="str">
        <f aca="false">IF(C270="","",TRIM(RIGHT(SUBSTITUTE(C270," ",REPT(" ",100)),100)))</f>
        <v/>
      </c>
      <c r="E270" s="0" t="str">
        <f aca="false">IF(D270="","",UPPER(SUBSTITUTE(SUBSTITUTE(D270,"(",""),")","")))</f>
        <v/>
      </c>
      <c r="F270" s="0" t="str">
        <f aca="false">IF(C270="","",LEFT(C270,FIND(" ",C270&amp;" ")-1))</f>
        <v/>
      </c>
      <c r="G270" s="0" t="n">
        <f aca="false">IFERROR(VALUE(SUBSTITUTE(LOWER(F270),"x","")),0)</f>
        <v>0</v>
      </c>
      <c r="H270" s="0" t="str">
        <f aca="false">IF(C270="","",TRIM(MID(C270,LEN(F270)+2,999)))</f>
        <v/>
      </c>
      <c r="I270" s="0" t="n">
        <f aca="false">IF(OR(C270="",LEFT(C270,2)="//"),0,IFERROR(IF(AND(G270&gt;0,G270=INT(G270),FIND("-",E270)&gt;1,NOT(EXACT(UPPER(LEFT(E270,1)),LOWER(LEFT(E270,1)))),ISNUMBER(VALUE(MID(E270,FIND("-",E270)+1,10)))),1,0),0))</f>
        <v>0</v>
      </c>
      <c r="J270" s="0" t="str">
        <f aca="false">IF(I270=1,TRIM(LEFT(H270,MAX(0,LEN(H270)-LEN(D270)))),"")</f>
        <v/>
      </c>
      <c r="K270" s="0" t="str">
        <f aca="false">INDEX($P$2:$P$21,A270)</f>
        <v>Deck 5</v>
      </c>
      <c r="L270" s="0" t="n">
        <f aca="false">IF(AND(C270&lt;&gt;"",LEFT(C270,2)&lt;&gt;"//",I270=0),1,0)</f>
        <v>0</v>
      </c>
      <c r="M270" s="0" t="str">
        <f aca="false">IF(I270=1,MAX(M$1:M269)+1,"")</f>
        <v/>
      </c>
      <c r="N270" s="0" t="str">
        <f aca="false">IFERROR(MATCH(ROW()-1,$V$2:$V$1201,0),"")</f>
        <v/>
      </c>
      <c r="R270" s="0" t="str">
        <f aca="false">IF(E270="","",IFERROR(LEFT(E270,FIND("-",E270)-1),E270))</f>
        <v/>
      </c>
      <c r="S270" s="0" t="str">
        <f aca="false">IF(R270="","",IF(ISNUMBER(--MID(R270,1,1)),0,IF(ISNUMBER(--MID(R270,2,1)),1,IF(ISNUMBER(--MID(R270,3,1)),2,IF(ISNUMBER(--MID(R270,4,1)),3,MIN(LEN(R270),4))))))</f>
        <v/>
      </c>
      <c r="T270" s="0" t="str">
        <f aca="false">IF(E270="","",LEFT(R270,S270)&amp;REPT("0",4-S270)&amp;RIGHT("000"&amp;IFERROR(VALUE(MID(R270,S270+1,9)),0),3)&amp;RIGHT("0000"&amp;IFERROR(VALUE(MID(E270,FIND("-",E270)+1,9)),0),4))</f>
        <v/>
      </c>
      <c r="U270" s="0" t="str">
        <f aca="false">IF(I270=1,"K"&amp;RIGHT("00"&amp;A270,2)&amp;T270&amp;RIGHT("00000"&amp;ROW(),5),"")</f>
        <v/>
      </c>
      <c r="V270" s="0" t="str">
        <f aca="false">IF(U270="","",COUNTIFS($I$2:$I$1201,1,$U$2:$U$1201,"&lt;"&amp;U270)+1)</f>
        <v/>
      </c>
    </row>
    <row r="271" customFormat="false" ht="15" hidden="false" customHeight="false" outlineLevel="0" collapsed="false">
      <c r="A271" s="0" t="n">
        <v>5</v>
      </c>
      <c r="B271" s="0" t="n">
        <v>30</v>
      </c>
      <c r="C271" s="0" t="str">
        <f aca="false">TRIM(SUBSTITUTE(INDEX(LISTAS!$A$4:$T$63,B271,A271)&amp;"",CHAR(160)," "))</f>
        <v/>
      </c>
      <c r="D271" s="0" t="str">
        <f aca="false">IF(C271="","",TRIM(RIGHT(SUBSTITUTE(C271," ",REPT(" ",100)),100)))</f>
        <v/>
      </c>
      <c r="E271" s="0" t="str">
        <f aca="false">IF(D271="","",UPPER(SUBSTITUTE(SUBSTITUTE(D271,"(",""),")","")))</f>
        <v/>
      </c>
      <c r="F271" s="0" t="str">
        <f aca="false">IF(C271="","",LEFT(C271,FIND(" ",C271&amp;" ")-1))</f>
        <v/>
      </c>
      <c r="G271" s="0" t="n">
        <f aca="false">IFERROR(VALUE(SUBSTITUTE(LOWER(F271),"x","")),0)</f>
        <v>0</v>
      </c>
      <c r="H271" s="0" t="str">
        <f aca="false">IF(C271="","",TRIM(MID(C271,LEN(F271)+2,999)))</f>
        <v/>
      </c>
      <c r="I271" s="0" t="n">
        <f aca="false">IF(OR(C271="",LEFT(C271,2)="//"),0,IFERROR(IF(AND(G271&gt;0,G271=INT(G271),FIND("-",E271)&gt;1,NOT(EXACT(UPPER(LEFT(E271,1)),LOWER(LEFT(E271,1)))),ISNUMBER(VALUE(MID(E271,FIND("-",E271)+1,10)))),1,0),0))</f>
        <v>0</v>
      </c>
      <c r="J271" s="0" t="str">
        <f aca="false">IF(I271=1,TRIM(LEFT(H271,MAX(0,LEN(H271)-LEN(D271)))),"")</f>
        <v/>
      </c>
      <c r="K271" s="0" t="str">
        <f aca="false">INDEX($P$2:$P$21,A271)</f>
        <v>Deck 5</v>
      </c>
      <c r="L271" s="0" t="n">
        <f aca="false">IF(AND(C271&lt;&gt;"",LEFT(C271,2)&lt;&gt;"//",I271=0),1,0)</f>
        <v>0</v>
      </c>
      <c r="M271" s="0" t="str">
        <f aca="false">IF(I271=1,MAX(M$1:M270)+1,"")</f>
        <v/>
      </c>
      <c r="N271" s="0" t="str">
        <f aca="false">IFERROR(MATCH(ROW()-1,$V$2:$V$1201,0),"")</f>
        <v/>
      </c>
      <c r="R271" s="0" t="str">
        <f aca="false">IF(E271="","",IFERROR(LEFT(E271,FIND("-",E271)-1),E271))</f>
        <v/>
      </c>
      <c r="S271" s="0" t="str">
        <f aca="false">IF(R271="","",IF(ISNUMBER(--MID(R271,1,1)),0,IF(ISNUMBER(--MID(R271,2,1)),1,IF(ISNUMBER(--MID(R271,3,1)),2,IF(ISNUMBER(--MID(R271,4,1)),3,MIN(LEN(R271),4))))))</f>
        <v/>
      </c>
      <c r="T271" s="0" t="str">
        <f aca="false">IF(E271="","",LEFT(R271,S271)&amp;REPT("0",4-S271)&amp;RIGHT("000"&amp;IFERROR(VALUE(MID(R271,S271+1,9)),0),3)&amp;RIGHT("0000"&amp;IFERROR(VALUE(MID(E271,FIND("-",E271)+1,9)),0),4))</f>
        <v/>
      </c>
      <c r="U271" s="0" t="str">
        <f aca="false">IF(I271=1,"K"&amp;RIGHT("00"&amp;A271,2)&amp;T271&amp;RIGHT("00000"&amp;ROW(),5),"")</f>
        <v/>
      </c>
      <c r="V271" s="0" t="str">
        <f aca="false">IF(U271="","",COUNTIFS($I$2:$I$1201,1,$U$2:$U$1201,"&lt;"&amp;U271)+1)</f>
        <v/>
      </c>
    </row>
    <row r="272" customFormat="false" ht="15" hidden="false" customHeight="false" outlineLevel="0" collapsed="false">
      <c r="A272" s="0" t="n">
        <v>5</v>
      </c>
      <c r="B272" s="0" t="n">
        <v>31</v>
      </c>
      <c r="C272" s="0" t="str">
        <f aca="false">TRIM(SUBSTITUTE(INDEX(LISTAS!$A$4:$T$63,B272,A272)&amp;"",CHAR(160)," "))</f>
        <v/>
      </c>
      <c r="D272" s="0" t="str">
        <f aca="false">IF(C272="","",TRIM(RIGHT(SUBSTITUTE(C272," ",REPT(" ",100)),100)))</f>
        <v/>
      </c>
      <c r="E272" s="0" t="str">
        <f aca="false">IF(D272="","",UPPER(SUBSTITUTE(SUBSTITUTE(D272,"(",""),")","")))</f>
        <v/>
      </c>
      <c r="F272" s="0" t="str">
        <f aca="false">IF(C272="","",LEFT(C272,FIND(" ",C272&amp;" ")-1))</f>
        <v/>
      </c>
      <c r="G272" s="0" t="n">
        <f aca="false">IFERROR(VALUE(SUBSTITUTE(LOWER(F272),"x","")),0)</f>
        <v>0</v>
      </c>
      <c r="H272" s="0" t="str">
        <f aca="false">IF(C272="","",TRIM(MID(C272,LEN(F272)+2,999)))</f>
        <v/>
      </c>
      <c r="I272" s="0" t="n">
        <f aca="false">IF(OR(C272="",LEFT(C272,2)="//"),0,IFERROR(IF(AND(G272&gt;0,G272=INT(G272),FIND("-",E272)&gt;1,NOT(EXACT(UPPER(LEFT(E272,1)),LOWER(LEFT(E272,1)))),ISNUMBER(VALUE(MID(E272,FIND("-",E272)+1,10)))),1,0),0))</f>
        <v>0</v>
      </c>
      <c r="J272" s="0" t="str">
        <f aca="false">IF(I272=1,TRIM(LEFT(H272,MAX(0,LEN(H272)-LEN(D272)))),"")</f>
        <v/>
      </c>
      <c r="K272" s="0" t="str">
        <f aca="false">INDEX($P$2:$P$21,A272)</f>
        <v>Deck 5</v>
      </c>
      <c r="L272" s="0" t="n">
        <f aca="false">IF(AND(C272&lt;&gt;"",LEFT(C272,2)&lt;&gt;"//",I272=0),1,0)</f>
        <v>0</v>
      </c>
      <c r="M272" s="0" t="str">
        <f aca="false">IF(I272=1,MAX(M$1:M271)+1,"")</f>
        <v/>
      </c>
      <c r="N272" s="0" t="str">
        <f aca="false">IFERROR(MATCH(ROW()-1,$V$2:$V$1201,0),"")</f>
        <v/>
      </c>
      <c r="R272" s="0" t="str">
        <f aca="false">IF(E272="","",IFERROR(LEFT(E272,FIND("-",E272)-1),E272))</f>
        <v/>
      </c>
      <c r="S272" s="0" t="str">
        <f aca="false">IF(R272="","",IF(ISNUMBER(--MID(R272,1,1)),0,IF(ISNUMBER(--MID(R272,2,1)),1,IF(ISNUMBER(--MID(R272,3,1)),2,IF(ISNUMBER(--MID(R272,4,1)),3,MIN(LEN(R272),4))))))</f>
        <v/>
      </c>
      <c r="T272" s="0" t="str">
        <f aca="false">IF(E272="","",LEFT(R272,S272)&amp;REPT("0",4-S272)&amp;RIGHT("000"&amp;IFERROR(VALUE(MID(R272,S272+1,9)),0),3)&amp;RIGHT("0000"&amp;IFERROR(VALUE(MID(E272,FIND("-",E272)+1,9)),0),4))</f>
        <v/>
      </c>
      <c r="U272" s="0" t="str">
        <f aca="false">IF(I272=1,"K"&amp;RIGHT("00"&amp;A272,2)&amp;T272&amp;RIGHT("00000"&amp;ROW(),5),"")</f>
        <v/>
      </c>
      <c r="V272" s="0" t="str">
        <f aca="false">IF(U272="","",COUNTIFS($I$2:$I$1201,1,$U$2:$U$1201,"&lt;"&amp;U272)+1)</f>
        <v/>
      </c>
    </row>
    <row r="273" customFormat="false" ht="15" hidden="false" customHeight="false" outlineLevel="0" collapsed="false">
      <c r="A273" s="0" t="n">
        <v>5</v>
      </c>
      <c r="B273" s="0" t="n">
        <v>32</v>
      </c>
      <c r="C273" s="0" t="str">
        <f aca="false">TRIM(SUBSTITUTE(INDEX(LISTAS!$A$4:$T$63,B273,A273)&amp;"",CHAR(160)," "))</f>
        <v/>
      </c>
      <c r="D273" s="0" t="str">
        <f aca="false">IF(C273="","",TRIM(RIGHT(SUBSTITUTE(C273," ",REPT(" ",100)),100)))</f>
        <v/>
      </c>
      <c r="E273" s="0" t="str">
        <f aca="false">IF(D273="","",UPPER(SUBSTITUTE(SUBSTITUTE(D273,"(",""),")","")))</f>
        <v/>
      </c>
      <c r="F273" s="0" t="str">
        <f aca="false">IF(C273="","",LEFT(C273,FIND(" ",C273&amp;" ")-1))</f>
        <v/>
      </c>
      <c r="G273" s="0" t="n">
        <f aca="false">IFERROR(VALUE(SUBSTITUTE(LOWER(F273),"x","")),0)</f>
        <v>0</v>
      </c>
      <c r="H273" s="0" t="str">
        <f aca="false">IF(C273="","",TRIM(MID(C273,LEN(F273)+2,999)))</f>
        <v/>
      </c>
      <c r="I273" s="0" t="n">
        <f aca="false">IF(OR(C273="",LEFT(C273,2)="//"),0,IFERROR(IF(AND(G273&gt;0,G273=INT(G273),FIND("-",E273)&gt;1,NOT(EXACT(UPPER(LEFT(E273,1)),LOWER(LEFT(E273,1)))),ISNUMBER(VALUE(MID(E273,FIND("-",E273)+1,10)))),1,0),0))</f>
        <v>0</v>
      </c>
      <c r="J273" s="0" t="str">
        <f aca="false">IF(I273=1,TRIM(LEFT(H273,MAX(0,LEN(H273)-LEN(D273)))),"")</f>
        <v/>
      </c>
      <c r="K273" s="0" t="str">
        <f aca="false">INDEX($P$2:$P$21,A273)</f>
        <v>Deck 5</v>
      </c>
      <c r="L273" s="0" t="n">
        <f aca="false">IF(AND(C273&lt;&gt;"",LEFT(C273,2)&lt;&gt;"//",I273=0),1,0)</f>
        <v>0</v>
      </c>
      <c r="M273" s="0" t="str">
        <f aca="false">IF(I273=1,MAX(M$1:M272)+1,"")</f>
        <v/>
      </c>
      <c r="N273" s="0" t="str">
        <f aca="false">IFERROR(MATCH(ROW()-1,$V$2:$V$1201,0),"")</f>
        <v/>
      </c>
      <c r="R273" s="0" t="str">
        <f aca="false">IF(E273="","",IFERROR(LEFT(E273,FIND("-",E273)-1),E273))</f>
        <v/>
      </c>
      <c r="S273" s="0" t="str">
        <f aca="false">IF(R273="","",IF(ISNUMBER(--MID(R273,1,1)),0,IF(ISNUMBER(--MID(R273,2,1)),1,IF(ISNUMBER(--MID(R273,3,1)),2,IF(ISNUMBER(--MID(R273,4,1)),3,MIN(LEN(R273),4))))))</f>
        <v/>
      </c>
      <c r="T273" s="0" t="str">
        <f aca="false">IF(E273="","",LEFT(R273,S273)&amp;REPT("0",4-S273)&amp;RIGHT("000"&amp;IFERROR(VALUE(MID(R273,S273+1,9)),0),3)&amp;RIGHT("0000"&amp;IFERROR(VALUE(MID(E273,FIND("-",E273)+1,9)),0),4))</f>
        <v/>
      </c>
      <c r="U273" s="0" t="str">
        <f aca="false">IF(I273=1,"K"&amp;RIGHT("00"&amp;A273,2)&amp;T273&amp;RIGHT("00000"&amp;ROW(),5),"")</f>
        <v/>
      </c>
      <c r="V273" s="0" t="str">
        <f aca="false">IF(U273="","",COUNTIFS($I$2:$I$1201,1,$U$2:$U$1201,"&lt;"&amp;U273)+1)</f>
        <v/>
      </c>
    </row>
    <row r="274" customFormat="false" ht="15" hidden="false" customHeight="false" outlineLevel="0" collapsed="false">
      <c r="A274" s="0" t="n">
        <v>5</v>
      </c>
      <c r="B274" s="0" t="n">
        <v>33</v>
      </c>
      <c r="C274" s="0" t="str">
        <f aca="false">TRIM(SUBSTITUTE(INDEX(LISTAS!$A$4:$T$63,B274,A274)&amp;"",CHAR(160)," "))</f>
        <v/>
      </c>
      <c r="D274" s="0" t="str">
        <f aca="false">IF(C274="","",TRIM(RIGHT(SUBSTITUTE(C274," ",REPT(" ",100)),100)))</f>
        <v/>
      </c>
      <c r="E274" s="0" t="str">
        <f aca="false">IF(D274="","",UPPER(SUBSTITUTE(SUBSTITUTE(D274,"(",""),")","")))</f>
        <v/>
      </c>
      <c r="F274" s="0" t="str">
        <f aca="false">IF(C274="","",LEFT(C274,FIND(" ",C274&amp;" ")-1))</f>
        <v/>
      </c>
      <c r="G274" s="0" t="n">
        <f aca="false">IFERROR(VALUE(SUBSTITUTE(LOWER(F274),"x","")),0)</f>
        <v>0</v>
      </c>
      <c r="H274" s="0" t="str">
        <f aca="false">IF(C274="","",TRIM(MID(C274,LEN(F274)+2,999)))</f>
        <v/>
      </c>
      <c r="I274" s="0" t="n">
        <f aca="false">IF(OR(C274="",LEFT(C274,2)="//"),0,IFERROR(IF(AND(G274&gt;0,G274=INT(G274),FIND("-",E274)&gt;1,NOT(EXACT(UPPER(LEFT(E274,1)),LOWER(LEFT(E274,1)))),ISNUMBER(VALUE(MID(E274,FIND("-",E274)+1,10)))),1,0),0))</f>
        <v>0</v>
      </c>
      <c r="J274" s="0" t="str">
        <f aca="false">IF(I274=1,TRIM(LEFT(H274,MAX(0,LEN(H274)-LEN(D274)))),"")</f>
        <v/>
      </c>
      <c r="K274" s="0" t="str">
        <f aca="false">INDEX($P$2:$P$21,A274)</f>
        <v>Deck 5</v>
      </c>
      <c r="L274" s="0" t="n">
        <f aca="false">IF(AND(C274&lt;&gt;"",LEFT(C274,2)&lt;&gt;"//",I274=0),1,0)</f>
        <v>0</v>
      </c>
      <c r="M274" s="0" t="str">
        <f aca="false">IF(I274=1,MAX(M$1:M273)+1,"")</f>
        <v/>
      </c>
      <c r="N274" s="0" t="str">
        <f aca="false">IFERROR(MATCH(ROW()-1,$V$2:$V$1201,0),"")</f>
        <v/>
      </c>
      <c r="R274" s="0" t="str">
        <f aca="false">IF(E274="","",IFERROR(LEFT(E274,FIND("-",E274)-1),E274))</f>
        <v/>
      </c>
      <c r="S274" s="0" t="str">
        <f aca="false">IF(R274="","",IF(ISNUMBER(--MID(R274,1,1)),0,IF(ISNUMBER(--MID(R274,2,1)),1,IF(ISNUMBER(--MID(R274,3,1)),2,IF(ISNUMBER(--MID(R274,4,1)),3,MIN(LEN(R274),4))))))</f>
        <v/>
      </c>
      <c r="T274" s="0" t="str">
        <f aca="false">IF(E274="","",LEFT(R274,S274)&amp;REPT("0",4-S274)&amp;RIGHT("000"&amp;IFERROR(VALUE(MID(R274,S274+1,9)),0),3)&amp;RIGHT("0000"&amp;IFERROR(VALUE(MID(E274,FIND("-",E274)+1,9)),0),4))</f>
        <v/>
      </c>
      <c r="U274" s="0" t="str">
        <f aca="false">IF(I274=1,"K"&amp;RIGHT("00"&amp;A274,2)&amp;T274&amp;RIGHT("00000"&amp;ROW(),5),"")</f>
        <v/>
      </c>
      <c r="V274" s="0" t="str">
        <f aca="false">IF(U274="","",COUNTIFS($I$2:$I$1201,1,$U$2:$U$1201,"&lt;"&amp;U274)+1)</f>
        <v/>
      </c>
    </row>
    <row r="275" customFormat="false" ht="15" hidden="false" customHeight="false" outlineLevel="0" collapsed="false">
      <c r="A275" s="0" t="n">
        <v>5</v>
      </c>
      <c r="B275" s="0" t="n">
        <v>34</v>
      </c>
      <c r="C275" s="0" t="str">
        <f aca="false">TRIM(SUBSTITUTE(INDEX(LISTAS!$A$4:$T$63,B275,A275)&amp;"",CHAR(160)," "))</f>
        <v/>
      </c>
      <c r="D275" s="0" t="str">
        <f aca="false">IF(C275="","",TRIM(RIGHT(SUBSTITUTE(C275," ",REPT(" ",100)),100)))</f>
        <v/>
      </c>
      <c r="E275" s="0" t="str">
        <f aca="false">IF(D275="","",UPPER(SUBSTITUTE(SUBSTITUTE(D275,"(",""),")","")))</f>
        <v/>
      </c>
      <c r="F275" s="0" t="str">
        <f aca="false">IF(C275="","",LEFT(C275,FIND(" ",C275&amp;" ")-1))</f>
        <v/>
      </c>
      <c r="G275" s="0" t="n">
        <f aca="false">IFERROR(VALUE(SUBSTITUTE(LOWER(F275),"x","")),0)</f>
        <v>0</v>
      </c>
      <c r="H275" s="0" t="str">
        <f aca="false">IF(C275="","",TRIM(MID(C275,LEN(F275)+2,999)))</f>
        <v/>
      </c>
      <c r="I275" s="0" t="n">
        <f aca="false">IF(OR(C275="",LEFT(C275,2)="//"),0,IFERROR(IF(AND(G275&gt;0,G275=INT(G275),FIND("-",E275)&gt;1,NOT(EXACT(UPPER(LEFT(E275,1)),LOWER(LEFT(E275,1)))),ISNUMBER(VALUE(MID(E275,FIND("-",E275)+1,10)))),1,0),0))</f>
        <v>0</v>
      </c>
      <c r="J275" s="0" t="str">
        <f aca="false">IF(I275=1,TRIM(LEFT(H275,MAX(0,LEN(H275)-LEN(D275)))),"")</f>
        <v/>
      </c>
      <c r="K275" s="0" t="str">
        <f aca="false">INDEX($P$2:$P$21,A275)</f>
        <v>Deck 5</v>
      </c>
      <c r="L275" s="0" t="n">
        <f aca="false">IF(AND(C275&lt;&gt;"",LEFT(C275,2)&lt;&gt;"//",I275=0),1,0)</f>
        <v>0</v>
      </c>
      <c r="M275" s="0" t="str">
        <f aca="false">IF(I275=1,MAX(M$1:M274)+1,"")</f>
        <v/>
      </c>
      <c r="N275" s="0" t="str">
        <f aca="false">IFERROR(MATCH(ROW()-1,$V$2:$V$1201,0),"")</f>
        <v/>
      </c>
      <c r="R275" s="0" t="str">
        <f aca="false">IF(E275="","",IFERROR(LEFT(E275,FIND("-",E275)-1),E275))</f>
        <v/>
      </c>
      <c r="S275" s="0" t="str">
        <f aca="false">IF(R275="","",IF(ISNUMBER(--MID(R275,1,1)),0,IF(ISNUMBER(--MID(R275,2,1)),1,IF(ISNUMBER(--MID(R275,3,1)),2,IF(ISNUMBER(--MID(R275,4,1)),3,MIN(LEN(R275),4))))))</f>
        <v/>
      </c>
      <c r="T275" s="0" t="str">
        <f aca="false">IF(E275="","",LEFT(R275,S275)&amp;REPT("0",4-S275)&amp;RIGHT("000"&amp;IFERROR(VALUE(MID(R275,S275+1,9)),0),3)&amp;RIGHT("0000"&amp;IFERROR(VALUE(MID(E275,FIND("-",E275)+1,9)),0),4))</f>
        <v/>
      </c>
      <c r="U275" s="0" t="str">
        <f aca="false">IF(I275=1,"K"&amp;RIGHT("00"&amp;A275,2)&amp;T275&amp;RIGHT("00000"&amp;ROW(),5),"")</f>
        <v/>
      </c>
      <c r="V275" s="0" t="str">
        <f aca="false">IF(U275="","",COUNTIFS($I$2:$I$1201,1,$U$2:$U$1201,"&lt;"&amp;U275)+1)</f>
        <v/>
      </c>
    </row>
    <row r="276" customFormat="false" ht="15" hidden="false" customHeight="false" outlineLevel="0" collapsed="false">
      <c r="A276" s="0" t="n">
        <v>5</v>
      </c>
      <c r="B276" s="0" t="n">
        <v>35</v>
      </c>
      <c r="C276" s="0" t="str">
        <f aca="false">TRIM(SUBSTITUTE(INDEX(LISTAS!$A$4:$T$63,B276,A276)&amp;"",CHAR(160)," "))</f>
        <v/>
      </c>
      <c r="D276" s="0" t="str">
        <f aca="false">IF(C276="","",TRIM(RIGHT(SUBSTITUTE(C276," ",REPT(" ",100)),100)))</f>
        <v/>
      </c>
      <c r="E276" s="0" t="str">
        <f aca="false">IF(D276="","",UPPER(SUBSTITUTE(SUBSTITUTE(D276,"(",""),")","")))</f>
        <v/>
      </c>
      <c r="F276" s="0" t="str">
        <f aca="false">IF(C276="","",LEFT(C276,FIND(" ",C276&amp;" ")-1))</f>
        <v/>
      </c>
      <c r="G276" s="0" t="n">
        <f aca="false">IFERROR(VALUE(SUBSTITUTE(LOWER(F276),"x","")),0)</f>
        <v>0</v>
      </c>
      <c r="H276" s="0" t="str">
        <f aca="false">IF(C276="","",TRIM(MID(C276,LEN(F276)+2,999)))</f>
        <v/>
      </c>
      <c r="I276" s="0" t="n">
        <f aca="false">IF(OR(C276="",LEFT(C276,2)="//"),0,IFERROR(IF(AND(G276&gt;0,G276=INT(G276),FIND("-",E276)&gt;1,NOT(EXACT(UPPER(LEFT(E276,1)),LOWER(LEFT(E276,1)))),ISNUMBER(VALUE(MID(E276,FIND("-",E276)+1,10)))),1,0),0))</f>
        <v>0</v>
      </c>
      <c r="J276" s="0" t="str">
        <f aca="false">IF(I276=1,TRIM(LEFT(H276,MAX(0,LEN(H276)-LEN(D276)))),"")</f>
        <v/>
      </c>
      <c r="K276" s="0" t="str">
        <f aca="false">INDEX($P$2:$P$21,A276)</f>
        <v>Deck 5</v>
      </c>
      <c r="L276" s="0" t="n">
        <f aca="false">IF(AND(C276&lt;&gt;"",LEFT(C276,2)&lt;&gt;"//",I276=0),1,0)</f>
        <v>0</v>
      </c>
      <c r="M276" s="0" t="str">
        <f aca="false">IF(I276=1,MAX(M$1:M275)+1,"")</f>
        <v/>
      </c>
      <c r="N276" s="0" t="str">
        <f aca="false">IFERROR(MATCH(ROW()-1,$V$2:$V$1201,0),"")</f>
        <v/>
      </c>
      <c r="R276" s="0" t="str">
        <f aca="false">IF(E276="","",IFERROR(LEFT(E276,FIND("-",E276)-1),E276))</f>
        <v/>
      </c>
      <c r="S276" s="0" t="str">
        <f aca="false">IF(R276="","",IF(ISNUMBER(--MID(R276,1,1)),0,IF(ISNUMBER(--MID(R276,2,1)),1,IF(ISNUMBER(--MID(R276,3,1)),2,IF(ISNUMBER(--MID(R276,4,1)),3,MIN(LEN(R276),4))))))</f>
        <v/>
      </c>
      <c r="T276" s="0" t="str">
        <f aca="false">IF(E276="","",LEFT(R276,S276)&amp;REPT("0",4-S276)&amp;RIGHT("000"&amp;IFERROR(VALUE(MID(R276,S276+1,9)),0),3)&amp;RIGHT("0000"&amp;IFERROR(VALUE(MID(E276,FIND("-",E276)+1,9)),0),4))</f>
        <v/>
      </c>
      <c r="U276" s="0" t="str">
        <f aca="false">IF(I276=1,"K"&amp;RIGHT("00"&amp;A276,2)&amp;T276&amp;RIGHT("00000"&amp;ROW(),5),"")</f>
        <v/>
      </c>
      <c r="V276" s="0" t="str">
        <f aca="false">IF(U276="","",COUNTIFS($I$2:$I$1201,1,$U$2:$U$1201,"&lt;"&amp;U276)+1)</f>
        <v/>
      </c>
    </row>
    <row r="277" customFormat="false" ht="15" hidden="false" customHeight="false" outlineLevel="0" collapsed="false">
      <c r="A277" s="0" t="n">
        <v>5</v>
      </c>
      <c r="B277" s="0" t="n">
        <v>36</v>
      </c>
      <c r="C277" s="0" t="str">
        <f aca="false">TRIM(SUBSTITUTE(INDEX(LISTAS!$A$4:$T$63,B277,A277)&amp;"",CHAR(160)," "))</f>
        <v/>
      </c>
      <c r="D277" s="0" t="str">
        <f aca="false">IF(C277="","",TRIM(RIGHT(SUBSTITUTE(C277," ",REPT(" ",100)),100)))</f>
        <v/>
      </c>
      <c r="E277" s="0" t="str">
        <f aca="false">IF(D277="","",UPPER(SUBSTITUTE(SUBSTITUTE(D277,"(",""),")","")))</f>
        <v/>
      </c>
      <c r="F277" s="0" t="str">
        <f aca="false">IF(C277="","",LEFT(C277,FIND(" ",C277&amp;" ")-1))</f>
        <v/>
      </c>
      <c r="G277" s="0" t="n">
        <f aca="false">IFERROR(VALUE(SUBSTITUTE(LOWER(F277),"x","")),0)</f>
        <v>0</v>
      </c>
      <c r="H277" s="0" t="str">
        <f aca="false">IF(C277="","",TRIM(MID(C277,LEN(F277)+2,999)))</f>
        <v/>
      </c>
      <c r="I277" s="0" t="n">
        <f aca="false">IF(OR(C277="",LEFT(C277,2)="//"),0,IFERROR(IF(AND(G277&gt;0,G277=INT(G277),FIND("-",E277)&gt;1,NOT(EXACT(UPPER(LEFT(E277,1)),LOWER(LEFT(E277,1)))),ISNUMBER(VALUE(MID(E277,FIND("-",E277)+1,10)))),1,0),0))</f>
        <v>0</v>
      </c>
      <c r="J277" s="0" t="str">
        <f aca="false">IF(I277=1,TRIM(LEFT(H277,MAX(0,LEN(H277)-LEN(D277)))),"")</f>
        <v/>
      </c>
      <c r="K277" s="0" t="str">
        <f aca="false">INDEX($P$2:$P$21,A277)</f>
        <v>Deck 5</v>
      </c>
      <c r="L277" s="0" t="n">
        <f aca="false">IF(AND(C277&lt;&gt;"",LEFT(C277,2)&lt;&gt;"//",I277=0),1,0)</f>
        <v>0</v>
      </c>
      <c r="M277" s="0" t="str">
        <f aca="false">IF(I277=1,MAX(M$1:M276)+1,"")</f>
        <v/>
      </c>
      <c r="N277" s="0" t="str">
        <f aca="false">IFERROR(MATCH(ROW()-1,$V$2:$V$1201,0),"")</f>
        <v/>
      </c>
      <c r="R277" s="0" t="str">
        <f aca="false">IF(E277="","",IFERROR(LEFT(E277,FIND("-",E277)-1),E277))</f>
        <v/>
      </c>
      <c r="S277" s="0" t="str">
        <f aca="false">IF(R277="","",IF(ISNUMBER(--MID(R277,1,1)),0,IF(ISNUMBER(--MID(R277,2,1)),1,IF(ISNUMBER(--MID(R277,3,1)),2,IF(ISNUMBER(--MID(R277,4,1)),3,MIN(LEN(R277),4))))))</f>
        <v/>
      </c>
      <c r="T277" s="0" t="str">
        <f aca="false">IF(E277="","",LEFT(R277,S277)&amp;REPT("0",4-S277)&amp;RIGHT("000"&amp;IFERROR(VALUE(MID(R277,S277+1,9)),0),3)&amp;RIGHT("0000"&amp;IFERROR(VALUE(MID(E277,FIND("-",E277)+1,9)),0),4))</f>
        <v/>
      </c>
      <c r="U277" s="0" t="str">
        <f aca="false">IF(I277=1,"K"&amp;RIGHT("00"&amp;A277,2)&amp;T277&amp;RIGHT("00000"&amp;ROW(),5),"")</f>
        <v/>
      </c>
      <c r="V277" s="0" t="str">
        <f aca="false">IF(U277="","",COUNTIFS($I$2:$I$1201,1,$U$2:$U$1201,"&lt;"&amp;U277)+1)</f>
        <v/>
      </c>
    </row>
    <row r="278" customFormat="false" ht="15" hidden="false" customHeight="false" outlineLevel="0" collapsed="false">
      <c r="A278" s="0" t="n">
        <v>5</v>
      </c>
      <c r="B278" s="0" t="n">
        <v>37</v>
      </c>
      <c r="C278" s="0" t="str">
        <f aca="false">TRIM(SUBSTITUTE(INDEX(LISTAS!$A$4:$T$63,B278,A278)&amp;"",CHAR(160)," "))</f>
        <v/>
      </c>
      <c r="D278" s="0" t="str">
        <f aca="false">IF(C278="","",TRIM(RIGHT(SUBSTITUTE(C278," ",REPT(" ",100)),100)))</f>
        <v/>
      </c>
      <c r="E278" s="0" t="str">
        <f aca="false">IF(D278="","",UPPER(SUBSTITUTE(SUBSTITUTE(D278,"(",""),")","")))</f>
        <v/>
      </c>
      <c r="F278" s="0" t="str">
        <f aca="false">IF(C278="","",LEFT(C278,FIND(" ",C278&amp;" ")-1))</f>
        <v/>
      </c>
      <c r="G278" s="0" t="n">
        <f aca="false">IFERROR(VALUE(SUBSTITUTE(LOWER(F278),"x","")),0)</f>
        <v>0</v>
      </c>
      <c r="H278" s="0" t="str">
        <f aca="false">IF(C278="","",TRIM(MID(C278,LEN(F278)+2,999)))</f>
        <v/>
      </c>
      <c r="I278" s="0" t="n">
        <f aca="false">IF(OR(C278="",LEFT(C278,2)="//"),0,IFERROR(IF(AND(G278&gt;0,G278=INT(G278),FIND("-",E278)&gt;1,NOT(EXACT(UPPER(LEFT(E278,1)),LOWER(LEFT(E278,1)))),ISNUMBER(VALUE(MID(E278,FIND("-",E278)+1,10)))),1,0),0))</f>
        <v>0</v>
      </c>
      <c r="J278" s="0" t="str">
        <f aca="false">IF(I278=1,TRIM(LEFT(H278,MAX(0,LEN(H278)-LEN(D278)))),"")</f>
        <v/>
      </c>
      <c r="K278" s="0" t="str">
        <f aca="false">INDEX($P$2:$P$21,A278)</f>
        <v>Deck 5</v>
      </c>
      <c r="L278" s="0" t="n">
        <f aca="false">IF(AND(C278&lt;&gt;"",LEFT(C278,2)&lt;&gt;"//",I278=0),1,0)</f>
        <v>0</v>
      </c>
      <c r="M278" s="0" t="str">
        <f aca="false">IF(I278=1,MAX(M$1:M277)+1,"")</f>
        <v/>
      </c>
      <c r="N278" s="0" t="str">
        <f aca="false">IFERROR(MATCH(ROW()-1,$V$2:$V$1201,0),"")</f>
        <v/>
      </c>
      <c r="R278" s="0" t="str">
        <f aca="false">IF(E278="","",IFERROR(LEFT(E278,FIND("-",E278)-1),E278))</f>
        <v/>
      </c>
      <c r="S278" s="0" t="str">
        <f aca="false">IF(R278="","",IF(ISNUMBER(--MID(R278,1,1)),0,IF(ISNUMBER(--MID(R278,2,1)),1,IF(ISNUMBER(--MID(R278,3,1)),2,IF(ISNUMBER(--MID(R278,4,1)),3,MIN(LEN(R278),4))))))</f>
        <v/>
      </c>
      <c r="T278" s="0" t="str">
        <f aca="false">IF(E278="","",LEFT(R278,S278)&amp;REPT("0",4-S278)&amp;RIGHT("000"&amp;IFERROR(VALUE(MID(R278,S278+1,9)),0),3)&amp;RIGHT("0000"&amp;IFERROR(VALUE(MID(E278,FIND("-",E278)+1,9)),0),4))</f>
        <v/>
      </c>
      <c r="U278" s="0" t="str">
        <f aca="false">IF(I278=1,"K"&amp;RIGHT("00"&amp;A278,2)&amp;T278&amp;RIGHT("00000"&amp;ROW(),5),"")</f>
        <v/>
      </c>
      <c r="V278" s="0" t="str">
        <f aca="false">IF(U278="","",COUNTIFS($I$2:$I$1201,1,$U$2:$U$1201,"&lt;"&amp;U278)+1)</f>
        <v/>
      </c>
    </row>
    <row r="279" customFormat="false" ht="15" hidden="false" customHeight="false" outlineLevel="0" collapsed="false">
      <c r="A279" s="0" t="n">
        <v>5</v>
      </c>
      <c r="B279" s="0" t="n">
        <v>38</v>
      </c>
      <c r="C279" s="0" t="str">
        <f aca="false">TRIM(SUBSTITUTE(INDEX(LISTAS!$A$4:$T$63,B279,A279)&amp;"",CHAR(160)," "))</f>
        <v/>
      </c>
      <c r="D279" s="0" t="str">
        <f aca="false">IF(C279="","",TRIM(RIGHT(SUBSTITUTE(C279," ",REPT(" ",100)),100)))</f>
        <v/>
      </c>
      <c r="E279" s="0" t="str">
        <f aca="false">IF(D279="","",UPPER(SUBSTITUTE(SUBSTITUTE(D279,"(",""),")","")))</f>
        <v/>
      </c>
      <c r="F279" s="0" t="str">
        <f aca="false">IF(C279="","",LEFT(C279,FIND(" ",C279&amp;" ")-1))</f>
        <v/>
      </c>
      <c r="G279" s="0" t="n">
        <f aca="false">IFERROR(VALUE(SUBSTITUTE(LOWER(F279),"x","")),0)</f>
        <v>0</v>
      </c>
      <c r="H279" s="0" t="str">
        <f aca="false">IF(C279="","",TRIM(MID(C279,LEN(F279)+2,999)))</f>
        <v/>
      </c>
      <c r="I279" s="0" t="n">
        <f aca="false">IF(OR(C279="",LEFT(C279,2)="//"),0,IFERROR(IF(AND(G279&gt;0,G279=INT(G279),FIND("-",E279)&gt;1,NOT(EXACT(UPPER(LEFT(E279,1)),LOWER(LEFT(E279,1)))),ISNUMBER(VALUE(MID(E279,FIND("-",E279)+1,10)))),1,0),0))</f>
        <v>0</v>
      </c>
      <c r="J279" s="0" t="str">
        <f aca="false">IF(I279=1,TRIM(LEFT(H279,MAX(0,LEN(H279)-LEN(D279)))),"")</f>
        <v/>
      </c>
      <c r="K279" s="0" t="str">
        <f aca="false">INDEX($P$2:$P$21,A279)</f>
        <v>Deck 5</v>
      </c>
      <c r="L279" s="0" t="n">
        <f aca="false">IF(AND(C279&lt;&gt;"",LEFT(C279,2)&lt;&gt;"//",I279=0),1,0)</f>
        <v>0</v>
      </c>
      <c r="M279" s="0" t="str">
        <f aca="false">IF(I279=1,MAX(M$1:M278)+1,"")</f>
        <v/>
      </c>
      <c r="N279" s="0" t="str">
        <f aca="false">IFERROR(MATCH(ROW()-1,$V$2:$V$1201,0),"")</f>
        <v/>
      </c>
      <c r="R279" s="0" t="str">
        <f aca="false">IF(E279="","",IFERROR(LEFT(E279,FIND("-",E279)-1),E279))</f>
        <v/>
      </c>
      <c r="S279" s="0" t="str">
        <f aca="false">IF(R279="","",IF(ISNUMBER(--MID(R279,1,1)),0,IF(ISNUMBER(--MID(R279,2,1)),1,IF(ISNUMBER(--MID(R279,3,1)),2,IF(ISNUMBER(--MID(R279,4,1)),3,MIN(LEN(R279),4))))))</f>
        <v/>
      </c>
      <c r="T279" s="0" t="str">
        <f aca="false">IF(E279="","",LEFT(R279,S279)&amp;REPT("0",4-S279)&amp;RIGHT("000"&amp;IFERROR(VALUE(MID(R279,S279+1,9)),0),3)&amp;RIGHT("0000"&amp;IFERROR(VALUE(MID(E279,FIND("-",E279)+1,9)),0),4))</f>
        <v/>
      </c>
      <c r="U279" s="0" t="str">
        <f aca="false">IF(I279=1,"K"&amp;RIGHT("00"&amp;A279,2)&amp;T279&amp;RIGHT("00000"&amp;ROW(),5),"")</f>
        <v/>
      </c>
      <c r="V279" s="0" t="str">
        <f aca="false">IF(U279="","",COUNTIFS($I$2:$I$1201,1,$U$2:$U$1201,"&lt;"&amp;U279)+1)</f>
        <v/>
      </c>
    </row>
    <row r="280" customFormat="false" ht="15" hidden="false" customHeight="false" outlineLevel="0" collapsed="false">
      <c r="A280" s="0" t="n">
        <v>5</v>
      </c>
      <c r="B280" s="0" t="n">
        <v>39</v>
      </c>
      <c r="C280" s="0" t="str">
        <f aca="false">TRIM(SUBSTITUTE(INDEX(LISTAS!$A$4:$T$63,B280,A280)&amp;"",CHAR(160)," "))</f>
        <v/>
      </c>
      <c r="D280" s="0" t="str">
        <f aca="false">IF(C280="","",TRIM(RIGHT(SUBSTITUTE(C280," ",REPT(" ",100)),100)))</f>
        <v/>
      </c>
      <c r="E280" s="0" t="str">
        <f aca="false">IF(D280="","",UPPER(SUBSTITUTE(SUBSTITUTE(D280,"(",""),")","")))</f>
        <v/>
      </c>
      <c r="F280" s="0" t="str">
        <f aca="false">IF(C280="","",LEFT(C280,FIND(" ",C280&amp;" ")-1))</f>
        <v/>
      </c>
      <c r="G280" s="0" t="n">
        <f aca="false">IFERROR(VALUE(SUBSTITUTE(LOWER(F280),"x","")),0)</f>
        <v>0</v>
      </c>
      <c r="H280" s="0" t="str">
        <f aca="false">IF(C280="","",TRIM(MID(C280,LEN(F280)+2,999)))</f>
        <v/>
      </c>
      <c r="I280" s="0" t="n">
        <f aca="false">IF(OR(C280="",LEFT(C280,2)="//"),0,IFERROR(IF(AND(G280&gt;0,G280=INT(G280),FIND("-",E280)&gt;1,NOT(EXACT(UPPER(LEFT(E280,1)),LOWER(LEFT(E280,1)))),ISNUMBER(VALUE(MID(E280,FIND("-",E280)+1,10)))),1,0),0))</f>
        <v>0</v>
      </c>
      <c r="J280" s="0" t="str">
        <f aca="false">IF(I280=1,TRIM(LEFT(H280,MAX(0,LEN(H280)-LEN(D280)))),"")</f>
        <v/>
      </c>
      <c r="K280" s="0" t="str">
        <f aca="false">INDEX($P$2:$P$21,A280)</f>
        <v>Deck 5</v>
      </c>
      <c r="L280" s="0" t="n">
        <f aca="false">IF(AND(C280&lt;&gt;"",LEFT(C280,2)&lt;&gt;"//",I280=0),1,0)</f>
        <v>0</v>
      </c>
      <c r="M280" s="0" t="str">
        <f aca="false">IF(I280=1,MAX(M$1:M279)+1,"")</f>
        <v/>
      </c>
      <c r="N280" s="0" t="str">
        <f aca="false">IFERROR(MATCH(ROW()-1,$V$2:$V$1201,0),"")</f>
        <v/>
      </c>
      <c r="R280" s="0" t="str">
        <f aca="false">IF(E280="","",IFERROR(LEFT(E280,FIND("-",E280)-1),E280))</f>
        <v/>
      </c>
      <c r="S280" s="0" t="str">
        <f aca="false">IF(R280="","",IF(ISNUMBER(--MID(R280,1,1)),0,IF(ISNUMBER(--MID(R280,2,1)),1,IF(ISNUMBER(--MID(R280,3,1)),2,IF(ISNUMBER(--MID(R280,4,1)),3,MIN(LEN(R280),4))))))</f>
        <v/>
      </c>
      <c r="T280" s="0" t="str">
        <f aca="false">IF(E280="","",LEFT(R280,S280)&amp;REPT("0",4-S280)&amp;RIGHT("000"&amp;IFERROR(VALUE(MID(R280,S280+1,9)),0),3)&amp;RIGHT("0000"&amp;IFERROR(VALUE(MID(E280,FIND("-",E280)+1,9)),0),4))</f>
        <v/>
      </c>
      <c r="U280" s="0" t="str">
        <f aca="false">IF(I280=1,"K"&amp;RIGHT("00"&amp;A280,2)&amp;T280&amp;RIGHT("00000"&amp;ROW(),5),"")</f>
        <v/>
      </c>
      <c r="V280" s="0" t="str">
        <f aca="false">IF(U280="","",COUNTIFS($I$2:$I$1201,1,$U$2:$U$1201,"&lt;"&amp;U280)+1)</f>
        <v/>
      </c>
    </row>
    <row r="281" customFormat="false" ht="15" hidden="false" customHeight="false" outlineLevel="0" collapsed="false">
      <c r="A281" s="0" t="n">
        <v>5</v>
      </c>
      <c r="B281" s="0" t="n">
        <v>40</v>
      </c>
      <c r="C281" s="0" t="str">
        <f aca="false">TRIM(SUBSTITUTE(INDEX(LISTAS!$A$4:$T$63,B281,A281)&amp;"",CHAR(160)," "))</f>
        <v/>
      </c>
      <c r="D281" s="0" t="str">
        <f aca="false">IF(C281="","",TRIM(RIGHT(SUBSTITUTE(C281," ",REPT(" ",100)),100)))</f>
        <v/>
      </c>
      <c r="E281" s="0" t="str">
        <f aca="false">IF(D281="","",UPPER(SUBSTITUTE(SUBSTITUTE(D281,"(",""),")","")))</f>
        <v/>
      </c>
      <c r="F281" s="0" t="str">
        <f aca="false">IF(C281="","",LEFT(C281,FIND(" ",C281&amp;" ")-1))</f>
        <v/>
      </c>
      <c r="G281" s="0" t="n">
        <f aca="false">IFERROR(VALUE(SUBSTITUTE(LOWER(F281),"x","")),0)</f>
        <v>0</v>
      </c>
      <c r="H281" s="0" t="str">
        <f aca="false">IF(C281="","",TRIM(MID(C281,LEN(F281)+2,999)))</f>
        <v/>
      </c>
      <c r="I281" s="0" t="n">
        <f aca="false">IF(OR(C281="",LEFT(C281,2)="//"),0,IFERROR(IF(AND(G281&gt;0,G281=INT(G281),FIND("-",E281)&gt;1,NOT(EXACT(UPPER(LEFT(E281,1)),LOWER(LEFT(E281,1)))),ISNUMBER(VALUE(MID(E281,FIND("-",E281)+1,10)))),1,0),0))</f>
        <v>0</v>
      </c>
      <c r="J281" s="0" t="str">
        <f aca="false">IF(I281=1,TRIM(LEFT(H281,MAX(0,LEN(H281)-LEN(D281)))),"")</f>
        <v/>
      </c>
      <c r="K281" s="0" t="str">
        <f aca="false">INDEX($P$2:$P$21,A281)</f>
        <v>Deck 5</v>
      </c>
      <c r="L281" s="0" t="n">
        <f aca="false">IF(AND(C281&lt;&gt;"",LEFT(C281,2)&lt;&gt;"//",I281=0),1,0)</f>
        <v>0</v>
      </c>
      <c r="M281" s="0" t="str">
        <f aca="false">IF(I281=1,MAX(M$1:M280)+1,"")</f>
        <v/>
      </c>
      <c r="N281" s="0" t="str">
        <f aca="false">IFERROR(MATCH(ROW()-1,$V$2:$V$1201,0),"")</f>
        <v/>
      </c>
      <c r="R281" s="0" t="str">
        <f aca="false">IF(E281="","",IFERROR(LEFT(E281,FIND("-",E281)-1),E281))</f>
        <v/>
      </c>
      <c r="S281" s="0" t="str">
        <f aca="false">IF(R281="","",IF(ISNUMBER(--MID(R281,1,1)),0,IF(ISNUMBER(--MID(R281,2,1)),1,IF(ISNUMBER(--MID(R281,3,1)),2,IF(ISNUMBER(--MID(R281,4,1)),3,MIN(LEN(R281),4))))))</f>
        <v/>
      </c>
      <c r="T281" s="0" t="str">
        <f aca="false">IF(E281="","",LEFT(R281,S281)&amp;REPT("0",4-S281)&amp;RIGHT("000"&amp;IFERROR(VALUE(MID(R281,S281+1,9)),0),3)&amp;RIGHT("0000"&amp;IFERROR(VALUE(MID(E281,FIND("-",E281)+1,9)),0),4))</f>
        <v/>
      </c>
      <c r="U281" s="0" t="str">
        <f aca="false">IF(I281=1,"K"&amp;RIGHT("00"&amp;A281,2)&amp;T281&amp;RIGHT("00000"&amp;ROW(),5),"")</f>
        <v/>
      </c>
      <c r="V281" s="0" t="str">
        <f aca="false">IF(U281="","",COUNTIFS($I$2:$I$1201,1,$U$2:$U$1201,"&lt;"&amp;U281)+1)</f>
        <v/>
      </c>
    </row>
    <row r="282" customFormat="false" ht="15" hidden="false" customHeight="false" outlineLevel="0" collapsed="false">
      <c r="A282" s="0" t="n">
        <v>5</v>
      </c>
      <c r="B282" s="0" t="n">
        <v>41</v>
      </c>
      <c r="C282" s="0" t="str">
        <f aca="false">TRIM(SUBSTITUTE(INDEX(LISTAS!$A$4:$T$63,B282,A282)&amp;"",CHAR(160)," "))</f>
        <v/>
      </c>
      <c r="D282" s="0" t="str">
        <f aca="false">IF(C282="","",TRIM(RIGHT(SUBSTITUTE(C282," ",REPT(" ",100)),100)))</f>
        <v/>
      </c>
      <c r="E282" s="0" t="str">
        <f aca="false">IF(D282="","",UPPER(SUBSTITUTE(SUBSTITUTE(D282,"(",""),")","")))</f>
        <v/>
      </c>
      <c r="F282" s="0" t="str">
        <f aca="false">IF(C282="","",LEFT(C282,FIND(" ",C282&amp;" ")-1))</f>
        <v/>
      </c>
      <c r="G282" s="0" t="n">
        <f aca="false">IFERROR(VALUE(SUBSTITUTE(LOWER(F282),"x","")),0)</f>
        <v>0</v>
      </c>
      <c r="H282" s="0" t="str">
        <f aca="false">IF(C282="","",TRIM(MID(C282,LEN(F282)+2,999)))</f>
        <v/>
      </c>
      <c r="I282" s="0" t="n">
        <f aca="false">IF(OR(C282="",LEFT(C282,2)="//"),0,IFERROR(IF(AND(G282&gt;0,G282=INT(G282),FIND("-",E282)&gt;1,NOT(EXACT(UPPER(LEFT(E282,1)),LOWER(LEFT(E282,1)))),ISNUMBER(VALUE(MID(E282,FIND("-",E282)+1,10)))),1,0),0))</f>
        <v>0</v>
      </c>
      <c r="J282" s="0" t="str">
        <f aca="false">IF(I282=1,TRIM(LEFT(H282,MAX(0,LEN(H282)-LEN(D282)))),"")</f>
        <v/>
      </c>
      <c r="K282" s="0" t="str">
        <f aca="false">INDEX($P$2:$P$21,A282)</f>
        <v>Deck 5</v>
      </c>
      <c r="L282" s="0" t="n">
        <f aca="false">IF(AND(C282&lt;&gt;"",LEFT(C282,2)&lt;&gt;"//",I282=0),1,0)</f>
        <v>0</v>
      </c>
      <c r="M282" s="0" t="str">
        <f aca="false">IF(I282=1,MAX(M$1:M281)+1,"")</f>
        <v/>
      </c>
      <c r="N282" s="0" t="str">
        <f aca="false">IFERROR(MATCH(ROW()-1,$V$2:$V$1201,0),"")</f>
        <v/>
      </c>
      <c r="R282" s="0" t="str">
        <f aca="false">IF(E282="","",IFERROR(LEFT(E282,FIND("-",E282)-1),E282))</f>
        <v/>
      </c>
      <c r="S282" s="0" t="str">
        <f aca="false">IF(R282="","",IF(ISNUMBER(--MID(R282,1,1)),0,IF(ISNUMBER(--MID(R282,2,1)),1,IF(ISNUMBER(--MID(R282,3,1)),2,IF(ISNUMBER(--MID(R282,4,1)),3,MIN(LEN(R282),4))))))</f>
        <v/>
      </c>
      <c r="T282" s="0" t="str">
        <f aca="false">IF(E282="","",LEFT(R282,S282)&amp;REPT("0",4-S282)&amp;RIGHT("000"&amp;IFERROR(VALUE(MID(R282,S282+1,9)),0),3)&amp;RIGHT("0000"&amp;IFERROR(VALUE(MID(E282,FIND("-",E282)+1,9)),0),4))</f>
        <v/>
      </c>
      <c r="U282" s="0" t="str">
        <f aca="false">IF(I282=1,"K"&amp;RIGHT("00"&amp;A282,2)&amp;T282&amp;RIGHT("00000"&amp;ROW(),5),"")</f>
        <v/>
      </c>
      <c r="V282" s="0" t="str">
        <f aca="false">IF(U282="","",COUNTIFS($I$2:$I$1201,1,$U$2:$U$1201,"&lt;"&amp;U282)+1)</f>
        <v/>
      </c>
    </row>
    <row r="283" customFormat="false" ht="15" hidden="false" customHeight="false" outlineLevel="0" collapsed="false">
      <c r="A283" s="0" t="n">
        <v>5</v>
      </c>
      <c r="B283" s="0" t="n">
        <v>42</v>
      </c>
      <c r="C283" s="0" t="str">
        <f aca="false">TRIM(SUBSTITUTE(INDEX(LISTAS!$A$4:$T$63,B283,A283)&amp;"",CHAR(160)," "))</f>
        <v/>
      </c>
      <c r="D283" s="0" t="str">
        <f aca="false">IF(C283="","",TRIM(RIGHT(SUBSTITUTE(C283," ",REPT(" ",100)),100)))</f>
        <v/>
      </c>
      <c r="E283" s="0" t="str">
        <f aca="false">IF(D283="","",UPPER(SUBSTITUTE(SUBSTITUTE(D283,"(",""),")","")))</f>
        <v/>
      </c>
      <c r="F283" s="0" t="str">
        <f aca="false">IF(C283="","",LEFT(C283,FIND(" ",C283&amp;" ")-1))</f>
        <v/>
      </c>
      <c r="G283" s="0" t="n">
        <f aca="false">IFERROR(VALUE(SUBSTITUTE(LOWER(F283),"x","")),0)</f>
        <v>0</v>
      </c>
      <c r="H283" s="0" t="str">
        <f aca="false">IF(C283="","",TRIM(MID(C283,LEN(F283)+2,999)))</f>
        <v/>
      </c>
      <c r="I283" s="0" t="n">
        <f aca="false">IF(OR(C283="",LEFT(C283,2)="//"),0,IFERROR(IF(AND(G283&gt;0,G283=INT(G283),FIND("-",E283)&gt;1,NOT(EXACT(UPPER(LEFT(E283,1)),LOWER(LEFT(E283,1)))),ISNUMBER(VALUE(MID(E283,FIND("-",E283)+1,10)))),1,0),0))</f>
        <v>0</v>
      </c>
      <c r="J283" s="0" t="str">
        <f aca="false">IF(I283=1,TRIM(LEFT(H283,MAX(0,LEN(H283)-LEN(D283)))),"")</f>
        <v/>
      </c>
      <c r="K283" s="0" t="str">
        <f aca="false">INDEX($P$2:$P$21,A283)</f>
        <v>Deck 5</v>
      </c>
      <c r="L283" s="0" t="n">
        <f aca="false">IF(AND(C283&lt;&gt;"",LEFT(C283,2)&lt;&gt;"//",I283=0),1,0)</f>
        <v>0</v>
      </c>
      <c r="M283" s="0" t="str">
        <f aca="false">IF(I283=1,MAX(M$1:M282)+1,"")</f>
        <v/>
      </c>
      <c r="N283" s="0" t="str">
        <f aca="false">IFERROR(MATCH(ROW()-1,$V$2:$V$1201,0),"")</f>
        <v/>
      </c>
      <c r="R283" s="0" t="str">
        <f aca="false">IF(E283="","",IFERROR(LEFT(E283,FIND("-",E283)-1),E283))</f>
        <v/>
      </c>
      <c r="S283" s="0" t="str">
        <f aca="false">IF(R283="","",IF(ISNUMBER(--MID(R283,1,1)),0,IF(ISNUMBER(--MID(R283,2,1)),1,IF(ISNUMBER(--MID(R283,3,1)),2,IF(ISNUMBER(--MID(R283,4,1)),3,MIN(LEN(R283),4))))))</f>
        <v/>
      </c>
      <c r="T283" s="0" t="str">
        <f aca="false">IF(E283="","",LEFT(R283,S283)&amp;REPT("0",4-S283)&amp;RIGHT("000"&amp;IFERROR(VALUE(MID(R283,S283+1,9)),0),3)&amp;RIGHT("0000"&amp;IFERROR(VALUE(MID(E283,FIND("-",E283)+1,9)),0),4))</f>
        <v/>
      </c>
      <c r="U283" s="0" t="str">
        <f aca="false">IF(I283=1,"K"&amp;RIGHT("00"&amp;A283,2)&amp;T283&amp;RIGHT("00000"&amp;ROW(),5),"")</f>
        <v/>
      </c>
      <c r="V283" s="0" t="str">
        <f aca="false">IF(U283="","",COUNTIFS($I$2:$I$1201,1,$U$2:$U$1201,"&lt;"&amp;U283)+1)</f>
        <v/>
      </c>
    </row>
    <row r="284" customFormat="false" ht="15" hidden="false" customHeight="false" outlineLevel="0" collapsed="false">
      <c r="A284" s="0" t="n">
        <v>5</v>
      </c>
      <c r="B284" s="0" t="n">
        <v>43</v>
      </c>
      <c r="C284" s="0" t="str">
        <f aca="false">TRIM(SUBSTITUTE(INDEX(LISTAS!$A$4:$T$63,B284,A284)&amp;"",CHAR(160)," "))</f>
        <v/>
      </c>
      <c r="D284" s="0" t="str">
        <f aca="false">IF(C284="","",TRIM(RIGHT(SUBSTITUTE(C284," ",REPT(" ",100)),100)))</f>
        <v/>
      </c>
      <c r="E284" s="0" t="str">
        <f aca="false">IF(D284="","",UPPER(SUBSTITUTE(SUBSTITUTE(D284,"(",""),")","")))</f>
        <v/>
      </c>
      <c r="F284" s="0" t="str">
        <f aca="false">IF(C284="","",LEFT(C284,FIND(" ",C284&amp;" ")-1))</f>
        <v/>
      </c>
      <c r="G284" s="0" t="n">
        <f aca="false">IFERROR(VALUE(SUBSTITUTE(LOWER(F284),"x","")),0)</f>
        <v>0</v>
      </c>
      <c r="H284" s="0" t="str">
        <f aca="false">IF(C284="","",TRIM(MID(C284,LEN(F284)+2,999)))</f>
        <v/>
      </c>
      <c r="I284" s="0" t="n">
        <f aca="false">IF(OR(C284="",LEFT(C284,2)="//"),0,IFERROR(IF(AND(G284&gt;0,G284=INT(G284),FIND("-",E284)&gt;1,NOT(EXACT(UPPER(LEFT(E284,1)),LOWER(LEFT(E284,1)))),ISNUMBER(VALUE(MID(E284,FIND("-",E284)+1,10)))),1,0),0))</f>
        <v>0</v>
      </c>
      <c r="J284" s="0" t="str">
        <f aca="false">IF(I284=1,TRIM(LEFT(H284,MAX(0,LEN(H284)-LEN(D284)))),"")</f>
        <v/>
      </c>
      <c r="K284" s="0" t="str">
        <f aca="false">INDEX($P$2:$P$21,A284)</f>
        <v>Deck 5</v>
      </c>
      <c r="L284" s="0" t="n">
        <f aca="false">IF(AND(C284&lt;&gt;"",LEFT(C284,2)&lt;&gt;"//",I284=0),1,0)</f>
        <v>0</v>
      </c>
      <c r="M284" s="0" t="str">
        <f aca="false">IF(I284=1,MAX(M$1:M283)+1,"")</f>
        <v/>
      </c>
      <c r="N284" s="0" t="str">
        <f aca="false">IFERROR(MATCH(ROW()-1,$V$2:$V$1201,0),"")</f>
        <v/>
      </c>
      <c r="R284" s="0" t="str">
        <f aca="false">IF(E284="","",IFERROR(LEFT(E284,FIND("-",E284)-1),E284))</f>
        <v/>
      </c>
      <c r="S284" s="0" t="str">
        <f aca="false">IF(R284="","",IF(ISNUMBER(--MID(R284,1,1)),0,IF(ISNUMBER(--MID(R284,2,1)),1,IF(ISNUMBER(--MID(R284,3,1)),2,IF(ISNUMBER(--MID(R284,4,1)),3,MIN(LEN(R284),4))))))</f>
        <v/>
      </c>
      <c r="T284" s="0" t="str">
        <f aca="false">IF(E284="","",LEFT(R284,S284)&amp;REPT("0",4-S284)&amp;RIGHT("000"&amp;IFERROR(VALUE(MID(R284,S284+1,9)),0),3)&amp;RIGHT("0000"&amp;IFERROR(VALUE(MID(E284,FIND("-",E284)+1,9)),0),4))</f>
        <v/>
      </c>
      <c r="U284" s="0" t="str">
        <f aca="false">IF(I284=1,"K"&amp;RIGHT("00"&amp;A284,2)&amp;T284&amp;RIGHT("00000"&amp;ROW(),5),"")</f>
        <v/>
      </c>
      <c r="V284" s="0" t="str">
        <f aca="false">IF(U284="","",COUNTIFS($I$2:$I$1201,1,$U$2:$U$1201,"&lt;"&amp;U284)+1)</f>
        <v/>
      </c>
    </row>
    <row r="285" customFormat="false" ht="15" hidden="false" customHeight="false" outlineLevel="0" collapsed="false">
      <c r="A285" s="0" t="n">
        <v>5</v>
      </c>
      <c r="B285" s="0" t="n">
        <v>44</v>
      </c>
      <c r="C285" s="0" t="str">
        <f aca="false">TRIM(SUBSTITUTE(INDEX(LISTAS!$A$4:$T$63,B285,A285)&amp;"",CHAR(160)," "))</f>
        <v/>
      </c>
      <c r="D285" s="0" t="str">
        <f aca="false">IF(C285="","",TRIM(RIGHT(SUBSTITUTE(C285," ",REPT(" ",100)),100)))</f>
        <v/>
      </c>
      <c r="E285" s="0" t="str">
        <f aca="false">IF(D285="","",UPPER(SUBSTITUTE(SUBSTITUTE(D285,"(",""),")","")))</f>
        <v/>
      </c>
      <c r="F285" s="0" t="str">
        <f aca="false">IF(C285="","",LEFT(C285,FIND(" ",C285&amp;" ")-1))</f>
        <v/>
      </c>
      <c r="G285" s="0" t="n">
        <f aca="false">IFERROR(VALUE(SUBSTITUTE(LOWER(F285),"x","")),0)</f>
        <v>0</v>
      </c>
      <c r="H285" s="0" t="str">
        <f aca="false">IF(C285="","",TRIM(MID(C285,LEN(F285)+2,999)))</f>
        <v/>
      </c>
      <c r="I285" s="0" t="n">
        <f aca="false">IF(OR(C285="",LEFT(C285,2)="//"),0,IFERROR(IF(AND(G285&gt;0,G285=INT(G285),FIND("-",E285)&gt;1,NOT(EXACT(UPPER(LEFT(E285,1)),LOWER(LEFT(E285,1)))),ISNUMBER(VALUE(MID(E285,FIND("-",E285)+1,10)))),1,0),0))</f>
        <v>0</v>
      </c>
      <c r="J285" s="0" t="str">
        <f aca="false">IF(I285=1,TRIM(LEFT(H285,MAX(0,LEN(H285)-LEN(D285)))),"")</f>
        <v/>
      </c>
      <c r="K285" s="0" t="str">
        <f aca="false">INDEX($P$2:$P$21,A285)</f>
        <v>Deck 5</v>
      </c>
      <c r="L285" s="0" t="n">
        <f aca="false">IF(AND(C285&lt;&gt;"",LEFT(C285,2)&lt;&gt;"//",I285=0),1,0)</f>
        <v>0</v>
      </c>
      <c r="M285" s="0" t="str">
        <f aca="false">IF(I285=1,MAX(M$1:M284)+1,"")</f>
        <v/>
      </c>
      <c r="N285" s="0" t="str">
        <f aca="false">IFERROR(MATCH(ROW()-1,$V$2:$V$1201,0),"")</f>
        <v/>
      </c>
      <c r="R285" s="0" t="str">
        <f aca="false">IF(E285="","",IFERROR(LEFT(E285,FIND("-",E285)-1),E285))</f>
        <v/>
      </c>
      <c r="S285" s="0" t="str">
        <f aca="false">IF(R285="","",IF(ISNUMBER(--MID(R285,1,1)),0,IF(ISNUMBER(--MID(R285,2,1)),1,IF(ISNUMBER(--MID(R285,3,1)),2,IF(ISNUMBER(--MID(R285,4,1)),3,MIN(LEN(R285),4))))))</f>
        <v/>
      </c>
      <c r="T285" s="0" t="str">
        <f aca="false">IF(E285="","",LEFT(R285,S285)&amp;REPT("0",4-S285)&amp;RIGHT("000"&amp;IFERROR(VALUE(MID(R285,S285+1,9)),0),3)&amp;RIGHT("0000"&amp;IFERROR(VALUE(MID(E285,FIND("-",E285)+1,9)),0),4))</f>
        <v/>
      </c>
      <c r="U285" s="0" t="str">
        <f aca="false">IF(I285=1,"K"&amp;RIGHT("00"&amp;A285,2)&amp;T285&amp;RIGHT("00000"&amp;ROW(),5),"")</f>
        <v/>
      </c>
      <c r="V285" s="0" t="str">
        <f aca="false">IF(U285="","",COUNTIFS($I$2:$I$1201,1,$U$2:$U$1201,"&lt;"&amp;U285)+1)</f>
        <v/>
      </c>
    </row>
    <row r="286" customFormat="false" ht="15" hidden="false" customHeight="false" outlineLevel="0" collapsed="false">
      <c r="A286" s="0" t="n">
        <v>5</v>
      </c>
      <c r="B286" s="0" t="n">
        <v>45</v>
      </c>
      <c r="C286" s="0" t="str">
        <f aca="false">TRIM(SUBSTITUTE(INDEX(LISTAS!$A$4:$T$63,B286,A286)&amp;"",CHAR(160)," "))</f>
        <v/>
      </c>
      <c r="D286" s="0" t="str">
        <f aca="false">IF(C286="","",TRIM(RIGHT(SUBSTITUTE(C286," ",REPT(" ",100)),100)))</f>
        <v/>
      </c>
      <c r="E286" s="0" t="str">
        <f aca="false">IF(D286="","",UPPER(SUBSTITUTE(SUBSTITUTE(D286,"(",""),")","")))</f>
        <v/>
      </c>
      <c r="F286" s="0" t="str">
        <f aca="false">IF(C286="","",LEFT(C286,FIND(" ",C286&amp;" ")-1))</f>
        <v/>
      </c>
      <c r="G286" s="0" t="n">
        <f aca="false">IFERROR(VALUE(SUBSTITUTE(LOWER(F286),"x","")),0)</f>
        <v>0</v>
      </c>
      <c r="H286" s="0" t="str">
        <f aca="false">IF(C286="","",TRIM(MID(C286,LEN(F286)+2,999)))</f>
        <v/>
      </c>
      <c r="I286" s="0" t="n">
        <f aca="false">IF(OR(C286="",LEFT(C286,2)="//"),0,IFERROR(IF(AND(G286&gt;0,G286=INT(G286),FIND("-",E286)&gt;1,NOT(EXACT(UPPER(LEFT(E286,1)),LOWER(LEFT(E286,1)))),ISNUMBER(VALUE(MID(E286,FIND("-",E286)+1,10)))),1,0),0))</f>
        <v>0</v>
      </c>
      <c r="J286" s="0" t="str">
        <f aca="false">IF(I286=1,TRIM(LEFT(H286,MAX(0,LEN(H286)-LEN(D286)))),"")</f>
        <v/>
      </c>
      <c r="K286" s="0" t="str">
        <f aca="false">INDEX($P$2:$P$21,A286)</f>
        <v>Deck 5</v>
      </c>
      <c r="L286" s="0" t="n">
        <f aca="false">IF(AND(C286&lt;&gt;"",LEFT(C286,2)&lt;&gt;"//",I286=0),1,0)</f>
        <v>0</v>
      </c>
      <c r="M286" s="0" t="str">
        <f aca="false">IF(I286=1,MAX(M$1:M285)+1,"")</f>
        <v/>
      </c>
      <c r="N286" s="0" t="str">
        <f aca="false">IFERROR(MATCH(ROW()-1,$V$2:$V$1201,0),"")</f>
        <v/>
      </c>
      <c r="R286" s="0" t="str">
        <f aca="false">IF(E286="","",IFERROR(LEFT(E286,FIND("-",E286)-1),E286))</f>
        <v/>
      </c>
      <c r="S286" s="0" t="str">
        <f aca="false">IF(R286="","",IF(ISNUMBER(--MID(R286,1,1)),0,IF(ISNUMBER(--MID(R286,2,1)),1,IF(ISNUMBER(--MID(R286,3,1)),2,IF(ISNUMBER(--MID(R286,4,1)),3,MIN(LEN(R286),4))))))</f>
        <v/>
      </c>
      <c r="T286" s="0" t="str">
        <f aca="false">IF(E286="","",LEFT(R286,S286)&amp;REPT("0",4-S286)&amp;RIGHT("000"&amp;IFERROR(VALUE(MID(R286,S286+1,9)),0),3)&amp;RIGHT("0000"&amp;IFERROR(VALUE(MID(E286,FIND("-",E286)+1,9)),0),4))</f>
        <v/>
      </c>
      <c r="U286" s="0" t="str">
        <f aca="false">IF(I286=1,"K"&amp;RIGHT("00"&amp;A286,2)&amp;T286&amp;RIGHT("00000"&amp;ROW(),5),"")</f>
        <v/>
      </c>
      <c r="V286" s="0" t="str">
        <f aca="false">IF(U286="","",COUNTIFS($I$2:$I$1201,1,$U$2:$U$1201,"&lt;"&amp;U286)+1)</f>
        <v/>
      </c>
    </row>
    <row r="287" customFormat="false" ht="15" hidden="false" customHeight="false" outlineLevel="0" collapsed="false">
      <c r="A287" s="0" t="n">
        <v>5</v>
      </c>
      <c r="B287" s="0" t="n">
        <v>46</v>
      </c>
      <c r="C287" s="0" t="str">
        <f aca="false">TRIM(SUBSTITUTE(INDEX(LISTAS!$A$4:$T$63,B287,A287)&amp;"",CHAR(160)," "))</f>
        <v/>
      </c>
      <c r="D287" s="0" t="str">
        <f aca="false">IF(C287="","",TRIM(RIGHT(SUBSTITUTE(C287," ",REPT(" ",100)),100)))</f>
        <v/>
      </c>
      <c r="E287" s="0" t="str">
        <f aca="false">IF(D287="","",UPPER(SUBSTITUTE(SUBSTITUTE(D287,"(",""),")","")))</f>
        <v/>
      </c>
      <c r="F287" s="0" t="str">
        <f aca="false">IF(C287="","",LEFT(C287,FIND(" ",C287&amp;" ")-1))</f>
        <v/>
      </c>
      <c r="G287" s="0" t="n">
        <f aca="false">IFERROR(VALUE(SUBSTITUTE(LOWER(F287),"x","")),0)</f>
        <v>0</v>
      </c>
      <c r="H287" s="0" t="str">
        <f aca="false">IF(C287="","",TRIM(MID(C287,LEN(F287)+2,999)))</f>
        <v/>
      </c>
      <c r="I287" s="0" t="n">
        <f aca="false">IF(OR(C287="",LEFT(C287,2)="//"),0,IFERROR(IF(AND(G287&gt;0,G287=INT(G287),FIND("-",E287)&gt;1,NOT(EXACT(UPPER(LEFT(E287,1)),LOWER(LEFT(E287,1)))),ISNUMBER(VALUE(MID(E287,FIND("-",E287)+1,10)))),1,0),0))</f>
        <v>0</v>
      </c>
      <c r="J287" s="0" t="str">
        <f aca="false">IF(I287=1,TRIM(LEFT(H287,MAX(0,LEN(H287)-LEN(D287)))),"")</f>
        <v/>
      </c>
      <c r="K287" s="0" t="str">
        <f aca="false">INDEX($P$2:$P$21,A287)</f>
        <v>Deck 5</v>
      </c>
      <c r="L287" s="0" t="n">
        <f aca="false">IF(AND(C287&lt;&gt;"",LEFT(C287,2)&lt;&gt;"//",I287=0),1,0)</f>
        <v>0</v>
      </c>
      <c r="M287" s="0" t="str">
        <f aca="false">IF(I287=1,MAX(M$1:M286)+1,"")</f>
        <v/>
      </c>
      <c r="N287" s="0" t="str">
        <f aca="false">IFERROR(MATCH(ROW()-1,$V$2:$V$1201,0),"")</f>
        <v/>
      </c>
      <c r="R287" s="0" t="str">
        <f aca="false">IF(E287="","",IFERROR(LEFT(E287,FIND("-",E287)-1),E287))</f>
        <v/>
      </c>
      <c r="S287" s="0" t="str">
        <f aca="false">IF(R287="","",IF(ISNUMBER(--MID(R287,1,1)),0,IF(ISNUMBER(--MID(R287,2,1)),1,IF(ISNUMBER(--MID(R287,3,1)),2,IF(ISNUMBER(--MID(R287,4,1)),3,MIN(LEN(R287),4))))))</f>
        <v/>
      </c>
      <c r="T287" s="0" t="str">
        <f aca="false">IF(E287="","",LEFT(R287,S287)&amp;REPT("0",4-S287)&amp;RIGHT("000"&amp;IFERROR(VALUE(MID(R287,S287+1,9)),0),3)&amp;RIGHT("0000"&amp;IFERROR(VALUE(MID(E287,FIND("-",E287)+1,9)),0),4))</f>
        <v/>
      </c>
      <c r="U287" s="0" t="str">
        <f aca="false">IF(I287=1,"K"&amp;RIGHT("00"&amp;A287,2)&amp;T287&amp;RIGHT("00000"&amp;ROW(),5),"")</f>
        <v/>
      </c>
      <c r="V287" s="0" t="str">
        <f aca="false">IF(U287="","",COUNTIFS($I$2:$I$1201,1,$U$2:$U$1201,"&lt;"&amp;U287)+1)</f>
        <v/>
      </c>
    </row>
    <row r="288" customFormat="false" ht="15" hidden="false" customHeight="false" outlineLevel="0" collapsed="false">
      <c r="A288" s="0" t="n">
        <v>5</v>
      </c>
      <c r="B288" s="0" t="n">
        <v>47</v>
      </c>
      <c r="C288" s="0" t="str">
        <f aca="false">TRIM(SUBSTITUTE(INDEX(LISTAS!$A$4:$T$63,B288,A288)&amp;"",CHAR(160)," "))</f>
        <v/>
      </c>
      <c r="D288" s="0" t="str">
        <f aca="false">IF(C288="","",TRIM(RIGHT(SUBSTITUTE(C288," ",REPT(" ",100)),100)))</f>
        <v/>
      </c>
      <c r="E288" s="0" t="str">
        <f aca="false">IF(D288="","",UPPER(SUBSTITUTE(SUBSTITUTE(D288,"(",""),")","")))</f>
        <v/>
      </c>
      <c r="F288" s="0" t="str">
        <f aca="false">IF(C288="","",LEFT(C288,FIND(" ",C288&amp;" ")-1))</f>
        <v/>
      </c>
      <c r="G288" s="0" t="n">
        <f aca="false">IFERROR(VALUE(SUBSTITUTE(LOWER(F288),"x","")),0)</f>
        <v>0</v>
      </c>
      <c r="H288" s="0" t="str">
        <f aca="false">IF(C288="","",TRIM(MID(C288,LEN(F288)+2,999)))</f>
        <v/>
      </c>
      <c r="I288" s="0" t="n">
        <f aca="false">IF(OR(C288="",LEFT(C288,2)="//"),0,IFERROR(IF(AND(G288&gt;0,G288=INT(G288),FIND("-",E288)&gt;1,NOT(EXACT(UPPER(LEFT(E288,1)),LOWER(LEFT(E288,1)))),ISNUMBER(VALUE(MID(E288,FIND("-",E288)+1,10)))),1,0),0))</f>
        <v>0</v>
      </c>
      <c r="J288" s="0" t="str">
        <f aca="false">IF(I288=1,TRIM(LEFT(H288,MAX(0,LEN(H288)-LEN(D288)))),"")</f>
        <v/>
      </c>
      <c r="K288" s="0" t="str">
        <f aca="false">INDEX($P$2:$P$21,A288)</f>
        <v>Deck 5</v>
      </c>
      <c r="L288" s="0" t="n">
        <f aca="false">IF(AND(C288&lt;&gt;"",LEFT(C288,2)&lt;&gt;"//",I288=0),1,0)</f>
        <v>0</v>
      </c>
      <c r="M288" s="0" t="str">
        <f aca="false">IF(I288=1,MAX(M$1:M287)+1,"")</f>
        <v/>
      </c>
      <c r="N288" s="0" t="str">
        <f aca="false">IFERROR(MATCH(ROW()-1,$V$2:$V$1201,0),"")</f>
        <v/>
      </c>
      <c r="R288" s="0" t="str">
        <f aca="false">IF(E288="","",IFERROR(LEFT(E288,FIND("-",E288)-1),E288))</f>
        <v/>
      </c>
      <c r="S288" s="0" t="str">
        <f aca="false">IF(R288="","",IF(ISNUMBER(--MID(R288,1,1)),0,IF(ISNUMBER(--MID(R288,2,1)),1,IF(ISNUMBER(--MID(R288,3,1)),2,IF(ISNUMBER(--MID(R288,4,1)),3,MIN(LEN(R288),4))))))</f>
        <v/>
      </c>
      <c r="T288" s="0" t="str">
        <f aca="false">IF(E288="","",LEFT(R288,S288)&amp;REPT("0",4-S288)&amp;RIGHT("000"&amp;IFERROR(VALUE(MID(R288,S288+1,9)),0),3)&amp;RIGHT("0000"&amp;IFERROR(VALUE(MID(E288,FIND("-",E288)+1,9)),0),4))</f>
        <v/>
      </c>
      <c r="U288" s="0" t="str">
        <f aca="false">IF(I288=1,"K"&amp;RIGHT("00"&amp;A288,2)&amp;T288&amp;RIGHT("00000"&amp;ROW(),5),"")</f>
        <v/>
      </c>
      <c r="V288" s="0" t="str">
        <f aca="false">IF(U288="","",COUNTIFS($I$2:$I$1201,1,$U$2:$U$1201,"&lt;"&amp;U288)+1)</f>
        <v/>
      </c>
    </row>
    <row r="289" customFormat="false" ht="15" hidden="false" customHeight="false" outlineLevel="0" collapsed="false">
      <c r="A289" s="0" t="n">
        <v>5</v>
      </c>
      <c r="B289" s="0" t="n">
        <v>48</v>
      </c>
      <c r="C289" s="0" t="str">
        <f aca="false">TRIM(SUBSTITUTE(INDEX(LISTAS!$A$4:$T$63,B289,A289)&amp;"",CHAR(160)," "))</f>
        <v/>
      </c>
      <c r="D289" s="0" t="str">
        <f aca="false">IF(C289="","",TRIM(RIGHT(SUBSTITUTE(C289," ",REPT(" ",100)),100)))</f>
        <v/>
      </c>
      <c r="E289" s="0" t="str">
        <f aca="false">IF(D289="","",UPPER(SUBSTITUTE(SUBSTITUTE(D289,"(",""),")","")))</f>
        <v/>
      </c>
      <c r="F289" s="0" t="str">
        <f aca="false">IF(C289="","",LEFT(C289,FIND(" ",C289&amp;" ")-1))</f>
        <v/>
      </c>
      <c r="G289" s="0" t="n">
        <f aca="false">IFERROR(VALUE(SUBSTITUTE(LOWER(F289),"x","")),0)</f>
        <v>0</v>
      </c>
      <c r="H289" s="0" t="str">
        <f aca="false">IF(C289="","",TRIM(MID(C289,LEN(F289)+2,999)))</f>
        <v/>
      </c>
      <c r="I289" s="0" t="n">
        <f aca="false">IF(OR(C289="",LEFT(C289,2)="//"),0,IFERROR(IF(AND(G289&gt;0,G289=INT(G289),FIND("-",E289)&gt;1,NOT(EXACT(UPPER(LEFT(E289,1)),LOWER(LEFT(E289,1)))),ISNUMBER(VALUE(MID(E289,FIND("-",E289)+1,10)))),1,0),0))</f>
        <v>0</v>
      </c>
      <c r="J289" s="0" t="str">
        <f aca="false">IF(I289=1,TRIM(LEFT(H289,MAX(0,LEN(H289)-LEN(D289)))),"")</f>
        <v/>
      </c>
      <c r="K289" s="0" t="str">
        <f aca="false">INDEX($P$2:$P$21,A289)</f>
        <v>Deck 5</v>
      </c>
      <c r="L289" s="0" t="n">
        <f aca="false">IF(AND(C289&lt;&gt;"",LEFT(C289,2)&lt;&gt;"//",I289=0),1,0)</f>
        <v>0</v>
      </c>
      <c r="M289" s="0" t="str">
        <f aca="false">IF(I289=1,MAX(M$1:M288)+1,"")</f>
        <v/>
      </c>
      <c r="N289" s="0" t="str">
        <f aca="false">IFERROR(MATCH(ROW()-1,$V$2:$V$1201,0),"")</f>
        <v/>
      </c>
      <c r="R289" s="0" t="str">
        <f aca="false">IF(E289="","",IFERROR(LEFT(E289,FIND("-",E289)-1),E289))</f>
        <v/>
      </c>
      <c r="S289" s="0" t="str">
        <f aca="false">IF(R289="","",IF(ISNUMBER(--MID(R289,1,1)),0,IF(ISNUMBER(--MID(R289,2,1)),1,IF(ISNUMBER(--MID(R289,3,1)),2,IF(ISNUMBER(--MID(R289,4,1)),3,MIN(LEN(R289),4))))))</f>
        <v/>
      </c>
      <c r="T289" s="0" t="str">
        <f aca="false">IF(E289="","",LEFT(R289,S289)&amp;REPT("0",4-S289)&amp;RIGHT("000"&amp;IFERROR(VALUE(MID(R289,S289+1,9)),0),3)&amp;RIGHT("0000"&amp;IFERROR(VALUE(MID(E289,FIND("-",E289)+1,9)),0),4))</f>
        <v/>
      </c>
      <c r="U289" s="0" t="str">
        <f aca="false">IF(I289=1,"K"&amp;RIGHT("00"&amp;A289,2)&amp;T289&amp;RIGHT("00000"&amp;ROW(),5),"")</f>
        <v/>
      </c>
      <c r="V289" s="0" t="str">
        <f aca="false">IF(U289="","",COUNTIFS($I$2:$I$1201,1,$U$2:$U$1201,"&lt;"&amp;U289)+1)</f>
        <v/>
      </c>
    </row>
    <row r="290" customFormat="false" ht="15" hidden="false" customHeight="false" outlineLevel="0" collapsed="false">
      <c r="A290" s="0" t="n">
        <v>5</v>
      </c>
      <c r="B290" s="0" t="n">
        <v>49</v>
      </c>
      <c r="C290" s="0" t="str">
        <f aca="false">TRIM(SUBSTITUTE(INDEX(LISTAS!$A$4:$T$63,B290,A290)&amp;"",CHAR(160)," "))</f>
        <v/>
      </c>
      <c r="D290" s="0" t="str">
        <f aca="false">IF(C290="","",TRIM(RIGHT(SUBSTITUTE(C290," ",REPT(" ",100)),100)))</f>
        <v/>
      </c>
      <c r="E290" s="0" t="str">
        <f aca="false">IF(D290="","",UPPER(SUBSTITUTE(SUBSTITUTE(D290,"(",""),")","")))</f>
        <v/>
      </c>
      <c r="F290" s="0" t="str">
        <f aca="false">IF(C290="","",LEFT(C290,FIND(" ",C290&amp;" ")-1))</f>
        <v/>
      </c>
      <c r="G290" s="0" t="n">
        <f aca="false">IFERROR(VALUE(SUBSTITUTE(LOWER(F290),"x","")),0)</f>
        <v>0</v>
      </c>
      <c r="H290" s="0" t="str">
        <f aca="false">IF(C290="","",TRIM(MID(C290,LEN(F290)+2,999)))</f>
        <v/>
      </c>
      <c r="I290" s="0" t="n">
        <f aca="false">IF(OR(C290="",LEFT(C290,2)="//"),0,IFERROR(IF(AND(G290&gt;0,G290=INT(G290),FIND("-",E290)&gt;1,NOT(EXACT(UPPER(LEFT(E290,1)),LOWER(LEFT(E290,1)))),ISNUMBER(VALUE(MID(E290,FIND("-",E290)+1,10)))),1,0),0))</f>
        <v>0</v>
      </c>
      <c r="J290" s="0" t="str">
        <f aca="false">IF(I290=1,TRIM(LEFT(H290,MAX(0,LEN(H290)-LEN(D290)))),"")</f>
        <v/>
      </c>
      <c r="K290" s="0" t="str">
        <f aca="false">INDEX($P$2:$P$21,A290)</f>
        <v>Deck 5</v>
      </c>
      <c r="L290" s="0" t="n">
        <f aca="false">IF(AND(C290&lt;&gt;"",LEFT(C290,2)&lt;&gt;"//",I290=0),1,0)</f>
        <v>0</v>
      </c>
      <c r="M290" s="0" t="str">
        <f aca="false">IF(I290=1,MAX(M$1:M289)+1,"")</f>
        <v/>
      </c>
      <c r="N290" s="0" t="str">
        <f aca="false">IFERROR(MATCH(ROW()-1,$V$2:$V$1201,0),"")</f>
        <v/>
      </c>
      <c r="R290" s="0" t="str">
        <f aca="false">IF(E290="","",IFERROR(LEFT(E290,FIND("-",E290)-1),E290))</f>
        <v/>
      </c>
      <c r="S290" s="0" t="str">
        <f aca="false">IF(R290="","",IF(ISNUMBER(--MID(R290,1,1)),0,IF(ISNUMBER(--MID(R290,2,1)),1,IF(ISNUMBER(--MID(R290,3,1)),2,IF(ISNUMBER(--MID(R290,4,1)),3,MIN(LEN(R290),4))))))</f>
        <v/>
      </c>
      <c r="T290" s="0" t="str">
        <f aca="false">IF(E290="","",LEFT(R290,S290)&amp;REPT("0",4-S290)&amp;RIGHT("000"&amp;IFERROR(VALUE(MID(R290,S290+1,9)),0),3)&amp;RIGHT("0000"&amp;IFERROR(VALUE(MID(E290,FIND("-",E290)+1,9)),0),4))</f>
        <v/>
      </c>
      <c r="U290" s="0" t="str">
        <f aca="false">IF(I290=1,"K"&amp;RIGHT("00"&amp;A290,2)&amp;T290&amp;RIGHT("00000"&amp;ROW(),5),"")</f>
        <v/>
      </c>
      <c r="V290" s="0" t="str">
        <f aca="false">IF(U290="","",COUNTIFS($I$2:$I$1201,1,$U$2:$U$1201,"&lt;"&amp;U290)+1)</f>
        <v/>
      </c>
    </row>
    <row r="291" customFormat="false" ht="15" hidden="false" customHeight="false" outlineLevel="0" collapsed="false">
      <c r="A291" s="0" t="n">
        <v>5</v>
      </c>
      <c r="B291" s="0" t="n">
        <v>50</v>
      </c>
      <c r="C291" s="0" t="str">
        <f aca="false">TRIM(SUBSTITUTE(INDEX(LISTAS!$A$4:$T$63,B291,A291)&amp;"",CHAR(160)," "))</f>
        <v/>
      </c>
      <c r="D291" s="0" t="str">
        <f aca="false">IF(C291="","",TRIM(RIGHT(SUBSTITUTE(C291," ",REPT(" ",100)),100)))</f>
        <v/>
      </c>
      <c r="E291" s="0" t="str">
        <f aca="false">IF(D291="","",UPPER(SUBSTITUTE(SUBSTITUTE(D291,"(",""),")","")))</f>
        <v/>
      </c>
      <c r="F291" s="0" t="str">
        <f aca="false">IF(C291="","",LEFT(C291,FIND(" ",C291&amp;" ")-1))</f>
        <v/>
      </c>
      <c r="G291" s="0" t="n">
        <f aca="false">IFERROR(VALUE(SUBSTITUTE(LOWER(F291),"x","")),0)</f>
        <v>0</v>
      </c>
      <c r="H291" s="0" t="str">
        <f aca="false">IF(C291="","",TRIM(MID(C291,LEN(F291)+2,999)))</f>
        <v/>
      </c>
      <c r="I291" s="0" t="n">
        <f aca="false">IF(OR(C291="",LEFT(C291,2)="//"),0,IFERROR(IF(AND(G291&gt;0,G291=INT(G291),FIND("-",E291)&gt;1,NOT(EXACT(UPPER(LEFT(E291,1)),LOWER(LEFT(E291,1)))),ISNUMBER(VALUE(MID(E291,FIND("-",E291)+1,10)))),1,0),0))</f>
        <v>0</v>
      </c>
      <c r="J291" s="0" t="str">
        <f aca="false">IF(I291=1,TRIM(LEFT(H291,MAX(0,LEN(H291)-LEN(D291)))),"")</f>
        <v/>
      </c>
      <c r="K291" s="0" t="str">
        <f aca="false">INDEX($P$2:$P$21,A291)</f>
        <v>Deck 5</v>
      </c>
      <c r="L291" s="0" t="n">
        <f aca="false">IF(AND(C291&lt;&gt;"",LEFT(C291,2)&lt;&gt;"//",I291=0),1,0)</f>
        <v>0</v>
      </c>
      <c r="M291" s="0" t="str">
        <f aca="false">IF(I291=1,MAX(M$1:M290)+1,"")</f>
        <v/>
      </c>
      <c r="N291" s="0" t="str">
        <f aca="false">IFERROR(MATCH(ROW()-1,$V$2:$V$1201,0),"")</f>
        <v/>
      </c>
      <c r="R291" s="0" t="str">
        <f aca="false">IF(E291="","",IFERROR(LEFT(E291,FIND("-",E291)-1),E291))</f>
        <v/>
      </c>
      <c r="S291" s="0" t="str">
        <f aca="false">IF(R291="","",IF(ISNUMBER(--MID(R291,1,1)),0,IF(ISNUMBER(--MID(R291,2,1)),1,IF(ISNUMBER(--MID(R291,3,1)),2,IF(ISNUMBER(--MID(R291,4,1)),3,MIN(LEN(R291),4))))))</f>
        <v/>
      </c>
      <c r="T291" s="0" t="str">
        <f aca="false">IF(E291="","",LEFT(R291,S291)&amp;REPT("0",4-S291)&amp;RIGHT("000"&amp;IFERROR(VALUE(MID(R291,S291+1,9)),0),3)&amp;RIGHT("0000"&amp;IFERROR(VALUE(MID(E291,FIND("-",E291)+1,9)),0),4))</f>
        <v/>
      </c>
      <c r="U291" s="0" t="str">
        <f aca="false">IF(I291=1,"K"&amp;RIGHT("00"&amp;A291,2)&amp;T291&amp;RIGHT("00000"&amp;ROW(),5),"")</f>
        <v/>
      </c>
      <c r="V291" s="0" t="str">
        <f aca="false">IF(U291="","",COUNTIFS($I$2:$I$1201,1,$U$2:$U$1201,"&lt;"&amp;U291)+1)</f>
        <v/>
      </c>
    </row>
    <row r="292" customFormat="false" ht="15" hidden="false" customHeight="false" outlineLevel="0" collapsed="false">
      <c r="A292" s="0" t="n">
        <v>5</v>
      </c>
      <c r="B292" s="0" t="n">
        <v>51</v>
      </c>
      <c r="C292" s="0" t="str">
        <f aca="false">TRIM(SUBSTITUTE(INDEX(LISTAS!$A$4:$T$63,B292,A292)&amp;"",CHAR(160)," "))</f>
        <v/>
      </c>
      <c r="D292" s="0" t="str">
        <f aca="false">IF(C292="","",TRIM(RIGHT(SUBSTITUTE(C292," ",REPT(" ",100)),100)))</f>
        <v/>
      </c>
      <c r="E292" s="0" t="str">
        <f aca="false">IF(D292="","",UPPER(SUBSTITUTE(SUBSTITUTE(D292,"(",""),")","")))</f>
        <v/>
      </c>
      <c r="F292" s="0" t="str">
        <f aca="false">IF(C292="","",LEFT(C292,FIND(" ",C292&amp;" ")-1))</f>
        <v/>
      </c>
      <c r="G292" s="0" t="n">
        <f aca="false">IFERROR(VALUE(SUBSTITUTE(LOWER(F292),"x","")),0)</f>
        <v>0</v>
      </c>
      <c r="H292" s="0" t="str">
        <f aca="false">IF(C292="","",TRIM(MID(C292,LEN(F292)+2,999)))</f>
        <v/>
      </c>
      <c r="I292" s="0" t="n">
        <f aca="false">IF(OR(C292="",LEFT(C292,2)="//"),0,IFERROR(IF(AND(G292&gt;0,G292=INT(G292),FIND("-",E292)&gt;1,NOT(EXACT(UPPER(LEFT(E292,1)),LOWER(LEFT(E292,1)))),ISNUMBER(VALUE(MID(E292,FIND("-",E292)+1,10)))),1,0),0))</f>
        <v>0</v>
      </c>
      <c r="J292" s="0" t="str">
        <f aca="false">IF(I292=1,TRIM(LEFT(H292,MAX(0,LEN(H292)-LEN(D292)))),"")</f>
        <v/>
      </c>
      <c r="K292" s="0" t="str">
        <f aca="false">INDEX($P$2:$P$21,A292)</f>
        <v>Deck 5</v>
      </c>
      <c r="L292" s="0" t="n">
        <f aca="false">IF(AND(C292&lt;&gt;"",LEFT(C292,2)&lt;&gt;"//",I292=0),1,0)</f>
        <v>0</v>
      </c>
      <c r="M292" s="0" t="str">
        <f aca="false">IF(I292=1,MAX(M$1:M291)+1,"")</f>
        <v/>
      </c>
      <c r="N292" s="0" t="str">
        <f aca="false">IFERROR(MATCH(ROW()-1,$V$2:$V$1201,0),"")</f>
        <v/>
      </c>
      <c r="R292" s="0" t="str">
        <f aca="false">IF(E292="","",IFERROR(LEFT(E292,FIND("-",E292)-1),E292))</f>
        <v/>
      </c>
      <c r="S292" s="0" t="str">
        <f aca="false">IF(R292="","",IF(ISNUMBER(--MID(R292,1,1)),0,IF(ISNUMBER(--MID(R292,2,1)),1,IF(ISNUMBER(--MID(R292,3,1)),2,IF(ISNUMBER(--MID(R292,4,1)),3,MIN(LEN(R292),4))))))</f>
        <v/>
      </c>
      <c r="T292" s="0" t="str">
        <f aca="false">IF(E292="","",LEFT(R292,S292)&amp;REPT("0",4-S292)&amp;RIGHT("000"&amp;IFERROR(VALUE(MID(R292,S292+1,9)),0),3)&amp;RIGHT("0000"&amp;IFERROR(VALUE(MID(E292,FIND("-",E292)+1,9)),0),4))</f>
        <v/>
      </c>
      <c r="U292" s="0" t="str">
        <f aca="false">IF(I292=1,"K"&amp;RIGHT("00"&amp;A292,2)&amp;T292&amp;RIGHT("00000"&amp;ROW(),5),"")</f>
        <v/>
      </c>
      <c r="V292" s="0" t="str">
        <f aca="false">IF(U292="","",COUNTIFS($I$2:$I$1201,1,$U$2:$U$1201,"&lt;"&amp;U292)+1)</f>
        <v/>
      </c>
    </row>
    <row r="293" customFormat="false" ht="15" hidden="false" customHeight="false" outlineLevel="0" collapsed="false">
      <c r="A293" s="0" t="n">
        <v>5</v>
      </c>
      <c r="B293" s="0" t="n">
        <v>52</v>
      </c>
      <c r="C293" s="0" t="str">
        <f aca="false">TRIM(SUBSTITUTE(INDEX(LISTAS!$A$4:$T$63,B293,A293)&amp;"",CHAR(160)," "))</f>
        <v/>
      </c>
      <c r="D293" s="0" t="str">
        <f aca="false">IF(C293="","",TRIM(RIGHT(SUBSTITUTE(C293," ",REPT(" ",100)),100)))</f>
        <v/>
      </c>
      <c r="E293" s="0" t="str">
        <f aca="false">IF(D293="","",UPPER(SUBSTITUTE(SUBSTITUTE(D293,"(",""),")","")))</f>
        <v/>
      </c>
      <c r="F293" s="0" t="str">
        <f aca="false">IF(C293="","",LEFT(C293,FIND(" ",C293&amp;" ")-1))</f>
        <v/>
      </c>
      <c r="G293" s="0" t="n">
        <f aca="false">IFERROR(VALUE(SUBSTITUTE(LOWER(F293),"x","")),0)</f>
        <v>0</v>
      </c>
      <c r="H293" s="0" t="str">
        <f aca="false">IF(C293="","",TRIM(MID(C293,LEN(F293)+2,999)))</f>
        <v/>
      </c>
      <c r="I293" s="0" t="n">
        <f aca="false">IF(OR(C293="",LEFT(C293,2)="//"),0,IFERROR(IF(AND(G293&gt;0,G293=INT(G293),FIND("-",E293)&gt;1,NOT(EXACT(UPPER(LEFT(E293,1)),LOWER(LEFT(E293,1)))),ISNUMBER(VALUE(MID(E293,FIND("-",E293)+1,10)))),1,0),0))</f>
        <v>0</v>
      </c>
      <c r="J293" s="0" t="str">
        <f aca="false">IF(I293=1,TRIM(LEFT(H293,MAX(0,LEN(H293)-LEN(D293)))),"")</f>
        <v/>
      </c>
      <c r="K293" s="0" t="str">
        <f aca="false">INDEX($P$2:$P$21,A293)</f>
        <v>Deck 5</v>
      </c>
      <c r="L293" s="0" t="n">
        <f aca="false">IF(AND(C293&lt;&gt;"",LEFT(C293,2)&lt;&gt;"//",I293=0),1,0)</f>
        <v>0</v>
      </c>
      <c r="M293" s="0" t="str">
        <f aca="false">IF(I293=1,MAX(M$1:M292)+1,"")</f>
        <v/>
      </c>
      <c r="N293" s="0" t="str">
        <f aca="false">IFERROR(MATCH(ROW()-1,$V$2:$V$1201,0),"")</f>
        <v/>
      </c>
      <c r="R293" s="0" t="str">
        <f aca="false">IF(E293="","",IFERROR(LEFT(E293,FIND("-",E293)-1),E293))</f>
        <v/>
      </c>
      <c r="S293" s="0" t="str">
        <f aca="false">IF(R293="","",IF(ISNUMBER(--MID(R293,1,1)),0,IF(ISNUMBER(--MID(R293,2,1)),1,IF(ISNUMBER(--MID(R293,3,1)),2,IF(ISNUMBER(--MID(R293,4,1)),3,MIN(LEN(R293),4))))))</f>
        <v/>
      </c>
      <c r="T293" s="0" t="str">
        <f aca="false">IF(E293="","",LEFT(R293,S293)&amp;REPT("0",4-S293)&amp;RIGHT("000"&amp;IFERROR(VALUE(MID(R293,S293+1,9)),0),3)&amp;RIGHT("0000"&amp;IFERROR(VALUE(MID(E293,FIND("-",E293)+1,9)),0),4))</f>
        <v/>
      </c>
      <c r="U293" s="0" t="str">
        <f aca="false">IF(I293=1,"K"&amp;RIGHT("00"&amp;A293,2)&amp;T293&amp;RIGHT("00000"&amp;ROW(),5),"")</f>
        <v/>
      </c>
      <c r="V293" s="0" t="str">
        <f aca="false">IF(U293="","",COUNTIFS($I$2:$I$1201,1,$U$2:$U$1201,"&lt;"&amp;U293)+1)</f>
        <v/>
      </c>
    </row>
    <row r="294" customFormat="false" ht="15" hidden="false" customHeight="false" outlineLevel="0" collapsed="false">
      <c r="A294" s="0" t="n">
        <v>5</v>
      </c>
      <c r="B294" s="0" t="n">
        <v>53</v>
      </c>
      <c r="C294" s="0" t="str">
        <f aca="false">TRIM(SUBSTITUTE(INDEX(LISTAS!$A$4:$T$63,B294,A294)&amp;"",CHAR(160)," "))</f>
        <v/>
      </c>
      <c r="D294" s="0" t="str">
        <f aca="false">IF(C294="","",TRIM(RIGHT(SUBSTITUTE(C294," ",REPT(" ",100)),100)))</f>
        <v/>
      </c>
      <c r="E294" s="0" t="str">
        <f aca="false">IF(D294="","",UPPER(SUBSTITUTE(SUBSTITUTE(D294,"(",""),")","")))</f>
        <v/>
      </c>
      <c r="F294" s="0" t="str">
        <f aca="false">IF(C294="","",LEFT(C294,FIND(" ",C294&amp;" ")-1))</f>
        <v/>
      </c>
      <c r="G294" s="0" t="n">
        <f aca="false">IFERROR(VALUE(SUBSTITUTE(LOWER(F294),"x","")),0)</f>
        <v>0</v>
      </c>
      <c r="H294" s="0" t="str">
        <f aca="false">IF(C294="","",TRIM(MID(C294,LEN(F294)+2,999)))</f>
        <v/>
      </c>
      <c r="I294" s="0" t="n">
        <f aca="false">IF(OR(C294="",LEFT(C294,2)="//"),0,IFERROR(IF(AND(G294&gt;0,G294=INT(G294),FIND("-",E294)&gt;1,NOT(EXACT(UPPER(LEFT(E294,1)),LOWER(LEFT(E294,1)))),ISNUMBER(VALUE(MID(E294,FIND("-",E294)+1,10)))),1,0),0))</f>
        <v>0</v>
      </c>
      <c r="J294" s="0" t="str">
        <f aca="false">IF(I294=1,TRIM(LEFT(H294,MAX(0,LEN(H294)-LEN(D294)))),"")</f>
        <v/>
      </c>
      <c r="K294" s="0" t="str">
        <f aca="false">INDEX($P$2:$P$21,A294)</f>
        <v>Deck 5</v>
      </c>
      <c r="L294" s="0" t="n">
        <f aca="false">IF(AND(C294&lt;&gt;"",LEFT(C294,2)&lt;&gt;"//",I294=0),1,0)</f>
        <v>0</v>
      </c>
      <c r="M294" s="0" t="str">
        <f aca="false">IF(I294=1,MAX(M$1:M293)+1,"")</f>
        <v/>
      </c>
      <c r="N294" s="0" t="str">
        <f aca="false">IFERROR(MATCH(ROW()-1,$V$2:$V$1201,0),"")</f>
        <v/>
      </c>
      <c r="R294" s="0" t="str">
        <f aca="false">IF(E294="","",IFERROR(LEFT(E294,FIND("-",E294)-1),E294))</f>
        <v/>
      </c>
      <c r="S294" s="0" t="str">
        <f aca="false">IF(R294="","",IF(ISNUMBER(--MID(R294,1,1)),0,IF(ISNUMBER(--MID(R294,2,1)),1,IF(ISNUMBER(--MID(R294,3,1)),2,IF(ISNUMBER(--MID(R294,4,1)),3,MIN(LEN(R294),4))))))</f>
        <v/>
      </c>
      <c r="T294" s="0" t="str">
        <f aca="false">IF(E294="","",LEFT(R294,S294)&amp;REPT("0",4-S294)&amp;RIGHT("000"&amp;IFERROR(VALUE(MID(R294,S294+1,9)),0),3)&amp;RIGHT("0000"&amp;IFERROR(VALUE(MID(E294,FIND("-",E294)+1,9)),0),4))</f>
        <v/>
      </c>
      <c r="U294" s="0" t="str">
        <f aca="false">IF(I294=1,"K"&amp;RIGHT("00"&amp;A294,2)&amp;T294&amp;RIGHT("00000"&amp;ROW(),5),"")</f>
        <v/>
      </c>
      <c r="V294" s="0" t="str">
        <f aca="false">IF(U294="","",COUNTIFS($I$2:$I$1201,1,$U$2:$U$1201,"&lt;"&amp;U294)+1)</f>
        <v/>
      </c>
    </row>
    <row r="295" customFormat="false" ht="15" hidden="false" customHeight="false" outlineLevel="0" collapsed="false">
      <c r="A295" s="0" t="n">
        <v>5</v>
      </c>
      <c r="B295" s="0" t="n">
        <v>54</v>
      </c>
      <c r="C295" s="0" t="str">
        <f aca="false">TRIM(SUBSTITUTE(INDEX(LISTAS!$A$4:$T$63,B295,A295)&amp;"",CHAR(160)," "))</f>
        <v/>
      </c>
      <c r="D295" s="0" t="str">
        <f aca="false">IF(C295="","",TRIM(RIGHT(SUBSTITUTE(C295," ",REPT(" ",100)),100)))</f>
        <v/>
      </c>
      <c r="E295" s="0" t="str">
        <f aca="false">IF(D295="","",UPPER(SUBSTITUTE(SUBSTITUTE(D295,"(",""),")","")))</f>
        <v/>
      </c>
      <c r="F295" s="0" t="str">
        <f aca="false">IF(C295="","",LEFT(C295,FIND(" ",C295&amp;" ")-1))</f>
        <v/>
      </c>
      <c r="G295" s="0" t="n">
        <f aca="false">IFERROR(VALUE(SUBSTITUTE(LOWER(F295),"x","")),0)</f>
        <v>0</v>
      </c>
      <c r="H295" s="0" t="str">
        <f aca="false">IF(C295="","",TRIM(MID(C295,LEN(F295)+2,999)))</f>
        <v/>
      </c>
      <c r="I295" s="0" t="n">
        <f aca="false">IF(OR(C295="",LEFT(C295,2)="//"),0,IFERROR(IF(AND(G295&gt;0,G295=INT(G295),FIND("-",E295)&gt;1,NOT(EXACT(UPPER(LEFT(E295,1)),LOWER(LEFT(E295,1)))),ISNUMBER(VALUE(MID(E295,FIND("-",E295)+1,10)))),1,0),0))</f>
        <v>0</v>
      </c>
      <c r="J295" s="0" t="str">
        <f aca="false">IF(I295=1,TRIM(LEFT(H295,MAX(0,LEN(H295)-LEN(D295)))),"")</f>
        <v/>
      </c>
      <c r="K295" s="0" t="str">
        <f aca="false">INDEX($P$2:$P$21,A295)</f>
        <v>Deck 5</v>
      </c>
      <c r="L295" s="0" t="n">
        <f aca="false">IF(AND(C295&lt;&gt;"",LEFT(C295,2)&lt;&gt;"//",I295=0),1,0)</f>
        <v>0</v>
      </c>
      <c r="M295" s="0" t="str">
        <f aca="false">IF(I295=1,MAX(M$1:M294)+1,"")</f>
        <v/>
      </c>
      <c r="N295" s="0" t="str">
        <f aca="false">IFERROR(MATCH(ROW()-1,$V$2:$V$1201,0),"")</f>
        <v/>
      </c>
      <c r="R295" s="0" t="str">
        <f aca="false">IF(E295="","",IFERROR(LEFT(E295,FIND("-",E295)-1),E295))</f>
        <v/>
      </c>
      <c r="S295" s="0" t="str">
        <f aca="false">IF(R295="","",IF(ISNUMBER(--MID(R295,1,1)),0,IF(ISNUMBER(--MID(R295,2,1)),1,IF(ISNUMBER(--MID(R295,3,1)),2,IF(ISNUMBER(--MID(R295,4,1)),3,MIN(LEN(R295),4))))))</f>
        <v/>
      </c>
      <c r="T295" s="0" t="str">
        <f aca="false">IF(E295="","",LEFT(R295,S295)&amp;REPT("0",4-S295)&amp;RIGHT("000"&amp;IFERROR(VALUE(MID(R295,S295+1,9)),0),3)&amp;RIGHT("0000"&amp;IFERROR(VALUE(MID(E295,FIND("-",E295)+1,9)),0),4))</f>
        <v/>
      </c>
      <c r="U295" s="0" t="str">
        <f aca="false">IF(I295=1,"K"&amp;RIGHT("00"&amp;A295,2)&amp;T295&amp;RIGHT("00000"&amp;ROW(),5),"")</f>
        <v/>
      </c>
      <c r="V295" s="0" t="str">
        <f aca="false">IF(U295="","",COUNTIFS($I$2:$I$1201,1,$U$2:$U$1201,"&lt;"&amp;U295)+1)</f>
        <v/>
      </c>
    </row>
    <row r="296" customFormat="false" ht="15" hidden="false" customHeight="false" outlineLevel="0" collapsed="false">
      <c r="A296" s="0" t="n">
        <v>5</v>
      </c>
      <c r="B296" s="0" t="n">
        <v>55</v>
      </c>
      <c r="C296" s="0" t="str">
        <f aca="false">TRIM(SUBSTITUTE(INDEX(LISTAS!$A$4:$T$63,B296,A296)&amp;"",CHAR(160)," "))</f>
        <v/>
      </c>
      <c r="D296" s="0" t="str">
        <f aca="false">IF(C296="","",TRIM(RIGHT(SUBSTITUTE(C296," ",REPT(" ",100)),100)))</f>
        <v/>
      </c>
      <c r="E296" s="0" t="str">
        <f aca="false">IF(D296="","",UPPER(SUBSTITUTE(SUBSTITUTE(D296,"(",""),")","")))</f>
        <v/>
      </c>
      <c r="F296" s="0" t="str">
        <f aca="false">IF(C296="","",LEFT(C296,FIND(" ",C296&amp;" ")-1))</f>
        <v/>
      </c>
      <c r="G296" s="0" t="n">
        <f aca="false">IFERROR(VALUE(SUBSTITUTE(LOWER(F296),"x","")),0)</f>
        <v>0</v>
      </c>
      <c r="H296" s="0" t="str">
        <f aca="false">IF(C296="","",TRIM(MID(C296,LEN(F296)+2,999)))</f>
        <v/>
      </c>
      <c r="I296" s="0" t="n">
        <f aca="false">IF(OR(C296="",LEFT(C296,2)="//"),0,IFERROR(IF(AND(G296&gt;0,G296=INT(G296),FIND("-",E296)&gt;1,NOT(EXACT(UPPER(LEFT(E296,1)),LOWER(LEFT(E296,1)))),ISNUMBER(VALUE(MID(E296,FIND("-",E296)+1,10)))),1,0),0))</f>
        <v>0</v>
      </c>
      <c r="J296" s="0" t="str">
        <f aca="false">IF(I296=1,TRIM(LEFT(H296,MAX(0,LEN(H296)-LEN(D296)))),"")</f>
        <v/>
      </c>
      <c r="K296" s="0" t="str">
        <f aca="false">INDEX($P$2:$P$21,A296)</f>
        <v>Deck 5</v>
      </c>
      <c r="L296" s="0" t="n">
        <f aca="false">IF(AND(C296&lt;&gt;"",LEFT(C296,2)&lt;&gt;"//",I296=0),1,0)</f>
        <v>0</v>
      </c>
      <c r="M296" s="0" t="str">
        <f aca="false">IF(I296=1,MAX(M$1:M295)+1,"")</f>
        <v/>
      </c>
      <c r="N296" s="0" t="str">
        <f aca="false">IFERROR(MATCH(ROW()-1,$V$2:$V$1201,0),"")</f>
        <v/>
      </c>
      <c r="R296" s="0" t="str">
        <f aca="false">IF(E296="","",IFERROR(LEFT(E296,FIND("-",E296)-1),E296))</f>
        <v/>
      </c>
      <c r="S296" s="0" t="str">
        <f aca="false">IF(R296="","",IF(ISNUMBER(--MID(R296,1,1)),0,IF(ISNUMBER(--MID(R296,2,1)),1,IF(ISNUMBER(--MID(R296,3,1)),2,IF(ISNUMBER(--MID(R296,4,1)),3,MIN(LEN(R296),4))))))</f>
        <v/>
      </c>
      <c r="T296" s="0" t="str">
        <f aca="false">IF(E296="","",LEFT(R296,S296)&amp;REPT("0",4-S296)&amp;RIGHT("000"&amp;IFERROR(VALUE(MID(R296,S296+1,9)),0),3)&amp;RIGHT("0000"&amp;IFERROR(VALUE(MID(E296,FIND("-",E296)+1,9)),0),4))</f>
        <v/>
      </c>
      <c r="U296" s="0" t="str">
        <f aca="false">IF(I296=1,"K"&amp;RIGHT("00"&amp;A296,2)&amp;T296&amp;RIGHT("00000"&amp;ROW(),5),"")</f>
        <v/>
      </c>
      <c r="V296" s="0" t="str">
        <f aca="false">IF(U296="","",COUNTIFS($I$2:$I$1201,1,$U$2:$U$1201,"&lt;"&amp;U296)+1)</f>
        <v/>
      </c>
    </row>
    <row r="297" customFormat="false" ht="15" hidden="false" customHeight="false" outlineLevel="0" collapsed="false">
      <c r="A297" s="0" t="n">
        <v>5</v>
      </c>
      <c r="B297" s="0" t="n">
        <v>56</v>
      </c>
      <c r="C297" s="0" t="str">
        <f aca="false">TRIM(SUBSTITUTE(INDEX(LISTAS!$A$4:$T$63,B297,A297)&amp;"",CHAR(160)," "))</f>
        <v/>
      </c>
      <c r="D297" s="0" t="str">
        <f aca="false">IF(C297="","",TRIM(RIGHT(SUBSTITUTE(C297," ",REPT(" ",100)),100)))</f>
        <v/>
      </c>
      <c r="E297" s="0" t="str">
        <f aca="false">IF(D297="","",UPPER(SUBSTITUTE(SUBSTITUTE(D297,"(",""),")","")))</f>
        <v/>
      </c>
      <c r="F297" s="0" t="str">
        <f aca="false">IF(C297="","",LEFT(C297,FIND(" ",C297&amp;" ")-1))</f>
        <v/>
      </c>
      <c r="G297" s="0" t="n">
        <f aca="false">IFERROR(VALUE(SUBSTITUTE(LOWER(F297),"x","")),0)</f>
        <v>0</v>
      </c>
      <c r="H297" s="0" t="str">
        <f aca="false">IF(C297="","",TRIM(MID(C297,LEN(F297)+2,999)))</f>
        <v/>
      </c>
      <c r="I297" s="0" t="n">
        <f aca="false">IF(OR(C297="",LEFT(C297,2)="//"),0,IFERROR(IF(AND(G297&gt;0,G297=INT(G297),FIND("-",E297)&gt;1,NOT(EXACT(UPPER(LEFT(E297,1)),LOWER(LEFT(E297,1)))),ISNUMBER(VALUE(MID(E297,FIND("-",E297)+1,10)))),1,0),0))</f>
        <v>0</v>
      </c>
      <c r="J297" s="0" t="str">
        <f aca="false">IF(I297=1,TRIM(LEFT(H297,MAX(0,LEN(H297)-LEN(D297)))),"")</f>
        <v/>
      </c>
      <c r="K297" s="0" t="str">
        <f aca="false">INDEX($P$2:$P$21,A297)</f>
        <v>Deck 5</v>
      </c>
      <c r="L297" s="0" t="n">
        <f aca="false">IF(AND(C297&lt;&gt;"",LEFT(C297,2)&lt;&gt;"//",I297=0),1,0)</f>
        <v>0</v>
      </c>
      <c r="M297" s="0" t="str">
        <f aca="false">IF(I297=1,MAX(M$1:M296)+1,"")</f>
        <v/>
      </c>
      <c r="N297" s="0" t="str">
        <f aca="false">IFERROR(MATCH(ROW()-1,$V$2:$V$1201,0),"")</f>
        <v/>
      </c>
      <c r="R297" s="0" t="str">
        <f aca="false">IF(E297="","",IFERROR(LEFT(E297,FIND("-",E297)-1),E297))</f>
        <v/>
      </c>
      <c r="S297" s="0" t="str">
        <f aca="false">IF(R297="","",IF(ISNUMBER(--MID(R297,1,1)),0,IF(ISNUMBER(--MID(R297,2,1)),1,IF(ISNUMBER(--MID(R297,3,1)),2,IF(ISNUMBER(--MID(R297,4,1)),3,MIN(LEN(R297),4))))))</f>
        <v/>
      </c>
      <c r="T297" s="0" t="str">
        <f aca="false">IF(E297="","",LEFT(R297,S297)&amp;REPT("0",4-S297)&amp;RIGHT("000"&amp;IFERROR(VALUE(MID(R297,S297+1,9)),0),3)&amp;RIGHT("0000"&amp;IFERROR(VALUE(MID(E297,FIND("-",E297)+1,9)),0),4))</f>
        <v/>
      </c>
      <c r="U297" s="0" t="str">
        <f aca="false">IF(I297=1,"K"&amp;RIGHT("00"&amp;A297,2)&amp;T297&amp;RIGHT("00000"&amp;ROW(),5),"")</f>
        <v/>
      </c>
      <c r="V297" s="0" t="str">
        <f aca="false">IF(U297="","",COUNTIFS($I$2:$I$1201,1,$U$2:$U$1201,"&lt;"&amp;U297)+1)</f>
        <v/>
      </c>
    </row>
    <row r="298" customFormat="false" ht="15" hidden="false" customHeight="false" outlineLevel="0" collapsed="false">
      <c r="A298" s="0" t="n">
        <v>5</v>
      </c>
      <c r="B298" s="0" t="n">
        <v>57</v>
      </c>
      <c r="C298" s="0" t="str">
        <f aca="false">TRIM(SUBSTITUTE(INDEX(LISTAS!$A$4:$T$63,B298,A298)&amp;"",CHAR(160)," "))</f>
        <v/>
      </c>
      <c r="D298" s="0" t="str">
        <f aca="false">IF(C298="","",TRIM(RIGHT(SUBSTITUTE(C298," ",REPT(" ",100)),100)))</f>
        <v/>
      </c>
      <c r="E298" s="0" t="str">
        <f aca="false">IF(D298="","",UPPER(SUBSTITUTE(SUBSTITUTE(D298,"(",""),")","")))</f>
        <v/>
      </c>
      <c r="F298" s="0" t="str">
        <f aca="false">IF(C298="","",LEFT(C298,FIND(" ",C298&amp;" ")-1))</f>
        <v/>
      </c>
      <c r="G298" s="0" t="n">
        <f aca="false">IFERROR(VALUE(SUBSTITUTE(LOWER(F298),"x","")),0)</f>
        <v>0</v>
      </c>
      <c r="H298" s="0" t="str">
        <f aca="false">IF(C298="","",TRIM(MID(C298,LEN(F298)+2,999)))</f>
        <v/>
      </c>
      <c r="I298" s="0" t="n">
        <f aca="false">IF(OR(C298="",LEFT(C298,2)="//"),0,IFERROR(IF(AND(G298&gt;0,G298=INT(G298),FIND("-",E298)&gt;1,NOT(EXACT(UPPER(LEFT(E298,1)),LOWER(LEFT(E298,1)))),ISNUMBER(VALUE(MID(E298,FIND("-",E298)+1,10)))),1,0),0))</f>
        <v>0</v>
      </c>
      <c r="J298" s="0" t="str">
        <f aca="false">IF(I298=1,TRIM(LEFT(H298,MAX(0,LEN(H298)-LEN(D298)))),"")</f>
        <v/>
      </c>
      <c r="K298" s="0" t="str">
        <f aca="false">INDEX($P$2:$P$21,A298)</f>
        <v>Deck 5</v>
      </c>
      <c r="L298" s="0" t="n">
        <f aca="false">IF(AND(C298&lt;&gt;"",LEFT(C298,2)&lt;&gt;"//",I298=0),1,0)</f>
        <v>0</v>
      </c>
      <c r="M298" s="0" t="str">
        <f aca="false">IF(I298=1,MAX(M$1:M297)+1,"")</f>
        <v/>
      </c>
      <c r="N298" s="0" t="str">
        <f aca="false">IFERROR(MATCH(ROW()-1,$V$2:$V$1201,0),"")</f>
        <v/>
      </c>
      <c r="R298" s="0" t="str">
        <f aca="false">IF(E298="","",IFERROR(LEFT(E298,FIND("-",E298)-1),E298))</f>
        <v/>
      </c>
      <c r="S298" s="0" t="str">
        <f aca="false">IF(R298="","",IF(ISNUMBER(--MID(R298,1,1)),0,IF(ISNUMBER(--MID(R298,2,1)),1,IF(ISNUMBER(--MID(R298,3,1)),2,IF(ISNUMBER(--MID(R298,4,1)),3,MIN(LEN(R298),4))))))</f>
        <v/>
      </c>
      <c r="T298" s="0" t="str">
        <f aca="false">IF(E298="","",LEFT(R298,S298)&amp;REPT("0",4-S298)&amp;RIGHT("000"&amp;IFERROR(VALUE(MID(R298,S298+1,9)),0),3)&amp;RIGHT("0000"&amp;IFERROR(VALUE(MID(E298,FIND("-",E298)+1,9)),0),4))</f>
        <v/>
      </c>
      <c r="U298" s="0" t="str">
        <f aca="false">IF(I298=1,"K"&amp;RIGHT("00"&amp;A298,2)&amp;T298&amp;RIGHT("00000"&amp;ROW(),5),"")</f>
        <v/>
      </c>
      <c r="V298" s="0" t="str">
        <f aca="false">IF(U298="","",COUNTIFS($I$2:$I$1201,1,$U$2:$U$1201,"&lt;"&amp;U298)+1)</f>
        <v/>
      </c>
    </row>
    <row r="299" customFormat="false" ht="15" hidden="false" customHeight="false" outlineLevel="0" collapsed="false">
      <c r="A299" s="0" t="n">
        <v>5</v>
      </c>
      <c r="B299" s="0" t="n">
        <v>58</v>
      </c>
      <c r="C299" s="0" t="str">
        <f aca="false">TRIM(SUBSTITUTE(INDEX(LISTAS!$A$4:$T$63,B299,A299)&amp;"",CHAR(160)," "))</f>
        <v/>
      </c>
      <c r="D299" s="0" t="str">
        <f aca="false">IF(C299="","",TRIM(RIGHT(SUBSTITUTE(C299," ",REPT(" ",100)),100)))</f>
        <v/>
      </c>
      <c r="E299" s="0" t="str">
        <f aca="false">IF(D299="","",UPPER(SUBSTITUTE(SUBSTITUTE(D299,"(",""),")","")))</f>
        <v/>
      </c>
      <c r="F299" s="0" t="str">
        <f aca="false">IF(C299="","",LEFT(C299,FIND(" ",C299&amp;" ")-1))</f>
        <v/>
      </c>
      <c r="G299" s="0" t="n">
        <f aca="false">IFERROR(VALUE(SUBSTITUTE(LOWER(F299),"x","")),0)</f>
        <v>0</v>
      </c>
      <c r="H299" s="0" t="str">
        <f aca="false">IF(C299="","",TRIM(MID(C299,LEN(F299)+2,999)))</f>
        <v/>
      </c>
      <c r="I299" s="0" t="n">
        <f aca="false">IF(OR(C299="",LEFT(C299,2)="//"),0,IFERROR(IF(AND(G299&gt;0,G299=INT(G299),FIND("-",E299)&gt;1,NOT(EXACT(UPPER(LEFT(E299,1)),LOWER(LEFT(E299,1)))),ISNUMBER(VALUE(MID(E299,FIND("-",E299)+1,10)))),1,0),0))</f>
        <v>0</v>
      </c>
      <c r="J299" s="0" t="str">
        <f aca="false">IF(I299=1,TRIM(LEFT(H299,MAX(0,LEN(H299)-LEN(D299)))),"")</f>
        <v/>
      </c>
      <c r="K299" s="0" t="str">
        <f aca="false">INDEX($P$2:$P$21,A299)</f>
        <v>Deck 5</v>
      </c>
      <c r="L299" s="0" t="n">
        <f aca="false">IF(AND(C299&lt;&gt;"",LEFT(C299,2)&lt;&gt;"//",I299=0),1,0)</f>
        <v>0</v>
      </c>
      <c r="M299" s="0" t="str">
        <f aca="false">IF(I299=1,MAX(M$1:M298)+1,"")</f>
        <v/>
      </c>
      <c r="N299" s="0" t="str">
        <f aca="false">IFERROR(MATCH(ROW()-1,$V$2:$V$1201,0),"")</f>
        <v/>
      </c>
      <c r="R299" s="0" t="str">
        <f aca="false">IF(E299="","",IFERROR(LEFT(E299,FIND("-",E299)-1),E299))</f>
        <v/>
      </c>
      <c r="S299" s="0" t="str">
        <f aca="false">IF(R299="","",IF(ISNUMBER(--MID(R299,1,1)),0,IF(ISNUMBER(--MID(R299,2,1)),1,IF(ISNUMBER(--MID(R299,3,1)),2,IF(ISNUMBER(--MID(R299,4,1)),3,MIN(LEN(R299),4))))))</f>
        <v/>
      </c>
      <c r="T299" s="0" t="str">
        <f aca="false">IF(E299="","",LEFT(R299,S299)&amp;REPT("0",4-S299)&amp;RIGHT("000"&amp;IFERROR(VALUE(MID(R299,S299+1,9)),0),3)&amp;RIGHT("0000"&amp;IFERROR(VALUE(MID(E299,FIND("-",E299)+1,9)),0),4))</f>
        <v/>
      </c>
      <c r="U299" s="0" t="str">
        <f aca="false">IF(I299=1,"K"&amp;RIGHT("00"&amp;A299,2)&amp;T299&amp;RIGHT("00000"&amp;ROW(),5),"")</f>
        <v/>
      </c>
      <c r="V299" s="0" t="str">
        <f aca="false">IF(U299="","",COUNTIFS($I$2:$I$1201,1,$U$2:$U$1201,"&lt;"&amp;U299)+1)</f>
        <v/>
      </c>
    </row>
    <row r="300" customFormat="false" ht="15" hidden="false" customHeight="false" outlineLevel="0" collapsed="false">
      <c r="A300" s="0" t="n">
        <v>5</v>
      </c>
      <c r="B300" s="0" t="n">
        <v>59</v>
      </c>
      <c r="C300" s="0" t="str">
        <f aca="false">TRIM(SUBSTITUTE(INDEX(LISTAS!$A$4:$T$63,B300,A300)&amp;"",CHAR(160)," "))</f>
        <v/>
      </c>
      <c r="D300" s="0" t="str">
        <f aca="false">IF(C300="","",TRIM(RIGHT(SUBSTITUTE(C300," ",REPT(" ",100)),100)))</f>
        <v/>
      </c>
      <c r="E300" s="0" t="str">
        <f aca="false">IF(D300="","",UPPER(SUBSTITUTE(SUBSTITUTE(D300,"(",""),")","")))</f>
        <v/>
      </c>
      <c r="F300" s="0" t="str">
        <f aca="false">IF(C300="","",LEFT(C300,FIND(" ",C300&amp;" ")-1))</f>
        <v/>
      </c>
      <c r="G300" s="0" t="n">
        <f aca="false">IFERROR(VALUE(SUBSTITUTE(LOWER(F300),"x","")),0)</f>
        <v>0</v>
      </c>
      <c r="H300" s="0" t="str">
        <f aca="false">IF(C300="","",TRIM(MID(C300,LEN(F300)+2,999)))</f>
        <v/>
      </c>
      <c r="I300" s="0" t="n">
        <f aca="false">IF(OR(C300="",LEFT(C300,2)="//"),0,IFERROR(IF(AND(G300&gt;0,G300=INT(G300),FIND("-",E300)&gt;1,NOT(EXACT(UPPER(LEFT(E300,1)),LOWER(LEFT(E300,1)))),ISNUMBER(VALUE(MID(E300,FIND("-",E300)+1,10)))),1,0),0))</f>
        <v>0</v>
      </c>
      <c r="J300" s="0" t="str">
        <f aca="false">IF(I300=1,TRIM(LEFT(H300,MAX(0,LEN(H300)-LEN(D300)))),"")</f>
        <v/>
      </c>
      <c r="K300" s="0" t="str">
        <f aca="false">INDEX($P$2:$P$21,A300)</f>
        <v>Deck 5</v>
      </c>
      <c r="L300" s="0" t="n">
        <f aca="false">IF(AND(C300&lt;&gt;"",LEFT(C300,2)&lt;&gt;"//",I300=0),1,0)</f>
        <v>0</v>
      </c>
      <c r="M300" s="0" t="str">
        <f aca="false">IF(I300=1,MAX(M$1:M299)+1,"")</f>
        <v/>
      </c>
      <c r="N300" s="0" t="str">
        <f aca="false">IFERROR(MATCH(ROW()-1,$V$2:$V$1201,0),"")</f>
        <v/>
      </c>
      <c r="R300" s="0" t="str">
        <f aca="false">IF(E300="","",IFERROR(LEFT(E300,FIND("-",E300)-1),E300))</f>
        <v/>
      </c>
      <c r="S300" s="0" t="str">
        <f aca="false">IF(R300="","",IF(ISNUMBER(--MID(R300,1,1)),0,IF(ISNUMBER(--MID(R300,2,1)),1,IF(ISNUMBER(--MID(R300,3,1)),2,IF(ISNUMBER(--MID(R300,4,1)),3,MIN(LEN(R300),4))))))</f>
        <v/>
      </c>
      <c r="T300" s="0" t="str">
        <f aca="false">IF(E300="","",LEFT(R300,S300)&amp;REPT("0",4-S300)&amp;RIGHT("000"&amp;IFERROR(VALUE(MID(R300,S300+1,9)),0),3)&amp;RIGHT("0000"&amp;IFERROR(VALUE(MID(E300,FIND("-",E300)+1,9)),0),4))</f>
        <v/>
      </c>
      <c r="U300" s="0" t="str">
        <f aca="false">IF(I300=1,"K"&amp;RIGHT("00"&amp;A300,2)&amp;T300&amp;RIGHT("00000"&amp;ROW(),5),"")</f>
        <v/>
      </c>
      <c r="V300" s="0" t="str">
        <f aca="false">IF(U300="","",COUNTIFS($I$2:$I$1201,1,$U$2:$U$1201,"&lt;"&amp;U300)+1)</f>
        <v/>
      </c>
    </row>
    <row r="301" customFormat="false" ht="15" hidden="false" customHeight="false" outlineLevel="0" collapsed="false">
      <c r="A301" s="0" t="n">
        <v>5</v>
      </c>
      <c r="B301" s="0" t="n">
        <v>60</v>
      </c>
      <c r="C301" s="0" t="str">
        <f aca="false">TRIM(SUBSTITUTE(INDEX(LISTAS!$A$4:$T$63,B301,A301)&amp;"",CHAR(160)," "))</f>
        <v/>
      </c>
      <c r="D301" s="0" t="str">
        <f aca="false">IF(C301="","",TRIM(RIGHT(SUBSTITUTE(C301," ",REPT(" ",100)),100)))</f>
        <v/>
      </c>
      <c r="E301" s="0" t="str">
        <f aca="false">IF(D301="","",UPPER(SUBSTITUTE(SUBSTITUTE(D301,"(",""),")","")))</f>
        <v/>
      </c>
      <c r="F301" s="0" t="str">
        <f aca="false">IF(C301="","",LEFT(C301,FIND(" ",C301&amp;" ")-1))</f>
        <v/>
      </c>
      <c r="G301" s="0" t="n">
        <f aca="false">IFERROR(VALUE(SUBSTITUTE(LOWER(F301),"x","")),0)</f>
        <v>0</v>
      </c>
      <c r="H301" s="0" t="str">
        <f aca="false">IF(C301="","",TRIM(MID(C301,LEN(F301)+2,999)))</f>
        <v/>
      </c>
      <c r="I301" s="0" t="n">
        <f aca="false">IF(OR(C301="",LEFT(C301,2)="//"),0,IFERROR(IF(AND(G301&gt;0,G301=INT(G301),FIND("-",E301)&gt;1,NOT(EXACT(UPPER(LEFT(E301,1)),LOWER(LEFT(E301,1)))),ISNUMBER(VALUE(MID(E301,FIND("-",E301)+1,10)))),1,0),0))</f>
        <v>0</v>
      </c>
      <c r="J301" s="0" t="str">
        <f aca="false">IF(I301=1,TRIM(LEFT(H301,MAX(0,LEN(H301)-LEN(D301)))),"")</f>
        <v/>
      </c>
      <c r="K301" s="0" t="str">
        <f aca="false">INDEX($P$2:$P$21,A301)</f>
        <v>Deck 5</v>
      </c>
      <c r="L301" s="0" t="n">
        <f aca="false">IF(AND(C301&lt;&gt;"",LEFT(C301,2)&lt;&gt;"//",I301=0),1,0)</f>
        <v>0</v>
      </c>
      <c r="M301" s="0" t="str">
        <f aca="false">IF(I301=1,MAX(M$1:M300)+1,"")</f>
        <v/>
      </c>
      <c r="N301" s="0" t="str">
        <f aca="false">IFERROR(MATCH(ROW()-1,$V$2:$V$1201,0),"")</f>
        <v/>
      </c>
      <c r="R301" s="0" t="str">
        <f aca="false">IF(E301="","",IFERROR(LEFT(E301,FIND("-",E301)-1),E301))</f>
        <v/>
      </c>
      <c r="S301" s="0" t="str">
        <f aca="false">IF(R301="","",IF(ISNUMBER(--MID(R301,1,1)),0,IF(ISNUMBER(--MID(R301,2,1)),1,IF(ISNUMBER(--MID(R301,3,1)),2,IF(ISNUMBER(--MID(R301,4,1)),3,MIN(LEN(R301),4))))))</f>
        <v/>
      </c>
      <c r="T301" s="0" t="str">
        <f aca="false">IF(E301="","",LEFT(R301,S301)&amp;REPT("0",4-S301)&amp;RIGHT("000"&amp;IFERROR(VALUE(MID(R301,S301+1,9)),0),3)&amp;RIGHT("0000"&amp;IFERROR(VALUE(MID(E301,FIND("-",E301)+1,9)),0),4))</f>
        <v/>
      </c>
      <c r="U301" s="0" t="str">
        <f aca="false">IF(I301=1,"K"&amp;RIGHT("00"&amp;A301,2)&amp;T301&amp;RIGHT("00000"&amp;ROW(),5),"")</f>
        <v/>
      </c>
      <c r="V301" s="0" t="str">
        <f aca="false">IF(U301="","",COUNTIFS($I$2:$I$1201,1,$U$2:$U$1201,"&lt;"&amp;U301)+1)</f>
        <v/>
      </c>
    </row>
    <row r="302" customFormat="false" ht="15" hidden="false" customHeight="false" outlineLevel="0" collapsed="false">
      <c r="A302" s="0" t="n">
        <v>6</v>
      </c>
      <c r="B302" s="0" t="n">
        <v>1</v>
      </c>
      <c r="C302" s="0" t="str">
        <f aca="false">TRIM(SUBSTITUTE(INDEX(LISTAS!$A$4:$T$63,B302,A302)&amp;"",CHAR(160)," "))</f>
        <v/>
      </c>
      <c r="D302" s="0" t="str">
        <f aca="false">IF(C302="","",TRIM(RIGHT(SUBSTITUTE(C302," ",REPT(" ",100)),100)))</f>
        <v/>
      </c>
      <c r="E302" s="0" t="str">
        <f aca="false">IF(D302="","",UPPER(SUBSTITUTE(SUBSTITUTE(D302,"(",""),")","")))</f>
        <v/>
      </c>
      <c r="F302" s="0" t="str">
        <f aca="false">IF(C302="","",LEFT(C302,FIND(" ",C302&amp;" ")-1))</f>
        <v/>
      </c>
      <c r="G302" s="0" t="n">
        <f aca="false">IFERROR(VALUE(SUBSTITUTE(LOWER(F302),"x","")),0)</f>
        <v>0</v>
      </c>
      <c r="H302" s="0" t="str">
        <f aca="false">IF(C302="","",TRIM(MID(C302,LEN(F302)+2,999)))</f>
        <v/>
      </c>
      <c r="I302" s="0" t="n">
        <f aca="false">IF(OR(C302="",LEFT(C302,2)="//"),0,IFERROR(IF(AND(G302&gt;0,G302=INT(G302),FIND("-",E302)&gt;1,NOT(EXACT(UPPER(LEFT(E302,1)),LOWER(LEFT(E302,1)))),ISNUMBER(VALUE(MID(E302,FIND("-",E302)+1,10)))),1,0),0))</f>
        <v>0</v>
      </c>
      <c r="J302" s="0" t="str">
        <f aca="false">IF(I302=1,TRIM(LEFT(H302,MAX(0,LEN(H302)-LEN(D302)))),"")</f>
        <v/>
      </c>
      <c r="K302" s="0" t="str">
        <f aca="false">INDEX($P$2:$P$21,A302)</f>
        <v>Deck 6</v>
      </c>
      <c r="L302" s="0" t="n">
        <f aca="false">IF(AND(C302&lt;&gt;"",LEFT(C302,2)&lt;&gt;"//",I302=0),1,0)</f>
        <v>0</v>
      </c>
      <c r="M302" s="0" t="str">
        <f aca="false">IF(I302=1,MAX(M$1:M301)+1,"")</f>
        <v/>
      </c>
      <c r="N302" s="0" t="str">
        <f aca="false">IFERROR(MATCH(ROW()-1,$V$2:$V$1201,0),"")</f>
        <v/>
      </c>
      <c r="R302" s="0" t="str">
        <f aca="false">IF(E302="","",IFERROR(LEFT(E302,FIND("-",E302)-1),E302))</f>
        <v/>
      </c>
      <c r="S302" s="0" t="str">
        <f aca="false">IF(R302="","",IF(ISNUMBER(--MID(R302,1,1)),0,IF(ISNUMBER(--MID(R302,2,1)),1,IF(ISNUMBER(--MID(R302,3,1)),2,IF(ISNUMBER(--MID(R302,4,1)),3,MIN(LEN(R302),4))))))</f>
        <v/>
      </c>
      <c r="T302" s="0" t="str">
        <f aca="false">IF(E302="","",LEFT(R302,S302)&amp;REPT("0",4-S302)&amp;RIGHT("000"&amp;IFERROR(VALUE(MID(R302,S302+1,9)),0),3)&amp;RIGHT("0000"&amp;IFERROR(VALUE(MID(E302,FIND("-",E302)+1,9)),0),4))</f>
        <v/>
      </c>
      <c r="U302" s="0" t="str">
        <f aca="false">IF(I302=1,"K"&amp;RIGHT("00"&amp;A302,2)&amp;T302&amp;RIGHT("00000"&amp;ROW(),5),"")</f>
        <v/>
      </c>
      <c r="V302" s="0" t="str">
        <f aca="false">IF(U302="","",COUNTIFS($I$2:$I$1201,1,$U$2:$U$1201,"&lt;"&amp;U302)+1)</f>
        <v/>
      </c>
    </row>
    <row r="303" customFormat="false" ht="15" hidden="false" customHeight="false" outlineLevel="0" collapsed="false">
      <c r="A303" s="0" t="n">
        <v>6</v>
      </c>
      <c r="B303" s="0" t="n">
        <v>2</v>
      </c>
      <c r="C303" s="0" t="str">
        <f aca="false">TRIM(SUBSTITUTE(INDEX(LISTAS!$A$4:$T$63,B303,A303)&amp;"",CHAR(160)," "))</f>
        <v/>
      </c>
      <c r="D303" s="0" t="str">
        <f aca="false">IF(C303="","",TRIM(RIGHT(SUBSTITUTE(C303," ",REPT(" ",100)),100)))</f>
        <v/>
      </c>
      <c r="E303" s="0" t="str">
        <f aca="false">IF(D303="","",UPPER(SUBSTITUTE(SUBSTITUTE(D303,"(",""),")","")))</f>
        <v/>
      </c>
      <c r="F303" s="0" t="str">
        <f aca="false">IF(C303="","",LEFT(C303,FIND(" ",C303&amp;" ")-1))</f>
        <v/>
      </c>
      <c r="G303" s="0" t="n">
        <f aca="false">IFERROR(VALUE(SUBSTITUTE(LOWER(F303),"x","")),0)</f>
        <v>0</v>
      </c>
      <c r="H303" s="0" t="str">
        <f aca="false">IF(C303="","",TRIM(MID(C303,LEN(F303)+2,999)))</f>
        <v/>
      </c>
      <c r="I303" s="0" t="n">
        <f aca="false">IF(OR(C303="",LEFT(C303,2)="//"),0,IFERROR(IF(AND(G303&gt;0,G303=INT(G303),FIND("-",E303)&gt;1,NOT(EXACT(UPPER(LEFT(E303,1)),LOWER(LEFT(E303,1)))),ISNUMBER(VALUE(MID(E303,FIND("-",E303)+1,10)))),1,0),0))</f>
        <v>0</v>
      </c>
      <c r="J303" s="0" t="str">
        <f aca="false">IF(I303=1,TRIM(LEFT(H303,MAX(0,LEN(H303)-LEN(D303)))),"")</f>
        <v/>
      </c>
      <c r="K303" s="0" t="str">
        <f aca="false">INDEX($P$2:$P$21,A303)</f>
        <v>Deck 6</v>
      </c>
      <c r="L303" s="0" t="n">
        <f aca="false">IF(AND(C303&lt;&gt;"",LEFT(C303,2)&lt;&gt;"//",I303=0),1,0)</f>
        <v>0</v>
      </c>
      <c r="M303" s="0" t="str">
        <f aca="false">IF(I303=1,MAX(M$1:M302)+1,"")</f>
        <v/>
      </c>
      <c r="N303" s="0" t="str">
        <f aca="false">IFERROR(MATCH(ROW()-1,$V$2:$V$1201,0),"")</f>
        <v/>
      </c>
      <c r="R303" s="0" t="str">
        <f aca="false">IF(E303="","",IFERROR(LEFT(E303,FIND("-",E303)-1),E303))</f>
        <v/>
      </c>
      <c r="S303" s="0" t="str">
        <f aca="false">IF(R303="","",IF(ISNUMBER(--MID(R303,1,1)),0,IF(ISNUMBER(--MID(R303,2,1)),1,IF(ISNUMBER(--MID(R303,3,1)),2,IF(ISNUMBER(--MID(R303,4,1)),3,MIN(LEN(R303),4))))))</f>
        <v/>
      </c>
      <c r="T303" s="0" t="str">
        <f aca="false">IF(E303="","",LEFT(R303,S303)&amp;REPT("0",4-S303)&amp;RIGHT("000"&amp;IFERROR(VALUE(MID(R303,S303+1,9)),0),3)&amp;RIGHT("0000"&amp;IFERROR(VALUE(MID(E303,FIND("-",E303)+1,9)),0),4))</f>
        <v/>
      </c>
      <c r="U303" s="0" t="str">
        <f aca="false">IF(I303=1,"K"&amp;RIGHT("00"&amp;A303,2)&amp;T303&amp;RIGHT("00000"&amp;ROW(),5),"")</f>
        <v/>
      </c>
      <c r="V303" s="0" t="str">
        <f aca="false">IF(U303="","",COUNTIFS($I$2:$I$1201,1,$U$2:$U$1201,"&lt;"&amp;U303)+1)</f>
        <v/>
      </c>
    </row>
    <row r="304" customFormat="false" ht="15" hidden="false" customHeight="false" outlineLevel="0" collapsed="false">
      <c r="A304" s="0" t="n">
        <v>6</v>
      </c>
      <c r="B304" s="0" t="n">
        <v>3</v>
      </c>
      <c r="C304" s="0" t="str">
        <f aca="false">TRIM(SUBSTITUTE(INDEX(LISTAS!$A$4:$T$63,B304,A304)&amp;"",CHAR(160)," "))</f>
        <v/>
      </c>
      <c r="D304" s="0" t="str">
        <f aca="false">IF(C304="","",TRIM(RIGHT(SUBSTITUTE(C304," ",REPT(" ",100)),100)))</f>
        <v/>
      </c>
      <c r="E304" s="0" t="str">
        <f aca="false">IF(D304="","",UPPER(SUBSTITUTE(SUBSTITUTE(D304,"(",""),")","")))</f>
        <v/>
      </c>
      <c r="F304" s="0" t="str">
        <f aca="false">IF(C304="","",LEFT(C304,FIND(" ",C304&amp;" ")-1))</f>
        <v/>
      </c>
      <c r="G304" s="0" t="n">
        <f aca="false">IFERROR(VALUE(SUBSTITUTE(LOWER(F304),"x","")),0)</f>
        <v>0</v>
      </c>
      <c r="H304" s="0" t="str">
        <f aca="false">IF(C304="","",TRIM(MID(C304,LEN(F304)+2,999)))</f>
        <v/>
      </c>
      <c r="I304" s="0" t="n">
        <f aca="false">IF(OR(C304="",LEFT(C304,2)="//"),0,IFERROR(IF(AND(G304&gt;0,G304=INT(G304),FIND("-",E304)&gt;1,NOT(EXACT(UPPER(LEFT(E304,1)),LOWER(LEFT(E304,1)))),ISNUMBER(VALUE(MID(E304,FIND("-",E304)+1,10)))),1,0),0))</f>
        <v>0</v>
      </c>
      <c r="J304" s="0" t="str">
        <f aca="false">IF(I304=1,TRIM(LEFT(H304,MAX(0,LEN(H304)-LEN(D304)))),"")</f>
        <v/>
      </c>
      <c r="K304" s="0" t="str">
        <f aca="false">INDEX($P$2:$P$21,A304)</f>
        <v>Deck 6</v>
      </c>
      <c r="L304" s="0" t="n">
        <f aca="false">IF(AND(C304&lt;&gt;"",LEFT(C304,2)&lt;&gt;"//",I304=0),1,0)</f>
        <v>0</v>
      </c>
      <c r="M304" s="0" t="str">
        <f aca="false">IF(I304=1,MAX(M$1:M303)+1,"")</f>
        <v/>
      </c>
      <c r="N304" s="0" t="str">
        <f aca="false">IFERROR(MATCH(ROW()-1,$V$2:$V$1201,0),"")</f>
        <v/>
      </c>
      <c r="R304" s="0" t="str">
        <f aca="false">IF(E304="","",IFERROR(LEFT(E304,FIND("-",E304)-1),E304))</f>
        <v/>
      </c>
      <c r="S304" s="0" t="str">
        <f aca="false">IF(R304="","",IF(ISNUMBER(--MID(R304,1,1)),0,IF(ISNUMBER(--MID(R304,2,1)),1,IF(ISNUMBER(--MID(R304,3,1)),2,IF(ISNUMBER(--MID(R304,4,1)),3,MIN(LEN(R304),4))))))</f>
        <v/>
      </c>
      <c r="T304" s="0" t="str">
        <f aca="false">IF(E304="","",LEFT(R304,S304)&amp;REPT("0",4-S304)&amp;RIGHT("000"&amp;IFERROR(VALUE(MID(R304,S304+1,9)),0),3)&amp;RIGHT("0000"&amp;IFERROR(VALUE(MID(E304,FIND("-",E304)+1,9)),0),4))</f>
        <v/>
      </c>
      <c r="U304" s="0" t="str">
        <f aca="false">IF(I304=1,"K"&amp;RIGHT("00"&amp;A304,2)&amp;T304&amp;RIGHT("00000"&amp;ROW(),5),"")</f>
        <v/>
      </c>
      <c r="V304" s="0" t="str">
        <f aca="false">IF(U304="","",COUNTIFS($I$2:$I$1201,1,$U$2:$U$1201,"&lt;"&amp;U304)+1)</f>
        <v/>
      </c>
    </row>
    <row r="305" customFormat="false" ht="15" hidden="false" customHeight="false" outlineLevel="0" collapsed="false">
      <c r="A305" s="0" t="n">
        <v>6</v>
      </c>
      <c r="B305" s="0" t="n">
        <v>4</v>
      </c>
      <c r="C305" s="0" t="str">
        <f aca="false">TRIM(SUBSTITUTE(INDEX(LISTAS!$A$4:$T$63,B305,A305)&amp;"",CHAR(160)," "))</f>
        <v/>
      </c>
      <c r="D305" s="0" t="str">
        <f aca="false">IF(C305="","",TRIM(RIGHT(SUBSTITUTE(C305," ",REPT(" ",100)),100)))</f>
        <v/>
      </c>
      <c r="E305" s="0" t="str">
        <f aca="false">IF(D305="","",UPPER(SUBSTITUTE(SUBSTITUTE(D305,"(",""),")","")))</f>
        <v/>
      </c>
      <c r="F305" s="0" t="str">
        <f aca="false">IF(C305="","",LEFT(C305,FIND(" ",C305&amp;" ")-1))</f>
        <v/>
      </c>
      <c r="G305" s="0" t="n">
        <f aca="false">IFERROR(VALUE(SUBSTITUTE(LOWER(F305),"x","")),0)</f>
        <v>0</v>
      </c>
      <c r="H305" s="0" t="str">
        <f aca="false">IF(C305="","",TRIM(MID(C305,LEN(F305)+2,999)))</f>
        <v/>
      </c>
      <c r="I305" s="0" t="n">
        <f aca="false">IF(OR(C305="",LEFT(C305,2)="//"),0,IFERROR(IF(AND(G305&gt;0,G305=INT(G305),FIND("-",E305)&gt;1,NOT(EXACT(UPPER(LEFT(E305,1)),LOWER(LEFT(E305,1)))),ISNUMBER(VALUE(MID(E305,FIND("-",E305)+1,10)))),1,0),0))</f>
        <v>0</v>
      </c>
      <c r="J305" s="0" t="str">
        <f aca="false">IF(I305=1,TRIM(LEFT(H305,MAX(0,LEN(H305)-LEN(D305)))),"")</f>
        <v/>
      </c>
      <c r="K305" s="0" t="str">
        <f aca="false">INDEX($P$2:$P$21,A305)</f>
        <v>Deck 6</v>
      </c>
      <c r="L305" s="0" t="n">
        <f aca="false">IF(AND(C305&lt;&gt;"",LEFT(C305,2)&lt;&gt;"//",I305=0),1,0)</f>
        <v>0</v>
      </c>
      <c r="M305" s="0" t="str">
        <f aca="false">IF(I305=1,MAX(M$1:M304)+1,"")</f>
        <v/>
      </c>
      <c r="N305" s="0" t="str">
        <f aca="false">IFERROR(MATCH(ROW()-1,$V$2:$V$1201,0),"")</f>
        <v/>
      </c>
      <c r="R305" s="0" t="str">
        <f aca="false">IF(E305="","",IFERROR(LEFT(E305,FIND("-",E305)-1),E305))</f>
        <v/>
      </c>
      <c r="S305" s="0" t="str">
        <f aca="false">IF(R305="","",IF(ISNUMBER(--MID(R305,1,1)),0,IF(ISNUMBER(--MID(R305,2,1)),1,IF(ISNUMBER(--MID(R305,3,1)),2,IF(ISNUMBER(--MID(R305,4,1)),3,MIN(LEN(R305),4))))))</f>
        <v/>
      </c>
      <c r="T305" s="0" t="str">
        <f aca="false">IF(E305="","",LEFT(R305,S305)&amp;REPT("0",4-S305)&amp;RIGHT("000"&amp;IFERROR(VALUE(MID(R305,S305+1,9)),0),3)&amp;RIGHT("0000"&amp;IFERROR(VALUE(MID(E305,FIND("-",E305)+1,9)),0),4))</f>
        <v/>
      </c>
      <c r="U305" s="0" t="str">
        <f aca="false">IF(I305=1,"K"&amp;RIGHT("00"&amp;A305,2)&amp;T305&amp;RIGHT("00000"&amp;ROW(),5),"")</f>
        <v/>
      </c>
      <c r="V305" s="0" t="str">
        <f aca="false">IF(U305="","",COUNTIFS($I$2:$I$1201,1,$U$2:$U$1201,"&lt;"&amp;U305)+1)</f>
        <v/>
      </c>
    </row>
    <row r="306" customFormat="false" ht="15" hidden="false" customHeight="false" outlineLevel="0" collapsed="false">
      <c r="A306" s="0" t="n">
        <v>6</v>
      </c>
      <c r="B306" s="0" t="n">
        <v>5</v>
      </c>
      <c r="C306" s="0" t="str">
        <f aca="false">TRIM(SUBSTITUTE(INDEX(LISTAS!$A$4:$T$63,B306,A306)&amp;"",CHAR(160)," "))</f>
        <v/>
      </c>
      <c r="D306" s="0" t="str">
        <f aca="false">IF(C306="","",TRIM(RIGHT(SUBSTITUTE(C306," ",REPT(" ",100)),100)))</f>
        <v/>
      </c>
      <c r="E306" s="0" t="str">
        <f aca="false">IF(D306="","",UPPER(SUBSTITUTE(SUBSTITUTE(D306,"(",""),")","")))</f>
        <v/>
      </c>
      <c r="F306" s="0" t="str">
        <f aca="false">IF(C306="","",LEFT(C306,FIND(" ",C306&amp;" ")-1))</f>
        <v/>
      </c>
      <c r="G306" s="0" t="n">
        <f aca="false">IFERROR(VALUE(SUBSTITUTE(LOWER(F306),"x","")),0)</f>
        <v>0</v>
      </c>
      <c r="H306" s="0" t="str">
        <f aca="false">IF(C306="","",TRIM(MID(C306,LEN(F306)+2,999)))</f>
        <v/>
      </c>
      <c r="I306" s="0" t="n">
        <f aca="false">IF(OR(C306="",LEFT(C306,2)="//"),0,IFERROR(IF(AND(G306&gt;0,G306=INT(G306),FIND("-",E306)&gt;1,NOT(EXACT(UPPER(LEFT(E306,1)),LOWER(LEFT(E306,1)))),ISNUMBER(VALUE(MID(E306,FIND("-",E306)+1,10)))),1,0),0))</f>
        <v>0</v>
      </c>
      <c r="J306" s="0" t="str">
        <f aca="false">IF(I306=1,TRIM(LEFT(H306,MAX(0,LEN(H306)-LEN(D306)))),"")</f>
        <v/>
      </c>
      <c r="K306" s="0" t="str">
        <f aca="false">INDEX($P$2:$P$21,A306)</f>
        <v>Deck 6</v>
      </c>
      <c r="L306" s="0" t="n">
        <f aca="false">IF(AND(C306&lt;&gt;"",LEFT(C306,2)&lt;&gt;"//",I306=0),1,0)</f>
        <v>0</v>
      </c>
      <c r="M306" s="0" t="str">
        <f aca="false">IF(I306=1,MAX(M$1:M305)+1,"")</f>
        <v/>
      </c>
      <c r="N306" s="0" t="str">
        <f aca="false">IFERROR(MATCH(ROW()-1,$V$2:$V$1201,0),"")</f>
        <v/>
      </c>
      <c r="R306" s="0" t="str">
        <f aca="false">IF(E306="","",IFERROR(LEFT(E306,FIND("-",E306)-1),E306))</f>
        <v/>
      </c>
      <c r="S306" s="0" t="str">
        <f aca="false">IF(R306="","",IF(ISNUMBER(--MID(R306,1,1)),0,IF(ISNUMBER(--MID(R306,2,1)),1,IF(ISNUMBER(--MID(R306,3,1)),2,IF(ISNUMBER(--MID(R306,4,1)),3,MIN(LEN(R306),4))))))</f>
        <v/>
      </c>
      <c r="T306" s="0" t="str">
        <f aca="false">IF(E306="","",LEFT(R306,S306)&amp;REPT("0",4-S306)&amp;RIGHT("000"&amp;IFERROR(VALUE(MID(R306,S306+1,9)),0),3)&amp;RIGHT("0000"&amp;IFERROR(VALUE(MID(E306,FIND("-",E306)+1,9)),0),4))</f>
        <v/>
      </c>
      <c r="U306" s="0" t="str">
        <f aca="false">IF(I306=1,"K"&amp;RIGHT("00"&amp;A306,2)&amp;T306&amp;RIGHT("00000"&amp;ROW(),5),"")</f>
        <v/>
      </c>
      <c r="V306" s="0" t="str">
        <f aca="false">IF(U306="","",COUNTIFS($I$2:$I$1201,1,$U$2:$U$1201,"&lt;"&amp;U306)+1)</f>
        <v/>
      </c>
    </row>
    <row r="307" customFormat="false" ht="15" hidden="false" customHeight="false" outlineLevel="0" collapsed="false">
      <c r="A307" s="0" t="n">
        <v>6</v>
      </c>
      <c r="B307" s="0" t="n">
        <v>6</v>
      </c>
      <c r="C307" s="0" t="str">
        <f aca="false">TRIM(SUBSTITUTE(INDEX(LISTAS!$A$4:$T$63,B307,A307)&amp;"",CHAR(160)," "))</f>
        <v/>
      </c>
      <c r="D307" s="0" t="str">
        <f aca="false">IF(C307="","",TRIM(RIGHT(SUBSTITUTE(C307," ",REPT(" ",100)),100)))</f>
        <v/>
      </c>
      <c r="E307" s="0" t="str">
        <f aca="false">IF(D307="","",UPPER(SUBSTITUTE(SUBSTITUTE(D307,"(",""),")","")))</f>
        <v/>
      </c>
      <c r="F307" s="0" t="str">
        <f aca="false">IF(C307="","",LEFT(C307,FIND(" ",C307&amp;" ")-1))</f>
        <v/>
      </c>
      <c r="G307" s="0" t="n">
        <f aca="false">IFERROR(VALUE(SUBSTITUTE(LOWER(F307),"x","")),0)</f>
        <v>0</v>
      </c>
      <c r="H307" s="0" t="str">
        <f aca="false">IF(C307="","",TRIM(MID(C307,LEN(F307)+2,999)))</f>
        <v/>
      </c>
      <c r="I307" s="0" t="n">
        <f aca="false">IF(OR(C307="",LEFT(C307,2)="//"),0,IFERROR(IF(AND(G307&gt;0,G307=INT(G307),FIND("-",E307)&gt;1,NOT(EXACT(UPPER(LEFT(E307,1)),LOWER(LEFT(E307,1)))),ISNUMBER(VALUE(MID(E307,FIND("-",E307)+1,10)))),1,0),0))</f>
        <v>0</v>
      </c>
      <c r="J307" s="0" t="str">
        <f aca="false">IF(I307=1,TRIM(LEFT(H307,MAX(0,LEN(H307)-LEN(D307)))),"")</f>
        <v/>
      </c>
      <c r="K307" s="0" t="str">
        <f aca="false">INDEX($P$2:$P$21,A307)</f>
        <v>Deck 6</v>
      </c>
      <c r="L307" s="0" t="n">
        <f aca="false">IF(AND(C307&lt;&gt;"",LEFT(C307,2)&lt;&gt;"//",I307=0),1,0)</f>
        <v>0</v>
      </c>
      <c r="M307" s="0" t="str">
        <f aca="false">IF(I307=1,MAX(M$1:M306)+1,"")</f>
        <v/>
      </c>
      <c r="N307" s="0" t="str">
        <f aca="false">IFERROR(MATCH(ROW()-1,$V$2:$V$1201,0),"")</f>
        <v/>
      </c>
      <c r="R307" s="0" t="str">
        <f aca="false">IF(E307="","",IFERROR(LEFT(E307,FIND("-",E307)-1),E307))</f>
        <v/>
      </c>
      <c r="S307" s="0" t="str">
        <f aca="false">IF(R307="","",IF(ISNUMBER(--MID(R307,1,1)),0,IF(ISNUMBER(--MID(R307,2,1)),1,IF(ISNUMBER(--MID(R307,3,1)),2,IF(ISNUMBER(--MID(R307,4,1)),3,MIN(LEN(R307),4))))))</f>
        <v/>
      </c>
      <c r="T307" s="0" t="str">
        <f aca="false">IF(E307="","",LEFT(R307,S307)&amp;REPT("0",4-S307)&amp;RIGHT("000"&amp;IFERROR(VALUE(MID(R307,S307+1,9)),0),3)&amp;RIGHT("0000"&amp;IFERROR(VALUE(MID(E307,FIND("-",E307)+1,9)),0),4))</f>
        <v/>
      </c>
      <c r="U307" s="0" t="str">
        <f aca="false">IF(I307=1,"K"&amp;RIGHT("00"&amp;A307,2)&amp;T307&amp;RIGHT("00000"&amp;ROW(),5),"")</f>
        <v/>
      </c>
      <c r="V307" s="0" t="str">
        <f aca="false">IF(U307="","",COUNTIFS($I$2:$I$1201,1,$U$2:$U$1201,"&lt;"&amp;U307)+1)</f>
        <v/>
      </c>
    </row>
    <row r="308" customFormat="false" ht="15" hidden="false" customHeight="false" outlineLevel="0" collapsed="false">
      <c r="A308" s="0" t="n">
        <v>6</v>
      </c>
      <c r="B308" s="0" t="n">
        <v>7</v>
      </c>
      <c r="C308" s="0" t="str">
        <f aca="false">TRIM(SUBSTITUTE(INDEX(LISTAS!$A$4:$T$63,B308,A308)&amp;"",CHAR(160)," "))</f>
        <v/>
      </c>
      <c r="D308" s="0" t="str">
        <f aca="false">IF(C308="","",TRIM(RIGHT(SUBSTITUTE(C308," ",REPT(" ",100)),100)))</f>
        <v/>
      </c>
      <c r="E308" s="0" t="str">
        <f aca="false">IF(D308="","",UPPER(SUBSTITUTE(SUBSTITUTE(D308,"(",""),")","")))</f>
        <v/>
      </c>
      <c r="F308" s="0" t="str">
        <f aca="false">IF(C308="","",LEFT(C308,FIND(" ",C308&amp;" ")-1))</f>
        <v/>
      </c>
      <c r="G308" s="0" t="n">
        <f aca="false">IFERROR(VALUE(SUBSTITUTE(LOWER(F308),"x","")),0)</f>
        <v>0</v>
      </c>
      <c r="H308" s="0" t="str">
        <f aca="false">IF(C308="","",TRIM(MID(C308,LEN(F308)+2,999)))</f>
        <v/>
      </c>
      <c r="I308" s="0" t="n">
        <f aca="false">IF(OR(C308="",LEFT(C308,2)="//"),0,IFERROR(IF(AND(G308&gt;0,G308=INT(G308),FIND("-",E308)&gt;1,NOT(EXACT(UPPER(LEFT(E308,1)),LOWER(LEFT(E308,1)))),ISNUMBER(VALUE(MID(E308,FIND("-",E308)+1,10)))),1,0),0))</f>
        <v>0</v>
      </c>
      <c r="J308" s="0" t="str">
        <f aca="false">IF(I308=1,TRIM(LEFT(H308,MAX(0,LEN(H308)-LEN(D308)))),"")</f>
        <v/>
      </c>
      <c r="K308" s="0" t="str">
        <f aca="false">INDEX($P$2:$P$21,A308)</f>
        <v>Deck 6</v>
      </c>
      <c r="L308" s="0" t="n">
        <f aca="false">IF(AND(C308&lt;&gt;"",LEFT(C308,2)&lt;&gt;"//",I308=0),1,0)</f>
        <v>0</v>
      </c>
      <c r="M308" s="0" t="str">
        <f aca="false">IF(I308=1,MAX(M$1:M307)+1,"")</f>
        <v/>
      </c>
      <c r="N308" s="0" t="str">
        <f aca="false">IFERROR(MATCH(ROW()-1,$V$2:$V$1201,0),"")</f>
        <v/>
      </c>
      <c r="R308" s="0" t="str">
        <f aca="false">IF(E308="","",IFERROR(LEFT(E308,FIND("-",E308)-1),E308))</f>
        <v/>
      </c>
      <c r="S308" s="0" t="str">
        <f aca="false">IF(R308="","",IF(ISNUMBER(--MID(R308,1,1)),0,IF(ISNUMBER(--MID(R308,2,1)),1,IF(ISNUMBER(--MID(R308,3,1)),2,IF(ISNUMBER(--MID(R308,4,1)),3,MIN(LEN(R308),4))))))</f>
        <v/>
      </c>
      <c r="T308" s="0" t="str">
        <f aca="false">IF(E308="","",LEFT(R308,S308)&amp;REPT("0",4-S308)&amp;RIGHT("000"&amp;IFERROR(VALUE(MID(R308,S308+1,9)),0),3)&amp;RIGHT("0000"&amp;IFERROR(VALUE(MID(E308,FIND("-",E308)+1,9)),0),4))</f>
        <v/>
      </c>
      <c r="U308" s="0" t="str">
        <f aca="false">IF(I308=1,"K"&amp;RIGHT("00"&amp;A308,2)&amp;T308&amp;RIGHT("00000"&amp;ROW(),5),"")</f>
        <v/>
      </c>
      <c r="V308" s="0" t="str">
        <f aca="false">IF(U308="","",COUNTIFS($I$2:$I$1201,1,$U$2:$U$1201,"&lt;"&amp;U308)+1)</f>
        <v/>
      </c>
    </row>
    <row r="309" customFormat="false" ht="15" hidden="false" customHeight="false" outlineLevel="0" collapsed="false">
      <c r="A309" s="0" t="n">
        <v>6</v>
      </c>
      <c r="B309" s="0" t="n">
        <v>8</v>
      </c>
      <c r="C309" s="0" t="str">
        <f aca="false">TRIM(SUBSTITUTE(INDEX(LISTAS!$A$4:$T$63,B309,A309)&amp;"",CHAR(160)," "))</f>
        <v/>
      </c>
      <c r="D309" s="0" t="str">
        <f aca="false">IF(C309="","",TRIM(RIGHT(SUBSTITUTE(C309," ",REPT(" ",100)),100)))</f>
        <v/>
      </c>
      <c r="E309" s="0" t="str">
        <f aca="false">IF(D309="","",UPPER(SUBSTITUTE(SUBSTITUTE(D309,"(",""),")","")))</f>
        <v/>
      </c>
      <c r="F309" s="0" t="str">
        <f aca="false">IF(C309="","",LEFT(C309,FIND(" ",C309&amp;" ")-1))</f>
        <v/>
      </c>
      <c r="G309" s="0" t="n">
        <f aca="false">IFERROR(VALUE(SUBSTITUTE(LOWER(F309),"x","")),0)</f>
        <v>0</v>
      </c>
      <c r="H309" s="0" t="str">
        <f aca="false">IF(C309="","",TRIM(MID(C309,LEN(F309)+2,999)))</f>
        <v/>
      </c>
      <c r="I309" s="0" t="n">
        <f aca="false">IF(OR(C309="",LEFT(C309,2)="//"),0,IFERROR(IF(AND(G309&gt;0,G309=INT(G309),FIND("-",E309)&gt;1,NOT(EXACT(UPPER(LEFT(E309,1)),LOWER(LEFT(E309,1)))),ISNUMBER(VALUE(MID(E309,FIND("-",E309)+1,10)))),1,0),0))</f>
        <v>0</v>
      </c>
      <c r="J309" s="0" t="str">
        <f aca="false">IF(I309=1,TRIM(LEFT(H309,MAX(0,LEN(H309)-LEN(D309)))),"")</f>
        <v/>
      </c>
      <c r="K309" s="0" t="str">
        <f aca="false">INDEX($P$2:$P$21,A309)</f>
        <v>Deck 6</v>
      </c>
      <c r="L309" s="0" t="n">
        <f aca="false">IF(AND(C309&lt;&gt;"",LEFT(C309,2)&lt;&gt;"//",I309=0),1,0)</f>
        <v>0</v>
      </c>
      <c r="M309" s="0" t="str">
        <f aca="false">IF(I309=1,MAX(M$1:M308)+1,"")</f>
        <v/>
      </c>
      <c r="N309" s="0" t="str">
        <f aca="false">IFERROR(MATCH(ROW()-1,$V$2:$V$1201,0),"")</f>
        <v/>
      </c>
      <c r="R309" s="0" t="str">
        <f aca="false">IF(E309="","",IFERROR(LEFT(E309,FIND("-",E309)-1),E309))</f>
        <v/>
      </c>
      <c r="S309" s="0" t="str">
        <f aca="false">IF(R309="","",IF(ISNUMBER(--MID(R309,1,1)),0,IF(ISNUMBER(--MID(R309,2,1)),1,IF(ISNUMBER(--MID(R309,3,1)),2,IF(ISNUMBER(--MID(R309,4,1)),3,MIN(LEN(R309),4))))))</f>
        <v/>
      </c>
      <c r="T309" s="0" t="str">
        <f aca="false">IF(E309="","",LEFT(R309,S309)&amp;REPT("0",4-S309)&amp;RIGHT("000"&amp;IFERROR(VALUE(MID(R309,S309+1,9)),0),3)&amp;RIGHT("0000"&amp;IFERROR(VALUE(MID(E309,FIND("-",E309)+1,9)),0),4))</f>
        <v/>
      </c>
      <c r="U309" s="0" t="str">
        <f aca="false">IF(I309=1,"K"&amp;RIGHT("00"&amp;A309,2)&amp;T309&amp;RIGHT("00000"&amp;ROW(),5),"")</f>
        <v/>
      </c>
      <c r="V309" s="0" t="str">
        <f aca="false">IF(U309="","",COUNTIFS($I$2:$I$1201,1,$U$2:$U$1201,"&lt;"&amp;U309)+1)</f>
        <v/>
      </c>
    </row>
    <row r="310" customFormat="false" ht="15" hidden="false" customHeight="false" outlineLevel="0" collapsed="false">
      <c r="A310" s="0" t="n">
        <v>6</v>
      </c>
      <c r="B310" s="0" t="n">
        <v>9</v>
      </c>
      <c r="C310" s="0" t="str">
        <f aca="false">TRIM(SUBSTITUTE(INDEX(LISTAS!$A$4:$T$63,B310,A310)&amp;"",CHAR(160)," "))</f>
        <v/>
      </c>
      <c r="D310" s="0" t="str">
        <f aca="false">IF(C310="","",TRIM(RIGHT(SUBSTITUTE(C310," ",REPT(" ",100)),100)))</f>
        <v/>
      </c>
      <c r="E310" s="0" t="str">
        <f aca="false">IF(D310="","",UPPER(SUBSTITUTE(SUBSTITUTE(D310,"(",""),")","")))</f>
        <v/>
      </c>
      <c r="F310" s="0" t="str">
        <f aca="false">IF(C310="","",LEFT(C310,FIND(" ",C310&amp;" ")-1))</f>
        <v/>
      </c>
      <c r="G310" s="0" t="n">
        <f aca="false">IFERROR(VALUE(SUBSTITUTE(LOWER(F310),"x","")),0)</f>
        <v>0</v>
      </c>
      <c r="H310" s="0" t="str">
        <f aca="false">IF(C310="","",TRIM(MID(C310,LEN(F310)+2,999)))</f>
        <v/>
      </c>
      <c r="I310" s="0" t="n">
        <f aca="false">IF(OR(C310="",LEFT(C310,2)="//"),0,IFERROR(IF(AND(G310&gt;0,G310=INT(G310),FIND("-",E310)&gt;1,NOT(EXACT(UPPER(LEFT(E310,1)),LOWER(LEFT(E310,1)))),ISNUMBER(VALUE(MID(E310,FIND("-",E310)+1,10)))),1,0),0))</f>
        <v>0</v>
      </c>
      <c r="J310" s="0" t="str">
        <f aca="false">IF(I310=1,TRIM(LEFT(H310,MAX(0,LEN(H310)-LEN(D310)))),"")</f>
        <v/>
      </c>
      <c r="K310" s="0" t="str">
        <f aca="false">INDEX($P$2:$P$21,A310)</f>
        <v>Deck 6</v>
      </c>
      <c r="L310" s="0" t="n">
        <f aca="false">IF(AND(C310&lt;&gt;"",LEFT(C310,2)&lt;&gt;"//",I310=0),1,0)</f>
        <v>0</v>
      </c>
      <c r="M310" s="0" t="str">
        <f aca="false">IF(I310=1,MAX(M$1:M309)+1,"")</f>
        <v/>
      </c>
      <c r="N310" s="0" t="str">
        <f aca="false">IFERROR(MATCH(ROW()-1,$V$2:$V$1201,0),"")</f>
        <v/>
      </c>
      <c r="R310" s="0" t="str">
        <f aca="false">IF(E310="","",IFERROR(LEFT(E310,FIND("-",E310)-1),E310))</f>
        <v/>
      </c>
      <c r="S310" s="0" t="str">
        <f aca="false">IF(R310="","",IF(ISNUMBER(--MID(R310,1,1)),0,IF(ISNUMBER(--MID(R310,2,1)),1,IF(ISNUMBER(--MID(R310,3,1)),2,IF(ISNUMBER(--MID(R310,4,1)),3,MIN(LEN(R310),4))))))</f>
        <v/>
      </c>
      <c r="T310" s="0" t="str">
        <f aca="false">IF(E310="","",LEFT(R310,S310)&amp;REPT("0",4-S310)&amp;RIGHT("000"&amp;IFERROR(VALUE(MID(R310,S310+1,9)),0),3)&amp;RIGHT("0000"&amp;IFERROR(VALUE(MID(E310,FIND("-",E310)+1,9)),0),4))</f>
        <v/>
      </c>
      <c r="U310" s="0" t="str">
        <f aca="false">IF(I310=1,"K"&amp;RIGHT("00"&amp;A310,2)&amp;T310&amp;RIGHT("00000"&amp;ROW(),5),"")</f>
        <v/>
      </c>
      <c r="V310" s="0" t="str">
        <f aca="false">IF(U310="","",COUNTIFS($I$2:$I$1201,1,$U$2:$U$1201,"&lt;"&amp;U310)+1)</f>
        <v/>
      </c>
    </row>
    <row r="311" customFormat="false" ht="15" hidden="false" customHeight="false" outlineLevel="0" collapsed="false">
      <c r="A311" s="0" t="n">
        <v>6</v>
      </c>
      <c r="B311" s="0" t="n">
        <v>10</v>
      </c>
      <c r="C311" s="0" t="str">
        <f aca="false">TRIM(SUBSTITUTE(INDEX(LISTAS!$A$4:$T$63,B311,A311)&amp;"",CHAR(160)," "))</f>
        <v/>
      </c>
      <c r="D311" s="0" t="str">
        <f aca="false">IF(C311="","",TRIM(RIGHT(SUBSTITUTE(C311," ",REPT(" ",100)),100)))</f>
        <v/>
      </c>
      <c r="E311" s="0" t="str">
        <f aca="false">IF(D311="","",UPPER(SUBSTITUTE(SUBSTITUTE(D311,"(",""),")","")))</f>
        <v/>
      </c>
      <c r="F311" s="0" t="str">
        <f aca="false">IF(C311="","",LEFT(C311,FIND(" ",C311&amp;" ")-1))</f>
        <v/>
      </c>
      <c r="G311" s="0" t="n">
        <f aca="false">IFERROR(VALUE(SUBSTITUTE(LOWER(F311),"x","")),0)</f>
        <v>0</v>
      </c>
      <c r="H311" s="0" t="str">
        <f aca="false">IF(C311="","",TRIM(MID(C311,LEN(F311)+2,999)))</f>
        <v/>
      </c>
      <c r="I311" s="0" t="n">
        <f aca="false">IF(OR(C311="",LEFT(C311,2)="//"),0,IFERROR(IF(AND(G311&gt;0,G311=INT(G311),FIND("-",E311)&gt;1,NOT(EXACT(UPPER(LEFT(E311,1)),LOWER(LEFT(E311,1)))),ISNUMBER(VALUE(MID(E311,FIND("-",E311)+1,10)))),1,0),0))</f>
        <v>0</v>
      </c>
      <c r="J311" s="0" t="str">
        <f aca="false">IF(I311=1,TRIM(LEFT(H311,MAX(0,LEN(H311)-LEN(D311)))),"")</f>
        <v/>
      </c>
      <c r="K311" s="0" t="str">
        <f aca="false">INDEX($P$2:$P$21,A311)</f>
        <v>Deck 6</v>
      </c>
      <c r="L311" s="0" t="n">
        <f aca="false">IF(AND(C311&lt;&gt;"",LEFT(C311,2)&lt;&gt;"//",I311=0),1,0)</f>
        <v>0</v>
      </c>
      <c r="M311" s="0" t="str">
        <f aca="false">IF(I311=1,MAX(M$1:M310)+1,"")</f>
        <v/>
      </c>
      <c r="N311" s="0" t="str">
        <f aca="false">IFERROR(MATCH(ROW()-1,$V$2:$V$1201,0),"")</f>
        <v/>
      </c>
      <c r="R311" s="0" t="str">
        <f aca="false">IF(E311="","",IFERROR(LEFT(E311,FIND("-",E311)-1),E311))</f>
        <v/>
      </c>
      <c r="S311" s="0" t="str">
        <f aca="false">IF(R311="","",IF(ISNUMBER(--MID(R311,1,1)),0,IF(ISNUMBER(--MID(R311,2,1)),1,IF(ISNUMBER(--MID(R311,3,1)),2,IF(ISNUMBER(--MID(R311,4,1)),3,MIN(LEN(R311),4))))))</f>
        <v/>
      </c>
      <c r="T311" s="0" t="str">
        <f aca="false">IF(E311="","",LEFT(R311,S311)&amp;REPT("0",4-S311)&amp;RIGHT("000"&amp;IFERROR(VALUE(MID(R311,S311+1,9)),0),3)&amp;RIGHT("0000"&amp;IFERROR(VALUE(MID(E311,FIND("-",E311)+1,9)),0),4))</f>
        <v/>
      </c>
      <c r="U311" s="0" t="str">
        <f aca="false">IF(I311=1,"K"&amp;RIGHT("00"&amp;A311,2)&amp;T311&amp;RIGHT("00000"&amp;ROW(),5),"")</f>
        <v/>
      </c>
      <c r="V311" s="0" t="str">
        <f aca="false">IF(U311="","",COUNTIFS($I$2:$I$1201,1,$U$2:$U$1201,"&lt;"&amp;U311)+1)</f>
        <v/>
      </c>
    </row>
    <row r="312" customFormat="false" ht="15" hidden="false" customHeight="false" outlineLevel="0" collapsed="false">
      <c r="A312" s="0" t="n">
        <v>6</v>
      </c>
      <c r="B312" s="0" t="n">
        <v>11</v>
      </c>
      <c r="C312" s="0" t="str">
        <f aca="false">TRIM(SUBSTITUTE(INDEX(LISTAS!$A$4:$T$63,B312,A312)&amp;"",CHAR(160)," "))</f>
        <v/>
      </c>
      <c r="D312" s="0" t="str">
        <f aca="false">IF(C312="","",TRIM(RIGHT(SUBSTITUTE(C312," ",REPT(" ",100)),100)))</f>
        <v/>
      </c>
      <c r="E312" s="0" t="str">
        <f aca="false">IF(D312="","",UPPER(SUBSTITUTE(SUBSTITUTE(D312,"(",""),")","")))</f>
        <v/>
      </c>
      <c r="F312" s="0" t="str">
        <f aca="false">IF(C312="","",LEFT(C312,FIND(" ",C312&amp;" ")-1))</f>
        <v/>
      </c>
      <c r="G312" s="0" t="n">
        <f aca="false">IFERROR(VALUE(SUBSTITUTE(LOWER(F312),"x","")),0)</f>
        <v>0</v>
      </c>
      <c r="H312" s="0" t="str">
        <f aca="false">IF(C312="","",TRIM(MID(C312,LEN(F312)+2,999)))</f>
        <v/>
      </c>
      <c r="I312" s="0" t="n">
        <f aca="false">IF(OR(C312="",LEFT(C312,2)="//"),0,IFERROR(IF(AND(G312&gt;0,G312=INT(G312),FIND("-",E312)&gt;1,NOT(EXACT(UPPER(LEFT(E312,1)),LOWER(LEFT(E312,1)))),ISNUMBER(VALUE(MID(E312,FIND("-",E312)+1,10)))),1,0),0))</f>
        <v>0</v>
      </c>
      <c r="J312" s="0" t="str">
        <f aca="false">IF(I312=1,TRIM(LEFT(H312,MAX(0,LEN(H312)-LEN(D312)))),"")</f>
        <v/>
      </c>
      <c r="K312" s="0" t="str">
        <f aca="false">INDEX($P$2:$P$21,A312)</f>
        <v>Deck 6</v>
      </c>
      <c r="L312" s="0" t="n">
        <f aca="false">IF(AND(C312&lt;&gt;"",LEFT(C312,2)&lt;&gt;"//",I312=0),1,0)</f>
        <v>0</v>
      </c>
      <c r="M312" s="0" t="str">
        <f aca="false">IF(I312=1,MAX(M$1:M311)+1,"")</f>
        <v/>
      </c>
      <c r="N312" s="0" t="str">
        <f aca="false">IFERROR(MATCH(ROW()-1,$V$2:$V$1201,0),"")</f>
        <v/>
      </c>
      <c r="R312" s="0" t="str">
        <f aca="false">IF(E312="","",IFERROR(LEFT(E312,FIND("-",E312)-1),E312))</f>
        <v/>
      </c>
      <c r="S312" s="0" t="str">
        <f aca="false">IF(R312="","",IF(ISNUMBER(--MID(R312,1,1)),0,IF(ISNUMBER(--MID(R312,2,1)),1,IF(ISNUMBER(--MID(R312,3,1)),2,IF(ISNUMBER(--MID(R312,4,1)),3,MIN(LEN(R312),4))))))</f>
        <v/>
      </c>
      <c r="T312" s="0" t="str">
        <f aca="false">IF(E312="","",LEFT(R312,S312)&amp;REPT("0",4-S312)&amp;RIGHT("000"&amp;IFERROR(VALUE(MID(R312,S312+1,9)),0),3)&amp;RIGHT("0000"&amp;IFERROR(VALUE(MID(E312,FIND("-",E312)+1,9)),0),4))</f>
        <v/>
      </c>
      <c r="U312" s="0" t="str">
        <f aca="false">IF(I312=1,"K"&amp;RIGHT("00"&amp;A312,2)&amp;T312&amp;RIGHT("00000"&amp;ROW(),5),"")</f>
        <v/>
      </c>
      <c r="V312" s="0" t="str">
        <f aca="false">IF(U312="","",COUNTIFS($I$2:$I$1201,1,$U$2:$U$1201,"&lt;"&amp;U312)+1)</f>
        <v/>
      </c>
    </row>
    <row r="313" customFormat="false" ht="15" hidden="false" customHeight="false" outlineLevel="0" collapsed="false">
      <c r="A313" s="0" t="n">
        <v>6</v>
      </c>
      <c r="B313" s="0" t="n">
        <v>12</v>
      </c>
      <c r="C313" s="0" t="str">
        <f aca="false">TRIM(SUBSTITUTE(INDEX(LISTAS!$A$4:$T$63,B313,A313)&amp;"",CHAR(160)," "))</f>
        <v/>
      </c>
      <c r="D313" s="0" t="str">
        <f aca="false">IF(C313="","",TRIM(RIGHT(SUBSTITUTE(C313," ",REPT(" ",100)),100)))</f>
        <v/>
      </c>
      <c r="E313" s="0" t="str">
        <f aca="false">IF(D313="","",UPPER(SUBSTITUTE(SUBSTITUTE(D313,"(",""),")","")))</f>
        <v/>
      </c>
      <c r="F313" s="0" t="str">
        <f aca="false">IF(C313="","",LEFT(C313,FIND(" ",C313&amp;" ")-1))</f>
        <v/>
      </c>
      <c r="G313" s="0" t="n">
        <f aca="false">IFERROR(VALUE(SUBSTITUTE(LOWER(F313),"x","")),0)</f>
        <v>0</v>
      </c>
      <c r="H313" s="0" t="str">
        <f aca="false">IF(C313="","",TRIM(MID(C313,LEN(F313)+2,999)))</f>
        <v/>
      </c>
      <c r="I313" s="0" t="n">
        <f aca="false">IF(OR(C313="",LEFT(C313,2)="//"),0,IFERROR(IF(AND(G313&gt;0,G313=INT(G313),FIND("-",E313)&gt;1,NOT(EXACT(UPPER(LEFT(E313,1)),LOWER(LEFT(E313,1)))),ISNUMBER(VALUE(MID(E313,FIND("-",E313)+1,10)))),1,0),0))</f>
        <v>0</v>
      </c>
      <c r="J313" s="0" t="str">
        <f aca="false">IF(I313=1,TRIM(LEFT(H313,MAX(0,LEN(H313)-LEN(D313)))),"")</f>
        <v/>
      </c>
      <c r="K313" s="0" t="str">
        <f aca="false">INDEX($P$2:$P$21,A313)</f>
        <v>Deck 6</v>
      </c>
      <c r="L313" s="0" t="n">
        <f aca="false">IF(AND(C313&lt;&gt;"",LEFT(C313,2)&lt;&gt;"//",I313=0),1,0)</f>
        <v>0</v>
      </c>
      <c r="M313" s="0" t="str">
        <f aca="false">IF(I313=1,MAX(M$1:M312)+1,"")</f>
        <v/>
      </c>
      <c r="N313" s="0" t="str">
        <f aca="false">IFERROR(MATCH(ROW()-1,$V$2:$V$1201,0),"")</f>
        <v/>
      </c>
      <c r="R313" s="0" t="str">
        <f aca="false">IF(E313="","",IFERROR(LEFT(E313,FIND("-",E313)-1),E313))</f>
        <v/>
      </c>
      <c r="S313" s="0" t="str">
        <f aca="false">IF(R313="","",IF(ISNUMBER(--MID(R313,1,1)),0,IF(ISNUMBER(--MID(R313,2,1)),1,IF(ISNUMBER(--MID(R313,3,1)),2,IF(ISNUMBER(--MID(R313,4,1)),3,MIN(LEN(R313),4))))))</f>
        <v/>
      </c>
      <c r="T313" s="0" t="str">
        <f aca="false">IF(E313="","",LEFT(R313,S313)&amp;REPT("0",4-S313)&amp;RIGHT("000"&amp;IFERROR(VALUE(MID(R313,S313+1,9)),0),3)&amp;RIGHT("0000"&amp;IFERROR(VALUE(MID(E313,FIND("-",E313)+1,9)),0),4))</f>
        <v/>
      </c>
      <c r="U313" s="0" t="str">
        <f aca="false">IF(I313=1,"K"&amp;RIGHT("00"&amp;A313,2)&amp;T313&amp;RIGHT("00000"&amp;ROW(),5),"")</f>
        <v/>
      </c>
      <c r="V313" s="0" t="str">
        <f aca="false">IF(U313="","",COUNTIFS($I$2:$I$1201,1,$U$2:$U$1201,"&lt;"&amp;U313)+1)</f>
        <v/>
      </c>
    </row>
    <row r="314" customFormat="false" ht="15" hidden="false" customHeight="false" outlineLevel="0" collapsed="false">
      <c r="A314" s="0" t="n">
        <v>6</v>
      </c>
      <c r="B314" s="0" t="n">
        <v>13</v>
      </c>
      <c r="C314" s="0" t="str">
        <f aca="false">TRIM(SUBSTITUTE(INDEX(LISTAS!$A$4:$T$63,B314,A314)&amp;"",CHAR(160)," "))</f>
        <v/>
      </c>
      <c r="D314" s="0" t="str">
        <f aca="false">IF(C314="","",TRIM(RIGHT(SUBSTITUTE(C314," ",REPT(" ",100)),100)))</f>
        <v/>
      </c>
      <c r="E314" s="0" t="str">
        <f aca="false">IF(D314="","",UPPER(SUBSTITUTE(SUBSTITUTE(D314,"(",""),")","")))</f>
        <v/>
      </c>
      <c r="F314" s="0" t="str">
        <f aca="false">IF(C314="","",LEFT(C314,FIND(" ",C314&amp;" ")-1))</f>
        <v/>
      </c>
      <c r="G314" s="0" t="n">
        <f aca="false">IFERROR(VALUE(SUBSTITUTE(LOWER(F314),"x","")),0)</f>
        <v>0</v>
      </c>
      <c r="H314" s="0" t="str">
        <f aca="false">IF(C314="","",TRIM(MID(C314,LEN(F314)+2,999)))</f>
        <v/>
      </c>
      <c r="I314" s="0" t="n">
        <f aca="false">IF(OR(C314="",LEFT(C314,2)="//"),0,IFERROR(IF(AND(G314&gt;0,G314=INT(G314),FIND("-",E314)&gt;1,NOT(EXACT(UPPER(LEFT(E314,1)),LOWER(LEFT(E314,1)))),ISNUMBER(VALUE(MID(E314,FIND("-",E314)+1,10)))),1,0),0))</f>
        <v>0</v>
      </c>
      <c r="J314" s="0" t="str">
        <f aca="false">IF(I314=1,TRIM(LEFT(H314,MAX(0,LEN(H314)-LEN(D314)))),"")</f>
        <v/>
      </c>
      <c r="K314" s="0" t="str">
        <f aca="false">INDEX($P$2:$P$21,A314)</f>
        <v>Deck 6</v>
      </c>
      <c r="L314" s="0" t="n">
        <f aca="false">IF(AND(C314&lt;&gt;"",LEFT(C314,2)&lt;&gt;"//",I314=0),1,0)</f>
        <v>0</v>
      </c>
      <c r="M314" s="0" t="str">
        <f aca="false">IF(I314=1,MAX(M$1:M313)+1,"")</f>
        <v/>
      </c>
      <c r="N314" s="0" t="str">
        <f aca="false">IFERROR(MATCH(ROW()-1,$V$2:$V$1201,0),"")</f>
        <v/>
      </c>
      <c r="R314" s="0" t="str">
        <f aca="false">IF(E314="","",IFERROR(LEFT(E314,FIND("-",E314)-1),E314))</f>
        <v/>
      </c>
      <c r="S314" s="0" t="str">
        <f aca="false">IF(R314="","",IF(ISNUMBER(--MID(R314,1,1)),0,IF(ISNUMBER(--MID(R314,2,1)),1,IF(ISNUMBER(--MID(R314,3,1)),2,IF(ISNUMBER(--MID(R314,4,1)),3,MIN(LEN(R314),4))))))</f>
        <v/>
      </c>
      <c r="T314" s="0" t="str">
        <f aca="false">IF(E314="","",LEFT(R314,S314)&amp;REPT("0",4-S314)&amp;RIGHT("000"&amp;IFERROR(VALUE(MID(R314,S314+1,9)),0),3)&amp;RIGHT("0000"&amp;IFERROR(VALUE(MID(E314,FIND("-",E314)+1,9)),0),4))</f>
        <v/>
      </c>
      <c r="U314" s="0" t="str">
        <f aca="false">IF(I314=1,"K"&amp;RIGHT("00"&amp;A314,2)&amp;T314&amp;RIGHT("00000"&amp;ROW(),5),"")</f>
        <v/>
      </c>
      <c r="V314" s="0" t="str">
        <f aca="false">IF(U314="","",COUNTIFS($I$2:$I$1201,1,$U$2:$U$1201,"&lt;"&amp;U314)+1)</f>
        <v/>
      </c>
    </row>
    <row r="315" customFormat="false" ht="15" hidden="false" customHeight="false" outlineLevel="0" collapsed="false">
      <c r="A315" s="0" t="n">
        <v>6</v>
      </c>
      <c r="B315" s="0" t="n">
        <v>14</v>
      </c>
      <c r="C315" s="0" t="str">
        <f aca="false">TRIM(SUBSTITUTE(INDEX(LISTAS!$A$4:$T$63,B315,A315)&amp;"",CHAR(160)," "))</f>
        <v/>
      </c>
      <c r="D315" s="0" t="str">
        <f aca="false">IF(C315="","",TRIM(RIGHT(SUBSTITUTE(C315," ",REPT(" ",100)),100)))</f>
        <v/>
      </c>
      <c r="E315" s="0" t="str">
        <f aca="false">IF(D315="","",UPPER(SUBSTITUTE(SUBSTITUTE(D315,"(",""),")","")))</f>
        <v/>
      </c>
      <c r="F315" s="0" t="str">
        <f aca="false">IF(C315="","",LEFT(C315,FIND(" ",C315&amp;" ")-1))</f>
        <v/>
      </c>
      <c r="G315" s="0" t="n">
        <f aca="false">IFERROR(VALUE(SUBSTITUTE(LOWER(F315),"x","")),0)</f>
        <v>0</v>
      </c>
      <c r="H315" s="0" t="str">
        <f aca="false">IF(C315="","",TRIM(MID(C315,LEN(F315)+2,999)))</f>
        <v/>
      </c>
      <c r="I315" s="0" t="n">
        <f aca="false">IF(OR(C315="",LEFT(C315,2)="//"),0,IFERROR(IF(AND(G315&gt;0,G315=INT(G315),FIND("-",E315)&gt;1,NOT(EXACT(UPPER(LEFT(E315,1)),LOWER(LEFT(E315,1)))),ISNUMBER(VALUE(MID(E315,FIND("-",E315)+1,10)))),1,0),0))</f>
        <v>0</v>
      </c>
      <c r="J315" s="0" t="str">
        <f aca="false">IF(I315=1,TRIM(LEFT(H315,MAX(0,LEN(H315)-LEN(D315)))),"")</f>
        <v/>
      </c>
      <c r="K315" s="0" t="str">
        <f aca="false">INDEX($P$2:$P$21,A315)</f>
        <v>Deck 6</v>
      </c>
      <c r="L315" s="0" t="n">
        <f aca="false">IF(AND(C315&lt;&gt;"",LEFT(C315,2)&lt;&gt;"//",I315=0),1,0)</f>
        <v>0</v>
      </c>
      <c r="M315" s="0" t="str">
        <f aca="false">IF(I315=1,MAX(M$1:M314)+1,"")</f>
        <v/>
      </c>
      <c r="N315" s="0" t="str">
        <f aca="false">IFERROR(MATCH(ROW()-1,$V$2:$V$1201,0),"")</f>
        <v/>
      </c>
      <c r="R315" s="0" t="str">
        <f aca="false">IF(E315="","",IFERROR(LEFT(E315,FIND("-",E315)-1),E315))</f>
        <v/>
      </c>
      <c r="S315" s="0" t="str">
        <f aca="false">IF(R315="","",IF(ISNUMBER(--MID(R315,1,1)),0,IF(ISNUMBER(--MID(R315,2,1)),1,IF(ISNUMBER(--MID(R315,3,1)),2,IF(ISNUMBER(--MID(R315,4,1)),3,MIN(LEN(R315),4))))))</f>
        <v/>
      </c>
      <c r="T315" s="0" t="str">
        <f aca="false">IF(E315="","",LEFT(R315,S315)&amp;REPT("0",4-S315)&amp;RIGHT("000"&amp;IFERROR(VALUE(MID(R315,S315+1,9)),0),3)&amp;RIGHT("0000"&amp;IFERROR(VALUE(MID(E315,FIND("-",E315)+1,9)),0),4))</f>
        <v/>
      </c>
      <c r="U315" s="0" t="str">
        <f aca="false">IF(I315=1,"K"&amp;RIGHT("00"&amp;A315,2)&amp;T315&amp;RIGHT("00000"&amp;ROW(),5),"")</f>
        <v/>
      </c>
      <c r="V315" s="0" t="str">
        <f aca="false">IF(U315="","",COUNTIFS($I$2:$I$1201,1,$U$2:$U$1201,"&lt;"&amp;U315)+1)</f>
        <v/>
      </c>
    </row>
    <row r="316" customFormat="false" ht="15" hidden="false" customHeight="false" outlineLevel="0" collapsed="false">
      <c r="A316" s="0" t="n">
        <v>6</v>
      </c>
      <c r="B316" s="0" t="n">
        <v>15</v>
      </c>
      <c r="C316" s="0" t="str">
        <f aca="false">TRIM(SUBSTITUTE(INDEX(LISTAS!$A$4:$T$63,B316,A316)&amp;"",CHAR(160)," "))</f>
        <v/>
      </c>
      <c r="D316" s="0" t="str">
        <f aca="false">IF(C316="","",TRIM(RIGHT(SUBSTITUTE(C316," ",REPT(" ",100)),100)))</f>
        <v/>
      </c>
      <c r="E316" s="0" t="str">
        <f aca="false">IF(D316="","",UPPER(SUBSTITUTE(SUBSTITUTE(D316,"(",""),")","")))</f>
        <v/>
      </c>
      <c r="F316" s="0" t="str">
        <f aca="false">IF(C316="","",LEFT(C316,FIND(" ",C316&amp;" ")-1))</f>
        <v/>
      </c>
      <c r="G316" s="0" t="n">
        <f aca="false">IFERROR(VALUE(SUBSTITUTE(LOWER(F316),"x","")),0)</f>
        <v>0</v>
      </c>
      <c r="H316" s="0" t="str">
        <f aca="false">IF(C316="","",TRIM(MID(C316,LEN(F316)+2,999)))</f>
        <v/>
      </c>
      <c r="I316" s="0" t="n">
        <f aca="false">IF(OR(C316="",LEFT(C316,2)="//"),0,IFERROR(IF(AND(G316&gt;0,G316=INT(G316),FIND("-",E316)&gt;1,NOT(EXACT(UPPER(LEFT(E316,1)),LOWER(LEFT(E316,1)))),ISNUMBER(VALUE(MID(E316,FIND("-",E316)+1,10)))),1,0),0))</f>
        <v>0</v>
      </c>
      <c r="J316" s="0" t="str">
        <f aca="false">IF(I316=1,TRIM(LEFT(H316,MAX(0,LEN(H316)-LEN(D316)))),"")</f>
        <v/>
      </c>
      <c r="K316" s="0" t="str">
        <f aca="false">INDEX($P$2:$P$21,A316)</f>
        <v>Deck 6</v>
      </c>
      <c r="L316" s="0" t="n">
        <f aca="false">IF(AND(C316&lt;&gt;"",LEFT(C316,2)&lt;&gt;"//",I316=0),1,0)</f>
        <v>0</v>
      </c>
      <c r="M316" s="0" t="str">
        <f aca="false">IF(I316=1,MAX(M$1:M315)+1,"")</f>
        <v/>
      </c>
      <c r="N316" s="0" t="str">
        <f aca="false">IFERROR(MATCH(ROW()-1,$V$2:$V$1201,0),"")</f>
        <v/>
      </c>
      <c r="R316" s="0" t="str">
        <f aca="false">IF(E316="","",IFERROR(LEFT(E316,FIND("-",E316)-1),E316))</f>
        <v/>
      </c>
      <c r="S316" s="0" t="str">
        <f aca="false">IF(R316="","",IF(ISNUMBER(--MID(R316,1,1)),0,IF(ISNUMBER(--MID(R316,2,1)),1,IF(ISNUMBER(--MID(R316,3,1)),2,IF(ISNUMBER(--MID(R316,4,1)),3,MIN(LEN(R316),4))))))</f>
        <v/>
      </c>
      <c r="T316" s="0" t="str">
        <f aca="false">IF(E316="","",LEFT(R316,S316)&amp;REPT("0",4-S316)&amp;RIGHT("000"&amp;IFERROR(VALUE(MID(R316,S316+1,9)),0),3)&amp;RIGHT("0000"&amp;IFERROR(VALUE(MID(E316,FIND("-",E316)+1,9)),0),4))</f>
        <v/>
      </c>
      <c r="U316" s="0" t="str">
        <f aca="false">IF(I316=1,"K"&amp;RIGHT("00"&amp;A316,2)&amp;T316&amp;RIGHT("00000"&amp;ROW(),5),"")</f>
        <v/>
      </c>
      <c r="V316" s="0" t="str">
        <f aca="false">IF(U316="","",COUNTIFS($I$2:$I$1201,1,$U$2:$U$1201,"&lt;"&amp;U316)+1)</f>
        <v/>
      </c>
    </row>
    <row r="317" customFormat="false" ht="15" hidden="false" customHeight="false" outlineLevel="0" collapsed="false">
      <c r="A317" s="0" t="n">
        <v>6</v>
      </c>
      <c r="B317" s="0" t="n">
        <v>16</v>
      </c>
      <c r="C317" s="0" t="str">
        <f aca="false">TRIM(SUBSTITUTE(INDEX(LISTAS!$A$4:$T$63,B317,A317)&amp;"",CHAR(160)," "))</f>
        <v/>
      </c>
      <c r="D317" s="0" t="str">
        <f aca="false">IF(C317="","",TRIM(RIGHT(SUBSTITUTE(C317," ",REPT(" ",100)),100)))</f>
        <v/>
      </c>
      <c r="E317" s="0" t="str">
        <f aca="false">IF(D317="","",UPPER(SUBSTITUTE(SUBSTITUTE(D317,"(",""),")","")))</f>
        <v/>
      </c>
      <c r="F317" s="0" t="str">
        <f aca="false">IF(C317="","",LEFT(C317,FIND(" ",C317&amp;" ")-1))</f>
        <v/>
      </c>
      <c r="G317" s="0" t="n">
        <f aca="false">IFERROR(VALUE(SUBSTITUTE(LOWER(F317),"x","")),0)</f>
        <v>0</v>
      </c>
      <c r="H317" s="0" t="str">
        <f aca="false">IF(C317="","",TRIM(MID(C317,LEN(F317)+2,999)))</f>
        <v/>
      </c>
      <c r="I317" s="0" t="n">
        <f aca="false">IF(OR(C317="",LEFT(C317,2)="//"),0,IFERROR(IF(AND(G317&gt;0,G317=INT(G317),FIND("-",E317)&gt;1,NOT(EXACT(UPPER(LEFT(E317,1)),LOWER(LEFT(E317,1)))),ISNUMBER(VALUE(MID(E317,FIND("-",E317)+1,10)))),1,0),0))</f>
        <v>0</v>
      </c>
      <c r="J317" s="0" t="str">
        <f aca="false">IF(I317=1,TRIM(LEFT(H317,MAX(0,LEN(H317)-LEN(D317)))),"")</f>
        <v/>
      </c>
      <c r="K317" s="0" t="str">
        <f aca="false">INDEX($P$2:$P$21,A317)</f>
        <v>Deck 6</v>
      </c>
      <c r="L317" s="0" t="n">
        <f aca="false">IF(AND(C317&lt;&gt;"",LEFT(C317,2)&lt;&gt;"//",I317=0),1,0)</f>
        <v>0</v>
      </c>
      <c r="M317" s="0" t="str">
        <f aca="false">IF(I317=1,MAX(M$1:M316)+1,"")</f>
        <v/>
      </c>
      <c r="N317" s="0" t="str">
        <f aca="false">IFERROR(MATCH(ROW()-1,$V$2:$V$1201,0),"")</f>
        <v/>
      </c>
      <c r="R317" s="0" t="str">
        <f aca="false">IF(E317="","",IFERROR(LEFT(E317,FIND("-",E317)-1),E317))</f>
        <v/>
      </c>
      <c r="S317" s="0" t="str">
        <f aca="false">IF(R317="","",IF(ISNUMBER(--MID(R317,1,1)),0,IF(ISNUMBER(--MID(R317,2,1)),1,IF(ISNUMBER(--MID(R317,3,1)),2,IF(ISNUMBER(--MID(R317,4,1)),3,MIN(LEN(R317),4))))))</f>
        <v/>
      </c>
      <c r="T317" s="0" t="str">
        <f aca="false">IF(E317="","",LEFT(R317,S317)&amp;REPT("0",4-S317)&amp;RIGHT("000"&amp;IFERROR(VALUE(MID(R317,S317+1,9)),0),3)&amp;RIGHT("0000"&amp;IFERROR(VALUE(MID(E317,FIND("-",E317)+1,9)),0),4))</f>
        <v/>
      </c>
      <c r="U317" s="0" t="str">
        <f aca="false">IF(I317=1,"K"&amp;RIGHT("00"&amp;A317,2)&amp;T317&amp;RIGHT("00000"&amp;ROW(),5),"")</f>
        <v/>
      </c>
      <c r="V317" s="0" t="str">
        <f aca="false">IF(U317="","",COUNTIFS($I$2:$I$1201,1,$U$2:$U$1201,"&lt;"&amp;U317)+1)</f>
        <v/>
      </c>
    </row>
    <row r="318" customFormat="false" ht="15" hidden="false" customHeight="false" outlineLevel="0" collapsed="false">
      <c r="A318" s="0" t="n">
        <v>6</v>
      </c>
      <c r="B318" s="0" t="n">
        <v>17</v>
      </c>
      <c r="C318" s="0" t="str">
        <f aca="false">TRIM(SUBSTITUTE(INDEX(LISTAS!$A$4:$T$63,B318,A318)&amp;"",CHAR(160)," "))</f>
        <v/>
      </c>
      <c r="D318" s="0" t="str">
        <f aca="false">IF(C318="","",TRIM(RIGHT(SUBSTITUTE(C318," ",REPT(" ",100)),100)))</f>
        <v/>
      </c>
      <c r="E318" s="0" t="str">
        <f aca="false">IF(D318="","",UPPER(SUBSTITUTE(SUBSTITUTE(D318,"(",""),")","")))</f>
        <v/>
      </c>
      <c r="F318" s="0" t="str">
        <f aca="false">IF(C318="","",LEFT(C318,FIND(" ",C318&amp;" ")-1))</f>
        <v/>
      </c>
      <c r="G318" s="0" t="n">
        <f aca="false">IFERROR(VALUE(SUBSTITUTE(LOWER(F318),"x","")),0)</f>
        <v>0</v>
      </c>
      <c r="H318" s="0" t="str">
        <f aca="false">IF(C318="","",TRIM(MID(C318,LEN(F318)+2,999)))</f>
        <v/>
      </c>
      <c r="I318" s="0" t="n">
        <f aca="false">IF(OR(C318="",LEFT(C318,2)="//"),0,IFERROR(IF(AND(G318&gt;0,G318=INT(G318),FIND("-",E318)&gt;1,NOT(EXACT(UPPER(LEFT(E318,1)),LOWER(LEFT(E318,1)))),ISNUMBER(VALUE(MID(E318,FIND("-",E318)+1,10)))),1,0),0))</f>
        <v>0</v>
      </c>
      <c r="J318" s="0" t="str">
        <f aca="false">IF(I318=1,TRIM(LEFT(H318,MAX(0,LEN(H318)-LEN(D318)))),"")</f>
        <v/>
      </c>
      <c r="K318" s="0" t="str">
        <f aca="false">INDEX($P$2:$P$21,A318)</f>
        <v>Deck 6</v>
      </c>
      <c r="L318" s="0" t="n">
        <f aca="false">IF(AND(C318&lt;&gt;"",LEFT(C318,2)&lt;&gt;"//",I318=0),1,0)</f>
        <v>0</v>
      </c>
      <c r="M318" s="0" t="str">
        <f aca="false">IF(I318=1,MAX(M$1:M317)+1,"")</f>
        <v/>
      </c>
      <c r="N318" s="0" t="str">
        <f aca="false">IFERROR(MATCH(ROW()-1,$V$2:$V$1201,0),"")</f>
        <v/>
      </c>
      <c r="R318" s="0" t="str">
        <f aca="false">IF(E318="","",IFERROR(LEFT(E318,FIND("-",E318)-1),E318))</f>
        <v/>
      </c>
      <c r="S318" s="0" t="str">
        <f aca="false">IF(R318="","",IF(ISNUMBER(--MID(R318,1,1)),0,IF(ISNUMBER(--MID(R318,2,1)),1,IF(ISNUMBER(--MID(R318,3,1)),2,IF(ISNUMBER(--MID(R318,4,1)),3,MIN(LEN(R318),4))))))</f>
        <v/>
      </c>
      <c r="T318" s="0" t="str">
        <f aca="false">IF(E318="","",LEFT(R318,S318)&amp;REPT("0",4-S318)&amp;RIGHT("000"&amp;IFERROR(VALUE(MID(R318,S318+1,9)),0),3)&amp;RIGHT("0000"&amp;IFERROR(VALUE(MID(E318,FIND("-",E318)+1,9)),0),4))</f>
        <v/>
      </c>
      <c r="U318" s="0" t="str">
        <f aca="false">IF(I318=1,"K"&amp;RIGHT("00"&amp;A318,2)&amp;T318&amp;RIGHT("00000"&amp;ROW(),5),"")</f>
        <v/>
      </c>
      <c r="V318" s="0" t="str">
        <f aca="false">IF(U318="","",COUNTIFS($I$2:$I$1201,1,$U$2:$U$1201,"&lt;"&amp;U318)+1)</f>
        <v/>
      </c>
    </row>
    <row r="319" customFormat="false" ht="15" hidden="false" customHeight="false" outlineLevel="0" collapsed="false">
      <c r="A319" s="0" t="n">
        <v>6</v>
      </c>
      <c r="B319" s="0" t="n">
        <v>18</v>
      </c>
      <c r="C319" s="0" t="str">
        <f aca="false">TRIM(SUBSTITUTE(INDEX(LISTAS!$A$4:$T$63,B319,A319)&amp;"",CHAR(160)," "))</f>
        <v/>
      </c>
      <c r="D319" s="0" t="str">
        <f aca="false">IF(C319="","",TRIM(RIGHT(SUBSTITUTE(C319," ",REPT(" ",100)),100)))</f>
        <v/>
      </c>
      <c r="E319" s="0" t="str">
        <f aca="false">IF(D319="","",UPPER(SUBSTITUTE(SUBSTITUTE(D319,"(",""),")","")))</f>
        <v/>
      </c>
      <c r="F319" s="0" t="str">
        <f aca="false">IF(C319="","",LEFT(C319,FIND(" ",C319&amp;" ")-1))</f>
        <v/>
      </c>
      <c r="G319" s="0" t="n">
        <f aca="false">IFERROR(VALUE(SUBSTITUTE(LOWER(F319),"x","")),0)</f>
        <v>0</v>
      </c>
      <c r="H319" s="0" t="str">
        <f aca="false">IF(C319="","",TRIM(MID(C319,LEN(F319)+2,999)))</f>
        <v/>
      </c>
      <c r="I319" s="0" t="n">
        <f aca="false">IF(OR(C319="",LEFT(C319,2)="//"),0,IFERROR(IF(AND(G319&gt;0,G319=INT(G319),FIND("-",E319)&gt;1,NOT(EXACT(UPPER(LEFT(E319,1)),LOWER(LEFT(E319,1)))),ISNUMBER(VALUE(MID(E319,FIND("-",E319)+1,10)))),1,0),0))</f>
        <v>0</v>
      </c>
      <c r="J319" s="0" t="str">
        <f aca="false">IF(I319=1,TRIM(LEFT(H319,MAX(0,LEN(H319)-LEN(D319)))),"")</f>
        <v/>
      </c>
      <c r="K319" s="0" t="str">
        <f aca="false">INDEX($P$2:$P$21,A319)</f>
        <v>Deck 6</v>
      </c>
      <c r="L319" s="0" t="n">
        <f aca="false">IF(AND(C319&lt;&gt;"",LEFT(C319,2)&lt;&gt;"//",I319=0),1,0)</f>
        <v>0</v>
      </c>
      <c r="M319" s="0" t="str">
        <f aca="false">IF(I319=1,MAX(M$1:M318)+1,"")</f>
        <v/>
      </c>
      <c r="N319" s="0" t="str">
        <f aca="false">IFERROR(MATCH(ROW()-1,$V$2:$V$1201,0),"")</f>
        <v/>
      </c>
      <c r="R319" s="0" t="str">
        <f aca="false">IF(E319="","",IFERROR(LEFT(E319,FIND("-",E319)-1),E319))</f>
        <v/>
      </c>
      <c r="S319" s="0" t="str">
        <f aca="false">IF(R319="","",IF(ISNUMBER(--MID(R319,1,1)),0,IF(ISNUMBER(--MID(R319,2,1)),1,IF(ISNUMBER(--MID(R319,3,1)),2,IF(ISNUMBER(--MID(R319,4,1)),3,MIN(LEN(R319),4))))))</f>
        <v/>
      </c>
      <c r="T319" s="0" t="str">
        <f aca="false">IF(E319="","",LEFT(R319,S319)&amp;REPT("0",4-S319)&amp;RIGHT("000"&amp;IFERROR(VALUE(MID(R319,S319+1,9)),0),3)&amp;RIGHT("0000"&amp;IFERROR(VALUE(MID(E319,FIND("-",E319)+1,9)),0),4))</f>
        <v/>
      </c>
      <c r="U319" s="0" t="str">
        <f aca="false">IF(I319=1,"K"&amp;RIGHT("00"&amp;A319,2)&amp;T319&amp;RIGHT("00000"&amp;ROW(),5),"")</f>
        <v/>
      </c>
      <c r="V319" s="0" t="str">
        <f aca="false">IF(U319="","",COUNTIFS($I$2:$I$1201,1,$U$2:$U$1201,"&lt;"&amp;U319)+1)</f>
        <v/>
      </c>
    </row>
    <row r="320" customFormat="false" ht="15" hidden="false" customHeight="false" outlineLevel="0" collapsed="false">
      <c r="A320" s="0" t="n">
        <v>6</v>
      </c>
      <c r="B320" s="0" t="n">
        <v>19</v>
      </c>
      <c r="C320" s="0" t="str">
        <f aca="false">TRIM(SUBSTITUTE(INDEX(LISTAS!$A$4:$T$63,B320,A320)&amp;"",CHAR(160)," "))</f>
        <v/>
      </c>
      <c r="D320" s="0" t="str">
        <f aca="false">IF(C320="","",TRIM(RIGHT(SUBSTITUTE(C320," ",REPT(" ",100)),100)))</f>
        <v/>
      </c>
      <c r="E320" s="0" t="str">
        <f aca="false">IF(D320="","",UPPER(SUBSTITUTE(SUBSTITUTE(D320,"(",""),")","")))</f>
        <v/>
      </c>
      <c r="F320" s="0" t="str">
        <f aca="false">IF(C320="","",LEFT(C320,FIND(" ",C320&amp;" ")-1))</f>
        <v/>
      </c>
      <c r="G320" s="0" t="n">
        <f aca="false">IFERROR(VALUE(SUBSTITUTE(LOWER(F320),"x","")),0)</f>
        <v>0</v>
      </c>
      <c r="H320" s="0" t="str">
        <f aca="false">IF(C320="","",TRIM(MID(C320,LEN(F320)+2,999)))</f>
        <v/>
      </c>
      <c r="I320" s="0" t="n">
        <f aca="false">IF(OR(C320="",LEFT(C320,2)="//"),0,IFERROR(IF(AND(G320&gt;0,G320=INT(G320),FIND("-",E320)&gt;1,NOT(EXACT(UPPER(LEFT(E320,1)),LOWER(LEFT(E320,1)))),ISNUMBER(VALUE(MID(E320,FIND("-",E320)+1,10)))),1,0),0))</f>
        <v>0</v>
      </c>
      <c r="J320" s="0" t="str">
        <f aca="false">IF(I320=1,TRIM(LEFT(H320,MAX(0,LEN(H320)-LEN(D320)))),"")</f>
        <v/>
      </c>
      <c r="K320" s="0" t="str">
        <f aca="false">INDEX($P$2:$P$21,A320)</f>
        <v>Deck 6</v>
      </c>
      <c r="L320" s="0" t="n">
        <f aca="false">IF(AND(C320&lt;&gt;"",LEFT(C320,2)&lt;&gt;"//",I320=0),1,0)</f>
        <v>0</v>
      </c>
      <c r="M320" s="0" t="str">
        <f aca="false">IF(I320=1,MAX(M$1:M319)+1,"")</f>
        <v/>
      </c>
      <c r="N320" s="0" t="str">
        <f aca="false">IFERROR(MATCH(ROW()-1,$V$2:$V$1201,0),"")</f>
        <v/>
      </c>
      <c r="R320" s="0" t="str">
        <f aca="false">IF(E320="","",IFERROR(LEFT(E320,FIND("-",E320)-1),E320))</f>
        <v/>
      </c>
      <c r="S320" s="0" t="str">
        <f aca="false">IF(R320="","",IF(ISNUMBER(--MID(R320,1,1)),0,IF(ISNUMBER(--MID(R320,2,1)),1,IF(ISNUMBER(--MID(R320,3,1)),2,IF(ISNUMBER(--MID(R320,4,1)),3,MIN(LEN(R320),4))))))</f>
        <v/>
      </c>
      <c r="T320" s="0" t="str">
        <f aca="false">IF(E320="","",LEFT(R320,S320)&amp;REPT("0",4-S320)&amp;RIGHT("000"&amp;IFERROR(VALUE(MID(R320,S320+1,9)),0),3)&amp;RIGHT("0000"&amp;IFERROR(VALUE(MID(E320,FIND("-",E320)+1,9)),0),4))</f>
        <v/>
      </c>
      <c r="U320" s="0" t="str">
        <f aca="false">IF(I320=1,"K"&amp;RIGHT("00"&amp;A320,2)&amp;T320&amp;RIGHT("00000"&amp;ROW(),5),"")</f>
        <v/>
      </c>
      <c r="V320" s="0" t="str">
        <f aca="false">IF(U320="","",COUNTIFS($I$2:$I$1201,1,$U$2:$U$1201,"&lt;"&amp;U320)+1)</f>
        <v/>
      </c>
    </row>
    <row r="321" customFormat="false" ht="15" hidden="false" customHeight="false" outlineLevel="0" collapsed="false">
      <c r="A321" s="0" t="n">
        <v>6</v>
      </c>
      <c r="B321" s="0" t="n">
        <v>20</v>
      </c>
      <c r="C321" s="0" t="str">
        <f aca="false">TRIM(SUBSTITUTE(INDEX(LISTAS!$A$4:$T$63,B321,A321)&amp;"",CHAR(160)," "))</f>
        <v/>
      </c>
      <c r="D321" s="0" t="str">
        <f aca="false">IF(C321="","",TRIM(RIGHT(SUBSTITUTE(C321," ",REPT(" ",100)),100)))</f>
        <v/>
      </c>
      <c r="E321" s="0" t="str">
        <f aca="false">IF(D321="","",UPPER(SUBSTITUTE(SUBSTITUTE(D321,"(",""),")","")))</f>
        <v/>
      </c>
      <c r="F321" s="0" t="str">
        <f aca="false">IF(C321="","",LEFT(C321,FIND(" ",C321&amp;" ")-1))</f>
        <v/>
      </c>
      <c r="G321" s="0" t="n">
        <f aca="false">IFERROR(VALUE(SUBSTITUTE(LOWER(F321),"x","")),0)</f>
        <v>0</v>
      </c>
      <c r="H321" s="0" t="str">
        <f aca="false">IF(C321="","",TRIM(MID(C321,LEN(F321)+2,999)))</f>
        <v/>
      </c>
      <c r="I321" s="0" t="n">
        <f aca="false">IF(OR(C321="",LEFT(C321,2)="//"),0,IFERROR(IF(AND(G321&gt;0,G321=INT(G321),FIND("-",E321)&gt;1,NOT(EXACT(UPPER(LEFT(E321,1)),LOWER(LEFT(E321,1)))),ISNUMBER(VALUE(MID(E321,FIND("-",E321)+1,10)))),1,0),0))</f>
        <v>0</v>
      </c>
      <c r="J321" s="0" t="str">
        <f aca="false">IF(I321=1,TRIM(LEFT(H321,MAX(0,LEN(H321)-LEN(D321)))),"")</f>
        <v/>
      </c>
      <c r="K321" s="0" t="str">
        <f aca="false">INDEX($P$2:$P$21,A321)</f>
        <v>Deck 6</v>
      </c>
      <c r="L321" s="0" t="n">
        <f aca="false">IF(AND(C321&lt;&gt;"",LEFT(C321,2)&lt;&gt;"//",I321=0),1,0)</f>
        <v>0</v>
      </c>
      <c r="M321" s="0" t="str">
        <f aca="false">IF(I321=1,MAX(M$1:M320)+1,"")</f>
        <v/>
      </c>
      <c r="N321" s="0" t="str">
        <f aca="false">IFERROR(MATCH(ROW()-1,$V$2:$V$1201,0),"")</f>
        <v/>
      </c>
      <c r="R321" s="0" t="str">
        <f aca="false">IF(E321="","",IFERROR(LEFT(E321,FIND("-",E321)-1),E321))</f>
        <v/>
      </c>
      <c r="S321" s="0" t="str">
        <f aca="false">IF(R321="","",IF(ISNUMBER(--MID(R321,1,1)),0,IF(ISNUMBER(--MID(R321,2,1)),1,IF(ISNUMBER(--MID(R321,3,1)),2,IF(ISNUMBER(--MID(R321,4,1)),3,MIN(LEN(R321),4))))))</f>
        <v/>
      </c>
      <c r="T321" s="0" t="str">
        <f aca="false">IF(E321="","",LEFT(R321,S321)&amp;REPT("0",4-S321)&amp;RIGHT("000"&amp;IFERROR(VALUE(MID(R321,S321+1,9)),0),3)&amp;RIGHT("0000"&amp;IFERROR(VALUE(MID(E321,FIND("-",E321)+1,9)),0),4))</f>
        <v/>
      </c>
      <c r="U321" s="0" t="str">
        <f aca="false">IF(I321=1,"K"&amp;RIGHT("00"&amp;A321,2)&amp;T321&amp;RIGHT("00000"&amp;ROW(),5),"")</f>
        <v/>
      </c>
      <c r="V321" s="0" t="str">
        <f aca="false">IF(U321="","",COUNTIFS($I$2:$I$1201,1,$U$2:$U$1201,"&lt;"&amp;U321)+1)</f>
        <v/>
      </c>
    </row>
    <row r="322" customFormat="false" ht="15" hidden="false" customHeight="false" outlineLevel="0" collapsed="false">
      <c r="A322" s="0" t="n">
        <v>6</v>
      </c>
      <c r="B322" s="0" t="n">
        <v>21</v>
      </c>
      <c r="C322" s="0" t="str">
        <f aca="false">TRIM(SUBSTITUTE(INDEX(LISTAS!$A$4:$T$63,B322,A322)&amp;"",CHAR(160)," "))</f>
        <v/>
      </c>
      <c r="D322" s="0" t="str">
        <f aca="false">IF(C322="","",TRIM(RIGHT(SUBSTITUTE(C322," ",REPT(" ",100)),100)))</f>
        <v/>
      </c>
      <c r="E322" s="0" t="str">
        <f aca="false">IF(D322="","",UPPER(SUBSTITUTE(SUBSTITUTE(D322,"(",""),")","")))</f>
        <v/>
      </c>
      <c r="F322" s="0" t="str">
        <f aca="false">IF(C322="","",LEFT(C322,FIND(" ",C322&amp;" ")-1))</f>
        <v/>
      </c>
      <c r="G322" s="0" t="n">
        <f aca="false">IFERROR(VALUE(SUBSTITUTE(LOWER(F322),"x","")),0)</f>
        <v>0</v>
      </c>
      <c r="H322" s="0" t="str">
        <f aca="false">IF(C322="","",TRIM(MID(C322,LEN(F322)+2,999)))</f>
        <v/>
      </c>
      <c r="I322" s="0" t="n">
        <f aca="false">IF(OR(C322="",LEFT(C322,2)="//"),0,IFERROR(IF(AND(G322&gt;0,G322=INT(G322),FIND("-",E322)&gt;1,NOT(EXACT(UPPER(LEFT(E322,1)),LOWER(LEFT(E322,1)))),ISNUMBER(VALUE(MID(E322,FIND("-",E322)+1,10)))),1,0),0))</f>
        <v>0</v>
      </c>
      <c r="J322" s="0" t="str">
        <f aca="false">IF(I322=1,TRIM(LEFT(H322,MAX(0,LEN(H322)-LEN(D322)))),"")</f>
        <v/>
      </c>
      <c r="K322" s="0" t="str">
        <f aca="false">INDEX($P$2:$P$21,A322)</f>
        <v>Deck 6</v>
      </c>
      <c r="L322" s="0" t="n">
        <f aca="false">IF(AND(C322&lt;&gt;"",LEFT(C322,2)&lt;&gt;"//",I322=0),1,0)</f>
        <v>0</v>
      </c>
      <c r="M322" s="0" t="str">
        <f aca="false">IF(I322=1,MAX(M$1:M321)+1,"")</f>
        <v/>
      </c>
      <c r="N322" s="0" t="str">
        <f aca="false">IFERROR(MATCH(ROW()-1,$V$2:$V$1201,0),"")</f>
        <v/>
      </c>
      <c r="R322" s="0" t="str">
        <f aca="false">IF(E322="","",IFERROR(LEFT(E322,FIND("-",E322)-1),E322))</f>
        <v/>
      </c>
      <c r="S322" s="0" t="str">
        <f aca="false">IF(R322="","",IF(ISNUMBER(--MID(R322,1,1)),0,IF(ISNUMBER(--MID(R322,2,1)),1,IF(ISNUMBER(--MID(R322,3,1)),2,IF(ISNUMBER(--MID(R322,4,1)),3,MIN(LEN(R322),4))))))</f>
        <v/>
      </c>
      <c r="T322" s="0" t="str">
        <f aca="false">IF(E322="","",LEFT(R322,S322)&amp;REPT("0",4-S322)&amp;RIGHT("000"&amp;IFERROR(VALUE(MID(R322,S322+1,9)),0),3)&amp;RIGHT("0000"&amp;IFERROR(VALUE(MID(E322,FIND("-",E322)+1,9)),0),4))</f>
        <v/>
      </c>
      <c r="U322" s="0" t="str">
        <f aca="false">IF(I322=1,"K"&amp;RIGHT("00"&amp;A322,2)&amp;T322&amp;RIGHT("00000"&amp;ROW(),5),"")</f>
        <v/>
      </c>
      <c r="V322" s="0" t="str">
        <f aca="false">IF(U322="","",COUNTIFS($I$2:$I$1201,1,$U$2:$U$1201,"&lt;"&amp;U322)+1)</f>
        <v/>
      </c>
    </row>
    <row r="323" customFormat="false" ht="15" hidden="false" customHeight="false" outlineLevel="0" collapsed="false">
      <c r="A323" s="0" t="n">
        <v>6</v>
      </c>
      <c r="B323" s="0" t="n">
        <v>22</v>
      </c>
      <c r="C323" s="0" t="str">
        <f aca="false">TRIM(SUBSTITUTE(INDEX(LISTAS!$A$4:$T$63,B323,A323)&amp;"",CHAR(160)," "))</f>
        <v/>
      </c>
      <c r="D323" s="0" t="str">
        <f aca="false">IF(C323="","",TRIM(RIGHT(SUBSTITUTE(C323," ",REPT(" ",100)),100)))</f>
        <v/>
      </c>
      <c r="E323" s="0" t="str">
        <f aca="false">IF(D323="","",UPPER(SUBSTITUTE(SUBSTITUTE(D323,"(",""),")","")))</f>
        <v/>
      </c>
      <c r="F323" s="0" t="str">
        <f aca="false">IF(C323="","",LEFT(C323,FIND(" ",C323&amp;" ")-1))</f>
        <v/>
      </c>
      <c r="G323" s="0" t="n">
        <f aca="false">IFERROR(VALUE(SUBSTITUTE(LOWER(F323),"x","")),0)</f>
        <v>0</v>
      </c>
      <c r="H323" s="0" t="str">
        <f aca="false">IF(C323="","",TRIM(MID(C323,LEN(F323)+2,999)))</f>
        <v/>
      </c>
      <c r="I323" s="0" t="n">
        <f aca="false">IF(OR(C323="",LEFT(C323,2)="//"),0,IFERROR(IF(AND(G323&gt;0,G323=INT(G323),FIND("-",E323)&gt;1,NOT(EXACT(UPPER(LEFT(E323,1)),LOWER(LEFT(E323,1)))),ISNUMBER(VALUE(MID(E323,FIND("-",E323)+1,10)))),1,0),0))</f>
        <v>0</v>
      </c>
      <c r="J323" s="0" t="str">
        <f aca="false">IF(I323=1,TRIM(LEFT(H323,MAX(0,LEN(H323)-LEN(D323)))),"")</f>
        <v/>
      </c>
      <c r="K323" s="0" t="str">
        <f aca="false">INDEX($P$2:$P$21,A323)</f>
        <v>Deck 6</v>
      </c>
      <c r="L323" s="0" t="n">
        <f aca="false">IF(AND(C323&lt;&gt;"",LEFT(C323,2)&lt;&gt;"//",I323=0),1,0)</f>
        <v>0</v>
      </c>
      <c r="M323" s="0" t="str">
        <f aca="false">IF(I323=1,MAX(M$1:M322)+1,"")</f>
        <v/>
      </c>
      <c r="N323" s="0" t="str">
        <f aca="false">IFERROR(MATCH(ROW()-1,$V$2:$V$1201,0),"")</f>
        <v/>
      </c>
      <c r="R323" s="0" t="str">
        <f aca="false">IF(E323="","",IFERROR(LEFT(E323,FIND("-",E323)-1),E323))</f>
        <v/>
      </c>
      <c r="S323" s="0" t="str">
        <f aca="false">IF(R323="","",IF(ISNUMBER(--MID(R323,1,1)),0,IF(ISNUMBER(--MID(R323,2,1)),1,IF(ISNUMBER(--MID(R323,3,1)),2,IF(ISNUMBER(--MID(R323,4,1)),3,MIN(LEN(R323),4))))))</f>
        <v/>
      </c>
      <c r="T323" s="0" t="str">
        <f aca="false">IF(E323="","",LEFT(R323,S323)&amp;REPT("0",4-S323)&amp;RIGHT("000"&amp;IFERROR(VALUE(MID(R323,S323+1,9)),0),3)&amp;RIGHT("0000"&amp;IFERROR(VALUE(MID(E323,FIND("-",E323)+1,9)),0),4))</f>
        <v/>
      </c>
      <c r="U323" s="0" t="str">
        <f aca="false">IF(I323=1,"K"&amp;RIGHT("00"&amp;A323,2)&amp;T323&amp;RIGHT("00000"&amp;ROW(),5),"")</f>
        <v/>
      </c>
      <c r="V323" s="0" t="str">
        <f aca="false">IF(U323="","",COUNTIFS($I$2:$I$1201,1,$U$2:$U$1201,"&lt;"&amp;U323)+1)</f>
        <v/>
      </c>
    </row>
    <row r="324" customFormat="false" ht="15" hidden="false" customHeight="false" outlineLevel="0" collapsed="false">
      <c r="A324" s="0" t="n">
        <v>6</v>
      </c>
      <c r="B324" s="0" t="n">
        <v>23</v>
      </c>
      <c r="C324" s="0" t="str">
        <f aca="false">TRIM(SUBSTITUTE(INDEX(LISTAS!$A$4:$T$63,B324,A324)&amp;"",CHAR(160)," "))</f>
        <v/>
      </c>
      <c r="D324" s="0" t="str">
        <f aca="false">IF(C324="","",TRIM(RIGHT(SUBSTITUTE(C324," ",REPT(" ",100)),100)))</f>
        <v/>
      </c>
      <c r="E324" s="0" t="str">
        <f aca="false">IF(D324="","",UPPER(SUBSTITUTE(SUBSTITUTE(D324,"(",""),")","")))</f>
        <v/>
      </c>
      <c r="F324" s="0" t="str">
        <f aca="false">IF(C324="","",LEFT(C324,FIND(" ",C324&amp;" ")-1))</f>
        <v/>
      </c>
      <c r="G324" s="0" t="n">
        <f aca="false">IFERROR(VALUE(SUBSTITUTE(LOWER(F324),"x","")),0)</f>
        <v>0</v>
      </c>
      <c r="H324" s="0" t="str">
        <f aca="false">IF(C324="","",TRIM(MID(C324,LEN(F324)+2,999)))</f>
        <v/>
      </c>
      <c r="I324" s="0" t="n">
        <f aca="false">IF(OR(C324="",LEFT(C324,2)="//"),0,IFERROR(IF(AND(G324&gt;0,G324=INT(G324),FIND("-",E324)&gt;1,NOT(EXACT(UPPER(LEFT(E324,1)),LOWER(LEFT(E324,1)))),ISNUMBER(VALUE(MID(E324,FIND("-",E324)+1,10)))),1,0),0))</f>
        <v>0</v>
      </c>
      <c r="J324" s="0" t="str">
        <f aca="false">IF(I324=1,TRIM(LEFT(H324,MAX(0,LEN(H324)-LEN(D324)))),"")</f>
        <v/>
      </c>
      <c r="K324" s="0" t="str">
        <f aca="false">INDEX($P$2:$P$21,A324)</f>
        <v>Deck 6</v>
      </c>
      <c r="L324" s="0" t="n">
        <f aca="false">IF(AND(C324&lt;&gt;"",LEFT(C324,2)&lt;&gt;"//",I324=0),1,0)</f>
        <v>0</v>
      </c>
      <c r="M324" s="0" t="str">
        <f aca="false">IF(I324=1,MAX(M$1:M323)+1,"")</f>
        <v/>
      </c>
      <c r="N324" s="0" t="str">
        <f aca="false">IFERROR(MATCH(ROW()-1,$V$2:$V$1201,0),"")</f>
        <v/>
      </c>
      <c r="R324" s="0" t="str">
        <f aca="false">IF(E324="","",IFERROR(LEFT(E324,FIND("-",E324)-1),E324))</f>
        <v/>
      </c>
      <c r="S324" s="0" t="str">
        <f aca="false">IF(R324="","",IF(ISNUMBER(--MID(R324,1,1)),0,IF(ISNUMBER(--MID(R324,2,1)),1,IF(ISNUMBER(--MID(R324,3,1)),2,IF(ISNUMBER(--MID(R324,4,1)),3,MIN(LEN(R324),4))))))</f>
        <v/>
      </c>
      <c r="T324" s="0" t="str">
        <f aca="false">IF(E324="","",LEFT(R324,S324)&amp;REPT("0",4-S324)&amp;RIGHT("000"&amp;IFERROR(VALUE(MID(R324,S324+1,9)),0),3)&amp;RIGHT("0000"&amp;IFERROR(VALUE(MID(E324,FIND("-",E324)+1,9)),0),4))</f>
        <v/>
      </c>
      <c r="U324" s="0" t="str">
        <f aca="false">IF(I324=1,"K"&amp;RIGHT("00"&amp;A324,2)&amp;T324&amp;RIGHT("00000"&amp;ROW(),5),"")</f>
        <v/>
      </c>
      <c r="V324" s="0" t="str">
        <f aca="false">IF(U324="","",COUNTIFS($I$2:$I$1201,1,$U$2:$U$1201,"&lt;"&amp;U324)+1)</f>
        <v/>
      </c>
    </row>
    <row r="325" customFormat="false" ht="15" hidden="false" customHeight="false" outlineLevel="0" collapsed="false">
      <c r="A325" s="0" t="n">
        <v>6</v>
      </c>
      <c r="B325" s="0" t="n">
        <v>24</v>
      </c>
      <c r="C325" s="0" t="str">
        <f aca="false">TRIM(SUBSTITUTE(INDEX(LISTAS!$A$4:$T$63,B325,A325)&amp;"",CHAR(160)," "))</f>
        <v/>
      </c>
      <c r="D325" s="0" t="str">
        <f aca="false">IF(C325="","",TRIM(RIGHT(SUBSTITUTE(C325," ",REPT(" ",100)),100)))</f>
        <v/>
      </c>
      <c r="E325" s="0" t="str">
        <f aca="false">IF(D325="","",UPPER(SUBSTITUTE(SUBSTITUTE(D325,"(",""),")","")))</f>
        <v/>
      </c>
      <c r="F325" s="0" t="str">
        <f aca="false">IF(C325="","",LEFT(C325,FIND(" ",C325&amp;" ")-1))</f>
        <v/>
      </c>
      <c r="G325" s="0" t="n">
        <f aca="false">IFERROR(VALUE(SUBSTITUTE(LOWER(F325),"x","")),0)</f>
        <v>0</v>
      </c>
      <c r="H325" s="0" t="str">
        <f aca="false">IF(C325="","",TRIM(MID(C325,LEN(F325)+2,999)))</f>
        <v/>
      </c>
      <c r="I325" s="0" t="n">
        <f aca="false">IF(OR(C325="",LEFT(C325,2)="//"),0,IFERROR(IF(AND(G325&gt;0,G325=INT(G325),FIND("-",E325)&gt;1,NOT(EXACT(UPPER(LEFT(E325,1)),LOWER(LEFT(E325,1)))),ISNUMBER(VALUE(MID(E325,FIND("-",E325)+1,10)))),1,0),0))</f>
        <v>0</v>
      </c>
      <c r="J325" s="0" t="str">
        <f aca="false">IF(I325=1,TRIM(LEFT(H325,MAX(0,LEN(H325)-LEN(D325)))),"")</f>
        <v/>
      </c>
      <c r="K325" s="0" t="str">
        <f aca="false">INDEX($P$2:$P$21,A325)</f>
        <v>Deck 6</v>
      </c>
      <c r="L325" s="0" t="n">
        <f aca="false">IF(AND(C325&lt;&gt;"",LEFT(C325,2)&lt;&gt;"//",I325=0),1,0)</f>
        <v>0</v>
      </c>
      <c r="M325" s="0" t="str">
        <f aca="false">IF(I325=1,MAX(M$1:M324)+1,"")</f>
        <v/>
      </c>
      <c r="N325" s="0" t="str">
        <f aca="false">IFERROR(MATCH(ROW()-1,$V$2:$V$1201,0),"")</f>
        <v/>
      </c>
      <c r="R325" s="0" t="str">
        <f aca="false">IF(E325="","",IFERROR(LEFT(E325,FIND("-",E325)-1),E325))</f>
        <v/>
      </c>
      <c r="S325" s="0" t="str">
        <f aca="false">IF(R325="","",IF(ISNUMBER(--MID(R325,1,1)),0,IF(ISNUMBER(--MID(R325,2,1)),1,IF(ISNUMBER(--MID(R325,3,1)),2,IF(ISNUMBER(--MID(R325,4,1)),3,MIN(LEN(R325),4))))))</f>
        <v/>
      </c>
      <c r="T325" s="0" t="str">
        <f aca="false">IF(E325="","",LEFT(R325,S325)&amp;REPT("0",4-S325)&amp;RIGHT("000"&amp;IFERROR(VALUE(MID(R325,S325+1,9)),0),3)&amp;RIGHT("0000"&amp;IFERROR(VALUE(MID(E325,FIND("-",E325)+1,9)),0),4))</f>
        <v/>
      </c>
      <c r="U325" s="0" t="str">
        <f aca="false">IF(I325=1,"K"&amp;RIGHT("00"&amp;A325,2)&amp;T325&amp;RIGHT("00000"&amp;ROW(),5),"")</f>
        <v/>
      </c>
      <c r="V325" s="0" t="str">
        <f aca="false">IF(U325="","",COUNTIFS($I$2:$I$1201,1,$U$2:$U$1201,"&lt;"&amp;U325)+1)</f>
        <v/>
      </c>
    </row>
    <row r="326" customFormat="false" ht="15" hidden="false" customHeight="false" outlineLevel="0" collapsed="false">
      <c r="A326" s="0" t="n">
        <v>6</v>
      </c>
      <c r="B326" s="0" t="n">
        <v>25</v>
      </c>
      <c r="C326" s="0" t="str">
        <f aca="false">TRIM(SUBSTITUTE(INDEX(LISTAS!$A$4:$T$63,B326,A326)&amp;"",CHAR(160)," "))</f>
        <v/>
      </c>
      <c r="D326" s="0" t="str">
        <f aca="false">IF(C326="","",TRIM(RIGHT(SUBSTITUTE(C326," ",REPT(" ",100)),100)))</f>
        <v/>
      </c>
      <c r="E326" s="0" t="str">
        <f aca="false">IF(D326="","",UPPER(SUBSTITUTE(SUBSTITUTE(D326,"(",""),")","")))</f>
        <v/>
      </c>
      <c r="F326" s="0" t="str">
        <f aca="false">IF(C326="","",LEFT(C326,FIND(" ",C326&amp;" ")-1))</f>
        <v/>
      </c>
      <c r="G326" s="0" t="n">
        <f aca="false">IFERROR(VALUE(SUBSTITUTE(LOWER(F326),"x","")),0)</f>
        <v>0</v>
      </c>
      <c r="H326" s="0" t="str">
        <f aca="false">IF(C326="","",TRIM(MID(C326,LEN(F326)+2,999)))</f>
        <v/>
      </c>
      <c r="I326" s="0" t="n">
        <f aca="false">IF(OR(C326="",LEFT(C326,2)="//"),0,IFERROR(IF(AND(G326&gt;0,G326=INT(G326),FIND("-",E326)&gt;1,NOT(EXACT(UPPER(LEFT(E326,1)),LOWER(LEFT(E326,1)))),ISNUMBER(VALUE(MID(E326,FIND("-",E326)+1,10)))),1,0),0))</f>
        <v>0</v>
      </c>
      <c r="J326" s="0" t="str">
        <f aca="false">IF(I326=1,TRIM(LEFT(H326,MAX(0,LEN(H326)-LEN(D326)))),"")</f>
        <v/>
      </c>
      <c r="K326" s="0" t="str">
        <f aca="false">INDEX($P$2:$P$21,A326)</f>
        <v>Deck 6</v>
      </c>
      <c r="L326" s="0" t="n">
        <f aca="false">IF(AND(C326&lt;&gt;"",LEFT(C326,2)&lt;&gt;"//",I326=0),1,0)</f>
        <v>0</v>
      </c>
      <c r="M326" s="0" t="str">
        <f aca="false">IF(I326=1,MAX(M$1:M325)+1,"")</f>
        <v/>
      </c>
      <c r="N326" s="0" t="str">
        <f aca="false">IFERROR(MATCH(ROW()-1,$V$2:$V$1201,0),"")</f>
        <v/>
      </c>
      <c r="R326" s="0" t="str">
        <f aca="false">IF(E326="","",IFERROR(LEFT(E326,FIND("-",E326)-1),E326))</f>
        <v/>
      </c>
      <c r="S326" s="0" t="str">
        <f aca="false">IF(R326="","",IF(ISNUMBER(--MID(R326,1,1)),0,IF(ISNUMBER(--MID(R326,2,1)),1,IF(ISNUMBER(--MID(R326,3,1)),2,IF(ISNUMBER(--MID(R326,4,1)),3,MIN(LEN(R326),4))))))</f>
        <v/>
      </c>
      <c r="T326" s="0" t="str">
        <f aca="false">IF(E326="","",LEFT(R326,S326)&amp;REPT("0",4-S326)&amp;RIGHT("000"&amp;IFERROR(VALUE(MID(R326,S326+1,9)),0),3)&amp;RIGHT("0000"&amp;IFERROR(VALUE(MID(E326,FIND("-",E326)+1,9)),0),4))</f>
        <v/>
      </c>
      <c r="U326" s="0" t="str">
        <f aca="false">IF(I326=1,"K"&amp;RIGHT("00"&amp;A326,2)&amp;T326&amp;RIGHT("00000"&amp;ROW(),5),"")</f>
        <v/>
      </c>
      <c r="V326" s="0" t="str">
        <f aca="false">IF(U326="","",COUNTIFS($I$2:$I$1201,1,$U$2:$U$1201,"&lt;"&amp;U326)+1)</f>
        <v/>
      </c>
    </row>
    <row r="327" customFormat="false" ht="15" hidden="false" customHeight="false" outlineLevel="0" collapsed="false">
      <c r="A327" s="0" t="n">
        <v>6</v>
      </c>
      <c r="B327" s="0" t="n">
        <v>26</v>
      </c>
      <c r="C327" s="0" t="str">
        <f aca="false">TRIM(SUBSTITUTE(INDEX(LISTAS!$A$4:$T$63,B327,A327)&amp;"",CHAR(160)," "))</f>
        <v/>
      </c>
      <c r="D327" s="0" t="str">
        <f aca="false">IF(C327="","",TRIM(RIGHT(SUBSTITUTE(C327," ",REPT(" ",100)),100)))</f>
        <v/>
      </c>
      <c r="E327" s="0" t="str">
        <f aca="false">IF(D327="","",UPPER(SUBSTITUTE(SUBSTITUTE(D327,"(",""),")","")))</f>
        <v/>
      </c>
      <c r="F327" s="0" t="str">
        <f aca="false">IF(C327="","",LEFT(C327,FIND(" ",C327&amp;" ")-1))</f>
        <v/>
      </c>
      <c r="G327" s="0" t="n">
        <f aca="false">IFERROR(VALUE(SUBSTITUTE(LOWER(F327),"x","")),0)</f>
        <v>0</v>
      </c>
      <c r="H327" s="0" t="str">
        <f aca="false">IF(C327="","",TRIM(MID(C327,LEN(F327)+2,999)))</f>
        <v/>
      </c>
      <c r="I327" s="0" t="n">
        <f aca="false">IF(OR(C327="",LEFT(C327,2)="//"),0,IFERROR(IF(AND(G327&gt;0,G327=INT(G327),FIND("-",E327)&gt;1,NOT(EXACT(UPPER(LEFT(E327,1)),LOWER(LEFT(E327,1)))),ISNUMBER(VALUE(MID(E327,FIND("-",E327)+1,10)))),1,0),0))</f>
        <v>0</v>
      </c>
      <c r="J327" s="0" t="str">
        <f aca="false">IF(I327=1,TRIM(LEFT(H327,MAX(0,LEN(H327)-LEN(D327)))),"")</f>
        <v/>
      </c>
      <c r="K327" s="0" t="str">
        <f aca="false">INDEX($P$2:$P$21,A327)</f>
        <v>Deck 6</v>
      </c>
      <c r="L327" s="0" t="n">
        <f aca="false">IF(AND(C327&lt;&gt;"",LEFT(C327,2)&lt;&gt;"//",I327=0),1,0)</f>
        <v>0</v>
      </c>
      <c r="M327" s="0" t="str">
        <f aca="false">IF(I327=1,MAX(M$1:M326)+1,"")</f>
        <v/>
      </c>
      <c r="N327" s="0" t="str">
        <f aca="false">IFERROR(MATCH(ROW()-1,$V$2:$V$1201,0),"")</f>
        <v/>
      </c>
      <c r="R327" s="0" t="str">
        <f aca="false">IF(E327="","",IFERROR(LEFT(E327,FIND("-",E327)-1),E327))</f>
        <v/>
      </c>
      <c r="S327" s="0" t="str">
        <f aca="false">IF(R327="","",IF(ISNUMBER(--MID(R327,1,1)),0,IF(ISNUMBER(--MID(R327,2,1)),1,IF(ISNUMBER(--MID(R327,3,1)),2,IF(ISNUMBER(--MID(R327,4,1)),3,MIN(LEN(R327),4))))))</f>
        <v/>
      </c>
      <c r="T327" s="0" t="str">
        <f aca="false">IF(E327="","",LEFT(R327,S327)&amp;REPT("0",4-S327)&amp;RIGHT("000"&amp;IFERROR(VALUE(MID(R327,S327+1,9)),0),3)&amp;RIGHT("0000"&amp;IFERROR(VALUE(MID(E327,FIND("-",E327)+1,9)),0),4))</f>
        <v/>
      </c>
      <c r="U327" s="0" t="str">
        <f aca="false">IF(I327=1,"K"&amp;RIGHT("00"&amp;A327,2)&amp;T327&amp;RIGHT("00000"&amp;ROW(),5),"")</f>
        <v/>
      </c>
      <c r="V327" s="0" t="str">
        <f aca="false">IF(U327="","",COUNTIFS($I$2:$I$1201,1,$U$2:$U$1201,"&lt;"&amp;U327)+1)</f>
        <v/>
      </c>
    </row>
    <row r="328" customFormat="false" ht="15" hidden="false" customHeight="false" outlineLevel="0" collapsed="false">
      <c r="A328" s="0" t="n">
        <v>6</v>
      </c>
      <c r="B328" s="0" t="n">
        <v>27</v>
      </c>
      <c r="C328" s="0" t="str">
        <f aca="false">TRIM(SUBSTITUTE(INDEX(LISTAS!$A$4:$T$63,B328,A328)&amp;"",CHAR(160)," "))</f>
        <v/>
      </c>
      <c r="D328" s="0" t="str">
        <f aca="false">IF(C328="","",TRIM(RIGHT(SUBSTITUTE(C328," ",REPT(" ",100)),100)))</f>
        <v/>
      </c>
      <c r="E328" s="0" t="str">
        <f aca="false">IF(D328="","",UPPER(SUBSTITUTE(SUBSTITUTE(D328,"(",""),")","")))</f>
        <v/>
      </c>
      <c r="F328" s="0" t="str">
        <f aca="false">IF(C328="","",LEFT(C328,FIND(" ",C328&amp;" ")-1))</f>
        <v/>
      </c>
      <c r="G328" s="0" t="n">
        <f aca="false">IFERROR(VALUE(SUBSTITUTE(LOWER(F328),"x","")),0)</f>
        <v>0</v>
      </c>
      <c r="H328" s="0" t="str">
        <f aca="false">IF(C328="","",TRIM(MID(C328,LEN(F328)+2,999)))</f>
        <v/>
      </c>
      <c r="I328" s="0" t="n">
        <f aca="false">IF(OR(C328="",LEFT(C328,2)="//"),0,IFERROR(IF(AND(G328&gt;0,G328=INT(G328),FIND("-",E328)&gt;1,NOT(EXACT(UPPER(LEFT(E328,1)),LOWER(LEFT(E328,1)))),ISNUMBER(VALUE(MID(E328,FIND("-",E328)+1,10)))),1,0),0))</f>
        <v>0</v>
      </c>
      <c r="J328" s="0" t="str">
        <f aca="false">IF(I328=1,TRIM(LEFT(H328,MAX(0,LEN(H328)-LEN(D328)))),"")</f>
        <v/>
      </c>
      <c r="K328" s="0" t="str">
        <f aca="false">INDEX($P$2:$P$21,A328)</f>
        <v>Deck 6</v>
      </c>
      <c r="L328" s="0" t="n">
        <f aca="false">IF(AND(C328&lt;&gt;"",LEFT(C328,2)&lt;&gt;"//",I328=0),1,0)</f>
        <v>0</v>
      </c>
      <c r="M328" s="0" t="str">
        <f aca="false">IF(I328=1,MAX(M$1:M327)+1,"")</f>
        <v/>
      </c>
      <c r="N328" s="0" t="str">
        <f aca="false">IFERROR(MATCH(ROW()-1,$V$2:$V$1201,0),"")</f>
        <v/>
      </c>
      <c r="R328" s="0" t="str">
        <f aca="false">IF(E328="","",IFERROR(LEFT(E328,FIND("-",E328)-1),E328))</f>
        <v/>
      </c>
      <c r="S328" s="0" t="str">
        <f aca="false">IF(R328="","",IF(ISNUMBER(--MID(R328,1,1)),0,IF(ISNUMBER(--MID(R328,2,1)),1,IF(ISNUMBER(--MID(R328,3,1)),2,IF(ISNUMBER(--MID(R328,4,1)),3,MIN(LEN(R328),4))))))</f>
        <v/>
      </c>
      <c r="T328" s="0" t="str">
        <f aca="false">IF(E328="","",LEFT(R328,S328)&amp;REPT("0",4-S328)&amp;RIGHT("000"&amp;IFERROR(VALUE(MID(R328,S328+1,9)),0),3)&amp;RIGHT("0000"&amp;IFERROR(VALUE(MID(E328,FIND("-",E328)+1,9)),0),4))</f>
        <v/>
      </c>
      <c r="U328" s="0" t="str">
        <f aca="false">IF(I328=1,"K"&amp;RIGHT("00"&amp;A328,2)&amp;T328&amp;RIGHT("00000"&amp;ROW(),5),"")</f>
        <v/>
      </c>
      <c r="V328" s="0" t="str">
        <f aca="false">IF(U328="","",COUNTIFS($I$2:$I$1201,1,$U$2:$U$1201,"&lt;"&amp;U328)+1)</f>
        <v/>
      </c>
    </row>
    <row r="329" customFormat="false" ht="15" hidden="false" customHeight="false" outlineLevel="0" collapsed="false">
      <c r="A329" s="0" t="n">
        <v>6</v>
      </c>
      <c r="B329" s="0" t="n">
        <v>28</v>
      </c>
      <c r="C329" s="0" t="str">
        <f aca="false">TRIM(SUBSTITUTE(INDEX(LISTAS!$A$4:$T$63,B329,A329)&amp;"",CHAR(160)," "))</f>
        <v/>
      </c>
      <c r="D329" s="0" t="str">
        <f aca="false">IF(C329="","",TRIM(RIGHT(SUBSTITUTE(C329," ",REPT(" ",100)),100)))</f>
        <v/>
      </c>
      <c r="E329" s="0" t="str">
        <f aca="false">IF(D329="","",UPPER(SUBSTITUTE(SUBSTITUTE(D329,"(",""),")","")))</f>
        <v/>
      </c>
      <c r="F329" s="0" t="str">
        <f aca="false">IF(C329="","",LEFT(C329,FIND(" ",C329&amp;" ")-1))</f>
        <v/>
      </c>
      <c r="G329" s="0" t="n">
        <f aca="false">IFERROR(VALUE(SUBSTITUTE(LOWER(F329),"x","")),0)</f>
        <v>0</v>
      </c>
      <c r="H329" s="0" t="str">
        <f aca="false">IF(C329="","",TRIM(MID(C329,LEN(F329)+2,999)))</f>
        <v/>
      </c>
      <c r="I329" s="0" t="n">
        <f aca="false">IF(OR(C329="",LEFT(C329,2)="//"),0,IFERROR(IF(AND(G329&gt;0,G329=INT(G329),FIND("-",E329)&gt;1,NOT(EXACT(UPPER(LEFT(E329,1)),LOWER(LEFT(E329,1)))),ISNUMBER(VALUE(MID(E329,FIND("-",E329)+1,10)))),1,0),0))</f>
        <v>0</v>
      </c>
      <c r="J329" s="0" t="str">
        <f aca="false">IF(I329=1,TRIM(LEFT(H329,MAX(0,LEN(H329)-LEN(D329)))),"")</f>
        <v/>
      </c>
      <c r="K329" s="0" t="str">
        <f aca="false">INDEX($P$2:$P$21,A329)</f>
        <v>Deck 6</v>
      </c>
      <c r="L329" s="0" t="n">
        <f aca="false">IF(AND(C329&lt;&gt;"",LEFT(C329,2)&lt;&gt;"//",I329=0),1,0)</f>
        <v>0</v>
      </c>
      <c r="M329" s="0" t="str">
        <f aca="false">IF(I329=1,MAX(M$1:M328)+1,"")</f>
        <v/>
      </c>
      <c r="N329" s="0" t="str">
        <f aca="false">IFERROR(MATCH(ROW()-1,$V$2:$V$1201,0),"")</f>
        <v/>
      </c>
      <c r="R329" s="0" t="str">
        <f aca="false">IF(E329="","",IFERROR(LEFT(E329,FIND("-",E329)-1),E329))</f>
        <v/>
      </c>
      <c r="S329" s="0" t="str">
        <f aca="false">IF(R329="","",IF(ISNUMBER(--MID(R329,1,1)),0,IF(ISNUMBER(--MID(R329,2,1)),1,IF(ISNUMBER(--MID(R329,3,1)),2,IF(ISNUMBER(--MID(R329,4,1)),3,MIN(LEN(R329),4))))))</f>
        <v/>
      </c>
      <c r="T329" s="0" t="str">
        <f aca="false">IF(E329="","",LEFT(R329,S329)&amp;REPT("0",4-S329)&amp;RIGHT("000"&amp;IFERROR(VALUE(MID(R329,S329+1,9)),0),3)&amp;RIGHT("0000"&amp;IFERROR(VALUE(MID(E329,FIND("-",E329)+1,9)),0),4))</f>
        <v/>
      </c>
      <c r="U329" s="0" t="str">
        <f aca="false">IF(I329=1,"K"&amp;RIGHT("00"&amp;A329,2)&amp;T329&amp;RIGHT("00000"&amp;ROW(),5),"")</f>
        <v/>
      </c>
      <c r="V329" s="0" t="str">
        <f aca="false">IF(U329="","",COUNTIFS($I$2:$I$1201,1,$U$2:$U$1201,"&lt;"&amp;U329)+1)</f>
        <v/>
      </c>
    </row>
    <row r="330" customFormat="false" ht="15" hidden="false" customHeight="false" outlineLevel="0" collapsed="false">
      <c r="A330" s="0" t="n">
        <v>6</v>
      </c>
      <c r="B330" s="0" t="n">
        <v>29</v>
      </c>
      <c r="C330" s="0" t="str">
        <f aca="false">TRIM(SUBSTITUTE(INDEX(LISTAS!$A$4:$T$63,B330,A330)&amp;"",CHAR(160)," "))</f>
        <v/>
      </c>
      <c r="D330" s="0" t="str">
        <f aca="false">IF(C330="","",TRIM(RIGHT(SUBSTITUTE(C330," ",REPT(" ",100)),100)))</f>
        <v/>
      </c>
      <c r="E330" s="0" t="str">
        <f aca="false">IF(D330="","",UPPER(SUBSTITUTE(SUBSTITUTE(D330,"(",""),")","")))</f>
        <v/>
      </c>
      <c r="F330" s="0" t="str">
        <f aca="false">IF(C330="","",LEFT(C330,FIND(" ",C330&amp;" ")-1))</f>
        <v/>
      </c>
      <c r="G330" s="0" t="n">
        <f aca="false">IFERROR(VALUE(SUBSTITUTE(LOWER(F330),"x","")),0)</f>
        <v>0</v>
      </c>
      <c r="H330" s="0" t="str">
        <f aca="false">IF(C330="","",TRIM(MID(C330,LEN(F330)+2,999)))</f>
        <v/>
      </c>
      <c r="I330" s="0" t="n">
        <f aca="false">IF(OR(C330="",LEFT(C330,2)="//"),0,IFERROR(IF(AND(G330&gt;0,G330=INT(G330),FIND("-",E330)&gt;1,NOT(EXACT(UPPER(LEFT(E330,1)),LOWER(LEFT(E330,1)))),ISNUMBER(VALUE(MID(E330,FIND("-",E330)+1,10)))),1,0),0))</f>
        <v>0</v>
      </c>
      <c r="J330" s="0" t="str">
        <f aca="false">IF(I330=1,TRIM(LEFT(H330,MAX(0,LEN(H330)-LEN(D330)))),"")</f>
        <v/>
      </c>
      <c r="K330" s="0" t="str">
        <f aca="false">INDEX($P$2:$P$21,A330)</f>
        <v>Deck 6</v>
      </c>
      <c r="L330" s="0" t="n">
        <f aca="false">IF(AND(C330&lt;&gt;"",LEFT(C330,2)&lt;&gt;"//",I330=0),1,0)</f>
        <v>0</v>
      </c>
      <c r="M330" s="0" t="str">
        <f aca="false">IF(I330=1,MAX(M$1:M329)+1,"")</f>
        <v/>
      </c>
      <c r="N330" s="0" t="str">
        <f aca="false">IFERROR(MATCH(ROW()-1,$V$2:$V$1201,0),"")</f>
        <v/>
      </c>
      <c r="R330" s="0" t="str">
        <f aca="false">IF(E330="","",IFERROR(LEFT(E330,FIND("-",E330)-1),E330))</f>
        <v/>
      </c>
      <c r="S330" s="0" t="str">
        <f aca="false">IF(R330="","",IF(ISNUMBER(--MID(R330,1,1)),0,IF(ISNUMBER(--MID(R330,2,1)),1,IF(ISNUMBER(--MID(R330,3,1)),2,IF(ISNUMBER(--MID(R330,4,1)),3,MIN(LEN(R330),4))))))</f>
        <v/>
      </c>
      <c r="T330" s="0" t="str">
        <f aca="false">IF(E330="","",LEFT(R330,S330)&amp;REPT("0",4-S330)&amp;RIGHT("000"&amp;IFERROR(VALUE(MID(R330,S330+1,9)),0),3)&amp;RIGHT("0000"&amp;IFERROR(VALUE(MID(E330,FIND("-",E330)+1,9)),0),4))</f>
        <v/>
      </c>
      <c r="U330" s="0" t="str">
        <f aca="false">IF(I330=1,"K"&amp;RIGHT("00"&amp;A330,2)&amp;T330&amp;RIGHT("00000"&amp;ROW(),5),"")</f>
        <v/>
      </c>
      <c r="V330" s="0" t="str">
        <f aca="false">IF(U330="","",COUNTIFS($I$2:$I$1201,1,$U$2:$U$1201,"&lt;"&amp;U330)+1)</f>
        <v/>
      </c>
    </row>
    <row r="331" customFormat="false" ht="15" hidden="false" customHeight="false" outlineLevel="0" collapsed="false">
      <c r="A331" s="0" t="n">
        <v>6</v>
      </c>
      <c r="B331" s="0" t="n">
        <v>30</v>
      </c>
      <c r="C331" s="0" t="str">
        <f aca="false">TRIM(SUBSTITUTE(INDEX(LISTAS!$A$4:$T$63,B331,A331)&amp;"",CHAR(160)," "))</f>
        <v/>
      </c>
      <c r="D331" s="0" t="str">
        <f aca="false">IF(C331="","",TRIM(RIGHT(SUBSTITUTE(C331," ",REPT(" ",100)),100)))</f>
        <v/>
      </c>
      <c r="E331" s="0" t="str">
        <f aca="false">IF(D331="","",UPPER(SUBSTITUTE(SUBSTITUTE(D331,"(",""),")","")))</f>
        <v/>
      </c>
      <c r="F331" s="0" t="str">
        <f aca="false">IF(C331="","",LEFT(C331,FIND(" ",C331&amp;" ")-1))</f>
        <v/>
      </c>
      <c r="G331" s="0" t="n">
        <f aca="false">IFERROR(VALUE(SUBSTITUTE(LOWER(F331),"x","")),0)</f>
        <v>0</v>
      </c>
      <c r="H331" s="0" t="str">
        <f aca="false">IF(C331="","",TRIM(MID(C331,LEN(F331)+2,999)))</f>
        <v/>
      </c>
      <c r="I331" s="0" t="n">
        <f aca="false">IF(OR(C331="",LEFT(C331,2)="//"),0,IFERROR(IF(AND(G331&gt;0,G331=INT(G331),FIND("-",E331)&gt;1,NOT(EXACT(UPPER(LEFT(E331,1)),LOWER(LEFT(E331,1)))),ISNUMBER(VALUE(MID(E331,FIND("-",E331)+1,10)))),1,0),0))</f>
        <v>0</v>
      </c>
      <c r="J331" s="0" t="str">
        <f aca="false">IF(I331=1,TRIM(LEFT(H331,MAX(0,LEN(H331)-LEN(D331)))),"")</f>
        <v/>
      </c>
      <c r="K331" s="0" t="str">
        <f aca="false">INDEX($P$2:$P$21,A331)</f>
        <v>Deck 6</v>
      </c>
      <c r="L331" s="0" t="n">
        <f aca="false">IF(AND(C331&lt;&gt;"",LEFT(C331,2)&lt;&gt;"//",I331=0),1,0)</f>
        <v>0</v>
      </c>
      <c r="M331" s="0" t="str">
        <f aca="false">IF(I331=1,MAX(M$1:M330)+1,"")</f>
        <v/>
      </c>
      <c r="N331" s="0" t="str">
        <f aca="false">IFERROR(MATCH(ROW()-1,$V$2:$V$1201,0),"")</f>
        <v/>
      </c>
      <c r="R331" s="0" t="str">
        <f aca="false">IF(E331="","",IFERROR(LEFT(E331,FIND("-",E331)-1),E331))</f>
        <v/>
      </c>
      <c r="S331" s="0" t="str">
        <f aca="false">IF(R331="","",IF(ISNUMBER(--MID(R331,1,1)),0,IF(ISNUMBER(--MID(R331,2,1)),1,IF(ISNUMBER(--MID(R331,3,1)),2,IF(ISNUMBER(--MID(R331,4,1)),3,MIN(LEN(R331),4))))))</f>
        <v/>
      </c>
      <c r="T331" s="0" t="str">
        <f aca="false">IF(E331="","",LEFT(R331,S331)&amp;REPT("0",4-S331)&amp;RIGHT("000"&amp;IFERROR(VALUE(MID(R331,S331+1,9)),0),3)&amp;RIGHT("0000"&amp;IFERROR(VALUE(MID(E331,FIND("-",E331)+1,9)),0),4))</f>
        <v/>
      </c>
      <c r="U331" s="0" t="str">
        <f aca="false">IF(I331=1,"K"&amp;RIGHT("00"&amp;A331,2)&amp;T331&amp;RIGHT("00000"&amp;ROW(),5),"")</f>
        <v/>
      </c>
      <c r="V331" s="0" t="str">
        <f aca="false">IF(U331="","",COUNTIFS($I$2:$I$1201,1,$U$2:$U$1201,"&lt;"&amp;U331)+1)</f>
        <v/>
      </c>
    </row>
    <row r="332" customFormat="false" ht="15" hidden="false" customHeight="false" outlineLevel="0" collapsed="false">
      <c r="A332" s="0" t="n">
        <v>6</v>
      </c>
      <c r="B332" s="0" t="n">
        <v>31</v>
      </c>
      <c r="C332" s="0" t="str">
        <f aca="false">TRIM(SUBSTITUTE(INDEX(LISTAS!$A$4:$T$63,B332,A332)&amp;"",CHAR(160)," "))</f>
        <v/>
      </c>
      <c r="D332" s="0" t="str">
        <f aca="false">IF(C332="","",TRIM(RIGHT(SUBSTITUTE(C332," ",REPT(" ",100)),100)))</f>
        <v/>
      </c>
      <c r="E332" s="0" t="str">
        <f aca="false">IF(D332="","",UPPER(SUBSTITUTE(SUBSTITUTE(D332,"(",""),")","")))</f>
        <v/>
      </c>
      <c r="F332" s="0" t="str">
        <f aca="false">IF(C332="","",LEFT(C332,FIND(" ",C332&amp;" ")-1))</f>
        <v/>
      </c>
      <c r="G332" s="0" t="n">
        <f aca="false">IFERROR(VALUE(SUBSTITUTE(LOWER(F332),"x","")),0)</f>
        <v>0</v>
      </c>
      <c r="H332" s="0" t="str">
        <f aca="false">IF(C332="","",TRIM(MID(C332,LEN(F332)+2,999)))</f>
        <v/>
      </c>
      <c r="I332" s="0" t="n">
        <f aca="false">IF(OR(C332="",LEFT(C332,2)="//"),0,IFERROR(IF(AND(G332&gt;0,G332=INT(G332),FIND("-",E332)&gt;1,NOT(EXACT(UPPER(LEFT(E332,1)),LOWER(LEFT(E332,1)))),ISNUMBER(VALUE(MID(E332,FIND("-",E332)+1,10)))),1,0),0))</f>
        <v>0</v>
      </c>
      <c r="J332" s="0" t="str">
        <f aca="false">IF(I332=1,TRIM(LEFT(H332,MAX(0,LEN(H332)-LEN(D332)))),"")</f>
        <v/>
      </c>
      <c r="K332" s="0" t="str">
        <f aca="false">INDEX($P$2:$P$21,A332)</f>
        <v>Deck 6</v>
      </c>
      <c r="L332" s="0" t="n">
        <f aca="false">IF(AND(C332&lt;&gt;"",LEFT(C332,2)&lt;&gt;"//",I332=0),1,0)</f>
        <v>0</v>
      </c>
      <c r="M332" s="0" t="str">
        <f aca="false">IF(I332=1,MAX(M$1:M331)+1,"")</f>
        <v/>
      </c>
      <c r="N332" s="0" t="str">
        <f aca="false">IFERROR(MATCH(ROW()-1,$V$2:$V$1201,0),"")</f>
        <v/>
      </c>
      <c r="R332" s="0" t="str">
        <f aca="false">IF(E332="","",IFERROR(LEFT(E332,FIND("-",E332)-1),E332))</f>
        <v/>
      </c>
      <c r="S332" s="0" t="str">
        <f aca="false">IF(R332="","",IF(ISNUMBER(--MID(R332,1,1)),0,IF(ISNUMBER(--MID(R332,2,1)),1,IF(ISNUMBER(--MID(R332,3,1)),2,IF(ISNUMBER(--MID(R332,4,1)),3,MIN(LEN(R332),4))))))</f>
        <v/>
      </c>
      <c r="T332" s="0" t="str">
        <f aca="false">IF(E332="","",LEFT(R332,S332)&amp;REPT("0",4-S332)&amp;RIGHT("000"&amp;IFERROR(VALUE(MID(R332,S332+1,9)),0),3)&amp;RIGHT("0000"&amp;IFERROR(VALUE(MID(E332,FIND("-",E332)+1,9)),0),4))</f>
        <v/>
      </c>
      <c r="U332" s="0" t="str">
        <f aca="false">IF(I332=1,"K"&amp;RIGHT("00"&amp;A332,2)&amp;T332&amp;RIGHT("00000"&amp;ROW(),5),"")</f>
        <v/>
      </c>
      <c r="V332" s="0" t="str">
        <f aca="false">IF(U332="","",COUNTIFS($I$2:$I$1201,1,$U$2:$U$1201,"&lt;"&amp;U332)+1)</f>
        <v/>
      </c>
    </row>
    <row r="333" customFormat="false" ht="15" hidden="false" customHeight="false" outlineLevel="0" collapsed="false">
      <c r="A333" s="0" t="n">
        <v>6</v>
      </c>
      <c r="B333" s="0" t="n">
        <v>32</v>
      </c>
      <c r="C333" s="0" t="str">
        <f aca="false">TRIM(SUBSTITUTE(INDEX(LISTAS!$A$4:$T$63,B333,A333)&amp;"",CHAR(160)," "))</f>
        <v/>
      </c>
      <c r="D333" s="0" t="str">
        <f aca="false">IF(C333="","",TRIM(RIGHT(SUBSTITUTE(C333," ",REPT(" ",100)),100)))</f>
        <v/>
      </c>
      <c r="E333" s="0" t="str">
        <f aca="false">IF(D333="","",UPPER(SUBSTITUTE(SUBSTITUTE(D333,"(",""),")","")))</f>
        <v/>
      </c>
      <c r="F333" s="0" t="str">
        <f aca="false">IF(C333="","",LEFT(C333,FIND(" ",C333&amp;" ")-1))</f>
        <v/>
      </c>
      <c r="G333" s="0" t="n">
        <f aca="false">IFERROR(VALUE(SUBSTITUTE(LOWER(F333),"x","")),0)</f>
        <v>0</v>
      </c>
      <c r="H333" s="0" t="str">
        <f aca="false">IF(C333="","",TRIM(MID(C333,LEN(F333)+2,999)))</f>
        <v/>
      </c>
      <c r="I333" s="0" t="n">
        <f aca="false">IF(OR(C333="",LEFT(C333,2)="//"),0,IFERROR(IF(AND(G333&gt;0,G333=INT(G333),FIND("-",E333)&gt;1,NOT(EXACT(UPPER(LEFT(E333,1)),LOWER(LEFT(E333,1)))),ISNUMBER(VALUE(MID(E333,FIND("-",E333)+1,10)))),1,0),0))</f>
        <v>0</v>
      </c>
      <c r="J333" s="0" t="str">
        <f aca="false">IF(I333=1,TRIM(LEFT(H333,MAX(0,LEN(H333)-LEN(D333)))),"")</f>
        <v/>
      </c>
      <c r="K333" s="0" t="str">
        <f aca="false">INDEX($P$2:$P$21,A333)</f>
        <v>Deck 6</v>
      </c>
      <c r="L333" s="0" t="n">
        <f aca="false">IF(AND(C333&lt;&gt;"",LEFT(C333,2)&lt;&gt;"//",I333=0),1,0)</f>
        <v>0</v>
      </c>
      <c r="M333" s="0" t="str">
        <f aca="false">IF(I333=1,MAX(M$1:M332)+1,"")</f>
        <v/>
      </c>
      <c r="N333" s="0" t="str">
        <f aca="false">IFERROR(MATCH(ROW()-1,$V$2:$V$1201,0),"")</f>
        <v/>
      </c>
      <c r="R333" s="0" t="str">
        <f aca="false">IF(E333="","",IFERROR(LEFT(E333,FIND("-",E333)-1),E333))</f>
        <v/>
      </c>
      <c r="S333" s="0" t="str">
        <f aca="false">IF(R333="","",IF(ISNUMBER(--MID(R333,1,1)),0,IF(ISNUMBER(--MID(R333,2,1)),1,IF(ISNUMBER(--MID(R333,3,1)),2,IF(ISNUMBER(--MID(R333,4,1)),3,MIN(LEN(R333),4))))))</f>
        <v/>
      </c>
      <c r="T333" s="0" t="str">
        <f aca="false">IF(E333="","",LEFT(R333,S333)&amp;REPT("0",4-S333)&amp;RIGHT("000"&amp;IFERROR(VALUE(MID(R333,S333+1,9)),0),3)&amp;RIGHT("0000"&amp;IFERROR(VALUE(MID(E333,FIND("-",E333)+1,9)),0),4))</f>
        <v/>
      </c>
      <c r="U333" s="0" t="str">
        <f aca="false">IF(I333=1,"K"&amp;RIGHT("00"&amp;A333,2)&amp;T333&amp;RIGHT("00000"&amp;ROW(),5),"")</f>
        <v/>
      </c>
      <c r="V333" s="0" t="str">
        <f aca="false">IF(U333="","",COUNTIFS($I$2:$I$1201,1,$U$2:$U$1201,"&lt;"&amp;U333)+1)</f>
        <v/>
      </c>
    </row>
    <row r="334" customFormat="false" ht="15" hidden="false" customHeight="false" outlineLevel="0" collapsed="false">
      <c r="A334" s="0" t="n">
        <v>6</v>
      </c>
      <c r="B334" s="0" t="n">
        <v>33</v>
      </c>
      <c r="C334" s="0" t="str">
        <f aca="false">TRIM(SUBSTITUTE(INDEX(LISTAS!$A$4:$T$63,B334,A334)&amp;"",CHAR(160)," "))</f>
        <v/>
      </c>
      <c r="D334" s="0" t="str">
        <f aca="false">IF(C334="","",TRIM(RIGHT(SUBSTITUTE(C334," ",REPT(" ",100)),100)))</f>
        <v/>
      </c>
      <c r="E334" s="0" t="str">
        <f aca="false">IF(D334="","",UPPER(SUBSTITUTE(SUBSTITUTE(D334,"(",""),")","")))</f>
        <v/>
      </c>
      <c r="F334" s="0" t="str">
        <f aca="false">IF(C334="","",LEFT(C334,FIND(" ",C334&amp;" ")-1))</f>
        <v/>
      </c>
      <c r="G334" s="0" t="n">
        <f aca="false">IFERROR(VALUE(SUBSTITUTE(LOWER(F334),"x","")),0)</f>
        <v>0</v>
      </c>
      <c r="H334" s="0" t="str">
        <f aca="false">IF(C334="","",TRIM(MID(C334,LEN(F334)+2,999)))</f>
        <v/>
      </c>
      <c r="I334" s="0" t="n">
        <f aca="false">IF(OR(C334="",LEFT(C334,2)="//"),0,IFERROR(IF(AND(G334&gt;0,G334=INT(G334),FIND("-",E334)&gt;1,NOT(EXACT(UPPER(LEFT(E334,1)),LOWER(LEFT(E334,1)))),ISNUMBER(VALUE(MID(E334,FIND("-",E334)+1,10)))),1,0),0))</f>
        <v>0</v>
      </c>
      <c r="J334" s="0" t="str">
        <f aca="false">IF(I334=1,TRIM(LEFT(H334,MAX(0,LEN(H334)-LEN(D334)))),"")</f>
        <v/>
      </c>
      <c r="K334" s="0" t="str">
        <f aca="false">INDEX($P$2:$P$21,A334)</f>
        <v>Deck 6</v>
      </c>
      <c r="L334" s="0" t="n">
        <f aca="false">IF(AND(C334&lt;&gt;"",LEFT(C334,2)&lt;&gt;"//",I334=0),1,0)</f>
        <v>0</v>
      </c>
      <c r="M334" s="0" t="str">
        <f aca="false">IF(I334=1,MAX(M$1:M333)+1,"")</f>
        <v/>
      </c>
      <c r="N334" s="0" t="str">
        <f aca="false">IFERROR(MATCH(ROW()-1,$V$2:$V$1201,0),"")</f>
        <v/>
      </c>
      <c r="R334" s="0" t="str">
        <f aca="false">IF(E334="","",IFERROR(LEFT(E334,FIND("-",E334)-1),E334))</f>
        <v/>
      </c>
      <c r="S334" s="0" t="str">
        <f aca="false">IF(R334="","",IF(ISNUMBER(--MID(R334,1,1)),0,IF(ISNUMBER(--MID(R334,2,1)),1,IF(ISNUMBER(--MID(R334,3,1)),2,IF(ISNUMBER(--MID(R334,4,1)),3,MIN(LEN(R334),4))))))</f>
        <v/>
      </c>
      <c r="T334" s="0" t="str">
        <f aca="false">IF(E334="","",LEFT(R334,S334)&amp;REPT("0",4-S334)&amp;RIGHT("000"&amp;IFERROR(VALUE(MID(R334,S334+1,9)),0),3)&amp;RIGHT("0000"&amp;IFERROR(VALUE(MID(E334,FIND("-",E334)+1,9)),0),4))</f>
        <v/>
      </c>
      <c r="U334" s="0" t="str">
        <f aca="false">IF(I334=1,"K"&amp;RIGHT("00"&amp;A334,2)&amp;T334&amp;RIGHT("00000"&amp;ROW(),5),"")</f>
        <v/>
      </c>
      <c r="V334" s="0" t="str">
        <f aca="false">IF(U334="","",COUNTIFS($I$2:$I$1201,1,$U$2:$U$1201,"&lt;"&amp;U334)+1)</f>
        <v/>
      </c>
    </row>
    <row r="335" customFormat="false" ht="15" hidden="false" customHeight="false" outlineLevel="0" collapsed="false">
      <c r="A335" s="0" t="n">
        <v>6</v>
      </c>
      <c r="B335" s="0" t="n">
        <v>34</v>
      </c>
      <c r="C335" s="0" t="str">
        <f aca="false">TRIM(SUBSTITUTE(INDEX(LISTAS!$A$4:$T$63,B335,A335)&amp;"",CHAR(160)," "))</f>
        <v/>
      </c>
      <c r="D335" s="0" t="str">
        <f aca="false">IF(C335="","",TRIM(RIGHT(SUBSTITUTE(C335," ",REPT(" ",100)),100)))</f>
        <v/>
      </c>
      <c r="E335" s="0" t="str">
        <f aca="false">IF(D335="","",UPPER(SUBSTITUTE(SUBSTITUTE(D335,"(",""),")","")))</f>
        <v/>
      </c>
      <c r="F335" s="0" t="str">
        <f aca="false">IF(C335="","",LEFT(C335,FIND(" ",C335&amp;" ")-1))</f>
        <v/>
      </c>
      <c r="G335" s="0" t="n">
        <f aca="false">IFERROR(VALUE(SUBSTITUTE(LOWER(F335),"x","")),0)</f>
        <v>0</v>
      </c>
      <c r="H335" s="0" t="str">
        <f aca="false">IF(C335="","",TRIM(MID(C335,LEN(F335)+2,999)))</f>
        <v/>
      </c>
      <c r="I335" s="0" t="n">
        <f aca="false">IF(OR(C335="",LEFT(C335,2)="//"),0,IFERROR(IF(AND(G335&gt;0,G335=INT(G335),FIND("-",E335)&gt;1,NOT(EXACT(UPPER(LEFT(E335,1)),LOWER(LEFT(E335,1)))),ISNUMBER(VALUE(MID(E335,FIND("-",E335)+1,10)))),1,0),0))</f>
        <v>0</v>
      </c>
      <c r="J335" s="0" t="str">
        <f aca="false">IF(I335=1,TRIM(LEFT(H335,MAX(0,LEN(H335)-LEN(D335)))),"")</f>
        <v/>
      </c>
      <c r="K335" s="0" t="str">
        <f aca="false">INDEX($P$2:$P$21,A335)</f>
        <v>Deck 6</v>
      </c>
      <c r="L335" s="0" t="n">
        <f aca="false">IF(AND(C335&lt;&gt;"",LEFT(C335,2)&lt;&gt;"//",I335=0),1,0)</f>
        <v>0</v>
      </c>
      <c r="M335" s="0" t="str">
        <f aca="false">IF(I335=1,MAX(M$1:M334)+1,"")</f>
        <v/>
      </c>
      <c r="N335" s="0" t="str">
        <f aca="false">IFERROR(MATCH(ROW()-1,$V$2:$V$1201,0),"")</f>
        <v/>
      </c>
      <c r="R335" s="0" t="str">
        <f aca="false">IF(E335="","",IFERROR(LEFT(E335,FIND("-",E335)-1),E335))</f>
        <v/>
      </c>
      <c r="S335" s="0" t="str">
        <f aca="false">IF(R335="","",IF(ISNUMBER(--MID(R335,1,1)),0,IF(ISNUMBER(--MID(R335,2,1)),1,IF(ISNUMBER(--MID(R335,3,1)),2,IF(ISNUMBER(--MID(R335,4,1)),3,MIN(LEN(R335),4))))))</f>
        <v/>
      </c>
      <c r="T335" s="0" t="str">
        <f aca="false">IF(E335="","",LEFT(R335,S335)&amp;REPT("0",4-S335)&amp;RIGHT("000"&amp;IFERROR(VALUE(MID(R335,S335+1,9)),0),3)&amp;RIGHT("0000"&amp;IFERROR(VALUE(MID(E335,FIND("-",E335)+1,9)),0),4))</f>
        <v/>
      </c>
      <c r="U335" s="0" t="str">
        <f aca="false">IF(I335=1,"K"&amp;RIGHT("00"&amp;A335,2)&amp;T335&amp;RIGHT("00000"&amp;ROW(),5),"")</f>
        <v/>
      </c>
      <c r="V335" s="0" t="str">
        <f aca="false">IF(U335="","",COUNTIFS($I$2:$I$1201,1,$U$2:$U$1201,"&lt;"&amp;U335)+1)</f>
        <v/>
      </c>
    </row>
    <row r="336" customFormat="false" ht="15" hidden="false" customHeight="false" outlineLevel="0" collapsed="false">
      <c r="A336" s="0" t="n">
        <v>6</v>
      </c>
      <c r="B336" s="0" t="n">
        <v>35</v>
      </c>
      <c r="C336" s="0" t="str">
        <f aca="false">TRIM(SUBSTITUTE(INDEX(LISTAS!$A$4:$T$63,B336,A336)&amp;"",CHAR(160)," "))</f>
        <v/>
      </c>
      <c r="D336" s="0" t="str">
        <f aca="false">IF(C336="","",TRIM(RIGHT(SUBSTITUTE(C336," ",REPT(" ",100)),100)))</f>
        <v/>
      </c>
      <c r="E336" s="0" t="str">
        <f aca="false">IF(D336="","",UPPER(SUBSTITUTE(SUBSTITUTE(D336,"(",""),")","")))</f>
        <v/>
      </c>
      <c r="F336" s="0" t="str">
        <f aca="false">IF(C336="","",LEFT(C336,FIND(" ",C336&amp;" ")-1))</f>
        <v/>
      </c>
      <c r="G336" s="0" t="n">
        <f aca="false">IFERROR(VALUE(SUBSTITUTE(LOWER(F336),"x","")),0)</f>
        <v>0</v>
      </c>
      <c r="H336" s="0" t="str">
        <f aca="false">IF(C336="","",TRIM(MID(C336,LEN(F336)+2,999)))</f>
        <v/>
      </c>
      <c r="I336" s="0" t="n">
        <f aca="false">IF(OR(C336="",LEFT(C336,2)="//"),0,IFERROR(IF(AND(G336&gt;0,G336=INT(G336),FIND("-",E336)&gt;1,NOT(EXACT(UPPER(LEFT(E336,1)),LOWER(LEFT(E336,1)))),ISNUMBER(VALUE(MID(E336,FIND("-",E336)+1,10)))),1,0),0))</f>
        <v>0</v>
      </c>
      <c r="J336" s="0" t="str">
        <f aca="false">IF(I336=1,TRIM(LEFT(H336,MAX(0,LEN(H336)-LEN(D336)))),"")</f>
        <v/>
      </c>
      <c r="K336" s="0" t="str">
        <f aca="false">INDEX($P$2:$P$21,A336)</f>
        <v>Deck 6</v>
      </c>
      <c r="L336" s="0" t="n">
        <f aca="false">IF(AND(C336&lt;&gt;"",LEFT(C336,2)&lt;&gt;"//",I336=0),1,0)</f>
        <v>0</v>
      </c>
      <c r="M336" s="0" t="str">
        <f aca="false">IF(I336=1,MAX(M$1:M335)+1,"")</f>
        <v/>
      </c>
      <c r="N336" s="0" t="str">
        <f aca="false">IFERROR(MATCH(ROW()-1,$V$2:$V$1201,0),"")</f>
        <v/>
      </c>
      <c r="R336" s="0" t="str">
        <f aca="false">IF(E336="","",IFERROR(LEFT(E336,FIND("-",E336)-1),E336))</f>
        <v/>
      </c>
      <c r="S336" s="0" t="str">
        <f aca="false">IF(R336="","",IF(ISNUMBER(--MID(R336,1,1)),0,IF(ISNUMBER(--MID(R336,2,1)),1,IF(ISNUMBER(--MID(R336,3,1)),2,IF(ISNUMBER(--MID(R336,4,1)),3,MIN(LEN(R336),4))))))</f>
        <v/>
      </c>
      <c r="T336" s="0" t="str">
        <f aca="false">IF(E336="","",LEFT(R336,S336)&amp;REPT("0",4-S336)&amp;RIGHT("000"&amp;IFERROR(VALUE(MID(R336,S336+1,9)),0),3)&amp;RIGHT("0000"&amp;IFERROR(VALUE(MID(E336,FIND("-",E336)+1,9)),0),4))</f>
        <v/>
      </c>
      <c r="U336" s="0" t="str">
        <f aca="false">IF(I336=1,"K"&amp;RIGHT("00"&amp;A336,2)&amp;T336&amp;RIGHT("00000"&amp;ROW(),5),"")</f>
        <v/>
      </c>
      <c r="V336" s="0" t="str">
        <f aca="false">IF(U336="","",COUNTIFS($I$2:$I$1201,1,$U$2:$U$1201,"&lt;"&amp;U336)+1)</f>
        <v/>
      </c>
    </row>
    <row r="337" customFormat="false" ht="15" hidden="false" customHeight="false" outlineLevel="0" collapsed="false">
      <c r="A337" s="0" t="n">
        <v>6</v>
      </c>
      <c r="B337" s="0" t="n">
        <v>36</v>
      </c>
      <c r="C337" s="0" t="str">
        <f aca="false">TRIM(SUBSTITUTE(INDEX(LISTAS!$A$4:$T$63,B337,A337)&amp;"",CHAR(160)," "))</f>
        <v/>
      </c>
      <c r="D337" s="0" t="str">
        <f aca="false">IF(C337="","",TRIM(RIGHT(SUBSTITUTE(C337," ",REPT(" ",100)),100)))</f>
        <v/>
      </c>
      <c r="E337" s="0" t="str">
        <f aca="false">IF(D337="","",UPPER(SUBSTITUTE(SUBSTITUTE(D337,"(",""),")","")))</f>
        <v/>
      </c>
      <c r="F337" s="0" t="str">
        <f aca="false">IF(C337="","",LEFT(C337,FIND(" ",C337&amp;" ")-1))</f>
        <v/>
      </c>
      <c r="G337" s="0" t="n">
        <f aca="false">IFERROR(VALUE(SUBSTITUTE(LOWER(F337),"x","")),0)</f>
        <v>0</v>
      </c>
      <c r="H337" s="0" t="str">
        <f aca="false">IF(C337="","",TRIM(MID(C337,LEN(F337)+2,999)))</f>
        <v/>
      </c>
      <c r="I337" s="0" t="n">
        <f aca="false">IF(OR(C337="",LEFT(C337,2)="//"),0,IFERROR(IF(AND(G337&gt;0,G337=INT(G337),FIND("-",E337)&gt;1,NOT(EXACT(UPPER(LEFT(E337,1)),LOWER(LEFT(E337,1)))),ISNUMBER(VALUE(MID(E337,FIND("-",E337)+1,10)))),1,0),0))</f>
        <v>0</v>
      </c>
      <c r="J337" s="0" t="str">
        <f aca="false">IF(I337=1,TRIM(LEFT(H337,MAX(0,LEN(H337)-LEN(D337)))),"")</f>
        <v/>
      </c>
      <c r="K337" s="0" t="str">
        <f aca="false">INDEX($P$2:$P$21,A337)</f>
        <v>Deck 6</v>
      </c>
      <c r="L337" s="0" t="n">
        <f aca="false">IF(AND(C337&lt;&gt;"",LEFT(C337,2)&lt;&gt;"//",I337=0),1,0)</f>
        <v>0</v>
      </c>
      <c r="M337" s="0" t="str">
        <f aca="false">IF(I337=1,MAX(M$1:M336)+1,"")</f>
        <v/>
      </c>
      <c r="N337" s="0" t="str">
        <f aca="false">IFERROR(MATCH(ROW()-1,$V$2:$V$1201,0),"")</f>
        <v/>
      </c>
      <c r="R337" s="0" t="str">
        <f aca="false">IF(E337="","",IFERROR(LEFT(E337,FIND("-",E337)-1),E337))</f>
        <v/>
      </c>
      <c r="S337" s="0" t="str">
        <f aca="false">IF(R337="","",IF(ISNUMBER(--MID(R337,1,1)),0,IF(ISNUMBER(--MID(R337,2,1)),1,IF(ISNUMBER(--MID(R337,3,1)),2,IF(ISNUMBER(--MID(R337,4,1)),3,MIN(LEN(R337),4))))))</f>
        <v/>
      </c>
      <c r="T337" s="0" t="str">
        <f aca="false">IF(E337="","",LEFT(R337,S337)&amp;REPT("0",4-S337)&amp;RIGHT("000"&amp;IFERROR(VALUE(MID(R337,S337+1,9)),0),3)&amp;RIGHT("0000"&amp;IFERROR(VALUE(MID(E337,FIND("-",E337)+1,9)),0),4))</f>
        <v/>
      </c>
      <c r="U337" s="0" t="str">
        <f aca="false">IF(I337=1,"K"&amp;RIGHT("00"&amp;A337,2)&amp;T337&amp;RIGHT("00000"&amp;ROW(),5),"")</f>
        <v/>
      </c>
      <c r="V337" s="0" t="str">
        <f aca="false">IF(U337="","",COUNTIFS($I$2:$I$1201,1,$U$2:$U$1201,"&lt;"&amp;U337)+1)</f>
        <v/>
      </c>
    </row>
    <row r="338" customFormat="false" ht="15" hidden="false" customHeight="false" outlineLevel="0" collapsed="false">
      <c r="A338" s="0" t="n">
        <v>6</v>
      </c>
      <c r="B338" s="0" t="n">
        <v>37</v>
      </c>
      <c r="C338" s="0" t="str">
        <f aca="false">TRIM(SUBSTITUTE(INDEX(LISTAS!$A$4:$T$63,B338,A338)&amp;"",CHAR(160)," "))</f>
        <v/>
      </c>
      <c r="D338" s="0" t="str">
        <f aca="false">IF(C338="","",TRIM(RIGHT(SUBSTITUTE(C338," ",REPT(" ",100)),100)))</f>
        <v/>
      </c>
      <c r="E338" s="0" t="str">
        <f aca="false">IF(D338="","",UPPER(SUBSTITUTE(SUBSTITUTE(D338,"(",""),")","")))</f>
        <v/>
      </c>
      <c r="F338" s="0" t="str">
        <f aca="false">IF(C338="","",LEFT(C338,FIND(" ",C338&amp;" ")-1))</f>
        <v/>
      </c>
      <c r="G338" s="0" t="n">
        <f aca="false">IFERROR(VALUE(SUBSTITUTE(LOWER(F338),"x","")),0)</f>
        <v>0</v>
      </c>
      <c r="H338" s="0" t="str">
        <f aca="false">IF(C338="","",TRIM(MID(C338,LEN(F338)+2,999)))</f>
        <v/>
      </c>
      <c r="I338" s="0" t="n">
        <f aca="false">IF(OR(C338="",LEFT(C338,2)="//"),0,IFERROR(IF(AND(G338&gt;0,G338=INT(G338),FIND("-",E338)&gt;1,NOT(EXACT(UPPER(LEFT(E338,1)),LOWER(LEFT(E338,1)))),ISNUMBER(VALUE(MID(E338,FIND("-",E338)+1,10)))),1,0),0))</f>
        <v>0</v>
      </c>
      <c r="J338" s="0" t="str">
        <f aca="false">IF(I338=1,TRIM(LEFT(H338,MAX(0,LEN(H338)-LEN(D338)))),"")</f>
        <v/>
      </c>
      <c r="K338" s="0" t="str">
        <f aca="false">INDEX($P$2:$P$21,A338)</f>
        <v>Deck 6</v>
      </c>
      <c r="L338" s="0" t="n">
        <f aca="false">IF(AND(C338&lt;&gt;"",LEFT(C338,2)&lt;&gt;"//",I338=0),1,0)</f>
        <v>0</v>
      </c>
      <c r="M338" s="0" t="str">
        <f aca="false">IF(I338=1,MAX(M$1:M337)+1,"")</f>
        <v/>
      </c>
      <c r="N338" s="0" t="str">
        <f aca="false">IFERROR(MATCH(ROW()-1,$V$2:$V$1201,0),"")</f>
        <v/>
      </c>
      <c r="R338" s="0" t="str">
        <f aca="false">IF(E338="","",IFERROR(LEFT(E338,FIND("-",E338)-1),E338))</f>
        <v/>
      </c>
      <c r="S338" s="0" t="str">
        <f aca="false">IF(R338="","",IF(ISNUMBER(--MID(R338,1,1)),0,IF(ISNUMBER(--MID(R338,2,1)),1,IF(ISNUMBER(--MID(R338,3,1)),2,IF(ISNUMBER(--MID(R338,4,1)),3,MIN(LEN(R338),4))))))</f>
        <v/>
      </c>
      <c r="T338" s="0" t="str">
        <f aca="false">IF(E338="","",LEFT(R338,S338)&amp;REPT("0",4-S338)&amp;RIGHT("000"&amp;IFERROR(VALUE(MID(R338,S338+1,9)),0),3)&amp;RIGHT("0000"&amp;IFERROR(VALUE(MID(E338,FIND("-",E338)+1,9)),0),4))</f>
        <v/>
      </c>
      <c r="U338" s="0" t="str">
        <f aca="false">IF(I338=1,"K"&amp;RIGHT("00"&amp;A338,2)&amp;T338&amp;RIGHT("00000"&amp;ROW(),5),"")</f>
        <v/>
      </c>
      <c r="V338" s="0" t="str">
        <f aca="false">IF(U338="","",COUNTIFS($I$2:$I$1201,1,$U$2:$U$1201,"&lt;"&amp;U338)+1)</f>
        <v/>
      </c>
    </row>
    <row r="339" customFormat="false" ht="15" hidden="false" customHeight="false" outlineLevel="0" collapsed="false">
      <c r="A339" s="0" t="n">
        <v>6</v>
      </c>
      <c r="B339" s="0" t="n">
        <v>38</v>
      </c>
      <c r="C339" s="0" t="str">
        <f aca="false">TRIM(SUBSTITUTE(INDEX(LISTAS!$A$4:$T$63,B339,A339)&amp;"",CHAR(160)," "))</f>
        <v/>
      </c>
      <c r="D339" s="0" t="str">
        <f aca="false">IF(C339="","",TRIM(RIGHT(SUBSTITUTE(C339," ",REPT(" ",100)),100)))</f>
        <v/>
      </c>
      <c r="E339" s="0" t="str">
        <f aca="false">IF(D339="","",UPPER(SUBSTITUTE(SUBSTITUTE(D339,"(",""),")","")))</f>
        <v/>
      </c>
      <c r="F339" s="0" t="str">
        <f aca="false">IF(C339="","",LEFT(C339,FIND(" ",C339&amp;" ")-1))</f>
        <v/>
      </c>
      <c r="G339" s="0" t="n">
        <f aca="false">IFERROR(VALUE(SUBSTITUTE(LOWER(F339),"x","")),0)</f>
        <v>0</v>
      </c>
      <c r="H339" s="0" t="str">
        <f aca="false">IF(C339="","",TRIM(MID(C339,LEN(F339)+2,999)))</f>
        <v/>
      </c>
      <c r="I339" s="0" t="n">
        <f aca="false">IF(OR(C339="",LEFT(C339,2)="//"),0,IFERROR(IF(AND(G339&gt;0,G339=INT(G339),FIND("-",E339)&gt;1,NOT(EXACT(UPPER(LEFT(E339,1)),LOWER(LEFT(E339,1)))),ISNUMBER(VALUE(MID(E339,FIND("-",E339)+1,10)))),1,0),0))</f>
        <v>0</v>
      </c>
      <c r="J339" s="0" t="str">
        <f aca="false">IF(I339=1,TRIM(LEFT(H339,MAX(0,LEN(H339)-LEN(D339)))),"")</f>
        <v/>
      </c>
      <c r="K339" s="0" t="str">
        <f aca="false">INDEX($P$2:$P$21,A339)</f>
        <v>Deck 6</v>
      </c>
      <c r="L339" s="0" t="n">
        <f aca="false">IF(AND(C339&lt;&gt;"",LEFT(C339,2)&lt;&gt;"//",I339=0),1,0)</f>
        <v>0</v>
      </c>
      <c r="M339" s="0" t="str">
        <f aca="false">IF(I339=1,MAX(M$1:M338)+1,"")</f>
        <v/>
      </c>
      <c r="N339" s="0" t="str">
        <f aca="false">IFERROR(MATCH(ROW()-1,$V$2:$V$1201,0),"")</f>
        <v/>
      </c>
      <c r="R339" s="0" t="str">
        <f aca="false">IF(E339="","",IFERROR(LEFT(E339,FIND("-",E339)-1),E339))</f>
        <v/>
      </c>
      <c r="S339" s="0" t="str">
        <f aca="false">IF(R339="","",IF(ISNUMBER(--MID(R339,1,1)),0,IF(ISNUMBER(--MID(R339,2,1)),1,IF(ISNUMBER(--MID(R339,3,1)),2,IF(ISNUMBER(--MID(R339,4,1)),3,MIN(LEN(R339),4))))))</f>
        <v/>
      </c>
      <c r="T339" s="0" t="str">
        <f aca="false">IF(E339="","",LEFT(R339,S339)&amp;REPT("0",4-S339)&amp;RIGHT("000"&amp;IFERROR(VALUE(MID(R339,S339+1,9)),0),3)&amp;RIGHT("0000"&amp;IFERROR(VALUE(MID(E339,FIND("-",E339)+1,9)),0),4))</f>
        <v/>
      </c>
      <c r="U339" s="0" t="str">
        <f aca="false">IF(I339=1,"K"&amp;RIGHT("00"&amp;A339,2)&amp;T339&amp;RIGHT("00000"&amp;ROW(),5),"")</f>
        <v/>
      </c>
      <c r="V339" s="0" t="str">
        <f aca="false">IF(U339="","",COUNTIFS($I$2:$I$1201,1,$U$2:$U$1201,"&lt;"&amp;U339)+1)</f>
        <v/>
      </c>
    </row>
    <row r="340" customFormat="false" ht="15" hidden="false" customHeight="false" outlineLevel="0" collapsed="false">
      <c r="A340" s="0" t="n">
        <v>6</v>
      </c>
      <c r="B340" s="0" t="n">
        <v>39</v>
      </c>
      <c r="C340" s="0" t="str">
        <f aca="false">TRIM(SUBSTITUTE(INDEX(LISTAS!$A$4:$T$63,B340,A340)&amp;"",CHAR(160)," "))</f>
        <v/>
      </c>
      <c r="D340" s="0" t="str">
        <f aca="false">IF(C340="","",TRIM(RIGHT(SUBSTITUTE(C340," ",REPT(" ",100)),100)))</f>
        <v/>
      </c>
      <c r="E340" s="0" t="str">
        <f aca="false">IF(D340="","",UPPER(SUBSTITUTE(SUBSTITUTE(D340,"(",""),")","")))</f>
        <v/>
      </c>
      <c r="F340" s="0" t="str">
        <f aca="false">IF(C340="","",LEFT(C340,FIND(" ",C340&amp;" ")-1))</f>
        <v/>
      </c>
      <c r="G340" s="0" t="n">
        <f aca="false">IFERROR(VALUE(SUBSTITUTE(LOWER(F340),"x","")),0)</f>
        <v>0</v>
      </c>
      <c r="H340" s="0" t="str">
        <f aca="false">IF(C340="","",TRIM(MID(C340,LEN(F340)+2,999)))</f>
        <v/>
      </c>
      <c r="I340" s="0" t="n">
        <f aca="false">IF(OR(C340="",LEFT(C340,2)="//"),0,IFERROR(IF(AND(G340&gt;0,G340=INT(G340),FIND("-",E340)&gt;1,NOT(EXACT(UPPER(LEFT(E340,1)),LOWER(LEFT(E340,1)))),ISNUMBER(VALUE(MID(E340,FIND("-",E340)+1,10)))),1,0),0))</f>
        <v>0</v>
      </c>
      <c r="J340" s="0" t="str">
        <f aca="false">IF(I340=1,TRIM(LEFT(H340,MAX(0,LEN(H340)-LEN(D340)))),"")</f>
        <v/>
      </c>
      <c r="K340" s="0" t="str">
        <f aca="false">INDEX($P$2:$P$21,A340)</f>
        <v>Deck 6</v>
      </c>
      <c r="L340" s="0" t="n">
        <f aca="false">IF(AND(C340&lt;&gt;"",LEFT(C340,2)&lt;&gt;"//",I340=0),1,0)</f>
        <v>0</v>
      </c>
      <c r="M340" s="0" t="str">
        <f aca="false">IF(I340=1,MAX(M$1:M339)+1,"")</f>
        <v/>
      </c>
      <c r="N340" s="0" t="str">
        <f aca="false">IFERROR(MATCH(ROW()-1,$V$2:$V$1201,0),"")</f>
        <v/>
      </c>
      <c r="R340" s="0" t="str">
        <f aca="false">IF(E340="","",IFERROR(LEFT(E340,FIND("-",E340)-1),E340))</f>
        <v/>
      </c>
      <c r="S340" s="0" t="str">
        <f aca="false">IF(R340="","",IF(ISNUMBER(--MID(R340,1,1)),0,IF(ISNUMBER(--MID(R340,2,1)),1,IF(ISNUMBER(--MID(R340,3,1)),2,IF(ISNUMBER(--MID(R340,4,1)),3,MIN(LEN(R340),4))))))</f>
        <v/>
      </c>
      <c r="T340" s="0" t="str">
        <f aca="false">IF(E340="","",LEFT(R340,S340)&amp;REPT("0",4-S340)&amp;RIGHT("000"&amp;IFERROR(VALUE(MID(R340,S340+1,9)),0),3)&amp;RIGHT("0000"&amp;IFERROR(VALUE(MID(E340,FIND("-",E340)+1,9)),0),4))</f>
        <v/>
      </c>
      <c r="U340" s="0" t="str">
        <f aca="false">IF(I340=1,"K"&amp;RIGHT("00"&amp;A340,2)&amp;T340&amp;RIGHT("00000"&amp;ROW(),5),"")</f>
        <v/>
      </c>
      <c r="V340" s="0" t="str">
        <f aca="false">IF(U340="","",COUNTIFS($I$2:$I$1201,1,$U$2:$U$1201,"&lt;"&amp;U340)+1)</f>
        <v/>
      </c>
    </row>
    <row r="341" customFormat="false" ht="15" hidden="false" customHeight="false" outlineLevel="0" collapsed="false">
      <c r="A341" s="0" t="n">
        <v>6</v>
      </c>
      <c r="B341" s="0" t="n">
        <v>40</v>
      </c>
      <c r="C341" s="0" t="str">
        <f aca="false">TRIM(SUBSTITUTE(INDEX(LISTAS!$A$4:$T$63,B341,A341)&amp;"",CHAR(160)," "))</f>
        <v/>
      </c>
      <c r="D341" s="0" t="str">
        <f aca="false">IF(C341="","",TRIM(RIGHT(SUBSTITUTE(C341," ",REPT(" ",100)),100)))</f>
        <v/>
      </c>
      <c r="E341" s="0" t="str">
        <f aca="false">IF(D341="","",UPPER(SUBSTITUTE(SUBSTITUTE(D341,"(",""),")","")))</f>
        <v/>
      </c>
      <c r="F341" s="0" t="str">
        <f aca="false">IF(C341="","",LEFT(C341,FIND(" ",C341&amp;" ")-1))</f>
        <v/>
      </c>
      <c r="G341" s="0" t="n">
        <f aca="false">IFERROR(VALUE(SUBSTITUTE(LOWER(F341),"x","")),0)</f>
        <v>0</v>
      </c>
      <c r="H341" s="0" t="str">
        <f aca="false">IF(C341="","",TRIM(MID(C341,LEN(F341)+2,999)))</f>
        <v/>
      </c>
      <c r="I341" s="0" t="n">
        <f aca="false">IF(OR(C341="",LEFT(C341,2)="//"),0,IFERROR(IF(AND(G341&gt;0,G341=INT(G341),FIND("-",E341)&gt;1,NOT(EXACT(UPPER(LEFT(E341,1)),LOWER(LEFT(E341,1)))),ISNUMBER(VALUE(MID(E341,FIND("-",E341)+1,10)))),1,0),0))</f>
        <v>0</v>
      </c>
      <c r="J341" s="0" t="str">
        <f aca="false">IF(I341=1,TRIM(LEFT(H341,MAX(0,LEN(H341)-LEN(D341)))),"")</f>
        <v/>
      </c>
      <c r="K341" s="0" t="str">
        <f aca="false">INDEX($P$2:$P$21,A341)</f>
        <v>Deck 6</v>
      </c>
      <c r="L341" s="0" t="n">
        <f aca="false">IF(AND(C341&lt;&gt;"",LEFT(C341,2)&lt;&gt;"//",I341=0),1,0)</f>
        <v>0</v>
      </c>
      <c r="M341" s="0" t="str">
        <f aca="false">IF(I341=1,MAX(M$1:M340)+1,"")</f>
        <v/>
      </c>
      <c r="N341" s="0" t="str">
        <f aca="false">IFERROR(MATCH(ROW()-1,$V$2:$V$1201,0),"")</f>
        <v/>
      </c>
      <c r="R341" s="0" t="str">
        <f aca="false">IF(E341="","",IFERROR(LEFT(E341,FIND("-",E341)-1),E341))</f>
        <v/>
      </c>
      <c r="S341" s="0" t="str">
        <f aca="false">IF(R341="","",IF(ISNUMBER(--MID(R341,1,1)),0,IF(ISNUMBER(--MID(R341,2,1)),1,IF(ISNUMBER(--MID(R341,3,1)),2,IF(ISNUMBER(--MID(R341,4,1)),3,MIN(LEN(R341),4))))))</f>
        <v/>
      </c>
      <c r="T341" s="0" t="str">
        <f aca="false">IF(E341="","",LEFT(R341,S341)&amp;REPT("0",4-S341)&amp;RIGHT("000"&amp;IFERROR(VALUE(MID(R341,S341+1,9)),0),3)&amp;RIGHT("0000"&amp;IFERROR(VALUE(MID(E341,FIND("-",E341)+1,9)),0),4))</f>
        <v/>
      </c>
      <c r="U341" s="0" t="str">
        <f aca="false">IF(I341=1,"K"&amp;RIGHT("00"&amp;A341,2)&amp;T341&amp;RIGHT("00000"&amp;ROW(),5),"")</f>
        <v/>
      </c>
      <c r="V341" s="0" t="str">
        <f aca="false">IF(U341="","",COUNTIFS($I$2:$I$1201,1,$U$2:$U$1201,"&lt;"&amp;U341)+1)</f>
        <v/>
      </c>
    </row>
    <row r="342" customFormat="false" ht="15" hidden="false" customHeight="false" outlineLevel="0" collapsed="false">
      <c r="A342" s="0" t="n">
        <v>6</v>
      </c>
      <c r="B342" s="0" t="n">
        <v>41</v>
      </c>
      <c r="C342" s="0" t="str">
        <f aca="false">TRIM(SUBSTITUTE(INDEX(LISTAS!$A$4:$T$63,B342,A342)&amp;"",CHAR(160)," "))</f>
        <v/>
      </c>
      <c r="D342" s="0" t="str">
        <f aca="false">IF(C342="","",TRIM(RIGHT(SUBSTITUTE(C342," ",REPT(" ",100)),100)))</f>
        <v/>
      </c>
      <c r="E342" s="0" t="str">
        <f aca="false">IF(D342="","",UPPER(SUBSTITUTE(SUBSTITUTE(D342,"(",""),")","")))</f>
        <v/>
      </c>
      <c r="F342" s="0" t="str">
        <f aca="false">IF(C342="","",LEFT(C342,FIND(" ",C342&amp;" ")-1))</f>
        <v/>
      </c>
      <c r="G342" s="0" t="n">
        <f aca="false">IFERROR(VALUE(SUBSTITUTE(LOWER(F342),"x","")),0)</f>
        <v>0</v>
      </c>
      <c r="H342" s="0" t="str">
        <f aca="false">IF(C342="","",TRIM(MID(C342,LEN(F342)+2,999)))</f>
        <v/>
      </c>
      <c r="I342" s="0" t="n">
        <f aca="false">IF(OR(C342="",LEFT(C342,2)="//"),0,IFERROR(IF(AND(G342&gt;0,G342=INT(G342),FIND("-",E342)&gt;1,NOT(EXACT(UPPER(LEFT(E342,1)),LOWER(LEFT(E342,1)))),ISNUMBER(VALUE(MID(E342,FIND("-",E342)+1,10)))),1,0),0))</f>
        <v>0</v>
      </c>
      <c r="J342" s="0" t="str">
        <f aca="false">IF(I342=1,TRIM(LEFT(H342,MAX(0,LEN(H342)-LEN(D342)))),"")</f>
        <v/>
      </c>
      <c r="K342" s="0" t="str">
        <f aca="false">INDEX($P$2:$P$21,A342)</f>
        <v>Deck 6</v>
      </c>
      <c r="L342" s="0" t="n">
        <f aca="false">IF(AND(C342&lt;&gt;"",LEFT(C342,2)&lt;&gt;"//",I342=0),1,0)</f>
        <v>0</v>
      </c>
      <c r="M342" s="0" t="str">
        <f aca="false">IF(I342=1,MAX(M$1:M341)+1,"")</f>
        <v/>
      </c>
      <c r="N342" s="0" t="str">
        <f aca="false">IFERROR(MATCH(ROW()-1,$V$2:$V$1201,0),"")</f>
        <v/>
      </c>
      <c r="R342" s="0" t="str">
        <f aca="false">IF(E342="","",IFERROR(LEFT(E342,FIND("-",E342)-1),E342))</f>
        <v/>
      </c>
      <c r="S342" s="0" t="str">
        <f aca="false">IF(R342="","",IF(ISNUMBER(--MID(R342,1,1)),0,IF(ISNUMBER(--MID(R342,2,1)),1,IF(ISNUMBER(--MID(R342,3,1)),2,IF(ISNUMBER(--MID(R342,4,1)),3,MIN(LEN(R342),4))))))</f>
        <v/>
      </c>
      <c r="T342" s="0" t="str">
        <f aca="false">IF(E342="","",LEFT(R342,S342)&amp;REPT("0",4-S342)&amp;RIGHT("000"&amp;IFERROR(VALUE(MID(R342,S342+1,9)),0),3)&amp;RIGHT("0000"&amp;IFERROR(VALUE(MID(E342,FIND("-",E342)+1,9)),0),4))</f>
        <v/>
      </c>
      <c r="U342" s="0" t="str">
        <f aca="false">IF(I342=1,"K"&amp;RIGHT("00"&amp;A342,2)&amp;T342&amp;RIGHT("00000"&amp;ROW(),5),"")</f>
        <v/>
      </c>
      <c r="V342" s="0" t="str">
        <f aca="false">IF(U342="","",COUNTIFS($I$2:$I$1201,1,$U$2:$U$1201,"&lt;"&amp;U342)+1)</f>
        <v/>
      </c>
    </row>
    <row r="343" customFormat="false" ht="15" hidden="false" customHeight="false" outlineLevel="0" collapsed="false">
      <c r="A343" s="0" t="n">
        <v>6</v>
      </c>
      <c r="B343" s="0" t="n">
        <v>42</v>
      </c>
      <c r="C343" s="0" t="str">
        <f aca="false">TRIM(SUBSTITUTE(INDEX(LISTAS!$A$4:$T$63,B343,A343)&amp;"",CHAR(160)," "))</f>
        <v/>
      </c>
      <c r="D343" s="0" t="str">
        <f aca="false">IF(C343="","",TRIM(RIGHT(SUBSTITUTE(C343," ",REPT(" ",100)),100)))</f>
        <v/>
      </c>
      <c r="E343" s="0" t="str">
        <f aca="false">IF(D343="","",UPPER(SUBSTITUTE(SUBSTITUTE(D343,"(",""),")","")))</f>
        <v/>
      </c>
      <c r="F343" s="0" t="str">
        <f aca="false">IF(C343="","",LEFT(C343,FIND(" ",C343&amp;" ")-1))</f>
        <v/>
      </c>
      <c r="G343" s="0" t="n">
        <f aca="false">IFERROR(VALUE(SUBSTITUTE(LOWER(F343),"x","")),0)</f>
        <v>0</v>
      </c>
      <c r="H343" s="0" t="str">
        <f aca="false">IF(C343="","",TRIM(MID(C343,LEN(F343)+2,999)))</f>
        <v/>
      </c>
      <c r="I343" s="0" t="n">
        <f aca="false">IF(OR(C343="",LEFT(C343,2)="//"),0,IFERROR(IF(AND(G343&gt;0,G343=INT(G343),FIND("-",E343)&gt;1,NOT(EXACT(UPPER(LEFT(E343,1)),LOWER(LEFT(E343,1)))),ISNUMBER(VALUE(MID(E343,FIND("-",E343)+1,10)))),1,0),0))</f>
        <v>0</v>
      </c>
      <c r="J343" s="0" t="str">
        <f aca="false">IF(I343=1,TRIM(LEFT(H343,MAX(0,LEN(H343)-LEN(D343)))),"")</f>
        <v/>
      </c>
      <c r="K343" s="0" t="str">
        <f aca="false">INDEX($P$2:$P$21,A343)</f>
        <v>Deck 6</v>
      </c>
      <c r="L343" s="0" t="n">
        <f aca="false">IF(AND(C343&lt;&gt;"",LEFT(C343,2)&lt;&gt;"//",I343=0),1,0)</f>
        <v>0</v>
      </c>
      <c r="M343" s="0" t="str">
        <f aca="false">IF(I343=1,MAX(M$1:M342)+1,"")</f>
        <v/>
      </c>
      <c r="N343" s="0" t="str">
        <f aca="false">IFERROR(MATCH(ROW()-1,$V$2:$V$1201,0),"")</f>
        <v/>
      </c>
      <c r="R343" s="0" t="str">
        <f aca="false">IF(E343="","",IFERROR(LEFT(E343,FIND("-",E343)-1),E343))</f>
        <v/>
      </c>
      <c r="S343" s="0" t="str">
        <f aca="false">IF(R343="","",IF(ISNUMBER(--MID(R343,1,1)),0,IF(ISNUMBER(--MID(R343,2,1)),1,IF(ISNUMBER(--MID(R343,3,1)),2,IF(ISNUMBER(--MID(R343,4,1)),3,MIN(LEN(R343),4))))))</f>
        <v/>
      </c>
      <c r="T343" s="0" t="str">
        <f aca="false">IF(E343="","",LEFT(R343,S343)&amp;REPT("0",4-S343)&amp;RIGHT("000"&amp;IFERROR(VALUE(MID(R343,S343+1,9)),0),3)&amp;RIGHT("0000"&amp;IFERROR(VALUE(MID(E343,FIND("-",E343)+1,9)),0),4))</f>
        <v/>
      </c>
      <c r="U343" s="0" t="str">
        <f aca="false">IF(I343=1,"K"&amp;RIGHT("00"&amp;A343,2)&amp;T343&amp;RIGHT("00000"&amp;ROW(),5),"")</f>
        <v/>
      </c>
      <c r="V343" s="0" t="str">
        <f aca="false">IF(U343="","",COUNTIFS($I$2:$I$1201,1,$U$2:$U$1201,"&lt;"&amp;U343)+1)</f>
        <v/>
      </c>
    </row>
    <row r="344" customFormat="false" ht="15" hidden="false" customHeight="false" outlineLevel="0" collapsed="false">
      <c r="A344" s="0" t="n">
        <v>6</v>
      </c>
      <c r="B344" s="0" t="n">
        <v>43</v>
      </c>
      <c r="C344" s="0" t="str">
        <f aca="false">TRIM(SUBSTITUTE(INDEX(LISTAS!$A$4:$T$63,B344,A344)&amp;"",CHAR(160)," "))</f>
        <v/>
      </c>
      <c r="D344" s="0" t="str">
        <f aca="false">IF(C344="","",TRIM(RIGHT(SUBSTITUTE(C344," ",REPT(" ",100)),100)))</f>
        <v/>
      </c>
      <c r="E344" s="0" t="str">
        <f aca="false">IF(D344="","",UPPER(SUBSTITUTE(SUBSTITUTE(D344,"(",""),")","")))</f>
        <v/>
      </c>
      <c r="F344" s="0" t="str">
        <f aca="false">IF(C344="","",LEFT(C344,FIND(" ",C344&amp;" ")-1))</f>
        <v/>
      </c>
      <c r="G344" s="0" t="n">
        <f aca="false">IFERROR(VALUE(SUBSTITUTE(LOWER(F344),"x","")),0)</f>
        <v>0</v>
      </c>
      <c r="H344" s="0" t="str">
        <f aca="false">IF(C344="","",TRIM(MID(C344,LEN(F344)+2,999)))</f>
        <v/>
      </c>
      <c r="I344" s="0" t="n">
        <f aca="false">IF(OR(C344="",LEFT(C344,2)="//"),0,IFERROR(IF(AND(G344&gt;0,G344=INT(G344),FIND("-",E344)&gt;1,NOT(EXACT(UPPER(LEFT(E344,1)),LOWER(LEFT(E344,1)))),ISNUMBER(VALUE(MID(E344,FIND("-",E344)+1,10)))),1,0),0))</f>
        <v>0</v>
      </c>
      <c r="J344" s="0" t="str">
        <f aca="false">IF(I344=1,TRIM(LEFT(H344,MAX(0,LEN(H344)-LEN(D344)))),"")</f>
        <v/>
      </c>
      <c r="K344" s="0" t="str">
        <f aca="false">INDEX($P$2:$P$21,A344)</f>
        <v>Deck 6</v>
      </c>
      <c r="L344" s="0" t="n">
        <f aca="false">IF(AND(C344&lt;&gt;"",LEFT(C344,2)&lt;&gt;"//",I344=0),1,0)</f>
        <v>0</v>
      </c>
      <c r="M344" s="0" t="str">
        <f aca="false">IF(I344=1,MAX(M$1:M343)+1,"")</f>
        <v/>
      </c>
      <c r="N344" s="0" t="str">
        <f aca="false">IFERROR(MATCH(ROW()-1,$V$2:$V$1201,0),"")</f>
        <v/>
      </c>
      <c r="R344" s="0" t="str">
        <f aca="false">IF(E344="","",IFERROR(LEFT(E344,FIND("-",E344)-1),E344))</f>
        <v/>
      </c>
      <c r="S344" s="0" t="str">
        <f aca="false">IF(R344="","",IF(ISNUMBER(--MID(R344,1,1)),0,IF(ISNUMBER(--MID(R344,2,1)),1,IF(ISNUMBER(--MID(R344,3,1)),2,IF(ISNUMBER(--MID(R344,4,1)),3,MIN(LEN(R344),4))))))</f>
        <v/>
      </c>
      <c r="T344" s="0" t="str">
        <f aca="false">IF(E344="","",LEFT(R344,S344)&amp;REPT("0",4-S344)&amp;RIGHT("000"&amp;IFERROR(VALUE(MID(R344,S344+1,9)),0),3)&amp;RIGHT("0000"&amp;IFERROR(VALUE(MID(E344,FIND("-",E344)+1,9)),0),4))</f>
        <v/>
      </c>
      <c r="U344" s="0" t="str">
        <f aca="false">IF(I344=1,"K"&amp;RIGHT("00"&amp;A344,2)&amp;T344&amp;RIGHT("00000"&amp;ROW(),5),"")</f>
        <v/>
      </c>
      <c r="V344" s="0" t="str">
        <f aca="false">IF(U344="","",COUNTIFS($I$2:$I$1201,1,$U$2:$U$1201,"&lt;"&amp;U344)+1)</f>
        <v/>
      </c>
    </row>
    <row r="345" customFormat="false" ht="15" hidden="false" customHeight="false" outlineLevel="0" collapsed="false">
      <c r="A345" s="0" t="n">
        <v>6</v>
      </c>
      <c r="B345" s="0" t="n">
        <v>44</v>
      </c>
      <c r="C345" s="0" t="str">
        <f aca="false">TRIM(SUBSTITUTE(INDEX(LISTAS!$A$4:$T$63,B345,A345)&amp;"",CHAR(160)," "))</f>
        <v/>
      </c>
      <c r="D345" s="0" t="str">
        <f aca="false">IF(C345="","",TRIM(RIGHT(SUBSTITUTE(C345," ",REPT(" ",100)),100)))</f>
        <v/>
      </c>
      <c r="E345" s="0" t="str">
        <f aca="false">IF(D345="","",UPPER(SUBSTITUTE(SUBSTITUTE(D345,"(",""),")","")))</f>
        <v/>
      </c>
      <c r="F345" s="0" t="str">
        <f aca="false">IF(C345="","",LEFT(C345,FIND(" ",C345&amp;" ")-1))</f>
        <v/>
      </c>
      <c r="G345" s="0" t="n">
        <f aca="false">IFERROR(VALUE(SUBSTITUTE(LOWER(F345),"x","")),0)</f>
        <v>0</v>
      </c>
      <c r="H345" s="0" t="str">
        <f aca="false">IF(C345="","",TRIM(MID(C345,LEN(F345)+2,999)))</f>
        <v/>
      </c>
      <c r="I345" s="0" t="n">
        <f aca="false">IF(OR(C345="",LEFT(C345,2)="//"),0,IFERROR(IF(AND(G345&gt;0,G345=INT(G345),FIND("-",E345)&gt;1,NOT(EXACT(UPPER(LEFT(E345,1)),LOWER(LEFT(E345,1)))),ISNUMBER(VALUE(MID(E345,FIND("-",E345)+1,10)))),1,0),0))</f>
        <v>0</v>
      </c>
      <c r="J345" s="0" t="str">
        <f aca="false">IF(I345=1,TRIM(LEFT(H345,MAX(0,LEN(H345)-LEN(D345)))),"")</f>
        <v/>
      </c>
      <c r="K345" s="0" t="str">
        <f aca="false">INDEX($P$2:$P$21,A345)</f>
        <v>Deck 6</v>
      </c>
      <c r="L345" s="0" t="n">
        <f aca="false">IF(AND(C345&lt;&gt;"",LEFT(C345,2)&lt;&gt;"//",I345=0),1,0)</f>
        <v>0</v>
      </c>
      <c r="M345" s="0" t="str">
        <f aca="false">IF(I345=1,MAX(M$1:M344)+1,"")</f>
        <v/>
      </c>
      <c r="N345" s="0" t="str">
        <f aca="false">IFERROR(MATCH(ROW()-1,$V$2:$V$1201,0),"")</f>
        <v/>
      </c>
      <c r="R345" s="0" t="str">
        <f aca="false">IF(E345="","",IFERROR(LEFT(E345,FIND("-",E345)-1),E345))</f>
        <v/>
      </c>
      <c r="S345" s="0" t="str">
        <f aca="false">IF(R345="","",IF(ISNUMBER(--MID(R345,1,1)),0,IF(ISNUMBER(--MID(R345,2,1)),1,IF(ISNUMBER(--MID(R345,3,1)),2,IF(ISNUMBER(--MID(R345,4,1)),3,MIN(LEN(R345),4))))))</f>
        <v/>
      </c>
      <c r="T345" s="0" t="str">
        <f aca="false">IF(E345="","",LEFT(R345,S345)&amp;REPT("0",4-S345)&amp;RIGHT("000"&amp;IFERROR(VALUE(MID(R345,S345+1,9)),0),3)&amp;RIGHT("0000"&amp;IFERROR(VALUE(MID(E345,FIND("-",E345)+1,9)),0),4))</f>
        <v/>
      </c>
      <c r="U345" s="0" t="str">
        <f aca="false">IF(I345=1,"K"&amp;RIGHT("00"&amp;A345,2)&amp;T345&amp;RIGHT("00000"&amp;ROW(),5),"")</f>
        <v/>
      </c>
      <c r="V345" s="0" t="str">
        <f aca="false">IF(U345="","",COUNTIFS($I$2:$I$1201,1,$U$2:$U$1201,"&lt;"&amp;U345)+1)</f>
        <v/>
      </c>
    </row>
    <row r="346" customFormat="false" ht="15" hidden="false" customHeight="false" outlineLevel="0" collapsed="false">
      <c r="A346" s="0" t="n">
        <v>6</v>
      </c>
      <c r="B346" s="0" t="n">
        <v>45</v>
      </c>
      <c r="C346" s="0" t="str">
        <f aca="false">TRIM(SUBSTITUTE(INDEX(LISTAS!$A$4:$T$63,B346,A346)&amp;"",CHAR(160)," "))</f>
        <v/>
      </c>
      <c r="D346" s="0" t="str">
        <f aca="false">IF(C346="","",TRIM(RIGHT(SUBSTITUTE(C346," ",REPT(" ",100)),100)))</f>
        <v/>
      </c>
      <c r="E346" s="0" t="str">
        <f aca="false">IF(D346="","",UPPER(SUBSTITUTE(SUBSTITUTE(D346,"(",""),")","")))</f>
        <v/>
      </c>
      <c r="F346" s="0" t="str">
        <f aca="false">IF(C346="","",LEFT(C346,FIND(" ",C346&amp;" ")-1))</f>
        <v/>
      </c>
      <c r="G346" s="0" t="n">
        <f aca="false">IFERROR(VALUE(SUBSTITUTE(LOWER(F346),"x","")),0)</f>
        <v>0</v>
      </c>
      <c r="H346" s="0" t="str">
        <f aca="false">IF(C346="","",TRIM(MID(C346,LEN(F346)+2,999)))</f>
        <v/>
      </c>
      <c r="I346" s="0" t="n">
        <f aca="false">IF(OR(C346="",LEFT(C346,2)="//"),0,IFERROR(IF(AND(G346&gt;0,G346=INT(G346),FIND("-",E346)&gt;1,NOT(EXACT(UPPER(LEFT(E346,1)),LOWER(LEFT(E346,1)))),ISNUMBER(VALUE(MID(E346,FIND("-",E346)+1,10)))),1,0),0))</f>
        <v>0</v>
      </c>
      <c r="J346" s="0" t="str">
        <f aca="false">IF(I346=1,TRIM(LEFT(H346,MAX(0,LEN(H346)-LEN(D346)))),"")</f>
        <v/>
      </c>
      <c r="K346" s="0" t="str">
        <f aca="false">INDEX($P$2:$P$21,A346)</f>
        <v>Deck 6</v>
      </c>
      <c r="L346" s="0" t="n">
        <f aca="false">IF(AND(C346&lt;&gt;"",LEFT(C346,2)&lt;&gt;"//",I346=0),1,0)</f>
        <v>0</v>
      </c>
      <c r="M346" s="0" t="str">
        <f aca="false">IF(I346=1,MAX(M$1:M345)+1,"")</f>
        <v/>
      </c>
      <c r="N346" s="0" t="str">
        <f aca="false">IFERROR(MATCH(ROW()-1,$V$2:$V$1201,0),"")</f>
        <v/>
      </c>
      <c r="R346" s="0" t="str">
        <f aca="false">IF(E346="","",IFERROR(LEFT(E346,FIND("-",E346)-1),E346))</f>
        <v/>
      </c>
      <c r="S346" s="0" t="str">
        <f aca="false">IF(R346="","",IF(ISNUMBER(--MID(R346,1,1)),0,IF(ISNUMBER(--MID(R346,2,1)),1,IF(ISNUMBER(--MID(R346,3,1)),2,IF(ISNUMBER(--MID(R346,4,1)),3,MIN(LEN(R346),4))))))</f>
        <v/>
      </c>
      <c r="T346" s="0" t="str">
        <f aca="false">IF(E346="","",LEFT(R346,S346)&amp;REPT("0",4-S346)&amp;RIGHT("000"&amp;IFERROR(VALUE(MID(R346,S346+1,9)),0),3)&amp;RIGHT("0000"&amp;IFERROR(VALUE(MID(E346,FIND("-",E346)+1,9)),0),4))</f>
        <v/>
      </c>
      <c r="U346" s="0" t="str">
        <f aca="false">IF(I346=1,"K"&amp;RIGHT("00"&amp;A346,2)&amp;T346&amp;RIGHT("00000"&amp;ROW(),5),"")</f>
        <v/>
      </c>
      <c r="V346" s="0" t="str">
        <f aca="false">IF(U346="","",COUNTIFS($I$2:$I$1201,1,$U$2:$U$1201,"&lt;"&amp;U346)+1)</f>
        <v/>
      </c>
    </row>
    <row r="347" customFormat="false" ht="15" hidden="false" customHeight="false" outlineLevel="0" collapsed="false">
      <c r="A347" s="0" t="n">
        <v>6</v>
      </c>
      <c r="B347" s="0" t="n">
        <v>46</v>
      </c>
      <c r="C347" s="0" t="str">
        <f aca="false">TRIM(SUBSTITUTE(INDEX(LISTAS!$A$4:$T$63,B347,A347)&amp;"",CHAR(160)," "))</f>
        <v/>
      </c>
      <c r="D347" s="0" t="str">
        <f aca="false">IF(C347="","",TRIM(RIGHT(SUBSTITUTE(C347," ",REPT(" ",100)),100)))</f>
        <v/>
      </c>
      <c r="E347" s="0" t="str">
        <f aca="false">IF(D347="","",UPPER(SUBSTITUTE(SUBSTITUTE(D347,"(",""),")","")))</f>
        <v/>
      </c>
      <c r="F347" s="0" t="str">
        <f aca="false">IF(C347="","",LEFT(C347,FIND(" ",C347&amp;" ")-1))</f>
        <v/>
      </c>
      <c r="G347" s="0" t="n">
        <f aca="false">IFERROR(VALUE(SUBSTITUTE(LOWER(F347),"x","")),0)</f>
        <v>0</v>
      </c>
      <c r="H347" s="0" t="str">
        <f aca="false">IF(C347="","",TRIM(MID(C347,LEN(F347)+2,999)))</f>
        <v/>
      </c>
      <c r="I347" s="0" t="n">
        <f aca="false">IF(OR(C347="",LEFT(C347,2)="//"),0,IFERROR(IF(AND(G347&gt;0,G347=INT(G347),FIND("-",E347)&gt;1,NOT(EXACT(UPPER(LEFT(E347,1)),LOWER(LEFT(E347,1)))),ISNUMBER(VALUE(MID(E347,FIND("-",E347)+1,10)))),1,0),0))</f>
        <v>0</v>
      </c>
      <c r="J347" s="0" t="str">
        <f aca="false">IF(I347=1,TRIM(LEFT(H347,MAX(0,LEN(H347)-LEN(D347)))),"")</f>
        <v/>
      </c>
      <c r="K347" s="0" t="str">
        <f aca="false">INDEX($P$2:$P$21,A347)</f>
        <v>Deck 6</v>
      </c>
      <c r="L347" s="0" t="n">
        <f aca="false">IF(AND(C347&lt;&gt;"",LEFT(C347,2)&lt;&gt;"//",I347=0),1,0)</f>
        <v>0</v>
      </c>
      <c r="M347" s="0" t="str">
        <f aca="false">IF(I347=1,MAX(M$1:M346)+1,"")</f>
        <v/>
      </c>
      <c r="N347" s="0" t="str">
        <f aca="false">IFERROR(MATCH(ROW()-1,$V$2:$V$1201,0),"")</f>
        <v/>
      </c>
      <c r="R347" s="0" t="str">
        <f aca="false">IF(E347="","",IFERROR(LEFT(E347,FIND("-",E347)-1),E347))</f>
        <v/>
      </c>
      <c r="S347" s="0" t="str">
        <f aca="false">IF(R347="","",IF(ISNUMBER(--MID(R347,1,1)),0,IF(ISNUMBER(--MID(R347,2,1)),1,IF(ISNUMBER(--MID(R347,3,1)),2,IF(ISNUMBER(--MID(R347,4,1)),3,MIN(LEN(R347),4))))))</f>
        <v/>
      </c>
      <c r="T347" s="0" t="str">
        <f aca="false">IF(E347="","",LEFT(R347,S347)&amp;REPT("0",4-S347)&amp;RIGHT("000"&amp;IFERROR(VALUE(MID(R347,S347+1,9)),0),3)&amp;RIGHT("0000"&amp;IFERROR(VALUE(MID(E347,FIND("-",E347)+1,9)),0),4))</f>
        <v/>
      </c>
      <c r="U347" s="0" t="str">
        <f aca="false">IF(I347=1,"K"&amp;RIGHT("00"&amp;A347,2)&amp;T347&amp;RIGHT("00000"&amp;ROW(),5),"")</f>
        <v/>
      </c>
      <c r="V347" s="0" t="str">
        <f aca="false">IF(U347="","",COUNTIFS($I$2:$I$1201,1,$U$2:$U$1201,"&lt;"&amp;U347)+1)</f>
        <v/>
      </c>
    </row>
    <row r="348" customFormat="false" ht="15" hidden="false" customHeight="false" outlineLevel="0" collapsed="false">
      <c r="A348" s="0" t="n">
        <v>6</v>
      </c>
      <c r="B348" s="0" t="n">
        <v>47</v>
      </c>
      <c r="C348" s="0" t="str">
        <f aca="false">TRIM(SUBSTITUTE(INDEX(LISTAS!$A$4:$T$63,B348,A348)&amp;"",CHAR(160)," "))</f>
        <v/>
      </c>
      <c r="D348" s="0" t="str">
        <f aca="false">IF(C348="","",TRIM(RIGHT(SUBSTITUTE(C348," ",REPT(" ",100)),100)))</f>
        <v/>
      </c>
      <c r="E348" s="0" t="str">
        <f aca="false">IF(D348="","",UPPER(SUBSTITUTE(SUBSTITUTE(D348,"(",""),")","")))</f>
        <v/>
      </c>
      <c r="F348" s="0" t="str">
        <f aca="false">IF(C348="","",LEFT(C348,FIND(" ",C348&amp;" ")-1))</f>
        <v/>
      </c>
      <c r="G348" s="0" t="n">
        <f aca="false">IFERROR(VALUE(SUBSTITUTE(LOWER(F348),"x","")),0)</f>
        <v>0</v>
      </c>
      <c r="H348" s="0" t="str">
        <f aca="false">IF(C348="","",TRIM(MID(C348,LEN(F348)+2,999)))</f>
        <v/>
      </c>
      <c r="I348" s="0" t="n">
        <f aca="false">IF(OR(C348="",LEFT(C348,2)="//"),0,IFERROR(IF(AND(G348&gt;0,G348=INT(G348),FIND("-",E348)&gt;1,NOT(EXACT(UPPER(LEFT(E348,1)),LOWER(LEFT(E348,1)))),ISNUMBER(VALUE(MID(E348,FIND("-",E348)+1,10)))),1,0),0))</f>
        <v>0</v>
      </c>
      <c r="J348" s="0" t="str">
        <f aca="false">IF(I348=1,TRIM(LEFT(H348,MAX(0,LEN(H348)-LEN(D348)))),"")</f>
        <v/>
      </c>
      <c r="K348" s="0" t="str">
        <f aca="false">INDEX($P$2:$P$21,A348)</f>
        <v>Deck 6</v>
      </c>
      <c r="L348" s="0" t="n">
        <f aca="false">IF(AND(C348&lt;&gt;"",LEFT(C348,2)&lt;&gt;"//",I348=0),1,0)</f>
        <v>0</v>
      </c>
      <c r="M348" s="0" t="str">
        <f aca="false">IF(I348=1,MAX(M$1:M347)+1,"")</f>
        <v/>
      </c>
      <c r="N348" s="0" t="str">
        <f aca="false">IFERROR(MATCH(ROW()-1,$V$2:$V$1201,0),"")</f>
        <v/>
      </c>
      <c r="R348" s="0" t="str">
        <f aca="false">IF(E348="","",IFERROR(LEFT(E348,FIND("-",E348)-1),E348))</f>
        <v/>
      </c>
      <c r="S348" s="0" t="str">
        <f aca="false">IF(R348="","",IF(ISNUMBER(--MID(R348,1,1)),0,IF(ISNUMBER(--MID(R348,2,1)),1,IF(ISNUMBER(--MID(R348,3,1)),2,IF(ISNUMBER(--MID(R348,4,1)),3,MIN(LEN(R348),4))))))</f>
        <v/>
      </c>
      <c r="T348" s="0" t="str">
        <f aca="false">IF(E348="","",LEFT(R348,S348)&amp;REPT("0",4-S348)&amp;RIGHT("000"&amp;IFERROR(VALUE(MID(R348,S348+1,9)),0),3)&amp;RIGHT("0000"&amp;IFERROR(VALUE(MID(E348,FIND("-",E348)+1,9)),0),4))</f>
        <v/>
      </c>
      <c r="U348" s="0" t="str">
        <f aca="false">IF(I348=1,"K"&amp;RIGHT("00"&amp;A348,2)&amp;T348&amp;RIGHT("00000"&amp;ROW(),5),"")</f>
        <v/>
      </c>
      <c r="V348" s="0" t="str">
        <f aca="false">IF(U348="","",COUNTIFS($I$2:$I$1201,1,$U$2:$U$1201,"&lt;"&amp;U348)+1)</f>
        <v/>
      </c>
    </row>
    <row r="349" customFormat="false" ht="15" hidden="false" customHeight="false" outlineLevel="0" collapsed="false">
      <c r="A349" s="0" t="n">
        <v>6</v>
      </c>
      <c r="B349" s="0" t="n">
        <v>48</v>
      </c>
      <c r="C349" s="0" t="str">
        <f aca="false">TRIM(SUBSTITUTE(INDEX(LISTAS!$A$4:$T$63,B349,A349)&amp;"",CHAR(160)," "))</f>
        <v/>
      </c>
      <c r="D349" s="0" t="str">
        <f aca="false">IF(C349="","",TRIM(RIGHT(SUBSTITUTE(C349," ",REPT(" ",100)),100)))</f>
        <v/>
      </c>
      <c r="E349" s="0" t="str">
        <f aca="false">IF(D349="","",UPPER(SUBSTITUTE(SUBSTITUTE(D349,"(",""),")","")))</f>
        <v/>
      </c>
      <c r="F349" s="0" t="str">
        <f aca="false">IF(C349="","",LEFT(C349,FIND(" ",C349&amp;" ")-1))</f>
        <v/>
      </c>
      <c r="G349" s="0" t="n">
        <f aca="false">IFERROR(VALUE(SUBSTITUTE(LOWER(F349),"x","")),0)</f>
        <v>0</v>
      </c>
      <c r="H349" s="0" t="str">
        <f aca="false">IF(C349="","",TRIM(MID(C349,LEN(F349)+2,999)))</f>
        <v/>
      </c>
      <c r="I349" s="0" t="n">
        <f aca="false">IF(OR(C349="",LEFT(C349,2)="//"),0,IFERROR(IF(AND(G349&gt;0,G349=INT(G349),FIND("-",E349)&gt;1,NOT(EXACT(UPPER(LEFT(E349,1)),LOWER(LEFT(E349,1)))),ISNUMBER(VALUE(MID(E349,FIND("-",E349)+1,10)))),1,0),0))</f>
        <v>0</v>
      </c>
      <c r="J349" s="0" t="str">
        <f aca="false">IF(I349=1,TRIM(LEFT(H349,MAX(0,LEN(H349)-LEN(D349)))),"")</f>
        <v/>
      </c>
      <c r="K349" s="0" t="str">
        <f aca="false">INDEX($P$2:$P$21,A349)</f>
        <v>Deck 6</v>
      </c>
      <c r="L349" s="0" t="n">
        <f aca="false">IF(AND(C349&lt;&gt;"",LEFT(C349,2)&lt;&gt;"//",I349=0),1,0)</f>
        <v>0</v>
      </c>
      <c r="M349" s="0" t="str">
        <f aca="false">IF(I349=1,MAX(M$1:M348)+1,"")</f>
        <v/>
      </c>
      <c r="N349" s="0" t="str">
        <f aca="false">IFERROR(MATCH(ROW()-1,$V$2:$V$1201,0),"")</f>
        <v/>
      </c>
      <c r="R349" s="0" t="str">
        <f aca="false">IF(E349="","",IFERROR(LEFT(E349,FIND("-",E349)-1),E349))</f>
        <v/>
      </c>
      <c r="S349" s="0" t="str">
        <f aca="false">IF(R349="","",IF(ISNUMBER(--MID(R349,1,1)),0,IF(ISNUMBER(--MID(R349,2,1)),1,IF(ISNUMBER(--MID(R349,3,1)),2,IF(ISNUMBER(--MID(R349,4,1)),3,MIN(LEN(R349),4))))))</f>
        <v/>
      </c>
      <c r="T349" s="0" t="str">
        <f aca="false">IF(E349="","",LEFT(R349,S349)&amp;REPT("0",4-S349)&amp;RIGHT("000"&amp;IFERROR(VALUE(MID(R349,S349+1,9)),0),3)&amp;RIGHT("0000"&amp;IFERROR(VALUE(MID(E349,FIND("-",E349)+1,9)),0),4))</f>
        <v/>
      </c>
      <c r="U349" s="0" t="str">
        <f aca="false">IF(I349=1,"K"&amp;RIGHT("00"&amp;A349,2)&amp;T349&amp;RIGHT("00000"&amp;ROW(),5),"")</f>
        <v/>
      </c>
      <c r="V349" s="0" t="str">
        <f aca="false">IF(U349="","",COUNTIFS($I$2:$I$1201,1,$U$2:$U$1201,"&lt;"&amp;U349)+1)</f>
        <v/>
      </c>
    </row>
    <row r="350" customFormat="false" ht="15" hidden="false" customHeight="false" outlineLevel="0" collapsed="false">
      <c r="A350" s="0" t="n">
        <v>6</v>
      </c>
      <c r="B350" s="0" t="n">
        <v>49</v>
      </c>
      <c r="C350" s="0" t="str">
        <f aca="false">TRIM(SUBSTITUTE(INDEX(LISTAS!$A$4:$T$63,B350,A350)&amp;"",CHAR(160)," "))</f>
        <v/>
      </c>
      <c r="D350" s="0" t="str">
        <f aca="false">IF(C350="","",TRIM(RIGHT(SUBSTITUTE(C350," ",REPT(" ",100)),100)))</f>
        <v/>
      </c>
      <c r="E350" s="0" t="str">
        <f aca="false">IF(D350="","",UPPER(SUBSTITUTE(SUBSTITUTE(D350,"(",""),")","")))</f>
        <v/>
      </c>
      <c r="F350" s="0" t="str">
        <f aca="false">IF(C350="","",LEFT(C350,FIND(" ",C350&amp;" ")-1))</f>
        <v/>
      </c>
      <c r="G350" s="0" t="n">
        <f aca="false">IFERROR(VALUE(SUBSTITUTE(LOWER(F350),"x","")),0)</f>
        <v>0</v>
      </c>
      <c r="H350" s="0" t="str">
        <f aca="false">IF(C350="","",TRIM(MID(C350,LEN(F350)+2,999)))</f>
        <v/>
      </c>
      <c r="I350" s="0" t="n">
        <f aca="false">IF(OR(C350="",LEFT(C350,2)="//"),0,IFERROR(IF(AND(G350&gt;0,G350=INT(G350),FIND("-",E350)&gt;1,NOT(EXACT(UPPER(LEFT(E350,1)),LOWER(LEFT(E350,1)))),ISNUMBER(VALUE(MID(E350,FIND("-",E350)+1,10)))),1,0),0))</f>
        <v>0</v>
      </c>
      <c r="J350" s="0" t="str">
        <f aca="false">IF(I350=1,TRIM(LEFT(H350,MAX(0,LEN(H350)-LEN(D350)))),"")</f>
        <v/>
      </c>
      <c r="K350" s="0" t="str">
        <f aca="false">INDEX($P$2:$P$21,A350)</f>
        <v>Deck 6</v>
      </c>
      <c r="L350" s="0" t="n">
        <f aca="false">IF(AND(C350&lt;&gt;"",LEFT(C350,2)&lt;&gt;"//",I350=0),1,0)</f>
        <v>0</v>
      </c>
      <c r="M350" s="0" t="str">
        <f aca="false">IF(I350=1,MAX(M$1:M349)+1,"")</f>
        <v/>
      </c>
      <c r="N350" s="0" t="str">
        <f aca="false">IFERROR(MATCH(ROW()-1,$V$2:$V$1201,0),"")</f>
        <v/>
      </c>
      <c r="R350" s="0" t="str">
        <f aca="false">IF(E350="","",IFERROR(LEFT(E350,FIND("-",E350)-1),E350))</f>
        <v/>
      </c>
      <c r="S350" s="0" t="str">
        <f aca="false">IF(R350="","",IF(ISNUMBER(--MID(R350,1,1)),0,IF(ISNUMBER(--MID(R350,2,1)),1,IF(ISNUMBER(--MID(R350,3,1)),2,IF(ISNUMBER(--MID(R350,4,1)),3,MIN(LEN(R350),4))))))</f>
        <v/>
      </c>
      <c r="T350" s="0" t="str">
        <f aca="false">IF(E350="","",LEFT(R350,S350)&amp;REPT("0",4-S350)&amp;RIGHT("000"&amp;IFERROR(VALUE(MID(R350,S350+1,9)),0),3)&amp;RIGHT("0000"&amp;IFERROR(VALUE(MID(E350,FIND("-",E350)+1,9)),0),4))</f>
        <v/>
      </c>
      <c r="U350" s="0" t="str">
        <f aca="false">IF(I350=1,"K"&amp;RIGHT("00"&amp;A350,2)&amp;T350&amp;RIGHT("00000"&amp;ROW(),5),"")</f>
        <v/>
      </c>
      <c r="V350" s="0" t="str">
        <f aca="false">IF(U350="","",COUNTIFS($I$2:$I$1201,1,$U$2:$U$1201,"&lt;"&amp;U350)+1)</f>
        <v/>
      </c>
    </row>
    <row r="351" customFormat="false" ht="15" hidden="false" customHeight="false" outlineLevel="0" collapsed="false">
      <c r="A351" s="0" t="n">
        <v>6</v>
      </c>
      <c r="B351" s="0" t="n">
        <v>50</v>
      </c>
      <c r="C351" s="0" t="str">
        <f aca="false">TRIM(SUBSTITUTE(INDEX(LISTAS!$A$4:$T$63,B351,A351)&amp;"",CHAR(160)," "))</f>
        <v/>
      </c>
      <c r="D351" s="0" t="str">
        <f aca="false">IF(C351="","",TRIM(RIGHT(SUBSTITUTE(C351," ",REPT(" ",100)),100)))</f>
        <v/>
      </c>
      <c r="E351" s="0" t="str">
        <f aca="false">IF(D351="","",UPPER(SUBSTITUTE(SUBSTITUTE(D351,"(",""),")","")))</f>
        <v/>
      </c>
      <c r="F351" s="0" t="str">
        <f aca="false">IF(C351="","",LEFT(C351,FIND(" ",C351&amp;" ")-1))</f>
        <v/>
      </c>
      <c r="G351" s="0" t="n">
        <f aca="false">IFERROR(VALUE(SUBSTITUTE(LOWER(F351),"x","")),0)</f>
        <v>0</v>
      </c>
      <c r="H351" s="0" t="str">
        <f aca="false">IF(C351="","",TRIM(MID(C351,LEN(F351)+2,999)))</f>
        <v/>
      </c>
      <c r="I351" s="0" t="n">
        <f aca="false">IF(OR(C351="",LEFT(C351,2)="//"),0,IFERROR(IF(AND(G351&gt;0,G351=INT(G351),FIND("-",E351)&gt;1,NOT(EXACT(UPPER(LEFT(E351,1)),LOWER(LEFT(E351,1)))),ISNUMBER(VALUE(MID(E351,FIND("-",E351)+1,10)))),1,0),0))</f>
        <v>0</v>
      </c>
      <c r="J351" s="0" t="str">
        <f aca="false">IF(I351=1,TRIM(LEFT(H351,MAX(0,LEN(H351)-LEN(D351)))),"")</f>
        <v/>
      </c>
      <c r="K351" s="0" t="str">
        <f aca="false">INDEX($P$2:$P$21,A351)</f>
        <v>Deck 6</v>
      </c>
      <c r="L351" s="0" t="n">
        <f aca="false">IF(AND(C351&lt;&gt;"",LEFT(C351,2)&lt;&gt;"//",I351=0),1,0)</f>
        <v>0</v>
      </c>
      <c r="M351" s="0" t="str">
        <f aca="false">IF(I351=1,MAX(M$1:M350)+1,"")</f>
        <v/>
      </c>
      <c r="N351" s="0" t="str">
        <f aca="false">IFERROR(MATCH(ROW()-1,$V$2:$V$1201,0),"")</f>
        <v/>
      </c>
      <c r="R351" s="0" t="str">
        <f aca="false">IF(E351="","",IFERROR(LEFT(E351,FIND("-",E351)-1),E351))</f>
        <v/>
      </c>
      <c r="S351" s="0" t="str">
        <f aca="false">IF(R351="","",IF(ISNUMBER(--MID(R351,1,1)),0,IF(ISNUMBER(--MID(R351,2,1)),1,IF(ISNUMBER(--MID(R351,3,1)),2,IF(ISNUMBER(--MID(R351,4,1)),3,MIN(LEN(R351),4))))))</f>
        <v/>
      </c>
      <c r="T351" s="0" t="str">
        <f aca="false">IF(E351="","",LEFT(R351,S351)&amp;REPT("0",4-S351)&amp;RIGHT("000"&amp;IFERROR(VALUE(MID(R351,S351+1,9)),0),3)&amp;RIGHT("0000"&amp;IFERROR(VALUE(MID(E351,FIND("-",E351)+1,9)),0),4))</f>
        <v/>
      </c>
      <c r="U351" s="0" t="str">
        <f aca="false">IF(I351=1,"K"&amp;RIGHT("00"&amp;A351,2)&amp;T351&amp;RIGHT("00000"&amp;ROW(),5),"")</f>
        <v/>
      </c>
      <c r="V351" s="0" t="str">
        <f aca="false">IF(U351="","",COUNTIFS($I$2:$I$1201,1,$U$2:$U$1201,"&lt;"&amp;U351)+1)</f>
        <v/>
      </c>
    </row>
    <row r="352" customFormat="false" ht="15" hidden="false" customHeight="false" outlineLevel="0" collapsed="false">
      <c r="A352" s="0" t="n">
        <v>6</v>
      </c>
      <c r="B352" s="0" t="n">
        <v>51</v>
      </c>
      <c r="C352" s="0" t="str">
        <f aca="false">TRIM(SUBSTITUTE(INDEX(LISTAS!$A$4:$T$63,B352,A352)&amp;"",CHAR(160)," "))</f>
        <v/>
      </c>
      <c r="D352" s="0" t="str">
        <f aca="false">IF(C352="","",TRIM(RIGHT(SUBSTITUTE(C352," ",REPT(" ",100)),100)))</f>
        <v/>
      </c>
      <c r="E352" s="0" t="str">
        <f aca="false">IF(D352="","",UPPER(SUBSTITUTE(SUBSTITUTE(D352,"(",""),")","")))</f>
        <v/>
      </c>
      <c r="F352" s="0" t="str">
        <f aca="false">IF(C352="","",LEFT(C352,FIND(" ",C352&amp;" ")-1))</f>
        <v/>
      </c>
      <c r="G352" s="0" t="n">
        <f aca="false">IFERROR(VALUE(SUBSTITUTE(LOWER(F352),"x","")),0)</f>
        <v>0</v>
      </c>
      <c r="H352" s="0" t="str">
        <f aca="false">IF(C352="","",TRIM(MID(C352,LEN(F352)+2,999)))</f>
        <v/>
      </c>
      <c r="I352" s="0" t="n">
        <f aca="false">IF(OR(C352="",LEFT(C352,2)="//"),0,IFERROR(IF(AND(G352&gt;0,G352=INT(G352),FIND("-",E352)&gt;1,NOT(EXACT(UPPER(LEFT(E352,1)),LOWER(LEFT(E352,1)))),ISNUMBER(VALUE(MID(E352,FIND("-",E352)+1,10)))),1,0),0))</f>
        <v>0</v>
      </c>
      <c r="J352" s="0" t="str">
        <f aca="false">IF(I352=1,TRIM(LEFT(H352,MAX(0,LEN(H352)-LEN(D352)))),"")</f>
        <v/>
      </c>
      <c r="K352" s="0" t="str">
        <f aca="false">INDEX($P$2:$P$21,A352)</f>
        <v>Deck 6</v>
      </c>
      <c r="L352" s="0" t="n">
        <f aca="false">IF(AND(C352&lt;&gt;"",LEFT(C352,2)&lt;&gt;"//",I352=0),1,0)</f>
        <v>0</v>
      </c>
      <c r="M352" s="0" t="str">
        <f aca="false">IF(I352=1,MAX(M$1:M351)+1,"")</f>
        <v/>
      </c>
      <c r="N352" s="0" t="str">
        <f aca="false">IFERROR(MATCH(ROW()-1,$V$2:$V$1201,0),"")</f>
        <v/>
      </c>
      <c r="R352" s="0" t="str">
        <f aca="false">IF(E352="","",IFERROR(LEFT(E352,FIND("-",E352)-1),E352))</f>
        <v/>
      </c>
      <c r="S352" s="0" t="str">
        <f aca="false">IF(R352="","",IF(ISNUMBER(--MID(R352,1,1)),0,IF(ISNUMBER(--MID(R352,2,1)),1,IF(ISNUMBER(--MID(R352,3,1)),2,IF(ISNUMBER(--MID(R352,4,1)),3,MIN(LEN(R352),4))))))</f>
        <v/>
      </c>
      <c r="T352" s="0" t="str">
        <f aca="false">IF(E352="","",LEFT(R352,S352)&amp;REPT("0",4-S352)&amp;RIGHT("000"&amp;IFERROR(VALUE(MID(R352,S352+1,9)),0),3)&amp;RIGHT("0000"&amp;IFERROR(VALUE(MID(E352,FIND("-",E352)+1,9)),0),4))</f>
        <v/>
      </c>
      <c r="U352" s="0" t="str">
        <f aca="false">IF(I352=1,"K"&amp;RIGHT("00"&amp;A352,2)&amp;T352&amp;RIGHT("00000"&amp;ROW(),5),"")</f>
        <v/>
      </c>
      <c r="V352" s="0" t="str">
        <f aca="false">IF(U352="","",COUNTIFS($I$2:$I$1201,1,$U$2:$U$1201,"&lt;"&amp;U352)+1)</f>
        <v/>
      </c>
    </row>
    <row r="353" customFormat="false" ht="15" hidden="false" customHeight="false" outlineLevel="0" collapsed="false">
      <c r="A353" s="0" t="n">
        <v>6</v>
      </c>
      <c r="B353" s="0" t="n">
        <v>52</v>
      </c>
      <c r="C353" s="0" t="str">
        <f aca="false">TRIM(SUBSTITUTE(INDEX(LISTAS!$A$4:$T$63,B353,A353)&amp;"",CHAR(160)," "))</f>
        <v/>
      </c>
      <c r="D353" s="0" t="str">
        <f aca="false">IF(C353="","",TRIM(RIGHT(SUBSTITUTE(C353," ",REPT(" ",100)),100)))</f>
        <v/>
      </c>
      <c r="E353" s="0" t="str">
        <f aca="false">IF(D353="","",UPPER(SUBSTITUTE(SUBSTITUTE(D353,"(",""),")","")))</f>
        <v/>
      </c>
      <c r="F353" s="0" t="str">
        <f aca="false">IF(C353="","",LEFT(C353,FIND(" ",C353&amp;" ")-1))</f>
        <v/>
      </c>
      <c r="G353" s="0" t="n">
        <f aca="false">IFERROR(VALUE(SUBSTITUTE(LOWER(F353),"x","")),0)</f>
        <v>0</v>
      </c>
      <c r="H353" s="0" t="str">
        <f aca="false">IF(C353="","",TRIM(MID(C353,LEN(F353)+2,999)))</f>
        <v/>
      </c>
      <c r="I353" s="0" t="n">
        <f aca="false">IF(OR(C353="",LEFT(C353,2)="//"),0,IFERROR(IF(AND(G353&gt;0,G353=INT(G353),FIND("-",E353)&gt;1,NOT(EXACT(UPPER(LEFT(E353,1)),LOWER(LEFT(E353,1)))),ISNUMBER(VALUE(MID(E353,FIND("-",E353)+1,10)))),1,0),0))</f>
        <v>0</v>
      </c>
      <c r="J353" s="0" t="str">
        <f aca="false">IF(I353=1,TRIM(LEFT(H353,MAX(0,LEN(H353)-LEN(D353)))),"")</f>
        <v/>
      </c>
      <c r="K353" s="0" t="str">
        <f aca="false">INDEX($P$2:$P$21,A353)</f>
        <v>Deck 6</v>
      </c>
      <c r="L353" s="0" t="n">
        <f aca="false">IF(AND(C353&lt;&gt;"",LEFT(C353,2)&lt;&gt;"//",I353=0),1,0)</f>
        <v>0</v>
      </c>
      <c r="M353" s="0" t="str">
        <f aca="false">IF(I353=1,MAX(M$1:M352)+1,"")</f>
        <v/>
      </c>
      <c r="N353" s="0" t="str">
        <f aca="false">IFERROR(MATCH(ROW()-1,$V$2:$V$1201,0),"")</f>
        <v/>
      </c>
      <c r="R353" s="0" t="str">
        <f aca="false">IF(E353="","",IFERROR(LEFT(E353,FIND("-",E353)-1),E353))</f>
        <v/>
      </c>
      <c r="S353" s="0" t="str">
        <f aca="false">IF(R353="","",IF(ISNUMBER(--MID(R353,1,1)),0,IF(ISNUMBER(--MID(R353,2,1)),1,IF(ISNUMBER(--MID(R353,3,1)),2,IF(ISNUMBER(--MID(R353,4,1)),3,MIN(LEN(R353),4))))))</f>
        <v/>
      </c>
      <c r="T353" s="0" t="str">
        <f aca="false">IF(E353="","",LEFT(R353,S353)&amp;REPT("0",4-S353)&amp;RIGHT("000"&amp;IFERROR(VALUE(MID(R353,S353+1,9)),0),3)&amp;RIGHT("0000"&amp;IFERROR(VALUE(MID(E353,FIND("-",E353)+1,9)),0),4))</f>
        <v/>
      </c>
      <c r="U353" s="0" t="str">
        <f aca="false">IF(I353=1,"K"&amp;RIGHT("00"&amp;A353,2)&amp;T353&amp;RIGHT("00000"&amp;ROW(),5),"")</f>
        <v/>
      </c>
      <c r="V353" s="0" t="str">
        <f aca="false">IF(U353="","",COUNTIFS($I$2:$I$1201,1,$U$2:$U$1201,"&lt;"&amp;U353)+1)</f>
        <v/>
      </c>
    </row>
    <row r="354" customFormat="false" ht="15" hidden="false" customHeight="false" outlineLevel="0" collapsed="false">
      <c r="A354" s="0" t="n">
        <v>6</v>
      </c>
      <c r="B354" s="0" t="n">
        <v>53</v>
      </c>
      <c r="C354" s="0" t="str">
        <f aca="false">TRIM(SUBSTITUTE(INDEX(LISTAS!$A$4:$T$63,B354,A354)&amp;"",CHAR(160)," "))</f>
        <v/>
      </c>
      <c r="D354" s="0" t="str">
        <f aca="false">IF(C354="","",TRIM(RIGHT(SUBSTITUTE(C354," ",REPT(" ",100)),100)))</f>
        <v/>
      </c>
      <c r="E354" s="0" t="str">
        <f aca="false">IF(D354="","",UPPER(SUBSTITUTE(SUBSTITUTE(D354,"(",""),")","")))</f>
        <v/>
      </c>
      <c r="F354" s="0" t="str">
        <f aca="false">IF(C354="","",LEFT(C354,FIND(" ",C354&amp;" ")-1))</f>
        <v/>
      </c>
      <c r="G354" s="0" t="n">
        <f aca="false">IFERROR(VALUE(SUBSTITUTE(LOWER(F354),"x","")),0)</f>
        <v>0</v>
      </c>
      <c r="H354" s="0" t="str">
        <f aca="false">IF(C354="","",TRIM(MID(C354,LEN(F354)+2,999)))</f>
        <v/>
      </c>
      <c r="I354" s="0" t="n">
        <f aca="false">IF(OR(C354="",LEFT(C354,2)="//"),0,IFERROR(IF(AND(G354&gt;0,G354=INT(G354),FIND("-",E354)&gt;1,NOT(EXACT(UPPER(LEFT(E354,1)),LOWER(LEFT(E354,1)))),ISNUMBER(VALUE(MID(E354,FIND("-",E354)+1,10)))),1,0),0))</f>
        <v>0</v>
      </c>
      <c r="J354" s="0" t="str">
        <f aca="false">IF(I354=1,TRIM(LEFT(H354,MAX(0,LEN(H354)-LEN(D354)))),"")</f>
        <v/>
      </c>
      <c r="K354" s="0" t="str">
        <f aca="false">INDEX($P$2:$P$21,A354)</f>
        <v>Deck 6</v>
      </c>
      <c r="L354" s="0" t="n">
        <f aca="false">IF(AND(C354&lt;&gt;"",LEFT(C354,2)&lt;&gt;"//",I354=0),1,0)</f>
        <v>0</v>
      </c>
      <c r="M354" s="0" t="str">
        <f aca="false">IF(I354=1,MAX(M$1:M353)+1,"")</f>
        <v/>
      </c>
      <c r="N354" s="0" t="str">
        <f aca="false">IFERROR(MATCH(ROW()-1,$V$2:$V$1201,0),"")</f>
        <v/>
      </c>
      <c r="R354" s="0" t="str">
        <f aca="false">IF(E354="","",IFERROR(LEFT(E354,FIND("-",E354)-1),E354))</f>
        <v/>
      </c>
      <c r="S354" s="0" t="str">
        <f aca="false">IF(R354="","",IF(ISNUMBER(--MID(R354,1,1)),0,IF(ISNUMBER(--MID(R354,2,1)),1,IF(ISNUMBER(--MID(R354,3,1)),2,IF(ISNUMBER(--MID(R354,4,1)),3,MIN(LEN(R354),4))))))</f>
        <v/>
      </c>
      <c r="T354" s="0" t="str">
        <f aca="false">IF(E354="","",LEFT(R354,S354)&amp;REPT("0",4-S354)&amp;RIGHT("000"&amp;IFERROR(VALUE(MID(R354,S354+1,9)),0),3)&amp;RIGHT("0000"&amp;IFERROR(VALUE(MID(E354,FIND("-",E354)+1,9)),0),4))</f>
        <v/>
      </c>
      <c r="U354" s="0" t="str">
        <f aca="false">IF(I354=1,"K"&amp;RIGHT("00"&amp;A354,2)&amp;T354&amp;RIGHT("00000"&amp;ROW(),5),"")</f>
        <v/>
      </c>
      <c r="V354" s="0" t="str">
        <f aca="false">IF(U354="","",COUNTIFS($I$2:$I$1201,1,$U$2:$U$1201,"&lt;"&amp;U354)+1)</f>
        <v/>
      </c>
    </row>
    <row r="355" customFormat="false" ht="15" hidden="false" customHeight="false" outlineLevel="0" collapsed="false">
      <c r="A355" s="0" t="n">
        <v>6</v>
      </c>
      <c r="B355" s="0" t="n">
        <v>54</v>
      </c>
      <c r="C355" s="0" t="str">
        <f aca="false">TRIM(SUBSTITUTE(INDEX(LISTAS!$A$4:$T$63,B355,A355)&amp;"",CHAR(160)," "))</f>
        <v/>
      </c>
      <c r="D355" s="0" t="str">
        <f aca="false">IF(C355="","",TRIM(RIGHT(SUBSTITUTE(C355," ",REPT(" ",100)),100)))</f>
        <v/>
      </c>
      <c r="E355" s="0" t="str">
        <f aca="false">IF(D355="","",UPPER(SUBSTITUTE(SUBSTITUTE(D355,"(",""),")","")))</f>
        <v/>
      </c>
      <c r="F355" s="0" t="str">
        <f aca="false">IF(C355="","",LEFT(C355,FIND(" ",C355&amp;" ")-1))</f>
        <v/>
      </c>
      <c r="G355" s="0" t="n">
        <f aca="false">IFERROR(VALUE(SUBSTITUTE(LOWER(F355),"x","")),0)</f>
        <v>0</v>
      </c>
      <c r="H355" s="0" t="str">
        <f aca="false">IF(C355="","",TRIM(MID(C355,LEN(F355)+2,999)))</f>
        <v/>
      </c>
      <c r="I355" s="0" t="n">
        <f aca="false">IF(OR(C355="",LEFT(C355,2)="//"),0,IFERROR(IF(AND(G355&gt;0,G355=INT(G355),FIND("-",E355)&gt;1,NOT(EXACT(UPPER(LEFT(E355,1)),LOWER(LEFT(E355,1)))),ISNUMBER(VALUE(MID(E355,FIND("-",E355)+1,10)))),1,0),0))</f>
        <v>0</v>
      </c>
      <c r="J355" s="0" t="str">
        <f aca="false">IF(I355=1,TRIM(LEFT(H355,MAX(0,LEN(H355)-LEN(D355)))),"")</f>
        <v/>
      </c>
      <c r="K355" s="0" t="str">
        <f aca="false">INDEX($P$2:$P$21,A355)</f>
        <v>Deck 6</v>
      </c>
      <c r="L355" s="0" t="n">
        <f aca="false">IF(AND(C355&lt;&gt;"",LEFT(C355,2)&lt;&gt;"//",I355=0),1,0)</f>
        <v>0</v>
      </c>
      <c r="M355" s="0" t="str">
        <f aca="false">IF(I355=1,MAX(M$1:M354)+1,"")</f>
        <v/>
      </c>
      <c r="N355" s="0" t="str">
        <f aca="false">IFERROR(MATCH(ROW()-1,$V$2:$V$1201,0),"")</f>
        <v/>
      </c>
      <c r="R355" s="0" t="str">
        <f aca="false">IF(E355="","",IFERROR(LEFT(E355,FIND("-",E355)-1),E355))</f>
        <v/>
      </c>
      <c r="S355" s="0" t="str">
        <f aca="false">IF(R355="","",IF(ISNUMBER(--MID(R355,1,1)),0,IF(ISNUMBER(--MID(R355,2,1)),1,IF(ISNUMBER(--MID(R355,3,1)),2,IF(ISNUMBER(--MID(R355,4,1)),3,MIN(LEN(R355),4))))))</f>
        <v/>
      </c>
      <c r="T355" s="0" t="str">
        <f aca="false">IF(E355="","",LEFT(R355,S355)&amp;REPT("0",4-S355)&amp;RIGHT("000"&amp;IFERROR(VALUE(MID(R355,S355+1,9)),0),3)&amp;RIGHT("0000"&amp;IFERROR(VALUE(MID(E355,FIND("-",E355)+1,9)),0),4))</f>
        <v/>
      </c>
      <c r="U355" s="0" t="str">
        <f aca="false">IF(I355=1,"K"&amp;RIGHT("00"&amp;A355,2)&amp;T355&amp;RIGHT("00000"&amp;ROW(),5),"")</f>
        <v/>
      </c>
      <c r="V355" s="0" t="str">
        <f aca="false">IF(U355="","",COUNTIFS($I$2:$I$1201,1,$U$2:$U$1201,"&lt;"&amp;U355)+1)</f>
        <v/>
      </c>
    </row>
    <row r="356" customFormat="false" ht="15" hidden="false" customHeight="false" outlineLevel="0" collapsed="false">
      <c r="A356" s="0" t="n">
        <v>6</v>
      </c>
      <c r="B356" s="0" t="n">
        <v>55</v>
      </c>
      <c r="C356" s="0" t="str">
        <f aca="false">TRIM(SUBSTITUTE(INDEX(LISTAS!$A$4:$T$63,B356,A356)&amp;"",CHAR(160)," "))</f>
        <v/>
      </c>
      <c r="D356" s="0" t="str">
        <f aca="false">IF(C356="","",TRIM(RIGHT(SUBSTITUTE(C356," ",REPT(" ",100)),100)))</f>
        <v/>
      </c>
      <c r="E356" s="0" t="str">
        <f aca="false">IF(D356="","",UPPER(SUBSTITUTE(SUBSTITUTE(D356,"(",""),")","")))</f>
        <v/>
      </c>
      <c r="F356" s="0" t="str">
        <f aca="false">IF(C356="","",LEFT(C356,FIND(" ",C356&amp;" ")-1))</f>
        <v/>
      </c>
      <c r="G356" s="0" t="n">
        <f aca="false">IFERROR(VALUE(SUBSTITUTE(LOWER(F356),"x","")),0)</f>
        <v>0</v>
      </c>
      <c r="H356" s="0" t="str">
        <f aca="false">IF(C356="","",TRIM(MID(C356,LEN(F356)+2,999)))</f>
        <v/>
      </c>
      <c r="I356" s="0" t="n">
        <f aca="false">IF(OR(C356="",LEFT(C356,2)="//"),0,IFERROR(IF(AND(G356&gt;0,G356=INT(G356),FIND("-",E356)&gt;1,NOT(EXACT(UPPER(LEFT(E356,1)),LOWER(LEFT(E356,1)))),ISNUMBER(VALUE(MID(E356,FIND("-",E356)+1,10)))),1,0),0))</f>
        <v>0</v>
      </c>
      <c r="J356" s="0" t="str">
        <f aca="false">IF(I356=1,TRIM(LEFT(H356,MAX(0,LEN(H356)-LEN(D356)))),"")</f>
        <v/>
      </c>
      <c r="K356" s="0" t="str">
        <f aca="false">INDEX($P$2:$P$21,A356)</f>
        <v>Deck 6</v>
      </c>
      <c r="L356" s="0" t="n">
        <f aca="false">IF(AND(C356&lt;&gt;"",LEFT(C356,2)&lt;&gt;"//",I356=0),1,0)</f>
        <v>0</v>
      </c>
      <c r="M356" s="0" t="str">
        <f aca="false">IF(I356=1,MAX(M$1:M355)+1,"")</f>
        <v/>
      </c>
      <c r="N356" s="0" t="str">
        <f aca="false">IFERROR(MATCH(ROW()-1,$V$2:$V$1201,0),"")</f>
        <v/>
      </c>
      <c r="R356" s="0" t="str">
        <f aca="false">IF(E356="","",IFERROR(LEFT(E356,FIND("-",E356)-1),E356))</f>
        <v/>
      </c>
      <c r="S356" s="0" t="str">
        <f aca="false">IF(R356="","",IF(ISNUMBER(--MID(R356,1,1)),0,IF(ISNUMBER(--MID(R356,2,1)),1,IF(ISNUMBER(--MID(R356,3,1)),2,IF(ISNUMBER(--MID(R356,4,1)),3,MIN(LEN(R356),4))))))</f>
        <v/>
      </c>
      <c r="T356" s="0" t="str">
        <f aca="false">IF(E356="","",LEFT(R356,S356)&amp;REPT("0",4-S356)&amp;RIGHT("000"&amp;IFERROR(VALUE(MID(R356,S356+1,9)),0),3)&amp;RIGHT("0000"&amp;IFERROR(VALUE(MID(E356,FIND("-",E356)+1,9)),0),4))</f>
        <v/>
      </c>
      <c r="U356" s="0" t="str">
        <f aca="false">IF(I356=1,"K"&amp;RIGHT("00"&amp;A356,2)&amp;T356&amp;RIGHT("00000"&amp;ROW(),5),"")</f>
        <v/>
      </c>
      <c r="V356" s="0" t="str">
        <f aca="false">IF(U356="","",COUNTIFS($I$2:$I$1201,1,$U$2:$U$1201,"&lt;"&amp;U356)+1)</f>
        <v/>
      </c>
    </row>
    <row r="357" customFormat="false" ht="15" hidden="false" customHeight="false" outlineLevel="0" collapsed="false">
      <c r="A357" s="0" t="n">
        <v>6</v>
      </c>
      <c r="B357" s="0" t="n">
        <v>56</v>
      </c>
      <c r="C357" s="0" t="str">
        <f aca="false">TRIM(SUBSTITUTE(INDEX(LISTAS!$A$4:$T$63,B357,A357)&amp;"",CHAR(160)," "))</f>
        <v/>
      </c>
      <c r="D357" s="0" t="str">
        <f aca="false">IF(C357="","",TRIM(RIGHT(SUBSTITUTE(C357," ",REPT(" ",100)),100)))</f>
        <v/>
      </c>
      <c r="E357" s="0" t="str">
        <f aca="false">IF(D357="","",UPPER(SUBSTITUTE(SUBSTITUTE(D357,"(",""),")","")))</f>
        <v/>
      </c>
      <c r="F357" s="0" t="str">
        <f aca="false">IF(C357="","",LEFT(C357,FIND(" ",C357&amp;" ")-1))</f>
        <v/>
      </c>
      <c r="G357" s="0" t="n">
        <f aca="false">IFERROR(VALUE(SUBSTITUTE(LOWER(F357),"x","")),0)</f>
        <v>0</v>
      </c>
      <c r="H357" s="0" t="str">
        <f aca="false">IF(C357="","",TRIM(MID(C357,LEN(F357)+2,999)))</f>
        <v/>
      </c>
      <c r="I357" s="0" t="n">
        <f aca="false">IF(OR(C357="",LEFT(C357,2)="//"),0,IFERROR(IF(AND(G357&gt;0,G357=INT(G357),FIND("-",E357)&gt;1,NOT(EXACT(UPPER(LEFT(E357,1)),LOWER(LEFT(E357,1)))),ISNUMBER(VALUE(MID(E357,FIND("-",E357)+1,10)))),1,0),0))</f>
        <v>0</v>
      </c>
      <c r="J357" s="0" t="str">
        <f aca="false">IF(I357=1,TRIM(LEFT(H357,MAX(0,LEN(H357)-LEN(D357)))),"")</f>
        <v/>
      </c>
      <c r="K357" s="0" t="str">
        <f aca="false">INDEX($P$2:$P$21,A357)</f>
        <v>Deck 6</v>
      </c>
      <c r="L357" s="0" t="n">
        <f aca="false">IF(AND(C357&lt;&gt;"",LEFT(C357,2)&lt;&gt;"//",I357=0),1,0)</f>
        <v>0</v>
      </c>
      <c r="M357" s="0" t="str">
        <f aca="false">IF(I357=1,MAX(M$1:M356)+1,"")</f>
        <v/>
      </c>
      <c r="N357" s="0" t="str">
        <f aca="false">IFERROR(MATCH(ROW()-1,$V$2:$V$1201,0),"")</f>
        <v/>
      </c>
      <c r="R357" s="0" t="str">
        <f aca="false">IF(E357="","",IFERROR(LEFT(E357,FIND("-",E357)-1),E357))</f>
        <v/>
      </c>
      <c r="S357" s="0" t="str">
        <f aca="false">IF(R357="","",IF(ISNUMBER(--MID(R357,1,1)),0,IF(ISNUMBER(--MID(R357,2,1)),1,IF(ISNUMBER(--MID(R357,3,1)),2,IF(ISNUMBER(--MID(R357,4,1)),3,MIN(LEN(R357),4))))))</f>
        <v/>
      </c>
      <c r="T357" s="0" t="str">
        <f aca="false">IF(E357="","",LEFT(R357,S357)&amp;REPT("0",4-S357)&amp;RIGHT("000"&amp;IFERROR(VALUE(MID(R357,S357+1,9)),0),3)&amp;RIGHT("0000"&amp;IFERROR(VALUE(MID(E357,FIND("-",E357)+1,9)),0),4))</f>
        <v/>
      </c>
      <c r="U357" s="0" t="str">
        <f aca="false">IF(I357=1,"K"&amp;RIGHT("00"&amp;A357,2)&amp;T357&amp;RIGHT("00000"&amp;ROW(),5),"")</f>
        <v/>
      </c>
      <c r="V357" s="0" t="str">
        <f aca="false">IF(U357="","",COUNTIFS($I$2:$I$1201,1,$U$2:$U$1201,"&lt;"&amp;U357)+1)</f>
        <v/>
      </c>
    </row>
    <row r="358" customFormat="false" ht="15" hidden="false" customHeight="false" outlineLevel="0" collapsed="false">
      <c r="A358" s="0" t="n">
        <v>6</v>
      </c>
      <c r="B358" s="0" t="n">
        <v>57</v>
      </c>
      <c r="C358" s="0" t="str">
        <f aca="false">TRIM(SUBSTITUTE(INDEX(LISTAS!$A$4:$T$63,B358,A358)&amp;"",CHAR(160)," "))</f>
        <v/>
      </c>
      <c r="D358" s="0" t="str">
        <f aca="false">IF(C358="","",TRIM(RIGHT(SUBSTITUTE(C358," ",REPT(" ",100)),100)))</f>
        <v/>
      </c>
      <c r="E358" s="0" t="str">
        <f aca="false">IF(D358="","",UPPER(SUBSTITUTE(SUBSTITUTE(D358,"(",""),")","")))</f>
        <v/>
      </c>
      <c r="F358" s="0" t="str">
        <f aca="false">IF(C358="","",LEFT(C358,FIND(" ",C358&amp;" ")-1))</f>
        <v/>
      </c>
      <c r="G358" s="0" t="n">
        <f aca="false">IFERROR(VALUE(SUBSTITUTE(LOWER(F358),"x","")),0)</f>
        <v>0</v>
      </c>
      <c r="H358" s="0" t="str">
        <f aca="false">IF(C358="","",TRIM(MID(C358,LEN(F358)+2,999)))</f>
        <v/>
      </c>
      <c r="I358" s="0" t="n">
        <f aca="false">IF(OR(C358="",LEFT(C358,2)="//"),0,IFERROR(IF(AND(G358&gt;0,G358=INT(G358),FIND("-",E358)&gt;1,NOT(EXACT(UPPER(LEFT(E358,1)),LOWER(LEFT(E358,1)))),ISNUMBER(VALUE(MID(E358,FIND("-",E358)+1,10)))),1,0),0))</f>
        <v>0</v>
      </c>
      <c r="J358" s="0" t="str">
        <f aca="false">IF(I358=1,TRIM(LEFT(H358,MAX(0,LEN(H358)-LEN(D358)))),"")</f>
        <v/>
      </c>
      <c r="K358" s="0" t="str">
        <f aca="false">INDEX($P$2:$P$21,A358)</f>
        <v>Deck 6</v>
      </c>
      <c r="L358" s="0" t="n">
        <f aca="false">IF(AND(C358&lt;&gt;"",LEFT(C358,2)&lt;&gt;"//",I358=0),1,0)</f>
        <v>0</v>
      </c>
      <c r="M358" s="0" t="str">
        <f aca="false">IF(I358=1,MAX(M$1:M357)+1,"")</f>
        <v/>
      </c>
      <c r="N358" s="0" t="str">
        <f aca="false">IFERROR(MATCH(ROW()-1,$V$2:$V$1201,0),"")</f>
        <v/>
      </c>
      <c r="R358" s="0" t="str">
        <f aca="false">IF(E358="","",IFERROR(LEFT(E358,FIND("-",E358)-1),E358))</f>
        <v/>
      </c>
      <c r="S358" s="0" t="str">
        <f aca="false">IF(R358="","",IF(ISNUMBER(--MID(R358,1,1)),0,IF(ISNUMBER(--MID(R358,2,1)),1,IF(ISNUMBER(--MID(R358,3,1)),2,IF(ISNUMBER(--MID(R358,4,1)),3,MIN(LEN(R358),4))))))</f>
        <v/>
      </c>
      <c r="T358" s="0" t="str">
        <f aca="false">IF(E358="","",LEFT(R358,S358)&amp;REPT("0",4-S358)&amp;RIGHT("000"&amp;IFERROR(VALUE(MID(R358,S358+1,9)),0),3)&amp;RIGHT("0000"&amp;IFERROR(VALUE(MID(E358,FIND("-",E358)+1,9)),0),4))</f>
        <v/>
      </c>
      <c r="U358" s="0" t="str">
        <f aca="false">IF(I358=1,"K"&amp;RIGHT("00"&amp;A358,2)&amp;T358&amp;RIGHT("00000"&amp;ROW(),5),"")</f>
        <v/>
      </c>
      <c r="V358" s="0" t="str">
        <f aca="false">IF(U358="","",COUNTIFS($I$2:$I$1201,1,$U$2:$U$1201,"&lt;"&amp;U358)+1)</f>
        <v/>
      </c>
    </row>
    <row r="359" customFormat="false" ht="15" hidden="false" customHeight="false" outlineLevel="0" collapsed="false">
      <c r="A359" s="0" t="n">
        <v>6</v>
      </c>
      <c r="B359" s="0" t="n">
        <v>58</v>
      </c>
      <c r="C359" s="0" t="str">
        <f aca="false">TRIM(SUBSTITUTE(INDEX(LISTAS!$A$4:$T$63,B359,A359)&amp;"",CHAR(160)," "))</f>
        <v/>
      </c>
      <c r="D359" s="0" t="str">
        <f aca="false">IF(C359="","",TRIM(RIGHT(SUBSTITUTE(C359," ",REPT(" ",100)),100)))</f>
        <v/>
      </c>
      <c r="E359" s="0" t="str">
        <f aca="false">IF(D359="","",UPPER(SUBSTITUTE(SUBSTITUTE(D359,"(",""),")","")))</f>
        <v/>
      </c>
      <c r="F359" s="0" t="str">
        <f aca="false">IF(C359="","",LEFT(C359,FIND(" ",C359&amp;" ")-1))</f>
        <v/>
      </c>
      <c r="G359" s="0" t="n">
        <f aca="false">IFERROR(VALUE(SUBSTITUTE(LOWER(F359),"x","")),0)</f>
        <v>0</v>
      </c>
      <c r="H359" s="0" t="str">
        <f aca="false">IF(C359="","",TRIM(MID(C359,LEN(F359)+2,999)))</f>
        <v/>
      </c>
      <c r="I359" s="0" t="n">
        <f aca="false">IF(OR(C359="",LEFT(C359,2)="//"),0,IFERROR(IF(AND(G359&gt;0,G359=INT(G359),FIND("-",E359)&gt;1,NOT(EXACT(UPPER(LEFT(E359,1)),LOWER(LEFT(E359,1)))),ISNUMBER(VALUE(MID(E359,FIND("-",E359)+1,10)))),1,0),0))</f>
        <v>0</v>
      </c>
      <c r="J359" s="0" t="str">
        <f aca="false">IF(I359=1,TRIM(LEFT(H359,MAX(0,LEN(H359)-LEN(D359)))),"")</f>
        <v/>
      </c>
      <c r="K359" s="0" t="str">
        <f aca="false">INDEX($P$2:$P$21,A359)</f>
        <v>Deck 6</v>
      </c>
      <c r="L359" s="0" t="n">
        <f aca="false">IF(AND(C359&lt;&gt;"",LEFT(C359,2)&lt;&gt;"//",I359=0),1,0)</f>
        <v>0</v>
      </c>
      <c r="M359" s="0" t="str">
        <f aca="false">IF(I359=1,MAX(M$1:M358)+1,"")</f>
        <v/>
      </c>
      <c r="N359" s="0" t="str">
        <f aca="false">IFERROR(MATCH(ROW()-1,$V$2:$V$1201,0),"")</f>
        <v/>
      </c>
      <c r="R359" s="0" t="str">
        <f aca="false">IF(E359="","",IFERROR(LEFT(E359,FIND("-",E359)-1),E359))</f>
        <v/>
      </c>
      <c r="S359" s="0" t="str">
        <f aca="false">IF(R359="","",IF(ISNUMBER(--MID(R359,1,1)),0,IF(ISNUMBER(--MID(R359,2,1)),1,IF(ISNUMBER(--MID(R359,3,1)),2,IF(ISNUMBER(--MID(R359,4,1)),3,MIN(LEN(R359),4))))))</f>
        <v/>
      </c>
      <c r="T359" s="0" t="str">
        <f aca="false">IF(E359="","",LEFT(R359,S359)&amp;REPT("0",4-S359)&amp;RIGHT("000"&amp;IFERROR(VALUE(MID(R359,S359+1,9)),0),3)&amp;RIGHT("0000"&amp;IFERROR(VALUE(MID(E359,FIND("-",E359)+1,9)),0),4))</f>
        <v/>
      </c>
      <c r="U359" s="0" t="str">
        <f aca="false">IF(I359=1,"K"&amp;RIGHT("00"&amp;A359,2)&amp;T359&amp;RIGHT("00000"&amp;ROW(),5),"")</f>
        <v/>
      </c>
      <c r="V359" s="0" t="str">
        <f aca="false">IF(U359="","",COUNTIFS($I$2:$I$1201,1,$U$2:$U$1201,"&lt;"&amp;U359)+1)</f>
        <v/>
      </c>
    </row>
    <row r="360" customFormat="false" ht="15" hidden="false" customHeight="false" outlineLevel="0" collapsed="false">
      <c r="A360" s="0" t="n">
        <v>6</v>
      </c>
      <c r="B360" s="0" t="n">
        <v>59</v>
      </c>
      <c r="C360" s="0" t="str">
        <f aca="false">TRIM(SUBSTITUTE(INDEX(LISTAS!$A$4:$T$63,B360,A360)&amp;"",CHAR(160)," "))</f>
        <v/>
      </c>
      <c r="D360" s="0" t="str">
        <f aca="false">IF(C360="","",TRIM(RIGHT(SUBSTITUTE(C360," ",REPT(" ",100)),100)))</f>
        <v/>
      </c>
      <c r="E360" s="0" t="str">
        <f aca="false">IF(D360="","",UPPER(SUBSTITUTE(SUBSTITUTE(D360,"(",""),")","")))</f>
        <v/>
      </c>
      <c r="F360" s="0" t="str">
        <f aca="false">IF(C360="","",LEFT(C360,FIND(" ",C360&amp;" ")-1))</f>
        <v/>
      </c>
      <c r="G360" s="0" t="n">
        <f aca="false">IFERROR(VALUE(SUBSTITUTE(LOWER(F360),"x","")),0)</f>
        <v>0</v>
      </c>
      <c r="H360" s="0" t="str">
        <f aca="false">IF(C360="","",TRIM(MID(C360,LEN(F360)+2,999)))</f>
        <v/>
      </c>
      <c r="I360" s="0" t="n">
        <f aca="false">IF(OR(C360="",LEFT(C360,2)="//"),0,IFERROR(IF(AND(G360&gt;0,G360=INT(G360),FIND("-",E360)&gt;1,NOT(EXACT(UPPER(LEFT(E360,1)),LOWER(LEFT(E360,1)))),ISNUMBER(VALUE(MID(E360,FIND("-",E360)+1,10)))),1,0),0))</f>
        <v>0</v>
      </c>
      <c r="J360" s="0" t="str">
        <f aca="false">IF(I360=1,TRIM(LEFT(H360,MAX(0,LEN(H360)-LEN(D360)))),"")</f>
        <v/>
      </c>
      <c r="K360" s="0" t="str">
        <f aca="false">INDEX($P$2:$P$21,A360)</f>
        <v>Deck 6</v>
      </c>
      <c r="L360" s="0" t="n">
        <f aca="false">IF(AND(C360&lt;&gt;"",LEFT(C360,2)&lt;&gt;"//",I360=0),1,0)</f>
        <v>0</v>
      </c>
      <c r="M360" s="0" t="str">
        <f aca="false">IF(I360=1,MAX(M$1:M359)+1,"")</f>
        <v/>
      </c>
      <c r="N360" s="0" t="str">
        <f aca="false">IFERROR(MATCH(ROW()-1,$V$2:$V$1201,0),"")</f>
        <v/>
      </c>
      <c r="R360" s="0" t="str">
        <f aca="false">IF(E360="","",IFERROR(LEFT(E360,FIND("-",E360)-1),E360))</f>
        <v/>
      </c>
      <c r="S360" s="0" t="str">
        <f aca="false">IF(R360="","",IF(ISNUMBER(--MID(R360,1,1)),0,IF(ISNUMBER(--MID(R360,2,1)),1,IF(ISNUMBER(--MID(R360,3,1)),2,IF(ISNUMBER(--MID(R360,4,1)),3,MIN(LEN(R360),4))))))</f>
        <v/>
      </c>
      <c r="T360" s="0" t="str">
        <f aca="false">IF(E360="","",LEFT(R360,S360)&amp;REPT("0",4-S360)&amp;RIGHT("000"&amp;IFERROR(VALUE(MID(R360,S360+1,9)),0),3)&amp;RIGHT("0000"&amp;IFERROR(VALUE(MID(E360,FIND("-",E360)+1,9)),0),4))</f>
        <v/>
      </c>
      <c r="U360" s="0" t="str">
        <f aca="false">IF(I360=1,"K"&amp;RIGHT("00"&amp;A360,2)&amp;T360&amp;RIGHT("00000"&amp;ROW(),5),"")</f>
        <v/>
      </c>
      <c r="V360" s="0" t="str">
        <f aca="false">IF(U360="","",COUNTIFS($I$2:$I$1201,1,$U$2:$U$1201,"&lt;"&amp;U360)+1)</f>
        <v/>
      </c>
    </row>
    <row r="361" customFormat="false" ht="15" hidden="false" customHeight="false" outlineLevel="0" collapsed="false">
      <c r="A361" s="0" t="n">
        <v>6</v>
      </c>
      <c r="B361" s="0" t="n">
        <v>60</v>
      </c>
      <c r="C361" s="0" t="str">
        <f aca="false">TRIM(SUBSTITUTE(INDEX(LISTAS!$A$4:$T$63,B361,A361)&amp;"",CHAR(160)," "))</f>
        <v/>
      </c>
      <c r="D361" s="0" t="str">
        <f aca="false">IF(C361="","",TRIM(RIGHT(SUBSTITUTE(C361," ",REPT(" ",100)),100)))</f>
        <v/>
      </c>
      <c r="E361" s="0" t="str">
        <f aca="false">IF(D361="","",UPPER(SUBSTITUTE(SUBSTITUTE(D361,"(",""),")","")))</f>
        <v/>
      </c>
      <c r="F361" s="0" t="str">
        <f aca="false">IF(C361="","",LEFT(C361,FIND(" ",C361&amp;" ")-1))</f>
        <v/>
      </c>
      <c r="G361" s="0" t="n">
        <f aca="false">IFERROR(VALUE(SUBSTITUTE(LOWER(F361),"x","")),0)</f>
        <v>0</v>
      </c>
      <c r="H361" s="0" t="str">
        <f aca="false">IF(C361="","",TRIM(MID(C361,LEN(F361)+2,999)))</f>
        <v/>
      </c>
      <c r="I361" s="0" t="n">
        <f aca="false">IF(OR(C361="",LEFT(C361,2)="//"),0,IFERROR(IF(AND(G361&gt;0,G361=INT(G361),FIND("-",E361)&gt;1,NOT(EXACT(UPPER(LEFT(E361,1)),LOWER(LEFT(E361,1)))),ISNUMBER(VALUE(MID(E361,FIND("-",E361)+1,10)))),1,0),0))</f>
        <v>0</v>
      </c>
      <c r="J361" s="0" t="str">
        <f aca="false">IF(I361=1,TRIM(LEFT(H361,MAX(0,LEN(H361)-LEN(D361)))),"")</f>
        <v/>
      </c>
      <c r="K361" s="0" t="str">
        <f aca="false">INDEX($P$2:$P$21,A361)</f>
        <v>Deck 6</v>
      </c>
      <c r="L361" s="0" t="n">
        <f aca="false">IF(AND(C361&lt;&gt;"",LEFT(C361,2)&lt;&gt;"//",I361=0),1,0)</f>
        <v>0</v>
      </c>
      <c r="M361" s="0" t="str">
        <f aca="false">IF(I361=1,MAX(M$1:M360)+1,"")</f>
        <v/>
      </c>
      <c r="N361" s="0" t="str">
        <f aca="false">IFERROR(MATCH(ROW()-1,$V$2:$V$1201,0),"")</f>
        <v/>
      </c>
      <c r="R361" s="0" t="str">
        <f aca="false">IF(E361="","",IFERROR(LEFT(E361,FIND("-",E361)-1),E361))</f>
        <v/>
      </c>
      <c r="S361" s="0" t="str">
        <f aca="false">IF(R361="","",IF(ISNUMBER(--MID(R361,1,1)),0,IF(ISNUMBER(--MID(R361,2,1)),1,IF(ISNUMBER(--MID(R361,3,1)),2,IF(ISNUMBER(--MID(R361,4,1)),3,MIN(LEN(R361),4))))))</f>
        <v/>
      </c>
      <c r="T361" s="0" t="str">
        <f aca="false">IF(E361="","",LEFT(R361,S361)&amp;REPT("0",4-S361)&amp;RIGHT("000"&amp;IFERROR(VALUE(MID(R361,S361+1,9)),0),3)&amp;RIGHT("0000"&amp;IFERROR(VALUE(MID(E361,FIND("-",E361)+1,9)),0),4))</f>
        <v/>
      </c>
      <c r="U361" s="0" t="str">
        <f aca="false">IF(I361=1,"K"&amp;RIGHT("00"&amp;A361,2)&amp;T361&amp;RIGHT("00000"&amp;ROW(),5),"")</f>
        <v/>
      </c>
      <c r="V361" s="0" t="str">
        <f aca="false">IF(U361="","",COUNTIFS($I$2:$I$1201,1,$U$2:$U$1201,"&lt;"&amp;U361)+1)</f>
        <v/>
      </c>
    </row>
    <row r="362" customFormat="false" ht="15" hidden="false" customHeight="false" outlineLevel="0" collapsed="false">
      <c r="A362" s="0" t="n">
        <v>7</v>
      </c>
      <c r="B362" s="0" t="n">
        <v>1</v>
      </c>
      <c r="C362" s="0" t="str">
        <f aca="false">TRIM(SUBSTITUTE(INDEX(LISTAS!$A$4:$T$63,B362,A362)&amp;"",CHAR(160)," "))</f>
        <v/>
      </c>
      <c r="D362" s="0" t="str">
        <f aca="false">IF(C362="","",TRIM(RIGHT(SUBSTITUTE(C362," ",REPT(" ",100)),100)))</f>
        <v/>
      </c>
      <c r="E362" s="0" t="str">
        <f aca="false">IF(D362="","",UPPER(SUBSTITUTE(SUBSTITUTE(D362,"(",""),")","")))</f>
        <v/>
      </c>
      <c r="F362" s="0" t="str">
        <f aca="false">IF(C362="","",LEFT(C362,FIND(" ",C362&amp;" ")-1))</f>
        <v/>
      </c>
      <c r="G362" s="0" t="n">
        <f aca="false">IFERROR(VALUE(SUBSTITUTE(LOWER(F362),"x","")),0)</f>
        <v>0</v>
      </c>
      <c r="H362" s="0" t="str">
        <f aca="false">IF(C362="","",TRIM(MID(C362,LEN(F362)+2,999)))</f>
        <v/>
      </c>
      <c r="I362" s="0" t="n">
        <f aca="false">IF(OR(C362="",LEFT(C362,2)="//"),0,IFERROR(IF(AND(G362&gt;0,G362=INT(G362),FIND("-",E362)&gt;1,NOT(EXACT(UPPER(LEFT(E362,1)),LOWER(LEFT(E362,1)))),ISNUMBER(VALUE(MID(E362,FIND("-",E362)+1,10)))),1,0),0))</f>
        <v>0</v>
      </c>
      <c r="J362" s="0" t="str">
        <f aca="false">IF(I362=1,TRIM(LEFT(H362,MAX(0,LEN(H362)-LEN(D362)))),"")</f>
        <v/>
      </c>
      <c r="K362" s="0" t="str">
        <f aca="false">INDEX($P$2:$P$21,A362)</f>
        <v>Deck 7</v>
      </c>
      <c r="L362" s="0" t="n">
        <f aca="false">IF(AND(C362&lt;&gt;"",LEFT(C362,2)&lt;&gt;"//",I362=0),1,0)</f>
        <v>0</v>
      </c>
      <c r="M362" s="0" t="str">
        <f aca="false">IF(I362=1,MAX(M$1:M361)+1,"")</f>
        <v/>
      </c>
      <c r="N362" s="0" t="str">
        <f aca="false">IFERROR(MATCH(ROW()-1,$V$2:$V$1201,0),"")</f>
        <v/>
      </c>
      <c r="R362" s="0" t="str">
        <f aca="false">IF(E362="","",IFERROR(LEFT(E362,FIND("-",E362)-1),E362))</f>
        <v/>
      </c>
      <c r="S362" s="0" t="str">
        <f aca="false">IF(R362="","",IF(ISNUMBER(--MID(R362,1,1)),0,IF(ISNUMBER(--MID(R362,2,1)),1,IF(ISNUMBER(--MID(R362,3,1)),2,IF(ISNUMBER(--MID(R362,4,1)),3,MIN(LEN(R362),4))))))</f>
        <v/>
      </c>
      <c r="T362" s="0" t="str">
        <f aca="false">IF(E362="","",LEFT(R362,S362)&amp;REPT("0",4-S362)&amp;RIGHT("000"&amp;IFERROR(VALUE(MID(R362,S362+1,9)),0),3)&amp;RIGHT("0000"&amp;IFERROR(VALUE(MID(E362,FIND("-",E362)+1,9)),0),4))</f>
        <v/>
      </c>
      <c r="U362" s="0" t="str">
        <f aca="false">IF(I362=1,"K"&amp;RIGHT("00"&amp;A362,2)&amp;T362&amp;RIGHT("00000"&amp;ROW(),5),"")</f>
        <v/>
      </c>
      <c r="V362" s="0" t="str">
        <f aca="false">IF(U362="","",COUNTIFS($I$2:$I$1201,1,$U$2:$U$1201,"&lt;"&amp;U362)+1)</f>
        <v/>
      </c>
    </row>
    <row r="363" customFormat="false" ht="15" hidden="false" customHeight="false" outlineLevel="0" collapsed="false">
      <c r="A363" s="0" t="n">
        <v>7</v>
      </c>
      <c r="B363" s="0" t="n">
        <v>2</v>
      </c>
      <c r="C363" s="0" t="str">
        <f aca="false">TRIM(SUBSTITUTE(INDEX(LISTAS!$A$4:$T$63,B363,A363)&amp;"",CHAR(160)," "))</f>
        <v/>
      </c>
      <c r="D363" s="0" t="str">
        <f aca="false">IF(C363="","",TRIM(RIGHT(SUBSTITUTE(C363," ",REPT(" ",100)),100)))</f>
        <v/>
      </c>
      <c r="E363" s="0" t="str">
        <f aca="false">IF(D363="","",UPPER(SUBSTITUTE(SUBSTITUTE(D363,"(",""),")","")))</f>
        <v/>
      </c>
      <c r="F363" s="0" t="str">
        <f aca="false">IF(C363="","",LEFT(C363,FIND(" ",C363&amp;" ")-1))</f>
        <v/>
      </c>
      <c r="G363" s="0" t="n">
        <f aca="false">IFERROR(VALUE(SUBSTITUTE(LOWER(F363),"x","")),0)</f>
        <v>0</v>
      </c>
      <c r="H363" s="0" t="str">
        <f aca="false">IF(C363="","",TRIM(MID(C363,LEN(F363)+2,999)))</f>
        <v/>
      </c>
      <c r="I363" s="0" t="n">
        <f aca="false">IF(OR(C363="",LEFT(C363,2)="//"),0,IFERROR(IF(AND(G363&gt;0,G363=INT(G363),FIND("-",E363)&gt;1,NOT(EXACT(UPPER(LEFT(E363,1)),LOWER(LEFT(E363,1)))),ISNUMBER(VALUE(MID(E363,FIND("-",E363)+1,10)))),1,0),0))</f>
        <v>0</v>
      </c>
      <c r="J363" s="0" t="str">
        <f aca="false">IF(I363=1,TRIM(LEFT(H363,MAX(0,LEN(H363)-LEN(D363)))),"")</f>
        <v/>
      </c>
      <c r="K363" s="0" t="str">
        <f aca="false">INDEX($P$2:$P$21,A363)</f>
        <v>Deck 7</v>
      </c>
      <c r="L363" s="0" t="n">
        <f aca="false">IF(AND(C363&lt;&gt;"",LEFT(C363,2)&lt;&gt;"//",I363=0),1,0)</f>
        <v>0</v>
      </c>
      <c r="M363" s="0" t="str">
        <f aca="false">IF(I363=1,MAX(M$1:M362)+1,"")</f>
        <v/>
      </c>
      <c r="N363" s="0" t="str">
        <f aca="false">IFERROR(MATCH(ROW()-1,$V$2:$V$1201,0),"")</f>
        <v/>
      </c>
      <c r="R363" s="0" t="str">
        <f aca="false">IF(E363="","",IFERROR(LEFT(E363,FIND("-",E363)-1),E363))</f>
        <v/>
      </c>
      <c r="S363" s="0" t="str">
        <f aca="false">IF(R363="","",IF(ISNUMBER(--MID(R363,1,1)),0,IF(ISNUMBER(--MID(R363,2,1)),1,IF(ISNUMBER(--MID(R363,3,1)),2,IF(ISNUMBER(--MID(R363,4,1)),3,MIN(LEN(R363),4))))))</f>
        <v/>
      </c>
      <c r="T363" s="0" t="str">
        <f aca="false">IF(E363="","",LEFT(R363,S363)&amp;REPT("0",4-S363)&amp;RIGHT("000"&amp;IFERROR(VALUE(MID(R363,S363+1,9)),0),3)&amp;RIGHT("0000"&amp;IFERROR(VALUE(MID(E363,FIND("-",E363)+1,9)),0),4))</f>
        <v/>
      </c>
      <c r="U363" s="0" t="str">
        <f aca="false">IF(I363=1,"K"&amp;RIGHT("00"&amp;A363,2)&amp;T363&amp;RIGHT("00000"&amp;ROW(),5),"")</f>
        <v/>
      </c>
      <c r="V363" s="0" t="str">
        <f aca="false">IF(U363="","",COUNTIFS($I$2:$I$1201,1,$U$2:$U$1201,"&lt;"&amp;U363)+1)</f>
        <v/>
      </c>
    </row>
    <row r="364" customFormat="false" ht="15" hidden="false" customHeight="false" outlineLevel="0" collapsed="false">
      <c r="A364" s="0" t="n">
        <v>7</v>
      </c>
      <c r="B364" s="0" t="n">
        <v>3</v>
      </c>
      <c r="C364" s="0" t="str">
        <f aca="false">TRIM(SUBSTITUTE(INDEX(LISTAS!$A$4:$T$63,B364,A364)&amp;"",CHAR(160)," "))</f>
        <v/>
      </c>
      <c r="D364" s="0" t="str">
        <f aca="false">IF(C364="","",TRIM(RIGHT(SUBSTITUTE(C364," ",REPT(" ",100)),100)))</f>
        <v/>
      </c>
      <c r="E364" s="0" t="str">
        <f aca="false">IF(D364="","",UPPER(SUBSTITUTE(SUBSTITUTE(D364,"(",""),")","")))</f>
        <v/>
      </c>
      <c r="F364" s="0" t="str">
        <f aca="false">IF(C364="","",LEFT(C364,FIND(" ",C364&amp;" ")-1))</f>
        <v/>
      </c>
      <c r="G364" s="0" t="n">
        <f aca="false">IFERROR(VALUE(SUBSTITUTE(LOWER(F364),"x","")),0)</f>
        <v>0</v>
      </c>
      <c r="H364" s="0" t="str">
        <f aca="false">IF(C364="","",TRIM(MID(C364,LEN(F364)+2,999)))</f>
        <v/>
      </c>
      <c r="I364" s="0" t="n">
        <f aca="false">IF(OR(C364="",LEFT(C364,2)="//"),0,IFERROR(IF(AND(G364&gt;0,G364=INT(G364),FIND("-",E364)&gt;1,NOT(EXACT(UPPER(LEFT(E364,1)),LOWER(LEFT(E364,1)))),ISNUMBER(VALUE(MID(E364,FIND("-",E364)+1,10)))),1,0),0))</f>
        <v>0</v>
      </c>
      <c r="J364" s="0" t="str">
        <f aca="false">IF(I364=1,TRIM(LEFT(H364,MAX(0,LEN(H364)-LEN(D364)))),"")</f>
        <v/>
      </c>
      <c r="K364" s="0" t="str">
        <f aca="false">INDEX($P$2:$P$21,A364)</f>
        <v>Deck 7</v>
      </c>
      <c r="L364" s="0" t="n">
        <f aca="false">IF(AND(C364&lt;&gt;"",LEFT(C364,2)&lt;&gt;"//",I364=0),1,0)</f>
        <v>0</v>
      </c>
      <c r="M364" s="0" t="str">
        <f aca="false">IF(I364=1,MAX(M$1:M363)+1,"")</f>
        <v/>
      </c>
      <c r="N364" s="0" t="str">
        <f aca="false">IFERROR(MATCH(ROW()-1,$V$2:$V$1201,0),"")</f>
        <v/>
      </c>
      <c r="R364" s="0" t="str">
        <f aca="false">IF(E364="","",IFERROR(LEFT(E364,FIND("-",E364)-1),E364))</f>
        <v/>
      </c>
      <c r="S364" s="0" t="str">
        <f aca="false">IF(R364="","",IF(ISNUMBER(--MID(R364,1,1)),0,IF(ISNUMBER(--MID(R364,2,1)),1,IF(ISNUMBER(--MID(R364,3,1)),2,IF(ISNUMBER(--MID(R364,4,1)),3,MIN(LEN(R364),4))))))</f>
        <v/>
      </c>
      <c r="T364" s="0" t="str">
        <f aca="false">IF(E364="","",LEFT(R364,S364)&amp;REPT("0",4-S364)&amp;RIGHT("000"&amp;IFERROR(VALUE(MID(R364,S364+1,9)),0),3)&amp;RIGHT("0000"&amp;IFERROR(VALUE(MID(E364,FIND("-",E364)+1,9)),0),4))</f>
        <v/>
      </c>
      <c r="U364" s="0" t="str">
        <f aca="false">IF(I364=1,"K"&amp;RIGHT("00"&amp;A364,2)&amp;T364&amp;RIGHT("00000"&amp;ROW(),5),"")</f>
        <v/>
      </c>
      <c r="V364" s="0" t="str">
        <f aca="false">IF(U364="","",COUNTIFS($I$2:$I$1201,1,$U$2:$U$1201,"&lt;"&amp;U364)+1)</f>
        <v/>
      </c>
    </row>
    <row r="365" customFormat="false" ht="15" hidden="false" customHeight="false" outlineLevel="0" collapsed="false">
      <c r="A365" s="0" t="n">
        <v>7</v>
      </c>
      <c r="B365" s="0" t="n">
        <v>4</v>
      </c>
      <c r="C365" s="0" t="str">
        <f aca="false">TRIM(SUBSTITUTE(INDEX(LISTAS!$A$4:$T$63,B365,A365)&amp;"",CHAR(160)," "))</f>
        <v/>
      </c>
      <c r="D365" s="0" t="str">
        <f aca="false">IF(C365="","",TRIM(RIGHT(SUBSTITUTE(C365," ",REPT(" ",100)),100)))</f>
        <v/>
      </c>
      <c r="E365" s="0" t="str">
        <f aca="false">IF(D365="","",UPPER(SUBSTITUTE(SUBSTITUTE(D365,"(",""),")","")))</f>
        <v/>
      </c>
      <c r="F365" s="0" t="str">
        <f aca="false">IF(C365="","",LEFT(C365,FIND(" ",C365&amp;" ")-1))</f>
        <v/>
      </c>
      <c r="G365" s="0" t="n">
        <f aca="false">IFERROR(VALUE(SUBSTITUTE(LOWER(F365),"x","")),0)</f>
        <v>0</v>
      </c>
      <c r="H365" s="0" t="str">
        <f aca="false">IF(C365="","",TRIM(MID(C365,LEN(F365)+2,999)))</f>
        <v/>
      </c>
      <c r="I365" s="0" t="n">
        <f aca="false">IF(OR(C365="",LEFT(C365,2)="//"),0,IFERROR(IF(AND(G365&gt;0,G365=INT(G365),FIND("-",E365)&gt;1,NOT(EXACT(UPPER(LEFT(E365,1)),LOWER(LEFT(E365,1)))),ISNUMBER(VALUE(MID(E365,FIND("-",E365)+1,10)))),1,0),0))</f>
        <v>0</v>
      </c>
      <c r="J365" s="0" t="str">
        <f aca="false">IF(I365=1,TRIM(LEFT(H365,MAX(0,LEN(H365)-LEN(D365)))),"")</f>
        <v/>
      </c>
      <c r="K365" s="0" t="str">
        <f aca="false">INDEX($P$2:$P$21,A365)</f>
        <v>Deck 7</v>
      </c>
      <c r="L365" s="0" t="n">
        <f aca="false">IF(AND(C365&lt;&gt;"",LEFT(C365,2)&lt;&gt;"//",I365=0),1,0)</f>
        <v>0</v>
      </c>
      <c r="M365" s="0" t="str">
        <f aca="false">IF(I365=1,MAX(M$1:M364)+1,"")</f>
        <v/>
      </c>
      <c r="N365" s="0" t="str">
        <f aca="false">IFERROR(MATCH(ROW()-1,$V$2:$V$1201,0),"")</f>
        <v/>
      </c>
      <c r="R365" s="0" t="str">
        <f aca="false">IF(E365="","",IFERROR(LEFT(E365,FIND("-",E365)-1),E365))</f>
        <v/>
      </c>
      <c r="S365" s="0" t="str">
        <f aca="false">IF(R365="","",IF(ISNUMBER(--MID(R365,1,1)),0,IF(ISNUMBER(--MID(R365,2,1)),1,IF(ISNUMBER(--MID(R365,3,1)),2,IF(ISNUMBER(--MID(R365,4,1)),3,MIN(LEN(R365),4))))))</f>
        <v/>
      </c>
      <c r="T365" s="0" t="str">
        <f aca="false">IF(E365="","",LEFT(R365,S365)&amp;REPT("0",4-S365)&amp;RIGHT("000"&amp;IFERROR(VALUE(MID(R365,S365+1,9)),0),3)&amp;RIGHT("0000"&amp;IFERROR(VALUE(MID(E365,FIND("-",E365)+1,9)),0),4))</f>
        <v/>
      </c>
      <c r="U365" s="0" t="str">
        <f aca="false">IF(I365=1,"K"&amp;RIGHT("00"&amp;A365,2)&amp;T365&amp;RIGHT("00000"&amp;ROW(),5),"")</f>
        <v/>
      </c>
      <c r="V365" s="0" t="str">
        <f aca="false">IF(U365="","",COUNTIFS($I$2:$I$1201,1,$U$2:$U$1201,"&lt;"&amp;U365)+1)</f>
        <v/>
      </c>
    </row>
    <row r="366" customFormat="false" ht="15" hidden="false" customHeight="false" outlineLevel="0" collapsed="false">
      <c r="A366" s="0" t="n">
        <v>7</v>
      </c>
      <c r="B366" s="0" t="n">
        <v>5</v>
      </c>
      <c r="C366" s="0" t="str">
        <f aca="false">TRIM(SUBSTITUTE(INDEX(LISTAS!$A$4:$T$63,B366,A366)&amp;"",CHAR(160)," "))</f>
        <v/>
      </c>
      <c r="D366" s="0" t="str">
        <f aca="false">IF(C366="","",TRIM(RIGHT(SUBSTITUTE(C366," ",REPT(" ",100)),100)))</f>
        <v/>
      </c>
      <c r="E366" s="0" t="str">
        <f aca="false">IF(D366="","",UPPER(SUBSTITUTE(SUBSTITUTE(D366,"(",""),")","")))</f>
        <v/>
      </c>
      <c r="F366" s="0" t="str">
        <f aca="false">IF(C366="","",LEFT(C366,FIND(" ",C366&amp;" ")-1))</f>
        <v/>
      </c>
      <c r="G366" s="0" t="n">
        <f aca="false">IFERROR(VALUE(SUBSTITUTE(LOWER(F366),"x","")),0)</f>
        <v>0</v>
      </c>
      <c r="H366" s="0" t="str">
        <f aca="false">IF(C366="","",TRIM(MID(C366,LEN(F366)+2,999)))</f>
        <v/>
      </c>
      <c r="I366" s="0" t="n">
        <f aca="false">IF(OR(C366="",LEFT(C366,2)="//"),0,IFERROR(IF(AND(G366&gt;0,G366=INT(G366),FIND("-",E366)&gt;1,NOT(EXACT(UPPER(LEFT(E366,1)),LOWER(LEFT(E366,1)))),ISNUMBER(VALUE(MID(E366,FIND("-",E366)+1,10)))),1,0),0))</f>
        <v>0</v>
      </c>
      <c r="J366" s="0" t="str">
        <f aca="false">IF(I366=1,TRIM(LEFT(H366,MAX(0,LEN(H366)-LEN(D366)))),"")</f>
        <v/>
      </c>
      <c r="K366" s="0" t="str">
        <f aca="false">INDEX($P$2:$P$21,A366)</f>
        <v>Deck 7</v>
      </c>
      <c r="L366" s="0" t="n">
        <f aca="false">IF(AND(C366&lt;&gt;"",LEFT(C366,2)&lt;&gt;"//",I366=0),1,0)</f>
        <v>0</v>
      </c>
      <c r="M366" s="0" t="str">
        <f aca="false">IF(I366=1,MAX(M$1:M365)+1,"")</f>
        <v/>
      </c>
      <c r="N366" s="0" t="str">
        <f aca="false">IFERROR(MATCH(ROW()-1,$V$2:$V$1201,0),"")</f>
        <v/>
      </c>
      <c r="R366" s="0" t="str">
        <f aca="false">IF(E366="","",IFERROR(LEFT(E366,FIND("-",E366)-1),E366))</f>
        <v/>
      </c>
      <c r="S366" s="0" t="str">
        <f aca="false">IF(R366="","",IF(ISNUMBER(--MID(R366,1,1)),0,IF(ISNUMBER(--MID(R366,2,1)),1,IF(ISNUMBER(--MID(R366,3,1)),2,IF(ISNUMBER(--MID(R366,4,1)),3,MIN(LEN(R366),4))))))</f>
        <v/>
      </c>
      <c r="T366" s="0" t="str">
        <f aca="false">IF(E366="","",LEFT(R366,S366)&amp;REPT("0",4-S366)&amp;RIGHT("000"&amp;IFERROR(VALUE(MID(R366,S366+1,9)),0),3)&amp;RIGHT("0000"&amp;IFERROR(VALUE(MID(E366,FIND("-",E366)+1,9)),0),4))</f>
        <v/>
      </c>
      <c r="U366" s="0" t="str">
        <f aca="false">IF(I366=1,"K"&amp;RIGHT("00"&amp;A366,2)&amp;T366&amp;RIGHT("00000"&amp;ROW(),5),"")</f>
        <v/>
      </c>
      <c r="V366" s="0" t="str">
        <f aca="false">IF(U366="","",COUNTIFS($I$2:$I$1201,1,$U$2:$U$1201,"&lt;"&amp;U366)+1)</f>
        <v/>
      </c>
    </row>
    <row r="367" customFormat="false" ht="15" hidden="false" customHeight="false" outlineLevel="0" collapsed="false">
      <c r="A367" s="0" t="n">
        <v>7</v>
      </c>
      <c r="B367" s="0" t="n">
        <v>6</v>
      </c>
      <c r="C367" s="0" t="str">
        <f aca="false">TRIM(SUBSTITUTE(INDEX(LISTAS!$A$4:$T$63,B367,A367)&amp;"",CHAR(160)," "))</f>
        <v/>
      </c>
      <c r="D367" s="0" t="str">
        <f aca="false">IF(C367="","",TRIM(RIGHT(SUBSTITUTE(C367," ",REPT(" ",100)),100)))</f>
        <v/>
      </c>
      <c r="E367" s="0" t="str">
        <f aca="false">IF(D367="","",UPPER(SUBSTITUTE(SUBSTITUTE(D367,"(",""),")","")))</f>
        <v/>
      </c>
      <c r="F367" s="0" t="str">
        <f aca="false">IF(C367="","",LEFT(C367,FIND(" ",C367&amp;" ")-1))</f>
        <v/>
      </c>
      <c r="G367" s="0" t="n">
        <f aca="false">IFERROR(VALUE(SUBSTITUTE(LOWER(F367),"x","")),0)</f>
        <v>0</v>
      </c>
      <c r="H367" s="0" t="str">
        <f aca="false">IF(C367="","",TRIM(MID(C367,LEN(F367)+2,999)))</f>
        <v/>
      </c>
      <c r="I367" s="0" t="n">
        <f aca="false">IF(OR(C367="",LEFT(C367,2)="//"),0,IFERROR(IF(AND(G367&gt;0,G367=INT(G367),FIND("-",E367)&gt;1,NOT(EXACT(UPPER(LEFT(E367,1)),LOWER(LEFT(E367,1)))),ISNUMBER(VALUE(MID(E367,FIND("-",E367)+1,10)))),1,0),0))</f>
        <v>0</v>
      </c>
      <c r="J367" s="0" t="str">
        <f aca="false">IF(I367=1,TRIM(LEFT(H367,MAX(0,LEN(H367)-LEN(D367)))),"")</f>
        <v/>
      </c>
      <c r="K367" s="0" t="str">
        <f aca="false">INDEX($P$2:$P$21,A367)</f>
        <v>Deck 7</v>
      </c>
      <c r="L367" s="0" t="n">
        <f aca="false">IF(AND(C367&lt;&gt;"",LEFT(C367,2)&lt;&gt;"//",I367=0),1,0)</f>
        <v>0</v>
      </c>
      <c r="M367" s="0" t="str">
        <f aca="false">IF(I367=1,MAX(M$1:M366)+1,"")</f>
        <v/>
      </c>
      <c r="N367" s="0" t="str">
        <f aca="false">IFERROR(MATCH(ROW()-1,$V$2:$V$1201,0),"")</f>
        <v/>
      </c>
      <c r="R367" s="0" t="str">
        <f aca="false">IF(E367="","",IFERROR(LEFT(E367,FIND("-",E367)-1),E367))</f>
        <v/>
      </c>
      <c r="S367" s="0" t="str">
        <f aca="false">IF(R367="","",IF(ISNUMBER(--MID(R367,1,1)),0,IF(ISNUMBER(--MID(R367,2,1)),1,IF(ISNUMBER(--MID(R367,3,1)),2,IF(ISNUMBER(--MID(R367,4,1)),3,MIN(LEN(R367),4))))))</f>
        <v/>
      </c>
      <c r="T367" s="0" t="str">
        <f aca="false">IF(E367="","",LEFT(R367,S367)&amp;REPT("0",4-S367)&amp;RIGHT("000"&amp;IFERROR(VALUE(MID(R367,S367+1,9)),0),3)&amp;RIGHT("0000"&amp;IFERROR(VALUE(MID(E367,FIND("-",E367)+1,9)),0),4))</f>
        <v/>
      </c>
      <c r="U367" s="0" t="str">
        <f aca="false">IF(I367=1,"K"&amp;RIGHT("00"&amp;A367,2)&amp;T367&amp;RIGHT("00000"&amp;ROW(),5),"")</f>
        <v/>
      </c>
      <c r="V367" s="0" t="str">
        <f aca="false">IF(U367="","",COUNTIFS($I$2:$I$1201,1,$U$2:$U$1201,"&lt;"&amp;U367)+1)</f>
        <v/>
      </c>
    </row>
    <row r="368" customFormat="false" ht="15" hidden="false" customHeight="false" outlineLevel="0" collapsed="false">
      <c r="A368" s="0" t="n">
        <v>7</v>
      </c>
      <c r="B368" s="0" t="n">
        <v>7</v>
      </c>
      <c r="C368" s="0" t="str">
        <f aca="false">TRIM(SUBSTITUTE(INDEX(LISTAS!$A$4:$T$63,B368,A368)&amp;"",CHAR(160)," "))</f>
        <v/>
      </c>
      <c r="D368" s="0" t="str">
        <f aca="false">IF(C368="","",TRIM(RIGHT(SUBSTITUTE(C368," ",REPT(" ",100)),100)))</f>
        <v/>
      </c>
      <c r="E368" s="0" t="str">
        <f aca="false">IF(D368="","",UPPER(SUBSTITUTE(SUBSTITUTE(D368,"(",""),")","")))</f>
        <v/>
      </c>
      <c r="F368" s="0" t="str">
        <f aca="false">IF(C368="","",LEFT(C368,FIND(" ",C368&amp;" ")-1))</f>
        <v/>
      </c>
      <c r="G368" s="0" t="n">
        <f aca="false">IFERROR(VALUE(SUBSTITUTE(LOWER(F368),"x","")),0)</f>
        <v>0</v>
      </c>
      <c r="H368" s="0" t="str">
        <f aca="false">IF(C368="","",TRIM(MID(C368,LEN(F368)+2,999)))</f>
        <v/>
      </c>
      <c r="I368" s="0" t="n">
        <f aca="false">IF(OR(C368="",LEFT(C368,2)="//"),0,IFERROR(IF(AND(G368&gt;0,G368=INT(G368),FIND("-",E368)&gt;1,NOT(EXACT(UPPER(LEFT(E368,1)),LOWER(LEFT(E368,1)))),ISNUMBER(VALUE(MID(E368,FIND("-",E368)+1,10)))),1,0),0))</f>
        <v>0</v>
      </c>
      <c r="J368" s="0" t="str">
        <f aca="false">IF(I368=1,TRIM(LEFT(H368,MAX(0,LEN(H368)-LEN(D368)))),"")</f>
        <v/>
      </c>
      <c r="K368" s="0" t="str">
        <f aca="false">INDEX($P$2:$P$21,A368)</f>
        <v>Deck 7</v>
      </c>
      <c r="L368" s="0" t="n">
        <f aca="false">IF(AND(C368&lt;&gt;"",LEFT(C368,2)&lt;&gt;"//",I368=0),1,0)</f>
        <v>0</v>
      </c>
      <c r="M368" s="0" t="str">
        <f aca="false">IF(I368=1,MAX(M$1:M367)+1,"")</f>
        <v/>
      </c>
      <c r="N368" s="0" t="str">
        <f aca="false">IFERROR(MATCH(ROW()-1,$V$2:$V$1201,0),"")</f>
        <v/>
      </c>
      <c r="R368" s="0" t="str">
        <f aca="false">IF(E368="","",IFERROR(LEFT(E368,FIND("-",E368)-1),E368))</f>
        <v/>
      </c>
      <c r="S368" s="0" t="str">
        <f aca="false">IF(R368="","",IF(ISNUMBER(--MID(R368,1,1)),0,IF(ISNUMBER(--MID(R368,2,1)),1,IF(ISNUMBER(--MID(R368,3,1)),2,IF(ISNUMBER(--MID(R368,4,1)),3,MIN(LEN(R368),4))))))</f>
        <v/>
      </c>
      <c r="T368" s="0" t="str">
        <f aca="false">IF(E368="","",LEFT(R368,S368)&amp;REPT("0",4-S368)&amp;RIGHT("000"&amp;IFERROR(VALUE(MID(R368,S368+1,9)),0),3)&amp;RIGHT("0000"&amp;IFERROR(VALUE(MID(E368,FIND("-",E368)+1,9)),0),4))</f>
        <v/>
      </c>
      <c r="U368" s="0" t="str">
        <f aca="false">IF(I368=1,"K"&amp;RIGHT("00"&amp;A368,2)&amp;T368&amp;RIGHT("00000"&amp;ROW(),5),"")</f>
        <v/>
      </c>
      <c r="V368" s="0" t="str">
        <f aca="false">IF(U368="","",COUNTIFS($I$2:$I$1201,1,$U$2:$U$1201,"&lt;"&amp;U368)+1)</f>
        <v/>
      </c>
    </row>
    <row r="369" customFormat="false" ht="15" hidden="false" customHeight="false" outlineLevel="0" collapsed="false">
      <c r="A369" s="0" t="n">
        <v>7</v>
      </c>
      <c r="B369" s="0" t="n">
        <v>8</v>
      </c>
      <c r="C369" s="0" t="str">
        <f aca="false">TRIM(SUBSTITUTE(INDEX(LISTAS!$A$4:$T$63,B369,A369)&amp;"",CHAR(160)," "))</f>
        <v/>
      </c>
      <c r="D369" s="0" t="str">
        <f aca="false">IF(C369="","",TRIM(RIGHT(SUBSTITUTE(C369," ",REPT(" ",100)),100)))</f>
        <v/>
      </c>
      <c r="E369" s="0" t="str">
        <f aca="false">IF(D369="","",UPPER(SUBSTITUTE(SUBSTITUTE(D369,"(",""),")","")))</f>
        <v/>
      </c>
      <c r="F369" s="0" t="str">
        <f aca="false">IF(C369="","",LEFT(C369,FIND(" ",C369&amp;" ")-1))</f>
        <v/>
      </c>
      <c r="G369" s="0" t="n">
        <f aca="false">IFERROR(VALUE(SUBSTITUTE(LOWER(F369),"x","")),0)</f>
        <v>0</v>
      </c>
      <c r="H369" s="0" t="str">
        <f aca="false">IF(C369="","",TRIM(MID(C369,LEN(F369)+2,999)))</f>
        <v/>
      </c>
      <c r="I369" s="0" t="n">
        <f aca="false">IF(OR(C369="",LEFT(C369,2)="//"),0,IFERROR(IF(AND(G369&gt;0,G369=INT(G369),FIND("-",E369)&gt;1,NOT(EXACT(UPPER(LEFT(E369,1)),LOWER(LEFT(E369,1)))),ISNUMBER(VALUE(MID(E369,FIND("-",E369)+1,10)))),1,0),0))</f>
        <v>0</v>
      </c>
      <c r="J369" s="0" t="str">
        <f aca="false">IF(I369=1,TRIM(LEFT(H369,MAX(0,LEN(H369)-LEN(D369)))),"")</f>
        <v/>
      </c>
      <c r="K369" s="0" t="str">
        <f aca="false">INDEX($P$2:$P$21,A369)</f>
        <v>Deck 7</v>
      </c>
      <c r="L369" s="0" t="n">
        <f aca="false">IF(AND(C369&lt;&gt;"",LEFT(C369,2)&lt;&gt;"//",I369=0),1,0)</f>
        <v>0</v>
      </c>
      <c r="M369" s="0" t="str">
        <f aca="false">IF(I369=1,MAX(M$1:M368)+1,"")</f>
        <v/>
      </c>
      <c r="N369" s="0" t="str">
        <f aca="false">IFERROR(MATCH(ROW()-1,$V$2:$V$1201,0),"")</f>
        <v/>
      </c>
      <c r="R369" s="0" t="str">
        <f aca="false">IF(E369="","",IFERROR(LEFT(E369,FIND("-",E369)-1),E369))</f>
        <v/>
      </c>
      <c r="S369" s="0" t="str">
        <f aca="false">IF(R369="","",IF(ISNUMBER(--MID(R369,1,1)),0,IF(ISNUMBER(--MID(R369,2,1)),1,IF(ISNUMBER(--MID(R369,3,1)),2,IF(ISNUMBER(--MID(R369,4,1)),3,MIN(LEN(R369),4))))))</f>
        <v/>
      </c>
      <c r="T369" s="0" t="str">
        <f aca="false">IF(E369="","",LEFT(R369,S369)&amp;REPT("0",4-S369)&amp;RIGHT("000"&amp;IFERROR(VALUE(MID(R369,S369+1,9)),0),3)&amp;RIGHT("0000"&amp;IFERROR(VALUE(MID(E369,FIND("-",E369)+1,9)),0),4))</f>
        <v/>
      </c>
      <c r="U369" s="0" t="str">
        <f aca="false">IF(I369=1,"K"&amp;RIGHT("00"&amp;A369,2)&amp;T369&amp;RIGHT("00000"&amp;ROW(),5),"")</f>
        <v/>
      </c>
      <c r="V369" s="0" t="str">
        <f aca="false">IF(U369="","",COUNTIFS($I$2:$I$1201,1,$U$2:$U$1201,"&lt;"&amp;U369)+1)</f>
        <v/>
      </c>
    </row>
    <row r="370" customFormat="false" ht="15" hidden="false" customHeight="false" outlineLevel="0" collapsed="false">
      <c r="A370" s="0" t="n">
        <v>7</v>
      </c>
      <c r="B370" s="0" t="n">
        <v>9</v>
      </c>
      <c r="C370" s="0" t="str">
        <f aca="false">TRIM(SUBSTITUTE(INDEX(LISTAS!$A$4:$T$63,B370,A370)&amp;"",CHAR(160)," "))</f>
        <v/>
      </c>
      <c r="D370" s="0" t="str">
        <f aca="false">IF(C370="","",TRIM(RIGHT(SUBSTITUTE(C370," ",REPT(" ",100)),100)))</f>
        <v/>
      </c>
      <c r="E370" s="0" t="str">
        <f aca="false">IF(D370="","",UPPER(SUBSTITUTE(SUBSTITUTE(D370,"(",""),")","")))</f>
        <v/>
      </c>
      <c r="F370" s="0" t="str">
        <f aca="false">IF(C370="","",LEFT(C370,FIND(" ",C370&amp;" ")-1))</f>
        <v/>
      </c>
      <c r="G370" s="0" t="n">
        <f aca="false">IFERROR(VALUE(SUBSTITUTE(LOWER(F370),"x","")),0)</f>
        <v>0</v>
      </c>
      <c r="H370" s="0" t="str">
        <f aca="false">IF(C370="","",TRIM(MID(C370,LEN(F370)+2,999)))</f>
        <v/>
      </c>
      <c r="I370" s="0" t="n">
        <f aca="false">IF(OR(C370="",LEFT(C370,2)="//"),0,IFERROR(IF(AND(G370&gt;0,G370=INT(G370),FIND("-",E370)&gt;1,NOT(EXACT(UPPER(LEFT(E370,1)),LOWER(LEFT(E370,1)))),ISNUMBER(VALUE(MID(E370,FIND("-",E370)+1,10)))),1,0),0))</f>
        <v>0</v>
      </c>
      <c r="J370" s="0" t="str">
        <f aca="false">IF(I370=1,TRIM(LEFT(H370,MAX(0,LEN(H370)-LEN(D370)))),"")</f>
        <v/>
      </c>
      <c r="K370" s="0" t="str">
        <f aca="false">INDEX($P$2:$P$21,A370)</f>
        <v>Deck 7</v>
      </c>
      <c r="L370" s="0" t="n">
        <f aca="false">IF(AND(C370&lt;&gt;"",LEFT(C370,2)&lt;&gt;"//",I370=0),1,0)</f>
        <v>0</v>
      </c>
      <c r="M370" s="0" t="str">
        <f aca="false">IF(I370=1,MAX(M$1:M369)+1,"")</f>
        <v/>
      </c>
      <c r="N370" s="0" t="str">
        <f aca="false">IFERROR(MATCH(ROW()-1,$V$2:$V$1201,0),"")</f>
        <v/>
      </c>
      <c r="R370" s="0" t="str">
        <f aca="false">IF(E370="","",IFERROR(LEFT(E370,FIND("-",E370)-1),E370))</f>
        <v/>
      </c>
      <c r="S370" s="0" t="str">
        <f aca="false">IF(R370="","",IF(ISNUMBER(--MID(R370,1,1)),0,IF(ISNUMBER(--MID(R370,2,1)),1,IF(ISNUMBER(--MID(R370,3,1)),2,IF(ISNUMBER(--MID(R370,4,1)),3,MIN(LEN(R370),4))))))</f>
        <v/>
      </c>
      <c r="T370" s="0" t="str">
        <f aca="false">IF(E370="","",LEFT(R370,S370)&amp;REPT("0",4-S370)&amp;RIGHT("000"&amp;IFERROR(VALUE(MID(R370,S370+1,9)),0),3)&amp;RIGHT("0000"&amp;IFERROR(VALUE(MID(E370,FIND("-",E370)+1,9)),0),4))</f>
        <v/>
      </c>
      <c r="U370" s="0" t="str">
        <f aca="false">IF(I370=1,"K"&amp;RIGHT("00"&amp;A370,2)&amp;T370&amp;RIGHT("00000"&amp;ROW(),5),"")</f>
        <v/>
      </c>
      <c r="V370" s="0" t="str">
        <f aca="false">IF(U370="","",COUNTIFS($I$2:$I$1201,1,$U$2:$U$1201,"&lt;"&amp;U370)+1)</f>
        <v/>
      </c>
    </row>
    <row r="371" customFormat="false" ht="15" hidden="false" customHeight="false" outlineLevel="0" collapsed="false">
      <c r="A371" s="0" t="n">
        <v>7</v>
      </c>
      <c r="B371" s="0" t="n">
        <v>10</v>
      </c>
      <c r="C371" s="0" t="str">
        <f aca="false">TRIM(SUBSTITUTE(INDEX(LISTAS!$A$4:$T$63,B371,A371)&amp;"",CHAR(160)," "))</f>
        <v/>
      </c>
      <c r="D371" s="0" t="str">
        <f aca="false">IF(C371="","",TRIM(RIGHT(SUBSTITUTE(C371," ",REPT(" ",100)),100)))</f>
        <v/>
      </c>
      <c r="E371" s="0" t="str">
        <f aca="false">IF(D371="","",UPPER(SUBSTITUTE(SUBSTITUTE(D371,"(",""),")","")))</f>
        <v/>
      </c>
      <c r="F371" s="0" t="str">
        <f aca="false">IF(C371="","",LEFT(C371,FIND(" ",C371&amp;" ")-1))</f>
        <v/>
      </c>
      <c r="G371" s="0" t="n">
        <f aca="false">IFERROR(VALUE(SUBSTITUTE(LOWER(F371),"x","")),0)</f>
        <v>0</v>
      </c>
      <c r="H371" s="0" t="str">
        <f aca="false">IF(C371="","",TRIM(MID(C371,LEN(F371)+2,999)))</f>
        <v/>
      </c>
      <c r="I371" s="0" t="n">
        <f aca="false">IF(OR(C371="",LEFT(C371,2)="//"),0,IFERROR(IF(AND(G371&gt;0,G371=INT(G371),FIND("-",E371)&gt;1,NOT(EXACT(UPPER(LEFT(E371,1)),LOWER(LEFT(E371,1)))),ISNUMBER(VALUE(MID(E371,FIND("-",E371)+1,10)))),1,0),0))</f>
        <v>0</v>
      </c>
      <c r="J371" s="0" t="str">
        <f aca="false">IF(I371=1,TRIM(LEFT(H371,MAX(0,LEN(H371)-LEN(D371)))),"")</f>
        <v/>
      </c>
      <c r="K371" s="0" t="str">
        <f aca="false">INDEX($P$2:$P$21,A371)</f>
        <v>Deck 7</v>
      </c>
      <c r="L371" s="0" t="n">
        <f aca="false">IF(AND(C371&lt;&gt;"",LEFT(C371,2)&lt;&gt;"//",I371=0),1,0)</f>
        <v>0</v>
      </c>
      <c r="M371" s="0" t="str">
        <f aca="false">IF(I371=1,MAX(M$1:M370)+1,"")</f>
        <v/>
      </c>
      <c r="N371" s="0" t="str">
        <f aca="false">IFERROR(MATCH(ROW()-1,$V$2:$V$1201,0),"")</f>
        <v/>
      </c>
      <c r="R371" s="0" t="str">
        <f aca="false">IF(E371="","",IFERROR(LEFT(E371,FIND("-",E371)-1),E371))</f>
        <v/>
      </c>
      <c r="S371" s="0" t="str">
        <f aca="false">IF(R371="","",IF(ISNUMBER(--MID(R371,1,1)),0,IF(ISNUMBER(--MID(R371,2,1)),1,IF(ISNUMBER(--MID(R371,3,1)),2,IF(ISNUMBER(--MID(R371,4,1)),3,MIN(LEN(R371),4))))))</f>
        <v/>
      </c>
      <c r="T371" s="0" t="str">
        <f aca="false">IF(E371="","",LEFT(R371,S371)&amp;REPT("0",4-S371)&amp;RIGHT("000"&amp;IFERROR(VALUE(MID(R371,S371+1,9)),0),3)&amp;RIGHT("0000"&amp;IFERROR(VALUE(MID(E371,FIND("-",E371)+1,9)),0),4))</f>
        <v/>
      </c>
      <c r="U371" s="0" t="str">
        <f aca="false">IF(I371=1,"K"&amp;RIGHT("00"&amp;A371,2)&amp;T371&amp;RIGHT("00000"&amp;ROW(),5),"")</f>
        <v/>
      </c>
      <c r="V371" s="0" t="str">
        <f aca="false">IF(U371="","",COUNTIFS($I$2:$I$1201,1,$U$2:$U$1201,"&lt;"&amp;U371)+1)</f>
        <v/>
      </c>
    </row>
    <row r="372" customFormat="false" ht="15" hidden="false" customHeight="false" outlineLevel="0" collapsed="false">
      <c r="A372" s="0" t="n">
        <v>7</v>
      </c>
      <c r="B372" s="0" t="n">
        <v>11</v>
      </c>
      <c r="C372" s="0" t="str">
        <f aca="false">TRIM(SUBSTITUTE(INDEX(LISTAS!$A$4:$T$63,B372,A372)&amp;"",CHAR(160)," "))</f>
        <v/>
      </c>
      <c r="D372" s="0" t="str">
        <f aca="false">IF(C372="","",TRIM(RIGHT(SUBSTITUTE(C372," ",REPT(" ",100)),100)))</f>
        <v/>
      </c>
      <c r="E372" s="0" t="str">
        <f aca="false">IF(D372="","",UPPER(SUBSTITUTE(SUBSTITUTE(D372,"(",""),")","")))</f>
        <v/>
      </c>
      <c r="F372" s="0" t="str">
        <f aca="false">IF(C372="","",LEFT(C372,FIND(" ",C372&amp;" ")-1))</f>
        <v/>
      </c>
      <c r="G372" s="0" t="n">
        <f aca="false">IFERROR(VALUE(SUBSTITUTE(LOWER(F372),"x","")),0)</f>
        <v>0</v>
      </c>
      <c r="H372" s="0" t="str">
        <f aca="false">IF(C372="","",TRIM(MID(C372,LEN(F372)+2,999)))</f>
        <v/>
      </c>
      <c r="I372" s="0" t="n">
        <f aca="false">IF(OR(C372="",LEFT(C372,2)="//"),0,IFERROR(IF(AND(G372&gt;0,G372=INT(G372),FIND("-",E372)&gt;1,NOT(EXACT(UPPER(LEFT(E372,1)),LOWER(LEFT(E372,1)))),ISNUMBER(VALUE(MID(E372,FIND("-",E372)+1,10)))),1,0),0))</f>
        <v>0</v>
      </c>
      <c r="J372" s="0" t="str">
        <f aca="false">IF(I372=1,TRIM(LEFT(H372,MAX(0,LEN(H372)-LEN(D372)))),"")</f>
        <v/>
      </c>
      <c r="K372" s="0" t="str">
        <f aca="false">INDEX($P$2:$P$21,A372)</f>
        <v>Deck 7</v>
      </c>
      <c r="L372" s="0" t="n">
        <f aca="false">IF(AND(C372&lt;&gt;"",LEFT(C372,2)&lt;&gt;"//",I372=0),1,0)</f>
        <v>0</v>
      </c>
      <c r="M372" s="0" t="str">
        <f aca="false">IF(I372=1,MAX(M$1:M371)+1,"")</f>
        <v/>
      </c>
      <c r="N372" s="0" t="str">
        <f aca="false">IFERROR(MATCH(ROW()-1,$V$2:$V$1201,0),"")</f>
        <v/>
      </c>
      <c r="R372" s="0" t="str">
        <f aca="false">IF(E372="","",IFERROR(LEFT(E372,FIND("-",E372)-1),E372))</f>
        <v/>
      </c>
      <c r="S372" s="0" t="str">
        <f aca="false">IF(R372="","",IF(ISNUMBER(--MID(R372,1,1)),0,IF(ISNUMBER(--MID(R372,2,1)),1,IF(ISNUMBER(--MID(R372,3,1)),2,IF(ISNUMBER(--MID(R372,4,1)),3,MIN(LEN(R372),4))))))</f>
        <v/>
      </c>
      <c r="T372" s="0" t="str">
        <f aca="false">IF(E372="","",LEFT(R372,S372)&amp;REPT("0",4-S372)&amp;RIGHT("000"&amp;IFERROR(VALUE(MID(R372,S372+1,9)),0),3)&amp;RIGHT("0000"&amp;IFERROR(VALUE(MID(E372,FIND("-",E372)+1,9)),0),4))</f>
        <v/>
      </c>
      <c r="U372" s="0" t="str">
        <f aca="false">IF(I372=1,"K"&amp;RIGHT("00"&amp;A372,2)&amp;T372&amp;RIGHT("00000"&amp;ROW(),5),"")</f>
        <v/>
      </c>
      <c r="V372" s="0" t="str">
        <f aca="false">IF(U372="","",COUNTIFS($I$2:$I$1201,1,$U$2:$U$1201,"&lt;"&amp;U372)+1)</f>
        <v/>
      </c>
    </row>
    <row r="373" customFormat="false" ht="15" hidden="false" customHeight="false" outlineLevel="0" collapsed="false">
      <c r="A373" s="0" t="n">
        <v>7</v>
      </c>
      <c r="B373" s="0" t="n">
        <v>12</v>
      </c>
      <c r="C373" s="0" t="str">
        <f aca="false">TRIM(SUBSTITUTE(INDEX(LISTAS!$A$4:$T$63,B373,A373)&amp;"",CHAR(160)," "))</f>
        <v/>
      </c>
      <c r="D373" s="0" t="str">
        <f aca="false">IF(C373="","",TRIM(RIGHT(SUBSTITUTE(C373," ",REPT(" ",100)),100)))</f>
        <v/>
      </c>
      <c r="E373" s="0" t="str">
        <f aca="false">IF(D373="","",UPPER(SUBSTITUTE(SUBSTITUTE(D373,"(",""),")","")))</f>
        <v/>
      </c>
      <c r="F373" s="0" t="str">
        <f aca="false">IF(C373="","",LEFT(C373,FIND(" ",C373&amp;" ")-1))</f>
        <v/>
      </c>
      <c r="G373" s="0" t="n">
        <f aca="false">IFERROR(VALUE(SUBSTITUTE(LOWER(F373),"x","")),0)</f>
        <v>0</v>
      </c>
      <c r="H373" s="0" t="str">
        <f aca="false">IF(C373="","",TRIM(MID(C373,LEN(F373)+2,999)))</f>
        <v/>
      </c>
      <c r="I373" s="0" t="n">
        <f aca="false">IF(OR(C373="",LEFT(C373,2)="//"),0,IFERROR(IF(AND(G373&gt;0,G373=INT(G373),FIND("-",E373)&gt;1,NOT(EXACT(UPPER(LEFT(E373,1)),LOWER(LEFT(E373,1)))),ISNUMBER(VALUE(MID(E373,FIND("-",E373)+1,10)))),1,0),0))</f>
        <v>0</v>
      </c>
      <c r="J373" s="0" t="str">
        <f aca="false">IF(I373=1,TRIM(LEFT(H373,MAX(0,LEN(H373)-LEN(D373)))),"")</f>
        <v/>
      </c>
      <c r="K373" s="0" t="str">
        <f aca="false">INDEX($P$2:$P$21,A373)</f>
        <v>Deck 7</v>
      </c>
      <c r="L373" s="0" t="n">
        <f aca="false">IF(AND(C373&lt;&gt;"",LEFT(C373,2)&lt;&gt;"//",I373=0),1,0)</f>
        <v>0</v>
      </c>
      <c r="M373" s="0" t="str">
        <f aca="false">IF(I373=1,MAX(M$1:M372)+1,"")</f>
        <v/>
      </c>
      <c r="N373" s="0" t="str">
        <f aca="false">IFERROR(MATCH(ROW()-1,$V$2:$V$1201,0),"")</f>
        <v/>
      </c>
      <c r="R373" s="0" t="str">
        <f aca="false">IF(E373="","",IFERROR(LEFT(E373,FIND("-",E373)-1),E373))</f>
        <v/>
      </c>
      <c r="S373" s="0" t="str">
        <f aca="false">IF(R373="","",IF(ISNUMBER(--MID(R373,1,1)),0,IF(ISNUMBER(--MID(R373,2,1)),1,IF(ISNUMBER(--MID(R373,3,1)),2,IF(ISNUMBER(--MID(R373,4,1)),3,MIN(LEN(R373),4))))))</f>
        <v/>
      </c>
      <c r="T373" s="0" t="str">
        <f aca="false">IF(E373="","",LEFT(R373,S373)&amp;REPT("0",4-S373)&amp;RIGHT("000"&amp;IFERROR(VALUE(MID(R373,S373+1,9)),0),3)&amp;RIGHT("0000"&amp;IFERROR(VALUE(MID(E373,FIND("-",E373)+1,9)),0),4))</f>
        <v/>
      </c>
      <c r="U373" s="0" t="str">
        <f aca="false">IF(I373=1,"K"&amp;RIGHT("00"&amp;A373,2)&amp;T373&amp;RIGHT("00000"&amp;ROW(),5),"")</f>
        <v/>
      </c>
      <c r="V373" s="0" t="str">
        <f aca="false">IF(U373="","",COUNTIFS($I$2:$I$1201,1,$U$2:$U$1201,"&lt;"&amp;U373)+1)</f>
        <v/>
      </c>
    </row>
    <row r="374" customFormat="false" ht="15" hidden="false" customHeight="false" outlineLevel="0" collapsed="false">
      <c r="A374" s="0" t="n">
        <v>7</v>
      </c>
      <c r="B374" s="0" t="n">
        <v>13</v>
      </c>
      <c r="C374" s="0" t="str">
        <f aca="false">TRIM(SUBSTITUTE(INDEX(LISTAS!$A$4:$T$63,B374,A374)&amp;"",CHAR(160)," "))</f>
        <v/>
      </c>
      <c r="D374" s="0" t="str">
        <f aca="false">IF(C374="","",TRIM(RIGHT(SUBSTITUTE(C374," ",REPT(" ",100)),100)))</f>
        <v/>
      </c>
      <c r="E374" s="0" t="str">
        <f aca="false">IF(D374="","",UPPER(SUBSTITUTE(SUBSTITUTE(D374,"(",""),")","")))</f>
        <v/>
      </c>
      <c r="F374" s="0" t="str">
        <f aca="false">IF(C374="","",LEFT(C374,FIND(" ",C374&amp;" ")-1))</f>
        <v/>
      </c>
      <c r="G374" s="0" t="n">
        <f aca="false">IFERROR(VALUE(SUBSTITUTE(LOWER(F374),"x","")),0)</f>
        <v>0</v>
      </c>
      <c r="H374" s="0" t="str">
        <f aca="false">IF(C374="","",TRIM(MID(C374,LEN(F374)+2,999)))</f>
        <v/>
      </c>
      <c r="I374" s="0" t="n">
        <f aca="false">IF(OR(C374="",LEFT(C374,2)="//"),0,IFERROR(IF(AND(G374&gt;0,G374=INT(G374),FIND("-",E374)&gt;1,NOT(EXACT(UPPER(LEFT(E374,1)),LOWER(LEFT(E374,1)))),ISNUMBER(VALUE(MID(E374,FIND("-",E374)+1,10)))),1,0),0))</f>
        <v>0</v>
      </c>
      <c r="J374" s="0" t="str">
        <f aca="false">IF(I374=1,TRIM(LEFT(H374,MAX(0,LEN(H374)-LEN(D374)))),"")</f>
        <v/>
      </c>
      <c r="K374" s="0" t="str">
        <f aca="false">INDEX($P$2:$P$21,A374)</f>
        <v>Deck 7</v>
      </c>
      <c r="L374" s="0" t="n">
        <f aca="false">IF(AND(C374&lt;&gt;"",LEFT(C374,2)&lt;&gt;"//",I374=0),1,0)</f>
        <v>0</v>
      </c>
      <c r="M374" s="0" t="str">
        <f aca="false">IF(I374=1,MAX(M$1:M373)+1,"")</f>
        <v/>
      </c>
      <c r="N374" s="0" t="str">
        <f aca="false">IFERROR(MATCH(ROW()-1,$V$2:$V$1201,0),"")</f>
        <v/>
      </c>
      <c r="R374" s="0" t="str">
        <f aca="false">IF(E374="","",IFERROR(LEFT(E374,FIND("-",E374)-1),E374))</f>
        <v/>
      </c>
      <c r="S374" s="0" t="str">
        <f aca="false">IF(R374="","",IF(ISNUMBER(--MID(R374,1,1)),0,IF(ISNUMBER(--MID(R374,2,1)),1,IF(ISNUMBER(--MID(R374,3,1)),2,IF(ISNUMBER(--MID(R374,4,1)),3,MIN(LEN(R374),4))))))</f>
        <v/>
      </c>
      <c r="T374" s="0" t="str">
        <f aca="false">IF(E374="","",LEFT(R374,S374)&amp;REPT("0",4-S374)&amp;RIGHT("000"&amp;IFERROR(VALUE(MID(R374,S374+1,9)),0),3)&amp;RIGHT("0000"&amp;IFERROR(VALUE(MID(E374,FIND("-",E374)+1,9)),0),4))</f>
        <v/>
      </c>
      <c r="U374" s="0" t="str">
        <f aca="false">IF(I374=1,"K"&amp;RIGHT("00"&amp;A374,2)&amp;T374&amp;RIGHT("00000"&amp;ROW(),5),"")</f>
        <v/>
      </c>
      <c r="V374" s="0" t="str">
        <f aca="false">IF(U374="","",COUNTIFS($I$2:$I$1201,1,$U$2:$U$1201,"&lt;"&amp;U374)+1)</f>
        <v/>
      </c>
    </row>
    <row r="375" customFormat="false" ht="15" hidden="false" customHeight="false" outlineLevel="0" collapsed="false">
      <c r="A375" s="0" t="n">
        <v>7</v>
      </c>
      <c r="B375" s="0" t="n">
        <v>14</v>
      </c>
      <c r="C375" s="0" t="str">
        <f aca="false">TRIM(SUBSTITUTE(INDEX(LISTAS!$A$4:$T$63,B375,A375)&amp;"",CHAR(160)," "))</f>
        <v/>
      </c>
      <c r="D375" s="0" t="str">
        <f aca="false">IF(C375="","",TRIM(RIGHT(SUBSTITUTE(C375," ",REPT(" ",100)),100)))</f>
        <v/>
      </c>
      <c r="E375" s="0" t="str">
        <f aca="false">IF(D375="","",UPPER(SUBSTITUTE(SUBSTITUTE(D375,"(",""),")","")))</f>
        <v/>
      </c>
      <c r="F375" s="0" t="str">
        <f aca="false">IF(C375="","",LEFT(C375,FIND(" ",C375&amp;" ")-1))</f>
        <v/>
      </c>
      <c r="G375" s="0" t="n">
        <f aca="false">IFERROR(VALUE(SUBSTITUTE(LOWER(F375),"x","")),0)</f>
        <v>0</v>
      </c>
      <c r="H375" s="0" t="str">
        <f aca="false">IF(C375="","",TRIM(MID(C375,LEN(F375)+2,999)))</f>
        <v/>
      </c>
      <c r="I375" s="0" t="n">
        <f aca="false">IF(OR(C375="",LEFT(C375,2)="//"),0,IFERROR(IF(AND(G375&gt;0,G375=INT(G375),FIND("-",E375)&gt;1,NOT(EXACT(UPPER(LEFT(E375,1)),LOWER(LEFT(E375,1)))),ISNUMBER(VALUE(MID(E375,FIND("-",E375)+1,10)))),1,0),0))</f>
        <v>0</v>
      </c>
      <c r="J375" s="0" t="str">
        <f aca="false">IF(I375=1,TRIM(LEFT(H375,MAX(0,LEN(H375)-LEN(D375)))),"")</f>
        <v/>
      </c>
      <c r="K375" s="0" t="str">
        <f aca="false">INDEX($P$2:$P$21,A375)</f>
        <v>Deck 7</v>
      </c>
      <c r="L375" s="0" t="n">
        <f aca="false">IF(AND(C375&lt;&gt;"",LEFT(C375,2)&lt;&gt;"//",I375=0),1,0)</f>
        <v>0</v>
      </c>
      <c r="M375" s="0" t="str">
        <f aca="false">IF(I375=1,MAX(M$1:M374)+1,"")</f>
        <v/>
      </c>
      <c r="N375" s="0" t="str">
        <f aca="false">IFERROR(MATCH(ROW()-1,$V$2:$V$1201,0),"")</f>
        <v/>
      </c>
      <c r="R375" s="0" t="str">
        <f aca="false">IF(E375="","",IFERROR(LEFT(E375,FIND("-",E375)-1),E375))</f>
        <v/>
      </c>
      <c r="S375" s="0" t="str">
        <f aca="false">IF(R375="","",IF(ISNUMBER(--MID(R375,1,1)),0,IF(ISNUMBER(--MID(R375,2,1)),1,IF(ISNUMBER(--MID(R375,3,1)),2,IF(ISNUMBER(--MID(R375,4,1)),3,MIN(LEN(R375),4))))))</f>
        <v/>
      </c>
      <c r="T375" s="0" t="str">
        <f aca="false">IF(E375="","",LEFT(R375,S375)&amp;REPT("0",4-S375)&amp;RIGHT("000"&amp;IFERROR(VALUE(MID(R375,S375+1,9)),0),3)&amp;RIGHT("0000"&amp;IFERROR(VALUE(MID(E375,FIND("-",E375)+1,9)),0),4))</f>
        <v/>
      </c>
      <c r="U375" s="0" t="str">
        <f aca="false">IF(I375=1,"K"&amp;RIGHT("00"&amp;A375,2)&amp;T375&amp;RIGHT("00000"&amp;ROW(),5),"")</f>
        <v/>
      </c>
      <c r="V375" s="0" t="str">
        <f aca="false">IF(U375="","",COUNTIFS($I$2:$I$1201,1,$U$2:$U$1201,"&lt;"&amp;U375)+1)</f>
        <v/>
      </c>
    </row>
    <row r="376" customFormat="false" ht="15" hidden="false" customHeight="false" outlineLevel="0" collapsed="false">
      <c r="A376" s="0" t="n">
        <v>7</v>
      </c>
      <c r="B376" s="0" t="n">
        <v>15</v>
      </c>
      <c r="C376" s="0" t="str">
        <f aca="false">TRIM(SUBSTITUTE(INDEX(LISTAS!$A$4:$T$63,B376,A376)&amp;"",CHAR(160)," "))</f>
        <v/>
      </c>
      <c r="D376" s="0" t="str">
        <f aca="false">IF(C376="","",TRIM(RIGHT(SUBSTITUTE(C376," ",REPT(" ",100)),100)))</f>
        <v/>
      </c>
      <c r="E376" s="0" t="str">
        <f aca="false">IF(D376="","",UPPER(SUBSTITUTE(SUBSTITUTE(D376,"(",""),")","")))</f>
        <v/>
      </c>
      <c r="F376" s="0" t="str">
        <f aca="false">IF(C376="","",LEFT(C376,FIND(" ",C376&amp;" ")-1))</f>
        <v/>
      </c>
      <c r="G376" s="0" t="n">
        <f aca="false">IFERROR(VALUE(SUBSTITUTE(LOWER(F376),"x","")),0)</f>
        <v>0</v>
      </c>
      <c r="H376" s="0" t="str">
        <f aca="false">IF(C376="","",TRIM(MID(C376,LEN(F376)+2,999)))</f>
        <v/>
      </c>
      <c r="I376" s="0" t="n">
        <f aca="false">IF(OR(C376="",LEFT(C376,2)="//"),0,IFERROR(IF(AND(G376&gt;0,G376=INT(G376),FIND("-",E376)&gt;1,NOT(EXACT(UPPER(LEFT(E376,1)),LOWER(LEFT(E376,1)))),ISNUMBER(VALUE(MID(E376,FIND("-",E376)+1,10)))),1,0),0))</f>
        <v>0</v>
      </c>
      <c r="J376" s="0" t="str">
        <f aca="false">IF(I376=1,TRIM(LEFT(H376,MAX(0,LEN(H376)-LEN(D376)))),"")</f>
        <v/>
      </c>
      <c r="K376" s="0" t="str">
        <f aca="false">INDEX($P$2:$P$21,A376)</f>
        <v>Deck 7</v>
      </c>
      <c r="L376" s="0" t="n">
        <f aca="false">IF(AND(C376&lt;&gt;"",LEFT(C376,2)&lt;&gt;"//",I376=0),1,0)</f>
        <v>0</v>
      </c>
      <c r="M376" s="0" t="str">
        <f aca="false">IF(I376=1,MAX(M$1:M375)+1,"")</f>
        <v/>
      </c>
      <c r="N376" s="0" t="str">
        <f aca="false">IFERROR(MATCH(ROW()-1,$V$2:$V$1201,0),"")</f>
        <v/>
      </c>
      <c r="R376" s="0" t="str">
        <f aca="false">IF(E376="","",IFERROR(LEFT(E376,FIND("-",E376)-1),E376))</f>
        <v/>
      </c>
      <c r="S376" s="0" t="str">
        <f aca="false">IF(R376="","",IF(ISNUMBER(--MID(R376,1,1)),0,IF(ISNUMBER(--MID(R376,2,1)),1,IF(ISNUMBER(--MID(R376,3,1)),2,IF(ISNUMBER(--MID(R376,4,1)),3,MIN(LEN(R376),4))))))</f>
        <v/>
      </c>
      <c r="T376" s="0" t="str">
        <f aca="false">IF(E376="","",LEFT(R376,S376)&amp;REPT("0",4-S376)&amp;RIGHT("000"&amp;IFERROR(VALUE(MID(R376,S376+1,9)),0),3)&amp;RIGHT("0000"&amp;IFERROR(VALUE(MID(E376,FIND("-",E376)+1,9)),0),4))</f>
        <v/>
      </c>
      <c r="U376" s="0" t="str">
        <f aca="false">IF(I376=1,"K"&amp;RIGHT("00"&amp;A376,2)&amp;T376&amp;RIGHT("00000"&amp;ROW(),5),"")</f>
        <v/>
      </c>
      <c r="V376" s="0" t="str">
        <f aca="false">IF(U376="","",COUNTIFS($I$2:$I$1201,1,$U$2:$U$1201,"&lt;"&amp;U376)+1)</f>
        <v/>
      </c>
    </row>
    <row r="377" customFormat="false" ht="15" hidden="false" customHeight="false" outlineLevel="0" collapsed="false">
      <c r="A377" s="0" t="n">
        <v>7</v>
      </c>
      <c r="B377" s="0" t="n">
        <v>16</v>
      </c>
      <c r="C377" s="0" t="str">
        <f aca="false">TRIM(SUBSTITUTE(INDEX(LISTAS!$A$4:$T$63,B377,A377)&amp;"",CHAR(160)," "))</f>
        <v/>
      </c>
      <c r="D377" s="0" t="str">
        <f aca="false">IF(C377="","",TRIM(RIGHT(SUBSTITUTE(C377," ",REPT(" ",100)),100)))</f>
        <v/>
      </c>
      <c r="E377" s="0" t="str">
        <f aca="false">IF(D377="","",UPPER(SUBSTITUTE(SUBSTITUTE(D377,"(",""),")","")))</f>
        <v/>
      </c>
      <c r="F377" s="0" t="str">
        <f aca="false">IF(C377="","",LEFT(C377,FIND(" ",C377&amp;" ")-1))</f>
        <v/>
      </c>
      <c r="G377" s="0" t="n">
        <f aca="false">IFERROR(VALUE(SUBSTITUTE(LOWER(F377),"x","")),0)</f>
        <v>0</v>
      </c>
      <c r="H377" s="0" t="str">
        <f aca="false">IF(C377="","",TRIM(MID(C377,LEN(F377)+2,999)))</f>
        <v/>
      </c>
      <c r="I377" s="0" t="n">
        <f aca="false">IF(OR(C377="",LEFT(C377,2)="//"),0,IFERROR(IF(AND(G377&gt;0,G377=INT(G377),FIND("-",E377)&gt;1,NOT(EXACT(UPPER(LEFT(E377,1)),LOWER(LEFT(E377,1)))),ISNUMBER(VALUE(MID(E377,FIND("-",E377)+1,10)))),1,0),0))</f>
        <v>0</v>
      </c>
      <c r="J377" s="0" t="str">
        <f aca="false">IF(I377=1,TRIM(LEFT(H377,MAX(0,LEN(H377)-LEN(D377)))),"")</f>
        <v/>
      </c>
      <c r="K377" s="0" t="str">
        <f aca="false">INDEX($P$2:$P$21,A377)</f>
        <v>Deck 7</v>
      </c>
      <c r="L377" s="0" t="n">
        <f aca="false">IF(AND(C377&lt;&gt;"",LEFT(C377,2)&lt;&gt;"//",I377=0),1,0)</f>
        <v>0</v>
      </c>
      <c r="M377" s="0" t="str">
        <f aca="false">IF(I377=1,MAX(M$1:M376)+1,"")</f>
        <v/>
      </c>
      <c r="N377" s="0" t="str">
        <f aca="false">IFERROR(MATCH(ROW()-1,$V$2:$V$1201,0),"")</f>
        <v/>
      </c>
      <c r="R377" s="0" t="str">
        <f aca="false">IF(E377="","",IFERROR(LEFT(E377,FIND("-",E377)-1),E377))</f>
        <v/>
      </c>
      <c r="S377" s="0" t="str">
        <f aca="false">IF(R377="","",IF(ISNUMBER(--MID(R377,1,1)),0,IF(ISNUMBER(--MID(R377,2,1)),1,IF(ISNUMBER(--MID(R377,3,1)),2,IF(ISNUMBER(--MID(R377,4,1)),3,MIN(LEN(R377),4))))))</f>
        <v/>
      </c>
      <c r="T377" s="0" t="str">
        <f aca="false">IF(E377="","",LEFT(R377,S377)&amp;REPT("0",4-S377)&amp;RIGHT("000"&amp;IFERROR(VALUE(MID(R377,S377+1,9)),0),3)&amp;RIGHT("0000"&amp;IFERROR(VALUE(MID(E377,FIND("-",E377)+1,9)),0),4))</f>
        <v/>
      </c>
      <c r="U377" s="0" t="str">
        <f aca="false">IF(I377=1,"K"&amp;RIGHT("00"&amp;A377,2)&amp;T377&amp;RIGHT("00000"&amp;ROW(),5),"")</f>
        <v/>
      </c>
      <c r="V377" s="0" t="str">
        <f aca="false">IF(U377="","",COUNTIFS($I$2:$I$1201,1,$U$2:$U$1201,"&lt;"&amp;U377)+1)</f>
        <v/>
      </c>
    </row>
    <row r="378" customFormat="false" ht="15" hidden="false" customHeight="false" outlineLevel="0" collapsed="false">
      <c r="A378" s="0" t="n">
        <v>7</v>
      </c>
      <c r="B378" s="0" t="n">
        <v>17</v>
      </c>
      <c r="C378" s="0" t="str">
        <f aca="false">TRIM(SUBSTITUTE(INDEX(LISTAS!$A$4:$T$63,B378,A378)&amp;"",CHAR(160)," "))</f>
        <v/>
      </c>
      <c r="D378" s="0" t="str">
        <f aca="false">IF(C378="","",TRIM(RIGHT(SUBSTITUTE(C378," ",REPT(" ",100)),100)))</f>
        <v/>
      </c>
      <c r="E378" s="0" t="str">
        <f aca="false">IF(D378="","",UPPER(SUBSTITUTE(SUBSTITUTE(D378,"(",""),")","")))</f>
        <v/>
      </c>
      <c r="F378" s="0" t="str">
        <f aca="false">IF(C378="","",LEFT(C378,FIND(" ",C378&amp;" ")-1))</f>
        <v/>
      </c>
      <c r="G378" s="0" t="n">
        <f aca="false">IFERROR(VALUE(SUBSTITUTE(LOWER(F378),"x","")),0)</f>
        <v>0</v>
      </c>
      <c r="H378" s="0" t="str">
        <f aca="false">IF(C378="","",TRIM(MID(C378,LEN(F378)+2,999)))</f>
        <v/>
      </c>
      <c r="I378" s="0" t="n">
        <f aca="false">IF(OR(C378="",LEFT(C378,2)="//"),0,IFERROR(IF(AND(G378&gt;0,G378=INT(G378),FIND("-",E378)&gt;1,NOT(EXACT(UPPER(LEFT(E378,1)),LOWER(LEFT(E378,1)))),ISNUMBER(VALUE(MID(E378,FIND("-",E378)+1,10)))),1,0),0))</f>
        <v>0</v>
      </c>
      <c r="J378" s="0" t="str">
        <f aca="false">IF(I378=1,TRIM(LEFT(H378,MAX(0,LEN(H378)-LEN(D378)))),"")</f>
        <v/>
      </c>
      <c r="K378" s="0" t="str">
        <f aca="false">INDEX($P$2:$P$21,A378)</f>
        <v>Deck 7</v>
      </c>
      <c r="L378" s="0" t="n">
        <f aca="false">IF(AND(C378&lt;&gt;"",LEFT(C378,2)&lt;&gt;"//",I378=0),1,0)</f>
        <v>0</v>
      </c>
      <c r="M378" s="0" t="str">
        <f aca="false">IF(I378=1,MAX(M$1:M377)+1,"")</f>
        <v/>
      </c>
      <c r="N378" s="0" t="str">
        <f aca="false">IFERROR(MATCH(ROW()-1,$V$2:$V$1201,0),"")</f>
        <v/>
      </c>
      <c r="R378" s="0" t="str">
        <f aca="false">IF(E378="","",IFERROR(LEFT(E378,FIND("-",E378)-1),E378))</f>
        <v/>
      </c>
      <c r="S378" s="0" t="str">
        <f aca="false">IF(R378="","",IF(ISNUMBER(--MID(R378,1,1)),0,IF(ISNUMBER(--MID(R378,2,1)),1,IF(ISNUMBER(--MID(R378,3,1)),2,IF(ISNUMBER(--MID(R378,4,1)),3,MIN(LEN(R378),4))))))</f>
        <v/>
      </c>
      <c r="T378" s="0" t="str">
        <f aca="false">IF(E378="","",LEFT(R378,S378)&amp;REPT("0",4-S378)&amp;RIGHT("000"&amp;IFERROR(VALUE(MID(R378,S378+1,9)),0),3)&amp;RIGHT("0000"&amp;IFERROR(VALUE(MID(E378,FIND("-",E378)+1,9)),0),4))</f>
        <v/>
      </c>
      <c r="U378" s="0" t="str">
        <f aca="false">IF(I378=1,"K"&amp;RIGHT("00"&amp;A378,2)&amp;T378&amp;RIGHT("00000"&amp;ROW(),5),"")</f>
        <v/>
      </c>
      <c r="V378" s="0" t="str">
        <f aca="false">IF(U378="","",COUNTIFS($I$2:$I$1201,1,$U$2:$U$1201,"&lt;"&amp;U378)+1)</f>
        <v/>
      </c>
    </row>
    <row r="379" customFormat="false" ht="15" hidden="false" customHeight="false" outlineLevel="0" collapsed="false">
      <c r="A379" s="0" t="n">
        <v>7</v>
      </c>
      <c r="B379" s="0" t="n">
        <v>18</v>
      </c>
      <c r="C379" s="0" t="str">
        <f aca="false">TRIM(SUBSTITUTE(INDEX(LISTAS!$A$4:$T$63,B379,A379)&amp;"",CHAR(160)," "))</f>
        <v/>
      </c>
      <c r="D379" s="0" t="str">
        <f aca="false">IF(C379="","",TRIM(RIGHT(SUBSTITUTE(C379," ",REPT(" ",100)),100)))</f>
        <v/>
      </c>
      <c r="E379" s="0" t="str">
        <f aca="false">IF(D379="","",UPPER(SUBSTITUTE(SUBSTITUTE(D379,"(",""),")","")))</f>
        <v/>
      </c>
      <c r="F379" s="0" t="str">
        <f aca="false">IF(C379="","",LEFT(C379,FIND(" ",C379&amp;" ")-1))</f>
        <v/>
      </c>
      <c r="G379" s="0" t="n">
        <f aca="false">IFERROR(VALUE(SUBSTITUTE(LOWER(F379),"x","")),0)</f>
        <v>0</v>
      </c>
      <c r="H379" s="0" t="str">
        <f aca="false">IF(C379="","",TRIM(MID(C379,LEN(F379)+2,999)))</f>
        <v/>
      </c>
      <c r="I379" s="0" t="n">
        <f aca="false">IF(OR(C379="",LEFT(C379,2)="//"),0,IFERROR(IF(AND(G379&gt;0,G379=INT(G379),FIND("-",E379)&gt;1,NOT(EXACT(UPPER(LEFT(E379,1)),LOWER(LEFT(E379,1)))),ISNUMBER(VALUE(MID(E379,FIND("-",E379)+1,10)))),1,0),0))</f>
        <v>0</v>
      </c>
      <c r="J379" s="0" t="str">
        <f aca="false">IF(I379=1,TRIM(LEFT(H379,MAX(0,LEN(H379)-LEN(D379)))),"")</f>
        <v/>
      </c>
      <c r="K379" s="0" t="str">
        <f aca="false">INDEX($P$2:$P$21,A379)</f>
        <v>Deck 7</v>
      </c>
      <c r="L379" s="0" t="n">
        <f aca="false">IF(AND(C379&lt;&gt;"",LEFT(C379,2)&lt;&gt;"//",I379=0),1,0)</f>
        <v>0</v>
      </c>
      <c r="M379" s="0" t="str">
        <f aca="false">IF(I379=1,MAX(M$1:M378)+1,"")</f>
        <v/>
      </c>
      <c r="N379" s="0" t="str">
        <f aca="false">IFERROR(MATCH(ROW()-1,$V$2:$V$1201,0),"")</f>
        <v/>
      </c>
      <c r="R379" s="0" t="str">
        <f aca="false">IF(E379="","",IFERROR(LEFT(E379,FIND("-",E379)-1),E379))</f>
        <v/>
      </c>
      <c r="S379" s="0" t="str">
        <f aca="false">IF(R379="","",IF(ISNUMBER(--MID(R379,1,1)),0,IF(ISNUMBER(--MID(R379,2,1)),1,IF(ISNUMBER(--MID(R379,3,1)),2,IF(ISNUMBER(--MID(R379,4,1)),3,MIN(LEN(R379),4))))))</f>
        <v/>
      </c>
      <c r="T379" s="0" t="str">
        <f aca="false">IF(E379="","",LEFT(R379,S379)&amp;REPT("0",4-S379)&amp;RIGHT("000"&amp;IFERROR(VALUE(MID(R379,S379+1,9)),0),3)&amp;RIGHT("0000"&amp;IFERROR(VALUE(MID(E379,FIND("-",E379)+1,9)),0),4))</f>
        <v/>
      </c>
      <c r="U379" s="0" t="str">
        <f aca="false">IF(I379=1,"K"&amp;RIGHT("00"&amp;A379,2)&amp;T379&amp;RIGHT("00000"&amp;ROW(),5),"")</f>
        <v/>
      </c>
      <c r="V379" s="0" t="str">
        <f aca="false">IF(U379="","",COUNTIFS($I$2:$I$1201,1,$U$2:$U$1201,"&lt;"&amp;U379)+1)</f>
        <v/>
      </c>
    </row>
    <row r="380" customFormat="false" ht="15" hidden="false" customHeight="false" outlineLevel="0" collapsed="false">
      <c r="A380" s="0" t="n">
        <v>7</v>
      </c>
      <c r="B380" s="0" t="n">
        <v>19</v>
      </c>
      <c r="C380" s="0" t="str">
        <f aca="false">TRIM(SUBSTITUTE(INDEX(LISTAS!$A$4:$T$63,B380,A380)&amp;"",CHAR(160)," "))</f>
        <v/>
      </c>
      <c r="D380" s="0" t="str">
        <f aca="false">IF(C380="","",TRIM(RIGHT(SUBSTITUTE(C380," ",REPT(" ",100)),100)))</f>
        <v/>
      </c>
      <c r="E380" s="0" t="str">
        <f aca="false">IF(D380="","",UPPER(SUBSTITUTE(SUBSTITUTE(D380,"(",""),")","")))</f>
        <v/>
      </c>
      <c r="F380" s="0" t="str">
        <f aca="false">IF(C380="","",LEFT(C380,FIND(" ",C380&amp;" ")-1))</f>
        <v/>
      </c>
      <c r="G380" s="0" t="n">
        <f aca="false">IFERROR(VALUE(SUBSTITUTE(LOWER(F380),"x","")),0)</f>
        <v>0</v>
      </c>
      <c r="H380" s="0" t="str">
        <f aca="false">IF(C380="","",TRIM(MID(C380,LEN(F380)+2,999)))</f>
        <v/>
      </c>
      <c r="I380" s="0" t="n">
        <f aca="false">IF(OR(C380="",LEFT(C380,2)="//"),0,IFERROR(IF(AND(G380&gt;0,G380=INT(G380),FIND("-",E380)&gt;1,NOT(EXACT(UPPER(LEFT(E380,1)),LOWER(LEFT(E380,1)))),ISNUMBER(VALUE(MID(E380,FIND("-",E380)+1,10)))),1,0),0))</f>
        <v>0</v>
      </c>
      <c r="J380" s="0" t="str">
        <f aca="false">IF(I380=1,TRIM(LEFT(H380,MAX(0,LEN(H380)-LEN(D380)))),"")</f>
        <v/>
      </c>
      <c r="K380" s="0" t="str">
        <f aca="false">INDEX($P$2:$P$21,A380)</f>
        <v>Deck 7</v>
      </c>
      <c r="L380" s="0" t="n">
        <f aca="false">IF(AND(C380&lt;&gt;"",LEFT(C380,2)&lt;&gt;"//",I380=0),1,0)</f>
        <v>0</v>
      </c>
      <c r="M380" s="0" t="str">
        <f aca="false">IF(I380=1,MAX(M$1:M379)+1,"")</f>
        <v/>
      </c>
      <c r="N380" s="0" t="str">
        <f aca="false">IFERROR(MATCH(ROW()-1,$V$2:$V$1201,0),"")</f>
        <v/>
      </c>
      <c r="R380" s="0" t="str">
        <f aca="false">IF(E380="","",IFERROR(LEFT(E380,FIND("-",E380)-1),E380))</f>
        <v/>
      </c>
      <c r="S380" s="0" t="str">
        <f aca="false">IF(R380="","",IF(ISNUMBER(--MID(R380,1,1)),0,IF(ISNUMBER(--MID(R380,2,1)),1,IF(ISNUMBER(--MID(R380,3,1)),2,IF(ISNUMBER(--MID(R380,4,1)),3,MIN(LEN(R380),4))))))</f>
        <v/>
      </c>
      <c r="T380" s="0" t="str">
        <f aca="false">IF(E380="","",LEFT(R380,S380)&amp;REPT("0",4-S380)&amp;RIGHT("000"&amp;IFERROR(VALUE(MID(R380,S380+1,9)),0),3)&amp;RIGHT("0000"&amp;IFERROR(VALUE(MID(E380,FIND("-",E380)+1,9)),0),4))</f>
        <v/>
      </c>
      <c r="U380" s="0" t="str">
        <f aca="false">IF(I380=1,"K"&amp;RIGHT("00"&amp;A380,2)&amp;T380&amp;RIGHT("00000"&amp;ROW(),5),"")</f>
        <v/>
      </c>
      <c r="V380" s="0" t="str">
        <f aca="false">IF(U380="","",COUNTIFS($I$2:$I$1201,1,$U$2:$U$1201,"&lt;"&amp;U380)+1)</f>
        <v/>
      </c>
    </row>
    <row r="381" customFormat="false" ht="15" hidden="false" customHeight="false" outlineLevel="0" collapsed="false">
      <c r="A381" s="0" t="n">
        <v>7</v>
      </c>
      <c r="B381" s="0" t="n">
        <v>20</v>
      </c>
      <c r="C381" s="0" t="str">
        <f aca="false">TRIM(SUBSTITUTE(INDEX(LISTAS!$A$4:$T$63,B381,A381)&amp;"",CHAR(160)," "))</f>
        <v/>
      </c>
      <c r="D381" s="0" t="str">
        <f aca="false">IF(C381="","",TRIM(RIGHT(SUBSTITUTE(C381," ",REPT(" ",100)),100)))</f>
        <v/>
      </c>
      <c r="E381" s="0" t="str">
        <f aca="false">IF(D381="","",UPPER(SUBSTITUTE(SUBSTITUTE(D381,"(",""),")","")))</f>
        <v/>
      </c>
      <c r="F381" s="0" t="str">
        <f aca="false">IF(C381="","",LEFT(C381,FIND(" ",C381&amp;" ")-1))</f>
        <v/>
      </c>
      <c r="G381" s="0" t="n">
        <f aca="false">IFERROR(VALUE(SUBSTITUTE(LOWER(F381),"x","")),0)</f>
        <v>0</v>
      </c>
      <c r="H381" s="0" t="str">
        <f aca="false">IF(C381="","",TRIM(MID(C381,LEN(F381)+2,999)))</f>
        <v/>
      </c>
      <c r="I381" s="0" t="n">
        <f aca="false">IF(OR(C381="",LEFT(C381,2)="//"),0,IFERROR(IF(AND(G381&gt;0,G381=INT(G381),FIND("-",E381)&gt;1,NOT(EXACT(UPPER(LEFT(E381,1)),LOWER(LEFT(E381,1)))),ISNUMBER(VALUE(MID(E381,FIND("-",E381)+1,10)))),1,0),0))</f>
        <v>0</v>
      </c>
      <c r="J381" s="0" t="str">
        <f aca="false">IF(I381=1,TRIM(LEFT(H381,MAX(0,LEN(H381)-LEN(D381)))),"")</f>
        <v/>
      </c>
      <c r="K381" s="0" t="str">
        <f aca="false">INDEX($P$2:$P$21,A381)</f>
        <v>Deck 7</v>
      </c>
      <c r="L381" s="0" t="n">
        <f aca="false">IF(AND(C381&lt;&gt;"",LEFT(C381,2)&lt;&gt;"//",I381=0),1,0)</f>
        <v>0</v>
      </c>
      <c r="M381" s="0" t="str">
        <f aca="false">IF(I381=1,MAX(M$1:M380)+1,"")</f>
        <v/>
      </c>
      <c r="N381" s="0" t="str">
        <f aca="false">IFERROR(MATCH(ROW()-1,$V$2:$V$1201,0),"")</f>
        <v/>
      </c>
      <c r="R381" s="0" t="str">
        <f aca="false">IF(E381="","",IFERROR(LEFT(E381,FIND("-",E381)-1),E381))</f>
        <v/>
      </c>
      <c r="S381" s="0" t="str">
        <f aca="false">IF(R381="","",IF(ISNUMBER(--MID(R381,1,1)),0,IF(ISNUMBER(--MID(R381,2,1)),1,IF(ISNUMBER(--MID(R381,3,1)),2,IF(ISNUMBER(--MID(R381,4,1)),3,MIN(LEN(R381),4))))))</f>
        <v/>
      </c>
      <c r="T381" s="0" t="str">
        <f aca="false">IF(E381="","",LEFT(R381,S381)&amp;REPT("0",4-S381)&amp;RIGHT("000"&amp;IFERROR(VALUE(MID(R381,S381+1,9)),0),3)&amp;RIGHT("0000"&amp;IFERROR(VALUE(MID(E381,FIND("-",E381)+1,9)),0),4))</f>
        <v/>
      </c>
      <c r="U381" s="0" t="str">
        <f aca="false">IF(I381=1,"K"&amp;RIGHT("00"&amp;A381,2)&amp;T381&amp;RIGHT("00000"&amp;ROW(),5),"")</f>
        <v/>
      </c>
      <c r="V381" s="0" t="str">
        <f aca="false">IF(U381="","",COUNTIFS($I$2:$I$1201,1,$U$2:$U$1201,"&lt;"&amp;U381)+1)</f>
        <v/>
      </c>
    </row>
    <row r="382" customFormat="false" ht="15" hidden="false" customHeight="false" outlineLevel="0" collapsed="false">
      <c r="A382" s="0" t="n">
        <v>7</v>
      </c>
      <c r="B382" s="0" t="n">
        <v>21</v>
      </c>
      <c r="C382" s="0" t="str">
        <f aca="false">TRIM(SUBSTITUTE(INDEX(LISTAS!$A$4:$T$63,B382,A382)&amp;"",CHAR(160)," "))</f>
        <v/>
      </c>
      <c r="D382" s="0" t="str">
        <f aca="false">IF(C382="","",TRIM(RIGHT(SUBSTITUTE(C382," ",REPT(" ",100)),100)))</f>
        <v/>
      </c>
      <c r="E382" s="0" t="str">
        <f aca="false">IF(D382="","",UPPER(SUBSTITUTE(SUBSTITUTE(D382,"(",""),")","")))</f>
        <v/>
      </c>
      <c r="F382" s="0" t="str">
        <f aca="false">IF(C382="","",LEFT(C382,FIND(" ",C382&amp;" ")-1))</f>
        <v/>
      </c>
      <c r="G382" s="0" t="n">
        <f aca="false">IFERROR(VALUE(SUBSTITUTE(LOWER(F382),"x","")),0)</f>
        <v>0</v>
      </c>
      <c r="H382" s="0" t="str">
        <f aca="false">IF(C382="","",TRIM(MID(C382,LEN(F382)+2,999)))</f>
        <v/>
      </c>
      <c r="I382" s="0" t="n">
        <f aca="false">IF(OR(C382="",LEFT(C382,2)="//"),0,IFERROR(IF(AND(G382&gt;0,G382=INT(G382),FIND("-",E382)&gt;1,NOT(EXACT(UPPER(LEFT(E382,1)),LOWER(LEFT(E382,1)))),ISNUMBER(VALUE(MID(E382,FIND("-",E382)+1,10)))),1,0),0))</f>
        <v>0</v>
      </c>
      <c r="J382" s="0" t="str">
        <f aca="false">IF(I382=1,TRIM(LEFT(H382,MAX(0,LEN(H382)-LEN(D382)))),"")</f>
        <v/>
      </c>
      <c r="K382" s="0" t="str">
        <f aca="false">INDEX($P$2:$P$21,A382)</f>
        <v>Deck 7</v>
      </c>
      <c r="L382" s="0" t="n">
        <f aca="false">IF(AND(C382&lt;&gt;"",LEFT(C382,2)&lt;&gt;"//",I382=0),1,0)</f>
        <v>0</v>
      </c>
      <c r="M382" s="0" t="str">
        <f aca="false">IF(I382=1,MAX(M$1:M381)+1,"")</f>
        <v/>
      </c>
      <c r="N382" s="0" t="str">
        <f aca="false">IFERROR(MATCH(ROW()-1,$V$2:$V$1201,0),"")</f>
        <v/>
      </c>
      <c r="R382" s="0" t="str">
        <f aca="false">IF(E382="","",IFERROR(LEFT(E382,FIND("-",E382)-1),E382))</f>
        <v/>
      </c>
      <c r="S382" s="0" t="str">
        <f aca="false">IF(R382="","",IF(ISNUMBER(--MID(R382,1,1)),0,IF(ISNUMBER(--MID(R382,2,1)),1,IF(ISNUMBER(--MID(R382,3,1)),2,IF(ISNUMBER(--MID(R382,4,1)),3,MIN(LEN(R382),4))))))</f>
        <v/>
      </c>
      <c r="T382" s="0" t="str">
        <f aca="false">IF(E382="","",LEFT(R382,S382)&amp;REPT("0",4-S382)&amp;RIGHT("000"&amp;IFERROR(VALUE(MID(R382,S382+1,9)),0),3)&amp;RIGHT("0000"&amp;IFERROR(VALUE(MID(E382,FIND("-",E382)+1,9)),0),4))</f>
        <v/>
      </c>
      <c r="U382" s="0" t="str">
        <f aca="false">IF(I382=1,"K"&amp;RIGHT("00"&amp;A382,2)&amp;T382&amp;RIGHT("00000"&amp;ROW(),5),"")</f>
        <v/>
      </c>
      <c r="V382" s="0" t="str">
        <f aca="false">IF(U382="","",COUNTIFS($I$2:$I$1201,1,$U$2:$U$1201,"&lt;"&amp;U382)+1)</f>
        <v/>
      </c>
    </row>
    <row r="383" customFormat="false" ht="15" hidden="false" customHeight="false" outlineLevel="0" collapsed="false">
      <c r="A383" s="0" t="n">
        <v>7</v>
      </c>
      <c r="B383" s="0" t="n">
        <v>22</v>
      </c>
      <c r="C383" s="0" t="str">
        <f aca="false">TRIM(SUBSTITUTE(INDEX(LISTAS!$A$4:$T$63,B383,A383)&amp;"",CHAR(160)," "))</f>
        <v/>
      </c>
      <c r="D383" s="0" t="str">
        <f aca="false">IF(C383="","",TRIM(RIGHT(SUBSTITUTE(C383," ",REPT(" ",100)),100)))</f>
        <v/>
      </c>
      <c r="E383" s="0" t="str">
        <f aca="false">IF(D383="","",UPPER(SUBSTITUTE(SUBSTITUTE(D383,"(",""),")","")))</f>
        <v/>
      </c>
      <c r="F383" s="0" t="str">
        <f aca="false">IF(C383="","",LEFT(C383,FIND(" ",C383&amp;" ")-1))</f>
        <v/>
      </c>
      <c r="G383" s="0" t="n">
        <f aca="false">IFERROR(VALUE(SUBSTITUTE(LOWER(F383),"x","")),0)</f>
        <v>0</v>
      </c>
      <c r="H383" s="0" t="str">
        <f aca="false">IF(C383="","",TRIM(MID(C383,LEN(F383)+2,999)))</f>
        <v/>
      </c>
      <c r="I383" s="0" t="n">
        <f aca="false">IF(OR(C383="",LEFT(C383,2)="//"),0,IFERROR(IF(AND(G383&gt;0,G383=INT(G383),FIND("-",E383)&gt;1,NOT(EXACT(UPPER(LEFT(E383,1)),LOWER(LEFT(E383,1)))),ISNUMBER(VALUE(MID(E383,FIND("-",E383)+1,10)))),1,0),0))</f>
        <v>0</v>
      </c>
      <c r="J383" s="0" t="str">
        <f aca="false">IF(I383=1,TRIM(LEFT(H383,MAX(0,LEN(H383)-LEN(D383)))),"")</f>
        <v/>
      </c>
      <c r="K383" s="0" t="str">
        <f aca="false">INDEX($P$2:$P$21,A383)</f>
        <v>Deck 7</v>
      </c>
      <c r="L383" s="0" t="n">
        <f aca="false">IF(AND(C383&lt;&gt;"",LEFT(C383,2)&lt;&gt;"//",I383=0),1,0)</f>
        <v>0</v>
      </c>
      <c r="M383" s="0" t="str">
        <f aca="false">IF(I383=1,MAX(M$1:M382)+1,"")</f>
        <v/>
      </c>
      <c r="N383" s="0" t="str">
        <f aca="false">IFERROR(MATCH(ROW()-1,$V$2:$V$1201,0),"")</f>
        <v/>
      </c>
      <c r="R383" s="0" t="str">
        <f aca="false">IF(E383="","",IFERROR(LEFT(E383,FIND("-",E383)-1),E383))</f>
        <v/>
      </c>
      <c r="S383" s="0" t="str">
        <f aca="false">IF(R383="","",IF(ISNUMBER(--MID(R383,1,1)),0,IF(ISNUMBER(--MID(R383,2,1)),1,IF(ISNUMBER(--MID(R383,3,1)),2,IF(ISNUMBER(--MID(R383,4,1)),3,MIN(LEN(R383),4))))))</f>
        <v/>
      </c>
      <c r="T383" s="0" t="str">
        <f aca="false">IF(E383="","",LEFT(R383,S383)&amp;REPT("0",4-S383)&amp;RIGHT("000"&amp;IFERROR(VALUE(MID(R383,S383+1,9)),0),3)&amp;RIGHT("0000"&amp;IFERROR(VALUE(MID(E383,FIND("-",E383)+1,9)),0),4))</f>
        <v/>
      </c>
      <c r="U383" s="0" t="str">
        <f aca="false">IF(I383=1,"K"&amp;RIGHT("00"&amp;A383,2)&amp;T383&amp;RIGHT("00000"&amp;ROW(),5),"")</f>
        <v/>
      </c>
      <c r="V383" s="0" t="str">
        <f aca="false">IF(U383="","",COUNTIFS($I$2:$I$1201,1,$U$2:$U$1201,"&lt;"&amp;U383)+1)</f>
        <v/>
      </c>
    </row>
    <row r="384" customFormat="false" ht="15" hidden="false" customHeight="false" outlineLevel="0" collapsed="false">
      <c r="A384" s="0" t="n">
        <v>7</v>
      </c>
      <c r="B384" s="0" t="n">
        <v>23</v>
      </c>
      <c r="C384" s="0" t="str">
        <f aca="false">TRIM(SUBSTITUTE(INDEX(LISTAS!$A$4:$T$63,B384,A384)&amp;"",CHAR(160)," "))</f>
        <v/>
      </c>
      <c r="D384" s="0" t="str">
        <f aca="false">IF(C384="","",TRIM(RIGHT(SUBSTITUTE(C384," ",REPT(" ",100)),100)))</f>
        <v/>
      </c>
      <c r="E384" s="0" t="str">
        <f aca="false">IF(D384="","",UPPER(SUBSTITUTE(SUBSTITUTE(D384,"(",""),")","")))</f>
        <v/>
      </c>
      <c r="F384" s="0" t="str">
        <f aca="false">IF(C384="","",LEFT(C384,FIND(" ",C384&amp;" ")-1))</f>
        <v/>
      </c>
      <c r="G384" s="0" t="n">
        <f aca="false">IFERROR(VALUE(SUBSTITUTE(LOWER(F384),"x","")),0)</f>
        <v>0</v>
      </c>
      <c r="H384" s="0" t="str">
        <f aca="false">IF(C384="","",TRIM(MID(C384,LEN(F384)+2,999)))</f>
        <v/>
      </c>
      <c r="I384" s="0" t="n">
        <f aca="false">IF(OR(C384="",LEFT(C384,2)="//"),0,IFERROR(IF(AND(G384&gt;0,G384=INT(G384),FIND("-",E384)&gt;1,NOT(EXACT(UPPER(LEFT(E384,1)),LOWER(LEFT(E384,1)))),ISNUMBER(VALUE(MID(E384,FIND("-",E384)+1,10)))),1,0),0))</f>
        <v>0</v>
      </c>
      <c r="J384" s="0" t="str">
        <f aca="false">IF(I384=1,TRIM(LEFT(H384,MAX(0,LEN(H384)-LEN(D384)))),"")</f>
        <v/>
      </c>
      <c r="K384" s="0" t="str">
        <f aca="false">INDEX($P$2:$P$21,A384)</f>
        <v>Deck 7</v>
      </c>
      <c r="L384" s="0" t="n">
        <f aca="false">IF(AND(C384&lt;&gt;"",LEFT(C384,2)&lt;&gt;"//",I384=0),1,0)</f>
        <v>0</v>
      </c>
      <c r="M384" s="0" t="str">
        <f aca="false">IF(I384=1,MAX(M$1:M383)+1,"")</f>
        <v/>
      </c>
      <c r="N384" s="0" t="str">
        <f aca="false">IFERROR(MATCH(ROW()-1,$V$2:$V$1201,0),"")</f>
        <v/>
      </c>
      <c r="R384" s="0" t="str">
        <f aca="false">IF(E384="","",IFERROR(LEFT(E384,FIND("-",E384)-1),E384))</f>
        <v/>
      </c>
      <c r="S384" s="0" t="str">
        <f aca="false">IF(R384="","",IF(ISNUMBER(--MID(R384,1,1)),0,IF(ISNUMBER(--MID(R384,2,1)),1,IF(ISNUMBER(--MID(R384,3,1)),2,IF(ISNUMBER(--MID(R384,4,1)),3,MIN(LEN(R384),4))))))</f>
        <v/>
      </c>
      <c r="T384" s="0" t="str">
        <f aca="false">IF(E384="","",LEFT(R384,S384)&amp;REPT("0",4-S384)&amp;RIGHT("000"&amp;IFERROR(VALUE(MID(R384,S384+1,9)),0),3)&amp;RIGHT("0000"&amp;IFERROR(VALUE(MID(E384,FIND("-",E384)+1,9)),0),4))</f>
        <v/>
      </c>
      <c r="U384" s="0" t="str">
        <f aca="false">IF(I384=1,"K"&amp;RIGHT("00"&amp;A384,2)&amp;T384&amp;RIGHT("00000"&amp;ROW(),5),"")</f>
        <v/>
      </c>
      <c r="V384" s="0" t="str">
        <f aca="false">IF(U384="","",COUNTIFS($I$2:$I$1201,1,$U$2:$U$1201,"&lt;"&amp;U384)+1)</f>
        <v/>
      </c>
    </row>
    <row r="385" customFormat="false" ht="15" hidden="false" customHeight="false" outlineLevel="0" collapsed="false">
      <c r="A385" s="0" t="n">
        <v>7</v>
      </c>
      <c r="B385" s="0" t="n">
        <v>24</v>
      </c>
      <c r="C385" s="0" t="str">
        <f aca="false">TRIM(SUBSTITUTE(INDEX(LISTAS!$A$4:$T$63,B385,A385)&amp;"",CHAR(160)," "))</f>
        <v/>
      </c>
      <c r="D385" s="0" t="str">
        <f aca="false">IF(C385="","",TRIM(RIGHT(SUBSTITUTE(C385," ",REPT(" ",100)),100)))</f>
        <v/>
      </c>
      <c r="E385" s="0" t="str">
        <f aca="false">IF(D385="","",UPPER(SUBSTITUTE(SUBSTITUTE(D385,"(",""),")","")))</f>
        <v/>
      </c>
      <c r="F385" s="0" t="str">
        <f aca="false">IF(C385="","",LEFT(C385,FIND(" ",C385&amp;" ")-1))</f>
        <v/>
      </c>
      <c r="G385" s="0" t="n">
        <f aca="false">IFERROR(VALUE(SUBSTITUTE(LOWER(F385),"x","")),0)</f>
        <v>0</v>
      </c>
      <c r="H385" s="0" t="str">
        <f aca="false">IF(C385="","",TRIM(MID(C385,LEN(F385)+2,999)))</f>
        <v/>
      </c>
      <c r="I385" s="0" t="n">
        <f aca="false">IF(OR(C385="",LEFT(C385,2)="//"),0,IFERROR(IF(AND(G385&gt;0,G385=INT(G385),FIND("-",E385)&gt;1,NOT(EXACT(UPPER(LEFT(E385,1)),LOWER(LEFT(E385,1)))),ISNUMBER(VALUE(MID(E385,FIND("-",E385)+1,10)))),1,0),0))</f>
        <v>0</v>
      </c>
      <c r="J385" s="0" t="str">
        <f aca="false">IF(I385=1,TRIM(LEFT(H385,MAX(0,LEN(H385)-LEN(D385)))),"")</f>
        <v/>
      </c>
      <c r="K385" s="0" t="str">
        <f aca="false">INDEX($P$2:$P$21,A385)</f>
        <v>Deck 7</v>
      </c>
      <c r="L385" s="0" t="n">
        <f aca="false">IF(AND(C385&lt;&gt;"",LEFT(C385,2)&lt;&gt;"//",I385=0),1,0)</f>
        <v>0</v>
      </c>
      <c r="M385" s="0" t="str">
        <f aca="false">IF(I385=1,MAX(M$1:M384)+1,"")</f>
        <v/>
      </c>
      <c r="N385" s="0" t="str">
        <f aca="false">IFERROR(MATCH(ROW()-1,$V$2:$V$1201,0),"")</f>
        <v/>
      </c>
      <c r="R385" s="0" t="str">
        <f aca="false">IF(E385="","",IFERROR(LEFT(E385,FIND("-",E385)-1),E385))</f>
        <v/>
      </c>
      <c r="S385" s="0" t="str">
        <f aca="false">IF(R385="","",IF(ISNUMBER(--MID(R385,1,1)),0,IF(ISNUMBER(--MID(R385,2,1)),1,IF(ISNUMBER(--MID(R385,3,1)),2,IF(ISNUMBER(--MID(R385,4,1)),3,MIN(LEN(R385),4))))))</f>
        <v/>
      </c>
      <c r="T385" s="0" t="str">
        <f aca="false">IF(E385="","",LEFT(R385,S385)&amp;REPT("0",4-S385)&amp;RIGHT("000"&amp;IFERROR(VALUE(MID(R385,S385+1,9)),0),3)&amp;RIGHT("0000"&amp;IFERROR(VALUE(MID(E385,FIND("-",E385)+1,9)),0),4))</f>
        <v/>
      </c>
      <c r="U385" s="0" t="str">
        <f aca="false">IF(I385=1,"K"&amp;RIGHT("00"&amp;A385,2)&amp;T385&amp;RIGHT("00000"&amp;ROW(),5),"")</f>
        <v/>
      </c>
      <c r="V385" s="0" t="str">
        <f aca="false">IF(U385="","",COUNTIFS($I$2:$I$1201,1,$U$2:$U$1201,"&lt;"&amp;U385)+1)</f>
        <v/>
      </c>
    </row>
    <row r="386" customFormat="false" ht="15" hidden="false" customHeight="false" outlineLevel="0" collapsed="false">
      <c r="A386" s="0" t="n">
        <v>7</v>
      </c>
      <c r="B386" s="0" t="n">
        <v>25</v>
      </c>
      <c r="C386" s="0" t="str">
        <f aca="false">TRIM(SUBSTITUTE(INDEX(LISTAS!$A$4:$T$63,B386,A386)&amp;"",CHAR(160)," "))</f>
        <v/>
      </c>
      <c r="D386" s="0" t="str">
        <f aca="false">IF(C386="","",TRIM(RIGHT(SUBSTITUTE(C386," ",REPT(" ",100)),100)))</f>
        <v/>
      </c>
      <c r="E386" s="0" t="str">
        <f aca="false">IF(D386="","",UPPER(SUBSTITUTE(SUBSTITUTE(D386,"(",""),")","")))</f>
        <v/>
      </c>
      <c r="F386" s="0" t="str">
        <f aca="false">IF(C386="","",LEFT(C386,FIND(" ",C386&amp;" ")-1))</f>
        <v/>
      </c>
      <c r="G386" s="0" t="n">
        <f aca="false">IFERROR(VALUE(SUBSTITUTE(LOWER(F386),"x","")),0)</f>
        <v>0</v>
      </c>
      <c r="H386" s="0" t="str">
        <f aca="false">IF(C386="","",TRIM(MID(C386,LEN(F386)+2,999)))</f>
        <v/>
      </c>
      <c r="I386" s="0" t="n">
        <f aca="false">IF(OR(C386="",LEFT(C386,2)="//"),0,IFERROR(IF(AND(G386&gt;0,G386=INT(G386),FIND("-",E386)&gt;1,NOT(EXACT(UPPER(LEFT(E386,1)),LOWER(LEFT(E386,1)))),ISNUMBER(VALUE(MID(E386,FIND("-",E386)+1,10)))),1,0),0))</f>
        <v>0</v>
      </c>
      <c r="J386" s="0" t="str">
        <f aca="false">IF(I386=1,TRIM(LEFT(H386,MAX(0,LEN(H386)-LEN(D386)))),"")</f>
        <v/>
      </c>
      <c r="K386" s="0" t="str">
        <f aca="false">INDEX($P$2:$P$21,A386)</f>
        <v>Deck 7</v>
      </c>
      <c r="L386" s="0" t="n">
        <f aca="false">IF(AND(C386&lt;&gt;"",LEFT(C386,2)&lt;&gt;"//",I386=0),1,0)</f>
        <v>0</v>
      </c>
      <c r="M386" s="0" t="str">
        <f aca="false">IF(I386=1,MAX(M$1:M385)+1,"")</f>
        <v/>
      </c>
      <c r="N386" s="0" t="str">
        <f aca="false">IFERROR(MATCH(ROW()-1,$V$2:$V$1201,0),"")</f>
        <v/>
      </c>
      <c r="R386" s="0" t="str">
        <f aca="false">IF(E386="","",IFERROR(LEFT(E386,FIND("-",E386)-1),E386))</f>
        <v/>
      </c>
      <c r="S386" s="0" t="str">
        <f aca="false">IF(R386="","",IF(ISNUMBER(--MID(R386,1,1)),0,IF(ISNUMBER(--MID(R386,2,1)),1,IF(ISNUMBER(--MID(R386,3,1)),2,IF(ISNUMBER(--MID(R386,4,1)),3,MIN(LEN(R386),4))))))</f>
        <v/>
      </c>
      <c r="T386" s="0" t="str">
        <f aca="false">IF(E386="","",LEFT(R386,S386)&amp;REPT("0",4-S386)&amp;RIGHT("000"&amp;IFERROR(VALUE(MID(R386,S386+1,9)),0),3)&amp;RIGHT("0000"&amp;IFERROR(VALUE(MID(E386,FIND("-",E386)+1,9)),0),4))</f>
        <v/>
      </c>
      <c r="U386" s="0" t="str">
        <f aca="false">IF(I386=1,"K"&amp;RIGHT("00"&amp;A386,2)&amp;T386&amp;RIGHT("00000"&amp;ROW(),5),"")</f>
        <v/>
      </c>
      <c r="V386" s="0" t="str">
        <f aca="false">IF(U386="","",COUNTIFS($I$2:$I$1201,1,$U$2:$U$1201,"&lt;"&amp;U386)+1)</f>
        <v/>
      </c>
    </row>
    <row r="387" customFormat="false" ht="15" hidden="false" customHeight="false" outlineLevel="0" collapsed="false">
      <c r="A387" s="0" t="n">
        <v>7</v>
      </c>
      <c r="B387" s="0" t="n">
        <v>26</v>
      </c>
      <c r="C387" s="0" t="str">
        <f aca="false">TRIM(SUBSTITUTE(INDEX(LISTAS!$A$4:$T$63,B387,A387)&amp;"",CHAR(160)," "))</f>
        <v/>
      </c>
      <c r="D387" s="0" t="str">
        <f aca="false">IF(C387="","",TRIM(RIGHT(SUBSTITUTE(C387," ",REPT(" ",100)),100)))</f>
        <v/>
      </c>
      <c r="E387" s="0" t="str">
        <f aca="false">IF(D387="","",UPPER(SUBSTITUTE(SUBSTITUTE(D387,"(",""),")","")))</f>
        <v/>
      </c>
      <c r="F387" s="0" t="str">
        <f aca="false">IF(C387="","",LEFT(C387,FIND(" ",C387&amp;" ")-1))</f>
        <v/>
      </c>
      <c r="G387" s="0" t="n">
        <f aca="false">IFERROR(VALUE(SUBSTITUTE(LOWER(F387),"x","")),0)</f>
        <v>0</v>
      </c>
      <c r="H387" s="0" t="str">
        <f aca="false">IF(C387="","",TRIM(MID(C387,LEN(F387)+2,999)))</f>
        <v/>
      </c>
      <c r="I387" s="0" t="n">
        <f aca="false">IF(OR(C387="",LEFT(C387,2)="//"),0,IFERROR(IF(AND(G387&gt;0,G387=INT(G387),FIND("-",E387)&gt;1,NOT(EXACT(UPPER(LEFT(E387,1)),LOWER(LEFT(E387,1)))),ISNUMBER(VALUE(MID(E387,FIND("-",E387)+1,10)))),1,0),0))</f>
        <v>0</v>
      </c>
      <c r="J387" s="0" t="str">
        <f aca="false">IF(I387=1,TRIM(LEFT(H387,MAX(0,LEN(H387)-LEN(D387)))),"")</f>
        <v/>
      </c>
      <c r="K387" s="0" t="str">
        <f aca="false">INDEX($P$2:$P$21,A387)</f>
        <v>Deck 7</v>
      </c>
      <c r="L387" s="0" t="n">
        <f aca="false">IF(AND(C387&lt;&gt;"",LEFT(C387,2)&lt;&gt;"//",I387=0),1,0)</f>
        <v>0</v>
      </c>
      <c r="M387" s="0" t="str">
        <f aca="false">IF(I387=1,MAX(M$1:M386)+1,"")</f>
        <v/>
      </c>
      <c r="N387" s="0" t="str">
        <f aca="false">IFERROR(MATCH(ROW()-1,$V$2:$V$1201,0),"")</f>
        <v/>
      </c>
      <c r="R387" s="0" t="str">
        <f aca="false">IF(E387="","",IFERROR(LEFT(E387,FIND("-",E387)-1),E387))</f>
        <v/>
      </c>
      <c r="S387" s="0" t="str">
        <f aca="false">IF(R387="","",IF(ISNUMBER(--MID(R387,1,1)),0,IF(ISNUMBER(--MID(R387,2,1)),1,IF(ISNUMBER(--MID(R387,3,1)),2,IF(ISNUMBER(--MID(R387,4,1)),3,MIN(LEN(R387),4))))))</f>
        <v/>
      </c>
      <c r="T387" s="0" t="str">
        <f aca="false">IF(E387="","",LEFT(R387,S387)&amp;REPT("0",4-S387)&amp;RIGHT("000"&amp;IFERROR(VALUE(MID(R387,S387+1,9)),0),3)&amp;RIGHT("0000"&amp;IFERROR(VALUE(MID(E387,FIND("-",E387)+1,9)),0),4))</f>
        <v/>
      </c>
      <c r="U387" s="0" t="str">
        <f aca="false">IF(I387=1,"K"&amp;RIGHT("00"&amp;A387,2)&amp;T387&amp;RIGHT("00000"&amp;ROW(),5),"")</f>
        <v/>
      </c>
      <c r="V387" s="0" t="str">
        <f aca="false">IF(U387="","",COUNTIFS($I$2:$I$1201,1,$U$2:$U$1201,"&lt;"&amp;U387)+1)</f>
        <v/>
      </c>
    </row>
    <row r="388" customFormat="false" ht="15" hidden="false" customHeight="false" outlineLevel="0" collapsed="false">
      <c r="A388" s="0" t="n">
        <v>7</v>
      </c>
      <c r="B388" s="0" t="n">
        <v>27</v>
      </c>
      <c r="C388" s="0" t="str">
        <f aca="false">TRIM(SUBSTITUTE(INDEX(LISTAS!$A$4:$T$63,B388,A388)&amp;"",CHAR(160)," "))</f>
        <v/>
      </c>
      <c r="D388" s="0" t="str">
        <f aca="false">IF(C388="","",TRIM(RIGHT(SUBSTITUTE(C388," ",REPT(" ",100)),100)))</f>
        <v/>
      </c>
      <c r="E388" s="0" t="str">
        <f aca="false">IF(D388="","",UPPER(SUBSTITUTE(SUBSTITUTE(D388,"(",""),")","")))</f>
        <v/>
      </c>
      <c r="F388" s="0" t="str">
        <f aca="false">IF(C388="","",LEFT(C388,FIND(" ",C388&amp;" ")-1))</f>
        <v/>
      </c>
      <c r="G388" s="0" t="n">
        <f aca="false">IFERROR(VALUE(SUBSTITUTE(LOWER(F388),"x","")),0)</f>
        <v>0</v>
      </c>
      <c r="H388" s="0" t="str">
        <f aca="false">IF(C388="","",TRIM(MID(C388,LEN(F388)+2,999)))</f>
        <v/>
      </c>
      <c r="I388" s="0" t="n">
        <f aca="false">IF(OR(C388="",LEFT(C388,2)="//"),0,IFERROR(IF(AND(G388&gt;0,G388=INT(G388),FIND("-",E388)&gt;1,NOT(EXACT(UPPER(LEFT(E388,1)),LOWER(LEFT(E388,1)))),ISNUMBER(VALUE(MID(E388,FIND("-",E388)+1,10)))),1,0),0))</f>
        <v>0</v>
      </c>
      <c r="J388" s="0" t="str">
        <f aca="false">IF(I388=1,TRIM(LEFT(H388,MAX(0,LEN(H388)-LEN(D388)))),"")</f>
        <v/>
      </c>
      <c r="K388" s="0" t="str">
        <f aca="false">INDEX($P$2:$P$21,A388)</f>
        <v>Deck 7</v>
      </c>
      <c r="L388" s="0" t="n">
        <f aca="false">IF(AND(C388&lt;&gt;"",LEFT(C388,2)&lt;&gt;"//",I388=0),1,0)</f>
        <v>0</v>
      </c>
      <c r="M388" s="0" t="str">
        <f aca="false">IF(I388=1,MAX(M$1:M387)+1,"")</f>
        <v/>
      </c>
      <c r="N388" s="0" t="str">
        <f aca="false">IFERROR(MATCH(ROW()-1,$V$2:$V$1201,0),"")</f>
        <v/>
      </c>
      <c r="R388" s="0" t="str">
        <f aca="false">IF(E388="","",IFERROR(LEFT(E388,FIND("-",E388)-1),E388))</f>
        <v/>
      </c>
      <c r="S388" s="0" t="str">
        <f aca="false">IF(R388="","",IF(ISNUMBER(--MID(R388,1,1)),0,IF(ISNUMBER(--MID(R388,2,1)),1,IF(ISNUMBER(--MID(R388,3,1)),2,IF(ISNUMBER(--MID(R388,4,1)),3,MIN(LEN(R388),4))))))</f>
        <v/>
      </c>
      <c r="T388" s="0" t="str">
        <f aca="false">IF(E388="","",LEFT(R388,S388)&amp;REPT("0",4-S388)&amp;RIGHT("000"&amp;IFERROR(VALUE(MID(R388,S388+1,9)),0),3)&amp;RIGHT("0000"&amp;IFERROR(VALUE(MID(E388,FIND("-",E388)+1,9)),0),4))</f>
        <v/>
      </c>
      <c r="U388" s="0" t="str">
        <f aca="false">IF(I388=1,"K"&amp;RIGHT("00"&amp;A388,2)&amp;T388&amp;RIGHT("00000"&amp;ROW(),5),"")</f>
        <v/>
      </c>
      <c r="V388" s="0" t="str">
        <f aca="false">IF(U388="","",COUNTIFS($I$2:$I$1201,1,$U$2:$U$1201,"&lt;"&amp;U388)+1)</f>
        <v/>
      </c>
    </row>
    <row r="389" customFormat="false" ht="15" hidden="false" customHeight="false" outlineLevel="0" collapsed="false">
      <c r="A389" s="0" t="n">
        <v>7</v>
      </c>
      <c r="B389" s="0" t="n">
        <v>28</v>
      </c>
      <c r="C389" s="0" t="str">
        <f aca="false">TRIM(SUBSTITUTE(INDEX(LISTAS!$A$4:$T$63,B389,A389)&amp;"",CHAR(160)," "))</f>
        <v/>
      </c>
      <c r="D389" s="0" t="str">
        <f aca="false">IF(C389="","",TRIM(RIGHT(SUBSTITUTE(C389," ",REPT(" ",100)),100)))</f>
        <v/>
      </c>
      <c r="E389" s="0" t="str">
        <f aca="false">IF(D389="","",UPPER(SUBSTITUTE(SUBSTITUTE(D389,"(",""),")","")))</f>
        <v/>
      </c>
      <c r="F389" s="0" t="str">
        <f aca="false">IF(C389="","",LEFT(C389,FIND(" ",C389&amp;" ")-1))</f>
        <v/>
      </c>
      <c r="G389" s="0" t="n">
        <f aca="false">IFERROR(VALUE(SUBSTITUTE(LOWER(F389),"x","")),0)</f>
        <v>0</v>
      </c>
      <c r="H389" s="0" t="str">
        <f aca="false">IF(C389="","",TRIM(MID(C389,LEN(F389)+2,999)))</f>
        <v/>
      </c>
      <c r="I389" s="0" t="n">
        <f aca="false">IF(OR(C389="",LEFT(C389,2)="//"),0,IFERROR(IF(AND(G389&gt;0,G389=INT(G389),FIND("-",E389)&gt;1,NOT(EXACT(UPPER(LEFT(E389,1)),LOWER(LEFT(E389,1)))),ISNUMBER(VALUE(MID(E389,FIND("-",E389)+1,10)))),1,0),0))</f>
        <v>0</v>
      </c>
      <c r="J389" s="0" t="str">
        <f aca="false">IF(I389=1,TRIM(LEFT(H389,MAX(0,LEN(H389)-LEN(D389)))),"")</f>
        <v/>
      </c>
      <c r="K389" s="0" t="str">
        <f aca="false">INDEX($P$2:$P$21,A389)</f>
        <v>Deck 7</v>
      </c>
      <c r="L389" s="0" t="n">
        <f aca="false">IF(AND(C389&lt;&gt;"",LEFT(C389,2)&lt;&gt;"//",I389=0),1,0)</f>
        <v>0</v>
      </c>
      <c r="M389" s="0" t="str">
        <f aca="false">IF(I389=1,MAX(M$1:M388)+1,"")</f>
        <v/>
      </c>
      <c r="N389" s="0" t="str">
        <f aca="false">IFERROR(MATCH(ROW()-1,$V$2:$V$1201,0),"")</f>
        <v/>
      </c>
      <c r="R389" s="0" t="str">
        <f aca="false">IF(E389="","",IFERROR(LEFT(E389,FIND("-",E389)-1),E389))</f>
        <v/>
      </c>
      <c r="S389" s="0" t="str">
        <f aca="false">IF(R389="","",IF(ISNUMBER(--MID(R389,1,1)),0,IF(ISNUMBER(--MID(R389,2,1)),1,IF(ISNUMBER(--MID(R389,3,1)),2,IF(ISNUMBER(--MID(R389,4,1)),3,MIN(LEN(R389),4))))))</f>
        <v/>
      </c>
      <c r="T389" s="0" t="str">
        <f aca="false">IF(E389="","",LEFT(R389,S389)&amp;REPT("0",4-S389)&amp;RIGHT("000"&amp;IFERROR(VALUE(MID(R389,S389+1,9)),0),3)&amp;RIGHT("0000"&amp;IFERROR(VALUE(MID(E389,FIND("-",E389)+1,9)),0),4))</f>
        <v/>
      </c>
      <c r="U389" s="0" t="str">
        <f aca="false">IF(I389=1,"K"&amp;RIGHT("00"&amp;A389,2)&amp;T389&amp;RIGHT("00000"&amp;ROW(),5),"")</f>
        <v/>
      </c>
      <c r="V389" s="0" t="str">
        <f aca="false">IF(U389="","",COUNTIFS($I$2:$I$1201,1,$U$2:$U$1201,"&lt;"&amp;U389)+1)</f>
        <v/>
      </c>
    </row>
    <row r="390" customFormat="false" ht="15" hidden="false" customHeight="false" outlineLevel="0" collapsed="false">
      <c r="A390" s="0" t="n">
        <v>7</v>
      </c>
      <c r="B390" s="0" t="n">
        <v>29</v>
      </c>
      <c r="C390" s="0" t="str">
        <f aca="false">TRIM(SUBSTITUTE(INDEX(LISTAS!$A$4:$T$63,B390,A390)&amp;"",CHAR(160)," "))</f>
        <v/>
      </c>
      <c r="D390" s="0" t="str">
        <f aca="false">IF(C390="","",TRIM(RIGHT(SUBSTITUTE(C390," ",REPT(" ",100)),100)))</f>
        <v/>
      </c>
      <c r="E390" s="0" t="str">
        <f aca="false">IF(D390="","",UPPER(SUBSTITUTE(SUBSTITUTE(D390,"(",""),")","")))</f>
        <v/>
      </c>
      <c r="F390" s="0" t="str">
        <f aca="false">IF(C390="","",LEFT(C390,FIND(" ",C390&amp;" ")-1))</f>
        <v/>
      </c>
      <c r="G390" s="0" t="n">
        <f aca="false">IFERROR(VALUE(SUBSTITUTE(LOWER(F390),"x","")),0)</f>
        <v>0</v>
      </c>
      <c r="H390" s="0" t="str">
        <f aca="false">IF(C390="","",TRIM(MID(C390,LEN(F390)+2,999)))</f>
        <v/>
      </c>
      <c r="I390" s="0" t="n">
        <f aca="false">IF(OR(C390="",LEFT(C390,2)="//"),0,IFERROR(IF(AND(G390&gt;0,G390=INT(G390),FIND("-",E390)&gt;1,NOT(EXACT(UPPER(LEFT(E390,1)),LOWER(LEFT(E390,1)))),ISNUMBER(VALUE(MID(E390,FIND("-",E390)+1,10)))),1,0),0))</f>
        <v>0</v>
      </c>
      <c r="J390" s="0" t="str">
        <f aca="false">IF(I390=1,TRIM(LEFT(H390,MAX(0,LEN(H390)-LEN(D390)))),"")</f>
        <v/>
      </c>
      <c r="K390" s="0" t="str">
        <f aca="false">INDEX($P$2:$P$21,A390)</f>
        <v>Deck 7</v>
      </c>
      <c r="L390" s="0" t="n">
        <f aca="false">IF(AND(C390&lt;&gt;"",LEFT(C390,2)&lt;&gt;"//",I390=0),1,0)</f>
        <v>0</v>
      </c>
      <c r="M390" s="0" t="str">
        <f aca="false">IF(I390=1,MAX(M$1:M389)+1,"")</f>
        <v/>
      </c>
      <c r="N390" s="0" t="str">
        <f aca="false">IFERROR(MATCH(ROW()-1,$V$2:$V$1201,0),"")</f>
        <v/>
      </c>
      <c r="R390" s="0" t="str">
        <f aca="false">IF(E390="","",IFERROR(LEFT(E390,FIND("-",E390)-1),E390))</f>
        <v/>
      </c>
      <c r="S390" s="0" t="str">
        <f aca="false">IF(R390="","",IF(ISNUMBER(--MID(R390,1,1)),0,IF(ISNUMBER(--MID(R390,2,1)),1,IF(ISNUMBER(--MID(R390,3,1)),2,IF(ISNUMBER(--MID(R390,4,1)),3,MIN(LEN(R390),4))))))</f>
        <v/>
      </c>
      <c r="T390" s="0" t="str">
        <f aca="false">IF(E390="","",LEFT(R390,S390)&amp;REPT("0",4-S390)&amp;RIGHT("000"&amp;IFERROR(VALUE(MID(R390,S390+1,9)),0),3)&amp;RIGHT("0000"&amp;IFERROR(VALUE(MID(E390,FIND("-",E390)+1,9)),0),4))</f>
        <v/>
      </c>
      <c r="U390" s="0" t="str">
        <f aca="false">IF(I390=1,"K"&amp;RIGHT("00"&amp;A390,2)&amp;T390&amp;RIGHT("00000"&amp;ROW(),5),"")</f>
        <v/>
      </c>
      <c r="V390" s="0" t="str">
        <f aca="false">IF(U390="","",COUNTIFS($I$2:$I$1201,1,$U$2:$U$1201,"&lt;"&amp;U390)+1)</f>
        <v/>
      </c>
    </row>
    <row r="391" customFormat="false" ht="15" hidden="false" customHeight="false" outlineLevel="0" collapsed="false">
      <c r="A391" s="0" t="n">
        <v>7</v>
      </c>
      <c r="B391" s="0" t="n">
        <v>30</v>
      </c>
      <c r="C391" s="0" t="str">
        <f aca="false">TRIM(SUBSTITUTE(INDEX(LISTAS!$A$4:$T$63,B391,A391)&amp;"",CHAR(160)," "))</f>
        <v/>
      </c>
      <c r="D391" s="0" t="str">
        <f aca="false">IF(C391="","",TRIM(RIGHT(SUBSTITUTE(C391," ",REPT(" ",100)),100)))</f>
        <v/>
      </c>
      <c r="E391" s="0" t="str">
        <f aca="false">IF(D391="","",UPPER(SUBSTITUTE(SUBSTITUTE(D391,"(",""),")","")))</f>
        <v/>
      </c>
      <c r="F391" s="0" t="str">
        <f aca="false">IF(C391="","",LEFT(C391,FIND(" ",C391&amp;" ")-1))</f>
        <v/>
      </c>
      <c r="G391" s="0" t="n">
        <f aca="false">IFERROR(VALUE(SUBSTITUTE(LOWER(F391),"x","")),0)</f>
        <v>0</v>
      </c>
      <c r="H391" s="0" t="str">
        <f aca="false">IF(C391="","",TRIM(MID(C391,LEN(F391)+2,999)))</f>
        <v/>
      </c>
      <c r="I391" s="0" t="n">
        <f aca="false">IF(OR(C391="",LEFT(C391,2)="//"),0,IFERROR(IF(AND(G391&gt;0,G391=INT(G391),FIND("-",E391)&gt;1,NOT(EXACT(UPPER(LEFT(E391,1)),LOWER(LEFT(E391,1)))),ISNUMBER(VALUE(MID(E391,FIND("-",E391)+1,10)))),1,0),0))</f>
        <v>0</v>
      </c>
      <c r="J391" s="0" t="str">
        <f aca="false">IF(I391=1,TRIM(LEFT(H391,MAX(0,LEN(H391)-LEN(D391)))),"")</f>
        <v/>
      </c>
      <c r="K391" s="0" t="str">
        <f aca="false">INDEX($P$2:$P$21,A391)</f>
        <v>Deck 7</v>
      </c>
      <c r="L391" s="0" t="n">
        <f aca="false">IF(AND(C391&lt;&gt;"",LEFT(C391,2)&lt;&gt;"//",I391=0),1,0)</f>
        <v>0</v>
      </c>
      <c r="M391" s="0" t="str">
        <f aca="false">IF(I391=1,MAX(M$1:M390)+1,"")</f>
        <v/>
      </c>
      <c r="N391" s="0" t="str">
        <f aca="false">IFERROR(MATCH(ROW()-1,$V$2:$V$1201,0),"")</f>
        <v/>
      </c>
      <c r="R391" s="0" t="str">
        <f aca="false">IF(E391="","",IFERROR(LEFT(E391,FIND("-",E391)-1),E391))</f>
        <v/>
      </c>
      <c r="S391" s="0" t="str">
        <f aca="false">IF(R391="","",IF(ISNUMBER(--MID(R391,1,1)),0,IF(ISNUMBER(--MID(R391,2,1)),1,IF(ISNUMBER(--MID(R391,3,1)),2,IF(ISNUMBER(--MID(R391,4,1)),3,MIN(LEN(R391),4))))))</f>
        <v/>
      </c>
      <c r="T391" s="0" t="str">
        <f aca="false">IF(E391="","",LEFT(R391,S391)&amp;REPT("0",4-S391)&amp;RIGHT("000"&amp;IFERROR(VALUE(MID(R391,S391+1,9)),0),3)&amp;RIGHT("0000"&amp;IFERROR(VALUE(MID(E391,FIND("-",E391)+1,9)),0),4))</f>
        <v/>
      </c>
      <c r="U391" s="0" t="str">
        <f aca="false">IF(I391=1,"K"&amp;RIGHT("00"&amp;A391,2)&amp;T391&amp;RIGHT("00000"&amp;ROW(),5),"")</f>
        <v/>
      </c>
      <c r="V391" s="0" t="str">
        <f aca="false">IF(U391="","",COUNTIFS($I$2:$I$1201,1,$U$2:$U$1201,"&lt;"&amp;U391)+1)</f>
        <v/>
      </c>
    </row>
    <row r="392" customFormat="false" ht="15" hidden="false" customHeight="false" outlineLevel="0" collapsed="false">
      <c r="A392" s="0" t="n">
        <v>7</v>
      </c>
      <c r="B392" s="0" t="n">
        <v>31</v>
      </c>
      <c r="C392" s="0" t="str">
        <f aca="false">TRIM(SUBSTITUTE(INDEX(LISTAS!$A$4:$T$63,B392,A392)&amp;"",CHAR(160)," "))</f>
        <v/>
      </c>
      <c r="D392" s="0" t="str">
        <f aca="false">IF(C392="","",TRIM(RIGHT(SUBSTITUTE(C392," ",REPT(" ",100)),100)))</f>
        <v/>
      </c>
      <c r="E392" s="0" t="str">
        <f aca="false">IF(D392="","",UPPER(SUBSTITUTE(SUBSTITUTE(D392,"(",""),")","")))</f>
        <v/>
      </c>
      <c r="F392" s="0" t="str">
        <f aca="false">IF(C392="","",LEFT(C392,FIND(" ",C392&amp;" ")-1))</f>
        <v/>
      </c>
      <c r="G392" s="0" t="n">
        <f aca="false">IFERROR(VALUE(SUBSTITUTE(LOWER(F392),"x","")),0)</f>
        <v>0</v>
      </c>
      <c r="H392" s="0" t="str">
        <f aca="false">IF(C392="","",TRIM(MID(C392,LEN(F392)+2,999)))</f>
        <v/>
      </c>
      <c r="I392" s="0" t="n">
        <f aca="false">IF(OR(C392="",LEFT(C392,2)="//"),0,IFERROR(IF(AND(G392&gt;0,G392=INT(G392),FIND("-",E392)&gt;1,NOT(EXACT(UPPER(LEFT(E392,1)),LOWER(LEFT(E392,1)))),ISNUMBER(VALUE(MID(E392,FIND("-",E392)+1,10)))),1,0),0))</f>
        <v>0</v>
      </c>
      <c r="J392" s="0" t="str">
        <f aca="false">IF(I392=1,TRIM(LEFT(H392,MAX(0,LEN(H392)-LEN(D392)))),"")</f>
        <v/>
      </c>
      <c r="K392" s="0" t="str">
        <f aca="false">INDEX($P$2:$P$21,A392)</f>
        <v>Deck 7</v>
      </c>
      <c r="L392" s="0" t="n">
        <f aca="false">IF(AND(C392&lt;&gt;"",LEFT(C392,2)&lt;&gt;"//",I392=0),1,0)</f>
        <v>0</v>
      </c>
      <c r="M392" s="0" t="str">
        <f aca="false">IF(I392=1,MAX(M$1:M391)+1,"")</f>
        <v/>
      </c>
      <c r="N392" s="0" t="str">
        <f aca="false">IFERROR(MATCH(ROW()-1,$V$2:$V$1201,0),"")</f>
        <v/>
      </c>
      <c r="R392" s="0" t="str">
        <f aca="false">IF(E392="","",IFERROR(LEFT(E392,FIND("-",E392)-1),E392))</f>
        <v/>
      </c>
      <c r="S392" s="0" t="str">
        <f aca="false">IF(R392="","",IF(ISNUMBER(--MID(R392,1,1)),0,IF(ISNUMBER(--MID(R392,2,1)),1,IF(ISNUMBER(--MID(R392,3,1)),2,IF(ISNUMBER(--MID(R392,4,1)),3,MIN(LEN(R392),4))))))</f>
        <v/>
      </c>
      <c r="T392" s="0" t="str">
        <f aca="false">IF(E392="","",LEFT(R392,S392)&amp;REPT("0",4-S392)&amp;RIGHT("000"&amp;IFERROR(VALUE(MID(R392,S392+1,9)),0),3)&amp;RIGHT("0000"&amp;IFERROR(VALUE(MID(E392,FIND("-",E392)+1,9)),0),4))</f>
        <v/>
      </c>
      <c r="U392" s="0" t="str">
        <f aca="false">IF(I392=1,"K"&amp;RIGHT("00"&amp;A392,2)&amp;T392&amp;RIGHT("00000"&amp;ROW(),5),"")</f>
        <v/>
      </c>
      <c r="V392" s="0" t="str">
        <f aca="false">IF(U392="","",COUNTIFS($I$2:$I$1201,1,$U$2:$U$1201,"&lt;"&amp;U392)+1)</f>
        <v/>
      </c>
    </row>
    <row r="393" customFormat="false" ht="15" hidden="false" customHeight="false" outlineLevel="0" collapsed="false">
      <c r="A393" s="0" t="n">
        <v>7</v>
      </c>
      <c r="B393" s="0" t="n">
        <v>32</v>
      </c>
      <c r="C393" s="0" t="str">
        <f aca="false">TRIM(SUBSTITUTE(INDEX(LISTAS!$A$4:$T$63,B393,A393)&amp;"",CHAR(160)," "))</f>
        <v/>
      </c>
      <c r="D393" s="0" t="str">
        <f aca="false">IF(C393="","",TRIM(RIGHT(SUBSTITUTE(C393," ",REPT(" ",100)),100)))</f>
        <v/>
      </c>
      <c r="E393" s="0" t="str">
        <f aca="false">IF(D393="","",UPPER(SUBSTITUTE(SUBSTITUTE(D393,"(",""),")","")))</f>
        <v/>
      </c>
      <c r="F393" s="0" t="str">
        <f aca="false">IF(C393="","",LEFT(C393,FIND(" ",C393&amp;" ")-1))</f>
        <v/>
      </c>
      <c r="G393" s="0" t="n">
        <f aca="false">IFERROR(VALUE(SUBSTITUTE(LOWER(F393),"x","")),0)</f>
        <v>0</v>
      </c>
      <c r="H393" s="0" t="str">
        <f aca="false">IF(C393="","",TRIM(MID(C393,LEN(F393)+2,999)))</f>
        <v/>
      </c>
      <c r="I393" s="0" t="n">
        <f aca="false">IF(OR(C393="",LEFT(C393,2)="//"),0,IFERROR(IF(AND(G393&gt;0,G393=INT(G393),FIND("-",E393)&gt;1,NOT(EXACT(UPPER(LEFT(E393,1)),LOWER(LEFT(E393,1)))),ISNUMBER(VALUE(MID(E393,FIND("-",E393)+1,10)))),1,0),0))</f>
        <v>0</v>
      </c>
      <c r="J393" s="0" t="str">
        <f aca="false">IF(I393=1,TRIM(LEFT(H393,MAX(0,LEN(H393)-LEN(D393)))),"")</f>
        <v/>
      </c>
      <c r="K393" s="0" t="str">
        <f aca="false">INDEX($P$2:$P$21,A393)</f>
        <v>Deck 7</v>
      </c>
      <c r="L393" s="0" t="n">
        <f aca="false">IF(AND(C393&lt;&gt;"",LEFT(C393,2)&lt;&gt;"//",I393=0),1,0)</f>
        <v>0</v>
      </c>
      <c r="M393" s="0" t="str">
        <f aca="false">IF(I393=1,MAX(M$1:M392)+1,"")</f>
        <v/>
      </c>
      <c r="N393" s="0" t="str">
        <f aca="false">IFERROR(MATCH(ROW()-1,$V$2:$V$1201,0),"")</f>
        <v/>
      </c>
      <c r="R393" s="0" t="str">
        <f aca="false">IF(E393="","",IFERROR(LEFT(E393,FIND("-",E393)-1),E393))</f>
        <v/>
      </c>
      <c r="S393" s="0" t="str">
        <f aca="false">IF(R393="","",IF(ISNUMBER(--MID(R393,1,1)),0,IF(ISNUMBER(--MID(R393,2,1)),1,IF(ISNUMBER(--MID(R393,3,1)),2,IF(ISNUMBER(--MID(R393,4,1)),3,MIN(LEN(R393),4))))))</f>
        <v/>
      </c>
      <c r="T393" s="0" t="str">
        <f aca="false">IF(E393="","",LEFT(R393,S393)&amp;REPT("0",4-S393)&amp;RIGHT("000"&amp;IFERROR(VALUE(MID(R393,S393+1,9)),0),3)&amp;RIGHT("0000"&amp;IFERROR(VALUE(MID(E393,FIND("-",E393)+1,9)),0),4))</f>
        <v/>
      </c>
      <c r="U393" s="0" t="str">
        <f aca="false">IF(I393=1,"K"&amp;RIGHT("00"&amp;A393,2)&amp;T393&amp;RIGHT("00000"&amp;ROW(),5),"")</f>
        <v/>
      </c>
      <c r="V393" s="0" t="str">
        <f aca="false">IF(U393="","",COUNTIFS($I$2:$I$1201,1,$U$2:$U$1201,"&lt;"&amp;U393)+1)</f>
        <v/>
      </c>
    </row>
    <row r="394" customFormat="false" ht="15" hidden="false" customHeight="false" outlineLevel="0" collapsed="false">
      <c r="A394" s="0" t="n">
        <v>7</v>
      </c>
      <c r="B394" s="0" t="n">
        <v>33</v>
      </c>
      <c r="C394" s="0" t="str">
        <f aca="false">TRIM(SUBSTITUTE(INDEX(LISTAS!$A$4:$T$63,B394,A394)&amp;"",CHAR(160)," "))</f>
        <v/>
      </c>
      <c r="D394" s="0" t="str">
        <f aca="false">IF(C394="","",TRIM(RIGHT(SUBSTITUTE(C394," ",REPT(" ",100)),100)))</f>
        <v/>
      </c>
      <c r="E394" s="0" t="str">
        <f aca="false">IF(D394="","",UPPER(SUBSTITUTE(SUBSTITUTE(D394,"(",""),")","")))</f>
        <v/>
      </c>
      <c r="F394" s="0" t="str">
        <f aca="false">IF(C394="","",LEFT(C394,FIND(" ",C394&amp;" ")-1))</f>
        <v/>
      </c>
      <c r="G394" s="0" t="n">
        <f aca="false">IFERROR(VALUE(SUBSTITUTE(LOWER(F394),"x","")),0)</f>
        <v>0</v>
      </c>
      <c r="H394" s="0" t="str">
        <f aca="false">IF(C394="","",TRIM(MID(C394,LEN(F394)+2,999)))</f>
        <v/>
      </c>
      <c r="I394" s="0" t="n">
        <f aca="false">IF(OR(C394="",LEFT(C394,2)="//"),0,IFERROR(IF(AND(G394&gt;0,G394=INT(G394),FIND("-",E394)&gt;1,NOT(EXACT(UPPER(LEFT(E394,1)),LOWER(LEFT(E394,1)))),ISNUMBER(VALUE(MID(E394,FIND("-",E394)+1,10)))),1,0),0))</f>
        <v>0</v>
      </c>
      <c r="J394" s="0" t="str">
        <f aca="false">IF(I394=1,TRIM(LEFT(H394,MAX(0,LEN(H394)-LEN(D394)))),"")</f>
        <v/>
      </c>
      <c r="K394" s="0" t="str">
        <f aca="false">INDEX($P$2:$P$21,A394)</f>
        <v>Deck 7</v>
      </c>
      <c r="L394" s="0" t="n">
        <f aca="false">IF(AND(C394&lt;&gt;"",LEFT(C394,2)&lt;&gt;"//",I394=0),1,0)</f>
        <v>0</v>
      </c>
      <c r="M394" s="0" t="str">
        <f aca="false">IF(I394=1,MAX(M$1:M393)+1,"")</f>
        <v/>
      </c>
      <c r="N394" s="0" t="str">
        <f aca="false">IFERROR(MATCH(ROW()-1,$V$2:$V$1201,0),"")</f>
        <v/>
      </c>
      <c r="R394" s="0" t="str">
        <f aca="false">IF(E394="","",IFERROR(LEFT(E394,FIND("-",E394)-1),E394))</f>
        <v/>
      </c>
      <c r="S394" s="0" t="str">
        <f aca="false">IF(R394="","",IF(ISNUMBER(--MID(R394,1,1)),0,IF(ISNUMBER(--MID(R394,2,1)),1,IF(ISNUMBER(--MID(R394,3,1)),2,IF(ISNUMBER(--MID(R394,4,1)),3,MIN(LEN(R394),4))))))</f>
        <v/>
      </c>
      <c r="T394" s="0" t="str">
        <f aca="false">IF(E394="","",LEFT(R394,S394)&amp;REPT("0",4-S394)&amp;RIGHT("000"&amp;IFERROR(VALUE(MID(R394,S394+1,9)),0),3)&amp;RIGHT("0000"&amp;IFERROR(VALUE(MID(E394,FIND("-",E394)+1,9)),0),4))</f>
        <v/>
      </c>
      <c r="U394" s="0" t="str">
        <f aca="false">IF(I394=1,"K"&amp;RIGHT("00"&amp;A394,2)&amp;T394&amp;RIGHT("00000"&amp;ROW(),5),"")</f>
        <v/>
      </c>
      <c r="V394" s="0" t="str">
        <f aca="false">IF(U394="","",COUNTIFS($I$2:$I$1201,1,$U$2:$U$1201,"&lt;"&amp;U394)+1)</f>
        <v/>
      </c>
    </row>
    <row r="395" customFormat="false" ht="15" hidden="false" customHeight="false" outlineLevel="0" collapsed="false">
      <c r="A395" s="0" t="n">
        <v>7</v>
      </c>
      <c r="B395" s="0" t="n">
        <v>34</v>
      </c>
      <c r="C395" s="0" t="str">
        <f aca="false">TRIM(SUBSTITUTE(INDEX(LISTAS!$A$4:$T$63,B395,A395)&amp;"",CHAR(160)," "))</f>
        <v/>
      </c>
      <c r="D395" s="0" t="str">
        <f aca="false">IF(C395="","",TRIM(RIGHT(SUBSTITUTE(C395," ",REPT(" ",100)),100)))</f>
        <v/>
      </c>
      <c r="E395" s="0" t="str">
        <f aca="false">IF(D395="","",UPPER(SUBSTITUTE(SUBSTITUTE(D395,"(",""),")","")))</f>
        <v/>
      </c>
      <c r="F395" s="0" t="str">
        <f aca="false">IF(C395="","",LEFT(C395,FIND(" ",C395&amp;" ")-1))</f>
        <v/>
      </c>
      <c r="G395" s="0" t="n">
        <f aca="false">IFERROR(VALUE(SUBSTITUTE(LOWER(F395),"x","")),0)</f>
        <v>0</v>
      </c>
      <c r="H395" s="0" t="str">
        <f aca="false">IF(C395="","",TRIM(MID(C395,LEN(F395)+2,999)))</f>
        <v/>
      </c>
      <c r="I395" s="0" t="n">
        <f aca="false">IF(OR(C395="",LEFT(C395,2)="//"),0,IFERROR(IF(AND(G395&gt;0,G395=INT(G395),FIND("-",E395)&gt;1,NOT(EXACT(UPPER(LEFT(E395,1)),LOWER(LEFT(E395,1)))),ISNUMBER(VALUE(MID(E395,FIND("-",E395)+1,10)))),1,0),0))</f>
        <v>0</v>
      </c>
      <c r="J395" s="0" t="str">
        <f aca="false">IF(I395=1,TRIM(LEFT(H395,MAX(0,LEN(H395)-LEN(D395)))),"")</f>
        <v/>
      </c>
      <c r="K395" s="0" t="str">
        <f aca="false">INDEX($P$2:$P$21,A395)</f>
        <v>Deck 7</v>
      </c>
      <c r="L395" s="0" t="n">
        <f aca="false">IF(AND(C395&lt;&gt;"",LEFT(C395,2)&lt;&gt;"//",I395=0),1,0)</f>
        <v>0</v>
      </c>
      <c r="M395" s="0" t="str">
        <f aca="false">IF(I395=1,MAX(M$1:M394)+1,"")</f>
        <v/>
      </c>
      <c r="N395" s="0" t="str">
        <f aca="false">IFERROR(MATCH(ROW()-1,$V$2:$V$1201,0),"")</f>
        <v/>
      </c>
      <c r="R395" s="0" t="str">
        <f aca="false">IF(E395="","",IFERROR(LEFT(E395,FIND("-",E395)-1),E395))</f>
        <v/>
      </c>
      <c r="S395" s="0" t="str">
        <f aca="false">IF(R395="","",IF(ISNUMBER(--MID(R395,1,1)),0,IF(ISNUMBER(--MID(R395,2,1)),1,IF(ISNUMBER(--MID(R395,3,1)),2,IF(ISNUMBER(--MID(R395,4,1)),3,MIN(LEN(R395),4))))))</f>
        <v/>
      </c>
      <c r="T395" s="0" t="str">
        <f aca="false">IF(E395="","",LEFT(R395,S395)&amp;REPT("0",4-S395)&amp;RIGHT("000"&amp;IFERROR(VALUE(MID(R395,S395+1,9)),0),3)&amp;RIGHT("0000"&amp;IFERROR(VALUE(MID(E395,FIND("-",E395)+1,9)),0),4))</f>
        <v/>
      </c>
      <c r="U395" s="0" t="str">
        <f aca="false">IF(I395=1,"K"&amp;RIGHT("00"&amp;A395,2)&amp;T395&amp;RIGHT("00000"&amp;ROW(),5),"")</f>
        <v/>
      </c>
      <c r="V395" s="0" t="str">
        <f aca="false">IF(U395="","",COUNTIFS($I$2:$I$1201,1,$U$2:$U$1201,"&lt;"&amp;U395)+1)</f>
        <v/>
      </c>
    </row>
    <row r="396" customFormat="false" ht="15" hidden="false" customHeight="false" outlineLevel="0" collapsed="false">
      <c r="A396" s="0" t="n">
        <v>7</v>
      </c>
      <c r="B396" s="0" t="n">
        <v>35</v>
      </c>
      <c r="C396" s="0" t="str">
        <f aca="false">TRIM(SUBSTITUTE(INDEX(LISTAS!$A$4:$T$63,B396,A396)&amp;"",CHAR(160)," "))</f>
        <v/>
      </c>
      <c r="D396" s="0" t="str">
        <f aca="false">IF(C396="","",TRIM(RIGHT(SUBSTITUTE(C396," ",REPT(" ",100)),100)))</f>
        <v/>
      </c>
      <c r="E396" s="0" t="str">
        <f aca="false">IF(D396="","",UPPER(SUBSTITUTE(SUBSTITUTE(D396,"(",""),")","")))</f>
        <v/>
      </c>
      <c r="F396" s="0" t="str">
        <f aca="false">IF(C396="","",LEFT(C396,FIND(" ",C396&amp;" ")-1))</f>
        <v/>
      </c>
      <c r="G396" s="0" t="n">
        <f aca="false">IFERROR(VALUE(SUBSTITUTE(LOWER(F396),"x","")),0)</f>
        <v>0</v>
      </c>
      <c r="H396" s="0" t="str">
        <f aca="false">IF(C396="","",TRIM(MID(C396,LEN(F396)+2,999)))</f>
        <v/>
      </c>
      <c r="I396" s="0" t="n">
        <f aca="false">IF(OR(C396="",LEFT(C396,2)="//"),0,IFERROR(IF(AND(G396&gt;0,G396=INT(G396),FIND("-",E396)&gt;1,NOT(EXACT(UPPER(LEFT(E396,1)),LOWER(LEFT(E396,1)))),ISNUMBER(VALUE(MID(E396,FIND("-",E396)+1,10)))),1,0),0))</f>
        <v>0</v>
      </c>
      <c r="J396" s="0" t="str">
        <f aca="false">IF(I396=1,TRIM(LEFT(H396,MAX(0,LEN(H396)-LEN(D396)))),"")</f>
        <v/>
      </c>
      <c r="K396" s="0" t="str">
        <f aca="false">INDEX($P$2:$P$21,A396)</f>
        <v>Deck 7</v>
      </c>
      <c r="L396" s="0" t="n">
        <f aca="false">IF(AND(C396&lt;&gt;"",LEFT(C396,2)&lt;&gt;"//",I396=0),1,0)</f>
        <v>0</v>
      </c>
      <c r="M396" s="0" t="str">
        <f aca="false">IF(I396=1,MAX(M$1:M395)+1,"")</f>
        <v/>
      </c>
      <c r="N396" s="0" t="str">
        <f aca="false">IFERROR(MATCH(ROW()-1,$V$2:$V$1201,0),"")</f>
        <v/>
      </c>
      <c r="R396" s="0" t="str">
        <f aca="false">IF(E396="","",IFERROR(LEFT(E396,FIND("-",E396)-1),E396))</f>
        <v/>
      </c>
      <c r="S396" s="0" t="str">
        <f aca="false">IF(R396="","",IF(ISNUMBER(--MID(R396,1,1)),0,IF(ISNUMBER(--MID(R396,2,1)),1,IF(ISNUMBER(--MID(R396,3,1)),2,IF(ISNUMBER(--MID(R396,4,1)),3,MIN(LEN(R396),4))))))</f>
        <v/>
      </c>
      <c r="T396" s="0" t="str">
        <f aca="false">IF(E396="","",LEFT(R396,S396)&amp;REPT("0",4-S396)&amp;RIGHT("000"&amp;IFERROR(VALUE(MID(R396,S396+1,9)),0),3)&amp;RIGHT("0000"&amp;IFERROR(VALUE(MID(E396,FIND("-",E396)+1,9)),0),4))</f>
        <v/>
      </c>
      <c r="U396" s="0" t="str">
        <f aca="false">IF(I396=1,"K"&amp;RIGHT("00"&amp;A396,2)&amp;T396&amp;RIGHT("00000"&amp;ROW(),5),"")</f>
        <v/>
      </c>
      <c r="V396" s="0" t="str">
        <f aca="false">IF(U396="","",COUNTIFS($I$2:$I$1201,1,$U$2:$U$1201,"&lt;"&amp;U396)+1)</f>
        <v/>
      </c>
    </row>
    <row r="397" customFormat="false" ht="15" hidden="false" customHeight="false" outlineLevel="0" collapsed="false">
      <c r="A397" s="0" t="n">
        <v>7</v>
      </c>
      <c r="B397" s="0" t="n">
        <v>36</v>
      </c>
      <c r="C397" s="0" t="str">
        <f aca="false">TRIM(SUBSTITUTE(INDEX(LISTAS!$A$4:$T$63,B397,A397)&amp;"",CHAR(160)," "))</f>
        <v/>
      </c>
      <c r="D397" s="0" t="str">
        <f aca="false">IF(C397="","",TRIM(RIGHT(SUBSTITUTE(C397," ",REPT(" ",100)),100)))</f>
        <v/>
      </c>
      <c r="E397" s="0" t="str">
        <f aca="false">IF(D397="","",UPPER(SUBSTITUTE(SUBSTITUTE(D397,"(",""),")","")))</f>
        <v/>
      </c>
      <c r="F397" s="0" t="str">
        <f aca="false">IF(C397="","",LEFT(C397,FIND(" ",C397&amp;" ")-1))</f>
        <v/>
      </c>
      <c r="G397" s="0" t="n">
        <f aca="false">IFERROR(VALUE(SUBSTITUTE(LOWER(F397),"x","")),0)</f>
        <v>0</v>
      </c>
      <c r="H397" s="0" t="str">
        <f aca="false">IF(C397="","",TRIM(MID(C397,LEN(F397)+2,999)))</f>
        <v/>
      </c>
      <c r="I397" s="0" t="n">
        <f aca="false">IF(OR(C397="",LEFT(C397,2)="//"),0,IFERROR(IF(AND(G397&gt;0,G397=INT(G397),FIND("-",E397)&gt;1,NOT(EXACT(UPPER(LEFT(E397,1)),LOWER(LEFT(E397,1)))),ISNUMBER(VALUE(MID(E397,FIND("-",E397)+1,10)))),1,0),0))</f>
        <v>0</v>
      </c>
      <c r="J397" s="0" t="str">
        <f aca="false">IF(I397=1,TRIM(LEFT(H397,MAX(0,LEN(H397)-LEN(D397)))),"")</f>
        <v/>
      </c>
      <c r="K397" s="0" t="str">
        <f aca="false">INDEX($P$2:$P$21,A397)</f>
        <v>Deck 7</v>
      </c>
      <c r="L397" s="0" t="n">
        <f aca="false">IF(AND(C397&lt;&gt;"",LEFT(C397,2)&lt;&gt;"//",I397=0),1,0)</f>
        <v>0</v>
      </c>
      <c r="M397" s="0" t="str">
        <f aca="false">IF(I397=1,MAX(M$1:M396)+1,"")</f>
        <v/>
      </c>
      <c r="N397" s="0" t="str">
        <f aca="false">IFERROR(MATCH(ROW()-1,$V$2:$V$1201,0),"")</f>
        <v/>
      </c>
      <c r="R397" s="0" t="str">
        <f aca="false">IF(E397="","",IFERROR(LEFT(E397,FIND("-",E397)-1),E397))</f>
        <v/>
      </c>
      <c r="S397" s="0" t="str">
        <f aca="false">IF(R397="","",IF(ISNUMBER(--MID(R397,1,1)),0,IF(ISNUMBER(--MID(R397,2,1)),1,IF(ISNUMBER(--MID(R397,3,1)),2,IF(ISNUMBER(--MID(R397,4,1)),3,MIN(LEN(R397),4))))))</f>
        <v/>
      </c>
      <c r="T397" s="0" t="str">
        <f aca="false">IF(E397="","",LEFT(R397,S397)&amp;REPT("0",4-S397)&amp;RIGHT("000"&amp;IFERROR(VALUE(MID(R397,S397+1,9)),0),3)&amp;RIGHT("0000"&amp;IFERROR(VALUE(MID(E397,FIND("-",E397)+1,9)),0),4))</f>
        <v/>
      </c>
      <c r="U397" s="0" t="str">
        <f aca="false">IF(I397=1,"K"&amp;RIGHT("00"&amp;A397,2)&amp;T397&amp;RIGHT("00000"&amp;ROW(),5),"")</f>
        <v/>
      </c>
      <c r="V397" s="0" t="str">
        <f aca="false">IF(U397="","",COUNTIFS($I$2:$I$1201,1,$U$2:$U$1201,"&lt;"&amp;U397)+1)</f>
        <v/>
      </c>
    </row>
    <row r="398" customFormat="false" ht="15" hidden="false" customHeight="false" outlineLevel="0" collapsed="false">
      <c r="A398" s="0" t="n">
        <v>7</v>
      </c>
      <c r="B398" s="0" t="n">
        <v>37</v>
      </c>
      <c r="C398" s="0" t="str">
        <f aca="false">TRIM(SUBSTITUTE(INDEX(LISTAS!$A$4:$T$63,B398,A398)&amp;"",CHAR(160)," "))</f>
        <v/>
      </c>
      <c r="D398" s="0" t="str">
        <f aca="false">IF(C398="","",TRIM(RIGHT(SUBSTITUTE(C398," ",REPT(" ",100)),100)))</f>
        <v/>
      </c>
      <c r="E398" s="0" t="str">
        <f aca="false">IF(D398="","",UPPER(SUBSTITUTE(SUBSTITUTE(D398,"(",""),")","")))</f>
        <v/>
      </c>
      <c r="F398" s="0" t="str">
        <f aca="false">IF(C398="","",LEFT(C398,FIND(" ",C398&amp;" ")-1))</f>
        <v/>
      </c>
      <c r="G398" s="0" t="n">
        <f aca="false">IFERROR(VALUE(SUBSTITUTE(LOWER(F398),"x","")),0)</f>
        <v>0</v>
      </c>
      <c r="H398" s="0" t="str">
        <f aca="false">IF(C398="","",TRIM(MID(C398,LEN(F398)+2,999)))</f>
        <v/>
      </c>
      <c r="I398" s="0" t="n">
        <f aca="false">IF(OR(C398="",LEFT(C398,2)="//"),0,IFERROR(IF(AND(G398&gt;0,G398=INT(G398),FIND("-",E398)&gt;1,NOT(EXACT(UPPER(LEFT(E398,1)),LOWER(LEFT(E398,1)))),ISNUMBER(VALUE(MID(E398,FIND("-",E398)+1,10)))),1,0),0))</f>
        <v>0</v>
      </c>
      <c r="J398" s="0" t="str">
        <f aca="false">IF(I398=1,TRIM(LEFT(H398,MAX(0,LEN(H398)-LEN(D398)))),"")</f>
        <v/>
      </c>
      <c r="K398" s="0" t="str">
        <f aca="false">INDEX($P$2:$P$21,A398)</f>
        <v>Deck 7</v>
      </c>
      <c r="L398" s="0" t="n">
        <f aca="false">IF(AND(C398&lt;&gt;"",LEFT(C398,2)&lt;&gt;"//",I398=0),1,0)</f>
        <v>0</v>
      </c>
      <c r="M398" s="0" t="str">
        <f aca="false">IF(I398=1,MAX(M$1:M397)+1,"")</f>
        <v/>
      </c>
      <c r="N398" s="0" t="str">
        <f aca="false">IFERROR(MATCH(ROW()-1,$V$2:$V$1201,0),"")</f>
        <v/>
      </c>
      <c r="R398" s="0" t="str">
        <f aca="false">IF(E398="","",IFERROR(LEFT(E398,FIND("-",E398)-1),E398))</f>
        <v/>
      </c>
      <c r="S398" s="0" t="str">
        <f aca="false">IF(R398="","",IF(ISNUMBER(--MID(R398,1,1)),0,IF(ISNUMBER(--MID(R398,2,1)),1,IF(ISNUMBER(--MID(R398,3,1)),2,IF(ISNUMBER(--MID(R398,4,1)),3,MIN(LEN(R398),4))))))</f>
        <v/>
      </c>
      <c r="T398" s="0" t="str">
        <f aca="false">IF(E398="","",LEFT(R398,S398)&amp;REPT("0",4-S398)&amp;RIGHT("000"&amp;IFERROR(VALUE(MID(R398,S398+1,9)),0),3)&amp;RIGHT("0000"&amp;IFERROR(VALUE(MID(E398,FIND("-",E398)+1,9)),0),4))</f>
        <v/>
      </c>
      <c r="U398" s="0" t="str">
        <f aca="false">IF(I398=1,"K"&amp;RIGHT("00"&amp;A398,2)&amp;T398&amp;RIGHT("00000"&amp;ROW(),5),"")</f>
        <v/>
      </c>
      <c r="V398" s="0" t="str">
        <f aca="false">IF(U398="","",COUNTIFS($I$2:$I$1201,1,$U$2:$U$1201,"&lt;"&amp;U398)+1)</f>
        <v/>
      </c>
    </row>
    <row r="399" customFormat="false" ht="15" hidden="false" customHeight="false" outlineLevel="0" collapsed="false">
      <c r="A399" s="0" t="n">
        <v>7</v>
      </c>
      <c r="B399" s="0" t="n">
        <v>38</v>
      </c>
      <c r="C399" s="0" t="str">
        <f aca="false">TRIM(SUBSTITUTE(INDEX(LISTAS!$A$4:$T$63,B399,A399)&amp;"",CHAR(160)," "))</f>
        <v/>
      </c>
      <c r="D399" s="0" t="str">
        <f aca="false">IF(C399="","",TRIM(RIGHT(SUBSTITUTE(C399," ",REPT(" ",100)),100)))</f>
        <v/>
      </c>
      <c r="E399" s="0" t="str">
        <f aca="false">IF(D399="","",UPPER(SUBSTITUTE(SUBSTITUTE(D399,"(",""),")","")))</f>
        <v/>
      </c>
      <c r="F399" s="0" t="str">
        <f aca="false">IF(C399="","",LEFT(C399,FIND(" ",C399&amp;" ")-1))</f>
        <v/>
      </c>
      <c r="G399" s="0" t="n">
        <f aca="false">IFERROR(VALUE(SUBSTITUTE(LOWER(F399),"x","")),0)</f>
        <v>0</v>
      </c>
      <c r="H399" s="0" t="str">
        <f aca="false">IF(C399="","",TRIM(MID(C399,LEN(F399)+2,999)))</f>
        <v/>
      </c>
      <c r="I399" s="0" t="n">
        <f aca="false">IF(OR(C399="",LEFT(C399,2)="//"),0,IFERROR(IF(AND(G399&gt;0,G399=INT(G399),FIND("-",E399)&gt;1,NOT(EXACT(UPPER(LEFT(E399,1)),LOWER(LEFT(E399,1)))),ISNUMBER(VALUE(MID(E399,FIND("-",E399)+1,10)))),1,0),0))</f>
        <v>0</v>
      </c>
      <c r="J399" s="0" t="str">
        <f aca="false">IF(I399=1,TRIM(LEFT(H399,MAX(0,LEN(H399)-LEN(D399)))),"")</f>
        <v/>
      </c>
      <c r="K399" s="0" t="str">
        <f aca="false">INDEX($P$2:$P$21,A399)</f>
        <v>Deck 7</v>
      </c>
      <c r="L399" s="0" t="n">
        <f aca="false">IF(AND(C399&lt;&gt;"",LEFT(C399,2)&lt;&gt;"//",I399=0),1,0)</f>
        <v>0</v>
      </c>
      <c r="M399" s="0" t="str">
        <f aca="false">IF(I399=1,MAX(M$1:M398)+1,"")</f>
        <v/>
      </c>
      <c r="N399" s="0" t="str">
        <f aca="false">IFERROR(MATCH(ROW()-1,$V$2:$V$1201,0),"")</f>
        <v/>
      </c>
      <c r="R399" s="0" t="str">
        <f aca="false">IF(E399="","",IFERROR(LEFT(E399,FIND("-",E399)-1),E399))</f>
        <v/>
      </c>
      <c r="S399" s="0" t="str">
        <f aca="false">IF(R399="","",IF(ISNUMBER(--MID(R399,1,1)),0,IF(ISNUMBER(--MID(R399,2,1)),1,IF(ISNUMBER(--MID(R399,3,1)),2,IF(ISNUMBER(--MID(R399,4,1)),3,MIN(LEN(R399),4))))))</f>
        <v/>
      </c>
      <c r="T399" s="0" t="str">
        <f aca="false">IF(E399="","",LEFT(R399,S399)&amp;REPT("0",4-S399)&amp;RIGHT("000"&amp;IFERROR(VALUE(MID(R399,S399+1,9)),0),3)&amp;RIGHT("0000"&amp;IFERROR(VALUE(MID(E399,FIND("-",E399)+1,9)),0),4))</f>
        <v/>
      </c>
      <c r="U399" s="0" t="str">
        <f aca="false">IF(I399=1,"K"&amp;RIGHT("00"&amp;A399,2)&amp;T399&amp;RIGHT("00000"&amp;ROW(),5),"")</f>
        <v/>
      </c>
      <c r="V399" s="0" t="str">
        <f aca="false">IF(U399="","",COUNTIFS($I$2:$I$1201,1,$U$2:$U$1201,"&lt;"&amp;U399)+1)</f>
        <v/>
      </c>
    </row>
    <row r="400" customFormat="false" ht="15" hidden="false" customHeight="false" outlineLevel="0" collapsed="false">
      <c r="A400" s="0" t="n">
        <v>7</v>
      </c>
      <c r="B400" s="0" t="n">
        <v>39</v>
      </c>
      <c r="C400" s="0" t="str">
        <f aca="false">TRIM(SUBSTITUTE(INDEX(LISTAS!$A$4:$T$63,B400,A400)&amp;"",CHAR(160)," "))</f>
        <v/>
      </c>
      <c r="D400" s="0" t="str">
        <f aca="false">IF(C400="","",TRIM(RIGHT(SUBSTITUTE(C400," ",REPT(" ",100)),100)))</f>
        <v/>
      </c>
      <c r="E400" s="0" t="str">
        <f aca="false">IF(D400="","",UPPER(SUBSTITUTE(SUBSTITUTE(D400,"(",""),")","")))</f>
        <v/>
      </c>
      <c r="F400" s="0" t="str">
        <f aca="false">IF(C400="","",LEFT(C400,FIND(" ",C400&amp;" ")-1))</f>
        <v/>
      </c>
      <c r="G400" s="0" t="n">
        <f aca="false">IFERROR(VALUE(SUBSTITUTE(LOWER(F400),"x","")),0)</f>
        <v>0</v>
      </c>
      <c r="H400" s="0" t="str">
        <f aca="false">IF(C400="","",TRIM(MID(C400,LEN(F400)+2,999)))</f>
        <v/>
      </c>
      <c r="I400" s="0" t="n">
        <f aca="false">IF(OR(C400="",LEFT(C400,2)="//"),0,IFERROR(IF(AND(G400&gt;0,G400=INT(G400),FIND("-",E400)&gt;1,NOT(EXACT(UPPER(LEFT(E400,1)),LOWER(LEFT(E400,1)))),ISNUMBER(VALUE(MID(E400,FIND("-",E400)+1,10)))),1,0),0))</f>
        <v>0</v>
      </c>
      <c r="J400" s="0" t="str">
        <f aca="false">IF(I400=1,TRIM(LEFT(H400,MAX(0,LEN(H400)-LEN(D400)))),"")</f>
        <v/>
      </c>
      <c r="K400" s="0" t="str">
        <f aca="false">INDEX($P$2:$P$21,A400)</f>
        <v>Deck 7</v>
      </c>
      <c r="L400" s="0" t="n">
        <f aca="false">IF(AND(C400&lt;&gt;"",LEFT(C400,2)&lt;&gt;"//",I400=0),1,0)</f>
        <v>0</v>
      </c>
      <c r="M400" s="0" t="str">
        <f aca="false">IF(I400=1,MAX(M$1:M399)+1,"")</f>
        <v/>
      </c>
      <c r="N400" s="0" t="str">
        <f aca="false">IFERROR(MATCH(ROW()-1,$V$2:$V$1201,0),"")</f>
        <v/>
      </c>
      <c r="R400" s="0" t="str">
        <f aca="false">IF(E400="","",IFERROR(LEFT(E400,FIND("-",E400)-1),E400))</f>
        <v/>
      </c>
      <c r="S400" s="0" t="str">
        <f aca="false">IF(R400="","",IF(ISNUMBER(--MID(R400,1,1)),0,IF(ISNUMBER(--MID(R400,2,1)),1,IF(ISNUMBER(--MID(R400,3,1)),2,IF(ISNUMBER(--MID(R400,4,1)),3,MIN(LEN(R400),4))))))</f>
        <v/>
      </c>
      <c r="T400" s="0" t="str">
        <f aca="false">IF(E400="","",LEFT(R400,S400)&amp;REPT("0",4-S400)&amp;RIGHT("000"&amp;IFERROR(VALUE(MID(R400,S400+1,9)),0),3)&amp;RIGHT("0000"&amp;IFERROR(VALUE(MID(E400,FIND("-",E400)+1,9)),0),4))</f>
        <v/>
      </c>
      <c r="U400" s="0" t="str">
        <f aca="false">IF(I400=1,"K"&amp;RIGHT("00"&amp;A400,2)&amp;T400&amp;RIGHT("00000"&amp;ROW(),5),"")</f>
        <v/>
      </c>
      <c r="V400" s="0" t="str">
        <f aca="false">IF(U400="","",COUNTIFS($I$2:$I$1201,1,$U$2:$U$1201,"&lt;"&amp;U400)+1)</f>
        <v/>
      </c>
    </row>
    <row r="401" customFormat="false" ht="15" hidden="false" customHeight="false" outlineLevel="0" collapsed="false">
      <c r="A401" s="0" t="n">
        <v>7</v>
      </c>
      <c r="B401" s="0" t="n">
        <v>40</v>
      </c>
      <c r="C401" s="0" t="str">
        <f aca="false">TRIM(SUBSTITUTE(INDEX(LISTAS!$A$4:$T$63,B401,A401)&amp;"",CHAR(160)," "))</f>
        <v/>
      </c>
      <c r="D401" s="0" t="str">
        <f aca="false">IF(C401="","",TRIM(RIGHT(SUBSTITUTE(C401," ",REPT(" ",100)),100)))</f>
        <v/>
      </c>
      <c r="E401" s="0" t="str">
        <f aca="false">IF(D401="","",UPPER(SUBSTITUTE(SUBSTITUTE(D401,"(",""),")","")))</f>
        <v/>
      </c>
      <c r="F401" s="0" t="str">
        <f aca="false">IF(C401="","",LEFT(C401,FIND(" ",C401&amp;" ")-1))</f>
        <v/>
      </c>
      <c r="G401" s="0" t="n">
        <f aca="false">IFERROR(VALUE(SUBSTITUTE(LOWER(F401),"x","")),0)</f>
        <v>0</v>
      </c>
      <c r="H401" s="0" t="str">
        <f aca="false">IF(C401="","",TRIM(MID(C401,LEN(F401)+2,999)))</f>
        <v/>
      </c>
      <c r="I401" s="0" t="n">
        <f aca="false">IF(OR(C401="",LEFT(C401,2)="//"),0,IFERROR(IF(AND(G401&gt;0,G401=INT(G401),FIND("-",E401)&gt;1,NOT(EXACT(UPPER(LEFT(E401,1)),LOWER(LEFT(E401,1)))),ISNUMBER(VALUE(MID(E401,FIND("-",E401)+1,10)))),1,0),0))</f>
        <v>0</v>
      </c>
      <c r="J401" s="0" t="str">
        <f aca="false">IF(I401=1,TRIM(LEFT(H401,MAX(0,LEN(H401)-LEN(D401)))),"")</f>
        <v/>
      </c>
      <c r="K401" s="0" t="str">
        <f aca="false">INDEX($P$2:$P$21,A401)</f>
        <v>Deck 7</v>
      </c>
      <c r="L401" s="0" t="n">
        <f aca="false">IF(AND(C401&lt;&gt;"",LEFT(C401,2)&lt;&gt;"//",I401=0),1,0)</f>
        <v>0</v>
      </c>
      <c r="M401" s="0" t="str">
        <f aca="false">IF(I401=1,MAX(M$1:M400)+1,"")</f>
        <v/>
      </c>
      <c r="N401" s="0" t="str">
        <f aca="false">IFERROR(MATCH(ROW()-1,$V$2:$V$1201,0),"")</f>
        <v/>
      </c>
      <c r="R401" s="0" t="str">
        <f aca="false">IF(E401="","",IFERROR(LEFT(E401,FIND("-",E401)-1),E401))</f>
        <v/>
      </c>
      <c r="S401" s="0" t="str">
        <f aca="false">IF(R401="","",IF(ISNUMBER(--MID(R401,1,1)),0,IF(ISNUMBER(--MID(R401,2,1)),1,IF(ISNUMBER(--MID(R401,3,1)),2,IF(ISNUMBER(--MID(R401,4,1)),3,MIN(LEN(R401),4))))))</f>
        <v/>
      </c>
      <c r="T401" s="0" t="str">
        <f aca="false">IF(E401="","",LEFT(R401,S401)&amp;REPT("0",4-S401)&amp;RIGHT("000"&amp;IFERROR(VALUE(MID(R401,S401+1,9)),0),3)&amp;RIGHT("0000"&amp;IFERROR(VALUE(MID(E401,FIND("-",E401)+1,9)),0),4))</f>
        <v/>
      </c>
      <c r="U401" s="0" t="str">
        <f aca="false">IF(I401=1,"K"&amp;RIGHT("00"&amp;A401,2)&amp;T401&amp;RIGHT("00000"&amp;ROW(),5),"")</f>
        <v/>
      </c>
      <c r="V401" s="0" t="str">
        <f aca="false">IF(U401="","",COUNTIFS($I$2:$I$1201,1,$U$2:$U$1201,"&lt;"&amp;U401)+1)</f>
        <v/>
      </c>
    </row>
    <row r="402" customFormat="false" ht="15" hidden="false" customHeight="false" outlineLevel="0" collapsed="false">
      <c r="A402" s="0" t="n">
        <v>7</v>
      </c>
      <c r="B402" s="0" t="n">
        <v>41</v>
      </c>
      <c r="C402" s="0" t="str">
        <f aca="false">TRIM(SUBSTITUTE(INDEX(LISTAS!$A$4:$T$63,B402,A402)&amp;"",CHAR(160)," "))</f>
        <v/>
      </c>
      <c r="D402" s="0" t="str">
        <f aca="false">IF(C402="","",TRIM(RIGHT(SUBSTITUTE(C402," ",REPT(" ",100)),100)))</f>
        <v/>
      </c>
      <c r="E402" s="0" t="str">
        <f aca="false">IF(D402="","",UPPER(SUBSTITUTE(SUBSTITUTE(D402,"(",""),")","")))</f>
        <v/>
      </c>
      <c r="F402" s="0" t="str">
        <f aca="false">IF(C402="","",LEFT(C402,FIND(" ",C402&amp;" ")-1))</f>
        <v/>
      </c>
      <c r="G402" s="0" t="n">
        <f aca="false">IFERROR(VALUE(SUBSTITUTE(LOWER(F402),"x","")),0)</f>
        <v>0</v>
      </c>
      <c r="H402" s="0" t="str">
        <f aca="false">IF(C402="","",TRIM(MID(C402,LEN(F402)+2,999)))</f>
        <v/>
      </c>
      <c r="I402" s="0" t="n">
        <f aca="false">IF(OR(C402="",LEFT(C402,2)="//"),0,IFERROR(IF(AND(G402&gt;0,G402=INT(G402),FIND("-",E402)&gt;1,NOT(EXACT(UPPER(LEFT(E402,1)),LOWER(LEFT(E402,1)))),ISNUMBER(VALUE(MID(E402,FIND("-",E402)+1,10)))),1,0),0))</f>
        <v>0</v>
      </c>
      <c r="J402" s="0" t="str">
        <f aca="false">IF(I402=1,TRIM(LEFT(H402,MAX(0,LEN(H402)-LEN(D402)))),"")</f>
        <v/>
      </c>
      <c r="K402" s="0" t="str">
        <f aca="false">INDEX($P$2:$P$21,A402)</f>
        <v>Deck 7</v>
      </c>
      <c r="L402" s="0" t="n">
        <f aca="false">IF(AND(C402&lt;&gt;"",LEFT(C402,2)&lt;&gt;"//",I402=0),1,0)</f>
        <v>0</v>
      </c>
      <c r="M402" s="0" t="str">
        <f aca="false">IF(I402=1,MAX(M$1:M401)+1,"")</f>
        <v/>
      </c>
      <c r="N402" s="0" t="str">
        <f aca="false">IFERROR(MATCH(ROW()-1,$V$2:$V$1201,0),"")</f>
        <v/>
      </c>
      <c r="R402" s="0" t="str">
        <f aca="false">IF(E402="","",IFERROR(LEFT(E402,FIND("-",E402)-1),E402))</f>
        <v/>
      </c>
      <c r="S402" s="0" t="str">
        <f aca="false">IF(R402="","",IF(ISNUMBER(--MID(R402,1,1)),0,IF(ISNUMBER(--MID(R402,2,1)),1,IF(ISNUMBER(--MID(R402,3,1)),2,IF(ISNUMBER(--MID(R402,4,1)),3,MIN(LEN(R402),4))))))</f>
        <v/>
      </c>
      <c r="T402" s="0" t="str">
        <f aca="false">IF(E402="","",LEFT(R402,S402)&amp;REPT("0",4-S402)&amp;RIGHT("000"&amp;IFERROR(VALUE(MID(R402,S402+1,9)),0),3)&amp;RIGHT("0000"&amp;IFERROR(VALUE(MID(E402,FIND("-",E402)+1,9)),0),4))</f>
        <v/>
      </c>
      <c r="U402" s="0" t="str">
        <f aca="false">IF(I402=1,"K"&amp;RIGHT("00"&amp;A402,2)&amp;T402&amp;RIGHT("00000"&amp;ROW(),5),"")</f>
        <v/>
      </c>
      <c r="V402" s="0" t="str">
        <f aca="false">IF(U402="","",COUNTIFS($I$2:$I$1201,1,$U$2:$U$1201,"&lt;"&amp;U402)+1)</f>
        <v/>
      </c>
    </row>
    <row r="403" customFormat="false" ht="15" hidden="false" customHeight="false" outlineLevel="0" collapsed="false">
      <c r="A403" s="0" t="n">
        <v>7</v>
      </c>
      <c r="B403" s="0" t="n">
        <v>42</v>
      </c>
      <c r="C403" s="0" t="str">
        <f aca="false">TRIM(SUBSTITUTE(INDEX(LISTAS!$A$4:$T$63,B403,A403)&amp;"",CHAR(160)," "))</f>
        <v/>
      </c>
      <c r="D403" s="0" t="str">
        <f aca="false">IF(C403="","",TRIM(RIGHT(SUBSTITUTE(C403," ",REPT(" ",100)),100)))</f>
        <v/>
      </c>
      <c r="E403" s="0" t="str">
        <f aca="false">IF(D403="","",UPPER(SUBSTITUTE(SUBSTITUTE(D403,"(",""),")","")))</f>
        <v/>
      </c>
      <c r="F403" s="0" t="str">
        <f aca="false">IF(C403="","",LEFT(C403,FIND(" ",C403&amp;" ")-1))</f>
        <v/>
      </c>
      <c r="G403" s="0" t="n">
        <f aca="false">IFERROR(VALUE(SUBSTITUTE(LOWER(F403),"x","")),0)</f>
        <v>0</v>
      </c>
      <c r="H403" s="0" t="str">
        <f aca="false">IF(C403="","",TRIM(MID(C403,LEN(F403)+2,999)))</f>
        <v/>
      </c>
      <c r="I403" s="0" t="n">
        <f aca="false">IF(OR(C403="",LEFT(C403,2)="//"),0,IFERROR(IF(AND(G403&gt;0,G403=INT(G403),FIND("-",E403)&gt;1,NOT(EXACT(UPPER(LEFT(E403,1)),LOWER(LEFT(E403,1)))),ISNUMBER(VALUE(MID(E403,FIND("-",E403)+1,10)))),1,0),0))</f>
        <v>0</v>
      </c>
      <c r="J403" s="0" t="str">
        <f aca="false">IF(I403=1,TRIM(LEFT(H403,MAX(0,LEN(H403)-LEN(D403)))),"")</f>
        <v/>
      </c>
      <c r="K403" s="0" t="str">
        <f aca="false">INDEX($P$2:$P$21,A403)</f>
        <v>Deck 7</v>
      </c>
      <c r="L403" s="0" t="n">
        <f aca="false">IF(AND(C403&lt;&gt;"",LEFT(C403,2)&lt;&gt;"//",I403=0),1,0)</f>
        <v>0</v>
      </c>
      <c r="M403" s="0" t="str">
        <f aca="false">IF(I403=1,MAX(M$1:M402)+1,"")</f>
        <v/>
      </c>
      <c r="N403" s="0" t="str">
        <f aca="false">IFERROR(MATCH(ROW()-1,$V$2:$V$1201,0),"")</f>
        <v/>
      </c>
      <c r="R403" s="0" t="str">
        <f aca="false">IF(E403="","",IFERROR(LEFT(E403,FIND("-",E403)-1),E403))</f>
        <v/>
      </c>
      <c r="S403" s="0" t="str">
        <f aca="false">IF(R403="","",IF(ISNUMBER(--MID(R403,1,1)),0,IF(ISNUMBER(--MID(R403,2,1)),1,IF(ISNUMBER(--MID(R403,3,1)),2,IF(ISNUMBER(--MID(R403,4,1)),3,MIN(LEN(R403),4))))))</f>
        <v/>
      </c>
      <c r="T403" s="0" t="str">
        <f aca="false">IF(E403="","",LEFT(R403,S403)&amp;REPT("0",4-S403)&amp;RIGHT("000"&amp;IFERROR(VALUE(MID(R403,S403+1,9)),0),3)&amp;RIGHT("0000"&amp;IFERROR(VALUE(MID(E403,FIND("-",E403)+1,9)),0),4))</f>
        <v/>
      </c>
      <c r="U403" s="0" t="str">
        <f aca="false">IF(I403=1,"K"&amp;RIGHT("00"&amp;A403,2)&amp;T403&amp;RIGHT("00000"&amp;ROW(),5),"")</f>
        <v/>
      </c>
      <c r="V403" s="0" t="str">
        <f aca="false">IF(U403="","",COUNTIFS($I$2:$I$1201,1,$U$2:$U$1201,"&lt;"&amp;U403)+1)</f>
        <v/>
      </c>
    </row>
    <row r="404" customFormat="false" ht="15" hidden="false" customHeight="false" outlineLevel="0" collapsed="false">
      <c r="A404" s="0" t="n">
        <v>7</v>
      </c>
      <c r="B404" s="0" t="n">
        <v>43</v>
      </c>
      <c r="C404" s="0" t="str">
        <f aca="false">TRIM(SUBSTITUTE(INDEX(LISTAS!$A$4:$T$63,B404,A404)&amp;"",CHAR(160)," "))</f>
        <v/>
      </c>
      <c r="D404" s="0" t="str">
        <f aca="false">IF(C404="","",TRIM(RIGHT(SUBSTITUTE(C404," ",REPT(" ",100)),100)))</f>
        <v/>
      </c>
      <c r="E404" s="0" t="str">
        <f aca="false">IF(D404="","",UPPER(SUBSTITUTE(SUBSTITUTE(D404,"(",""),")","")))</f>
        <v/>
      </c>
      <c r="F404" s="0" t="str">
        <f aca="false">IF(C404="","",LEFT(C404,FIND(" ",C404&amp;" ")-1))</f>
        <v/>
      </c>
      <c r="G404" s="0" t="n">
        <f aca="false">IFERROR(VALUE(SUBSTITUTE(LOWER(F404),"x","")),0)</f>
        <v>0</v>
      </c>
      <c r="H404" s="0" t="str">
        <f aca="false">IF(C404="","",TRIM(MID(C404,LEN(F404)+2,999)))</f>
        <v/>
      </c>
      <c r="I404" s="0" t="n">
        <f aca="false">IF(OR(C404="",LEFT(C404,2)="//"),0,IFERROR(IF(AND(G404&gt;0,G404=INT(G404),FIND("-",E404)&gt;1,NOT(EXACT(UPPER(LEFT(E404,1)),LOWER(LEFT(E404,1)))),ISNUMBER(VALUE(MID(E404,FIND("-",E404)+1,10)))),1,0),0))</f>
        <v>0</v>
      </c>
      <c r="J404" s="0" t="str">
        <f aca="false">IF(I404=1,TRIM(LEFT(H404,MAX(0,LEN(H404)-LEN(D404)))),"")</f>
        <v/>
      </c>
      <c r="K404" s="0" t="str">
        <f aca="false">INDEX($P$2:$P$21,A404)</f>
        <v>Deck 7</v>
      </c>
      <c r="L404" s="0" t="n">
        <f aca="false">IF(AND(C404&lt;&gt;"",LEFT(C404,2)&lt;&gt;"//",I404=0),1,0)</f>
        <v>0</v>
      </c>
      <c r="M404" s="0" t="str">
        <f aca="false">IF(I404=1,MAX(M$1:M403)+1,"")</f>
        <v/>
      </c>
      <c r="N404" s="0" t="str">
        <f aca="false">IFERROR(MATCH(ROW()-1,$V$2:$V$1201,0),"")</f>
        <v/>
      </c>
      <c r="R404" s="0" t="str">
        <f aca="false">IF(E404="","",IFERROR(LEFT(E404,FIND("-",E404)-1),E404))</f>
        <v/>
      </c>
      <c r="S404" s="0" t="str">
        <f aca="false">IF(R404="","",IF(ISNUMBER(--MID(R404,1,1)),0,IF(ISNUMBER(--MID(R404,2,1)),1,IF(ISNUMBER(--MID(R404,3,1)),2,IF(ISNUMBER(--MID(R404,4,1)),3,MIN(LEN(R404),4))))))</f>
        <v/>
      </c>
      <c r="T404" s="0" t="str">
        <f aca="false">IF(E404="","",LEFT(R404,S404)&amp;REPT("0",4-S404)&amp;RIGHT("000"&amp;IFERROR(VALUE(MID(R404,S404+1,9)),0),3)&amp;RIGHT("0000"&amp;IFERROR(VALUE(MID(E404,FIND("-",E404)+1,9)),0),4))</f>
        <v/>
      </c>
      <c r="U404" s="0" t="str">
        <f aca="false">IF(I404=1,"K"&amp;RIGHT("00"&amp;A404,2)&amp;T404&amp;RIGHT("00000"&amp;ROW(),5),"")</f>
        <v/>
      </c>
      <c r="V404" s="0" t="str">
        <f aca="false">IF(U404="","",COUNTIFS($I$2:$I$1201,1,$U$2:$U$1201,"&lt;"&amp;U404)+1)</f>
        <v/>
      </c>
    </row>
    <row r="405" customFormat="false" ht="15" hidden="false" customHeight="false" outlineLevel="0" collapsed="false">
      <c r="A405" s="0" t="n">
        <v>7</v>
      </c>
      <c r="B405" s="0" t="n">
        <v>44</v>
      </c>
      <c r="C405" s="0" t="str">
        <f aca="false">TRIM(SUBSTITUTE(INDEX(LISTAS!$A$4:$T$63,B405,A405)&amp;"",CHAR(160)," "))</f>
        <v/>
      </c>
      <c r="D405" s="0" t="str">
        <f aca="false">IF(C405="","",TRIM(RIGHT(SUBSTITUTE(C405," ",REPT(" ",100)),100)))</f>
        <v/>
      </c>
      <c r="E405" s="0" t="str">
        <f aca="false">IF(D405="","",UPPER(SUBSTITUTE(SUBSTITUTE(D405,"(",""),")","")))</f>
        <v/>
      </c>
      <c r="F405" s="0" t="str">
        <f aca="false">IF(C405="","",LEFT(C405,FIND(" ",C405&amp;" ")-1))</f>
        <v/>
      </c>
      <c r="G405" s="0" t="n">
        <f aca="false">IFERROR(VALUE(SUBSTITUTE(LOWER(F405),"x","")),0)</f>
        <v>0</v>
      </c>
      <c r="H405" s="0" t="str">
        <f aca="false">IF(C405="","",TRIM(MID(C405,LEN(F405)+2,999)))</f>
        <v/>
      </c>
      <c r="I405" s="0" t="n">
        <f aca="false">IF(OR(C405="",LEFT(C405,2)="//"),0,IFERROR(IF(AND(G405&gt;0,G405=INT(G405),FIND("-",E405)&gt;1,NOT(EXACT(UPPER(LEFT(E405,1)),LOWER(LEFT(E405,1)))),ISNUMBER(VALUE(MID(E405,FIND("-",E405)+1,10)))),1,0),0))</f>
        <v>0</v>
      </c>
      <c r="J405" s="0" t="str">
        <f aca="false">IF(I405=1,TRIM(LEFT(H405,MAX(0,LEN(H405)-LEN(D405)))),"")</f>
        <v/>
      </c>
      <c r="K405" s="0" t="str">
        <f aca="false">INDEX($P$2:$P$21,A405)</f>
        <v>Deck 7</v>
      </c>
      <c r="L405" s="0" t="n">
        <f aca="false">IF(AND(C405&lt;&gt;"",LEFT(C405,2)&lt;&gt;"//",I405=0),1,0)</f>
        <v>0</v>
      </c>
      <c r="M405" s="0" t="str">
        <f aca="false">IF(I405=1,MAX(M$1:M404)+1,"")</f>
        <v/>
      </c>
      <c r="N405" s="0" t="str">
        <f aca="false">IFERROR(MATCH(ROW()-1,$V$2:$V$1201,0),"")</f>
        <v/>
      </c>
      <c r="R405" s="0" t="str">
        <f aca="false">IF(E405="","",IFERROR(LEFT(E405,FIND("-",E405)-1),E405))</f>
        <v/>
      </c>
      <c r="S405" s="0" t="str">
        <f aca="false">IF(R405="","",IF(ISNUMBER(--MID(R405,1,1)),0,IF(ISNUMBER(--MID(R405,2,1)),1,IF(ISNUMBER(--MID(R405,3,1)),2,IF(ISNUMBER(--MID(R405,4,1)),3,MIN(LEN(R405),4))))))</f>
        <v/>
      </c>
      <c r="T405" s="0" t="str">
        <f aca="false">IF(E405="","",LEFT(R405,S405)&amp;REPT("0",4-S405)&amp;RIGHT("000"&amp;IFERROR(VALUE(MID(R405,S405+1,9)),0),3)&amp;RIGHT("0000"&amp;IFERROR(VALUE(MID(E405,FIND("-",E405)+1,9)),0),4))</f>
        <v/>
      </c>
      <c r="U405" s="0" t="str">
        <f aca="false">IF(I405=1,"K"&amp;RIGHT("00"&amp;A405,2)&amp;T405&amp;RIGHT("00000"&amp;ROW(),5),"")</f>
        <v/>
      </c>
      <c r="V405" s="0" t="str">
        <f aca="false">IF(U405="","",COUNTIFS($I$2:$I$1201,1,$U$2:$U$1201,"&lt;"&amp;U405)+1)</f>
        <v/>
      </c>
    </row>
    <row r="406" customFormat="false" ht="15" hidden="false" customHeight="false" outlineLevel="0" collapsed="false">
      <c r="A406" s="0" t="n">
        <v>7</v>
      </c>
      <c r="B406" s="0" t="n">
        <v>45</v>
      </c>
      <c r="C406" s="0" t="str">
        <f aca="false">TRIM(SUBSTITUTE(INDEX(LISTAS!$A$4:$T$63,B406,A406)&amp;"",CHAR(160)," "))</f>
        <v/>
      </c>
      <c r="D406" s="0" t="str">
        <f aca="false">IF(C406="","",TRIM(RIGHT(SUBSTITUTE(C406," ",REPT(" ",100)),100)))</f>
        <v/>
      </c>
      <c r="E406" s="0" t="str">
        <f aca="false">IF(D406="","",UPPER(SUBSTITUTE(SUBSTITUTE(D406,"(",""),")","")))</f>
        <v/>
      </c>
      <c r="F406" s="0" t="str">
        <f aca="false">IF(C406="","",LEFT(C406,FIND(" ",C406&amp;" ")-1))</f>
        <v/>
      </c>
      <c r="G406" s="0" t="n">
        <f aca="false">IFERROR(VALUE(SUBSTITUTE(LOWER(F406),"x","")),0)</f>
        <v>0</v>
      </c>
      <c r="H406" s="0" t="str">
        <f aca="false">IF(C406="","",TRIM(MID(C406,LEN(F406)+2,999)))</f>
        <v/>
      </c>
      <c r="I406" s="0" t="n">
        <f aca="false">IF(OR(C406="",LEFT(C406,2)="//"),0,IFERROR(IF(AND(G406&gt;0,G406=INT(G406),FIND("-",E406)&gt;1,NOT(EXACT(UPPER(LEFT(E406,1)),LOWER(LEFT(E406,1)))),ISNUMBER(VALUE(MID(E406,FIND("-",E406)+1,10)))),1,0),0))</f>
        <v>0</v>
      </c>
      <c r="J406" s="0" t="str">
        <f aca="false">IF(I406=1,TRIM(LEFT(H406,MAX(0,LEN(H406)-LEN(D406)))),"")</f>
        <v/>
      </c>
      <c r="K406" s="0" t="str">
        <f aca="false">INDEX($P$2:$P$21,A406)</f>
        <v>Deck 7</v>
      </c>
      <c r="L406" s="0" t="n">
        <f aca="false">IF(AND(C406&lt;&gt;"",LEFT(C406,2)&lt;&gt;"//",I406=0),1,0)</f>
        <v>0</v>
      </c>
      <c r="M406" s="0" t="str">
        <f aca="false">IF(I406=1,MAX(M$1:M405)+1,"")</f>
        <v/>
      </c>
      <c r="N406" s="0" t="str">
        <f aca="false">IFERROR(MATCH(ROW()-1,$V$2:$V$1201,0),"")</f>
        <v/>
      </c>
      <c r="R406" s="0" t="str">
        <f aca="false">IF(E406="","",IFERROR(LEFT(E406,FIND("-",E406)-1),E406))</f>
        <v/>
      </c>
      <c r="S406" s="0" t="str">
        <f aca="false">IF(R406="","",IF(ISNUMBER(--MID(R406,1,1)),0,IF(ISNUMBER(--MID(R406,2,1)),1,IF(ISNUMBER(--MID(R406,3,1)),2,IF(ISNUMBER(--MID(R406,4,1)),3,MIN(LEN(R406),4))))))</f>
        <v/>
      </c>
      <c r="T406" s="0" t="str">
        <f aca="false">IF(E406="","",LEFT(R406,S406)&amp;REPT("0",4-S406)&amp;RIGHT("000"&amp;IFERROR(VALUE(MID(R406,S406+1,9)),0),3)&amp;RIGHT("0000"&amp;IFERROR(VALUE(MID(E406,FIND("-",E406)+1,9)),0),4))</f>
        <v/>
      </c>
      <c r="U406" s="0" t="str">
        <f aca="false">IF(I406=1,"K"&amp;RIGHT("00"&amp;A406,2)&amp;T406&amp;RIGHT("00000"&amp;ROW(),5),"")</f>
        <v/>
      </c>
      <c r="V406" s="0" t="str">
        <f aca="false">IF(U406="","",COUNTIFS($I$2:$I$1201,1,$U$2:$U$1201,"&lt;"&amp;U406)+1)</f>
        <v/>
      </c>
    </row>
    <row r="407" customFormat="false" ht="15" hidden="false" customHeight="false" outlineLevel="0" collapsed="false">
      <c r="A407" s="0" t="n">
        <v>7</v>
      </c>
      <c r="B407" s="0" t="n">
        <v>46</v>
      </c>
      <c r="C407" s="0" t="str">
        <f aca="false">TRIM(SUBSTITUTE(INDEX(LISTAS!$A$4:$T$63,B407,A407)&amp;"",CHAR(160)," "))</f>
        <v/>
      </c>
      <c r="D407" s="0" t="str">
        <f aca="false">IF(C407="","",TRIM(RIGHT(SUBSTITUTE(C407," ",REPT(" ",100)),100)))</f>
        <v/>
      </c>
      <c r="E407" s="0" t="str">
        <f aca="false">IF(D407="","",UPPER(SUBSTITUTE(SUBSTITUTE(D407,"(",""),")","")))</f>
        <v/>
      </c>
      <c r="F407" s="0" t="str">
        <f aca="false">IF(C407="","",LEFT(C407,FIND(" ",C407&amp;" ")-1))</f>
        <v/>
      </c>
      <c r="G407" s="0" t="n">
        <f aca="false">IFERROR(VALUE(SUBSTITUTE(LOWER(F407),"x","")),0)</f>
        <v>0</v>
      </c>
      <c r="H407" s="0" t="str">
        <f aca="false">IF(C407="","",TRIM(MID(C407,LEN(F407)+2,999)))</f>
        <v/>
      </c>
      <c r="I407" s="0" t="n">
        <f aca="false">IF(OR(C407="",LEFT(C407,2)="//"),0,IFERROR(IF(AND(G407&gt;0,G407=INT(G407),FIND("-",E407)&gt;1,NOT(EXACT(UPPER(LEFT(E407,1)),LOWER(LEFT(E407,1)))),ISNUMBER(VALUE(MID(E407,FIND("-",E407)+1,10)))),1,0),0))</f>
        <v>0</v>
      </c>
      <c r="J407" s="0" t="str">
        <f aca="false">IF(I407=1,TRIM(LEFT(H407,MAX(0,LEN(H407)-LEN(D407)))),"")</f>
        <v/>
      </c>
      <c r="K407" s="0" t="str">
        <f aca="false">INDEX($P$2:$P$21,A407)</f>
        <v>Deck 7</v>
      </c>
      <c r="L407" s="0" t="n">
        <f aca="false">IF(AND(C407&lt;&gt;"",LEFT(C407,2)&lt;&gt;"//",I407=0),1,0)</f>
        <v>0</v>
      </c>
      <c r="M407" s="0" t="str">
        <f aca="false">IF(I407=1,MAX(M$1:M406)+1,"")</f>
        <v/>
      </c>
      <c r="N407" s="0" t="str">
        <f aca="false">IFERROR(MATCH(ROW()-1,$V$2:$V$1201,0),"")</f>
        <v/>
      </c>
      <c r="R407" s="0" t="str">
        <f aca="false">IF(E407="","",IFERROR(LEFT(E407,FIND("-",E407)-1),E407))</f>
        <v/>
      </c>
      <c r="S407" s="0" t="str">
        <f aca="false">IF(R407="","",IF(ISNUMBER(--MID(R407,1,1)),0,IF(ISNUMBER(--MID(R407,2,1)),1,IF(ISNUMBER(--MID(R407,3,1)),2,IF(ISNUMBER(--MID(R407,4,1)),3,MIN(LEN(R407),4))))))</f>
        <v/>
      </c>
      <c r="T407" s="0" t="str">
        <f aca="false">IF(E407="","",LEFT(R407,S407)&amp;REPT("0",4-S407)&amp;RIGHT("000"&amp;IFERROR(VALUE(MID(R407,S407+1,9)),0),3)&amp;RIGHT("0000"&amp;IFERROR(VALUE(MID(E407,FIND("-",E407)+1,9)),0),4))</f>
        <v/>
      </c>
      <c r="U407" s="0" t="str">
        <f aca="false">IF(I407=1,"K"&amp;RIGHT("00"&amp;A407,2)&amp;T407&amp;RIGHT("00000"&amp;ROW(),5),"")</f>
        <v/>
      </c>
      <c r="V407" s="0" t="str">
        <f aca="false">IF(U407="","",COUNTIFS($I$2:$I$1201,1,$U$2:$U$1201,"&lt;"&amp;U407)+1)</f>
        <v/>
      </c>
    </row>
    <row r="408" customFormat="false" ht="15" hidden="false" customHeight="false" outlineLevel="0" collapsed="false">
      <c r="A408" s="0" t="n">
        <v>7</v>
      </c>
      <c r="B408" s="0" t="n">
        <v>47</v>
      </c>
      <c r="C408" s="0" t="str">
        <f aca="false">TRIM(SUBSTITUTE(INDEX(LISTAS!$A$4:$T$63,B408,A408)&amp;"",CHAR(160)," "))</f>
        <v/>
      </c>
      <c r="D408" s="0" t="str">
        <f aca="false">IF(C408="","",TRIM(RIGHT(SUBSTITUTE(C408," ",REPT(" ",100)),100)))</f>
        <v/>
      </c>
      <c r="E408" s="0" t="str">
        <f aca="false">IF(D408="","",UPPER(SUBSTITUTE(SUBSTITUTE(D408,"(",""),")","")))</f>
        <v/>
      </c>
      <c r="F408" s="0" t="str">
        <f aca="false">IF(C408="","",LEFT(C408,FIND(" ",C408&amp;" ")-1))</f>
        <v/>
      </c>
      <c r="G408" s="0" t="n">
        <f aca="false">IFERROR(VALUE(SUBSTITUTE(LOWER(F408),"x","")),0)</f>
        <v>0</v>
      </c>
      <c r="H408" s="0" t="str">
        <f aca="false">IF(C408="","",TRIM(MID(C408,LEN(F408)+2,999)))</f>
        <v/>
      </c>
      <c r="I408" s="0" t="n">
        <f aca="false">IF(OR(C408="",LEFT(C408,2)="//"),0,IFERROR(IF(AND(G408&gt;0,G408=INT(G408),FIND("-",E408)&gt;1,NOT(EXACT(UPPER(LEFT(E408,1)),LOWER(LEFT(E408,1)))),ISNUMBER(VALUE(MID(E408,FIND("-",E408)+1,10)))),1,0),0))</f>
        <v>0</v>
      </c>
      <c r="J408" s="0" t="str">
        <f aca="false">IF(I408=1,TRIM(LEFT(H408,MAX(0,LEN(H408)-LEN(D408)))),"")</f>
        <v/>
      </c>
      <c r="K408" s="0" t="str">
        <f aca="false">INDEX($P$2:$P$21,A408)</f>
        <v>Deck 7</v>
      </c>
      <c r="L408" s="0" t="n">
        <f aca="false">IF(AND(C408&lt;&gt;"",LEFT(C408,2)&lt;&gt;"//",I408=0),1,0)</f>
        <v>0</v>
      </c>
      <c r="M408" s="0" t="str">
        <f aca="false">IF(I408=1,MAX(M$1:M407)+1,"")</f>
        <v/>
      </c>
      <c r="N408" s="0" t="str">
        <f aca="false">IFERROR(MATCH(ROW()-1,$V$2:$V$1201,0),"")</f>
        <v/>
      </c>
      <c r="R408" s="0" t="str">
        <f aca="false">IF(E408="","",IFERROR(LEFT(E408,FIND("-",E408)-1),E408))</f>
        <v/>
      </c>
      <c r="S408" s="0" t="str">
        <f aca="false">IF(R408="","",IF(ISNUMBER(--MID(R408,1,1)),0,IF(ISNUMBER(--MID(R408,2,1)),1,IF(ISNUMBER(--MID(R408,3,1)),2,IF(ISNUMBER(--MID(R408,4,1)),3,MIN(LEN(R408),4))))))</f>
        <v/>
      </c>
      <c r="T408" s="0" t="str">
        <f aca="false">IF(E408="","",LEFT(R408,S408)&amp;REPT("0",4-S408)&amp;RIGHT("000"&amp;IFERROR(VALUE(MID(R408,S408+1,9)),0),3)&amp;RIGHT("0000"&amp;IFERROR(VALUE(MID(E408,FIND("-",E408)+1,9)),0),4))</f>
        <v/>
      </c>
      <c r="U408" s="0" t="str">
        <f aca="false">IF(I408=1,"K"&amp;RIGHT("00"&amp;A408,2)&amp;T408&amp;RIGHT("00000"&amp;ROW(),5),"")</f>
        <v/>
      </c>
      <c r="V408" s="0" t="str">
        <f aca="false">IF(U408="","",COUNTIFS($I$2:$I$1201,1,$U$2:$U$1201,"&lt;"&amp;U408)+1)</f>
        <v/>
      </c>
    </row>
    <row r="409" customFormat="false" ht="15" hidden="false" customHeight="false" outlineLevel="0" collapsed="false">
      <c r="A409" s="0" t="n">
        <v>7</v>
      </c>
      <c r="B409" s="0" t="n">
        <v>48</v>
      </c>
      <c r="C409" s="0" t="str">
        <f aca="false">TRIM(SUBSTITUTE(INDEX(LISTAS!$A$4:$T$63,B409,A409)&amp;"",CHAR(160)," "))</f>
        <v/>
      </c>
      <c r="D409" s="0" t="str">
        <f aca="false">IF(C409="","",TRIM(RIGHT(SUBSTITUTE(C409," ",REPT(" ",100)),100)))</f>
        <v/>
      </c>
      <c r="E409" s="0" t="str">
        <f aca="false">IF(D409="","",UPPER(SUBSTITUTE(SUBSTITUTE(D409,"(",""),")","")))</f>
        <v/>
      </c>
      <c r="F409" s="0" t="str">
        <f aca="false">IF(C409="","",LEFT(C409,FIND(" ",C409&amp;" ")-1))</f>
        <v/>
      </c>
      <c r="G409" s="0" t="n">
        <f aca="false">IFERROR(VALUE(SUBSTITUTE(LOWER(F409),"x","")),0)</f>
        <v>0</v>
      </c>
      <c r="H409" s="0" t="str">
        <f aca="false">IF(C409="","",TRIM(MID(C409,LEN(F409)+2,999)))</f>
        <v/>
      </c>
      <c r="I409" s="0" t="n">
        <f aca="false">IF(OR(C409="",LEFT(C409,2)="//"),0,IFERROR(IF(AND(G409&gt;0,G409=INT(G409),FIND("-",E409)&gt;1,NOT(EXACT(UPPER(LEFT(E409,1)),LOWER(LEFT(E409,1)))),ISNUMBER(VALUE(MID(E409,FIND("-",E409)+1,10)))),1,0),0))</f>
        <v>0</v>
      </c>
      <c r="J409" s="0" t="str">
        <f aca="false">IF(I409=1,TRIM(LEFT(H409,MAX(0,LEN(H409)-LEN(D409)))),"")</f>
        <v/>
      </c>
      <c r="K409" s="0" t="str">
        <f aca="false">INDEX($P$2:$P$21,A409)</f>
        <v>Deck 7</v>
      </c>
      <c r="L409" s="0" t="n">
        <f aca="false">IF(AND(C409&lt;&gt;"",LEFT(C409,2)&lt;&gt;"//",I409=0),1,0)</f>
        <v>0</v>
      </c>
      <c r="M409" s="0" t="str">
        <f aca="false">IF(I409=1,MAX(M$1:M408)+1,"")</f>
        <v/>
      </c>
      <c r="N409" s="0" t="str">
        <f aca="false">IFERROR(MATCH(ROW()-1,$V$2:$V$1201,0),"")</f>
        <v/>
      </c>
      <c r="R409" s="0" t="str">
        <f aca="false">IF(E409="","",IFERROR(LEFT(E409,FIND("-",E409)-1),E409))</f>
        <v/>
      </c>
      <c r="S409" s="0" t="str">
        <f aca="false">IF(R409="","",IF(ISNUMBER(--MID(R409,1,1)),0,IF(ISNUMBER(--MID(R409,2,1)),1,IF(ISNUMBER(--MID(R409,3,1)),2,IF(ISNUMBER(--MID(R409,4,1)),3,MIN(LEN(R409),4))))))</f>
        <v/>
      </c>
      <c r="T409" s="0" t="str">
        <f aca="false">IF(E409="","",LEFT(R409,S409)&amp;REPT("0",4-S409)&amp;RIGHT("000"&amp;IFERROR(VALUE(MID(R409,S409+1,9)),0),3)&amp;RIGHT("0000"&amp;IFERROR(VALUE(MID(E409,FIND("-",E409)+1,9)),0),4))</f>
        <v/>
      </c>
      <c r="U409" s="0" t="str">
        <f aca="false">IF(I409=1,"K"&amp;RIGHT("00"&amp;A409,2)&amp;T409&amp;RIGHT("00000"&amp;ROW(),5),"")</f>
        <v/>
      </c>
      <c r="V409" s="0" t="str">
        <f aca="false">IF(U409="","",COUNTIFS($I$2:$I$1201,1,$U$2:$U$1201,"&lt;"&amp;U409)+1)</f>
        <v/>
      </c>
    </row>
    <row r="410" customFormat="false" ht="15" hidden="false" customHeight="false" outlineLevel="0" collapsed="false">
      <c r="A410" s="0" t="n">
        <v>7</v>
      </c>
      <c r="B410" s="0" t="n">
        <v>49</v>
      </c>
      <c r="C410" s="0" t="str">
        <f aca="false">TRIM(SUBSTITUTE(INDEX(LISTAS!$A$4:$T$63,B410,A410)&amp;"",CHAR(160)," "))</f>
        <v/>
      </c>
      <c r="D410" s="0" t="str">
        <f aca="false">IF(C410="","",TRIM(RIGHT(SUBSTITUTE(C410," ",REPT(" ",100)),100)))</f>
        <v/>
      </c>
      <c r="E410" s="0" t="str">
        <f aca="false">IF(D410="","",UPPER(SUBSTITUTE(SUBSTITUTE(D410,"(",""),")","")))</f>
        <v/>
      </c>
      <c r="F410" s="0" t="str">
        <f aca="false">IF(C410="","",LEFT(C410,FIND(" ",C410&amp;" ")-1))</f>
        <v/>
      </c>
      <c r="G410" s="0" t="n">
        <f aca="false">IFERROR(VALUE(SUBSTITUTE(LOWER(F410),"x","")),0)</f>
        <v>0</v>
      </c>
      <c r="H410" s="0" t="str">
        <f aca="false">IF(C410="","",TRIM(MID(C410,LEN(F410)+2,999)))</f>
        <v/>
      </c>
      <c r="I410" s="0" t="n">
        <f aca="false">IF(OR(C410="",LEFT(C410,2)="//"),0,IFERROR(IF(AND(G410&gt;0,G410=INT(G410),FIND("-",E410)&gt;1,NOT(EXACT(UPPER(LEFT(E410,1)),LOWER(LEFT(E410,1)))),ISNUMBER(VALUE(MID(E410,FIND("-",E410)+1,10)))),1,0),0))</f>
        <v>0</v>
      </c>
      <c r="J410" s="0" t="str">
        <f aca="false">IF(I410=1,TRIM(LEFT(H410,MAX(0,LEN(H410)-LEN(D410)))),"")</f>
        <v/>
      </c>
      <c r="K410" s="0" t="str">
        <f aca="false">INDEX($P$2:$P$21,A410)</f>
        <v>Deck 7</v>
      </c>
      <c r="L410" s="0" t="n">
        <f aca="false">IF(AND(C410&lt;&gt;"",LEFT(C410,2)&lt;&gt;"//",I410=0),1,0)</f>
        <v>0</v>
      </c>
      <c r="M410" s="0" t="str">
        <f aca="false">IF(I410=1,MAX(M$1:M409)+1,"")</f>
        <v/>
      </c>
      <c r="N410" s="0" t="str">
        <f aca="false">IFERROR(MATCH(ROW()-1,$V$2:$V$1201,0),"")</f>
        <v/>
      </c>
      <c r="R410" s="0" t="str">
        <f aca="false">IF(E410="","",IFERROR(LEFT(E410,FIND("-",E410)-1),E410))</f>
        <v/>
      </c>
      <c r="S410" s="0" t="str">
        <f aca="false">IF(R410="","",IF(ISNUMBER(--MID(R410,1,1)),0,IF(ISNUMBER(--MID(R410,2,1)),1,IF(ISNUMBER(--MID(R410,3,1)),2,IF(ISNUMBER(--MID(R410,4,1)),3,MIN(LEN(R410),4))))))</f>
        <v/>
      </c>
      <c r="T410" s="0" t="str">
        <f aca="false">IF(E410="","",LEFT(R410,S410)&amp;REPT("0",4-S410)&amp;RIGHT("000"&amp;IFERROR(VALUE(MID(R410,S410+1,9)),0),3)&amp;RIGHT("0000"&amp;IFERROR(VALUE(MID(E410,FIND("-",E410)+1,9)),0),4))</f>
        <v/>
      </c>
      <c r="U410" s="0" t="str">
        <f aca="false">IF(I410=1,"K"&amp;RIGHT("00"&amp;A410,2)&amp;T410&amp;RIGHT("00000"&amp;ROW(),5),"")</f>
        <v/>
      </c>
      <c r="V410" s="0" t="str">
        <f aca="false">IF(U410="","",COUNTIFS($I$2:$I$1201,1,$U$2:$U$1201,"&lt;"&amp;U410)+1)</f>
        <v/>
      </c>
    </row>
    <row r="411" customFormat="false" ht="15" hidden="false" customHeight="false" outlineLevel="0" collapsed="false">
      <c r="A411" s="0" t="n">
        <v>7</v>
      </c>
      <c r="B411" s="0" t="n">
        <v>50</v>
      </c>
      <c r="C411" s="0" t="str">
        <f aca="false">TRIM(SUBSTITUTE(INDEX(LISTAS!$A$4:$T$63,B411,A411)&amp;"",CHAR(160)," "))</f>
        <v/>
      </c>
      <c r="D411" s="0" t="str">
        <f aca="false">IF(C411="","",TRIM(RIGHT(SUBSTITUTE(C411," ",REPT(" ",100)),100)))</f>
        <v/>
      </c>
      <c r="E411" s="0" t="str">
        <f aca="false">IF(D411="","",UPPER(SUBSTITUTE(SUBSTITUTE(D411,"(",""),")","")))</f>
        <v/>
      </c>
      <c r="F411" s="0" t="str">
        <f aca="false">IF(C411="","",LEFT(C411,FIND(" ",C411&amp;" ")-1))</f>
        <v/>
      </c>
      <c r="G411" s="0" t="n">
        <f aca="false">IFERROR(VALUE(SUBSTITUTE(LOWER(F411),"x","")),0)</f>
        <v>0</v>
      </c>
      <c r="H411" s="0" t="str">
        <f aca="false">IF(C411="","",TRIM(MID(C411,LEN(F411)+2,999)))</f>
        <v/>
      </c>
      <c r="I411" s="0" t="n">
        <f aca="false">IF(OR(C411="",LEFT(C411,2)="//"),0,IFERROR(IF(AND(G411&gt;0,G411=INT(G411),FIND("-",E411)&gt;1,NOT(EXACT(UPPER(LEFT(E411,1)),LOWER(LEFT(E411,1)))),ISNUMBER(VALUE(MID(E411,FIND("-",E411)+1,10)))),1,0),0))</f>
        <v>0</v>
      </c>
      <c r="J411" s="0" t="str">
        <f aca="false">IF(I411=1,TRIM(LEFT(H411,MAX(0,LEN(H411)-LEN(D411)))),"")</f>
        <v/>
      </c>
      <c r="K411" s="0" t="str">
        <f aca="false">INDEX($P$2:$P$21,A411)</f>
        <v>Deck 7</v>
      </c>
      <c r="L411" s="0" t="n">
        <f aca="false">IF(AND(C411&lt;&gt;"",LEFT(C411,2)&lt;&gt;"//",I411=0),1,0)</f>
        <v>0</v>
      </c>
      <c r="M411" s="0" t="str">
        <f aca="false">IF(I411=1,MAX(M$1:M410)+1,"")</f>
        <v/>
      </c>
      <c r="N411" s="0" t="str">
        <f aca="false">IFERROR(MATCH(ROW()-1,$V$2:$V$1201,0),"")</f>
        <v/>
      </c>
      <c r="R411" s="0" t="str">
        <f aca="false">IF(E411="","",IFERROR(LEFT(E411,FIND("-",E411)-1),E411))</f>
        <v/>
      </c>
      <c r="S411" s="0" t="str">
        <f aca="false">IF(R411="","",IF(ISNUMBER(--MID(R411,1,1)),0,IF(ISNUMBER(--MID(R411,2,1)),1,IF(ISNUMBER(--MID(R411,3,1)),2,IF(ISNUMBER(--MID(R411,4,1)),3,MIN(LEN(R411),4))))))</f>
        <v/>
      </c>
      <c r="T411" s="0" t="str">
        <f aca="false">IF(E411="","",LEFT(R411,S411)&amp;REPT("0",4-S411)&amp;RIGHT("000"&amp;IFERROR(VALUE(MID(R411,S411+1,9)),0),3)&amp;RIGHT("0000"&amp;IFERROR(VALUE(MID(E411,FIND("-",E411)+1,9)),0),4))</f>
        <v/>
      </c>
      <c r="U411" s="0" t="str">
        <f aca="false">IF(I411=1,"K"&amp;RIGHT("00"&amp;A411,2)&amp;T411&amp;RIGHT("00000"&amp;ROW(),5),"")</f>
        <v/>
      </c>
      <c r="V411" s="0" t="str">
        <f aca="false">IF(U411="","",COUNTIFS($I$2:$I$1201,1,$U$2:$U$1201,"&lt;"&amp;U411)+1)</f>
        <v/>
      </c>
    </row>
    <row r="412" customFormat="false" ht="15" hidden="false" customHeight="false" outlineLevel="0" collapsed="false">
      <c r="A412" s="0" t="n">
        <v>7</v>
      </c>
      <c r="B412" s="0" t="n">
        <v>51</v>
      </c>
      <c r="C412" s="0" t="str">
        <f aca="false">TRIM(SUBSTITUTE(INDEX(LISTAS!$A$4:$T$63,B412,A412)&amp;"",CHAR(160)," "))</f>
        <v/>
      </c>
      <c r="D412" s="0" t="str">
        <f aca="false">IF(C412="","",TRIM(RIGHT(SUBSTITUTE(C412," ",REPT(" ",100)),100)))</f>
        <v/>
      </c>
      <c r="E412" s="0" t="str">
        <f aca="false">IF(D412="","",UPPER(SUBSTITUTE(SUBSTITUTE(D412,"(",""),")","")))</f>
        <v/>
      </c>
      <c r="F412" s="0" t="str">
        <f aca="false">IF(C412="","",LEFT(C412,FIND(" ",C412&amp;" ")-1))</f>
        <v/>
      </c>
      <c r="G412" s="0" t="n">
        <f aca="false">IFERROR(VALUE(SUBSTITUTE(LOWER(F412),"x","")),0)</f>
        <v>0</v>
      </c>
      <c r="H412" s="0" t="str">
        <f aca="false">IF(C412="","",TRIM(MID(C412,LEN(F412)+2,999)))</f>
        <v/>
      </c>
      <c r="I412" s="0" t="n">
        <f aca="false">IF(OR(C412="",LEFT(C412,2)="//"),0,IFERROR(IF(AND(G412&gt;0,G412=INT(G412),FIND("-",E412)&gt;1,NOT(EXACT(UPPER(LEFT(E412,1)),LOWER(LEFT(E412,1)))),ISNUMBER(VALUE(MID(E412,FIND("-",E412)+1,10)))),1,0),0))</f>
        <v>0</v>
      </c>
      <c r="J412" s="0" t="str">
        <f aca="false">IF(I412=1,TRIM(LEFT(H412,MAX(0,LEN(H412)-LEN(D412)))),"")</f>
        <v/>
      </c>
      <c r="K412" s="0" t="str">
        <f aca="false">INDEX($P$2:$P$21,A412)</f>
        <v>Deck 7</v>
      </c>
      <c r="L412" s="0" t="n">
        <f aca="false">IF(AND(C412&lt;&gt;"",LEFT(C412,2)&lt;&gt;"//",I412=0),1,0)</f>
        <v>0</v>
      </c>
      <c r="M412" s="0" t="str">
        <f aca="false">IF(I412=1,MAX(M$1:M411)+1,"")</f>
        <v/>
      </c>
      <c r="N412" s="0" t="str">
        <f aca="false">IFERROR(MATCH(ROW()-1,$V$2:$V$1201,0),"")</f>
        <v/>
      </c>
      <c r="R412" s="0" t="str">
        <f aca="false">IF(E412="","",IFERROR(LEFT(E412,FIND("-",E412)-1),E412))</f>
        <v/>
      </c>
      <c r="S412" s="0" t="str">
        <f aca="false">IF(R412="","",IF(ISNUMBER(--MID(R412,1,1)),0,IF(ISNUMBER(--MID(R412,2,1)),1,IF(ISNUMBER(--MID(R412,3,1)),2,IF(ISNUMBER(--MID(R412,4,1)),3,MIN(LEN(R412),4))))))</f>
        <v/>
      </c>
      <c r="T412" s="0" t="str">
        <f aca="false">IF(E412="","",LEFT(R412,S412)&amp;REPT("0",4-S412)&amp;RIGHT("000"&amp;IFERROR(VALUE(MID(R412,S412+1,9)),0),3)&amp;RIGHT("0000"&amp;IFERROR(VALUE(MID(E412,FIND("-",E412)+1,9)),0),4))</f>
        <v/>
      </c>
      <c r="U412" s="0" t="str">
        <f aca="false">IF(I412=1,"K"&amp;RIGHT("00"&amp;A412,2)&amp;T412&amp;RIGHT("00000"&amp;ROW(),5),"")</f>
        <v/>
      </c>
      <c r="V412" s="0" t="str">
        <f aca="false">IF(U412="","",COUNTIFS($I$2:$I$1201,1,$U$2:$U$1201,"&lt;"&amp;U412)+1)</f>
        <v/>
      </c>
    </row>
    <row r="413" customFormat="false" ht="15" hidden="false" customHeight="false" outlineLevel="0" collapsed="false">
      <c r="A413" s="0" t="n">
        <v>7</v>
      </c>
      <c r="B413" s="0" t="n">
        <v>52</v>
      </c>
      <c r="C413" s="0" t="str">
        <f aca="false">TRIM(SUBSTITUTE(INDEX(LISTAS!$A$4:$T$63,B413,A413)&amp;"",CHAR(160)," "))</f>
        <v/>
      </c>
      <c r="D413" s="0" t="str">
        <f aca="false">IF(C413="","",TRIM(RIGHT(SUBSTITUTE(C413," ",REPT(" ",100)),100)))</f>
        <v/>
      </c>
      <c r="E413" s="0" t="str">
        <f aca="false">IF(D413="","",UPPER(SUBSTITUTE(SUBSTITUTE(D413,"(",""),")","")))</f>
        <v/>
      </c>
      <c r="F413" s="0" t="str">
        <f aca="false">IF(C413="","",LEFT(C413,FIND(" ",C413&amp;" ")-1))</f>
        <v/>
      </c>
      <c r="G413" s="0" t="n">
        <f aca="false">IFERROR(VALUE(SUBSTITUTE(LOWER(F413),"x","")),0)</f>
        <v>0</v>
      </c>
      <c r="H413" s="0" t="str">
        <f aca="false">IF(C413="","",TRIM(MID(C413,LEN(F413)+2,999)))</f>
        <v/>
      </c>
      <c r="I413" s="0" t="n">
        <f aca="false">IF(OR(C413="",LEFT(C413,2)="//"),0,IFERROR(IF(AND(G413&gt;0,G413=INT(G413),FIND("-",E413)&gt;1,NOT(EXACT(UPPER(LEFT(E413,1)),LOWER(LEFT(E413,1)))),ISNUMBER(VALUE(MID(E413,FIND("-",E413)+1,10)))),1,0),0))</f>
        <v>0</v>
      </c>
      <c r="J413" s="0" t="str">
        <f aca="false">IF(I413=1,TRIM(LEFT(H413,MAX(0,LEN(H413)-LEN(D413)))),"")</f>
        <v/>
      </c>
      <c r="K413" s="0" t="str">
        <f aca="false">INDEX($P$2:$P$21,A413)</f>
        <v>Deck 7</v>
      </c>
      <c r="L413" s="0" t="n">
        <f aca="false">IF(AND(C413&lt;&gt;"",LEFT(C413,2)&lt;&gt;"//",I413=0),1,0)</f>
        <v>0</v>
      </c>
      <c r="M413" s="0" t="str">
        <f aca="false">IF(I413=1,MAX(M$1:M412)+1,"")</f>
        <v/>
      </c>
      <c r="N413" s="0" t="str">
        <f aca="false">IFERROR(MATCH(ROW()-1,$V$2:$V$1201,0),"")</f>
        <v/>
      </c>
      <c r="R413" s="0" t="str">
        <f aca="false">IF(E413="","",IFERROR(LEFT(E413,FIND("-",E413)-1),E413))</f>
        <v/>
      </c>
      <c r="S413" s="0" t="str">
        <f aca="false">IF(R413="","",IF(ISNUMBER(--MID(R413,1,1)),0,IF(ISNUMBER(--MID(R413,2,1)),1,IF(ISNUMBER(--MID(R413,3,1)),2,IF(ISNUMBER(--MID(R413,4,1)),3,MIN(LEN(R413),4))))))</f>
        <v/>
      </c>
      <c r="T413" s="0" t="str">
        <f aca="false">IF(E413="","",LEFT(R413,S413)&amp;REPT("0",4-S413)&amp;RIGHT("000"&amp;IFERROR(VALUE(MID(R413,S413+1,9)),0),3)&amp;RIGHT("0000"&amp;IFERROR(VALUE(MID(E413,FIND("-",E413)+1,9)),0),4))</f>
        <v/>
      </c>
      <c r="U413" s="0" t="str">
        <f aca="false">IF(I413=1,"K"&amp;RIGHT("00"&amp;A413,2)&amp;T413&amp;RIGHT("00000"&amp;ROW(),5),"")</f>
        <v/>
      </c>
      <c r="V413" s="0" t="str">
        <f aca="false">IF(U413="","",COUNTIFS($I$2:$I$1201,1,$U$2:$U$1201,"&lt;"&amp;U413)+1)</f>
        <v/>
      </c>
    </row>
    <row r="414" customFormat="false" ht="15" hidden="false" customHeight="false" outlineLevel="0" collapsed="false">
      <c r="A414" s="0" t="n">
        <v>7</v>
      </c>
      <c r="B414" s="0" t="n">
        <v>53</v>
      </c>
      <c r="C414" s="0" t="str">
        <f aca="false">TRIM(SUBSTITUTE(INDEX(LISTAS!$A$4:$T$63,B414,A414)&amp;"",CHAR(160)," "))</f>
        <v/>
      </c>
      <c r="D414" s="0" t="str">
        <f aca="false">IF(C414="","",TRIM(RIGHT(SUBSTITUTE(C414," ",REPT(" ",100)),100)))</f>
        <v/>
      </c>
      <c r="E414" s="0" t="str">
        <f aca="false">IF(D414="","",UPPER(SUBSTITUTE(SUBSTITUTE(D414,"(",""),")","")))</f>
        <v/>
      </c>
      <c r="F414" s="0" t="str">
        <f aca="false">IF(C414="","",LEFT(C414,FIND(" ",C414&amp;" ")-1))</f>
        <v/>
      </c>
      <c r="G414" s="0" t="n">
        <f aca="false">IFERROR(VALUE(SUBSTITUTE(LOWER(F414),"x","")),0)</f>
        <v>0</v>
      </c>
      <c r="H414" s="0" t="str">
        <f aca="false">IF(C414="","",TRIM(MID(C414,LEN(F414)+2,999)))</f>
        <v/>
      </c>
      <c r="I414" s="0" t="n">
        <f aca="false">IF(OR(C414="",LEFT(C414,2)="//"),0,IFERROR(IF(AND(G414&gt;0,G414=INT(G414),FIND("-",E414)&gt;1,NOT(EXACT(UPPER(LEFT(E414,1)),LOWER(LEFT(E414,1)))),ISNUMBER(VALUE(MID(E414,FIND("-",E414)+1,10)))),1,0),0))</f>
        <v>0</v>
      </c>
      <c r="J414" s="0" t="str">
        <f aca="false">IF(I414=1,TRIM(LEFT(H414,MAX(0,LEN(H414)-LEN(D414)))),"")</f>
        <v/>
      </c>
      <c r="K414" s="0" t="str">
        <f aca="false">INDEX($P$2:$P$21,A414)</f>
        <v>Deck 7</v>
      </c>
      <c r="L414" s="0" t="n">
        <f aca="false">IF(AND(C414&lt;&gt;"",LEFT(C414,2)&lt;&gt;"//",I414=0),1,0)</f>
        <v>0</v>
      </c>
      <c r="M414" s="0" t="str">
        <f aca="false">IF(I414=1,MAX(M$1:M413)+1,"")</f>
        <v/>
      </c>
      <c r="N414" s="0" t="str">
        <f aca="false">IFERROR(MATCH(ROW()-1,$V$2:$V$1201,0),"")</f>
        <v/>
      </c>
      <c r="R414" s="0" t="str">
        <f aca="false">IF(E414="","",IFERROR(LEFT(E414,FIND("-",E414)-1),E414))</f>
        <v/>
      </c>
      <c r="S414" s="0" t="str">
        <f aca="false">IF(R414="","",IF(ISNUMBER(--MID(R414,1,1)),0,IF(ISNUMBER(--MID(R414,2,1)),1,IF(ISNUMBER(--MID(R414,3,1)),2,IF(ISNUMBER(--MID(R414,4,1)),3,MIN(LEN(R414),4))))))</f>
        <v/>
      </c>
      <c r="T414" s="0" t="str">
        <f aca="false">IF(E414="","",LEFT(R414,S414)&amp;REPT("0",4-S414)&amp;RIGHT("000"&amp;IFERROR(VALUE(MID(R414,S414+1,9)),0),3)&amp;RIGHT("0000"&amp;IFERROR(VALUE(MID(E414,FIND("-",E414)+1,9)),0),4))</f>
        <v/>
      </c>
      <c r="U414" s="0" t="str">
        <f aca="false">IF(I414=1,"K"&amp;RIGHT("00"&amp;A414,2)&amp;T414&amp;RIGHT("00000"&amp;ROW(),5),"")</f>
        <v/>
      </c>
      <c r="V414" s="0" t="str">
        <f aca="false">IF(U414="","",COUNTIFS($I$2:$I$1201,1,$U$2:$U$1201,"&lt;"&amp;U414)+1)</f>
        <v/>
      </c>
    </row>
    <row r="415" customFormat="false" ht="15" hidden="false" customHeight="false" outlineLevel="0" collapsed="false">
      <c r="A415" s="0" t="n">
        <v>7</v>
      </c>
      <c r="B415" s="0" t="n">
        <v>54</v>
      </c>
      <c r="C415" s="0" t="str">
        <f aca="false">TRIM(SUBSTITUTE(INDEX(LISTAS!$A$4:$T$63,B415,A415)&amp;"",CHAR(160)," "))</f>
        <v/>
      </c>
      <c r="D415" s="0" t="str">
        <f aca="false">IF(C415="","",TRIM(RIGHT(SUBSTITUTE(C415," ",REPT(" ",100)),100)))</f>
        <v/>
      </c>
      <c r="E415" s="0" t="str">
        <f aca="false">IF(D415="","",UPPER(SUBSTITUTE(SUBSTITUTE(D415,"(",""),")","")))</f>
        <v/>
      </c>
      <c r="F415" s="0" t="str">
        <f aca="false">IF(C415="","",LEFT(C415,FIND(" ",C415&amp;" ")-1))</f>
        <v/>
      </c>
      <c r="G415" s="0" t="n">
        <f aca="false">IFERROR(VALUE(SUBSTITUTE(LOWER(F415),"x","")),0)</f>
        <v>0</v>
      </c>
      <c r="H415" s="0" t="str">
        <f aca="false">IF(C415="","",TRIM(MID(C415,LEN(F415)+2,999)))</f>
        <v/>
      </c>
      <c r="I415" s="0" t="n">
        <f aca="false">IF(OR(C415="",LEFT(C415,2)="//"),0,IFERROR(IF(AND(G415&gt;0,G415=INT(G415),FIND("-",E415)&gt;1,NOT(EXACT(UPPER(LEFT(E415,1)),LOWER(LEFT(E415,1)))),ISNUMBER(VALUE(MID(E415,FIND("-",E415)+1,10)))),1,0),0))</f>
        <v>0</v>
      </c>
      <c r="J415" s="0" t="str">
        <f aca="false">IF(I415=1,TRIM(LEFT(H415,MAX(0,LEN(H415)-LEN(D415)))),"")</f>
        <v/>
      </c>
      <c r="K415" s="0" t="str">
        <f aca="false">INDEX($P$2:$P$21,A415)</f>
        <v>Deck 7</v>
      </c>
      <c r="L415" s="0" t="n">
        <f aca="false">IF(AND(C415&lt;&gt;"",LEFT(C415,2)&lt;&gt;"//",I415=0),1,0)</f>
        <v>0</v>
      </c>
      <c r="M415" s="0" t="str">
        <f aca="false">IF(I415=1,MAX(M$1:M414)+1,"")</f>
        <v/>
      </c>
      <c r="N415" s="0" t="str">
        <f aca="false">IFERROR(MATCH(ROW()-1,$V$2:$V$1201,0),"")</f>
        <v/>
      </c>
      <c r="R415" s="0" t="str">
        <f aca="false">IF(E415="","",IFERROR(LEFT(E415,FIND("-",E415)-1),E415))</f>
        <v/>
      </c>
      <c r="S415" s="0" t="str">
        <f aca="false">IF(R415="","",IF(ISNUMBER(--MID(R415,1,1)),0,IF(ISNUMBER(--MID(R415,2,1)),1,IF(ISNUMBER(--MID(R415,3,1)),2,IF(ISNUMBER(--MID(R415,4,1)),3,MIN(LEN(R415),4))))))</f>
        <v/>
      </c>
      <c r="T415" s="0" t="str">
        <f aca="false">IF(E415="","",LEFT(R415,S415)&amp;REPT("0",4-S415)&amp;RIGHT("000"&amp;IFERROR(VALUE(MID(R415,S415+1,9)),0),3)&amp;RIGHT("0000"&amp;IFERROR(VALUE(MID(E415,FIND("-",E415)+1,9)),0),4))</f>
        <v/>
      </c>
      <c r="U415" s="0" t="str">
        <f aca="false">IF(I415=1,"K"&amp;RIGHT("00"&amp;A415,2)&amp;T415&amp;RIGHT("00000"&amp;ROW(),5),"")</f>
        <v/>
      </c>
      <c r="V415" s="0" t="str">
        <f aca="false">IF(U415="","",COUNTIFS($I$2:$I$1201,1,$U$2:$U$1201,"&lt;"&amp;U415)+1)</f>
        <v/>
      </c>
    </row>
    <row r="416" customFormat="false" ht="15" hidden="false" customHeight="false" outlineLevel="0" collapsed="false">
      <c r="A416" s="0" t="n">
        <v>7</v>
      </c>
      <c r="B416" s="0" t="n">
        <v>55</v>
      </c>
      <c r="C416" s="0" t="str">
        <f aca="false">TRIM(SUBSTITUTE(INDEX(LISTAS!$A$4:$T$63,B416,A416)&amp;"",CHAR(160)," "))</f>
        <v/>
      </c>
      <c r="D416" s="0" t="str">
        <f aca="false">IF(C416="","",TRIM(RIGHT(SUBSTITUTE(C416," ",REPT(" ",100)),100)))</f>
        <v/>
      </c>
      <c r="E416" s="0" t="str">
        <f aca="false">IF(D416="","",UPPER(SUBSTITUTE(SUBSTITUTE(D416,"(",""),")","")))</f>
        <v/>
      </c>
      <c r="F416" s="0" t="str">
        <f aca="false">IF(C416="","",LEFT(C416,FIND(" ",C416&amp;" ")-1))</f>
        <v/>
      </c>
      <c r="G416" s="0" t="n">
        <f aca="false">IFERROR(VALUE(SUBSTITUTE(LOWER(F416),"x","")),0)</f>
        <v>0</v>
      </c>
      <c r="H416" s="0" t="str">
        <f aca="false">IF(C416="","",TRIM(MID(C416,LEN(F416)+2,999)))</f>
        <v/>
      </c>
      <c r="I416" s="0" t="n">
        <f aca="false">IF(OR(C416="",LEFT(C416,2)="//"),0,IFERROR(IF(AND(G416&gt;0,G416=INT(G416),FIND("-",E416)&gt;1,NOT(EXACT(UPPER(LEFT(E416,1)),LOWER(LEFT(E416,1)))),ISNUMBER(VALUE(MID(E416,FIND("-",E416)+1,10)))),1,0),0))</f>
        <v>0</v>
      </c>
      <c r="J416" s="0" t="str">
        <f aca="false">IF(I416=1,TRIM(LEFT(H416,MAX(0,LEN(H416)-LEN(D416)))),"")</f>
        <v/>
      </c>
      <c r="K416" s="0" t="str">
        <f aca="false">INDEX($P$2:$P$21,A416)</f>
        <v>Deck 7</v>
      </c>
      <c r="L416" s="0" t="n">
        <f aca="false">IF(AND(C416&lt;&gt;"",LEFT(C416,2)&lt;&gt;"//",I416=0),1,0)</f>
        <v>0</v>
      </c>
      <c r="M416" s="0" t="str">
        <f aca="false">IF(I416=1,MAX(M$1:M415)+1,"")</f>
        <v/>
      </c>
      <c r="N416" s="0" t="str">
        <f aca="false">IFERROR(MATCH(ROW()-1,$V$2:$V$1201,0),"")</f>
        <v/>
      </c>
      <c r="R416" s="0" t="str">
        <f aca="false">IF(E416="","",IFERROR(LEFT(E416,FIND("-",E416)-1),E416))</f>
        <v/>
      </c>
      <c r="S416" s="0" t="str">
        <f aca="false">IF(R416="","",IF(ISNUMBER(--MID(R416,1,1)),0,IF(ISNUMBER(--MID(R416,2,1)),1,IF(ISNUMBER(--MID(R416,3,1)),2,IF(ISNUMBER(--MID(R416,4,1)),3,MIN(LEN(R416),4))))))</f>
        <v/>
      </c>
      <c r="T416" s="0" t="str">
        <f aca="false">IF(E416="","",LEFT(R416,S416)&amp;REPT("0",4-S416)&amp;RIGHT("000"&amp;IFERROR(VALUE(MID(R416,S416+1,9)),0),3)&amp;RIGHT("0000"&amp;IFERROR(VALUE(MID(E416,FIND("-",E416)+1,9)),0),4))</f>
        <v/>
      </c>
      <c r="U416" s="0" t="str">
        <f aca="false">IF(I416=1,"K"&amp;RIGHT("00"&amp;A416,2)&amp;T416&amp;RIGHT("00000"&amp;ROW(),5),"")</f>
        <v/>
      </c>
      <c r="V416" s="0" t="str">
        <f aca="false">IF(U416="","",COUNTIFS($I$2:$I$1201,1,$U$2:$U$1201,"&lt;"&amp;U416)+1)</f>
        <v/>
      </c>
    </row>
    <row r="417" customFormat="false" ht="15" hidden="false" customHeight="false" outlineLevel="0" collapsed="false">
      <c r="A417" s="0" t="n">
        <v>7</v>
      </c>
      <c r="B417" s="0" t="n">
        <v>56</v>
      </c>
      <c r="C417" s="0" t="str">
        <f aca="false">TRIM(SUBSTITUTE(INDEX(LISTAS!$A$4:$T$63,B417,A417)&amp;"",CHAR(160)," "))</f>
        <v/>
      </c>
      <c r="D417" s="0" t="str">
        <f aca="false">IF(C417="","",TRIM(RIGHT(SUBSTITUTE(C417," ",REPT(" ",100)),100)))</f>
        <v/>
      </c>
      <c r="E417" s="0" t="str">
        <f aca="false">IF(D417="","",UPPER(SUBSTITUTE(SUBSTITUTE(D417,"(",""),")","")))</f>
        <v/>
      </c>
      <c r="F417" s="0" t="str">
        <f aca="false">IF(C417="","",LEFT(C417,FIND(" ",C417&amp;" ")-1))</f>
        <v/>
      </c>
      <c r="G417" s="0" t="n">
        <f aca="false">IFERROR(VALUE(SUBSTITUTE(LOWER(F417),"x","")),0)</f>
        <v>0</v>
      </c>
      <c r="H417" s="0" t="str">
        <f aca="false">IF(C417="","",TRIM(MID(C417,LEN(F417)+2,999)))</f>
        <v/>
      </c>
      <c r="I417" s="0" t="n">
        <f aca="false">IF(OR(C417="",LEFT(C417,2)="//"),0,IFERROR(IF(AND(G417&gt;0,G417=INT(G417),FIND("-",E417)&gt;1,NOT(EXACT(UPPER(LEFT(E417,1)),LOWER(LEFT(E417,1)))),ISNUMBER(VALUE(MID(E417,FIND("-",E417)+1,10)))),1,0),0))</f>
        <v>0</v>
      </c>
      <c r="J417" s="0" t="str">
        <f aca="false">IF(I417=1,TRIM(LEFT(H417,MAX(0,LEN(H417)-LEN(D417)))),"")</f>
        <v/>
      </c>
      <c r="K417" s="0" t="str">
        <f aca="false">INDEX($P$2:$P$21,A417)</f>
        <v>Deck 7</v>
      </c>
      <c r="L417" s="0" t="n">
        <f aca="false">IF(AND(C417&lt;&gt;"",LEFT(C417,2)&lt;&gt;"//",I417=0),1,0)</f>
        <v>0</v>
      </c>
      <c r="M417" s="0" t="str">
        <f aca="false">IF(I417=1,MAX(M$1:M416)+1,"")</f>
        <v/>
      </c>
      <c r="N417" s="0" t="str">
        <f aca="false">IFERROR(MATCH(ROW()-1,$V$2:$V$1201,0),"")</f>
        <v/>
      </c>
      <c r="R417" s="0" t="str">
        <f aca="false">IF(E417="","",IFERROR(LEFT(E417,FIND("-",E417)-1),E417))</f>
        <v/>
      </c>
      <c r="S417" s="0" t="str">
        <f aca="false">IF(R417="","",IF(ISNUMBER(--MID(R417,1,1)),0,IF(ISNUMBER(--MID(R417,2,1)),1,IF(ISNUMBER(--MID(R417,3,1)),2,IF(ISNUMBER(--MID(R417,4,1)),3,MIN(LEN(R417),4))))))</f>
        <v/>
      </c>
      <c r="T417" s="0" t="str">
        <f aca="false">IF(E417="","",LEFT(R417,S417)&amp;REPT("0",4-S417)&amp;RIGHT("000"&amp;IFERROR(VALUE(MID(R417,S417+1,9)),0),3)&amp;RIGHT("0000"&amp;IFERROR(VALUE(MID(E417,FIND("-",E417)+1,9)),0),4))</f>
        <v/>
      </c>
      <c r="U417" s="0" t="str">
        <f aca="false">IF(I417=1,"K"&amp;RIGHT("00"&amp;A417,2)&amp;T417&amp;RIGHT("00000"&amp;ROW(),5),"")</f>
        <v/>
      </c>
      <c r="V417" s="0" t="str">
        <f aca="false">IF(U417="","",COUNTIFS($I$2:$I$1201,1,$U$2:$U$1201,"&lt;"&amp;U417)+1)</f>
        <v/>
      </c>
    </row>
    <row r="418" customFormat="false" ht="15" hidden="false" customHeight="false" outlineLevel="0" collapsed="false">
      <c r="A418" s="0" t="n">
        <v>7</v>
      </c>
      <c r="B418" s="0" t="n">
        <v>57</v>
      </c>
      <c r="C418" s="0" t="str">
        <f aca="false">TRIM(SUBSTITUTE(INDEX(LISTAS!$A$4:$T$63,B418,A418)&amp;"",CHAR(160)," "))</f>
        <v/>
      </c>
      <c r="D418" s="0" t="str">
        <f aca="false">IF(C418="","",TRIM(RIGHT(SUBSTITUTE(C418," ",REPT(" ",100)),100)))</f>
        <v/>
      </c>
      <c r="E418" s="0" t="str">
        <f aca="false">IF(D418="","",UPPER(SUBSTITUTE(SUBSTITUTE(D418,"(",""),")","")))</f>
        <v/>
      </c>
      <c r="F418" s="0" t="str">
        <f aca="false">IF(C418="","",LEFT(C418,FIND(" ",C418&amp;" ")-1))</f>
        <v/>
      </c>
      <c r="G418" s="0" t="n">
        <f aca="false">IFERROR(VALUE(SUBSTITUTE(LOWER(F418),"x","")),0)</f>
        <v>0</v>
      </c>
      <c r="H418" s="0" t="str">
        <f aca="false">IF(C418="","",TRIM(MID(C418,LEN(F418)+2,999)))</f>
        <v/>
      </c>
      <c r="I418" s="0" t="n">
        <f aca="false">IF(OR(C418="",LEFT(C418,2)="//"),0,IFERROR(IF(AND(G418&gt;0,G418=INT(G418),FIND("-",E418)&gt;1,NOT(EXACT(UPPER(LEFT(E418,1)),LOWER(LEFT(E418,1)))),ISNUMBER(VALUE(MID(E418,FIND("-",E418)+1,10)))),1,0),0))</f>
        <v>0</v>
      </c>
      <c r="J418" s="0" t="str">
        <f aca="false">IF(I418=1,TRIM(LEFT(H418,MAX(0,LEN(H418)-LEN(D418)))),"")</f>
        <v/>
      </c>
      <c r="K418" s="0" t="str">
        <f aca="false">INDEX($P$2:$P$21,A418)</f>
        <v>Deck 7</v>
      </c>
      <c r="L418" s="0" t="n">
        <f aca="false">IF(AND(C418&lt;&gt;"",LEFT(C418,2)&lt;&gt;"//",I418=0),1,0)</f>
        <v>0</v>
      </c>
      <c r="M418" s="0" t="str">
        <f aca="false">IF(I418=1,MAX(M$1:M417)+1,"")</f>
        <v/>
      </c>
      <c r="N418" s="0" t="str">
        <f aca="false">IFERROR(MATCH(ROW()-1,$V$2:$V$1201,0),"")</f>
        <v/>
      </c>
      <c r="R418" s="0" t="str">
        <f aca="false">IF(E418="","",IFERROR(LEFT(E418,FIND("-",E418)-1),E418))</f>
        <v/>
      </c>
      <c r="S418" s="0" t="str">
        <f aca="false">IF(R418="","",IF(ISNUMBER(--MID(R418,1,1)),0,IF(ISNUMBER(--MID(R418,2,1)),1,IF(ISNUMBER(--MID(R418,3,1)),2,IF(ISNUMBER(--MID(R418,4,1)),3,MIN(LEN(R418),4))))))</f>
        <v/>
      </c>
      <c r="T418" s="0" t="str">
        <f aca="false">IF(E418="","",LEFT(R418,S418)&amp;REPT("0",4-S418)&amp;RIGHT("000"&amp;IFERROR(VALUE(MID(R418,S418+1,9)),0),3)&amp;RIGHT("0000"&amp;IFERROR(VALUE(MID(E418,FIND("-",E418)+1,9)),0),4))</f>
        <v/>
      </c>
      <c r="U418" s="0" t="str">
        <f aca="false">IF(I418=1,"K"&amp;RIGHT("00"&amp;A418,2)&amp;T418&amp;RIGHT("00000"&amp;ROW(),5),"")</f>
        <v/>
      </c>
      <c r="V418" s="0" t="str">
        <f aca="false">IF(U418="","",COUNTIFS($I$2:$I$1201,1,$U$2:$U$1201,"&lt;"&amp;U418)+1)</f>
        <v/>
      </c>
    </row>
    <row r="419" customFormat="false" ht="15" hidden="false" customHeight="false" outlineLevel="0" collapsed="false">
      <c r="A419" s="0" t="n">
        <v>7</v>
      </c>
      <c r="B419" s="0" t="n">
        <v>58</v>
      </c>
      <c r="C419" s="0" t="str">
        <f aca="false">TRIM(SUBSTITUTE(INDEX(LISTAS!$A$4:$T$63,B419,A419)&amp;"",CHAR(160)," "))</f>
        <v/>
      </c>
      <c r="D419" s="0" t="str">
        <f aca="false">IF(C419="","",TRIM(RIGHT(SUBSTITUTE(C419," ",REPT(" ",100)),100)))</f>
        <v/>
      </c>
      <c r="E419" s="0" t="str">
        <f aca="false">IF(D419="","",UPPER(SUBSTITUTE(SUBSTITUTE(D419,"(",""),")","")))</f>
        <v/>
      </c>
      <c r="F419" s="0" t="str">
        <f aca="false">IF(C419="","",LEFT(C419,FIND(" ",C419&amp;" ")-1))</f>
        <v/>
      </c>
      <c r="G419" s="0" t="n">
        <f aca="false">IFERROR(VALUE(SUBSTITUTE(LOWER(F419),"x","")),0)</f>
        <v>0</v>
      </c>
      <c r="H419" s="0" t="str">
        <f aca="false">IF(C419="","",TRIM(MID(C419,LEN(F419)+2,999)))</f>
        <v/>
      </c>
      <c r="I419" s="0" t="n">
        <f aca="false">IF(OR(C419="",LEFT(C419,2)="//"),0,IFERROR(IF(AND(G419&gt;0,G419=INT(G419),FIND("-",E419)&gt;1,NOT(EXACT(UPPER(LEFT(E419,1)),LOWER(LEFT(E419,1)))),ISNUMBER(VALUE(MID(E419,FIND("-",E419)+1,10)))),1,0),0))</f>
        <v>0</v>
      </c>
      <c r="J419" s="0" t="str">
        <f aca="false">IF(I419=1,TRIM(LEFT(H419,MAX(0,LEN(H419)-LEN(D419)))),"")</f>
        <v/>
      </c>
      <c r="K419" s="0" t="str">
        <f aca="false">INDEX($P$2:$P$21,A419)</f>
        <v>Deck 7</v>
      </c>
      <c r="L419" s="0" t="n">
        <f aca="false">IF(AND(C419&lt;&gt;"",LEFT(C419,2)&lt;&gt;"//",I419=0),1,0)</f>
        <v>0</v>
      </c>
      <c r="M419" s="0" t="str">
        <f aca="false">IF(I419=1,MAX(M$1:M418)+1,"")</f>
        <v/>
      </c>
      <c r="N419" s="0" t="str">
        <f aca="false">IFERROR(MATCH(ROW()-1,$V$2:$V$1201,0),"")</f>
        <v/>
      </c>
      <c r="R419" s="0" t="str">
        <f aca="false">IF(E419="","",IFERROR(LEFT(E419,FIND("-",E419)-1),E419))</f>
        <v/>
      </c>
      <c r="S419" s="0" t="str">
        <f aca="false">IF(R419="","",IF(ISNUMBER(--MID(R419,1,1)),0,IF(ISNUMBER(--MID(R419,2,1)),1,IF(ISNUMBER(--MID(R419,3,1)),2,IF(ISNUMBER(--MID(R419,4,1)),3,MIN(LEN(R419),4))))))</f>
        <v/>
      </c>
      <c r="T419" s="0" t="str">
        <f aca="false">IF(E419="","",LEFT(R419,S419)&amp;REPT("0",4-S419)&amp;RIGHT("000"&amp;IFERROR(VALUE(MID(R419,S419+1,9)),0),3)&amp;RIGHT("0000"&amp;IFERROR(VALUE(MID(E419,FIND("-",E419)+1,9)),0),4))</f>
        <v/>
      </c>
      <c r="U419" s="0" t="str">
        <f aca="false">IF(I419=1,"K"&amp;RIGHT("00"&amp;A419,2)&amp;T419&amp;RIGHT("00000"&amp;ROW(),5),"")</f>
        <v/>
      </c>
      <c r="V419" s="0" t="str">
        <f aca="false">IF(U419="","",COUNTIFS($I$2:$I$1201,1,$U$2:$U$1201,"&lt;"&amp;U419)+1)</f>
        <v/>
      </c>
    </row>
    <row r="420" customFormat="false" ht="15" hidden="false" customHeight="false" outlineLevel="0" collapsed="false">
      <c r="A420" s="0" t="n">
        <v>7</v>
      </c>
      <c r="B420" s="0" t="n">
        <v>59</v>
      </c>
      <c r="C420" s="0" t="str">
        <f aca="false">TRIM(SUBSTITUTE(INDEX(LISTAS!$A$4:$T$63,B420,A420)&amp;"",CHAR(160)," "))</f>
        <v/>
      </c>
      <c r="D420" s="0" t="str">
        <f aca="false">IF(C420="","",TRIM(RIGHT(SUBSTITUTE(C420," ",REPT(" ",100)),100)))</f>
        <v/>
      </c>
      <c r="E420" s="0" t="str">
        <f aca="false">IF(D420="","",UPPER(SUBSTITUTE(SUBSTITUTE(D420,"(",""),")","")))</f>
        <v/>
      </c>
      <c r="F420" s="0" t="str">
        <f aca="false">IF(C420="","",LEFT(C420,FIND(" ",C420&amp;" ")-1))</f>
        <v/>
      </c>
      <c r="G420" s="0" t="n">
        <f aca="false">IFERROR(VALUE(SUBSTITUTE(LOWER(F420),"x","")),0)</f>
        <v>0</v>
      </c>
      <c r="H420" s="0" t="str">
        <f aca="false">IF(C420="","",TRIM(MID(C420,LEN(F420)+2,999)))</f>
        <v/>
      </c>
      <c r="I420" s="0" t="n">
        <f aca="false">IF(OR(C420="",LEFT(C420,2)="//"),0,IFERROR(IF(AND(G420&gt;0,G420=INT(G420),FIND("-",E420)&gt;1,NOT(EXACT(UPPER(LEFT(E420,1)),LOWER(LEFT(E420,1)))),ISNUMBER(VALUE(MID(E420,FIND("-",E420)+1,10)))),1,0),0))</f>
        <v>0</v>
      </c>
      <c r="J420" s="0" t="str">
        <f aca="false">IF(I420=1,TRIM(LEFT(H420,MAX(0,LEN(H420)-LEN(D420)))),"")</f>
        <v/>
      </c>
      <c r="K420" s="0" t="str">
        <f aca="false">INDEX($P$2:$P$21,A420)</f>
        <v>Deck 7</v>
      </c>
      <c r="L420" s="0" t="n">
        <f aca="false">IF(AND(C420&lt;&gt;"",LEFT(C420,2)&lt;&gt;"//",I420=0),1,0)</f>
        <v>0</v>
      </c>
      <c r="M420" s="0" t="str">
        <f aca="false">IF(I420=1,MAX(M$1:M419)+1,"")</f>
        <v/>
      </c>
      <c r="N420" s="0" t="str">
        <f aca="false">IFERROR(MATCH(ROW()-1,$V$2:$V$1201,0),"")</f>
        <v/>
      </c>
      <c r="R420" s="0" t="str">
        <f aca="false">IF(E420="","",IFERROR(LEFT(E420,FIND("-",E420)-1),E420))</f>
        <v/>
      </c>
      <c r="S420" s="0" t="str">
        <f aca="false">IF(R420="","",IF(ISNUMBER(--MID(R420,1,1)),0,IF(ISNUMBER(--MID(R420,2,1)),1,IF(ISNUMBER(--MID(R420,3,1)),2,IF(ISNUMBER(--MID(R420,4,1)),3,MIN(LEN(R420),4))))))</f>
        <v/>
      </c>
      <c r="T420" s="0" t="str">
        <f aca="false">IF(E420="","",LEFT(R420,S420)&amp;REPT("0",4-S420)&amp;RIGHT("000"&amp;IFERROR(VALUE(MID(R420,S420+1,9)),0),3)&amp;RIGHT("0000"&amp;IFERROR(VALUE(MID(E420,FIND("-",E420)+1,9)),0),4))</f>
        <v/>
      </c>
      <c r="U420" s="0" t="str">
        <f aca="false">IF(I420=1,"K"&amp;RIGHT("00"&amp;A420,2)&amp;T420&amp;RIGHT("00000"&amp;ROW(),5),"")</f>
        <v/>
      </c>
      <c r="V420" s="0" t="str">
        <f aca="false">IF(U420="","",COUNTIFS($I$2:$I$1201,1,$U$2:$U$1201,"&lt;"&amp;U420)+1)</f>
        <v/>
      </c>
    </row>
    <row r="421" customFormat="false" ht="15" hidden="false" customHeight="false" outlineLevel="0" collapsed="false">
      <c r="A421" s="0" t="n">
        <v>7</v>
      </c>
      <c r="B421" s="0" t="n">
        <v>60</v>
      </c>
      <c r="C421" s="0" t="str">
        <f aca="false">TRIM(SUBSTITUTE(INDEX(LISTAS!$A$4:$T$63,B421,A421)&amp;"",CHAR(160)," "))</f>
        <v/>
      </c>
      <c r="D421" s="0" t="str">
        <f aca="false">IF(C421="","",TRIM(RIGHT(SUBSTITUTE(C421," ",REPT(" ",100)),100)))</f>
        <v/>
      </c>
      <c r="E421" s="0" t="str">
        <f aca="false">IF(D421="","",UPPER(SUBSTITUTE(SUBSTITUTE(D421,"(",""),")","")))</f>
        <v/>
      </c>
      <c r="F421" s="0" t="str">
        <f aca="false">IF(C421="","",LEFT(C421,FIND(" ",C421&amp;" ")-1))</f>
        <v/>
      </c>
      <c r="G421" s="0" t="n">
        <f aca="false">IFERROR(VALUE(SUBSTITUTE(LOWER(F421),"x","")),0)</f>
        <v>0</v>
      </c>
      <c r="H421" s="0" t="str">
        <f aca="false">IF(C421="","",TRIM(MID(C421,LEN(F421)+2,999)))</f>
        <v/>
      </c>
      <c r="I421" s="0" t="n">
        <f aca="false">IF(OR(C421="",LEFT(C421,2)="//"),0,IFERROR(IF(AND(G421&gt;0,G421=INT(G421),FIND("-",E421)&gt;1,NOT(EXACT(UPPER(LEFT(E421,1)),LOWER(LEFT(E421,1)))),ISNUMBER(VALUE(MID(E421,FIND("-",E421)+1,10)))),1,0),0))</f>
        <v>0</v>
      </c>
      <c r="J421" s="0" t="str">
        <f aca="false">IF(I421=1,TRIM(LEFT(H421,MAX(0,LEN(H421)-LEN(D421)))),"")</f>
        <v/>
      </c>
      <c r="K421" s="0" t="str">
        <f aca="false">INDEX($P$2:$P$21,A421)</f>
        <v>Deck 7</v>
      </c>
      <c r="L421" s="0" t="n">
        <f aca="false">IF(AND(C421&lt;&gt;"",LEFT(C421,2)&lt;&gt;"//",I421=0),1,0)</f>
        <v>0</v>
      </c>
      <c r="M421" s="0" t="str">
        <f aca="false">IF(I421=1,MAX(M$1:M420)+1,"")</f>
        <v/>
      </c>
      <c r="N421" s="0" t="str">
        <f aca="false">IFERROR(MATCH(ROW()-1,$V$2:$V$1201,0),"")</f>
        <v/>
      </c>
      <c r="R421" s="0" t="str">
        <f aca="false">IF(E421="","",IFERROR(LEFT(E421,FIND("-",E421)-1),E421))</f>
        <v/>
      </c>
      <c r="S421" s="0" t="str">
        <f aca="false">IF(R421="","",IF(ISNUMBER(--MID(R421,1,1)),0,IF(ISNUMBER(--MID(R421,2,1)),1,IF(ISNUMBER(--MID(R421,3,1)),2,IF(ISNUMBER(--MID(R421,4,1)),3,MIN(LEN(R421),4))))))</f>
        <v/>
      </c>
      <c r="T421" s="0" t="str">
        <f aca="false">IF(E421="","",LEFT(R421,S421)&amp;REPT("0",4-S421)&amp;RIGHT("000"&amp;IFERROR(VALUE(MID(R421,S421+1,9)),0),3)&amp;RIGHT("0000"&amp;IFERROR(VALUE(MID(E421,FIND("-",E421)+1,9)),0),4))</f>
        <v/>
      </c>
      <c r="U421" s="0" t="str">
        <f aca="false">IF(I421=1,"K"&amp;RIGHT("00"&amp;A421,2)&amp;T421&amp;RIGHT("00000"&amp;ROW(),5),"")</f>
        <v/>
      </c>
      <c r="V421" s="0" t="str">
        <f aca="false">IF(U421="","",COUNTIFS($I$2:$I$1201,1,$U$2:$U$1201,"&lt;"&amp;U421)+1)</f>
        <v/>
      </c>
    </row>
    <row r="422" customFormat="false" ht="15" hidden="false" customHeight="false" outlineLevel="0" collapsed="false">
      <c r="A422" s="0" t="n">
        <v>8</v>
      </c>
      <c r="B422" s="0" t="n">
        <v>1</v>
      </c>
      <c r="C422" s="0" t="str">
        <f aca="false">TRIM(SUBSTITUTE(INDEX(LISTAS!$A$4:$T$63,B422,A422)&amp;"",CHAR(160)," "))</f>
        <v/>
      </c>
      <c r="D422" s="0" t="str">
        <f aca="false">IF(C422="","",TRIM(RIGHT(SUBSTITUTE(C422," ",REPT(" ",100)),100)))</f>
        <v/>
      </c>
      <c r="E422" s="0" t="str">
        <f aca="false">IF(D422="","",UPPER(SUBSTITUTE(SUBSTITUTE(D422,"(",""),")","")))</f>
        <v/>
      </c>
      <c r="F422" s="0" t="str">
        <f aca="false">IF(C422="","",LEFT(C422,FIND(" ",C422&amp;" ")-1))</f>
        <v/>
      </c>
      <c r="G422" s="0" t="n">
        <f aca="false">IFERROR(VALUE(SUBSTITUTE(LOWER(F422),"x","")),0)</f>
        <v>0</v>
      </c>
      <c r="H422" s="0" t="str">
        <f aca="false">IF(C422="","",TRIM(MID(C422,LEN(F422)+2,999)))</f>
        <v/>
      </c>
      <c r="I422" s="0" t="n">
        <f aca="false">IF(OR(C422="",LEFT(C422,2)="//"),0,IFERROR(IF(AND(G422&gt;0,G422=INT(G422),FIND("-",E422)&gt;1,NOT(EXACT(UPPER(LEFT(E422,1)),LOWER(LEFT(E422,1)))),ISNUMBER(VALUE(MID(E422,FIND("-",E422)+1,10)))),1,0),0))</f>
        <v>0</v>
      </c>
      <c r="J422" s="0" t="str">
        <f aca="false">IF(I422=1,TRIM(LEFT(H422,MAX(0,LEN(H422)-LEN(D422)))),"")</f>
        <v/>
      </c>
      <c r="K422" s="0" t="str">
        <f aca="false">INDEX($P$2:$P$21,A422)</f>
        <v>Deck 8</v>
      </c>
      <c r="L422" s="0" t="n">
        <f aca="false">IF(AND(C422&lt;&gt;"",LEFT(C422,2)&lt;&gt;"//",I422=0),1,0)</f>
        <v>0</v>
      </c>
      <c r="M422" s="0" t="str">
        <f aca="false">IF(I422=1,MAX(M$1:M421)+1,"")</f>
        <v/>
      </c>
      <c r="N422" s="0" t="str">
        <f aca="false">IFERROR(MATCH(ROW()-1,$V$2:$V$1201,0),"")</f>
        <v/>
      </c>
      <c r="R422" s="0" t="str">
        <f aca="false">IF(E422="","",IFERROR(LEFT(E422,FIND("-",E422)-1),E422))</f>
        <v/>
      </c>
      <c r="S422" s="0" t="str">
        <f aca="false">IF(R422="","",IF(ISNUMBER(--MID(R422,1,1)),0,IF(ISNUMBER(--MID(R422,2,1)),1,IF(ISNUMBER(--MID(R422,3,1)),2,IF(ISNUMBER(--MID(R422,4,1)),3,MIN(LEN(R422),4))))))</f>
        <v/>
      </c>
      <c r="T422" s="0" t="str">
        <f aca="false">IF(E422="","",LEFT(R422,S422)&amp;REPT("0",4-S422)&amp;RIGHT("000"&amp;IFERROR(VALUE(MID(R422,S422+1,9)),0),3)&amp;RIGHT("0000"&amp;IFERROR(VALUE(MID(E422,FIND("-",E422)+1,9)),0),4))</f>
        <v/>
      </c>
      <c r="U422" s="0" t="str">
        <f aca="false">IF(I422=1,"K"&amp;RIGHT("00"&amp;A422,2)&amp;T422&amp;RIGHT("00000"&amp;ROW(),5),"")</f>
        <v/>
      </c>
      <c r="V422" s="0" t="str">
        <f aca="false">IF(U422="","",COUNTIFS($I$2:$I$1201,1,$U$2:$U$1201,"&lt;"&amp;U422)+1)</f>
        <v/>
      </c>
    </row>
    <row r="423" customFormat="false" ht="15" hidden="false" customHeight="false" outlineLevel="0" collapsed="false">
      <c r="A423" s="0" t="n">
        <v>8</v>
      </c>
      <c r="B423" s="0" t="n">
        <v>2</v>
      </c>
      <c r="C423" s="0" t="str">
        <f aca="false">TRIM(SUBSTITUTE(INDEX(LISTAS!$A$4:$T$63,B423,A423)&amp;"",CHAR(160)," "))</f>
        <v/>
      </c>
      <c r="D423" s="0" t="str">
        <f aca="false">IF(C423="","",TRIM(RIGHT(SUBSTITUTE(C423," ",REPT(" ",100)),100)))</f>
        <v/>
      </c>
      <c r="E423" s="0" t="str">
        <f aca="false">IF(D423="","",UPPER(SUBSTITUTE(SUBSTITUTE(D423,"(",""),")","")))</f>
        <v/>
      </c>
      <c r="F423" s="0" t="str">
        <f aca="false">IF(C423="","",LEFT(C423,FIND(" ",C423&amp;" ")-1))</f>
        <v/>
      </c>
      <c r="G423" s="0" t="n">
        <f aca="false">IFERROR(VALUE(SUBSTITUTE(LOWER(F423),"x","")),0)</f>
        <v>0</v>
      </c>
      <c r="H423" s="0" t="str">
        <f aca="false">IF(C423="","",TRIM(MID(C423,LEN(F423)+2,999)))</f>
        <v/>
      </c>
      <c r="I423" s="0" t="n">
        <f aca="false">IF(OR(C423="",LEFT(C423,2)="//"),0,IFERROR(IF(AND(G423&gt;0,G423=INT(G423),FIND("-",E423)&gt;1,NOT(EXACT(UPPER(LEFT(E423,1)),LOWER(LEFT(E423,1)))),ISNUMBER(VALUE(MID(E423,FIND("-",E423)+1,10)))),1,0),0))</f>
        <v>0</v>
      </c>
      <c r="J423" s="0" t="str">
        <f aca="false">IF(I423=1,TRIM(LEFT(H423,MAX(0,LEN(H423)-LEN(D423)))),"")</f>
        <v/>
      </c>
      <c r="K423" s="0" t="str">
        <f aca="false">INDEX($P$2:$P$21,A423)</f>
        <v>Deck 8</v>
      </c>
      <c r="L423" s="0" t="n">
        <f aca="false">IF(AND(C423&lt;&gt;"",LEFT(C423,2)&lt;&gt;"//",I423=0),1,0)</f>
        <v>0</v>
      </c>
      <c r="M423" s="0" t="str">
        <f aca="false">IF(I423=1,MAX(M$1:M422)+1,"")</f>
        <v/>
      </c>
      <c r="N423" s="0" t="str">
        <f aca="false">IFERROR(MATCH(ROW()-1,$V$2:$V$1201,0),"")</f>
        <v/>
      </c>
      <c r="R423" s="0" t="str">
        <f aca="false">IF(E423="","",IFERROR(LEFT(E423,FIND("-",E423)-1),E423))</f>
        <v/>
      </c>
      <c r="S423" s="0" t="str">
        <f aca="false">IF(R423="","",IF(ISNUMBER(--MID(R423,1,1)),0,IF(ISNUMBER(--MID(R423,2,1)),1,IF(ISNUMBER(--MID(R423,3,1)),2,IF(ISNUMBER(--MID(R423,4,1)),3,MIN(LEN(R423),4))))))</f>
        <v/>
      </c>
      <c r="T423" s="0" t="str">
        <f aca="false">IF(E423="","",LEFT(R423,S423)&amp;REPT("0",4-S423)&amp;RIGHT("000"&amp;IFERROR(VALUE(MID(R423,S423+1,9)),0),3)&amp;RIGHT("0000"&amp;IFERROR(VALUE(MID(E423,FIND("-",E423)+1,9)),0),4))</f>
        <v/>
      </c>
      <c r="U423" s="0" t="str">
        <f aca="false">IF(I423=1,"K"&amp;RIGHT("00"&amp;A423,2)&amp;T423&amp;RIGHT("00000"&amp;ROW(),5),"")</f>
        <v/>
      </c>
      <c r="V423" s="0" t="str">
        <f aca="false">IF(U423="","",COUNTIFS($I$2:$I$1201,1,$U$2:$U$1201,"&lt;"&amp;U423)+1)</f>
        <v/>
      </c>
    </row>
    <row r="424" customFormat="false" ht="15" hidden="false" customHeight="false" outlineLevel="0" collapsed="false">
      <c r="A424" s="0" t="n">
        <v>8</v>
      </c>
      <c r="B424" s="0" t="n">
        <v>3</v>
      </c>
      <c r="C424" s="0" t="str">
        <f aca="false">TRIM(SUBSTITUTE(INDEX(LISTAS!$A$4:$T$63,B424,A424)&amp;"",CHAR(160)," "))</f>
        <v/>
      </c>
      <c r="D424" s="0" t="str">
        <f aca="false">IF(C424="","",TRIM(RIGHT(SUBSTITUTE(C424," ",REPT(" ",100)),100)))</f>
        <v/>
      </c>
      <c r="E424" s="0" t="str">
        <f aca="false">IF(D424="","",UPPER(SUBSTITUTE(SUBSTITUTE(D424,"(",""),")","")))</f>
        <v/>
      </c>
      <c r="F424" s="0" t="str">
        <f aca="false">IF(C424="","",LEFT(C424,FIND(" ",C424&amp;" ")-1))</f>
        <v/>
      </c>
      <c r="G424" s="0" t="n">
        <f aca="false">IFERROR(VALUE(SUBSTITUTE(LOWER(F424),"x","")),0)</f>
        <v>0</v>
      </c>
      <c r="H424" s="0" t="str">
        <f aca="false">IF(C424="","",TRIM(MID(C424,LEN(F424)+2,999)))</f>
        <v/>
      </c>
      <c r="I424" s="0" t="n">
        <f aca="false">IF(OR(C424="",LEFT(C424,2)="//"),0,IFERROR(IF(AND(G424&gt;0,G424=INT(G424),FIND("-",E424)&gt;1,NOT(EXACT(UPPER(LEFT(E424,1)),LOWER(LEFT(E424,1)))),ISNUMBER(VALUE(MID(E424,FIND("-",E424)+1,10)))),1,0),0))</f>
        <v>0</v>
      </c>
      <c r="J424" s="0" t="str">
        <f aca="false">IF(I424=1,TRIM(LEFT(H424,MAX(0,LEN(H424)-LEN(D424)))),"")</f>
        <v/>
      </c>
      <c r="K424" s="0" t="str">
        <f aca="false">INDEX($P$2:$P$21,A424)</f>
        <v>Deck 8</v>
      </c>
      <c r="L424" s="0" t="n">
        <f aca="false">IF(AND(C424&lt;&gt;"",LEFT(C424,2)&lt;&gt;"//",I424=0),1,0)</f>
        <v>0</v>
      </c>
      <c r="M424" s="0" t="str">
        <f aca="false">IF(I424=1,MAX(M$1:M423)+1,"")</f>
        <v/>
      </c>
      <c r="N424" s="0" t="str">
        <f aca="false">IFERROR(MATCH(ROW()-1,$V$2:$V$1201,0),"")</f>
        <v/>
      </c>
      <c r="R424" s="0" t="str">
        <f aca="false">IF(E424="","",IFERROR(LEFT(E424,FIND("-",E424)-1),E424))</f>
        <v/>
      </c>
      <c r="S424" s="0" t="str">
        <f aca="false">IF(R424="","",IF(ISNUMBER(--MID(R424,1,1)),0,IF(ISNUMBER(--MID(R424,2,1)),1,IF(ISNUMBER(--MID(R424,3,1)),2,IF(ISNUMBER(--MID(R424,4,1)),3,MIN(LEN(R424),4))))))</f>
        <v/>
      </c>
      <c r="T424" s="0" t="str">
        <f aca="false">IF(E424="","",LEFT(R424,S424)&amp;REPT("0",4-S424)&amp;RIGHT("000"&amp;IFERROR(VALUE(MID(R424,S424+1,9)),0),3)&amp;RIGHT("0000"&amp;IFERROR(VALUE(MID(E424,FIND("-",E424)+1,9)),0),4))</f>
        <v/>
      </c>
      <c r="U424" s="0" t="str">
        <f aca="false">IF(I424=1,"K"&amp;RIGHT("00"&amp;A424,2)&amp;T424&amp;RIGHT("00000"&amp;ROW(),5),"")</f>
        <v/>
      </c>
      <c r="V424" s="0" t="str">
        <f aca="false">IF(U424="","",COUNTIFS($I$2:$I$1201,1,$U$2:$U$1201,"&lt;"&amp;U424)+1)</f>
        <v/>
      </c>
    </row>
    <row r="425" customFormat="false" ht="15" hidden="false" customHeight="false" outlineLevel="0" collapsed="false">
      <c r="A425" s="0" t="n">
        <v>8</v>
      </c>
      <c r="B425" s="0" t="n">
        <v>4</v>
      </c>
      <c r="C425" s="0" t="str">
        <f aca="false">TRIM(SUBSTITUTE(INDEX(LISTAS!$A$4:$T$63,B425,A425)&amp;"",CHAR(160)," "))</f>
        <v/>
      </c>
      <c r="D425" s="0" t="str">
        <f aca="false">IF(C425="","",TRIM(RIGHT(SUBSTITUTE(C425," ",REPT(" ",100)),100)))</f>
        <v/>
      </c>
      <c r="E425" s="0" t="str">
        <f aca="false">IF(D425="","",UPPER(SUBSTITUTE(SUBSTITUTE(D425,"(",""),")","")))</f>
        <v/>
      </c>
      <c r="F425" s="0" t="str">
        <f aca="false">IF(C425="","",LEFT(C425,FIND(" ",C425&amp;" ")-1))</f>
        <v/>
      </c>
      <c r="G425" s="0" t="n">
        <f aca="false">IFERROR(VALUE(SUBSTITUTE(LOWER(F425),"x","")),0)</f>
        <v>0</v>
      </c>
      <c r="H425" s="0" t="str">
        <f aca="false">IF(C425="","",TRIM(MID(C425,LEN(F425)+2,999)))</f>
        <v/>
      </c>
      <c r="I425" s="0" t="n">
        <f aca="false">IF(OR(C425="",LEFT(C425,2)="//"),0,IFERROR(IF(AND(G425&gt;0,G425=INT(G425),FIND("-",E425)&gt;1,NOT(EXACT(UPPER(LEFT(E425,1)),LOWER(LEFT(E425,1)))),ISNUMBER(VALUE(MID(E425,FIND("-",E425)+1,10)))),1,0),0))</f>
        <v>0</v>
      </c>
      <c r="J425" s="0" t="str">
        <f aca="false">IF(I425=1,TRIM(LEFT(H425,MAX(0,LEN(H425)-LEN(D425)))),"")</f>
        <v/>
      </c>
      <c r="K425" s="0" t="str">
        <f aca="false">INDEX($P$2:$P$21,A425)</f>
        <v>Deck 8</v>
      </c>
      <c r="L425" s="0" t="n">
        <f aca="false">IF(AND(C425&lt;&gt;"",LEFT(C425,2)&lt;&gt;"//",I425=0),1,0)</f>
        <v>0</v>
      </c>
      <c r="M425" s="0" t="str">
        <f aca="false">IF(I425=1,MAX(M$1:M424)+1,"")</f>
        <v/>
      </c>
      <c r="N425" s="0" t="str">
        <f aca="false">IFERROR(MATCH(ROW()-1,$V$2:$V$1201,0),"")</f>
        <v/>
      </c>
      <c r="R425" s="0" t="str">
        <f aca="false">IF(E425="","",IFERROR(LEFT(E425,FIND("-",E425)-1),E425))</f>
        <v/>
      </c>
      <c r="S425" s="0" t="str">
        <f aca="false">IF(R425="","",IF(ISNUMBER(--MID(R425,1,1)),0,IF(ISNUMBER(--MID(R425,2,1)),1,IF(ISNUMBER(--MID(R425,3,1)),2,IF(ISNUMBER(--MID(R425,4,1)),3,MIN(LEN(R425),4))))))</f>
        <v/>
      </c>
      <c r="T425" s="0" t="str">
        <f aca="false">IF(E425="","",LEFT(R425,S425)&amp;REPT("0",4-S425)&amp;RIGHT("000"&amp;IFERROR(VALUE(MID(R425,S425+1,9)),0),3)&amp;RIGHT("0000"&amp;IFERROR(VALUE(MID(E425,FIND("-",E425)+1,9)),0),4))</f>
        <v/>
      </c>
      <c r="U425" s="0" t="str">
        <f aca="false">IF(I425=1,"K"&amp;RIGHT("00"&amp;A425,2)&amp;T425&amp;RIGHT("00000"&amp;ROW(),5),"")</f>
        <v/>
      </c>
      <c r="V425" s="0" t="str">
        <f aca="false">IF(U425="","",COUNTIFS($I$2:$I$1201,1,$U$2:$U$1201,"&lt;"&amp;U425)+1)</f>
        <v/>
      </c>
    </row>
    <row r="426" customFormat="false" ht="15" hidden="false" customHeight="false" outlineLevel="0" collapsed="false">
      <c r="A426" s="0" t="n">
        <v>8</v>
      </c>
      <c r="B426" s="0" t="n">
        <v>5</v>
      </c>
      <c r="C426" s="0" t="str">
        <f aca="false">TRIM(SUBSTITUTE(INDEX(LISTAS!$A$4:$T$63,B426,A426)&amp;"",CHAR(160)," "))</f>
        <v/>
      </c>
      <c r="D426" s="0" t="str">
        <f aca="false">IF(C426="","",TRIM(RIGHT(SUBSTITUTE(C426," ",REPT(" ",100)),100)))</f>
        <v/>
      </c>
      <c r="E426" s="0" t="str">
        <f aca="false">IF(D426="","",UPPER(SUBSTITUTE(SUBSTITUTE(D426,"(",""),")","")))</f>
        <v/>
      </c>
      <c r="F426" s="0" t="str">
        <f aca="false">IF(C426="","",LEFT(C426,FIND(" ",C426&amp;" ")-1))</f>
        <v/>
      </c>
      <c r="G426" s="0" t="n">
        <f aca="false">IFERROR(VALUE(SUBSTITUTE(LOWER(F426),"x","")),0)</f>
        <v>0</v>
      </c>
      <c r="H426" s="0" t="str">
        <f aca="false">IF(C426="","",TRIM(MID(C426,LEN(F426)+2,999)))</f>
        <v/>
      </c>
      <c r="I426" s="0" t="n">
        <f aca="false">IF(OR(C426="",LEFT(C426,2)="//"),0,IFERROR(IF(AND(G426&gt;0,G426=INT(G426),FIND("-",E426)&gt;1,NOT(EXACT(UPPER(LEFT(E426,1)),LOWER(LEFT(E426,1)))),ISNUMBER(VALUE(MID(E426,FIND("-",E426)+1,10)))),1,0),0))</f>
        <v>0</v>
      </c>
      <c r="J426" s="0" t="str">
        <f aca="false">IF(I426=1,TRIM(LEFT(H426,MAX(0,LEN(H426)-LEN(D426)))),"")</f>
        <v/>
      </c>
      <c r="K426" s="0" t="str">
        <f aca="false">INDEX($P$2:$P$21,A426)</f>
        <v>Deck 8</v>
      </c>
      <c r="L426" s="0" t="n">
        <f aca="false">IF(AND(C426&lt;&gt;"",LEFT(C426,2)&lt;&gt;"//",I426=0),1,0)</f>
        <v>0</v>
      </c>
      <c r="M426" s="0" t="str">
        <f aca="false">IF(I426=1,MAX(M$1:M425)+1,"")</f>
        <v/>
      </c>
      <c r="N426" s="0" t="str">
        <f aca="false">IFERROR(MATCH(ROW()-1,$V$2:$V$1201,0),"")</f>
        <v/>
      </c>
      <c r="R426" s="0" t="str">
        <f aca="false">IF(E426="","",IFERROR(LEFT(E426,FIND("-",E426)-1),E426))</f>
        <v/>
      </c>
      <c r="S426" s="0" t="str">
        <f aca="false">IF(R426="","",IF(ISNUMBER(--MID(R426,1,1)),0,IF(ISNUMBER(--MID(R426,2,1)),1,IF(ISNUMBER(--MID(R426,3,1)),2,IF(ISNUMBER(--MID(R426,4,1)),3,MIN(LEN(R426),4))))))</f>
        <v/>
      </c>
      <c r="T426" s="0" t="str">
        <f aca="false">IF(E426="","",LEFT(R426,S426)&amp;REPT("0",4-S426)&amp;RIGHT("000"&amp;IFERROR(VALUE(MID(R426,S426+1,9)),0),3)&amp;RIGHT("0000"&amp;IFERROR(VALUE(MID(E426,FIND("-",E426)+1,9)),0),4))</f>
        <v/>
      </c>
      <c r="U426" s="0" t="str">
        <f aca="false">IF(I426=1,"K"&amp;RIGHT("00"&amp;A426,2)&amp;T426&amp;RIGHT("00000"&amp;ROW(),5),"")</f>
        <v/>
      </c>
      <c r="V426" s="0" t="str">
        <f aca="false">IF(U426="","",COUNTIFS($I$2:$I$1201,1,$U$2:$U$1201,"&lt;"&amp;U426)+1)</f>
        <v/>
      </c>
    </row>
    <row r="427" customFormat="false" ht="15" hidden="false" customHeight="false" outlineLevel="0" collapsed="false">
      <c r="A427" s="0" t="n">
        <v>8</v>
      </c>
      <c r="B427" s="0" t="n">
        <v>6</v>
      </c>
      <c r="C427" s="0" t="str">
        <f aca="false">TRIM(SUBSTITUTE(INDEX(LISTAS!$A$4:$T$63,B427,A427)&amp;"",CHAR(160)," "))</f>
        <v/>
      </c>
      <c r="D427" s="0" t="str">
        <f aca="false">IF(C427="","",TRIM(RIGHT(SUBSTITUTE(C427," ",REPT(" ",100)),100)))</f>
        <v/>
      </c>
      <c r="E427" s="0" t="str">
        <f aca="false">IF(D427="","",UPPER(SUBSTITUTE(SUBSTITUTE(D427,"(",""),")","")))</f>
        <v/>
      </c>
      <c r="F427" s="0" t="str">
        <f aca="false">IF(C427="","",LEFT(C427,FIND(" ",C427&amp;" ")-1))</f>
        <v/>
      </c>
      <c r="G427" s="0" t="n">
        <f aca="false">IFERROR(VALUE(SUBSTITUTE(LOWER(F427),"x","")),0)</f>
        <v>0</v>
      </c>
      <c r="H427" s="0" t="str">
        <f aca="false">IF(C427="","",TRIM(MID(C427,LEN(F427)+2,999)))</f>
        <v/>
      </c>
      <c r="I427" s="0" t="n">
        <f aca="false">IF(OR(C427="",LEFT(C427,2)="//"),0,IFERROR(IF(AND(G427&gt;0,G427=INT(G427),FIND("-",E427)&gt;1,NOT(EXACT(UPPER(LEFT(E427,1)),LOWER(LEFT(E427,1)))),ISNUMBER(VALUE(MID(E427,FIND("-",E427)+1,10)))),1,0),0))</f>
        <v>0</v>
      </c>
      <c r="J427" s="0" t="str">
        <f aca="false">IF(I427=1,TRIM(LEFT(H427,MAX(0,LEN(H427)-LEN(D427)))),"")</f>
        <v/>
      </c>
      <c r="K427" s="0" t="str">
        <f aca="false">INDEX($P$2:$P$21,A427)</f>
        <v>Deck 8</v>
      </c>
      <c r="L427" s="0" t="n">
        <f aca="false">IF(AND(C427&lt;&gt;"",LEFT(C427,2)&lt;&gt;"//",I427=0),1,0)</f>
        <v>0</v>
      </c>
      <c r="M427" s="0" t="str">
        <f aca="false">IF(I427=1,MAX(M$1:M426)+1,"")</f>
        <v/>
      </c>
      <c r="N427" s="0" t="str">
        <f aca="false">IFERROR(MATCH(ROW()-1,$V$2:$V$1201,0),"")</f>
        <v/>
      </c>
      <c r="R427" s="0" t="str">
        <f aca="false">IF(E427="","",IFERROR(LEFT(E427,FIND("-",E427)-1),E427))</f>
        <v/>
      </c>
      <c r="S427" s="0" t="str">
        <f aca="false">IF(R427="","",IF(ISNUMBER(--MID(R427,1,1)),0,IF(ISNUMBER(--MID(R427,2,1)),1,IF(ISNUMBER(--MID(R427,3,1)),2,IF(ISNUMBER(--MID(R427,4,1)),3,MIN(LEN(R427),4))))))</f>
        <v/>
      </c>
      <c r="T427" s="0" t="str">
        <f aca="false">IF(E427="","",LEFT(R427,S427)&amp;REPT("0",4-S427)&amp;RIGHT("000"&amp;IFERROR(VALUE(MID(R427,S427+1,9)),0),3)&amp;RIGHT("0000"&amp;IFERROR(VALUE(MID(E427,FIND("-",E427)+1,9)),0),4))</f>
        <v/>
      </c>
      <c r="U427" s="0" t="str">
        <f aca="false">IF(I427=1,"K"&amp;RIGHT("00"&amp;A427,2)&amp;T427&amp;RIGHT("00000"&amp;ROW(),5),"")</f>
        <v/>
      </c>
      <c r="V427" s="0" t="str">
        <f aca="false">IF(U427="","",COUNTIFS($I$2:$I$1201,1,$U$2:$U$1201,"&lt;"&amp;U427)+1)</f>
        <v/>
      </c>
    </row>
    <row r="428" customFormat="false" ht="15" hidden="false" customHeight="false" outlineLevel="0" collapsed="false">
      <c r="A428" s="0" t="n">
        <v>8</v>
      </c>
      <c r="B428" s="0" t="n">
        <v>7</v>
      </c>
      <c r="C428" s="0" t="str">
        <f aca="false">TRIM(SUBSTITUTE(INDEX(LISTAS!$A$4:$T$63,B428,A428)&amp;"",CHAR(160)," "))</f>
        <v/>
      </c>
      <c r="D428" s="0" t="str">
        <f aca="false">IF(C428="","",TRIM(RIGHT(SUBSTITUTE(C428," ",REPT(" ",100)),100)))</f>
        <v/>
      </c>
      <c r="E428" s="0" t="str">
        <f aca="false">IF(D428="","",UPPER(SUBSTITUTE(SUBSTITUTE(D428,"(",""),")","")))</f>
        <v/>
      </c>
      <c r="F428" s="0" t="str">
        <f aca="false">IF(C428="","",LEFT(C428,FIND(" ",C428&amp;" ")-1))</f>
        <v/>
      </c>
      <c r="G428" s="0" t="n">
        <f aca="false">IFERROR(VALUE(SUBSTITUTE(LOWER(F428),"x","")),0)</f>
        <v>0</v>
      </c>
      <c r="H428" s="0" t="str">
        <f aca="false">IF(C428="","",TRIM(MID(C428,LEN(F428)+2,999)))</f>
        <v/>
      </c>
      <c r="I428" s="0" t="n">
        <f aca="false">IF(OR(C428="",LEFT(C428,2)="//"),0,IFERROR(IF(AND(G428&gt;0,G428=INT(G428),FIND("-",E428)&gt;1,NOT(EXACT(UPPER(LEFT(E428,1)),LOWER(LEFT(E428,1)))),ISNUMBER(VALUE(MID(E428,FIND("-",E428)+1,10)))),1,0),0))</f>
        <v>0</v>
      </c>
      <c r="J428" s="0" t="str">
        <f aca="false">IF(I428=1,TRIM(LEFT(H428,MAX(0,LEN(H428)-LEN(D428)))),"")</f>
        <v/>
      </c>
      <c r="K428" s="0" t="str">
        <f aca="false">INDEX($P$2:$P$21,A428)</f>
        <v>Deck 8</v>
      </c>
      <c r="L428" s="0" t="n">
        <f aca="false">IF(AND(C428&lt;&gt;"",LEFT(C428,2)&lt;&gt;"//",I428=0),1,0)</f>
        <v>0</v>
      </c>
      <c r="M428" s="0" t="str">
        <f aca="false">IF(I428=1,MAX(M$1:M427)+1,"")</f>
        <v/>
      </c>
      <c r="N428" s="0" t="str">
        <f aca="false">IFERROR(MATCH(ROW()-1,$V$2:$V$1201,0),"")</f>
        <v/>
      </c>
      <c r="R428" s="0" t="str">
        <f aca="false">IF(E428="","",IFERROR(LEFT(E428,FIND("-",E428)-1),E428))</f>
        <v/>
      </c>
      <c r="S428" s="0" t="str">
        <f aca="false">IF(R428="","",IF(ISNUMBER(--MID(R428,1,1)),0,IF(ISNUMBER(--MID(R428,2,1)),1,IF(ISNUMBER(--MID(R428,3,1)),2,IF(ISNUMBER(--MID(R428,4,1)),3,MIN(LEN(R428),4))))))</f>
        <v/>
      </c>
      <c r="T428" s="0" t="str">
        <f aca="false">IF(E428="","",LEFT(R428,S428)&amp;REPT("0",4-S428)&amp;RIGHT("000"&amp;IFERROR(VALUE(MID(R428,S428+1,9)),0),3)&amp;RIGHT("0000"&amp;IFERROR(VALUE(MID(E428,FIND("-",E428)+1,9)),0),4))</f>
        <v/>
      </c>
      <c r="U428" s="0" t="str">
        <f aca="false">IF(I428=1,"K"&amp;RIGHT("00"&amp;A428,2)&amp;T428&amp;RIGHT("00000"&amp;ROW(),5),"")</f>
        <v/>
      </c>
      <c r="V428" s="0" t="str">
        <f aca="false">IF(U428="","",COUNTIFS($I$2:$I$1201,1,$U$2:$U$1201,"&lt;"&amp;U428)+1)</f>
        <v/>
      </c>
    </row>
    <row r="429" customFormat="false" ht="15" hidden="false" customHeight="false" outlineLevel="0" collapsed="false">
      <c r="A429" s="0" t="n">
        <v>8</v>
      </c>
      <c r="B429" s="0" t="n">
        <v>8</v>
      </c>
      <c r="C429" s="0" t="str">
        <f aca="false">TRIM(SUBSTITUTE(INDEX(LISTAS!$A$4:$T$63,B429,A429)&amp;"",CHAR(160)," "))</f>
        <v/>
      </c>
      <c r="D429" s="0" t="str">
        <f aca="false">IF(C429="","",TRIM(RIGHT(SUBSTITUTE(C429," ",REPT(" ",100)),100)))</f>
        <v/>
      </c>
      <c r="E429" s="0" t="str">
        <f aca="false">IF(D429="","",UPPER(SUBSTITUTE(SUBSTITUTE(D429,"(",""),")","")))</f>
        <v/>
      </c>
      <c r="F429" s="0" t="str">
        <f aca="false">IF(C429="","",LEFT(C429,FIND(" ",C429&amp;" ")-1))</f>
        <v/>
      </c>
      <c r="G429" s="0" t="n">
        <f aca="false">IFERROR(VALUE(SUBSTITUTE(LOWER(F429),"x","")),0)</f>
        <v>0</v>
      </c>
      <c r="H429" s="0" t="str">
        <f aca="false">IF(C429="","",TRIM(MID(C429,LEN(F429)+2,999)))</f>
        <v/>
      </c>
      <c r="I429" s="0" t="n">
        <f aca="false">IF(OR(C429="",LEFT(C429,2)="//"),0,IFERROR(IF(AND(G429&gt;0,G429=INT(G429),FIND("-",E429)&gt;1,NOT(EXACT(UPPER(LEFT(E429,1)),LOWER(LEFT(E429,1)))),ISNUMBER(VALUE(MID(E429,FIND("-",E429)+1,10)))),1,0),0))</f>
        <v>0</v>
      </c>
      <c r="J429" s="0" t="str">
        <f aca="false">IF(I429=1,TRIM(LEFT(H429,MAX(0,LEN(H429)-LEN(D429)))),"")</f>
        <v/>
      </c>
      <c r="K429" s="0" t="str">
        <f aca="false">INDEX($P$2:$P$21,A429)</f>
        <v>Deck 8</v>
      </c>
      <c r="L429" s="0" t="n">
        <f aca="false">IF(AND(C429&lt;&gt;"",LEFT(C429,2)&lt;&gt;"//",I429=0),1,0)</f>
        <v>0</v>
      </c>
      <c r="M429" s="0" t="str">
        <f aca="false">IF(I429=1,MAX(M$1:M428)+1,"")</f>
        <v/>
      </c>
      <c r="N429" s="0" t="str">
        <f aca="false">IFERROR(MATCH(ROW()-1,$V$2:$V$1201,0),"")</f>
        <v/>
      </c>
      <c r="R429" s="0" t="str">
        <f aca="false">IF(E429="","",IFERROR(LEFT(E429,FIND("-",E429)-1),E429))</f>
        <v/>
      </c>
      <c r="S429" s="0" t="str">
        <f aca="false">IF(R429="","",IF(ISNUMBER(--MID(R429,1,1)),0,IF(ISNUMBER(--MID(R429,2,1)),1,IF(ISNUMBER(--MID(R429,3,1)),2,IF(ISNUMBER(--MID(R429,4,1)),3,MIN(LEN(R429),4))))))</f>
        <v/>
      </c>
      <c r="T429" s="0" t="str">
        <f aca="false">IF(E429="","",LEFT(R429,S429)&amp;REPT("0",4-S429)&amp;RIGHT("000"&amp;IFERROR(VALUE(MID(R429,S429+1,9)),0),3)&amp;RIGHT("0000"&amp;IFERROR(VALUE(MID(E429,FIND("-",E429)+1,9)),0),4))</f>
        <v/>
      </c>
      <c r="U429" s="0" t="str">
        <f aca="false">IF(I429=1,"K"&amp;RIGHT("00"&amp;A429,2)&amp;T429&amp;RIGHT("00000"&amp;ROW(),5),"")</f>
        <v/>
      </c>
      <c r="V429" s="0" t="str">
        <f aca="false">IF(U429="","",COUNTIFS($I$2:$I$1201,1,$U$2:$U$1201,"&lt;"&amp;U429)+1)</f>
        <v/>
      </c>
    </row>
    <row r="430" customFormat="false" ht="15" hidden="false" customHeight="false" outlineLevel="0" collapsed="false">
      <c r="A430" s="0" t="n">
        <v>8</v>
      </c>
      <c r="B430" s="0" t="n">
        <v>9</v>
      </c>
      <c r="C430" s="0" t="str">
        <f aca="false">TRIM(SUBSTITUTE(INDEX(LISTAS!$A$4:$T$63,B430,A430)&amp;"",CHAR(160)," "))</f>
        <v/>
      </c>
      <c r="D430" s="0" t="str">
        <f aca="false">IF(C430="","",TRIM(RIGHT(SUBSTITUTE(C430," ",REPT(" ",100)),100)))</f>
        <v/>
      </c>
      <c r="E430" s="0" t="str">
        <f aca="false">IF(D430="","",UPPER(SUBSTITUTE(SUBSTITUTE(D430,"(",""),")","")))</f>
        <v/>
      </c>
      <c r="F430" s="0" t="str">
        <f aca="false">IF(C430="","",LEFT(C430,FIND(" ",C430&amp;" ")-1))</f>
        <v/>
      </c>
      <c r="G430" s="0" t="n">
        <f aca="false">IFERROR(VALUE(SUBSTITUTE(LOWER(F430),"x","")),0)</f>
        <v>0</v>
      </c>
      <c r="H430" s="0" t="str">
        <f aca="false">IF(C430="","",TRIM(MID(C430,LEN(F430)+2,999)))</f>
        <v/>
      </c>
      <c r="I430" s="0" t="n">
        <f aca="false">IF(OR(C430="",LEFT(C430,2)="//"),0,IFERROR(IF(AND(G430&gt;0,G430=INT(G430),FIND("-",E430)&gt;1,NOT(EXACT(UPPER(LEFT(E430,1)),LOWER(LEFT(E430,1)))),ISNUMBER(VALUE(MID(E430,FIND("-",E430)+1,10)))),1,0),0))</f>
        <v>0</v>
      </c>
      <c r="J430" s="0" t="str">
        <f aca="false">IF(I430=1,TRIM(LEFT(H430,MAX(0,LEN(H430)-LEN(D430)))),"")</f>
        <v/>
      </c>
      <c r="K430" s="0" t="str">
        <f aca="false">INDEX($P$2:$P$21,A430)</f>
        <v>Deck 8</v>
      </c>
      <c r="L430" s="0" t="n">
        <f aca="false">IF(AND(C430&lt;&gt;"",LEFT(C430,2)&lt;&gt;"//",I430=0),1,0)</f>
        <v>0</v>
      </c>
      <c r="M430" s="0" t="str">
        <f aca="false">IF(I430=1,MAX(M$1:M429)+1,"")</f>
        <v/>
      </c>
      <c r="N430" s="0" t="str">
        <f aca="false">IFERROR(MATCH(ROW()-1,$V$2:$V$1201,0),"")</f>
        <v/>
      </c>
      <c r="R430" s="0" t="str">
        <f aca="false">IF(E430="","",IFERROR(LEFT(E430,FIND("-",E430)-1),E430))</f>
        <v/>
      </c>
      <c r="S430" s="0" t="str">
        <f aca="false">IF(R430="","",IF(ISNUMBER(--MID(R430,1,1)),0,IF(ISNUMBER(--MID(R430,2,1)),1,IF(ISNUMBER(--MID(R430,3,1)),2,IF(ISNUMBER(--MID(R430,4,1)),3,MIN(LEN(R430),4))))))</f>
        <v/>
      </c>
      <c r="T430" s="0" t="str">
        <f aca="false">IF(E430="","",LEFT(R430,S430)&amp;REPT("0",4-S430)&amp;RIGHT("000"&amp;IFERROR(VALUE(MID(R430,S430+1,9)),0),3)&amp;RIGHT("0000"&amp;IFERROR(VALUE(MID(E430,FIND("-",E430)+1,9)),0),4))</f>
        <v/>
      </c>
      <c r="U430" s="0" t="str">
        <f aca="false">IF(I430=1,"K"&amp;RIGHT("00"&amp;A430,2)&amp;T430&amp;RIGHT("00000"&amp;ROW(),5),"")</f>
        <v/>
      </c>
      <c r="V430" s="0" t="str">
        <f aca="false">IF(U430="","",COUNTIFS($I$2:$I$1201,1,$U$2:$U$1201,"&lt;"&amp;U430)+1)</f>
        <v/>
      </c>
    </row>
    <row r="431" customFormat="false" ht="15" hidden="false" customHeight="false" outlineLevel="0" collapsed="false">
      <c r="A431" s="0" t="n">
        <v>8</v>
      </c>
      <c r="B431" s="0" t="n">
        <v>10</v>
      </c>
      <c r="C431" s="0" t="str">
        <f aca="false">TRIM(SUBSTITUTE(INDEX(LISTAS!$A$4:$T$63,B431,A431)&amp;"",CHAR(160)," "))</f>
        <v/>
      </c>
      <c r="D431" s="0" t="str">
        <f aca="false">IF(C431="","",TRIM(RIGHT(SUBSTITUTE(C431," ",REPT(" ",100)),100)))</f>
        <v/>
      </c>
      <c r="E431" s="0" t="str">
        <f aca="false">IF(D431="","",UPPER(SUBSTITUTE(SUBSTITUTE(D431,"(",""),")","")))</f>
        <v/>
      </c>
      <c r="F431" s="0" t="str">
        <f aca="false">IF(C431="","",LEFT(C431,FIND(" ",C431&amp;" ")-1))</f>
        <v/>
      </c>
      <c r="G431" s="0" t="n">
        <f aca="false">IFERROR(VALUE(SUBSTITUTE(LOWER(F431),"x","")),0)</f>
        <v>0</v>
      </c>
      <c r="H431" s="0" t="str">
        <f aca="false">IF(C431="","",TRIM(MID(C431,LEN(F431)+2,999)))</f>
        <v/>
      </c>
      <c r="I431" s="0" t="n">
        <f aca="false">IF(OR(C431="",LEFT(C431,2)="//"),0,IFERROR(IF(AND(G431&gt;0,G431=INT(G431),FIND("-",E431)&gt;1,NOT(EXACT(UPPER(LEFT(E431,1)),LOWER(LEFT(E431,1)))),ISNUMBER(VALUE(MID(E431,FIND("-",E431)+1,10)))),1,0),0))</f>
        <v>0</v>
      </c>
      <c r="J431" s="0" t="str">
        <f aca="false">IF(I431=1,TRIM(LEFT(H431,MAX(0,LEN(H431)-LEN(D431)))),"")</f>
        <v/>
      </c>
      <c r="K431" s="0" t="str">
        <f aca="false">INDEX($P$2:$P$21,A431)</f>
        <v>Deck 8</v>
      </c>
      <c r="L431" s="0" t="n">
        <f aca="false">IF(AND(C431&lt;&gt;"",LEFT(C431,2)&lt;&gt;"//",I431=0),1,0)</f>
        <v>0</v>
      </c>
      <c r="M431" s="0" t="str">
        <f aca="false">IF(I431=1,MAX(M$1:M430)+1,"")</f>
        <v/>
      </c>
      <c r="N431" s="0" t="str">
        <f aca="false">IFERROR(MATCH(ROW()-1,$V$2:$V$1201,0),"")</f>
        <v/>
      </c>
      <c r="R431" s="0" t="str">
        <f aca="false">IF(E431="","",IFERROR(LEFT(E431,FIND("-",E431)-1),E431))</f>
        <v/>
      </c>
      <c r="S431" s="0" t="str">
        <f aca="false">IF(R431="","",IF(ISNUMBER(--MID(R431,1,1)),0,IF(ISNUMBER(--MID(R431,2,1)),1,IF(ISNUMBER(--MID(R431,3,1)),2,IF(ISNUMBER(--MID(R431,4,1)),3,MIN(LEN(R431),4))))))</f>
        <v/>
      </c>
      <c r="T431" s="0" t="str">
        <f aca="false">IF(E431="","",LEFT(R431,S431)&amp;REPT("0",4-S431)&amp;RIGHT("000"&amp;IFERROR(VALUE(MID(R431,S431+1,9)),0),3)&amp;RIGHT("0000"&amp;IFERROR(VALUE(MID(E431,FIND("-",E431)+1,9)),0),4))</f>
        <v/>
      </c>
      <c r="U431" s="0" t="str">
        <f aca="false">IF(I431=1,"K"&amp;RIGHT("00"&amp;A431,2)&amp;T431&amp;RIGHT("00000"&amp;ROW(),5),"")</f>
        <v/>
      </c>
      <c r="V431" s="0" t="str">
        <f aca="false">IF(U431="","",COUNTIFS($I$2:$I$1201,1,$U$2:$U$1201,"&lt;"&amp;U431)+1)</f>
        <v/>
      </c>
    </row>
    <row r="432" customFormat="false" ht="15" hidden="false" customHeight="false" outlineLevel="0" collapsed="false">
      <c r="A432" s="0" t="n">
        <v>8</v>
      </c>
      <c r="B432" s="0" t="n">
        <v>11</v>
      </c>
      <c r="C432" s="0" t="str">
        <f aca="false">TRIM(SUBSTITUTE(INDEX(LISTAS!$A$4:$T$63,B432,A432)&amp;"",CHAR(160)," "))</f>
        <v/>
      </c>
      <c r="D432" s="0" t="str">
        <f aca="false">IF(C432="","",TRIM(RIGHT(SUBSTITUTE(C432," ",REPT(" ",100)),100)))</f>
        <v/>
      </c>
      <c r="E432" s="0" t="str">
        <f aca="false">IF(D432="","",UPPER(SUBSTITUTE(SUBSTITUTE(D432,"(",""),")","")))</f>
        <v/>
      </c>
      <c r="F432" s="0" t="str">
        <f aca="false">IF(C432="","",LEFT(C432,FIND(" ",C432&amp;" ")-1))</f>
        <v/>
      </c>
      <c r="G432" s="0" t="n">
        <f aca="false">IFERROR(VALUE(SUBSTITUTE(LOWER(F432),"x","")),0)</f>
        <v>0</v>
      </c>
      <c r="H432" s="0" t="str">
        <f aca="false">IF(C432="","",TRIM(MID(C432,LEN(F432)+2,999)))</f>
        <v/>
      </c>
      <c r="I432" s="0" t="n">
        <f aca="false">IF(OR(C432="",LEFT(C432,2)="//"),0,IFERROR(IF(AND(G432&gt;0,G432=INT(G432),FIND("-",E432)&gt;1,NOT(EXACT(UPPER(LEFT(E432,1)),LOWER(LEFT(E432,1)))),ISNUMBER(VALUE(MID(E432,FIND("-",E432)+1,10)))),1,0),0))</f>
        <v>0</v>
      </c>
      <c r="J432" s="0" t="str">
        <f aca="false">IF(I432=1,TRIM(LEFT(H432,MAX(0,LEN(H432)-LEN(D432)))),"")</f>
        <v/>
      </c>
      <c r="K432" s="0" t="str">
        <f aca="false">INDEX($P$2:$P$21,A432)</f>
        <v>Deck 8</v>
      </c>
      <c r="L432" s="0" t="n">
        <f aca="false">IF(AND(C432&lt;&gt;"",LEFT(C432,2)&lt;&gt;"//",I432=0),1,0)</f>
        <v>0</v>
      </c>
      <c r="M432" s="0" t="str">
        <f aca="false">IF(I432=1,MAX(M$1:M431)+1,"")</f>
        <v/>
      </c>
      <c r="N432" s="0" t="str">
        <f aca="false">IFERROR(MATCH(ROW()-1,$V$2:$V$1201,0),"")</f>
        <v/>
      </c>
      <c r="R432" s="0" t="str">
        <f aca="false">IF(E432="","",IFERROR(LEFT(E432,FIND("-",E432)-1),E432))</f>
        <v/>
      </c>
      <c r="S432" s="0" t="str">
        <f aca="false">IF(R432="","",IF(ISNUMBER(--MID(R432,1,1)),0,IF(ISNUMBER(--MID(R432,2,1)),1,IF(ISNUMBER(--MID(R432,3,1)),2,IF(ISNUMBER(--MID(R432,4,1)),3,MIN(LEN(R432),4))))))</f>
        <v/>
      </c>
      <c r="T432" s="0" t="str">
        <f aca="false">IF(E432="","",LEFT(R432,S432)&amp;REPT("0",4-S432)&amp;RIGHT("000"&amp;IFERROR(VALUE(MID(R432,S432+1,9)),0),3)&amp;RIGHT("0000"&amp;IFERROR(VALUE(MID(E432,FIND("-",E432)+1,9)),0),4))</f>
        <v/>
      </c>
      <c r="U432" s="0" t="str">
        <f aca="false">IF(I432=1,"K"&amp;RIGHT("00"&amp;A432,2)&amp;T432&amp;RIGHT("00000"&amp;ROW(),5),"")</f>
        <v/>
      </c>
      <c r="V432" s="0" t="str">
        <f aca="false">IF(U432="","",COUNTIFS($I$2:$I$1201,1,$U$2:$U$1201,"&lt;"&amp;U432)+1)</f>
        <v/>
      </c>
    </row>
    <row r="433" customFormat="false" ht="15" hidden="false" customHeight="false" outlineLevel="0" collapsed="false">
      <c r="A433" s="0" t="n">
        <v>8</v>
      </c>
      <c r="B433" s="0" t="n">
        <v>12</v>
      </c>
      <c r="C433" s="0" t="str">
        <f aca="false">TRIM(SUBSTITUTE(INDEX(LISTAS!$A$4:$T$63,B433,A433)&amp;"",CHAR(160)," "))</f>
        <v/>
      </c>
      <c r="D433" s="0" t="str">
        <f aca="false">IF(C433="","",TRIM(RIGHT(SUBSTITUTE(C433," ",REPT(" ",100)),100)))</f>
        <v/>
      </c>
      <c r="E433" s="0" t="str">
        <f aca="false">IF(D433="","",UPPER(SUBSTITUTE(SUBSTITUTE(D433,"(",""),")","")))</f>
        <v/>
      </c>
      <c r="F433" s="0" t="str">
        <f aca="false">IF(C433="","",LEFT(C433,FIND(" ",C433&amp;" ")-1))</f>
        <v/>
      </c>
      <c r="G433" s="0" t="n">
        <f aca="false">IFERROR(VALUE(SUBSTITUTE(LOWER(F433),"x","")),0)</f>
        <v>0</v>
      </c>
      <c r="H433" s="0" t="str">
        <f aca="false">IF(C433="","",TRIM(MID(C433,LEN(F433)+2,999)))</f>
        <v/>
      </c>
      <c r="I433" s="0" t="n">
        <f aca="false">IF(OR(C433="",LEFT(C433,2)="//"),0,IFERROR(IF(AND(G433&gt;0,G433=INT(G433),FIND("-",E433)&gt;1,NOT(EXACT(UPPER(LEFT(E433,1)),LOWER(LEFT(E433,1)))),ISNUMBER(VALUE(MID(E433,FIND("-",E433)+1,10)))),1,0),0))</f>
        <v>0</v>
      </c>
      <c r="J433" s="0" t="str">
        <f aca="false">IF(I433=1,TRIM(LEFT(H433,MAX(0,LEN(H433)-LEN(D433)))),"")</f>
        <v/>
      </c>
      <c r="K433" s="0" t="str">
        <f aca="false">INDEX($P$2:$P$21,A433)</f>
        <v>Deck 8</v>
      </c>
      <c r="L433" s="0" t="n">
        <f aca="false">IF(AND(C433&lt;&gt;"",LEFT(C433,2)&lt;&gt;"//",I433=0),1,0)</f>
        <v>0</v>
      </c>
      <c r="M433" s="0" t="str">
        <f aca="false">IF(I433=1,MAX(M$1:M432)+1,"")</f>
        <v/>
      </c>
      <c r="N433" s="0" t="str">
        <f aca="false">IFERROR(MATCH(ROW()-1,$V$2:$V$1201,0),"")</f>
        <v/>
      </c>
      <c r="R433" s="0" t="str">
        <f aca="false">IF(E433="","",IFERROR(LEFT(E433,FIND("-",E433)-1),E433))</f>
        <v/>
      </c>
      <c r="S433" s="0" t="str">
        <f aca="false">IF(R433="","",IF(ISNUMBER(--MID(R433,1,1)),0,IF(ISNUMBER(--MID(R433,2,1)),1,IF(ISNUMBER(--MID(R433,3,1)),2,IF(ISNUMBER(--MID(R433,4,1)),3,MIN(LEN(R433),4))))))</f>
        <v/>
      </c>
      <c r="T433" s="0" t="str">
        <f aca="false">IF(E433="","",LEFT(R433,S433)&amp;REPT("0",4-S433)&amp;RIGHT("000"&amp;IFERROR(VALUE(MID(R433,S433+1,9)),0),3)&amp;RIGHT("0000"&amp;IFERROR(VALUE(MID(E433,FIND("-",E433)+1,9)),0),4))</f>
        <v/>
      </c>
      <c r="U433" s="0" t="str">
        <f aca="false">IF(I433=1,"K"&amp;RIGHT("00"&amp;A433,2)&amp;T433&amp;RIGHT("00000"&amp;ROW(),5),"")</f>
        <v/>
      </c>
      <c r="V433" s="0" t="str">
        <f aca="false">IF(U433="","",COUNTIFS($I$2:$I$1201,1,$U$2:$U$1201,"&lt;"&amp;U433)+1)</f>
        <v/>
      </c>
    </row>
    <row r="434" customFormat="false" ht="15" hidden="false" customHeight="false" outlineLevel="0" collapsed="false">
      <c r="A434" s="0" t="n">
        <v>8</v>
      </c>
      <c r="B434" s="0" t="n">
        <v>13</v>
      </c>
      <c r="C434" s="0" t="str">
        <f aca="false">TRIM(SUBSTITUTE(INDEX(LISTAS!$A$4:$T$63,B434,A434)&amp;"",CHAR(160)," "))</f>
        <v/>
      </c>
      <c r="D434" s="0" t="str">
        <f aca="false">IF(C434="","",TRIM(RIGHT(SUBSTITUTE(C434," ",REPT(" ",100)),100)))</f>
        <v/>
      </c>
      <c r="E434" s="0" t="str">
        <f aca="false">IF(D434="","",UPPER(SUBSTITUTE(SUBSTITUTE(D434,"(",""),")","")))</f>
        <v/>
      </c>
      <c r="F434" s="0" t="str">
        <f aca="false">IF(C434="","",LEFT(C434,FIND(" ",C434&amp;" ")-1))</f>
        <v/>
      </c>
      <c r="G434" s="0" t="n">
        <f aca="false">IFERROR(VALUE(SUBSTITUTE(LOWER(F434),"x","")),0)</f>
        <v>0</v>
      </c>
      <c r="H434" s="0" t="str">
        <f aca="false">IF(C434="","",TRIM(MID(C434,LEN(F434)+2,999)))</f>
        <v/>
      </c>
      <c r="I434" s="0" t="n">
        <f aca="false">IF(OR(C434="",LEFT(C434,2)="//"),0,IFERROR(IF(AND(G434&gt;0,G434=INT(G434),FIND("-",E434)&gt;1,NOT(EXACT(UPPER(LEFT(E434,1)),LOWER(LEFT(E434,1)))),ISNUMBER(VALUE(MID(E434,FIND("-",E434)+1,10)))),1,0),0))</f>
        <v>0</v>
      </c>
      <c r="J434" s="0" t="str">
        <f aca="false">IF(I434=1,TRIM(LEFT(H434,MAX(0,LEN(H434)-LEN(D434)))),"")</f>
        <v/>
      </c>
      <c r="K434" s="0" t="str">
        <f aca="false">INDEX($P$2:$P$21,A434)</f>
        <v>Deck 8</v>
      </c>
      <c r="L434" s="0" t="n">
        <f aca="false">IF(AND(C434&lt;&gt;"",LEFT(C434,2)&lt;&gt;"//",I434=0),1,0)</f>
        <v>0</v>
      </c>
      <c r="M434" s="0" t="str">
        <f aca="false">IF(I434=1,MAX(M$1:M433)+1,"")</f>
        <v/>
      </c>
      <c r="N434" s="0" t="str">
        <f aca="false">IFERROR(MATCH(ROW()-1,$V$2:$V$1201,0),"")</f>
        <v/>
      </c>
      <c r="R434" s="0" t="str">
        <f aca="false">IF(E434="","",IFERROR(LEFT(E434,FIND("-",E434)-1),E434))</f>
        <v/>
      </c>
      <c r="S434" s="0" t="str">
        <f aca="false">IF(R434="","",IF(ISNUMBER(--MID(R434,1,1)),0,IF(ISNUMBER(--MID(R434,2,1)),1,IF(ISNUMBER(--MID(R434,3,1)),2,IF(ISNUMBER(--MID(R434,4,1)),3,MIN(LEN(R434),4))))))</f>
        <v/>
      </c>
      <c r="T434" s="0" t="str">
        <f aca="false">IF(E434="","",LEFT(R434,S434)&amp;REPT("0",4-S434)&amp;RIGHT("000"&amp;IFERROR(VALUE(MID(R434,S434+1,9)),0),3)&amp;RIGHT("0000"&amp;IFERROR(VALUE(MID(E434,FIND("-",E434)+1,9)),0),4))</f>
        <v/>
      </c>
      <c r="U434" s="0" t="str">
        <f aca="false">IF(I434=1,"K"&amp;RIGHT("00"&amp;A434,2)&amp;T434&amp;RIGHT("00000"&amp;ROW(),5),"")</f>
        <v/>
      </c>
      <c r="V434" s="0" t="str">
        <f aca="false">IF(U434="","",COUNTIFS($I$2:$I$1201,1,$U$2:$U$1201,"&lt;"&amp;U434)+1)</f>
        <v/>
      </c>
    </row>
    <row r="435" customFormat="false" ht="15" hidden="false" customHeight="false" outlineLevel="0" collapsed="false">
      <c r="A435" s="0" t="n">
        <v>8</v>
      </c>
      <c r="B435" s="0" t="n">
        <v>14</v>
      </c>
      <c r="C435" s="0" t="str">
        <f aca="false">TRIM(SUBSTITUTE(INDEX(LISTAS!$A$4:$T$63,B435,A435)&amp;"",CHAR(160)," "))</f>
        <v/>
      </c>
      <c r="D435" s="0" t="str">
        <f aca="false">IF(C435="","",TRIM(RIGHT(SUBSTITUTE(C435," ",REPT(" ",100)),100)))</f>
        <v/>
      </c>
      <c r="E435" s="0" t="str">
        <f aca="false">IF(D435="","",UPPER(SUBSTITUTE(SUBSTITUTE(D435,"(",""),")","")))</f>
        <v/>
      </c>
      <c r="F435" s="0" t="str">
        <f aca="false">IF(C435="","",LEFT(C435,FIND(" ",C435&amp;" ")-1))</f>
        <v/>
      </c>
      <c r="G435" s="0" t="n">
        <f aca="false">IFERROR(VALUE(SUBSTITUTE(LOWER(F435),"x","")),0)</f>
        <v>0</v>
      </c>
      <c r="H435" s="0" t="str">
        <f aca="false">IF(C435="","",TRIM(MID(C435,LEN(F435)+2,999)))</f>
        <v/>
      </c>
      <c r="I435" s="0" t="n">
        <f aca="false">IF(OR(C435="",LEFT(C435,2)="//"),0,IFERROR(IF(AND(G435&gt;0,G435=INT(G435),FIND("-",E435)&gt;1,NOT(EXACT(UPPER(LEFT(E435,1)),LOWER(LEFT(E435,1)))),ISNUMBER(VALUE(MID(E435,FIND("-",E435)+1,10)))),1,0),0))</f>
        <v>0</v>
      </c>
      <c r="J435" s="0" t="str">
        <f aca="false">IF(I435=1,TRIM(LEFT(H435,MAX(0,LEN(H435)-LEN(D435)))),"")</f>
        <v/>
      </c>
      <c r="K435" s="0" t="str">
        <f aca="false">INDEX($P$2:$P$21,A435)</f>
        <v>Deck 8</v>
      </c>
      <c r="L435" s="0" t="n">
        <f aca="false">IF(AND(C435&lt;&gt;"",LEFT(C435,2)&lt;&gt;"//",I435=0),1,0)</f>
        <v>0</v>
      </c>
      <c r="M435" s="0" t="str">
        <f aca="false">IF(I435=1,MAX(M$1:M434)+1,"")</f>
        <v/>
      </c>
      <c r="N435" s="0" t="str">
        <f aca="false">IFERROR(MATCH(ROW()-1,$V$2:$V$1201,0),"")</f>
        <v/>
      </c>
      <c r="R435" s="0" t="str">
        <f aca="false">IF(E435="","",IFERROR(LEFT(E435,FIND("-",E435)-1),E435))</f>
        <v/>
      </c>
      <c r="S435" s="0" t="str">
        <f aca="false">IF(R435="","",IF(ISNUMBER(--MID(R435,1,1)),0,IF(ISNUMBER(--MID(R435,2,1)),1,IF(ISNUMBER(--MID(R435,3,1)),2,IF(ISNUMBER(--MID(R435,4,1)),3,MIN(LEN(R435),4))))))</f>
        <v/>
      </c>
      <c r="T435" s="0" t="str">
        <f aca="false">IF(E435="","",LEFT(R435,S435)&amp;REPT("0",4-S435)&amp;RIGHT("000"&amp;IFERROR(VALUE(MID(R435,S435+1,9)),0),3)&amp;RIGHT("0000"&amp;IFERROR(VALUE(MID(E435,FIND("-",E435)+1,9)),0),4))</f>
        <v/>
      </c>
      <c r="U435" s="0" t="str">
        <f aca="false">IF(I435=1,"K"&amp;RIGHT("00"&amp;A435,2)&amp;T435&amp;RIGHT("00000"&amp;ROW(),5),"")</f>
        <v/>
      </c>
      <c r="V435" s="0" t="str">
        <f aca="false">IF(U435="","",COUNTIFS($I$2:$I$1201,1,$U$2:$U$1201,"&lt;"&amp;U435)+1)</f>
        <v/>
      </c>
    </row>
    <row r="436" customFormat="false" ht="15" hidden="false" customHeight="false" outlineLevel="0" collapsed="false">
      <c r="A436" s="0" t="n">
        <v>8</v>
      </c>
      <c r="B436" s="0" t="n">
        <v>15</v>
      </c>
      <c r="C436" s="0" t="str">
        <f aca="false">TRIM(SUBSTITUTE(INDEX(LISTAS!$A$4:$T$63,B436,A436)&amp;"",CHAR(160)," "))</f>
        <v/>
      </c>
      <c r="D436" s="0" t="str">
        <f aca="false">IF(C436="","",TRIM(RIGHT(SUBSTITUTE(C436," ",REPT(" ",100)),100)))</f>
        <v/>
      </c>
      <c r="E436" s="0" t="str">
        <f aca="false">IF(D436="","",UPPER(SUBSTITUTE(SUBSTITUTE(D436,"(",""),")","")))</f>
        <v/>
      </c>
      <c r="F436" s="0" t="str">
        <f aca="false">IF(C436="","",LEFT(C436,FIND(" ",C436&amp;" ")-1))</f>
        <v/>
      </c>
      <c r="G436" s="0" t="n">
        <f aca="false">IFERROR(VALUE(SUBSTITUTE(LOWER(F436),"x","")),0)</f>
        <v>0</v>
      </c>
      <c r="H436" s="0" t="str">
        <f aca="false">IF(C436="","",TRIM(MID(C436,LEN(F436)+2,999)))</f>
        <v/>
      </c>
      <c r="I436" s="0" t="n">
        <f aca="false">IF(OR(C436="",LEFT(C436,2)="//"),0,IFERROR(IF(AND(G436&gt;0,G436=INT(G436),FIND("-",E436)&gt;1,NOT(EXACT(UPPER(LEFT(E436,1)),LOWER(LEFT(E436,1)))),ISNUMBER(VALUE(MID(E436,FIND("-",E436)+1,10)))),1,0),0))</f>
        <v>0</v>
      </c>
      <c r="J436" s="0" t="str">
        <f aca="false">IF(I436=1,TRIM(LEFT(H436,MAX(0,LEN(H436)-LEN(D436)))),"")</f>
        <v/>
      </c>
      <c r="K436" s="0" t="str">
        <f aca="false">INDEX($P$2:$P$21,A436)</f>
        <v>Deck 8</v>
      </c>
      <c r="L436" s="0" t="n">
        <f aca="false">IF(AND(C436&lt;&gt;"",LEFT(C436,2)&lt;&gt;"//",I436=0),1,0)</f>
        <v>0</v>
      </c>
      <c r="M436" s="0" t="str">
        <f aca="false">IF(I436=1,MAX(M$1:M435)+1,"")</f>
        <v/>
      </c>
      <c r="N436" s="0" t="str">
        <f aca="false">IFERROR(MATCH(ROW()-1,$V$2:$V$1201,0),"")</f>
        <v/>
      </c>
      <c r="R436" s="0" t="str">
        <f aca="false">IF(E436="","",IFERROR(LEFT(E436,FIND("-",E436)-1),E436))</f>
        <v/>
      </c>
      <c r="S436" s="0" t="str">
        <f aca="false">IF(R436="","",IF(ISNUMBER(--MID(R436,1,1)),0,IF(ISNUMBER(--MID(R436,2,1)),1,IF(ISNUMBER(--MID(R436,3,1)),2,IF(ISNUMBER(--MID(R436,4,1)),3,MIN(LEN(R436),4))))))</f>
        <v/>
      </c>
      <c r="T436" s="0" t="str">
        <f aca="false">IF(E436="","",LEFT(R436,S436)&amp;REPT("0",4-S436)&amp;RIGHT("000"&amp;IFERROR(VALUE(MID(R436,S436+1,9)),0),3)&amp;RIGHT("0000"&amp;IFERROR(VALUE(MID(E436,FIND("-",E436)+1,9)),0),4))</f>
        <v/>
      </c>
      <c r="U436" s="0" t="str">
        <f aca="false">IF(I436=1,"K"&amp;RIGHT("00"&amp;A436,2)&amp;T436&amp;RIGHT("00000"&amp;ROW(),5),"")</f>
        <v/>
      </c>
      <c r="V436" s="0" t="str">
        <f aca="false">IF(U436="","",COUNTIFS($I$2:$I$1201,1,$U$2:$U$1201,"&lt;"&amp;U436)+1)</f>
        <v/>
      </c>
    </row>
    <row r="437" customFormat="false" ht="15" hidden="false" customHeight="false" outlineLevel="0" collapsed="false">
      <c r="A437" s="0" t="n">
        <v>8</v>
      </c>
      <c r="B437" s="0" t="n">
        <v>16</v>
      </c>
      <c r="C437" s="0" t="str">
        <f aca="false">TRIM(SUBSTITUTE(INDEX(LISTAS!$A$4:$T$63,B437,A437)&amp;"",CHAR(160)," "))</f>
        <v/>
      </c>
      <c r="D437" s="0" t="str">
        <f aca="false">IF(C437="","",TRIM(RIGHT(SUBSTITUTE(C437," ",REPT(" ",100)),100)))</f>
        <v/>
      </c>
      <c r="E437" s="0" t="str">
        <f aca="false">IF(D437="","",UPPER(SUBSTITUTE(SUBSTITUTE(D437,"(",""),")","")))</f>
        <v/>
      </c>
      <c r="F437" s="0" t="str">
        <f aca="false">IF(C437="","",LEFT(C437,FIND(" ",C437&amp;" ")-1))</f>
        <v/>
      </c>
      <c r="G437" s="0" t="n">
        <f aca="false">IFERROR(VALUE(SUBSTITUTE(LOWER(F437),"x","")),0)</f>
        <v>0</v>
      </c>
      <c r="H437" s="0" t="str">
        <f aca="false">IF(C437="","",TRIM(MID(C437,LEN(F437)+2,999)))</f>
        <v/>
      </c>
      <c r="I437" s="0" t="n">
        <f aca="false">IF(OR(C437="",LEFT(C437,2)="//"),0,IFERROR(IF(AND(G437&gt;0,G437=INT(G437),FIND("-",E437)&gt;1,NOT(EXACT(UPPER(LEFT(E437,1)),LOWER(LEFT(E437,1)))),ISNUMBER(VALUE(MID(E437,FIND("-",E437)+1,10)))),1,0),0))</f>
        <v>0</v>
      </c>
      <c r="J437" s="0" t="str">
        <f aca="false">IF(I437=1,TRIM(LEFT(H437,MAX(0,LEN(H437)-LEN(D437)))),"")</f>
        <v/>
      </c>
      <c r="K437" s="0" t="str">
        <f aca="false">INDEX($P$2:$P$21,A437)</f>
        <v>Deck 8</v>
      </c>
      <c r="L437" s="0" t="n">
        <f aca="false">IF(AND(C437&lt;&gt;"",LEFT(C437,2)&lt;&gt;"//",I437=0),1,0)</f>
        <v>0</v>
      </c>
      <c r="M437" s="0" t="str">
        <f aca="false">IF(I437=1,MAX(M$1:M436)+1,"")</f>
        <v/>
      </c>
      <c r="N437" s="0" t="str">
        <f aca="false">IFERROR(MATCH(ROW()-1,$V$2:$V$1201,0),"")</f>
        <v/>
      </c>
      <c r="R437" s="0" t="str">
        <f aca="false">IF(E437="","",IFERROR(LEFT(E437,FIND("-",E437)-1),E437))</f>
        <v/>
      </c>
      <c r="S437" s="0" t="str">
        <f aca="false">IF(R437="","",IF(ISNUMBER(--MID(R437,1,1)),0,IF(ISNUMBER(--MID(R437,2,1)),1,IF(ISNUMBER(--MID(R437,3,1)),2,IF(ISNUMBER(--MID(R437,4,1)),3,MIN(LEN(R437),4))))))</f>
        <v/>
      </c>
      <c r="T437" s="0" t="str">
        <f aca="false">IF(E437="","",LEFT(R437,S437)&amp;REPT("0",4-S437)&amp;RIGHT("000"&amp;IFERROR(VALUE(MID(R437,S437+1,9)),0),3)&amp;RIGHT("0000"&amp;IFERROR(VALUE(MID(E437,FIND("-",E437)+1,9)),0),4))</f>
        <v/>
      </c>
      <c r="U437" s="0" t="str">
        <f aca="false">IF(I437=1,"K"&amp;RIGHT("00"&amp;A437,2)&amp;T437&amp;RIGHT("00000"&amp;ROW(),5),"")</f>
        <v/>
      </c>
      <c r="V437" s="0" t="str">
        <f aca="false">IF(U437="","",COUNTIFS($I$2:$I$1201,1,$U$2:$U$1201,"&lt;"&amp;U437)+1)</f>
        <v/>
      </c>
    </row>
    <row r="438" customFormat="false" ht="15" hidden="false" customHeight="false" outlineLevel="0" collapsed="false">
      <c r="A438" s="0" t="n">
        <v>8</v>
      </c>
      <c r="B438" s="0" t="n">
        <v>17</v>
      </c>
      <c r="C438" s="0" t="str">
        <f aca="false">TRIM(SUBSTITUTE(INDEX(LISTAS!$A$4:$T$63,B438,A438)&amp;"",CHAR(160)," "))</f>
        <v/>
      </c>
      <c r="D438" s="0" t="str">
        <f aca="false">IF(C438="","",TRIM(RIGHT(SUBSTITUTE(C438," ",REPT(" ",100)),100)))</f>
        <v/>
      </c>
      <c r="E438" s="0" t="str">
        <f aca="false">IF(D438="","",UPPER(SUBSTITUTE(SUBSTITUTE(D438,"(",""),")","")))</f>
        <v/>
      </c>
      <c r="F438" s="0" t="str">
        <f aca="false">IF(C438="","",LEFT(C438,FIND(" ",C438&amp;" ")-1))</f>
        <v/>
      </c>
      <c r="G438" s="0" t="n">
        <f aca="false">IFERROR(VALUE(SUBSTITUTE(LOWER(F438),"x","")),0)</f>
        <v>0</v>
      </c>
      <c r="H438" s="0" t="str">
        <f aca="false">IF(C438="","",TRIM(MID(C438,LEN(F438)+2,999)))</f>
        <v/>
      </c>
      <c r="I438" s="0" t="n">
        <f aca="false">IF(OR(C438="",LEFT(C438,2)="//"),0,IFERROR(IF(AND(G438&gt;0,G438=INT(G438),FIND("-",E438)&gt;1,NOT(EXACT(UPPER(LEFT(E438,1)),LOWER(LEFT(E438,1)))),ISNUMBER(VALUE(MID(E438,FIND("-",E438)+1,10)))),1,0),0))</f>
        <v>0</v>
      </c>
      <c r="J438" s="0" t="str">
        <f aca="false">IF(I438=1,TRIM(LEFT(H438,MAX(0,LEN(H438)-LEN(D438)))),"")</f>
        <v/>
      </c>
      <c r="K438" s="0" t="str">
        <f aca="false">INDEX($P$2:$P$21,A438)</f>
        <v>Deck 8</v>
      </c>
      <c r="L438" s="0" t="n">
        <f aca="false">IF(AND(C438&lt;&gt;"",LEFT(C438,2)&lt;&gt;"//",I438=0),1,0)</f>
        <v>0</v>
      </c>
      <c r="M438" s="0" t="str">
        <f aca="false">IF(I438=1,MAX(M$1:M437)+1,"")</f>
        <v/>
      </c>
      <c r="N438" s="0" t="str">
        <f aca="false">IFERROR(MATCH(ROW()-1,$V$2:$V$1201,0),"")</f>
        <v/>
      </c>
      <c r="R438" s="0" t="str">
        <f aca="false">IF(E438="","",IFERROR(LEFT(E438,FIND("-",E438)-1),E438))</f>
        <v/>
      </c>
      <c r="S438" s="0" t="str">
        <f aca="false">IF(R438="","",IF(ISNUMBER(--MID(R438,1,1)),0,IF(ISNUMBER(--MID(R438,2,1)),1,IF(ISNUMBER(--MID(R438,3,1)),2,IF(ISNUMBER(--MID(R438,4,1)),3,MIN(LEN(R438),4))))))</f>
        <v/>
      </c>
      <c r="T438" s="0" t="str">
        <f aca="false">IF(E438="","",LEFT(R438,S438)&amp;REPT("0",4-S438)&amp;RIGHT("000"&amp;IFERROR(VALUE(MID(R438,S438+1,9)),0),3)&amp;RIGHT("0000"&amp;IFERROR(VALUE(MID(E438,FIND("-",E438)+1,9)),0),4))</f>
        <v/>
      </c>
      <c r="U438" s="0" t="str">
        <f aca="false">IF(I438=1,"K"&amp;RIGHT("00"&amp;A438,2)&amp;T438&amp;RIGHT("00000"&amp;ROW(),5),"")</f>
        <v/>
      </c>
      <c r="V438" s="0" t="str">
        <f aca="false">IF(U438="","",COUNTIFS($I$2:$I$1201,1,$U$2:$U$1201,"&lt;"&amp;U438)+1)</f>
        <v/>
      </c>
    </row>
    <row r="439" customFormat="false" ht="15" hidden="false" customHeight="false" outlineLevel="0" collapsed="false">
      <c r="A439" s="0" t="n">
        <v>8</v>
      </c>
      <c r="B439" s="0" t="n">
        <v>18</v>
      </c>
      <c r="C439" s="0" t="str">
        <f aca="false">TRIM(SUBSTITUTE(INDEX(LISTAS!$A$4:$T$63,B439,A439)&amp;"",CHAR(160)," "))</f>
        <v/>
      </c>
      <c r="D439" s="0" t="str">
        <f aca="false">IF(C439="","",TRIM(RIGHT(SUBSTITUTE(C439," ",REPT(" ",100)),100)))</f>
        <v/>
      </c>
      <c r="E439" s="0" t="str">
        <f aca="false">IF(D439="","",UPPER(SUBSTITUTE(SUBSTITUTE(D439,"(",""),")","")))</f>
        <v/>
      </c>
      <c r="F439" s="0" t="str">
        <f aca="false">IF(C439="","",LEFT(C439,FIND(" ",C439&amp;" ")-1))</f>
        <v/>
      </c>
      <c r="G439" s="0" t="n">
        <f aca="false">IFERROR(VALUE(SUBSTITUTE(LOWER(F439),"x","")),0)</f>
        <v>0</v>
      </c>
      <c r="H439" s="0" t="str">
        <f aca="false">IF(C439="","",TRIM(MID(C439,LEN(F439)+2,999)))</f>
        <v/>
      </c>
      <c r="I439" s="0" t="n">
        <f aca="false">IF(OR(C439="",LEFT(C439,2)="//"),0,IFERROR(IF(AND(G439&gt;0,G439=INT(G439),FIND("-",E439)&gt;1,NOT(EXACT(UPPER(LEFT(E439,1)),LOWER(LEFT(E439,1)))),ISNUMBER(VALUE(MID(E439,FIND("-",E439)+1,10)))),1,0),0))</f>
        <v>0</v>
      </c>
      <c r="J439" s="0" t="str">
        <f aca="false">IF(I439=1,TRIM(LEFT(H439,MAX(0,LEN(H439)-LEN(D439)))),"")</f>
        <v/>
      </c>
      <c r="K439" s="0" t="str">
        <f aca="false">INDEX($P$2:$P$21,A439)</f>
        <v>Deck 8</v>
      </c>
      <c r="L439" s="0" t="n">
        <f aca="false">IF(AND(C439&lt;&gt;"",LEFT(C439,2)&lt;&gt;"//",I439=0),1,0)</f>
        <v>0</v>
      </c>
      <c r="M439" s="0" t="str">
        <f aca="false">IF(I439=1,MAX(M$1:M438)+1,"")</f>
        <v/>
      </c>
      <c r="N439" s="0" t="str">
        <f aca="false">IFERROR(MATCH(ROW()-1,$V$2:$V$1201,0),"")</f>
        <v/>
      </c>
      <c r="R439" s="0" t="str">
        <f aca="false">IF(E439="","",IFERROR(LEFT(E439,FIND("-",E439)-1),E439))</f>
        <v/>
      </c>
      <c r="S439" s="0" t="str">
        <f aca="false">IF(R439="","",IF(ISNUMBER(--MID(R439,1,1)),0,IF(ISNUMBER(--MID(R439,2,1)),1,IF(ISNUMBER(--MID(R439,3,1)),2,IF(ISNUMBER(--MID(R439,4,1)),3,MIN(LEN(R439),4))))))</f>
        <v/>
      </c>
      <c r="T439" s="0" t="str">
        <f aca="false">IF(E439="","",LEFT(R439,S439)&amp;REPT("0",4-S439)&amp;RIGHT("000"&amp;IFERROR(VALUE(MID(R439,S439+1,9)),0),3)&amp;RIGHT("0000"&amp;IFERROR(VALUE(MID(E439,FIND("-",E439)+1,9)),0),4))</f>
        <v/>
      </c>
      <c r="U439" s="0" t="str">
        <f aca="false">IF(I439=1,"K"&amp;RIGHT("00"&amp;A439,2)&amp;T439&amp;RIGHT("00000"&amp;ROW(),5),"")</f>
        <v/>
      </c>
      <c r="V439" s="0" t="str">
        <f aca="false">IF(U439="","",COUNTIFS($I$2:$I$1201,1,$U$2:$U$1201,"&lt;"&amp;U439)+1)</f>
        <v/>
      </c>
    </row>
    <row r="440" customFormat="false" ht="15" hidden="false" customHeight="false" outlineLevel="0" collapsed="false">
      <c r="A440" s="0" t="n">
        <v>8</v>
      </c>
      <c r="B440" s="0" t="n">
        <v>19</v>
      </c>
      <c r="C440" s="0" t="str">
        <f aca="false">TRIM(SUBSTITUTE(INDEX(LISTAS!$A$4:$T$63,B440,A440)&amp;"",CHAR(160)," "))</f>
        <v/>
      </c>
      <c r="D440" s="0" t="str">
        <f aca="false">IF(C440="","",TRIM(RIGHT(SUBSTITUTE(C440," ",REPT(" ",100)),100)))</f>
        <v/>
      </c>
      <c r="E440" s="0" t="str">
        <f aca="false">IF(D440="","",UPPER(SUBSTITUTE(SUBSTITUTE(D440,"(",""),")","")))</f>
        <v/>
      </c>
      <c r="F440" s="0" t="str">
        <f aca="false">IF(C440="","",LEFT(C440,FIND(" ",C440&amp;" ")-1))</f>
        <v/>
      </c>
      <c r="G440" s="0" t="n">
        <f aca="false">IFERROR(VALUE(SUBSTITUTE(LOWER(F440),"x","")),0)</f>
        <v>0</v>
      </c>
      <c r="H440" s="0" t="str">
        <f aca="false">IF(C440="","",TRIM(MID(C440,LEN(F440)+2,999)))</f>
        <v/>
      </c>
      <c r="I440" s="0" t="n">
        <f aca="false">IF(OR(C440="",LEFT(C440,2)="//"),0,IFERROR(IF(AND(G440&gt;0,G440=INT(G440),FIND("-",E440)&gt;1,NOT(EXACT(UPPER(LEFT(E440,1)),LOWER(LEFT(E440,1)))),ISNUMBER(VALUE(MID(E440,FIND("-",E440)+1,10)))),1,0),0))</f>
        <v>0</v>
      </c>
      <c r="J440" s="0" t="str">
        <f aca="false">IF(I440=1,TRIM(LEFT(H440,MAX(0,LEN(H440)-LEN(D440)))),"")</f>
        <v/>
      </c>
      <c r="K440" s="0" t="str">
        <f aca="false">INDEX($P$2:$P$21,A440)</f>
        <v>Deck 8</v>
      </c>
      <c r="L440" s="0" t="n">
        <f aca="false">IF(AND(C440&lt;&gt;"",LEFT(C440,2)&lt;&gt;"//",I440=0),1,0)</f>
        <v>0</v>
      </c>
      <c r="M440" s="0" t="str">
        <f aca="false">IF(I440=1,MAX(M$1:M439)+1,"")</f>
        <v/>
      </c>
      <c r="N440" s="0" t="str">
        <f aca="false">IFERROR(MATCH(ROW()-1,$V$2:$V$1201,0),"")</f>
        <v/>
      </c>
      <c r="R440" s="0" t="str">
        <f aca="false">IF(E440="","",IFERROR(LEFT(E440,FIND("-",E440)-1),E440))</f>
        <v/>
      </c>
      <c r="S440" s="0" t="str">
        <f aca="false">IF(R440="","",IF(ISNUMBER(--MID(R440,1,1)),0,IF(ISNUMBER(--MID(R440,2,1)),1,IF(ISNUMBER(--MID(R440,3,1)),2,IF(ISNUMBER(--MID(R440,4,1)),3,MIN(LEN(R440),4))))))</f>
        <v/>
      </c>
      <c r="T440" s="0" t="str">
        <f aca="false">IF(E440="","",LEFT(R440,S440)&amp;REPT("0",4-S440)&amp;RIGHT("000"&amp;IFERROR(VALUE(MID(R440,S440+1,9)),0),3)&amp;RIGHT("0000"&amp;IFERROR(VALUE(MID(E440,FIND("-",E440)+1,9)),0),4))</f>
        <v/>
      </c>
      <c r="U440" s="0" t="str">
        <f aca="false">IF(I440=1,"K"&amp;RIGHT("00"&amp;A440,2)&amp;T440&amp;RIGHT("00000"&amp;ROW(),5),"")</f>
        <v/>
      </c>
      <c r="V440" s="0" t="str">
        <f aca="false">IF(U440="","",COUNTIFS($I$2:$I$1201,1,$U$2:$U$1201,"&lt;"&amp;U440)+1)</f>
        <v/>
      </c>
    </row>
    <row r="441" customFormat="false" ht="15" hidden="false" customHeight="false" outlineLevel="0" collapsed="false">
      <c r="A441" s="0" t="n">
        <v>8</v>
      </c>
      <c r="B441" s="0" t="n">
        <v>20</v>
      </c>
      <c r="C441" s="0" t="str">
        <f aca="false">TRIM(SUBSTITUTE(INDEX(LISTAS!$A$4:$T$63,B441,A441)&amp;"",CHAR(160)," "))</f>
        <v/>
      </c>
      <c r="D441" s="0" t="str">
        <f aca="false">IF(C441="","",TRIM(RIGHT(SUBSTITUTE(C441," ",REPT(" ",100)),100)))</f>
        <v/>
      </c>
      <c r="E441" s="0" t="str">
        <f aca="false">IF(D441="","",UPPER(SUBSTITUTE(SUBSTITUTE(D441,"(",""),")","")))</f>
        <v/>
      </c>
      <c r="F441" s="0" t="str">
        <f aca="false">IF(C441="","",LEFT(C441,FIND(" ",C441&amp;" ")-1))</f>
        <v/>
      </c>
      <c r="G441" s="0" t="n">
        <f aca="false">IFERROR(VALUE(SUBSTITUTE(LOWER(F441),"x","")),0)</f>
        <v>0</v>
      </c>
      <c r="H441" s="0" t="str">
        <f aca="false">IF(C441="","",TRIM(MID(C441,LEN(F441)+2,999)))</f>
        <v/>
      </c>
      <c r="I441" s="0" t="n">
        <f aca="false">IF(OR(C441="",LEFT(C441,2)="//"),0,IFERROR(IF(AND(G441&gt;0,G441=INT(G441),FIND("-",E441)&gt;1,NOT(EXACT(UPPER(LEFT(E441,1)),LOWER(LEFT(E441,1)))),ISNUMBER(VALUE(MID(E441,FIND("-",E441)+1,10)))),1,0),0))</f>
        <v>0</v>
      </c>
      <c r="J441" s="0" t="str">
        <f aca="false">IF(I441=1,TRIM(LEFT(H441,MAX(0,LEN(H441)-LEN(D441)))),"")</f>
        <v/>
      </c>
      <c r="K441" s="0" t="str">
        <f aca="false">INDEX($P$2:$P$21,A441)</f>
        <v>Deck 8</v>
      </c>
      <c r="L441" s="0" t="n">
        <f aca="false">IF(AND(C441&lt;&gt;"",LEFT(C441,2)&lt;&gt;"//",I441=0),1,0)</f>
        <v>0</v>
      </c>
      <c r="M441" s="0" t="str">
        <f aca="false">IF(I441=1,MAX(M$1:M440)+1,"")</f>
        <v/>
      </c>
      <c r="N441" s="0" t="str">
        <f aca="false">IFERROR(MATCH(ROW()-1,$V$2:$V$1201,0),"")</f>
        <v/>
      </c>
      <c r="R441" s="0" t="str">
        <f aca="false">IF(E441="","",IFERROR(LEFT(E441,FIND("-",E441)-1),E441))</f>
        <v/>
      </c>
      <c r="S441" s="0" t="str">
        <f aca="false">IF(R441="","",IF(ISNUMBER(--MID(R441,1,1)),0,IF(ISNUMBER(--MID(R441,2,1)),1,IF(ISNUMBER(--MID(R441,3,1)),2,IF(ISNUMBER(--MID(R441,4,1)),3,MIN(LEN(R441),4))))))</f>
        <v/>
      </c>
      <c r="T441" s="0" t="str">
        <f aca="false">IF(E441="","",LEFT(R441,S441)&amp;REPT("0",4-S441)&amp;RIGHT("000"&amp;IFERROR(VALUE(MID(R441,S441+1,9)),0),3)&amp;RIGHT("0000"&amp;IFERROR(VALUE(MID(E441,FIND("-",E441)+1,9)),0),4))</f>
        <v/>
      </c>
      <c r="U441" s="0" t="str">
        <f aca="false">IF(I441=1,"K"&amp;RIGHT("00"&amp;A441,2)&amp;T441&amp;RIGHT("00000"&amp;ROW(),5),"")</f>
        <v/>
      </c>
      <c r="V441" s="0" t="str">
        <f aca="false">IF(U441="","",COUNTIFS($I$2:$I$1201,1,$U$2:$U$1201,"&lt;"&amp;U441)+1)</f>
        <v/>
      </c>
    </row>
    <row r="442" customFormat="false" ht="15" hidden="false" customHeight="false" outlineLevel="0" collapsed="false">
      <c r="A442" s="0" t="n">
        <v>8</v>
      </c>
      <c r="B442" s="0" t="n">
        <v>21</v>
      </c>
      <c r="C442" s="0" t="str">
        <f aca="false">TRIM(SUBSTITUTE(INDEX(LISTAS!$A$4:$T$63,B442,A442)&amp;"",CHAR(160)," "))</f>
        <v/>
      </c>
      <c r="D442" s="0" t="str">
        <f aca="false">IF(C442="","",TRIM(RIGHT(SUBSTITUTE(C442," ",REPT(" ",100)),100)))</f>
        <v/>
      </c>
      <c r="E442" s="0" t="str">
        <f aca="false">IF(D442="","",UPPER(SUBSTITUTE(SUBSTITUTE(D442,"(",""),")","")))</f>
        <v/>
      </c>
      <c r="F442" s="0" t="str">
        <f aca="false">IF(C442="","",LEFT(C442,FIND(" ",C442&amp;" ")-1))</f>
        <v/>
      </c>
      <c r="G442" s="0" t="n">
        <f aca="false">IFERROR(VALUE(SUBSTITUTE(LOWER(F442),"x","")),0)</f>
        <v>0</v>
      </c>
      <c r="H442" s="0" t="str">
        <f aca="false">IF(C442="","",TRIM(MID(C442,LEN(F442)+2,999)))</f>
        <v/>
      </c>
      <c r="I442" s="0" t="n">
        <f aca="false">IF(OR(C442="",LEFT(C442,2)="//"),0,IFERROR(IF(AND(G442&gt;0,G442=INT(G442),FIND("-",E442)&gt;1,NOT(EXACT(UPPER(LEFT(E442,1)),LOWER(LEFT(E442,1)))),ISNUMBER(VALUE(MID(E442,FIND("-",E442)+1,10)))),1,0),0))</f>
        <v>0</v>
      </c>
      <c r="J442" s="0" t="str">
        <f aca="false">IF(I442=1,TRIM(LEFT(H442,MAX(0,LEN(H442)-LEN(D442)))),"")</f>
        <v/>
      </c>
      <c r="K442" s="0" t="str">
        <f aca="false">INDEX($P$2:$P$21,A442)</f>
        <v>Deck 8</v>
      </c>
      <c r="L442" s="0" t="n">
        <f aca="false">IF(AND(C442&lt;&gt;"",LEFT(C442,2)&lt;&gt;"//",I442=0),1,0)</f>
        <v>0</v>
      </c>
      <c r="M442" s="0" t="str">
        <f aca="false">IF(I442=1,MAX(M$1:M441)+1,"")</f>
        <v/>
      </c>
      <c r="N442" s="0" t="str">
        <f aca="false">IFERROR(MATCH(ROW()-1,$V$2:$V$1201,0),"")</f>
        <v/>
      </c>
      <c r="R442" s="0" t="str">
        <f aca="false">IF(E442="","",IFERROR(LEFT(E442,FIND("-",E442)-1),E442))</f>
        <v/>
      </c>
      <c r="S442" s="0" t="str">
        <f aca="false">IF(R442="","",IF(ISNUMBER(--MID(R442,1,1)),0,IF(ISNUMBER(--MID(R442,2,1)),1,IF(ISNUMBER(--MID(R442,3,1)),2,IF(ISNUMBER(--MID(R442,4,1)),3,MIN(LEN(R442),4))))))</f>
        <v/>
      </c>
      <c r="T442" s="0" t="str">
        <f aca="false">IF(E442="","",LEFT(R442,S442)&amp;REPT("0",4-S442)&amp;RIGHT("000"&amp;IFERROR(VALUE(MID(R442,S442+1,9)),0),3)&amp;RIGHT("0000"&amp;IFERROR(VALUE(MID(E442,FIND("-",E442)+1,9)),0),4))</f>
        <v/>
      </c>
      <c r="U442" s="0" t="str">
        <f aca="false">IF(I442=1,"K"&amp;RIGHT("00"&amp;A442,2)&amp;T442&amp;RIGHT("00000"&amp;ROW(),5),"")</f>
        <v/>
      </c>
      <c r="V442" s="0" t="str">
        <f aca="false">IF(U442="","",COUNTIFS($I$2:$I$1201,1,$U$2:$U$1201,"&lt;"&amp;U442)+1)</f>
        <v/>
      </c>
    </row>
    <row r="443" customFormat="false" ht="15" hidden="false" customHeight="false" outlineLevel="0" collapsed="false">
      <c r="A443" s="0" t="n">
        <v>8</v>
      </c>
      <c r="B443" s="0" t="n">
        <v>22</v>
      </c>
      <c r="C443" s="0" t="str">
        <f aca="false">TRIM(SUBSTITUTE(INDEX(LISTAS!$A$4:$T$63,B443,A443)&amp;"",CHAR(160)," "))</f>
        <v/>
      </c>
      <c r="D443" s="0" t="str">
        <f aca="false">IF(C443="","",TRIM(RIGHT(SUBSTITUTE(C443," ",REPT(" ",100)),100)))</f>
        <v/>
      </c>
      <c r="E443" s="0" t="str">
        <f aca="false">IF(D443="","",UPPER(SUBSTITUTE(SUBSTITUTE(D443,"(",""),")","")))</f>
        <v/>
      </c>
      <c r="F443" s="0" t="str">
        <f aca="false">IF(C443="","",LEFT(C443,FIND(" ",C443&amp;" ")-1))</f>
        <v/>
      </c>
      <c r="G443" s="0" t="n">
        <f aca="false">IFERROR(VALUE(SUBSTITUTE(LOWER(F443),"x","")),0)</f>
        <v>0</v>
      </c>
      <c r="H443" s="0" t="str">
        <f aca="false">IF(C443="","",TRIM(MID(C443,LEN(F443)+2,999)))</f>
        <v/>
      </c>
      <c r="I443" s="0" t="n">
        <f aca="false">IF(OR(C443="",LEFT(C443,2)="//"),0,IFERROR(IF(AND(G443&gt;0,G443=INT(G443),FIND("-",E443)&gt;1,NOT(EXACT(UPPER(LEFT(E443,1)),LOWER(LEFT(E443,1)))),ISNUMBER(VALUE(MID(E443,FIND("-",E443)+1,10)))),1,0),0))</f>
        <v>0</v>
      </c>
      <c r="J443" s="0" t="str">
        <f aca="false">IF(I443=1,TRIM(LEFT(H443,MAX(0,LEN(H443)-LEN(D443)))),"")</f>
        <v/>
      </c>
      <c r="K443" s="0" t="str">
        <f aca="false">INDEX($P$2:$P$21,A443)</f>
        <v>Deck 8</v>
      </c>
      <c r="L443" s="0" t="n">
        <f aca="false">IF(AND(C443&lt;&gt;"",LEFT(C443,2)&lt;&gt;"//",I443=0),1,0)</f>
        <v>0</v>
      </c>
      <c r="M443" s="0" t="str">
        <f aca="false">IF(I443=1,MAX(M$1:M442)+1,"")</f>
        <v/>
      </c>
      <c r="N443" s="0" t="str">
        <f aca="false">IFERROR(MATCH(ROW()-1,$V$2:$V$1201,0),"")</f>
        <v/>
      </c>
      <c r="R443" s="0" t="str">
        <f aca="false">IF(E443="","",IFERROR(LEFT(E443,FIND("-",E443)-1),E443))</f>
        <v/>
      </c>
      <c r="S443" s="0" t="str">
        <f aca="false">IF(R443="","",IF(ISNUMBER(--MID(R443,1,1)),0,IF(ISNUMBER(--MID(R443,2,1)),1,IF(ISNUMBER(--MID(R443,3,1)),2,IF(ISNUMBER(--MID(R443,4,1)),3,MIN(LEN(R443),4))))))</f>
        <v/>
      </c>
      <c r="T443" s="0" t="str">
        <f aca="false">IF(E443="","",LEFT(R443,S443)&amp;REPT("0",4-S443)&amp;RIGHT("000"&amp;IFERROR(VALUE(MID(R443,S443+1,9)),0),3)&amp;RIGHT("0000"&amp;IFERROR(VALUE(MID(E443,FIND("-",E443)+1,9)),0),4))</f>
        <v/>
      </c>
      <c r="U443" s="0" t="str">
        <f aca="false">IF(I443=1,"K"&amp;RIGHT("00"&amp;A443,2)&amp;T443&amp;RIGHT("00000"&amp;ROW(),5),"")</f>
        <v/>
      </c>
      <c r="V443" s="0" t="str">
        <f aca="false">IF(U443="","",COUNTIFS($I$2:$I$1201,1,$U$2:$U$1201,"&lt;"&amp;U443)+1)</f>
        <v/>
      </c>
    </row>
    <row r="444" customFormat="false" ht="15" hidden="false" customHeight="false" outlineLevel="0" collapsed="false">
      <c r="A444" s="0" t="n">
        <v>8</v>
      </c>
      <c r="B444" s="0" t="n">
        <v>23</v>
      </c>
      <c r="C444" s="0" t="str">
        <f aca="false">TRIM(SUBSTITUTE(INDEX(LISTAS!$A$4:$T$63,B444,A444)&amp;"",CHAR(160)," "))</f>
        <v/>
      </c>
      <c r="D444" s="0" t="str">
        <f aca="false">IF(C444="","",TRIM(RIGHT(SUBSTITUTE(C444," ",REPT(" ",100)),100)))</f>
        <v/>
      </c>
      <c r="E444" s="0" t="str">
        <f aca="false">IF(D444="","",UPPER(SUBSTITUTE(SUBSTITUTE(D444,"(",""),")","")))</f>
        <v/>
      </c>
      <c r="F444" s="0" t="str">
        <f aca="false">IF(C444="","",LEFT(C444,FIND(" ",C444&amp;" ")-1))</f>
        <v/>
      </c>
      <c r="G444" s="0" t="n">
        <f aca="false">IFERROR(VALUE(SUBSTITUTE(LOWER(F444),"x","")),0)</f>
        <v>0</v>
      </c>
      <c r="H444" s="0" t="str">
        <f aca="false">IF(C444="","",TRIM(MID(C444,LEN(F444)+2,999)))</f>
        <v/>
      </c>
      <c r="I444" s="0" t="n">
        <f aca="false">IF(OR(C444="",LEFT(C444,2)="//"),0,IFERROR(IF(AND(G444&gt;0,G444=INT(G444),FIND("-",E444)&gt;1,NOT(EXACT(UPPER(LEFT(E444,1)),LOWER(LEFT(E444,1)))),ISNUMBER(VALUE(MID(E444,FIND("-",E444)+1,10)))),1,0),0))</f>
        <v>0</v>
      </c>
      <c r="J444" s="0" t="str">
        <f aca="false">IF(I444=1,TRIM(LEFT(H444,MAX(0,LEN(H444)-LEN(D444)))),"")</f>
        <v/>
      </c>
      <c r="K444" s="0" t="str">
        <f aca="false">INDEX($P$2:$P$21,A444)</f>
        <v>Deck 8</v>
      </c>
      <c r="L444" s="0" t="n">
        <f aca="false">IF(AND(C444&lt;&gt;"",LEFT(C444,2)&lt;&gt;"//",I444=0),1,0)</f>
        <v>0</v>
      </c>
      <c r="M444" s="0" t="str">
        <f aca="false">IF(I444=1,MAX(M$1:M443)+1,"")</f>
        <v/>
      </c>
      <c r="N444" s="0" t="str">
        <f aca="false">IFERROR(MATCH(ROW()-1,$V$2:$V$1201,0),"")</f>
        <v/>
      </c>
      <c r="R444" s="0" t="str">
        <f aca="false">IF(E444="","",IFERROR(LEFT(E444,FIND("-",E444)-1),E444))</f>
        <v/>
      </c>
      <c r="S444" s="0" t="str">
        <f aca="false">IF(R444="","",IF(ISNUMBER(--MID(R444,1,1)),0,IF(ISNUMBER(--MID(R444,2,1)),1,IF(ISNUMBER(--MID(R444,3,1)),2,IF(ISNUMBER(--MID(R444,4,1)),3,MIN(LEN(R444),4))))))</f>
        <v/>
      </c>
      <c r="T444" s="0" t="str">
        <f aca="false">IF(E444="","",LEFT(R444,S444)&amp;REPT("0",4-S444)&amp;RIGHT("000"&amp;IFERROR(VALUE(MID(R444,S444+1,9)),0),3)&amp;RIGHT("0000"&amp;IFERROR(VALUE(MID(E444,FIND("-",E444)+1,9)),0),4))</f>
        <v/>
      </c>
      <c r="U444" s="0" t="str">
        <f aca="false">IF(I444=1,"K"&amp;RIGHT("00"&amp;A444,2)&amp;T444&amp;RIGHT("00000"&amp;ROW(),5),"")</f>
        <v/>
      </c>
      <c r="V444" s="0" t="str">
        <f aca="false">IF(U444="","",COUNTIFS($I$2:$I$1201,1,$U$2:$U$1201,"&lt;"&amp;U444)+1)</f>
        <v/>
      </c>
    </row>
    <row r="445" customFormat="false" ht="15" hidden="false" customHeight="false" outlineLevel="0" collapsed="false">
      <c r="A445" s="0" t="n">
        <v>8</v>
      </c>
      <c r="B445" s="0" t="n">
        <v>24</v>
      </c>
      <c r="C445" s="0" t="str">
        <f aca="false">TRIM(SUBSTITUTE(INDEX(LISTAS!$A$4:$T$63,B445,A445)&amp;"",CHAR(160)," "))</f>
        <v/>
      </c>
      <c r="D445" s="0" t="str">
        <f aca="false">IF(C445="","",TRIM(RIGHT(SUBSTITUTE(C445," ",REPT(" ",100)),100)))</f>
        <v/>
      </c>
      <c r="E445" s="0" t="str">
        <f aca="false">IF(D445="","",UPPER(SUBSTITUTE(SUBSTITUTE(D445,"(",""),")","")))</f>
        <v/>
      </c>
      <c r="F445" s="0" t="str">
        <f aca="false">IF(C445="","",LEFT(C445,FIND(" ",C445&amp;" ")-1))</f>
        <v/>
      </c>
      <c r="G445" s="0" t="n">
        <f aca="false">IFERROR(VALUE(SUBSTITUTE(LOWER(F445),"x","")),0)</f>
        <v>0</v>
      </c>
      <c r="H445" s="0" t="str">
        <f aca="false">IF(C445="","",TRIM(MID(C445,LEN(F445)+2,999)))</f>
        <v/>
      </c>
      <c r="I445" s="0" t="n">
        <f aca="false">IF(OR(C445="",LEFT(C445,2)="//"),0,IFERROR(IF(AND(G445&gt;0,G445=INT(G445),FIND("-",E445)&gt;1,NOT(EXACT(UPPER(LEFT(E445,1)),LOWER(LEFT(E445,1)))),ISNUMBER(VALUE(MID(E445,FIND("-",E445)+1,10)))),1,0),0))</f>
        <v>0</v>
      </c>
      <c r="J445" s="0" t="str">
        <f aca="false">IF(I445=1,TRIM(LEFT(H445,MAX(0,LEN(H445)-LEN(D445)))),"")</f>
        <v/>
      </c>
      <c r="K445" s="0" t="str">
        <f aca="false">INDEX($P$2:$P$21,A445)</f>
        <v>Deck 8</v>
      </c>
      <c r="L445" s="0" t="n">
        <f aca="false">IF(AND(C445&lt;&gt;"",LEFT(C445,2)&lt;&gt;"//",I445=0),1,0)</f>
        <v>0</v>
      </c>
      <c r="M445" s="0" t="str">
        <f aca="false">IF(I445=1,MAX(M$1:M444)+1,"")</f>
        <v/>
      </c>
      <c r="N445" s="0" t="str">
        <f aca="false">IFERROR(MATCH(ROW()-1,$V$2:$V$1201,0),"")</f>
        <v/>
      </c>
      <c r="R445" s="0" t="str">
        <f aca="false">IF(E445="","",IFERROR(LEFT(E445,FIND("-",E445)-1),E445))</f>
        <v/>
      </c>
      <c r="S445" s="0" t="str">
        <f aca="false">IF(R445="","",IF(ISNUMBER(--MID(R445,1,1)),0,IF(ISNUMBER(--MID(R445,2,1)),1,IF(ISNUMBER(--MID(R445,3,1)),2,IF(ISNUMBER(--MID(R445,4,1)),3,MIN(LEN(R445),4))))))</f>
        <v/>
      </c>
      <c r="T445" s="0" t="str">
        <f aca="false">IF(E445="","",LEFT(R445,S445)&amp;REPT("0",4-S445)&amp;RIGHT("000"&amp;IFERROR(VALUE(MID(R445,S445+1,9)),0),3)&amp;RIGHT("0000"&amp;IFERROR(VALUE(MID(E445,FIND("-",E445)+1,9)),0),4))</f>
        <v/>
      </c>
      <c r="U445" s="0" t="str">
        <f aca="false">IF(I445=1,"K"&amp;RIGHT("00"&amp;A445,2)&amp;T445&amp;RIGHT("00000"&amp;ROW(),5),"")</f>
        <v/>
      </c>
      <c r="V445" s="0" t="str">
        <f aca="false">IF(U445="","",COUNTIFS($I$2:$I$1201,1,$U$2:$U$1201,"&lt;"&amp;U445)+1)</f>
        <v/>
      </c>
    </row>
    <row r="446" customFormat="false" ht="15" hidden="false" customHeight="false" outlineLevel="0" collapsed="false">
      <c r="A446" s="0" t="n">
        <v>8</v>
      </c>
      <c r="B446" s="0" t="n">
        <v>25</v>
      </c>
      <c r="C446" s="0" t="str">
        <f aca="false">TRIM(SUBSTITUTE(INDEX(LISTAS!$A$4:$T$63,B446,A446)&amp;"",CHAR(160)," "))</f>
        <v/>
      </c>
      <c r="D446" s="0" t="str">
        <f aca="false">IF(C446="","",TRIM(RIGHT(SUBSTITUTE(C446," ",REPT(" ",100)),100)))</f>
        <v/>
      </c>
      <c r="E446" s="0" t="str">
        <f aca="false">IF(D446="","",UPPER(SUBSTITUTE(SUBSTITUTE(D446,"(",""),")","")))</f>
        <v/>
      </c>
      <c r="F446" s="0" t="str">
        <f aca="false">IF(C446="","",LEFT(C446,FIND(" ",C446&amp;" ")-1))</f>
        <v/>
      </c>
      <c r="G446" s="0" t="n">
        <f aca="false">IFERROR(VALUE(SUBSTITUTE(LOWER(F446),"x","")),0)</f>
        <v>0</v>
      </c>
      <c r="H446" s="0" t="str">
        <f aca="false">IF(C446="","",TRIM(MID(C446,LEN(F446)+2,999)))</f>
        <v/>
      </c>
      <c r="I446" s="0" t="n">
        <f aca="false">IF(OR(C446="",LEFT(C446,2)="//"),0,IFERROR(IF(AND(G446&gt;0,G446=INT(G446),FIND("-",E446)&gt;1,NOT(EXACT(UPPER(LEFT(E446,1)),LOWER(LEFT(E446,1)))),ISNUMBER(VALUE(MID(E446,FIND("-",E446)+1,10)))),1,0),0))</f>
        <v>0</v>
      </c>
      <c r="J446" s="0" t="str">
        <f aca="false">IF(I446=1,TRIM(LEFT(H446,MAX(0,LEN(H446)-LEN(D446)))),"")</f>
        <v/>
      </c>
      <c r="K446" s="0" t="str">
        <f aca="false">INDEX($P$2:$P$21,A446)</f>
        <v>Deck 8</v>
      </c>
      <c r="L446" s="0" t="n">
        <f aca="false">IF(AND(C446&lt;&gt;"",LEFT(C446,2)&lt;&gt;"//",I446=0),1,0)</f>
        <v>0</v>
      </c>
      <c r="M446" s="0" t="str">
        <f aca="false">IF(I446=1,MAX(M$1:M445)+1,"")</f>
        <v/>
      </c>
      <c r="N446" s="0" t="str">
        <f aca="false">IFERROR(MATCH(ROW()-1,$V$2:$V$1201,0),"")</f>
        <v/>
      </c>
      <c r="R446" s="0" t="str">
        <f aca="false">IF(E446="","",IFERROR(LEFT(E446,FIND("-",E446)-1),E446))</f>
        <v/>
      </c>
      <c r="S446" s="0" t="str">
        <f aca="false">IF(R446="","",IF(ISNUMBER(--MID(R446,1,1)),0,IF(ISNUMBER(--MID(R446,2,1)),1,IF(ISNUMBER(--MID(R446,3,1)),2,IF(ISNUMBER(--MID(R446,4,1)),3,MIN(LEN(R446),4))))))</f>
        <v/>
      </c>
      <c r="T446" s="0" t="str">
        <f aca="false">IF(E446="","",LEFT(R446,S446)&amp;REPT("0",4-S446)&amp;RIGHT("000"&amp;IFERROR(VALUE(MID(R446,S446+1,9)),0),3)&amp;RIGHT("0000"&amp;IFERROR(VALUE(MID(E446,FIND("-",E446)+1,9)),0),4))</f>
        <v/>
      </c>
      <c r="U446" s="0" t="str">
        <f aca="false">IF(I446=1,"K"&amp;RIGHT("00"&amp;A446,2)&amp;T446&amp;RIGHT("00000"&amp;ROW(),5),"")</f>
        <v/>
      </c>
      <c r="V446" s="0" t="str">
        <f aca="false">IF(U446="","",COUNTIFS($I$2:$I$1201,1,$U$2:$U$1201,"&lt;"&amp;U446)+1)</f>
        <v/>
      </c>
    </row>
    <row r="447" customFormat="false" ht="15" hidden="false" customHeight="false" outlineLevel="0" collapsed="false">
      <c r="A447" s="0" t="n">
        <v>8</v>
      </c>
      <c r="B447" s="0" t="n">
        <v>26</v>
      </c>
      <c r="C447" s="0" t="str">
        <f aca="false">TRIM(SUBSTITUTE(INDEX(LISTAS!$A$4:$T$63,B447,A447)&amp;"",CHAR(160)," "))</f>
        <v/>
      </c>
      <c r="D447" s="0" t="str">
        <f aca="false">IF(C447="","",TRIM(RIGHT(SUBSTITUTE(C447," ",REPT(" ",100)),100)))</f>
        <v/>
      </c>
      <c r="E447" s="0" t="str">
        <f aca="false">IF(D447="","",UPPER(SUBSTITUTE(SUBSTITUTE(D447,"(",""),")","")))</f>
        <v/>
      </c>
      <c r="F447" s="0" t="str">
        <f aca="false">IF(C447="","",LEFT(C447,FIND(" ",C447&amp;" ")-1))</f>
        <v/>
      </c>
      <c r="G447" s="0" t="n">
        <f aca="false">IFERROR(VALUE(SUBSTITUTE(LOWER(F447),"x","")),0)</f>
        <v>0</v>
      </c>
      <c r="H447" s="0" t="str">
        <f aca="false">IF(C447="","",TRIM(MID(C447,LEN(F447)+2,999)))</f>
        <v/>
      </c>
      <c r="I447" s="0" t="n">
        <f aca="false">IF(OR(C447="",LEFT(C447,2)="//"),0,IFERROR(IF(AND(G447&gt;0,G447=INT(G447),FIND("-",E447)&gt;1,NOT(EXACT(UPPER(LEFT(E447,1)),LOWER(LEFT(E447,1)))),ISNUMBER(VALUE(MID(E447,FIND("-",E447)+1,10)))),1,0),0))</f>
        <v>0</v>
      </c>
      <c r="J447" s="0" t="str">
        <f aca="false">IF(I447=1,TRIM(LEFT(H447,MAX(0,LEN(H447)-LEN(D447)))),"")</f>
        <v/>
      </c>
      <c r="K447" s="0" t="str">
        <f aca="false">INDEX($P$2:$P$21,A447)</f>
        <v>Deck 8</v>
      </c>
      <c r="L447" s="0" t="n">
        <f aca="false">IF(AND(C447&lt;&gt;"",LEFT(C447,2)&lt;&gt;"//",I447=0),1,0)</f>
        <v>0</v>
      </c>
      <c r="M447" s="0" t="str">
        <f aca="false">IF(I447=1,MAX(M$1:M446)+1,"")</f>
        <v/>
      </c>
      <c r="N447" s="0" t="str">
        <f aca="false">IFERROR(MATCH(ROW()-1,$V$2:$V$1201,0),"")</f>
        <v/>
      </c>
      <c r="R447" s="0" t="str">
        <f aca="false">IF(E447="","",IFERROR(LEFT(E447,FIND("-",E447)-1),E447))</f>
        <v/>
      </c>
      <c r="S447" s="0" t="str">
        <f aca="false">IF(R447="","",IF(ISNUMBER(--MID(R447,1,1)),0,IF(ISNUMBER(--MID(R447,2,1)),1,IF(ISNUMBER(--MID(R447,3,1)),2,IF(ISNUMBER(--MID(R447,4,1)),3,MIN(LEN(R447),4))))))</f>
        <v/>
      </c>
      <c r="T447" s="0" t="str">
        <f aca="false">IF(E447="","",LEFT(R447,S447)&amp;REPT("0",4-S447)&amp;RIGHT("000"&amp;IFERROR(VALUE(MID(R447,S447+1,9)),0),3)&amp;RIGHT("0000"&amp;IFERROR(VALUE(MID(E447,FIND("-",E447)+1,9)),0),4))</f>
        <v/>
      </c>
      <c r="U447" s="0" t="str">
        <f aca="false">IF(I447=1,"K"&amp;RIGHT("00"&amp;A447,2)&amp;T447&amp;RIGHT("00000"&amp;ROW(),5),"")</f>
        <v/>
      </c>
      <c r="V447" s="0" t="str">
        <f aca="false">IF(U447="","",COUNTIFS($I$2:$I$1201,1,$U$2:$U$1201,"&lt;"&amp;U447)+1)</f>
        <v/>
      </c>
    </row>
    <row r="448" customFormat="false" ht="15" hidden="false" customHeight="false" outlineLevel="0" collapsed="false">
      <c r="A448" s="0" t="n">
        <v>8</v>
      </c>
      <c r="B448" s="0" t="n">
        <v>27</v>
      </c>
      <c r="C448" s="0" t="str">
        <f aca="false">TRIM(SUBSTITUTE(INDEX(LISTAS!$A$4:$T$63,B448,A448)&amp;"",CHAR(160)," "))</f>
        <v/>
      </c>
      <c r="D448" s="0" t="str">
        <f aca="false">IF(C448="","",TRIM(RIGHT(SUBSTITUTE(C448," ",REPT(" ",100)),100)))</f>
        <v/>
      </c>
      <c r="E448" s="0" t="str">
        <f aca="false">IF(D448="","",UPPER(SUBSTITUTE(SUBSTITUTE(D448,"(",""),")","")))</f>
        <v/>
      </c>
      <c r="F448" s="0" t="str">
        <f aca="false">IF(C448="","",LEFT(C448,FIND(" ",C448&amp;" ")-1))</f>
        <v/>
      </c>
      <c r="G448" s="0" t="n">
        <f aca="false">IFERROR(VALUE(SUBSTITUTE(LOWER(F448),"x","")),0)</f>
        <v>0</v>
      </c>
      <c r="H448" s="0" t="str">
        <f aca="false">IF(C448="","",TRIM(MID(C448,LEN(F448)+2,999)))</f>
        <v/>
      </c>
      <c r="I448" s="0" t="n">
        <f aca="false">IF(OR(C448="",LEFT(C448,2)="//"),0,IFERROR(IF(AND(G448&gt;0,G448=INT(G448),FIND("-",E448)&gt;1,NOT(EXACT(UPPER(LEFT(E448,1)),LOWER(LEFT(E448,1)))),ISNUMBER(VALUE(MID(E448,FIND("-",E448)+1,10)))),1,0),0))</f>
        <v>0</v>
      </c>
      <c r="J448" s="0" t="str">
        <f aca="false">IF(I448=1,TRIM(LEFT(H448,MAX(0,LEN(H448)-LEN(D448)))),"")</f>
        <v/>
      </c>
      <c r="K448" s="0" t="str">
        <f aca="false">INDEX($P$2:$P$21,A448)</f>
        <v>Deck 8</v>
      </c>
      <c r="L448" s="0" t="n">
        <f aca="false">IF(AND(C448&lt;&gt;"",LEFT(C448,2)&lt;&gt;"//",I448=0),1,0)</f>
        <v>0</v>
      </c>
      <c r="M448" s="0" t="str">
        <f aca="false">IF(I448=1,MAX(M$1:M447)+1,"")</f>
        <v/>
      </c>
      <c r="N448" s="0" t="str">
        <f aca="false">IFERROR(MATCH(ROW()-1,$V$2:$V$1201,0),"")</f>
        <v/>
      </c>
      <c r="R448" s="0" t="str">
        <f aca="false">IF(E448="","",IFERROR(LEFT(E448,FIND("-",E448)-1),E448))</f>
        <v/>
      </c>
      <c r="S448" s="0" t="str">
        <f aca="false">IF(R448="","",IF(ISNUMBER(--MID(R448,1,1)),0,IF(ISNUMBER(--MID(R448,2,1)),1,IF(ISNUMBER(--MID(R448,3,1)),2,IF(ISNUMBER(--MID(R448,4,1)),3,MIN(LEN(R448),4))))))</f>
        <v/>
      </c>
      <c r="T448" s="0" t="str">
        <f aca="false">IF(E448="","",LEFT(R448,S448)&amp;REPT("0",4-S448)&amp;RIGHT("000"&amp;IFERROR(VALUE(MID(R448,S448+1,9)),0),3)&amp;RIGHT("0000"&amp;IFERROR(VALUE(MID(E448,FIND("-",E448)+1,9)),0),4))</f>
        <v/>
      </c>
      <c r="U448" s="0" t="str">
        <f aca="false">IF(I448=1,"K"&amp;RIGHT("00"&amp;A448,2)&amp;T448&amp;RIGHT("00000"&amp;ROW(),5),"")</f>
        <v/>
      </c>
      <c r="V448" s="0" t="str">
        <f aca="false">IF(U448="","",COUNTIFS($I$2:$I$1201,1,$U$2:$U$1201,"&lt;"&amp;U448)+1)</f>
        <v/>
      </c>
    </row>
    <row r="449" customFormat="false" ht="15" hidden="false" customHeight="false" outlineLevel="0" collapsed="false">
      <c r="A449" s="0" t="n">
        <v>8</v>
      </c>
      <c r="B449" s="0" t="n">
        <v>28</v>
      </c>
      <c r="C449" s="0" t="str">
        <f aca="false">TRIM(SUBSTITUTE(INDEX(LISTAS!$A$4:$T$63,B449,A449)&amp;"",CHAR(160)," "))</f>
        <v/>
      </c>
      <c r="D449" s="0" t="str">
        <f aca="false">IF(C449="","",TRIM(RIGHT(SUBSTITUTE(C449," ",REPT(" ",100)),100)))</f>
        <v/>
      </c>
      <c r="E449" s="0" t="str">
        <f aca="false">IF(D449="","",UPPER(SUBSTITUTE(SUBSTITUTE(D449,"(",""),")","")))</f>
        <v/>
      </c>
      <c r="F449" s="0" t="str">
        <f aca="false">IF(C449="","",LEFT(C449,FIND(" ",C449&amp;" ")-1))</f>
        <v/>
      </c>
      <c r="G449" s="0" t="n">
        <f aca="false">IFERROR(VALUE(SUBSTITUTE(LOWER(F449),"x","")),0)</f>
        <v>0</v>
      </c>
      <c r="H449" s="0" t="str">
        <f aca="false">IF(C449="","",TRIM(MID(C449,LEN(F449)+2,999)))</f>
        <v/>
      </c>
      <c r="I449" s="0" t="n">
        <f aca="false">IF(OR(C449="",LEFT(C449,2)="//"),0,IFERROR(IF(AND(G449&gt;0,G449=INT(G449),FIND("-",E449)&gt;1,NOT(EXACT(UPPER(LEFT(E449,1)),LOWER(LEFT(E449,1)))),ISNUMBER(VALUE(MID(E449,FIND("-",E449)+1,10)))),1,0),0))</f>
        <v>0</v>
      </c>
      <c r="J449" s="0" t="str">
        <f aca="false">IF(I449=1,TRIM(LEFT(H449,MAX(0,LEN(H449)-LEN(D449)))),"")</f>
        <v/>
      </c>
      <c r="K449" s="0" t="str">
        <f aca="false">INDEX($P$2:$P$21,A449)</f>
        <v>Deck 8</v>
      </c>
      <c r="L449" s="0" t="n">
        <f aca="false">IF(AND(C449&lt;&gt;"",LEFT(C449,2)&lt;&gt;"//",I449=0),1,0)</f>
        <v>0</v>
      </c>
      <c r="M449" s="0" t="str">
        <f aca="false">IF(I449=1,MAX(M$1:M448)+1,"")</f>
        <v/>
      </c>
      <c r="N449" s="0" t="str">
        <f aca="false">IFERROR(MATCH(ROW()-1,$V$2:$V$1201,0),"")</f>
        <v/>
      </c>
      <c r="R449" s="0" t="str">
        <f aca="false">IF(E449="","",IFERROR(LEFT(E449,FIND("-",E449)-1),E449))</f>
        <v/>
      </c>
      <c r="S449" s="0" t="str">
        <f aca="false">IF(R449="","",IF(ISNUMBER(--MID(R449,1,1)),0,IF(ISNUMBER(--MID(R449,2,1)),1,IF(ISNUMBER(--MID(R449,3,1)),2,IF(ISNUMBER(--MID(R449,4,1)),3,MIN(LEN(R449),4))))))</f>
        <v/>
      </c>
      <c r="T449" s="0" t="str">
        <f aca="false">IF(E449="","",LEFT(R449,S449)&amp;REPT("0",4-S449)&amp;RIGHT("000"&amp;IFERROR(VALUE(MID(R449,S449+1,9)),0),3)&amp;RIGHT("0000"&amp;IFERROR(VALUE(MID(E449,FIND("-",E449)+1,9)),0),4))</f>
        <v/>
      </c>
      <c r="U449" s="0" t="str">
        <f aca="false">IF(I449=1,"K"&amp;RIGHT("00"&amp;A449,2)&amp;T449&amp;RIGHT("00000"&amp;ROW(),5),"")</f>
        <v/>
      </c>
      <c r="V449" s="0" t="str">
        <f aca="false">IF(U449="","",COUNTIFS($I$2:$I$1201,1,$U$2:$U$1201,"&lt;"&amp;U449)+1)</f>
        <v/>
      </c>
    </row>
    <row r="450" customFormat="false" ht="15" hidden="false" customHeight="false" outlineLevel="0" collapsed="false">
      <c r="A450" s="0" t="n">
        <v>8</v>
      </c>
      <c r="B450" s="0" t="n">
        <v>29</v>
      </c>
      <c r="C450" s="0" t="str">
        <f aca="false">TRIM(SUBSTITUTE(INDEX(LISTAS!$A$4:$T$63,B450,A450)&amp;"",CHAR(160)," "))</f>
        <v/>
      </c>
      <c r="D450" s="0" t="str">
        <f aca="false">IF(C450="","",TRIM(RIGHT(SUBSTITUTE(C450," ",REPT(" ",100)),100)))</f>
        <v/>
      </c>
      <c r="E450" s="0" t="str">
        <f aca="false">IF(D450="","",UPPER(SUBSTITUTE(SUBSTITUTE(D450,"(",""),")","")))</f>
        <v/>
      </c>
      <c r="F450" s="0" t="str">
        <f aca="false">IF(C450="","",LEFT(C450,FIND(" ",C450&amp;" ")-1))</f>
        <v/>
      </c>
      <c r="G450" s="0" t="n">
        <f aca="false">IFERROR(VALUE(SUBSTITUTE(LOWER(F450),"x","")),0)</f>
        <v>0</v>
      </c>
      <c r="H450" s="0" t="str">
        <f aca="false">IF(C450="","",TRIM(MID(C450,LEN(F450)+2,999)))</f>
        <v/>
      </c>
      <c r="I450" s="0" t="n">
        <f aca="false">IF(OR(C450="",LEFT(C450,2)="//"),0,IFERROR(IF(AND(G450&gt;0,G450=INT(G450),FIND("-",E450)&gt;1,NOT(EXACT(UPPER(LEFT(E450,1)),LOWER(LEFT(E450,1)))),ISNUMBER(VALUE(MID(E450,FIND("-",E450)+1,10)))),1,0),0))</f>
        <v>0</v>
      </c>
      <c r="J450" s="0" t="str">
        <f aca="false">IF(I450=1,TRIM(LEFT(H450,MAX(0,LEN(H450)-LEN(D450)))),"")</f>
        <v/>
      </c>
      <c r="K450" s="0" t="str">
        <f aca="false">INDEX($P$2:$P$21,A450)</f>
        <v>Deck 8</v>
      </c>
      <c r="L450" s="0" t="n">
        <f aca="false">IF(AND(C450&lt;&gt;"",LEFT(C450,2)&lt;&gt;"//",I450=0),1,0)</f>
        <v>0</v>
      </c>
      <c r="M450" s="0" t="str">
        <f aca="false">IF(I450=1,MAX(M$1:M449)+1,"")</f>
        <v/>
      </c>
      <c r="N450" s="0" t="str">
        <f aca="false">IFERROR(MATCH(ROW()-1,$V$2:$V$1201,0),"")</f>
        <v/>
      </c>
      <c r="R450" s="0" t="str">
        <f aca="false">IF(E450="","",IFERROR(LEFT(E450,FIND("-",E450)-1),E450))</f>
        <v/>
      </c>
      <c r="S450" s="0" t="str">
        <f aca="false">IF(R450="","",IF(ISNUMBER(--MID(R450,1,1)),0,IF(ISNUMBER(--MID(R450,2,1)),1,IF(ISNUMBER(--MID(R450,3,1)),2,IF(ISNUMBER(--MID(R450,4,1)),3,MIN(LEN(R450),4))))))</f>
        <v/>
      </c>
      <c r="T450" s="0" t="str">
        <f aca="false">IF(E450="","",LEFT(R450,S450)&amp;REPT("0",4-S450)&amp;RIGHT("000"&amp;IFERROR(VALUE(MID(R450,S450+1,9)),0),3)&amp;RIGHT("0000"&amp;IFERROR(VALUE(MID(E450,FIND("-",E450)+1,9)),0),4))</f>
        <v/>
      </c>
      <c r="U450" s="0" t="str">
        <f aca="false">IF(I450=1,"K"&amp;RIGHT("00"&amp;A450,2)&amp;T450&amp;RIGHT("00000"&amp;ROW(),5),"")</f>
        <v/>
      </c>
      <c r="V450" s="0" t="str">
        <f aca="false">IF(U450="","",COUNTIFS($I$2:$I$1201,1,$U$2:$U$1201,"&lt;"&amp;U450)+1)</f>
        <v/>
      </c>
    </row>
    <row r="451" customFormat="false" ht="15" hidden="false" customHeight="false" outlineLevel="0" collapsed="false">
      <c r="A451" s="0" t="n">
        <v>8</v>
      </c>
      <c r="B451" s="0" t="n">
        <v>30</v>
      </c>
      <c r="C451" s="0" t="str">
        <f aca="false">TRIM(SUBSTITUTE(INDEX(LISTAS!$A$4:$T$63,B451,A451)&amp;"",CHAR(160)," "))</f>
        <v/>
      </c>
      <c r="D451" s="0" t="str">
        <f aca="false">IF(C451="","",TRIM(RIGHT(SUBSTITUTE(C451," ",REPT(" ",100)),100)))</f>
        <v/>
      </c>
      <c r="E451" s="0" t="str">
        <f aca="false">IF(D451="","",UPPER(SUBSTITUTE(SUBSTITUTE(D451,"(",""),")","")))</f>
        <v/>
      </c>
      <c r="F451" s="0" t="str">
        <f aca="false">IF(C451="","",LEFT(C451,FIND(" ",C451&amp;" ")-1))</f>
        <v/>
      </c>
      <c r="G451" s="0" t="n">
        <f aca="false">IFERROR(VALUE(SUBSTITUTE(LOWER(F451),"x","")),0)</f>
        <v>0</v>
      </c>
      <c r="H451" s="0" t="str">
        <f aca="false">IF(C451="","",TRIM(MID(C451,LEN(F451)+2,999)))</f>
        <v/>
      </c>
      <c r="I451" s="0" t="n">
        <f aca="false">IF(OR(C451="",LEFT(C451,2)="//"),0,IFERROR(IF(AND(G451&gt;0,G451=INT(G451),FIND("-",E451)&gt;1,NOT(EXACT(UPPER(LEFT(E451,1)),LOWER(LEFT(E451,1)))),ISNUMBER(VALUE(MID(E451,FIND("-",E451)+1,10)))),1,0),0))</f>
        <v>0</v>
      </c>
      <c r="J451" s="0" t="str">
        <f aca="false">IF(I451=1,TRIM(LEFT(H451,MAX(0,LEN(H451)-LEN(D451)))),"")</f>
        <v/>
      </c>
      <c r="K451" s="0" t="str">
        <f aca="false">INDEX($P$2:$P$21,A451)</f>
        <v>Deck 8</v>
      </c>
      <c r="L451" s="0" t="n">
        <f aca="false">IF(AND(C451&lt;&gt;"",LEFT(C451,2)&lt;&gt;"//",I451=0),1,0)</f>
        <v>0</v>
      </c>
      <c r="M451" s="0" t="str">
        <f aca="false">IF(I451=1,MAX(M$1:M450)+1,"")</f>
        <v/>
      </c>
      <c r="N451" s="0" t="str">
        <f aca="false">IFERROR(MATCH(ROW()-1,$V$2:$V$1201,0),"")</f>
        <v/>
      </c>
      <c r="R451" s="0" t="str">
        <f aca="false">IF(E451="","",IFERROR(LEFT(E451,FIND("-",E451)-1),E451))</f>
        <v/>
      </c>
      <c r="S451" s="0" t="str">
        <f aca="false">IF(R451="","",IF(ISNUMBER(--MID(R451,1,1)),0,IF(ISNUMBER(--MID(R451,2,1)),1,IF(ISNUMBER(--MID(R451,3,1)),2,IF(ISNUMBER(--MID(R451,4,1)),3,MIN(LEN(R451),4))))))</f>
        <v/>
      </c>
      <c r="T451" s="0" t="str">
        <f aca="false">IF(E451="","",LEFT(R451,S451)&amp;REPT("0",4-S451)&amp;RIGHT("000"&amp;IFERROR(VALUE(MID(R451,S451+1,9)),0),3)&amp;RIGHT("0000"&amp;IFERROR(VALUE(MID(E451,FIND("-",E451)+1,9)),0),4))</f>
        <v/>
      </c>
      <c r="U451" s="0" t="str">
        <f aca="false">IF(I451=1,"K"&amp;RIGHT("00"&amp;A451,2)&amp;T451&amp;RIGHT("00000"&amp;ROW(),5),"")</f>
        <v/>
      </c>
      <c r="V451" s="0" t="str">
        <f aca="false">IF(U451="","",COUNTIFS($I$2:$I$1201,1,$U$2:$U$1201,"&lt;"&amp;U451)+1)</f>
        <v/>
      </c>
    </row>
    <row r="452" customFormat="false" ht="15" hidden="false" customHeight="false" outlineLevel="0" collapsed="false">
      <c r="A452" s="0" t="n">
        <v>8</v>
      </c>
      <c r="B452" s="0" t="n">
        <v>31</v>
      </c>
      <c r="C452" s="0" t="str">
        <f aca="false">TRIM(SUBSTITUTE(INDEX(LISTAS!$A$4:$T$63,B452,A452)&amp;"",CHAR(160)," "))</f>
        <v/>
      </c>
      <c r="D452" s="0" t="str">
        <f aca="false">IF(C452="","",TRIM(RIGHT(SUBSTITUTE(C452," ",REPT(" ",100)),100)))</f>
        <v/>
      </c>
      <c r="E452" s="0" t="str">
        <f aca="false">IF(D452="","",UPPER(SUBSTITUTE(SUBSTITUTE(D452,"(",""),")","")))</f>
        <v/>
      </c>
      <c r="F452" s="0" t="str">
        <f aca="false">IF(C452="","",LEFT(C452,FIND(" ",C452&amp;" ")-1))</f>
        <v/>
      </c>
      <c r="G452" s="0" t="n">
        <f aca="false">IFERROR(VALUE(SUBSTITUTE(LOWER(F452),"x","")),0)</f>
        <v>0</v>
      </c>
      <c r="H452" s="0" t="str">
        <f aca="false">IF(C452="","",TRIM(MID(C452,LEN(F452)+2,999)))</f>
        <v/>
      </c>
      <c r="I452" s="0" t="n">
        <f aca="false">IF(OR(C452="",LEFT(C452,2)="//"),0,IFERROR(IF(AND(G452&gt;0,G452=INT(G452),FIND("-",E452)&gt;1,NOT(EXACT(UPPER(LEFT(E452,1)),LOWER(LEFT(E452,1)))),ISNUMBER(VALUE(MID(E452,FIND("-",E452)+1,10)))),1,0),0))</f>
        <v>0</v>
      </c>
      <c r="J452" s="0" t="str">
        <f aca="false">IF(I452=1,TRIM(LEFT(H452,MAX(0,LEN(H452)-LEN(D452)))),"")</f>
        <v/>
      </c>
      <c r="K452" s="0" t="str">
        <f aca="false">INDEX($P$2:$P$21,A452)</f>
        <v>Deck 8</v>
      </c>
      <c r="L452" s="0" t="n">
        <f aca="false">IF(AND(C452&lt;&gt;"",LEFT(C452,2)&lt;&gt;"//",I452=0),1,0)</f>
        <v>0</v>
      </c>
      <c r="M452" s="0" t="str">
        <f aca="false">IF(I452=1,MAX(M$1:M451)+1,"")</f>
        <v/>
      </c>
      <c r="N452" s="0" t="str">
        <f aca="false">IFERROR(MATCH(ROW()-1,$V$2:$V$1201,0),"")</f>
        <v/>
      </c>
      <c r="R452" s="0" t="str">
        <f aca="false">IF(E452="","",IFERROR(LEFT(E452,FIND("-",E452)-1),E452))</f>
        <v/>
      </c>
      <c r="S452" s="0" t="str">
        <f aca="false">IF(R452="","",IF(ISNUMBER(--MID(R452,1,1)),0,IF(ISNUMBER(--MID(R452,2,1)),1,IF(ISNUMBER(--MID(R452,3,1)),2,IF(ISNUMBER(--MID(R452,4,1)),3,MIN(LEN(R452),4))))))</f>
        <v/>
      </c>
      <c r="T452" s="0" t="str">
        <f aca="false">IF(E452="","",LEFT(R452,S452)&amp;REPT("0",4-S452)&amp;RIGHT("000"&amp;IFERROR(VALUE(MID(R452,S452+1,9)),0),3)&amp;RIGHT("0000"&amp;IFERROR(VALUE(MID(E452,FIND("-",E452)+1,9)),0),4))</f>
        <v/>
      </c>
      <c r="U452" s="0" t="str">
        <f aca="false">IF(I452=1,"K"&amp;RIGHT("00"&amp;A452,2)&amp;T452&amp;RIGHT("00000"&amp;ROW(),5),"")</f>
        <v/>
      </c>
      <c r="V452" s="0" t="str">
        <f aca="false">IF(U452="","",COUNTIFS($I$2:$I$1201,1,$U$2:$U$1201,"&lt;"&amp;U452)+1)</f>
        <v/>
      </c>
    </row>
    <row r="453" customFormat="false" ht="15" hidden="false" customHeight="false" outlineLevel="0" collapsed="false">
      <c r="A453" s="0" t="n">
        <v>8</v>
      </c>
      <c r="B453" s="0" t="n">
        <v>32</v>
      </c>
      <c r="C453" s="0" t="str">
        <f aca="false">TRIM(SUBSTITUTE(INDEX(LISTAS!$A$4:$T$63,B453,A453)&amp;"",CHAR(160)," "))</f>
        <v/>
      </c>
      <c r="D453" s="0" t="str">
        <f aca="false">IF(C453="","",TRIM(RIGHT(SUBSTITUTE(C453," ",REPT(" ",100)),100)))</f>
        <v/>
      </c>
      <c r="E453" s="0" t="str">
        <f aca="false">IF(D453="","",UPPER(SUBSTITUTE(SUBSTITUTE(D453,"(",""),")","")))</f>
        <v/>
      </c>
      <c r="F453" s="0" t="str">
        <f aca="false">IF(C453="","",LEFT(C453,FIND(" ",C453&amp;" ")-1))</f>
        <v/>
      </c>
      <c r="G453" s="0" t="n">
        <f aca="false">IFERROR(VALUE(SUBSTITUTE(LOWER(F453),"x","")),0)</f>
        <v>0</v>
      </c>
      <c r="H453" s="0" t="str">
        <f aca="false">IF(C453="","",TRIM(MID(C453,LEN(F453)+2,999)))</f>
        <v/>
      </c>
      <c r="I453" s="0" t="n">
        <f aca="false">IF(OR(C453="",LEFT(C453,2)="//"),0,IFERROR(IF(AND(G453&gt;0,G453=INT(G453),FIND("-",E453)&gt;1,NOT(EXACT(UPPER(LEFT(E453,1)),LOWER(LEFT(E453,1)))),ISNUMBER(VALUE(MID(E453,FIND("-",E453)+1,10)))),1,0),0))</f>
        <v>0</v>
      </c>
      <c r="J453" s="0" t="str">
        <f aca="false">IF(I453=1,TRIM(LEFT(H453,MAX(0,LEN(H453)-LEN(D453)))),"")</f>
        <v/>
      </c>
      <c r="K453" s="0" t="str">
        <f aca="false">INDEX($P$2:$P$21,A453)</f>
        <v>Deck 8</v>
      </c>
      <c r="L453" s="0" t="n">
        <f aca="false">IF(AND(C453&lt;&gt;"",LEFT(C453,2)&lt;&gt;"//",I453=0),1,0)</f>
        <v>0</v>
      </c>
      <c r="M453" s="0" t="str">
        <f aca="false">IF(I453=1,MAX(M$1:M452)+1,"")</f>
        <v/>
      </c>
      <c r="N453" s="0" t="str">
        <f aca="false">IFERROR(MATCH(ROW()-1,$V$2:$V$1201,0),"")</f>
        <v/>
      </c>
      <c r="R453" s="0" t="str">
        <f aca="false">IF(E453="","",IFERROR(LEFT(E453,FIND("-",E453)-1),E453))</f>
        <v/>
      </c>
      <c r="S453" s="0" t="str">
        <f aca="false">IF(R453="","",IF(ISNUMBER(--MID(R453,1,1)),0,IF(ISNUMBER(--MID(R453,2,1)),1,IF(ISNUMBER(--MID(R453,3,1)),2,IF(ISNUMBER(--MID(R453,4,1)),3,MIN(LEN(R453),4))))))</f>
        <v/>
      </c>
      <c r="T453" s="0" t="str">
        <f aca="false">IF(E453="","",LEFT(R453,S453)&amp;REPT("0",4-S453)&amp;RIGHT("000"&amp;IFERROR(VALUE(MID(R453,S453+1,9)),0),3)&amp;RIGHT("0000"&amp;IFERROR(VALUE(MID(E453,FIND("-",E453)+1,9)),0),4))</f>
        <v/>
      </c>
      <c r="U453" s="0" t="str">
        <f aca="false">IF(I453=1,"K"&amp;RIGHT("00"&amp;A453,2)&amp;T453&amp;RIGHT("00000"&amp;ROW(),5),"")</f>
        <v/>
      </c>
      <c r="V453" s="0" t="str">
        <f aca="false">IF(U453="","",COUNTIFS($I$2:$I$1201,1,$U$2:$U$1201,"&lt;"&amp;U453)+1)</f>
        <v/>
      </c>
    </row>
    <row r="454" customFormat="false" ht="15" hidden="false" customHeight="false" outlineLevel="0" collapsed="false">
      <c r="A454" s="0" t="n">
        <v>8</v>
      </c>
      <c r="B454" s="0" t="n">
        <v>33</v>
      </c>
      <c r="C454" s="0" t="str">
        <f aca="false">TRIM(SUBSTITUTE(INDEX(LISTAS!$A$4:$T$63,B454,A454)&amp;"",CHAR(160)," "))</f>
        <v/>
      </c>
      <c r="D454" s="0" t="str">
        <f aca="false">IF(C454="","",TRIM(RIGHT(SUBSTITUTE(C454," ",REPT(" ",100)),100)))</f>
        <v/>
      </c>
      <c r="E454" s="0" t="str">
        <f aca="false">IF(D454="","",UPPER(SUBSTITUTE(SUBSTITUTE(D454,"(",""),")","")))</f>
        <v/>
      </c>
      <c r="F454" s="0" t="str">
        <f aca="false">IF(C454="","",LEFT(C454,FIND(" ",C454&amp;" ")-1))</f>
        <v/>
      </c>
      <c r="G454" s="0" t="n">
        <f aca="false">IFERROR(VALUE(SUBSTITUTE(LOWER(F454),"x","")),0)</f>
        <v>0</v>
      </c>
      <c r="H454" s="0" t="str">
        <f aca="false">IF(C454="","",TRIM(MID(C454,LEN(F454)+2,999)))</f>
        <v/>
      </c>
      <c r="I454" s="0" t="n">
        <f aca="false">IF(OR(C454="",LEFT(C454,2)="//"),0,IFERROR(IF(AND(G454&gt;0,G454=INT(G454),FIND("-",E454)&gt;1,NOT(EXACT(UPPER(LEFT(E454,1)),LOWER(LEFT(E454,1)))),ISNUMBER(VALUE(MID(E454,FIND("-",E454)+1,10)))),1,0),0))</f>
        <v>0</v>
      </c>
      <c r="J454" s="0" t="str">
        <f aca="false">IF(I454=1,TRIM(LEFT(H454,MAX(0,LEN(H454)-LEN(D454)))),"")</f>
        <v/>
      </c>
      <c r="K454" s="0" t="str">
        <f aca="false">INDEX($P$2:$P$21,A454)</f>
        <v>Deck 8</v>
      </c>
      <c r="L454" s="0" t="n">
        <f aca="false">IF(AND(C454&lt;&gt;"",LEFT(C454,2)&lt;&gt;"//",I454=0),1,0)</f>
        <v>0</v>
      </c>
      <c r="M454" s="0" t="str">
        <f aca="false">IF(I454=1,MAX(M$1:M453)+1,"")</f>
        <v/>
      </c>
      <c r="N454" s="0" t="str">
        <f aca="false">IFERROR(MATCH(ROW()-1,$V$2:$V$1201,0),"")</f>
        <v/>
      </c>
      <c r="R454" s="0" t="str">
        <f aca="false">IF(E454="","",IFERROR(LEFT(E454,FIND("-",E454)-1),E454))</f>
        <v/>
      </c>
      <c r="S454" s="0" t="str">
        <f aca="false">IF(R454="","",IF(ISNUMBER(--MID(R454,1,1)),0,IF(ISNUMBER(--MID(R454,2,1)),1,IF(ISNUMBER(--MID(R454,3,1)),2,IF(ISNUMBER(--MID(R454,4,1)),3,MIN(LEN(R454),4))))))</f>
        <v/>
      </c>
      <c r="T454" s="0" t="str">
        <f aca="false">IF(E454="","",LEFT(R454,S454)&amp;REPT("0",4-S454)&amp;RIGHT("000"&amp;IFERROR(VALUE(MID(R454,S454+1,9)),0),3)&amp;RIGHT("0000"&amp;IFERROR(VALUE(MID(E454,FIND("-",E454)+1,9)),0),4))</f>
        <v/>
      </c>
      <c r="U454" s="0" t="str">
        <f aca="false">IF(I454=1,"K"&amp;RIGHT("00"&amp;A454,2)&amp;T454&amp;RIGHT("00000"&amp;ROW(),5),"")</f>
        <v/>
      </c>
      <c r="V454" s="0" t="str">
        <f aca="false">IF(U454="","",COUNTIFS($I$2:$I$1201,1,$U$2:$U$1201,"&lt;"&amp;U454)+1)</f>
        <v/>
      </c>
    </row>
    <row r="455" customFormat="false" ht="15" hidden="false" customHeight="false" outlineLevel="0" collapsed="false">
      <c r="A455" s="0" t="n">
        <v>8</v>
      </c>
      <c r="B455" s="0" t="n">
        <v>34</v>
      </c>
      <c r="C455" s="0" t="str">
        <f aca="false">TRIM(SUBSTITUTE(INDEX(LISTAS!$A$4:$T$63,B455,A455)&amp;"",CHAR(160)," "))</f>
        <v/>
      </c>
      <c r="D455" s="0" t="str">
        <f aca="false">IF(C455="","",TRIM(RIGHT(SUBSTITUTE(C455," ",REPT(" ",100)),100)))</f>
        <v/>
      </c>
      <c r="E455" s="0" t="str">
        <f aca="false">IF(D455="","",UPPER(SUBSTITUTE(SUBSTITUTE(D455,"(",""),")","")))</f>
        <v/>
      </c>
      <c r="F455" s="0" t="str">
        <f aca="false">IF(C455="","",LEFT(C455,FIND(" ",C455&amp;" ")-1))</f>
        <v/>
      </c>
      <c r="G455" s="0" t="n">
        <f aca="false">IFERROR(VALUE(SUBSTITUTE(LOWER(F455),"x","")),0)</f>
        <v>0</v>
      </c>
      <c r="H455" s="0" t="str">
        <f aca="false">IF(C455="","",TRIM(MID(C455,LEN(F455)+2,999)))</f>
        <v/>
      </c>
      <c r="I455" s="0" t="n">
        <f aca="false">IF(OR(C455="",LEFT(C455,2)="//"),0,IFERROR(IF(AND(G455&gt;0,G455=INT(G455),FIND("-",E455)&gt;1,NOT(EXACT(UPPER(LEFT(E455,1)),LOWER(LEFT(E455,1)))),ISNUMBER(VALUE(MID(E455,FIND("-",E455)+1,10)))),1,0),0))</f>
        <v>0</v>
      </c>
      <c r="J455" s="0" t="str">
        <f aca="false">IF(I455=1,TRIM(LEFT(H455,MAX(0,LEN(H455)-LEN(D455)))),"")</f>
        <v/>
      </c>
      <c r="K455" s="0" t="str">
        <f aca="false">INDEX($P$2:$P$21,A455)</f>
        <v>Deck 8</v>
      </c>
      <c r="L455" s="0" t="n">
        <f aca="false">IF(AND(C455&lt;&gt;"",LEFT(C455,2)&lt;&gt;"//",I455=0),1,0)</f>
        <v>0</v>
      </c>
      <c r="M455" s="0" t="str">
        <f aca="false">IF(I455=1,MAX(M$1:M454)+1,"")</f>
        <v/>
      </c>
      <c r="N455" s="0" t="str">
        <f aca="false">IFERROR(MATCH(ROW()-1,$V$2:$V$1201,0),"")</f>
        <v/>
      </c>
      <c r="R455" s="0" t="str">
        <f aca="false">IF(E455="","",IFERROR(LEFT(E455,FIND("-",E455)-1),E455))</f>
        <v/>
      </c>
      <c r="S455" s="0" t="str">
        <f aca="false">IF(R455="","",IF(ISNUMBER(--MID(R455,1,1)),0,IF(ISNUMBER(--MID(R455,2,1)),1,IF(ISNUMBER(--MID(R455,3,1)),2,IF(ISNUMBER(--MID(R455,4,1)),3,MIN(LEN(R455),4))))))</f>
        <v/>
      </c>
      <c r="T455" s="0" t="str">
        <f aca="false">IF(E455="","",LEFT(R455,S455)&amp;REPT("0",4-S455)&amp;RIGHT("000"&amp;IFERROR(VALUE(MID(R455,S455+1,9)),0),3)&amp;RIGHT("0000"&amp;IFERROR(VALUE(MID(E455,FIND("-",E455)+1,9)),0),4))</f>
        <v/>
      </c>
      <c r="U455" s="0" t="str">
        <f aca="false">IF(I455=1,"K"&amp;RIGHT("00"&amp;A455,2)&amp;T455&amp;RIGHT("00000"&amp;ROW(),5),"")</f>
        <v/>
      </c>
      <c r="V455" s="0" t="str">
        <f aca="false">IF(U455="","",COUNTIFS($I$2:$I$1201,1,$U$2:$U$1201,"&lt;"&amp;U455)+1)</f>
        <v/>
      </c>
    </row>
    <row r="456" customFormat="false" ht="15" hidden="false" customHeight="false" outlineLevel="0" collapsed="false">
      <c r="A456" s="0" t="n">
        <v>8</v>
      </c>
      <c r="B456" s="0" t="n">
        <v>35</v>
      </c>
      <c r="C456" s="0" t="str">
        <f aca="false">TRIM(SUBSTITUTE(INDEX(LISTAS!$A$4:$T$63,B456,A456)&amp;"",CHAR(160)," "))</f>
        <v/>
      </c>
      <c r="D456" s="0" t="str">
        <f aca="false">IF(C456="","",TRIM(RIGHT(SUBSTITUTE(C456," ",REPT(" ",100)),100)))</f>
        <v/>
      </c>
      <c r="E456" s="0" t="str">
        <f aca="false">IF(D456="","",UPPER(SUBSTITUTE(SUBSTITUTE(D456,"(",""),")","")))</f>
        <v/>
      </c>
      <c r="F456" s="0" t="str">
        <f aca="false">IF(C456="","",LEFT(C456,FIND(" ",C456&amp;" ")-1))</f>
        <v/>
      </c>
      <c r="G456" s="0" t="n">
        <f aca="false">IFERROR(VALUE(SUBSTITUTE(LOWER(F456),"x","")),0)</f>
        <v>0</v>
      </c>
      <c r="H456" s="0" t="str">
        <f aca="false">IF(C456="","",TRIM(MID(C456,LEN(F456)+2,999)))</f>
        <v/>
      </c>
      <c r="I456" s="0" t="n">
        <f aca="false">IF(OR(C456="",LEFT(C456,2)="//"),0,IFERROR(IF(AND(G456&gt;0,G456=INT(G456),FIND("-",E456)&gt;1,NOT(EXACT(UPPER(LEFT(E456,1)),LOWER(LEFT(E456,1)))),ISNUMBER(VALUE(MID(E456,FIND("-",E456)+1,10)))),1,0),0))</f>
        <v>0</v>
      </c>
      <c r="J456" s="0" t="str">
        <f aca="false">IF(I456=1,TRIM(LEFT(H456,MAX(0,LEN(H456)-LEN(D456)))),"")</f>
        <v/>
      </c>
      <c r="K456" s="0" t="str">
        <f aca="false">INDEX($P$2:$P$21,A456)</f>
        <v>Deck 8</v>
      </c>
      <c r="L456" s="0" t="n">
        <f aca="false">IF(AND(C456&lt;&gt;"",LEFT(C456,2)&lt;&gt;"//",I456=0),1,0)</f>
        <v>0</v>
      </c>
      <c r="M456" s="0" t="str">
        <f aca="false">IF(I456=1,MAX(M$1:M455)+1,"")</f>
        <v/>
      </c>
      <c r="N456" s="0" t="str">
        <f aca="false">IFERROR(MATCH(ROW()-1,$V$2:$V$1201,0),"")</f>
        <v/>
      </c>
      <c r="R456" s="0" t="str">
        <f aca="false">IF(E456="","",IFERROR(LEFT(E456,FIND("-",E456)-1),E456))</f>
        <v/>
      </c>
      <c r="S456" s="0" t="str">
        <f aca="false">IF(R456="","",IF(ISNUMBER(--MID(R456,1,1)),0,IF(ISNUMBER(--MID(R456,2,1)),1,IF(ISNUMBER(--MID(R456,3,1)),2,IF(ISNUMBER(--MID(R456,4,1)),3,MIN(LEN(R456),4))))))</f>
        <v/>
      </c>
      <c r="T456" s="0" t="str">
        <f aca="false">IF(E456="","",LEFT(R456,S456)&amp;REPT("0",4-S456)&amp;RIGHT("000"&amp;IFERROR(VALUE(MID(R456,S456+1,9)),0),3)&amp;RIGHT("0000"&amp;IFERROR(VALUE(MID(E456,FIND("-",E456)+1,9)),0),4))</f>
        <v/>
      </c>
      <c r="U456" s="0" t="str">
        <f aca="false">IF(I456=1,"K"&amp;RIGHT("00"&amp;A456,2)&amp;T456&amp;RIGHT("00000"&amp;ROW(),5),"")</f>
        <v/>
      </c>
      <c r="V456" s="0" t="str">
        <f aca="false">IF(U456="","",COUNTIFS($I$2:$I$1201,1,$U$2:$U$1201,"&lt;"&amp;U456)+1)</f>
        <v/>
      </c>
    </row>
    <row r="457" customFormat="false" ht="15" hidden="false" customHeight="false" outlineLevel="0" collapsed="false">
      <c r="A457" s="0" t="n">
        <v>8</v>
      </c>
      <c r="B457" s="0" t="n">
        <v>36</v>
      </c>
      <c r="C457" s="0" t="str">
        <f aca="false">TRIM(SUBSTITUTE(INDEX(LISTAS!$A$4:$T$63,B457,A457)&amp;"",CHAR(160)," "))</f>
        <v/>
      </c>
      <c r="D457" s="0" t="str">
        <f aca="false">IF(C457="","",TRIM(RIGHT(SUBSTITUTE(C457," ",REPT(" ",100)),100)))</f>
        <v/>
      </c>
      <c r="E457" s="0" t="str">
        <f aca="false">IF(D457="","",UPPER(SUBSTITUTE(SUBSTITUTE(D457,"(",""),")","")))</f>
        <v/>
      </c>
      <c r="F457" s="0" t="str">
        <f aca="false">IF(C457="","",LEFT(C457,FIND(" ",C457&amp;" ")-1))</f>
        <v/>
      </c>
      <c r="G457" s="0" t="n">
        <f aca="false">IFERROR(VALUE(SUBSTITUTE(LOWER(F457),"x","")),0)</f>
        <v>0</v>
      </c>
      <c r="H457" s="0" t="str">
        <f aca="false">IF(C457="","",TRIM(MID(C457,LEN(F457)+2,999)))</f>
        <v/>
      </c>
      <c r="I457" s="0" t="n">
        <f aca="false">IF(OR(C457="",LEFT(C457,2)="//"),0,IFERROR(IF(AND(G457&gt;0,G457=INT(G457),FIND("-",E457)&gt;1,NOT(EXACT(UPPER(LEFT(E457,1)),LOWER(LEFT(E457,1)))),ISNUMBER(VALUE(MID(E457,FIND("-",E457)+1,10)))),1,0),0))</f>
        <v>0</v>
      </c>
      <c r="J457" s="0" t="str">
        <f aca="false">IF(I457=1,TRIM(LEFT(H457,MAX(0,LEN(H457)-LEN(D457)))),"")</f>
        <v/>
      </c>
      <c r="K457" s="0" t="str">
        <f aca="false">INDEX($P$2:$P$21,A457)</f>
        <v>Deck 8</v>
      </c>
      <c r="L457" s="0" t="n">
        <f aca="false">IF(AND(C457&lt;&gt;"",LEFT(C457,2)&lt;&gt;"//",I457=0),1,0)</f>
        <v>0</v>
      </c>
      <c r="M457" s="0" t="str">
        <f aca="false">IF(I457=1,MAX(M$1:M456)+1,"")</f>
        <v/>
      </c>
      <c r="N457" s="0" t="str">
        <f aca="false">IFERROR(MATCH(ROW()-1,$V$2:$V$1201,0),"")</f>
        <v/>
      </c>
      <c r="R457" s="0" t="str">
        <f aca="false">IF(E457="","",IFERROR(LEFT(E457,FIND("-",E457)-1),E457))</f>
        <v/>
      </c>
      <c r="S457" s="0" t="str">
        <f aca="false">IF(R457="","",IF(ISNUMBER(--MID(R457,1,1)),0,IF(ISNUMBER(--MID(R457,2,1)),1,IF(ISNUMBER(--MID(R457,3,1)),2,IF(ISNUMBER(--MID(R457,4,1)),3,MIN(LEN(R457),4))))))</f>
        <v/>
      </c>
      <c r="T457" s="0" t="str">
        <f aca="false">IF(E457="","",LEFT(R457,S457)&amp;REPT("0",4-S457)&amp;RIGHT("000"&amp;IFERROR(VALUE(MID(R457,S457+1,9)),0),3)&amp;RIGHT("0000"&amp;IFERROR(VALUE(MID(E457,FIND("-",E457)+1,9)),0),4))</f>
        <v/>
      </c>
      <c r="U457" s="0" t="str">
        <f aca="false">IF(I457=1,"K"&amp;RIGHT("00"&amp;A457,2)&amp;T457&amp;RIGHT("00000"&amp;ROW(),5),"")</f>
        <v/>
      </c>
      <c r="V457" s="0" t="str">
        <f aca="false">IF(U457="","",COUNTIFS($I$2:$I$1201,1,$U$2:$U$1201,"&lt;"&amp;U457)+1)</f>
        <v/>
      </c>
    </row>
    <row r="458" customFormat="false" ht="15" hidden="false" customHeight="false" outlineLevel="0" collapsed="false">
      <c r="A458" s="0" t="n">
        <v>8</v>
      </c>
      <c r="B458" s="0" t="n">
        <v>37</v>
      </c>
      <c r="C458" s="0" t="str">
        <f aca="false">TRIM(SUBSTITUTE(INDEX(LISTAS!$A$4:$T$63,B458,A458)&amp;"",CHAR(160)," "))</f>
        <v/>
      </c>
      <c r="D458" s="0" t="str">
        <f aca="false">IF(C458="","",TRIM(RIGHT(SUBSTITUTE(C458," ",REPT(" ",100)),100)))</f>
        <v/>
      </c>
      <c r="E458" s="0" t="str">
        <f aca="false">IF(D458="","",UPPER(SUBSTITUTE(SUBSTITUTE(D458,"(",""),")","")))</f>
        <v/>
      </c>
      <c r="F458" s="0" t="str">
        <f aca="false">IF(C458="","",LEFT(C458,FIND(" ",C458&amp;" ")-1))</f>
        <v/>
      </c>
      <c r="G458" s="0" t="n">
        <f aca="false">IFERROR(VALUE(SUBSTITUTE(LOWER(F458),"x","")),0)</f>
        <v>0</v>
      </c>
      <c r="H458" s="0" t="str">
        <f aca="false">IF(C458="","",TRIM(MID(C458,LEN(F458)+2,999)))</f>
        <v/>
      </c>
      <c r="I458" s="0" t="n">
        <f aca="false">IF(OR(C458="",LEFT(C458,2)="//"),0,IFERROR(IF(AND(G458&gt;0,G458=INT(G458),FIND("-",E458)&gt;1,NOT(EXACT(UPPER(LEFT(E458,1)),LOWER(LEFT(E458,1)))),ISNUMBER(VALUE(MID(E458,FIND("-",E458)+1,10)))),1,0),0))</f>
        <v>0</v>
      </c>
      <c r="J458" s="0" t="str">
        <f aca="false">IF(I458=1,TRIM(LEFT(H458,MAX(0,LEN(H458)-LEN(D458)))),"")</f>
        <v/>
      </c>
      <c r="K458" s="0" t="str">
        <f aca="false">INDEX($P$2:$P$21,A458)</f>
        <v>Deck 8</v>
      </c>
      <c r="L458" s="0" t="n">
        <f aca="false">IF(AND(C458&lt;&gt;"",LEFT(C458,2)&lt;&gt;"//",I458=0),1,0)</f>
        <v>0</v>
      </c>
      <c r="M458" s="0" t="str">
        <f aca="false">IF(I458=1,MAX(M$1:M457)+1,"")</f>
        <v/>
      </c>
      <c r="N458" s="0" t="str">
        <f aca="false">IFERROR(MATCH(ROW()-1,$V$2:$V$1201,0),"")</f>
        <v/>
      </c>
      <c r="R458" s="0" t="str">
        <f aca="false">IF(E458="","",IFERROR(LEFT(E458,FIND("-",E458)-1),E458))</f>
        <v/>
      </c>
      <c r="S458" s="0" t="str">
        <f aca="false">IF(R458="","",IF(ISNUMBER(--MID(R458,1,1)),0,IF(ISNUMBER(--MID(R458,2,1)),1,IF(ISNUMBER(--MID(R458,3,1)),2,IF(ISNUMBER(--MID(R458,4,1)),3,MIN(LEN(R458),4))))))</f>
        <v/>
      </c>
      <c r="T458" s="0" t="str">
        <f aca="false">IF(E458="","",LEFT(R458,S458)&amp;REPT("0",4-S458)&amp;RIGHT("000"&amp;IFERROR(VALUE(MID(R458,S458+1,9)),0),3)&amp;RIGHT("0000"&amp;IFERROR(VALUE(MID(E458,FIND("-",E458)+1,9)),0),4))</f>
        <v/>
      </c>
      <c r="U458" s="0" t="str">
        <f aca="false">IF(I458=1,"K"&amp;RIGHT("00"&amp;A458,2)&amp;T458&amp;RIGHT("00000"&amp;ROW(),5),"")</f>
        <v/>
      </c>
      <c r="V458" s="0" t="str">
        <f aca="false">IF(U458="","",COUNTIFS($I$2:$I$1201,1,$U$2:$U$1201,"&lt;"&amp;U458)+1)</f>
        <v/>
      </c>
    </row>
    <row r="459" customFormat="false" ht="15" hidden="false" customHeight="false" outlineLevel="0" collapsed="false">
      <c r="A459" s="0" t="n">
        <v>8</v>
      </c>
      <c r="B459" s="0" t="n">
        <v>38</v>
      </c>
      <c r="C459" s="0" t="str">
        <f aca="false">TRIM(SUBSTITUTE(INDEX(LISTAS!$A$4:$T$63,B459,A459)&amp;"",CHAR(160)," "))</f>
        <v/>
      </c>
      <c r="D459" s="0" t="str">
        <f aca="false">IF(C459="","",TRIM(RIGHT(SUBSTITUTE(C459," ",REPT(" ",100)),100)))</f>
        <v/>
      </c>
      <c r="E459" s="0" t="str">
        <f aca="false">IF(D459="","",UPPER(SUBSTITUTE(SUBSTITUTE(D459,"(",""),")","")))</f>
        <v/>
      </c>
      <c r="F459" s="0" t="str">
        <f aca="false">IF(C459="","",LEFT(C459,FIND(" ",C459&amp;" ")-1))</f>
        <v/>
      </c>
      <c r="G459" s="0" t="n">
        <f aca="false">IFERROR(VALUE(SUBSTITUTE(LOWER(F459),"x","")),0)</f>
        <v>0</v>
      </c>
      <c r="H459" s="0" t="str">
        <f aca="false">IF(C459="","",TRIM(MID(C459,LEN(F459)+2,999)))</f>
        <v/>
      </c>
      <c r="I459" s="0" t="n">
        <f aca="false">IF(OR(C459="",LEFT(C459,2)="//"),0,IFERROR(IF(AND(G459&gt;0,G459=INT(G459),FIND("-",E459)&gt;1,NOT(EXACT(UPPER(LEFT(E459,1)),LOWER(LEFT(E459,1)))),ISNUMBER(VALUE(MID(E459,FIND("-",E459)+1,10)))),1,0),0))</f>
        <v>0</v>
      </c>
      <c r="J459" s="0" t="str">
        <f aca="false">IF(I459=1,TRIM(LEFT(H459,MAX(0,LEN(H459)-LEN(D459)))),"")</f>
        <v/>
      </c>
      <c r="K459" s="0" t="str">
        <f aca="false">INDEX($P$2:$P$21,A459)</f>
        <v>Deck 8</v>
      </c>
      <c r="L459" s="0" t="n">
        <f aca="false">IF(AND(C459&lt;&gt;"",LEFT(C459,2)&lt;&gt;"//",I459=0),1,0)</f>
        <v>0</v>
      </c>
      <c r="M459" s="0" t="str">
        <f aca="false">IF(I459=1,MAX(M$1:M458)+1,"")</f>
        <v/>
      </c>
      <c r="N459" s="0" t="str">
        <f aca="false">IFERROR(MATCH(ROW()-1,$V$2:$V$1201,0),"")</f>
        <v/>
      </c>
      <c r="R459" s="0" t="str">
        <f aca="false">IF(E459="","",IFERROR(LEFT(E459,FIND("-",E459)-1),E459))</f>
        <v/>
      </c>
      <c r="S459" s="0" t="str">
        <f aca="false">IF(R459="","",IF(ISNUMBER(--MID(R459,1,1)),0,IF(ISNUMBER(--MID(R459,2,1)),1,IF(ISNUMBER(--MID(R459,3,1)),2,IF(ISNUMBER(--MID(R459,4,1)),3,MIN(LEN(R459),4))))))</f>
        <v/>
      </c>
      <c r="T459" s="0" t="str">
        <f aca="false">IF(E459="","",LEFT(R459,S459)&amp;REPT("0",4-S459)&amp;RIGHT("000"&amp;IFERROR(VALUE(MID(R459,S459+1,9)),0),3)&amp;RIGHT("0000"&amp;IFERROR(VALUE(MID(E459,FIND("-",E459)+1,9)),0),4))</f>
        <v/>
      </c>
      <c r="U459" s="0" t="str">
        <f aca="false">IF(I459=1,"K"&amp;RIGHT("00"&amp;A459,2)&amp;T459&amp;RIGHT("00000"&amp;ROW(),5),"")</f>
        <v/>
      </c>
      <c r="V459" s="0" t="str">
        <f aca="false">IF(U459="","",COUNTIFS($I$2:$I$1201,1,$U$2:$U$1201,"&lt;"&amp;U459)+1)</f>
        <v/>
      </c>
    </row>
    <row r="460" customFormat="false" ht="15" hidden="false" customHeight="false" outlineLevel="0" collapsed="false">
      <c r="A460" s="0" t="n">
        <v>8</v>
      </c>
      <c r="B460" s="0" t="n">
        <v>39</v>
      </c>
      <c r="C460" s="0" t="str">
        <f aca="false">TRIM(SUBSTITUTE(INDEX(LISTAS!$A$4:$T$63,B460,A460)&amp;"",CHAR(160)," "))</f>
        <v/>
      </c>
      <c r="D460" s="0" t="str">
        <f aca="false">IF(C460="","",TRIM(RIGHT(SUBSTITUTE(C460," ",REPT(" ",100)),100)))</f>
        <v/>
      </c>
      <c r="E460" s="0" t="str">
        <f aca="false">IF(D460="","",UPPER(SUBSTITUTE(SUBSTITUTE(D460,"(",""),")","")))</f>
        <v/>
      </c>
      <c r="F460" s="0" t="str">
        <f aca="false">IF(C460="","",LEFT(C460,FIND(" ",C460&amp;" ")-1))</f>
        <v/>
      </c>
      <c r="G460" s="0" t="n">
        <f aca="false">IFERROR(VALUE(SUBSTITUTE(LOWER(F460),"x","")),0)</f>
        <v>0</v>
      </c>
      <c r="H460" s="0" t="str">
        <f aca="false">IF(C460="","",TRIM(MID(C460,LEN(F460)+2,999)))</f>
        <v/>
      </c>
      <c r="I460" s="0" t="n">
        <f aca="false">IF(OR(C460="",LEFT(C460,2)="//"),0,IFERROR(IF(AND(G460&gt;0,G460=INT(G460),FIND("-",E460)&gt;1,NOT(EXACT(UPPER(LEFT(E460,1)),LOWER(LEFT(E460,1)))),ISNUMBER(VALUE(MID(E460,FIND("-",E460)+1,10)))),1,0),0))</f>
        <v>0</v>
      </c>
      <c r="J460" s="0" t="str">
        <f aca="false">IF(I460=1,TRIM(LEFT(H460,MAX(0,LEN(H460)-LEN(D460)))),"")</f>
        <v/>
      </c>
      <c r="K460" s="0" t="str">
        <f aca="false">INDEX($P$2:$P$21,A460)</f>
        <v>Deck 8</v>
      </c>
      <c r="L460" s="0" t="n">
        <f aca="false">IF(AND(C460&lt;&gt;"",LEFT(C460,2)&lt;&gt;"//",I460=0),1,0)</f>
        <v>0</v>
      </c>
      <c r="M460" s="0" t="str">
        <f aca="false">IF(I460=1,MAX(M$1:M459)+1,"")</f>
        <v/>
      </c>
      <c r="N460" s="0" t="str">
        <f aca="false">IFERROR(MATCH(ROW()-1,$V$2:$V$1201,0),"")</f>
        <v/>
      </c>
      <c r="R460" s="0" t="str">
        <f aca="false">IF(E460="","",IFERROR(LEFT(E460,FIND("-",E460)-1),E460))</f>
        <v/>
      </c>
      <c r="S460" s="0" t="str">
        <f aca="false">IF(R460="","",IF(ISNUMBER(--MID(R460,1,1)),0,IF(ISNUMBER(--MID(R460,2,1)),1,IF(ISNUMBER(--MID(R460,3,1)),2,IF(ISNUMBER(--MID(R460,4,1)),3,MIN(LEN(R460),4))))))</f>
        <v/>
      </c>
      <c r="T460" s="0" t="str">
        <f aca="false">IF(E460="","",LEFT(R460,S460)&amp;REPT("0",4-S460)&amp;RIGHT("000"&amp;IFERROR(VALUE(MID(R460,S460+1,9)),0),3)&amp;RIGHT("0000"&amp;IFERROR(VALUE(MID(E460,FIND("-",E460)+1,9)),0),4))</f>
        <v/>
      </c>
      <c r="U460" s="0" t="str">
        <f aca="false">IF(I460=1,"K"&amp;RIGHT("00"&amp;A460,2)&amp;T460&amp;RIGHT("00000"&amp;ROW(),5),"")</f>
        <v/>
      </c>
      <c r="V460" s="0" t="str">
        <f aca="false">IF(U460="","",COUNTIFS($I$2:$I$1201,1,$U$2:$U$1201,"&lt;"&amp;U460)+1)</f>
        <v/>
      </c>
    </row>
    <row r="461" customFormat="false" ht="15" hidden="false" customHeight="false" outlineLevel="0" collapsed="false">
      <c r="A461" s="0" t="n">
        <v>8</v>
      </c>
      <c r="B461" s="0" t="n">
        <v>40</v>
      </c>
      <c r="C461" s="0" t="str">
        <f aca="false">TRIM(SUBSTITUTE(INDEX(LISTAS!$A$4:$T$63,B461,A461)&amp;"",CHAR(160)," "))</f>
        <v/>
      </c>
      <c r="D461" s="0" t="str">
        <f aca="false">IF(C461="","",TRIM(RIGHT(SUBSTITUTE(C461," ",REPT(" ",100)),100)))</f>
        <v/>
      </c>
      <c r="E461" s="0" t="str">
        <f aca="false">IF(D461="","",UPPER(SUBSTITUTE(SUBSTITUTE(D461,"(",""),")","")))</f>
        <v/>
      </c>
      <c r="F461" s="0" t="str">
        <f aca="false">IF(C461="","",LEFT(C461,FIND(" ",C461&amp;" ")-1))</f>
        <v/>
      </c>
      <c r="G461" s="0" t="n">
        <f aca="false">IFERROR(VALUE(SUBSTITUTE(LOWER(F461),"x","")),0)</f>
        <v>0</v>
      </c>
      <c r="H461" s="0" t="str">
        <f aca="false">IF(C461="","",TRIM(MID(C461,LEN(F461)+2,999)))</f>
        <v/>
      </c>
      <c r="I461" s="0" t="n">
        <f aca="false">IF(OR(C461="",LEFT(C461,2)="//"),0,IFERROR(IF(AND(G461&gt;0,G461=INT(G461),FIND("-",E461)&gt;1,NOT(EXACT(UPPER(LEFT(E461,1)),LOWER(LEFT(E461,1)))),ISNUMBER(VALUE(MID(E461,FIND("-",E461)+1,10)))),1,0),0))</f>
        <v>0</v>
      </c>
      <c r="J461" s="0" t="str">
        <f aca="false">IF(I461=1,TRIM(LEFT(H461,MAX(0,LEN(H461)-LEN(D461)))),"")</f>
        <v/>
      </c>
      <c r="K461" s="0" t="str">
        <f aca="false">INDEX($P$2:$P$21,A461)</f>
        <v>Deck 8</v>
      </c>
      <c r="L461" s="0" t="n">
        <f aca="false">IF(AND(C461&lt;&gt;"",LEFT(C461,2)&lt;&gt;"//",I461=0),1,0)</f>
        <v>0</v>
      </c>
      <c r="M461" s="0" t="str">
        <f aca="false">IF(I461=1,MAX(M$1:M460)+1,"")</f>
        <v/>
      </c>
      <c r="N461" s="0" t="str">
        <f aca="false">IFERROR(MATCH(ROW()-1,$V$2:$V$1201,0),"")</f>
        <v/>
      </c>
      <c r="R461" s="0" t="str">
        <f aca="false">IF(E461="","",IFERROR(LEFT(E461,FIND("-",E461)-1),E461))</f>
        <v/>
      </c>
      <c r="S461" s="0" t="str">
        <f aca="false">IF(R461="","",IF(ISNUMBER(--MID(R461,1,1)),0,IF(ISNUMBER(--MID(R461,2,1)),1,IF(ISNUMBER(--MID(R461,3,1)),2,IF(ISNUMBER(--MID(R461,4,1)),3,MIN(LEN(R461),4))))))</f>
        <v/>
      </c>
      <c r="T461" s="0" t="str">
        <f aca="false">IF(E461="","",LEFT(R461,S461)&amp;REPT("0",4-S461)&amp;RIGHT("000"&amp;IFERROR(VALUE(MID(R461,S461+1,9)),0),3)&amp;RIGHT("0000"&amp;IFERROR(VALUE(MID(E461,FIND("-",E461)+1,9)),0),4))</f>
        <v/>
      </c>
      <c r="U461" s="0" t="str">
        <f aca="false">IF(I461=1,"K"&amp;RIGHT("00"&amp;A461,2)&amp;T461&amp;RIGHT("00000"&amp;ROW(),5),"")</f>
        <v/>
      </c>
      <c r="V461" s="0" t="str">
        <f aca="false">IF(U461="","",COUNTIFS($I$2:$I$1201,1,$U$2:$U$1201,"&lt;"&amp;U461)+1)</f>
        <v/>
      </c>
    </row>
    <row r="462" customFormat="false" ht="15" hidden="false" customHeight="false" outlineLevel="0" collapsed="false">
      <c r="A462" s="0" t="n">
        <v>8</v>
      </c>
      <c r="B462" s="0" t="n">
        <v>41</v>
      </c>
      <c r="C462" s="0" t="str">
        <f aca="false">TRIM(SUBSTITUTE(INDEX(LISTAS!$A$4:$T$63,B462,A462)&amp;"",CHAR(160)," "))</f>
        <v/>
      </c>
      <c r="D462" s="0" t="str">
        <f aca="false">IF(C462="","",TRIM(RIGHT(SUBSTITUTE(C462," ",REPT(" ",100)),100)))</f>
        <v/>
      </c>
      <c r="E462" s="0" t="str">
        <f aca="false">IF(D462="","",UPPER(SUBSTITUTE(SUBSTITUTE(D462,"(",""),")","")))</f>
        <v/>
      </c>
      <c r="F462" s="0" t="str">
        <f aca="false">IF(C462="","",LEFT(C462,FIND(" ",C462&amp;" ")-1))</f>
        <v/>
      </c>
      <c r="G462" s="0" t="n">
        <f aca="false">IFERROR(VALUE(SUBSTITUTE(LOWER(F462),"x","")),0)</f>
        <v>0</v>
      </c>
      <c r="H462" s="0" t="str">
        <f aca="false">IF(C462="","",TRIM(MID(C462,LEN(F462)+2,999)))</f>
        <v/>
      </c>
      <c r="I462" s="0" t="n">
        <f aca="false">IF(OR(C462="",LEFT(C462,2)="//"),0,IFERROR(IF(AND(G462&gt;0,G462=INT(G462),FIND("-",E462)&gt;1,NOT(EXACT(UPPER(LEFT(E462,1)),LOWER(LEFT(E462,1)))),ISNUMBER(VALUE(MID(E462,FIND("-",E462)+1,10)))),1,0),0))</f>
        <v>0</v>
      </c>
      <c r="J462" s="0" t="str">
        <f aca="false">IF(I462=1,TRIM(LEFT(H462,MAX(0,LEN(H462)-LEN(D462)))),"")</f>
        <v/>
      </c>
      <c r="K462" s="0" t="str">
        <f aca="false">INDEX($P$2:$P$21,A462)</f>
        <v>Deck 8</v>
      </c>
      <c r="L462" s="0" t="n">
        <f aca="false">IF(AND(C462&lt;&gt;"",LEFT(C462,2)&lt;&gt;"//",I462=0),1,0)</f>
        <v>0</v>
      </c>
      <c r="M462" s="0" t="str">
        <f aca="false">IF(I462=1,MAX(M$1:M461)+1,"")</f>
        <v/>
      </c>
      <c r="N462" s="0" t="str">
        <f aca="false">IFERROR(MATCH(ROW()-1,$V$2:$V$1201,0),"")</f>
        <v/>
      </c>
      <c r="R462" s="0" t="str">
        <f aca="false">IF(E462="","",IFERROR(LEFT(E462,FIND("-",E462)-1),E462))</f>
        <v/>
      </c>
      <c r="S462" s="0" t="str">
        <f aca="false">IF(R462="","",IF(ISNUMBER(--MID(R462,1,1)),0,IF(ISNUMBER(--MID(R462,2,1)),1,IF(ISNUMBER(--MID(R462,3,1)),2,IF(ISNUMBER(--MID(R462,4,1)),3,MIN(LEN(R462),4))))))</f>
        <v/>
      </c>
      <c r="T462" s="0" t="str">
        <f aca="false">IF(E462="","",LEFT(R462,S462)&amp;REPT("0",4-S462)&amp;RIGHT("000"&amp;IFERROR(VALUE(MID(R462,S462+1,9)),0),3)&amp;RIGHT("0000"&amp;IFERROR(VALUE(MID(E462,FIND("-",E462)+1,9)),0),4))</f>
        <v/>
      </c>
      <c r="U462" s="0" t="str">
        <f aca="false">IF(I462=1,"K"&amp;RIGHT("00"&amp;A462,2)&amp;T462&amp;RIGHT("00000"&amp;ROW(),5),"")</f>
        <v/>
      </c>
      <c r="V462" s="0" t="str">
        <f aca="false">IF(U462="","",COUNTIFS($I$2:$I$1201,1,$U$2:$U$1201,"&lt;"&amp;U462)+1)</f>
        <v/>
      </c>
    </row>
    <row r="463" customFormat="false" ht="15" hidden="false" customHeight="false" outlineLevel="0" collapsed="false">
      <c r="A463" s="0" t="n">
        <v>8</v>
      </c>
      <c r="B463" s="0" t="n">
        <v>42</v>
      </c>
      <c r="C463" s="0" t="str">
        <f aca="false">TRIM(SUBSTITUTE(INDEX(LISTAS!$A$4:$T$63,B463,A463)&amp;"",CHAR(160)," "))</f>
        <v/>
      </c>
      <c r="D463" s="0" t="str">
        <f aca="false">IF(C463="","",TRIM(RIGHT(SUBSTITUTE(C463," ",REPT(" ",100)),100)))</f>
        <v/>
      </c>
      <c r="E463" s="0" t="str">
        <f aca="false">IF(D463="","",UPPER(SUBSTITUTE(SUBSTITUTE(D463,"(",""),")","")))</f>
        <v/>
      </c>
      <c r="F463" s="0" t="str">
        <f aca="false">IF(C463="","",LEFT(C463,FIND(" ",C463&amp;" ")-1))</f>
        <v/>
      </c>
      <c r="G463" s="0" t="n">
        <f aca="false">IFERROR(VALUE(SUBSTITUTE(LOWER(F463),"x","")),0)</f>
        <v>0</v>
      </c>
      <c r="H463" s="0" t="str">
        <f aca="false">IF(C463="","",TRIM(MID(C463,LEN(F463)+2,999)))</f>
        <v/>
      </c>
      <c r="I463" s="0" t="n">
        <f aca="false">IF(OR(C463="",LEFT(C463,2)="//"),0,IFERROR(IF(AND(G463&gt;0,G463=INT(G463),FIND("-",E463)&gt;1,NOT(EXACT(UPPER(LEFT(E463,1)),LOWER(LEFT(E463,1)))),ISNUMBER(VALUE(MID(E463,FIND("-",E463)+1,10)))),1,0),0))</f>
        <v>0</v>
      </c>
      <c r="J463" s="0" t="str">
        <f aca="false">IF(I463=1,TRIM(LEFT(H463,MAX(0,LEN(H463)-LEN(D463)))),"")</f>
        <v/>
      </c>
      <c r="K463" s="0" t="str">
        <f aca="false">INDEX($P$2:$P$21,A463)</f>
        <v>Deck 8</v>
      </c>
      <c r="L463" s="0" t="n">
        <f aca="false">IF(AND(C463&lt;&gt;"",LEFT(C463,2)&lt;&gt;"//",I463=0),1,0)</f>
        <v>0</v>
      </c>
      <c r="M463" s="0" t="str">
        <f aca="false">IF(I463=1,MAX(M$1:M462)+1,"")</f>
        <v/>
      </c>
      <c r="N463" s="0" t="str">
        <f aca="false">IFERROR(MATCH(ROW()-1,$V$2:$V$1201,0),"")</f>
        <v/>
      </c>
      <c r="R463" s="0" t="str">
        <f aca="false">IF(E463="","",IFERROR(LEFT(E463,FIND("-",E463)-1),E463))</f>
        <v/>
      </c>
      <c r="S463" s="0" t="str">
        <f aca="false">IF(R463="","",IF(ISNUMBER(--MID(R463,1,1)),0,IF(ISNUMBER(--MID(R463,2,1)),1,IF(ISNUMBER(--MID(R463,3,1)),2,IF(ISNUMBER(--MID(R463,4,1)),3,MIN(LEN(R463),4))))))</f>
        <v/>
      </c>
      <c r="T463" s="0" t="str">
        <f aca="false">IF(E463="","",LEFT(R463,S463)&amp;REPT("0",4-S463)&amp;RIGHT("000"&amp;IFERROR(VALUE(MID(R463,S463+1,9)),0),3)&amp;RIGHT("0000"&amp;IFERROR(VALUE(MID(E463,FIND("-",E463)+1,9)),0),4))</f>
        <v/>
      </c>
      <c r="U463" s="0" t="str">
        <f aca="false">IF(I463=1,"K"&amp;RIGHT("00"&amp;A463,2)&amp;T463&amp;RIGHT("00000"&amp;ROW(),5),"")</f>
        <v/>
      </c>
      <c r="V463" s="0" t="str">
        <f aca="false">IF(U463="","",COUNTIFS($I$2:$I$1201,1,$U$2:$U$1201,"&lt;"&amp;U463)+1)</f>
        <v/>
      </c>
    </row>
    <row r="464" customFormat="false" ht="15" hidden="false" customHeight="false" outlineLevel="0" collapsed="false">
      <c r="A464" s="0" t="n">
        <v>8</v>
      </c>
      <c r="B464" s="0" t="n">
        <v>43</v>
      </c>
      <c r="C464" s="0" t="str">
        <f aca="false">TRIM(SUBSTITUTE(INDEX(LISTAS!$A$4:$T$63,B464,A464)&amp;"",CHAR(160)," "))</f>
        <v/>
      </c>
      <c r="D464" s="0" t="str">
        <f aca="false">IF(C464="","",TRIM(RIGHT(SUBSTITUTE(C464," ",REPT(" ",100)),100)))</f>
        <v/>
      </c>
      <c r="E464" s="0" t="str">
        <f aca="false">IF(D464="","",UPPER(SUBSTITUTE(SUBSTITUTE(D464,"(",""),")","")))</f>
        <v/>
      </c>
      <c r="F464" s="0" t="str">
        <f aca="false">IF(C464="","",LEFT(C464,FIND(" ",C464&amp;" ")-1))</f>
        <v/>
      </c>
      <c r="G464" s="0" t="n">
        <f aca="false">IFERROR(VALUE(SUBSTITUTE(LOWER(F464),"x","")),0)</f>
        <v>0</v>
      </c>
      <c r="H464" s="0" t="str">
        <f aca="false">IF(C464="","",TRIM(MID(C464,LEN(F464)+2,999)))</f>
        <v/>
      </c>
      <c r="I464" s="0" t="n">
        <f aca="false">IF(OR(C464="",LEFT(C464,2)="//"),0,IFERROR(IF(AND(G464&gt;0,G464=INT(G464),FIND("-",E464)&gt;1,NOT(EXACT(UPPER(LEFT(E464,1)),LOWER(LEFT(E464,1)))),ISNUMBER(VALUE(MID(E464,FIND("-",E464)+1,10)))),1,0),0))</f>
        <v>0</v>
      </c>
      <c r="J464" s="0" t="str">
        <f aca="false">IF(I464=1,TRIM(LEFT(H464,MAX(0,LEN(H464)-LEN(D464)))),"")</f>
        <v/>
      </c>
      <c r="K464" s="0" t="str">
        <f aca="false">INDEX($P$2:$P$21,A464)</f>
        <v>Deck 8</v>
      </c>
      <c r="L464" s="0" t="n">
        <f aca="false">IF(AND(C464&lt;&gt;"",LEFT(C464,2)&lt;&gt;"//",I464=0),1,0)</f>
        <v>0</v>
      </c>
      <c r="M464" s="0" t="str">
        <f aca="false">IF(I464=1,MAX(M$1:M463)+1,"")</f>
        <v/>
      </c>
      <c r="N464" s="0" t="str">
        <f aca="false">IFERROR(MATCH(ROW()-1,$V$2:$V$1201,0),"")</f>
        <v/>
      </c>
      <c r="R464" s="0" t="str">
        <f aca="false">IF(E464="","",IFERROR(LEFT(E464,FIND("-",E464)-1),E464))</f>
        <v/>
      </c>
      <c r="S464" s="0" t="str">
        <f aca="false">IF(R464="","",IF(ISNUMBER(--MID(R464,1,1)),0,IF(ISNUMBER(--MID(R464,2,1)),1,IF(ISNUMBER(--MID(R464,3,1)),2,IF(ISNUMBER(--MID(R464,4,1)),3,MIN(LEN(R464),4))))))</f>
        <v/>
      </c>
      <c r="T464" s="0" t="str">
        <f aca="false">IF(E464="","",LEFT(R464,S464)&amp;REPT("0",4-S464)&amp;RIGHT("000"&amp;IFERROR(VALUE(MID(R464,S464+1,9)),0),3)&amp;RIGHT("0000"&amp;IFERROR(VALUE(MID(E464,FIND("-",E464)+1,9)),0),4))</f>
        <v/>
      </c>
      <c r="U464" s="0" t="str">
        <f aca="false">IF(I464=1,"K"&amp;RIGHT("00"&amp;A464,2)&amp;T464&amp;RIGHT("00000"&amp;ROW(),5),"")</f>
        <v/>
      </c>
      <c r="V464" s="0" t="str">
        <f aca="false">IF(U464="","",COUNTIFS($I$2:$I$1201,1,$U$2:$U$1201,"&lt;"&amp;U464)+1)</f>
        <v/>
      </c>
    </row>
    <row r="465" customFormat="false" ht="15" hidden="false" customHeight="false" outlineLevel="0" collapsed="false">
      <c r="A465" s="0" t="n">
        <v>8</v>
      </c>
      <c r="B465" s="0" t="n">
        <v>44</v>
      </c>
      <c r="C465" s="0" t="str">
        <f aca="false">TRIM(SUBSTITUTE(INDEX(LISTAS!$A$4:$T$63,B465,A465)&amp;"",CHAR(160)," "))</f>
        <v/>
      </c>
      <c r="D465" s="0" t="str">
        <f aca="false">IF(C465="","",TRIM(RIGHT(SUBSTITUTE(C465," ",REPT(" ",100)),100)))</f>
        <v/>
      </c>
      <c r="E465" s="0" t="str">
        <f aca="false">IF(D465="","",UPPER(SUBSTITUTE(SUBSTITUTE(D465,"(",""),")","")))</f>
        <v/>
      </c>
      <c r="F465" s="0" t="str">
        <f aca="false">IF(C465="","",LEFT(C465,FIND(" ",C465&amp;" ")-1))</f>
        <v/>
      </c>
      <c r="G465" s="0" t="n">
        <f aca="false">IFERROR(VALUE(SUBSTITUTE(LOWER(F465),"x","")),0)</f>
        <v>0</v>
      </c>
      <c r="H465" s="0" t="str">
        <f aca="false">IF(C465="","",TRIM(MID(C465,LEN(F465)+2,999)))</f>
        <v/>
      </c>
      <c r="I465" s="0" t="n">
        <f aca="false">IF(OR(C465="",LEFT(C465,2)="//"),0,IFERROR(IF(AND(G465&gt;0,G465=INT(G465),FIND("-",E465)&gt;1,NOT(EXACT(UPPER(LEFT(E465,1)),LOWER(LEFT(E465,1)))),ISNUMBER(VALUE(MID(E465,FIND("-",E465)+1,10)))),1,0),0))</f>
        <v>0</v>
      </c>
      <c r="J465" s="0" t="str">
        <f aca="false">IF(I465=1,TRIM(LEFT(H465,MAX(0,LEN(H465)-LEN(D465)))),"")</f>
        <v/>
      </c>
      <c r="K465" s="0" t="str">
        <f aca="false">INDEX($P$2:$P$21,A465)</f>
        <v>Deck 8</v>
      </c>
      <c r="L465" s="0" t="n">
        <f aca="false">IF(AND(C465&lt;&gt;"",LEFT(C465,2)&lt;&gt;"//",I465=0),1,0)</f>
        <v>0</v>
      </c>
      <c r="M465" s="0" t="str">
        <f aca="false">IF(I465=1,MAX(M$1:M464)+1,"")</f>
        <v/>
      </c>
      <c r="N465" s="0" t="str">
        <f aca="false">IFERROR(MATCH(ROW()-1,$V$2:$V$1201,0),"")</f>
        <v/>
      </c>
      <c r="R465" s="0" t="str">
        <f aca="false">IF(E465="","",IFERROR(LEFT(E465,FIND("-",E465)-1),E465))</f>
        <v/>
      </c>
      <c r="S465" s="0" t="str">
        <f aca="false">IF(R465="","",IF(ISNUMBER(--MID(R465,1,1)),0,IF(ISNUMBER(--MID(R465,2,1)),1,IF(ISNUMBER(--MID(R465,3,1)),2,IF(ISNUMBER(--MID(R465,4,1)),3,MIN(LEN(R465),4))))))</f>
        <v/>
      </c>
      <c r="T465" s="0" t="str">
        <f aca="false">IF(E465="","",LEFT(R465,S465)&amp;REPT("0",4-S465)&amp;RIGHT("000"&amp;IFERROR(VALUE(MID(R465,S465+1,9)),0),3)&amp;RIGHT("0000"&amp;IFERROR(VALUE(MID(E465,FIND("-",E465)+1,9)),0),4))</f>
        <v/>
      </c>
      <c r="U465" s="0" t="str">
        <f aca="false">IF(I465=1,"K"&amp;RIGHT("00"&amp;A465,2)&amp;T465&amp;RIGHT("00000"&amp;ROW(),5),"")</f>
        <v/>
      </c>
      <c r="V465" s="0" t="str">
        <f aca="false">IF(U465="","",COUNTIFS($I$2:$I$1201,1,$U$2:$U$1201,"&lt;"&amp;U465)+1)</f>
        <v/>
      </c>
    </row>
    <row r="466" customFormat="false" ht="15" hidden="false" customHeight="false" outlineLevel="0" collapsed="false">
      <c r="A466" s="0" t="n">
        <v>8</v>
      </c>
      <c r="B466" s="0" t="n">
        <v>45</v>
      </c>
      <c r="C466" s="0" t="str">
        <f aca="false">TRIM(SUBSTITUTE(INDEX(LISTAS!$A$4:$T$63,B466,A466)&amp;"",CHAR(160)," "))</f>
        <v/>
      </c>
      <c r="D466" s="0" t="str">
        <f aca="false">IF(C466="","",TRIM(RIGHT(SUBSTITUTE(C466," ",REPT(" ",100)),100)))</f>
        <v/>
      </c>
      <c r="E466" s="0" t="str">
        <f aca="false">IF(D466="","",UPPER(SUBSTITUTE(SUBSTITUTE(D466,"(",""),")","")))</f>
        <v/>
      </c>
      <c r="F466" s="0" t="str">
        <f aca="false">IF(C466="","",LEFT(C466,FIND(" ",C466&amp;" ")-1))</f>
        <v/>
      </c>
      <c r="G466" s="0" t="n">
        <f aca="false">IFERROR(VALUE(SUBSTITUTE(LOWER(F466),"x","")),0)</f>
        <v>0</v>
      </c>
      <c r="H466" s="0" t="str">
        <f aca="false">IF(C466="","",TRIM(MID(C466,LEN(F466)+2,999)))</f>
        <v/>
      </c>
      <c r="I466" s="0" t="n">
        <f aca="false">IF(OR(C466="",LEFT(C466,2)="//"),0,IFERROR(IF(AND(G466&gt;0,G466=INT(G466),FIND("-",E466)&gt;1,NOT(EXACT(UPPER(LEFT(E466,1)),LOWER(LEFT(E466,1)))),ISNUMBER(VALUE(MID(E466,FIND("-",E466)+1,10)))),1,0),0))</f>
        <v>0</v>
      </c>
      <c r="J466" s="0" t="str">
        <f aca="false">IF(I466=1,TRIM(LEFT(H466,MAX(0,LEN(H466)-LEN(D466)))),"")</f>
        <v/>
      </c>
      <c r="K466" s="0" t="str">
        <f aca="false">INDEX($P$2:$P$21,A466)</f>
        <v>Deck 8</v>
      </c>
      <c r="L466" s="0" t="n">
        <f aca="false">IF(AND(C466&lt;&gt;"",LEFT(C466,2)&lt;&gt;"//",I466=0),1,0)</f>
        <v>0</v>
      </c>
      <c r="M466" s="0" t="str">
        <f aca="false">IF(I466=1,MAX(M$1:M465)+1,"")</f>
        <v/>
      </c>
      <c r="N466" s="0" t="str">
        <f aca="false">IFERROR(MATCH(ROW()-1,$V$2:$V$1201,0),"")</f>
        <v/>
      </c>
      <c r="R466" s="0" t="str">
        <f aca="false">IF(E466="","",IFERROR(LEFT(E466,FIND("-",E466)-1),E466))</f>
        <v/>
      </c>
      <c r="S466" s="0" t="str">
        <f aca="false">IF(R466="","",IF(ISNUMBER(--MID(R466,1,1)),0,IF(ISNUMBER(--MID(R466,2,1)),1,IF(ISNUMBER(--MID(R466,3,1)),2,IF(ISNUMBER(--MID(R466,4,1)),3,MIN(LEN(R466),4))))))</f>
        <v/>
      </c>
      <c r="T466" s="0" t="str">
        <f aca="false">IF(E466="","",LEFT(R466,S466)&amp;REPT("0",4-S466)&amp;RIGHT("000"&amp;IFERROR(VALUE(MID(R466,S466+1,9)),0),3)&amp;RIGHT("0000"&amp;IFERROR(VALUE(MID(E466,FIND("-",E466)+1,9)),0),4))</f>
        <v/>
      </c>
      <c r="U466" s="0" t="str">
        <f aca="false">IF(I466=1,"K"&amp;RIGHT("00"&amp;A466,2)&amp;T466&amp;RIGHT("00000"&amp;ROW(),5),"")</f>
        <v/>
      </c>
      <c r="V466" s="0" t="str">
        <f aca="false">IF(U466="","",COUNTIFS($I$2:$I$1201,1,$U$2:$U$1201,"&lt;"&amp;U466)+1)</f>
        <v/>
      </c>
    </row>
    <row r="467" customFormat="false" ht="15" hidden="false" customHeight="false" outlineLevel="0" collapsed="false">
      <c r="A467" s="0" t="n">
        <v>8</v>
      </c>
      <c r="B467" s="0" t="n">
        <v>46</v>
      </c>
      <c r="C467" s="0" t="str">
        <f aca="false">TRIM(SUBSTITUTE(INDEX(LISTAS!$A$4:$T$63,B467,A467)&amp;"",CHAR(160)," "))</f>
        <v/>
      </c>
      <c r="D467" s="0" t="str">
        <f aca="false">IF(C467="","",TRIM(RIGHT(SUBSTITUTE(C467," ",REPT(" ",100)),100)))</f>
        <v/>
      </c>
      <c r="E467" s="0" t="str">
        <f aca="false">IF(D467="","",UPPER(SUBSTITUTE(SUBSTITUTE(D467,"(",""),")","")))</f>
        <v/>
      </c>
      <c r="F467" s="0" t="str">
        <f aca="false">IF(C467="","",LEFT(C467,FIND(" ",C467&amp;" ")-1))</f>
        <v/>
      </c>
      <c r="G467" s="0" t="n">
        <f aca="false">IFERROR(VALUE(SUBSTITUTE(LOWER(F467),"x","")),0)</f>
        <v>0</v>
      </c>
      <c r="H467" s="0" t="str">
        <f aca="false">IF(C467="","",TRIM(MID(C467,LEN(F467)+2,999)))</f>
        <v/>
      </c>
      <c r="I467" s="0" t="n">
        <f aca="false">IF(OR(C467="",LEFT(C467,2)="//"),0,IFERROR(IF(AND(G467&gt;0,G467=INT(G467),FIND("-",E467)&gt;1,NOT(EXACT(UPPER(LEFT(E467,1)),LOWER(LEFT(E467,1)))),ISNUMBER(VALUE(MID(E467,FIND("-",E467)+1,10)))),1,0),0))</f>
        <v>0</v>
      </c>
      <c r="J467" s="0" t="str">
        <f aca="false">IF(I467=1,TRIM(LEFT(H467,MAX(0,LEN(H467)-LEN(D467)))),"")</f>
        <v/>
      </c>
      <c r="K467" s="0" t="str">
        <f aca="false">INDEX($P$2:$P$21,A467)</f>
        <v>Deck 8</v>
      </c>
      <c r="L467" s="0" t="n">
        <f aca="false">IF(AND(C467&lt;&gt;"",LEFT(C467,2)&lt;&gt;"//",I467=0),1,0)</f>
        <v>0</v>
      </c>
      <c r="M467" s="0" t="str">
        <f aca="false">IF(I467=1,MAX(M$1:M466)+1,"")</f>
        <v/>
      </c>
      <c r="N467" s="0" t="str">
        <f aca="false">IFERROR(MATCH(ROW()-1,$V$2:$V$1201,0),"")</f>
        <v/>
      </c>
      <c r="R467" s="0" t="str">
        <f aca="false">IF(E467="","",IFERROR(LEFT(E467,FIND("-",E467)-1),E467))</f>
        <v/>
      </c>
      <c r="S467" s="0" t="str">
        <f aca="false">IF(R467="","",IF(ISNUMBER(--MID(R467,1,1)),0,IF(ISNUMBER(--MID(R467,2,1)),1,IF(ISNUMBER(--MID(R467,3,1)),2,IF(ISNUMBER(--MID(R467,4,1)),3,MIN(LEN(R467),4))))))</f>
        <v/>
      </c>
      <c r="T467" s="0" t="str">
        <f aca="false">IF(E467="","",LEFT(R467,S467)&amp;REPT("0",4-S467)&amp;RIGHT("000"&amp;IFERROR(VALUE(MID(R467,S467+1,9)),0),3)&amp;RIGHT("0000"&amp;IFERROR(VALUE(MID(E467,FIND("-",E467)+1,9)),0),4))</f>
        <v/>
      </c>
      <c r="U467" s="0" t="str">
        <f aca="false">IF(I467=1,"K"&amp;RIGHT("00"&amp;A467,2)&amp;T467&amp;RIGHT("00000"&amp;ROW(),5),"")</f>
        <v/>
      </c>
      <c r="V467" s="0" t="str">
        <f aca="false">IF(U467="","",COUNTIFS($I$2:$I$1201,1,$U$2:$U$1201,"&lt;"&amp;U467)+1)</f>
        <v/>
      </c>
    </row>
    <row r="468" customFormat="false" ht="15" hidden="false" customHeight="false" outlineLevel="0" collapsed="false">
      <c r="A468" s="0" t="n">
        <v>8</v>
      </c>
      <c r="B468" s="0" t="n">
        <v>47</v>
      </c>
      <c r="C468" s="0" t="str">
        <f aca="false">TRIM(SUBSTITUTE(INDEX(LISTAS!$A$4:$T$63,B468,A468)&amp;"",CHAR(160)," "))</f>
        <v/>
      </c>
      <c r="D468" s="0" t="str">
        <f aca="false">IF(C468="","",TRIM(RIGHT(SUBSTITUTE(C468," ",REPT(" ",100)),100)))</f>
        <v/>
      </c>
      <c r="E468" s="0" t="str">
        <f aca="false">IF(D468="","",UPPER(SUBSTITUTE(SUBSTITUTE(D468,"(",""),")","")))</f>
        <v/>
      </c>
      <c r="F468" s="0" t="str">
        <f aca="false">IF(C468="","",LEFT(C468,FIND(" ",C468&amp;" ")-1))</f>
        <v/>
      </c>
      <c r="G468" s="0" t="n">
        <f aca="false">IFERROR(VALUE(SUBSTITUTE(LOWER(F468),"x","")),0)</f>
        <v>0</v>
      </c>
      <c r="H468" s="0" t="str">
        <f aca="false">IF(C468="","",TRIM(MID(C468,LEN(F468)+2,999)))</f>
        <v/>
      </c>
      <c r="I468" s="0" t="n">
        <f aca="false">IF(OR(C468="",LEFT(C468,2)="//"),0,IFERROR(IF(AND(G468&gt;0,G468=INT(G468),FIND("-",E468)&gt;1,NOT(EXACT(UPPER(LEFT(E468,1)),LOWER(LEFT(E468,1)))),ISNUMBER(VALUE(MID(E468,FIND("-",E468)+1,10)))),1,0),0))</f>
        <v>0</v>
      </c>
      <c r="J468" s="0" t="str">
        <f aca="false">IF(I468=1,TRIM(LEFT(H468,MAX(0,LEN(H468)-LEN(D468)))),"")</f>
        <v/>
      </c>
      <c r="K468" s="0" t="str">
        <f aca="false">INDEX($P$2:$P$21,A468)</f>
        <v>Deck 8</v>
      </c>
      <c r="L468" s="0" t="n">
        <f aca="false">IF(AND(C468&lt;&gt;"",LEFT(C468,2)&lt;&gt;"//",I468=0),1,0)</f>
        <v>0</v>
      </c>
      <c r="M468" s="0" t="str">
        <f aca="false">IF(I468=1,MAX(M$1:M467)+1,"")</f>
        <v/>
      </c>
      <c r="N468" s="0" t="str">
        <f aca="false">IFERROR(MATCH(ROW()-1,$V$2:$V$1201,0),"")</f>
        <v/>
      </c>
      <c r="R468" s="0" t="str">
        <f aca="false">IF(E468="","",IFERROR(LEFT(E468,FIND("-",E468)-1),E468))</f>
        <v/>
      </c>
      <c r="S468" s="0" t="str">
        <f aca="false">IF(R468="","",IF(ISNUMBER(--MID(R468,1,1)),0,IF(ISNUMBER(--MID(R468,2,1)),1,IF(ISNUMBER(--MID(R468,3,1)),2,IF(ISNUMBER(--MID(R468,4,1)),3,MIN(LEN(R468),4))))))</f>
        <v/>
      </c>
      <c r="T468" s="0" t="str">
        <f aca="false">IF(E468="","",LEFT(R468,S468)&amp;REPT("0",4-S468)&amp;RIGHT("000"&amp;IFERROR(VALUE(MID(R468,S468+1,9)),0),3)&amp;RIGHT("0000"&amp;IFERROR(VALUE(MID(E468,FIND("-",E468)+1,9)),0),4))</f>
        <v/>
      </c>
      <c r="U468" s="0" t="str">
        <f aca="false">IF(I468=1,"K"&amp;RIGHT("00"&amp;A468,2)&amp;T468&amp;RIGHT("00000"&amp;ROW(),5),"")</f>
        <v/>
      </c>
      <c r="V468" s="0" t="str">
        <f aca="false">IF(U468="","",COUNTIFS($I$2:$I$1201,1,$U$2:$U$1201,"&lt;"&amp;U468)+1)</f>
        <v/>
      </c>
    </row>
    <row r="469" customFormat="false" ht="15" hidden="false" customHeight="false" outlineLevel="0" collapsed="false">
      <c r="A469" s="0" t="n">
        <v>8</v>
      </c>
      <c r="B469" s="0" t="n">
        <v>48</v>
      </c>
      <c r="C469" s="0" t="str">
        <f aca="false">TRIM(SUBSTITUTE(INDEX(LISTAS!$A$4:$T$63,B469,A469)&amp;"",CHAR(160)," "))</f>
        <v/>
      </c>
      <c r="D469" s="0" t="str">
        <f aca="false">IF(C469="","",TRIM(RIGHT(SUBSTITUTE(C469," ",REPT(" ",100)),100)))</f>
        <v/>
      </c>
      <c r="E469" s="0" t="str">
        <f aca="false">IF(D469="","",UPPER(SUBSTITUTE(SUBSTITUTE(D469,"(",""),")","")))</f>
        <v/>
      </c>
      <c r="F469" s="0" t="str">
        <f aca="false">IF(C469="","",LEFT(C469,FIND(" ",C469&amp;" ")-1))</f>
        <v/>
      </c>
      <c r="G469" s="0" t="n">
        <f aca="false">IFERROR(VALUE(SUBSTITUTE(LOWER(F469),"x","")),0)</f>
        <v>0</v>
      </c>
      <c r="H469" s="0" t="str">
        <f aca="false">IF(C469="","",TRIM(MID(C469,LEN(F469)+2,999)))</f>
        <v/>
      </c>
      <c r="I469" s="0" t="n">
        <f aca="false">IF(OR(C469="",LEFT(C469,2)="//"),0,IFERROR(IF(AND(G469&gt;0,G469=INT(G469),FIND("-",E469)&gt;1,NOT(EXACT(UPPER(LEFT(E469,1)),LOWER(LEFT(E469,1)))),ISNUMBER(VALUE(MID(E469,FIND("-",E469)+1,10)))),1,0),0))</f>
        <v>0</v>
      </c>
      <c r="J469" s="0" t="str">
        <f aca="false">IF(I469=1,TRIM(LEFT(H469,MAX(0,LEN(H469)-LEN(D469)))),"")</f>
        <v/>
      </c>
      <c r="K469" s="0" t="str">
        <f aca="false">INDEX($P$2:$P$21,A469)</f>
        <v>Deck 8</v>
      </c>
      <c r="L469" s="0" t="n">
        <f aca="false">IF(AND(C469&lt;&gt;"",LEFT(C469,2)&lt;&gt;"//",I469=0),1,0)</f>
        <v>0</v>
      </c>
      <c r="M469" s="0" t="str">
        <f aca="false">IF(I469=1,MAX(M$1:M468)+1,"")</f>
        <v/>
      </c>
      <c r="N469" s="0" t="str">
        <f aca="false">IFERROR(MATCH(ROW()-1,$V$2:$V$1201,0),"")</f>
        <v/>
      </c>
      <c r="R469" s="0" t="str">
        <f aca="false">IF(E469="","",IFERROR(LEFT(E469,FIND("-",E469)-1),E469))</f>
        <v/>
      </c>
      <c r="S469" s="0" t="str">
        <f aca="false">IF(R469="","",IF(ISNUMBER(--MID(R469,1,1)),0,IF(ISNUMBER(--MID(R469,2,1)),1,IF(ISNUMBER(--MID(R469,3,1)),2,IF(ISNUMBER(--MID(R469,4,1)),3,MIN(LEN(R469),4))))))</f>
        <v/>
      </c>
      <c r="T469" s="0" t="str">
        <f aca="false">IF(E469="","",LEFT(R469,S469)&amp;REPT("0",4-S469)&amp;RIGHT("000"&amp;IFERROR(VALUE(MID(R469,S469+1,9)),0),3)&amp;RIGHT("0000"&amp;IFERROR(VALUE(MID(E469,FIND("-",E469)+1,9)),0),4))</f>
        <v/>
      </c>
      <c r="U469" s="0" t="str">
        <f aca="false">IF(I469=1,"K"&amp;RIGHT("00"&amp;A469,2)&amp;T469&amp;RIGHT("00000"&amp;ROW(),5),"")</f>
        <v/>
      </c>
      <c r="V469" s="0" t="str">
        <f aca="false">IF(U469="","",COUNTIFS($I$2:$I$1201,1,$U$2:$U$1201,"&lt;"&amp;U469)+1)</f>
        <v/>
      </c>
    </row>
    <row r="470" customFormat="false" ht="15" hidden="false" customHeight="false" outlineLevel="0" collapsed="false">
      <c r="A470" s="0" t="n">
        <v>8</v>
      </c>
      <c r="B470" s="0" t="n">
        <v>49</v>
      </c>
      <c r="C470" s="0" t="str">
        <f aca="false">TRIM(SUBSTITUTE(INDEX(LISTAS!$A$4:$T$63,B470,A470)&amp;"",CHAR(160)," "))</f>
        <v/>
      </c>
      <c r="D470" s="0" t="str">
        <f aca="false">IF(C470="","",TRIM(RIGHT(SUBSTITUTE(C470," ",REPT(" ",100)),100)))</f>
        <v/>
      </c>
      <c r="E470" s="0" t="str">
        <f aca="false">IF(D470="","",UPPER(SUBSTITUTE(SUBSTITUTE(D470,"(",""),")","")))</f>
        <v/>
      </c>
      <c r="F470" s="0" t="str">
        <f aca="false">IF(C470="","",LEFT(C470,FIND(" ",C470&amp;" ")-1))</f>
        <v/>
      </c>
      <c r="G470" s="0" t="n">
        <f aca="false">IFERROR(VALUE(SUBSTITUTE(LOWER(F470),"x","")),0)</f>
        <v>0</v>
      </c>
      <c r="H470" s="0" t="str">
        <f aca="false">IF(C470="","",TRIM(MID(C470,LEN(F470)+2,999)))</f>
        <v/>
      </c>
      <c r="I470" s="0" t="n">
        <f aca="false">IF(OR(C470="",LEFT(C470,2)="//"),0,IFERROR(IF(AND(G470&gt;0,G470=INT(G470),FIND("-",E470)&gt;1,NOT(EXACT(UPPER(LEFT(E470,1)),LOWER(LEFT(E470,1)))),ISNUMBER(VALUE(MID(E470,FIND("-",E470)+1,10)))),1,0),0))</f>
        <v>0</v>
      </c>
      <c r="J470" s="0" t="str">
        <f aca="false">IF(I470=1,TRIM(LEFT(H470,MAX(0,LEN(H470)-LEN(D470)))),"")</f>
        <v/>
      </c>
      <c r="K470" s="0" t="str">
        <f aca="false">INDEX($P$2:$P$21,A470)</f>
        <v>Deck 8</v>
      </c>
      <c r="L470" s="0" t="n">
        <f aca="false">IF(AND(C470&lt;&gt;"",LEFT(C470,2)&lt;&gt;"//",I470=0),1,0)</f>
        <v>0</v>
      </c>
      <c r="M470" s="0" t="str">
        <f aca="false">IF(I470=1,MAX(M$1:M469)+1,"")</f>
        <v/>
      </c>
      <c r="N470" s="0" t="str">
        <f aca="false">IFERROR(MATCH(ROW()-1,$V$2:$V$1201,0),"")</f>
        <v/>
      </c>
      <c r="R470" s="0" t="str">
        <f aca="false">IF(E470="","",IFERROR(LEFT(E470,FIND("-",E470)-1),E470))</f>
        <v/>
      </c>
      <c r="S470" s="0" t="str">
        <f aca="false">IF(R470="","",IF(ISNUMBER(--MID(R470,1,1)),0,IF(ISNUMBER(--MID(R470,2,1)),1,IF(ISNUMBER(--MID(R470,3,1)),2,IF(ISNUMBER(--MID(R470,4,1)),3,MIN(LEN(R470),4))))))</f>
        <v/>
      </c>
      <c r="T470" s="0" t="str">
        <f aca="false">IF(E470="","",LEFT(R470,S470)&amp;REPT("0",4-S470)&amp;RIGHT("000"&amp;IFERROR(VALUE(MID(R470,S470+1,9)),0),3)&amp;RIGHT("0000"&amp;IFERROR(VALUE(MID(E470,FIND("-",E470)+1,9)),0),4))</f>
        <v/>
      </c>
      <c r="U470" s="0" t="str">
        <f aca="false">IF(I470=1,"K"&amp;RIGHT("00"&amp;A470,2)&amp;T470&amp;RIGHT("00000"&amp;ROW(),5),"")</f>
        <v/>
      </c>
      <c r="V470" s="0" t="str">
        <f aca="false">IF(U470="","",COUNTIFS($I$2:$I$1201,1,$U$2:$U$1201,"&lt;"&amp;U470)+1)</f>
        <v/>
      </c>
    </row>
    <row r="471" customFormat="false" ht="15" hidden="false" customHeight="false" outlineLevel="0" collapsed="false">
      <c r="A471" s="0" t="n">
        <v>8</v>
      </c>
      <c r="B471" s="0" t="n">
        <v>50</v>
      </c>
      <c r="C471" s="0" t="str">
        <f aca="false">TRIM(SUBSTITUTE(INDEX(LISTAS!$A$4:$T$63,B471,A471)&amp;"",CHAR(160)," "))</f>
        <v/>
      </c>
      <c r="D471" s="0" t="str">
        <f aca="false">IF(C471="","",TRIM(RIGHT(SUBSTITUTE(C471," ",REPT(" ",100)),100)))</f>
        <v/>
      </c>
      <c r="E471" s="0" t="str">
        <f aca="false">IF(D471="","",UPPER(SUBSTITUTE(SUBSTITUTE(D471,"(",""),")","")))</f>
        <v/>
      </c>
      <c r="F471" s="0" t="str">
        <f aca="false">IF(C471="","",LEFT(C471,FIND(" ",C471&amp;" ")-1))</f>
        <v/>
      </c>
      <c r="G471" s="0" t="n">
        <f aca="false">IFERROR(VALUE(SUBSTITUTE(LOWER(F471),"x","")),0)</f>
        <v>0</v>
      </c>
      <c r="H471" s="0" t="str">
        <f aca="false">IF(C471="","",TRIM(MID(C471,LEN(F471)+2,999)))</f>
        <v/>
      </c>
      <c r="I471" s="0" t="n">
        <f aca="false">IF(OR(C471="",LEFT(C471,2)="//"),0,IFERROR(IF(AND(G471&gt;0,G471=INT(G471),FIND("-",E471)&gt;1,NOT(EXACT(UPPER(LEFT(E471,1)),LOWER(LEFT(E471,1)))),ISNUMBER(VALUE(MID(E471,FIND("-",E471)+1,10)))),1,0),0))</f>
        <v>0</v>
      </c>
      <c r="J471" s="0" t="str">
        <f aca="false">IF(I471=1,TRIM(LEFT(H471,MAX(0,LEN(H471)-LEN(D471)))),"")</f>
        <v/>
      </c>
      <c r="K471" s="0" t="str">
        <f aca="false">INDEX($P$2:$P$21,A471)</f>
        <v>Deck 8</v>
      </c>
      <c r="L471" s="0" t="n">
        <f aca="false">IF(AND(C471&lt;&gt;"",LEFT(C471,2)&lt;&gt;"//",I471=0),1,0)</f>
        <v>0</v>
      </c>
      <c r="M471" s="0" t="str">
        <f aca="false">IF(I471=1,MAX(M$1:M470)+1,"")</f>
        <v/>
      </c>
      <c r="N471" s="0" t="str">
        <f aca="false">IFERROR(MATCH(ROW()-1,$V$2:$V$1201,0),"")</f>
        <v/>
      </c>
      <c r="R471" s="0" t="str">
        <f aca="false">IF(E471="","",IFERROR(LEFT(E471,FIND("-",E471)-1),E471))</f>
        <v/>
      </c>
      <c r="S471" s="0" t="str">
        <f aca="false">IF(R471="","",IF(ISNUMBER(--MID(R471,1,1)),0,IF(ISNUMBER(--MID(R471,2,1)),1,IF(ISNUMBER(--MID(R471,3,1)),2,IF(ISNUMBER(--MID(R471,4,1)),3,MIN(LEN(R471),4))))))</f>
        <v/>
      </c>
      <c r="T471" s="0" t="str">
        <f aca="false">IF(E471="","",LEFT(R471,S471)&amp;REPT("0",4-S471)&amp;RIGHT("000"&amp;IFERROR(VALUE(MID(R471,S471+1,9)),0),3)&amp;RIGHT("0000"&amp;IFERROR(VALUE(MID(E471,FIND("-",E471)+1,9)),0),4))</f>
        <v/>
      </c>
      <c r="U471" s="0" t="str">
        <f aca="false">IF(I471=1,"K"&amp;RIGHT("00"&amp;A471,2)&amp;T471&amp;RIGHT("00000"&amp;ROW(),5),"")</f>
        <v/>
      </c>
      <c r="V471" s="0" t="str">
        <f aca="false">IF(U471="","",COUNTIFS($I$2:$I$1201,1,$U$2:$U$1201,"&lt;"&amp;U471)+1)</f>
        <v/>
      </c>
    </row>
    <row r="472" customFormat="false" ht="15" hidden="false" customHeight="false" outlineLevel="0" collapsed="false">
      <c r="A472" s="0" t="n">
        <v>8</v>
      </c>
      <c r="B472" s="0" t="n">
        <v>51</v>
      </c>
      <c r="C472" s="0" t="str">
        <f aca="false">TRIM(SUBSTITUTE(INDEX(LISTAS!$A$4:$T$63,B472,A472)&amp;"",CHAR(160)," "))</f>
        <v/>
      </c>
      <c r="D472" s="0" t="str">
        <f aca="false">IF(C472="","",TRIM(RIGHT(SUBSTITUTE(C472," ",REPT(" ",100)),100)))</f>
        <v/>
      </c>
      <c r="E472" s="0" t="str">
        <f aca="false">IF(D472="","",UPPER(SUBSTITUTE(SUBSTITUTE(D472,"(",""),")","")))</f>
        <v/>
      </c>
      <c r="F472" s="0" t="str">
        <f aca="false">IF(C472="","",LEFT(C472,FIND(" ",C472&amp;" ")-1))</f>
        <v/>
      </c>
      <c r="G472" s="0" t="n">
        <f aca="false">IFERROR(VALUE(SUBSTITUTE(LOWER(F472),"x","")),0)</f>
        <v>0</v>
      </c>
      <c r="H472" s="0" t="str">
        <f aca="false">IF(C472="","",TRIM(MID(C472,LEN(F472)+2,999)))</f>
        <v/>
      </c>
      <c r="I472" s="0" t="n">
        <f aca="false">IF(OR(C472="",LEFT(C472,2)="//"),0,IFERROR(IF(AND(G472&gt;0,G472=INT(G472),FIND("-",E472)&gt;1,NOT(EXACT(UPPER(LEFT(E472,1)),LOWER(LEFT(E472,1)))),ISNUMBER(VALUE(MID(E472,FIND("-",E472)+1,10)))),1,0),0))</f>
        <v>0</v>
      </c>
      <c r="J472" s="0" t="str">
        <f aca="false">IF(I472=1,TRIM(LEFT(H472,MAX(0,LEN(H472)-LEN(D472)))),"")</f>
        <v/>
      </c>
      <c r="K472" s="0" t="str">
        <f aca="false">INDEX($P$2:$P$21,A472)</f>
        <v>Deck 8</v>
      </c>
      <c r="L472" s="0" t="n">
        <f aca="false">IF(AND(C472&lt;&gt;"",LEFT(C472,2)&lt;&gt;"//",I472=0),1,0)</f>
        <v>0</v>
      </c>
      <c r="M472" s="0" t="str">
        <f aca="false">IF(I472=1,MAX(M$1:M471)+1,"")</f>
        <v/>
      </c>
      <c r="N472" s="0" t="str">
        <f aca="false">IFERROR(MATCH(ROW()-1,$V$2:$V$1201,0),"")</f>
        <v/>
      </c>
      <c r="R472" s="0" t="str">
        <f aca="false">IF(E472="","",IFERROR(LEFT(E472,FIND("-",E472)-1),E472))</f>
        <v/>
      </c>
      <c r="S472" s="0" t="str">
        <f aca="false">IF(R472="","",IF(ISNUMBER(--MID(R472,1,1)),0,IF(ISNUMBER(--MID(R472,2,1)),1,IF(ISNUMBER(--MID(R472,3,1)),2,IF(ISNUMBER(--MID(R472,4,1)),3,MIN(LEN(R472),4))))))</f>
        <v/>
      </c>
      <c r="T472" s="0" t="str">
        <f aca="false">IF(E472="","",LEFT(R472,S472)&amp;REPT("0",4-S472)&amp;RIGHT("000"&amp;IFERROR(VALUE(MID(R472,S472+1,9)),0),3)&amp;RIGHT("0000"&amp;IFERROR(VALUE(MID(E472,FIND("-",E472)+1,9)),0),4))</f>
        <v/>
      </c>
      <c r="U472" s="0" t="str">
        <f aca="false">IF(I472=1,"K"&amp;RIGHT("00"&amp;A472,2)&amp;T472&amp;RIGHT("00000"&amp;ROW(),5),"")</f>
        <v/>
      </c>
      <c r="V472" s="0" t="str">
        <f aca="false">IF(U472="","",COUNTIFS($I$2:$I$1201,1,$U$2:$U$1201,"&lt;"&amp;U472)+1)</f>
        <v/>
      </c>
    </row>
    <row r="473" customFormat="false" ht="15" hidden="false" customHeight="false" outlineLevel="0" collapsed="false">
      <c r="A473" s="0" t="n">
        <v>8</v>
      </c>
      <c r="B473" s="0" t="n">
        <v>52</v>
      </c>
      <c r="C473" s="0" t="str">
        <f aca="false">TRIM(SUBSTITUTE(INDEX(LISTAS!$A$4:$T$63,B473,A473)&amp;"",CHAR(160)," "))</f>
        <v/>
      </c>
      <c r="D473" s="0" t="str">
        <f aca="false">IF(C473="","",TRIM(RIGHT(SUBSTITUTE(C473," ",REPT(" ",100)),100)))</f>
        <v/>
      </c>
      <c r="E473" s="0" t="str">
        <f aca="false">IF(D473="","",UPPER(SUBSTITUTE(SUBSTITUTE(D473,"(",""),")","")))</f>
        <v/>
      </c>
      <c r="F473" s="0" t="str">
        <f aca="false">IF(C473="","",LEFT(C473,FIND(" ",C473&amp;" ")-1))</f>
        <v/>
      </c>
      <c r="G473" s="0" t="n">
        <f aca="false">IFERROR(VALUE(SUBSTITUTE(LOWER(F473),"x","")),0)</f>
        <v>0</v>
      </c>
      <c r="H473" s="0" t="str">
        <f aca="false">IF(C473="","",TRIM(MID(C473,LEN(F473)+2,999)))</f>
        <v/>
      </c>
      <c r="I473" s="0" t="n">
        <f aca="false">IF(OR(C473="",LEFT(C473,2)="//"),0,IFERROR(IF(AND(G473&gt;0,G473=INT(G473),FIND("-",E473)&gt;1,NOT(EXACT(UPPER(LEFT(E473,1)),LOWER(LEFT(E473,1)))),ISNUMBER(VALUE(MID(E473,FIND("-",E473)+1,10)))),1,0),0))</f>
        <v>0</v>
      </c>
      <c r="J473" s="0" t="str">
        <f aca="false">IF(I473=1,TRIM(LEFT(H473,MAX(0,LEN(H473)-LEN(D473)))),"")</f>
        <v/>
      </c>
      <c r="K473" s="0" t="str">
        <f aca="false">INDEX($P$2:$P$21,A473)</f>
        <v>Deck 8</v>
      </c>
      <c r="L473" s="0" t="n">
        <f aca="false">IF(AND(C473&lt;&gt;"",LEFT(C473,2)&lt;&gt;"//",I473=0),1,0)</f>
        <v>0</v>
      </c>
      <c r="M473" s="0" t="str">
        <f aca="false">IF(I473=1,MAX(M$1:M472)+1,"")</f>
        <v/>
      </c>
      <c r="N473" s="0" t="str">
        <f aca="false">IFERROR(MATCH(ROW()-1,$V$2:$V$1201,0),"")</f>
        <v/>
      </c>
      <c r="R473" s="0" t="str">
        <f aca="false">IF(E473="","",IFERROR(LEFT(E473,FIND("-",E473)-1),E473))</f>
        <v/>
      </c>
      <c r="S473" s="0" t="str">
        <f aca="false">IF(R473="","",IF(ISNUMBER(--MID(R473,1,1)),0,IF(ISNUMBER(--MID(R473,2,1)),1,IF(ISNUMBER(--MID(R473,3,1)),2,IF(ISNUMBER(--MID(R473,4,1)),3,MIN(LEN(R473),4))))))</f>
        <v/>
      </c>
      <c r="T473" s="0" t="str">
        <f aca="false">IF(E473="","",LEFT(R473,S473)&amp;REPT("0",4-S473)&amp;RIGHT("000"&amp;IFERROR(VALUE(MID(R473,S473+1,9)),0),3)&amp;RIGHT("0000"&amp;IFERROR(VALUE(MID(E473,FIND("-",E473)+1,9)),0),4))</f>
        <v/>
      </c>
      <c r="U473" s="0" t="str">
        <f aca="false">IF(I473=1,"K"&amp;RIGHT("00"&amp;A473,2)&amp;T473&amp;RIGHT("00000"&amp;ROW(),5),"")</f>
        <v/>
      </c>
      <c r="V473" s="0" t="str">
        <f aca="false">IF(U473="","",COUNTIFS($I$2:$I$1201,1,$U$2:$U$1201,"&lt;"&amp;U473)+1)</f>
        <v/>
      </c>
    </row>
    <row r="474" customFormat="false" ht="15" hidden="false" customHeight="false" outlineLevel="0" collapsed="false">
      <c r="A474" s="0" t="n">
        <v>8</v>
      </c>
      <c r="B474" s="0" t="n">
        <v>53</v>
      </c>
      <c r="C474" s="0" t="str">
        <f aca="false">TRIM(SUBSTITUTE(INDEX(LISTAS!$A$4:$T$63,B474,A474)&amp;"",CHAR(160)," "))</f>
        <v/>
      </c>
      <c r="D474" s="0" t="str">
        <f aca="false">IF(C474="","",TRIM(RIGHT(SUBSTITUTE(C474," ",REPT(" ",100)),100)))</f>
        <v/>
      </c>
      <c r="E474" s="0" t="str">
        <f aca="false">IF(D474="","",UPPER(SUBSTITUTE(SUBSTITUTE(D474,"(",""),")","")))</f>
        <v/>
      </c>
      <c r="F474" s="0" t="str">
        <f aca="false">IF(C474="","",LEFT(C474,FIND(" ",C474&amp;" ")-1))</f>
        <v/>
      </c>
      <c r="G474" s="0" t="n">
        <f aca="false">IFERROR(VALUE(SUBSTITUTE(LOWER(F474),"x","")),0)</f>
        <v>0</v>
      </c>
      <c r="H474" s="0" t="str">
        <f aca="false">IF(C474="","",TRIM(MID(C474,LEN(F474)+2,999)))</f>
        <v/>
      </c>
      <c r="I474" s="0" t="n">
        <f aca="false">IF(OR(C474="",LEFT(C474,2)="//"),0,IFERROR(IF(AND(G474&gt;0,G474=INT(G474),FIND("-",E474)&gt;1,NOT(EXACT(UPPER(LEFT(E474,1)),LOWER(LEFT(E474,1)))),ISNUMBER(VALUE(MID(E474,FIND("-",E474)+1,10)))),1,0),0))</f>
        <v>0</v>
      </c>
      <c r="J474" s="0" t="str">
        <f aca="false">IF(I474=1,TRIM(LEFT(H474,MAX(0,LEN(H474)-LEN(D474)))),"")</f>
        <v/>
      </c>
      <c r="K474" s="0" t="str">
        <f aca="false">INDEX($P$2:$P$21,A474)</f>
        <v>Deck 8</v>
      </c>
      <c r="L474" s="0" t="n">
        <f aca="false">IF(AND(C474&lt;&gt;"",LEFT(C474,2)&lt;&gt;"//",I474=0),1,0)</f>
        <v>0</v>
      </c>
      <c r="M474" s="0" t="str">
        <f aca="false">IF(I474=1,MAX(M$1:M473)+1,"")</f>
        <v/>
      </c>
      <c r="N474" s="0" t="str">
        <f aca="false">IFERROR(MATCH(ROW()-1,$V$2:$V$1201,0),"")</f>
        <v/>
      </c>
      <c r="R474" s="0" t="str">
        <f aca="false">IF(E474="","",IFERROR(LEFT(E474,FIND("-",E474)-1),E474))</f>
        <v/>
      </c>
      <c r="S474" s="0" t="str">
        <f aca="false">IF(R474="","",IF(ISNUMBER(--MID(R474,1,1)),0,IF(ISNUMBER(--MID(R474,2,1)),1,IF(ISNUMBER(--MID(R474,3,1)),2,IF(ISNUMBER(--MID(R474,4,1)),3,MIN(LEN(R474),4))))))</f>
        <v/>
      </c>
      <c r="T474" s="0" t="str">
        <f aca="false">IF(E474="","",LEFT(R474,S474)&amp;REPT("0",4-S474)&amp;RIGHT("000"&amp;IFERROR(VALUE(MID(R474,S474+1,9)),0),3)&amp;RIGHT("0000"&amp;IFERROR(VALUE(MID(E474,FIND("-",E474)+1,9)),0),4))</f>
        <v/>
      </c>
      <c r="U474" s="0" t="str">
        <f aca="false">IF(I474=1,"K"&amp;RIGHT("00"&amp;A474,2)&amp;T474&amp;RIGHT("00000"&amp;ROW(),5),"")</f>
        <v/>
      </c>
      <c r="V474" s="0" t="str">
        <f aca="false">IF(U474="","",COUNTIFS($I$2:$I$1201,1,$U$2:$U$1201,"&lt;"&amp;U474)+1)</f>
        <v/>
      </c>
    </row>
    <row r="475" customFormat="false" ht="15" hidden="false" customHeight="false" outlineLevel="0" collapsed="false">
      <c r="A475" s="0" t="n">
        <v>8</v>
      </c>
      <c r="B475" s="0" t="n">
        <v>54</v>
      </c>
      <c r="C475" s="0" t="str">
        <f aca="false">TRIM(SUBSTITUTE(INDEX(LISTAS!$A$4:$T$63,B475,A475)&amp;"",CHAR(160)," "))</f>
        <v/>
      </c>
      <c r="D475" s="0" t="str">
        <f aca="false">IF(C475="","",TRIM(RIGHT(SUBSTITUTE(C475," ",REPT(" ",100)),100)))</f>
        <v/>
      </c>
      <c r="E475" s="0" t="str">
        <f aca="false">IF(D475="","",UPPER(SUBSTITUTE(SUBSTITUTE(D475,"(",""),")","")))</f>
        <v/>
      </c>
      <c r="F475" s="0" t="str">
        <f aca="false">IF(C475="","",LEFT(C475,FIND(" ",C475&amp;" ")-1))</f>
        <v/>
      </c>
      <c r="G475" s="0" t="n">
        <f aca="false">IFERROR(VALUE(SUBSTITUTE(LOWER(F475),"x","")),0)</f>
        <v>0</v>
      </c>
      <c r="H475" s="0" t="str">
        <f aca="false">IF(C475="","",TRIM(MID(C475,LEN(F475)+2,999)))</f>
        <v/>
      </c>
      <c r="I475" s="0" t="n">
        <f aca="false">IF(OR(C475="",LEFT(C475,2)="//"),0,IFERROR(IF(AND(G475&gt;0,G475=INT(G475),FIND("-",E475)&gt;1,NOT(EXACT(UPPER(LEFT(E475,1)),LOWER(LEFT(E475,1)))),ISNUMBER(VALUE(MID(E475,FIND("-",E475)+1,10)))),1,0),0))</f>
        <v>0</v>
      </c>
      <c r="J475" s="0" t="str">
        <f aca="false">IF(I475=1,TRIM(LEFT(H475,MAX(0,LEN(H475)-LEN(D475)))),"")</f>
        <v/>
      </c>
      <c r="K475" s="0" t="str">
        <f aca="false">INDEX($P$2:$P$21,A475)</f>
        <v>Deck 8</v>
      </c>
      <c r="L475" s="0" t="n">
        <f aca="false">IF(AND(C475&lt;&gt;"",LEFT(C475,2)&lt;&gt;"//",I475=0),1,0)</f>
        <v>0</v>
      </c>
      <c r="M475" s="0" t="str">
        <f aca="false">IF(I475=1,MAX(M$1:M474)+1,"")</f>
        <v/>
      </c>
      <c r="N475" s="0" t="str">
        <f aca="false">IFERROR(MATCH(ROW()-1,$V$2:$V$1201,0),"")</f>
        <v/>
      </c>
      <c r="R475" s="0" t="str">
        <f aca="false">IF(E475="","",IFERROR(LEFT(E475,FIND("-",E475)-1),E475))</f>
        <v/>
      </c>
      <c r="S475" s="0" t="str">
        <f aca="false">IF(R475="","",IF(ISNUMBER(--MID(R475,1,1)),0,IF(ISNUMBER(--MID(R475,2,1)),1,IF(ISNUMBER(--MID(R475,3,1)),2,IF(ISNUMBER(--MID(R475,4,1)),3,MIN(LEN(R475),4))))))</f>
        <v/>
      </c>
      <c r="T475" s="0" t="str">
        <f aca="false">IF(E475="","",LEFT(R475,S475)&amp;REPT("0",4-S475)&amp;RIGHT("000"&amp;IFERROR(VALUE(MID(R475,S475+1,9)),0),3)&amp;RIGHT("0000"&amp;IFERROR(VALUE(MID(E475,FIND("-",E475)+1,9)),0),4))</f>
        <v/>
      </c>
      <c r="U475" s="0" t="str">
        <f aca="false">IF(I475=1,"K"&amp;RIGHT("00"&amp;A475,2)&amp;T475&amp;RIGHT("00000"&amp;ROW(),5),"")</f>
        <v/>
      </c>
      <c r="V475" s="0" t="str">
        <f aca="false">IF(U475="","",COUNTIFS($I$2:$I$1201,1,$U$2:$U$1201,"&lt;"&amp;U475)+1)</f>
        <v/>
      </c>
    </row>
    <row r="476" customFormat="false" ht="15" hidden="false" customHeight="false" outlineLevel="0" collapsed="false">
      <c r="A476" s="0" t="n">
        <v>8</v>
      </c>
      <c r="B476" s="0" t="n">
        <v>55</v>
      </c>
      <c r="C476" s="0" t="str">
        <f aca="false">TRIM(SUBSTITUTE(INDEX(LISTAS!$A$4:$T$63,B476,A476)&amp;"",CHAR(160)," "))</f>
        <v/>
      </c>
      <c r="D476" s="0" t="str">
        <f aca="false">IF(C476="","",TRIM(RIGHT(SUBSTITUTE(C476," ",REPT(" ",100)),100)))</f>
        <v/>
      </c>
      <c r="E476" s="0" t="str">
        <f aca="false">IF(D476="","",UPPER(SUBSTITUTE(SUBSTITUTE(D476,"(",""),")","")))</f>
        <v/>
      </c>
      <c r="F476" s="0" t="str">
        <f aca="false">IF(C476="","",LEFT(C476,FIND(" ",C476&amp;" ")-1))</f>
        <v/>
      </c>
      <c r="G476" s="0" t="n">
        <f aca="false">IFERROR(VALUE(SUBSTITUTE(LOWER(F476),"x","")),0)</f>
        <v>0</v>
      </c>
      <c r="H476" s="0" t="str">
        <f aca="false">IF(C476="","",TRIM(MID(C476,LEN(F476)+2,999)))</f>
        <v/>
      </c>
      <c r="I476" s="0" t="n">
        <f aca="false">IF(OR(C476="",LEFT(C476,2)="//"),0,IFERROR(IF(AND(G476&gt;0,G476=INT(G476),FIND("-",E476)&gt;1,NOT(EXACT(UPPER(LEFT(E476,1)),LOWER(LEFT(E476,1)))),ISNUMBER(VALUE(MID(E476,FIND("-",E476)+1,10)))),1,0),0))</f>
        <v>0</v>
      </c>
      <c r="J476" s="0" t="str">
        <f aca="false">IF(I476=1,TRIM(LEFT(H476,MAX(0,LEN(H476)-LEN(D476)))),"")</f>
        <v/>
      </c>
      <c r="K476" s="0" t="str">
        <f aca="false">INDEX($P$2:$P$21,A476)</f>
        <v>Deck 8</v>
      </c>
      <c r="L476" s="0" t="n">
        <f aca="false">IF(AND(C476&lt;&gt;"",LEFT(C476,2)&lt;&gt;"//",I476=0),1,0)</f>
        <v>0</v>
      </c>
      <c r="M476" s="0" t="str">
        <f aca="false">IF(I476=1,MAX(M$1:M475)+1,"")</f>
        <v/>
      </c>
      <c r="N476" s="0" t="str">
        <f aca="false">IFERROR(MATCH(ROW()-1,$V$2:$V$1201,0),"")</f>
        <v/>
      </c>
      <c r="R476" s="0" t="str">
        <f aca="false">IF(E476="","",IFERROR(LEFT(E476,FIND("-",E476)-1),E476))</f>
        <v/>
      </c>
      <c r="S476" s="0" t="str">
        <f aca="false">IF(R476="","",IF(ISNUMBER(--MID(R476,1,1)),0,IF(ISNUMBER(--MID(R476,2,1)),1,IF(ISNUMBER(--MID(R476,3,1)),2,IF(ISNUMBER(--MID(R476,4,1)),3,MIN(LEN(R476),4))))))</f>
        <v/>
      </c>
      <c r="T476" s="0" t="str">
        <f aca="false">IF(E476="","",LEFT(R476,S476)&amp;REPT("0",4-S476)&amp;RIGHT("000"&amp;IFERROR(VALUE(MID(R476,S476+1,9)),0),3)&amp;RIGHT("0000"&amp;IFERROR(VALUE(MID(E476,FIND("-",E476)+1,9)),0),4))</f>
        <v/>
      </c>
      <c r="U476" s="0" t="str">
        <f aca="false">IF(I476=1,"K"&amp;RIGHT("00"&amp;A476,2)&amp;T476&amp;RIGHT("00000"&amp;ROW(),5),"")</f>
        <v/>
      </c>
      <c r="V476" s="0" t="str">
        <f aca="false">IF(U476="","",COUNTIFS($I$2:$I$1201,1,$U$2:$U$1201,"&lt;"&amp;U476)+1)</f>
        <v/>
      </c>
    </row>
    <row r="477" customFormat="false" ht="15" hidden="false" customHeight="false" outlineLevel="0" collapsed="false">
      <c r="A477" s="0" t="n">
        <v>8</v>
      </c>
      <c r="B477" s="0" t="n">
        <v>56</v>
      </c>
      <c r="C477" s="0" t="str">
        <f aca="false">TRIM(SUBSTITUTE(INDEX(LISTAS!$A$4:$T$63,B477,A477)&amp;"",CHAR(160)," "))</f>
        <v/>
      </c>
      <c r="D477" s="0" t="str">
        <f aca="false">IF(C477="","",TRIM(RIGHT(SUBSTITUTE(C477," ",REPT(" ",100)),100)))</f>
        <v/>
      </c>
      <c r="E477" s="0" t="str">
        <f aca="false">IF(D477="","",UPPER(SUBSTITUTE(SUBSTITUTE(D477,"(",""),")","")))</f>
        <v/>
      </c>
      <c r="F477" s="0" t="str">
        <f aca="false">IF(C477="","",LEFT(C477,FIND(" ",C477&amp;" ")-1))</f>
        <v/>
      </c>
      <c r="G477" s="0" t="n">
        <f aca="false">IFERROR(VALUE(SUBSTITUTE(LOWER(F477),"x","")),0)</f>
        <v>0</v>
      </c>
      <c r="H477" s="0" t="str">
        <f aca="false">IF(C477="","",TRIM(MID(C477,LEN(F477)+2,999)))</f>
        <v/>
      </c>
      <c r="I477" s="0" t="n">
        <f aca="false">IF(OR(C477="",LEFT(C477,2)="//"),0,IFERROR(IF(AND(G477&gt;0,G477=INT(G477),FIND("-",E477)&gt;1,NOT(EXACT(UPPER(LEFT(E477,1)),LOWER(LEFT(E477,1)))),ISNUMBER(VALUE(MID(E477,FIND("-",E477)+1,10)))),1,0),0))</f>
        <v>0</v>
      </c>
      <c r="J477" s="0" t="str">
        <f aca="false">IF(I477=1,TRIM(LEFT(H477,MAX(0,LEN(H477)-LEN(D477)))),"")</f>
        <v/>
      </c>
      <c r="K477" s="0" t="str">
        <f aca="false">INDEX($P$2:$P$21,A477)</f>
        <v>Deck 8</v>
      </c>
      <c r="L477" s="0" t="n">
        <f aca="false">IF(AND(C477&lt;&gt;"",LEFT(C477,2)&lt;&gt;"//",I477=0),1,0)</f>
        <v>0</v>
      </c>
      <c r="M477" s="0" t="str">
        <f aca="false">IF(I477=1,MAX(M$1:M476)+1,"")</f>
        <v/>
      </c>
      <c r="N477" s="0" t="str">
        <f aca="false">IFERROR(MATCH(ROW()-1,$V$2:$V$1201,0),"")</f>
        <v/>
      </c>
      <c r="R477" s="0" t="str">
        <f aca="false">IF(E477="","",IFERROR(LEFT(E477,FIND("-",E477)-1),E477))</f>
        <v/>
      </c>
      <c r="S477" s="0" t="str">
        <f aca="false">IF(R477="","",IF(ISNUMBER(--MID(R477,1,1)),0,IF(ISNUMBER(--MID(R477,2,1)),1,IF(ISNUMBER(--MID(R477,3,1)),2,IF(ISNUMBER(--MID(R477,4,1)),3,MIN(LEN(R477),4))))))</f>
        <v/>
      </c>
      <c r="T477" s="0" t="str">
        <f aca="false">IF(E477="","",LEFT(R477,S477)&amp;REPT("0",4-S477)&amp;RIGHT("000"&amp;IFERROR(VALUE(MID(R477,S477+1,9)),0),3)&amp;RIGHT("0000"&amp;IFERROR(VALUE(MID(E477,FIND("-",E477)+1,9)),0),4))</f>
        <v/>
      </c>
      <c r="U477" s="0" t="str">
        <f aca="false">IF(I477=1,"K"&amp;RIGHT("00"&amp;A477,2)&amp;T477&amp;RIGHT("00000"&amp;ROW(),5),"")</f>
        <v/>
      </c>
      <c r="V477" s="0" t="str">
        <f aca="false">IF(U477="","",COUNTIFS($I$2:$I$1201,1,$U$2:$U$1201,"&lt;"&amp;U477)+1)</f>
        <v/>
      </c>
    </row>
    <row r="478" customFormat="false" ht="15" hidden="false" customHeight="false" outlineLevel="0" collapsed="false">
      <c r="A478" s="0" t="n">
        <v>8</v>
      </c>
      <c r="B478" s="0" t="n">
        <v>57</v>
      </c>
      <c r="C478" s="0" t="str">
        <f aca="false">TRIM(SUBSTITUTE(INDEX(LISTAS!$A$4:$T$63,B478,A478)&amp;"",CHAR(160)," "))</f>
        <v/>
      </c>
      <c r="D478" s="0" t="str">
        <f aca="false">IF(C478="","",TRIM(RIGHT(SUBSTITUTE(C478," ",REPT(" ",100)),100)))</f>
        <v/>
      </c>
      <c r="E478" s="0" t="str">
        <f aca="false">IF(D478="","",UPPER(SUBSTITUTE(SUBSTITUTE(D478,"(",""),")","")))</f>
        <v/>
      </c>
      <c r="F478" s="0" t="str">
        <f aca="false">IF(C478="","",LEFT(C478,FIND(" ",C478&amp;" ")-1))</f>
        <v/>
      </c>
      <c r="G478" s="0" t="n">
        <f aca="false">IFERROR(VALUE(SUBSTITUTE(LOWER(F478),"x","")),0)</f>
        <v>0</v>
      </c>
      <c r="H478" s="0" t="str">
        <f aca="false">IF(C478="","",TRIM(MID(C478,LEN(F478)+2,999)))</f>
        <v/>
      </c>
      <c r="I478" s="0" t="n">
        <f aca="false">IF(OR(C478="",LEFT(C478,2)="//"),0,IFERROR(IF(AND(G478&gt;0,G478=INT(G478),FIND("-",E478)&gt;1,NOT(EXACT(UPPER(LEFT(E478,1)),LOWER(LEFT(E478,1)))),ISNUMBER(VALUE(MID(E478,FIND("-",E478)+1,10)))),1,0),0))</f>
        <v>0</v>
      </c>
      <c r="J478" s="0" t="str">
        <f aca="false">IF(I478=1,TRIM(LEFT(H478,MAX(0,LEN(H478)-LEN(D478)))),"")</f>
        <v/>
      </c>
      <c r="K478" s="0" t="str">
        <f aca="false">INDEX($P$2:$P$21,A478)</f>
        <v>Deck 8</v>
      </c>
      <c r="L478" s="0" t="n">
        <f aca="false">IF(AND(C478&lt;&gt;"",LEFT(C478,2)&lt;&gt;"//",I478=0),1,0)</f>
        <v>0</v>
      </c>
      <c r="M478" s="0" t="str">
        <f aca="false">IF(I478=1,MAX(M$1:M477)+1,"")</f>
        <v/>
      </c>
      <c r="N478" s="0" t="str">
        <f aca="false">IFERROR(MATCH(ROW()-1,$V$2:$V$1201,0),"")</f>
        <v/>
      </c>
      <c r="R478" s="0" t="str">
        <f aca="false">IF(E478="","",IFERROR(LEFT(E478,FIND("-",E478)-1),E478))</f>
        <v/>
      </c>
      <c r="S478" s="0" t="str">
        <f aca="false">IF(R478="","",IF(ISNUMBER(--MID(R478,1,1)),0,IF(ISNUMBER(--MID(R478,2,1)),1,IF(ISNUMBER(--MID(R478,3,1)),2,IF(ISNUMBER(--MID(R478,4,1)),3,MIN(LEN(R478),4))))))</f>
        <v/>
      </c>
      <c r="T478" s="0" t="str">
        <f aca="false">IF(E478="","",LEFT(R478,S478)&amp;REPT("0",4-S478)&amp;RIGHT("000"&amp;IFERROR(VALUE(MID(R478,S478+1,9)),0),3)&amp;RIGHT("0000"&amp;IFERROR(VALUE(MID(E478,FIND("-",E478)+1,9)),0),4))</f>
        <v/>
      </c>
      <c r="U478" s="0" t="str">
        <f aca="false">IF(I478=1,"K"&amp;RIGHT("00"&amp;A478,2)&amp;T478&amp;RIGHT("00000"&amp;ROW(),5),"")</f>
        <v/>
      </c>
      <c r="V478" s="0" t="str">
        <f aca="false">IF(U478="","",COUNTIFS($I$2:$I$1201,1,$U$2:$U$1201,"&lt;"&amp;U478)+1)</f>
        <v/>
      </c>
    </row>
    <row r="479" customFormat="false" ht="15" hidden="false" customHeight="false" outlineLevel="0" collapsed="false">
      <c r="A479" s="0" t="n">
        <v>8</v>
      </c>
      <c r="B479" s="0" t="n">
        <v>58</v>
      </c>
      <c r="C479" s="0" t="str">
        <f aca="false">TRIM(SUBSTITUTE(INDEX(LISTAS!$A$4:$T$63,B479,A479)&amp;"",CHAR(160)," "))</f>
        <v/>
      </c>
      <c r="D479" s="0" t="str">
        <f aca="false">IF(C479="","",TRIM(RIGHT(SUBSTITUTE(C479," ",REPT(" ",100)),100)))</f>
        <v/>
      </c>
      <c r="E479" s="0" t="str">
        <f aca="false">IF(D479="","",UPPER(SUBSTITUTE(SUBSTITUTE(D479,"(",""),")","")))</f>
        <v/>
      </c>
      <c r="F479" s="0" t="str">
        <f aca="false">IF(C479="","",LEFT(C479,FIND(" ",C479&amp;" ")-1))</f>
        <v/>
      </c>
      <c r="G479" s="0" t="n">
        <f aca="false">IFERROR(VALUE(SUBSTITUTE(LOWER(F479),"x","")),0)</f>
        <v>0</v>
      </c>
      <c r="H479" s="0" t="str">
        <f aca="false">IF(C479="","",TRIM(MID(C479,LEN(F479)+2,999)))</f>
        <v/>
      </c>
      <c r="I479" s="0" t="n">
        <f aca="false">IF(OR(C479="",LEFT(C479,2)="//"),0,IFERROR(IF(AND(G479&gt;0,G479=INT(G479),FIND("-",E479)&gt;1,NOT(EXACT(UPPER(LEFT(E479,1)),LOWER(LEFT(E479,1)))),ISNUMBER(VALUE(MID(E479,FIND("-",E479)+1,10)))),1,0),0))</f>
        <v>0</v>
      </c>
      <c r="J479" s="0" t="str">
        <f aca="false">IF(I479=1,TRIM(LEFT(H479,MAX(0,LEN(H479)-LEN(D479)))),"")</f>
        <v/>
      </c>
      <c r="K479" s="0" t="str">
        <f aca="false">INDEX($P$2:$P$21,A479)</f>
        <v>Deck 8</v>
      </c>
      <c r="L479" s="0" t="n">
        <f aca="false">IF(AND(C479&lt;&gt;"",LEFT(C479,2)&lt;&gt;"//",I479=0),1,0)</f>
        <v>0</v>
      </c>
      <c r="M479" s="0" t="str">
        <f aca="false">IF(I479=1,MAX(M$1:M478)+1,"")</f>
        <v/>
      </c>
      <c r="N479" s="0" t="str">
        <f aca="false">IFERROR(MATCH(ROW()-1,$V$2:$V$1201,0),"")</f>
        <v/>
      </c>
      <c r="R479" s="0" t="str">
        <f aca="false">IF(E479="","",IFERROR(LEFT(E479,FIND("-",E479)-1),E479))</f>
        <v/>
      </c>
      <c r="S479" s="0" t="str">
        <f aca="false">IF(R479="","",IF(ISNUMBER(--MID(R479,1,1)),0,IF(ISNUMBER(--MID(R479,2,1)),1,IF(ISNUMBER(--MID(R479,3,1)),2,IF(ISNUMBER(--MID(R479,4,1)),3,MIN(LEN(R479),4))))))</f>
        <v/>
      </c>
      <c r="T479" s="0" t="str">
        <f aca="false">IF(E479="","",LEFT(R479,S479)&amp;REPT("0",4-S479)&amp;RIGHT("000"&amp;IFERROR(VALUE(MID(R479,S479+1,9)),0),3)&amp;RIGHT("0000"&amp;IFERROR(VALUE(MID(E479,FIND("-",E479)+1,9)),0),4))</f>
        <v/>
      </c>
      <c r="U479" s="0" t="str">
        <f aca="false">IF(I479=1,"K"&amp;RIGHT("00"&amp;A479,2)&amp;T479&amp;RIGHT("00000"&amp;ROW(),5),"")</f>
        <v/>
      </c>
      <c r="V479" s="0" t="str">
        <f aca="false">IF(U479="","",COUNTIFS($I$2:$I$1201,1,$U$2:$U$1201,"&lt;"&amp;U479)+1)</f>
        <v/>
      </c>
    </row>
    <row r="480" customFormat="false" ht="15" hidden="false" customHeight="false" outlineLevel="0" collapsed="false">
      <c r="A480" s="0" t="n">
        <v>8</v>
      </c>
      <c r="B480" s="0" t="n">
        <v>59</v>
      </c>
      <c r="C480" s="0" t="str">
        <f aca="false">TRIM(SUBSTITUTE(INDEX(LISTAS!$A$4:$T$63,B480,A480)&amp;"",CHAR(160)," "))</f>
        <v/>
      </c>
      <c r="D480" s="0" t="str">
        <f aca="false">IF(C480="","",TRIM(RIGHT(SUBSTITUTE(C480," ",REPT(" ",100)),100)))</f>
        <v/>
      </c>
      <c r="E480" s="0" t="str">
        <f aca="false">IF(D480="","",UPPER(SUBSTITUTE(SUBSTITUTE(D480,"(",""),")","")))</f>
        <v/>
      </c>
      <c r="F480" s="0" t="str">
        <f aca="false">IF(C480="","",LEFT(C480,FIND(" ",C480&amp;" ")-1))</f>
        <v/>
      </c>
      <c r="G480" s="0" t="n">
        <f aca="false">IFERROR(VALUE(SUBSTITUTE(LOWER(F480),"x","")),0)</f>
        <v>0</v>
      </c>
      <c r="H480" s="0" t="str">
        <f aca="false">IF(C480="","",TRIM(MID(C480,LEN(F480)+2,999)))</f>
        <v/>
      </c>
      <c r="I480" s="0" t="n">
        <f aca="false">IF(OR(C480="",LEFT(C480,2)="//"),0,IFERROR(IF(AND(G480&gt;0,G480=INT(G480),FIND("-",E480)&gt;1,NOT(EXACT(UPPER(LEFT(E480,1)),LOWER(LEFT(E480,1)))),ISNUMBER(VALUE(MID(E480,FIND("-",E480)+1,10)))),1,0),0))</f>
        <v>0</v>
      </c>
      <c r="J480" s="0" t="str">
        <f aca="false">IF(I480=1,TRIM(LEFT(H480,MAX(0,LEN(H480)-LEN(D480)))),"")</f>
        <v/>
      </c>
      <c r="K480" s="0" t="str">
        <f aca="false">INDEX($P$2:$P$21,A480)</f>
        <v>Deck 8</v>
      </c>
      <c r="L480" s="0" t="n">
        <f aca="false">IF(AND(C480&lt;&gt;"",LEFT(C480,2)&lt;&gt;"//",I480=0),1,0)</f>
        <v>0</v>
      </c>
      <c r="M480" s="0" t="str">
        <f aca="false">IF(I480=1,MAX(M$1:M479)+1,"")</f>
        <v/>
      </c>
      <c r="N480" s="0" t="str">
        <f aca="false">IFERROR(MATCH(ROW()-1,$V$2:$V$1201,0),"")</f>
        <v/>
      </c>
      <c r="R480" s="0" t="str">
        <f aca="false">IF(E480="","",IFERROR(LEFT(E480,FIND("-",E480)-1),E480))</f>
        <v/>
      </c>
      <c r="S480" s="0" t="str">
        <f aca="false">IF(R480="","",IF(ISNUMBER(--MID(R480,1,1)),0,IF(ISNUMBER(--MID(R480,2,1)),1,IF(ISNUMBER(--MID(R480,3,1)),2,IF(ISNUMBER(--MID(R480,4,1)),3,MIN(LEN(R480),4))))))</f>
        <v/>
      </c>
      <c r="T480" s="0" t="str">
        <f aca="false">IF(E480="","",LEFT(R480,S480)&amp;REPT("0",4-S480)&amp;RIGHT("000"&amp;IFERROR(VALUE(MID(R480,S480+1,9)),0),3)&amp;RIGHT("0000"&amp;IFERROR(VALUE(MID(E480,FIND("-",E480)+1,9)),0),4))</f>
        <v/>
      </c>
      <c r="U480" s="0" t="str">
        <f aca="false">IF(I480=1,"K"&amp;RIGHT("00"&amp;A480,2)&amp;T480&amp;RIGHT("00000"&amp;ROW(),5),"")</f>
        <v/>
      </c>
      <c r="V480" s="0" t="str">
        <f aca="false">IF(U480="","",COUNTIFS($I$2:$I$1201,1,$U$2:$U$1201,"&lt;"&amp;U480)+1)</f>
        <v/>
      </c>
    </row>
    <row r="481" customFormat="false" ht="15" hidden="false" customHeight="false" outlineLevel="0" collapsed="false">
      <c r="A481" s="0" t="n">
        <v>8</v>
      </c>
      <c r="B481" s="0" t="n">
        <v>60</v>
      </c>
      <c r="C481" s="0" t="str">
        <f aca="false">TRIM(SUBSTITUTE(INDEX(LISTAS!$A$4:$T$63,B481,A481)&amp;"",CHAR(160)," "))</f>
        <v/>
      </c>
      <c r="D481" s="0" t="str">
        <f aca="false">IF(C481="","",TRIM(RIGHT(SUBSTITUTE(C481," ",REPT(" ",100)),100)))</f>
        <v/>
      </c>
      <c r="E481" s="0" t="str">
        <f aca="false">IF(D481="","",UPPER(SUBSTITUTE(SUBSTITUTE(D481,"(",""),")","")))</f>
        <v/>
      </c>
      <c r="F481" s="0" t="str">
        <f aca="false">IF(C481="","",LEFT(C481,FIND(" ",C481&amp;" ")-1))</f>
        <v/>
      </c>
      <c r="G481" s="0" t="n">
        <f aca="false">IFERROR(VALUE(SUBSTITUTE(LOWER(F481),"x","")),0)</f>
        <v>0</v>
      </c>
      <c r="H481" s="0" t="str">
        <f aca="false">IF(C481="","",TRIM(MID(C481,LEN(F481)+2,999)))</f>
        <v/>
      </c>
      <c r="I481" s="0" t="n">
        <f aca="false">IF(OR(C481="",LEFT(C481,2)="//"),0,IFERROR(IF(AND(G481&gt;0,G481=INT(G481),FIND("-",E481)&gt;1,NOT(EXACT(UPPER(LEFT(E481,1)),LOWER(LEFT(E481,1)))),ISNUMBER(VALUE(MID(E481,FIND("-",E481)+1,10)))),1,0),0))</f>
        <v>0</v>
      </c>
      <c r="J481" s="0" t="str">
        <f aca="false">IF(I481=1,TRIM(LEFT(H481,MAX(0,LEN(H481)-LEN(D481)))),"")</f>
        <v/>
      </c>
      <c r="K481" s="0" t="str">
        <f aca="false">INDEX($P$2:$P$21,A481)</f>
        <v>Deck 8</v>
      </c>
      <c r="L481" s="0" t="n">
        <f aca="false">IF(AND(C481&lt;&gt;"",LEFT(C481,2)&lt;&gt;"//",I481=0),1,0)</f>
        <v>0</v>
      </c>
      <c r="M481" s="0" t="str">
        <f aca="false">IF(I481=1,MAX(M$1:M480)+1,"")</f>
        <v/>
      </c>
      <c r="N481" s="0" t="str">
        <f aca="false">IFERROR(MATCH(ROW()-1,$V$2:$V$1201,0),"")</f>
        <v/>
      </c>
      <c r="R481" s="0" t="str">
        <f aca="false">IF(E481="","",IFERROR(LEFT(E481,FIND("-",E481)-1),E481))</f>
        <v/>
      </c>
      <c r="S481" s="0" t="str">
        <f aca="false">IF(R481="","",IF(ISNUMBER(--MID(R481,1,1)),0,IF(ISNUMBER(--MID(R481,2,1)),1,IF(ISNUMBER(--MID(R481,3,1)),2,IF(ISNUMBER(--MID(R481,4,1)),3,MIN(LEN(R481),4))))))</f>
        <v/>
      </c>
      <c r="T481" s="0" t="str">
        <f aca="false">IF(E481="","",LEFT(R481,S481)&amp;REPT("0",4-S481)&amp;RIGHT("000"&amp;IFERROR(VALUE(MID(R481,S481+1,9)),0),3)&amp;RIGHT("0000"&amp;IFERROR(VALUE(MID(E481,FIND("-",E481)+1,9)),0),4))</f>
        <v/>
      </c>
      <c r="U481" s="0" t="str">
        <f aca="false">IF(I481=1,"K"&amp;RIGHT("00"&amp;A481,2)&amp;T481&amp;RIGHT("00000"&amp;ROW(),5),"")</f>
        <v/>
      </c>
      <c r="V481" s="0" t="str">
        <f aca="false">IF(U481="","",COUNTIFS($I$2:$I$1201,1,$U$2:$U$1201,"&lt;"&amp;U481)+1)</f>
        <v/>
      </c>
    </row>
    <row r="482" customFormat="false" ht="15" hidden="false" customHeight="false" outlineLevel="0" collapsed="false">
      <c r="A482" s="0" t="n">
        <v>9</v>
      </c>
      <c r="B482" s="0" t="n">
        <v>1</v>
      </c>
      <c r="C482" s="0" t="str">
        <f aca="false">TRIM(SUBSTITUTE(INDEX(LISTAS!$A$4:$T$63,B482,A482)&amp;"",CHAR(160)," "))</f>
        <v/>
      </c>
      <c r="D482" s="0" t="str">
        <f aca="false">IF(C482="","",TRIM(RIGHT(SUBSTITUTE(C482," ",REPT(" ",100)),100)))</f>
        <v/>
      </c>
      <c r="E482" s="0" t="str">
        <f aca="false">IF(D482="","",UPPER(SUBSTITUTE(SUBSTITUTE(D482,"(",""),")","")))</f>
        <v/>
      </c>
      <c r="F482" s="0" t="str">
        <f aca="false">IF(C482="","",LEFT(C482,FIND(" ",C482&amp;" ")-1))</f>
        <v/>
      </c>
      <c r="G482" s="0" t="n">
        <f aca="false">IFERROR(VALUE(SUBSTITUTE(LOWER(F482),"x","")),0)</f>
        <v>0</v>
      </c>
      <c r="H482" s="0" t="str">
        <f aca="false">IF(C482="","",TRIM(MID(C482,LEN(F482)+2,999)))</f>
        <v/>
      </c>
      <c r="I482" s="0" t="n">
        <f aca="false">IF(OR(C482="",LEFT(C482,2)="//"),0,IFERROR(IF(AND(G482&gt;0,G482=INT(G482),FIND("-",E482)&gt;1,NOT(EXACT(UPPER(LEFT(E482,1)),LOWER(LEFT(E482,1)))),ISNUMBER(VALUE(MID(E482,FIND("-",E482)+1,10)))),1,0),0))</f>
        <v>0</v>
      </c>
      <c r="J482" s="0" t="str">
        <f aca="false">IF(I482=1,TRIM(LEFT(H482,MAX(0,LEN(H482)-LEN(D482)))),"")</f>
        <v/>
      </c>
      <c r="K482" s="0" t="str">
        <f aca="false">INDEX($P$2:$P$21,A482)</f>
        <v>Deck 9</v>
      </c>
      <c r="L482" s="0" t="n">
        <f aca="false">IF(AND(C482&lt;&gt;"",LEFT(C482,2)&lt;&gt;"//",I482=0),1,0)</f>
        <v>0</v>
      </c>
      <c r="M482" s="0" t="str">
        <f aca="false">IF(I482=1,MAX(M$1:M481)+1,"")</f>
        <v/>
      </c>
      <c r="N482" s="0" t="str">
        <f aca="false">IFERROR(MATCH(ROW()-1,$V$2:$V$1201,0),"")</f>
        <v/>
      </c>
      <c r="R482" s="0" t="str">
        <f aca="false">IF(E482="","",IFERROR(LEFT(E482,FIND("-",E482)-1),E482))</f>
        <v/>
      </c>
      <c r="S482" s="0" t="str">
        <f aca="false">IF(R482="","",IF(ISNUMBER(--MID(R482,1,1)),0,IF(ISNUMBER(--MID(R482,2,1)),1,IF(ISNUMBER(--MID(R482,3,1)),2,IF(ISNUMBER(--MID(R482,4,1)),3,MIN(LEN(R482),4))))))</f>
        <v/>
      </c>
      <c r="T482" s="0" t="str">
        <f aca="false">IF(E482="","",LEFT(R482,S482)&amp;REPT("0",4-S482)&amp;RIGHT("000"&amp;IFERROR(VALUE(MID(R482,S482+1,9)),0),3)&amp;RIGHT("0000"&amp;IFERROR(VALUE(MID(E482,FIND("-",E482)+1,9)),0),4))</f>
        <v/>
      </c>
      <c r="U482" s="0" t="str">
        <f aca="false">IF(I482=1,"K"&amp;RIGHT("00"&amp;A482,2)&amp;T482&amp;RIGHT("00000"&amp;ROW(),5),"")</f>
        <v/>
      </c>
      <c r="V482" s="0" t="str">
        <f aca="false">IF(U482="","",COUNTIFS($I$2:$I$1201,1,$U$2:$U$1201,"&lt;"&amp;U482)+1)</f>
        <v/>
      </c>
    </row>
    <row r="483" customFormat="false" ht="15" hidden="false" customHeight="false" outlineLevel="0" collapsed="false">
      <c r="A483" s="0" t="n">
        <v>9</v>
      </c>
      <c r="B483" s="0" t="n">
        <v>2</v>
      </c>
      <c r="C483" s="0" t="str">
        <f aca="false">TRIM(SUBSTITUTE(INDEX(LISTAS!$A$4:$T$63,B483,A483)&amp;"",CHAR(160)," "))</f>
        <v/>
      </c>
      <c r="D483" s="0" t="str">
        <f aca="false">IF(C483="","",TRIM(RIGHT(SUBSTITUTE(C483," ",REPT(" ",100)),100)))</f>
        <v/>
      </c>
      <c r="E483" s="0" t="str">
        <f aca="false">IF(D483="","",UPPER(SUBSTITUTE(SUBSTITUTE(D483,"(",""),")","")))</f>
        <v/>
      </c>
      <c r="F483" s="0" t="str">
        <f aca="false">IF(C483="","",LEFT(C483,FIND(" ",C483&amp;" ")-1))</f>
        <v/>
      </c>
      <c r="G483" s="0" t="n">
        <f aca="false">IFERROR(VALUE(SUBSTITUTE(LOWER(F483),"x","")),0)</f>
        <v>0</v>
      </c>
      <c r="H483" s="0" t="str">
        <f aca="false">IF(C483="","",TRIM(MID(C483,LEN(F483)+2,999)))</f>
        <v/>
      </c>
      <c r="I483" s="0" t="n">
        <f aca="false">IF(OR(C483="",LEFT(C483,2)="//"),0,IFERROR(IF(AND(G483&gt;0,G483=INT(G483),FIND("-",E483)&gt;1,NOT(EXACT(UPPER(LEFT(E483,1)),LOWER(LEFT(E483,1)))),ISNUMBER(VALUE(MID(E483,FIND("-",E483)+1,10)))),1,0),0))</f>
        <v>0</v>
      </c>
      <c r="J483" s="0" t="str">
        <f aca="false">IF(I483=1,TRIM(LEFT(H483,MAX(0,LEN(H483)-LEN(D483)))),"")</f>
        <v/>
      </c>
      <c r="K483" s="0" t="str">
        <f aca="false">INDEX($P$2:$P$21,A483)</f>
        <v>Deck 9</v>
      </c>
      <c r="L483" s="0" t="n">
        <f aca="false">IF(AND(C483&lt;&gt;"",LEFT(C483,2)&lt;&gt;"//",I483=0),1,0)</f>
        <v>0</v>
      </c>
      <c r="M483" s="0" t="str">
        <f aca="false">IF(I483=1,MAX(M$1:M482)+1,"")</f>
        <v/>
      </c>
      <c r="N483" s="0" t="str">
        <f aca="false">IFERROR(MATCH(ROW()-1,$V$2:$V$1201,0),"")</f>
        <v/>
      </c>
      <c r="R483" s="0" t="str">
        <f aca="false">IF(E483="","",IFERROR(LEFT(E483,FIND("-",E483)-1),E483))</f>
        <v/>
      </c>
      <c r="S483" s="0" t="str">
        <f aca="false">IF(R483="","",IF(ISNUMBER(--MID(R483,1,1)),0,IF(ISNUMBER(--MID(R483,2,1)),1,IF(ISNUMBER(--MID(R483,3,1)),2,IF(ISNUMBER(--MID(R483,4,1)),3,MIN(LEN(R483),4))))))</f>
        <v/>
      </c>
      <c r="T483" s="0" t="str">
        <f aca="false">IF(E483="","",LEFT(R483,S483)&amp;REPT("0",4-S483)&amp;RIGHT("000"&amp;IFERROR(VALUE(MID(R483,S483+1,9)),0),3)&amp;RIGHT("0000"&amp;IFERROR(VALUE(MID(E483,FIND("-",E483)+1,9)),0),4))</f>
        <v/>
      </c>
      <c r="U483" s="0" t="str">
        <f aca="false">IF(I483=1,"K"&amp;RIGHT("00"&amp;A483,2)&amp;T483&amp;RIGHT("00000"&amp;ROW(),5),"")</f>
        <v/>
      </c>
      <c r="V483" s="0" t="str">
        <f aca="false">IF(U483="","",COUNTIFS($I$2:$I$1201,1,$U$2:$U$1201,"&lt;"&amp;U483)+1)</f>
        <v/>
      </c>
    </row>
    <row r="484" customFormat="false" ht="15" hidden="false" customHeight="false" outlineLevel="0" collapsed="false">
      <c r="A484" s="0" t="n">
        <v>9</v>
      </c>
      <c r="B484" s="0" t="n">
        <v>3</v>
      </c>
      <c r="C484" s="0" t="str">
        <f aca="false">TRIM(SUBSTITUTE(INDEX(LISTAS!$A$4:$T$63,B484,A484)&amp;"",CHAR(160)," "))</f>
        <v/>
      </c>
      <c r="D484" s="0" t="str">
        <f aca="false">IF(C484="","",TRIM(RIGHT(SUBSTITUTE(C484," ",REPT(" ",100)),100)))</f>
        <v/>
      </c>
      <c r="E484" s="0" t="str">
        <f aca="false">IF(D484="","",UPPER(SUBSTITUTE(SUBSTITUTE(D484,"(",""),")","")))</f>
        <v/>
      </c>
      <c r="F484" s="0" t="str">
        <f aca="false">IF(C484="","",LEFT(C484,FIND(" ",C484&amp;" ")-1))</f>
        <v/>
      </c>
      <c r="G484" s="0" t="n">
        <f aca="false">IFERROR(VALUE(SUBSTITUTE(LOWER(F484),"x","")),0)</f>
        <v>0</v>
      </c>
      <c r="H484" s="0" t="str">
        <f aca="false">IF(C484="","",TRIM(MID(C484,LEN(F484)+2,999)))</f>
        <v/>
      </c>
      <c r="I484" s="0" t="n">
        <f aca="false">IF(OR(C484="",LEFT(C484,2)="//"),0,IFERROR(IF(AND(G484&gt;0,G484=INT(G484),FIND("-",E484)&gt;1,NOT(EXACT(UPPER(LEFT(E484,1)),LOWER(LEFT(E484,1)))),ISNUMBER(VALUE(MID(E484,FIND("-",E484)+1,10)))),1,0),0))</f>
        <v>0</v>
      </c>
      <c r="J484" s="0" t="str">
        <f aca="false">IF(I484=1,TRIM(LEFT(H484,MAX(0,LEN(H484)-LEN(D484)))),"")</f>
        <v/>
      </c>
      <c r="K484" s="0" t="str">
        <f aca="false">INDEX($P$2:$P$21,A484)</f>
        <v>Deck 9</v>
      </c>
      <c r="L484" s="0" t="n">
        <f aca="false">IF(AND(C484&lt;&gt;"",LEFT(C484,2)&lt;&gt;"//",I484=0),1,0)</f>
        <v>0</v>
      </c>
      <c r="M484" s="0" t="str">
        <f aca="false">IF(I484=1,MAX(M$1:M483)+1,"")</f>
        <v/>
      </c>
      <c r="N484" s="0" t="str">
        <f aca="false">IFERROR(MATCH(ROW()-1,$V$2:$V$1201,0),"")</f>
        <v/>
      </c>
      <c r="R484" s="0" t="str">
        <f aca="false">IF(E484="","",IFERROR(LEFT(E484,FIND("-",E484)-1),E484))</f>
        <v/>
      </c>
      <c r="S484" s="0" t="str">
        <f aca="false">IF(R484="","",IF(ISNUMBER(--MID(R484,1,1)),0,IF(ISNUMBER(--MID(R484,2,1)),1,IF(ISNUMBER(--MID(R484,3,1)),2,IF(ISNUMBER(--MID(R484,4,1)),3,MIN(LEN(R484),4))))))</f>
        <v/>
      </c>
      <c r="T484" s="0" t="str">
        <f aca="false">IF(E484="","",LEFT(R484,S484)&amp;REPT("0",4-S484)&amp;RIGHT("000"&amp;IFERROR(VALUE(MID(R484,S484+1,9)),0),3)&amp;RIGHT("0000"&amp;IFERROR(VALUE(MID(E484,FIND("-",E484)+1,9)),0),4))</f>
        <v/>
      </c>
      <c r="U484" s="0" t="str">
        <f aca="false">IF(I484=1,"K"&amp;RIGHT("00"&amp;A484,2)&amp;T484&amp;RIGHT("00000"&amp;ROW(),5),"")</f>
        <v/>
      </c>
      <c r="V484" s="0" t="str">
        <f aca="false">IF(U484="","",COUNTIFS($I$2:$I$1201,1,$U$2:$U$1201,"&lt;"&amp;U484)+1)</f>
        <v/>
      </c>
    </row>
    <row r="485" customFormat="false" ht="15" hidden="false" customHeight="false" outlineLevel="0" collapsed="false">
      <c r="A485" s="0" t="n">
        <v>9</v>
      </c>
      <c r="B485" s="0" t="n">
        <v>4</v>
      </c>
      <c r="C485" s="0" t="str">
        <f aca="false">TRIM(SUBSTITUTE(INDEX(LISTAS!$A$4:$T$63,B485,A485)&amp;"",CHAR(160)," "))</f>
        <v/>
      </c>
      <c r="D485" s="0" t="str">
        <f aca="false">IF(C485="","",TRIM(RIGHT(SUBSTITUTE(C485," ",REPT(" ",100)),100)))</f>
        <v/>
      </c>
      <c r="E485" s="0" t="str">
        <f aca="false">IF(D485="","",UPPER(SUBSTITUTE(SUBSTITUTE(D485,"(",""),")","")))</f>
        <v/>
      </c>
      <c r="F485" s="0" t="str">
        <f aca="false">IF(C485="","",LEFT(C485,FIND(" ",C485&amp;" ")-1))</f>
        <v/>
      </c>
      <c r="G485" s="0" t="n">
        <f aca="false">IFERROR(VALUE(SUBSTITUTE(LOWER(F485),"x","")),0)</f>
        <v>0</v>
      </c>
      <c r="H485" s="0" t="str">
        <f aca="false">IF(C485="","",TRIM(MID(C485,LEN(F485)+2,999)))</f>
        <v/>
      </c>
      <c r="I485" s="0" t="n">
        <f aca="false">IF(OR(C485="",LEFT(C485,2)="//"),0,IFERROR(IF(AND(G485&gt;0,G485=INT(G485),FIND("-",E485)&gt;1,NOT(EXACT(UPPER(LEFT(E485,1)),LOWER(LEFT(E485,1)))),ISNUMBER(VALUE(MID(E485,FIND("-",E485)+1,10)))),1,0),0))</f>
        <v>0</v>
      </c>
      <c r="J485" s="0" t="str">
        <f aca="false">IF(I485=1,TRIM(LEFT(H485,MAX(0,LEN(H485)-LEN(D485)))),"")</f>
        <v/>
      </c>
      <c r="K485" s="0" t="str">
        <f aca="false">INDEX($P$2:$P$21,A485)</f>
        <v>Deck 9</v>
      </c>
      <c r="L485" s="0" t="n">
        <f aca="false">IF(AND(C485&lt;&gt;"",LEFT(C485,2)&lt;&gt;"//",I485=0),1,0)</f>
        <v>0</v>
      </c>
      <c r="M485" s="0" t="str">
        <f aca="false">IF(I485=1,MAX(M$1:M484)+1,"")</f>
        <v/>
      </c>
      <c r="N485" s="0" t="str">
        <f aca="false">IFERROR(MATCH(ROW()-1,$V$2:$V$1201,0),"")</f>
        <v/>
      </c>
      <c r="R485" s="0" t="str">
        <f aca="false">IF(E485="","",IFERROR(LEFT(E485,FIND("-",E485)-1),E485))</f>
        <v/>
      </c>
      <c r="S485" s="0" t="str">
        <f aca="false">IF(R485="","",IF(ISNUMBER(--MID(R485,1,1)),0,IF(ISNUMBER(--MID(R485,2,1)),1,IF(ISNUMBER(--MID(R485,3,1)),2,IF(ISNUMBER(--MID(R485,4,1)),3,MIN(LEN(R485),4))))))</f>
        <v/>
      </c>
      <c r="T485" s="0" t="str">
        <f aca="false">IF(E485="","",LEFT(R485,S485)&amp;REPT("0",4-S485)&amp;RIGHT("000"&amp;IFERROR(VALUE(MID(R485,S485+1,9)),0),3)&amp;RIGHT("0000"&amp;IFERROR(VALUE(MID(E485,FIND("-",E485)+1,9)),0),4))</f>
        <v/>
      </c>
      <c r="U485" s="0" t="str">
        <f aca="false">IF(I485=1,"K"&amp;RIGHT("00"&amp;A485,2)&amp;T485&amp;RIGHT("00000"&amp;ROW(),5),"")</f>
        <v/>
      </c>
      <c r="V485" s="0" t="str">
        <f aca="false">IF(U485="","",COUNTIFS($I$2:$I$1201,1,$U$2:$U$1201,"&lt;"&amp;U485)+1)</f>
        <v/>
      </c>
    </row>
    <row r="486" customFormat="false" ht="15" hidden="false" customHeight="false" outlineLevel="0" collapsed="false">
      <c r="A486" s="0" t="n">
        <v>9</v>
      </c>
      <c r="B486" s="0" t="n">
        <v>5</v>
      </c>
      <c r="C486" s="0" t="str">
        <f aca="false">TRIM(SUBSTITUTE(INDEX(LISTAS!$A$4:$T$63,B486,A486)&amp;"",CHAR(160)," "))</f>
        <v/>
      </c>
      <c r="D486" s="0" t="str">
        <f aca="false">IF(C486="","",TRIM(RIGHT(SUBSTITUTE(C486," ",REPT(" ",100)),100)))</f>
        <v/>
      </c>
      <c r="E486" s="0" t="str">
        <f aca="false">IF(D486="","",UPPER(SUBSTITUTE(SUBSTITUTE(D486,"(",""),")","")))</f>
        <v/>
      </c>
      <c r="F486" s="0" t="str">
        <f aca="false">IF(C486="","",LEFT(C486,FIND(" ",C486&amp;" ")-1))</f>
        <v/>
      </c>
      <c r="G486" s="0" t="n">
        <f aca="false">IFERROR(VALUE(SUBSTITUTE(LOWER(F486),"x","")),0)</f>
        <v>0</v>
      </c>
      <c r="H486" s="0" t="str">
        <f aca="false">IF(C486="","",TRIM(MID(C486,LEN(F486)+2,999)))</f>
        <v/>
      </c>
      <c r="I486" s="0" t="n">
        <f aca="false">IF(OR(C486="",LEFT(C486,2)="//"),0,IFERROR(IF(AND(G486&gt;0,G486=INT(G486),FIND("-",E486)&gt;1,NOT(EXACT(UPPER(LEFT(E486,1)),LOWER(LEFT(E486,1)))),ISNUMBER(VALUE(MID(E486,FIND("-",E486)+1,10)))),1,0),0))</f>
        <v>0</v>
      </c>
      <c r="J486" s="0" t="str">
        <f aca="false">IF(I486=1,TRIM(LEFT(H486,MAX(0,LEN(H486)-LEN(D486)))),"")</f>
        <v/>
      </c>
      <c r="K486" s="0" t="str">
        <f aca="false">INDEX($P$2:$P$21,A486)</f>
        <v>Deck 9</v>
      </c>
      <c r="L486" s="0" t="n">
        <f aca="false">IF(AND(C486&lt;&gt;"",LEFT(C486,2)&lt;&gt;"//",I486=0),1,0)</f>
        <v>0</v>
      </c>
      <c r="M486" s="0" t="str">
        <f aca="false">IF(I486=1,MAX(M$1:M485)+1,"")</f>
        <v/>
      </c>
      <c r="N486" s="0" t="str">
        <f aca="false">IFERROR(MATCH(ROW()-1,$V$2:$V$1201,0),"")</f>
        <v/>
      </c>
      <c r="R486" s="0" t="str">
        <f aca="false">IF(E486="","",IFERROR(LEFT(E486,FIND("-",E486)-1),E486))</f>
        <v/>
      </c>
      <c r="S486" s="0" t="str">
        <f aca="false">IF(R486="","",IF(ISNUMBER(--MID(R486,1,1)),0,IF(ISNUMBER(--MID(R486,2,1)),1,IF(ISNUMBER(--MID(R486,3,1)),2,IF(ISNUMBER(--MID(R486,4,1)),3,MIN(LEN(R486),4))))))</f>
        <v/>
      </c>
      <c r="T486" s="0" t="str">
        <f aca="false">IF(E486="","",LEFT(R486,S486)&amp;REPT("0",4-S486)&amp;RIGHT("000"&amp;IFERROR(VALUE(MID(R486,S486+1,9)),0),3)&amp;RIGHT("0000"&amp;IFERROR(VALUE(MID(E486,FIND("-",E486)+1,9)),0),4))</f>
        <v/>
      </c>
      <c r="U486" s="0" t="str">
        <f aca="false">IF(I486=1,"K"&amp;RIGHT("00"&amp;A486,2)&amp;T486&amp;RIGHT("00000"&amp;ROW(),5),"")</f>
        <v/>
      </c>
      <c r="V486" s="0" t="str">
        <f aca="false">IF(U486="","",COUNTIFS($I$2:$I$1201,1,$U$2:$U$1201,"&lt;"&amp;U486)+1)</f>
        <v/>
      </c>
    </row>
    <row r="487" customFormat="false" ht="15" hidden="false" customHeight="false" outlineLevel="0" collapsed="false">
      <c r="A487" s="0" t="n">
        <v>9</v>
      </c>
      <c r="B487" s="0" t="n">
        <v>6</v>
      </c>
      <c r="C487" s="0" t="str">
        <f aca="false">TRIM(SUBSTITUTE(INDEX(LISTAS!$A$4:$T$63,B487,A487)&amp;"",CHAR(160)," "))</f>
        <v/>
      </c>
      <c r="D487" s="0" t="str">
        <f aca="false">IF(C487="","",TRIM(RIGHT(SUBSTITUTE(C487," ",REPT(" ",100)),100)))</f>
        <v/>
      </c>
      <c r="E487" s="0" t="str">
        <f aca="false">IF(D487="","",UPPER(SUBSTITUTE(SUBSTITUTE(D487,"(",""),")","")))</f>
        <v/>
      </c>
      <c r="F487" s="0" t="str">
        <f aca="false">IF(C487="","",LEFT(C487,FIND(" ",C487&amp;" ")-1))</f>
        <v/>
      </c>
      <c r="G487" s="0" t="n">
        <f aca="false">IFERROR(VALUE(SUBSTITUTE(LOWER(F487),"x","")),0)</f>
        <v>0</v>
      </c>
      <c r="H487" s="0" t="str">
        <f aca="false">IF(C487="","",TRIM(MID(C487,LEN(F487)+2,999)))</f>
        <v/>
      </c>
      <c r="I487" s="0" t="n">
        <f aca="false">IF(OR(C487="",LEFT(C487,2)="//"),0,IFERROR(IF(AND(G487&gt;0,G487=INT(G487),FIND("-",E487)&gt;1,NOT(EXACT(UPPER(LEFT(E487,1)),LOWER(LEFT(E487,1)))),ISNUMBER(VALUE(MID(E487,FIND("-",E487)+1,10)))),1,0),0))</f>
        <v>0</v>
      </c>
      <c r="J487" s="0" t="str">
        <f aca="false">IF(I487=1,TRIM(LEFT(H487,MAX(0,LEN(H487)-LEN(D487)))),"")</f>
        <v/>
      </c>
      <c r="K487" s="0" t="str">
        <f aca="false">INDEX($P$2:$P$21,A487)</f>
        <v>Deck 9</v>
      </c>
      <c r="L487" s="0" t="n">
        <f aca="false">IF(AND(C487&lt;&gt;"",LEFT(C487,2)&lt;&gt;"//",I487=0),1,0)</f>
        <v>0</v>
      </c>
      <c r="M487" s="0" t="str">
        <f aca="false">IF(I487=1,MAX(M$1:M486)+1,"")</f>
        <v/>
      </c>
      <c r="N487" s="0" t="str">
        <f aca="false">IFERROR(MATCH(ROW()-1,$V$2:$V$1201,0),"")</f>
        <v/>
      </c>
      <c r="R487" s="0" t="str">
        <f aca="false">IF(E487="","",IFERROR(LEFT(E487,FIND("-",E487)-1),E487))</f>
        <v/>
      </c>
      <c r="S487" s="0" t="str">
        <f aca="false">IF(R487="","",IF(ISNUMBER(--MID(R487,1,1)),0,IF(ISNUMBER(--MID(R487,2,1)),1,IF(ISNUMBER(--MID(R487,3,1)),2,IF(ISNUMBER(--MID(R487,4,1)),3,MIN(LEN(R487),4))))))</f>
        <v/>
      </c>
      <c r="T487" s="0" t="str">
        <f aca="false">IF(E487="","",LEFT(R487,S487)&amp;REPT("0",4-S487)&amp;RIGHT("000"&amp;IFERROR(VALUE(MID(R487,S487+1,9)),0),3)&amp;RIGHT("0000"&amp;IFERROR(VALUE(MID(E487,FIND("-",E487)+1,9)),0),4))</f>
        <v/>
      </c>
      <c r="U487" s="0" t="str">
        <f aca="false">IF(I487=1,"K"&amp;RIGHT("00"&amp;A487,2)&amp;T487&amp;RIGHT("00000"&amp;ROW(),5),"")</f>
        <v/>
      </c>
      <c r="V487" s="0" t="str">
        <f aca="false">IF(U487="","",COUNTIFS($I$2:$I$1201,1,$U$2:$U$1201,"&lt;"&amp;U487)+1)</f>
        <v/>
      </c>
    </row>
    <row r="488" customFormat="false" ht="15" hidden="false" customHeight="false" outlineLevel="0" collapsed="false">
      <c r="A488" s="0" t="n">
        <v>9</v>
      </c>
      <c r="B488" s="0" t="n">
        <v>7</v>
      </c>
      <c r="C488" s="0" t="str">
        <f aca="false">TRIM(SUBSTITUTE(INDEX(LISTAS!$A$4:$T$63,B488,A488)&amp;"",CHAR(160)," "))</f>
        <v/>
      </c>
      <c r="D488" s="0" t="str">
        <f aca="false">IF(C488="","",TRIM(RIGHT(SUBSTITUTE(C488," ",REPT(" ",100)),100)))</f>
        <v/>
      </c>
      <c r="E488" s="0" t="str">
        <f aca="false">IF(D488="","",UPPER(SUBSTITUTE(SUBSTITUTE(D488,"(",""),")","")))</f>
        <v/>
      </c>
      <c r="F488" s="0" t="str">
        <f aca="false">IF(C488="","",LEFT(C488,FIND(" ",C488&amp;" ")-1))</f>
        <v/>
      </c>
      <c r="G488" s="0" t="n">
        <f aca="false">IFERROR(VALUE(SUBSTITUTE(LOWER(F488),"x","")),0)</f>
        <v>0</v>
      </c>
      <c r="H488" s="0" t="str">
        <f aca="false">IF(C488="","",TRIM(MID(C488,LEN(F488)+2,999)))</f>
        <v/>
      </c>
      <c r="I488" s="0" t="n">
        <f aca="false">IF(OR(C488="",LEFT(C488,2)="//"),0,IFERROR(IF(AND(G488&gt;0,G488=INT(G488),FIND("-",E488)&gt;1,NOT(EXACT(UPPER(LEFT(E488,1)),LOWER(LEFT(E488,1)))),ISNUMBER(VALUE(MID(E488,FIND("-",E488)+1,10)))),1,0),0))</f>
        <v>0</v>
      </c>
      <c r="J488" s="0" t="str">
        <f aca="false">IF(I488=1,TRIM(LEFT(H488,MAX(0,LEN(H488)-LEN(D488)))),"")</f>
        <v/>
      </c>
      <c r="K488" s="0" t="str">
        <f aca="false">INDEX($P$2:$P$21,A488)</f>
        <v>Deck 9</v>
      </c>
      <c r="L488" s="0" t="n">
        <f aca="false">IF(AND(C488&lt;&gt;"",LEFT(C488,2)&lt;&gt;"//",I488=0),1,0)</f>
        <v>0</v>
      </c>
      <c r="M488" s="0" t="str">
        <f aca="false">IF(I488=1,MAX(M$1:M487)+1,"")</f>
        <v/>
      </c>
      <c r="N488" s="0" t="str">
        <f aca="false">IFERROR(MATCH(ROW()-1,$V$2:$V$1201,0),"")</f>
        <v/>
      </c>
      <c r="R488" s="0" t="str">
        <f aca="false">IF(E488="","",IFERROR(LEFT(E488,FIND("-",E488)-1),E488))</f>
        <v/>
      </c>
      <c r="S488" s="0" t="str">
        <f aca="false">IF(R488="","",IF(ISNUMBER(--MID(R488,1,1)),0,IF(ISNUMBER(--MID(R488,2,1)),1,IF(ISNUMBER(--MID(R488,3,1)),2,IF(ISNUMBER(--MID(R488,4,1)),3,MIN(LEN(R488),4))))))</f>
        <v/>
      </c>
      <c r="T488" s="0" t="str">
        <f aca="false">IF(E488="","",LEFT(R488,S488)&amp;REPT("0",4-S488)&amp;RIGHT("000"&amp;IFERROR(VALUE(MID(R488,S488+1,9)),0),3)&amp;RIGHT("0000"&amp;IFERROR(VALUE(MID(E488,FIND("-",E488)+1,9)),0),4))</f>
        <v/>
      </c>
      <c r="U488" s="0" t="str">
        <f aca="false">IF(I488=1,"K"&amp;RIGHT("00"&amp;A488,2)&amp;T488&amp;RIGHT("00000"&amp;ROW(),5),"")</f>
        <v/>
      </c>
      <c r="V488" s="0" t="str">
        <f aca="false">IF(U488="","",COUNTIFS($I$2:$I$1201,1,$U$2:$U$1201,"&lt;"&amp;U488)+1)</f>
        <v/>
      </c>
    </row>
    <row r="489" customFormat="false" ht="15" hidden="false" customHeight="false" outlineLevel="0" collapsed="false">
      <c r="A489" s="0" t="n">
        <v>9</v>
      </c>
      <c r="B489" s="0" t="n">
        <v>8</v>
      </c>
      <c r="C489" s="0" t="str">
        <f aca="false">TRIM(SUBSTITUTE(INDEX(LISTAS!$A$4:$T$63,B489,A489)&amp;"",CHAR(160)," "))</f>
        <v/>
      </c>
      <c r="D489" s="0" t="str">
        <f aca="false">IF(C489="","",TRIM(RIGHT(SUBSTITUTE(C489," ",REPT(" ",100)),100)))</f>
        <v/>
      </c>
      <c r="E489" s="0" t="str">
        <f aca="false">IF(D489="","",UPPER(SUBSTITUTE(SUBSTITUTE(D489,"(",""),")","")))</f>
        <v/>
      </c>
      <c r="F489" s="0" t="str">
        <f aca="false">IF(C489="","",LEFT(C489,FIND(" ",C489&amp;" ")-1))</f>
        <v/>
      </c>
      <c r="G489" s="0" t="n">
        <f aca="false">IFERROR(VALUE(SUBSTITUTE(LOWER(F489),"x","")),0)</f>
        <v>0</v>
      </c>
      <c r="H489" s="0" t="str">
        <f aca="false">IF(C489="","",TRIM(MID(C489,LEN(F489)+2,999)))</f>
        <v/>
      </c>
      <c r="I489" s="0" t="n">
        <f aca="false">IF(OR(C489="",LEFT(C489,2)="//"),0,IFERROR(IF(AND(G489&gt;0,G489=INT(G489),FIND("-",E489)&gt;1,NOT(EXACT(UPPER(LEFT(E489,1)),LOWER(LEFT(E489,1)))),ISNUMBER(VALUE(MID(E489,FIND("-",E489)+1,10)))),1,0),0))</f>
        <v>0</v>
      </c>
      <c r="J489" s="0" t="str">
        <f aca="false">IF(I489=1,TRIM(LEFT(H489,MAX(0,LEN(H489)-LEN(D489)))),"")</f>
        <v/>
      </c>
      <c r="K489" s="0" t="str">
        <f aca="false">INDEX($P$2:$P$21,A489)</f>
        <v>Deck 9</v>
      </c>
      <c r="L489" s="0" t="n">
        <f aca="false">IF(AND(C489&lt;&gt;"",LEFT(C489,2)&lt;&gt;"//",I489=0),1,0)</f>
        <v>0</v>
      </c>
      <c r="M489" s="0" t="str">
        <f aca="false">IF(I489=1,MAX(M$1:M488)+1,"")</f>
        <v/>
      </c>
      <c r="N489" s="0" t="str">
        <f aca="false">IFERROR(MATCH(ROW()-1,$V$2:$V$1201,0),"")</f>
        <v/>
      </c>
      <c r="R489" s="0" t="str">
        <f aca="false">IF(E489="","",IFERROR(LEFT(E489,FIND("-",E489)-1),E489))</f>
        <v/>
      </c>
      <c r="S489" s="0" t="str">
        <f aca="false">IF(R489="","",IF(ISNUMBER(--MID(R489,1,1)),0,IF(ISNUMBER(--MID(R489,2,1)),1,IF(ISNUMBER(--MID(R489,3,1)),2,IF(ISNUMBER(--MID(R489,4,1)),3,MIN(LEN(R489),4))))))</f>
        <v/>
      </c>
      <c r="T489" s="0" t="str">
        <f aca="false">IF(E489="","",LEFT(R489,S489)&amp;REPT("0",4-S489)&amp;RIGHT("000"&amp;IFERROR(VALUE(MID(R489,S489+1,9)),0),3)&amp;RIGHT("0000"&amp;IFERROR(VALUE(MID(E489,FIND("-",E489)+1,9)),0),4))</f>
        <v/>
      </c>
      <c r="U489" s="0" t="str">
        <f aca="false">IF(I489=1,"K"&amp;RIGHT("00"&amp;A489,2)&amp;T489&amp;RIGHT("00000"&amp;ROW(),5),"")</f>
        <v/>
      </c>
      <c r="V489" s="0" t="str">
        <f aca="false">IF(U489="","",COUNTIFS($I$2:$I$1201,1,$U$2:$U$1201,"&lt;"&amp;U489)+1)</f>
        <v/>
      </c>
    </row>
    <row r="490" customFormat="false" ht="15" hidden="false" customHeight="false" outlineLevel="0" collapsed="false">
      <c r="A490" s="0" t="n">
        <v>9</v>
      </c>
      <c r="B490" s="0" t="n">
        <v>9</v>
      </c>
      <c r="C490" s="0" t="str">
        <f aca="false">TRIM(SUBSTITUTE(INDEX(LISTAS!$A$4:$T$63,B490,A490)&amp;"",CHAR(160)," "))</f>
        <v/>
      </c>
      <c r="D490" s="0" t="str">
        <f aca="false">IF(C490="","",TRIM(RIGHT(SUBSTITUTE(C490," ",REPT(" ",100)),100)))</f>
        <v/>
      </c>
      <c r="E490" s="0" t="str">
        <f aca="false">IF(D490="","",UPPER(SUBSTITUTE(SUBSTITUTE(D490,"(",""),")","")))</f>
        <v/>
      </c>
      <c r="F490" s="0" t="str">
        <f aca="false">IF(C490="","",LEFT(C490,FIND(" ",C490&amp;" ")-1))</f>
        <v/>
      </c>
      <c r="G490" s="0" t="n">
        <f aca="false">IFERROR(VALUE(SUBSTITUTE(LOWER(F490),"x","")),0)</f>
        <v>0</v>
      </c>
      <c r="H490" s="0" t="str">
        <f aca="false">IF(C490="","",TRIM(MID(C490,LEN(F490)+2,999)))</f>
        <v/>
      </c>
      <c r="I490" s="0" t="n">
        <f aca="false">IF(OR(C490="",LEFT(C490,2)="//"),0,IFERROR(IF(AND(G490&gt;0,G490=INT(G490),FIND("-",E490)&gt;1,NOT(EXACT(UPPER(LEFT(E490,1)),LOWER(LEFT(E490,1)))),ISNUMBER(VALUE(MID(E490,FIND("-",E490)+1,10)))),1,0),0))</f>
        <v>0</v>
      </c>
      <c r="J490" s="0" t="str">
        <f aca="false">IF(I490=1,TRIM(LEFT(H490,MAX(0,LEN(H490)-LEN(D490)))),"")</f>
        <v/>
      </c>
      <c r="K490" s="0" t="str">
        <f aca="false">INDEX($P$2:$P$21,A490)</f>
        <v>Deck 9</v>
      </c>
      <c r="L490" s="0" t="n">
        <f aca="false">IF(AND(C490&lt;&gt;"",LEFT(C490,2)&lt;&gt;"//",I490=0),1,0)</f>
        <v>0</v>
      </c>
      <c r="M490" s="0" t="str">
        <f aca="false">IF(I490=1,MAX(M$1:M489)+1,"")</f>
        <v/>
      </c>
      <c r="N490" s="0" t="str">
        <f aca="false">IFERROR(MATCH(ROW()-1,$V$2:$V$1201,0),"")</f>
        <v/>
      </c>
      <c r="R490" s="0" t="str">
        <f aca="false">IF(E490="","",IFERROR(LEFT(E490,FIND("-",E490)-1),E490))</f>
        <v/>
      </c>
      <c r="S490" s="0" t="str">
        <f aca="false">IF(R490="","",IF(ISNUMBER(--MID(R490,1,1)),0,IF(ISNUMBER(--MID(R490,2,1)),1,IF(ISNUMBER(--MID(R490,3,1)),2,IF(ISNUMBER(--MID(R490,4,1)),3,MIN(LEN(R490),4))))))</f>
        <v/>
      </c>
      <c r="T490" s="0" t="str">
        <f aca="false">IF(E490="","",LEFT(R490,S490)&amp;REPT("0",4-S490)&amp;RIGHT("000"&amp;IFERROR(VALUE(MID(R490,S490+1,9)),0),3)&amp;RIGHT("0000"&amp;IFERROR(VALUE(MID(E490,FIND("-",E490)+1,9)),0),4))</f>
        <v/>
      </c>
      <c r="U490" s="0" t="str">
        <f aca="false">IF(I490=1,"K"&amp;RIGHT("00"&amp;A490,2)&amp;T490&amp;RIGHT("00000"&amp;ROW(),5),"")</f>
        <v/>
      </c>
      <c r="V490" s="0" t="str">
        <f aca="false">IF(U490="","",COUNTIFS($I$2:$I$1201,1,$U$2:$U$1201,"&lt;"&amp;U490)+1)</f>
        <v/>
      </c>
    </row>
    <row r="491" customFormat="false" ht="15" hidden="false" customHeight="false" outlineLevel="0" collapsed="false">
      <c r="A491" s="0" t="n">
        <v>9</v>
      </c>
      <c r="B491" s="0" t="n">
        <v>10</v>
      </c>
      <c r="C491" s="0" t="str">
        <f aca="false">TRIM(SUBSTITUTE(INDEX(LISTAS!$A$4:$T$63,B491,A491)&amp;"",CHAR(160)," "))</f>
        <v/>
      </c>
      <c r="D491" s="0" t="str">
        <f aca="false">IF(C491="","",TRIM(RIGHT(SUBSTITUTE(C491," ",REPT(" ",100)),100)))</f>
        <v/>
      </c>
      <c r="E491" s="0" t="str">
        <f aca="false">IF(D491="","",UPPER(SUBSTITUTE(SUBSTITUTE(D491,"(",""),")","")))</f>
        <v/>
      </c>
      <c r="F491" s="0" t="str">
        <f aca="false">IF(C491="","",LEFT(C491,FIND(" ",C491&amp;" ")-1))</f>
        <v/>
      </c>
      <c r="G491" s="0" t="n">
        <f aca="false">IFERROR(VALUE(SUBSTITUTE(LOWER(F491),"x","")),0)</f>
        <v>0</v>
      </c>
      <c r="H491" s="0" t="str">
        <f aca="false">IF(C491="","",TRIM(MID(C491,LEN(F491)+2,999)))</f>
        <v/>
      </c>
      <c r="I491" s="0" t="n">
        <f aca="false">IF(OR(C491="",LEFT(C491,2)="//"),0,IFERROR(IF(AND(G491&gt;0,G491=INT(G491),FIND("-",E491)&gt;1,NOT(EXACT(UPPER(LEFT(E491,1)),LOWER(LEFT(E491,1)))),ISNUMBER(VALUE(MID(E491,FIND("-",E491)+1,10)))),1,0),0))</f>
        <v>0</v>
      </c>
      <c r="J491" s="0" t="str">
        <f aca="false">IF(I491=1,TRIM(LEFT(H491,MAX(0,LEN(H491)-LEN(D491)))),"")</f>
        <v/>
      </c>
      <c r="K491" s="0" t="str">
        <f aca="false">INDEX($P$2:$P$21,A491)</f>
        <v>Deck 9</v>
      </c>
      <c r="L491" s="0" t="n">
        <f aca="false">IF(AND(C491&lt;&gt;"",LEFT(C491,2)&lt;&gt;"//",I491=0),1,0)</f>
        <v>0</v>
      </c>
      <c r="M491" s="0" t="str">
        <f aca="false">IF(I491=1,MAX(M$1:M490)+1,"")</f>
        <v/>
      </c>
      <c r="N491" s="0" t="str">
        <f aca="false">IFERROR(MATCH(ROW()-1,$V$2:$V$1201,0),"")</f>
        <v/>
      </c>
      <c r="R491" s="0" t="str">
        <f aca="false">IF(E491="","",IFERROR(LEFT(E491,FIND("-",E491)-1),E491))</f>
        <v/>
      </c>
      <c r="S491" s="0" t="str">
        <f aca="false">IF(R491="","",IF(ISNUMBER(--MID(R491,1,1)),0,IF(ISNUMBER(--MID(R491,2,1)),1,IF(ISNUMBER(--MID(R491,3,1)),2,IF(ISNUMBER(--MID(R491,4,1)),3,MIN(LEN(R491),4))))))</f>
        <v/>
      </c>
      <c r="T491" s="0" t="str">
        <f aca="false">IF(E491="","",LEFT(R491,S491)&amp;REPT("0",4-S491)&amp;RIGHT("000"&amp;IFERROR(VALUE(MID(R491,S491+1,9)),0),3)&amp;RIGHT("0000"&amp;IFERROR(VALUE(MID(E491,FIND("-",E491)+1,9)),0),4))</f>
        <v/>
      </c>
      <c r="U491" s="0" t="str">
        <f aca="false">IF(I491=1,"K"&amp;RIGHT("00"&amp;A491,2)&amp;T491&amp;RIGHT("00000"&amp;ROW(),5),"")</f>
        <v/>
      </c>
      <c r="V491" s="0" t="str">
        <f aca="false">IF(U491="","",COUNTIFS($I$2:$I$1201,1,$U$2:$U$1201,"&lt;"&amp;U491)+1)</f>
        <v/>
      </c>
    </row>
    <row r="492" customFormat="false" ht="15" hidden="false" customHeight="false" outlineLevel="0" collapsed="false">
      <c r="A492" s="0" t="n">
        <v>9</v>
      </c>
      <c r="B492" s="0" t="n">
        <v>11</v>
      </c>
      <c r="C492" s="0" t="str">
        <f aca="false">TRIM(SUBSTITUTE(INDEX(LISTAS!$A$4:$T$63,B492,A492)&amp;"",CHAR(160)," "))</f>
        <v/>
      </c>
      <c r="D492" s="0" t="str">
        <f aca="false">IF(C492="","",TRIM(RIGHT(SUBSTITUTE(C492," ",REPT(" ",100)),100)))</f>
        <v/>
      </c>
      <c r="E492" s="0" t="str">
        <f aca="false">IF(D492="","",UPPER(SUBSTITUTE(SUBSTITUTE(D492,"(",""),")","")))</f>
        <v/>
      </c>
      <c r="F492" s="0" t="str">
        <f aca="false">IF(C492="","",LEFT(C492,FIND(" ",C492&amp;" ")-1))</f>
        <v/>
      </c>
      <c r="G492" s="0" t="n">
        <f aca="false">IFERROR(VALUE(SUBSTITUTE(LOWER(F492),"x","")),0)</f>
        <v>0</v>
      </c>
      <c r="H492" s="0" t="str">
        <f aca="false">IF(C492="","",TRIM(MID(C492,LEN(F492)+2,999)))</f>
        <v/>
      </c>
      <c r="I492" s="0" t="n">
        <f aca="false">IF(OR(C492="",LEFT(C492,2)="//"),0,IFERROR(IF(AND(G492&gt;0,G492=INT(G492),FIND("-",E492)&gt;1,NOT(EXACT(UPPER(LEFT(E492,1)),LOWER(LEFT(E492,1)))),ISNUMBER(VALUE(MID(E492,FIND("-",E492)+1,10)))),1,0),0))</f>
        <v>0</v>
      </c>
      <c r="J492" s="0" t="str">
        <f aca="false">IF(I492=1,TRIM(LEFT(H492,MAX(0,LEN(H492)-LEN(D492)))),"")</f>
        <v/>
      </c>
      <c r="K492" s="0" t="str">
        <f aca="false">INDEX($P$2:$P$21,A492)</f>
        <v>Deck 9</v>
      </c>
      <c r="L492" s="0" t="n">
        <f aca="false">IF(AND(C492&lt;&gt;"",LEFT(C492,2)&lt;&gt;"//",I492=0),1,0)</f>
        <v>0</v>
      </c>
      <c r="M492" s="0" t="str">
        <f aca="false">IF(I492=1,MAX(M$1:M491)+1,"")</f>
        <v/>
      </c>
      <c r="N492" s="0" t="str">
        <f aca="false">IFERROR(MATCH(ROW()-1,$V$2:$V$1201,0),"")</f>
        <v/>
      </c>
      <c r="R492" s="0" t="str">
        <f aca="false">IF(E492="","",IFERROR(LEFT(E492,FIND("-",E492)-1),E492))</f>
        <v/>
      </c>
      <c r="S492" s="0" t="str">
        <f aca="false">IF(R492="","",IF(ISNUMBER(--MID(R492,1,1)),0,IF(ISNUMBER(--MID(R492,2,1)),1,IF(ISNUMBER(--MID(R492,3,1)),2,IF(ISNUMBER(--MID(R492,4,1)),3,MIN(LEN(R492),4))))))</f>
        <v/>
      </c>
      <c r="T492" s="0" t="str">
        <f aca="false">IF(E492="","",LEFT(R492,S492)&amp;REPT("0",4-S492)&amp;RIGHT("000"&amp;IFERROR(VALUE(MID(R492,S492+1,9)),0),3)&amp;RIGHT("0000"&amp;IFERROR(VALUE(MID(E492,FIND("-",E492)+1,9)),0),4))</f>
        <v/>
      </c>
      <c r="U492" s="0" t="str">
        <f aca="false">IF(I492=1,"K"&amp;RIGHT("00"&amp;A492,2)&amp;T492&amp;RIGHT("00000"&amp;ROW(),5),"")</f>
        <v/>
      </c>
      <c r="V492" s="0" t="str">
        <f aca="false">IF(U492="","",COUNTIFS($I$2:$I$1201,1,$U$2:$U$1201,"&lt;"&amp;U492)+1)</f>
        <v/>
      </c>
    </row>
    <row r="493" customFormat="false" ht="15" hidden="false" customHeight="false" outlineLevel="0" collapsed="false">
      <c r="A493" s="0" t="n">
        <v>9</v>
      </c>
      <c r="B493" s="0" t="n">
        <v>12</v>
      </c>
      <c r="C493" s="0" t="str">
        <f aca="false">TRIM(SUBSTITUTE(INDEX(LISTAS!$A$4:$T$63,B493,A493)&amp;"",CHAR(160)," "))</f>
        <v/>
      </c>
      <c r="D493" s="0" t="str">
        <f aca="false">IF(C493="","",TRIM(RIGHT(SUBSTITUTE(C493," ",REPT(" ",100)),100)))</f>
        <v/>
      </c>
      <c r="E493" s="0" t="str">
        <f aca="false">IF(D493="","",UPPER(SUBSTITUTE(SUBSTITUTE(D493,"(",""),")","")))</f>
        <v/>
      </c>
      <c r="F493" s="0" t="str">
        <f aca="false">IF(C493="","",LEFT(C493,FIND(" ",C493&amp;" ")-1))</f>
        <v/>
      </c>
      <c r="G493" s="0" t="n">
        <f aca="false">IFERROR(VALUE(SUBSTITUTE(LOWER(F493),"x","")),0)</f>
        <v>0</v>
      </c>
      <c r="H493" s="0" t="str">
        <f aca="false">IF(C493="","",TRIM(MID(C493,LEN(F493)+2,999)))</f>
        <v/>
      </c>
      <c r="I493" s="0" t="n">
        <f aca="false">IF(OR(C493="",LEFT(C493,2)="//"),0,IFERROR(IF(AND(G493&gt;0,G493=INT(G493),FIND("-",E493)&gt;1,NOT(EXACT(UPPER(LEFT(E493,1)),LOWER(LEFT(E493,1)))),ISNUMBER(VALUE(MID(E493,FIND("-",E493)+1,10)))),1,0),0))</f>
        <v>0</v>
      </c>
      <c r="J493" s="0" t="str">
        <f aca="false">IF(I493=1,TRIM(LEFT(H493,MAX(0,LEN(H493)-LEN(D493)))),"")</f>
        <v/>
      </c>
      <c r="K493" s="0" t="str">
        <f aca="false">INDEX($P$2:$P$21,A493)</f>
        <v>Deck 9</v>
      </c>
      <c r="L493" s="0" t="n">
        <f aca="false">IF(AND(C493&lt;&gt;"",LEFT(C493,2)&lt;&gt;"//",I493=0),1,0)</f>
        <v>0</v>
      </c>
      <c r="M493" s="0" t="str">
        <f aca="false">IF(I493=1,MAX(M$1:M492)+1,"")</f>
        <v/>
      </c>
      <c r="N493" s="0" t="str">
        <f aca="false">IFERROR(MATCH(ROW()-1,$V$2:$V$1201,0),"")</f>
        <v/>
      </c>
      <c r="R493" s="0" t="str">
        <f aca="false">IF(E493="","",IFERROR(LEFT(E493,FIND("-",E493)-1),E493))</f>
        <v/>
      </c>
      <c r="S493" s="0" t="str">
        <f aca="false">IF(R493="","",IF(ISNUMBER(--MID(R493,1,1)),0,IF(ISNUMBER(--MID(R493,2,1)),1,IF(ISNUMBER(--MID(R493,3,1)),2,IF(ISNUMBER(--MID(R493,4,1)),3,MIN(LEN(R493),4))))))</f>
        <v/>
      </c>
      <c r="T493" s="0" t="str">
        <f aca="false">IF(E493="","",LEFT(R493,S493)&amp;REPT("0",4-S493)&amp;RIGHT("000"&amp;IFERROR(VALUE(MID(R493,S493+1,9)),0),3)&amp;RIGHT("0000"&amp;IFERROR(VALUE(MID(E493,FIND("-",E493)+1,9)),0),4))</f>
        <v/>
      </c>
      <c r="U493" s="0" t="str">
        <f aca="false">IF(I493=1,"K"&amp;RIGHT("00"&amp;A493,2)&amp;T493&amp;RIGHT("00000"&amp;ROW(),5),"")</f>
        <v/>
      </c>
      <c r="V493" s="0" t="str">
        <f aca="false">IF(U493="","",COUNTIFS($I$2:$I$1201,1,$U$2:$U$1201,"&lt;"&amp;U493)+1)</f>
        <v/>
      </c>
    </row>
    <row r="494" customFormat="false" ht="15" hidden="false" customHeight="false" outlineLevel="0" collapsed="false">
      <c r="A494" s="0" t="n">
        <v>9</v>
      </c>
      <c r="B494" s="0" t="n">
        <v>13</v>
      </c>
      <c r="C494" s="0" t="str">
        <f aca="false">TRIM(SUBSTITUTE(INDEX(LISTAS!$A$4:$T$63,B494,A494)&amp;"",CHAR(160)," "))</f>
        <v/>
      </c>
      <c r="D494" s="0" t="str">
        <f aca="false">IF(C494="","",TRIM(RIGHT(SUBSTITUTE(C494," ",REPT(" ",100)),100)))</f>
        <v/>
      </c>
      <c r="E494" s="0" t="str">
        <f aca="false">IF(D494="","",UPPER(SUBSTITUTE(SUBSTITUTE(D494,"(",""),")","")))</f>
        <v/>
      </c>
      <c r="F494" s="0" t="str">
        <f aca="false">IF(C494="","",LEFT(C494,FIND(" ",C494&amp;" ")-1))</f>
        <v/>
      </c>
      <c r="G494" s="0" t="n">
        <f aca="false">IFERROR(VALUE(SUBSTITUTE(LOWER(F494),"x","")),0)</f>
        <v>0</v>
      </c>
      <c r="H494" s="0" t="str">
        <f aca="false">IF(C494="","",TRIM(MID(C494,LEN(F494)+2,999)))</f>
        <v/>
      </c>
      <c r="I494" s="0" t="n">
        <f aca="false">IF(OR(C494="",LEFT(C494,2)="//"),0,IFERROR(IF(AND(G494&gt;0,G494=INT(G494),FIND("-",E494)&gt;1,NOT(EXACT(UPPER(LEFT(E494,1)),LOWER(LEFT(E494,1)))),ISNUMBER(VALUE(MID(E494,FIND("-",E494)+1,10)))),1,0),0))</f>
        <v>0</v>
      </c>
      <c r="J494" s="0" t="str">
        <f aca="false">IF(I494=1,TRIM(LEFT(H494,MAX(0,LEN(H494)-LEN(D494)))),"")</f>
        <v/>
      </c>
      <c r="K494" s="0" t="str">
        <f aca="false">INDEX($P$2:$P$21,A494)</f>
        <v>Deck 9</v>
      </c>
      <c r="L494" s="0" t="n">
        <f aca="false">IF(AND(C494&lt;&gt;"",LEFT(C494,2)&lt;&gt;"//",I494=0),1,0)</f>
        <v>0</v>
      </c>
      <c r="M494" s="0" t="str">
        <f aca="false">IF(I494=1,MAX(M$1:M493)+1,"")</f>
        <v/>
      </c>
      <c r="N494" s="0" t="str">
        <f aca="false">IFERROR(MATCH(ROW()-1,$V$2:$V$1201,0),"")</f>
        <v/>
      </c>
      <c r="R494" s="0" t="str">
        <f aca="false">IF(E494="","",IFERROR(LEFT(E494,FIND("-",E494)-1),E494))</f>
        <v/>
      </c>
      <c r="S494" s="0" t="str">
        <f aca="false">IF(R494="","",IF(ISNUMBER(--MID(R494,1,1)),0,IF(ISNUMBER(--MID(R494,2,1)),1,IF(ISNUMBER(--MID(R494,3,1)),2,IF(ISNUMBER(--MID(R494,4,1)),3,MIN(LEN(R494),4))))))</f>
        <v/>
      </c>
      <c r="T494" s="0" t="str">
        <f aca="false">IF(E494="","",LEFT(R494,S494)&amp;REPT("0",4-S494)&amp;RIGHT("000"&amp;IFERROR(VALUE(MID(R494,S494+1,9)),0),3)&amp;RIGHT("0000"&amp;IFERROR(VALUE(MID(E494,FIND("-",E494)+1,9)),0),4))</f>
        <v/>
      </c>
      <c r="U494" s="0" t="str">
        <f aca="false">IF(I494=1,"K"&amp;RIGHT("00"&amp;A494,2)&amp;T494&amp;RIGHT("00000"&amp;ROW(),5),"")</f>
        <v/>
      </c>
      <c r="V494" s="0" t="str">
        <f aca="false">IF(U494="","",COUNTIFS($I$2:$I$1201,1,$U$2:$U$1201,"&lt;"&amp;U494)+1)</f>
        <v/>
      </c>
    </row>
    <row r="495" customFormat="false" ht="15" hidden="false" customHeight="false" outlineLevel="0" collapsed="false">
      <c r="A495" s="0" t="n">
        <v>9</v>
      </c>
      <c r="B495" s="0" t="n">
        <v>14</v>
      </c>
      <c r="C495" s="0" t="str">
        <f aca="false">TRIM(SUBSTITUTE(INDEX(LISTAS!$A$4:$T$63,B495,A495)&amp;"",CHAR(160)," "))</f>
        <v/>
      </c>
      <c r="D495" s="0" t="str">
        <f aca="false">IF(C495="","",TRIM(RIGHT(SUBSTITUTE(C495," ",REPT(" ",100)),100)))</f>
        <v/>
      </c>
      <c r="E495" s="0" t="str">
        <f aca="false">IF(D495="","",UPPER(SUBSTITUTE(SUBSTITUTE(D495,"(",""),")","")))</f>
        <v/>
      </c>
      <c r="F495" s="0" t="str">
        <f aca="false">IF(C495="","",LEFT(C495,FIND(" ",C495&amp;" ")-1))</f>
        <v/>
      </c>
      <c r="G495" s="0" t="n">
        <f aca="false">IFERROR(VALUE(SUBSTITUTE(LOWER(F495),"x","")),0)</f>
        <v>0</v>
      </c>
      <c r="H495" s="0" t="str">
        <f aca="false">IF(C495="","",TRIM(MID(C495,LEN(F495)+2,999)))</f>
        <v/>
      </c>
      <c r="I495" s="0" t="n">
        <f aca="false">IF(OR(C495="",LEFT(C495,2)="//"),0,IFERROR(IF(AND(G495&gt;0,G495=INT(G495),FIND("-",E495)&gt;1,NOT(EXACT(UPPER(LEFT(E495,1)),LOWER(LEFT(E495,1)))),ISNUMBER(VALUE(MID(E495,FIND("-",E495)+1,10)))),1,0),0))</f>
        <v>0</v>
      </c>
      <c r="J495" s="0" t="str">
        <f aca="false">IF(I495=1,TRIM(LEFT(H495,MAX(0,LEN(H495)-LEN(D495)))),"")</f>
        <v/>
      </c>
      <c r="K495" s="0" t="str">
        <f aca="false">INDEX($P$2:$P$21,A495)</f>
        <v>Deck 9</v>
      </c>
      <c r="L495" s="0" t="n">
        <f aca="false">IF(AND(C495&lt;&gt;"",LEFT(C495,2)&lt;&gt;"//",I495=0),1,0)</f>
        <v>0</v>
      </c>
      <c r="M495" s="0" t="str">
        <f aca="false">IF(I495=1,MAX(M$1:M494)+1,"")</f>
        <v/>
      </c>
      <c r="N495" s="0" t="str">
        <f aca="false">IFERROR(MATCH(ROW()-1,$V$2:$V$1201,0),"")</f>
        <v/>
      </c>
      <c r="R495" s="0" t="str">
        <f aca="false">IF(E495="","",IFERROR(LEFT(E495,FIND("-",E495)-1),E495))</f>
        <v/>
      </c>
      <c r="S495" s="0" t="str">
        <f aca="false">IF(R495="","",IF(ISNUMBER(--MID(R495,1,1)),0,IF(ISNUMBER(--MID(R495,2,1)),1,IF(ISNUMBER(--MID(R495,3,1)),2,IF(ISNUMBER(--MID(R495,4,1)),3,MIN(LEN(R495),4))))))</f>
        <v/>
      </c>
      <c r="T495" s="0" t="str">
        <f aca="false">IF(E495="","",LEFT(R495,S495)&amp;REPT("0",4-S495)&amp;RIGHT("000"&amp;IFERROR(VALUE(MID(R495,S495+1,9)),0),3)&amp;RIGHT("0000"&amp;IFERROR(VALUE(MID(E495,FIND("-",E495)+1,9)),0),4))</f>
        <v/>
      </c>
      <c r="U495" s="0" t="str">
        <f aca="false">IF(I495=1,"K"&amp;RIGHT("00"&amp;A495,2)&amp;T495&amp;RIGHT("00000"&amp;ROW(),5),"")</f>
        <v/>
      </c>
      <c r="V495" s="0" t="str">
        <f aca="false">IF(U495="","",COUNTIFS($I$2:$I$1201,1,$U$2:$U$1201,"&lt;"&amp;U495)+1)</f>
        <v/>
      </c>
    </row>
    <row r="496" customFormat="false" ht="15" hidden="false" customHeight="false" outlineLevel="0" collapsed="false">
      <c r="A496" s="0" t="n">
        <v>9</v>
      </c>
      <c r="B496" s="0" t="n">
        <v>15</v>
      </c>
      <c r="C496" s="0" t="str">
        <f aca="false">TRIM(SUBSTITUTE(INDEX(LISTAS!$A$4:$T$63,B496,A496)&amp;"",CHAR(160)," "))</f>
        <v/>
      </c>
      <c r="D496" s="0" t="str">
        <f aca="false">IF(C496="","",TRIM(RIGHT(SUBSTITUTE(C496," ",REPT(" ",100)),100)))</f>
        <v/>
      </c>
      <c r="E496" s="0" t="str">
        <f aca="false">IF(D496="","",UPPER(SUBSTITUTE(SUBSTITUTE(D496,"(",""),")","")))</f>
        <v/>
      </c>
      <c r="F496" s="0" t="str">
        <f aca="false">IF(C496="","",LEFT(C496,FIND(" ",C496&amp;" ")-1))</f>
        <v/>
      </c>
      <c r="G496" s="0" t="n">
        <f aca="false">IFERROR(VALUE(SUBSTITUTE(LOWER(F496),"x","")),0)</f>
        <v>0</v>
      </c>
      <c r="H496" s="0" t="str">
        <f aca="false">IF(C496="","",TRIM(MID(C496,LEN(F496)+2,999)))</f>
        <v/>
      </c>
      <c r="I496" s="0" t="n">
        <f aca="false">IF(OR(C496="",LEFT(C496,2)="//"),0,IFERROR(IF(AND(G496&gt;0,G496=INT(G496),FIND("-",E496)&gt;1,NOT(EXACT(UPPER(LEFT(E496,1)),LOWER(LEFT(E496,1)))),ISNUMBER(VALUE(MID(E496,FIND("-",E496)+1,10)))),1,0),0))</f>
        <v>0</v>
      </c>
      <c r="J496" s="0" t="str">
        <f aca="false">IF(I496=1,TRIM(LEFT(H496,MAX(0,LEN(H496)-LEN(D496)))),"")</f>
        <v/>
      </c>
      <c r="K496" s="0" t="str">
        <f aca="false">INDEX($P$2:$P$21,A496)</f>
        <v>Deck 9</v>
      </c>
      <c r="L496" s="0" t="n">
        <f aca="false">IF(AND(C496&lt;&gt;"",LEFT(C496,2)&lt;&gt;"//",I496=0),1,0)</f>
        <v>0</v>
      </c>
      <c r="M496" s="0" t="str">
        <f aca="false">IF(I496=1,MAX(M$1:M495)+1,"")</f>
        <v/>
      </c>
      <c r="N496" s="0" t="str">
        <f aca="false">IFERROR(MATCH(ROW()-1,$V$2:$V$1201,0),"")</f>
        <v/>
      </c>
      <c r="R496" s="0" t="str">
        <f aca="false">IF(E496="","",IFERROR(LEFT(E496,FIND("-",E496)-1),E496))</f>
        <v/>
      </c>
      <c r="S496" s="0" t="str">
        <f aca="false">IF(R496="","",IF(ISNUMBER(--MID(R496,1,1)),0,IF(ISNUMBER(--MID(R496,2,1)),1,IF(ISNUMBER(--MID(R496,3,1)),2,IF(ISNUMBER(--MID(R496,4,1)),3,MIN(LEN(R496),4))))))</f>
        <v/>
      </c>
      <c r="T496" s="0" t="str">
        <f aca="false">IF(E496="","",LEFT(R496,S496)&amp;REPT("0",4-S496)&amp;RIGHT("000"&amp;IFERROR(VALUE(MID(R496,S496+1,9)),0),3)&amp;RIGHT("0000"&amp;IFERROR(VALUE(MID(E496,FIND("-",E496)+1,9)),0),4))</f>
        <v/>
      </c>
      <c r="U496" s="0" t="str">
        <f aca="false">IF(I496=1,"K"&amp;RIGHT("00"&amp;A496,2)&amp;T496&amp;RIGHT("00000"&amp;ROW(),5),"")</f>
        <v/>
      </c>
      <c r="V496" s="0" t="str">
        <f aca="false">IF(U496="","",COUNTIFS($I$2:$I$1201,1,$U$2:$U$1201,"&lt;"&amp;U496)+1)</f>
        <v/>
      </c>
    </row>
    <row r="497" customFormat="false" ht="15" hidden="false" customHeight="false" outlineLevel="0" collapsed="false">
      <c r="A497" s="0" t="n">
        <v>9</v>
      </c>
      <c r="B497" s="0" t="n">
        <v>16</v>
      </c>
      <c r="C497" s="0" t="str">
        <f aca="false">TRIM(SUBSTITUTE(INDEX(LISTAS!$A$4:$T$63,B497,A497)&amp;"",CHAR(160)," "))</f>
        <v/>
      </c>
      <c r="D497" s="0" t="str">
        <f aca="false">IF(C497="","",TRIM(RIGHT(SUBSTITUTE(C497," ",REPT(" ",100)),100)))</f>
        <v/>
      </c>
      <c r="E497" s="0" t="str">
        <f aca="false">IF(D497="","",UPPER(SUBSTITUTE(SUBSTITUTE(D497,"(",""),")","")))</f>
        <v/>
      </c>
      <c r="F497" s="0" t="str">
        <f aca="false">IF(C497="","",LEFT(C497,FIND(" ",C497&amp;" ")-1))</f>
        <v/>
      </c>
      <c r="G497" s="0" t="n">
        <f aca="false">IFERROR(VALUE(SUBSTITUTE(LOWER(F497),"x","")),0)</f>
        <v>0</v>
      </c>
      <c r="H497" s="0" t="str">
        <f aca="false">IF(C497="","",TRIM(MID(C497,LEN(F497)+2,999)))</f>
        <v/>
      </c>
      <c r="I497" s="0" t="n">
        <f aca="false">IF(OR(C497="",LEFT(C497,2)="//"),0,IFERROR(IF(AND(G497&gt;0,G497=INT(G497),FIND("-",E497)&gt;1,NOT(EXACT(UPPER(LEFT(E497,1)),LOWER(LEFT(E497,1)))),ISNUMBER(VALUE(MID(E497,FIND("-",E497)+1,10)))),1,0),0))</f>
        <v>0</v>
      </c>
      <c r="J497" s="0" t="str">
        <f aca="false">IF(I497=1,TRIM(LEFT(H497,MAX(0,LEN(H497)-LEN(D497)))),"")</f>
        <v/>
      </c>
      <c r="K497" s="0" t="str">
        <f aca="false">INDEX($P$2:$P$21,A497)</f>
        <v>Deck 9</v>
      </c>
      <c r="L497" s="0" t="n">
        <f aca="false">IF(AND(C497&lt;&gt;"",LEFT(C497,2)&lt;&gt;"//",I497=0),1,0)</f>
        <v>0</v>
      </c>
      <c r="M497" s="0" t="str">
        <f aca="false">IF(I497=1,MAX(M$1:M496)+1,"")</f>
        <v/>
      </c>
      <c r="N497" s="0" t="str">
        <f aca="false">IFERROR(MATCH(ROW()-1,$V$2:$V$1201,0),"")</f>
        <v/>
      </c>
      <c r="R497" s="0" t="str">
        <f aca="false">IF(E497="","",IFERROR(LEFT(E497,FIND("-",E497)-1),E497))</f>
        <v/>
      </c>
      <c r="S497" s="0" t="str">
        <f aca="false">IF(R497="","",IF(ISNUMBER(--MID(R497,1,1)),0,IF(ISNUMBER(--MID(R497,2,1)),1,IF(ISNUMBER(--MID(R497,3,1)),2,IF(ISNUMBER(--MID(R497,4,1)),3,MIN(LEN(R497),4))))))</f>
        <v/>
      </c>
      <c r="T497" s="0" t="str">
        <f aca="false">IF(E497="","",LEFT(R497,S497)&amp;REPT("0",4-S497)&amp;RIGHT("000"&amp;IFERROR(VALUE(MID(R497,S497+1,9)),0),3)&amp;RIGHT("0000"&amp;IFERROR(VALUE(MID(E497,FIND("-",E497)+1,9)),0),4))</f>
        <v/>
      </c>
      <c r="U497" s="0" t="str">
        <f aca="false">IF(I497=1,"K"&amp;RIGHT("00"&amp;A497,2)&amp;T497&amp;RIGHT("00000"&amp;ROW(),5),"")</f>
        <v/>
      </c>
      <c r="V497" s="0" t="str">
        <f aca="false">IF(U497="","",COUNTIFS($I$2:$I$1201,1,$U$2:$U$1201,"&lt;"&amp;U497)+1)</f>
        <v/>
      </c>
    </row>
    <row r="498" customFormat="false" ht="15" hidden="false" customHeight="false" outlineLevel="0" collapsed="false">
      <c r="A498" s="0" t="n">
        <v>9</v>
      </c>
      <c r="B498" s="0" t="n">
        <v>17</v>
      </c>
      <c r="C498" s="0" t="str">
        <f aca="false">TRIM(SUBSTITUTE(INDEX(LISTAS!$A$4:$T$63,B498,A498)&amp;"",CHAR(160)," "))</f>
        <v/>
      </c>
      <c r="D498" s="0" t="str">
        <f aca="false">IF(C498="","",TRIM(RIGHT(SUBSTITUTE(C498," ",REPT(" ",100)),100)))</f>
        <v/>
      </c>
      <c r="E498" s="0" t="str">
        <f aca="false">IF(D498="","",UPPER(SUBSTITUTE(SUBSTITUTE(D498,"(",""),")","")))</f>
        <v/>
      </c>
      <c r="F498" s="0" t="str">
        <f aca="false">IF(C498="","",LEFT(C498,FIND(" ",C498&amp;" ")-1))</f>
        <v/>
      </c>
      <c r="G498" s="0" t="n">
        <f aca="false">IFERROR(VALUE(SUBSTITUTE(LOWER(F498),"x","")),0)</f>
        <v>0</v>
      </c>
      <c r="H498" s="0" t="str">
        <f aca="false">IF(C498="","",TRIM(MID(C498,LEN(F498)+2,999)))</f>
        <v/>
      </c>
      <c r="I498" s="0" t="n">
        <f aca="false">IF(OR(C498="",LEFT(C498,2)="//"),0,IFERROR(IF(AND(G498&gt;0,G498=INT(G498),FIND("-",E498)&gt;1,NOT(EXACT(UPPER(LEFT(E498,1)),LOWER(LEFT(E498,1)))),ISNUMBER(VALUE(MID(E498,FIND("-",E498)+1,10)))),1,0),0))</f>
        <v>0</v>
      </c>
      <c r="J498" s="0" t="str">
        <f aca="false">IF(I498=1,TRIM(LEFT(H498,MAX(0,LEN(H498)-LEN(D498)))),"")</f>
        <v/>
      </c>
      <c r="K498" s="0" t="str">
        <f aca="false">INDEX($P$2:$P$21,A498)</f>
        <v>Deck 9</v>
      </c>
      <c r="L498" s="0" t="n">
        <f aca="false">IF(AND(C498&lt;&gt;"",LEFT(C498,2)&lt;&gt;"//",I498=0),1,0)</f>
        <v>0</v>
      </c>
      <c r="M498" s="0" t="str">
        <f aca="false">IF(I498=1,MAX(M$1:M497)+1,"")</f>
        <v/>
      </c>
      <c r="N498" s="0" t="str">
        <f aca="false">IFERROR(MATCH(ROW()-1,$V$2:$V$1201,0),"")</f>
        <v/>
      </c>
      <c r="R498" s="0" t="str">
        <f aca="false">IF(E498="","",IFERROR(LEFT(E498,FIND("-",E498)-1),E498))</f>
        <v/>
      </c>
      <c r="S498" s="0" t="str">
        <f aca="false">IF(R498="","",IF(ISNUMBER(--MID(R498,1,1)),0,IF(ISNUMBER(--MID(R498,2,1)),1,IF(ISNUMBER(--MID(R498,3,1)),2,IF(ISNUMBER(--MID(R498,4,1)),3,MIN(LEN(R498),4))))))</f>
        <v/>
      </c>
      <c r="T498" s="0" t="str">
        <f aca="false">IF(E498="","",LEFT(R498,S498)&amp;REPT("0",4-S498)&amp;RIGHT("000"&amp;IFERROR(VALUE(MID(R498,S498+1,9)),0),3)&amp;RIGHT("0000"&amp;IFERROR(VALUE(MID(E498,FIND("-",E498)+1,9)),0),4))</f>
        <v/>
      </c>
      <c r="U498" s="0" t="str">
        <f aca="false">IF(I498=1,"K"&amp;RIGHT("00"&amp;A498,2)&amp;T498&amp;RIGHT("00000"&amp;ROW(),5),"")</f>
        <v/>
      </c>
      <c r="V498" s="0" t="str">
        <f aca="false">IF(U498="","",COUNTIFS($I$2:$I$1201,1,$U$2:$U$1201,"&lt;"&amp;U498)+1)</f>
        <v/>
      </c>
    </row>
    <row r="499" customFormat="false" ht="15" hidden="false" customHeight="false" outlineLevel="0" collapsed="false">
      <c r="A499" s="0" t="n">
        <v>9</v>
      </c>
      <c r="B499" s="0" t="n">
        <v>18</v>
      </c>
      <c r="C499" s="0" t="str">
        <f aca="false">TRIM(SUBSTITUTE(INDEX(LISTAS!$A$4:$T$63,B499,A499)&amp;"",CHAR(160)," "))</f>
        <v/>
      </c>
      <c r="D499" s="0" t="str">
        <f aca="false">IF(C499="","",TRIM(RIGHT(SUBSTITUTE(C499," ",REPT(" ",100)),100)))</f>
        <v/>
      </c>
      <c r="E499" s="0" t="str">
        <f aca="false">IF(D499="","",UPPER(SUBSTITUTE(SUBSTITUTE(D499,"(",""),")","")))</f>
        <v/>
      </c>
      <c r="F499" s="0" t="str">
        <f aca="false">IF(C499="","",LEFT(C499,FIND(" ",C499&amp;" ")-1))</f>
        <v/>
      </c>
      <c r="G499" s="0" t="n">
        <f aca="false">IFERROR(VALUE(SUBSTITUTE(LOWER(F499),"x","")),0)</f>
        <v>0</v>
      </c>
      <c r="H499" s="0" t="str">
        <f aca="false">IF(C499="","",TRIM(MID(C499,LEN(F499)+2,999)))</f>
        <v/>
      </c>
      <c r="I499" s="0" t="n">
        <f aca="false">IF(OR(C499="",LEFT(C499,2)="//"),0,IFERROR(IF(AND(G499&gt;0,G499=INT(G499),FIND("-",E499)&gt;1,NOT(EXACT(UPPER(LEFT(E499,1)),LOWER(LEFT(E499,1)))),ISNUMBER(VALUE(MID(E499,FIND("-",E499)+1,10)))),1,0),0))</f>
        <v>0</v>
      </c>
      <c r="J499" s="0" t="str">
        <f aca="false">IF(I499=1,TRIM(LEFT(H499,MAX(0,LEN(H499)-LEN(D499)))),"")</f>
        <v/>
      </c>
      <c r="K499" s="0" t="str">
        <f aca="false">INDEX($P$2:$P$21,A499)</f>
        <v>Deck 9</v>
      </c>
      <c r="L499" s="0" t="n">
        <f aca="false">IF(AND(C499&lt;&gt;"",LEFT(C499,2)&lt;&gt;"//",I499=0),1,0)</f>
        <v>0</v>
      </c>
      <c r="M499" s="0" t="str">
        <f aca="false">IF(I499=1,MAX(M$1:M498)+1,"")</f>
        <v/>
      </c>
      <c r="N499" s="0" t="str">
        <f aca="false">IFERROR(MATCH(ROW()-1,$V$2:$V$1201,0),"")</f>
        <v/>
      </c>
      <c r="R499" s="0" t="str">
        <f aca="false">IF(E499="","",IFERROR(LEFT(E499,FIND("-",E499)-1),E499))</f>
        <v/>
      </c>
      <c r="S499" s="0" t="str">
        <f aca="false">IF(R499="","",IF(ISNUMBER(--MID(R499,1,1)),0,IF(ISNUMBER(--MID(R499,2,1)),1,IF(ISNUMBER(--MID(R499,3,1)),2,IF(ISNUMBER(--MID(R499,4,1)),3,MIN(LEN(R499),4))))))</f>
        <v/>
      </c>
      <c r="T499" s="0" t="str">
        <f aca="false">IF(E499="","",LEFT(R499,S499)&amp;REPT("0",4-S499)&amp;RIGHT("000"&amp;IFERROR(VALUE(MID(R499,S499+1,9)),0),3)&amp;RIGHT("0000"&amp;IFERROR(VALUE(MID(E499,FIND("-",E499)+1,9)),0),4))</f>
        <v/>
      </c>
      <c r="U499" s="0" t="str">
        <f aca="false">IF(I499=1,"K"&amp;RIGHT("00"&amp;A499,2)&amp;T499&amp;RIGHT("00000"&amp;ROW(),5),"")</f>
        <v/>
      </c>
      <c r="V499" s="0" t="str">
        <f aca="false">IF(U499="","",COUNTIFS($I$2:$I$1201,1,$U$2:$U$1201,"&lt;"&amp;U499)+1)</f>
        <v/>
      </c>
    </row>
    <row r="500" customFormat="false" ht="15" hidden="false" customHeight="false" outlineLevel="0" collapsed="false">
      <c r="A500" s="0" t="n">
        <v>9</v>
      </c>
      <c r="B500" s="0" t="n">
        <v>19</v>
      </c>
      <c r="C500" s="0" t="str">
        <f aca="false">TRIM(SUBSTITUTE(INDEX(LISTAS!$A$4:$T$63,B500,A500)&amp;"",CHAR(160)," "))</f>
        <v/>
      </c>
      <c r="D500" s="0" t="str">
        <f aca="false">IF(C500="","",TRIM(RIGHT(SUBSTITUTE(C500," ",REPT(" ",100)),100)))</f>
        <v/>
      </c>
      <c r="E500" s="0" t="str">
        <f aca="false">IF(D500="","",UPPER(SUBSTITUTE(SUBSTITUTE(D500,"(",""),")","")))</f>
        <v/>
      </c>
      <c r="F500" s="0" t="str">
        <f aca="false">IF(C500="","",LEFT(C500,FIND(" ",C500&amp;" ")-1))</f>
        <v/>
      </c>
      <c r="G500" s="0" t="n">
        <f aca="false">IFERROR(VALUE(SUBSTITUTE(LOWER(F500),"x","")),0)</f>
        <v>0</v>
      </c>
      <c r="H500" s="0" t="str">
        <f aca="false">IF(C500="","",TRIM(MID(C500,LEN(F500)+2,999)))</f>
        <v/>
      </c>
      <c r="I500" s="0" t="n">
        <f aca="false">IF(OR(C500="",LEFT(C500,2)="//"),0,IFERROR(IF(AND(G500&gt;0,G500=INT(G500),FIND("-",E500)&gt;1,NOT(EXACT(UPPER(LEFT(E500,1)),LOWER(LEFT(E500,1)))),ISNUMBER(VALUE(MID(E500,FIND("-",E500)+1,10)))),1,0),0))</f>
        <v>0</v>
      </c>
      <c r="J500" s="0" t="str">
        <f aca="false">IF(I500=1,TRIM(LEFT(H500,MAX(0,LEN(H500)-LEN(D500)))),"")</f>
        <v/>
      </c>
      <c r="K500" s="0" t="str">
        <f aca="false">INDEX($P$2:$P$21,A500)</f>
        <v>Deck 9</v>
      </c>
      <c r="L500" s="0" t="n">
        <f aca="false">IF(AND(C500&lt;&gt;"",LEFT(C500,2)&lt;&gt;"//",I500=0),1,0)</f>
        <v>0</v>
      </c>
      <c r="M500" s="0" t="str">
        <f aca="false">IF(I500=1,MAX(M$1:M499)+1,"")</f>
        <v/>
      </c>
      <c r="N500" s="0" t="str">
        <f aca="false">IFERROR(MATCH(ROW()-1,$V$2:$V$1201,0),"")</f>
        <v/>
      </c>
      <c r="R500" s="0" t="str">
        <f aca="false">IF(E500="","",IFERROR(LEFT(E500,FIND("-",E500)-1),E500))</f>
        <v/>
      </c>
      <c r="S500" s="0" t="str">
        <f aca="false">IF(R500="","",IF(ISNUMBER(--MID(R500,1,1)),0,IF(ISNUMBER(--MID(R500,2,1)),1,IF(ISNUMBER(--MID(R500,3,1)),2,IF(ISNUMBER(--MID(R500,4,1)),3,MIN(LEN(R500),4))))))</f>
        <v/>
      </c>
      <c r="T500" s="0" t="str">
        <f aca="false">IF(E500="","",LEFT(R500,S500)&amp;REPT("0",4-S500)&amp;RIGHT("000"&amp;IFERROR(VALUE(MID(R500,S500+1,9)),0),3)&amp;RIGHT("0000"&amp;IFERROR(VALUE(MID(E500,FIND("-",E500)+1,9)),0),4))</f>
        <v/>
      </c>
      <c r="U500" s="0" t="str">
        <f aca="false">IF(I500=1,"K"&amp;RIGHT("00"&amp;A500,2)&amp;T500&amp;RIGHT("00000"&amp;ROW(),5),"")</f>
        <v/>
      </c>
      <c r="V500" s="0" t="str">
        <f aca="false">IF(U500="","",COUNTIFS($I$2:$I$1201,1,$U$2:$U$1201,"&lt;"&amp;U500)+1)</f>
        <v/>
      </c>
    </row>
    <row r="501" customFormat="false" ht="15" hidden="false" customHeight="false" outlineLevel="0" collapsed="false">
      <c r="A501" s="0" t="n">
        <v>9</v>
      </c>
      <c r="B501" s="0" t="n">
        <v>20</v>
      </c>
      <c r="C501" s="0" t="str">
        <f aca="false">TRIM(SUBSTITUTE(INDEX(LISTAS!$A$4:$T$63,B501,A501)&amp;"",CHAR(160)," "))</f>
        <v/>
      </c>
      <c r="D501" s="0" t="str">
        <f aca="false">IF(C501="","",TRIM(RIGHT(SUBSTITUTE(C501," ",REPT(" ",100)),100)))</f>
        <v/>
      </c>
      <c r="E501" s="0" t="str">
        <f aca="false">IF(D501="","",UPPER(SUBSTITUTE(SUBSTITUTE(D501,"(",""),")","")))</f>
        <v/>
      </c>
      <c r="F501" s="0" t="str">
        <f aca="false">IF(C501="","",LEFT(C501,FIND(" ",C501&amp;" ")-1))</f>
        <v/>
      </c>
      <c r="G501" s="0" t="n">
        <f aca="false">IFERROR(VALUE(SUBSTITUTE(LOWER(F501),"x","")),0)</f>
        <v>0</v>
      </c>
      <c r="H501" s="0" t="str">
        <f aca="false">IF(C501="","",TRIM(MID(C501,LEN(F501)+2,999)))</f>
        <v/>
      </c>
      <c r="I501" s="0" t="n">
        <f aca="false">IF(OR(C501="",LEFT(C501,2)="//"),0,IFERROR(IF(AND(G501&gt;0,G501=INT(G501),FIND("-",E501)&gt;1,NOT(EXACT(UPPER(LEFT(E501,1)),LOWER(LEFT(E501,1)))),ISNUMBER(VALUE(MID(E501,FIND("-",E501)+1,10)))),1,0),0))</f>
        <v>0</v>
      </c>
      <c r="J501" s="0" t="str">
        <f aca="false">IF(I501=1,TRIM(LEFT(H501,MAX(0,LEN(H501)-LEN(D501)))),"")</f>
        <v/>
      </c>
      <c r="K501" s="0" t="str">
        <f aca="false">INDEX($P$2:$P$21,A501)</f>
        <v>Deck 9</v>
      </c>
      <c r="L501" s="0" t="n">
        <f aca="false">IF(AND(C501&lt;&gt;"",LEFT(C501,2)&lt;&gt;"//",I501=0),1,0)</f>
        <v>0</v>
      </c>
      <c r="M501" s="0" t="str">
        <f aca="false">IF(I501=1,MAX(M$1:M500)+1,"")</f>
        <v/>
      </c>
      <c r="N501" s="0" t="str">
        <f aca="false">IFERROR(MATCH(ROW()-1,$V$2:$V$1201,0),"")</f>
        <v/>
      </c>
      <c r="R501" s="0" t="str">
        <f aca="false">IF(E501="","",IFERROR(LEFT(E501,FIND("-",E501)-1),E501))</f>
        <v/>
      </c>
      <c r="S501" s="0" t="str">
        <f aca="false">IF(R501="","",IF(ISNUMBER(--MID(R501,1,1)),0,IF(ISNUMBER(--MID(R501,2,1)),1,IF(ISNUMBER(--MID(R501,3,1)),2,IF(ISNUMBER(--MID(R501,4,1)),3,MIN(LEN(R501),4))))))</f>
        <v/>
      </c>
      <c r="T501" s="0" t="str">
        <f aca="false">IF(E501="","",LEFT(R501,S501)&amp;REPT("0",4-S501)&amp;RIGHT("000"&amp;IFERROR(VALUE(MID(R501,S501+1,9)),0),3)&amp;RIGHT("0000"&amp;IFERROR(VALUE(MID(E501,FIND("-",E501)+1,9)),0),4))</f>
        <v/>
      </c>
      <c r="U501" s="0" t="str">
        <f aca="false">IF(I501=1,"K"&amp;RIGHT("00"&amp;A501,2)&amp;T501&amp;RIGHT("00000"&amp;ROW(),5),"")</f>
        <v/>
      </c>
      <c r="V501" s="0" t="str">
        <f aca="false">IF(U501="","",COUNTIFS($I$2:$I$1201,1,$U$2:$U$1201,"&lt;"&amp;U501)+1)</f>
        <v/>
      </c>
    </row>
    <row r="502" customFormat="false" ht="15" hidden="false" customHeight="false" outlineLevel="0" collapsed="false">
      <c r="A502" s="0" t="n">
        <v>9</v>
      </c>
      <c r="B502" s="0" t="n">
        <v>21</v>
      </c>
      <c r="C502" s="0" t="str">
        <f aca="false">TRIM(SUBSTITUTE(INDEX(LISTAS!$A$4:$T$63,B502,A502)&amp;"",CHAR(160)," "))</f>
        <v/>
      </c>
      <c r="D502" s="0" t="str">
        <f aca="false">IF(C502="","",TRIM(RIGHT(SUBSTITUTE(C502," ",REPT(" ",100)),100)))</f>
        <v/>
      </c>
      <c r="E502" s="0" t="str">
        <f aca="false">IF(D502="","",UPPER(SUBSTITUTE(SUBSTITUTE(D502,"(",""),")","")))</f>
        <v/>
      </c>
      <c r="F502" s="0" t="str">
        <f aca="false">IF(C502="","",LEFT(C502,FIND(" ",C502&amp;" ")-1))</f>
        <v/>
      </c>
      <c r="G502" s="0" t="n">
        <f aca="false">IFERROR(VALUE(SUBSTITUTE(LOWER(F502),"x","")),0)</f>
        <v>0</v>
      </c>
      <c r="H502" s="0" t="str">
        <f aca="false">IF(C502="","",TRIM(MID(C502,LEN(F502)+2,999)))</f>
        <v/>
      </c>
      <c r="I502" s="0" t="n">
        <f aca="false">IF(OR(C502="",LEFT(C502,2)="//"),0,IFERROR(IF(AND(G502&gt;0,G502=INT(G502),FIND("-",E502)&gt;1,NOT(EXACT(UPPER(LEFT(E502,1)),LOWER(LEFT(E502,1)))),ISNUMBER(VALUE(MID(E502,FIND("-",E502)+1,10)))),1,0),0))</f>
        <v>0</v>
      </c>
      <c r="J502" s="0" t="str">
        <f aca="false">IF(I502=1,TRIM(LEFT(H502,MAX(0,LEN(H502)-LEN(D502)))),"")</f>
        <v/>
      </c>
      <c r="K502" s="0" t="str">
        <f aca="false">INDEX($P$2:$P$21,A502)</f>
        <v>Deck 9</v>
      </c>
      <c r="L502" s="0" t="n">
        <f aca="false">IF(AND(C502&lt;&gt;"",LEFT(C502,2)&lt;&gt;"//",I502=0),1,0)</f>
        <v>0</v>
      </c>
      <c r="M502" s="0" t="str">
        <f aca="false">IF(I502=1,MAX(M$1:M501)+1,"")</f>
        <v/>
      </c>
      <c r="N502" s="0" t="str">
        <f aca="false">IFERROR(MATCH(ROW()-1,$V$2:$V$1201,0),"")</f>
        <v/>
      </c>
      <c r="R502" s="0" t="str">
        <f aca="false">IF(E502="","",IFERROR(LEFT(E502,FIND("-",E502)-1),E502))</f>
        <v/>
      </c>
      <c r="S502" s="0" t="str">
        <f aca="false">IF(R502="","",IF(ISNUMBER(--MID(R502,1,1)),0,IF(ISNUMBER(--MID(R502,2,1)),1,IF(ISNUMBER(--MID(R502,3,1)),2,IF(ISNUMBER(--MID(R502,4,1)),3,MIN(LEN(R502),4))))))</f>
        <v/>
      </c>
      <c r="T502" s="0" t="str">
        <f aca="false">IF(E502="","",LEFT(R502,S502)&amp;REPT("0",4-S502)&amp;RIGHT("000"&amp;IFERROR(VALUE(MID(R502,S502+1,9)),0),3)&amp;RIGHT("0000"&amp;IFERROR(VALUE(MID(E502,FIND("-",E502)+1,9)),0),4))</f>
        <v/>
      </c>
      <c r="U502" s="0" t="str">
        <f aca="false">IF(I502=1,"K"&amp;RIGHT("00"&amp;A502,2)&amp;T502&amp;RIGHT("00000"&amp;ROW(),5),"")</f>
        <v/>
      </c>
      <c r="V502" s="0" t="str">
        <f aca="false">IF(U502="","",COUNTIFS($I$2:$I$1201,1,$U$2:$U$1201,"&lt;"&amp;U502)+1)</f>
        <v/>
      </c>
    </row>
    <row r="503" customFormat="false" ht="15" hidden="false" customHeight="false" outlineLevel="0" collapsed="false">
      <c r="A503" s="0" t="n">
        <v>9</v>
      </c>
      <c r="B503" s="0" t="n">
        <v>22</v>
      </c>
      <c r="C503" s="0" t="str">
        <f aca="false">TRIM(SUBSTITUTE(INDEX(LISTAS!$A$4:$T$63,B503,A503)&amp;"",CHAR(160)," "))</f>
        <v/>
      </c>
      <c r="D503" s="0" t="str">
        <f aca="false">IF(C503="","",TRIM(RIGHT(SUBSTITUTE(C503," ",REPT(" ",100)),100)))</f>
        <v/>
      </c>
      <c r="E503" s="0" t="str">
        <f aca="false">IF(D503="","",UPPER(SUBSTITUTE(SUBSTITUTE(D503,"(",""),")","")))</f>
        <v/>
      </c>
      <c r="F503" s="0" t="str">
        <f aca="false">IF(C503="","",LEFT(C503,FIND(" ",C503&amp;" ")-1))</f>
        <v/>
      </c>
      <c r="G503" s="0" t="n">
        <f aca="false">IFERROR(VALUE(SUBSTITUTE(LOWER(F503),"x","")),0)</f>
        <v>0</v>
      </c>
      <c r="H503" s="0" t="str">
        <f aca="false">IF(C503="","",TRIM(MID(C503,LEN(F503)+2,999)))</f>
        <v/>
      </c>
      <c r="I503" s="0" t="n">
        <f aca="false">IF(OR(C503="",LEFT(C503,2)="//"),0,IFERROR(IF(AND(G503&gt;0,G503=INT(G503),FIND("-",E503)&gt;1,NOT(EXACT(UPPER(LEFT(E503,1)),LOWER(LEFT(E503,1)))),ISNUMBER(VALUE(MID(E503,FIND("-",E503)+1,10)))),1,0),0))</f>
        <v>0</v>
      </c>
      <c r="J503" s="0" t="str">
        <f aca="false">IF(I503=1,TRIM(LEFT(H503,MAX(0,LEN(H503)-LEN(D503)))),"")</f>
        <v/>
      </c>
      <c r="K503" s="0" t="str">
        <f aca="false">INDEX($P$2:$P$21,A503)</f>
        <v>Deck 9</v>
      </c>
      <c r="L503" s="0" t="n">
        <f aca="false">IF(AND(C503&lt;&gt;"",LEFT(C503,2)&lt;&gt;"//",I503=0),1,0)</f>
        <v>0</v>
      </c>
      <c r="M503" s="0" t="str">
        <f aca="false">IF(I503=1,MAX(M$1:M502)+1,"")</f>
        <v/>
      </c>
      <c r="N503" s="0" t="str">
        <f aca="false">IFERROR(MATCH(ROW()-1,$V$2:$V$1201,0),"")</f>
        <v/>
      </c>
      <c r="R503" s="0" t="str">
        <f aca="false">IF(E503="","",IFERROR(LEFT(E503,FIND("-",E503)-1),E503))</f>
        <v/>
      </c>
      <c r="S503" s="0" t="str">
        <f aca="false">IF(R503="","",IF(ISNUMBER(--MID(R503,1,1)),0,IF(ISNUMBER(--MID(R503,2,1)),1,IF(ISNUMBER(--MID(R503,3,1)),2,IF(ISNUMBER(--MID(R503,4,1)),3,MIN(LEN(R503),4))))))</f>
        <v/>
      </c>
      <c r="T503" s="0" t="str">
        <f aca="false">IF(E503="","",LEFT(R503,S503)&amp;REPT("0",4-S503)&amp;RIGHT("000"&amp;IFERROR(VALUE(MID(R503,S503+1,9)),0),3)&amp;RIGHT("0000"&amp;IFERROR(VALUE(MID(E503,FIND("-",E503)+1,9)),0),4))</f>
        <v/>
      </c>
      <c r="U503" s="0" t="str">
        <f aca="false">IF(I503=1,"K"&amp;RIGHT("00"&amp;A503,2)&amp;T503&amp;RIGHT("00000"&amp;ROW(),5),"")</f>
        <v/>
      </c>
      <c r="V503" s="0" t="str">
        <f aca="false">IF(U503="","",COUNTIFS($I$2:$I$1201,1,$U$2:$U$1201,"&lt;"&amp;U503)+1)</f>
        <v/>
      </c>
    </row>
    <row r="504" customFormat="false" ht="15" hidden="false" customHeight="false" outlineLevel="0" collapsed="false">
      <c r="A504" s="0" t="n">
        <v>9</v>
      </c>
      <c r="B504" s="0" t="n">
        <v>23</v>
      </c>
      <c r="C504" s="0" t="str">
        <f aca="false">TRIM(SUBSTITUTE(INDEX(LISTAS!$A$4:$T$63,B504,A504)&amp;"",CHAR(160)," "))</f>
        <v/>
      </c>
      <c r="D504" s="0" t="str">
        <f aca="false">IF(C504="","",TRIM(RIGHT(SUBSTITUTE(C504," ",REPT(" ",100)),100)))</f>
        <v/>
      </c>
      <c r="E504" s="0" t="str">
        <f aca="false">IF(D504="","",UPPER(SUBSTITUTE(SUBSTITUTE(D504,"(",""),")","")))</f>
        <v/>
      </c>
      <c r="F504" s="0" t="str">
        <f aca="false">IF(C504="","",LEFT(C504,FIND(" ",C504&amp;" ")-1))</f>
        <v/>
      </c>
      <c r="G504" s="0" t="n">
        <f aca="false">IFERROR(VALUE(SUBSTITUTE(LOWER(F504),"x","")),0)</f>
        <v>0</v>
      </c>
      <c r="H504" s="0" t="str">
        <f aca="false">IF(C504="","",TRIM(MID(C504,LEN(F504)+2,999)))</f>
        <v/>
      </c>
      <c r="I504" s="0" t="n">
        <f aca="false">IF(OR(C504="",LEFT(C504,2)="//"),0,IFERROR(IF(AND(G504&gt;0,G504=INT(G504),FIND("-",E504)&gt;1,NOT(EXACT(UPPER(LEFT(E504,1)),LOWER(LEFT(E504,1)))),ISNUMBER(VALUE(MID(E504,FIND("-",E504)+1,10)))),1,0),0))</f>
        <v>0</v>
      </c>
      <c r="J504" s="0" t="str">
        <f aca="false">IF(I504=1,TRIM(LEFT(H504,MAX(0,LEN(H504)-LEN(D504)))),"")</f>
        <v/>
      </c>
      <c r="K504" s="0" t="str">
        <f aca="false">INDEX($P$2:$P$21,A504)</f>
        <v>Deck 9</v>
      </c>
      <c r="L504" s="0" t="n">
        <f aca="false">IF(AND(C504&lt;&gt;"",LEFT(C504,2)&lt;&gt;"//",I504=0),1,0)</f>
        <v>0</v>
      </c>
      <c r="M504" s="0" t="str">
        <f aca="false">IF(I504=1,MAX(M$1:M503)+1,"")</f>
        <v/>
      </c>
      <c r="N504" s="0" t="str">
        <f aca="false">IFERROR(MATCH(ROW()-1,$V$2:$V$1201,0),"")</f>
        <v/>
      </c>
      <c r="R504" s="0" t="str">
        <f aca="false">IF(E504="","",IFERROR(LEFT(E504,FIND("-",E504)-1),E504))</f>
        <v/>
      </c>
      <c r="S504" s="0" t="str">
        <f aca="false">IF(R504="","",IF(ISNUMBER(--MID(R504,1,1)),0,IF(ISNUMBER(--MID(R504,2,1)),1,IF(ISNUMBER(--MID(R504,3,1)),2,IF(ISNUMBER(--MID(R504,4,1)),3,MIN(LEN(R504),4))))))</f>
        <v/>
      </c>
      <c r="T504" s="0" t="str">
        <f aca="false">IF(E504="","",LEFT(R504,S504)&amp;REPT("0",4-S504)&amp;RIGHT("000"&amp;IFERROR(VALUE(MID(R504,S504+1,9)),0),3)&amp;RIGHT("0000"&amp;IFERROR(VALUE(MID(E504,FIND("-",E504)+1,9)),0),4))</f>
        <v/>
      </c>
      <c r="U504" s="0" t="str">
        <f aca="false">IF(I504=1,"K"&amp;RIGHT("00"&amp;A504,2)&amp;T504&amp;RIGHT("00000"&amp;ROW(),5),"")</f>
        <v/>
      </c>
      <c r="V504" s="0" t="str">
        <f aca="false">IF(U504="","",COUNTIFS($I$2:$I$1201,1,$U$2:$U$1201,"&lt;"&amp;U504)+1)</f>
        <v/>
      </c>
    </row>
    <row r="505" customFormat="false" ht="15" hidden="false" customHeight="false" outlineLevel="0" collapsed="false">
      <c r="A505" s="0" t="n">
        <v>9</v>
      </c>
      <c r="B505" s="0" t="n">
        <v>24</v>
      </c>
      <c r="C505" s="0" t="str">
        <f aca="false">TRIM(SUBSTITUTE(INDEX(LISTAS!$A$4:$T$63,B505,A505)&amp;"",CHAR(160)," "))</f>
        <v/>
      </c>
      <c r="D505" s="0" t="str">
        <f aca="false">IF(C505="","",TRIM(RIGHT(SUBSTITUTE(C505," ",REPT(" ",100)),100)))</f>
        <v/>
      </c>
      <c r="E505" s="0" t="str">
        <f aca="false">IF(D505="","",UPPER(SUBSTITUTE(SUBSTITUTE(D505,"(",""),")","")))</f>
        <v/>
      </c>
      <c r="F505" s="0" t="str">
        <f aca="false">IF(C505="","",LEFT(C505,FIND(" ",C505&amp;" ")-1))</f>
        <v/>
      </c>
      <c r="G505" s="0" t="n">
        <f aca="false">IFERROR(VALUE(SUBSTITUTE(LOWER(F505),"x","")),0)</f>
        <v>0</v>
      </c>
      <c r="H505" s="0" t="str">
        <f aca="false">IF(C505="","",TRIM(MID(C505,LEN(F505)+2,999)))</f>
        <v/>
      </c>
      <c r="I505" s="0" t="n">
        <f aca="false">IF(OR(C505="",LEFT(C505,2)="//"),0,IFERROR(IF(AND(G505&gt;0,G505=INT(G505),FIND("-",E505)&gt;1,NOT(EXACT(UPPER(LEFT(E505,1)),LOWER(LEFT(E505,1)))),ISNUMBER(VALUE(MID(E505,FIND("-",E505)+1,10)))),1,0),0))</f>
        <v>0</v>
      </c>
      <c r="J505" s="0" t="str">
        <f aca="false">IF(I505=1,TRIM(LEFT(H505,MAX(0,LEN(H505)-LEN(D505)))),"")</f>
        <v/>
      </c>
      <c r="K505" s="0" t="str">
        <f aca="false">INDEX($P$2:$P$21,A505)</f>
        <v>Deck 9</v>
      </c>
      <c r="L505" s="0" t="n">
        <f aca="false">IF(AND(C505&lt;&gt;"",LEFT(C505,2)&lt;&gt;"//",I505=0),1,0)</f>
        <v>0</v>
      </c>
      <c r="M505" s="0" t="str">
        <f aca="false">IF(I505=1,MAX(M$1:M504)+1,"")</f>
        <v/>
      </c>
      <c r="N505" s="0" t="str">
        <f aca="false">IFERROR(MATCH(ROW()-1,$V$2:$V$1201,0),"")</f>
        <v/>
      </c>
      <c r="R505" s="0" t="str">
        <f aca="false">IF(E505="","",IFERROR(LEFT(E505,FIND("-",E505)-1),E505))</f>
        <v/>
      </c>
      <c r="S505" s="0" t="str">
        <f aca="false">IF(R505="","",IF(ISNUMBER(--MID(R505,1,1)),0,IF(ISNUMBER(--MID(R505,2,1)),1,IF(ISNUMBER(--MID(R505,3,1)),2,IF(ISNUMBER(--MID(R505,4,1)),3,MIN(LEN(R505),4))))))</f>
        <v/>
      </c>
      <c r="T505" s="0" t="str">
        <f aca="false">IF(E505="","",LEFT(R505,S505)&amp;REPT("0",4-S505)&amp;RIGHT("000"&amp;IFERROR(VALUE(MID(R505,S505+1,9)),0),3)&amp;RIGHT("0000"&amp;IFERROR(VALUE(MID(E505,FIND("-",E505)+1,9)),0),4))</f>
        <v/>
      </c>
      <c r="U505" s="0" t="str">
        <f aca="false">IF(I505=1,"K"&amp;RIGHT("00"&amp;A505,2)&amp;T505&amp;RIGHT("00000"&amp;ROW(),5),"")</f>
        <v/>
      </c>
      <c r="V505" s="0" t="str">
        <f aca="false">IF(U505="","",COUNTIFS($I$2:$I$1201,1,$U$2:$U$1201,"&lt;"&amp;U505)+1)</f>
        <v/>
      </c>
    </row>
    <row r="506" customFormat="false" ht="15" hidden="false" customHeight="false" outlineLevel="0" collapsed="false">
      <c r="A506" s="0" t="n">
        <v>9</v>
      </c>
      <c r="B506" s="0" t="n">
        <v>25</v>
      </c>
      <c r="C506" s="0" t="str">
        <f aca="false">TRIM(SUBSTITUTE(INDEX(LISTAS!$A$4:$T$63,B506,A506)&amp;"",CHAR(160)," "))</f>
        <v/>
      </c>
      <c r="D506" s="0" t="str">
        <f aca="false">IF(C506="","",TRIM(RIGHT(SUBSTITUTE(C506," ",REPT(" ",100)),100)))</f>
        <v/>
      </c>
      <c r="E506" s="0" t="str">
        <f aca="false">IF(D506="","",UPPER(SUBSTITUTE(SUBSTITUTE(D506,"(",""),")","")))</f>
        <v/>
      </c>
      <c r="F506" s="0" t="str">
        <f aca="false">IF(C506="","",LEFT(C506,FIND(" ",C506&amp;" ")-1))</f>
        <v/>
      </c>
      <c r="G506" s="0" t="n">
        <f aca="false">IFERROR(VALUE(SUBSTITUTE(LOWER(F506),"x","")),0)</f>
        <v>0</v>
      </c>
      <c r="H506" s="0" t="str">
        <f aca="false">IF(C506="","",TRIM(MID(C506,LEN(F506)+2,999)))</f>
        <v/>
      </c>
      <c r="I506" s="0" t="n">
        <f aca="false">IF(OR(C506="",LEFT(C506,2)="//"),0,IFERROR(IF(AND(G506&gt;0,G506=INT(G506),FIND("-",E506)&gt;1,NOT(EXACT(UPPER(LEFT(E506,1)),LOWER(LEFT(E506,1)))),ISNUMBER(VALUE(MID(E506,FIND("-",E506)+1,10)))),1,0),0))</f>
        <v>0</v>
      </c>
      <c r="J506" s="0" t="str">
        <f aca="false">IF(I506=1,TRIM(LEFT(H506,MAX(0,LEN(H506)-LEN(D506)))),"")</f>
        <v/>
      </c>
      <c r="K506" s="0" t="str">
        <f aca="false">INDEX($P$2:$P$21,A506)</f>
        <v>Deck 9</v>
      </c>
      <c r="L506" s="0" t="n">
        <f aca="false">IF(AND(C506&lt;&gt;"",LEFT(C506,2)&lt;&gt;"//",I506=0),1,0)</f>
        <v>0</v>
      </c>
      <c r="M506" s="0" t="str">
        <f aca="false">IF(I506=1,MAX(M$1:M505)+1,"")</f>
        <v/>
      </c>
      <c r="N506" s="0" t="str">
        <f aca="false">IFERROR(MATCH(ROW()-1,$V$2:$V$1201,0),"")</f>
        <v/>
      </c>
      <c r="R506" s="0" t="str">
        <f aca="false">IF(E506="","",IFERROR(LEFT(E506,FIND("-",E506)-1),E506))</f>
        <v/>
      </c>
      <c r="S506" s="0" t="str">
        <f aca="false">IF(R506="","",IF(ISNUMBER(--MID(R506,1,1)),0,IF(ISNUMBER(--MID(R506,2,1)),1,IF(ISNUMBER(--MID(R506,3,1)),2,IF(ISNUMBER(--MID(R506,4,1)),3,MIN(LEN(R506),4))))))</f>
        <v/>
      </c>
      <c r="T506" s="0" t="str">
        <f aca="false">IF(E506="","",LEFT(R506,S506)&amp;REPT("0",4-S506)&amp;RIGHT("000"&amp;IFERROR(VALUE(MID(R506,S506+1,9)),0),3)&amp;RIGHT("0000"&amp;IFERROR(VALUE(MID(E506,FIND("-",E506)+1,9)),0),4))</f>
        <v/>
      </c>
      <c r="U506" s="0" t="str">
        <f aca="false">IF(I506=1,"K"&amp;RIGHT("00"&amp;A506,2)&amp;T506&amp;RIGHT("00000"&amp;ROW(),5),"")</f>
        <v/>
      </c>
      <c r="V506" s="0" t="str">
        <f aca="false">IF(U506="","",COUNTIFS($I$2:$I$1201,1,$U$2:$U$1201,"&lt;"&amp;U506)+1)</f>
        <v/>
      </c>
    </row>
    <row r="507" customFormat="false" ht="15" hidden="false" customHeight="false" outlineLevel="0" collapsed="false">
      <c r="A507" s="0" t="n">
        <v>9</v>
      </c>
      <c r="B507" s="0" t="n">
        <v>26</v>
      </c>
      <c r="C507" s="0" t="str">
        <f aca="false">TRIM(SUBSTITUTE(INDEX(LISTAS!$A$4:$T$63,B507,A507)&amp;"",CHAR(160)," "))</f>
        <v/>
      </c>
      <c r="D507" s="0" t="str">
        <f aca="false">IF(C507="","",TRIM(RIGHT(SUBSTITUTE(C507," ",REPT(" ",100)),100)))</f>
        <v/>
      </c>
      <c r="E507" s="0" t="str">
        <f aca="false">IF(D507="","",UPPER(SUBSTITUTE(SUBSTITUTE(D507,"(",""),")","")))</f>
        <v/>
      </c>
      <c r="F507" s="0" t="str">
        <f aca="false">IF(C507="","",LEFT(C507,FIND(" ",C507&amp;" ")-1))</f>
        <v/>
      </c>
      <c r="G507" s="0" t="n">
        <f aca="false">IFERROR(VALUE(SUBSTITUTE(LOWER(F507),"x","")),0)</f>
        <v>0</v>
      </c>
      <c r="H507" s="0" t="str">
        <f aca="false">IF(C507="","",TRIM(MID(C507,LEN(F507)+2,999)))</f>
        <v/>
      </c>
      <c r="I507" s="0" t="n">
        <f aca="false">IF(OR(C507="",LEFT(C507,2)="//"),0,IFERROR(IF(AND(G507&gt;0,G507=INT(G507),FIND("-",E507)&gt;1,NOT(EXACT(UPPER(LEFT(E507,1)),LOWER(LEFT(E507,1)))),ISNUMBER(VALUE(MID(E507,FIND("-",E507)+1,10)))),1,0),0))</f>
        <v>0</v>
      </c>
      <c r="J507" s="0" t="str">
        <f aca="false">IF(I507=1,TRIM(LEFT(H507,MAX(0,LEN(H507)-LEN(D507)))),"")</f>
        <v/>
      </c>
      <c r="K507" s="0" t="str">
        <f aca="false">INDEX($P$2:$P$21,A507)</f>
        <v>Deck 9</v>
      </c>
      <c r="L507" s="0" t="n">
        <f aca="false">IF(AND(C507&lt;&gt;"",LEFT(C507,2)&lt;&gt;"//",I507=0),1,0)</f>
        <v>0</v>
      </c>
      <c r="M507" s="0" t="str">
        <f aca="false">IF(I507=1,MAX(M$1:M506)+1,"")</f>
        <v/>
      </c>
      <c r="N507" s="0" t="str">
        <f aca="false">IFERROR(MATCH(ROW()-1,$V$2:$V$1201,0),"")</f>
        <v/>
      </c>
      <c r="R507" s="0" t="str">
        <f aca="false">IF(E507="","",IFERROR(LEFT(E507,FIND("-",E507)-1),E507))</f>
        <v/>
      </c>
      <c r="S507" s="0" t="str">
        <f aca="false">IF(R507="","",IF(ISNUMBER(--MID(R507,1,1)),0,IF(ISNUMBER(--MID(R507,2,1)),1,IF(ISNUMBER(--MID(R507,3,1)),2,IF(ISNUMBER(--MID(R507,4,1)),3,MIN(LEN(R507),4))))))</f>
        <v/>
      </c>
      <c r="T507" s="0" t="str">
        <f aca="false">IF(E507="","",LEFT(R507,S507)&amp;REPT("0",4-S507)&amp;RIGHT("000"&amp;IFERROR(VALUE(MID(R507,S507+1,9)),0),3)&amp;RIGHT("0000"&amp;IFERROR(VALUE(MID(E507,FIND("-",E507)+1,9)),0),4))</f>
        <v/>
      </c>
      <c r="U507" s="0" t="str">
        <f aca="false">IF(I507=1,"K"&amp;RIGHT("00"&amp;A507,2)&amp;T507&amp;RIGHT("00000"&amp;ROW(),5),"")</f>
        <v/>
      </c>
      <c r="V507" s="0" t="str">
        <f aca="false">IF(U507="","",COUNTIFS($I$2:$I$1201,1,$U$2:$U$1201,"&lt;"&amp;U507)+1)</f>
        <v/>
      </c>
    </row>
    <row r="508" customFormat="false" ht="15" hidden="false" customHeight="false" outlineLevel="0" collapsed="false">
      <c r="A508" s="0" t="n">
        <v>9</v>
      </c>
      <c r="B508" s="0" t="n">
        <v>27</v>
      </c>
      <c r="C508" s="0" t="str">
        <f aca="false">TRIM(SUBSTITUTE(INDEX(LISTAS!$A$4:$T$63,B508,A508)&amp;"",CHAR(160)," "))</f>
        <v/>
      </c>
      <c r="D508" s="0" t="str">
        <f aca="false">IF(C508="","",TRIM(RIGHT(SUBSTITUTE(C508," ",REPT(" ",100)),100)))</f>
        <v/>
      </c>
      <c r="E508" s="0" t="str">
        <f aca="false">IF(D508="","",UPPER(SUBSTITUTE(SUBSTITUTE(D508,"(",""),")","")))</f>
        <v/>
      </c>
      <c r="F508" s="0" t="str">
        <f aca="false">IF(C508="","",LEFT(C508,FIND(" ",C508&amp;" ")-1))</f>
        <v/>
      </c>
      <c r="G508" s="0" t="n">
        <f aca="false">IFERROR(VALUE(SUBSTITUTE(LOWER(F508),"x","")),0)</f>
        <v>0</v>
      </c>
      <c r="H508" s="0" t="str">
        <f aca="false">IF(C508="","",TRIM(MID(C508,LEN(F508)+2,999)))</f>
        <v/>
      </c>
      <c r="I508" s="0" t="n">
        <f aca="false">IF(OR(C508="",LEFT(C508,2)="//"),0,IFERROR(IF(AND(G508&gt;0,G508=INT(G508),FIND("-",E508)&gt;1,NOT(EXACT(UPPER(LEFT(E508,1)),LOWER(LEFT(E508,1)))),ISNUMBER(VALUE(MID(E508,FIND("-",E508)+1,10)))),1,0),0))</f>
        <v>0</v>
      </c>
      <c r="J508" s="0" t="str">
        <f aca="false">IF(I508=1,TRIM(LEFT(H508,MAX(0,LEN(H508)-LEN(D508)))),"")</f>
        <v/>
      </c>
      <c r="K508" s="0" t="str">
        <f aca="false">INDEX($P$2:$P$21,A508)</f>
        <v>Deck 9</v>
      </c>
      <c r="L508" s="0" t="n">
        <f aca="false">IF(AND(C508&lt;&gt;"",LEFT(C508,2)&lt;&gt;"//",I508=0),1,0)</f>
        <v>0</v>
      </c>
      <c r="M508" s="0" t="str">
        <f aca="false">IF(I508=1,MAX(M$1:M507)+1,"")</f>
        <v/>
      </c>
      <c r="N508" s="0" t="str">
        <f aca="false">IFERROR(MATCH(ROW()-1,$V$2:$V$1201,0),"")</f>
        <v/>
      </c>
      <c r="R508" s="0" t="str">
        <f aca="false">IF(E508="","",IFERROR(LEFT(E508,FIND("-",E508)-1),E508))</f>
        <v/>
      </c>
      <c r="S508" s="0" t="str">
        <f aca="false">IF(R508="","",IF(ISNUMBER(--MID(R508,1,1)),0,IF(ISNUMBER(--MID(R508,2,1)),1,IF(ISNUMBER(--MID(R508,3,1)),2,IF(ISNUMBER(--MID(R508,4,1)),3,MIN(LEN(R508),4))))))</f>
        <v/>
      </c>
      <c r="T508" s="0" t="str">
        <f aca="false">IF(E508="","",LEFT(R508,S508)&amp;REPT("0",4-S508)&amp;RIGHT("000"&amp;IFERROR(VALUE(MID(R508,S508+1,9)),0),3)&amp;RIGHT("0000"&amp;IFERROR(VALUE(MID(E508,FIND("-",E508)+1,9)),0),4))</f>
        <v/>
      </c>
      <c r="U508" s="0" t="str">
        <f aca="false">IF(I508=1,"K"&amp;RIGHT("00"&amp;A508,2)&amp;T508&amp;RIGHT("00000"&amp;ROW(),5),"")</f>
        <v/>
      </c>
      <c r="V508" s="0" t="str">
        <f aca="false">IF(U508="","",COUNTIFS($I$2:$I$1201,1,$U$2:$U$1201,"&lt;"&amp;U508)+1)</f>
        <v/>
      </c>
    </row>
    <row r="509" customFormat="false" ht="15" hidden="false" customHeight="false" outlineLevel="0" collapsed="false">
      <c r="A509" s="0" t="n">
        <v>9</v>
      </c>
      <c r="B509" s="0" t="n">
        <v>28</v>
      </c>
      <c r="C509" s="0" t="str">
        <f aca="false">TRIM(SUBSTITUTE(INDEX(LISTAS!$A$4:$T$63,B509,A509)&amp;"",CHAR(160)," "))</f>
        <v/>
      </c>
      <c r="D509" s="0" t="str">
        <f aca="false">IF(C509="","",TRIM(RIGHT(SUBSTITUTE(C509," ",REPT(" ",100)),100)))</f>
        <v/>
      </c>
      <c r="E509" s="0" t="str">
        <f aca="false">IF(D509="","",UPPER(SUBSTITUTE(SUBSTITUTE(D509,"(",""),")","")))</f>
        <v/>
      </c>
      <c r="F509" s="0" t="str">
        <f aca="false">IF(C509="","",LEFT(C509,FIND(" ",C509&amp;" ")-1))</f>
        <v/>
      </c>
      <c r="G509" s="0" t="n">
        <f aca="false">IFERROR(VALUE(SUBSTITUTE(LOWER(F509),"x","")),0)</f>
        <v>0</v>
      </c>
      <c r="H509" s="0" t="str">
        <f aca="false">IF(C509="","",TRIM(MID(C509,LEN(F509)+2,999)))</f>
        <v/>
      </c>
      <c r="I509" s="0" t="n">
        <f aca="false">IF(OR(C509="",LEFT(C509,2)="//"),0,IFERROR(IF(AND(G509&gt;0,G509=INT(G509),FIND("-",E509)&gt;1,NOT(EXACT(UPPER(LEFT(E509,1)),LOWER(LEFT(E509,1)))),ISNUMBER(VALUE(MID(E509,FIND("-",E509)+1,10)))),1,0),0))</f>
        <v>0</v>
      </c>
      <c r="J509" s="0" t="str">
        <f aca="false">IF(I509=1,TRIM(LEFT(H509,MAX(0,LEN(H509)-LEN(D509)))),"")</f>
        <v/>
      </c>
      <c r="K509" s="0" t="str">
        <f aca="false">INDEX($P$2:$P$21,A509)</f>
        <v>Deck 9</v>
      </c>
      <c r="L509" s="0" t="n">
        <f aca="false">IF(AND(C509&lt;&gt;"",LEFT(C509,2)&lt;&gt;"//",I509=0),1,0)</f>
        <v>0</v>
      </c>
      <c r="M509" s="0" t="str">
        <f aca="false">IF(I509=1,MAX(M$1:M508)+1,"")</f>
        <v/>
      </c>
      <c r="N509" s="0" t="str">
        <f aca="false">IFERROR(MATCH(ROW()-1,$V$2:$V$1201,0),"")</f>
        <v/>
      </c>
      <c r="R509" s="0" t="str">
        <f aca="false">IF(E509="","",IFERROR(LEFT(E509,FIND("-",E509)-1),E509))</f>
        <v/>
      </c>
      <c r="S509" s="0" t="str">
        <f aca="false">IF(R509="","",IF(ISNUMBER(--MID(R509,1,1)),0,IF(ISNUMBER(--MID(R509,2,1)),1,IF(ISNUMBER(--MID(R509,3,1)),2,IF(ISNUMBER(--MID(R509,4,1)),3,MIN(LEN(R509),4))))))</f>
        <v/>
      </c>
      <c r="T509" s="0" t="str">
        <f aca="false">IF(E509="","",LEFT(R509,S509)&amp;REPT("0",4-S509)&amp;RIGHT("000"&amp;IFERROR(VALUE(MID(R509,S509+1,9)),0),3)&amp;RIGHT("0000"&amp;IFERROR(VALUE(MID(E509,FIND("-",E509)+1,9)),0),4))</f>
        <v/>
      </c>
      <c r="U509" s="0" t="str">
        <f aca="false">IF(I509=1,"K"&amp;RIGHT("00"&amp;A509,2)&amp;T509&amp;RIGHT("00000"&amp;ROW(),5),"")</f>
        <v/>
      </c>
      <c r="V509" s="0" t="str">
        <f aca="false">IF(U509="","",COUNTIFS($I$2:$I$1201,1,$U$2:$U$1201,"&lt;"&amp;U509)+1)</f>
        <v/>
      </c>
    </row>
    <row r="510" customFormat="false" ht="15" hidden="false" customHeight="false" outlineLevel="0" collapsed="false">
      <c r="A510" s="0" t="n">
        <v>9</v>
      </c>
      <c r="B510" s="0" t="n">
        <v>29</v>
      </c>
      <c r="C510" s="0" t="str">
        <f aca="false">TRIM(SUBSTITUTE(INDEX(LISTAS!$A$4:$T$63,B510,A510)&amp;"",CHAR(160)," "))</f>
        <v/>
      </c>
      <c r="D510" s="0" t="str">
        <f aca="false">IF(C510="","",TRIM(RIGHT(SUBSTITUTE(C510," ",REPT(" ",100)),100)))</f>
        <v/>
      </c>
      <c r="E510" s="0" t="str">
        <f aca="false">IF(D510="","",UPPER(SUBSTITUTE(SUBSTITUTE(D510,"(",""),")","")))</f>
        <v/>
      </c>
      <c r="F510" s="0" t="str">
        <f aca="false">IF(C510="","",LEFT(C510,FIND(" ",C510&amp;" ")-1))</f>
        <v/>
      </c>
      <c r="G510" s="0" t="n">
        <f aca="false">IFERROR(VALUE(SUBSTITUTE(LOWER(F510),"x","")),0)</f>
        <v>0</v>
      </c>
      <c r="H510" s="0" t="str">
        <f aca="false">IF(C510="","",TRIM(MID(C510,LEN(F510)+2,999)))</f>
        <v/>
      </c>
      <c r="I510" s="0" t="n">
        <f aca="false">IF(OR(C510="",LEFT(C510,2)="//"),0,IFERROR(IF(AND(G510&gt;0,G510=INT(G510),FIND("-",E510)&gt;1,NOT(EXACT(UPPER(LEFT(E510,1)),LOWER(LEFT(E510,1)))),ISNUMBER(VALUE(MID(E510,FIND("-",E510)+1,10)))),1,0),0))</f>
        <v>0</v>
      </c>
      <c r="J510" s="0" t="str">
        <f aca="false">IF(I510=1,TRIM(LEFT(H510,MAX(0,LEN(H510)-LEN(D510)))),"")</f>
        <v/>
      </c>
      <c r="K510" s="0" t="str">
        <f aca="false">INDEX($P$2:$P$21,A510)</f>
        <v>Deck 9</v>
      </c>
      <c r="L510" s="0" t="n">
        <f aca="false">IF(AND(C510&lt;&gt;"",LEFT(C510,2)&lt;&gt;"//",I510=0),1,0)</f>
        <v>0</v>
      </c>
      <c r="M510" s="0" t="str">
        <f aca="false">IF(I510=1,MAX(M$1:M509)+1,"")</f>
        <v/>
      </c>
      <c r="N510" s="0" t="str">
        <f aca="false">IFERROR(MATCH(ROW()-1,$V$2:$V$1201,0),"")</f>
        <v/>
      </c>
      <c r="R510" s="0" t="str">
        <f aca="false">IF(E510="","",IFERROR(LEFT(E510,FIND("-",E510)-1),E510))</f>
        <v/>
      </c>
      <c r="S510" s="0" t="str">
        <f aca="false">IF(R510="","",IF(ISNUMBER(--MID(R510,1,1)),0,IF(ISNUMBER(--MID(R510,2,1)),1,IF(ISNUMBER(--MID(R510,3,1)),2,IF(ISNUMBER(--MID(R510,4,1)),3,MIN(LEN(R510),4))))))</f>
        <v/>
      </c>
      <c r="T510" s="0" t="str">
        <f aca="false">IF(E510="","",LEFT(R510,S510)&amp;REPT("0",4-S510)&amp;RIGHT("000"&amp;IFERROR(VALUE(MID(R510,S510+1,9)),0),3)&amp;RIGHT("0000"&amp;IFERROR(VALUE(MID(E510,FIND("-",E510)+1,9)),0),4))</f>
        <v/>
      </c>
      <c r="U510" s="0" t="str">
        <f aca="false">IF(I510=1,"K"&amp;RIGHT("00"&amp;A510,2)&amp;T510&amp;RIGHT("00000"&amp;ROW(),5),"")</f>
        <v/>
      </c>
      <c r="V510" s="0" t="str">
        <f aca="false">IF(U510="","",COUNTIFS($I$2:$I$1201,1,$U$2:$U$1201,"&lt;"&amp;U510)+1)</f>
        <v/>
      </c>
    </row>
    <row r="511" customFormat="false" ht="15" hidden="false" customHeight="false" outlineLevel="0" collapsed="false">
      <c r="A511" s="0" t="n">
        <v>9</v>
      </c>
      <c r="B511" s="0" t="n">
        <v>30</v>
      </c>
      <c r="C511" s="0" t="str">
        <f aca="false">TRIM(SUBSTITUTE(INDEX(LISTAS!$A$4:$T$63,B511,A511)&amp;"",CHAR(160)," "))</f>
        <v/>
      </c>
      <c r="D511" s="0" t="str">
        <f aca="false">IF(C511="","",TRIM(RIGHT(SUBSTITUTE(C511," ",REPT(" ",100)),100)))</f>
        <v/>
      </c>
      <c r="E511" s="0" t="str">
        <f aca="false">IF(D511="","",UPPER(SUBSTITUTE(SUBSTITUTE(D511,"(",""),")","")))</f>
        <v/>
      </c>
      <c r="F511" s="0" t="str">
        <f aca="false">IF(C511="","",LEFT(C511,FIND(" ",C511&amp;" ")-1))</f>
        <v/>
      </c>
      <c r="G511" s="0" t="n">
        <f aca="false">IFERROR(VALUE(SUBSTITUTE(LOWER(F511),"x","")),0)</f>
        <v>0</v>
      </c>
      <c r="H511" s="0" t="str">
        <f aca="false">IF(C511="","",TRIM(MID(C511,LEN(F511)+2,999)))</f>
        <v/>
      </c>
      <c r="I511" s="0" t="n">
        <f aca="false">IF(OR(C511="",LEFT(C511,2)="//"),0,IFERROR(IF(AND(G511&gt;0,G511=INT(G511),FIND("-",E511)&gt;1,NOT(EXACT(UPPER(LEFT(E511,1)),LOWER(LEFT(E511,1)))),ISNUMBER(VALUE(MID(E511,FIND("-",E511)+1,10)))),1,0),0))</f>
        <v>0</v>
      </c>
      <c r="J511" s="0" t="str">
        <f aca="false">IF(I511=1,TRIM(LEFT(H511,MAX(0,LEN(H511)-LEN(D511)))),"")</f>
        <v/>
      </c>
      <c r="K511" s="0" t="str">
        <f aca="false">INDEX($P$2:$P$21,A511)</f>
        <v>Deck 9</v>
      </c>
      <c r="L511" s="0" t="n">
        <f aca="false">IF(AND(C511&lt;&gt;"",LEFT(C511,2)&lt;&gt;"//",I511=0),1,0)</f>
        <v>0</v>
      </c>
      <c r="M511" s="0" t="str">
        <f aca="false">IF(I511=1,MAX(M$1:M510)+1,"")</f>
        <v/>
      </c>
      <c r="N511" s="0" t="str">
        <f aca="false">IFERROR(MATCH(ROW()-1,$V$2:$V$1201,0),"")</f>
        <v/>
      </c>
      <c r="R511" s="0" t="str">
        <f aca="false">IF(E511="","",IFERROR(LEFT(E511,FIND("-",E511)-1),E511))</f>
        <v/>
      </c>
      <c r="S511" s="0" t="str">
        <f aca="false">IF(R511="","",IF(ISNUMBER(--MID(R511,1,1)),0,IF(ISNUMBER(--MID(R511,2,1)),1,IF(ISNUMBER(--MID(R511,3,1)),2,IF(ISNUMBER(--MID(R511,4,1)),3,MIN(LEN(R511),4))))))</f>
        <v/>
      </c>
      <c r="T511" s="0" t="str">
        <f aca="false">IF(E511="","",LEFT(R511,S511)&amp;REPT("0",4-S511)&amp;RIGHT("000"&amp;IFERROR(VALUE(MID(R511,S511+1,9)),0),3)&amp;RIGHT("0000"&amp;IFERROR(VALUE(MID(E511,FIND("-",E511)+1,9)),0),4))</f>
        <v/>
      </c>
      <c r="U511" s="0" t="str">
        <f aca="false">IF(I511=1,"K"&amp;RIGHT("00"&amp;A511,2)&amp;T511&amp;RIGHT("00000"&amp;ROW(),5),"")</f>
        <v/>
      </c>
      <c r="V511" s="0" t="str">
        <f aca="false">IF(U511="","",COUNTIFS($I$2:$I$1201,1,$U$2:$U$1201,"&lt;"&amp;U511)+1)</f>
        <v/>
      </c>
    </row>
    <row r="512" customFormat="false" ht="15" hidden="false" customHeight="false" outlineLevel="0" collapsed="false">
      <c r="A512" s="0" t="n">
        <v>9</v>
      </c>
      <c r="B512" s="0" t="n">
        <v>31</v>
      </c>
      <c r="C512" s="0" t="str">
        <f aca="false">TRIM(SUBSTITUTE(INDEX(LISTAS!$A$4:$T$63,B512,A512)&amp;"",CHAR(160)," "))</f>
        <v/>
      </c>
      <c r="D512" s="0" t="str">
        <f aca="false">IF(C512="","",TRIM(RIGHT(SUBSTITUTE(C512," ",REPT(" ",100)),100)))</f>
        <v/>
      </c>
      <c r="E512" s="0" t="str">
        <f aca="false">IF(D512="","",UPPER(SUBSTITUTE(SUBSTITUTE(D512,"(",""),")","")))</f>
        <v/>
      </c>
      <c r="F512" s="0" t="str">
        <f aca="false">IF(C512="","",LEFT(C512,FIND(" ",C512&amp;" ")-1))</f>
        <v/>
      </c>
      <c r="G512" s="0" t="n">
        <f aca="false">IFERROR(VALUE(SUBSTITUTE(LOWER(F512),"x","")),0)</f>
        <v>0</v>
      </c>
      <c r="H512" s="0" t="str">
        <f aca="false">IF(C512="","",TRIM(MID(C512,LEN(F512)+2,999)))</f>
        <v/>
      </c>
      <c r="I512" s="0" t="n">
        <f aca="false">IF(OR(C512="",LEFT(C512,2)="//"),0,IFERROR(IF(AND(G512&gt;0,G512=INT(G512),FIND("-",E512)&gt;1,NOT(EXACT(UPPER(LEFT(E512,1)),LOWER(LEFT(E512,1)))),ISNUMBER(VALUE(MID(E512,FIND("-",E512)+1,10)))),1,0),0))</f>
        <v>0</v>
      </c>
      <c r="J512" s="0" t="str">
        <f aca="false">IF(I512=1,TRIM(LEFT(H512,MAX(0,LEN(H512)-LEN(D512)))),"")</f>
        <v/>
      </c>
      <c r="K512" s="0" t="str">
        <f aca="false">INDEX($P$2:$P$21,A512)</f>
        <v>Deck 9</v>
      </c>
      <c r="L512" s="0" t="n">
        <f aca="false">IF(AND(C512&lt;&gt;"",LEFT(C512,2)&lt;&gt;"//",I512=0),1,0)</f>
        <v>0</v>
      </c>
      <c r="M512" s="0" t="str">
        <f aca="false">IF(I512=1,MAX(M$1:M511)+1,"")</f>
        <v/>
      </c>
      <c r="N512" s="0" t="str">
        <f aca="false">IFERROR(MATCH(ROW()-1,$V$2:$V$1201,0),"")</f>
        <v/>
      </c>
      <c r="R512" s="0" t="str">
        <f aca="false">IF(E512="","",IFERROR(LEFT(E512,FIND("-",E512)-1),E512))</f>
        <v/>
      </c>
      <c r="S512" s="0" t="str">
        <f aca="false">IF(R512="","",IF(ISNUMBER(--MID(R512,1,1)),0,IF(ISNUMBER(--MID(R512,2,1)),1,IF(ISNUMBER(--MID(R512,3,1)),2,IF(ISNUMBER(--MID(R512,4,1)),3,MIN(LEN(R512),4))))))</f>
        <v/>
      </c>
      <c r="T512" s="0" t="str">
        <f aca="false">IF(E512="","",LEFT(R512,S512)&amp;REPT("0",4-S512)&amp;RIGHT("000"&amp;IFERROR(VALUE(MID(R512,S512+1,9)),0),3)&amp;RIGHT("0000"&amp;IFERROR(VALUE(MID(E512,FIND("-",E512)+1,9)),0),4))</f>
        <v/>
      </c>
      <c r="U512" s="0" t="str">
        <f aca="false">IF(I512=1,"K"&amp;RIGHT("00"&amp;A512,2)&amp;T512&amp;RIGHT("00000"&amp;ROW(),5),"")</f>
        <v/>
      </c>
      <c r="V512" s="0" t="str">
        <f aca="false">IF(U512="","",COUNTIFS($I$2:$I$1201,1,$U$2:$U$1201,"&lt;"&amp;U512)+1)</f>
        <v/>
      </c>
    </row>
    <row r="513" customFormat="false" ht="15" hidden="false" customHeight="false" outlineLevel="0" collapsed="false">
      <c r="A513" s="0" t="n">
        <v>9</v>
      </c>
      <c r="B513" s="0" t="n">
        <v>32</v>
      </c>
      <c r="C513" s="0" t="str">
        <f aca="false">TRIM(SUBSTITUTE(INDEX(LISTAS!$A$4:$T$63,B513,A513)&amp;"",CHAR(160)," "))</f>
        <v/>
      </c>
      <c r="D513" s="0" t="str">
        <f aca="false">IF(C513="","",TRIM(RIGHT(SUBSTITUTE(C513," ",REPT(" ",100)),100)))</f>
        <v/>
      </c>
      <c r="E513" s="0" t="str">
        <f aca="false">IF(D513="","",UPPER(SUBSTITUTE(SUBSTITUTE(D513,"(",""),")","")))</f>
        <v/>
      </c>
      <c r="F513" s="0" t="str">
        <f aca="false">IF(C513="","",LEFT(C513,FIND(" ",C513&amp;" ")-1))</f>
        <v/>
      </c>
      <c r="G513" s="0" t="n">
        <f aca="false">IFERROR(VALUE(SUBSTITUTE(LOWER(F513),"x","")),0)</f>
        <v>0</v>
      </c>
      <c r="H513" s="0" t="str">
        <f aca="false">IF(C513="","",TRIM(MID(C513,LEN(F513)+2,999)))</f>
        <v/>
      </c>
      <c r="I513" s="0" t="n">
        <f aca="false">IF(OR(C513="",LEFT(C513,2)="//"),0,IFERROR(IF(AND(G513&gt;0,G513=INT(G513),FIND("-",E513)&gt;1,NOT(EXACT(UPPER(LEFT(E513,1)),LOWER(LEFT(E513,1)))),ISNUMBER(VALUE(MID(E513,FIND("-",E513)+1,10)))),1,0),0))</f>
        <v>0</v>
      </c>
      <c r="J513" s="0" t="str">
        <f aca="false">IF(I513=1,TRIM(LEFT(H513,MAX(0,LEN(H513)-LEN(D513)))),"")</f>
        <v/>
      </c>
      <c r="K513" s="0" t="str">
        <f aca="false">INDEX($P$2:$P$21,A513)</f>
        <v>Deck 9</v>
      </c>
      <c r="L513" s="0" t="n">
        <f aca="false">IF(AND(C513&lt;&gt;"",LEFT(C513,2)&lt;&gt;"//",I513=0),1,0)</f>
        <v>0</v>
      </c>
      <c r="M513" s="0" t="str">
        <f aca="false">IF(I513=1,MAX(M$1:M512)+1,"")</f>
        <v/>
      </c>
      <c r="N513" s="0" t="str">
        <f aca="false">IFERROR(MATCH(ROW()-1,$V$2:$V$1201,0),"")</f>
        <v/>
      </c>
      <c r="R513" s="0" t="str">
        <f aca="false">IF(E513="","",IFERROR(LEFT(E513,FIND("-",E513)-1),E513))</f>
        <v/>
      </c>
      <c r="S513" s="0" t="str">
        <f aca="false">IF(R513="","",IF(ISNUMBER(--MID(R513,1,1)),0,IF(ISNUMBER(--MID(R513,2,1)),1,IF(ISNUMBER(--MID(R513,3,1)),2,IF(ISNUMBER(--MID(R513,4,1)),3,MIN(LEN(R513),4))))))</f>
        <v/>
      </c>
      <c r="T513" s="0" t="str">
        <f aca="false">IF(E513="","",LEFT(R513,S513)&amp;REPT("0",4-S513)&amp;RIGHT("000"&amp;IFERROR(VALUE(MID(R513,S513+1,9)),0),3)&amp;RIGHT("0000"&amp;IFERROR(VALUE(MID(E513,FIND("-",E513)+1,9)),0),4))</f>
        <v/>
      </c>
      <c r="U513" s="0" t="str">
        <f aca="false">IF(I513=1,"K"&amp;RIGHT("00"&amp;A513,2)&amp;T513&amp;RIGHT("00000"&amp;ROW(),5),"")</f>
        <v/>
      </c>
      <c r="V513" s="0" t="str">
        <f aca="false">IF(U513="","",COUNTIFS($I$2:$I$1201,1,$U$2:$U$1201,"&lt;"&amp;U513)+1)</f>
        <v/>
      </c>
    </row>
    <row r="514" customFormat="false" ht="15" hidden="false" customHeight="false" outlineLevel="0" collapsed="false">
      <c r="A514" s="0" t="n">
        <v>9</v>
      </c>
      <c r="B514" s="0" t="n">
        <v>33</v>
      </c>
      <c r="C514" s="0" t="str">
        <f aca="false">TRIM(SUBSTITUTE(INDEX(LISTAS!$A$4:$T$63,B514,A514)&amp;"",CHAR(160)," "))</f>
        <v/>
      </c>
      <c r="D514" s="0" t="str">
        <f aca="false">IF(C514="","",TRIM(RIGHT(SUBSTITUTE(C514," ",REPT(" ",100)),100)))</f>
        <v/>
      </c>
      <c r="E514" s="0" t="str">
        <f aca="false">IF(D514="","",UPPER(SUBSTITUTE(SUBSTITUTE(D514,"(",""),")","")))</f>
        <v/>
      </c>
      <c r="F514" s="0" t="str">
        <f aca="false">IF(C514="","",LEFT(C514,FIND(" ",C514&amp;" ")-1))</f>
        <v/>
      </c>
      <c r="G514" s="0" t="n">
        <f aca="false">IFERROR(VALUE(SUBSTITUTE(LOWER(F514),"x","")),0)</f>
        <v>0</v>
      </c>
      <c r="H514" s="0" t="str">
        <f aca="false">IF(C514="","",TRIM(MID(C514,LEN(F514)+2,999)))</f>
        <v/>
      </c>
      <c r="I514" s="0" t="n">
        <f aca="false">IF(OR(C514="",LEFT(C514,2)="//"),0,IFERROR(IF(AND(G514&gt;0,G514=INT(G514),FIND("-",E514)&gt;1,NOT(EXACT(UPPER(LEFT(E514,1)),LOWER(LEFT(E514,1)))),ISNUMBER(VALUE(MID(E514,FIND("-",E514)+1,10)))),1,0),0))</f>
        <v>0</v>
      </c>
      <c r="J514" s="0" t="str">
        <f aca="false">IF(I514=1,TRIM(LEFT(H514,MAX(0,LEN(H514)-LEN(D514)))),"")</f>
        <v/>
      </c>
      <c r="K514" s="0" t="str">
        <f aca="false">INDEX($P$2:$P$21,A514)</f>
        <v>Deck 9</v>
      </c>
      <c r="L514" s="0" t="n">
        <f aca="false">IF(AND(C514&lt;&gt;"",LEFT(C514,2)&lt;&gt;"//",I514=0),1,0)</f>
        <v>0</v>
      </c>
      <c r="M514" s="0" t="str">
        <f aca="false">IF(I514=1,MAX(M$1:M513)+1,"")</f>
        <v/>
      </c>
      <c r="N514" s="0" t="str">
        <f aca="false">IFERROR(MATCH(ROW()-1,$V$2:$V$1201,0),"")</f>
        <v/>
      </c>
      <c r="R514" s="0" t="str">
        <f aca="false">IF(E514="","",IFERROR(LEFT(E514,FIND("-",E514)-1),E514))</f>
        <v/>
      </c>
      <c r="S514" s="0" t="str">
        <f aca="false">IF(R514="","",IF(ISNUMBER(--MID(R514,1,1)),0,IF(ISNUMBER(--MID(R514,2,1)),1,IF(ISNUMBER(--MID(R514,3,1)),2,IF(ISNUMBER(--MID(R514,4,1)),3,MIN(LEN(R514),4))))))</f>
        <v/>
      </c>
      <c r="T514" s="0" t="str">
        <f aca="false">IF(E514="","",LEFT(R514,S514)&amp;REPT("0",4-S514)&amp;RIGHT("000"&amp;IFERROR(VALUE(MID(R514,S514+1,9)),0),3)&amp;RIGHT("0000"&amp;IFERROR(VALUE(MID(E514,FIND("-",E514)+1,9)),0),4))</f>
        <v/>
      </c>
      <c r="U514" s="0" t="str">
        <f aca="false">IF(I514=1,"K"&amp;RIGHT("00"&amp;A514,2)&amp;T514&amp;RIGHT("00000"&amp;ROW(),5),"")</f>
        <v/>
      </c>
      <c r="V514" s="0" t="str">
        <f aca="false">IF(U514="","",COUNTIFS($I$2:$I$1201,1,$U$2:$U$1201,"&lt;"&amp;U514)+1)</f>
        <v/>
      </c>
    </row>
    <row r="515" customFormat="false" ht="15" hidden="false" customHeight="false" outlineLevel="0" collapsed="false">
      <c r="A515" s="0" t="n">
        <v>9</v>
      </c>
      <c r="B515" s="0" t="n">
        <v>34</v>
      </c>
      <c r="C515" s="0" t="str">
        <f aca="false">TRIM(SUBSTITUTE(INDEX(LISTAS!$A$4:$T$63,B515,A515)&amp;"",CHAR(160)," "))</f>
        <v/>
      </c>
      <c r="D515" s="0" t="str">
        <f aca="false">IF(C515="","",TRIM(RIGHT(SUBSTITUTE(C515," ",REPT(" ",100)),100)))</f>
        <v/>
      </c>
      <c r="E515" s="0" t="str">
        <f aca="false">IF(D515="","",UPPER(SUBSTITUTE(SUBSTITUTE(D515,"(",""),")","")))</f>
        <v/>
      </c>
      <c r="F515" s="0" t="str">
        <f aca="false">IF(C515="","",LEFT(C515,FIND(" ",C515&amp;" ")-1))</f>
        <v/>
      </c>
      <c r="G515" s="0" t="n">
        <f aca="false">IFERROR(VALUE(SUBSTITUTE(LOWER(F515),"x","")),0)</f>
        <v>0</v>
      </c>
      <c r="H515" s="0" t="str">
        <f aca="false">IF(C515="","",TRIM(MID(C515,LEN(F515)+2,999)))</f>
        <v/>
      </c>
      <c r="I515" s="0" t="n">
        <f aca="false">IF(OR(C515="",LEFT(C515,2)="//"),0,IFERROR(IF(AND(G515&gt;0,G515=INT(G515),FIND("-",E515)&gt;1,NOT(EXACT(UPPER(LEFT(E515,1)),LOWER(LEFT(E515,1)))),ISNUMBER(VALUE(MID(E515,FIND("-",E515)+1,10)))),1,0),0))</f>
        <v>0</v>
      </c>
      <c r="J515" s="0" t="str">
        <f aca="false">IF(I515=1,TRIM(LEFT(H515,MAX(0,LEN(H515)-LEN(D515)))),"")</f>
        <v/>
      </c>
      <c r="K515" s="0" t="str">
        <f aca="false">INDEX($P$2:$P$21,A515)</f>
        <v>Deck 9</v>
      </c>
      <c r="L515" s="0" t="n">
        <f aca="false">IF(AND(C515&lt;&gt;"",LEFT(C515,2)&lt;&gt;"//",I515=0),1,0)</f>
        <v>0</v>
      </c>
      <c r="M515" s="0" t="str">
        <f aca="false">IF(I515=1,MAX(M$1:M514)+1,"")</f>
        <v/>
      </c>
      <c r="N515" s="0" t="str">
        <f aca="false">IFERROR(MATCH(ROW()-1,$V$2:$V$1201,0),"")</f>
        <v/>
      </c>
      <c r="R515" s="0" t="str">
        <f aca="false">IF(E515="","",IFERROR(LEFT(E515,FIND("-",E515)-1),E515))</f>
        <v/>
      </c>
      <c r="S515" s="0" t="str">
        <f aca="false">IF(R515="","",IF(ISNUMBER(--MID(R515,1,1)),0,IF(ISNUMBER(--MID(R515,2,1)),1,IF(ISNUMBER(--MID(R515,3,1)),2,IF(ISNUMBER(--MID(R515,4,1)),3,MIN(LEN(R515),4))))))</f>
        <v/>
      </c>
      <c r="T515" s="0" t="str">
        <f aca="false">IF(E515="","",LEFT(R515,S515)&amp;REPT("0",4-S515)&amp;RIGHT("000"&amp;IFERROR(VALUE(MID(R515,S515+1,9)),0),3)&amp;RIGHT("0000"&amp;IFERROR(VALUE(MID(E515,FIND("-",E515)+1,9)),0),4))</f>
        <v/>
      </c>
      <c r="U515" s="0" t="str">
        <f aca="false">IF(I515=1,"K"&amp;RIGHT("00"&amp;A515,2)&amp;T515&amp;RIGHT("00000"&amp;ROW(),5),"")</f>
        <v/>
      </c>
      <c r="V515" s="0" t="str">
        <f aca="false">IF(U515="","",COUNTIFS($I$2:$I$1201,1,$U$2:$U$1201,"&lt;"&amp;U515)+1)</f>
        <v/>
      </c>
    </row>
    <row r="516" customFormat="false" ht="15" hidden="false" customHeight="false" outlineLevel="0" collapsed="false">
      <c r="A516" s="0" t="n">
        <v>9</v>
      </c>
      <c r="B516" s="0" t="n">
        <v>35</v>
      </c>
      <c r="C516" s="0" t="str">
        <f aca="false">TRIM(SUBSTITUTE(INDEX(LISTAS!$A$4:$T$63,B516,A516)&amp;"",CHAR(160)," "))</f>
        <v/>
      </c>
      <c r="D516" s="0" t="str">
        <f aca="false">IF(C516="","",TRIM(RIGHT(SUBSTITUTE(C516," ",REPT(" ",100)),100)))</f>
        <v/>
      </c>
      <c r="E516" s="0" t="str">
        <f aca="false">IF(D516="","",UPPER(SUBSTITUTE(SUBSTITUTE(D516,"(",""),")","")))</f>
        <v/>
      </c>
      <c r="F516" s="0" t="str">
        <f aca="false">IF(C516="","",LEFT(C516,FIND(" ",C516&amp;" ")-1))</f>
        <v/>
      </c>
      <c r="G516" s="0" t="n">
        <f aca="false">IFERROR(VALUE(SUBSTITUTE(LOWER(F516),"x","")),0)</f>
        <v>0</v>
      </c>
      <c r="H516" s="0" t="str">
        <f aca="false">IF(C516="","",TRIM(MID(C516,LEN(F516)+2,999)))</f>
        <v/>
      </c>
      <c r="I516" s="0" t="n">
        <f aca="false">IF(OR(C516="",LEFT(C516,2)="//"),0,IFERROR(IF(AND(G516&gt;0,G516=INT(G516),FIND("-",E516)&gt;1,NOT(EXACT(UPPER(LEFT(E516,1)),LOWER(LEFT(E516,1)))),ISNUMBER(VALUE(MID(E516,FIND("-",E516)+1,10)))),1,0),0))</f>
        <v>0</v>
      </c>
      <c r="J516" s="0" t="str">
        <f aca="false">IF(I516=1,TRIM(LEFT(H516,MAX(0,LEN(H516)-LEN(D516)))),"")</f>
        <v/>
      </c>
      <c r="K516" s="0" t="str">
        <f aca="false">INDEX($P$2:$P$21,A516)</f>
        <v>Deck 9</v>
      </c>
      <c r="L516" s="0" t="n">
        <f aca="false">IF(AND(C516&lt;&gt;"",LEFT(C516,2)&lt;&gt;"//",I516=0),1,0)</f>
        <v>0</v>
      </c>
      <c r="M516" s="0" t="str">
        <f aca="false">IF(I516=1,MAX(M$1:M515)+1,"")</f>
        <v/>
      </c>
      <c r="N516" s="0" t="str">
        <f aca="false">IFERROR(MATCH(ROW()-1,$V$2:$V$1201,0),"")</f>
        <v/>
      </c>
      <c r="R516" s="0" t="str">
        <f aca="false">IF(E516="","",IFERROR(LEFT(E516,FIND("-",E516)-1),E516))</f>
        <v/>
      </c>
      <c r="S516" s="0" t="str">
        <f aca="false">IF(R516="","",IF(ISNUMBER(--MID(R516,1,1)),0,IF(ISNUMBER(--MID(R516,2,1)),1,IF(ISNUMBER(--MID(R516,3,1)),2,IF(ISNUMBER(--MID(R516,4,1)),3,MIN(LEN(R516),4))))))</f>
        <v/>
      </c>
      <c r="T516" s="0" t="str">
        <f aca="false">IF(E516="","",LEFT(R516,S516)&amp;REPT("0",4-S516)&amp;RIGHT("000"&amp;IFERROR(VALUE(MID(R516,S516+1,9)),0),3)&amp;RIGHT("0000"&amp;IFERROR(VALUE(MID(E516,FIND("-",E516)+1,9)),0),4))</f>
        <v/>
      </c>
      <c r="U516" s="0" t="str">
        <f aca="false">IF(I516=1,"K"&amp;RIGHT("00"&amp;A516,2)&amp;T516&amp;RIGHT("00000"&amp;ROW(),5),"")</f>
        <v/>
      </c>
      <c r="V516" s="0" t="str">
        <f aca="false">IF(U516="","",COUNTIFS($I$2:$I$1201,1,$U$2:$U$1201,"&lt;"&amp;U516)+1)</f>
        <v/>
      </c>
    </row>
    <row r="517" customFormat="false" ht="15" hidden="false" customHeight="false" outlineLevel="0" collapsed="false">
      <c r="A517" s="0" t="n">
        <v>9</v>
      </c>
      <c r="B517" s="0" t="n">
        <v>36</v>
      </c>
      <c r="C517" s="0" t="str">
        <f aca="false">TRIM(SUBSTITUTE(INDEX(LISTAS!$A$4:$T$63,B517,A517)&amp;"",CHAR(160)," "))</f>
        <v/>
      </c>
      <c r="D517" s="0" t="str">
        <f aca="false">IF(C517="","",TRIM(RIGHT(SUBSTITUTE(C517," ",REPT(" ",100)),100)))</f>
        <v/>
      </c>
      <c r="E517" s="0" t="str">
        <f aca="false">IF(D517="","",UPPER(SUBSTITUTE(SUBSTITUTE(D517,"(",""),")","")))</f>
        <v/>
      </c>
      <c r="F517" s="0" t="str">
        <f aca="false">IF(C517="","",LEFT(C517,FIND(" ",C517&amp;" ")-1))</f>
        <v/>
      </c>
      <c r="G517" s="0" t="n">
        <f aca="false">IFERROR(VALUE(SUBSTITUTE(LOWER(F517),"x","")),0)</f>
        <v>0</v>
      </c>
      <c r="H517" s="0" t="str">
        <f aca="false">IF(C517="","",TRIM(MID(C517,LEN(F517)+2,999)))</f>
        <v/>
      </c>
      <c r="I517" s="0" t="n">
        <f aca="false">IF(OR(C517="",LEFT(C517,2)="//"),0,IFERROR(IF(AND(G517&gt;0,G517=INT(G517),FIND("-",E517)&gt;1,NOT(EXACT(UPPER(LEFT(E517,1)),LOWER(LEFT(E517,1)))),ISNUMBER(VALUE(MID(E517,FIND("-",E517)+1,10)))),1,0),0))</f>
        <v>0</v>
      </c>
      <c r="J517" s="0" t="str">
        <f aca="false">IF(I517=1,TRIM(LEFT(H517,MAX(0,LEN(H517)-LEN(D517)))),"")</f>
        <v/>
      </c>
      <c r="K517" s="0" t="str">
        <f aca="false">INDEX($P$2:$P$21,A517)</f>
        <v>Deck 9</v>
      </c>
      <c r="L517" s="0" t="n">
        <f aca="false">IF(AND(C517&lt;&gt;"",LEFT(C517,2)&lt;&gt;"//",I517=0),1,0)</f>
        <v>0</v>
      </c>
      <c r="M517" s="0" t="str">
        <f aca="false">IF(I517=1,MAX(M$1:M516)+1,"")</f>
        <v/>
      </c>
      <c r="N517" s="0" t="str">
        <f aca="false">IFERROR(MATCH(ROW()-1,$V$2:$V$1201,0),"")</f>
        <v/>
      </c>
      <c r="R517" s="0" t="str">
        <f aca="false">IF(E517="","",IFERROR(LEFT(E517,FIND("-",E517)-1),E517))</f>
        <v/>
      </c>
      <c r="S517" s="0" t="str">
        <f aca="false">IF(R517="","",IF(ISNUMBER(--MID(R517,1,1)),0,IF(ISNUMBER(--MID(R517,2,1)),1,IF(ISNUMBER(--MID(R517,3,1)),2,IF(ISNUMBER(--MID(R517,4,1)),3,MIN(LEN(R517),4))))))</f>
        <v/>
      </c>
      <c r="T517" s="0" t="str">
        <f aca="false">IF(E517="","",LEFT(R517,S517)&amp;REPT("0",4-S517)&amp;RIGHT("000"&amp;IFERROR(VALUE(MID(R517,S517+1,9)),0),3)&amp;RIGHT("0000"&amp;IFERROR(VALUE(MID(E517,FIND("-",E517)+1,9)),0),4))</f>
        <v/>
      </c>
      <c r="U517" s="0" t="str">
        <f aca="false">IF(I517=1,"K"&amp;RIGHT("00"&amp;A517,2)&amp;T517&amp;RIGHT("00000"&amp;ROW(),5),"")</f>
        <v/>
      </c>
      <c r="V517" s="0" t="str">
        <f aca="false">IF(U517="","",COUNTIFS($I$2:$I$1201,1,$U$2:$U$1201,"&lt;"&amp;U517)+1)</f>
        <v/>
      </c>
    </row>
    <row r="518" customFormat="false" ht="15" hidden="false" customHeight="false" outlineLevel="0" collapsed="false">
      <c r="A518" s="0" t="n">
        <v>9</v>
      </c>
      <c r="B518" s="0" t="n">
        <v>37</v>
      </c>
      <c r="C518" s="0" t="str">
        <f aca="false">TRIM(SUBSTITUTE(INDEX(LISTAS!$A$4:$T$63,B518,A518)&amp;"",CHAR(160)," "))</f>
        <v/>
      </c>
      <c r="D518" s="0" t="str">
        <f aca="false">IF(C518="","",TRIM(RIGHT(SUBSTITUTE(C518," ",REPT(" ",100)),100)))</f>
        <v/>
      </c>
      <c r="E518" s="0" t="str">
        <f aca="false">IF(D518="","",UPPER(SUBSTITUTE(SUBSTITUTE(D518,"(",""),")","")))</f>
        <v/>
      </c>
      <c r="F518" s="0" t="str">
        <f aca="false">IF(C518="","",LEFT(C518,FIND(" ",C518&amp;" ")-1))</f>
        <v/>
      </c>
      <c r="G518" s="0" t="n">
        <f aca="false">IFERROR(VALUE(SUBSTITUTE(LOWER(F518),"x","")),0)</f>
        <v>0</v>
      </c>
      <c r="H518" s="0" t="str">
        <f aca="false">IF(C518="","",TRIM(MID(C518,LEN(F518)+2,999)))</f>
        <v/>
      </c>
      <c r="I518" s="0" t="n">
        <f aca="false">IF(OR(C518="",LEFT(C518,2)="//"),0,IFERROR(IF(AND(G518&gt;0,G518=INT(G518),FIND("-",E518)&gt;1,NOT(EXACT(UPPER(LEFT(E518,1)),LOWER(LEFT(E518,1)))),ISNUMBER(VALUE(MID(E518,FIND("-",E518)+1,10)))),1,0),0))</f>
        <v>0</v>
      </c>
      <c r="J518" s="0" t="str">
        <f aca="false">IF(I518=1,TRIM(LEFT(H518,MAX(0,LEN(H518)-LEN(D518)))),"")</f>
        <v/>
      </c>
      <c r="K518" s="0" t="str">
        <f aca="false">INDEX($P$2:$P$21,A518)</f>
        <v>Deck 9</v>
      </c>
      <c r="L518" s="0" t="n">
        <f aca="false">IF(AND(C518&lt;&gt;"",LEFT(C518,2)&lt;&gt;"//",I518=0),1,0)</f>
        <v>0</v>
      </c>
      <c r="M518" s="0" t="str">
        <f aca="false">IF(I518=1,MAX(M$1:M517)+1,"")</f>
        <v/>
      </c>
      <c r="N518" s="0" t="str">
        <f aca="false">IFERROR(MATCH(ROW()-1,$V$2:$V$1201,0),"")</f>
        <v/>
      </c>
      <c r="R518" s="0" t="str">
        <f aca="false">IF(E518="","",IFERROR(LEFT(E518,FIND("-",E518)-1),E518))</f>
        <v/>
      </c>
      <c r="S518" s="0" t="str">
        <f aca="false">IF(R518="","",IF(ISNUMBER(--MID(R518,1,1)),0,IF(ISNUMBER(--MID(R518,2,1)),1,IF(ISNUMBER(--MID(R518,3,1)),2,IF(ISNUMBER(--MID(R518,4,1)),3,MIN(LEN(R518),4))))))</f>
        <v/>
      </c>
      <c r="T518" s="0" t="str">
        <f aca="false">IF(E518="","",LEFT(R518,S518)&amp;REPT("0",4-S518)&amp;RIGHT("000"&amp;IFERROR(VALUE(MID(R518,S518+1,9)),0),3)&amp;RIGHT("0000"&amp;IFERROR(VALUE(MID(E518,FIND("-",E518)+1,9)),0),4))</f>
        <v/>
      </c>
      <c r="U518" s="0" t="str">
        <f aca="false">IF(I518=1,"K"&amp;RIGHT("00"&amp;A518,2)&amp;T518&amp;RIGHT("00000"&amp;ROW(),5),"")</f>
        <v/>
      </c>
      <c r="V518" s="0" t="str">
        <f aca="false">IF(U518="","",COUNTIFS($I$2:$I$1201,1,$U$2:$U$1201,"&lt;"&amp;U518)+1)</f>
        <v/>
      </c>
    </row>
    <row r="519" customFormat="false" ht="15" hidden="false" customHeight="false" outlineLevel="0" collapsed="false">
      <c r="A519" s="0" t="n">
        <v>9</v>
      </c>
      <c r="B519" s="0" t="n">
        <v>38</v>
      </c>
      <c r="C519" s="0" t="str">
        <f aca="false">TRIM(SUBSTITUTE(INDEX(LISTAS!$A$4:$T$63,B519,A519)&amp;"",CHAR(160)," "))</f>
        <v/>
      </c>
      <c r="D519" s="0" t="str">
        <f aca="false">IF(C519="","",TRIM(RIGHT(SUBSTITUTE(C519," ",REPT(" ",100)),100)))</f>
        <v/>
      </c>
      <c r="E519" s="0" t="str">
        <f aca="false">IF(D519="","",UPPER(SUBSTITUTE(SUBSTITUTE(D519,"(",""),")","")))</f>
        <v/>
      </c>
      <c r="F519" s="0" t="str">
        <f aca="false">IF(C519="","",LEFT(C519,FIND(" ",C519&amp;" ")-1))</f>
        <v/>
      </c>
      <c r="G519" s="0" t="n">
        <f aca="false">IFERROR(VALUE(SUBSTITUTE(LOWER(F519),"x","")),0)</f>
        <v>0</v>
      </c>
      <c r="H519" s="0" t="str">
        <f aca="false">IF(C519="","",TRIM(MID(C519,LEN(F519)+2,999)))</f>
        <v/>
      </c>
      <c r="I519" s="0" t="n">
        <f aca="false">IF(OR(C519="",LEFT(C519,2)="//"),0,IFERROR(IF(AND(G519&gt;0,G519=INT(G519),FIND("-",E519)&gt;1,NOT(EXACT(UPPER(LEFT(E519,1)),LOWER(LEFT(E519,1)))),ISNUMBER(VALUE(MID(E519,FIND("-",E519)+1,10)))),1,0),0))</f>
        <v>0</v>
      </c>
      <c r="J519" s="0" t="str">
        <f aca="false">IF(I519=1,TRIM(LEFT(H519,MAX(0,LEN(H519)-LEN(D519)))),"")</f>
        <v/>
      </c>
      <c r="K519" s="0" t="str">
        <f aca="false">INDEX($P$2:$P$21,A519)</f>
        <v>Deck 9</v>
      </c>
      <c r="L519" s="0" t="n">
        <f aca="false">IF(AND(C519&lt;&gt;"",LEFT(C519,2)&lt;&gt;"//",I519=0),1,0)</f>
        <v>0</v>
      </c>
      <c r="M519" s="0" t="str">
        <f aca="false">IF(I519=1,MAX(M$1:M518)+1,"")</f>
        <v/>
      </c>
      <c r="N519" s="0" t="str">
        <f aca="false">IFERROR(MATCH(ROW()-1,$V$2:$V$1201,0),"")</f>
        <v/>
      </c>
      <c r="R519" s="0" t="str">
        <f aca="false">IF(E519="","",IFERROR(LEFT(E519,FIND("-",E519)-1),E519))</f>
        <v/>
      </c>
      <c r="S519" s="0" t="str">
        <f aca="false">IF(R519="","",IF(ISNUMBER(--MID(R519,1,1)),0,IF(ISNUMBER(--MID(R519,2,1)),1,IF(ISNUMBER(--MID(R519,3,1)),2,IF(ISNUMBER(--MID(R519,4,1)),3,MIN(LEN(R519),4))))))</f>
        <v/>
      </c>
      <c r="T519" s="0" t="str">
        <f aca="false">IF(E519="","",LEFT(R519,S519)&amp;REPT("0",4-S519)&amp;RIGHT("000"&amp;IFERROR(VALUE(MID(R519,S519+1,9)),0),3)&amp;RIGHT("0000"&amp;IFERROR(VALUE(MID(E519,FIND("-",E519)+1,9)),0),4))</f>
        <v/>
      </c>
      <c r="U519" s="0" t="str">
        <f aca="false">IF(I519=1,"K"&amp;RIGHT("00"&amp;A519,2)&amp;T519&amp;RIGHT("00000"&amp;ROW(),5),"")</f>
        <v/>
      </c>
      <c r="V519" s="0" t="str">
        <f aca="false">IF(U519="","",COUNTIFS($I$2:$I$1201,1,$U$2:$U$1201,"&lt;"&amp;U519)+1)</f>
        <v/>
      </c>
    </row>
    <row r="520" customFormat="false" ht="15" hidden="false" customHeight="false" outlineLevel="0" collapsed="false">
      <c r="A520" s="0" t="n">
        <v>9</v>
      </c>
      <c r="B520" s="0" t="n">
        <v>39</v>
      </c>
      <c r="C520" s="0" t="str">
        <f aca="false">TRIM(SUBSTITUTE(INDEX(LISTAS!$A$4:$T$63,B520,A520)&amp;"",CHAR(160)," "))</f>
        <v/>
      </c>
      <c r="D520" s="0" t="str">
        <f aca="false">IF(C520="","",TRIM(RIGHT(SUBSTITUTE(C520," ",REPT(" ",100)),100)))</f>
        <v/>
      </c>
      <c r="E520" s="0" t="str">
        <f aca="false">IF(D520="","",UPPER(SUBSTITUTE(SUBSTITUTE(D520,"(",""),")","")))</f>
        <v/>
      </c>
      <c r="F520" s="0" t="str">
        <f aca="false">IF(C520="","",LEFT(C520,FIND(" ",C520&amp;" ")-1))</f>
        <v/>
      </c>
      <c r="G520" s="0" t="n">
        <f aca="false">IFERROR(VALUE(SUBSTITUTE(LOWER(F520),"x","")),0)</f>
        <v>0</v>
      </c>
      <c r="H520" s="0" t="str">
        <f aca="false">IF(C520="","",TRIM(MID(C520,LEN(F520)+2,999)))</f>
        <v/>
      </c>
      <c r="I520" s="0" t="n">
        <f aca="false">IF(OR(C520="",LEFT(C520,2)="//"),0,IFERROR(IF(AND(G520&gt;0,G520=INT(G520),FIND("-",E520)&gt;1,NOT(EXACT(UPPER(LEFT(E520,1)),LOWER(LEFT(E520,1)))),ISNUMBER(VALUE(MID(E520,FIND("-",E520)+1,10)))),1,0),0))</f>
        <v>0</v>
      </c>
      <c r="J520" s="0" t="str">
        <f aca="false">IF(I520=1,TRIM(LEFT(H520,MAX(0,LEN(H520)-LEN(D520)))),"")</f>
        <v/>
      </c>
      <c r="K520" s="0" t="str">
        <f aca="false">INDEX($P$2:$P$21,A520)</f>
        <v>Deck 9</v>
      </c>
      <c r="L520" s="0" t="n">
        <f aca="false">IF(AND(C520&lt;&gt;"",LEFT(C520,2)&lt;&gt;"//",I520=0),1,0)</f>
        <v>0</v>
      </c>
      <c r="M520" s="0" t="str">
        <f aca="false">IF(I520=1,MAX(M$1:M519)+1,"")</f>
        <v/>
      </c>
      <c r="N520" s="0" t="str">
        <f aca="false">IFERROR(MATCH(ROW()-1,$V$2:$V$1201,0),"")</f>
        <v/>
      </c>
      <c r="R520" s="0" t="str">
        <f aca="false">IF(E520="","",IFERROR(LEFT(E520,FIND("-",E520)-1),E520))</f>
        <v/>
      </c>
      <c r="S520" s="0" t="str">
        <f aca="false">IF(R520="","",IF(ISNUMBER(--MID(R520,1,1)),0,IF(ISNUMBER(--MID(R520,2,1)),1,IF(ISNUMBER(--MID(R520,3,1)),2,IF(ISNUMBER(--MID(R520,4,1)),3,MIN(LEN(R520),4))))))</f>
        <v/>
      </c>
      <c r="T520" s="0" t="str">
        <f aca="false">IF(E520="","",LEFT(R520,S520)&amp;REPT("0",4-S520)&amp;RIGHT("000"&amp;IFERROR(VALUE(MID(R520,S520+1,9)),0),3)&amp;RIGHT("0000"&amp;IFERROR(VALUE(MID(E520,FIND("-",E520)+1,9)),0),4))</f>
        <v/>
      </c>
      <c r="U520" s="0" t="str">
        <f aca="false">IF(I520=1,"K"&amp;RIGHT("00"&amp;A520,2)&amp;T520&amp;RIGHT("00000"&amp;ROW(),5),"")</f>
        <v/>
      </c>
      <c r="V520" s="0" t="str">
        <f aca="false">IF(U520="","",COUNTIFS($I$2:$I$1201,1,$U$2:$U$1201,"&lt;"&amp;U520)+1)</f>
        <v/>
      </c>
    </row>
    <row r="521" customFormat="false" ht="15" hidden="false" customHeight="false" outlineLevel="0" collapsed="false">
      <c r="A521" s="0" t="n">
        <v>9</v>
      </c>
      <c r="B521" s="0" t="n">
        <v>40</v>
      </c>
      <c r="C521" s="0" t="str">
        <f aca="false">TRIM(SUBSTITUTE(INDEX(LISTAS!$A$4:$T$63,B521,A521)&amp;"",CHAR(160)," "))</f>
        <v/>
      </c>
      <c r="D521" s="0" t="str">
        <f aca="false">IF(C521="","",TRIM(RIGHT(SUBSTITUTE(C521," ",REPT(" ",100)),100)))</f>
        <v/>
      </c>
      <c r="E521" s="0" t="str">
        <f aca="false">IF(D521="","",UPPER(SUBSTITUTE(SUBSTITUTE(D521,"(",""),")","")))</f>
        <v/>
      </c>
      <c r="F521" s="0" t="str">
        <f aca="false">IF(C521="","",LEFT(C521,FIND(" ",C521&amp;" ")-1))</f>
        <v/>
      </c>
      <c r="G521" s="0" t="n">
        <f aca="false">IFERROR(VALUE(SUBSTITUTE(LOWER(F521),"x","")),0)</f>
        <v>0</v>
      </c>
      <c r="H521" s="0" t="str">
        <f aca="false">IF(C521="","",TRIM(MID(C521,LEN(F521)+2,999)))</f>
        <v/>
      </c>
      <c r="I521" s="0" t="n">
        <f aca="false">IF(OR(C521="",LEFT(C521,2)="//"),0,IFERROR(IF(AND(G521&gt;0,G521=INT(G521),FIND("-",E521)&gt;1,NOT(EXACT(UPPER(LEFT(E521,1)),LOWER(LEFT(E521,1)))),ISNUMBER(VALUE(MID(E521,FIND("-",E521)+1,10)))),1,0),0))</f>
        <v>0</v>
      </c>
      <c r="J521" s="0" t="str">
        <f aca="false">IF(I521=1,TRIM(LEFT(H521,MAX(0,LEN(H521)-LEN(D521)))),"")</f>
        <v/>
      </c>
      <c r="K521" s="0" t="str">
        <f aca="false">INDEX($P$2:$P$21,A521)</f>
        <v>Deck 9</v>
      </c>
      <c r="L521" s="0" t="n">
        <f aca="false">IF(AND(C521&lt;&gt;"",LEFT(C521,2)&lt;&gt;"//",I521=0),1,0)</f>
        <v>0</v>
      </c>
      <c r="M521" s="0" t="str">
        <f aca="false">IF(I521=1,MAX(M$1:M520)+1,"")</f>
        <v/>
      </c>
      <c r="N521" s="0" t="str">
        <f aca="false">IFERROR(MATCH(ROW()-1,$V$2:$V$1201,0),"")</f>
        <v/>
      </c>
      <c r="R521" s="0" t="str">
        <f aca="false">IF(E521="","",IFERROR(LEFT(E521,FIND("-",E521)-1),E521))</f>
        <v/>
      </c>
      <c r="S521" s="0" t="str">
        <f aca="false">IF(R521="","",IF(ISNUMBER(--MID(R521,1,1)),0,IF(ISNUMBER(--MID(R521,2,1)),1,IF(ISNUMBER(--MID(R521,3,1)),2,IF(ISNUMBER(--MID(R521,4,1)),3,MIN(LEN(R521),4))))))</f>
        <v/>
      </c>
      <c r="T521" s="0" t="str">
        <f aca="false">IF(E521="","",LEFT(R521,S521)&amp;REPT("0",4-S521)&amp;RIGHT("000"&amp;IFERROR(VALUE(MID(R521,S521+1,9)),0),3)&amp;RIGHT("0000"&amp;IFERROR(VALUE(MID(E521,FIND("-",E521)+1,9)),0),4))</f>
        <v/>
      </c>
      <c r="U521" s="0" t="str">
        <f aca="false">IF(I521=1,"K"&amp;RIGHT("00"&amp;A521,2)&amp;T521&amp;RIGHT("00000"&amp;ROW(),5),"")</f>
        <v/>
      </c>
      <c r="V521" s="0" t="str">
        <f aca="false">IF(U521="","",COUNTIFS($I$2:$I$1201,1,$U$2:$U$1201,"&lt;"&amp;U521)+1)</f>
        <v/>
      </c>
    </row>
    <row r="522" customFormat="false" ht="15" hidden="false" customHeight="false" outlineLevel="0" collapsed="false">
      <c r="A522" s="0" t="n">
        <v>9</v>
      </c>
      <c r="B522" s="0" t="n">
        <v>41</v>
      </c>
      <c r="C522" s="0" t="str">
        <f aca="false">TRIM(SUBSTITUTE(INDEX(LISTAS!$A$4:$T$63,B522,A522)&amp;"",CHAR(160)," "))</f>
        <v/>
      </c>
      <c r="D522" s="0" t="str">
        <f aca="false">IF(C522="","",TRIM(RIGHT(SUBSTITUTE(C522," ",REPT(" ",100)),100)))</f>
        <v/>
      </c>
      <c r="E522" s="0" t="str">
        <f aca="false">IF(D522="","",UPPER(SUBSTITUTE(SUBSTITUTE(D522,"(",""),")","")))</f>
        <v/>
      </c>
      <c r="F522" s="0" t="str">
        <f aca="false">IF(C522="","",LEFT(C522,FIND(" ",C522&amp;" ")-1))</f>
        <v/>
      </c>
      <c r="G522" s="0" t="n">
        <f aca="false">IFERROR(VALUE(SUBSTITUTE(LOWER(F522),"x","")),0)</f>
        <v>0</v>
      </c>
      <c r="H522" s="0" t="str">
        <f aca="false">IF(C522="","",TRIM(MID(C522,LEN(F522)+2,999)))</f>
        <v/>
      </c>
      <c r="I522" s="0" t="n">
        <f aca="false">IF(OR(C522="",LEFT(C522,2)="//"),0,IFERROR(IF(AND(G522&gt;0,G522=INT(G522),FIND("-",E522)&gt;1,NOT(EXACT(UPPER(LEFT(E522,1)),LOWER(LEFT(E522,1)))),ISNUMBER(VALUE(MID(E522,FIND("-",E522)+1,10)))),1,0),0))</f>
        <v>0</v>
      </c>
      <c r="J522" s="0" t="str">
        <f aca="false">IF(I522=1,TRIM(LEFT(H522,MAX(0,LEN(H522)-LEN(D522)))),"")</f>
        <v/>
      </c>
      <c r="K522" s="0" t="str">
        <f aca="false">INDEX($P$2:$P$21,A522)</f>
        <v>Deck 9</v>
      </c>
      <c r="L522" s="0" t="n">
        <f aca="false">IF(AND(C522&lt;&gt;"",LEFT(C522,2)&lt;&gt;"//",I522=0),1,0)</f>
        <v>0</v>
      </c>
      <c r="M522" s="0" t="str">
        <f aca="false">IF(I522=1,MAX(M$1:M521)+1,"")</f>
        <v/>
      </c>
      <c r="N522" s="0" t="str">
        <f aca="false">IFERROR(MATCH(ROW()-1,$V$2:$V$1201,0),"")</f>
        <v/>
      </c>
      <c r="R522" s="0" t="str">
        <f aca="false">IF(E522="","",IFERROR(LEFT(E522,FIND("-",E522)-1),E522))</f>
        <v/>
      </c>
      <c r="S522" s="0" t="str">
        <f aca="false">IF(R522="","",IF(ISNUMBER(--MID(R522,1,1)),0,IF(ISNUMBER(--MID(R522,2,1)),1,IF(ISNUMBER(--MID(R522,3,1)),2,IF(ISNUMBER(--MID(R522,4,1)),3,MIN(LEN(R522),4))))))</f>
        <v/>
      </c>
      <c r="T522" s="0" t="str">
        <f aca="false">IF(E522="","",LEFT(R522,S522)&amp;REPT("0",4-S522)&amp;RIGHT("000"&amp;IFERROR(VALUE(MID(R522,S522+1,9)),0),3)&amp;RIGHT("0000"&amp;IFERROR(VALUE(MID(E522,FIND("-",E522)+1,9)),0),4))</f>
        <v/>
      </c>
      <c r="U522" s="0" t="str">
        <f aca="false">IF(I522=1,"K"&amp;RIGHT("00"&amp;A522,2)&amp;T522&amp;RIGHT("00000"&amp;ROW(),5),"")</f>
        <v/>
      </c>
      <c r="V522" s="0" t="str">
        <f aca="false">IF(U522="","",COUNTIFS($I$2:$I$1201,1,$U$2:$U$1201,"&lt;"&amp;U522)+1)</f>
        <v/>
      </c>
    </row>
    <row r="523" customFormat="false" ht="15" hidden="false" customHeight="false" outlineLevel="0" collapsed="false">
      <c r="A523" s="0" t="n">
        <v>9</v>
      </c>
      <c r="B523" s="0" t="n">
        <v>42</v>
      </c>
      <c r="C523" s="0" t="str">
        <f aca="false">TRIM(SUBSTITUTE(INDEX(LISTAS!$A$4:$T$63,B523,A523)&amp;"",CHAR(160)," "))</f>
        <v/>
      </c>
      <c r="D523" s="0" t="str">
        <f aca="false">IF(C523="","",TRIM(RIGHT(SUBSTITUTE(C523," ",REPT(" ",100)),100)))</f>
        <v/>
      </c>
      <c r="E523" s="0" t="str">
        <f aca="false">IF(D523="","",UPPER(SUBSTITUTE(SUBSTITUTE(D523,"(",""),")","")))</f>
        <v/>
      </c>
      <c r="F523" s="0" t="str">
        <f aca="false">IF(C523="","",LEFT(C523,FIND(" ",C523&amp;" ")-1))</f>
        <v/>
      </c>
      <c r="G523" s="0" t="n">
        <f aca="false">IFERROR(VALUE(SUBSTITUTE(LOWER(F523),"x","")),0)</f>
        <v>0</v>
      </c>
      <c r="H523" s="0" t="str">
        <f aca="false">IF(C523="","",TRIM(MID(C523,LEN(F523)+2,999)))</f>
        <v/>
      </c>
      <c r="I523" s="0" t="n">
        <f aca="false">IF(OR(C523="",LEFT(C523,2)="//"),0,IFERROR(IF(AND(G523&gt;0,G523=INT(G523),FIND("-",E523)&gt;1,NOT(EXACT(UPPER(LEFT(E523,1)),LOWER(LEFT(E523,1)))),ISNUMBER(VALUE(MID(E523,FIND("-",E523)+1,10)))),1,0),0))</f>
        <v>0</v>
      </c>
      <c r="J523" s="0" t="str">
        <f aca="false">IF(I523=1,TRIM(LEFT(H523,MAX(0,LEN(H523)-LEN(D523)))),"")</f>
        <v/>
      </c>
      <c r="K523" s="0" t="str">
        <f aca="false">INDEX($P$2:$P$21,A523)</f>
        <v>Deck 9</v>
      </c>
      <c r="L523" s="0" t="n">
        <f aca="false">IF(AND(C523&lt;&gt;"",LEFT(C523,2)&lt;&gt;"//",I523=0),1,0)</f>
        <v>0</v>
      </c>
      <c r="M523" s="0" t="str">
        <f aca="false">IF(I523=1,MAX(M$1:M522)+1,"")</f>
        <v/>
      </c>
      <c r="N523" s="0" t="str">
        <f aca="false">IFERROR(MATCH(ROW()-1,$V$2:$V$1201,0),"")</f>
        <v/>
      </c>
      <c r="R523" s="0" t="str">
        <f aca="false">IF(E523="","",IFERROR(LEFT(E523,FIND("-",E523)-1),E523))</f>
        <v/>
      </c>
      <c r="S523" s="0" t="str">
        <f aca="false">IF(R523="","",IF(ISNUMBER(--MID(R523,1,1)),0,IF(ISNUMBER(--MID(R523,2,1)),1,IF(ISNUMBER(--MID(R523,3,1)),2,IF(ISNUMBER(--MID(R523,4,1)),3,MIN(LEN(R523),4))))))</f>
        <v/>
      </c>
      <c r="T523" s="0" t="str">
        <f aca="false">IF(E523="","",LEFT(R523,S523)&amp;REPT("0",4-S523)&amp;RIGHT("000"&amp;IFERROR(VALUE(MID(R523,S523+1,9)),0),3)&amp;RIGHT("0000"&amp;IFERROR(VALUE(MID(E523,FIND("-",E523)+1,9)),0),4))</f>
        <v/>
      </c>
      <c r="U523" s="0" t="str">
        <f aca="false">IF(I523=1,"K"&amp;RIGHT("00"&amp;A523,2)&amp;T523&amp;RIGHT("00000"&amp;ROW(),5),"")</f>
        <v/>
      </c>
      <c r="V523" s="0" t="str">
        <f aca="false">IF(U523="","",COUNTIFS($I$2:$I$1201,1,$U$2:$U$1201,"&lt;"&amp;U523)+1)</f>
        <v/>
      </c>
    </row>
    <row r="524" customFormat="false" ht="15" hidden="false" customHeight="false" outlineLevel="0" collapsed="false">
      <c r="A524" s="0" t="n">
        <v>9</v>
      </c>
      <c r="B524" s="0" t="n">
        <v>43</v>
      </c>
      <c r="C524" s="0" t="str">
        <f aca="false">TRIM(SUBSTITUTE(INDEX(LISTAS!$A$4:$T$63,B524,A524)&amp;"",CHAR(160)," "))</f>
        <v/>
      </c>
      <c r="D524" s="0" t="str">
        <f aca="false">IF(C524="","",TRIM(RIGHT(SUBSTITUTE(C524," ",REPT(" ",100)),100)))</f>
        <v/>
      </c>
      <c r="E524" s="0" t="str">
        <f aca="false">IF(D524="","",UPPER(SUBSTITUTE(SUBSTITUTE(D524,"(",""),")","")))</f>
        <v/>
      </c>
      <c r="F524" s="0" t="str">
        <f aca="false">IF(C524="","",LEFT(C524,FIND(" ",C524&amp;" ")-1))</f>
        <v/>
      </c>
      <c r="G524" s="0" t="n">
        <f aca="false">IFERROR(VALUE(SUBSTITUTE(LOWER(F524),"x","")),0)</f>
        <v>0</v>
      </c>
      <c r="H524" s="0" t="str">
        <f aca="false">IF(C524="","",TRIM(MID(C524,LEN(F524)+2,999)))</f>
        <v/>
      </c>
      <c r="I524" s="0" t="n">
        <f aca="false">IF(OR(C524="",LEFT(C524,2)="//"),0,IFERROR(IF(AND(G524&gt;0,G524=INT(G524),FIND("-",E524)&gt;1,NOT(EXACT(UPPER(LEFT(E524,1)),LOWER(LEFT(E524,1)))),ISNUMBER(VALUE(MID(E524,FIND("-",E524)+1,10)))),1,0),0))</f>
        <v>0</v>
      </c>
      <c r="J524" s="0" t="str">
        <f aca="false">IF(I524=1,TRIM(LEFT(H524,MAX(0,LEN(H524)-LEN(D524)))),"")</f>
        <v/>
      </c>
      <c r="K524" s="0" t="str">
        <f aca="false">INDEX($P$2:$P$21,A524)</f>
        <v>Deck 9</v>
      </c>
      <c r="L524" s="0" t="n">
        <f aca="false">IF(AND(C524&lt;&gt;"",LEFT(C524,2)&lt;&gt;"//",I524=0),1,0)</f>
        <v>0</v>
      </c>
      <c r="M524" s="0" t="str">
        <f aca="false">IF(I524=1,MAX(M$1:M523)+1,"")</f>
        <v/>
      </c>
      <c r="N524" s="0" t="str">
        <f aca="false">IFERROR(MATCH(ROW()-1,$V$2:$V$1201,0),"")</f>
        <v/>
      </c>
      <c r="R524" s="0" t="str">
        <f aca="false">IF(E524="","",IFERROR(LEFT(E524,FIND("-",E524)-1),E524))</f>
        <v/>
      </c>
      <c r="S524" s="0" t="str">
        <f aca="false">IF(R524="","",IF(ISNUMBER(--MID(R524,1,1)),0,IF(ISNUMBER(--MID(R524,2,1)),1,IF(ISNUMBER(--MID(R524,3,1)),2,IF(ISNUMBER(--MID(R524,4,1)),3,MIN(LEN(R524),4))))))</f>
        <v/>
      </c>
      <c r="T524" s="0" t="str">
        <f aca="false">IF(E524="","",LEFT(R524,S524)&amp;REPT("0",4-S524)&amp;RIGHT("000"&amp;IFERROR(VALUE(MID(R524,S524+1,9)),0),3)&amp;RIGHT("0000"&amp;IFERROR(VALUE(MID(E524,FIND("-",E524)+1,9)),0),4))</f>
        <v/>
      </c>
      <c r="U524" s="0" t="str">
        <f aca="false">IF(I524=1,"K"&amp;RIGHT("00"&amp;A524,2)&amp;T524&amp;RIGHT("00000"&amp;ROW(),5),"")</f>
        <v/>
      </c>
      <c r="V524" s="0" t="str">
        <f aca="false">IF(U524="","",COUNTIFS($I$2:$I$1201,1,$U$2:$U$1201,"&lt;"&amp;U524)+1)</f>
        <v/>
      </c>
    </row>
    <row r="525" customFormat="false" ht="15" hidden="false" customHeight="false" outlineLevel="0" collapsed="false">
      <c r="A525" s="0" t="n">
        <v>9</v>
      </c>
      <c r="B525" s="0" t="n">
        <v>44</v>
      </c>
      <c r="C525" s="0" t="str">
        <f aca="false">TRIM(SUBSTITUTE(INDEX(LISTAS!$A$4:$T$63,B525,A525)&amp;"",CHAR(160)," "))</f>
        <v/>
      </c>
      <c r="D525" s="0" t="str">
        <f aca="false">IF(C525="","",TRIM(RIGHT(SUBSTITUTE(C525," ",REPT(" ",100)),100)))</f>
        <v/>
      </c>
      <c r="E525" s="0" t="str">
        <f aca="false">IF(D525="","",UPPER(SUBSTITUTE(SUBSTITUTE(D525,"(",""),")","")))</f>
        <v/>
      </c>
      <c r="F525" s="0" t="str">
        <f aca="false">IF(C525="","",LEFT(C525,FIND(" ",C525&amp;" ")-1))</f>
        <v/>
      </c>
      <c r="G525" s="0" t="n">
        <f aca="false">IFERROR(VALUE(SUBSTITUTE(LOWER(F525),"x","")),0)</f>
        <v>0</v>
      </c>
      <c r="H525" s="0" t="str">
        <f aca="false">IF(C525="","",TRIM(MID(C525,LEN(F525)+2,999)))</f>
        <v/>
      </c>
      <c r="I525" s="0" t="n">
        <f aca="false">IF(OR(C525="",LEFT(C525,2)="//"),0,IFERROR(IF(AND(G525&gt;0,G525=INT(G525),FIND("-",E525)&gt;1,NOT(EXACT(UPPER(LEFT(E525,1)),LOWER(LEFT(E525,1)))),ISNUMBER(VALUE(MID(E525,FIND("-",E525)+1,10)))),1,0),0))</f>
        <v>0</v>
      </c>
      <c r="J525" s="0" t="str">
        <f aca="false">IF(I525=1,TRIM(LEFT(H525,MAX(0,LEN(H525)-LEN(D525)))),"")</f>
        <v/>
      </c>
      <c r="K525" s="0" t="str">
        <f aca="false">INDEX($P$2:$P$21,A525)</f>
        <v>Deck 9</v>
      </c>
      <c r="L525" s="0" t="n">
        <f aca="false">IF(AND(C525&lt;&gt;"",LEFT(C525,2)&lt;&gt;"//",I525=0),1,0)</f>
        <v>0</v>
      </c>
      <c r="M525" s="0" t="str">
        <f aca="false">IF(I525=1,MAX(M$1:M524)+1,"")</f>
        <v/>
      </c>
      <c r="N525" s="0" t="str">
        <f aca="false">IFERROR(MATCH(ROW()-1,$V$2:$V$1201,0),"")</f>
        <v/>
      </c>
      <c r="R525" s="0" t="str">
        <f aca="false">IF(E525="","",IFERROR(LEFT(E525,FIND("-",E525)-1),E525))</f>
        <v/>
      </c>
      <c r="S525" s="0" t="str">
        <f aca="false">IF(R525="","",IF(ISNUMBER(--MID(R525,1,1)),0,IF(ISNUMBER(--MID(R525,2,1)),1,IF(ISNUMBER(--MID(R525,3,1)),2,IF(ISNUMBER(--MID(R525,4,1)),3,MIN(LEN(R525),4))))))</f>
        <v/>
      </c>
      <c r="T525" s="0" t="str">
        <f aca="false">IF(E525="","",LEFT(R525,S525)&amp;REPT("0",4-S525)&amp;RIGHT("000"&amp;IFERROR(VALUE(MID(R525,S525+1,9)),0),3)&amp;RIGHT("0000"&amp;IFERROR(VALUE(MID(E525,FIND("-",E525)+1,9)),0),4))</f>
        <v/>
      </c>
      <c r="U525" s="0" t="str">
        <f aca="false">IF(I525=1,"K"&amp;RIGHT("00"&amp;A525,2)&amp;T525&amp;RIGHT("00000"&amp;ROW(),5),"")</f>
        <v/>
      </c>
      <c r="V525" s="0" t="str">
        <f aca="false">IF(U525="","",COUNTIFS($I$2:$I$1201,1,$U$2:$U$1201,"&lt;"&amp;U525)+1)</f>
        <v/>
      </c>
    </row>
    <row r="526" customFormat="false" ht="15" hidden="false" customHeight="false" outlineLevel="0" collapsed="false">
      <c r="A526" s="0" t="n">
        <v>9</v>
      </c>
      <c r="B526" s="0" t="n">
        <v>45</v>
      </c>
      <c r="C526" s="0" t="str">
        <f aca="false">TRIM(SUBSTITUTE(INDEX(LISTAS!$A$4:$T$63,B526,A526)&amp;"",CHAR(160)," "))</f>
        <v/>
      </c>
      <c r="D526" s="0" t="str">
        <f aca="false">IF(C526="","",TRIM(RIGHT(SUBSTITUTE(C526," ",REPT(" ",100)),100)))</f>
        <v/>
      </c>
      <c r="E526" s="0" t="str">
        <f aca="false">IF(D526="","",UPPER(SUBSTITUTE(SUBSTITUTE(D526,"(",""),")","")))</f>
        <v/>
      </c>
      <c r="F526" s="0" t="str">
        <f aca="false">IF(C526="","",LEFT(C526,FIND(" ",C526&amp;" ")-1))</f>
        <v/>
      </c>
      <c r="G526" s="0" t="n">
        <f aca="false">IFERROR(VALUE(SUBSTITUTE(LOWER(F526),"x","")),0)</f>
        <v>0</v>
      </c>
      <c r="H526" s="0" t="str">
        <f aca="false">IF(C526="","",TRIM(MID(C526,LEN(F526)+2,999)))</f>
        <v/>
      </c>
      <c r="I526" s="0" t="n">
        <f aca="false">IF(OR(C526="",LEFT(C526,2)="//"),0,IFERROR(IF(AND(G526&gt;0,G526=INT(G526),FIND("-",E526)&gt;1,NOT(EXACT(UPPER(LEFT(E526,1)),LOWER(LEFT(E526,1)))),ISNUMBER(VALUE(MID(E526,FIND("-",E526)+1,10)))),1,0),0))</f>
        <v>0</v>
      </c>
      <c r="J526" s="0" t="str">
        <f aca="false">IF(I526=1,TRIM(LEFT(H526,MAX(0,LEN(H526)-LEN(D526)))),"")</f>
        <v/>
      </c>
      <c r="K526" s="0" t="str">
        <f aca="false">INDEX($P$2:$P$21,A526)</f>
        <v>Deck 9</v>
      </c>
      <c r="L526" s="0" t="n">
        <f aca="false">IF(AND(C526&lt;&gt;"",LEFT(C526,2)&lt;&gt;"//",I526=0),1,0)</f>
        <v>0</v>
      </c>
      <c r="M526" s="0" t="str">
        <f aca="false">IF(I526=1,MAX(M$1:M525)+1,"")</f>
        <v/>
      </c>
      <c r="N526" s="0" t="str">
        <f aca="false">IFERROR(MATCH(ROW()-1,$V$2:$V$1201,0),"")</f>
        <v/>
      </c>
      <c r="R526" s="0" t="str">
        <f aca="false">IF(E526="","",IFERROR(LEFT(E526,FIND("-",E526)-1),E526))</f>
        <v/>
      </c>
      <c r="S526" s="0" t="str">
        <f aca="false">IF(R526="","",IF(ISNUMBER(--MID(R526,1,1)),0,IF(ISNUMBER(--MID(R526,2,1)),1,IF(ISNUMBER(--MID(R526,3,1)),2,IF(ISNUMBER(--MID(R526,4,1)),3,MIN(LEN(R526),4))))))</f>
        <v/>
      </c>
      <c r="T526" s="0" t="str">
        <f aca="false">IF(E526="","",LEFT(R526,S526)&amp;REPT("0",4-S526)&amp;RIGHT("000"&amp;IFERROR(VALUE(MID(R526,S526+1,9)),0),3)&amp;RIGHT("0000"&amp;IFERROR(VALUE(MID(E526,FIND("-",E526)+1,9)),0),4))</f>
        <v/>
      </c>
      <c r="U526" s="0" t="str">
        <f aca="false">IF(I526=1,"K"&amp;RIGHT("00"&amp;A526,2)&amp;T526&amp;RIGHT("00000"&amp;ROW(),5),"")</f>
        <v/>
      </c>
      <c r="V526" s="0" t="str">
        <f aca="false">IF(U526="","",COUNTIFS($I$2:$I$1201,1,$U$2:$U$1201,"&lt;"&amp;U526)+1)</f>
        <v/>
      </c>
    </row>
    <row r="527" customFormat="false" ht="15" hidden="false" customHeight="false" outlineLevel="0" collapsed="false">
      <c r="A527" s="0" t="n">
        <v>9</v>
      </c>
      <c r="B527" s="0" t="n">
        <v>46</v>
      </c>
      <c r="C527" s="0" t="str">
        <f aca="false">TRIM(SUBSTITUTE(INDEX(LISTAS!$A$4:$T$63,B527,A527)&amp;"",CHAR(160)," "))</f>
        <v/>
      </c>
      <c r="D527" s="0" t="str">
        <f aca="false">IF(C527="","",TRIM(RIGHT(SUBSTITUTE(C527," ",REPT(" ",100)),100)))</f>
        <v/>
      </c>
      <c r="E527" s="0" t="str">
        <f aca="false">IF(D527="","",UPPER(SUBSTITUTE(SUBSTITUTE(D527,"(",""),")","")))</f>
        <v/>
      </c>
      <c r="F527" s="0" t="str">
        <f aca="false">IF(C527="","",LEFT(C527,FIND(" ",C527&amp;" ")-1))</f>
        <v/>
      </c>
      <c r="G527" s="0" t="n">
        <f aca="false">IFERROR(VALUE(SUBSTITUTE(LOWER(F527),"x","")),0)</f>
        <v>0</v>
      </c>
      <c r="H527" s="0" t="str">
        <f aca="false">IF(C527="","",TRIM(MID(C527,LEN(F527)+2,999)))</f>
        <v/>
      </c>
      <c r="I527" s="0" t="n">
        <f aca="false">IF(OR(C527="",LEFT(C527,2)="//"),0,IFERROR(IF(AND(G527&gt;0,G527=INT(G527),FIND("-",E527)&gt;1,NOT(EXACT(UPPER(LEFT(E527,1)),LOWER(LEFT(E527,1)))),ISNUMBER(VALUE(MID(E527,FIND("-",E527)+1,10)))),1,0),0))</f>
        <v>0</v>
      </c>
      <c r="J527" s="0" t="str">
        <f aca="false">IF(I527=1,TRIM(LEFT(H527,MAX(0,LEN(H527)-LEN(D527)))),"")</f>
        <v/>
      </c>
      <c r="K527" s="0" t="str">
        <f aca="false">INDEX($P$2:$P$21,A527)</f>
        <v>Deck 9</v>
      </c>
      <c r="L527" s="0" t="n">
        <f aca="false">IF(AND(C527&lt;&gt;"",LEFT(C527,2)&lt;&gt;"//",I527=0),1,0)</f>
        <v>0</v>
      </c>
      <c r="M527" s="0" t="str">
        <f aca="false">IF(I527=1,MAX(M$1:M526)+1,"")</f>
        <v/>
      </c>
      <c r="N527" s="0" t="str">
        <f aca="false">IFERROR(MATCH(ROW()-1,$V$2:$V$1201,0),"")</f>
        <v/>
      </c>
      <c r="R527" s="0" t="str">
        <f aca="false">IF(E527="","",IFERROR(LEFT(E527,FIND("-",E527)-1),E527))</f>
        <v/>
      </c>
      <c r="S527" s="0" t="str">
        <f aca="false">IF(R527="","",IF(ISNUMBER(--MID(R527,1,1)),0,IF(ISNUMBER(--MID(R527,2,1)),1,IF(ISNUMBER(--MID(R527,3,1)),2,IF(ISNUMBER(--MID(R527,4,1)),3,MIN(LEN(R527),4))))))</f>
        <v/>
      </c>
      <c r="T527" s="0" t="str">
        <f aca="false">IF(E527="","",LEFT(R527,S527)&amp;REPT("0",4-S527)&amp;RIGHT("000"&amp;IFERROR(VALUE(MID(R527,S527+1,9)),0),3)&amp;RIGHT("0000"&amp;IFERROR(VALUE(MID(E527,FIND("-",E527)+1,9)),0),4))</f>
        <v/>
      </c>
      <c r="U527" s="0" t="str">
        <f aca="false">IF(I527=1,"K"&amp;RIGHT("00"&amp;A527,2)&amp;T527&amp;RIGHT("00000"&amp;ROW(),5),"")</f>
        <v/>
      </c>
      <c r="V527" s="0" t="str">
        <f aca="false">IF(U527="","",COUNTIFS($I$2:$I$1201,1,$U$2:$U$1201,"&lt;"&amp;U527)+1)</f>
        <v/>
      </c>
    </row>
    <row r="528" customFormat="false" ht="15" hidden="false" customHeight="false" outlineLevel="0" collapsed="false">
      <c r="A528" s="0" t="n">
        <v>9</v>
      </c>
      <c r="B528" s="0" t="n">
        <v>47</v>
      </c>
      <c r="C528" s="0" t="str">
        <f aca="false">TRIM(SUBSTITUTE(INDEX(LISTAS!$A$4:$T$63,B528,A528)&amp;"",CHAR(160)," "))</f>
        <v/>
      </c>
      <c r="D528" s="0" t="str">
        <f aca="false">IF(C528="","",TRIM(RIGHT(SUBSTITUTE(C528," ",REPT(" ",100)),100)))</f>
        <v/>
      </c>
      <c r="E528" s="0" t="str">
        <f aca="false">IF(D528="","",UPPER(SUBSTITUTE(SUBSTITUTE(D528,"(",""),")","")))</f>
        <v/>
      </c>
      <c r="F528" s="0" t="str">
        <f aca="false">IF(C528="","",LEFT(C528,FIND(" ",C528&amp;" ")-1))</f>
        <v/>
      </c>
      <c r="G528" s="0" t="n">
        <f aca="false">IFERROR(VALUE(SUBSTITUTE(LOWER(F528),"x","")),0)</f>
        <v>0</v>
      </c>
      <c r="H528" s="0" t="str">
        <f aca="false">IF(C528="","",TRIM(MID(C528,LEN(F528)+2,999)))</f>
        <v/>
      </c>
      <c r="I528" s="0" t="n">
        <f aca="false">IF(OR(C528="",LEFT(C528,2)="//"),0,IFERROR(IF(AND(G528&gt;0,G528=INT(G528),FIND("-",E528)&gt;1,NOT(EXACT(UPPER(LEFT(E528,1)),LOWER(LEFT(E528,1)))),ISNUMBER(VALUE(MID(E528,FIND("-",E528)+1,10)))),1,0),0))</f>
        <v>0</v>
      </c>
      <c r="J528" s="0" t="str">
        <f aca="false">IF(I528=1,TRIM(LEFT(H528,MAX(0,LEN(H528)-LEN(D528)))),"")</f>
        <v/>
      </c>
      <c r="K528" s="0" t="str">
        <f aca="false">INDEX($P$2:$P$21,A528)</f>
        <v>Deck 9</v>
      </c>
      <c r="L528" s="0" t="n">
        <f aca="false">IF(AND(C528&lt;&gt;"",LEFT(C528,2)&lt;&gt;"//",I528=0),1,0)</f>
        <v>0</v>
      </c>
      <c r="M528" s="0" t="str">
        <f aca="false">IF(I528=1,MAX(M$1:M527)+1,"")</f>
        <v/>
      </c>
      <c r="N528" s="0" t="str">
        <f aca="false">IFERROR(MATCH(ROW()-1,$V$2:$V$1201,0),"")</f>
        <v/>
      </c>
      <c r="R528" s="0" t="str">
        <f aca="false">IF(E528="","",IFERROR(LEFT(E528,FIND("-",E528)-1),E528))</f>
        <v/>
      </c>
      <c r="S528" s="0" t="str">
        <f aca="false">IF(R528="","",IF(ISNUMBER(--MID(R528,1,1)),0,IF(ISNUMBER(--MID(R528,2,1)),1,IF(ISNUMBER(--MID(R528,3,1)),2,IF(ISNUMBER(--MID(R528,4,1)),3,MIN(LEN(R528),4))))))</f>
        <v/>
      </c>
      <c r="T528" s="0" t="str">
        <f aca="false">IF(E528="","",LEFT(R528,S528)&amp;REPT("0",4-S528)&amp;RIGHT("000"&amp;IFERROR(VALUE(MID(R528,S528+1,9)),0),3)&amp;RIGHT("0000"&amp;IFERROR(VALUE(MID(E528,FIND("-",E528)+1,9)),0),4))</f>
        <v/>
      </c>
      <c r="U528" s="0" t="str">
        <f aca="false">IF(I528=1,"K"&amp;RIGHT("00"&amp;A528,2)&amp;T528&amp;RIGHT("00000"&amp;ROW(),5),"")</f>
        <v/>
      </c>
      <c r="V528" s="0" t="str">
        <f aca="false">IF(U528="","",COUNTIFS($I$2:$I$1201,1,$U$2:$U$1201,"&lt;"&amp;U528)+1)</f>
        <v/>
      </c>
    </row>
    <row r="529" customFormat="false" ht="15" hidden="false" customHeight="false" outlineLevel="0" collapsed="false">
      <c r="A529" s="0" t="n">
        <v>9</v>
      </c>
      <c r="B529" s="0" t="n">
        <v>48</v>
      </c>
      <c r="C529" s="0" t="str">
        <f aca="false">TRIM(SUBSTITUTE(INDEX(LISTAS!$A$4:$T$63,B529,A529)&amp;"",CHAR(160)," "))</f>
        <v/>
      </c>
      <c r="D529" s="0" t="str">
        <f aca="false">IF(C529="","",TRIM(RIGHT(SUBSTITUTE(C529," ",REPT(" ",100)),100)))</f>
        <v/>
      </c>
      <c r="E529" s="0" t="str">
        <f aca="false">IF(D529="","",UPPER(SUBSTITUTE(SUBSTITUTE(D529,"(",""),")","")))</f>
        <v/>
      </c>
      <c r="F529" s="0" t="str">
        <f aca="false">IF(C529="","",LEFT(C529,FIND(" ",C529&amp;" ")-1))</f>
        <v/>
      </c>
      <c r="G529" s="0" t="n">
        <f aca="false">IFERROR(VALUE(SUBSTITUTE(LOWER(F529),"x","")),0)</f>
        <v>0</v>
      </c>
      <c r="H529" s="0" t="str">
        <f aca="false">IF(C529="","",TRIM(MID(C529,LEN(F529)+2,999)))</f>
        <v/>
      </c>
      <c r="I529" s="0" t="n">
        <f aca="false">IF(OR(C529="",LEFT(C529,2)="//"),0,IFERROR(IF(AND(G529&gt;0,G529=INT(G529),FIND("-",E529)&gt;1,NOT(EXACT(UPPER(LEFT(E529,1)),LOWER(LEFT(E529,1)))),ISNUMBER(VALUE(MID(E529,FIND("-",E529)+1,10)))),1,0),0))</f>
        <v>0</v>
      </c>
      <c r="J529" s="0" t="str">
        <f aca="false">IF(I529=1,TRIM(LEFT(H529,MAX(0,LEN(H529)-LEN(D529)))),"")</f>
        <v/>
      </c>
      <c r="K529" s="0" t="str">
        <f aca="false">INDEX($P$2:$P$21,A529)</f>
        <v>Deck 9</v>
      </c>
      <c r="L529" s="0" t="n">
        <f aca="false">IF(AND(C529&lt;&gt;"",LEFT(C529,2)&lt;&gt;"//",I529=0),1,0)</f>
        <v>0</v>
      </c>
      <c r="M529" s="0" t="str">
        <f aca="false">IF(I529=1,MAX(M$1:M528)+1,"")</f>
        <v/>
      </c>
      <c r="N529" s="0" t="str">
        <f aca="false">IFERROR(MATCH(ROW()-1,$V$2:$V$1201,0),"")</f>
        <v/>
      </c>
      <c r="R529" s="0" t="str">
        <f aca="false">IF(E529="","",IFERROR(LEFT(E529,FIND("-",E529)-1),E529))</f>
        <v/>
      </c>
      <c r="S529" s="0" t="str">
        <f aca="false">IF(R529="","",IF(ISNUMBER(--MID(R529,1,1)),0,IF(ISNUMBER(--MID(R529,2,1)),1,IF(ISNUMBER(--MID(R529,3,1)),2,IF(ISNUMBER(--MID(R529,4,1)),3,MIN(LEN(R529),4))))))</f>
        <v/>
      </c>
      <c r="T529" s="0" t="str">
        <f aca="false">IF(E529="","",LEFT(R529,S529)&amp;REPT("0",4-S529)&amp;RIGHT("000"&amp;IFERROR(VALUE(MID(R529,S529+1,9)),0),3)&amp;RIGHT("0000"&amp;IFERROR(VALUE(MID(E529,FIND("-",E529)+1,9)),0),4))</f>
        <v/>
      </c>
      <c r="U529" s="0" t="str">
        <f aca="false">IF(I529=1,"K"&amp;RIGHT("00"&amp;A529,2)&amp;T529&amp;RIGHT("00000"&amp;ROW(),5),"")</f>
        <v/>
      </c>
      <c r="V529" s="0" t="str">
        <f aca="false">IF(U529="","",COUNTIFS($I$2:$I$1201,1,$U$2:$U$1201,"&lt;"&amp;U529)+1)</f>
        <v/>
      </c>
    </row>
    <row r="530" customFormat="false" ht="15" hidden="false" customHeight="false" outlineLevel="0" collapsed="false">
      <c r="A530" s="0" t="n">
        <v>9</v>
      </c>
      <c r="B530" s="0" t="n">
        <v>49</v>
      </c>
      <c r="C530" s="0" t="str">
        <f aca="false">TRIM(SUBSTITUTE(INDEX(LISTAS!$A$4:$T$63,B530,A530)&amp;"",CHAR(160)," "))</f>
        <v/>
      </c>
      <c r="D530" s="0" t="str">
        <f aca="false">IF(C530="","",TRIM(RIGHT(SUBSTITUTE(C530," ",REPT(" ",100)),100)))</f>
        <v/>
      </c>
      <c r="E530" s="0" t="str">
        <f aca="false">IF(D530="","",UPPER(SUBSTITUTE(SUBSTITUTE(D530,"(",""),")","")))</f>
        <v/>
      </c>
      <c r="F530" s="0" t="str">
        <f aca="false">IF(C530="","",LEFT(C530,FIND(" ",C530&amp;" ")-1))</f>
        <v/>
      </c>
      <c r="G530" s="0" t="n">
        <f aca="false">IFERROR(VALUE(SUBSTITUTE(LOWER(F530),"x","")),0)</f>
        <v>0</v>
      </c>
      <c r="H530" s="0" t="str">
        <f aca="false">IF(C530="","",TRIM(MID(C530,LEN(F530)+2,999)))</f>
        <v/>
      </c>
      <c r="I530" s="0" t="n">
        <f aca="false">IF(OR(C530="",LEFT(C530,2)="//"),0,IFERROR(IF(AND(G530&gt;0,G530=INT(G530),FIND("-",E530)&gt;1,NOT(EXACT(UPPER(LEFT(E530,1)),LOWER(LEFT(E530,1)))),ISNUMBER(VALUE(MID(E530,FIND("-",E530)+1,10)))),1,0),0))</f>
        <v>0</v>
      </c>
      <c r="J530" s="0" t="str">
        <f aca="false">IF(I530=1,TRIM(LEFT(H530,MAX(0,LEN(H530)-LEN(D530)))),"")</f>
        <v/>
      </c>
      <c r="K530" s="0" t="str">
        <f aca="false">INDEX($P$2:$P$21,A530)</f>
        <v>Deck 9</v>
      </c>
      <c r="L530" s="0" t="n">
        <f aca="false">IF(AND(C530&lt;&gt;"",LEFT(C530,2)&lt;&gt;"//",I530=0),1,0)</f>
        <v>0</v>
      </c>
      <c r="M530" s="0" t="str">
        <f aca="false">IF(I530=1,MAX(M$1:M529)+1,"")</f>
        <v/>
      </c>
      <c r="N530" s="0" t="str">
        <f aca="false">IFERROR(MATCH(ROW()-1,$V$2:$V$1201,0),"")</f>
        <v/>
      </c>
      <c r="R530" s="0" t="str">
        <f aca="false">IF(E530="","",IFERROR(LEFT(E530,FIND("-",E530)-1),E530))</f>
        <v/>
      </c>
      <c r="S530" s="0" t="str">
        <f aca="false">IF(R530="","",IF(ISNUMBER(--MID(R530,1,1)),0,IF(ISNUMBER(--MID(R530,2,1)),1,IF(ISNUMBER(--MID(R530,3,1)),2,IF(ISNUMBER(--MID(R530,4,1)),3,MIN(LEN(R530),4))))))</f>
        <v/>
      </c>
      <c r="T530" s="0" t="str">
        <f aca="false">IF(E530="","",LEFT(R530,S530)&amp;REPT("0",4-S530)&amp;RIGHT("000"&amp;IFERROR(VALUE(MID(R530,S530+1,9)),0),3)&amp;RIGHT("0000"&amp;IFERROR(VALUE(MID(E530,FIND("-",E530)+1,9)),0),4))</f>
        <v/>
      </c>
      <c r="U530" s="0" t="str">
        <f aca="false">IF(I530=1,"K"&amp;RIGHT("00"&amp;A530,2)&amp;T530&amp;RIGHT("00000"&amp;ROW(),5),"")</f>
        <v/>
      </c>
      <c r="V530" s="0" t="str">
        <f aca="false">IF(U530="","",COUNTIFS($I$2:$I$1201,1,$U$2:$U$1201,"&lt;"&amp;U530)+1)</f>
        <v/>
      </c>
    </row>
    <row r="531" customFormat="false" ht="15" hidden="false" customHeight="false" outlineLevel="0" collapsed="false">
      <c r="A531" s="0" t="n">
        <v>9</v>
      </c>
      <c r="B531" s="0" t="n">
        <v>50</v>
      </c>
      <c r="C531" s="0" t="str">
        <f aca="false">TRIM(SUBSTITUTE(INDEX(LISTAS!$A$4:$T$63,B531,A531)&amp;"",CHAR(160)," "))</f>
        <v/>
      </c>
      <c r="D531" s="0" t="str">
        <f aca="false">IF(C531="","",TRIM(RIGHT(SUBSTITUTE(C531," ",REPT(" ",100)),100)))</f>
        <v/>
      </c>
      <c r="E531" s="0" t="str">
        <f aca="false">IF(D531="","",UPPER(SUBSTITUTE(SUBSTITUTE(D531,"(",""),")","")))</f>
        <v/>
      </c>
      <c r="F531" s="0" t="str">
        <f aca="false">IF(C531="","",LEFT(C531,FIND(" ",C531&amp;" ")-1))</f>
        <v/>
      </c>
      <c r="G531" s="0" t="n">
        <f aca="false">IFERROR(VALUE(SUBSTITUTE(LOWER(F531),"x","")),0)</f>
        <v>0</v>
      </c>
      <c r="H531" s="0" t="str">
        <f aca="false">IF(C531="","",TRIM(MID(C531,LEN(F531)+2,999)))</f>
        <v/>
      </c>
      <c r="I531" s="0" t="n">
        <f aca="false">IF(OR(C531="",LEFT(C531,2)="//"),0,IFERROR(IF(AND(G531&gt;0,G531=INT(G531),FIND("-",E531)&gt;1,NOT(EXACT(UPPER(LEFT(E531,1)),LOWER(LEFT(E531,1)))),ISNUMBER(VALUE(MID(E531,FIND("-",E531)+1,10)))),1,0),0))</f>
        <v>0</v>
      </c>
      <c r="J531" s="0" t="str">
        <f aca="false">IF(I531=1,TRIM(LEFT(H531,MAX(0,LEN(H531)-LEN(D531)))),"")</f>
        <v/>
      </c>
      <c r="K531" s="0" t="str">
        <f aca="false">INDEX($P$2:$P$21,A531)</f>
        <v>Deck 9</v>
      </c>
      <c r="L531" s="0" t="n">
        <f aca="false">IF(AND(C531&lt;&gt;"",LEFT(C531,2)&lt;&gt;"//",I531=0),1,0)</f>
        <v>0</v>
      </c>
      <c r="M531" s="0" t="str">
        <f aca="false">IF(I531=1,MAX(M$1:M530)+1,"")</f>
        <v/>
      </c>
      <c r="N531" s="0" t="str">
        <f aca="false">IFERROR(MATCH(ROW()-1,$V$2:$V$1201,0),"")</f>
        <v/>
      </c>
      <c r="R531" s="0" t="str">
        <f aca="false">IF(E531="","",IFERROR(LEFT(E531,FIND("-",E531)-1),E531))</f>
        <v/>
      </c>
      <c r="S531" s="0" t="str">
        <f aca="false">IF(R531="","",IF(ISNUMBER(--MID(R531,1,1)),0,IF(ISNUMBER(--MID(R531,2,1)),1,IF(ISNUMBER(--MID(R531,3,1)),2,IF(ISNUMBER(--MID(R531,4,1)),3,MIN(LEN(R531),4))))))</f>
        <v/>
      </c>
      <c r="T531" s="0" t="str">
        <f aca="false">IF(E531="","",LEFT(R531,S531)&amp;REPT("0",4-S531)&amp;RIGHT("000"&amp;IFERROR(VALUE(MID(R531,S531+1,9)),0),3)&amp;RIGHT("0000"&amp;IFERROR(VALUE(MID(E531,FIND("-",E531)+1,9)),0),4))</f>
        <v/>
      </c>
      <c r="U531" s="0" t="str">
        <f aca="false">IF(I531=1,"K"&amp;RIGHT("00"&amp;A531,2)&amp;T531&amp;RIGHT("00000"&amp;ROW(),5),"")</f>
        <v/>
      </c>
      <c r="V531" s="0" t="str">
        <f aca="false">IF(U531="","",COUNTIFS($I$2:$I$1201,1,$U$2:$U$1201,"&lt;"&amp;U531)+1)</f>
        <v/>
      </c>
    </row>
    <row r="532" customFormat="false" ht="15" hidden="false" customHeight="false" outlineLevel="0" collapsed="false">
      <c r="A532" s="0" t="n">
        <v>9</v>
      </c>
      <c r="B532" s="0" t="n">
        <v>51</v>
      </c>
      <c r="C532" s="0" t="str">
        <f aca="false">TRIM(SUBSTITUTE(INDEX(LISTAS!$A$4:$T$63,B532,A532)&amp;"",CHAR(160)," "))</f>
        <v/>
      </c>
      <c r="D532" s="0" t="str">
        <f aca="false">IF(C532="","",TRIM(RIGHT(SUBSTITUTE(C532," ",REPT(" ",100)),100)))</f>
        <v/>
      </c>
      <c r="E532" s="0" t="str">
        <f aca="false">IF(D532="","",UPPER(SUBSTITUTE(SUBSTITUTE(D532,"(",""),")","")))</f>
        <v/>
      </c>
      <c r="F532" s="0" t="str">
        <f aca="false">IF(C532="","",LEFT(C532,FIND(" ",C532&amp;" ")-1))</f>
        <v/>
      </c>
      <c r="G532" s="0" t="n">
        <f aca="false">IFERROR(VALUE(SUBSTITUTE(LOWER(F532),"x","")),0)</f>
        <v>0</v>
      </c>
      <c r="H532" s="0" t="str">
        <f aca="false">IF(C532="","",TRIM(MID(C532,LEN(F532)+2,999)))</f>
        <v/>
      </c>
      <c r="I532" s="0" t="n">
        <f aca="false">IF(OR(C532="",LEFT(C532,2)="//"),0,IFERROR(IF(AND(G532&gt;0,G532=INT(G532),FIND("-",E532)&gt;1,NOT(EXACT(UPPER(LEFT(E532,1)),LOWER(LEFT(E532,1)))),ISNUMBER(VALUE(MID(E532,FIND("-",E532)+1,10)))),1,0),0))</f>
        <v>0</v>
      </c>
      <c r="J532" s="0" t="str">
        <f aca="false">IF(I532=1,TRIM(LEFT(H532,MAX(0,LEN(H532)-LEN(D532)))),"")</f>
        <v/>
      </c>
      <c r="K532" s="0" t="str">
        <f aca="false">INDEX($P$2:$P$21,A532)</f>
        <v>Deck 9</v>
      </c>
      <c r="L532" s="0" t="n">
        <f aca="false">IF(AND(C532&lt;&gt;"",LEFT(C532,2)&lt;&gt;"//",I532=0),1,0)</f>
        <v>0</v>
      </c>
      <c r="M532" s="0" t="str">
        <f aca="false">IF(I532=1,MAX(M$1:M531)+1,"")</f>
        <v/>
      </c>
      <c r="N532" s="0" t="str">
        <f aca="false">IFERROR(MATCH(ROW()-1,$V$2:$V$1201,0),"")</f>
        <v/>
      </c>
      <c r="R532" s="0" t="str">
        <f aca="false">IF(E532="","",IFERROR(LEFT(E532,FIND("-",E532)-1),E532))</f>
        <v/>
      </c>
      <c r="S532" s="0" t="str">
        <f aca="false">IF(R532="","",IF(ISNUMBER(--MID(R532,1,1)),0,IF(ISNUMBER(--MID(R532,2,1)),1,IF(ISNUMBER(--MID(R532,3,1)),2,IF(ISNUMBER(--MID(R532,4,1)),3,MIN(LEN(R532),4))))))</f>
        <v/>
      </c>
      <c r="T532" s="0" t="str">
        <f aca="false">IF(E532="","",LEFT(R532,S532)&amp;REPT("0",4-S532)&amp;RIGHT("000"&amp;IFERROR(VALUE(MID(R532,S532+1,9)),0),3)&amp;RIGHT("0000"&amp;IFERROR(VALUE(MID(E532,FIND("-",E532)+1,9)),0),4))</f>
        <v/>
      </c>
      <c r="U532" s="0" t="str">
        <f aca="false">IF(I532=1,"K"&amp;RIGHT("00"&amp;A532,2)&amp;T532&amp;RIGHT("00000"&amp;ROW(),5),"")</f>
        <v/>
      </c>
      <c r="V532" s="0" t="str">
        <f aca="false">IF(U532="","",COUNTIFS($I$2:$I$1201,1,$U$2:$U$1201,"&lt;"&amp;U532)+1)</f>
        <v/>
      </c>
    </row>
    <row r="533" customFormat="false" ht="15" hidden="false" customHeight="false" outlineLevel="0" collapsed="false">
      <c r="A533" s="0" t="n">
        <v>9</v>
      </c>
      <c r="B533" s="0" t="n">
        <v>52</v>
      </c>
      <c r="C533" s="0" t="str">
        <f aca="false">TRIM(SUBSTITUTE(INDEX(LISTAS!$A$4:$T$63,B533,A533)&amp;"",CHAR(160)," "))</f>
        <v/>
      </c>
      <c r="D533" s="0" t="str">
        <f aca="false">IF(C533="","",TRIM(RIGHT(SUBSTITUTE(C533," ",REPT(" ",100)),100)))</f>
        <v/>
      </c>
      <c r="E533" s="0" t="str">
        <f aca="false">IF(D533="","",UPPER(SUBSTITUTE(SUBSTITUTE(D533,"(",""),")","")))</f>
        <v/>
      </c>
      <c r="F533" s="0" t="str">
        <f aca="false">IF(C533="","",LEFT(C533,FIND(" ",C533&amp;" ")-1))</f>
        <v/>
      </c>
      <c r="G533" s="0" t="n">
        <f aca="false">IFERROR(VALUE(SUBSTITUTE(LOWER(F533),"x","")),0)</f>
        <v>0</v>
      </c>
      <c r="H533" s="0" t="str">
        <f aca="false">IF(C533="","",TRIM(MID(C533,LEN(F533)+2,999)))</f>
        <v/>
      </c>
      <c r="I533" s="0" t="n">
        <f aca="false">IF(OR(C533="",LEFT(C533,2)="//"),0,IFERROR(IF(AND(G533&gt;0,G533=INT(G533),FIND("-",E533)&gt;1,NOT(EXACT(UPPER(LEFT(E533,1)),LOWER(LEFT(E533,1)))),ISNUMBER(VALUE(MID(E533,FIND("-",E533)+1,10)))),1,0),0))</f>
        <v>0</v>
      </c>
      <c r="J533" s="0" t="str">
        <f aca="false">IF(I533=1,TRIM(LEFT(H533,MAX(0,LEN(H533)-LEN(D533)))),"")</f>
        <v/>
      </c>
      <c r="K533" s="0" t="str">
        <f aca="false">INDEX($P$2:$P$21,A533)</f>
        <v>Deck 9</v>
      </c>
      <c r="L533" s="0" t="n">
        <f aca="false">IF(AND(C533&lt;&gt;"",LEFT(C533,2)&lt;&gt;"//",I533=0),1,0)</f>
        <v>0</v>
      </c>
      <c r="M533" s="0" t="str">
        <f aca="false">IF(I533=1,MAX(M$1:M532)+1,"")</f>
        <v/>
      </c>
      <c r="N533" s="0" t="str">
        <f aca="false">IFERROR(MATCH(ROW()-1,$V$2:$V$1201,0),"")</f>
        <v/>
      </c>
      <c r="R533" s="0" t="str">
        <f aca="false">IF(E533="","",IFERROR(LEFT(E533,FIND("-",E533)-1),E533))</f>
        <v/>
      </c>
      <c r="S533" s="0" t="str">
        <f aca="false">IF(R533="","",IF(ISNUMBER(--MID(R533,1,1)),0,IF(ISNUMBER(--MID(R533,2,1)),1,IF(ISNUMBER(--MID(R533,3,1)),2,IF(ISNUMBER(--MID(R533,4,1)),3,MIN(LEN(R533),4))))))</f>
        <v/>
      </c>
      <c r="T533" s="0" t="str">
        <f aca="false">IF(E533="","",LEFT(R533,S533)&amp;REPT("0",4-S533)&amp;RIGHT("000"&amp;IFERROR(VALUE(MID(R533,S533+1,9)),0),3)&amp;RIGHT("0000"&amp;IFERROR(VALUE(MID(E533,FIND("-",E533)+1,9)),0),4))</f>
        <v/>
      </c>
      <c r="U533" s="0" t="str">
        <f aca="false">IF(I533=1,"K"&amp;RIGHT("00"&amp;A533,2)&amp;T533&amp;RIGHT("00000"&amp;ROW(),5),"")</f>
        <v/>
      </c>
      <c r="V533" s="0" t="str">
        <f aca="false">IF(U533="","",COUNTIFS($I$2:$I$1201,1,$U$2:$U$1201,"&lt;"&amp;U533)+1)</f>
        <v/>
      </c>
    </row>
    <row r="534" customFormat="false" ht="15" hidden="false" customHeight="false" outlineLevel="0" collapsed="false">
      <c r="A534" s="0" t="n">
        <v>9</v>
      </c>
      <c r="B534" s="0" t="n">
        <v>53</v>
      </c>
      <c r="C534" s="0" t="str">
        <f aca="false">TRIM(SUBSTITUTE(INDEX(LISTAS!$A$4:$T$63,B534,A534)&amp;"",CHAR(160)," "))</f>
        <v/>
      </c>
      <c r="D534" s="0" t="str">
        <f aca="false">IF(C534="","",TRIM(RIGHT(SUBSTITUTE(C534," ",REPT(" ",100)),100)))</f>
        <v/>
      </c>
      <c r="E534" s="0" t="str">
        <f aca="false">IF(D534="","",UPPER(SUBSTITUTE(SUBSTITUTE(D534,"(",""),")","")))</f>
        <v/>
      </c>
      <c r="F534" s="0" t="str">
        <f aca="false">IF(C534="","",LEFT(C534,FIND(" ",C534&amp;" ")-1))</f>
        <v/>
      </c>
      <c r="G534" s="0" t="n">
        <f aca="false">IFERROR(VALUE(SUBSTITUTE(LOWER(F534),"x","")),0)</f>
        <v>0</v>
      </c>
      <c r="H534" s="0" t="str">
        <f aca="false">IF(C534="","",TRIM(MID(C534,LEN(F534)+2,999)))</f>
        <v/>
      </c>
      <c r="I534" s="0" t="n">
        <f aca="false">IF(OR(C534="",LEFT(C534,2)="//"),0,IFERROR(IF(AND(G534&gt;0,G534=INT(G534),FIND("-",E534)&gt;1,NOT(EXACT(UPPER(LEFT(E534,1)),LOWER(LEFT(E534,1)))),ISNUMBER(VALUE(MID(E534,FIND("-",E534)+1,10)))),1,0),0))</f>
        <v>0</v>
      </c>
      <c r="J534" s="0" t="str">
        <f aca="false">IF(I534=1,TRIM(LEFT(H534,MAX(0,LEN(H534)-LEN(D534)))),"")</f>
        <v/>
      </c>
      <c r="K534" s="0" t="str">
        <f aca="false">INDEX($P$2:$P$21,A534)</f>
        <v>Deck 9</v>
      </c>
      <c r="L534" s="0" t="n">
        <f aca="false">IF(AND(C534&lt;&gt;"",LEFT(C534,2)&lt;&gt;"//",I534=0),1,0)</f>
        <v>0</v>
      </c>
      <c r="M534" s="0" t="str">
        <f aca="false">IF(I534=1,MAX(M$1:M533)+1,"")</f>
        <v/>
      </c>
      <c r="N534" s="0" t="str">
        <f aca="false">IFERROR(MATCH(ROW()-1,$V$2:$V$1201,0),"")</f>
        <v/>
      </c>
      <c r="R534" s="0" t="str">
        <f aca="false">IF(E534="","",IFERROR(LEFT(E534,FIND("-",E534)-1),E534))</f>
        <v/>
      </c>
      <c r="S534" s="0" t="str">
        <f aca="false">IF(R534="","",IF(ISNUMBER(--MID(R534,1,1)),0,IF(ISNUMBER(--MID(R534,2,1)),1,IF(ISNUMBER(--MID(R534,3,1)),2,IF(ISNUMBER(--MID(R534,4,1)),3,MIN(LEN(R534),4))))))</f>
        <v/>
      </c>
      <c r="T534" s="0" t="str">
        <f aca="false">IF(E534="","",LEFT(R534,S534)&amp;REPT("0",4-S534)&amp;RIGHT("000"&amp;IFERROR(VALUE(MID(R534,S534+1,9)),0),3)&amp;RIGHT("0000"&amp;IFERROR(VALUE(MID(E534,FIND("-",E534)+1,9)),0),4))</f>
        <v/>
      </c>
      <c r="U534" s="0" t="str">
        <f aca="false">IF(I534=1,"K"&amp;RIGHT("00"&amp;A534,2)&amp;T534&amp;RIGHT("00000"&amp;ROW(),5),"")</f>
        <v/>
      </c>
      <c r="V534" s="0" t="str">
        <f aca="false">IF(U534="","",COUNTIFS($I$2:$I$1201,1,$U$2:$U$1201,"&lt;"&amp;U534)+1)</f>
        <v/>
      </c>
    </row>
    <row r="535" customFormat="false" ht="15" hidden="false" customHeight="false" outlineLevel="0" collapsed="false">
      <c r="A535" s="0" t="n">
        <v>9</v>
      </c>
      <c r="B535" s="0" t="n">
        <v>54</v>
      </c>
      <c r="C535" s="0" t="str">
        <f aca="false">TRIM(SUBSTITUTE(INDEX(LISTAS!$A$4:$T$63,B535,A535)&amp;"",CHAR(160)," "))</f>
        <v/>
      </c>
      <c r="D535" s="0" t="str">
        <f aca="false">IF(C535="","",TRIM(RIGHT(SUBSTITUTE(C535," ",REPT(" ",100)),100)))</f>
        <v/>
      </c>
      <c r="E535" s="0" t="str">
        <f aca="false">IF(D535="","",UPPER(SUBSTITUTE(SUBSTITUTE(D535,"(",""),")","")))</f>
        <v/>
      </c>
      <c r="F535" s="0" t="str">
        <f aca="false">IF(C535="","",LEFT(C535,FIND(" ",C535&amp;" ")-1))</f>
        <v/>
      </c>
      <c r="G535" s="0" t="n">
        <f aca="false">IFERROR(VALUE(SUBSTITUTE(LOWER(F535),"x","")),0)</f>
        <v>0</v>
      </c>
      <c r="H535" s="0" t="str">
        <f aca="false">IF(C535="","",TRIM(MID(C535,LEN(F535)+2,999)))</f>
        <v/>
      </c>
      <c r="I535" s="0" t="n">
        <f aca="false">IF(OR(C535="",LEFT(C535,2)="//"),0,IFERROR(IF(AND(G535&gt;0,G535=INT(G535),FIND("-",E535)&gt;1,NOT(EXACT(UPPER(LEFT(E535,1)),LOWER(LEFT(E535,1)))),ISNUMBER(VALUE(MID(E535,FIND("-",E535)+1,10)))),1,0),0))</f>
        <v>0</v>
      </c>
      <c r="J535" s="0" t="str">
        <f aca="false">IF(I535=1,TRIM(LEFT(H535,MAX(0,LEN(H535)-LEN(D535)))),"")</f>
        <v/>
      </c>
      <c r="K535" s="0" t="str">
        <f aca="false">INDEX($P$2:$P$21,A535)</f>
        <v>Deck 9</v>
      </c>
      <c r="L535" s="0" t="n">
        <f aca="false">IF(AND(C535&lt;&gt;"",LEFT(C535,2)&lt;&gt;"//",I535=0),1,0)</f>
        <v>0</v>
      </c>
      <c r="M535" s="0" t="str">
        <f aca="false">IF(I535=1,MAX(M$1:M534)+1,"")</f>
        <v/>
      </c>
      <c r="N535" s="0" t="str">
        <f aca="false">IFERROR(MATCH(ROW()-1,$V$2:$V$1201,0),"")</f>
        <v/>
      </c>
      <c r="R535" s="0" t="str">
        <f aca="false">IF(E535="","",IFERROR(LEFT(E535,FIND("-",E535)-1),E535))</f>
        <v/>
      </c>
      <c r="S535" s="0" t="str">
        <f aca="false">IF(R535="","",IF(ISNUMBER(--MID(R535,1,1)),0,IF(ISNUMBER(--MID(R535,2,1)),1,IF(ISNUMBER(--MID(R535,3,1)),2,IF(ISNUMBER(--MID(R535,4,1)),3,MIN(LEN(R535),4))))))</f>
        <v/>
      </c>
      <c r="T535" s="0" t="str">
        <f aca="false">IF(E535="","",LEFT(R535,S535)&amp;REPT("0",4-S535)&amp;RIGHT("000"&amp;IFERROR(VALUE(MID(R535,S535+1,9)),0),3)&amp;RIGHT("0000"&amp;IFERROR(VALUE(MID(E535,FIND("-",E535)+1,9)),0),4))</f>
        <v/>
      </c>
      <c r="U535" s="0" t="str">
        <f aca="false">IF(I535=1,"K"&amp;RIGHT("00"&amp;A535,2)&amp;T535&amp;RIGHT("00000"&amp;ROW(),5),"")</f>
        <v/>
      </c>
      <c r="V535" s="0" t="str">
        <f aca="false">IF(U535="","",COUNTIFS($I$2:$I$1201,1,$U$2:$U$1201,"&lt;"&amp;U535)+1)</f>
        <v/>
      </c>
    </row>
    <row r="536" customFormat="false" ht="15" hidden="false" customHeight="false" outlineLevel="0" collapsed="false">
      <c r="A536" s="0" t="n">
        <v>9</v>
      </c>
      <c r="B536" s="0" t="n">
        <v>55</v>
      </c>
      <c r="C536" s="0" t="str">
        <f aca="false">TRIM(SUBSTITUTE(INDEX(LISTAS!$A$4:$T$63,B536,A536)&amp;"",CHAR(160)," "))</f>
        <v/>
      </c>
      <c r="D536" s="0" t="str">
        <f aca="false">IF(C536="","",TRIM(RIGHT(SUBSTITUTE(C536," ",REPT(" ",100)),100)))</f>
        <v/>
      </c>
      <c r="E536" s="0" t="str">
        <f aca="false">IF(D536="","",UPPER(SUBSTITUTE(SUBSTITUTE(D536,"(",""),")","")))</f>
        <v/>
      </c>
      <c r="F536" s="0" t="str">
        <f aca="false">IF(C536="","",LEFT(C536,FIND(" ",C536&amp;" ")-1))</f>
        <v/>
      </c>
      <c r="G536" s="0" t="n">
        <f aca="false">IFERROR(VALUE(SUBSTITUTE(LOWER(F536),"x","")),0)</f>
        <v>0</v>
      </c>
      <c r="H536" s="0" t="str">
        <f aca="false">IF(C536="","",TRIM(MID(C536,LEN(F536)+2,999)))</f>
        <v/>
      </c>
      <c r="I536" s="0" t="n">
        <f aca="false">IF(OR(C536="",LEFT(C536,2)="//"),0,IFERROR(IF(AND(G536&gt;0,G536=INT(G536),FIND("-",E536)&gt;1,NOT(EXACT(UPPER(LEFT(E536,1)),LOWER(LEFT(E536,1)))),ISNUMBER(VALUE(MID(E536,FIND("-",E536)+1,10)))),1,0),0))</f>
        <v>0</v>
      </c>
      <c r="J536" s="0" t="str">
        <f aca="false">IF(I536=1,TRIM(LEFT(H536,MAX(0,LEN(H536)-LEN(D536)))),"")</f>
        <v/>
      </c>
      <c r="K536" s="0" t="str">
        <f aca="false">INDEX($P$2:$P$21,A536)</f>
        <v>Deck 9</v>
      </c>
      <c r="L536" s="0" t="n">
        <f aca="false">IF(AND(C536&lt;&gt;"",LEFT(C536,2)&lt;&gt;"//",I536=0),1,0)</f>
        <v>0</v>
      </c>
      <c r="M536" s="0" t="str">
        <f aca="false">IF(I536=1,MAX(M$1:M535)+1,"")</f>
        <v/>
      </c>
      <c r="N536" s="0" t="str">
        <f aca="false">IFERROR(MATCH(ROW()-1,$V$2:$V$1201,0),"")</f>
        <v/>
      </c>
      <c r="R536" s="0" t="str">
        <f aca="false">IF(E536="","",IFERROR(LEFT(E536,FIND("-",E536)-1),E536))</f>
        <v/>
      </c>
      <c r="S536" s="0" t="str">
        <f aca="false">IF(R536="","",IF(ISNUMBER(--MID(R536,1,1)),0,IF(ISNUMBER(--MID(R536,2,1)),1,IF(ISNUMBER(--MID(R536,3,1)),2,IF(ISNUMBER(--MID(R536,4,1)),3,MIN(LEN(R536),4))))))</f>
        <v/>
      </c>
      <c r="T536" s="0" t="str">
        <f aca="false">IF(E536="","",LEFT(R536,S536)&amp;REPT("0",4-S536)&amp;RIGHT("000"&amp;IFERROR(VALUE(MID(R536,S536+1,9)),0),3)&amp;RIGHT("0000"&amp;IFERROR(VALUE(MID(E536,FIND("-",E536)+1,9)),0),4))</f>
        <v/>
      </c>
      <c r="U536" s="0" t="str">
        <f aca="false">IF(I536=1,"K"&amp;RIGHT("00"&amp;A536,2)&amp;T536&amp;RIGHT("00000"&amp;ROW(),5),"")</f>
        <v/>
      </c>
      <c r="V536" s="0" t="str">
        <f aca="false">IF(U536="","",COUNTIFS($I$2:$I$1201,1,$U$2:$U$1201,"&lt;"&amp;U536)+1)</f>
        <v/>
      </c>
    </row>
    <row r="537" customFormat="false" ht="15" hidden="false" customHeight="false" outlineLevel="0" collapsed="false">
      <c r="A537" s="0" t="n">
        <v>9</v>
      </c>
      <c r="B537" s="0" t="n">
        <v>56</v>
      </c>
      <c r="C537" s="0" t="str">
        <f aca="false">TRIM(SUBSTITUTE(INDEX(LISTAS!$A$4:$T$63,B537,A537)&amp;"",CHAR(160)," "))</f>
        <v/>
      </c>
      <c r="D537" s="0" t="str">
        <f aca="false">IF(C537="","",TRIM(RIGHT(SUBSTITUTE(C537," ",REPT(" ",100)),100)))</f>
        <v/>
      </c>
      <c r="E537" s="0" t="str">
        <f aca="false">IF(D537="","",UPPER(SUBSTITUTE(SUBSTITUTE(D537,"(",""),")","")))</f>
        <v/>
      </c>
      <c r="F537" s="0" t="str">
        <f aca="false">IF(C537="","",LEFT(C537,FIND(" ",C537&amp;" ")-1))</f>
        <v/>
      </c>
      <c r="G537" s="0" t="n">
        <f aca="false">IFERROR(VALUE(SUBSTITUTE(LOWER(F537),"x","")),0)</f>
        <v>0</v>
      </c>
      <c r="H537" s="0" t="str">
        <f aca="false">IF(C537="","",TRIM(MID(C537,LEN(F537)+2,999)))</f>
        <v/>
      </c>
      <c r="I537" s="0" t="n">
        <f aca="false">IF(OR(C537="",LEFT(C537,2)="//"),0,IFERROR(IF(AND(G537&gt;0,G537=INT(G537),FIND("-",E537)&gt;1,NOT(EXACT(UPPER(LEFT(E537,1)),LOWER(LEFT(E537,1)))),ISNUMBER(VALUE(MID(E537,FIND("-",E537)+1,10)))),1,0),0))</f>
        <v>0</v>
      </c>
      <c r="J537" s="0" t="str">
        <f aca="false">IF(I537=1,TRIM(LEFT(H537,MAX(0,LEN(H537)-LEN(D537)))),"")</f>
        <v/>
      </c>
      <c r="K537" s="0" t="str">
        <f aca="false">INDEX($P$2:$P$21,A537)</f>
        <v>Deck 9</v>
      </c>
      <c r="L537" s="0" t="n">
        <f aca="false">IF(AND(C537&lt;&gt;"",LEFT(C537,2)&lt;&gt;"//",I537=0),1,0)</f>
        <v>0</v>
      </c>
      <c r="M537" s="0" t="str">
        <f aca="false">IF(I537=1,MAX(M$1:M536)+1,"")</f>
        <v/>
      </c>
      <c r="N537" s="0" t="str">
        <f aca="false">IFERROR(MATCH(ROW()-1,$V$2:$V$1201,0),"")</f>
        <v/>
      </c>
      <c r="R537" s="0" t="str">
        <f aca="false">IF(E537="","",IFERROR(LEFT(E537,FIND("-",E537)-1),E537))</f>
        <v/>
      </c>
      <c r="S537" s="0" t="str">
        <f aca="false">IF(R537="","",IF(ISNUMBER(--MID(R537,1,1)),0,IF(ISNUMBER(--MID(R537,2,1)),1,IF(ISNUMBER(--MID(R537,3,1)),2,IF(ISNUMBER(--MID(R537,4,1)),3,MIN(LEN(R537),4))))))</f>
        <v/>
      </c>
      <c r="T537" s="0" t="str">
        <f aca="false">IF(E537="","",LEFT(R537,S537)&amp;REPT("0",4-S537)&amp;RIGHT("000"&amp;IFERROR(VALUE(MID(R537,S537+1,9)),0),3)&amp;RIGHT("0000"&amp;IFERROR(VALUE(MID(E537,FIND("-",E537)+1,9)),0),4))</f>
        <v/>
      </c>
      <c r="U537" s="0" t="str">
        <f aca="false">IF(I537=1,"K"&amp;RIGHT("00"&amp;A537,2)&amp;T537&amp;RIGHT("00000"&amp;ROW(),5),"")</f>
        <v/>
      </c>
      <c r="V537" s="0" t="str">
        <f aca="false">IF(U537="","",COUNTIFS($I$2:$I$1201,1,$U$2:$U$1201,"&lt;"&amp;U537)+1)</f>
        <v/>
      </c>
    </row>
    <row r="538" customFormat="false" ht="15" hidden="false" customHeight="false" outlineLevel="0" collapsed="false">
      <c r="A538" s="0" t="n">
        <v>9</v>
      </c>
      <c r="B538" s="0" t="n">
        <v>57</v>
      </c>
      <c r="C538" s="0" t="str">
        <f aca="false">TRIM(SUBSTITUTE(INDEX(LISTAS!$A$4:$T$63,B538,A538)&amp;"",CHAR(160)," "))</f>
        <v/>
      </c>
      <c r="D538" s="0" t="str">
        <f aca="false">IF(C538="","",TRIM(RIGHT(SUBSTITUTE(C538," ",REPT(" ",100)),100)))</f>
        <v/>
      </c>
      <c r="E538" s="0" t="str">
        <f aca="false">IF(D538="","",UPPER(SUBSTITUTE(SUBSTITUTE(D538,"(",""),")","")))</f>
        <v/>
      </c>
      <c r="F538" s="0" t="str">
        <f aca="false">IF(C538="","",LEFT(C538,FIND(" ",C538&amp;" ")-1))</f>
        <v/>
      </c>
      <c r="G538" s="0" t="n">
        <f aca="false">IFERROR(VALUE(SUBSTITUTE(LOWER(F538),"x","")),0)</f>
        <v>0</v>
      </c>
      <c r="H538" s="0" t="str">
        <f aca="false">IF(C538="","",TRIM(MID(C538,LEN(F538)+2,999)))</f>
        <v/>
      </c>
      <c r="I538" s="0" t="n">
        <f aca="false">IF(OR(C538="",LEFT(C538,2)="//"),0,IFERROR(IF(AND(G538&gt;0,G538=INT(G538),FIND("-",E538)&gt;1,NOT(EXACT(UPPER(LEFT(E538,1)),LOWER(LEFT(E538,1)))),ISNUMBER(VALUE(MID(E538,FIND("-",E538)+1,10)))),1,0),0))</f>
        <v>0</v>
      </c>
      <c r="J538" s="0" t="str">
        <f aca="false">IF(I538=1,TRIM(LEFT(H538,MAX(0,LEN(H538)-LEN(D538)))),"")</f>
        <v/>
      </c>
      <c r="K538" s="0" t="str">
        <f aca="false">INDEX($P$2:$P$21,A538)</f>
        <v>Deck 9</v>
      </c>
      <c r="L538" s="0" t="n">
        <f aca="false">IF(AND(C538&lt;&gt;"",LEFT(C538,2)&lt;&gt;"//",I538=0),1,0)</f>
        <v>0</v>
      </c>
      <c r="M538" s="0" t="str">
        <f aca="false">IF(I538=1,MAX(M$1:M537)+1,"")</f>
        <v/>
      </c>
      <c r="N538" s="0" t="str">
        <f aca="false">IFERROR(MATCH(ROW()-1,$V$2:$V$1201,0),"")</f>
        <v/>
      </c>
      <c r="R538" s="0" t="str">
        <f aca="false">IF(E538="","",IFERROR(LEFT(E538,FIND("-",E538)-1),E538))</f>
        <v/>
      </c>
      <c r="S538" s="0" t="str">
        <f aca="false">IF(R538="","",IF(ISNUMBER(--MID(R538,1,1)),0,IF(ISNUMBER(--MID(R538,2,1)),1,IF(ISNUMBER(--MID(R538,3,1)),2,IF(ISNUMBER(--MID(R538,4,1)),3,MIN(LEN(R538),4))))))</f>
        <v/>
      </c>
      <c r="T538" s="0" t="str">
        <f aca="false">IF(E538="","",LEFT(R538,S538)&amp;REPT("0",4-S538)&amp;RIGHT("000"&amp;IFERROR(VALUE(MID(R538,S538+1,9)),0),3)&amp;RIGHT("0000"&amp;IFERROR(VALUE(MID(E538,FIND("-",E538)+1,9)),0),4))</f>
        <v/>
      </c>
      <c r="U538" s="0" t="str">
        <f aca="false">IF(I538=1,"K"&amp;RIGHT("00"&amp;A538,2)&amp;T538&amp;RIGHT("00000"&amp;ROW(),5),"")</f>
        <v/>
      </c>
      <c r="V538" s="0" t="str">
        <f aca="false">IF(U538="","",COUNTIFS($I$2:$I$1201,1,$U$2:$U$1201,"&lt;"&amp;U538)+1)</f>
        <v/>
      </c>
    </row>
    <row r="539" customFormat="false" ht="15" hidden="false" customHeight="false" outlineLevel="0" collapsed="false">
      <c r="A539" s="0" t="n">
        <v>9</v>
      </c>
      <c r="B539" s="0" t="n">
        <v>58</v>
      </c>
      <c r="C539" s="0" t="str">
        <f aca="false">TRIM(SUBSTITUTE(INDEX(LISTAS!$A$4:$T$63,B539,A539)&amp;"",CHAR(160)," "))</f>
        <v/>
      </c>
      <c r="D539" s="0" t="str">
        <f aca="false">IF(C539="","",TRIM(RIGHT(SUBSTITUTE(C539," ",REPT(" ",100)),100)))</f>
        <v/>
      </c>
      <c r="E539" s="0" t="str">
        <f aca="false">IF(D539="","",UPPER(SUBSTITUTE(SUBSTITUTE(D539,"(",""),")","")))</f>
        <v/>
      </c>
      <c r="F539" s="0" t="str">
        <f aca="false">IF(C539="","",LEFT(C539,FIND(" ",C539&amp;" ")-1))</f>
        <v/>
      </c>
      <c r="G539" s="0" t="n">
        <f aca="false">IFERROR(VALUE(SUBSTITUTE(LOWER(F539),"x","")),0)</f>
        <v>0</v>
      </c>
      <c r="H539" s="0" t="str">
        <f aca="false">IF(C539="","",TRIM(MID(C539,LEN(F539)+2,999)))</f>
        <v/>
      </c>
      <c r="I539" s="0" t="n">
        <f aca="false">IF(OR(C539="",LEFT(C539,2)="//"),0,IFERROR(IF(AND(G539&gt;0,G539=INT(G539),FIND("-",E539)&gt;1,NOT(EXACT(UPPER(LEFT(E539,1)),LOWER(LEFT(E539,1)))),ISNUMBER(VALUE(MID(E539,FIND("-",E539)+1,10)))),1,0),0))</f>
        <v>0</v>
      </c>
      <c r="J539" s="0" t="str">
        <f aca="false">IF(I539=1,TRIM(LEFT(H539,MAX(0,LEN(H539)-LEN(D539)))),"")</f>
        <v/>
      </c>
      <c r="K539" s="0" t="str">
        <f aca="false">INDEX($P$2:$P$21,A539)</f>
        <v>Deck 9</v>
      </c>
      <c r="L539" s="0" t="n">
        <f aca="false">IF(AND(C539&lt;&gt;"",LEFT(C539,2)&lt;&gt;"//",I539=0),1,0)</f>
        <v>0</v>
      </c>
      <c r="M539" s="0" t="str">
        <f aca="false">IF(I539=1,MAX(M$1:M538)+1,"")</f>
        <v/>
      </c>
      <c r="N539" s="0" t="str">
        <f aca="false">IFERROR(MATCH(ROW()-1,$V$2:$V$1201,0),"")</f>
        <v/>
      </c>
      <c r="R539" s="0" t="str">
        <f aca="false">IF(E539="","",IFERROR(LEFT(E539,FIND("-",E539)-1),E539))</f>
        <v/>
      </c>
      <c r="S539" s="0" t="str">
        <f aca="false">IF(R539="","",IF(ISNUMBER(--MID(R539,1,1)),0,IF(ISNUMBER(--MID(R539,2,1)),1,IF(ISNUMBER(--MID(R539,3,1)),2,IF(ISNUMBER(--MID(R539,4,1)),3,MIN(LEN(R539),4))))))</f>
        <v/>
      </c>
      <c r="T539" s="0" t="str">
        <f aca="false">IF(E539="","",LEFT(R539,S539)&amp;REPT("0",4-S539)&amp;RIGHT("000"&amp;IFERROR(VALUE(MID(R539,S539+1,9)),0),3)&amp;RIGHT("0000"&amp;IFERROR(VALUE(MID(E539,FIND("-",E539)+1,9)),0),4))</f>
        <v/>
      </c>
      <c r="U539" s="0" t="str">
        <f aca="false">IF(I539=1,"K"&amp;RIGHT("00"&amp;A539,2)&amp;T539&amp;RIGHT("00000"&amp;ROW(),5),"")</f>
        <v/>
      </c>
      <c r="V539" s="0" t="str">
        <f aca="false">IF(U539="","",COUNTIFS($I$2:$I$1201,1,$U$2:$U$1201,"&lt;"&amp;U539)+1)</f>
        <v/>
      </c>
    </row>
    <row r="540" customFormat="false" ht="15" hidden="false" customHeight="false" outlineLevel="0" collapsed="false">
      <c r="A540" s="0" t="n">
        <v>9</v>
      </c>
      <c r="B540" s="0" t="n">
        <v>59</v>
      </c>
      <c r="C540" s="0" t="str">
        <f aca="false">TRIM(SUBSTITUTE(INDEX(LISTAS!$A$4:$T$63,B540,A540)&amp;"",CHAR(160)," "))</f>
        <v/>
      </c>
      <c r="D540" s="0" t="str">
        <f aca="false">IF(C540="","",TRIM(RIGHT(SUBSTITUTE(C540," ",REPT(" ",100)),100)))</f>
        <v/>
      </c>
      <c r="E540" s="0" t="str">
        <f aca="false">IF(D540="","",UPPER(SUBSTITUTE(SUBSTITUTE(D540,"(",""),")","")))</f>
        <v/>
      </c>
      <c r="F540" s="0" t="str">
        <f aca="false">IF(C540="","",LEFT(C540,FIND(" ",C540&amp;" ")-1))</f>
        <v/>
      </c>
      <c r="G540" s="0" t="n">
        <f aca="false">IFERROR(VALUE(SUBSTITUTE(LOWER(F540),"x","")),0)</f>
        <v>0</v>
      </c>
      <c r="H540" s="0" t="str">
        <f aca="false">IF(C540="","",TRIM(MID(C540,LEN(F540)+2,999)))</f>
        <v/>
      </c>
      <c r="I540" s="0" t="n">
        <f aca="false">IF(OR(C540="",LEFT(C540,2)="//"),0,IFERROR(IF(AND(G540&gt;0,G540=INT(G540),FIND("-",E540)&gt;1,NOT(EXACT(UPPER(LEFT(E540,1)),LOWER(LEFT(E540,1)))),ISNUMBER(VALUE(MID(E540,FIND("-",E540)+1,10)))),1,0),0))</f>
        <v>0</v>
      </c>
      <c r="J540" s="0" t="str">
        <f aca="false">IF(I540=1,TRIM(LEFT(H540,MAX(0,LEN(H540)-LEN(D540)))),"")</f>
        <v/>
      </c>
      <c r="K540" s="0" t="str">
        <f aca="false">INDEX($P$2:$P$21,A540)</f>
        <v>Deck 9</v>
      </c>
      <c r="L540" s="0" t="n">
        <f aca="false">IF(AND(C540&lt;&gt;"",LEFT(C540,2)&lt;&gt;"//",I540=0),1,0)</f>
        <v>0</v>
      </c>
      <c r="M540" s="0" t="str">
        <f aca="false">IF(I540=1,MAX(M$1:M539)+1,"")</f>
        <v/>
      </c>
      <c r="N540" s="0" t="str">
        <f aca="false">IFERROR(MATCH(ROW()-1,$V$2:$V$1201,0),"")</f>
        <v/>
      </c>
      <c r="R540" s="0" t="str">
        <f aca="false">IF(E540="","",IFERROR(LEFT(E540,FIND("-",E540)-1),E540))</f>
        <v/>
      </c>
      <c r="S540" s="0" t="str">
        <f aca="false">IF(R540="","",IF(ISNUMBER(--MID(R540,1,1)),0,IF(ISNUMBER(--MID(R540,2,1)),1,IF(ISNUMBER(--MID(R540,3,1)),2,IF(ISNUMBER(--MID(R540,4,1)),3,MIN(LEN(R540),4))))))</f>
        <v/>
      </c>
      <c r="T540" s="0" t="str">
        <f aca="false">IF(E540="","",LEFT(R540,S540)&amp;REPT("0",4-S540)&amp;RIGHT("000"&amp;IFERROR(VALUE(MID(R540,S540+1,9)),0),3)&amp;RIGHT("0000"&amp;IFERROR(VALUE(MID(E540,FIND("-",E540)+1,9)),0),4))</f>
        <v/>
      </c>
      <c r="U540" s="0" t="str">
        <f aca="false">IF(I540=1,"K"&amp;RIGHT("00"&amp;A540,2)&amp;T540&amp;RIGHT("00000"&amp;ROW(),5),"")</f>
        <v/>
      </c>
      <c r="V540" s="0" t="str">
        <f aca="false">IF(U540="","",COUNTIFS($I$2:$I$1201,1,$U$2:$U$1201,"&lt;"&amp;U540)+1)</f>
        <v/>
      </c>
    </row>
    <row r="541" customFormat="false" ht="15" hidden="false" customHeight="false" outlineLevel="0" collapsed="false">
      <c r="A541" s="0" t="n">
        <v>9</v>
      </c>
      <c r="B541" s="0" t="n">
        <v>60</v>
      </c>
      <c r="C541" s="0" t="str">
        <f aca="false">TRIM(SUBSTITUTE(INDEX(LISTAS!$A$4:$T$63,B541,A541)&amp;"",CHAR(160)," "))</f>
        <v/>
      </c>
      <c r="D541" s="0" t="str">
        <f aca="false">IF(C541="","",TRIM(RIGHT(SUBSTITUTE(C541," ",REPT(" ",100)),100)))</f>
        <v/>
      </c>
      <c r="E541" s="0" t="str">
        <f aca="false">IF(D541="","",UPPER(SUBSTITUTE(SUBSTITUTE(D541,"(",""),")","")))</f>
        <v/>
      </c>
      <c r="F541" s="0" t="str">
        <f aca="false">IF(C541="","",LEFT(C541,FIND(" ",C541&amp;" ")-1))</f>
        <v/>
      </c>
      <c r="G541" s="0" t="n">
        <f aca="false">IFERROR(VALUE(SUBSTITUTE(LOWER(F541),"x","")),0)</f>
        <v>0</v>
      </c>
      <c r="H541" s="0" t="str">
        <f aca="false">IF(C541="","",TRIM(MID(C541,LEN(F541)+2,999)))</f>
        <v/>
      </c>
      <c r="I541" s="0" t="n">
        <f aca="false">IF(OR(C541="",LEFT(C541,2)="//"),0,IFERROR(IF(AND(G541&gt;0,G541=INT(G541),FIND("-",E541)&gt;1,NOT(EXACT(UPPER(LEFT(E541,1)),LOWER(LEFT(E541,1)))),ISNUMBER(VALUE(MID(E541,FIND("-",E541)+1,10)))),1,0),0))</f>
        <v>0</v>
      </c>
      <c r="J541" s="0" t="str">
        <f aca="false">IF(I541=1,TRIM(LEFT(H541,MAX(0,LEN(H541)-LEN(D541)))),"")</f>
        <v/>
      </c>
      <c r="K541" s="0" t="str">
        <f aca="false">INDEX($P$2:$P$21,A541)</f>
        <v>Deck 9</v>
      </c>
      <c r="L541" s="0" t="n">
        <f aca="false">IF(AND(C541&lt;&gt;"",LEFT(C541,2)&lt;&gt;"//",I541=0),1,0)</f>
        <v>0</v>
      </c>
      <c r="M541" s="0" t="str">
        <f aca="false">IF(I541=1,MAX(M$1:M540)+1,"")</f>
        <v/>
      </c>
      <c r="N541" s="0" t="str">
        <f aca="false">IFERROR(MATCH(ROW()-1,$V$2:$V$1201,0),"")</f>
        <v/>
      </c>
      <c r="R541" s="0" t="str">
        <f aca="false">IF(E541="","",IFERROR(LEFT(E541,FIND("-",E541)-1),E541))</f>
        <v/>
      </c>
      <c r="S541" s="0" t="str">
        <f aca="false">IF(R541="","",IF(ISNUMBER(--MID(R541,1,1)),0,IF(ISNUMBER(--MID(R541,2,1)),1,IF(ISNUMBER(--MID(R541,3,1)),2,IF(ISNUMBER(--MID(R541,4,1)),3,MIN(LEN(R541),4))))))</f>
        <v/>
      </c>
      <c r="T541" s="0" t="str">
        <f aca="false">IF(E541="","",LEFT(R541,S541)&amp;REPT("0",4-S541)&amp;RIGHT("000"&amp;IFERROR(VALUE(MID(R541,S541+1,9)),0),3)&amp;RIGHT("0000"&amp;IFERROR(VALUE(MID(E541,FIND("-",E541)+1,9)),0),4))</f>
        <v/>
      </c>
      <c r="U541" s="0" t="str">
        <f aca="false">IF(I541=1,"K"&amp;RIGHT("00"&amp;A541,2)&amp;T541&amp;RIGHT("00000"&amp;ROW(),5),"")</f>
        <v/>
      </c>
      <c r="V541" s="0" t="str">
        <f aca="false">IF(U541="","",COUNTIFS($I$2:$I$1201,1,$U$2:$U$1201,"&lt;"&amp;U541)+1)</f>
        <v/>
      </c>
    </row>
    <row r="542" customFormat="false" ht="15" hidden="false" customHeight="false" outlineLevel="0" collapsed="false">
      <c r="A542" s="0" t="n">
        <v>10</v>
      </c>
      <c r="B542" s="0" t="n">
        <v>1</v>
      </c>
      <c r="C542" s="0" t="str">
        <f aca="false">TRIM(SUBSTITUTE(INDEX(LISTAS!$A$4:$T$63,B542,A542)&amp;"",CHAR(160)," "))</f>
        <v/>
      </c>
      <c r="D542" s="0" t="str">
        <f aca="false">IF(C542="","",TRIM(RIGHT(SUBSTITUTE(C542," ",REPT(" ",100)),100)))</f>
        <v/>
      </c>
      <c r="E542" s="0" t="str">
        <f aca="false">IF(D542="","",UPPER(SUBSTITUTE(SUBSTITUTE(D542,"(",""),")","")))</f>
        <v/>
      </c>
      <c r="F542" s="0" t="str">
        <f aca="false">IF(C542="","",LEFT(C542,FIND(" ",C542&amp;" ")-1))</f>
        <v/>
      </c>
      <c r="G542" s="0" t="n">
        <f aca="false">IFERROR(VALUE(SUBSTITUTE(LOWER(F542),"x","")),0)</f>
        <v>0</v>
      </c>
      <c r="H542" s="0" t="str">
        <f aca="false">IF(C542="","",TRIM(MID(C542,LEN(F542)+2,999)))</f>
        <v/>
      </c>
      <c r="I542" s="0" t="n">
        <f aca="false">IF(OR(C542="",LEFT(C542,2)="//"),0,IFERROR(IF(AND(G542&gt;0,G542=INT(G542),FIND("-",E542)&gt;1,NOT(EXACT(UPPER(LEFT(E542,1)),LOWER(LEFT(E542,1)))),ISNUMBER(VALUE(MID(E542,FIND("-",E542)+1,10)))),1,0),0))</f>
        <v>0</v>
      </c>
      <c r="J542" s="0" t="str">
        <f aca="false">IF(I542=1,TRIM(LEFT(H542,MAX(0,LEN(H542)-LEN(D542)))),"")</f>
        <v/>
      </c>
      <c r="K542" s="0" t="str">
        <f aca="false">INDEX($P$2:$P$21,A542)</f>
        <v>Deck 10</v>
      </c>
      <c r="L542" s="0" t="n">
        <f aca="false">IF(AND(C542&lt;&gt;"",LEFT(C542,2)&lt;&gt;"//",I542=0),1,0)</f>
        <v>0</v>
      </c>
      <c r="M542" s="0" t="str">
        <f aca="false">IF(I542=1,MAX(M$1:M541)+1,"")</f>
        <v/>
      </c>
      <c r="N542" s="0" t="str">
        <f aca="false">IFERROR(MATCH(ROW()-1,$V$2:$V$1201,0),"")</f>
        <v/>
      </c>
      <c r="R542" s="0" t="str">
        <f aca="false">IF(E542="","",IFERROR(LEFT(E542,FIND("-",E542)-1),E542))</f>
        <v/>
      </c>
      <c r="S542" s="0" t="str">
        <f aca="false">IF(R542="","",IF(ISNUMBER(--MID(R542,1,1)),0,IF(ISNUMBER(--MID(R542,2,1)),1,IF(ISNUMBER(--MID(R542,3,1)),2,IF(ISNUMBER(--MID(R542,4,1)),3,MIN(LEN(R542),4))))))</f>
        <v/>
      </c>
      <c r="T542" s="0" t="str">
        <f aca="false">IF(E542="","",LEFT(R542,S542)&amp;REPT("0",4-S542)&amp;RIGHT("000"&amp;IFERROR(VALUE(MID(R542,S542+1,9)),0),3)&amp;RIGHT("0000"&amp;IFERROR(VALUE(MID(E542,FIND("-",E542)+1,9)),0),4))</f>
        <v/>
      </c>
      <c r="U542" s="0" t="str">
        <f aca="false">IF(I542=1,"K"&amp;RIGHT("00"&amp;A542,2)&amp;T542&amp;RIGHT("00000"&amp;ROW(),5),"")</f>
        <v/>
      </c>
      <c r="V542" s="0" t="str">
        <f aca="false">IF(U542="","",COUNTIFS($I$2:$I$1201,1,$U$2:$U$1201,"&lt;"&amp;U542)+1)</f>
        <v/>
      </c>
    </row>
    <row r="543" customFormat="false" ht="15" hidden="false" customHeight="false" outlineLevel="0" collapsed="false">
      <c r="A543" s="0" t="n">
        <v>10</v>
      </c>
      <c r="B543" s="0" t="n">
        <v>2</v>
      </c>
      <c r="C543" s="0" t="str">
        <f aca="false">TRIM(SUBSTITUTE(INDEX(LISTAS!$A$4:$T$63,B543,A543)&amp;"",CHAR(160)," "))</f>
        <v/>
      </c>
      <c r="D543" s="0" t="str">
        <f aca="false">IF(C543="","",TRIM(RIGHT(SUBSTITUTE(C543," ",REPT(" ",100)),100)))</f>
        <v/>
      </c>
      <c r="E543" s="0" t="str">
        <f aca="false">IF(D543="","",UPPER(SUBSTITUTE(SUBSTITUTE(D543,"(",""),")","")))</f>
        <v/>
      </c>
      <c r="F543" s="0" t="str">
        <f aca="false">IF(C543="","",LEFT(C543,FIND(" ",C543&amp;" ")-1))</f>
        <v/>
      </c>
      <c r="G543" s="0" t="n">
        <f aca="false">IFERROR(VALUE(SUBSTITUTE(LOWER(F543),"x","")),0)</f>
        <v>0</v>
      </c>
      <c r="H543" s="0" t="str">
        <f aca="false">IF(C543="","",TRIM(MID(C543,LEN(F543)+2,999)))</f>
        <v/>
      </c>
      <c r="I543" s="0" t="n">
        <f aca="false">IF(OR(C543="",LEFT(C543,2)="//"),0,IFERROR(IF(AND(G543&gt;0,G543=INT(G543),FIND("-",E543)&gt;1,NOT(EXACT(UPPER(LEFT(E543,1)),LOWER(LEFT(E543,1)))),ISNUMBER(VALUE(MID(E543,FIND("-",E543)+1,10)))),1,0),0))</f>
        <v>0</v>
      </c>
      <c r="J543" s="0" t="str">
        <f aca="false">IF(I543=1,TRIM(LEFT(H543,MAX(0,LEN(H543)-LEN(D543)))),"")</f>
        <v/>
      </c>
      <c r="K543" s="0" t="str">
        <f aca="false">INDEX($P$2:$P$21,A543)</f>
        <v>Deck 10</v>
      </c>
      <c r="L543" s="0" t="n">
        <f aca="false">IF(AND(C543&lt;&gt;"",LEFT(C543,2)&lt;&gt;"//",I543=0),1,0)</f>
        <v>0</v>
      </c>
      <c r="M543" s="0" t="str">
        <f aca="false">IF(I543=1,MAX(M$1:M542)+1,"")</f>
        <v/>
      </c>
      <c r="N543" s="0" t="str">
        <f aca="false">IFERROR(MATCH(ROW()-1,$V$2:$V$1201,0),"")</f>
        <v/>
      </c>
      <c r="R543" s="0" t="str">
        <f aca="false">IF(E543="","",IFERROR(LEFT(E543,FIND("-",E543)-1),E543))</f>
        <v/>
      </c>
      <c r="S543" s="0" t="str">
        <f aca="false">IF(R543="","",IF(ISNUMBER(--MID(R543,1,1)),0,IF(ISNUMBER(--MID(R543,2,1)),1,IF(ISNUMBER(--MID(R543,3,1)),2,IF(ISNUMBER(--MID(R543,4,1)),3,MIN(LEN(R543),4))))))</f>
        <v/>
      </c>
      <c r="T543" s="0" t="str">
        <f aca="false">IF(E543="","",LEFT(R543,S543)&amp;REPT("0",4-S543)&amp;RIGHT("000"&amp;IFERROR(VALUE(MID(R543,S543+1,9)),0),3)&amp;RIGHT("0000"&amp;IFERROR(VALUE(MID(E543,FIND("-",E543)+1,9)),0),4))</f>
        <v/>
      </c>
      <c r="U543" s="0" t="str">
        <f aca="false">IF(I543=1,"K"&amp;RIGHT("00"&amp;A543,2)&amp;T543&amp;RIGHT("00000"&amp;ROW(),5),"")</f>
        <v/>
      </c>
      <c r="V543" s="0" t="str">
        <f aca="false">IF(U543="","",COUNTIFS($I$2:$I$1201,1,$U$2:$U$1201,"&lt;"&amp;U543)+1)</f>
        <v/>
      </c>
    </row>
    <row r="544" customFormat="false" ht="15" hidden="false" customHeight="false" outlineLevel="0" collapsed="false">
      <c r="A544" s="0" t="n">
        <v>10</v>
      </c>
      <c r="B544" s="0" t="n">
        <v>3</v>
      </c>
      <c r="C544" s="0" t="str">
        <f aca="false">TRIM(SUBSTITUTE(INDEX(LISTAS!$A$4:$T$63,B544,A544)&amp;"",CHAR(160)," "))</f>
        <v/>
      </c>
      <c r="D544" s="0" t="str">
        <f aca="false">IF(C544="","",TRIM(RIGHT(SUBSTITUTE(C544," ",REPT(" ",100)),100)))</f>
        <v/>
      </c>
      <c r="E544" s="0" t="str">
        <f aca="false">IF(D544="","",UPPER(SUBSTITUTE(SUBSTITUTE(D544,"(",""),")","")))</f>
        <v/>
      </c>
      <c r="F544" s="0" t="str">
        <f aca="false">IF(C544="","",LEFT(C544,FIND(" ",C544&amp;" ")-1))</f>
        <v/>
      </c>
      <c r="G544" s="0" t="n">
        <f aca="false">IFERROR(VALUE(SUBSTITUTE(LOWER(F544),"x","")),0)</f>
        <v>0</v>
      </c>
      <c r="H544" s="0" t="str">
        <f aca="false">IF(C544="","",TRIM(MID(C544,LEN(F544)+2,999)))</f>
        <v/>
      </c>
      <c r="I544" s="0" t="n">
        <f aca="false">IF(OR(C544="",LEFT(C544,2)="//"),0,IFERROR(IF(AND(G544&gt;0,G544=INT(G544),FIND("-",E544)&gt;1,NOT(EXACT(UPPER(LEFT(E544,1)),LOWER(LEFT(E544,1)))),ISNUMBER(VALUE(MID(E544,FIND("-",E544)+1,10)))),1,0),0))</f>
        <v>0</v>
      </c>
      <c r="J544" s="0" t="str">
        <f aca="false">IF(I544=1,TRIM(LEFT(H544,MAX(0,LEN(H544)-LEN(D544)))),"")</f>
        <v/>
      </c>
      <c r="K544" s="0" t="str">
        <f aca="false">INDEX($P$2:$P$21,A544)</f>
        <v>Deck 10</v>
      </c>
      <c r="L544" s="0" t="n">
        <f aca="false">IF(AND(C544&lt;&gt;"",LEFT(C544,2)&lt;&gt;"//",I544=0),1,0)</f>
        <v>0</v>
      </c>
      <c r="M544" s="0" t="str">
        <f aca="false">IF(I544=1,MAX(M$1:M543)+1,"")</f>
        <v/>
      </c>
      <c r="N544" s="0" t="str">
        <f aca="false">IFERROR(MATCH(ROW()-1,$V$2:$V$1201,0),"")</f>
        <v/>
      </c>
      <c r="R544" s="0" t="str">
        <f aca="false">IF(E544="","",IFERROR(LEFT(E544,FIND("-",E544)-1),E544))</f>
        <v/>
      </c>
      <c r="S544" s="0" t="str">
        <f aca="false">IF(R544="","",IF(ISNUMBER(--MID(R544,1,1)),0,IF(ISNUMBER(--MID(R544,2,1)),1,IF(ISNUMBER(--MID(R544,3,1)),2,IF(ISNUMBER(--MID(R544,4,1)),3,MIN(LEN(R544),4))))))</f>
        <v/>
      </c>
      <c r="T544" s="0" t="str">
        <f aca="false">IF(E544="","",LEFT(R544,S544)&amp;REPT("0",4-S544)&amp;RIGHT("000"&amp;IFERROR(VALUE(MID(R544,S544+1,9)),0),3)&amp;RIGHT("0000"&amp;IFERROR(VALUE(MID(E544,FIND("-",E544)+1,9)),0),4))</f>
        <v/>
      </c>
      <c r="U544" s="0" t="str">
        <f aca="false">IF(I544=1,"K"&amp;RIGHT("00"&amp;A544,2)&amp;T544&amp;RIGHT("00000"&amp;ROW(),5),"")</f>
        <v/>
      </c>
      <c r="V544" s="0" t="str">
        <f aca="false">IF(U544="","",COUNTIFS($I$2:$I$1201,1,$U$2:$U$1201,"&lt;"&amp;U544)+1)</f>
        <v/>
      </c>
    </row>
    <row r="545" customFormat="false" ht="15" hidden="false" customHeight="false" outlineLevel="0" collapsed="false">
      <c r="A545" s="0" t="n">
        <v>10</v>
      </c>
      <c r="B545" s="0" t="n">
        <v>4</v>
      </c>
      <c r="C545" s="0" t="str">
        <f aca="false">TRIM(SUBSTITUTE(INDEX(LISTAS!$A$4:$T$63,B545,A545)&amp;"",CHAR(160)," "))</f>
        <v/>
      </c>
      <c r="D545" s="0" t="str">
        <f aca="false">IF(C545="","",TRIM(RIGHT(SUBSTITUTE(C545," ",REPT(" ",100)),100)))</f>
        <v/>
      </c>
      <c r="E545" s="0" t="str">
        <f aca="false">IF(D545="","",UPPER(SUBSTITUTE(SUBSTITUTE(D545,"(",""),")","")))</f>
        <v/>
      </c>
      <c r="F545" s="0" t="str">
        <f aca="false">IF(C545="","",LEFT(C545,FIND(" ",C545&amp;" ")-1))</f>
        <v/>
      </c>
      <c r="G545" s="0" t="n">
        <f aca="false">IFERROR(VALUE(SUBSTITUTE(LOWER(F545),"x","")),0)</f>
        <v>0</v>
      </c>
      <c r="H545" s="0" t="str">
        <f aca="false">IF(C545="","",TRIM(MID(C545,LEN(F545)+2,999)))</f>
        <v/>
      </c>
      <c r="I545" s="0" t="n">
        <f aca="false">IF(OR(C545="",LEFT(C545,2)="//"),0,IFERROR(IF(AND(G545&gt;0,G545=INT(G545),FIND("-",E545)&gt;1,NOT(EXACT(UPPER(LEFT(E545,1)),LOWER(LEFT(E545,1)))),ISNUMBER(VALUE(MID(E545,FIND("-",E545)+1,10)))),1,0),0))</f>
        <v>0</v>
      </c>
      <c r="J545" s="0" t="str">
        <f aca="false">IF(I545=1,TRIM(LEFT(H545,MAX(0,LEN(H545)-LEN(D545)))),"")</f>
        <v/>
      </c>
      <c r="K545" s="0" t="str">
        <f aca="false">INDEX($P$2:$P$21,A545)</f>
        <v>Deck 10</v>
      </c>
      <c r="L545" s="0" t="n">
        <f aca="false">IF(AND(C545&lt;&gt;"",LEFT(C545,2)&lt;&gt;"//",I545=0),1,0)</f>
        <v>0</v>
      </c>
      <c r="M545" s="0" t="str">
        <f aca="false">IF(I545=1,MAX(M$1:M544)+1,"")</f>
        <v/>
      </c>
      <c r="N545" s="0" t="str">
        <f aca="false">IFERROR(MATCH(ROW()-1,$V$2:$V$1201,0),"")</f>
        <v/>
      </c>
      <c r="R545" s="0" t="str">
        <f aca="false">IF(E545="","",IFERROR(LEFT(E545,FIND("-",E545)-1),E545))</f>
        <v/>
      </c>
      <c r="S545" s="0" t="str">
        <f aca="false">IF(R545="","",IF(ISNUMBER(--MID(R545,1,1)),0,IF(ISNUMBER(--MID(R545,2,1)),1,IF(ISNUMBER(--MID(R545,3,1)),2,IF(ISNUMBER(--MID(R545,4,1)),3,MIN(LEN(R545),4))))))</f>
        <v/>
      </c>
      <c r="T545" s="0" t="str">
        <f aca="false">IF(E545="","",LEFT(R545,S545)&amp;REPT("0",4-S545)&amp;RIGHT("000"&amp;IFERROR(VALUE(MID(R545,S545+1,9)),0),3)&amp;RIGHT("0000"&amp;IFERROR(VALUE(MID(E545,FIND("-",E545)+1,9)),0),4))</f>
        <v/>
      </c>
      <c r="U545" s="0" t="str">
        <f aca="false">IF(I545=1,"K"&amp;RIGHT("00"&amp;A545,2)&amp;T545&amp;RIGHT("00000"&amp;ROW(),5),"")</f>
        <v/>
      </c>
      <c r="V545" s="0" t="str">
        <f aca="false">IF(U545="","",COUNTIFS($I$2:$I$1201,1,$U$2:$U$1201,"&lt;"&amp;U545)+1)</f>
        <v/>
      </c>
    </row>
    <row r="546" customFormat="false" ht="15" hidden="false" customHeight="false" outlineLevel="0" collapsed="false">
      <c r="A546" s="0" t="n">
        <v>10</v>
      </c>
      <c r="B546" s="0" t="n">
        <v>5</v>
      </c>
      <c r="C546" s="0" t="str">
        <f aca="false">TRIM(SUBSTITUTE(INDEX(LISTAS!$A$4:$T$63,B546,A546)&amp;"",CHAR(160)," "))</f>
        <v/>
      </c>
      <c r="D546" s="0" t="str">
        <f aca="false">IF(C546="","",TRIM(RIGHT(SUBSTITUTE(C546," ",REPT(" ",100)),100)))</f>
        <v/>
      </c>
      <c r="E546" s="0" t="str">
        <f aca="false">IF(D546="","",UPPER(SUBSTITUTE(SUBSTITUTE(D546,"(",""),")","")))</f>
        <v/>
      </c>
      <c r="F546" s="0" t="str">
        <f aca="false">IF(C546="","",LEFT(C546,FIND(" ",C546&amp;" ")-1))</f>
        <v/>
      </c>
      <c r="G546" s="0" t="n">
        <f aca="false">IFERROR(VALUE(SUBSTITUTE(LOWER(F546),"x","")),0)</f>
        <v>0</v>
      </c>
      <c r="H546" s="0" t="str">
        <f aca="false">IF(C546="","",TRIM(MID(C546,LEN(F546)+2,999)))</f>
        <v/>
      </c>
      <c r="I546" s="0" t="n">
        <f aca="false">IF(OR(C546="",LEFT(C546,2)="//"),0,IFERROR(IF(AND(G546&gt;0,G546=INT(G546),FIND("-",E546)&gt;1,NOT(EXACT(UPPER(LEFT(E546,1)),LOWER(LEFT(E546,1)))),ISNUMBER(VALUE(MID(E546,FIND("-",E546)+1,10)))),1,0),0))</f>
        <v>0</v>
      </c>
      <c r="J546" s="0" t="str">
        <f aca="false">IF(I546=1,TRIM(LEFT(H546,MAX(0,LEN(H546)-LEN(D546)))),"")</f>
        <v/>
      </c>
      <c r="K546" s="0" t="str">
        <f aca="false">INDEX($P$2:$P$21,A546)</f>
        <v>Deck 10</v>
      </c>
      <c r="L546" s="0" t="n">
        <f aca="false">IF(AND(C546&lt;&gt;"",LEFT(C546,2)&lt;&gt;"//",I546=0),1,0)</f>
        <v>0</v>
      </c>
      <c r="M546" s="0" t="str">
        <f aca="false">IF(I546=1,MAX(M$1:M545)+1,"")</f>
        <v/>
      </c>
      <c r="N546" s="0" t="str">
        <f aca="false">IFERROR(MATCH(ROW()-1,$V$2:$V$1201,0),"")</f>
        <v/>
      </c>
      <c r="R546" s="0" t="str">
        <f aca="false">IF(E546="","",IFERROR(LEFT(E546,FIND("-",E546)-1),E546))</f>
        <v/>
      </c>
      <c r="S546" s="0" t="str">
        <f aca="false">IF(R546="","",IF(ISNUMBER(--MID(R546,1,1)),0,IF(ISNUMBER(--MID(R546,2,1)),1,IF(ISNUMBER(--MID(R546,3,1)),2,IF(ISNUMBER(--MID(R546,4,1)),3,MIN(LEN(R546),4))))))</f>
        <v/>
      </c>
      <c r="T546" s="0" t="str">
        <f aca="false">IF(E546="","",LEFT(R546,S546)&amp;REPT("0",4-S546)&amp;RIGHT("000"&amp;IFERROR(VALUE(MID(R546,S546+1,9)),0),3)&amp;RIGHT("0000"&amp;IFERROR(VALUE(MID(E546,FIND("-",E546)+1,9)),0),4))</f>
        <v/>
      </c>
      <c r="U546" s="0" t="str">
        <f aca="false">IF(I546=1,"K"&amp;RIGHT("00"&amp;A546,2)&amp;T546&amp;RIGHT("00000"&amp;ROW(),5),"")</f>
        <v/>
      </c>
      <c r="V546" s="0" t="str">
        <f aca="false">IF(U546="","",COUNTIFS($I$2:$I$1201,1,$U$2:$U$1201,"&lt;"&amp;U546)+1)</f>
        <v/>
      </c>
    </row>
    <row r="547" customFormat="false" ht="15" hidden="false" customHeight="false" outlineLevel="0" collapsed="false">
      <c r="A547" s="0" t="n">
        <v>10</v>
      </c>
      <c r="B547" s="0" t="n">
        <v>6</v>
      </c>
      <c r="C547" s="0" t="str">
        <f aca="false">TRIM(SUBSTITUTE(INDEX(LISTAS!$A$4:$T$63,B547,A547)&amp;"",CHAR(160)," "))</f>
        <v/>
      </c>
      <c r="D547" s="0" t="str">
        <f aca="false">IF(C547="","",TRIM(RIGHT(SUBSTITUTE(C547," ",REPT(" ",100)),100)))</f>
        <v/>
      </c>
      <c r="E547" s="0" t="str">
        <f aca="false">IF(D547="","",UPPER(SUBSTITUTE(SUBSTITUTE(D547,"(",""),")","")))</f>
        <v/>
      </c>
      <c r="F547" s="0" t="str">
        <f aca="false">IF(C547="","",LEFT(C547,FIND(" ",C547&amp;" ")-1))</f>
        <v/>
      </c>
      <c r="G547" s="0" t="n">
        <f aca="false">IFERROR(VALUE(SUBSTITUTE(LOWER(F547),"x","")),0)</f>
        <v>0</v>
      </c>
      <c r="H547" s="0" t="str">
        <f aca="false">IF(C547="","",TRIM(MID(C547,LEN(F547)+2,999)))</f>
        <v/>
      </c>
      <c r="I547" s="0" t="n">
        <f aca="false">IF(OR(C547="",LEFT(C547,2)="//"),0,IFERROR(IF(AND(G547&gt;0,G547=INT(G547),FIND("-",E547)&gt;1,NOT(EXACT(UPPER(LEFT(E547,1)),LOWER(LEFT(E547,1)))),ISNUMBER(VALUE(MID(E547,FIND("-",E547)+1,10)))),1,0),0))</f>
        <v>0</v>
      </c>
      <c r="J547" s="0" t="str">
        <f aca="false">IF(I547=1,TRIM(LEFT(H547,MAX(0,LEN(H547)-LEN(D547)))),"")</f>
        <v/>
      </c>
      <c r="K547" s="0" t="str">
        <f aca="false">INDEX($P$2:$P$21,A547)</f>
        <v>Deck 10</v>
      </c>
      <c r="L547" s="0" t="n">
        <f aca="false">IF(AND(C547&lt;&gt;"",LEFT(C547,2)&lt;&gt;"//",I547=0),1,0)</f>
        <v>0</v>
      </c>
      <c r="M547" s="0" t="str">
        <f aca="false">IF(I547=1,MAX(M$1:M546)+1,"")</f>
        <v/>
      </c>
      <c r="N547" s="0" t="str">
        <f aca="false">IFERROR(MATCH(ROW()-1,$V$2:$V$1201,0),"")</f>
        <v/>
      </c>
      <c r="R547" s="0" t="str">
        <f aca="false">IF(E547="","",IFERROR(LEFT(E547,FIND("-",E547)-1),E547))</f>
        <v/>
      </c>
      <c r="S547" s="0" t="str">
        <f aca="false">IF(R547="","",IF(ISNUMBER(--MID(R547,1,1)),0,IF(ISNUMBER(--MID(R547,2,1)),1,IF(ISNUMBER(--MID(R547,3,1)),2,IF(ISNUMBER(--MID(R547,4,1)),3,MIN(LEN(R547),4))))))</f>
        <v/>
      </c>
      <c r="T547" s="0" t="str">
        <f aca="false">IF(E547="","",LEFT(R547,S547)&amp;REPT("0",4-S547)&amp;RIGHT("000"&amp;IFERROR(VALUE(MID(R547,S547+1,9)),0),3)&amp;RIGHT("0000"&amp;IFERROR(VALUE(MID(E547,FIND("-",E547)+1,9)),0),4))</f>
        <v/>
      </c>
      <c r="U547" s="0" t="str">
        <f aca="false">IF(I547=1,"K"&amp;RIGHT("00"&amp;A547,2)&amp;T547&amp;RIGHT("00000"&amp;ROW(),5),"")</f>
        <v/>
      </c>
      <c r="V547" s="0" t="str">
        <f aca="false">IF(U547="","",COUNTIFS($I$2:$I$1201,1,$U$2:$U$1201,"&lt;"&amp;U547)+1)</f>
        <v/>
      </c>
    </row>
    <row r="548" customFormat="false" ht="15" hidden="false" customHeight="false" outlineLevel="0" collapsed="false">
      <c r="A548" s="0" t="n">
        <v>10</v>
      </c>
      <c r="B548" s="0" t="n">
        <v>7</v>
      </c>
      <c r="C548" s="0" t="str">
        <f aca="false">TRIM(SUBSTITUTE(INDEX(LISTAS!$A$4:$T$63,B548,A548)&amp;"",CHAR(160)," "))</f>
        <v/>
      </c>
      <c r="D548" s="0" t="str">
        <f aca="false">IF(C548="","",TRIM(RIGHT(SUBSTITUTE(C548," ",REPT(" ",100)),100)))</f>
        <v/>
      </c>
      <c r="E548" s="0" t="str">
        <f aca="false">IF(D548="","",UPPER(SUBSTITUTE(SUBSTITUTE(D548,"(",""),")","")))</f>
        <v/>
      </c>
      <c r="F548" s="0" t="str">
        <f aca="false">IF(C548="","",LEFT(C548,FIND(" ",C548&amp;" ")-1))</f>
        <v/>
      </c>
      <c r="G548" s="0" t="n">
        <f aca="false">IFERROR(VALUE(SUBSTITUTE(LOWER(F548),"x","")),0)</f>
        <v>0</v>
      </c>
      <c r="H548" s="0" t="str">
        <f aca="false">IF(C548="","",TRIM(MID(C548,LEN(F548)+2,999)))</f>
        <v/>
      </c>
      <c r="I548" s="0" t="n">
        <f aca="false">IF(OR(C548="",LEFT(C548,2)="//"),0,IFERROR(IF(AND(G548&gt;0,G548=INT(G548),FIND("-",E548)&gt;1,NOT(EXACT(UPPER(LEFT(E548,1)),LOWER(LEFT(E548,1)))),ISNUMBER(VALUE(MID(E548,FIND("-",E548)+1,10)))),1,0),0))</f>
        <v>0</v>
      </c>
      <c r="J548" s="0" t="str">
        <f aca="false">IF(I548=1,TRIM(LEFT(H548,MAX(0,LEN(H548)-LEN(D548)))),"")</f>
        <v/>
      </c>
      <c r="K548" s="0" t="str">
        <f aca="false">INDEX($P$2:$P$21,A548)</f>
        <v>Deck 10</v>
      </c>
      <c r="L548" s="0" t="n">
        <f aca="false">IF(AND(C548&lt;&gt;"",LEFT(C548,2)&lt;&gt;"//",I548=0),1,0)</f>
        <v>0</v>
      </c>
      <c r="M548" s="0" t="str">
        <f aca="false">IF(I548=1,MAX(M$1:M547)+1,"")</f>
        <v/>
      </c>
      <c r="N548" s="0" t="str">
        <f aca="false">IFERROR(MATCH(ROW()-1,$V$2:$V$1201,0),"")</f>
        <v/>
      </c>
      <c r="R548" s="0" t="str">
        <f aca="false">IF(E548="","",IFERROR(LEFT(E548,FIND("-",E548)-1),E548))</f>
        <v/>
      </c>
      <c r="S548" s="0" t="str">
        <f aca="false">IF(R548="","",IF(ISNUMBER(--MID(R548,1,1)),0,IF(ISNUMBER(--MID(R548,2,1)),1,IF(ISNUMBER(--MID(R548,3,1)),2,IF(ISNUMBER(--MID(R548,4,1)),3,MIN(LEN(R548),4))))))</f>
        <v/>
      </c>
      <c r="T548" s="0" t="str">
        <f aca="false">IF(E548="","",LEFT(R548,S548)&amp;REPT("0",4-S548)&amp;RIGHT("000"&amp;IFERROR(VALUE(MID(R548,S548+1,9)),0),3)&amp;RIGHT("0000"&amp;IFERROR(VALUE(MID(E548,FIND("-",E548)+1,9)),0),4))</f>
        <v/>
      </c>
      <c r="U548" s="0" t="str">
        <f aca="false">IF(I548=1,"K"&amp;RIGHT("00"&amp;A548,2)&amp;T548&amp;RIGHT("00000"&amp;ROW(),5),"")</f>
        <v/>
      </c>
      <c r="V548" s="0" t="str">
        <f aca="false">IF(U548="","",COUNTIFS($I$2:$I$1201,1,$U$2:$U$1201,"&lt;"&amp;U548)+1)</f>
        <v/>
      </c>
    </row>
    <row r="549" customFormat="false" ht="15" hidden="false" customHeight="false" outlineLevel="0" collapsed="false">
      <c r="A549" s="0" t="n">
        <v>10</v>
      </c>
      <c r="B549" s="0" t="n">
        <v>8</v>
      </c>
      <c r="C549" s="0" t="str">
        <f aca="false">TRIM(SUBSTITUTE(INDEX(LISTAS!$A$4:$T$63,B549,A549)&amp;"",CHAR(160)," "))</f>
        <v/>
      </c>
      <c r="D549" s="0" t="str">
        <f aca="false">IF(C549="","",TRIM(RIGHT(SUBSTITUTE(C549," ",REPT(" ",100)),100)))</f>
        <v/>
      </c>
      <c r="E549" s="0" t="str">
        <f aca="false">IF(D549="","",UPPER(SUBSTITUTE(SUBSTITUTE(D549,"(",""),")","")))</f>
        <v/>
      </c>
      <c r="F549" s="0" t="str">
        <f aca="false">IF(C549="","",LEFT(C549,FIND(" ",C549&amp;" ")-1))</f>
        <v/>
      </c>
      <c r="G549" s="0" t="n">
        <f aca="false">IFERROR(VALUE(SUBSTITUTE(LOWER(F549),"x","")),0)</f>
        <v>0</v>
      </c>
      <c r="H549" s="0" t="str">
        <f aca="false">IF(C549="","",TRIM(MID(C549,LEN(F549)+2,999)))</f>
        <v/>
      </c>
      <c r="I549" s="0" t="n">
        <f aca="false">IF(OR(C549="",LEFT(C549,2)="//"),0,IFERROR(IF(AND(G549&gt;0,G549=INT(G549),FIND("-",E549)&gt;1,NOT(EXACT(UPPER(LEFT(E549,1)),LOWER(LEFT(E549,1)))),ISNUMBER(VALUE(MID(E549,FIND("-",E549)+1,10)))),1,0),0))</f>
        <v>0</v>
      </c>
      <c r="J549" s="0" t="str">
        <f aca="false">IF(I549=1,TRIM(LEFT(H549,MAX(0,LEN(H549)-LEN(D549)))),"")</f>
        <v/>
      </c>
      <c r="K549" s="0" t="str">
        <f aca="false">INDEX($P$2:$P$21,A549)</f>
        <v>Deck 10</v>
      </c>
      <c r="L549" s="0" t="n">
        <f aca="false">IF(AND(C549&lt;&gt;"",LEFT(C549,2)&lt;&gt;"//",I549=0),1,0)</f>
        <v>0</v>
      </c>
      <c r="M549" s="0" t="str">
        <f aca="false">IF(I549=1,MAX(M$1:M548)+1,"")</f>
        <v/>
      </c>
      <c r="N549" s="0" t="str">
        <f aca="false">IFERROR(MATCH(ROW()-1,$V$2:$V$1201,0),"")</f>
        <v/>
      </c>
      <c r="R549" s="0" t="str">
        <f aca="false">IF(E549="","",IFERROR(LEFT(E549,FIND("-",E549)-1),E549))</f>
        <v/>
      </c>
      <c r="S549" s="0" t="str">
        <f aca="false">IF(R549="","",IF(ISNUMBER(--MID(R549,1,1)),0,IF(ISNUMBER(--MID(R549,2,1)),1,IF(ISNUMBER(--MID(R549,3,1)),2,IF(ISNUMBER(--MID(R549,4,1)),3,MIN(LEN(R549),4))))))</f>
        <v/>
      </c>
      <c r="T549" s="0" t="str">
        <f aca="false">IF(E549="","",LEFT(R549,S549)&amp;REPT("0",4-S549)&amp;RIGHT("000"&amp;IFERROR(VALUE(MID(R549,S549+1,9)),0),3)&amp;RIGHT("0000"&amp;IFERROR(VALUE(MID(E549,FIND("-",E549)+1,9)),0),4))</f>
        <v/>
      </c>
      <c r="U549" s="0" t="str">
        <f aca="false">IF(I549=1,"K"&amp;RIGHT("00"&amp;A549,2)&amp;T549&amp;RIGHT("00000"&amp;ROW(),5),"")</f>
        <v/>
      </c>
      <c r="V549" s="0" t="str">
        <f aca="false">IF(U549="","",COUNTIFS($I$2:$I$1201,1,$U$2:$U$1201,"&lt;"&amp;U549)+1)</f>
        <v/>
      </c>
    </row>
    <row r="550" customFormat="false" ht="15" hidden="false" customHeight="false" outlineLevel="0" collapsed="false">
      <c r="A550" s="0" t="n">
        <v>10</v>
      </c>
      <c r="B550" s="0" t="n">
        <v>9</v>
      </c>
      <c r="C550" s="0" t="str">
        <f aca="false">TRIM(SUBSTITUTE(INDEX(LISTAS!$A$4:$T$63,B550,A550)&amp;"",CHAR(160)," "))</f>
        <v/>
      </c>
      <c r="D550" s="0" t="str">
        <f aca="false">IF(C550="","",TRIM(RIGHT(SUBSTITUTE(C550," ",REPT(" ",100)),100)))</f>
        <v/>
      </c>
      <c r="E550" s="0" t="str">
        <f aca="false">IF(D550="","",UPPER(SUBSTITUTE(SUBSTITUTE(D550,"(",""),")","")))</f>
        <v/>
      </c>
      <c r="F550" s="0" t="str">
        <f aca="false">IF(C550="","",LEFT(C550,FIND(" ",C550&amp;" ")-1))</f>
        <v/>
      </c>
      <c r="G550" s="0" t="n">
        <f aca="false">IFERROR(VALUE(SUBSTITUTE(LOWER(F550),"x","")),0)</f>
        <v>0</v>
      </c>
      <c r="H550" s="0" t="str">
        <f aca="false">IF(C550="","",TRIM(MID(C550,LEN(F550)+2,999)))</f>
        <v/>
      </c>
      <c r="I550" s="0" t="n">
        <f aca="false">IF(OR(C550="",LEFT(C550,2)="//"),0,IFERROR(IF(AND(G550&gt;0,G550=INT(G550),FIND("-",E550)&gt;1,NOT(EXACT(UPPER(LEFT(E550,1)),LOWER(LEFT(E550,1)))),ISNUMBER(VALUE(MID(E550,FIND("-",E550)+1,10)))),1,0),0))</f>
        <v>0</v>
      </c>
      <c r="J550" s="0" t="str">
        <f aca="false">IF(I550=1,TRIM(LEFT(H550,MAX(0,LEN(H550)-LEN(D550)))),"")</f>
        <v/>
      </c>
      <c r="K550" s="0" t="str">
        <f aca="false">INDEX($P$2:$P$21,A550)</f>
        <v>Deck 10</v>
      </c>
      <c r="L550" s="0" t="n">
        <f aca="false">IF(AND(C550&lt;&gt;"",LEFT(C550,2)&lt;&gt;"//",I550=0),1,0)</f>
        <v>0</v>
      </c>
      <c r="M550" s="0" t="str">
        <f aca="false">IF(I550=1,MAX(M$1:M549)+1,"")</f>
        <v/>
      </c>
      <c r="N550" s="0" t="str">
        <f aca="false">IFERROR(MATCH(ROW()-1,$V$2:$V$1201,0),"")</f>
        <v/>
      </c>
      <c r="R550" s="0" t="str">
        <f aca="false">IF(E550="","",IFERROR(LEFT(E550,FIND("-",E550)-1),E550))</f>
        <v/>
      </c>
      <c r="S550" s="0" t="str">
        <f aca="false">IF(R550="","",IF(ISNUMBER(--MID(R550,1,1)),0,IF(ISNUMBER(--MID(R550,2,1)),1,IF(ISNUMBER(--MID(R550,3,1)),2,IF(ISNUMBER(--MID(R550,4,1)),3,MIN(LEN(R550),4))))))</f>
        <v/>
      </c>
      <c r="T550" s="0" t="str">
        <f aca="false">IF(E550="","",LEFT(R550,S550)&amp;REPT("0",4-S550)&amp;RIGHT("000"&amp;IFERROR(VALUE(MID(R550,S550+1,9)),0),3)&amp;RIGHT("0000"&amp;IFERROR(VALUE(MID(E550,FIND("-",E550)+1,9)),0),4))</f>
        <v/>
      </c>
      <c r="U550" s="0" t="str">
        <f aca="false">IF(I550=1,"K"&amp;RIGHT("00"&amp;A550,2)&amp;T550&amp;RIGHT("00000"&amp;ROW(),5),"")</f>
        <v/>
      </c>
      <c r="V550" s="0" t="str">
        <f aca="false">IF(U550="","",COUNTIFS($I$2:$I$1201,1,$U$2:$U$1201,"&lt;"&amp;U550)+1)</f>
        <v/>
      </c>
    </row>
    <row r="551" customFormat="false" ht="15" hidden="false" customHeight="false" outlineLevel="0" collapsed="false">
      <c r="A551" s="0" t="n">
        <v>10</v>
      </c>
      <c r="B551" s="0" t="n">
        <v>10</v>
      </c>
      <c r="C551" s="0" t="str">
        <f aca="false">TRIM(SUBSTITUTE(INDEX(LISTAS!$A$4:$T$63,B551,A551)&amp;"",CHAR(160)," "))</f>
        <v/>
      </c>
      <c r="D551" s="0" t="str">
        <f aca="false">IF(C551="","",TRIM(RIGHT(SUBSTITUTE(C551," ",REPT(" ",100)),100)))</f>
        <v/>
      </c>
      <c r="E551" s="0" t="str">
        <f aca="false">IF(D551="","",UPPER(SUBSTITUTE(SUBSTITUTE(D551,"(",""),")","")))</f>
        <v/>
      </c>
      <c r="F551" s="0" t="str">
        <f aca="false">IF(C551="","",LEFT(C551,FIND(" ",C551&amp;" ")-1))</f>
        <v/>
      </c>
      <c r="G551" s="0" t="n">
        <f aca="false">IFERROR(VALUE(SUBSTITUTE(LOWER(F551),"x","")),0)</f>
        <v>0</v>
      </c>
      <c r="H551" s="0" t="str">
        <f aca="false">IF(C551="","",TRIM(MID(C551,LEN(F551)+2,999)))</f>
        <v/>
      </c>
      <c r="I551" s="0" t="n">
        <f aca="false">IF(OR(C551="",LEFT(C551,2)="//"),0,IFERROR(IF(AND(G551&gt;0,G551=INT(G551),FIND("-",E551)&gt;1,NOT(EXACT(UPPER(LEFT(E551,1)),LOWER(LEFT(E551,1)))),ISNUMBER(VALUE(MID(E551,FIND("-",E551)+1,10)))),1,0),0))</f>
        <v>0</v>
      </c>
      <c r="J551" s="0" t="str">
        <f aca="false">IF(I551=1,TRIM(LEFT(H551,MAX(0,LEN(H551)-LEN(D551)))),"")</f>
        <v/>
      </c>
      <c r="K551" s="0" t="str">
        <f aca="false">INDEX($P$2:$P$21,A551)</f>
        <v>Deck 10</v>
      </c>
      <c r="L551" s="0" t="n">
        <f aca="false">IF(AND(C551&lt;&gt;"",LEFT(C551,2)&lt;&gt;"//",I551=0),1,0)</f>
        <v>0</v>
      </c>
      <c r="M551" s="0" t="str">
        <f aca="false">IF(I551=1,MAX(M$1:M550)+1,"")</f>
        <v/>
      </c>
      <c r="N551" s="0" t="str">
        <f aca="false">IFERROR(MATCH(ROW()-1,$V$2:$V$1201,0),"")</f>
        <v/>
      </c>
      <c r="R551" s="0" t="str">
        <f aca="false">IF(E551="","",IFERROR(LEFT(E551,FIND("-",E551)-1),E551))</f>
        <v/>
      </c>
      <c r="S551" s="0" t="str">
        <f aca="false">IF(R551="","",IF(ISNUMBER(--MID(R551,1,1)),0,IF(ISNUMBER(--MID(R551,2,1)),1,IF(ISNUMBER(--MID(R551,3,1)),2,IF(ISNUMBER(--MID(R551,4,1)),3,MIN(LEN(R551),4))))))</f>
        <v/>
      </c>
      <c r="T551" s="0" t="str">
        <f aca="false">IF(E551="","",LEFT(R551,S551)&amp;REPT("0",4-S551)&amp;RIGHT("000"&amp;IFERROR(VALUE(MID(R551,S551+1,9)),0),3)&amp;RIGHT("0000"&amp;IFERROR(VALUE(MID(E551,FIND("-",E551)+1,9)),0),4))</f>
        <v/>
      </c>
      <c r="U551" s="0" t="str">
        <f aca="false">IF(I551=1,"K"&amp;RIGHT("00"&amp;A551,2)&amp;T551&amp;RIGHT("00000"&amp;ROW(),5),"")</f>
        <v/>
      </c>
      <c r="V551" s="0" t="str">
        <f aca="false">IF(U551="","",COUNTIFS($I$2:$I$1201,1,$U$2:$U$1201,"&lt;"&amp;U551)+1)</f>
        <v/>
      </c>
    </row>
    <row r="552" customFormat="false" ht="15" hidden="false" customHeight="false" outlineLevel="0" collapsed="false">
      <c r="A552" s="0" t="n">
        <v>10</v>
      </c>
      <c r="B552" s="0" t="n">
        <v>11</v>
      </c>
      <c r="C552" s="0" t="str">
        <f aca="false">TRIM(SUBSTITUTE(INDEX(LISTAS!$A$4:$T$63,B552,A552)&amp;"",CHAR(160)," "))</f>
        <v/>
      </c>
      <c r="D552" s="0" t="str">
        <f aca="false">IF(C552="","",TRIM(RIGHT(SUBSTITUTE(C552," ",REPT(" ",100)),100)))</f>
        <v/>
      </c>
      <c r="E552" s="0" t="str">
        <f aca="false">IF(D552="","",UPPER(SUBSTITUTE(SUBSTITUTE(D552,"(",""),")","")))</f>
        <v/>
      </c>
      <c r="F552" s="0" t="str">
        <f aca="false">IF(C552="","",LEFT(C552,FIND(" ",C552&amp;" ")-1))</f>
        <v/>
      </c>
      <c r="G552" s="0" t="n">
        <f aca="false">IFERROR(VALUE(SUBSTITUTE(LOWER(F552),"x","")),0)</f>
        <v>0</v>
      </c>
      <c r="H552" s="0" t="str">
        <f aca="false">IF(C552="","",TRIM(MID(C552,LEN(F552)+2,999)))</f>
        <v/>
      </c>
      <c r="I552" s="0" t="n">
        <f aca="false">IF(OR(C552="",LEFT(C552,2)="//"),0,IFERROR(IF(AND(G552&gt;0,G552=INT(G552),FIND("-",E552)&gt;1,NOT(EXACT(UPPER(LEFT(E552,1)),LOWER(LEFT(E552,1)))),ISNUMBER(VALUE(MID(E552,FIND("-",E552)+1,10)))),1,0),0))</f>
        <v>0</v>
      </c>
      <c r="J552" s="0" t="str">
        <f aca="false">IF(I552=1,TRIM(LEFT(H552,MAX(0,LEN(H552)-LEN(D552)))),"")</f>
        <v/>
      </c>
      <c r="K552" s="0" t="str">
        <f aca="false">INDEX($P$2:$P$21,A552)</f>
        <v>Deck 10</v>
      </c>
      <c r="L552" s="0" t="n">
        <f aca="false">IF(AND(C552&lt;&gt;"",LEFT(C552,2)&lt;&gt;"//",I552=0),1,0)</f>
        <v>0</v>
      </c>
      <c r="M552" s="0" t="str">
        <f aca="false">IF(I552=1,MAX(M$1:M551)+1,"")</f>
        <v/>
      </c>
      <c r="N552" s="0" t="str">
        <f aca="false">IFERROR(MATCH(ROW()-1,$V$2:$V$1201,0),"")</f>
        <v/>
      </c>
      <c r="R552" s="0" t="str">
        <f aca="false">IF(E552="","",IFERROR(LEFT(E552,FIND("-",E552)-1),E552))</f>
        <v/>
      </c>
      <c r="S552" s="0" t="str">
        <f aca="false">IF(R552="","",IF(ISNUMBER(--MID(R552,1,1)),0,IF(ISNUMBER(--MID(R552,2,1)),1,IF(ISNUMBER(--MID(R552,3,1)),2,IF(ISNUMBER(--MID(R552,4,1)),3,MIN(LEN(R552),4))))))</f>
        <v/>
      </c>
      <c r="T552" s="0" t="str">
        <f aca="false">IF(E552="","",LEFT(R552,S552)&amp;REPT("0",4-S552)&amp;RIGHT("000"&amp;IFERROR(VALUE(MID(R552,S552+1,9)),0),3)&amp;RIGHT("0000"&amp;IFERROR(VALUE(MID(E552,FIND("-",E552)+1,9)),0),4))</f>
        <v/>
      </c>
      <c r="U552" s="0" t="str">
        <f aca="false">IF(I552=1,"K"&amp;RIGHT("00"&amp;A552,2)&amp;T552&amp;RIGHT("00000"&amp;ROW(),5),"")</f>
        <v/>
      </c>
      <c r="V552" s="0" t="str">
        <f aca="false">IF(U552="","",COUNTIFS($I$2:$I$1201,1,$U$2:$U$1201,"&lt;"&amp;U552)+1)</f>
        <v/>
      </c>
    </row>
    <row r="553" customFormat="false" ht="15" hidden="false" customHeight="false" outlineLevel="0" collapsed="false">
      <c r="A553" s="0" t="n">
        <v>10</v>
      </c>
      <c r="B553" s="0" t="n">
        <v>12</v>
      </c>
      <c r="C553" s="0" t="str">
        <f aca="false">TRIM(SUBSTITUTE(INDEX(LISTAS!$A$4:$T$63,B553,A553)&amp;"",CHAR(160)," "))</f>
        <v/>
      </c>
      <c r="D553" s="0" t="str">
        <f aca="false">IF(C553="","",TRIM(RIGHT(SUBSTITUTE(C553," ",REPT(" ",100)),100)))</f>
        <v/>
      </c>
      <c r="E553" s="0" t="str">
        <f aca="false">IF(D553="","",UPPER(SUBSTITUTE(SUBSTITUTE(D553,"(",""),")","")))</f>
        <v/>
      </c>
      <c r="F553" s="0" t="str">
        <f aca="false">IF(C553="","",LEFT(C553,FIND(" ",C553&amp;" ")-1))</f>
        <v/>
      </c>
      <c r="G553" s="0" t="n">
        <f aca="false">IFERROR(VALUE(SUBSTITUTE(LOWER(F553),"x","")),0)</f>
        <v>0</v>
      </c>
      <c r="H553" s="0" t="str">
        <f aca="false">IF(C553="","",TRIM(MID(C553,LEN(F553)+2,999)))</f>
        <v/>
      </c>
      <c r="I553" s="0" t="n">
        <f aca="false">IF(OR(C553="",LEFT(C553,2)="//"),0,IFERROR(IF(AND(G553&gt;0,G553=INT(G553),FIND("-",E553)&gt;1,NOT(EXACT(UPPER(LEFT(E553,1)),LOWER(LEFT(E553,1)))),ISNUMBER(VALUE(MID(E553,FIND("-",E553)+1,10)))),1,0),0))</f>
        <v>0</v>
      </c>
      <c r="J553" s="0" t="str">
        <f aca="false">IF(I553=1,TRIM(LEFT(H553,MAX(0,LEN(H553)-LEN(D553)))),"")</f>
        <v/>
      </c>
      <c r="K553" s="0" t="str">
        <f aca="false">INDEX($P$2:$P$21,A553)</f>
        <v>Deck 10</v>
      </c>
      <c r="L553" s="0" t="n">
        <f aca="false">IF(AND(C553&lt;&gt;"",LEFT(C553,2)&lt;&gt;"//",I553=0),1,0)</f>
        <v>0</v>
      </c>
      <c r="M553" s="0" t="str">
        <f aca="false">IF(I553=1,MAX(M$1:M552)+1,"")</f>
        <v/>
      </c>
      <c r="N553" s="0" t="str">
        <f aca="false">IFERROR(MATCH(ROW()-1,$V$2:$V$1201,0),"")</f>
        <v/>
      </c>
      <c r="R553" s="0" t="str">
        <f aca="false">IF(E553="","",IFERROR(LEFT(E553,FIND("-",E553)-1),E553))</f>
        <v/>
      </c>
      <c r="S553" s="0" t="str">
        <f aca="false">IF(R553="","",IF(ISNUMBER(--MID(R553,1,1)),0,IF(ISNUMBER(--MID(R553,2,1)),1,IF(ISNUMBER(--MID(R553,3,1)),2,IF(ISNUMBER(--MID(R553,4,1)),3,MIN(LEN(R553),4))))))</f>
        <v/>
      </c>
      <c r="T553" s="0" t="str">
        <f aca="false">IF(E553="","",LEFT(R553,S553)&amp;REPT("0",4-S553)&amp;RIGHT("000"&amp;IFERROR(VALUE(MID(R553,S553+1,9)),0),3)&amp;RIGHT("0000"&amp;IFERROR(VALUE(MID(E553,FIND("-",E553)+1,9)),0),4))</f>
        <v/>
      </c>
      <c r="U553" s="0" t="str">
        <f aca="false">IF(I553=1,"K"&amp;RIGHT("00"&amp;A553,2)&amp;T553&amp;RIGHT("00000"&amp;ROW(),5),"")</f>
        <v/>
      </c>
      <c r="V553" s="0" t="str">
        <f aca="false">IF(U553="","",COUNTIFS($I$2:$I$1201,1,$U$2:$U$1201,"&lt;"&amp;U553)+1)</f>
        <v/>
      </c>
    </row>
    <row r="554" customFormat="false" ht="15" hidden="false" customHeight="false" outlineLevel="0" collapsed="false">
      <c r="A554" s="0" t="n">
        <v>10</v>
      </c>
      <c r="B554" s="0" t="n">
        <v>13</v>
      </c>
      <c r="C554" s="0" t="str">
        <f aca="false">TRIM(SUBSTITUTE(INDEX(LISTAS!$A$4:$T$63,B554,A554)&amp;"",CHAR(160)," "))</f>
        <v/>
      </c>
      <c r="D554" s="0" t="str">
        <f aca="false">IF(C554="","",TRIM(RIGHT(SUBSTITUTE(C554," ",REPT(" ",100)),100)))</f>
        <v/>
      </c>
      <c r="E554" s="0" t="str">
        <f aca="false">IF(D554="","",UPPER(SUBSTITUTE(SUBSTITUTE(D554,"(",""),")","")))</f>
        <v/>
      </c>
      <c r="F554" s="0" t="str">
        <f aca="false">IF(C554="","",LEFT(C554,FIND(" ",C554&amp;" ")-1))</f>
        <v/>
      </c>
      <c r="G554" s="0" t="n">
        <f aca="false">IFERROR(VALUE(SUBSTITUTE(LOWER(F554),"x","")),0)</f>
        <v>0</v>
      </c>
      <c r="H554" s="0" t="str">
        <f aca="false">IF(C554="","",TRIM(MID(C554,LEN(F554)+2,999)))</f>
        <v/>
      </c>
      <c r="I554" s="0" t="n">
        <f aca="false">IF(OR(C554="",LEFT(C554,2)="//"),0,IFERROR(IF(AND(G554&gt;0,G554=INT(G554),FIND("-",E554)&gt;1,NOT(EXACT(UPPER(LEFT(E554,1)),LOWER(LEFT(E554,1)))),ISNUMBER(VALUE(MID(E554,FIND("-",E554)+1,10)))),1,0),0))</f>
        <v>0</v>
      </c>
      <c r="J554" s="0" t="str">
        <f aca="false">IF(I554=1,TRIM(LEFT(H554,MAX(0,LEN(H554)-LEN(D554)))),"")</f>
        <v/>
      </c>
      <c r="K554" s="0" t="str">
        <f aca="false">INDEX($P$2:$P$21,A554)</f>
        <v>Deck 10</v>
      </c>
      <c r="L554" s="0" t="n">
        <f aca="false">IF(AND(C554&lt;&gt;"",LEFT(C554,2)&lt;&gt;"//",I554=0),1,0)</f>
        <v>0</v>
      </c>
      <c r="M554" s="0" t="str">
        <f aca="false">IF(I554=1,MAX(M$1:M553)+1,"")</f>
        <v/>
      </c>
      <c r="N554" s="0" t="str">
        <f aca="false">IFERROR(MATCH(ROW()-1,$V$2:$V$1201,0),"")</f>
        <v/>
      </c>
      <c r="R554" s="0" t="str">
        <f aca="false">IF(E554="","",IFERROR(LEFT(E554,FIND("-",E554)-1),E554))</f>
        <v/>
      </c>
      <c r="S554" s="0" t="str">
        <f aca="false">IF(R554="","",IF(ISNUMBER(--MID(R554,1,1)),0,IF(ISNUMBER(--MID(R554,2,1)),1,IF(ISNUMBER(--MID(R554,3,1)),2,IF(ISNUMBER(--MID(R554,4,1)),3,MIN(LEN(R554),4))))))</f>
        <v/>
      </c>
      <c r="T554" s="0" t="str">
        <f aca="false">IF(E554="","",LEFT(R554,S554)&amp;REPT("0",4-S554)&amp;RIGHT("000"&amp;IFERROR(VALUE(MID(R554,S554+1,9)),0),3)&amp;RIGHT("0000"&amp;IFERROR(VALUE(MID(E554,FIND("-",E554)+1,9)),0),4))</f>
        <v/>
      </c>
      <c r="U554" s="0" t="str">
        <f aca="false">IF(I554=1,"K"&amp;RIGHT("00"&amp;A554,2)&amp;T554&amp;RIGHT("00000"&amp;ROW(),5),"")</f>
        <v/>
      </c>
      <c r="V554" s="0" t="str">
        <f aca="false">IF(U554="","",COUNTIFS($I$2:$I$1201,1,$U$2:$U$1201,"&lt;"&amp;U554)+1)</f>
        <v/>
      </c>
    </row>
    <row r="555" customFormat="false" ht="15" hidden="false" customHeight="false" outlineLevel="0" collapsed="false">
      <c r="A555" s="0" t="n">
        <v>10</v>
      </c>
      <c r="B555" s="0" t="n">
        <v>14</v>
      </c>
      <c r="C555" s="0" t="str">
        <f aca="false">TRIM(SUBSTITUTE(INDEX(LISTAS!$A$4:$T$63,B555,A555)&amp;"",CHAR(160)," "))</f>
        <v/>
      </c>
      <c r="D555" s="0" t="str">
        <f aca="false">IF(C555="","",TRIM(RIGHT(SUBSTITUTE(C555," ",REPT(" ",100)),100)))</f>
        <v/>
      </c>
      <c r="E555" s="0" t="str">
        <f aca="false">IF(D555="","",UPPER(SUBSTITUTE(SUBSTITUTE(D555,"(",""),")","")))</f>
        <v/>
      </c>
      <c r="F555" s="0" t="str">
        <f aca="false">IF(C555="","",LEFT(C555,FIND(" ",C555&amp;" ")-1))</f>
        <v/>
      </c>
      <c r="G555" s="0" t="n">
        <f aca="false">IFERROR(VALUE(SUBSTITUTE(LOWER(F555),"x","")),0)</f>
        <v>0</v>
      </c>
      <c r="H555" s="0" t="str">
        <f aca="false">IF(C555="","",TRIM(MID(C555,LEN(F555)+2,999)))</f>
        <v/>
      </c>
      <c r="I555" s="0" t="n">
        <f aca="false">IF(OR(C555="",LEFT(C555,2)="//"),0,IFERROR(IF(AND(G555&gt;0,G555=INT(G555),FIND("-",E555)&gt;1,NOT(EXACT(UPPER(LEFT(E555,1)),LOWER(LEFT(E555,1)))),ISNUMBER(VALUE(MID(E555,FIND("-",E555)+1,10)))),1,0),0))</f>
        <v>0</v>
      </c>
      <c r="J555" s="0" t="str">
        <f aca="false">IF(I555=1,TRIM(LEFT(H555,MAX(0,LEN(H555)-LEN(D555)))),"")</f>
        <v/>
      </c>
      <c r="K555" s="0" t="str">
        <f aca="false">INDEX($P$2:$P$21,A555)</f>
        <v>Deck 10</v>
      </c>
      <c r="L555" s="0" t="n">
        <f aca="false">IF(AND(C555&lt;&gt;"",LEFT(C555,2)&lt;&gt;"//",I555=0),1,0)</f>
        <v>0</v>
      </c>
      <c r="M555" s="0" t="str">
        <f aca="false">IF(I555=1,MAX(M$1:M554)+1,"")</f>
        <v/>
      </c>
      <c r="N555" s="0" t="str">
        <f aca="false">IFERROR(MATCH(ROW()-1,$V$2:$V$1201,0),"")</f>
        <v/>
      </c>
      <c r="R555" s="0" t="str">
        <f aca="false">IF(E555="","",IFERROR(LEFT(E555,FIND("-",E555)-1),E555))</f>
        <v/>
      </c>
      <c r="S555" s="0" t="str">
        <f aca="false">IF(R555="","",IF(ISNUMBER(--MID(R555,1,1)),0,IF(ISNUMBER(--MID(R555,2,1)),1,IF(ISNUMBER(--MID(R555,3,1)),2,IF(ISNUMBER(--MID(R555,4,1)),3,MIN(LEN(R555),4))))))</f>
        <v/>
      </c>
      <c r="T555" s="0" t="str">
        <f aca="false">IF(E555="","",LEFT(R555,S555)&amp;REPT("0",4-S555)&amp;RIGHT("000"&amp;IFERROR(VALUE(MID(R555,S555+1,9)),0),3)&amp;RIGHT("0000"&amp;IFERROR(VALUE(MID(E555,FIND("-",E555)+1,9)),0),4))</f>
        <v/>
      </c>
      <c r="U555" s="0" t="str">
        <f aca="false">IF(I555=1,"K"&amp;RIGHT("00"&amp;A555,2)&amp;T555&amp;RIGHT("00000"&amp;ROW(),5),"")</f>
        <v/>
      </c>
      <c r="V555" s="0" t="str">
        <f aca="false">IF(U555="","",COUNTIFS($I$2:$I$1201,1,$U$2:$U$1201,"&lt;"&amp;U555)+1)</f>
        <v/>
      </c>
    </row>
    <row r="556" customFormat="false" ht="15" hidden="false" customHeight="false" outlineLevel="0" collapsed="false">
      <c r="A556" s="0" t="n">
        <v>10</v>
      </c>
      <c r="B556" s="0" t="n">
        <v>15</v>
      </c>
      <c r="C556" s="0" t="str">
        <f aca="false">TRIM(SUBSTITUTE(INDEX(LISTAS!$A$4:$T$63,B556,A556)&amp;"",CHAR(160)," "))</f>
        <v/>
      </c>
      <c r="D556" s="0" t="str">
        <f aca="false">IF(C556="","",TRIM(RIGHT(SUBSTITUTE(C556," ",REPT(" ",100)),100)))</f>
        <v/>
      </c>
      <c r="E556" s="0" t="str">
        <f aca="false">IF(D556="","",UPPER(SUBSTITUTE(SUBSTITUTE(D556,"(",""),")","")))</f>
        <v/>
      </c>
      <c r="F556" s="0" t="str">
        <f aca="false">IF(C556="","",LEFT(C556,FIND(" ",C556&amp;" ")-1))</f>
        <v/>
      </c>
      <c r="G556" s="0" t="n">
        <f aca="false">IFERROR(VALUE(SUBSTITUTE(LOWER(F556),"x","")),0)</f>
        <v>0</v>
      </c>
      <c r="H556" s="0" t="str">
        <f aca="false">IF(C556="","",TRIM(MID(C556,LEN(F556)+2,999)))</f>
        <v/>
      </c>
      <c r="I556" s="0" t="n">
        <f aca="false">IF(OR(C556="",LEFT(C556,2)="//"),0,IFERROR(IF(AND(G556&gt;0,G556=INT(G556),FIND("-",E556)&gt;1,NOT(EXACT(UPPER(LEFT(E556,1)),LOWER(LEFT(E556,1)))),ISNUMBER(VALUE(MID(E556,FIND("-",E556)+1,10)))),1,0),0))</f>
        <v>0</v>
      </c>
      <c r="J556" s="0" t="str">
        <f aca="false">IF(I556=1,TRIM(LEFT(H556,MAX(0,LEN(H556)-LEN(D556)))),"")</f>
        <v/>
      </c>
      <c r="K556" s="0" t="str">
        <f aca="false">INDEX($P$2:$P$21,A556)</f>
        <v>Deck 10</v>
      </c>
      <c r="L556" s="0" t="n">
        <f aca="false">IF(AND(C556&lt;&gt;"",LEFT(C556,2)&lt;&gt;"//",I556=0),1,0)</f>
        <v>0</v>
      </c>
      <c r="M556" s="0" t="str">
        <f aca="false">IF(I556=1,MAX(M$1:M555)+1,"")</f>
        <v/>
      </c>
      <c r="N556" s="0" t="str">
        <f aca="false">IFERROR(MATCH(ROW()-1,$V$2:$V$1201,0),"")</f>
        <v/>
      </c>
      <c r="R556" s="0" t="str">
        <f aca="false">IF(E556="","",IFERROR(LEFT(E556,FIND("-",E556)-1),E556))</f>
        <v/>
      </c>
      <c r="S556" s="0" t="str">
        <f aca="false">IF(R556="","",IF(ISNUMBER(--MID(R556,1,1)),0,IF(ISNUMBER(--MID(R556,2,1)),1,IF(ISNUMBER(--MID(R556,3,1)),2,IF(ISNUMBER(--MID(R556,4,1)),3,MIN(LEN(R556),4))))))</f>
        <v/>
      </c>
      <c r="T556" s="0" t="str">
        <f aca="false">IF(E556="","",LEFT(R556,S556)&amp;REPT("0",4-S556)&amp;RIGHT("000"&amp;IFERROR(VALUE(MID(R556,S556+1,9)),0),3)&amp;RIGHT("0000"&amp;IFERROR(VALUE(MID(E556,FIND("-",E556)+1,9)),0),4))</f>
        <v/>
      </c>
      <c r="U556" s="0" t="str">
        <f aca="false">IF(I556=1,"K"&amp;RIGHT("00"&amp;A556,2)&amp;T556&amp;RIGHT("00000"&amp;ROW(),5),"")</f>
        <v/>
      </c>
      <c r="V556" s="0" t="str">
        <f aca="false">IF(U556="","",COUNTIFS($I$2:$I$1201,1,$U$2:$U$1201,"&lt;"&amp;U556)+1)</f>
        <v/>
      </c>
    </row>
    <row r="557" customFormat="false" ht="15" hidden="false" customHeight="false" outlineLevel="0" collapsed="false">
      <c r="A557" s="0" t="n">
        <v>10</v>
      </c>
      <c r="B557" s="0" t="n">
        <v>16</v>
      </c>
      <c r="C557" s="0" t="str">
        <f aca="false">TRIM(SUBSTITUTE(INDEX(LISTAS!$A$4:$T$63,B557,A557)&amp;"",CHAR(160)," "))</f>
        <v/>
      </c>
      <c r="D557" s="0" t="str">
        <f aca="false">IF(C557="","",TRIM(RIGHT(SUBSTITUTE(C557," ",REPT(" ",100)),100)))</f>
        <v/>
      </c>
      <c r="E557" s="0" t="str">
        <f aca="false">IF(D557="","",UPPER(SUBSTITUTE(SUBSTITUTE(D557,"(",""),")","")))</f>
        <v/>
      </c>
      <c r="F557" s="0" t="str">
        <f aca="false">IF(C557="","",LEFT(C557,FIND(" ",C557&amp;" ")-1))</f>
        <v/>
      </c>
      <c r="G557" s="0" t="n">
        <f aca="false">IFERROR(VALUE(SUBSTITUTE(LOWER(F557),"x","")),0)</f>
        <v>0</v>
      </c>
      <c r="H557" s="0" t="str">
        <f aca="false">IF(C557="","",TRIM(MID(C557,LEN(F557)+2,999)))</f>
        <v/>
      </c>
      <c r="I557" s="0" t="n">
        <f aca="false">IF(OR(C557="",LEFT(C557,2)="//"),0,IFERROR(IF(AND(G557&gt;0,G557=INT(G557),FIND("-",E557)&gt;1,NOT(EXACT(UPPER(LEFT(E557,1)),LOWER(LEFT(E557,1)))),ISNUMBER(VALUE(MID(E557,FIND("-",E557)+1,10)))),1,0),0))</f>
        <v>0</v>
      </c>
      <c r="J557" s="0" t="str">
        <f aca="false">IF(I557=1,TRIM(LEFT(H557,MAX(0,LEN(H557)-LEN(D557)))),"")</f>
        <v/>
      </c>
      <c r="K557" s="0" t="str">
        <f aca="false">INDEX($P$2:$P$21,A557)</f>
        <v>Deck 10</v>
      </c>
      <c r="L557" s="0" t="n">
        <f aca="false">IF(AND(C557&lt;&gt;"",LEFT(C557,2)&lt;&gt;"//",I557=0),1,0)</f>
        <v>0</v>
      </c>
      <c r="M557" s="0" t="str">
        <f aca="false">IF(I557=1,MAX(M$1:M556)+1,"")</f>
        <v/>
      </c>
      <c r="N557" s="0" t="str">
        <f aca="false">IFERROR(MATCH(ROW()-1,$V$2:$V$1201,0),"")</f>
        <v/>
      </c>
      <c r="R557" s="0" t="str">
        <f aca="false">IF(E557="","",IFERROR(LEFT(E557,FIND("-",E557)-1),E557))</f>
        <v/>
      </c>
      <c r="S557" s="0" t="str">
        <f aca="false">IF(R557="","",IF(ISNUMBER(--MID(R557,1,1)),0,IF(ISNUMBER(--MID(R557,2,1)),1,IF(ISNUMBER(--MID(R557,3,1)),2,IF(ISNUMBER(--MID(R557,4,1)),3,MIN(LEN(R557),4))))))</f>
        <v/>
      </c>
      <c r="T557" s="0" t="str">
        <f aca="false">IF(E557="","",LEFT(R557,S557)&amp;REPT("0",4-S557)&amp;RIGHT("000"&amp;IFERROR(VALUE(MID(R557,S557+1,9)),0),3)&amp;RIGHT("0000"&amp;IFERROR(VALUE(MID(E557,FIND("-",E557)+1,9)),0),4))</f>
        <v/>
      </c>
      <c r="U557" s="0" t="str">
        <f aca="false">IF(I557=1,"K"&amp;RIGHT("00"&amp;A557,2)&amp;T557&amp;RIGHT("00000"&amp;ROW(),5),"")</f>
        <v/>
      </c>
      <c r="V557" s="0" t="str">
        <f aca="false">IF(U557="","",COUNTIFS($I$2:$I$1201,1,$U$2:$U$1201,"&lt;"&amp;U557)+1)</f>
        <v/>
      </c>
    </row>
    <row r="558" customFormat="false" ht="15" hidden="false" customHeight="false" outlineLevel="0" collapsed="false">
      <c r="A558" s="0" t="n">
        <v>10</v>
      </c>
      <c r="B558" s="0" t="n">
        <v>17</v>
      </c>
      <c r="C558" s="0" t="str">
        <f aca="false">TRIM(SUBSTITUTE(INDEX(LISTAS!$A$4:$T$63,B558,A558)&amp;"",CHAR(160)," "))</f>
        <v/>
      </c>
      <c r="D558" s="0" t="str">
        <f aca="false">IF(C558="","",TRIM(RIGHT(SUBSTITUTE(C558," ",REPT(" ",100)),100)))</f>
        <v/>
      </c>
      <c r="E558" s="0" t="str">
        <f aca="false">IF(D558="","",UPPER(SUBSTITUTE(SUBSTITUTE(D558,"(",""),")","")))</f>
        <v/>
      </c>
      <c r="F558" s="0" t="str">
        <f aca="false">IF(C558="","",LEFT(C558,FIND(" ",C558&amp;" ")-1))</f>
        <v/>
      </c>
      <c r="G558" s="0" t="n">
        <f aca="false">IFERROR(VALUE(SUBSTITUTE(LOWER(F558),"x","")),0)</f>
        <v>0</v>
      </c>
      <c r="H558" s="0" t="str">
        <f aca="false">IF(C558="","",TRIM(MID(C558,LEN(F558)+2,999)))</f>
        <v/>
      </c>
      <c r="I558" s="0" t="n">
        <f aca="false">IF(OR(C558="",LEFT(C558,2)="//"),0,IFERROR(IF(AND(G558&gt;0,G558=INT(G558),FIND("-",E558)&gt;1,NOT(EXACT(UPPER(LEFT(E558,1)),LOWER(LEFT(E558,1)))),ISNUMBER(VALUE(MID(E558,FIND("-",E558)+1,10)))),1,0),0))</f>
        <v>0</v>
      </c>
      <c r="J558" s="0" t="str">
        <f aca="false">IF(I558=1,TRIM(LEFT(H558,MAX(0,LEN(H558)-LEN(D558)))),"")</f>
        <v/>
      </c>
      <c r="K558" s="0" t="str">
        <f aca="false">INDEX($P$2:$P$21,A558)</f>
        <v>Deck 10</v>
      </c>
      <c r="L558" s="0" t="n">
        <f aca="false">IF(AND(C558&lt;&gt;"",LEFT(C558,2)&lt;&gt;"//",I558=0),1,0)</f>
        <v>0</v>
      </c>
      <c r="M558" s="0" t="str">
        <f aca="false">IF(I558=1,MAX(M$1:M557)+1,"")</f>
        <v/>
      </c>
      <c r="N558" s="0" t="str">
        <f aca="false">IFERROR(MATCH(ROW()-1,$V$2:$V$1201,0),"")</f>
        <v/>
      </c>
      <c r="R558" s="0" t="str">
        <f aca="false">IF(E558="","",IFERROR(LEFT(E558,FIND("-",E558)-1),E558))</f>
        <v/>
      </c>
      <c r="S558" s="0" t="str">
        <f aca="false">IF(R558="","",IF(ISNUMBER(--MID(R558,1,1)),0,IF(ISNUMBER(--MID(R558,2,1)),1,IF(ISNUMBER(--MID(R558,3,1)),2,IF(ISNUMBER(--MID(R558,4,1)),3,MIN(LEN(R558),4))))))</f>
        <v/>
      </c>
      <c r="T558" s="0" t="str">
        <f aca="false">IF(E558="","",LEFT(R558,S558)&amp;REPT("0",4-S558)&amp;RIGHT("000"&amp;IFERROR(VALUE(MID(R558,S558+1,9)),0),3)&amp;RIGHT("0000"&amp;IFERROR(VALUE(MID(E558,FIND("-",E558)+1,9)),0),4))</f>
        <v/>
      </c>
      <c r="U558" s="0" t="str">
        <f aca="false">IF(I558=1,"K"&amp;RIGHT("00"&amp;A558,2)&amp;T558&amp;RIGHT("00000"&amp;ROW(),5),"")</f>
        <v/>
      </c>
      <c r="V558" s="0" t="str">
        <f aca="false">IF(U558="","",COUNTIFS($I$2:$I$1201,1,$U$2:$U$1201,"&lt;"&amp;U558)+1)</f>
        <v/>
      </c>
    </row>
    <row r="559" customFormat="false" ht="15" hidden="false" customHeight="false" outlineLevel="0" collapsed="false">
      <c r="A559" s="0" t="n">
        <v>10</v>
      </c>
      <c r="B559" s="0" t="n">
        <v>18</v>
      </c>
      <c r="C559" s="0" t="str">
        <f aca="false">TRIM(SUBSTITUTE(INDEX(LISTAS!$A$4:$T$63,B559,A559)&amp;"",CHAR(160)," "))</f>
        <v/>
      </c>
      <c r="D559" s="0" t="str">
        <f aca="false">IF(C559="","",TRIM(RIGHT(SUBSTITUTE(C559," ",REPT(" ",100)),100)))</f>
        <v/>
      </c>
      <c r="E559" s="0" t="str">
        <f aca="false">IF(D559="","",UPPER(SUBSTITUTE(SUBSTITUTE(D559,"(",""),")","")))</f>
        <v/>
      </c>
      <c r="F559" s="0" t="str">
        <f aca="false">IF(C559="","",LEFT(C559,FIND(" ",C559&amp;" ")-1))</f>
        <v/>
      </c>
      <c r="G559" s="0" t="n">
        <f aca="false">IFERROR(VALUE(SUBSTITUTE(LOWER(F559),"x","")),0)</f>
        <v>0</v>
      </c>
      <c r="H559" s="0" t="str">
        <f aca="false">IF(C559="","",TRIM(MID(C559,LEN(F559)+2,999)))</f>
        <v/>
      </c>
      <c r="I559" s="0" t="n">
        <f aca="false">IF(OR(C559="",LEFT(C559,2)="//"),0,IFERROR(IF(AND(G559&gt;0,G559=INT(G559),FIND("-",E559)&gt;1,NOT(EXACT(UPPER(LEFT(E559,1)),LOWER(LEFT(E559,1)))),ISNUMBER(VALUE(MID(E559,FIND("-",E559)+1,10)))),1,0),0))</f>
        <v>0</v>
      </c>
      <c r="J559" s="0" t="str">
        <f aca="false">IF(I559=1,TRIM(LEFT(H559,MAX(0,LEN(H559)-LEN(D559)))),"")</f>
        <v/>
      </c>
      <c r="K559" s="0" t="str">
        <f aca="false">INDEX($P$2:$P$21,A559)</f>
        <v>Deck 10</v>
      </c>
      <c r="L559" s="0" t="n">
        <f aca="false">IF(AND(C559&lt;&gt;"",LEFT(C559,2)&lt;&gt;"//",I559=0),1,0)</f>
        <v>0</v>
      </c>
      <c r="M559" s="0" t="str">
        <f aca="false">IF(I559=1,MAX(M$1:M558)+1,"")</f>
        <v/>
      </c>
      <c r="N559" s="0" t="str">
        <f aca="false">IFERROR(MATCH(ROW()-1,$V$2:$V$1201,0),"")</f>
        <v/>
      </c>
      <c r="R559" s="0" t="str">
        <f aca="false">IF(E559="","",IFERROR(LEFT(E559,FIND("-",E559)-1),E559))</f>
        <v/>
      </c>
      <c r="S559" s="0" t="str">
        <f aca="false">IF(R559="","",IF(ISNUMBER(--MID(R559,1,1)),0,IF(ISNUMBER(--MID(R559,2,1)),1,IF(ISNUMBER(--MID(R559,3,1)),2,IF(ISNUMBER(--MID(R559,4,1)),3,MIN(LEN(R559),4))))))</f>
        <v/>
      </c>
      <c r="T559" s="0" t="str">
        <f aca="false">IF(E559="","",LEFT(R559,S559)&amp;REPT("0",4-S559)&amp;RIGHT("000"&amp;IFERROR(VALUE(MID(R559,S559+1,9)),0),3)&amp;RIGHT("0000"&amp;IFERROR(VALUE(MID(E559,FIND("-",E559)+1,9)),0),4))</f>
        <v/>
      </c>
      <c r="U559" s="0" t="str">
        <f aca="false">IF(I559=1,"K"&amp;RIGHT("00"&amp;A559,2)&amp;T559&amp;RIGHT("00000"&amp;ROW(),5),"")</f>
        <v/>
      </c>
      <c r="V559" s="0" t="str">
        <f aca="false">IF(U559="","",COUNTIFS($I$2:$I$1201,1,$U$2:$U$1201,"&lt;"&amp;U559)+1)</f>
        <v/>
      </c>
    </row>
    <row r="560" customFormat="false" ht="15" hidden="false" customHeight="false" outlineLevel="0" collapsed="false">
      <c r="A560" s="0" t="n">
        <v>10</v>
      </c>
      <c r="B560" s="0" t="n">
        <v>19</v>
      </c>
      <c r="C560" s="0" t="str">
        <f aca="false">TRIM(SUBSTITUTE(INDEX(LISTAS!$A$4:$T$63,B560,A560)&amp;"",CHAR(160)," "))</f>
        <v/>
      </c>
      <c r="D560" s="0" t="str">
        <f aca="false">IF(C560="","",TRIM(RIGHT(SUBSTITUTE(C560," ",REPT(" ",100)),100)))</f>
        <v/>
      </c>
      <c r="E560" s="0" t="str">
        <f aca="false">IF(D560="","",UPPER(SUBSTITUTE(SUBSTITUTE(D560,"(",""),")","")))</f>
        <v/>
      </c>
      <c r="F560" s="0" t="str">
        <f aca="false">IF(C560="","",LEFT(C560,FIND(" ",C560&amp;" ")-1))</f>
        <v/>
      </c>
      <c r="G560" s="0" t="n">
        <f aca="false">IFERROR(VALUE(SUBSTITUTE(LOWER(F560),"x","")),0)</f>
        <v>0</v>
      </c>
      <c r="H560" s="0" t="str">
        <f aca="false">IF(C560="","",TRIM(MID(C560,LEN(F560)+2,999)))</f>
        <v/>
      </c>
      <c r="I560" s="0" t="n">
        <f aca="false">IF(OR(C560="",LEFT(C560,2)="//"),0,IFERROR(IF(AND(G560&gt;0,G560=INT(G560),FIND("-",E560)&gt;1,NOT(EXACT(UPPER(LEFT(E560,1)),LOWER(LEFT(E560,1)))),ISNUMBER(VALUE(MID(E560,FIND("-",E560)+1,10)))),1,0),0))</f>
        <v>0</v>
      </c>
      <c r="J560" s="0" t="str">
        <f aca="false">IF(I560=1,TRIM(LEFT(H560,MAX(0,LEN(H560)-LEN(D560)))),"")</f>
        <v/>
      </c>
      <c r="K560" s="0" t="str">
        <f aca="false">INDEX($P$2:$P$21,A560)</f>
        <v>Deck 10</v>
      </c>
      <c r="L560" s="0" t="n">
        <f aca="false">IF(AND(C560&lt;&gt;"",LEFT(C560,2)&lt;&gt;"//",I560=0),1,0)</f>
        <v>0</v>
      </c>
      <c r="M560" s="0" t="str">
        <f aca="false">IF(I560=1,MAX(M$1:M559)+1,"")</f>
        <v/>
      </c>
      <c r="N560" s="0" t="str">
        <f aca="false">IFERROR(MATCH(ROW()-1,$V$2:$V$1201,0),"")</f>
        <v/>
      </c>
      <c r="R560" s="0" t="str">
        <f aca="false">IF(E560="","",IFERROR(LEFT(E560,FIND("-",E560)-1),E560))</f>
        <v/>
      </c>
      <c r="S560" s="0" t="str">
        <f aca="false">IF(R560="","",IF(ISNUMBER(--MID(R560,1,1)),0,IF(ISNUMBER(--MID(R560,2,1)),1,IF(ISNUMBER(--MID(R560,3,1)),2,IF(ISNUMBER(--MID(R560,4,1)),3,MIN(LEN(R560),4))))))</f>
        <v/>
      </c>
      <c r="T560" s="0" t="str">
        <f aca="false">IF(E560="","",LEFT(R560,S560)&amp;REPT("0",4-S560)&amp;RIGHT("000"&amp;IFERROR(VALUE(MID(R560,S560+1,9)),0),3)&amp;RIGHT("0000"&amp;IFERROR(VALUE(MID(E560,FIND("-",E560)+1,9)),0),4))</f>
        <v/>
      </c>
      <c r="U560" s="0" t="str">
        <f aca="false">IF(I560=1,"K"&amp;RIGHT("00"&amp;A560,2)&amp;T560&amp;RIGHT("00000"&amp;ROW(),5),"")</f>
        <v/>
      </c>
      <c r="V560" s="0" t="str">
        <f aca="false">IF(U560="","",COUNTIFS($I$2:$I$1201,1,$U$2:$U$1201,"&lt;"&amp;U560)+1)</f>
        <v/>
      </c>
    </row>
    <row r="561" customFormat="false" ht="15" hidden="false" customHeight="false" outlineLevel="0" collapsed="false">
      <c r="A561" s="0" t="n">
        <v>10</v>
      </c>
      <c r="B561" s="0" t="n">
        <v>20</v>
      </c>
      <c r="C561" s="0" t="str">
        <f aca="false">TRIM(SUBSTITUTE(INDEX(LISTAS!$A$4:$T$63,B561,A561)&amp;"",CHAR(160)," "))</f>
        <v/>
      </c>
      <c r="D561" s="0" t="str">
        <f aca="false">IF(C561="","",TRIM(RIGHT(SUBSTITUTE(C561," ",REPT(" ",100)),100)))</f>
        <v/>
      </c>
      <c r="E561" s="0" t="str">
        <f aca="false">IF(D561="","",UPPER(SUBSTITUTE(SUBSTITUTE(D561,"(",""),")","")))</f>
        <v/>
      </c>
      <c r="F561" s="0" t="str">
        <f aca="false">IF(C561="","",LEFT(C561,FIND(" ",C561&amp;" ")-1))</f>
        <v/>
      </c>
      <c r="G561" s="0" t="n">
        <f aca="false">IFERROR(VALUE(SUBSTITUTE(LOWER(F561),"x","")),0)</f>
        <v>0</v>
      </c>
      <c r="H561" s="0" t="str">
        <f aca="false">IF(C561="","",TRIM(MID(C561,LEN(F561)+2,999)))</f>
        <v/>
      </c>
      <c r="I561" s="0" t="n">
        <f aca="false">IF(OR(C561="",LEFT(C561,2)="//"),0,IFERROR(IF(AND(G561&gt;0,G561=INT(G561),FIND("-",E561)&gt;1,NOT(EXACT(UPPER(LEFT(E561,1)),LOWER(LEFT(E561,1)))),ISNUMBER(VALUE(MID(E561,FIND("-",E561)+1,10)))),1,0),0))</f>
        <v>0</v>
      </c>
      <c r="J561" s="0" t="str">
        <f aca="false">IF(I561=1,TRIM(LEFT(H561,MAX(0,LEN(H561)-LEN(D561)))),"")</f>
        <v/>
      </c>
      <c r="K561" s="0" t="str">
        <f aca="false">INDEX($P$2:$P$21,A561)</f>
        <v>Deck 10</v>
      </c>
      <c r="L561" s="0" t="n">
        <f aca="false">IF(AND(C561&lt;&gt;"",LEFT(C561,2)&lt;&gt;"//",I561=0),1,0)</f>
        <v>0</v>
      </c>
      <c r="M561" s="0" t="str">
        <f aca="false">IF(I561=1,MAX(M$1:M560)+1,"")</f>
        <v/>
      </c>
      <c r="N561" s="0" t="str">
        <f aca="false">IFERROR(MATCH(ROW()-1,$V$2:$V$1201,0),"")</f>
        <v/>
      </c>
      <c r="R561" s="0" t="str">
        <f aca="false">IF(E561="","",IFERROR(LEFT(E561,FIND("-",E561)-1),E561))</f>
        <v/>
      </c>
      <c r="S561" s="0" t="str">
        <f aca="false">IF(R561="","",IF(ISNUMBER(--MID(R561,1,1)),0,IF(ISNUMBER(--MID(R561,2,1)),1,IF(ISNUMBER(--MID(R561,3,1)),2,IF(ISNUMBER(--MID(R561,4,1)),3,MIN(LEN(R561),4))))))</f>
        <v/>
      </c>
      <c r="T561" s="0" t="str">
        <f aca="false">IF(E561="","",LEFT(R561,S561)&amp;REPT("0",4-S561)&amp;RIGHT("000"&amp;IFERROR(VALUE(MID(R561,S561+1,9)),0),3)&amp;RIGHT("0000"&amp;IFERROR(VALUE(MID(E561,FIND("-",E561)+1,9)),0),4))</f>
        <v/>
      </c>
      <c r="U561" s="0" t="str">
        <f aca="false">IF(I561=1,"K"&amp;RIGHT("00"&amp;A561,2)&amp;T561&amp;RIGHT("00000"&amp;ROW(),5),"")</f>
        <v/>
      </c>
      <c r="V561" s="0" t="str">
        <f aca="false">IF(U561="","",COUNTIFS($I$2:$I$1201,1,$U$2:$U$1201,"&lt;"&amp;U561)+1)</f>
        <v/>
      </c>
    </row>
    <row r="562" customFormat="false" ht="15" hidden="false" customHeight="false" outlineLevel="0" collapsed="false">
      <c r="A562" s="0" t="n">
        <v>10</v>
      </c>
      <c r="B562" s="0" t="n">
        <v>21</v>
      </c>
      <c r="C562" s="0" t="str">
        <f aca="false">TRIM(SUBSTITUTE(INDEX(LISTAS!$A$4:$T$63,B562,A562)&amp;"",CHAR(160)," "))</f>
        <v/>
      </c>
      <c r="D562" s="0" t="str">
        <f aca="false">IF(C562="","",TRIM(RIGHT(SUBSTITUTE(C562," ",REPT(" ",100)),100)))</f>
        <v/>
      </c>
      <c r="E562" s="0" t="str">
        <f aca="false">IF(D562="","",UPPER(SUBSTITUTE(SUBSTITUTE(D562,"(",""),")","")))</f>
        <v/>
      </c>
      <c r="F562" s="0" t="str">
        <f aca="false">IF(C562="","",LEFT(C562,FIND(" ",C562&amp;" ")-1))</f>
        <v/>
      </c>
      <c r="G562" s="0" t="n">
        <f aca="false">IFERROR(VALUE(SUBSTITUTE(LOWER(F562),"x","")),0)</f>
        <v>0</v>
      </c>
      <c r="H562" s="0" t="str">
        <f aca="false">IF(C562="","",TRIM(MID(C562,LEN(F562)+2,999)))</f>
        <v/>
      </c>
      <c r="I562" s="0" t="n">
        <f aca="false">IF(OR(C562="",LEFT(C562,2)="//"),0,IFERROR(IF(AND(G562&gt;0,G562=INT(G562),FIND("-",E562)&gt;1,NOT(EXACT(UPPER(LEFT(E562,1)),LOWER(LEFT(E562,1)))),ISNUMBER(VALUE(MID(E562,FIND("-",E562)+1,10)))),1,0),0))</f>
        <v>0</v>
      </c>
      <c r="J562" s="0" t="str">
        <f aca="false">IF(I562=1,TRIM(LEFT(H562,MAX(0,LEN(H562)-LEN(D562)))),"")</f>
        <v/>
      </c>
      <c r="K562" s="0" t="str">
        <f aca="false">INDEX($P$2:$P$21,A562)</f>
        <v>Deck 10</v>
      </c>
      <c r="L562" s="0" t="n">
        <f aca="false">IF(AND(C562&lt;&gt;"",LEFT(C562,2)&lt;&gt;"//",I562=0),1,0)</f>
        <v>0</v>
      </c>
      <c r="M562" s="0" t="str">
        <f aca="false">IF(I562=1,MAX(M$1:M561)+1,"")</f>
        <v/>
      </c>
      <c r="N562" s="0" t="str">
        <f aca="false">IFERROR(MATCH(ROW()-1,$V$2:$V$1201,0),"")</f>
        <v/>
      </c>
      <c r="R562" s="0" t="str">
        <f aca="false">IF(E562="","",IFERROR(LEFT(E562,FIND("-",E562)-1),E562))</f>
        <v/>
      </c>
      <c r="S562" s="0" t="str">
        <f aca="false">IF(R562="","",IF(ISNUMBER(--MID(R562,1,1)),0,IF(ISNUMBER(--MID(R562,2,1)),1,IF(ISNUMBER(--MID(R562,3,1)),2,IF(ISNUMBER(--MID(R562,4,1)),3,MIN(LEN(R562),4))))))</f>
        <v/>
      </c>
      <c r="T562" s="0" t="str">
        <f aca="false">IF(E562="","",LEFT(R562,S562)&amp;REPT("0",4-S562)&amp;RIGHT("000"&amp;IFERROR(VALUE(MID(R562,S562+1,9)),0),3)&amp;RIGHT("0000"&amp;IFERROR(VALUE(MID(E562,FIND("-",E562)+1,9)),0),4))</f>
        <v/>
      </c>
      <c r="U562" s="0" t="str">
        <f aca="false">IF(I562=1,"K"&amp;RIGHT("00"&amp;A562,2)&amp;T562&amp;RIGHT("00000"&amp;ROW(),5),"")</f>
        <v/>
      </c>
      <c r="V562" s="0" t="str">
        <f aca="false">IF(U562="","",COUNTIFS($I$2:$I$1201,1,$U$2:$U$1201,"&lt;"&amp;U562)+1)</f>
        <v/>
      </c>
    </row>
    <row r="563" customFormat="false" ht="15" hidden="false" customHeight="false" outlineLevel="0" collapsed="false">
      <c r="A563" s="0" t="n">
        <v>10</v>
      </c>
      <c r="B563" s="0" t="n">
        <v>22</v>
      </c>
      <c r="C563" s="0" t="str">
        <f aca="false">TRIM(SUBSTITUTE(INDEX(LISTAS!$A$4:$T$63,B563,A563)&amp;"",CHAR(160)," "))</f>
        <v/>
      </c>
      <c r="D563" s="0" t="str">
        <f aca="false">IF(C563="","",TRIM(RIGHT(SUBSTITUTE(C563," ",REPT(" ",100)),100)))</f>
        <v/>
      </c>
      <c r="E563" s="0" t="str">
        <f aca="false">IF(D563="","",UPPER(SUBSTITUTE(SUBSTITUTE(D563,"(",""),")","")))</f>
        <v/>
      </c>
      <c r="F563" s="0" t="str">
        <f aca="false">IF(C563="","",LEFT(C563,FIND(" ",C563&amp;" ")-1))</f>
        <v/>
      </c>
      <c r="G563" s="0" t="n">
        <f aca="false">IFERROR(VALUE(SUBSTITUTE(LOWER(F563),"x","")),0)</f>
        <v>0</v>
      </c>
      <c r="H563" s="0" t="str">
        <f aca="false">IF(C563="","",TRIM(MID(C563,LEN(F563)+2,999)))</f>
        <v/>
      </c>
      <c r="I563" s="0" t="n">
        <f aca="false">IF(OR(C563="",LEFT(C563,2)="//"),0,IFERROR(IF(AND(G563&gt;0,G563=INT(G563),FIND("-",E563)&gt;1,NOT(EXACT(UPPER(LEFT(E563,1)),LOWER(LEFT(E563,1)))),ISNUMBER(VALUE(MID(E563,FIND("-",E563)+1,10)))),1,0),0))</f>
        <v>0</v>
      </c>
      <c r="J563" s="0" t="str">
        <f aca="false">IF(I563=1,TRIM(LEFT(H563,MAX(0,LEN(H563)-LEN(D563)))),"")</f>
        <v/>
      </c>
      <c r="K563" s="0" t="str">
        <f aca="false">INDEX($P$2:$P$21,A563)</f>
        <v>Deck 10</v>
      </c>
      <c r="L563" s="0" t="n">
        <f aca="false">IF(AND(C563&lt;&gt;"",LEFT(C563,2)&lt;&gt;"//",I563=0),1,0)</f>
        <v>0</v>
      </c>
      <c r="M563" s="0" t="str">
        <f aca="false">IF(I563=1,MAX(M$1:M562)+1,"")</f>
        <v/>
      </c>
      <c r="N563" s="0" t="str">
        <f aca="false">IFERROR(MATCH(ROW()-1,$V$2:$V$1201,0),"")</f>
        <v/>
      </c>
      <c r="R563" s="0" t="str">
        <f aca="false">IF(E563="","",IFERROR(LEFT(E563,FIND("-",E563)-1),E563))</f>
        <v/>
      </c>
      <c r="S563" s="0" t="str">
        <f aca="false">IF(R563="","",IF(ISNUMBER(--MID(R563,1,1)),0,IF(ISNUMBER(--MID(R563,2,1)),1,IF(ISNUMBER(--MID(R563,3,1)),2,IF(ISNUMBER(--MID(R563,4,1)),3,MIN(LEN(R563),4))))))</f>
        <v/>
      </c>
      <c r="T563" s="0" t="str">
        <f aca="false">IF(E563="","",LEFT(R563,S563)&amp;REPT("0",4-S563)&amp;RIGHT("000"&amp;IFERROR(VALUE(MID(R563,S563+1,9)),0),3)&amp;RIGHT("0000"&amp;IFERROR(VALUE(MID(E563,FIND("-",E563)+1,9)),0),4))</f>
        <v/>
      </c>
      <c r="U563" s="0" t="str">
        <f aca="false">IF(I563=1,"K"&amp;RIGHT("00"&amp;A563,2)&amp;T563&amp;RIGHT("00000"&amp;ROW(),5),"")</f>
        <v/>
      </c>
      <c r="V563" s="0" t="str">
        <f aca="false">IF(U563="","",COUNTIFS($I$2:$I$1201,1,$U$2:$U$1201,"&lt;"&amp;U563)+1)</f>
        <v/>
      </c>
    </row>
    <row r="564" customFormat="false" ht="15" hidden="false" customHeight="false" outlineLevel="0" collapsed="false">
      <c r="A564" s="0" t="n">
        <v>10</v>
      </c>
      <c r="B564" s="0" t="n">
        <v>23</v>
      </c>
      <c r="C564" s="0" t="str">
        <f aca="false">TRIM(SUBSTITUTE(INDEX(LISTAS!$A$4:$T$63,B564,A564)&amp;"",CHAR(160)," "))</f>
        <v/>
      </c>
      <c r="D564" s="0" t="str">
        <f aca="false">IF(C564="","",TRIM(RIGHT(SUBSTITUTE(C564," ",REPT(" ",100)),100)))</f>
        <v/>
      </c>
      <c r="E564" s="0" t="str">
        <f aca="false">IF(D564="","",UPPER(SUBSTITUTE(SUBSTITUTE(D564,"(",""),")","")))</f>
        <v/>
      </c>
      <c r="F564" s="0" t="str">
        <f aca="false">IF(C564="","",LEFT(C564,FIND(" ",C564&amp;" ")-1))</f>
        <v/>
      </c>
      <c r="G564" s="0" t="n">
        <f aca="false">IFERROR(VALUE(SUBSTITUTE(LOWER(F564),"x","")),0)</f>
        <v>0</v>
      </c>
      <c r="H564" s="0" t="str">
        <f aca="false">IF(C564="","",TRIM(MID(C564,LEN(F564)+2,999)))</f>
        <v/>
      </c>
      <c r="I564" s="0" t="n">
        <f aca="false">IF(OR(C564="",LEFT(C564,2)="//"),0,IFERROR(IF(AND(G564&gt;0,G564=INT(G564),FIND("-",E564)&gt;1,NOT(EXACT(UPPER(LEFT(E564,1)),LOWER(LEFT(E564,1)))),ISNUMBER(VALUE(MID(E564,FIND("-",E564)+1,10)))),1,0),0))</f>
        <v>0</v>
      </c>
      <c r="J564" s="0" t="str">
        <f aca="false">IF(I564=1,TRIM(LEFT(H564,MAX(0,LEN(H564)-LEN(D564)))),"")</f>
        <v/>
      </c>
      <c r="K564" s="0" t="str">
        <f aca="false">INDEX($P$2:$P$21,A564)</f>
        <v>Deck 10</v>
      </c>
      <c r="L564" s="0" t="n">
        <f aca="false">IF(AND(C564&lt;&gt;"",LEFT(C564,2)&lt;&gt;"//",I564=0),1,0)</f>
        <v>0</v>
      </c>
      <c r="M564" s="0" t="str">
        <f aca="false">IF(I564=1,MAX(M$1:M563)+1,"")</f>
        <v/>
      </c>
      <c r="N564" s="0" t="str">
        <f aca="false">IFERROR(MATCH(ROW()-1,$V$2:$V$1201,0),"")</f>
        <v/>
      </c>
      <c r="R564" s="0" t="str">
        <f aca="false">IF(E564="","",IFERROR(LEFT(E564,FIND("-",E564)-1),E564))</f>
        <v/>
      </c>
      <c r="S564" s="0" t="str">
        <f aca="false">IF(R564="","",IF(ISNUMBER(--MID(R564,1,1)),0,IF(ISNUMBER(--MID(R564,2,1)),1,IF(ISNUMBER(--MID(R564,3,1)),2,IF(ISNUMBER(--MID(R564,4,1)),3,MIN(LEN(R564),4))))))</f>
        <v/>
      </c>
      <c r="T564" s="0" t="str">
        <f aca="false">IF(E564="","",LEFT(R564,S564)&amp;REPT("0",4-S564)&amp;RIGHT("000"&amp;IFERROR(VALUE(MID(R564,S564+1,9)),0),3)&amp;RIGHT("0000"&amp;IFERROR(VALUE(MID(E564,FIND("-",E564)+1,9)),0),4))</f>
        <v/>
      </c>
      <c r="U564" s="0" t="str">
        <f aca="false">IF(I564=1,"K"&amp;RIGHT("00"&amp;A564,2)&amp;T564&amp;RIGHT("00000"&amp;ROW(),5),"")</f>
        <v/>
      </c>
      <c r="V564" s="0" t="str">
        <f aca="false">IF(U564="","",COUNTIFS($I$2:$I$1201,1,$U$2:$U$1201,"&lt;"&amp;U564)+1)</f>
        <v/>
      </c>
    </row>
    <row r="565" customFormat="false" ht="15" hidden="false" customHeight="false" outlineLevel="0" collapsed="false">
      <c r="A565" s="0" t="n">
        <v>10</v>
      </c>
      <c r="B565" s="0" t="n">
        <v>24</v>
      </c>
      <c r="C565" s="0" t="str">
        <f aca="false">TRIM(SUBSTITUTE(INDEX(LISTAS!$A$4:$T$63,B565,A565)&amp;"",CHAR(160)," "))</f>
        <v/>
      </c>
      <c r="D565" s="0" t="str">
        <f aca="false">IF(C565="","",TRIM(RIGHT(SUBSTITUTE(C565," ",REPT(" ",100)),100)))</f>
        <v/>
      </c>
      <c r="E565" s="0" t="str">
        <f aca="false">IF(D565="","",UPPER(SUBSTITUTE(SUBSTITUTE(D565,"(",""),")","")))</f>
        <v/>
      </c>
      <c r="F565" s="0" t="str">
        <f aca="false">IF(C565="","",LEFT(C565,FIND(" ",C565&amp;" ")-1))</f>
        <v/>
      </c>
      <c r="G565" s="0" t="n">
        <f aca="false">IFERROR(VALUE(SUBSTITUTE(LOWER(F565),"x","")),0)</f>
        <v>0</v>
      </c>
      <c r="H565" s="0" t="str">
        <f aca="false">IF(C565="","",TRIM(MID(C565,LEN(F565)+2,999)))</f>
        <v/>
      </c>
      <c r="I565" s="0" t="n">
        <f aca="false">IF(OR(C565="",LEFT(C565,2)="//"),0,IFERROR(IF(AND(G565&gt;0,G565=INT(G565),FIND("-",E565)&gt;1,NOT(EXACT(UPPER(LEFT(E565,1)),LOWER(LEFT(E565,1)))),ISNUMBER(VALUE(MID(E565,FIND("-",E565)+1,10)))),1,0),0))</f>
        <v>0</v>
      </c>
      <c r="J565" s="0" t="str">
        <f aca="false">IF(I565=1,TRIM(LEFT(H565,MAX(0,LEN(H565)-LEN(D565)))),"")</f>
        <v/>
      </c>
      <c r="K565" s="0" t="str">
        <f aca="false">INDEX($P$2:$P$21,A565)</f>
        <v>Deck 10</v>
      </c>
      <c r="L565" s="0" t="n">
        <f aca="false">IF(AND(C565&lt;&gt;"",LEFT(C565,2)&lt;&gt;"//",I565=0),1,0)</f>
        <v>0</v>
      </c>
      <c r="M565" s="0" t="str">
        <f aca="false">IF(I565=1,MAX(M$1:M564)+1,"")</f>
        <v/>
      </c>
      <c r="N565" s="0" t="str">
        <f aca="false">IFERROR(MATCH(ROW()-1,$V$2:$V$1201,0),"")</f>
        <v/>
      </c>
      <c r="R565" s="0" t="str">
        <f aca="false">IF(E565="","",IFERROR(LEFT(E565,FIND("-",E565)-1),E565))</f>
        <v/>
      </c>
      <c r="S565" s="0" t="str">
        <f aca="false">IF(R565="","",IF(ISNUMBER(--MID(R565,1,1)),0,IF(ISNUMBER(--MID(R565,2,1)),1,IF(ISNUMBER(--MID(R565,3,1)),2,IF(ISNUMBER(--MID(R565,4,1)),3,MIN(LEN(R565),4))))))</f>
        <v/>
      </c>
      <c r="T565" s="0" t="str">
        <f aca="false">IF(E565="","",LEFT(R565,S565)&amp;REPT("0",4-S565)&amp;RIGHT("000"&amp;IFERROR(VALUE(MID(R565,S565+1,9)),0),3)&amp;RIGHT("0000"&amp;IFERROR(VALUE(MID(E565,FIND("-",E565)+1,9)),0),4))</f>
        <v/>
      </c>
      <c r="U565" s="0" t="str">
        <f aca="false">IF(I565=1,"K"&amp;RIGHT("00"&amp;A565,2)&amp;T565&amp;RIGHT("00000"&amp;ROW(),5),"")</f>
        <v/>
      </c>
      <c r="V565" s="0" t="str">
        <f aca="false">IF(U565="","",COUNTIFS($I$2:$I$1201,1,$U$2:$U$1201,"&lt;"&amp;U565)+1)</f>
        <v/>
      </c>
    </row>
    <row r="566" customFormat="false" ht="15" hidden="false" customHeight="false" outlineLevel="0" collapsed="false">
      <c r="A566" s="0" t="n">
        <v>10</v>
      </c>
      <c r="B566" s="0" t="n">
        <v>25</v>
      </c>
      <c r="C566" s="0" t="str">
        <f aca="false">TRIM(SUBSTITUTE(INDEX(LISTAS!$A$4:$T$63,B566,A566)&amp;"",CHAR(160)," "))</f>
        <v/>
      </c>
      <c r="D566" s="0" t="str">
        <f aca="false">IF(C566="","",TRIM(RIGHT(SUBSTITUTE(C566," ",REPT(" ",100)),100)))</f>
        <v/>
      </c>
      <c r="E566" s="0" t="str">
        <f aca="false">IF(D566="","",UPPER(SUBSTITUTE(SUBSTITUTE(D566,"(",""),")","")))</f>
        <v/>
      </c>
      <c r="F566" s="0" t="str">
        <f aca="false">IF(C566="","",LEFT(C566,FIND(" ",C566&amp;" ")-1))</f>
        <v/>
      </c>
      <c r="G566" s="0" t="n">
        <f aca="false">IFERROR(VALUE(SUBSTITUTE(LOWER(F566),"x","")),0)</f>
        <v>0</v>
      </c>
      <c r="H566" s="0" t="str">
        <f aca="false">IF(C566="","",TRIM(MID(C566,LEN(F566)+2,999)))</f>
        <v/>
      </c>
      <c r="I566" s="0" t="n">
        <f aca="false">IF(OR(C566="",LEFT(C566,2)="//"),0,IFERROR(IF(AND(G566&gt;0,G566=INT(G566),FIND("-",E566)&gt;1,NOT(EXACT(UPPER(LEFT(E566,1)),LOWER(LEFT(E566,1)))),ISNUMBER(VALUE(MID(E566,FIND("-",E566)+1,10)))),1,0),0))</f>
        <v>0</v>
      </c>
      <c r="J566" s="0" t="str">
        <f aca="false">IF(I566=1,TRIM(LEFT(H566,MAX(0,LEN(H566)-LEN(D566)))),"")</f>
        <v/>
      </c>
      <c r="K566" s="0" t="str">
        <f aca="false">INDEX($P$2:$P$21,A566)</f>
        <v>Deck 10</v>
      </c>
      <c r="L566" s="0" t="n">
        <f aca="false">IF(AND(C566&lt;&gt;"",LEFT(C566,2)&lt;&gt;"//",I566=0),1,0)</f>
        <v>0</v>
      </c>
      <c r="M566" s="0" t="str">
        <f aca="false">IF(I566=1,MAX(M$1:M565)+1,"")</f>
        <v/>
      </c>
      <c r="N566" s="0" t="str">
        <f aca="false">IFERROR(MATCH(ROW()-1,$V$2:$V$1201,0),"")</f>
        <v/>
      </c>
      <c r="R566" s="0" t="str">
        <f aca="false">IF(E566="","",IFERROR(LEFT(E566,FIND("-",E566)-1),E566))</f>
        <v/>
      </c>
      <c r="S566" s="0" t="str">
        <f aca="false">IF(R566="","",IF(ISNUMBER(--MID(R566,1,1)),0,IF(ISNUMBER(--MID(R566,2,1)),1,IF(ISNUMBER(--MID(R566,3,1)),2,IF(ISNUMBER(--MID(R566,4,1)),3,MIN(LEN(R566),4))))))</f>
        <v/>
      </c>
      <c r="T566" s="0" t="str">
        <f aca="false">IF(E566="","",LEFT(R566,S566)&amp;REPT("0",4-S566)&amp;RIGHT("000"&amp;IFERROR(VALUE(MID(R566,S566+1,9)),0),3)&amp;RIGHT("0000"&amp;IFERROR(VALUE(MID(E566,FIND("-",E566)+1,9)),0),4))</f>
        <v/>
      </c>
      <c r="U566" s="0" t="str">
        <f aca="false">IF(I566=1,"K"&amp;RIGHT("00"&amp;A566,2)&amp;T566&amp;RIGHT("00000"&amp;ROW(),5),"")</f>
        <v/>
      </c>
      <c r="V566" s="0" t="str">
        <f aca="false">IF(U566="","",COUNTIFS($I$2:$I$1201,1,$U$2:$U$1201,"&lt;"&amp;U566)+1)</f>
        <v/>
      </c>
    </row>
    <row r="567" customFormat="false" ht="15" hidden="false" customHeight="false" outlineLevel="0" collapsed="false">
      <c r="A567" s="0" t="n">
        <v>10</v>
      </c>
      <c r="B567" s="0" t="n">
        <v>26</v>
      </c>
      <c r="C567" s="0" t="str">
        <f aca="false">TRIM(SUBSTITUTE(INDEX(LISTAS!$A$4:$T$63,B567,A567)&amp;"",CHAR(160)," "))</f>
        <v/>
      </c>
      <c r="D567" s="0" t="str">
        <f aca="false">IF(C567="","",TRIM(RIGHT(SUBSTITUTE(C567," ",REPT(" ",100)),100)))</f>
        <v/>
      </c>
      <c r="E567" s="0" t="str">
        <f aca="false">IF(D567="","",UPPER(SUBSTITUTE(SUBSTITUTE(D567,"(",""),")","")))</f>
        <v/>
      </c>
      <c r="F567" s="0" t="str">
        <f aca="false">IF(C567="","",LEFT(C567,FIND(" ",C567&amp;" ")-1))</f>
        <v/>
      </c>
      <c r="G567" s="0" t="n">
        <f aca="false">IFERROR(VALUE(SUBSTITUTE(LOWER(F567),"x","")),0)</f>
        <v>0</v>
      </c>
      <c r="H567" s="0" t="str">
        <f aca="false">IF(C567="","",TRIM(MID(C567,LEN(F567)+2,999)))</f>
        <v/>
      </c>
      <c r="I567" s="0" t="n">
        <f aca="false">IF(OR(C567="",LEFT(C567,2)="//"),0,IFERROR(IF(AND(G567&gt;0,G567=INT(G567),FIND("-",E567)&gt;1,NOT(EXACT(UPPER(LEFT(E567,1)),LOWER(LEFT(E567,1)))),ISNUMBER(VALUE(MID(E567,FIND("-",E567)+1,10)))),1,0),0))</f>
        <v>0</v>
      </c>
      <c r="J567" s="0" t="str">
        <f aca="false">IF(I567=1,TRIM(LEFT(H567,MAX(0,LEN(H567)-LEN(D567)))),"")</f>
        <v/>
      </c>
      <c r="K567" s="0" t="str">
        <f aca="false">INDEX($P$2:$P$21,A567)</f>
        <v>Deck 10</v>
      </c>
      <c r="L567" s="0" t="n">
        <f aca="false">IF(AND(C567&lt;&gt;"",LEFT(C567,2)&lt;&gt;"//",I567=0),1,0)</f>
        <v>0</v>
      </c>
      <c r="M567" s="0" t="str">
        <f aca="false">IF(I567=1,MAX(M$1:M566)+1,"")</f>
        <v/>
      </c>
      <c r="N567" s="0" t="str">
        <f aca="false">IFERROR(MATCH(ROW()-1,$V$2:$V$1201,0),"")</f>
        <v/>
      </c>
      <c r="R567" s="0" t="str">
        <f aca="false">IF(E567="","",IFERROR(LEFT(E567,FIND("-",E567)-1),E567))</f>
        <v/>
      </c>
      <c r="S567" s="0" t="str">
        <f aca="false">IF(R567="","",IF(ISNUMBER(--MID(R567,1,1)),0,IF(ISNUMBER(--MID(R567,2,1)),1,IF(ISNUMBER(--MID(R567,3,1)),2,IF(ISNUMBER(--MID(R567,4,1)),3,MIN(LEN(R567),4))))))</f>
        <v/>
      </c>
      <c r="T567" s="0" t="str">
        <f aca="false">IF(E567="","",LEFT(R567,S567)&amp;REPT("0",4-S567)&amp;RIGHT("000"&amp;IFERROR(VALUE(MID(R567,S567+1,9)),0),3)&amp;RIGHT("0000"&amp;IFERROR(VALUE(MID(E567,FIND("-",E567)+1,9)),0),4))</f>
        <v/>
      </c>
      <c r="U567" s="0" t="str">
        <f aca="false">IF(I567=1,"K"&amp;RIGHT("00"&amp;A567,2)&amp;T567&amp;RIGHT("00000"&amp;ROW(),5),"")</f>
        <v/>
      </c>
      <c r="V567" s="0" t="str">
        <f aca="false">IF(U567="","",COUNTIFS($I$2:$I$1201,1,$U$2:$U$1201,"&lt;"&amp;U567)+1)</f>
        <v/>
      </c>
    </row>
    <row r="568" customFormat="false" ht="15" hidden="false" customHeight="false" outlineLevel="0" collapsed="false">
      <c r="A568" s="0" t="n">
        <v>10</v>
      </c>
      <c r="B568" s="0" t="n">
        <v>27</v>
      </c>
      <c r="C568" s="0" t="str">
        <f aca="false">TRIM(SUBSTITUTE(INDEX(LISTAS!$A$4:$T$63,B568,A568)&amp;"",CHAR(160)," "))</f>
        <v/>
      </c>
      <c r="D568" s="0" t="str">
        <f aca="false">IF(C568="","",TRIM(RIGHT(SUBSTITUTE(C568," ",REPT(" ",100)),100)))</f>
        <v/>
      </c>
      <c r="E568" s="0" t="str">
        <f aca="false">IF(D568="","",UPPER(SUBSTITUTE(SUBSTITUTE(D568,"(",""),")","")))</f>
        <v/>
      </c>
      <c r="F568" s="0" t="str">
        <f aca="false">IF(C568="","",LEFT(C568,FIND(" ",C568&amp;" ")-1))</f>
        <v/>
      </c>
      <c r="G568" s="0" t="n">
        <f aca="false">IFERROR(VALUE(SUBSTITUTE(LOWER(F568),"x","")),0)</f>
        <v>0</v>
      </c>
      <c r="H568" s="0" t="str">
        <f aca="false">IF(C568="","",TRIM(MID(C568,LEN(F568)+2,999)))</f>
        <v/>
      </c>
      <c r="I568" s="0" t="n">
        <f aca="false">IF(OR(C568="",LEFT(C568,2)="//"),0,IFERROR(IF(AND(G568&gt;0,G568=INT(G568),FIND("-",E568)&gt;1,NOT(EXACT(UPPER(LEFT(E568,1)),LOWER(LEFT(E568,1)))),ISNUMBER(VALUE(MID(E568,FIND("-",E568)+1,10)))),1,0),0))</f>
        <v>0</v>
      </c>
      <c r="J568" s="0" t="str">
        <f aca="false">IF(I568=1,TRIM(LEFT(H568,MAX(0,LEN(H568)-LEN(D568)))),"")</f>
        <v/>
      </c>
      <c r="K568" s="0" t="str">
        <f aca="false">INDEX($P$2:$P$21,A568)</f>
        <v>Deck 10</v>
      </c>
      <c r="L568" s="0" t="n">
        <f aca="false">IF(AND(C568&lt;&gt;"",LEFT(C568,2)&lt;&gt;"//",I568=0),1,0)</f>
        <v>0</v>
      </c>
      <c r="M568" s="0" t="str">
        <f aca="false">IF(I568=1,MAX(M$1:M567)+1,"")</f>
        <v/>
      </c>
      <c r="N568" s="0" t="str">
        <f aca="false">IFERROR(MATCH(ROW()-1,$V$2:$V$1201,0),"")</f>
        <v/>
      </c>
      <c r="R568" s="0" t="str">
        <f aca="false">IF(E568="","",IFERROR(LEFT(E568,FIND("-",E568)-1),E568))</f>
        <v/>
      </c>
      <c r="S568" s="0" t="str">
        <f aca="false">IF(R568="","",IF(ISNUMBER(--MID(R568,1,1)),0,IF(ISNUMBER(--MID(R568,2,1)),1,IF(ISNUMBER(--MID(R568,3,1)),2,IF(ISNUMBER(--MID(R568,4,1)),3,MIN(LEN(R568),4))))))</f>
        <v/>
      </c>
      <c r="T568" s="0" t="str">
        <f aca="false">IF(E568="","",LEFT(R568,S568)&amp;REPT("0",4-S568)&amp;RIGHT("000"&amp;IFERROR(VALUE(MID(R568,S568+1,9)),0),3)&amp;RIGHT("0000"&amp;IFERROR(VALUE(MID(E568,FIND("-",E568)+1,9)),0),4))</f>
        <v/>
      </c>
      <c r="U568" s="0" t="str">
        <f aca="false">IF(I568=1,"K"&amp;RIGHT("00"&amp;A568,2)&amp;T568&amp;RIGHT("00000"&amp;ROW(),5),"")</f>
        <v/>
      </c>
      <c r="V568" s="0" t="str">
        <f aca="false">IF(U568="","",COUNTIFS($I$2:$I$1201,1,$U$2:$U$1201,"&lt;"&amp;U568)+1)</f>
        <v/>
      </c>
    </row>
    <row r="569" customFormat="false" ht="15" hidden="false" customHeight="false" outlineLevel="0" collapsed="false">
      <c r="A569" s="0" t="n">
        <v>10</v>
      </c>
      <c r="B569" s="0" t="n">
        <v>28</v>
      </c>
      <c r="C569" s="0" t="str">
        <f aca="false">TRIM(SUBSTITUTE(INDEX(LISTAS!$A$4:$T$63,B569,A569)&amp;"",CHAR(160)," "))</f>
        <v/>
      </c>
      <c r="D569" s="0" t="str">
        <f aca="false">IF(C569="","",TRIM(RIGHT(SUBSTITUTE(C569," ",REPT(" ",100)),100)))</f>
        <v/>
      </c>
      <c r="E569" s="0" t="str">
        <f aca="false">IF(D569="","",UPPER(SUBSTITUTE(SUBSTITUTE(D569,"(",""),")","")))</f>
        <v/>
      </c>
      <c r="F569" s="0" t="str">
        <f aca="false">IF(C569="","",LEFT(C569,FIND(" ",C569&amp;" ")-1))</f>
        <v/>
      </c>
      <c r="G569" s="0" t="n">
        <f aca="false">IFERROR(VALUE(SUBSTITUTE(LOWER(F569),"x","")),0)</f>
        <v>0</v>
      </c>
      <c r="H569" s="0" t="str">
        <f aca="false">IF(C569="","",TRIM(MID(C569,LEN(F569)+2,999)))</f>
        <v/>
      </c>
      <c r="I569" s="0" t="n">
        <f aca="false">IF(OR(C569="",LEFT(C569,2)="//"),0,IFERROR(IF(AND(G569&gt;0,G569=INT(G569),FIND("-",E569)&gt;1,NOT(EXACT(UPPER(LEFT(E569,1)),LOWER(LEFT(E569,1)))),ISNUMBER(VALUE(MID(E569,FIND("-",E569)+1,10)))),1,0),0))</f>
        <v>0</v>
      </c>
      <c r="J569" s="0" t="str">
        <f aca="false">IF(I569=1,TRIM(LEFT(H569,MAX(0,LEN(H569)-LEN(D569)))),"")</f>
        <v/>
      </c>
      <c r="K569" s="0" t="str">
        <f aca="false">INDEX($P$2:$P$21,A569)</f>
        <v>Deck 10</v>
      </c>
      <c r="L569" s="0" t="n">
        <f aca="false">IF(AND(C569&lt;&gt;"",LEFT(C569,2)&lt;&gt;"//",I569=0),1,0)</f>
        <v>0</v>
      </c>
      <c r="M569" s="0" t="str">
        <f aca="false">IF(I569=1,MAX(M$1:M568)+1,"")</f>
        <v/>
      </c>
      <c r="N569" s="0" t="str">
        <f aca="false">IFERROR(MATCH(ROW()-1,$V$2:$V$1201,0),"")</f>
        <v/>
      </c>
      <c r="R569" s="0" t="str">
        <f aca="false">IF(E569="","",IFERROR(LEFT(E569,FIND("-",E569)-1),E569))</f>
        <v/>
      </c>
      <c r="S569" s="0" t="str">
        <f aca="false">IF(R569="","",IF(ISNUMBER(--MID(R569,1,1)),0,IF(ISNUMBER(--MID(R569,2,1)),1,IF(ISNUMBER(--MID(R569,3,1)),2,IF(ISNUMBER(--MID(R569,4,1)),3,MIN(LEN(R569),4))))))</f>
        <v/>
      </c>
      <c r="T569" s="0" t="str">
        <f aca="false">IF(E569="","",LEFT(R569,S569)&amp;REPT("0",4-S569)&amp;RIGHT("000"&amp;IFERROR(VALUE(MID(R569,S569+1,9)),0),3)&amp;RIGHT("0000"&amp;IFERROR(VALUE(MID(E569,FIND("-",E569)+1,9)),0),4))</f>
        <v/>
      </c>
      <c r="U569" s="0" t="str">
        <f aca="false">IF(I569=1,"K"&amp;RIGHT("00"&amp;A569,2)&amp;T569&amp;RIGHT("00000"&amp;ROW(),5),"")</f>
        <v/>
      </c>
      <c r="V569" s="0" t="str">
        <f aca="false">IF(U569="","",COUNTIFS($I$2:$I$1201,1,$U$2:$U$1201,"&lt;"&amp;U569)+1)</f>
        <v/>
      </c>
    </row>
    <row r="570" customFormat="false" ht="15" hidden="false" customHeight="false" outlineLevel="0" collapsed="false">
      <c r="A570" s="0" t="n">
        <v>10</v>
      </c>
      <c r="B570" s="0" t="n">
        <v>29</v>
      </c>
      <c r="C570" s="0" t="str">
        <f aca="false">TRIM(SUBSTITUTE(INDEX(LISTAS!$A$4:$T$63,B570,A570)&amp;"",CHAR(160)," "))</f>
        <v/>
      </c>
      <c r="D570" s="0" t="str">
        <f aca="false">IF(C570="","",TRIM(RIGHT(SUBSTITUTE(C570," ",REPT(" ",100)),100)))</f>
        <v/>
      </c>
      <c r="E570" s="0" t="str">
        <f aca="false">IF(D570="","",UPPER(SUBSTITUTE(SUBSTITUTE(D570,"(",""),")","")))</f>
        <v/>
      </c>
      <c r="F570" s="0" t="str">
        <f aca="false">IF(C570="","",LEFT(C570,FIND(" ",C570&amp;" ")-1))</f>
        <v/>
      </c>
      <c r="G570" s="0" t="n">
        <f aca="false">IFERROR(VALUE(SUBSTITUTE(LOWER(F570),"x","")),0)</f>
        <v>0</v>
      </c>
      <c r="H570" s="0" t="str">
        <f aca="false">IF(C570="","",TRIM(MID(C570,LEN(F570)+2,999)))</f>
        <v/>
      </c>
      <c r="I570" s="0" t="n">
        <f aca="false">IF(OR(C570="",LEFT(C570,2)="//"),0,IFERROR(IF(AND(G570&gt;0,G570=INT(G570),FIND("-",E570)&gt;1,NOT(EXACT(UPPER(LEFT(E570,1)),LOWER(LEFT(E570,1)))),ISNUMBER(VALUE(MID(E570,FIND("-",E570)+1,10)))),1,0),0))</f>
        <v>0</v>
      </c>
      <c r="J570" s="0" t="str">
        <f aca="false">IF(I570=1,TRIM(LEFT(H570,MAX(0,LEN(H570)-LEN(D570)))),"")</f>
        <v/>
      </c>
      <c r="K570" s="0" t="str">
        <f aca="false">INDEX($P$2:$P$21,A570)</f>
        <v>Deck 10</v>
      </c>
      <c r="L570" s="0" t="n">
        <f aca="false">IF(AND(C570&lt;&gt;"",LEFT(C570,2)&lt;&gt;"//",I570=0),1,0)</f>
        <v>0</v>
      </c>
      <c r="M570" s="0" t="str">
        <f aca="false">IF(I570=1,MAX(M$1:M569)+1,"")</f>
        <v/>
      </c>
      <c r="N570" s="0" t="str">
        <f aca="false">IFERROR(MATCH(ROW()-1,$V$2:$V$1201,0),"")</f>
        <v/>
      </c>
      <c r="R570" s="0" t="str">
        <f aca="false">IF(E570="","",IFERROR(LEFT(E570,FIND("-",E570)-1),E570))</f>
        <v/>
      </c>
      <c r="S570" s="0" t="str">
        <f aca="false">IF(R570="","",IF(ISNUMBER(--MID(R570,1,1)),0,IF(ISNUMBER(--MID(R570,2,1)),1,IF(ISNUMBER(--MID(R570,3,1)),2,IF(ISNUMBER(--MID(R570,4,1)),3,MIN(LEN(R570),4))))))</f>
        <v/>
      </c>
      <c r="T570" s="0" t="str">
        <f aca="false">IF(E570="","",LEFT(R570,S570)&amp;REPT("0",4-S570)&amp;RIGHT("000"&amp;IFERROR(VALUE(MID(R570,S570+1,9)),0),3)&amp;RIGHT("0000"&amp;IFERROR(VALUE(MID(E570,FIND("-",E570)+1,9)),0),4))</f>
        <v/>
      </c>
      <c r="U570" s="0" t="str">
        <f aca="false">IF(I570=1,"K"&amp;RIGHT("00"&amp;A570,2)&amp;T570&amp;RIGHT("00000"&amp;ROW(),5),"")</f>
        <v/>
      </c>
      <c r="V570" s="0" t="str">
        <f aca="false">IF(U570="","",COUNTIFS($I$2:$I$1201,1,$U$2:$U$1201,"&lt;"&amp;U570)+1)</f>
        <v/>
      </c>
    </row>
    <row r="571" customFormat="false" ht="15" hidden="false" customHeight="false" outlineLevel="0" collapsed="false">
      <c r="A571" s="0" t="n">
        <v>10</v>
      </c>
      <c r="B571" s="0" t="n">
        <v>30</v>
      </c>
      <c r="C571" s="0" t="str">
        <f aca="false">TRIM(SUBSTITUTE(INDEX(LISTAS!$A$4:$T$63,B571,A571)&amp;"",CHAR(160)," "))</f>
        <v/>
      </c>
      <c r="D571" s="0" t="str">
        <f aca="false">IF(C571="","",TRIM(RIGHT(SUBSTITUTE(C571," ",REPT(" ",100)),100)))</f>
        <v/>
      </c>
      <c r="E571" s="0" t="str">
        <f aca="false">IF(D571="","",UPPER(SUBSTITUTE(SUBSTITUTE(D571,"(",""),")","")))</f>
        <v/>
      </c>
      <c r="F571" s="0" t="str">
        <f aca="false">IF(C571="","",LEFT(C571,FIND(" ",C571&amp;" ")-1))</f>
        <v/>
      </c>
      <c r="G571" s="0" t="n">
        <f aca="false">IFERROR(VALUE(SUBSTITUTE(LOWER(F571),"x","")),0)</f>
        <v>0</v>
      </c>
      <c r="H571" s="0" t="str">
        <f aca="false">IF(C571="","",TRIM(MID(C571,LEN(F571)+2,999)))</f>
        <v/>
      </c>
      <c r="I571" s="0" t="n">
        <f aca="false">IF(OR(C571="",LEFT(C571,2)="//"),0,IFERROR(IF(AND(G571&gt;0,G571=INT(G571),FIND("-",E571)&gt;1,NOT(EXACT(UPPER(LEFT(E571,1)),LOWER(LEFT(E571,1)))),ISNUMBER(VALUE(MID(E571,FIND("-",E571)+1,10)))),1,0),0))</f>
        <v>0</v>
      </c>
      <c r="J571" s="0" t="str">
        <f aca="false">IF(I571=1,TRIM(LEFT(H571,MAX(0,LEN(H571)-LEN(D571)))),"")</f>
        <v/>
      </c>
      <c r="K571" s="0" t="str">
        <f aca="false">INDEX($P$2:$P$21,A571)</f>
        <v>Deck 10</v>
      </c>
      <c r="L571" s="0" t="n">
        <f aca="false">IF(AND(C571&lt;&gt;"",LEFT(C571,2)&lt;&gt;"//",I571=0),1,0)</f>
        <v>0</v>
      </c>
      <c r="M571" s="0" t="str">
        <f aca="false">IF(I571=1,MAX(M$1:M570)+1,"")</f>
        <v/>
      </c>
      <c r="N571" s="0" t="str">
        <f aca="false">IFERROR(MATCH(ROW()-1,$V$2:$V$1201,0),"")</f>
        <v/>
      </c>
      <c r="R571" s="0" t="str">
        <f aca="false">IF(E571="","",IFERROR(LEFT(E571,FIND("-",E571)-1),E571))</f>
        <v/>
      </c>
      <c r="S571" s="0" t="str">
        <f aca="false">IF(R571="","",IF(ISNUMBER(--MID(R571,1,1)),0,IF(ISNUMBER(--MID(R571,2,1)),1,IF(ISNUMBER(--MID(R571,3,1)),2,IF(ISNUMBER(--MID(R571,4,1)),3,MIN(LEN(R571),4))))))</f>
        <v/>
      </c>
      <c r="T571" s="0" t="str">
        <f aca="false">IF(E571="","",LEFT(R571,S571)&amp;REPT("0",4-S571)&amp;RIGHT("000"&amp;IFERROR(VALUE(MID(R571,S571+1,9)),0),3)&amp;RIGHT("0000"&amp;IFERROR(VALUE(MID(E571,FIND("-",E571)+1,9)),0),4))</f>
        <v/>
      </c>
      <c r="U571" s="0" t="str">
        <f aca="false">IF(I571=1,"K"&amp;RIGHT("00"&amp;A571,2)&amp;T571&amp;RIGHT("00000"&amp;ROW(),5),"")</f>
        <v/>
      </c>
      <c r="V571" s="0" t="str">
        <f aca="false">IF(U571="","",COUNTIFS($I$2:$I$1201,1,$U$2:$U$1201,"&lt;"&amp;U571)+1)</f>
        <v/>
      </c>
    </row>
    <row r="572" customFormat="false" ht="15" hidden="false" customHeight="false" outlineLevel="0" collapsed="false">
      <c r="A572" s="0" t="n">
        <v>10</v>
      </c>
      <c r="B572" s="0" t="n">
        <v>31</v>
      </c>
      <c r="C572" s="0" t="str">
        <f aca="false">TRIM(SUBSTITUTE(INDEX(LISTAS!$A$4:$T$63,B572,A572)&amp;"",CHAR(160)," "))</f>
        <v/>
      </c>
      <c r="D572" s="0" t="str">
        <f aca="false">IF(C572="","",TRIM(RIGHT(SUBSTITUTE(C572," ",REPT(" ",100)),100)))</f>
        <v/>
      </c>
      <c r="E572" s="0" t="str">
        <f aca="false">IF(D572="","",UPPER(SUBSTITUTE(SUBSTITUTE(D572,"(",""),")","")))</f>
        <v/>
      </c>
      <c r="F572" s="0" t="str">
        <f aca="false">IF(C572="","",LEFT(C572,FIND(" ",C572&amp;" ")-1))</f>
        <v/>
      </c>
      <c r="G572" s="0" t="n">
        <f aca="false">IFERROR(VALUE(SUBSTITUTE(LOWER(F572),"x","")),0)</f>
        <v>0</v>
      </c>
      <c r="H572" s="0" t="str">
        <f aca="false">IF(C572="","",TRIM(MID(C572,LEN(F572)+2,999)))</f>
        <v/>
      </c>
      <c r="I572" s="0" t="n">
        <f aca="false">IF(OR(C572="",LEFT(C572,2)="//"),0,IFERROR(IF(AND(G572&gt;0,G572=INT(G572),FIND("-",E572)&gt;1,NOT(EXACT(UPPER(LEFT(E572,1)),LOWER(LEFT(E572,1)))),ISNUMBER(VALUE(MID(E572,FIND("-",E572)+1,10)))),1,0),0))</f>
        <v>0</v>
      </c>
      <c r="J572" s="0" t="str">
        <f aca="false">IF(I572=1,TRIM(LEFT(H572,MAX(0,LEN(H572)-LEN(D572)))),"")</f>
        <v/>
      </c>
      <c r="K572" s="0" t="str">
        <f aca="false">INDEX($P$2:$P$21,A572)</f>
        <v>Deck 10</v>
      </c>
      <c r="L572" s="0" t="n">
        <f aca="false">IF(AND(C572&lt;&gt;"",LEFT(C572,2)&lt;&gt;"//",I572=0),1,0)</f>
        <v>0</v>
      </c>
      <c r="M572" s="0" t="str">
        <f aca="false">IF(I572=1,MAX(M$1:M571)+1,"")</f>
        <v/>
      </c>
      <c r="N572" s="0" t="str">
        <f aca="false">IFERROR(MATCH(ROW()-1,$V$2:$V$1201,0),"")</f>
        <v/>
      </c>
      <c r="R572" s="0" t="str">
        <f aca="false">IF(E572="","",IFERROR(LEFT(E572,FIND("-",E572)-1),E572))</f>
        <v/>
      </c>
      <c r="S572" s="0" t="str">
        <f aca="false">IF(R572="","",IF(ISNUMBER(--MID(R572,1,1)),0,IF(ISNUMBER(--MID(R572,2,1)),1,IF(ISNUMBER(--MID(R572,3,1)),2,IF(ISNUMBER(--MID(R572,4,1)),3,MIN(LEN(R572),4))))))</f>
        <v/>
      </c>
      <c r="T572" s="0" t="str">
        <f aca="false">IF(E572="","",LEFT(R572,S572)&amp;REPT("0",4-S572)&amp;RIGHT("000"&amp;IFERROR(VALUE(MID(R572,S572+1,9)),0),3)&amp;RIGHT("0000"&amp;IFERROR(VALUE(MID(E572,FIND("-",E572)+1,9)),0),4))</f>
        <v/>
      </c>
      <c r="U572" s="0" t="str">
        <f aca="false">IF(I572=1,"K"&amp;RIGHT("00"&amp;A572,2)&amp;T572&amp;RIGHT("00000"&amp;ROW(),5),"")</f>
        <v/>
      </c>
      <c r="V572" s="0" t="str">
        <f aca="false">IF(U572="","",COUNTIFS($I$2:$I$1201,1,$U$2:$U$1201,"&lt;"&amp;U572)+1)</f>
        <v/>
      </c>
    </row>
    <row r="573" customFormat="false" ht="15" hidden="false" customHeight="false" outlineLevel="0" collapsed="false">
      <c r="A573" s="0" t="n">
        <v>10</v>
      </c>
      <c r="B573" s="0" t="n">
        <v>32</v>
      </c>
      <c r="C573" s="0" t="str">
        <f aca="false">TRIM(SUBSTITUTE(INDEX(LISTAS!$A$4:$T$63,B573,A573)&amp;"",CHAR(160)," "))</f>
        <v/>
      </c>
      <c r="D573" s="0" t="str">
        <f aca="false">IF(C573="","",TRIM(RIGHT(SUBSTITUTE(C573," ",REPT(" ",100)),100)))</f>
        <v/>
      </c>
      <c r="E573" s="0" t="str">
        <f aca="false">IF(D573="","",UPPER(SUBSTITUTE(SUBSTITUTE(D573,"(",""),")","")))</f>
        <v/>
      </c>
      <c r="F573" s="0" t="str">
        <f aca="false">IF(C573="","",LEFT(C573,FIND(" ",C573&amp;" ")-1))</f>
        <v/>
      </c>
      <c r="G573" s="0" t="n">
        <f aca="false">IFERROR(VALUE(SUBSTITUTE(LOWER(F573),"x","")),0)</f>
        <v>0</v>
      </c>
      <c r="H573" s="0" t="str">
        <f aca="false">IF(C573="","",TRIM(MID(C573,LEN(F573)+2,999)))</f>
        <v/>
      </c>
      <c r="I573" s="0" t="n">
        <f aca="false">IF(OR(C573="",LEFT(C573,2)="//"),0,IFERROR(IF(AND(G573&gt;0,G573=INT(G573),FIND("-",E573)&gt;1,NOT(EXACT(UPPER(LEFT(E573,1)),LOWER(LEFT(E573,1)))),ISNUMBER(VALUE(MID(E573,FIND("-",E573)+1,10)))),1,0),0))</f>
        <v>0</v>
      </c>
      <c r="J573" s="0" t="str">
        <f aca="false">IF(I573=1,TRIM(LEFT(H573,MAX(0,LEN(H573)-LEN(D573)))),"")</f>
        <v/>
      </c>
      <c r="K573" s="0" t="str">
        <f aca="false">INDEX($P$2:$P$21,A573)</f>
        <v>Deck 10</v>
      </c>
      <c r="L573" s="0" t="n">
        <f aca="false">IF(AND(C573&lt;&gt;"",LEFT(C573,2)&lt;&gt;"//",I573=0),1,0)</f>
        <v>0</v>
      </c>
      <c r="M573" s="0" t="str">
        <f aca="false">IF(I573=1,MAX(M$1:M572)+1,"")</f>
        <v/>
      </c>
      <c r="N573" s="0" t="str">
        <f aca="false">IFERROR(MATCH(ROW()-1,$V$2:$V$1201,0),"")</f>
        <v/>
      </c>
      <c r="R573" s="0" t="str">
        <f aca="false">IF(E573="","",IFERROR(LEFT(E573,FIND("-",E573)-1),E573))</f>
        <v/>
      </c>
      <c r="S573" s="0" t="str">
        <f aca="false">IF(R573="","",IF(ISNUMBER(--MID(R573,1,1)),0,IF(ISNUMBER(--MID(R573,2,1)),1,IF(ISNUMBER(--MID(R573,3,1)),2,IF(ISNUMBER(--MID(R573,4,1)),3,MIN(LEN(R573),4))))))</f>
        <v/>
      </c>
      <c r="T573" s="0" t="str">
        <f aca="false">IF(E573="","",LEFT(R573,S573)&amp;REPT("0",4-S573)&amp;RIGHT("000"&amp;IFERROR(VALUE(MID(R573,S573+1,9)),0),3)&amp;RIGHT("0000"&amp;IFERROR(VALUE(MID(E573,FIND("-",E573)+1,9)),0),4))</f>
        <v/>
      </c>
      <c r="U573" s="0" t="str">
        <f aca="false">IF(I573=1,"K"&amp;RIGHT("00"&amp;A573,2)&amp;T573&amp;RIGHT("00000"&amp;ROW(),5),"")</f>
        <v/>
      </c>
      <c r="V573" s="0" t="str">
        <f aca="false">IF(U573="","",COUNTIFS($I$2:$I$1201,1,$U$2:$U$1201,"&lt;"&amp;U573)+1)</f>
        <v/>
      </c>
    </row>
    <row r="574" customFormat="false" ht="15" hidden="false" customHeight="false" outlineLevel="0" collapsed="false">
      <c r="A574" s="0" t="n">
        <v>10</v>
      </c>
      <c r="B574" s="0" t="n">
        <v>33</v>
      </c>
      <c r="C574" s="0" t="str">
        <f aca="false">TRIM(SUBSTITUTE(INDEX(LISTAS!$A$4:$T$63,B574,A574)&amp;"",CHAR(160)," "))</f>
        <v/>
      </c>
      <c r="D574" s="0" t="str">
        <f aca="false">IF(C574="","",TRIM(RIGHT(SUBSTITUTE(C574," ",REPT(" ",100)),100)))</f>
        <v/>
      </c>
      <c r="E574" s="0" t="str">
        <f aca="false">IF(D574="","",UPPER(SUBSTITUTE(SUBSTITUTE(D574,"(",""),")","")))</f>
        <v/>
      </c>
      <c r="F574" s="0" t="str">
        <f aca="false">IF(C574="","",LEFT(C574,FIND(" ",C574&amp;" ")-1))</f>
        <v/>
      </c>
      <c r="G574" s="0" t="n">
        <f aca="false">IFERROR(VALUE(SUBSTITUTE(LOWER(F574),"x","")),0)</f>
        <v>0</v>
      </c>
      <c r="H574" s="0" t="str">
        <f aca="false">IF(C574="","",TRIM(MID(C574,LEN(F574)+2,999)))</f>
        <v/>
      </c>
      <c r="I574" s="0" t="n">
        <f aca="false">IF(OR(C574="",LEFT(C574,2)="//"),0,IFERROR(IF(AND(G574&gt;0,G574=INT(G574),FIND("-",E574)&gt;1,NOT(EXACT(UPPER(LEFT(E574,1)),LOWER(LEFT(E574,1)))),ISNUMBER(VALUE(MID(E574,FIND("-",E574)+1,10)))),1,0),0))</f>
        <v>0</v>
      </c>
      <c r="J574" s="0" t="str">
        <f aca="false">IF(I574=1,TRIM(LEFT(H574,MAX(0,LEN(H574)-LEN(D574)))),"")</f>
        <v/>
      </c>
      <c r="K574" s="0" t="str">
        <f aca="false">INDEX($P$2:$P$21,A574)</f>
        <v>Deck 10</v>
      </c>
      <c r="L574" s="0" t="n">
        <f aca="false">IF(AND(C574&lt;&gt;"",LEFT(C574,2)&lt;&gt;"//",I574=0),1,0)</f>
        <v>0</v>
      </c>
      <c r="M574" s="0" t="str">
        <f aca="false">IF(I574=1,MAX(M$1:M573)+1,"")</f>
        <v/>
      </c>
      <c r="N574" s="0" t="str">
        <f aca="false">IFERROR(MATCH(ROW()-1,$V$2:$V$1201,0),"")</f>
        <v/>
      </c>
      <c r="R574" s="0" t="str">
        <f aca="false">IF(E574="","",IFERROR(LEFT(E574,FIND("-",E574)-1),E574))</f>
        <v/>
      </c>
      <c r="S574" s="0" t="str">
        <f aca="false">IF(R574="","",IF(ISNUMBER(--MID(R574,1,1)),0,IF(ISNUMBER(--MID(R574,2,1)),1,IF(ISNUMBER(--MID(R574,3,1)),2,IF(ISNUMBER(--MID(R574,4,1)),3,MIN(LEN(R574),4))))))</f>
        <v/>
      </c>
      <c r="T574" s="0" t="str">
        <f aca="false">IF(E574="","",LEFT(R574,S574)&amp;REPT("0",4-S574)&amp;RIGHT("000"&amp;IFERROR(VALUE(MID(R574,S574+1,9)),0),3)&amp;RIGHT("0000"&amp;IFERROR(VALUE(MID(E574,FIND("-",E574)+1,9)),0),4))</f>
        <v/>
      </c>
      <c r="U574" s="0" t="str">
        <f aca="false">IF(I574=1,"K"&amp;RIGHT("00"&amp;A574,2)&amp;T574&amp;RIGHT("00000"&amp;ROW(),5),"")</f>
        <v/>
      </c>
      <c r="V574" s="0" t="str">
        <f aca="false">IF(U574="","",COUNTIFS($I$2:$I$1201,1,$U$2:$U$1201,"&lt;"&amp;U574)+1)</f>
        <v/>
      </c>
    </row>
    <row r="575" customFormat="false" ht="15" hidden="false" customHeight="false" outlineLevel="0" collapsed="false">
      <c r="A575" s="0" t="n">
        <v>10</v>
      </c>
      <c r="B575" s="0" t="n">
        <v>34</v>
      </c>
      <c r="C575" s="0" t="str">
        <f aca="false">TRIM(SUBSTITUTE(INDEX(LISTAS!$A$4:$T$63,B575,A575)&amp;"",CHAR(160)," "))</f>
        <v/>
      </c>
      <c r="D575" s="0" t="str">
        <f aca="false">IF(C575="","",TRIM(RIGHT(SUBSTITUTE(C575," ",REPT(" ",100)),100)))</f>
        <v/>
      </c>
      <c r="E575" s="0" t="str">
        <f aca="false">IF(D575="","",UPPER(SUBSTITUTE(SUBSTITUTE(D575,"(",""),")","")))</f>
        <v/>
      </c>
      <c r="F575" s="0" t="str">
        <f aca="false">IF(C575="","",LEFT(C575,FIND(" ",C575&amp;" ")-1))</f>
        <v/>
      </c>
      <c r="G575" s="0" t="n">
        <f aca="false">IFERROR(VALUE(SUBSTITUTE(LOWER(F575),"x","")),0)</f>
        <v>0</v>
      </c>
      <c r="H575" s="0" t="str">
        <f aca="false">IF(C575="","",TRIM(MID(C575,LEN(F575)+2,999)))</f>
        <v/>
      </c>
      <c r="I575" s="0" t="n">
        <f aca="false">IF(OR(C575="",LEFT(C575,2)="//"),0,IFERROR(IF(AND(G575&gt;0,G575=INT(G575),FIND("-",E575)&gt;1,NOT(EXACT(UPPER(LEFT(E575,1)),LOWER(LEFT(E575,1)))),ISNUMBER(VALUE(MID(E575,FIND("-",E575)+1,10)))),1,0),0))</f>
        <v>0</v>
      </c>
      <c r="J575" s="0" t="str">
        <f aca="false">IF(I575=1,TRIM(LEFT(H575,MAX(0,LEN(H575)-LEN(D575)))),"")</f>
        <v/>
      </c>
      <c r="K575" s="0" t="str">
        <f aca="false">INDEX($P$2:$P$21,A575)</f>
        <v>Deck 10</v>
      </c>
      <c r="L575" s="0" t="n">
        <f aca="false">IF(AND(C575&lt;&gt;"",LEFT(C575,2)&lt;&gt;"//",I575=0),1,0)</f>
        <v>0</v>
      </c>
      <c r="M575" s="0" t="str">
        <f aca="false">IF(I575=1,MAX(M$1:M574)+1,"")</f>
        <v/>
      </c>
      <c r="N575" s="0" t="str">
        <f aca="false">IFERROR(MATCH(ROW()-1,$V$2:$V$1201,0),"")</f>
        <v/>
      </c>
      <c r="R575" s="0" t="str">
        <f aca="false">IF(E575="","",IFERROR(LEFT(E575,FIND("-",E575)-1),E575))</f>
        <v/>
      </c>
      <c r="S575" s="0" t="str">
        <f aca="false">IF(R575="","",IF(ISNUMBER(--MID(R575,1,1)),0,IF(ISNUMBER(--MID(R575,2,1)),1,IF(ISNUMBER(--MID(R575,3,1)),2,IF(ISNUMBER(--MID(R575,4,1)),3,MIN(LEN(R575),4))))))</f>
        <v/>
      </c>
      <c r="T575" s="0" t="str">
        <f aca="false">IF(E575="","",LEFT(R575,S575)&amp;REPT("0",4-S575)&amp;RIGHT("000"&amp;IFERROR(VALUE(MID(R575,S575+1,9)),0),3)&amp;RIGHT("0000"&amp;IFERROR(VALUE(MID(E575,FIND("-",E575)+1,9)),0),4))</f>
        <v/>
      </c>
      <c r="U575" s="0" t="str">
        <f aca="false">IF(I575=1,"K"&amp;RIGHT("00"&amp;A575,2)&amp;T575&amp;RIGHT("00000"&amp;ROW(),5),"")</f>
        <v/>
      </c>
      <c r="V575" s="0" t="str">
        <f aca="false">IF(U575="","",COUNTIFS($I$2:$I$1201,1,$U$2:$U$1201,"&lt;"&amp;U575)+1)</f>
        <v/>
      </c>
    </row>
    <row r="576" customFormat="false" ht="15" hidden="false" customHeight="false" outlineLevel="0" collapsed="false">
      <c r="A576" s="0" t="n">
        <v>10</v>
      </c>
      <c r="B576" s="0" t="n">
        <v>35</v>
      </c>
      <c r="C576" s="0" t="str">
        <f aca="false">TRIM(SUBSTITUTE(INDEX(LISTAS!$A$4:$T$63,B576,A576)&amp;"",CHAR(160)," "))</f>
        <v/>
      </c>
      <c r="D576" s="0" t="str">
        <f aca="false">IF(C576="","",TRIM(RIGHT(SUBSTITUTE(C576," ",REPT(" ",100)),100)))</f>
        <v/>
      </c>
      <c r="E576" s="0" t="str">
        <f aca="false">IF(D576="","",UPPER(SUBSTITUTE(SUBSTITUTE(D576,"(",""),")","")))</f>
        <v/>
      </c>
      <c r="F576" s="0" t="str">
        <f aca="false">IF(C576="","",LEFT(C576,FIND(" ",C576&amp;" ")-1))</f>
        <v/>
      </c>
      <c r="G576" s="0" t="n">
        <f aca="false">IFERROR(VALUE(SUBSTITUTE(LOWER(F576),"x","")),0)</f>
        <v>0</v>
      </c>
      <c r="H576" s="0" t="str">
        <f aca="false">IF(C576="","",TRIM(MID(C576,LEN(F576)+2,999)))</f>
        <v/>
      </c>
      <c r="I576" s="0" t="n">
        <f aca="false">IF(OR(C576="",LEFT(C576,2)="//"),0,IFERROR(IF(AND(G576&gt;0,G576=INT(G576),FIND("-",E576)&gt;1,NOT(EXACT(UPPER(LEFT(E576,1)),LOWER(LEFT(E576,1)))),ISNUMBER(VALUE(MID(E576,FIND("-",E576)+1,10)))),1,0),0))</f>
        <v>0</v>
      </c>
      <c r="J576" s="0" t="str">
        <f aca="false">IF(I576=1,TRIM(LEFT(H576,MAX(0,LEN(H576)-LEN(D576)))),"")</f>
        <v/>
      </c>
      <c r="K576" s="0" t="str">
        <f aca="false">INDEX($P$2:$P$21,A576)</f>
        <v>Deck 10</v>
      </c>
      <c r="L576" s="0" t="n">
        <f aca="false">IF(AND(C576&lt;&gt;"",LEFT(C576,2)&lt;&gt;"//",I576=0),1,0)</f>
        <v>0</v>
      </c>
      <c r="M576" s="0" t="str">
        <f aca="false">IF(I576=1,MAX(M$1:M575)+1,"")</f>
        <v/>
      </c>
      <c r="N576" s="0" t="str">
        <f aca="false">IFERROR(MATCH(ROW()-1,$V$2:$V$1201,0),"")</f>
        <v/>
      </c>
      <c r="R576" s="0" t="str">
        <f aca="false">IF(E576="","",IFERROR(LEFT(E576,FIND("-",E576)-1),E576))</f>
        <v/>
      </c>
      <c r="S576" s="0" t="str">
        <f aca="false">IF(R576="","",IF(ISNUMBER(--MID(R576,1,1)),0,IF(ISNUMBER(--MID(R576,2,1)),1,IF(ISNUMBER(--MID(R576,3,1)),2,IF(ISNUMBER(--MID(R576,4,1)),3,MIN(LEN(R576),4))))))</f>
        <v/>
      </c>
      <c r="T576" s="0" t="str">
        <f aca="false">IF(E576="","",LEFT(R576,S576)&amp;REPT("0",4-S576)&amp;RIGHT("000"&amp;IFERROR(VALUE(MID(R576,S576+1,9)),0),3)&amp;RIGHT("0000"&amp;IFERROR(VALUE(MID(E576,FIND("-",E576)+1,9)),0),4))</f>
        <v/>
      </c>
      <c r="U576" s="0" t="str">
        <f aca="false">IF(I576=1,"K"&amp;RIGHT("00"&amp;A576,2)&amp;T576&amp;RIGHT("00000"&amp;ROW(),5),"")</f>
        <v/>
      </c>
      <c r="V576" s="0" t="str">
        <f aca="false">IF(U576="","",COUNTIFS($I$2:$I$1201,1,$U$2:$U$1201,"&lt;"&amp;U576)+1)</f>
        <v/>
      </c>
    </row>
    <row r="577" customFormat="false" ht="15" hidden="false" customHeight="false" outlineLevel="0" collapsed="false">
      <c r="A577" s="0" t="n">
        <v>10</v>
      </c>
      <c r="B577" s="0" t="n">
        <v>36</v>
      </c>
      <c r="C577" s="0" t="str">
        <f aca="false">TRIM(SUBSTITUTE(INDEX(LISTAS!$A$4:$T$63,B577,A577)&amp;"",CHAR(160)," "))</f>
        <v/>
      </c>
      <c r="D577" s="0" t="str">
        <f aca="false">IF(C577="","",TRIM(RIGHT(SUBSTITUTE(C577," ",REPT(" ",100)),100)))</f>
        <v/>
      </c>
      <c r="E577" s="0" t="str">
        <f aca="false">IF(D577="","",UPPER(SUBSTITUTE(SUBSTITUTE(D577,"(",""),")","")))</f>
        <v/>
      </c>
      <c r="F577" s="0" t="str">
        <f aca="false">IF(C577="","",LEFT(C577,FIND(" ",C577&amp;" ")-1))</f>
        <v/>
      </c>
      <c r="G577" s="0" t="n">
        <f aca="false">IFERROR(VALUE(SUBSTITUTE(LOWER(F577),"x","")),0)</f>
        <v>0</v>
      </c>
      <c r="H577" s="0" t="str">
        <f aca="false">IF(C577="","",TRIM(MID(C577,LEN(F577)+2,999)))</f>
        <v/>
      </c>
      <c r="I577" s="0" t="n">
        <f aca="false">IF(OR(C577="",LEFT(C577,2)="//"),0,IFERROR(IF(AND(G577&gt;0,G577=INT(G577),FIND("-",E577)&gt;1,NOT(EXACT(UPPER(LEFT(E577,1)),LOWER(LEFT(E577,1)))),ISNUMBER(VALUE(MID(E577,FIND("-",E577)+1,10)))),1,0),0))</f>
        <v>0</v>
      </c>
      <c r="J577" s="0" t="str">
        <f aca="false">IF(I577=1,TRIM(LEFT(H577,MAX(0,LEN(H577)-LEN(D577)))),"")</f>
        <v/>
      </c>
      <c r="K577" s="0" t="str">
        <f aca="false">INDEX($P$2:$P$21,A577)</f>
        <v>Deck 10</v>
      </c>
      <c r="L577" s="0" t="n">
        <f aca="false">IF(AND(C577&lt;&gt;"",LEFT(C577,2)&lt;&gt;"//",I577=0),1,0)</f>
        <v>0</v>
      </c>
      <c r="M577" s="0" t="str">
        <f aca="false">IF(I577=1,MAX(M$1:M576)+1,"")</f>
        <v/>
      </c>
      <c r="N577" s="0" t="str">
        <f aca="false">IFERROR(MATCH(ROW()-1,$V$2:$V$1201,0),"")</f>
        <v/>
      </c>
      <c r="R577" s="0" t="str">
        <f aca="false">IF(E577="","",IFERROR(LEFT(E577,FIND("-",E577)-1),E577))</f>
        <v/>
      </c>
      <c r="S577" s="0" t="str">
        <f aca="false">IF(R577="","",IF(ISNUMBER(--MID(R577,1,1)),0,IF(ISNUMBER(--MID(R577,2,1)),1,IF(ISNUMBER(--MID(R577,3,1)),2,IF(ISNUMBER(--MID(R577,4,1)),3,MIN(LEN(R577),4))))))</f>
        <v/>
      </c>
      <c r="T577" s="0" t="str">
        <f aca="false">IF(E577="","",LEFT(R577,S577)&amp;REPT("0",4-S577)&amp;RIGHT("000"&amp;IFERROR(VALUE(MID(R577,S577+1,9)),0),3)&amp;RIGHT("0000"&amp;IFERROR(VALUE(MID(E577,FIND("-",E577)+1,9)),0),4))</f>
        <v/>
      </c>
      <c r="U577" s="0" t="str">
        <f aca="false">IF(I577=1,"K"&amp;RIGHT("00"&amp;A577,2)&amp;T577&amp;RIGHT("00000"&amp;ROW(),5),"")</f>
        <v/>
      </c>
      <c r="V577" s="0" t="str">
        <f aca="false">IF(U577="","",COUNTIFS($I$2:$I$1201,1,$U$2:$U$1201,"&lt;"&amp;U577)+1)</f>
        <v/>
      </c>
    </row>
    <row r="578" customFormat="false" ht="15" hidden="false" customHeight="false" outlineLevel="0" collapsed="false">
      <c r="A578" s="0" t="n">
        <v>10</v>
      </c>
      <c r="B578" s="0" t="n">
        <v>37</v>
      </c>
      <c r="C578" s="0" t="str">
        <f aca="false">TRIM(SUBSTITUTE(INDEX(LISTAS!$A$4:$T$63,B578,A578)&amp;"",CHAR(160)," "))</f>
        <v/>
      </c>
      <c r="D578" s="0" t="str">
        <f aca="false">IF(C578="","",TRIM(RIGHT(SUBSTITUTE(C578," ",REPT(" ",100)),100)))</f>
        <v/>
      </c>
      <c r="E578" s="0" t="str">
        <f aca="false">IF(D578="","",UPPER(SUBSTITUTE(SUBSTITUTE(D578,"(",""),")","")))</f>
        <v/>
      </c>
      <c r="F578" s="0" t="str">
        <f aca="false">IF(C578="","",LEFT(C578,FIND(" ",C578&amp;" ")-1))</f>
        <v/>
      </c>
      <c r="G578" s="0" t="n">
        <f aca="false">IFERROR(VALUE(SUBSTITUTE(LOWER(F578),"x","")),0)</f>
        <v>0</v>
      </c>
      <c r="H578" s="0" t="str">
        <f aca="false">IF(C578="","",TRIM(MID(C578,LEN(F578)+2,999)))</f>
        <v/>
      </c>
      <c r="I578" s="0" t="n">
        <f aca="false">IF(OR(C578="",LEFT(C578,2)="//"),0,IFERROR(IF(AND(G578&gt;0,G578=INT(G578),FIND("-",E578)&gt;1,NOT(EXACT(UPPER(LEFT(E578,1)),LOWER(LEFT(E578,1)))),ISNUMBER(VALUE(MID(E578,FIND("-",E578)+1,10)))),1,0),0))</f>
        <v>0</v>
      </c>
      <c r="J578" s="0" t="str">
        <f aca="false">IF(I578=1,TRIM(LEFT(H578,MAX(0,LEN(H578)-LEN(D578)))),"")</f>
        <v/>
      </c>
      <c r="K578" s="0" t="str">
        <f aca="false">INDEX($P$2:$P$21,A578)</f>
        <v>Deck 10</v>
      </c>
      <c r="L578" s="0" t="n">
        <f aca="false">IF(AND(C578&lt;&gt;"",LEFT(C578,2)&lt;&gt;"//",I578=0),1,0)</f>
        <v>0</v>
      </c>
      <c r="M578" s="0" t="str">
        <f aca="false">IF(I578=1,MAX(M$1:M577)+1,"")</f>
        <v/>
      </c>
      <c r="N578" s="0" t="str">
        <f aca="false">IFERROR(MATCH(ROW()-1,$V$2:$V$1201,0),"")</f>
        <v/>
      </c>
      <c r="R578" s="0" t="str">
        <f aca="false">IF(E578="","",IFERROR(LEFT(E578,FIND("-",E578)-1),E578))</f>
        <v/>
      </c>
      <c r="S578" s="0" t="str">
        <f aca="false">IF(R578="","",IF(ISNUMBER(--MID(R578,1,1)),0,IF(ISNUMBER(--MID(R578,2,1)),1,IF(ISNUMBER(--MID(R578,3,1)),2,IF(ISNUMBER(--MID(R578,4,1)),3,MIN(LEN(R578),4))))))</f>
        <v/>
      </c>
      <c r="T578" s="0" t="str">
        <f aca="false">IF(E578="","",LEFT(R578,S578)&amp;REPT("0",4-S578)&amp;RIGHT("000"&amp;IFERROR(VALUE(MID(R578,S578+1,9)),0),3)&amp;RIGHT("0000"&amp;IFERROR(VALUE(MID(E578,FIND("-",E578)+1,9)),0),4))</f>
        <v/>
      </c>
      <c r="U578" s="0" t="str">
        <f aca="false">IF(I578=1,"K"&amp;RIGHT("00"&amp;A578,2)&amp;T578&amp;RIGHT("00000"&amp;ROW(),5),"")</f>
        <v/>
      </c>
      <c r="V578" s="0" t="str">
        <f aca="false">IF(U578="","",COUNTIFS($I$2:$I$1201,1,$U$2:$U$1201,"&lt;"&amp;U578)+1)</f>
        <v/>
      </c>
    </row>
    <row r="579" customFormat="false" ht="15" hidden="false" customHeight="false" outlineLevel="0" collapsed="false">
      <c r="A579" s="0" t="n">
        <v>10</v>
      </c>
      <c r="B579" s="0" t="n">
        <v>38</v>
      </c>
      <c r="C579" s="0" t="str">
        <f aca="false">TRIM(SUBSTITUTE(INDEX(LISTAS!$A$4:$T$63,B579,A579)&amp;"",CHAR(160)," "))</f>
        <v/>
      </c>
      <c r="D579" s="0" t="str">
        <f aca="false">IF(C579="","",TRIM(RIGHT(SUBSTITUTE(C579," ",REPT(" ",100)),100)))</f>
        <v/>
      </c>
      <c r="E579" s="0" t="str">
        <f aca="false">IF(D579="","",UPPER(SUBSTITUTE(SUBSTITUTE(D579,"(",""),")","")))</f>
        <v/>
      </c>
      <c r="F579" s="0" t="str">
        <f aca="false">IF(C579="","",LEFT(C579,FIND(" ",C579&amp;" ")-1))</f>
        <v/>
      </c>
      <c r="G579" s="0" t="n">
        <f aca="false">IFERROR(VALUE(SUBSTITUTE(LOWER(F579),"x","")),0)</f>
        <v>0</v>
      </c>
      <c r="H579" s="0" t="str">
        <f aca="false">IF(C579="","",TRIM(MID(C579,LEN(F579)+2,999)))</f>
        <v/>
      </c>
      <c r="I579" s="0" t="n">
        <f aca="false">IF(OR(C579="",LEFT(C579,2)="//"),0,IFERROR(IF(AND(G579&gt;0,G579=INT(G579),FIND("-",E579)&gt;1,NOT(EXACT(UPPER(LEFT(E579,1)),LOWER(LEFT(E579,1)))),ISNUMBER(VALUE(MID(E579,FIND("-",E579)+1,10)))),1,0),0))</f>
        <v>0</v>
      </c>
      <c r="J579" s="0" t="str">
        <f aca="false">IF(I579=1,TRIM(LEFT(H579,MAX(0,LEN(H579)-LEN(D579)))),"")</f>
        <v/>
      </c>
      <c r="K579" s="0" t="str">
        <f aca="false">INDEX($P$2:$P$21,A579)</f>
        <v>Deck 10</v>
      </c>
      <c r="L579" s="0" t="n">
        <f aca="false">IF(AND(C579&lt;&gt;"",LEFT(C579,2)&lt;&gt;"//",I579=0),1,0)</f>
        <v>0</v>
      </c>
      <c r="M579" s="0" t="str">
        <f aca="false">IF(I579=1,MAX(M$1:M578)+1,"")</f>
        <v/>
      </c>
      <c r="N579" s="0" t="str">
        <f aca="false">IFERROR(MATCH(ROW()-1,$V$2:$V$1201,0),"")</f>
        <v/>
      </c>
      <c r="R579" s="0" t="str">
        <f aca="false">IF(E579="","",IFERROR(LEFT(E579,FIND("-",E579)-1),E579))</f>
        <v/>
      </c>
      <c r="S579" s="0" t="str">
        <f aca="false">IF(R579="","",IF(ISNUMBER(--MID(R579,1,1)),0,IF(ISNUMBER(--MID(R579,2,1)),1,IF(ISNUMBER(--MID(R579,3,1)),2,IF(ISNUMBER(--MID(R579,4,1)),3,MIN(LEN(R579),4))))))</f>
        <v/>
      </c>
      <c r="T579" s="0" t="str">
        <f aca="false">IF(E579="","",LEFT(R579,S579)&amp;REPT("0",4-S579)&amp;RIGHT("000"&amp;IFERROR(VALUE(MID(R579,S579+1,9)),0),3)&amp;RIGHT("0000"&amp;IFERROR(VALUE(MID(E579,FIND("-",E579)+1,9)),0),4))</f>
        <v/>
      </c>
      <c r="U579" s="0" t="str">
        <f aca="false">IF(I579=1,"K"&amp;RIGHT("00"&amp;A579,2)&amp;T579&amp;RIGHT("00000"&amp;ROW(),5),"")</f>
        <v/>
      </c>
      <c r="V579" s="0" t="str">
        <f aca="false">IF(U579="","",COUNTIFS($I$2:$I$1201,1,$U$2:$U$1201,"&lt;"&amp;U579)+1)</f>
        <v/>
      </c>
    </row>
    <row r="580" customFormat="false" ht="15" hidden="false" customHeight="false" outlineLevel="0" collapsed="false">
      <c r="A580" s="0" t="n">
        <v>10</v>
      </c>
      <c r="B580" s="0" t="n">
        <v>39</v>
      </c>
      <c r="C580" s="0" t="str">
        <f aca="false">TRIM(SUBSTITUTE(INDEX(LISTAS!$A$4:$T$63,B580,A580)&amp;"",CHAR(160)," "))</f>
        <v/>
      </c>
      <c r="D580" s="0" t="str">
        <f aca="false">IF(C580="","",TRIM(RIGHT(SUBSTITUTE(C580," ",REPT(" ",100)),100)))</f>
        <v/>
      </c>
      <c r="E580" s="0" t="str">
        <f aca="false">IF(D580="","",UPPER(SUBSTITUTE(SUBSTITUTE(D580,"(",""),")","")))</f>
        <v/>
      </c>
      <c r="F580" s="0" t="str">
        <f aca="false">IF(C580="","",LEFT(C580,FIND(" ",C580&amp;" ")-1))</f>
        <v/>
      </c>
      <c r="G580" s="0" t="n">
        <f aca="false">IFERROR(VALUE(SUBSTITUTE(LOWER(F580),"x","")),0)</f>
        <v>0</v>
      </c>
      <c r="H580" s="0" t="str">
        <f aca="false">IF(C580="","",TRIM(MID(C580,LEN(F580)+2,999)))</f>
        <v/>
      </c>
      <c r="I580" s="0" t="n">
        <f aca="false">IF(OR(C580="",LEFT(C580,2)="//"),0,IFERROR(IF(AND(G580&gt;0,G580=INT(G580),FIND("-",E580)&gt;1,NOT(EXACT(UPPER(LEFT(E580,1)),LOWER(LEFT(E580,1)))),ISNUMBER(VALUE(MID(E580,FIND("-",E580)+1,10)))),1,0),0))</f>
        <v>0</v>
      </c>
      <c r="J580" s="0" t="str">
        <f aca="false">IF(I580=1,TRIM(LEFT(H580,MAX(0,LEN(H580)-LEN(D580)))),"")</f>
        <v/>
      </c>
      <c r="K580" s="0" t="str">
        <f aca="false">INDEX($P$2:$P$21,A580)</f>
        <v>Deck 10</v>
      </c>
      <c r="L580" s="0" t="n">
        <f aca="false">IF(AND(C580&lt;&gt;"",LEFT(C580,2)&lt;&gt;"//",I580=0),1,0)</f>
        <v>0</v>
      </c>
      <c r="M580" s="0" t="str">
        <f aca="false">IF(I580=1,MAX(M$1:M579)+1,"")</f>
        <v/>
      </c>
      <c r="N580" s="0" t="str">
        <f aca="false">IFERROR(MATCH(ROW()-1,$V$2:$V$1201,0),"")</f>
        <v/>
      </c>
      <c r="R580" s="0" t="str">
        <f aca="false">IF(E580="","",IFERROR(LEFT(E580,FIND("-",E580)-1),E580))</f>
        <v/>
      </c>
      <c r="S580" s="0" t="str">
        <f aca="false">IF(R580="","",IF(ISNUMBER(--MID(R580,1,1)),0,IF(ISNUMBER(--MID(R580,2,1)),1,IF(ISNUMBER(--MID(R580,3,1)),2,IF(ISNUMBER(--MID(R580,4,1)),3,MIN(LEN(R580),4))))))</f>
        <v/>
      </c>
      <c r="T580" s="0" t="str">
        <f aca="false">IF(E580="","",LEFT(R580,S580)&amp;REPT("0",4-S580)&amp;RIGHT("000"&amp;IFERROR(VALUE(MID(R580,S580+1,9)),0),3)&amp;RIGHT("0000"&amp;IFERROR(VALUE(MID(E580,FIND("-",E580)+1,9)),0),4))</f>
        <v/>
      </c>
      <c r="U580" s="0" t="str">
        <f aca="false">IF(I580=1,"K"&amp;RIGHT("00"&amp;A580,2)&amp;T580&amp;RIGHT("00000"&amp;ROW(),5),"")</f>
        <v/>
      </c>
      <c r="V580" s="0" t="str">
        <f aca="false">IF(U580="","",COUNTIFS($I$2:$I$1201,1,$U$2:$U$1201,"&lt;"&amp;U580)+1)</f>
        <v/>
      </c>
    </row>
    <row r="581" customFormat="false" ht="15" hidden="false" customHeight="false" outlineLevel="0" collapsed="false">
      <c r="A581" s="0" t="n">
        <v>10</v>
      </c>
      <c r="B581" s="0" t="n">
        <v>40</v>
      </c>
      <c r="C581" s="0" t="str">
        <f aca="false">TRIM(SUBSTITUTE(INDEX(LISTAS!$A$4:$T$63,B581,A581)&amp;"",CHAR(160)," "))</f>
        <v/>
      </c>
      <c r="D581" s="0" t="str">
        <f aca="false">IF(C581="","",TRIM(RIGHT(SUBSTITUTE(C581," ",REPT(" ",100)),100)))</f>
        <v/>
      </c>
      <c r="E581" s="0" t="str">
        <f aca="false">IF(D581="","",UPPER(SUBSTITUTE(SUBSTITUTE(D581,"(",""),")","")))</f>
        <v/>
      </c>
      <c r="F581" s="0" t="str">
        <f aca="false">IF(C581="","",LEFT(C581,FIND(" ",C581&amp;" ")-1))</f>
        <v/>
      </c>
      <c r="G581" s="0" t="n">
        <f aca="false">IFERROR(VALUE(SUBSTITUTE(LOWER(F581),"x","")),0)</f>
        <v>0</v>
      </c>
      <c r="H581" s="0" t="str">
        <f aca="false">IF(C581="","",TRIM(MID(C581,LEN(F581)+2,999)))</f>
        <v/>
      </c>
      <c r="I581" s="0" t="n">
        <f aca="false">IF(OR(C581="",LEFT(C581,2)="//"),0,IFERROR(IF(AND(G581&gt;0,G581=INT(G581),FIND("-",E581)&gt;1,NOT(EXACT(UPPER(LEFT(E581,1)),LOWER(LEFT(E581,1)))),ISNUMBER(VALUE(MID(E581,FIND("-",E581)+1,10)))),1,0),0))</f>
        <v>0</v>
      </c>
      <c r="J581" s="0" t="str">
        <f aca="false">IF(I581=1,TRIM(LEFT(H581,MAX(0,LEN(H581)-LEN(D581)))),"")</f>
        <v/>
      </c>
      <c r="K581" s="0" t="str">
        <f aca="false">INDEX($P$2:$P$21,A581)</f>
        <v>Deck 10</v>
      </c>
      <c r="L581" s="0" t="n">
        <f aca="false">IF(AND(C581&lt;&gt;"",LEFT(C581,2)&lt;&gt;"//",I581=0),1,0)</f>
        <v>0</v>
      </c>
      <c r="M581" s="0" t="str">
        <f aca="false">IF(I581=1,MAX(M$1:M580)+1,"")</f>
        <v/>
      </c>
      <c r="N581" s="0" t="str">
        <f aca="false">IFERROR(MATCH(ROW()-1,$V$2:$V$1201,0),"")</f>
        <v/>
      </c>
      <c r="R581" s="0" t="str">
        <f aca="false">IF(E581="","",IFERROR(LEFT(E581,FIND("-",E581)-1),E581))</f>
        <v/>
      </c>
      <c r="S581" s="0" t="str">
        <f aca="false">IF(R581="","",IF(ISNUMBER(--MID(R581,1,1)),0,IF(ISNUMBER(--MID(R581,2,1)),1,IF(ISNUMBER(--MID(R581,3,1)),2,IF(ISNUMBER(--MID(R581,4,1)),3,MIN(LEN(R581),4))))))</f>
        <v/>
      </c>
      <c r="T581" s="0" t="str">
        <f aca="false">IF(E581="","",LEFT(R581,S581)&amp;REPT("0",4-S581)&amp;RIGHT("000"&amp;IFERROR(VALUE(MID(R581,S581+1,9)),0),3)&amp;RIGHT("0000"&amp;IFERROR(VALUE(MID(E581,FIND("-",E581)+1,9)),0),4))</f>
        <v/>
      </c>
      <c r="U581" s="0" t="str">
        <f aca="false">IF(I581=1,"K"&amp;RIGHT("00"&amp;A581,2)&amp;T581&amp;RIGHT("00000"&amp;ROW(),5),"")</f>
        <v/>
      </c>
      <c r="V581" s="0" t="str">
        <f aca="false">IF(U581="","",COUNTIFS($I$2:$I$1201,1,$U$2:$U$1201,"&lt;"&amp;U581)+1)</f>
        <v/>
      </c>
    </row>
    <row r="582" customFormat="false" ht="15" hidden="false" customHeight="false" outlineLevel="0" collapsed="false">
      <c r="A582" s="0" t="n">
        <v>10</v>
      </c>
      <c r="B582" s="0" t="n">
        <v>41</v>
      </c>
      <c r="C582" s="0" t="str">
        <f aca="false">TRIM(SUBSTITUTE(INDEX(LISTAS!$A$4:$T$63,B582,A582)&amp;"",CHAR(160)," "))</f>
        <v/>
      </c>
      <c r="D582" s="0" t="str">
        <f aca="false">IF(C582="","",TRIM(RIGHT(SUBSTITUTE(C582," ",REPT(" ",100)),100)))</f>
        <v/>
      </c>
      <c r="E582" s="0" t="str">
        <f aca="false">IF(D582="","",UPPER(SUBSTITUTE(SUBSTITUTE(D582,"(",""),")","")))</f>
        <v/>
      </c>
      <c r="F582" s="0" t="str">
        <f aca="false">IF(C582="","",LEFT(C582,FIND(" ",C582&amp;" ")-1))</f>
        <v/>
      </c>
      <c r="G582" s="0" t="n">
        <f aca="false">IFERROR(VALUE(SUBSTITUTE(LOWER(F582),"x","")),0)</f>
        <v>0</v>
      </c>
      <c r="H582" s="0" t="str">
        <f aca="false">IF(C582="","",TRIM(MID(C582,LEN(F582)+2,999)))</f>
        <v/>
      </c>
      <c r="I582" s="0" t="n">
        <f aca="false">IF(OR(C582="",LEFT(C582,2)="//"),0,IFERROR(IF(AND(G582&gt;0,G582=INT(G582),FIND("-",E582)&gt;1,NOT(EXACT(UPPER(LEFT(E582,1)),LOWER(LEFT(E582,1)))),ISNUMBER(VALUE(MID(E582,FIND("-",E582)+1,10)))),1,0),0))</f>
        <v>0</v>
      </c>
      <c r="J582" s="0" t="str">
        <f aca="false">IF(I582=1,TRIM(LEFT(H582,MAX(0,LEN(H582)-LEN(D582)))),"")</f>
        <v/>
      </c>
      <c r="K582" s="0" t="str">
        <f aca="false">INDEX($P$2:$P$21,A582)</f>
        <v>Deck 10</v>
      </c>
      <c r="L582" s="0" t="n">
        <f aca="false">IF(AND(C582&lt;&gt;"",LEFT(C582,2)&lt;&gt;"//",I582=0),1,0)</f>
        <v>0</v>
      </c>
      <c r="M582" s="0" t="str">
        <f aca="false">IF(I582=1,MAX(M$1:M581)+1,"")</f>
        <v/>
      </c>
      <c r="N582" s="0" t="str">
        <f aca="false">IFERROR(MATCH(ROW()-1,$V$2:$V$1201,0),"")</f>
        <v/>
      </c>
      <c r="R582" s="0" t="str">
        <f aca="false">IF(E582="","",IFERROR(LEFT(E582,FIND("-",E582)-1),E582))</f>
        <v/>
      </c>
      <c r="S582" s="0" t="str">
        <f aca="false">IF(R582="","",IF(ISNUMBER(--MID(R582,1,1)),0,IF(ISNUMBER(--MID(R582,2,1)),1,IF(ISNUMBER(--MID(R582,3,1)),2,IF(ISNUMBER(--MID(R582,4,1)),3,MIN(LEN(R582),4))))))</f>
        <v/>
      </c>
      <c r="T582" s="0" t="str">
        <f aca="false">IF(E582="","",LEFT(R582,S582)&amp;REPT("0",4-S582)&amp;RIGHT("000"&amp;IFERROR(VALUE(MID(R582,S582+1,9)),0),3)&amp;RIGHT("0000"&amp;IFERROR(VALUE(MID(E582,FIND("-",E582)+1,9)),0),4))</f>
        <v/>
      </c>
      <c r="U582" s="0" t="str">
        <f aca="false">IF(I582=1,"K"&amp;RIGHT("00"&amp;A582,2)&amp;T582&amp;RIGHT("00000"&amp;ROW(),5),"")</f>
        <v/>
      </c>
      <c r="V582" s="0" t="str">
        <f aca="false">IF(U582="","",COUNTIFS($I$2:$I$1201,1,$U$2:$U$1201,"&lt;"&amp;U582)+1)</f>
        <v/>
      </c>
    </row>
    <row r="583" customFormat="false" ht="15" hidden="false" customHeight="false" outlineLevel="0" collapsed="false">
      <c r="A583" s="0" t="n">
        <v>10</v>
      </c>
      <c r="B583" s="0" t="n">
        <v>42</v>
      </c>
      <c r="C583" s="0" t="str">
        <f aca="false">TRIM(SUBSTITUTE(INDEX(LISTAS!$A$4:$T$63,B583,A583)&amp;"",CHAR(160)," "))</f>
        <v/>
      </c>
      <c r="D583" s="0" t="str">
        <f aca="false">IF(C583="","",TRIM(RIGHT(SUBSTITUTE(C583," ",REPT(" ",100)),100)))</f>
        <v/>
      </c>
      <c r="E583" s="0" t="str">
        <f aca="false">IF(D583="","",UPPER(SUBSTITUTE(SUBSTITUTE(D583,"(",""),")","")))</f>
        <v/>
      </c>
      <c r="F583" s="0" t="str">
        <f aca="false">IF(C583="","",LEFT(C583,FIND(" ",C583&amp;" ")-1))</f>
        <v/>
      </c>
      <c r="G583" s="0" t="n">
        <f aca="false">IFERROR(VALUE(SUBSTITUTE(LOWER(F583),"x","")),0)</f>
        <v>0</v>
      </c>
      <c r="H583" s="0" t="str">
        <f aca="false">IF(C583="","",TRIM(MID(C583,LEN(F583)+2,999)))</f>
        <v/>
      </c>
      <c r="I583" s="0" t="n">
        <f aca="false">IF(OR(C583="",LEFT(C583,2)="//"),0,IFERROR(IF(AND(G583&gt;0,G583=INT(G583),FIND("-",E583)&gt;1,NOT(EXACT(UPPER(LEFT(E583,1)),LOWER(LEFT(E583,1)))),ISNUMBER(VALUE(MID(E583,FIND("-",E583)+1,10)))),1,0),0))</f>
        <v>0</v>
      </c>
      <c r="J583" s="0" t="str">
        <f aca="false">IF(I583=1,TRIM(LEFT(H583,MAX(0,LEN(H583)-LEN(D583)))),"")</f>
        <v/>
      </c>
      <c r="K583" s="0" t="str">
        <f aca="false">INDEX($P$2:$P$21,A583)</f>
        <v>Deck 10</v>
      </c>
      <c r="L583" s="0" t="n">
        <f aca="false">IF(AND(C583&lt;&gt;"",LEFT(C583,2)&lt;&gt;"//",I583=0),1,0)</f>
        <v>0</v>
      </c>
      <c r="M583" s="0" t="str">
        <f aca="false">IF(I583=1,MAX(M$1:M582)+1,"")</f>
        <v/>
      </c>
      <c r="N583" s="0" t="str">
        <f aca="false">IFERROR(MATCH(ROW()-1,$V$2:$V$1201,0),"")</f>
        <v/>
      </c>
      <c r="R583" s="0" t="str">
        <f aca="false">IF(E583="","",IFERROR(LEFT(E583,FIND("-",E583)-1),E583))</f>
        <v/>
      </c>
      <c r="S583" s="0" t="str">
        <f aca="false">IF(R583="","",IF(ISNUMBER(--MID(R583,1,1)),0,IF(ISNUMBER(--MID(R583,2,1)),1,IF(ISNUMBER(--MID(R583,3,1)),2,IF(ISNUMBER(--MID(R583,4,1)),3,MIN(LEN(R583),4))))))</f>
        <v/>
      </c>
      <c r="T583" s="0" t="str">
        <f aca="false">IF(E583="","",LEFT(R583,S583)&amp;REPT("0",4-S583)&amp;RIGHT("000"&amp;IFERROR(VALUE(MID(R583,S583+1,9)),0),3)&amp;RIGHT("0000"&amp;IFERROR(VALUE(MID(E583,FIND("-",E583)+1,9)),0),4))</f>
        <v/>
      </c>
      <c r="U583" s="0" t="str">
        <f aca="false">IF(I583=1,"K"&amp;RIGHT("00"&amp;A583,2)&amp;T583&amp;RIGHT("00000"&amp;ROW(),5),"")</f>
        <v/>
      </c>
      <c r="V583" s="0" t="str">
        <f aca="false">IF(U583="","",COUNTIFS($I$2:$I$1201,1,$U$2:$U$1201,"&lt;"&amp;U583)+1)</f>
        <v/>
      </c>
    </row>
    <row r="584" customFormat="false" ht="15" hidden="false" customHeight="false" outlineLevel="0" collapsed="false">
      <c r="A584" s="0" t="n">
        <v>10</v>
      </c>
      <c r="B584" s="0" t="n">
        <v>43</v>
      </c>
      <c r="C584" s="0" t="str">
        <f aca="false">TRIM(SUBSTITUTE(INDEX(LISTAS!$A$4:$T$63,B584,A584)&amp;"",CHAR(160)," "))</f>
        <v/>
      </c>
      <c r="D584" s="0" t="str">
        <f aca="false">IF(C584="","",TRIM(RIGHT(SUBSTITUTE(C584," ",REPT(" ",100)),100)))</f>
        <v/>
      </c>
      <c r="E584" s="0" t="str">
        <f aca="false">IF(D584="","",UPPER(SUBSTITUTE(SUBSTITUTE(D584,"(",""),")","")))</f>
        <v/>
      </c>
      <c r="F584" s="0" t="str">
        <f aca="false">IF(C584="","",LEFT(C584,FIND(" ",C584&amp;" ")-1))</f>
        <v/>
      </c>
      <c r="G584" s="0" t="n">
        <f aca="false">IFERROR(VALUE(SUBSTITUTE(LOWER(F584),"x","")),0)</f>
        <v>0</v>
      </c>
      <c r="H584" s="0" t="str">
        <f aca="false">IF(C584="","",TRIM(MID(C584,LEN(F584)+2,999)))</f>
        <v/>
      </c>
      <c r="I584" s="0" t="n">
        <f aca="false">IF(OR(C584="",LEFT(C584,2)="//"),0,IFERROR(IF(AND(G584&gt;0,G584=INT(G584),FIND("-",E584)&gt;1,NOT(EXACT(UPPER(LEFT(E584,1)),LOWER(LEFT(E584,1)))),ISNUMBER(VALUE(MID(E584,FIND("-",E584)+1,10)))),1,0),0))</f>
        <v>0</v>
      </c>
      <c r="J584" s="0" t="str">
        <f aca="false">IF(I584=1,TRIM(LEFT(H584,MAX(0,LEN(H584)-LEN(D584)))),"")</f>
        <v/>
      </c>
      <c r="K584" s="0" t="str">
        <f aca="false">INDEX($P$2:$P$21,A584)</f>
        <v>Deck 10</v>
      </c>
      <c r="L584" s="0" t="n">
        <f aca="false">IF(AND(C584&lt;&gt;"",LEFT(C584,2)&lt;&gt;"//",I584=0),1,0)</f>
        <v>0</v>
      </c>
      <c r="M584" s="0" t="str">
        <f aca="false">IF(I584=1,MAX(M$1:M583)+1,"")</f>
        <v/>
      </c>
      <c r="N584" s="0" t="str">
        <f aca="false">IFERROR(MATCH(ROW()-1,$V$2:$V$1201,0),"")</f>
        <v/>
      </c>
      <c r="R584" s="0" t="str">
        <f aca="false">IF(E584="","",IFERROR(LEFT(E584,FIND("-",E584)-1),E584))</f>
        <v/>
      </c>
      <c r="S584" s="0" t="str">
        <f aca="false">IF(R584="","",IF(ISNUMBER(--MID(R584,1,1)),0,IF(ISNUMBER(--MID(R584,2,1)),1,IF(ISNUMBER(--MID(R584,3,1)),2,IF(ISNUMBER(--MID(R584,4,1)),3,MIN(LEN(R584),4))))))</f>
        <v/>
      </c>
      <c r="T584" s="0" t="str">
        <f aca="false">IF(E584="","",LEFT(R584,S584)&amp;REPT("0",4-S584)&amp;RIGHT("000"&amp;IFERROR(VALUE(MID(R584,S584+1,9)),0),3)&amp;RIGHT("0000"&amp;IFERROR(VALUE(MID(E584,FIND("-",E584)+1,9)),0),4))</f>
        <v/>
      </c>
      <c r="U584" s="0" t="str">
        <f aca="false">IF(I584=1,"K"&amp;RIGHT("00"&amp;A584,2)&amp;T584&amp;RIGHT("00000"&amp;ROW(),5),"")</f>
        <v/>
      </c>
      <c r="V584" s="0" t="str">
        <f aca="false">IF(U584="","",COUNTIFS($I$2:$I$1201,1,$U$2:$U$1201,"&lt;"&amp;U584)+1)</f>
        <v/>
      </c>
    </row>
    <row r="585" customFormat="false" ht="15" hidden="false" customHeight="false" outlineLevel="0" collapsed="false">
      <c r="A585" s="0" t="n">
        <v>10</v>
      </c>
      <c r="B585" s="0" t="n">
        <v>44</v>
      </c>
      <c r="C585" s="0" t="str">
        <f aca="false">TRIM(SUBSTITUTE(INDEX(LISTAS!$A$4:$T$63,B585,A585)&amp;"",CHAR(160)," "))</f>
        <v/>
      </c>
      <c r="D585" s="0" t="str">
        <f aca="false">IF(C585="","",TRIM(RIGHT(SUBSTITUTE(C585," ",REPT(" ",100)),100)))</f>
        <v/>
      </c>
      <c r="E585" s="0" t="str">
        <f aca="false">IF(D585="","",UPPER(SUBSTITUTE(SUBSTITUTE(D585,"(",""),")","")))</f>
        <v/>
      </c>
      <c r="F585" s="0" t="str">
        <f aca="false">IF(C585="","",LEFT(C585,FIND(" ",C585&amp;" ")-1))</f>
        <v/>
      </c>
      <c r="G585" s="0" t="n">
        <f aca="false">IFERROR(VALUE(SUBSTITUTE(LOWER(F585),"x","")),0)</f>
        <v>0</v>
      </c>
      <c r="H585" s="0" t="str">
        <f aca="false">IF(C585="","",TRIM(MID(C585,LEN(F585)+2,999)))</f>
        <v/>
      </c>
      <c r="I585" s="0" t="n">
        <f aca="false">IF(OR(C585="",LEFT(C585,2)="//"),0,IFERROR(IF(AND(G585&gt;0,G585=INT(G585),FIND("-",E585)&gt;1,NOT(EXACT(UPPER(LEFT(E585,1)),LOWER(LEFT(E585,1)))),ISNUMBER(VALUE(MID(E585,FIND("-",E585)+1,10)))),1,0),0))</f>
        <v>0</v>
      </c>
      <c r="J585" s="0" t="str">
        <f aca="false">IF(I585=1,TRIM(LEFT(H585,MAX(0,LEN(H585)-LEN(D585)))),"")</f>
        <v/>
      </c>
      <c r="K585" s="0" t="str">
        <f aca="false">INDEX($P$2:$P$21,A585)</f>
        <v>Deck 10</v>
      </c>
      <c r="L585" s="0" t="n">
        <f aca="false">IF(AND(C585&lt;&gt;"",LEFT(C585,2)&lt;&gt;"//",I585=0),1,0)</f>
        <v>0</v>
      </c>
      <c r="M585" s="0" t="str">
        <f aca="false">IF(I585=1,MAX(M$1:M584)+1,"")</f>
        <v/>
      </c>
      <c r="N585" s="0" t="str">
        <f aca="false">IFERROR(MATCH(ROW()-1,$V$2:$V$1201,0),"")</f>
        <v/>
      </c>
      <c r="R585" s="0" t="str">
        <f aca="false">IF(E585="","",IFERROR(LEFT(E585,FIND("-",E585)-1),E585))</f>
        <v/>
      </c>
      <c r="S585" s="0" t="str">
        <f aca="false">IF(R585="","",IF(ISNUMBER(--MID(R585,1,1)),0,IF(ISNUMBER(--MID(R585,2,1)),1,IF(ISNUMBER(--MID(R585,3,1)),2,IF(ISNUMBER(--MID(R585,4,1)),3,MIN(LEN(R585),4))))))</f>
        <v/>
      </c>
      <c r="T585" s="0" t="str">
        <f aca="false">IF(E585="","",LEFT(R585,S585)&amp;REPT("0",4-S585)&amp;RIGHT("000"&amp;IFERROR(VALUE(MID(R585,S585+1,9)),0),3)&amp;RIGHT("0000"&amp;IFERROR(VALUE(MID(E585,FIND("-",E585)+1,9)),0),4))</f>
        <v/>
      </c>
      <c r="U585" s="0" t="str">
        <f aca="false">IF(I585=1,"K"&amp;RIGHT("00"&amp;A585,2)&amp;T585&amp;RIGHT("00000"&amp;ROW(),5),"")</f>
        <v/>
      </c>
      <c r="V585" s="0" t="str">
        <f aca="false">IF(U585="","",COUNTIFS($I$2:$I$1201,1,$U$2:$U$1201,"&lt;"&amp;U585)+1)</f>
        <v/>
      </c>
    </row>
    <row r="586" customFormat="false" ht="15" hidden="false" customHeight="false" outlineLevel="0" collapsed="false">
      <c r="A586" s="0" t="n">
        <v>10</v>
      </c>
      <c r="B586" s="0" t="n">
        <v>45</v>
      </c>
      <c r="C586" s="0" t="str">
        <f aca="false">TRIM(SUBSTITUTE(INDEX(LISTAS!$A$4:$T$63,B586,A586)&amp;"",CHAR(160)," "))</f>
        <v/>
      </c>
      <c r="D586" s="0" t="str">
        <f aca="false">IF(C586="","",TRIM(RIGHT(SUBSTITUTE(C586," ",REPT(" ",100)),100)))</f>
        <v/>
      </c>
      <c r="E586" s="0" t="str">
        <f aca="false">IF(D586="","",UPPER(SUBSTITUTE(SUBSTITUTE(D586,"(",""),")","")))</f>
        <v/>
      </c>
      <c r="F586" s="0" t="str">
        <f aca="false">IF(C586="","",LEFT(C586,FIND(" ",C586&amp;" ")-1))</f>
        <v/>
      </c>
      <c r="G586" s="0" t="n">
        <f aca="false">IFERROR(VALUE(SUBSTITUTE(LOWER(F586),"x","")),0)</f>
        <v>0</v>
      </c>
      <c r="H586" s="0" t="str">
        <f aca="false">IF(C586="","",TRIM(MID(C586,LEN(F586)+2,999)))</f>
        <v/>
      </c>
      <c r="I586" s="0" t="n">
        <f aca="false">IF(OR(C586="",LEFT(C586,2)="//"),0,IFERROR(IF(AND(G586&gt;0,G586=INT(G586),FIND("-",E586)&gt;1,NOT(EXACT(UPPER(LEFT(E586,1)),LOWER(LEFT(E586,1)))),ISNUMBER(VALUE(MID(E586,FIND("-",E586)+1,10)))),1,0),0))</f>
        <v>0</v>
      </c>
      <c r="J586" s="0" t="str">
        <f aca="false">IF(I586=1,TRIM(LEFT(H586,MAX(0,LEN(H586)-LEN(D586)))),"")</f>
        <v/>
      </c>
      <c r="K586" s="0" t="str">
        <f aca="false">INDEX($P$2:$P$21,A586)</f>
        <v>Deck 10</v>
      </c>
      <c r="L586" s="0" t="n">
        <f aca="false">IF(AND(C586&lt;&gt;"",LEFT(C586,2)&lt;&gt;"//",I586=0),1,0)</f>
        <v>0</v>
      </c>
      <c r="M586" s="0" t="str">
        <f aca="false">IF(I586=1,MAX(M$1:M585)+1,"")</f>
        <v/>
      </c>
      <c r="N586" s="0" t="str">
        <f aca="false">IFERROR(MATCH(ROW()-1,$V$2:$V$1201,0),"")</f>
        <v/>
      </c>
      <c r="R586" s="0" t="str">
        <f aca="false">IF(E586="","",IFERROR(LEFT(E586,FIND("-",E586)-1),E586))</f>
        <v/>
      </c>
      <c r="S586" s="0" t="str">
        <f aca="false">IF(R586="","",IF(ISNUMBER(--MID(R586,1,1)),0,IF(ISNUMBER(--MID(R586,2,1)),1,IF(ISNUMBER(--MID(R586,3,1)),2,IF(ISNUMBER(--MID(R586,4,1)),3,MIN(LEN(R586),4))))))</f>
        <v/>
      </c>
      <c r="T586" s="0" t="str">
        <f aca="false">IF(E586="","",LEFT(R586,S586)&amp;REPT("0",4-S586)&amp;RIGHT("000"&amp;IFERROR(VALUE(MID(R586,S586+1,9)),0),3)&amp;RIGHT("0000"&amp;IFERROR(VALUE(MID(E586,FIND("-",E586)+1,9)),0),4))</f>
        <v/>
      </c>
      <c r="U586" s="0" t="str">
        <f aca="false">IF(I586=1,"K"&amp;RIGHT("00"&amp;A586,2)&amp;T586&amp;RIGHT("00000"&amp;ROW(),5),"")</f>
        <v/>
      </c>
      <c r="V586" s="0" t="str">
        <f aca="false">IF(U586="","",COUNTIFS($I$2:$I$1201,1,$U$2:$U$1201,"&lt;"&amp;U586)+1)</f>
        <v/>
      </c>
    </row>
    <row r="587" customFormat="false" ht="15" hidden="false" customHeight="false" outlineLevel="0" collapsed="false">
      <c r="A587" s="0" t="n">
        <v>10</v>
      </c>
      <c r="B587" s="0" t="n">
        <v>46</v>
      </c>
      <c r="C587" s="0" t="str">
        <f aca="false">TRIM(SUBSTITUTE(INDEX(LISTAS!$A$4:$T$63,B587,A587)&amp;"",CHAR(160)," "))</f>
        <v/>
      </c>
      <c r="D587" s="0" t="str">
        <f aca="false">IF(C587="","",TRIM(RIGHT(SUBSTITUTE(C587," ",REPT(" ",100)),100)))</f>
        <v/>
      </c>
      <c r="E587" s="0" t="str">
        <f aca="false">IF(D587="","",UPPER(SUBSTITUTE(SUBSTITUTE(D587,"(",""),")","")))</f>
        <v/>
      </c>
      <c r="F587" s="0" t="str">
        <f aca="false">IF(C587="","",LEFT(C587,FIND(" ",C587&amp;" ")-1))</f>
        <v/>
      </c>
      <c r="G587" s="0" t="n">
        <f aca="false">IFERROR(VALUE(SUBSTITUTE(LOWER(F587),"x","")),0)</f>
        <v>0</v>
      </c>
      <c r="H587" s="0" t="str">
        <f aca="false">IF(C587="","",TRIM(MID(C587,LEN(F587)+2,999)))</f>
        <v/>
      </c>
      <c r="I587" s="0" t="n">
        <f aca="false">IF(OR(C587="",LEFT(C587,2)="//"),0,IFERROR(IF(AND(G587&gt;0,G587=INT(G587),FIND("-",E587)&gt;1,NOT(EXACT(UPPER(LEFT(E587,1)),LOWER(LEFT(E587,1)))),ISNUMBER(VALUE(MID(E587,FIND("-",E587)+1,10)))),1,0),0))</f>
        <v>0</v>
      </c>
      <c r="J587" s="0" t="str">
        <f aca="false">IF(I587=1,TRIM(LEFT(H587,MAX(0,LEN(H587)-LEN(D587)))),"")</f>
        <v/>
      </c>
      <c r="K587" s="0" t="str">
        <f aca="false">INDEX($P$2:$P$21,A587)</f>
        <v>Deck 10</v>
      </c>
      <c r="L587" s="0" t="n">
        <f aca="false">IF(AND(C587&lt;&gt;"",LEFT(C587,2)&lt;&gt;"//",I587=0),1,0)</f>
        <v>0</v>
      </c>
      <c r="M587" s="0" t="str">
        <f aca="false">IF(I587=1,MAX(M$1:M586)+1,"")</f>
        <v/>
      </c>
      <c r="N587" s="0" t="str">
        <f aca="false">IFERROR(MATCH(ROW()-1,$V$2:$V$1201,0),"")</f>
        <v/>
      </c>
      <c r="R587" s="0" t="str">
        <f aca="false">IF(E587="","",IFERROR(LEFT(E587,FIND("-",E587)-1),E587))</f>
        <v/>
      </c>
      <c r="S587" s="0" t="str">
        <f aca="false">IF(R587="","",IF(ISNUMBER(--MID(R587,1,1)),0,IF(ISNUMBER(--MID(R587,2,1)),1,IF(ISNUMBER(--MID(R587,3,1)),2,IF(ISNUMBER(--MID(R587,4,1)),3,MIN(LEN(R587),4))))))</f>
        <v/>
      </c>
      <c r="T587" s="0" t="str">
        <f aca="false">IF(E587="","",LEFT(R587,S587)&amp;REPT("0",4-S587)&amp;RIGHT("000"&amp;IFERROR(VALUE(MID(R587,S587+1,9)),0),3)&amp;RIGHT("0000"&amp;IFERROR(VALUE(MID(E587,FIND("-",E587)+1,9)),0),4))</f>
        <v/>
      </c>
      <c r="U587" s="0" t="str">
        <f aca="false">IF(I587=1,"K"&amp;RIGHT("00"&amp;A587,2)&amp;T587&amp;RIGHT("00000"&amp;ROW(),5),"")</f>
        <v/>
      </c>
      <c r="V587" s="0" t="str">
        <f aca="false">IF(U587="","",COUNTIFS($I$2:$I$1201,1,$U$2:$U$1201,"&lt;"&amp;U587)+1)</f>
        <v/>
      </c>
    </row>
    <row r="588" customFormat="false" ht="15" hidden="false" customHeight="false" outlineLevel="0" collapsed="false">
      <c r="A588" s="0" t="n">
        <v>10</v>
      </c>
      <c r="B588" s="0" t="n">
        <v>47</v>
      </c>
      <c r="C588" s="0" t="str">
        <f aca="false">TRIM(SUBSTITUTE(INDEX(LISTAS!$A$4:$T$63,B588,A588)&amp;"",CHAR(160)," "))</f>
        <v/>
      </c>
      <c r="D588" s="0" t="str">
        <f aca="false">IF(C588="","",TRIM(RIGHT(SUBSTITUTE(C588," ",REPT(" ",100)),100)))</f>
        <v/>
      </c>
      <c r="E588" s="0" t="str">
        <f aca="false">IF(D588="","",UPPER(SUBSTITUTE(SUBSTITUTE(D588,"(",""),")","")))</f>
        <v/>
      </c>
      <c r="F588" s="0" t="str">
        <f aca="false">IF(C588="","",LEFT(C588,FIND(" ",C588&amp;" ")-1))</f>
        <v/>
      </c>
      <c r="G588" s="0" t="n">
        <f aca="false">IFERROR(VALUE(SUBSTITUTE(LOWER(F588),"x","")),0)</f>
        <v>0</v>
      </c>
      <c r="H588" s="0" t="str">
        <f aca="false">IF(C588="","",TRIM(MID(C588,LEN(F588)+2,999)))</f>
        <v/>
      </c>
      <c r="I588" s="0" t="n">
        <f aca="false">IF(OR(C588="",LEFT(C588,2)="//"),0,IFERROR(IF(AND(G588&gt;0,G588=INT(G588),FIND("-",E588)&gt;1,NOT(EXACT(UPPER(LEFT(E588,1)),LOWER(LEFT(E588,1)))),ISNUMBER(VALUE(MID(E588,FIND("-",E588)+1,10)))),1,0),0))</f>
        <v>0</v>
      </c>
      <c r="J588" s="0" t="str">
        <f aca="false">IF(I588=1,TRIM(LEFT(H588,MAX(0,LEN(H588)-LEN(D588)))),"")</f>
        <v/>
      </c>
      <c r="K588" s="0" t="str">
        <f aca="false">INDEX($P$2:$P$21,A588)</f>
        <v>Deck 10</v>
      </c>
      <c r="L588" s="0" t="n">
        <f aca="false">IF(AND(C588&lt;&gt;"",LEFT(C588,2)&lt;&gt;"//",I588=0),1,0)</f>
        <v>0</v>
      </c>
      <c r="M588" s="0" t="str">
        <f aca="false">IF(I588=1,MAX(M$1:M587)+1,"")</f>
        <v/>
      </c>
      <c r="N588" s="0" t="str">
        <f aca="false">IFERROR(MATCH(ROW()-1,$V$2:$V$1201,0),"")</f>
        <v/>
      </c>
      <c r="R588" s="0" t="str">
        <f aca="false">IF(E588="","",IFERROR(LEFT(E588,FIND("-",E588)-1),E588))</f>
        <v/>
      </c>
      <c r="S588" s="0" t="str">
        <f aca="false">IF(R588="","",IF(ISNUMBER(--MID(R588,1,1)),0,IF(ISNUMBER(--MID(R588,2,1)),1,IF(ISNUMBER(--MID(R588,3,1)),2,IF(ISNUMBER(--MID(R588,4,1)),3,MIN(LEN(R588),4))))))</f>
        <v/>
      </c>
      <c r="T588" s="0" t="str">
        <f aca="false">IF(E588="","",LEFT(R588,S588)&amp;REPT("0",4-S588)&amp;RIGHT("000"&amp;IFERROR(VALUE(MID(R588,S588+1,9)),0),3)&amp;RIGHT("0000"&amp;IFERROR(VALUE(MID(E588,FIND("-",E588)+1,9)),0),4))</f>
        <v/>
      </c>
      <c r="U588" s="0" t="str">
        <f aca="false">IF(I588=1,"K"&amp;RIGHT("00"&amp;A588,2)&amp;T588&amp;RIGHT("00000"&amp;ROW(),5),"")</f>
        <v/>
      </c>
      <c r="V588" s="0" t="str">
        <f aca="false">IF(U588="","",COUNTIFS($I$2:$I$1201,1,$U$2:$U$1201,"&lt;"&amp;U588)+1)</f>
        <v/>
      </c>
    </row>
    <row r="589" customFormat="false" ht="15" hidden="false" customHeight="false" outlineLevel="0" collapsed="false">
      <c r="A589" s="0" t="n">
        <v>10</v>
      </c>
      <c r="B589" s="0" t="n">
        <v>48</v>
      </c>
      <c r="C589" s="0" t="str">
        <f aca="false">TRIM(SUBSTITUTE(INDEX(LISTAS!$A$4:$T$63,B589,A589)&amp;"",CHAR(160)," "))</f>
        <v/>
      </c>
      <c r="D589" s="0" t="str">
        <f aca="false">IF(C589="","",TRIM(RIGHT(SUBSTITUTE(C589," ",REPT(" ",100)),100)))</f>
        <v/>
      </c>
      <c r="E589" s="0" t="str">
        <f aca="false">IF(D589="","",UPPER(SUBSTITUTE(SUBSTITUTE(D589,"(",""),")","")))</f>
        <v/>
      </c>
      <c r="F589" s="0" t="str">
        <f aca="false">IF(C589="","",LEFT(C589,FIND(" ",C589&amp;" ")-1))</f>
        <v/>
      </c>
      <c r="G589" s="0" t="n">
        <f aca="false">IFERROR(VALUE(SUBSTITUTE(LOWER(F589),"x","")),0)</f>
        <v>0</v>
      </c>
      <c r="H589" s="0" t="str">
        <f aca="false">IF(C589="","",TRIM(MID(C589,LEN(F589)+2,999)))</f>
        <v/>
      </c>
      <c r="I589" s="0" t="n">
        <f aca="false">IF(OR(C589="",LEFT(C589,2)="//"),0,IFERROR(IF(AND(G589&gt;0,G589=INT(G589),FIND("-",E589)&gt;1,NOT(EXACT(UPPER(LEFT(E589,1)),LOWER(LEFT(E589,1)))),ISNUMBER(VALUE(MID(E589,FIND("-",E589)+1,10)))),1,0),0))</f>
        <v>0</v>
      </c>
      <c r="J589" s="0" t="str">
        <f aca="false">IF(I589=1,TRIM(LEFT(H589,MAX(0,LEN(H589)-LEN(D589)))),"")</f>
        <v/>
      </c>
      <c r="K589" s="0" t="str">
        <f aca="false">INDEX($P$2:$P$21,A589)</f>
        <v>Deck 10</v>
      </c>
      <c r="L589" s="0" t="n">
        <f aca="false">IF(AND(C589&lt;&gt;"",LEFT(C589,2)&lt;&gt;"//",I589=0),1,0)</f>
        <v>0</v>
      </c>
      <c r="M589" s="0" t="str">
        <f aca="false">IF(I589=1,MAX(M$1:M588)+1,"")</f>
        <v/>
      </c>
      <c r="N589" s="0" t="str">
        <f aca="false">IFERROR(MATCH(ROW()-1,$V$2:$V$1201,0),"")</f>
        <v/>
      </c>
      <c r="R589" s="0" t="str">
        <f aca="false">IF(E589="","",IFERROR(LEFT(E589,FIND("-",E589)-1),E589))</f>
        <v/>
      </c>
      <c r="S589" s="0" t="str">
        <f aca="false">IF(R589="","",IF(ISNUMBER(--MID(R589,1,1)),0,IF(ISNUMBER(--MID(R589,2,1)),1,IF(ISNUMBER(--MID(R589,3,1)),2,IF(ISNUMBER(--MID(R589,4,1)),3,MIN(LEN(R589),4))))))</f>
        <v/>
      </c>
      <c r="T589" s="0" t="str">
        <f aca="false">IF(E589="","",LEFT(R589,S589)&amp;REPT("0",4-S589)&amp;RIGHT("000"&amp;IFERROR(VALUE(MID(R589,S589+1,9)),0),3)&amp;RIGHT("0000"&amp;IFERROR(VALUE(MID(E589,FIND("-",E589)+1,9)),0),4))</f>
        <v/>
      </c>
      <c r="U589" s="0" t="str">
        <f aca="false">IF(I589=1,"K"&amp;RIGHT("00"&amp;A589,2)&amp;T589&amp;RIGHT("00000"&amp;ROW(),5),"")</f>
        <v/>
      </c>
      <c r="V589" s="0" t="str">
        <f aca="false">IF(U589="","",COUNTIFS($I$2:$I$1201,1,$U$2:$U$1201,"&lt;"&amp;U589)+1)</f>
        <v/>
      </c>
    </row>
    <row r="590" customFormat="false" ht="15" hidden="false" customHeight="false" outlineLevel="0" collapsed="false">
      <c r="A590" s="0" t="n">
        <v>10</v>
      </c>
      <c r="B590" s="0" t="n">
        <v>49</v>
      </c>
      <c r="C590" s="0" t="str">
        <f aca="false">TRIM(SUBSTITUTE(INDEX(LISTAS!$A$4:$T$63,B590,A590)&amp;"",CHAR(160)," "))</f>
        <v/>
      </c>
      <c r="D590" s="0" t="str">
        <f aca="false">IF(C590="","",TRIM(RIGHT(SUBSTITUTE(C590," ",REPT(" ",100)),100)))</f>
        <v/>
      </c>
      <c r="E590" s="0" t="str">
        <f aca="false">IF(D590="","",UPPER(SUBSTITUTE(SUBSTITUTE(D590,"(",""),")","")))</f>
        <v/>
      </c>
      <c r="F590" s="0" t="str">
        <f aca="false">IF(C590="","",LEFT(C590,FIND(" ",C590&amp;" ")-1))</f>
        <v/>
      </c>
      <c r="G590" s="0" t="n">
        <f aca="false">IFERROR(VALUE(SUBSTITUTE(LOWER(F590),"x","")),0)</f>
        <v>0</v>
      </c>
      <c r="H590" s="0" t="str">
        <f aca="false">IF(C590="","",TRIM(MID(C590,LEN(F590)+2,999)))</f>
        <v/>
      </c>
      <c r="I590" s="0" t="n">
        <f aca="false">IF(OR(C590="",LEFT(C590,2)="//"),0,IFERROR(IF(AND(G590&gt;0,G590=INT(G590),FIND("-",E590)&gt;1,NOT(EXACT(UPPER(LEFT(E590,1)),LOWER(LEFT(E590,1)))),ISNUMBER(VALUE(MID(E590,FIND("-",E590)+1,10)))),1,0),0))</f>
        <v>0</v>
      </c>
      <c r="J590" s="0" t="str">
        <f aca="false">IF(I590=1,TRIM(LEFT(H590,MAX(0,LEN(H590)-LEN(D590)))),"")</f>
        <v/>
      </c>
      <c r="K590" s="0" t="str">
        <f aca="false">INDEX($P$2:$P$21,A590)</f>
        <v>Deck 10</v>
      </c>
      <c r="L590" s="0" t="n">
        <f aca="false">IF(AND(C590&lt;&gt;"",LEFT(C590,2)&lt;&gt;"//",I590=0),1,0)</f>
        <v>0</v>
      </c>
      <c r="M590" s="0" t="str">
        <f aca="false">IF(I590=1,MAX(M$1:M589)+1,"")</f>
        <v/>
      </c>
      <c r="N590" s="0" t="str">
        <f aca="false">IFERROR(MATCH(ROW()-1,$V$2:$V$1201,0),"")</f>
        <v/>
      </c>
      <c r="R590" s="0" t="str">
        <f aca="false">IF(E590="","",IFERROR(LEFT(E590,FIND("-",E590)-1),E590))</f>
        <v/>
      </c>
      <c r="S590" s="0" t="str">
        <f aca="false">IF(R590="","",IF(ISNUMBER(--MID(R590,1,1)),0,IF(ISNUMBER(--MID(R590,2,1)),1,IF(ISNUMBER(--MID(R590,3,1)),2,IF(ISNUMBER(--MID(R590,4,1)),3,MIN(LEN(R590),4))))))</f>
        <v/>
      </c>
      <c r="T590" s="0" t="str">
        <f aca="false">IF(E590="","",LEFT(R590,S590)&amp;REPT("0",4-S590)&amp;RIGHT("000"&amp;IFERROR(VALUE(MID(R590,S590+1,9)),0),3)&amp;RIGHT("0000"&amp;IFERROR(VALUE(MID(E590,FIND("-",E590)+1,9)),0),4))</f>
        <v/>
      </c>
      <c r="U590" s="0" t="str">
        <f aca="false">IF(I590=1,"K"&amp;RIGHT("00"&amp;A590,2)&amp;T590&amp;RIGHT("00000"&amp;ROW(),5),"")</f>
        <v/>
      </c>
      <c r="V590" s="0" t="str">
        <f aca="false">IF(U590="","",COUNTIFS($I$2:$I$1201,1,$U$2:$U$1201,"&lt;"&amp;U590)+1)</f>
        <v/>
      </c>
    </row>
    <row r="591" customFormat="false" ht="15" hidden="false" customHeight="false" outlineLevel="0" collapsed="false">
      <c r="A591" s="0" t="n">
        <v>10</v>
      </c>
      <c r="B591" s="0" t="n">
        <v>50</v>
      </c>
      <c r="C591" s="0" t="str">
        <f aca="false">TRIM(SUBSTITUTE(INDEX(LISTAS!$A$4:$T$63,B591,A591)&amp;"",CHAR(160)," "))</f>
        <v/>
      </c>
      <c r="D591" s="0" t="str">
        <f aca="false">IF(C591="","",TRIM(RIGHT(SUBSTITUTE(C591," ",REPT(" ",100)),100)))</f>
        <v/>
      </c>
      <c r="E591" s="0" t="str">
        <f aca="false">IF(D591="","",UPPER(SUBSTITUTE(SUBSTITUTE(D591,"(",""),")","")))</f>
        <v/>
      </c>
      <c r="F591" s="0" t="str">
        <f aca="false">IF(C591="","",LEFT(C591,FIND(" ",C591&amp;" ")-1))</f>
        <v/>
      </c>
      <c r="G591" s="0" t="n">
        <f aca="false">IFERROR(VALUE(SUBSTITUTE(LOWER(F591),"x","")),0)</f>
        <v>0</v>
      </c>
      <c r="H591" s="0" t="str">
        <f aca="false">IF(C591="","",TRIM(MID(C591,LEN(F591)+2,999)))</f>
        <v/>
      </c>
      <c r="I591" s="0" t="n">
        <f aca="false">IF(OR(C591="",LEFT(C591,2)="//"),0,IFERROR(IF(AND(G591&gt;0,G591=INT(G591),FIND("-",E591)&gt;1,NOT(EXACT(UPPER(LEFT(E591,1)),LOWER(LEFT(E591,1)))),ISNUMBER(VALUE(MID(E591,FIND("-",E591)+1,10)))),1,0),0))</f>
        <v>0</v>
      </c>
      <c r="J591" s="0" t="str">
        <f aca="false">IF(I591=1,TRIM(LEFT(H591,MAX(0,LEN(H591)-LEN(D591)))),"")</f>
        <v/>
      </c>
      <c r="K591" s="0" t="str">
        <f aca="false">INDEX($P$2:$P$21,A591)</f>
        <v>Deck 10</v>
      </c>
      <c r="L591" s="0" t="n">
        <f aca="false">IF(AND(C591&lt;&gt;"",LEFT(C591,2)&lt;&gt;"//",I591=0),1,0)</f>
        <v>0</v>
      </c>
      <c r="M591" s="0" t="str">
        <f aca="false">IF(I591=1,MAX(M$1:M590)+1,"")</f>
        <v/>
      </c>
      <c r="N591" s="0" t="str">
        <f aca="false">IFERROR(MATCH(ROW()-1,$V$2:$V$1201,0),"")</f>
        <v/>
      </c>
      <c r="R591" s="0" t="str">
        <f aca="false">IF(E591="","",IFERROR(LEFT(E591,FIND("-",E591)-1),E591))</f>
        <v/>
      </c>
      <c r="S591" s="0" t="str">
        <f aca="false">IF(R591="","",IF(ISNUMBER(--MID(R591,1,1)),0,IF(ISNUMBER(--MID(R591,2,1)),1,IF(ISNUMBER(--MID(R591,3,1)),2,IF(ISNUMBER(--MID(R591,4,1)),3,MIN(LEN(R591),4))))))</f>
        <v/>
      </c>
      <c r="T591" s="0" t="str">
        <f aca="false">IF(E591="","",LEFT(R591,S591)&amp;REPT("0",4-S591)&amp;RIGHT("000"&amp;IFERROR(VALUE(MID(R591,S591+1,9)),0),3)&amp;RIGHT("0000"&amp;IFERROR(VALUE(MID(E591,FIND("-",E591)+1,9)),0),4))</f>
        <v/>
      </c>
      <c r="U591" s="0" t="str">
        <f aca="false">IF(I591=1,"K"&amp;RIGHT("00"&amp;A591,2)&amp;T591&amp;RIGHT("00000"&amp;ROW(),5),"")</f>
        <v/>
      </c>
      <c r="V591" s="0" t="str">
        <f aca="false">IF(U591="","",COUNTIFS($I$2:$I$1201,1,$U$2:$U$1201,"&lt;"&amp;U591)+1)</f>
        <v/>
      </c>
    </row>
    <row r="592" customFormat="false" ht="15" hidden="false" customHeight="false" outlineLevel="0" collapsed="false">
      <c r="A592" s="0" t="n">
        <v>10</v>
      </c>
      <c r="B592" s="0" t="n">
        <v>51</v>
      </c>
      <c r="C592" s="0" t="str">
        <f aca="false">TRIM(SUBSTITUTE(INDEX(LISTAS!$A$4:$T$63,B592,A592)&amp;"",CHAR(160)," "))</f>
        <v/>
      </c>
      <c r="D592" s="0" t="str">
        <f aca="false">IF(C592="","",TRIM(RIGHT(SUBSTITUTE(C592," ",REPT(" ",100)),100)))</f>
        <v/>
      </c>
      <c r="E592" s="0" t="str">
        <f aca="false">IF(D592="","",UPPER(SUBSTITUTE(SUBSTITUTE(D592,"(",""),")","")))</f>
        <v/>
      </c>
      <c r="F592" s="0" t="str">
        <f aca="false">IF(C592="","",LEFT(C592,FIND(" ",C592&amp;" ")-1))</f>
        <v/>
      </c>
      <c r="G592" s="0" t="n">
        <f aca="false">IFERROR(VALUE(SUBSTITUTE(LOWER(F592),"x","")),0)</f>
        <v>0</v>
      </c>
      <c r="H592" s="0" t="str">
        <f aca="false">IF(C592="","",TRIM(MID(C592,LEN(F592)+2,999)))</f>
        <v/>
      </c>
      <c r="I592" s="0" t="n">
        <f aca="false">IF(OR(C592="",LEFT(C592,2)="//"),0,IFERROR(IF(AND(G592&gt;0,G592=INT(G592),FIND("-",E592)&gt;1,NOT(EXACT(UPPER(LEFT(E592,1)),LOWER(LEFT(E592,1)))),ISNUMBER(VALUE(MID(E592,FIND("-",E592)+1,10)))),1,0),0))</f>
        <v>0</v>
      </c>
      <c r="J592" s="0" t="str">
        <f aca="false">IF(I592=1,TRIM(LEFT(H592,MAX(0,LEN(H592)-LEN(D592)))),"")</f>
        <v/>
      </c>
      <c r="K592" s="0" t="str">
        <f aca="false">INDEX($P$2:$P$21,A592)</f>
        <v>Deck 10</v>
      </c>
      <c r="L592" s="0" t="n">
        <f aca="false">IF(AND(C592&lt;&gt;"",LEFT(C592,2)&lt;&gt;"//",I592=0),1,0)</f>
        <v>0</v>
      </c>
      <c r="M592" s="0" t="str">
        <f aca="false">IF(I592=1,MAX(M$1:M591)+1,"")</f>
        <v/>
      </c>
      <c r="N592" s="0" t="str">
        <f aca="false">IFERROR(MATCH(ROW()-1,$V$2:$V$1201,0),"")</f>
        <v/>
      </c>
      <c r="R592" s="0" t="str">
        <f aca="false">IF(E592="","",IFERROR(LEFT(E592,FIND("-",E592)-1),E592))</f>
        <v/>
      </c>
      <c r="S592" s="0" t="str">
        <f aca="false">IF(R592="","",IF(ISNUMBER(--MID(R592,1,1)),0,IF(ISNUMBER(--MID(R592,2,1)),1,IF(ISNUMBER(--MID(R592,3,1)),2,IF(ISNUMBER(--MID(R592,4,1)),3,MIN(LEN(R592),4))))))</f>
        <v/>
      </c>
      <c r="T592" s="0" t="str">
        <f aca="false">IF(E592="","",LEFT(R592,S592)&amp;REPT("0",4-S592)&amp;RIGHT("000"&amp;IFERROR(VALUE(MID(R592,S592+1,9)),0),3)&amp;RIGHT("0000"&amp;IFERROR(VALUE(MID(E592,FIND("-",E592)+1,9)),0),4))</f>
        <v/>
      </c>
      <c r="U592" s="0" t="str">
        <f aca="false">IF(I592=1,"K"&amp;RIGHT("00"&amp;A592,2)&amp;T592&amp;RIGHT("00000"&amp;ROW(),5),"")</f>
        <v/>
      </c>
      <c r="V592" s="0" t="str">
        <f aca="false">IF(U592="","",COUNTIFS($I$2:$I$1201,1,$U$2:$U$1201,"&lt;"&amp;U592)+1)</f>
        <v/>
      </c>
    </row>
    <row r="593" customFormat="false" ht="15" hidden="false" customHeight="false" outlineLevel="0" collapsed="false">
      <c r="A593" s="0" t="n">
        <v>10</v>
      </c>
      <c r="B593" s="0" t="n">
        <v>52</v>
      </c>
      <c r="C593" s="0" t="str">
        <f aca="false">TRIM(SUBSTITUTE(INDEX(LISTAS!$A$4:$T$63,B593,A593)&amp;"",CHAR(160)," "))</f>
        <v/>
      </c>
      <c r="D593" s="0" t="str">
        <f aca="false">IF(C593="","",TRIM(RIGHT(SUBSTITUTE(C593," ",REPT(" ",100)),100)))</f>
        <v/>
      </c>
      <c r="E593" s="0" t="str">
        <f aca="false">IF(D593="","",UPPER(SUBSTITUTE(SUBSTITUTE(D593,"(",""),")","")))</f>
        <v/>
      </c>
      <c r="F593" s="0" t="str">
        <f aca="false">IF(C593="","",LEFT(C593,FIND(" ",C593&amp;" ")-1))</f>
        <v/>
      </c>
      <c r="G593" s="0" t="n">
        <f aca="false">IFERROR(VALUE(SUBSTITUTE(LOWER(F593),"x","")),0)</f>
        <v>0</v>
      </c>
      <c r="H593" s="0" t="str">
        <f aca="false">IF(C593="","",TRIM(MID(C593,LEN(F593)+2,999)))</f>
        <v/>
      </c>
      <c r="I593" s="0" t="n">
        <f aca="false">IF(OR(C593="",LEFT(C593,2)="//"),0,IFERROR(IF(AND(G593&gt;0,G593=INT(G593),FIND("-",E593)&gt;1,NOT(EXACT(UPPER(LEFT(E593,1)),LOWER(LEFT(E593,1)))),ISNUMBER(VALUE(MID(E593,FIND("-",E593)+1,10)))),1,0),0))</f>
        <v>0</v>
      </c>
      <c r="J593" s="0" t="str">
        <f aca="false">IF(I593=1,TRIM(LEFT(H593,MAX(0,LEN(H593)-LEN(D593)))),"")</f>
        <v/>
      </c>
      <c r="K593" s="0" t="str">
        <f aca="false">INDEX($P$2:$P$21,A593)</f>
        <v>Deck 10</v>
      </c>
      <c r="L593" s="0" t="n">
        <f aca="false">IF(AND(C593&lt;&gt;"",LEFT(C593,2)&lt;&gt;"//",I593=0),1,0)</f>
        <v>0</v>
      </c>
      <c r="M593" s="0" t="str">
        <f aca="false">IF(I593=1,MAX(M$1:M592)+1,"")</f>
        <v/>
      </c>
      <c r="N593" s="0" t="str">
        <f aca="false">IFERROR(MATCH(ROW()-1,$V$2:$V$1201,0),"")</f>
        <v/>
      </c>
      <c r="R593" s="0" t="str">
        <f aca="false">IF(E593="","",IFERROR(LEFT(E593,FIND("-",E593)-1),E593))</f>
        <v/>
      </c>
      <c r="S593" s="0" t="str">
        <f aca="false">IF(R593="","",IF(ISNUMBER(--MID(R593,1,1)),0,IF(ISNUMBER(--MID(R593,2,1)),1,IF(ISNUMBER(--MID(R593,3,1)),2,IF(ISNUMBER(--MID(R593,4,1)),3,MIN(LEN(R593),4))))))</f>
        <v/>
      </c>
      <c r="T593" s="0" t="str">
        <f aca="false">IF(E593="","",LEFT(R593,S593)&amp;REPT("0",4-S593)&amp;RIGHT("000"&amp;IFERROR(VALUE(MID(R593,S593+1,9)),0),3)&amp;RIGHT("0000"&amp;IFERROR(VALUE(MID(E593,FIND("-",E593)+1,9)),0),4))</f>
        <v/>
      </c>
      <c r="U593" s="0" t="str">
        <f aca="false">IF(I593=1,"K"&amp;RIGHT("00"&amp;A593,2)&amp;T593&amp;RIGHT("00000"&amp;ROW(),5),"")</f>
        <v/>
      </c>
      <c r="V593" s="0" t="str">
        <f aca="false">IF(U593="","",COUNTIFS($I$2:$I$1201,1,$U$2:$U$1201,"&lt;"&amp;U593)+1)</f>
        <v/>
      </c>
    </row>
    <row r="594" customFormat="false" ht="15" hidden="false" customHeight="false" outlineLevel="0" collapsed="false">
      <c r="A594" s="0" t="n">
        <v>10</v>
      </c>
      <c r="B594" s="0" t="n">
        <v>53</v>
      </c>
      <c r="C594" s="0" t="str">
        <f aca="false">TRIM(SUBSTITUTE(INDEX(LISTAS!$A$4:$T$63,B594,A594)&amp;"",CHAR(160)," "))</f>
        <v/>
      </c>
      <c r="D594" s="0" t="str">
        <f aca="false">IF(C594="","",TRIM(RIGHT(SUBSTITUTE(C594," ",REPT(" ",100)),100)))</f>
        <v/>
      </c>
      <c r="E594" s="0" t="str">
        <f aca="false">IF(D594="","",UPPER(SUBSTITUTE(SUBSTITUTE(D594,"(",""),")","")))</f>
        <v/>
      </c>
      <c r="F594" s="0" t="str">
        <f aca="false">IF(C594="","",LEFT(C594,FIND(" ",C594&amp;" ")-1))</f>
        <v/>
      </c>
      <c r="G594" s="0" t="n">
        <f aca="false">IFERROR(VALUE(SUBSTITUTE(LOWER(F594),"x","")),0)</f>
        <v>0</v>
      </c>
      <c r="H594" s="0" t="str">
        <f aca="false">IF(C594="","",TRIM(MID(C594,LEN(F594)+2,999)))</f>
        <v/>
      </c>
      <c r="I594" s="0" t="n">
        <f aca="false">IF(OR(C594="",LEFT(C594,2)="//"),0,IFERROR(IF(AND(G594&gt;0,G594=INT(G594),FIND("-",E594)&gt;1,NOT(EXACT(UPPER(LEFT(E594,1)),LOWER(LEFT(E594,1)))),ISNUMBER(VALUE(MID(E594,FIND("-",E594)+1,10)))),1,0),0))</f>
        <v>0</v>
      </c>
      <c r="J594" s="0" t="str">
        <f aca="false">IF(I594=1,TRIM(LEFT(H594,MAX(0,LEN(H594)-LEN(D594)))),"")</f>
        <v/>
      </c>
      <c r="K594" s="0" t="str">
        <f aca="false">INDEX($P$2:$P$21,A594)</f>
        <v>Deck 10</v>
      </c>
      <c r="L594" s="0" t="n">
        <f aca="false">IF(AND(C594&lt;&gt;"",LEFT(C594,2)&lt;&gt;"//",I594=0),1,0)</f>
        <v>0</v>
      </c>
      <c r="M594" s="0" t="str">
        <f aca="false">IF(I594=1,MAX(M$1:M593)+1,"")</f>
        <v/>
      </c>
      <c r="N594" s="0" t="str">
        <f aca="false">IFERROR(MATCH(ROW()-1,$V$2:$V$1201,0),"")</f>
        <v/>
      </c>
      <c r="R594" s="0" t="str">
        <f aca="false">IF(E594="","",IFERROR(LEFT(E594,FIND("-",E594)-1),E594))</f>
        <v/>
      </c>
      <c r="S594" s="0" t="str">
        <f aca="false">IF(R594="","",IF(ISNUMBER(--MID(R594,1,1)),0,IF(ISNUMBER(--MID(R594,2,1)),1,IF(ISNUMBER(--MID(R594,3,1)),2,IF(ISNUMBER(--MID(R594,4,1)),3,MIN(LEN(R594),4))))))</f>
        <v/>
      </c>
      <c r="T594" s="0" t="str">
        <f aca="false">IF(E594="","",LEFT(R594,S594)&amp;REPT("0",4-S594)&amp;RIGHT("000"&amp;IFERROR(VALUE(MID(R594,S594+1,9)),0),3)&amp;RIGHT("0000"&amp;IFERROR(VALUE(MID(E594,FIND("-",E594)+1,9)),0),4))</f>
        <v/>
      </c>
      <c r="U594" s="0" t="str">
        <f aca="false">IF(I594=1,"K"&amp;RIGHT("00"&amp;A594,2)&amp;T594&amp;RIGHT("00000"&amp;ROW(),5),"")</f>
        <v/>
      </c>
      <c r="V594" s="0" t="str">
        <f aca="false">IF(U594="","",COUNTIFS($I$2:$I$1201,1,$U$2:$U$1201,"&lt;"&amp;U594)+1)</f>
        <v/>
      </c>
    </row>
    <row r="595" customFormat="false" ht="15" hidden="false" customHeight="false" outlineLevel="0" collapsed="false">
      <c r="A595" s="0" t="n">
        <v>10</v>
      </c>
      <c r="B595" s="0" t="n">
        <v>54</v>
      </c>
      <c r="C595" s="0" t="str">
        <f aca="false">TRIM(SUBSTITUTE(INDEX(LISTAS!$A$4:$T$63,B595,A595)&amp;"",CHAR(160)," "))</f>
        <v/>
      </c>
      <c r="D595" s="0" t="str">
        <f aca="false">IF(C595="","",TRIM(RIGHT(SUBSTITUTE(C595," ",REPT(" ",100)),100)))</f>
        <v/>
      </c>
      <c r="E595" s="0" t="str">
        <f aca="false">IF(D595="","",UPPER(SUBSTITUTE(SUBSTITUTE(D595,"(",""),")","")))</f>
        <v/>
      </c>
      <c r="F595" s="0" t="str">
        <f aca="false">IF(C595="","",LEFT(C595,FIND(" ",C595&amp;" ")-1))</f>
        <v/>
      </c>
      <c r="G595" s="0" t="n">
        <f aca="false">IFERROR(VALUE(SUBSTITUTE(LOWER(F595),"x","")),0)</f>
        <v>0</v>
      </c>
      <c r="H595" s="0" t="str">
        <f aca="false">IF(C595="","",TRIM(MID(C595,LEN(F595)+2,999)))</f>
        <v/>
      </c>
      <c r="I595" s="0" t="n">
        <f aca="false">IF(OR(C595="",LEFT(C595,2)="//"),0,IFERROR(IF(AND(G595&gt;0,G595=INT(G595),FIND("-",E595)&gt;1,NOT(EXACT(UPPER(LEFT(E595,1)),LOWER(LEFT(E595,1)))),ISNUMBER(VALUE(MID(E595,FIND("-",E595)+1,10)))),1,0),0))</f>
        <v>0</v>
      </c>
      <c r="J595" s="0" t="str">
        <f aca="false">IF(I595=1,TRIM(LEFT(H595,MAX(0,LEN(H595)-LEN(D595)))),"")</f>
        <v/>
      </c>
      <c r="K595" s="0" t="str">
        <f aca="false">INDEX($P$2:$P$21,A595)</f>
        <v>Deck 10</v>
      </c>
      <c r="L595" s="0" t="n">
        <f aca="false">IF(AND(C595&lt;&gt;"",LEFT(C595,2)&lt;&gt;"//",I595=0),1,0)</f>
        <v>0</v>
      </c>
      <c r="M595" s="0" t="str">
        <f aca="false">IF(I595=1,MAX(M$1:M594)+1,"")</f>
        <v/>
      </c>
      <c r="N595" s="0" t="str">
        <f aca="false">IFERROR(MATCH(ROW()-1,$V$2:$V$1201,0),"")</f>
        <v/>
      </c>
      <c r="R595" s="0" t="str">
        <f aca="false">IF(E595="","",IFERROR(LEFT(E595,FIND("-",E595)-1),E595))</f>
        <v/>
      </c>
      <c r="S595" s="0" t="str">
        <f aca="false">IF(R595="","",IF(ISNUMBER(--MID(R595,1,1)),0,IF(ISNUMBER(--MID(R595,2,1)),1,IF(ISNUMBER(--MID(R595,3,1)),2,IF(ISNUMBER(--MID(R595,4,1)),3,MIN(LEN(R595),4))))))</f>
        <v/>
      </c>
      <c r="T595" s="0" t="str">
        <f aca="false">IF(E595="","",LEFT(R595,S595)&amp;REPT("0",4-S595)&amp;RIGHT("000"&amp;IFERROR(VALUE(MID(R595,S595+1,9)),0),3)&amp;RIGHT("0000"&amp;IFERROR(VALUE(MID(E595,FIND("-",E595)+1,9)),0),4))</f>
        <v/>
      </c>
      <c r="U595" s="0" t="str">
        <f aca="false">IF(I595=1,"K"&amp;RIGHT("00"&amp;A595,2)&amp;T595&amp;RIGHT("00000"&amp;ROW(),5),"")</f>
        <v/>
      </c>
      <c r="V595" s="0" t="str">
        <f aca="false">IF(U595="","",COUNTIFS($I$2:$I$1201,1,$U$2:$U$1201,"&lt;"&amp;U595)+1)</f>
        <v/>
      </c>
    </row>
    <row r="596" customFormat="false" ht="15" hidden="false" customHeight="false" outlineLevel="0" collapsed="false">
      <c r="A596" s="0" t="n">
        <v>10</v>
      </c>
      <c r="B596" s="0" t="n">
        <v>55</v>
      </c>
      <c r="C596" s="0" t="str">
        <f aca="false">TRIM(SUBSTITUTE(INDEX(LISTAS!$A$4:$T$63,B596,A596)&amp;"",CHAR(160)," "))</f>
        <v/>
      </c>
      <c r="D596" s="0" t="str">
        <f aca="false">IF(C596="","",TRIM(RIGHT(SUBSTITUTE(C596," ",REPT(" ",100)),100)))</f>
        <v/>
      </c>
      <c r="E596" s="0" t="str">
        <f aca="false">IF(D596="","",UPPER(SUBSTITUTE(SUBSTITUTE(D596,"(",""),")","")))</f>
        <v/>
      </c>
      <c r="F596" s="0" t="str">
        <f aca="false">IF(C596="","",LEFT(C596,FIND(" ",C596&amp;" ")-1))</f>
        <v/>
      </c>
      <c r="G596" s="0" t="n">
        <f aca="false">IFERROR(VALUE(SUBSTITUTE(LOWER(F596),"x","")),0)</f>
        <v>0</v>
      </c>
      <c r="H596" s="0" t="str">
        <f aca="false">IF(C596="","",TRIM(MID(C596,LEN(F596)+2,999)))</f>
        <v/>
      </c>
      <c r="I596" s="0" t="n">
        <f aca="false">IF(OR(C596="",LEFT(C596,2)="//"),0,IFERROR(IF(AND(G596&gt;0,G596=INT(G596),FIND("-",E596)&gt;1,NOT(EXACT(UPPER(LEFT(E596,1)),LOWER(LEFT(E596,1)))),ISNUMBER(VALUE(MID(E596,FIND("-",E596)+1,10)))),1,0),0))</f>
        <v>0</v>
      </c>
      <c r="J596" s="0" t="str">
        <f aca="false">IF(I596=1,TRIM(LEFT(H596,MAX(0,LEN(H596)-LEN(D596)))),"")</f>
        <v/>
      </c>
      <c r="K596" s="0" t="str">
        <f aca="false">INDEX($P$2:$P$21,A596)</f>
        <v>Deck 10</v>
      </c>
      <c r="L596" s="0" t="n">
        <f aca="false">IF(AND(C596&lt;&gt;"",LEFT(C596,2)&lt;&gt;"//",I596=0),1,0)</f>
        <v>0</v>
      </c>
      <c r="M596" s="0" t="str">
        <f aca="false">IF(I596=1,MAX(M$1:M595)+1,"")</f>
        <v/>
      </c>
      <c r="N596" s="0" t="str">
        <f aca="false">IFERROR(MATCH(ROW()-1,$V$2:$V$1201,0),"")</f>
        <v/>
      </c>
      <c r="R596" s="0" t="str">
        <f aca="false">IF(E596="","",IFERROR(LEFT(E596,FIND("-",E596)-1),E596))</f>
        <v/>
      </c>
      <c r="S596" s="0" t="str">
        <f aca="false">IF(R596="","",IF(ISNUMBER(--MID(R596,1,1)),0,IF(ISNUMBER(--MID(R596,2,1)),1,IF(ISNUMBER(--MID(R596,3,1)),2,IF(ISNUMBER(--MID(R596,4,1)),3,MIN(LEN(R596),4))))))</f>
        <v/>
      </c>
      <c r="T596" s="0" t="str">
        <f aca="false">IF(E596="","",LEFT(R596,S596)&amp;REPT("0",4-S596)&amp;RIGHT("000"&amp;IFERROR(VALUE(MID(R596,S596+1,9)),0),3)&amp;RIGHT("0000"&amp;IFERROR(VALUE(MID(E596,FIND("-",E596)+1,9)),0),4))</f>
        <v/>
      </c>
      <c r="U596" s="0" t="str">
        <f aca="false">IF(I596=1,"K"&amp;RIGHT("00"&amp;A596,2)&amp;T596&amp;RIGHT("00000"&amp;ROW(),5),"")</f>
        <v/>
      </c>
      <c r="V596" s="0" t="str">
        <f aca="false">IF(U596="","",COUNTIFS($I$2:$I$1201,1,$U$2:$U$1201,"&lt;"&amp;U596)+1)</f>
        <v/>
      </c>
    </row>
    <row r="597" customFormat="false" ht="15" hidden="false" customHeight="false" outlineLevel="0" collapsed="false">
      <c r="A597" s="0" t="n">
        <v>10</v>
      </c>
      <c r="B597" s="0" t="n">
        <v>56</v>
      </c>
      <c r="C597" s="0" t="str">
        <f aca="false">TRIM(SUBSTITUTE(INDEX(LISTAS!$A$4:$T$63,B597,A597)&amp;"",CHAR(160)," "))</f>
        <v/>
      </c>
      <c r="D597" s="0" t="str">
        <f aca="false">IF(C597="","",TRIM(RIGHT(SUBSTITUTE(C597," ",REPT(" ",100)),100)))</f>
        <v/>
      </c>
      <c r="E597" s="0" t="str">
        <f aca="false">IF(D597="","",UPPER(SUBSTITUTE(SUBSTITUTE(D597,"(",""),")","")))</f>
        <v/>
      </c>
      <c r="F597" s="0" t="str">
        <f aca="false">IF(C597="","",LEFT(C597,FIND(" ",C597&amp;" ")-1))</f>
        <v/>
      </c>
      <c r="G597" s="0" t="n">
        <f aca="false">IFERROR(VALUE(SUBSTITUTE(LOWER(F597),"x","")),0)</f>
        <v>0</v>
      </c>
      <c r="H597" s="0" t="str">
        <f aca="false">IF(C597="","",TRIM(MID(C597,LEN(F597)+2,999)))</f>
        <v/>
      </c>
      <c r="I597" s="0" t="n">
        <f aca="false">IF(OR(C597="",LEFT(C597,2)="//"),0,IFERROR(IF(AND(G597&gt;0,G597=INT(G597),FIND("-",E597)&gt;1,NOT(EXACT(UPPER(LEFT(E597,1)),LOWER(LEFT(E597,1)))),ISNUMBER(VALUE(MID(E597,FIND("-",E597)+1,10)))),1,0),0))</f>
        <v>0</v>
      </c>
      <c r="J597" s="0" t="str">
        <f aca="false">IF(I597=1,TRIM(LEFT(H597,MAX(0,LEN(H597)-LEN(D597)))),"")</f>
        <v/>
      </c>
      <c r="K597" s="0" t="str">
        <f aca="false">INDEX($P$2:$P$21,A597)</f>
        <v>Deck 10</v>
      </c>
      <c r="L597" s="0" t="n">
        <f aca="false">IF(AND(C597&lt;&gt;"",LEFT(C597,2)&lt;&gt;"//",I597=0),1,0)</f>
        <v>0</v>
      </c>
      <c r="M597" s="0" t="str">
        <f aca="false">IF(I597=1,MAX(M$1:M596)+1,"")</f>
        <v/>
      </c>
      <c r="N597" s="0" t="str">
        <f aca="false">IFERROR(MATCH(ROW()-1,$V$2:$V$1201,0),"")</f>
        <v/>
      </c>
      <c r="R597" s="0" t="str">
        <f aca="false">IF(E597="","",IFERROR(LEFT(E597,FIND("-",E597)-1),E597))</f>
        <v/>
      </c>
      <c r="S597" s="0" t="str">
        <f aca="false">IF(R597="","",IF(ISNUMBER(--MID(R597,1,1)),0,IF(ISNUMBER(--MID(R597,2,1)),1,IF(ISNUMBER(--MID(R597,3,1)),2,IF(ISNUMBER(--MID(R597,4,1)),3,MIN(LEN(R597),4))))))</f>
        <v/>
      </c>
      <c r="T597" s="0" t="str">
        <f aca="false">IF(E597="","",LEFT(R597,S597)&amp;REPT("0",4-S597)&amp;RIGHT("000"&amp;IFERROR(VALUE(MID(R597,S597+1,9)),0),3)&amp;RIGHT("0000"&amp;IFERROR(VALUE(MID(E597,FIND("-",E597)+1,9)),0),4))</f>
        <v/>
      </c>
      <c r="U597" s="0" t="str">
        <f aca="false">IF(I597=1,"K"&amp;RIGHT("00"&amp;A597,2)&amp;T597&amp;RIGHT("00000"&amp;ROW(),5),"")</f>
        <v/>
      </c>
      <c r="V597" s="0" t="str">
        <f aca="false">IF(U597="","",COUNTIFS($I$2:$I$1201,1,$U$2:$U$1201,"&lt;"&amp;U597)+1)</f>
        <v/>
      </c>
    </row>
    <row r="598" customFormat="false" ht="15" hidden="false" customHeight="false" outlineLevel="0" collapsed="false">
      <c r="A598" s="0" t="n">
        <v>10</v>
      </c>
      <c r="B598" s="0" t="n">
        <v>57</v>
      </c>
      <c r="C598" s="0" t="str">
        <f aca="false">TRIM(SUBSTITUTE(INDEX(LISTAS!$A$4:$T$63,B598,A598)&amp;"",CHAR(160)," "))</f>
        <v/>
      </c>
      <c r="D598" s="0" t="str">
        <f aca="false">IF(C598="","",TRIM(RIGHT(SUBSTITUTE(C598," ",REPT(" ",100)),100)))</f>
        <v/>
      </c>
      <c r="E598" s="0" t="str">
        <f aca="false">IF(D598="","",UPPER(SUBSTITUTE(SUBSTITUTE(D598,"(",""),")","")))</f>
        <v/>
      </c>
      <c r="F598" s="0" t="str">
        <f aca="false">IF(C598="","",LEFT(C598,FIND(" ",C598&amp;" ")-1))</f>
        <v/>
      </c>
      <c r="G598" s="0" t="n">
        <f aca="false">IFERROR(VALUE(SUBSTITUTE(LOWER(F598),"x","")),0)</f>
        <v>0</v>
      </c>
      <c r="H598" s="0" t="str">
        <f aca="false">IF(C598="","",TRIM(MID(C598,LEN(F598)+2,999)))</f>
        <v/>
      </c>
      <c r="I598" s="0" t="n">
        <f aca="false">IF(OR(C598="",LEFT(C598,2)="//"),0,IFERROR(IF(AND(G598&gt;0,G598=INT(G598),FIND("-",E598)&gt;1,NOT(EXACT(UPPER(LEFT(E598,1)),LOWER(LEFT(E598,1)))),ISNUMBER(VALUE(MID(E598,FIND("-",E598)+1,10)))),1,0),0))</f>
        <v>0</v>
      </c>
      <c r="J598" s="0" t="str">
        <f aca="false">IF(I598=1,TRIM(LEFT(H598,MAX(0,LEN(H598)-LEN(D598)))),"")</f>
        <v/>
      </c>
      <c r="K598" s="0" t="str">
        <f aca="false">INDEX($P$2:$P$21,A598)</f>
        <v>Deck 10</v>
      </c>
      <c r="L598" s="0" t="n">
        <f aca="false">IF(AND(C598&lt;&gt;"",LEFT(C598,2)&lt;&gt;"//",I598=0),1,0)</f>
        <v>0</v>
      </c>
      <c r="M598" s="0" t="str">
        <f aca="false">IF(I598=1,MAX(M$1:M597)+1,"")</f>
        <v/>
      </c>
      <c r="N598" s="0" t="str">
        <f aca="false">IFERROR(MATCH(ROW()-1,$V$2:$V$1201,0),"")</f>
        <v/>
      </c>
      <c r="R598" s="0" t="str">
        <f aca="false">IF(E598="","",IFERROR(LEFT(E598,FIND("-",E598)-1),E598))</f>
        <v/>
      </c>
      <c r="S598" s="0" t="str">
        <f aca="false">IF(R598="","",IF(ISNUMBER(--MID(R598,1,1)),0,IF(ISNUMBER(--MID(R598,2,1)),1,IF(ISNUMBER(--MID(R598,3,1)),2,IF(ISNUMBER(--MID(R598,4,1)),3,MIN(LEN(R598),4))))))</f>
        <v/>
      </c>
      <c r="T598" s="0" t="str">
        <f aca="false">IF(E598="","",LEFT(R598,S598)&amp;REPT("0",4-S598)&amp;RIGHT("000"&amp;IFERROR(VALUE(MID(R598,S598+1,9)),0),3)&amp;RIGHT("0000"&amp;IFERROR(VALUE(MID(E598,FIND("-",E598)+1,9)),0),4))</f>
        <v/>
      </c>
      <c r="U598" s="0" t="str">
        <f aca="false">IF(I598=1,"K"&amp;RIGHT("00"&amp;A598,2)&amp;T598&amp;RIGHT("00000"&amp;ROW(),5),"")</f>
        <v/>
      </c>
      <c r="V598" s="0" t="str">
        <f aca="false">IF(U598="","",COUNTIFS($I$2:$I$1201,1,$U$2:$U$1201,"&lt;"&amp;U598)+1)</f>
        <v/>
      </c>
    </row>
    <row r="599" customFormat="false" ht="15" hidden="false" customHeight="false" outlineLevel="0" collapsed="false">
      <c r="A599" s="0" t="n">
        <v>10</v>
      </c>
      <c r="B599" s="0" t="n">
        <v>58</v>
      </c>
      <c r="C599" s="0" t="str">
        <f aca="false">TRIM(SUBSTITUTE(INDEX(LISTAS!$A$4:$T$63,B599,A599)&amp;"",CHAR(160)," "))</f>
        <v/>
      </c>
      <c r="D599" s="0" t="str">
        <f aca="false">IF(C599="","",TRIM(RIGHT(SUBSTITUTE(C599," ",REPT(" ",100)),100)))</f>
        <v/>
      </c>
      <c r="E599" s="0" t="str">
        <f aca="false">IF(D599="","",UPPER(SUBSTITUTE(SUBSTITUTE(D599,"(",""),")","")))</f>
        <v/>
      </c>
      <c r="F599" s="0" t="str">
        <f aca="false">IF(C599="","",LEFT(C599,FIND(" ",C599&amp;" ")-1))</f>
        <v/>
      </c>
      <c r="G599" s="0" t="n">
        <f aca="false">IFERROR(VALUE(SUBSTITUTE(LOWER(F599),"x","")),0)</f>
        <v>0</v>
      </c>
      <c r="H599" s="0" t="str">
        <f aca="false">IF(C599="","",TRIM(MID(C599,LEN(F599)+2,999)))</f>
        <v/>
      </c>
      <c r="I599" s="0" t="n">
        <f aca="false">IF(OR(C599="",LEFT(C599,2)="//"),0,IFERROR(IF(AND(G599&gt;0,G599=INT(G599),FIND("-",E599)&gt;1,NOT(EXACT(UPPER(LEFT(E599,1)),LOWER(LEFT(E599,1)))),ISNUMBER(VALUE(MID(E599,FIND("-",E599)+1,10)))),1,0),0))</f>
        <v>0</v>
      </c>
      <c r="J599" s="0" t="str">
        <f aca="false">IF(I599=1,TRIM(LEFT(H599,MAX(0,LEN(H599)-LEN(D599)))),"")</f>
        <v/>
      </c>
      <c r="K599" s="0" t="str">
        <f aca="false">INDEX($P$2:$P$21,A599)</f>
        <v>Deck 10</v>
      </c>
      <c r="L599" s="0" t="n">
        <f aca="false">IF(AND(C599&lt;&gt;"",LEFT(C599,2)&lt;&gt;"//",I599=0),1,0)</f>
        <v>0</v>
      </c>
      <c r="M599" s="0" t="str">
        <f aca="false">IF(I599=1,MAX(M$1:M598)+1,"")</f>
        <v/>
      </c>
      <c r="N599" s="0" t="str">
        <f aca="false">IFERROR(MATCH(ROW()-1,$V$2:$V$1201,0),"")</f>
        <v/>
      </c>
      <c r="R599" s="0" t="str">
        <f aca="false">IF(E599="","",IFERROR(LEFT(E599,FIND("-",E599)-1),E599))</f>
        <v/>
      </c>
      <c r="S599" s="0" t="str">
        <f aca="false">IF(R599="","",IF(ISNUMBER(--MID(R599,1,1)),0,IF(ISNUMBER(--MID(R599,2,1)),1,IF(ISNUMBER(--MID(R599,3,1)),2,IF(ISNUMBER(--MID(R599,4,1)),3,MIN(LEN(R599),4))))))</f>
        <v/>
      </c>
      <c r="T599" s="0" t="str">
        <f aca="false">IF(E599="","",LEFT(R599,S599)&amp;REPT("0",4-S599)&amp;RIGHT("000"&amp;IFERROR(VALUE(MID(R599,S599+1,9)),0),3)&amp;RIGHT("0000"&amp;IFERROR(VALUE(MID(E599,FIND("-",E599)+1,9)),0),4))</f>
        <v/>
      </c>
      <c r="U599" s="0" t="str">
        <f aca="false">IF(I599=1,"K"&amp;RIGHT("00"&amp;A599,2)&amp;T599&amp;RIGHT("00000"&amp;ROW(),5),"")</f>
        <v/>
      </c>
      <c r="V599" s="0" t="str">
        <f aca="false">IF(U599="","",COUNTIFS($I$2:$I$1201,1,$U$2:$U$1201,"&lt;"&amp;U599)+1)</f>
        <v/>
      </c>
    </row>
    <row r="600" customFormat="false" ht="15" hidden="false" customHeight="false" outlineLevel="0" collapsed="false">
      <c r="A600" s="0" t="n">
        <v>10</v>
      </c>
      <c r="B600" s="0" t="n">
        <v>59</v>
      </c>
      <c r="C600" s="0" t="str">
        <f aca="false">TRIM(SUBSTITUTE(INDEX(LISTAS!$A$4:$T$63,B600,A600)&amp;"",CHAR(160)," "))</f>
        <v/>
      </c>
      <c r="D600" s="0" t="str">
        <f aca="false">IF(C600="","",TRIM(RIGHT(SUBSTITUTE(C600," ",REPT(" ",100)),100)))</f>
        <v/>
      </c>
      <c r="E600" s="0" t="str">
        <f aca="false">IF(D600="","",UPPER(SUBSTITUTE(SUBSTITUTE(D600,"(",""),")","")))</f>
        <v/>
      </c>
      <c r="F600" s="0" t="str">
        <f aca="false">IF(C600="","",LEFT(C600,FIND(" ",C600&amp;" ")-1))</f>
        <v/>
      </c>
      <c r="G600" s="0" t="n">
        <f aca="false">IFERROR(VALUE(SUBSTITUTE(LOWER(F600),"x","")),0)</f>
        <v>0</v>
      </c>
      <c r="H600" s="0" t="str">
        <f aca="false">IF(C600="","",TRIM(MID(C600,LEN(F600)+2,999)))</f>
        <v/>
      </c>
      <c r="I600" s="0" t="n">
        <f aca="false">IF(OR(C600="",LEFT(C600,2)="//"),0,IFERROR(IF(AND(G600&gt;0,G600=INT(G600),FIND("-",E600)&gt;1,NOT(EXACT(UPPER(LEFT(E600,1)),LOWER(LEFT(E600,1)))),ISNUMBER(VALUE(MID(E600,FIND("-",E600)+1,10)))),1,0),0))</f>
        <v>0</v>
      </c>
      <c r="J600" s="0" t="str">
        <f aca="false">IF(I600=1,TRIM(LEFT(H600,MAX(0,LEN(H600)-LEN(D600)))),"")</f>
        <v/>
      </c>
      <c r="K600" s="0" t="str">
        <f aca="false">INDEX($P$2:$P$21,A600)</f>
        <v>Deck 10</v>
      </c>
      <c r="L600" s="0" t="n">
        <f aca="false">IF(AND(C600&lt;&gt;"",LEFT(C600,2)&lt;&gt;"//",I600=0),1,0)</f>
        <v>0</v>
      </c>
      <c r="M600" s="0" t="str">
        <f aca="false">IF(I600=1,MAX(M$1:M599)+1,"")</f>
        <v/>
      </c>
      <c r="N600" s="0" t="str">
        <f aca="false">IFERROR(MATCH(ROW()-1,$V$2:$V$1201,0),"")</f>
        <v/>
      </c>
      <c r="R600" s="0" t="str">
        <f aca="false">IF(E600="","",IFERROR(LEFT(E600,FIND("-",E600)-1),E600))</f>
        <v/>
      </c>
      <c r="S600" s="0" t="str">
        <f aca="false">IF(R600="","",IF(ISNUMBER(--MID(R600,1,1)),0,IF(ISNUMBER(--MID(R600,2,1)),1,IF(ISNUMBER(--MID(R600,3,1)),2,IF(ISNUMBER(--MID(R600,4,1)),3,MIN(LEN(R600),4))))))</f>
        <v/>
      </c>
      <c r="T600" s="0" t="str">
        <f aca="false">IF(E600="","",LEFT(R600,S600)&amp;REPT("0",4-S600)&amp;RIGHT("000"&amp;IFERROR(VALUE(MID(R600,S600+1,9)),0),3)&amp;RIGHT("0000"&amp;IFERROR(VALUE(MID(E600,FIND("-",E600)+1,9)),0),4))</f>
        <v/>
      </c>
      <c r="U600" s="0" t="str">
        <f aca="false">IF(I600=1,"K"&amp;RIGHT("00"&amp;A600,2)&amp;T600&amp;RIGHT("00000"&amp;ROW(),5),"")</f>
        <v/>
      </c>
      <c r="V600" s="0" t="str">
        <f aca="false">IF(U600="","",COUNTIFS($I$2:$I$1201,1,$U$2:$U$1201,"&lt;"&amp;U600)+1)</f>
        <v/>
      </c>
    </row>
    <row r="601" customFormat="false" ht="15" hidden="false" customHeight="false" outlineLevel="0" collapsed="false">
      <c r="A601" s="0" t="n">
        <v>10</v>
      </c>
      <c r="B601" s="0" t="n">
        <v>60</v>
      </c>
      <c r="C601" s="0" t="str">
        <f aca="false">TRIM(SUBSTITUTE(INDEX(LISTAS!$A$4:$T$63,B601,A601)&amp;"",CHAR(160)," "))</f>
        <v/>
      </c>
      <c r="D601" s="0" t="str">
        <f aca="false">IF(C601="","",TRIM(RIGHT(SUBSTITUTE(C601," ",REPT(" ",100)),100)))</f>
        <v/>
      </c>
      <c r="E601" s="0" t="str">
        <f aca="false">IF(D601="","",UPPER(SUBSTITUTE(SUBSTITUTE(D601,"(",""),")","")))</f>
        <v/>
      </c>
      <c r="F601" s="0" t="str">
        <f aca="false">IF(C601="","",LEFT(C601,FIND(" ",C601&amp;" ")-1))</f>
        <v/>
      </c>
      <c r="G601" s="0" t="n">
        <f aca="false">IFERROR(VALUE(SUBSTITUTE(LOWER(F601),"x","")),0)</f>
        <v>0</v>
      </c>
      <c r="H601" s="0" t="str">
        <f aca="false">IF(C601="","",TRIM(MID(C601,LEN(F601)+2,999)))</f>
        <v/>
      </c>
      <c r="I601" s="0" t="n">
        <f aca="false">IF(OR(C601="",LEFT(C601,2)="//"),0,IFERROR(IF(AND(G601&gt;0,G601=INT(G601),FIND("-",E601)&gt;1,NOT(EXACT(UPPER(LEFT(E601,1)),LOWER(LEFT(E601,1)))),ISNUMBER(VALUE(MID(E601,FIND("-",E601)+1,10)))),1,0),0))</f>
        <v>0</v>
      </c>
      <c r="J601" s="0" t="str">
        <f aca="false">IF(I601=1,TRIM(LEFT(H601,MAX(0,LEN(H601)-LEN(D601)))),"")</f>
        <v/>
      </c>
      <c r="K601" s="0" t="str">
        <f aca="false">INDEX($P$2:$P$21,A601)</f>
        <v>Deck 10</v>
      </c>
      <c r="L601" s="0" t="n">
        <f aca="false">IF(AND(C601&lt;&gt;"",LEFT(C601,2)&lt;&gt;"//",I601=0),1,0)</f>
        <v>0</v>
      </c>
      <c r="M601" s="0" t="str">
        <f aca="false">IF(I601=1,MAX(M$1:M600)+1,"")</f>
        <v/>
      </c>
      <c r="N601" s="0" t="str">
        <f aca="false">IFERROR(MATCH(ROW()-1,$V$2:$V$1201,0),"")</f>
        <v/>
      </c>
      <c r="R601" s="0" t="str">
        <f aca="false">IF(E601="","",IFERROR(LEFT(E601,FIND("-",E601)-1),E601))</f>
        <v/>
      </c>
      <c r="S601" s="0" t="str">
        <f aca="false">IF(R601="","",IF(ISNUMBER(--MID(R601,1,1)),0,IF(ISNUMBER(--MID(R601,2,1)),1,IF(ISNUMBER(--MID(R601,3,1)),2,IF(ISNUMBER(--MID(R601,4,1)),3,MIN(LEN(R601),4))))))</f>
        <v/>
      </c>
      <c r="T601" s="0" t="str">
        <f aca="false">IF(E601="","",LEFT(R601,S601)&amp;REPT("0",4-S601)&amp;RIGHT("000"&amp;IFERROR(VALUE(MID(R601,S601+1,9)),0),3)&amp;RIGHT("0000"&amp;IFERROR(VALUE(MID(E601,FIND("-",E601)+1,9)),0),4))</f>
        <v/>
      </c>
      <c r="U601" s="0" t="str">
        <f aca="false">IF(I601=1,"K"&amp;RIGHT("00"&amp;A601,2)&amp;T601&amp;RIGHT("00000"&amp;ROW(),5),"")</f>
        <v/>
      </c>
      <c r="V601" s="0" t="str">
        <f aca="false">IF(U601="","",COUNTIFS($I$2:$I$1201,1,$U$2:$U$1201,"&lt;"&amp;U601)+1)</f>
        <v/>
      </c>
    </row>
    <row r="602" customFormat="false" ht="15" hidden="false" customHeight="false" outlineLevel="0" collapsed="false">
      <c r="A602" s="0" t="n">
        <v>11</v>
      </c>
      <c r="B602" s="0" t="n">
        <v>1</v>
      </c>
      <c r="C602" s="0" t="str">
        <f aca="false">TRIM(SUBSTITUTE(INDEX(LISTAS!$A$4:$T$63,B602,A602)&amp;"",CHAR(160)," "))</f>
        <v/>
      </c>
      <c r="D602" s="0" t="str">
        <f aca="false">IF(C602="","",TRIM(RIGHT(SUBSTITUTE(C602," ",REPT(" ",100)),100)))</f>
        <v/>
      </c>
      <c r="E602" s="0" t="str">
        <f aca="false">IF(D602="","",UPPER(SUBSTITUTE(SUBSTITUTE(D602,"(",""),")","")))</f>
        <v/>
      </c>
      <c r="F602" s="0" t="str">
        <f aca="false">IF(C602="","",LEFT(C602,FIND(" ",C602&amp;" ")-1))</f>
        <v/>
      </c>
      <c r="G602" s="0" t="n">
        <f aca="false">IFERROR(VALUE(SUBSTITUTE(LOWER(F602),"x","")),0)</f>
        <v>0</v>
      </c>
      <c r="H602" s="0" t="str">
        <f aca="false">IF(C602="","",TRIM(MID(C602,LEN(F602)+2,999)))</f>
        <v/>
      </c>
      <c r="I602" s="0" t="n">
        <f aca="false">IF(OR(C602="",LEFT(C602,2)="//"),0,IFERROR(IF(AND(G602&gt;0,G602=INT(G602),FIND("-",E602)&gt;1,NOT(EXACT(UPPER(LEFT(E602,1)),LOWER(LEFT(E602,1)))),ISNUMBER(VALUE(MID(E602,FIND("-",E602)+1,10)))),1,0),0))</f>
        <v>0</v>
      </c>
      <c r="J602" s="0" t="str">
        <f aca="false">IF(I602=1,TRIM(LEFT(H602,MAX(0,LEN(H602)-LEN(D602)))),"")</f>
        <v/>
      </c>
      <c r="K602" s="0" t="str">
        <f aca="false">INDEX($P$2:$P$21,A602)</f>
        <v>Deck 11</v>
      </c>
      <c r="L602" s="0" t="n">
        <f aca="false">IF(AND(C602&lt;&gt;"",LEFT(C602,2)&lt;&gt;"//",I602=0),1,0)</f>
        <v>0</v>
      </c>
      <c r="M602" s="0" t="str">
        <f aca="false">IF(I602=1,MAX(M$1:M601)+1,"")</f>
        <v/>
      </c>
      <c r="N602" s="0" t="str">
        <f aca="false">IFERROR(MATCH(ROW()-1,$V$2:$V$1201,0),"")</f>
        <v/>
      </c>
      <c r="R602" s="0" t="str">
        <f aca="false">IF(E602="","",IFERROR(LEFT(E602,FIND("-",E602)-1),E602))</f>
        <v/>
      </c>
      <c r="S602" s="0" t="str">
        <f aca="false">IF(R602="","",IF(ISNUMBER(--MID(R602,1,1)),0,IF(ISNUMBER(--MID(R602,2,1)),1,IF(ISNUMBER(--MID(R602,3,1)),2,IF(ISNUMBER(--MID(R602,4,1)),3,MIN(LEN(R602),4))))))</f>
        <v/>
      </c>
      <c r="T602" s="0" t="str">
        <f aca="false">IF(E602="","",LEFT(R602,S602)&amp;REPT("0",4-S602)&amp;RIGHT("000"&amp;IFERROR(VALUE(MID(R602,S602+1,9)),0),3)&amp;RIGHT("0000"&amp;IFERROR(VALUE(MID(E602,FIND("-",E602)+1,9)),0),4))</f>
        <v/>
      </c>
      <c r="U602" s="0" t="str">
        <f aca="false">IF(I602=1,"K"&amp;RIGHT("00"&amp;A602,2)&amp;T602&amp;RIGHT("00000"&amp;ROW(),5),"")</f>
        <v/>
      </c>
      <c r="V602" s="0" t="str">
        <f aca="false">IF(U602="","",COUNTIFS($I$2:$I$1201,1,$U$2:$U$1201,"&lt;"&amp;U602)+1)</f>
        <v/>
      </c>
    </row>
    <row r="603" customFormat="false" ht="15" hidden="false" customHeight="false" outlineLevel="0" collapsed="false">
      <c r="A603" s="0" t="n">
        <v>11</v>
      </c>
      <c r="B603" s="0" t="n">
        <v>2</v>
      </c>
      <c r="C603" s="0" t="str">
        <f aca="false">TRIM(SUBSTITUTE(INDEX(LISTAS!$A$4:$T$63,B603,A603)&amp;"",CHAR(160)," "))</f>
        <v/>
      </c>
      <c r="D603" s="0" t="str">
        <f aca="false">IF(C603="","",TRIM(RIGHT(SUBSTITUTE(C603," ",REPT(" ",100)),100)))</f>
        <v/>
      </c>
      <c r="E603" s="0" t="str">
        <f aca="false">IF(D603="","",UPPER(SUBSTITUTE(SUBSTITUTE(D603,"(",""),")","")))</f>
        <v/>
      </c>
      <c r="F603" s="0" t="str">
        <f aca="false">IF(C603="","",LEFT(C603,FIND(" ",C603&amp;" ")-1))</f>
        <v/>
      </c>
      <c r="G603" s="0" t="n">
        <f aca="false">IFERROR(VALUE(SUBSTITUTE(LOWER(F603),"x","")),0)</f>
        <v>0</v>
      </c>
      <c r="H603" s="0" t="str">
        <f aca="false">IF(C603="","",TRIM(MID(C603,LEN(F603)+2,999)))</f>
        <v/>
      </c>
      <c r="I603" s="0" t="n">
        <f aca="false">IF(OR(C603="",LEFT(C603,2)="//"),0,IFERROR(IF(AND(G603&gt;0,G603=INT(G603),FIND("-",E603)&gt;1,NOT(EXACT(UPPER(LEFT(E603,1)),LOWER(LEFT(E603,1)))),ISNUMBER(VALUE(MID(E603,FIND("-",E603)+1,10)))),1,0),0))</f>
        <v>0</v>
      </c>
      <c r="J603" s="0" t="str">
        <f aca="false">IF(I603=1,TRIM(LEFT(H603,MAX(0,LEN(H603)-LEN(D603)))),"")</f>
        <v/>
      </c>
      <c r="K603" s="0" t="str">
        <f aca="false">INDEX($P$2:$P$21,A603)</f>
        <v>Deck 11</v>
      </c>
      <c r="L603" s="0" t="n">
        <f aca="false">IF(AND(C603&lt;&gt;"",LEFT(C603,2)&lt;&gt;"//",I603=0),1,0)</f>
        <v>0</v>
      </c>
      <c r="M603" s="0" t="str">
        <f aca="false">IF(I603=1,MAX(M$1:M602)+1,"")</f>
        <v/>
      </c>
      <c r="N603" s="0" t="str">
        <f aca="false">IFERROR(MATCH(ROW()-1,$V$2:$V$1201,0),"")</f>
        <v/>
      </c>
      <c r="R603" s="0" t="str">
        <f aca="false">IF(E603="","",IFERROR(LEFT(E603,FIND("-",E603)-1),E603))</f>
        <v/>
      </c>
      <c r="S603" s="0" t="str">
        <f aca="false">IF(R603="","",IF(ISNUMBER(--MID(R603,1,1)),0,IF(ISNUMBER(--MID(R603,2,1)),1,IF(ISNUMBER(--MID(R603,3,1)),2,IF(ISNUMBER(--MID(R603,4,1)),3,MIN(LEN(R603),4))))))</f>
        <v/>
      </c>
      <c r="T603" s="0" t="str">
        <f aca="false">IF(E603="","",LEFT(R603,S603)&amp;REPT("0",4-S603)&amp;RIGHT("000"&amp;IFERROR(VALUE(MID(R603,S603+1,9)),0),3)&amp;RIGHT("0000"&amp;IFERROR(VALUE(MID(E603,FIND("-",E603)+1,9)),0),4))</f>
        <v/>
      </c>
      <c r="U603" s="0" t="str">
        <f aca="false">IF(I603=1,"K"&amp;RIGHT("00"&amp;A603,2)&amp;T603&amp;RIGHT("00000"&amp;ROW(),5),"")</f>
        <v/>
      </c>
      <c r="V603" s="0" t="str">
        <f aca="false">IF(U603="","",COUNTIFS($I$2:$I$1201,1,$U$2:$U$1201,"&lt;"&amp;U603)+1)</f>
        <v/>
      </c>
    </row>
    <row r="604" customFormat="false" ht="15" hidden="false" customHeight="false" outlineLevel="0" collapsed="false">
      <c r="A604" s="0" t="n">
        <v>11</v>
      </c>
      <c r="B604" s="0" t="n">
        <v>3</v>
      </c>
      <c r="C604" s="0" t="str">
        <f aca="false">TRIM(SUBSTITUTE(INDEX(LISTAS!$A$4:$T$63,B604,A604)&amp;"",CHAR(160)," "))</f>
        <v/>
      </c>
      <c r="D604" s="0" t="str">
        <f aca="false">IF(C604="","",TRIM(RIGHT(SUBSTITUTE(C604," ",REPT(" ",100)),100)))</f>
        <v/>
      </c>
      <c r="E604" s="0" t="str">
        <f aca="false">IF(D604="","",UPPER(SUBSTITUTE(SUBSTITUTE(D604,"(",""),")","")))</f>
        <v/>
      </c>
      <c r="F604" s="0" t="str">
        <f aca="false">IF(C604="","",LEFT(C604,FIND(" ",C604&amp;" ")-1))</f>
        <v/>
      </c>
      <c r="G604" s="0" t="n">
        <f aca="false">IFERROR(VALUE(SUBSTITUTE(LOWER(F604),"x","")),0)</f>
        <v>0</v>
      </c>
      <c r="H604" s="0" t="str">
        <f aca="false">IF(C604="","",TRIM(MID(C604,LEN(F604)+2,999)))</f>
        <v/>
      </c>
      <c r="I604" s="0" t="n">
        <f aca="false">IF(OR(C604="",LEFT(C604,2)="//"),0,IFERROR(IF(AND(G604&gt;0,G604=INT(G604),FIND("-",E604)&gt;1,NOT(EXACT(UPPER(LEFT(E604,1)),LOWER(LEFT(E604,1)))),ISNUMBER(VALUE(MID(E604,FIND("-",E604)+1,10)))),1,0),0))</f>
        <v>0</v>
      </c>
      <c r="J604" s="0" t="str">
        <f aca="false">IF(I604=1,TRIM(LEFT(H604,MAX(0,LEN(H604)-LEN(D604)))),"")</f>
        <v/>
      </c>
      <c r="K604" s="0" t="str">
        <f aca="false">INDEX($P$2:$P$21,A604)</f>
        <v>Deck 11</v>
      </c>
      <c r="L604" s="0" t="n">
        <f aca="false">IF(AND(C604&lt;&gt;"",LEFT(C604,2)&lt;&gt;"//",I604=0),1,0)</f>
        <v>0</v>
      </c>
      <c r="M604" s="0" t="str">
        <f aca="false">IF(I604=1,MAX(M$1:M603)+1,"")</f>
        <v/>
      </c>
      <c r="N604" s="0" t="str">
        <f aca="false">IFERROR(MATCH(ROW()-1,$V$2:$V$1201,0),"")</f>
        <v/>
      </c>
      <c r="R604" s="0" t="str">
        <f aca="false">IF(E604="","",IFERROR(LEFT(E604,FIND("-",E604)-1),E604))</f>
        <v/>
      </c>
      <c r="S604" s="0" t="str">
        <f aca="false">IF(R604="","",IF(ISNUMBER(--MID(R604,1,1)),0,IF(ISNUMBER(--MID(R604,2,1)),1,IF(ISNUMBER(--MID(R604,3,1)),2,IF(ISNUMBER(--MID(R604,4,1)),3,MIN(LEN(R604),4))))))</f>
        <v/>
      </c>
      <c r="T604" s="0" t="str">
        <f aca="false">IF(E604="","",LEFT(R604,S604)&amp;REPT("0",4-S604)&amp;RIGHT("000"&amp;IFERROR(VALUE(MID(R604,S604+1,9)),0),3)&amp;RIGHT("0000"&amp;IFERROR(VALUE(MID(E604,FIND("-",E604)+1,9)),0),4))</f>
        <v/>
      </c>
      <c r="U604" s="0" t="str">
        <f aca="false">IF(I604=1,"K"&amp;RIGHT("00"&amp;A604,2)&amp;T604&amp;RIGHT("00000"&amp;ROW(),5),"")</f>
        <v/>
      </c>
      <c r="V604" s="0" t="str">
        <f aca="false">IF(U604="","",COUNTIFS($I$2:$I$1201,1,$U$2:$U$1201,"&lt;"&amp;U604)+1)</f>
        <v/>
      </c>
    </row>
    <row r="605" customFormat="false" ht="15" hidden="false" customHeight="false" outlineLevel="0" collapsed="false">
      <c r="A605" s="0" t="n">
        <v>11</v>
      </c>
      <c r="B605" s="0" t="n">
        <v>4</v>
      </c>
      <c r="C605" s="0" t="str">
        <f aca="false">TRIM(SUBSTITUTE(INDEX(LISTAS!$A$4:$T$63,B605,A605)&amp;"",CHAR(160)," "))</f>
        <v/>
      </c>
      <c r="D605" s="0" t="str">
        <f aca="false">IF(C605="","",TRIM(RIGHT(SUBSTITUTE(C605," ",REPT(" ",100)),100)))</f>
        <v/>
      </c>
      <c r="E605" s="0" t="str">
        <f aca="false">IF(D605="","",UPPER(SUBSTITUTE(SUBSTITUTE(D605,"(",""),")","")))</f>
        <v/>
      </c>
      <c r="F605" s="0" t="str">
        <f aca="false">IF(C605="","",LEFT(C605,FIND(" ",C605&amp;" ")-1))</f>
        <v/>
      </c>
      <c r="G605" s="0" t="n">
        <f aca="false">IFERROR(VALUE(SUBSTITUTE(LOWER(F605),"x","")),0)</f>
        <v>0</v>
      </c>
      <c r="H605" s="0" t="str">
        <f aca="false">IF(C605="","",TRIM(MID(C605,LEN(F605)+2,999)))</f>
        <v/>
      </c>
      <c r="I605" s="0" t="n">
        <f aca="false">IF(OR(C605="",LEFT(C605,2)="//"),0,IFERROR(IF(AND(G605&gt;0,G605=INT(G605),FIND("-",E605)&gt;1,NOT(EXACT(UPPER(LEFT(E605,1)),LOWER(LEFT(E605,1)))),ISNUMBER(VALUE(MID(E605,FIND("-",E605)+1,10)))),1,0),0))</f>
        <v>0</v>
      </c>
      <c r="J605" s="0" t="str">
        <f aca="false">IF(I605=1,TRIM(LEFT(H605,MAX(0,LEN(H605)-LEN(D605)))),"")</f>
        <v/>
      </c>
      <c r="K605" s="0" t="str">
        <f aca="false">INDEX($P$2:$P$21,A605)</f>
        <v>Deck 11</v>
      </c>
      <c r="L605" s="0" t="n">
        <f aca="false">IF(AND(C605&lt;&gt;"",LEFT(C605,2)&lt;&gt;"//",I605=0),1,0)</f>
        <v>0</v>
      </c>
      <c r="M605" s="0" t="str">
        <f aca="false">IF(I605=1,MAX(M$1:M604)+1,"")</f>
        <v/>
      </c>
      <c r="N605" s="0" t="str">
        <f aca="false">IFERROR(MATCH(ROW()-1,$V$2:$V$1201,0),"")</f>
        <v/>
      </c>
      <c r="R605" s="0" t="str">
        <f aca="false">IF(E605="","",IFERROR(LEFT(E605,FIND("-",E605)-1),E605))</f>
        <v/>
      </c>
      <c r="S605" s="0" t="str">
        <f aca="false">IF(R605="","",IF(ISNUMBER(--MID(R605,1,1)),0,IF(ISNUMBER(--MID(R605,2,1)),1,IF(ISNUMBER(--MID(R605,3,1)),2,IF(ISNUMBER(--MID(R605,4,1)),3,MIN(LEN(R605),4))))))</f>
        <v/>
      </c>
      <c r="T605" s="0" t="str">
        <f aca="false">IF(E605="","",LEFT(R605,S605)&amp;REPT("0",4-S605)&amp;RIGHT("000"&amp;IFERROR(VALUE(MID(R605,S605+1,9)),0),3)&amp;RIGHT("0000"&amp;IFERROR(VALUE(MID(E605,FIND("-",E605)+1,9)),0),4))</f>
        <v/>
      </c>
      <c r="U605" s="0" t="str">
        <f aca="false">IF(I605=1,"K"&amp;RIGHT("00"&amp;A605,2)&amp;T605&amp;RIGHT("00000"&amp;ROW(),5),"")</f>
        <v/>
      </c>
      <c r="V605" s="0" t="str">
        <f aca="false">IF(U605="","",COUNTIFS($I$2:$I$1201,1,$U$2:$U$1201,"&lt;"&amp;U605)+1)</f>
        <v/>
      </c>
    </row>
    <row r="606" customFormat="false" ht="15" hidden="false" customHeight="false" outlineLevel="0" collapsed="false">
      <c r="A606" s="0" t="n">
        <v>11</v>
      </c>
      <c r="B606" s="0" t="n">
        <v>5</v>
      </c>
      <c r="C606" s="0" t="str">
        <f aca="false">TRIM(SUBSTITUTE(INDEX(LISTAS!$A$4:$T$63,B606,A606)&amp;"",CHAR(160)," "))</f>
        <v/>
      </c>
      <c r="D606" s="0" t="str">
        <f aca="false">IF(C606="","",TRIM(RIGHT(SUBSTITUTE(C606," ",REPT(" ",100)),100)))</f>
        <v/>
      </c>
      <c r="E606" s="0" t="str">
        <f aca="false">IF(D606="","",UPPER(SUBSTITUTE(SUBSTITUTE(D606,"(",""),")","")))</f>
        <v/>
      </c>
      <c r="F606" s="0" t="str">
        <f aca="false">IF(C606="","",LEFT(C606,FIND(" ",C606&amp;" ")-1))</f>
        <v/>
      </c>
      <c r="G606" s="0" t="n">
        <f aca="false">IFERROR(VALUE(SUBSTITUTE(LOWER(F606),"x","")),0)</f>
        <v>0</v>
      </c>
      <c r="H606" s="0" t="str">
        <f aca="false">IF(C606="","",TRIM(MID(C606,LEN(F606)+2,999)))</f>
        <v/>
      </c>
      <c r="I606" s="0" t="n">
        <f aca="false">IF(OR(C606="",LEFT(C606,2)="//"),0,IFERROR(IF(AND(G606&gt;0,G606=INT(G606),FIND("-",E606)&gt;1,NOT(EXACT(UPPER(LEFT(E606,1)),LOWER(LEFT(E606,1)))),ISNUMBER(VALUE(MID(E606,FIND("-",E606)+1,10)))),1,0),0))</f>
        <v>0</v>
      </c>
      <c r="J606" s="0" t="str">
        <f aca="false">IF(I606=1,TRIM(LEFT(H606,MAX(0,LEN(H606)-LEN(D606)))),"")</f>
        <v/>
      </c>
      <c r="K606" s="0" t="str">
        <f aca="false">INDEX($P$2:$P$21,A606)</f>
        <v>Deck 11</v>
      </c>
      <c r="L606" s="0" t="n">
        <f aca="false">IF(AND(C606&lt;&gt;"",LEFT(C606,2)&lt;&gt;"//",I606=0),1,0)</f>
        <v>0</v>
      </c>
      <c r="M606" s="0" t="str">
        <f aca="false">IF(I606=1,MAX(M$1:M605)+1,"")</f>
        <v/>
      </c>
      <c r="N606" s="0" t="str">
        <f aca="false">IFERROR(MATCH(ROW()-1,$V$2:$V$1201,0),"")</f>
        <v/>
      </c>
      <c r="R606" s="0" t="str">
        <f aca="false">IF(E606="","",IFERROR(LEFT(E606,FIND("-",E606)-1),E606))</f>
        <v/>
      </c>
      <c r="S606" s="0" t="str">
        <f aca="false">IF(R606="","",IF(ISNUMBER(--MID(R606,1,1)),0,IF(ISNUMBER(--MID(R606,2,1)),1,IF(ISNUMBER(--MID(R606,3,1)),2,IF(ISNUMBER(--MID(R606,4,1)),3,MIN(LEN(R606),4))))))</f>
        <v/>
      </c>
      <c r="T606" s="0" t="str">
        <f aca="false">IF(E606="","",LEFT(R606,S606)&amp;REPT("0",4-S606)&amp;RIGHT("000"&amp;IFERROR(VALUE(MID(R606,S606+1,9)),0),3)&amp;RIGHT("0000"&amp;IFERROR(VALUE(MID(E606,FIND("-",E606)+1,9)),0),4))</f>
        <v/>
      </c>
      <c r="U606" s="0" t="str">
        <f aca="false">IF(I606=1,"K"&amp;RIGHT("00"&amp;A606,2)&amp;T606&amp;RIGHT("00000"&amp;ROW(),5),"")</f>
        <v/>
      </c>
      <c r="V606" s="0" t="str">
        <f aca="false">IF(U606="","",COUNTIFS($I$2:$I$1201,1,$U$2:$U$1201,"&lt;"&amp;U606)+1)</f>
        <v/>
      </c>
    </row>
    <row r="607" customFormat="false" ht="15" hidden="false" customHeight="false" outlineLevel="0" collapsed="false">
      <c r="A607" s="0" t="n">
        <v>11</v>
      </c>
      <c r="B607" s="0" t="n">
        <v>6</v>
      </c>
      <c r="C607" s="0" t="str">
        <f aca="false">TRIM(SUBSTITUTE(INDEX(LISTAS!$A$4:$T$63,B607,A607)&amp;"",CHAR(160)," "))</f>
        <v/>
      </c>
      <c r="D607" s="0" t="str">
        <f aca="false">IF(C607="","",TRIM(RIGHT(SUBSTITUTE(C607," ",REPT(" ",100)),100)))</f>
        <v/>
      </c>
      <c r="E607" s="0" t="str">
        <f aca="false">IF(D607="","",UPPER(SUBSTITUTE(SUBSTITUTE(D607,"(",""),")","")))</f>
        <v/>
      </c>
      <c r="F607" s="0" t="str">
        <f aca="false">IF(C607="","",LEFT(C607,FIND(" ",C607&amp;" ")-1))</f>
        <v/>
      </c>
      <c r="G607" s="0" t="n">
        <f aca="false">IFERROR(VALUE(SUBSTITUTE(LOWER(F607),"x","")),0)</f>
        <v>0</v>
      </c>
      <c r="H607" s="0" t="str">
        <f aca="false">IF(C607="","",TRIM(MID(C607,LEN(F607)+2,999)))</f>
        <v/>
      </c>
      <c r="I607" s="0" t="n">
        <f aca="false">IF(OR(C607="",LEFT(C607,2)="//"),0,IFERROR(IF(AND(G607&gt;0,G607=INT(G607),FIND("-",E607)&gt;1,NOT(EXACT(UPPER(LEFT(E607,1)),LOWER(LEFT(E607,1)))),ISNUMBER(VALUE(MID(E607,FIND("-",E607)+1,10)))),1,0),0))</f>
        <v>0</v>
      </c>
      <c r="J607" s="0" t="str">
        <f aca="false">IF(I607=1,TRIM(LEFT(H607,MAX(0,LEN(H607)-LEN(D607)))),"")</f>
        <v/>
      </c>
      <c r="K607" s="0" t="str">
        <f aca="false">INDEX($P$2:$P$21,A607)</f>
        <v>Deck 11</v>
      </c>
      <c r="L607" s="0" t="n">
        <f aca="false">IF(AND(C607&lt;&gt;"",LEFT(C607,2)&lt;&gt;"//",I607=0),1,0)</f>
        <v>0</v>
      </c>
      <c r="M607" s="0" t="str">
        <f aca="false">IF(I607=1,MAX(M$1:M606)+1,"")</f>
        <v/>
      </c>
      <c r="N607" s="0" t="str">
        <f aca="false">IFERROR(MATCH(ROW()-1,$V$2:$V$1201,0),"")</f>
        <v/>
      </c>
      <c r="R607" s="0" t="str">
        <f aca="false">IF(E607="","",IFERROR(LEFT(E607,FIND("-",E607)-1),E607))</f>
        <v/>
      </c>
      <c r="S607" s="0" t="str">
        <f aca="false">IF(R607="","",IF(ISNUMBER(--MID(R607,1,1)),0,IF(ISNUMBER(--MID(R607,2,1)),1,IF(ISNUMBER(--MID(R607,3,1)),2,IF(ISNUMBER(--MID(R607,4,1)),3,MIN(LEN(R607),4))))))</f>
        <v/>
      </c>
      <c r="T607" s="0" t="str">
        <f aca="false">IF(E607="","",LEFT(R607,S607)&amp;REPT("0",4-S607)&amp;RIGHT("000"&amp;IFERROR(VALUE(MID(R607,S607+1,9)),0),3)&amp;RIGHT("0000"&amp;IFERROR(VALUE(MID(E607,FIND("-",E607)+1,9)),0),4))</f>
        <v/>
      </c>
      <c r="U607" s="0" t="str">
        <f aca="false">IF(I607=1,"K"&amp;RIGHT("00"&amp;A607,2)&amp;T607&amp;RIGHT("00000"&amp;ROW(),5),"")</f>
        <v/>
      </c>
      <c r="V607" s="0" t="str">
        <f aca="false">IF(U607="","",COUNTIFS($I$2:$I$1201,1,$U$2:$U$1201,"&lt;"&amp;U607)+1)</f>
        <v/>
      </c>
    </row>
    <row r="608" customFormat="false" ht="15" hidden="false" customHeight="false" outlineLevel="0" collapsed="false">
      <c r="A608" s="0" t="n">
        <v>11</v>
      </c>
      <c r="B608" s="0" t="n">
        <v>7</v>
      </c>
      <c r="C608" s="0" t="str">
        <f aca="false">TRIM(SUBSTITUTE(INDEX(LISTAS!$A$4:$T$63,B608,A608)&amp;"",CHAR(160)," "))</f>
        <v/>
      </c>
      <c r="D608" s="0" t="str">
        <f aca="false">IF(C608="","",TRIM(RIGHT(SUBSTITUTE(C608," ",REPT(" ",100)),100)))</f>
        <v/>
      </c>
      <c r="E608" s="0" t="str">
        <f aca="false">IF(D608="","",UPPER(SUBSTITUTE(SUBSTITUTE(D608,"(",""),")","")))</f>
        <v/>
      </c>
      <c r="F608" s="0" t="str">
        <f aca="false">IF(C608="","",LEFT(C608,FIND(" ",C608&amp;" ")-1))</f>
        <v/>
      </c>
      <c r="G608" s="0" t="n">
        <f aca="false">IFERROR(VALUE(SUBSTITUTE(LOWER(F608),"x","")),0)</f>
        <v>0</v>
      </c>
      <c r="H608" s="0" t="str">
        <f aca="false">IF(C608="","",TRIM(MID(C608,LEN(F608)+2,999)))</f>
        <v/>
      </c>
      <c r="I608" s="0" t="n">
        <f aca="false">IF(OR(C608="",LEFT(C608,2)="//"),0,IFERROR(IF(AND(G608&gt;0,G608=INT(G608),FIND("-",E608)&gt;1,NOT(EXACT(UPPER(LEFT(E608,1)),LOWER(LEFT(E608,1)))),ISNUMBER(VALUE(MID(E608,FIND("-",E608)+1,10)))),1,0),0))</f>
        <v>0</v>
      </c>
      <c r="J608" s="0" t="str">
        <f aca="false">IF(I608=1,TRIM(LEFT(H608,MAX(0,LEN(H608)-LEN(D608)))),"")</f>
        <v/>
      </c>
      <c r="K608" s="0" t="str">
        <f aca="false">INDEX($P$2:$P$21,A608)</f>
        <v>Deck 11</v>
      </c>
      <c r="L608" s="0" t="n">
        <f aca="false">IF(AND(C608&lt;&gt;"",LEFT(C608,2)&lt;&gt;"//",I608=0),1,0)</f>
        <v>0</v>
      </c>
      <c r="M608" s="0" t="str">
        <f aca="false">IF(I608=1,MAX(M$1:M607)+1,"")</f>
        <v/>
      </c>
      <c r="N608" s="0" t="str">
        <f aca="false">IFERROR(MATCH(ROW()-1,$V$2:$V$1201,0),"")</f>
        <v/>
      </c>
      <c r="R608" s="0" t="str">
        <f aca="false">IF(E608="","",IFERROR(LEFT(E608,FIND("-",E608)-1),E608))</f>
        <v/>
      </c>
      <c r="S608" s="0" t="str">
        <f aca="false">IF(R608="","",IF(ISNUMBER(--MID(R608,1,1)),0,IF(ISNUMBER(--MID(R608,2,1)),1,IF(ISNUMBER(--MID(R608,3,1)),2,IF(ISNUMBER(--MID(R608,4,1)),3,MIN(LEN(R608),4))))))</f>
        <v/>
      </c>
      <c r="T608" s="0" t="str">
        <f aca="false">IF(E608="","",LEFT(R608,S608)&amp;REPT("0",4-S608)&amp;RIGHT("000"&amp;IFERROR(VALUE(MID(R608,S608+1,9)),0),3)&amp;RIGHT("0000"&amp;IFERROR(VALUE(MID(E608,FIND("-",E608)+1,9)),0),4))</f>
        <v/>
      </c>
      <c r="U608" s="0" t="str">
        <f aca="false">IF(I608=1,"K"&amp;RIGHT("00"&amp;A608,2)&amp;T608&amp;RIGHT("00000"&amp;ROW(),5),"")</f>
        <v/>
      </c>
      <c r="V608" s="0" t="str">
        <f aca="false">IF(U608="","",COUNTIFS($I$2:$I$1201,1,$U$2:$U$1201,"&lt;"&amp;U608)+1)</f>
        <v/>
      </c>
    </row>
    <row r="609" customFormat="false" ht="15" hidden="false" customHeight="false" outlineLevel="0" collapsed="false">
      <c r="A609" s="0" t="n">
        <v>11</v>
      </c>
      <c r="B609" s="0" t="n">
        <v>8</v>
      </c>
      <c r="C609" s="0" t="str">
        <f aca="false">TRIM(SUBSTITUTE(INDEX(LISTAS!$A$4:$T$63,B609,A609)&amp;"",CHAR(160)," "))</f>
        <v/>
      </c>
      <c r="D609" s="0" t="str">
        <f aca="false">IF(C609="","",TRIM(RIGHT(SUBSTITUTE(C609," ",REPT(" ",100)),100)))</f>
        <v/>
      </c>
      <c r="E609" s="0" t="str">
        <f aca="false">IF(D609="","",UPPER(SUBSTITUTE(SUBSTITUTE(D609,"(",""),")","")))</f>
        <v/>
      </c>
      <c r="F609" s="0" t="str">
        <f aca="false">IF(C609="","",LEFT(C609,FIND(" ",C609&amp;" ")-1))</f>
        <v/>
      </c>
      <c r="G609" s="0" t="n">
        <f aca="false">IFERROR(VALUE(SUBSTITUTE(LOWER(F609),"x","")),0)</f>
        <v>0</v>
      </c>
      <c r="H609" s="0" t="str">
        <f aca="false">IF(C609="","",TRIM(MID(C609,LEN(F609)+2,999)))</f>
        <v/>
      </c>
      <c r="I609" s="0" t="n">
        <f aca="false">IF(OR(C609="",LEFT(C609,2)="//"),0,IFERROR(IF(AND(G609&gt;0,G609=INT(G609),FIND("-",E609)&gt;1,NOT(EXACT(UPPER(LEFT(E609,1)),LOWER(LEFT(E609,1)))),ISNUMBER(VALUE(MID(E609,FIND("-",E609)+1,10)))),1,0),0))</f>
        <v>0</v>
      </c>
      <c r="J609" s="0" t="str">
        <f aca="false">IF(I609=1,TRIM(LEFT(H609,MAX(0,LEN(H609)-LEN(D609)))),"")</f>
        <v/>
      </c>
      <c r="K609" s="0" t="str">
        <f aca="false">INDEX($P$2:$P$21,A609)</f>
        <v>Deck 11</v>
      </c>
      <c r="L609" s="0" t="n">
        <f aca="false">IF(AND(C609&lt;&gt;"",LEFT(C609,2)&lt;&gt;"//",I609=0),1,0)</f>
        <v>0</v>
      </c>
      <c r="M609" s="0" t="str">
        <f aca="false">IF(I609=1,MAX(M$1:M608)+1,"")</f>
        <v/>
      </c>
      <c r="N609" s="0" t="str">
        <f aca="false">IFERROR(MATCH(ROW()-1,$V$2:$V$1201,0),"")</f>
        <v/>
      </c>
      <c r="R609" s="0" t="str">
        <f aca="false">IF(E609="","",IFERROR(LEFT(E609,FIND("-",E609)-1),E609))</f>
        <v/>
      </c>
      <c r="S609" s="0" t="str">
        <f aca="false">IF(R609="","",IF(ISNUMBER(--MID(R609,1,1)),0,IF(ISNUMBER(--MID(R609,2,1)),1,IF(ISNUMBER(--MID(R609,3,1)),2,IF(ISNUMBER(--MID(R609,4,1)),3,MIN(LEN(R609),4))))))</f>
        <v/>
      </c>
      <c r="T609" s="0" t="str">
        <f aca="false">IF(E609="","",LEFT(R609,S609)&amp;REPT("0",4-S609)&amp;RIGHT("000"&amp;IFERROR(VALUE(MID(R609,S609+1,9)),0),3)&amp;RIGHT("0000"&amp;IFERROR(VALUE(MID(E609,FIND("-",E609)+1,9)),0),4))</f>
        <v/>
      </c>
      <c r="U609" s="0" t="str">
        <f aca="false">IF(I609=1,"K"&amp;RIGHT("00"&amp;A609,2)&amp;T609&amp;RIGHT("00000"&amp;ROW(),5),"")</f>
        <v/>
      </c>
      <c r="V609" s="0" t="str">
        <f aca="false">IF(U609="","",COUNTIFS($I$2:$I$1201,1,$U$2:$U$1201,"&lt;"&amp;U609)+1)</f>
        <v/>
      </c>
    </row>
    <row r="610" customFormat="false" ht="15" hidden="false" customHeight="false" outlineLevel="0" collapsed="false">
      <c r="A610" s="0" t="n">
        <v>11</v>
      </c>
      <c r="B610" s="0" t="n">
        <v>9</v>
      </c>
      <c r="C610" s="0" t="str">
        <f aca="false">TRIM(SUBSTITUTE(INDEX(LISTAS!$A$4:$T$63,B610,A610)&amp;"",CHAR(160)," "))</f>
        <v/>
      </c>
      <c r="D610" s="0" t="str">
        <f aca="false">IF(C610="","",TRIM(RIGHT(SUBSTITUTE(C610," ",REPT(" ",100)),100)))</f>
        <v/>
      </c>
      <c r="E610" s="0" t="str">
        <f aca="false">IF(D610="","",UPPER(SUBSTITUTE(SUBSTITUTE(D610,"(",""),")","")))</f>
        <v/>
      </c>
      <c r="F610" s="0" t="str">
        <f aca="false">IF(C610="","",LEFT(C610,FIND(" ",C610&amp;" ")-1))</f>
        <v/>
      </c>
      <c r="G610" s="0" t="n">
        <f aca="false">IFERROR(VALUE(SUBSTITUTE(LOWER(F610),"x","")),0)</f>
        <v>0</v>
      </c>
      <c r="H610" s="0" t="str">
        <f aca="false">IF(C610="","",TRIM(MID(C610,LEN(F610)+2,999)))</f>
        <v/>
      </c>
      <c r="I610" s="0" t="n">
        <f aca="false">IF(OR(C610="",LEFT(C610,2)="//"),0,IFERROR(IF(AND(G610&gt;0,G610=INT(G610),FIND("-",E610)&gt;1,NOT(EXACT(UPPER(LEFT(E610,1)),LOWER(LEFT(E610,1)))),ISNUMBER(VALUE(MID(E610,FIND("-",E610)+1,10)))),1,0),0))</f>
        <v>0</v>
      </c>
      <c r="J610" s="0" t="str">
        <f aca="false">IF(I610=1,TRIM(LEFT(H610,MAX(0,LEN(H610)-LEN(D610)))),"")</f>
        <v/>
      </c>
      <c r="K610" s="0" t="str">
        <f aca="false">INDEX($P$2:$P$21,A610)</f>
        <v>Deck 11</v>
      </c>
      <c r="L610" s="0" t="n">
        <f aca="false">IF(AND(C610&lt;&gt;"",LEFT(C610,2)&lt;&gt;"//",I610=0),1,0)</f>
        <v>0</v>
      </c>
      <c r="M610" s="0" t="str">
        <f aca="false">IF(I610=1,MAX(M$1:M609)+1,"")</f>
        <v/>
      </c>
      <c r="N610" s="0" t="str">
        <f aca="false">IFERROR(MATCH(ROW()-1,$V$2:$V$1201,0),"")</f>
        <v/>
      </c>
      <c r="R610" s="0" t="str">
        <f aca="false">IF(E610="","",IFERROR(LEFT(E610,FIND("-",E610)-1),E610))</f>
        <v/>
      </c>
      <c r="S610" s="0" t="str">
        <f aca="false">IF(R610="","",IF(ISNUMBER(--MID(R610,1,1)),0,IF(ISNUMBER(--MID(R610,2,1)),1,IF(ISNUMBER(--MID(R610,3,1)),2,IF(ISNUMBER(--MID(R610,4,1)),3,MIN(LEN(R610),4))))))</f>
        <v/>
      </c>
      <c r="T610" s="0" t="str">
        <f aca="false">IF(E610="","",LEFT(R610,S610)&amp;REPT("0",4-S610)&amp;RIGHT("000"&amp;IFERROR(VALUE(MID(R610,S610+1,9)),0),3)&amp;RIGHT("0000"&amp;IFERROR(VALUE(MID(E610,FIND("-",E610)+1,9)),0),4))</f>
        <v/>
      </c>
      <c r="U610" s="0" t="str">
        <f aca="false">IF(I610=1,"K"&amp;RIGHT("00"&amp;A610,2)&amp;T610&amp;RIGHT("00000"&amp;ROW(),5),"")</f>
        <v/>
      </c>
      <c r="V610" s="0" t="str">
        <f aca="false">IF(U610="","",COUNTIFS($I$2:$I$1201,1,$U$2:$U$1201,"&lt;"&amp;U610)+1)</f>
        <v/>
      </c>
    </row>
    <row r="611" customFormat="false" ht="15" hidden="false" customHeight="false" outlineLevel="0" collapsed="false">
      <c r="A611" s="0" t="n">
        <v>11</v>
      </c>
      <c r="B611" s="0" t="n">
        <v>10</v>
      </c>
      <c r="C611" s="0" t="str">
        <f aca="false">TRIM(SUBSTITUTE(INDEX(LISTAS!$A$4:$T$63,B611,A611)&amp;"",CHAR(160)," "))</f>
        <v/>
      </c>
      <c r="D611" s="0" t="str">
        <f aca="false">IF(C611="","",TRIM(RIGHT(SUBSTITUTE(C611," ",REPT(" ",100)),100)))</f>
        <v/>
      </c>
      <c r="E611" s="0" t="str">
        <f aca="false">IF(D611="","",UPPER(SUBSTITUTE(SUBSTITUTE(D611,"(",""),")","")))</f>
        <v/>
      </c>
      <c r="F611" s="0" t="str">
        <f aca="false">IF(C611="","",LEFT(C611,FIND(" ",C611&amp;" ")-1))</f>
        <v/>
      </c>
      <c r="G611" s="0" t="n">
        <f aca="false">IFERROR(VALUE(SUBSTITUTE(LOWER(F611),"x","")),0)</f>
        <v>0</v>
      </c>
      <c r="H611" s="0" t="str">
        <f aca="false">IF(C611="","",TRIM(MID(C611,LEN(F611)+2,999)))</f>
        <v/>
      </c>
      <c r="I611" s="0" t="n">
        <f aca="false">IF(OR(C611="",LEFT(C611,2)="//"),0,IFERROR(IF(AND(G611&gt;0,G611=INT(G611),FIND("-",E611)&gt;1,NOT(EXACT(UPPER(LEFT(E611,1)),LOWER(LEFT(E611,1)))),ISNUMBER(VALUE(MID(E611,FIND("-",E611)+1,10)))),1,0),0))</f>
        <v>0</v>
      </c>
      <c r="J611" s="0" t="str">
        <f aca="false">IF(I611=1,TRIM(LEFT(H611,MAX(0,LEN(H611)-LEN(D611)))),"")</f>
        <v/>
      </c>
      <c r="K611" s="0" t="str">
        <f aca="false">INDEX($P$2:$P$21,A611)</f>
        <v>Deck 11</v>
      </c>
      <c r="L611" s="0" t="n">
        <f aca="false">IF(AND(C611&lt;&gt;"",LEFT(C611,2)&lt;&gt;"//",I611=0),1,0)</f>
        <v>0</v>
      </c>
      <c r="M611" s="0" t="str">
        <f aca="false">IF(I611=1,MAX(M$1:M610)+1,"")</f>
        <v/>
      </c>
      <c r="N611" s="0" t="str">
        <f aca="false">IFERROR(MATCH(ROW()-1,$V$2:$V$1201,0),"")</f>
        <v/>
      </c>
      <c r="R611" s="0" t="str">
        <f aca="false">IF(E611="","",IFERROR(LEFT(E611,FIND("-",E611)-1),E611))</f>
        <v/>
      </c>
      <c r="S611" s="0" t="str">
        <f aca="false">IF(R611="","",IF(ISNUMBER(--MID(R611,1,1)),0,IF(ISNUMBER(--MID(R611,2,1)),1,IF(ISNUMBER(--MID(R611,3,1)),2,IF(ISNUMBER(--MID(R611,4,1)),3,MIN(LEN(R611),4))))))</f>
        <v/>
      </c>
      <c r="T611" s="0" t="str">
        <f aca="false">IF(E611="","",LEFT(R611,S611)&amp;REPT("0",4-S611)&amp;RIGHT("000"&amp;IFERROR(VALUE(MID(R611,S611+1,9)),0),3)&amp;RIGHT("0000"&amp;IFERROR(VALUE(MID(E611,FIND("-",E611)+1,9)),0),4))</f>
        <v/>
      </c>
      <c r="U611" s="0" t="str">
        <f aca="false">IF(I611=1,"K"&amp;RIGHT("00"&amp;A611,2)&amp;T611&amp;RIGHT("00000"&amp;ROW(),5),"")</f>
        <v/>
      </c>
      <c r="V611" s="0" t="str">
        <f aca="false">IF(U611="","",COUNTIFS($I$2:$I$1201,1,$U$2:$U$1201,"&lt;"&amp;U611)+1)</f>
        <v/>
      </c>
    </row>
    <row r="612" customFormat="false" ht="15" hidden="false" customHeight="false" outlineLevel="0" collapsed="false">
      <c r="A612" s="0" t="n">
        <v>11</v>
      </c>
      <c r="B612" s="0" t="n">
        <v>11</v>
      </c>
      <c r="C612" s="0" t="str">
        <f aca="false">TRIM(SUBSTITUTE(INDEX(LISTAS!$A$4:$T$63,B612,A612)&amp;"",CHAR(160)," "))</f>
        <v/>
      </c>
      <c r="D612" s="0" t="str">
        <f aca="false">IF(C612="","",TRIM(RIGHT(SUBSTITUTE(C612," ",REPT(" ",100)),100)))</f>
        <v/>
      </c>
      <c r="E612" s="0" t="str">
        <f aca="false">IF(D612="","",UPPER(SUBSTITUTE(SUBSTITUTE(D612,"(",""),")","")))</f>
        <v/>
      </c>
      <c r="F612" s="0" t="str">
        <f aca="false">IF(C612="","",LEFT(C612,FIND(" ",C612&amp;" ")-1))</f>
        <v/>
      </c>
      <c r="G612" s="0" t="n">
        <f aca="false">IFERROR(VALUE(SUBSTITUTE(LOWER(F612),"x","")),0)</f>
        <v>0</v>
      </c>
      <c r="H612" s="0" t="str">
        <f aca="false">IF(C612="","",TRIM(MID(C612,LEN(F612)+2,999)))</f>
        <v/>
      </c>
      <c r="I612" s="0" t="n">
        <f aca="false">IF(OR(C612="",LEFT(C612,2)="//"),0,IFERROR(IF(AND(G612&gt;0,G612=INT(G612),FIND("-",E612)&gt;1,NOT(EXACT(UPPER(LEFT(E612,1)),LOWER(LEFT(E612,1)))),ISNUMBER(VALUE(MID(E612,FIND("-",E612)+1,10)))),1,0),0))</f>
        <v>0</v>
      </c>
      <c r="J612" s="0" t="str">
        <f aca="false">IF(I612=1,TRIM(LEFT(H612,MAX(0,LEN(H612)-LEN(D612)))),"")</f>
        <v/>
      </c>
      <c r="K612" s="0" t="str">
        <f aca="false">INDEX($P$2:$P$21,A612)</f>
        <v>Deck 11</v>
      </c>
      <c r="L612" s="0" t="n">
        <f aca="false">IF(AND(C612&lt;&gt;"",LEFT(C612,2)&lt;&gt;"//",I612=0),1,0)</f>
        <v>0</v>
      </c>
      <c r="M612" s="0" t="str">
        <f aca="false">IF(I612=1,MAX(M$1:M611)+1,"")</f>
        <v/>
      </c>
      <c r="N612" s="0" t="str">
        <f aca="false">IFERROR(MATCH(ROW()-1,$V$2:$V$1201,0),"")</f>
        <v/>
      </c>
      <c r="R612" s="0" t="str">
        <f aca="false">IF(E612="","",IFERROR(LEFT(E612,FIND("-",E612)-1),E612))</f>
        <v/>
      </c>
      <c r="S612" s="0" t="str">
        <f aca="false">IF(R612="","",IF(ISNUMBER(--MID(R612,1,1)),0,IF(ISNUMBER(--MID(R612,2,1)),1,IF(ISNUMBER(--MID(R612,3,1)),2,IF(ISNUMBER(--MID(R612,4,1)),3,MIN(LEN(R612),4))))))</f>
        <v/>
      </c>
      <c r="T612" s="0" t="str">
        <f aca="false">IF(E612="","",LEFT(R612,S612)&amp;REPT("0",4-S612)&amp;RIGHT("000"&amp;IFERROR(VALUE(MID(R612,S612+1,9)),0),3)&amp;RIGHT("0000"&amp;IFERROR(VALUE(MID(E612,FIND("-",E612)+1,9)),0),4))</f>
        <v/>
      </c>
      <c r="U612" s="0" t="str">
        <f aca="false">IF(I612=1,"K"&amp;RIGHT("00"&amp;A612,2)&amp;T612&amp;RIGHT("00000"&amp;ROW(),5),"")</f>
        <v/>
      </c>
      <c r="V612" s="0" t="str">
        <f aca="false">IF(U612="","",COUNTIFS($I$2:$I$1201,1,$U$2:$U$1201,"&lt;"&amp;U612)+1)</f>
        <v/>
      </c>
    </row>
    <row r="613" customFormat="false" ht="15" hidden="false" customHeight="false" outlineLevel="0" collapsed="false">
      <c r="A613" s="0" t="n">
        <v>11</v>
      </c>
      <c r="B613" s="0" t="n">
        <v>12</v>
      </c>
      <c r="C613" s="0" t="str">
        <f aca="false">TRIM(SUBSTITUTE(INDEX(LISTAS!$A$4:$T$63,B613,A613)&amp;"",CHAR(160)," "))</f>
        <v/>
      </c>
      <c r="D613" s="0" t="str">
        <f aca="false">IF(C613="","",TRIM(RIGHT(SUBSTITUTE(C613," ",REPT(" ",100)),100)))</f>
        <v/>
      </c>
      <c r="E613" s="0" t="str">
        <f aca="false">IF(D613="","",UPPER(SUBSTITUTE(SUBSTITUTE(D613,"(",""),")","")))</f>
        <v/>
      </c>
      <c r="F613" s="0" t="str">
        <f aca="false">IF(C613="","",LEFT(C613,FIND(" ",C613&amp;" ")-1))</f>
        <v/>
      </c>
      <c r="G613" s="0" t="n">
        <f aca="false">IFERROR(VALUE(SUBSTITUTE(LOWER(F613),"x","")),0)</f>
        <v>0</v>
      </c>
      <c r="H613" s="0" t="str">
        <f aca="false">IF(C613="","",TRIM(MID(C613,LEN(F613)+2,999)))</f>
        <v/>
      </c>
      <c r="I613" s="0" t="n">
        <f aca="false">IF(OR(C613="",LEFT(C613,2)="//"),0,IFERROR(IF(AND(G613&gt;0,G613=INT(G613),FIND("-",E613)&gt;1,NOT(EXACT(UPPER(LEFT(E613,1)),LOWER(LEFT(E613,1)))),ISNUMBER(VALUE(MID(E613,FIND("-",E613)+1,10)))),1,0),0))</f>
        <v>0</v>
      </c>
      <c r="J613" s="0" t="str">
        <f aca="false">IF(I613=1,TRIM(LEFT(H613,MAX(0,LEN(H613)-LEN(D613)))),"")</f>
        <v/>
      </c>
      <c r="K613" s="0" t="str">
        <f aca="false">INDEX($P$2:$P$21,A613)</f>
        <v>Deck 11</v>
      </c>
      <c r="L613" s="0" t="n">
        <f aca="false">IF(AND(C613&lt;&gt;"",LEFT(C613,2)&lt;&gt;"//",I613=0),1,0)</f>
        <v>0</v>
      </c>
      <c r="M613" s="0" t="str">
        <f aca="false">IF(I613=1,MAX(M$1:M612)+1,"")</f>
        <v/>
      </c>
      <c r="N613" s="0" t="str">
        <f aca="false">IFERROR(MATCH(ROW()-1,$V$2:$V$1201,0),"")</f>
        <v/>
      </c>
      <c r="R613" s="0" t="str">
        <f aca="false">IF(E613="","",IFERROR(LEFT(E613,FIND("-",E613)-1),E613))</f>
        <v/>
      </c>
      <c r="S613" s="0" t="str">
        <f aca="false">IF(R613="","",IF(ISNUMBER(--MID(R613,1,1)),0,IF(ISNUMBER(--MID(R613,2,1)),1,IF(ISNUMBER(--MID(R613,3,1)),2,IF(ISNUMBER(--MID(R613,4,1)),3,MIN(LEN(R613),4))))))</f>
        <v/>
      </c>
      <c r="T613" s="0" t="str">
        <f aca="false">IF(E613="","",LEFT(R613,S613)&amp;REPT("0",4-S613)&amp;RIGHT("000"&amp;IFERROR(VALUE(MID(R613,S613+1,9)),0),3)&amp;RIGHT("0000"&amp;IFERROR(VALUE(MID(E613,FIND("-",E613)+1,9)),0),4))</f>
        <v/>
      </c>
      <c r="U613" s="0" t="str">
        <f aca="false">IF(I613=1,"K"&amp;RIGHT("00"&amp;A613,2)&amp;T613&amp;RIGHT("00000"&amp;ROW(),5),"")</f>
        <v/>
      </c>
      <c r="V613" s="0" t="str">
        <f aca="false">IF(U613="","",COUNTIFS($I$2:$I$1201,1,$U$2:$U$1201,"&lt;"&amp;U613)+1)</f>
        <v/>
      </c>
    </row>
    <row r="614" customFormat="false" ht="15" hidden="false" customHeight="false" outlineLevel="0" collapsed="false">
      <c r="A614" s="0" t="n">
        <v>11</v>
      </c>
      <c r="B614" s="0" t="n">
        <v>13</v>
      </c>
      <c r="C614" s="0" t="str">
        <f aca="false">TRIM(SUBSTITUTE(INDEX(LISTAS!$A$4:$T$63,B614,A614)&amp;"",CHAR(160)," "))</f>
        <v/>
      </c>
      <c r="D614" s="0" t="str">
        <f aca="false">IF(C614="","",TRIM(RIGHT(SUBSTITUTE(C614," ",REPT(" ",100)),100)))</f>
        <v/>
      </c>
      <c r="E614" s="0" t="str">
        <f aca="false">IF(D614="","",UPPER(SUBSTITUTE(SUBSTITUTE(D614,"(",""),")","")))</f>
        <v/>
      </c>
      <c r="F614" s="0" t="str">
        <f aca="false">IF(C614="","",LEFT(C614,FIND(" ",C614&amp;" ")-1))</f>
        <v/>
      </c>
      <c r="G614" s="0" t="n">
        <f aca="false">IFERROR(VALUE(SUBSTITUTE(LOWER(F614),"x","")),0)</f>
        <v>0</v>
      </c>
      <c r="H614" s="0" t="str">
        <f aca="false">IF(C614="","",TRIM(MID(C614,LEN(F614)+2,999)))</f>
        <v/>
      </c>
      <c r="I614" s="0" t="n">
        <f aca="false">IF(OR(C614="",LEFT(C614,2)="//"),0,IFERROR(IF(AND(G614&gt;0,G614=INT(G614),FIND("-",E614)&gt;1,NOT(EXACT(UPPER(LEFT(E614,1)),LOWER(LEFT(E614,1)))),ISNUMBER(VALUE(MID(E614,FIND("-",E614)+1,10)))),1,0),0))</f>
        <v>0</v>
      </c>
      <c r="J614" s="0" t="str">
        <f aca="false">IF(I614=1,TRIM(LEFT(H614,MAX(0,LEN(H614)-LEN(D614)))),"")</f>
        <v/>
      </c>
      <c r="K614" s="0" t="str">
        <f aca="false">INDEX($P$2:$P$21,A614)</f>
        <v>Deck 11</v>
      </c>
      <c r="L614" s="0" t="n">
        <f aca="false">IF(AND(C614&lt;&gt;"",LEFT(C614,2)&lt;&gt;"//",I614=0),1,0)</f>
        <v>0</v>
      </c>
      <c r="M614" s="0" t="str">
        <f aca="false">IF(I614=1,MAX(M$1:M613)+1,"")</f>
        <v/>
      </c>
      <c r="N614" s="0" t="str">
        <f aca="false">IFERROR(MATCH(ROW()-1,$V$2:$V$1201,0),"")</f>
        <v/>
      </c>
      <c r="R614" s="0" t="str">
        <f aca="false">IF(E614="","",IFERROR(LEFT(E614,FIND("-",E614)-1),E614))</f>
        <v/>
      </c>
      <c r="S614" s="0" t="str">
        <f aca="false">IF(R614="","",IF(ISNUMBER(--MID(R614,1,1)),0,IF(ISNUMBER(--MID(R614,2,1)),1,IF(ISNUMBER(--MID(R614,3,1)),2,IF(ISNUMBER(--MID(R614,4,1)),3,MIN(LEN(R614),4))))))</f>
        <v/>
      </c>
      <c r="T614" s="0" t="str">
        <f aca="false">IF(E614="","",LEFT(R614,S614)&amp;REPT("0",4-S614)&amp;RIGHT("000"&amp;IFERROR(VALUE(MID(R614,S614+1,9)),0),3)&amp;RIGHT("0000"&amp;IFERROR(VALUE(MID(E614,FIND("-",E614)+1,9)),0),4))</f>
        <v/>
      </c>
      <c r="U614" s="0" t="str">
        <f aca="false">IF(I614=1,"K"&amp;RIGHT("00"&amp;A614,2)&amp;T614&amp;RIGHT("00000"&amp;ROW(),5),"")</f>
        <v/>
      </c>
      <c r="V614" s="0" t="str">
        <f aca="false">IF(U614="","",COUNTIFS($I$2:$I$1201,1,$U$2:$U$1201,"&lt;"&amp;U614)+1)</f>
        <v/>
      </c>
    </row>
    <row r="615" customFormat="false" ht="15" hidden="false" customHeight="false" outlineLevel="0" collapsed="false">
      <c r="A615" s="0" t="n">
        <v>11</v>
      </c>
      <c r="B615" s="0" t="n">
        <v>14</v>
      </c>
      <c r="C615" s="0" t="str">
        <f aca="false">TRIM(SUBSTITUTE(INDEX(LISTAS!$A$4:$T$63,B615,A615)&amp;"",CHAR(160)," "))</f>
        <v/>
      </c>
      <c r="D615" s="0" t="str">
        <f aca="false">IF(C615="","",TRIM(RIGHT(SUBSTITUTE(C615," ",REPT(" ",100)),100)))</f>
        <v/>
      </c>
      <c r="E615" s="0" t="str">
        <f aca="false">IF(D615="","",UPPER(SUBSTITUTE(SUBSTITUTE(D615,"(",""),")","")))</f>
        <v/>
      </c>
      <c r="F615" s="0" t="str">
        <f aca="false">IF(C615="","",LEFT(C615,FIND(" ",C615&amp;" ")-1))</f>
        <v/>
      </c>
      <c r="G615" s="0" t="n">
        <f aca="false">IFERROR(VALUE(SUBSTITUTE(LOWER(F615),"x","")),0)</f>
        <v>0</v>
      </c>
      <c r="H615" s="0" t="str">
        <f aca="false">IF(C615="","",TRIM(MID(C615,LEN(F615)+2,999)))</f>
        <v/>
      </c>
      <c r="I615" s="0" t="n">
        <f aca="false">IF(OR(C615="",LEFT(C615,2)="//"),0,IFERROR(IF(AND(G615&gt;0,G615=INT(G615),FIND("-",E615)&gt;1,NOT(EXACT(UPPER(LEFT(E615,1)),LOWER(LEFT(E615,1)))),ISNUMBER(VALUE(MID(E615,FIND("-",E615)+1,10)))),1,0),0))</f>
        <v>0</v>
      </c>
      <c r="J615" s="0" t="str">
        <f aca="false">IF(I615=1,TRIM(LEFT(H615,MAX(0,LEN(H615)-LEN(D615)))),"")</f>
        <v/>
      </c>
      <c r="K615" s="0" t="str">
        <f aca="false">INDEX($P$2:$P$21,A615)</f>
        <v>Deck 11</v>
      </c>
      <c r="L615" s="0" t="n">
        <f aca="false">IF(AND(C615&lt;&gt;"",LEFT(C615,2)&lt;&gt;"//",I615=0),1,0)</f>
        <v>0</v>
      </c>
      <c r="M615" s="0" t="str">
        <f aca="false">IF(I615=1,MAX(M$1:M614)+1,"")</f>
        <v/>
      </c>
      <c r="N615" s="0" t="str">
        <f aca="false">IFERROR(MATCH(ROW()-1,$V$2:$V$1201,0),"")</f>
        <v/>
      </c>
      <c r="R615" s="0" t="str">
        <f aca="false">IF(E615="","",IFERROR(LEFT(E615,FIND("-",E615)-1),E615))</f>
        <v/>
      </c>
      <c r="S615" s="0" t="str">
        <f aca="false">IF(R615="","",IF(ISNUMBER(--MID(R615,1,1)),0,IF(ISNUMBER(--MID(R615,2,1)),1,IF(ISNUMBER(--MID(R615,3,1)),2,IF(ISNUMBER(--MID(R615,4,1)),3,MIN(LEN(R615),4))))))</f>
        <v/>
      </c>
      <c r="T615" s="0" t="str">
        <f aca="false">IF(E615="","",LEFT(R615,S615)&amp;REPT("0",4-S615)&amp;RIGHT("000"&amp;IFERROR(VALUE(MID(R615,S615+1,9)),0),3)&amp;RIGHT("0000"&amp;IFERROR(VALUE(MID(E615,FIND("-",E615)+1,9)),0),4))</f>
        <v/>
      </c>
      <c r="U615" s="0" t="str">
        <f aca="false">IF(I615=1,"K"&amp;RIGHT("00"&amp;A615,2)&amp;T615&amp;RIGHT("00000"&amp;ROW(),5),"")</f>
        <v/>
      </c>
      <c r="V615" s="0" t="str">
        <f aca="false">IF(U615="","",COUNTIFS($I$2:$I$1201,1,$U$2:$U$1201,"&lt;"&amp;U615)+1)</f>
        <v/>
      </c>
    </row>
    <row r="616" customFormat="false" ht="15" hidden="false" customHeight="false" outlineLevel="0" collapsed="false">
      <c r="A616" s="0" t="n">
        <v>11</v>
      </c>
      <c r="B616" s="0" t="n">
        <v>15</v>
      </c>
      <c r="C616" s="0" t="str">
        <f aca="false">TRIM(SUBSTITUTE(INDEX(LISTAS!$A$4:$T$63,B616,A616)&amp;"",CHAR(160)," "))</f>
        <v/>
      </c>
      <c r="D616" s="0" t="str">
        <f aca="false">IF(C616="","",TRIM(RIGHT(SUBSTITUTE(C616," ",REPT(" ",100)),100)))</f>
        <v/>
      </c>
      <c r="E616" s="0" t="str">
        <f aca="false">IF(D616="","",UPPER(SUBSTITUTE(SUBSTITUTE(D616,"(",""),")","")))</f>
        <v/>
      </c>
      <c r="F616" s="0" t="str">
        <f aca="false">IF(C616="","",LEFT(C616,FIND(" ",C616&amp;" ")-1))</f>
        <v/>
      </c>
      <c r="G616" s="0" t="n">
        <f aca="false">IFERROR(VALUE(SUBSTITUTE(LOWER(F616),"x","")),0)</f>
        <v>0</v>
      </c>
      <c r="H616" s="0" t="str">
        <f aca="false">IF(C616="","",TRIM(MID(C616,LEN(F616)+2,999)))</f>
        <v/>
      </c>
      <c r="I616" s="0" t="n">
        <f aca="false">IF(OR(C616="",LEFT(C616,2)="//"),0,IFERROR(IF(AND(G616&gt;0,G616=INT(G616),FIND("-",E616)&gt;1,NOT(EXACT(UPPER(LEFT(E616,1)),LOWER(LEFT(E616,1)))),ISNUMBER(VALUE(MID(E616,FIND("-",E616)+1,10)))),1,0),0))</f>
        <v>0</v>
      </c>
      <c r="J616" s="0" t="str">
        <f aca="false">IF(I616=1,TRIM(LEFT(H616,MAX(0,LEN(H616)-LEN(D616)))),"")</f>
        <v/>
      </c>
      <c r="K616" s="0" t="str">
        <f aca="false">INDEX($P$2:$P$21,A616)</f>
        <v>Deck 11</v>
      </c>
      <c r="L616" s="0" t="n">
        <f aca="false">IF(AND(C616&lt;&gt;"",LEFT(C616,2)&lt;&gt;"//",I616=0),1,0)</f>
        <v>0</v>
      </c>
      <c r="M616" s="0" t="str">
        <f aca="false">IF(I616=1,MAX(M$1:M615)+1,"")</f>
        <v/>
      </c>
      <c r="N616" s="0" t="str">
        <f aca="false">IFERROR(MATCH(ROW()-1,$V$2:$V$1201,0),"")</f>
        <v/>
      </c>
      <c r="R616" s="0" t="str">
        <f aca="false">IF(E616="","",IFERROR(LEFT(E616,FIND("-",E616)-1),E616))</f>
        <v/>
      </c>
      <c r="S616" s="0" t="str">
        <f aca="false">IF(R616="","",IF(ISNUMBER(--MID(R616,1,1)),0,IF(ISNUMBER(--MID(R616,2,1)),1,IF(ISNUMBER(--MID(R616,3,1)),2,IF(ISNUMBER(--MID(R616,4,1)),3,MIN(LEN(R616),4))))))</f>
        <v/>
      </c>
      <c r="T616" s="0" t="str">
        <f aca="false">IF(E616="","",LEFT(R616,S616)&amp;REPT("0",4-S616)&amp;RIGHT("000"&amp;IFERROR(VALUE(MID(R616,S616+1,9)),0),3)&amp;RIGHT("0000"&amp;IFERROR(VALUE(MID(E616,FIND("-",E616)+1,9)),0),4))</f>
        <v/>
      </c>
      <c r="U616" s="0" t="str">
        <f aca="false">IF(I616=1,"K"&amp;RIGHT("00"&amp;A616,2)&amp;T616&amp;RIGHT("00000"&amp;ROW(),5),"")</f>
        <v/>
      </c>
      <c r="V616" s="0" t="str">
        <f aca="false">IF(U616="","",COUNTIFS($I$2:$I$1201,1,$U$2:$U$1201,"&lt;"&amp;U616)+1)</f>
        <v/>
      </c>
    </row>
    <row r="617" customFormat="false" ht="15" hidden="false" customHeight="false" outlineLevel="0" collapsed="false">
      <c r="A617" s="0" t="n">
        <v>11</v>
      </c>
      <c r="B617" s="0" t="n">
        <v>16</v>
      </c>
      <c r="C617" s="0" t="str">
        <f aca="false">TRIM(SUBSTITUTE(INDEX(LISTAS!$A$4:$T$63,B617,A617)&amp;"",CHAR(160)," "))</f>
        <v/>
      </c>
      <c r="D617" s="0" t="str">
        <f aca="false">IF(C617="","",TRIM(RIGHT(SUBSTITUTE(C617," ",REPT(" ",100)),100)))</f>
        <v/>
      </c>
      <c r="E617" s="0" t="str">
        <f aca="false">IF(D617="","",UPPER(SUBSTITUTE(SUBSTITUTE(D617,"(",""),")","")))</f>
        <v/>
      </c>
      <c r="F617" s="0" t="str">
        <f aca="false">IF(C617="","",LEFT(C617,FIND(" ",C617&amp;" ")-1))</f>
        <v/>
      </c>
      <c r="G617" s="0" t="n">
        <f aca="false">IFERROR(VALUE(SUBSTITUTE(LOWER(F617),"x","")),0)</f>
        <v>0</v>
      </c>
      <c r="H617" s="0" t="str">
        <f aca="false">IF(C617="","",TRIM(MID(C617,LEN(F617)+2,999)))</f>
        <v/>
      </c>
      <c r="I617" s="0" t="n">
        <f aca="false">IF(OR(C617="",LEFT(C617,2)="//"),0,IFERROR(IF(AND(G617&gt;0,G617=INT(G617),FIND("-",E617)&gt;1,NOT(EXACT(UPPER(LEFT(E617,1)),LOWER(LEFT(E617,1)))),ISNUMBER(VALUE(MID(E617,FIND("-",E617)+1,10)))),1,0),0))</f>
        <v>0</v>
      </c>
      <c r="J617" s="0" t="str">
        <f aca="false">IF(I617=1,TRIM(LEFT(H617,MAX(0,LEN(H617)-LEN(D617)))),"")</f>
        <v/>
      </c>
      <c r="K617" s="0" t="str">
        <f aca="false">INDEX($P$2:$P$21,A617)</f>
        <v>Deck 11</v>
      </c>
      <c r="L617" s="0" t="n">
        <f aca="false">IF(AND(C617&lt;&gt;"",LEFT(C617,2)&lt;&gt;"//",I617=0),1,0)</f>
        <v>0</v>
      </c>
      <c r="M617" s="0" t="str">
        <f aca="false">IF(I617=1,MAX(M$1:M616)+1,"")</f>
        <v/>
      </c>
      <c r="N617" s="0" t="str">
        <f aca="false">IFERROR(MATCH(ROW()-1,$V$2:$V$1201,0),"")</f>
        <v/>
      </c>
      <c r="R617" s="0" t="str">
        <f aca="false">IF(E617="","",IFERROR(LEFT(E617,FIND("-",E617)-1),E617))</f>
        <v/>
      </c>
      <c r="S617" s="0" t="str">
        <f aca="false">IF(R617="","",IF(ISNUMBER(--MID(R617,1,1)),0,IF(ISNUMBER(--MID(R617,2,1)),1,IF(ISNUMBER(--MID(R617,3,1)),2,IF(ISNUMBER(--MID(R617,4,1)),3,MIN(LEN(R617),4))))))</f>
        <v/>
      </c>
      <c r="T617" s="0" t="str">
        <f aca="false">IF(E617="","",LEFT(R617,S617)&amp;REPT("0",4-S617)&amp;RIGHT("000"&amp;IFERROR(VALUE(MID(R617,S617+1,9)),0),3)&amp;RIGHT("0000"&amp;IFERROR(VALUE(MID(E617,FIND("-",E617)+1,9)),0),4))</f>
        <v/>
      </c>
      <c r="U617" s="0" t="str">
        <f aca="false">IF(I617=1,"K"&amp;RIGHT("00"&amp;A617,2)&amp;T617&amp;RIGHT("00000"&amp;ROW(),5),"")</f>
        <v/>
      </c>
      <c r="V617" s="0" t="str">
        <f aca="false">IF(U617="","",COUNTIFS($I$2:$I$1201,1,$U$2:$U$1201,"&lt;"&amp;U617)+1)</f>
        <v/>
      </c>
    </row>
    <row r="618" customFormat="false" ht="15" hidden="false" customHeight="false" outlineLevel="0" collapsed="false">
      <c r="A618" s="0" t="n">
        <v>11</v>
      </c>
      <c r="B618" s="0" t="n">
        <v>17</v>
      </c>
      <c r="C618" s="0" t="str">
        <f aca="false">TRIM(SUBSTITUTE(INDEX(LISTAS!$A$4:$T$63,B618,A618)&amp;"",CHAR(160)," "))</f>
        <v/>
      </c>
      <c r="D618" s="0" t="str">
        <f aca="false">IF(C618="","",TRIM(RIGHT(SUBSTITUTE(C618," ",REPT(" ",100)),100)))</f>
        <v/>
      </c>
      <c r="E618" s="0" t="str">
        <f aca="false">IF(D618="","",UPPER(SUBSTITUTE(SUBSTITUTE(D618,"(",""),")","")))</f>
        <v/>
      </c>
      <c r="F618" s="0" t="str">
        <f aca="false">IF(C618="","",LEFT(C618,FIND(" ",C618&amp;" ")-1))</f>
        <v/>
      </c>
      <c r="G618" s="0" t="n">
        <f aca="false">IFERROR(VALUE(SUBSTITUTE(LOWER(F618),"x","")),0)</f>
        <v>0</v>
      </c>
      <c r="H618" s="0" t="str">
        <f aca="false">IF(C618="","",TRIM(MID(C618,LEN(F618)+2,999)))</f>
        <v/>
      </c>
      <c r="I618" s="0" t="n">
        <f aca="false">IF(OR(C618="",LEFT(C618,2)="//"),0,IFERROR(IF(AND(G618&gt;0,G618=INT(G618),FIND("-",E618)&gt;1,NOT(EXACT(UPPER(LEFT(E618,1)),LOWER(LEFT(E618,1)))),ISNUMBER(VALUE(MID(E618,FIND("-",E618)+1,10)))),1,0),0))</f>
        <v>0</v>
      </c>
      <c r="J618" s="0" t="str">
        <f aca="false">IF(I618=1,TRIM(LEFT(H618,MAX(0,LEN(H618)-LEN(D618)))),"")</f>
        <v/>
      </c>
      <c r="K618" s="0" t="str">
        <f aca="false">INDEX($P$2:$P$21,A618)</f>
        <v>Deck 11</v>
      </c>
      <c r="L618" s="0" t="n">
        <f aca="false">IF(AND(C618&lt;&gt;"",LEFT(C618,2)&lt;&gt;"//",I618=0),1,0)</f>
        <v>0</v>
      </c>
      <c r="M618" s="0" t="str">
        <f aca="false">IF(I618=1,MAX(M$1:M617)+1,"")</f>
        <v/>
      </c>
      <c r="N618" s="0" t="str">
        <f aca="false">IFERROR(MATCH(ROW()-1,$V$2:$V$1201,0),"")</f>
        <v/>
      </c>
      <c r="R618" s="0" t="str">
        <f aca="false">IF(E618="","",IFERROR(LEFT(E618,FIND("-",E618)-1),E618))</f>
        <v/>
      </c>
      <c r="S618" s="0" t="str">
        <f aca="false">IF(R618="","",IF(ISNUMBER(--MID(R618,1,1)),0,IF(ISNUMBER(--MID(R618,2,1)),1,IF(ISNUMBER(--MID(R618,3,1)),2,IF(ISNUMBER(--MID(R618,4,1)),3,MIN(LEN(R618),4))))))</f>
        <v/>
      </c>
      <c r="T618" s="0" t="str">
        <f aca="false">IF(E618="","",LEFT(R618,S618)&amp;REPT("0",4-S618)&amp;RIGHT("000"&amp;IFERROR(VALUE(MID(R618,S618+1,9)),0),3)&amp;RIGHT("0000"&amp;IFERROR(VALUE(MID(E618,FIND("-",E618)+1,9)),0),4))</f>
        <v/>
      </c>
      <c r="U618" s="0" t="str">
        <f aca="false">IF(I618=1,"K"&amp;RIGHT("00"&amp;A618,2)&amp;T618&amp;RIGHT("00000"&amp;ROW(),5),"")</f>
        <v/>
      </c>
      <c r="V618" s="0" t="str">
        <f aca="false">IF(U618="","",COUNTIFS($I$2:$I$1201,1,$U$2:$U$1201,"&lt;"&amp;U618)+1)</f>
        <v/>
      </c>
    </row>
    <row r="619" customFormat="false" ht="15" hidden="false" customHeight="false" outlineLevel="0" collapsed="false">
      <c r="A619" s="0" t="n">
        <v>11</v>
      </c>
      <c r="B619" s="0" t="n">
        <v>18</v>
      </c>
      <c r="C619" s="0" t="str">
        <f aca="false">TRIM(SUBSTITUTE(INDEX(LISTAS!$A$4:$T$63,B619,A619)&amp;"",CHAR(160)," "))</f>
        <v/>
      </c>
      <c r="D619" s="0" t="str">
        <f aca="false">IF(C619="","",TRIM(RIGHT(SUBSTITUTE(C619," ",REPT(" ",100)),100)))</f>
        <v/>
      </c>
      <c r="E619" s="0" t="str">
        <f aca="false">IF(D619="","",UPPER(SUBSTITUTE(SUBSTITUTE(D619,"(",""),")","")))</f>
        <v/>
      </c>
      <c r="F619" s="0" t="str">
        <f aca="false">IF(C619="","",LEFT(C619,FIND(" ",C619&amp;" ")-1))</f>
        <v/>
      </c>
      <c r="G619" s="0" t="n">
        <f aca="false">IFERROR(VALUE(SUBSTITUTE(LOWER(F619),"x","")),0)</f>
        <v>0</v>
      </c>
      <c r="H619" s="0" t="str">
        <f aca="false">IF(C619="","",TRIM(MID(C619,LEN(F619)+2,999)))</f>
        <v/>
      </c>
      <c r="I619" s="0" t="n">
        <f aca="false">IF(OR(C619="",LEFT(C619,2)="//"),0,IFERROR(IF(AND(G619&gt;0,G619=INT(G619),FIND("-",E619)&gt;1,NOT(EXACT(UPPER(LEFT(E619,1)),LOWER(LEFT(E619,1)))),ISNUMBER(VALUE(MID(E619,FIND("-",E619)+1,10)))),1,0),0))</f>
        <v>0</v>
      </c>
      <c r="J619" s="0" t="str">
        <f aca="false">IF(I619=1,TRIM(LEFT(H619,MAX(0,LEN(H619)-LEN(D619)))),"")</f>
        <v/>
      </c>
      <c r="K619" s="0" t="str">
        <f aca="false">INDEX($P$2:$P$21,A619)</f>
        <v>Deck 11</v>
      </c>
      <c r="L619" s="0" t="n">
        <f aca="false">IF(AND(C619&lt;&gt;"",LEFT(C619,2)&lt;&gt;"//",I619=0),1,0)</f>
        <v>0</v>
      </c>
      <c r="M619" s="0" t="str">
        <f aca="false">IF(I619=1,MAX(M$1:M618)+1,"")</f>
        <v/>
      </c>
      <c r="N619" s="0" t="str">
        <f aca="false">IFERROR(MATCH(ROW()-1,$V$2:$V$1201,0),"")</f>
        <v/>
      </c>
      <c r="R619" s="0" t="str">
        <f aca="false">IF(E619="","",IFERROR(LEFT(E619,FIND("-",E619)-1),E619))</f>
        <v/>
      </c>
      <c r="S619" s="0" t="str">
        <f aca="false">IF(R619="","",IF(ISNUMBER(--MID(R619,1,1)),0,IF(ISNUMBER(--MID(R619,2,1)),1,IF(ISNUMBER(--MID(R619,3,1)),2,IF(ISNUMBER(--MID(R619,4,1)),3,MIN(LEN(R619),4))))))</f>
        <v/>
      </c>
      <c r="T619" s="0" t="str">
        <f aca="false">IF(E619="","",LEFT(R619,S619)&amp;REPT("0",4-S619)&amp;RIGHT("000"&amp;IFERROR(VALUE(MID(R619,S619+1,9)),0),3)&amp;RIGHT("0000"&amp;IFERROR(VALUE(MID(E619,FIND("-",E619)+1,9)),0),4))</f>
        <v/>
      </c>
      <c r="U619" s="0" t="str">
        <f aca="false">IF(I619=1,"K"&amp;RIGHT("00"&amp;A619,2)&amp;T619&amp;RIGHT("00000"&amp;ROW(),5),"")</f>
        <v/>
      </c>
      <c r="V619" s="0" t="str">
        <f aca="false">IF(U619="","",COUNTIFS($I$2:$I$1201,1,$U$2:$U$1201,"&lt;"&amp;U619)+1)</f>
        <v/>
      </c>
    </row>
    <row r="620" customFormat="false" ht="15" hidden="false" customHeight="false" outlineLevel="0" collapsed="false">
      <c r="A620" s="0" t="n">
        <v>11</v>
      </c>
      <c r="B620" s="0" t="n">
        <v>19</v>
      </c>
      <c r="C620" s="0" t="str">
        <f aca="false">TRIM(SUBSTITUTE(INDEX(LISTAS!$A$4:$T$63,B620,A620)&amp;"",CHAR(160)," "))</f>
        <v/>
      </c>
      <c r="D620" s="0" t="str">
        <f aca="false">IF(C620="","",TRIM(RIGHT(SUBSTITUTE(C620," ",REPT(" ",100)),100)))</f>
        <v/>
      </c>
      <c r="E620" s="0" t="str">
        <f aca="false">IF(D620="","",UPPER(SUBSTITUTE(SUBSTITUTE(D620,"(",""),")","")))</f>
        <v/>
      </c>
      <c r="F620" s="0" t="str">
        <f aca="false">IF(C620="","",LEFT(C620,FIND(" ",C620&amp;" ")-1))</f>
        <v/>
      </c>
      <c r="G620" s="0" t="n">
        <f aca="false">IFERROR(VALUE(SUBSTITUTE(LOWER(F620),"x","")),0)</f>
        <v>0</v>
      </c>
      <c r="H620" s="0" t="str">
        <f aca="false">IF(C620="","",TRIM(MID(C620,LEN(F620)+2,999)))</f>
        <v/>
      </c>
      <c r="I620" s="0" t="n">
        <f aca="false">IF(OR(C620="",LEFT(C620,2)="//"),0,IFERROR(IF(AND(G620&gt;0,G620=INT(G620),FIND("-",E620)&gt;1,NOT(EXACT(UPPER(LEFT(E620,1)),LOWER(LEFT(E620,1)))),ISNUMBER(VALUE(MID(E620,FIND("-",E620)+1,10)))),1,0),0))</f>
        <v>0</v>
      </c>
      <c r="J620" s="0" t="str">
        <f aca="false">IF(I620=1,TRIM(LEFT(H620,MAX(0,LEN(H620)-LEN(D620)))),"")</f>
        <v/>
      </c>
      <c r="K620" s="0" t="str">
        <f aca="false">INDEX($P$2:$P$21,A620)</f>
        <v>Deck 11</v>
      </c>
      <c r="L620" s="0" t="n">
        <f aca="false">IF(AND(C620&lt;&gt;"",LEFT(C620,2)&lt;&gt;"//",I620=0),1,0)</f>
        <v>0</v>
      </c>
      <c r="M620" s="0" t="str">
        <f aca="false">IF(I620=1,MAX(M$1:M619)+1,"")</f>
        <v/>
      </c>
      <c r="N620" s="0" t="str">
        <f aca="false">IFERROR(MATCH(ROW()-1,$V$2:$V$1201,0),"")</f>
        <v/>
      </c>
      <c r="R620" s="0" t="str">
        <f aca="false">IF(E620="","",IFERROR(LEFT(E620,FIND("-",E620)-1),E620))</f>
        <v/>
      </c>
      <c r="S620" s="0" t="str">
        <f aca="false">IF(R620="","",IF(ISNUMBER(--MID(R620,1,1)),0,IF(ISNUMBER(--MID(R620,2,1)),1,IF(ISNUMBER(--MID(R620,3,1)),2,IF(ISNUMBER(--MID(R620,4,1)),3,MIN(LEN(R620),4))))))</f>
        <v/>
      </c>
      <c r="T620" s="0" t="str">
        <f aca="false">IF(E620="","",LEFT(R620,S620)&amp;REPT("0",4-S620)&amp;RIGHT("000"&amp;IFERROR(VALUE(MID(R620,S620+1,9)),0),3)&amp;RIGHT("0000"&amp;IFERROR(VALUE(MID(E620,FIND("-",E620)+1,9)),0),4))</f>
        <v/>
      </c>
      <c r="U620" s="0" t="str">
        <f aca="false">IF(I620=1,"K"&amp;RIGHT("00"&amp;A620,2)&amp;T620&amp;RIGHT("00000"&amp;ROW(),5),"")</f>
        <v/>
      </c>
      <c r="V620" s="0" t="str">
        <f aca="false">IF(U620="","",COUNTIFS($I$2:$I$1201,1,$U$2:$U$1201,"&lt;"&amp;U620)+1)</f>
        <v/>
      </c>
    </row>
    <row r="621" customFormat="false" ht="15" hidden="false" customHeight="false" outlineLevel="0" collapsed="false">
      <c r="A621" s="0" t="n">
        <v>11</v>
      </c>
      <c r="B621" s="0" t="n">
        <v>20</v>
      </c>
      <c r="C621" s="0" t="str">
        <f aca="false">TRIM(SUBSTITUTE(INDEX(LISTAS!$A$4:$T$63,B621,A621)&amp;"",CHAR(160)," "))</f>
        <v/>
      </c>
      <c r="D621" s="0" t="str">
        <f aca="false">IF(C621="","",TRIM(RIGHT(SUBSTITUTE(C621," ",REPT(" ",100)),100)))</f>
        <v/>
      </c>
      <c r="E621" s="0" t="str">
        <f aca="false">IF(D621="","",UPPER(SUBSTITUTE(SUBSTITUTE(D621,"(",""),")","")))</f>
        <v/>
      </c>
      <c r="F621" s="0" t="str">
        <f aca="false">IF(C621="","",LEFT(C621,FIND(" ",C621&amp;" ")-1))</f>
        <v/>
      </c>
      <c r="G621" s="0" t="n">
        <f aca="false">IFERROR(VALUE(SUBSTITUTE(LOWER(F621),"x","")),0)</f>
        <v>0</v>
      </c>
      <c r="H621" s="0" t="str">
        <f aca="false">IF(C621="","",TRIM(MID(C621,LEN(F621)+2,999)))</f>
        <v/>
      </c>
      <c r="I621" s="0" t="n">
        <f aca="false">IF(OR(C621="",LEFT(C621,2)="//"),0,IFERROR(IF(AND(G621&gt;0,G621=INT(G621),FIND("-",E621)&gt;1,NOT(EXACT(UPPER(LEFT(E621,1)),LOWER(LEFT(E621,1)))),ISNUMBER(VALUE(MID(E621,FIND("-",E621)+1,10)))),1,0),0))</f>
        <v>0</v>
      </c>
      <c r="J621" s="0" t="str">
        <f aca="false">IF(I621=1,TRIM(LEFT(H621,MAX(0,LEN(H621)-LEN(D621)))),"")</f>
        <v/>
      </c>
      <c r="K621" s="0" t="str">
        <f aca="false">INDEX($P$2:$P$21,A621)</f>
        <v>Deck 11</v>
      </c>
      <c r="L621" s="0" t="n">
        <f aca="false">IF(AND(C621&lt;&gt;"",LEFT(C621,2)&lt;&gt;"//",I621=0),1,0)</f>
        <v>0</v>
      </c>
      <c r="M621" s="0" t="str">
        <f aca="false">IF(I621=1,MAX(M$1:M620)+1,"")</f>
        <v/>
      </c>
      <c r="N621" s="0" t="str">
        <f aca="false">IFERROR(MATCH(ROW()-1,$V$2:$V$1201,0),"")</f>
        <v/>
      </c>
      <c r="R621" s="0" t="str">
        <f aca="false">IF(E621="","",IFERROR(LEFT(E621,FIND("-",E621)-1),E621))</f>
        <v/>
      </c>
      <c r="S621" s="0" t="str">
        <f aca="false">IF(R621="","",IF(ISNUMBER(--MID(R621,1,1)),0,IF(ISNUMBER(--MID(R621,2,1)),1,IF(ISNUMBER(--MID(R621,3,1)),2,IF(ISNUMBER(--MID(R621,4,1)),3,MIN(LEN(R621),4))))))</f>
        <v/>
      </c>
      <c r="T621" s="0" t="str">
        <f aca="false">IF(E621="","",LEFT(R621,S621)&amp;REPT("0",4-S621)&amp;RIGHT("000"&amp;IFERROR(VALUE(MID(R621,S621+1,9)),0),3)&amp;RIGHT("0000"&amp;IFERROR(VALUE(MID(E621,FIND("-",E621)+1,9)),0),4))</f>
        <v/>
      </c>
      <c r="U621" s="0" t="str">
        <f aca="false">IF(I621=1,"K"&amp;RIGHT("00"&amp;A621,2)&amp;T621&amp;RIGHT("00000"&amp;ROW(),5),"")</f>
        <v/>
      </c>
      <c r="V621" s="0" t="str">
        <f aca="false">IF(U621="","",COUNTIFS($I$2:$I$1201,1,$U$2:$U$1201,"&lt;"&amp;U621)+1)</f>
        <v/>
      </c>
    </row>
    <row r="622" customFormat="false" ht="15" hidden="false" customHeight="false" outlineLevel="0" collapsed="false">
      <c r="A622" s="0" t="n">
        <v>11</v>
      </c>
      <c r="B622" s="0" t="n">
        <v>21</v>
      </c>
      <c r="C622" s="0" t="str">
        <f aca="false">TRIM(SUBSTITUTE(INDEX(LISTAS!$A$4:$T$63,B622,A622)&amp;"",CHAR(160)," "))</f>
        <v/>
      </c>
      <c r="D622" s="0" t="str">
        <f aca="false">IF(C622="","",TRIM(RIGHT(SUBSTITUTE(C622," ",REPT(" ",100)),100)))</f>
        <v/>
      </c>
      <c r="E622" s="0" t="str">
        <f aca="false">IF(D622="","",UPPER(SUBSTITUTE(SUBSTITUTE(D622,"(",""),")","")))</f>
        <v/>
      </c>
      <c r="F622" s="0" t="str">
        <f aca="false">IF(C622="","",LEFT(C622,FIND(" ",C622&amp;" ")-1))</f>
        <v/>
      </c>
      <c r="G622" s="0" t="n">
        <f aca="false">IFERROR(VALUE(SUBSTITUTE(LOWER(F622),"x","")),0)</f>
        <v>0</v>
      </c>
      <c r="H622" s="0" t="str">
        <f aca="false">IF(C622="","",TRIM(MID(C622,LEN(F622)+2,999)))</f>
        <v/>
      </c>
      <c r="I622" s="0" t="n">
        <f aca="false">IF(OR(C622="",LEFT(C622,2)="//"),0,IFERROR(IF(AND(G622&gt;0,G622=INT(G622),FIND("-",E622)&gt;1,NOT(EXACT(UPPER(LEFT(E622,1)),LOWER(LEFT(E622,1)))),ISNUMBER(VALUE(MID(E622,FIND("-",E622)+1,10)))),1,0),0))</f>
        <v>0</v>
      </c>
      <c r="J622" s="0" t="str">
        <f aca="false">IF(I622=1,TRIM(LEFT(H622,MAX(0,LEN(H622)-LEN(D622)))),"")</f>
        <v/>
      </c>
      <c r="K622" s="0" t="str">
        <f aca="false">INDEX($P$2:$P$21,A622)</f>
        <v>Deck 11</v>
      </c>
      <c r="L622" s="0" t="n">
        <f aca="false">IF(AND(C622&lt;&gt;"",LEFT(C622,2)&lt;&gt;"//",I622=0),1,0)</f>
        <v>0</v>
      </c>
      <c r="M622" s="0" t="str">
        <f aca="false">IF(I622=1,MAX(M$1:M621)+1,"")</f>
        <v/>
      </c>
      <c r="N622" s="0" t="str">
        <f aca="false">IFERROR(MATCH(ROW()-1,$V$2:$V$1201,0),"")</f>
        <v/>
      </c>
      <c r="R622" s="0" t="str">
        <f aca="false">IF(E622="","",IFERROR(LEFT(E622,FIND("-",E622)-1),E622))</f>
        <v/>
      </c>
      <c r="S622" s="0" t="str">
        <f aca="false">IF(R622="","",IF(ISNUMBER(--MID(R622,1,1)),0,IF(ISNUMBER(--MID(R622,2,1)),1,IF(ISNUMBER(--MID(R622,3,1)),2,IF(ISNUMBER(--MID(R622,4,1)),3,MIN(LEN(R622),4))))))</f>
        <v/>
      </c>
      <c r="T622" s="0" t="str">
        <f aca="false">IF(E622="","",LEFT(R622,S622)&amp;REPT("0",4-S622)&amp;RIGHT("000"&amp;IFERROR(VALUE(MID(R622,S622+1,9)),0),3)&amp;RIGHT("0000"&amp;IFERROR(VALUE(MID(E622,FIND("-",E622)+1,9)),0),4))</f>
        <v/>
      </c>
      <c r="U622" s="0" t="str">
        <f aca="false">IF(I622=1,"K"&amp;RIGHT("00"&amp;A622,2)&amp;T622&amp;RIGHT("00000"&amp;ROW(),5),"")</f>
        <v/>
      </c>
      <c r="V622" s="0" t="str">
        <f aca="false">IF(U622="","",COUNTIFS($I$2:$I$1201,1,$U$2:$U$1201,"&lt;"&amp;U622)+1)</f>
        <v/>
      </c>
    </row>
    <row r="623" customFormat="false" ht="15" hidden="false" customHeight="false" outlineLevel="0" collapsed="false">
      <c r="A623" s="0" t="n">
        <v>11</v>
      </c>
      <c r="B623" s="0" t="n">
        <v>22</v>
      </c>
      <c r="C623" s="0" t="str">
        <f aca="false">TRIM(SUBSTITUTE(INDEX(LISTAS!$A$4:$T$63,B623,A623)&amp;"",CHAR(160)," "))</f>
        <v/>
      </c>
      <c r="D623" s="0" t="str">
        <f aca="false">IF(C623="","",TRIM(RIGHT(SUBSTITUTE(C623," ",REPT(" ",100)),100)))</f>
        <v/>
      </c>
      <c r="E623" s="0" t="str">
        <f aca="false">IF(D623="","",UPPER(SUBSTITUTE(SUBSTITUTE(D623,"(",""),")","")))</f>
        <v/>
      </c>
      <c r="F623" s="0" t="str">
        <f aca="false">IF(C623="","",LEFT(C623,FIND(" ",C623&amp;" ")-1))</f>
        <v/>
      </c>
      <c r="G623" s="0" t="n">
        <f aca="false">IFERROR(VALUE(SUBSTITUTE(LOWER(F623),"x","")),0)</f>
        <v>0</v>
      </c>
      <c r="H623" s="0" t="str">
        <f aca="false">IF(C623="","",TRIM(MID(C623,LEN(F623)+2,999)))</f>
        <v/>
      </c>
      <c r="I623" s="0" t="n">
        <f aca="false">IF(OR(C623="",LEFT(C623,2)="//"),0,IFERROR(IF(AND(G623&gt;0,G623=INT(G623),FIND("-",E623)&gt;1,NOT(EXACT(UPPER(LEFT(E623,1)),LOWER(LEFT(E623,1)))),ISNUMBER(VALUE(MID(E623,FIND("-",E623)+1,10)))),1,0),0))</f>
        <v>0</v>
      </c>
      <c r="J623" s="0" t="str">
        <f aca="false">IF(I623=1,TRIM(LEFT(H623,MAX(0,LEN(H623)-LEN(D623)))),"")</f>
        <v/>
      </c>
      <c r="K623" s="0" t="str">
        <f aca="false">INDEX($P$2:$P$21,A623)</f>
        <v>Deck 11</v>
      </c>
      <c r="L623" s="0" t="n">
        <f aca="false">IF(AND(C623&lt;&gt;"",LEFT(C623,2)&lt;&gt;"//",I623=0),1,0)</f>
        <v>0</v>
      </c>
      <c r="M623" s="0" t="str">
        <f aca="false">IF(I623=1,MAX(M$1:M622)+1,"")</f>
        <v/>
      </c>
      <c r="N623" s="0" t="str">
        <f aca="false">IFERROR(MATCH(ROW()-1,$V$2:$V$1201,0),"")</f>
        <v/>
      </c>
      <c r="R623" s="0" t="str">
        <f aca="false">IF(E623="","",IFERROR(LEFT(E623,FIND("-",E623)-1),E623))</f>
        <v/>
      </c>
      <c r="S623" s="0" t="str">
        <f aca="false">IF(R623="","",IF(ISNUMBER(--MID(R623,1,1)),0,IF(ISNUMBER(--MID(R623,2,1)),1,IF(ISNUMBER(--MID(R623,3,1)),2,IF(ISNUMBER(--MID(R623,4,1)),3,MIN(LEN(R623),4))))))</f>
        <v/>
      </c>
      <c r="T623" s="0" t="str">
        <f aca="false">IF(E623="","",LEFT(R623,S623)&amp;REPT("0",4-S623)&amp;RIGHT("000"&amp;IFERROR(VALUE(MID(R623,S623+1,9)),0),3)&amp;RIGHT("0000"&amp;IFERROR(VALUE(MID(E623,FIND("-",E623)+1,9)),0),4))</f>
        <v/>
      </c>
      <c r="U623" s="0" t="str">
        <f aca="false">IF(I623=1,"K"&amp;RIGHT("00"&amp;A623,2)&amp;T623&amp;RIGHT("00000"&amp;ROW(),5),"")</f>
        <v/>
      </c>
      <c r="V623" s="0" t="str">
        <f aca="false">IF(U623="","",COUNTIFS($I$2:$I$1201,1,$U$2:$U$1201,"&lt;"&amp;U623)+1)</f>
        <v/>
      </c>
    </row>
    <row r="624" customFormat="false" ht="15" hidden="false" customHeight="false" outlineLevel="0" collapsed="false">
      <c r="A624" s="0" t="n">
        <v>11</v>
      </c>
      <c r="B624" s="0" t="n">
        <v>23</v>
      </c>
      <c r="C624" s="0" t="str">
        <f aca="false">TRIM(SUBSTITUTE(INDEX(LISTAS!$A$4:$T$63,B624,A624)&amp;"",CHAR(160)," "))</f>
        <v/>
      </c>
      <c r="D624" s="0" t="str">
        <f aca="false">IF(C624="","",TRIM(RIGHT(SUBSTITUTE(C624," ",REPT(" ",100)),100)))</f>
        <v/>
      </c>
      <c r="E624" s="0" t="str">
        <f aca="false">IF(D624="","",UPPER(SUBSTITUTE(SUBSTITUTE(D624,"(",""),")","")))</f>
        <v/>
      </c>
      <c r="F624" s="0" t="str">
        <f aca="false">IF(C624="","",LEFT(C624,FIND(" ",C624&amp;" ")-1))</f>
        <v/>
      </c>
      <c r="G624" s="0" t="n">
        <f aca="false">IFERROR(VALUE(SUBSTITUTE(LOWER(F624),"x","")),0)</f>
        <v>0</v>
      </c>
      <c r="H624" s="0" t="str">
        <f aca="false">IF(C624="","",TRIM(MID(C624,LEN(F624)+2,999)))</f>
        <v/>
      </c>
      <c r="I624" s="0" t="n">
        <f aca="false">IF(OR(C624="",LEFT(C624,2)="//"),0,IFERROR(IF(AND(G624&gt;0,G624=INT(G624),FIND("-",E624)&gt;1,NOT(EXACT(UPPER(LEFT(E624,1)),LOWER(LEFT(E624,1)))),ISNUMBER(VALUE(MID(E624,FIND("-",E624)+1,10)))),1,0),0))</f>
        <v>0</v>
      </c>
      <c r="J624" s="0" t="str">
        <f aca="false">IF(I624=1,TRIM(LEFT(H624,MAX(0,LEN(H624)-LEN(D624)))),"")</f>
        <v/>
      </c>
      <c r="K624" s="0" t="str">
        <f aca="false">INDEX($P$2:$P$21,A624)</f>
        <v>Deck 11</v>
      </c>
      <c r="L624" s="0" t="n">
        <f aca="false">IF(AND(C624&lt;&gt;"",LEFT(C624,2)&lt;&gt;"//",I624=0),1,0)</f>
        <v>0</v>
      </c>
      <c r="M624" s="0" t="str">
        <f aca="false">IF(I624=1,MAX(M$1:M623)+1,"")</f>
        <v/>
      </c>
      <c r="N624" s="0" t="str">
        <f aca="false">IFERROR(MATCH(ROW()-1,$V$2:$V$1201,0),"")</f>
        <v/>
      </c>
      <c r="R624" s="0" t="str">
        <f aca="false">IF(E624="","",IFERROR(LEFT(E624,FIND("-",E624)-1),E624))</f>
        <v/>
      </c>
      <c r="S624" s="0" t="str">
        <f aca="false">IF(R624="","",IF(ISNUMBER(--MID(R624,1,1)),0,IF(ISNUMBER(--MID(R624,2,1)),1,IF(ISNUMBER(--MID(R624,3,1)),2,IF(ISNUMBER(--MID(R624,4,1)),3,MIN(LEN(R624),4))))))</f>
        <v/>
      </c>
      <c r="T624" s="0" t="str">
        <f aca="false">IF(E624="","",LEFT(R624,S624)&amp;REPT("0",4-S624)&amp;RIGHT("000"&amp;IFERROR(VALUE(MID(R624,S624+1,9)),0),3)&amp;RIGHT("0000"&amp;IFERROR(VALUE(MID(E624,FIND("-",E624)+1,9)),0),4))</f>
        <v/>
      </c>
      <c r="U624" s="0" t="str">
        <f aca="false">IF(I624=1,"K"&amp;RIGHT("00"&amp;A624,2)&amp;T624&amp;RIGHT("00000"&amp;ROW(),5),"")</f>
        <v/>
      </c>
      <c r="V624" s="0" t="str">
        <f aca="false">IF(U624="","",COUNTIFS($I$2:$I$1201,1,$U$2:$U$1201,"&lt;"&amp;U624)+1)</f>
        <v/>
      </c>
    </row>
    <row r="625" customFormat="false" ht="15" hidden="false" customHeight="false" outlineLevel="0" collapsed="false">
      <c r="A625" s="0" t="n">
        <v>11</v>
      </c>
      <c r="B625" s="0" t="n">
        <v>24</v>
      </c>
      <c r="C625" s="0" t="str">
        <f aca="false">TRIM(SUBSTITUTE(INDEX(LISTAS!$A$4:$T$63,B625,A625)&amp;"",CHAR(160)," "))</f>
        <v/>
      </c>
      <c r="D625" s="0" t="str">
        <f aca="false">IF(C625="","",TRIM(RIGHT(SUBSTITUTE(C625," ",REPT(" ",100)),100)))</f>
        <v/>
      </c>
      <c r="E625" s="0" t="str">
        <f aca="false">IF(D625="","",UPPER(SUBSTITUTE(SUBSTITUTE(D625,"(",""),")","")))</f>
        <v/>
      </c>
      <c r="F625" s="0" t="str">
        <f aca="false">IF(C625="","",LEFT(C625,FIND(" ",C625&amp;" ")-1))</f>
        <v/>
      </c>
      <c r="G625" s="0" t="n">
        <f aca="false">IFERROR(VALUE(SUBSTITUTE(LOWER(F625),"x","")),0)</f>
        <v>0</v>
      </c>
      <c r="H625" s="0" t="str">
        <f aca="false">IF(C625="","",TRIM(MID(C625,LEN(F625)+2,999)))</f>
        <v/>
      </c>
      <c r="I625" s="0" t="n">
        <f aca="false">IF(OR(C625="",LEFT(C625,2)="//"),0,IFERROR(IF(AND(G625&gt;0,G625=INT(G625),FIND("-",E625)&gt;1,NOT(EXACT(UPPER(LEFT(E625,1)),LOWER(LEFT(E625,1)))),ISNUMBER(VALUE(MID(E625,FIND("-",E625)+1,10)))),1,0),0))</f>
        <v>0</v>
      </c>
      <c r="J625" s="0" t="str">
        <f aca="false">IF(I625=1,TRIM(LEFT(H625,MAX(0,LEN(H625)-LEN(D625)))),"")</f>
        <v/>
      </c>
      <c r="K625" s="0" t="str">
        <f aca="false">INDEX($P$2:$P$21,A625)</f>
        <v>Deck 11</v>
      </c>
      <c r="L625" s="0" t="n">
        <f aca="false">IF(AND(C625&lt;&gt;"",LEFT(C625,2)&lt;&gt;"//",I625=0),1,0)</f>
        <v>0</v>
      </c>
      <c r="M625" s="0" t="str">
        <f aca="false">IF(I625=1,MAX(M$1:M624)+1,"")</f>
        <v/>
      </c>
      <c r="N625" s="0" t="str">
        <f aca="false">IFERROR(MATCH(ROW()-1,$V$2:$V$1201,0),"")</f>
        <v/>
      </c>
      <c r="R625" s="0" t="str">
        <f aca="false">IF(E625="","",IFERROR(LEFT(E625,FIND("-",E625)-1),E625))</f>
        <v/>
      </c>
      <c r="S625" s="0" t="str">
        <f aca="false">IF(R625="","",IF(ISNUMBER(--MID(R625,1,1)),0,IF(ISNUMBER(--MID(R625,2,1)),1,IF(ISNUMBER(--MID(R625,3,1)),2,IF(ISNUMBER(--MID(R625,4,1)),3,MIN(LEN(R625),4))))))</f>
        <v/>
      </c>
      <c r="T625" s="0" t="str">
        <f aca="false">IF(E625="","",LEFT(R625,S625)&amp;REPT("0",4-S625)&amp;RIGHT("000"&amp;IFERROR(VALUE(MID(R625,S625+1,9)),0),3)&amp;RIGHT("0000"&amp;IFERROR(VALUE(MID(E625,FIND("-",E625)+1,9)),0),4))</f>
        <v/>
      </c>
      <c r="U625" s="0" t="str">
        <f aca="false">IF(I625=1,"K"&amp;RIGHT("00"&amp;A625,2)&amp;T625&amp;RIGHT("00000"&amp;ROW(),5),"")</f>
        <v/>
      </c>
      <c r="V625" s="0" t="str">
        <f aca="false">IF(U625="","",COUNTIFS($I$2:$I$1201,1,$U$2:$U$1201,"&lt;"&amp;U625)+1)</f>
        <v/>
      </c>
    </row>
    <row r="626" customFormat="false" ht="15" hidden="false" customHeight="false" outlineLevel="0" collapsed="false">
      <c r="A626" s="0" t="n">
        <v>11</v>
      </c>
      <c r="B626" s="0" t="n">
        <v>25</v>
      </c>
      <c r="C626" s="0" t="str">
        <f aca="false">TRIM(SUBSTITUTE(INDEX(LISTAS!$A$4:$T$63,B626,A626)&amp;"",CHAR(160)," "))</f>
        <v/>
      </c>
      <c r="D626" s="0" t="str">
        <f aca="false">IF(C626="","",TRIM(RIGHT(SUBSTITUTE(C626," ",REPT(" ",100)),100)))</f>
        <v/>
      </c>
      <c r="E626" s="0" t="str">
        <f aca="false">IF(D626="","",UPPER(SUBSTITUTE(SUBSTITUTE(D626,"(",""),")","")))</f>
        <v/>
      </c>
      <c r="F626" s="0" t="str">
        <f aca="false">IF(C626="","",LEFT(C626,FIND(" ",C626&amp;" ")-1))</f>
        <v/>
      </c>
      <c r="G626" s="0" t="n">
        <f aca="false">IFERROR(VALUE(SUBSTITUTE(LOWER(F626),"x","")),0)</f>
        <v>0</v>
      </c>
      <c r="H626" s="0" t="str">
        <f aca="false">IF(C626="","",TRIM(MID(C626,LEN(F626)+2,999)))</f>
        <v/>
      </c>
      <c r="I626" s="0" t="n">
        <f aca="false">IF(OR(C626="",LEFT(C626,2)="//"),0,IFERROR(IF(AND(G626&gt;0,G626=INT(G626),FIND("-",E626)&gt;1,NOT(EXACT(UPPER(LEFT(E626,1)),LOWER(LEFT(E626,1)))),ISNUMBER(VALUE(MID(E626,FIND("-",E626)+1,10)))),1,0),0))</f>
        <v>0</v>
      </c>
      <c r="J626" s="0" t="str">
        <f aca="false">IF(I626=1,TRIM(LEFT(H626,MAX(0,LEN(H626)-LEN(D626)))),"")</f>
        <v/>
      </c>
      <c r="K626" s="0" t="str">
        <f aca="false">INDEX($P$2:$P$21,A626)</f>
        <v>Deck 11</v>
      </c>
      <c r="L626" s="0" t="n">
        <f aca="false">IF(AND(C626&lt;&gt;"",LEFT(C626,2)&lt;&gt;"//",I626=0),1,0)</f>
        <v>0</v>
      </c>
      <c r="M626" s="0" t="str">
        <f aca="false">IF(I626=1,MAX(M$1:M625)+1,"")</f>
        <v/>
      </c>
      <c r="N626" s="0" t="str">
        <f aca="false">IFERROR(MATCH(ROW()-1,$V$2:$V$1201,0),"")</f>
        <v/>
      </c>
      <c r="R626" s="0" t="str">
        <f aca="false">IF(E626="","",IFERROR(LEFT(E626,FIND("-",E626)-1),E626))</f>
        <v/>
      </c>
      <c r="S626" s="0" t="str">
        <f aca="false">IF(R626="","",IF(ISNUMBER(--MID(R626,1,1)),0,IF(ISNUMBER(--MID(R626,2,1)),1,IF(ISNUMBER(--MID(R626,3,1)),2,IF(ISNUMBER(--MID(R626,4,1)),3,MIN(LEN(R626),4))))))</f>
        <v/>
      </c>
      <c r="T626" s="0" t="str">
        <f aca="false">IF(E626="","",LEFT(R626,S626)&amp;REPT("0",4-S626)&amp;RIGHT("000"&amp;IFERROR(VALUE(MID(R626,S626+1,9)),0),3)&amp;RIGHT("0000"&amp;IFERROR(VALUE(MID(E626,FIND("-",E626)+1,9)),0),4))</f>
        <v/>
      </c>
      <c r="U626" s="0" t="str">
        <f aca="false">IF(I626=1,"K"&amp;RIGHT("00"&amp;A626,2)&amp;T626&amp;RIGHT("00000"&amp;ROW(),5),"")</f>
        <v/>
      </c>
      <c r="V626" s="0" t="str">
        <f aca="false">IF(U626="","",COUNTIFS($I$2:$I$1201,1,$U$2:$U$1201,"&lt;"&amp;U626)+1)</f>
        <v/>
      </c>
    </row>
    <row r="627" customFormat="false" ht="15" hidden="false" customHeight="false" outlineLevel="0" collapsed="false">
      <c r="A627" s="0" t="n">
        <v>11</v>
      </c>
      <c r="B627" s="0" t="n">
        <v>26</v>
      </c>
      <c r="C627" s="0" t="str">
        <f aca="false">TRIM(SUBSTITUTE(INDEX(LISTAS!$A$4:$T$63,B627,A627)&amp;"",CHAR(160)," "))</f>
        <v/>
      </c>
      <c r="D627" s="0" t="str">
        <f aca="false">IF(C627="","",TRIM(RIGHT(SUBSTITUTE(C627," ",REPT(" ",100)),100)))</f>
        <v/>
      </c>
      <c r="E627" s="0" t="str">
        <f aca="false">IF(D627="","",UPPER(SUBSTITUTE(SUBSTITUTE(D627,"(",""),")","")))</f>
        <v/>
      </c>
      <c r="F627" s="0" t="str">
        <f aca="false">IF(C627="","",LEFT(C627,FIND(" ",C627&amp;" ")-1))</f>
        <v/>
      </c>
      <c r="G627" s="0" t="n">
        <f aca="false">IFERROR(VALUE(SUBSTITUTE(LOWER(F627),"x","")),0)</f>
        <v>0</v>
      </c>
      <c r="H627" s="0" t="str">
        <f aca="false">IF(C627="","",TRIM(MID(C627,LEN(F627)+2,999)))</f>
        <v/>
      </c>
      <c r="I627" s="0" t="n">
        <f aca="false">IF(OR(C627="",LEFT(C627,2)="//"),0,IFERROR(IF(AND(G627&gt;0,G627=INT(G627),FIND("-",E627)&gt;1,NOT(EXACT(UPPER(LEFT(E627,1)),LOWER(LEFT(E627,1)))),ISNUMBER(VALUE(MID(E627,FIND("-",E627)+1,10)))),1,0),0))</f>
        <v>0</v>
      </c>
      <c r="J627" s="0" t="str">
        <f aca="false">IF(I627=1,TRIM(LEFT(H627,MAX(0,LEN(H627)-LEN(D627)))),"")</f>
        <v/>
      </c>
      <c r="K627" s="0" t="str">
        <f aca="false">INDEX($P$2:$P$21,A627)</f>
        <v>Deck 11</v>
      </c>
      <c r="L627" s="0" t="n">
        <f aca="false">IF(AND(C627&lt;&gt;"",LEFT(C627,2)&lt;&gt;"//",I627=0),1,0)</f>
        <v>0</v>
      </c>
      <c r="M627" s="0" t="str">
        <f aca="false">IF(I627=1,MAX(M$1:M626)+1,"")</f>
        <v/>
      </c>
      <c r="N627" s="0" t="str">
        <f aca="false">IFERROR(MATCH(ROW()-1,$V$2:$V$1201,0),"")</f>
        <v/>
      </c>
      <c r="R627" s="0" t="str">
        <f aca="false">IF(E627="","",IFERROR(LEFT(E627,FIND("-",E627)-1),E627))</f>
        <v/>
      </c>
      <c r="S627" s="0" t="str">
        <f aca="false">IF(R627="","",IF(ISNUMBER(--MID(R627,1,1)),0,IF(ISNUMBER(--MID(R627,2,1)),1,IF(ISNUMBER(--MID(R627,3,1)),2,IF(ISNUMBER(--MID(R627,4,1)),3,MIN(LEN(R627),4))))))</f>
        <v/>
      </c>
      <c r="T627" s="0" t="str">
        <f aca="false">IF(E627="","",LEFT(R627,S627)&amp;REPT("0",4-S627)&amp;RIGHT("000"&amp;IFERROR(VALUE(MID(R627,S627+1,9)),0),3)&amp;RIGHT("0000"&amp;IFERROR(VALUE(MID(E627,FIND("-",E627)+1,9)),0),4))</f>
        <v/>
      </c>
      <c r="U627" s="0" t="str">
        <f aca="false">IF(I627=1,"K"&amp;RIGHT("00"&amp;A627,2)&amp;T627&amp;RIGHT("00000"&amp;ROW(),5),"")</f>
        <v/>
      </c>
      <c r="V627" s="0" t="str">
        <f aca="false">IF(U627="","",COUNTIFS($I$2:$I$1201,1,$U$2:$U$1201,"&lt;"&amp;U627)+1)</f>
        <v/>
      </c>
    </row>
    <row r="628" customFormat="false" ht="15" hidden="false" customHeight="false" outlineLevel="0" collapsed="false">
      <c r="A628" s="0" t="n">
        <v>11</v>
      </c>
      <c r="B628" s="0" t="n">
        <v>27</v>
      </c>
      <c r="C628" s="0" t="str">
        <f aca="false">TRIM(SUBSTITUTE(INDEX(LISTAS!$A$4:$T$63,B628,A628)&amp;"",CHAR(160)," "))</f>
        <v/>
      </c>
      <c r="D628" s="0" t="str">
        <f aca="false">IF(C628="","",TRIM(RIGHT(SUBSTITUTE(C628," ",REPT(" ",100)),100)))</f>
        <v/>
      </c>
      <c r="E628" s="0" t="str">
        <f aca="false">IF(D628="","",UPPER(SUBSTITUTE(SUBSTITUTE(D628,"(",""),")","")))</f>
        <v/>
      </c>
      <c r="F628" s="0" t="str">
        <f aca="false">IF(C628="","",LEFT(C628,FIND(" ",C628&amp;" ")-1))</f>
        <v/>
      </c>
      <c r="G628" s="0" t="n">
        <f aca="false">IFERROR(VALUE(SUBSTITUTE(LOWER(F628),"x","")),0)</f>
        <v>0</v>
      </c>
      <c r="H628" s="0" t="str">
        <f aca="false">IF(C628="","",TRIM(MID(C628,LEN(F628)+2,999)))</f>
        <v/>
      </c>
      <c r="I628" s="0" t="n">
        <f aca="false">IF(OR(C628="",LEFT(C628,2)="//"),0,IFERROR(IF(AND(G628&gt;0,G628=INT(G628),FIND("-",E628)&gt;1,NOT(EXACT(UPPER(LEFT(E628,1)),LOWER(LEFT(E628,1)))),ISNUMBER(VALUE(MID(E628,FIND("-",E628)+1,10)))),1,0),0))</f>
        <v>0</v>
      </c>
      <c r="J628" s="0" t="str">
        <f aca="false">IF(I628=1,TRIM(LEFT(H628,MAX(0,LEN(H628)-LEN(D628)))),"")</f>
        <v/>
      </c>
      <c r="K628" s="0" t="str">
        <f aca="false">INDEX($P$2:$P$21,A628)</f>
        <v>Deck 11</v>
      </c>
      <c r="L628" s="0" t="n">
        <f aca="false">IF(AND(C628&lt;&gt;"",LEFT(C628,2)&lt;&gt;"//",I628=0),1,0)</f>
        <v>0</v>
      </c>
      <c r="M628" s="0" t="str">
        <f aca="false">IF(I628=1,MAX(M$1:M627)+1,"")</f>
        <v/>
      </c>
      <c r="N628" s="0" t="str">
        <f aca="false">IFERROR(MATCH(ROW()-1,$V$2:$V$1201,0),"")</f>
        <v/>
      </c>
      <c r="R628" s="0" t="str">
        <f aca="false">IF(E628="","",IFERROR(LEFT(E628,FIND("-",E628)-1),E628))</f>
        <v/>
      </c>
      <c r="S628" s="0" t="str">
        <f aca="false">IF(R628="","",IF(ISNUMBER(--MID(R628,1,1)),0,IF(ISNUMBER(--MID(R628,2,1)),1,IF(ISNUMBER(--MID(R628,3,1)),2,IF(ISNUMBER(--MID(R628,4,1)),3,MIN(LEN(R628),4))))))</f>
        <v/>
      </c>
      <c r="T628" s="0" t="str">
        <f aca="false">IF(E628="","",LEFT(R628,S628)&amp;REPT("0",4-S628)&amp;RIGHT("000"&amp;IFERROR(VALUE(MID(R628,S628+1,9)),0),3)&amp;RIGHT("0000"&amp;IFERROR(VALUE(MID(E628,FIND("-",E628)+1,9)),0),4))</f>
        <v/>
      </c>
      <c r="U628" s="0" t="str">
        <f aca="false">IF(I628=1,"K"&amp;RIGHT("00"&amp;A628,2)&amp;T628&amp;RIGHT("00000"&amp;ROW(),5),"")</f>
        <v/>
      </c>
      <c r="V628" s="0" t="str">
        <f aca="false">IF(U628="","",COUNTIFS($I$2:$I$1201,1,$U$2:$U$1201,"&lt;"&amp;U628)+1)</f>
        <v/>
      </c>
    </row>
    <row r="629" customFormat="false" ht="15" hidden="false" customHeight="false" outlineLevel="0" collapsed="false">
      <c r="A629" s="0" t="n">
        <v>11</v>
      </c>
      <c r="B629" s="0" t="n">
        <v>28</v>
      </c>
      <c r="C629" s="0" t="str">
        <f aca="false">TRIM(SUBSTITUTE(INDEX(LISTAS!$A$4:$T$63,B629,A629)&amp;"",CHAR(160)," "))</f>
        <v/>
      </c>
      <c r="D629" s="0" t="str">
        <f aca="false">IF(C629="","",TRIM(RIGHT(SUBSTITUTE(C629," ",REPT(" ",100)),100)))</f>
        <v/>
      </c>
      <c r="E629" s="0" t="str">
        <f aca="false">IF(D629="","",UPPER(SUBSTITUTE(SUBSTITUTE(D629,"(",""),")","")))</f>
        <v/>
      </c>
      <c r="F629" s="0" t="str">
        <f aca="false">IF(C629="","",LEFT(C629,FIND(" ",C629&amp;" ")-1))</f>
        <v/>
      </c>
      <c r="G629" s="0" t="n">
        <f aca="false">IFERROR(VALUE(SUBSTITUTE(LOWER(F629),"x","")),0)</f>
        <v>0</v>
      </c>
      <c r="H629" s="0" t="str">
        <f aca="false">IF(C629="","",TRIM(MID(C629,LEN(F629)+2,999)))</f>
        <v/>
      </c>
      <c r="I629" s="0" t="n">
        <f aca="false">IF(OR(C629="",LEFT(C629,2)="//"),0,IFERROR(IF(AND(G629&gt;0,G629=INT(G629),FIND("-",E629)&gt;1,NOT(EXACT(UPPER(LEFT(E629,1)),LOWER(LEFT(E629,1)))),ISNUMBER(VALUE(MID(E629,FIND("-",E629)+1,10)))),1,0),0))</f>
        <v>0</v>
      </c>
      <c r="J629" s="0" t="str">
        <f aca="false">IF(I629=1,TRIM(LEFT(H629,MAX(0,LEN(H629)-LEN(D629)))),"")</f>
        <v/>
      </c>
      <c r="K629" s="0" t="str">
        <f aca="false">INDEX($P$2:$P$21,A629)</f>
        <v>Deck 11</v>
      </c>
      <c r="L629" s="0" t="n">
        <f aca="false">IF(AND(C629&lt;&gt;"",LEFT(C629,2)&lt;&gt;"//",I629=0),1,0)</f>
        <v>0</v>
      </c>
      <c r="M629" s="0" t="str">
        <f aca="false">IF(I629=1,MAX(M$1:M628)+1,"")</f>
        <v/>
      </c>
      <c r="N629" s="0" t="str">
        <f aca="false">IFERROR(MATCH(ROW()-1,$V$2:$V$1201,0),"")</f>
        <v/>
      </c>
      <c r="R629" s="0" t="str">
        <f aca="false">IF(E629="","",IFERROR(LEFT(E629,FIND("-",E629)-1),E629))</f>
        <v/>
      </c>
      <c r="S629" s="0" t="str">
        <f aca="false">IF(R629="","",IF(ISNUMBER(--MID(R629,1,1)),0,IF(ISNUMBER(--MID(R629,2,1)),1,IF(ISNUMBER(--MID(R629,3,1)),2,IF(ISNUMBER(--MID(R629,4,1)),3,MIN(LEN(R629),4))))))</f>
        <v/>
      </c>
      <c r="T629" s="0" t="str">
        <f aca="false">IF(E629="","",LEFT(R629,S629)&amp;REPT("0",4-S629)&amp;RIGHT("000"&amp;IFERROR(VALUE(MID(R629,S629+1,9)),0),3)&amp;RIGHT("0000"&amp;IFERROR(VALUE(MID(E629,FIND("-",E629)+1,9)),0),4))</f>
        <v/>
      </c>
      <c r="U629" s="0" t="str">
        <f aca="false">IF(I629=1,"K"&amp;RIGHT("00"&amp;A629,2)&amp;T629&amp;RIGHT("00000"&amp;ROW(),5),"")</f>
        <v/>
      </c>
      <c r="V629" s="0" t="str">
        <f aca="false">IF(U629="","",COUNTIFS($I$2:$I$1201,1,$U$2:$U$1201,"&lt;"&amp;U629)+1)</f>
        <v/>
      </c>
    </row>
    <row r="630" customFormat="false" ht="15" hidden="false" customHeight="false" outlineLevel="0" collapsed="false">
      <c r="A630" s="0" t="n">
        <v>11</v>
      </c>
      <c r="B630" s="0" t="n">
        <v>29</v>
      </c>
      <c r="C630" s="0" t="str">
        <f aca="false">TRIM(SUBSTITUTE(INDEX(LISTAS!$A$4:$T$63,B630,A630)&amp;"",CHAR(160)," "))</f>
        <v/>
      </c>
      <c r="D630" s="0" t="str">
        <f aca="false">IF(C630="","",TRIM(RIGHT(SUBSTITUTE(C630," ",REPT(" ",100)),100)))</f>
        <v/>
      </c>
      <c r="E630" s="0" t="str">
        <f aca="false">IF(D630="","",UPPER(SUBSTITUTE(SUBSTITUTE(D630,"(",""),")","")))</f>
        <v/>
      </c>
      <c r="F630" s="0" t="str">
        <f aca="false">IF(C630="","",LEFT(C630,FIND(" ",C630&amp;" ")-1))</f>
        <v/>
      </c>
      <c r="G630" s="0" t="n">
        <f aca="false">IFERROR(VALUE(SUBSTITUTE(LOWER(F630),"x","")),0)</f>
        <v>0</v>
      </c>
      <c r="H630" s="0" t="str">
        <f aca="false">IF(C630="","",TRIM(MID(C630,LEN(F630)+2,999)))</f>
        <v/>
      </c>
      <c r="I630" s="0" t="n">
        <f aca="false">IF(OR(C630="",LEFT(C630,2)="//"),0,IFERROR(IF(AND(G630&gt;0,G630=INT(G630),FIND("-",E630)&gt;1,NOT(EXACT(UPPER(LEFT(E630,1)),LOWER(LEFT(E630,1)))),ISNUMBER(VALUE(MID(E630,FIND("-",E630)+1,10)))),1,0),0))</f>
        <v>0</v>
      </c>
      <c r="J630" s="0" t="str">
        <f aca="false">IF(I630=1,TRIM(LEFT(H630,MAX(0,LEN(H630)-LEN(D630)))),"")</f>
        <v/>
      </c>
      <c r="K630" s="0" t="str">
        <f aca="false">INDEX($P$2:$P$21,A630)</f>
        <v>Deck 11</v>
      </c>
      <c r="L630" s="0" t="n">
        <f aca="false">IF(AND(C630&lt;&gt;"",LEFT(C630,2)&lt;&gt;"//",I630=0),1,0)</f>
        <v>0</v>
      </c>
      <c r="M630" s="0" t="str">
        <f aca="false">IF(I630=1,MAX(M$1:M629)+1,"")</f>
        <v/>
      </c>
      <c r="N630" s="0" t="str">
        <f aca="false">IFERROR(MATCH(ROW()-1,$V$2:$V$1201,0),"")</f>
        <v/>
      </c>
      <c r="R630" s="0" t="str">
        <f aca="false">IF(E630="","",IFERROR(LEFT(E630,FIND("-",E630)-1),E630))</f>
        <v/>
      </c>
      <c r="S630" s="0" t="str">
        <f aca="false">IF(R630="","",IF(ISNUMBER(--MID(R630,1,1)),0,IF(ISNUMBER(--MID(R630,2,1)),1,IF(ISNUMBER(--MID(R630,3,1)),2,IF(ISNUMBER(--MID(R630,4,1)),3,MIN(LEN(R630),4))))))</f>
        <v/>
      </c>
      <c r="T630" s="0" t="str">
        <f aca="false">IF(E630="","",LEFT(R630,S630)&amp;REPT("0",4-S630)&amp;RIGHT("000"&amp;IFERROR(VALUE(MID(R630,S630+1,9)),0),3)&amp;RIGHT("0000"&amp;IFERROR(VALUE(MID(E630,FIND("-",E630)+1,9)),0),4))</f>
        <v/>
      </c>
      <c r="U630" s="0" t="str">
        <f aca="false">IF(I630=1,"K"&amp;RIGHT("00"&amp;A630,2)&amp;T630&amp;RIGHT("00000"&amp;ROW(),5),"")</f>
        <v/>
      </c>
      <c r="V630" s="0" t="str">
        <f aca="false">IF(U630="","",COUNTIFS($I$2:$I$1201,1,$U$2:$U$1201,"&lt;"&amp;U630)+1)</f>
        <v/>
      </c>
    </row>
    <row r="631" customFormat="false" ht="15" hidden="false" customHeight="false" outlineLevel="0" collapsed="false">
      <c r="A631" s="0" t="n">
        <v>11</v>
      </c>
      <c r="B631" s="0" t="n">
        <v>30</v>
      </c>
      <c r="C631" s="0" t="str">
        <f aca="false">TRIM(SUBSTITUTE(INDEX(LISTAS!$A$4:$T$63,B631,A631)&amp;"",CHAR(160)," "))</f>
        <v/>
      </c>
      <c r="D631" s="0" t="str">
        <f aca="false">IF(C631="","",TRIM(RIGHT(SUBSTITUTE(C631," ",REPT(" ",100)),100)))</f>
        <v/>
      </c>
      <c r="E631" s="0" t="str">
        <f aca="false">IF(D631="","",UPPER(SUBSTITUTE(SUBSTITUTE(D631,"(",""),")","")))</f>
        <v/>
      </c>
      <c r="F631" s="0" t="str">
        <f aca="false">IF(C631="","",LEFT(C631,FIND(" ",C631&amp;" ")-1))</f>
        <v/>
      </c>
      <c r="G631" s="0" t="n">
        <f aca="false">IFERROR(VALUE(SUBSTITUTE(LOWER(F631),"x","")),0)</f>
        <v>0</v>
      </c>
      <c r="H631" s="0" t="str">
        <f aca="false">IF(C631="","",TRIM(MID(C631,LEN(F631)+2,999)))</f>
        <v/>
      </c>
      <c r="I631" s="0" t="n">
        <f aca="false">IF(OR(C631="",LEFT(C631,2)="//"),0,IFERROR(IF(AND(G631&gt;0,G631=INT(G631),FIND("-",E631)&gt;1,NOT(EXACT(UPPER(LEFT(E631,1)),LOWER(LEFT(E631,1)))),ISNUMBER(VALUE(MID(E631,FIND("-",E631)+1,10)))),1,0),0))</f>
        <v>0</v>
      </c>
      <c r="J631" s="0" t="str">
        <f aca="false">IF(I631=1,TRIM(LEFT(H631,MAX(0,LEN(H631)-LEN(D631)))),"")</f>
        <v/>
      </c>
      <c r="K631" s="0" t="str">
        <f aca="false">INDEX($P$2:$P$21,A631)</f>
        <v>Deck 11</v>
      </c>
      <c r="L631" s="0" t="n">
        <f aca="false">IF(AND(C631&lt;&gt;"",LEFT(C631,2)&lt;&gt;"//",I631=0),1,0)</f>
        <v>0</v>
      </c>
      <c r="M631" s="0" t="str">
        <f aca="false">IF(I631=1,MAX(M$1:M630)+1,"")</f>
        <v/>
      </c>
      <c r="N631" s="0" t="str">
        <f aca="false">IFERROR(MATCH(ROW()-1,$V$2:$V$1201,0),"")</f>
        <v/>
      </c>
      <c r="R631" s="0" t="str">
        <f aca="false">IF(E631="","",IFERROR(LEFT(E631,FIND("-",E631)-1),E631))</f>
        <v/>
      </c>
      <c r="S631" s="0" t="str">
        <f aca="false">IF(R631="","",IF(ISNUMBER(--MID(R631,1,1)),0,IF(ISNUMBER(--MID(R631,2,1)),1,IF(ISNUMBER(--MID(R631,3,1)),2,IF(ISNUMBER(--MID(R631,4,1)),3,MIN(LEN(R631),4))))))</f>
        <v/>
      </c>
      <c r="T631" s="0" t="str">
        <f aca="false">IF(E631="","",LEFT(R631,S631)&amp;REPT("0",4-S631)&amp;RIGHT("000"&amp;IFERROR(VALUE(MID(R631,S631+1,9)),0),3)&amp;RIGHT("0000"&amp;IFERROR(VALUE(MID(E631,FIND("-",E631)+1,9)),0),4))</f>
        <v/>
      </c>
      <c r="U631" s="0" t="str">
        <f aca="false">IF(I631=1,"K"&amp;RIGHT("00"&amp;A631,2)&amp;T631&amp;RIGHT("00000"&amp;ROW(),5),"")</f>
        <v/>
      </c>
      <c r="V631" s="0" t="str">
        <f aca="false">IF(U631="","",COUNTIFS($I$2:$I$1201,1,$U$2:$U$1201,"&lt;"&amp;U631)+1)</f>
        <v/>
      </c>
    </row>
    <row r="632" customFormat="false" ht="15" hidden="false" customHeight="false" outlineLevel="0" collapsed="false">
      <c r="A632" s="0" t="n">
        <v>11</v>
      </c>
      <c r="B632" s="0" t="n">
        <v>31</v>
      </c>
      <c r="C632" s="0" t="str">
        <f aca="false">TRIM(SUBSTITUTE(INDEX(LISTAS!$A$4:$T$63,B632,A632)&amp;"",CHAR(160)," "))</f>
        <v/>
      </c>
      <c r="D632" s="0" t="str">
        <f aca="false">IF(C632="","",TRIM(RIGHT(SUBSTITUTE(C632," ",REPT(" ",100)),100)))</f>
        <v/>
      </c>
      <c r="E632" s="0" t="str">
        <f aca="false">IF(D632="","",UPPER(SUBSTITUTE(SUBSTITUTE(D632,"(",""),")","")))</f>
        <v/>
      </c>
      <c r="F632" s="0" t="str">
        <f aca="false">IF(C632="","",LEFT(C632,FIND(" ",C632&amp;" ")-1))</f>
        <v/>
      </c>
      <c r="G632" s="0" t="n">
        <f aca="false">IFERROR(VALUE(SUBSTITUTE(LOWER(F632),"x","")),0)</f>
        <v>0</v>
      </c>
      <c r="H632" s="0" t="str">
        <f aca="false">IF(C632="","",TRIM(MID(C632,LEN(F632)+2,999)))</f>
        <v/>
      </c>
      <c r="I632" s="0" t="n">
        <f aca="false">IF(OR(C632="",LEFT(C632,2)="//"),0,IFERROR(IF(AND(G632&gt;0,G632=INT(G632),FIND("-",E632)&gt;1,NOT(EXACT(UPPER(LEFT(E632,1)),LOWER(LEFT(E632,1)))),ISNUMBER(VALUE(MID(E632,FIND("-",E632)+1,10)))),1,0),0))</f>
        <v>0</v>
      </c>
      <c r="J632" s="0" t="str">
        <f aca="false">IF(I632=1,TRIM(LEFT(H632,MAX(0,LEN(H632)-LEN(D632)))),"")</f>
        <v/>
      </c>
      <c r="K632" s="0" t="str">
        <f aca="false">INDEX($P$2:$P$21,A632)</f>
        <v>Deck 11</v>
      </c>
      <c r="L632" s="0" t="n">
        <f aca="false">IF(AND(C632&lt;&gt;"",LEFT(C632,2)&lt;&gt;"//",I632=0),1,0)</f>
        <v>0</v>
      </c>
      <c r="M632" s="0" t="str">
        <f aca="false">IF(I632=1,MAX(M$1:M631)+1,"")</f>
        <v/>
      </c>
      <c r="N632" s="0" t="str">
        <f aca="false">IFERROR(MATCH(ROW()-1,$V$2:$V$1201,0),"")</f>
        <v/>
      </c>
      <c r="R632" s="0" t="str">
        <f aca="false">IF(E632="","",IFERROR(LEFT(E632,FIND("-",E632)-1),E632))</f>
        <v/>
      </c>
      <c r="S632" s="0" t="str">
        <f aca="false">IF(R632="","",IF(ISNUMBER(--MID(R632,1,1)),0,IF(ISNUMBER(--MID(R632,2,1)),1,IF(ISNUMBER(--MID(R632,3,1)),2,IF(ISNUMBER(--MID(R632,4,1)),3,MIN(LEN(R632),4))))))</f>
        <v/>
      </c>
      <c r="T632" s="0" t="str">
        <f aca="false">IF(E632="","",LEFT(R632,S632)&amp;REPT("0",4-S632)&amp;RIGHT("000"&amp;IFERROR(VALUE(MID(R632,S632+1,9)),0),3)&amp;RIGHT("0000"&amp;IFERROR(VALUE(MID(E632,FIND("-",E632)+1,9)),0),4))</f>
        <v/>
      </c>
      <c r="U632" s="0" t="str">
        <f aca="false">IF(I632=1,"K"&amp;RIGHT("00"&amp;A632,2)&amp;T632&amp;RIGHT("00000"&amp;ROW(),5),"")</f>
        <v/>
      </c>
      <c r="V632" s="0" t="str">
        <f aca="false">IF(U632="","",COUNTIFS($I$2:$I$1201,1,$U$2:$U$1201,"&lt;"&amp;U632)+1)</f>
        <v/>
      </c>
    </row>
    <row r="633" customFormat="false" ht="15" hidden="false" customHeight="false" outlineLevel="0" collapsed="false">
      <c r="A633" s="0" t="n">
        <v>11</v>
      </c>
      <c r="B633" s="0" t="n">
        <v>32</v>
      </c>
      <c r="C633" s="0" t="str">
        <f aca="false">TRIM(SUBSTITUTE(INDEX(LISTAS!$A$4:$T$63,B633,A633)&amp;"",CHAR(160)," "))</f>
        <v/>
      </c>
      <c r="D633" s="0" t="str">
        <f aca="false">IF(C633="","",TRIM(RIGHT(SUBSTITUTE(C633," ",REPT(" ",100)),100)))</f>
        <v/>
      </c>
      <c r="E633" s="0" t="str">
        <f aca="false">IF(D633="","",UPPER(SUBSTITUTE(SUBSTITUTE(D633,"(",""),")","")))</f>
        <v/>
      </c>
      <c r="F633" s="0" t="str">
        <f aca="false">IF(C633="","",LEFT(C633,FIND(" ",C633&amp;" ")-1))</f>
        <v/>
      </c>
      <c r="G633" s="0" t="n">
        <f aca="false">IFERROR(VALUE(SUBSTITUTE(LOWER(F633),"x","")),0)</f>
        <v>0</v>
      </c>
      <c r="H633" s="0" t="str">
        <f aca="false">IF(C633="","",TRIM(MID(C633,LEN(F633)+2,999)))</f>
        <v/>
      </c>
      <c r="I633" s="0" t="n">
        <f aca="false">IF(OR(C633="",LEFT(C633,2)="//"),0,IFERROR(IF(AND(G633&gt;0,G633=INT(G633),FIND("-",E633)&gt;1,NOT(EXACT(UPPER(LEFT(E633,1)),LOWER(LEFT(E633,1)))),ISNUMBER(VALUE(MID(E633,FIND("-",E633)+1,10)))),1,0),0))</f>
        <v>0</v>
      </c>
      <c r="J633" s="0" t="str">
        <f aca="false">IF(I633=1,TRIM(LEFT(H633,MAX(0,LEN(H633)-LEN(D633)))),"")</f>
        <v/>
      </c>
      <c r="K633" s="0" t="str">
        <f aca="false">INDEX($P$2:$P$21,A633)</f>
        <v>Deck 11</v>
      </c>
      <c r="L633" s="0" t="n">
        <f aca="false">IF(AND(C633&lt;&gt;"",LEFT(C633,2)&lt;&gt;"//",I633=0),1,0)</f>
        <v>0</v>
      </c>
      <c r="M633" s="0" t="str">
        <f aca="false">IF(I633=1,MAX(M$1:M632)+1,"")</f>
        <v/>
      </c>
      <c r="N633" s="0" t="str">
        <f aca="false">IFERROR(MATCH(ROW()-1,$V$2:$V$1201,0),"")</f>
        <v/>
      </c>
      <c r="R633" s="0" t="str">
        <f aca="false">IF(E633="","",IFERROR(LEFT(E633,FIND("-",E633)-1),E633))</f>
        <v/>
      </c>
      <c r="S633" s="0" t="str">
        <f aca="false">IF(R633="","",IF(ISNUMBER(--MID(R633,1,1)),0,IF(ISNUMBER(--MID(R633,2,1)),1,IF(ISNUMBER(--MID(R633,3,1)),2,IF(ISNUMBER(--MID(R633,4,1)),3,MIN(LEN(R633),4))))))</f>
        <v/>
      </c>
      <c r="T633" s="0" t="str">
        <f aca="false">IF(E633="","",LEFT(R633,S633)&amp;REPT("0",4-S633)&amp;RIGHT("000"&amp;IFERROR(VALUE(MID(R633,S633+1,9)),0),3)&amp;RIGHT("0000"&amp;IFERROR(VALUE(MID(E633,FIND("-",E633)+1,9)),0),4))</f>
        <v/>
      </c>
      <c r="U633" s="0" t="str">
        <f aca="false">IF(I633=1,"K"&amp;RIGHT("00"&amp;A633,2)&amp;T633&amp;RIGHT("00000"&amp;ROW(),5),"")</f>
        <v/>
      </c>
      <c r="V633" s="0" t="str">
        <f aca="false">IF(U633="","",COUNTIFS($I$2:$I$1201,1,$U$2:$U$1201,"&lt;"&amp;U633)+1)</f>
        <v/>
      </c>
    </row>
    <row r="634" customFormat="false" ht="15" hidden="false" customHeight="false" outlineLevel="0" collapsed="false">
      <c r="A634" s="0" t="n">
        <v>11</v>
      </c>
      <c r="B634" s="0" t="n">
        <v>33</v>
      </c>
      <c r="C634" s="0" t="str">
        <f aca="false">TRIM(SUBSTITUTE(INDEX(LISTAS!$A$4:$T$63,B634,A634)&amp;"",CHAR(160)," "))</f>
        <v/>
      </c>
      <c r="D634" s="0" t="str">
        <f aca="false">IF(C634="","",TRIM(RIGHT(SUBSTITUTE(C634," ",REPT(" ",100)),100)))</f>
        <v/>
      </c>
      <c r="E634" s="0" t="str">
        <f aca="false">IF(D634="","",UPPER(SUBSTITUTE(SUBSTITUTE(D634,"(",""),")","")))</f>
        <v/>
      </c>
      <c r="F634" s="0" t="str">
        <f aca="false">IF(C634="","",LEFT(C634,FIND(" ",C634&amp;" ")-1))</f>
        <v/>
      </c>
      <c r="G634" s="0" t="n">
        <f aca="false">IFERROR(VALUE(SUBSTITUTE(LOWER(F634),"x","")),0)</f>
        <v>0</v>
      </c>
      <c r="H634" s="0" t="str">
        <f aca="false">IF(C634="","",TRIM(MID(C634,LEN(F634)+2,999)))</f>
        <v/>
      </c>
      <c r="I634" s="0" t="n">
        <f aca="false">IF(OR(C634="",LEFT(C634,2)="//"),0,IFERROR(IF(AND(G634&gt;0,G634=INT(G634),FIND("-",E634)&gt;1,NOT(EXACT(UPPER(LEFT(E634,1)),LOWER(LEFT(E634,1)))),ISNUMBER(VALUE(MID(E634,FIND("-",E634)+1,10)))),1,0),0))</f>
        <v>0</v>
      </c>
      <c r="J634" s="0" t="str">
        <f aca="false">IF(I634=1,TRIM(LEFT(H634,MAX(0,LEN(H634)-LEN(D634)))),"")</f>
        <v/>
      </c>
      <c r="K634" s="0" t="str">
        <f aca="false">INDEX($P$2:$P$21,A634)</f>
        <v>Deck 11</v>
      </c>
      <c r="L634" s="0" t="n">
        <f aca="false">IF(AND(C634&lt;&gt;"",LEFT(C634,2)&lt;&gt;"//",I634=0),1,0)</f>
        <v>0</v>
      </c>
      <c r="M634" s="0" t="str">
        <f aca="false">IF(I634=1,MAX(M$1:M633)+1,"")</f>
        <v/>
      </c>
      <c r="N634" s="0" t="str">
        <f aca="false">IFERROR(MATCH(ROW()-1,$V$2:$V$1201,0),"")</f>
        <v/>
      </c>
      <c r="R634" s="0" t="str">
        <f aca="false">IF(E634="","",IFERROR(LEFT(E634,FIND("-",E634)-1),E634))</f>
        <v/>
      </c>
      <c r="S634" s="0" t="str">
        <f aca="false">IF(R634="","",IF(ISNUMBER(--MID(R634,1,1)),0,IF(ISNUMBER(--MID(R634,2,1)),1,IF(ISNUMBER(--MID(R634,3,1)),2,IF(ISNUMBER(--MID(R634,4,1)),3,MIN(LEN(R634),4))))))</f>
        <v/>
      </c>
      <c r="T634" s="0" t="str">
        <f aca="false">IF(E634="","",LEFT(R634,S634)&amp;REPT("0",4-S634)&amp;RIGHT("000"&amp;IFERROR(VALUE(MID(R634,S634+1,9)),0),3)&amp;RIGHT("0000"&amp;IFERROR(VALUE(MID(E634,FIND("-",E634)+1,9)),0),4))</f>
        <v/>
      </c>
      <c r="U634" s="0" t="str">
        <f aca="false">IF(I634=1,"K"&amp;RIGHT("00"&amp;A634,2)&amp;T634&amp;RIGHT("00000"&amp;ROW(),5),"")</f>
        <v/>
      </c>
      <c r="V634" s="0" t="str">
        <f aca="false">IF(U634="","",COUNTIFS($I$2:$I$1201,1,$U$2:$U$1201,"&lt;"&amp;U634)+1)</f>
        <v/>
      </c>
    </row>
    <row r="635" customFormat="false" ht="15" hidden="false" customHeight="false" outlineLevel="0" collapsed="false">
      <c r="A635" s="0" t="n">
        <v>11</v>
      </c>
      <c r="B635" s="0" t="n">
        <v>34</v>
      </c>
      <c r="C635" s="0" t="str">
        <f aca="false">TRIM(SUBSTITUTE(INDEX(LISTAS!$A$4:$T$63,B635,A635)&amp;"",CHAR(160)," "))</f>
        <v/>
      </c>
      <c r="D635" s="0" t="str">
        <f aca="false">IF(C635="","",TRIM(RIGHT(SUBSTITUTE(C635," ",REPT(" ",100)),100)))</f>
        <v/>
      </c>
      <c r="E635" s="0" t="str">
        <f aca="false">IF(D635="","",UPPER(SUBSTITUTE(SUBSTITUTE(D635,"(",""),")","")))</f>
        <v/>
      </c>
      <c r="F635" s="0" t="str">
        <f aca="false">IF(C635="","",LEFT(C635,FIND(" ",C635&amp;" ")-1))</f>
        <v/>
      </c>
      <c r="G635" s="0" t="n">
        <f aca="false">IFERROR(VALUE(SUBSTITUTE(LOWER(F635),"x","")),0)</f>
        <v>0</v>
      </c>
      <c r="H635" s="0" t="str">
        <f aca="false">IF(C635="","",TRIM(MID(C635,LEN(F635)+2,999)))</f>
        <v/>
      </c>
      <c r="I635" s="0" t="n">
        <f aca="false">IF(OR(C635="",LEFT(C635,2)="//"),0,IFERROR(IF(AND(G635&gt;0,G635=INT(G635),FIND("-",E635)&gt;1,NOT(EXACT(UPPER(LEFT(E635,1)),LOWER(LEFT(E635,1)))),ISNUMBER(VALUE(MID(E635,FIND("-",E635)+1,10)))),1,0),0))</f>
        <v>0</v>
      </c>
      <c r="J635" s="0" t="str">
        <f aca="false">IF(I635=1,TRIM(LEFT(H635,MAX(0,LEN(H635)-LEN(D635)))),"")</f>
        <v/>
      </c>
      <c r="K635" s="0" t="str">
        <f aca="false">INDEX($P$2:$P$21,A635)</f>
        <v>Deck 11</v>
      </c>
      <c r="L635" s="0" t="n">
        <f aca="false">IF(AND(C635&lt;&gt;"",LEFT(C635,2)&lt;&gt;"//",I635=0),1,0)</f>
        <v>0</v>
      </c>
      <c r="M635" s="0" t="str">
        <f aca="false">IF(I635=1,MAX(M$1:M634)+1,"")</f>
        <v/>
      </c>
      <c r="N635" s="0" t="str">
        <f aca="false">IFERROR(MATCH(ROW()-1,$V$2:$V$1201,0),"")</f>
        <v/>
      </c>
      <c r="R635" s="0" t="str">
        <f aca="false">IF(E635="","",IFERROR(LEFT(E635,FIND("-",E635)-1),E635))</f>
        <v/>
      </c>
      <c r="S635" s="0" t="str">
        <f aca="false">IF(R635="","",IF(ISNUMBER(--MID(R635,1,1)),0,IF(ISNUMBER(--MID(R635,2,1)),1,IF(ISNUMBER(--MID(R635,3,1)),2,IF(ISNUMBER(--MID(R635,4,1)),3,MIN(LEN(R635),4))))))</f>
        <v/>
      </c>
      <c r="T635" s="0" t="str">
        <f aca="false">IF(E635="","",LEFT(R635,S635)&amp;REPT("0",4-S635)&amp;RIGHT("000"&amp;IFERROR(VALUE(MID(R635,S635+1,9)),0),3)&amp;RIGHT("0000"&amp;IFERROR(VALUE(MID(E635,FIND("-",E635)+1,9)),0),4))</f>
        <v/>
      </c>
      <c r="U635" s="0" t="str">
        <f aca="false">IF(I635=1,"K"&amp;RIGHT("00"&amp;A635,2)&amp;T635&amp;RIGHT("00000"&amp;ROW(),5),"")</f>
        <v/>
      </c>
      <c r="V635" s="0" t="str">
        <f aca="false">IF(U635="","",COUNTIFS($I$2:$I$1201,1,$U$2:$U$1201,"&lt;"&amp;U635)+1)</f>
        <v/>
      </c>
    </row>
    <row r="636" customFormat="false" ht="15" hidden="false" customHeight="false" outlineLevel="0" collapsed="false">
      <c r="A636" s="0" t="n">
        <v>11</v>
      </c>
      <c r="B636" s="0" t="n">
        <v>35</v>
      </c>
      <c r="C636" s="0" t="str">
        <f aca="false">TRIM(SUBSTITUTE(INDEX(LISTAS!$A$4:$T$63,B636,A636)&amp;"",CHAR(160)," "))</f>
        <v/>
      </c>
      <c r="D636" s="0" t="str">
        <f aca="false">IF(C636="","",TRIM(RIGHT(SUBSTITUTE(C636," ",REPT(" ",100)),100)))</f>
        <v/>
      </c>
      <c r="E636" s="0" t="str">
        <f aca="false">IF(D636="","",UPPER(SUBSTITUTE(SUBSTITUTE(D636,"(",""),")","")))</f>
        <v/>
      </c>
      <c r="F636" s="0" t="str">
        <f aca="false">IF(C636="","",LEFT(C636,FIND(" ",C636&amp;" ")-1))</f>
        <v/>
      </c>
      <c r="G636" s="0" t="n">
        <f aca="false">IFERROR(VALUE(SUBSTITUTE(LOWER(F636),"x","")),0)</f>
        <v>0</v>
      </c>
      <c r="H636" s="0" t="str">
        <f aca="false">IF(C636="","",TRIM(MID(C636,LEN(F636)+2,999)))</f>
        <v/>
      </c>
      <c r="I636" s="0" t="n">
        <f aca="false">IF(OR(C636="",LEFT(C636,2)="//"),0,IFERROR(IF(AND(G636&gt;0,G636=INT(G636),FIND("-",E636)&gt;1,NOT(EXACT(UPPER(LEFT(E636,1)),LOWER(LEFT(E636,1)))),ISNUMBER(VALUE(MID(E636,FIND("-",E636)+1,10)))),1,0),0))</f>
        <v>0</v>
      </c>
      <c r="J636" s="0" t="str">
        <f aca="false">IF(I636=1,TRIM(LEFT(H636,MAX(0,LEN(H636)-LEN(D636)))),"")</f>
        <v/>
      </c>
      <c r="K636" s="0" t="str">
        <f aca="false">INDEX($P$2:$P$21,A636)</f>
        <v>Deck 11</v>
      </c>
      <c r="L636" s="0" t="n">
        <f aca="false">IF(AND(C636&lt;&gt;"",LEFT(C636,2)&lt;&gt;"//",I636=0),1,0)</f>
        <v>0</v>
      </c>
      <c r="M636" s="0" t="str">
        <f aca="false">IF(I636=1,MAX(M$1:M635)+1,"")</f>
        <v/>
      </c>
      <c r="N636" s="0" t="str">
        <f aca="false">IFERROR(MATCH(ROW()-1,$V$2:$V$1201,0),"")</f>
        <v/>
      </c>
      <c r="R636" s="0" t="str">
        <f aca="false">IF(E636="","",IFERROR(LEFT(E636,FIND("-",E636)-1),E636))</f>
        <v/>
      </c>
      <c r="S636" s="0" t="str">
        <f aca="false">IF(R636="","",IF(ISNUMBER(--MID(R636,1,1)),0,IF(ISNUMBER(--MID(R636,2,1)),1,IF(ISNUMBER(--MID(R636,3,1)),2,IF(ISNUMBER(--MID(R636,4,1)),3,MIN(LEN(R636),4))))))</f>
        <v/>
      </c>
      <c r="T636" s="0" t="str">
        <f aca="false">IF(E636="","",LEFT(R636,S636)&amp;REPT("0",4-S636)&amp;RIGHT("000"&amp;IFERROR(VALUE(MID(R636,S636+1,9)),0),3)&amp;RIGHT("0000"&amp;IFERROR(VALUE(MID(E636,FIND("-",E636)+1,9)),0),4))</f>
        <v/>
      </c>
      <c r="U636" s="0" t="str">
        <f aca="false">IF(I636=1,"K"&amp;RIGHT("00"&amp;A636,2)&amp;T636&amp;RIGHT("00000"&amp;ROW(),5),"")</f>
        <v/>
      </c>
      <c r="V636" s="0" t="str">
        <f aca="false">IF(U636="","",COUNTIFS($I$2:$I$1201,1,$U$2:$U$1201,"&lt;"&amp;U636)+1)</f>
        <v/>
      </c>
    </row>
    <row r="637" customFormat="false" ht="15" hidden="false" customHeight="false" outlineLevel="0" collapsed="false">
      <c r="A637" s="0" t="n">
        <v>11</v>
      </c>
      <c r="B637" s="0" t="n">
        <v>36</v>
      </c>
      <c r="C637" s="0" t="str">
        <f aca="false">TRIM(SUBSTITUTE(INDEX(LISTAS!$A$4:$T$63,B637,A637)&amp;"",CHAR(160)," "))</f>
        <v/>
      </c>
      <c r="D637" s="0" t="str">
        <f aca="false">IF(C637="","",TRIM(RIGHT(SUBSTITUTE(C637," ",REPT(" ",100)),100)))</f>
        <v/>
      </c>
      <c r="E637" s="0" t="str">
        <f aca="false">IF(D637="","",UPPER(SUBSTITUTE(SUBSTITUTE(D637,"(",""),")","")))</f>
        <v/>
      </c>
      <c r="F637" s="0" t="str">
        <f aca="false">IF(C637="","",LEFT(C637,FIND(" ",C637&amp;" ")-1))</f>
        <v/>
      </c>
      <c r="G637" s="0" t="n">
        <f aca="false">IFERROR(VALUE(SUBSTITUTE(LOWER(F637),"x","")),0)</f>
        <v>0</v>
      </c>
      <c r="H637" s="0" t="str">
        <f aca="false">IF(C637="","",TRIM(MID(C637,LEN(F637)+2,999)))</f>
        <v/>
      </c>
      <c r="I637" s="0" t="n">
        <f aca="false">IF(OR(C637="",LEFT(C637,2)="//"),0,IFERROR(IF(AND(G637&gt;0,G637=INT(G637),FIND("-",E637)&gt;1,NOT(EXACT(UPPER(LEFT(E637,1)),LOWER(LEFT(E637,1)))),ISNUMBER(VALUE(MID(E637,FIND("-",E637)+1,10)))),1,0),0))</f>
        <v>0</v>
      </c>
      <c r="J637" s="0" t="str">
        <f aca="false">IF(I637=1,TRIM(LEFT(H637,MAX(0,LEN(H637)-LEN(D637)))),"")</f>
        <v/>
      </c>
      <c r="K637" s="0" t="str">
        <f aca="false">INDEX($P$2:$P$21,A637)</f>
        <v>Deck 11</v>
      </c>
      <c r="L637" s="0" t="n">
        <f aca="false">IF(AND(C637&lt;&gt;"",LEFT(C637,2)&lt;&gt;"//",I637=0),1,0)</f>
        <v>0</v>
      </c>
      <c r="M637" s="0" t="str">
        <f aca="false">IF(I637=1,MAX(M$1:M636)+1,"")</f>
        <v/>
      </c>
      <c r="N637" s="0" t="str">
        <f aca="false">IFERROR(MATCH(ROW()-1,$V$2:$V$1201,0),"")</f>
        <v/>
      </c>
      <c r="R637" s="0" t="str">
        <f aca="false">IF(E637="","",IFERROR(LEFT(E637,FIND("-",E637)-1),E637))</f>
        <v/>
      </c>
      <c r="S637" s="0" t="str">
        <f aca="false">IF(R637="","",IF(ISNUMBER(--MID(R637,1,1)),0,IF(ISNUMBER(--MID(R637,2,1)),1,IF(ISNUMBER(--MID(R637,3,1)),2,IF(ISNUMBER(--MID(R637,4,1)),3,MIN(LEN(R637),4))))))</f>
        <v/>
      </c>
      <c r="T637" s="0" t="str">
        <f aca="false">IF(E637="","",LEFT(R637,S637)&amp;REPT("0",4-S637)&amp;RIGHT("000"&amp;IFERROR(VALUE(MID(R637,S637+1,9)),0),3)&amp;RIGHT("0000"&amp;IFERROR(VALUE(MID(E637,FIND("-",E637)+1,9)),0),4))</f>
        <v/>
      </c>
      <c r="U637" s="0" t="str">
        <f aca="false">IF(I637=1,"K"&amp;RIGHT("00"&amp;A637,2)&amp;T637&amp;RIGHT("00000"&amp;ROW(),5),"")</f>
        <v/>
      </c>
      <c r="V637" s="0" t="str">
        <f aca="false">IF(U637="","",COUNTIFS($I$2:$I$1201,1,$U$2:$U$1201,"&lt;"&amp;U637)+1)</f>
        <v/>
      </c>
    </row>
    <row r="638" customFormat="false" ht="15" hidden="false" customHeight="false" outlineLevel="0" collapsed="false">
      <c r="A638" s="0" t="n">
        <v>11</v>
      </c>
      <c r="B638" s="0" t="n">
        <v>37</v>
      </c>
      <c r="C638" s="0" t="str">
        <f aca="false">TRIM(SUBSTITUTE(INDEX(LISTAS!$A$4:$T$63,B638,A638)&amp;"",CHAR(160)," "))</f>
        <v/>
      </c>
      <c r="D638" s="0" t="str">
        <f aca="false">IF(C638="","",TRIM(RIGHT(SUBSTITUTE(C638," ",REPT(" ",100)),100)))</f>
        <v/>
      </c>
      <c r="E638" s="0" t="str">
        <f aca="false">IF(D638="","",UPPER(SUBSTITUTE(SUBSTITUTE(D638,"(",""),")","")))</f>
        <v/>
      </c>
      <c r="F638" s="0" t="str">
        <f aca="false">IF(C638="","",LEFT(C638,FIND(" ",C638&amp;" ")-1))</f>
        <v/>
      </c>
      <c r="G638" s="0" t="n">
        <f aca="false">IFERROR(VALUE(SUBSTITUTE(LOWER(F638),"x","")),0)</f>
        <v>0</v>
      </c>
      <c r="H638" s="0" t="str">
        <f aca="false">IF(C638="","",TRIM(MID(C638,LEN(F638)+2,999)))</f>
        <v/>
      </c>
      <c r="I638" s="0" t="n">
        <f aca="false">IF(OR(C638="",LEFT(C638,2)="//"),0,IFERROR(IF(AND(G638&gt;0,G638=INT(G638),FIND("-",E638)&gt;1,NOT(EXACT(UPPER(LEFT(E638,1)),LOWER(LEFT(E638,1)))),ISNUMBER(VALUE(MID(E638,FIND("-",E638)+1,10)))),1,0),0))</f>
        <v>0</v>
      </c>
      <c r="J638" s="0" t="str">
        <f aca="false">IF(I638=1,TRIM(LEFT(H638,MAX(0,LEN(H638)-LEN(D638)))),"")</f>
        <v/>
      </c>
      <c r="K638" s="0" t="str">
        <f aca="false">INDEX($P$2:$P$21,A638)</f>
        <v>Deck 11</v>
      </c>
      <c r="L638" s="0" t="n">
        <f aca="false">IF(AND(C638&lt;&gt;"",LEFT(C638,2)&lt;&gt;"//",I638=0),1,0)</f>
        <v>0</v>
      </c>
      <c r="M638" s="0" t="str">
        <f aca="false">IF(I638=1,MAX(M$1:M637)+1,"")</f>
        <v/>
      </c>
      <c r="N638" s="0" t="str">
        <f aca="false">IFERROR(MATCH(ROW()-1,$V$2:$V$1201,0),"")</f>
        <v/>
      </c>
      <c r="R638" s="0" t="str">
        <f aca="false">IF(E638="","",IFERROR(LEFT(E638,FIND("-",E638)-1),E638))</f>
        <v/>
      </c>
      <c r="S638" s="0" t="str">
        <f aca="false">IF(R638="","",IF(ISNUMBER(--MID(R638,1,1)),0,IF(ISNUMBER(--MID(R638,2,1)),1,IF(ISNUMBER(--MID(R638,3,1)),2,IF(ISNUMBER(--MID(R638,4,1)),3,MIN(LEN(R638),4))))))</f>
        <v/>
      </c>
      <c r="T638" s="0" t="str">
        <f aca="false">IF(E638="","",LEFT(R638,S638)&amp;REPT("0",4-S638)&amp;RIGHT("000"&amp;IFERROR(VALUE(MID(R638,S638+1,9)),0),3)&amp;RIGHT("0000"&amp;IFERROR(VALUE(MID(E638,FIND("-",E638)+1,9)),0),4))</f>
        <v/>
      </c>
      <c r="U638" s="0" t="str">
        <f aca="false">IF(I638=1,"K"&amp;RIGHT("00"&amp;A638,2)&amp;T638&amp;RIGHT("00000"&amp;ROW(),5),"")</f>
        <v/>
      </c>
      <c r="V638" s="0" t="str">
        <f aca="false">IF(U638="","",COUNTIFS($I$2:$I$1201,1,$U$2:$U$1201,"&lt;"&amp;U638)+1)</f>
        <v/>
      </c>
    </row>
    <row r="639" customFormat="false" ht="15" hidden="false" customHeight="false" outlineLevel="0" collapsed="false">
      <c r="A639" s="0" t="n">
        <v>11</v>
      </c>
      <c r="B639" s="0" t="n">
        <v>38</v>
      </c>
      <c r="C639" s="0" t="str">
        <f aca="false">TRIM(SUBSTITUTE(INDEX(LISTAS!$A$4:$T$63,B639,A639)&amp;"",CHAR(160)," "))</f>
        <v/>
      </c>
      <c r="D639" s="0" t="str">
        <f aca="false">IF(C639="","",TRIM(RIGHT(SUBSTITUTE(C639," ",REPT(" ",100)),100)))</f>
        <v/>
      </c>
      <c r="E639" s="0" t="str">
        <f aca="false">IF(D639="","",UPPER(SUBSTITUTE(SUBSTITUTE(D639,"(",""),")","")))</f>
        <v/>
      </c>
      <c r="F639" s="0" t="str">
        <f aca="false">IF(C639="","",LEFT(C639,FIND(" ",C639&amp;" ")-1))</f>
        <v/>
      </c>
      <c r="G639" s="0" t="n">
        <f aca="false">IFERROR(VALUE(SUBSTITUTE(LOWER(F639),"x","")),0)</f>
        <v>0</v>
      </c>
      <c r="H639" s="0" t="str">
        <f aca="false">IF(C639="","",TRIM(MID(C639,LEN(F639)+2,999)))</f>
        <v/>
      </c>
      <c r="I639" s="0" t="n">
        <f aca="false">IF(OR(C639="",LEFT(C639,2)="//"),0,IFERROR(IF(AND(G639&gt;0,G639=INT(G639),FIND("-",E639)&gt;1,NOT(EXACT(UPPER(LEFT(E639,1)),LOWER(LEFT(E639,1)))),ISNUMBER(VALUE(MID(E639,FIND("-",E639)+1,10)))),1,0),0))</f>
        <v>0</v>
      </c>
      <c r="J639" s="0" t="str">
        <f aca="false">IF(I639=1,TRIM(LEFT(H639,MAX(0,LEN(H639)-LEN(D639)))),"")</f>
        <v/>
      </c>
      <c r="K639" s="0" t="str">
        <f aca="false">INDEX($P$2:$P$21,A639)</f>
        <v>Deck 11</v>
      </c>
      <c r="L639" s="0" t="n">
        <f aca="false">IF(AND(C639&lt;&gt;"",LEFT(C639,2)&lt;&gt;"//",I639=0),1,0)</f>
        <v>0</v>
      </c>
      <c r="M639" s="0" t="str">
        <f aca="false">IF(I639=1,MAX(M$1:M638)+1,"")</f>
        <v/>
      </c>
      <c r="N639" s="0" t="str">
        <f aca="false">IFERROR(MATCH(ROW()-1,$V$2:$V$1201,0),"")</f>
        <v/>
      </c>
      <c r="R639" s="0" t="str">
        <f aca="false">IF(E639="","",IFERROR(LEFT(E639,FIND("-",E639)-1),E639))</f>
        <v/>
      </c>
      <c r="S639" s="0" t="str">
        <f aca="false">IF(R639="","",IF(ISNUMBER(--MID(R639,1,1)),0,IF(ISNUMBER(--MID(R639,2,1)),1,IF(ISNUMBER(--MID(R639,3,1)),2,IF(ISNUMBER(--MID(R639,4,1)),3,MIN(LEN(R639),4))))))</f>
        <v/>
      </c>
      <c r="T639" s="0" t="str">
        <f aca="false">IF(E639="","",LEFT(R639,S639)&amp;REPT("0",4-S639)&amp;RIGHT("000"&amp;IFERROR(VALUE(MID(R639,S639+1,9)),0),3)&amp;RIGHT("0000"&amp;IFERROR(VALUE(MID(E639,FIND("-",E639)+1,9)),0),4))</f>
        <v/>
      </c>
      <c r="U639" s="0" t="str">
        <f aca="false">IF(I639=1,"K"&amp;RIGHT("00"&amp;A639,2)&amp;T639&amp;RIGHT("00000"&amp;ROW(),5),"")</f>
        <v/>
      </c>
      <c r="V639" s="0" t="str">
        <f aca="false">IF(U639="","",COUNTIFS($I$2:$I$1201,1,$U$2:$U$1201,"&lt;"&amp;U639)+1)</f>
        <v/>
      </c>
    </row>
    <row r="640" customFormat="false" ht="15" hidden="false" customHeight="false" outlineLevel="0" collapsed="false">
      <c r="A640" s="0" t="n">
        <v>11</v>
      </c>
      <c r="B640" s="0" t="n">
        <v>39</v>
      </c>
      <c r="C640" s="0" t="str">
        <f aca="false">TRIM(SUBSTITUTE(INDEX(LISTAS!$A$4:$T$63,B640,A640)&amp;"",CHAR(160)," "))</f>
        <v/>
      </c>
      <c r="D640" s="0" t="str">
        <f aca="false">IF(C640="","",TRIM(RIGHT(SUBSTITUTE(C640," ",REPT(" ",100)),100)))</f>
        <v/>
      </c>
      <c r="E640" s="0" t="str">
        <f aca="false">IF(D640="","",UPPER(SUBSTITUTE(SUBSTITUTE(D640,"(",""),")","")))</f>
        <v/>
      </c>
      <c r="F640" s="0" t="str">
        <f aca="false">IF(C640="","",LEFT(C640,FIND(" ",C640&amp;" ")-1))</f>
        <v/>
      </c>
      <c r="G640" s="0" t="n">
        <f aca="false">IFERROR(VALUE(SUBSTITUTE(LOWER(F640),"x","")),0)</f>
        <v>0</v>
      </c>
      <c r="H640" s="0" t="str">
        <f aca="false">IF(C640="","",TRIM(MID(C640,LEN(F640)+2,999)))</f>
        <v/>
      </c>
      <c r="I640" s="0" t="n">
        <f aca="false">IF(OR(C640="",LEFT(C640,2)="//"),0,IFERROR(IF(AND(G640&gt;0,G640=INT(G640),FIND("-",E640)&gt;1,NOT(EXACT(UPPER(LEFT(E640,1)),LOWER(LEFT(E640,1)))),ISNUMBER(VALUE(MID(E640,FIND("-",E640)+1,10)))),1,0),0))</f>
        <v>0</v>
      </c>
      <c r="J640" s="0" t="str">
        <f aca="false">IF(I640=1,TRIM(LEFT(H640,MAX(0,LEN(H640)-LEN(D640)))),"")</f>
        <v/>
      </c>
      <c r="K640" s="0" t="str">
        <f aca="false">INDEX($P$2:$P$21,A640)</f>
        <v>Deck 11</v>
      </c>
      <c r="L640" s="0" t="n">
        <f aca="false">IF(AND(C640&lt;&gt;"",LEFT(C640,2)&lt;&gt;"//",I640=0),1,0)</f>
        <v>0</v>
      </c>
      <c r="M640" s="0" t="str">
        <f aca="false">IF(I640=1,MAX(M$1:M639)+1,"")</f>
        <v/>
      </c>
      <c r="N640" s="0" t="str">
        <f aca="false">IFERROR(MATCH(ROW()-1,$V$2:$V$1201,0),"")</f>
        <v/>
      </c>
      <c r="R640" s="0" t="str">
        <f aca="false">IF(E640="","",IFERROR(LEFT(E640,FIND("-",E640)-1),E640))</f>
        <v/>
      </c>
      <c r="S640" s="0" t="str">
        <f aca="false">IF(R640="","",IF(ISNUMBER(--MID(R640,1,1)),0,IF(ISNUMBER(--MID(R640,2,1)),1,IF(ISNUMBER(--MID(R640,3,1)),2,IF(ISNUMBER(--MID(R640,4,1)),3,MIN(LEN(R640),4))))))</f>
        <v/>
      </c>
      <c r="T640" s="0" t="str">
        <f aca="false">IF(E640="","",LEFT(R640,S640)&amp;REPT("0",4-S640)&amp;RIGHT("000"&amp;IFERROR(VALUE(MID(R640,S640+1,9)),0),3)&amp;RIGHT("0000"&amp;IFERROR(VALUE(MID(E640,FIND("-",E640)+1,9)),0),4))</f>
        <v/>
      </c>
      <c r="U640" s="0" t="str">
        <f aca="false">IF(I640=1,"K"&amp;RIGHT("00"&amp;A640,2)&amp;T640&amp;RIGHT("00000"&amp;ROW(),5),"")</f>
        <v/>
      </c>
      <c r="V640" s="0" t="str">
        <f aca="false">IF(U640="","",COUNTIFS($I$2:$I$1201,1,$U$2:$U$1201,"&lt;"&amp;U640)+1)</f>
        <v/>
      </c>
    </row>
    <row r="641" customFormat="false" ht="15" hidden="false" customHeight="false" outlineLevel="0" collapsed="false">
      <c r="A641" s="0" t="n">
        <v>11</v>
      </c>
      <c r="B641" s="0" t="n">
        <v>40</v>
      </c>
      <c r="C641" s="0" t="str">
        <f aca="false">TRIM(SUBSTITUTE(INDEX(LISTAS!$A$4:$T$63,B641,A641)&amp;"",CHAR(160)," "))</f>
        <v/>
      </c>
      <c r="D641" s="0" t="str">
        <f aca="false">IF(C641="","",TRIM(RIGHT(SUBSTITUTE(C641," ",REPT(" ",100)),100)))</f>
        <v/>
      </c>
      <c r="E641" s="0" t="str">
        <f aca="false">IF(D641="","",UPPER(SUBSTITUTE(SUBSTITUTE(D641,"(",""),")","")))</f>
        <v/>
      </c>
      <c r="F641" s="0" t="str">
        <f aca="false">IF(C641="","",LEFT(C641,FIND(" ",C641&amp;" ")-1))</f>
        <v/>
      </c>
      <c r="G641" s="0" t="n">
        <f aca="false">IFERROR(VALUE(SUBSTITUTE(LOWER(F641),"x","")),0)</f>
        <v>0</v>
      </c>
      <c r="H641" s="0" t="str">
        <f aca="false">IF(C641="","",TRIM(MID(C641,LEN(F641)+2,999)))</f>
        <v/>
      </c>
      <c r="I641" s="0" t="n">
        <f aca="false">IF(OR(C641="",LEFT(C641,2)="//"),0,IFERROR(IF(AND(G641&gt;0,G641=INT(G641),FIND("-",E641)&gt;1,NOT(EXACT(UPPER(LEFT(E641,1)),LOWER(LEFT(E641,1)))),ISNUMBER(VALUE(MID(E641,FIND("-",E641)+1,10)))),1,0),0))</f>
        <v>0</v>
      </c>
      <c r="J641" s="0" t="str">
        <f aca="false">IF(I641=1,TRIM(LEFT(H641,MAX(0,LEN(H641)-LEN(D641)))),"")</f>
        <v/>
      </c>
      <c r="K641" s="0" t="str">
        <f aca="false">INDEX($P$2:$P$21,A641)</f>
        <v>Deck 11</v>
      </c>
      <c r="L641" s="0" t="n">
        <f aca="false">IF(AND(C641&lt;&gt;"",LEFT(C641,2)&lt;&gt;"//",I641=0),1,0)</f>
        <v>0</v>
      </c>
      <c r="M641" s="0" t="str">
        <f aca="false">IF(I641=1,MAX(M$1:M640)+1,"")</f>
        <v/>
      </c>
      <c r="N641" s="0" t="str">
        <f aca="false">IFERROR(MATCH(ROW()-1,$V$2:$V$1201,0),"")</f>
        <v/>
      </c>
      <c r="R641" s="0" t="str">
        <f aca="false">IF(E641="","",IFERROR(LEFT(E641,FIND("-",E641)-1),E641))</f>
        <v/>
      </c>
      <c r="S641" s="0" t="str">
        <f aca="false">IF(R641="","",IF(ISNUMBER(--MID(R641,1,1)),0,IF(ISNUMBER(--MID(R641,2,1)),1,IF(ISNUMBER(--MID(R641,3,1)),2,IF(ISNUMBER(--MID(R641,4,1)),3,MIN(LEN(R641),4))))))</f>
        <v/>
      </c>
      <c r="T641" s="0" t="str">
        <f aca="false">IF(E641="","",LEFT(R641,S641)&amp;REPT("0",4-S641)&amp;RIGHT("000"&amp;IFERROR(VALUE(MID(R641,S641+1,9)),0),3)&amp;RIGHT("0000"&amp;IFERROR(VALUE(MID(E641,FIND("-",E641)+1,9)),0),4))</f>
        <v/>
      </c>
      <c r="U641" s="0" t="str">
        <f aca="false">IF(I641=1,"K"&amp;RIGHT("00"&amp;A641,2)&amp;T641&amp;RIGHT("00000"&amp;ROW(),5),"")</f>
        <v/>
      </c>
      <c r="V641" s="0" t="str">
        <f aca="false">IF(U641="","",COUNTIFS($I$2:$I$1201,1,$U$2:$U$1201,"&lt;"&amp;U641)+1)</f>
        <v/>
      </c>
    </row>
    <row r="642" customFormat="false" ht="15" hidden="false" customHeight="false" outlineLevel="0" collapsed="false">
      <c r="A642" s="0" t="n">
        <v>11</v>
      </c>
      <c r="B642" s="0" t="n">
        <v>41</v>
      </c>
      <c r="C642" s="0" t="str">
        <f aca="false">TRIM(SUBSTITUTE(INDEX(LISTAS!$A$4:$T$63,B642,A642)&amp;"",CHAR(160)," "))</f>
        <v/>
      </c>
      <c r="D642" s="0" t="str">
        <f aca="false">IF(C642="","",TRIM(RIGHT(SUBSTITUTE(C642," ",REPT(" ",100)),100)))</f>
        <v/>
      </c>
      <c r="E642" s="0" t="str">
        <f aca="false">IF(D642="","",UPPER(SUBSTITUTE(SUBSTITUTE(D642,"(",""),")","")))</f>
        <v/>
      </c>
      <c r="F642" s="0" t="str">
        <f aca="false">IF(C642="","",LEFT(C642,FIND(" ",C642&amp;" ")-1))</f>
        <v/>
      </c>
      <c r="G642" s="0" t="n">
        <f aca="false">IFERROR(VALUE(SUBSTITUTE(LOWER(F642),"x","")),0)</f>
        <v>0</v>
      </c>
      <c r="H642" s="0" t="str">
        <f aca="false">IF(C642="","",TRIM(MID(C642,LEN(F642)+2,999)))</f>
        <v/>
      </c>
      <c r="I642" s="0" t="n">
        <f aca="false">IF(OR(C642="",LEFT(C642,2)="//"),0,IFERROR(IF(AND(G642&gt;0,G642=INT(G642),FIND("-",E642)&gt;1,NOT(EXACT(UPPER(LEFT(E642,1)),LOWER(LEFT(E642,1)))),ISNUMBER(VALUE(MID(E642,FIND("-",E642)+1,10)))),1,0),0))</f>
        <v>0</v>
      </c>
      <c r="J642" s="0" t="str">
        <f aca="false">IF(I642=1,TRIM(LEFT(H642,MAX(0,LEN(H642)-LEN(D642)))),"")</f>
        <v/>
      </c>
      <c r="K642" s="0" t="str">
        <f aca="false">INDEX($P$2:$P$21,A642)</f>
        <v>Deck 11</v>
      </c>
      <c r="L642" s="0" t="n">
        <f aca="false">IF(AND(C642&lt;&gt;"",LEFT(C642,2)&lt;&gt;"//",I642=0),1,0)</f>
        <v>0</v>
      </c>
      <c r="M642" s="0" t="str">
        <f aca="false">IF(I642=1,MAX(M$1:M641)+1,"")</f>
        <v/>
      </c>
      <c r="N642" s="0" t="str">
        <f aca="false">IFERROR(MATCH(ROW()-1,$V$2:$V$1201,0),"")</f>
        <v/>
      </c>
      <c r="R642" s="0" t="str">
        <f aca="false">IF(E642="","",IFERROR(LEFT(E642,FIND("-",E642)-1),E642))</f>
        <v/>
      </c>
      <c r="S642" s="0" t="str">
        <f aca="false">IF(R642="","",IF(ISNUMBER(--MID(R642,1,1)),0,IF(ISNUMBER(--MID(R642,2,1)),1,IF(ISNUMBER(--MID(R642,3,1)),2,IF(ISNUMBER(--MID(R642,4,1)),3,MIN(LEN(R642),4))))))</f>
        <v/>
      </c>
      <c r="T642" s="0" t="str">
        <f aca="false">IF(E642="","",LEFT(R642,S642)&amp;REPT("0",4-S642)&amp;RIGHT("000"&amp;IFERROR(VALUE(MID(R642,S642+1,9)),0),3)&amp;RIGHT("0000"&amp;IFERROR(VALUE(MID(E642,FIND("-",E642)+1,9)),0),4))</f>
        <v/>
      </c>
      <c r="U642" s="0" t="str">
        <f aca="false">IF(I642=1,"K"&amp;RIGHT("00"&amp;A642,2)&amp;T642&amp;RIGHT("00000"&amp;ROW(),5),"")</f>
        <v/>
      </c>
      <c r="V642" s="0" t="str">
        <f aca="false">IF(U642="","",COUNTIFS($I$2:$I$1201,1,$U$2:$U$1201,"&lt;"&amp;U642)+1)</f>
        <v/>
      </c>
    </row>
    <row r="643" customFormat="false" ht="15" hidden="false" customHeight="false" outlineLevel="0" collapsed="false">
      <c r="A643" s="0" t="n">
        <v>11</v>
      </c>
      <c r="B643" s="0" t="n">
        <v>42</v>
      </c>
      <c r="C643" s="0" t="str">
        <f aca="false">TRIM(SUBSTITUTE(INDEX(LISTAS!$A$4:$T$63,B643,A643)&amp;"",CHAR(160)," "))</f>
        <v/>
      </c>
      <c r="D643" s="0" t="str">
        <f aca="false">IF(C643="","",TRIM(RIGHT(SUBSTITUTE(C643," ",REPT(" ",100)),100)))</f>
        <v/>
      </c>
      <c r="E643" s="0" t="str">
        <f aca="false">IF(D643="","",UPPER(SUBSTITUTE(SUBSTITUTE(D643,"(",""),")","")))</f>
        <v/>
      </c>
      <c r="F643" s="0" t="str">
        <f aca="false">IF(C643="","",LEFT(C643,FIND(" ",C643&amp;" ")-1))</f>
        <v/>
      </c>
      <c r="G643" s="0" t="n">
        <f aca="false">IFERROR(VALUE(SUBSTITUTE(LOWER(F643),"x","")),0)</f>
        <v>0</v>
      </c>
      <c r="H643" s="0" t="str">
        <f aca="false">IF(C643="","",TRIM(MID(C643,LEN(F643)+2,999)))</f>
        <v/>
      </c>
      <c r="I643" s="0" t="n">
        <f aca="false">IF(OR(C643="",LEFT(C643,2)="//"),0,IFERROR(IF(AND(G643&gt;0,G643=INT(G643),FIND("-",E643)&gt;1,NOT(EXACT(UPPER(LEFT(E643,1)),LOWER(LEFT(E643,1)))),ISNUMBER(VALUE(MID(E643,FIND("-",E643)+1,10)))),1,0),0))</f>
        <v>0</v>
      </c>
      <c r="J643" s="0" t="str">
        <f aca="false">IF(I643=1,TRIM(LEFT(H643,MAX(0,LEN(H643)-LEN(D643)))),"")</f>
        <v/>
      </c>
      <c r="K643" s="0" t="str">
        <f aca="false">INDEX($P$2:$P$21,A643)</f>
        <v>Deck 11</v>
      </c>
      <c r="L643" s="0" t="n">
        <f aca="false">IF(AND(C643&lt;&gt;"",LEFT(C643,2)&lt;&gt;"//",I643=0),1,0)</f>
        <v>0</v>
      </c>
      <c r="M643" s="0" t="str">
        <f aca="false">IF(I643=1,MAX(M$1:M642)+1,"")</f>
        <v/>
      </c>
      <c r="N643" s="0" t="str">
        <f aca="false">IFERROR(MATCH(ROW()-1,$V$2:$V$1201,0),"")</f>
        <v/>
      </c>
      <c r="R643" s="0" t="str">
        <f aca="false">IF(E643="","",IFERROR(LEFT(E643,FIND("-",E643)-1),E643))</f>
        <v/>
      </c>
      <c r="S643" s="0" t="str">
        <f aca="false">IF(R643="","",IF(ISNUMBER(--MID(R643,1,1)),0,IF(ISNUMBER(--MID(R643,2,1)),1,IF(ISNUMBER(--MID(R643,3,1)),2,IF(ISNUMBER(--MID(R643,4,1)),3,MIN(LEN(R643),4))))))</f>
        <v/>
      </c>
      <c r="T643" s="0" t="str">
        <f aca="false">IF(E643="","",LEFT(R643,S643)&amp;REPT("0",4-S643)&amp;RIGHT("000"&amp;IFERROR(VALUE(MID(R643,S643+1,9)),0),3)&amp;RIGHT("0000"&amp;IFERROR(VALUE(MID(E643,FIND("-",E643)+1,9)),0),4))</f>
        <v/>
      </c>
      <c r="U643" s="0" t="str">
        <f aca="false">IF(I643=1,"K"&amp;RIGHT("00"&amp;A643,2)&amp;T643&amp;RIGHT("00000"&amp;ROW(),5),"")</f>
        <v/>
      </c>
      <c r="V643" s="0" t="str">
        <f aca="false">IF(U643="","",COUNTIFS($I$2:$I$1201,1,$U$2:$U$1201,"&lt;"&amp;U643)+1)</f>
        <v/>
      </c>
    </row>
    <row r="644" customFormat="false" ht="15" hidden="false" customHeight="false" outlineLevel="0" collapsed="false">
      <c r="A644" s="0" t="n">
        <v>11</v>
      </c>
      <c r="B644" s="0" t="n">
        <v>43</v>
      </c>
      <c r="C644" s="0" t="str">
        <f aca="false">TRIM(SUBSTITUTE(INDEX(LISTAS!$A$4:$T$63,B644,A644)&amp;"",CHAR(160)," "))</f>
        <v/>
      </c>
      <c r="D644" s="0" t="str">
        <f aca="false">IF(C644="","",TRIM(RIGHT(SUBSTITUTE(C644," ",REPT(" ",100)),100)))</f>
        <v/>
      </c>
      <c r="E644" s="0" t="str">
        <f aca="false">IF(D644="","",UPPER(SUBSTITUTE(SUBSTITUTE(D644,"(",""),")","")))</f>
        <v/>
      </c>
      <c r="F644" s="0" t="str">
        <f aca="false">IF(C644="","",LEFT(C644,FIND(" ",C644&amp;" ")-1))</f>
        <v/>
      </c>
      <c r="G644" s="0" t="n">
        <f aca="false">IFERROR(VALUE(SUBSTITUTE(LOWER(F644),"x","")),0)</f>
        <v>0</v>
      </c>
      <c r="H644" s="0" t="str">
        <f aca="false">IF(C644="","",TRIM(MID(C644,LEN(F644)+2,999)))</f>
        <v/>
      </c>
      <c r="I644" s="0" t="n">
        <f aca="false">IF(OR(C644="",LEFT(C644,2)="//"),0,IFERROR(IF(AND(G644&gt;0,G644=INT(G644),FIND("-",E644)&gt;1,NOT(EXACT(UPPER(LEFT(E644,1)),LOWER(LEFT(E644,1)))),ISNUMBER(VALUE(MID(E644,FIND("-",E644)+1,10)))),1,0),0))</f>
        <v>0</v>
      </c>
      <c r="J644" s="0" t="str">
        <f aca="false">IF(I644=1,TRIM(LEFT(H644,MAX(0,LEN(H644)-LEN(D644)))),"")</f>
        <v/>
      </c>
      <c r="K644" s="0" t="str">
        <f aca="false">INDEX($P$2:$P$21,A644)</f>
        <v>Deck 11</v>
      </c>
      <c r="L644" s="0" t="n">
        <f aca="false">IF(AND(C644&lt;&gt;"",LEFT(C644,2)&lt;&gt;"//",I644=0),1,0)</f>
        <v>0</v>
      </c>
      <c r="M644" s="0" t="str">
        <f aca="false">IF(I644=1,MAX(M$1:M643)+1,"")</f>
        <v/>
      </c>
      <c r="N644" s="0" t="str">
        <f aca="false">IFERROR(MATCH(ROW()-1,$V$2:$V$1201,0),"")</f>
        <v/>
      </c>
      <c r="R644" s="0" t="str">
        <f aca="false">IF(E644="","",IFERROR(LEFT(E644,FIND("-",E644)-1),E644))</f>
        <v/>
      </c>
      <c r="S644" s="0" t="str">
        <f aca="false">IF(R644="","",IF(ISNUMBER(--MID(R644,1,1)),0,IF(ISNUMBER(--MID(R644,2,1)),1,IF(ISNUMBER(--MID(R644,3,1)),2,IF(ISNUMBER(--MID(R644,4,1)),3,MIN(LEN(R644),4))))))</f>
        <v/>
      </c>
      <c r="T644" s="0" t="str">
        <f aca="false">IF(E644="","",LEFT(R644,S644)&amp;REPT("0",4-S644)&amp;RIGHT("000"&amp;IFERROR(VALUE(MID(R644,S644+1,9)),0),3)&amp;RIGHT("0000"&amp;IFERROR(VALUE(MID(E644,FIND("-",E644)+1,9)),0),4))</f>
        <v/>
      </c>
      <c r="U644" s="0" t="str">
        <f aca="false">IF(I644=1,"K"&amp;RIGHT("00"&amp;A644,2)&amp;T644&amp;RIGHT("00000"&amp;ROW(),5),"")</f>
        <v/>
      </c>
      <c r="V644" s="0" t="str">
        <f aca="false">IF(U644="","",COUNTIFS($I$2:$I$1201,1,$U$2:$U$1201,"&lt;"&amp;U644)+1)</f>
        <v/>
      </c>
    </row>
    <row r="645" customFormat="false" ht="15" hidden="false" customHeight="false" outlineLevel="0" collapsed="false">
      <c r="A645" s="0" t="n">
        <v>11</v>
      </c>
      <c r="B645" s="0" t="n">
        <v>44</v>
      </c>
      <c r="C645" s="0" t="str">
        <f aca="false">TRIM(SUBSTITUTE(INDEX(LISTAS!$A$4:$T$63,B645,A645)&amp;"",CHAR(160)," "))</f>
        <v/>
      </c>
      <c r="D645" s="0" t="str">
        <f aca="false">IF(C645="","",TRIM(RIGHT(SUBSTITUTE(C645," ",REPT(" ",100)),100)))</f>
        <v/>
      </c>
      <c r="E645" s="0" t="str">
        <f aca="false">IF(D645="","",UPPER(SUBSTITUTE(SUBSTITUTE(D645,"(",""),")","")))</f>
        <v/>
      </c>
      <c r="F645" s="0" t="str">
        <f aca="false">IF(C645="","",LEFT(C645,FIND(" ",C645&amp;" ")-1))</f>
        <v/>
      </c>
      <c r="G645" s="0" t="n">
        <f aca="false">IFERROR(VALUE(SUBSTITUTE(LOWER(F645),"x","")),0)</f>
        <v>0</v>
      </c>
      <c r="H645" s="0" t="str">
        <f aca="false">IF(C645="","",TRIM(MID(C645,LEN(F645)+2,999)))</f>
        <v/>
      </c>
      <c r="I645" s="0" t="n">
        <f aca="false">IF(OR(C645="",LEFT(C645,2)="//"),0,IFERROR(IF(AND(G645&gt;0,G645=INT(G645),FIND("-",E645)&gt;1,NOT(EXACT(UPPER(LEFT(E645,1)),LOWER(LEFT(E645,1)))),ISNUMBER(VALUE(MID(E645,FIND("-",E645)+1,10)))),1,0),0))</f>
        <v>0</v>
      </c>
      <c r="J645" s="0" t="str">
        <f aca="false">IF(I645=1,TRIM(LEFT(H645,MAX(0,LEN(H645)-LEN(D645)))),"")</f>
        <v/>
      </c>
      <c r="K645" s="0" t="str">
        <f aca="false">INDEX($P$2:$P$21,A645)</f>
        <v>Deck 11</v>
      </c>
      <c r="L645" s="0" t="n">
        <f aca="false">IF(AND(C645&lt;&gt;"",LEFT(C645,2)&lt;&gt;"//",I645=0),1,0)</f>
        <v>0</v>
      </c>
      <c r="M645" s="0" t="str">
        <f aca="false">IF(I645=1,MAX(M$1:M644)+1,"")</f>
        <v/>
      </c>
      <c r="N645" s="0" t="str">
        <f aca="false">IFERROR(MATCH(ROW()-1,$V$2:$V$1201,0),"")</f>
        <v/>
      </c>
      <c r="R645" s="0" t="str">
        <f aca="false">IF(E645="","",IFERROR(LEFT(E645,FIND("-",E645)-1),E645))</f>
        <v/>
      </c>
      <c r="S645" s="0" t="str">
        <f aca="false">IF(R645="","",IF(ISNUMBER(--MID(R645,1,1)),0,IF(ISNUMBER(--MID(R645,2,1)),1,IF(ISNUMBER(--MID(R645,3,1)),2,IF(ISNUMBER(--MID(R645,4,1)),3,MIN(LEN(R645),4))))))</f>
        <v/>
      </c>
      <c r="T645" s="0" t="str">
        <f aca="false">IF(E645="","",LEFT(R645,S645)&amp;REPT("0",4-S645)&amp;RIGHT("000"&amp;IFERROR(VALUE(MID(R645,S645+1,9)),0),3)&amp;RIGHT("0000"&amp;IFERROR(VALUE(MID(E645,FIND("-",E645)+1,9)),0),4))</f>
        <v/>
      </c>
      <c r="U645" s="0" t="str">
        <f aca="false">IF(I645=1,"K"&amp;RIGHT("00"&amp;A645,2)&amp;T645&amp;RIGHT("00000"&amp;ROW(),5),"")</f>
        <v/>
      </c>
      <c r="V645" s="0" t="str">
        <f aca="false">IF(U645="","",COUNTIFS($I$2:$I$1201,1,$U$2:$U$1201,"&lt;"&amp;U645)+1)</f>
        <v/>
      </c>
    </row>
    <row r="646" customFormat="false" ht="15" hidden="false" customHeight="false" outlineLevel="0" collapsed="false">
      <c r="A646" s="0" t="n">
        <v>11</v>
      </c>
      <c r="B646" s="0" t="n">
        <v>45</v>
      </c>
      <c r="C646" s="0" t="str">
        <f aca="false">TRIM(SUBSTITUTE(INDEX(LISTAS!$A$4:$T$63,B646,A646)&amp;"",CHAR(160)," "))</f>
        <v/>
      </c>
      <c r="D646" s="0" t="str">
        <f aca="false">IF(C646="","",TRIM(RIGHT(SUBSTITUTE(C646," ",REPT(" ",100)),100)))</f>
        <v/>
      </c>
      <c r="E646" s="0" t="str">
        <f aca="false">IF(D646="","",UPPER(SUBSTITUTE(SUBSTITUTE(D646,"(",""),")","")))</f>
        <v/>
      </c>
      <c r="F646" s="0" t="str">
        <f aca="false">IF(C646="","",LEFT(C646,FIND(" ",C646&amp;" ")-1))</f>
        <v/>
      </c>
      <c r="G646" s="0" t="n">
        <f aca="false">IFERROR(VALUE(SUBSTITUTE(LOWER(F646),"x","")),0)</f>
        <v>0</v>
      </c>
      <c r="H646" s="0" t="str">
        <f aca="false">IF(C646="","",TRIM(MID(C646,LEN(F646)+2,999)))</f>
        <v/>
      </c>
      <c r="I646" s="0" t="n">
        <f aca="false">IF(OR(C646="",LEFT(C646,2)="//"),0,IFERROR(IF(AND(G646&gt;0,G646=INT(G646),FIND("-",E646)&gt;1,NOT(EXACT(UPPER(LEFT(E646,1)),LOWER(LEFT(E646,1)))),ISNUMBER(VALUE(MID(E646,FIND("-",E646)+1,10)))),1,0),0))</f>
        <v>0</v>
      </c>
      <c r="J646" s="0" t="str">
        <f aca="false">IF(I646=1,TRIM(LEFT(H646,MAX(0,LEN(H646)-LEN(D646)))),"")</f>
        <v/>
      </c>
      <c r="K646" s="0" t="str">
        <f aca="false">INDEX($P$2:$P$21,A646)</f>
        <v>Deck 11</v>
      </c>
      <c r="L646" s="0" t="n">
        <f aca="false">IF(AND(C646&lt;&gt;"",LEFT(C646,2)&lt;&gt;"//",I646=0),1,0)</f>
        <v>0</v>
      </c>
      <c r="M646" s="0" t="str">
        <f aca="false">IF(I646=1,MAX(M$1:M645)+1,"")</f>
        <v/>
      </c>
      <c r="N646" s="0" t="str">
        <f aca="false">IFERROR(MATCH(ROW()-1,$V$2:$V$1201,0),"")</f>
        <v/>
      </c>
      <c r="R646" s="0" t="str">
        <f aca="false">IF(E646="","",IFERROR(LEFT(E646,FIND("-",E646)-1),E646))</f>
        <v/>
      </c>
      <c r="S646" s="0" t="str">
        <f aca="false">IF(R646="","",IF(ISNUMBER(--MID(R646,1,1)),0,IF(ISNUMBER(--MID(R646,2,1)),1,IF(ISNUMBER(--MID(R646,3,1)),2,IF(ISNUMBER(--MID(R646,4,1)),3,MIN(LEN(R646),4))))))</f>
        <v/>
      </c>
      <c r="T646" s="0" t="str">
        <f aca="false">IF(E646="","",LEFT(R646,S646)&amp;REPT("0",4-S646)&amp;RIGHT("000"&amp;IFERROR(VALUE(MID(R646,S646+1,9)),0),3)&amp;RIGHT("0000"&amp;IFERROR(VALUE(MID(E646,FIND("-",E646)+1,9)),0),4))</f>
        <v/>
      </c>
      <c r="U646" s="0" t="str">
        <f aca="false">IF(I646=1,"K"&amp;RIGHT("00"&amp;A646,2)&amp;T646&amp;RIGHT("00000"&amp;ROW(),5),"")</f>
        <v/>
      </c>
      <c r="V646" s="0" t="str">
        <f aca="false">IF(U646="","",COUNTIFS($I$2:$I$1201,1,$U$2:$U$1201,"&lt;"&amp;U646)+1)</f>
        <v/>
      </c>
    </row>
    <row r="647" customFormat="false" ht="15" hidden="false" customHeight="false" outlineLevel="0" collapsed="false">
      <c r="A647" s="0" t="n">
        <v>11</v>
      </c>
      <c r="B647" s="0" t="n">
        <v>46</v>
      </c>
      <c r="C647" s="0" t="str">
        <f aca="false">TRIM(SUBSTITUTE(INDEX(LISTAS!$A$4:$T$63,B647,A647)&amp;"",CHAR(160)," "))</f>
        <v/>
      </c>
      <c r="D647" s="0" t="str">
        <f aca="false">IF(C647="","",TRIM(RIGHT(SUBSTITUTE(C647," ",REPT(" ",100)),100)))</f>
        <v/>
      </c>
      <c r="E647" s="0" t="str">
        <f aca="false">IF(D647="","",UPPER(SUBSTITUTE(SUBSTITUTE(D647,"(",""),")","")))</f>
        <v/>
      </c>
      <c r="F647" s="0" t="str">
        <f aca="false">IF(C647="","",LEFT(C647,FIND(" ",C647&amp;" ")-1))</f>
        <v/>
      </c>
      <c r="G647" s="0" t="n">
        <f aca="false">IFERROR(VALUE(SUBSTITUTE(LOWER(F647),"x","")),0)</f>
        <v>0</v>
      </c>
      <c r="H647" s="0" t="str">
        <f aca="false">IF(C647="","",TRIM(MID(C647,LEN(F647)+2,999)))</f>
        <v/>
      </c>
      <c r="I647" s="0" t="n">
        <f aca="false">IF(OR(C647="",LEFT(C647,2)="//"),0,IFERROR(IF(AND(G647&gt;0,G647=INT(G647),FIND("-",E647)&gt;1,NOT(EXACT(UPPER(LEFT(E647,1)),LOWER(LEFT(E647,1)))),ISNUMBER(VALUE(MID(E647,FIND("-",E647)+1,10)))),1,0),0))</f>
        <v>0</v>
      </c>
      <c r="J647" s="0" t="str">
        <f aca="false">IF(I647=1,TRIM(LEFT(H647,MAX(0,LEN(H647)-LEN(D647)))),"")</f>
        <v/>
      </c>
      <c r="K647" s="0" t="str">
        <f aca="false">INDEX($P$2:$P$21,A647)</f>
        <v>Deck 11</v>
      </c>
      <c r="L647" s="0" t="n">
        <f aca="false">IF(AND(C647&lt;&gt;"",LEFT(C647,2)&lt;&gt;"//",I647=0),1,0)</f>
        <v>0</v>
      </c>
      <c r="M647" s="0" t="str">
        <f aca="false">IF(I647=1,MAX(M$1:M646)+1,"")</f>
        <v/>
      </c>
      <c r="N647" s="0" t="str">
        <f aca="false">IFERROR(MATCH(ROW()-1,$V$2:$V$1201,0),"")</f>
        <v/>
      </c>
      <c r="R647" s="0" t="str">
        <f aca="false">IF(E647="","",IFERROR(LEFT(E647,FIND("-",E647)-1),E647))</f>
        <v/>
      </c>
      <c r="S647" s="0" t="str">
        <f aca="false">IF(R647="","",IF(ISNUMBER(--MID(R647,1,1)),0,IF(ISNUMBER(--MID(R647,2,1)),1,IF(ISNUMBER(--MID(R647,3,1)),2,IF(ISNUMBER(--MID(R647,4,1)),3,MIN(LEN(R647),4))))))</f>
        <v/>
      </c>
      <c r="T647" s="0" t="str">
        <f aca="false">IF(E647="","",LEFT(R647,S647)&amp;REPT("0",4-S647)&amp;RIGHT("000"&amp;IFERROR(VALUE(MID(R647,S647+1,9)),0),3)&amp;RIGHT("0000"&amp;IFERROR(VALUE(MID(E647,FIND("-",E647)+1,9)),0),4))</f>
        <v/>
      </c>
      <c r="U647" s="0" t="str">
        <f aca="false">IF(I647=1,"K"&amp;RIGHT("00"&amp;A647,2)&amp;T647&amp;RIGHT("00000"&amp;ROW(),5),"")</f>
        <v/>
      </c>
      <c r="V647" s="0" t="str">
        <f aca="false">IF(U647="","",COUNTIFS($I$2:$I$1201,1,$U$2:$U$1201,"&lt;"&amp;U647)+1)</f>
        <v/>
      </c>
    </row>
    <row r="648" customFormat="false" ht="15" hidden="false" customHeight="false" outlineLevel="0" collapsed="false">
      <c r="A648" s="0" t="n">
        <v>11</v>
      </c>
      <c r="B648" s="0" t="n">
        <v>47</v>
      </c>
      <c r="C648" s="0" t="str">
        <f aca="false">TRIM(SUBSTITUTE(INDEX(LISTAS!$A$4:$T$63,B648,A648)&amp;"",CHAR(160)," "))</f>
        <v/>
      </c>
      <c r="D648" s="0" t="str">
        <f aca="false">IF(C648="","",TRIM(RIGHT(SUBSTITUTE(C648," ",REPT(" ",100)),100)))</f>
        <v/>
      </c>
      <c r="E648" s="0" t="str">
        <f aca="false">IF(D648="","",UPPER(SUBSTITUTE(SUBSTITUTE(D648,"(",""),")","")))</f>
        <v/>
      </c>
      <c r="F648" s="0" t="str">
        <f aca="false">IF(C648="","",LEFT(C648,FIND(" ",C648&amp;" ")-1))</f>
        <v/>
      </c>
      <c r="G648" s="0" t="n">
        <f aca="false">IFERROR(VALUE(SUBSTITUTE(LOWER(F648),"x","")),0)</f>
        <v>0</v>
      </c>
      <c r="H648" s="0" t="str">
        <f aca="false">IF(C648="","",TRIM(MID(C648,LEN(F648)+2,999)))</f>
        <v/>
      </c>
      <c r="I648" s="0" t="n">
        <f aca="false">IF(OR(C648="",LEFT(C648,2)="//"),0,IFERROR(IF(AND(G648&gt;0,G648=INT(G648),FIND("-",E648)&gt;1,NOT(EXACT(UPPER(LEFT(E648,1)),LOWER(LEFT(E648,1)))),ISNUMBER(VALUE(MID(E648,FIND("-",E648)+1,10)))),1,0),0))</f>
        <v>0</v>
      </c>
      <c r="J648" s="0" t="str">
        <f aca="false">IF(I648=1,TRIM(LEFT(H648,MAX(0,LEN(H648)-LEN(D648)))),"")</f>
        <v/>
      </c>
      <c r="K648" s="0" t="str">
        <f aca="false">INDEX($P$2:$P$21,A648)</f>
        <v>Deck 11</v>
      </c>
      <c r="L648" s="0" t="n">
        <f aca="false">IF(AND(C648&lt;&gt;"",LEFT(C648,2)&lt;&gt;"//",I648=0),1,0)</f>
        <v>0</v>
      </c>
      <c r="M648" s="0" t="str">
        <f aca="false">IF(I648=1,MAX(M$1:M647)+1,"")</f>
        <v/>
      </c>
      <c r="N648" s="0" t="str">
        <f aca="false">IFERROR(MATCH(ROW()-1,$V$2:$V$1201,0),"")</f>
        <v/>
      </c>
      <c r="R648" s="0" t="str">
        <f aca="false">IF(E648="","",IFERROR(LEFT(E648,FIND("-",E648)-1),E648))</f>
        <v/>
      </c>
      <c r="S648" s="0" t="str">
        <f aca="false">IF(R648="","",IF(ISNUMBER(--MID(R648,1,1)),0,IF(ISNUMBER(--MID(R648,2,1)),1,IF(ISNUMBER(--MID(R648,3,1)),2,IF(ISNUMBER(--MID(R648,4,1)),3,MIN(LEN(R648),4))))))</f>
        <v/>
      </c>
      <c r="T648" s="0" t="str">
        <f aca="false">IF(E648="","",LEFT(R648,S648)&amp;REPT("0",4-S648)&amp;RIGHT("000"&amp;IFERROR(VALUE(MID(R648,S648+1,9)),0),3)&amp;RIGHT("0000"&amp;IFERROR(VALUE(MID(E648,FIND("-",E648)+1,9)),0),4))</f>
        <v/>
      </c>
      <c r="U648" s="0" t="str">
        <f aca="false">IF(I648=1,"K"&amp;RIGHT("00"&amp;A648,2)&amp;T648&amp;RIGHT("00000"&amp;ROW(),5),"")</f>
        <v/>
      </c>
      <c r="V648" s="0" t="str">
        <f aca="false">IF(U648="","",COUNTIFS($I$2:$I$1201,1,$U$2:$U$1201,"&lt;"&amp;U648)+1)</f>
        <v/>
      </c>
    </row>
    <row r="649" customFormat="false" ht="15" hidden="false" customHeight="false" outlineLevel="0" collapsed="false">
      <c r="A649" s="0" t="n">
        <v>11</v>
      </c>
      <c r="B649" s="0" t="n">
        <v>48</v>
      </c>
      <c r="C649" s="0" t="str">
        <f aca="false">TRIM(SUBSTITUTE(INDEX(LISTAS!$A$4:$T$63,B649,A649)&amp;"",CHAR(160)," "))</f>
        <v/>
      </c>
      <c r="D649" s="0" t="str">
        <f aca="false">IF(C649="","",TRIM(RIGHT(SUBSTITUTE(C649," ",REPT(" ",100)),100)))</f>
        <v/>
      </c>
      <c r="E649" s="0" t="str">
        <f aca="false">IF(D649="","",UPPER(SUBSTITUTE(SUBSTITUTE(D649,"(",""),")","")))</f>
        <v/>
      </c>
      <c r="F649" s="0" t="str">
        <f aca="false">IF(C649="","",LEFT(C649,FIND(" ",C649&amp;" ")-1))</f>
        <v/>
      </c>
      <c r="G649" s="0" t="n">
        <f aca="false">IFERROR(VALUE(SUBSTITUTE(LOWER(F649),"x","")),0)</f>
        <v>0</v>
      </c>
      <c r="H649" s="0" t="str">
        <f aca="false">IF(C649="","",TRIM(MID(C649,LEN(F649)+2,999)))</f>
        <v/>
      </c>
      <c r="I649" s="0" t="n">
        <f aca="false">IF(OR(C649="",LEFT(C649,2)="//"),0,IFERROR(IF(AND(G649&gt;0,G649=INT(G649),FIND("-",E649)&gt;1,NOT(EXACT(UPPER(LEFT(E649,1)),LOWER(LEFT(E649,1)))),ISNUMBER(VALUE(MID(E649,FIND("-",E649)+1,10)))),1,0),0))</f>
        <v>0</v>
      </c>
      <c r="J649" s="0" t="str">
        <f aca="false">IF(I649=1,TRIM(LEFT(H649,MAX(0,LEN(H649)-LEN(D649)))),"")</f>
        <v/>
      </c>
      <c r="K649" s="0" t="str">
        <f aca="false">INDEX($P$2:$P$21,A649)</f>
        <v>Deck 11</v>
      </c>
      <c r="L649" s="0" t="n">
        <f aca="false">IF(AND(C649&lt;&gt;"",LEFT(C649,2)&lt;&gt;"//",I649=0),1,0)</f>
        <v>0</v>
      </c>
      <c r="M649" s="0" t="str">
        <f aca="false">IF(I649=1,MAX(M$1:M648)+1,"")</f>
        <v/>
      </c>
      <c r="N649" s="0" t="str">
        <f aca="false">IFERROR(MATCH(ROW()-1,$V$2:$V$1201,0),"")</f>
        <v/>
      </c>
      <c r="R649" s="0" t="str">
        <f aca="false">IF(E649="","",IFERROR(LEFT(E649,FIND("-",E649)-1),E649))</f>
        <v/>
      </c>
      <c r="S649" s="0" t="str">
        <f aca="false">IF(R649="","",IF(ISNUMBER(--MID(R649,1,1)),0,IF(ISNUMBER(--MID(R649,2,1)),1,IF(ISNUMBER(--MID(R649,3,1)),2,IF(ISNUMBER(--MID(R649,4,1)),3,MIN(LEN(R649),4))))))</f>
        <v/>
      </c>
      <c r="T649" s="0" t="str">
        <f aca="false">IF(E649="","",LEFT(R649,S649)&amp;REPT("0",4-S649)&amp;RIGHT("000"&amp;IFERROR(VALUE(MID(R649,S649+1,9)),0),3)&amp;RIGHT("0000"&amp;IFERROR(VALUE(MID(E649,FIND("-",E649)+1,9)),0),4))</f>
        <v/>
      </c>
      <c r="U649" s="0" t="str">
        <f aca="false">IF(I649=1,"K"&amp;RIGHT("00"&amp;A649,2)&amp;T649&amp;RIGHT("00000"&amp;ROW(),5),"")</f>
        <v/>
      </c>
      <c r="V649" s="0" t="str">
        <f aca="false">IF(U649="","",COUNTIFS($I$2:$I$1201,1,$U$2:$U$1201,"&lt;"&amp;U649)+1)</f>
        <v/>
      </c>
    </row>
    <row r="650" customFormat="false" ht="15" hidden="false" customHeight="false" outlineLevel="0" collapsed="false">
      <c r="A650" s="0" t="n">
        <v>11</v>
      </c>
      <c r="B650" s="0" t="n">
        <v>49</v>
      </c>
      <c r="C650" s="0" t="str">
        <f aca="false">TRIM(SUBSTITUTE(INDEX(LISTAS!$A$4:$T$63,B650,A650)&amp;"",CHAR(160)," "))</f>
        <v/>
      </c>
      <c r="D650" s="0" t="str">
        <f aca="false">IF(C650="","",TRIM(RIGHT(SUBSTITUTE(C650," ",REPT(" ",100)),100)))</f>
        <v/>
      </c>
      <c r="E650" s="0" t="str">
        <f aca="false">IF(D650="","",UPPER(SUBSTITUTE(SUBSTITUTE(D650,"(",""),")","")))</f>
        <v/>
      </c>
      <c r="F650" s="0" t="str">
        <f aca="false">IF(C650="","",LEFT(C650,FIND(" ",C650&amp;" ")-1))</f>
        <v/>
      </c>
      <c r="G650" s="0" t="n">
        <f aca="false">IFERROR(VALUE(SUBSTITUTE(LOWER(F650),"x","")),0)</f>
        <v>0</v>
      </c>
      <c r="H650" s="0" t="str">
        <f aca="false">IF(C650="","",TRIM(MID(C650,LEN(F650)+2,999)))</f>
        <v/>
      </c>
      <c r="I650" s="0" t="n">
        <f aca="false">IF(OR(C650="",LEFT(C650,2)="//"),0,IFERROR(IF(AND(G650&gt;0,G650=INT(G650),FIND("-",E650)&gt;1,NOT(EXACT(UPPER(LEFT(E650,1)),LOWER(LEFT(E650,1)))),ISNUMBER(VALUE(MID(E650,FIND("-",E650)+1,10)))),1,0),0))</f>
        <v>0</v>
      </c>
      <c r="J650" s="0" t="str">
        <f aca="false">IF(I650=1,TRIM(LEFT(H650,MAX(0,LEN(H650)-LEN(D650)))),"")</f>
        <v/>
      </c>
      <c r="K650" s="0" t="str">
        <f aca="false">INDEX($P$2:$P$21,A650)</f>
        <v>Deck 11</v>
      </c>
      <c r="L650" s="0" t="n">
        <f aca="false">IF(AND(C650&lt;&gt;"",LEFT(C650,2)&lt;&gt;"//",I650=0),1,0)</f>
        <v>0</v>
      </c>
      <c r="M650" s="0" t="str">
        <f aca="false">IF(I650=1,MAX(M$1:M649)+1,"")</f>
        <v/>
      </c>
      <c r="N650" s="0" t="str">
        <f aca="false">IFERROR(MATCH(ROW()-1,$V$2:$V$1201,0),"")</f>
        <v/>
      </c>
      <c r="R650" s="0" t="str">
        <f aca="false">IF(E650="","",IFERROR(LEFT(E650,FIND("-",E650)-1),E650))</f>
        <v/>
      </c>
      <c r="S650" s="0" t="str">
        <f aca="false">IF(R650="","",IF(ISNUMBER(--MID(R650,1,1)),0,IF(ISNUMBER(--MID(R650,2,1)),1,IF(ISNUMBER(--MID(R650,3,1)),2,IF(ISNUMBER(--MID(R650,4,1)),3,MIN(LEN(R650),4))))))</f>
        <v/>
      </c>
      <c r="T650" s="0" t="str">
        <f aca="false">IF(E650="","",LEFT(R650,S650)&amp;REPT("0",4-S650)&amp;RIGHT("000"&amp;IFERROR(VALUE(MID(R650,S650+1,9)),0),3)&amp;RIGHT("0000"&amp;IFERROR(VALUE(MID(E650,FIND("-",E650)+1,9)),0),4))</f>
        <v/>
      </c>
      <c r="U650" s="0" t="str">
        <f aca="false">IF(I650=1,"K"&amp;RIGHT("00"&amp;A650,2)&amp;T650&amp;RIGHT("00000"&amp;ROW(),5),"")</f>
        <v/>
      </c>
      <c r="V650" s="0" t="str">
        <f aca="false">IF(U650="","",COUNTIFS($I$2:$I$1201,1,$U$2:$U$1201,"&lt;"&amp;U650)+1)</f>
        <v/>
      </c>
    </row>
    <row r="651" customFormat="false" ht="15" hidden="false" customHeight="false" outlineLevel="0" collapsed="false">
      <c r="A651" s="0" t="n">
        <v>11</v>
      </c>
      <c r="B651" s="0" t="n">
        <v>50</v>
      </c>
      <c r="C651" s="0" t="str">
        <f aca="false">TRIM(SUBSTITUTE(INDEX(LISTAS!$A$4:$T$63,B651,A651)&amp;"",CHAR(160)," "))</f>
        <v/>
      </c>
      <c r="D651" s="0" t="str">
        <f aca="false">IF(C651="","",TRIM(RIGHT(SUBSTITUTE(C651," ",REPT(" ",100)),100)))</f>
        <v/>
      </c>
      <c r="E651" s="0" t="str">
        <f aca="false">IF(D651="","",UPPER(SUBSTITUTE(SUBSTITUTE(D651,"(",""),")","")))</f>
        <v/>
      </c>
      <c r="F651" s="0" t="str">
        <f aca="false">IF(C651="","",LEFT(C651,FIND(" ",C651&amp;" ")-1))</f>
        <v/>
      </c>
      <c r="G651" s="0" t="n">
        <f aca="false">IFERROR(VALUE(SUBSTITUTE(LOWER(F651),"x","")),0)</f>
        <v>0</v>
      </c>
      <c r="H651" s="0" t="str">
        <f aca="false">IF(C651="","",TRIM(MID(C651,LEN(F651)+2,999)))</f>
        <v/>
      </c>
      <c r="I651" s="0" t="n">
        <f aca="false">IF(OR(C651="",LEFT(C651,2)="//"),0,IFERROR(IF(AND(G651&gt;0,G651=INT(G651),FIND("-",E651)&gt;1,NOT(EXACT(UPPER(LEFT(E651,1)),LOWER(LEFT(E651,1)))),ISNUMBER(VALUE(MID(E651,FIND("-",E651)+1,10)))),1,0),0))</f>
        <v>0</v>
      </c>
      <c r="J651" s="0" t="str">
        <f aca="false">IF(I651=1,TRIM(LEFT(H651,MAX(0,LEN(H651)-LEN(D651)))),"")</f>
        <v/>
      </c>
      <c r="K651" s="0" t="str">
        <f aca="false">INDEX($P$2:$P$21,A651)</f>
        <v>Deck 11</v>
      </c>
      <c r="L651" s="0" t="n">
        <f aca="false">IF(AND(C651&lt;&gt;"",LEFT(C651,2)&lt;&gt;"//",I651=0),1,0)</f>
        <v>0</v>
      </c>
      <c r="M651" s="0" t="str">
        <f aca="false">IF(I651=1,MAX(M$1:M650)+1,"")</f>
        <v/>
      </c>
      <c r="N651" s="0" t="str">
        <f aca="false">IFERROR(MATCH(ROW()-1,$V$2:$V$1201,0),"")</f>
        <v/>
      </c>
      <c r="R651" s="0" t="str">
        <f aca="false">IF(E651="","",IFERROR(LEFT(E651,FIND("-",E651)-1),E651))</f>
        <v/>
      </c>
      <c r="S651" s="0" t="str">
        <f aca="false">IF(R651="","",IF(ISNUMBER(--MID(R651,1,1)),0,IF(ISNUMBER(--MID(R651,2,1)),1,IF(ISNUMBER(--MID(R651,3,1)),2,IF(ISNUMBER(--MID(R651,4,1)),3,MIN(LEN(R651),4))))))</f>
        <v/>
      </c>
      <c r="T651" s="0" t="str">
        <f aca="false">IF(E651="","",LEFT(R651,S651)&amp;REPT("0",4-S651)&amp;RIGHT("000"&amp;IFERROR(VALUE(MID(R651,S651+1,9)),0),3)&amp;RIGHT("0000"&amp;IFERROR(VALUE(MID(E651,FIND("-",E651)+1,9)),0),4))</f>
        <v/>
      </c>
      <c r="U651" s="0" t="str">
        <f aca="false">IF(I651=1,"K"&amp;RIGHT("00"&amp;A651,2)&amp;T651&amp;RIGHT("00000"&amp;ROW(),5),"")</f>
        <v/>
      </c>
      <c r="V651" s="0" t="str">
        <f aca="false">IF(U651="","",COUNTIFS($I$2:$I$1201,1,$U$2:$U$1201,"&lt;"&amp;U651)+1)</f>
        <v/>
      </c>
    </row>
    <row r="652" customFormat="false" ht="15" hidden="false" customHeight="false" outlineLevel="0" collapsed="false">
      <c r="A652" s="0" t="n">
        <v>11</v>
      </c>
      <c r="B652" s="0" t="n">
        <v>51</v>
      </c>
      <c r="C652" s="0" t="str">
        <f aca="false">TRIM(SUBSTITUTE(INDEX(LISTAS!$A$4:$T$63,B652,A652)&amp;"",CHAR(160)," "))</f>
        <v/>
      </c>
      <c r="D652" s="0" t="str">
        <f aca="false">IF(C652="","",TRIM(RIGHT(SUBSTITUTE(C652," ",REPT(" ",100)),100)))</f>
        <v/>
      </c>
      <c r="E652" s="0" t="str">
        <f aca="false">IF(D652="","",UPPER(SUBSTITUTE(SUBSTITUTE(D652,"(",""),")","")))</f>
        <v/>
      </c>
      <c r="F652" s="0" t="str">
        <f aca="false">IF(C652="","",LEFT(C652,FIND(" ",C652&amp;" ")-1))</f>
        <v/>
      </c>
      <c r="G652" s="0" t="n">
        <f aca="false">IFERROR(VALUE(SUBSTITUTE(LOWER(F652),"x","")),0)</f>
        <v>0</v>
      </c>
      <c r="H652" s="0" t="str">
        <f aca="false">IF(C652="","",TRIM(MID(C652,LEN(F652)+2,999)))</f>
        <v/>
      </c>
      <c r="I652" s="0" t="n">
        <f aca="false">IF(OR(C652="",LEFT(C652,2)="//"),0,IFERROR(IF(AND(G652&gt;0,G652=INT(G652),FIND("-",E652)&gt;1,NOT(EXACT(UPPER(LEFT(E652,1)),LOWER(LEFT(E652,1)))),ISNUMBER(VALUE(MID(E652,FIND("-",E652)+1,10)))),1,0),0))</f>
        <v>0</v>
      </c>
      <c r="J652" s="0" t="str">
        <f aca="false">IF(I652=1,TRIM(LEFT(H652,MAX(0,LEN(H652)-LEN(D652)))),"")</f>
        <v/>
      </c>
      <c r="K652" s="0" t="str">
        <f aca="false">INDEX($P$2:$P$21,A652)</f>
        <v>Deck 11</v>
      </c>
      <c r="L652" s="0" t="n">
        <f aca="false">IF(AND(C652&lt;&gt;"",LEFT(C652,2)&lt;&gt;"//",I652=0),1,0)</f>
        <v>0</v>
      </c>
      <c r="M652" s="0" t="str">
        <f aca="false">IF(I652=1,MAX(M$1:M651)+1,"")</f>
        <v/>
      </c>
      <c r="N652" s="0" t="str">
        <f aca="false">IFERROR(MATCH(ROW()-1,$V$2:$V$1201,0),"")</f>
        <v/>
      </c>
      <c r="R652" s="0" t="str">
        <f aca="false">IF(E652="","",IFERROR(LEFT(E652,FIND("-",E652)-1),E652))</f>
        <v/>
      </c>
      <c r="S652" s="0" t="str">
        <f aca="false">IF(R652="","",IF(ISNUMBER(--MID(R652,1,1)),0,IF(ISNUMBER(--MID(R652,2,1)),1,IF(ISNUMBER(--MID(R652,3,1)),2,IF(ISNUMBER(--MID(R652,4,1)),3,MIN(LEN(R652),4))))))</f>
        <v/>
      </c>
      <c r="T652" s="0" t="str">
        <f aca="false">IF(E652="","",LEFT(R652,S652)&amp;REPT("0",4-S652)&amp;RIGHT("000"&amp;IFERROR(VALUE(MID(R652,S652+1,9)),0),3)&amp;RIGHT("0000"&amp;IFERROR(VALUE(MID(E652,FIND("-",E652)+1,9)),0),4))</f>
        <v/>
      </c>
      <c r="U652" s="0" t="str">
        <f aca="false">IF(I652=1,"K"&amp;RIGHT("00"&amp;A652,2)&amp;T652&amp;RIGHT("00000"&amp;ROW(),5),"")</f>
        <v/>
      </c>
      <c r="V652" s="0" t="str">
        <f aca="false">IF(U652="","",COUNTIFS($I$2:$I$1201,1,$U$2:$U$1201,"&lt;"&amp;U652)+1)</f>
        <v/>
      </c>
    </row>
    <row r="653" customFormat="false" ht="15" hidden="false" customHeight="false" outlineLevel="0" collapsed="false">
      <c r="A653" s="0" t="n">
        <v>11</v>
      </c>
      <c r="B653" s="0" t="n">
        <v>52</v>
      </c>
      <c r="C653" s="0" t="str">
        <f aca="false">TRIM(SUBSTITUTE(INDEX(LISTAS!$A$4:$T$63,B653,A653)&amp;"",CHAR(160)," "))</f>
        <v/>
      </c>
      <c r="D653" s="0" t="str">
        <f aca="false">IF(C653="","",TRIM(RIGHT(SUBSTITUTE(C653," ",REPT(" ",100)),100)))</f>
        <v/>
      </c>
      <c r="E653" s="0" t="str">
        <f aca="false">IF(D653="","",UPPER(SUBSTITUTE(SUBSTITUTE(D653,"(",""),")","")))</f>
        <v/>
      </c>
      <c r="F653" s="0" t="str">
        <f aca="false">IF(C653="","",LEFT(C653,FIND(" ",C653&amp;" ")-1))</f>
        <v/>
      </c>
      <c r="G653" s="0" t="n">
        <f aca="false">IFERROR(VALUE(SUBSTITUTE(LOWER(F653),"x","")),0)</f>
        <v>0</v>
      </c>
      <c r="H653" s="0" t="str">
        <f aca="false">IF(C653="","",TRIM(MID(C653,LEN(F653)+2,999)))</f>
        <v/>
      </c>
      <c r="I653" s="0" t="n">
        <f aca="false">IF(OR(C653="",LEFT(C653,2)="//"),0,IFERROR(IF(AND(G653&gt;0,G653=INT(G653),FIND("-",E653)&gt;1,NOT(EXACT(UPPER(LEFT(E653,1)),LOWER(LEFT(E653,1)))),ISNUMBER(VALUE(MID(E653,FIND("-",E653)+1,10)))),1,0),0))</f>
        <v>0</v>
      </c>
      <c r="J653" s="0" t="str">
        <f aca="false">IF(I653=1,TRIM(LEFT(H653,MAX(0,LEN(H653)-LEN(D653)))),"")</f>
        <v/>
      </c>
      <c r="K653" s="0" t="str">
        <f aca="false">INDEX($P$2:$P$21,A653)</f>
        <v>Deck 11</v>
      </c>
      <c r="L653" s="0" t="n">
        <f aca="false">IF(AND(C653&lt;&gt;"",LEFT(C653,2)&lt;&gt;"//",I653=0),1,0)</f>
        <v>0</v>
      </c>
      <c r="M653" s="0" t="str">
        <f aca="false">IF(I653=1,MAX(M$1:M652)+1,"")</f>
        <v/>
      </c>
      <c r="N653" s="0" t="str">
        <f aca="false">IFERROR(MATCH(ROW()-1,$V$2:$V$1201,0),"")</f>
        <v/>
      </c>
      <c r="R653" s="0" t="str">
        <f aca="false">IF(E653="","",IFERROR(LEFT(E653,FIND("-",E653)-1),E653))</f>
        <v/>
      </c>
      <c r="S653" s="0" t="str">
        <f aca="false">IF(R653="","",IF(ISNUMBER(--MID(R653,1,1)),0,IF(ISNUMBER(--MID(R653,2,1)),1,IF(ISNUMBER(--MID(R653,3,1)),2,IF(ISNUMBER(--MID(R653,4,1)),3,MIN(LEN(R653),4))))))</f>
        <v/>
      </c>
      <c r="T653" s="0" t="str">
        <f aca="false">IF(E653="","",LEFT(R653,S653)&amp;REPT("0",4-S653)&amp;RIGHT("000"&amp;IFERROR(VALUE(MID(R653,S653+1,9)),0),3)&amp;RIGHT("0000"&amp;IFERROR(VALUE(MID(E653,FIND("-",E653)+1,9)),0),4))</f>
        <v/>
      </c>
      <c r="U653" s="0" t="str">
        <f aca="false">IF(I653=1,"K"&amp;RIGHT("00"&amp;A653,2)&amp;T653&amp;RIGHT("00000"&amp;ROW(),5),"")</f>
        <v/>
      </c>
      <c r="V653" s="0" t="str">
        <f aca="false">IF(U653="","",COUNTIFS($I$2:$I$1201,1,$U$2:$U$1201,"&lt;"&amp;U653)+1)</f>
        <v/>
      </c>
    </row>
    <row r="654" customFormat="false" ht="15" hidden="false" customHeight="false" outlineLevel="0" collapsed="false">
      <c r="A654" s="0" t="n">
        <v>11</v>
      </c>
      <c r="B654" s="0" t="n">
        <v>53</v>
      </c>
      <c r="C654" s="0" t="str">
        <f aca="false">TRIM(SUBSTITUTE(INDEX(LISTAS!$A$4:$T$63,B654,A654)&amp;"",CHAR(160)," "))</f>
        <v/>
      </c>
      <c r="D654" s="0" t="str">
        <f aca="false">IF(C654="","",TRIM(RIGHT(SUBSTITUTE(C654," ",REPT(" ",100)),100)))</f>
        <v/>
      </c>
      <c r="E654" s="0" t="str">
        <f aca="false">IF(D654="","",UPPER(SUBSTITUTE(SUBSTITUTE(D654,"(",""),")","")))</f>
        <v/>
      </c>
      <c r="F654" s="0" t="str">
        <f aca="false">IF(C654="","",LEFT(C654,FIND(" ",C654&amp;" ")-1))</f>
        <v/>
      </c>
      <c r="G654" s="0" t="n">
        <f aca="false">IFERROR(VALUE(SUBSTITUTE(LOWER(F654),"x","")),0)</f>
        <v>0</v>
      </c>
      <c r="H654" s="0" t="str">
        <f aca="false">IF(C654="","",TRIM(MID(C654,LEN(F654)+2,999)))</f>
        <v/>
      </c>
      <c r="I654" s="0" t="n">
        <f aca="false">IF(OR(C654="",LEFT(C654,2)="//"),0,IFERROR(IF(AND(G654&gt;0,G654=INT(G654),FIND("-",E654)&gt;1,NOT(EXACT(UPPER(LEFT(E654,1)),LOWER(LEFT(E654,1)))),ISNUMBER(VALUE(MID(E654,FIND("-",E654)+1,10)))),1,0),0))</f>
        <v>0</v>
      </c>
      <c r="J654" s="0" t="str">
        <f aca="false">IF(I654=1,TRIM(LEFT(H654,MAX(0,LEN(H654)-LEN(D654)))),"")</f>
        <v/>
      </c>
      <c r="K654" s="0" t="str">
        <f aca="false">INDEX($P$2:$P$21,A654)</f>
        <v>Deck 11</v>
      </c>
      <c r="L654" s="0" t="n">
        <f aca="false">IF(AND(C654&lt;&gt;"",LEFT(C654,2)&lt;&gt;"//",I654=0),1,0)</f>
        <v>0</v>
      </c>
      <c r="M654" s="0" t="str">
        <f aca="false">IF(I654=1,MAX(M$1:M653)+1,"")</f>
        <v/>
      </c>
      <c r="N654" s="0" t="str">
        <f aca="false">IFERROR(MATCH(ROW()-1,$V$2:$V$1201,0),"")</f>
        <v/>
      </c>
      <c r="R654" s="0" t="str">
        <f aca="false">IF(E654="","",IFERROR(LEFT(E654,FIND("-",E654)-1),E654))</f>
        <v/>
      </c>
      <c r="S654" s="0" t="str">
        <f aca="false">IF(R654="","",IF(ISNUMBER(--MID(R654,1,1)),0,IF(ISNUMBER(--MID(R654,2,1)),1,IF(ISNUMBER(--MID(R654,3,1)),2,IF(ISNUMBER(--MID(R654,4,1)),3,MIN(LEN(R654),4))))))</f>
        <v/>
      </c>
      <c r="T654" s="0" t="str">
        <f aca="false">IF(E654="","",LEFT(R654,S654)&amp;REPT("0",4-S654)&amp;RIGHT("000"&amp;IFERROR(VALUE(MID(R654,S654+1,9)),0),3)&amp;RIGHT("0000"&amp;IFERROR(VALUE(MID(E654,FIND("-",E654)+1,9)),0),4))</f>
        <v/>
      </c>
      <c r="U654" s="0" t="str">
        <f aca="false">IF(I654=1,"K"&amp;RIGHT("00"&amp;A654,2)&amp;T654&amp;RIGHT("00000"&amp;ROW(),5),"")</f>
        <v/>
      </c>
      <c r="V654" s="0" t="str">
        <f aca="false">IF(U654="","",COUNTIFS($I$2:$I$1201,1,$U$2:$U$1201,"&lt;"&amp;U654)+1)</f>
        <v/>
      </c>
    </row>
    <row r="655" customFormat="false" ht="15" hidden="false" customHeight="false" outlineLevel="0" collapsed="false">
      <c r="A655" s="0" t="n">
        <v>11</v>
      </c>
      <c r="B655" s="0" t="n">
        <v>54</v>
      </c>
      <c r="C655" s="0" t="str">
        <f aca="false">TRIM(SUBSTITUTE(INDEX(LISTAS!$A$4:$T$63,B655,A655)&amp;"",CHAR(160)," "))</f>
        <v/>
      </c>
      <c r="D655" s="0" t="str">
        <f aca="false">IF(C655="","",TRIM(RIGHT(SUBSTITUTE(C655," ",REPT(" ",100)),100)))</f>
        <v/>
      </c>
      <c r="E655" s="0" t="str">
        <f aca="false">IF(D655="","",UPPER(SUBSTITUTE(SUBSTITUTE(D655,"(",""),")","")))</f>
        <v/>
      </c>
      <c r="F655" s="0" t="str">
        <f aca="false">IF(C655="","",LEFT(C655,FIND(" ",C655&amp;" ")-1))</f>
        <v/>
      </c>
      <c r="G655" s="0" t="n">
        <f aca="false">IFERROR(VALUE(SUBSTITUTE(LOWER(F655),"x","")),0)</f>
        <v>0</v>
      </c>
      <c r="H655" s="0" t="str">
        <f aca="false">IF(C655="","",TRIM(MID(C655,LEN(F655)+2,999)))</f>
        <v/>
      </c>
      <c r="I655" s="0" t="n">
        <f aca="false">IF(OR(C655="",LEFT(C655,2)="//"),0,IFERROR(IF(AND(G655&gt;0,G655=INT(G655),FIND("-",E655)&gt;1,NOT(EXACT(UPPER(LEFT(E655,1)),LOWER(LEFT(E655,1)))),ISNUMBER(VALUE(MID(E655,FIND("-",E655)+1,10)))),1,0),0))</f>
        <v>0</v>
      </c>
      <c r="J655" s="0" t="str">
        <f aca="false">IF(I655=1,TRIM(LEFT(H655,MAX(0,LEN(H655)-LEN(D655)))),"")</f>
        <v/>
      </c>
      <c r="K655" s="0" t="str">
        <f aca="false">INDEX($P$2:$P$21,A655)</f>
        <v>Deck 11</v>
      </c>
      <c r="L655" s="0" t="n">
        <f aca="false">IF(AND(C655&lt;&gt;"",LEFT(C655,2)&lt;&gt;"//",I655=0),1,0)</f>
        <v>0</v>
      </c>
      <c r="M655" s="0" t="str">
        <f aca="false">IF(I655=1,MAX(M$1:M654)+1,"")</f>
        <v/>
      </c>
      <c r="N655" s="0" t="str">
        <f aca="false">IFERROR(MATCH(ROW()-1,$V$2:$V$1201,0),"")</f>
        <v/>
      </c>
      <c r="R655" s="0" t="str">
        <f aca="false">IF(E655="","",IFERROR(LEFT(E655,FIND("-",E655)-1),E655))</f>
        <v/>
      </c>
      <c r="S655" s="0" t="str">
        <f aca="false">IF(R655="","",IF(ISNUMBER(--MID(R655,1,1)),0,IF(ISNUMBER(--MID(R655,2,1)),1,IF(ISNUMBER(--MID(R655,3,1)),2,IF(ISNUMBER(--MID(R655,4,1)),3,MIN(LEN(R655),4))))))</f>
        <v/>
      </c>
      <c r="T655" s="0" t="str">
        <f aca="false">IF(E655="","",LEFT(R655,S655)&amp;REPT("0",4-S655)&amp;RIGHT("000"&amp;IFERROR(VALUE(MID(R655,S655+1,9)),0),3)&amp;RIGHT("0000"&amp;IFERROR(VALUE(MID(E655,FIND("-",E655)+1,9)),0),4))</f>
        <v/>
      </c>
      <c r="U655" s="0" t="str">
        <f aca="false">IF(I655=1,"K"&amp;RIGHT("00"&amp;A655,2)&amp;T655&amp;RIGHT("00000"&amp;ROW(),5),"")</f>
        <v/>
      </c>
      <c r="V655" s="0" t="str">
        <f aca="false">IF(U655="","",COUNTIFS($I$2:$I$1201,1,$U$2:$U$1201,"&lt;"&amp;U655)+1)</f>
        <v/>
      </c>
    </row>
    <row r="656" customFormat="false" ht="15" hidden="false" customHeight="false" outlineLevel="0" collapsed="false">
      <c r="A656" s="0" t="n">
        <v>11</v>
      </c>
      <c r="B656" s="0" t="n">
        <v>55</v>
      </c>
      <c r="C656" s="0" t="str">
        <f aca="false">TRIM(SUBSTITUTE(INDEX(LISTAS!$A$4:$T$63,B656,A656)&amp;"",CHAR(160)," "))</f>
        <v/>
      </c>
      <c r="D656" s="0" t="str">
        <f aca="false">IF(C656="","",TRIM(RIGHT(SUBSTITUTE(C656," ",REPT(" ",100)),100)))</f>
        <v/>
      </c>
      <c r="E656" s="0" t="str">
        <f aca="false">IF(D656="","",UPPER(SUBSTITUTE(SUBSTITUTE(D656,"(",""),")","")))</f>
        <v/>
      </c>
      <c r="F656" s="0" t="str">
        <f aca="false">IF(C656="","",LEFT(C656,FIND(" ",C656&amp;" ")-1))</f>
        <v/>
      </c>
      <c r="G656" s="0" t="n">
        <f aca="false">IFERROR(VALUE(SUBSTITUTE(LOWER(F656),"x","")),0)</f>
        <v>0</v>
      </c>
      <c r="H656" s="0" t="str">
        <f aca="false">IF(C656="","",TRIM(MID(C656,LEN(F656)+2,999)))</f>
        <v/>
      </c>
      <c r="I656" s="0" t="n">
        <f aca="false">IF(OR(C656="",LEFT(C656,2)="//"),0,IFERROR(IF(AND(G656&gt;0,G656=INT(G656),FIND("-",E656)&gt;1,NOT(EXACT(UPPER(LEFT(E656,1)),LOWER(LEFT(E656,1)))),ISNUMBER(VALUE(MID(E656,FIND("-",E656)+1,10)))),1,0),0))</f>
        <v>0</v>
      </c>
      <c r="J656" s="0" t="str">
        <f aca="false">IF(I656=1,TRIM(LEFT(H656,MAX(0,LEN(H656)-LEN(D656)))),"")</f>
        <v/>
      </c>
      <c r="K656" s="0" t="str">
        <f aca="false">INDEX($P$2:$P$21,A656)</f>
        <v>Deck 11</v>
      </c>
      <c r="L656" s="0" t="n">
        <f aca="false">IF(AND(C656&lt;&gt;"",LEFT(C656,2)&lt;&gt;"//",I656=0),1,0)</f>
        <v>0</v>
      </c>
      <c r="M656" s="0" t="str">
        <f aca="false">IF(I656=1,MAX(M$1:M655)+1,"")</f>
        <v/>
      </c>
      <c r="N656" s="0" t="str">
        <f aca="false">IFERROR(MATCH(ROW()-1,$V$2:$V$1201,0),"")</f>
        <v/>
      </c>
      <c r="R656" s="0" t="str">
        <f aca="false">IF(E656="","",IFERROR(LEFT(E656,FIND("-",E656)-1),E656))</f>
        <v/>
      </c>
      <c r="S656" s="0" t="str">
        <f aca="false">IF(R656="","",IF(ISNUMBER(--MID(R656,1,1)),0,IF(ISNUMBER(--MID(R656,2,1)),1,IF(ISNUMBER(--MID(R656,3,1)),2,IF(ISNUMBER(--MID(R656,4,1)),3,MIN(LEN(R656),4))))))</f>
        <v/>
      </c>
      <c r="T656" s="0" t="str">
        <f aca="false">IF(E656="","",LEFT(R656,S656)&amp;REPT("0",4-S656)&amp;RIGHT("000"&amp;IFERROR(VALUE(MID(R656,S656+1,9)),0),3)&amp;RIGHT("0000"&amp;IFERROR(VALUE(MID(E656,FIND("-",E656)+1,9)),0),4))</f>
        <v/>
      </c>
      <c r="U656" s="0" t="str">
        <f aca="false">IF(I656=1,"K"&amp;RIGHT("00"&amp;A656,2)&amp;T656&amp;RIGHT("00000"&amp;ROW(),5),"")</f>
        <v/>
      </c>
      <c r="V656" s="0" t="str">
        <f aca="false">IF(U656="","",COUNTIFS($I$2:$I$1201,1,$U$2:$U$1201,"&lt;"&amp;U656)+1)</f>
        <v/>
      </c>
    </row>
    <row r="657" customFormat="false" ht="15" hidden="false" customHeight="false" outlineLevel="0" collapsed="false">
      <c r="A657" s="0" t="n">
        <v>11</v>
      </c>
      <c r="B657" s="0" t="n">
        <v>56</v>
      </c>
      <c r="C657" s="0" t="str">
        <f aca="false">TRIM(SUBSTITUTE(INDEX(LISTAS!$A$4:$T$63,B657,A657)&amp;"",CHAR(160)," "))</f>
        <v/>
      </c>
      <c r="D657" s="0" t="str">
        <f aca="false">IF(C657="","",TRIM(RIGHT(SUBSTITUTE(C657," ",REPT(" ",100)),100)))</f>
        <v/>
      </c>
      <c r="E657" s="0" t="str">
        <f aca="false">IF(D657="","",UPPER(SUBSTITUTE(SUBSTITUTE(D657,"(",""),")","")))</f>
        <v/>
      </c>
      <c r="F657" s="0" t="str">
        <f aca="false">IF(C657="","",LEFT(C657,FIND(" ",C657&amp;" ")-1))</f>
        <v/>
      </c>
      <c r="G657" s="0" t="n">
        <f aca="false">IFERROR(VALUE(SUBSTITUTE(LOWER(F657),"x","")),0)</f>
        <v>0</v>
      </c>
      <c r="H657" s="0" t="str">
        <f aca="false">IF(C657="","",TRIM(MID(C657,LEN(F657)+2,999)))</f>
        <v/>
      </c>
      <c r="I657" s="0" t="n">
        <f aca="false">IF(OR(C657="",LEFT(C657,2)="//"),0,IFERROR(IF(AND(G657&gt;0,G657=INT(G657),FIND("-",E657)&gt;1,NOT(EXACT(UPPER(LEFT(E657,1)),LOWER(LEFT(E657,1)))),ISNUMBER(VALUE(MID(E657,FIND("-",E657)+1,10)))),1,0),0))</f>
        <v>0</v>
      </c>
      <c r="J657" s="0" t="str">
        <f aca="false">IF(I657=1,TRIM(LEFT(H657,MAX(0,LEN(H657)-LEN(D657)))),"")</f>
        <v/>
      </c>
      <c r="K657" s="0" t="str">
        <f aca="false">INDEX($P$2:$P$21,A657)</f>
        <v>Deck 11</v>
      </c>
      <c r="L657" s="0" t="n">
        <f aca="false">IF(AND(C657&lt;&gt;"",LEFT(C657,2)&lt;&gt;"//",I657=0),1,0)</f>
        <v>0</v>
      </c>
      <c r="M657" s="0" t="str">
        <f aca="false">IF(I657=1,MAX(M$1:M656)+1,"")</f>
        <v/>
      </c>
      <c r="N657" s="0" t="str">
        <f aca="false">IFERROR(MATCH(ROW()-1,$V$2:$V$1201,0),"")</f>
        <v/>
      </c>
      <c r="R657" s="0" t="str">
        <f aca="false">IF(E657="","",IFERROR(LEFT(E657,FIND("-",E657)-1),E657))</f>
        <v/>
      </c>
      <c r="S657" s="0" t="str">
        <f aca="false">IF(R657="","",IF(ISNUMBER(--MID(R657,1,1)),0,IF(ISNUMBER(--MID(R657,2,1)),1,IF(ISNUMBER(--MID(R657,3,1)),2,IF(ISNUMBER(--MID(R657,4,1)),3,MIN(LEN(R657),4))))))</f>
        <v/>
      </c>
      <c r="T657" s="0" t="str">
        <f aca="false">IF(E657="","",LEFT(R657,S657)&amp;REPT("0",4-S657)&amp;RIGHT("000"&amp;IFERROR(VALUE(MID(R657,S657+1,9)),0),3)&amp;RIGHT("0000"&amp;IFERROR(VALUE(MID(E657,FIND("-",E657)+1,9)),0),4))</f>
        <v/>
      </c>
      <c r="U657" s="0" t="str">
        <f aca="false">IF(I657=1,"K"&amp;RIGHT("00"&amp;A657,2)&amp;T657&amp;RIGHT("00000"&amp;ROW(),5),"")</f>
        <v/>
      </c>
      <c r="V657" s="0" t="str">
        <f aca="false">IF(U657="","",COUNTIFS($I$2:$I$1201,1,$U$2:$U$1201,"&lt;"&amp;U657)+1)</f>
        <v/>
      </c>
    </row>
    <row r="658" customFormat="false" ht="15" hidden="false" customHeight="false" outlineLevel="0" collapsed="false">
      <c r="A658" s="0" t="n">
        <v>11</v>
      </c>
      <c r="B658" s="0" t="n">
        <v>57</v>
      </c>
      <c r="C658" s="0" t="str">
        <f aca="false">TRIM(SUBSTITUTE(INDEX(LISTAS!$A$4:$T$63,B658,A658)&amp;"",CHAR(160)," "))</f>
        <v/>
      </c>
      <c r="D658" s="0" t="str">
        <f aca="false">IF(C658="","",TRIM(RIGHT(SUBSTITUTE(C658," ",REPT(" ",100)),100)))</f>
        <v/>
      </c>
      <c r="E658" s="0" t="str">
        <f aca="false">IF(D658="","",UPPER(SUBSTITUTE(SUBSTITUTE(D658,"(",""),")","")))</f>
        <v/>
      </c>
      <c r="F658" s="0" t="str">
        <f aca="false">IF(C658="","",LEFT(C658,FIND(" ",C658&amp;" ")-1))</f>
        <v/>
      </c>
      <c r="G658" s="0" t="n">
        <f aca="false">IFERROR(VALUE(SUBSTITUTE(LOWER(F658),"x","")),0)</f>
        <v>0</v>
      </c>
      <c r="H658" s="0" t="str">
        <f aca="false">IF(C658="","",TRIM(MID(C658,LEN(F658)+2,999)))</f>
        <v/>
      </c>
      <c r="I658" s="0" t="n">
        <f aca="false">IF(OR(C658="",LEFT(C658,2)="//"),0,IFERROR(IF(AND(G658&gt;0,G658=INT(G658),FIND("-",E658)&gt;1,NOT(EXACT(UPPER(LEFT(E658,1)),LOWER(LEFT(E658,1)))),ISNUMBER(VALUE(MID(E658,FIND("-",E658)+1,10)))),1,0),0))</f>
        <v>0</v>
      </c>
      <c r="J658" s="0" t="str">
        <f aca="false">IF(I658=1,TRIM(LEFT(H658,MAX(0,LEN(H658)-LEN(D658)))),"")</f>
        <v/>
      </c>
      <c r="K658" s="0" t="str">
        <f aca="false">INDEX($P$2:$P$21,A658)</f>
        <v>Deck 11</v>
      </c>
      <c r="L658" s="0" t="n">
        <f aca="false">IF(AND(C658&lt;&gt;"",LEFT(C658,2)&lt;&gt;"//",I658=0),1,0)</f>
        <v>0</v>
      </c>
      <c r="M658" s="0" t="str">
        <f aca="false">IF(I658=1,MAX(M$1:M657)+1,"")</f>
        <v/>
      </c>
      <c r="N658" s="0" t="str">
        <f aca="false">IFERROR(MATCH(ROW()-1,$V$2:$V$1201,0),"")</f>
        <v/>
      </c>
      <c r="R658" s="0" t="str">
        <f aca="false">IF(E658="","",IFERROR(LEFT(E658,FIND("-",E658)-1),E658))</f>
        <v/>
      </c>
      <c r="S658" s="0" t="str">
        <f aca="false">IF(R658="","",IF(ISNUMBER(--MID(R658,1,1)),0,IF(ISNUMBER(--MID(R658,2,1)),1,IF(ISNUMBER(--MID(R658,3,1)),2,IF(ISNUMBER(--MID(R658,4,1)),3,MIN(LEN(R658),4))))))</f>
        <v/>
      </c>
      <c r="T658" s="0" t="str">
        <f aca="false">IF(E658="","",LEFT(R658,S658)&amp;REPT("0",4-S658)&amp;RIGHT("000"&amp;IFERROR(VALUE(MID(R658,S658+1,9)),0),3)&amp;RIGHT("0000"&amp;IFERROR(VALUE(MID(E658,FIND("-",E658)+1,9)),0),4))</f>
        <v/>
      </c>
      <c r="U658" s="0" t="str">
        <f aca="false">IF(I658=1,"K"&amp;RIGHT("00"&amp;A658,2)&amp;T658&amp;RIGHT("00000"&amp;ROW(),5),"")</f>
        <v/>
      </c>
      <c r="V658" s="0" t="str">
        <f aca="false">IF(U658="","",COUNTIFS($I$2:$I$1201,1,$U$2:$U$1201,"&lt;"&amp;U658)+1)</f>
        <v/>
      </c>
    </row>
    <row r="659" customFormat="false" ht="15" hidden="false" customHeight="false" outlineLevel="0" collapsed="false">
      <c r="A659" s="0" t="n">
        <v>11</v>
      </c>
      <c r="B659" s="0" t="n">
        <v>58</v>
      </c>
      <c r="C659" s="0" t="str">
        <f aca="false">TRIM(SUBSTITUTE(INDEX(LISTAS!$A$4:$T$63,B659,A659)&amp;"",CHAR(160)," "))</f>
        <v/>
      </c>
      <c r="D659" s="0" t="str">
        <f aca="false">IF(C659="","",TRIM(RIGHT(SUBSTITUTE(C659," ",REPT(" ",100)),100)))</f>
        <v/>
      </c>
      <c r="E659" s="0" t="str">
        <f aca="false">IF(D659="","",UPPER(SUBSTITUTE(SUBSTITUTE(D659,"(",""),")","")))</f>
        <v/>
      </c>
      <c r="F659" s="0" t="str">
        <f aca="false">IF(C659="","",LEFT(C659,FIND(" ",C659&amp;" ")-1))</f>
        <v/>
      </c>
      <c r="G659" s="0" t="n">
        <f aca="false">IFERROR(VALUE(SUBSTITUTE(LOWER(F659),"x","")),0)</f>
        <v>0</v>
      </c>
      <c r="H659" s="0" t="str">
        <f aca="false">IF(C659="","",TRIM(MID(C659,LEN(F659)+2,999)))</f>
        <v/>
      </c>
      <c r="I659" s="0" t="n">
        <f aca="false">IF(OR(C659="",LEFT(C659,2)="//"),0,IFERROR(IF(AND(G659&gt;0,G659=INT(G659),FIND("-",E659)&gt;1,NOT(EXACT(UPPER(LEFT(E659,1)),LOWER(LEFT(E659,1)))),ISNUMBER(VALUE(MID(E659,FIND("-",E659)+1,10)))),1,0),0))</f>
        <v>0</v>
      </c>
      <c r="J659" s="0" t="str">
        <f aca="false">IF(I659=1,TRIM(LEFT(H659,MAX(0,LEN(H659)-LEN(D659)))),"")</f>
        <v/>
      </c>
      <c r="K659" s="0" t="str">
        <f aca="false">INDEX($P$2:$P$21,A659)</f>
        <v>Deck 11</v>
      </c>
      <c r="L659" s="0" t="n">
        <f aca="false">IF(AND(C659&lt;&gt;"",LEFT(C659,2)&lt;&gt;"//",I659=0),1,0)</f>
        <v>0</v>
      </c>
      <c r="M659" s="0" t="str">
        <f aca="false">IF(I659=1,MAX(M$1:M658)+1,"")</f>
        <v/>
      </c>
      <c r="N659" s="0" t="str">
        <f aca="false">IFERROR(MATCH(ROW()-1,$V$2:$V$1201,0),"")</f>
        <v/>
      </c>
      <c r="R659" s="0" t="str">
        <f aca="false">IF(E659="","",IFERROR(LEFT(E659,FIND("-",E659)-1),E659))</f>
        <v/>
      </c>
      <c r="S659" s="0" t="str">
        <f aca="false">IF(R659="","",IF(ISNUMBER(--MID(R659,1,1)),0,IF(ISNUMBER(--MID(R659,2,1)),1,IF(ISNUMBER(--MID(R659,3,1)),2,IF(ISNUMBER(--MID(R659,4,1)),3,MIN(LEN(R659),4))))))</f>
        <v/>
      </c>
      <c r="T659" s="0" t="str">
        <f aca="false">IF(E659="","",LEFT(R659,S659)&amp;REPT("0",4-S659)&amp;RIGHT("000"&amp;IFERROR(VALUE(MID(R659,S659+1,9)),0),3)&amp;RIGHT("0000"&amp;IFERROR(VALUE(MID(E659,FIND("-",E659)+1,9)),0),4))</f>
        <v/>
      </c>
      <c r="U659" s="0" t="str">
        <f aca="false">IF(I659=1,"K"&amp;RIGHT("00"&amp;A659,2)&amp;T659&amp;RIGHT("00000"&amp;ROW(),5),"")</f>
        <v/>
      </c>
      <c r="V659" s="0" t="str">
        <f aca="false">IF(U659="","",COUNTIFS($I$2:$I$1201,1,$U$2:$U$1201,"&lt;"&amp;U659)+1)</f>
        <v/>
      </c>
    </row>
    <row r="660" customFormat="false" ht="15" hidden="false" customHeight="false" outlineLevel="0" collapsed="false">
      <c r="A660" s="0" t="n">
        <v>11</v>
      </c>
      <c r="B660" s="0" t="n">
        <v>59</v>
      </c>
      <c r="C660" s="0" t="str">
        <f aca="false">TRIM(SUBSTITUTE(INDEX(LISTAS!$A$4:$T$63,B660,A660)&amp;"",CHAR(160)," "))</f>
        <v/>
      </c>
      <c r="D660" s="0" t="str">
        <f aca="false">IF(C660="","",TRIM(RIGHT(SUBSTITUTE(C660," ",REPT(" ",100)),100)))</f>
        <v/>
      </c>
      <c r="E660" s="0" t="str">
        <f aca="false">IF(D660="","",UPPER(SUBSTITUTE(SUBSTITUTE(D660,"(",""),")","")))</f>
        <v/>
      </c>
      <c r="F660" s="0" t="str">
        <f aca="false">IF(C660="","",LEFT(C660,FIND(" ",C660&amp;" ")-1))</f>
        <v/>
      </c>
      <c r="G660" s="0" t="n">
        <f aca="false">IFERROR(VALUE(SUBSTITUTE(LOWER(F660),"x","")),0)</f>
        <v>0</v>
      </c>
      <c r="H660" s="0" t="str">
        <f aca="false">IF(C660="","",TRIM(MID(C660,LEN(F660)+2,999)))</f>
        <v/>
      </c>
      <c r="I660" s="0" t="n">
        <f aca="false">IF(OR(C660="",LEFT(C660,2)="//"),0,IFERROR(IF(AND(G660&gt;0,G660=INT(G660),FIND("-",E660)&gt;1,NOT(EXACT(UPPER(LEFT(E660,1)),LOWER(LEFT(E660,1)))),ISNUMBER(VALUE(MID(E660,FIND("-",E660)+1,10)))),1,0),0))</f>
        <v>0</v>
      </c>
      <c r="J660" s="0" t="str">
        <f aca="false">IF(I660=1,TRIM(LEFT(H660,MAX(0,LEN(H660)-LEN(D660)))),"")</f>
        <v/>
      </c>
      <c r="K660" s="0" t="str">
        <f aca="false">INDEX($P$2:$P$21,A660)</f>
        <v>Deck 11</v>
      </c>
      <c r="L660" s="0" t="n">
        <f aca="false">IF(AND(C660&lt;&gt;"",LEFT(C660,2)&lt;&gt;"//",I660=0),1,0)</f>
        <v>0</v>
      </c>
      <c r="M660" s="0" t="str">
        <f aca="false">IF(I660=1,MAX(M$1:M659)+1,"")</f>
        <v/>
      </c>
      <c r="N660" s="0" t="str">
        <f aca="false">IFERROR(MATCH(ROW()-1,$V$2:$V$1201,0),"")</f>
        <v/>
      </c>
      <c r="R660" s="0" t="str">
        <f aca="false">IF(E660="","",IFERROR(LEFT(E660,FIND("-",E660)-1),E660))</f>
        <v/>
      </c>
      <c r="S660" s="0" t="str">
        <f aca="false">IF(R660="","",IF(ISNUMBER(--MID(R660,1,1)),0,IF(ISNUMBER(--MID(R660,2,1)),1,IF(ISNUMBER(--MID(R660,3,1)),2,IF(ISNUMBER(--MID(R660,4,1)),3,MIN(LEN(R660),4))))))</f>
        <v/>
      </c>
      <c r="T660" s="0" t="str">
        <f aca="false">IF(E660="","",LEFT(R660,S660)&amp;REPT("0",4-S660)&amp;RIGHT("000"&amp;IFERROR(VALUE(MID(R660,S660+1,9)),0),3)&amp;RIGHT("0000"&amp;IFERROR(VALUE(MID(E660,FIND("-",E660)+1,9)),0),4))</f>
        <v/>
      </c>
      <c r="U660" s="0" t="str">
        <f aca="false">IF(I660=1,"K"&amp;RIGHT("00"&amp;A660,2)&amp;T660&amp;RIGHT("00000"&amp;ROW(),5),"")</f>
        <v/>
      </c>
      <c r="V660" s="0" t="str">
        <f aca="false">IF(U660="","",COUNTIFS($I$2:$I$1201,1,$U$2:$U$1201,"&lt;"&amp;U660)+1)</f>
        <v/>
      </c>
    </row>
    <row r="661" customFormat="false" ht="15" hidden="false" customHeight="false" outlineLevel="0" collapsed="false">
      <c r="A661" s="0" t="n">
        <v>11</v>
      </c>
      <c r="B661" s="0" t="n">
        <v>60</v>
      </c>
      <c r="C661" s="0" t="str">
        <f aca="false">TRIM(SUBSTITUTE(INDEX(LISTAS!$A$4:$T$63,B661,A661)&amp;"",CHAR(160)," "))</f>
        <v/>
      </c>
      <c r="D661" s="0" t="str">
        <f aca="false">IF(C661="","",TRIM(RIGHT(SUBSTITUTE(C661," ",REPT(" ",100)),100)))</f>
        <v/>
      </c>
      <c r="E661" s="0" t="str">
        <f aca="false">IF(D661="","",UPPER(SUBSTITUTE(SUBSTITUTE(D661,"(",""),")","")))</f>
        <v/>
      </c>
      <c r="F661" s="0" t="str">
        <f aca="false">IF(C661="","",LEFT(C661,FIND(" ",C661&amp;" ")-1))</f>
        <v/>
      </c>
      <c r="G661" s="0" t="n">
        <f aca="false">IFERROR(VALUE(SUBSTITUTE(LOWER(F661),"x","")),0)</f>
        <v>0</v>
      </c>
      <c r="H661" s="0" t="str">
        <f aca="false">IF(C661="","",TRIM(MID(C661,LEN(F661)+2,999)))</f>
        <v/>
      </c>
      <c r="I661" s="0" t="n">
        <f aca="false">IF(OR(C661="",LEFT(C661,2)="//"),0,IFERROR(IF(AND(G661&gt;0,G661=INT(G661),FIND("-",E661)&gt;1,NOT(EXACT(UPPER(LEFT(E661,1)),LOWER(LEFT(E661,1)))),ISNUMBER(VALUE(MID(E661,FIND("-",E661)+1,10)))),1,0),0))</f>
        <v>0</v>
      </c>
      <c r="J661" s="0" t="str">
        <f aca="false">IF(I661=1,TRIM(LEFT(H661,MAX(0,LEN(H661)-LEN(D661)))),"")</f>
        <v/>
      </c>
      <c r="K661" s="0" t="str">
        <f aca="false">INDEX($P$2:$P$21,A661)</f>
        <v>Deck 11</v>
      </c>
      <c r="L661" s="0" t="n">
        <f aca="false">IF(AND(C661&lt;&gt;"",LEFT(C661,2)&lt;&gt;"//",I661=0),1,0)</f>
        <v>0</v>
      </c>
      <c r="M661" s="0" t="str">
        <f aca="false">IF(I661=1,MAX(M$1:M660)+1,"")</f>
        <v/>
      </c>
      <c r="N661" s="0" t="str">
        <f aca="false">IFERROR(MATCH(ROW()-1,$V$2:$V$1201,0),"")</f>
        <v/>
      </c>
      <c r="R661" s="0" t="str">
        <f aca="false">IF(E661="","",IFERROR(LEFT(E661,FIND("-",E661)-1),E661))</f>
        <v/>
      </c>
      <c r="S661" s="0" t="str">
        <f aca="false">IF(R661="","",IF(ISNUMBER(--MID(R661,1,1)),0,IF(ISNUMBER(--MID(R661,2,1)),1,IF(ISNUMBER(--MID(R661,3,1)),2,IF(ISNUMBER(--MID(R661,4,1)),3,MIN(LEN(R661),4))))))</f>
        <v/>
      </c>
      <c r="T661" s="0" t="str">
        <f aca="false">IF(E661="","",LEFT(R661,S661)&amp;REPT("0",4-S661)&amp;RIGHT("000"&amp;IFERROR(VALUE(MID(R661,S661+1,9)),0),3)&amp;RIGHT("0000"&amp;IFERROR(VALUE(MID(E661,FIND("-",E661)+1,9)),0),4))</f>
        <v/>
      </c>
      <c r="U661" s="0" t="str">
        <f aca="false">IF(I661=1,"K"&amp;RIGHT("00"&amp;A661,2)&amp;T661&amp;RIGHT("00000"&amp;ROW(),5),"")</f>
        <v/>
      </c>
      <c r="V661" s="0" t="str">
        <f aca="false">IF(U661="","",COUNTIFS($I$2:$I$1201,1,$U$2:$U$1201,"&lt;"&amp;U661)+1)</f>
        <v/>
      </c>
    </row>
    <row r="662" customFormat="false" ht="15" hidden="false" customHeight="false" outlineLevel="0" collapsed="false">
      <c r="A662" s="0" t="n">
        <v>12</v>
      </c>
      <c r="B662" s="0" t="n">
        <v>1</v>
      </c>
      <c r="C662" s="0" t="str">
        <f aca="false">TRIM(SUBSTITUTE(INDEX(LISTAS!$A$4:$T$63,B662,A662)&amp;"",CHAR(160)," "))</f>
        <v/>
      </c>
      <c r="D662" s="0" t="str">
        <f aca="false">IF(C662="","",TRIM(RIGHT(SUBSTITUTE(C662," ",REPT(" ",100)),100)))</f>
        <v/>
      </c>
      <c r="E662" s="0" t="str">
        <f aca="false">IF(D662="","",UPPER(SUBSTITUTE(SUBSTITUTE(D662,"(",""),")","")))</f>
        <v/>
      </c>
      <c r="F662" s="0" t="str">
        <f aca="false">IF(C662="","",LEFT(C662,FIND(" ",C662&amp;" ")-1))</f>
        <v/>
      </c>
      <c r="G662" s="0" t="n">
        <f aca="false">IFERROR(VALUE(SUBSTITUTE(LOWER(F662),"x","")),0)</f>
        <v>0</v>
      </c>
      <c r="H662" s="0" t="str">
        <f aca="false">IF(C662="","",TRIM(MID(C662,LEN(F662)+2,999)))</f>
        <v/>
      </c>
      <c r="I662" s="0" t="n">
        <f aca="false">IF(OR(C662="",LEFT(C662,2)="//"),0,IFERROR(IF(AND(G662&gt;0,G662=INT(G662),FIND("-",E662)&gt;1,NOT(EXACT(UPPER(LEFT(E662,1)),LOWER(LEFT(E662,1)))),ISNUMBER(VALUE(MID(E662,FIND("-",E662)+1,10)))),1,0),0))</f>
        <v>0</v>
      </c>
      <c r="J662" s="0" t="str">
        <f aca="false">IF(I662=1,TRIM(LEFT(H662,MAX(0,LEN(H662)-LEN(D662)))),"")</f>
        <v/>
      </c>
      <c r="K662" s="0" t="str">
        <f aca="false">INDEX($P$2:$P$21,A662)</f>
        <v>Deck 12</v>
      </c>
      <c r="L662" s="0" t="n">
        <f aca="false">IF(AND(C662&lt;&gt;"",LEFT(C662,2)&lt;&gt;"//",I662=0),1,0)</f>
        <v>0</v>
      </c>
      <c r="M662" s="0" t="str">
        <f aca="false">IF(I662=1,MAX(M$1:M661)+1,"")</f>
        <v/>
      </c>
      <c r="N662" s="0" t="str">
        <f aca="false">IFERROR(MATCH(ROW()-1,$V$2:$V$1201,0),"")</f>
        <v/>
      </c>
      <c r="R662" s="0" t="str">
        <f aca="false">IF(E662="","",IFERROR(LEFT(E662,FIND("-",E662)-1),E662))</f>
        <v/>
      </c>
      <c r="S662" s="0" t="str">
        <f aca="false">IF(R662="","",IF(ISNUMBER(--MID(R662,1,1)),0,IF(ISNUMBER(--MID(R662,2,1)),1,IF(ISNUMBER(--MID(R662,3,1)),2,IF(ISNUMBER(--MID(R662,4,1)),3,MIN(LEN(R662),4))))))</f>
        <v/>
      </c>
      <c r="T662" s="0" t="str">
        <f aca="false">IF(E662="","",LEFT(R662,S662)&amp;REPT("0",4-S662)&amp;RIGHT("000"&amp;IFERROR(VALUE(MID(R662,S662+1,9)),0),3)&amp;RIGHT("0000"&amp;IFERROR(VALUE(MID(E662,FIND("-",E662)+1,9)),0),4))</f>
        <v/>
      </c>
      <c r="U662" s="0" t="str">
        <f aca="false">IF(I662=1,"K"&amp;RIGHT("00"&amp;A662,2)&amp;T662&amp;RIGHT("00000"&amp;ROW(),5),"")</f>
        <v/>
      </c>
      <c r="V662" s="0" t="str">
        <f aca="false">IF(U662="","",COUNTIFS($I$2:$I$1201,1,$U$2:$U$1201,"&lt;"&amp;U662)+1)</f>
        <v/>
      </c>
    </row>
    <row r="663" customFormat="false" ht="15" hidden="false" customHeight="false" outlineLevel="0" collapsed="false">
      <c r="A663" s="0" t="n">
        <v>12</v>
      </c>
      <c r="B663" s="0" t="n">
        <v>2</v>
      </c>
      <c r="C663" s="0" t="str">
        <f aca="false">TRIM(SUBSTITUTE(INDEX(LISTAS!$A$4:$T$63,B663,A663)&amp;"",CHAR(160)," "))</f>
        <v/>
      </c>
      <c r="D663" s="0" t="str">
        <f aca="false">IF(C663="","",TRIM(RIGHT(SUBSTITUTE(C663," ",REPT(" ",100)),100)))</f>
        <v/>
      </c>
      <c r="E663" s="0" t="str">
        <f aca="false">IF(D663="","",UPPER(SUBSTITUTE(SUBSTITUTE(D663,"(",""),")","")))</f>
        <v/>
      </c>
      <c r="F663" s="0" t="str">
        <f aca="false">IF(C663="","",LEFT(C663,FIND(" ",C663&amp;" ")-1))</f>
        <v/>
      </c>
      <c r="G663" s="0" t="n">
        <f aca="false">IFERROR(VALUE(SUBSTITUTE(LOWER(F663),"x","")),0)</f>
        <v>0</v>
      </c>
      <c r="H663" s="0" t="str">
        <f aca="false">IF(C663="","",TRIM(MID(C663,LEN(F663)+2,999)))</f>
        <v/>
      </c>
      <c r="I663" s="0" t="n">
        <f aca="false">IF(OR(C663="",LEFT(C663,2)="//"),0,IFERROR(IF(AND(G663&gt;0,G663=INT(G663),FIND("-",E663)&gt;1,NOT(EXACT(UPPER(LEFT(E663,1)),LOWER(LEFT(E663,1)))),ISNUMBER(VALUE(MID(E663,FIND("-",E663)+1,10)))),1,0),0))</f>
        <v>0</v>
      </c>
      <c r="J663" s="0" t="str">
        <f aca="false">IF(I663=1,TRIM(LEFT(H663,MAX(0,LEN(H663)-LEN(D663)))),"")</f>
        <v/>
      </c>
      <c r="K663" s="0" t="str">
        <f aca="false">INDEX($P$2:$P$21,A663)</f>
        <v>Deck 12</v>
      </c>
      <c r="L663" s="0" t="n">
        <f aca="false">IF(AND(C663&lt;&gt;"",LEFT(C663,2)&lt;&gt;"//",I663=0),1,0)</f>
        <v>0</v>
      </c>
      <c r="M663" s="0" t="str">
        <f aca="false">IF(I663=1,MAX(M$1:M662)+1,"")</f>
        <v/>
      </c>
      <c r="N663" s="0" t="str">
        <f aca="false">IFERROR(MATCH(ROW()-1,$V$2:$V$1201,0),"")</f>
        <v/>
      </c>
      <c r="R663" s="0" t="str">
        <f aca="false">IF(E663="","",IFERROR(LEFT(E663,FIND("-",E663)-1),E663))</f>
        <v/>
      </c>
      <c r="S663" s="0" t="str">
        <f aca="false">IF(R663="","",IF(ISNUMBER(--MID(R663,1,1)),0,IF(ISNUMBER(--MID(R663,2,1)),1,IF(ISNUMBER(--MID(R663,3,1)),2,IF(ISNUMBER(--MID(R663,4,1)),3,MIN(LEN(R663),4))))))</f>
        <v/>
      </c>
      <c r="T663" s="0" t="str">
        <f aca="false">IF(E663="","",LEFT(R663,S663)&amp;REPT("0",4-S663)&amp;RIGHT("000"&amp;IFERROR(VALUE(MID(R663,S663+1,9)),0),3)&amp;RIGHT("0000"&amp;IFERROR(VALUE(MID(E663,FIND("-",E663)+1,9)),0),4))</f>
        <v/>
      </c>
      <c r="U663" s="0" t="str">
        <f aca="false">IF(I663=1,"K"&amp;RIGHT("00"&amp;A663,2)&amp;T663&amp;RIGHT("00000"&amp;ROW(),5),"")</f>
        <v/>
      </c>
      <c r="V663" s="0" t="str">
        <f aca="false">IF(U663="","",COUNTIFS($I$2:$I$1201,1,$U$2:$U$1201,"&lt;"&amp;U663)+1)</f>
        <v/>
      </c>
    </row>
    <row r="664" customFormat="false" ht="15" hidden="false" customHeight="false" outlineLevel="0" collapsed="false">
      <c r="A664" s="0" t="n">
        <v>12</v>
      </c>
      <c r="B664" s="0" t="n">
        <v>3</v>
      </c>
      <c r="C664" s="0" t="str">
        <f aca="false">TRIM(SUBSTITUTE(INDEX(LISTAS!$A$4:$T$63,B664,A664)&amp;"",CHAR(160)," "))</f>
        <v/>
      </c>
      <c r="D664" s="0" t="str">
        <f aca="false">IF(C664="","",TRIM(RIGHT(SUBSTITUTE(C664," ",REPT(" ",100)),100)))</f>
        <v/>
      </c>
      <c r="E664" s="0" t="str">
        <f aca="false">IF(D664="","",UPPER(SUBSTITUTE(SUBSTITUTE(D664,"(",""),")","")))</f>
        <v/>
      </c>
      <c r="F664" s="0" t="str">
        <f aca="false">IF(C664="","",LEFT(C664,FIND(" ",C664&amp;" ")-1))</f>
        <v/>
      </c>
      <c r="G664" s="0" t="n">
        <f aca="false">IFERROR(VALUE(SUBSTITUTE(LOWER(F664),"x","")),0)</f>
        <v>0</v>
      </c>
      <c r="H664" s="0" t="str">
        <f aca="false">IF(C664="","",TRIM(MID(C664,LEN(F664)+2,999)))</f>
        <v/>
      </c>
      <c r="I664" s="0" t="n">
        <f aca="false">IF(OR(C664="",LEFT(C664,2)="//"),0,IFERROR(IF(AND(G664&gt;0,G664=INT(G664),FIND("-",E664)&gt;1,NOT(EXACT(UPPER(LEFT(E664,1)),LOWER(LEFT(E664,1)))),ISNUMBER(VALUE(MID(E664,FIND("-",E664)+1,10)))),1,0),0))</f>
        <v>0</v>
      </c>
      <c r="J664" s="0" t="str">
        <f aca="false">IF(I664=1,TRIM(LEFT(H664,MAX(0,LEN(H664)-LEN(D664)))),"")</f>
        <v/>
      </c>
      <c r="K664" s="0" t="str">
        <f aca="false">INDEX($P$2:$P$21,A664)</f>
        <v>Deck 12</v>
      </c>
      <c r="L664" s="0" t="n">
        <f aca="false">IF(AND(C664&lt;&gt;"",LEFT(C664,2)&lt;&gt;"//",I664=0),1,0)</f>
        <v>0</v>
      </c>
      <c r="M664" s="0" t="str">
        <f aca="false">IF(I664=1,MAX(M$1:M663)+1,"")</f>
        <v/>
      </c>
      <c r="N664" s="0" t="str">
        <f aca="false">IFERROR(MATCH(ROW()-1,$V$2:$V$1201,0),"")</f>
        <v/>
      </c>
      <c r="R664" s="0" t="str">
        <f aca="false">IF(E664="","",IFERROR(LEFT(E664,FIND("-",E664)-1),E664))</f>
        <v/>
      </c>
      <c r="S664" s="0" t="str">
        <f aca="false">IF(R664="","",IF(ISNUMBER(--MID(R664,1,1)),0,IF(ISNUMBER(--MID(R664,2,1)),1,IF(ISNUMBER(--MID(R664,3,1)),2,IF(ISNUMBER(--MID(R664,4,1)),3,MIN(LEN(R664),4))))))</f>
        <v/>
      </c>
      <c r="T664" s="0" t="str">
        <f aca="false">IF(E664="","",LEFT(R664,S664)&amp;REPT("0",4-S664)&amp;RIGHT("000"&amp;IFERROR(VALUE(MID(R664,S664+1,9)),0),3)&amp;RIGHT("0000"&amp;IFERROR(VALUE(MID(E664,FIND("-",E664)+1,9)),0),4))</f>
        <v/>
      </c>
      <c r="U664" s="0" t="str">
        <f aca="false">IF(I664=1,"K"&amp;RIGHT("00"&amp;A664,2)&amp;T664&amp;RIGHT("00000"&amp;ROW(),5),"")</f>
        <v/>
      </c>
      <c r="V664" s="0" t="str">
        <f aca="false">IF(U664="","",COUNTIFS($I$2:$I$1201,1,$U$2:$U$1201,"&lt;"&amp;U664)+1)</f>
        <v/>
      </c>
    </row>
    <row r="665" customFormat="false" ht="15" hidden="false" customHeight="false" outlineLevel="0" collapsed="false">
      <c r="A665" s="0" t="n">
        <v>12</v>
      </c>
      <c r="B665" s="0" t="n">
        <v>4</v>
      </c>
      <c r="C665" s="0" t="str">
        <f aca="false">TRIM(SUBSTITUTE(INDEX(LISTAS!$A$4:$T$63,B665,A665)&amp;"",CHAR(160)," "))</f>
        <v/>
      </c>
      <c r="D665" s="0" t="str">
        <f aca="false">IF(C665="","",TRIM(RIGHT(SUBSTITUTE(C665," ",REPT(" ",100)),100)))</f>
        <v/>
      </c>
      <c r="E665" s="0" t="str">
        <f aca="false">IF(D665="","",UPPER(SUBSTITUTE(SUBSTITUTE(D665,"(",""),")","")))</f>
        <v/>
      </c>
      <c r="F665" s="0" t="str">
        <f aca="false">IF(C665="","",LEFT(C665,FIND(" ",C665&amp;" ")-1))</f>
        <v/>
      </c>
      <c r="G665" s="0" t="n">
        <f aca="false">IFERROR(VALUE(SUBSTITUTE(LOWER(F665),"x","")),0)</f>
        <v>0</v>
      </c>
      <c r="H665" s="0" t="str">
        <f aca="false">IF(C665="","",TRIM(MID(C665,LEN(F665)+2,999)))</f>
        <v/>
      </c>
      <c r="I665" s="0" t="n">
        <f aca="false">IF(OR(C665="",LEFT(C665,2)="//"),0,IFERROR(IF(AND(G665&gt;0,G665=INT(G665),FIND("-",E665)&gt;1,NOT(EXACT(UPPER(LEFT(E665,1)),LOWER(LEFT(E665,1)))),ISNUMBER(VALUE(MID(E665,FIND("-",E665)+1,10)))),1,0),0))</f>
        <v>0</v>
      </c>
      <c r="J665" s="0" t="str">
        <f aca="false">IF(I665=1,TRIM(LEFT(H665,MAX(0,LEN(H665)-LEN(D665)))),"")</f>
        <v/>
      </c>
      <c r="K665" s="0" t="str">
        <f aca="false">INDEX($P$2:$P$21,A665)</f>
        <v>Deck 12</v>
      </c>
      <c r="L665" s="0" t="n">
        <f aca="false">IF(AND(C665&lt;&gt;"",LEFT(C665,2)&lt;&gt;"//",I665=0),1,0)</f>
        <v>0</v>
      </c>
      <c r="M665" s="0" t="str">
        <f aca="false">IF(I665=1,MAX(M$1:M664)+1,"")</f>
        <v/>
      </c>
      <c r="N665" s="0" t="str">
        <f aca="false">IFERROR(MATCH(ROW()-1,$V$2:$V$1201,0),"")</f>
        <v/>
      </c>
      <c r="R665" s="0" t="str">
        <f aca="false">IF(E665="","",IFERROR(LEFT(E665,FIND("-",E665)-1),E665))</f>
        <v/>
      </c>
      <c r="S665" s="0" t="str">
        <f aca="false">IF(R665="","",IF(ISNUMBER(--MID(R665,1,1)),0,IF(ISNUMBER(--MID(R665,2,1)),1,IF(ISNUMBER(--MID(R665,3,1)),2,IF(ISNUMBER(--MID(R665,4,1)),3,MIN(LEN(R665),4))))))</f>
        <v/>
      </c>
      <c r="T665" s="0" t="str">
        <f aca="false">IF(E665="","",LEFT(R665,S665)&amp;REPT("0",4-S665)&amp;RIGHT("000"&amp;IFERROR(VALUE(MID(R665,S665+1,9)),0),3)&amp;RIGHT("0000"&amp;IFERROR(VALUE(MID(E665,FIND("-",E665)+1,9)),0),4))</f>
        <v/>
      </c>
      <c r="U665" s="0" t="str">
        <f aca="false">IF(I665=1,"K"&amp;RIGHT("00"&amp;A665,2)&amp;T665&amp;RIGHT("00000"&amp;ROW(),5),"")</f>
        <v/>
      </c>
      <c r="V665" s="0" t="str">
        <f aca="false">IF(U665="","",COUNTIFS($I$2:$I$1201,1,$U$2:$U$1201,"&lt;"&amp;U665)+1)</f>
        <v/>
      </c>
    </row>
    <row r="666" customFormat="false" ht="15" hidden="false" customHeight="false" outlineLevel="0" collapsed="false">
      <c r="A666" s="0" t="n">
        <v>12</v>
      </c>
      <c r="B666" s="0" t="n">
        <v>5</v>
      </c>
      <c r="C666" s="0" t="str">
        <f aca="false">TRIM(SUBSTITUTE(INDEX(LISTAS!$A$4:$T$63,B666,A666)&amp;"",CHAR(160)," "))</f>
        <v/>
      </c>
      <c r="D666" s="0" t="str">
        <f aca="false">IF(C666="","",TRIM(RIGHT(SUBSTITUTE(C666," ",REPT(" ",100)),100)))</f>
        <v/>
      </c>
      <c r="E666" s="0" t="str">
        <f aca="false">IF(D666="","",UPPER(SUBSTITUTE(SUBSTITUTE(D666,"(",""),")","")))</f>
        <v/>
      </c>
      <c r="F666" s="0" t="str">
        <f aca="false">IF(C666="","",LEFT(C666,FIND(" ",C666&amp;" ")-1))</f>
        <v/>
      </c>
      <c r="G666" s="0" t="n">
        <f aca="false">IFERROR(VALUE(SUBSTITUTE(LOWER(F666),"x","")),0)</f>
        <v>0</v>
      </c>
      <c r="H666" s="0" t="str">
        <f aca="false">IF(C666="","",TRIM(MID(C666,LEN(F666)+2,999)))</f>
        <v/>
      </c>
      <c r="I666" s="0" t="n">
        <f aca="false">IF(OR(C666="",LEFT(C666,2)="//"),0,IFERROR(IF(AND(G666&gt;0,G666=INT(G666),FIND("-",E666)&gt;1,NOT(EXACT(UPPER(LEFT(E666,1)),LOWER(LEFT(E666,1)))),ISNUMBER(VALUE(MID(E666,FIND("-",E666)+1,10)))),1,0),0))</f>
        <v>0</v>
      </c>
      <c r="J666" s="0" t="str">
        <f aca="false">IF(I666=1,TRIM(LEFT(H666,MAX(0,LEN(H666)-LEN(D666)))),"")</f>
        <v/>
      </c>
      <c r="K666" s="0" t="str">
        <f aca="false">INDEX($P$2:$P$21,A666)</f>
        <v>Deck 12</v>
      </c>
      <c r="L666" s="0" t="n">
        <f aca="false">IF(AND(C666&lt;&gt;"",LEFT(C666,2)&lt;&gt;"//",I666=0),1,0)</f>
        <v>0</v>
      </c>
      <c r="M666" s="0" t="str">
        <f aca="false">IF(I666=1,MAX(M$1:M665)+1,"")</f>
        <v/>
      </c>
      <c r="N666" s="0" t="str">
        <f aca="false">IFERROR(MATCH(ROW()-1,$V$2:$V$1201,0),"")</f>
        <v/>
      </c>
      <c r="R666" s="0" t="str">
        <f aca="false">IF(E666="","",IFERROR(LEFT(E666,FIND("-",E666)-1),E666))</f>
        <v/>
      </c>
      <c r="S666" s="0" t="str">
        <f aca="false">IF(R666="","",IF(ISNUMBER(--MID(R666,1,1)),0,IF(ISNUMBER(--MID(R666,2,1)),1,IF(ISNUMBER(--MID(R666,3,1)),2,IF(ISNUMBER(--MID(R666,4,1)),3,MIN(LEN(R666),4))))))</f>
        <v/>
      </c>
      <c r="T666" s="0" t="str">
        <f aca="false">IF(E666="","",LEFT(R666,S666)&amp;REPT("0",4-S666)&amp;RIGHT("000"&amp;IFERROR(VALUE(MID(R666,S666+1,9)),0),3)&amp;RIGHT("0000"&amp;IFERROR(VALUE(MID(E666,FIND("-",E666)+1,9)),0),4))</f>
        <v/>
      </c>
      <c r="U666" s="0" t="str">
        <f aca="false">IF(I666=1,"K"&amp;RIGHT("00"&amp;A666,2)&amp;T666&amp;RIGHT("00000"&amp;ROW(),5),"")</f>
        <v/>
      </c>
      <c r="V666" s="0" t="str">
        <f aca="false">IF(U666="","",COUNTIFS($I$2:$I$1201,1,$U$2:$U$1201,"&lt;"&amp;U666)+1)</f>
        <v/>
      </c>
    </row>
    <row r="667" customFormat="false" ht="15" hidden="false" customHeight="false" outlineLevel="0" collapsed="false">
      <c r="A667" s="0" t="n">
        <v>12</v>
      </c>
      <c r="B667" s="0" t="n">
        <v>6</v>
      </c>
      <c r="C667" s="0" t="str">
        <f aca="false">TRIM(SUBSTITUTE(INDEX(LISTAS!$A$4:$T$63,B667,A667)&amp;"",CHAR(160)," "))</f>
        <v/>
      </c>
      <c r="D667" s="0" t="str">
        <f aca="false">IF(C667="","",TRIM(RIGHT(SUBSTITUTE(C667," ",REPT(" ",100)),100)))</f>
        <v/>
      </c>
      <c r="E667" s="0" t="str">
        <f aca="false">IF(D667="","",UPPER(SUBSTITUTE(SUBSTITUTE(D667,"(",""),")","")))</f>
        <v/>
      </c>
      <c r="F667" s="0" t="str">
        <f aca="false">IF(C667="","",LEFT(C667,FIND(" ",C667&amp;" ")-1))</f>
        <v/>
      </c>
      <c r="G667" s="0" t="n">
        <f aca="false">IFERROR(VALUE(SUBSTITUTE(LOWER(F667),"x","")),0)</f>
        <v>0</v>
      </c>
      <c r="H667" s="0" t="str">
        <f aca="false">IF(C667="","",TRIM(MID(C667,LEN(F667)+2,999)))</f>
        <v/>
      </c>
      <c r="I667" s="0" t="n">
        <f aca="false">IF(OR(C667="",LEFT(C667,2)="//"),0,IFERROR(IF(AND(G667&gt;0,G667=INT(G667),FIND("-",E667)&gt;1,NOT(EXACT(UPPER(LEFT(E667,1)),LOWER(LEFT(E667,1)))),ISNUMBER(VALUE(MID(E667,FIND("-",E667)+1,10)))),1,0),0))</f>
        <v>0</v>
      </c>
      <c r="J667" s="0" t="str">
        <f aca="false">IF(I667=1,TRIM(LEFT(H667,MAX(0,LEN(H667)-LEN(D667)))),"")</f>
        <v/>
      </c>
      <c r="K667" s="0" t="str">
        <f aca="false">INDEX($P$2:$P$21,A667)</f>
        <v>Deck 12</v>
      </c>
      <c r="L667" s="0" t="n">
        <f aca="false">IF(AND(C667&lt;&gt;"",LEFT(C667,2)&lt;&gt;"//",I667=0),1,0)</f>
        <v>0</v>
      </c>
      <c r="M667" s="0" t="str">
        <f aca="false">IF(I667=1,MAX(M$1:M666)+1,"")</f>
        <v/>
      </c>
      <c r="N667" s="0" t="str">
        <f aca="false">IFERROR(MATCH(ROW()-1,$V$2:$V$1201,0),"")</f>
        <v/>
      </c>
      <c r="R667" s="0" t="str">
        <f aca="false">IF(E667="","",IFERROR(LEFT(E667,FIND("-",E667)-1),E667))</f>
        <v/>
      </c>
      <c r="S667" s="0" t="str">
        <f aca="false">IF(R667="","",IF(ISNUMBER(--MID(R667,1,1)),0,IF(ISNUMBER(--MID(R667,2,1)),1,IF(ISNUMBER(--MID(R667,3,1)),2,IF(ISNUMBER(--MID(R667,4,1)),3,MIN(LEN(R667),4))))))</f>
        <v/>
      </c>
      <c r="T667" s="0" t="str">
        <f aca="false">IF(E667="","",LEFT(R667,S667)&amp;REPT("0",4-S667)&amp;RIGHT("000"&amp;IFERROR(VALUE(MID(R667,S667+1,9)),0),3)&amp;RIGHT("0000"&amp;IFERROR(VALUE(MID(E667,FIND("-",E667)+1,9)),0),4))</f>
        <v/>
      </c>
      <c r="U667" s="0" t="str">
        <f aca="false">IF(I667=1,"K"&amp;RIGHT("00"&amp;A667,2)&amp;T667&amp;RIGHT("00000"&amp;ROW(),5),"")</f>
        <v/>
      </c>
      <c r="V667" s="0" t="str">
        <f aca="false">IF(U667="","",COUNTIFS($I$2:$I$1201,1,$U$2:$U$1201,"&lt;"&amp;U667)+1)</f>
        <v/>
      </c>
    </row>
    <row r="668" customFormat="false" ht="15" hidden="false" customHeight="false" outlineLevel="0" collapsed="false">
      <c r="A668" s="0" t="n">
        <v>12</v>
      </c>
      <c r="B668" s="0" t="n">
        <v>7</v>
      </c>
      <c r="C668" s="0" t="str">
        <f aca="false">TRIM(SUBSTITUTE(INDEX(LISTAS!$A$4:$T$63,B668,A668)&amp;"",CHAR(160)," "))</f>
        <v/>
      </c>
      <c r="D668" s="0" t="str">
        <f aca="false">IF(C668="","",TRIM(RIGHT(SUBSTITUTE(C668," ",REPT(" ",100)),100)))</f>
        <v/>
      </c>
      <c r="E668" s="0" t="str">
        <f aca="false">IF(D668="","",UPPER(SUBSTITUTE(SUBSTITUTE(D668,"(",""),")","")))</f>
        <v/>
      </c>
      <c r="F668" s="0" t="str">
        <f aca="false">IF(C668="","",LEFT(C668,FIND(" ",C668&amp;" ")-1))</f>
        <v/>
      </c>
      <c r="G668" s="0" t="n">
        <f aca="false">IFERROR(VALUE(SUBSTITUTE(LOWER(F668),"x","")),0)</f>
        <v>0</v>
      </c>
      <c r="H668" s="0" t="str">
        <f aca="false">IF(C668="","",TRIM(MID(C668,LEN(F668)+2,999)))</f>
        <v/>
      </c>
      <c r="I668" s="0" t="n">
        <f aca="false">IF(OR(C668="",LEFT(C668,2)="//"),0,IFERROR(IF(AND(G668&gt;0,G668=INT(G668),FIND("-",E668)&gt;1,NOT(EXACT(UPPER(LEFT(E668,1)),LOWER(LEFT(E668,1)))),ISNUMBER(VALUE(MID(E668,FIND("-",E668)+1,10)))),1,0),0))</f>
        <v>0</v>
      </c>
      <c r="J668" s="0" t="str">
        <f aca="false">IF(I668=1,TRIM(LEFT(H668,MAX(0,LEN(H668)-LEN(D668)))),"")</f>
        <v/>
      </c>
      <c r="K668" s="0" t="str">
        <f aca="false">INDEX($P$2:$P$21,A668)</f>
        <v>Deck 12</v>
      </c>
      <c r="L668" s="0" t="n">
        <f aca="false">IF(AND(C668&lt;&gt;"",LEFT(C668,2)&lt;&gt;"//",I668=0),1,0)</f>
        <v>0</v>
      </c>
      <c r="M668" s="0" t="str">
        <f aca="false">IF(I668=1,MAX(M$1:M667)+1,"")</f>
        <v/>
      </c>
      <c r="N668" s="0" t="str">
        <f aca="false">IFERROR(MATCH(ROW()-1,$V$2:$V$1201,0),"")</f>
        <v/>
      </c>
      <c r="R668" s="0" t="str">
        <f aca="false">IF(E668="","",IFERROR(LEFT(E668,FIND("-",E668)-1),E668))</f>
        <v/>
      </c>
      <c r="S668" s="0" t="str">
        <f aca="false">IF(R668="","",IF(ISNUMBER(--MID(R668,1,1)),0,IF(ISNUMBER(--MID(R668,2,1)),1,IF(ISNUMBER(--MID(R668,3,1)),2,IF(ISNUMBER(--MID(R668,4,1)),3,MIN(LEN(R668),4))))))</f>
        <v/>
      </c>
      <c r="T668" s="0" t="str">
        <f aca="false">IF(E668="","",LEFT(R668,S668)&amp;REPT("0",4-S668)&amp;RIGHT("000"&amp;IFERROR(VALUE(MID(R668,S668+1,9)),0),3)&amp;RIGHT("0000"&amp;IFERROR(VALUE(MID(E668,FIND("-",E668)+1,9)),0),4))</f>
        <v/>
      </c>
      <c r="U668" s="0" t="str">
        <f aca="false">IF(I668=1,"K"&amp;RIGHT("00"&amp;A668,2)&amp;T668&amp;RIGHT("00000"&amp;ROW(),5),"")</f>
        <v/>
      </c>
      <c r="V668" s="0" t="str">
        <f aca="false">IF(U668="","",COUNTIFS($I$2:$I$1201,1,$U$2:$U$1201,"&lt;"&amp;U668)+1)</f>
        <v/>
      </c>
    </row>
    <row r="669" customFormat="false" ht="15" hidden="false" customHeight="false" outlineLevel="0" collapsed="false">
      <c r="A669" s="0" t="n">
        <v>12</v>
      </c>
      <c r="B669" s="0" t="n">
        <v>8</v>
      </c>
      <c r="C669" s="0" t="str">
        <f aca="false">TRIM(SUBSTITUTE(INDEX(LISTAS!$A$4:$T$63,B669,A669)&amp;"",CHAR(160)," "))</f>
        <v/>
      </c>
      <c r="D669" s="0" t="str">
        <f aca="false">IF(C669="","",TRIM(RIGHT(SUBSTITUTE(C669," ",REPT(" ",100)),100)))</f>
        <v/>
      </c>
      <c r="E669" s="0" t="str">
        <f aca="false">IF(D669="","",UPPER(SUBSTITUTE(SUBSTITUTE(D669,"(",""),")","")))</f>
        <v/>
      </c>
      <c r="F669" s="0" t="str">
        <f aca="false">IF(C669="","",LEFT(C669,FIND(" ",C669&amp;" ")-1))</f>
        <v/>
      </c>
      <c r="G669" s="0" t="n">
        <f aca="false">IFERROR(VALUE(SUBSTITUTE(LOWER(F669),"x","")),0)</f>
        <v>0</v>
      </c>
      <c r="H669" s="0" t="str">
        <f aca="false">IF(C669="","",TRIM(MID(C669,LEN(F669)+2,999)))</f>
        <v/>
      </c>
      <c r="I669" s="0" t="n">
        <f aca="false">IF(OR(C669="",LEFT(C669,2)="//"),0,IFERROR(IF(AND(G669&gt;0,G669=INT(G669),FIND("-",E669)&gt;1,NOT(EXACT(UPPER(LEFT(E669,1)),LOWER(LEFT(E669,1)))),ISNUMBER(VALUE(MID(E669,FIND("-",E669)+1,10)))),1,0),0))</f>
        <v>0</v>
      </c>
      <c r="J669" s="0" t="str">
        <f aca="false">IF(I669=1,TRIM(LEFT(H669,MAX(0,LEN(H669)-LEN(D669)))),"")</f>
        <v/>
      </c>
      <c r="K669" s="0" t="str">
        <f aca="false">INDEX($P$2:$P$21,A669)</f>
        <v>Deck 12</v>
      </c>
      <c r="L669" s="0" t="n">
        <f aca="false">IF(AND(C669&lt;&gt;"",LEFT(C669,2)&lt;&gt;"//",I669=0),1,0)</f>
        <v>0</v>
      </c>
      <c r="M669" s="0" t="str">
        <f aca="false">IF(I669=1,MAX(M$1:M668)+1,"")</f>
        <v/>
      </c>
      <c r="N669" s="0" t="str">
        <f aca="false">IFERROR(MATCH(ROW()-1,$V$2:$V$1201,0),"")</f>
        <v/>
      </c>
      <c r="R669" s="0" t="str">
        <f aca="false">IF(E669="","",IFERROR(LEFT(E669,FIND("-",E669)-1),E669))</f>
        <v/>
      </c>
      <c r="S669" s="0" t="str">
        <f aca="false">IF(R669="","",IF(ISNUMBER(--MID(R669,1,1)),0,IF(ISNUMBER(--MID(R669,2,1)),1,IF(ISNUMBER(--MID(R669,3,1)),2,IF(ISNUMBER(--MID(R669,4,1)),3,MIN(LEN(R669),4))))))</f>
        <v/>
      </c>
      <c r="T669" s="0" t="str">
        <f aca="false">IF(E669="","",LEFT(R669,S669)&amp;REPT("0",4-S669)&amp;RIGHT("000"&amp;IFERROR(VALUE(MID(R669,S669+1,9)),0),3)&amp;RIGHT("0000"&amp;IFERROR(VALUE(MID(E669,FIND("-",E669)+1,9)),0),4))</f>
        <v/>
      </c>
      <c r="U669" s="0" t="str">
        <f aca="false">IF(I669=1,"K"&amp;RIGHT("00"&amp;A669,2)&amp;T669&amp;RIGHT("00000"&amp;ROW(),5),"")</f>
        <v/>
      </c>
      <c r="V669" s="0" t="str">
        <f aca="false">IF(U669="","",COUNTIFS($I$2:$I$1201,1,$U$2:$U$1201,"&lt;"&amp;U669)+1)</f>
        <v/>
      </c>
    </row>
    <row r="670" customFormat="false" ht="15" hidden="false" customHeight="false" outlineLevel="0" collapsed="false">
      <c r="A670" s="0" t="n">
        <v>12</v>
      </c>
      <c r="B670" s="0" t="n">
        <v>9</v>
      </c>
      <c r="C670" s="0" t="str">
        <f aca="false">TRIM(SUBSTITUTE(INDEX(LISTAS!$A$4:$T$63,B670,A670)&amp;"",CHAR(160)," "))</f>
        <v/>
      </c>
      <c r="D670" s="0" t="str">
        <f aca="false">IF(C670="","",TRIM(RIGHT(SUBSTITUTE(C670," ",REPT(" ",100)),100)))</f>
        <v/>
      </c>
      <c r="E670" s="0" t="str">
        <f aca="false">IF(D670="","",UPPER(SUBSTITUTE(SUBSTITUTE(D670,"(",""),")","")))</f>
        <v/>
      </c>
      <c r="F670" s="0" t="str">
        <f aca="false">IF(C670="","",LEFT(C670,FIND(" ",C670&amp;" ")-1))</f>
        <v/>
      </c>
      <c r="G670" s="0" t="n">
        <f aca="false">IFERROR(VALUE(SUBSTITUTE(LOWER(F670),"x","")),0)</f>
        <v>0</v>
      </c>
      <c r="H670" s="0" t="str">
        <f aca="false">IF(C670="","",TRIM(MID(C670,LEN(F670)+2,999)))</f>
        <v/>
      </c>
      <c r="I670" s="0" t="n">
        <f aca="false">IF(OR(C670="",LEFT(C670,2)="//"),0,IFERROR(IF(AND(G670&gt;0,G670=INT(G670),FIND("-",E670)&gt;1,NOT(EXACT(UPPER(LEFT(E670,1)),LOWER(LEFT(E670,1)))),ISNUMBER(VALUE(MID(E670,FIND("-",E670)+1,10)))),1,0),0))</f>
        <v>0</v>
      </c>
      <c r="J670" s="0" t="str">
        <f aca="false">IF(I670=1,TRIM(LEFT(H670,MAX(0,LEN(H670)-LEN(D670)))),"")</f>
        <v/>
      </c>
      <c r="K670" s="0" t="str">
        <f aca="false">INDEX($P$2:$P$21,A670)</f>
        <v>Deck 12</v>
      </c>
      <c r="L670" s="0" t="n">
        <f aca="false">IF(AND(C670&lt;&gt;"",LEFT(C670,2)&lt;&gt;"//",I670=0),1,0)</f>
        <v>0</v>
      </c>
      <c r="M670" s="0" t="str">
        <f aca="false">IF(I670=1,MAX(M$1:M669)+1,"")</f>
        <v/>
      </c>
      <c r="N670" s="0" t="str">
        <f aca="false">IFERROR(MATCH(ROW()-1,$V$2:$V$1201,0),"")</f>
        <v/>
      </c>
      <c r="R670" s="0" t="str">
        <f aca="false">IF(E670="","",IFERROR(LEFT(E670,FIND("-",E670)-1),E670))</f>
        <v/>
      </c>
      <c r="S670" s="0" t="str">
        <f aca="false">IF(R670="","",IF(ISNUMBER(--MID(R670,1,1)),0,IF(ISNUMBER(--MID(R670,2,1)),1,IF(ISNUMBER(--MID(R670,3,1)),2,IF(ISNUMBER(--MID(R670,4,1)),3,MIN(LEN(R670),4))))))</f>
        <v/>
      </c>
      <c r="T670" s="0" t="str">
        <f aca="false">IF(E670="","",LEFT(R670,S670)&amp;REPT("0",4-S670)&amp;RIGHT("000"&amp;IFERROR(VALUE(MID(R670,S670+1,9)),0),3)&amp;RIGHT("0000"&amp;IFERROR(VALUE(MID(E670,FIND("-",E670)+1,9)),0),4))</f>
        <v/>
      </c>
      <c r="U670" s="0" t="str">
        <f aca="false">IF(I670=1,"K"&amp;RIGHT("00"&amp;A670,2)&amp;T670&amp;RIGHT("00000"&amp;ROW(),5),"")</f>
        <v/>
      </c>
      <c r="V670" s="0" t="str">
        <f aca="false">IF(U670="","",COUNTIFS($I$2:$I$1201,1,$U$2:$U$1201,"&lt;"&amp;U670)+1)</f>
        <v/>
      </c>
    </row>
    <row r="671" customFormat="false" ht="15" hidden="false" customHeight="false" outlineLevel="0" collapsed="false">
      <c r="A671" s="0" t="n">
        <v>12</v>
      </c>
      <c r="B671" s="0" t="n">
        <v>10</v>
      </c>
      <c r="C671" s="0" t="str">
        <f aca="false">TRIM(SUBSTITUTE(INDEX(LISTAS!$A$4:$T$63,B671,A671)&amp;"",CHAR(160)," "))</f>
        <v/>
      </c>
      <c r="D671" s="0" t="str">
        <f aca="false">IF(C671="","",TRIM(RIGHT(SUBSTITUTE(C671," ",REPT(" ",100)),100)))</f>
        <v/>
      </c>
      <c r="E671" s="0" t="str">
        <f aca="false">IF(D671="","",UPPER(SUBSTITUTE(SUBSTITUTE(D671,"(",""),")","")))</f>
        <v/>
      </c>
      <c r="F671" s="0" t="str">
        <f aca="false">IF(C671="","",LEFT(C671,FIND(" ",C671&amp;" ")-1))</f>
        <v/>
      </c>
      <c r="G671" s="0" t="n">
        <f aca="false">IFERROR(VALUE(SUBSTITUTE(LOWER(F671),"x","")),0)</f>
        <v>0</v>
      </c>
      <c r="H671" s="0" t="str">
        <f aca="false">IF(C671="","",TRIM(MID(C671,LEN(F671)+2,999)))</f>
        <v/>
      </c>
      <c r="I671" s="0" t="n">
        <f aca="false">IF(OR(C671="",LEFT(C671,2)="//"),0,IFERROR(IF(AND(G671&gt;0,G671=INT(G671),FIND("-",E671)&gt;1,NOT(EXACT(UPPER(LEFT(E671,1)),LOWER(LEFT(E671,1)))),ISNUMBER(VALUE(MID(E671,FIND("-",E671)+1,10)))),1,0),0))</f>
        <v>0</v>
      </c>
      <c r="J671" s="0" t="str">
        <f aca="false">IF(I671=1,TRIM(LEFT(H671,MAX(0,LEN(H671)-LEN(D671)))),"")</f>
        <v/>
      </c>
      <c r="K671" s="0" t="str">
        <f aca="false">INDEX($P$2:$P$21,A671)</f>
        <v>Deck 12</v>
      </c>
      <c r="L671" s="0" t="n">
        <f aca="false">IF(AND(C671&lt;&gt;"",LEFT(C671,2)&lt;&gt;"//",I671=0),1,0)</f>
        <v>0</v>
      </c>
      <c r="M671" s="0" t="str">
        <f aca="false">IF(I671=1,MAX(M$1:M670)+1,"")</f>
        <v/>
      </c>
      <c r="N671" s="0" t="str">
        <f aca="false">IFERROR(MATCH(ROW()-1,$V$2:$V$1201,0),"")</f>
        <v/>
      </c>
      <c r="R671" s="0" t="str">
        <f aca="false">IF(E671="","",IFERROR(LEFT(E671,FIND("-",E671)-1),E671))</f>
        <v/>
      </c>
      <c r="S671" s="0" t="str">
        <f aca="false">IF(R671="","",IF(ISNUMBER(--MID(R671,1,1)),0,IF(ISNUMBER(--MID(R671,2,1)),1,IF(ISNUMBER(--MID(R671,3,1)),2,IF(ISNUMBER(--MID(R671,4,1)),3,MIN(LEN(R671),4))))))</f>
        <v/>
      </c>
      <c r="T671" s="0" t="str">
        <f aca="false">IF(E671="","",LEFT(R671,S671)&amp;REPT("0",4-S671)&amp;RIGHT("000"&amp;IFERROR(VALUE(MID(R671,S671+1,9)),0),3)&amp;RIGHT("0000"&amp;IFERROR(VALUE(MID(E671,FIND("-",E671)+1,9)),0),4))</f>
        <v/>
      </c>
      <c r="U671" s="0" t="str">
        <f aca="false">IF(I671=1,"K"&amp;RIGHT("00"&amp;A671,2)&amp;T671&amp;RIGHT("00000"&amp;ROW(),5),"")</f>
        <v/>
      </c>
      <c r="V671" s="0" t="str">
        <f aca="false">IF(U671="","",COUNTIFS($I$2:$I$1201,1,$U$2:$U$1201,"&lt;"&amp;U671)+1)</f>
        <v/>
      </c>
    </row>
    <row r="672" customFormat="false" ht="15" hidden="false" customHeight="false" outlineLevel="0" collapsed="false">
      <c r="A672" s="0" t="n">
        <v>12</v>
      </c>
      <c r="B672" s="0" t="n">
        <v>11</v>
      </c>
      <c r="C672" s="0" t="str">
        <f aca="false">TRIM(SUBSTITUTE(INDEX(LISTAS!$A$4:$T$63,B672,A672)&amp;"",CHAR(160)," "))</f>
        <v/>
      </c>
      <c r="D672" s="0" t="str">
        <f aca="false">IF(C672="","",TRIM(RIGHT(SUBSTITUTE(C672," ",REPT(" ",100)),100)))</f>
        <v/>
      </c>
      <c r="E672" s="0" t="str">
        <f aca="false">IF(D672="","",UPPER(SUBSTITUTE(SUBSTITUTE(D672,"(",""),")","")))</f>
        <v/>
      </c>
      <c r="F672" s="0" t="str">
        <f aca="false">IF(C672="","",LEFT(C672,FIND(" ",C672&amp;" ")-1))</f>
        <v/>
      </c>
      <c r="G672" s="0" t="n">
        <f aca="false">IFERROR(VALUE(SUBSTITUTE(LOWER(F672),"x","")),0)</f>
        <v>0</v>
      </c>
      <c r="H672" s="0" t="str">
        <f aca="false">IF(C672="","",TRIM(MID(C672,LEN(F672)+2,999)))</f>
        <v/>
      </c>
      <c r="I672" s="0" t="n">
        <f aca="false">IF(OR(C672="",LEFT(C672,2)="//"),0,IFERROR(IF(AND(G672&gt;0,G672=INT(G672),FIND("-",E672)&gt;1,NOT(EXACT(UPPER(LEFT(E672,1)),LOWER(LEFT(E672,1)))),ISNUMBER(VALUE(MID(E672,FIND("-",E672)+1,10)))),1,0),0))</f>
        <v>0</v>
      </c>
      <c r="J672" s="0" t="str">
        <f aca="false">IF(I672=1,TRIM(LEFT(H672,MAX(0,LEN(H672)-LEN(D672)))),"")</f>
        <v/>
      </c>
      <c r="K672" s="0" t="str">
        <f aca="false">INDEX($P$2:$P$21,A672)</f>
        <v>Deck 12</v>
      </c>
      <c r="L672" s="0" t="n">
        <f aca="false">IF(AND(C672&lt;&gt;"",LEFT(C672,2)&lt;&gt;"//",I672=0),1,0)</f>
        <v>0</v>
      </c>
      <c r="M672" s="0" t="str">
        <f aca="false">IF(I672=1,MAX(M$1:M671)+1,"")</f>
        <v/>
      </c>
      <c r="N672" s="0" t="str">
        <f aca="false">IFERROR(MATCH(ROW()-1,$V$2:$V$1201,0),"")</f>
        <v/>
      </c>
      <c r="R672" s="0" t="str">
        <f aca="false">IF(E672="","",IFERROR(LEFT(E672,FIND("-",E672)-1),E672))</f>
        <v/>
      </c>
      <c r="S672" s="0" t="str">
        <f aca="false">IF(R672="","",IF(ISNUMBER(--MID(R672,1,1)),0,IF(ISNUMBER(--MID(R672,2,1)),1,IF(ISNUMBER(--MID(R672,3,1)),2,IF(ISNUMBER(--MID(R672,4,1)),3,MIN(LEN(R672),4))))))</f>
        <v/>
      </c>
      <c r="T672" s="0" t="str">
        <f aca="false">IF(E672="","",LEFT(R672,S672)&amp;REPT("0",4-S672)&amp;RIGHT("000"&amp;IFERROR(VALUE(MID(R672,S672+1,9)),0),3)&amp;RIGHT("0000"&amp;IFERROR(VALUE(MID(E672,FIND("-",E672)+1,9)),0),4))</f>
        <v/>
      </c>
      <c r="U672" s="0" t="str">
        <f aca="false">IF(I672=1,"K"&amp;RIGHT("00"&amp;A672,2)&amp;T672&amp;RIGHT("00000"&amp;ROW(),5),"")</f>
        <v/>
      </c>
      <c r="V672" s="0" t="str">
        <f aca="false">IF(U672="","",COUNTIFS($I$2:$I$1201,1,$U$2:$U$1201,"&lt;"&amp;U672)+1)</f>
        <v/>
      </c>
    </row>
    <row r="673" customFormat="false" ht="15" hidden="false" customHeight="false" outlineLevel="0" collapsed="false">
      <c r="A673" s="0" t="n">
        <v>12</v>
      </c>
      <c r="B673" s="0" t="n">
        <v>12</v>
      </c>
      <c r="C673" s="0" t="str">
        <f aca="false">TRIM(SUBSTITUTE(INDEX(LISTAS!$A$4:$T$63,B673,A673)&amp;"",CHAR(160)," "))</f>
        <v/>
      </c>
      <c r="D673" s="0" t="str">
        <f aca="false">IF(C673="","",TRIM(RIGHT(SUBSTITUTE(C673," ",REPT(" ",100)),100)))</f>
        <v/>
      </c>
      <c r="E673" s="0" t="str">
        <f aca="false">IF(D673="","",UPPER(SUBSTITUTE(SUBSTITUTE(D673,"(",""),")","")))</f>
        <v/>
      </c>
      <c r="F673" s="0" t="str">
        <f aca="false">IF(C673="","",LEFT(C673,FIND(" ",C673&amp;" ")-1))</f>
        <v/>
      </c>
      <c r="G673" s="0" t="n">
        <f aca="false">IFERROR(VALUE(SUBSTITUTE(LOWER(F673),"x","")),0)</f>
        <v>0</v>
      </c>
      <c r="H673" s="0" t="str">
        <f aca="false">IF(C673="","",TRIM(MID(C673,LEN(F673)+2,999)))</f>
        <v/>
      </c>
      <c r="I673" s="0" t="n">
        <f aca="false">IF(OR(C673="",LEFT(C673,2)="//"),0,IFERROR(IF(AND(G673&gt;0,G673=INT(G673),FIND("-",E673)&gt;1,NOT(EXACT(UPPER(LEFT(E673,1)),LOWER(LEFT(E673,1)))),ISNUMBER(VALUE(MID(E673,FIND("-",E673)+1,10)))),1,0),0))</f>
        <v>0</v>
      </c>
      <c r="J673" s="0" t="str">
        <f aca="false">IF(I673=1,TRIM(LEFT(H673,MAX(0,LEN(H673)-LEN(D673)))),"")</f>
        <v/>
      </c>
      <c r="K673" s="0" t="str">
        <f aca="false">INDEX($P$2:$P$21,A673)</f>
        <v>Deck 12</v>
      </c>
      <c r="L673" s="0" t="n">
        <f aca="false">IF(AND(C673&lt;&gt;"",LEFT(C673,2)&lt;&gt;"//",I673=0),1,0)</f>
        <v>0</v>
      </c>
      <c r="M673" s="0" t="str">
        <f aca="false">IF(I673=1,MAX(M$1:M672)+1,"")</f>
        <v/>
      </c>
      <c r="N673" s="0" t="str">
        <f aca="false">IFERROR(MATCH(ROW()-1,$V$2:$V$1201,0),"")</f>
        <v/>
      </c>
      <c r="R673" s="0" t="str">
        <f aca="false">IF(E673="","",IFERROR(LEFT(E673,FIND("-",E673)-1),E673))</f>
        <v/>
      </c>
      <c r="S673" s="0" t="str">
        <f aca="false">IF(R673="","",IF(ISNUMBER(--MID(R673,1,1)),0,IF(ISNUMBER(--MID(R673,2,1)),1,IF(ISNUMBER(--MID(R673,3,1)),2,IF(ISNUMBER(--MID(R673,4,1)),3,MIN(LEN(R673),4))))))</f>
        <v/>
      </c>
      <c r="T673" s="0" t="str">
        <f aca="false">IF(E673="","",LEFT(R673,S673)&amp;REPT("0",4-S673)&amp;RIGHT("000"&amp;IFERROR(VALUE(MID(R673,S673+1,9)),0),3)&amp;RIGHT("0000"&amp;IFERROR(VALUE(MID(E673,FIND("-",E673)+1,9)),0),4))</f>
        <v/>
      </c>
      <c r="U673" s="0" t="str">
        <f aca="false">IF(I673=1,"K"&amp;RIGHT("00"&amp;A673,2)&amp;T673&amp;RIGHT("00000"&amp;ROW(),5),"")</f>
        <v/>
      </c>
      <c r="V673" s="0" t="str">
        <f aca="false">IF(U673="","",COUNTIFS($I$2:$I$1201,1,$U$2:$U$1201,"&lt;"&amp;U673)+1)</f>
        <v/>
      </c>
    </row>
    <row r="674" customFormat="false" ht="15" hidden="false" customHeight="false" outlineLevel="0" collapsed="false">
      <c r="A674" s="0" t="n">
        <v>12</v>
      </c>
      <c r="B674" s="0" t="n">
        <v>13</v>
      </c>
      <c r="C674" s="0" t="str">
        <f aca="false">TRIM(SUBSTITUTE(INDEX(LISTAS!$A$4:$T$63,B674,A674)&amp;"",CHAR(160)," "))</f>
        <v/>
      </c>
      <c r="D674" s="0" t="str">
        <f aca="false">IF(C674="","",TRIM(RIGHT(SUBSTITUTE(C674," ",REPT(" ",100)),100)))</f>
        <v/>
      </c>
      <c r="E674" s="0" t="str">
        <f aca="false">IF(D674="","",UPPER(SUBSTITUTE(SUBSTITUTE(D674,"(",""),")","")))</f>
        <v/>
      </c>
      <c r="F674" s="0" t="str">
        <f aca="false">IF(C674="","",LEFT(C674,FIND(" ",C674&amp;" ")-1))</f>
        <v/>
      </c>
      <c r="G674" s="0" t="n">
        <f aca="false">IFERROR(VALUE(SUBSTITUTE(LOWER(F674),"x","")),0)</f>
        <v>0</v>
      </c>
      <c r="H674" s="0" t="str">
        <f aca="false">IF(C674="","",TRIM(MID(C674,LEN(F674)+2,999)))</f>
        <v/>
      </c>
      <c r="I674" s="0" t="n">
        <f aca="false">IF(OR(C674="",LEFT(C674,2)="//"),0,IFERROR(IF(AND(G674&gt;0,G674=INT(G674),FIND("-",E674)&gt;1,NOT(EXACT(UPPER(LEFT(E674,1)),LOWER(LEFT(E674,1)))),ISNUMBER(VALUE(MID(E674,FIND("-",E674)+1,10)))),1,0),0))</f>
        <v>0</v>
      </c>
      <c r="J674" s="0" t="str">
        <f aca="false">IF(I674=1,TRIM(LEFT(H674,MAX(0,LEN(H674)-LEN(D674)))),"")</f>
        <v/>
      </c>
      <c r="K674" s="0" t="str">
        <f aca="false">INDEX($P$2:$P$21,A674)</f>
        <v>Deck 12</v>
      </c>
      <c r="L674" s="0" t="n">
        <f aca="false">IF(AND(C674&lt;&gt;"",LEFT(C674,2)&lt;&gt;"//",I674=0),1,0)</f>
        <v>0</v>
      </c>
      <c r="M674" s="0" t="str">
        <f aca="false">IF(I674=1,MAX(M$1:M673)+1,"")</f>
        <v/>
      </c>
      <c r="N674" s="0" t="str">
        <f aca="false">IFERROR(MATCH(ROW()-1,$V$2:$V$1201,0),"")</f>
        <v/>
      </c>
      <c r="R674" s="0" t="str">
        <f aca="false">IF(E674="","",IFERROR(LEFT(E674,FIND("-",E674)-1),E674))</f>
        <v/>
      </c>
      <c r="S674" s="0" t="str">
        <f aca="false">IF(R674="","",IF(ISNUMBER(--MID(R674,1,1)),0,IF(ISNUMBER(--MID(R674,2,1)),1,IF(ISNUMBER(--MID(R674,3,1)),2,IF(ISNUMBER(--MID(R674,4,1)),3,MIN(LEN(R674),4))))))</f>
        <v/>
      </c>
      <c r="T674" s="0" t="str">
        <f aca="false">IF(E674="","",LEFT(R674,S674)&amp;REPT("0",4-S674)&amp;RIGHT("000"&amp;IFERROR(VALUE(MID(R674,S674+1,9)),0),3)&amp;RIGHT("0000"&amp;IFERROR(VALUE(MID(E674,FIND("-",E674)+1,9)),0),4))</f>
        <v/>
      </c>
      <c r="U674" s="0" t="str">
        <f aca="false">IF(I674=1,"K"&amp;RIGHT("00"&amp;A674,2)&amp;T674&amp;RIGHT("00000"&amp;ROW(),5),"")</f>
        <v/>
      </c>
      <c r="V674" s="0" t="str">
        <f aca="false">IF(U674="","",COUNTIFS($I$2:$I$1201,1,$U$2:$U$1201,"&lt;"&amp;U674)+1)</f>
        <v/>
      </c>
    </row>
    <row r="675" customFormat="false" ht="15" hidden="false" customHeight="false" outlineLevel="0" collapsed="false">
      <c r="A675" s="0" t="n">
        <v>12</v>
      </c>
      <c r="B675" s="0" t="n">
        <v>14</v>
      </c>
      <c r="C675" s="0" t="str">
        <f aca="false">TRIM(SUBSTITUTE(INDEX(LISTAS!$A$4:$T$63,B675,A675)&amp;"",CHAR(160)," "))</f>
        <v/>
      </c>
      <c r="D675" s="0" t="str">
        <f aca="false">IF(C675="","",TRIM(RIGHT(SUBSTITUTE(C675," ",REPT(" ",100)),100)))</f>
        <v/>
      </c>
      <c r="E675" s="0" t="str">
        <f aca="false">IF(D675="","",UPPER(SUBSTITUTE(SUBSTITUTE(D675,"(",""),")","")))</f>
        <v/>
      </c>
      <c r="F675" s="0" t="str">
        <f aca="false">IF(C675="","",LEFT(C675,FIND(" ",C675&amp;" ")-1))</f>
        <v/>
      </c>
      <c r="G675" s="0" t="n">
        <f aca="false">IFERROR(VALUE(SUBSTITUTE(LOWER(F675),"x","")),0)</f>
        <v>0</v>
      </c>
      <c r="H675" s="0" t="str">
        <f aca="false">IF(C675="","",TRIM(MID(C675,LEN(F675)+2,999)))</f>
        <v/>
      </c>
      <c r="I675" s="0" t="n">
        <f aca="false">IF(OR(C675="",LEFT(C675,2)="//"),0,IFERROR(IF(AND(G675&gt;0,G675=INT(G675),FIND("-",E675)&gt;1,NOT(EXACT(UPPER(LEFT(E675,1)),LOWER(LEFT(E675,1)))),ISNUMBER(VALUE(MID(E675,FIND("-",E675)+1,10)))),1,0),0))</f>
        <v>0</v>
      </c>
      <c r="J675" s="0" t="str">
        <f aca="false">IF(I675=1,TRIM(LEFT(H675,MAX(0,LEN(H675)-LEN(D675)))),"")</f>
        <v/>
      </c>
      <c r="K675" s="0" t="str">
        <f aca="false">INDEX($P$2:$P$21,A675)</f>
        <v>Deck 12</v>
      </c>
      <c r="L675" s="0" t="n">
        <f aca="false">IF(AND(C675&lt;&gt;"",LEFT(C675,2)&lt;&gt;"//",I675=0),1,0)</f>
        <v>0</v>
      </c>
      <c r="M675" s="0" t="str">
        <f aca="false">IF(I675=1,MAX(M$1:M674)+1,"")</f>
        <v/>
      </c>
      <c r="N675" s="0" t="str">
        <f aca="false">IFERROR(MATCH(ROW()-1,$V$2:$V$1201,0),"")</f>
        <v/>
      </c>
      <c r="R675" s="0" t="str">
        <f aca="false">IF(E675="","",IFERROR(LEFT(E675,FIND("-",E675)-1),E675))</f>
        <v/>
      </c>
      <c r="S675" s="0" t="str">
        <f aca="false">IF(R675="","",IF(ISNUMBER(--MID(R675,1,1)),0,IF(ISNUMBER(--MID(R675,2,1)),1,IF(ISNUMBER(--MID(R675,3,1)),2,IF(ISNUMBER(--MID(R675,4,1)),3,MIN(LEN(R675),4))))))</f>
        <v/>
      </c>
      <c r="T675" s="0" t="str">
        <f aca="false">IF(E675="","",LEFT(R675,S675)&amp;REPT("0",4-S675)&amp;RIGHT("000"&amp;IFERROR(VALUE(MID(R675,S675+1,9)),0),3)&amp;RIGHT("0000"&amp;IFERROR(VALUE(MID(E675,FIND("-",E675)+1,9)),0),4))</f>
        <v/>
      </c>
      <c r="U675" s="0" t="str">
        <f aca="false">IF(I675=1,"K"&amp;RIGHT("00"&amp;A675,2)&amp;T675&amp;RIGHT("00000"&amp;ROW(),5),"")</f>
        <v/>
      </c>
      <c r="V675" s="0" t="str">
        <f aca="false">IF(U675="","",COUNTIFS($I$2:$I$1201,1,$U$2:$U$1201,"&lt;"&amp;U675)+1)</f>
        <v/>
      </c>
    </row>
    <row r="676" customFormat="false" ht="15" hidden="false" customHeight="false" outlineLevel="0" collapsed="false">
      <c r="A676" s="0" t="n">
        <v>12</v>
      </c>
      <c r="B676" s="0" t="n">
        <v>15</v>
      </c>
      <c r="C676" s="0" t="str">
        <f aca="false">TRIM(SUBSTITUTE(INDEX(LISTAS!$A$4:$T$63,B676,A676)&amp;"",CHAR(160)," "))</f>
        <v/>
      </c>
      <c r="D676" s="0" t="str">
        <f aca="false">IF(C676="","",TRIM(RIGHT(SUBSTITUTE(C676," ",REPT(" ",100)),100)))</f>
        <v/>
      </c>
      <c r="E676" s="0" t="str">
        <f aca="false">IF(D676="","",UPPER(SUBSTITUTE(SUBSTITUTE(D676,"(",""),")","")))</f>
        <v/>
      </c>
      <c r="F676" s="0" t="str">
        <f aca="false">IF(C676="","",LEFT(C676,FIND(" ",C676&amp;" ")-1))</f>
        <v/>
      </c>
      <c r="G676" s="0" t="n">
        <f aca="false">IFERROR(VALUE(SUBSTITUTE(LOWER(F676),"x","")),0)</f>
        <v>0</v>
      </c>
      <c r="H676" s="0" t="str">
        <f aca="false">IF(C676="","",TRIM(MID(C676,LEN(F676)+2,999)))</f>
        <v/>
      </c>
      <c r="I676" s="0" t="n">
        <f aca="false">IF(OR(C676="",LEFT(C676,2)="//"),0,IFERROR(IF(AND(G676&gt;0,G676=INT(G676),FIND("-",E676)&gt;1,NOT(EXACT(UPPER(LEFT(E676,1)),LOWER(LEFT(E676,1)))),ISNUMBER(VALUE(MID(E676,FIND("-",E676)+1,10)))),1,0),0))</f>
        <v>0</v>
      </c>
      <c r="J676" s="0" t="str">
        <f aca="false">IF(I676=1,TRIM(LEFT(H676,MAX(0,LEN(H676)-LEN(D676)))),"")</f>
        <v/>
      </c>
      <c r="K676" s="0" t="str">
        <f aca="false">INDEX($P$2:$P$21,A676)</f>
        <v>Deck 12</v>
      </c>
      <c r="L676" s="0" t="n">
        <f aca="false">IF(AND(C676&lt;&gt;"",LEFT(C676,2)&lt;&gt;"//",I676=0),1,0)</f>
        <v>0</v>
      </c>
      <c r="M676" s="0" t="str">
        <f aca="false">IF(I676=1,MAX(M$1:M675)+1,"")</f>
        <v/>
      </c>
      <c r="N676" s="0" t="str">
        <f aca="false">IFERROR(MATCH(ROW()-1,$V$2:$V$1201,0),"")</f>
        <v/>
      </c>
      <c r="R676" s="0" t="str">
        <f aca="false">IF(E676="","",IFERROR(LEFT(E676,FIND("-",E676)-1),E676))</f>
        <v/>
      </c>
      <c r="S676" s="0" t="str">
        <f aca="false">IF(R676="","",IF(ISNUMBER(--MID(R676,1,1)),0,IF(ISNUMBER(--MID(R676,2,1)),1,IF(ISNUMBER(--MID(R676,3,1)),2,IF(ISNUMBER(--MID(R676,4,1)),3,MIN(LEN(R676),4))))))</f>
        <v/>
      </c>
      <c r="T676" s="0" t="str">
        <f aca="false">IF(E676="","",LEFT(R676,S676)&amp;REPT("0",4-S676)&amp;RIGHT("000"&amp;IFERROR(VALUE(MID(R676,S676+1,9)),0),3)&amp;RIGHT("0000"&amp;IFERROR(VALUE(MID(E676,FIND("-",E676)+1,9)),0),4))</f>
        <v/>
      </c>
      <c r="U676" s="0" t="str">
        <f aca="false">IF(I676=1,"K"&amp;RIGHT("00"&amp;A676,2)&amp;T676&amp;RIGHT("00000"&amp;ROW(),5),"")</f>
        <v/>
      </c>
      <c r="V676" s="0" t="str">
        <f aca="false">IF(U676="","",COUNTIFS($I$2:$I$1201,1,$U$2:$U$1201,"&lt;"&amp;U676)+1)</f>
        <v/>
      </c>
    </row>
    <row r="677" customFormat="false" ht="15" hidden="false" customHeight="false" outlineLevel="0" collapsed="false">
      <c r="A677" s="0" t="n">
        <v>12</v>
      </c>
      <c r="B677" s="0" t="n">
        <v>16</v>
      </c>
      <c r="C677" s="0" t="str">
        <f aca="false">TRIM(SUBSTITUTE(INDEX(LISTAS!$A$4:$T$63,B677,A677)&amp;"",CHAR(160)," "))</f>
        <v/>
      </c>
      <c r="D677" s="0" t="str">
        <f aca="false">IF(C677="","",TRIM(RIGHT(SUBSTITUTE(C677," ",REPT(" ",100)),100)))</f>
        <v/>
      </c>
      <c r="E677" s="0" t="str">
        <f aca="false">IF(D677="","",UPPER(SUBSTITUTE(SUBSTITUTE(D677,"(",""),")","")))</f>
        <v/>
      </c>
      <c r="F677" s="0" t="str">
        <f aca="false">IF(C677="","",LEFT(C677,FIND(" ",C677&amp;" ")-1))</f>
        <v/>
      </c>
      <c r="G677" s="0" t="n">
        <f aca="false">IFERROR(VALUE(SUBSTITUTE(LOWER(F677),"x","")),0)</f>
        <v>0</v>
      </c>
      <c r="H677" s="0" t="str">
        <f aca="false">IF(C677="","",TRIM(MID(C677,LEN(F677)+2,999)))</f>
        <v/>
      </c>
      <c r="I677" s="0" t="n">
        <f aca="false">IF(OR(C677="",LEFT(C677,2)="//"),0,IFERROR(IF(AND(G677&gt;0,G677=INT(G677),FIND("-",E677)&gt;1,NOT(EXACT(UPPER(LEFT(E677,1)),LOWER(LEFT(E677,1)))),ISNUMBER(VALUE(MID(E677,FIND("-",E677)+1,10)))),1,0),0))</f>
        <v>0</v>
      </c>
      <c r="J677" s="0" t="str">
        <f aca="false">IF(I677=1,TRIM(LEFT(H677,MAX(0,LEN(H677)-LEN(D677)))),"")</f>
        <v/>
      </c>
      <c r="K677" s="0" t="str">
        <f aca="false">INDEX($P$2:$P$21,A677)</f>
        <v>Deck 12</v>
      </c>
      <c r="L677" s="0" t="n">
        <f aca="false">IF(AND(C677&lt;&gt;"",LEFT(C677,2)&lt;&gt;"//",I677=0),1,0)</f>
        <v>0</v>
      </c>
      <c r="M677" s="0" t="str">
        <f aca="false">IF(I677=1,MAX(M$1:M676)+1,"")</f>
        <v/>
      </c>
      <c r="N677" s="0" t="str">
        <f aca="false">IFERROR(MATCH(ROW()-1,$V$2:$V$1201,0),"")</f>
        <v/>
      </c>
      <c r="R677" s="0" t="str">
        <f aca="false">IF(E677="","",IFERROR(LEFT(E677,FIND("-",E677)-1),E677))</f>
        <v/>
      </c>
      <c r="S677" s="0" t="str">
        <f aca="false">IF(R677="","",IF(ISNUMBER(--MID(R677,1,1)),0,IF(ISNUMBER(--MID(R677,2,1)),1,IF(ISNUMBER(--MID(R677,3,1)),2,IF(ISNUMBER(--MID(R677,4,1)),3,MIN(LEN(R677),4))))))</f>
        <v/>
      </c>
      <c r="T677" s="0" t="str">
        <f aca="false">IF(E677="","",LEFT(R677,S677)&amp;REPT("0",4-S677)&amp;RIGHT("000"&amp;IFERROR(VALUE(MID(R677,S677+1,9)),0),3)&amp;RIGHT("0000"&amp;IFERROR(VALUE(MID(E677,FIND("-",E677)+1,9)),0),4))</f>
        <v/>
      </c>
      <c r="U677" s="0" t="str">
        <f aca="false">IF(I677=1,"K"&amp;RIGHT("00"&amp;A677,2)&amp;T677&amp;RIGHT("00000"&amp;ROW(),5),"")</f>
        <v/>
      </c>
      <c r="V677" s="0" t="str">
        <f aca="false">IF(U677="","",COUNTIFS($I$2:$I$1201,1,$U$2:$U$1201,"&lt;"&amp;U677)+1)</f>
        <v/>
      </c>
    </row>
    <row r="678" customFormat="false" ht="15" hidden="false" customHeight="false" outlineLevel="0" collapsed="false">
      <c r="A678" s="0" t="n">
        <v>12</v>
      </c>
      <c r="B678" s="0" t="n">
        <v>17</v>
      </c>
      <c r="C678" s="0" t="str">
        <f aca="false">TRIM(SUBSTITUTE(INDEX(LISTAS!$A$4:$T$63,B678,A678)&amp;"",CHAR(160)," "))</f>
        <v/>
      </c>
      <c r="D678" s="0" t="str">
        <f aca="false">IF(C678="","",TRIM(RIGHT(SUBSTITUTE(C678," ",REPT(" ",100)),100)))</f>
        <v/>
      </c>
      <c r="E678" s="0" t="str">
        <f aca="false">IF(D678="","",UPPER(SUBSTITUTE(SUBSTITUTE(D678,"(",""),")","")))</f>
        <v/>
      </c>
      <c r="F678" s="0" t="str">
        <f aca="false">IF(C678="","",LEFT(C678,FIND(" ",C678&amp;" ")-1))</f>
        <v/>
      </c>
      <c r="G678" s="0" t="n">
        <f aca="false">IFERROR(VALUE(SUBSTITUTE(LOWER(F678),"x","")),0)</f>
        <v>0</v>
      </c>
      <c r="H678" s="0" t="str">
        <f aca="false">IF(C678="","",TRIM(MID(C678,LEN(F678)+2,999)))</f>
        <v/>
      </c>
      <c r="I678" s="0" t="n">
        <f aca="false">IF(OR(C678="",LEFT(C678,2)="//"),0,IFERROR(IF(AND(G678&gt;0,G678=INT(G678),FIND("-",E678)&gt;1,NOT(EXACT(UPPER(LEFT(E678,1)),LOWER(LEFT(E678,1)))),ISNUMBER(VALUE(MID(E678,FIND("-",E678)+1,10)))),1,0),0))</f>
        <v>0</v>
      </c>
      <c r="J678" s="0" t="str">
        <f aca="false">IF(I678=1,TRIM(LEFT(H678,MAX(0,LEN(H678)-LEN(D678)))),"")</f>
        <v/>
      </c>
      <c r="K678" s="0" t="str">
        <f aca="false">INDEX($P$2:$P$21,A678)</f>
        <v>Deck 12</v>
      </c>
      <c r="L678" s="0" t="n">
        <f aca="false">IF(AND(C678&lt;&gt;"",LEFT(C678,2)&lt;&gt;"//",I678=0),1,0)</f>
        <v>0</v>
      </c>
      <c r="M678" s="0" t="str">
        <f aca="false">IF(I678=1,MAX(M$1:M677)+1,"")</f>
        <v/>
      </c>
      <c r="N678" s="0" t="str">
        <f aca="false">IFERROR(MATCH(ROW()-1,$V$2:$V$1201,0),"")</f>
        <v/>
      </c>
      <c r="R678" s="0" t="str">
        <f aca="false">IF(E678="","",IFERROR(LEFT(E678,FIND("-",E678)-1),E678))</f>
        <v/>
      </c>
      <c r="S678" s="0" t="str">
        <f aca="false">IF(R678="","",IF(ISNUMBER(--MID(R678,1,1)),0,IF(ISNUMBER(--MID(R678,2,1)),1,IF(ISNUMBER(--MID(R678,3,1)),2,IF(ISNUMBER(--MID(R678,4,1)),3,MIN(LEN(R678),4))))))</f>
        <v/>
      </c>
      <c r="T678" s="0" t="str">
        <f aca="false">IF(E678="","",LEFT(R678,S678)&amp;REPT("0",4-S678)&amp;RIGHT("000"&amp;IFERROR(VALUE(MID(R678,S678+1,9)),0),3)&amp;RIGHT("0000"&amp;IFERROR(VALUE(MID(E678,FIND("-",E678)+1,9)),0),4))</f>
        <v/>
      </c>
      <c r="U678" s="0" t="str">
        <f aca="false">IF(I678=1,"K"&amp;RIGHT("00"&amp;A678,2)&amp;T678&amp;RIGHT("00000"&amp;ROW(),5),"")</f>
        <v/>
      </c>
      <c r="V678" s="0" t="str">
        <f aca="false">IF(U678="","",COUNTIFS($I$2:$I$1201,1,$U$2:$U$1201,"&lt;"&amp;U678)+1)</f>
        <v/>
      </c>
    </row>
    <row r="679" customFormat="false" ht="15" hidden="false" customHeight="false" outlineLevel="0" collapsed="false">
      <c r="A679" s="0" t="n">
        <v>12</v>
      </c>
      <c r="B679" s="0" t="n">
        <v>18</v>
      </c>
      <c r="C679" s="0" t="str">
        <f aca="false">TRIM(SUBSTITUTE(INDEX(LISTAS!$A$4:$T$63,B679,A679)&amp;"",CHAR(160)," "))</f>
        <v/>
      </c>
      <c r="D679" s="0" t="str">
        <f aca="false">IF(C679="","",TRIM(RIGHT(SUBSTITUTE(C679," ",REPT(" ",100)),100)))</f>
        <v/>
      </c>
      <c r="E679" s="0" t="str">
        <f aca="false">IF(D679="","",UPPER(SUBSTITUTE(SUBSTITUTE(D679,"(",""),")","")))</f>
        <v/>
      </c>
      <c r="F679" s="0" t="str">
        <f aca="false">IF(C679="","",LEFT(C679,FIND(" ",C679&amp;" ")-1))</f>
        <v/>
      </c>
      <c r="G679" s="0" t="n">
        <f aca="false">IFERROR(VALUE(SUBSTITUTE(LOWER(F679),"x","")),0)</f>
        <v>0</v>
      </c>
      <c r="H679" s="0" t="str">
        <f aca="false">IF(C679="","",TRIM(MID(C679,LEN(F679)+2,999)))</f>
        <v/>
      </c>
      <c r="I679" s="0" t="n">
        <f aca="false">IF(OR(C679="",LEFT(C679,2)="//"),0,IFERROR(IF(AND(G679&gt;0,G679=INT(G679),FIND("-",E679)&gt;1,NOT(EXACT(UPPER(LEFT(E679,1)),LOWER(LEFT(E679,1)))),ISNUMBER(VALUE(MID(E679,FIND("-",E679)+1,10)))),1,0),0))</f>
        <v>0</v>
      </c>
      <c r="J679" s="0" t="str">
        <f aca="false">IF(I679=1,TRIM(LEFT(H679,MAX(0,LEN(H679)-LEN(D679)))),"")</f>
        <v/>
      </c>
      <c r="K679" s="0" t="str">
        <f aca="false">INDEX($P$2:$P$21,A679)</f>
        <v>Deck 12</v>
      </c>
      <c r="L679" s="0" t="n">
        <f aca="false">IF(AND(C679&lt;&gt;"",LEFT(C679,2)&lt;&gt;"//",I679=0),1,0)</f>
        <v>0</v>
      </c>
      <c r="M679" s="0" t="str">
        <f aca="false">IF(I679=1,MAX(M$1:M678)+1,"")</f>
        <v/>
      </c>
      <c r="N679" s="0" t="str">
        <f aca="false">IFERROR(MATCH(ROW()-1,$V$2:$V$1201,0),"")</f>
        <v/>
      </c>
      <c r="R679" s="0" t="str">
        <f aca="false">IF(E679="","",IFERROR(LEFT(E679,FIND("-",E679)-1),E679))</f>
        <v/>
      </c>
      <c r="S679" s="0" t="str">
        <f aca="false">IF(R679="","",IF(ISNUMBER(--MID(R679,1,1)),0,IF(ISNUMBER(--MID(R679,2,1)),1,IF(ISNUMBER(--MID(R679,3,1)),2,IF(ISNUMBER(--MID(R679,4,1)),3,MIN(LEN(R679),4))))))</f>
        <v/>
      </c>
      <c r="T679" s="0" t="str">
        <f aca="false">IF(E679="","",LEFT(R679,S679)&amp;REPT("0",4-S679)&amp;RIGHT("000"&amp;IFERROR(VALUE(MID(R679,S679+1,9)),0),3)&amp;RIGHT("0000"&amp;IFERROR(VALUE(MID(E679,FIND("-",E679)+1,9)),0),4))</f>
        <v/>
      </c>
      <c r="U679" s="0" t="str">
        <f aca="false">IF(I679=1,"K"&amp;RIGHT("00"&amp;A679,2)&amp;T679&amp;RIGHT("00000"&amp;ROW(),5),"")</f>
        <v/>
      </c>
      <c r="V679" s="0" t="str">
        <f aca="false">IF(U679="","",COUNTIFS($I$2:$I$1201,1,$U$2:$U$1201,"&lt;"&amp;U679)+1)</f>
        <v/>
      </c>
    </row>
    <row r="680" customFormat="false" ht="15" hidden="false" customHeight="false" outlineLevel="0" collapsed="false">
      <c r="A680" s="0" t="n">
        <v>12</v>
      </c>
      <c r="B680" s="0" t="n">
        <v>19</v>
      </c>
      <c r="C680" s="0" t="str">
        <f aca="false">TRIM(SUBSTITUTE(INDEX(LISTAS!$A$4:$T$63,B680,A680)&amp;"",CHAR(160)," "))</f>
        <v/>
      </c>
      <c r="D680" s="0" t="str">
        <f aca="false">IF(C680="","",TRIM(RIGHT(SUBSTITUTE(C680," ",REPT(" ",100)),100)))</f>
        <v/>
      </c>
      <c r="E680" s="0" t="str">
        <f aca="false">IF(D680="","",UPPER(SUBSTITUTE(SUBSTITUTE(D680,"(",""),")","")))</f>
        <v/>
      </c>
      <c r="F680" s="0" t="str">
        <f aca="false">IF(C680="","",LEFT(C680,FIND(" ",C680&amp;" ")-1))</f>
        <v/>
      </c>
      <c r="G680" s="0" t="n">
        <f aca="false">IFERROR(VALUE(SUBSTITUTE(LOWER(F680),"x","")),0)</f>
        <v>0</v>
      </c>
      <c r="H680" s="0" t="str">
        <f aca="false">IF(C680="","",TRIM(MID(C680,LEN(F680)+2,999)))</f>
        <v/>
      </c>
      <c r="I680" s="0" t="n">
        <f aca="false">IF(OR(C680="",LEFT(C680,2)="//"),0,IFERROR(IF(AND(G680&gt;0,G680=INT(G680),FIND("-",E680)&gt;1,NOT(EXACT(UPPER(LEFT(E680,1)),LOWER(LEFT(E680,1)))),ISNUMBER(VALUE(MID(E680,FIND("-",E680)+1,10)))),1,0),0))</f>
        <v>0</v>
      </c>
      <c r="J680" s="0" t="str">
        <f aca="false">IF(I680=1,TRIM(LEFT(H680,MAX(0,LEN(H680)-LEN(D680)))),"")</f>
        <v/>
      </c>
      <c r="K680" s="0" t="str">
        <f aca="false">INDEX($P$2:$P$21,A680)</f>
        <v>Deck 12</v>
      </c>
      <c r="L680" s="0" t="n">
        <f aca="false">IF(AND(C680&lt;&gt;"",LEFT(C680,2)&lt;&gt;"//",I680=0),1,0)</f>
        <v>0</v>
      </c>
      <c r="M680" s="0" t="str">
        <f aca="false">IF(I680=1,MAX(M$1:M679)+1,"")</f>
        <v/>
      </c>
      <c r="N680" s="0" t="str">
        <f aca="false">IFERROR(MATCH(ROW()-1,$V$2:$V$1201,0),"")</f>
        <v/>
      </c>
      <c r="R680" s="0" t="str">
        <f aca="false">IF(E680="","",IFERROR(LEFT(E680,FIND("-",E680)-1),E680))</f>
        <v/>
      </c>
      <c r="S680" s="0" t="str">
        <f aca="false">IF(R680="","",IF(ISNUMBER(--MID(R680,1,1)),0,IF(ISNUMBER(--MID(R680,2,1)),1,IF(ISNUMBER(--MID(R680,3,1)),2,IF(ISNUMBER(--MID(R680,4,1)),3,MIN(LEN(R680),4))))))</f>
        <v/>
      </c>
      <c r="T680" s="0" t="str">
        <f aca="false">IF(E680="","",LEFT(R680,S680)&amp;REPT("0",4-S680)&amp;RIGHT("000"&amp;IFERROR(VALUE(MID(R680,S680+1,9)),0),3)&amp;RIGHT("0000"&amp;IFERROR(VALUE(MID(E680,FIND("-",E680)+1,9)),0),4))</f>
        <v/>
      </c>
      <c r="U680" s="0" t="str">
        <f aca="false">IF(I680=1,"K"&amp;RIGHT("00"&amp;A680,2)&amp;T680&amp;RIGHT("00000"&amp;ROW(),5),"")</f>
        <v/>
      </c>
      <c r="V680" s="0" t="str">
        <f aca="false">IF(U680="","",COUNTIFS($I$2:$I$1201,1,$U$2:$U$1201,"&lt;"&amp;U680)+1)</f>
        <v/>
      </c>
    </row>
    <row r="681" customFormat="false" ht="15" hidden="false" customHeight="false" outlineLevel="0" collapsed="false">
      <c r="A681" s="0" t="n">
        <v>12</v>
      </c>
      <c r="B681" s="0" t="n">
        <v>20</v>
      </c>
      <c r="C681" s="0" t="str">
        <f aca="false">TRIM(SUBSTITUTE(INDEX(LISTAS!$A$4:$T$63,B681,A681)&amp;"",CHAR(160)," "))</f>
        <v/>
      </c>
      <c r="D681" s="0" t="str">
        <f aca="false">IF(C681="","",TRIM(RIGHT(SUBSTITUTE(C681," ",REPT(" ",100)),100)))</f>
        <v/>
      </c>
      <c r="E681" s="0" t="str">
        <f aca="false">IF(D681="","",UPPER(SUBSTITUTE(SUBSTITUTE(D681,"(",""),")","")))</f>
        <v/>
      </c>
      <c r="F681" s="0" t="str">
        <f aca="false">IF(C681="","",LEFT(C681,FIND(" ",C681&amp;" ")-1))</f>
        <v/>
      </c>
      <c r="G681" s="0" t="n">
        <f aca="false">IFERROR(VALUE(SUBSTITUTE(LOWER(F681),"x","")),0)</f>
        <v>0</v>
      </c>
      <c r="H681" s="0" t="str">
        <f aca="false">IF(C681="","",TRIM(MID(C681,LEN(F681)+2,999)))</f>
        <v/>
      </c>
      <c r="I681" s="0" t="n">
        <f aca="false">IF(OR(C681="",LEFT(C681,2)="//"),0,IFERROR(IF(AND(G681&gt;0,G681=INT(G681),FIND("-",E681)&gt;1,NOT(EXACT(UPPER(LEFT(E681,1)),LOWER(LEFT(E681,1)))),ISNUMBER(VALUE(MID(E681,FIND("-",E681)+1,10)))),1,0),0))</f>
        <v>0</v>
      </c>
      <c r="J681" s="0" t="str">
        <f aca="false">IF(I681=1,TRIM(LEFT(H681,MAX(0,LEN(H681)-LEN(D681)))),"")</f>
        <v/>
      </c>
      <c r="K681" s="0" t="str">
        <f aca="false">INDEX($P$2:$P$21,A681)</f>
        <v>Deck 12</v>
      </c>
      <c r="L681" s="0" t="n">
        <f aca="false">IF(AND(C681&lt;&gt;"",LEFT(C681,2)&lt;&gt;"//",I681=0),1,0)</f>
        <v>0</v>
      </c>
      <c r="M681" s="0" t="str">
        <f aca="false">IF(I681=1,MAX(M$1:M680)+1,"")</f>
        <v/>
      </c>
      <c r="N681" s="0" t="str">
        <f aca="false">IFERROR(MATCH(ROW()-1,$V$2:$V$1201,0),"")</f>
        <v/>
      </c>
      <c r="R681" s="0" t="str">
        <f aca="false">IF(E681="","",IFERROR(LEFT(E681,FIND("-",E681)-1),E681))</f>
        <v/>
      </c>
      <c r="S681" s="0" t="str">
        <f aca="false">IF(R681="","",IF(ISNUMBER(--MID(R681,1,1)),0,IF(ISNUMBER(--MID(R681,2,1)),1,IF(ISNUMBER(--MID(R681,3,1)),2,IF(ISNUMBER(--MID(R681,4,1)),3,MIN(LEN(R681),4))))))</f>
        <v/>
      </c>
      <c r="T681" s="0" t="str">
        <f aca="false">IF(E681="","",LEFT(R681,S681)&amp;REPT("0",4-S681)&amp;RIGHT("000"&amp;IFERROR(VALUE(MID(R681,S681+1,9)),0),3)&amp;RIGHT("0000"&amp;IFERROR(VALUE(MID(E681,FIND("-",E681)+1,9)),0),4))</f>
        <v/>
      </c>
      <c r="U681" s="0" t="str">
        <f aca="false">IF(I681=1,"K"&amp;RIGHT("00"&amp;A681,2)&amp;T681&amp;RIGHT("00000"&amp;ROW(),5),"")</f>
        <v/>
      </c>
      <c r="V681" s="0" t="str">
        <f aca="false">IF(U681="","",COUNTIFS($I$2:$I$1201,1,$U$2:$U$1201,"&lt;"&amp;U681)+1)</f>
        <v/>
      </c>
    </row>
    <row r="682" customFormat="false" ht="15" hidden="false" customHeight="false" outlineLevel="0" collapsed="false">
      <c r="A682" s="0" t="n">
        <v>12</v>
      </c>
      <c r="B682" s="0" t="n">
        <v>21</v>
      </c>
      <c r="C682" s="0" t="str">
        <f aca="false">TRIM(SUBSTITUTE(INDEX(LISTAS!$A$4:$T$63,B682,A682)&amp;"",CHAR(160)," "))</f>
        <v/>
      </c>
      <c r="D682" s="0" t="str">
        <f aca="false">IF(C682="","",TRIM(RIGHT(SUBSTITUTE(C682," ",REPT(" ",100)),100)))</f>
        <v/>
      </c>
      <c r="E682" s="0" t="str">
        <f aca="false">IF(D682="","",UPPER(SUBSTITUTE(SUBSTITUTE(D682,"(",""),")","")))</f>
        <v/>
      </c>
      <c r="F682" s="0" t="str">
        <f aca="false">IF(C682="","",LEFT(C682,FIND(" ",C682&amp;" ")-1))</f>
        <v/>
      </c>
      <c r="G682" s="0" t="n">
        <f aca="false">IFERROR(VALUE(SUBSTITUTE(LOWER(F682),"x","")),0)</f>
        <v>0</v>
      </c>
      <c r="H682" s="0" t="str">
        <f aca="false">IF(C682="","",TRIM(MID(C682,LEN(F682)+2,999)))</f>
        <v/>
      </c>
      <c r="I682" s="0" t="n">
        <f aca="false">IF(OR(C682="",LEFT(C682,2)="//"),0,IFERROR(IF(AND(G682&gt;0,G682=INT(G682),FIND("-",E682)&gt;1,NOT(EXACT(UPPER(LEFT(E682,1)),LOWER(LEFT(E682,1)))),ISNUMBER(VALUE(MID(E682,FIND("-",E682)+1,10)))),1,0),0))</f>
        <v>0</v>
      </c>
      <c r="J682" s="0" t="str">
        <f aca="false">IF(I682=1,TRIM(LEFT(H682,MAX(0,LEN(H682)-LEN(D682)))),"")</f>
        <v/>
      </c>
      <c r="K682" s="0" t="str">
        <f aca="false">INDEX($P$2:$P$21,A682)</f>
        <v>Deck 12</v>
      </c>
      <c r="L682" s="0" t="n">
        <f aca="false">IF(AND(C682&lt;&gt;"",LEFT(C682,2)&lt;&gt;"//",I682=0),1,0)</f>
        <v>0</v>
      </c>
      <c r="M682" s="0" t="str">
        <f aca="false">IF(I682=1,MAX(M$1:M681)+1,"")</f>
        <v/>
      </c>
      <c r="N682" s="0" t="str">
        <f aca="false">IFERROR(MATCH(ROW()-1,$V$2:$V$1201,0),"")</f>
        <v/>
      </c>
      <c r="R682" s="0" t="str">
        <f aca="false">IF(E682="","",IFERROR(LEFT(E682,FIND("-",E682)-1),E682))</f>
        <v/>
      </c>
      <c r="S682" s="0" t="str">
        <f aca="false">IF(R682="","",IF(ISNUMBER(--MID(R682,1,1)),0,IF(ISNUMBER(--MID(R682,2,1)),1,IF(ISNUMBER(--MID(R682,3,1)),2,IF(ISNUMBER(--MID(R682,4,1)),3,MIN(LEN(R682),4))))))</f>
        <v/>
      </c>
      <c r="T682" s="0" t="str">
        <f aca="false">IF(E682="","",LEFT(R682,S682)&amp;REPT("0",4-S682)&amp;RIGHT("000"&amp;IFERROR(VALUE(MID(R682,S682+1,9)),0),3)&amp;RIGHT("0000"&amp;IFERROR(VALUE(MID(E682,FIND("-",E682)+1,9)),0),4))</f>
        <v/>
      </c>
      <c r="U682" s="0" t="str">
        <f aca="false">IF(I682=1,"K"&amp;RIGHT("00"&amp;A682,2)&amp;T682&amp;RIGHT("00000"&amp;ROW(),5),"")</f>
        <v/>
      </c>
      <c r="V682" s="0" t="str">
        <f aca="false">IF(U682="","",COUNTIFS($I$2:$I$1201,1,$U$2:$U$1201,"&lt;"&amp;U682)+1)</f>
        <v/>
      </c>
    </row>
    <row r="683" customFormat="false" ht="15" hidden="false" customHeight="false" outlineLevel="0" collapsed="false">
      <c r="A683" s="0" t="n">
        <v>12</v>
      </c>
      <c r="B683" s="0" t="n">
        <v>22</v>
      </c>
      <c r="C683" s="0" t="str">
        <f aca="false">TRIM(SUBSTITUTE(INDEX(LISTAS!$A$4:$T$63,B683,A683)&amp;"",CHAR(160)," "))</f>
        <v/>
      </c>
      <c r="D683" s="0" t="str">
        <f aca="false">IF(C683="","",TRIM(RIGHT(SUBSTITUTE(C683," ",REPT(" ",100)),100)))</f>
        <v/>
      </c>
      <c r="E683" s="0" t="str">
        <f aca="false">IF(D683="","",UPPER(SUBSTITUTE(SUBSTITUTE(D683,"(",""),")","")))</f>
        <v/>
      </c>
      <c r="F683" s="0" t="str">
        <f aca="false">IF(C683="","",LEFT(C683,FIND(" ",C683&amp;" ")-1))</f>
        <v/>
      </c>
      <c r="G683" s="0" t="n">
        <f aca="false">IFERROR(VALUE(SUBSTITUTE(LOWER(F683),"x","")),0)</f>
        <v>0</v>
      </c>
      <c r="H683" s="0" t="str">
        <f aca="false">IF(C683="","",TRIM(MID(C683,LEN(F683)+2,999)))</f>
        <v/>
      </c>
      <c r="I683" s="0" t="n">
        <f aca="false">IF(OR(C683="",LEFT(C683,2)="//"),0,IFERROR(IF(AND(G683&gt;0,G683=INT(G683),FIND("-",E683)&gt;1,NOT(EXACT(UPPER(LEFT(E683,1)),LOWER(LEFT(E683,1)))),ISNUMBER(VALUE(MID(E683,FIND("-",E683)+1,10)))),1,0),0))</f>
        <v>0</v>
      </c>
      <c r="J683" s="0" t="str">
        <f aca="false">IF(I683=1,TRIM(LEFT(H683,MAX(0,LEN(H683)-LEN(D683)))),"")</f>
        <v/>
      </c>
      <c r="K683" s="0" t="str">
        <f aca="false">INDEX($P$2:$P$21,A683)</f>
        <v>Deck 12</v>
      </c>
      <c r="L683" s="0" t="n">
        <f aca="false">IF(AND(C683&lt;&gt;"",LEFT(C683,2)&lt;&gt;"//",I683=0),1,0)</f>
        <v>0</v>
      </c>
      <c r="M683" s="0" t="str">
        <f aca="false">IF(I683=1,MAX(M$1:M682)+1,"")</f>
        <v/>
      </c>
      <c r="N683" s="0" t="str">
        <f aca="false">IFERROR(MATCH(ROW()-1,$V$2:$V$1201,0),"")</f>
        <v/>
      </c>
      <c r="R683" s="0" t="str">
        <f aca="false">IF(E683="","",IFERROR(LEFT(E683,FIND("-",E683)-1),E683))</f>
        <v/>
      </c>
      <c r="S683" s="0" t="str">
        <f aca="false">IF(R683="","",IF(ISNUMBER(--MID(R683,1,1)),0,IF(ISNUMBER(--MID(R683,2,1)),1,IF(ISNUMBER(--MID(R683,3,1)),2,IF(ISNUMBER(--MID(R683,4,1)),3,MIN(LEN(R683),4))))))</f>
        <v/>
      </c>
      <c r="T683" s="0" t="str">
        <f aca="false">IF(E683="","",LEFT(R683,S683)&amp;REPT("0",4-S683)&amp;RIGHT("000"&amp;IFERROR(VALUE(MID(R683,S683+1,9)),0),3)&amp;RIGHT("0000"&amp;IFERROR(VALUE(MID(E683,FIND("-",E683)+1,9)),0),4))</f>
        <v/>
      </c>
      <c r="U683" s="0" t="str">
        <f aca="false">IF(I683=1,"K"&amp;RIGHT("00"&amp;A683,2)&amp;T683&amp;RIGHT("00000"&amp;ROW(),5),"")</f>
        <v/>
      </c>
      <c r="V683" s="0" t="str">
        <f aca="false">IF(U683="","",COUNTIFS($I$2:$I$1201,1,$U$2:$U$1201,"&lt;"&amp;U683)+1)</f>
        <v/>
      </c>
    </row>
    <row r="684" customFormat="false" ht="15" hidden="false" customHeight="false" outlineLevel="0" collapsed="false">
      <c r="A684" s="0" t="n">
        <v>12</v>
      </c>
      <c r="B684" s="0" t="n">
        <v>23</v>
      </c>
      <c r="C684" s="0" t="str">
        <f aca="false">TRIM(SUBSTITUTE(INDEX(LISTAS!$A$4:$T$63,B684,A684)&amp;"",CHAR(160)," "))</f>
        <v/>
      </c>
      <c r="D684" s="0" t="str">
        <f aca="false">IF(C684="","",TRIM(RIGHT(SUBSTITUTE(C684," ",REPT(" ",100)),100)))</f>
        <v/>
      </c>
      <c r="E684" s="0" t="str">
        <f aca="false">IF(D684="","",UPPER(SUBSTITUTE(SUBSTITUTE(D684,"(",""),")","")))</f>
        <v/>
      </c>
      <c r="F684" s="0" t="str">
        <f aca="false">IF(C684="","",LEFT(C684,FIND(" ",C684&amp;" ")-1))</f>
        <v/>
      </c>
      <c r="G684" s="0" t="n">
        <f aca="false">IFERROR(VALUE(SUBSTITUTE(LOWER(F684),"x","")),0)</f>
        <v>0</v>
      </c>
      <c r="H684" s="0" t="str">
        <f aca="false">IF(C684="","",TRIM(MID(C684,LEN(F684)+2,999)))</f>
        <v/>
      </c>
      <c r="I684" s="0" t="n">
        <f aca="false">IF(OR(C684="",LEFT(C684,2)="//"),0,IFERROR(IF(AND(G684&gt;0,G684=INT(G684),FIND("-",E684)&gt;1,NOT(EXACT(UPPER(LEFT(E684,1)),LOWER(LEFT(E684,1)))),ISNUMBER(VALUE(MID(E684,FIND("-",E684)+1,10)))),1,0),0))</f>
        <v>0</v>
      </c>
      <c r="J684" s="0" t="str">
        <f aca="false">IF(I684=1,TRIM(LEFT(H684,MAX(0,LEN(H684)-LEN(D684)))),"")</f>
        <v/>
      </c>
      <c r="K684" s="0" t="str">
        <f aca="false">INDEX($P$2:$P$21,A684)</f>
        <v>Deck 12</v>
      </c>
      <c r="L684" s="0" t="n">
        <f aca="false">IF(AND(C684&lt;&gt;"",LEFT(C684,2)&lt;&gt;"//",I684=0),1,0)</f>
        <v>0</v>
      </c>
      <c r="M684" s="0" t="str">
        <f aca="false">IF(I684=1,MAX(M$1:M683)+1,"")</f>
        <v/>
      </c>
      <c r="N684" s="0" t="str">
        <f aca="false">IFERROR(MATCH(ROW()-1,$V$2:$V$1201,0),"")</f>
        <v/>
      </c>
      <c r="R684" s="0" t="str">
        <f aca="false">IF(E684="","",IFERROR(LEFT(E684,FIND("-",E684)-1),E684))</f>
        <v/>
      </c>
      <c r="S684" s="0" t="str">
        <f aca="false">IF(R684="","",IF(ISNUMBER(--MID(R684,1,1)),0,IF(ISNUMBER(--MID(R684,2,1)),1,IF(ISNUMBER(--MID(R684,3,1)),2,IF(ISNUMBER(--MID(R684,4,1)),3,MIN(LEN(R684),4))))))</f>
        <v/>
      </c>
      <c r="T684" s="0" t="str">
        <f aca="false">IF(E684="","",LEFT(R684,S684)&amp;REPT("0",4-S684)&amp;RIGHT("000"&amp;IFERROR(VALUE(MID(R684,S684+1,9)),0),3)&amp;RIGHT("0000"&amp;IFERROR(VALUE(MID(E684,FIND("-",E684)+1,9)),0),4))</f>
        <v/>
      </c>
      <c r="U684" s="0" t="str">
        <f aca="false">IF(I684=1,"K"&amp;RIGHT("00"&amp;A684,2)&amp;T684&amp;RIGHT("00000"&amp;ROW(),5),"")</f>
        <v/>
      </c>
      <c r="V684" s="0" t="str">
        <f aca="false">IF(U684="","",COUNTIFS($I$2:$I$1201,1,$U$2:$U$1201,"&lt;"&amp;U684)+1)</f>
        <v/>
      </c>
    </row>
    <row r="685" customFormat="false" ht="15" hidden="false" customHeight="false" outlineLevel="0" collapsed="false">
      <c r="A685" s="0" t="n">
        <v>12</v>
      </c>
      <c r="B685" s="0" t="n">
        <v>24</v>
      </c>
      <c r="C685" s="0" t="str">
        <f aca="false">TRIM(SUBSTITUTE(INDEX(LISTAS!$A$4:$T$63,B685,A685)&amp;"",CHAR(160)," "))</f>
        <v/>
      </c>
      <c r="D685" s="0" t="str">
        <f aca="false">IF(C685="","",TRIM(RIGHT(SUBSTITUTE(C685," ",REPT(" ",100)),100)))</f>
        <v/>
      </c>
      <c r="E685" s="0" t="str">
        <f aca="false">IF(D685="","",UPPER(SUBSTITUTE(SUBSTITUTE(D685,"(",""),")","")))</f>
        <v/>
      </c>
      <c r="F685" s="0" t="str">
        <f aca="false">IF(C685="","",LEFT(C685,FIND(" ",C685&amp;" ")-1))</f>
        <v/>
      </c>
      <c r="G685" s="0" t="n">
        <f aca="false">IFERROR(VALUE(SUBSTITUTE(LOWER(F685),"x","")),0)</f>
        <v>0</v>
      </c>
      <c r="H685" s="0" t="str">
        <f aca="false">IF(C685="","",TRIM(MID(C685,LEN(F685)+2,999)))</f>
        <v/>
      </c>
      <c r="I685" s="0" t="n">
        <f aca="false">IF(OR(C685="",LEFT(C685,2)="//"),0,IFERROR(IF(AND(G685&gt;0,G685=INT(G685),FIND("-",E685)&gt;1,NOT(EXACT(UPPER(LEFT(E685,1)),LOWER(LEFT(E685,1)))),ISNUMBER(VALUE(MID(E685,FIND("-",E685)+1,10)))),1,0),0))</f>
        <v>0</v>
      </c>
      <c r="J685" s="0" t="str">
        <f aca="false">IF(I685=1,TRIM(LEFT(H685,MAX(0,LEN(H685)-LEN(D685)))),"")</f>
        <v/>
      </c>
      <c r="K685" s="0" t="str">
        <f aca="false">INDEX($P$2:$P$21,A685)</f>
        <v>Deck 12</v>
      </c>
      <c r="L685" s="0" t="n">
        <f aca="false">IF(AND(C685&lt;&gt;"",LEFT(C685,2)&lt;&gt;"//",I685=0),1,0)</f>
        <v>0</v>
      </c>
      <c r="M685" s="0" t="str">
        <f aca="false">IF(I685=1,MAX(M$1:M684)+1,"")</f>
        <v/>
      </c>
      <c r="N685" s="0" t="str">
        <f aca="false">IFERROR(MATCH(ROW()-1,$V$2:$V$1201,0),"")</f>
        <v/>
      </c>
      <c r="R685" s="0" t="str">
        <f aca="false">IF(E685="","",IFERROR(LEFT(E685,FIND("-",E685)-1),E685))</f>
        <v/>
      </c>
      <c r="S685" s="0" t="str">
        <f aca="false">IF(R685="","",IF(ISNUMBER(--MID(R685,1,1)),0,IF(ISNUMBER(--MID(R685,2,1)),1,IF(ISNUMBER(--MID(R685,3,1)),2,IF(ISNUMBER(--MID(R685,4,1)),3,MIN(LEN(R685),4))))))</f>
        <v/>
      </c>
      <c r="T685" s="0" t="str">
        <f aca="false">IF(E685="","",LEFT(R685,S685)&amp;REPT("0",4-S685)&amp;RIGHT("000"&amp;IFERROR(VALUE(MID(R685,S685+1,9)),0),3)&amp;RIGHT("0000"&amp;IFERROR(VALUE(MID(E685,FIND("-",E685)+1,9)),0),4))</f>
        <v/>
      </c>
      <c r="U685" s="0" t="str">
        <f aca="false">IF(I685=1,"K"&amp;RIGHT("00"&amp;A685,2)&amp;T685&amp;RIGHT("00000"&amp;ROW(),5),"")</f>
        <v/>
      </c>
      <c r="V685" s="0" t="str">
        <f aca="false">IF(U685="","",COUNTIFS($I$2:$I$1201,1,$U$2:$U$1201,"&lt;"&amp;U685)+1)</f>
        <v/>
      </c>
    </row>
    <row r="686" customFormat="false" ht="15" hidden="false" customHeight="false" outlineLevel="0" collapsed="false">
      <c r="A686" s="0" t="n">
        <v>12</v>
      </c>
      <c r="B686" s="0" t="n">
        <v>25</v>
      </c>
      <c r="C686" s="0" t="str">
        <f aca="false">TRIM(SUBSTITUTE(INDEX(LISTAS!$A$4:$T$63,B686,A686)&amp;"",CHAR(160)," "))</f>
        <v/>
      </c>
      <c r="D686" s="0" t="str">
        <f aca="false">IF(C686="","",TRIM(RIGHT(SUBSTITUTE(C686," ",REPT(" ",100)),100)))</f>
        <v/>
      </c>
      <c r="E686" s="0" t="str">
        <f aca="false">IF(D686="","",UPPER(SUBSTITUTE(SUBSTITUTE(D686,"(",""),")","")))</f>
        <v/>
      </c>
      <c r="F686" s="0" t="str">
        <f aca="false">IF(C686="","",LEFT(C686,FIND(" ",C686&amp;" ")-1))</f>
        <v/>
      </c>
      <c r="G686" s="0" t="n">
        <f aca="false">IFERROR(VALUE(SUBSTITUTE(LOWER(F686),"x","")),0)</f>
        <v>0</v>
      </c>
      <c r="H686" s="0" t="str">
        <f aca="false">IF(C686="","",TRIM(MID(C686,LEN(F686)+2,999)))</f>
        <v/>
      </c>
      <c r="I686" s="0" t="n">
        <f aca="false">IF(OR(C686="",LEFT(C686,2)="//"),0,IFERROR(IF(AND(G686&gt;0,G686=INT(G686),FIND("-",E686)&gt;1,NOT(EXACT(UPPER(LEFT(E686,1)),LOWER(LEFT(E686,1)))),ISNUMBER(VALUE(MID(E686,FIND("-",E686)+1,10)))),1,0),0))</f>
        <v>0</v>
      </c>
      <c r="J686" s="0" t="str">
        <f aca="false">IF(I686=1,TRIM(LEFT(H686,MAX(0,LEN(H686)-LEN(D686)))),"")</f>
        <v/>
      </c>
      <c r="K686" s="0" t="str">
        <f aca="false">INDEX($P$2:$P$21,A686)</f>
        <v>Deck 12</v>
      </c>
      <c r="L686" s="0" t="n">
        <f aca="false">IF(AND(C686&lt;&gt;"",LEFT(C686,2)&lt;&gt;"//",I686=0),1,0)</f>
        <v>0</v>
      </c>
      <c r="M686" s="0" t="str">
        <f aca="false">IF(I686=1,MAX(M$1:M685)+1,"")</f>
        <v/>
      </c>
      <c r="N686" s="0" t="str">
        <f aca="false">IFERROR(MATCH(ROW()-1,$V$2:$V$1201,0),"")</f>
        <v/>
      </c>
      <c r="R686" s="0" t="str">
        <f aca="false">IF(E686="","",IFERROR(LEFT(E686,FIND("-",E686)-1),E686))</f>
        <v/>
      </c>
      <c r="S686" s="0" t="str">
        <f aca="false">IF(R686="","",IF(ISNUMBER(--MID(R686,1,1)),0,IF(ISNUMBER(--MID(R686,2,1)),1,IF(ISNUMBER(--MID(R686,3,1)),2,IF(ISNUMBER(--MID(R686,4,1)),3,MIN(LEN(R686),4))))))</f>
        <v/>
      </c>
      <c r="T686" s="0" t="str">
        <f aca="false">IF(E686="","",LEFT(R686,S686)&amp;REPT("0",4-S686)&amp;RIGHT("000"&amp;IFERROR(VALUE(MID(R686,S686+1,9)),0),3)&amp;RIGHT("0000"&amp;IFERROR(VALUE(MID(E686,FIND("-",E686)+1,9)),0),4))</f>
        <v/>
      </c>
      <c r="U686" s="0" t="str">
        <f aca="false">IF(I686=1,"K"&amp;RIGHT("00"&amp;A686,2)&amp;T686&amp;RIGHT("00000"&amp;ROW(),5),"")</f>
        <v/>
      </c>
      <c r="V686" s="0" t="str">
        <f aca="false">IF(U686="","",COUNTIFS($I$2:$I$1201,1,$U$2:$U$1201,"&lt;"&amp;U686)+1)</f>
        <v/>
      </c>
    </row>
    <row r="687" customFormat="false" ht="15" hidden="false" customHeight="false" outlineLevel="0" collapsed="false">
      <c r="A687" s="0" t="n">
        <v>12</v>
      </c>
      <c r="B687" s="0" t="n">
        <v>26</v>
      </c>
      <c r="C687" s="0" t="str">
        <f aca="false">TRIM(SUBSTITUTE(INDEX(LISTAS!$A$4:$T$63,B687,A687)&amp;"",CHAR(160)," "))</f>
        <v/>
      </c>
      <c r="D687" s="0" t="str">
        <f aca="false">IF(C687="","",TRIM(RIGHT(SUBSTITUTE(C687," ",REPT(" ",100)),100)))</f>
        <v/>
      </c>
      <c r="E687" s="0" t="str">
        <f aca="false">IF(D687="","",UPPER(SUBSTITUTE(SUBSTITUTE(D687,"(",""),")","")))</f>
        <v/>
      </c>
      <c r="F687" s="0" t="str">
        <f aca="false">IF(C687="","",LEFT(C687,FIND(" ",C687&amp;" ")-1))</f>
        <v/>
      </c>
      <c r="G687" s="0" t="n">
        <f aca="false">IFERROR(VALUE(SUBSTITUTE(LOWER(F687),"x","")),0)</f>
        <v>0</v>
      </c>
      <c r="H687" s="0" t="str">
        <f aca="false">IF(C687="","",TRIM(MID(C687,LEN(F687)+2,999)))</f>
        <v/>
      </c>
      <c r="I687" s="0" t="n">
        <f aca="false">IF(OR(C687="",LEFT(C687,2)="//"),0,IFERROR(IF(AND(G687&gt;0,G687=INT(G687),FIND("-",E687)&gt;1,NOT(EXACT(UPPER(LEFT(E687,1)),LOWER(LEFT(E687,1)))),ISNUMBER(VALUE(MID(E687,FIND("-",E687)+1,10)))),1,0),0))</f>
        <v>0</v>
      </c>
      <c r="J687" s="0" t="str">
        <f aca="false">IF(I687=1,TRIM(LEFT(H687,MAX(0,LEN(H687)-LEN(D687)))),"")</f>
        <v/>
      </c>
      <c r="K687" s="0" t="str">
        <f aca="false">INDEX($P$2:$P$21,A687)</f>
        <v>Deck 12</v>
      </c>
      <c r="L687" s="0" t="n">
        <f aca="false">IF(AND(C687&lt;&gt;"",LEFT(C687,2)&lt;&gt;"//",I687=0),1,0)</f>
        <v>0</v>
      </c>
      <c r="M687" s="0" t="str">
        <f aca="false">IF(I687=1,MAX(M$1:M686)+1,"")</f>
        <v/>
      </c>
      <c r="N687" s="0" t="str">
        <f aca="false">IFERROR(MATCH(ROW()-1,$V$2:$V$1201,0),"")</f>
        <v/>
      </c>
      <c r="R687" s="0" t="str">
        <f aca="false">IF(E687="","",IFERROR(LEFT(E687,FIND("-",E687)-1),E687))</f>
        <v/>
      </c>
      <c r="S687" s="0" t="str">
        <f aca="false">IF(R687="","",IF(ISNUMBER(--MID(R687,1,1)),0,IF(ISNUMBER(--MID(R687,2,1)),1,IF(ISNUMBER(--MID(R687,3,1)),2,IF(ISNUMBER(--MID(R687,4,1)),3,MIN(LEN(R687),4))))))</f>
        <v/>
      </c>
      <c r="T687" s="0" t="str">
        <f aca="false">IF(E687="","",LEFT(R687,S687)&amp;REPT("0",4-S687)&amp;RIGHT("000"&amp;IFERROR(VALUE(MID(R687,S687+1,9)),0),3)&amp;RIGHT("0000"&amp;IFERROR(VALUE(MID(E687,FIND("-",E687)+1,9)),0),4))</f>
        <v/>
      </c>
      <c r="U687" s="0" t="str">
        <f aca="false">IF(I687=1,"K"&amp;RIGHT("00"&amp;A687,2)&amp;T687&amp;RIGHT("00000"&amp;ROW(),5),"")</f>
        <v/>
      </c>
      <c r="V687" s="0" t="str">
        <f aca="false">IF(U687="","",COUNTIFS($I$2:$I$1201,1,$U$2:$U$1201,"&lt;"&amp;U687)+1)</f>
        <v/>
      </c>
    </row>
    <row r="688" customFormat="false" ht="15" hidden="false" customHeight="false" outlineLevel="0" collapsed="false">
      <c r="A688" s="0" t="n">
        <v>12</v>
      </c>
      <c r="B688" s="0" t="n">
        <v>27</v>
      </c>
      <c r="C688" s="0" t="str">
        <f aca="false">TRIM(SUBSTITUTE(INDEX(LISTAS!$A$4:$T$63,B688,A688)&amp;"",CHAR(160)," "))</f>
        <v/>
      </c>
      <c r="D688" s="0" t="str">
        <f aca="false">IF(C688="","",TRIM(RIGHT(SUBSTITUTE(C688," ",REPT(" ",100)),100)))</f>
        <v/>
      </c>
      <c r="E688" s="0" t="str">
        <f aca="false">IF(D688="","",UPPER(SUBSTITUTE(SUBSTITUTE(D688,"(",""),")","")))</f>
        <v/>
      </c>
      <c r="F688" s="0" t="str">
        <f aca="false">IF(C688="","",LEFT(C688,FIND(" ",C688&amp;" ")-1))</f>
        <v/>
      </c>
      <c r="G688" s="0" t="n">
        <f aca="false">IFERROR(VALUE(SUBSTITUTE(LOWER(F688),"x","")),0)</f>
        <v>0</v>
      </c>
      <c r="H688" s="0" t="str">
        <f aca="false">IF(C688="","",TRIM(MID(C688,LEN(F688)+2,999)))</f>
        <v/>
      </c>
      <c r="I688" s="0" t="n">
        <f aca="false">IF(OR(C688="",LEFT(C688,2)="//"),0,IFERROR(IF(AND(G688&gt;0,G688=INT(G688),FIND("-",E688)&gt;1,NOT(EXACT(UPPER(LEFT(E688,1)),LOWER(LEFT(E688,1)))),ISNUMBER(VALUE(MID(E688,FIND("-",E688)+1,10)))),1,0),0))</f>
        <v>0</v>
      </c>
      <c r="J688" s="0" t="str">
        <f aca="false">IF(I688=1,TRIM(LEFT(H688,MAX(0,LEN(H688)-LEN(D688)))),"")</f>
        <v/>
      </c>
      <c r="K688" s="0" t="str">
        <f aca="false">INDEX($P$2:$P$21,A688)</f>
        <v>Deck 12</v>
      </c>
      <c r="L688" s="0" t="n">
        <f aca="false">IF(AND(C688&lt;&gt;"",LEFT(C688,2)&lt;&gt;"//",I688=0),1,0)</f>
        <v>0</v>
      </c>
      <c r="M688" s="0" t="str">
        <f aca="false">IF(I688=1,MAX(M$1:M687)+1,"")</f>
        <v/>
      </c>
      <c r="N688" s="0" t="str">
        <f aca="false">IFERROR(MATCH(ROW()-1,$V$2:$V$1201,0),"")</f>
        <v/>
      </c>
      <c r="R688" s="0" t="str">
        <f aca="false">IF(E688="","",IFERROR(LEFT(E688,FIND("-",E688)-1),E688))</f>
        <v/>
      </c>
      <c r="S688" s="0" t="str">
        <f aca="false">IF(R688="","",IF(ISNUMBER(--MID(R688,1,1)),0,IF(ISNUMBER(--MID(R688,2,1)),1,IF(ISNUMBER(--MID(R688,3,1)),2,IF(ISNUMBER(--MID(R688,4,1)),3,MIN(LEN(R688),4))))))</f>
        <v/>
      </c>
      <c r="T688" s="0" t="str">
        <f aca="false">IF(E688="","",LEFT(R688,S688)&amp;REPT("0",4-S688)&amp;RIGHT("000"&amp;IFERROR(VALUE(MID(R688,S688+1,9)),0),3)&amp;RIGHT("0000"&amp;IFERROR(VALUE(MID(E688,FIND("-",E688)+1,9)),0),4))</f>
        <v/>
      </c>
      <c r="U688" s="0" t="str">
        <f aca="false">IF(I688=1,"K"&amp;RIGHT("00"&amp;A688,2)&amp;T688&amp;RIGHT("00000"&amp;ROW(),5),"")</f>
        <v/>
      </c>
      <c r="V688" s="0" t="str">
        <f aca="false">IF(U688="","",COUNTIFS($I$2:$I$1201,1,$U$2:$U$1201,"&lt;"&amp;U688)+1)</f>
        <v/>
      </c>
    </row>
    <row r="689" customFormat="false" ht="15" hidden="false" customHeight="false" outlineLevel="0" collapsed="false">
      <c r="A689" s="0" t="n">
        <v>12</v>
      </c>
      <c r="B689" s="0" t="n">
        <v>28</v>
      </c>
      <c r="C689" s="0" t="str">
        <f aca="false">TRIM(SUBSTITUTE(INDEX(LISTAS!$A$4:$T$63,B689,A689)&amp;"",CHAR(160)," "))</f>
        <v/>
      </c>
      <c r="D689" s="0" t="str">
        <f aca="false">IF(C689="","",TRIM(RIGHT(SUBSTITUTE(C689," ",REPT(" ",100)),100)))</f>
        <v/>
      </c>
      <c r="E689" s="0" t="str">
        <f aca="false">IF(D689="","",UPPER(SUBSTITUTE(SUBSTITUTE(D689,"(",""),")","")))</f>
        <v/>
      </c>
      <c r="F689" s="0" t="str">
        <f aca="false">IF(C689="","",LEFT(C689,FIND(" ",C689&amp;" ")-1))</f>
        <v/>
      </c>
      <c r="G689" s="0" t="n">
        <f aca="false">IFERROR(VALUE(SUBSTITUTE(LOWER(F689),"x","")),0)</f>
        <v>0</v>
      </c>
      <c r="H689" s="0" t="str">
        <f aca="false">IF(C689="","",TRIM(MID(C689,LEN(F689)+2,999)))</f>
        <v/>
      </c>
      <c r="I689" s="0" t="n">
        <f aca="false">IF(OR(C689="",LEFT(C689,2)="//"),0,IFERROR(IF(AND(G689&gt;0,G689=INT(G689),FIND("-",E689)&gt;1,NOT(EXACT(UPPER(LEFT(E689,1)),LOWER(LEFT(E689,1)))),ISNUMBER(VALUE(MID(E689,FIND("-",E689)+1,10)))),1,0),0))</f>
        <v>0</v>
      </c>
      <c r="J689" s="0" t="str">
        <f aca="false">IF(I689=1,TRIM(LEFT(H689,MAX(0,LEN(H689)-LEN(D689)))),"")</f>
        <v/>
      </c>
      <c r="K689" s="0" t="str">
        <f aca="false">INDEX($P$2:$P$21,A689)</f>
        <v>Deck 12</v>
      </c>
      <c r="L689" s="0" t="n">
        <f aca="false">IF(AND(C689&lt;&gt;"",LEFT(C689,2)&lt;&gt;"//",I689=0),1,0)</f>
        <v>0</v>
      </c>
      <c r="M689" s="0" t="str">
        <f aca="false">IF(I689=1,MAX(M$1:M688)+1,"")</f>
        <v/>
      </c>
      <c r="N689" s="0" t="str">
        <f aca="false">IFERROR(MATCH(ROW()-1,$V$2:$V$1201,0),"")</f>
        <v/>
      </c>
      <c r="R689" s="0" t="str">
        <f aca="false">IF(E689="","",IFERROR(LEFT(E689,FIND("-",E689)-1),E689))</f>
        <v/>
      </c>
      <c r="S689" s="0" t="str">
        <f aca="false">IF(R689="","",IF(ISNUMBER(--MID(R689,1,1)),0,IF(ISNUMBER(--MID(R689,2,1)),1,IF(ISNUMBER(--MID(R689,3,1)),2,IF(ISNUMBER(--MID(R689,4,1)),3,MIN(LEN(R689),4))))))</f>
        <v/>
      </c>
      <c r="T689" s="0" t="str">
        <f aca="false">IF(E689="","",LEFT(R689,S689)&amp;REPT("0",4-S689)&amp;RIGHT("000"&amp;IFERROR(VALUE(MID(R689,S689+1,9)),0),3)&amp;RIGHT("0000"&amp;IFERROR(VALUE(MID(E689,FIND("-",E689)+1,9)),0),4))</f>
        <v/>
      </c>
      <c r="U689" s="0" t="str">
        <f aca="false">IF(I689=1,"K"&amp;RIGHT("00"&amp;A689,2)&amp;T689&amp;RIGHT("00000"&amp;ROW(),5),"")</f>
        <v/>
      </c>
      <c r="V689" s="0" t="str">
        <f aca="false">IF(U689="","",COUNTIFS($I$2:$I$1201,1,$U$2:$U$1201,"&lt;"&amp;U689)+1)</f>
        <v/>
      </c>
    </row>
    <row r="690" customFormat="false" ht="15" hidden="false" customHeight="false" outlineLevel="0" collapsed="false">
      <c r="A690" s="0" t="n">
        <v>12</v>
      </c>
      <c r="B690" s="0" t="n">
        <v>29</v>
      </c>
      <c r="C690" s="0" t="str">
        <f aca="false">TRIM(SUBSTITUTE(INDEX(LISTAS!$A$4:$T$63,B690,A690)&amp;"",CHAR(160)," "))</f>
        <v/>
      </c>
      <c r="D690" s="0" t="str">
        <f aca="false">IF(C690="","",TRIM(RIGHT(SUBSTITUTE(C690," ",REPT(" ",100)),100)))</f>
        <v/>
      </c>
      <c r="E690" s="0" t="str">
        <f aca="false">IF(D690="","",UPPER(SUBSTITUTE(SUBSTITUTE(D690,"(",""),")","")))</f>
        <v/>
      </c>
      <c r="F690" s="0" t="str">
        <f aca="false">IF(C690="","",LEFT(C690,FIND(" ",C690&amp;" ")-1))</f>
        <v/>
      </c>
      <c r="G690" s="0" t="n">
        <f aca="false">IFERROR(VALUE(SUBSTITUTE(LOWER(F690),"x","")),0)</f>
        <v>0</v>
      </c>
      <c r="H690" s="0" t="str">
        <f aca="false">IF(C690="","",TRIM(MID(C690,LEN(F690)+2,999)))</f>
        <v/>
      </c>
      <c r="I690" s="0" t="n">
        <f aca="false">IF(OR(C690="",LEFT(C690,2)="//"),0,IFERROR(IF(AND(G690&gt;0,G690=INT(G690),FIND("-",E690)&gt;1,NOT(EXACT(UPPER(LEFT(E690,1)),LOWER(LEFT(E690,1)))),ISNUMBER(VALUE(MID(E690,FIND("-",E690)+1,10)))),1,0),0))</f>
        <v>0</v>
      </c>
      <c r="J690" s="0" t="str">
        <f aca="false">IF(I690=1,TRIM(LEFT(H690,MAX(0,LEN(H690)-LEN(D690)))),"")</f>
        <v/>
      </c>
      <c r="K690" s="0" t="str">
        <f aca="false">INDEX($P$2:$P$21,A690)</f>
        <v>Deck 12</v>
      </c>
      <c r="L690" s="0" t="n">
        <f aca="false">IF(AND(C690&lt;&gt;"",LEFT(C690,2)&lt;&gt;"//",I690=0),1,0)</f>
        <v>0</v>
      </c>
      <c r="M690" s="0" t="str">
        <f aca="false">IF(I690=1,MAX(M$1:M689)+1,"")</f>
        <v/>
      </c>
      <c r="N690" s="0" t="str">
        <f aca="false">IFERROR(MATCH(ROW()-1,$V$2:$V$1201,0),"")</f>
        <v/>
      </c>
      <c r="R690" s="0" t="str">
        <f aca="false">IF(E690="","",IFERROR(LEFT(E690,FIND("-",E690)-1),E690))</f>
        <v/>
      </c>
      <c r="S690" s="0" t="str">
        <f aca="false">IF(R690="","",IF(ISNUMBER(--MID(R690,1,1)),0,IF(ISNUMBER(--MID(R690,2,1)),1,IF(ISNUMBER(--MID(R690,3,1)),2,IF(ISNUMBER(--MID(R690,4,1)),3,MIN(LEN(R690),4))))))</f>
        <v/>
      </c>
      <c r="T690" s="0" t="str">
        <f aca="false">IF(E690="","",LEFT(R690,S690)&amp;REPT("0",4-S690)&amp;RIGHT("000"&amp;IFERROR(VALUE(MID(R690,S690+1,9)),0),3)&amp;RIGHT("0000"&amp;IFERROR(VALUE(MID(E690,FIND("-",E690)+1,9)),0),4))</f>
        <v/>
      </c>
      <c r="U690" s="0" t="str">
        <f aca="false">IF(I690=1,"K"&amp;RIGHT("00"&amp;A690,2)&amp;T690&amp;RIGHT("00000"&amp;ROW(),5),"")</f>
        <v/>
      </c>
      <c r="V690" s="0" t="str">
        <f aca="false">IF(U690="","",COUNTIFS($I$2:$I$1201,1,$U$2:$U$1201,"&lt;"&amp;U690)+1)</f>
        <v/>
      </c>
    </row>
    <row r="691" customFormat="false" ht="15" hidden="false" customHeight="false" outlineLevel="0" collapsed="false">
      <c r="A691" s="0" t="n">
        <v>12</v>
      </c>
      <c r="B691" s="0" t="n">
        <v>30</v>
      </c>
      <c r="C691" s="0" t="str">
        <f aca="false">TRIM(SUBSTITUTE(INDEX(LISTAS!$A$4:$T$63,B691,A691)&amp;"",CHAR(160)," "))</f>
        <v/>
      </c>
      <c r="D691" s="0" t="str">
        <f aca="false">IF(C691="","",TRIM(RIGHT(SUBSTITUTE(C691," ",REPT(" ",100)),100)))</f>
        <v/>
      </c>
      <c r="E691" s="0" t="str">
        <f aca="false">IF(D691="","",UPPER(SUBSTITUTE(SUBSTITUTE(D691,"(",""),")","")))</f>
        <v/>
      </c>
      <c r="F691" s="0" t="str">
        <f aca="false">IF(C691="","",LEFT(C691,FIND(" ",C691&amp;" ")-1))</f>
        <v/>
      </c>
      <c r="G691" s="0" t="n">
        <f aca="false">IFERROR(VALUE(SUBSTITUTE(LOWER(F691),"x","")),0)</f>
        <v>0</v>
      </c>
      <c r="H691" s="0" t="str">
        <f aca="false">IF(C691="","",TRIM(MID(C691,LEN(F691)+2,999)))</f>
        <v/>
      </c>
      <c r="I691" s="0" t="n">
        <f aca="false">IF(OR(C691="",LEFT(C691,2)="//"),0,IFERROR(IF(AND(G691&gt;0,G691=INT(G691),FIND("-",E691)&gt;1,NOT(EXACT(UPPER(LEFT(E691,1)),LOWER(LEFT(E691,1)))),ISNUMBER(VALUE(MID(E691,FIND("-",E691)+1,10)))),1,0),0))</f>
        <v>0</v>
      </c>
      <c r="J691" s="0" t="str">
        <f aca="false">IF(I691=1,TRIM(LEFT(H691,MAX(0,LEN(H691)-LEN(D691)))),"")</f>
        <v/>
      </c>
      <c r="K691" s="0" t="str">
        <f aca="false">INDEX($P$2:$P$21,A691)</f>
        <v>Deck 12</v>
      </c>
      <c r="L691" s="0" t="n">
        <f aca="false">IF(AND(C691&lt;&gt;"",LEFT(C691,2)&lt;&gt;"//",I691=0),1,0)</f>
        <v>0</v>
      </c>
      <c r="M691" s="0" t="str">
        <f aca="false">IF(I691=1,MAX(M$1:M690)+1,"")</f>
        <v/>
      </c>
      <c r="N691" s="0" t="str">
        <f aca="false">IFERROR(MATCH(ROW()-1,$V$2:$V$1201,0),"")</f>
        <v/>
      </c>
      <c r="R691" s="0" t="str">
        <f aca="false">IF(E691="","",IFERROR(LEFT(E691,FIND("-",E691)-1),E691))</f>
        <v/>
      </c>
      <c r="S691" s="0" t="str">
        <f aca="false">IF(R691="","",IF(ISNUMBER(--MID(R691,1,1)),0,IF(ISNUMBER(--MID(R691,2,1)),1,IF(ISNUMBER(--MID(R691,3,1)),2,IF(ISNUMBER(--MID(R691,4,1)),3,MIN(LEN(R691),4))))))</f>
        <v/>
      </c>
      <c r="T691" s="0" t="str">
        <f aca="false">IF(E691="","",LEFT(R691,S691)&amp;REPT("0",4-S691)&amp;RIGHT("000"&amp;IFERROR(VALUE(MID(R691,S691+1,9)),0),3)&amp;RIGHT("0000"&amp;IFERROR(VALUE(MID(E691,FIND("-",E691)+1,9)),0),4))</f>
        <v/>
      </c>
      <c r="U691" s="0" t="str">
        <f aca="false">IF(I691=1,"K"&amp;RIGHT("00"&amp;A691,2)&amp;T691&amp;RIGHT("00000"&amp;ROW(),5),"")</f>
        <v/>
      </c>
      <c r="V691" s="0" t="str">
        <f aca="false">IF(U691="","",COUNTIFS($I$2:$I$1201,1,$U$2:$U$1201,"&lt;"&amp;U691)+1)</f>
        <v/>
      </c>
    </row>
    <row r="692" customFormat="false" ht="15" hidden="false" customHeight="false" outlineLevel="0" collapsed="false">
      <c r="A692" s="0" t="n">
        <v>12</v>
      </c>
      <c r="B692" s="0" t="n">
        <v>31</v>
      </c>
      <c r="C692" s="0" t="str">
        <f aca="false">TRIM(SUBSTITUTE(INDEX(LISTAS!$A$4:$T$63,B692,A692)&amp;"",CHAR(160)," "))</f>
        <v/>
      </c>
      <c r="D692" s="0" t="str">
        <f aca="false">IF(C692="","",TRIM(RIGHT(SUBSTITUTE(C692," ",REPT(" ",100)),100)))</f>
        <v/>
      </c>
      <c r="E692" s="0" t="str">
        <f aca="false">IF(D692="","",UPPER(SUBSTITUTE(SUBSTITUTE(D692,"(",""),")","")))</f>
        <v/>
      </c>
      <c r="F692" s="0" t="str">
        <f aca="false">IF(C692="","",LEFT(C692,FIND(" ",C692&amp;" ")-1))</f>
        <v/>
      </c>
      <c r="G692" s="0" t="n">
        <f aca="false">IFERROR(VALUE(SUBSTITUTE(LOWER(F692),"x","")),0)</f>
        <v>0</v>
      </c>
      <c r="H692" s="0" t="str">
        <f aca="false">IF(C692="","",TRIM(MID(C692,LEN(F692)+2,999)))</f>
        <v/>
      </c>
      <c r="I692" s="0" t="n">
        <f aca="false">IF(OR(C692="",LEFT(C692,2)="//"),0,IFERROR(IF(AND(G692&gt;0,G692=INT(G692),FIND("-",E692)&gt;1,NOT(EXACT(UPPER(LEFT(E692,1)),LOWER(LEFT(E692,1)))),ISNUMBER(VALUE(MID(E692,FIND("-",E692)+1,10)))),1,0),0))</f>
        <v>0</v>
      </c>
      <c r="J692" s="0" t="str">
        <f aca="false">IF(I692=1,TRIM(LEFT(H692,MAX(0,LEN(H692)-LEN(D692)))),"")</f>
        <v/>
      </c>
      <c r="K692" s="0" t="str">
        <f aca="false">INDEX($P$2:$P$21,A692)</f>
        <v>Deck 12</v>
      </c>
      <c r="L692" s="0" t="n">
        <f aca="false">IF(AND(C692&lt;&gt;"",LEFT(C692,2)&lt;&gt;"//",I692=0),1,0)</f>
        <v>0</v>
      </c>
      <c r="M692" s="0" t="str">
        <f aca="false">IF(I692=1,MAX(M$1:M691)+1,"")</f>
        <v/>
      </c>
      <c r="N692" s="0" t="str">
        <f aca="false">IFERROR(MATCH(ROW()-1,$V$2:$V$1201,0),"")</f>
        <v/>
      </c>
      <c r="R692" s="0" t="str">
        <f aca="false">IF(E692="","",IFERROR(LEFT(E692,FIND("-",E692)-1),E692))</f>
        <v/>
      </c>
      <c r="S692" s="0" t="str">
        <f aca="false">IF(R692="","",IF(ISNUMBER(--MID(R692,1,1)),0,IF(ISNUMBER(--MID(R692,2,1)),1,IF(ISNUMBER(--MID(R692,3,1)),2,IF(ISNUMBER(--MID(R692,4,1)),3,MIN(LEN(R692),4))))))</f>
        <v/>
      </c>
      <c r="T692" s="0" t="str">
        <f aca="false">IF(E692="","",LEFT(R692,S692)&amp;REPT("0",4-S692)&amp;RIGHT("000"&amp;IFERROR(VALUE(MID(R692,S692+1,9)),0),3)&amp;RIGHT("0000"&amp;IFERROR(VALUE(MID(E692,FIND("-",E692)+1,9)),0),4))</f>
        <v/>
      </c>
      <c r="U692" s="0" t="str">
        <f aca="false">IF(I692=1,"K"&amp;RIGHT("00"&amp;A692,2)&amp;T692&amp;RIGHT("00000"&amp;ROW(),5),"")</f>
        <v/>
      </c>
      <c r="V692" s="0" t="str">
        <f aca="false">IF(U692="","",COUNTIFS($I$2:$I$1201,1,$U$2:$U$1201,"&lt;"&amp;U692)+1)</f>
        <v/>
      </c>
    </row>
    <row r="693" customFormat="false" ht="15" hidden="false" customHeight="false" outlineLevel="0" collapsed="false">
      <c r="A693" s="0" t="n">
        <v>12</v>
      </c>
      <c r="B693" s="0" t="n">
        <v>32</v>
      </c>
      <c r="C693" s="0" t="str">
        <f aca="false">TRIM(SUBSTITUTE(INDEX(LISTAS!$A$4:$T$63,B693,A693)&amp;"",CHAR(160)," "))</f>
        <v/>
      </c>
      <c r="D693" s="0" t="str">
        <f aca="false">IF(C693="","",TRIM(RIGHT(SUBSTITUTE(C693," ",REPT(" ",100)),100)))</f>
        <v/>
      </c>
      <c r="E693" s="0" t="str">
        <f aca="false">IF(D693="","",UPPER(SUBSTITUTE(SUBSTITUTE(D693,"(",""),")","")))</f>
        <v/>
      </c>
      <c r="F693" s="0" t="str">
        <f aca="false">IF(C693="","",LEFT(C693,FIND(" ",C693&amp;" ")-1))</f>
        <v/>
      </c>
      <c r="G693" s="0" t="n">
        <f aca="false">IFERROR(VALUE(SUBSTITUTE(LOWER(F693),"x","")),0)</f>
        <v>0</v>
      </c>
      <c r="H693" s="0" t="str">
        <f aca="false">IF(C693="","",TRIM(MID(C693,LEN(F693)+2,999)))</f>
        <v/>
      </c>
      <c r="I693" s="0" t="n">
        <f aca="false">IF(OR(C693="",LEFT(C693,2)="//"),0,IFERROR(IF(AND(G693&gt;0,G693=INT(G693),FIND("-",E693)&gt;1,NOT(EXACT(UPPER(LEFT(E693,1)),LOWER(LEFT(E693,1)))),ISNUMBER(VALUE(MID(E693,FIND("-",E693)+1,10)))),1,0),0))</f>
        <v>0</v>
      </c>
      <c r="J693" s="0" t="str">
        <f aca="false">IF(I693=1,TRIM(LEFT(H693,MAX(0,LEN(H693)-LEN(D693)))),"")</f>
        <v/>
      </c>
      <c r="K693" s="0" t="str">
        <f aca="false">INDEX($P$2:$P$21,A693)</f>
        <v>Deck 12</v>
      </c>
      <c r="L693" s="0" t="n">
        <f aca="false">IF(AND(C693&lt;&gt;"",LEFT(C693,2)&lt;&gt;"//",I693=0),1,0)</f>
        <v>0</v>
      </c>
      <c r="M693" s="0" t="str">
        <f aca="false">IF(I693=1,MAX(M$1:M692)+1,"")</f>
        <v/>
      </c>
      <c r="N693" s="0" t="str">
        <f aca="false">IFERROR(MATCH(ROW()-1,$V$2:$V$1201,0),"")</f>
        <v/>
      </c>
      <c r="R693" s="0" t="str">
        <f aca="false">IF(E693="","",IFERROR(LEFT(E693,FIND("-",E693)-1),E693))</f>
        <v/>
      </c>
      <c r="S693" s="0" t="str">
        <f aca="false">IF(R693="","",IF(ISNUMBER(--MID(R693,1,1)),0,IF(ISNUMBER(--MID(R693,2,1)),1,IF(ISNUMBER(--MID(R693,3,1)),2,IF(ISNUMBER(--MID(R693,4,1)),3,MIN(LEN(R693),4))))))</f>
        <v/>
      </c>
      <c r="T693" s="0" t="str">
        <f aca="false">IF(E693="","",LEFT(R693,S693)&amp;REPT("0",4-S693)&amp;RIGHT("000"&amp;IFERROR(VALUE(MID(R693,S693+1,9)),0),3)&amp;RIGHT("0000"&amp;IFERROR(VALUE(MID(E693,FIND("-",E693)+1,9)),0),4))</f>
        <v/>
      </c>
      <c r="U693" s="0" t="str">
        <f aca="false">IF(I693=1,"K"&amp;RIGHT("00"&amp;A693,2)&amp;T693&amp;RIGHT("00000"&amp;ROW(),5),"")</f>
        <v/>
      </c>
      <c r="V693" s="0" t="str">
        <f aca="false">IF(U693="","",COUNTIFS($I$2:$I$1201,1,$U$2:$U$1201,"&lt;"&amp;U693)+1)</f>
        <v/>
      </c>
    </row>
    <row r="694" customFormat="false" ht="15" hidden="false" customHeight="false" outlineLevel="0" collapsed="false">
      <c r="A694" s="0" t="n">
        <v>12</v>
      </c>
      <c r="B694" s="0" t="n">
        <v>33</v>
      </c>
      <c r="C694" s="0" t="str">
        <f aca="false">TRIM(SUBSTITUTE(INDEX(LISTAS!$A$4:$T$63,B694,A694)&amp;"",CHAR(160)," "))</f>
        <v/>
      </c>
      <c r="D694" s="0" t="str">
        <f aca="false">IF(C694="","",TRIM(RIGHT(SUBSTITUTE(C694," ",REPT(" ",100)),100)))</f>
        <v/>
      </c>
      <c r="E694" s="0" t="str">
        <f aca="false">IF(D694="","",UPPER(SUBSTITUTE(SUBSTITUTE(D694,"(",""),")","")))</f>
        <v/>
      </c>
      <c r="F694" s="0" t="str">
        <f aca="false">IF(C694="","",LEFT(C694,FIND(" ",C694&amp;" ")-1))</f>
        <v/>
      </c>
      <c r="G694" s="0" t="n">
        <f aca="false">IFERROR(VALUE(SUBSTITUTE(LOWER(F694),"x","")),0)</f>
        <v>0</v>
      </c>
      <c r="H694" s="0" t="str">
        <f aca="false">IF(C694="","",TRIM(MID(C694,LEN(F694)+2,999)))</f>
        <v/>
      </c>
      <c r="I694" s="0" t="n">
        <f aca="false">IF(OR(C694="",LEFT(C694,2)="//"),0,IFERROR(IF(AND(G694&gt;0,G694=INT(G694),FIND("-",E694)&gt;1,NOT(EXACT(UPPER(LEFT(E694,1)),LOWER(LEFT(E694,1)))),ISNUMBER(VALUE(MID(E694,FIND("-",E694)+1,10)))),1,0),0))</f>
        <v>0</v>
      </c>
      <c r="J694" s="0" t="str">
        <f aca="false">IF(I694=1,TRIM(LEFT(H694,MAX(0,LEN(H694)-LEN(D694)))),"")</f>
        <v/>
      </c>
      <c r="K694" s="0" t="str">
        <f aca="false">INDEX($P$2:$P$21,A694)</f>
        <v>Deck 12</v>
      </c>
      <c r="L694" s="0" t="n">
        <f aca="false">IF(AND(C694&lt;&gt;"",LEFT(C694,2)&lt;&gt;"//",I694=0),1,0)</f>
        <v>0</v>
      </c>
      <c r="M694" s="0" t="str">
        <f aca="false">IF(I694=1,MAX(M$1:M693)+1,"")</f>
        <v/>
      </c>
      <c r="N694" s="0" t="str">
        <f aca="false">IFERROR(MATCH(ROW()-1,$V$2:$V$1201,0),"")</f>
        <v/>
      </c>
      <c r="R694" s="0" t="str">
        <f aca="false">IF(E694="","",IFERROR(LEFT(E694,FIND("-",E694)-1),E694))</f>
        <v/>
      </c>
      <c r="S694" s="0" t="str">
        <f aca="false">IF(R694="","",IF(ISNUMBER(--MID(R694,1,1)),0,IF(ISNUMBER(--MID(R694,2,1)),1,IF(ISNUMBER(--MID(R694,3,1)),2,IF(ISNUMBER(--MID(R694,4,1)),3,MIN(LEN(R694),4))))))</f>
        <v/>
      </c>
      <c r="T694" s="0" t="str">
        <f aca="false">IF(E694="","",LEFT(R694,S694)&amp;REPT("0",4-S694)&amp;RIGHT("000"&amp;IFERROR(VALUE(MID(R694,S694+1,9)),0),3)&amp;RIGHT("0000"&amp;IFERROR(VALUE(MID(E694,FIND("-",E694)+1,9)),0),4))</f>
        <v/>
      </c>
      <c r="U694" s="0" t="str">
        <f aca="false">IF(I694=1,"K"&amp;RIGHT("00"&amp;A694,2)&amp;T694&amp;RIGHT("00000"&amp;ROW(),5),"")</f>
        <v/>
      </c>
      <c r="V694" s="0" t="str">
        <f aca="false">IF(U694="","",COUNTIFS($I$2:$I$1201,1,$U$2:$U$1201,"&lt;"&amp;U694)+1)</f>
        <v/>
      </c>
    </row>
    <row r="695" customFormat="false" ht="15" hidden="false" customHeight="false" outlineLevel="0" collapsed="false">
      <c r="A695" s="0" t="n">
        <v>12</v>
      </c>
      <c r="B695" s="0" t="n">
        <v>34</v>
      </c>
      <c r="C695" s="0" t="str">
        <f aca="false">TRIM(SUBSTITUTE(INDEX(LISTAS!$A$4:$T$63,B695,A695)&amp;"",CHAR(160)," "))</f>
        <v/>
      </c>
      <c r="D695" s="0" t="str">
        <f aca="false">IF(C695="","",TRIM(RIGHT(SUBSTITUTE(C695," ",REPT(" ",100)),100)))</f>
        <v/>
      </c>
      <c r="E695" s="0" t="str">
        <f aca="false">IF(D695="","",UPPER(SUBSTITUTE(SUBSTITUTE(D695,"(",""),")","")))</f>
        <v/>
      </c>
      <c r="F695" s="0" t="str">
        <f aca="false">IF(C695="","",LEFT(C695,FIND(" ",C695&amp;" ")-1))</f>
        <v/>
      </c>
      <c r="G695" s="0" t="n">
        <f aca="false">IFERROR(VALUE(SUBSTITUTE(LOWER(F695),"x","")),0)</f>
        <v>0</v>
      </c>
      <c r="H695" s="0" t="str">
        <f aca="false">IF(C695="","",TRIM(MID(C695,LEN(F695)+2,999)))</f>
        <v/>
      </c>
      <c r="I695" s="0" t="n">
        <f aca="false">IF(OR(C695="",LEFT(C695,2)="//"),0,IFERROR(IF(AND(G695&gt;0,G695=INT(G695),FIND("-",E695)&gt;1,NOT(EXACT(UPPER(LEFT(E695,1)),LOWER(LEFT(E695,1)))),ISNUMBER(VALUE(MID(E695,FIND("-",E695)+1,10)))),1,0),0))</f>
        <v>0</v>
      </c>
      <c r="J695" s="0" t="str">
        <f aca="false">IF(I695=1,TRIM(LEFT(H695,MAX(0,LEN(H695)-LEN(D695)))),"")</f>
        <v/>
      </c>
      <c r="K695" s="0" t="str">
        <f aca="false">INDEX($P$2:$P$21,A695)</f>
        <v>Deck 12</v>
      </c>
      <c r="L695" s="0" t="n">
        <f aca="false">IF(AND(C695&lt;&gt;"",LEFT(C695,2)&lt;&gt;"//",I695=0),1,0)</f>
        <v>0</v>
      </c>
      <c r="M695" s="0" t="str">
        <f aca="false">IF(I695=1,MAX(M$1:M694)+1,"")</f>
        <v/>
      </c>
      <c r="N695" s="0" t="str">
        <f aca="false">IFERROR(MATCH(ROW()-1,$V$2:$V$1201,0),"")</f>
        <v/>
      </c>
      <c r="R695" s="0" t="str">
        <f aca="false">IF(E695="","",IFERROR(LEFT(E695,FIND("-",E695)-1),E695))</f>
        <v/>
      </c>
      <c r="S695" s="0" t="str">
        <f aca="false">IF(R695="","",IF(ISNUMBER(--MID(R695,1,1)),0,IF(ISNUMBER(--MID(R695,2,1)),1,IF(ISNUMBER(--MID(R695,3,1)),2,IF(ISNUMBER(--MID(R695,4,1)),3,MIN(LEN(R695),4))))))</f>
        <v/>
      </c>
      <c r="T695" s="0" t="str">
        <f aca="false">IF(E695="","",LEFT(R695,S695)&amp;REPT("0",4-S695)&amp;RIGHT("000"&amp;IFERROR(VALUE(MID(R695,S695+1,9)),0),3)&amp;RIGHT("0000"&amp;IFERROR(VALUE(MID(E695,FIND("-",E695)+1,9)),0),4))</f>
        <v/>
      </c>
      <c r="U695" s="0" t="str">
        <f aca="false">IF(I695=1,"K"&amp;RIGHT("00"&amp;A695,2)&amp;T695&amp;RIGHT("00000"&amp;ROW(),5),"")</f>
        <v/>
      </c>
      <c r="V695" s="0" t="str">
        <f aca="false">IF(U695="","",COUNTIFS($I$2:$I$1201,1,$U$2:$U$1201,"&lt;"&amp;U695)+1)</f>
        <v/>
      </c>
    </row>
    <row r="696" customFormat="false" ht="15" hidden="false" customHeight="false" outlineLevel="0" collapsed="false">
      <c r="A696" s="0" t="n">
        <v>12</v>
      </c>
      <c r="B696" s="0" t="n">
        <v>35</v>
      </c>
      <c r="C696" s="0" t="str">
        <f aca="false">TRIM(SUBSTITUTE(INDEX(LISTAS!$A$4:$T$63,B696,A696)&amp;"",CHAR(160)," "))</f>
        <v/>
      </c>
      <c r="D696" s="0" t="str">
        <f aca="false">IF(C696="","",TRIM(RIGHT(SUBSTITUTE(C696," ",REPT(" ",100)),100)))</f>
        <v/>
      </c>
      <c r="E696" s="0" t="str">
        <f aca="false">IF(D696="","",UPPER(SUBSTITUTE(SUBSTITUTE(D696,"(",""),")","")))</f>
        <v/>
      </c>
      <c r="F696" s="0" t="str">
        <f aca="false">IF(C696="","",LEFT(C696,FIND(" ",C696&amp;" ")-1))</f>
        <v/>
      </c>
      <c r="G696" s="0" t="n">
        <f aca="false">IFERROR(VALUE(SUBSTITUTE(LOWER(F696),"x","")),0)</f>
        <v>0</v>
      </c>
      <c r="H696" s="0" t="str">
        <f aca="false">IF(C696="","",TRIM(MID(C696,LEN(F696)+2,999)))</f>
        <v/>
      </c>
      <c r="I696" s="0" t="n">
        <f aca="false">IF(OR(C696="",LEFT(C696,2)="//"),0,IFERROR(IF(AND(G696&gt;0,G696=INT(G696),FIND("-",E696)&gt;1,NOT(EXACT(UPPER(LEFT(E696,1)),LOWER(LEFT(E696,1)))),ISNUMBER(VALUE(MID(E696,FIND("-",E696)+1,10)))),1,0),0))</f>
        <v>0</v>
      </c>
      <c r="J696" s="0" t="str">
        <f aca="false">IF(I696=1,TRIM(LEFT(H696,MAX(0,LEN(H696)-LEN(D696)))),"")</f>
        <v/>
      </c>
      <c r="K696" s="0" t="str">
        <f aca="false">INDEX($P$2:$P$21,A696)</f>
        <v>Deck 12</v>
      </c>
      <c r="L696" s="0" t="n">
        <f aca="false">IF(AND(C696&lt;&gt;"",LEFT(C696,2)&lt;&gt;"//",I696=0),1,0)</f>
        <v>0</v>
      </c>
      <c r="M696" s="0" t="str">
        <f aca="false">IF(I696=1,MAX(M$1:M695)+1,"")</f>
        <v/>
      </c>
      <c r="N696" s="0" t="str">
        <f aca="false">IFERROR(MATCH(ROW()-1,$V$2:$V$1201,0),"")</f>
        <v/>
      </c>
      <c r="R696" s="0" t="str">
        <f aca="false">IF(E696="","",IFERROR(LEFT(E696,FIND("-",E696)-1),E696))</f>
        <v/>
      </c>
      <c r="S696" s="0" t="str">
        <f aca="false">IF(R696="","",IF(ISNUMBER(--MID(R696,1,1)),0,IF(ISNUMBER(--MID(R696,2,1)),1,IF(ISNUMBER(--MID(R696,3,1)),2,IF(ISNUMBER(--MID(R696,4,1)),3,MIN(LEN(R696),4))))))</f>
        <v/>
      </c>
      <c r="T696" s="0" t="str">
        <f aca="false">IF(E696="","",LEFT(R696,S696)&amp;REPT("0",4-S696)&amp;RIGHT("000"&amp;IFERROR(VALUE(MID(R696,S696+1,9)),0),3)&amp;RIGHT("0000"&amp;IFERROR(VALUE(MID(E696,FIND("-",E696)+1,9)),0),4))</f>
        <v/>
      </c>
      <c r="U696" s="0" t="str">
        <f aca="false">IF(I696=1,"K"&amp;RIGHT("00"&amp;A696,2)&amp;T696&amp;RIGHT("00000"&amp;ROW(),5),"")</f>
        <v/>
      </c>
      <c r="V696" s="0" t="str">
        <f aca="false">IF(U696="","",COUNTIFS($I$2:$I$1201,1,$U$2:$U$1201,"&lt;"&amp;U696)+1)</f>
        <v/>
      </c>
    </row>
    <row r="697" customFormat="false" ht="15" hidden="false" customHeight="false" outlineLevel="0" collapsed="false">
      <c r="A697" s="0" t="n">
        <v>12</v>
      </c>
      <c r="B697" s="0" t="n">
        <v>36</v>
      </c>
      <c r="C697" s="0" t="str">
        <f aca="false">TRIM(SUBSTITUTE(INDEX(LISTAS!$A$4:$T$63,B697,A697)&amp;"",CHAR(160)," "))</f>
        <v/>
      </c>
      <c r="D697" s="0" t="str">
        <f aca="false">IF(C697="","",TRIM(RIGHT(SUBSTITUTE(C697," ",REPT(" ",100)),100)))</f>
        <v/>
      </c>
      <c r="E697" s="0" t="str">
        <f aca="false">IF(D697="","",UPPER(SUBSTITUTE(SUBSTITUTE(D697,"(",""),")","")))</f>
        <v/>
      </c>
      <c r="F697" s="0" t="str">
        <f aca="false">IF(C697="","",LEFT(C697,FIND(" ",C697&amp;" ")-1))</f>
        <v/>
      </c>
      <c r="G697" s="0" t="n">
        <f aca="false">IFERROR(VALUE(SUBSTITUTE(LOWER(F697),"x","")),0)</f>
        <v>0</v>
      </c>
      <c r="H697" s="0" t="str">
        <f aca="false">IF(C697="","",TRIM(MID(C697,LEN(F697)+2,999)))</f>
        <v/>
      </c>
      <c r="I697" s="0" t="n">
        <f aca="false">IF(OR(C697="",LEFT(C697,2)="//"),0,IFERROR(IF(AND(G697&gt;0,G697=INT(G697),FIND("-",E697)&gt;1,NOT(EXACT(UPPER(LEFT(E697,1)),LOWER(LEFT(E697,1)))),ISNUMBER(VALUE(MID(E697,FIND("-",E697)+1,10)))),1,0),0))</f>
        <v>0</v>
      </c>
      <c r="J697" s="0" t="str">
        <f aca="false">IF(I697=1,TRIM(LEFT(H697,MAX(0,LEN(H697)-LEN(D697)))),"")</f>
        <v/>
      </c>
      <c r="K697" s="0" t="str">
        <f aca="false">INDEX($P$2:$P$21,A697)</f>
        <v>Deck 12</v>
      </c>
      <c r="L697" s="0" t="n">
        <f aca="false">IF(AND(C697&lt;&gt;"",LEFT(C697,2)&lt;&gt;"//",I697=0),1,0)</f>
        <v>0</v>
      </c>
      <c r="M697" s="0" t="str">
        <f aca="false">IF(I697=1,MAX(M$1:M696)+1,"")</f>
        <v/>
      </c>
      <c r="N697" s="0" t="str">
        <f aca="false">IFERROR(MATCH(ROW()-1,$V$2:$V$1201,0),"")</f>
        <v/>
      </c>
      <c r="R697" s="0" t="str">
        <f aca="false">IF(E697="","",IFERROR(LEFT(E697,FIND("-",E697)-1),E697))</f>
        <v/>
      </c>
      <c r="S697" s="0" t="str">
        <f aca="false">IF(R697="","",IF(ISNUMBER(--MID(R697,1,1)),0,IF(ISNUMBER(--MID(R697,2,1)),1,IF(ISNUMBER(--MID(R697,3,1)),2,IF(ISNUMBER(--MID(R697,4,1)),3,MIN(LEN(R697),4))))))</f>
        <v/>
      </c>
      <c r="T697" s="0" t="str">
        <f aca="false">IF(E697="","",LEFT(R697,S697)&amp;REPT("0",4-S697)&amp;RIGHT("000"&amp;IFERROR(VALUE(MID(R697,S697+1,9)),0),3)&amp;RIGHT("0000"&amp;IFERROR(VALUE(MID(E697,FIND("-",E697)+1,9)),0),4))</f>
        <v/>
      </c>
      <c r="U697" s="0" t="str">
        <f aca="false">IF(I697=1,"K"&amp;RIGHT("00"&amp;A697,2)&amp;T697&amp;RIGHT("00000"&amp;ROW(),5),"")</f>
        <v/>
      </c>
      <c r="V697" s="0" t="str">
        <f aca="false">IF(U697="","",COUNTIFS($I$2:$I$1201,1,$U$2:$U$1201,"&lt;"&amp;U697)+1)</f>
        <v/>
      </c>
    </row>
    <row r="698" customFormat="false" ht="15" hidden="false" customHeight="false" outlineLevel="0" collapsed="false">
      <c r="A698" s="0" t="n">
        <v>12</v>
      </c>
      <c r="B698" s="0" t="n">
        <v>37</v>
      </c>
      <c r="C698" s="0" t="str">
        <f aca="false">TRIM(SUBSTITUTE(INDEX(LISTAS!$A$4:$T$63,B698,A698)&amp;"",CHAR(160)," "))</f>
        <v/>
      </c>
      <c r="D698" s="0" t="str">
        <f aca="false">IF(C698="","",TRIM(RIGHT(SUBSTITUTE(C698," ",REPT(" ",100)),100)))</f>
        <v/>
      </c>
      <c r="E698" s="0" t="str">
        <f aca="false">IF(D698="","",UPPER(SUBSTITUTE(SUBSTITUTE(D698,"(",""),")","")))</f>
        <v/>
      </c>
      <c r="F698" s="0" t="str">
        <f aca="false">IF(C698="","",LEFT(C698,FIND(" ",C698&amp;" ")-1))</f>
        <v/>
      </c>
      <c r="G698" s="0" t="n">
        <f aca="false">IFERROR(VALUE(SUBSTITUTE(LOWER(F698),"x","")),0)</f>
        <v>0</v>
      </c>
      <c r="H698" s="0" t="str">
        <f aca="false">IF(C698="","",TRIM(MID(C698,LEN(F698)+2,999)))</f>
        <v/>
      </c>
      <c r="I698" s="0" t="n">
        <f aca="false">IF(OR(C698="",LEFT(C698,2)="//"),0,IFERROR(IF(AND(G698&gt;0,G698=INT(G698),FIND("-",E698)&gt;1,NOT(EXACT(UPPER(LEFT(E698,1)),LOWER(LEFT(E698,1)))),ISNUMBER(VALUE(MID(E698,FIND("-",E698)+1,10)))),1,0),0))</f>
        <v>0</v>
      </c>
      <c r="J698" s="0" t="str">
        <f aca="false">IF(I698=1,TRIM(LEFT(H698,MAX(0,LEN(H698)-LEN(D698)))),"")</f>
        <v/>
      </c>
      <c r="K698" s="0" t="str">
        <f aca="false">INDEX($P$2:$P$21,A698)</f>
        <v>Deck 12</v>
      </c>
      <c r="L698" s="0" t="n">
        <f aca="false">IF(AND(C698&lt;&gt;"",LEFT(C698,2)&lt;&gt;"//",I698=0),1,0)</f>
        <v>0</v>
      </c>
      <c r="M698" s="0" t="str">
        <f aca="false">IF(I698=1,MAX(M$1:M697)+1,"")</f>
        <v/>
      </c>
      <c r="N698" s="0" t="str">
        <f aca="false">IFERROR(MATCH(ROW()-1,$V$2:$V$1201,0),"")</f>
        <v/>
      </c>
      <c r="R698" s="0" t="str">
        <f aca="false">IF(E698="","",IFERROR(LEFT(E698,FIND("-",E698)-1),E698))</f>
        <v/>
      </c>
      <c r="S698" s="0" t="str">
        <f aca="false">IF(R698="","",IF(ISNUMBER(--MID(R698,1,1)),0,IF(ISNUMBER(--MID(R698,2,1)),1,IF(ISNUMBER(--MID(R698,3,1)),2,IF(ISNUMBER(--MID(R698,4,1)),3,MIN(LEN(R698),4))))))</f>
        <v/>
      </c>
      <c r="T698" s="0" t="str">
        <f aca="false">IF(E698="","",LEFT(R698,S698)&amp;REPT("0",4-S698)&amp;RIGHT("000"&amp;IFERROR(VALUE(MID(R698,S698+1,9)),0),3)&amp;RIGHT("0000"&amp;IFERROR(VALUE(MID(E698,FIND("-",E698)+1,9)),0),4))</f>
        <v/>
      </c>
      <c r="U698" s="0" t="str">
        <f aca="false">IF(I698=1,"K"&amp;RIGHT("00"&amp;A698,2)&amp;T698&amp;RIGHT("00000"&amp;ROW(),5),"")</f>
        <v/>
      </c>
      <c r="V698" s="0" t="str">
        <f aca="false">IF(U698="","",COUNTIFS($I$2:$I$1201,1,$U$2:$U$1201,"&lt;"&amp;U698)+1)</f>
        <v/>
      </c>
    </row>
    <row r="699" customFormat="false" ht="15" hidden="false" customHeight="false" outlineLevel="0" collapsed="false">
      <c r="A699" s="0" t="n">
        <v>12</v>
      </c>
      <c r="B699" s="0" t="n">
        <v>38</v>
      </c>
      <c r="C699" s="0" t="str">
        <f aca="false">TRIM(SUBSTITUTE(INDEX(LISTAS!$A$4:$T$63,B699,A699)&amp;"",CHAR(160)," "))</f>
        <v/>
      </c>
      <c r="D699" s="0" t="str">
        <f aca="false">IF(C699="","",TRIM(RIGHT(SUBSTITUTE(C699," ",REPT(" ",100)),100)))</f>
        <v/>
      </c>
      <c r="E699" s="0" t="str">
        <f aca="false">IF(D699="","",UPPER(SUBSTITUTE(SUBSTITUTE(D699,"(",""),")","")))</f>
        <v/>
      </c>
      <c r="F699" s="0" t="str">
        <f aca="false">IF(C699="","",LEFT(C699,FIND(" ",C699&amp;" ")-1))</f>
        <v/>
      </c>
      <c r="G699" s="0" t="n">
        <f aca="false">IFERROR(VALUE(SUBSTITUTE(LOWER(F699),"x","")),0)</f>
        <v>0</v>
      </c>
      <c r="H699" s="0" t="str">
        <f aca="false">IF(C699="","",TRIM(MID(C699,LEN(F699)+2,999)))</f>
        <v/>
      </c>
      <c r="I699" s="0" t="n">
        <f aca="false">IF(OR(C699="",LEFT(C699,2)="//"),0,IFERROR(IF(AND(G699&gt;0,G699=INT(G699),FIND("-",E699)&gt;1,NOT(EXACT(UPPER(LEFT(E699,1)),LOWER(LEFT(E699,1)))),ISNUMBER(VALUE(MID(E699,FIND("-",E699)+1,10)))),1,0),0))</f>
        <v>0</v>
      </c>
      <c r="J699" s="0" t="str">
        <f aca="false">IF(I699=1,TRIM(LEFT(H699,MAX(0,LEN(H699)-LEN(D699)))),"")</f>
        <v/>
      </c>
      <c r="K699" s="0" t="str">
        <f aca="false">INDEX($P$2:$P$21,A699)</f>
        <v>Deck 12</v>
      </c>
      <c r="L699" s="0" t="n">
        <f aca="false">IF(AND(C699&lt;&gt;"",LEFT(C699,2)&lt;&gt;"//",I699=0),1,0)</f>
        <v>0</v>
      </c>
      <c r="M699" s="0" t="str">
        <f aca="false">IF(I699=1,MAX(M$1:M698)+1,"")</f>
        <v/>
      </c>
      <c r="N699" s="0" t="str">
        <f aca="false">IFERROR(MATCH(ROW()-1,$V$2:$V$1201,0),"")</f>
        <v/>
      </c>
      <c r="R699" s="0" t="str">
        <f aca="false">IF(E699="","",IFERROR(LEFT(E699,FIND("-",E699)-1),E699))</f>
        <v/>
      </c>
      <c r="S699" s="0" t="str">
        <f aca="false">IF(R699="","",IF(ISNUMBER(--MID(R699,1,1)),0,IF(ISNUMBER(--MID(R699,2,1)),1,IF(ISNUMBER(--MID(R699,3,1)),2,IF(ISNUMBER(--MID(R699,4,1)),3,MIN(LEN(R699),4))))))</f>
        <v/>
      </c>
      <c r="T699" s="0" t="str">
        <f aca="false">IF(E699="","",LEFT(R699,S699)&amp;REPT("0",4-S699)&amp;RIGHT("000"&amp;IFERROR(VALUE(MID(R699,S699+1,9)),0),3)&amp;RIGHT("0000"&amp;IFERROR(VALUE(MID(E699,FIND("-",E699)+1,9)),0),4))</f>
        <v/>
      </c>
      <c r="U699" s="0" t="str">
        <f aca="false">IF(I699=1,"K"&amp;RIGHT("00"&amp;A699,2)&amp;T699&amp;RIGHT("00000"&amp;ROW(),5),"")</f>
        <v/>
      </c>
      <c r="V699" s="0" t="str">
        <f aca="false">IF(U699="","",COUNTIFS($I$2:$I$1201,1,$U$2:$U$1201,"&lt;"&amp;U699)+1)</f>
        <v/>
      </c>
    </row>
    <row r="700" customFormat="false" ht="15" hidden="false" customHeight="false" outlineLevel="0" collapsed="false">
      <c r="A700" s="0" t="n">
        <v>12</v>
      </c>
      <c r="B700" s="0" t="n">
        <v>39</v>
      </c>
      <c r="C700" s="0" t="str">
        <f aca="false">TRIM(SUBSTITUTE(INDEX(LISTAS!$A$4:$T$63,B700,A700)&amp;"",CHAR(160)," "))</f>
        <v/>
      </c>
      <c r="D700" s="0" t="str">
        <f aca="false">IF(C700="","",TRIM(RIGHT(SUBSTITUTE(C700," ",REPT(" ",100)),100)))</f>
        <v/>
      </c>
      <c r="E700" s="0" t="str">
        <f aca="false">IF(D700="","",UPPER(SUBSTITUTE(SUBSTITUTE(D700,"(",""),")","")))</f>
        <v/>
      </c>
      <c r="F700" s="0" t="str">
        <f aca="false">IF(C700="","",LEFT(C700,FIND(" ",C700&amp;" ")-1))</f>
        <v/>
      </c>
      <c r="G700" s="0" t="n">
        <f aca="false">IFERROR(VALUE(SUBSTITUTE(LOWER(F700),"x","")),0)</f>
        <v>0</v>
      </c>
      <c r="H700" s="0" t="str">
        <f aca="false">IF(C700="","",TRIM(MID(C700,LEN(F700)+2,999)))</f>
        <v/>
      </c>
      <c r="I700" s="0" t="n">
        <f aca="false">IF(OR(C700="",LEFT(C700,2)="//"),0,IFERROR(IF(AND(G700&gt;0,G700=INT(G700),FIND("-",E700)&gt;1,NOT(EXACT(UPPER(LEFT(E700,1)),LOWER(LEFT(E700,1)))),ISNUMBER(VALUE(MID(E700,FIND("-",E700)+1,10)))),1,0),0))</f>
        <v>0</v>
      </c>
      <c r="J700" s="0" t="str">
        <f aca="false">IF(I700=1,TRIM(LEFT(H700,MAX(0,LEN(H700)-LEN(D700)))),"")</f>
        <v/>
      </c>
      <c r="K700" s="0" t="str">
        <f aca="false">INDEX($P$2:$P$21,A700)</f>
        <v>Deck 12</v>
      </c>
      <c r="L700" s="0" t="n">
        <f aca="false">IF(AND(C700&lt;&gt;"",LEFT(C700,2)&lt;&gt;"//",I700=0),1,0)</f>
        <v>0</v>
      </c>
      <c r="M700" s="0" t="str">
        <f aca="false">IF(I700=1,MAX(M$1:M699)+1,"")</f>
        <v/>
      </c>
      <c r="N700" s="0" t="str">
        <f aca="false">IFERROR(MATCH(ROW()-1,$V$2:$V$1201,0),"")</f>
        <v/>
      </c>
      <c r="R700" s="0" t="str">
        <f aca="false">IF(E700="","",IFERROR(LEFT(E700,FIND("-",E700)-1),E700))</f>
        <v/>
      </c>
      <c r="S700" s="0" t="str">
        <f aca="false">IF(R700="","",IF(ISNUMBER(--MID(R700,1,1)),0,IF(ISNUMBER(--MID(R700,2,1)),1,IF(ISNUMBER(--MID(R700,3,1)),2,IF(ISNUMBER(--MID(R700,4,1)),3,MIN(LEN(R700),4))))))</f>
        <v/>
      </c>
      <c r="T700" s="0" t="str">
        <f aca="false">IF(E700="","",LEFT(R700,S700)&amp;REPT("0",4-S700)&amp;RIGHT("000"&amp;IFERROR(VALUE(MID(R700,S700+1,9)),0),3)&amp;RIGHT("0000"&amp;IFERROR(VALUE(MID(E700,FIND("-",E700)+1,9)),0),4))</f>
        <v/>
      </c>
      <c r="U700" s="0" t="str">
        <f aca="false">IF(I700=1,"K"&amp;RIGHT("00"&amp;A700,2)&amp;T700&amp;RIGHT("00000"&amp;ROW(),5),"")</f>
        <v/>
      </c>
      <c r="V700" s="0" t="str">
        <f aca="false">IF(U700="","",COUNTIFS($I$2:$I$1201,1,$U$2:$U$1201,"&lt;"&amp;U700)+1)</f>
        <v/>
      </c>
    </row>
    <row r="701" customFormat="false" ht="15" hidden="false" customHeight="false" outlineLevel="0" collapsed="false">
      <c r="A701" s="0" t="n">
        <v>12</v>
      </c>
      <c r="B701" s="0" t="n">
        <v>40</v>
      </c>
      <c r="C701" s="0" t="str">
        <f aca="false">TRIM(SUBSTITUTE(INDEX(LISTAS!$A$4:$T$63,B701,A701)&amp;"",CHAR(160)," "))</f>
        <v/>
      </c>
      <c r="D701" s="0" t="str">
        <f aca="false">IF(C701="","",TRIM(RIGHT(SUBSTITUTE(C701," ",REPT(" ",100)),100)))</f>
        <v/>
      </c>
      <c r="E701" s="0" t="str">
        <f aca="false">IF(D701="","",UPPER(SUBSTITUTE(SUBSTITUTE(D701,"(",""),")","")))</f>
        <v/>
      </c>
      <c r="F701" s="0" t="str">
        <f aca="false">IF(C701="","",LEFT(C701,FIND(" ",C701&amp;" ")-1))</f>
        <v/>
      </c>
      <c r="G701" s="0" t="n">
        <f aca="false">IFERROR(VALUE(SUBSTITUTE(LOWER(F701),"x","")),0)</f>
        <v>0</v>
      </c>
      <c r="H701" s="0" t="str">
        <f aca="false">IF(C701="","",TRIM(MID(C701,LEN(F701)+2,999)))</f>
        <v/>
      </c>
      <c r="I701" s="0" t="n">
        <f aca="false">IF(OR(C701="",LEFT(C701,2)="//"),0,IFERROR(IF(AND(G701&gt;0,G701=INT(G701),FIND("-",E701)&gt;1,NOT(EXACT(UPPER(LEFT(E701,1)),LOWER(LEFT(E701,1)))),ISNUMBER(VALUE(MID(E701,FIND("-",E701)+1,10)))),1,0),0))</f>
        <v>0</v>
      </c>
      <c r="J701" s="0" t="str">
        <f aca="false">IF(I701=1,TRIM(LEFT(H701,MAX(0,LEN(H701)-LEN(D701)))),"")</f>
        <v/>
      </c>
      <c r="K701" s="0" t="str">
        <f aca="false">INDEX($P$2:$P$21,A701)</f>
        <v>Deck 12</v>
      </c>
      <c r="L701" s="0" t="n">
        <f aca="false">IF(AND(C701&lt;&gt;"",LEFT(C701,2)&lt;&gt;"//",I701=0),1,0)</f>
        <v>0</v>
      </c>
      <c r="M701" s="0" t="str">
        <f aca="false">IF(I701=1,MAX(M$1:M700)+1,"")</f>
        <v/>
      </c>
      <c r="N701" s="0" t="str">
        <f aca="false">IFERROR(MATCH(ROW()-1,$V$2:$V$1201,0),"")</f>
        <v/>
      </c>
      <c r="R701" s="0" t="str">
        <f aca="false">IF(E701="","",IFERROR(LEFT(E701,FIND("-",E701)-1),E701))</f>
        <v/>
      </c>
      <c r="S701" s="0" t="str">
        <f aca="false">IF(R701="","",IF(ISNUMBER(--MID(R701,1,1)),0,IF(ISNUMBER(--MID(R701,2,1)),1,IF(ISNUMBER(--MID(R701,3,1)),2,IF(ISNUMBER(--MID(R701,4,1)),3,MIN(LEN(R701),4))))))</f>
        <v/>
      </c>
      <c r="T701" s="0" t="str">
        <f aca="false">IF(E701="","",LEFT(R701,S701)&amp;REPT("0",4-S701)&amp;RIGHT("000"&amp;IFERROR(VALUE(MID(R701,S701+1,9)),0),3)&amp;RIGHT("0000"&amp;IFERROR(VALUE(MID(E701,FIND("-",E701)+1,9)),0),4))</f>
        <v/>
      </c>
      <c r="U701" s="0" t="str">
        <f aca="false">IF(I701=1,"K"&amp;RIGHT("00"&amp;A701,2)&amp;T701&amp;RIGHT("00000"&amp;ROW(),5),"")</f>
        <v/>
      </c>
      <c r="V701" s="0" t="str">
        <f aca="false">IF(U701="","",COUNTIFS($I$2:$I$1201,1,$U$2:$U$1201,"&lt;"&amp;U701)+1)</f>
        <v/>
      </c>
    </row>
    <row r="702" customFormat="false" ht="15" hidden="false" customHeight="false" outlineLevel="0" collapsed="false">
      <c r="A702" s="0" t="n">
        <v>12</v>
      </c>
      <c r="B702" s="0" t="n">
        <v>41</v>
      </c>
      <c r="C702" s="0" t="str">
        <f aca="false">TRIM(SUBSTITUTE(INDEX(LISTAS!$A$4:$T$63,B702,A702)&amp;"",CHAR(160)," "))</f>
        <v/>
      </c>
      <c r="D702" s="0" t="str">
        <f aca="false">IF(C702="","",TRIM(RIGHT(SUBSTITUTE(C702," ",REPT(" ",100)),100)))</f>
        <v/>
      </c>
      <c r="E702" s="0" t="str">
        <f aca="false">IF(D702="","",UPPER(SUBSTITUTE(SUBSTITUTE(D702,"(",""),")","")))</f>
        <v/>
      </c>
      <c r="F702" s="0" t="str">
        <f aca="false">IF(C702="","",LEFT(C702,FIND(" ",C702&amp;" ")-1))</f>
        <v/>
      </c>
      <c r="G702" s="0" t="n">
        <f aca="false">IFERROR(VALUE(SUBSTITUTE(LOWER(F702),"x","")),0)</f>
        <v>0</v>
      </c>
      <c r="H702" s="0" t="str">
        <f aca="false">IF(C702="","",TRIM(MID(C702,LEN(F702)+2,999)))</f>
        <v/>
      </c>
      <c r="I702" s="0" t="n">
        <f aca="false">IF(OR(C702="",LEFT(C702,2)="//"),0,IFERROR(IF(AND(G702&gt;0,G702=INT(G702),FIND("-",E702)&gt;1,NOT(EXACT(UPPER(LEFT(E702,1)),LOWER(LEFT(E702,1)))),ISNUMBER(VALUE(MID(E702,FIND("-",E702)+1,10)))),1,0),0))</f>
        <v>0</v>
      </c>
      <c r="J702" s="0" t="str">
        <f aca="false">IF(I702=1,TRIM(LEFT(H702,MAX(0,LEN(H702)-LEN(D702)))),"")</f>
        <v/>
      </c>
      <c r="K702" s="0" t="str">
        <f aca="false">INDEX($P$2:$P$21,A702)</f>
        <v>Deck 12</v>
      </c>
      <c r="L702" s="0" t="n">
        <f aca="false">IF(AND(C702&lt;&gt;"",LEFT(C702,2)&lt;&gt;"//",I702=0),1,0)</f>
        <v>0</v>
      </c>
      <c r="M702" s="0" t="str">
        <f aca="false">IF(I702=1,MAX(M$1:M701)+1,"")</f>
        <v/>
      </c>
      <c r="N702" s="0" t="str">
        <f aca="false">IFERROR(MATCH(ROW()-1,$V$2:$V$1201,0),"")</f>
        <v/>
      </c>
      <c r="R702" s="0" t="str">
        <f aca="false">IF(E702="","",IFERROR(LEFT(E702,FIND("-",E702)-1),E702))</f>
        <v/>
      </c>
      <c r="S702" s="0" t="str">
        <f aca="false">IF(R702="","",IF(ISNUMBER(--MID(R702,1,1)),0,IF(ISNUMBER(--MID(R702,2,1)),1,IF(ISNUMBER(--MID(R702,3,1)),2,IF(ISNUMBER(--MID(R702,4,1)),3,MIN(LEN(R702),4))))))</f>
        <v/>
      </c>
      <c r="T702" s="0" t="str">
        <f aca="false">IF(E702="","",LEFT(R702,S702)&amp;REPT("0",4-S702)&amp;RIGHT("000"&amp;IFERROR(VALUE(MID(R702,S702+1,9)),0),3)&amp;RIGHT("0000"&amp;IFERROR(VALUE(MID(E702,FIND("-",E702)+1,9)),0),4))</f>
        <v/>
      </c>
      <c r="U702" s="0" t="str">
        <f aca="false">IF(I702=1,"K"&amp;RIGHT("00"&amp;A702,2)&amp;T702&amp;RIGHT("00000"&amp;ROW(),5),"")</f>
        <v/>
      </c>
      <c r="V702" s="0" t="str">
        <f aca="false">IF(U702="","",COUNTIFS($I$2:$I$1201,1,$U$2:$U$1201,"&lt;"&amp;U702)+1)</f>
        <v/>
      </c>
    </row>
    <row r="703" customFormat="false" ht="15" hidden="false" customHeight="false" outlineLevel="0" collapsed="false">
      <c r="A703" s="0" t="n">
        <v>12</v>
      </c>
      <c r="B703" s="0" t="n">
        <v>42</v>
      </c>
      <c r="C703" s="0" t="str">
        <f aca="false">TRIM(SUBSTITUTE(INDEX(LISTAS!$A$4:$T$63,B703,A703)&amp;"",CHAR(160)," "))</f>
        <v/>
      </c>
      <c r="D703" s="0" t="str">
        <f aca="false">IF(C703="","",TRIM(RIGHT(SUBSTITUTE(C703," ",REPT(" ",100)),100)))</f>
        <v/>
      </c>
      <c r="E703" s="0" t="str">
        <f aca="false">IF(D703="","",UPPER(SUBSTITUTE(SUBSTITUTE(D703,"(",""),")","")))</f>
        <v/>
      </c>
      <c r="F703" s="0" t="str">
        <f aca="false">IF(C703="","",LEFT(C703,FIND(" ",C703&amp;" ")-1))</f>
        <v/>
      </c>
      <c r="G703" s="0" t="n">
        <f aca="false">IFERROR(VALUE(SUBSTITUTE(LOWER(F703),"x","")),0)</f>
        <v>0</v>
      </c>
      <c r="H703" s="0" t="str">
        <f aca="false">IF(C703="","",TRIM(MID(C703,LEN(F703)+2,999)))</f>
        <v/>
      </c>
      <c r="I703" s="0" t="n">
        <f aca="false">IF(OR(C703="",LEFT(C703,2)="//"),0,IFERROR(IF(AND(G703&gt;0,G703=INT(G703),FIND("-",E703)&gt;1,NOT(EXACT(UPPER(LEFT(E703,1)),LOWER(LEFT(E703,1)))),ISNUMBER(VALUE(MID(E703,FIND("-",E703)+1,10)))),1,0),0))</f>
        <v>0</v>
      </c>
      <c r="J703" s="0" t="str">
        <f aca="false">IF(I703=1,TRIM(LEFT(H703,MAX(0,LEN(H703)-LEN(D703)))),"")</f>
        <v/>
      </c>
      <c r="K703" s="0" t="str">
        <f aca="false">INDEX($P$2:$P$21,A703)</f>
        <v>Deck 12</v>
      </c>
      <c r="L703" s="0" t="n">
        <f aca="false">IF(AND(C703&lt;&gt;"",LEFT(C703,2)&lt;&gt;"//",I703=0),1,0)</f>
        <v>0</v>
      </c>
      <c r="M703" s="0" t="str">
        <f aca="false">IF(I703=1,MAX(M$1:M702)+1,"")</f>
        <v/>
      </c>
      <c r="N703" s="0" t="str">
        <f aca="false">IFERROR(MATCH(ROW()-1,$V$2:$V$1201,0),"")</f>
        <v/>
      </c>
      <c r="R703" s="0" t="str">
        <f aca="false">IF(E703="","",IFERROR(LEFT(E703,FIND("-",E703)-1),E703))</f>
        <v/>
      </c>
      <c r="S703" s="0" t="str">
        <f aca="false">IF(R703="","",IF(ISNUMBER(--MID(R703,1,1)),0,IF(ISNUMBER(--MID(R703,2,1)),1,IF(ISNUMBER(--MID(R703,3,1)),2,IF(ISNUMBER(--MID(R703,4,1)),3,MIN(LEN(R703),4))))))</f>
        <v/>
      </c>
      <c r="T703" s="0" t="str">
        <f aca="false">IF(E703="","",LEFT(R703,S703)&amp;REPT("0",4-S703)&amp;RIGHT("000"&amp;IFERROR(VALUE(MID(R703,S703+1,9)),0),3)&amp;RIGHT("0000"&amp;IFERROR(VALUE(MID(E703,FIND("-",E703)+1,9)),0),4))</f>
        <v/>
      </c>
      <c r="U703" s="0" t="str">
        <f aca="false">IF(I703=1,"K"&amp;RIGHT("00"&amp;A703,2)&amp;T703&amp;RIGHT("00000"&amp;ROW(),5),"")</f>
        <v/>
      </c>
      <c r="V703" s="0" t="str">
        <f aca="false">IF(U703="","",COUNTIFS($I$2:$I$1201,1,$U$2:$U$1201,"&lt;"&amp;U703)+1)</f>
        <v/>
      </c>
    </row>
    <row r="704" customFormat="false" ht="15" hidden="false" customHeight="false" outlineLevel="0" collapsed="false">
      <c r="A704" s="0" t="n">
        <v>12</v>
      </c>
      <c r="B704" s="0" t="n">
        <v>43</v>
      </c>
      <c r="C704" s="0" t="str">
        <f aca="false">TRIM(SUBSTITUTE(INDEX(LISTAS!$A$4:$T$63,B704,A704)&amp;"",CHAR(160)," "))</f>
        <v/>
      </c>
      <c r="D704" s="0" t="str">
        <f aca="false">IF(C704="","",TRIM(RIGHT(SUBSTITUTE(C704," ",REPT(" ",100)),100)))</f>
        <v/>
      </c>
      <c r="E704" s="0" t="str">
        <f aca="false">IF(D704="","",UPPER(SUBSTITUTE(SUBSTITUTE(D704,"(",""),")","")))</f>
        <v/>
      </c>
      <c r="F704" s="0" t="str">
        <f aca="false">IF(C704="","",LEFT(C704,FIND(" ",C704&amp;" ")-1))</f>
        <v/>
      </c>
      <c r="G704" s="0" t="n">
        <f aca="false">IFERROR(VALUE(SUBSTITUTE(LOWER(F704),"x","")),0)</f>
        <v>0</v>
      </c>
      <c r="H704" s="0" t="str">
        <f aca="false">IF(C704="","",TRIM(MID(C704,LEN(F704)+2,999)))</f>
        <v/>
      </c>
      <c r="I704" s="0" t="n">
        <f aca="false">IF(OR(C704="",LEFT(C704,2)="//"),0,IFERROR(IF(AND(G704&gt;0,G704=INT(G704),FIND("-",E704)&gt;1,NOT(EXACT(UPPER(LEFT(E704,1)),LOWER(LEFT(E704,1)))),ISNUMBER(VALUE(MID(E704,FIND("-",E704)+1,10)))),1,0),0))</f>
        <v>0</v>
      </c>
      <c r="J704" s="0" t="str">
        <f aca="false">IF(I704=1,TRIM(LEFT(H704,MAX(0,LEN(H704)-LEN(D704)))),"")</f>
        <v/>
      </c>
      <c r="K704" s="0" t="str">
        <f aca="false">INDEX($P$2:$P$21,A704)</f>
        <v>Deck 12</v>
      </c>
      <c r="L704" s="0" t="n">
        <f aca="false">IF(AND(C704&lt;&gt;"",LEFT(C704,2)&lt;&gt;"//",I704=0),1,0)</f>
        <v>0</v>
      </c>
      <c r="M704" s="0" t="str">
        <f aca="false">IF(I704=1,MAX(M$1:M703)+1,"")</f>
        <v/>
      </c>
      <c r="N704" s="0" t="str">
        <f aca="false">IFERROR(MATCH(ROW()-1,$V$2:$V$1201,0),"")</f>
        <v/>
      </c>
      <c r="R704" s="0" t="str">
        <f aca="false">IF(E704="","",IFERROR(LEFT(E704,FIND("-",E704)-1),E704))</f>
        <v/>
      </c>
      <c r="S704" s="0" t="str">
        <f aca="false">IF(R704="","",IF(ISNUMBER(--MID(R704,1,1)),0,IF(ISNUMBER(--MID(R704,2,1)),1,IF(ISNUMBER(--MID(R704,3,1)),2,IF(ISNUMBER(--MID(R704,4,1)),3,MIN(LEN(R704),4))))))</f>
        <v/>
      </c>
      <c r="T704" s="0" t="str">
        <f aca="false">IF(E704="","",LEFT(R704,S704)&amp;REPT("0",4-S704)&amp;RIGHT("000"&amp;IFERROR(VALUE(MID(R704,S704+1,9)),0),3)&amp;RIGHT("0000"&amp;IFERROR(VALUE(MID(E704,FIND("-",E704)+1,9)),0),4))</f>
        <v/>
      </c>
      <c r="U704" s="0" t="str">
        <f aca="false">IF(I704=1,"K"&amp;RIGHT("00"&amp;A704,2)&amp;T704&amp;RIGHT("00000"&amp;ROW(),5),"")</f>
        <v/>
      </c>
      <c r="V704" s="0" t="str">
        <f aca="false">IF(U704="","",COUNTIFS($I$2:$I$1201,1,$U$2:$U$1201,"&lt;"&amp;U704)+1)</f>
        <v/>
      </c>
    </row>
    <row r="705" customFormat="false" ht="15" hidden="false" customHeight="false" outlineLevel="0" collapsed="false">
      <c r="A705" s="0" t="n">
        <v>12</v>
      </c>
      <c r="B705" s="0" t="n">
        <v>44</v>
      </c>
      <c r="C705" s="0" t="str">
        <f aca="false">TRIM(SUBSTITUTE(INDEX(LISTAS!$A$4:$T$63,B705,A705)&amp;"",CHAR(160)," "))</f>
        <v/>
      </c>
      <c r="D705" s="0" t="str">
        <f aca="false">IF(C705="","",TRIM(RIGHT(SUBSTITUTE(C705," ",REPT(" ",100)),100)))</f>
        <v/>
      </c>
      <c r="E705" s="0" t="str">
        <f aca="false">IF(D705="","",UPPER(SUBSTITUTE(SUBSTITUTE(D705,"(",""),")","")))</f>
        <v/>
      </c>
      <c r="F705" s="0" t="str">
        <f aca="false">IF(C705="","",LEFT(C705,FIND(" ",C705&amp;" ")-1))</f>
        <v/>
      </c>
      <c r="G705" s="0" t="n">
        <f aca="false">IFERROR(VALUE(SUBSTITUTE(LOWER(F705),"x","")),0)</f>
        <v>0</v>
      </c>
      <c r="H705" s="0" t="str">
        <f aca="false">IF(C705="","",TRIM(MID(C705,LEN(F705)+2,999)))</f>
        <v/>
      </c>
      <c r="I705" s="0" t="n">
        <f aca="false">IF(OR(C705="",LEFT(C705,2)="//"),0,IFERROR(IF(AND(G705&gt;0,G705=INT(G705),FIND("-",E705)&gt;1,NOT(EXACT(UPPER(LEFT(E705,1)),LOWER(LEFT(E705,1)))),ISNUMBER(VALUE(MID(E705,FIND("-",E705)+1,10)))),1,0),0))</f>
        <v>0</v>
      </c>
      <c r="J705" s="0" t="str">
        <f aca="false">IF(I705=1,TRIM(LEFT(H705,MAX(0,LEN(H705)-LEN(D705)))),"")</f>
        <v/>
      </c>
      <c r="K705" s="0" t="str">
        <f aca="false">INDEX($P$2:$P$21,A705)</f>
        <v>Deck 12</v>
      </c>
      <c r="L705" s="0" t="n">
        <f aca="false">IF(AND(C705&lt;&gt;"",LEFT(C705,2)&lt;&gt;"//",I705=0),1,0)</f>
        <v>0</v>
      </c>
      <c r="M705" s="0" t="str">
        <f aca="false">IF(I705=1,MAX(M$1:M704)+1,"")</f>
        <v/>
      </c>
      <c r="N705" s="0" t="str">
        <f aca="false">IFERROR(MATCH(ROW()-1,$V$2:$V$1201,0),"")</f>
        <v/>
      </c>
      <c r="R705" s="0" t="str">
        <f aca="false">IF(E705="","",IFERROR(LEFT(E705,FIND("-",E705)-1),E705))</f>
        <v/>
      </c>
      <c r="S705" s="0" t="str">
        <f aca="false">IF(R705="","",IF(ISNUMBER(--MID(R705,1,1)),0,IF(ISNUMBER(--MID(R705,2,1)),1,IF(ISNUMBER(--MID(R705,3,1)),2,IF(ISNUMBER(--MID(R705,4,1)),3,MIN(LEN(R705),4))))))</f>
        <v/>
      </c>
      <c r="T705" s="0" t="str">
        <f aca="false">IF(E705="","",LEFT(R705,S705)&amp;REPT("0",4-S705)&amp;RIGHT("000"&amp;IFERROR(VALUE(MID(R705,S705+1,9)),0),3)&amp;RIGHT("0000"&amp;IFERROR(VALUE(MID(E705,FIND("-",E705)+1,9)),0),4))</f>
        <v/>
      </c>
      <c r="U705" s="0" t="str">
        <f aca="false">IF(I705=1,"K"&amp;RIGHT("00"&amp;A705,2)&amp;T705&amp;RIGHT("00000"&amp;ROW(),5),"")</f>
        <v/>
      </c>
      <c r="V705" s="0" t="str">
        <f aca="false">IF(U705="","",COUNTIFS($I$2:$I$1201,1,$U$2:$U$1201,"&lt;"&amp;U705)+1)</f>
        <v/>
      </c>
    </row>
    <row r="706" customFormat="false" ht="15" hidden="false" customHeight="false" outlineLevel="0" collapsed="false">
      <c r="A706" s="0" t="n">
        <v>12</v>
      </c>
      <c r="B706" s="0" t="n">
        <v>45</v>
      </c>
      <c r="C706" s="0" t="str">
        <f aca="false">TRIM(SUBSTITUTE(INDEX(LISTAS!$A$4:$T$63,B706,A706)&amp;"",CHAR(160)," "))</f>
        <v/>
      </c>
      <c r="D706" s="0" t="str">
        <f aca="false">IF(C706="","",TRIM(RIGHT(SUBSTITUTE(C706," ",REPT(" ",100)),100)))</f>
        <v/>
      </c>
      <c r="E706" s="0" t="str">
        <f aca="false">IF(D706="","",UPPER(SUBSTITUTE(SUBSTITUTE(D706,"(",""),")","")))</f>
        <v/>
      </c>
      <c r="F706" s="0" t="str">
        <f aca="false">IF(C706="","",LEFT(C706,FIND(" ",C706&amp;" ")-1))</f>
        <v/>
      </c>
      <c r="G706" s="0" t="n">
        <f aca="false">IFERROR(VALUE(SUBSTITUTE(LOWER(F706),"x","")),0)</f>
        <v>0</v>
      </c>
      <c r="H706" s="0" t="str">
        <f aca="false">IF(C706="","",TRIM(MID(C706,LEN(F706)+2,999)))</f>
        <v/>
      </c>
      <c r="I706" s="0" t="n">
        <f aca="false">IF(OR(C706="",LEFT(C706,2)="//"),0,IFERROR(IF(AND(G706&gt;0,G706=INT(G706),FIND("-",E706)&gt;1,NOT(EXACT(UPPER(LEFT(E706,1)),LOWER(LEFT(E706,1)))),ISNUMBER(VALUE(MID(E706,FIND("-",E706)+1,10)))),1,0),0))</f>
        <v>0</v>
      </c>
      <c r="J706" s="0" t="str">
        <f aca="false">IF(I706=1,TRIM(LEFT(H706,MAX(0,LEN(H706)-LEN(D706)))),"")</f>
        <v/>
      </c>
      <c r="K706" s="0" t="str">
        <f aca="false">INDEX($P$2:$P$21,A706)</f>
        <v>Deck 12</v>
      </c>
      <c r="L706" s="0" t="n">
        <f aca="false">IF(AND(C706&lt;&gt;"",LEFT(C706,2)&lt;&gt;"//",I706=0),1,0)</f>
        <v>0</v>
      </c>
      <c r="M706" s="0" t="str">
        <f aca="false">IF(I706=1,MAX(M$1:M705)+1,"")</f>
        <v/>
      </c>
      <c r="N706" s="0" t="str">
        <f aca="false">IFERROR(MATCH(ROW()-1,$V$2:$V$1201,0),"")</f>
        <v/>
      </c>
      <c r="R706" s="0" t="str">
        <f aca="false">IF(E706="","",IFERROR(LEFT(E706,FIND("-",E706)-1),E706))</f>
        <v/>
      </c>
      <c r="S706" s="0" t="str">
        <f aca="false">IF(R706="","",IF(ISNUMBER(--MID(R706,1,1)),0,IF(ISNUMBER(--MID(R706,2,1)),1,IF(ISNUMBER(--MID(R706,3,1)),2,IF(ISNUMBER(--MID(R706,4,1)),3,MIN(LEN(R706),4))))))</f>
        <v/>
      </c>
      <c r="T706" s="0" t="str">
        <f aca="false">IF(E706="","",LEFT(R706,S706)&amp;REPT("0",4-S706)&amp;RIGHT("000"&amp;IFERROR(VALUE(MID(R706,S706+1,9)),0),3)&amp;RIGHT("0000"&amp;IFERROR(VALUE(MID(E706,FIND("-",E706)+1,9)),0),4))</f>
        <v/>
      </c>
      <c r="U706" s="0" t="str">
        <f aca="false">IF(I706=1,"K"&amp;RIGHT("00"&amp;A706,2)&amp;T706&amp;RIGHT("00000"&amp;ROW(),5),"")</f>
        <v/>
      </c>
      <c r="V706" s="0" t="str">
        <f aca="false">IF(U706="","",COUNTIFS($I$2:$I$1201,1,$U$2:$U$1201,"&lt;"&amp;U706)+1)</f>
        <v/>
      </c>
    </row>
    <row r="707" customFormat="false" ht="15" hidden="false" customHeight="false" outlineLevel="0" collapsed="false">
      <c r="A707" s="0" t="n">
        <v>12</v>
      </c>
      <c r="B707" s="0" t="n">
        <v>46</v>
      </c>
      <c r="C707" s="0" t="str">
        <f aca="false">TRIM(SUBSTITUTE(INDEX(LISTAS!$A$4:$T$63,B707,A707)&amp;"",CHAR(160)," "))</f>
        <v/>
      </c>
      <c r="D707" s="0" t="str">
        <f aca="false">IF(C707="","",TRIM(RIGHT(SUBSTITUTE(C707," ",REPT(" ",100)),100)))</f>
        <v/>
      </c>
      <c r="E707" s="0" t="str">
        <f aca="false">IF(D707="","",UPPER(SUBSTITUTE(SUBSTITUTE(D707,"(",""),")","")))</f>
        <v/>
      </c>
      <c r="F707" s="0" t="str">
        <f aca="false">IF(C707="","",LEFT(C707,FIND(" ",C707&amp;" ")-1))</f>
        <v/>
      </c>
      <c r="G707" s="0" t="n">
        <f aca="false">IFERROR(VALUE(SUBSTITUTE(LOWER(F707),"x","")),0)</f>
        <v>0</v>
      </c>
      <c r="H707" s="0" t="str">
        <f aca="false">IF(C707="","",TRIM(MID(C707,LEN(F707)+2,999)))</f>
        <v/>
      </c>
      <c r="I707" s="0" t="n">
        <f aca="false">IF(OR(C707="",LEFT(C707,2)="//"),0,IFERROR(IF(AND(G707&gt;0,G707=INT(G707),FIND("-",E707)&gt;1,NOT(EXACT(UPPER(LEFT(E707,1)),LOWER(LEFT(E707,1)))),ISNUMBER(VALUE(MID(E707,FIND("-",E707)+1,10)))),1,0),0))</f>
        <v>0</v>
      </c>
      <c r="J707" s="0" t="str">
        <f aca="false">IF(I707=1,TRIM(LEFT(H707,MAX(0,LEN(H707)-LEN(D707)))),"")</f>
        <v/>
      </c>
      <c r="K707" s="0" t="str">
        <f aca="false">INDEX($P$2:$P$21,A707)</f>
        <v>Deck 12</v>
      </c>
      <c r="L707" s="0" t="n">
        <f aca="false">IF(AND(C707&lt;&gt;"",LEFT(C707,2)&lt;&gt;"//",I707=0),1,0)</f>
        <v>0</v>
      </c>
      <c r="M707" s="0" t="str">
        <f aca="false">IF(I707=1,MAX(M$1:M706)+1,"")</f>
        <v/>
      </c>
      <c r="N707" s="0" t="str">
        <f aca="false">IFERROR(MATCH(ROW()-1,$V$2:$V$1201,0),"")</f>
        <v/>
      </c>
      <c r="R707" s="0" t="str">
        <f aca="false">IF(E707="","",IFERROR(LEFT(E707,FIND("-",E707)-1),E707))</f>
        <v/>
      </c>
      <c r="S707" s="0" t="str">
        <f aca="false">IF(R707="","",IF(ISNUMBER(--MID(R707,1,1)),0,IF(ISNUMBER(--MID(R707,2,1)),1,IF(ISNUMBER(--MID(R707,3,1)),2,IF(ISNUMBER(--MID(R707,4,1)),3,MIN(LEN(R707),4))))))</f>
        <v/>
      </c>
      <c r="T707" s="0" t="str">
        <f aca="false">IF(E707="","",LEFT(R707,S707)&amp;REPT("0",4-S707)&amp;RIGHT("000"&amp;IFERROR(VALUE(MID(R707,S707+1,9)),0),3)&amp;RIGHT("0000"&amp;IFERROR(VALUE(MID(E707,FIND("-",E707)+1,9)),0),4))</f>
        <v/>
      </c>
      <c r="U707" s="0" t="str">
        <f aca="false">IF(I707=1,"K"&amp;RIGHT("00"&amp;A707,2)&amp;T707&amp;RIGHT("00000"&amp;ROW(),5),"")</f>
        <v/>
      </c>
      <c r="V707" s="0" t="str">
        <f aca="false">IF(U707="","",COUNTIFS($I$2:$I$1201,1,$U$2:$U$1201,"&lt;"&amp;U707)+1)</f>
        <v/>
      </c>
    </row>
    <row r="708" customFormat="false" ht="15" hidden="false" customHeight="false" outlineLevel="0" collapsed="false">
      <c r="A708" s="0" t="n">
        <v>12</v>
      </c>
      <c r="B708" s="0" t="n">
        <v>47</v>
      </c>
      <c r="C708" s="0" t="str">
        <f aca="false">TRIM(SUBSTITUTE(INDEX(LISTAS!$A$4:$T$63,B708,A708)&amp;"",CHAR(160)," "))</f>
        <v/>
      </c>
      <c r="D708" s="0" t="str">
        <f aca="false">IF(C708="","",TRIM(RIGHT(SUBSTITUTE(C708," ",REPT(" ",100)),100)))</f>
        <v/>
      </c>
      <c r="E708" s="0" t="str">
        <f aca="false">IF(D708="","",UPPER(SUBSTITUTE(SUBSTITUTE(D708,"(",""),")","")))</f>
        <v/>
      </c>
      <c r="F708" s="0" t="str">
        <f aca="false">IF(C708="","",LEFT(C708,FIND(" ",C708&amp;" ")-1))</f>
        <v/>
      </c>
      <c r="G708" s="0" t="n">
        <f aca="false">IFERROR(VALUE(SUBSTITUTE(LOWER(F708),"x","")),0)</f>
        <v>0</v>
      </c>
      <c r="H708" s="0" t="str">
        <f aca="false">IF(C708="","",TRIM(MID(C708,LEN(F708)+2,999)))</f>
        <v/>
      </c>
      <c r="I708" s="0" t="n">
        <f aca="false">IF(OR(C708="",LEFT(C708,2)="//"),0,IFERROR(IF(AND(G708&gt;0,G708=INT(G708),FIND("-",E708)&gt;1,NOT(EXACT(UPPER(LEFT(E708,1)),LOWER(LEFT(E708,1)))),ISNUMBER(VALUE(MID(E708,FIND("-",E708)+1,10)))),1,0),0))</f>
        <v>0</v>
      </c>
      <c r="J708" s="0" t="str">
        <f aca="false">IF(I708=1,TRIM(LEFT(H708,MAX(0,LEN(H708)-LEN(D708)))),"")</f>
        <v/>
      </c>
      <c r="K708" s="0" t="str">
        <f aca="false">INDEX($P$2:$P$21,A708)</f>
        <v>Deck 12</v>
      </c>
      <c r="L708" s="0" t="n">
        <f aca="false">IF(AND(C708&lt;&gt;"",LEFT(C708,2)&lt;&gt;"//",I708=0),1,0)</f>
        <v>0</v>
      </c>
      <c r="M708" s="0" t="str">
        <f aca="false">IF(I708=1,MAX(M$1:M707)+1,"")</f>
        <v/>
      </c>
      <c r="N708" s="0" t="str">
        <f aca="false">IFERROR(MATCH(ROW()-1,$V$2:$V$1201,0),"")</f>
        <v/>
      </c>
      <c r="R708" s="0" t="str">
        <f aca="false">IF(E708="","",IFERROR(LEFT(E708,FIND("-",E708)-1),E708))</f>
        <v/>
      </c>
      <c r="S708" s="0" t="str">
        <f aca="false">IF(R708="","",IF(ISNUMBER(--MID(R708,1,1)),0,IF(ISNUMBER(--MID(R708,2,1)),1,IF(ISNUMBER(--MID(R708,3,1)),2,IF(ISNUMBER(--MID(R708,4,1)),3,MIN(LEN(R708),4))))))</f>
        <v/>
      </c>
      <c r="T708" s="0" t="str">
        <f aca="false">IF(E708="","",LEFT(R708,S708)&amp;REPT("0",4-S708)&amp;RIGHT("000"&amp;IFERROR(VALUE(MID(R708,S708+1,9)),0),3)&amp;RIGHT("0000"&amp;IFERROR(VALUE(MID(E708,FIND("-",E708)+1,9)),0),4))</f>
        <v/>
      </c>
      <c r="U708" s="0" t="str">
        <f aca="false">IF(I708=1,"K"&amp;RIGHT("00"&amp;A708,2)&amp;T708&amp;RIGHT("00000"&amp;ROW(),5),"")</f>
        <v/>
      </c>
      <c r="V708" s="0" t="str">
        <f aca="false">IF(U708="","",COUNTIFS($I$2:$I$1201,1,$U$2:$U$1201,"&lt;"&amp;U708)+1)</f>
        <v/>
      </c>
    </row>
    <row r="709" customFormat="false" ht="15" hidden="false" customHeight="false" outlineLevel="0" collapsed="false">
      <c r="A709" s="0" t="n">
        <v>12</v>
      </c>
      <c r="B709" s="0" t="n">
        <v>48</v>
      </c>
      <c r="C709" s="0" t="str">
        <f aca="false">TRIM(SUBSTITUTE(INDEX(LISTAS!$A$4:$T$63,B709,A709)&amp;"",CHAR(160)," "))</f>
        <v/>
      </c>
      <c r="D709" s="0" t="str">
        <f aca="false">IF(C709="","",TRIM(RIGHT(SUBSTITUTE(C709," ",REPT(" ",100)),100)))</f>
        <v/>
      </c>
      <c r="E709" s="0" t="str">
        <f aca="false">IF(D709="","",UPPER(SUBSTITUTE(SUBSTITUTE(D709,"(",""),")","")))</f>
        <v/>
      </c>
      <c r="F709" s="0" t="str">
        <f aca="false">IF(C709="","",LEFT(C709,FIND(" ",C709&amp;" ")-1))</f>
        <v/>
      </c>
      <c r="G709" s="0" t="n">
        <f aca="false">IFERROR(VALUE(SUBSTITUTE(LOWER(F709),"x","")),0)</f>
        <v>0</v>
      </c>
      <c r="H709" s="0" t="str">
        <f aca="false">IF(C709="","",TRIM(MID(C709,LEN(F709)+2,999)))</f>
        <v/>
      </c>
      <c r="I709" s="0" t="n">
        <f aca="false">IF(OR(C709="",LEFT(C709,2)="//"),0,IFERROR(IF(AND(G709&gt;0,G709=INT(G709),FIND("-",E709)&gt;1,NOT(EXACT(UPPER(LEFT(E709,1)),LOWER(LEFT(E709,1)))),ISNUMBER(VALUE(MID(E709,FIND("-",E709)+1,10)))),1,0),0))</f>
        <v>0</v>
      </c>
      <c r="J709" s="0" t="str">
        <f aca="false">IF(I709=1,TRIM(LEFT(H709,MAX(0,LEN(H709)-LEN(D709)))),"")</f>
        <v/>
      </c>
      <c r="K709" s="0" t="str">
        <f aca="false">INDEX($P$2:$P$21,A709)</f>
        <v>Deck 12</v>
      </c>
      <c r="L709" s="0" t="n">
        <f aca="false">IF(AND(C709&lt;&gt;"",LEFT(C709,2)&lt;&gt;"//",I709=0),1,0)</f>
        <v>0</v>
      </c>
      <c r="M709" s="0" t="str">
        <f aca="false">IF(I709=1,MAX(M$1:M708)+1,"")</f>
        <v/>
      </c>
      <c r="N709" s="0" t="str">
        <f aca="false">IFERROR(MATCH(ROW()-1,$V$2:$V$1201,0),"")</f>
        <v/>
      </c>
      <c r="R709" s="0" t="str">
        <f aca="false">IF(E709="","",IFERROR(LEFT(E709,FIND("-",E709)-1),E709))</f>
        <v/>
      </c>
      <c r="S709" s="0" t="str">
        <f aca="false">IF(R709="","",IF(ISNUMBER(--MID(R709,1,1)),0,IF(ISNUMBER(--MID(R709,2,1)),1,IF(ISNUMBER(--MID(R709,3,1)),2,IF(ISNUMBER(--MID(R709,4,1)),3,MIN(LEN(R709),4))))))</f>
        <v/>
      </c>
      <c r="T709" s="0" t="str">
        <f aca="false">IF(E709="","",LEFT(R709,S709)&amp;REPT("0",4-S709)&amp;RIGHT("000"&amp;IFERROR(VALUE(MID(R709,S709+1,9)),0),3)&amp;RIGHT("0000"&amp;IFERROR(VALUE(MID(E709,FIND("-",E709)+1,9)),0),4))</f>
        <v/>
      </c>
      <c r="U709" s="0" t="str">
        <f aca="false">IF(I709=1,"K"&amp;RIGHT("00"&amp;A709,2)&amp;T709&amp;RIGHT("00000"&amp;ROW(),5),"")</f>
        <v/>
      </c>
      <c r="V709" s="0" t="str">
        <f aca="false">IF(U709="","",COUNTIFS($I$2:$I$1201,1,$U$2:$U$1201,"&lt;"&amp;U709)+1)</f>
        <v/>
      </c>
    </row>
    <row r="710" customFormat="false" ht="15" hidden="false" customHeight="false" outlineLevel="0" collapsed="false">
      <c r="A710" s="0" t="n">
        <v>12</v>
      </c>
      <c r="B710" s="0" t="n">
        <v>49</v>
      </c>
      <c r="C710" s="0" t="str">
        <f aca="false">TRIM(SUBSTITUTE(INDEX(LISTAS!$A$4:$T$63,B710,A710)&amp;"",CHAR(160)," "))</f>
        <v/>
      </c>
      <c r="D710" s="0" t="str">
        <f aca="false">IF(C710="","",TRIM(RIGHT(SUBSTITUTE(C710," ",REPT(" ",100)),100)))</f>
        <v/>
      </c>
      <c r="E710" s="0" t="str">
        <f aca="false">IF(D710="","",UPPER(SUBSTITUTE(SUBSTITUTE(D710,"(",""),")","")))</f>
        <v/>
      </c>
      <c r="F710" s="0" t="str">
        <f aca="false">IF(C710="","",LEFT(C710,FIND(" ",C710&amp;" ")-1))</f>
        <v/>
      </c>
      <c r="G710" s="0" t="n">
        <f aca="false">IFERROR(VALUE(SUBSTITUTE(LOWER(F710),"x","")),0)</f>
        <v>0</v>
      </c>
      <c r="H710" s="0" t="str">
        <f aca="false">IF(C710="","",TRIM(MID(C710,LEN(F710)+2,999)))</f>
        <v/>
      </c>
      <c r="I710" s="0" t="n">
        <f aca="false">IF(OR(C710="",LEFT(C710,2)="//"),0,IFERROR(IF(AND(G710&gt;0,G710=INT(G710),FIND("-",E710)&gt;1,NOT(EXACT(UPPER(LEFT(E710,1)),LOWER(LEFT(E710,1)))),ISNUMBER(VALUE(MID(E710,FIND("-",E710)+1,10)))),1,0),0))</f>
        <v>0</v>
      </c>
      <c r="J710" s="0" t="str">
        <f aca="false">IF(I710=1,TRIM(LEFT(H710,MAX(0,LEN(H710)-LEN(D710)))),"")</f>
        <v/>
      </c>
      <c r="K710" s="0" t="str">
        <f aca="false">INDEX($P$2:$P$21,A710)</f>
        <v>Deck 12</v>
      </c>
      <c r="L710" s="0" t="n">
        <f aca="false">IF(AND(C710&lt;&gt;"",LEFT(C710,2)&lt;&gt;"//",I710=0),1,0)</f>
        <v>0</v>
      </c>
      <c r="M710" s="0" t="str">
        <f aca="false">IF(I710=1,MAX(M$1:M709)+1,"")</f>
        <v/>
      </c>
      <c r="N710" s="0" t="str">
        <f aca="false">IFERROR(MATCH(ROW()-1,$V$2:$V$1201,0),"")</f>
        <v/>
      </c>
      <c r="R710" s="0" t="str">
        <f aca="false">IF(E710="","",IFERROR(LEFT(E710,FIND("-",E710)-1),E710))</f>
        <v/>
      </c>
      <c r="S710" s="0" t="str">
        <f aca="false">IF(R710="","",IF(ISNUMBER(--MID(R710,1,1)),0,IF(ISNUMBER(--MID(R710,2,1)),1,IF(ISNUMBER(--MID(R710,3,1)),2,IF(ISNUMBER(--MID(R710,4,1)),3,MIN(LEN(R710),4))))))</f>
        <v/>
      </c>
      <c r="T710" s="0" t="str">
        <f aca="false">IF(E710="","",LEFT(R710,S710)&amp;REPT("0",4-S710)&amp;RIGHT("000"&amp;IFERROR(VALUE(MID(R710,S710+1,9)),0),3)&amp;RIGHT("0000"&amp;IFERROR(VALUE(MID(E710,FIND("-",E710)+1,9)),0),4))</f>
        <v/>
      </c>
      <c r="U710" s="0" t="str">
        <f aca="false">IF(I710=1,"K"&amp;RIGHT("00"&amp;A710,2)&amp;T710&amp;RIGHT("00000"&amp;ROW(),5),"")</f>
        <v/>
      </c>
      <c r="V710" s="0" t="str">
        <f aca="false">IF(U710="","",COUNTIFS($I$2:$I$1201,1,$U$2:$U$1201,"&lt;"&amp;U710)+1)</f>
        <v/>
      </c>
    </row>
    <row r="711" customFormat="false" ht="15" hidden="false" customHeight="false" outlineLevel="0" collapsed="false">
      <c r="A711" s="0" t="n">
        <v>12</v>
      </c>
      <c r="B711" s="0" t="n">
        <v>50</v>
      </c>
      <c r="C711" s="0" t="str">
        <f aca="false">TRIM(SUBSTITUTE(INDEX(LISTAS!$A$4:$T$63,B711,A711)&amp;"",CHAR(160)," "))</f>
        <v/>
      </c>
      <c r="D711" s="0" t="str">
        <f aca="false">IF(C711="","",TRIM(RIGHT(SUBSTITUTE(C711," ",REPT(" ",100)),100)))</f>
        <v/>
      </c>
      <c r="E711" s="0" t="str">
        <f aca="false">IF(D711="","",UPPER(SUBSTITUTE(SUBSTITUTE(D711,"(",""),")","")))</f>
        <v/>
      </c>
      <c r="F711" s="0" t="str">
        <f aca="false">IF(C711="","",LEFT(C711,FIND(" ",C711&amp;" ")-1))</f>
        <v/>
      </c>
      <c r="G711" s="0" t="n">
        <f aca="false">IFERROR(VALUE(SUBSTITUTE(LOWER(F711),"x","")),0)</f>
        <v>0</v>
      </c>
      <c r="H711" s="0" t="str">
        <f aca="false">IF(C711="","",TRIM(MID(C711,LEN(F711)+2,999)))</f>
        <v/>
      </c>
      <c r="I711" s="0" t="n">
        <f aca="false">IF(OR(C711="",LEFT(C711,2)="//"),0,IFERROR(IF(AND(G711&gt;0,G711=INT(G711),FIND("-",E711)&gt;1,NOT(EXACT(UPPER(LEFT(E711,1)),LOWER(LEFT(E711,1)))),ISNUMBER(VALUE(MID(E711,FIND("-",E711)+1,10)))),1,0),0))</f>
        <v>0</v>
      </c>
      <c r="J711" s="0" t="str">
        <f aca="false">IF(I711=1,TRIM(LEFT(H711,MAX(0,LEN(H711)-LEN(D711)))),"")</f>
        <v/>
      </c>
      <c r="K711" s="0" t="str">
        <f aca="false">INDEX($P$2:$P$21,A711)</f>
        <v>Deck 12</v>
      </c>
      <c r="L711" s="0" t="n">
        <f aca="false">IF(AND(C711&lt;&gt;"",LEFT(C711,2)&lt;&gt;"//",I711=0),1,0)</f>
        <v>0</v>
      </c>
      <c r="M711" s="0" t="str">
        <f aca="false">IF(I711=1,MAX(M$1:M710)+1,"")</f>
        <v/>
      </c>
      <c r="N711" s="0" t="str">
        <f aca="false">IFERROR(MATCH(ROW()-1,$V$2:$V$1201,0),"")</f>
        <v/>
      </c>
      <c r="R711" s="0" t="str">
        <f aca="false">IF(E711="","",IFERROR(LEFT(E711,FIND("-",E711)-1),E711))</f>
        <v/>
      </c>
      <c r="S711" s="0" t="str">
        <f aca="false">IF(R711="","",IF(ISNUMBER(--MID(R711,1,1)),0,IF(ISNUMBER(--MID(R711,2,1)),1,IF(ISNUMBER(--MID(R711,3,1)),2,IF(ISNUMBER(--MID(R711,4,1)),3,MIN(LEN(R711),4))))))</f>
        <v/>
      </c>
      <c r="T711" s="0" t="str">
        <f aca="false">IF(E711="","",LEFT(R711,S711)&amp;REPT("0",4-S711)&amp;RIGHT("000"&amp;IFERROR(VALUE(MID(R711,S711+1,9)),0),3)&amp;RIGHT("0000"&amp;IFERROR(VALUE(MID(E711,FIND("-",E711)+1,9)),0),4))</f>
        <v/>
      </c>
      <c r="U711" s="0" t="str">
        <f aca="false">IF(I711=1,"K"&amp;RIGHT("00"&amp;A711,2)&amp;T711&amp;RIGHT("00000"&amp;ROW(),5),"")</f>
        <v/>
      </c>
      <c r="V711" s="0" t="str">
        <f aca="false">IF(U711="","",COUNTIFS($I$2:$I$1201,1,$U$2:$U$1201,"&lt;"&amp;U711)+1)</f>
        <v/>
      </c>
    </row>
    <row r="712" customFormat="false" ht="15" hidden="false" customHeight="false" outlineLevel="0" collapsed="false">
      <c r="A712" s="0" t="n">
        <v>12</v>
      </c>
      <c r="B712" s="0" t="n">
        <v>51</v>
      </c>
      <c r="C712" s="0" t="str">
        <f aca="false">TRIM(SUBSTITUTE(INDEX(LISTAS!$A$4:$T$63,B712,A712)&amp;"",CHAR(160)," "))</f>
        <v/>
      </c>
      <c r="D712" s="0" t="str">
        <f aca="false">IF(C712="","",TRIM(RIGHT(SUBSTITUTE(C712," ",REPT(" ",100)),100)))</f>
        <v/>
      </c>
      <c r="E712" s="0" t="str">
        <f aca="false">IF(D712="","",UPPER(SUBSTITUTE(SUBSTITUTE(D712,"(",""),")","")))</f>
        <v/>
      </c>
      <c r="F712" s="0" t="str">
        <f aca="false">IF(C712="","",LEFT(C712,FIND(" ",C712&amp;" ")-1))</f>
        <v/>
      </c>
      <c r="G712" s="0" t="n">
        <f aca="false">IFERROR(VALUE(SUBSTITUTE(LOWER(F712),"x","")),0)</f>
        <v>0</v>
      </c>
      <c r="H712" s="0" t="str">
        <f aca="false">IF(C712="","",TRIM(MID(C712,LEN(F712)+2,999)))</f>
        <v/>
      </c>
      <c r="I712" s="0" t="n">
        <f aca="false">IF(OR(C712="",LEFT(C712,2)="//"),0,IFERROR(IF(AND(G712&gt;0,G712=INT(G712),FIND("-",E712)&gt;1,NOT(EXACT(UPPER(LEFT(E712,1)),LOWER(LEFT(E712,1)))),ISNUMBER(VALUE(MID(E712,FIND("-",E712)+1,10)))),1,0),0))</f>
        <v>0</v>
      </c>
      <c r="J712" s="0" t="str">
        <f aca="false">IF(I712=1,TRIM(LEFT(H712,MAX(0,LEN(H712)-LEN(D712)))),"")</f>
        <v/>
      </c>
      <c r="K712" s="0" t="str">
        <f aca="false">INDEX($P$2:$P$21,A712)</f>
        <v>Deck 12</v>
      </c>
      <c r="L712" s="0" t="n">
        <f aca="false">IF(AND(C712&lt;&gt;"",LEFT(C712,2)&lt;&gt;"//",I712=0),1,0)</f>
        <v>0</v>
      </c>
      <c r="M712" s="0" t="str">
        <f aca="false">IF(I712=1,MAX(M$1:M711)+1,"")</f>
        <v/>
      </c>
      <c r="N712" s="0" t="str">
        <f aca="false">IFERROR(MATCH(ROW()-1,$V$2:$V$1201,0),"")</f>
        <v/>
      </c>
      <c r="R712" s="0" t="str">
        <f aca="false">IF(E712="","",IFERROR(LEFT(E712,FIND("-",E712)-1),E712))</f>
        <v/>
      </c>
      <c r="S712" s="0" t="str">
        <f aca="false">IF(R712="","",IF(ISNUMBER(--MID(R712,1,1)),0,IF(ISNUMBER(--MID(R712,2,1)),1,IF(ISNUMBER(--MID(R712,3,1)),2,IF(ISNUMBER(--MID(R712,4,1)),3,MIN(LEN(R712),4))))))</f>
        <v/>
      </c>
      <c r="T712" s="0" t="str">
        <f aca="false">IF(E712="","",LEFT(R712,S712)&amp;REPT("0",4-S712)&amp;RIGHT("000"&amp;IFERROR(VALUE(MID(R712,S712+1,9)),0),3)&amp;RIGHT("0000"&amp;IFERROR(VALUE(MID(E712,FIND("-",E712)+1,9)),0),4))</f>
        <v/>
      </c>
      <c r="U712" s="0" t="str">
        <f aca="false">IF(I712=1,"K"&amp;RIGHT("00"&amp;A712,2)&amp;T712&amp;RIGHT("00000"&amp;ROW(),5),"")</f>
        <v/>
      </c>
      <c r="V712" s="0" t="str">
        <f aca="false">IF(U712="","",COUNTIFS($I$2:$I$1201,1,$U$2:$U$1201,"&lt;"&amp;U712)+1)</f>
        <v/>
      </c>
    </row>
    <row r="713" customFormat="false" ht="15" hidden="false" customHeight="false" outlineLevel="0" collapsed="false">
      <c r="A713" s="0" t="n">
        <v>12</v>
      </c>
      <c r="B713" s="0" t="n">
        <v>52</v>
      </c>
      <c r="C713" s="0" t="str">
        <f aca="false">TRIM(SUBSTITUTE(INDEX(LISTAS!$A$4:$T$63,B713,A713)&amp;"",CHAR(160)," "))</f>
        <v/>
      </c>
      <c r="D713" s="0" t="str">
        <f aca="false">IF(C713="","",TRIM(RIGHT(SUBSTITUTE(C713," ",REPT(" ",100)),100)))</f>
        <v/>
      </c>
      <c r="E713" s="0" t="str">
        <f aca="false">IF(D713="","",UPPER(SUBSTITUTE(SUBSTITUTE(D713,"(",""),")","")))</f>
        <v/>
      </c>
      <c r="F713" s="0" t="str">
        <f aca="false">IF(C713="","",LEFT(C713,FIND(" ",C713&amp;" ")-1))</f>
        <v/>
      </c>
      <c r="G713" s="0" t="n">
        <f aca="false">IFERROR(VALUE(SUBSTITUTE(LOWER(F713),"x","")),0)</f>
        <v>0</v>
      </c>
      <c r="H713" s="0" t="str">
        <f aca="false">IF(C713="","",TRIM(MID(C713,LEN(F713)+2,999)))</f>
        <v/>
      </c>
      <c r="I713" s="0" t="n">
        <f aca="false">IF(OR(C713="",LEFT(C713,2)="//"),0,IFERROR(IF(AND(G713&gt;0,G713=INT(G713),FIND("-",E713)&gt;1,NOT(EXACT(UPPER(LEFT(E713,1)),LOWER(LEFT(E713,1)))),ISNUMBER(VALUE(MID(E713,FIND("-",E713)+1,10)))),1,0),0))</f>
        <v>0</v>
      </c>
      <c r="J713" s="0" t="str">
        <f aca="false">IF(I713=1,TRIM(LEFT(H713,MAX(0,LEN(H713)-LEN(D713)))),"")</f>
        <v/>
      </c>
      <c r="K713" s="0" t="str">
        <f aca="false">INDEX($P$2:$P$21,A713)</f>
        <v>Deck 12</v>
      </c>
      <c r="L713" s="0" t="n">
        <f aca="false">IF(AND(C713&lt;&gt;"",LEFT(C713,2)&lt;&gt;"//",I713=0),1,0)</f>
        <v>0</v>
      </c>
      <c r="M713" s="0" t="str">
        <f aca="false">IF(I713=1,MAX(M$1:M712)+1,"")</f>
        <v/>
      </c>
      <c r="N713" s="0" t="str">
        <f aca="false">IFERROR(MATCH(ROW()-1,$V$2:$V$1201,0),"")</f>
        <v/>
      </c>
      <c r="R713" s="0" t="str">
        <f aca="false">IF(E713="","",IFERROR(LEFT(E713,FIND("-",E713)-1),E713))</f>
        <v/>
      </c>
      <c r="S713" s="0" t="str">
        <f aca="false">IF(R713="","",IF(ISNUMBER(--MID(R713,1,1)),0,IF(ISNUMBER(--MID(R713,2,1)),1,IF(ISNUMBER(--MID(R713,3,1)),2,IF(ISNUMBER(--MID(R713,4,1)),3,MIN(LEN(R713),4))))))</f>
        <v/>
      </c>
      <c r="T713" s="0" t="str">
        <f aca="false">IF(E713="","",LEFT(R713,S713)&amp;REPT("0",4-S713)&amp;RIGHT("000"&amp;IFERROR(VALUE(MID(R713,S713+1,9)),0),3)&amp;RIGHT("0000"&amp;IFERROR(VALUE(MID(E713,FIND("-",E713)+1,9)),0),4))</f>
        <v/>
      </c>
      <c r="U713" s="0" t="str">
        <f aca="false">IF(I713=1,"K"&amp;RIGHT("00"&amp;A713,2)&amp;T713&amp;RIGHT("00000"&amp;ROW(),5),"")</f>
        <v/>
      </c>
      <c r="V713" s="0" t="str">
        <f aca="false">IF(U713="","",COUNTIFS($I$2:$I$1201,1,$U$2:$U$1201,"&lt;"&amp;U713)+1)</f>
        <v/>
      </c>
    </row>
    <row r="714" customFormat="false" ht="15" hidden="false" customHeight="false" outlineLevel="0" collapsed="false">
      <c r="A714" s="0" t="n">
        <v>12</v>
      </c>
      <c r="B714" s="0" t="n">
        <v>53</v>
      </c>
      <c r="C714" s="0" t="str">
        <f aca="false">TRIM(SUBSTITUTE(INDEX(LISTAS!$A$4:$T$63,B714,A714)&amp;"",CHAR(160)," "))</f>
        <v/>
      </c>
      <c r="D714" s="0" t="str">
        <f aca="false">IF(C714="","",TRIM(RIGHT(SUBSTITUTE(C714," ",REPT(" ",100)),100)))</f>
        <v/>
      </c>
      <c r="E714" s="0" t="str">
        <f aca="false">IF(D714="","",UPPER(SUBSTITUTE(SUBSTITUTE(D714,"(",""),")","")))</f>
        <v/>
      </c>
      <c r="F714" s="0" t="str">
        <f aca="false">IF(C714="","",LEFT(C714,FIND(" ",C714&amp;" ")-1))</f>
        <v/>
      </c>
      <c r="G714" s="0" t="n">
        <f aca="false">IFERROR(VALUE(SUBSTITUTE(LOWER(F714),"x","")),0)</f>
        <v>0</v>
      </c>
      <c r="H714" s="0" t="str">
        <f aca="false">IF(C714="","",TRIM(MID(C714,LEN(F714)+2,999)))</f>
        <v/>
      </c>
      <c r="I714" s="0" t="n">
        <f aca="false">IF(OR(C714="",LEFT(C714,2)="//"),0,IFERROR(IF(AND(G714&gt;0,G714=INT(G714),FIND("-",E714)&gt;1,NOT(EXACT(UPPER(LEFT(E714,1)),LOWER(LEFT(E714,1)))),ISNUMBER(VALUE(MID(E714,FIND("-",E714)+1,10)))),1,0),0))</f>
        <v>0</v>
      </c>
      <c r="J714" s="0" t="str">
        <f aca="false">IF(I714=1,TRIM(LEFT(H714,MAX(0,LEN(H714)-LEN(D714)))),"")</f>
        <v/>
      </c>
      <c r="K714" s="0" t="str">
        <f aca="false">INDEX($P$2:$P$21,A714)</f>
        <v>Deck 12</v>
      </c>
      <c r="L714" s="0" t="n">
        <f aca="false">IF(AND(C714&lt;&gt;"",LEFT(C714,2)&lt;&gt;"//",I714=0),1,0)</f>
        <v>0</v>
      </c>
      <c r="M714" s="0" t="str">
        <f aca="false">IF(I714=1,MAX(M$1:M713)+1,"")</f>
        <v/>
      </c>
      <c r="N714" s="0" t="str">
        <f aca="false">IFERROR(MATCH(ROW()-1,$V$2:$V$1201,0),"")</f>
        <v/>
      </c>
      <c r="R714" s="0" t="str">
        <f aca="false">IF(E714="","",IFERROR(LEFT(E714,FIND("-",E714)-1),E714))</f>
        <v/>
      </c>
      <c r="S714" s="0" t="str">
        <f aca="false">IF(R714="","",IF(ISNUMBER(--MID(R714,1,1)),0,IF(ISNUMBER(--MID(R714,2,1)),1,IF(ISNUMBER(--MID(R714,3,1)),2,IF(ISNUMBER(--MID(R714,4,1)),3,MIN(LEN(R714),4))))))</f>
        <v/>
      </c>
      <c r="T714" s="0" t="str">
        <f aca="false">IF(E714="","",LEFT(R714,S714)&amp;REPT("0",4-S714)&amp;RIGHT("000"&amp;IFERROR(VALUE(MID(R714,S714+1,9)),0),3)&amp;RIGHT("0000"&amp;IFERROR(VALUE(MID(E714,FIND("-",E714)+1,9)),0),4))</f>
        <v/>
      </c>
      <c r="U714" s="0" t="str">
        <f aca="false">IF(I714=1,"K"&amp;RIGHT("00"&amp;A714,2)&amp;T714&amp;RIGHT("00000"&amp;ROW(),5),"")</f>
        <v/>
      </c>
      <c r="V714" s="0" t="str">
        <f aca="false">IF(U714="","",COUNTIFS($I$2:$I$1201,1,$U$2:$U$1201,"&lt;"&amp;U714)+1)</f>
        <v/>
      </c>
    </row>
    <row r="715" customFormat="false" ht="15" hidden="false" customHeight="false" outlineLevel="0" collapsed="false">
      <c r="A715" s="0" t="n">
        <v>12</v>
      </c>
      <c r="B715" s="0" t="n">
        <v>54</v>
      </c>
      <c r="C715" s="0" t="str">
        <f aca="false">TRIM(SUBSTITUTE(INDEX(LISTAS!$A$4:$T$63,B715,A715)&amp;"",CHAR(160)," "))</f>
        <v/>
      </c>
      <c r="D715" s="0" t="str">
        <f aca="false">IF(C715="","",TRIM(RIGHT(SUBSTITUTE(C715," ",REPT(" ",100)),100)))</f>
        <v/>
      </c>
      <c r="E715" s="0" t="str">
        <f aca="false">IF(D715="","",UPPER(SUBSTITUTE(SUBSTITUTE(D715,"(",""),")","")))</f>
        <v/>
      </c>
      <c r="F715" s="0" t="str">
        <f aca="false">IF(C715="","",LEFT(C715,FIND(" ",C715&amp;" ")-1))</f>
        <v/>
      </c>
      <c r="G715" s="0" t="n">
        <f aca="false">IFERROR(VALUE(SUBSTITUTE(LOWER(F715),"x","")),0)</f>
        <v>0</v>
      </c>
      <c r="H715" s="0" t="str">
        <f aca="false">IF(C715="","",TRIM(MID(C715,LEN(F715)+2,999)))</f>
        <v/>
      </c>
      <c r="I715" s="0" t="n">
        <f aca="false">IF(OR(C715="",LEFT(C715,2)="//"),0,IFERROR(IF(AND(G715&gt;0,G715=INT(G715),FIND("-",E715)&gt;1,NOT(EXACT(UPPER(LEFT(E715,1)),LOWER(LEFT(E715,1)))),ISNUMBER(VALUE(MID(E715,FIND("-",E715)+1,10)))),1,0),0))</f>
        <v>0</v>
      </c>
      <c r="J715" s="0" t="str">
        <f aca="false">IF(I715=1,TRIM(LEFT(H715,MAX(0,LEN(H715)-LEN(D715)))),"")</f>
        <v/>
      </c>
      <c r="K715" s="0" t="str">
        <f aca="false">INDEX($P$2:$P$21,A715)</f>
        <v>Deck 12</v>
      </c>
      <c r="L715" s="0" t="n">
        <f aca="false">IF(AND(C715&lt;&gt;"",LEFT(C715,2)&lt;&gt;"//",I715=0),1,0)</f>
        <v>0</v>
      </c>
      <c r="M715" s="0" t="str">
        <f aca="false">IF(I715=1,MAX(M$1:M714)+1,"")</f>
        <v/>
      </c>
      <c r="N715" s="0" t="str">
        <f aca="false">IFERROR(MATCH(ROW()-1,$V$2:$V$1201,0),"")</f>
        <v/>
      </c>
      <c r="R715" s="0" t="str">
        <f aca="false">IF(E715="","",IFERROR(LEFT(E715,FIND("-",E715)-1),E715))</f>
        <v/>
      </c>
      <c r="S715" s="0" t="str">
        <f aca="false">IF(R715="","",IF(ISNUMBER(--MID(R715,1,1)),0,IF(ISNUMBER(--MID(R715,2,1)),1,IF(ISNUMBER(--MID(R715,3,1)),2,IF(ISNUMBER(--MID(R715,4,1)),3,MIN(LEN(R715),4))))))</f>
        <v/>
      </c>
      <c r="T715" s="0" t="str">
        <f aca="false">IF(E715="","",LEFT(R715,S715)&amp;REPT("0",4-S715)&amp;RIGHT("000"&amp;IFERROR(VALUE(MID(R715,S715+1,9)),0),3)&amp;RIGHT("0000"&amp;IFERROR(VALUE(MID(E715,FIND("-",E715)+1,9)),0),4))</f>
        <v/>
      </c>
      <c r="U715" s="0" t="str">
        <f aca="false">IF(I715=1,"K"&amp;RIGHT("00"&amp;A715,2)&amp;T715&amp;RIGHT("00000"&amp;ROW(),5),"")</f>
        <v/>
      </c>
      <c r="V715" s="0" t="str">
        <f aca="false">IF(U715="","",COUNTIFS($I$2:$I$1201,1,$U$2:$U$1201,"&lt;"&amp;U715)+1)</f>
        <v/>
      </c>
    </row>
    <row r="716" customFormat="false" ht="15" hidden="false" customHeight="false" outlineLevel="0" collapsed="false">
      <c r="A716" s="0" t="n">
        <v>12</v>
      </c>
      <c r="B716" s="0" t="n">
        <v>55</v>
      </c>
      <c r="C716" s="0" t="str">
        <f aca="false">TRIM(SUBSTITUTE(INDEX(LISTAS!$A$4:$T$63,B716,A716)&amp;"",CHAR(160)," "))</f>
        <v/>
      </c>
      <c r="D716" s="0" t="str">
        <f aca="false">IF(C716="","",TRIM(RIGHT(SUBSTITUTE(C716," ",REPT(" ",100)),100)))</f>
        <v/>
      </c>
      <c r="E716" s="0" t="str">
        <f aca="false">IF(D716="","",UPPER(SUBSTITUTE(SUBSTITUTE(D716,"(",""),")","")))</f>
        <v/>
      </c>
      <c r="F716" s="0" t="str">
        <f aca="false">IF(C716="","",LEFT(C716,FIND(" ",C716&amp;" ")-1))</f>
        <v/>
      </c>
      <c r="G716" s="0" t="n">
        <f aca="false">IFERROR(VALUE(SUBSTITUTE(LOWER(F716),"x","")),0)</f>
        <v>0</v>
      </c>
      <c r="H716" s="0" t="str">
        <f aca="false">IF(C716="","",TRIM(MID(C716,LEN(F716)+2,999)))</f>
        <v/>
      </c>
      <c r="I716" s="0" t="n">
        <f aca="false">IF(OR(C716="",LEFT(C716,2)="//"),0,IFERROR(IF(AND(G716&gt;0,G716=INT(G716),FIND("-",E716)&gt;1,NOT(EXACT(UPPER(LEFT(E716,1)),LOWER(LEFT(E716,1)))),ISNUMBER(VALUE(MID(E716,FIND("-",E716)+1,10)))),1,0),0))</f>
        <v>0</v>
      </c>
      <c r="J716" s="0" t="str">
        <f aca="false">IF(I716=1,TRIM(LEFT(H716,MAX(0,LEN(H716)-LEN(D716)))),"")</f>
        <v/>
      </c>
      <c r="K716" s="0" t="str">
        <f aca="false">INDEX($P$2:$P$21,A716)</f>
        <v>Deck 12</v>
      </c>
      <c r="L716" s="0" t="n">
        <f aca="false">IF(AND(C716&lt;&gt;"",LEFT(C716,2)&lt;&gt;"//",I716=0),1,0)</f>
        <v>0</v>
      </c>
      <c r="M716" s="0" t="str">
        <f aca="false">IF(I716=1,MAX(M$1:M715)+1,"")</f>
        <v/>
      </c>
      <c r="N716" s="0" t="str">
        <f aca="false">IFERROR(MATCH(ROW()-1,$V$2:$V$1201,0),"")</f>
        <v/>
      </c>
      <c r="R716" s="0" t="str">
        <f aca="false">IF(E716="","",IFERROR(LEFT(E716,FIND("-",E716)-1),E716))</f>
        <v/>
      </c>
      <c r="S716" s="0" t="str">
        <f aca="false">IF(R716="","",IF(ISNUMBER(--MID(R716,1,1)),0,IF(ISNUMBER(--MID(R716,2,1)),1,IF(ISNUMBER(--MID(R716,3,1)),2,IF(ISNUMBER(--MID(R716,4,1)),3,MIN(LEN(R716),4))))))</f>
        <v/>
      </c>
      <c r="T716" s="0" t="str">
        <f aca="false">IF(E716="","",LEFT(R716,S716)&amp;REPT("0",4-S716)&amp;RIGHT("000"&amp;IFERROR(VALUE(MID(R716,S716+1,9)),0),3)&amp;RIGHT("0000"&amp;IFERROR(VALUE(MID(E716,FIND("-",E716)+1,9)),0),4))</f>
        <v/>
      </c>
      <c r="U716" s="0" t="str">
        <f aca="false">IF(I716=1,"K"&amp;RIGHT("00"&amp;A716,2)&amp;T716&amp;RIGHT("00000"&amp;ROW(),5),"")</f>
        <v/>
      </c>
      <c r="V716" s="0" t="str">
        <f aca="false">IF(U716="","",COUNTIFS($I$2:$I$1201,1,$U$2:$U$1201,"&lt;"&amp;U716)+1)</f>
        <v/>
      </c>
    </row>
    <row r="717" customFormat="false" ht="15" hidden="false" customHeight="false" outlineLevel="0" collapsed="false">
      <c r="A717" s="0" t="n">
        <v>12</v>
      </c>
      <c r="B717" s="0" t="n">
        <v>56</v>
      </c>
      <c r="C717" s="0" t="str">
        <f aca="false">TRIM(SUBSTITUTE(INDEX(LISTAS!$A$4:$T$63,B717,A717)&amp;"",CHAR(160)," "))</f>
        <v/>
      </c>
      <c r="D717" s="0" t="str">
        <f aca="false">IF(C717="","",TRIM(RIGHT(SUBSTITUTE(C717," ",REPT(" ",100)),100)))</f>
        <v/>
      </c>
      <c r="E717" s="0" t="str">
        <f aca="false">IF(D717="","",UPPER(SUBSTITUTE(SUBSTITUTE(D717,"(",""),")","")))</f>
        <v/>
      </c>
      <c r="F717" s="0" t="str">
        <f aca="false">IF(C717="","",LEFT(C717,FIND(" ",C717&amp;" ")-1))</f>
        <v/>
      </c>
      <c r="G717" s="0" t="n">
        <f aca="false">IFERROR(VALUE(SUBSTITUTE(LOWER(F717),"x","")),0)</f>
        <v>0</v>
      </c>
      <c r="H717" s="0" t="str">
        <f aca="false">IF(C717="","",TRIM(MID(C717,LEN(F717)+2,999)))</f>
        <v/>
      </c>
      <c r="I717" s="0" t="n">
        <f aca="false">IF(OR(C717="",LEFT(C717,2)="//"),0,IFERROR(IF(AND(G717&gt;0,G717=INT(G717),FIND("-",E717)&gt;1,NOT(EXACT(UPPER(LEFT(E717,1)),LOWER(LEFT(E717,1)))),ISNUMBER(VALUE(MID(E717,FIND("-",E717)+1,10)))),1,0),0))</f>
        <v>0</v>
      </c>
      <c r="J717" s="0" t="str">
        <f aca="false">IF(I717=1,TRIM(LEFT(H717,MAX(0,LEN(H717)-LEN(D717)))),"")</f>
        <v/>
      </c>
      <c r="K717" s="0" t="str">
        <f aca="false">INDEX($P$2:$P$21,A717)</f>
        <v>Deck 12</v>
      </c>
      <c r="L717" s="0" t="n">
        <f aca="false">IF(AND(C717&lt;&gt;"",LEFT(C717,2)&lt;&gt;"//",I717=0),1,0)</f>
        <v>0</v>
      </c>
      <c r="M717" s="0" t="str">
        <f aca="false">IF(I717=1,MAX(M$1:M716)+1,"")</f>
        <v/>
      </c>
      <c r="N717" s="0" t="str">
        <f aca="false">IFERROR(MATCH(ROW()-1,$V$2:$V$1201,0),"")</f>
        <v/>
      </c>
      <c r="R717" s="0" t="str">
        <f aca="false">IF(E717="","",IFERROR(LEFT(E717,FIND("-",E717)-1),E717))</f>
        <v/>
      </c>
      <c r="S717" s="0" t="str">
        <f aca="false">IF(R717="","",IF(ISNUMBER(--MID(R717,1,1)),0,IF(ISNUMBER(--MID(R717,2,1)),1,IF(ISNUMBER(--MID(R717,3,1)),2,IF(ISNUMBER(--MID(R717,4,1)),3,MIN(LEN(R717),4))))))</f>
        <v/>
      </c>
      <c r="T717" s="0" t="str">
        <f aca="false">IF(E717="","",LEFT(R717,S717)&amp;REPT("0",4-S717)&amp;RIGHT("000"&amp;IFERROR(VALUE(MID(R717,S717+1,9)),0),3)&amp;RIGHT("0000"&amp;IFERROR(VALUE(MID(E717,FIND("-",E717)+1,9)),0),4))</f>
        <v/>
      </c>
      <c r="U717" s="0" t="str">
        <f aca="false">IF(I717=1,"K"&amp;RIGHT("00"&amp;A717,2)&amp;T717&amp;RIGHT("00000"&amp;ROW(),5),"")</f>
        <v/>
      </c>
      <c r="V717" s="0" t="str">
        <f aca="false">IF(U717="","",COUNTIFS($I$2:$I$1201,1,$U$2:$U$1201,"&lt;"&amp;U717)+1)</f>
        <v/>
      </c>
    </row>
    <row r="718" customFormat="false" ht="15" hidden="false" customHeight="false" outlineLevel="0" collapsed="false">
      <c r="A718" s="0" t="n">
        <v>12</v>
      </c>
      <c r="B718" s="0" t="n">
        <v>57</v>
      </c>
      <c r="C718" s="0" t="str">
        <f aca="false">TRIM(SUBSTITUTE(INDEX(LISTAS!$A$4:$T$63,B718,A718)&amp;"",CHAR(160)," "))</f>
        <v/>
      </c>
      <c r="D718" s="0" t="str">
        <f aca="false">IF(C718="","",TRIM(RIGHT(SUBSTITUTE(C718," ",REPT(" ",100)),100)))</f>
        <v/>
      </c>
      <c r="E718" s="0" t="str">
        <f aca="false">IF(D718="","",UPPER(SUBSTITUTE(SUBSTITUTE(D718,"(",""),")","")))</f>
        <v/>
      </c>
      <c r="F718" s="0" t="str">
        <f aca="false">IF(C718="","",LEFT(C718,FIND(" ",C718&amp;" ")-1))</f>
        <v/>
      </c>
      <c r="G718" s="0" t="n">
        <f aca="false">IFERROR(VALUE(SUBSTITUTE(LOWER(F718),"x","")),0)</f>
        <v>0</v>
      </c>
      <c r="H718" s="0" t="str">
        <f aca="false">IF(C718="","",TRIM(MID(C718,LEN(F718)+2,999)))</f>
        <v/>
      </c>
      <c r="I718" s="0" t="n">
        <f aca="false">IF(OR(C718="",LEFT(C718,2)="//"),0,IFERROR(IF(AND(G718&gt;0,G718=INT(G718),FIND("-",E718)&gt;1,NOT(EXACT(UPPER(LEFT(E718,1)),LOWER(LEFT(E718,1)))),ISNUMBER(VALUE(MID(E718,FIND("-",E718)+1,10)))),1,0),0))</f>
        <v>0</v>
      </c>
      <c r="J718" s="0" t="str">
        <f aca="false">IF(I718=1,TRIM(LEFT(H718,MAX(0,LEN(H718)-LEN(D718)))),"")</f>
        <v/>
      </c>
      <c r="K718" s="0" t="str">
        <f aca="false">INDEX($P$2:$P$21,A718)</f>
        <v>Deck 12</v>
      </c>
      <c r="L718" s="0" t="n">
        <f aca="false">IF(AND(C718&lt;&gt;"",LEFT(C718,2)&lt;&gt;"//",I718=0),1,0)</f>
        <v>0</v>
      </c>
      <c r="M718" s="0" t="str">
        <f aca="false">IF(I718=1,MAX(M$1:M717)+1,"")</f>
        <v/>
      </c>
      <c r="N718" s="0" t="str">
        <f aca="false">IFERROR(MATCH(ROW()-1,$V$2:$V$1201,0),"")</f>
        <v/>
      </c>
      <c r="R718" s="0" t="str">
        <f aca="false">IF(E718="","",IFERROR(LEFT(E718,FIND("-",E718)-1),E718))</f>
        <v/>
      </c>
      <c r="S718" s="0" t="str">
        <f aca="false">IF(R718="","",IF(ISNUMBER(--MID(R718,1,1)),0,IF(ISNUMBER(--MID(R718,2,1)),1,IF(ISNUMBER(--MID(R718,3,1)),2,IF(ISNUMBER(--MID(R718,4,1)),3,MIN(LEN(R718),4))))))</f>
        <v/>
      </c>
      <c r="T718" s="0" t="str">
        <f aca="false">IF(E718="","",LEFT(R718,S718)&amp;REPT("0",4-S718)&amp;RIGHT("000"&amp;IFERROR(VALUE(MID(R718,S718+1,9)),0),3)&amp;RIGHT("0000"&amp;IFERROR(VALUE(MID(E718,FIND("-",E718)+1,9)),0),4))</f>
        <v/>
      </c>
      <c r="U718" s="0" t="str">
        <f aca="false">IF(I718=1,"K"&amp;RIGHT("00"&amp;A718,2)&amp;T718&amp;RIGHT("00000"&amp;ROW(),5),"")</f>
        <v/>
      </c>
      <c r="V718" s="0" t="str">
        <f aca="false">IF(U718="","",COUNTIFS($I$2:$I$1201,1,$U$2:$U$1201,"&lt;"&amp;U718)+1)</f>
        <v/>
      </c>
    </row>
    <row r="719" customFormat="false" ht="15" hidden="false" customHeight="false" outlineLevel="0" collapsed="false">
      <c r="A719" s="0" t="n">
        <v>12</v>
      </c>
      <c r="B719" s="0" t="n">
        <v>58</v>
      </c>
      <c r="C719" s="0" t="str">
        <f aca="false">TRIM(SUBSTITUTE(INDEX(LISTAS!$A$4:$T$63,B719,A719)&amp;"",CHAR(160)," "))</f>
        <v/>
      </c>
      <c r="D719" s="0" t="str">
        <f aca="false">IF(C719="","",TRIM(RIGHT(SUBSTITUTE(C719," ",REPT(" ",100)),100)))</f>
        <v/>
      </c>
      <c r="E719" s="0" t="str">
        <f aca="false">IF(D719="","",UPPER(SUBSTITUTE(SUBSTITUTE(D719,"(",""),")","")))</f>
        <v/>
      </c>
      <c r="F719" s="0" t="str">
        <f aca="false">IF(C719="","",LEFT(C719,FIND(" ",C719&amp;" ")-1))</f>
        <v/>
      </c>
      <c r="G719" s="0" t="n">
        <f aca="false">IFERROR(VALUE(SUBSTITUTE(LOWER(F719),"x","")),0)</f>
        <v>0</v>
      </c>
      <c r="H719" s="0" t="str">
        <f aca="false">IF(C719="","",TRIM(MID(C719,LEN(F719)+2,999)))</f>
        <v/>
      </c>
      <c r="I719" s="0" t="n">
        <f aca="false">IF(OR(C719="",LEFT(C719,2)="//"),0,IFERROR(IF(AND(G719&gt;0,G719=INT(G719),FIND("-",E719)&gt;1,NOT(EXACT(UPPER(LEFT(E719,1)),LOWER(LEFT(E719,1)))),ISNUMBER(VALUE(MID(E719,FIND("-",E719)+1,10)))),1,0),0))</f>
        <v>0</v>
      </c>
      <c r="J719" s="0" t="str">
        <f aca="false">IF(I719=1,TRIM(LEFT(H719,MAX(0,LEN(H719)-LEN(D719)))),"")</f>
        <v/>
      </c>
      <c r="K719" s="0" t="str">
        <f aca="false">INDEX($P$2:$P$21,A719)</f>
        <v>Deck 12</v>
      </c>
      <c r="L719" s="0" t="n">
        <f aca="false">IF(AND(C719&lt;&gt;"",LEFT(C719,2)&lt;&gt;"//",I719=0),1,0)</f>
        <v>0</v>
      </c>
      <c r="M719" s="0" t="str">
        <f aca="false">IF(I719=1,MAX(M$1:M718)+1,"")</f>
        <v/>
      </c>
      <c r="N719" s="0" t="str">
        <f aca="false">IFERROR(MATCH(ROW()-1,$V$2:$V$1201,0),"")</f>
        <v/>
      </c>
      <c r="R719" s="0" t="str">
        <f aca="false">IF(E719="","",IFERROR(LEFT(E719,FIND("-",E719)-1),E719))</f>
        <v/>
      </c>
      <c r="S719" s="0" t="str">
        <f aca="false">IF(R719="","",IF(ISNUMBER(--MID(R719,1,1)),0,IF(ISNUMBER(--MID(R719,2,1)),1,IF(ISNUMBER(--MID(R719,3,1)),2,IF(ISNUMBER(--MID(R719,4,1)),3,MIN(LEN(R719),4))))))</f>
        <v/>
      </c>
      <c r="T719" s="0" t="str">
        <f aca="false">IF(E719="","",LEFT(R719,S719)&amp;REPT("0",4-S719)&amp;RIGHT("000"&amp;IFERROR(VALUE(MID(R719,S719+1,9)),0),3)&amp;RIGHT("0000"&amp;IFERROR(VALUE(MID(E719,FIND("-",E719)+1,9)),0),4))</f>
        <v/>
      </c>
      <c r="U719" s="0" t="str">
        <f aca="false">IF(I719=1,"K"&amp;RIGHT("00"&amp;A719,2)&amp;T719&amp;RIGHT("00000"&amp;ROW(),5),"")</f>
        <v/>
      </c>
      <c r="V719" s="0" t="str">
        <f aca="false">IF(U719="","",COUNTIFS($I$2:$I$1201,1,$U$2:$U$1201,"&lt;"&amp;U719)+1)</f>
        <v/>
      </c>
    </row>
    <row r="720" customFormat="false" ht="15" hidden="false" customHeight="false" outlineLevel="0" collapsed="false">
      <c r="A720" s="0" t="n">
        <v>12</v>
      </c>
      <c r="B720" s="0" t="n">
        <v>59</v>
      </c>
      <c r="C720" s="0" t="str">
        <f aca="false">TRIM(SUBSTITUTE(INDEX(LISTAS!$A$4:$T$63,B720,A720)&amp;"",CHAR(160)," "))</f>
        <v/>
      </c>
      <c r="D720" s="0" t="str">
        <f aca="false">IF(C720="","",TRIM(RIGHT(SUBSTITUTE(C720," ",REPT(" ",100)),100)))</f>
        <v/>
      </c>
      <c r="E720" s="0" t="str">
        <f aca="false">IF(D720="","",UPPER(SUBSTITUTE(SUBSTITUTE(D720,"(",""),")","")))</f>
        <v/>
      </c>
      <c r="F720" s="0" t="str">
        <f aca="false">IF(C720="","",LEFT(C720,FIND(" ",C720&amp;" ")-1))</f>
        <v/>
      </c>
      <c r="G720" s="0" t="n">
        <f aca="false">IFERROR(VALUE(SUBSTITUTE(LOWER(F720),"x","")),0)</f>
        <v>0</v>
      </c>
      <c r="H720" s="0" t="str">
        <f aca="false">IF(C720="","",TRIM(MID(C720,LEN(F720)+2,999)))</f>
        <v/>
      </c>
      <c r="I720" s="0" t="n">
        <f aca="false">IF(OR(C720="",LEFT(C720,2)="//"),0,IFERROR(IF(AND(G720&gt;0,G720=INT(G720),FIND("-",E720)&gt;1,NOT(EXACT(UPPER(LEFT(E720,1)),LOWER(LEFT(E720,1)))),ISNUMBER(VALUE(MID(E720,FIND("-",E720)+1,10)))),1,0),0))</f>
        <v>0</v>
      </c>
      <c r="J720" s="0" t="str">
        <f aca="false">IF(I720=1,TRIM(LEFT(H720,MAX(0,LEN(H720)-LEN(D720)))),"")</f>
        <v/>
      </c>
      <c r="K720" s="0" t="str">
        <f aca="false">INDEX($P$2:$P$21,A720)</f>
        <v>Deck 12</v>
      </c>
      <c r="L720" s="0" t="n">
        <f aca="false">IF(AND(C720&lt;&gt;"",LEFT(C720,2)&lt;&gt;"//",I720=0),1,0)</f>
        <v>0</v>
      </c>
      <c r="M720" s="0" t="str">
        <f aca="false">IF(I720=1,MAX(M$1:M719)+1,"")</f>
        <v/>
      </c>
      <c r="N720" s="0" t="str">
        <f aca="false">IFERROR(MATCH(ROW()-1,$V$2:$V$1201,0),"")</f>
        <v/>
      </c>
      <c r="R720" s="0" t="str">
        <f aca="false">IF(E720="","",IFERROR(LEFT(E720,FIND("-",E720)-1),E720))</f>
        <v/>
      </c>
      <c r="S720" s="0" t="str">
        <f aca="false">IF(R720="","",IF(ISNUMBER(--MID(R720,1,1)),0,IF(ISNUMBER(--MID(R720,2,1)),1,IF(ISNUMBER(--MID(R720,3,1)),2,IF(ISNUMBER(--MID(R720,4,1)),3,MIN(LEN(R720),4))))))</f>
        <v/>
      </c>
      <c r="T720" s="0" t="str">
        <f aca="false">IF(E720="","",LEFT(R720,S720)&amp;REPT("0",4-S720)&amp;RIGHT("000"&amp;IFERROR(VALUE(MID(R720,S720+1,9)),0),3)&amp;RIGHT("0000"&amp;IFERROR(VALUE(MID(E720,FIND("-",E720)+1,9)),0),4))</f>
        <v/>
      </c>
      <c r="U720" s="0" t="str">
        <f aca="false">IF(I720=1,"K"&amp;RIGHT("00"&amp;A720,2)&amp;T720&amp;RIGHT("00000"&amp;ROW(),5),"")</f>
        <v/>
      </c>
      <c r="V720" s="0" t="str">
        <f aca="false">IF(U720="","",COUNTIFS($I$2:$I$1201,1,$U$2:$U$1201,"&lt;"&amp;U720)+1)</f>
        <v/>
      </c>
    </row>
    <row r="721" customFormat="false" ht="15" hidden="false" customHeight="false" outlineLevel="0" collapsed="false">
      <c r="A721" s="0" t="n">
        <v>12</v>
      </c>
      <c r="B721" s="0" t="n">
        <v>60</v>
      </c>
      <c r="C721" s="0" t="str">
        <f aca="false">TRIM(SUBSTITUTE(INDEX(LISTAS!$A$4:$T$63,B721,A721)&amp;"",CHAR(160)," "))</f>
        <v/>
      </c>
      <c r="D721" s="0" t="str">
        <f aca="false">IF(C721="","",TRIM(RIGHT(SUBSTITUTE(C721," ",REPT(" ",100)),100)))</f>
        <v/>
      </c>
      <c r="E721" s="0" t="str">
        <f aca="false">IF(D721="","",UPPER(SUBSTITUTE(SUBSTITUTE(D721,"(",""),")","")))</f>
        <v/>
      </c>
      <c r="F721" s="0" t="str">
        <f aca="false">IF(C721="","",LEFT(C721,FIND(" ",C721&amp;" ")-1))</f>
        <v/>
      </c>
      <c r="G721" s="0" t="n">
        <f aca="false">IFERROR(VALUE(SUBSTITUTE(LOWER(F721),"x","")),0)</f>
        <v>0</v>
      </c>
      <c r="H721" s="0" t="str">
        <f aca="false">IF(C721="","",TRIM(MID(C721,LEN(F721)+2,999)))</f>
        <v/>
      </c>
      <c r="I721" s="0" t="n">
        <f aca="false">IF(OR(C721="",LEFT(C721,2)="//"),0,IFERROR(IF(AND(G721&gt;0,G721=INT(G721),FIND("-",E721)&gt;1,NOT(EXACT(UPPER(LEFT(E721,1)),LOWER(LEFT(E721,1)))),ISNUMBER(VALUE(MID(E721,FIND("-",E721)+1,10)))),1,0),0))</f>
        <v>0</v>
      </c>
      <c r="J721" s="0" t="str">
        <f aca="false">IF(I721=1,TRIM(LEFT(H721,MAX(0,LEN(H721)-LEN(D721)))),"")</f>
        <v/>
      </c>
      <c r="K721" s="0" t="str">
        <f aca="false">INDEX($P$2:$P$21,A721)</f>
        <v>Deck 12</v>
      </c>
      <c r="L721" s="0" t="n">
        <f aca="false">IF(AND(C721&lt;&gt;"",LEFT(C721,2)&lt;&gt;"//",I721=0),1,0)</f>
        <v>0</v>
      </c>
      <c r="M721" s="0" t="str">
        <f aca="false">IF(I721=1,MAX(M$1:M720)+1,"")</f>
        <v/>
      </c>
      <c r="N721" s="0" t="str">
        <f aca="false">IFERROR(MATCH(ROW()-1,$V$2:$V$1201,0),"")</f>
        <v/>
      </c>
      <c r="R721" s="0" t="str">
        <f aca="false">IF(E721="","",IFERROR(LEFT(E721,FIND("-",E721)-1),E721))</f>
        <v/>
      </c>
      <c r="S721" s="0" t="str">
        <f aca="false">IF(R721="","",IF(ISNUMBER(--MID(R721,1,1)),0,IF(ISNUMBER(--MID(R721,2,1)),1,IF(ISNUMBER(--MID(R721,3,1)),2,IF(ISNUMBER(--MID(R721,4,1)),3,MIN(LEN(R721),4))))))</f>
        <v/>
      </c>
      <c r="T721" s="0" t="str">
        <f aca="false">IF(E721="","",LEFT(R721,S721)&amp;REPT("0",4-S721)&amp;RIGHT("000"&amp;IFERROR(VALUE(MID(R721,S721+1,9)),0),3)&amp;RIGHT("0000"&amp;IFERROR(VALUE(MID(E721,FIND("-",E721)+1,9)),0),4))</f>
        <v/>
      </c>
      <c r="U721" s="0" t="str">
        <f aca="false">IF(I721=1,"K"&amp;RIGHT("00"&amp;A721,2)&amp;T721&amp;RIGHT("00000"&amp;ROW(),5),"")</f>
        <v/>
      </c>
      <c r="V721" s="0" t="str">
        <f aca="false">IF(U721="","",COUNTIFS($I$2:$I$1201,1,$U$2:$U$1201,"&lt;"&amp;U721)+1)</f>
        <v/>
      </c>
    </row>
    <row r="722" customFormat="false" ht="15" hidden="false" customHeight="false" outlineLevel="0" collapsed="false">
      <c r="A722" s="0" t="n">
        <v>13</v>
      </c>
      <c r="B722" s="0" t="n">
        <v>1</v>
      </c>
      <c r="C722" s="0" t="str">
        <f aca="false">TRIM(SUBSTITUTE(INDEX(LISTAS!$A$4:$T$63,B722,A722)&amp;"",CHAR(160)," "))</f>
        <v/>
      </c>
      <c r="D722" s="0" t="str">
        <f aca="false">IF(C722="","",TRIM(RIGHT(SUBSTITUTE(C722," ",REPT(" ",100)),100)))</f>
        <v/>
      </c>
      <c r="E722" s="0" t="str">
        <f aca="false">IF(D722="","",UPPER(SUBSTITUTE(SUBSTITUTE(D722,"(",""),")","")))</f>
        <v/>
      </c>
      <c r="F722" s="0" t="str">
        <f aca="false">IF(C722="","",LEFT(C722,FIND(" ",C722&amp;" ")-1))</f>
        <v/>
      </c>
      <c r="G722" s="0" t="n">
        <f aca="false">IFERROR(VALUE(SUBSTITUTE(LOWER(F722),"x","")),0)</f>
        <v>0</v>
      </c>
      <c r="H722" s="0" t="str">
        <f aca="false">IF(C722="","",TRIM(MID(C722,LEN(F722)+2,999)))</f>
        <v/>
      </c>
      <c r="I722" s="0" t="n">
        <f aca="false">IF(OR(C722="",LEFT(C722,2)="//"),0,IFERROR(IF(AND(G722&gt;0,G722=INT(G722),FIND("-",E722)&gt;1,NOT(EXACT(UPPER(LEFT(E722,1)),LOWER(LEFT(E722,1)))),ISNUMBER(VALUE(MID(E722,FIND("-",E722)+1,10)))),1,0),0))</f>
        <v>0</v>
      </c>
      <c r="J722" s="0" t="str">
        <f aca="false">IF(I722=1,TRIM(LEFT(H722,MAX(0,LEN(H722)-LEN(D722)))),"")</f>
        <v/>
      </c>
      <c r="K722" s="0" t="str">
        <f aca="false">INDEX($P$2:$P$21,A722)</f>
        <v>Deck 13</v>
      </c>
      <c r="L722" s="0" t="n">
        <f aca="false">IF(AND(C722&lt;&gt;"",LEFT(C722,2)&lt;&gt;"//",I722=0),1,0)</f>
        <v>0</v>
      </c>
      <c r="M722" s="0" t="str">
        <f aca="false">IF(I722=1,MAX(M$1:M721)+1,"")</f>
        <v/>
      </c>
      <c r="N722" s="0" t="str">
        <f aca="false">IFERROR(MATCH(ROW()-1,$V$2:$V$1201,0),"")</f>
        <v/>
      </c>
      <c r="R722" s="0" t="str">
        <f aca="false">IF(E722="","",IFERROR(LEFT(E722,FIND("-",E722)-1),E722))</f>
        <v/>
      </c>
      <c r="S722" s="0" t="str">
        <f aca="false">IF(R722="","",IF(ISNUMBER(--MID(R722,1,1)),0,IF(ISNUMBER(--MID(R722,2,1)),1,IF(ISNUMBER(--MID(R722,3,1)),2,IF(ISNUMBER(--MID(R722,4,1)),3,MIN(LEN(R722),4))))))</f>
        <v/>
      </c>
      <c r="T722" s="0" t="str">
        <f aca="false">IF(E722="","",LEFT(R722,S722)&amp;REPT("0",4-S722)&amp;RIGHT("000"&amp;IFERROR(VALUE(MID(R722,S722+1,9)),0),3)&amp;RIGHT("0000"&amp;IFERROR(VALUE(MID(E722,FIND("-",E722)+1,9)),0),4))</f>
        <v/>
      </c>
      <c r="U722" s="0" t="str">
        <f aca="false">IF(I722=1,"K"&amp;RIGHT("00"&amp;A722,2)&amp;T722&amp;RIGHT("00000"&amp;ROW(),5),"")</f>
        <v/>
      </c>
      <c r="V722" s="0" t="str">
        <f aca="false">IF(U722="","",COUNTIFS($I$2:$I$1201,1,$U$2:$U$1201,"&lt;"&amp;U722)+1)</f>
        <v/>
      </c>
    </row>
    <row r="723" customFormat="false" ht="15" hidden="false" customHeight="false" outlineLevel="0" collapsed="false">
      <c r="A723" s="0" t="n">
        <v>13</v>
      </c>
      <c r="B723" s="0" t="n">
        <v>2</v>
      </c>
      <c r="C723" s="0" t="str">
        <f aca="false">TRIM(SUBSTITUTE(INDEX(LISTAS!$A$4:$T$63,B723,A723)&amp;"",CHAR(160)," "))</f>
        <v/>
      </c>
      <c r="D723" s="0" t="str">
        <f aca="false">IF(C723="","",TRIM(RIGHT(SUBSTITUTE(C723," ",REPT(" ",100)),100)))</f>
        <v/>
      </c>
      <c r="E723" s="0" t="str">
        <f aca="false">IF(D723="","",UPPER(SUBSTITUTE(SUBSTITUTE(D723,"(",""),")","")))</f>
        <v/>
      </c>
      <c r="F723" s="0" t="str">
        <f aca="false">IF(C723="","",LEFT(C723,FIND(" ",C723&amp;" ")-1))</f>
        <v/>
      </c>
      <c r="G723" s="0" t="n">
        <f aca="false">IFERROR(VALUE(SUBSTITUTE(LOWER(F723),"x","")),0)</f>
        <v>0</v>
      </c>
      <c r="H723" s="0" t="str">
        <f aca="false">IF(C723="","",TRIM(MID(C723,LEN(F723)+2,999)))</f>
        <v/>
      </c>
      <c r="I723" s="0" t="n">
        <f aca="false">IF(OR(C723="",LEFT(C723,2)="//"),0,IFERROR(IF(AND(G723&gt;0,G723=INT(G723),FIND("-",E723)&gt;1,NOT(EXACT(UPPER(LEFT(E723,1)),LOWER(LEFT(E723,1)))),ISNUMBER(VALUE(MID(E723,FIND("-",E723)+1,10)))),1,0),0))</f>
        <v>0</v>
      </c>
      <c r="J723" s="0" t="str">
        <f aca="false">IF(I723=1,TRIM(LEFT(H723,MAX(0,LEN(H723)-LEN(D723)))),"")</f>
        <v/>
      </c>
      <c r="K723" s="0" t="str">
        <f aca="false">INDEX($P$2:$P$21,A723)</f>
        <v>Deck 13</v>
      </c>
      <c r="L723" s="0" t="n">
        <f aca="false">IF(AND(C723&lt;&gt;"",LEFT(C723,2)&lt;&gt;"//",I723=0),1,0)</f>
        <v>0</v>
      </c>
      <c r="M723" s="0" t="str">
        <f aca="false">IF(I723=1,MAX(M$1:M722)+1,"")</f>
        <v/>
      </c>
      <c r="N723" s="0" t="str">
        <f aca="false">IFERROR(MATCH(ROW()-1,$V$2:$V$1201,0),"")</f>
        <v/>
      </c>
      <c r="R723" s="0" t="str">
        <f aca="false">IF(E723="","",IFERROR(LEFT(E723,FIND("-",E723)-1),E723))</f>
        <v/>
      </c>
      <c r="S723" s="0" t="str">
        <f aca="false">IF(R723="","",IF(ISNUMBER(--MID(R723,1,1)),0,IF(ISNUMBER(--MID(R723,2,1)),1,IF(ISNUMBER(--MID(R723,3,1)),2,IF(ISNUMBER(--MID(R723,4,1)),3,MIN(LEN(R723),4))))))</f>
        <v/>
      </c>
      <c r="T723" s="0" t="str">
        <f aca="false">IF(E723="","",LEFT(R723,S723)&amp;REPT("0",4-S723)&amp;RIGHT("000"&amp;IFERROR(VALUE(MID(R723,S723+1,9)),0),3)&amp;RIGHT("0000"&amp;IFERROR(VALUE(MID(E723,FIND("-",E723)+1,9)),0),4))</f>
        <v/>
      </c>
      <c r="U723" s="0" t="str">
        <f aca="false">IF(I723=1,"K"&amp;RIGHT("00"&amp;A723,2)&amp;T723&amp;RIGHT("00000"&amp;ROW(),5),"")</f>
        <v/>
      </c>
      <c r="V723" s="0" t="str">
        <f aca="false">IF(U723="","",COUNTIFS($I$2:$I$1201,1,$U$2:$U$1201,"&lt;"&amp;U723)+1)</f>
        <v/>
      </c>
    </row>
    <row r="724" customFormat="false" ht="15" hidden="false" customHeight="false" outlineLevel="0" collapsed="false">
      <c r="A724" s="0" t="n">
        <v>13</v>
      </c>
      <c r="B724" s="0" t="n">
        <v>3</v>
      </c>
      <c r="C724" s="0" t="str">
        <f aca="false">TRIM(SUBSTITUTE(INDEX(LISTAS!$A$4:$T$63,B724,A724)&amp;"",CHAR(160)," "))</f>
        <v/>
      </c>
      <c r="D724" s="0" t="str">
        <f aca="false">IF(C724="","",TRIM(RIGHT(SUBSTITUTE(C724," ",REPT(" ",100)),100)))</f>
        <v/>
      </c>
      <c r="E724" s="0" t="str">
        <f aca="false">IF(D724="","",UPPER(SUBSTITUTE(SUBSTITUTE(D724,"(",""),")","")))</f>
        <v/>
      </c>
      <c r="F724" s="0" t="str">
        <f aca="false">IF(C724="","",LEFT(C724,FIND(" ",C724&amp;" ")-1))</f>
        <v/>
      </c>
      <c r="G724" s="0" t="n">
        <f aca="false">IFERROR(VALUE(SUBSTITUTE(LOWER(F724),"x","")),0)</f>
        <v>0</v>
      </c>
      <c r="H724" s="0" t="str">
        <f aca="false">IF(C724="","",TRIM(MID(C724,LEN(F724)+2,999)))</f>
        <v/>
      </c>
      <c r="I724" s="0" t="n">
        <f aca="false">IF(OR(C724="",LEFT(C724,2)="//"),0,IFERROR(IF(AND(G724&gt;0,G724=INT(G724),FIND("-",E724)&gt;1,NOT(EXACT(UPPER(LEFT(E724,1)),LOWER(LEFT(E724,1)))),ISNUMBER(VALUE(MID(E724,FIND("-",E724)+1,10)))),1,0),0))</f>
        <v>0</v>
      </c>
      <c r="J724" s="0" t="str">
        <f aca="false">IF(I724=1,TRIM(LEFT(H724,MAX(0,LEN(H724)-LEN(D724)))),"")</f>
        <v/>
      </c>
      <c r="K724" s="0" t="str">
        <f aca="false">INDEX($P$2:$P$21,A724)</f>
        <v>Deck 13</v>
      </c>
      <c r="L724" s="0" t="n">
        <f aca="false">IF(AND(C724&lt;&gt;"",LEFT(C724,2)&lt;&gt;"//",I724=0),1,0)</f>
        <v>0</v>
      </c>
      <c r="M724" s="0" t="str">
        <f aca="false">IF(I724=1,MAX(M$1:M723)+1,"")</f>
        <v/>
      </c>
      <c r="N724" s="0" t="str">
        <f aca="false">IFERROR(MATCH(ROW()-1,$V$2:$V$1201,0),"")</f>
        <v/>
      </c>
      <c r="R724" s="0" t="str">
        <f aca="false">IF(E724="","",IFERROR(LEFT(E724,FIND("-",E724)-1),E724))</f>
        <v/>
      </c>
      <c r="S724" s="0" t="str">
        <f aca="false">IF(R724="","",IF(ISNUMBER(--MID(R724,1,1)),0,IF(ISNUMBER(--MID(R724,2,1)),1,IF(ISNUMBER(--MID(R724,3,1)),2,IF(ISNUMBER(--MID(R724,4,1)),3,MIN(LEN(R724),4))))))</f>
        <v/>
      </c>
      <c r="T724" s="0" t="str">
        <f aca="false">IF(E724="","",LEFT(R724,S724)&amp;REPT("0",4-S724)&amp;RIGHT("000"&amp;IFERROR(VALUE(MID(R724,S724+1,9)),0),3)&amp;RIGHT("0000"&amp;IFERROR(VALUE(MID(E724,FIND("-",E724)+1,9)),0),4))</f>
        <v/>
      </c>
      <c r="U724" s="0" t="str">
        <f aca="false">IF(I724=1,"K"&amp;RIGHT("00"&amp;A724,2)&amp;T724&amp;RIGHT("00000"&amp;ROW(),5),"")</f>
        <v/>
      </c>
      <c r="V724" s="0" t="str">
        <f aca="false">IF(U724="","",COUNTIFS($I$2:$I$1201,1,$U$2:$U$1201,"&lt;"&amp;U724)+1)</f>
        <v/>
      </c>
    </row>
    <row r="725" customFormat="false" ht="15" hidden="false" customHeight="false" outlineLevel="0" collapsed="false">
      <c r="A725" s="0" t="n">
        <v>13</v>
      </c>
      <c r="B725" s="0" t="n">
        <v>4</v>
      </c>
      <c r="C725" s="0" t="str">
        <f aca="false">TRIM(SUBSTITUTE(INDEX(LISTAS!$A$4:$T$63,B725,A725)&amp;"",CHAR(160)," "))</f>
        <v/>
      </c>
      <c r="D725" s="0" t="str">
        <f aca="false">IF(C725="","",TRIM(RIGHT(SUBSTITUTE(C725," ",REPT(" ",100)),100)))</f>
        <v/>
      </c>
      <c r="E725" s="0" t="str">
        <f aca="false">IF(D725="","",UPPER(SUBSTITUTE(SUBSTITUTE(D725,"(",""),")","")))</f>
        <v/>
      </c>
      <c r="F725" s="0" t="str">
        <f aca="false">IF(C725="","",LEFT(C725,FIND(" ",C725&amp;" ")-1))</f>
        <v/>
      </c>
      <c r="G725" s="0" t="n">
        <f aca="false">IFERROR(VALUE(SUBSTITUTE(LOWER(F725),"x","")),0)</f>
        <v>0</v>
      </c>
      <c r="H725" s="0" t="str">
        <f aca="false">IF(C725="","",TRIM(MID(C725,LEN(F725)+2,999)))</f>
        <v/>
      </c>
      <c r="I725" s="0" t="n">
        <f aca="false">IF(OR(C725="",LEFT(C725,2)="//"),0,IFERROR(IF(AND(G725&gt;0,G725=INT(G725),FIND("-",E725)&gt;1,NOT(EXACT(UPPER(LEFT(E725,1)),LOWER(LEFT(E725,1)))),ISNUMBER(VALUE(MID(E725,FIND("-",E725)+1,10)))),1,0),0))</f>
        <v>0</v>
      </c>
      <c r="J725" s="0" t="str">
        <f aca="false">IF(I725=1,TRIM(LEFT(H725,MAX(0,LEN(H725)-LEN(D725)))),"")</f>
        <v/>
      </c>
      <c r="K725" s="0" t="str">
        <f aca="false">INDEX($P$2:$P$21,A725)</f>
        <v>Deck 13</v>
      </c>
      <c r="L725" s="0" t="n">
        <f aca="false">IF(AND(C725&lt;&gt;"",LEFT(C725,2)&lt;&gt;"//",I725=0),1,0)</f>
        <v>0</v>
      </c>
      <c r="M725" s="0" t="str">
        <f aca="false">IF(I725=1,MAX(M$1:M724)+1,"")</f>
        <v/>
      </c>
      <c r="N725" s="0" t="str">
        <f aca="false">IFERROR(MATCH(ROW()-1,$V$2:$V$1201,0),"")</f>
        <v/>
      </c>
      <c r="R725" s="0" t="str">
        <f aca="false">IF(E725="","",IFERROR(LEFT(E725,FIND("-",E725)-1),E725))</f>
        <v/>
      </c>
      <c r="S725" s="0" t="str">
        <f aca="false">IF(R725="","",IF(ISNUMBER(--MID(R725,1,1)),0,IF(ISNUMBER(--MID(R725,2,1)),1,IF(ISNUMBER(--MID(R725,3,1)),2,IF(ISNUMBER(--MID(R725,4,1)),3,MIN(LEN(R725),4))))))</f>
        <v/>
      </c>
      <c r="T725" s="0" t="str">
        <f aca="false">IF(E725="","",LEFT(R725,S725)&amp;REPT("0",4-S725)&amp;RIGHT("000"&amp;IFERROR(VALUE(MID(R725,S725+1,9)),0),3)&amp;RIGHT("0000"&amp;IFERROR(VALUE(MID(E725,FIND("-",E725)+1,9)),0),4))</f>
        <v/>
      </c>
      <c r="U725" s="0" t="str">
        <f aca="false">IF(I725=1,"K"&amp;RIGHT("00"&amp;A725,2)&amp;T725&amp;RIGHT("00000"&amp;ROW(),5),"")</f>
        <v/>
      </c>
      <c r="V725" s="0" t="str">
        <f aca="false">IF(U725="","",COUNTIFS($I$2:$I$1201,1,$U$2:$U$1201,"&lt;"&amp;U725)+1)</f>
        <v/>
      </c>
    </row>
    <row r="726" customFormat="false" ht="15" hidden="false" customHeight="false" outlineLevel="0" collapsed="false">
      <c r="A726" s="0" t="n">
        <v>13</v>
      </c>
      <c r="B726" s="0" t="n">
        <v>5</v>
      </c>
      <c r="C726" s="0" t="str">
        <f aca="false">TRIM(SUBSTITUTE(INDEX(LISTAS!$A$4:$T$63,B726,A726)&amp;"",CHAR(160)," "))</f>
        <v/>
      </c>
      <c r="D726" s="0" t="str">
        <f aca="false">IF(C726="","",TRIM(RIGHT(SUBSTITUTE(C726," ",REPT(" ",100)),100)))</f>
        <v/>
      </c>
      <c r="E726" s="0" t="str">
        <f aca="false">IF(D726="","",UPPER(SUBSTITUTE(SUBSTITUTE(D726,"(",""),")","")))</f>
        <v/>
      </c>
      <c r="F726" s="0" t="str">
        <f aca="false">IF(C726="","",LEFT(C726,FIND(" ",C726&amp;" ")-1))</f>
        <v/>
      </c>
      <c r="G726" s="0" t="n">
        <f aca="false">IFERROR(VALUE(SUBSTITUTE(LOWER(F726),"x","")),0)</f>
        <v>0</v>
      </c>
      <c r="H726" s="0" t="str">
        <f aca="false">IF(C726="","",TRIM(MID(C726,LEN(F726)+2,999)))</f>
        <v/>
      </c>
      <c r="I726" s="0" t="n">
        <f aca="false">IF(OR(C726="",LEFT(C726,2)="//"),0,IFERROR(IF(AND(G726&gt;0,G726=INT(G726),FIND("-",E726)&gt;1,NOT(EXACT(UPPER(LEFT(E726,1)),LOWER(LEFT(E726,1)))),ISNUMBER(VALUE(MID(E726,FIND("-",E726)+1,10)))),1,0),0))</f>
        <v>0</v>
      </c>
      <c r="J726" s="0" t="str">
        <f aca="false">IF(I726=1,TRIM(LEFT(H726,MAX(0,LEN(H726)-LEN(D726)))),"")</f>
        <v/>
      </c>
      <c r="K726" s="0" t="str">
        <f aca="false">INDEX($P$2:$P$21,A726)</f>
        <v>Deck 13</v>
      </c>
      <c r="L726" s="0" t="n">
        <f aca="false">IF(AND(C726&lt;&gt;"",LEFT(C726,2)&lt;&gt;"//",I726=0),1,0)</f>
        <v>0</v>
      </c>
      <c r="M726" s="0" t="str">
        <f aca="false">IF(I726=1,MAX(M$1:M725)+1,"")</f>
        <v/>
      </c>
      <c r="N726" s="0" t="str">
        <f aca="false">IFERROR(MATCH(ROW()-1,$V$2:$V$1201,0),"")</f>
        <v/>
      </c>
      <c r="R726" s="0" t="str">
        <f aca="false">IF(E726="","",IFERROR(LEFT(E726,FIND("-",E726)-1),E726))</f>
        <v/>
      </c>
      <c r="S726" s="0" t="str">
        <f aca="false">IF(R726="","",IF(ISNUMBER(--MID(R726,1,1)),0,IF(ISNUMBER(--MID(R726,2,1)),1,IF(ISNUMBER(--MID(R726,3,1)),2,IF(ISNUMBER(--MID(R726,4,1)),3,MIN(LEN(R726),4))))))</f>
        <v/>
      </c>
      <c r="T726" s="0" t="str">
        <f aca="false">IF(E726="","",LEFT(R726,S726)&amp;REPT("0",4-S726)&amp;RIGHT("000"&amp;IFERROR(VALUE(MID(R726,S726+1,9)),0),3)&amp;RIGHT("0000"&amp;IFERROR(VALUE(MID(E726,FIND("-",E726)+1,9)),0),4))</f>
        <v/>
      </c>
      <c r="U726" s="0" t="str">
        <f aca="false">IF(I726=1,"K"&amp;RIGHT("00"&amp;A726,2)&amp;T726&amp;RIGHT("00000"&amp;ROW(),5),"")</f>
        <v/>
      </c>
      <c r="V726" s="0" t="str">
        <f aca="false">IF(U726="","",COUNTIFS($I$2:$I$1201,1,$U$2:$U$1201,"&lt;"&amp;U726)+1)</f>
        <v/>
      </c>
    </row>
    <row r="727" customFormat="false" ht="15" hidden="false" customHeight="false" outlineLevel="0" collapsed="false">
      <c r="A727" s="0" t="n">
        <v>13</v>
      </c>
      <c r="B727" s="0" t="n">
        <v>6</v>
      </c>
      <c r="C727" s="0" t="str">
        <f aca="false">TRIM(SUBSTITUTE(INDEX(LISTAS!$A$4:$T$63,B727,A727)&amp;"",CHAR(160)," "))</f>
        <v/>
      </c>
      <c r="D727" s="0" t="str">
        <f aca="false">IF(C727="","",TRIM(RIGHT(SUBSTITUTE(C727," ",REPT(" ",100)),100)))</f>
        <v/>
      </c>
      <c r="E727" s="0" t="str">
        <f aca="false">IF(D727="","",UPPER(SUBSTITUTE(SUBSTITUTE(D727,"(",""),")","")))</f>
        <v/>
      </c>
      <c r="F727" s="0" t="str">
        <f aca="false">IF(C727="","",LEFT(C727,FIND(" ",C727&amp;" ")-1))</f>
        <v/>
      </c>
      <c r="G727" s="0" t="n">
        <f aca="false">IFERROR(VALUE(SUBSTITUTE(LOWER(F727),"x","")),0)</f>
        <v>0</v>
      </c>
      <c r="H727" s="0" t="str">
        <f aca="false">IF(C727="","",TRIM(MID(C727,LEN(F727)+2,999)))</f>
        <v/>
      </c>
      <c r="I727" s="0" t="n">
        <f aca="false">IF(OR(C727="",LEFT(C727,2)="//"),0,IFERROR(IF(AND(G727&gt;0,G727=INT(G727),FIND("-",E727)&gt;1,NOT(EXACT(UPPER(LEFT(E727,1)),LOWER(LEFT(E727,1)))),ISNUMBER(VALUE(MID(E727,FIND("-",E727)+1,10)))),1,0),0))</f>
        <v>0</v>
      </c>
      <c r="J727" s="0" t="str">
        <f aca="false">IF(I727=1,TRIM(LEFT(H727,MAX(0,LEN(H727)-LEN(D727)))),"")</f>
        <v/>
      </c>
      <c r="K727" s="0" t="str">
        <f aca="false">INDEX($P$2:$P$21,A727)</f>
        <v>Deck 13</v>
      </c>
      <c r="L727" s="0" t="n">
        <f aca="false">IF(AND(C727&lt;&gt;"",LEFT(C727,2)&lt;&gt;"//",I727=0),1,0)</f>
        <v>0</v>
      </c>
      <c r="M727" s="0" t="str">
        <f aca="false">IF(I727=1,MAX(M$1:M726)+1,"")</f>
        <v/>
      </c>
      <c r="N727" s="0" t="str">
        <f aca="false">IFERROR(MATCH(ROW()-1,$V$2:$V$1201,0),"")</f>
        <v/>
      </c>
      <c r="R727" s="0" t="str">
        <f aca="false">IF(E727="","",IFERROR(LEFT(E727,FIND("-",E727)-1),E727))</f>
        <v/>
      </c>
      <c r="S727" s="0" t="str">
        <f aca="false">IF(R727="","",IF(ISNUMBER(--MID(R727,1,1)),0,IF(ISNUMBER(--MID(R727,2,1)),1,IF(ISNUMBER(--MID(R727,3,1)),2,IF(ISNUMBER(--MID(R727,4,1)),3,MIN(LEN(R727),4))))))</f>
        <v/>
      </c>
      <c r="T727" s="0" t="str">
        <f aca="false">IF(E727="","",LEFT(R727,S727)&amp;REPT("0",4-S727)&amp;RIGHT("000"&amp;IFERROR(VALUE(MID(R727,S727+1,9)),0),3)&amp;RIGHT("0000"&amp;IFERROR(VALUE(MID(E727,FIND("-",E727)+1,9)),0),4))</f>
        <v/>
      </c>
      <c r="U727" s="0" t="str">
        <f aca="false">IF(I727=1,"K"&amp;RIGHT("00"&amp;A727,2)&amp;T727&amp;RIGHT("00000"&amp;ROW(),5),"")</f>
        <v/>
      </c>
      <c r="V727" s="0" t="str">
        <f aca="false">IF(U727="","",COUNTIFS($I$2:$I$1201,1,$U$2:$U$1201,"&lt;"&amp;U727)+1)</f>
        <v/>
      </c>
    </row>
    <row r="728" customFormat="false" ht="15" hidden="false" customHeight="false" outlineLevel="0" collapsed="false">
      <c r="A728" s="0" t="n">
        <v>13</v>
      </c>
      <c r="B728" s="0" t="n">
        <v>7</v>
      </c>
      <c r="C728" s="0" t="str">
        <f aca="false">TRIM(SUBSTITUTE(INDEX(LISTAS!$A$4:$T$63,B728,A728)&amp;"",CHAR(160)," "))</f>
        <v/>
      </c>
      <c r="D728" s="0" t="str">
        <f aca="false">IF(C728="","",TRIM(RIGHT(SUBSTITUTE(C728," ",REPT(" ",100)),100)))</f>
        <v/>
      </c>
      <c r="E728" s="0" t="str">
        <f aca="false">IF(D728="","",UPPER(SUBSTITUTE(SUBSTITUTE(D728,"(",""),")","")))</f>
        <v/>
      </c>
      <c r="F728" s="0" t="str">
        <f aca="false">IF(C728="","",LEFT(C728,FIND(" ",C728&amp;" ")-1))</f>
        <v/>
      </c>
      <c r="G728" s="0" t="n">
        <f aca="false">IFERROR(VALUE(SUBSTITUTE(LOWER(F728),"x","")),0)</f>
        <v>0</v>
      </c>
      <c r="H728" s="0" t="str">
        <f aca="false">IF(C728="","",TRIM(MID(C728,LEN(F728)+2,999)))</f>
        <v/>
      </c>
      <c r="I728" s="0" t="n">
        <f aca="false">IF(OR(C728="",LEFT(C728,2)="//"),0,IFERROR(IF(AND(G728&gt;0,G728=INT(G728),FIND("-",E728)&gt;1,NOT(EXACT(UPPER(LEFT(E728,1)),LOWER(LEFT(E728,1)))),ISNUMBER(VALUE(MID(E728,FIND("-",E728)+1,10)))),1,0),0))</f>
        <v>0</v>
      </c>
      <c r="J728" s="0" t="str">
        <f aca="false">IF(I728=1,TRIM(LEFT(H728,MAX(0,LEN(H728)-LEN(D728)))),"")</f>
        <v/>
      </c>
      <c r="K728" s="0" t="str">
        <f aca="false">INDEX($P$2:$P$21,A728)</f>
        <v>Deck 13</v>
      </c>
      <c r="L728" s="0" t="n">
        <f aca="false">IF(AND(C728&lt;&gt;"",LEFT(C728,2)&lt;&gt;"//",I728=0),1,0)</f>
        <v>0</v>
      </c>
      <c r="M728" s="0" t="str">
        <f aca="false">IF(I728=1,MAX(M$1:M727)+1,"")</f>
        <v/>
      </c>
      <c r="N728" s="0" t="str">
        <f aca="false">IFERROR(MATCH(ROW()-1,$V$2:$V$1201,0),"")</f>
        <v/>
      </c>
      <c r="R728" s="0" t="str">
        <f aca="false">IF(E728="","",IFERROR(LEFT(E728,FIND("-",E728)-1),E728))</f>
        <v/>
      </c>
      <c r="S728" s="0" t="str">
        <f aca="false">IF(R728="","",IF(ISNUMBER(--MID(R728,1,1)),0,IF(ISNUMBER(--MID(R728,2,1)),1,IF(ISNUMBER(--MID(R728,3,1)),2,IF(ISNUMBER(--MID(R728,4,1)),3,MIN(LEN(R728),4))))))</f>
        <v/>
      </c>
      <c r="T728" s="0" t="str">
        <f aca="false">IF(E728="","",LEFT(R728,S728)&amp;REPT("0",4-S728)&amp;RIGHT("000"&amp;IFERROR(VALUE(MID(R728,S728+1,9)),0),3)&amp;RIGHT("0000"&amp;IFERROR(VALUE(MID(E728,FIND("-",E728)+1,9)),0),4))</f>
        <v/>
      </c>
      <c r="U728" s="0" t="str">
        <f aca="false">IF(I728=1,"K"&amp;RIGHT("00"&amp;A728,2)&amp;T728&amp;RIGHT("00000"&amp;ROW(),5),"")</f>
        <v/>
      </c>
      <c r="V728" s="0" t="str">
        <f aca="false">IF(U728="","",COUNTIFS($I$2:$I$1201,1,$U$2:$U$1201,"&lt;"&amp;U728)+1)</f>
        <v/>
      </c>
    </row>
    <row r="729" customFormat="false" ht="15" hidden="false" customHeight="false" outlineLevel="0" collapsed="false">
      <c r="A729" s="0" t="n">
        <v>13</v>
      </c>
      <c r="B729" s="0" t="n">
        <v>8</v>
      </c>
      <c r="C729" s="0" t="str">
        <f aca="false">TRIM(SUBSTITUTE(INDEX(LISTAS!$A$4:$T$63,B729,A729)&amp;"",CHAR(160)," "))</f>
        <v/>
      </c>
      <c r="D729" s="0" t="str">
        <f aca="false">IF(C729="","",TRIM(RIGHT(SUBSTITUTE(C729," ",REPT(" ",100)),100)))</f>
        <v/>
      </c>
      <c r="E729" s="0" t="str">
        <f aca="false">IF(D729="","",UPPER(SUBSTITUTE(SUBSTITUTE(D729,"(",""),")","")))</f>
        <v/>
      </c>
      <c r="F729" s="0" t="str">
        <f aca="false">IF(C729="","",LEFT(C729,FIND(" ",C729&amp;" ")-1))</f>
        <v/>
      </c>
      <c r="G729" s="0" t="n">
        <f aca="false">IFERROR(VALUE(SUBSTITUTE(LOWER(F729),"x","")),0)</f>
        <v>0</v>
      </c>
      <c r="H729" s="0" t="str">
        <f aca="false">IF(C729="","",TRIM(MID(C729,LEN(F729)+2,999)))</f>
        <v/>
      </c>
      <c r="I729" s="0" t="n">
        <f aca="false">IF(OR(C729="",LEFT(C729,2)="//"),0,IFERROR(IF(AND(G729&gt;0,G729=INT(G729),FIND("-",E729)&gt;1,NOT(EXACT(UPPER(LEFT(E729,1)),LOWER(LEFT(E729,1)))),ISNUMBER(VALUE(MID(E729,FIND("-",E729)+1,10)))),1,0),0))</f>
        <v>0</v>
      </c>
      <c r="J729" s="0" t="str">
        <f aca="false">IF(I729=1,TRIM(LEFT(H729,MAX(0,LEN(H729)-LEN(D729)))),"")</f>
        <v/>
      </c>
      <c r="K729" s="0" t="str">
        <f aca="false">INDEX($P$2:$P$21,A729)</f>
        <v>Deck 13</v>
      </c>
      <c r="L729" s="0" t="n">
        <f aca="false">IF(AND(C729&lt;&gt;"",LEFT(C729,2)&lt;&gt;"//",I729=0),1,0)</f>
        <v>0</v>
      </c>
      <c r="M729" s="0" t="str">
        <f aca="false">IF(I729=1,MAX(M$1:M728)+1,"")</f>
        <v/>
      </c>
      <c r="N729" s="0" t="str">
        <f aca="false">IFERROR(MATCH(ROW()-1,$V$2:$V$1201,0),"")</f>
        <v/>
      </c>
      <c r="R729" s="0" t="str">
        <f aca="false">IF(E729="","",IFERROR(LEFT(E729,FIND("-",E729)-1),E729))</f>
        <v/>
      </c>
      <c r="S729" s="0" t="str">
        <f aca="false">IF(R729="","",IF(ISNUMBER(--MID(R729,1,1)),0,IF(ISNUMBER(--MID(R729,2,1)),1,IF(ISNUMBER(--MID(R729,3,1)),2,IF(ISNUMBER(--MID(R729,4,1)),3,MIN(LEN(R729),4))))))</f>
        <v/>
      </c>
      <c r="T729" s="0" t="str">
        <f aca="false">IF(E729="","",LEFT(R729,S729)&amp;REPT("0",4-S729)&amp;RIGHT("000"&amp;IFERROR(VALUE(MID(R729,S729+1,9)),0),3)&amp;RIGHT("0000"&amp;IFERROR(VALUE(MID(E729,FIND("-",E729)+1,9)),0),4))</f>
        <v/>
      </c>
      <c r="U729" s="0" t="str">
        <f aca="false">IF(I729=1,"K"&amp;RIGHT("00"&amp;A729,2)&amp;T729&amp;RIGHT("00000"&amp;ROW(),5),"")</f>
        <v/>
      </c>
      <c r="V729" s="0" t="str">
        <f aca="false">IF(U729="","",COUNTIFS($I$2:$I$1201,1,$U$2:$U$1201,"&lt;"&amp;U729)+1)</f>
        <v/>
      </c>
    </row>
    <row r="730" customFormat="false" ht="15" hidden="false" customHeight="false" outlineLevel="0" collapsed="false">
      <c r="A730" s="0" t="n">
        <v>13</v>
      </c>
      <c r="B730" s="0" t="n">
        <v>9</v>
      </c>
      <c r="C730" s="0" t="str">
        <f aca="false">TRIM(SUBSTITUTE(INDEX(LISTAS!$A$4:$T$63,B730,A730)&amp;"",CHAR(160)," "))</f>
        <v/>
      </c>
      <c r="D730" s="0" t="str">
        <f aca="false">IF(C730="","",TRIM(RIGHT(SUBSTITUTE(C730," ",REPT(" ",100)),100)))</f>
        <v/>
      </c>
      <c r="E730" s="0" t="str">
        <f aca="false">IF(D730="","",UPPER(SUBSTITUTE(SUBSTITUTE(D730,"(",""),")","")))</f>
        <v/>
      </c>
      <c r="F730" s="0" t="str">
        <f aca="false">IF(C730="","",LEFT(C730,FIND(" ",C730&amp;" ")-1))</f>
        <v/>
      </c>
      <c r="G730" s="0" t="n">
        <f aca="false">IFERROR(VALUE(SUBSTITUTE(LOWER(F730),"x","")),0)</f>
        <v>0</v>
      </c>
      <c r="H730" s="0" t="str">
        <f aca="false">IF(C730="","",TRIM(MID(C730,LEN(F730)+2,999)))</f>
        <v/>
      </c>
      <c r="I730" s="0" t="n">
        <f aca="false">IF(OR(C730="",LEFT(C730,2)="//"),0,IFERROR(IF(AND(G730&gt;0,G730=INT(G730),FIND("-",E730)&gt;1,NOT(EXACT(UPPER(LEFT(E730,1)),LOWER(LEFT(E730,1)))),ISNUMBER(VALUE(MID(E730,FIND("-",E730)+1,10)))),1,0),0))</f>
        <v>0</v>
      </c>
      <c r="J730" s="0" t="str">
        <f aca="false">IF(I730=1,TRIM(LEFT(H730,MAX(0,LEN(H730)-LEN(D730)))),"")</f>
        <v/>
      </c>
      <c r="K730" s="0" t="str">
        <f aca="false">INDEX($P$2:$P$21,A730)</f>
        <v>Deck 13</v>
      </c>
      <c r="L730" s="0" t="n">
        <f aca="false">IF(AND(C730&lt;&gt;"",LEFT(C730,2)&lt;&gt;"//",I730=0),1,0)</f>
        <v>0</v>
      </c>
      <c r="M730" s="0" t="str">
        <f aca="false">IF(I730=1,MAX(M$1:M729)+1,"")</f>
        <v/>
      </c>
      <c r="N730" s="0" t="str">
        <f aca="false">IFERROR(MATCH(ROW()-1,$V$2:$V$1201,0),"")</f>
        <v/>
      </c>
      <c r="R730" s="0" t="str">
        <f aca="false">IF(E730="","",IFERROR(LEFT(E730,FIND("-",E730)-1),E730))</f>
        <v/>
      </c>
      <c r="S730" s="0" t="str">
        <f aca="false">IF(R730="","",IF(ISNUMBER(--MID(R730,1,1)),0,IF(ISNUMBER(--MID(R730,2,1)),1,IF(ISNUMBER(--MID(R730,3,1)),2,IF(ISNUMBER(--MID(R730,4,1)),3,MIN(LEN(R730),4))))))</f>
        <v/>
      </c>
      <c r="T730" s="0" t="str">
        <f aca="false">IF(E730="","",LEFT(R730,S730)&amp;REPT("0",4-S730)&amp;RIGHT("000"&amp;IFERROR(VALUE(MID(R730,S730+1,9)),0),3)&amp;RIGHT("0000"&amp;IFERROR(VALUE(MID(E730,FIND("-",E730)+1,9)),0),4))</f>
        <v/>
      </c>
      <c r="U730" s="0" t="str">
        <f aca="false">IF(I730=1,"K"&amp;RIGHT("00"&amp;A730,2)&amp;T730&amp;RIGHT("00000"&amp;ROW(),5),"")</f>
        <v/>
      </c>
      <c r="V730" s="0" t="str">
        <f aca="false">IF(U730="","",COUNTIFS($I$2:$I$1201,1,$U$2:$U$1201,"&lt;"&amp;U730)+1)</f>
        <v/>
      </c>
    </row>
    <row r="731" customFormat="false" ht="15" hidden="false" customHeight="false" outlineLevel="0" collapsed="false">
      <c r="A731" s="0" t="n">
        <v>13</v>
      </c>
      <c r="B731" s="0" t="n">
        <v>10</v>
      </c>
      <c r="C731" s="0" t="str">
        <f aca="false">TRIM(SUBSTITUTE(INDEX(LISTAS!$A$4:$T$63,B731,A731)&amp;"",CHAR(160)," "))</f>
        <v/>
      </c>
      <c r="D731" s="0" t="str">
        <f aca="false">IF(C731="","",TRIM(RIGHT(SUBSTITUTE(C731," ",REPT(" ",100)),100)))</f>
        <v/>
      </c>
      <c r="E731" s="0" t="str">
        <f aca="false">IF(D731="","",UPPER(SUBSTITUTE(SUBSTITUTE(D731,"(",""),")","")))</f>
        <v/>
      </c>
      <c r="F731" s="0" t="str">
        <f aca="false">IF(C731="","",LEFT(C731,FIND(" ",C731&amp;" ")-1))</f>
        <v/>
      </c>
      <c r="G731" s="0" t="n">
        <f aca="false">IFERROR(VALUE(SUBSTITUTE(LOWER(F731),"x","")),0)</f>
        <v>0</v>
      </c>
      <c r="H731" s="0" t="str">
        <f aca="false">IF(C731="","",TRIM(MID(C731,LEN(F731)+2,999)))</f>
        <v/>
      </c>
      <c r="I731" s="0" t="n">
        <f aca="false">IF(OR(C731="",LEFT(C731,2)="//"),0,IFERROR(IF(AND(G731&gt;0,G731=INT(G731),FIND("-",E731)&gt;1,NOT(EXACT(UPPER(LEFT(E731,1)),LOWER(LEFT(E731,1)))),ISNUMBER(VALUE(MID(E731,FIND("-",E731)+1,10)))),1,0),0))</f>
        <v>0</v>
      </c>
      <c r="J731" s="0" t="str">
        <f aca="false">IF(I731=1,TRIM(LEFT(H731,MAX(0,LEN(H731)-LEN(D731)))),"")</f>
        <v/>
      </c>
      <c r="K731" s="0" t="str">
        <f aca="false">INDEX($P$2:$P$21,A731)</f>
        <v>Deck 13</v>
      </c>
      <c r="L731" s="0" t="n">
        <f aca="false">IF(AND(C731&lt;&gt;"",LEFT(C731,2)&lt;&gt;"//",I731=0),1,0)</f>
        <v>0</v>
      </c>
      <c r="M731" s="0" t="str">
        <f aca="false">IF(I731=1,MAX(M$1:M730)+1,"")</f>
        <v/>
      </c>
      <c r="N731" s="0" t="str">
        <f aca="false">IFERROR(MATCH(ROW()-1,$V$2:$V$1201,0),"")</f>
        <v/>
      </c>
      <c r="R731" s="0" t="str">
        <f aca="false">IF(E731="","",IFERROR(LEFT(E731,FIND("-",E731)-1),E731))</f>
        <v/>
      </c>
      <c r="S731" s="0" t="str">
        <f aca="false">IF(R731="","",IF(ISNUMBER(--MID(R731,1,1)),0,IF(ISNUMBER(--MID(R731,2,1)),1,IF(ISNUMBER(--MID(R731,3,1)),2,IF(ISNUMBER(--MID(R731,4,1)),3,MIN(LEN(R731),4))))))</f>
        <v/>
      </c>
      <c r="T731" s="0" t="str">
        <f aca="false">IF(E731="","",LEFT(R731,S731)&amp;REPT("0",4-S731)&amp;RIGHT("000"&amp;IFERROR(VALUE(MID(R731,S731+1,9)),0),3)&amp;RIGHT("0000"&amp;IFERROR(VALUE(MID(E731,FIND("-",E731)+1,9)),0),4))</f>
        <v/>
      </c>
      <c r="U731" s="0" t="str">
        <f aca="false">IF(I731=1,"K"&amp;RIGHT("00"&amp;A731,2)&amp;T731&amp;RIGHT("00000"&amp;ROW(),5),"")</f>
        <v/>
      </c>
      <c r="V731" s="0" t="str">
        <f aca="false">IF(U731="","",COUNTIFS($I$2:$I$1201,1,$U$2:$U$1201,"&lt;"&amp;U731)+1)</f>
        <v/>
      </c>
    </row>
    <row r="732" customFormat="false" ht="15" hidden="false" customHeight="false" outlineLevel="0" collapsed="false">
      <c r="A732" s="0" t="n">
        <v>13</v>
      </c>
      <c r="B732" s="0" t="n">
        <v>11</v>
      </c>
      <c r="C732" s="0" t="str">
        <f aca="false">TRIM(SUBSTITUTE(INDEX(LISTAS!$A$4:$T$63,B732,A732)&amp;"",CHAR(160)," "))</f>
        <v/>
      </c>
      <c r="D732" s="0" t="str">
        <f aca="false">IF(C732="","",TRIM(RIGHT(SUBSTITUTE(C732," ",REPT(" ",100)),100)))</f>
        <v/>
      </c>
      <c r="E732" s="0" t="str">
        <f aca="false">IF(D732="","",UPPER(SUBSTITUTE(SUBSTITUTE(D732,"(",""),")","")))</f>
        <v/>
      </c>
      <c r="F732" s="0" t="str">
        <f aca="false">IF(C732="","",LEFT(C732,FIND(" ",C732&amp;" ")-1))</f>
        <v/>
      </c>
      <c r="G732" s="0" t="n">
        <f aca="false">IFERROR(VALUE(SUBSTITUTE(LOWER(F732),"x","")),0)</f>
        <v>0</v>
      </c>
      <c r="H732" s="0" t="str">
        <f aca="false">IF(C732="","",TRIM(MID(C732,LEN(F732)+2,999)))</f>
        <v/>
      </c>
      <c r="I732" s="0" t="n">
        <f aca="false">IF(OR(C732="",LEFT(C732,2)="//"),0,IFERROR(IF(AND(G732&gt;0,G732=INT(G732),FIND("-",E732)&gt;1,NOT(EXACT(UPPER(LEFT(E732,1)),LOWER(LEFT(E732,1)))),ISNUMBER(VALUE(MID(E732,FIND("-",E732)+1,10)))),1,0),0))</f>
        <v>0</v>
      </c>
      <c r="J732" s="0" t="str">
        <f aca="false">IF(I732=1,TRIM(LEFT(H732,MAX(0,LEN(H732)-LEN(D732)))),"")</f>
        <v/>
      </c>
      <c r="K732" s="0" t="str">
        <f aca="false">INDEX($P$2:$P$21,A732)</f>
        <v>Deck 13</v>
      </c>
      <c r="L732" s="0" t="n">
        <f aca="false">IF(AND(C732&lt;&gt;"",LEFT(C732,2)&lt;&gt;"//",I732=0),1,0)</f>
        <v>0</v>
      </c>
      <c r="M732" s="0" t="str">
        <f aca="false">IF(I732=1,MAX(M$1:M731)+1,"")</f>
        <v/>
      </c>
      <c r="N732" s="0" t="str">
        <f aca="false">IFERROR(MATCH(ROW()-1,$V$2:$V$1201,0),"")</f>
        <v/>
      </c>
      <c r="R732" s="0" t="str">
        <f aca="false">IF(E732="","",IFERROR(LEFT(E732,FIND("-",E732)-1),E732))</f>
        <v/>
      </c>
      <c r="S732" s="0" t="str">
        <f aca="false">IF(R732="","",IF(ISNUMBER(--MID(R732,1,1)),0,IF(ISNUMBER(--MID(R732,2,1)),1,IF(ISNUMBER(--MID(R732,3,1)),2,IF(ISNUMBER(--MID(R732,4,1)),3,MIN(LEN(R732),4))))))</f>
        <v/>
      </c>
      <c r="T732" s="0" t="str">
        <f aca="false">IF(E732="","",LEFT(R732,S732)&amp;REPT("0",4-S732)&amp;RIGHT("000"&amp;IFERROR(VALUE(MID(R732,S732+1,9)),0),3)&amp;RIGHT("0000"&amp;IFERROR(VALUE(MID(E732,FIND("-",E732)+1,9)),0),4))</f>
        <v/>
      </c>
      <c r="U732" s="0" t="str">
        <f aca="false">IF(I732=1,"K"&amp;RIGHT("00"&amp;A732,2)&amp;T732&amp;RIGHT("00000"&amp;ROW(),5),"")</f>
        <v/>
      </c>
      <c r="V732" s="0" t="str">
        <f aca="false">IF(U732="","",COUNTIFS($I$2:$I$1201,1,$U$2:$U$1201,"&lt;"&amp;U732)+1)</f>
        <v/>
      </c>
    </row>
    <row r="733" customFormat="false" ht="15" hidden="false" customHeight="false" outlineLevel="0" collapsed="false">
      <c r="A733" s="0" t="n">
        <v>13</v>
      </c>
      <c r="B733" s="0" t="n">
        <v>12</v>
      </c>
      <c r="C733" s="0" t="str">
        <f aca="false">TRIM(SUBSTITUTE(INDEX(LISTAS!$A$4:$T$63,B733,A733)&amp;"",CHAR(160)," "))</f>
        <v/>
      </c>
      <c r="D733" s="0" t="str">
        <f aca="false">IF(C733="","",TRIM(RIGHT(SUBSTITUTE(C733," ",REPT(" ",100)),100)))</f>
        <v/>
      </c>
      <c r="E733" s="0" t="str">
        <f aca="false">IF(D733="","",UPPER(SUBSTITUTE(SUBSTITUTE(D733,"(",""),")","")))</f>
        <v/>
      </c>
      <c r="F733" s="0" t="str">
        <f aca="false">IF(C733="","",LEFT(C733,FIND(" ",C733&amp;" ")-1))</f>
        <v/>
      </c>
      <c r="G733" s="0" t="n">
        <f aca="false">IFERROR(VALUE(SUBSTITUTE(LOWER(F733),"x","")),0)</f>
        <v>0</v>
      </c>
      <c r="H733" s="0" t="str">
        <f aca="false">IF(C733="","",TRIM(MID(C733,LEN(F733)+2,999)))</f>
        <v/>
      </c>
      <c r="I733" s="0" t="n">
        <f aca="false">IF(OR(C733="",LEFT(C733,2)="//"),0,IFERROR(IF(AND(G733&gt;0,G733=INT(G733),FIND("-",E733)&gt;1,NOT(EXACT(UPPER(LEFT(E733,1)),LOWER(LEFT(E733,1)))),ISNUMBER(VALUE(MID(E733,FIND("-",E733)+1,10)))),1,0),0))</f>
        <v>0</v>
      </c>
      <c r="J733" s="0" t="str">
        <f aca="false">IF(I733=1,TRIM(LEFT(H733,MAX(0,LEN(H733)-LEN(D733)))),"")</f>
        <v/>
      </c>
      <c r="K733" s="0" t="str">
        <f aca="false">INDEX($P$2:$P$21,A733)</f>
        <v>Deck 13</v>
      </c>
      <c r="L733" s="0" t="n">
        <f aca="false">IF(AND(C733&lt;&gt;"",LEFT(C733,2)&lt;&gt;"//",I733=0),1,0)</f>
        <v>0</v>
      </c>
      <c r="M733" s="0" t="str">
        <f aca="false">IF(I733=1,MAX(M$1:M732)+1,"")</f>
        <v/>
      </c>
      <c r="N733" s="0" t="str">
        <f aca="false">IFERROR(MATCH(ROW()-1,$V$2:$V$1201,0),"")</f>
        <v/>
      </c>
      <c r="R733" s="0" t="str">
        <f aca="false">IF(E733="","",IFERROR(LEFT(E733,FIND("-",E733)-1),E733))</f>
        <v/>
      </c>
      <c r="S733" s="0" t="str">
        <f aca="false">IF(R733="","",IF(ISNUMBER(--MID(R733,1,1)),0,IF(ISNUMBER(--MID(R733,2,1)),1,IF(ISNUMBER(--MID(R733,3,1)),2,IF(ISNUMBER(--MID(R733,4,1)),3,MIN(LEN(R733),4))))))</f>
        <v/>
      </c>
      <c r="T733" s="0" t="str">
        <f aca="false">IF(E733="","",LEFT(R733,S733)&amp;REPT("0",4-S733)&amp;RIGHT("000"&amp;IFERROR(VALUE(MID(R733,S733+1,9)),0),3)&amp;RIGHT("0000"&amp;IFERROR(VALUE(MID(E733,FIND("-",E733)+1,9)),0),4))</f>
        <v/>
      </c>
      <c r="U733" s="0" t="str">
        <f aca="false">IF(I733=1,"K"&amp;RIGHT("00"&amp;A733,2)&amp;T733&amp;RIGHT("00000"&amp;ROW(),5),"")</f>
        <v/>
      </c>
      <c r="V733" s="0" t="str">
        <f aca="false">IF(U733="","",COUNTIFS($I$2:$I$1201,1,$U$2:$U$1201,"&lt;"&amp;U733)+1)</f>
        <v/>
      </c>
    </row>
    <row r="734" customFormat="false" ht="15" hidden="false" customHeight="false" outlineLevel="0" collapsed="false">
      <c r="A734" s="0" t="n">
        <v>13</v>
      </c>
      <c r="B734" s="0" t="n">
        <v>13</v>
      </c>
      <c r="C734" s="0" t="str">
        <f aca="false">TRIM(SUBSTITUTE(INDEX(LISTAS!$A$4:$T$63,B734,A734)&amp;"",CHAR(160)," "))</f>
        <v/>
      </c>
      <c r="D734" s="0" t="str">
        <f aca="false">IF(C734="","",TRIM(RIGHT(SUBSTITUTE(C734," ",REPT(" ",100)),100)))</f>
        <v/>
      </c>
      <c r="E734" s="0" t="str">
        <f aca="false">IF(D734="","",UPPER(SUBSTITUTE(SUBSTITUTE(D734,"(",""),")","")))</f>
        <v/>
      </c>
      <c r="F734" s="0" t="str">
        <f aca="false">IF(C734="","",LEFT(C734,FIND(" ",C734&amp;" ")-1))</f>
        <v/>
      </c>
      <c r="G734" s="0" t="n">
        <f aca="false">IFERROR(VALUE(SUBSTITUTE(LOWER(F734),"x","")),0)</f>
        <v>0</v>
      </c>
      <c r="H734" s="0" t="str">
        <f aca="false">IF(C734="","",TRIM(MID(C734,LEN(F734)+2,999)))</f>
        <v/>
      </c>
      <c r="I734" s="0" t="n">
        <f aca="false">IF(OR(C734="",LEFT(C734,2)="//"),0,IFERROR(IF(AND(G734&gt;0,G734=INT(G734),FIND("-",E734)&gt;1,NOT(EXACT(UPPER(LEFT(E734,1)),LOWER(LEFT(E734,1)))),ISNUMBER(VALUE(MID(E734,FIND("-",E734)+1,10)))),1,0),0))</f>
        <v>0</v>
      </c>
      <c r="J734" s="0" t="str">
        <f aca="false">IF(I734=1,TRIM(LEFT(H734,MAX(0,LEN(H734)-LEN(D734)))),"")</f>
        <v/>
      </c>
      <c r="K734" s="0" t="str">
        <f aca="false">INDEX($P$2:$P$21,A734)</f>
        <v>Deck 13</v>
      </c>
      <c r="L734" s="0" t="n">
        <f aca="false">IF(AND(C734&lt;&gt;"",LEFT(C734,2)&lt;&gt;"//",I734=0),1,0)</f>
        <v>0</v>
      </c>
      <c r="M734" s="0" t="str">
        <f aca="false">IF(I734=1,MAX(M$1:M733)+1,"")</f>
        <v/>
      </c>
      <c r="N734" s="0" t="str">
        <f aca="false">IFERROR(MATCH(ROW()-1,$V$2:$V$1201,0),"")</f>
        <v/>
      </c>
      <c r="R734" s="0" t="str">
        <f aca="false">IF(E734="","",IFERROR(LEFT(E734,FIND("-",E734)-1),E734))</f>
        <v/>
      </c>
      <c r="S734" s="0" t="str">
        <f aca="false">IF(R734="","",IF(ISNUMBER(--MID(R734,1,1)),0,IF(ISNUMBER(--MID(R734,2,1)),1,IF(ISNUMBER(--MID(R734,3,1)),2,IF(ISNUMBER(--MID(R734,4,1)),3,MIN(LEN(R734),4))))))</f>
        <v/>
      </c>
      <c r="T734" s="0" t="str">
        <f aca="false">IF(E734="","",LEFT(R734,S734)&amp;REPT("0",4-S734)&amp;RIGHT("000"&amp;IFERROR(VALUE(MID(R734,S734+1,9)),0),3)&amp;RIGHT("0000"&amp;IFERROR(VALUE(MID(E734,FIND("-",E734)+1,9)),0),4))</f>
        <v/>
      </c>
      <c r="U734" s="0" t="str">
        <f aca="false">IF(I734=1,"K"&amp;RIGHT("00"&amp;A734,2)&amp;T734&amp;RIGHT("00000"&amp;ROW(),5),"")</f>
        <v/>
      </c>
      <c r="V734" s="0" t="str">
        <f aca="false">IF(U734="","",COUNTIFS($I$2:$I$1201,1,$U$2:$U$1201,"&lt;"&amp;U734)+1)</f>
        <v/>
      </c>
    </row>
    <row r="735" customFormat="false" ht="15" hidden="false" customHeight="false" outlineLevel="0" collapsed="false">
      <c r="A735" s="0" t="n">
        <v>13</v>
      </c>
      <c r="B735" s="0" t="n">
        <v>14</v>
      </c>
      <c r="C735" s="0" t="str">
        <f aca="false">TRIM(SUBSTITUTE(INDEX(LISTAS!$A$4:$T$63,B735,A735)&amp;"",CHAR(160)," "))</f>
        <v/>
      </c>
      <c r="D735" s="0" t="str">
        <f aca="false">IF(C735="","",TRIM(RIGHT(SUBSTITUTE(C735," ",REPT(" ",100)),100)))</f>
        <v/>
      </c>
      <c r="E735" s="0" t="str">
        <f aca="false">IF(D735="","",UPPER(SUBSTITUTE(SUBSTITUTE(D735,"(",""),")","")))</f>
        <v/>
      </c>
      <c r="F735" s="0" t="str">
        <f aca="false">IF(C735="","",LEFT(C735,FIND(" ",C735&amp;" ")-1))</f>
        <v/>
      </c>
      <c r="G735" s="0" t="n">
        <f aca="false">IFERROR(VALUE(SUBSTITUTE(LOWER(F735),"x","")),0)</f>
        <v>0</v>
      </c>
      <c r="H735" s="0" t="str">
        <f aca="false">IF(C735="","",TRIM(MID(C735,LEN(F735)+2,999)))</f>
        <v/>
      </c>
      <c r="I735" s="0" t="n">
        <f aca="false">IF(OR(C735="",LEFT(C735,2)="//"),0,IFERROR(IF(AND(G735&gt;0,G735=INT(G735),FIND("-",E735)&gt;1,NOT(EXACT(UPPER(LEFT(E735,1)),LOWER(LEFT(E735,1)))),ISNUMBER(VALUE(MID(E735,FIND("-",E735)+1,10)))),1,0),0))</f>
        <v>0</v>
      </c>
      <c r="J735" s="0" t="str">
        <f aca="false">IF(I735=1,TRIM(LEFT(H735,MAX(0,LEN(H735)-LEN(D735)))),"")</f>
        <v/>
      </c>
      <c r="K735" s="0" t="str">
        <f aca="false">INDEX($P$2:$P$21,A735)</f>
        <v>Deck 13</v>
      </c>
      <c r="L735" s="0" t="n">
        <f aca="false">IF(AND(C735&lt;&gt;"",LEFT(C735,2)&lt;&gt;"//",I735=0),1,0)</f>
        <v>0</v>
      </c>
      <c r="M735" s="0" t="str">
        <f aca="false">IF(I735=1,MAX(M$1:M734)+1,"")</f>
        <v/>
      </c>
      <c r="N735" s="0" t="str">
        <f aca="false">IFERROR(MATCH(ROW()-1,$V$2:$V$1201,0),"")</f>
        <v/>
      </c>
      <c r="R735" s="0" t="str">
        <f aca="false">IF(E735="","",IFERROR(LEFT(E735,FIND("-",E735)-1),E735))</f>
        <v/>
      </c>
      <c r="S735" s="0" t="str">
        <f aca="false">IF(R735="","",IF(ISNUMBER(--MID(R735,1,1)),0,IF(ISNUMBER(--MID(R735,2,1)),1,IF(ISNUMBER(--MID(R735,3,1)),2,IF(ISNUMBER(--MID(R735,4,1)),3,MIN(LEN(R735),4))))))</f>
        <v/>
      </c>
      <c r="T735" s="0" t="str">
        <f aca="false">IF(E735="","",LEFT(R735,S735)&amp;REPT("0",4-S735)&amp;RIGHT("000"&amp;IFERROR(VALUE(MID(R735,S735+1,9)),0),3)&amp;RIGHT("0000"&amp;IFERROR(VALUE(MID(E735,FIND("-",E735)+1,9)),0),4))</f>
        <v/>
      </c>
      <c r="U735" s="0" t="str">
        <f aca="false">IF(I735=1,"K"&amp;RIGHT("00"&amp;A735,2)&amp;T735&amp;RIGHT("00000"&amp;ROW(),5),"")</f>
        <v/>
      </c>
      <c r="V735" s="0" t="str">
        <f aca="false">IF(U735="","",COUNTIFS($I$2:$I$1201,1,$U$2:$U$1201,"&lt;"&amp;U735)+1)</f>
        <v/>
      </c>
    </row>
    <row r="736" customFormat="false" ht="15" hidden="false" customHeight="false" outlineLevel="0" collapsed="false">
      <c r="A736" s="0" t="n">
        <v>13</v>
      </c>
      <c r="B736" s="0" t="n">
        <v>15</v>
      </c>
      <c r="C736" s="0" t="str">
        <f aca="false">TRIM(SUBSTITUTE(INDEX(LISTAS!$A$4:$T$63,B736,A736)&amp;"",CHAR(160)," "))</f>
        <v/>
      </c>
      <c r="D736" s="0" t="str">
        <f aca="false">IF(C736="","",TRIM(RIGHT(SUBSTITUTE(C736," ",REPT(" ",100)),100)))</f>
        <v/>
      </c>
      <c r="E736" s="0" t="str">
        <f aca="false">IF(D736="","",UPPER(SUBSTITUTE(SUBSTITUTE(D736,"(",""),")","")))</f>
        <v/>
      </c>
      <c r="F736" s="0" t="str">
        <f aca="false">IF(C736="","",LEFT(C736,FIND(" ",C736&amp;" ")-1))</f>
        <v/>
      </c>
      <c r="G736" s="0" t="n">
        <f aca="false">IFERROR(VALUE(SUBSTITUTE(LOWER(F736),"x","")),0)</f>
        <v>0</v>
      </c>
      <c r="H736" s="0" t="str">
        <f aca="false">IF(C736="","",TRIM(MID(C736,LEN(F736)+2,999)))</f>
        <v/>
      </c>
      <c r="I736" s="0" t="n">
        <f aca="false">IF(OR(C736="",LEFT(C736,2)="//"),0,IFERROR(IF(AND(G736&gt;0,G736=INT(G736),FIND("-",E736)&gt;1,NOT(EXACT(UPPER(LEFT(E736,1)),LOWER(LEFT(E736,1)))),ISNUMBER(VALUE(MID(E736,FIND("-",E736)+1,10)))),1,0),0))</f>
        <v>0</v>
      </c>
      <c r="J736" s="0" t="str">
        <f aca="false">IF(I736=1,TRIM(LEFT(H736,MAX(0,LEN(H736)-LEN(D736)))),"")</f>
        <v/>
      </c>
      <c r="K736" s="0" t="str">
        <f aca="false">INDEX($P$2:$P$21,A736)</f>
        <v>Deck 13</v>
      </c>
      <c r="L736" s="0" t="n">
        <f aca="false">IF(AND(C736&lt;&gt;"",LEFT(C736,2)&lt;&gt;"//",I736=0),1,0)</f>
        <v>0</v>
      </c>
      <c r="M736" s="0" t="str">
        <f aca="false">IF(I736=1,MAX(M$1:M735)+1,"")</f>
        <v/>
      </c>
      <c r="N736" s="0" t="str">
        <f aca="false">IFERROR(MATCH(ROW()-1,$V$2:$V$1201,0),"")</f>
        <v/>
      </c>
      <c r="R736" s="0" t="str">
        <f aca="false">IF(E736="","",IFERROR(LEFT(E736,FIND("-",E736)-1),E736))</f>
        <v/>
      </c>
      <c r="S736" s="0" t="str">
        <f aca="false">IF(R736="","",IF(ISNUMBER(--MID(R736,1,1)),0,IF(ISNUMBER(--MID(R736,2,1)),1,IF(ISNUMBER(--MID(R736,3,1)),2,IF(ISNUMBER(--MID(R736,4,1)),3,MIN(LEN(R736),4))))))</f>
        <v/>
      </c>
      <c r="T736" s="0" t="str">
        <f aca="false">IF(E736="","",LEFT(R736,S736)&amp;REPT("0",4-S736)&amp;RIGHT("000"&amp;IFERROR(VALUE(MID(R736,S736+1,9)),0),3)&amp;RIGHT("0000"&amp;IFERROR(VALUE(MID(E736,FIND("-",E736)+1,9)),0),4))</f>
        <v/>
      </c>
      <c r="U736" s="0" t="str">
        <f aca="false">IF(I736=1,"K"&amp;RIGHT("00"&amp;A736,2)&amp;T736&amp;RIGHT("00000"&amp;ROW(),5),"")</f>
        <v/>
      </c>
      <c r="V736" s="0" t="str">
        <f aca="false">IF(U736="","",COUNTIFS($I$2:$I$1201,1,$U$2:$U$1201,"&lt;"&amp;U736)+1)</f>
        <v/>
      </c>
    </row>
    <row r="737" customFormat="false" ht="15" hidden="false" customHeight="false" outlineLevel="0" collapsed="false">
      <c r="A737" s="0" t="n">
        <v>13</v>
      </c>
      <c r="B737" s="0" t="n">
        <v>16</v>
      </c>
      <c r="C737" s="0" t="str">
        <f aca="false">TRIM(SUBSTITUTE(INDEX(LISTAS!$A$4:$T$63,B737,A737)&amp;"",CHAR(160)," "))</f>
        <v/>
      </c>
      <c r="D737" s="0" t="str">
        <f aca="false">IF(C737="","",TRIM(RIGHT(SUBSTITUTE(C737," ",REPT(" ",100)),100)))</f>
        <v/>
      </c>
      <c r="E737" s="0" t="str">
        <f aca="false">IF(D737="","",UPPER(SUBSTITUTE(SUBSTITUTE(D737,"(",""),")","")))</f>
        <v/>
      </c>
      <c r="F737" s="0" t="str">
        <f aca="false">IF(C737="","",LEFT(C737,FIND(" ",C737&amp;" ")-1))</f>
        <v/>
      </c>
      <c r="G737" s="0" t="n">
        <f aca="false">IFERROR(VALUE(SUBSTITUTE(LOWER(F737),"x","")),0)</f>
        <v>0</v>
      </c>
      <c r="H737" s="0" t="str">
        <f aca="false">IF(C737="","",TRIM(MID(C737,LEN(F737)+2,999)))</f>
        <v/>
      </c>
      <c r="I737" s="0" t="n">
        <f aca="false">IF(OR(C737="",LEFT(C737,2)="//"),0,IFERROR(IF(AND(G737&gt;0,G737=INT(G737),FIND("-",E737)&gt;1,NOT(EXACT(UPPER(LEFT(E737,1)),LOWER(LEFT(E737,1)))),ISNUMBER(VALUE(MID(E737,FIND("-",E737)+1,10)))),1,0),0))</f>
        <v>0</v>
      </c>
      <c r="J737" s="0" t="str">
        <f aca="false">IF(I737=1,TRIM(LEFT(H737,MAX(0,LEN(H737)-LEN(D737)))),"")</f>
        <v/>
      </c>
      <c r="K737" s="0" t="str">
        <f aca="false">INDEX($P$2:$P$21,A737)</f>
        <v>Deck 13</v>
      </c>
      <c r="L737" s="0" t="n">
        <f aca="false">IF(AND(C737&lt;&gt;"",LEFT(C737,2)&lt;&gt;"//",I737=0),1,0)</f>
        <v>0</v>
      </c>
      <c r="M737" s="0" t="str">
        <f aca="false">IF(I737=1,MAX(M$1:M736)+1,"")</f>
        <v/>
      </c>
      <c r="N737" s="0" t="str">
        <f aca="false">IFERROR(MATCH(ROW()-1,$V$2:$V$1201,0),"")</f>
        <v/>
      </c>
      <c r="R737" s="0" t="str">
        <f aca="false">IF(E737="","",IFERROR(LEFT(E737,FIND("-",E737)-1),E737))</f>
        <v/>
      </c>
      <c r="S737" s="0" t="str">
        <f aca="false">IF(R737="","",IF(ISNUMBER(--MID(R737,1,1)),0,IF(ISNUMBER(--MID(R737,2,1)),1,IF(ISNUMBER(--MID(R737,3,1)),2,IF(ISNUMBER(--MID(R737,4,1)),3,MIN(LEN(R737),4))))))</f>
        <v/>
      </c>
      <c r="T737" s="0" t="str">
        <f aca="false">IF(E737="","",LEFT(R737,S737)&amp;REPT("0",4-S737)&amp;RIGHT("000"&amp;IFERROR(VALUE(MID(R737,S737+1,9)),0),3)&amp;RIGHT("0000"&amp;IFERROR(VALUE(MID(E737,FIND("-",E737)+1,9)),0),4))</f>
        <v/>
      </c>
      <c r="U737" s="0" t="str">
        <f aca="false">IF(I737=1,"K"&amp;RIGHT("00"&amp;A737,2)&amp;T737&amp;RIGHT("00000"&amp;ROW(),5),"")</f>
        <v/>
      </c>
      <c r="V737" s="0" t="str">
        <f aca="false">IF(U737="","",COUNTIFS($I$2:$I$1201,1,$U$2:$U$1201,"&lt;"&amp;U737)+1)</f>
        <v/>
      </c>
    </row>
    <row r="738" customFormat="false" ht="15" hidden="false" customHeight="false" outlineLevel="0" collapsed="false">
      <c r="A738" s="0" t="n">
        <v>13</v>
      </c>
      <c r="B738" s="0" t="n">
        <v>17</v>
      </c>
      <c r="C738" s="0" t="str">
        <f aca="false">TRIM(SUBSTITUTE(INDEX(LISTAS!$A$4:$T$63,B738,A738)&amp;"",CHAR(160)," "))</f>
        <v/>
      </c>
      <c r="D738" s="0" t="str">
        <f aca="false">IF(C738="","",TRIM(RIGHT(SUBSTITUTE(C738," ",REPT(" ",100)),100)))</f>
        <v/>
      </c>
      <c r="E738" s="0" t="str">
        <f aca="false">IF(D738="","",UPPER(SUBSTITUTE(SUBSTITUTE(D738,"(",""),")","")))</f>
        <v/>
      </c>
      <c r="F738" s="0" t="str">
        <f aca="false">IF(C738="","",LEFT(C738,FIND(" ",C738&amp;" ")-1))</f>
        <v/>
      </c>
      <c r="G738" s="0" t="n">
        <f aca="false">IFERROR(VALUE(SUBSTITUTE(LOWER(F738),"x","")),0)</f>
        <v>0</v>
      </c>
      <c r="H738" s="0" t="str">
        <f aca="false">IF(C738="","",TRIM(MID(C738,LEN(F738)+2,999)))</f>
        <v/>
      </c>
      <c r="I738" s="0" t="n">
        <f aca="false">IF(OR(C738="",LEFT(C738,2)="//"),0,IFERROR(IF(AND(G738&gt;0,G738=INT(G738),FIND("-",E738)&gt;1,NOT(EXACT(UPPER(LEFT(E738,1)),LOWER(LEFT(E738,1)))),ISNUMBER(VALUE(MID(E738,FIND("-",E738)+1,10)))),1,0),0))</f>
        <v>0</v>
      </c>
      <c r="J738" s="0" t="str">
        <f aca="false">IF(I738=1,TRIM(LEFT(H738,MAX(0,LEN(H738)-LEN(D738)))),"")</f>
        <v/>
      </c>
      <c r="K738" s="0" t="str">
        <f aca="false">INDEX($P$2:$P$21,A738)</f>
        <v>Deck 13</v>
      </c>
      <c r="L738" s="0" t="n">
        <f aca="false">IF(AND(C738&lt;&gt;"",LEFT(C738,2)&lt;&gt;"//",I738=0),1,0)</f>
        <v>0</v>
      </c>
      <c r="M738" s="0" t="str">
        <f aca="false">IF(I738=1,MAX(M$1:M737)+1,"")</f>
        <v/>
      </c>
      <c r="N738" s="0" t="str">
        <f aca="false">IFERROR(MATCH(ROW()-1,$V$2:$V$1201,0),"")</f>
        <v/>
      </c>
      <c r="R738" s="0" t="str">
        <f aca="false">IF(E738="","",IFERROR(LEFT(E738,FIND("-",E738)-1),E738))</f>
        <v/>
      </c>
      <c r="S738" s="0" t="str">
        <f aca="false">IF(R738="","",IF(ISNUMBER(--MID(R738,1,1)),0,IF(ISNUMBER(--MID(R738,2,1)),1,IF(ISNUMBER(--MID(R738,3,1)),2,IF(ISNUMBER(--MID(R738,4,1)),3,MIN(LEN(R738),4))))))</f>
        <v/>
      </c>
      <c r="T738" s="0" t="str">
        <f aca="false">IF(E738="","",LEFT(R738,S738)&amp;REPT("0",4-S738)&amp;RIGHT("000"&amp;IFERROR(VALUE(MID(R738,S738+1,9)),0),3)&amp;RIGHT("0000"&amp;IFERROR(VALUE(MID(E738,FIND("-",E738)+1,9)),0),4))</f>
        <v/>
      </c>
      <c r="U738" s="0" t="str">
        <f aca="false">IF(I738=1,"K"&amp;RIGHT("00"&amp;A738,2)&amp;T738&amp;RIGHT("00000"&amp;ROW(),5),"")</f>
        <v/>
      </c>
      <c r="V738" s="0" t="str">
        <f aca="false">IF(U738="","",COUNTIFS($I$2:$I$1201,1,$U$2:$U$1201,"&lt;"&amp;U738)+1)</f>
        <v/>
      </c>
    </row>
    <row r="739" customFormat="false" ht="15" hidden="false" customHeight="false" outlineLevel="0" collapsed="false">
      <c r="A739" s="0" t="n">
        <v>13</v>
      </c>
      <c r="B739" s="0" t="n">
        <v>18</v>
      </c>
      <c r="C739" s="0" t="str">
        <f aca="false">TRIM(SUBSTITUTE(INDEX(LISTAS!$A$4:$T$63,B739,A739)&amp;"",CHAR(160)," "))</f>
        <v/>
      </c>
      <c r="D739" s="0" t="str">
        <f aca="false">IF(C739="","",TRIM(RIGHT(SUBSTITUTE(C739," ",REPT(" ",100)),100)))</f>
        <v/>
      </c>
      <c r="E739" s="0" t="str">
        <f aca="false">IF(D739="","",UPPER(SUBSTITUTE(SUBSTITUTE(D739,"(",""),")","")))</f>
        <v/>
      </c>
      <c r="F739" s="0" t="str">
        <f aca="false">IF(C739="","",LEFT(C739,FIND(" ",C739&amp;" ")-1))</f>
        <v/>
      </c>
      <c r="G739" s="0" t="n">
        <f aca="false">IFERROR(VALUE(SUBSTITUTE(LOWER(F739),"x","")),0)</f>
        <v>0</v>
      </c>
      <c r="H739" s="0" t="str">
        <f aca="false">IF(C739="","",TRIM(MID(C739,LEN(F739)+2,999)))</f>
        <v/>
      </c>
      <c r="I739" s="0" t="n">
        <f aca="false">IF(OR(C739="",LEFT(C739,2)="//"),0,IFERROR(IF(AND(G739&gt;0,G739=INT(G739),FIND("-",E739)&gt;1,NOT(EXACT(UPPER(LEFT(E739,1)),LOWER(LEFT(E739,1)))),ISNUMBER(VALUE(MID(E739,FIND("-",E739)+1,10)))),1,0),0))</f>
        <v>0</v>
      </c>
      <c r="J739" s="0" t="str">
        <f aca="false">IF(I739=1,TRIM(LEFT(H739,MAX(0,LEN(H739)-LEN(D739)))),"")</f>
        <v/>
      </c>
      <c r="K739" s="0" t="str">
        <f aca="false">INDEX($P$2:$P$21,A739)</f>
        <v>Deck 13</v>
      </c>
      <c r="L739" s="0" t="n">
        <f aca="false">IF(AND(C739&lt;&gt;"",LEFT(C739,2)&lt;&gt;"//",I739=0),1,0)</f>
        <v>0</v>
      </c>
      <c r="M739" s="0" t="str">
        <f aca="false">IF(I739=1,MAX(M$1:M738)+1,"")</f>
        <v/>
      </c>
      <c r="N739" s="0" t="str">
        <f aca="false">IFERROR(MATCH(ROW()-1,$V$2:$V$1201,0),"")</f>
        <v/>
      </c>
      <c r="R739" s="0" t="str">
        <f aca="false">IF(E739="","",IFERROR(LEFT(E739,FIND("-",E739)-1),E739))</f>
        <v/>
      </c>
      <c r="S739" s="0" t="str">
        <f aca="false">IF(R739="","",IF(ISNUMBER(--MID(R739,1,1)),0,IF(ISNUMBER(--MID(R739,2,1)),1,IF(ISNUMBER(--MID(R739,3,1)),2,IF(ISNUMBER(--MID(R739,4,1)),3,MIN(LEN(R739),4))))))</f>
        <v/>
      </c>
      <c r="T739" s="0" t="str">
        <f aca="false">IF(E739="","",LEFT(R739,S739)&amp;REPT("0",4-S739)&amp;RIGHT("000"&amp;IFERROR(VALUE(MID(R739,S739+1,9)),0),3)&amp;RIGHT("0000"&amp;IFERROR(VALUE(MID(E739,FIND("-",E739)+1,9)),0),4))</f>
        <v/>
      </c>
      <c r="U739" s="0" t="str">
        <f aca="false">IF(I739=1,"K"&amp;RIGHT("00"&amp;A739,2)&amp;T739&amp;RIGHT("00000"&amp;ROW(),5),"")</f>
        <v/>
      </c>
      <c r="V739" s="0" t="str">
        <f aca="false">IF(U739="","",COUNTIFS($I$2:$I$1201,1,$U$2:$U$1201,"&lt;"&amp;U739)+1)</f>
        <v/>
      </c>
    </row>
    <row r="740" customFormat="false" ht="15" hidden="false" customHeight="false" outlineLevel="0" collapsed="false">
      <c r="A740" s="0" t="n">
        <v>13</v>
      </c>
      <c r="B740" s="0" t="n">
        <v>19</v>
      </c>
      <c r="C740" s="0" t="str">
        <f aca="false">TRIM(SUBSTITUTE(INDEX(LISTAS!$A$4:$T$63,B740,A740)&amp;"",CHAR(160)," "))</f>
        <v/>
      </c>
      <c r="D740" s="0" t="str">
        <f aca="false">IF(C740="","",TRIM(RIGHT(SUBSTITUTE(C740," ",REPT(" ",100)),100)))</f>
        <v/>
      </c>
      <c r="E740" s="0" t="str">
        <f aca="false">IF(D740="","",UPPER(SUBSTITUTE(SUBSTITUTE(D740,"(",""),")","")))</f>
        <v/>
      </c>
      <c r="F740" s="0" t="str">
        <f aca="false">IF(C740="","",LEFT(C740,FIND(" ",C740&amp;" ")-1))</f>
        <v/>
      </c>
      <c r="G740" s="0" t="n">
        <f aca="false">IFERROR(VALUE(SUBSTITUTE(LOWER(F740),"x","")),0)</f>
        <v>0</v>
      </c>
      <c r="H740" s="0" t="str">
        <f aca="false">IF(C740="","",TRIM(MID(C740,LEN(F740)+2,999)))</f>
        <v/>
      </c>
      <c r="I740" s="0" t="n">
        <f aca="false">IF(OR(C740="",LEFT(C740,2)="//"),0,IFERROR(IF(AND(G740&gt;0,G740=INT(G740),FIND("-",E740)&gt;1,NOT(EXACT(UPPER(LEFT(E740,1)),LOWER(LEFT(E740,1)))),ISNUMBER(VALUE(MID(E740,FIND("-",E740)+1,10)))),1,0),0))</f>
        <v>0</v>
      </c>
      <c r="J740" s="0" t="str">
        <f aca="false">IF(I740=1,TRIM(LEFT(H740,MAX(0,LEN(H740)-LEN(D740)))),"")</f>
        <v/>
      </c>
      <c r="K740" s="0" t="str">
        <f aca="false">INDEX($P$2:$P$21,A740)</f>
        <v>Deck 13</v>
      </c>
      <c r="L740" s="0" t="n">
        <f aca="false">IF(AND(C740&lt;&gt;"",LEFT(C740,2)&lt;&gt;"//",I740=0),1,0)</f>
        <v>0</v>
      </c>
      <c r="M740" s="0" t="str">
        <f aca="false">IF(I740=1,MAX(M$1:M739)+1,"")</f>
        <v/>
      </c>
      <c r="N740" s="0" t="str">
        <f aca="false">IFERROR(MATCH(ROW()-1,$V$2:$V$1201,0),"")</f>
        <v/>
      </c>
      <c r="R740" s="0" t="str">
        <f aca="false">IF(E740="","",IFERROR(LEFT(E740,FIND("-",E740)-1),E740))</f>
        <v/>
      </c>
      <c r="S740" s="0" t="str">
        <f aca="false">IF(R740="","",IF(ISNUMBER(--MID(R740,1,1)),0,IF(ISNUMBER(--MID(R740,2,1)),1,IF(ISNUMBER(--MID(R740,3,1)),2,IF(ISNUMBER(--MID(R740,4,1)),3,MIN(LEN(R740),4))))))</f>
        <v/>
      </c>
      <c r="T740" s="0" t="str">
        <f aca="false">IF(E740="","",LEFT(R740,S740)&amp;REPT("0",4-S740)&amp;RIGHT("000"&amp;IFERROR(VALUE(MID(R740,S740+1,9)),0),3)&amp;RIGHT("0000"&amp;IFERROR(VALUE(MID(E740,FIND("-",E740)+1,9)),0),4))</f>
        <v/>
      </c>
      <c r="U740" s="0" t="str">
        <f aca="false">IF(I740=1,"K"&amp;RIGHT("00"&amp;A740,2)&amp;T740&amp;RIGHT("00000"&amp;ROW(),5),"")</f>
        <v/>
      </c>
      <c r="V740" s="0" t="str">
        <f aca="false">IF(U740="","",COUNTIFS($I$2:$I$1201,1,$U$2:$U$1201,"&lt;"&amp;U740)+1)</f>
        <v/>
      </c>
    </row>
    <row r="741" customFormat="false" ht="15" hidden="false" customHeight="false" outlineLevel="0" collapsed="false">
      <c r="A741" s="0" t="n">
        <v>13</v>
      </c>
      <c r="B741" s="0" t="n">
        <v>20</v>
      </c>
      <c r="C741" s="0" t="str">
        <f aca="false">TRIM(SUBSTITUTE(INDEX(LISTAS!$A$4:$T$63,B741,A741)&amp;"",CHAR(160)," "))</f>
        <v/>
      </c>
      <c r="D741" s="0" t="str">
        <f aca="false">IF(C741="","",TRIM(RIGHT(SUBSTITUTE(C741," ",REPT(" ",100)),100)))</f>
        <v/>
      </c>
      <c r="E741" s="0" t="str">
        <f aca="false">IF(D741="","",UPPER(SUBSTITUTE(SUBSTITUTE(D741,"(",""),")","")))</f>
        <v/>
      </c>
      <c r="F741" s="0" t="str">
        <f aca="false">IF(C741="","",LEFT(C741,FIND(" ",C741&amp;" ")-1))</f>
        <v/>
      </c>
      <c r="G741" s="0" t="n">
        <f aca="false">IFERROR(VALUE(SUBSTITUTE(LOWER(F741),"x","")),0)</f>
        <v>0</v>
      </c>
      <c r="H741" s="0" t="str">
        <f aca="false">IF(C741="","",TRIM(MID(C741,LEN(F741)+2,999)))</f>
        <v/>
      </c>
      <c r="I741" s="0" t="n">
        <f aca="false">IF(OR(C741="",LEFT(C741,2)="//"),0,IFERROR(IF(AND(G741&gt;0,G741=INT(G741),FIND("-",E741)&gt;1,NOT(EXACT(UPPER(LEFT(E741,1)),LOWER(LEFT(E741,1)))),ISNUMBER(VALUE(MID(E741,FIND("-",E741)+1,10)))),1,0),0))</f>
        <v>0</v>
      </c>
      <c r="J741" s="0" t="str">
        <f aca="false">IF(I741=1,TRIM(LEFT(H741,MAX(0,LEN(H741)-LEN(D741)))),"")</f>
        <v/>
      </c>
      <c r="K741" s="0" t="str">
        <f aca="false">INDEX($P$2:$P$21,A741)</f>
        <v>Deck 13</v>
      </c>
      <c r="L741" s="0" t="n">
        <f aca="false">IF(AND(C741&lt;&gt;"",LEFT(C741,2)&lt;&gt;"//",I741=0),1,0)</f>
        <v>0</v>
      </c>
      <c r="M741" s="0" t="str">
        <f aca="false">IF(I741=1,MAX(M$1:M740)+1,"")</f>
        <v/>
      </c>
      <c r="N741" s="0" t="str">
        <f aca="false">IFERROR(MATCH(ROW()-1,$V$2:$V$1201,0),"")</f>
        <v/>
      </c>
      <c r="R741" s="0" t="str">
        <f aca="false">IF(E741="","",IFERROR(LEFT(E741,FIND("-",E741)-1),E741))</f>
        <v/>
      </c>
      <c r="S741" s="0" t="str">
        <f aca="false">IF(R741="","",IF(ISNUMBER(--MID(R741,1,1)),0,IF(ISNUMBER(--MID(R741,2,1)),1,IF(ISNUMBER(--MID(R741,3,1)),2,IF(ISNUMBER(--MID(R741,4,1)),3,MIN(LEN(R741),4))))))</f>
        <v/>
      </c>
      <c r="T741" s="0" t="str">
        <f aca="false">IF(E741="","",LEFT(R741,S741)&amp;REPT("0",4-S741)&amp;RIGHT("000"&amp;IFERROR(VALUE(MID(R741,S741+1,9)),0),3)&amp;RIGHT("0000"&amp;IFERROR(VALUE(MID(E741,FIND("-",E741)+1,9)),0),4))</f>
        <v/>
      </c>
      <c r="U741" s="0" t="str">
        <f aca="false">IF(I741=1,"K"&amp;RIGHT("00"&amp;A741,2)&amp;T741&amp;RIGHT("00000"&amp;ROW(),5),"")</f>
        <v/>
      </c>
      <c r="V741" s="0" t="str">
        <f aca="false">IF(U741="","",COUNTIFS($I$2:$I$1201,1,$U$2:$U$1201,"&lt;"&amp;U741)+1)</f>
        <v/>
      </c>
    </row>
    <row r="742" customFormat="false" ht="15" hidden="false" customHeight="false" outlineLevel="0" collapsed="false">
      <c r="A742" s="0" t="n">
        <v>13</v>
      </c>
      <c r="B742" s="0" t="n">
        <v>21</v>
      </c>
      <c r="C742" s="0" t="str">
        <f aca="false">TRIM(SUBSTITUTE(INDEX(LISTAS!$A$4:$T$63,B742,A742)&amp;"",CHAR(160)," "))</f>
        <v/>
      </c>
      <c r="D742" s="0" t="str">
        <f aca="false">IF(C742="","",TRIM(RIGHT(SUBSTITUTE(C742," ",REPT(" ",100)),100)))</f>
        <v/>
      </c>
      <c r="E742" s="0" t="str">
        <f aca="false">IF(D742="","",UPPER(SUBSTITUTE(SUBSTITUTE(D742,"(",""),")","")))</f>
        <v/>
      </c>
      <c r="F742" s="0" t="str">
        <f aca="false">IF(C742="","",LEFT(C742,FIND(" ",C742&amp;" ")-1))</f>
        <v/>
      </c>
      <c r="G742" s="0" t="n">
        <f aca="false">IFERROR(VALUE(SUBSTITUTE(LOWER(F742),"x","")),0)</f>
        <v>0</v>
      </c>
      <c r="H742" s="0" t="str">
        <f aca="false">IF(C742="","",TRIM(MID(C742,LEN(F742)+2,999)))</f>
        <v/>
      </c>
      <c r="I742" s="0" t="n">
        <f aca="false">IF(OR(C742="",LEFT(C742,2)="//"),0,IFERROR(IF(AND(G742&gt;0,G742=INT(G742),FIND("-",E742)&gt;1,NOT(EXACT(UPPER(LEFT(E742,1)),LOWER(LEFT(E742,1)))),ISNUMBER(VALUE(MID(E742,FIND("-",E742)+1,10)))),1,0),0))</f>
        <v>0</v>
      </c>
      <c r="J742" s="0" t="str">
        <f aca="false">IF(I742=1,TRIM(LEFT(H742,MAX(0,LEN(H742)-LEN(D742)))),"")</f>
        <v/>
      </c>
      <c r="K742" s="0" t="str">
        <f aca="false">INDEX($P$2:$P$21,A742)</f>
        <v>Deck 13</v>
      </c>
      <c r="L742" s="0" t="n">
        <f aca="false">IF(AND(C742&lt;&gt;"",LEFT(C742,2)&lt;&gt;"//",I742=0),1,0)</f>
        <v>0</v>
      </c>
      <c r="M742" s="0" t="str">
        <f aca="false">IF(I742=1,MAX(M$1:M741)+1,"")</f>
        <v/>
      </c>
      <c r="N742" s="0" t="str">
        <f aca="false">IFERROR(MATCH(ROW()-1,$V$2:$V$1201,0),"")</f>
        <v/>
      </c>
      <c r="R742" s="0" t="str">
        <f aca="false">IF(E742="","",IFERROR(LEFT(E742,FIND("-",E742)-1),E742))</f>
        <v/>
      </c>
      <c r="S742" s="0" t="str">
        <f aca="false">IF(R742="","",IF(ISNUMBER(--MID(R742,1,1)),0,IF(ISNUMBER(--MID(R742,2,1)),1,IF(ISNUMBER(--MID(R742,3,1)),2,IF(ISNUMBER(--MID(R742,4,1)),3,MIN(LEN(R742),4))))))</f>
        <v/>
      </c>
      <c r="T742" s="0" t="str">
        <f aca="false">IF(E742="","",LEFT(R742,S742)&amp;REPT("0",4-S742)&amp;RIGHT("000"&amp;IFERROR(VALUE(MID(R742,S742+1,9)),0),3)&amp;RIGHT("0000"&amp;IFERROR(VALUE(MID(E742,FIND("-",E742)+1,9)),0),4))</f>
        <v/>
      </c>
      <c r="U742" s="0" t="str">
        <f aca="false">IF(I742=1,"K"&amp;RIGHT("00"&amp;A742,2)&amp;T742&amp;RIGHT("00000"&amp;ROW(),5),"")</f>
        <v/>
      </c>
      <c r="V742" s="0" t="str">
        <f aca="false">IF(U742="","",COUNTIFS($I$2:$I$1201,1,$U$2:$U$1201,"&lt;"&amp;U742)+1)</f>
        <v/>
      </c>
    </row>
    <row r="743" customFormat="false" ht="15" hidden="false" customHeight="false" outlineLevel="0" collapsed="false">
      <c r="A743" s="0" t="n">
        <v>13</v>
      </c>
      <c r="B743" s="0" t="n">
        <v>22</v>
      </c>
      <c r="C743" s="0" t="str">
        <f aca="false">TRIM(SUBSTITUTE(INDEX(LISTAS!$A$4:$T$63,B743,A743)&amp;"",CHAR(160)," "))</f>
        <v/>
      </c>
      <c r="D743" s="0" t="str">
        <f aca="false">IF(C743="","",TRIM(RIGHT(SUBSTITUTE(C743," ",REPT(" ",100)),100)))</f>
        <v/>
      </c>
      <c r="E743" s="0" t="str">
        <f aca="false">IF(D743="","",UPPER(SUBSTITUTE(SUBSTITUTE(D743,"(",""),")","")))</f>
        <v/>
      </c>
      <c r="F743" s="0" t="str">
        <f aca="false">IF(C743="","",LEFT(C743,FIND(" ",C743&amp;" ")-1))</f>
        <v/>
      </c>
      <c r="G743" s="0" t="n">
        <f aca="false">IFERROR(VALUE(SUBSTITUTE(LOWER(F743),"x","")),0)</f>
        <v>0</v>
      </c>
      <c r="H743" s="0" t="str">
        <f aca="false">IF(C743="","",TRIM(MID(C743,LEN(F743)+2,999)))</f>
        <v/>
      </c>
      <c r="I743" s="0" t="n">
        <f aca="false">IF(OR(C743="",LEFT(C743,2)="//"),0,IFERROR(IF(AND(G743&gt;0,G743=INT(G743),FIND("-",E743)&gt;1,NOT(EXACT(UPPER(LEFT(E743,1)),LOWER(LEFT(E743,1)))),ISNUMBER(VALUE(MID(E743,FIND("-",E743)+1,10)))),1,0),0))</f>
        <v>0</v>
      </c>
      <c r="J743" s="0" t="str">
        <f aca="false">IF(I743=1,TRIM(LEFT(H743,MAX(0,LEN(H743)-LEN(D743)))),"")</f>
        <v/>
      </c>
      <c r="K743" s="0" t="str">
        <f aca="false">INDEX($P$2:$P$21,A743)</f>
        <v>Deck 13</v>
      </c>
      <c r="L743" s="0" t="n">
        <f aca="false">IF(AND(C743&lt;&gt;"",LEFT(C743,2)&lt;&gt;"//",I743=0),1,0)</f>
        <v>0</v>
      </c>
      <c r="M743" s="0" t="str">
        <f aca="false">IF(I743=1,MAX(M$1:M742)+1,"")</f>
        <v/>
      </c>
      <c r="N743" s="0" t="str">
        <f aca="false">IFERROR(MATCH(ROW()-1,$V$2:$V$1201,0),"")</f>
        <v/>
      </c>
      <c r="R743" s="0" t="str">
        <f aca="false">IF(E743="","",IFERROR(LEFT(E743,FIND("-",E743)-1),E743))</f>
        <v/>
      </c>
      <c r="S743" s="0" t="str">
        <f aca="false">IF(R743="","",IF(ISNUMBER(--MID(R743,1,1)),0,IF(ISNUMBER(--MID(R743,2,1)),1,IF(ISNUMBER(--MID(R743,3,1)),2,IF(ISNUMBER(--MID(R743,4,1)),3,MIN(LEN(R743),4))))))</f>
        <v/>
      </c>
      <c r="T743" s="0" t="str">
        <f aca="false">IF(E743="","",LEFT(R743,S743)&amp;REPT("0",4-S743)&amp;RIGHT("000"&amp;IFERROR(VALUE(MID(R743,S743+1,9)),0),3)&amp;RIGHT("0000"&amp;IFERROR(VALUE(MID(E743,FIND("-",E743)+1,9)),0),4))</f>
        <v/>
      </c>
      <c r="U743" s="0" t="str">
        <f aca="false">IF(I743=1,"K"&amp;RIGHT("00"&amp;A743,2)&amp;T743&amp;RIGHT("00000"&amp;ROW(),5),"")</f>
        <v/>
      </c>
      <c r="V743" s="0" t="str">
        <f aca="false">IF(U743="","",COUNTIFS($I$2:$I$1201,1,$U$2:$U$1201,"&lt;"&amp;U743)+1)</f>
        <v/>
      </c>
    </row>
    <row r="744" customFormat="false" ht="15" hidden="false" customHeight="false" outlineLevel="0" collapsed="false">
      <c r="A744" s="0" t="n">
        <v>13</v>
      </c>
      <c r="B744" s="0" t="n">
        <v>23</v>
      </c>
      <c r="C744" s="0" t="str">
        <f aca="false">TRIM(SUBSTITUTE(INDEX(LISTAS!$A$4:$T$63,B744,A744)&amp;"",CHAR(160)," "))</f>
        <v/>
      </c>
      <c r="D744" s="0" t="str">
        <f aca="false">IF(C744="","",TRIM(RIGHT(SUBSTITUTE(C744," ",REPT(" ",100)),100)))</f>
        <v/>
      </c>
      <c r="E744" s="0" t="str">
        <f aca="false">IF(D744="","",UPPER(SUBSTITUTE(SUBSTITUTE(D744,"(",""),")","")))</f>
        <v/>
      </c>
      <c r="F744" s="0" t="str">
        <f aca="false">IF(C744="","",LEFT(C744,FIND(" ",C744&amp;" ")-1))</f>
        <v/>
      </c>
      <c r="G744" s="0" t="n">
        <f aca="false">IFERROR(VALUE(SUBSTITUTE(LOWER(F744),"x","")),0)</f>
        <v>0</v>
      </c>
      <c r="H744" s="0" t="str">
        <f aca="false">IF(C744="","",TRIM(MID(C744,LEN(F744)+2,999)))</f>
        <v/>
      </c>
      <c r="I744" s="0" t="n">
        <f aca="false">IF(OR(C744="",LEFT(C744,2)="//"),0,IFERROR(IF(AND(G744&gt;0,G744=INT(G744),FIND("-",E744)&gt;1,NOT(EXACT(UPPER(LEFT(E744,1)),LOWER(LEFT(E744,1)))),ISNUMBER(VALUE(MID(E744,FIND("-",E744)+1,10)))),1,0),0))</f>
        <v>0</v>
      </c>
      <c r="J744" s="0" t="str">
        <f aca="false">IF(I744=1,TRIM(LEFT(H744,MAX(0,LEN(H744)-LEN(D744)))),"")</f>
        <v/>
      </c>
      <c r="K744" s="0" t="str">
        <f aca="false">INDEX($P$2:$P$21,A744)</f>
        <v>Deck 13</v>
      </c>
      <c r="L744" s="0" t="n">
        <f aca="false">IF(AND(C744&lt;&gt;"",LEFT(C744,2)&lt;&gt;"//",I744=0),1,0)</f>
        <v>0</v>
      </c>
      <c r="M744" s="0" t="str">
        <f aca="false">IF(I744=1,MAX(M$1:M743)+1,"")</f>
        <v/>
      </c>
      <c r="N744" s="0" t="str">
        <f aca="false">IFERROR(MATCH(ROW()-1,$V$2:$V$1201,0),"")</f>
        <v/>
      </c>
      <c r="R744" s="0" t="str">
        <f aca="false">IF(E744="","",IFERROR(LEFT(E744,FIND("-",E744)-1),E744))</f>
        <v/>
      </c>
      <c r="S744" s="0" t="str">
        <f aca="false">IF(R744="","",IF(ISNUMBER(--MID(R744,1,1)),0,IF(ISNUMBER(--MID(R744,2,1)),1,IF(ISNUMBER(--MID(R744,3,1)),2,IF(ISNUMBER(--MID(R744,4,1)),3,MIN(LEN(R744),4))))))</f>
        <v/>
      </c>
      <c r="T744" s="0" t="str">
        <f aca="false">IF(E744="","",LEFT(R744,S744)&amp;REPT("0",4-S744)&amp;RIGHT("000"&amp;IFERROR(VALUE(MID(R744,S744+1,9)),0),3)&amp;RIGHT("0000"&amp;IFERROR(VALUE(MID(E744,FIND("-",E744)+1,9)),0),4))</f>
        <v/>
      </c>
      <c r="U744" s="0" t="str">
        <f aca="false">IF(I744=1,"K"&amp;RIGHT("00"&amp;A744,2)&amp;T744&amp;RIGHT("00000"&amp;ROW(),5),"")</f>
        <v/>
      </c>
      <c r="V744" s="0" t="str">
        <f aca="false">IF(U744="","",COUNTIFS($I$2:$I$1201,1,$U$2:$U$1201,"&lt;"&amp;U744)+1)</f>
        <v/>
      </c>
    </row>
    <row r="745" customFormat="false" ht="15" hidden="false" customHeight="false" outlineLevel="0" collapsed="false">
      <c r="A745" s="0" t="n">
        <v>13</v>
      </c>
      <c r="B745" s="0" t="n">
        <v>24</v>
      </c>
      <c r="C745" s="0" t="str">
        <f aca="false">TRIM(SUBSTITUTE(INDEX(LISTAS!$A$4:$T$63,B745,A745)&amp;"",CHAR(160)," "))</f>
        <v/>
      </c>
      <c r="D745" s="0" t="str">
        <f aca="false">IF(C745="","",TRIM(RIGHT(SUBSTITUTE(C745," ",REPT(" ",100)),100)))</f>
        <v/>
      </c>
      <c r="E745" s="0" t="str">
        <f aca="false">IF(D745="","",UPPER(SUBSTITUTE(SUBSTITUTE(D745,"(",""),")","")))</f>
        <v/>
      </c>
      <c r="F745" s="0" t="str">
        <f aca="false">IF(C745="","",LEFT(C745,FIND(" ",C745&amp;" ")-1))</f>
        <v/>
      </c>
      <c r="G745" s="0" t="n">
        <f aca="false">IFERROR(VALUE(SUBSTITUTE(LOWER(F745),"x","")),0)</f>
        <v>0</v>
      </c>
      <c r="H745" s="0" t="str">
        <f aca="false">IF(C745="","",TRIM(MID(C745,LEN(F745)+2,999)))</f>
        <v/>
      </c>
      <c r="I745" s="0" t="n">
        <f aca="false">IF(OR(C745="",LEFT(C745,2)="//"),0,IFERROR(IF(AND(G745&gt;0,G745=INT(G745),FIND("-",E745)&gt;1,NOT(EXACT(UPPER(LEFT(E745,1)),LOWER(LEFT(E745,1)))),ISNUMBER(VALUE(MID(E745,FIND("-",E745)+1,10)))),1,0),0))</f>
        <v>0</v>
      </c>
      <c r="J745" s="0" t="str">
        <f aca="false">IF(I745=1,TRIM(LEFT(H745,MAX(0,LEN(H745)-LEN(D745)))),"")</f>
        <v/>
      </c>
      <c r="K745" s="0" t="str">
        <f aca="false">INDEX($P$2:$P$21,A745)</f>
        <v>Deck 13</v>
      </c>
      <c r="L745" s="0" t="n">
        <f aca="false">IF(AND(C745&lt;&gt;"",LEFT(C745,2)&lt;&gt;"//",I745=0),1,0)</f>
        <v>0</v>
      </c>
      <c r="M745" s="0" t="str">
        <f aca="false">IF(I745=1,MAX(M$1:M744)+1,"")</f>
        <v/>
      </c>
      <c r="N745" s="0" t="str">
        <f aca="false">IFERROR(MATCH(ROW()-1,$V$2:$V$1201,0),"")</f>
        <v/>
      </c>
      <c r="R745" s="0" t="str">
        <f aca="false">IF(E745="","",IFERROR(LEFT(E745,FIND("-",E745)-1),E745))</f>
        <v/>
      </c>
      <c r="S745" s="0" t="str">
        <f aca="false">IF(R745="","",IF(ISNUMBER(--MID(R745,1,1)),0,IF(ISNUMBER(--MID(R745,2,1)),1,IF(ISNUMBER(--MID(R745,3,1)),2,IF(ISNUMBER(--MID(R745,4,1)),3,MIN(LEN(R745),4))))))</f>
        <v/>
      </c>
      <c r="T745" s="0" t="str">
        <f aca="false">IF(E745="","",LEFT(R745,S745)&amp;REPT("0",4-S745)&amp;RIGHT("000"&amp;IFERROR(VALUE(MID(R745,S745+1,9)),0),3)&amp;RIGHT("0000"&amp;IFERROR(VALUE(MID(E745,FIND("-",E745)+1,9)),0),4))</f>
        <v/>
      </c>
      <c r="U745" s="0" t="str">
        <f aca="false">IF(I745=1,"K"&amp;RIGHT("00"&amp;A745,2)&amp;T745&amp;RIGHT("00000"&amp;ROW(),5),"")</f>
        <v/>
      </c>
      <c r="V745" s="0" t="str">
        <f aca="false">IF(U745="","",COUNTIFS($I$2:$I$1201,1,$U$2:$U$1201,"&lt;"&amp;U745)+1)</f>
        <v/>
      </c>
    </row>
    <row r="746" customFormat="false" ht="15" hidden="false" customHeight="false" outlineLevel="0" collapsed="false">
      <c r="A746" s="0" t="n">
        <v>13</v>
      </c>
      <c r="B746" s="0" t="n">
        <v>25</v>
      </c>
      <c r="C746" s="0" t="str">
        <f aca="false">TRIM(SUBSTITUTE(INDEX(LISTAS!$A$4:$T$63,B746,A746)&amp;"",CHAR(160)," "))</f>
        <v/>
      </c>
      <c r="D746" s="0" t="str">
        <f aca="false">IF(C746="","",TRIM(RIGHT(SUBSTITUTE(C746," ",REPT(" ",100)),100)))</f>
        <v/>
      </c>
      <c r="E746" s="0" t="str">
        <f aca="false">IF(D746="","",UPPER(SUBSTITUTE(SUBSTITUTE(D746,"(",""),")","")))</f>
        <v/>
      </c>
      <c r="F746" s="0" t="str">
        <f aca="false">IF(C746="","",LEFT(C746,FIND(" ",C746&amp;" ")-1))</f>
        <v/>
      </c>
      <c r="G746" s="0" t="n">
        <f aca="false">IFERROR(VALUE(SUBSTITUTE(LOWER(F746),"x","")),0)</f>
        <v>0</v>
      </c>
      <c r="H746" s="0" t="str">
        <f aca="false">IF(C746="","",TRIM(MID(C746,LEN(F746)+2,999)))</f>
        <v/>
      </c>
      <c r="I746" s="0" t="n">
        <f aca="false">IF(OR(C746="",LEFT(C746,2)="//"),0,IFERROR(IF(AND(G746&gt;0,G746=INT(G746),FIND("-",E746)&gt;1,NOT(EXACT(UPPER(LEFT(E746,1)),LOWER(LEFT(E746,1)))),ISNUMBER(VALUE(MID(E746,FIND("-",E746)+1,10)))),1,0),0))</f>
        <v>0</v>
      </c>
      <c r="J746" s="0" t="str">
        <f aca="false">IF(I746=1,TRIM(LEFT(H746,MAX(0,LEN(H746)-LEN(D746)))),"")</f>
        <v/>
      </c>
      <c r="K746" s="0" t="str">
        <f aca="false">INDEX($P$2:$P$21,A746)</f>
        <v>Deck 13</v>
      </c>
      <c r="L746" s="0" t="n">
        <f aca="false">IF(AND(C746&lt;&gt;"",LEFT(C746,2)&lt;&gt;"//",I746=0),1,0)</f>
        <v>0</v>
      </c>
      <c r="M746" s="0" t="str">
        <f aca="false">IF(I746=1,MAX(M$1:M745)+1,"")</f>
        <v/>
      </c>
      <c r="N746" s="0" t="str">
        <f aca="false">IFERROR(MATCH(ROW()-1,$V$2:$V$1201,0),"")</f>
        <v/>
      </c>
      <c r="R746" s="0" t="str">
        <f aca="false">IF(E746="","",IFERROR(LEFT(E746,FIND("-",E746)-1),E746))</f>
        <v/>
      </c>
      <c r="S746" s="0" t="str">
        <f aca="false">IF(R746="","",IF(ISNUMBER(--MID(R746,1,1)),0,IF(ISNUMBER(--MID(R746,2,1)),1,IF(ISNUMBER(--MID(R746,3,1)),2,IF(ISNUMBER(--MID(R746,4,1)),3,MIN(LEN(R746),4))))))</f>
        <v/>
      </c>
      <c r="T746" s="0" t="str">
        <f aca="false">IF(E746="","",LEFT(R746,S746)&amp;REPT("0",4-S746)&amp;RIGHT("000"&amp;IFERROR(VALUE(MID(R746,S746+1,9)),0),3)&amp;RIGHT("0000"&amp;IFERROR(VALUE(MID(E746,FIND("-",E746)+1,9)),0),4))</f>
        <v/>
      </c>
      <c r="U746" s="0" t="str">
        <f aca="false">IF(I746=1,"K"&amp;RIGHT("00"&amp;A746,2)&amp;T746&amp;RIGHT("00000"&amp;ROW(),5),"")</f>
        <v/>
      </c>
      <c r="V746" s="0" t="str">
        <f aca="false">IF(U746="","",COUNTIFS($I$2:$I$1201,1,$U$2:$U$1201,"&lt;"&amp;U746)+1)</f>
        <v/>
      </c>
    </row>
    <row r="747" customFormat="false" ht="15" hidden="false" customHeight="false" outlineLevel="0" collapsed="false">
      <c r="A747" s="0" t="n">
        <v>13</v>
      </c>
      <c r="B747" s="0" t="n">
        <v>26</v>
      </c>
      <c r="C747" s="0" t="str">
        <f aca="false">TRIM(SUBSTITUTE(INDEX(LISTAS!$A$4:$T$63,B747,A747)&amp;"",CHAR(160)," "))</f>
        <v/>
      </c>
      <c r="D747" s="0" t="str">
        <f aca="false">IF(C747="","",TRIM(RIGHT(SUBSTITUTE(C747," ",REPT(" ",100)),100)))</f>
        <v/>
      </c>
      <c r="E747" s="0" t="str">
        <f aca="false">IF(D747="","",UPPER(SUBSTITUTE(SUBSTITUTE(D747,"(",""),")","")))</f>
        <v/>
      </c>
      <c r="F747" s="0" t="str">
        <f aca="false">IF(C747="","",LEFT(C747,FIND(" ",C747&amp;" ")-1))</f>
        <v/>
      </c>
      <c r="G747" s="0" t="n">
        <f aca="false">IFERROR(VALUE(SUBSTITUTE(LOWER(F747),"x","")),0)</f>
        <v>0</v>
      </c>
      <c r="H747" s="0" t="str">
        <f aca="false">IF(C747="","",TRIM(MID(C747,LEN(F747)+2,999)))</f>
        <v/>
      </c>
      <c r="I747" s="0" t="n">
        <f aca="false">IF(OR(C747="",LEFT(C747,2)="//"),0,IFERROR(IF(AND(G747&gt;0,G747=INT(G747),FIND("-",E747)&gt;1,NOT(EXACT(UPPER(LEFT(E747,1)),LOWER(LEFT(E747,1)))),ISNUMBER(VALUE(MID(E747,FIND("-",E747)+1,10)))),1,0),0))</f>
        <v>0</v>
      </c>
      <c r="J747" s="0" t="str">
        <f aca="false">IF(I747=1,TRIM(LEFT(H747,MAX(0,LEN(H747)-LEN(D747)))),"")</f>
        <v/>
      </c>
      <c r="K747" s="0" t="str">
        <f aca="false">INDEX($P$2:$P$21,A747)</f>
        <v>Deck 13</v>
      </c>
      <c r="L747" s="0" t="n">
        <f aca="false">IF(AND(C747&lt;&gt;"",LEFT(C747,2)&lt;&gt;"//",I747=0),1,0)</f>
        <v>0</v>
      </c>
      <c r="M747" s="0" t="str">
        <f aca="false">IF(I747=1,MAX(M$1:M746)+1,"")</f>
        <v/>
      </c>
      <c r="N747" s="0" t="str">
        <f aca="false">IFERROR(MATCH(ROW()-1,$V$2:$V$1201,0),"")</f>
        <v/>
      </c>
      <c r="R747" s="0" t="str">
        <f aca="false">IF(E747="","",IFERROR(LEFT(E747,FIND("-",E747)-1),E747))</f>
        <v/>
      </c>
      <c r="S747" s="0" t="str">
        <f aca="false">IF(R747="","",IF(ISNUMBER(--MID(R747,1,1)),0,IF(ISNUMBER(--MID(R747,2,1)),1,IF(ISNUMBER(--MID(R747,3,1)),2,IF(ISNUMBER(--MID(R747,4,1)),3,MIN(LEN(R747),4))))))</f>
        <v/>
      </c>
      <c r="T747" s="0" t="str">
        <f aca="false">IF(E747="","",LEFT(R747,S747)&amp;REPT("0",4-S747)&amp;RIGHT("000"&amp;IFERROR(VALUE(MID(R747,S747+1,9)),0),3)&amp;RIGHT("0000"&amp;IFERROR(VALUE(MID(E747,FIND("-",E747)+1,9)),0),4))</f>
        <v/>
      </c>
      <c r="U747" s="0" t="str">
        <f aca="false">IF(I747=1,"K"&amp;RIGHT("00"&amp;A747,2)&amp;T747&amp;RIGHT("00000"&amp;ROW(),5),"")</f>
        <v/>
      </c>
      <c r="V747" s="0" t="str">
        <f aca="false">IF(U747="","",COUNTIFS($I$2:$I$1201,1,$U$2:$U$1201,"&lt;"&amp;U747)+1)</f>
        <v/>
      </c>
    </row>
    <row r="748" customFormat="false" ht="15" hidden="false" customHeight="false" outlineLevel="0" collapsed="false">
      <c r="A748" s="0" t="n">
        <v>13</v>
      </c>
      <c r="B748" s="0" t="n">
        <v>27</v>
      </c>
      <c r="C748" s="0" t="str">
        <f aca="false">TRIM(SUBSTITUTE(INDEX(LISTAS!$A$4:$T$63,B748,A748)&amp;"",CHAR(160)," "))</f>
        <v/>
      </c>
      <c r="D748" s="0" t="str">
        <f aca="false">IF(C748="","",TRIM(RIGHT(SUBSTITUTE(C748," ",REPT(" ",100)),100)))</f>
        <v/>
      </c>
      <c r="E748" s="0" t="str">
        <f aca="false">IF(D748="","",UPPER(SUBSTITUTE(SUBSTITUTE(D748,"(",""),")","")))</f>
        <v/>
      </c>
      <c r="F748" s="0" t="str">
        <f aca="false">IF(C748="","",LEFT(C748,FIND(" ",C748&amp;" ")-1))</f>
        <v/>
      </c>
      <c r="G748" s="0" t="n">
        <f aca="false">IFERROR(VALUE(SUBSTITUTE(LOWER(F748),"x","")),0)</f>
        <v>0</v>
      </c>
      <c r="H748" s="0" t="str">
        <f aca="false">IF(C748="","",TRIM(MID(C748,LEN(F748)+2,999)))</f>
        <v/>
      </c>
      <c r="I748" s="0" t="n">
        <f aca="false">IF(OR(C748="",LEFT(C748,2)="//"),0,IFERROR(IF(AND(G748&gt;0,G748=INT(G748),FIND("-",E748)&gt;1,NOT(EXACT(UPPER(LEFT(E748,1)),LOWER(LEFT(E748,1)))),ISNUMBER(VALUE(MID(E748,FIND("-",E748)+1,10)))),1,0),0))</f>
        <v>0</v>
      </c>
      <c r="J748" s="0" t="str">
        <f aca="false">IF(I748=1,TRIM(LEFT(H748,MAX(0,LEN(H748)-LEN(D748)))),"")</f>
        <v/>
      </c>
      <c r="K748" s="0" t="str">
        <f aca="false">INDEX($P$2:$P$21,A748)</f>
        <v>Deck 13</v>
      </c>
      <c r="L748" s="0" t="n">
        <f aca="false">IF(AND(C748&lt;&gt;"",LEFT(C748,2)&lt;&gt;"//",I748=0),1,0)</f>
        <v>0</v>
      </c>
      <c r="M748" s="0" t="str">
        <f aca="false">IF(I748=1,MAX(M$1:M747)+1,"")</f>
        <v/>
      </c>
      <c r="N748" s="0" t="str">
        <f aca="false">IFERROR(MATCH(ROW()-1,$V$2:$V$1201,0),"")</f>
        <v/>
      </c>
      <c r="R748" s="0" t="str">
        <f aca="false">IF(E748="","",IFERROR(LEFT(E748,FIND("-",E748)-1),E748))</f>
        <v/>
      </c>
      <c r="S748" s="0" t="str">
        <f aca="false">IF(R748="","",IF(ISNUMBER(--MID(R748,1,1)),0,IF(ISNUMBER(--MID(R748,2,1)),1,IF(ISNUMBER(--MID(R748,3,1)),2,IF(ISNUMBER(--MID(R748,4,1)),3,MIN(LEN(R748),4))))))</f>
        <v/>
      </c>
      <c r="T748" s="0" t="str">
        <f aca="false">IF(E748="","",LEFT(R748,S748)&amp;REPT("0",4-S748)&amp;RIGHT("000"&amp;IFERROR(VALUE(MID(R748,S748+1,9)),0),3)&amp;RIGHT("0000"&amp;IFERROR(VALUE(MID(E748,FIND("-",E748)+1,9)),0),4))</f>
        <v/>
      </c>
      <c r="U748" s="0" t="str">
        <f aca="false">IF(I748=1,"K"&amp;RIGHT("00"&amp;A748,2)&amp;T748&amp;RIGHT("00000"&amp;ROW(),5),"")</f>
        <v/>
      </c>
      <c r="V748" s="0" t="str">
        <f aca="false">IF(U748="","",COUNTIFS($I$2:$I$1201,1,$U$2:$U$1201,"&lt;"&amp;U748)+1)</f>
        <v/>
      </c>
    </row>
    <row r="749" customFormat="false" ht="15" hidden="false" customHeight="false" outlineLevel="0" collapsed="false">
      <c r="A749" s="0" t="n">
        <v>13</v>
      </c>
      <c r="B749" s="0" t="n">
        <v>28</v>
      </c>
      <c r="C749" s="0" t="str">
        <f aca="false">TRIM(SUBSTITUTE(INDEX(LISTAS!$A$4:$T$63,B749,A749)&amp;"",CHAR(160)," "))</f>
        <v/>
      </c>
      <c r="D749" s="0" t="str">
        <f aca="false">IF(C749="","",TRIM(RIGHT(SUBSTITUTE(C749," ",REPT(" ",100)),100)))</f>
        <v/>
      </c>
      <c r="E749" s="0" t="str">
        <f aca="false">IF(D749="","",UPPER(SUBSTITUTE(SUBSTITUTE(D749,"(",""),")","")))</f>
        <v/>
      </c>
      <c r="F749" s="0" t="str">
        <f aca="false">IF(C749="","",LEFT(C749,FIND(" ",C749&amp;" ")-1))</f>
        <v/>
      </c>
      <c r="G749" s="0" t="n">
        <f aca="false">IFERROR(VALUE(SUBSTITUTE(LOWER(F749),"x","")),0)</f>
        <v>0</v>
      </c>
      <c r="H749" s="0" t="str">
        <f aca="false">IF(C749="","",TRIM(MID(C749,LEN(F749)+2,999)))</f>
        <v/>
      </c>
      <c r="I749" s="0" t="n">
        <f aca="false">IF(OR(C749="",LEFT(C749,2)="//"),0,IFERROR(IF(AND(G749&gt;0,G749=INT(G749),FIND("-",E749)&gt;1,NOT(EXACT(UPPER(LEFT(E749,1)),LOWER(LEFT(E749,1)))),ISNUMBER(VALUE(MID(E749,FIND("-",E749)+1,10)))),1,0),0))</f>
        <v>0</v>
      </c>
      <c r="J749" s="0" t="str">
        <f aca="false">IF(I749=1,TRIM(LEFT(H749,MAX(0,LEN(H749)-LEN(D749)))),"")</f>
        <v/>
      </c>
      <c r="K749" s="0" t="str">
        <f aca="false">INDEX($P$2:$P$21,A749)</f>
        <v>Deck 13</v>
      </c>
      <c r="L749" s="0" t="n">
        <f aca="false">IF(AND(C749&lt;&gt;"",LEFT(C749,2)&lt;&gt;"//",I749=0),1,0)</f>
        <v>0</v>
      </c>
      <c r="M749" s="0" t="str">
        <f aca="false">IF(I749=1,MAX(M$1:M748)+1,"")</f>
        <v/>
      </c>
      <c r="N749" s="0" t="str">
        <f aca="false">IFERROR(MATCH(ROW()-1,$V$2:$V$1201,0),"")</f>
        <v/>
      </c>
      <c r="R749" s="0" t="str">
        <f aca="false">IF(E749="","",IFERROR(LEFT(E749,FIND("-",E749)-1),E749))</f>
        <v/>
      </c>
      <c r="S749" s="0" t="str">
        <f aca="false">IF(R749="","",IF(ISNUMBER(--MID(R749,1,1)),0,IF(ISNUMBER(--MID(R749,2,1)),1,IF(ISNUMBER(--MID(R749,3,1)),2,IF(ISNUMBER(--MID(R749,4,1)),3,MIN(LEN(R749),4))))))</f>
        <v/>
      </c>
      <c r="T749" s="0" t="str">
        <f aca="false">IF(E749="","",LEFT(R749,S749)&amp;REPT("0",4-S749)&amp;RIGHT("000"&amp;IFERROR(VALUE(MID(R749,S749+1,9)),0),3)&amp;RIGHT("0000"&amp;IFERROR(VALUE(MID(E749,FIND("-",E749)+1,9)),0),4))</f>
        <v/>
      </c>
      <c r="U749" s="0" t="str">
        <f aca="false">IF(I749=1,"K"&amp;RIGHT("00"&amp;A749,2)&amp;T749&amp;RIGHT("00000"&amp;ROW(),5),"")</f>
        <v/>
      </c>
      <c r="V749" s="0" t="str">
        <f aca="false">IF(U749="","",COUNTIFS($I$2:$I$1201,1,$U$2:$U$1201,"&lt;"&amp;U749)+1)</f>
        <v/>
      </c>
    </row>
    <row r="750" customFormat="false" ht="15" hidden="false" customHeight="false" outlineLevel="0" collapsed="false">
      <c r="A750" s="0" t="n">
        <v>13</v>
      </c>
      <c r="B750" s="0" t="n">
        <v>29</v>
      </c>
      <c r="C750" s="0" t="str">
        <f aca="false">TRIM(SUBSTITUTE(INDEX(LISTAS!$A$4:$T$63,B750,A750)&amp;"",CHAR(160)," "))</f>
        <v/>
      </c>
      <c r="D750" s="0" t="str">
        <f aca="false">IF(C750="","",TRIM(RIGHT(SUBSTITUTE(C750," ",REPT(" ",100)),100)))</f>
        <v/>
      </c>
      <c r="E750" s="0" t="str">
        <f aca="false">IF(D750="","",UPPER(SUBSTITUTE(SUBSTITUTE(D750,"(",""),")","")))</f>
        <v/>
      </c>
      <c r="F750" s="0" t="str">
        <f aca="false">IF(C750="","",LEFT(C750,FIND(" ",C750&amp;" ")-1))</f>
        <v/>
      </c>
      <c r="G750" s="0" t="n">
        <f aca="false">IFERROR(VALUE(SUBSTITUTE(LOWER(F750),"x","")),0)</f>
        <v>0</v>
      </c>
      <c r="H750" s="0" t="str">
        <f aca="false">IF(C750="","",TRIM(MID(C750,LEN(F750)+2,999)))</f>
        <v/>
      </c>
      <c r="I750" s="0" t="n">
        <f aca="false">IF(OR(C750="",LEFT(C750,2)="//"),0,IFERROR(IF(AND(G750&gt;0,G750=INT(G750),FIND("-",E750)&gt;1,NOT(EXACT(UPPER(LEFT(E750,1)),LOWER(LEFT(E750,1)))),ISNUMBER(VALUE(MID(E750,FIND("-",E750)+1,10)))),1,0),0))</f>
        <v>0</v>
      </c>
      <c r="J750" s="0" t="str">
        <f aca="false">IF(I750=1,TRIM(LEFT(H750,MAX(0,LEN(H750)-LEN(D750)))),"")</f>
        <v/>
      </c>
      <c r="K750" s="0" t="str">
        <f aca="false">INDEX($P$2:$P$21,A750)</f>
        <v>Deck 13</v>
      </c>
      <c r="L750" s="0" t="n">
        <f aca="false">IF(AND(C750&lt;&gt;"",LEFT(C750,2)&lt;&gt;"//",I750=0),1,0)</f>
        <v>0</v>
      </c>
      <c r="M750" s="0" t="str">
        <f aca="false">IF(I750=1,MAX(M$1:M749)+1,"")</f>
        <v/>
      </c>
      <c r="N750" s="0" t="str">
        <f aca="false">IFERROR(MATCH(ROW()-1,$V$2:$V$1201,0),"")</f>
        <v/>
      </c>
      <c r="R750" s="0" t="str">
        <f aca="false">IF(E750="","",IFERROR(LEFT(E750,FIND("-",E750)-1),E750))</f>
        <v/>
      </c>
      <c r="S750" s="0" t="str">
        <f aca="false">IF(R750="","",IF(ISNUMBER(--MID(R750,1,1)),0,IF(ISNUMBER(--MID(R750,2,1)),1,IF(ISNUMBER(--MID(R750,3,1)),2,IF(ISNUMBER(--MID(R750,4,1)),3,MIN(LEN(R750),4))))))</f>
        <v/>
      </c>
      <c r="T750" s="0" t="str">
        <f aca="false">IF(E750="","",LEFT(R750,S750)&amp;REPT("0",4-S750)&amp;RIGHT("000"&amp;IFERROR(VALUE(MID(R750,S750+1,9)),0),3)&amp;RIGHT("0000"&amp;IFERROR(VALUE(MID(E750,FIND("-",E750)+1,9)),0),4))</f>
        <v/>
      </c>
      <c r="U750" s="0" t="str">
        <f aca="false">IF(I750=1,"K"&amp;RIGHT("00"&amp;A750,2)&amp;T750&amp;RIGHT("00000"&amp;ROW(),5),"")</f>
        <v/>
      </c>
      <c r="V750" s="0" t="str">
        <f aca="false">IF(U750="","",COUNTIFS($I$2:$I$1201,1,$U$2:$U$1201,"&lt;"&amp;U750)+1)</f>
        <v/>
      </c>
    </row>
    <row r="751" customFormat="false" ht="15" hidden="false" customHeight="false" outlineLevel="0" collapsed="false">
      <c r="A751" s="0" t="n">
        <v>13</v>
      </c>
      <c r="B751" s="0" t="n">
        <v>30</v>
      </c>
      <c r="C751" s="0" t="str">
        <f aca="false">TRIM(SUBSTITUTE(INDEX(LISTAS!$A$4:$T$63,B751,A751)&amp;"",CHAR(160)," "))</f>
        <v/>
      </c>
      <c r="D751" s="0" t="str">
        <f aca="false">IF(C751="","",TRIM(RIGHT(SUBSTITUTE(C751," ",REPT(" ",100)),100)))</f>
        <v/>
      </c>
      <c r="E751" s="0" t="str">
        <f aca="false">IF(D751="","",UPPER(SUBSTITUTE(SUBSTITUTE(D751,"(",""),")","")))</f>
        <v/>
      </c>
      <c r="F751" s="0" t="str">
        <f aca="false">IF(C751="","",LEFT(C751,FIND(" ",C751&amp;" ")-1))</f>
        <v/>
      </c>
      <c r="G751" s="0" t="n">
        <f aca="false">IFERROR(VALUE(SUBSTITUTE(LOWER(F751),"x","")),0)</f>
        <v>0</v>
      </c>
      <c r="H751" s="0" t="str">
        <f aca="false">IF(C751="","",TRIM(MID(C751,LEN(F751)+2,999)))</f>
        <v/>
      </c>
      <c r="I751" s="0" t="n">
        <f aca="false">IF(OR(C751="",LEFT(C751,2)="//"),0,IFERROR(IF(AND(G751&gt;0,G751=INT(G751),FIND("-",E751)&gt;1,NOT(EXACT(UPPER(LEFT(E751,1)),LOWER(LEFT(E751,1)))),ISNUMBER(VALUE(MID(E751,FIND("-",E751)+1,10)))),1,0),0))</f>
        <v>0</v>
      </c>
      <c r="J751" s="0" t="str">
        <f aca="false">IF(I751=1,TRIM(LEFT(H751,MAX(0,LEN(H751)-LEN(D751)))),"")</f>
        <v/>
      </c>
      <c r="K751" s="0" t="str">
        <f aca="false">INDEX($P$2:$P$21,A751)</f>
        <v>Deck 13</v>
      </c>
      <c r="L751" s="0" t="n">
        <f aca="false">IF(AND(C751&lt;&gt;"",LEFT(C751,2)&lt;&gt;"//",I751=0),1,0)</f>
        <v>0</v>
      </c>
      <c r="M751" s="0" t="str">
        <f aca="false">IF(I751=1,MAX(M$1:M750)+1,"")</f>
        <v/>
      </c>
      <c r="N751" s="0" t="str">
        <f aca="false">IFERROR(MATCH(ROW()-1,$V$2:$V$1201,0),"")</f>
        <v/>
      </c>
      <c r="R751" s="0" t="str">
        <f aca="false">IF(E751="","",IFERROR(LEFT(E751,FIND("-",E751)-1),E751))</f>
        <v/>
      </c>
      <c r="S751" s="0" t="str">
        <f aca="false">IF(R751="","",IF(ISNUMBER(--MID(R751,1,1)),0,IF(ISNUMBER(--MID(R751,2,1)),1,IF(ISNUMBER(--MID(R751,3,1)),2,IF(ISNUMBER(--MID(R751,4,1)),3,MIN(LEN(R751),4))))))</f>
        <v/>
      </c>
      <c r="T751" s="0" t="str">
        <f aca="false">IF(E751="","",LEFT(R751,S751)&amp;REPT("0",4-S751)&amp;RIGHT("000"&amp;IFERROR(VALUE(MID(R751,S751+1,9)),0),3)&amp;RIGHT("0000"&amp;IFERROR(VALUE(MID(E751,FIND("-",E751)+1,9)),0),4))</f>
        <v/>
      </c>
      <c r="U751" s="0" t="str">
        <f aca="false">IF(I751=1,"K"&amp;RIGHT("00"&amp;A751,2)&amp;T751&amp;RIGHT("00000"&amp;ROW(),5),"")</f>
        <v/>
      </c>
      <c r="V751" s="0" t="str">
        <f aca="false">IF(U751="","",COUNTIFS($I$2:$I$1201,1,$U$2:$U$1201,"&lt;"&amp;U751)+1)</f>
        <v/>
      </c>
    </row>
    <row r="752" customFormat="false" ht="15" hidden="false" customHeight="false" outlineLevel="0" collapsed="false">
      <c r="A752" s="0" t="n">
        <v>13</v>
      </c>
      <c r="B752" s="0" t="n">
        <v>31</v>
      </c>
      <c r="C752" s="0" t="str">
        <f aca="false">TRIM(SUBSTITUTE(INDEX(LISTAS!$A$4:$T$63,B752,A752)&amp;"",CHAR(160)," "))</f>
        <v/>
      </c>
      <c r="D752" s="0" t="str">
        <f aca="false">IF(C752="","",TRIM(RIGHT(SUBSTITUTE(C752," ",REPT(" ",100)),100)))</f>
        <v/>
      </c>
      <c r="E752" s="0" t="str">
        <f aca="false">IF(D752="","",UPPER(SUBSTITUTE(SUBSTITUTE(D752,"(",""),")","")))</f>
        <v/>
      </c>
      <c r="F752" s="0" t="str">
        <f aca="false">IF(C752="","",LEFT(C752,FIND(" ",C752&amp;" ")-1))</f>
        <v/>
      </c>
      <c r="G752" s="0" t="n">
        <f aca="false">IFERROR(VALUE(SUBSTITUTE(LOWER(F752),"x","")),0)</f>
        <v>0</v>
      </c>
      <c r="H752" s="0" t="str">
        <f aca="false">IF(C752="","",TRIM(MID(C752,LEN(F752)+2,999)))</f>
        <v/>
      </c>
      <c r="I752" s="0" t="n">
        <f aca="false">IF(OR(C752="",LEFT(C752,2)="//"),0,IFERROR(IF(AND(G752&gt;0,G752=INT(G752),FIND("-",E752)&gt;1,NOT(EXACT(UPPER(LEFT(E752,1)),LOWER(LEFT(E752,1)))),ISNUMBER(VALUE(MID(E752,FIND("-",E752)+1,10)))),1,0),0))</f>
        <v>0</v>
      </c>
      <c r="J752" s="0" t="str">
        <f aca="false">IF(I752=1,TRIM(LEFT(H752,MAX(0,LEN(H752)-LEN(D752)))),"")</f>
        <v/>
      </c>
      <c r="K752" s="0" t="str">
        <f aca="false">INDEX($P$2:$P$21,A752)</f>
        <v>Deck 13</v>
      </c>
      <c r="L752" s="0" t="n">
        <f aca="false">IF(AND(C752&lt;&gt;"",LEFT(C752,2)&lt;&gt;"//",I752=0),1,0)</f>
        <v>0</v>
      </c>
      <c r="M752" s="0" t="str">
        <f aca="false">IF(I752=1,MAX(M$1:M751)+1,"")</f>
        <v/>
      </c>
      <c r="N752" s="0" t="str">
        <f aca="false">IFERROR(MATCH(ROW()-1,$V$2:$V$1201,0),"")</f>
        <v/>
      </c>
      <c r="R752" s="0" t="str">
        <f aca="false">IF(E752="","",IFERROR(LEFT(E752,FIND("-",E752)-1),E752))</f>
        <v/>
      </c>
      <c r="S752" s="0" t="str">
        <f aca="false">IF(R752="","",IF(ISNUMBER(--MID(R752,1,1)),0,IF(ISNUMBER(--MID(R752,2,1)),1,IF(ISNUMBER(--MID(R752,3,1)),2,IF(ISNUMBER(--MID(R752,4,1)),3,MIN(LEN(R752),4))))))</f>
        <v/>
      </c>
      <c r="T752" s="0" t="str">
        <f aca="false">IF(E752="","",LEFT(R752,S752)&amp;REPT("0",4-S752)&amp;RIGHT("000"&amp;IFERROR(VALUE(MID(R752,S752+1,9)),0),3)&amp;RIGHT("0000"&amp;IFERROR(VALUE(MID(E752,FIND("-",E752)+1,9)),0),4))</f>
        <v/>
      </c>
      <c r="U752" s="0" t="str">
        <f aca="false">IF(I752=1,"K"&amp;RIGHT("00"&amp;A752,2)&amp;T752&amp;RIGHT("00000"&amp;ROW(),5),"")</f>
        <v/>
      </c>
      <c r="V752" s="0" t="str">
        <f aca="false">IF(U752="","",COUNTIFS($I$2:$I$1201,1,$U$2:$U$1201,"&lt;"&amp;U752)+1)</f>
        <v/>
      </c>
    </row>
    <row r="753" customFormat="false" ht="15" hidden="false" customHeight="false" outlineLevel="0" collapsed="false">
      <c r="A753" s="0" t="n">
        <v>13</v>
      </c>
      <c r="B753" s="0" t="n">
        <v>32</v>
      </c>
      <c r="C753" s="0" t="str">
        <f aca="false">TRIM(SUBSTITUTE(INDEX(LISTAS!$A$4:$T$63,B753,A753)&amp;"",CHAR(160)," "))</f>
        <v/>
      </c>
      <c r="D753" s="0" t="str">
        <f aca="false">IF(C753="","",TRIM(RIGHT(SUBSTITUTE(C753," ",REPT(" ",100)),100)))</f>
        <v/>
      </c>
      <c r="E753" s="0" t="str">
        <f aca="false">IF(D753="","",UPPER(SUBSTITUTE(SUBSTITUTE(D753,"(",""),")","")))</f>
        <v/>
      </c>
      <c r="F753" s="0" t="str">
        <f aca="false">IF(C753="","",LEFT(C753,FIND(" ",C753&amp;" ")-1))</f>
        <v/>
      </c>
      <c r="G753" s="0" t="n">
        <f aca="false">IFERROR(VALUE(SUBSTITUTE(LOWER(F753),"x","")),0)</f>
        <v>0</v>
      </c>
      <c r="H753" s="0" t="str">
        <f aca="false">IF(C753="","",TRIM(MID(C753,LEN(F753)+2,999)))</f>
        <v/>
      </c>
      <c r="I753" s="0" t="n">
        <f aca="false">IF(OR(C753="",LEFT(C753,2)="//"),0,IFERROR(IF(AND(G753&gt;0,G753=INT(G753),FIND("-",E753)&gt;1,NOT(EXACT(UPPER(LEFT(E753,1)),LOWER(LEFT(E753,1)))),ISNUMBER(VALUE(MID(E753,FIND("-",E753)+1,10)))),1,0),0))</f>
        <v>0</v>
      </c>
      <c r="J753" s="0" t="str">
        <f aca="false">IF(I753=1,TRIM(LEFT(H753,MAX(0,LEN(H753)-LEN(D753)))),"")</f>
        <v/>
      </c>
      <c r="K753" s="0" t="str">
        <f aca="false">INDEX($P$2:$P$21,A753)</f>
        <v>Deck 13</v>
      </c>
      <c r="L753" s="0" t="n">
        <f aca="false">IF(AND(C753&lt;&gt;"",LEFT(C753,2)&lt;&gt;"//",I753=0),1,0)</f>
        <v>0</v>
      </c>
      <c r="M753" s="0" t="str">
        <f aca="false">IF(I753=1,MAX(M$1:M752)+1,"")</f>
        <v/>
      </c>
      <c r="N753" s="0" t="str">
        <f aca="false">IFERROR(MATCH(ROW()-1,$V$2:$V$1201,0),"")</f>
        <v/>
      </c>
      <c r="R753" s="0" t="str">
        <f aca="false">IF(E753="","",IFERROR(LEFT(E753,FIND("-",E753)-1),E753))</f>
        <v/>
      </c>
      <c r="S753" s="0" t="str">
        <f aca="false">IF(R753="","",IF(ISNUMBER(--MID(R753,1,1)),0,IF(ISNUMBER(--MID(R753,2,1)),1,IF(ISNUMBER(--MID(R753,3,1)),2,IF(ISNUMBER(--MID(R753,4,1)),3,MIN(LEN(R753),4))))))</f>
        <v/>
      </c>
      <c r="T753" s="0" t="str">
        <f aca="false">IF(E753="","",LEFT(R753,S753)&amp;REPT("0",4-S753)&amp;RIGHT("000"&amp;IFERROR(VALUE(MID(R753,S753+1,9)),0),3)&amp;RIGHT("0000"&amp;IFERROR(VALUE(MID(E753,FIND("-",E753)+1,9)),0),4))</f>
        <v/>
      </c>
      <c r="U753" s="0" t="str">
        <f aca="false">IF(I753=1,"K"&amp;RIGHT("00"&amp;A753,2)&amp;T753&amp;RIGHT("00000"&amp;ROW(),5),"")</f>
        <v/>
      </c>
      <c r="V753" s="0" t="str">
        <f aca="false">IF(U753="","",COUNTIFS($I$2:$I$1201,1,$U$2:$U$1201,"&lt;"&amp;U753)+1)</f>
        <v/>
      </c>
    </row>
    <row r="754" customFormat="false" ht="15" hidden="false" customHeight="false" outlineLevel="0" collapsed="false">
      <c r="A754" s="0" t="n">
        <v>13</v>
      </c>
      <c r="B754" s="0" t="n">
        <v>33</v>
      </c>
      <c r="C754" s="0" t="str">
        <f aca="false">TRIM(SUBSTITUTE(INDEX(LISTAS!$A$4:$T$63,B754,A754)&amp;"",CHAR(160)," "))</f>
        <v/>
      </c>
      <c r="D754" s="0" t="str">
        <f aca="false">IF(C754="","",TRIM(RIGHT(SUBSTITUTE(C754," ",REPT(" ",100)),100)))</f>
        <v/>
      </c>
      <c r="E754" s="0" t="str">
        <f aca="false">IF(D754="","",UPPER(SUBSTITUTE(SUBSTITUTE(D754,"(",""),")","")))</f>
        <v/>
      </c>
      <c r="F754" s="0" t="str">
        <f aca="false">IF(C754="","",LEFT(C754,FIND(" ",C754&amp;" ")-1))</f>
        <v/>
      </c>
      <c r="G754" s="0" t="n">
        <f aca="false">IFERROR(VALUE(SUBSTITUTE(LOWER(F754),"x","")),0)</f>
        <v>0</v>
      </c>
      <c r="H754" s="0" t="str">
        <f aca="false">IF(C754="","",TRIM(MID(C754,LEN(F754)+2,999)))</f>
        <v/>
      </c>
      <c r="I754" s="0" t="n">
        <f aca="false">IF(OR(C754="",LEFT(C754,2)="//"),0,IFERROR(IF(AND(G754&gt;0,G754=INT(G754),FIND("-",E754)&gt;1,NOT(EXACT(UPPER(LEFT(E754,1)),LOWER(LEFT(E754,1)))),ISNUMBER(VALUE(MID(E754,FIND("-",E754)+1,10)))),1,0),0))</f>
        <v>0</v>
      </c>
      <c r="J754" s="0" t="str">
        <f aca="false">IF(I754=1,TRIM(LEFT(H754,MAX(0,LEN(H754)-LEN(D754)))),"")</f>
        <v/>
      </c>
      <c r="K754" s="0" t="str">
        <f aca="false">INDEX($P$2:$P$21,A754)</f>
        <v>Deck 13</v>
      </c>
      <c r="L754" s="0" t="n">
        <f aca="false">IF(AND(C754&lt;&gt;"",LEFT(C754,2)&lt;&gt;"//",I754=0),1,0)</f>
        <v>0</v>
      </c>
      <c r="M754" s="0" t="str">
        <f aca="false">IF(I754=1,MAX(M$1:M753)+1,"")</f>
        <v/>
      </c>
      <c r="N754" s="0" t="str">
        <f aca="false">IFERROR(MATCH(ROW()-1,$V$2:$V$1201,0),"")</f>
        <v/>
      </c>
      <c r="R754" s="0" t="str">
        <f aca="false">IF(E754="","",IFERROR(LEFT(E754,FIND("-",E754)-1),E754))</f>
        <v/>
      </c>
      <c r="S754" s="0" t="str">
        <f aca="false">IF(R754="","",IF(ISNUMBER(--MID(R754,1,1)),0,IF(ISNUMBER(--MID(R754,2,1)),1,IF(ISNUMBER(--MID(R754,3,1)),2,IF(ISNUMBER(--MID(R754,4,1)),3,MIN(LEN(R754),4))))))</f>
        <v/>
      </c>
      <c r="T754" s="0" t="str">
        <f aca="false">IF(E754="","",LEFT(R754,S754)&amp;REPT("0",4-S754)&amp;RIGHT("000"&amp;IFERROR(VALUE(MID(R754,S754+1,9)),0),3)&amp;RIGHT("0000"&amp;IFERROR(VALUE(MID(E754,FIND("-",E754)+1,9)),0),4))</f>
        <v/>
      </c>
      <c r="U754" s="0" t="str">
        <f aca="false">IF(I754=1,"K"&amp;RIGHT("00"&amp;A754,2)&amp;T754&amp;RIGHT("00000"&amp;ROW(),5),"")</f>
        <v/>
      </c>
      <c r="V754" s="0" t="str">
        <f aca="false">IF(U754="","",COUNTIFS($I$2:$I$1201,1,$U$2:$U$1201,"&lt;"&amp;U754)+1)</f>
        <v/>
      </c>
    </row>
    <row r="755" customFormat="false" ht="15" hidden="false" customHeight="false" outlineLevel="0" collapsed="false">
      <c r="A755" s="0" t="n">
        <v>13</v>
      </c>
      <c r="B755" s="0" t="n">
        <v>34</v>
      </c>
      <c r="C755" s="0" t="str">
        <f aca="false">TRIM(SUBSTITUTE(INDEX(LISTAS!$A$4:$T$63,B755,A755)&amp;"",CHAR(160)," "))</f>
        <v/>
      </c>
      <c r="D755" s="0" t="str">
        <f aca="false">IF(C755="","",TRIM(RIGHT(SUBSTITUTE(C755," ",REPT(" ",100)),100)))</f>
        <v/>
      </c>
      <c r="E755" s="0" t="str">
        <f aca="false">IF(D755="","",UPPER(SUBSTITUTE(SUBSTITUTE(D755,"(",""),")","")))</f>
        <v/>
      </c>
      <c r="F755" s="0" t="str">
        <f aca="false">IF(C755="","",LEFT(C755,FIND(" ",C755&amp;" ")-1))</f>
        <v/>
      </c>
      <c r="G755" s="0" t="n">
        <f aca="false">IFERROR(VALUE(SUBSTITUTE(LOWER(F755),"x","")),0)</f>
        <v>0</v>
      </c>
      <c r="H755" s="0" t="str">
        <f aca="false">IF(C755="","",TRIM(MID(C755,LEN(F755)+2,999)))</f>
        <v/>
      </c>
      <c r="I755" s="0" t="n">
        <f aca="false">IF(OR(C755="",LEFT(C755,2)="//"),0,IFERROR(IF(AND(G755&gt;0,G755=INT(G755),FIND("-",E755)&gt;1,NOT(EXACT(UPPER(LEFT(E755,1)),LOWER(LEFT(E755,1)))),ISNUMBER(VALUE(MID(E755,FIND("-",E755)+1,10)))),1,0),0))</f>
        <v>0</v>
      </c>
      <c r="J755" s="0" t="str">
        <f aca="false">IF(I755=1,TRIM(LEFT(H755,MAX(0,LEN(H755)-LEN(D755)))),"")</f>
        <v/>
      </c>
      <c r="K755" s="0" t="str">
        <f aca="false">INDEX($P$2:$P$21,A755)</f>
        <v>Deck 13</v>
      </c>
      <c r="L755" s="0" t="n">
        <f aca="false">IF(AND(C755&lt;&gt;"",LEFT(C755,2)&lt;&gt;"//",I755=0),1,0)</f>
        <v>0</v>
      </c>
      <c r="M755" s="0" t="str">
        <f aca="false">IF(I755=1,MAX(M$1:M754)+1,"")</f>
        <v/>
      </c>
      <c r="N755" s="0" t="str">
        <f aca="false">IFERROR(MATCH(ROW()-1,$V$2:$V$1201,0),"")</f>
        <v/>
      </c>
      <c r="R755" s="0" t="str">
        <f aca="false">IF(E755="","",IFERROR(LEFT(E755,FIND("-",E755)-1),E755))</f>
        <v/>
      </c>
      <c r="S755" s="0" t="str">
        <f aca="false">IF(R755="","",IF(ISNUMBER(--MID(R755,1,1)),0,IF(ISNUMBER(--MID(R755,2,1)),1,IF(ISNUMBER(--MID(R755,3,1)),2,IF(ISNUMBER(--MID(R755,4,1)),3,MIN(LEN(R755),4))))))</f>
        <v/>
      </c>
      <c r="T755" s="0" t="str">
        <f aca="false">IF(E755="","",LEFT(R755,S755)&amp;REPT("0",4-S755)&amp;RIGHT("000"&amp;IFERROR(VALUE(MID(R755,S755+1,9)),0),3)&amp;RIGHT("0000"&amp;IFERROR(VALUE(MID(E755,FIND("-",E755)+1,9)),0),4))</f>
        <v/>
      </c>
      <c r="U755" s="0" t="str">
        <f aca="false">IF(I755=1,"K"&amp;RIGHT("00"&amp;A755,2)&amp;T755&amp;RIGHT("00000"&amp;ROW(),5),"")</f>
        <v/>
      </c>
      <c r="V755" s="0" t="str">
        <f aca="false">IF(U755="","",COUNTIFS($I$2:$I$1201,1,$U$2:$U$1201,"&lt;"&amp;U755)+1)</f>
        <v/>
      </c>
    </row>
    <row r="756" customFormat="false" ht="15" hidden="false" customHeight="false" outlineLevel="0" collapsed="false">
      <c r="A756" s="0" t="n">
        <v>13</v>
      </c>
      <c r="B756" s="0" t="n">
        <v>35</v>
      </c>
      <c r="C756" s="0" t="str">
        <f aca="false">TRIM(SUBSTITUTE(INDEX(LISTAS!$A$4:$T$63,B756,A756)&amp;"",CHAR(160)," "))</f>
        <v/>
      </c>
      <c r="D756" s="0" t="str">
        <f aca="false">IF(C756="","",TRIM(RIGHT(SUBSTITUTE(C756," ",REPT(" ",100)),100)))</f>
        <v/>
      </c>
      <c r="E756" s="0" t="str">
        <f aca="false">IF(D756="","",UPPER(SUBSTITUTE(SUBSTITUTE(D756,"(",""),")","")))</f>
        <v/>
      </c>
      <c r="F756" s="0" t="str">
        <f aca="false">IF(C756="","",LEFT(C756,FIND(" ",C756&amp;" ")-1))</f>
        <v/>
      </c>
      <c r="G756" s="0" t="n">
        <f aca="false">IFERROR(VALUE(SUBSTITUTE(LOWER(F756),"x","")),0)</f>
        <v>0</v>
      </c>
      <c r="H756" s="0" t="str">
        <f aca="false">IF(C756="","",TRIM(MID(C756,LEN(F756)+2,999)))</f>
        <v/>
      </c>
      <c r="I756" s="0" t="n">
        <f aca="false">IF(OR(C756="",LEFT(C756,2)="//"),0,IFERROR(IF(AND(G756&gt;0,G756=INT(G756),FIND("-",E756)&gt;1,NOT(EXACT(UPPER(LEFT(E756,1)),LOWER(LEFT(E756,1)))),ISNUMBER(VALUE(MID(E756,FIND("-",E756)+1,10)))),1,0),0))</f>
        <v>0</v>
      </c>
      <c r="J756" s="0" t="str">
        <f aca="false">IF(I756=1,TRIM(LEFT(H756,MAX(0,LEN(H756)-LEN(D756)))),"")</f>
        <v/>
      </c>
      <c r="K756" s="0" t="str">
        <f aca="false">INDEX($P$2:$P$21,A756)</f>
        <v>Deck 13</v>
      </c>
      <c r="L756" s="0" t="n">
        <f aca="false">IF(AND(C756&lt;&gt;"",LEFT(C756,2)&lt;&gt;"//",I756=0),1,0)</f>
        <v>0</v>
      </c>
      <c r="M756" s="0" t="str">
        <f aca="false">IF(I756=1,MAX(M$1:M755)+1,"")</f>
        <v/>
      </c>
      <c r="N756" s="0" t="str">
        <f aca="false">IFERROR(MATCH(ROW()-1,$V$2:$V$1201,0),"")</f>
        <v/>
      </c>
      <c r="R756" s="0" t="str">
        <f aca="false">IF(E756="","",IFERROR(LEFT(E756,FIND("-",E756)-1),E756))</f>
        <v/>
      </c>
      <c r="S756" s="0" t="str">
        <f aca="false">IF(R756="","",IF(ISNUMBER(--MID(R756,1,1)),0,IF(ISNUMBER(--MID(R756,2,1)),1,IF(ISNUMBER(--MID(R756,3,1)),2,IF(ISNUMBER(--MID(R756,4,1)),3,MIN(LEN(R756),4))))))</f>
        <v/>
      </c>
      <c r="T756" s="0" t="str">
        <f aca="false">IF(E756="","",LEFT(R756,S756)&amp;REPT("0",4-S756)&amp;RIGHT("000"&amp;IFERROR(VALUE(MID(R756,S756+1,9)),0),3)&amp;RIGHT("0000"&amp;IFERROR(VALUE(MID(E756,FIND("-",E756)+1,9)),0),4))</f>
        <v/>
      </c>
      <c r="U756" s="0" t="str">
        <f aca="false">IF(I756=1,"K"&amp;RIGHT("00"&amp;A756,2)&amp;T756&amp;RIGHT("00000"&amp;ROW(),5),"")</f>
        <v/>
      </c>
      <c r="V756" s="0" t="str">
        <f aca="false">IF(U756="","",COUNTIFS($I$2:$I$1201,1,$U$2:$U$1201,"&lt;"&amp;U756)+1)</f>
        <v/>
      </c>
    </row>
    <row r="757" customFormat="false" ht="15" hidden="false" customHeight="false" outlineLevel="0" collapsed="false">
      <c r="A757" s="0" t="n">
        <v>13</v>
      </c>
      <c r="B757" s="0" t="n">
        <v>36</v>
      </c>
      <c r="C757" s="0" t="str">
        <f aca="false">TRIM(SUBSTITUTE(INDEX(LISTAS!$A$4:$T$63,B757,A757)&amp;"",CHAR(160)," "))</f>
        <v/>
      </c>
      <c r="D757" s="0" t="str">
        <f aca="false">IF(C757="","",TRIM(RIGHT(SUBSTITUTE(C757," ",REPT(" ",100)),100)))</f>
        <v/>
      </c>
      <c r="E757" s="0" t="str">
        <f aca="false">IF(D757="","",UPPER(SUBSTITUTE(SUBSTITUTE(D757,"(",""),")","")))</f>
        <v/>
      </c>
      <c r="F757" s="0" t="str">
        <f aca="false">IF(C757="","",LEFT(C757,FIND(" ",C757&amp;" ")-1))</f>
        <v/>
      </c>
      <c r="G757" s="0" t="n">
        <f aca="false">IFERROR(VALUE(SUBSTITUTE(LOWER(F757),"x","")),0)</f>
        <v>0</v>
      </c>
      <c r="H757" s="0" t="str">
        <f aca="false">IF(C757="","",TRIM(MID(C757,LEN(F757)+2,999)))</f>
        <v/>
      </c>
      <c r="I757" s="0" t="n">
        <f aca="false">IF(OR(C757="",LEFT(C757,2)="//"),0,IFERROR(IF(AND(G757&gt;0,G757=INT(G757),FIND("-",E757)&gt;1,NOT(EXACT(UPPER(LEFT(E757,1)),LOWER(LEFT(E757,1)))),ISNUMBER(VALUE(MID(E757,FIND("-",E757)+1,10)))),1,0),0))</f>
        <v>0</v>
      </c>
      <c r="J757" s="0" t="str">
        <f aca="false">IF(I757=1,TRIM(LEFT(H757,MAX(0,LEN(H757)-LEN(D757)))),"")</f>
        <v/>
      </c>
      <c r="K757" s="0" t="str">
        <f aca="false">INDEX($P$2:$P$21,A757)</f>
        <v>Deck 13</v>
      </c>
      <c r="L757" s="0" t="n">
        <f aca="false">IF(AND(C757&lt;&gt;"",LEFT(C757,2)&lt;&gt;"//",I757=0),1,0)</f>
        <v>0</v>
      </c>
      <c r="M757" s="0" t="str">
        <f aca="false">IF(I757=1,MAX(M$1:M756)+1,"")</f>
        <v/>
      </c>
      <c r="N757" s="0" t="str">
        <f aca="false">IFERROR(MATCH(ROW()-1,$V$2:$V$1201,0),"")</f>
        <v/>
      </c>
      <c r="R757" s="0" t="str">
        <f aca="false">IF(E757="","",IFERROR(LEFT(E757,FIND("-",E757)-1),E757))</f>
        <v/>
      </c>
      <c r="S757" s="0" t="str">
        <f aca="false">IF(R757="","",IF(ISNUMBER(--MID(R757,1,1)),0,IF(ISNUMBER(--MID(R757,2,1)),1,IF(ISNUMBER(--MID(R757,3,1)),2,IF(ISNUMBER(--MID(R757,4,1)),3,MIN(LEN(R757),4))))))</f>
        <v/>
      </c>
      <c r="T757" s="0" t="str">
        <f aca="false">IF(E757="","",LEFT(R757,S757)&amp;REPT("0",4-S757)&amp;RIGHT("000"&amp;IFERROR(VALUE(MID(R757,S757+1,9)),0),3)&amp;RIGHT("0000"&amp;IFERROR(VALUE(MID(E757,FIND("-",E757)+1,9)),0),4))</f>
        <v/>
      </c>
      <c r="U757" s="0" t="str">
        <f aca="false">IF(I757=1,"K"&amp;RIGHT("00"&amp;A757,2)&amp;T757&amp;RIGHT("00000"&amp;ROW(),5),"")</f>
        <v/>
      </c>
      <c r="V757" s="0" t="str">
        <f aca="false">IF(U757="","",COUNTIFS($I$2:$I$1201,1,$U$2:$U$1201,"&lt;"&amp;U757)+1)</f>
        <v/>
      </c>
    </row>
    <row r="758" customFormat="false" ht="15" hidden="false" customHeight="false" outlineLevel="0" collapsed="false">
      <c r="A758" s="0" t="n">
        <v>13</v>
      </c>
      <c r="B758" s="0" t="n">
        <v>37</v>
      </c>
      <c r="C758" s="0" t="str">
        <f aca="false">TRIM(SUBSTITUTE(INDEX(LISTAS!$A$4:$T$63,B758,A758)&amp;"",CHAR(160)," "))</f>
        <v/>
      </c>
      <c r="D758" s="0" t="str">
        <f aca="false">IF(C758="","",TRIM(RIGHT(SUBSTITUTE(C758," ",REPT(" ",100)),100)))</f>
        <v/>
      </c>
      <c r="E758" s="0" t="str">
        <f aca="false">IF(D758="","",UPPER(SUBSTITUTE(SUBSTITUTE(D758,"(",""),")","")))</f>
        <v/>
      </c>
      <c r="F758" s="0" t="str">
        <f aca="false">IF(C758="","",LEFT(C758,FIND(" ",C758&amp;" ")-1))</f>
        <v/>
      </c>
      <c r="G758" s="0" t="n">
        <f aca="false">IFERROR(VALUE(SUBSTITUTE(LOWER(F758),"x","")),0)</f>
        <v>0</v>
      </c>
      <c r="H758" s="0" t="str">
        <f aca="false">IF(C758="","",TRIM(MID(C758,LEN(F758)+2,999)))</f>
        <v/>
      </c>
      <c r="I758" s="0" t="n">
        <f aca="false">IF(OR(C758="",LEFT(C758,2)="//"),0,IFERROR(IF(AND(G758&gt;0,G758=INT(G758),FIND("-",E758)&gt;1,NOT(EXACT(UPPER(LEFT(E758,1)),LOWER(LEFT(E758,1)))),ISNUMBER(VALUE(MID(E758,FIND("-",E758)+1,10)))),1,0),0))</f>
        <v>0</v>
      </c>
      <c r="J758" s="0" t="str">
        <f aca="false">IF(I758=1,TRIM(LEFT(H758,MAX(0,LEN(H758)-LEN(D758)))),"")</f>
        <v/>
      </c>
      <c r="K758" s="0" t="str">
        <f aca="false">INDEX($P$2:$P$21,A758)</f>
        <v>Deck 13</v>
      </c>
      <c r="L758" s="0" t="n">
        <f aca="false">IF(AND(C758&lt;&gt;"",LEFT(C758,2)&lt;&gt;"//",I758=0),1,0)</f>
        <v>0</v>
      </c>
      <c r="M758" s="0" t="str">
        <f aca="false">IF(I758=1,MAX(M$1:M757)+1,"")</f>
        <v/>
      </c>
      <c r="N758" s="0" t="str">
        <f aca="false">IFERROR(MATCH(ROW()-1,$V$2:$V$1201,0),"")</f>
        <v/>
      </c>
      <c r="R758" s="0" t="str">
        <f aca="false">IF(E758="","",IFERROR(LEFT(E758,FIND("-",E758)-1),E758))</f>
        <v/>
      </c>
      <c r="S758" s="0" t="str">
        <f aca="false">IF(R758="","",IF(ISNUMBER(--MID(R758,1,1)),0,IF(ISNUMBER(--MID(R758,2,1)),1,IF(ISNUMBER(--MID(R758,3,1)),2,IF(ISNUMBER(--MID(R758,4,1)),3,MIN(LEN(R758),4))))))</f>
        <v/>
      </c>
      <c r="T758" s="0" t="str">
        <f aca="false">IF(E758="","",LEFT(R758,S758)&amp;REPT("0",4-S758)&amp;RIGHT("000"&amp;IFERROR(VALUE(MID(R758,S758+1,9)),0),3)&amp;RIGHT("0000"&amp;IFERROR(VALUE(MID(E758,FIND("-",E758)+1,9)),0),4))</f>
        <v/>
      </c>
      <c r="U758" s="0" t="str">
        <f aca="false">IF(I758=1,"K"&amp;RIGHT("00"&amp;A758,2)&amp;T758&amp;RIGHT("00000"&amp;ROW(),5),"")</f>
        <v/>
      </c>
      <c r="V758" s="0" t="str">
        <f aca="false">IF(U758="","",COUNTIFS($I$2:$I$1201,1,$U$2:$U$1201,"&lt;"&amp;U758)+1)</f>
        <v/>
      </c>
    </row>
    <row r="759" customFormat="false" ht="15" hidden="false" customHeight="false" outlineLevel="0" collapsed="false">
      <c r="A759" s="0" t="n">
        <v>13</v>
      </c>
      <c r="B759" s="0" t="n">
        <v>38</v>
      </c>
      <c r="C759" s="0" t="str">
        <f aca="false">TRIM(SUBSTITUTE(INDEX(LISTAS!$A$4:$T$63,B759,A759)&amp;"",CHAR(160)," "))</f>
        <v/>
      </c>
      <c r="D759" s="0" t="str">
        <f aca="false">IF(C759="","",TRIM(RIGHT(SUBSTITUTE(C759," ",REPT(" ",100)),100)))</f>
        <v/>
      </c>
      <c r="E759" s="0" t="str">
        <f aca="false">IF(D759="","",UPPER(SUBSTITUTE(SUBSTITUTE(D759,"(",""),")","")))</f>
        <v/>
      </c>
      <c r="F759" s="0" t="str">
        <f aca="false">IF(C759="","",LEFT(C759,FIND(" ",C759&amp;" ")-1))</f>
        <v/>
      </c>
      <c r="G759" s="0" t="n">
        <f aca="false">IFERROR(VALUE(SUBSTITUTE(LOWER(F759),"x","")),0)</f>
        <v>0</v>
      </c>
      <c r="H759" s="0" t="str">
        <f aca="false">IF(C759="","",TRIM(MID(C759,LEN(F759)+2,999)))</f>
        <v/>
      </c>
      <c r="I759" s="0" t="n">
        <f aca="false">IF(OR(C759="",LEFT(C759,2)="//"),0,IFERROR(IF(AND(G759&gt;0,G759=INT(G759),FIND("-",E759)&gt;1,NOT(EXACT(UPPER(LEFT(E759,1)),LOWER(LEFT(E759,1)))),ISNUMBER(VALUE(MID(E759,FIND("-",E759)+1,10)))),1,0),0))</f>
        <v>0</v>
      </c>
      <c r="J759" s="0" t="str">
        <f aca="false">IF(I759=1,TRIM(LEFT(H759,MAX(0,LEN(H759)-LEN(D759)))),"")</f>
        <v/>
      </c>
      <c r="K759" s="0" t="str">
        <f aca="false">INDEX($P$2:$P$21,A759)</f>
        <v>Deck 13</v>
      </c>
      <c r="L759" s="0" t="n">
        <f aca="false">IF(AND(C759&lt;&gt;"",LEFT(C759,2)&lt;&gt;"//",I759=0),1,0)</f>
        <v>0</v>
      </c>
      <c r="M759" s="0" t="str">
        <f aca="false">IF(I759=1,MAX(M$1:M758)+1,"")</f>
        <v/>
      </c>
      <c r="N759" s="0" t="str">
        <f aca="false">IFERROR(MATCH(ROW()-1,$V$2:$V$1201,0),"")</f>
        <v/>
      </c>
      <c r="R759" s="0" t="str">
        <f aca="false">IF(E759="","",IFERROR(LEFT(E759,FIND("-",E759)-1),E759))</f>
        <v/>
      </c>
      <c r="S759" s="0" t="str">
        <f aca="false">IF(R759="","",IF(ISNUMBER(--MID(R759,1,1)),0,IF(ISNUMBER(--MID(R759,2,1)),1,IF(ISNUMBER(--MID(R759,3,1)),2,IF(ISNUMBER(--MID(R759,4,1)),3,MIN(LEN(R759),4))))))</f>
        <v/>
      </c>
      <c r="T759" s="0" t="str">
        <f aca="false">IF(E759="","",LEFT(R759,S759)&amp;REPT("0",4-S759)&amp;RIGHT("000"&amp;IFERROR(VALUE(MID(R759,S759+1,9)),0),3)&amp;RIGHT("0000"&amp;IFERROR(VALUE(MID(E759,FIND("-",E759)+1,9)),0),4))</f>
        <v/>
      </c>
      <c r="U759" s="0" t="str">
        <f aca="false">IF(I759=1,"K"&amp;RIGHT("00"&amp;A759,2)&amp;T759&amp;RIGHT("00000"&amp;ROW(),5),"")</f>
        <v/>
      </c>
      <c r="V759" s="0" t="str">
        <f aca="false">IF(U759="","",COUNTIFS($I$2:$I$1201,1,$U$2:$U$1201,"&lt;"&amp;U759)+1)</f>
        <v/>
      </c>
    </row>
    <row r="760" customFormat="false" ht="15" hidden="false" customHeight="false" outlineLevel="0" collapsed="false">
      <c r="A760" s="0" t="n">
        <v>13</v>
      </c>
      <c r="B760" s="0" t="n">
        <v>39</v>
      </c>
      <c r="C760" s="0" t="str">
        <f aca="false">TRIM(SUBSTITUTE(INDEX(LISTAS!$A$4:$T$63,B760,A760)&amp;"",CHAR(160)," "))</f>
        <v/>
      </c>
      <c r="D760" s="0" t="str">
        <f aca="false">IF(C760="","",TRIM(RIGHT(SUBSTITUTE(C760," ",REPT(" ",100)),100)))</f>
        <v/>
      </c>
      <c r="E760" s="0" t="str">
        <f aca="false">IF(D760="","",UPPER(SUBSTITUTE(SUBSTITUTE(D760,"(",""),")","")))</f>
        <v/>
      </c>
      <c r="F760" s="0" t="str">
        <f aca="false">IF(C760="","",LEFT(C760,FIND(" ",C760&amp;" ")-1))</f>
        <v/>
      </c>
      <c r="G760" s="0" t="n">
        <f aca="false">IFERROR(VALUE(SUBSTITUTE(LOWER(F760),"x","")),0)</f>
        <v>0</v>
      </c>
      <c r="H760" s="0" t="str">
        <f aca="false">IF(C760="","",TRIM(MID(C760,LEN(F760)+2,999)))</f>
        <v/>
      </c>
      <c r="I760" s="0" t="n">
        <f aca="false">IF(OR(C760="",LEFT(C760,2)="//"),0,IFERROR(IF(AND(G760&gt;0,G760=INT(G760),FIND("-",E760)&gt;1,NOT(EXACT(UPPER(LEFT(E760,1)),LOWER(LEFT(E760,1)))),ISNUMBER(VALUE(MID(E760,FIND("-",E760)+1,10)))),1,0),0))</f>
        <v>0</v>
      </c>
      <c r="J760" s="0" t="str">
        <f aca="false">IF(I760=1,TRIM(LEFT(H760,MAX(0,LEN(H760)-LEN(D760)))),"")</f>
        <v/>
      </c>
      <c r="K760" s="0" t="str">
        <f aca="false">INDEX($P$2:$P$21,A760)</f>
        <v>Deck 13</v>
      </c>
      <c r="L760" s="0" t="n">
        <f aca="false">IF(AND(C760&lt;&gt;"",LEFT(C760,2)&lt;&gt;"//",I760=0),1,0)</f>
        <v>0</v>
      </c>
      <c r="M760" s="0" t="str">
        <f aca="false">IF(I760=1,MAX(M$1:M759)+1,"")</f>
        <v/>
      </c>
      <c r="N760" s="0" t="str">
        <f aca="false">IFERROR(MATCH(ROW()-1,$V$2:$V$1201,0),"")</f>
        <v/>
      </c>
      <c r="R760" s="0" t="str">
        <f aca="false">IF(E760="","",IFERROR(LEFT(E760,FIND("-",E760)-1),E760))</f>
        <v/>
      </c>
      <c r="S760" s="0" t="str">
        <f aca="false">IF(R760="","",IF(ISNUMBER(--MID(R760,1,1)),0,IF(ISNUMBER(--MID(R760,2,1)),1,IF(ISNUMBER(--MID(R760,3,1)),2,IF(ISNUMBER(--MID(R760,4,1)),3,MIN(LEN(R760),4))))))</f>
        <v/>
      </c>
      <c r="T760" s="0" t="str">
        <f aca="false">IF(E760="","",LEFT(R760,S760)&amp;REPT("0",4-S760)&amp;RIGHT("000"&amp;IFERROR(VALUE(MID(R760,S760+1,9)),0),3)&amp;RIGHT("0000"&amp;IFERROR(VALUE(MID(E760,FIND("-",E760)+1,9)),0),4))</f>
        <v/>
      </c>
      <c r="U760" s="0" t="str">
        <f aca="false">IF(I760=1,"K"&amp;RIGHT("00"&amp;A760,2)&amp;T760&amp;RIGHT("00000"&amp;ROW(),5),"")</f>
        <v/>
      </c>
      <c r="V760" s="0" t="str">
        <f aca="false">IF(U760="","",COUNTIFS($I$2:$I$1201,1,$U$2:$U$1201,"&lt;"&amp;U760)+1)</f>
        <v/>
      </c>
    </row>
    <row r="761" customFormat="false" ht="15" hidden="false" customHeight="false" outlineLevel="0" collapsed="false">
      <c r="A761" s="0" t="n">
        <v>13</v>
      </c>
      <c r="B761" s="0" t="n">
        <v>40</v>
      </c>
      <c r="C761" s="0" t="str">
        <f aca="false">TRIM(SUBSTITUTE(INDEX(LISTAS!$A$4:$T$63,B761,A761)&amp;"",CHAR(160)," "))</f>
        <v/>
      </c>
      <c r="D761" s="0" t="str">
        <f aca="false">IF(C761="","",TRIM(RIGHT(SUBSTITUTE(C761," ",REPT(" ",100)),100)))</f>
        <v/>
      </c>
      <c r="E761" s="0" t="str">
        <f aca="false">IF(D761="","",UPPER(SUBSTITUTE(SUBSTITUTE(D761,"(",""),")","")))</f>
        <v/>
      </c>
      <c r="F761" s="0" t="str">
        <f aca="false">IF(C761="","",LEFT(C761,FIND(" ",C761&amp;" ")-1))</f>
        <v/>
      </c>
      <c r="G761" s="0" t="n">
        <f aca="false">IFERROR(VALUE(SUBSTITUTE(LOWER(F761),"x","")),0)</f>
        <v>0</v>
      </c>
      <c r="H761" s="0" t="str">
        <f aca="false">IF(C761="","",TRIM(MID(C761,LEN(F761)+2,999)))</f>
        <v/>
      </c>
      <c r="I761" s="0" t="n">
        <f aca="false">IF(OR(C761="",LEFT(C761,2)="//"),0,IFERROR(IF(AND(G761&gt;0,G761=INT(G761),FIND("-",E761)&gt;1,NOT(EXACT(UPPER(LEFT(E761,1)),LOWER(LEFT(E761,1)))),ISNUMBER(VALUE(MID(E761,FIND("-",E761)+1,10)))),1,0),0))</f>
        <v>0</v>
      </c>
      <c r="J761" s="0" t="str">
        <f aca="false">IF(I761=1,TRIM(LEFT(H761,MAX(0,LEN(H761)-LEN(D761)))),"")</f>
        <v/>
      </c>
      <c r="K761" s="0" t="str">
        <f aca="false">INDEX($P$2:$P$21,A761)</f>
        <v>Deck 13</v>
      </c>
      <c r="L761" s="0" t="n">
        <f aca="false">IF(AND(C761&lt;&gt;"",LEFT(C761,2)&lt;&gt;"//",I761=0),1,0)</f>
        <v>0</v>
      </c>
      <c r="M761" s="0" t="str">
        <f aca="false">IF(I761=1,MAX(M$1:M760)+1,"")</f>
        <v/>
      </c>
      <c r="N761" s="0" t="str">
        <f aca="false">IFERROR(MATCH(ROW()-1,$V$2:$V$1201,0),"")</f>
        <v/>
      </c>
      <c r="R761" s="0" t="str">
        <f aca="false">IF(E761="","",IFERROR(LEFT(E761,FIND("-",E761)-1),E761))</f>
        <v/>
      </c>
      <c r="S761" s="0" t="str">
        <f aca="false">IF(R761="","",IF(ISNUMBER(--MID(R761,1,1)),0,IF(ISNUMBER(--MID(R761,2,1)),1,IF(ISNUMBER(--MID(R761,3,1)),2,IF(ISNUMBER(--MID(R761,4,1)),3,MIN(LEN(R761),4))))))</f>
        <v/>
      </c>
      <c r="T761" s="0" t="str">
        <f aca="false">IF(E761="","",LEFT(R761,S761)&amp;REPT("0",4-S761)&amp;RIGHT("000"&amp;IFERROR(VALUE(MID(R761,S761+1,9)),0),3)&amp;RIGHT("0000"&amp;IFERROR(VALUE(MID(E761,FIND("-",E761)+1,9)),0),4))</f>
        <v/>
      </c>
      <c r="U761" s="0" t="str">
        <f aca="false">IF(I761=1,"K"&amp;RIGHT("00"&amp;A761,2)&amp;T761&amp;RIGHT("00000"&amp;ROW(),5),"")</f>
        <v/>
      </c>
      <c r="V761" s="0" t="str">
        <f aca="false">IF(U761="","",COUNTIFS($I$2:$I$1201,1,$U$2:$U$1201,"&lt;"&amp;U761)+1)</f>
        <v/>
      </c>
    </row>
    <row r="762" customFormat="false" ht="15" hidden="false" customHeight="false" outlineLevel="0" collapsed="false">
      <c r="A762" s="0" t="n">
        <v>13</v>
      </c>
      <c r="B762" s="0" t="n">
        <v>41</v>
      </c>
      <c r="C762" s="0" t="str">
        <f aca="false">TRIM(SUBSTITUTE(INDEX(LISTAS!$A$4:$T$63,B762,A762)&amp;"",CHAR(160)," "))</f>
        <v/>
      </c>
      <c r="D762" s="0" t="str">
        <f aca="false">IF(C762="","",TRIM(RIGHT(SUBSTITUTE(C762," ",REPT(" ",100)),100)))</f>
        <v/>
      </c>
      <c r="E762" s="0" t="str">
        <f aca="false">IF(D762="","",UPPER(SUBSTITUTE(SUBSTITUTE(D762,"(",""),")","")))</f>
        <v/>
      </c>
      <c r="F762" s="0" t="str">
        <f aca="false">IF(C762="","",LEFT(C762,FIND(" ",C762&amp;" ")-1))</f>
        <v/>
      </c>
      <c r="G762" s="0" t="n">
        <f aca="false">IFERROR(VALUE(SUBSTITUTE(LOWER(F762),"x","")),0)</f>
        <v>0</v>
      </c>
      <c r="H762" s="0" t="str">
        <f aca="false">IF(C762="","",TRIM(MID(C762,LEN(F762)+2,999)))</f>
        <v/>
      </c>
      <c r="I762" s="0" t="n">
        <f aca="false">IF(OR(C762="",LEFT(C762,2)="//"),0,IFERROR(IF(AND(G762&gt;0,G762=INT(G762),FIND("-",E762)&gt;1,NOT(EXACT(UPPER(LEFT(E762,1)),LOWER(LEFT(E762,1)))),ISNUMBER(VALUE(MID(E762,FIND("-",E762)+1,10)))),1,0),0))</f>
        <v>0</v>
      </c>
      <c r="J762" s="0" t="str">
        <f aca="false">IF(I762=1,TRIM(LEFT(H762,MAX(0,LEN(H762)-LEN(D762)))),"")</f>
        <v/>
      </c>
      <c r="K762" s="0" t="str">
        <f aca="false">INDEX($P$2:$P$21,A762)</f>
        <v>Deck 13</v>
      </c>
      <c r="L762" s="0" t="n">
        <f aca="false">IF(AND(C762&lt;&gt;"",LEFT(C762,2)&lt;&gt;"//",I762=0),1,0)</f>
        <v>0</v>
      </c>
      <c r="M762" s="0" t="str">
        <f aca="false">IF(I762=1,MAX(M$1:M761)+1,"")</f>
        <v/>
      </c>
      <c r="N762" s="0" t="str">
        <f aca="false">IFERROR(MATCH(ROW()-1,$V$2:$V$1201,0),"")</f>
        <v/>
      </c>
      <c r="R762" s="0" t="str">
        <f aca="false">IF(E762="","",IFERROR(LEFT(E762,FIND("-",E762)-1),E762))</f>
        <v/>
      </c>
      <c r="S762" s="0" t="str">
        <f aca="false">IF(R762="","",IF(ISNUMBER(--MID(R762,1,1)),0,IF(ISNUMBER(--MID(R762,2,1)),1,IF(ISNUMBER(--MID(R762,3,1)),2,IF(ISNUMBER(--MID(R762,4,1)),3,MIN(LEN(R762),4))))))</f>
        <v/>
      </c>
      <c r="T762" s="0" t="str">
        <f aca="false">IF(E762="","",LEFT(R762,S762)&amp;REPT("0",4-S762)&amp;RIGHT("000"&amp;IFERROR(VALUE(MID(R762,S762+1,9)),0),3)&amp;RIGHT("0000"&amp;IFERROR(VALUE(MID(E762,FIND("-",E762)+1,9)),0),4))</f>
        <v/>
      </c>
      <c r="U762" s="0" t="str">
        <f aca="false">IF(I762=1,"K"&amp;RIGHT("00"&amp;A762,2)&amp;T762&amp;RIGHT("00000"&amp;ROW(),5),"")</f>
        <v/>
      </c>
      <c r="V762" s="0" t="str">
        <f aca="false">IF(U762="","",COUNTIFS($I$2:$I$1201,1,$U$2:$U$1201,"&lt;"&amp;U762)+1)</f>
        <v/>
      </c>
    </row>
    <row r="763" customFormat="false" ht="15" hidden="false" customHeight="false" outlineLevel="0" collapsed="false">
      <c r="A763" s="0" t="n">
        <v>13</v>
      </c>
      <c r="B763" s="0" t="n">
        <v>42</v>
      </c>
      <c r="C763" s="0" t="str">
        <f aca="false">TRIM(SUBSTITUTE(INDEX(LISTAS!$A$4:$T$63,B763,A763)&amp;"",CHAR(160)," "))</f>
        <v/>
      </c>
      <c r="D763" s="0" t="str">
        <f aca="false">IF(C763="","",TRIM(RIGHT(SUBSTITUTE(C763," ",REPT(" ",100)),100)))</f>
        <v/>
      </c>
      <c r="E763" s="0" t="str">
        <f aca="false">IF(D763="","",UPPER(SUBSTITUTE(SUBSTITUTE(D763,"(",""),")","")))</f>
        <v/>
      </c>
      <c r="F763" s="0" t="str">
        <f aca="false">IF(C763="","",LEFT(C763,FIND(" ",C763&amp;" ")-1))</f>
        <v/>
      </c>
      <c r="G763" s="0" t="n">
        <f aca="false">IFERROR(VALUE(SUBSTITUTE(LOWER(F763),"x","")),0)</f>
        <v>0</v>
      </c>
      <c r="H763" s="0" t="str">
        <f aca="false">IF(C763="","",TRIM(MID(C763,LEN(F763)+2,999)))</f>
        <v/>
      </c>
      <c r="I763" s="0" t="n">
        <f aca="false">IF(OR(C763="",LEFT(C763,2)="//"),0,IFERROR(IF(AND(G763&gt;0,G763=INT(G763),FIND("-",E763)&gt;1,NOT(EXACT(UPPER(LEFT(E763,1)),LOWER(LEFT(E763,1)))),ISNUMBER(VALUE(MID(E763,FIND("-",E763)+1,10)))),1,0),0))</f>
        <v>0</v>
      </c>
      <c r="J763" s="0" t="str">
        <f aca="false">IF(I763=1,TRIM(LEFT(H763,MAX(0,LEN(H763)-LEN(D763)))),"")</f>
        <v/>
      </c>
      <c r="K763" s="0" t="str">
        <f aca="false">INDEX($P$2:$P$21,A763)</f>
        <v>Deck 13</v>
      </c>
      <c r="L763" s="0" t="n">
        <f aca="false">IF(AND(C763&lt;&gt;"",LEFT(C763,2)&lt;&gt;"//",I763=0),1,0)</f>
        <v>0</v>
      </c>
      <c r="M763" s="0" t="str">
        <f aca="false">IF(I763=1,MAX(M$1:M762)+1,"")</f>
        <v/>
      </c>
      <c r="N763" s="0" t="str">
        <f aca="false">IFERROR(MATCH(ROW()-1,$V$2:$V$1201,0),"")</f>
        <v/>
      </c>
      <c r="R763" s="0" t="str">
        <f aca="false">IF(E763="","",IFERROR(LEFT(E763,FIND("-",E763)-1),E763))</f>
        <v/>
      </c>
      <c r="S763" s="0" t="str">
        <f aca="false">IF(R763="","",IF(ISNUMBER(--MID(R763,1,1)),0,IF(ISNUMBER(--MID(R763,2,1)),1,IF(ISNUMBER(--MID(R763,3,1)),2,IF(ISNUMBER(--MID(R763,4,1)),3,MIN(LEN(R763),4))))))</f>
        <v/>
      </c>
      <c r="T763" s="0" t="str">
        <f aca="false">IF(E763="","",LEFT(R763,S763)&amp;REPT("0",4-S763)&amp;RIGHT("000"&amp;IFERROR(VALUE(MID(R763,S763+1,9)),0),3)&amp;RIGHT("0000"&amp;IFERROR(VALUE(MID(E763,FIND("-",E763)+1,9)),0),4))</f>
        <v/>
      </c>
      <c r="U763" s="0" t="str">
        <f aca="false">IF(I763=1,"K"&amp;RIGHT("00"&amp;A763,2)&amp;T763&amp;RIGHT("00000"&amp;ROW(),5),"")</f>
        <v/>
      </c>
      <c r="V763" s="0" t="str">
        <f aca="false">IF(U763="","",COUNTIFS($I$2:$I$1201,1,$U$2:$U$1201,"&lt;"&amp;U763)+1)</f>
        <v/>
      </c>
    </row>
    <row r="764" customFormat="false" ht="15" hidden="false" customHeight="false" outlineLevel="0" collapsed="false">
      <c r="A764" s="0" t="n">
        <v>13</v>
      </c>
      <c r="B764" s="0" t="n">
        <v>43</v>
      </c>
      <c r="C764" s="0" t="str">
        <f aca="false">TRIM(SUBSTITUTE(INDEX(LISTAS!$A$4:$T$63,B764,A764)&amp;"",CHAR(160)," "))</f>
        <v/>
      </c>
      <c r="D764" s="0" t="str">
        <f aca="false">IF(C764="","",TRIM(RIGHT(SUBSTITUTE(C764," ",REPT(" ",100)),100)))</f>
        <v/>
      </c>
      <c r="E764" s="0" t="str">
        <f aca="false">IF(D764="","",UPPER(SUBSTITUTE(SUBSTITUTE(D764,"(",""),")","")))</f>
        <v/>
      </c>
      <c r="F764" s="0" t="str">
        <f aca="false">IF(C764="","",LEFT(C764,FIND(" ",C764&amp;" ")-1))</f>
        <v/>
      </c>
      <c r="G764" s="0" t="n">
        <f aca="false">IFERROR(VALUE(SUBSTITUTE(LOWER(F764),"x","")),0)</f>
        <v>0</v>
      </c>
      <c r="H764" s="0" t="str">
        <f aca="false">IF(C764="","",TRIM(MID(C764,LEN(F764)+2,999)))</f>
        <v/>
      </c>
      <c r="I764" s="0" t="n">
        <f aca="false">IF(OR(C764="",LEFT(C764,2)="//"),0,IFERROR(IF(AND(G764&gt;0,G764=INT(G764),FIND("-",E764)&gt;1,NOT(EXACT(UPPER(LEFT(E764,1)),LOWER(LEFT(E764,1)))),ISNUMBER(VALUE(MID(E764,FIND("-",E764)+1,10)))),1,0),0))</f>
        <v>0</v>
      </c>
      <c r="J764" s="0" t="str">
        <f aca="false">IF(I764=1,TRIM(LEFT(H764,MAX(0,LEN(H764)-LEN(D764)))),"")</f>
        <v/>
      </c>
      <c r="K764" s="0" t="str">
        <f aca="false">INDEX($P$2:$P$21,A764)</f>
        <v>Deck 13</v>
      </c>
      <c r="L764" s="0" t="n">
        <f aca="false">IF(AND(C764&lt;&gt;"",LEFT(C764,2)&lt;&gt;"//",I764=0),1,0)</f>
        <v>0</v>
      </c>
      <c r="M764" s="0" t="str">
        <f aca="false">IF(I764=1,MAX(M$1:M763)+1,"")</f>
        <v/>
      </c>
      <c r="N764" s="0" t="str">
        <f aca="false">IFERROR(MATCH(ROW()-1,$V$2:$V$1201,0),"")</f>
        <v/>
      </c>
      <c r="R764" s="0" t="str">
        <f aca="false">IF(E764="","",IFERROR(LEFT(E764,FIND("-",E764)-1),E764))</f>
        <v/>
      </c>
      <c r="S764" s="0" t="str">
        <f aca="false">IF(R764="","",IF(ISNUMBER(--MID(R764,1,1)),0,IF(ISNUMBER(--MID(R764,2,1)),1,IF(ISNUMBER(--MID(R764,3,1)),2,IF(ISNUMBER(--MID(R764,4,1)),3,MIN(LEN(R764),4))))))</f>
        <v/>
      </c>
      <c r="T764" s="0" t="str">
        <f aca="false">IF(E764="","",LEFT(R764,S764)&amp;REPT("0",4-S764)&amp;RIGHT("000"&amp;IFERROR(VALUE(MID(R764,S764+1,9)),0),3)&amp;RIGHT("0000"&amp;IFERROR(VALUE(MID(E764,FIND("-",E764)+1,9)),0),4))</f>
        <v/>
      </c>
      <c r="U764" s="0" t="str">
        <f aca="false">IF(I764=1,"K"&amp;RIGHT("00"&amp;A764,2)&amp;T764&amp;RIGHT("00000"&amp;ROW(),5),"")</f>
        <v/>
      </c>
      <c r="V764" s="0" t="str">
        <f aca="false">IF(U764="","",COUNTIFS($I$2:$I$1201,1,$U$2:$U$1201,"&lt;"&amp;U764)+1)</f>
        <v/>
      </c>
    </row>
    <row r="765" customFormat="false" ht="15" hidden="false" customHeight="false" outlineLevel="0" collapsed="false">
      <c r="A765" s="0" t="n">
        <v>13</v>
      </c>
      <c r="B765" s="0" t="n">
        <v>44</v>
      </c>
      <c r="C765" s="0" t="str">
        <f aca="false">TRIM(SUBSTITUTE(INDEX(LISTAS!$A$4:$T$63,B765,A765)&amp;"",CHAR(160)," "))</f>
        <v/>
      </c>
      <c r="D765" s="0" t="str">
        <f aca="false">IF(C765="","",TRIM(RIGHT(SUBSTITUTE(C765," ",REPT(" ",100)),100)))</f>
        <v/>
      </c>
      <c r="E765" s="0" t="str">
        <f aca="false">IF(D765="","",UPPER(SUBSTITUTE(SUBSTITUTE(D765,"(",""),")","")))</f>
        <v/>
      </c>
      <c r="F765" s="0" t="str">
        <f aca="false">IF(C765="","",LEFT(C765,FIND(" ",C765&amp;" ")-1))</f>
        <v/>
      </c>
      <c r="G765" s="0" t="n">
        <f aca="false">IFERROR(VALUE(SUBSTITUTE(LOWER(F765),"x","")),0)</f>
        <v>0</v>
      </c>
      <c r="H765" s="0" t="str">
        <f aca="false">IF(C765="","",TRIM(MID(C765,LEN(F765)+2,999)))</f>
        <v/>
      </c>
      <c r="I765" s="0" t="n">
        <f aca="false">IF(OR(C765="",LEFT(C765,2)="//"),0,IFERROR(IF(AND(G765&gt;0,G765=INT(G765),FIND("-",E765)&gt;1,NOT(EXACT(UPPER(LEFT(E765,1)),LOWER(LEFT(E765,1)))),ISNUMBER(VALUE(MID(E765,FIND("-",E765)+1,10)))),1,0),0))</f>
        <v>0</v>
      </c>
      <c r="J765" s="0" t="str">
        <f aca="false">IF(I765=1,TRIM(LEFT(H765,MAX(0,LEN(H765)-LEN(D765)))),"")</f>
        <v/>
      </c>
      <c r="K765" s="0" t="str">
        <f aca="false">INDEX($P$2:$P$21,A765)</f>
        <v>Deck 13</v>
      </c>
      <c r="L765" s="0" t="n">
        <f aca="false">IF(AND(C765&lt;&gt;"",LEFT(C765,2)&lt;&gt;"//",I765=0),1,0)</f>
        <v>0</v>
      </c>
      <c r="M765" s="0" t="str">
        <f aca="false">IF(I765=1,MAX(M$1:M764)+1,"")</f>
        <v/>
      </c>
      <c r="N765" s="0" t="str">
        <f aca="false">IFERROR(MATCH(ROW()-1,$V$2:$V$1201,0),"")</f>
        <v/>
      </c>
      <c r="R765" s="0" t="str">
        <f aca="false">IF(E765="","",IFERROR(LEFT(E765,FIND("-",E765)-1),E765))</f>
        <v/>
      </c>
      <c r="S765" s="0" t="str">
        <f aca="false">IF(R765="","",IF(ISNUMBER(--MID(R765,1,1)),0,IF(ISNUMBER(--MID(R765,2,1)),1,IF(ISNUMBER(--MID(R765,3,1)),2,IF(ISNUMBER(--MID(R765,4,1)),3,MIN(LEN(R765),4))))))</f>
        <v/>
      </c>
      <c r="T765" s="0" t="str">
        <f aca="false">IF(E765="","",LEFT(R765,S765)&amp;REPT("0",4-S765)&amp;RIGHT("000"&amp;IFERROR(VALUE(MID(R765,S765+1,9)),0),3)&amp;RIGHT("0000"&amp;IFERROR(VALUE(MID(E765,FIND("-",E765)+1,9)),0),4))</f>
        <v/>
      </c>
      <c r="U765" s="0" t="str">
        <f aca="false">IF(I765=1,"K"&amp;RIGHT("00"&amp;A765,2)&amp;T765&amp;RIGHT("00000"&amp;ROW(),5),"")</f>
        <v/>
      </c>
      <c r="V765" s="0" t="str">
        <f aca="false">IF(U765="","",COUNTIFS($I$2:$I$1201,1,$U$2:$U$1201,"&lt;"&amp;U765)+1)</f>
        <v/>
      </c>
    </row>
    <row r="766" customFormat="false" ht="15" hidden="false" customHeight="false" outlineLevel="0" collapsed="false">
      <c r="A766" s="0" t="n">
        <v>13</v>
      </c>
      <c r="B766" s="0" t="n">
        <v>45</v>
      </c>
      <c r="C766" s="0" t="str">
        <f aca="false">TRIM(SUBSTITUTE(INDEX(LISTAS!$A$4:$T$63,B766,A766)&amp;"",CHAR(160)," "))</f>
        <v/>
      </c>
      <c r="D766" s="0" t="str">
        <f aca="false">IF(C766="","",TRIM(RIGHT(SUBSTITUTE(C766," ",REPT(" ",100)),100)))</f>
        <v/>
      </c>
      <c r="E766" s="0" t="str">
        <f aca="false">IF(D766="","",UPPER(SUBSTITUTE(SUBSTITUTE(D766,"(",""),")","")))</f>
        <v/>
      </c>
      <c r="F766" s="0" t="str">
        <f aca="false">IF(C766="","",LEFT(C766,FIND(" ",C766&amp;" ")-1))</f>
        <v/>
      </c>
      <c r="G766" s="0" t="n">
        <f aca="false">IFERROR(VALUE(SUBSTITUTE(LOWER(F766),"x","")),0)</f>
        <v>0</v>
      </c>
      <c r="H766" s="0" t="str">
        <f aca="false">IF(C766="","",TRIM(MID(C766,LEN(F766)+2,999)))</f>
        <v/>
      </c>
      <c r="I766" s="0" t="n">
        <f aca="false">IF(OR(C766="",LEFT(C766,2)="//"),0,IFERROR(IF(AND(G766&gt;0,G766=INT(G766),FIND("-",E766)&gt;1,NOT(EXACT(UPPER(LEFT(E766,1)),LOWER(LEFT(E766,1)))),ISNUMBER(VALUE(MID(E766,FIND("-",E766)+1,10)))),1,0),0))</f>
        <v>0</v>
      </c>
      <c r="J766" s="0" t="str">
        <f aca="false">IF(I766=1,TRIM(LEFT(H766,MAX(0,LEN(H766)-LEN(D766)))),"")</f>
        <v/>
      </c>
      <c r="K766" s="0" t="str">
        <f aca="false">INDEX($P$2:$P$21,A766)</f>
        <v>Deck 13</v>
      </c>
      <c r="L766" s="0" t="n">
        <f aca="false">IF(AND(C766&lt;&gt;"",LEFT(C766,2)&lt;&gt;"//",I766=0),1,0)</f>
        <v>0</v>
      </c>
      <c r="M766" s="0" t="str">
        <f aca="false">IF(I766=1,MAX(M$1:M765)+1,"")</f>
        <v/>
      </c>
      <c r="N766" s="0" t="str">
        <f aca="false">IFERROR(MATCH(ROW()-1,$V$2:$V$1201,0),"")</f>
        <v/>
      </c>
      <c r="R766" s="0" t="str">
        <f aca="false">IF(E766="","",IFERROR(LEFT(E766,FIND("-",E766)-1),E766))</f>
        <v/>
      </c>
      <c r="S766" s="0" t="str">
        <f aca="false">IF(R766="","",IF(ISNUMBER(--MID(R766,1,1)),0,IF(ISNUMBER(--MID(R766,2,1)),1,IF(ISNUMBER(--MID(R766,3,1)),2,IF(ISNUMBER(--MID(R766,4,1)),3,MIN(LEN(R766),4))))))</f>
        <v/>
      </c>
      <c r="T766" s="0" t="str">
        <f aca="false">IF(E766="","",LEFT(R766,S766)&amp;REPT("0",4-S766)&amp;RIGHT("000"&amp;IFERROR(VALUE(MID(R766,S766+1,9)),0),3)&amp;RIGHT("0000"&amp;IFERROR(VALUE(MID(E766,FIND("-",E766)+1,9)),0),4))</f>
        <v/>
      </c>
      <c r="U766" s="0" t="str">
        <f aca="false">IF(I766=1,"K"&amp;RIGHT("00"&amp;A766,2)&amp;T766&amp;RIGHT("00000"&amp;ROW(),5),"")</f>
        <v/>
      </c>
      <c r="V766" s="0" t="str">
        <f aca="false">IF(U766="","",COUNTIFS($I$2:$I$1201,1,$U$2:$U$1201,"&lt;"&amp;U766)+1)</f>
        <v/>
      </c>
    </row>
    <row r="767" customFormat="false" ht="15" hidden="false" customHeight="false" outlineLevel="0" collapsed="false">
      <c r="A767" s="0" t="n">
        <v>13</v>
      </c>
      <c r="B767" s="0" t="n">
        <v>46</v>
      </c>
      <c r="C767" s="0" t="str">
        <f aca="false">TRIM(SUBSTITUTE(INDEX(LISTAS!$A$4:$T$63,B767,A767)&amp;"",CHAR(160)," "))</f>
        <v/>
      </c>
      <c r="D767" s="0" t="str">
        <f aca="false">IF(C767="","",TRIM(RIGHT(SUBSTITUTE(C767," ",REPT(" ",100)),100)))</f>
        <v/>
      </c>
      <c r="E767" s="0" t="str">
        <f aca="false">IF(D767="","",UPPER(SUBSTITUTE(SUBSTITUTE(D767,"(",""),")","")))</f>
        <v/>
      </c>
      <c r="F767" s="0" t="str">
        <f aca="false">IF(C767="","",LEFT(C767,FIND(" ",C767&amp;" ")-1))</f>
        <v/>
      </c>
      <c r="G767" s="0" t="n">
        <f aca="false">IFERROR(VALUE(SUBSTITUTE(LOWER(F767),"x","")),0)</f>
        <v>0</v>
      </c>
      <c r="H767" s="0" t="str">
        <f aca="false">IF(C767="","",TRIM(MID(C767,LEN(F767)+2,999)))</f>
        <v/>
      </c>
      <c r="I767" s="0" t="n">
        <f aca="false">IF(OR(C767="",LEFT(C767,2)="//"),0,IFERROR(IF(AND(G767&gt;0,G767=INT(G767),FIND("-",E767)&gt;1,NOT(EXACT(UPPER(LEFT(E767,1)),LOWER(LEFT(E767,1)))),ISNUMBER(VALUE(MID(E767,FIND("-",E767)+1,10)))),1,0),0))</f>
        <v>0</v>
      </c>
      <c r="J767" s="0" t="str">
        <f aca="false">IF(I767=1,TRIM(LEFT(H767,MAX(0,LEN(H767)-LEN(D767)))),"")</f>
        <v/>
      </c>
      <c r="K767" s="0" t="str">
        <f aca="false">INDEX($P$2:$P$21,A767)</f>
        <v>Deck 13</v>
      </c>
      <c r="L767" s="0" t="n">
        <f aca="false">IF(AND(C767&lt;&gt;"",LEFT(C767,2)&lt;&gt;"//",I767=0),1,0)</f>
        <v>0</v>
      </c>
      <c r="M767" s="0" t="str">
        <f aca="false">IF(I767=1,MAX(M$1:M766)+1,"")</f>
        <v/>
      </c>
      <c r="N767" s="0" t="str">
        <f aca="false">IFERROR(MATCH(ROW()-1,$V$2:$V$1201,0),"")</f>
        <v/>
      </c>
      <c r="R767" s="0" t="str">
        <f aca="false">IF(E767="","",IFERROR(LEFT(E767,FIND("-",E767)-1),E767))</f>
        <v/>
      </c>
      <c r="S767" s="0" t="str">
        <f aca="false">IF(R767="","",IF(ISNUMBER(--MID(R767,1,1)),0,IF(ISNUMBER(--MID(R767,2,1)),1,IF(ISNUMBER(--MID(R767,3,1)),2,IF(ISNUMBER(--MID(R767,4,1)),3,MIN(LEN(R767),4))))))</f>
        <v/>
      </c>
      <c r="T767" s="0" t="str">
        <f aca="false">IF(E767="","",LEFT(R767,S767)&amp;REPT("0",4-S767)&amp;RIGHT("000"&amp;IFERROR(VALUE(MID(R767,S767+1,9)),0),3)&amp;RIGHT("0000"&amp;IFERROR(VALUE(MID(E767,FIND("-",E767)+1,9)),0),4))</f>
        <v/>
      </c>
      <c r="U767" s="0" t="str">
        <f aca="false">IF(I767=1,"K"&amp;RIGHT("00"&amp;A767,2)&amp;T767&amp;RIGHT("00000"&amp;ROW(),5),"")</f>
        <v/>
      </c>
      <c r="V767" s="0" t="str">
        <f aca="false">IF(U767="","",COUNTIFS($I$2:$I$1201,1,$U$2:$U$1201,"&lt;"&amp;U767)+1)</f>
        <v/>
      </c>
    </row>
    <row r="768" customFormat="false" ht="15" hidden="false" customHeight="false" outlineLevel="0" collapsed="false">
      <c r="A768" s="0" t="n">
        <v>13</v>
      </c>
      <c r="B768" s="0" t="n">
        <v>47</v>
      </c>
      <c r="C768" s="0" t="str">
        <f aca="false">TRIM(SUBSTITUTE(INDEX(LISTAS!$A$4:$T$63,B768,A768)&amp;"",CHAR(160)," "))</f>
        <v/>
      </c>
      <c r="D768" s="0" t="str">
        <f aca="false">IF(C768="","",TRIM(RIGHT(SUBSTITUTE(C768," ",REPT(" ",100)),100)))</f>
        <v/>
      </c>
      <c r="E768" s="0" t="str">
        <f aca="false">IF(D768="","",UPPER(SUBSTITUTE(SUBSTITUTE(D768,"(",""),")","")))</f>
        <v/>
      </c>
      <c r="F768" s="0" t="str">
        <f aca="false">IF(C768="","",LEFT(C768,FIND(" ",C768&amp;" ")-1))</f>
        <v/>
      </c>
      <c r="G768" s="0" t="n">
        <f aca="false">IFERROR(VALUE(SUBSTITUTE(LOWER(F768),"x","")),0)</f>
        <v>0</v>
      </c>
      <c r="H768" s="0" t="str">
        <f aca="false">IF(C768="","",TRIM(MID(C768,LEN(F768)+2,999)))</f>
        <v/>
      </c>
      <c r="I768" s="0" t="n">
        <f aca="false">IF(OR(C768="",LEFT(C768,2)="//"),0,IFERROR(IF(AND(G768&gt;0,G768=INT(G768),FIND("-",E768)&gt;1,NOT(EXACT(UPPER(LEFT(E768,1)),LOWER(LEFT(E768,1)))),ISNUMBER(VALUE(MID(E768,FIND("-",E768)+1,10)))),1,0),0))</f>
        <v>0</v>
      </c>
      <c r="J768" s="0" t="str">
        <f aca="false">IF(I768=1,TRIM(LEFT(H768,MAX(0,LEN(H768)-LEN(D768)))),"")</f>
        <v/>
      </c>
      <c r="K768" s="0" t="str">
        <f aca="false">INDEX($P$2:$P$21,A768)</f>
        <v>Deck 13</v>
      </c>
      <c r="L768" s="0" t="n">
        <f aca="false">IF(AND(C768&lt;&gt;"",LEFT(C768,2)&lt;&gt;"//",I768=0),1,0)</f>
        <v>0</v>
      </c>
      <c r="M768" s="0" t="str">
        <f aca="false">IF(I768=1,MAX(M$1:M767)+1,"")</f>
        <v/>
      </c>
      <c r="N768" s="0" t="str">
        <f aca="false">IFERROR(MATCH(ROW()-1,$V$2:$V$1201,0),"")</f>
        <v/>
      </c>
      <c r="R768" s="0" t="str">
        <f aca="false">IF(E768="","",IFERROR(LEFT(E768,FIND("-",E768)-1),E768))</f>
        <v/>
      </c>
      <c r="S768" s="0" t="str">
        <f aca="false">IF(R768="","",IF(ISNUMBER(--MID(R768,1,1)),0,IF(ISNUMBER(--MID(R768,2,1)),1,IF(ISNUMBER(--MID(R768,3,1)),2,IF(ISNUMBER(--MID(R768,4,1)),3,MIN(LEN(R768),4))))))</f>
        <v/>
      </c>
      <c r="T768" s="0" t="str">
        <f aca="false">IF(E768="","",LEFT(R768,S768)&amp;REPT("0",4-S768)&amp;RIGHT("000"&amp;IFERROR(VALUE(MID(R768,S768+1,9)),0),3)&amp;RIGHT("0000"&amp;IFERROR(VALUE(MID(E768,FIND("-",E768)+1,9)),0),4))</f>
        <v/>
      </c>
      <c r="U768" s="0" t="str">
        <f aca="false">IF(I768=1,"K"&amp;RIGHT("00"&amp;A768,2)&amp;T768&amp;RIGHT("00000"&amp;ROW(),5),"")</f>
        <v/>
      </c>
      <c r="V768" s="0" t="str">
        <f aca="false">IF(U768="","",COUNTIFS($I$2:$I$1201,1,$U$2:$U$1201,"&lt;"&amp;U768)+1)</f>
        <v/>
      </c>
    </row>
    <row r="769" customFormat="false" ht="15" hidden="false" customHeight="false" outlineLevel="0" collapsed="false">
      <c r="A769" s="0" t="n">
        <v>13</v>
      </c>
      <c r="B769" s="0" t="n">
        <v>48</v>
      </c>
      <c r="C769" s="0" t="str">
        <f aca="false">TRIM(SUBSTITUTE(INDEX(LISTAS!$A$4:$T$63,B769,A769)&amp;"",CHAR(160)," "))</f>
        <v/>
      </c>
      <c r="D769" s="0" t="str">
        <f aca="false">IF(C769="","",TRIM(RIGHT(SUBSTITUTE(C769," ",REPT(" ",100)),100)))</f>
        <v/>
      </c>
      <c r="E769" s="0" t="str">
        <f aca="false">IF(D769="","",UPPER(SUBSTITUTE(SUBSTITUTE(D769,"(",""),")","")))</f>
        <v/>
      </c>
      <c r="F769" s="0" t="str">
        <f aca="false">IF(C769="","",LEFT(C769,FIND(" ",C769&amp;" ")-1))</f>
        <v/>
      </c>
      <c r="G769" s="0" t="n">
        <f aca="false">IFERROR(VALUE(SUBSTITUTE(LOWER(F769),"x","")),0)</f>
        <v>0</v>
      </c>
      <c r="H769" s="0" t="str">
        <f aca="false">IF(C769="","",TRIM(MID(C769,LEN(F769)+2,999)))</f>
        <v/>
      </c>
      <c r="I769" s="0" t="n">
        <f aca="false">IF(OR(C769="",LEFT(C769,2)="//"),0,IFERROR(IF(AND(G769&gt;0,G769=INT(G769),FIND("-",E769)&gt;1,NOT(EXACT(UPPER(LEFT(E769,1)),LOWER(LEFT(E769,1)))),ISNUMBER(VALUE(MID(E769,FIND("-",E769)+1,10)))),1,0),0))</f>
        <v>0</v>
      </c>
      <c r="J769" s="0" t="str">
        <f aca="false">IF(I769=1,TRIM(LEFT(H769,MAX(0,LEN(H769)-LEN(D769)))),"")</f>
        <v/>
      </c>
      <c r="K769" s="0" t="str">
        <f aca="false">INDEX($P$2:$P$21,A769)</f>
        <v>Deck 13</v>
      </c>
      <c r="L769" s="0" t="n">
        <f aca="false">IF(AND(C769&lt;&gt;"",LEFT(C769,2)&lt;&gt;"//",I769=0),1,0)</f>
        <v>0</v>
      </c>
      <c r="M769" s="0" t="str">
        <f aca="false">IF(I769=1,MAX(M$1:M768)+1,"")</f>
        <v/>
      </c>
      <c r="N769" s="0" t="str">
        <f aca="false">IFERROR(MATCH(ROW()-1,$V$2:$V$1201,0),"")</f>
        <v/>
      </c>
      <c r="R769" s="0" t="str">
        <f aca="false">IF(E769="","",IFERROR(LEFT(E769,FIND("-",E769)-1),E769))</f>
        <v/>
      </c>
      <c r="S769" s="0" t="str">
        <f aca="false">IF(R769="","",IF(ISNUMBER(--MID(R769,1,1)),0,IF(ISNUMBER(--MID(R769,2,1)),1,IF(ISNUMBER(--MID(R769,3,1)),2,IF(ISNUMBER(--MID(R769,4,1)),3,MIN(LEN(R769),4))))))</f>
        <v/>
      </c>
      <c r="T769" s="0" t="str">
        <f aca="false">IF(E769="","",LEFT(R769,S769)&amp;REPT("0",4-S769)&amp;RIGHT("000"&amp;IFERROR(VALUE(MID(R769,S769+1,9)),0),3)&amp;RIGHT("0000"&amp;IFERROR(VALUE(MID(E769,FIND("-",E769)+1,9)),0),4))</f>
        <v/>
      </c>
      <c r="U769" s="0" t="str">
        <f aca="false">IF(I769=1,"K"&amp;RIGHT("00"&amp;A769,2)&amp;T769&amp;RIGHT("00000"&amp;ROW(),5),"")</f>
        <v/>
      </c>
      <c r="V769" s="0" t="str">
        <f aca="false">IF(U769="","",COUNTIFS($I$2:$I$1201,1,$U$2:$U$1201,"&lt;"&amp;U769)+1)</f>
        <v/>
      </c>
    </row>
    <row r="770" customFormat="false" ht="15" hidden="false" customHeight="false" outlineLevel="0" collapsed="false">
      <c r="A770" s="0" t="n">
        <v>13</v>
      </c>
      <c r="B770" s="0" t="n">
        <v>49</v>
      </c>
      <c r="C770" s="0" t="str">
        <f aca="false">TRIM(SUBSTITUTE(INDEX(LISTAS!$A$4:$T$63,B770,A770)&amp;"",CHAR(160)," "))</f>
        <v/>
      </c>
      <c r="D770" s="0" t="str">
        <f aca="false">IF(C770="","",TRIM(RIGHT(SUBSTITUTE(C770," ",REPT(" ",100)),100)))</f>
        <v/>
      </c>
      <c r="E770" s="0" t="str">
        <f aca="false">IF(D770="","",UPPER(SUBSTITUTE(SUBSTITUTE(D770,"(",""),")","")))</f>
        <v/>
      </c>
      <c r="F770" s="0" t="str">
        <f aca="false">IF(C770="","",LEFT(C770,FIND(" ",C770&amp;" ")-1))</f>
        <v/>
      </c>
      <c r="G770" s="0" t="n">
        <f aca="false">IFERROR(VALUE(SUBSTITUTE(LOWER(F770),"x","")),0)</f>
        <v>0</v>
      </c>
      <c r="H770" s="0" t="str">
        <f aca="false">IF(C770="","",TRIM(MID(C770,LEN(F770)+2,999)))</f>
        <v/>
      </c>
      <c r="I770" s="0" t="n">
        <f aca="false">IF(OR(C770="",LEFT(C770,2)="//"),0,IFERROR(IF(AND(G770&gt;0,G770=INT(G770),FIND("-",E770)&gt;1,NOT(EXACT(UPPER(LEFT(E770,1)),LOWER(LEFT(E770,1)))),ISNUMBER(VALUE(MID(E770,FIND("-",E770)+1,10)))),1,0),0))</f>
        <v>0</v>
      </c>
      <c r="J770" s="0" t="str">
        <f aca="false">IF(I770=1,TRIM(LEFT(H770,MAX(0,LEN(H770)-LEN(D770)))),"")</f>
        <v/>
      </c>
      <c r="K770" s="0" t="str">
        <f aca="false">INDEX($P$2:$P$21,A770)</f>
        <v>Deck 13</v>
      </c>
      <c r="L770" s="0" t="n">
        <f aca="false">IF(AND(C770&lt;&gt;"",LEFT(C770,2)&lt;&gt;"//",I770=0),1,0)</f>
        <v>0</v>
      </c>
      <c r="M770" s="0" t="str">
        <f aca="false">IF(I770=1,MAX(M$1:M769)+1,"")</f>
        <v/>
      </c>
      <c r="N770" s="0" t="str">
        <f aca="false">IFERROR(MATCH(ROW()-1,$V$2:$V$1201,0),"")</f>
        <v/>
      </c>
      <c r="R770" s="0" t="str">
        <f aca="false">IF(E770="","",IFERROR(LEFT(E770,FIND("-",E770)-1),E770))</f>
        <v/>
      </c>
      <c r="S770" s="0" t="str">
        <f aca="false">IF(R770="","",IF(ISNUMBER(--MID(R770,1,1)),0,IF(ISNUMBER(--MID(R770,2,1)),1,IF(ISNUMBER(--MID(R770,3,1)),2,IF(ISNUMBER(--MID(R770,4,1)),3,MIN(LEN(R770),4))))))</f>
        <v/>
      </c>
      <c r="T770" s="0" t="str">
        <f aca="false">IF(E770="","",LEFT(R770,S770)&amp;REPT("0",4-S770)&amp;RIGHT("000"&amp;IFERROR(VALUE(MID(R770,S770+1,9)),0),3)&amp;RIGHT("0000"&amp;IFERROR(VALUE(MID(E770,FIND("-",E770)+1,9)),0),4))</f>
        <v/>
      </c>
      <c r="U770" s="0" t="str">
        <f aca="false">IF(I770=1,"K"&amp;RIGHT("00"&amp;A770,2)&amp;T770&amp;RIGHT("00000"&amp;ROW(),5),"")</f>
        <v/>
      </c>
      <c r="V770" s="0" t="str">
        <f aca="false">IF(U770="","",COUNTIFS($I$2:$I$1201,1,$U$2:$U$1201,"&lt;"&amp;U770)+1)</f>
        <v/>
      </c>
    </row>
    <row r="771" customFormat="false" ht="15" hidden="false" customHeight="false" outlineLevel="0" collapsed="false">
      <c r="A771" s="0" t="n">
        <v>13</v>
      </c>
      <c r="B771" s="0" t="n">
        <v>50</v>
      </c>
      <c r="C771" s="0" t="str">
        <f aca="false">TRIM(SUBSTITUTE(INDEX(LISTAS!$A$4:$T$63,B771,A771)&amp;"",CHAR(160)," "))</f>
        <v/>
      </c>
      <c r="D771" s="0" t="str">
        <f aca="false">IF(C771="","",TRIM(RIGHT(SUBSTITUTE(C771," ",REPT(" ",100)),100)))</f>
        <v/>
      </c>
      <c r="E771" s="0" t="str">
        <f aca="false">IF(D771="","",UPPER(SUBSTITUTE(SUBSTITUTE(D771,"(",""),")","")))</f>
        <v/>
      </c>
      <c r="F771" s="0" t="str">
        <f aca="false">IF(C771="","",LEFT(C771,FIND(" ",C771&amp;" ")-1))</f>
        <v/>
      </c>
      <c r="G771" s="0" t="n">
        <f aca="false">IFERROR(VALUE(SUBSTITUTE(LOWER(F771),"x","")),0)</f>
        <v>0</v>
      </c>
      <c r="H771" s="0" t="str">
        <f aca="false">IF(C771="","",TRIM(MID(C771,LEN(F771)+2,999)))</f>
        <v/>
      </c>
      <c r="I771" s="0" t="n">
        <f aca="false">IF(OR(C771="",LEFT(C771,2)="//"),0,IFERROR(IF(AND(G771&gt;0,G771=INT(G771),FIND("-",E771)&gt;1,NOT(EXACT(UPPER(LEFT(E771,1)),LOWER(LEFT(E771,1)))),ISNUMBER(VALUE(MID(E771,FIND("-",E771)+1,10)))),1,0),0))</f>
        <v>0</v>
      </c>
      <c r="J771" s="0" t="str">
        <f aca="false">IF(I771=1,TRIM(LEFT(H771,MAX(0,LEN(H771)-LEN(D771)))),"")</f>
        <v/>
      </c>
      <c r="K771" s="0" t="str">
        <f aca="false">INDEX($P$2:$P$21,A771)</f>
        <v>Deck 13</v>
      </c>
      <c r="L771" s="0" t="n">
        <f aca="false">IF(AND(C771&lt;&gt;"",LEFT(C771,2)&lt;&gt;"//",I771=0),1,0)</f>
        <v>0</v>
      </c>
      <c r="M771" s="0" t="str">
        <f aca="false">IF(I771=1,MAX(M$1:M770)+1,"")</f>
        <v/>
      </c>
      <c r="N771" s="0" t="str">
        <f aca="false">IFERROR(MATCH(ROW()-1,$V$2:$V$1201,0),"")</f>
        <v/>
      </c>
      <c r="R771" s="0" t="str">
        <f aca="false">IF(E771="","",IFERROR(LEFT(E771,FIND("-",E771)-1),E771))</f>
        <v/>
      </c>
      <c r="S771" s="0" t="str">
        <f aca="false">IF(R771="","",IF(ISNUMBER(--MID(R771,1,1)),0,IF(ISNUMBER(--MID(R771,2,1)),1,IF(ISNUMBER(--MID(R771,3,1)),2,IF(ISNUMBER(--MID(R771,4,1)),3,MIN(LEN(R771),4))))))</f>
        <v/>
      </c>
      <c r="T771" s="0" t="str">
        <f aca="false">IF(E771="","",LEFT(R771,S771)&amp;REPT("0",4-S771)&amp;RIGHT("000"&amp;IFERROR(VALUE(MID(R771,S771+1,9)),0),3)&amp;RIGHT("0000"&amp;IFERROR(VALUE(MID(E771,FIND("-",E771)+1,9)),0),4))</f>
        <v/>
      </c>
      <c r="U771" s="0" t="str">
        <f aca="false">IF(I771=1,"K"&amp;RIGHT("00"&amp;A771,2)&amp;T771&amp;RIGHT("00000"&amp;ROW(),5),"")</f>
        <v/>
      </c>
      <c r="V771" s="0" t="str">
        <f aca="false">IF(U771="","",COUNTIFS($I$2:$I$1201,1,$U$2:$U$1201,"&lt;"&amp;U771)+1)</f>
        <v/>
      </c>
    </row>
    <row r="772" customFormat="false" ht="15" hidden="false" customHeight="false" outlineLevel="0" collapsed="false">
      <c r="A772" s="0" t="n">
        <v>13</v>
      </c>
      <c r="B772" s="0" t="n">
        <v>51</v>
      </c>
      <c r="C772" s="0" t="str">
        <f aca="false">TRIM(SUBSTITUTE(INDEX(LISTAS!$A$4:$T$63,B772,A772)&amp;"",CHAR(160)," "))</f>
        <v/>
      </c>
      <c r="D772" s="0" t="str">
        <f aca="false">IF(C772="","",TRIM(RIGHT(SUBSTITUTE(C772," ",REPT(" ",100)),100)))</f>
        <v/>
      </c>
      <c r="E772" s="0" t="str">
        <f aca="false">IF(D772="","",UPPER(SUBSTITUTE(SUBSTITUTE(D772,"(",""),")","")))</f>
        <v/>
      </c>
      <c r="F772" s="0" t="str">
        <f aca="false">IF(C772="","",LEFT(C772,FIND(" ",C772&amp;" ")-1))</f>
        <v/>
      </c>
      <c r="G772" s="0" t="n">
        <f aca="false">IFERROR(VALUE(SUBSTITUTE(LOWER(F772),"x","")),0)</f>
        <v>0</v>
      </c>
      <c r="H772" s="0" t="str">
        <f aca="false">IF(C772="","",TRIM(MID(C772,LEN(F772)+2,999)))</f>
        <v/>
      </c>
      <c r="I772" s="0" t="n">
        <f aca="false">IF(OR(C772="",LEFT(C772,2)="//"),0,IFERROR(IF(AND(G772&gt;0,G772=INT(G772),FIND("-",E772)&gt;1,NOT(EXACT(UPPER(LEFT(E772,1)),LOWER(LEFT(E772,1)))),ISNUMBER(VALUE(MID(E772,FIND("-",E772)+1,10)))),1,0),0))</f>
        <v>0</v>
      </c>
      <c r="J772" s="0" t="str">
        <f aca="false">IF(I772=1,TRIM(LEFT(H772,MAX(0,LEN(H772)-LEN(D772)))),"")</f>
        <v/>
      </c>
      <c r="K772" s="0" t="str">
        <f aca="false">INDEX($P$2:$P$21,A772)</f>
        <v>Deck 13</v>
      </c>
      <c r="L772" s="0" t="n">
        <f aca="false">IF(AND(C772&lt;&gt;"",LEFT(C772,2)&lt;&gt;"//",I772=0),1,0)</f>
        <v>0</v>
      </c>
      <c r="M772" s="0" t="str">
        <f aca="false">IF(I772=1,MAX(M$1:M771)+1,"")</f>
        <v/>
      </c>
      <c r="N772" s="0" t="str">
        <f aca="false">IFERROR(MATCH(ROW()-1,$V$2:$V$1201,0),"")</f>
        <v/>
      </c>
      <c r="R772" s="0" t="str">
        <f aca="false">IF(E772="","",IFERROR(LEFT(E772,FIND("-",E772)-1),E772))</f>
        <v/>
      </c>
      <c r="S772" s="0" t="str">
        <f aca="false">IF(R772="","",IF(ISNUMBER(--MID(R772,1,1)),0,IF(ISNUMBER(--MID(R772,2,1)),1,IF(ISNUMBER(--MID(R772,3,1)),2,IF(ISNUMBER(--MID(R772,4,1)),3,MIN(LEN(R772),4))))))</f>
        <v/>
      </c>
      <c r="T772" s="0" t="str">
        <f aca="false">IF(E772="","",LEFT(R772,S772)&amp;REPT("0",4-S772)&amp;RIGHT("000"&amp;IFERROR(VALUE(MID(R772,S772+1,9)),0),3)&amp;RIGHT("0000"&amp;IFERROR(VALUE(MID(E772,FIND("-",E772)+1,9)),0),4))</f>
        <v/>
      </c>
      <c r="U772" s="0" t="str">
        <f aca="false">IF(I772=1,"K"&amp;RIGHT("00"&amp;A772,2)&amp;T772&amp;RIGHT("00000"&amp;ROW(),5),"")</f>
        <v/>
      </c>
      <c r="V772" s="0" t="str">
        <f aca="false">IF(U772="","",COUNTIFS($I$2:$I$1201,1,$U$2:$U$1201,"&lt;"&amp;U772)+1)</f>
        <v/>
      </c>
    </row>
    <row r="773" customFormat="false" ht="15" hidden="false" customHeight="false" outlineLevel="0" collapsed="false">
      <c r="A773" s="0" t="n">
        <v>13</v>
      </c>
      <c r="B773" s="0" t="n">
        <v>52</v>
      </c>
      <c r="C773" s="0" t="str">
        <f aca="false">TRIM(SUBSTITUTE(INDEX(LISTAS!$A$4:$T$63,B773,A773)&amp;"",CHAR(160)," "))</f>
        <v/>
      </c>
      <c r="D773" s="0" t="str">
        <f aca="false">IF(C773="","",TRIM(RIGHT(SUBSTITUTE(C773," ",REPT(" ",100)),100)))</f>
        <v/>
      </c>
      <c r="E773" s="0" t="str">
        <f aca="false">IF(D773="","",UPPER(SUBSTITUTE(SUBSTITUTE(D773,"(",""),")","")))</f>
        <v/>
      </c>
      <c r="F773" s="0" t="str">
        <f aca="false">IF(C773="","",LEFT(C773,FIND(" ",C773&amp;" ")-1))</f>
        <v/>
      </c>
      <c r="G773" s="0" t="n">
        <f aca="false">IFERROR(VALUE(SUBSTITUTE(LOWER(F773),"x","")),0)</f>
        <v>0</v>
      </c>
      <c r="H773" s="0" t="str">
        <f aca="false">IF(C773="","",TRIM(MID(C773,LEN(F773)+2,999)))</f>
        <v/>
      </c>
      <c r="I773" s="0" t="n">
        <f aca="false">IF(OR(C773="",LEFT(C773,2)="//"),0,IFERROR(IF(AND(G773&gt;0,G773=INT(G773),FIND("-",E773)&gt;1,NOT(EXACT(UPPER(LEFT(E773,1)),LOWER(LEFT(E773,1)))),ISNUMBER(VALUE(MID(E773,FIND("-",E773)+1,10)))),1,0),0))</f>
        <v>0</v>
      </c>
      <c r="J773" s="0" t="str">
        <f aca="false">IF(I773=1,TRIM(LEFT(H773,MAX(0,LEN(H773)-LEN(D773)))),"")</f>
        <v/>
      </c>
      <c r="K773" s="0" t="str">
        <f aca="false">INDEX($P$2:$P$21,A773)</f>
        <v>Deck 13</v>
      </c>
      <c r="L773" s="0" t="n">
        <f aca="false">IF(AND(C773&lt;&gt;"",LEFT(C773,2)&lt;&gt;"//",I773=0),1,0)</f>
        <v>0</v>
      </c>
      <c r="M773" s="0" t="str">
        <f aca="false">IF(I773=1,MAX(M$1:M772)+1,"")</f>
        <v/>
      </c>
      <c r="N773" s="0" t="str">
        <f aca="false">IFERROR(MATCH(ROW()-1,$V$2:$V$1201,0),"")</f>
        <v/>
      </c>
      <c r="R773" s="0" t="str">
        <f aca="false">IF(E773="","",IFERROR(LEFT(E773,FIND("-",E773)-1),E773))</f>
        <v/>
      </c>
      <c r="S773" s="0" t="str">
        <f aca="false">IF(R773="","",IF(ISNUMBER(--MID(R773,1,1)),0,IF(ISNUMBER(--MID(R773,2,1)),1,IF(ISNUMBER(--MID(R773,3,1)),2,IF(ISNUMBER(--MID(R773,4,1)),3,MIN(LEN(R773),4))))))</f>
        <v/>
      </c>
      <c r="T773" s="0" t="str">
        <f aca="false">IF(E773="","",LEFT(R773,S773)&amp;REPT("0",4-S773)&amp;RIGHT("000"&amp;IFERROR(VALUE(MID(R773,S773+1,9)),0),3)&amp;RIGHT("0000"&amp;IFERROR(VALUE(MID(E773,FIND("-",E773)+1,9)),0),4))</f>
        <v/>
      </c>
      <c r="U773" s="0" t="str">
        <f aca="false">IF(I773=1,"K"&amp;RIGHT("00"&amp;A773,2)&amp;T773&amp;RIGHT("00000"&amp;ROW(),5),"")</f>
        <v/>
      </c>
      <c r="V773" s="0" t="str">
        <f aca="false">IF(U773="","",COUNTIFS($I$2:$I$1201,1,$U$2:$U$1201,"&lt;"&amp;U773)+1)</f>
        <v/>
      </c>
    </row>
    <row r="774" customFormat="false" ht="15" hidden="false" customHeight="false" outlineLevel="0" collapsed="false">
      <c r="A774" s="0" t="n">
        <v>13</v>
      </c>
      <c r="B774" s="0" t="n">
        <v>53</v>
      </c>
      <c r="C774" s="0" t="str">
        <f aca="false">TRIM(SUBSTITUTE(INDEX(LISTAS!$A$4:$T$63,B774,A774)&amp;"",CHAR(160)," "))</f>
        <v/>
      </c>
      <c r="D774" s="0" t="str">
        <f aca="false">IF(C774="","",TRIM(RIGHT(SUBSTITUTE(C774," ",REPT(" ",100)),100)))</f>
        <v/>
      </c>
      <c r="E774" s="0" t="str">
        <f aca="false">IF(D774="","",UPPER(SUBSTITUTE(SUBSTITUTE(D774,"(",""),")","")))</f>
        <v/>
      </c>
      <c r="F774" s="0" t="str">
        <f aca="false">IF(C774="","",LEFT(C774,FIND(" ",C774&amp;" ")-1))</f>
        <v/>
      </c>
      <c r="G774" s="0" t="n">
        <f aca="false">IFERROR(VALUE(SUBSTITUTE(LOWER(F774),"x","")),0)</f>
        <v>0</v>
      </c>
      <c r="H774" s="0" t="str">
        <f aca="false">IF(C774="","",TRIM(MID(C774,LEN(F774)+2,999)))</f>
        <v/>
      </c>
      <c r="I774" s="0" t="n">
        <f aca="false">IF(OR(C774="",LEFT(C774,2)="//"),0,IFERROR(IF(AND(G774&gt;0,G774=INT(G774),FIND("-",E774)&gt;1,NOT(EXACT(UPPER(LEFT(E774,1)),LOWER(LEFT(E774,1)))),ISNUMBER(VALUE(MID(E774,FIND("-",E774)+1,10)))),1,0),0))</f>
        <v>0</v>
      </c>
      <c r="J774" s="0" t="str">
        <f aca="false">IF(I774=1,TRIM(LEFT(H774,MAX(0,LEN(H774)-LEN(D774)))),"")</f>
        <v/>
      </c>
      <c r="K774" s="0" t="str">
        <f aca="false">INDEX($P$2:$P$21,A774)</f>
        <v>Deck 13</v>
      </c>
      <c r="L774" s="0" t="n">
        <f aca="false">IF(AND(C774&lt;&gt;"",LEFT(C774,2)&lt;&gt;"//",I774=0),1,0)</f>
        <v>0</v>
      </c>
      <c r="M774" s="0" t="str">
        <f aca="false">IF(I774=1,MAX(M$1:M773)+1,"")</f>
        <v/>
      </c>
      <c r="N774" s="0" t="str">
        <f aca="false">IFERROR(MATCH(ROW()-1,$V$2:$V$1201,0),"")</f>
        <v/>
      </c>
      <c r="R774" s="0" t="str">
        <f aca="false">IF(E774="","",IFERROR(LEFT(E774,FIND("-",E774)-1),E774))</f>
        <v/>
      </c>
      <c r="S774" s="0" t="str">
        <f aca="false">IF(R774="","",IF(ISNUMBER(--MID(R774,1,1)),0,IF(ISNUMBER(--MID(R774,2,1)),1,IF(ISNUMBER(--MID(R774,3,1)),2,IF(ISNUMBER(--MID(R774,4,1)),3,MIN(LEN(R774),4))))))</f>
        <v/>
      </c>
      <c r="T774" s="0" t="str">
        <f aca="false">IF(E774="","",LEFT(R774,S774)&amp;REPT("0",4-S774)&amp;RIGHT("000"&amp;IFERROR(VALUE(MID(R774,S774+1,9)),0),3)&amp;RIGHT("0000"&amp;IFERROR(VALUE(MID(E774,FIND("-",E774)+1,9)),0),4))</f>
        <v/>
      </c>
      <c r="U774" s="0" t="str">
        <f aca="false">IF(I774=1,"K"&amp;RIGHT("00"&amp;A774,2)&amp;T774&amp;RIGHT("00000"&amp;ROW(),5),"")</f>
        <v/>
      </c>
      <c r="V774" s="0" t="str">
        <f aca="false">IF(U774="","",COUNTIFS($I$2:$I$1201,1,$U$2:$U$1201,"&lt;"&amp;U774)+1)</f>
        <v/>
      </c>
    </row>
    <row r="775" customFormat="false" ht="15" hidden="false" customHeight="false" outlineLevel="0" collapsed="false">
      <c r="A775" s="0" t="n">
        <v>13</v>
      </c>
      <c r="B775" s="0" t="n">
        <v>54</v>
      </c>
      <c r="C775" s="0" t="str">
        <f aca="false">TRIM(SUBSTITUTE(INDEX(LISTAS!$A$4:$T$63,B775,A775)&amp;"",CHAR(160)," "))</f>
        <v/>
      </c>
      <c r="D775" s="0" t="str">
        <f aca="false">IF(C775="","",TRIM(RIGHT(SUBSTITUTE(C775," ",REPT(" ",100)),100)))</f>
        <v/>
      </c>
      <c r="E775" s="0" t="str">
        <f aca="false">IF(D775="","",UPPER(SUBSTITUTE(SUBSTITUTE(D775,"(",""),")","")))</f>
        <v/>
      </c>
      <c r="F775" s="0" t="str">
        <f aca="false">IF(C775="","",LEFT(C775,FIND(" ",C775&amp;" ")-1))</f>
        <v/>
      </c>
      <c r="G775" s="0" t="n">
        <f aca="false">IFERROR(VALUE(SUBSTITUTE(LOWER(F775),"x","")),0)</f>
        <v>0</v>
      </c>
      <c r="H775" s="0" t="str">
        <f aca="false">IF(C775="","",TRIM(MID(C775,LEN(F775)+2,999)))</f>
        <v/>
      </c>
      <c r="I775" s="0" t="n">
        <f aca="false">IF(OR(C775="",LEFT(C775,2)="//"),0,IFERROR(IF(AND(G775&gt;0,G775=INT(G775),FIND("-",E775)&gt;1,NOT(EXACT(UPPER(LEFT(E775,1)),LOWER(LEFT(E775,1)))),ISNUMBER(VALUE(MID(E775,FIND("-",E775)+1,10)))),1,0),0))</f>
        <v>0</v>
      </c>
      <c r="J775" s="0" t="str">
        <f aca="false">IF(I775=1,TRIM(LEFT(H775,MAX(0,LEN(H775)-LEN(D775)))),"")</f>
        <v/>
      </c>
      <c r="K775" s="0" t="str">
        <f aca="false">INDEX($P$2:$P$21,A775)</f>
        <v>Deck 13</v>
      </c>
      <c r="L775" s="0" t="n">
        <f aca="false">IF(AND(C775&lt;&gt;"",LEFT(C775,2)&lt;&gt;"//",I775=0),1,0)</f>
        <v>0</v>
      </c>
      <c r="M775" s="0" t="str">
        <f aca="false">IF(I775=1,MAX(M$1:M774)+1,"")</f>
        <v/>
      </c>
      <c r="N775" s="0" t="str">
        <f aca="false">IFERROR(MATCH(ROW()-1,$V$2:$V$1201,0),"")</f>
        <v/>
      </c>
      <c r="R775" s="0" t="str">
        <f aca="false">IF(E775="","",IFERROR(LEFT(E775,FIND("-",E775)-1),E775))</f>
        <v/>
      </c>
      <c r="S775" s="0" t="str">
        <f aca="false">IF(R775="","",IF(ISNUMBER(--MID(R775,1,1)),0,IF(ISNUMBER(--MID(R775,2,1)),1,IF(ISNUMBER(--MID(R775,3,1)),2,IF(ISNUMBER(--MID(R775,4,1)),3,MIN(LEN(R775),4))))))</f>
        <v/>
      </c>
      <c r="T775" s="0" t="str">
        <f aca="false">IF(E775="","",LEFT(R775,S775)&amp;REPT("0",4-S775)&amp;RIGHT("000"&amp;IFERROR(VALUE(MID(R775,S775+1,9)),0),3)&amp;RIGHT("0000"&amp;IFERROR(VALUE(MID(E775,FIND("-",E775)+1,9)),0),4))</f>
        <v/>
      </c>
      <c r="U775" s="0" t="str">
        <f aca="false">IF(I775=1,"K"&amp;RIGHT("00"&amp;A775,2)&amp;T775&amp;RIGHT("00000"&amp;ROW(),5),"")</f>
        <v/>
      </c>
      <c r="V775" s="0" t="str">
        <f aca="false">IF(U775="","",COUNTIFS($I$2:$I$1201,1,$U$2:$U$1201,"&lt;"&amp;U775)+1)</f>
        <v/>
      </c>
    </row>
    <row r="776" customFormat="false" ht="15" hidden="false" customHeight="false" outlineLevel="0" collapsed="false">
      <c r="A776" s="0" t="n">
        <v>13</v>
      </c>
      <c r="B776" s="0" t="n">
        <v>55</v>
      </c>
      <c r="C776" s="0" t="str">
        <f aca="false">TRIM(SUBSTITUTE(INDEX(LISTAS!$A$4:$T$63,B776,A776)&amp;"",CHAR(160)," "))</f>
        <v/>
      </c>
      <c r="D776" s="0" t="str">
        <f aca="false">IF(C776="","",TRIM(RIGHT(SUBSTITUTE(C776," ",REPT(" ",100)),100)))</f>
        <v/>
      </c>
      <c r="E776" s="0" t="str">
        <f aca="false">IF(D776="","",UPPER(SUBSTITUTE(SUBSTITUTE(D776,"(",""),")","")))</f>
        <v/>
      </c>
      <c r="F776" s="0" t="str">
        <f aca="false">IF(C776="","",LEFT(C776,FIND(" ",C776&amp;" ")-1))</f>
        <v/>
      </c>
      <c r="G776" s="0" t="n">
        <f aca="false">IFERROR(VALUE(SUBSTITUTE(LOWER(F776),"x","")),0)</f>
        <v>0</v>
      </c>
      <c r="H776" s="0" t="str">
        <f aca="false">IF(C776="","",TRIM(MID(C776,LEN(F776)+2,999)))</f>
        <v/>
      </c>
      <c r="I776" s="0" t="n">
        <f aca="false">IF(OR(C776="",LEFT(C776,2)="//"),0,IFERROR(IF(AND(G776&gt;0,G776=INT(G776),FIND("-",E776)&gt;1,NOT(EXACT(UPPER(LEFT(E776,1)),LOWER(LEFT(E776,1)))),ISNUMBER(VALUE(MID(E776,FIND("-",E776)+1,10)))),1,0),0))</f>
        <v>0</v>
      </c>
      <c r="J776" s="0" t="str">
        <f aca="false">IF(I776=1,TRIM(LEFT(H776,MAX(0,LEN(H776)-LEN(D776)))),"")</f>
        <v/>
      </c>
      <c r="K776" s="0" t="str">
        <f aca="false">INDEX($P$2:$P$21,A776)</f>
        <v>Deck 13</v>
      </c>
      <c r="L776" s="0" t="n">
        <f aca="false">IF(AND(C776&lt;&gt;"",LEFT(C776,2)&lt;&gt;"//",I776=0),1,0)</f>
        <v>0</v>
      </c>
      <c r="M776" s="0" t="str">
        <f aca="false">IF(I776=1,MAX(M$1:M775)+1,"")</f>
        <v/>
      </c>
      <c r="N776" s="0" t="str">
        <f aca="false">IFERROR(MATCH(ROW()-1,$V$2:$V$1201,0),"")</f>
        <v/>
      </c>
      <c r="R776" s="0" t="str">
        <f aca="false">IF(E776="","",IFERROR(LEFT(E776,FIND("-",E776)-1),E776))</f>
        <v/>
      </c>
      <c r="S776" s="0" t="str">
        <f aca="false">IF(R776="","",IF(ISNUMBER(--MID(R776,1,1)),0,IF(ISNUMBER(--MID(R776,2,1)),1,IF(ISNUMBER(--MID(R776,3,1)),2,IF(ISNUMBER(--MID(R776,4,1)),3,MIN(LEN(R776),4))))))</f>
        <v/>
      </c>
      <c r="T776" s="0" t="str">
        <f aca="false">IF(E776="","",LEFT(R776,S776)&amp;REPT("0",4-S776)&amp;RIGHT("000"&amp;IFERROR(VALUE(MID(R776,S776+1,9)),0),3)&amp;RIGHT("0000"&amp;IFERROR(VALUE(MID(E776,FIND("-",E776)+1,9)),0),4))</f>
        <v/>
      </c>
      <c r="U776" s="0" t="str">
        <f aca="false">IF(I776=1,"K"&amp;RIGHT("00"&amp;A776,2)&amp;T776&amp;RIGHT("00000"&amp;ROW(),5),"")</f>
        <v/>
      </c>
      <c r="V776" s="0" t="str">
        <f aca="false">IF(U776="","",COUNTIFS($I$2:$I$1201,1,$U$2:$U$1201,"&lt;"&amp;U776)+1)</f>
        <v/>
      </c>
    </row>
    <row r="777" customFormat="false" ht="15" hidden="false" customHeight="false" outlineLevel="0" collapsed="false">
      <c r="A777" s="0" t="n">
        <v>13</v>
      </c>
      <c r="B777" s="0" t="n">
        <v>56</v>
      </c>
      <c r="C777" s="0" t="str">
        <f aca="false">TRIM(SUBSTITUTE(INDEX(LISTAS!$A$4:$T$63,B777,A777)&amp;"",CHAR(160)," "))</f>
        <v/>
      </c>
      <c r="D777" s="0" t="str">
        <f aca="false">IF(C777="","",TRIM(RIGHT(SUBSTITUTE(C777," ",REPT(" ",100)),100)))</f>
        <v/>
      </c>
      <c r="E777" s="0" t="str">
        <f aca="false">IF(D777="","",UPPER(SUBSTITUTE(SUBSTITUTE(D777,"(",""),")","")))</f>
        <v/>
      </c>
      <c r="F777" s="0" t="str">
        <f aca="false">IF(C777="","",LEFT(C777,FIND(" ",C777&amp;" ")-1))</f>
        <v/>
      </c>
      <c r="G777" s="0" t="n">
        <f aca="false">IFERROR(VALUE(SUBSTITUTE(LOWER(F777),"x","")),0)</f>
        <v>0</v>
      </c>
      <c r="H777" s="0" t="str">
        <f aca="false">IF(C777="","",TRIM(MID(C777,LEN(F777)+2,999)))</f>
        <v/>
      </c>
      <c r="I777" s="0" t="n">
        <f aca="false">IF(OR(C777="",LEFT(C777,2)="//"),0,IFERROR(IF(AND(G777&gt;0,G777=INT(G777),FIND("-",E777)&gt;1,NOT(EXACT(UPPER(LEFT(E777,1)),LOWER(LEFT(E777,1)))),ISNUMBER(VALUE(MID(E777,FIND("-",E777)+1,10)))),1,0),0))</f>
        <v>0</v>
      </c>
      <c r="J777" s="0" t="str">
        <f aca="false">IF(I777=1,TRIM(LEFT(H777,MAX(0,LEN(H777)-LEN(D777)))),"")</f>
        <v/>
      </c>
      <c r="K777" s="0" t="str">
        <f aca="false">INDEX($P$2:$P$21,A777)</f>
        <v>Deck 13</v>
      </c>
      <c r="L777" s="0" t="n">
        <f aca="false">IF(AND(C777&lt;&gt;"",LEFT(C777,2)&lt;&gt;"//",I777=0),1,0)</f>
        <v>0</v>
      </c>
      <c r="M777" s="0" t="str">
        <f aca="false">IF(I777=1,MAX(M$1:M776)+1,"")</f>
        <v/>
      </c>
      <c r="N777" s="0" t="str">
        <f aca="false">IFERROR(MATCH(ROW()-1,$V$2:$V$1201,0),"")</f>
        <v/>
      </c>
      <c r="R777" s="0" t="str">
        <f aca="false">IF(E777="","",IFERROR(LEFT(E777,FIND("-",E777)-1),E777))</f>
        <v/>
      </c>
      <c r="S777" s="0" t="str">
        <f aca="false">IF(R777="","",IF(ISNUMBER(--MID(R777,1,1)),0,IF(ISNUMBER(--MID(R777,2,1)),1,IF(ISNUMBER(--MID(R777,3,1)),2,IF(ISNUMBER(--MID(R777,4,1)),3,MIN(LEN(R777),4))))))</f>
        <v/>
      </c>
      <c r="T777" s="0" t="str">
        <f aca="false">IF(E777="","",LEFT(R777,S777)&amp;REPT("0",4-S777)&amp;RIGHT("000"&amp;IFERROR(VALUE(MID(R777,S777+1,9)),0),3)&amp;RIGHT("0000"&amp;IFERROR(VALUE(MID(E777,FIND("-",E777)+1,9)),0),4))</f>
        <v/>
      </c>
      <c r="U777" s="0" t="str">
        <f aca="false">IF(I777=1,"K"&amp;RIGHT("00"&amp;A777,2)&amp;T777&amp;RIGHT("00000"&amp;ROW(),5),"")</f>
        <v/>
      </c>
      <c r="V777" s="0" t="str">
        <f aca="false">IF(U777="","",COUNTIFS($I$2:$I$1201,1,$U$2:$U$1201,"&lt;"&amp;U777)+1)</f>
        <v/>
      </c>
    </row>
    <row r="778" customFormat="false" ht="15" hidden="false" customHeight="false" outlineLevel="0" collapsed="false">
      <c r="A778" s="0" t="n">
        <v>13</v>
      </c>
      <c r="B778" s="0" t="n">
        <v>57</v>
      </c>
      <c r="C778" s="0" t="str">
        <f aca="false">TRIM(SUBSTITUTE(INDEX(LISTAS!$A$4:$T$63,B778,A778)&amp;"",CHAR(160)," "))</f>
        <v/>
      </c>
      <c r="D778" s="0" t="str">
        <f aca="false">IF(C778="","",TRIM(RIGHT(SUBSTITUTE(C778," ",REPT(" ",100)),100)))</f>
        <v/>
      </c>
      <c r="E778" s="0" t="str">
        <f aca="false">IF(D778="","",UPPER(SUBSTITUTE(SUBSTITUTE(D778,"(",""),")","")))</f>
        <v/>
      </c>
      <c r="F778" s="0" t="str">
        <f aca="false">IF(C778="","",LEFT(C778,FIND(" ",C778&amp;" ")-1))</f>
        <v/>
      </c>
      <c r="G778" s="0" t="n">
        <f aca="false">IFERROR(VALUE(SUBSTITUTE(LOWER(F778),"x","")),0)</f>
        <v>0</v>
      </c>
      <c r="H778" s="0" t="str">
        <f aca="false">IF(C778="","",TRIM(MID(C778,LEN(F778)+2,999)))</f>
        <v/>
      </c>
      <c r="I778" s="0" t="n">
        <f aca="false">IF(OR(C778="",LEFT(C778,2)="//"),0,IFERROR(IF(AND(G778&gt;0,G778=INT(G778),FIND("-",E778)&gt;1,NOT(EXACT(UPPER(LEFT(E778,1)),LOWER(LEFT(E778,1)))),ISNUMBER(VALUE(MID(E778,FIND("-",E778)+1,10)))),1,0),0))</f>
        <v>0</v>
      </c>
      <c r="J778" s="0" t="str">
        <f aca="false">IF(I778=1,TRIM(LEFT(H778,MAX(0,LEN(H778)-LEN(D778)))),"")</f>
        <v/>
      </c>
      <c r="K778" s="0" t="str">
        <f aca="false">INDEX($P$2:$P$21,A778)</f>
        <v>Deck 13</v>
      </c>
      <c r="L778" s="0" t="n">
        <f aca="false">IF(AND(C778&lt;&gt;"",LEFT(C778,2)&lt;&gt;"//",I778=0),1,0)</f>
        <v>0</v>
      </c>
      <c r="M778" s="0" t="str">
        <f aca="false">IF(I778=1,MAX(M$1:M777)+1,"")</f>
        <v/>
      </c>
      <c r="N778" s="0" t="str">
        <f aca="false">IFERROR(MATCH(ROW()-1,$V$2:$V$1201,0),"")</f>
        <v/>
      </c>
      <c r="R778" s="0" t="str">
        <f aca="false">IF(E778="","",IFERROR(LEFT(E778,FIND("-",E778)-1),E778))</f>
        <v/>
      </c>
      <c r="S778" s="0" t="str">
        <f aca="false">IF(R778="","",IF(ISNUMBER(--MID(R778,1,1)),0,IF(ISNUMBER(--MID(R778,2,1)),1,IF(ISNUMBER(--MID(R778,3,1)),2,IF(ISNUMBER(--MID(R778,4,1)),3,MIN(LEN(R778),4))))))</f>
        <v/>
      </c>
      <c r="T778" s="0" t="str">
        <f aca="false">IF(E778="","",LEFT(R778,S778)&amp;REPT("0",4-S778)&amp;RIGHT("000"&amp;IFERROR(VALUE(MID(R778,S778+1,9)),0),3)&amp;RIGHT("0000"&amp;IFERROR(VALUE(MID(E778,FIND("-",E778)+1,9)),0),4))</f>
        <v/>
      </c>
      <c r="U778" s="0" t="str">
        <f aca="false">IF(I778=1,"K"&amp;RIGHT("00"&amp;A778,2)&amp;T778&amp;RIGHT("00000"&amp;ROW(),5),"")</f>
        <v/>
      </c>
      <c r="V778" s="0" t="str">
        <f aca="false">IF(U778="","",COUNTIFS($I$2:$I$1201,1,$U$2:$U$1201,"&lt;"&amp;U778)+1)</f>
        <v/>
      </c>
    </row>
    <row r="779" customFormat="false" ht="15" hidden="false" customHeight="false" outlineLevel="0" collapsed="false">
      <c r="A779" s="0" t="n">
        <v>13</v>
      </c>
      <c r="B779" s="0" t="n">
        <v>58</v>
      </c>
      <c r="C779" s="0" t="str">
        <f aca="false">TRIM(SUBSTITUTE(INDEX(LISTAS!$A$4:$T$63,B779,A779)&amp;"",CHAR(160)," "))</f>
        <v/>
      </c>
      <c r="D779" s="0" t="str">
        <f aca="false">IF(C779="","",TRIM(RIGHT(SUBSTITUTE(C779," ",REPT(" ",100)),100)))</f>
        <v/>
      </c>
      <c r="E779" s="0" t="str">
        <f aca="false">IF(D779="","",UPPER(SUBSTITUTE(SUBSTITUTE(D779,"(",""),")","")))</f>
        <v/>
      </c>
      <c r="F779" s="0" t="str">
        <f aca="false">IF(C779="","",LEFT(C779,FIND(" ",C779&amp;" ")-1))</f>
        <v/>
      </c>
      <c r="G779" s="0" t="n">
        <f aca="false">IFERROR(VALUE(SUBSTITUTE(LOWER(F779),"x","")),0)</f>
        <v>0</v>
      </c>
      <c r="H779" s="0" t="str">
        <f aca="false">IF(C779="","",TRIM(MID(C779,LEN(F779)+2,999)))</f>
        <v/>
      </c>
      <c r="I779" s="0" t="n">
        <f aca="false">IF(OR(C779="",LEFT(C779,2)="//"),0,IFERROR(IF(AND(G779&gt;0,G779=INT(G779),FIND("-",E779)&gt;1,NOT(EXACT(UPPER(LEFT(E779,1)),LOWER(LEFT(E779,1)))),ISNUMBER(VALUE(MID(E779,FIND("-",E779)+1,10)))),1,0),0))</f>
        <v>0</v>
      </c>
      <c r="J779" s="0" t="str">
        <f aca="false">IF(I779=1,TRIM(LEFT(H779,MAX(0,LEN(H779)-LEN(D779)))),"")</f>
        <v/>
      </c>
      <c r="K779" s="0" t="str">
        <f aca="false">INDEX($P$2:$P$21,A779)</f>
        <v>Deck 13</v>
      </c>
      <c r="L779" s="0" t="n">
        <f aca="false">IF(AND(C779&lt;&gt;"",LEFT(C779,2)&lt;&gt;"//",I779=0),1,0)</f>
        <v>0</v>
      </c>
      <c r="M779" s="0" t="str">
        <f aca="false">IF(I779=1,MAX(M$1:M778)+1,"")</f>
        <v/>
      </c>
      <c r="N779" s="0" t="str">
        <f aca="false">IFERROR(MATCH(ROW()-1,$V$2:$V$1201,0),"")</f>
        <v/>
      </c>
      <c r="R779" s="0" t="str">
        <f aca="false">IF(E779="","",IFERROR(LEFT(E779,FIND("-",E779)-1),E779))</f>
        <v/>
      </c>
      <c r="S779" s="0" t="str">
        <f aca="false">IF(R779="","",IF(ISNUMBER(--MID(R779,1,1)),0,IF(ISNUMBER(--MID(R779,2,1)),1,IF(ISNUMBER(--MID(R779,3,1)),2,IF(ISNUMBER(--MID(R779,4,1)),3,MIN(LEN(R779),4))))))</f>
        <v/>
      </c>
      <c r="T779" s="0" t="str">
        <f aca="false">IF(E779="","",LEFT(R779,S779)&amp;REPT("0",4-S779)&amp;RIGHT("000"&amp;IFERROR(VALUE(MID(R779,S779+1,9)),0),3)&amp;RIGHT("0000"&amp;IFERROR(VALUE(MID(E779,FIND("-",E779)+1,9)),0),4))</f>
        <v/>
      </c>
      <c r="U779" s="0" t="str">
        <f aca="false">IF(I779=1,"K"&amp;RIGHT("00"&amp;A779,2)&amp;T779&amp;RIGHT("00000"&amp;ROW(),5),"")</f>
        <v/>
      </c>
      <c r="V779" s="0" t="str">
        <f aca="false">IF(U779="","",COUNTIFS($I$2:$I$1201,1,$U$2:$U$1201,"&lt;"&amp;U779)+1)</f>
        <v/>
      </c>
    </row>
    <row r="780" customFormat="false" ht="15" hidden="false" customHeight="false" outlineLevel="0" collapsed="false">
      <c r="A780" s="0" t="n">
        <v>13</v>
      </c>
      <c r="B780" s="0" t="n">
        <v>59</v>
      </c>
      <c r="C780" s="0" t="str">
        <f aca="false">TRIM(SUBSTITUTE(INDEX(LISTAS!$A$4:$T$63,B780,A780)&amp;"",CHAR(160)," "))</f>
        <v/>
      </c>
      <c r="D780" s="0" t="str">
        <f aca="false">IF(C780="","",TRIM(RIGHT(SUBSTITUTE(C780," ",REPT(" ",100)),100)))</f>
        <v/>
      </c>
      <c r="E780" s="0" t="str">
        <f aca="false">IF(D780="","",UPPER(SUBSTITUTE(SUBSTITUTE(D780,"(",""),")","")))</f>
        <v/>
      </c>
      <c r="F780" s="0" t="str">
        <f aca="false">IF(C780="","",LEFT(C780,FIND(" ",C780&amp;" ")-1))</f>
        <v/>
      </c>
      <c r="G780" s="0" t="n">
        <f aca="false">IFERROR(VALUE(SUBSTITUTE(LOWER(F780),"x","")),0)</f>
        <v>0</v>
      </c>
      <c r="H780" s="0" t="str">
        <f aca="false">IF(C780="","",TRIM(MID(C780,LEN(F780)+2,999)))</f>
        <v/>
      </c>
      <c r="I780" s="0" t="n">
        <f aca="false">IF(OR(C780="",LEFT(C780,2)="//"),0,IFERROR(IF(AND(G780&gt;0,G780=INT(G780),FIND("-",E780)&gt;1,NOT(EXACT(UPPER(LEFT(E780,1)),LOWER(LEFT(E780,1)))),ISNUMBER(VALUE(MID(E780,FIND("-",E780)+1,10)))),1,0),0))</f>
        <v>0</v>
      </c>
      <c r="J780" s="0" t="str">
        <f aca="false">IF(I780=1,TRIM(LEFT(H780,MAX(0,LEN(H780)-LEN(D780)))),"")</f>
        <v/>
      </c>
      <c r="K780" s="0" t="str">
        <f aca="false">INDEX($P$2:$P$21,A780)</f>
        <v>Deck 13</v>
      </c>
      <c r="L780" s="0" t="n">
        <f aca="false">IF(AND(C780&lt;&gt;"",LEFT(C780,2)&lt;&gt;"//",I780=0),1,0)</f>
        <v>0</v>
      </c>
      <c r="M780" s="0" t="str">
        <f aca="false">IF(I780=1,MAX(M$1:M779)+1,"")</f>
        <v/>
      </c>
      <c r="N780" s="0" t="str">
        <f aca="false">IFERROR(MATCH(ROW()-1,$V$2:$V$1201,0),"")</f>
        <v/>
      </c>
      <c r="R780" s="0" t="str">
        <f aca="false">IF(E780="","",IFERROR(LEFT(E780,FIND("-",E780)-1),E780))</f>
        <v/>
      </c>
      <c r="S780" s="0" t="str">
        <f aca="false">IF(R780="","",IF(ISNUMBER(--MID(R780,1,1)),0,IF(ISNUMBER(--MID(R780,2,1)),1,IF(ISNUMBER(--MID(R780,3,1)),2,IF(ISNUMBER(--MID(R780,4,1)),3,MIN(LEN(R780),4))))))</f>
        <v/>
      </c>
      <c r="T780" s="0" t="str">
        <f aca="false">IF(E780="","",LEFT(R780,S780)&amp;REPT("0",4-S780)&amp;RIGHT("000"&amp;IFERROR(VALUE(MID(R780,S780+1,9)),0),3)&amp;RIGHT("0000"&amp;IFERROR(VALUE(MID(E780,FIND("-",E780)+1,9)),0),4))</f>
        <v/>
      </c>
      <c r="U780" s="0" t="str">
        <f aca="false">IF(I780=1,"K"&amp;RIGHT("00"&amp;A780,2)&amp;T780&amp;RIGHT("00000"&amp;ROW(),5),"")</f>
        <v/>
      </c>
      <c r="V780" s="0" t="str">
        <f aca="false">IF(U780="","",COUNTIFS($I$2:$I$1201,1,$U$2:$U$1201,"&lt;"&amp;U780)+1)</f>
        <v/>
      </c>
    </row>
    <row r="781" customFormat="false" ht="15" hidden="false" customHeight="false" outlineLevel="0" collapsed="false">
      <c r="A781" s="0" t="n">
        <v>13</v>
      </c>
      <c r="B781" s="0" t="n">
        <v>60</v>
      </c>
      <c r="C781" s="0" t="str">
        <f aca="false">TRIM(SUBSTITUTE(INDEX(LISTAS!$A$4:$T$63,B781,A781)&amp;"",CHAR(160)," "))</f>
        <v/>
      </c>
      <c r="D781" s="0" t="str">
        <f aca="false">IF(C781="","",TRIM(RIGHT(SUBSTITUTE(C781," ",REPT(" ",100)),100)))</f>
        <v/>
      </c>
      <c r="E781" s="0" t="str">
        <f aca="false">IF(D781="","",UPPER(SUBSTITUTE(SUBSTITUTE(D781,"(",""),")","")))</f>
        <v/>
      </c>
      <c r="F781" s="0" t="str">
        <f aca="false">IF(C781="","",LEFT(C781,FIND(" ",C781&amp;" ")-1))</f>
        <v/>
      </c>
      <c r="G781" s="0" t="n">
        <f aca="false">IFERROR(VALUE(SUBSTITUTE(LOWER(F781),"x","")),0)</f>
        <v>0</v>
      </c>
      <c r="H781" s="0" t="str">
        <f aca="false">IF(C781="","",TRIM(MID(C781,LEN(F781)+2,999)))</f>
        <v/>
      </c>
      <c r="I781" s="0" t="n">
        <f aca="false">IF(OR(C781="",LEFT(C781,2)="//"),0,IFERROR(IF(AND(G781&gt;0,G781=INT(G781),FIND("-",E781)&gt;1,NOT(EXACT(UPPER(LEFT(E781,1)),LOWER(LEFT(E781,1)))),ISNUMBER(VALUE(MID(E781,FIND("-",E781)+1,10)))),1,0),0))</f>
        <v>0</v>
      </c>
      <c r="J781" s="0" t="str">
        <f aca="false">IF(I781=1,TRIM(LEFT(H781,MAX(0,LEN(H781)-LEN(D781)))),"")</f>
        <v/>
      </c>
      <c r="K781" s="0" t="str">
        <f aca="false">INDEX($P$2:$P$21,A781)</f>
        <v>Deck 13</v>
      </c>
      <c r="L781" s="0" t="n">
        <f aca="false">IF(AND(C781&lt;&gt;"",LEFT(C781,2)&lt;&gt;"//",I781=0),1,0)</f>
        <v>0</v>
      </c>
      <c r="M781" s="0" t="str">
        <f aca="false">IF(I781=1,MAX(M$1:M780)+1,"")</f>
        <v/>
      </c>
      <c r="N781" s="0" t="str">
        <f aca="false">IFERROR(MATCH(ROW()-1,$V$2:$V$1201,0),"")</f>
        <v/>
      </c>
      <c r="R781" s="0" t="str">
        <f aca="false">IF(E781="","",IFERROR(LEFT(E781,FIND("-",E781)-1),E781))</f>
        <v/>
      </c>
      <c r="S781" s="0" t="str">
        <f aca="false">IF(R781="","",IF(ISNUMBER(--MID(R781,1,1)),0,IF(ISNUMBER(--MID(R781,2,1)),1,IF(ISNUMBER(--MID(R781,3,1)),2,IF(ISNUMBER(--MID(R781,4,1)),3,MIN(LEN(R781),4))))))</f>
        <v/>
      </c>
      <c r="T781" s="0" t="str">
        <f aca="false">IF(E781="","",LEFT(R781,S781)&amp;REPT("0",4-S781)&amp;RIGHT("000"&amp;IFERROR(VALUE(MID(R781,S781+1,9)),0),3)&amp;RIGHT("0000"&amp;IFERROR(VALUE(MID(E781,FIND("-",E781)+1,9)),0),4))</f>
        <v/>
      </c>
      <c r="U781" s="0" t="str">
        <f aca="false">IF(I781=1,"K"&amp;RIGHT("00"&amp;A781,2)&amp;T781&amp;RIGHT("00000"&amp;ROW(),5),"")</f>
        <v/>
      </c>
      <c r="V781" s="0" t="str">
        <f aca="false">IF(U781="","",COUNTIFS($I$2:$I$1201,1,$U$2:$U$1201,"&lt;"&amp;U781)+1)</f>
        <v/>
      </c>
    </row>
    <row r="782" customFormat="false" ht="15" hidden="false" customHeight="false" outlineLevel="0" collapsed="false">
      <c r="A782" s="0" t="n">
        <v>14</v>
      </c>
      <c r="B782" s="0" t="n">
        <v>1</v>
      </c>
      <c r="C782" s="0" t="str">
        <f aca="false">TRIM(SUBSTITUTE(INDEX(LISTAS!$A$4:$T$63,B782,A782)&amp;"",CHAR(160)," "))</f>
        <v/>
      </c>
      <c r="D782" s="0" t="str">
        <f aca="false">IF(C782="","",TRIM(RIGHT(SUBSTITUTE(C782," ",REPT(" ",100)),100)))</f>
        <v/>
      </c>
      <c r="E782" s="0" t="str">
        <f aca="false">IF(D782="","",UPPER(SUBSTITUTE(SUBSTITUTE(D782,"(",""),")","")))</f>
        <v/>
      </c>
      <c r="F782" s="0" t="str">
        <f aca="false">IF(C782="","",LEFT(C782,FIND(" ",C782&amp;" ")-1))</f>
        <v/>
      </c>
      <c r="G782" s="0" t="n">
        <f aca="false">IFERROR(VALUE(SUBSTITUTE(LOWER(F782),"x","")),0)</f>
        <v>0</v>
      </c>
      <c r="H782" s="0" t="str">
        <f aca="false">IF(C782="","",TRIM(MID(C782,LEN(F782)+2,999)))</f>
        <v/>
      </c>
      <c r="I782" s="0" t="n">
        <f aca="false">IF(OR(C782="",LEFT(C782,2)="//"),0,IFERROR(IF(AND(G782&gt;0,G782=INT(G782),FIND("-",E782)&gt;1,NOT(EXACT(UPPER(LEFT(E782,1)),LOWER(LEFT(E782,1)))),ISNUMBER(VALUE(MID(E782,FIND("-",E782)+1,10)))),1,0),0))</f>
        <v>0</v>
      </c>
      <c r="J782" s="0" t="str">
        <f aca="false">IF(I782=1,TRIM(LEFT(H782,MAX(0,LEN(H782)-LEN(D782)))),"")</f>
        <v/>
      </c>
      <c r="K782" s="0" t="str">
        <f aca="false">INDEX($P$2:$P$21,A782)</f>
        <v>Deck 14</v>
      </c>
      <c r="L782" s="0" t="n">
        <f aca="false">IF(AND(C782&lt;&gt;"",LEFT(C782,2)&lt;&gt;"//",I782=0),1,0)</f>
        <v>0</v>
      </c>
      <c r="M782" s="0" t="str">
        <f aca="false">IF(I782=1,MAX(M$1:M781)+1,"")</f>
        <v/>
      </c>
      <c r="N782" s="0" t="str">
        <f aca="false">IFERROR(MATCH(ROW()-1,$V$2:$V$1201,0),"")</f>
        <v/>
      </c>
      <c r="R782" s="0" t="str">
        <f aca="false">IF(E782="","",IFERROR(LEFT(E782,FIND("-",E782)-1),E782))</f>
        <v/>
      </c>
      <c r="S782" s="0" t="str">
        <f aca="false">IF(R782="","",IF(ISNUMBER(--MID(R782,1,1)),0,IF(ISNUMBER(--MID(R782,2,1)),1,IF(ISNUMBER(--MID(R782,3,1)),2,IF(ISNUMBER(--MID(R782,4,1)),3,MIN(LEN(R782),4))))))</f>
        <v/>
      </c>
      <c r="T782" s="0" t="str">
        <f aca="false">IF(E782="","",LEFT(R782,S782)&amp;REPT("0",4-S782)&amp;RIGHT("000"&amp;IFERROR(VALUE(MID(R782,S782+1,9)),0),3)&amp;RIGHT("0000"&amp;IFERROR(VALUE(MID(E782,FIND("-",E782)+1,9)),0),4))</f>
        <v/>
      </c>
      <c r="U782" s="0" t="str">
        <f aca="false">IF(I782=1,"K"&amp;RIGHT("00"&amp;A782,2)&amp;T782&amp;RIGHT("00000"&amp;ROW(),5),"")</f>
        <v/>
      </c>
      <c r="V782" s="0" t="str">
        <f aca="false">IF(U782="","",COUNTIFS($I$2:$I$1201,1,$U$2:$U$1201,"&lt;"&amp;U782)+1)</f>
        <v/>
      </c>
    </row>
    <row r="783" customFormat="false" ht="15" hidden="false" customHeight="false" outlineLevel="0" collapsed="false">
      <c r="A783" s="0" t="n">
        <v>14</v>
      </c>
      <c r="B783" s="0" t="n">
        <v>2</v>
      </c>
      <c r="C783" s="0" t="str">
        <f aca="false">TRIM(SUBSTITUTE(INDEX(LISTAS!$A$4:$T$63,B783,A783)&amp;"",CHAR(160)," "))</f>
        <v/>
      </c>
      <c r="D783" s="0" t="str">
        <f aca="false">IF(C783="","",TRIM(RIGHT(SUBSTITUTE(C783," ",REPT(" ",100)),100)))</f>
        <v/>
      </c>
      <c r="E783" s="0" t="str">
        <f aca="false">IF(D783="","",UPPER(SUBSTITUTE(SUBSTITUTE(D783,"(",""),")","")))</f>
        <v/>
      </c>
      <c r="F783" s="0" t="str">
        <f aca="false">IF(C783="","",LEFT(C783,FIND(" ",C783&amp;" ")-1))</f>
        <v/>
      </c>
      <c r="G783" s="0" t="n">
        <f aca="false">IFERROR(VALUE(SUBSTITUTE(LOWER(F783),"x","")),0)</f>
        <v>0</v>
      </c>
      <c r="H783" s="0" t="str">
        <f aca="false">IF(C783="","",TRIM(MID(C783,LEN(F783)+2,999)))</f>
        <v/>
      </c>
      <c r="I783" s="0" t="n">
        <f aca="false">IF(OR(C783="",LEFT(C783,2)="//"),0,IFERROR(IF(AND(G783&gt;0,G783=INT(G783),FIND("-",E783)&gt;1,NOT(EXACT(UPPER(LEFT(E783,1)),LOWER(LEFT(E783,1)))),ISNUMBER(VALUE(MID(E783,FIND("-",E783)+1,10)))),1,0),0))</f>
        <v>0</v>
      </c>
      <c r="J783" s="0" t="str">
        <f aca="false">IF(I783=1,TRIM(LEFT(H783,MAX(0,LEN(H783)-LEN(D783)))),"")</f>
        <v/>
      </c>
      <c r="K783" s="0" t="str">
        <f aca="false">INDEX($P$2:$P$21,A783)</f>
        <v>Deck 14</v>
      </c>
      <c r="L783" s="0" t="n">
        <f aca="false">IF(AND(C783&lt;&gt;"",LEFT(C783,2)&lt;&gt;"//",I783=0),1,0)</f>
        <v>0</v>
      </c>
      <c r="M783" s="0" t="str">
        <f aca="false">IF(I783=1,MAX(M$1:M782)+1,"")</f>
        <v/>
      </c>
      <c r="N783" s="0" t="str">
        <f aca="false">IFERROR(MATCH(ROW()-1,$V$2:$V$1201,0),"")</f>
        <v/>
      </c>
      <c r="R783" s="0" t="str">
        <f aca="false">IF(E783="","",IFERROR(LEFT(E783,FIND("-",E783)-1),E783))</f>
        <v/>
      </c>
      <c r="S783" s="0" t="str">
        <f aca="false">IF(R783="","",IF(ISNUMBER(--MID(R783,1,1)),0,IF(ISNUMBER(--MID(R783,2,1)),1,IF(ISNUMBER(--MID(R783,3,1)),2,IF(ISNUMBER(--MID(R783,4,1)),3,MIN(LEN(R783),4))))))</f>
        <v/>
      </c>
      <c r="T783" s="0" t="str">
        <f aca="false">IF(E783="","",LEFT(R783,S783)&amp;REPT("0",4-S783)&amp;RIGHT("000"&amp;IFERROR(VALUE(MID(R783,S783+1,9)),0),3)&amp;RIGHT("0000"&amp;IFERROR(VALUE(MID(E783,FIND("-",E783)+1,9)),0),4))</f>
        <v/>
      </c>
      <c r="U783" s="0" t="str">
        <f aca="false">IF(I783=1,"K"&amp;RIGHT("00"&amp;A783,2)&amp;T783&amp;RIGHT("00000"&amp;ROW(),5),"")</f>
        <v/>
      </c>
      <c r="V783" s="0" t="str">
        <f aca="false">IF(U783="","",COUNTIFS($I$2:$I$1201,1,$U$2:$U$1201,"&lt;"&amp;U783)+1)</f>
        <v/>
      </c>
    </row>
    <row r="784" customFormat="false" ht="15" hidden="false" customHeight="false" outlineLevel="0" collapsed="false">
      <c r="A784" s="0" t="n">
        <v>14</v>
      </c>
      <c r="B784" s="0" t="n">
        <v>3</v>
      </c>
      <c r="C784" s="0" t="str">
        <f aca="false">TRIM(SUBSTITUTE(INDEX(LISTAS!$A$4:$T$63,B784,A784)&amp;"",CHAR(160)," "))</f>
        <v/>
      </c>
      <c r="D784" s="0" t="str">
        <f aca="false">IF(C784="","",TRIM(RIGHT(SUBSTITUTE(C784," ",REPT(" ",100)),100)))</f>
        <v/>
      </c>
      <c r="E784" s="0" t="str">
        <f aca="false">IF(D784="","",UPPER(SUBSTITUTE(SUBSTITUTE(D784,"(",""),")","")))</f>
        <v/>
      </c>
      <c r="F784" s="0" t="str">
        <f aca="false">IF(C784="","",LEFT(C784,FIND(" ",C784&amp;" ")-1))</f>
        <v/>
      </c>
      <c r="G784" s="0" t="n">
        <f aca="false">IFERROR(VALUE(SUBSTITUTE(LOWER(F784),"x","")),0)</f>
        <v>0</v>
      </c>
      <c r="H784" s="0" t="str">
        <f aca="false">IF(C784="","",TRIM(MID(C784,LEN(F784)+2,999)))</f>
        <v/>
      </c>
      <c r="I784" s="0" t="n">
        <f aca="false">IF(OR(C784="",LEFT(C784,2)="//"),0,IFERROR(IF(AND(G784&gt;0,G784=INT(G784),FIND("-",E784)&gt;1,NOT(EXACT(UPPER(LEFT(E784,1)),LOWER(LEFT(E784,1)))),ISNUMBER(VALUE(MID(E784,FIND("-",E784)+1,10)))),1,0),0))</f>
        <v>0</v>
      </c>
      <c r="J784" s="0" t="str">
        <f aca="false">IF(I784=1,TRIM(LEFT(H784,MAX(0,LEN(H784)-LEN(D784)))),"")</f>
        <v/>
      </c>
      <c r="K784" s="0" t="str">
        <f aca="false">INDEX($P$2:$P$21,A784)</f>
        <v>Deck 14</v>
      </c>
      <c r="L784" s="0" t="n">
        <f aca="false">IF(AND(C784&lt;&gt;"",LEFT(C784,2)&lt;&gt;"//",I784=0),1,0)</f>
        <v>0</v>
      </c>
      <c r="M784" s="0" t="str">
        <f aca="false">IF(I784=1,MAX(M$1:M783)+1,"")</f>
        <v/>
      </c>
      <c r="N784" s="0" t="str">
        <f aca="false">IFERROR(MATCH(ROW()-1,$V$2:$V$1201,0),"")</f>
        <v/>
      </c>
      <c r="R784" s="0" t="str">
        <f aca="false">IF(E784="","",IFERROR(LEFT(E784,FIND("-",E784)-1),E784))</f>
        <v/>
      </c>
      <c r="S784" s="0" t="str">
        <f aca="false">IF(R784="","",IF(ISNUMBER(--MID(R784,1,1)),0,IF(ISNUMBER(--MID(R784,2,1)),1,IF(ISNUMBER(--MID(R784,3,1)),2,IF(ISNUMBER(--MID(R784,4,1)),3,MIN(LEN(R784),4))))))</f>
        <v/>
      </c>
      <c r="T784" s="0" t="str">
        <f aca="false">IF(E784="","",LEFT(R784,S784)&amp;REPT("0",4-S784)&amp;RIGHT("000"&amp;IFERROR(VALUE(MID(R784,S784+1,9)),0),3)&amp;RIGHT("0000"&amp;IFERROR(VALUE(MID(E784,FIND("-",E784)+1,9)),0),4))</f>
        <v/>
      </c>
      <c r="U784" s="0" t="str">
        <f aca="false">IF(I784=1,"K"&amp;RIGHT("00"&amp;A784,2)&amp;T784&amp;RIGHT("00000"&amp;ROW(),5),"")</f>
        <v/>
      </c>
      <c r="V784" s="0" t="str">
        <f aca="false">IF(U784="","",COUNTIFS($I$2:$I$1201,1,$U$2:$U$1201,"&lt;"&amp;U784)+1)</f>
        <v/>
      </c>
    </row>
    <row r="785" customFormat="false" ht="15" hidden="false" customHeight="false" outlineLevel="0" collapsed="false">
      <c r="A785" s="0" t="n">
        <v>14</v>
      </c>
      <c r="B785" s="0" t="n">
        <v>4</v>
      </c>
      <c r="C785" s="0" t="str">
        <f aca="false">TRIM(SUBSTITUTE(INDEX(LISTAS!$A$4:$T$63,B785,A785)&amp;"",CHAR(160)," "))</f>
        <v/>
      </c>
      <c r="D785" s="0" t="str">
        <f aca="false">IF(C785="","",TRIM(RIGHT(SUBSTITUTE(C785," ",REPT(" ",100)),100)))</f>
        <v/>
      </c>
      <c r="E785" s="0" t="str">
        <f aca="false">IF(D785="","",UPPER(SUBSTITUTE(SUBSTITUTE(D785,"(",""),")","")))</f>
        <v/>
      </c>
      <c r="F785" s="0" t="str">
        <f aca="false">IF(C785="","",LEFT(C785,FIND(" ",C785&amp;" ")-1))</f>
        <v/>
      </c>
      <c r="G785" s="0" t="n">
        <f aca="false">IFERROR(VALUE(SUBSTITUTE(LOWER(F785),"x","")),0)</f>
        <v>0</v>
      </c>
      <c r="H785" s="0" t="str">
        <f aca="false">IF(C785="","",TRIM(MID(C785,LEN(F785)+2,999)))</f>
        <v/>
      </c>
      <c r="I785" s="0" t="n">
        <f aca="false">IF(OR(C785="",LEFT(C785,2)="//"),0,IFERROR(IF(AND(G785&gt;0,G785=INT(G785),FIND("-",E785)&gt;1,NOT(EXACT(UPPER(LEFT(E785,1)),LOWER(LEFT(E785,1)))),ISNUMBER(VALUE(MID(E785,FIND("-",E785)+1,10)))),1,0),0))</f>
        <v>0</v>
      </c>
      <c r="J785" s="0" t="str">
        <f aca="false">IF(I785=1,TRIM(LEFT(H785,MAX(0,LEN(H785)-LEN(D785)))),"")</f>
        <v/>
      </c>
      <c r="K785" s="0" t="str">
        <f aca="false">INDEX($P$2:$P$21,A785)</f>
        <v>Deck 14</v>
      </c>
      <c r="L785" s="0" t="n">
        <f aca="false">IF(AND(C785&lt;&gt;"",LEFT(C785,2)&lt;&gt;"//",I785=0),1,0)</f>
        <v>0</v>
      </c>
      <c r="M785" s="0" t="str">
        <f aca="false">IF(I785=1,MAX(M$1:M784)+1,"")</f>
        <v/>
      </c>
      <c r="N785" s="0" t="str">
        <f aca="false">IFERROR(MATCH(ROW()-1,$V$2:$V$1201,0),"")</f>
        <v/>
      </c>
      <c r="R785" s="0" t="str">
        <f aca="false">IF(E785="","",IFERROR(LEFT(E785,FIND("-",E785)-1),E785))</f>
        <v/>
      </c>
      <c r="S785" s="0" t="str">
        <f aca="false">IF(R785="","",IF(ISNUMBER(--MID(R785,1,1)),0,IF(ISNUMBER(--MID(R785,2,1)),1,IF(ISNUMBER(--MID(R785,3,1)),2,IF(ISNUMBER(--MID(R785,4,1)),3,MIN(LEN(R785),4))))))</f>
        <v/>
      </c>
      <c r="T785" s="0" t="str">
        <f aca="false">IF(E785="","",LEFT(R785,S785)&amp;REPT("0",4-S785)&amp;RIGHT("000"&amp;IFERROR(VALUE(MID(R785,S785+1,9)),0),3)&amp;RIGHT("0000"&amp;IFERROR(VALUE(MID(E785,FIND("-",E785)+1,9)),0),4))</f>
        <v/>
      </c>
      <c r="U785" s="0" t="str">
        <f aca="false">IF(I785=1,"K"&amp;RIGHT("00"&amp;A785,2)&amp;T785&amp;RIGHT("00000"&amp;ROW(),5),"")</f>
        <v/>
      </c>
      <c r="V785" s="0" t="str">
        <f aca="false">IF(U785="","",COUNTIFS($I$2:$I$1201,1,$U$2:$U$1201,"&lt;"&amp;U785)+1)</f>
        <v/>
      </c>
    </row>
    <row r="786" customFormat="false" ht="15" hidden="false" customHeight="false" outlineLevel="0" collapsed="false">
      <c r="A786" s="0" t="n">
        <v>14</v>
      </c>
      <c r="B786" s="0" t="n">
        <v>5</v>
      </c>
      <c r="C786" s="0" t="str">
        <f aca="false">TRIM(SUBSTITUTE(INDEX(LISTAS!$A$4:$T$63,B786,A786)&amp;"",CHAR(160)," "))</f>
        <v/>
      </c>
      <c r="D786" s="0" t="str">
        <f aca="false">IF(C786="","",TRIM(RIGHT(SUBSTITUTE(C786," ",REPT(" ",100)),100)))</f>
        <v/>
      </c>
      <c r="E786" s="0" t="str">
        <f aca="false">IF(D786="","",UPPER(SUBSTITUTE(SUBSTITUTE(D786,"(",""),")","")))</f>
        <v/>
      </c>
      <c r="F786" s="0" t="str">
        <f aca="false">IF(C786="","",LEFT(C786,FIND(" ",C786&amp;" ")-1))</f>
        <v/>
      </c>
      <c r="G786" s="0" t="n">
        <f aca="false">IFERROR(VALUE(SUBSTITUTE(LOWER(F786),"x","")),0)</f>
        <v>0</v>
      </c>
      <c r="H786" s="0" t="str">
        <f aca="false">IF(C786="","",TRIM(MID(C786,LEN(F786)+2,999)))</f>
        <v/>
      </c>
      <c r="I786" s="0" t="n">
        <f aca="false">IF(OR(C786="",LEFT(C786,2)="//"),0,IFERROR(IF(AND(G786&gt;0,G786=INT(G786),FIND("-",E786)&gt;1,NOT(EXACT(UPPER(LEFT(E786,1)),LOWER(LEFT(E786,1)))),ISNUMBER(VALUE(MID(E786,FIND("-",E786)+1,10)))),1,0),0))</f>
        <v>0</v>
      </c>
      <c r="J786" s="0" t="str">
        <f aca="false">IF(I786=1,TRIM(LEFT(H786,MAX(0,LEN(H786)-LEN(D786)))),"")</f>
        <v/>
      </c>
      <c r="K786" s="0" t="str">
        <f aca="false">INDEX($P$2:$P$21,A786)</f>
        <v>Deck 14</v>
      </c>
      <c r="L786" s="0" t="n">
        <f aca="false">IF(AND(C786&lt;&gt;"",LEFT(C786,2)&lt;&gt;"//",I786=0),1,0)</f>
        <v>0</v>
      </c>
      <c r="M786" s="0" t="str">
        <f aca="false">IF(I786=1,MAX(M$1:M785)+1,"")</f>
        <v/>
      </c>
      <c r="N786" s="0" t="str">
        <f aca="false">IFERROR(MATCH(ROW()-1,$V$2:$V$1201,0),"")</f>
        <v/>
      </c>
      <c r="R786" s="0" t="str">
        <f aca="false">IF(E786="","",IFERROR(LEFT(E786,FIND("-",E786)-1),E786))</f>
        <v/>
      </c>
      <c r="S786" s="0" t="str">
        <f aca="false">IF(R786="","",IF(ISNUMBER(--MID(R786,1,1)),0,IF(ISNUMBER(--MID(R786,2,1)),1,IF(ISNUMBER(--MID(R786,3,1)),2,IF(ISNUMBER(--MID(R786,4,1)),3,MIN(LEN(R786),4))))))</f>
        <v/>
      </c>
      <c r="T786" s="0" t="str">
        <f aca="false">IF(E786="","",LEFT(R786,S786)&amp;REPT("0",4-S786)&amp;RIGHT("000"&amp;IFERROR(VALUE(MID(R786,S786+1,9)),0),3)&amp;RIGHT("0000"&amp;IFERROR(VALUE(MID(E786,FIND("-",E786)+1,9)),0),4))</f>
        <v/>
      </c>
      <c r="U786" s="0" t="str">
        <f aca="false">IF(I786=1,"K"&amp;RIGHT("00"&amp;A786,2)&amp;T786&amp;RIGHT("00000"&amp;ROW(),5),"")</f>
        <v/>
      </c>
      <c r="V786" s="0" t="str">
        <f aca="false">IF(U786="","",COUNTIFS($I$2:$I$1201,1,$U$2:$U$1201,"&lt;"&amp;U786)+1)</f>
        <v/>
      </c>
    </row>
    <row r="787" customFormat="false" ht="15" hidden="false" customHeight="false" outlineLevel="0" collapsed="false">
      <c r="A787" s="0" t="n">
        <v>14</v>
      </c>
      <c r="B787" s="0" t="n">
        <v>6</v>
      </c>
      <c r="C787" s="0" t="str">
        <f aca="false">TRIM(SUBSTITUTE(INDEX(LISTAS!$A$4:$T$63,B787,A787)&amp;"",CHAR(160)," "))</f>
        <v/>
      </c>
      <c r="D787" s="0" t="str">
        <f aca="false">IF(C787="","",TRIM(RIGHT(SUBSTITUTE(C787," ",REPT(" ",100)),100)))</f>
        <v/>
      </c>
      <c r="E787" s="0" t="str">
        <f aca="false">IF(D787="","",UPPER(SUBSTITUTE(SUBSTITUTE(D787,"(",""),")","")))</f>
        <v/>
      </c>
      <c r="F787" s="0" t="str">
        <f aca="false">IF(C787="","",LEFT(C787,FIND(" ",C787&amp;" ")-1))</f>
        <v/>
      </c>
      <c r="G787" s="0" t="n">
        <f aca="false">IFERROR(VALUE(SUBSTITUTE(LOWER(F787),"x","")),0)</f>
        <v>0</v>
      </c>
      <c r="H787" s="0" t="str">
        <f aca="false">IF(C787="","",TRIM(MID(C787,LEN(F787)+2,999)))</f>
        <v/>
      </c>
      <c r="I787" s="0" t="n">
        <f aca="false">IF(OR(C787="",LEFT(C787,2)="//"),0,IFERROR(IF(AND(G787&gt;0,G787=INT(G787),FIND("-",E787)&gt;1,NOT(EXACT(UPPER(LEFT(E787,1)),LOWER(LEFT(E787,1)))),ISNUMBER(VALUE(MID(E787,FIND("-",E787)+1,10)))),1,0),0))</f>
        <v>0</v>
      </c>
      <c r="J787" s="0" t="str">
        <f aca="false">IF(I787=1,TRIM(LEFT(H787,MAX(0,LEN(H787)-LEN(D787)))),"")</f>
        <v/>
      </c>
      <c r="K787" s="0" t="str">
        <f aca="false">INDEX($P$2:$P$21,A787)</f>
        <v>Deck 14</v>
      </c>
      <c r="L787" s="0" t="n">
        <f aca="false">IF(AND(C787&lt;&gt;"",LEFT(C787,2)&lt;&gt;"//",I787=0),1,0)</f>
        <v>0</v>
      </c>
      <c r="M787" s="0" t="str">
        <f aca="false">IF(I787=1,MAX(M$1:M786)+1,"")</f>
        <v/>
      </c>
      <c r="N787" s="0" t="str">
        <f aca="false">IFERROR(MATCH(ROW()-1,$V$2:$V$1201,0),"")</f>
        <v/>
      </c>
      <c r="R787" s="0" t="str">
        <f aca="false">IF(E787="","",IFERROR(LEFT(E787,FIND("-",E787)-1),E787))</f>
        <v/>
      </c>
      <c r="S787" s="0" t="str">
        <f aca="false">IF(R787="","",IF(ISNUMBER(--MID(R787,1,1)),0,IF(ISNUMBER(--MID(R787,2,1)),1,IF(ISNUMBER(--MID(R787,3,1)),2,IF(ISNUMBER(--MID(R787,4,1)),3,MIN(LEN(R787),4))))))</f>
        <v/>
      </c>
      <c r="T787" s="0" t="str">
        <f aca="false">IF(E787="","",LEFT(R787,S787)&amp;REPT("0",4-S787)&amp;RIGHT("000"&amp;IFERROR(VALUE(MID(R787,S787+1,9)),0),3)&amp;RIGHT("0000"&amp;IFERROR(VALUE(MID(E787,FIND("-",E787)+1,9)),0),4))</f>
        <v/>
      </c>
      <c r="U787" s="0" t="str">
        <f aca="false">IF(I787=1,"K"&amp;RIGHT("00"&amp;A787,2)&amp;T787&amp;RIGHT("00000"&amp;ROW(),5),"")</f>
        <v/>
      </c>
      <c r="V787" s="0" t="str">
        <f aca="false">IF(U787="","",COUNTIFS($I$2:$I$1201,1,$U$2:$U$1201,"&lt;"&amp;U787)+1)</f>
        <v/>
      </c>
    </row>
    <row r="788" customFormat="false" ht="15" hidden="false" customHeight="false" outlineLevel="0" collapsed="false">
      <c r="A788" s="0" t="n">
        <v>14</v>
      </c>
      <c r="B788" s="0" t="n">
        <v>7</v>
      </c>
      <c r="C788" s="0" t="str">
        <f aca="false">TRIM(SUBSTITUTE(INDEX(LISTAS!$A$4:$T$63,B788,A788)&amp;"",CHAR(160)," "))</f>
        <v/>
      </c>
      <c r="D788" s="0" t="str">
        <f aca="false">IF(C788="","",TRIM(RIGHT(SUBSTITUTE(C788," ",REPT(" ",100)),100)))</f>
        <v/>
      </c>
      <c r="E788" s="0" t="str">
        <f aca="false">IF(D788="","",UPPER(SUBSTITUTE(SUBSTITUTE(D788,"(",""),")","")))</f>
        <v/>
      </c>
      <c r="F788" s="0" t="str">
        <f aca="false">IF(C788="","",LEFT(C788,FIND(" ",C788&amp;" ")-1))</f>
        <v/>
      </c>
      <c r="G788" s="0" t="n">
        <f aca="false">IFERROR(VALUE(SUBSTITUTE(LOWER(F788),"x","")),0)</f>
        <v>0</v>
      </c>
      <c r="H788" s="0" t="str">
        <f aca="false">IF(C788="","",TRIM(MID(C788,LEN(F788)+2,999)))</f>
        <v/>
      </c>
      <c r="I788" s="0" t="n">
        <f aca="false">IF(OR(C788="",LEFT(C788,2)="//"),0,IFERROR(IF(AND(G788&gt;0,G788=INT(G788),FIND("-",E788)&gt;1,NOT(EXACT(UPPER(LEFT(E788,1)),LOWER(LEFT(E788,1)))),ISNUMBER(VALUE(MID(E788,FIND("-",E788)+1,10)))),1,0),0))</f>
        <v>0</v>
      </c>
      <c r="J788" s="0" t="str">
        <f aca="false">IF(I788=1,TRIM(LEFT(H788,MAX(0,LEN(H788)-LEN(D788)))),"")</f>
        <v/>
      </c>
      <c r="K788" s="0" t="str">
        <f aca="false">INDEX($P$2:$P$21,A788)</f>
        <v>Deck 14</v>
      </c>
      <c r="L788" s="0" t="n">
        <f aca="false">IF(AND(C788&lt;&gt;"",LEFT(C788,2)&lt;&gt;"//",I788=0),1,0)</f>
        <v>0</v>
      </c>
      <c r="M788" s="0" t="str">
        <f aca="false">IF(I788=1,MAX(M$1:M787)+1,"")</f>
        <v/>
      </c>
      <c r="N788" s="0" t="str">
        <f aca="false">IFERROR(MATCH(ROW()-1,$V$2:$V$1201,0),"")</f>
        <v/>
      </c>
      <c r="R788" s="0" t="str">
        <f aca="false">IF(E788="","",IFERROR(LEFT(E788,FIND("-",E788)-1),E788))</f>
        <v/>
      </c>
      <c r="S788" s="0" t="str">
        <f aca="false">IF(R788="","",IF(ISNUMBER(--MID(R788,1,1)),0,IF(ISNUMBER(--MID(R788,2,1)),1,IF(ISNUMBER(--MID(R788,3,1)),2,IF(ISNUMBER(--MID(R788,4,1)),3,MIN(LEN(R788),4))))))</f>
        <v/>
      </c>
      <c r="T788" s="0" t="str">
        <f aca="false">IF(E788="","",LEFT(R788,S788)&amp;REPT("0",4-S788)&amp;RIGHT("000"&amp;IFERROR(VALUE(MID(R788,S788+1,9)),0),3)&amp;RIGHT("0000"&amp;IFERROR(VALUE(MID(E788,FIND("-",E788)+1,9)),0),4))</f>
        <v/>
      </c>
      <c r="U788" s="0" t="str">
        <f aca="false">IF(I788=1,"K"&amp;RIGHT("00"&amp;A788,2)&amp;T788&amp;RIGHT("00000"&amp;ROW(),5),"")</f>
        <v/>
      </c>
      <c r="V788" s="0" t="str">
        <f aca="false">IF(U788="","",COUNTIFS($I$2:$I$1201,1,$U$2:$U$1201,"&lt;"&amp;U788)+1)</f>
        <v/>
      </c>
    </row>
    <row r="789" customFormat="false" ht="15" hidden="false" customHeight="false" outlineLevel="0" collapsed="false">
      <c r="A789" s="0" t="n">
        <v>14</v>
      </c>
      <c r="B789" s="0" t="n">
        <v>8</v>
      </c>
      <c r="C789" s="0" t="str">
        <f aca="false">TRIM(SUBSTITUTE(INDEX(LISTAS!$A$4:$T$63,B789,A789)&amp;"",CHAR(160)," "))</f>
        <v/>
      </c>
      <c r="D789" s="0" t="str">
        <f aca="false">IF(C789="","",TRIM(RIGHT(SUBSTITUTE(C789," ",REPT(" ",100)),100)))</f>
        <v/>
      </c>
      <c r="E789" s="0" t="str">
        <f aca="false">IF(D789="","",UPPER(SUBSTITUTE(SUBSTITUTE(D789,"(",""),")","")))</f>
        <v/>
      </c>
      <c r="F789" s="0" t="str">
        <f aca="false">IF(C789="","",LEFT(C789,FIND(" ",C789&amp;" ")-1))</f>
        <v/>
      </c>
      <c r="G789" s="0" t="n">
        <f aca="false">IFERROR(VALUE(SUBSTITUTE(LOWER(F789),"x","")),0)</f>
        <v>0</v>
      </c>
      <c r="H789" s="0" t="str">
        <f aca="false">IF(C789="","",TRIM(MID(C789,LEN(F789)+2,999)))</f>
        <v/>
      </c>
      <c r="I789" s="0" t="n">
        <f aca="false">IF(OR(C789="",LEFT(C789,2)="//"),0,IFERROR(IF(AND(G789&gt;0,G789=INT(G789),FIND("-",E789)&gt;1,NOT(EXACT(UPPER(LEFT(E789,1)),LOWER(LEFT(E789,1)))),ISNUMBER(VALUE(MID(E789,FIND("-",E789)+1,10)))),1,0),0))</f>
        <v>0</v>
      </c>
      <c r="J789" s="0" t="str">
        <f aca="false">IF(I789=1,TRIM(LEFT(H789,MAX(0,LEN(H789)-LEN(D789)))),"")</f>
        <v/>
      </c>
      <c r="K789" s="0" t="str">
        <f aca="false">INDEX($P$2:$P$21,A789)</f>
        <v>Deck 14</v>
      </c>
      <c r="L789" s="0" t="n">
        <f aca="false">IF(AND(C789&lt;&gt;"",LEFT(C789,2)&lt;&gt;"//",I789=0),1,0)</f>
        <v>0</v>
      </c>
      <c r="M789" s="0" t="str">
        <f aca="false">IF(I789=1,MAX(M$1:M788)+1,"")</f>
        <v/>
      </c>
      <c r="N789" s="0" t="str">
        <f aca="false">IFERROR(MATCH(ROW()-1,$V$2:$V$1201,0),"")</f>
        <v/>
      </c>
      <c r="R789" s="0" t="str">
        <f aca="false">IF(E789="","",IFERROR(LEFT(E789,FIND("-",E789)-1),E789))</f>
        <v/>
      </c>
      <c r="S789" s="0" t="str">
        <f aca="false">IF(R789="","",IF(ISNUMBER(--MID(R789,1,1)),0,IF(ISNUMBER(--MID(R789,2,1)),1,IF(ISNUMBER(--MID(R789,3,1)),2,IF(ISNUMBER(--MID(R789,4,1)),3,MIN(LEN(R789),4))))))</f>
        <v/>
      </c>
      <c r="T789" s="0" t="str">
        <f aca="false">IF(E789="","",LEFT(R789,S789)&amp;REPT("0",4-S789)&amp;RIGHT("000"&amp;IFERROR(VALUE(MID(R789,S789+1,9)),0),3)&amp;RIGHT("0000"&amp;IFERROR(VALUE(MID(E789,FIND("-",E789)+1,9)),0),4))</f>
        <v/>
      </c>
      <c r="U789" s="0" t="str">
        <f aca="false">IF(I789=1,"K"&amp;RIGHT("00"&amp;A789,2)&amp;T789&amp;RIGHT("00000"&amp;ROW(),5),"")</f>
        <v/>
      </c>
      <c r="V789" s="0" t="str">
        <f aca="false">IF(U789="","",COUNTIFS($I$2:$I$1201,1,$U$2:$U$1201,"&lt;"&amp;U789)+1)</f>
        <v/>
      </c>
    </row>
    <row r="790" customFormat="false" ht="15" hidden="false" customHeight="false" outlineLevel="0" collapsed="false">
      <c r="A790" s="0" t="n">
        <v>14</v>
      </c>
      <c r="B790" s="0" t="n">
        <v>9</v>
      </c>
      <c r="C790" s="0" t="str">
        <f aca="false">TRIM(SUBSTITUTE(INDEX(LISTAS!$A$4:$T$63,B790,A790)&amp;"",CHAR(160)," "))</f>
        <v/>
      </c>
      <c r="D790" s="0" t="str">
        <f aca="false">IF(C790="","",TRIM(RIGHT(SUBSTITUTE(C790," ",REPT(" ",100)),100)))</f>
        <v/>
      </c>
      <c r="E790" s="0" t="str">
        <f aca="false">IF(D790="","",UPPER(SUBSTITUTE(SUBSTITUTE(D790,"(",""),")","")))</f>
        <v/>
      </c>
      <c r="F790" s="0" t="str">
        <f aca="false">IF(C790="","",LEFT(C790,FIND(" ",C790&amp;" ")-1))</f>
        <v/>
      </c>
      <c r="G790" s="0" t="n">
        <f aca="false">IFERROR(VALUE(SUBSTITUTE(LOWER(F790),"x","")),0)</f>
        <v>0</v>
      </c>
      <c r="H790" s="0" t="str">
        <f aca="false">IF(C790="","",TRIM(MID(C790,LEN(F790)+2,999)))</f>
        <v/>
      </c>
      <c r="I790" s="0" t="n">
        <f aca="false">IF(OR(C790="",LEFT(C790,2)="//"),0,IFERROR(IF(AND(G790&gt;0,G790=INT(G790),FIND("-",E790)&gt;1,NOT(EXACT(UPPER(LEFT(E790,1)),LOWER(LEFT(E790,1)))),ISNUMBER(VALUE(MID(E790,FIND("-",E790)+1,10)))),1,0),0))</f>
        <v>0</v>
      </c>
      <c r="J790" s="0" t="str">
        <f aca="false">IF(I790=1,TRIM(LEFT(H790,MAX(0,LEN(H790)-LEN(D790)))),"")</f>
        <v/>
      </c>
      <c r="K790" s="0" t="str">
        <f aca="false">INDEX($P$2:$P$21,A790)</f>
        <v>Deck 14</v>
      </c>
      <c r="L790" s="0" t="n">
        <f aca="false">IF(AND(C790&lt;&gt;"",LEFT(C790,2)&lt;&gt;"//",I790=0),1,0)</f>
        <v>0</v>
      </c>
      <c r="M790" s="0" t="str">
        <f aca="false">IF(I790=1,MAX(M$1:M789)+1,"")</f>
        <v/>
      </c>
      <c r="N790" s="0" t="str">
        <f aca="false">IFERROR(MATCH(ROW()-1,$V$2:$V$1201,0),"")</f>
        <v/>
      </c>
      <c r="R790" s="0" t="str">
        <f aca="false">IF(E790="","",IFERROR(LEFT(E790,FIND("-",E790)-1),E790))</f>
        <v/>
      </c>
      <c r="S790" s="0" t="str">
        <f aca="false">IF(R790="","",IF(ISNUMBER(--MID(R790,1,1)),0,IF(ISNUMBER(--MID(R790,2,1)),1,IF(ISNUMBER(--MID(R790,3,1)),2,IF(ISNUMBER(--MID(R790,4,1)),3,MIN(LEN(R790),4))))))</f>
        <v/>
      </c>
      <c r="T790" s="0" t="str">
        <f aca="false">IF(E790="","",LEFT(R790,S790)&amp;REPT("0",4-S790)&amp;RIGHT("000"&amp;IFERROR(VALUE(MID(R790,S790+1,9)),0),3)&amp;RIGHT("0000"&amp;IFERROR(VALUE(MID(E790,FIND("-",E790)+1,9)),0),4))</f>
        <v/>
      </c>
      <c r="U790" s="0" t="str">
        <f aca="false">IF(I790=1,"K"&amp;RIGHT("00"&amp;A790,2)&amp;T790&amp;RIGHT("00000"&amp;ROW(),5),"")</f>
        <v/>
      </c>
      <c r="V790" s="0" t="str">
        <f aca="false">IF(U790="","",COUNTIFS($I$2:$I$1201,1,$U$2:$U$1201,"&lt;"&amp;U790)+1)</f>
        <v/>
      </c>
    </row>
    <row r="791" customFormat="false" ht="15" hidden="false" customHeight="false" outlineLevel="0" collapsed="false">
      <c r="A791" s="0" t="n">
        <v>14</v>
      </c>
      <c r="B791" s="0" t="n">
        <v>10</v>
      </c>
      <c r="C791" s="0" t="str">
        <f aca="false">TRIM(SUBSTITUTE(INDEX(LISTAS!$A$4:$T$63,B791,A791)&amp;"",CHAR(160)," "))</f>
        <v/>
      </c>
      <c r="D791" s="0" t="str">
        <f aca="false">IF(C791="","",TRIM(RIGHT(SUBSTITUTE(C791," ",REPT(" ",100)),100)))</f>
        <v/>
      </c>
      <c r="E791" s="0" t="str">
        <f aca="false">IF(D791="","",UPPER(SUBSTITUTE(SUBSTITUTE(D791,"(",""),")","")))</f>
        <v/>
      </c>
      <c r="F791" s="0" t="str">
        <f aca="false">IF(C791="","",LEFT(C791,FIND(" ",C791&amp;" ")-1))</f>
        <v/>
      </c>
      <c r="G791" s="0" t="n">
        <f aca="false">IFERROR(VALUE(SUBSTITUTE(LOWER(F791),"x","")),0)</f>
        <v>0</v>
      </c>
      <c r="H791" s="0" t="str">
        <f aca="false">IF(C791="","",TRIM(MID(C791,LEN(F791)+2,999)))</f>
        <v/>
      </c>
      <c r="I791" s="0" t="n">
        <f aca="false">IF(OR(C791="",LEFT(C791,2)="//"),0,IFERROR(IF(AND(G791&gt;0,G791=INT(G791),FIND("-",E791)&gt;1,NOT(EXACT(UPPER(LEFT(E791,1)),LOWER(LEFT(E791,1)))),ISNUMBER(VALUE(MID(E791,FIND("-",E791)+1,10)))),1,0),0))</f>
        <v>0</v>
      </c>
      <c r="J791" s="0" t="str">
        <f aca="false">IF(I791=1,TRIM(LEFT(H791,MAX(0,LEN(H791)-LEN(D791)))),"")</f>
        <v/>
      </c>
      <c r="K791" s="0" t="str">
        <f aca="false">INDEX($P$2:$P$21,A791)</f>
        <v>Deck 14</v>
      </c>
      <c r="L791" s="0" t="n">
        <f aca="false">IF(AND(C791&lt;&gt;"",LEFT(C791,2)&lt;&gt;"//",I791=0),1,0)</f>
        <v>0</v>
      </c>
      <c r="M791" s="0" t="str">
        <f aca="false">IF(I791=1,MAX(M$1:M790)+1,"")</f>
        <v/>
      </c>
      <c r="N791" s="0" t="str">
        <f aca="false">IFERROR(MATCH(ROW()-1,$V$2:$V$1201,0),"")</f>
        <v/>
      </c>
      <c r="R791" s="0" t="str">
        <f aca="false">IF(E791="","",IFERROR(LEFT(E791,FIND("-",E791)-1),E791))</f>
        <v/>
      </c>
      <c r="S791" s="0" t="str">
        <f aca="false">IF(R791="","",IF(ISNUMBER(--MID(R791,1,1)),0,IF(ISNUMBER(--MID(R791,2,1)),1,IF(ISNUMBER(--MID(R791,3,1)),2,IF(ISNUMBER(--MID(R791,4,1)),3,MIN(LEN(R791),4))))))</f>
        <v/>
      </c>
      <c r="T791" s="0" t="str">
        <f aca="false">IF(E791="","",LEFT(R791,S791)&amp;REPT("0",4-S791)&amp;RIGHT("000"&amp;IFERROR(VALUE(MID(R791,S791+1,9)),0),3)&amp;RIGHT("0000"&amp;IFERROR(VALUE(MID(E791,FIND("-",E791)+1,9)),0),4))</f>
        <v/>
      </c>
      <c r="U791" s="0" t="str">
        <f aca="false">IF(I791=1,"K"&amp;RIGHT("00"&amp;A791,2)&amp;T791&amp;RIGHT("00000"&amp;ROW(),5),"")</f>
        <v/>
      </c>
      <c r="V791" s="0" t="str">
        <f aca="false">IF(U791="","",COUNTIFS($I$2:$I$1201,1,$U$2:$U$1201,"&lt;"&amp;U791)+1)</f>
        <v/>
      </c>
    </row>
    <row r="792" customFormat="false" ht="15" hidden="false" customHeight="false" outlineLevel="0" collapsed="false">
      <c r="A792" s="0" t="n">
        <v>14</v>
      </c>
      <c r="B792" s="0" t="n">
        <v>11</v>
      </c>
      <c r="C792" s="0" t="str">
        <f aca="false">TRIM(SUBSTITUTE(INDEX(LISTAS!$A$4:$T$63,B792,A792)&amp;"",CHAR(160)," "))</f>
        <v/>
      </c>
      <c r="D792" s="0" t="str">
        <f aca="false">IF(C792="","",TRIM(RIGHT(SUBSTITUTE(C792," ",REPT(" ",100)),100)))</f>
        <v/>
      </c>
      <c r="E792" s="0" t="str">
        <f aca="false">IF(D792="","",UPPER(SUBSTITUTE(SUBSTITUTE(D792,"(",""),")","")))</f>
        <v/>
      </c>
      <c r="F792" s="0" t="str">
        <f aca="false">IF(C792="","",LEFT(C792,FIND(" ",C792&amp;" ")-1))</f>
        <v/>
      </c>
      <c r="G792" s="0" t="n">
        <f aca="false">IFERROR(VALUE(SUBSTITUTE(LOWER(F792),"x","")),0)</f>
        <v>0</v>
      </c>
      <c r="H792" s="0" t="str">
        <f aca="false">IF(C792="","",TRIM(MID(C792,LEN(F792)+2,999)))</f>
        <v/>
      </c>
      <c r="I792" s="0" t="n">
        <f aca="false">IF(OR(C792="",LEFT(C792,2)="//"),0,IFERROR(IF(AND(G792&gt;0,G792=INT(G792),FIND("-",E792)&gt;1,NOT(EXACT(UPPER(LEFT(E792,1)),LOWER(LEFT(E792,1)))),ISNUMBER(VALUE(MID(E792,FIND("-",E792)+1,10)))),1,0),0))</f>
        <v>0</v>
      </c>
      <c r="J792" s="0" t="str">
        <f aca="false">IF(I792=1,TRIM(LEFT(H792,MAX(0,LEN(H792)-LEN(D792)))),"")</f>
        <v/>
      </c>
      <c r="K792" s="0" t="str">
        <f aca="false">INDEX($P$2:$P$21,A792)</f>
        <v>Deck 14</v>
      </c>
      <c r="L792" s="0" t="n">
        <f aca="false">IF(AND(C792&lt;&gt;"",LEFT(C792,2)&lt;&gt;"//",I792=0),1,0)</f>
        <v>0</v>
      </c>
      <c r="M792" s="0" t="str">
        <f aca="false">IF(I792=1,MAX(M$1:M791)+1,"")</f>
        <v/>
      </c>
      <c r="N792" s="0" t="str">
        <f aca="false">IFERROR(MATCH(ROW()-1,$V$2:$V$1201,0),"")</f>
        <v/>
      </c>
      <c r="R792" s="0" t="str">
        <f aca="false">IF(E792="","",IFERROR(LEFT(E792,FIND("-",E792)-1),E792))</f>
        <v/>
      </c>
      <c r="S792" s="0" t="str">
        <f aca="false">IF(R792="","",IF(ISNUMBER(--MID(R792,1,1)),0,IF(ISNUMBER(--MID(R792,2,1)),1,IF(ISNUMBER(--MID(R792,3,1)),2,IF(ISNUMBER(--MID(R792,4,1)),3,MIN(LEN(R792),4))))))</f>
        <v/>
      </c>
      <c r="T792" s="0" t="str">
        <f aca="false">IF(E792="","",LEFT(R792,S792)&amp;REPT("0",4-S792)&amp;RIGHT("000"&amp;IFERROR(VALUE(MID(R792,S792+1,9)),0),3)&amp;RIGHT("0000"&amp;IFERROR(VALUE(MID(E792,FIND("-",E792)+1,9)),0),4))</f>
        <v/>
      </c>
      <c r="U792" s="0" t="str">
        <f aca="false">IF(I792=1,"K"&amp;RIGHT("00"&amp;A792,2)&amp;T792&amp;RIGHT("00000"&amp;ROW(),5),"")</f>
        <v/>
      </c>
      <c r="V792" s="0" t="str">
        <f aca="false">IF(U792="","",COUNTIFS($I$2:$I$1201,1,$U$2:$U$1201,"&lt;"&amp;U792)+1)</f>
        <v/>
      </c>
    </row>
    <row r="793" customFormat="false" ht="15" hidden="false" customHeight="false" outlineLevel="0" collapsed="false">
      <c r="A793" s="0" t="n">
        <v>14</v>
      </c>
      <c r="B793" s="0" t="n">
        <v>12</v>
      </c>
      <c r="C793" s="0" t="str">
        <f aca="false">TRIM(SUBSTITUTE(INDEX(LISTAS!$A$4:$T$63,B793,A793)&amp;"",CHAR(160)," "))</f>
        <v/>
      </c>
      <c r="D793" s="0" t="str">
        <f aca="false">IF(C793="","",TRIM(RIGHT(SUBSTITUTE(C793," ",REPT(" ",100)),100)))</f>
        <v/>
      </c>
      <c r="E793" s="0" t="str">
        <f aca="false">IF(D793="","",UPPER(SUBSTITUTE(SUBSTITUTE(D793,"(",""),")","")))</f>
        <v/>
      </c>
      <c r="F793" s="0" t="str">
        <f aca="false">IF(C793="","",LEFT(C793,FIND(" ",C793&amp;" ")-1))</f>
        <v/>
      </c>
      <c r="G793" s="0" t="n">
        <f aca="false">IFERROR(VALUE(SUBSTITUTE(LOWER(F793),"x","")),0)</f>
        <v>0</v>
      </c>
      <c r="H793" s="0" t="str">
        <f aca="false">IF(C793="","",TRIM(MID(C793,LEN(F793)+2,999)))</f>
        <v/>
      </c>
      <c r="I793" s="0" t="n">
        <f aca="false">IF(OR(C793="",LEFT(C793,2)="//"),0,IFERROR(IF(AND(G793&gt;0,G793=INT(G793),FIND("-",E793)&gt;1,NOT(EXACT(UPPER(LEFT(E793,1)),LOWER(LEFT(E793,1)))),ISNUMBER(VALUE(MID(E793,FIND("-",E793)+1,10)))),1,0),0))</f>
        <v>0</v>
      </c>
      <c r="J793" s="0" t="str">
        <f aca="false">IF(I793=1,TRIM(LEFT(H793,MAX(0,LEN(H793)-LEN(D793)))),"")</f>
        <v/>
      </c>
      <c r="K793" s="0" t="str">
        <f aca="false">INDEX($P$2:$P$21,A793)</f>
        <v>Deck 14</v>
      </c>
      <c r="L793" s="0" t="n">
        <f aca="false">IF(AND(C793&lt;&gt;"",LEFT(C793,2)&lt;&gt;"//",I793=0),1,0)</f>
        <v>0</v>
      </c>
      <c r="M793" s="0" t="str">
        <f aca="false">IF(I793=1,MAX(M$1:M792)+1,"")</f>
        <v/>
      </c>
      <c r="N793" s="0" t="str">
        <f aca="false">IFERROR(MATCH(ROW()-1,$V$2:$V$1201,0),"")</f>
        <v/>
      </c>
      <c r="R793" s="0" t="str">
        <f aca="false">IF(E793="","",IFERROR(LEFT(E793,FIND("-",E793)-1),E793))</f>
        <v/>
      </c>
      <c r="S793" s="0" t="str">
        <f aca="false">IF(R793="","",IF(ISNUMBER(--MID(R793,1,1)),0,IF(ISNUMBER(--MID(R793,2,1)),1,IF(ISNUMBER(--MID(R793,3,1)),2,IF(ISNUMBER(--MID(R793,4,1)),3,MIN(LEN(R793),4))))))</f>
        <v/>
      </c>
      <c r="T793" s="0" t="str">
        <f aca="false">IF(E793="","",LEFT(R793,S793)&amp;REPT("0",4-S793)&amp;RIGHT("000"&amp;IFERROR(VALUE(MID(R793,S793+1,9)),0),3)&amp;RIGHT("0000"&amp;IFERROR(VALUE(MID(E793,FIND("-",E793)+1,9)),0),4))</f>
        <v/>
      </c>
      <c r="U793" s="0" t="str">
        <f aca="false">IF(I793=1,"K"&amp;RIGHT("00"&amp;A793,2)&amp;T793&amp;RIGHT("00000"&amp;ROW(),5),"")</f>
        <v/>
      </c>
      <c r="V793" s="0" t="str">
        <f aca="false">IF(U793="","",COUNTIFS($I$2:$I$1201,1,$U$2:$U$1201,"&lt;"&amp;U793)+1)</f>
        <v/>
      </c>
    </row>
    <row r="794" customFormat="false" ht="15" hidden="false" customHeight="false" outlineLevel="0" collapsed="false">
      <c r="A794" s="0" t="n">
        <v>14</v>
      </c>
      <c r="B794" s="0" t="n">
        <v>13</v>
      </c>
      <c r="C794" s="0" t="str">
        <f aca="false">TRIM(SUBSTITUTE(INDEX(LISTAS!$A$4:$T$63,B794,A794)&amp;"",CHAR(160)," "))</f>
        <v/>
      </c>
      <c r="D794" s="0" t="str">
        <f aca="false">IF(C794="","",TRIM(RIGHT(SUBSTITUTE(C794," ",REPT(" ",100)),100)))</f>
        <v/>
      </c>
      <c r="E794" s="0" t="str">
        <f aca="false">IF(D794="","",UPPER(SUBSTITUTE(SUBSTITUTE(D794,"(",""),")","")))</f>
        <v/>
      </c>
      <c r="F794" s="0" t="str">
        <f aca="false">IF(C794="","",LEFT(C794,FIND(" ",C794&amp;" ")-1))</f>
        <v/>
      </c>
      <c r="G794" s="0" t="n">
        <f aca="false">IFERROR(VALUE(SUBSTITUTE(LOWER(F794),"x","")),0)</f>
        <v>0</v>
      </c>
      <c r="H794" s="0" t="str">
        <f aca="false">IF(C794="","",TRIM(MID(C794,LEN(F794)+2,999)))</f>
        <v/>
      </c>
      <c r="I794" s="0" t="n">
        <f aca="false">IF(OR(C794="",LEFT(C794,2)="//"),0,IFERROR(IF(AND(G794&gt;0,G794=INT(G794),FIND("-",E794)&gt;1,NOT(EXACT(UPPER(LEFT(E794,1)),LOWER(LEFT(E794,1)))),ISNUMBER(VALUE(MID(E794,FIND("-",E794)+1,10)))),1,0),0))</f>
        <v>0</v>
      </c>
      <c r="J794" s="0" t="str">
        <f aca="false">IF(I794=1,TRIM(LEFT(H794,MAX(0,LEN(H794)-LEN(D794)))),"")</f>
        <v/>
      </c>
      <c r="K794" s="0" t="str">
        <f aca="false">INDEX($P$2:$P$21,A794)</f>
        <v>Deck 14</v>
      </c>
      <c r="L794" s="0" t="n">
        <f aca="false">IF(AND(C794&lt;&gt;"",LEFT(C794,2)&lt;&gt;"//",I794=0),1,0)</f>
        <v>0</v>
      </c>
      <c r="M794" s="0" t="str">
        <f aca="false">IF(I794=1,MAX(M$1:M793)+1,"")</f>
        <v/>
      </c>
      <c r="N794" s="0" t="str">
        <f aca="false">IFERROR(MATCH(ROW()-1,$V$2:$V$1201,0),"")</f>
        <v/>
      </c>
      <c r="R794" s="0" t="str">
        <f aca="false">IF(E794="","",IFERROR(LEFT(E794,FIND("-",E794)-1),E794))</f>
        <v/>
      </c>
      <c r="S794" s="0" t="str">
        <f aca="false">IF(R794="","",IF(ISNUMBER(--MID(R794,1,1)),0,IF(ISNUMBER(--MID(R794,2,1)),1,IF(ISNUMBER(--MID(R794,3,1)),2,IF(ISNUMBER(--MID(R794,4,1)),3,MIN(LEN(R794),4))))))</f>
        <v/>
      </c>
      <c r="T794" s="0" t="str">
        <f aca="false">IF(E794="","",LEFT(R794,S794)&amp;REPT("0",4-S794)&amp;RIGHT("000"&amp;IFERROR(VALUE(MID(R794,S794+1,9)),0),3)&amp;RIGHT("0000"&amp;IFERROR(VALUE(MID(E794,FIND("-",E794)+1,9)),0),4))</f>
        <v/>
      </c>
      <c r="U794" s="0" t="str">
        <f aca="false">IF(I794=1,"K"&amp;RIGHT("00"&amp;A794,2)&amp;T794&amp;RIGHT("00000"&amp;ROW(),5),"")</f>
        <v/>
      </c>
      <c r="V794" s="0" t="str">
        <f aca="false">IF(U794="","",COUNTIFS($I$2:$I$1201,1,$U$2:$U$1201,"&lt;"&amp;U794)+1)</f>
        <v/>
      </c>
    </row>
    <row r="795" customFormat="false" ht="15" hidden="false" customHeight="false" outlineLevel="0" collapsed="false">
      <c r="A795" s="0" t="n">
        <v>14</v>
      </c>
      <c r="B795" s="0" t="n">
        <v>14</v>
      </c>
      <c r="C795" s="0" t="str">
        <f aca="false">TRIM(SUBSTITUTE(INDEX(LISTAS!$A$4:$T$63,B795,A795)&amp;"",CHAR(160)," "))</f>
        <v/>
      </c>
      <c r="D795" s="0" t="str">
        <f aca="false">IF(C795="","",TRIM(RIGHT(SUBSTITUTE(C795," ",REPT(" ",100)),100)))</f>
        <v/>
      </c>
      <c r="E795" s="0" t="str">
        <f aca="false">IF(D795="","",UPPER(SUBSTITUTE(SUBSTITUTE(D795,"(",""),")","")))</f>
        <v/>
      </c>
      <c r="F795" s="0" t="str">
        <f aca="false">IF(C795="","",LEFT(C795,FIND(" ",C795&amp;" ")-1))</f>
        <v/>
      </c>
      <c r="G795" s="0" t="n">
        <f aca="false">IFERROR(VALUE(SUBSTITUTE(LOWER(F795),"x","")),0)</f>
        <v>0</v>
      </c>
      <c r="H795" s="0" t="str">
        <f aca="false">IF(C795="","",TRIM(MID(C795,LEN(F795)+2,999)))</f>
        <v/>
      </c>
      <c r="I795" s="0" t="n">
        <f aca="false">IF(OR(C795="",LEFT(C795,2)="//"),0,IFERROR(IF(AND(G795&gt;0,G795=INT(G795),FIND("-",E795)&gt;1,NOT(EXACT(UPPER(LEFT(E795,1)),LOWER(LEFT(E795,1)))),ISNUMBER(VALUE(MID(E795,FIND("-",E795)+1,10)))),1,0),0))</f>
        <v>0</v>
      </c>
      <c r="J795" s="0" t="str">
        <f aca="false">IF(I795=1,TRIM(LEFT(H795,MAX(0,LEN(H795)-LEN(D795)))),"")</f>
        <v/>
      </c>
      <c r="K795" s="0" t="str">
        <f aca="false">INDEX($P$2:$P$21,A795)</f>
        <v>Deck 14</v>
      </c>
      <c r="L795" s="0" t="n">
        <f aca="false">IF(AND(C795&lt;&gt;"",LEFT(C795,2)&lt;&gt;"//",I795=0),1,0)</f>
        <v>0</v>
      </c>
      <c r="M795" s="0" t="str">
        <f aca="false">IF(I795=1,MAX(M$1:M794)+1,"")</f>
        <v/>
      </c>
      <c r="N795" s="0" t="str">
        <f aca="false">IFERROR(MATCH(ROW()-1,$V$2:$V$1201,0),"")</f>
        <v/>
      </c>
      <c r="R795" s="0" t="str">
        <f aca="false">IF(E795="","",IFERROR(LEFT(E795,FIND("-",E795)-1),E795))</f>
        <v/>
      </c>
      <c r="S795" s="0" t="str">
        <f aca="false">IF(R795="","",IF(ISNUMBER(--MID(R795,1,1)),0,IF(ISNUMBER(--MID(R795,2,1)),1,IF(ISNUMBER(--MID(R795,3,1)),2,IF(ISNUMBER(--MID(R795,4,1)),3,MIN(LEN(R795),4))))))</f>
        <v/>
      </c>
      <c r="T795" s="0" t="str">
        <f aca="false">IF(E795="","",LEFT(R795,S795)&amp;REPT("0",4-S795)&amp;RIGHT("000"&amp;IFERROR(VALUE(MID(R795,S795+1,9)),0),3)&amp;RIGHT("0000"&amp;IFERROR(VALUE(MID(E795,FIND("-",E795)+1,9)),0),4))</f>
        <v/>
      </c>
      <c r="U795" s="0" t="str">
        <f aca="false">IF(I795=1,"K"&amp;RIGHT("00"&amp;A795,2)&amp;T795&amp;RIGHT("00000"&amp;ROW(),5),"")</f>
        <v/>
      </c>
      <c r="V795" s="0" t="str">
        <f aca="false">IF(U795="","",COUNTIFS($I$2:$I$1201,1,$U$2:$U$1201,"&lt;"&amp;U795)+1)</f>
        <v/>
      </c>
    </row>
    <row r="796" customFormat="false" ht="15" hidden="false" customHeight="false" outlineLevel="0" collapsed="false">
      <c r="A796" s="0" t="n">
        <v>14</v>
      </c>
      <c r="B796" s="0" t="n">
        <v>15</v>
      </c>
      <c r="C796" s="0" t="str">
        <f aca="false">TRIM(SUBSTITUTE(INDEX(LISTAS!$A$4:$T$63,B796,A796)&amp;"",CHAR(160)," "))</f>
        <v/>
      </c>
      <c r="D796" s="0" t="str">
        <f aca="false">IF(C796="","",TRIM(RIGHT(SUBSTITUTE(C796," ",REPT(" ",100)),100)))</f>
        <v/>
      </c>
      <c r="E796" s="0" t="str">
        <f aca="false">IF(D796="","",UPPER(SUBSTITUTE(SUBSTITUTE(D796,"(",""),")","")))</f>
        <v/>
      </c>
      <c r="F796" s="0" t="str">
        <f aca="false">IF(C796="","",LEFT(C796,FIND(" ",C796&amp;" ")-1))</f>
        <v/>
      </c>
      <c r="G796" s="0" t="n">
        <f aca="false">IFERROR(VALUE(SUBSTITUTE(LOWER(F796),"x","")),0)</f>
        <v>0</v>
      </c>
      <c r="H796" s="0" t="str">
        <f aca="false">IF(C796="","",TRIM(MID(C796,LEN(F796)+2,999)))</f>
        <v/>
      </c>
      <c r="I796" s="0" t="n">
        <f aca="false">IF(OR(C796="",LEFT(C796,2)="//"),0,IFERROR(IF(AND(G796&gt;0,G796=INT(G796),FIND("-",E796)&gt;1,NOT(EXACT(UPPER(LEFT(E796,1)),LOWER(LEFT(E796,1)))),ISNUMBER(VALUE(MID(E796,FIND("-",E796)+1,10)))),1,0),0))</f>
        <v>0</v>
      </c>
      <c r="J796" s="0" t="str">
        <f aca="false">IF(I796=1,TRIM(LEFT(H796,MAX(0,LEN(H796)-LEN(D796)))),"")</f>
        <v/>
      </c>
      <c r="K796" s="0" t="str">
        <f aca="false">INDEX($P$2:$P$21,A796)</f>
        <v>Deck 14</v>
      </c>
      <c r="L796" s="0" t="n">
        <f aca="false">IF(AND(C796&lt;&gt;"",LEFT(C796,2)&lt;&gt;"//",I796=0),1,0)</f>
        <v>0</v>
      </c>
      <c r="M796" s="0" t="str">
        <f aca="false">IF(I796=1,MAX(M$1:M795)+1,"")</f>
        <v/>
      </c>
      <c r="N796" s="0" t="str">
        <f aca="false">IFERROR(MATCH(ROW()-1,$V$2:$V$1201,0),"")</f>
        <v/>
      </c>
      <c r="R796" s="0" t="str">
        <f aca="false">IF(E796="","",IFERROR(LEFT(E796,FIND("-",E796)-1),E796))</f>
        <v/>
      </c>
      <c r="S796" s="0" t="str">
        <f aca="false">IF(R796="","",IF(ISNUMBER(--MID(R796,1,1)),0,IF(ISNUMBER(--MID(R796,2,1)),1,IF(ISNUMBER(--MID(R796,3,1)),2,IF(ISNUMBER(--MID(R796,4,1)),3,MIN(LEN(R796),4))))))</f>
        <v/>
      </c>
      <c r="T796" s="0" t="str">
        <f aca="false">IF(E796="","",LEFT(R796,S796)&amp;REPT("0",4-S796)&amp;RIGHT("000"&amp;IFERROR(VALUE(MID(R796,S796+1,9)),0),3)&amp;RIGHT("0000"&amp;IFERROR(VALUE(MID(E796,FIND("-",E796)+1,9)),0),4))</f>
        <v/>
      </c>
      <c r="U796" s="0" t="str">
        <f aca="false">IF(I796=1,"K"&amp;RIGHT("00"&amp;A796,2)&amp;T796&amp;RIGHT("00000"&amp;ROW(),5),"")</f>
        <v/>
      </c>
      <c r="V796" s="0" t="str">
        <f aca="false">IF(U796="","",COUNTIFS($I$2:$I$1201,1,$U$2:$U$1201,"&lt;"&amp;U796)+1)</f>
        <v/>
      </c>
    </row>
    <row r="797" customFormat="false" ht="15" hidden="false" customHeight="false" outlineLevel="0" collapsed="false">
      <c r="A797" s="0" t="n">
        <v>14</v>
      </c>
      <c r="B797" s="0" t="n">
        <v>16</v>
      </c>
      <c r="C797" s="0" t="str">
        <f aca="false">TRIM(SUBSTITUTE(INDEX(LISTAS!$A$4:$T$63,B797,A797)&amp;"",CHAR(160)," "))</f>
        <v/>
      </c>
      <c r="D797" s="0" t="str">
        <f aca="false">IF(C797="","",TRIM(RIGHT(SUBSTITUTE(C797," ",REPT(" ",100)),100)))</f>
        <v/>
      </c>
      <c r="E797" s="0" t="str">
        <f aca="false">IF(D797="","",UPPER(SUBSTITUTE(SUBSTITUTE(D797,"(",""),")","")))</f>
        <v/>
      </c>
      <c r="F797" s="0" t="str">
        <f aca="false">IF(C797="","",LEFT(C797,FIND(" ",C797&amp;" ")-1))</f>
        <v/>
      </c>
      <c r="G797" s="0" t="n">
        <f aca="false">IFERROR(VALUE(SUBSTITUTE(LOWER(F797),"x","")),0)</f>
        <v>0</v>
      </c>
      <c r="H797" s="0" t="str">
        <f aca="false">IF(C797="","",TRIM(MID(C797,LEN(F797)+2,999)))</f>
        <v/>
      </c>
      <c r="I797" s="0" t="n">
        <f aca="false">IF(OR(C797="",LEFT(C797,2)="//"),0,IFERROR(IF(AND(G797&gt;0,G797=INT(G797),FIND("-",E797)&gt;1,NOT(EXACT(UPPER(LEFT(E797,1)),LOWER(LEFT(E797,1)))),ISNUMBER(VALUE(MID(E797,FIND("-",E797)+1,10)))),1,0),0))</f>
        <v>0</v>
      </c>
      <c r="J797" s="0" t="str">
        <f aca="false">IF(I797=1,TRIM(LEFT(H797,MAX(0,LEN(H797)-LEN(D797)))),"")</f>
        <v/>
      </c>
      <c r="K797" s="0" t="str">
        <f aca="false">INDEX($P$2:$P$21,A797)</f>
        <v>Deck 14</v>
      </c>
      <c r="L797" s="0" t="n">
        <f aca="false">IF(AND(C797&lt;&gt;"",LEFT(C797,2)&lt;&gt;"//",I797=0),1,0)</f>
        <v>0</v>
      </c>
      <c r="M797" s="0" t="str">
        <f aca="false">IF(I797=1,MAX(M$1:M796)+1,"")</f>
        <v/>
      </c>
      <c r="N797" s="0" t="str">
        <f aca="false">IFERROR(MATCH(ROW()-1,$V$2:$V$1201,0),"")</f>
        <v/>
      </c>
      <c r="R797" s="0" t="str">
        <f aca="false">IF(E797="","",IFERROR(LEFT(E797,FIND("-",E797)-1),E797))</f>
        <v/>
      </c>
      <c r="S797" s="0" t="str">
        <f aca="false">IF(R797="","",IF(ISNUMBER(--MID(R797,1,1)),0,IF(ISNUMBER(--MID(R797,2,1)),1,IF(ISNUMBER(--MID(R797,3,1)),2,IF(ISNUMBER(--MID(R797,4,1)),3,MIN(LEN(R797),4))))))</f>
        <v/>
      </c>
      <c r="T797" s="0" t="str">
        <f aca="false">IF(E797="","",LEFT(R797,S797)&amp;REPT("0",4-S797)&amp;RIGHT("000"&amp;IFERROR(VALUE(MID(R797,S797+1,9)),0),3)&amp;RIGHT("0000"&amp;IFERROR(VALUE(MID(E797,FIND("-",E797)+1,9)),0),4))</f>
        <v/>
      </c>
      <c r="U797" s="0" t="str">
        <f aca="false">IF(I797=1,"K"&amp;RIGHT("00"&amp;A797,2)&amp;T797&amp;RIGHT("00000"&amp;ROW(),5),"")</f>
        <v/>
      </c>
      <c r="V797" s="0" t="str">
        <f aca="false">IF(U797="","",COUNTIFS($I$2:$I$1201,1,$U$2:$U$1201,"&lt;"&amp;U797)+1)</f>
        <v/>
      </c>
    </row>
    <row r="798" customFormat="false" ht="15" hidden="false" customHeight="false" outlineLevel="0" collapsed="false">
      <c r="A798" s="0" t="n">
        <v>14</v>
      </c>
      <c r="B798" s="0" t="n">
        <v>17</v>
      </c>
      <c r="C798" s="0" t="str">
        <f aca="false">TRIM(SUBSTITUTE(INDEX(LISTAS!$A$4:$T$63,B798,A798)&amp;"",CHAR(160)," "))</f>
        <v/>
      </c>
      <c r="D798" s="0" t="str">
        <f aca="false">IF(C798="","",TRIM(RIGHT(SUBSTITUTE(C798," ",REPT(" ",100)),100)))</f>
        <v/>
      </c>
      <c r="E798" s="0" t="str">
        <f aca="false">IF(D798="","",UPPER(SUBSTITUTE(SUBSTITUTE(D798,"(",""),")","")))</f>
        <v/>
      </c>
      <c r="F798" s="0" t="str">
        <f aca="false">IF(C798="","",LEFT(C798,FIND(" ",C798&amp;" ")-1))</f>
        <v/>
      </c>
      <c r="G798" s="0" t="n">
        <f aca="false">IFERROR(VALUE(SUBSTITUTE(LOWER(F798),"x","")),0)</f>
        <v>0</v>
      </c>
      <c r="H798" s="0" t="str">
        <f aca="false">IF(C798="","",TRIM(MID(C798,LEN(F798)+2,999)))</f>
        <v/>
      </c>
      <c r="I798" s="0" t="n">
        <f aca="false">IF(OR(C798="",LEFT(C798,2)="//"),0,IFERROR(IF(AND(G798&gt;0,G798=INT(G798),FIND("-",E798)&gt;1,NOT(EXACT(UPPER(LEFT(E798,1)),LOWER(LEFT(E798,1)))),ISNUMBER(VALUE(MID(E798,FIND("-",E798)+1,10)))),1,0),0))</f>
        <v>0</v>
      </c>
      <c r="J798" s="0" t="str">
        <f aca="false">IF(I798=1,TRIM(LEFT(H798,MAX(0,LEN(H798)-LEN(D798)))),"")</f>
        <v/>
      </c>
      <c r="K798" s="0" t="str">
        <f aca="false">INDEX($P$2:$P$21,A798)</f>
        <v>Deck 14</v>
      </c>
      <c r="L798" s="0" t="n">
        <f aca="false">IF(AND(C798&lt;&gt;"",LEFT(C798,2)&lt;&gt;"//",I798=0),1,0)</f>
        <v>0</v>
      </c>
      <c r="M798" s="0" t="str">
        <f aca="false">IF(I798=1,MAX(M$1:M797)+1,"")</f>
        <v/>
      </c>
      <c r="N798" s="0" t="str">
        <f aca="false">IFERROR(MATCH(ROW()-1,$V$2:$V$1201,0),"")</f>
        <v/>
      </c>
      <c r="R798" s="0" t="str">
        <f aca="false">IF(E798="","",IFERROR(LEFT(E798,FIND("-",E798)-1),E798))</f>
        <v/>
      </c>
      <c r="S798" s="0" t="str">
        <f aca="false">IF(R798="","",IF(ISNUMBER(--MID(R798,1,1)),0,IF(ISNUMBER(--MID(R798,2,1)),1,IF(ISNUMBER(--MID(R798,3,1)),2,IF(ISNUMBER(--MID(R798,4,1)),3,MIN(LEN(R798),4))))))</f>
        <v/>
      </c>
      <c r="T798" s="0" t="str">
        <f aca="false">IF(E798="","",LEFT(R798,S798)&amp;REPT("0",4-S798)&amp;RIGHT("000"&amp;IFERROR(VALUE(MID(R798,S798+1,9)),0),3)&amp;RIGHT("0000"&amp;IFERROR(VALUE(MID(E798,FIND("-",E798)+1,9)),0),4))</f>
        <v/>
      </c>
      <c r="U798" s="0" t="str">
        <f aca="false">IF(I798=1,"K"&amp;RIGHT("00"&amp;A798,2)&amp;T798&amp;RIGHT("00000"&amp;ROW(),5),"")</f>
        <v/>
      </c>
      <c r="V798" s="0" t="str">
        <f aca="false">IF(U798="","",COUNTIFS($I$2:$I$1201,1,$U$2:$U$1201,"&lt;"&amp;U798)+1)</f>
        <v/>
      </c>
    </row>
    <row r="799" customFormat="false" ht="15" hidden="false" customHeight="false" outlineLevel="0" collapsed="false">
      <c r="A799" s="0" t="n">
        <v>14</v>
      </c>
      <c r="B799" s="0" t="n">
        <v>18</v>
      </c>
      <c r="C799" s="0" t="str">
        <f aca="false">TRIM(SUBSTITUTE(INDEX(LISTAS!$A$4:$T$63,B799,A799)&amp;"",CHAR(160)," "))</f>
        <v/>
      </c>
      <c r="D799" s="0" t="str">
        <f aca="false">IF(C799="","",TRIM(RIGHT(SUBSTITUTE(C799," ",REPT(" ",100)),100)))</f>
        <v/>
      </c>
      <c r="E799" s="0" t="str">
        <f aca="false">IF(D799="","",UPPER(SUBSTITUTE(SUBSTITUTE(D799,"(",""),")","")))</f>
        <v/>
      </c>
      <c r="F799" s="0" t="str">
        <f aca="false">IF(C799="","",LEFT(C799,FIND(" ",C799&amp;" ")-1))</f>
        <v/>
      </c>
      <c r="G799" s="0" t="n">
        <f aca="false">IFERROR(VALUE(SUBSTITUTE(LOWER(F799),"x","")),0)</f>
        <v>0</v>
      </c>
      <c r="H799" s="0" t="str">
        <f aca="false">IF(C799="","",TRIM(MID(C799,LEN(F799)+2,999)))</f>
        <v/>
      </c>
      <c r="I799" s="0" t="n">
        <f aca="false">IF(OR(C799="",LEFT(C799,2)="//"),0,IFERROR(IF(AND(G799&gt;0,G799=INT(G799),FIND("-",E799)&gt;1,NOT(EXACT(UPPER(LEFT(E799,1)),LOWER(LEFT(E799,1)))),ISNUMBER(VALUE(MID(E799,FIND("-",E799)+1,10)))),1,0),0))</f>
        <v>0</v>
      </c>
      <c r="J799" s="0" t="str">
        <f aca="false">IF(I799=1,TRIM(LEFT(H799,MAX(0,LEN(H799)-LEN(D799)))),"")</f>
        <v/>
      </c>
      <c r="K799" s="0" t="str">
        <f aca="false">INDEX($P$2:$P$21,A799)</f>
        <v>Deck 14</v>
      </c>
      <c r="L799" s="0" t="n">
        <f aca="false">IF(AND(C799&lt;&gt;"",LEFT(C799,2)&lt;&gt;"//",I799=0),1,0)</f>
        <v>0</v>
      </c>
      <c r="M799" s="0" t="str">
        <f aca="false">IF(I799=1,MAX(M$1:M798)+1,"")</f>
        <v/>
      </c>
      <c r="N799" s="0" t="str">
        <f aca="false">IFERROR(MATCH(ROW()-1,$V$2:$V$1201,0),"")</f>
        <v/>
      </c>
      <c r="R799" s="0" t="str">
        <f aca="false">IF(E799="","",IFERROR(LEFT(E799,FIND("-",E799)-1),E799))</f>
        <v/>
      </c>
      <c r="S799" s="0" t="str">
        <f aca="false">IF(R799="","",IF(ISNUMBER(--MID(R799,1,1)),0,IF(ISNUMBER(--MID(R799,2,1)),1,IF(ISNUMBER(--MID(R799,3,1)),2,IF(ISNUMBER(--MID(R799,4,1)),3,MIN(LEN(R799),4))))))</f>
        <v/>
      </c>
      <c r="T799" s="0" t="str">
        <f aca="false">IF(E799="","",LEFT(R799,S799)&amp;REPT("0",4-S799)&amp;RIGHT("000"&amp;IFERROR(VALUE(MID(R799,S799+1,9)),0),3)&amp;RIGHT("0000"&amp;IFERROR(VALUE(MID(E799,FIND("-",E799)+1,9)),0),4))</f>
        <v/>
      </c>
      <c r="U799" s="0" t="str">
        <f aca="false">IF(I799=1,"K"&amp;RIGHT("00"&amp;A799,2)&amp;T799&amp;RIGHT("00000"&amp;ROW(),5),"")</f>
        <v/>
      </c>
      <c r="V799" s="0" t="str">
        <f aca="false">IF(U799="","",COUNTIFS($I$2:$I$1201,1,$U$2:$U$1201,"&lt;"&amp;U799)+1)</f>
        <v/>
      </c>
    </row>
    <row r="800" customFormat="false" ht="15" hidden="false" customHeight="false" outlineLevel="0" collapsed="false">
      <c r="A800" s="0" t="n">
        <v>14</v>
      </c>
      <c r="B800" s="0" t="n">
        <v>19</v>
      </c>
      <c r="C800" s="0" t="str">
        <f aca="false">TRIM(SUBSTITUTE(INDEX(LISTAS!$A$4:$T$63,B800,A800)&amp;"",CHAR(160)," "))</f>
        <v/>
      </c>
      <c r="D800" s="0" t="str">
        <f aca="false">IF(C800="","",TRIM(RIGHT(SUBSTITUTE(C800," ",REPT(" ",100)),100)))</f>
        <v/>
      </c>
      <c r="E800" s="0" t="str">
        <f aca="false">IF(D800="","",UPPER(SUBSTITUTE(SUBSTITUTE(D800,"(",""),")","")))</f>
        <v/>
      </c>
      <c r="F800" s="0" t="str">
        <f aca="false">IF(C800="","",LEFT(C800,FIND(" ",C800&amp;" ")-1))</f>
        <v/>
      </c>
      <c r="G800" s="0" t="n">
        <f aca="false">IFERROR(VALUE(SUBSTITUTE(LOWER(F800),"x","")),0)</f>
        <v>0</v>
      </c>
      <c r="H800" s="0" t="str">
        <f aca="false">IF(C800="","",TRIM(MID(C800,LEN(F800)+2,999)))</f>
        <v/>
      </c>
      <c r="I800" s="0" t="n">
        <f aca="false">IF(OR(C800="",LEFT(C800,2)="//"),0,IFERROR(IF(AND(G800&gt;0,G800=INT(G800),FIND("-",E800)&gt;1,NOT(EXACT(UPPER(LEFT(E800,1)),LOWER(LEFT(E800,1)))),ISNUMBER(VALUE(MID(E800,FIND("-",E800)+1,10)))),1,0),0))</f>
        <v>0</v>
      </c>
      <c r="J800" s="0" t="str">
        <f aca="false">IF(I800=1,TRIM(LEFT(H800,MAX(0,LEN(H800)-LEN(D800)))),"")</f>
        <v/>
      </c>
      <c r="K800" s="0" t="str">
        <f aca="false">INDEX($P$2:$P$21,A800)</f>
        <v>Deck 14</v>
      </c>
      <c r="L800" s="0" t="n">
        <f aca="false">IF(AND(C800&lt;&gt;"",LEFT(C800,2)&lt;&gt;"//",I800=0),1,0)</f>
        <v>0</v>
      </c>
      <c r="M800" s="0" t="str">
        <f aca="false">IF(I800=1,MAX(M$1:M799)+1,"")</f>
        <v/>
      </c>
      <c r="N800" s="0" t="str">
        <f aca="false">IFERROR(MATCH(ROW()-1,$V$2:$V$1201,0),"")</f>
        <v/>
      </c>
      <c r="R800" s="0" t="str">
        <f aca="false">IF(E800="","",IFERROR(LEFT(E800,FIND("-",E800)-1),E800))</f>
        <v/>
      </c>
      <c r="S800" s="0" t="str">
        <f aca="false">IF(R800="","",IF(ISNUMBER(--MID(R800,1,1)),0,IF(ISNUMBER(--MID(R800,2,1)),1,IF(ISNUMBER(--MID(R800,3,1)),2,IF(ISNUMBER(--MID(R800,4,1)),3,MIN(LEN(R800),4))))))</f>
        <v/>
      </c>
      <c r="T800" s="0" t="str">
        <f aca="false">IF(E800="","",LEFT(R800,S800)&amp;REPT("0",4-S800)&amp;RIGHT("000"&amp;IFERROR(VALUE(MID(R800,S800+1,9)),0),3)&amp;RIGHT("0000"&amp;IFERROR(VALUE(MID(E800,FIND("-",E800)+1,9)),0),4))</f>
        <v/>
      </c>
      <c r="U800" s="0" t="str">
        <f aca="false">IF(I800=1,"K"&amp;RIGHT("00"&amp;A800,2)&amp;T800&amp;RIGHT("00000"&amp;ROW(),5),"")</f>
        <v/>
      </c>
      <c r="V800" s="0" t="str">
        <f aca="false">IF(U800="","",COUNTIFS($I$2:$I$1201,1,$U$2:$U$1201,"&lt;"&amp;U800)+1)</f>
        <v/>
      </c>
    </row>
    <row r="801" customFormat="false" ht="15" hidden="false" customHeight="false" outlineLevel="0" collapsed="false">
      <c r="A801" s="0" t="n">
        <v>14</v>
      </c>
      <c r="B801" s="0" t="n">
        <v>20</v>
      </c>
      <c r="C801" s="0" t="str">
        <f aca="false">TRIM(SUBSTITUTE(INDEX(LISTAS!$A$4:$T$63,B801,A801)&amp;"",CHAR(160)," "))</f>
        <v/>
      </c>
      <c r="D801" s="0" t="str">
        <f aca="false">IF(C801="","",TRIM(RIGHT(SUBSTITUTE(C801," ",REPT(" ",100)),100)))</f>
        <v/>
      </c>
      <c r="E801" s="0" t="str">
        <f aca="false">IF(D801="","",UPPER(SUBSTITUTE(SUBSTITUTE(D801,"(",""),")","")))</f>
        <v/>
      </c>
      <c r="F801" s="0" t="str">
        <f aca="false">IF(C801="","",LEFT(C801,FIND(" ",C801&amp;" ")-1))</f>
        <v/>
      </c>
      <c r="G801" s="0" t="n">
        <f aca="false">IFERROR(VALUE(SUBSTITUTE(LOWER(F801),"x","")),0)</f>
        <v>0</v>
      </c>
      <c r="H801" s="0" t="str">
        <f aca="false">IF(C801="","",TRIM(MID(C801,LEN(F801)+2,999)))</f>
        <v/>
      </c>
      <c r="I801" s="0" t="n">
        <f aca="false">IF(OR(C801="",LEFT(C801,2)="//"),0,IFERROR(IF(AND(G801&gt;0,G801=INT(G801),FIND("-",E801)&gt;1,NOT(EXACT(UPPER(LEFT(E801,1)),LOWER(LEFT(E801,1)))),ISNUMBER(VALUE(MID(E801,FIND("-",E801)+1,10)))),1,0),0))</f>
        <v>0</v>
      </c>
      <c r="J801" s="0" t="str">
        <f aca="false">IF(I801=1,TRIM(LEFT(H801,MAX(0,LEN(H801)-LEN(D801)))),"")</f>
        <v/>
      </c>
      <c r="K801" s="0" t="str">
        <f aca="false">INDEX($P$2:$P$21,A801)</f>
        <v>Deck 14</v>
      </c>
      <c r="L801" s="0" t="n">
        <f aca="false">IF(AND(C801&lt;&gt;"",LEFT(C801,2)&lt;&gt;"//",I801=0),1,0)</f>
        <v>0</v>
      </c>
      <c r="M801" s="0" t="str">
        <f aca="false">IF(I801=1,MAX(M$1:M800)+1,"")</f>
        <v/>
      </c>
      <c r="N801" s="0" t="str">
        <f aca="false">IFERROR(MATCH(ROW()-1,$V$2:$V$1201,0),"")</f>
        <v/>
      </c>
      <c r="R801" s="0" t="str">
        <f aca="false">IF(E801="","",IFERROR(LEFT(E801,FIND("-",E801)-1),E801))</f>
        <v/>
      </c>
      <c r="S801" s="0" t="str">
        <f aca="false">IF(R801="","",IF(ISNUMBER(--MID(R801,1,1)),0,IF(ISNUMBER(--MID(R801,2,1)),1,IF(ISNUMBER(--MID(R801,3,1)),2,IF(ISNUMBER(--MID(R801,4,1)),3,MIN(LEN(R801),4))))))</f>
        <v/>
      </c>
      <c r="T801" s="0" t="str">
        <f aca="false">IF(E801="","",LEFT(R801,S801)&amp;REPT("0",4-S801)&amp;RIGHT("000"&amp;IFERROR(VALUE(MID(R801,S801+1,9)),0),3)&amp;RIGHT("0000"&amp;IFERROR(VALUE(MID(E801,FIND("-",E801)+1,9)),0),4))</f>
        <v/>
      </c>
      <c r="U801" s="0" t="str">
        <f aca="false">IF(I801=1,"K"&amp;RIGHT("00"&amp;A801,2)&amp;T801&amp;RIGHT("00000"&amp;ROW(),5),"")</f>
        <v/>
      </c>
      <c r="V801" s="0" t="str">
        <f aca="false">IF(U801="","",COUNTIFS($I$2:$I$1201,1,$U$2:$U$1201,"&lt;"&amp;U801)+1)</f>
        <v/>
      </c>
    </row>
    <row r="802" customFormat="false" ht="15" hidden="false" customHeight="false" outlineLevel="0" collapsed="false">
      <c r="A802" s="0" t="n">
        <v>14</v>
      </c>
      <c r="B802" s="0" t="n">
        <v>21</v>
      </c>
      <c r="C802" s="0" t="str">
        <f aca="false">TRIM(SUBSTITUTE(INDEX(LISTAS!$A$4:$T$63,B802,A802)&amp;"",CHAR(160)," "))</f>
        <v/>
      </c>
      <c r="D802" s="0" t="str">
        <f aca="false">IF(C802="","",TRIM(RIGHT(SUBSTITUTE(C802," ",REPT(" ",100)),100)))</f>
        <v/>
      </c>
      <c r="E802" s="0" t="str">
        <f aca="false">IF(D802="","",UPPER(SUBSTITUTE(SUBSTITUTE(D802,"(",""),")","")))</f>
        <v/>
      </c>
      <c r="F802" s="0" t="str">
        <f aca="false">IF(C802="","",LEFT(C802,FIND(" ",C802&amp;" ")-1))</f>
        <v/>
      </c>
      <c r="G802" s="0" t="n">
        <f aca="false">IFERROR(VALUE(SUBSTITUTE(LOWER(F802),"x","")),0)</f>
        <v>0</v>
      </c>
      <c r="H802" s="0" t="str">
        <f aca="false">IF(C802="","",TRIM(MID(C802,LEN(F802)+2,999)))</f>
        <v/>
      </c>
      <c r="I802" s="0" t="n">
        <f aca="false">IF(OR(C802="",LEFT(C802,2)="//"),0,IFERROR(IF(AND(G802&gt;0,G802=INT(G802),FIND("-",E802)&gt;1,NOT(EXACT(UPPER(LEFT(E802,1)),LOWER(LEFT(E802,1)))),ISNUMBER(VALUE(MID(E802,FIND("-",E802)+1,10)))),1,0),0))</f>
        <v>0</v>
      </c>
      <c r="J802" s="0" t="str">
        <f aca="false">IF(I802=1,TRIM(LEFT(H802,MAX(0,LEN(H802)-LEN(D802)))),"")</f>
        <v/>
      </c>
      <c r="K802" s="0" t="str">
        <f aca="false">INDEX($P$2:$P$21,A802)</f>
        <v>Deck 14</v>
      </c>
      <c r="L802" s="0" t="n">
        <f aca="false">IF(AND(C802&lt;&gt;"",LEFT(C802,2)&lt;&gt;"//",I802=0),1,0)</f>
        <v>0</v>
      </c>
      <c r="M802" s="0" t="str">
        <f aca="false">IF(I802=1,MAX(M$1:M801)+1,"")</f>
        <v/>
      </c>
      <c r="N802" s="0" t="str">
        <f aca="false">IFERROR(MATCH(ROW()-1,$V$2:$V$1201,0),"")</f>
        <v/>
      </c>
      <c r="R802" s="0" t="str">
        <f aca="false">IF(E802="","",IFERROR(LEFT(E802,FIND("-",E802)-1),E802))</f>
        <v/>
      </c>
      <c r="S802" s="0" t="str">
        <f aca="false">IF(R802="","",IF(ISNUMBER(--MID(R802,1,1)),0,IF(ISNUMBER(--MID(R802,2,1)),1,IF(ISNUMBER(--MID(R802,3,1)),2,IF(ISNUMBER(--MID(R802,4,1)),3,MIN(LEN(R802),4))))))</f>
        <v/>
      </c>
      <c r="T802" s="0" t="str">
        <f aca="false">IF(E802="","",LEFT(R802,S802)&amp;REPT("0",4-S802)&amp;RIGHT("000"&amp;IFERROR(VALUE(MID(R802,S802+1,9)),0),3)&amp;RIGHT("0000"&amp;IFERROR(VALUE(MID(E802,FIND("-",E802)+1,9)),0),4))</f>
        <v/>
      </c>
      <c r="U802" s="0" t="str">
        <f aca="false">IF(I802=1,"K"&amp;RIGHT("00"&amp;A802,2)&amp;T802&amp;RIGHT("00000"&amp;ROW(),5),"")</f>
        <v/>
      </c>
      <c r="V802" s="0" t="str">
        <f aca="false">IF(U802="","",COUNTIFS($I$2:$I$1201,1,$U$2:$U$1201,"&lt;"&amp;U802)+1)</f>
        <v/>
      </c>
    </row>
    <row r="803" customFormat="false" ht="15" hidden="false" customHeight="false" outlineLevel="0" collapsed="false">
      <c r="A803" s="0" t="n">
        <v>14</v>
      </c>
      <c r="B803" s="0" t="n">
        <v>22</v>
      </c>
      <c r="C803" s="0" t="str">
        <f aca="false">TRIM(SUBSTITUTE(INDEX(LISTAS!$A$4:$T$63,B803,A803)&amp;"",CHAR(160)," "))</f>
        <v/>
      </c>
      <c r="D803" s="0" t="str">
        <f aca="false">IF(C803="","",TRIM(RIGHT(SUBSTITUTE(C803," ",REPT(" ",100)),100)))</f>
        <v/>
      </c>
      <c r="E803" s="0" t="str">
        <f aca="false">IF(D803="","",UPPER(SUBSTITUTE(SUBSTITUTE(D803,"(",""),")","")))</f>
        <v/>
      </c>
      <c r="F803" s="0" t="str">
        <f aca="false">IF(C803="","",LEFT(C803,FIND(" ",C803&amp;" ")-1))</f>
        <v/>
      </c>
      <c r="G803" s="0" t="n">
        <f aca="false">IFERROR(VALUE(SUBSTITUTE(LOWER(F803),"x","")),0)</f>
        <v>0</v>
      </c>
      <c r="H803" s="0" t="str">
        <f aca="false">IF(C803="","",TRIM(MID(C803,LEN(F803)+2,999)))</f>
        <v/>
      </c>
      <c r="I803" s="0" t="n">
        <f aca="false">IF(OR(C803="",LEFT(C803,2)="//"),0,IFERROR(IF(AND(G803&gt;0,G803=INT(G803),FIND("-",E803)&gt;1,NOT(EXACT(UPPER(LEFT(E803,1)),LOWER(LEFT(E803,1)))),ISNUMBER(VALUE(MID(E803,FIND("-",E803)+1,10)))),1,0),0))</f>
        <v>0</v>
      </c>
      <c r="J803" s="0" t="str">
        <f aca="false">IF(I803=1,TRIM(LEFT(H803,MAX(0,LEN(H803)-LEN(D803)))),"")</f>
        <v/>
      </c>
      <c r="K803" s="0" t="str">
        <f aca="false">INDEX($P$2:$P$21,A803)</f>
        <v>Deck 14</v>
      </c>
      <c r="L803" s="0" t="n">
        <f aca="false">IF(AND(C803&lt;&gt;"",LEFT(C803,2)&lt;&gt;"//",I803=0),1,0)</f>
        <v>0</v>
      </c>
      <c r="M803" s="0" t="str">
        <f aca="false">IF(I803=1,MAX(M$1:M802)+1,"")</f>
        <v/>
      </c>
      <c r="N803" s="0" t="str">
        <f aca="false">IFERROR(MATCH(ROW()-1,$V$2:$V$1201,0),"")</f>
        <v/>
      </c>
      <c r="R803" s="0" t="str">
        <f aca="false">IF(E803="","",IFERROR(LEFT(E803,FIND("-",E803)-1),E803))</f>
        <v/>
      </c>
      <c r="S803" s="0" t="str">
        <f aca="false">IF(R803="","",IF(ISNUMBER(--MID(R803,1,1)),0,IF(ISNUMBER(--MID(R803,2,1)),1,IF(ISNUMBER(--MID(R803,3,1)),2,IF(ISNUMBER(--MID(R803,4,1)),3,MIN(LEN(R803),4))))))</f>
        <v/>
      </c>
      <c r="T803" s="0" t="str">
        <f aca="false">IF(E803="","",LEFT(R803,S803)&amp;REPT("0",4-S803)&amp;RIGHT("000"&amp;IFERROR(VALUE(MID(R803,S803+1,9)),0),3)&amp;RIGHT("0000"&amp;IFERROR(VALUE(MID(E803,FIND("-",E803)+1,9)),0),4))</f>
        <v/>
      </c>
      <c r="U803" s="0" t="str">
        <f aca="false">IF(I803=1,"K"&amp;RIGHT("00"&amp;A803,2)&amp;T803&amp;RIGHT("00000"&amp;ROW(),5),"")</f>
        <v/>
      </c>
      <c r="V803" s="0" t="str">
        <f aca="false">IF(U803="","",COUNTIFS($I$2:$I$1201,1,$U$2:$U$1201,"&lt;"&amp;U803)+1)</f>
        <v/>
      </c>
    </row>
    <row r="804" customFormat="false" ht="15" hidden="false" customHeight="false" outlineLevel="0" collapsed="false">
      <c r="A804" s="0" t="n">
        <v>14</v>
      </c>
      <c r="B804" s="0" t="n">
        <v>23</v>
      </c>
      <c r="C804" s="0" t="str">
        <f aca="false">TRIM(SUBSTITUTE(INDEX(LISTAS!$A$4:$T$63,B804,A804)&amp;"",CHAR(160)," "))</f>
        <v/>
      </c>
      <c r="D804" s="0" t="str">
        <f aca="false">IF(C804="","",TRIM(RIGHT(SUBSTITUTE(C804," ",REPT(" ",100)),100)))</f>
        <v/>
      </c>
      <c r="E804" s="0" t="str">
        <f aca="false">IF(D804="","",UPPER(SUBSTITUTE(SUBSTITUTE(D804,"(",""),")","")))</f>
        <v/>
      </c>
      <c r="F804" s="0" t="str">
        <f aca="false">IF(C804="","",LEFT(C804,FIND(" ",C804&amp;" ")-1))</f>
        <v/>
      </c>
      <c r="G804" s="0" t="n">
        <f aca="false">IFERROR(VALUE(SUBSTITUTE(LOWER(F804),"x","")),0)</f>
        <v>0</v>
      </c>
      <c r="H804" s="0" t="str">
        <f aca="false">IF(C804="","",TRIM(MID(C804,LEN(F804)+2,999)))</f>
        <v/>
      </c>
      <c r="I804" s="0" t="n">
        <f aca="false">IF(OR(C804="",LEFT(C804,2)="//"),0,IFERROR(IF(AND(G804&gt;0,G804=INT(G804),FIND("-",E804)&gt;1,NOT(EXACT(UPPER(LEFT(E804,1)),LOWER(LEFT(E804,1)))),ISNUMBER(VALUE(MID(E804,FIND("-",E804)+1,10)))),1,0),0))</f>
        <v>0</v>
      </c>
      <c r="J804" s="0" t="str">
        <f aca="false">IF(I804=1,TRIM(LEFT(H804,MAX(0,LEN(H804)-LEN(D804)))),"")</f>
        <v/>
      </c>
      <c r="K804" s="0" t="str">
        <f aca="false">INDEX($P$2:$P$21,A804)</f>
        <v>Deck 14</v>
      </c>
      <c r="L804" s="0" t="n">
        <f aca="false">IF(AND(C804&lt;&gt;"",LEFT(C804,2)&lt;&gt;"//",I804=0),1,0)</f>
        <v>0</v>
      </c>
      <c r="M804" s="0" t="str">
        <f aca="false">IF(I804=1,MAX(M$1:M803)+1,"")</f>
        <v/>
      </c>
      <c r="N804" s="0" t="str">
        <f aca="false">IFERROR(MATCH(ROW()-1,$V$2:$V$1201,0),"")</f>
        <v/>
      </c>
      <c r="R804" s="0" t="str">
        <f aca="false">IF(E804="","",IFERROR(LEFT(E804,FIND("-",E804)-1),E804))</f>
        <v/>
      </c>
      <c r="S804" s="0" t="str">
        <f aca="false">IF(R804="","",IF(ISNUMBER(--MID(R804,1,1)),0,IF(ISNUMBER(--MID(R804,2,1)),1,IF(ISNUMBER(--MID(R804,3,1)),2,IF(ISNUMBER(--MID(R804,4,1)),3,MIN(LEN(R804),4))))))</f>
        <v/>
      </c>
      <c r="T804" s="0" t="str">
        <f aca="false">IF(E804="","",LEFT(R804,S804)&amp;REPT("0",4-S804)&amp;RIGHT("000"&amp;IFERROR(VALUE(MID(R804,S804+1,9)),0),3)&amp;RIGHT("0000"&amp;IFERROR(VALUE(MID(E804,FIND("-",E804)+1,9)),0),4))</f>
        <v/>
      </c>
      <c r="U804" s="0" t="str">
        <f aca="false">IF(I804=1,"K"&amp;RIGHT("00"&amp;A804,2)&amp;T804&amp;RIGHT("00000"&amp;ROW(),5),"")</f>
        <v/>
      </c>
      <c r="V804" s="0" t="str">
        <f aca="false">IF(U804="","",COUNTIFS($I$2:$I$1201,1,$U$2:$U$1201,"&lt;"&amp;U804)+1)</f>
        <v/>
      </c>
    </row>
    <row r="805" customFormat="false" ht="15" hidden="false" customHeight="false" outlineLevel="0" collapsed="false">
      <c r="A805" s="0" t="n">
        <v>14</v>
      </c>
      <c r="B805" s="0" t="n">
        <v>24</v>
      </c>
      <c r="C805" s="0" t="str">
        <f aca="false">TRIM(SUBSTITUTE(INDEX(LISTAS!$A$4:$T$63,B805,A805)&amp;"",CHAR(160)," "))</f>
        <v/>
      </c>
      <c r="D805" s="0" t="str">
        <f aca="false">IF(C805="","",TRIM(RIGHT(SUBSTITUTE(C805," ",REPT(" ",100)),100)))</f>
        <v/>
      </c>
      <c r="E805" s="0" t="str">
        <f aca="false">IF(D805="","",UPPER(SUBSTITUTE(SUBSTITUTE(D805,"(",""),")","")))</f>
        <v/>
      </c>
      <c r="F805" s="0" t="str">
        <f aca="false">IF(C805="","",LEFT(C805,FIND(" ",C805&amp;" ")-1))</f>
        <v/>
      </c>
      <c r="G805" s="0" t="n">
        <f aca="false">IFERROR(VALUE(SUBSTITUTE(LOWER(F805),"x","")),0)</f>
        <v>0</v>
      </c>
      <c r="H805" s="0" t="str">
        <f aca="false">IF(C805="","",TRIM(MID(C805,LEN(F805)+2,999)))</f>
        <v/>
      </c>
      <c r="I805" s="0" t="n">
        <f aca="false">IF(OR(C805="",LEFT(C805,2)="//"),0,IFERROR(IF(AND(G805&gt;0,G805=INT(G805),FIND("-",E805)&gt;1,NOT(EXACT(UPPER(LEFT(E805,1)),LOWER(LEFT(E805,1)))),ISNUMBER(VALUE(MID(E805,FIND("-",E805)+1,10)))),1,0),0))</f>
        <v>0</v>
      </c>
      <c r="J805" s="0" t="str">
        <f aca="false">IF(I805=1,TRIM(LEFT(H805,MAX(0,LEN(H805)-LEN(D805)))),"")</f>
        <v/>
      </c>
      <c r="K805" s="0" t="str">
        <f aca="false">INDEX($P$2:$P$21,A805)</f>
        <v>Deck 14</v>
      </c>
      <c r="L805" s="0" t="n">
        <f aca="false">IF(AND(C805&lt;&gt;"",LEFT(C805,2)&lt;&gt;"//",I805=0),1,0)</f>
        <v>0</v>
      </c>
      <c r="M805" s="0" t="str">
        <f aca="false">IF(I805=1,MAX(M$1:M804)+1,"")</f>
        <v/>
      </c>
      <c r="N805" s="0" t="str">
        <f aca="false">IFERROR(MATCH(ROW()-1,$V$2:$V$1201,0),"")</f>
        <v/>
      </c>
      <c r="R805" s="0" t="str">
        <f aca="false">IF(E805="","",IFERROR(LEFT(E805,FIND("-",E805)-1),E805))</f>
        <v/>
      </c>
      <c r="S805" s="0" t="str">
        <f aca="false">IF(R805="","",IF(ISNUMBER(--MID(R805,1,1)),0,IF(ISNUMBER(--MID(R805,2,1)),1,IF(ISNUMBER(--MID(R805,3,1)),2,IF(ISNUMBER(--MID(R805,4,1)),3,MIN(LEN(R805),4))))))</f>
        <v/>
      </c>
      <c r="T805" s="0" t="str">
        <f aca="false">IF(E805="","",LEFT(R805,S805)&amp;REPT("0",4-S805)&amp;RIGHT("000"&amp;IFERROR(VALUE(MID(R805,S805+1,9)),0),3)&amp;RIGHT("0000"&amp;IFERROR(VALUE(MID(E805,FIND("-",E805)+1,9)),0),4))</f>
        <v/>
      </c>
      <c r="U805" s="0" t="str">
        <f aca="false">IF(I805=1,"K"&amp;RIGHT("00"&amp;A805,2)&amp;T805&amp;RIGHT("00000"&amp;ROW(),5),"")</f>
        <v/>
      </c>
      <c r="V805" s="0" t="str">
        <f aca="false">IF(U805="","",COUNTIFS($I$2:$I$1201,1,$U$2:$U$1201,"&lt;"&amp;U805)+1)</f>
        <v/>
      </c>
    </row>
    <row r="806" customFormat="false" ht="15" hidden="false" customHeight="false" outlineLevel="0" collapsed="false">
      <c r="A806" s="0" t="n">
        <v>14</v>
      </c>
      <c r="B806" s="0" t="n">
        <v>25</v>
      </c>
      <c r="C806" s="0" t="str">
        <f aca="false">TRIM(SUBSTITUTE(INDEX(LISTAS!$A$4:$T$63,B806,A806)&amp;"",CHAR(160)," "))</f>
        <v/>
      </c>
      <c r="D806" s="0" t="str">
        <f aca="false">IF(C806="","",TRIM(RIGHT(SUBSTITUTE(C806," ",REPT(" ",100)),100)))</f>
        <v/>
      </c>
      <c r="E806" s="0" t="str">
        <f aca="false">IF(D806="","",UPPER(SUBSTITUTE(SUBSTITUTE(D806,"(",""),")","")))</f>
        <v/>
      </c>
      <c r="F806" s="0" t="str">
        <f aca="false">IF(C806="","",LEFT(C806,FIND(" ",C806&amp;" ")-1))</f>
        <v/>
      </c>
      <c r="G806" s="0" t="n">
        <f aca="false">IFERROR(VALUE(SUBSTITUTE(LOWER(F806),"x","")),0)</f>
        <v>0</v>
      </c>
      <c r="H806" s="0" t="str">
        <f aca="false">IF(C806="","",TRIM(MID(C806,LEN(F806)+2,999)))</f>
        <v/>
      </c>
      <c r="I806" s="0" t="n">
        <f aca="false">IF(OR(C806="",LEFT(C806,2)="//"),0,IFERROR(IF(AND(G806&gt;0,G806=INT(G806),FIND("-",E806)&gt;1,NOT(EXACT(UPPER(LEFT(E806,1)),LOWER(LEFT(E806,1)))),ISNUMBER(VALUE(MID(E806,FIND("-",E806)+1,10)))),1,0),0))</f>
        <v>0</v>
      </c>
      <c r="J806" s="0" t="str">
        <f aca="false">IF(I806=1,TRIM(LEFT(H806,MAX(0,LEN(H806)-LEN(D806)))),"")</f>
        <v/>
      </c>
      <c r="K806" s="0" t="str">
        <f aca="false">INDEX($P$2:$P$21,A806)</f>
        <v>Deck 14</v>
      </c>
      <c r="L806" s="0" t="n">
        <f aca="false">IF(AND(C806&lt;&gt;"",LEFT(C806,2)&lt;&gt;"//",I806=0),1,0)</f>
        <v>0</v>
      </c>
      <c r="M806" s="0" t="str">
        <f aca="false">IF(I806=1,MAX(M$1:M805)+1,"")</f>
        <v/>
      </c>
      <c r="N806" s="0" t="str">
        <f aca="false">IFERROR(MATCH(ROW()-1,$V$2:$V$1201,0),"")</f>
        <v/>
      </c>
      <c r="R806" s="0" t="str">
        <f aca="false">IF(E806="","",IFERROR(LEFT(E806,FIND("-",E806)-1),E806))</f>
        <v/>
      </c>
      <c r="S806" s="0" t="str">
        <f aca="false">IF(R806="","",IF(ISNUMBER(--MID(R806,1,1)),0,IF(ISNUMBER(--MID(R806,2,1)),1,IF(ISNUMBER(--MID(R806,3,1)),2,IF(ISNUMBER(--MID(R806,4,1)),3,MIN(LEN(R806),4))))))</f>
        <v/>
      </c>
      <c r="T806" s="0" t="str">
        <f aca="false">IF(E806="","",LEFT(R806,S806)&amp;REPT("0",4-S806)&amp;RIGHT("000"&amp;IFERROR(VALUE(MID(R806,S806+1,9)),0),3)&amp;RIGHT("0000"&amp;IFERROR(VALUE(MID(E806,FIND("-",E806)+1,9)),0),4))</f>
        <v/>
      </c>
      <c r="U806" s="0" t="str">
        <f aca="false">IF(I806=1,"K"&amp;RIGHT("00"&amp;A806,2)&amp;T806&amp;RIGHT("00000"&amp;ROW(),5),"")</f>
        <v/>
      </c>
      <c r="V806" s="0" t="str">
        <f aca="false">IF(U806="","",COUNTIFS($I$2:$I$1201,1,$U$2:$U$1201,"&lt;"&amp;U806)+1)</f>
        <v/>
      </c>
    </row>
    <row r="807" customFormat="false" ht="15" hidden="false" customHeight="false" outlineLevel="0" collapsed="false">
      <c r="A807" s="0" t="n">
        <v>14</v>
      </c>
      <c r="B807" s="0" t="n">
        <v>26</v>
      </c>
      <c r="C807" s="0" t="str">
        <f aca="false">TRIM(SUBSTITUTE(INDEX(LISTAS!$A$4:$T$63,B807,A807)&amp;"",CHAR(160)," "))</f>
        <v/>
      </c>
      <c r="D807" s="0" t="str">
        <f aca="false">IF(C807="","",TRIM(RIGHT(SUBSTITUTE(C807," ",REPT(" ",100)),100)))</f>
        <v/>
      </c>
      <c r="E807" s="0" t="str">
        <f aca="false">IF(D807="","",UPPER(SUBSTITUTE(SUBSTITUTE(D807,"(",""),")","")))</f>
        <v/>
      </c>
      <c r="F807" s="0" t="str">
        <f aca="false">IF(C807="","",LEFT(C807,FIND(" ",C807&amp;" ")-1))</f>
        <v/>
      </c>
      <c r="G807" s="0" t="n">
        <f aca="false">IFERROR(VALUE(SUBSTITUTE(LOWER(F807),"x","")),0)</f>
        <v>0</v>
      </c>
      <c r="H807" s="0" t="str">
        <f aca="false">IF(C807="","",TRIM(MID(C807,LEN(F807)+2,999)))</f>
        <v/>
      </c>
      <c r="I807" s="0" t="n">
        <f aca="false">IF(OR(C807="",LEFT(C807,2)="//"),0,IFERROR(IF(AND(G807&gt;0,G807=INT(G807),FIND("-",E807)&gt;1,NOT(EXACT(UPPER(LEFT(E807,1)),LOWER(LEFT(E807,1)))),ISNUMBER(VALUE(MID(E807,FIND("-",E807)+1,10)))),1,0),0))</f>
        <v>0</v>
      </c>
      <c r="J807" s="0" t="str">
        <f aca="false">IF(I807=1,TRIM(LEFT(H807,MAX(0,LEN(H807)-LEN(D807)))),"")</f>
        <v/>
      </c>
      <c r="K807" s="0" t="str">
        <f aca="false">INDEX($P$2:$P$21,A807)</f>
        <v>Deck 14</v>
      </c>
      <c r="L807" s="0" t="n">
        <f aca="false">IF(AND(C807&lt;&gt;"",LEFT(C807,2)&lt;&gt;"//",I807=0),1,0)</f>
        <v>0</v>
      </c>
      <c r="M807" s="0" t="str">
        <f aca="false">IF(I807=1,MAX(M$1:M806)+1,"")</f>
        <v/>
      </c>
      <c r="N807" s="0" t="str">
        <f aca="false">IFERROR(MATCH(ROW()-1,$V$2:$V$1201,0),"")</f>
        <v/>
      </c>
      <c r="R807" s="0" t="str">
        <f aca="false">IF(E807="","",IFERROR(LEFT(E807,FIND("-",E807)-1),E807))</f>
        <v/>
      </c>
      <c r="S807" s="0" t="str">
        <f aca="false">IF(R807="","",IF(ISNUMBER(--MID(R807,1,1)),0,IF(ISNUMBER(--MID(R807,2,1)),1,IF(ISNUMBER(--MID(R807,3,1)),2,IF(ISNUMBER(--MID(R807,4,1)),3,MIN(LEN(R807),4))))))</f>
        <v/>
      </c>
      <c r="T807" s="0" t="str">
        <f aca="false">IF(E807="","",LEFT(R807,S807)&amp;REPT("0",4-S807)&amp;RIGHT("000"&amp;IFERROR(VALUE(MID(R807,S807+1,9)),0),3)&amp;RIGHT("0000"&amp;IFERROR(VALUE(MID(E807,FIND("-",E807)+1,9)),0),4))</f>
        <v/>
      </c>
      <c r="U807" s="0" t="str">
        <f aca="false">IF(I807=1,"K"&amp;RIGHT("00"&amp;A807,2)&amp;T807&amp;RIGHT("00000"&amp;ROW(),5),"")</f>
        <v/>
      </c>
      <c r="V807" s="0" t="str">
        <f aca="false">IF(U807="","",COUNTIFS($I$2:$I$1201,1,$U$2:$U$1201,"&lt;"&amp;U807)+1)</f>
        <v/>
      </c>
    </row>
    <row r="808" customFormat="false" ht="15" hidden="false" customHeight="false" outlineLevel="0" collapsed="false">
      <c r="A808" s="0" t="n">
        <v>14</v>
      </c>
      <c r="B808" s="0" t="n">
        <v>27</v>
      </c>
      <c r="C808" s="0" t="str">
        <f aca="false">TRIM(SUBSTITUTE(INDEX(LISTAS!$A$4:$T$63,B808,A808)&amp;"",CHAR(160)," "))</f>
        <v/>
      </c>
      <c r="D808" s="0" t="str">
        <f aca="false">IF(C808="","",TRIM(RIGHT(SUBSTITUTE(C808," ",REPT(" ",100)),100)))</f>
        <v/>
      </c>
      <c r="E808" s="0" t="str">
        <f aca="false">IF(D808="","",UPPER(SUBSTITUTE(SUBSTITUTE(D808,"(",""),")","")))</f>
        <v/>
      </c>
      <c r="F808" s="0" t="str">
        <f aca="false">IF(C808="","",LEFT(C808,FIND(" ",C808&amp;" ")-1))</f>
        <v/>
      </c>
      <c r="G808" s="0" t="n">
        <f aca="false">IFERROR(VALUE(SUBSTITUTE(LOWER(F808),"x","")),0)</f>
        <v>0</v>
      </c>
      <c r="H808" s="0" t="str">
        <f aca="false">IF(C808="","",TRIM(MID(C808,LEN(F808)+2,999)))</f>
        <v/>
      </c>
      <c r="I808" s="0" t="n">
        <f aca="false">IF(OR(C808="",LEFT(C808,2)="//"),0,IFERROR(IF(AND(G808&gt;0,G808=INT(G808),FIND("-",E808)&gt;1,NOT(EXACT(UPPER(LEFT(E808,1)),LOWER(LEFT(E808,1)))),ISNUMBER(VALUE(MID(E808,FIND("-",E808)+1,10)))),1,0),0))</f>
        <v>0</v>
      </c>
      <c r="J808" s="0" t="str">
        <f aca="false">IF(I808=1,TRIM(LEFT(H808,MAX(0,LEN(H808)-LEN(D808)))),"")</f>
        <v/>
      </c>
      <c r="K808" s="0" t="str">
        <f aca="false">INDEX($P$2:$P$21,A808)</f>
        <v>Deck 14</v>
      </c>
      <c r="L808" s="0" t="n">
        <f aca="false">IF(AND(C808&lt;&gt;"",LEFT(C808,2)&lt;&gt;"//",I808=0),1,0)</f>
        <v>0</v>
      </c>
      <c r="M808" s="0" t="str">
        <f aca="false">IF(I808=1,MAX(M$1:M807)+1,"")</f>
        <v/>
      </c>
      <c r="N808" s="0" t="str">
        <f aca="false">IFERROR(MATCH(ROW()-1,$V$2:$V$1201,0),"")</f>
        <v/>
      </c>
      <c r="R808" s="0" t="str">
        <f aca="false">IF(E808="","",IFERROR(LEFT(E808,FIND("-",E808)-1),E808))</f>
        <v/>
      </c>
      <c r="S808" s="0" t="str">
        <f aca="false">IF(R808="","",IF(ISNUMBER(--MID(R808,1,1)),0,IF(ISNUMBER(--MID(R808,2,1)),1,IF(ISNUMBER(--MID(R808,3,1)),2,IF(ISNUMBER(--MID(R808,4,1)),3,MIN(LEN(R808),4))))))</f>
        <v/>
      </c>
      <c r="T808" s="0" t="str">
        <f aca="false">IF(E808="","",LEFT(R808,S808)&amp;REPT("0",4-S808)&amp;RIGHT("000"&amp;IFERROR(VALUE(MID(R808,S808+1,9)),0),3)&amp;RIGHT("0000"&amp;IFERROR(VALUE(MID(E808,FIND("-",E808)+1,9)),0),4))</f>
        <v/>
      </c>
      <c r="U808" s="0" t="str">
        <f aca="false">IF(I808=1,"K"&amp;RIGHT("00"&amp;A808,2)&amp;T808&amp;RIGHT("00000"&amp;ROW(),5),"")</f>
        <v/>
      </c>
      <c r="V808" s="0" t="str">
        <f aca="false">IF(U808="","",COUNTIFS($I$2:$I$1201,1,$U$2:$U$1201,"&lt;"&amp;U808)+1)</f>
        <v/>
      </c>
    </row>
    <row r="809" customFormat="false" ht="15" hidden="false" customHeight="false" outlineLevel="0" collapsed="false">
      <c r="A809" s="0" t="n">
        <v>14</v>
      </c>
      <c r="B809" s="0" t="n">
        <v>28</v>
      </c>
      <c r="C809" s="0" t="str">
        <f aca="false">TRIM(SUBSTITUTE(INDEX(LISTAS!$A$4:$T$63,B809,A809)&amp;"",CHAR(160)," "))</f>
        <v/>
      </c>
      <c r="D809" s="0" t="str">
        <f aca="false">IF(C809="","",TRIM(RIGHT(SUBSTITUTE(C809," ",REPT(" ",100)),100)))</f>
        <v/>
      </c>
      <c r="E809" s="0" t="str">
        <f aca="false">IF(D809="","",UPPER(SUBSTITUTE(SUBSTITUTE(D809,"(",""),")","")))</f>
        <v/>
      </c>
      <c r="F809" s="0" t="str">
        <f aca="false">IF(C809="","",LEFT(C809,FIND(" ",C809&amp;" ")-1))</f>
        <v/>
      </c>
      <c r="G809" s="0" t="n">
        <f aca="false">IFERROR(VALUE(SUBSTITUTE(LOWER(F809),"x","")),0)</f>
        <v>0</v>
      </c>
      <c r="H809" s="0" t="str">
        <f aca="false">IF(C809="","",TRIM(MID(C809,LEN(F809)+2,999)))</f>
        <v/>
      </c>
      <c r="I809" s="0" t="n">
        <f aca="false">IF(OR(C809="",LEFT(C809,2)="//"),0,IFERROR(IF(AND(G809&gt;0,G809=INT(G809),FIND("-",E809)&gt;1,NOT(EXACT(UPPER(LEFT(E809,1)),LOWER(LEFT(E809,1)))),ISNUMBER(VALUE(MID(E809,FIND("-",E809)+1,10)))),1,0),0))</f>
        <v>0</v>
      </c>
      <c r="J809" s="0" t="str">
        <f aca="false">IF(I809=1,TRIM(LEFT(H809,MAX(0,LEN(H809)-LEN(D809)))),"")</f>
        <v/>
      </c>
      <c r="K809" s="0" t="str">
        <f aca="false">INDEX($P$2:$P$21,A809)</f>
        <v>Deck 14</v>
      </c>
      <c r="L809" s="0" t="n">
        <f aca="false">IF(AND(C809&lt;&gt;"",LEFT(C809,2)&lt;&gt;"//",I809=0),1,0)</f>
        <v>0</v>
      </c>
      <c r="M809" s="0" t="str">
        <f aca="false">IF(I809=1,MAX(M$1:M808)+1,"")</f>
        <v/>
      </c>
      <c r="N809" s="0" t="str">
        <f aca="false">IFERROR(MATCH(ROW()-1,$V$2:$V$1201,0),"")</f>
        <v/>
      </c>
      <c r="R809" s="0" t="str">
        <f aca="false">IF(E809="","",IFERROR(LEFT(E809,FIND("-",E809)-1),E809))</f>
        <v/>
      </c>
      <c r="S809" s="0" t="str">
        <f aca="false">IF(R809="","",IF(ISNUMBER(--MID(R809,1,1)),0,IF(ISNUMBER(--MID(R809,2,1)),1,IF(ISNUMBER(--MID(R809,3,1)),2,IF(ISNUMBER(--MID(R809,4,1)),3,MIN(LEN(R809),4))))))</f>
        <v/>
      </c>
      <c r="T809" s="0" t="str">
        <f aca="false">IF(E809="","",LEFT(R809,S809)&amp;REPT("0",4-S809)&amp;RIGHT("000"&amp;IFERROR(VALUE(MID(R809,S809+1,9)),0),3)&amp;RIGHT("0000"&amp;IFERROR(VALUE(MID(E809,FIND("-",E809)+1,9)),0),4))</f>
        <v/>
      </c>
      <c r="U809" s="0" t="str">
        <f aca="false">IF(I809=1,"K"&amp;RIGHT("00"&amp;A809,2)&amp;T809&amp;RIGHT("00000"&amp;ROW(),5),"")</f>
        <v/>
      </c>
      <c r="V809" s="0" t="str">
        <f aca="false">IF(U809="","",COUNTIFS($I$2:$I$1201,1,$U$2:$U$1201,"&lt;"&amp;U809)+1)</f>
        <v/>
      </c>
    </row>
    <row r="810" customFormat="false" ht="15" hidden="false" customHeight="false" outlineLevel="0" collapsed="false">
      <c r="A810" s="0" t="n">
        <v>14</v>
      </c>
      <c r="B810" s="0" t="n">
        <v>29</v>
      </c>
      <c r="C810" s="0" t="str">
        <f aca="false">TRIM(SUBSTITUTE(INDEX(LISTAS!$A$4:$T$63,B810,A810)&amp;"",CHAR(160)," "))</f>
        <v/>
      </c>
      <c r="D810" s="0" t="str">
        <f aca="false">IF(C810="","",TRIM(RIGHT(SUBSTITUTE(C810," ",REPT(" ",100)),100)))</f>
        <v/>
      </c>
      <c r="E810" s="0" t="str">
        <f aca="false">IF(D810="","",UPPER(SUBSTITUTE(SUBSTITUTE(D810,"(",""),")","")))</f>
        <v/>
      </c>
      <c r="F810" s="0" t="str">
        <f aca="false">IF(C810="","",LEFT(C810,FIND(" ",C810&amp;" ")-1))</f>
        <v/>
      </c>
      <c r="G810" s="0" t="n">
        <f aca="false">IFERROR(VALUE(SUBSTITUTE(LOWER(F810),"x","")),0)</f>
        <v>0</v>
      </c>
      <c r="H810" s="0" t="str">
        <f aca="false">IF(C810="","",TRIM(MID(C810,LEN(F810)+2,999)))</f>
        <v/>
      </c>
      <c r="I810" s="0" t="n">
        <f aca="false">IF(OR(C810="",LEFT(C810,2)="//"),0,IFERROR(IF(AND(G810&gt;0,G810=INT(G810),FIND("-",E810)&gt;1,NOT(EXACT(UPPER(LEFT(E810,1)),LOWER(LEFT(E810,1)))),ISNUMBER(VALUE(MID(E810,FIND("-",E810)+1,10)))),1,0),0))</f>
        <v>0</v>
      </c>
      <c r="J810" s="0" t="str">
        <f aca="false">IF(I810=1,TRIM(LEFT(H810,MAX(0,LEN(H810)-LEN(D810)))),"")</f>
        <v/>
      </c>
      <c r="K810" s="0" t="str">
        <f aca="false">INDEX($P$2:$P$21,A810)</f>
        <v>Deck 14</v>
      </c>
      <c r="L810" s="0" t="n">
        <f aca="false">IF(AND(C810&lt;&gt;"",LEFT(C810,2)&lt;&gt;"//",I810=0),1,0)</f>
        <v>0</v>
      </c>
      <c r="M810" s="0" t="str">
        <f aca="false">IF(I810=1,MAX(M$1:M809)+1,"")</f>
        <v/>
      </c>
      <c r="N810" s="0" t="str">
        <f aca="false">IFERROR(MATCH(ROW()-1,$V$2:$V$1201,0),"")</f>
        <v/>
      </c>
      <c r="R810" s="0" t="str">
        <f aca="false">IF(E810="","",IFERROR(LEFT(E810,FIND("-",E810)-1),E810))</f>
        <v/>
      </c>
      <c r="S810" s="0" t="str">
        <f aca="false">IF(R810="","",IF(ISNUMBER(--MID(R810,1,1)),0,IF(ISNUMBER(--MID(R810,2,1)),1,IF(ISNUMBER(--MID(R810,3,1)),2,IF(ISNUMBER(--MID(R810,4,1)),3,MIN(LEN(R810),4))))))</f>
        <v/>
      </c>
      <c r="T810" s="0" t="str">
        <f aca="false">IF(E810="","",LEFT(R810,S810)&amp;REPT("0",4-S810)&amp;RIGHT("000"&amp;IFERROR(VALUE(MID(R810,S810+1,9)),0),3)&amp;RIGHT("0000"&amp;IFERROR(VALUE(MID(E810,FIND("-",E810)+1,9)),0),4))</f>
        <v/>
      </c>
      <c r="U810" s="0" t="str">
        <f aca="false">IF(I810=1,"K"&amp;RIGHT("00"&amp;A810,2)&amp;T810&amp;RIGHT("00000"&amp;ROW(),5),"")</f>
        <v/>
      </c>
      <c r="V810" s="0" t="str">
        <f aca="false">IF(U810="","",COUNTIFS($I$2:$I$1201,1,$U$2:$U$1201,"&lt;"&amp;U810)+1)</f>
        <v/>
      </c>
    </row>
    <row r="811" customFormat="false" ht="15" hidden="false" customHeight="false" outlineLevel="0" collapsed="false">
      <c r="A811" s="0" t="n">
        <v>14</v>
      </c>
      <c r="B811" s="0" t="n">
        <v>30</v>
      </c>
      <c r="C811" s="0" t="str">
        <f aca="false">TRIM(SUBSTITUTE(INDEX(LISTAS!$A$4:$T$63,B811,A811)&amp;"",CHAR(160)," "))</f>
        <v/>
      </c>
      <c r="D811" s="0" t="str">
        <f aca="false">IF(C811="","",TRIM(RIGHT(SUBSTITUTE(C811," ",REPT(" ",100)),100)))</f>
        <v/>
      </c>
      <c r="E811" s="0" t="str">
        <f aca="false">IF(D811="","",UPPER(SUBSTITUTE(SUBSTITUTE(D811,"(",""),")","")))</f>
        <v/>
      </c>
      <c r="F811" s="0" t="str">
        <f aca="false">IF(C811="","",LEFT(C811,FIND(" ",C811&amp;" ")-1))</f>
        <v/>
      </c>
      <c r="G811" s="0" t="n">
        <f aca="false">IFERROR(VALUE(SUBSTITUTE(LOWER(F811),"x","")),0)</f>
        <v>0</v>
      </c>
      <c r="H811" s="0" t="str">
        <f aca="false">IF(C811="","",TRIM(MID(C811,LEN(F811)+2,999)))</f>
        <v/>
      </c>
      <c r="I811" s="0" t="n">
        <f aca="false">IF(OR(C811="",LEFT(C811,2)="//"),0,IFERROR(IF(AND(G811&gt;0,G811=INT(G811),FIND("-",E811)&gt;1,NOT(EXACT(UPPER(LEFT(E811,1)),LOWER(LEFT(E811,1)))),ISNUMBER(VALUE(MID(E811,FIND("-",E811)+1,10)))),1,0),0))</f>
        <v>0</v>
      </c>
      <c r="J811" s="0" t="str">
        <f aca="false">IF(I811=1,TRIM(LEFT(H811,MAX(0,LEN(H811)-LEN(D811)))),"")</f>
        <v/>
      </c>
      <c r="K811" s="0" t="str">
        <f aca="false">INDEX($P$2:$P$21,A811)</f>
        <v>Deck 14</v>
      </c>
      <c r="L811" s="0" t="n">
        <f aca="false">IF(AND(C811&lt;&gt;"",LEFT(C811,2)&lt;&gt;"//",I811=0),1,0)</f>
        <v>0</v>
      </c>
      <c r="M811" s="0" t="str">
        <f aca="false">IF(I811=1,MAX(M$1:M810)+1,"")</f>
        <v/>
      </c>
      <c r="N811" s="0" t="str">
        <f aca="false">IFERROR(MATCH(ROW()-1,$V$2:$V$1201,0),"")</f>
        <v/>
      </c>
      <c r="R811" s="0" t="str">
        <f aca="false">IF(E811="","",IFERROR(LEFT(E811,FIND("-",E811)-1),E811))</f>
        <v/>
      </c>
      <c r="S811" s="0" t="str">
        <f aca="false">IF(R811="","",IF(ISNUMBER(--MID(R811,1,1)),0,IF(ISNUMBER(--MID(R811,2,1)),1,IF(ISNUMBER(--MID(R811,3,1)),2,IF(ISNUMBER(--MID(R811,4,1)),3,MIN(LEN(R811),4))))))</f>
        <v/>
      </c>
      <c r="T811" s="0" t="str">
        <f aca="false">IF(E811="","",LEFT(R811,S811)&amp;REPT("0",4-S811)&amp;RIGHT("000"&amp;IFERROR(VALUE(MID(R811,S811+1,9)),0),3)&amp;RIGHT("0000"&amp;IFERROR(VALUE(MID(E811,FIND("-",E811)+1,9)),0),4))</f>
        <v/>
      </c>
      <c r="U811" s="0" t="str">
        <f aca="false">IF(I811=1,"K"&amp;RIGHT("00"&amp;A811,2)&amp;T811&amp;RIGHT("00000"&amp;ROW(),5),"")</f>
        <v/>
      </c>
      <c r="V811" s="0" t="str">
        <f aca="false">IF(U811="","",COUNTIFS($I$2:$I$1201,1,$U$2:$U$1201,"&lt;"&amp;U811)+1)</f>
        <v/>
      </c>
    </row>
    <row r="812" customFormat="false" ht="15" hidden="false" customHeight="false" outlineLevel="0" collapsed="false">
      <c r="A812" s="0" t="n">
        <v>14</v>
      </c>
      <c r="B812" s="0" t="n">
        <v>31</v>
      </c>
      <c r="C812" s="0" t="str">
        <f aca="false">TRIM(SUBSTITUTE(INDEX(LISTAS!$A$4:$T$63,B812,A812)&amp;"",CHAR(160)," "))</f>
        <v/>
      </c>
      <c r="D812" s="0" t="str">
        <f aca="false">IF(C812="","",TRIM(RIGHT(SUBSTITUTE(C812," ",REPT(" ",100)),100)))</f>
        <v/>
      </c>
      <c r="E812" s="0" t="str">
        <f aca="false">IF(D812="","",UPPER(SUBSTITUTE(SUBSTITUTE(D812,"(",""),")","")))</f>
        <v/>
      </c>
      <c r="F812" s="0" t="str">
        <f aca="false">IF(C812="","",LEFT(C812,FIND(" ",C812&amp;" ")-1))</f>
        <v/>
      </c>
      <c r="G812" s="0" t="n">
        <f aca="false">IFERROR(VALUE(SUBSTITUTE(LOWER(F812),"x","")),0)</f>
        <v>0</v>
      </c>
      <c r="H812" s="0" t="str">
        <f aca="false">IF(C812="","",TRIM(MID(C812,LEN(F812)+2,999)))</f>
        <v/>
      </c>
      <c r="I812" s="0" t="n">
        <f aca="false">IF(OR(C812="",LEFT(C812,2)="//"),0,IFERROR(IF(AND(G812&gt;0,G812=INT(G812),FIND("-",E812)&gt;1,NOT(EXACT(UPPER(LEFT(E812,1)),LOWER(LEFT(E812,1)))),ISNUMBER(VALUE(MID(E812,FIND("-",E812)+1,10)))),1,0),0))</f>
        <v>0</v>
      </c>
      <c r="J812" s="0" t="str">
        <f aca="false">IF(I812=1,TRIM(LEFT(H812,MAX(0,LEN(H812)-LEN(D812)))),"")</f>
        <v/>
      </c>
      <c r="K812" s="0" t="str">
        <f aca="false">INDEX($P$2:$P$21,A812)</f>
        <v>Deck 14</v>
      </c>
      <c r="L812" s="0" t="n">
        <f aca="false">IF(AND(C812&lt;&gt;"",LEFT(C812,2)&lt;&gt;"//",I812=0),1,0)</f>
        <v>0</v>
      </c>
      <c r="M812" s="0" t="str">
        <f aca="false">IF(I812=1,MAX(M$1:M811)+1,"")</f>
        <v/>
      </c>
      <c r="N812" s="0" t="str">
        <f aca="false">IFERROR(MATCH(ROW()-1,$V$2:$V$1201,0),"")</f>
        <v/>
      </c>
      <c r="R812" s="0" t="str">
        <f aca="false">IF(E812="","",IFERROR(LEFT(E812,FIND("-",E812)-1),E812))</f>
        <v/>
      </c>
      <c r="S812" s="0" t="str">
        <f aca="false">IF(R812="","",IF(ISNUMBER(--MID(R812,1,1)),0,IF(ISNUMBER(--MID(R812,2,1)),1,IF(ISNUMBER(--MID(R812,3,1)),2,IF(ISNUMBER(--MID(R812,4,1)),3,MIN(LEN(R812),4))))))</f>
        <v/>
      </c>
      <c r="T812" s="0" t="str">
        <f aca="false">IF(E812="","",LEFT(R812,S812)&amp;REPT("0",4-S812)&amp;RIGHT("000"&amp;IFERROR(VALUE(MID(R812,S812+1,9)),0),3)&amp;RIGHT("0000"&amp;IFERROR(VALUE(MID(E812,FIND("-",E812)+1,9)),0),4))</f>
        <v/>
      </c>
      <c r="U812" s="0" t="str">
        <f aca="false">IF(I812=1,"K"&amp;RIGHT("00"&amp;A812,2)&amp;T812&amp;RIGHT("00000"&amp;ROW(),5),"")</f>
        <v/>
      </c>
      <c r="V812" s="0" t="str">
        <f aca="false">IF(U812="","",COUNTIFS($I$2:$I$1201,1,$U$2:$U$1201,"&lt;"&amp;U812)+1)</f>
        <v/>
      </c>
    </row>
    <row r="813" customFormat="false" ht="15" hidden="false" customHeight="false" outlineLevel="0" collapsed="false">
      <c r="A813" s="0" t="n">
        <v>14</v>
      </c>
      <c r="B813" s="0" t="n">
        <v>32</v>
      </c>
      <c r="C813" s="0" t="str">
        <f aca="false">TRIM(SUBSTITUTE(INDEX(LISTAS!$A$4:$T$63,B813,A813)&amp;"",CHAR(160)," "))</f>
        <v/>
      </c>
      <c r="D813" s="0" t="str">
        <f aca="false">IF(C813="","",TRIM(RIGHT(SUBSTITUTE(C813," ",REPT(" ",100)),100)))</f>
        <v/>
      </c>
      <c r="E813" s="0" t="str">
        <f aca="false">IF(D813="","",UPPER(SUBSTITUTE(SUBSTITUTE(D813,"(",""),")","")))</f>
        <v/>
      </c>
      <c r="F813" s="0" t="str">
        <f aca="false">IF(C813="","",LEFT(C813,FIND(" ",C813&amp;" ")-1))</f>
        <v/>
      </c>
      <c r="G813" s="0" t="n">
        <f aca="false">IFERROR(VALUE(SUBSTITUTE(LOWER(F813),"x","")),0)</f>
        <v>0</v>
      </c>
      <c r="H813" s="0" t="str">
        <f aca="false">IF(C813="","",TRIM(MID(C813,LEN(F813)+2,999)))</f>
        <v/>
      </c>
      <c r="I813" s="0" t="n">
        <f aca="false">IF(OR(C813="",LEFT(C813,2)="//"),0,IFERROR(IF(AND(G813&gt;0,G813=INT(G813),FIND("-",E813)&gt;1,NOT(EXACT(UPPER(LEFT(E813,1)),LOWER(LEFT(E813,1)))),ISNUMBER(VALUE(MID(E813,FIND("-",E813)+1,10)))),1,0),0))</f>
        <v>0</v>
      </c>
      <c r="J813" s="0" t="str">
        <f aca="false">IF(I813=1,TRIM(LEFT(H813,MAX(0,LEN(H813)-LEN(D813)))),"")</f>
        <v/>
      </c>
      <c r="K813" s="0" t="str">
        <f aca="false">INDEX($P$2:$P$21,A813)</f>
        <v>Deck 14</v>
      </c>
      <c r="L813" s="0" t="n">
        <f aca="false">IF(AND(C813&lt;&gt;"",LEFT(C813,2)&lt;&gt;"//",I813=0),1,0)</f>
        <v>0</v>
      </c>
      <c r="M813" s="0" t="str">
        <f aca="false">IF(I813=1,MAX(M$1:M812)+1,"")</f>
        <v/>
      </c>
      <c r="N813" s="0" t="str">
        <f aca="false">IFERROR(MATCH(ROW()-1,$V$2:$V$1201,0),"")</f>
        <v/>
      </c>
      <c r="R813" s="0" t="str">
        <f aca="false">IF(E813="","",IFERROR(LEFT(E813,FIND("-",E813)-1),E813))</f>
        <v/>
      </c>
      <c r="S813" s="0" t="str">
        <f aca="false">IF(R813="","",IF(ISNUMBER(--MID(R813,1,1)),0,IF(ISNUMBER(--MID(R813,2,1)),1,IF(ISNUMBER(--MID(R813,3,1)),2,IF(ISNUMBER(--MID(R813,4,1)),3,MIN(LEN(R813),4))))))</f>
        <v/>
      </c>
      <c r="T813" s="0" t="str">
        <f aca="false">IF(E813="","",LEFT(R813,S813)&amp;REPT("0",4-S813)&amp;RIGHT("000"&amp;IFERROR(VALUE(MID(R813,S813+1,9)),0),3)&amp;RIGHT("0000"&amp;IFERROR(VALUE(MID(E813,FIND("-",E813)+1,9)),0),4))</f>
        <v/>
      </c>
      <c r="U813" s="0" t="str">
        <f aca="false">IF(I813=1,"K"&amp;RIGHT("00"&amp;A813,2)&amp;T813&amp;RIGHT("00000"&amp;ROW(),5),"")</f>
        <v/>
      </c>
      <c r="V813" s="0" t="str">
        <f aca="false">IF(U813="","",COUNTIFS($I$2:$I$1201,1,$U$2:$U$1201,"&lt;"&amp;U813)+1)</f>
        <v/>
      </c>
    </row>
    <row r="814" customFormat="false" ht="15" hidden="false" customHeight="false" outlineLevel="0" collapsed="false">
      <c r="A814" s="0" t="n">
        <v>14</v>
      </c>
      <c r="B814" s="0" t="n">
        <v>33</v>
      </c>
      <c r="C814" s="0" t="str">
        <f aca="false">TRIM(SUBSTITUTE(INDEX(LISTAS!$A$4:$T$63,B814,A814)&amp;"",CHAR(160)," "))</f>
        <v/>
      </c>
      <c r="D814" s="0" t="str">
        <f aca="false">IF(C814="","",TRIM(RIGHT(SUBSTITUTE(C814," ",REPT(" ",100)),100)))</f>
        <v/>
      </c>
      <c r="E814" s="0" t="str">
        <f aca="false">IF(D814="","",UPPER(SUBSTITUTE(SUBSTITUTE(D814,"(",""),")","")))</f>
        <v/>
      </c>
      <c r="F814" s="0" t="str">
        <f aca="false">IF(C814="","",LEFT(C814,FIND(" ",C814&amp;" ")-1))</f>
        <v/>
      </c>
      <c r="G814" s="0" t="n">
        <f aca="false">IFERROR(VALUE(SUBSTITUTE(LOWER(F814),"x","")),0)</f>
        <v>0</v>
      </c>
      <c r="H814" s="0" t="str">
        <f aca="false">IF(C814="","",TRIM(MID(C814,LEN(F814)+2,999)))</f>
        <v/>
      </c>
      <c r="I814" s="0" t="n">
        <f aca="false">IF(OR(C814="",LEFT(C814,2)="//"),0,IFERROR(IF(AND(G814&gt;0,G814=INT(G814),FIND("-",E814)&gt;1,NOT(EXACT(UPPER(LEFT(E814,1)),LOWER(LEFT(E814,1)))),ISNUMBER(VALUE(MID(E814,FIND("-",E814)+1,10)))),1,0),0))</f>
        <v>0</v>
      </c>
      <c r="J814" s="0" t="str">
        <f aca="false">IF(I814=1,TRIM(LEFT(H814,MAX(0,LEN(H814)-LEN(D814)))),"")</f>
        <v/>
      </c>
      <c r="K814" s="0" t="str">
        <f aca="false">INDEX($P$2:$P$21,A814)</f>
        <v>Deck 14</v>
      </c>
      <c r="L814" s="0" t="n">
        <f aca="false">IF(AND(C814&lt;&gt;"",LEFT(C814,2)&lt;&gt;"//",I814=0),1,0)</f>
        <v>0</v>
      </c>
      <c r="M814" s="0" t="str">
        <f aca="false">IF(I814=1,MAX(M$1:M813)+1,"")</f>
        <v/>
      </c>
      <c r="N814" s="0" t="str">
        <f aca="false">IFERROR(MATCH(ROW()-1,$V$2:$V$1201,0),"")</f>
        <v/>
      </c>
      <c r="R814" s="0" t="str">
        <f aca="false">IF(E814="","",IFERROR(LEFT(E814,FIND("-",E814)-1),E814))</f>
        <v/>
      </c>
      <c r="S814" s="0" t="str">
        <f aca="false">IF(R814="","",IF(ISNUMBER(--MID(R814,1,1)),0,IF(ISNUMBER(--MID(R814,2,1)),1,IF(ISNUMBER(--MID(R814,3,1)),2,IF(ISNUMBER(--MID(R814,4,1)),3,MIN(LEN(R814),4))))))</f>
        <v/>
      </c>
      <c r="T814" s="0" t="str">
        <f aca="false">IF(E814="","",LEFT(R814,S814)&amp;REPT("0",4-S814)&amp;RIGHT("000"&amp;IFERROR(VALUE(MID(R814,S814+1,9)),0),3)&amp;RIGHT("0000"&amp;IFERROR(VALUE(MID(E814,FIND("-",E814)+1,9)),0),4))</f>
        <v/>
      </c>
      <c r="U814" s="0" t="str">
        <f aca="false">IF(I814=1,"K"&amp;RIGHT("00"&amp;A814,2)&amp;T814&amp;RIGHT("00000"&amp;ROW(),5),"")</f>
        <v/>
      </c>
      <c r="V814" s="0" t="str">
        <f aca="false">IF(U814="","",COUNTIFS($I$2:$I$1201,1,$U$2:$U$1201,"&lt;"&amp;U814)+1)</f>
        <v/>
      </c>
    </row>
    <row r="815" customFormat="false" ht="15" hidden="false" customHeight="false" outlineLevel="0" collapsed="false">
      <c r="A815" s="0" t="n">
        <v>14</v>
      </c>
      <c r="B815" s="0" t="n">
        <v>34</v>
      </c>
      <c r="C815" s="0" t="str">
        <f aca="false">TRIM(SUBSTITUTE(INDEX(LISTAS!$A$4:$T$63,B815,A815)&amp;"",CHAR(160)," "))</f>
        <v/>
      </c>
      <c r="D815" s="0" t="str">
        <f aca="false">IF(C815="","",TRIM(RIGHT(SUBSTITUTE(C815," ",REPT(" ",100)),100)))</f>
        <v/>
      </c>
      <c r="E815" s="0" t="str">
        <f aca="false">IF(D815="","",UPPER(SUBSTITUTE(SUBSTITUTE(D815,"(",""),")","")))</f>
        <v/>
      </c>
      <c r="F815" s="0" t="str">
        <f aca="false">IF(C815="","",LEFT(C815,FIND(" ",C815&amp;" ")-1))</f>
        <v/>
      </c>
      <c r="G815" s="0" t="n">
        <f aca="false">IFERROR(VALUE(SUBSTITUTE(LOWER(F815),"x","")),0)</f>
        <v>0</v>
      </c>
      <c r="H815" s="0" t="str">
        <f aca="false">IF(C815="","",TRIM(MID(C815,LEN(F815)+2,999)))</f>
        <v/>
      </c>
      <c r="I815" s="0" t="n">
        <f aca="false">IF(OR(C815="",LEFT(C815,2)="//"),0,IFERROR(IF(AND(G815&gt;0,G815=INT(G815),FIND("-",E815)&gt;1,NOT(EXACT(UPPER(LEFT(E815,1)),LOWER(LEFT(E815,1)))),ISNUMBER(VALUE(MID(E815,FIND("-",E815)+1,10)))),1,0),0))</f>
        <v>0</v>
      </c>
      <c r="J815" s="0" t="str">
        <f aca="false">IF(I815=1,TRIM(LEFT(H815,MAX(0,LEN(H815)-LEN(D815)))),"")</f>
        <v/>
      </c>
      <c r="K815" s="0" t="str">
        <f aca="false">INDEX($P$2:$P$21,A815)</f>
        <v>Deck 14</v>
      </c>
      <c r="L815" s="0" t="n">
        <f aca="false">IF(AND(C815&lt;&gt;"",LEFT(C815,2)&lt;&gt;"//",I815=0),1,0)</f>
        <v>0</v>
      </c>
      <c r="M815" s="0" t="str">
        <f aca="false">IF(I815=1,MAX(M$1:M814)+1,"")</f>
        <v/>
      </c>
      <c r="N815" s="0" t="str">
        <f aca="false">IFERROR(MATCH(ROW()-1,$V$2:$V$1201,0),"")</f>
        <v/>
      </c>
      <c r="R815" s="0" t="str">
        <f aca="false">IF(E815="","",IFERROR(LEFT(E815,FIND("-",E815)-1),E815))</f>
        <v/>
      </c>
      <c r="S815" s="0" t="str">
        <f aca="false">IF(R815="","",IF(ISNUMBER(--MID(R815,1,1)),0,IF(ISNUMBER(--MID(R815,2,1)),1,IF(ISNUMBER(--MID(R815,3,1)),2,IF(ISNUMBER(--MID(R815,4,1)),3,MIN(LEN(R815),4))))))</f>
        <v/>
      </c>
      <c r="T815" s="0" t="str">
        <f aca="false">IF(E815="","",LEFT(R815,S815)&amp;REPT("0",4-S815)&amp;RIGHT("000"&amp;IFERROR(VALUE(MID(R815,S815+1,9)),0),3)&amp;RIGHT("0000"&amp;IFERROR(VALUE(MID(E815,FIND("-",E815)+1,9)),0),4))</f>
        <v/>
      </c>
      <c r="U815" s="0" t="str">
        <f aca="false">IF(I815=1,"K"&amp;RIGHT("00"&amp;A815,2)&amp;T815&amp;RIGHT("00000"&amp;ROW(),5),"")</f>
        <v/>
      </c>
      <c r="V815" s="0" t="str">
        <f aca="false">IF(U815="","",COUNTIFS($I$2:$I$1201,1,$U$2:$U$1201,"&lt;"&amp;U815)+1)</f>
        <v/>
      </c>
    </row>
    <row r="816" customFormat="false" ht="15" hidden="false" customHeight="false" outlineLevel="0" collapsed="false">
      <c r="A816" s="0" t="n">
        <v>14</v>
      </c>
      <c r="B816" s="0" t="n">
        <v>35</v>
      </c>
      <c r="C816" s="0" t="str">
        <f aca="false">TRIM(SUBSTITUTE(INDEX(LISTAS!$A$4:$T$63,B816,A816)&amp;"",CHAR(160)," "))</f>
        <v/>
      </c>
      <c r="D816" s="0" t="str">
        <f aca="false">IF(C816="","",TRIM(RIGHT(SUBSTITUTE(C816," ",REPT(" ",100)),100)))</f>
        <v/>
      </c>
      <c r="E816" s="0" t="str">
        <f aca="false">IF(D816="","",UPPER(SUBSTITUTE(SUBSTITUTE(D816,"(",""),")","")))</f>
        <v/>
      </c>
      <c r="F816" s="0" t="str">
        <f aca="false">IF(C816="","",LEFT(C816,FIND(" ",C816&amp;" ")-1))</f>
        <v/>
      </c>
      <c r="G816" s="0" t="n">
        <f aca="false">IFERROR(VALUE(SUBSTITUTE(LOWER(F816),"x","")),0)</f>
        <v>0</v>
      </c>
      <c r="H816" s="0" t="str">
        <f aca="false">IF(C816="","",TRIM(MID(C816,LEN(F816)+2,999)))</f>
        <v/>
      </c>
      <c r="I816" s="0" t="n">
        <f aca="false">IF(OR(C816="",LEFT(C816,2)="//"),0,IFERROR(IF(AND(G816&gt;0,G816=INT(G816),FIND("-",E816)&gt;1,NOT(EXACT(UPPER(LEFT(E816,1)),LOWER(LEFT(E816,1)))),ISNUMBER(VALUE(MID(E816,FIND("-",E816)+1,10)))),1,0),0))</f>
        <v>0</v>
      </c>
      <c r="J816" s="0" t="str">
        <f aca="false">IF(I816=1,TRIM(LEFT(H816,MAX(0,LEN(H816)-LEN(D816)))),"")</f>
        <v/>
      </c>
      <c r="K816" s="0" t="str">
        <f aca="false">INDEX($P$2:$P$21,A816)</f>
        <v>Deck 14</v>
      </c>
      <c r="L816" s="0" t="n">
        <f aca="false">IF(AND(C816&lt;&gt;"",LEFT(C816,2)&lt;&gt;"//",I816=0),1,0)</f>
        <v>0</v>
      </c>
      <c r="M816" s="0" t="str">
        <f aca="false">IF(I816=1,MAX(M$1:M815)+1,"")</f>
        <v/>
      </c>
      <c r="N816" s="0" t="str">
        <f aca="false">IFERROR(MATCH(ROW()-1,$V$2:$V$1201,0),"")</f>
        <v/>
      </c>
      <c r="R816" s="0" t="str">
        <f aca="false">IF(E816="","",IFERROR(LEFT(E816,FIND("-",E816)-1),E816))</f>
        <v/>
      </c>
      <c r="S816" s="0" t="str">
        <f aca="false">IF(R816="","",IF(ISNUMBER(--MID(R816,1,1)),0,IF(ISNUMBER(--MID(R816,2,1)),1,IF(ISNUMBER(--MID(R816,3,1)),2,IF(ISNUMBER(--MID(R816,4,1)),3,MIN(LEN(R816),4))))))</f>
        <v/>
      </c>
      <c r="T816" s="0" t="str">
        <f aca="false">IF(E816="","",LEFT(R816,S816)&amp;REPT("0",4-S816)&amp;RIGHT("000"&amp;IFERROR(VALUE(MID(R816,S816+1,9)),0),3)&amp;RIGHT("0000"&amp;IFERROR(VALUE(MID(E816,FIND("-",E816)+1,9)),0),4))</f>
        <v/>
      </c>
      <c r="U816" s="0" t="str">
        <f aca="false">IF(I816=1,"K"&amp;RIGHT("00"&amp;A816,2)&amp;T816&amp;RIGHT("00000"&amp;ROW(),5),"")</f>
        <v/>
      </c>
      <c r="V816" s="0" t="str">
        <f aca="false">IF(U816="","",COUNTIFS($I$2:$I$1201,1,$U$2:$U$1201,"&lt;"&amp;U816)+1)</f>
        <v/>
      </c>
    </row>
    <row r="817" customFormat="false" ht="15" hidden="false" customHeight="false" outlineLevel="0" collapsed="false">
      <c r="A817" s="0" t="n">
        <v>14</v>
      </c>
      <c r="B817" s="0" t="n">
        <v>36</v>
      </c>
      <c r="C817" s="0" t="str">
        <f aca="false">TRIM(SUBSTITUTE(INDEX(LISTAS!$A$4:$T$63,B817,A817)&amp;"",CHAR(160)," "))</f>
        <v/>
      </c>
      <c r="D817" s="0" t="str">
        <f aca="false">IF(C817="","",TRIM(RIGHT(SUBSTITUTE(C817," ",REPT(" ",100)),100)))</f>
        <v/>
      </c>
      <c r="E817" s="0" t="str">
        <f aca="false">IF(D817="","",UPPER(SUBSTITUTE(SUBSTITUTE(D817,"(",""),")","")))</f>
        <v/>
      </c>
      <c r="F817" s="0" t="str">
        <f aca="false">IF(C817="","",LEFT(C817,FIND(" ",C817&amp;" ")-1))</f>
        <v/>
      </c>
      <c r="G817" s="0" t="n">
        <f aca="false">IFERROR(VALUE(SUBSTITUTE(LOWER(F817),"x","")),0)</f>
        <v>0</v>
      </c>
      <c r="H817" s="0" t="str">
        <f aca="false">IF(C817="","",TRIM(MID(C817,LEN(F817)+2,999)))</f>
        <v/>
      </c>
      <c r="I817" s="0" t="n">
        <f aca="false">IF(OR(C817="",LEFT(C817,2)="//"),0,IFERROR(IF(AND(G817&gt;0,G817=INT(G817),FIND("-",E817)&gt;1,NOT(EXACT(UPPER(LEFT(E817,1)),LOWER(LEFT(E817,1)))),ISNUMBER(VALUE(MID(E817,FIND("-",E817)+1,10)))),1,0),0))</f>
        <v>0</v>
      </c>
      <c r="J817" s="0" t="str">
        <f aca="false">IF(I817=1,TRIM(LEFT(H817,MAX(0,LEN(H817)-LEN(D817)))),"")</f>
        <v/>
      </c>
      <c r="K817" s="0" t="str">
        <f aca="false">INDEX($P$2:$P$21,A817)</f>
        <v>Deck 14</v>
      </c>
      <c r="L817" s="0" t="n">
        <f aca="false">IF(AND(C817&lt;&gt;"",LEFT(C817,2)&lt;&gt;"//",I817=0),1,0)</f>
        <v>0</v>
      </c>
      <c r="M817" s="0" t="str">
        <f aca="false">IF(I817=1,MAX(M$1:M816)+1,"")</f>
        <v/>
      </c>
      <c r="N817" s="0" t="str">
        <f aca="false">IFERROR(MATCH(ROW()-1,$V$2:$V$1201,0),"")</f>
        <v/>
      </c>
      <c r="R817" s="0" t="str">
        <f aca="false">IF(E817="","",IFERROR(LEFT(E817,FIND("-",E817)-1),E817))</f>
        <v/>
      </c>
      <c r="S817" s="0" t="str">
        <f aca="false">IF(R817="","",IF(ISNUMBER(--MID(R817,1,1)),0,IF(ISNUMBER(--MID(R817,2,1)),1,IF(ISNUMBER(--MID(R817,3,1)),2,IF(ISNUMBER(--MID(R817,4,1)),3,MIN(LEN(R817),4))))))</f>
        <v/>
      </c>
      <c r="T817" s="0" t="str">
        <f aca="false">IF(E817="","",LEFT(R817,S817)&amp;REPT("0",4-S817)&amp;RIGHT("000"&amp;IFERROR(VALUE(MID(R817,S817+1,9)),0),3)&amp;RIGHT("0000"&amp;IFERROR(VALUE(MID(E817,FIND("-",E817)+1,9)),0),4))</f>
        <v/>
      </c>
      <c r="U817" s="0" t="str">
        <f aca="false">IF(I817=1,"K"&amp;RIGHT("00"&amp;A817,2)&amp;T817&amp;RIGHT("00000"&amp;ROW(),5),"")</f>
        <v/>
      </c>
      <c r="V817" s="0" t="str">
        <f aca="false">IF(U817="","",COUNTIFS($I$2:$I$1201,1,$U$2:$U$1201,"&lt;"&amp;U817)+1)</f>
        <v/>
      </c>
    </row>
    <row r="818" customFormat="false" ht="15" hidden="false" customHeight="false" outlineLevel="0" collapsed="false">
      <c r="A818" s="0" t="n">
        <v>14</v>
      </c>
      <c r="B818" s="0" t="n">
        <v>37</v>
      </c>
      <c r="C818" s="0" t="str">
        <f aca="false">TRIM(SUBSTITUTE(INDEX(LISTAS!$A$4:$T$63,B818,A818)&amp;"",CHAR(160)," "))</f>
        <v/>
      </c>
      <c r="D818" s="0" t="str">
        <f aca="false">IF(C818="","",TRIM(RIGHT(SUBSTITUTE(C818," ",REPT(" ",100)),100)))</f>
        <v/>
      </c>
      <c r="E818" s="0" t="str">
        <f aca="false">IF(D818="","",UPPER(SUBSTITUTE(SUBSTITUTE(D818,"(",""),")","")))</f>
        <v/>
      </c>
      <c r="F818" s="0" t="str">
        <f aca="false">IF(C818="","",LEFT(C818,FIND(" ",C818&amp;" ")-1))</f>
        <v/>
      </c>
      <c r="G818" s="0" t="n">
        <f aca="false">IFERROR(VALUE(SUBSTITUTE(LOWER(F818),"x","")),0)</f>
        <v>0</v>
      </c>
      <c r="H818" s="0" t="str">
        <f aca="false">IF(C818="","",TRIM(MID(C818,LEN(F818)+2,999)))</f>
        <v/>
      </c>
      <c r="I818" s="0" t="n">
        <f aca="false">IF(OR(C818="",LEFT(C818,2)="//"),0,IFERROR(IF(AND(G818&gt;0,G818=INT(G818),FIND("-",E818)&gt;1,NOT(EXACT(UPPER(LEFT(E818,1)),LOWER(LEFT(E818,1)))),ISNUMBER(VALUE(MID(E818,FIND("-",E818)+1,10)))),1,0),0))</f>
        <v>0</v>
      </c>
      <c r="J818" s="0" t="str">
        <f aca="false">IF(I818=1,TRIM(LEFT(H818,MAX(0,LEN(H818)-LEN(D818)))),"")</f>
        <v/>
      </c>
      <c r="K818" s="0" t="str">
        <f aca="false">INDEX($P$2:$P$21,A818)</f>
        <v>Deck 14</v>
      </c>
      <c r="L818" s="0" t="n">
        <f aca="false">IF(AND(C818&lt;&gt;"",LEFT(C818,2)&lt;&gt;"//",I818=0),1,0)</f>
        <v>0</v>
      </c>
      <c r="M818" s="0" t="str">
        <f aca="false">IF(I818=1,MAX(M$1:M817)+1,"")</f>
        <v/>
      </c>
      <c r="N818" s="0" t="str">
        <f aca="false">IFERROR(MATCH(ROW()-1,$V$2:$V$1201,0),"")</f>
        <v/>
      </c>
      <c r="R818" s="0" t="str">
        <f aca="false">IF(E818="","",IFERROR(LEFT(E818,FIND("-",E818)-1),E818))</f>
        <v/>
      </c>
      <c r="S818" s="0" t="str">
        <f aca="false">IF(R818="","",IF(ISNUMBER(--MID(R818,1,1)),0,IF(ISNUMBER(--MID(R818,2,1)),1,IF(ISNUMBER(--MID(R818,3,1)),2,IF(ISNUMBER(--MID(R818,4,1)),3,MIN(LEN(R818),4))))))</f>
        <v/>
      </c>
      <c r="T818" s="0" t="str">
        <f aca="false">IF(E818="","",LEFT(R818,S818)&amp;REPT("0",4-S818)&amp;RIGHT("000"&amp;IFERROR(VALUE(MID(R818,S818+1,9)),0),3)&amp;RIGHT("0000"&amp;IFERROR(VALUE(MID(E818,FIND("-",E818)+1,9)),0),4))</f>
        <v/>
      </c>
      <c r="U818" s="0" t="str">
        <f aca="false">IF(I818=1,"K"&amp;RIGHT("00"&amp;A818,2)&amp;T818&amp;RIGHT("00000"&amp;ROW(),5),"")</f>
        <v/>
      </c>
      <c r="V818" s="0" t="str">
        <f aca="false">IF(U818="","",COUNTIFS($I$2:$I$1201,1,$U$2:$U$1201,"&lt;"&amp;U818)+1)</f>
        <v/>
      </c>
    </row>
    <row r="819" customFormat="false" ht="15" hidden="false" customHeight="false" outlineLevel="0" collapsed="false">
      <c r="A819" s="0" t="n">
        <v>14</v>
      </c>
      <c r="B819" s="0" t="n">
        <v>38</v>
      </c>
      <c r="C819" s="0" t="str">
        <f aca="false">TRIM(SUBSTITUTE(INDEX(LISTAS!$A$4:$T$63,B819,A819)&amp;"",CHAR(160)," "))</f>
        <v/>
      </c>
      <c r="D819" s="0" t="str">
        <f aca="false">IF(C819="","",TRIM(RIGHT(SUBSTITUTE(C819," ",REPT(" ",100)),100)))</f>
        <v/>
      </c>
      <c r="E819" s="0" t="str">
        <f aca="false">IF(D819="","",UPPER(SUBSTITUTE(SUBSTITUTE(D819,"(",""),")","")))</f>
        <v/>
      </c>
      <c r="F819" s="0" t="str">
        <f aca="false">IF(C819="","",LEFT(C819,FIND(" ",C819&amp;" ")-1))</f>
        <v/>
      </c>
      <c r="G819" s="0" t="n">
        <f aca="false">IFERROR(VALUE(SUBSTITUTE(LOWER(F819),"x","")),0)</f>
        <v>0</v>
      </c>
      <c r="H819" s="0" t="str">
        <f aca="false">IF(C819="","",TRIM(MID(C819,LEN(F819)+2,999)))</f>
        <v/>
      </c>
      <c r="I819" s="0" t="n">
        <f aca="false">IF(OR(C819="",LEFT(C819,2)="//"),0,IFERROR(IF(AND(G819&gt;0,G819=INT(G819),FIND("-",E819)&gt;1,NOT(EXACT(UPPER(LEFT(E819,1)),LOWER(LEFT(E819,1)))),ISNUMBER(VALUE(MID(E819,FIND("-",E819)+1,10)))),1,0),0))</f>
        <v>0</v>
      </c>
      <c r="J819" s="0" t="str">
        <f aca="false">IF(I819=1,TRIM(LEFT(H819,MAX(0,LEN(H819)-LEN(D819)))),"")</f>
        <v/>
      </c>
      <c r="K819" s="0" t="str">
        <f aca="false">INDEX($P$2:$P$21,A819)</f>
        <v>Deck 14</v>
      </c>
      <c r="L819" s="0" t="n">
        <f aca="false">IF(AND(C819&lt;&gt;"",LEFT(C819,2)&lt;&gt;"//",I819=0),1,0)</f>
        <v>0</v>
      </c>
      <c r="M819" s="0" t="str">
        <f aca="false">IF(I819=1,MAX(M$1:M818)+1,"")</f>
        <v/>
      </c>
      <c r="N819" s="0" t="str">
        <f aca="false">IFERROR(MATCH(ROW()-1,$V$2:$V$1201,0),"")</f>
        <v/>
      </c>
      <c r="R819" s="0" t="str">
        <f aca="false">IF(E819="","",IFERROR(LEFT(E819,FIND("-",E819)-1),E819))</f>
        <v/>
      </c>
      <c r="S819" s="0" t="str">
        <f aca="false">IF(R819="","",IF(ISNUMBER(--MID(R819,1,1)),0,IF(ISNUMBER(--MID(R819,2,1)),1,IF(ISNUMBER(--MID(R819,3,1)),2,IF(ISNUMBER(--MID(R819,4,1)),3,MIN(LEN(R819),4))))))</f>
        <v/>
      </c>
      <c r="T819" s="0" t="str">
        <f aca="false">IF(E819="","",LEFT(R819,S819)&amp;REPT("0",4-S819)&amp;RIGHT("000"&amp;IFERROR(VALUE(MID(R819,S819+1,9)),0),3)&amp;RIGHT("0000"&amp;IFERROR(VALUE(MID(E819,FIND("-",E819)+1,9)),0),4))</f>
        <v/>
      </c>
      <c r="U819" s="0" t="str">
        <f aca="false">IF(I819=1,"K"&amp;RIGHT("00"&amp;A819,2)&amp;T819&amp;RIGHT("00000"&amp;ROW(),5),"")</f>
        <v/>
      </c>
      <c r="V819" s="0" t="str">
        <f aca="false">IF(U819="","",COUNTIFS($I$2:$I$1201,1,$U$2:$U$1201,"&lt;"&amp;U819)+1)</f>
        <v/>
      </c>
    </row>
    <row r="820" customFormat="false" ht="15" hidden="false" customHeight="false" outlineLevel="0" collapsed="false">
      <c r="A820" s="0" t="n">
        <v>14</v>
      </c>
      <c r="B820" s="0" t="n">
        <v>39</v>
      </c>
      <c r="C820" s="0" t="str">
        <f aca="false">TRIM(SUBSTITUTE(INDEX(LISTAS!$A$4:$T$63,B820,A820)&amp;"",CHAR(160)," "))</f>
        <v/>
      </c>
      <c r="D820" s="0" t="str">
        <f aca="false">IF(C820="","",TRIM(RIGHT(SUBSTITUTE(C820," ",REPT(" ",100)),100)))</f>
        <v/>
      </c>
      <c r="E820" s="0" t="str">
        <f aca="false">IF(D820="","",UPPER(SUBSTITUTE(SUBSTITUTE(D820,"(",""),")","")))</f>
        <v/>
      </c>
      <c r="F820" s="0" t="str">
        <f aca="false">IF(C820="","",LEFT(C820,FIND(" ",C820&amp;" ")-1))</f>
        <v/>
      </c>
      <c r="G820" s="0" t="n">
        <f aca="false">IFERROR(VALUE(SUBSTITUTE(LOWER(F820),"x","")),0)</f>
        <v>0</v>
      </c>
      <c r="H820" s="0" t="str">
        <f aca="false">IF(C820="","",TRIM(MID(C820,LEN(F820)+2,999)))</f>
        <v/>
      </c>
      <c r="I820" s="0" t="n">
        <f aca="false">IF(OR(C820="",LEFT(C820,2)="//"),0,IFERROR(IF(AND(G820&gt;0,G820=INT(G820),FIND("-",E820)&gt;1,NOT(EXACT(UPPER(LEFT(E820,1)),LOWER(LEFT(E820,1)))),ISNUMBER(VALUE(MID(E820,FIND("-",E820)+1,10)))),1,0),0))</f>
        <v>0</v>
      </c>
      <c r="J820" s="0" t="str">
        <f aca="false">IF(I820=1,TRIM(LEFT(H820,MAX(0,LEN(H820)-LEN(D820)))),"")</f>
        <v/>
      </c>
      <c r="K820" s="0" t="str">
        <f aca="false">INDEX($P$2:$P$21,A820)</f>
        <v>Deck 14</v>
      </c>
      <c r="L820" s="0" t="n">
        <f aca="false">IF(AND(C820&lt;&gt;"",LEFT(C820,2)&lt;&gt;"//",I820=0),1,0)</f>
        <v>0</v>
      </c>
      <c r="M820" s="0" t="str">
        <f aca="false">IF(I820=1,MAX(M$1:M819)+1,"")</f>
        <v/>
      </c>
      <c r="N820" s="0" t="str">
        <f aca="false">IFERROR(MATCH(ROW()-1,$V$2:$V$1201,0),"")</f>
        <v/>
      </c>
      <c r="R820" s="0" t="str">
        <f aca="false">IF(E820="","",IFERROR(LEFT(E820,FIND("-",E820)-1),E820))</f>
        <v/>
      </c>
      <c r="S820" s="0" t="str">
        <f aca="false">IF(R820="","",IF(ISNUMBER(--MID(R820,1,1)),0,IF(ISNUMBER(--MID(R820,2,1)),1,IF(ISNUMBER(--MID(R820,3,1)),2,IF(ISNUMBER(--MID(R820,4,1)),3,MIN(LEN(R820),4))))))</f>
        <v/>
      </c>
      <c r="T820" s="0" t="str">
        <f aca="false">IF(E820="","",LEFT(R820,S820)&amp;REPT("0",4-S820)&amp;RIGHT("000"&amp;IFERROR(VALUE(MID(R820,S820+1,9)),0),3)&amp;RIGHT("0000"&amp;IFERROR(VALUE(MID(E820,FIND("-",E820)+1,9)),0),4))</f>
        <v/>
      </c>
      <c r="U820" s="0" t="str">
        <f aca="false">IF(I820=1,"K"&amp;RIGHT("00"&amp;A820,2)&amp;T820&amp;RIGHT("00000"&amp;ROW(),5),"")</f>
        <v/>
      </c>
      <c r="V820" s="0" t="str">
        <f aca="false">IF(U820="","",COUNTIFS($I$2:$I$1201,1,$U$2:$U$1201,"&lt;"&amp;U820)+1)</f>
        <v/>
      </c>
    </row>
    <row r="821" customFormat="false" ht="15" hidden="false" customHeight="false" outlineLevel="0" collapsed="false">
      <c r="A821" s="0" t="n">
        <v>14</v>
      </c>
      <c r="B821" s="0" t="n">
        <v>40</v>
      </c>
      <c r="C821" s="0" t="str">
        <f aca="false">TRIM(SUBSTITUTE(INDEX(LISTAS!$A$4:$T$63,B821,A821)&amp;"",CHAR(160)," "))</f>
        <v/>
      </c>
      <c r="D821" s="0" t="str">
        <f aca="false">IF(C821="","",TRIM(RIGHT(SUBSTITUTE(C821," ",REPT(" ",100)),100)))</f>
        <v/>
      </c>
      <c r="E821" s="0" t="str">
        <f aca="false">IF(D821="","",UPPER(SUBSTITUTE(SUBSTITUTE(D821,"(",""),")","")))</f>
        <v/>
      </c>
      <c r="F821" s="0" t="str">
        <f aca="false">IF(C821="","",LEFT(C821,FIND(" ",C821&amp;" ")-1))</f>
        <v/>
      </c>
      <c r="G821" s="0" t="n">
        <f aca="false">IFERROR(VALUE(SUBSTITUTE(LOWER(F821),"x","")),0)</f>
        <v>0</v>
      </c>
      <c r="H821" s="0" t="str">
        <f aca="false">IF(C821="","",TRIM(MID(C821,LEN(F821)+2,999)))</f>
        <v/>
      </c>
      <c r="I821" s="0" t="n">
        <f aca="false">IF(OR(C821="",LEFT(C821,2)="//"),0,IFERROR(IF(AND(G821&gt;0,G821=INT(G821),FIND("-",E821)&gt;1,NOT(EXACT(UPPER(LEFT(E821,1)),LOWER(LEFT(E821,1)))),ISNUMBER(VALUE(MID(E821,FIND("-",E821)+1,10)))),1,0),0))</f>
        <v>0</v>
      </c>
      <c r="J821" s="0" t="str">
        <f aca="false">IF(I821=1,TRIM(LEFT(H821,MAX(0,LEN(H821)-LEN(D821)))),"")</f>
        <v/>
      </c>
      <c r="K821" s="0" t="str">
        <f aca="false">INDEX($P$2:$P$21,A821)</f>
        <v>Deck 14</v>
      </c>
      <c r="L821" s="0" t="n">
        <f aca="false">IF(AND(C821&lt;&gt;"",LEFT(C821,2)&lt;&gt;"//",I821=0),1,0)</f>
        <v>0</v>
      </c>
      <c r="M821" s="0" t="str">
        <f aca="false">IF(I821=1,MAX(M$1:M820)+1,"")</f>
        <v/>
      </c>
      <c r="N821" s="0" t="str">
        <f aca="false">IFERROR(MATCH(ROW()-1,$V$2:$V$1201,0),"")</f>
        <v/>
      </c>
      <c r="R821" s="0" t="str">
        <f aca="false">IF(E821="","",IFERROR(LEFT(E821,FIND("-",E821)-1),E821))</f>
        <v/>
      </c>
      <c r="S821" s="0" t="str">
        <f aca="false">IF(R821="","",IF(ISNUMBER(--MID(R821,1,1)),0,IF(ISNUMBER(--MID(R821,2,1)),1,IF(ISNUMBER(--MID(R821,3,1)),2,IF(ISNUMBER(--MID(R821,4,1)),3,MIN(LEN(R821),4))))))</f>
        <v/>
      </c>
      <c r="T821" s="0" t="str">
        <f aca="false">IF(E821="","",LEFT(R821,S821)&amp;REPT("0",4-S821)&amp;RIGHT("000"&amp;IFERROR(VALUE(MID(R821,S821+1,9)),0),3)&amp;RIGHT("0000"&amp;IFERROR(VALUE(MID(E821,FIND("-",E821)+1,9)),0),4))</f>
        <v/>
      </c>
      <c r="U821" s="0" t="str">
        <f aca="false">IF(I821=1,"K"&amp;RIGHT("00"&amp;A821,2)&amp;T821&amp;RIGHT("00000"&amp;ROW(),5),"")</f>
        <v/>
      </c>
      <c r="V821" s="0" t="str">
        <f aca="false">IF(U821="","",COUNTIFS($I$2:$I$1201,1,$U$2:$U$1201,"&lt;"&amp;U821)+1)</f>
        <v/>
      </c>
    </row>
    <row r="822" customFormat="false" ht="15" hidden="false" customHeight="false" outlineLevel="0" collapsed="false">
      <c r="A822" s="0" t="n">
        <v>14</v>
      </c>
      <c r="B822" s="0" t="n">
        <v>41</v>
      </c>
      <c r="C822" s="0" t="str">
        <f aca="false">TRIM(SUBSTITUTE(INDEX(LISTAS!$A$4:$T$63,B822,A822)&amp;"",CHAR(160)," "))</f>
        <v/>
      </c>
      <c r="D822" s="0" t="str">
        <f aca="false">IF(C822="","",TRIM(RIGHT(SUBSTITUTE(C822," ",REPT(" ",100)),100)))</f>
        <v/>
      </c>
      <c r="E822" s="0" t="str">
        <f aca="false">IF(D822="","",UPPER(SUBSTITUTE(SUBSTITUTE(D822,"(",""),")","")))</f>
        <v/>
      </c>
      <c r="F822" s="0" t="str">
        <f aca="false">IF(C822="","",LEFT(C822,FIND(" ",C822&amp;" ")-1))</f>
        <v/>
      </c>
      <c r="G822" s="0" t="n">
        <f aca="false">IFERROR(VALUE(SUBSTITUTE(LOWER(F822),"x","")),0)</f>
        <v>0</v>
      </c>
      <c r="H822" s="0" t="str">
        <f aca="false">IF(C822="","",TRIM(MID(C822,LEN(F822)+2,999)))</f>
        <v/>
      </c>
      <c r="I822" s="0" t="n">
        <f aca="false">IF(OR(C822="",LEFT(C822,2)="//"),0,IFERROR(IF(AND(G822&gt;0,G822=INT(G822),FIND("-",E822)&gt;1,NOT(EXACT(UPPER(LEFT(E822,1)),LOWER(LEFT(E822,1)))),ISNUMBER(VALUE(MID(E822,FIND("-",E822)+1,10)))),1,0),0))</f>
        <v>0</v>
      </c>
      <c r="J822" s="0" t="str">
        <f aca="false">IF(I822=1,TRIM(LEFT(H822,MAX(0,LEN(H822)-LEN(D822)))),"")</f>
        <v/>
      </c>
      <c r="K822" s="0" t="str">
        <f aca="false">INDEX($P$2:$P$21,A822)</f>
        <v>Deck 14</v>
      </c>
      <c r="L822" s="0" t="n">
        <f aca="false">IF(AND(C822&lt;&gt;"",LEFT(C822,2)&lt;&gt;"//",I822=0),1,0)</f>
        <v>0</v>
      </c>
      <c r="M822" s="0" t="str">
        <f aca="false">IF(I822=1,MAX(M$1:M821)+1,"")</f>
        <v/>
      </c>
      <c r="N822" s="0" t="str">
        <f aca="false">IFERROR(MATCH(ROW()-1,$V$2:$V$1201,0),"")</f>
        <v/>
      </c>
      <c r="R822" s="0" t="str">
        <f aca="false">IF(E822="","",IFERROR(LEFT(E822,FIND("-",E822)-1),E822))</f>
        <v/>
      </c>
      <c r="S822" s="0" t="str">
        <f aca="false">IF(R822="","",IF(ISNUMBER(--MID(R822,1,1)),0,IF(ISNUMBER(--MID(R822,2,1)),1,IF(ISNUMBER(--MID(R822,3,1)),2,IF(ISNUMBER(--MID(R822,4,1)),3,MIN(LEN(R822),4))))))</f>
        <v/>
      </c>
      <c r="T822" s="0" t="str">
        <f aca="false">IF(E822="","",LEFT(R822,S822)&amp;REPT("0",4-S822)&amp;RIGHT("000"&amp;IFERROR(VALUE(MID(R822,S822+1,9)),0),3)&amp;RIGHT("0000"&amp;IFERROR(VALUE(MID(E822,FIND("-",E822)+1,9)),0),4))</f>
        <v/>
      </c>
      <c r="U822" s="0" t="str">
        <f aca="false">IF(I822=1,"K"&amp;RIGHT("00"&amp;A822,2)&amp;T822&amp;RIGHT("00000"&amp;ROW(),5),"")</f>
        <v/>
      </c>
      <c r="V822" s="0" t="str">
        <f aca="false">IF(U822="","",COUNTIFS($I$2:$I$1201,1,$U$2:$U$1201,"&lt;"&amp;U822)+1)</f>
        <v/>
      </c>
    </row>
    <row r="823" customFormat="false" ht="15" hidden="false" customHeight="false" outlineLevel="0" collapsed="false">
      <c r="A823" s="0" t="n">
        <v>14</v>
      </c>
      <c r="B823" s="0" t="n">
        <v>42</v>
      </c>
      <c r="C823" s="0" t="str">
        <f aca="false">TRIM(SUBSTITUTE(INDEX(LISTAS!$A$4:$T$63,B823,A823)&amp;"",CHAR(160)," "))</f>
        <v/>
      </c>
      <c r="D823" s="0" t="str">
        <f aca="false">IF(C823="","",TRIM(RIGHT(SUBSTITUTE(C823," ",REPT(" ",100)),100)))</f>
        <v/>
      </c>
      <c r="E823" s="0" t="str">
        <f aca="false">IF(D823="","",UPPER(SUBSTITUTE(SUBSTITUTE(D823,"(",""),")","")))</f>
        <v/>
      </c>
      <c r="F823" s="0" t="str">
        <f aca="false">IF(C823="","",LEFT(C823,FIND(" ",C823&amp;" ")-1))</f>
        <v/>
      </c>
      <c r="G823" s="0" t="n">
        <f aca="false">IFERROR(VALUE(SUBSTITUTE(LOWER(F823),"x","")),0)</f>
        <v>0</v>
      </c>
      <c r="H823" s="0" t="str">
        <f aca="false">IF(C823="","",TRIM(MID(C823,LEN(F823)+2,999)))</f>
        <v/>
      </c>
      <c r="I823" s="0" t="n">
        <f aca="false">IF(OR(C823="",LEFT(C823,2)="//"),0,IFERROR(IF(AND(G823&gt;0,G823=INT(G823),FIND("-",E823)&gt;1,NOT(EXACT(UPPER(LEFT(E823,1)),LOWER(LEFT(E823,1)))),ISNUMBER(VALUE(MID(E823,FIND("-",E823)+1,10)))),1,0),0))</f>
        <v>0</v>
      </c>
      <c r="J823" s="0" t="str">
        <f aca="false">IF(I823=1,TRIM(LEFT(H823,MAX(0,LEN(H823)-LEN(D823)))),"")</f>
        <v/>
      </c>
      <c r="K823" s="0" t="str">
        <f aca="false">INDEX($P$2:$P$21,A823)</f>
        <v>Deck 14</v>
      </c>
      <c r="L823" s="0" t="n">
        <f aca="false">IF(AND(C823&lt;&gt;"",LEFT(C823,2)&lt;&gt;"//",I823=0),1,0)</f>
        <v>0</v>
      </c>
      <c r="M823" s="0" t="str">
        <f aca="false">IF(I823=1,MAX(M$1:M822)+1,"")</f>
        <v/>
      </c>
      <c r="N823" s="0" t="str">
        <f aca="false">IFERROR(MATCH(ROW()-1,$V$2:$V$1201,0),"")</f>
        <v/>
      </c>
      <c r="R823" s="0" t="str">
        <f aca="false">IF(E823="","",IFERROR(LEFT(E823,FIND("-",E823)-1),E823))</f>
        <v/>
      </c>
      <c r="S823" s="0" t="str">
        <f aca="false">IF(R823="","",IF(ISNUMBER(--MID(R823,1,1)),0,IF(ISNUMBER(--MID(R823,2,1)),1,IF(ISNUMBER(--MID(R823,3,1)),2,IF(ISNUMBER(--MID(R823,4,1)),3,MIN(LEN(R823),4))))))</f>
        <v/>
      </c>
      <c r="T823" s="0" t="str">
        <f aca="false">IF(E823="","",LEFT(R823,S823)&amp;REPT("0",4-S823)&amp;RIGHT("000"&amp;IFERROR(VALUE(MID(R823,S823+1,9)),0),3)&amp;RIGHT("0000"&amp;IFERROR(VALUE(MID(E823,FIND("-",E823)+1,9)),0),4))</f>
        <v/>
      </c>
      <c r="U823" s="0" t="str">
        <f aca="false">IF(I823=1,"K"&amp;RIGHT("00"&amp;A823,2)&amp;T823&amp;RIGHT("00000"&amp;ROW(),5),"")</f>
        <v/>
      </c>
      <c r="V823" s="0" t="str">
        <f aca="false">IF(U823="","",COUNTIFS($I$2:$I$1201,1,$U$2:$U$1201,"&lt;"&amp;U823)+1)</f>
        <v/>
      </c>
    </row>
    <row r="824" customFormat="false" ht="15" hidden="false" customHeight="false" outlineLevel="0" collapsed="false">
      <c r="A824" s="0" t="n">
        <v>14</v>
      </c>
      <c r="B824" s="0" t="n">
        <v>43</v>
      </c>
      <c r="C824" s="0" t="str">
        <f aca="false">TRIM(SUBSTITUTE(INDEX(LISTAS!$A$4:$T$63,B824,A824)&amp;"",CHAR(160)," "))</f>
        <v/>
      </c>
      <c r="D824" s="0" t="str">
        <f aca="false">IF(C824="","",TRIM(RIGHT(SUBSTITUTE(C824," ",REPT(" ",100)),100)))</f>
        <v/>
      </c>
      <c r="E824" s="0" t="str">
        <f aca="false">IF(D824="","",UPPER(SUBSTITUTE(SUBSTITUTE(D824,"(",""),")","")))</f>
        <v/>
      </c>
      <c r="F824" s="0" t="str">
        <f aca="false">IF(C824="","",LEFT(C824,FIND(" ",C824&amp;" ")-1))</f>
        <v/>
      </c>
      <c r="G824" s="0" t="n">
        <f aca="false">IFERROR(VALUE(SUBSTITUTE(LOWER(F824),"x","")),0)</f>
        <v>0</v>
      </c>
      <c r="H824" s="0" t="str">
        <f aca="false">IF(C824="","",TRIM(MID(C824,LEN(F824)+2,999)))</f>
        <v/>
      </c>
      <c r="I824" s="0" t="n">
        <f aca="false">IF(OR(C824="",LEFT(C824,2)="//"),0,IFERROR(IF(AND(G824&gt;0,G824=INT(G824),FIND("-",E824)&gt;1,NOT(EXACT(UPPER(LEFT(E824,1)),LOWER(LEFT(E824,1)))),ISNUMBER(VALUE(MID(E824,FIND("-",E824)+1,10)))),1,0),0))</f>
        <v>0</v>
      </c>
      <c r="J824" s="0" t="str">
        <f aca="false">IF(I824=1,TRIM(LEFT(H824,MAX(0,LEN(H824)-LEN(D824)))),"")</f>
        <v/>
      </c>
      <c r="K824" s="0" t="str">
        <f aca="false">INDEX($P$2:$P$21,A824)</f>
        <v>Deck 14</v>
      </c>
      <c r="L824" s="0" t="n">
        <f aca="false">IF(AND(C824&lt;&gt;"",LEFT(C824,2)&lt;&gt;"//",I824=0),1,0)</f>
        <v>0</v>
      </c>
      <c r="M824" s="0" t="str">
        <f aca="false">IF(I824=1,MAX(M$1:M823)+1,"")</f>
        <v/>
      </c>
      <c r="N824" s="0" t="str">
        <f aca="false">IFERROR(MATCH(ROW()-1,$V$2:$V$1201,0),"")</f>
        <v/>
      </c>
      <c r="R824" s="0" t="str">
        <f aca="false">IF(E824="","",IFERROR(LEFT(E824,FIND("-",E824)-1),E824))</f>
        <v/>
      </c>
      <c r="S824" s="0" t="str">
        <f aca="false">IF(R824="","",IF(ISNUMBER(--MID(R824,1,1)),0,IF(ISNUMBER(--MID(R824,2,1)),1,IF(ISNUMBER(--MID(R824,3,1)),2,IF(ISNUMBER(--MID(R824,4,1)),3,MIN(LEN(R824),4))))))</f>
        <v/>
      </c>
      <c r="T824" s="0" t="str">
        <f aca="false">IF(E824="","",LEFT(R824,S824)&amp;REPT("0",4-S824)&amp;RIGHT("000"&amp;IFERROR(VALUE(MID(R824,S824+1,9)),0),3)&amp;RIGHT("0000"&amp;IFERROR(VALUE(MID(E824,FIND("-",E824)+1,9)),0),4))</f>
        <v/>
      </c>
      <c r="U824" s="0" t="str">
        <f aca="false">IF(I824=1,"K"&amp;RIGHT("00"&amp;A824,2)&amp;T824&amp;RIGHT("00000"&amp;ROW(),5),"")</f>
        <v/>
      </c>
      <c r="V824" s="0" t="str">
        <f aca="false">IF(U824="","",COUNTIFS($I$2:$I$1201,1,$U$2:$U$1201,"&lt;"&amp;U824)+1)</f>
        <v/>
      </c>
    </row>
    <row r="825" customFormat="false" ht="15" hidden="false" customHeight="false" outlineLevel="0" collapsed="false">
      <c r="A825" s="0" t="n">
        <v>14</v>
      </c>
      <c r="B825" s="0" t="n">
        <v>44</v>
      </c>
      <c r="C825" s="0" t="str">
        <f aca="false">TRIM(SUBSTITUTE(INDEX(LISTAS!$A$4:$T$63,B825,A825)&amp;"",CHAR(160)," "))</f>
        <v/>
      </c>
      <c r="D825" s="0" t="str">
        <f aca="false">IF(C825="","",TRIM(RIGHT(SUBSTITUTE(C825," ",REPT(" ",100)),100)))</f>
        <v/>
      </c>
      <c r="E825" s="0" t="str">
        <f aca="false">IF(D825="","",UPPER(SUBSTITUTE(SUBSTITUTE(D825,"(",""),")","")))</f>
        <v/>
      </c>
      <c r="F825" s="0" t="str">
        <f aca="false">IF(C825="","",LEFT(C825,FIND(" ",C825&amp;" ")-1))</f>
        <v/>
      </c>
      <c r="G825" s="0" t="n">
        <f aca="false">IFERROR(VALUE(SUBSTITUTE(LOWER(F825),"x","")),0)</f>
        <v>0</v>
      </c>
      <c r="H825" s="0" t="str">
        <f aca="false">IF(C825="","",TRIM(MID(C825,LEN(F825)+2,999)))</f>
        <v/>
      </c>
      <c r="I825" s="0" t="n">
        <f aca="false">IF(OR(C825="",LEFT(C825,2)="//"),0,IFERROR(IF(AND(G825&gt;0,G825=INT(G825),FIND("-",E825)&gt;1,NOT(EXACT(UPPER(LEFT(E825,1)),LOWER(LEFT(E825,1)))),ISNUMBER(VALUE(MID(E825,FIND("-",E825)+1,10)))),1,0),0))</f>
        <v>0</v>
      </c>
      <c r="J825" s="0" t="str">
        <f aca="false">IF(I825=1,TRIM(LEFT(H825,MAX(0,LEN(H825)-LEN(D825)))),"")</f>
        <v/>
      </c>
      <c r="K825" s="0" t="str">
        <f aca="false">INDEX($P$2:$P$21,A825)</f>
        <v>Deck 14</v>
      </c>
      <c r="L825" s="0" t="n">
        <f aca="false">IF(AND(C825&lt;&gt;"",LEFT(C825,2)&lt;&gt;"//",I825=0),1,0)</f>
        <v>0</v>
      </c>
      <c r="M825" s="0" t="str">
        <f aca="false">IF(I825=1,MAX(M$1:M824)+1,"")</f>
        <v/>
      </c>
      <c r="N825" s="0" t="str">
        <f aca="false">IFERROR(MATCH(ROW()-1,$V$2:$V$1201,0),"")</f>
        <v/>
      </c>
      <c r="R825" s="0" t="str">
        <f aca="false">IF(E825="","",IFERROR(LEFT(E825,FIND("-",E825)-1),E825))</f>
        <v/>
      </c>
      <c r="S825" s="0" t="str">
        <f aca="false">IF(R825="","",IF(ISNUMBER(--MID(R825,1,1)),0,IF(ISNUMBER(--MID(R825,2,1)),1,IF(ISNUMBER(--MID(R825,3,1)),2,IF(ISNUMBER(--MID(R825,4,1)),3,MIN(LEN(R825),4))))))</f>
        <v/>
      </c>
      <c r="T825" s="0" t="str">
        <f aca="false">IF(E825="","",LEFT(R825,S825)&amp;REPT("0",4-S825)&amp;RIGHT("000"&amp;IFERROR(VALUE(MID(R825,S825+1,9)),0),3)&amp;RIGHT("0000"&amp;IFERROR(VALUE(MID(E825,FIND("-",E825)+1,9)),0),4))</f>
        <v/>
      </c>
      <c r="U825" s="0" t="str">
        <f aca="false">IF(I825=1,"K"&amp;RIGHT("00"&amp;A825,2)&amp;T825&amp;RIGHT("00000"&amp;ROW(),5),"")</f>
        <v/>
      </c>
      <c r="V825" s="0" t="str">
        <f aca="false">IF(U825="","",COUNTIFS($I$2:$I$1201,1,$U$2:$U$1201,"&lt;"&amp;U825)+1)</f>
        <v/>
      </c>
    </row>
    <row r="826" customFormat="false" ht="15" hidden="false" customHeight="false" outlineLevel="0" collapsed="false">
      <c r="A826" s="0" t="n">
        <v>14</v>
      </c>
      <c r="B826" s="0" t="n">
        <v>45</v>
      </c>
      <c r="C826" s="0" t="str">
        <f aca="false">TRIM(SUBSTITUTE(INDEX(LISTAS!$A$4:$T$63,B826,A826)&amp;"",CHAR(160)," "))</f>
        <v/>
      </c>
      <c r="D826" s="0" t="str">
        <f aca="false">IF(C826="","",TRIM(RIGHT(SUBSTITUTE(C826," ",REPT(" ",100)),100)))</f>
        <v/>
      </c>
      <c r="E826" s="0" t="str">
        <f aca="false">IF(D826="","",UPPER(SUBSTITUTE(SUBSTITUTE(D826,"(",""),")","")))</f>
        <v/>
      </c>
      <c r="F826" s="0" t="str">
        <f aca="false">IF(C826="","",LEFT(C826,FIND(" ",C826&amp;" ")-1))</f>
        <v/>
      </c>
      <c r="G826" s="0" t="n">
        <f aca="false">IFERROR(VALUE(SUBSTITUTE(LOWER(F826),"x","")),0)</f>
        <v>0</v>
      </c>
      <c r="H826" s="0" t="str">
        <f aca="false">IF(C826="","",TRIM(MID(C826,LEN(F826)+2,999)))</f>
        <v/>
      </c>
      <c r="I826" s="0" t="n">
        <f aca="false">IF(OR(C826="",LEFT(C826,2)="//"),0,IFERROR(IF(AND(G826&gt;0,G826=INT(G826),FIND("-",E826)&gt;1,NOT(EXACT(UPPER(LEFT(E826,1)),LOWER(LEFT(E826,1)))),ISNUMBER(VALUE(MID(E826,FIND("-",E826)+1,10)))),1,0),0))</f>
        <v>0</v>
      </c>
      <c r="J826" s="0" t="str">
        <f aca="false">IF(I826=1,TRIM(LEFT(H826,MAX(0,LEN(H826)-LEN(D826)))),"")</f>
        <v/>
      </c>
      <c r="K826" s="0" t="str">
        <f aca="false">INDEX($P$2:$P$21,A826)</f>
        <v>Deck 14</v>
      </c>
      <c r="L826" s="0" t="n">
        <f aca="false">IF(AND(C826&lt;&gt;"",LEFT(C826,2)&lt;&gt;"//",I826=0),1,0)</f>
        <v>0</v>
      </c>
      <c r="M826" s="0" t="str">
        <f aca="false">IF(I826=1,MAX(M$1:M825)+1,"")</f>
        <v/>
      </c>
      <c r="N826" s="0" t="str">
        <f aca="false">IFERROR(MATCH(ROW()-1,$V$2:$V$1201,0),"")</f>
        <v/>
      </c>
      <c r="R826" s="0" t="str">
        <f aca="false">IF(E826="","",IFERROR(LEFT(E826,FIND("-",E826)-1),E826))</f>
        <v/>
      </c>
      <c r="S826" s="0" t="str">
        <f aca="false">IF(R826="","",IF(ISNUMBER(--MID(R826,1,1)),0,IF(ISNUMBER(--MID(R826,2,1)),1,IF(ISNUMBER(--MID(R826,3,1)),2,IF(ISNUMBER(--MID(R826,4,1)),3,MIN(LEN(R826),4))))))</f>
        <v/>
      </c>
      <c r="T826" s="0" t="str">
        <f aca="false">IF(E826="","",LEFT(R826,S826)&amp;REPT("0",4-S826)&amp;RIGHT("000"&amp;IFERROR(VALUE(MID(R826,S826+1,9)),0),3)&amp;RIGHT("0000"&amp;IFERROR(VALUE(MID(E826,FIND("-",E826)+1,9)),0),4))</f>
        <v/>
      </c>
      <c r="U826" s="0" t="str">
        <f aca="false">IF(I826=1,"K"&amp;RIGHT("00"&amp;A826,2)&amp;T826&amp;RIGHT("00000"&amp;ROW(),5),"")</f>
        <v/>
      </c>
      <c r="V826" s="0" t="str">
        <f aca="false">IF(U826="","",COUNTIFS($I$2:$I$1201,1,$U$2:$U$1201,"&lt;"&amp;U826)+1)</f>
        <v/>
      </c>
    </row>
    <row r="827" customFormat="false" ht="15" hidden="false" customHeight="false" outlineLevel="0" collapsed="false">
      <c r="A827" s="0" t="n">
        <v>14</v>
      </c>
      <c r="B827" s="0" t="n">
        <v>46</v>
      </c>
      <c r="C827" s="0" t="str">
        <f aca="false">TRIM(SUBSTITUTE(INDEX(LISTAS!$A$4:$T$63,B827,A827)&amp;"",CHAR(160)," "))</f>
        <v/>
      </c>
      <c r="D827" s="0" t="str">
        <f aca="false">IF(C827="","",TRIM(RIGHT(SUBSTITUTE(C827," ",REPT(" ",100)),100)))</f>
        <v/>
      </c>
      <c r="E827" s="0" t="str">
        <f aca="false">IF(D827="","",UPPER(SUBSTITUTE(SUBSTITUTE(D827,"(",""),")","")))</f>
        <v/>
      </c>
      <c r="F827" s="0" t="str">
        <f aca="false">IF(C827="","",LEFT(C827,FIND(" ",C827&amp;" ")-1))</f>
        <v/>
      </c>
      <c r="G827" s="0" t="n">
        <f aca="false">IFERROR(VALUE(SUBSTITUTE(LOWER(F827),"x","")),0)</f>
        <v>0</v>
      </c>
      <c r="H827" s="0" t="str">
        <f aca="false">IF(C827="","",TRIM(MID(C827,LEN(F827)+2,999)))</f>
        <v/>
      </c>
      <c r="I827" s="0" t="n">
        <f aca="false">IF(OR(C827="",LEFT(C827,2)="//"),0,IFERROR(IF(AND(G827&gt;0,G827=INT(G827),FIND("-",E827)&gt;1,NOT(EXACT(UPPER(LEFT(E827,1)),LOWER(LEFT(E827,1)))),ISNUMBER(VALUE(MID(E827,FIND("-",E827)+1,10)))),1,0),0))</f>
        <v>0</v>
      </c>
      <c r="J827" s="0" t="str">
        <f aca="false">IF(I827=1,TRIM(LEFT(H827,MAX(0,LEN(H827)-LEN(D827)))),"")</f>
        <v/>
      </c>
      <c r="K827" s="0" t="str">
        <f aca="false">INDEX($P$2:$P$21,A827)</f>
        <v>Deck 14</v>
      </c>
      <c r="L827" s="0" t="n">
        <f aca="false">IF(AND(C827&lt;&gt;"",LEFT(C827,2)&lt;&gt;"//",I827=0),1,0)</f>
        <v>0</v>
      </c>
      <c r="M827" s="0" t="str">
        <f aca="false">IF(I827=1,MAX(M$1:M826)+1,"")</f>
        <v/>
      </c>
      <c r="N827" s="0" t="str">
        <f aca="false">IFERROR(MATCH(ROW()-1,$V$2:$V$1201,0),"")</f>
        <v/>
      </c>
      <c r="R827" s="0" t="str">
        <f aca="false">IF(E827="","",IFERROR(LEFT(E827,FIND("-",E827)-1),E827))</f>
        <v/>
      </c>
      <c r="S827" s="0" t="str">
        <f aca="false">IF(R827="","",IF(ISNUMBER(--MID(R827,1,1)),0,IF(ISNUMBER(--MID(R827,2,1)),1,IF(ISNUMBER(--MID(R827,3,1)),2,IF(ISNUMBER(--MID(R827,4,1)),3,MIN(LEN(R827),4))))))</f>
        <v/>
      </c>
      <c r="T827" s="0" t="str">
        <f aca="false">IF(E827="","",LEFT(R827,S827)&amp;REPT("0",4-S827)&amp;RIGHT("000"&amp;IFERROR(VALUE(MID(R827,S827+1,9)),0),3)&amp;RIGHT("0000"&amp;IFERROR(VALUE(MID(E827,FIND("-",E827)+1,9)),0),4))</f>
        <v/>
      </c>
      <c r="U827" s="0" t="str">
        <f aca="false">IF(I827=1,"K"&amp;RIGHT("00"&amp;A827,2)&amp;T827&amp;RIGHT("00000"&amp;ROW(),5),"")</f>
        <v/>
      </c>
      <c r="V827" s="0" t="str">
        <f aca="false">IF(U827="","",COUNTIFS($I$2:$I$1201,1,$U$2:$U$1201,"&lt;"&amp;U827)+1)</f>
        <v/>
      </c>
    </row>
    <row r="828" customFormat="false" ht="15" hidden="false" customHeight="false" outlineLevel="0" collapsed="false">
      <c r="A828" s="0" t="n">
        <v>14</v>
      </c>
      <c r="B828" s="0" t="n">
        <v>47</v>
      </c>
      <c r="C828" s="0" t="str">
        <f aca="false">TRIM(SUBSTITUTE(INDEX(LISTAS!$A$4:$T$63,B828,A828)&amp;"",CHAR(160)," "))</f>
        <v/>
      </c>
      <c r="D828" s="0" t="str">
        <f aca="false">IF(C828="","",TRIM(RIGHT(SUBSTITUTE(C828," ",REPT(" ",100)),100)))</f>
        <v/>
      </c>
      <c r="E828" s="0" t="str">
        <f aca="false">IF(D828="","",UPPER(SUBSTITUTE(SUBSTITUTE(D828,"(",""),")","")))</f>
        <v/>
      </c>
      <c r="F828" s="0" t="str">
        <f aca="false">IF(C828="","",LEFT(C828,FIND(" ",C828&amp;" ")-1))</f>
        <v/>
      </c>
      <c r="G828" s="0" t="n">
        <f aca="false">IFERROR(VALUE(SUBSTITUTE(LOWER(F828),"x","")),0)</f>
        <v>0</v>
      </c>
      <c r="H828" s="0" t="str">
        <f aca="false">IF(C828="","",TRIM(MID(C828,LEN(F828)+2,999)))</f>
        <v/>
      </c>
      <c r="I828" s="0" t="n">
        <f aca="false">IF(OR(C828="",LEFT(C828,2)="//"),0,IFERROR(IF(AND(G828&gt;0,G828=INT(G828),FIND("-",E828)&gt;1,NOT(EXACT(UPPER(LEFT(E828,1)),LOWER(LEFT(E828,1)))),ISNUMBER(VALUE(MID(E828,FIND("-",E828)+1,10)))),1,0),0))</f>
        <v>0</v>
      </c>
      <c r="J828" s="0" t="str">
        <f aca="false">IF(I828=1,TRIM(LEFT(H828,MAX(0,LEN(H828)-LEN(D828)))),"")</f>
        <v/>
      </c>
      <c r="K828" s="0" t="str">
        <f aca="false">INDEX($P$2:$P$21,A828)</f>
        <v>Deck 14</v>
      </c>
      <c r="L828" s="0" t="n">
        <f aca="false">IF(AND(C828&lt;&gt;"",LEFT(C828,2)&lt;&gt;"//",I828=0),1,0)</f>
        <v>0</v>
      </c>
      <c r="M828" s="0" t="str">
        <f aca="false">IF(I828=1,MAX(M$1:M827)+1,"")</f>
        <v/>
      </c>
      <c r="N828" s="0" t="str">
        <f aca="false">IFERROR(MATCH(ROW()-1,$V$2:$V$1201,0),"")</f>
        <v/>
      </c>
      <c r="R828" s="0" t="str">
        <f aca="false">IF(E828="","",IFERROR(LEFT(E828,FIND("-",E828)-1),E828))</f>
        <v/>
      </c>
      <c r="S828" s="0" t="str">
        <f aca="false">IF(R828="","",IF(ISNUMBER(--MID(R828,1,1)),0,IF(ISNUMBER(--MID(R828,2,1)),1,IF(ISNUMBER(--MID(R828,3,1)),2,IF(ISNUMBER(--MID(R828,4,1)),3,MIN(LEN(R828),4))))))</f>
        <v/>
      </c>
      <c r="T828" s="0" t="str">
        <f aca="false">IF(E828="","",LEFT(R828,S828)&amp;REPT("0",4-S828)&amp;RIGHT("000"&amp;IFERROR(VALUE(MID(R828,S828+1,9)),0),3)&amp;RIGHT("0000"&amp;IFERROR(VALUE(MID(E828,FIND("-",E828)+1,9)),0),4))</f>
        <v/>
      </c>
      <c r="U828" s="0" t="str">
        <f aca="false">IF(I828=1,"K"&amp;RIGHT("00"&amp;A828,2)&amp;T828&amp;RIGHT("00000"&amp;ROW(),5),"")</f>
        <v/>
      </c>
      <c r="V828" s="0" t="str">
        <f aca="false">IF(U828="","",COUNTIFS($I$2:$I$1201,1,$U$2:$U$1201,"&lt;"&amp;U828)+1)</f>
        <v/>
      </c>
    </row>
    <row r="829" customFormat="false" ht="15" hidden="false" customHeight="false" outlineLevel="0" collapsed="false">
      <c r="A829" s="0" t="n">
        <v>14</v>
      </c>
      <c r="B829" s="0" t="n">
        <v>48</v>
      </c>
      <c r="C829" s="0" t="str">
        <f aca="false">TRIM(SUBSTITUTE(INDEX(LISTAS!$A$4:$T$63,B829,A829)&amp;"",CHAR(160)," "))</f>
        <v/>
      </c>
      <c r="D829" s="0" t="str">
        <f aca="false">IF(C829="","",TRIM(RIGHT(SUBSTITUTE(C829," ",REPT(" ",100)),100)))</f>
        <v/>
      </c>
      <c r="E829" s="0" t="str">
        <f aca="false">IF(D829="","",UPPER(SUBSTITUTE(SUBSTITUTE(D829,"(",""),")","")))</f>
        <v/>
      </c>
      <c r="F829" s="0" t="str">
        <f aca="false">IF(C829="","",LEFT(C829,FIND(" ",C829&amp;" ")-1))</f>
        <v/>
      </c>
      <c r="G829" s="0" t="n">
        <f aca="false">IFERROR(VALUE(SUBSTITUTE(LOWER(F829),"x","")),0)</f>
        <v>0</v>
      </c>
      <c r="H829" s="0" t="str">
        <f aca="false">IF(C829="","",TRIM(MID(C829,LEN(F829)+2,999)))</f>
        <v/>
      </c>
      <c r="I829" s="0" t="n">
        <f aca="false">IF(OR(C829="",LEFT(C829,2)="//"),0,IFERROR(IF(AND(G829&gt;0,G829=INT(G829),FIND("-",E829)&gt;1,NOT(EXACT(UPPER(LEFT(E829,1)),LOWER(LEFT(E829,1)))),ISNUMBER(VALUE(MID(E829,FIND("-",E829)+1,10)))),1,0),0))</f>
        <v>0</v>
      </c>
      <c r="J829" s="0" t="str">
        <f aca="false">IF(I829=1,TRIM(LEFT(H829,MAX(0,LEN(H829)-LEN(D829)))),"")</f>
        <v/>
      </c>
      <c r="K829" s="0" t="str">
        <f aca="false">INDEX($P$2:$P$21,A829)</f>
        <v>Deck 14</v>
      </c>
      <c r="L829" s="0" t="n">
        <f aca="false">IF(AND(C829&lt;&gt;"",LEFT(C829,2)&lt;&gt;"//",I829=0),1,0)</f>
        <v>0</v>
      </c>
      <c r="M829" s="0" t="str">
        <f aca="false">IF(I829=1,MAX(M$1:M828)+1,"")</f>
        <v/>
      </c>
      <c r="N829" s="0" t="str">
        <f aca="false">IFERROR(MATCH(ROW()-1,$V$2:$V$1201,0),"")</f>
        <v/>
      </c>
      <c r="R829" s="0" t="str">
        <f aca="false">IF(E829="","",IFERROR(LEFT(E829,FIND("-",E829)-1),E829))</f>
        <v/>
      </c>
      <c r="S829" s="0" t="str">
        <f aca="false">IF(R829="","",IF(ISNUMBER(--MID(R829,1,1)),0,IF(ISNUMBER(--MID(R829,2,1)),1,IF(ISNUMBER(--MID(R829,3,1)),2,IF(ISNUMBER(--MID(R829,4,1)),3,MIN(LEN(R829),4))))))</f>
        <v/>
      </c>
      <c r="T829" s="0" t="str">
        <f aca="false">IF(E829="","",LEFT(R829,S829)&amp;REPT("0",4-S829)&amp;RIGHT("000"&amp;IFERROR(VALUE(MID(R829,S829+1,9)),0),3)&amp;RIGHT("0000"&amp;IFERROR(VALUE(MID(E829,FIND("-",E829)+1,9)),0),4))</f>
        <v/>
      </c>
      <c r="U829" s="0" t="str">
        <f aca="false">IF(I829=1,"K"&amp;RIGHT("00"&amp;A829,2)&amp;T829&amp;RIGHT("00000"&amp;ROW(),5),"")</f>
        <v/>
      </c>
      <c r="V829" s="0" t="str">
        <f aca="false">IF(U829="","",COUNTIFS($I$2:$I$1201,1,$U$2:$U$1201,"&lt;"&amp;U829)+1)</f>
        <v/>
      </c>
    </row>
    <row r="830" customFormat="false" ht="15" hidden="false" customHeight="false" outlineLevel="0" collapsed="false">
      <c r="A830" s="0" t="n">
        <v>14</v>
      </c>
      <c r="B830" s="0" t="n">
        <v>49</v>
      </c>
      <c r="C830" s="0" t="str">
        <f aca="false">TRIM(SUBSTITUTE(INDEX(LISTAS!$A$4:$T$63,B830,A830)&amp;"",CHAR(160)," "))</f>
        <v/>
      </c>
      <c r="D830" s="0" t="str">
        <f aca="false">IF(C830="","",TRIM(RIGHT(SUBSTITUTE(C830," ",REPT(" ",100)),100)))</f>
        <v/>
      </c>
      <c r="E830" s="0" t="str">
        <f aca="false">IF(D830="","",UPPER(SUBSTITUTE(SUBSTITUTE(D830,"(",""),")","")))</f>
        <v/>
      </c>
      <c r="F830" s="0" t="str">
        <f aca="false">IF(C830="","",LEFT(C830,FIND(" ",C830&amp;" ")-1))</f>
        <v/>
      </c>
      <c r="G830" s="0" t="n">
        <f aca="false">IFERROR(VALUE(SUBSTITUTE(LOWER(F830),"x","")),0)</f>
        <v>0</v>
      </c>
      <c r="H830" s="0" t="str">
        <f aca="false">IF(C830="","",TRIM(MID(C830,LEN(F830)+2,999)))</f>
        <v/>
      </c>
      <c r="I830" s="0" t="n">
        <f aca="false">IF(OR(C830="",LEFT(C830,2)="//"),0,IFERROR(IF(AND(G830&gt;0,G830=INT(G830),FIND("-",E830)&gt;1,NOT(EXACT(UPPER(LEFT(E830,1)),LOWER(LEFT(E830,1)))),ISNUMBER(VALUE(MID(E830,FIND("-",E830)+1,10)))),1,0),0))</f>
        <v>0</v>
      </c>
      <c r="J830" s="0" t="str">
        <f aca="false">IF(I830=1,TRIM(LEFT(H830,MAX(0,LEN(H830)-LEN(D830)))),"")</f>
        <v/>
      </c>
      <c r="K830" s="0" t="str">
        <f aca="false">INDEX($P$2:$P$21,A830)</f>
        <v>Deck 14</v>
      </c>
      <c r="L830" s="0" t="n">
        <f aca="false">IF(AND(C830&lt;&gt;"",LEFT(C830,2)&lt;&gt;"//",I830=0),1,0)</f>
        <v>0</v>
      </c>
      <c r="M830" s="0" t="str">
        <f aca="false">IF(I830=1,MAX(M$1:M829)+1,"")</f>
        <v/>
      </c>
      <c r="N830" s="0" t="str">
        <f aca="false">IFERROR(MATCH(ROW()-1,$V$2:$V$1201,0),"")</f>
        <v/>
      </c>
      <c r="R830" s="0" t="str">
        <f aca="false">IF(E830="","",IFERROR(LEFT(E830,FIND("-",E830)-1),E830))</f>
        <v/>
      </c>
      <c r="S830" s="0" t="str">
        <f aca="false">IF(R830="","",IF(ISNUMBER(--MID(R830,1,1)),0,IF(ISNUMBER(--MID(R830,2,1)),1,IF(ISNUMBER(--MID(R830,3,1)),2,IF(ISNUMBER(--MID(R830,4,1)),3,MIN(LEN(R830),4))))))</f>
        <v/>
      </c>
      <c r="T830" s="0" t="str">
        <f aca="false">IF(E830="","",LEFT(R830,S830)&amp;REPT("0",4-S830)&amp;RIGHT("000"&amp;IFERROR(VALUE(MID(R830,S830+1,9)),0),3)&amp;RIGHT("0000"&amp;IFERROR(VALUE(MID(E830,FIND("-",E830)+1,9)),0),4))</f>
        <v/>
      </c>
      <c r="U830" s="0" t="str">
        <f aca="false">IF(I830=1,"K"&amp;RIGHT("00"&amp;A830,2)&amp;T830&amp;RIGHT("00000"&amp;ROW(),5),"")</f>
        <v/>
      </c>
      <c r="V830" s="0" t="str">
        <f aca="false">IF(U830="","",COUNTIFS($I$2:$I$1201,1,$U$2:$U$1201,"&lt;"&amp;U830)+1)</f>
        <v/>
      </c>
    </row>
    <row r="831" customFormat="false" ht="15" hidden="false" customHeight="false" outlineLevel="0" collapsed="false">
      <c r="A831" s="0" t="n">
        <v>14</v>
      </c>
      <c r="B831" s="0" t="n">
        <v>50</v>
      </c>
      <c r="C831" s="0" t="str">
        <f aca="false">TRIM(SUBSTITUTE(INDEX(LISTAS!$A$4:$T$63,B831,A831)&amp;"",CHAR(160)," "))</f>
        <v/>
      </c>
      <c r="D831" s="0" t="str">
        <f aca="false">IF(C831="","",TRIM(RIGHT(SUBSTITUTE(C831," ",REPT(" ",100)),100)))</f>
        <v/>
      </c>
      <c r="E831" s="0" t="str">
        <f aca="false">IF(D831="","",UPPER(SUBSTITUTE(SUBSTITUTE(D831,"(",""),")","")))</f>
        <v/>
      </c>
      <c r="F831" s="0" t="str">
        <f aca="false">IF(C831="","",LEFT(C831,FIND(" ",C831&amp;" ")-1))</f>
        <v/>
      </c>
      <c r="G831" s="0" t="n">
        <f aca="false">IFERROR(VALUE(SUBSTITUTE(LOWER(F831),"x","")),0)</f>
        <v>0</v>
      </c>
      <c r="H831" s="0" t="str">
        <f aca="false">IF(C831="","",TRIM(MID(C831,LEN(F831)+2,999)))</f>
        <v/>
      </c>
      <c r="I831" s="0" t="n">
        <f aca="false">IF(OR(C831="",LEFT(C831,2)="//"),0,IFERROR(IF(AND(G831&gt;0,G831=INT(G831),FIND("-",E831)&gt;1,NOT(EXACT(UPPER(LEFT(E831,1)),LOWER(LEFT(E831,1)))),ISNUMBER(VALUE(MID(E831,FIND("-",E831)+1,10)))),1,0),0))</f>
        <v>0</v>
      </c>
      <c r="J831" s="0" t="str">
        <f aca="false">IF(I831=1,TRIM(LEFT(H831,MAX(0,LEN(H831)-LEN(D831)))),"")</f>
        <v/>
      </c>
      <c r="K831" s="0" t="str">
        <f aca="false">INDEX($P$2:$P$21,A831)</f>
        <v>Deck 14</v>
      </c>
      <c r="L831" s="0" t="n">
        <f aca="false">IF(AND(C831&lt;&gt;"",LEFT(C831,2)&lt;&gt;"//",I831=0),1,0)</f>
        <v>0</v>
      </c>
      <c r="M831" s="0" t="str">
        <f aca="false">IF(I831=1,MAX(M$1:M830)+1,"")</f>
        <v/>
      </c>
      <c r="N831" s="0" t="str">
        <f aca="false">IFERROR(MATCH(ROW()-1,$V$2:$V$1201,0),"")</f>
        <v/>
      </c>
      <c r="R831" s="0" t="str">
        <f aca="false">IF(E831="","",IFERROR(LEFT(E831,FIND("-",E831)-1),E831))</f>
        <v/>
      </c>
      <c r="S831" s="0" t="str">
        <f aca="false">IF(R831="","",IF(ISNUMBER(--MID(R831,1,1)),0,IF(ISNUMBER(--MID(R831,2,1)),1,IF(ISNUMBER(--MID(R831,3,1)),2,IF(ISNUMBER(--MID(R831,4,1)),3,MIN(LEN(R831),4))))))</f>
        <v/>
      </c>
      <c r="T831" s="0" t="str">
        <f aca="false">IF(E831="","",LEFT(R831,S831)&amp;REPT("0",4-S831)&amp;RIGHT("000"&amp;IFERROR(VALUE(MID(R831,S831+1,9)),0),3)&amp;RIGHT("0000"&amp;IFERROR(VALUE(MID(E831,FIND("-",E831)+1,9)),0),4))</f>
        <v/>
      </c>
      <c r="U831" s="0" t="str">
        <f aca="false">IF(I831=1,"K"&amp;RIGHT("00"&amp;A831,2)&amp;T831&amp;RIGHT("00000"&amp;ROW(),5),"")</f>
        <v/>
      </c>
      <c r="V831" s="0" t="str">
        <f aca="false">IF(U831="","",COUNTIFS($I$2:$I$1201,1,$U$2:$U$1201,"&lt;"&amp;U831)+1)</f>
        <v/>
      </c>
    </row>
    <row r="832" customFormat="false" ht="15" hidden="false" customHeight="false" outlineLevel="0" collapsed="false">
      <c r="A832" s="0" t="n">
        <v>14</v>
      </c>
      <c r="B832" s="0" t="n">
        <v>51</v>
      </c>
      <c r="C832" s="0" t="str">
        <f aca="false">TRIM(SUBSTITUTE(INDEX(LISTAS!$A$4:$T$63,B832,A832)&amp;"",CHAR(160)," "))</f>
        <v/>
      </c>
      <c r="D832" s="0" t="str">
        <f aca="false">IF(C832="","",TRIM(RIGHT(SUBSTITUTE(C832," ",REPT(" ",100)),100)))</f>
        <v/>
      </c>
      <c r="E832" s="0" t="str">
        <f aca="false">IF(D832="","",UPPER(SUBSTITUTE(SUBSTITUTE(D832,"(",""),")","")))</f>
        <v/>
      </c>
      <c r="F832" s="0" t="str">
        <f aca="false">IF(C832="","",LEFT(C832,FIND(" ",C832&amp;" ")-1))</f>
        <v/>
      </c>
      <c r="G832" s="0" t="n">
        <f aca="false">IFERROR(VALUE(SUBSTITUTE(LOWER(F832),"x","")),0)</f>
        <v>0</v>
      </c>
      <c r="H832" s="0" t="str">
        <f aca="false">IF(C832="","",TRIM(MID(C832,LEN(F832)+2,999)))</f>
        <v/>
      </c>
      <c r="I832" s="0" t="n">
        <f aca="false">IF(OR(C832="",LEFT(C832,2)="//"),0,IFERROR(IF(AND(G832&gt;0,G832=INT(G832),FIND("-",E832)&gt;1,NOT(EXACT(UPPER(LEFT(E832,1)),LOWER(LEFT(E832,1)))),ISNUMBER(VALUE(MID(E832,FIND("-",E832)+1,10)))),1,0),0))</f>
        <v>0</v>
      </c>
      <c r="J832" s="0" t="str">
        <f aca="false">IF(I832=1,TRIM(LEFT(H832,MAX(0,LEN(H832)-LEN(D832)))),"")</f>
        <v/>
      </c>
      <c r="K832" s="0" t="str">
        <f aca="false">INDEX($P$2:$P$21,A832)</f>
        <v>Deck 14</v>
      </c>
      <c r="L832" s="0" t="n">
        <f aca="false">IF(AND(C832&lt;&gt;"",LEFT(C832,2)&lt;&gt;"//",I832=0),1,0)</f>
        <v>0</v>
      </c>
      <c r="M832" s="0" t="str">
        <f aca="false">IF(I832=1,MAX(M$1:M831)+1,"")</f>
        <v/>
      </c>
      <c r="N832" s="0" t="str">
        <f aca="false">IFERROR(MATCH(ROW()-1,$V$2:$V$1201,0),"")</f>
        <v/>
      </c>
      <c r="R832" s="0" t="str">
        <f aca="false">IF(E832="","",IFERROR(LEFT(E832,FIND("-",E832)-1),E832))</f>
        <v/>
      </c>
      <c r="S832" s="0" t="str">
        <f aca="false">IF(R832="","",IF(ISNUMBER(--MID(R832,1,1)),0,IF(ISNUMBER(--MID(R832,2,1)),1,IF(ISNUMBER(--MID(R832,3,1)),2,IF(ISNUMBER(--MID(R832,4,1)),3,MIN(LEN(R832),4))))))</f>
        <v/>
      </c>
      <c r="T832" s="0" t="str">
        <f aca="false">IF(E832="","",LEFT(R832,S832)&amp;REPT("0",4-S832)&amp;RIGHT("000"&amp;IFERROR(VALUE(MID(R832,S832+1,9)),0),3)&amp;RIGHT("0000"&amp;IFERROR(VALUE(MID(E832,FIND("-",E832)+1,9)),0),4))</f>
        <v/>
      </c>
      <c r="U832" s="0" t="str">
        <f aca="false">IF(I832=1,"K"&amp;RIGHT("00"&amp;A832,2)&amp;T832&amp;RIGHT("00000"&amp;ROW(),5),"")</f>
        <v/>
      </c>
      <c r="V832" s="0" t="str">
        <f aca="false">IF(U832="","",COUNTIFS($I$2:$I$1201,1,$U$2:$U$1201,"&lt;"&amp;U832)+1)</f>
        <v/>
      </c>
    </row>
    <row r="833" customFormat="false" ht="15" hidden="false" customHeight="false" outlineLevel="0" collapsed="false">
      <c r="A833" s="0" t="n">
        <v>14</v>
      </c>
      <c r="B833" s="0" t="n">
        <v>52</v>
      </c>
      <c r="C833" s="0" t="str">
        <f aca="false">TRIM(SUBSTITUTE(INDEX(LISTAS!$A$4:$T$63,B833,A833)&amp;"",CHAR(160)," "))</f>
        <v/>
      </c>
      <c r="D833" s="0" t="str">
        <f aca="false">IF(C833="","",TRIM(RIGHT(SUBSTITUTE(C833," ",REPT(" ",100)),100)))</f>
        <v/>
      </c>
      <c r="E833" s="0" t="str">
        <f aca="false">IF(D833="","",UPPER(SUBSTITUTE(SUBSTITUTE(D833,"(",""),")","")))</f>
        <v/>
      </c>
      <c r="F833" s="0" t="str">
        <f aca="false">IF(C833="","",LEFT(C833,FIND(" ",C833&amp;" ")-1))</f>
        <v/>
      </c>
      <c r="G833" s="0" t="n">
        <f aca="false">IFERROR(VALUE(SUBSTITUTE(LOWER(F833),"x","")),0)</f>
        <v>0</v>
      </c>
      <c r="H833" s="0" t="str">
        <f aca="false">IF(C833="","",TRIM(MID(C833,LEN(F833)+2,999)))</f>
        <v/>
      </c>
      <c r="I833" s="0" t="n">
        <f aca="false">IF(OR(C833="",LEFT(C833,2)="//"),0,IFERROR(IF(AND(G833&gt;0,G833=INT(G833),FIND("-",E833)&gt;1,NOT(EXACT(UPPER(LEFT(E833,1)),LOWER(LEFT(E833,1)))),ISNUMBER(VALUE(MID(E833,FIND("-",E833)+1,10)))),1,0),0))</f>
        <v>0</v>
      </c>
      <c r="J833" s="0" t="str">
        <f aca="false">IF(I833=1,TRIM(LEFT(H833,MAX(0,LEN(H833)-LEN(D833)))),"")</f>
        <v/>
      </c>
      <c r="K833" s="0" t="str">
        <f aca="false">INDEX($P$2:$P$21,A833)</f>
        <v>Deck 14</v>
      </c>
      <c r="L833" s="0" t="n">
        <f aca="false">IF(AND(C833&lt;&gt;"",LEFT(C833,2)&lt;&gt;"//",I833=0),1,0)</f>
        <v>0</v>
      </c>
      <c r="M833" s="0" t="str">
        <f aca="false">IF(I833=1,MAX(M$1:M832)+1,"")</f>
        <v/>
      </c>
      <c r="N833" s="0" t="str">
        <f aca="false">IFERROR(MATCH(ROW()-1,$V$2:$V$1201,0),"")</f>
        <v/>
      </c>
      <c r="R833" s="0" t="str">
        <f aca="false">IF(E833="","",IFERROR(LEFT(E833,FIND("-",E833)-1),E833))</f>
        <v/>
      </c>
      <c r="S833" s="0" t="str">
        <f aca="false">IF(R833="","",IF(ISNUMBER(--MID(R833,1,1)),0,IF(ISNUMBER(--MID(R833,2,1)),1,IF(ISNUMBER(--MID(R833,3,1)),2,IF(ISNUMBER(--MID(R833,4,1)),3,MIN(LEN(R833),4))))))</f>
        <v/>
      </c>
      <c r="T833" s="0" t="str">
        <f aca="false">IF(E833="","",LEFT(R833,S833)&amp;REPT("0",4-S833)&amp;RIGHT("000"&amp;IFERROR(VALUE(MID(R833,S833+1,9)),0),3)&amp;RIGHT("0000"&amp;IFERROR(VALUE(MID(E833,FIND("-",E833)+1,9)),0),4))</f>
        <v/>
      </c>
      <c r="U833" s="0" t="str">
        <f aca="false">IF(I833=1,"K"&amp;RIGHT("00"&amp;A833,2)&amp;T833&amp;RIGHT("00000"&amp;ROW(),5),"")</f>
        <v/>
      </c>
      <c r="V833" s="0" t="str">
        <f aca="false">IF(U833="","",COUNTIFS($I$2:$I$1201,1,$U$2:$U$1201,"&lt;"&amp;U833)+1)</f>
        <v/>
      </c>
    </row>
    <row r="834" customFormat="false" ht="15" hidden="false" customHeight="false" outlineLevel="0" collapsed="false">
      <c r="A834" s="0" t="n">
        <v>14</v>
      </c>
      <c r="B834" s="0" t="n">
        <v>53</v>
      </c>
      <c r="C834" s="0" t="str">
        <f aca="false">TRIM(SUBSTITUTE(INDEX(LISTAS!$A$4:$T$63,B834,A834)&amp;"",CHAR(160)," "))</f>
        <v/>
      </c>
      <c r="D834" s="0" t="str">
        <f aca="false">IF(C834="","",TRIM(RIGHT(SUBSTITUTE(C834," ",REPT(" ",100)),100)))</f>
        <v/>
      </c>
      <c r="E834" s="0" t="str">
        <f aca="false">IF(D834="","",UPPER(SUBSTITUTE(SUBSTITUTE(D834,"(",""),")","")))</f>
        <v/>
      </c>
      <c r="F834" s="0" t="str">
        <f aca="false">IF(C834="","",LEFT(C834,FIND(" ",C834&amp;" ")-1))</f>
        <v/>
      </c>
      <c r="G834" s="0" t="n">
        <f aca="false">IFERROR(VALUE(SUBSTITUTE(LOWER(F834),"x","")),0)</f>
        <v>0</v>
      </c>
      <c r="H834" s="0" t="str">
        <f aca="false">IF(C834="","",TRIM(MID(C834,LEN(F834)+2,999)))</f>
        <v/>
      </c>
      <c r="I834" s="0" t="n">
        <f aca="false">IF(OR(C834="",LEFT(C834,2)="//"),0,IFERROR(IF(AND(G834&gt;0,G834=INT(G834),FIND("-",E834)&gt;1,NOT(EXACT(UPPER(LEFT(E834,1)),LOWER(LEFT(E834,1)))),ISNUMBER(VALUE(MID(E834,FIND("-",E834)+1,10)))),1,0),0))</f>
        <v>0</v>
      </c>
      <c r="J834" s="0" t="str">
        <f aca="false">IF(I834=1,TRIM(LEFT(H834,MAX(0,LEN(H834)-LEN(D834)))),"")</f>
        <v/>
      </c>
      <c r="K834" s="0" t="str">
        <f aca="false">INDEX($P$2:$P$21,A834)</f>
        <v>Deck 14</v>
      </c>
      <c r="L834" s="0" t="n">
        <f aca="false">IF(AND(C834&lt;&gt;"",LEFT(C834,2)&lt;&gt;"//",I834=0),1,0)</f>
        <v>0</v>
      </c>
      <c r="M834" s="0" t="str">
        <f aca="false">IF(I834=1,MAX(M$1:M833)+1,"")</f>
        <v/>
      </c>
      <c r="N834" s="0" t="str">
        <f aca="false">IFERROR(MATCH(ROW()-1,$V$2:$V$1201,0),"")</f>
        <v/>
      </c>
      <c r="R834" s="0" t="str">
        <f aca="false">IF(E834="","",IFERROR(LEFT(E834,FIND("-",E834)-1),E834))</f>
        <v/>
      </c>
      <c r="S834" s="0" t="str">
        <f aca="false">IF(R834="","",IF(ISNUMBER(--MID(R834,1,1)),0,IF(ISNUMBER(--MID(R834,2,1)),1,IF(ISNUMBER(--MID(R834,3,1)),2,IF(ISNUMBER(--MID(R834,4,1)),3,MIN(LEN(R834),4))))))</f>
        <v/>
      </c>
      <c r="T834" s="0" t="str">
        <f aca="false">IF(E834="","",LEFT(R834,S834)&amp;REPT("0",4-S834)&amp;RIGHT("000"&amp;IFERROR(VALUE(MID(R834,S834+1,9)),0),3)&amp;RIGHT("0000"&amp;IFERROR(VALUE(MID(E834,FIND("-",E834)+1,9)),0),4))</f>
        <v/>
      </c>
      <c r="U834" s="0" t="str">
        <f aca="false">IF(I834=1,"K"&amp;RIGHT("00"&amp;A834,2)&amp;T834&amp;RIGHT("00000"&amp;ROW(),5),"")</f>
        <v/>
      </c>
      <c r="V834" s="0" t="str">
        <f aca="false">IF(U834="","",COUNTIFS($I$2:$I$1201,1,$U$2:$U$1201,"&lt;"&amp;U834)+1)</f>
        <v/>
      </c>
    </row>
    <row r="835" customFormat="false" ht="15" hidden="false" customHeight="false" outlineLevel="0" collapsed="false">
      <c r="A835" s="0" t="n">
        <v>14</v>
      </c>
      <c r="B835" s="0" t="n">
        <v>54</v>
      </c>
      <c r="C835" s="0" t="str">
        <f aca="false">TRIM(SUBSTITUTE(INDEX(LISTAS!$A$4:$T$63,B835,A835)&amp;"",CHAR(160)," "))</f>
        <v/>
      </c>
      <c r="D835" s="0" t="str">
        <f aca="false">IF(C835="","",TRIM(RIGHT(SUBSTITUTE(C835," ",REPT(" ",100)),100)))</f>
        <v/>
      </c>
      <c r="E835" s="0" t="str">
        <f aca="false">IF(D835="","",UPPER(SUBSTITUTE(SUBSTITUTE(D835,"(",""),")","")))</f>
        <v/>
      </c>
      <c r="F835" s="0" t="str">
        <f aca="false">IF(C835="","",LEFT(C835,FIND(" ",C835&amp;" ")-1))</f>
        <v/>
      </c>
      <c r="G835" s="0" t="n">
        <f aca="false">IFERROR(VALUE(SUBSTITUTE(LOWER(F835),"x","")),0)</f>
        <v>0</v>
      </c>
      <c r="H835" s="0" t="str">
        <f aca="false">IF(C835="","",TRIM(MID(C835,LEN(F835)+2,999)))</f>
        <v/>
      </c>
      <c r="I835" s="0" t="n">
        <f aca="false">IF(OR(C835="",LEFT(C835,2)="//"),0,IFERROR(IF(AND(G835&gt;0,G835=INT(G835),FIND("-",E835)&gt;1,NOT(EXACT(UPPER(LEFT(E835,1)),LOWER(LEFT(E835,1)))),ISNUMBER(VALUE(MID(E835,FIND("-",E835)+1,10)))),1,0),0))</f>
        <v>0</v>
      </c>
      <c r="J835" s="0" t="str">
        <f aca="false">IF(I835=1,TRIM(LEFT(H835,MAX(0,LEN(H835)-LEN(D835)))),"")</f>
        <v/>
      </c>
      <c r="K835" s="0" t="str">
        <f aca="false">INDEX($P$2:$P$21,A835)</f>
        <v>Deck 14</v>
      </c>
      <c r="L835" s="0" t="n">
        <f aca="false">IF(AND(C835&lt;&gt;"",LEFT(C835,2)&lt;&gt;"//",I835=0),1,0)</f>
        <v>0</v>
      </c>
      <c r="M835" s="0" t="str">
        <f aca="false">IF(I835=1,MAX(M$1:M834)+1,"")</f>
        <v/>
      </c>
      <c r="N835" s="0" t="str">
        <f aca="false">IFERROR(MATCH(ROW()-1,$V$2:$V$1201,0),"")</f>
        <v/>
      </c>
      <c r="R835" s="0" t="str">
        <f aca="false">IF(E835="","",IFERROR(LEFT(E835,FIND("-",E835)-1),E835))</f>
        <v/>
      </c>
      <c r="S835" s="0" t="str">
        <f aca="false">IF(R835="","",IF(ISNUMBER(--MID(R835,1,1)),0,IF(ISNUMBER(--MID(R835,2,1)),1,IF(ISNUMBER(--MID(R835,3,1)),2,IF(ISNUMBER(--MID(R835,4,1)),3,MIN(LEN(R835),4))))))</f>
        <v/>
      </c>
      <c r="T835" s="0" t="str">
        <f aca="false">IF(E835="","",LEFT(R835,S835)&amp;REPT("0",4-S835)&amp;RIGHT("000"&amp;IFERROR(VALUE(MID(R835,S835+1,9)),0),3)&amp;RIGHT("0000"&amp;IFERROR(VALUE(MID(E835,FIND("-",E835)+1,9)),0),4))</f>
        <v/>
      </c>
      <c r="U835" s="0" t="str">
        <f aca="false">IF(I835=1,"K"&amp;RIGHT("00"&amp;A835,2)&amp;T835&amp;RIGHT("00000"&amp;ROW(),5),"")</f>
        <v/>
      </c>
      <c r="V835" s="0" t="str">
        <f aca="false">IF(U835="","",COUNTIFS($I$2:$I$1201,1,$U$2:$U$1201,"&lt;"&amp;U835)+1)</f>
        <v/>
      </c>
    </row>
    <row r="836" customFormat="false" ht="15" hidden="false" customHeight="false" outlineLevel="0" collapsed="false">
      <c r="A836" s="0" t="n">
        <v>14</v>
      </c>
      <c r="B836" s="0" t="n">
        <v>55</v>
      </c>
      <c r="C836" s="0" t="str">
        <f aca="false">TRIM(SUBSTITUTE(INDEX(LISTAS!$A$4:$T$63,B836,A836)&amp;"",CHAR(160)," "))</f>
        <v/>
      </c>
      <c r="D836" s="0" t="str">
        <f aca="false">IF(C836="","",TRIM(RIGHT(SUBSTITUTE(C836," ",REPT(" ",100)),100)))</f>
        <v/>
      </c>
      <c r="E836" s="0" t="str">
        <f aca="false">IF(D836="","",UPPER(SUBSTITUTE(SUBSTITUTE(D836,"(",""),")","")))</f>
        <v/>
      </c>
      <c r="F836" s="0" t="str">
        <f aca="false">IF(C836="","",LEFT(C836,FIND(" ",C836&amp;" ")-1))</f>
        <v/>
      </c>
      <c r="G836" s="0" t="n">
        <f aca="false">IFERROR(VALUE(SUBSTITUTE(LOWER(F836),"x","")),0)</f>
        <v>0</v>
      </c>
      <c r="H836" s="0" t="str">
        <f aca="false">IF(C836="","",TRIM(MID(C836,LEN(F836)+2,999)))</f>
        <v/>
      </c>
      <c r="I836" s="0" t="n">
        <f aca="false">IF(OR(C836="",LEFT(C836,2)="//"),0,IFERROR(IF(AND(G836&gt;0,G836=INT(G836),FIND("-",E836)&gt;1,NOT(EXACT(UPPER(LEFT(E836,1)),LOWER(LEFT(E836,1)))),ISNUMBER(VALUE(MID(E836,FIND("-",E836)+1,10)))),1,0),0))</f>
        <v>0</v>
      </c>
      <c r="J836" s="0" t="str">
        <f aca="false">IF(I836=1,TRIM(LEFT(H836,MAX(0,LEN(H836)-LEN(D836)))),"")</f>
        <v/>
      </c>
      <c r="K836" s="0" t="str">
        <f aca="false">INDEX($P$2:$P$21,A836)</f>
        <v>Deck 14</v>
      </c>
      <c r="L836" s="0" t="n">
        <f aca="false">IF(AND(C836&lt;&gt;"",LEFT(C836,2)&lt;&gt;"//",I836=0),1,0)</f>
        <v>0</v>
      </c>
      <c r="M836" s="0" t="str">
        <f aca="false">IF(I836=1,MAX(M$1:M835)+1,"")</f>
        <v/>
      </c>
      <c r="N836" s="0" t="str">
        <f aca="false">IFERROR(MATCH(ROW()-1,$V$2:$V$1201,0),"")</f>
        <v/>
      </c>
      <c r="R836" s="0" t="str">
        <f aca="false">IF(E836="","",IFERROR(LEFT(E836,FIND("-",E836)-1),E836))</f>
        <v/>
      </c>
      <c r="S836" s="0" t="str">
        <f aca="false">IF(R836="","",IF(ISNUMBER(--MID(R836,1,1)),0,IF(ISNUMBER(--MID(R836,2,1)),1,IF(ISNUMBER(--MID(R836,3,1)),2,IF(ISNUMBER(--MID(R836,4,1)),3,MIN(LEN(R836),4))))))</f>
        <v/>
      </c>
      <c r="T836" s="0" t="str">
        <f aca="false">IF(E836="","",LEFT(R836,S836)&amp;REPT("0",4-S836)&amp;RIGHT("000"&amp;IFERROR(VALUE(MID(R836,S836+1,9)),0),3)&amp;RIGHT("0000"&amp;IFERROR(VALUE(MID(E836,FIND("-",E836)+1,9)),0),4))</f>
        <v/>
      </c>
      <c r="U836" s="0" t="str">
        <f aca="false">IF(I836=1,"K"&amp;RIGHT("00"&amp;A836,2)&amp;T836&amp;RIGHT("00000"&amp;ROW(),5),"")</f>
        <v/>
      </c>
      <c r="V836" s="0" t="str">
        <f aca="false">IF(U836="","",COUNTIFS($I$2:$I$1201,1,$U$2:$U$1201,"&lt;"&amp;U836)+1)</f>
        <v/>
      </c>
    </row>
    <row r="837" customFormat="false" ht="15" hidden="false" customHeight="false" outlineLevel="0" collapsed="false">
      <c r="A837" s="0" t="n">
        <v>14</v>
      </c>
      <c r="B837" s="0" t="n">
        <v>56</v>
      </c>
      <c r="C837" s="0" t="str">
        <f aca="false">TRIM(SUBSTITUTE(INDEX(LISTAS!$A$4:$T$63,B837,A837)&amp;"",CHAR(160)," "))</f>
        <v/>
      </c>
      <c r="D837" s="0" t="str">
        <f aca="false">IF(C837="","",TRIM(RIGHT(SUBSTITUTE(C837," ",REPT(" ",100)),100)))</f>
        <v/>
      </c>
      <c r="E837" s="0" t="str">
        <f aca="false">IF(D837="","",UPPER(SUBSTITUTE(SUBSTITUTE(D837,"(",""),")","")))</f>
        <v/>
      </c>
      <c r="F837" s="0" t="str">
        <f aca="false">IF(C837="","",LEFT(C837,FIND(" ",C837&amp;" ")-1))</f>
        <v/>
      </c>
      <c r="G837" s="0" t="n">
        <f aca="false">IFERROR(VALUE(SUBSTITUTE(LOWER(F837),"x","")),0)</f>
        <v>0</v>
      </c>
      <c r="H837" s="0" t="str">
        <f aca="false">IF(C837="","",TRIM(MID(C837,LEN(F837)+2,999)))</f>
        <v/>
      </c>
      <c r="I837" s="0" t="n">
        <f aca="false">IF(OR(C837="",LEFT(C837,2)="//"),0,IFERROR(IF(AND(G837&gt;0,G837=INT(G837),FIND("-",E837)&gt;1,NOT(EXACT(UPPER(LEFT(E837,1)),LOWER(LEFT(E837,1)))),ISNUMBER(VALUE(MID(E837,FIND("-",E837)+1,10)))),1,0),0))</f>
        <v>0</v>
      </c>
      <c r="J837" s="0" t="str">
        <f aca="false">IF(I837=1,TRIM(LEFT(H837,MAX(0,LEN(H837)-LEN(D837)))),"")</f>
        <v/>
      </c>
      <c r="K837" s="0" t="str">
        <f aca="false">INDEX($P$2:$P$21,A837)</f>
        <v>Deck 14</v>
      </c>
      <c r="L837" s="0" t="n">
        <f aca="false">IF(AND(C837&lt;&gt;"",LEFT(C837,2)&lt;&gt;"//",I837=0),1,0)</f>
        <v>0</v>
      </c>
      <c r="M837" s="0" t="str">
        <f aca="false">IF(I837=1,MAX(M$1:M836)+1,"")</f>
        <v/>
      </c>
      <c r="N837" s="0" t="str">
        <f aca="false">IFERROR(MATCH(ROW()-1,$V$2:$V$1201,0),"")</f>
        <v/>
      </c>
      <c r="R837" s="0" t="str">
        <f aca="false">IF(E837="","",IFERROR(LEFT(E837,FIND("-",E837)-1),E837))</f>
        <v/>
      </c>
      <c r="S837" s="0" t="str">
        <f aca="false">IF(R837="","",IF(ISNUMBER(--MID(R837,1,1)),0,IF(ISNUMBER(--MID(R837,2,1)),1,IF(ISNUMBER(--MID(R837,3,1)),2,IF(ISNUMBER(--MID(R837,4,1)),3,MIN(LEN(R837),4))))))</f>
        <v/>
      </c>
      <c r="T837" s="0" t="str">
        <f aca="false">IF(E837="","",LEFT(R837,S837)&amp;REPT("0",4-S837)&amp;RIGHT("000"&amp;IFERROR(VALUE(MID(R837,S837+1,9)),0),3)&amp;RIGHT("0000"&amp;IFERROR(VALUE(MID(E837,FIND("-",E837)+1,9)),0),4))</f>
        <v/>
      </c>
      <c r="U837" s="0" t="str">
        <f aca="false">IF(I837=1,"K"&amp;RIGHT("00"&amp;A837,2)&amp;T837&amp;RIGHT("00000"&amp;ROW(),5),"")</f>
        <v/>
      </c>
      <c r="V837" s="0" t="str">
        <f aca="false">IF(U837="","",COUNTIFS($I$2:$I$1201,1,$U$2:$U$1201,"&lt;"&amp;U837)+1)</f>
        <v/>
      </c>
    </row>
    <row r="838" customFormat="false" ht="15" hidden="false" customHeight="false" outlineLevel="0" collapsed="false">
      <c r="A838" s="0" t="n">
        <v>14</v>
      </c>
      <c r="B838" s="0" t="n">
        <v>57</v>
      </c>
      <c r="C838" s="0" t="str">
        <f aca="false">TRIM(SUBSTITUTE(INDEX(LISTAS!$A$4:$T$63,B838,A838)&amp;"",CHAR(160)," "))</f>
        <v/>
      </c>
      <c r="D838" s="0" t="str">
        <f aca="false">IF(C838="","",TRIM(RIGHT(SUBSTITUTE(C838," ",REPT(" ",100)),100)))</f>
        <v/>
      </c>
      <c r="E838" s="0" t="str">
        <f aca="false">IF(D838="","",UPPER(SUBSTITUTE(SUBSTITUTE(D838,"(",""),")","")))</f>
        <v/>
      </c>
      <c r="F838" s="0" t="str">
        <f aca="false">IF(C838="","",LEFT(C838,FIND(" ",C838&amp;" ")-1))</f>
        <v/>
      </c>
      <c r="G838" s="0" t="n">
        <f aca="false">IFERROR(VALUE(SUBSTITUTE(LOWER(F838),"x","")),0)</f>
        <v>0</v>
      </c>
      <c r="H838" s="0" t="str">
        <f aca="false">IF(C838="","",TRIM(MID(C838,LEN(F838)+2,999)))</f>
        <v/>
      </c>
      <c r="I838" s="0" t="n">
        <f aca="false">IF(OR(C838="",LEFT(C838,2)="//"),0,IFERROR(IF(AND(G838&gt;0,G838=INT(G838),FIND("-",E838)&gt;1,NOT(EXACT(UPPER(LEFT(E838,1)),LOWER(LEFT(E838,1)))),ISNUMBER(VALUE(MID(E838,FIND("-",E838)+1,10)))),1,0),0))</f>
        <v>0</v>
      </c>
      <c r="J838" s="0" t="str">
        <f aca="false">IF(I838=1,TRIM(LEFT(H838,MAX(0,LEN(H838)-LEN(D838)))),"")</f>
        <v/>
      </c>
      <c r="K838" s="0" t="str">
        <f aca="false">INDEX($P$2:$P$21,A838)</f>
        <v>Deck 14</v>
      </c>
      <c r="L838" s="0" t="n">
        <f aca="false">IF(AND(C838&lt;&gt;"",LEFT(C838,2)&lt;&gt;"//",I838=0),1,0)</f>
        <v>0</v>
      </c>
      <c r="M838" s="0" t="str">
        <f aca="false">IF(I838=1,MAX(M$1:M837)+1,"")</f>
        <v/>
      </c>
      <c r="N838" s="0" t="str">
        <f aca="false">IFERROR(MATCH(ROW()-1,$V$2:$V$1201,0),"")</f>
        <v/>
      </c>
      <c r="R838" s="0" t="str">
        <f aca="false">IF(E838="","",IFERROR(LEFT(E838,FIND("-",E838)-1),E838))</f>
        <v/>
      </c>
      <c r="S838" s="0" t="str">
        <f aca="false">IF(R838="","",IF(ISNUMBER(--MID(R838,1,1)),0,IF(ISNUMBER(--MID(R838,2,1)),1,IF(ISNUMBER(--MID(R838,3,1)),2,IF(ISNUMBER(--MID(R838,4,1)),3,MIN(LEN(R838),4))))))</f>
        <v/>
      </c>
      <c r="T838" s="0" t="str">
        <f aca="false">IF(E838="","",LEFT(R838,S838)&amp;REPT("0",4-S838)&amp;RIGHT("000"&amp;IFERROR(VALUE(MID(R838,S838+1,9)),0),3)&amp;RIGHT("0000"&amp;IFERROR(VALUE(MID(E838,FIND("-",E838)+1,9)),0),4))</f>
        <v/>
      </c>
      <c r="U838" s="0" t="str">
        <f aca="false">IF(I838=1,"K"&amp;RIGHT("00"&amp;A838,2)&amp;T838&amp;RIGHT("00000"&amp;ROW(),5),"")</f>
        <v/>
      </c>
      <c r="V838" s="0" t="str">
        <f aca="false">IF(U838="","",COUNTIFS($I$2:$I$1201,1,$U$2:$U$1201,"&lt;"&amp;U838)+1)</f>
        <v/>
      </c>
    </row>
    <row r="839" customFormat="false" ht="15" hidden="false" customHeight="false" outlineLevel="0" collapsed="false">
      <c r="A839" s="0" t="n">
        <v>14</v>
      </c>
      <c r="B839" s="0" t="n">
        <v>58</v>
      </c>
      <c r="C839" s="0" t="str">
        <f aca="false">TRIM(SUBSTITUTE(INDEX(LISTAS!$A$4:$T$63,B839,A839)&amp;"",CHAR(160)," "))</f>
        <v/>
      </c>
      <c r="D839" s="0" t="str">
        <f aca="false">IF(C839="","",TRIM(RIGHT(SUBSTITUTE(C839," ",REPT(" ",100)),100)))</f>
        <v/>
      </c>
      <c r="E839" s="0" t="str">
        <f aca="false">IF(D839="","",UPPER(SUBSTITUTE(SUBSTITUTE(D839,"(",""),")","")))</f>
        <v/>
      </c>
      <c r="F839" s="0" t="str">
        <f aca="false">IF(C839="","",LEFT(C839,FIND(" ",C839&amp;" ")-1))</f>
        <v/>
      </c>
      <c r="G839" s="0" t="n">
        <f aca="false">IFERROR(VALUE(SUBSTITUTE(LOWER(F839),"x","")),0)</f>
        <v>0</v>
      </c>
      <c r="H839" s="0" t="str">
        <f aca="false">IF(C839="","",TRIM(MID(C839,LEN(F839)+2,999)))</f>
        <v/>
      </c>
      <c r="I839" s="0" t="n">
        <f aca="false">IF(OR(C839="",LEFT(C839,2)="//"),0,IFERROR(IF(AND(G839&gt;0,G839=INT(G839),FIND("-",E839)&gt;1,NOT(EXACT(UPPER(LEFT(E839,1)),LOWER(LEFT(E839,1)))),ISNUMBER(VALUE(MID(E839,FIND("-",E839)+1,10)))),1,0),0))</f>
        <v>0</v>
      </c>
      <c r="J839" s="0" t="str">
        <f aca="false">IF(I839=1,TRIM(LEFT(H839,MAX(0,LEN(H839)-LEN(D839)))),"")</f>
        <v/>
      </c>
      <c r="K839" s="0" t="str">
        <f aca="false">INDEX($P$2:$P$21,A839)</f>
        <v>Deck 14</v>
      </c>
      <c r="L839" s="0" t="n">
        <f aca="false">IF(AND(C839&lt;&gt;"",LEFT(C839,2)&lt;&gt;"//",I839=0),1,0)</f>
        <v>0</v>
      </c>
      <c r="M839" s="0" t="str">
        <f aca="false">IF(I839=1,MAX(M$1:M838)+1,"")</f>
        <v/>
      </c>
      <c r="N839" s="0" t="str">
        <f aca="false">IFERROR(MATCH(ROW()-1,$V$2:$V$1201,0),"")</f>
        <v/>
      </c>
      <c r="R839" s="0" t="str">
        <f aca="false">IF(E839="","",IFERROR(LEFT(E839,FIND("-",E839)-1),E839))</f>
        <v/>
      </c>
      <c r="S839" s="0" t="str">
        <f aca="false">IF(R839="","",IF(ISNUMBER(--MID(R839,1,1)),0,IF(ISNUMBER(--MID(R839,2,1)),1,IF(ISNUMBER(--MID(R839,3,1)),2,IF(ISNUMBER(--MID(R839,4,1)),3,MIN(LEN(R839),4))))))</f>
        <v/>
      </c>
      <c r="T839" s="0" t="str">
        <f aca="false">IF(E839="","",LEFT(R839,S839)&amp;REPT("0",4-S839)&amp;RIGHT("000"&amp;IFERROR(VALUE(MID(R839,S839+1,9)),0),3)&amp;RIGHT("0000"&amp;IFERROR(VALUE(MID(E839,FIND("-",E839)+1,9)),0),4))</f>
        <v/>
      </c>
      <c r="U839" s="0" t="str">
        <f aca="false">IF(I839=1,"K"&amp;RIGHT("00"&amp;A839,2)&amp;T839&amp;RIGHT("00000"&amp;ROW(),5),"")</f>
        <v/>
      </c>
      <c r="V839" s="0" t="str">
        <f aca="false">IF(U839="","",COUNTIFS($I$2:$I$1201,1,$U$2:$U$1201,"&lt;"&amp;U839)+1)</f>
        <v/>
      </c>
    </row>
    <row r="840" customFormat="false" ht="15" hidden="false" customHeight="false" outlineLevel="0" collapsed="false">
      <c r="A840" s="0" t="n">
        <v>14</v>
      </c>
      <c r="B840" s="0" t="n">
        <v>59</v>
      </c>
      <c r="C840" s="0" t="str">
        <f aca="false">TRIM(SUBSTITUTE(INDEX(LISTAS!$A$4:$T$63,B840,A840)&amp;"",CHAR(160)," "))</f>
        <v/>
      </c>
      <c r="D840" s="0" t="str">
        <f aca="false">IF(C840="","",TRIM(RIGHT(SUBSTITUTE(C840," ",REPT(" ",100)),100)))</f>
        <v/>
      </c>
      <c r="E840" s="0" t="str">
        <f aca="false">IF(D840="","",UPPER(SUBSTITUTE(SUBSTITUTE(D840,"(",""),")","")))</f>
        <v/>
      </c>
      <c r="F840" s="0" t="str">
        <f aca="false">IF(C840="","",LEFT(C840,FIND(" ",C840&amp;" ")-1))</f>
        <v/>
      </c>
      <c r="G840" s="0" t="n">
        <f aca="false">IFERROR(VALUE(SUBSTITUTE(LOWER(F840),"x","")),0)</f>
        <v>0</v>
      </c>
      <c r="H840" s="0" t="str">
        <f aca="false">IF(C840="","",TRIM(MID(C840,LEN(F840)+2,999)))</f>
        <v/>
      </c>
      <c r="I840" s="0" t="n">
        <f aca="false">IF(OR(C840="",LEFT(C840,2)="//"),0,IFERROR(IF(AND(G840&gt;0,G840=INT(G840),FIND("-",E840)&gt;1,NOT(EXACT(UPPER(LEFT(E840,1)),LOWER(LEFT(E840,1)))),ISNUMBER(VALUE(MID(E840,FIND("-",E840)+1,10)))),1,0),0))</f>
        <v>0</v>
      </c>
      <c r="J840" s="0" t="str">
        <f aca="false">IF(I840=1,TRIM(LEFT(H840,MAX(0,LEN(H840)-LEN(D840)))),"")</f>
        <v/>
      </c>
      <c r="K840" s="0" t="str">
        <f aca="false">INDEX($P$2:$P$21,A840)</f>
        <v>Deck 14</v>
      </c>
      <c r="L840" s="0" t="n">
        <f aca="false">IF(AND(C840&lt;&gt;"",LEFT(C840,2)&lt;&gt;"//",I840=0),1,0)</f>
        <v>0</v>
      </c>
      <c r="M840" s="0" t="str">
        <f aca="false">IF(I840=1,MAX(M$1:M839)+1,"")</f>
        <v/>
      </c>
      <c r="N840" s="0" t="str">
        <f aca="false">IFERROR(MATCH(ROW()-1,$V$2:$V$1201,0),"")</f>
        <v/>
      </c>
      <c r="R840" s="0" t="str">
        <f aca="false">IF(E840="","",IFERROR(LEFT(E840,FIND("-",E840)-1),E840))</f>
        <v/>
      </c>
      <c r="S840" s="0" t="str">
        <f aca="false">IF(R840="","",IF(ISNUMBER(--MID(R840,1,1)),0,IF(ISNUMBER(--MID(R840,2,1)),1,IF(ISNUMBER(--MID(R840,3,1)),2,IF(ISNUMBER(--MID(R840,4,1)),3,MIN(LEN(R840),4))))))</f>
        <v/>
      </c>
      <c r="T840" s="0" t="str">
        <f aca="false">IF(E840="","",LEFT(R840,S840)&amp;REPT("0",4-S840)&amp;RIGHT("000"&amp;IFERROR(VALUE(MID(R840,S840+1,9)),0),3)&amp;RIGHT("0000"&amp;IFERROR(VALUE(MID(E840,FIND("-",E840)+1,9)),0),4))</f>
        <v/>
      </c>
      <c r="U840" s="0" t="str">
        <f aca="false">IF(I840=1,"K"&amp;RIGHT("00"&amp;A840,2)&amp;T840&amp;RIGHT("00000"&amp;ROW(),5),"")</f>
        <v/>
      </c>
      <c r="V840" s="0" t="str">
        <f aca="false">IF(U840="","",COUNTIFS($I$2:$I$1201,1,$U$2:$U$1201,"&lt;"&amp;U840)+1)</f>
        <v/>
      </c>
    </row>
    <row r="841" customFormat="false" ht="15" hidden="false" customHeight="false" outlineLevel="0" collapsed="false">
      <c r="A841" s="0" t="n">
        <v>14</v>
      </c>
      <c r="B841" s="0" t="n">
        <v>60</v>
      </c>
      <c r="C841" s="0" t="str">
        <f aca="false">TRIM(SUBSTITUTE(INDEX(LISTAS!$A$4:$T$63,B841,A841)&amp;"",CHAR(160)," "))</f>
        <v/>
      </c>
      <c r="D841" s="0" t="str">
        <f aca="false">IF(C841="","",TRIM(RIGHT(SUBSTITUTE(C841," ",REPT(" ",100)),100)))</f>
        <v/>
      </c>
      <c r="E841" s="0" t="str">
        <f aca="false">IF(D841="","",UPPER(SUBSTITUTE(SUBSTITUTE(D841,"(",""),")","")))</f>
        <v/>
      </c>
      <c r="F841" s="0" t="str">
        <f aca="false">IF(C841="","",LEFT(C841,FIND(" ",C841&amp;" ")-1))</f>
        <v/>
      </c>
      <c r="G841" s="0" t="n">
        <f aca="false">IFERROR(VALUE(SUBSTITUTE(LOWER(F841),"x","")),0)</f>
        <v>0</v>
      </c>
      <c r="H841" s="0" t="str">
        <f aca="false">IF(C841="","",TRIM(MID(C841,LEN(F841)+2,999)))</f>
        <v/>
      </c>
      <c r="I841" s="0" t="n">
        <f aca="false">IF(OR(C841="",LEFT(C841,2)="//"),0,IFERROR(IF(AND(G841&gt;0,G841=INT(G841),FIND("-",E841)&gt;1,NOT(EXACT(UPPER(LEFT(E841,1)),LOWER(LEFT(E841,1)))),ISNUMBER(VALUE(MID(E841,FIND("-",E841)+1,10)))),1,0),0))</f>
        <v>0</v>
      </c>
      <c r="J841" s="0" t="str">
        <f aca="false">IF(I841=1,TRIM(LEFT(H841,MAX(0,LEN(H841)-LEN(D841)))),"")</f>
        <v/>
      </c>
      <c r="K841" s="0" t="str">
        <f aca="false">INDEX($P$2:$P$21,A841)</f>
        <v>Deck 14</v>
      </c>
      <c r="L841" s="0" t="n">
        <f aca="false">IF(AND(C841&lt;&gt;"",LEFT(C841,2)&lt;&gt;"//",I841=0),1,0)</f>
        <v>0</v>
      </c>
      <c r="M841" s="0" t="str">
        <f aca="false">IF(I841=1,MAX(M$1:M840)+1,"")</f>
        <v/>
      </c>
      <c r="N841" s="0" t="str">
        <f aca="false">IFERROR(MATCH(ROW()-1,$V$2:$V$1201,0),"")</f>
        <v/>
      </c>
      <c r="R841" s="0" t="str">
        <f aca="false">IF(E841="","",IFERROR(LEFT(E841,FIND("-",E841)-1),E841))</f>
        <v/>
      </c>
      <c r="S841" s="0" t="str">
        <f aca="false">IF(R841="","",IF(ISNUMBER(--MID(R841,1,1)),0,IF(ISNUMBER(--MID(R841,2,1)),1,IF(ISNUMBER(--MID(R841,3,1)),2,IF(ISNUMBER(--MID(R841,4,1)),3,MIN(LEN(R841),4))))))</f>
        <v/>
      </c>
      <c r="T841" s="0" t="str">
        <f aca="false">IF(E841="","",LEFT(R841,S841)&amp;REPT("0",4-S841)&amp;RIGHT("000"&amp;IFERROR(VALUE(MID(R841,S841+1,9)),0),3)&amp;RIGHT("0000"&amp;IFERROR(VALUE(MID(E841,FIND("-",E841)+1,9)),0),4))</f>
        <v/>
      </c>
      <c r="U841" s="0" t="str">
        <f aca="false">IF(I841=1,"K"&amp;RIGHT("00"&amp;A841,2)&amp;T841&amp;RIGHT("00000"&amp;ROW(),5),"")</f>
        <v/>
      </c>
      <c r="V841" s="0" t="str">
        <f aca="false">IF(U841="","",COUNTIFS($I$2:$I$1201,1,$U$2:$U$1201,"&lt;"&amp;U841)+1)</f>
        <v/>
      </c>
    </row>
    <row r="842" customFormat="false" ht="15" hidden="false" customHeight="false" outlineLevel="0" collapsed="false">
      <c r="A842" s="0" t="n">
        <v>15</v>
      </c>
      <c r="B842" s="0" t="n">
        <v>1</v>
      </c>
      <c r="C842" s="0" t="str">
        <f aca="false">TRIM(SUBSTITUTE(INDEX(LISTAS!$A$4:$T$63,B842,A842)&amp;"",CHAR(160)," "))</f>
        <v/>
      </c>
      <c r="D842" s="0" t="str">
        <f aca="false">IF(C842="","",TRIM(RIGHT(SUBSTITUTE(C842," ",REPT(" ",100)),100)))</f>
        <v/>
      </c>
      <c r="E842" s="0" t="str">
        <f aca="false">IF(D842="","",UPPER(SUBSTITUTE(SUBSTITUTE(D842,"(",""),")","")))</f>
        <v/>
      </c>
      <c r="F842" s="0" t="str">
        <f aca="false">IF(C842="","",LEFT(C842,FIND(" ",C842&amp;" ")-1))</f>
        <v/>
      </c>
      <c r="G842" s="0" t="n">
        <f aca="false">IFERROR(VALUE(SUBSTITUTE(LOWER(F842),"x","")),0)</f>
        <v>0</v>
      </c>
      <c r="H842" s="0" t="str">
        <f aca="false">IF(C842="","",TRIM(MID(C842,LEN(F842)+2,999)))</f>
        <v/>
      </c>
      <c r="I842" s="0" t="n">
        <f aca="false">IF(OR(C842="",LEFT(C842,2)="//"),0,IFERROR(IF(AND(G842&gt;0,G842=INT(G842),FIND("-",E842)&gt;1,NOT(EXACT(UPPER(LEFT(E842,1)),LOWER(LEFT(E842,1)))),ISNUMBER(VALUE(MID(E842,FIND("-",E842)+1,10)))),1,0),0))</f>
        <v>0</v>
      </c>
      <c r="J842" s="0" t="str">
        <f aca="false">IF(I842=1,TRIM(LEFT(H842,MAX(0,LEN(H842)-LEN(D842)))),"")</f>
        <v/>
      </c>
      <c r="K842" s="0" t="str">
        <f aca="false">INDEX($P$2:$P$21,A842)</f>
        <v>Deck 15</v>
      </c>
      <c r="L842" s="0" t="n">
        <f aca="false">IF(AND(C842&lt;&gt;"",LEFT(C842,2)&lt;&gt;"//",I842=0),1,0)</f>
        <v>0</v>
      </c>
      <c r="M842" s="0" t="str">
        <f aca="false">IF(I842=1,MAX(M$1:M841)+1,"")</f>
        <v/>
      </c>
      <c r="N842" s="0" t="str">
        <f aca="false">IFERROR(MATCH(ROW()-1,$V$2:$V$1201,0),"")</f>
        <v/>
      </c>
      <c r="R842" s="0" t="str">
        <f aca="false">IF(E842="","",IFERROR(LEFT(E842,FIND("-",E842)-1),E842))</f>
        <v/>
      </c>
      <c r="S842" s="0" t="str">
        <f aca="false">IF(R842="","",IF(ISNUMBER(--MID(R842,1,1)),0,IF(ISNUMBER(--MID(R842,2,1)),1,IF(ISNUMBER(--MID(R842,3,1)),2,IF(ISNUMBER(--MID(R842,4,1)),3,MIN(LEN(R842),4))))))</f>
        <v/>
      </c>
      <c r="T842" s="0" t="str">
        <f aca="false">IF(E842="","",LEFT(R842,S842)&amp;REPT("0",4-S842)&amp;RIGHT("000"&amp;IFERROR(VALUE(MID(R842,S842+1,9)),0),3)&amp;RIGHT("0000"&amp;IFERROR(VALUE(MID(E842,FIND("-",E842)+1,9)),0),4))</f>
        <v/>
      </c>
      <c r="U842" s="0" t="str">
        <f aca="false">IF(I842=1,"K"&amp;RIGHT("00"&amp;A842,2)&amp;T842&amp;RIGHT("00000"&amp;ROW(),5),"")</f>
        <v/>
      </c>
      <c r="V842" s="0" t="str">
        <f aca="false">IF(U842="","",COUNTIFS($I$2:$I$1201,1,$U$2:$U$1201,"&lt;"&amp;U842)+1)</f>
        <v/>
      </c>
    </row>
    <row r="843" customFormat="false" ht="15" hidden="false" customHeight="false" outlineLevel="0" collapsed="false">
      <c r="A843" s="0" t="n">
        <v>15</v>
      </c>
      <c r="B843" s="0" t="n">
        <v>2</v>
      </c>
      <c r="C843" s="0" t="str">
        <f aca="false">TRIM(SUBSTITUTE(INDEX(LISTAS!$A$4:$T$63,B843,A843)&amp;"",CHAR(160)," "))</f>
        <v/>
      </c>
      <c r="D843" s="0" t="str">
        <f aca="false">IF(C843="","",TRIM(RIGHT(SUBSTITUTE(C843," ",REPT(" ",100)),100)))</f>
        <v/>
      </c>
      <c r="E843" s="0" t="str">
        <f aca="false">IF(D843="","",UPPER(SUBSTITUTE(SUBSTITUTE(D843,"(",""),")","")))</f>
        <v/>
      </c>
      <c r="F843" s="0" t="str">
        <f aca="false">IF(C843="","",LEFT(C843,FIND(" ",C843&amp;" ")-1))</f>
        <v/>
      </c>
      <c r="G843" s="0" t="n">
        <f aca="false">IFERROR(VALUE(SUBSTITUTE(LOWER(F843),"x","")),0)</f>
        <v>0</v>
      </c>
      <c r="H843" s="0" t="str">
        <f aca="false">IF(C843="","",TRIM(MID(C843,LEN(F843)+2,999)))</f>
        <v/>
      </c>
      <c r="I843" s="0" t="n">
        <f aca="false">IF(OR(C843="",LEFT(C843,2)="//"),0,IFERROR(IF(AND(G843&gt;0,G843=INT(G843),FIND("-",E843)&gt;1,NOT(EXACT(UPPER(LEFT(E843,1)),LOWER(LEFT(E843,1)))),ISNUMBER(VALUE(MID(E843,FIND("-",E843)+1,10)))),1,0),0))</f>
        <v>0</v>
      </c>
      <c r="J843" s="0" t="str">
        <f aca="false">IF(I843=1,TRIM(LEFT(H843,MAX(0,LEN(H843)-LEN(D843)))),"")</f>
        <v/>
      </c>
      <c r="K843" s="0" t="str">
        <f aca="false">INDEX($P$2:$P$21,A843)</f>
        <v>Deck 15</v>
      </c>
      <c r="L843" s="0" t="n">
        <f aca="false">IF(AND(C843&lt;&gt;"",LEFT(C843,2)&lt;&gt;"//",I843=0),1,0)</f>
        <v>0</v>
      </c>
      <c r="M843" s="0" t="str">
        <f aca="false">IF(I843=1,MAX(M$1:M842)+1,"")</f>
        <v/>
      </c>
      <c r="N843" s="0" t="str">
        <f aca="false">IFERROR(MATCH(ROW()-1,$V$2:$V$1201,0),"")</f>
        <v/>
      </c>
      <c r="R843" s="0" t="str">
        <f aca="false">IF(E843="","",IFERROR(LEFT(E843,FIND("-",E843)-1),E843))</f>
        <v/>
      </c>
      <c r="S843" s="0" t="str">
        <f aca="false">IF(R843="","",IF(ISNUMBER(--MID(R843,1,1)),0,IF(ISNUMBER(--MID(R843,2,1)),1,IF(ISNUMBER(--MID(R843,3,1)),2,IF(ISNUMBER(--MID(R843,4,1)),3,MIN(LEN(R843),4))))))</f>
        <v/>
      </c>
      <c r="T843" s="0" t="str">
        <f aca="false">IF(E843="","",LEFT(R843,S843)&amp;REPT("0",4-S843)&amp;RIGHT("000"&amp;IFERROR(VALUE(MID(R843,S843+1,9)),0),3)&amp;RIGHT("0000"&amp;IFERROR(VALUE(MID(E843,FIND("-",E843)+1,9)),0),4))</f>
        <v/>
      </c>
      <c r="U843" s="0" t="str">
        <f aca="false">IF(I843=1,"K"&amp;RIGHT("00"&amp;A843,2)&amp;T843&amp;RIGHT("00000"&amp;ROW(),5),"")</f>
        <v/>
      </c>
      <c r="V843" s="0" t="str">
        <f aca="false">IF(U843="","",COUNTIFS($I$2:$I$1201,1,$U$2:$U$1201,"&lt;"&amp;U843)+1)</f>
        <v/>
      </c>
    </row>
    <row r="844" customFormat="false" ht="15" hidden="false" customHeight="false" outlineLevel="0" collapsed="false">
      <c r="A844" s="0" t="n">
        <v>15</v>
      </c>
      <c r="B844" s="0" t="n">
        <v>3</v>
      </c>
      <c r="C844" s="0" t="str">
        <f aca="false">TRIM(SUBSTITUTE(INDEX(LISTAS!$A$4:$T$63,B844,A844)&amp;"",CHAR(160)," "))</f>
        <v/>
      </c>
      <c r="D844" s="0" t="str">
        <f aca="false">IF(C844="","",TRIM(RIGHT(SUBSTITUTE(C844," ",REPT(" ",100)),100)))</f>
        <v/>
      </c>
      <c r="E844" s="0" t="str">
        <f aca="false">IF(D844="","",UPPER(SUBSTITUTE(SUBSTITUTE(D844,"(",""),")","")))</f>
        <v/>
      </c>
      <c r="F844" s="0" t="str">
        <f aca="false">IF(C844="","",LEFT(C844,FIND(" ",C844&amp;" ")-1))</f>
        <v/>
      </c>
      <c r="G844" s="0" t="n">
        <f aca="false">IFERROR(VALUE(SUBSTITUTE(LOWER(F844),"x","")),0)</f>
        <v>0</v>
      </c>
      <c r="H844" s="0" t="str">
        <f aca="false">IF(C844="","",TRIM(MID(C844,LEN(F844)+2,999)))</f>
        <v/>
      </c>
      <c r="I844" s="0" t="n">
        <f aca="false">IF(OR(C844="",LEFT(C844,2)="//"),0,IFERROR(IF(AND(G844&gt;0,G844=INT(G844),FIND("-",E844)&gt;1,NOT(EXACT(UPPER(LEFT(E844,1)),LOWER(LEFT(E844,1)))),ISNUMBER(VALUE(MID(E844,FIND("-",E844)+1,10)))),1,0),0))</f>
        <v>0</v>
      </c>
      <c r="J844" s="0" t="str">
        <f aca="false">IF(I844=1,TRIM(LEFT(H844,MAX(0,LEN(H844)-LEN(D844)))),"")</f>
        <v/>
      </c>
      <c r="K844" s="0" t="str">
        <f aca="false">INDEX($P$2:$P$21,A844)</f>
        <v>Deck 15</v>
      </c>
      <c r="L844" s="0" t="n">
        <f aca="false">IF(AND(C844&lt;&gt;"",LEFT(C844,2)&lt;&gt;"//",I844=0),1,0)</f>
        <v>0</v>
      </c>
      <c r="M844" s="0" t="str">
        <f aca="false">IF(I844=1,MAX(M$1:M843)+1,"")</f>
        <v/>
      </c>
      <c r="N844" s="0" t="str">
        <f aca="false">IFERROR(MATCH(ROW()-1,$V$2:$V$1201,0),"")</f>
        <v/>
      </c>
      <c r="R844" s="0" t="str">
        <f aca="false">IF(E844="","",IFERROR(LEFT(E844,FIND("-",E844)-1),E844))</f>
        <v/>
      </c>
      <c r="S844" s="0" t="str">
        <f aca="false">IF(R844="","",IF(ISNUMBER(--MID(R844,1,1)),0,IF(ISNUMBER(--MID(R844,2,1)),1,IF(ISNUMBER(--MID(R844,3,1)),2,IF(ISNUMBER(--MID(R844,4,1)),3,MIN(LEN(R844),4))))))</f>
        <v/>
      </c>
      <c r="T844" s="0" t="str">
        <f aca="false">IF(E844="","",LEFT(R844,S844)&amp;REPT("0",4-S844)&amp;RIGHT("000"&amp;IFERROR(VALUE(MID(R844,S844+1,9)),0),3)&amp;RIGHT("0000"&amp;IFERROR(VALUE(MID(E844,FIND("-",E844)+1,9)),0),4))</f>
        <v/>
      </c>
      <c r="U844" s="0" t="str">
        <f aca="false">IF(I844=1,"K"&amp;RIGHT("00"&amp;A844,2)&amp;T844&amp;RIGHT("00000"&amp;ROW(),5),"")</f>
        <v/>
      </c>
      <c r="V844" s="0" t="str">
        <f aca="false">IF(U844="","",COUNTIFS($I$2:$I$1201,1,$U$2:$U$1201,"&lt;"&amp;U844)+1)</f>
        <v/>
      </c>
    </row>
    <row r="845" customFormat="false" ht="15" hidden="false" customHeight="false" outlineLevel="0" collapsed="false">
      <c r="A845" s="0" t="n">
        <v>15</v>
      </c>
      <c r="B845" s="0" t="n">
        <v>4</v>
      </c>
      <c r="C845" s="0" t="str">
        <f aca="false">TRIM(SUBSTITUTE(INDEX(LISTAS!$A$4:$T$63,B845,A845)&amp;"",CHAR(160)," "))</f>
        <v/>
      </c>
      <c r="D845" s="0" t="str">
        <f aca="false">IF(C845="","",TRIM(RIGHT(SUBSTITUTE(C845," ",REPT(" ",100)),100)))</f>
        <v/>
      </c>
      <c r="E845" s="0" t="str">
        <f aca="false">IF(D845="","",UPPER(SUBSTITUTE(SUBSTITUTE(D845,"(",""),")","")))</f>
        <v/>
      </c>
      <c r="F845" s="0" t="str">
        <f aca="false">IF(C845="","",LEFT(C845,FIND(" ",C845&amp;" ")-1))</f>
        <v/>
      </c>
      <c r="G845" s="0" t="n">
        <f aca="false">IFERROR(VALUE(SUBSTITUTE(LOWER(F845),"x","")),0)</f>
        <v>0</v>
      </c>
      <c r="H845" s="0" t="str">
        <f aca="false">IF(C845="","",TRIM(MID(C845,LEN(F845)+2,999)))</f>
        <v/>
      </c>
      <c r="I845" s="0" t="n">
        <f aca="false">IF(OR(C845="",LEFT(C845,2)="//"),0,IFERROR(IF(AND(G845&gt;0,G845=INT(G845),FIND("-",E845)&gt;1,NOT(EXACT(UPPER(LEFT(E845,1)),LOWER(LEFT(E845,1)))),ISNUMBER(VALUE(MID(E845,FIND("-",E845)+1,10)))),1,0),0))</f>
        <v>0</v>
      </c>
      <c r="J845" s="0" t="str">
        <f aca="false">IF(I845=1,TRIM(LEFT(H845,MAX(0,LEN(H845)-LEN(D845)))),"")</f>
        <v/>
      </c>
      <c r="K845" s="0" t="str">
        <f aca="false">INDEX($P$2:$P$21,A845)</f>
        <v>Deck 15</v>
      </c>
      <c r="L845" s="0" t="n">
        <f aca="false">IF(AND(C845&lt;&gt;"",LEFT(C845,2)&lt;&gt;"//",I845=0),1,0)</f>
        <v>0</v>
      </c>
      <c r="M845" s="0" t="str">
        <f aca="false">IF(I845=1,MAX(M$1:M844)+1,"")</f>
        <v/>
      </c>
      <c r="N845" s="0" t="str">
        <f aca="false">IFERROR(MATCH(ROW()-1,$V$2:$V$1201,0),"")</f>
        <v/>
      </c>
      <c r="R845" s="0" t="str">
        <f aca="false">IF(E845="","",IFERROR(LEFT(E845,FIND("-",E845)-1),E845))</f>
        <v/>
      </c>
      <c r="S845" s="0" t="str">
        <f aca="false">IF(R845="","",IF(ISNUMBER(--MID(R845,1,1)),0,IF(ISNUMBER(--MID(R845,2,1)),1,IF(ISNUMBER(--MID(R845,3,1)),2,IF(ISNUMBER(--MID(R845,4,1)),3,MIN(LEN(R845),4))))))</f>
        <v/>
      </c>
      <c r="T845" s="0" t="str">
        <f aca="false">IF(E845="","",LEFT(R845,S845)&amp;REPT("0",4-S845)&amp;RIGHT("000"&amp;IFERROR(VALUE(MID(R845,S845+1,9)),0),3)&amp;RIGHT("0000"&amp;IFERROR(VALUE(MID(E845,FIND("-",E845)+1,9)),0),4))</f>
        <v/>
      </c>
      <c r="U845" s="0" t="str">
        <f aca="false">IF(I845=1,"K"&amp;RIGHT("00"&amp;A845,2)&amp;T845&amp;RIGHT("00000"&amp;ROW(),5),"")</f>
        <v/>
      </c>
      <c r="V845" s="0" t="str">
        <f aca="false">IF(U845="","",COUNTIFS($I$2:$I$1201,1,$U$2:$U$1201,"&lt;"&amp;U845)+1)</f>
        <v/>
      </c>
    </row>
    <row r="846" customFormat="false" ht="15" hidden="false" customHeight="false" outlineLevel="0" collapsed="false">
      <c r="A846" s="0" t="n">
        <v>15</v>
      </c>
      <c r="B846" s="0" t="n">
        <v>5</v>
      </c>
      <c r="C846" s="0" t="str">
        <f aca="false">TRIM(SUBSTITUTE(INDEX(LISTAS!$A$4:$T$63,B846,A846)&amp;"",CHAR(160)," "))</f>
        <v/>
      </c>
      <c r="D846" s="0" t="str">
        <f aca="false">IF(C846="","",TRIM(RIGHT(SUBSTITUTE(C846," ",REPT(" ",100)),100)))</f>
        <v/>
      </c>
      <c r="E846" s="0" t="str">
        <f aca="false">IF(D846="","",UPPER(SUBSTITUTE(SUBSTITUTE(D846,"(",""),")","")))</f>
        <v/>
      </c>
      <c r="F846" s="0" t="str">
        <f aca="false">IF(C846="","",LEFT(C846,FIND(" ",C846&amp;" ")-1))</f>
        <v/>
      </c>
      <c r="G846" s="0" t="n">
        <f aca="false">IFERROR(VALUE(SUBSTITUTE(LOWER(F846),"x","")),0)</f>
        <v>0</v>
      </c>
      <c r="H846" s="0" t="str">
        <f aca="false">IF(C846="","",TRIM(MID(C846,LEN(F846)+2,999)))</f>
        <v/>
      </c>
      <c r="I846" s="0" t="n">
        <f aca="false">IF(OR(C846="",LEFT(C846,2)="//"),0,IFERROR(IF(AND(G846&gt;0,G846=INT(G846),FIND("-",E846)&gt;1,NOT(EXACT(UPPER(LEFT(E846,1)),LOWER(LEFT(E846,1)))),ISNUMBER(VALUE(MID(E846,FIND("-",E846)+1,10)))),1,0),0))</f>
        <v>0</v>
      </c>
      <c r="J846" s="0" t="str">
        <f aca="false">IF(I846=1,TRIM(LEFT(H846,MAX(0,LEN(H846)-LEN(D846)))),"")</f>
        <v/>
      </c>
      <c r="K846" s="0" t="str">
        <f aca="false">INDEX($P$2:$P$21,A846)</f>
        <v>Deck 15</v>
      </c>
      <c r="L846" s="0" t="n">
        <f aca="false">IF(AND(C846&lt;&gt;"",LEFT(C846,2)&lt;&gt;"//",I846=0),1,0)</f>
        <v>0</v>
      </c>
      <c r="M846" s="0" t="str">
        <f aca="false">IF(I846=1,MAX(M$1:M845)+1,"")</f>
        <v/>
      </c>
      <c r="N846" s="0" t="str">
        <f aca="false">IFERROR(MATCH(ROW()-1,$V$2:$V$1201,0),"")</f>
        <v/>
      </c>
      <c r="R846" s="0" t="str">
        <f aca="false">IF(E846="","",IFERROR(LEFT(E846,FIND("-",E846)-1),E846))</f>
        <v/>
      </c>
      <c r="S846" s="0" t="str">
        <f aca="false">IF(R846="","",IF(ISNUMBER(--MID(R846,1,1)),0,IF(ISNUMBER(--MID(R846,2,1)),1,IF(ISNUMBER(--MID(R846,3,1)),2,IF(ISNUMBER(--MID(R846,4,1)),3,MIN(LEN(R846),4))))))</f>
        <v/>
      </c>
      <c r="T846" s="0" t="str">
        <f aca="false">IF(E846="","",LEFT(R846,S846)&amp;REPT("0",4-S846)&amp;RIGHT("000"&amp;IFERROR(VALUE(MID(R846,S846+1,9)),0),3)&amp;RIGHT("0000"&amp;IFERROR(VALUE(MID(E846,FIND("-",E846)+1,9)),0),4))</f>
        <v/>
      </c>
      <c r="U846" s="0" t="str">
        <f aca="false">IF(I846=1,"K"&amp;RIGHT("00"&amp;A846,2)&amp;T846&amp;RIGHT("00000"&amp;ROW(),5),"")</f>
        <v/>
      </c>
      <c r="V846" s="0" t="str">
        <f aca="false">IF(U846="","",COUNTIFS($I$2:$I$1201,1,$U$2:$U$1201,"&lt;"&amp;U846)+1)</f>
        <v/>
      </c>
    </row>
    <row r="847" customFormat="false" ht="15" hidden="false" customHeight="false" outlineLevel="0" collapsed="false">
      <c r="A847" s="0" t="n">
        <v>15</v>
      </c>
      <c r="B847" s="0" t="n">
        <v>6</v>
      </c>
      <c r="C847" s="0" t="str">
        <f aca="false">TRIM(SUBSTITUTE(INDEX(LISTAS!$A$4:$T$63,B847,A847)&amp;"",CHAR(160)," "))</f>
        <v/>
      </c>
      <c r="D847" s="0" t="str">
        <f aca="false">IF(C847="","",TRIM(RIGHT(SUBSTITUTE(C847," ",REPT(" ",100)),100)))</f>
        <v/>
      </c>
      <c r="E847" s="0" t="str">
        <f aca="false">IF(D847="","",UPPER(SUBSTITUTE(SUBSTITUTE(D847,"(",""),")","")))</f>
        <v/>
      </c>
      <c r="F847" s="0" t="str">
        <f aca="false">IF(C847="","",LEFT(C847,FIND(" ",C847&amp;" ")-1))</f>
        <v/>
      </c>
      <c r="G847" s="0" t="n">
        <f aca="false">IFERROR(VALUE(SUBSTITUTE(LOWER(F847),"x","")),0)</f>
        <v>0</v>
      </c>
      <c r="H847" s="0" t="str">
        <f aca="false">IF(C847="","",TRIM(MID(C847,LEN(F847)+2,999)))</f>
        <v/>
      </c>
      <c r="I847" s="0" t="n">
        <f aca="false">IF(OR(C847="",LEFT(C847,2)="//"),0,IFERROR(IF(AND(G847&gt;0,G847=INT(G847),FIND("-",E847)&gt;1,NOT(EXACT(UPPER(LEFT(E847,1)),LOWER(LEFT(E847,1)))),ISNUMBER(VALUE(MID(E847,FIND("-",E847)+1,10)))),1,0),0))</f>
        <v>0</v>
      </c>
      <c r="J847" s="0" t="str">
        <f aca="false">IF(I847=1,TRIM(LEFT(H847,MAX(0,LEN(H847)-LEN(D847)))),"")</f>
        <v/>
      </c>
      <c r="K847" s="0" t="str">
        <f aca="false">INDEX($P$2:$P$21,A847)</f>
        <v>Deck 15</v>
      </c>
      <c r="L847" s="0" t="n">
        <f aca="false">IF(AND(C847&lt;&gt;"",LEFT(C847,2)&lt;&gt;"//",I847=0),1,0)</f>
        <v>0</v>
      </c>
      <c r="M847" s="0" t="str">
        <f aca="false">IF(I847=1,MAX(M$1:M846)+1,"")</f>
        <v/>
      </c>
      <c r="N847" s="0" t="str">
        <f aca="false">IFERROR(MATCH(ROW()-1,$V$2:$V$1201,0),"")</f>
        <v/>
      </c>
      <c r="R847" s="0" t="str">
        <f aca="false">IF(E847="","",IFERROR(LEFT(E847,FIND("-",E847)-1),E847))</f>
        <v/>
      </c>
      <c r="S847" s="0" t="str">
        <f aca="false">IF(R847="","",IF(ISNUMBER(--MID(R847,1,1)),0,IF(ISNUMBER(--MID(R847,2,1)),1,IF(ISNUMBER(--MID(R847,3,1)),2,IF(ISNUMBER(--MID(R847,4,1)),3,MIN(LEN(R847),4))))))</f>
        <v/>
      </c>
      <c r="T847" s="0" t="str">
        <f aca="false">IF(E847="","",LEFT(R847,S847)&amp;REPT("0",4-S847)&amp;RIGHT("000"&amp;IFERROR(VALUE(MID(R847,S847+1,9)),0),3)&amp;RIGHT("0000"&amp;IFERROR(VALUE(MID(E847,FIND("-",E847)+1,9)),0),4))</f>
        <v/>
      </c>
      <c r="U847" s="0" t="str">
        <f aca="false">IF(I847=1,"K"&amp;RIGHT("00"&amp;A847,2)&amp;T847&amp;RIGHT("00000"&amp;ROW(),5),"")</f>
        <v/>
      </c>
      <c r="V847" s="0" t="str">
        <f aca="false">IF(U847="","",COUNTIFS($I$2:$I$1201,1,$U$2:$U$1201,"&lt;"&amp;U847)+1)</f>
        <v/>
      </c>
    </row>
    <row r="848" customFormat="false" ht="15" hidden="false" customHeight="false" outlineLevel="0" collapsed="false">
      <c r="A848" s="0" t="n">
        <v>15</v>
      </c>
      <c r="B848" s="0" t="n">
        <v>7</v>
      </c>
      <c r="C848" s="0" t="str">
        <f aca="false">TRIM(SUBSTITUTE(INDEX(LISTAS!$A$4:$T$63,B848,A848)&amp;"",CHAR(160)," "))</f>
        <v/>
      </c>
      <c r="D848" s="0" t="str">
        <f aca="false">IF(C848="","",TRIM(RIGHT(SUBSTITUTE(C848," ",REPT(" ",100)),100)))</f>
        <v/>
      </c>
      <c r="E848" s="0" t="str">
        <f aca="false">IF(D848="","",UPPER(SUBSTITUTE(SUBSTITUTE(D848,"(",""),")","")))</f>
        <v/>
      </c>
      <c r="F848" s="0" t="str">
        <f aca="false">IF(C848="","",LEFT(C848,FIND(" ",C848&amp;" ")-1))</f>
        <v/>
      </c>
      <c r="G848" s="0" t="n">
        <f aca="false">IFERROR(VALUE(SUBSTITUTE(LOWER(F848),"x","")),0)</f>
        <v>0</v>
      </c>
      <c r="H848" s="0" t="str">
        <f aca="false">IF(C848="","",TRIM(MID(C848,LEN(F848)+2,999)))</f>
        <v/>
      </c>
      <c r="I848" s="0" t="n">
        <f aca="false">IF(OR(C848="",LEFT(C848,2)="//"),0,IFERROR(IF(AND(G848&gt;0,G848=INT(G848),FIND("-",E848)&gt;1,NOT(EXACT(UPPER(LEFT(E848,1)),LOWER(LEFT(E848,1)))),ISNUMBER(VALUE(MID(E848,FIND("-",E848)+1,10)))),1,0),0))</f>
        <v>0</v>
      </c>
      <c r="J848" s="0" t="str">
        <f aca="false">IF(I848=1,TRIM(LEFT(H848,MAX(0,LEN(H848)-LEN(D848)))),"")</f>
        <v/>
      </c>
      <c r="K848" s="0" t="str">
        <f aca="false">INDEX($P$2:$P$21,A848)</f>
        <v>Deck 15</v>
      </c>
      <c r="L848" s="0" t="n">
        <f aca="false">IF(AND(C848&lt;&gt;"",LEFT(C848,2)&lt;&gt;"//",I848=0),1,0)</f>
        <v>0</v>
      </c>
      <c r="M848" s="0" t="str">
        <f aca="false">IF(I848=1,MAX(M$1:M847)+1,"")</f>
        <v/>
      </c>
      <c r="N848" s="0" t="str">
        <f aca="false">IFERROR(MATCH(ROW()-1,$V$2:$V$1201,0),"")</f>
        <v/>
      </c>
      <c r="R848" s="0" t="str">
        <f aca="false">IF(E848="","",IFERROR(LEFT(E848,FIND("-",E848)-1),E848))</f>
        <v/>
      </c>
      <c r="S848" s="0" t="str">
        <f aca="false">IF(R848="","",IF(ISNUMBER(--MID(R848,1,1)),0,IF(ISNUMBER(--MID(R848,2,1)),1,IF(ISNUMBER(--MID(R848,3,1)),2,IF(ISNUMBER(--MID(R848,4,1)),3,MIN(LEN(R848),4))))))</f>
        <v/>
      </c>
      <c r="T848" s="0" t="str">
        <f aca="false">IF(E848="","",LEFT(R848,S848)&amp;REPT("0",4-S848)&amp;RIGHT("000"&amp;IFERROR(VALUE(MID(R848,S848+1,9)),0),3)&amp;RIGHT("0000"&amp;IFERROR(VALUE(MID(E848,FIND("-",E848)+1,9)),0),4))</f>
        <v/>
      </c>
      <c r="U848" s="0" t="str">
        <f aca="false">IF(I848=1,"K"&amp;RIGHT("00"&amp;A848,2)&amp;T848&amp;RIGHT("00000"&amp;ROW(),5),"")</f>
        <v/>
      </c>
      <c r="V848" s="0" t="str">
        <f aca="false">IF(U848="","",COUNTIFS($I$2:$I$1201,1,$U$2:$U$1201,"&lt;"&amp;U848)+1)</f>
        <v/>
      </c>
    </row>
    <row r="849" customFormat="false" ht="15" hidden="false" customHeight="false" outlineLevel="0" collapsed="false">
      <c r="A849" s="0" t="n">
        <v>15</v>
      </c>
      <c r="B849" s="0" t="n">
        <v>8</v>
      </c>
      <c r="C849" s="0" t="str">
        <f aca="false">TRIM(SUBSTITUTE(INDEX(LISTAS!$A$4:$T$63,B849,A849)&amp;"",CHAR(160)," "))</f>
        <v/>
      </c>
      <c r="D849" s="0" t="str">
        <f aca="false">IF(C849="","",TRIM(RIGHT(SUBSTITUTE(C849," ",REPT(" ",100)),100)))</f>
        <v/>
      </c>
      <c r="E849" s="0" t="str">
        <f aca="false">IF(D849="","",UPPER(SUBSTITUTE(SUBSTITUTE(D849,"(",""),")","")))</f>
        <v/>
      </c>
      <c r="F849" s="0" t="str">
        <f aca="false">IF(C849="","",LEFT(C849,FIND(" ",C849&amp;" ")-1))</f>
        <v/>
      </c>
      <c r="G849" s="0" t="n">
        <f aca="false">IFERROR(VALUE(SUBSTITUTE(LOWER(F849),"x","")),0)</f>
        <v>0</v>
      </c>
      <c r="H849" s="0" t="str">
        <f aca="false">IF(C849="","",TRIM(MID(C849,LEN(F849)+2,999)))</f>
        <v/>
      </c>
      <c r="I849" s="0" t="n">
        <f aca="false">IF(OR(C849="",LEFT(C849,2)="//"),0,IFERROR(IF(AND(G849&gt;0,G849=INT(G849),FIND("-",E849)&gt;1,NOT(EXACT(UPPER(LEFT(E849,1)),LOWER(LEFT(E849,1)))),ISNUMBER(VALUE(MID(E849,FIND("-",E849)+1,10)))),1,0),0))</f>
        <v>0</v>
      </c>
      <c r="J849" s="0" t="str">
        <f aca="false">IF(I849=1,TRIM(LEFT(H849,MAX(0,LEN(H849)-LEN(D849)))),"")</f>
        <v/>
      </c>
      <c r="K849" s="0" t="str">
        <f aca="false">INDEX($P$2:$P$21,A849)</f>
        <v>Deck 15</v>
      </c>
      <c r="L849" s="0" t="n">
        <f aca="false">IF(AND(C849&lt;&gt;"",LEFT(C849,2)&lt;&gt;"//",I849=0),1,0)</f>
        <v>0</v>
      </c>
      <c r="M849" s="0" t="str">
        <f aca="false">IF(I849=1,MAX(M$1:M848)+1,"")</f>
        <v/>
      </c>
      <c r="N849" s="0" t="str">
        <f aca="false">IFERROR(MATCH(ROW()-1,$V$2:$V$1201,0),"")</f>
        <v/>
      </c>
      <c r="R849" s="0" t="str">
        <f aca="false">IF(E849="","",IFERROR(LEFT(E849,FIND("-",E849)-1),E849))</f>
        <v/>
      </c>
      <c r="S849" s="0" t="str">
        <f aca="false">IF(R849="","",IF(ISNUMBER(--MID(R849,1,1)),0,IF(ISNUMBER(--MID(R849,2,1)),1,IF(ISNUMBER(--MID(R849,3,1)),2,IF(ISNUMBER(--MID(R849,4,1)),3,MIN(LEN(R849),4))))))</f>
        <v/>
      </c>
      <c r="T849" s="0" t="str">
        <f aca="false">IF(E849="","",LEFT(R849,S849)&amp;REPT("0",4-S849)&amp;RIGHT("000"&amp;IFERROR(VALUE(MID(R849,S849+1,9)),0),3)&amp;RIGHT("0000"&amp;IFERROR(VALUE(MID(E849,FIND("-",E849)+1,9)),0),4))</f>
        <v/>
      </c>
      <c r="U849" s="0" t="str">
        <f aca="false">IF(I849=1,"K"&amp;RIGHT("00"&amp;A849,2)&amp;T849&amp;RIGHT("00000"&amp;ROW(),5),"")</f>
        <v/>
      </c>
      <c r="V849" s="0" t="str">
        <f aca="false">IF(U849="","",COUNTIFS($I$2:$I$1201,1,$U$2:$U$1201,"&lt;"&amp;U849)+1)</f>
        <v/>
      </c>
    </row>
    <row r="850" customFormat="false" ht="15" hidden="false" customHeight="false" outlineLevel="0" collapsed="false">
      <c r="A850" s="0" t="n">
        <v>15</v>
      </c>
      <c r="B850" s="0" t="n">
        <v>9</v>
      </c>
      <c r="C850" s="0" t="str">
        <f aca="false">TRIM(SUBSTITUTE(INDEX(LISTAS!$A$4:$T$63,B850,A850)&amp;"",CHAR(160)," "))</f>
        <v/>
      </c>
      <c r="D850" s="0" t="str">
        <f aca="false">IF(C850="","",TRIM(RIGHT(SUBSTITUTE(C850," ",REPT(" ",100)),100)))</f>
        <v/>
      </c>
      <c r="E850" s="0" t="str">
        <f aca="false">IF(D850="","",UPPER(SUBSTITUTE(SUBSTITUTE(D850,"(",""),")","")))</f>
        <v/>
      </c>
      <c r="F850" s="0" t="str">
        <f aca="false">IF(C850="","",LEFT(C850,FIND(" ",C850&amp;" ")-1))</f>
        <v/>
      </c>
      <c r="G850" s="0" t="n">
        <f aca="false">IFERROR(VALUE(SUBSTITUTE(LOWER(F850),"x","")),0)</f>
        <v>0</v>
      </c>
      <c r="H850" s="0" t="str">
        <f aca="false">IF(C850="","",TRIM(MID(C850,LEN(F850)+2,999)))</f>
        <v/>
      </c>
      <c r="I850" s="0" t="n">
        <f aca="false">IF(OR(C850="",LEFT(C850,2)="//"),0,IFERROR(IF(AND(G850&gt;0,G850=INT(G850),FIND("-",E850)&gt;1,NOT(EXACT(UPPER(LEFT(E850,1)),LOWER(LEFT(E850,1)))),ISNUMBER(VALUE(MID(E850,FIND("-",E850)+1,10)))),1,0),0))</f>
        <v>0</v>
      </c>
      <c r="J850" s="0" t="str">
        <f aca="false">IF(I850=1,TRIM(LEFT(H850,MAX(0,LEN(H850)-LEN(D850)))),"")</f>
        <v/>
      </c>
      <c r="K850" s="0" t="str">
        <f aca="false">INDEX($P$2:$P$21,A850)</f>
        <v>Deck 15</v>
      </c>
      <c r="L850" s="0" t="n">
        <f aca="false">IF(AND(C850&lt;&gt;"",LEFT(C850,2)&lt;&gt;"//",I850=0),1,0)</f>
        <v>0</v>
      </c>
      <c r="M850" s="0" t="str">
        <f aca="false">IF(I850=1,MAX(M$1:M849)+1,"")</f>
        <v/>
      </c>
      <c r="N850" s="0" t="str">
        <f aca="false">IFERROR(MATCH(ROW()-1,$V$2:$V$1201,0),"")</f>
        <v/>
      </c>
      <c r="R850" s="0" t="str">
        <f aca="false">IF(E850="","",IFERROR(LEFT(E850,FIND("-",E850)-1),E850))</f>
        <v/>
      </c>
      <c r="S850" s="0" t="str">
        <f aca="false">IF(R850="","",IF(ISNUMBER(--MID(R850,1,1)),0,IF(ISNUMBER(--MID(R850,2,1)),1,IF(ISNUMBER(--MID(R850,3,1)),2,IF(ISNUMBER(--MID(R850,4,1)),3,MIN(LEN(R850),4))))))</f>
        <v/>
      </c>
      <c r="T850" s="0" t="str">
        <f aca="false">IF(E850="","",LEFT(R850,S850)&amp;REPT("0",4-S850)&amp;RIGHT("000"&amp;IFERROR(VALUE(MID(R850,S850+1,9)),0),3)&amp;RIGHT("0000"&amp;IFERROR(VALUE(MID(E850,FIND("-",E850)+1,9)),0),4))</f>
        <v/>
      </c>
      <c r="U850" s="0" t="str">
        <f aca="false">IF(I850=1,"K"&amp;RIGHT("00"&amp;A850,2)&amp;T850&amp;RIGHT("00000"&amp;ROW(),5),"")</f>
        <v/>
      </c>
      <c r="V850" s="0" t="str">
        <f aca="false">IF(U850="","",COUNTIFS($I$2:$I$1201,1,$U$2:$U$1201,"&lt;"&amp;U850)+1)</f>
        <v/>
      </c>
    </row>
    <row r="851" customFormat="false" ht="15" hidden="false" customHeight="false" outlineLevel="0" collapsed="false">
      <c r="A851" s="0" t="n">
        <v>15</v>
      </c>
      <c r="B851" s="0" t="n">
        <v>10</v>
      </c>
      <c r="C851" s="0" t="str">
        <f aca="false">TRIM(SUBSTITUTE(INDEX(LISTAS!$A$4:$T$63,B851,A851)&amp;"",CHAR(160)," "))</f>
        <v/>
      </c>
      <c r="D851" s="0" t="str">
        <f aca="false">IF(C851="","",TRIM(RIGHT(SUBSTITUTE(C851," ",REPT(" ",100)),100)))</f>
        <v/>
      </c>
      <c r="E851" s="0" t="str">
        <f aca="false">IF(D851="","",UPPER(SUBSTITUTE(SUBSTITUTE(D851,"(",""),")","")))</f>
        <v/>
      </c>
      <c r="F851" s="0" t="str">
        <f aca="false">IF(C851="","",LEFT(C851,FIND(" ",C851&amp;" ")-1))</f>
        <v/>
      </c>
      <c r="G851" s="0" t="n">
        <f aca="false">IFERROR(VALUE(SUBSTITUTE(LOWER(F851),"x","")),0)</f>
        <v>0</v>
      </c>
      <c r="H851" s="0" t="str">
        <f aca="false">IF(C851="","",TRIM(MID(C851,LEN(F851)+2,999)))</f>
        <v/>
      </c>
      <c r="I851" s="0" t="n">
        <f aca="false">IF(OR(C851="",LEFT(C851,2)="//"),0,IFERROR(IF(AND(G851&gt;0,G851=INT(G851),FIND("-",E851)&gt;1,NOT(EXACT(UPPER(LEFT(E851,1)),LOWER(LEFT(E851,1)))),ISNUMBER(VALUE(MID(E851,FIND("-",E851)+1,10)))),1,0),0))</f>
        <v>0</v>
      </c>
      <c r="J851" s="0" t="str">
        <f aca="false">IF(I851=1,TRIM(LEFT(H851,MAX(0,LEN(H851)-LEN(D851)))),"")</f>
        <v/>
      </c>
      <c r="K851" s="0" t="str">
        <f aca="false">INDEX($P$2:$P$21,A851)</f>
        <v>Deck 15</v>
      </c>
      <c r="L851" s="0" t="n">
        <f aca="false">IF(AND(C851&lt;&gt;"",LEFT(C851,2)&lt;&gt;"//",I851=0),1,0)</f>
        <v>0</v>
      </c>
      <c r="M851" s="0" t="str">
        <f aca="false">IF(I851=1,MAX(M$1:M850)+1,"")</f>
        <v/>
      </c>
      <c r="N851" s="0" t="str">
        <f aca="false">IFERROR(MATCH(ROW()-1,$V$2:$V$1201,0),"")</f>
        <v/>
      </c>
      <c r="R851" s="0" t="str">
        <f aca="false">IF(E851="","",IFERROR(LEFT(E851,FIND("-",E851)-1),E851))</f>
        <v/>
      </c>
      <c r="S851" s="0" t="str">
        <f aca="false">IF(R851="","",IF(ISNUMBER(--MID(R851,1,1)),0,IF(ISNUMBER(--MID(R851,2,1)),1,IF(ISNUMBER(--MID(R851,3,1)),2,IF(ISNUMBER(--MID(R851,4,1)),3,MIN(LEN(R851),4))))))</f>
        <v/>
      </c>
      <c r="T851" s="0" t="str">
        <f aca="false">IF(E851="","",LEFT(R851,S851)&amp;REPT("0",4-S851)&amp;RIGHT("000"&amp;IFERROR(VALUE(MID(R851,S851+1,9)),0),3)&amp;RIGHT("0000"&amp;IFERROR(VALUE(MID(E851,FIND("-",E851)+1,9)),0),4))</f>
        <v/>
      </c>
      <c r="U851" s="0" t="str">
        <f aca="false">IF(I851=1,"K"&amp;RIGHT("00"&amp;A851,2)&amp;T851&amp;RIGHT("00000"&amp;ROW(),5),"")</f>
        <v/>
      </c>
      <c r="V851" s="0" t="str">
        <f aca="false">IF(U851="","",COUNTIFS($I$2:$I$1201,1,$U$2:$U$1201,"&lt;"&amp;U851)+1)</f>
        <v/>
      </c>
    </row>
    <row r="852" customFormat="false" ht="15" hidden="false" customHeight="false" outlineLevel="0" collapsed="false">
      <c r="A852" s="0" t="n">
        <v>15</v>
      </c>
      <c r="B852" s="0" t="n">
        <v>11</v>
      </c>
      <c r="C852" s="0" t="str">
        <f aca="false">TRIM(SUBSTITUTE(INDEX(LISTAS!$A$4:$T$63,B852,A852)&amp;"",CHAR(160)," "))</f>
        <v/>
      </c>
      <c r="D852" s="0" t="str">
        <f aca="false">IF(C852="","",TRIM(RIGHT(SUBSTITUTE(C852," ",REPT(" ",100)),100)))</f>
        <v/>
      </c>
      <c r="E852" s="0" t="str">
        <f aca="false">IF(D852="","",UPPER(SUBSTITUTE(SUBSTITUTE(D852,"(",""),")","")))</f>
        <v/>
      </c>
      <c r="F852" s="0" t="str">
        <f aca="false">IF(C852="","",LEFT(C852,FIND(" ",C852&amp;" ")-1))</f>
        <v/>
      </c>
      <c r="G852" s="0" t="n">
        <f aca="false">IFERROR(VALUE(SUBSTITUTE(LOWER(F852),"x","")),0)</f>
        <v>0</v>
      </c>
      <c r="H852" s="0" t="str">
        <f aca="false">IF(C852="","",TRIM(MID(C852,LEN(F852)+2,999)))</f>
        <v/>
      </c>
      <c r="I852" s="0" t="n">
        <f aca="false">IF(OR(C852="",LEFT(C852,2)="//"),0,IFERROR(IF(AND(G852&gt;0,G852=INT(G852),FIND("-",E852)&gt;1,NOT(EXACT(UPPER(LEFT(E852,1)),LOWER(LEFT(E852,1)))),ISNUMBER(VALUE(MID(E852,FIND("-",E852)+1,10)))),1,0),0))</f>
        <v>0</v>
      </c>
      <c r="J852" s="0" t="str">
        <f aca="false">IF(I852=1,TRIM(LEFT(H852,MAX(0,LEN(H852)-LEN(D852)))),"")</f>
        <v/>
      </c>
      <c r="K852" s="0" t="str">
        <f aca="false">INDEX($P$2:$P$21,A852)</f>
        <v>Deck 15</v>
      </c>
      <c r="L852" s="0" t="n">
        <f aca="false">IF(AND(C852&lt;&gt;"",LEFT(C852,2)&lt;&gt;"//",I852=0),1,0)</f>
        <v>0</v>
      </c>
      <c r="M852" s="0" t="str">
        <f aca="false">IF(I852=1,MAX(M$1:M851)+1,"")</f>
        <v/>
      </c>
      <c r="N852" s="0" t="str">
        <f aca="false">IFERROR(MATCH(ROW()-1,$V$2:$V$1201,0),"")</f>
        <v/>
      </c>
      <c r="R852" s="0" t="str">
        <f aca="false">IF(E852="","",IFERROR(LEFT(E852,FIND("-",E852)-1),E852))</f>
        <v/>
      </c>
      <c r="S852" s="0" t="str">
        <f aca="false">IF(R852="","",IF(ISNUMBER(--MID(R852,1,1)),0,IF(ISNUMBER(--MID(R852,2,1)),1,IF(ISNUMBER(--MID(R852,3,1)),2,IF(ISNUMBER(--MID(R852,4,1)),3,MIN(LEN(R852),4))))))</f>
        <v/>
      </c>
      <c r="T852" s="0" t="str">
        <f aca="false">IF(E852="","",LEFT(R852,S852)&amp;REPT("0",4-S852)&amp;RIGHT("000"&amp;IFERROR(VALUE(MID(R852,S852+1,9)),0),3)&amp;RIGHT("0000"&amp;IFERROR(VALUE(MID(E852,FIND("-",E852)+1,9)),0),4))</f>
        <v/>
      </c>
      <c r="U852" s="0" t="str">
        <f aca="false">IF(I852=1,"K"&amp;RIGHT("00"&amp;A852,2)&amp;T852&amp;RIGHT("00000"&amp;ROW(),5),"")</f>
        <v/>
      </c>
      <c r="V852" s="0" t="str">
        <f aca="false">IF(U852="","",COUNTIFS($I$2:$I$1201,1,$U$2:$U$1201,"&lt;"&amp;U852)+1)</f>
        <v/>
      </c>
    </row>
    <row r="853" customFormat="false" ht="15" hidden="false" customHeight="false" outlineLevel="0" collapsed="false">
      <c r="A853" s="0" t="n">
        <v>15</v>
      </c>
      <c r="B853" s="0" t="n">
        <v>12</v>
      </c>
      <c r="C853" s="0" t="str">
        <f aca="false">TRIM(SUBSTITUTE(INDEX(LISTAS!$A$4:$T$63,B853,A853)&amp;"",CHAR(160)," "))</f>
        <v/>
      </c>
      <c r="D853" s="0" t="str">
        <f aca="false">IF(C853="","",TRIM(RIGHT(SUBSTITUTE(C853," ",REPT(" ",100)),100)))</f>
        <v/>
      </c>
      <c r="E853" s="0" t="str">
        <f aca="false">IF(D853="","",UPPER(SUBSTITUTE(SUBSTITUTE(D853,"(",""),")","")))</f>
        <v/>
      </c>
      <c r="F853" s="0" t="str">
        <f aca="false">IF(C853="","",LEFT(C853,FIND(" ",C853&amp;" ")-1))</f>
        <v/>
      </c>
      <c r="G853" s="0" t="n">
        <f aca="false">IFERROR(VALUE(SUBSTITUTE(LOWER(F853),"x","")),0)</f>
        <v>0</v>
      </c>
      <c r="H853" s="0" t="str">
        <f aca="false">IF(C853="","",TRIM(MID(C853,LEN(F853)+2,999)))</f>
        <v/>
      </c>
      <c r="I853" s="0" t="n">
        <f aca="false">IF(OR(C853="",LEFT(C853,2)="//"),0,IFERROR(IF(AND(G853&gt;0,G853=INT(G853),FIND("-",E853)&gt;1,NOT(EXACT(UPPER(LEFT(E853,1)),LOWER(LEFT(E853,1)))),ISNUMBER(VALUE(MID(E853,FIND("-",E853)+1,10)))),1,0),0))</f>
        <v>0</v>
      </c>
      <c r="J853" s="0" t="str">
        <f aca="false">IF(I853=1,TRIM(LEFT(H853,MAX(0,LEN(H853)-LEN(D853)))),"")</f>
        <v/>
      </c>
      <c r="K853" s="0" t="str">
        <f aca="false">INDEX($P$2:$P$21,A853)</f>
        <v>Deck 15</v>
      </c>
      <c r="L853" s="0" t="n">
        <f aca="false">IF(AND(C853&lt;&gt;"",LEFT(C853,2)&lt;&gt;"//",I853=0),1,0)</f>
        <v>0</v>
      </c>
      <c r="M853" s="0" t="str">
        <f aca="false">IF(I853=1,MAX(M$1:M852)+1,"")</f>
        <v/>
      </c>
      <c r="N853" s="0" t="str">
        <f aca="false">IFERROR(MATCH(ROW()-1,$V$2:$V$1201,0),"")</f>
        <v/>
      </c>
      <c r="R853" s="0" t="str">
        <f aca="false">IF(E853="","",IFERROR(LEFT(E853,FIND("-",E853)-1),E853))</f>
        <v/>
      </c>
      <c r="S853" s="0" t="str">
        <f aca="false">IF(R853="","",IF(ISNUMBER(--MID(R853,1,1)),0,IF(ISNUMBER(--MID(R853,2,1)),1,IF(ISNUMBER(--MID(R853,3,1)),2,IF(ISNUMBER(--MID(R853,4,1)),3,MIN(LEN(R853),4))))))</f>
        <v/>
      </c>
      <c r="T853" s="0" t="str">
        <f aca="false">IF(E853="","",LEFT(R853,S853)&amp;REPT("0",4-S853)&amp;RIGHT("000"&amp;IFERROR(VALUE(MID(R853,S853+1,9)),0),3)&amp;RIGHT("0000"&amp;IFERROR(VALUE(MID(E853,FIND("-",E853)+1,9)),0),4))</f>
        <v/>
      </c>
      <c r="U853" s="0" t="str">
        <f aca="false">IF(I853=1,"K"&amp;RIGHT("00"&amp;A853,2)&amp;T853&amp;RIGHT("00000"&amp;ROW(),5),"")</f>
        <v/>
      </c>
      <c r="V853" s="0" t="str">
        <f aca="false">IF(U853="","",COUNTIFS($I$2:$I$1201,1,$U$2:$U$1201,"&lt;"&amp;U853)+1)</f>
        <v/>
      </c>
    </row>
    <row r="854" customFormat="false" ht="15" hidden="false" customHeight="false" outlineLevel="0" collapsed="false">
      <c r="A854" s="0" t="n">
        <v>15</v>
      </c>
      <c r="B854" s="0" t="n">
        <v>13</v>
      </c>
      <c r="C854" s="0" t="str">
        <f aca="false">TRIM(SUBSTITUTE(INDEX(LISTAS!$A$4:$T$63,B854,A854)&amp;"",CHAR(160)," "))</f>
        <v/>
      </c>
      <c r="D854" s="0" t="str">
        <f aca="false">IF(C854="","",TRIM(RIGHT(SUBSTITUTE(C854," ",REPT(" ",100)),100)))</f>
        <v/>
      </c>
      <c r="E854" s="0" t="str">
        <f aca="false">IF(D854="","",UPPER(SUBSTITUTE(SUBSTITUTE(D854,"(",""),")","")))</f>
        <v/>
      </c>
      <c r="F854" s="0" t="str">
        <f aca="false">IF(C854="","",LEFT(C854,FIND(" ",C854&amp;" ")-1))</f>
        <v/>
      </c>
      <c r="G854" s="0" t="n">
        <f aca="false">IFERROR(VALUE(SUBSTITUTE(LOWER(F854),"x","")),0)</f>
        <v>0</v>
      </c>
      <c r="H854" s="0" t="str">
        <f aca="false">IF(C854="","",TRIM(MID(C854,LEN(F854)+2,999)))</f>
        <v/>
      </c>
      <c r="I854" s="0" t="n">
        <f aca="false">IF(OR(C854="",LEFT(C854,2)="//"),0,IFERROR(IF(AND(G854&gt;0,G854=INT(G854),FIND("-",E854)&gt;1,NOT(EXACT(UPPER(LEFT(E854,1)),LOWER(LEFT(E854,1)))),ISNUMBER(VALUE(MID(E854,FIND("-",E854)+1,10)))),1,0),0))</f>
        <v>0</v>
      </c>
      <c r="J854" s="0" t="str">
        <f aca="false">IF(I854=1,TRIM(LEFT(H854,MAX(0,LEN(H854)-LEN(D854)))),"")</f>
        <v/>
      </c>
      <c r="K854" s="0" t="str">
        <f aca="false">INDEX($P$2:$P$21,A854)</f>
        <v>Deck 15</v>
      </c>
      <c r="L854" s="0" t="n">
        <f aca="false">IF(AND(C854&lt;&gt;"",LEFT(C854,2)&lt;&gt;"//",I854=0),1,0)</f>
        <v>0</v>
      </c>
      <c r="M854" s="0" t="str">
        <f aca="false">IF(I854=1,MAX(M$1:M853)+1,"")</f>
        <v/>
      </c>
      <c r="N854" s="0" t="str">
        <f aca="false">IFERROR(MATCH(ROW()-1,$V$2:$V$1201,0),"")</f>
        <v/>
      </c>
      <c r="R854" s="0" t="str">
        <f aca="false">IF(E854="","",IFERROR(LEFT(E854,FIND("-",E854)-1),E854))</f>
        <v/>
      </c>
      <c r="S854" s="0" t="str">
        <f aca="false">IF(R854="","",IF(ISNUMBER(--MID(R854,1,1)),0,IF(ISNUMBER(--MID(R854,2,1)),1,IF(ISNUMBER(--MID(R854,3,1)),2,IF(ISNUMBER(--MID(R854,4,1)),3,MIN(LEN(R854),4))))))</f>
        <v/>
      </c>
      <c r="T854" s="0" t="str">
        <f aca="false">IF(E854="","",LEFT(R854,S854)&amp;REPT("0",4-S854)&amp;RIGHT("000"&amp;IFERROR(VALUE(MID(R854,S854+1,9)),0),3)&amp;RIGHT("0000"&amp;IFERROR(VALUE(MID(E854,FIND("-",E854)+1,9)),0),4))</f>
        <v/>
      </c>
      <c r="U854" s="0" t="str">
        <f aca="false">IF(I854=1,"K"&amp;RIGHT("00"&amp;A854,2)&amp;T854&amp;RIGHT("00000"&amp;ROW(),5),"")</f>
        <v/>
      </c>
      <c r="V854" s="0" t="str">
        <f aca="false">IF(U854="","",COUNTIFS($I$2:$I$1201,1,$U$2:$U$1201,"&lt;"&amp;U854)+1)</f>
        <v/>
      </c>
    </row>
    <row r="855" customFormat="false" ht="15" hidden="false" customHeight="false" outlineLevel="0" collapsed="false">
      <c r="A855" s="0" t="n">
        <v>15</v>
      </c>
      <c r="B855" s="0" t="n">
        <v>14</v>
      </c>
      <c r="C855" s="0" t="str">
        <f aca="false">TRIM(SUBSTITUTE(INDEX(LISTAS!$A$4:$T$63,B855,A855)&amp;"",CHAR(160)," "))</f>
        <v/>
      </c>
      <c r="D855" s="0" t="str">
        <f aca="false">IF(C855="","",TRIM(RIGHT(SUBSTITUTE(C855," ",REPT(" ",100)),100)))</f>
        <v/>
      </c>
      <c r="E855" s="0" t="str">
        <f aca="false">IF(D855="","",UPPER(SUBSTITUTE(SUBSTITUTE(D855,"(",""),")","")))</f>
        <v/>
      </c>
      <c r="F855" s="0" t="str">
        <f aca="false">IF(C855="","",LEFT(C855,FIND(" ",C855&amp;" ")-1))</f>
        <v/>
      </c>
      <c r="G855" s="0" t="n">
        <f aca="false">IFERROR(VALUE(SUBSTITUTE(LOWER(F855),"x","")),0)</f>
        <v>0</v>
      </c>
      <c r="H855" s="0" t="str">
        <f aca="false">IF(C855="","",TRIM(MID(C855,LEN(F855)+2,999)))</f>
        <v/>
      </c>
      <c r="I855" s="0" t="n">
        <f aca="false">IF(OR(C855="",LEFT(C855,2)="//"),0,IFERROR(IF(AND(G855&gt;0,G855=INT(G855),FIND("-",E855)&gt;1,NOT(EXACT(UPPER(LEFT(E855,1)),LOWER(LEFT(E855,1)))),ISNUMBER(VALUE(MID(E855,FIND("-",E855)+1,10)))),1,0),0))</f>
        <v>0</v>
      </c>
      <c r="J855" s="0" t="str">
        <f aca="false">IF(I855=1,TRIM(LEFT(H855,MAX(0,LEN(H855)-LEN(D855)))),"")</f>
        <v/>
      </c>
      <c r="K855" s="0" t="str">
        <f aca="false">INDEX($P$2:$P$21,A855)</f>
        <v>Deck 15</v>
      </c>
      <c r="L855" s="0" t="n">
        <f aca="false">IF(AND(C855&lt;&gt;"",LEFT(C855,2)&lt;&gt;"//",I855=0),1,0)</f>
        <v>0</v>
      </c>
      <c r="M855" s="0" t="str">
        <f aca="false">IF(I855=1,MAX(M$1:M854)+1,"")</f>
        <v/>
      </c>
      <c r="N855" s="0" t="str">
        <f aca="false">IFERROR(MATCH(ROW()-1,$V$2:$V$1201,0),"")</f>
        <v/>
      </c>
      <c r="R855" s="0" t="str">
        <f aca="false">IF(E855="","",IFERROR(LEFT(E855,FIND("-",E855)-1),E855))</f>
        <v/>
      </c>
      <c r="S855" s="0" t="str">
        <f aca="false">IF(R855="","",IF(ISNUMBER(--MID(R855,1,1)),0,IF(ISNUMBER(--MID(R855,2,1)),1,IF(ISNUMBER(--MID(R855,3,1)),2,IF(ISNUMBER(--MID(R855,4,1)),3,MIN(LEN(R855),4))))))</f>
        <v/>
      </c>
      <c r="T855" s="0" t="str">
        <f aca="false">IF(E855="","",LEFT(R855,S855)&amp;REPT("0",4-S855)&amp;RIGHT("000"&amp;IFERROR(VALUE(MID(R855,S855+1,9)),0),3)&amp;RIGHT("0000"&amp;IFERROR(VALUE(MID(E855,FIND("-",E855)+1,9)),0),4))</f>
        <v/>
      </c>
      <c r="U855" s="0" t="str">
        <f aca="false">IF(I855=1,"K"&amp;RIGHT("00"&amp;A855,2)&amp;T855&amp;RIGHT("00000"&amp;ROW(),5),"")</f>
        <v/>
      </c>
      <c r="V855" s="0" t="str">
        <f aca="false">IF(U855="","",COUNTIFS($I$2:$I$1201,1,$U$2:$U$1201,"&lt;"&amp;U855)+1)</f>
        <v/>
      </c>
    </row>
    <row r="856" customFormat="false" ht="15" hidden="false" customHeight="false" outlineLevel="0" collapsed="false">
      <c r="A856" s="0" t="n">
        <v>15</v>
      </c>
      <c r="B856" s="0" t="n">
        <v>15</v>
      </c>
      <c r="C856" s="0" t="str">
        <f aca="false">TRIM(SUBSTITUTE(INDEX(LISTAS!$A$4:$T$63,B856,A856)&amp;"",CHAR(160)," "))</f>
        <v/>
      </c>
      <c r="D856" s="0" t="str">
        <f aca="false">IF(C856="","",TRIM(RIGHT(SUBSTITUTE(C856," ",REPT(" ",100)),100)))</f>
        <v/>
      </c>
      <c r="E856" s="0" t="str">
        <f aca="false">IF(D856="","",UPPER(SUBSTITUTE(SUBSTITUTE(D856,"(",""),")","")))</f>
        <v/>
      </c>
      <c r="F856" s="0" t="str">
        <f aca="false">IF(C856="","",LEFT(C856,FIND(" ",C856&amp;" ")-1))</f>
        <v/>
      </c>
      <c r="G856" s="0" t="n">
        <f aca="false">IFERROR(VALUE(SUBSTITUTE(LOWER(F856),"x","")),0)</f>
        <v>0</v>
      </c>
      <c r="H856" s="0" t="str">
        <f aca="false">IF(C856="","",TRIM(MID(C856,LEN(F856)+2,999)))</f>
        <v/>
      </c>
      <c r="I856" s="0" t="n">
        <f aca="false">IF(OR(C856="",LEFT(C856,2)="//"),0,IFERROR(IF(AND(G856&gt;0,G856=INT(G856),FIND("-",E856)&gt;1,NOT(EXACT(UPPER(LEFT(E856,1)),LOWER(LEFT(E856,1)))),ISNUMBER(VALUE(MID(E856,FIND("-",E856)+1,10)))),1,0),0))</f>
        <v>0</v>
      </c>
      <c r="J856" s="0" t="str">
        <f aca="false">IF(I856=1,TRIM(LEFT(H856,MAX(0,LEN(H856)-LEN(D856)))),"")</f>
        <v/>
      </c>
      <c r="K856" s="0" t="str">
        <f aca="false">INDEX($P$2:$P$21,A856)</f>
        <v>Deck 15</v>
      </c>
      <c r="L856" s="0" t="n">
        <f aca="false">IF(AND(C856&lt;&gt;"",LEFT(C856,2)&lt;&gt;"//",I856=0),1,0)</f>
        <v>0</v>
      </c>
      <c r="M856" s="0" t="str">
        <f aca="false">IF(I856=1,MAX(M$1:M855)+1,"")</f>
        <v/>
      </c>
      <c r="N856" s="0" t="str">
        <f aca="false">IFERROR(MATCH(ROW()-1,$V$2:$V$1201,0),"")</f>
        <v/>
      </c>
      <c r="R856" s="0" t="str">
        <f aca="false">IF(E856="","",IFERROR(LEFT(E856,FIND("-",E856)-1),E856))</f>
        <v/>
      </c>
      <c r="S856" s="0" t="str">
        <f aca="false">IF(R856="","",IF(ISNUMBER(--MID(R856,1,1)),0,IF(ISNUMBER(--MID(R856,2,1)),1,IF(ISNUMBER(--MID(R856,3,1)),2,IF(ISNUMBER(--MID(R856,4,1)),3,MIN(LEN(R856),4))))))</f>
        <v/>
      </c>
      <c r="T856" s="0" t="str">
        <f aca="false">IF(E856="","",LEFT(R856,S856)&amp;REPT("0",4-S856)&amp;RIGHT("000"&amp;IFERROR(VALUE(MID(R856,S856+1,9)),0),3)&amp;RIGHT("0000"&amp;IFERROR(VALUE(MID(E856,FIND("-",E856)+1,9)),0),4))</f>
        <v/>
      </c>
      <c r="U856" s="0" t="str">
        <f aca="false">IF(I856=1,"K"&amp;RIGHT("00"&amp;A856,2)&amp;T856&amp;RIGHT("00000"&amp;ROW(),5),"")</f>
        <v/>
      </c>
      <c r="V856" s="0" t="str">
        <f aca="false">IF(U856="","",COUNTIFS($I$2:$I$1201,1,$U$2:$U$1201,"&lt;"&amp;U856)+1)</f>
        <v/>
      </c>
    </row>
    <row r="857" customFormat="false" ht="15" hidden="false" customHeight="false" outlineLevel="0" collapsed="false">
      <c r="A857" s="0" t="n">
        <v>15</v>
      </c>
      <c r="B857" s="0" t="n">
        <v>16</v>
      </c>
      <c r="C857" s="0" t="str">
        <f aca="false">TRIM(SUBSTITUTE(INDEX(LISTAS!$A$4:$T$63,B857,A857)&amp;"",CHAR(160)," "))</f>
        <v/>
      </c>
      <c r="D857" s="0" t="str">
        <f aca="false">IF(C857="","",TRIM(RIGHT(SUBSTITUTE(C857," ",REPT(" ",100)),100)))</f>
        <v/>
      </c>
      <c r="E857" s="0" t="str">
        <f aca="false">IF(D857="","",UPPER(SUBSTITUTE(SUBSTITUTE(D857,"(",""),")","")))</f>
        <v/>
      </c>
      <c r="F857" s="0" t="str">
        <f aca="false">IF(C857="","",LEFT(C857,FIND(" ",C857&amp;" ")-1))</f>
        <v/>
      </c>
      <c r="G857" s="0" t="n">
        <f aca="false">IFERROR(VALUE(SUBSTITUTE(LOWER(F857),"x","")),0)</f>
        <v>0</v>
      </c>
      <c r="H857" s="0" t="str">
        <f aca="false">IF(C857="","",TRIM(MID(C857,LEN(F857)+2,999)))</f>
        <v/>
      </c>
      <c r="I857" s="0" t="n">
        <f aca="false">IF(OR(C857="",LEFT(C857,2)="//"),0,IFERROR(IF(AND(G857&gt;0,G857=INT(G857),FIND("-",E857)&gt;1,NOT(EXACT(UPPER(LEFT(E857,1)),LOWER(LEFT(E857,1)))),ISNUMBER(VALUE(MID(E857,FIND("-",E857)+1,10)))),1,0),0))</f>
        <v>0</v>
      </c>
      <c r="J857" s="0" t="str">
        <f aca="false">IF(I857=1,TRIM(LEFT(H857,MAX(0,LEN(H857)-LEN(D857)))),"")</f>
        <v/>
      </c>
      <c r="K857" s="0" t="str">
        <f aca="false">INDEX($P$2:$P$21,A857)</f>
        <v>Deck 15</v>
      </c>
      <c r="L857" s="0" t="n">
        <f aca="false">IF(AND(C857&lt;&gt;"",LEFT(C857,2)&lt;&gt;"//",I857=0),1,0)</f>
        <v>0</v>
      </c>
      <c r="M857" s="0" t="str">
        <f aca="false">IF(I857=1,MAX(M$1:M856)+1,"")</f>
        <v/>
      </c>
      <c r="N857" s="0" t="str">
        <f aca="false">IFERROR(MATCH(ROW()-1,$V$2:$V$1201,0),"")</f>
        <v/>
      </c>
      <c r="R857" s="0" t="str">
        <f aca="false">IF(E857="","",IFERROR(LEFT(E857,FIND("-",E857)-1),E857))</f>
        <v/>
      </c>
      <c r="S857" s="0" t="str">
        <f aca="false">IF(R857="","",IF(ISNUMBER(--MID(R857,1,1)),0,IF(ISNUMBER(--MID(R857,2,1)),1,IF(ISNUMBER(--MID(R857,3,1)),2,IF(ISNUMBER(--MID(R857,4,1)),3,MIN(LEN(R857),4))))))</f>
        <v/>
      </c>
      <c r="T857" s="0" t="str">
        <f aca="false">IF(E857="","",LEFT(R857,S857)&amp;REPT("0",4-S857)&amp;RIGHT("000"&amp;IFERROR(VALUE(MID(R857,S857+1,9)),0),3)&amp;RIGHT("0000"&amp;IFERROR(VALUE(MID(E857,FIND("-",E857)+1,9)),0),4))</f>
        <v/>
      </c>
      <c r="U857" s="0" t="str">
        <f aca="false">IF(I857=1,"K"&amp;RIGHT("00"&amp;A857,2)&amp;T857&amp;RIGHT("00000"&amp;ROW(),5),"")</f>
        <v/>
      </c>
      <c r="V857" s="0" t="str">
        <f aca="false">IF(U857="","",COUNTIFS($I$2:$I$1201,1,$U$2:$U$1201,"&lt;"&amp;U857)+1)</f>
        <v/>
      </c>
    </row>
    <row r="858" customFormat="false" ht="15" hidden="false" customHeight="false" outlineLevel="0" collapsed="false">
      <c r="A858" s="0" t="n">
        <v>15</v>
      </c>
      <c r="B858" s="0" t="n">
        <v>17</v>
      </c>
      <c r="C858" s="0" t="str">
        <f aca="false">TRIM(SUBSTITUTE(INDEX(LISTAS!$A$4:$T$63,B858,A858)&amp;"",CHAR(160)," "))</f>
        <v/>
      </c>
      <c r="D858" s="0" t="str">
        <f aca="false">IF(C858="","",TRIM(RIGHT(SUBSTITUTE(C858," ",REPT(" ",100)),100)))</f>
        <v/>
      </c>
      <c r="E858" s="0" t="str">
        <f aca="false">IF(D858="","",UPPER(SUBSTITUTE(SUBSTITUTE(D858,"(",""),")","")))</f>
        <v/>
      </c>
      <c r="F858" s="0" t="str">
        <f aca="false">IF(C858="","",LEFT(C858,FIND(" ",C858&amp;" ")-1))</f>
        <v/>
      </c>
      <c r="G858" s="0" t="n">
        <f aca="false">IFERROR(VALUE(SUBSTITUTE(LOWER(F858),"x","")),0)</f>
        <v>0</v>
      </c>
      <c r="H858" s="0" t="str">
        <f aca="false">IF(C858="","",TRIM(MID(C858,LEN(F858)+2,999)))</f>
        <v/>
      </c>
      <c r="I858" s="0" t="n">
        <f aca="false">IF(OR(C858="",LEFT(C858,2)="//"),0,IFERROR(IF(AND(G858&gt;0,G858=INT(G858),FIND("-",E858)&gt;1,NOT(EXACT(UPPER(LEFT(E858,1)),LOWER(LEFT(E858,1)))),ISNUMBER(VALUE(MID(E858,FIND("-",E858)+1,10)))),1,0),0))</f>
        <v>0</v>
      </c>
      <c r="J858" s="0" t="str">
        <f aca="false">IF(I858=1,TRIM(LEFT(H858,MAX(0,LEN(H858)-LEN(D858)))),"")</f>
        <v/>
      </c>
      <c r="K858" s="0" t="str">
        <f aca="false">INDEX($P$2:$P$21,A858)</f>
        <v>Deck 15</v>
      </c>
      <c r="L858" s="0" t="n">
        <f aca="false">IF(AND(C858&lt;&gt;"",LEFT(C858,2)&lt;&gt;"//",I858=0),1,0)</f>
        <v>0</v>
      </c>
      <c r="M858" s="0" t="str">
        <f aca="false">IF(I858=1,MAX(M$1:M857)+1,"")</f>
        <v/>
      </c>
      <c r="N858" s="0" t="str">
        <f aca="false">IFERROR(MATCH(ROW()-1,$V$2:$V$1201,0),"")</f>
        <v/>
      </c>
      <c r="R858" s="0" t="str">
        <f aca="false">IF(E858="","",IFERROR(LEFT(E858,FIND("-",E858)-1),E858))</f>
        <v/>
      </c>
      <c r="S858" s="0" t="str">
        <f aca="false">IF(R858="","",IF(ISNUMBER(--MID(R858,1,1)),0,IF(ISNUMBER(--MID(R858,2,1)),1,IF(ISNUMBER(--MID(R858,3,1)),2,IF(ISNUMBER(--MID(R858,4,1)),3,MIN(LEN(R858),4))))))</f>
        <v/>
      </c>
      <c r="T858" s="0" t="str">
        <f aca="false">IF(E858="","",LEFT(R858,S858)&amp;REPT("0",4-S858)&amp;RIGHT("000"&amp;IFERROR(VALUE(MID(R858,S858+1,9)),0),3)&amp;RIGHT("0000"&amp;IFERROR(VALUE(MID(E858,FIND("-",E858)+1,9)),0),4))</f>
        <v/>
      </c>
      <c r="U858" s="0" t="str">
        <f aca="false">IF(I858=1,"K"&amp;RIGHT("00"&amp;A858,2)&amp;T858&amp;RIGHT("00000"&amp;ROW(),5),"")</f>
        <v/>
      </c>
      <c r="V858" s="0" t="str">
        <f aca="false">IF(U858="","",COUNTIFS($I$2:$I$1201,1,$U$2:$U$1201,"&lt;"&amp;U858)+1)</f>
        <v/>
      </c>
    </row>
    <row r="859" customFormat="false" ht="15" hidden="false" customHeight="false" outlineLevel="0" collapsed="false">
      <c r="A859" s="0" t="n">
        <v>15</v>
      </c>
      <c r="B859" s="0" t="n">
        <v>18</v>
      </c>
      <c r="C859" s="0" t="str">
        <f aca="false">TRIM(SUBSTITUTE(INDEX(LISTAS!$A$4:$T$63,B859,A859)&amp;"",CHAR(160)," "))</f>
        <v/>
      </c>
      <c r="D859" s="0" t="str">
        <f aca="false">IF(C859="","",TRIM(RIGHT(SUBSTITUTE(C859," ",REPT(" ",100)),100)))</f>
        <v/>
      </c>
      <c r="E859" s="0" t="str">
        <f aca="false">IF(D859="","",UPPER(SUBSTITUTE(SUBSTITUTE(D859,"(",""),")","")))</f>
        <v/>
      </c>
      <c r="F859" s="0" t="str">
        <f aca="false">IF(C859="","",LEFT(C859,FIND(" ",C859&amp;" ")-1))</f>
        <v/>
      </c>
      <c r="G859" s="0" t="n">
        <f aca="false">IFERROR(VALUE(SUBSTITUTE(LOWER(F859),"x","")),0)</f>
        <v>0</v>
      </c>
      <c r="H859" s="0" t="str">
        <f aca="false">IF(C859="","",TRIM(MID(C859,LEN(F859)+2,999)))</f>
        <v/>
      </c>
      <c r="I859" s="0" t="n">
        <f aca="false">IF(OR(C859="",LEFT(C859,2)="//"),0,IFERROR(IF(AND(G859&gt;0,G859=INT(G859),FIND("-",E859)&gt;1,NOT(EXACT(UPPER(LEFT(E859,1)),LOWER(LEFT(E859,1)))),ISNUMBER(VALUE(MID(E859,FIND("-",E859)+1,10)))),1,0),0))</f>
        <v>0</v>
      </c>
      <c r="J859" s="0" t="str">
        <f aca="false">IF(I859=1,TRIM(LEFT(H859,MAX(0,LEN(H859)-LEN(D859)))),"")</f>
        <v/>
      </c>
      <c r="K859" s="0" t="str">
        <f aca="false">INDEX($P$2:$P$21,A859)</f>
        <v>Deck 15</v>
      </c>
      <c r="L859" s="0" t="n">
        <f aca="false">IF(AND(C859&lt;&gt;"",LEFT(C859,2)&lt;&gt;"//",I859=0),1,0)</f>
        <v>0</v>
      </c>
      <c r="M859" s="0" t="str">
        <f aca="false">IF(I859=1,MAX(M$1:M858)+1,"")</f>
        <v/>
      </c>
      <c r="N859" s="0" t="str">
        <f aca="false">IFERROR(MATCH(ROW()-1,$V$2:$V$1201,0),"")</f>
        <v/>
      </c>
      <c r="R859" s="0" t="str">
        <f aca="false">IF(E859="","",IFERROR(LEFT(E859,FIND("-",E859)-1),E859))</f>
        <v/>
      </c>
      <c r="S859" s="0" t="str">
        <f aca="false">IF(R859="","",IF(ISNUMBER(--MID(R859,1,1)),0,IF(ISNUMBER(--MID(R859,2,1)),1,IF(ISNUMBER(--MID(R859,3,1)),2,IF(ISNUMBER(--MID(R859,4,1)),3,MIN(LEN(R859),4))))))</f>
        <v/>
      </c>
      <c r="T859" s="0" t="str">
        <f aca="false">IF(E859="","",LEFT(R859,S859)&amp;REPT("0",4-S859)&amp;RIGHT("000"&amp;IFERROR(VALUE(MID(R859,S859+1,9)),0),3)&amp;RIGHT("0000"&amp;IFERROR(VALUE(MID(E859,FIND("-",E859)+1,9)),0),4))</f>
        <v/>
      </c>
      <c r="U859" s="0" t="str">
        <f aca="false">IF(I859=1,"K"&amp;RIGHT("00"&amp;A859,2)&amp;T859&amp;RIGHT("00000"&amp;ROW(),5),"")</f>
        <v/>
      </c>
      <c r="V859" s="0" t="str">
        <f aca="false">IF(U859="","",COUNTIFS($I$2:$I$1201,1,$U$2:$U$1201,"&lt;"&amp;U859)+1)</f>
        <v/>
      </c>
    </row>
    <row r="860" customFormat="false" ht="15" hidden="false" customHeight="false" outlineLevel="0" collapsed="false">
      <c r="A860" s="0" t="n">
        <v>15</v>
      </c>
      <c r="B860" s="0" t="n">
        <v>19</v>
      </c>
      <c r="C860" s="0" t="str">
        <f aca="false">TRIM(SUBSTITUTE(INDEX(LISTAS!$A$4:$T$63,B860,A860)&amp;"",CHAR(160)," "))</f>
        <v/>
      </c>
      <c r="D860" s="0" t="str">
        <f aca="false">IF(C860="","",TRIM(RIGHT(SUBSTITUTE(C860," ",REPT(" ",100)),100)))</f>
        <v/>
      </c>
      <c r="E860" s="0" t="str">
        <f aca="false">IF(D860="","",UPPER(SUBSTITUTE(SUBSTITUTE(D860,"(",""),")","")))</f>
        <v/>
      </c>
      <c r="F860" s="0" t="str">
        <f aca="false">IF(C860="","",LEFT(C860,FIND(" ",C860&amp;" ")-1))</f>
        <v/>
      </c>
      <c r="G860" s="0" t="n">
        <f aca="false">IFERROR(VALUE(SUBSTITUTE(LOWER(F860),"x","")),0)</f>
        <v>0</v>
      </c>
      <c r="H860" s="0" t="str">
        <f aca="false">IF(C860="","",TRIM(MID(C860,LEN(F860)+2,999)))</f>
        <v/>
      </c>
      <c r="I860" s="0" t="n">
        <f aca="false">IF(OR(C860="",LEFT(C860,2)="//"),0,IFERROR(IF(AND(G860&gt;0,G860=INT(G860),FIND("-",E860)&gt;1,NOT(EXACT(UPPER(LEFT(E860,1)),LOWER(LEFT(E860,1)))),ISNUMBER(VALUE(MID(E860,FIND("-",E860)+1,10)))),1,0),0))</f>
        <v>0</v>
      </c>
      <c r="J860" s="0" t="str">
        <f aca="false">IF(I860=1,TRIM(LEFT(H860,MAX(0,LEN(H860)-LEN(D860)))),"")</f>
        <v/>
      </c>
      <c r="K860" s="0" t="str">
        <f aca="false">INDEX($P$2:$P$21,A860)</f>
        <v>Deck 15</v>
      </c>
      <c r="L860" s="0" t="n">
        <f aca="false">IF(AND(C860&lt;&gt;"",LEFT(C860,2)&lt;&gt;"//",I860=0),1,0)</f>
        <v>0</v>
      </c>
      <c r="M860" s="0" t="str">
        <f aca="false">IF(I860=1,MAX(M$1:M859)+1,"")</f>
        <v/>
      </c>
      <c r="N860" s="0" t="str">
        <f aca="false">IFERROR(MATCH(ROW()-1,$V$2:$V$1201,0),"")</f>
        <v/>
      </c>
      <c r="R860" s="0" t="str">
        <f aca="false">IF(E860="","",IFERROR(LEFT(E860,FIND("-",E860)-1),E860))</f>
        <v/>
      </c>
      <c r="S860" s="0" t="str">
        <f aca="false">IF(R860="","",IF(ISNUMBER(--MID(R860,1,1)),0,IF(ISNUMBER(--MID(R860,2,1)),1,IF(ISNUMBER(--MID(R860,3,1)),2,IF(ISNUMBER(--MID(R860,4,1)),3,MIN(LEN(R860),4))))))</f>
        <v/>
      </c>
      <c r="T860" s="0" t="str">
        <f aca="false">IF(E860="","",LEFT(R860,S860)&amp;REPT("0",4-S860)&amp;RIGHT("000"&amp;IFERROR(VALUE(MID(R860,S860+1,9)),0),3)&amp;RIGHT("0000"&amp;IFERROR(VALUE(MID(E860,FIND("-",E860)+1,9)),0),4))</f>
        <v/>
      </c>
      <c r="U860" s="0" t="str">
        <f aca="false">IF(I860=1,"K"&amp;RIGHT("00"&amp;A860,2)&amp;T860&amp;RIGHT("00000"&amp;ROW(),5),"")</f>
        <v/>
      </c>
      <c r="V860" s="0" t="str">
        <f aca="false">IF(U860="","",COUNTIFS($I$2:$I$1201,1,$U$2:$U$1201,"&lt;"&amp;U860)+1)</f>
        <v/>
      </c>
    </row>
    <row r="861" customFormat="false" ht="15" hidden="false" customHeight="false" outlineLevel="0" collapsed="false">
      <c r="A861" s="0" t="n">
        <v>15</v>
      </c>
      <c r="B861" s="0" t="n">
        <v>20</v>
      </c>
      <c r="C861" s="0" t="str">
        <f aca="false">TRIM(SUBSTITUTE(INDEX(LISTAS!$A$4:$T$63,B861,A861)&amp;"",CHAR(160)," "))</f>
        <v/>
      </c>
      <c r="D861" s="0" t="str">
        <f aca="false">IF(C861="","",TRIM(RIGHT(SUBSTITUTE(C861," ",REPT(" ",100)),100)))</f>
        <v/>
      </c>
      <c r="E861" s="0" t="str">
        <f aca="false">IF(D861="","",UPPER(SUBSTITUTE(SUBSTITUTE(D861,"(",""),")","")))</f>
        <v/>
      </c>
      <c r="F861" s="0" t="str">
        <f aca="false">IF(C861="","",LEFT(C861,FIND(" ",C861&amp;" ")-1))</f>
        <v/>
      </c>
      <c r="G861" s="0" t="n">
        <f aca="false">IFERROR(VALUE(SUBSTITUTE(LOWER(F861),"x","")),0)</f>
        <v>0</v>
      </c>
      <c r="H861" s="0" t="str">
        <f aca="false">IF(C861="","",TRIM(MID(C861,LEN(F861)+2,999)))</f>
        <v/>
      </c>
      <c r="I861" s="0" t="n">
        <f aca="false">IF(OR(C861="",LEFT(C861,2)="//"),0,IFERROR(IF(AND(G861&gt;0,G861=INT(G861),FIND("-",E861)&gt;1,NOT(EXACT(UPPER(LEFT(E861,1)),LOWER(LEFT(E861,1)))),ISNUMBER(VALUE(MID(E861,FIND("-",E861)+1,10)))),1,0),0))</f>
        <v>0</v>
      </c>
      <c r="J861" s="0" t="str">
        <f aca="false">IF(I861=1,TRIM(LEFT(H861,MAX(0,LEN(H861)-LEN(D861)))),"")</f>
        <v/>
      </c>
      <c r="K861" s="0" t="str">
        <f aca="false">INDEX($P$2:$P$21,A861)</f>
        <v>Deck 15</v>
      </c>
      <c r="L861" s="0" t="n">
        <f aca="false">IF(AND(C861&lt;&gt;"",LEFT(C861,2)&lt;&gt;"//",I861=0),1,0)</f>
        <v>0</v>
      </c>
      <c r="M861" s="0" t="str">
        <f aca="false">IF(I861=1,MAX(M$1:M860)+1,"")</f>
        <v/>
      </c>
      <c r="N861" s="0" t="str">
        <f aca="false">IFERROR(MATCH(ROW()-1,$V$2:$V$1201,0),"")</f>
        <v/>
      </c>
      <c r="R861" s="0" t="str">
        <f aca="false">IF(E861="","",IFERROR(LEFT(E861,FIND("-",E861)-1),E861))</f>
        <v/>
      </c>
      <c r="S861" s="0" t="str">
        <f aca="false">IF(R861="","",IF(ISNUMBER(--MID(R861,1,1)),0,IF(ISNUMBER(--MID(R861,2,1)),1,IF(ISNUMBER(--MID(R861,3,1)),2,IF(ISNUMBER(--MID(R861,4,1)),3,MIN(LEN(R861),4))))))</f>
        <v/>
      </c>
      <c r="T861" s="0" t="str">
        <f aca="false">IF(E861="","",LEFT(R861,S861)&amp;REPT("0",4-S861)&amp;RIGHT("000"&amp;IFERROR(VALUE(MID(R861,S861+1,9)),0),3)&amp;RIGHT("0000"&amp;IFERROR(VALUE(MID(E861,FIND("-",E861)+1,9)),0),4))</f>
        <v/>
      </c>
      <c r="U861" s="0" t="str">
        <f aca="false">IF(I861=1,"K"&amp;RIGHT("00"&amp;A861,2)&amp;T861&amp;RIGHT("00000"&amp;ROW(),5),"")</f>
        <v/>
      </c>
      <c r="V861" s="0" t="str">
        <f aca="false">IF(U861="","",COUNTIFS($I$2:$I$1201,1,$U$2:$U$1201,"&lt;"&amp;U861)+1)</f>
        <v/>
      </c>
    </row>
    <row r="862" customFormat="false" ht="15" hidden="false" customHeight="false" outlineLevel="0" collapsed="false">
      <c r="A862" s="0" t="n">
        <v>15</v>
      </c>
      <c r="B862" s="0" t="n">
        <v>21</v>
      </c>
      <c r="C862" s="0" t="str">
        <f aca="false">TRIM(SUBSTITUTE(INDEX(LISTAS!$A$4:$T$63,B862,A862)&amp;"",CHAR(160)," "))</f>
        <v/>
      </c>
      <c r="D862" s="0" t="str">
        <f aca="false">IF(C862="","",TRIM(RIGHT(SUBSTITUTE(C862," ",REPT(" ",100)),100)))</f>
        <v/>
      </c>
      <c r="E862" s="0" t="str">
        <f aca="false">IF(D862="","",UPPER(SUBSTITUTE(SUBSTITUTE(D862,"(",""),")","")))</f>
        <v/>
      </c>
      <c r="F862" s="0" t="str">
        <f aca="false">IF(C862="","",LEFT(C862,FIND(" ",C862&amp;" ")-1))</f>
        <v/>
      </c>
      <c r="G862" s="0" t="n">
        <f aca="false">IFERROR(VALUE(SUBSTITUTE(LOWER(F862),"x","")),0)</f>
        <v>0</v>
      </c>
      <c r="H862" s="0" t="str">
        <f aca="false">IF(C862="","",TRIM(MID(C862,LEN(F862)+2,999)))</f>
        <v/>
      </c>
      <c r="I862" s="0" t="n">
        <f aca="false">IF(OR(C862="",LEFT(C862,2)="//"),0,IFERROR(IF(AND(G862&gt;0,G862=INT(G862),FIND("-",E862)&gt;1,NOT(EXACT(UPPER(LEFT(E862,1)),LOWER(LEFT(E862,1)))),ISNUMBER(VALUE(MID(E862,FIND("-",E862)+1,10)))),1,0),0))</f>
        <v>0</v>
      </c>
      <c r="J862" s="0" t="str">
        <f aca="false">IF(I862=1,TRIM(LEFT(H862,MAX(0,LEN(H862)-LEN(D862)))),"")</f>
        <v/>
      </c>
      <c r="K862" s="0" t="str">
        <f aca="false">INDEX($P$2:$P$21,A862)</f>
        <v>Deck 15</v>
      </c>
      <c r="L862" s="0" t="n">
        <f aca="false">IF(AND(C862&lt;&gt;"",LEFT(C862,2)&lt;&gt;"//",I862=0),1,0)</f>
        <v>0</v>
      </c>
      <c r="M862" s="0" t="str">
        <f aca="false">IF(I862=1,MAX(M$1:M861)+1,"")</f>
        <v/>
      </c>
      <c r="N862" s="0" t="str">
        <f aca="false">IFERROR(MATCH(ROW()-1,$V$2:$V$1201,0),"")</f>
        <v/>
      </c>
      <c r="R862" s="0" t="str">
        <f aca="false">IF(E862="","",IFERROR(LEFT(E862,FIND("-",E862)-1),E862))</f>
        <v/>
      </c>
      <c r="S862" s="0" t="str">
        <f aca="false">IF(R862="","",IF(ISNUMBER(--MID(R862,1,1)),0,IF(ISNUMBER(--MID(R862,2,1)),1,IF(ISNUMBER(--MID(R862,3,1)),2,IF(ISNUMBER(--MID(R862,4,1)),3,MIN(LEN(R862),4))))))</f>
        <v/>
      </c>
      <c r="T862" s="0" t="str">
        <f aca="false">IF(E862="","",LEFT(R862,S862)&amp;REPT("0",4-S862)&amp;RIGHT("000"&amp;IFERROR(VALUE(MID(R862,S862+1,9)),0),3)&amp;RIGHT("0000"&amp;IFERROR(VALUE(MID(E862,FIND("-",E862)+1,9)),0),4))</f>
        <v/>
      </c>
      <c r="U862" s="0" t="str">
        <f aca="false">IF(I862=1,"K"&amp;RIGHT("00"&amp;A862,2)&amp;T862&amp;RIGHT("00000"&amp;ROW(),5),"")</f>
        <v/>
      </c>
      <c r="V862" s="0" t="str">
        <f aca="false">IF(U862="","",COUNTIFS($I$2:$I$1201,1,$U$2:$U$1201,"&lt;"&amp;U862)+1)</f>
        <v/>
      </c>
    </row>
    <row r="863" customFormat="false" ht="15" hidden="false" customHeight="false" outlineLevel="0" collapsed="false">
      <c r="A863" s="0" t="n">
        <v>15</v>
      </c>
      <c r="B863" s="0" t="n">
        <v>22</v>
      </c>
      <c r="C863" s="0" t="str">
        <f aca="false">TRIM(SUBSTITUTE(INDEX(LISTAS!$A$4:$T$63,B863,A863)&amp;"",CHAR(160)," "))</f>
        <v/>
      </c>
      <c r="D863" s="0" t="str">
        <f aca="false">IF(C863="","",TRIM(RIGHT(SUBSTITUTE(C863," ",REPT(" ",100)),100)))</f>
        <v/>
      </c>
      <c r="E863" s="0" t="str">
        <f aca="false">IF(D863="","",UPPER(SUBSTITUTE(SUBSTITUTE(D863,"(",""),")","")))</f>
        <v/>
      </c>
      <c r="F863" s="0" t="str">
        <f aca="false">IF(C863="","",LEFT(C863,FIND(" ",C863&amp;" ")-1))</f>
        <v/>
      </c>
      <c r="G863" s="0" t="n">
        <f aca="false">IFERROR(VALUE(SUBSTITUTE(LOWER(F863),"x","")),0)</f>
        <v>0</v>
      </c>
      <c r="H863" s="0" t="str">
        <f aca="false">IF(C863="","",TRIM(MID(C863,LEN(F863)+2,999)))</f>
        <v/>
      </c>
      <c r="I863" s="0" t="n">
        <f aca="false">IF(OR(C863="",LEFT(C863,2)="//"),0,IFERROR(IF(AND(G863&gt;0,G863=INT(G863),FIND("-",E863)&gt;1,NOT(EXACT(UPPER(LEFT(E863,1)),LOWER(LEFT(E863,1)))),ISNUMBER(VALUE(MID(E863,FIND("-",E863)+1,10)))),1,0),0))</f>
        <v>0</v>
      </c>
      <c r="J863" s="0" t="str">
        <f aca="false">IF(I863=1,TRIM(LEFT(H863,MAX(0,LEN(H863)-LEN(D863)))),"")</f>
        <v/>
      </c>
      <c r="K863" s="0" t="str">
        <f aca="false">INDEX($P$2:$P$21,A863)</f>
        <v>Deck 15</v>
      </c>
      <c r="L863" s="0" t="n">
        <f aca="false">IF(AND(C863&lt;&gt;"",LEFT(C863,2)&lt;&gt;"//",I863=0),1,0)</f>
        <v>0</v>
      </c>
      <c r="M863" s="0" t="str">
        <f aca="false">IF(I863=1,MAX(M$1:M862)+1,"")</f>
        <v/>
      </c>
      <c r="N863" s="0" t="str">
        <f aca="false">IFERROR(MATCH(ROW()-1,$V$2:$V$1201,0),"")</f>
        <v/>
      </c>
      <c r="R863" s="0" t="str">
        <f aca="false">IF(E863="","",IFERROR(LEFT(E863,FIND("-",E863)-1),E863))</f>
        <v/>
      </c>
      <c r="S863" s="0" t="str">
        <f aca="false">IF(R863="","",IF(ISNUMBER(--MID(R863,1,1)),0,IF(ISNUMBER(--MID(R863,2,1)),1,IF(ISNUMBER(--MID(R863,3,1)),2,IF(ISNUMBER(--MID(R863,4,1)),3,MIN(LEN(R863),4))))))</f>
        <v/>
      </c>
      <c r="T863" s="0" t="str">
        <f aca="false">IF(E863="","",LEFT(R863,S863)&amp;REPT("0",4-S863)&amp;RIGHT("000"&amp;IFERROR(VALUE(MID(R863,S863+1,9)),0),3)&amp;RIGHT("0000"&amp;IFERROR(VALUE(MID(E863,FIND("-",E863)+1,9)),0),4))</f>
        <v/>
      </c>
      <c r="U863" s="0" t="str">
        <f aca="false">IF(I863=1,"K"&amp;RIGHT("00"&amp;A863,2)&amp;T863&amp;RIGHT("00000"&amp;ROW(),5),"")</f>
        <v/>
      </c>
      <c r="V863" s="0" t="str">
        <f aca="false">IF(U863="","",COUNTIFS($I$2:$I$1201,1,$U$2:$U$1201,"&lt;"&amp;U863)+1)</f>
        <v/>
      </c>
    </row>
    <row r="864" customFormat="false" ht="15" hidden="false" customHeight="false" outlineLevel="0" collapsed="false">
      <c r="A864" s="0" t="n">
        <v>15</v>
      </c>
      <c r="B864" s="0" t="n">
        <v>23</v>
      </c>
      <c r="C864" s="0" t="str">
        <f aca="false">TRIM(SUBSTITUTE(INDEX(LISTAS!$A$4:$T$63,B864,A864)&amp;"",CHAR(160)," "))</f>
        <v/>
      </c>
      <c r="D864" s="0" t="str">
        <f aca="false">IF(C864="","",TRIM(RIGHT(SUBSTITUTE(C864," ",REPT(" ",100)),100)))</f>
        <v/>
      </c>
      <c r="E864" s="0" t="str">
        <f aca="false">IF(D864="","",UPPER(SUBSTITUTE(SUBSTITUTE(D864,"(",""),")","")))</f>
        <v/>
      </c>
      <c r="F864" s="0" t="str">
        <f aca="false">IF(C864="","",LEFT(C864,FIND(" ",C864&amp;" ")-1))</f>
        <v/>
      </c>
      <c r="G864" s="0" t="n">
        <f aca="false">IFERROR(VALUE(SUBSTITUTE(LOWER(F864),"x","")),0)</f>
        <v>0</v>
      </c>
      <c r="H864" s="0" t="str">
        <f aca="false">IF(C864="","",TRIM(MID(C864,LEN(F864)+2,999)))</f>
        <v/>
      </c>
      <c r="I864" s="0" t="n">
        <f aca="false">IF(OR(C864="",LEFT(C864,2)="//"),0,IFERROR(IF(AND(G864&gt;0,G864=INT(G864),FIND("-",E864)&gt;1,NOT(EXACT(UPPER(LEFT(E864,1)),LOWER(LEFT(E864,1)))),ISNUMBER(VALUE(MID(E864,FIND("-",E864)+1,10)))),1,0),0))</f>
        <v>0</v>
      </c>
      <c r="J864" s="0" t="str">
        <f aca="false">IF(I864=1,TRIM(LEFT(H864,MAX(0,LEN(H864)-LEN(D864)))),"")</f>
        <v/>
      </c>
      <c r="K864" s="0" t="str">
        <f aca="false">INDEX($P$2:$P$21,A864)</f>
        <v>Deck 15</v>
      </c>
      <c r="L864" s="0" t="n">
        <f aca="false">IF(AND(C864&lt;&gt;"",LEFT(C864,2)&lt;&gt;"//",I864=0),1,0)</f>
        <v>0</v>
      </c>
      <c r="M864" s="0" t="str">
        <f aca="false">IF(I864=1,MAX(M$1:M863)+1,"")</f>
        <v/>
      </c>
      <c r="N864" s="0" t="str">
        <f aca="false">IFERROR(MATCH(ROW()-1,$V$2:$V$1201,0),"")</f>
        <v/>
      </c>
      <c r="R864" s="0" t="str">
        <f aca="false">IF(E864="","",IFERROR(LEFT(E864,FIND("-",E864)-1),E864))</f>
        <v/>
      </c>
      <c r="S864" s="0" t="str">
        <f aca="false">IF(R864="","",IF(ISNUMBER(--MID(R864,1,1)),0,IF(ISNUMBER(--MID(R864,2,1)),1,IF(ISNUMBER(--MID(R864,3,1)),2,IF(ISNUMBER(--MID(R864,4,1)),3,MIN(LEN(R864),4))))))</f>
        <v/>
      </c>
      <c r="T864" s="0" t="str">
        <f aca="false">IF(E864="","",LEFT(R864,S864)&amp;REPT("0",4-S864)&amp;RIGHT("000"&amp;IFERROR(VALUE(MID(R864,S864+1,9)),0),3)&amp;RIGHT("0000"&amp;IFERROR(VALUE(MID(E864,FIND("-",E864)+1,9)),0),4))</f>
        <v/>
      </c>
      <c r="U864" s="0" t="str">
        <f aca="false">IF(I864=1,"K"&amp;RIGHT("00"&amp;A864,2)&amp;T864&amp;RIGHT("00000"&amp;ROW(),5),"")</f>
        <v/>
      </c>
      <c r="V864" s="0" t="str">
        <f aca="false">IF(U864="","",COUNTIFS($I$2:$I$1201,1,$U$2:$U$1201,"&lt;"&amp;U864)+1)</f>
        <v/>
      </c>
    </row>
    <row r="865" customFormat="false" ht="15" hidden="false" customHeight="false" outlineLevel="0" collapsed="false">
      <c r="A865" s="0" t="n">
        <v>15</v>
      </c>
      <c r="B865" s="0" t="n">
        <v>24</v>
      </c>
      <c r="C865" s="0" t="str">
        <f aca="false">TRIM(SUBSTITUTE(INDEX(LISTAS!$A$4:$T$63,B865,A865)&amp;"",CHAR(160)," "))</f>
        <v/>
      </c>
      <c r="D865" s="0" t="str">
        <f aca="false">IF(C865="","",TRIM(RIGHT(SUBSTITUTE(C865," ",REPT(" ",100)),100)))</f>
        <v/>
      </c>
      <c r="E865" s="0" t="str">
        <f aca="false">IF(D865="","",UPPER(SUBSTITUTE(SUBSTITUTE(D865,"(",""),")","")))</f>
        <v/>
      </c>
      <c r="F865" s="0" t="str">
        <f aca="false">IF(C865="","",LEFT(C865,FIND(" ",C865&amp;" ")-1))</f>
        <v/>
      </c>
      <c r="G865" s="0" t="n">
        <f aca="false">IFERROR(VALUE(SUBSTITUTE(LOWER(F865),"x","")),0)</f>
        <v>0</v>
      </c>
      <c r="H865" s="0" t="str">
        <f aca="false">IF(C865="","",TRIM(MID(C865,LEN(F865)+2,999)))</f>
        <v/>
      </c>
      <c r="I865" s="0" t="n">
        <f aca="false">IF(OR(C865="",LEFT(C865,2)="//"),0,IFERROR(IF(AND(G865&gt;0,G865=INT(G865),FIND("-",E865)&gt;1,NOT(EXACT(UPPER(LEFT(E865,1)),LOWER(LEFT(E865,1)))),ISNUMBER(VALUE(MID(E865,FIND("-",E865)+1,10)))),1,0),0))</f>
        <v>0</v>
      </c>
      <c r="J865" s="0" t="str">
        <f aca="false">IF(I865=1,TRIM(LEFT(H865,MAX(0,LEN(H865)-LEN(D865)))),"")</f>
        <v/>
      </c>
      <c r="K865" s="0" t="str">
        <f aca="false">INDEX($P$2:$P$21,A865)</f>
        <v>Deck 15</v>
      </c>
      <c r="L865" s="0" t="n">
        <f aca="false">IF(AND(C865&lt;&gt;"",LEFT(C865,2)&lt;&gt;"//",I865=0),1,0)</f>
        <v>0</v>
      </c>
      <c r="M865" s="0" t="str">
        <f aca="false">IF(I865=1,MAX(M$1:M864)+1,"")</f>
        <v/>
      </c>
      <c r="N865" s="0" t="str">
        <f aca="false">IFERROR(MATCH(ROW()-1,$V$2:$V$1201,0),"")</f>
        <v/>
      </c>
      <c r="R865" s="0" t="str">
        <f aca="false">IF(E865="","",IFERROR(LEFT(E865,FIND("-",E865)-1),E865))</f>
        <v/>
      </c>
      <c r="S865" s="0" t="str">
        <f aca="false">IF(R865="","",IF(ISNUMBER(--MID(R865,1,1)),0,IF(ISNUMBER(--MID(R865,2,1)),1,IF(ISNUMBER(--MID(R865,3,1)),2,IF(ISNUMBER(--MID(R865,4,1)),3,MIN(LEN(R865),4))))))</f>
        <v/>
      </c>
      <c r="T865" s="0" t="str">
        <f aca="false">IF(E865="","",LEFT(R865,S865)&amp;REPT("0",4-S865)&amp;RIGHT("000"&amp;IFERROR(VALUE(MID(R865,S865+1,9)),0),3)&amp;RIGHT("0000"&amp;IFERROR(VALUE(MID(E865,FIND("-",E865)+1,9)),0),4))</f>
        <v/>
      </c>
      <c r="U865" s="0" t="str">
        <f aca="false">IF(I865=1,"K"&amp;RIGHT("00"&amp;A865,2)&amp;T865&amp;RIGHT("00000"&amp;ROW(),5),"")</f>
        <v/>
      </c>
      <c r="V865" s="0" t="str">
        <f aca="false">IF(U865="","",COUNTIFS($I$2:$I$1201,1,$U$2:$U$1201,"&lt;"&amp;U865)+1)</f>
        <v/>
      </c>
    </row>
    <row r="866" customFormat="false" ht="15" hidden="false" customHeight="false" outlineLevel="0" collapsed="false">
      <c r="A866" s="0" t="n">
        <v>15</v>
      </c>
      <c r="B866" s="0" t="n">
        <v>25</v>
      </c>
      <c r="C866" s="0" t="str">
        <f aca="false">TRIM(SUBSTITUTE(INDEX(LISTAS!$A$4:$T$63,B866,A866)&amp;"",CHAR(160)," "))</f>
        <v/>
      </c>
      <c r="D866" s="0" t="str">
        <f aca="false">IF(C866="","",TRIM(RIGHT(SUBSTITUTE(C866," ",REPT(" ",100)),100)))</f>
        <v/>
      </c>
      <c r="E866" s="0" t="str">
        <f aca="false">IF(D866="","",UPPER(SUBSTITUTE(SUBSTITUTE(D866,"(",""),")","")))</f>
        <v/>
      </c>
      <c r="F866" s="0" t="str">
        <f aca="false">IF(C866="","",LEFT(C866,FIND(" ",C866&amp;" ")-1))</f>
        <v/>
      </c>
      <c r="G866" s="0" t="n">
        <f aca="false">IFERROR(VALUE(SUBSTITUTE(LOWER(F866),"x","")),0)</f>
        <v>0</v>
      </c>
      <c r="H866" s="0" t="str">
        <f aca="false">IF(C866="","",TRIM(MID(C866,LEN(F866)+2,999)))</f>
        <v/>
      </c>
      <c r="I866" s="0" t="n">
        <f aca="false">IF(OR(C866="",LEFT(C866,2)="//"),0,IFERROR(IF(AND(G866&gt;0,G866=INT(G866),FIND("-",E866)&gt;1,NOT(EXACT(UPPER(LEFT(E866,1)),LOWER(LEFT(E866,1)))),ISNUMBER(VALUE(MID(E866,FIND("-",E866)+1,10)))),1,0),0))</f>
        <v>0</v>
      </c>
      <c r="J866" s="0" t="str">
        <f aca="false">IF(I866=1,TRIM(LEFT(H866,MAX(0,LEN(H866)-LEN(D866)))),"")</f>
        <v/>
      </c>
      <c r="K866" s="0" t="str">
        <f aca="false">INDEX($P$2:$P$21,A866)</f>
        <v>Deck 15</v>
      </c>
      <c r="L866" s="0" t="n">
        <f aca="false">IF(AND(C866&lt;&gt;"",LEFT(C866,2)&lt;&gt;"//",I866=0),1,0)</f>
        <v>0</v>
      </c>
      <c r="M866" s="0" t="str">
        <f aca="false">IF(I866=1,MAX(M$1:M865)+1,"")</f>
        <v/>
      </c>
      <c r="N866" s="0" t="str">
        <f aca="false">IFERROR(MATCH(ROW()-1,$V$2:$V$1201,0),"")</f>
        <v/>
      </c>
      <c r="R866" s="0" t="str">
        <f aca="false">IF(E866="","",IFERROR(LEFT(E866,FIND("-",E866)-1),E866))</f>
        <v/>
      </c>
      <c r="S866" s="0" t="str">
        <f aca="false">IF(R866="","",IF(ISNUMBER(--MID(R866,1,1)),0,IF(ISNUMBER(--MID(R866,2,1)),1,IF(ISNUMBER(--MID(R866,3,1)),2,IF(ISNUMBER(--MID(R866,4,1)),3,MIN(LEN(R866),4))))))</f>
        <v/>
      </c>
      <c r="T866" s="0" t="str">
        <f aca="false">IF(E866="","",LEFT(R866,S866)&amp;REPT("0",4-S866)&amp;RIGHT("000"&amp;IFERROR(VALUE(MID(R866,S866+1,9)),0),3)&amp;RIGHT("0000"&amp;IFERROR(VALUE(MID(E866,FIND("-",E866)+1,9)),0),4))</f>
        <v/>
      </c>
      <c r="U866" s="0" t="str">
        <f aca="false">IF(I866=1,"K"&amp;RIGHT("00"&amp;A866,2)&amp;T866&amp;RIGHT("00000"&amp;ROW(),5),"")</f>
        <v/>
      </c>
      <c r="V866" s="0" t="str">
        <f aca="false">IF(U866="","",COUNTIFS($I$2:$I$1201,1,$U$2:$U$1201,"&lt;"&amp;U866)+1)</f>
        <v/>
      </c>
    </row>
    <row r="867" customFormat="false" ht="15" hidden="false" customHeight="false" outlineLevel="0" collapsed="false">
      <c r="A867" s="0" t="n">
        <v>15</v>
      </c>
      <c r="B867" s="0" t="n">
        <v>26</v>
      </c>
      <c r="C867" s="0" t="str">
        <f aca="false">TRIM(SUBSTITUTE(INDEX(LISTAS!$A$4:$T$63,B867,A867)&amp;"",CHAR(160)," "))</f>
        <v/>
      </c>
      <c r="D867" s="0" t="str">
        <f aca="false">IF(C867="","",TRIM(RIGHT(SUBSTITUTE(C867," ",REPT(" ",100)),100)))</f>
        <v/>
      </c>
      <c r="E867" s="0" t="str">
        <f aca="false">IF(D867="","",UPPER(SUBSTITUTE(SUBSTITUTE(D867,"(",""),")","")))</f>
        <v/>
      </c>
      <c r="F867" s="0" t="str">
        <f aca="false">IF(C867="","",LEFT(C867,FIND(" ",C867&amp;" ")-1))</f>
        <v/>
      </c>
      <c r="G867" s="0" t="n">
        <f aca="false">IFERROR(VALUE(SUBSTITUTE(LOWER(F867),"x","")),0)</f>
        <v>0</v>
      </c>
      <c r="H867" s="0" t="str">
        <f aca="false">IF(C867="","",TRIM(MID(C867,LEN(F867)+2,999)))</f>
        <v/>
      </c>
      <c r="I867" s="0" t="n">
        <f aca="false">IF(OR(C867="",LEFT(C867,2)="//"),0,IFERROR(IF(AND(G867&gt;0,G867=INT(G867),FIND("-",E867)&gt;1,NOT(EXACT(UPPER(LEFT(E867,1)),LOWER(LEFT(E867,1)))),ISNUMBER(VALUE(MID(E867,FIND("-",E867)+1,10)))),1,0),0))</f>
        <v>0</v>
      </c>
      <c r="J867" s="0" t="str">
        <f aca="false">IF(I867=1,TRIM(LEFT(H867,MAX(0,LEN(H867)-LEN(D867)))),"")</f>
        <v/>
      </c>
      <c r="K867" s="0" t="str">
        <f aca="false">INDEX($P$2:$P$21,A867)</f>
        <v>Deck 15</v>
      </c>
      <c r="L867" s="0" t="n">
        <f aca="false">IF(AND(C867&lt;&gt;"",LEFT(C867,2)&lt;&gt;"//",I867=0),1,0)</f>
        <v>0</v>
      </c>
      <c r="M867" s="0" t="str">
        <f aca="false">IF(I867=1,MAX(M$1:M866)+1,"")</f>
        <v/>
      </c>
      <c r="N867" s="0" t="str">
        <f aca="false">IFERROR(MATCH(ROW()-1,$V$2:$V$1201,0),"")</f>
        <v/>
      </c>
      <c r="R867" s="0" t="str">
        <f aca="false">IF(E867="","",IFERROR(LEFT(E867,FIND("-",E867)-1),E867))</f>
        <v/>
      </c>
      <c r="S867" s="0" t="str">
        <f aca="false">IF(R867="","",IF(ISNUMBER(--MID(R867,1,1)),0,IF(ISNUMBER(--MID(R867,2,1)),1,IF(ISNUMBER(--MID(R867,3,1)),2,IF(ISNUMBER(--MID(R867,4,1)),3,MIN(LEN(R867),4))))))</f>
        <v/>
      </c>
      <c r="T867" s="0" t="str">
        <f aca="false">IF(E867="","",LEFT(R867,S867)&amp;REPT("0",4-S867)&amp;RIGHT("000"&amp;IFERROR(VALUE(MID(R867,S867+1,9)),0),3)&amp;RIGHT("0000"&amp;IFERROR(VALUE(MID(E867,FIND("-",E867)+1,9)),0),4))</f>
        <v/>
      </c>
      <c r="U867" s="0" t="str">
        <f aca="false">IF(I867=1,"K"&amp;RIGHT("00"&amp;A867,2)&amp;T867&amp;RIGHT("00000"&amp;ROW(),5),"")</f>
        <v/>
      </c>
      <c r="V867" s="0" t="str">
        <f aca="false">IF(U867="","",COUNTIFS($I$2:$I$1201,1,$U$2:$U$1201,"&lt;"&amp;U867)+1)</f>
        <v/>
      </c>
    </row>
    <row r="868" customFormat="false" ht="15" hidden="false" customHeight="false" outlineLevel="0" collapsed="false">
      <c r="A868" s="0" t="n">
        <v>15</v>
      </c>
      <c r="B868" s="0" t="n">
        <v>27</v>
      </c>
      <c r="C868" s="0" t="str">
        <f aca="false">TRIM(SUBSTITUTE(INDEX(LISTAS!$A$4:$T$63,B868,A868)&amp;"",CHAR(160)," "))</f>
        <v/>
      </c>
      <c r="D868" s="0" t="str">
        <f aca="false">IF(C868="","",TRIM(RIGHT(SUBSTITUTE(C868," ",REPT(" ",100)),100)))</f>
        <v/>
      </c>
      <c r="E868" s="0" t="str">
        <f aca="false">IF(D868="","",UPPER(SUBSTITUTE(SUBSTITUTE(D868,"(",""),")","")))</f>
        <v/>
      </c>
      <c r="F868" s="0" t="str">
        <f aca="false">IF(C868="","",LEFT(C868,FIND(" ",C868&amp;" ")-1))</f>
        <v/>
      </c>
      <c r="G868" s="0" t="n">
        <f aca="false">IFERROR(VALUE(SUBSTITUTE(LOWER(F868),"x","")),0)</f>
        <v>0</v>
      </c>
      <c r="H868" s="0" t="str">
        <f aca="false">IF(C868="","",TRIM(MID(C868,LEN(F868)+2,999)))</f>
        <v/>
      </c>
      <c r="I868" s="0" t="n">
        <f aca="false">IF(OR(C868="",LEFT(C868,2)="//"),0,IFERROR(IF(AND(G868&gt;0,G868=INT(G868),FIND("-",E868)&gt;1,NOT(EXACT(UPPER(LEFT(E868,1)),LOWER(LEFT(E868,1)))),ISNUMBER(VALUE(MID(E868,FIND("-",E868)+1,10)))),1,0),0))</f>
        <v>0</v>
      </c>
      <c r="J868" s="0" t="str">
        <f aca="false">IF(I868=1,TRIM(LEFT(H868,MAX(0,LEN(H868)-LEN(D868)))),"")</f>
        <v/>
      </c>
      <c r="K868" s="0" t="str">
        <f aca="false">INDEX($P$2:$P$21,A868)</f>
        <v>Deck 15</v>
      </c>
      <c r="L868" s="0" t="n">
        <f aca="false">IF(AND(C868&lt;&gt;"",LEFT(C868,2)&lt;&gt;"//",I868=0),1,0)</f>
        <v>0</v>
      </c>
      <c r="M868" s="0" t="str">
        <f aca="false">IF(I868=1,MAX(M$1:M867)+1,"")</f>
        <v/>
      </c>
      <c r="N868" s="0" t="str">
        <f aca="false">IFERROR(MATCH(ROW()-1,$V$2:$V$1201,0),"")</f>
        <v/>
      </c>
      <c r="R868" s="0" t="str">
        <f aca="false">IF(E868="","",IFERROR(LEFT(E868,FIND("-",E868)-1),E868))</f>
        <v/>
      </c>
      <c r="S868" s="0" t="str">
        <f aca="false">IF(R868="","",IF(ISNUMBER(--MID(R868,1,1)),0,IF(ISNUMBER(--MID(R868,2,1)),1,IF(ISNUMBER(--MID(R868,3,1)),2,IF(ISNUMBER(--MID(R868,4,1)),3,MIN(LEN(R868),4))))))</f>
        <v/>
      </c>
      <c r="T868" s="0" t="str">
        <f aca="false">IF(E868="","",LEFT(R868,S868)&amp;REPT("0",4-S868)&amp;RIGHT("000"&amp;IFERROR(VALUE(MID(R868,S868+1,9)),0),3)&amp;RIGHT("0000"&amp;IFERROR(VALUE(MID(E868,FIND("-",E868)+1,9)),0),4))</f>
        <v/>
      </c>
      <c r="U868" s="0" t="str">
        <f aca="false">IF(I868=1,"K"&amp;RIGHT("00"&amp;A868,2)&amp;T868&amp;RIGHT("00000"&amp;ROW(),5),"")</f>
        <v/>
      </c>
      <c r="V868" s="0" t="str">
        <f aca="false">IF(U868="","",COUNTIFS($I$2:$I$1201,1,$U$2:$U$1201,"&lt;"&amp;U868)+1)</f>
        <v/>
      </c>
    </row>
    <row r="869" customFormat="false" ht="15" hidden="false" customHeight="false" outlineLevel="0" collapsed="false">
      <c r="A869" s="0" t="n">
        <v>15</v>
      </c>
      <c r="B869" s="0" t="n">
        <v>28</v>
      </c>
      <c r="C869" s="0" t="str">
        <f aca="false">TRIM(SUBSTITUTE(INDEX(LISTAS!$A$4:$T$63,B869,A869)&amp;"",CHAR(160)," "))</f>
        <v/>
      </c>
      <c r="D869" s="0" t="str">
        <f aca="false">IF(C869="","",TRIM(RIGHT(SUBSTITUTE(C869," ",REPT(" ",100)),100)))</f>
        <v/>
      </c>
      <c r="E869" s="0" t="str">
        <f aca="false">IF(D869="","",UPPER(SUBSTITUTE(SUBSTITUTE(D869,"(",""),")","")))</f>
        <v/>
      </c>
      <c r="F869" s="0" t="str">
        <f aca="false">IF(C869="","",LEFT(C869,FIND(" ",C869&amp;" ")-1))</f>
        <v/>
      </c>
      <c r="G869" s="0" t="n">
        <f aca="false">IFERROR(VALUE(SUBSTITUTE(LOWER(F869),"x","")),0)</f>
        <v>0</v>
      </c>
      <c r="H869" s="0" t="str">
        <f aca="false">IF(C869="","",TRIM(MID(C869,LEN(F869)+2,999)))</f>
        <v/>
      </c>
      <c r="I869" s="0" t="n">
        <f aca="false">IF(OR(C869="",LEFT(C869,2)="//"),0,IFERROR(IF(AND(G869&gt;0,G869=INT(G869),FIND("-",E869)&gt;1,NOT(EXACT(UPPER(LEFT(E869,1)),LOWER(LEFT(E869,1)))),ISNUMBER(VALUE(MID(E869,FIND("-",E869)+1,10)))),1,0),0))</f>
        <v>0</v>
      </c>
      <c r="J869" s="0" t="str">
        <f aca="false">IF(I869=1,TRIM(LEFT(H869,MAX(0,LEN(H869)-LEN(D869)))),"")</f>
        <v/>
      </c>
      <c r="K869" s="0" t="str">
        <f aca="false">INDEX($P$2:$P$21,A869)</f>
        <v>Deck 15</v>
      </c>
      <c r="L869" s="0" t="n">
        <f aca="false">IF(AND(C869&lt;&gt;"",LEFT(C869,2)&lt;&gt;"//",I869=0),1,0)</f>
        <v>0</v>
      </c>
      <c r="M869" s="0" t="str">
        <f aca="false">IF(I869=1,MAX(M$1:M868)+1,"")</f>
        <v/>
      </c>
      <c r="N869" s="0" t="str">
        <f aca="false">IFERROR(MATCH(ROW()-1,$V$2:$V$1201,0),"")</f>
        <v/>
      </c>
      <c r="R869" s="0" t="str">
        <f aca="false">IF(E869="","",IFERROR(LEFT(E869,FIND("-",E869)-1),E869))</f>
        <v/>
      </c>
      <c r="S869" s="0" t="str">
        <f aca="false">IF(R869="","",IF(ISNUMBER(--MID(R869,1,1)),0,IF(ISNUMBER(--MID(R869,2,1)),1,IF(ISNUMBER(--MID(R869,3,1)),2,IF(ISNUMBER(--MID(R869,4,1)),3,MIN(LEN(R869),4))))))</f>
        <v/>
      </c>
      <c r="T869" s="0" t="str">
        <f aca="false">IF(E869="","",LEFT(R869,S869)&amp;REPT("0",4-S869)&amp;RIGHT("000"&amp;IFERROR(VALUE(MID(R869,S869+1,9)),0),3)&amp;RIGHT("0000"&amp;IFERROR(VALUE(MID(E869,FIND("-",E869)+1,9)),0),4))</f>
        <v/>
      </c>
      <c r="U869" s="0" t="str">
        <f aca="false">IF(I869=1,"K"&amp;RIGHT("00"&amp;A869,2)&amp;T869&amp;RIGHT("00000"&amp;ROW(),5),"")</f>
        <v/>
      </c>
      <c r="V869" s="0" t="str">
        <f aca="false">IF(U869="","",COUNTIFS($I$2:$I$1201,1,$U$2:$U$1201,"&lt;"&amp;U869)+1)</f>
        <v/>
      </c>
    </row>
    <row r="870" customFormat="false" ht="15" hidden="false" customHeight="false" outlineLevel="0" collapsed="false">
      <c r="A870" s="0" t="n">
        <v>15</v>
      </c>
      <c r="B870" s="0" t="n">
        <v>29</v>
      </c>
      <c r="C870" s="0" t="str">
        <f aca="false">TRIM(SUBSTITUTE(INDEX(LISTAS!$A$4:$T$63,B870,A870)&amp;"",CHAR(160)," "))</f>
        <v/>
      </c>
      <c r="D870" s="0" t="str">
        <f aca="false">IF(C870="","",TRIM(RIGHT(SUBSTITUTE(C870," ",REPT(" ",100)),100)))</f>
        <v/>
      </c>
      <c r="E870" s="0" t="str">
        <f aca="false">IF(D870="","",UPPER(SUBSTITUTE(SUBSTITUTE(D870,"(",""),")","")))</f>
        <v/>
      </c>
      <c r="F870" s="0" t="str">
        <f aca="false">IF(C870="","",LEFT(C870,FIND(" ",C870&amp;" ")-1))</f>
        <v/>
      </c>
      <c r="G870" s="0" t="n">
        <f aca="false">IFERROR(VALUE(SUBSTITUTE(LOWER(F870),"x","")),0)</f>
        <v>0</v>
      </c>
      <c r="H870" s="0" t="str">
        <f aca="false">IF(C870="","",TRIM(MID(C870,LEN(F870)+2,999)))</f>
        <v/>
      </c>
      <c r="I870" s="0" t="n">
        <f aca="false">IF(OR(C870="",LEFT(C870,2)="//"),0,IFERROR(IF(AND(G870&gt;0,G870=INT(G870),FIND("-",E870)&gt;1,NOT(EXACT(UPPER(LEFT(E870,1)),LOWER(LEFT(E870,1)))),ISNUMBER(VALUE(MID(E870,FIND("-",E870)+1,10)))),1,0),0))</f>
        <v>0</v>
      </c>
      <c r="J870" s="0" t="str">
        <f aca="false">IF(I870=1,TRIM(LEFT(H870,MAX(0,LEN(H870)-LEN(D870)))),"")</f>
        <v/>
      </c>
      <c r="K870" s="0" t="str">
        <f aca="false">INDEX($P$2:$P$21,A870)</f>
        <v>Deck 15</v>
      </c>
      <c r="L870" s="0" t="n">
        <f aca="false">IF(AND(C870&lt;&gt;"",LEFT(C870,2)&lt;&gt;"//",I870=0),1,0)</f>
        <v>0</v>
      </c>
      <c r="M870" s="0" t="str">
        <f aca="false">IF(I870=1,MAX(M$1:M869)+1,"")</f>
        <v/>
      </c>
      <c r="N870" s="0" t="str">
        <f aca="false">IFERROR(MATCH(ROW()-1,$V$2:$V$1201,0),"")</f>
        <v/>
      </c>
      <c r="R870" s="0" t="str">
        <f aca="false">IF(E870="","",IFERROR(LEFT(E870,FIND("-",E870)-1),E870))</f>
        <v/>
      </c>
      <c r="S870" s="0" t="str">
        <f aca="false">IF(R870="","",IF(ISNUMBER(--MID(R870,1,1)),0,IF(ISNUMBER(--MID(R870,2,1)),1,IF(ISNUMBER(--MID(R870,3,1)),2,IF(ISNUMBER(--MID(R870,4,1)),3,MIN(LEN(R870),4))))))</f>
        <v/>
      </c>
      <c r="T870" s="0" t="str">
        <f aca="false">IF(E870="","",LEFT(R870,S870)&amp;REPT("0",4-S870)&amp;RIGHT("000"&amp;IFERROR(VALUE(MID(R870,S870+1,9)),0),3)&amp;RIGHT("0000"&amp;IFERROR(VALUE(MID(E870,FIND("-",E870)+1,9)),0),4))</f>
        <v/>
      </c>
      <c r="U870" s="0" t="str">
        <f aca="false">IF(I870=1,"K"&amp;RIGHT("00"&amp;A870,2)&amp;T870&amp;RIGHT("00000"&amp;ROW(),5),"")</f>
        <v/>
      </c>
      <c r="V870" s="0" t="str">
        <f aca="false">IF(U870="","",COUNTIFS($I$2:$I$1201,1,$U$2:$U$1201,"&lt;"&amp;U870)+1)</f>
        <v/>
      </c>
    </row>
    <row r="871" customFormat="false" ht="15" hidden="false" customHeight="false" outlineLevel="0" collapsed="false">
      <c r="A871" s="0" t="n">
        <v>15</v>
      </c>
      <c r="B871" s="0" t="n">
        <v>30</v>
      </c>
      <c r="C871" s="0" t="str">
        <f aca="false">TRIM(SUBSTITUTE(INDEX(LISTAS!$A$4:$T$63,B871,A871)&amp;"",CHAR(160)," "))</f>
        <v/>
      </c>
      <c r="D871" s="0" t="str">
        <f aca="false">IF(C871="","",TRIM(RIGHT(SUBSTITUTE(C871," ",REPT(" ",100)),100)))</f>
        <v/>
      </c>
      <c r="E871" s="0" t="str">
        <f aca="false">IF(D871="","",UPPER(SUBSTITUTE(SUBSTITUTE(D871,"(",""),")","")))</f>
        <v/>
      </c>
      <c r="F871" s="0" t="str">
        <f aca="false">IF(C871="","",LEFT(C871,FIND(" ",C871&amp;" ")-1))</f>
        <v/>
      </c>
      <c r="G871" s="0" t="n">
        <f aca="false">IFERROR(VALUE(SUBSTITUTE(LOWER(F871),"x","")),0)</f>
        <v>0</v>
      </c>
      <c r="H871" s="0" t="str">
        <f aca="false">IF(C871="","",TRIM(MID(C871,LEN(F871)+2,999)))</f>
        <v/>
      </c>
      <c r="I871" s="0" t="n">
        <f aca="false">IF(OR(C871="",LEFT(C871,2)="//"),0,IFERROR(IF(AND(G871&gt;0,G871=INT(G871),FIND("-",E871)&gt;1,NOT(EXACT(UPPER(LEFT(E871,1)),LOWER(LEFT(E871,1)))),ISNUMBER(VALUE(MID(E871,FIND("-",E871)+1,10)))),1,0),0))</f>
        <v>0</v>
      </c>
      <c r="J871" s="0" t="str">
        <f aca="false">IF(I871=1,TRIM(LEFT(H871,MAX(0,LEN(H871)-LEN(D871)))),"")</f>
        <v/>
      </c>
      <c r="K871" s="0" t="str">
        <f aca="false">INDEX($P$2:$P$21,A871)</f>
        <v>Deck 15</v>
      </c>
      <c r="L871" s="0" t="n">
        <f aca="false">IF(AND(C871&lt;&gt;"",LEFT(C871,2)&lt;&gt;"//",I871=0),1,0)</f>
        <v>0</v>
      </c>
      <c r="M871" s="0" t="str">
        <f aca="false">IF(I871=1,MAX(M$1:M870)+1,"")</f>
        <v/>
      </c>
      <c r="N871" s="0" t="str">
        <f aca="false">IFERROR(MATCH(ROW()-1,$V$2:$V$1201,0),"")</f>
        <v/>
      </c>
      <c r="R871" s="0" t="str">
        <f aca="false">IF(E871="","",IFERROR(LEFT(E871,FIND("-",E871)-1),E871))</f>
        <v/>
      </c>
      <c r="S871" s="0" t="str">
        <f aca="false">IF(R871="","",IF(ISNUMBER(--MID(R871,1,1)),0,IF(ISNUMBER(--MID(R871,2,1)),1,IF(ISNUMBER(--MID(R871,3,1)),2,IF(ISNUMBER(--MID(R871,4,1)),3,MIN(LEN(R871),4))))))</f>
        <v/>
      </c>
      <c r="T871" s="0" t="str">
        <f aca="false">IF(E871="","",LEFT(R871,S871)&amp;REPT("0",4-S871)&amp;RIGHT("000"&amp;IFERROR(VALUE(MID(R871,S871+1,9)),0),3)&amp;RIGHT("0000"&amp;IFERROR(VALUE(MID(E871,FIND("-",E871)+1,9)),0),4))</f>
        <v/>
      </c>
      <c r="U871" s="0" t="str">
        <f aca="false">IF(I871=1,"K"&amp;RIGHT("00"&amp;A871,2)&amp;T871&amp;RIGHT("00000"&amp;ROW(),5),"")</f>
        <v/>
      </c>
      <c r="V871" s="0" t="str">
        <f aca="false">IF(U871="","",COUNTIFS($I$2:$I$1201,1,$U$2:$U$1201,"&lt;"&amp;U871)+1)</f>
        <v/>
      </c>
    </row>
    <row r="872" customFormat="false" ht="15" hidden="false" customHeight="false" outlineLevel="0" collapsed="false">
      <c r="A872" s="0" t="n">
        <v>15</v>
      </c>
      <c r="B872" s="0" t="n">
        <v>31</v>
      </c>
      <c r="C872" s="0" t="str">
        <f aca="false">TRIM(SUBSTITUTE(INDEX(LISTAS!$A$4:$T$63,B872,A872)&amp;"",CHAR(160)," "))</f>
        <v/>
      </c>
      <c r="D872" s="0" t="str">
        <f aca="false">IF(C872="","",TRIM(RIGHT(SUBSTITUTE(C872," ",REPT(" ",100)),100)))</f>
        <v/>
      </c>
      <c r="E872" s="0" t="str">
        <f aca="false">IF(D872="","",UPPER(SUBSTITUTE(SUBSTITUTE(D872,"(",""),")","")))</f>
        <v/>
      </c>
      <c r="F872" s="0" t="str">
        <f aca="false">IF(C872="","",LEFT(C872,FIND(" ",C872&amp;" ")-1))</f>
        <v/>
      </c>
      <c r="G872" s="0" t="n">
        <f aca="false">IFERROR(VALUE(SUBSTITUTE(LOWER(F872),"x","")),0)</f>
        <v>0</v>
      </c>
      <c r="H872" s="0" t="str">
        <f aca="false">IF(C872="","",TRIM(MID(C872,LEN(F872)+2,999)))</f>
        <v/>
      </c>
      <c r="I872" s="0" t="n">
        <f aca="false">IF(OR(C872="",LEFT(C872,2)="//"),0,IFERROR(IF(AND(G872&gt;0,G872=INT(G872),FIND("-",E872)&gt;1,NOT(EXACT(UPPER(LEFT(E872,1)),LOWER(LEFT(E872,1)))),ISNUMBER(VALUE(MID(E872,FIND("-",E872)+1,10)))),1,0),0))</f>
        <v>0</v>
      </c>
      <c r="J872" s="0" t="str">
        <f aca="false">IF(I872=1,TRIM(LEFT(H872,MAX(0,LEN(H872)-LEN(D872)))),"")</f>
        <v/>
      </c>
      <c r="K872" s="0" t="str">
        <f aca="false">INDEX($P$2:$P$21,A872)</f>
        <v>Deck 15</v>
      </c>
      <c r="L872" s="0" t="n">
        <f aca="false">IF(AND(C872&lt;&gt;"",LEFT(C872,2)&lt;&gt;"//",I872=0),1,0)</f>
        <v>0</v>
      </c>
      <c r="M872" s="0" t="str">
        <f aca="false">IF(I872=1,MAX(M$1:M871)+1,"")</f>
        <v/>
      </c>
      <c r="N872" s="0" t="str">
        <f aca="false">IFERROR(MATCH(ROW()-1,$V$2:$V$1201,0),"")</f>
        <v/>
      </c>
      <c r="R872" s="0" t="str">
        <f aca="false">IF(E872="","",IFERROR(LEFT(E872,FIND("-",E872)-1),E872))</f>
        <v/>
      </c>
      <c r="S872" s="0" t="str">
        <f aca="false">IF(R872="","",IF(ISNUMBER(--MID(R872,1,1)),0,IF(ISNUMBER(--MID(R872,2,1)),1,IF(ISNUMBER(--MID(R872,3,1)),2,IF(ISNUMBER(--MID(R872,4,1)),3,MIN(LEN(R872),4))))))</f>
        <v/>
      </c>
      <c r="T872" s="0" t="str">
        <f aca="false">IF(E872="","",LEFT(R872,S872)&amp;REPT("0",4-S872)&amp;RIGHT("000"&amp;IFERROR(VALUE(MID(R872,S872+1,9)),0),3)&amp;RIGHT("0000"&amp;IFERROR(VALUE(MID(E872,FIND("-",E872)+1,9)),0),4))</f>
        <v/>
      </c>
      <c r="U872" s="0" t="str">
        <f aca="false">IF(I872=1,"K"&amp;RIGHT("00"&amp;A872,2)&amp;T872&amp;RIGHT("00000"&amp;ROW(),5),"")</f>
        <v/>
      </c>
      <c r="V872" s="0" t="str">
        <f aca="false">IF(U872="","",COUNTIFS($I$2:$I$1201,1,$U$2:$U$1201,"&lt;"&amp;U872)+1)</f>
        <v/>
      </c>
    </row>
    <row r="873" customFormat="false" ht="15" hidden="false" customHeight="false" outlineLevel="0" collapsed="false">
      <c r="A873" s="0" t="n">
        <v>15</v>
      </c>
      <c r="B873" s="0" t="n">
        <v>32</v>
      </c>
      <c r="C873" s="0" t="str">
        <f aca="false">TRIM(SUBSTITUTE(INDEX(LISTAS!$A$4:$T$63,B873,A873)&amp;"",CHAR(160)," "))</f>
        <v/>
      </c>
      <c r="D873" s="0" t="str">
        <f aca="false">IF(C873="","",TRIM(RIGHT(SUBSTITUTE(C873," ",REPT(" ",100)),100)))</f>
        <v/>
      </c>
      <c r="E873" s="0" t="str">
        <f aca="false">IF(D873="","",UPPER(SUBSTITUTE(SUBSTITUTE(D873,"(",""),")","")))</f>
        <v/>
      </c>
      <c r="F873" s="0" t="str">
        <f aca="false">IF(C873="","",LEFT(C873,FIND(" ",C873&amp;" ")-1))</f>
        <v/>
      </c>
      <c r="G873" s="0" t="n">
        <f aca="false">IFERROR(VALUE(SUBSTITUTE(LOWER(F873),"x","")),0)</f>
        <v>0</v>
      </c>
      <c r="H873" s="0" t="str">
        <f aca="false">IF(C873="","",TRIM(MID(C873,LEN(F873)+2,999)))</f>
        <v/>
      </c>
      <c r="I873" s="0" t="n">
        <f aca="false">IF(OR(C873="",LEFT(C873,2)="//"),0,IFERROR(IF(AND(G873&gt;0,G873=INT(G873),FIND("-",E873)&gt;1,NOT(EXACT(UPPER(LEFT(E873,1)),LOWER(LEFT(E873,1)))),ISNUMBER(VALUE(MID(E873,FIND("-",E873)+1,10)))),1,0),0))</f>
        <v>0</v>
      </c>
      <c r="J873" s="0" t="str">
        <f aca="false">IF(I873=1,TRIM(LEFT(H873,MAX(0,LEN(H873)-LEN(D873)))),"")</f>
        <v/>
      </c>
      <c r="K873" s="0" t="str">
        <f aca="false">INDEX($P$2:$P$21,A873)</f>
        <v>Deck 15</v>
      </c>
      <c r="L873" s="0" t="n">
        <f aca="false">IF(AND(C873&lt;&gt;"",LEFT(C873,2)&lt;&gt;"//",I873=0),1,0)</f>
        <v>0</v>
      </c>
      <c r="M873" s="0" t="str">
        <f aca="false">IF(I873=1,MAX(M$1:M872)+1,"")</f>
        <v/>
      </c>
      <c r="N873" s="0" t="str">
        <f aca="false">IFERROR(MATCH(ROW()-1,$V$2:$V$1201,0),"")</f>
        <v/>
      </c>
      <c r="R873" s="0" t="str">
        <f aca="false">IF(E873="","",IFERROR(LEFT(E873,FIND("-",E873)-1),E873))</f>
        <v/>
      </c>
      <c r="S873" s="0" t="str">
        <f aca="false">IF(R873="","",IF(ISNUMBER(--MID(R873,1,1)),0,IF(ISNUMBER(--MID(R873,2,1)),1,IF(ISNUMBER(--MID(R873,3,1)),2,IF(ISNUMBER(--MID(R873,4,1)),3,MIN(LEN(R873),4))))))</f>
        <v/>
      </c>
      <c r="T873" s="0" t="str">
        <f aca="false">IF(E873="","",LEFT(R873,S873)&amp;REPT("0",4-S873)&amp;RIGHT("000"&amp;IFERROR(VALUE(MID(R873,S873+1,9)),0),3)&amp;RIGHT("0000"&amp;IFERROR(VALUE(MID(E873,FIND("-",E873)+1,9)),0),4))</f>
        <v/>
      </c>
      <c r="U873" s="0" t="str">
        <f aca="false">IF(I873=1,"K"&amp;RIGHT("00"&amp;A873,2)&amp;T873&amp;RIGHT("00000"&amp;ROW(),5),"")</f>
        <v/>
      </c>
      <c r="V873" s="0" t="str">
        <f aca="false">IF(U873="","",COUNTIFS($I$2:$I$1201,1,$U$2:$U$1201,"&lt;"&amp;U873)+1)</f>
        <v/>
      </c>
    </row>
    <row r="874" customFormat="false" ht="15" hidden="false" customHeight="false" outlineLevel="0" collapsed="false">
      <c r="A874" s="0" t="n">
        <v>15</v>
      </c>
      <c r="B874" s="0" t="n">
        <v>33</v>
      </c>
      <c r="C874" s="0" t="str">
        <f aca="false">TRIM(SUBSTITUTE(INDEX(LISTAS!$A$4:$T$63,B874,A874)&amp;"",CHAR(160)," "))</f>
        <v/>
      </c>
      <c r="D874" s="0" t="str">
        <f aca="false">IF(C874="","",TRIM(RIGHT(SUBSTITUTE(C874," ",REPT(" ",100)),100)))</f>
        <v/>
      </c>
      <c r="E874" s="0" t="str">
        <f aca="false">IF(D874="","",UPPER(SUBSTITUTE(SUBSTITUTE(D874,"(",""),")","")))</f>
        <v/>
      </c>
      <c r="F874" s="0" t="str">
        <f aca="false">IF(C874="","",LEFT(C874,FIND(" ",C874&amp;" ")-1))</f>
        <v/>
      </c>
      <c r="G874" s="0" t="n">
        <f aca="false">IFERROR(VALUE(SUBSTITUTE(LOWER(F874),"x","")),0)</f>
        <v>0</v>
      </c>
      <c r="H874" s="0" t="str">
        <f aca="false">IF(C874="","",TRIM(MID(C874,LEN(F874)+2,999)))</f>
        <v/>
      </c>
      <c r="I874" s="0" t="n">
        <f aca="false">IF(OR(C874="",LEFT(C874,2)="//"),0,IFERROR(IF(AND(G874&gt;0,G874=INT(G874),FIND("-",E874)&gt;1,NOT(EXACT(UPPER(LEFT(E874,1)),LOWER(LEFT(E874,1)))),ISNUMBER(VALUE(MID(E874,FIND("-",E874)+1,10)))),1,0),0))</f>
        <v>0</v>
      </c>
      <c r="J874" s="0" t="str">
        <f aca="false">IF(I874=1,TRIM(LEFT(H874,MAX(0,LEN(H874)-LEN(D874)))),"")</f>
        <v/>
      </c>
      <c r="K874" s="0" t="str">
        <f aca="false">INDEX($P$2:$P$21,A874)</f>
        <v>Deck 15</v>
      </c>
      <c r="L874" s="0" t="n">
        <f aca="false">IF(AND(C874&lt;&gt;"",LEFT(C874,2)&lt;&gt;"//",I874=0),1,0)</f>
        <v>0</v>
      </c>
      <c r="M874" s="0" t="str">
        <f aca="false">IF(I874=1,MAX(M$1:M873)+1,"")</f>
        <v/>
      </c>
      <c r="N874" s="0" t="str">
        <f aca="false">IFERROR(MATCH(ROW()-1,$V$2:$V$1201,0),"")</f>
        <v/>
      </c>
      <c r="R874" s="0" t="str">
        <f aca="false">IF(E874="","",IFERROR(LEFT(E874,FIND("-",E874)-1),E874))</f>
        <v/>
      </c>
      <c r="S874" s="0" t="str">
        <f aca="false">IF(R874="","",IF(ISNUMBER(--MID(R874,1,1)),0,IF(ISNUMBER(--MID(R874,2,1)),1,IF(ISNUMBER(--MID(R874,3,1)),2,IF(ISNUMBER(--MID(R874,4,1)),3,MIN(LEN(R874),4))))))</f>
        <v/>
      </c>
      <c r="T874" s="0" t="str">
        <f aca="false">IF(E874="","",LEFT(R874,S874)&amp;REPT("0",4-S874)&amp;RIGHT("000"&amp;IFERROR(VALUE(MID(R874,S874+1,9)),0),3)&amp;RIGHT("0000"&amp;IFERROR(VALUE(MID(E874,FIND("-",E874)+1,9)),0),4))</f>
        <v/>
      </c>
      <c r="U874" s="0" t="str">
        <f aca="false">IF(I874=1,"K"&amp;RIGHT("00"&amp;A874,2)&amp;T874&amp;RIGHT("00000"&amp;ROW(),5),"")</f>
        <v/>
      </c>
      <c r="V874" s="0" t="str">
        <f aca="false">IF(U874="","",COUNTIFS($I$2:$I$1201,1,$U$2:$U$1201,"&lt;"&amp;U874)+1)</f>
        <v/>
      </c>
    </row>
    <row r="875" customFormat="false" ht="15" hidden="false" customHeight="false" outlineLevel="0" collapsed="false">
      <c r="A875" s="0" t="n">
        <v>15</v>
      </c>
      <c r="B875" s="0" t="n">
        <v>34</v>
      </c>
      <c r="C875" s="0" t="str">
        <f aca="false">TRIM(SUBSTITUTE(INDEX(LISTAS!$A$4:$T$63,B875,A875)&amp;"",CHAR(160)," "))</f>
        <v/>
      </c>
      <c r="D875" s="0" t="str">
        <f aca="false">IF(C875="","",TRIM(RIGHT(SUBSTITUTE(C875," ",REPT(" ",100)),100)))</f>
        <v/>
      </c>
      <c r="E875" s="0" t="str">
        <f aca="false">IF(D875="","",UPPER(SUBSTITUTE(SUBSTITUTE(D875,"(",""),")","")))</f>
        <v/>
      </c>
      <c r="F875" s="0" t="str">
        <f aca="false">IF(C875="","",LEFT(C875,FIND(" ",C875&amp;" ")-1))</f>
        <v/>
      </c>
      <c r="G875" s="0" t="n">
        <f aca="false">IFERROR(VALUE(SUBSTITUTE(LOWER(F875),"x","")),0)</f>
        <v>0</v>
      </c>
      <c r="H875" s="0" t="str">
        <f aca="false">IF(C875="","",TRIM(MID(C875,LEN(F875)+2,999)))</f>
        <v/>
      </c>
      <c r="I875" s="0" t="n">
        <f aca="false">IF(OR(C875="",LEFT(C875,2)="//"),0,IFERROR(IF(AND(G875&gt;0,G875=INT(G875),FIND("-",E875)&gt;1,NOT(EXACT(UPPER(LEFT(E875,1)),LOWER(LEFT(E875,1)))),ISNUMBER(VALUE(MID(E875,FIND("-",E875)+1,10)))),1,0),0))</f>
        <v>0</v>
      </c>
      <c r="J875" s="0" t="str">
        <f aca="false">IF(I875=1,TRIM(LEFT(H875,MAX(0,LEN(H875)-LEN(D875)))),"")</f>
        <v/>
      </c>
      <c r="K875" s="0" t="str">
        <f aca="false">INDEX($P$2:$P$21,A875)</f>
        <v>Deck 15</v>
      </c>
      <c r="L875" s="0" t="n">
        <f aca="false">IF(AND(C875&lt;&gt;"",LEFT(C875,2)&lt;&gt;"//",I875=0),1,0)</f>
        <v>0</v>
      </c>
      <c r="M875" s="0" t="str">
        <f aca="false">IF(I875=1,MAX(M$1:M874)+1,"")</f>
        <v/>
      </c>
      <c r="N875" s="0" t="str">
        <f aca="false">IFERROR(MATCH(ROW()-1,$V$2:$V$1201,0),"")</f>
        <v/>
      </c>
      <c r="R875" s="0" t="str">
        <f aca="false">IF(E875="","",IFERROR(LEFT(E875,FIND("-",E875)-1),E875))</f>
        <v/>
      </c>
      <c r="S875" s="0" t="str">
        <f aca="false">IF(R875="","",IF(ISNUMBER(--MID(R875,1,1)),0,IF(ISNUMBER(--MID(R875,2,1)),1,IF(ISNUMBER(--MID(R875,3,1)),2,IF(ISNUMBER(--MID(R875,4,1)),3,MIN(LEN(R875),4))))))</f>
        <v/>
      </c>
      <c r="T875" s="0" t="str">
        <f aca="false">IF(E875="","",LEFT(R875,S875)&amp;REPT("0",4-S875)&amp;RIGHT("000"&amp;IFERROR(VALUE(MID(R875,S875+1,9)),0),3)&amp;RIGHT("0000"&amp;IFERROR(VALUE(MID(E875,FIND("-",E875)+1,9)),0),4))</f>
        <v/>
      </c>
      <c r="U875" s="0" t="str">
        <f aca="false">IF(I875=1,"K"&amp;RIGHT("00"&amp;A875,2)&amp;T875&amp;RIGHT("00000"&amp;ROW(),5),"")</f>
        <v/>
      </c>
      <c r="V875" s="0" t="str">
        <f aca="false">IF(U875="","",COUNTIFS($I$2:$I$1201,1,$U$2:$U$1201,"&lt;"&amp;U875)+1)</f>
        <v/>
      </c>
    </row>
    <row r="876" customFormat="false" ht="15" hidden="false" customHeight="false" outlineLevel="0" collapsed="false">
      <c r="A876" s="0" t="n">
        <v>15</v>
      </c>
      <c r="B876" s="0" t="n">
        <v>35</v>
      </c>
      <c r="C876" s="0" t="str">
        <f aca="false">TRIM(SUBSTITUTE(INDEX(LISTAS!$A$4:$T$63,B876,A876)&amp;"",CHAR(160)," "))</f>
        <v/>
      </c>
      <c r="D876" s="0" t="str">
        <f aca="false">IF(C876="","",TRIM(RIGHT(SUBSTITUTE(C876," ",REPT(" ",100)),100)))</f>
        <v/>
      </c>
      <c r="E876" s="0" t="str">
        <f aca="false">IF(D876="","",UPPER(SUBSTITUTE(SUBSTITUTE(D876,"(",""),")","")))</f>
        <v/>
      </c>
      <c r="F876" s="0" t="str">
        <f aca="false">IF(C876="","",LEFT(C876,FIND(" ",C876&amp;" ")-1))</f>
        <v/>
      </c>
      <c r="G876" s="0" t="n">
        <f aca="false">IFERROR(VALUE(SUBSTITUTE(LOWER(F876),"x","")),0)</f>
        <v>0</v>
      </c>
      <c r="H876" s="0" t="str">
        <f aca="false">IF(C876="","",TRIM(MID(C876,LEN(F876)+2,999)))</f>
        <v/>
      </c>
      <c r="I876" s="0" t="n">
        <f aca="false">IF(OR(C876="",LEFT(C876,2)="//"),0,IFERROR(IF(AND(G876&gt;0,G876=INT(G876),FIND("-",E876)&gt;1,NOT(EXACT(UPPER(LEFT(E876,1)),LOWER(LEFT(E876,1)))),ISNUMBER(VALUE(MID(E876,FIND("-",E876)+1,10)))),1,0),0))</f>
        <v>0</v>
      </c>
      <c r="J876" s="0" t="str">
        <f aca="false">IF(I876=1,TRIM(LEFT(H876,MAX(0,LEN(H876)-LEN(D876)))),"")</f>
        <v/>
      </c>
      <c r="K876" s="0" t="str">
        <f aca="false">INDEX($P$2:$P$21,A876)</f>
        <v>Deck 15</v>
      </c>
      <c r="L876" s="0" t="n">
        <f aca="false">IF(AND(C876&lt;&gt;"",LEFT(C876,2)&lt;&gt;"//",I876=0),1,0)</f>
        <v>0</v>
      </c>
      <c r="M876" s="0" t="str">
        <f aca="false">IF(I876=1,MAX(M$1:M875)+1,"")</f>
        <v/>
      </c>
      <c r="N876" s="0" t="str">
        <f aca="false">IFERROR(MATCH(ROW()-1,$V$2:$V$1201,0),"")</f>
        <v/>
      </c>
      <c r="R876" s="0" t="str">
        <f aca="false">IF(E876="","",IFERROR(LEFT(E876,FIND("-",E876)-1),E876))</f>
        <v/>
      </c>
      <c r="S876" s="0" t="str">
        <f aca="false">IF(R876="","",IF(ISNUMBER(--MID(R876,1,1)),0,IF(ISNUMBER(--MID(R876,2,1)),1,IF(ISNUMBER(--MID(R876,3,1)),2,IF(ISNUMBER(--MID(R876,4,1)),3,MIN(LEN(R876),4))))))</f>
        <v/>
      </c>
      <c r="T876" s="0" t="str">
        <f aca="false">IF(E876="","",LEFT(R876,S876)&amp;REPT("0",4-S876)&amp;RIGHT("000"&amp;IFERROR(VALUE(MID(R876,S876+1,9)),0),3)&amp;RIGHT("0000"&amp;IFERROR(VALUE(MID(E876,FIND("-",E876)+1,9)),0),4))</f>
        <v/>
      </c>
      <c r="U876" s="0" t="str">
        <f aca="false">IF(I876=1,"K"&amp;RIGHT("00"&amp;A876,2)&amp;T876&amp;RIGHT("00000"&amp;ROW(),5),"")</f>
        <v/>
      </c>
      <c r="V876" s="0" t="str">
        <f aca="false">IF(U876="","",COUNTIFS($I$2:$I$1201,1,$U$2:$U$1201,"&lt;"&amp;U876)+1)</f>
        <v/>
      </c>
    </row>
    <row r="877" customFormat="false" ht="15" hidden="false" customHeight="false" outlineLevel="0" collapsed="false">
      <c r="A877" s="0" t="n">
        <v>15</v>
      </c>
      <c r="B877" s="0" t="n">
        <v>36</v>
      </c>
      <c r="C877" s="0" t="str">
        <f aca="false">TRIM(SUBSTITUTE(INDEX(LISTAS!$A$4:$T$63,B877,A877)&amp;"",CHAR(160)," "))</f>
        <v/>
      </c>
      <c r="D877" s="0" t="str">
        <f aca="false">IF(C877="","",TRIM(RIGHT(SUBSTITUTE(C877," ",REPT(" ",100)),100)))</f>
        <v/>
      </c>
      <c r="E877" s="0" t="str">
        <f aca="false">IF(D877="","",UPPER(SUBSTITUTE(SUBSTITUTE(D877,"(",""),")","")))</f>
        <v/>
      </c>
      <c r="F877" s="0" t="str">
        <f aca="false">IF(C877="","",LEFT(C877,FIND(" ",C877&amp;" ")-1))</f>
        <v/>
      </c>
      <c r="G877" s="0" t="n">
        <f aca="false">IFERROR(VALUE(SUBSTITUTE(LOWER(F877),"x","")),0)</f>
        <v>0</v>
      </c>
      <c r="H877" s="0" t="str">
        <f aca="false">IF(C877="","",TRIM(MID(C877,LEN(F877)+2,999)))</f>
        <v/>
      </c>
      <c r="I877" s="0" t="n">
        <f aca="false">IF(OR(C877="",LEFT(C877,2)="//"),0,IFERROR(IF(AND(G877&gt;0,G877=INT(G877),FIND("-",E877)&gt;1,NOT(EXACT(UPPER(LEFT(E877,1)),LOWER(LEFT(E877,1)))),ISNUMBER(VALUE(MID(E877,FIND("-",E877)+1,10)))),1,0),0))</f>
        <v>0</v>
      </c>
      <c r="J877" s="0" t="str">
        <f aca="false">IF(I877=1,TRIM(LEFT(H877,MAX(0,LEN(H877)-LEN(D877)))),"")</f>
        <v/>
      </c>
      <c r="K877" s="0" t="str">
        <f aca="false">INDEX($P$2:$P$21,A877)</f>
        <v>Deck 15</v>
      </c>
      <c r="L877" s="0" t="n">
        <f aca="false">IF(AND(C877&lt;&gt;"",LEFT(C877,2)&lt;&gt;"//",I877=0),1,0)</f>
        <v>0</v>
      </c>
      <c r="M877" s="0" t="str">
        <f aca="false">IF(I877=1,MAX(M$1:M876)+1,"")</f>
        <v/>
      </c>
      <c r="N877" s="0" t="str">
        <f aca="false">IFERROR(MATCH(ROW()-1,$V$2:$V$1201,0),"")</f>
        <v/>
      </c>
      <c r="R877" s="0" t="str">
        <f aca="false">IF(E877="","",IFERROR(LEFT(E877,FIND("-",E877)-1),E877))</f>
        <v/>
      </c>
      <c r="S877" s="0" t="str">
        <f aca="false">IF(R877="","",IF(ISNUMBER(--MID(R877,1,1)),0,IF(ISNUMBER(--MID(R877,2,1)),1,IF(ISNUMBER(--MID(R877,3,1)),2,IF(ISNUMBER(--MID(R877,4,1)),3,MIN(LEN(R877),4))))))</f>
        <v/>
      </c>
      <c r="T877" s="0" t="str">
        <f aca="false">IF(E877="","",LEFT(R877,S877)&amp;REPT("0",4-S877)&amp;RIGHT("000"&amp;IFERROR(VALUE(MID(R877,S877+1,9)),0),3)&amp;RIGHT("0000"&amp;IFERROR(VALUE(MID(E877,FIND("-",E877)+1,9)),0),4))</f>
        <v/>
      </c>
      <c r="U877" s="0" t="str">
        <f aca="false">IF(I877=1,"K"&amp;RIGHT("00"&amp;A877,2)&amp;T877&amp;RIGHT("00000"&amp;ROW(),5),"")</f>
        <v/>
      </c>
      <c r="V877" s="0" t="str">
        <f aca="false">IF(U877="","",COUNTIFS($I$2:$I$1201,1,$U$2:$U$1201,"&lt;"&amp;U877)+1)</f>
        <v/>
      </c>
    </row>
    <row r="878" customFormat="false" ht="15" hidden="false" customHeight="false" outlineLevel="0" collapsed="false">
      <c r="A878" s="0" t="n">
        <v>15</v>
      </c>
      <c r="B878" s="0" t="n">
        <v>37</v>
      </c>
      <c r="C878" s="0" t="str">
        <f aca="false">TRIM(SUBSTITUTE(INDEX(LISTAS!$A$4:$T$63,B878,A878)&amp;"",CHAR(160)," "))</f>
        <v/>
      </c>
      <c r="D878" s="0" t="str">
        <f aca="false">IF(C878="","",TRIM(RIGHT(SUBSTITUTE(C878," ",REPT(" ",100)),100)))</f>
        <v/>
      </c>
      <c r="E878" s="0" t="str">
        <f aca="false">IF(D878="","",UPPER(SUBSTITUTE(SUBSTITUTE(D878,"(",""),")","")))</f>
        <v/>
      </c>
      <c r="F878" s="0" t="str">
        <f aca="false">IF(C878="","",LEFT(C878,FIND(" ",C878&amp;" ")-1))</f>
        <v/>
      </c>
      <c r="G878" s="0" t="n">
        <f aca="false">IFERROR(VALUE(SUBSTITUTE(LOWER(F878),"x","")),0)</f>
        <v>0</v>
      </c>
      <c r="H878" s="0" t="str">
        <f aca="false">IF(C878="","",TRIM(MID(C878,LEN(F878)+2,999)))</f>
        <v/>
      </c>
      <c r="I878" s="0" t="n">
        <f aca="false">IF(OR(C878="",LEFT(C878,2)="//"),0,IFERROR(IF(AND(G878&gt;0,G878=INT(G878),FIND("-",E878)&gt;1,NOT(EXACT(UPPER(LEFT(E878,1)),LOWER(LEFT(E878,1)))),ISNUMBER(VALUE(MID(E878,FIND("-",E878)+1,10)))),1,0),0))</f>
        <v>0</v>
      </c>
      <c r="J878" s="0" t="str">
        <f aca="false">IF(I878=1,TRIM(LEFT(H878,MAX(0,LEN(H878)-LEN(D878)))),"")</f>
        <v/>
      </c>
      <c r="K878" s="0" t="str">
        <f aca="false">INDEX($P$2:$P$21,A878)</f>
        <v>Deck 15</v>
      </c>
      <c r="L878" s="0" t="n">
        <f aca="false">IF(AND(C878&lt;&gt;"",LEFT(C878,2)&lt;&gt;"//",I878=0),1,0)</f>
        <v>0</v>
      </c>
      <c r="M878" s="0" t="str">
        <f aca="false">IF(I878=1,MAX(M$1:M877)+1,"")</f>
        <v/>
      </c>
      <c r="N878" s="0" t="str">
        <f aca="false">IFERROR(MATCH(ROW()-1,$V$2:$V$1201,0),"")</f>
        <v/>
      </c>
      <c r="R878" s="0" t="str">
        <f aca="false">IF(E878="","",IFERROR(LEFT(E878,FIND("-",E878)-1),E878))</f>
        <v/>
      </c>
      <c r="S878" s="0" t="str">
        <f aca="false">IF(R878="","",IF(ISNUMBER(--MID(R878,1,1)),0,IF(ISNUMBER(--MID(R878,2,1)),1,IF(ISNUMBER(--MID(R878,3,1)),2,IF(ISNUMBER(--MID(R878,4,1)),3,MIN(LEN(R878),4))))))</f>
        <v/>
      </c>
      <c r="T878" s="0" t="str">
        <f aca="false">IF(E878="","",LEFT(R878,S878)&amp;REPT("0",4-S878)&amp;RIGHT("000"&amp;IFERROR(VALUE(MID(R878,S878+1,9)),0),3)&amp;RIGHT("0000"&amp;IFERROR(VALUE(MID(E878,FIND("-",E878)+1,9)),0),4))</f>
        <v/>
      </c>
      <c r="U878" s="0" t="str">
        <f aca="false">IF(I878=1,"K"&amp;RIGHT("00"&amp;A878,2)&amp;T878&amp;RIGHT("00000"&amp;ROW(),5),"")</f>
        <v/>
      </c>
      <c r="V878" s="0" t="str">
        <f aca="false">IF(U878="","",COUNTIFS($I$2:$I$1201,1,$U$2:$U$1201,"&lt;"&amp;U878)+1)</f>
        <v/>
      </c>
    </row>
    <row r="879" customFormat="false" ht="15" hidden="false" customHeight="false" outlineLevel="0" collapsed="false">
      <c r="A879" s="0" t="n">
        <v>15</v>
      </c>
      <c r="B879" s="0" t="n">
        <v>38</v>
      </c>
      <c r="C879" s="0" t="str">
        <f aca="false">TRIM(SUBSTITUTE(INDEX(LISTAS!$A$4:$T$63,B879,A879)&amp;"",CHAR(160)," "))</f>
        <v/>
      </c>
      <c r="D879" s="0" t="str">
        <f aca="false">IF(C879="","",TRIM(RIGHT(SUBSTITUTE(C879," ",REPT(" ",100)),100)))</f>
        <v/>
      </c>
      <c r="E879" s="0" t="str">
        <f aca="false">IF(D879="","",UPPER(SUBSTITUTE(SUBSTITUTE(D879,"(",""),")","")))</f>
        <v/>
      </c>
      <c r="F879" s="0" t="str">
        <f aca="false">IF(C879="","",LEFT(C879,FIND(" ",C879&amp;" ")-1))</f>
        <v/>
      </c>
      <c r="G879" s="0" t="n">
        <f aca="false">IFERROR(VALUE(SUBSTITUTE(LOWER(F879),"x","")),0)</f>
        <v>0</v>
      </c>
      <c r="H879" s="0" t="str">
        <f aca="false">IF(C879="","",TRIM(MID(C879,LEN(F879)+2,999)))</f>
        <v/>
      </c>
      <c r="I879" s="0" t="n">
        <f aca="false">IF(OR(C879="",LEFT(C879,2)="//"),0,IFERROR(IF(AND(G879&gt;0,G879=INT(G879),FIND("-",E879)&gt;1,NOT(EXACT(UPPER(LEFT(E879,1)),LOWER(LEFT(E879,1)))),ISNUMBER(VALUE(MID(E879,FIND("-",E879)+1,10)))),1,0),0))</f>
        <v>0</v>
      </c>
      <c r="J879" s="0" t="str">
        <f aca="false">IF(I879=1,TRIM(LEFT(H879,MAX(0,LEN(H879)-LEN(D879)))),"")</f>
        <v/>
      </c>
      <c r="K879" s="0" t="str">
        <f aca="false">INDEX($P$2:$P$21,A879)</f>
        <v>Deck 15</v>
      </c>
      <c r="L879" s="0" t="n">
        <f aca="false">IF(AND(C879&lt;&gt;"",LEFT(C879,2)&lt;&gt;"//",I879=0),1,0)</f>
        <v>0</v>
      </c>
      <c r="M879" s="0" t="str">
        <f aca="false">IF(I879=1,MAX(M$1:M878)+1,"")</f>
        <v/>
      </c>
      <c r="N879" s="0" t="str">
        <f aca="false">IFERROR(MATCH(ROW()-1,$V$2:$V$1201,0),"")</f>
        <v/>
      </c>
      <c r="R879" s="0" t="str">
        <f aca="false">IF(E879="","",IFERROR(LEFT(E879,FIND("-",E879)-1),E879))</f>
        <v/>
      </c>
      <c r="S879" s="0" t="str">
        <f aca="false">IF(R879="","",IF(ISNUMBER(--MID(R879,1,1)),0,IF(ISNUMBER(--MID(R879,2,1)),1,IF(ISNUMBER(--MID(R879,3,1)),2,IF(ISNUMBER(--MID(R879,4,1)),3,MIN(LEN(R879),4))))))</f>
        <v/>
      </c>
      <c r="T879" s="0" t="str">
        <f aca="false">IF(E879="","",LEFT(R879,S879)&amp;REPT("0",4-S879)&amp;RIGHT("000"&amp;IFERROR(VALUE(MID(R879,S879+1,9)),0),3)&amp;RIGHT("0000"&amp;IFERROR(VALUE(MID(E879,FIND("-",E879)+1,9)),0),4))</f>
        <v/>
      </c>
      <c r="U879" s="0" t="str">
        <f aca="false">IF(I879=1,"K"&amp;RIGHT("00"&amp;A879,2)&amp;T879&amp;RIGHT("00000"&amp;ROW(),5),"")</f>
        <v/>
      </c>
      <c r="V879" s="0" t="str">
        <f aca="false">IF(U879="","",COUNTIFS($I$2:$I$1201,1,$U$2:$U$1201,"&lt;"&amp;U879)+1)</f>
        <v/>
      </c>
    </row>
    <row r="880" customFormat="false" ht="15" hidden="false" customHeight="false" outlineLevel="0" collapsed="false">
      <c r="A880" s="0" t="n">
        <v>15</v>
      </c>
      <c r="B880" s="0" t="n">
        <v>39</v>
      </c>
      <c r="C880" s="0" t="str">
        <f aca="false">TRIM(SUBSTITUTE(INDEX(LISTAS!$A$4:$T$63,B880,A880)&amp;"",CHAR(160)," "))</f>
        <v/>
      </c>
      <c r="D880" s="0" t="str">
        <f aca="false">IF(C880="","",TRIM(RIGHT(SUBSTITUTE(C880," ",REPT(" ",100)),100)))</f>
        <v/>
      </c>
      <c r="E880" s="0" t="str">
        <f aca="false">IF(D880="","",UPPER(SUBSTITUTE(SUBSTITUTE(D880,"(",""),")","")))</f>
        <v/>
      </c>
      <c r="F880" s="0" t="str">
        <f aca="false">IF(C880="","",LEFT(C880,FIND(" ",C880&amp;" ")-1))</f>
        <v/>
      </c>
      <c r="G880" s="0" t="n">
        <f aca="false">IFERROR(VALUE(SUBSTITUTE(LOWER(F880),"x","")),0)</f>
        <v>0</v>
      </c>
      <c r="H880" s="0" t="str">
        <f aca="false">IF(C880="","",TRIM(MID(C880,LEN(F880)+2,999)))</f>
        <v/>
      </c>
      <c r="I880" s="0" t="n">
        <f aca="false">IF(OR(C880="",LEFT(C880,2)="//"),0,IFERROR(IF(AND(G880&gt;0,G880=INT(G880),FIND("-",E880)&gt;1,NOT(EXACT(UPPER(LEFT(E880,1)),LOWER(LEFT(E880,1)))),ISNUMBER(VALUE(MID(E880,FIND("-",E880)+1,10)))),1,0),0))</f>
        <v>0</v>
      </c>
      <c r="J880" s="0" t="str">
        <f aca="false">IF(I880=1,TRIM(LEFT(H880,MAX(0,LEN(H880)-LEN(D880)))),"")</f>
        <v/>
      </c>
      <c r="K880" s="0" t="str">
        <f aca="false">INDEX($P$2:$P$21,A880)</f>
        <v>Deck 15</v>
      </c>
      <c r="L880" s="0" t="n">
        <f aca="false">IF(AND(C880&lt;&gt;"",LEFT(C880,2)&lt;&gt;"//",I880=0),1,0)</f>
        <v>0</v>
      </c>
      <c r="M880" s="0" t="str">
        <f aca="false">IF(I880=1,MAX(M$1:M879)+1,"")</f>
        <v/>
      </c>
      <c r="N880" s="0" t="str">
        <f aca="false">IFERROR(MATCH(ROW()-1,$V$2:$V$1201,0),"")</f>
        <v/>
      </c>
      <c r="R880" s="0" t="str">
        <f aca="false">IF(E880="","",IFERROR(LEFT(E880,FIND("-",E880)-1),E880))</f>
        <v/>
      </c>
      <c r="S880" s="0" t="str">
        <f aca="false">IF(R880="","",IF(ISNUMBER(--MID(R880,1,1)),0,IF(ISNUMBER(--MID(R880,2,1)),1,IF(ISNUMBER(--MID(R880,3,1)),2,IF(ISNUMBER(--MID(R880,4,1)),3,MIN(LEN(R880),4))))))</f>
        <v/>
      </c>
      <c r="T880" s="0" t="str">
        <f aca="false">IF(E880="","",LEFT(R880,S880)&amp;REPT("0",4-S880)&amp;RIGHT("000"&amp;IFERROR(VALUE(MID(R880,S880+1,9)),0),3)&amp;RIGHT("0000"&amp;IFERROR(VALUE(MID(E880,FIND("-",E880)+1,9)),0),4))</f>
        <v/>
      </c>
      <c r="U880" s="0" t="str">
        <f aca="false">IF(I880=1,"K"&amp;RIGHT("00"&amp;A880,2)&amp;T880&amp;RIGHT("00000"&amp;ROW(),5),"")</f>
        <v/>
      </c>
      <c r="V880" s="0" t="str">
        <f aca="false">IF(U880="","",COUNTIFS($I$2:$I$1201,1,$U$2:$U$1201,"&lt;"&amp;U880)+1)</f>
        <v/>
      </c>
    </row>
    <row r="881" customFormat="false" ht="15" hidden="false" customHeight="false" outlineLevel="0" collapsed="false">
      <c r="A881" s="0" t="n">
        <v>15</v>
      </c>
      <c r="B881" s="0" t="n">
        <v>40</v>
      </c>
      <c r="C881" s="0" t="str">
        <f aca="false">TRIM(SUBSTITUTE(INDEX(LISTAS!$A$4:$T$63,B881,A881)&amp;"",CHAR(160)," "))</f>
        <v/>
      </c>
      <c r="D881" s="0" t="str">
        <f aca="false">IF(C881="","",TRIM(RIGHT(SUBSTITUTE(C881," ",REPT(" ",100)),100)))</f>
        <v/>
      </c>
      <c r="E881" s="0" t="str">
        <f aca="false">IF(D881="","",UPPER(SUBSTITUTE(SUBSTITUTE(D881,"(",""),")","")))</f>
        <v/>
      </c>
      <c r="F881" s="0" t="str">
        <f aca="false">IF(C881="","",LEFT(C881,FIND(" ",C881&amp;" ")-1))</f>
        <v/>
      </c>
      <c r="G881" s="0" t="n">
        <f aca="false">IFERROR(VALUE(SUBSTITUTE(LOWER(F881),"x","")),0)</f>
        <v>0</v>
      </c>
      <c r="H881" s="0" t="str">
        <f aca="false">IF(C881="","",TRIM(MID(C881,LEN(F881)+2,999)))</f>
        <v/>
      </c>
      <c r="I881" s="0" t="n">
        <f aca="false">IF(OR(C881="",LEFT(C881,2)="//"),0,IFERROR(IF(AND(G881&gt;0,G881=INT(G881),FIND("-",E881)&gt;1,NOT(EXACT(UPPER(LEFT(E881,1)),LOWER(LEFT(E881,1)))),ISNUMBER(VALUE(MID(E881,FIND("-",E881)+1,10)))),1,0),0))</f>
        <v>0</v>
      </c>
      <c r="J881" s="0" t="str">
        <f aca="false">IF(I881=1,TRIM(LEFT(H881,MAX(0,LEN(H881)-LEN(D881)))),"")</f>
        <v/>
      </c>
      <c r="K881" s="0" t="str">
        <f aca="false">INDEX($P$2:$P$21,A881)</f>
        <v>Deck 15</v>
      </c>
      <c r="L881" s="0" t="n">
        <f aca="false">IF(AND(C881&lt;&gt;"",LEFT(C881,2)&lt;&gt;"//",I881=0),1,0)</f>
        <v>0</v>
      </c>
      <c r="M881" s="0" t="str">
        <f aca="false">IF(I881=1,MAX(M$1:M880)+1,"")</f>
        <v/>
      </c>
      <c r="N881" s="0" t="str">
        <f aca="false">IFERROR(MATCH(ROW()-1,$V$2:$V$1201,0),"")</f>
        <v/>
      </c>
      <c r="R881" s="0" t="str">
        <f aca="false">IF(E881="","",IFERROR(LEFT(E881,FIND("-",E881)-1),E881))</f>
        <v/>
      </c>
      <c r="S881" s="0" t="str">
        <f aca="false">IF(R881="","",IF(ISNUMBER(--MID(R881,1,1)),0,IF(ISNUMBER(--MID(R881,2,1)),1,IF(ISNUMBER(--MID(R881,3,1)),2,IF(ISNUMBER(--MID(R881,4,1)),3,MIN(LEN(R881),4))))))</f>
        <v/>
      </c>
      <c r="T881" s="0" t="str">
        <f aca="false">IF(E881="","",LEFT(R881,S881)&amp;REPT("0",4-S881)&amp;RIGHT("000"&amp;IFERROR(VALUE(MID(R881,S881+1,9)),0),3)&amp;RIGHT("0000"&amp;IFERROR(VALUE(MID(E881,FIND("-",E881)+1,9)),0),4))</f>
        <v/>
      </c>
      <c r="U881" s="0" t="str">
        <f aca="false">IF(I881=1,"K"&amp;RIGHT("00"&amp;A881,2)&amp;T881&amp;RIGHT("00000"&amp;ROW(),5),"")</f>
        <v/>
      </c>
      <c r="V881" s="0" t="str">
        <f aca="false">IF(U881="","",COUNTIFS($I$2:$I$1201,1,$U$2:$U$1201,"&lt;"&amp;U881)+1)</f>
        <v/>
      </c>
    </row>
    <row r="882" customFormat="false" ht="15" hidden="false" customHeight="false" outlineLevel="0" collapsed="false">
      <c r="A882" s="0" t="n">
        <v>15</v>
      </c>
      <c r="B882" s="0" t="n">
        <v>41</v>
      </c>
      <c r="C882" s="0" t="str">
        <f aca="false">TRIM(SUBSTITUTE(INDEX(LISTAS!$A$4:$T$63,B882,A882)&amp;"",CHAR(160)," "))</f>
        <v/>
      </c>
      <c r="D882" s="0" t="str">
        <f aca="false">IF(C882="","",TRIM(RIGHT(SUBSTITUTE(C882," ",REPT(" ",100)),100)))</f>
        <v/>
      </c>
      <c r="E882" s="0" t="str">
        <f aca="false">IF(D882="","",UPPER(SUBSTITUTE(SUBSTITUTE(D882,"(",""),")","")))</f>
        <v/>
      </c>
      <c r="F882" s="0" t="str">
        <f aca="false">IF(C882="","",LEFT(C882,FIND(" ",C882&amp;" ")-1))</f>
        <v/>
      </c>
      <c r="G882" s="0" t="n">
        <f aca="false">IFERROR(VALUE(SUBSTITUTE(LOWER(F882),"x","")),0)</f>
        <v>0</v>
      </c>
      <c r="H882" s="0" t="str">
        <f aca="false">IF(C882="","",TRIM(MID(C882,LEN(F882)+2,999)))</f>
        <v/>
      </c>
      <c r="I882" s="0" t="n">
        <f aca="false">IF(OR(C882="",LEFT(C882,2)="//"),0,IFERROR(IF(AND(G882&gt;0,G882=INT(G882),FIND("-",E882)&gt;1,NOT(EXACT(UPPER(LEFT(E882,1)),LOWER(LEFT(E882,1)))),ISNUMBER(VALUE(MID(E882,FIND("-",E882)+1,10)))),1,0),0))</f>
        <v>0</v>
      </c>
      <c r="J882" s="0" t="str">
        <f aca="false">IF(I882=1,TRIM(LEFT(H882,MAX(0,LEN(H882)-LEN(D882)))),"")</f>
        <v/>
      </c>
      <c r="K882" s="0" t="str">
        <f aca="false">INDEX($P$2:$P$21,A882)</f>
        <v>Deck 15</v>
      </c>
      <c r="L882" s="0" t="n">
        <f aca="false">IF(AND(C882&lt;&gt;"",LEFT(C882,2)&lt;&gt;"//",I882=0),1,0)</f>
        <v>0</v>
      </c>
      <c r="M882" s="0" t="str">
        <f aca="false">IF(I882=1,MAX(M$1:M881)+1,"")</f>
        <v/>
      </c>
      <c r="N882" s="0" t="str">
        <f aca="false">IFERROR(MATCH(ROW()-1,$V$2:$V$1201,0),"")</f>
        <v/>
      </c>
      <c r="R882" s="0" t="str">
        <f aca="false">IF(E882="","",IFERROR(LEFT(E882,FIND("-",E882)-1),E882))</f>
        <v/>
      </c>
      <c r="S882" s="0" t="str">
        <f aca="false">IF(R882="","",IF(ISNUMBER(--MID(R882,1,1)),0,IF(ISNUMBER(--MID(R882,2,1)),1,IF(ISNUMBER(--MID(R882,3,1)),2,IF(ISNUMBER(--MID(R882,4,1)),3,MIN(LEN(R882),4))))))</f>
        <v/>
      </c>
      <c r="T882" s="0" t="str">
        <f aca="false">IF(E882="","",LEFT(R882,S882)&amp;REPT("0",4-S882)&amp;RIGHT("000"&amp;IFERROR(VALUE(MID(R882,S882+1,9)),0),3)&amp;RIGHT("0000"&amp;IFERROR(VALUE(MID(E882,FIND("-",E882)+1,9)),0),4))</f>
        <v/>
      </c>
      <c r="U882" s="0" t="str">
        <f aca="false">IF(I882=1,"K"&amp;RIGHT("00"&amp;A882,2)&amp;T882&amp;RIGHT("00000"&amp;ROW(),5),"")</f>
        <v/>
      </c>
      <c r="V882" s="0" t="str">
        <f aca="false">IF(U882="","",COUNTIFS($I$2:$I$1201,1,$U$2:$U$1201,"&lt;"&amp;U882)+1)</f>
        <v/>
      </c>
    </row>
    <row r="883" customFormat="false" ht="15" hidden="false" customHeight="false" outlineLevel="0" collapsed="false">
      <c r="A883" s="0" t="n">
        <v>15</v>
      </c>
      <c r="B883" s="0" t="n">
        <v>42</v>
      </c>
      <c r="C883" s="0" t="str">
        <f aca="false">TRIM(SUBSTITUTE(INDEX(LISTAS!$A$4:$T$63,B883,A883)&amp;"",CHAR(160)," "))</f>
        <v/>
      </c>
      <c r="D883" s="0" t="str">
        <f aca="false">IF(C883="","",TRIM(RIGHT(SUBSTITUTE(C883," ",REPT(" ",100)),100)))</f>
        <v/>
      </c>
      <c r="E883" s="0" t="str">
        <f aca="false">IF(D883="","",UPPER(SUBSTITUTE(SUBSTITUTE(D883,"(",""),")","")))</f>
        <v/>
      </c>
      <c r="F883" s="0" t="str">
        <f aca="false">IF(C883="","",LEFT(C883,FIND(" ",C883&amp;" ")-1))</f>
        <v/>
      </c>
      <c r="G883" s="0" t="n">
        <f aca="false">IFERROR(VALUE(SUBSTITUTE(LOWER(F883),"x","")),0)</f>
        <v>0</v>
      </c>
      <c r="H883" s="0" t="str">
        <f aca="false">IF(C883="","",TRIM(MID(C883,LEN(F883)+2,999)))</f>
        <v/>
      </c>
      <c r="I883" s="0" t="n">
        <f aca="false">IF(OR(C883="",LEFT(C883,2)="//"),0,IFERROR(IF(AND(G883&gt;0,G883=INT(G883),FIND("-",E883)&gt;1,NOT(EXACT(UPPER(LEFT(E883,1)),LOWER(LEFT(E883,1)))),ISNUMBER(VALUE(MID(E883,FIND("-",E883)+1,10)))),1,0),0))</f>
        <v>0</v>
      </c>
      <c r="J883" s="0" t="str">
        <f aca="false">IF(I883=1,TRIM(LEFT(H883,MAX(0,LEN(H883)-LEN(D883)))),"")</f>
        <v/>
      </c>
      <c r="K883" s="0" t="str">
        <f aca="false">INDEX($P$2:$P$21,A883)</f>
        <v>Deck 15</v>
      </c>
      <c r="L883" s="0" t="n">
        <f aca="false">IF(AND(C883&lt;&gt;"",LEFT(C883,2)&lt;&gt;"//",I883=0),1,0)</f>
        <v>0</v>
      </c>
      <c r="M883" s="0" t="str">
        <f aca="false">IF(I883=1,MAX(M$1:M882)+1,"")</f>
        <v/>
      </c>
      <c r="N883" s="0" t="str">
        <f aca="false">IFERROR(MATCH(ROW()-1,$V$2:$V$1201,0),"")</f>
        <v/>
      </c>
      <c r="R883" s="0" t="str">
        <f aca="false">IF(E883="","",IFERROR(LEFT(E883,FIND("-",E883)-1),E883))</f>
        <v/>
      </c>
      <c r="S883" s="0" t="str">
        <f aca="false">IF(R883="","",IF(ISNUMBER(--MID(R883,1,1)),0,IF(ISNUMBER(--MID(R883,2,1)),1,IF(ISNUMBER(--MID(R883,3,1)),2,IF(ISNUMBER(--MID(R883,4,1)),3,MIN(LEN(R883),4))))))</f>
        <v/>
      </c>
      <c r="T883" s="0" t="str">
        <f aca="false">IF(E883="","",LEFT(R883,S883)&amp;REPT("0",4-S883)&amp;RIGHT("000"&amp;IFERROR(VALUE(MID(R883,S883+1,9)),0),3)&amp;RIGHT("0000"&amp;IFERROR(VALUE(MID(E883,FIND("-",E883)+1,9)),0),4))</f>
        <v/>
      </c>
      <c r="U883" s="0" t="str">
        <f aca="false">IF(I883=1,"K"&amp;RIGHT("00"&amp;A883,2)&amp;T883&amp;RIGHT("00000"&amp;ROW(),5),"")</f>
        <v/>
      </c>
      <c r="V883" s="0" t="str">
        <f aca="false">IF(U883="","",COUNTIFS($I$2:$I$1201,1,$U$2:$U$1201,"&lt;"&amp;U883)+1)</f>
        <v/>
      </c>
    </row>
    <row r="884" customFormat="false" ht="15" hidden="false" customHeight="false" outlineLevel="0" collapsed="false">
      <c r="A884" s="0" t="n">
        <v>15</v>
      </c>
      <c r="B884" s="0" t="n">
        <v>43</v>
      </c>
      <c r="C884" s="0" t="str">
        <f aca="false">TRIM(SUBSTITUTE(INDEX(LISTAS!$A$4:$T$63,B884,A884)&amp;"",CHAR(160)," "))</f>
        <v/>
      </c>
      <c r="D884" s="0" t="str">
        <f aca="false">IF(C884="","",TRIM(RIGHT(SUBSTITUTE(C884," ",REPT(" ",100)),100)))</f>
        <v/>
      </c>
      <c r="E884" s="0" t="str">
        <f aca="false">IF(D884="","",UPPER(SUBSTITUTE(SUBSTITUTE(D884,"(",""),")","")))</f>
        <v/>
      </c>
      <c r="F884" s="0" t="str">
        <f aca="false">IF(C884="","",LEFT(C884,FIND(" ",C884&amp;" ")-1))</f>
        <v/>
      </c>
      <c r="G884" s="0" t="n">
        <f aca="false">IFERROR(VALUE(SUBSTITUTE(LOWER(F884),"x","")),0)</f>
        <v>0</v>
      </c>
      <c r="H884" s="0" t="str">
        <f aca="false">IF(C884="","",TRIM(MID(C884,LEN(F884)+2,999)))</f>
        <v/>
      </c>
      <c r="I884" s="0" t="n">
        <f aca="false">IF(OR(C884="",LEFT(C884,2)="//"),0,IFERROR(IF(AND(G884&gt;0,G884=INT(G884),FIND("-",E884)&gt;1,NOT(EXACT(UPPER(LEFT(E884,1)),LOWER(LEFT(E884,1)))),ISNUMBER(VALUE(MID(E884,FIND("-",E884)+1,10)))),1,0),0))</f>
        <v>0</v>
      </c>
      <c r="J884" s="0" t="str">
        <f aca="false">IF(I884=1,TRIM(LEFT(H884,MAX(0,LEN(H884)-LEN(D884)))),"")</f>
        <v/>
      </c>
      <c r="K884" s="0" t="str">
        <f aca="false">INDEX($P$2:$P$21,A884)</f>
        <v>Deck 15</v>
      </c>
      <c r="L884" s="0" t="n">
        <f aca="false">IF(AND(C884&lt;&gt;"",LEFT(C884,2)&lt;&gt;"//",I884=0),1,0)</f>
        <v>0</v>
      </c>
      <c r="M884" s="0" t="str">
        <f aca="false">IF(I884=1,MAX(M$1:M883)+1,"")</f>
        <v/>
      </c>
      <c r="N884" s="0" t="str">
        <f aca="false">IFERROR(MATCH(ROW()-1,$V$2:$V$1201,0),"")</f>
        <v/>
      </c>
      <c r="R884" s="0" t="str">
        <f aca="false">IF(E884="","",IFERROR(LEFT(E884,FIND("-",E884)-1),E884))</f>
        <v/>
      </c>
      <c r="S884" s="0" t="str">
        <f aca="false">IF(R884="","",IF(ISNUMBER(--MID(R884,1,1)),0,IF(ISNUMBER(--MID(R884,2,1)),1,IF(ISNUMBER(--MID(R884,3,1)),2,IF(ISNUMBER(--MID(R884,4,1)),3,MIN(LEN(R884),4))))))</f>
        <v/>
      </c>
      <c r="T884" s="0" t="str">
        <f aca="false">IF(E884="","",LEFT(R884,S884)&amp;REPT("0",4-S884)&amp;RIGHT("000"&amp;IFERROR(VALUE(MID(R884,S884+1,9)),0),3)&amp;RIGHT("0000"&amp;IFERROR(VALUE(MID(E884,FIND("-",E884)+1,9)),0),4))</f>
        <v/>
      </c>
      <c r="U884" s="0" t="str">
        <f aca="false">IF(I884=1,"K"&amp;RIGHT("00"&amp;A884,2)&amp;T884&amp;RIGHT("00000"&amp;ROW(),5),"")</f>
        <v/>
      </c>
      <c r="V884" s="0" t="str">
        <f aca="false">IF(U884="","",COUNTIFS($I$2:$I$1201,1,$U$2:$U$1201,"&lt;"&amp;U884)+1)</f>
        <v/>
      </c>
    </row>
    <row r="885" customFormat="false" ht="15" hidden="false" customHeight="false" outlineLevel="0" collapsed="false">
      <c r="A885" s="0" t="n">
        <v>15</v>
      </c>
      <c r="B885" s="0" t="n">
        <v>44</v>
      </c>
      <c r="C885" s="0" t="str">
        <f aca="false">TRIM(SUBSTITUTE(INDEX(LISTAS!$A$4:$T$63,B885,A885)&amp;"",CHAR(160)," "))</f>
        <v/>
      </c>
      <c r="D885" s="0" t="str">
        <f aca="false">IF(C885="","",TRIM(RIGHT(SUBSTITUTE(C885," ",REPT(" ",100)),100)))</f>
        <v/>
      </c>
      <c r="E885" s="0" t="str">
        <f aca="false">IF(D885="","",UPPER(SUBSTITUTE(SUBSTITUTE(D885,"(",""),")","")))</f>
        <v/>
      </c>
      <c r="F885" s="0" t="str">
        <f aca="false">IF(C885="","",LEFT(C885,FIND(" ",C885&amp;" ")-1))</f>
        <v/>
      </c>
      <c r="G885" s="0" t="n">
        <f aca="false">IFERROR(VALUE(SUBSTITUTE(LOWER(F885),"x","")),0)</f>
        <v>0</v>
      </c>
      <c r="H885" s="0" t="str">
        <f aca="false">IF(C885="","",TRIM(MID(C885,LEN(F885)+2,999)))</f>
        <v/>
      </c>
      <c r="I885" s="0" t="n">
        <f aca="false">IF(OR(C885="",LEFT(C885,2)="//"),0,IFERROR(IF(AND(G885&gt;0,G885=INT(G885),FIND("-",E885)&gt;1,NOT(EXACT(UPPER(LEFT(E885,1)),LOWER(LEFT(E885,1)))),ISNUMBER(VALUE(MID(E885,FIND("-",E885)+1,10)))),1,0),0))</f>
        <v>0</v>
      </c>
      <c r="J885" s="0" t="str">
        <f aca="false">IF(I885=1,TRIM(LEFT(H885,MAX(0,LEN(H885)-LEN(D885)))),"")</f>
        <v/>
      </c>
      <c r="K885" s="0" t="str">
        <f aca="false">INDEX($P$2:$P$21,A885)</f>
        <v>Deck 15</v>
      </c>
      <c r="L885" s="0" t="n">
        <f aca="false">IF(AND(C885&lt;&gt;"",LEFT(C885,2)&lt;&gt;"//",I885=0),1,0)</f>
        <v>0</v>
      </c>
      <c r="M885" s="0" t="str">
        <f aca="false">IF(I885=1,MAX(M$1:M884)+1,"")</f>
        <v/>
      </c>
      <c r="N885" s="0" t="str">
        <f aca="false">IFERROR(MATCH(ROW()-1,$V$2:$V$1201,0),"")</f>
        <v/>
      </c>
      <c r="R885" s="0" t="str">
        <f aca="false">IF(E885="","",IFERROR(LEFT(E885,FIND("-",E885)-1),E885))</f>
        <v/>
      </c>
      <c r="S885" s="0" t="str">
        <f aca="false">IF(R885="","",IF(ISNUMBER(--MID(R885,1,1)),0,IF(ISNUMBER(--MID(R885,2,1)),1,IF(ISNUMBER(--MID(R885,3,1)),2,IF(ISNUMBER(--MID(R885,4,1)),3,MIN(LEN(R885),4))))))</f>
        <v/>
      </c>
      <c r="T885" s="0" t="str">
        <f aca="false">IF(E885="","",LEFT(R885,S885)&amp;REPT("0",4-S885)&amp;RIGHT("000"&amp;IFERROR(VALUE(MID(R885,S885+1,9)),0),3)&amp;RIGHT("0000"&amp;IFERROR(VALUE(MID(E885,FIND("-",E885)+1,9)),0),4))</f>
        <v/>
      </c>
      <c r="U885" s="0" t="str">
        <f aca="false">IF(I885=1,"K"&amp;RIGHT("00"&amp;A885,2)&amp;T885&amp;RIGHT("00000"&amp;ROW(),5),"")</f>
        <v/>
      </c>
      <c r="V885" s="0" t="str">
        <f aca="false">IF(U885="","",COUNTIFS($I$2:$I$1201,1,$U$2:$U$1201,"&lt;"&amp;U885)+1)</f>
        <v/>
      </c>
    </row>
    <row r="886" customFormat="false" ht="15" hidden="false" customHeight="false" outlineLevel="0" collapsed="false">
      <c r="A886" s="0" t="n">
        <v>15</v>
      </c>
      <c r="B886" s="0" t="n">
        <v>45</v>
      </c>
      <c r="C886" s="0" t="str">
        <f aca="false">TRIM(SUBSTITUTE(INDEX(LISTAS!$A$4:$T$63,B886,A886)&amp;"",CHAR(160)," "))</f>
        <v/>
      </c>
      <c r="D886" s="0" t="str">
        <f aca="false">IF(C886="","",TRIM(RIGHT(SUBSTITUTE(C886," ",REPT(" ",100)),100)))</f>
        <v/>
      </c>
      <c r="E886" s="0" t="str">
        <f aca="false">IF(D886="","",UPPER(SUBSTITUTE(SUBSTITUTE(D886,"(",""),")","")))</f>
        <v/>
      </c>
      <c r="F886" s="0" t="str">
        <f aca="false">IF(C886="","",LEFT(C886,FIND(" ",C886&amp;" ")-1))</f>
        <v/>
      </c>
      <c r="G886" s="0" t="n">
        <f aca="false">IFERROR(VALUE(SUBSTITUTE(LOWER(F886),"x","")),0)</f>
        <v>0</v>
      </c>
      <c r="H886" s="0" t="str">
        <f aca="false">IF(C886="","",TRIM(MID(C886,LEN(F886)+2,999)))</f>
        <v/>
      </c>
      <c r="I886" s="0" t="n">
        <f aca="false">IF(OR(C886="",LEFT(C886,2)="//"),0,IFERROR(IF(AND(G886&gt;0,G886=INT(G886),FIND("-",E886)&gt;1,NOT(EXACT(UPPER(LEFT(E886,1)),LOWER(LEFT(E886,1)))),ISNUMBER(VALUE(MID(E886,FIND("-",E886)+1,10)))),1,0),0))</f>
        <v>0</v>
      </c>
      <c r="J886" s="0" t="str">
        <f aca="false">IF(I886=1,TRIM(LEFT(H886,MAX(0,LEN(H886)-LEN(D886)))),"")</f>
        <v/>
      </c>
      <c r="K886" s="0" t="str">
        <f aca="false">INDEX($P$2:$P$21,A886)</f>
        <v>Deck 15</v>
      </c>
      <c r="L886" s="0" t="n">
        <f aca="false">IF(AND(C886&lt;&gt;"",LEFT(C886,2)&lt;&gt;"//",I886=0),1,0)</f>
        <v>0</v>
      </c>
      <c r="M886" s="0" t="str">
        <f aca="false">IF(I886=1,MAX(M$1:M885)+1,"")</f>
        <v/>
      </c>
      <c r="N886" s="0" t="str">
        <f aca="false">IFERROR(MATCH(ROW()-1,$V$2:$V$1201,0),"")</f>
        <v/>
      </c>
      <c r="R886" s="0" t="str">
        <f aca="false">IF(E886="","",IFERROR(LEFT(E886,FIND("-",E886)-1),E886))</f>
        <v/>
      </c>
      <c r="S886" s="0" t="str">
        <f aca="false">IF(R886="","",IF(ISNUMBER(--MID(R886,1,1)),0,IF(ISNUMBER(--MID(R886,2,1)),1,IF(ISNUMBER(--MID(R886,3,1)),2,IF(ISNUMBER(--MID(R886,4,1)),3,MIN(LEN(R886),4))))))</f>
        <v/>
      </c>
      <c r="T886" s="0" t="str">
        <f aca="false">IF(E886="","",LEFT(R886,S886)&amp;REPT("0",4-S886)&amp;RIGHT("000"&amp;IFERROR(VALUE(MID(R886,S886+1,9)),0),3)&amp;RIGHT("0000"&amp;IFERROR(VALUE(MID(E886,FIND("-",E886)+1,9)),0),4))</f>
        <v/>
      </c>
      <c r="U886" s="0" t="str">
        <f aca="false">IF(I886=1,"K"&amp;RIGHT("00"&amp;A886,2)&amp;T886&amp;RIGHT("00000"&amp;ROW(),5),"")</f>
        <v/>
      </c>
      <c r="V886" s="0" t="str">
        <f aca="false">IF(U886="","",COUNTIFS($I$2:$I$1201,1,$U$2:$U$1201,"&lt;"&amp;U886)+1)</f>
        <v/>
      </c>
    </row>
    <row r="887" customFormat="false" ht="15" hidden="false" customHeight="false" outlineLevel="0" collapsed="false">
      <c r="A887" s="0" t="n">
        <v>15</v>
      </c>
      <c r="B887" s="0" t="n">
        <v>46</v>
      </c>
      <c r="C887" s="0" t="str">
        <f aca="false">TRIM(SUBSTITUTE(INDEX(LISTAS!$A$4:$T$63,B887,A887)&amp;"",CHAR(160)," "))</f>
        <v/>
      </c>
      <c r="D887" s="0" t="str">
        <f aca="false">IF(C887="","",TRIM(RIGHT(SUBSTITUTE(C887," ",REPT(" ",100)),100)))</f>
        <v/>
      </c>
      <c r="E887" s="0" t="str">
        <f aca="false">IF(D887="","",UPPER(SUBSTITUTE(SUBSTITUTE(D887,"(",""),")","")))</f>
        <v/>
      </c>
      <c r="F887" s="0" t="str">
        <f aca="false">IF(C887="","",LEFT(C887,FIND(" ",C887&amp;" ")-1))</f>
        <v/>
      </c>
      <c r="G887" s="0" t="n">
        <f aca="false">IFERROR(VALUE(SUBSTITUTE(LOWER(F887),"x","")),0)</f>
        <v>0</v>
      </c>
      <c r="H887" s="0" t="str">
        <f aca="false">IF(C887="","",TRIM(MID(C887,LEN(F887)+2,999)))</f>
        <v/>
      </c>
      <c r="I887" s="0" t="n">
        <f aca="false">IF(OR(C887="",LEFT(C887,2)="//"),0,IFERROR(IF(AND(G887&gt;0,G887=INT(G887),FIND("-",E887)&gt;1,NOT(EXACT(UPPER(LEFT(E887,1)),LOWER(LEFT(E887,1)))),ISNUMBER(VALUE(MID(E887,FIND("-",E887)+1,10)))),1,0),0))</f>
        <v>0</v>
      </c>
      <c r="J887" s="0" t="str">
        <f aca="false">IF(I887=1,TRIM(LEFT(H887,MAX(0,LEN(H887)-LEN(D887)))),"")</f>
        <v/>
      </c>
      <c r="K887" s="0" t="str">
        <f aca="false">INDEX($P$2:$P$21,A887)</f>
        <v>Deck 15</v>
      </c>
      <c r="L887" s="0" t="n">
        <f aca="false">IF(AND(C887&lt;&gt;"",LEFT(C887,2)&lt;&gt;"//",I887=0),1,0)</f>
        <v>0</v>
      </c>
      <c r="M887" s="0" t="str">
        <f aca="false">IF(I887=1,MAX(M$1:M886)+1,"")</f>
        <v/>
      </c>
      <c r="N887" s="0" t="str">
        <f aca="false">IFERROR(MATCH(ROW()-1,$V$2:$V$1201,0),"")</f>
        <v/>
      </c>
      <c r="R887" s="0" t="str">
        <f aca="false">IF(E887="","",IFERROR(LEFT(E887,FIND("-",E887)-1),E887))</f>
        <v/>
      </c>
      <c r="S887" s="0" t="str">
        <f aca="false">IF(R887="","",IF(ISNUMBER(--MID(R887,1,1)),0,IF(ISNUMBER(--MID(R887,2,1)),1,IF(ISNUMBER(--MID(R887,3,1)),2,IF(ISNUMBER(--MID(R887,4,1)),3,MIN(LEN(R887),4))))))</f>
        <v/>
      </c>
      <c r="T887" s="0" t="str">
        <f aca="false">IF(E887="","",LEFT(R887,S887)&amp;REPT("0",4-S887)&amp;RIGHT("000"&amp;IFERROR(VALUE(MID(R887,S887+1,9)),0),3)&amp;RIGHT("0000"&amp;IFERROR(VALUE(MID(E887,FIND("-",E887)+1,9)),0),4))</f>
        <v/>
      </c>
      <c r="U887" s="0" t="str">
        <f aca="false">IF(I887=1,"K"&amp;RIGHT("00"&amp;A887,2)&amp;T887&amp;RIGHT("00000"&amp;ROW(),5),"")</f>
        <v/>
      </c>
      <c r="V887" s="0" t="str">
        <f aca="false">IF(U887="","",COUNTIFS($I$2:$I$1201,1,$U$2:$U$1201,"&lt;"&amp;U887)+1)</f>
        <v/>
      </c>
    </row>
    <row r="888" customFormat="false" ht="15" hidden="false" customHeight="false" outlineLevel="0" collapsed="false">
      <c r="A888" s="0" t="n">
        <v>15</v>
      </c>
      <c r="B888" s="0" t="n">
        <v>47</v>
      </c>
      <c r="C888" s="0" t="str">
        <f aca="false">TRIM(SUBSTITUTE(INDEX(LISTAS!$A$4:$T$63,B888,A888)&amp;"",CHAR(160)," "))</f>
        <v/>
      </c>
      <c r="D888" s="0" t="str">
        <f aca="false">IF(C888="","",TRIM(RIGHT(SUBSTITUTE(C888," ",REPT(" ",100)),100)))</f>
        <v/>
      </c>
      <c r="E888" s="0" t="str">
        <f aca="false">IF(D888="","",UPPER(SUBSTITUTE(SUBSTITUTE(D888,"(",""),")","")))</f>
        <v/>
      </c>
      <c r="F888" s="0" t="str">
        <f aca="false">IF(C888="","",LEFT(C888,FIND(" ",C888&amp;" ")-1))</f>
        <v/>
      </c>
      <c r="G888" s="0" t="n">
        <f aca="false">IFERROR(VALUE(SUBSTITUTE(LOWER(F888),"x","")),0)</f>
        <v>0</v>
      </c>
      <c r="H888" s="0" t="str">
        <f aca="false">IF(C888="","",TRIM(MID(C888,LEN(F888)+2,999)))</f>
        <v/>
      </c>
      <c r="I888" s="0" t="n">
        <f aca="false">IF(OR(C888="",LEFT(C888,2)="//"),0,IFERROR(IF(AND(G888&gt;0,G888=INT(G888),FIND("-",E888)&gt;1,NOT(EXACT(UPPER(LEFT(E888,1)),LOWER(LEFT(E888,1)))),ISNUMBER(VALUE(MID(E888,FIND("-",E888)+1,10)))),1,0),0))</f>
        <v>0</v>
      </c>
      <c r="J888" s="0" t="str">
        <f aca="false">IF(I888=1,TRIM(LEFT(H888,MAX(0,LEN(H888)-LEN(D888)))),"")</f>
        <v/>
      </c>
      <c r="K888" s="0" t="str">
        <f aca="false">INDEX($P$2:$P$21,A888)</f>
        <v>Deck 15</v>
      </c>
      <c r="L888" s="0" t="n">
        <f aca="false">IF(AND(C888&lt;&gt;"",LEFT(C888,2)&lt;&gt;"//",I888=0),1,0)</f>
        <v>0</v>
      </c>
      <c r="M888" s="0" t="str">
        <f aca="false">IF(I888=1,MAX(M$1:M887)+1,"")</f>
        <v/>
      </c>
      <c r="N888" s="0" t="str">
        <f aca="false">IFERROR(MATCH(ROW()-1,$V$2:$V$1201,0),"")</f>
        <v/>
      </c>
      <c r="R888" s="0" t="str">
        <f aca="false">IF(E888="","",IFERROR(LEFT(E888,FIND("-",E888)-1),E888))</f>
        <v/>
      </c>
      <c r="S888" s="0" t="str">
        <f aca="false">IF(R888="","",IF(ISNUMBER(--MID(R888,1,1)),0,IF(ISNUMBER(--MID(R888,2,1)),1,IF(ISNUMBER(--MID(R888,3,1)),2,IF(ISNUMBER(--MID(R888,4,1)),3,MIN(LEN(R888),4))))))</f>
        <v/>
      </c>
      <c r="T888" s="0" t="str">
        <f aca="false">IF(E888="","",LEFT(R888,S888)&amp;REPT("0",4-S888)&amp;RIGHT("000"&amp;IFERROR(VALUE(MID(R888,S888+1,9)),0),3)&amp;RIGHT("0000"&amp;IFERROR(VALUE(MID(E888,FIND("-",E888)+1,9)),0),4))</f>
        <v/>
      </c>
      <c r="U888" s="0" t="str">
        <f aca="false">IF(I888=1,"K"&amp;RIGHT("00"&amp;A888,2)&amp;T888&amp;RIGHT("00000"&amp;ROW(),5),"")</f>
        <v/>
      </c>
      <c r="V888" s="0" t="str">
        <f aca="false">IF(U888="","",COUNTIFS($I$2:$I$1201,1,$U$2:$U$1201,"&lt;"&amp;U888)+1)</f>
        <v/>
      </c>
    </row>
    <row r="889" customFormat="false" ht="15" hidden="false" customHeight="false" outlineLevel="0" collapsed="false">
      <c r="A889" s="0" t="n">
        <v>15</v>
      </c>
      <c r="B889" s="0" t="n">
        <v>48</v>
      </c>
      <c r="C889" s="0" t="str">
        <f aca="false">TRIM(SUBSTITUTE(INDEX(LISTAS!$A$4:$T$63,B889,A889)&amp;"",CHAR(160)," "))</f>
        <v/>
      </c>
      <c r="D889" s="0" t="str">
        <f aca="false">IF(C889="","",TRIM(RIGHT(SUBSTITUTE(C889," ",REPT(" ",100)),100)))</f>
        <v/>
      </c>
      <c r="E889" s="0" t="str">
        <f aca="false">IF(D889="","",UPPER(SUBSTITUTE(SUBSTITUTE(D889,"(",""),")","")))</f>
        <v/>
      </c>
      <c r="F889" s="0" t="str">
        <f aca="false">IF(C889="","",LEFT(C889,FIND(" ",C889&amp;" ")-1))</f>
        <v/>
      </c>
      <c r="G889" s="0" t="n">
        <f aca="false">IFERROR(VALUE(SUBSTITUTE(LOWER(F889),"x","")),0)</f>
        <v>0</v>
      </c>
      <c r="H889" s="0" t="str">
        <f aca="false">IF(C889="","",TRIM(MID(C889,LEN(F889)+2,999)))</f>
        <v/>
      </c>
      <c r="I889" s="0" t="n">
        <f aca="false">IF(OR(C889="",LEFT(C889,2)="//"),0,IFERROR(IF(AND(G889&gt;0,G889=INT(G889),FIND("-",E889)&gt;1,NOT(EXACT(UPPER(LEFT(E889,1)),LOWER(LEFT(E889,1)))),ISNUMBER(VALUE(MID(E889,FIND("-",E889)+1,10)))),1,0),0))</f>
        <v>0</v>
      </c>
      <c r="J889" s="0" t="str">
        <f aca="false">IF(I889=1,TRIM(LEFT(H889,MAX(0,LEN(H889)-LEN(D889)))),"")</f>
        <v/>
      </c>
      <c r="K889" s="0" t="str">
        <f aca="false">INDEX($P$2:$P$21,A889)</f>
        <v>Deck 15</v>
      </c>
      <c r="L889" s="0" t="n">
        <f aca="false">IF(AND(C889&lt;&gt;"",LEFT(C889,2)&lt;&gt;"//",I889=0),1,0)</f>
        <v>0</v>
      </c>
      <c r="M889" s="0" t="str">
        <f aca="false">IF(I889=1,MAX(M$1:M888)+1,"")</f>
        <v/>
      </c>
      <c r="N889" s="0" t="str">
        <f aca="false">IFERROR(MATCH(ROW()-1,$V$2:$V$1201,0),"")</f>
        <v/>
      </c>
      <c r="R889" s="0" t="str">
        <f aca="false">IF(E889="","",IFERROR(LEFT(E889,FIND("-",E889)-1),E889))</f>
        <v/>
      </c>
      <c r="S889" s="0" t="str">
        <f aca="false">IF(R889="","",IF(ISNUMBER(--MID(R889,1,1)),0,IF(ISNUMBER(--MID(R889,2,1)),1,IF(ISNUMBER(--MID(R889,3,1)),2,IF(ISNUMBER(--MID(R889,4,1)),3,MIN(LEN(R889),4))))))</f>
        <v/>
      </c>
      <c r="T889" s="0" t="str">
        <f aca="false">IF(E889="","",LEFT(R889,S889)&amp;REPT("0",4-S889)&amp;RIGHT("000"&amp;IFERROR(VALUE(MID(R889,S889+1,9)),0),3)&amp;RIGHT("0000"&amp;IFERROR(VALUE(MID(E889,FIND("-",E889)+1,9)),0),4))</f>
        <v/>
      </c>
      <c r="U889" s="0" t="str">
        <f aca="false">IF(I889=1,"K"&amp;RIGHT("00"&amp;A889,2)&amp;T889&amp;RIGHT("00000"&amp;ROW(),5),"")</f>
        <v/>
      </c>
      <c r="V889" s="0" t="str">
        <f aca="false">IF(U889="","",COUNTIFS($I$2:$I$1201,1,$U$2:$U$1201,"&lt;"&amp;U889)+1)</f>
        <v/>
      </c>
    </row>
    <row r="890" customFormat="false" ht="15" hidden="false" customHeight="false" outlineLevel="0" collapsed="false">
      <c r="A890" s="0" t="n">
        <v>15</v>
      </c>
      <c r="B890" s="0" t="n">
        <v>49</v>
      </c>
      <c r="C890" s="0" t="str">
        <f aca="false">TRIM(SUBSTITUTE(INDEX(LISTAS!$A$4:$T$63,B890,A890)&amp;"",CHAR(160)," "))</f>
        <v/>
      </c>
      <c r="D890" s="0" t="str">
        <f aca="false">IF(C890="","",TRIM(RIGHT(SUBSTITUTE(C890," ",REPT(" ",100)),100)))</f>
        <v/>
      </c>
      <c r="E890" s="0" t="str">
        <f aca="false">IF(D890="","",UPPER(SUBSTITUTE(SUBSTITUTE(D890,"(",""),")","")))</f>
        <v/>
      </c>
      <c r="F890" s="0" t="str">
        <f aca="false">IF(C890="","",LEFT(C890,FIND(" ",C890&amp;" ")-1))</f>
        <v/>
      </c>
      <c r="G890" s="0" t="n">
        <f aca="false">IFERROR(VALUE(SUBSTITUTE(LOWER(F890),"x","")),0)</f>
        <v>0</v>
      </c>
      <c r="H890" s="0" t="str">
        <f aca="false">IF(C890="","",TRIM(MID(C890,LEN(F890)+2,999)))</f>
        <v/>
      </c>
      <c r="I890" s="0" t="n">
        <f aca="false">IF(OR(C890="",LEFT(C890,2)="//"),0,IFERROR(IF(AND(G890&gt;0,G890=INT(G890),FIND("-",E890)&gt;1,NOT(EXACT(UPPER(LEFT(E890,1)),LOWER(LEFT(E890,1)))),ISNUMBER(VALUE(MID(E890,FIND("-",E890)+1,10)))),1,0),0))</f>
        <v>0</v>
      </c>
      <c r="J890" s="0" t="str">
        <f aca="false">IF(I890=1,TRIM(LEFT(H890,MAX(0,LEN(H890)-LEN(D890)))),"")</f>
        <v/>
      </c>
      <c r="K890" s="0" t="str">
        <f aca="false">INDEX($P$2:$P$21,A890)</f>
        <v>Deck 15</v>
      </c>
      <c r="L890" s="0" t="n">
        <f aca="false">IF(AND(C890&lt;&gt;"",LEFT(C890,2)&lt;&gt;"//",I890=0),1,0)</f>
        <v>0</v>
      </c>
      <c r="M890" s="0" t="str">
        <f aca="false">IF(I890=1,MAX(M$1:M889)+1,"")</f>
        <v/>
      </c>
      <c r="N890" s="0" t="str">
        <f aca="false">IFERROR(MATCH(ROW()-1,$V$2:$V$1201,0),"")</f>
        <v/>
      </c>
      <c r="R890" s="0" t="str">
        <f aca="false">IF(E890="","",IFERROR(LEFT(E890,FIND("-",E890)-1),E890))</f>
        <v/>
      </c>
      <c r="S890" s="0" t="str">
        <f aca="false">IF(R890="","",IF(ISNUMBER(--MID(R890,1,1)),0,IF(ISNUMBER(--MID(R890,2,1)),1,IF(ISNUMBER(--MID(R890,3,1)),2,IF(ISNUMBER(--MID(R890,4,1)),3,MIN(LEN(R890),4))))))</f>
        <v/>
      </c>
      <c r="T890" s="0" t="str">
        <f aca="false">IF(E890="","",LEFT(R890,S890)&amp;REPT("0",4-S890)&amp;RIGHT("000"&amp;IFERROR(VALUE(MID(R890,S890+1,9)),0),3)&amp;RIGHT("0000"&amp;IFERROR(VALUE(MID(E890,FIND("-",E890)+1,9)),0),4))</f>
        <v/>
      </c>
      <c r="U890" s="0" t="str">
        <f aca="false">IF(I890=1,"K"&amp;RIGHT("00"&amp;A890,2)&amp;T890&amp;RIGHT("00000"&amp;ROW(),5),"")</f>
        <v/>
      </c>
      <c r="V890" s="0" t="str">
        <f aca="false">IF(U890="","",COUNTIFS($I$2:$I$1201,1,$U$2:$U$1201,"&lt;"&amp;U890)+1)</f>
        <v/>
      </c>
    </row>
    <row r="891" customFormat="false" ht="15" hidden="false" customHeight="false" outlineLevel="0" collapsed="false">
      <c r="A891" s="0" t="n">
        <v>15</v>
      </c>
      <c r="B891" s="0" t="n">
        <v>50</v>
      </c>
      <c r="C891" s="0" t="str">
        <f aca="false">TRIM(SUBSTITUTE(INDEX(LISTAS!$A$4:$T$63,B891,A891)&amp;"",CHAR(160)," "))</f>
        <v/>
      </c>
      <c r="D891" s="0" t="str">
        <f aca="false">IF(C891="","",TRIM(RIGHT(SUBSTITUTE(C891," ",REPT(" ",100)),100)))</f>
        <v/>
      </c>
      <c r="E891" s="0" t="str">
        <f aca="false">IF(D891="","",UPPER(SUBSTITUTE(SUBSTITUTE(D891,"(",""),")","")))</f>
        <v/>
      </c>
      <c r="F891" s="0" t="str">
        <f aca="false">IF(C891="","",LEFT(C891,FIND(" ",C891&amp;" ")-1))</f>
        <v/>
      </c>
      <c r="G891" s="0" t="n">
        <f aca="false">IFERROR(VALUE(SUBSTITUTE(LOWER(F891),"x","")),0)</f>
        <v>0</v>
      </c>
      <c r="H891" s="0" t="str">
        <f aca="false">IF(C891="","",TRIM(MID(C891,LEN(F891)+2,999)))</f>
        <v/>
      </c>
      <c r="I891" s="0" t="n">
        <f aca="false">IF(OR(C891="",LEFT(C891,2)="//"),0,IFERROR(IF(AND(G891&gt;0,G891=INT(G891),FIND("-",E891)&gt;1,NOT(EXACT(UPPER(LEFT(E891,1)),LOWER(LEFT(E891,1)))),ISNUMBER(VALUE(MID(E891,FIND("-",E891)+1,10)))),1,0),0))</f>
        <v>0</v>
      </c>
      <c r="J891" s="0" t="str">
        <f aca="false">IF(I891=1,TRIM(LEFT(H891,MAX(0,LEN(H891)-LEN(D891)))),"")</f>
        <v/>
      </c>
      <c r="K891" s="0" t="str">
        <f aca="false">INDEX($P$2:$P$21,A891)</f>
        <v>Deck 15</v>
      </c>
      <c r="L891" s="0" t="n">
        <f aca="false">IF(AND(C891&lt;&gt;"",LEFT(C891,2)&lt;&gt;"//",I891=0),1,0)</f>
        <v>0</v>
      </c>
      <c r="M891" s="0" t="str">
        <f aca="false">IF(I891=1,MAX(M$1:M890)+1,"")</f>
        <v/>
      </c>
      <c r="N891" s="0" t="str">
        <f aca="false">IFERROR(MATCH(ROW()-1,$V$2:$V$1201,0),"")</f>
        <v/>
      </c>
      <c r="R891" s="0" t="str">
        <f aca="false">IF(E891="","",IFERROR(LEFT(E891,FIND("-",E891)-1),E891))</f>
        <v/>
      </c>
      <c r="S891" s="0" t="str">
        <f aca="false">IF(R891="","",IF(ISNUMBER(--MID(R891,1,1)),0,IF(ISNUMBER(--MID(R891,2,1)),1,IF(ISNUMBER(--MID(R891,3,1)),2,IF(ISNUMBER(--MID(R891,4,1)),3,MIN(LEN(R891),4))))))</f>
        <v/>
      </c>
      <c r="T891" s="0" t="str">
        <f aca="false">IF(E891="","",LEFT(R891,S891)&amp;REPT("0",4-S891)&amp;RIGHT("000"&amp;IFERROR(VALUE(MID(R891,S891+1,9)),0),3)&amp;RIGHT("0000"&amp;IFERROR(VALUE(MID(E891,FIND("-",E891)+1,9)),0),4))</f>
        <v/>
      </c>
      <c r="U891" s="0" t="str">
        <f aca="false">IF(I891=1,"K"&amp;RIGHT("00"&amp;A891,2)&amp;T891&amp;RIGHT("00000"&amp;ROW(),5),"")</f>
        <v/>
      </c>
      <c r="V891" s="0" t="str">
        <f aca="false">IF(U891="","",COUNTIFS($I$2:$I$1201,1,$U$2:$U$1201,"&lt;"&amp;U891)+1)</f>
        <v/>
      </c>
    </row>
    <row r="892" customFormat="false" ht="15" hidden="false" customHeight="false" outlineLevel="0" collapsed="false">
      <c r="A892" s="0" t="n">
        <v>15</v>
      </c>
      <c r="B892" s="0" t="n">
        <v>51</v>
      </c>
      <c r="C892" s="0" t="str">
        <f aca="false">TRIM(SUBSTITUTE(INDEX(LISTAS!$A$4:$T$63,B892,A892)&amp;"",CHAR(160)," "))</f>
        <v/>
      </c>
      <c r="D892" s="0" t="str">
        <f aca="false">IF(C892="","",TRIM(RIGHT(SUBSTITUTE(C892," ",REPT(" ",100)),100)))</f>
        <v/>
      </c>
      <c r="E892" s="0" t="str">
        <f aca="false">IF(D892="","",UPPER(SUBSTITUTE(SUBSTITUTE(D892,"(",""),")","")))</f>
        <v/>
      </c>
      <c r="F892" s="0" t="str">
        <f aca="false">IF(C892="","",LEFT(C892,FIND(" ",C892&amp;" ")-1))</f>
        <v/>
      </c>
      <c r="G892" s="0" t="n">
        <f aca="false">IFERROR(VALUE(SUBSTITUTE(LOWER(F892),"x","")),0)</f>
        <v>0</v>
      </c>
      <c r="H892" s="0" t="str">
        <f aca="false">IF(C892="","",TRIM(MID(C892,LEN(F892)+2,999)))</f>
        <v/>
      </c>
      <c r="I892" s="0" t="n">
        <f aca="false">IF(OR(C892="",LEFT(C892,2)="//"),0,IFERROR(IF(AND(G892&gt;0,G892=INT(G892),FIND("-",E892)&gt;1,NOT(EXACT(UPPER(LEFT(E892,1)),LOWER(LEFT(E892,1)))),ISNUMBER(VALUE(MID(E892,FIND("-",E892)+1,10)))),1,0),0))</f>
        <v>0</v>
      </c>
      <c r="J892" s="0" t="str">
        <f aca="false">IF(I892=1,TRIM(LEFT(H892,MAX(0,LEN(H892)-LEN(D892)))),"")</f>
        <v/>
      </c>
      <c r="K892" s="0" t="str">
        <f aca="false">INDEX($P$2:$P$21,A892)</f>
        <v>Deck 15</v>
      </c>
      <c r="L892" s="0" t="n">
        <f aca="false">IF(AND(C892&lt;&gt;"",LEFT(C892,2)&lt;&gt;"//",I892=0),1,0)</f>
        <v>0</v>
      </c>
      <c r="M892" s="0" t="str">
        <f aca="false">IF(I892=1,MAX(M$1:M891)+1,"")</f>
        <v/>
      </c>
      <c r="N892" s="0" t="str">
        <f aca="false">IFERROR(MATCH(ROW()-1,$V$2:$V$1201,0),"")</f>
        <v/>
      </c>
      <c r="R892" s="0" t="str">
        <f aca="false">IF(E892="","",IFERROR(LEFT(E892,FIND("-",E892)-1),E892))</f>
        <v/>
      </c>
      <c r="S892" s="0" t="str">
        <f aca="false">IF(R892="","",IF(ISNUMBER(--MID(R892,1,1)),0,IF(ISNUMBER(--MID(R892,2,1)),1,IF(ISNUMBER(--MID(R892,3,1)),2,IF(ISNUMBER(--MID(R892,4,1)),3,MIN(LEN(R892),4))))))</f>
        <v/>
      </c>
      <c r="T892" s="0" t="str">
        <f aca="false">IF(E892="","",LEFT(R892,S892)&amp;REPT("0",4-S892)&amp;RIGHT("000"&amp;IFERROR(VALUE(MID(R892,S892+1,9)),0),3)&amp;RIGHT("0000"&amp;IFERROR(VALUE(MID(E892,FIND("-",E892)+1,9)),0),4))</f>
        <v/>
      </c>
      <c r="U892" s="0" t="str">
        <f aca="false">IF(I892=1,"K"&amp;RIGHT("00"&amp;A892,2)&amp;T892&amp;RIGHT("00000"&amp;ROW(),5),"")</f>
        <v/>
      </c>
      <c r="V892" s="0" t="str">
        <f aca="false">IF(U892="","",COUNTIFS($I$2:$I$1201,1,$U$2:$U$1201,"&lt;"&amp;U892)+1)</f>
        <v/>
      </c>
    </row>
    <row r="893" customFormat="false" ht="15" hidden="false" customHeight="false" outlineLevel="0" collapsed="false">
      <c r="A893" s="0" t="n">
        <v>15</v>
      </c>
      <c r="B893" s="0" t="n">
        <v>52</v>
      </c>
      <c r="C893" s="0" t="str">
        <f aca="false">TRIM(SUBSTITUTE(INDEX(LISTAS!$A$4:$T$63,B893,A893)&amp;"",CHAR(160)," "))</f>
        <v/>
      </c>
      <c r="D893" s="0" t="str">
        <f aca="false">IF(C893="","",TRIM(RIGHT(SUBSTITUTE(C893," ",REPT(" ",100)),100)))</f>
        <v/>
      </c>
      <c r="E893" s="0" t="str">
        <f aca="false">IF(D893="","",UPPER(SUBSTITUTE(SUBSTITUTE(D893,"(",""),")","")))</f>
        <v/>
      </c>
      <c r="F893" s="0" t="str">
        <f aca="false">IF(C893="","",LEFT(C893,FIND(" ",C893&amp;" ")-1))</f>
        <v/>
      </c>
      <c r="G893" s="0" t="n">
        <f aca="false">IFERROR(VALUE(SUBSTITUTE(LOWER(F893),"x","")),0)</f>
        <v>0</v>
      </c>
      <c r="H893" s="0" t="str">
        <f aca="false">IF(C893="","",TRIM(MID(C893,LEN(F893)+2,999)))</f>
        <v/>
      </c>
      <c r="I893" s="0" t="n">
        <f aca="false">IF(OR(C893="",LEFT(C893,2)="//"),0,IFERROR(IF(AND(G893&gt;0,G893=INT(G893),FIND("-",E893)&gt;1,NOT(EXACT(UPPER(LEFT(E893,1)),LOWER(LEFT(E893,1)))),ISNUMBER(VALUE(MID(E893,FIND("-",E893)+1,10)))),1,0),0))</f>
        <v>0</v>
      </c>
      <c r="J893" s="0" t="str">
        <f aca="false">IF(I893=1,TRIM(LEFT(H893,MAX(0,LEN(H893)-LEN(D893)))),"")</f>
        <v/>
      </c>
      <c r="K893" s="0" t="str">
        <f aca="false">INDEX($P$2:$P$21,A893)</f>
        <v>Deck 15</v>
      </c>
      <c r="L893" s="0" t="n">
        <f aca="false">IF(AND(C893&lt;&gt;"",LEFT(C893,2)&lt;&gt;"//",I893=0),1,0)</f>
        <v>0</v>
      </c>
      <c r="M893" s="0" t="str">
        <f aca="false">IF(I893=1,MAX(M$1:M892)+1,"")</f>
        <v/>
      </c>
      <c r="N893" s="0" t="str">
        <f aca="false">IFERROR(MATCH(ROW()-1,$V$2:$V$1201,0),"")</f>
        <v/>
      </c>
      <c r="R893" s="0" t="str">
        <f aca="false">IF(E893="","",IFERROR(LEFT(E893,FIND("-",E893)-1),E893))</f>
        <v/>
      </c>
      <c r="S893" s="0" t="str">
        <f aca="false">IF(R893="","",IF(ISNUMBER(--MID(R893,1,1)),0,IF(ISNUMBER(--MID(R893,2,1)),1,IF(ISNUMBER(--MID(R893,3,1)),2,IF(ISNUMBER(--MID(R893,4,1)),3,MIN(LEN(R893),4))))))</f>
        <v/>
      </c>
      <c r="T893" s="0" t="str">
        <f aca="false">IF(E893="","",LEFT(R893,S893)&amp;REPT("0",4-S893)&amp;RIGHT("000"&amp;IFERROR(VALUE(MID(R893,S893+1,9)),0),3)&amp;RIGHT("0000"&amp;IFERROR(VALUE(MID(E893,FIND("-",E893)+1,9)),0),4))</f>
        <v/>
      </c>
      <c r="U893" s="0" t="str">
        <f aca="false">IF(I893=1,"K"&amp;RIGHT("00"&amp;A893,2)&amp;T893&amp;RIGHT("00000"&amp;ROW(),5),"")</f>
        <v/>
      </c>
      <c r="V893" s="0" t="str">
        <f aca="false">IF(U893="","",COUNTIFS($I$2:$I$1201,1,$U$2:$U$1201,"&lt;"&amp;U893)+1)</f>
        <v/>
      </c>
    </row>
    <row r="894" customFormat="false" ht="15" hidden="false" customHeight="false" outlineLevel="0" collapsed="false">
      <c r="A894" s="0" t="n">
        <v>15</v>
      </c>
      <c r="B894" s="0" t="n">
        <v>53</v>
      </c>
      <c r="C894" s="0" t="str">
        <f aca="false">TRIM(SUBSTITUTE(INDEX(LISTAS!$A$4:$T$63,B894,A894)&amp;"",CHAR(160)," "))</f>
        <v/>
      </c>
      <c r="D894" s="0" t="str">
        <f aca="false">IF(C894="","",TRIM(RIGHT(SUBSTITUTE(C894," ",REPT(" ",100)),100)))</f>
        <v/>
      </c>
      <c r="E894" s="0" t="str">
        <f aca="false">IF(D894="","",UPPER(SUBSTITUTE(SUBSTITUTE(D894,"(",""),")","")))</f>
        <v/>
      </c>
      <c r="F894" s="0" t="str">
        <f aca="false">IF(C894="","",LEFT(C894,FIND(" ",C894&amp;" ")-1))</f>
        <v/>
      </c>
      <c r="G894" s="0" t="n">
        <f aca="false">IFERROR(VALUE(SUBSTITUTE(LOWER(F894),"x","")),0)</f>
        <v>0</v>
      </c>
      <c r="H894" s="0" t="str">
        <f aca="false">IF(C894="","",TRIM(MID(C894,LEN(F894)+2,999)))</f>
        <v/>
      </c>
      <c r="I894" s="0" t="n">
        <f aca="false">IF(OR(C894="",LEFT(C894,2)="//"),0,IFERROR(IF(AND(G894&gt;0,G894=INT(G894),FIND("-",E894)&gt;1,NOT(EXACT(UPPER(LEFT(E894,1)),LOWER(LEFT(E894,1)))),ISNUMBER(VALUE(MID(E894,FIND("-",E894)+1,10)))),1,0),0))</f>
        <v>0</v>
      </c>
      <c r="J894" s="0" t="str">
        <f aca="false">IF(I894=1,TRIM(LEFT(H894,MAX(0,LEN(H894)-LEN(D894)))),"")</f>
        <v/>
      </c>
      <c r="K894" s="0" t="str">
        <f aca="false">INDEX($P$2:$P$21,A894)</f>
        <v>Deck 15</v>
      </c>
      <c r="L894" s="0" t="n">
        <f aca="false">IF(AND(C894&lt;&gt;"",LEFT(C894,2)&lt;&gt;"//",I894=0),1,0)</f>
        <v>0</v>
      </c>
      <c r="M894" s="0" t="str">
        <f aca="false">IF(I894=1,MAX(M$1:M893)+1,"")</f>
        <v/>
      </c>
      <c r="N894" s="0" t="str">
        <f aca="false">IFERROR(MATCH(ROW()-1,$V$2:$V$1201,0),"")</f>
        <v/>
      </c>
      <c r="R894" s="0" t="str">
        <f aca="false">IF(E894="","",IFERROR(LEFT(E894,FIND("-",E894)-1),E894))</f>
        <v/>
      </c>
      <c r="S894" s="0" t="str">
        <f aca="false">IF(R894="","",IF(ISNUMBER(--MID(R894,1,1)),0,IF(ISNUMBER(--MID(R894,2,1)),1,IF(ISNUMBER(--MID(R894,3,1)),2,IF(ISNUMBER(--MID(R894,4,1)),3,MIN(LEN(R894),4))))))</f>
        <v/>
      </c>
      <c r="T894" s="0" t="str">
        <f aca="false">IF(E894="","",LEFT(R894,S894)&amp;REPT("0",4-S894)&amp;RIGHT("000"&amp;IFERROR(VALUE(MID(R894,S894+1,9)),0),3)&amp;RIGHT("0000"&amp;IFERROR(VALUE(MID(E894,FIND("-",E894)+1,9)),0),4))</f>
        <v/>
      </c>
      <c r="U894" s="0" t="str">
        <f aca="false">IF(I894=1,"K"&amp;RIGHT("00"&amp;A894,2)&amp;T894&amp;RIGHT("00000"&amp;ROW(),5),"")</f>
        <v/>
      </c>
      <c r="V894" s="0" t="str">
        <f aca="false">IF(U894="","",COUNTIFS($I$2:$I$1201,1,$U$2:$U$1201,"&lt;"&amp;U894)+1)</f>
        <v/>
      </c>
    </row>
    <row r="895" customFormat="false" ht="15" hidden="false" customHeight="false" outlineLevel="0" collapsed="false">
      <c r="A895" s="0" t="n">
        <v>15</v>
      </c>
      <c r="B895" s="0" t="n">
        <v>54</v>
      </c>
      <c r="C895" s="0" t="str">
        <f aca="false">TRIM(SUBSTITUTE(INDEX(LISTAS!$A$4:$T$63,B895,A895)&amp;"",CHAR(160)," "))</f>
        <v/>
      </c>
      <c r="D895" s="0" t="str">
        <f aca="false">IF(C895="","",TRIM(RIGHT(SUBSTITUTE(C895," ",REPT(" ",100)),100)))</f>
        <v/>
      </c>
      <c r="E895" s="0" t="str">
        <f aca="false">IF(D895="","",UPPER(SUBSTITUTE(SUBSTITUTE(D895,"(",""),")","")))</f>
        <v/>
      </c>
      <c r="F895" s="0" t="str">
        <f aca="false">IF(C895="","",LEFT(C895,FIND(" ",C895&amp;" ")-1))</f>
        <v/>
      </c>
      <c r="G895" s="0" t="n">
        <f aca="false">IFERROR(VALUE(SUBSTITUTE(LOWER(F895),"x","")),0)</f>
        <v>0</v>
      </c>
      <c r="H895" s="0" t="str">
        <f aca="false">IF(C895="","",TRIM(MID(C895,LEN(F895)+2,999)))</f>
        <v/>
      </c>
      <c r="I895" s="0" t="n">
        <f aca="false">IF(OR(C895="",LEFT(C895,2)="//"),0,IFERROR(IF(AND(G895&gt;0,G895=INT(G895),FIND("-",E895)&gt;1,NOT(EXACT(UPPER(LEFT(E895,1)),LOWER(LEFT(E895,1)))),ISNUMBER(VALUE(MID(E895,FIND("-",E895)+1,10)))),1,0),0))</f>
        <v>0</v>
      </c>
      <c r="J895" s="0" t="str">
        <f aca="false">IF(I895=1,TRIM(LEFT(H895,MAX(0,LEN(H895)-LEN(D895)))),"")</f>
        <v/>
      </c>
      <c r="K895" s="0" t="str">
        <f aca="false">INDEX($P$2:$P$21,A895)</f>
        <v>Deck 15</v>
      </c>
      <c r="L895" s="0" t="n">
        <f aca="false">IF(AND(C895&lt;&gt;"",LEFT(C895,2)&lt;&gt;"//",I895=0),1,0)</f>
        <v>0</v>
      </c>
      <c r="M895" s="0" t="str">
        <f aca="false">IF(I895=1,MAX(M$1:M894)+1,"")</f>
        <v/>
      </c>
      <c r="N895" s="0" t="str">
        <f aca="false">IFERROR(MATCH(ROW()-1,$V$2:$V$1201,0),"")</f>
        <v/>
      </c>
      <c r="R895" s="0" t="str">
        <f aca="false">IF(E895="","",IFERROR(LEFT(E895,FIND("-",E895)-1),E895))</f>
        <v/>
      </c>
      <c r="S895" s="0" t="str">
        <f aca="false">IF(R895="","",IF(ISNUMBER(--MID(R895,1,1)),0,IF(ISNUMBER(--MID(R895,2,1)),1,IF(ISNUMBER(--MID(R895,3,1)),2,IF(ISNUMBER(--MID(R895,4,1)),3,MIN(LEN(R895),4))))))</f>
        <v/>
      </c>
      <c r="T895" s="0" t="str">
        <f aca="false">IF(E895="","",LEFT(R895,S895)&amp;REPT("0",4-S895)&amp;RIGHT("000"&amp;IFERROR(VALUE(MID(R895,S895+1,9)),0),3)&amp;RIGHT("0000"&amp;IFERROR(VALUE(MID(E895,FIND("-",E895)+1,9)),0),4))</f>
        <v/>
      </c>
      <c r="U895" s="0" t="str">
        <f aca="false">IF(I895=1,"K"&amp;RIGHT("00"&amp;A895,2)&amp;T895&amp;RIGHT("00000"&amp;ROW(),5),"")</f>
        <v/>
      </c>
      <c r="V895" s="0" t="str">
        <f aca="false">IF(U895="","",COUNTIFS($I$2:$I$1201,1,$U$2:$U$1201,"&lt;"&amp;U895)+1)</f>
        <v/>
      </c>
    </row>
    <row r="896" customFormat="false" ht="15" hidden="false" customHeight="false" outlineLevel="0" collapsed="false">
      <c r="A896" s="0" t="n">
        <v>15</v>
      </c>
      <c r="B896" s="0" t="n">
        <v>55</v>
      </c>
      <c r="C896" s="0" t="str">
        <f aca="false">TRIM(SUBSTITUTE(INDEX(LISTAS!$A$4:$T$63,B896,A896)&amp;"",CHAR(160)," "))</f>
        <v/>
      </c>
      <c r="D896" s="0" t="str">
        <f aca="false">IF(C896="","",TRIM(RIGHT(SUBSTITUTE(C896," ",REPT(" ",100)),100)))</f>
        <v/>
      </c>
      <c r="E896" s="0" t="str">
        <f aca="false">IF(D896="","",UPPER(SUBSTITUTE(SUBSTITUTE(D896,"(",""),")","")))</f>
        <v/>
      </c>
      <c r="F896" s="0" t="str">
        <f aca="false">IF(C896="","",LEFT(C896,FIND(" ",C896&amp;" ")-1))</f>
        <v/>
      </c>
      <c r="G896" s="0" t="n">
        <f aca="false">IFERROR(VALUE(SUBSTITUTE(LOWER(F896),"x","")),0)</f>
        <v>0</v>
      </c>
      <c r="H896" s="0" t="str">
        <f aca="false">IF(C896="","",TRIM(MID(C896,LEN(F896)+2,999)))</f>
        <v/>
      </c>
      <c r="I896" s="0" t="n">
        <f aca="false">IF(OR(C896="",LEFT(C896,2)="//"),0,IFERROR(IF(AND(G896&gt;0,G896=INT(G896),FIND("-",E896)&gt;1,NOT(EXACT(UPPER(LEFT(E896,1)),LOWER(LEFT(E896,1)))),ISNUMBER(VALUE(MID(E896,FIND("-",E896)+1,10)))),1,0),0))</f>
        <v>0</v>
      </c>
      <c r="J896" s="0" t="str">
        <f aca="false">IF(I896=1,TRIM(LEFT(H896,MAX(0,LEN(H896)-LEN(D896)))),"")</f>
        <v/>
      </c>
      <c r="K896" s="0" t="str">
        <f aca="false">INDEX($P$2:$P$21,A896)</f>
        <v>Deck 15</v>
      </c>
      <c r="L896" s="0" t="n">
        <f aca="false">IF(AND(C896&lt;&gt;"",LEFT(C896,2)&lt;&gt;"//",I896=0),1,0)</f>
        <v>0</v>
      </c>
      <c r="M896" s="0" t="str">
        <f aca="false">IF(I896=1,MAX(M$1:M895)+1,"")</f>
        <v/>
      </c>
      <c r="N896" s="0" t="str">
        <f aca="false">IFERROR(MATCH(ROW()-1,$V$2:$V$1201,0),"")</f>
        <v/>
      </c>
      <c r="R896" s="0" t="str">
        <f aca="false">IF(E896="","",IFERROR(LEFT(E896,FIND("-",E896)-1),E896))</f>
        <v/>
      </c>
      <c r="S896" s="0" t="str">
        <f aca="false">IF(R896="","",IF(ISNUMBER(--MID(R896,1,1)),0,IF(ISNUMBER(--MID(R896,2,1)),1,IF(ISNUMBER(--MID(R896,3,1)),2,IF(ISNUMBER(--MID(R896,4,1)),3,MIN(LEN(R896),4))))))</f>
        <v/>
      </c>
      <c r="T896" s="0" t="str">
        <f aca="false">IF(E896="","",LEFT(R896,S896)&amp;REPT("0",4-S896)&amp;RIGHT("000"&amp;IFERROR(VALUE(MID(R896,S896+1,9)),0),3)&amp;RIGHT("0000"&amp;IFERROR(VALUE(MID(E896,FIND("-",E896)+1,9)),0),4))</f>
        <v/>
      </c>
      <c r="U896" s="0" t="str">
        <f aca="false">IF(I896=1,"K"&amp;RIGHT("00"&amp;A896,2)&amp;T896&amp;RIGHT("00000"&amp;ROW(),5),"")</f>
        <v/>
      </c>
      <c r="V896" s="0" t="str">
        <f aca="false">IF(U896="","",COUNTIFS($I$2:$I$1201,1,$U$2:$U$1201,"&lt;"&amp;U896)+1)</f>
        <v/>
      </c>
    </row>
    <row r="897" customFormat="false" ht="15" hidden="false" customHeight="false" outlineLevel="0" collapsed="false">
      <c r="A897" s="0" t="n">
        <v>15</v>
      </c>
      <c r="B897" s="0" t="n">
        <v>56</v>
      </c>
      <c r="C897" s="0" t="str">
        <f aca="false">TRIM(SUBSTITUTE(INDEX(LISTAS!$A$4:$T$63,B897,A897)&amp;"",CHAR(160)," "))</f>
        <v/>
      </c>
      <c r="D897" s="0" t="str">
        <f aca="false">IF(C897="","",TRIM(RIGHT(SUBSTITUTE(C897," ",REPT(" ",100)),100)))</f>
        <v/>
      </c>
      <c r="E897" s="0" t="str">
        <f aca="false">IF(D897="","",UPPER(SUBSTITUTE(SUBSTITUTE(D897,"(",""),")","")))</f>
        <v/>
      </c>
      <c r="F897" s="0" t="str">
        <f aca="false">IF(C897="","",LEFT(C897,FIND(" ",C897&amp;" ")-1))</f>
        <v/>
      </c>
      <c r="G897" s="0" t="n">
        <f aca="false">IFERROR(VALUE(SUBSTITUTE(LOWER(F897),"x","")),0)</f>
        <v>0</v>
      </c>
      <c r="H897" s="0" t="str">
        <f aca="false">IF(C897="","",TRIM(MID(C897,LEN(F897)+2,999)))</f>
        <v/>
      </c>
      <c r="I897" s="0" t="n">
        <f aca="false">IF(OR(C897="",LEFT(C897,2)="//"),0,IFERROR(IF(AND(G897&gt;0,G897=INT(G897),FIND("-",E897)&gt;1,NOT(EXACT(UPPER(LEFT(E897,1)),LOWER(LEFT(E897,1)))),ISNUMBER(VALUE(MID(E897,FIND("-",E897)+1,10)))),1,0),0))</f>
        <v>0</v>
      </c>
      <c r="J897" s="0" t="str">
        <f aca="false">IF(I897=1,TRIM(LEFT(H897,MAX(0,LEN(H897)-LEN(D897)))),"")</f>
        <v/>
      </c>
      <c r="K897" s="0" t="str">
        <f aca="false">INDEX($P$2:$P$21,A897)</f>
        <v>Deck 15</v>
      </c>
      <c r="L897" s="0" t="n">
        <f aca="false">IF(AND(C897&lt;&gt;"",LEFT(C897,2)&lt;&gt;"//",I897=0),1,0)</f>
        <v>0</v>
      </c>
      <c r="M897" s="0" t="str">
        <f aca="false">IF(I897=1,MAX(M$1:M896)+1,"")</f>
        <v/>
      </c>
      <c r="N897" s="0" t="str">
        <f aca="false">IFERROR(MATCH(ROW()-1,$V$2:$V$1201,0),"")</f>
        <v/>
      </c>
      <c r="R897" s="0" t="str">
        <f aca="false">IF(E897="","",IFERROR(LEFT(E897,FIND("-",E897)-1),E897))</f>
        <v/>
      </c>
      <c r="S897" s="0" t="str">
        <f aca="false">IF(R897="","",IF(ISNUMBER(--MID(R897,1,1)),0,IF(ISNUMBER(--MID(R897,2,1)),1,IF(ISNUMBER(--MID(R897,3,1)),2,IF(ISNUMBER(--MID(R897,4,1)),3,MIN(LEN(R897),4))))))</f>
        <v/>
      </c>
      <c r="T897" s="0" t="str">
        <f aca="false">IF(E897="","",LEFT(R897,S897)&amp;REPT("0",4-S897)&amp;RIGHT("000"&amp;IFERROR(VALUE(MID(R897,S897+1,9)),0),3)&amp;RIGHT("0000"&amp;IFERROR(VALUE(MID(E897,FIND("-",E897)+1,9)),0),4))</f>
        <v/>
      </c>
      <c r="U897" s="0" t="str">
        <f aca="false">IF(I897=1,"K"&amp;RIGHT("00"&amp;A897,2)&amp;T897&amp;RIGHT("00000"&amp;ROW(),5),"")</f>
        <v/>
      </c>
      <c r="V897" s="0" t="str">
        <f aca="false">IF(U897="","",COUNTIFS($I$2:$I$1201,1,$U$2:$U$1201,"&lt;"&amp;U897)+1)</f>
        <v/>
      </c>
    </row>
    <row r="898" customFormat="false" ht="15" hidden="false" customHeight="false" outlineLevel="0" collapsed="false">
      <c r="A898" s="0" t="n">
        <v>15</v>
      </c>
      <c r="B898" s="0" t="n">
        <v>57</v>
      </c>
      <c r="C898" s="0" t="str">
        <f aca="false">TRIM(SUBSTITUTE(INDEX(LISTAS!$A$4:$T$63,B898,A898)&amp;"",CHAR(160)," "))</f>
        <v/>
      </c>
      <c r="D898" s="0" t="str">
        <f aca="false">IF(C898="","",TRIM(RIGHT(SUBSTITUTE(C898," ",REPT(" ",100)),100)))</f>
        <v/>
      </c>
      <c r="E898" s="0" t="str">
        <f aca="false">IF(D898="","",UPPER(SUBSTITUTE(SUBSTITUTE(D898,"(",""),")","")))</f>
        <v/>
      </c>
      <c r="F898" s="0" t="str">
        <f aca="false">IF(C898="","",LEFT(C898,FIND(" ",C898&amp;" ")-1))</f>
        <v/>
      </c>
      <c r="G898" s="0" t="n">
        <f aca="false">IFERROR(VALUE(SUBSTITUTE(LOWER(F898),"x","")),0)</f>
        <v>0</v>
      </c>
      <c r="H898" s="0" t="str">
        <f aca="false">IF(C898="","",TRIM(MID(C898,LEN(F898)+2,999)))</f>
        <v/>
      </c>
      <c r="I898" s="0" t="n">
        <f aca="false">IF(OR(C898="",LEFT(C898,2)="//"),0,IFERROR(IF(AND(G898&gt;0,G898=INT(G898),FIND("-",E898)&gt;1,NOT(EXACT(UPPER(LEFT(E898,1)),LOWER(LEFT(E898,1)))),ISNUMBER(VALUE(MID(E898,FIND("-",E898)+1,10)))),1,0),0))</f>
        <v>0</v>
      </c>
      <c r="J898" s="0" t="str">
        <f aca="false">IF(I898=1,TRIM(LEFT(H898,MAX(0,LEN(H898)-LEN(D898)))),"")</f>
        <v/>
      </c>
      <c r="K898" s="0" t="str">
        <f aca="false">INDEX($P$2:$P$21,A898)</f>
        <v>Deck 15</v>
      </c>
      <c r="L898" s="0" t="n">
        <f aca="false">IF(AND(C898&lt;&gt;"",LEFT(C898,2)&lt;&gt;"//",I898=0),1,0)</f>
        <v>0</v>
      </c>
      <c r="M898" s="0" t="str">
        <f aca="false">IF(I898=1,MAX(M$1:M897)+1,"")</f>
        <v/>
      </c>
      <c r="N898" s="0" t="str">
        <f aca="false">IFERROR(MATCH(ROW()-1,$V$2:$V$1201,0),"")</f>
        <v/>
      </c>
      <c r="R898" s="0" t="str">
        <f aca="false">IF(E898="","",IFERROR(LEFT(E898,FIND("-",E898)-1),E898))</f>
        <v/>
      </c>
      <c r="S898" s="0" t="str">
        <f aca="false">IF(R898="","",IF(ISNUMBER(--MID(R898,1,1)),0,IF(ISNUMBER(--MID(R898,2,1)),1,IF(ISNUMBER(--MID(R898,3,1)),2,IF(ISNUMBER(--MID(R898,4,1)),3,MIN(LEN(R898),4))))))</f>
        <v/>
      </c>
      <c r="T898" s="0" t="str">
        <f aca="false">IF(E898="","",LEFT(R898,S898)&amp;REPT("0",4-S898)&amp;RIGHT("000"&amp;IFERROR(VALUE(MID(R898,S898+1,9)),0),3)&amp;RIGHT("0000"&amp;IFERROR(VALUE(MID(E898,FIND("-",E898)+1,9)),0),4))</f>
        <v/>
      </c>
      <c r="U898" s="0" t="str">
        <f aca="false">IF(I898=1,"K"&amp;RIGHT("00"&amp;A898,2)&amp;T898&amp;RIGHT("00000"&amp;ROW(),5),"")</f>
        <v/>
      </c>
      <c r="V898" s="0" t="str">
        <f aca="false">IF(U898="","",COUNTIFS($I$2:$I$1201,1,$U$2:$U$1201,"&lt;"&amp;U898)+1)</f>
        <v/>
      </c>
    </row>
    <row r="899" customFormat="false" ht="15" hidden="false" customHeight="false" outlineLevel="0" collapsed="false">
      <c r="A899" s="0" t="n">
        <v>15</v>
      </c>
      <c r="B899" s="0" t="n">
        <v>58</v>
      </c>
      <c r="C899" s="0" t="str">
        <f aca="false">TRIM(SUBSTITUTE(INDEX(LISTAS!$A$4:$T$63,B899,A899)&amp;"",CHAR(160)," "))</f>
        <v/>
      </c>
      <c r="D899" s="0" t="str">
        <f aca="false">IF(C899="","",TRIM(RIGHT(SUBSTITUTE(C899," ",REPT(" ",100)),100)))</f>
        <v/>
      </c>
      <c r="E899" s="0" t="str">
        <f aca="false">IF(D899="","",UPPER(SUBSTITUTE(SUBSTITUTE(D899,"(",""),")","")))</f>
        <v/>
      </c>
      <c r="F899" s="0" t="str">
        <f aca="false">IF(C899="","",LEFT(C899,FIND(" ",C899&amp;" ")-1))</f>
        <v/>
      </c>
      <c r="G899" s="0" t="n">
        <f aca="false">IFERROR(VALUE(SUBSTITUTE(LOWER(F899),"x","")),0)</f>
        <v>0</v>
      </c>
      <c r="H899" s="0" t="str">
        <f aca="false">IF(C899="","",TRIM(MID(C899,LEN(F899)+2,999)))</f>
        <v/>
      </c>
      <c r="I899" s="0" t="n">
        <f aca="false">IF(OR(C899="",LEFT(C899,2)="//"),0,IFERROR(IF(AND(G899&gt;0,G899=INT(G899),FIND("-",E899)&gt;1,NOT(EXACT(UPPER(LEFT(E899,1)),LOWER(LEFT(E899,1)))),ISNUMBER(VALUE(MID(E899,FIND("-",E899)+1,10)))),1,0),0))</f>
        <v>0</v>
      </c>
      <c r="J899" s="0" t="str">
        <f aca="false">IF(I899=1,TRIM(LEFT(H899,MAX(0,LEN(H899)-LEN(D899)))),"")</f>
        <v/>
      </c>
      <c r="K899" s="0" t="str">
        <f aca="false">INDEX($P$2:$P$21,A899)</f>
        <v>Deck 15</v>
      </c>
      <c r="L899" s="0" t="n">
        <f aca="false">IF(AND(C899&lt;&gt;"",LEFT(C899,2)&lt;&gt;"//",I899=0),1,0)</f>
        <v>0</v>
      </c>
      <c r="M899" s="0" t="str">
        <f aca="false">IF(I899=1,MAX(M$1:M898)+1,"")</f>
        <v/>
      </c>
      <c r="N899" s="0" t="str">
        <f aca="false">IFERROR(MATCH(ROW()-1,$V$2:$V$1201,0),"")</f>
        <v/>
      </c>
      <c r="R899" s="0" t="str">
        <f aca="false">IF(E899="","",IFERROR(LEFT(E899,FIND("-",E899)-1),E899))</f>
        <v/>
      </c>
      <c r="S899" s="0" t="str">
        <f aca="false">IF(R899="","",IF(ISNUMBER(--MID(R899,1,1)),0,IF(ISNUMBER(--MID(R899,2,1)),1,IF(ISNUMBER(--MID(R899,3,1)),2,IF(ISNUMBER(--MID(R899,4,1)),3,MIN(LEN(R899),4))))))</f>
        <v/>
      </c>
      <c r="T899" s="0" t="str">
        <f aca="false">IF(E899="","",LEFT(R899,S899)&amp;REPT("0",4-S899)&amp;RIGHT("000"&amp;IFERROR(VALUE(MID(R899,S899+1,9)),0),3)&amp;RIGHT("0000"&amp;IFERROR(VALUE(MID(E899,FIND("-",E899)+1,9)),0),4))</f>
        <v/>
      </c>
      <c r="U899" s="0" t="str">
        <f aca="false">IF(I899=1,"K"&amp;RIGHT("00"&amp;A899,2)&amp;T899&amp;RIGHT("00000"&amp;ROW(),5),"")</f>
        <v/>
      </c>
      <c r="V899" s="0" t="str">
        <f aca="false">IF(U899="","",COUNTIFS($I$2:$I$1201,1,$U$2:$U$1201,"&lt;"&amp;U899)+1)</f>
        <v/>
      </c>
    </row>
    <row r="900" customFormat="false" ht="15" hidden="false" customHeight="false" outlineLevel="0" collapsed="false">
      <c r="A900" s="0" t="n">
        <v>15</v>
      </c>
      <c r="B900" s="0" t="n">
        <v>59</v>
      </c>
      <c r="C900" s="0" t="str">
        <f aca="false">TRIM(SUBSTITUTE(INDEX(LISTAS!$A$4:$T$63,B900,A900)&amp;"",CHAR(160)," "))</f>
        <v/>
      </c>
      <c r="D900" s="0" t="str">
        <f aca="false">IF(C900="","",TRIM(RIGHT(SUBSTITUTE(C900," ",REPT(" ",100)),100)))</f>
        <v/>
      </c>
      <c r="E900" s="0" t="str">
        <f aca="false">IF(D900="","",UPPER(SUBSTITUTE(SUBSTITUTE(D900,"(",""),")","")))</f>
        <v/>
      </c>
      <c r="F900" s="0" t="str">
        <f aca="false">IF(C900="","",LEFT(C900,FIND(" ",C900&amp;" ")-1))</f>
        <v/>
      </c>
      <c r="G900" s="0" t="n">
        <f aca="false">IFERROR(VALUE(SUBSTITUTE(LOWER(F900),"x","")),0)</f>
        <v>0</v>
      </c>
      <c r="H900" s="0" t="str">
        <f aca="false">IF(C900="","",TRIM(MID(C900,LEN(F900)+2,999)))</f>
        <v/>
      </c>
      <c r="I900" s="0" t="n">
        <f aca="false">IF(OR(C900="",LEFT(C900,2)="//"),0,IFERROR(IF(AND(G900&gt;0,G900=INT(G900),FIND("-",E900)&gt;1,NOT(EXACT(UPPER(LEFT(E900,1)),LOWER(LEFT(E900,1)))),ISNUMBER(VALUE(MID(E900,FIND("-",E900)+1,10)))),1,0),0))</f>
        <v>0</v>
      </c>
      <c r="J900" s="0" t="str">
        <f aca="false">IF(I900=1,TRIM(LEFT(H900,MAX(0,LEN(H900)-LEN(D900)))),"")</f>
        <v/>
      </c>
      <c r="K900" s="0" t="str">
        <f aca="false">INDEX($P$2:$P$21,A900)</f>
        <v>Deck 15</v>
      </c>
      <c r="L900" s="0" t="n">
        <f aca="false">IF(AND(C900&lt;&gt;"",LEFT(C900,2)&lt;&gt;"//",I900=0),1,0)</f>
        <v>0</v>
      </c>
      <c r="M900" s="0" t="str">
        <f aca="false">IF(I900=1,MAX(M$1:M899)+1,"")</f>
        <v/>
      </c>
      <c r="N900" s="0" t="str">
        <f aca="false">IFERROR(MATCH(ROW()-1,$V$2:$V$1201,0),"")</f>
        <v/>
      </c>
      <c r="R900" s="0" t="str">
        <f aca="false">IF(E900="","",IFERROR(LEFT(E900,FIND("-",E900)-1),E900))</f>
        <v/>
      </c>
      <c r="S900" s="0" t="str">
        <f aca="false">IF(R900="","",IF(ISNUMBER(--MID(R900,1,1)),0,IF(ISNUMBER(--MID(R900,2,1)),1,IF(ISNUMBER(--MID(R900,3,1)),2,IF(ISNUMBER(--MID(R900,4,1)),3,MIN(LEN(R900),4))))))</f>
        <v/>
      </c>
      <c r="T900" s="0" t="str">
        <f aca="false">IF(E900="","",LEFT(R900,S900)&amp;REPT("0",4-S900)&amp;RIGHT("000"&amp;IFERROR(VALUE(MID(R900,S900+1,9)),0),3)&amp;RIGHT("0000"&amp;IFERROR(VALUE(MID(E900,FIND("-",E900)+1,9)),0),4))</f>
        <v/>
      </c>
      <c r="U900" s="0" t="str">
        <f aca="false">IF(I900=1,"K"&amp;RIGHT("00"&amp;A900,2)&amp;T900&amp;RIGHT("00000"&amp;ROW(),5),"")</f>
        <v/>
      </c>
      <c r="V900" s="0" t="str">
        <f aca="false">IF(U900="","",COUNTIFS($I$2:$I$1201,1,$U$2:$U$1201,"&lt;"&amp;U900)+1)</f>
        <v/>
      </c>
    </row>
    <row r="901" customFormat="false" ht="15" hidden="false" customHeight="false" outlineLevel="0" collapsed="false">
      <c r="A901" s="0" t="n">
        <v>15</v>
      </c>
      <c r="B901" s="0" t="n">
        <v>60</v>
      </c>
      <c r="C901" s="0" t="str">
        <f aca="false">TRIM(SUBSTITUTE(INDEX(LISTAS!$A$4:$T$63,B901,A901)&amp;"",CHAR(160)," "))</f>
        <v/>
      </c>
      <c r="D901" s="0" t="str">
        <f aca="false">IF(C901="","",TRIM(RIGHT(SUBSTITUTE(C901," ",REPT(" ",100)),100)))</f>
        <v/>
      </c>
      <c r="E901" s="0" t="str">
        <f aca="false">IF(D901="","",UPPER(SUBSTITUTE(SUBSTITUTE(D901,"(",""),")","")))</f>
        <v/>
      </c>
      <c r="F901" s="0" t="str">
        <f aca="false">IF(C901="","",LEFT(C901,FIND(" ",C901&amp;" ")-1))</f>
        <v/>
      </c>
      <c r="G901" s="0" t="n">
        <f aca="false">IFERROR(VALUE(SUBSTITUTE(LOWER(F901),"x","")),0)</f>
        <v>0</v>
      </c>
      <c r="H901" s="0" t="str">
        <f aca="false">IF(C901="","",TRIM(MID(C901,LEN(F901)+2,999)))</f>
        <v/>
      </c>
      <c r="I901" s="0" t="n">
        <f aca="false">IF(OR(C901="",LEFT(C901,2)="//"),0,IFERROR(IF(AND(G901&gt;0,G901=INT(G901),FIND("-",E901)&gt;1,NOT(EXACT(UPPER(LEFT(E901,1)),LOWER(LEFT(E901,1)))),ISNUMBER(VALUE(MID(E901,FIND("-",E901)+1,10)))),1,0),0))</f>
        <v>0</v>
      </c>
      <c r="J901" s="0" t="str">
        <f aca="false">IF(I901=1,TRIM(LEFT(H901,MAX(0,LEN(H901)-LEN(D901)))),"")</f>
        <v/>
      </c>
      <c r="K901" s="0" t="str">
        <f aca="false">INDEX($P$2:$P$21,A901)</f>
        <v>Deck 15</v>
      </c>
      <c r="L901" s="0" t="n">
        <f aca="false">IF(AND(C901&lt;&gt;"",LEFT(C901,2)&lt;&gt;"//",I901=0),1,0)</f>
        <v>0</v>
      </c>
      <c r="M901" s="0" t="str">
        <f aca="false">IF(I901=1,MAX(M$1:M900)+1,"")</f>
        <v/>
      </c>
      <c r="N901" s="0" t="str">
        <f aca="false">IFERROR(MATCH(ROW()-1,$V$2:$V$1201,0),"")</f>
        <v/>
      </c>
      <c r="R901" s="0" t="str">
        <f aca="false">IF(E901="","",IFERROR(LEFT(E901,FIND("-",E901)-1),E901))</f>
        <v/>
      </c>
      <c r="S901" s="0" t="str">
        <f aca="false">IF(R901="","",IF(ISNUMBER(--MID(R901,1,1)),0,IF(ISNUMBER(--MID(R901,2,1)),1,IF(ISNUMBER(--MID(R901,3,1)),2,IF(ISNUMBER(--MID(R901,4,1)),3,MIN(LEN(R901),4))))))</f>
        <v/>
      </c>
      <c r="T901" s="0" t="str">
        <f aca="false">IF(E901="","",LEFT(R901,S901)&amp;REPT("0",4-S901)&amp;RIGHT("000"&amp;IFERROR(VALUE(MID(R901,S901+1,9)),0),3)&amp;RIGHT("0000"&amp;IFERROR(VALUE(MID(E901,FIND("-",E901)+1,9)),0),4))</f>
        <v/>
      </c>
      <c r="U901" s="0" t="str">
        <f aca="false">IF(I901=1,"K"&amp;RIGHT("00"&amp;A901,2)&amp;T901&amp;RIGHT("00000"&amp;ROW(),5),"")</f>
        <v/>
      </c>
      <c r="V901" s="0" t="str">
        <f aca="false">IF(U901="","",COUNTIFS($I$2:$I$1201,1,$U$2:$U$1201,"&lt;"&amp;U901)+1)</f>
        <v/>
      </c>
    </row>
    <row r="902" customFormat="false" ht="15" hidden="false" customHeight="false" outlineLevel="0" collapsed="false">
      <c r="A902" s="0" t="n">
        <v>16</v>
      </c>
      <c r="B902" s="0" t="n">
        <v>1</v>
      </c>
      <c r="C902" s="0" t="str">
        <f aca="false">TRIM(SUBSTITUTE(INDEX(LISTAS!$A$4:$T$63,B902,A902)&amp;"",CHAR(160)," "))</f>
        <v/>
      </c>
      <c r="D902" s="0" t="str">
        <f aca="false">IF(C902="","",TRIM(RIGHT(SUBSTITUTE(C902," ",REPT(" ",100)),100)))</f>
        <v/>
      </c>
      <c r="E902" s="0" t="str">
        <f aca="false">IF(D902="","",UPPER(SUBSTITUTE(SUBSTITUTE(D902,"(",""),")","")))</f>
        <v/>
      </c>
      <c r="F902" s="0" t="str">
        <f aca="false">IF(C902="","",LEFT(C902,FIND(" ",C902&amp;" ")-1))</f>
        <v/>
      </c>
      <c r="G902" s="0" t="n">
        <f aca="false">IFERROR(VALUE(SUBSTITUTE(LOWER(F902),"x","")),0)</f>
        <v>0</v>
      </c>
      <c r="H902" s="0" t="str">
        <f aca="false">IF(C902="","",TRIM(MID(C902,LEN(F902)+2,999)))</f>
        <v/>
      </c>
      <c r="I902" s="0" t="n">
        <f aca="false">IF(OR(C902="",LEFT(C902,2)="//"),0,IFERROR(IF(AND(G902&gt;0,G902=INT(G902),FIND("-",E902)&gt;1,NOT(EXACT(UPPER(LEFT(E902,1)),LOWER(LEFT(E902,1)))),ISNUMBER(VALUE(MID(E902,FIND("-",E902)+1,10)))),1,0),0))</f>
        <v>0</v>
      </c>
      <c r="J902" s="0" t="str">
        <f aca="false">IF(I902=1,TRIM(LEFT(H902,MAX(0,LEN(H902)-LEN(D902)))),"")</f>
        <v/>
      </c>
      <c r="K902" s="0" t="str">
        <f aca="false">INDEX($P$2:$P$21,A902)</f>
        <v>Deck 16</v>
      </c>
      <c r="L902" s="0" t="n">
        <f aca="false">IF(AND(C902&lt;&gt;"",LEFT(C902,2)&lt;&gt;"//",I902=0),1,0)</f>
        <v>0</v>
      </c>
      <c r="M902" s="0" t="str">
        <f aca="false">IF(I902=1,MAX(M$1:M901)+1,"")</f>
        <v/>
      </c>
      <c r="N902" s="0" t="str">
        <f aca="false">IFERROR(MATCH(ROW()-1,$V$2:$V$1201,0),"")</f>
        <v/>
      </c>
      <c r="R902" s="0" t="str">
        <f aca="false">IF(E902="","",IFERROR(LEFT(E902,FIND("-",E902)-1),E902))</f>
        <v/>
      </c>
      <c r="S902" s="0" t="str">
        <f aca="false">IF(R902="","",IF(ISNUMBER(--MID(R902,1,1)),0,IF(ISNUMBER(--MID(R902,2,1)),1,IF(ISNUMBER(--MID(R902,3,1)),2,IF(ISNUMBER(--MID(R902,4,1)),3,MIN(LEN(R902),4))))))</f>
        <v/>
      </c>
      <c r="T902" s="0" t="str">
        <f aca="false">IF(E902="","",LEFT(R902,S902)&amp;REPT("0",4-S902)&amp;RIGHT("000"&amp;IFERROR(VALUE(MID(R902,S902+1,9)),0),3)&amp;RIGHT("0000"&amp;IFERROR(VALUE(MID(E902,FIND("-",E902)+1,9)),0),4))</f>
        <v/>
      </c>
      <c r="U902" s="0" t="str">
        <f aca="false">IF(I902=1,"K"&amp;RIGHT("00"&amp;A902,2)&amp;T902&amp;RIGHT("00000"&amp;ROW(),5),"")</f>
        <v/>
      </c>
      <c r="V902" s="0" t="str">
        <f aca="false">IF(U902="","",COUNTIFS($I$2:$I$1201,1,$U$2:$U$1201,"&lt;"&amp;U902)+1)</f>
        <v/>
      </c>
    </row>
    <row r="903" customFormat="false" ht="15" hidden="false" customHeight="false" outlineLevel="0" collapsed="false">
      <c r="A903" s="0" t="n">
        <v>16</v>
      </c>
      <c r="B903" s="0" t="n">
        <v>2</v>
      </c>
      <c r="C903" s="0" t="str">
        <f aca="false">TRIM(SUBSTITUTE(INDEX(LISTAS!$A$4:$T$63,B903,A903)&amp;"",CHAR(160)," "))</f>
        <v/>
      </c>
      <c r="D903" s="0" t="str">
        <f aca="false">IF(C903="","",TRIM(RIGHT(SUBSTITUTE(C903," ",REPT(" ",100)),100)))</f>
        <v/>
      </c>
      <c r="E903" s="0" t="str">
        <f aca="false">IF(D903="","",UPPER(SUBSTITUTE(SUBSTITUTE(D903,"(",""),")","")))</f>
        <v/>
      </c>
      <c r="F903" s="0" t="str">
        <f aca="false">IF(C903="","",LEFT(C903,FIND(" ",C903&amp;" ")-1))</f>
        <v/>
      </c>
      <c r="G903" s="0" t="n">
        <f aca="false">IFERROR(VALUE(SUBSTITUTE(LOWER(F903),"x","")),0)</f>
        <v>0</v>
      </c>
      <c r="H903" s="0" t="str">
        <f aca="false">IF(C903="","",TRIM(MID(C903,LEN(F903)+2,999)))</f>
        <v/>
      </c>
      <c r="I903" s="0" t="n">
        <f aca="false">IF(OR(C903="",LEFT(C903,2)="//"),0,IFERROR(IF(AND(G903&gt;0,G903=INT(G903),FIND("-",E903)&gt;1,NOT(EXACT(UPPER(LEFT(E903,1)),LOWER(LEFT(E903,1)))),ISNUMBER(VALUE(MID(E903,FIND("-",E903)+1,10)))),1,0),0))</f>
        <v>0</v>
      </c>
      <c r="J903" s="0" t="str">
        <f aca="false">IF(I903=1,TRIM(LEFT(H903,MAX(0,LEN(H903)-LEN(D903)))),"")</f>
        <v/>
      </c>
      <c r="K903" s="0" t="str">
        <f aca="false">INDEX($P$2:$P$21,A903)</f>
        <v>Deck 16</v>
      </c>
      <c r="L903" s="0" t="n">
        <f aca="false">IF(AND(C903&lt;&gt;"",LEFT(C903,2)&lt;&gt;"//",I903=0),1,0)</f>
        <v>0</v>
      </c>
      <c r="M903" s="0" t="str">
        <f aca="false">IF(I903=1,MAX(M$1:M902)+1,"")</f>
        <v/>
      </c>
      <c r="N903" s="0" t="str">
        <f aca="false">IFERROR(MATCH(ROW()-1,$V$2:$V$1201,0),"")</f>
        <v/>
      </c>
      <c r="R903" s="0" t="str">
        <f aca="false">IF(E903="","",IFERROR(LEFT(E903,FIND("-",E903)-1),E903))</f>
        <v/>
      </c>
      <c r="S903" s="0" t="str">
        <f aca="false">IF(R903="","",IF(ISNUMBER(--MID(R903,1,1)),0,IF(ISNUMBER(--MID(R903,2,1)),1,IF(ISNUMBER(--MID(R903,3,1)),2,IF(ISNUMBER(--MID(R903,4,1)),3,MIN(LEN(R903),4))))))</f>
        <v/>
      </c>
      <c r="T903" s="0" t="str">
        <f aca="false">IF(E903="","",LEFT(R903,S903)&amp;REPT("0",4-S903)&amp;RIGHT("000"&amp;IFERROR(VALUE(MID(R903,S903+1,9)),0),3)&amp;RIGHT("0000"&amp;IFERROR(VALUE(MID(E903,FIND("-",E903)+1,9)),0),4))</f>
        <v/>
      </c>
      <c r="U903" s="0" t="str">
        <f aca="false">IF(I903=1,"K"&amp;RIGHT("00"&amp;A903,2)&amp;T903&amp;RIGHT("00000"&amp;ROW(),5),"")</f>
        <v/>
      </c>
      <c r="V903" s="0" t="str">
        <f aca="false">IF(U903="","",COUNTIFS($I$2:$I$1201,1,$U$2:$U$1201,"&lt;"&amp;U903)+1)</f>
        <v/>
      </c>
    </row>
    <row r="904" customFormat="false" ht="15" hidden="false" customHeight="false" outlineLevel="0" collapsed="false">
      <c r="A904" s="0" t="n">
        <v>16</v>
      </c>
      <c r="B904" s="0" t="n">
        <v>3</v>
      </c>
      <c r="C904" s="0" t="str">
        <f aca="false">TRIM(SUBSTITUTE(INDEX(LISTAS!$A$4:$T$63,B904,A904)&amp;"",CHAR(160)," "))</f>
        <v/>
      </c>
      <c r="D904" s="0" t="str">
        <f aca="false">IF(C904="","",TRIM(RIGHT(SUBSTITUTE(C904," ",REPT(" ",100)),100)))</f>
        <v/>
      </c>
      <c r="E904" s="0" t="str">
        <f aca="false">IF(D904="","",UPPER(SUBSTITUTE(SUBSTITUTE(D904,"(",""),")","")))</f>
        <v/>
      </c>
      <c r="F904" s="0" t="str">
        <f aca="false">IF(C904="","",LEFT(C904,FIND(" ",C904&amp;" ")-1))</f>
        <v/>
      </c>
      <c r="G904" s="0" t="n">
        <f aca="false">IFERROR(VALUE(SUBSTITUTE(LOWER(F904),"x","")),0)</f>
        <v>0</v>
      </c>
      <c r="H904" s="0" t="str">
        <f aca="false">IF(C904="","",TRIM(MID(C904,LEN(F904)+2,999)))</f>
        <v/>
      </c>
      <c r="I904" s="0" t="n">
        <f aca="false">IF(OR(C904="",LEFT(C904,2)="//"),0,IFERROR(IF(AND(G904&gt;0,G904=INT(G904),FIND("-",E904)&gt;1,NOT(EXACT(UPPER(LEFT(E904,1)),LOWER(LEFT(E904,1)))),ISNUMBER(VALUE(MID(E904,FIND("-",E904)+1,10)))),1,0),0))</f>
        <v>0</v>
      </c>
      <c r="J904" s="0" t="str">
        <f aca="false">IF(I904=1,TRIM(LEFT(H904,MAX(0,LEN(H904)-LEN(D904)))),"")</f>
        <v/>
      </c>
      <c r="K904" s="0" t="str">
        <f aca="false">INDEX($P$2:$P$21,A904)</f>
        <v>Deck 16</v>
      </c>
      <c r="L904" s="0" t="n">
        <f aca="false">IF(AND(C904&lt;&gt;"",LEFT(C904,2)&lt;&gt;"//",I904=0),1,0)</f>
        <v>0</v>
      </c>
      <c r="M904" s="0" t="str">
        <f aca="false">IF(I904=1,MAX(M$1:M903)+1,"")</f>
        <v/>
      </c>
      <c r="N904" s="0" t="str">
        <f aca="false">IFERROR(MATCH(ROW()-1,$V$2:$V$1201,0),"")</f>
        <v/>
      </c>
      <c r="R904" s="0" t="str">
        <f aca="false">IF(E904="","",IFERROR(LEFT(E904,FIND("-",E904)-1),E904))</f>
        <v/>
      </c>
      <c r="S904" s="0" t="str">
        <f aca="false">IF(R904="","",IF(ISNUMBER(--MID(R904,1,1)),0,IF(ISNUMBER(--MID(R904,2,1)),1,IF(ISNUMBER(--MID(R904,3,1)),2,IF(ISNUMBER(--MID(R904,4,1)),3,MIN(LEN(R904),4))))))</f>
        <v/>
      </c>
      <c r="T904" s="0" t="str">
        <f aca="false">IF(E904="","",LEFT(R904,S904)&amp;REPT("0",4-S904)&amp;RIGHT("000"&amp;IFERROR(VALUE(MID(R904,S904+1,9)),0),3)&amp;RIGHT("0000"&amp;IFERROR(VALUE(MID(E904,FIND("-",E904)+1,9)),0),4))</f>
        <v/>
      </c>
      <c r="U904" s="0" t="str">
        <f aca="false">IF(I904=1,"K"&amp;RIGHT("00"&amp;A904,2)&amp;T904&amp;RIGHT("00000"&amp;ROW(),5),"")</f>
        <v/>
      </c>
      <c r="V904" s="0" t="str">
        <f aca="false">IF(U904="","",COUNTIFS($I$2:$I$1201,1,$U$2:$U$1201,"&lt;"&amp;U904)+1)</f>
        <v/>
      </c>
    </row>
    <row r="905" customFormat="false" ht="15" hidden="false" customHeight="false" outlineLevel="0" collapsed="false">
      <c r="A905" s="0" t="n">
        <v>16</v>
      </c>
      <c r="B905" s="0" t="n">
        <v>4</v>
      </c>
      <c r="C905" s="0" t="str">
        <f aca="false">TRIM(SUBSTITUTE(INDEX(LISTAS!$A$4:$T$63,B905,A905)&amp;"",CHAR(160)," "))</f>
        <v/>
      </c>
      <c r="D905" s="0" t="str">
        <f aca="false">IF(C905="","",TRIM(RIGHT(SUBSTITUTE(C905," ",REPT(" ",100)),100)))</f>
        <v/>
      </c>
      <c r="E905" s="0" t="str">
        <f aca="false">IF(D905="","",UPPER(SUBSTITUTE(SUBSTITUTE(D905,"(",""),")","")))</f>
        <v/>
      </c>
      <c r="F905" s="0" t="str">
        <f aca="false">IF(C905="","",LEFT(C905,FIND(" ",C905&amp;" ")-1))</f>
        <v/>
      </c>
      <c r="G905" s="0" t="n">
        <f aca="false">IFERROR(VALUE(SUBSTITUTE(LOWER(F905),"x","")),0)</f>
        <v>0</v>
      </c>
      <c r="H905" s="0" t="str">
        <f aca="false">IF(C905="","",TRIM(MID(C905,LEN(F905)+2,999)))</f>
        <v/>
      </c>
      <c r="I905" s="0" t="n">
        <f aca="false">IF(OR(C905="",LEFT(C905,2)="//"),0,IFERROR(IF(AND(G905&gt;0,G905=INT(G905),FIND("-",E905)&gt;1,NOT(EXACT(UPPER(LEFT(E905,1)),LOWER(LEFT(E905,1)))),ISNUMBER(VALUE(MID(E905,FIND("-",E905)+1,10)))),1,0),0))</f>
        <v>0</v>
      </c>
      <c r="J905" s="0" t="str">
        <f aca="false">IF(I905=1,TRIM(LEFT(H905,MAX(0,LEN(H905)-LEN(D905)))),"")</f>
        <v/>
      </c>
      <c r="K905" s="0" t="str">
        <f aca="false">INDEX($P$2:$P$21,A905)</f>
        <v>Deck 16</v>
      </c>
      <c r="L905" s="0" t="n">
        <f aca="false">IF(AND(C905&lt;&gt;"",LEFT(C905,2)&lt;&gt;"//",I905=0),1,0)</f>
        <v>0</v>
      </c>
      <c r="M905" s="0" t="str">
        <f aca="false">IF(I905=1,MAX(M$1:M904)+1,"")</f>
        <v/>
      </c>
      <c r="N905" s="0" t="str">
        <f aca="false">IFERROR(MATCH(ROW()-1,$V$2:$V$1201,0),"")</f>
        <v/>
      </c>
      <c r="R905" s="0" t="str">
        <f aca="false">IF(E905="","",IFERROR(LEFT(E905,FIND("-",E905)-1),E905))</f>
        <v/>
      </c>
      <c r="S905" s="0" t="str">
        <f aca="false">IF(R905="","",IF(ISNUMBER(--MID(R905,1,1)),0,IF(ISNUMBER(--MID(R905,2,1)),1,IF(ISNUMBER(--MID(R905,3,1)),2,IF(ISNUMBER(--MID(R905,4,1)),3,MIN(LEN(R905),4))))))</f>
        <v/>
      </c>
      <c r="T905" s="0" t="str">
        <f aca="false">IF(E905="","",LEFT(R905,S905)&amp;REPT("0",4-S905)&amp;RIGHT("000"&amp;IFERROR(VALUE(MID(R905,S905+1,9)),0),3)&amp;RIGHT("0000"&amp;IFERROR(VALUE(MID(E905,FIND("-",E905)+1,9)),0),4))</f>
        <v/>
      </c>
      <c r="U905" s="0" t="str">
        <f aca="false">IF(I905=1,"K"&amp;RIGHT("00"&amp;A905,2)&amp;T905&amp;RIGHT("00000"&amp;ROW(),5),"")</f>
        <v/>
      </c>
      <c r="V905" s="0" t="str">
        <f aca="false">IF(U905="","",COUNTIFS($I$2:$I$1201,1,$U$2:$U$1201,"&lt;"&amp;U905)+1)</f>
        <v/>
      </c>
    </row>
    <row r="906" customFormat="false" ht="15" hidden="false" customHeight="false" outlineLevel="0" collapsed="false">
      <c r="A906" s="0" t="n">
        <v>16</v>
      </c>
      <c r="B906" s="0" t="n">
        <v>5</v>
      </c>
      <c r="C906" s="0" t="str">
        <f aca="false">TRIM(SUBSTITUTE(INDEX(LISTAS!$A$4:$T$63,B906,A906)&amp;"",CHAR(160)," "))</f>
        <v/>
      </c>
      <c r="D906" s="0" t="str">
        <f aca="false">IF(C906="","",TRIM(RIGHT(SUBSTITUTE(C906," ",REPT(" ",100)),100)))</f>
        <v/>
      </c>
      <c r="E906" s="0" t="str">
        <f aca="false">IF(D906="","",UPPER(SUBSTITUTE(SUBSTITUTE(D906,"(",""),")","")))</f>
        <v/>
      </c>
      <c r="F906" s="0" t="str">
        <f aca="false">IF(C906="","",LEFT(C906,FIND(" ",C906&amp;" ")-1))</f>
        <v/>
      </c>
      <c r="G906" s="0" t="n">
        <f aca="false">IFERROR(VALUE(SUBSTITUTE(LOWER(F906),"x","")),0)</f>
        <v>0</v>
      </c>
      <c r="H906" s="0" t="str">
        <f aca="false">IF(C906="","",TRIM(MID(C906,LEN(F906)+2,999)))</f>
        <v/>
      </c>
      <c r="I906" s="0" t="n">
        <f aca="false">IF(OR(C906="",LEFT(C906,2)="//"),0,IFERROR(IF(AND(G906&gt;0,G906=INT(G906),FIND("-",E906)&gt;1,NOT(EXACT(UPPER(LEFT(E906,1)),LOWER(LEFT(E906,1)))),ISNUMBER(VALUE(MID(E906,FIND("-",E906)+1,10)))),1,0),0))</f>
        <v>0</v>
      </c>
      <c r="J906" s="0" t="str">
        <f aca="false">IF(I906=1,TRIM(LEFT(H906,MAX(0,LEN(H906)-LEN(D906)))),"")</f>
        <v/>
      </c>
      <c r="K906" s="0" t="str">
        <f aca="false">INDEX($P$2:$P$21,A906)</f>
        <v>Deck 16</v>
      </c>
      <c r="L906" s="0" t="n">
        <f aca="false">IF(AND(C906&lt;&gt;"",LEFT(C906,2)&lt;&gt;"//",I906=0),1,0)</f>
        <v>0</v>
      </c>
      <c r="M906" s="0" t="str">
        <f aca="false">IF(I906=1,MAX(M$1:M905)+1,"")</f>
        <v/>
      </c>
      <c r="N906" s="0" t="str">
        <f aca="false">IFERROR(MATCH(ROW()-1,$V$2:$V$1201,0),"")</f>
        <v/>
      </c>
      <c r="R906" s="0" t="str">
        <f aca="false">IF(E906="","",IFERROR(LEFT(E906,FIND("-",E906)-1),E906))</f>
        <v/>
      </c>
      <c r="S906" s="0" t="str">
        <f aca="false">IF(R906="","",IF(ISNUMBER(--MID(R906,1,1)),0,IF(ISNUMBER(--MID(R906,2,1)),1,IF(ISNUMBER(--MID(R906,3,1)),2,IF(ISNUMBER(--MID(R906,4,1)),3,MIN(LEN(R906),4))))))</f>
        <v/>
      </c>
      <c r="T906" s="0" t="str">
        <f aca="false">IF(E906="","",LEFT(R906,S906)&amp;REPT("0",4-S906)&amp;RIGHT("000"&amp;IFERROR(VALUE(MID(R906,S906+1,9)),0),3)&amp;RIGHT("0000"&amp;IFERROR(VALUE(MID(E906,FIND("-",E906)+1,9)),0),4))</f>
        <v/>
      </c>
      <c r="U906" s="0" t="str">
        <f aca="false">IF(I906=1,"K"&amp;RIGHT("00"&amp;A906,2)&amp;T906&amp;RIGHT("00000"&amp;ROW(),5),"")</f>
        <v/>
      </c>
      <c r="V906" s="0" t="str">
        <f aca="false">IF(U906="","",COUNTIFS($I$2:$I$1201,1,$U$2:$U$1201,"&lt;"&amp;U906)+1)</f>
        <v/>
      </c>
    </row>
    <row r="907" customFormat="false" ht="15" hidden="false" customHeight="false" outlineLevel="0" collapsed="false">
      <c r="A907" s="0" t="n">
        <v>16</v>
      </c>
      <c r="B907" s="0" t="n">
        <v>6</v>
      </c>
      <c r="C907" s="0" t="str">
        <f aca="false">TRIM(SUBSTITUTE(INDEX(LISTAS!$A$4:$T$63,B907,A907)&amp;"",CHAR(160)," "))</f>
        <v/>
      </c>
      <c r="D907" s="0" t="str">
        <f aca="false">IF(C907="","",TRIM(RIGHT(SUBSTITUTE(C907," ",REPT(" ",100)),100)))</f>
        <v/>
      </c>
      <c r="E907" s="0" t="str">
        <f aca="false">IF(D907="","",UPPER(SUBSTITUTE(SUBSTITUTE(D907,"(",""),")","")))</f>
        <v/>
      </c>
      <c r="F907" s="0" t="str">
        <f aca="false">IF(C907="","",LEFT(C907,FIND(" ",C907&amp;" ")-1))</f>
        <v/>
      </c>
      <c r="G907" s="0" t="n">
        <f aca="false">IFERROR(VALUE(SUBSTITUTE(LOWER(F907),"x","")),0)</f>
        <v>0</v>
      </c>
      <c r="H907" s="0" t="str">
        <f aca="false">IF(C907="","",TRIM(MID(C907,LEN(F907)+2,999)))</f>
        <v/>
      </c>
      <c r="I907" s="0" t="n">
        <f aca="false">IF(OR(C907="",LEFT(C907,2)="//"),0,IFERROR(IF(AND(G907&gt;0,G907=INT(G907),FIND("-",E907)&gt;1,NOT(EXACT(UPPER(LEFT(E907,1)),LOWER(LEFT(E907,1)))),ISNUMBER(VALUE(MID(E907,FIND("-",E907)+1,10)))),1,0),0))</f>
        <v>0</v>
      </c>
      <c r="J907" s="0" t="str">
        <f aca="false">IF(I907=1,TRIM(LEFT(H907,MAX(0,LEN(H907)-LEN(D907)))),"")</f>
        <v/>
      </c>
      <c r="K907" s="0" t="str">
        <f aca="false">INDEX($P$2:$P$21,A907)</f>
        <v>Deck 16</v>
      </c>
      <c r="L907" s="0" t="n">
        <f aca="false">IF(AND(C907&lt;&gt;"",LEFT(C907,2)&lt;&gt;"//",I907=0),1,0)</f>
        <v>0</v>
      </c>
      <c r="M907" s="0" t="str">
        <f aca="false">IF(I907=1,MAX(M$1:M906)+1,"")</f>
        <v/>
      </c>
      <c r="N907" s="0" t="str">
        <f aca="false">IFERROR(MATCH(ROW()-1,$V$2:$V$1201,0),"")</f>
        <v/>
      </c>
      <c r="R907" s="0" t="str">
        <f aca="false">IF(E907="","",IFERROR(LEFT(E907,FIND("-",E907)-1),E907))</f>
        <v/>
      </c>
      <c r="S907" s="0" t="str">
        <f aca="false">IF(R907="","",IF(ISNUMBER(--MID(R907,1,1)),0,IF(ISNUMBER(--MID(R907,2,1)),1,IF(ISNUMBER(--MID(R907,3,1)),2,IF(ISNUMBER(--MID(R907,4,1)),3,MIN(LEN(R907),4))))))</f>
        <v/>
      </c>
      <c r="T907" s="0" t="str">
        <f aca="false">IF(E907="","",LEFT(R907,S907)&amp;REPT("0",4-S907)&amp;RIGHT("000"&amp;IFERROR(VALUE(MID(R907,S907+1,9)),0),3)&amp;RIGHT("0000"&amp;IFERROR(VALUE(MID(E907,FIND("-",E907)+1,9)),0),4))</f>
        <v/>
      </c>
      <c r="U907" s="0" t="str">
        <f aca="false">IF(I907=1,"K"&amp;RIGHT("00"&amp;A907,2)&amp;T907&amp;RIGHT("00000"&amp;ROW(),5),"")</f>
        <v/>
      </c>
      <c r="V907" s="0" t="str">
        <f aca="false">IF(U907="","",COUNTIFS($I$2:$I$1201,1,$U$2:$U$1201,"&lt;"&amp;U907)+1)</f>
        <v/>
      </c>
    </row>
    <row r="908" customFormat="false" ht="15" hidden="false" customHeight="false" outlineLevel="0" collapsed="false">
      <c r="A908" s="0" t="n">
        <v>16</v>
      </c>
      <c r="B908" s="0" t="n">
        <v>7</v>
      </c>
      <c r="C908" s="0" t="str">
        <f aca="false">TRIM(SUBSTITUTE(INDEX(LISTAS!$A$4:$T$63,B908,A908)&amp;"",CHAR(160)," "))</f>
        <v/>
      </c>
      <c r="D908" s="0" t="str">
        <f aca="false">IF(C908="","",TRIM(RIGHT(SUBSTITUTE(C908," ",REPT(" ",100)),100)))</f>
        <v/>
      </c>
      <c r="E908" s="0" t="str">
        <f aca="false">IF(D908="","",UPPER(SUBSTITUTE(SUBSTITUTE(D908,"(",""),")","")))</f>
        <v/>
      </c>
      <c r="F908" s="0" t="str">
        <f aca="false">IF(C908="","",LEFT(C908,FIND(" ",C908&amp;" ")-1))</f>
        <v/>
      </c>
      <c r="G908" s="0" t="n">
        <f aca="false">IFERROR(VALUE(SUBSTITUTE(LOWER(F908),"x","")),0)</f>
        <v>0</v>
      </c>
      <c r="H908" s="0" t="str">
        <f aca="false">IF(C908="","",TRIM(MID(C908,LEN(F908)+2,999)))</f>
        <v/>
      </c>
      <c r="I908" s="0" t="n">
        <f aca="false">IF(OR(C908="",LEFT(C908,2)="//"),0,IFERROR(IF(AND(G908&gt;0,G908=INT(G908),FIND("-",E908)&gt;1,NOT(EXACT(UPPER(LEFT(E908,1)),LOWER(LEFT(E908,1)))),ISNUMBER(VALUE(MID(E908,FIND("-",E908)+1,10)))),1,0),0))</f>
        <v>0</v>
      </c>
      <c r="J908" s="0" t="str">
        <f aca="false">IF(I908=1,TRIM(LEFT(H908,MAX(0,LEN(H908)-LEN(D908)))),"")</f>
        <v/>
      </c>
      <c r="K908" s="0" t="str">
        <f aca="false">INDEX($P$2:$P$21,A908)</f>
        <v>Deck 16</v>
      </c>
      <c r="L908" s="0" t="n">
        <f aca="false">IF(AND(C908&lt;&gt;"",LEFT(C908,2)&lt;&gt;"//",I908=0),1,0)</f>
        <v>0</v>
      </c>
      <c r="M908" s="0" t="str">
        <f aca="false">IF(I908=1,MAX(M$1:M907)+1,"")</f>
        <v/>
      </c>
      <c r="N908" s="0" t="str">
        <f aca="false">IFERROR(MATCH(ROW()-1,$V$2:$V$1201,0),"")</f>
        <v/>
      </c>
      <c r="R908" s="0" t="str">
        <f aca="false">IF(E908="","",IFERROR(LEFT(E908,FIND("-",E908)-1),E908))</f>
        <v/>
      </c>
      <c r="S908" s="0" t="str">
        <f aca="false">IF(R908="","",IF(ISNUMBER(--MID(R908,1,1)),0,IF(ISNUMBER(--MID(R908,2,1)),1,IF(ISNUMBER(--MID(R908,3,1)),2,IF(ISNUMBER(--MID(R908,4,1)),3,MIN(LEN(R908),4))))))</f>
        <v/>
      </c>
      <c r="T908" s="0" t="str">
        <f aca="false">IF(E908="","",LEFT(R908,S908)&amp;REPT("0",4-S908)&amp;RIGHT("000"&amp;IFERROR(VALUE(MID(R908,S908+1,9)),0),3)&amp;RIGHT("0000"&amp;IFERROR(VALUE(MID(E908,FIND("-",E908)+1,9)),0),4))</f>
        <v/>
      </c>
      <c r="U908" s="0" t="str">
        <f aca="false">IF(I908=1,"K"&amp;RIGHT("00"&amp;A908,2)&amp;T908&amp;RIGHT("00000"&amp;ROW(),5),"")</f>
        <v/>
      </c>
      <c r="V908" s="0" t="str">
        <f aca="false">IF(U908="","",COUNTIFS($I$2:$I$1201,1,$U$2:$U$1201,"&lt;"&amp;U908)+1)</f>
        <v/>
      </c>
    </row>
    <row r="909" customFormat="false" ht="15" hidden="false" customHeight="false" outlineLevel="0" collapsed="false">
      <c r="A909" s="0" t="n">
        <v>16</v>
      </c>
      <c r="B909" s="0" t="n">
        <v>8</v>
      </c>
      <c r="C909" s="0" t="str">
        <f aca="false">TRIM(SUBSTITUTE(INDEX(LISTAS!$A$4:$T$63,B909,A909)&amp;"",CHAR(160)," "))</f>
        <v/>
      </c>
      <c r="D909" s="0" t="str">
        <f aca="false">IF(C909="","",TRIM(RIGHT(SUBSTITUTE(C909," ",REPT(" ",100)),100)))</f>
        <v/>
      </c>
      <c r="E909" s="0" t="str">
        <f aca="false">IF(D909="","",UPPER(SUBSTITUTE(SUBSTITUTE(D909,"(",""),")","")))</f>
        <v/>
      </c>
      <c r="F909" s="0" t="str">
        <f aca="false">IF(C909="","",LEFT(C909,FIND(" ",C909&amp;" ")-1))</f>
        <v/>
      </c>
      <c r="G909" s="0" t="n">
        <f aca="false">IFERROR(VALUE(SUBSTITUTE(LOWER(F909),"x","")),0)</f>
        <v>0</v>
      </c>
      <c r="H909" s="0" t="str">
        <f aca="false">IF(C909="","",TRIM(MID(C909,LEN(F909)+2,999)))</f>
        <v/>
      </c>
      <c r="I909" s="0" t="n">
        <f aca="false">IF(OR(C909="",LEFT(C909,2)="//"),0,IFERROR(IF(AND(G909&gt;0,G909=INT(G909),FIND("-",E909)&gt;1,NOT(EXACT(UPPER(LEFT(E909,1)),LOWER(LEFT(E909,1)))),ISNUMBER(VALUE(MID(E909,FIND("-",E909)+1,10)))),1,0),0))</f>
        <v>0</v>
      </c>
      <c r="J909" s="0" t="str">
        <f aca="false">IF(I909=1,TRIM(LEFT(H909,MAX(0,LEN(H909)-LEN(D909)))),"")</f>
        <v/>
      </c>
      <c r="K909" s="0" t="str">
        <f aca="false">INDEX($P$2:$P$21,A909)</f>
        <v>Deck 16</v>
      </c>
      <c r="L909" s="0" t="n">
        <f aca="false">IF(AND(C909&lt;&gt;"",LEFT(C909,2)&lt;&gt;"//",I909=0),1,0)</f>
        <v>0</v>
      </c>
      <c r="M909" s="0" t="str">
        <f aca="false">IF(I909=1,MAX(M$1:M908)+1,"")</f>
        <v/>
      </c>
      <c r="N909" s="0" t="str">
        <f aca="false">IFERROR(MATCH(ROW()-1,$V$2:$V$1201,0),"")</f>
        <v/>
      </c>
      <c r="R909" s="0" t="str">
        <f aca="false">IF(E909="","",IFERROR(LEFT(E909,FIND("-",E909)-1),E909))</f>
        <v/>
      </c>
      <c r="S909" s="0" t="str">
        <f aca="false">IF(R909="","",IF(ISNUMBER(--MID(R909,1,1)),0,IF(ISNUMBER(--MID(R909,2,1)),1,IF(ISNUMBER(--MID(R909,3,1)),2,IF(ISNUMBER(--MID(R909,4,1)),3,MIN(LEN(R909),4))))))</f>
        <v/>
      </c>
      <c r="T909" s="0" t="str">
        <f aca="false">IF(E909="","",LEFT(R909,S909)&amp;REPT("0",4-S909)&amp;RIGHT("000"&amp;IFERROR(VALUE(MID(R909,S909+1,9)),0),3)&amp;RIGHT("0000"&amp;IFERROR(VALUE(MID(E909,FIND("-",E909)+1,9)),0),4))</f>
        <v/>
      </c>
      <c r="U909" s="0" t="str">
        <f aca="false">IF(I909=1,"K"&amp;RIGHT("00"&amp;A909,2)&amp;T909&amp;RIGHT("00000"&amp;ROW(),5),"")</f>
        <v/>
      </c>
      <c r="V909" s="0" t="str">
        <f aca="false">IF(U909="","",COUNTIFS($I$2:$I$1201,1,$U$2:$U$1201,"&lt;"&amp;U909)+1)</f>
        <v/>
      </c>
    </row>
    <row r="910" customFormat="false" ht="15" hidden="false" customHeight="false" outlineLevel="0" collapsed="false">
      <c r="A910" s="0" t="n">
        <v>16</v>
      </c>
      <c r="B910" s="0" t="n">
        <v>9</v>
      </c>
      <c r="C910" s="0" t="str">
        <f aca="false">TRIM(SUBSTITUTE(INDEX(LISTAS!$A$4:$T$63,B910,A910)&amp;"",CHAR(160)," "))</f>
        <v/>
      </c>
      <c r="D910" s="0" t="str">
        <f aca="false">IF(C910="","",TRIM(RIGHT(SUBSTITUTE(C910," ",REPT(" ",100)),100)))</f>
        <v/>
      </c>
      <c r="E910" s="0" t="str">
        <f aca="false">IF(D910="","",UPPER(SUBSTITUTE(SUBSTITUTE(D910,"(",""),")","")))</f>
        <v/>
      </c>
      <c r="F910" s="0" t="str">
        <f aca="false">IF(C910="","",LEFT(C910,FIND(" ",C910&amp;" ")-1))</f>
        <v/>
      </c>
      <c r="G910" s="0" t="n">
        <f aca="false">IFERROR(VALUE(SUBSTITUTE(LOWER(F910),"x","")),0)</f>
        <v>0</v>
      </c>
      <c r="H910" s="0" t="str">
        <f aca="false">IF(C910="","",TRIM(MID(C910,LEN(F910)+2,999)))</f>
        <v/>
      </c>
      <c r="I910" s="0" t="n">
        <f aca="false">IF(OR(C910="",LEFT(C910,2)="//"),0,IFERROR(IF(AND(G910&gt;0,G910=INT(G910),FIND("-",E910)&gt;1,NOT(EXACT(UPPER(LEFT(E910,1)),LOWER(LEFT(E910,1)))),ISNUMBER(VALUE(MID(E910,FIND("-",E910)+1,10)))),1,0),0))</f>
        <v>0</v>
      </c>
      <c r="J910" s="0" t="str">
        <f aca="false">IF(I910=1,TRIM(LEFT(H910,MAX(0,LEN(H910)-LEN(D910)))),"")</f>
        <v/>
      </c>
      <c r="K910" s="0" t="str">
        <f aca="false">INDEX($P$2:$P$21,A910)</f>
        <v>Deck 16</v>
      </c>
      <c r="L910" s="0" t="n">
        <f aca="false">IF(AND(C910&lt;&gt;"",LEFT(C910,2)&lt;&gt;"//",I910=0),1,0)</f>
        <v>0</v>
      </c>
      <c r="M910" s="0" t="str">
        <f aca="false">IF(I910=1,MAX(M$1:M909)+1,"")</f>
        <v/>
      </c>
      <c r="N910" s="0" t="str">
        <f aca="false">IFERROR(MATCH(ROW()-1,$V$2:$V$1201,0),"")</f>
        <v/>
      </c>
      <c r="R910" s="0" t="str">
        <f aca="false">IF(E910="","",IFERROR(LEFT(E910,FIND("-",E910)-1),E910))</f>
        <v/>
      </c>
      <c r="S910" s="0" t="str">
        <f aca="false">IF(R910="","",IF(ISNUMBER(--MID(R910,1,1)),0,IF(ISNUMBER(--MID(R910,2,1)),1,IF(ISNUMBER(--MID(R910,3,1)),2,IF(ISNUMBER(--MID(R910,4,1)),3,MIN(LEN(R910),4))))))</f>
        <v/>
      </c>
      <c r="T910" s="0" t="str">
        <f aca="false">IF(E910="","",LEFT(R910,S910)&amp;REPT("0",4-S910)&amp;RIGHT("000"&amp;IFERROR(VALUE(MID(R910,S910+1,9)),0),3)&amp;RIGHT("0000"&amp;IFERROR(VALUE(MID(E910,FIND("-",E910)+1,9)),0),4))</f>
        <v/>
      </c>
      <c r="U910" s="0" t="str">
        <f aca="false">IF(I910=1,"K"&amp;RIGHT("00"&amp;A910,2)&amp;T910&amp;RIGHT("00000"&amp;ROW(),5),"")</f>
        <v/>
      </c>
      <c r="V910" s="0" t="str">
        <f aca="false">IF(U910="","",COUNTIFS($I$2:$I$1201,1,$U$2:$U$1201,"&lt;"&amp;U910)+1)</f>
        <v/>
      </c>
    </row>
    <row r="911" customFormat="false" ht="15" hidden="false" customHeight="false" outlineLevel="0" collapsed="false">
      <c r="A911" s="0" t="n">
        <v>16</v>
      </c>
      <c r="B911" s="0" t="n">
        <v>10</v>
      </c>
      <c r="C911" s="0" t="str">
        <f aca="false">TRIM(SUBSTITUTE(INDEX(LISTAS!$A$4:$T$63,B911,A911)&amp;"",CHAR(160)," "))</f>
        <v/>
      </c>
      <c r="D911" s="0" t="str">
        <f aca="false">IF(C911="","",TRIM(RIGHT(SUBSTITUTE(C911," ",REPT(" ",100)),100)))</f>
        <v/>
      </c>
      <c r="E911" s="0" t="str">
        <f aca="false">IF(D911="","",UPPER(SUBSTITUTE(SUBSTITUTE(D911,"(",""),")","")))</f>
        <v/>
      </c>
      <c r="F911" s="0" t="str">
        <f aca="false">IF(C911="","",LEFT(C911,FIND(" ",C911&amp;" ")-1))</f>
        <v/>
      </c>
      <c r="G911" s="0" t="n">
        <f aca="false">IFERROR(VALUE(SUBSTITUTE(LOWER(F911),"x","")),0)</f>
        <v>0</v>
      </c>
      <c r="H911" s="0" t="str">
        <f aca="false">IF(C911="","",TRIM(MID(C911,LEN(F911)+2,999)))</f>
        <v/>
      </c>
      <c r="I911" s="0" t="n">
        <f aca="false">IF(OR(C911="",LEFT(C911,2)="//"),0,IFERROR(IF(AND(G911&gt;0,G911=INT(G911),FIND("-",E911)&gt;1,NOT(EXACT(UPPER(LEFT(E911,1)),LOWER(LEFT(E911,1)))),ISNUMBER(VALUE(MID(E911,FIND("-",E911)+1,10)))),1,0),0))</f>
        <v>0</v>
      </c>
      <c r="J911" s="0" t="str">
        <f aca="false">IF(I911=1,TRIM(LEFT(H911,MAX(0,LEN(H911)-LEN(D911)))),"")</f>
        <v/>
      </c>
      <c r="K911" s="0" t="str">
        <f aca="false">INDEX($P$2:$P$21,A911)</f>
        <v>Deck 16</v>
      </c>
      <c r="L911" s="0" t="n">
        <f aca="false">IF(AND(C911&lt;&gt;"",LEFT(C911,2)&lt;&gt;"//",I911=0),1,0)</f>
        <v>0</v>
      </c>
      <c r="M911" s="0" t="str">
        <f aca="false">IF(I911=1,MAX(M$1:M910)+1,"")</f>
        <v/>
      </c>
      <c r="N911" s="0" t="str">
        <f aca="false">IFERROR(MATCH(ROW()-1,$V$2:$V$1201,0),"")</f>
        <v/>
      </c>
      <c r="R911" s="0" t="str">
        <f aca="false">IF(E911="","",IFERROR(LEFT(E911,FIND("-",E911)-1),E911))</f>
        <v/>
      </c>
      <c r="S911" s="0" t="str">
        <f aca="false">IF(R911="","",IF(ISNUMBER(--MID(R911,1,1)),0,IF(ISNUMBER(--MID(R911,2,1)),1,IF(ISNUMBER(--MID(R911,3,1)),2,IF(ISNUMBER(--MID(R911,4,1)),3,MIN(LEN(R911),4))))))</f>
        <v/>
      </c>
      <c r="T911" s="0" t="str">
        <f aca="false">IF(E911="","",LEFT(R911,S911)&amp;REPT("0",4-S911)&amp;RIGHT("000"&amp;IFERROR(VALUE(MID(R911,S911+1,9)),0),3)&amp;RIGHT("0000"&amp;IFERROR(VALUE(MID(E911,FIND("-",E911)+1,9)),0),4))</f>
        <v/>
      </c>
      <c r="U911" s="0" t="str">
        <f aca="false">IF(I911=1,"K"&amp;RIGHT("00"&amp;A911,2)&amp;T911&amp;RIGHT("00000"&amp;ROW(),5),"")</f>
        <v/>
      </c>
      <c r="V911" s="0" t="str">
        <f aca="false">IF(U911="","",COUNTIFS($I$2:$I$1201,1,$U$2:$U$1201,"&lt;"&amp;U911)+1)</f>
        <v/>
      </c>
    </row>
    <row r="912" customFormat="false" ht="15" hidden="false" customHeight="false" outlineLevel="0" collapsed="false">
      <c r="A912" s="0" t="n">
        <v>16</v>
      </c>
      <c r="B912" s="0" t="n">
        <v>11</v>
      </c>
      <c r="C912" s="0" t="str">
        <f aca="false">TRIM(SUBSTITUTE(INDEX(LISTAS!$A$4:$T$63,B912,A912)&amp;"",CHAR(160)," "))</f>
        <v/>
      </c>
      <c r="D912" s="0" t="str">
        <f aca="false">IF(C912="","",TRIM(RIGHT(SUBSTITUTE(C912," ",REPT(" ",100)),100)))</f>
        <v/>
      </c>
      <c r="E912" s="0" t="str">
        <f aca="false">IF(D912="","",UPPER(SUBSTITUTE(SUBSTITUTE(D912,"(",""),")","")))</f>
        <v/>
      </c>
      <c r="F912" s="0" t="str">
        <f aca="false">IF(C912="","",LEFT(C912,FIND(" ",C912&amp;" ")-1))</f>
        <v/>
      </c>
      <c r="G912" s="0" t="n">
        <f aca="false">IFERROR(VALUE(SUBSTITUTE(LOWER(F912),"x","")),0)</f>
        <v>0</v>
      </c>
      <c r="H912" s="0" t="str">
        <f aca="false">IF(C912="","",TRIM(MID(C912,LEN(F912)+2,999)))</f>
        <v/>
      </c>
      <c r="I912" s="0" t="n">
        <f aca="false">IF(OR(C912="",LEFT(C912,2)="//"),0,IFERROR(IF(AND(G912&gt;0,G912=INT(G912),FIND("-",E912)&gt;1,NOT(EXACT(UPPER(LEFT(E912,1)),LOWER(LEFT(E912,1)))),ISNUMBER(VALUE(MID(E912,FIND("-",E912)+1,10)))),1,0),0))</f>
        <v>0</v>
      </c>
      <c r="J912" s="0" t="str">
        <f aca="false">IF(I912=1,TRIM(LEFT(H912,MAX(0,LEN(H912)-LEN(D912)))),"")</f>
        <v/>
      </c>
      <c r="K912" s="0" t="str">
        <f aca="false">INDEX($P$2:$P$21,A912)</f>
        <v>Deck 16</v>
      </c>
      <c r="L912" s="0" t="n">
        <f aca="false">IF(AND(C912&lt;&gt;"",LEFT(C912,2)&lt;&gt;"//",I912=0),1,0)</f>
        <v>0</v>
      </c>
      <c r="M912" s="0" t="str">
        <f aca="false">IF(I912=1,MAX(M$1:M911)+1,"")</f>
        <v/>
      </c>
      <c r="N912" s="0" t="str">
        <f aca="false">IFERROR(MATCH(ROW()-1,$V$2:$V$1201,0),"")</f>
        <v/>
      </c>
      <c r="R912" s="0" t="str">
        <f aca="false">IF(E912="","",IFERROR(LEFT(E912,FIND("-",E912)-1),E912))</f>
        <v/>
      </c>
      <c r="S912" s="0" t="str">
        <f aca="false">IF(R912="","",IF(ISNUMBER(--MID(R912,1,1)),0,IF(ISNUMBER(--MID(R912,2,1)),1,IF(ISNUMBER(--MID(R912,3,1)),2,IF(ISNUMBER(--MID(R912,4,1)),3,MIN(LEN(R912),4))))))</f>
        <v/>
      </c>
      <c r="T912" s="0" t="str">
        <f aca="false">IF(E912="","",LEFT(R912,S912)&amp;REPT("0",4-S912)&amp;RIGHT("000"&amp;IFERROR(VALUE(MID(R912,S912+1,9)),0),3)&amp;RIGHT("0000"&amp;IFERROR(VALUE(MID(E912,FIND("-",E912)+1,9)),0),4))</f>
        <v/>
      </c>
      <c r="U912" s="0" t="str">
        <f aca="false">IF(I912=1,"K"&amp;RIGHT("00"&amp;A912,2)&amp;T912&amp;RIGHT("00000"&amp;ROW(),5),"")</f>
        <v/>
      </c>
      <c r="V912" s="0" t="str">
        <f aca="false">IF(U912="","",COUNTIFS($I$2:$I$1201,1,$U$2:$U$1201,"&lt;"&amp;U912)+1)</f>
        <v/>
      </c>
    </row>
    <row r="913" customFormat="false" ht="15" hidden="false" customHeight="false" outlineLevel="0" collapsed="false">
      <c r="A913" s="0" t="n">
        <v>16</v>
      </c>
      <c r="B913" s="0" t="n">
        <v>12</v>
      </c>
      <c r="C913" s="0" t="str">
        <f aca="false">TRIM(SUBSTITUTE(INDEX(LISTAS!$A$4:$T$63,B913,A913)&amp;"",CHAR(160)," "))</f>
        <v/>
      </c>
      <c r="D913" s="0" t="str">
        <f aca="false">IF(C913="","",TRIM(RIGHT(SUBSTITUTE(C913," ",REPT(" ",100)),100)))</f>
        <v/>
      </c>
      <c r="E913" s="0" t="str">
        <f aca="false">IF(D913="","",UPPER(SUBSTITUTE(SUBSTITUTE(D913,"(",""),")","")))</f>
        <v/>
      </c>
      <c r="F913" s="0" t="str">
        <f aca="false">IF(C913="","",LEFT(C913,FIND(" ",C913&amp;" ")-1))</f>
        <v/>
      </c>
      <c r="G913" s="0" t="n">
        <f aca="false">IFERROR(VALUE(SUBSTITUTE(LOWER(F913),"x","")),0)</f>
        <v>0</v>
      </c>
      <c r="H913" s="0" t="str">
        <f aca="false">IF(C913="","",TRIM(MID(C913,LEN(F913)+2,999)))</f>
        <v/>
      </c>
      <c r="I913" s="0" t="n">
        <f aca="false">IF(OR(C913="",LEFT(C913,2)="//"),0,IFERROR(IF(AND(G913&gt;0,G913=INT(G913),FIND("-",E913)&gt;1,NOT(EXACT(UPPER(LEFT(E913,1)),LOWER(LEFT(E913,1)))),ISNUMBER(VALUE(MID(E913,FIND("-",E913)+1,10)))),1,0),0))</f>
        <v>0</v>
      </c>
      <c r="J913" s="0" t="str">
        <f aca="false">IF(I913=1,TRIM(LEFT(H913,MAX(0,LEN(H913)-LEN(D913)))),"")</f>
        <v/>
      </c>
      <c r="K913" s="0" t="str">
        <f aca="false">INDEX($P$2:$P$21,A913)</f>
        <v>Deck 16</v>
      </c>
      <c r="L913" s="0" t="n">
        <f aca="false">IF(AND(C913&lt;&gt;"",LEFT(C913,2)&lt;&gt;"//",I913=0),1,0)</f>
        <v>0</v>
      </c>
      <c r="M913" s="0" t="str">
        <f aca="false">IF(I913=1,MAX(M$1:M912)+1,"")</f>
        <v/>
      </c>
      <c r="N913" s="0" t="str">
        <f aca="false">IFERROR(MATCH(ROW()-1,$V$2:$V$1201,0),"")</f>
        <v/>
      </c>
      <c r="R913" s="0" t="str">
        <f aca="false">IF(E913="","",IFERROR(LEFT(E913,FIND("-",E913)-1),E913))</f>
        <v/>
      </c>
      <c r="S913" s="0" t="str">
        <f aca="false">IF(R913="","",IF(ISNUMBER(--MID(R913,1,1)),0,IF(ISNUMBER(--MID(R913,2,1)),1,IF(ISNUMBER(--MID(R913,3,1)),2,IF(ISNUMBER(--MID(R913,4,1)),3,MIN(LEN(R913),4))))))</f>
        <v/>
      </c>
      <c r="T913" s="0" t="str">
        <f aca="false">IF(E913="","",LEFT(R913,S913)&amp;REPT("0",4-S913)&amp;RIGHT("000"&amp;IFERROR(VALUE(MID(R913,S913+1,9)),0),3)&amp;RIGHT("0000"&amp;IFERROR(VALUE(MID(E913,FIND("-",E913)+1,9)),0),4))</f>
        <v/>
      </c>
      <c r="U913" s="0" t="str">
        <f aca="false">IF(I913=1,"K"&amp;RIGHT("00"&amp;A913,2)&amp;T913&amp;RIGHT("00000"&amp;ROW(),5),"")</f>
        <v/>
      </c>
      <c r="V913" s="0" t="str">
        <f aca="false">IF(U913="","",COUNTIFS($I$2:$I$1201,1,$U$2:$U$1201,"&lt;"&amp;U913)+1)</f>
        <v/>
      </c>
    </row>
    <row r="914" customFormat="false" ht="15" hidden="false" customHeight="false" outlineLevel="0" collapsed="false">
      <c r="A914" s="0" t="n">
        <v>16</v>
      </c>
      <c r="B914" s="0" t="n">
        <v>13</v>
      </c>
      <c r="C914" s="0" t="str">
        <f aca="false">TRIM(SUBSTITUTE(INDEX(LISTAS!$A$4:$T$63,B914,A914)&amp;"",CHAR(160)," "))</f>
        <v/>
      </c>
      <c r="D914" s="0" t="str">
        <f aca="false">IF(C914="","",TRIM(RIGHT(SUBSTITUTE(C914," ",REPT(" ",100)),100)))</f>
        <v/>
      </c>
      <c r="E914" s="0" t="str">
        <f aca="false">IF(D914="","",UPPER(SUBSTITUTE(SUBSTITUTE(D914,"(",""),")","")))</f>
        <v/>
      </c>
      <c r="F914" s="0" t="str">
        <f aca="false">IF(C914="","",LEFT(C914,FIND(" ",C914&amp;" ")-1))</f>
        <v/>
      </c>
      <c r="G914" s="0" t="n">
        <f aca="false">IFERROR(VALUE(SUBSTITUTE(LOWER(F914),"x","")),0)</f>
        <v>0</v>
      </c>
      <c r="H914" s="0" t="str">
        <f aca="false">IF(C914="","",TRIM(MID(C914,LEN(F914)+2,999)))</f>
        <v/>
      </c>
      <c r="I914" s="0" t="n">
        <f aca="false">IF(OR(C914="",LEFT(C914,2)="//"),0,IFERROR(IF(AND(G914&gt;0,G914=INT(G914),FIND("-",E914)&gt;1,NOT(EXACT(UPPER(LEFT(E914,1)),LOWER(LEFT(E914,1)))),ISNUMBER(VALUE(MID(E914,FIND("-",E914)+1,10)))),1,0),0))</f>
        <v>0</v>
      </c>
      <c r="J914" s="0" t="str">
        <f aca="false">IF(I914=1,TRIM(LEFT(H914,MAX(0,LEN(H914)-LEN(D914)))),"")</f>
        <v/>
      </c>
      <c r="K914" s="0" t="str">
        <f aca="false">INDEX($P$2:$P$21,A914)</f>
        <v>Deck 16</v>
      </c>
      <c r="L914" s="0" t="n">
        <f aca="false">IF(AND(C914&lt;&gt;"",LEFT(C914,2)&lt;&gt;"//",I914=0),1,0)</f>
        <v>0</v>
      </c>
      <c r="M914" s="0" t="str">
        <f aca="false">IF(I914=1,MAX(M$1:M913)+1,"")</f>
        <v/>
      </c>
      <c r="N914" s="0" t="str">
        <f aca="false">IFERROR(MATCH(ROW()-1,$V$2:$V$1201,0),"")</f>
        <v/>
      </c>
      <c r="R914" s="0" t="str">
        <f aca="false">IF(E914="","",IFERROR(LEFT(E914,FIND("-",E914)-1),E914))</f>
        <v/>
      </c>
      <c r="S914" s="0" t="str">
        <f aca="false">IF(R914="","",IF(ISNUMBER(--MID(R914,1,1)),0,IF(ISNUMBER(--MID(R914,2,1)),1,IF(ISNUMBER(--MID(R914,3,1)),2,IF(ISNUMBER(--MID(R914,4,1)),3,MIN(LEN(R914),4))))))</f>
        <v/>
      </c>
      <c r="T914" s="0" t="str">
        <f aca="false">IF(E914="","",LEFT(R914,S914)&amp;REPT("0",4-S914)&amp;RIGHT("000"&amp;IFERROR(VALUE(MID(R914,S914+1,9)),0),3)&amp;RIGHT("0000"&amp;IFERROR(VALUE(MID(E914,FIND("-",E914)+1,9)),0),4))</f>
        <v/>
      </c>
      <c r="U914" s="0" t="str">
        <f aca="false">IF(I914=1,"K"&amp;RIGHT("00"&amp;A914,2)&amp;T914&amp;RIGHT("00000"&amp;ROW(),5),"")</f>
        <v/>
      </c>
      <c r="V914" s="0" t="str">
        <f aca="false">IF(U914="","",COUNTIFS($I$2:$I$1201,1,$U$2:$U$1201,"&lt;"&amp;U914)+1)</f>
        <v/>
      </c>
    </row>
    <row r="915" customFormat="false" ht="15" hidden="false" customHeight="false" outlineLevel="0" collapsed="false">
      <c r="A915" s="0" t="n">
        <v>16</v>
      </c>
      <c r="B915" s="0" t="n">
        <v>14</v>
      </c>
      <c r="C915" s="0" t="str">
        <f aca="false">TRIM(SUBSTITUTE(INDEX(LISTAS!$A$4:$T$63,B915,A915)&amp;"",CHAR(160)," "))</f>
        <v/>
      </c>
      <c r="D915" s="0" t="str">
        <f aca="false">IF(C915="","",TRIM(RIGHT(SUBSTITUTE(C915," ",REPT(" ",100)),100)))</f>
        <v/>
      </c>
      <c r="E915" s="0" t="str">
        <f aca="false">IF(D915="","",UPPER(SUBSTITUTE(SUBSTITUTE(D915,"(",""),")","")))</f>
        <v/>
      </c>
      <c r="F915" s="0" t="str">
        <f aca="false">IF(C915="","",LEFT(C915,FIND(" ",C915&amp;" ")-1))</f>
        <v/>
      </c>
      <c r="G915" s="0" t="n">
        <f aca="false">IFERROR(VALUE(SUBSTITUTE(LOWER(F915),"x","")),0)</f>
        <v>0</v>
      </c>
      <c r="H915" s="0" t="str">
        <f aca="false">IF(C915="","",TRIM(MID(C915,LEN(F915)+2,999)))</f>
        <v/>
      </c>
      <c r="I915" s="0" t="n">
        <f aca="false">IF(OR(C915="",LEFT(C915,2)="//"),0,IFERROR(IF(AND(G915&gt;0,G915=INT(G915),FIND("-",E915)&gt;1,NOT(EXACT(UPPER(LEFT(E915,1)),LOWER(LEFT(E915,1)))),ISNUMBER(VALUE(MID(E915,FIND("-",E915)+1,10)))),1,0),0))</f>
        <v>0</v>
      </c>
      <c r="J915" s="0" t="str">
        <f aca="false">IF(I915=1,TRIM(LEFT(H915,MAX(0,LEN(H915)-LEN(D915)))),"")</f>
        <v/>
      </c>
      <c r="K915" s="0" t="str">
        <f aca="false">INDEX($P$2:$P$21,A915)</f>
        <v>Deck 16</v>
      </c>
      <c r="L915" s="0" t="n">
        <f aca="false">IF(AND(C915&lt;&gt;"",LEFT(C915,2)&lt;&gt;"//",I915=0),1,0)</f>
        <v>0</v>
      </c>
      <c r="M915" s="0" t="str">
        <f aca="false">IF(I915=1,MAX(M$1:M914)+1,"")</f>
        <v/>
      </c>
      <c r="N915" s="0" t="str">
        <f aca="false">IFERROR(MATCH(ROW()-1,$V$2:$V$1201,0),"")</f>
        <v/>
      </c>
      <c r="R915" s="0" t="str">
        <f aca="false">IF(E915="","",IFERROR(LEFT(E915,FIND("-",E915)-1),E915))</f>
        <v/>
      </c>
      <c r="S915" s="0" t="str">
        <f aca="false">IF(R915="","",IF(ISNUMBER(--MID(R915,1,1)),0,IF(ISNUMBER(--MID(R915,2,1)),1,IF(ISNUMBER(--MID(R915,3,1)),2,IF(ISNUMBER(--MID(R915,4,1)),3,MIN(LEN(R915),4))))))</f>
        <v/>
      </c>
      <c r="T915" s="0" t="str">
        <f aca="false">IF(E915="","",LEFT(R915,S915)&amp;REPT("0",4-S915)&amp;RIGHT("000"&amp;IFERROR(VALUE(MID(R915,S915+1,9)),0),3)&amp;RIGHT("0000"&amp;IFERROR(VALUE(MID(E915,FIND("-",E915)+1,9)),0),4))</f>
        <v/>
      </c>
      <c r="U915" s="0" t="str">
        <f aca="false">IF(I915=1,"K"&amp;RIGHT("00"&amp;A915,2)&amp;T915&amp;RIGHT("00000"&amp;ROW(),5),"")</f>
        <v/>
      </c>
      <c r="V915" s="0" t="str">
        <f aca="false">IF(U915="","",COUNTIFS($I$2:$I$1201,1,$U$2:$U$1201,"&lt;"&amp;U915)+1)</f>
        <v/>
      </c>
    </row>
    <row r="916" customFormat="false" ht="15" hidden="false" customHeight="false" outlineLevel="0" collapsed="false">
      <c r="A916" s="0" t="n">
        <v>16</v>
      </c>
      <c r="B916" s="0" t="n">
        <v>15</v>
      </c>
      <c r="C916" s="0" t="str">
        <f aca="false">TRIM(SUBSTITUTE(INDEX(LISTAS!$A$4:$T$63,B916,A916)&amp;"",CHAR(160)," "))</f>
        <v/>
      </c>
      <c r="D916" s="0" t="str">
        <f aca="false">IF(C916="","",TRIM(RIGHT(SUBSTITUTE(C916," ",REPT(" ",100)),100)))</f>
        <v/>
      </c>
      <c r="E916" s="0" t="str">
        <f aca="false">IF(D916="","",UPPER(SUBSTITUTE(SUBSTITUTE(D916,"(",""),")","")))</f>
        <v/>
      </c>
      <c r="F916" s="0" t="str">
        <f aca="false">IF(C916="","",LEFT(C916,FIND(" ",C916&amp;" ")-1))</f>
        <v/>
      </c>
      <c r="G916" s="0" t="n">
        <f aca="false">IFERROR(VALUE(SUBSTITUTE(LOWER(F916),"x","")),0)</f>
        <v>0</v>
      </c>
      <c r="H916" s="0" t="str">
        <f aca="false">IF(C916="","",TRIM(MID(C916,LEN(F916)+2,999)))</f>
        <v/>
      </c>
      <c r="I916" s="0" t="n">
        <f aca="false">IF(OR(C916="",LEFT(C916,2)="//"),0,IFERROR(IF(AND(G916&gt;0,G916=INT(G916),FIND("-",E916)&gt;1,NOT(EXACT(UPPER(LEFT(E916,1)),LOWER(LEFT(E916,1)))),ISNUMBER(VALUE(MID(E916,FIND("-",E916)+1,10)))),1,0),0))</f>
        <v>0</v>
      </c>
      <c r="J916" s="0" t="str">
        <f aca="false">IF(I916=1,TRIM(LEFT(H916,MAX(0,LEN(H916)-LEN(D916)))),"")</f>
        <v/>
      </c>
      <c r="K916" s="0" t="str">
        <f aca="false">INDEX($P$2:$P$21,A916)</f>
        <v>Deck 16</v>
      </c>
      <c r="L916" s="0" t="n">
        <f aca="false">IF(AND(C916&lt;&gt;"",LEFT(C916,2)&lt;&gt;"//",I916=0),1,0)</f>
        <v>0</v>
      </c>
      <c r="M916" s="0" t="str">
        <f aca="false">IF(I916=1,MAX(M$1:M915)+1,"")</f>
        <v/>
      </c>
      <c r="N916" s="0" t="str">
        <f aca="false">IFERROR(MATCH(ROW()-1,$V$2:$V$1201,0),"")</f>
        <v/>
      </c>
      <c r="R916" s="0" t="str">
        <f aca="false">IF(E916="","",IFERROR(LEFT(E916,FIND("-",E916)-1),E916))</f>
        <v/>
      </c>
      <c r="S916" s="0" t="str">
        <f aca="false">IF(R916="","",IF(ISNUMBER(--MID(R916,1,1)),0,IF(ISNUMBER(--MID(R916,2,1)),1,IF(ISNUMBER(--MID(R916,3,1)),2,IF(ISNUMBER(--MID(R916,4,1)),3,MIN(LEN(R916),4))))))</f>
        <v/>
      </c>
      <c r="T916" s="0" t="str">
        <f aca="false">IF(E916="","",LEFT(R916,S916)&amp;REPT("0",4-S916)&amp;RIGHT("000"&amp;IFERROR(VALUE(MID(R916,S916+1,9)),0),3)&amp;RIGHT("0000"&amp;IFERROR(VALUE(MID(E916,FIND("-",E916)+1,9)),0),4))</f>
        <v/>
      </c>
      <c r="U916" s="0" t="str">
        <f aca="false">IF(I916=1,"K"&amp;RIGHT("00"&amp;A916,2)&amp;T916&amp;RIGHT("00000"&amp;ROW(),5),"")</f>
        <v/>
      </c>
      <c r="V916" s="0" t="str">
        <f aca="false">IF(U916="","",COUNTIFS($I$2:$I$1201,1,$U$2:$U$1201,"&lt;"&amp;U916)+1)</f>
        <v/>
      </c>
    </row>
    <row r="917" customFormat="false" ht="15" hidden="false" customHeight="false" outlineLevel="0" collapsed="false">
      <c r="A917" s="0" t="n">
        <v>16</v>
      </c>
      <c r="B917" s="0" t="n">
        <v>16</v>
      </c>
      <c r="C917" s="0" t="str">
        <f aca="false">TRIM(SUBSTITUTE(INDEX(LISTAS!$A$4:$T$63,B917,A917)&amp;"",CHAR(160)," "))</f>
        <v/>
      </c>
      <c r="D917" s="0" t="str">
        <f aca="false">IF(C917="","",TRIM(RIGHT(SUBSTITUTE(C917," ",REPT(" ",100)),100)))</f>
        <v/>
      </c>
      <c r="E917" s="0" t="str">
        <f aca="false">IF(D917="","",UPPER(SUBSTITUTE(SUBSTITUTE(D917,"(",""),")","")))</f>
        <v/>
      </c>
      <c r="F917" s="0" t="str">
        <f aca="false">IF(C917="","",LEFT(C917,FIND(" ",C917&amp;" ")-1))</f>
        <v/>
      </c>
      <c r="G917" s="0" t="n">
        <f aca="false">IFERROR(VALUE(SUBSTITUTE(LOWER(F917),"x","")),0)</f>
        <v>0</v>
      </c>
      <c r="H917" s="0" t="str">
        <f aca="false">IF(C917="","",TRIM(MID(C917,LEN(F917)+2,999)))</f>
        <v/>
      </c>
      <c r="I917" s="0" t="n">
        <f aca="false">IF(OR(C917="",LEFT(C917,2)="//"),0,IFERROR(IF(AND(G917&gt;0,G917=INT(G917),FIND("-",E917)&gt;1,NOT(EXACT(UPPER(LEFT(E917,1)),LOWER(LEFT(E917,1)))),ISNUMBER(VALUE(MID(E917,FIND("-",E917)+1,10)))),1,0),0))</f>
        <v>0</v>
      </c>
      <c r="J917" s="0" t="str">
        <f aca="false">IF(I917=1,TRIM(LEFT(H917,MAX(0,LEN(H917)-LEN(D917)))),"")</f>
        <v/>
      </c>
      <c r="K917" s="0" t="str">
        <f aca="false">INDEX($P$2:$P$21,A917)</f>
        <v>Deck 16</v>
      </c>
      <c r="L917" s="0" t="n">
        <f aca="false">IF(AND(C917&lt;&gt;"",LEFT(C917,2)&lt;&gt;"//",I917=0),1,0)</f>
        <v>0</v>
      </c>
      <c r="M917" s="0" t="str">
        <f aca="false">IF(I917=1,MAX(M$1:M916)+1,"")</f>
        <v/>
      </c>
      <c r="N917" s="0" t="str">
        <f aca="false">IFERROR(MATCH(ROW()-1,$V$2:$V$1201,0),"")</f>
        <v/>
      </c>
      <c r="R917" s="0" t="str">
        <f aca="false">IF(E917="","",IFERROR(LEFT(E917,FIND("-",E917)-1),E917))</f>
        <v/>
      </c>
      <c r="S917" s="0" t="str">
        <f aca="false">IF(R917="","",IF(ISNUMBER(--MID(R917,1,1)),0,IF(ISNUMBER(--MID(R917,2,1)),1,IF(ISNUMBER(--MID(R917,3,1)),2,IF(ISNUMBER(--MID(R917,4,1)),3,MIN(LEN(R917),4))))))</f>
        <v/>
      </c>
      <c r="T917" s="0" t="str">
        <f aca="false">IF(E917="","",LEFT(R917,S917)&amp;REPT("0",4-S917)&amp;RIGHT("000"&amp;IFERROR(VALUE(MID(R917,S917+1,9)),0),3)&amp;RIGHT("0000"&amp;IFERROR(VALUE(MID(E917,FIND("-",E917)+1,9)),0),4))</f>
        <v/>
      </c>
      <c r="U917" s="0" t="str">
        <f aca="false">IF(I917=1,"K"&amp;RIGHT("00"&amp;A917,2)&amp;T917&amp;RIGHT("00000"&amp;ROW(),5),"")</f>
        <v/>
      </c>
      <c r="V917" s="0" t="str">
        <f aca="false">IF(U917="","",COUNTIFS($I$2:$I$1201,1,$U$2:$U$1201,"&lt;"&amp;U917)+1)</f>
        <v/>
      </c>
    </row>
    <row r="918" customFormat="false" ht="15" hidden="false" customHeight="false" outlineLevel="0" collapsed="false">
      <c r="A918" s="0" t="n">
        <v>16</v>
      </c>
      <c r="B918" s="0" t="n">
        <v>17</v>
      </c>
      <c r="C918" s="0" t="str">
        <f aca="false">TRIM(SUBSTITUTE(INDEX(LISTAS!$A$4:$T$63,B918,A918)&amp;"",CHAR(160)," "))</f>
        <v/>
      </c>
      <c r="D918" s="0" t="str">
        <f aca="false">IF(C918="","",TRIM(RIGHT(SUBSTITUTE(C918," ",REPT(" ",100)),100)))</f>
        <v/>
      </c>
      <c r="E918" s="0" t="str">
        <f aca="false">IF(D918="","",UPPER(SUBSTITUTE(SUBSTITUTE(D918,"(",""),")","")))</f>
        <v/>
      </c>
      <c r="F918" s="0" t="str">
        <f aca="false">IF(C918="","",LEFT(C918,FIND(" ",C918&amp;" ")-1))</f>
        <v/>
      </c>
      <c r="G918" s="0" t="n">
        <f aca="false">IFERROR(VALUE(SUBSTITUTE(LOWER(F918),"x","")),0)</f>
        <v>0</v>
      </c>
      <c r="H918" s="0" t="str">
        <f aca="false">IF(C918="","",TRIM(MID(C918,LEN(F918)+2,999)))</f>
        <v/>
      </c>
      <c r="I918" s="0" t="n">
        <f aca="false">IF(OR(C918="",LEFT(C918,2)="//"),0,IFERROR(IF(AND(G918&gt;0,G918=INT(G918),FIND("-",E918)&gt;1,NOT(EXACT(UPPER(LEFT(E918,1)),LOWER(LEFT(E918,1)))),ISNUMBER(VALUE(MID(E918,FIND("-",E918)+1,10)))),1,0),0))</f>
        <v>0</v>
      </c>
      <c r="J918" s="0" t="str">
        <f aca="false">IF(I918=1,TRIM(LEFT(H918,MAX(0,LEN(H918)-LEN(D918)))),"")</f>
        <v/>
      </c>
      <c r="K918" s="0" t="str">
        <f aca="false">INDEX($P$2:$P$21,A918)</f>
        <v>Deck 16</v>
      </c>
      <c r="L918" s="0" t="n">
        <f aca="false">IF(AND(C918&lt;&gt;"",LEFT(C918,2)&lt;&gt;"//",I918=0),1,0)</f>
        <v>0</v>
      </c>
      <c r="M918" s="0" t="str">
        <f aca="false">IF(I918=1,MAX(M$1:M917)+1,"")</f>
        <v/>
      </c>
      <c r="N918" s="0" t="str">
        <f aca="false">IFERROR(MATCH(ROW()-1,$V$2:$V$1201,0),"")</f>
        <v/>
      </c>
      <c r="R918" s="0" t="str">
        <f aca="false">IF(E918="","",IFERROR(LEFT(E918,FIND("-",E918)-1),E918))</f>
        <v/>
      </c>
      <c r="S918" s="0" t="str">
        <f aca="false">IF(R918="","",IF(ISNUMBER(--MID(R918,1,1)),0,IF(ISNUMBER(--MID(R918,2,1)),1,IF(ISNUMBER(--MID(R918,3,1)),2,IF(ISNUMBER(--MID(R918,4,1)),3,MIN(LEN(R918),4))))))</f>
        <v/>
      </c>
      <c r="T918" s="0" t="str">
        <f aca="false">IF(E918="","",LEFT(R918,S918)&amp;REPT("0",4-S918)&amp;RIGHT("000"&amp;IFERROR(VALUE(MID(R918,S918+1,9)),0),3)&amp;RIGHT("0000"&amp;IFERROR(VALUE(MID(E918,FIND("-",E918)+1,9)),0),4))</f>
        <v/>
      </c>
      <c r="U918" s="0" t="str">
        <f aca="false">IF(I918=1,"K"&amp;RIGHT("00"&amp;A918,2)&amp;T918&amp;RIGHT("00000"&amp;ROW(),5),"")</f>
        <v/>
      </c>
      <c r="V918" s="0" t="str">
        <f aca="false">IF(U918="","",COUNTIFS($I$2:$I$1201,1,$U$2:$U$1201,"&lt;"&amp;U918)+1)</f>
        <v/>
      </c>
    </row>
    <row r="919" customFormat="false" ht="15" hidden="false" customHeight="false" outlineLevel="0" collapsed="false">
      <c r="A919" s="0" t="n">
        <v>16</v>
      </c>
      <c r="B919" s="0" t="n">
        <v>18</v>
      </c>
      <c r="C919" s="0" t="str">
        <f aca="false">TRIM(SUBSTITUTE(INDEX(LISTAS!$A$4:$T$63,B919,A919)&amp;"",CHAR(160)," "))</f>
        <v/>
      </c>
      <c r="D919" s="0" t="str">
        <f aca="false">IF(C919="","",TRIM(RIGHT(SUBSTITUTE(C919," ",REPT(" ",100)),100)))</f>
        <v/>
      </c>
      <c r="E919" s="0" t="str">
        <f aca="false">IF(D919="","",UPPER(SUBSTITUTE(SUBSTITUTE(D919,"(",""),")","")))</f>
        <v/>
      </c>
      <c r="F919" s="0" t="str">
        <f aca="false">IF(C919="","",LEFT(C919,FIND(" ",C919&amp;" ")-1))</f>
        <v/>
      </c>
      <c r="G919" s="0" t="n">
        <f aca="false">IFERROR(VALUE(SUBSTITUTE(LOWER(F919),"x","")),0)</f>
        <v>0</v>
      </c>
      <c r="H919" s="0" t="str">
        <f aca="false">IF(C919="","",TRIM(MID(C919,LEN(F919)+2,999)))</f>
        <v/>
      </c>
      <c r="I919" s="0" t="n">
        <f aca="false">IF(OR(C919="",LEFT(C919,2)="//"),0,IFERROR(IF(AND(G919&gt;0,G919=INT(G919),FIND("-",E919)&gt;1,NOT(EXACT(UPPER(LEFT(E919,1)),LOWER(LEFT(E919,1)))),ISNUMBER(VALUE(MID(E919,FIND("-",E919)+1,10)))),1,0),0))</f>
        <v>0</v>
      </c>
      <c r="J919" s="0" t="str">
        <f aca="false">IF(I919=1,TRIM(LEFT(H919,MAX(0,LEN(H919)-LEN(D919)))),"")</f>
        <v/>
      </c>
      <c r="K919" s="0" t="str">
        <f aca="false">INDEX($P$2:$P$21,A919)</f>
        <v>Deck 16</v>
      </c>
      <c r="L919" s="0" t="n">
        <f aca="false">IF(AND(C919&lt;&gt;"",LEFT(C919,2)&lt;&gt;"//",I919=0),1,0)</f>
        <v>0</v>
      </c>
      <c r="M919" s="0" t="str">
        <f aca="false">IF(I919=1,MAX(M$1:M918)+1,"")</f>
        <v/>
      </c>
      <c r="N919" s="0" t="str">
        <f aca="false">IFERROR(MATCH(ROW()-1,$V$2:$V$1201,0),"")</f>
        <v/>
      </c>
      <c r="R919" s="0" t="str">
        <f aca="false">IF(E919="","",IFERROR(LEFT(E919,FIND("-",E919)-1),E919))</f>
        <v/>
      </c>
      <c r="S919" s="0" t="str">
        <f aca="false">IF(R919="","",IF(ISNUMBER(--MID(R919,1,1)),0,IF(ISNUMBER(--MID(R919,2,1)),1,IF(ISNUMBER(--MID(R919,3,1)),2,IF(ISNUMBER(--MID(R919,4,1)),3,MIN(LEN(R919),4))))))</f>
        <v/>
      </c>
      <c r="T919" s="0" t="str">
        <f aca="false">IF(E919="","",LEFT(R919,S919)&amp;REPT("0",4-S919)&amp;RIGHT("000"&amp;IFERROR(VALUE(MID(R919,S919+1,9)),0),3)&amp;RIGHT("0000"&amp;IFERROR(VALUE(MID(E919,FIND("-",E919)+1,9)),0),4))</f>
        <v/>
      </c>
      <c r="U919" s="0" t="str">
        <f aca="false">IF(I919=1,"K"&amp;RIGHT("00"&amp;A919,2)&amp;T919&amp;RIGHT("00000"&amp;ROW(),5),"")</f>
        <v/>
      </c>
      <c r="V919" s="0" t="str">
        <f aca="false">IF(U919="","",COUNTIFS($I$2:$I$1201,1,$U$2:$U$1201,"&lt;"&amp;U919)+1)</f>
        <v/>
      </c>
    </row>
    <row r="920" customFormat="false" ht="15" hidden="false" customHeight="false" outlineLevel="0" collapsed="false">
      <c r="A920" s="0" t="n">
        <v>16</v>
      </c>
      <c r="B920" s="0" t="n">
        <v>19</v>
      </c>
      <c r="C920" s="0" t="str">
        <f aca="false">TRIM(SUBSTITUTE(INDEX(LISTAS!$A$4:$T$63,B920,A920)&amp;"",CHAR(160)," "))</f>
        <v/>
      </c>
      <c r="D920" s="0" t="str">
        <f aca="false">IF(C920="","",TRIM(RIGHT(SUBSTITUTE(C920," ",REPT(" ",100)),100)))</f>
        <v/>
      </c>
      <c r="E920" s="0" t="str">
        <f aca="false">IF(D920="","",UPPER(SUBSTITUTE(SUBSTITUTE(D920,"(",""),")","")))</f>
        <v/>
      </c>
      <c r="F920" s="0" t="str">
        <f aca="false">IF(C920="","",LEFT(C920,FIND(" ",C920&amp;" ")-1))</f>
        <v/>
      </c>
      <c r="G920" s="0" t="n">
        <f aca="false">IFERROR(VALUE(SUBSTITUTE(LOWER(F920),"x","")),0)</f>
        <v>0</v>
      </c>
      <c r="H920" s="0" t="str">
        <f aca="false">IF(C920="","",TRIM(MID(C920,LEN(F920)+2,999)))</f>
        <v/>
      </c>
      <c r="I920" s="0" t="n">
        <f aca="false">IF(OR(C920="",LEFT(C920,2)="//"),0,IFERROR(IF(AND(G920&gt;0,G920=INT(G920),FIND("-",E920)&gt;1,NOT(EXACT(UPPER(LEFT(E920,1)),LOWER(LEFT(E920,1)))),ISNUMBER(VALUE(MID(E920,FIND("-",E920)+1,10)))),1,0),0))</f>
        <v>0</v>
      </c>
      <c r="J920" s="0" t="str">
        <f aca="false">IF(I920=1,TRIM(LEFT(H920,MAX(0,LEN(H920)-LEN(D920)))),"")</f>
        <v/>
      </c>
      <c r="K920" s="0" t="str">
        <f aca="false">INDEX($P$2:$P$21,A920)</f>
        <v>Deck 16</v>
      </c>
      <c r="L920" s="0" t="n">
        <f aca="false">IF(AND(C920&lt;&gt;"",LEFT(C920,2)&lt;&gt;"//",I920=0),1,0)</f>
        <v>0</v>
      </c>
      <c r="M920" s="0" t="str">
        <f aca="false">IF(I920=1,MAX(M$1:M919)+1,"")</f>
        <v/>
      </c>
      <c r="N920" s="0" t="str">
        <f aca="false">IFERROR(MATCH(ROW()-1,$V$2:$V$1201,0),"")</f>
        <v/>
      </c>
      <c r="R920" s="0" t="str">
        <f aca="false">IF(E920="","",IFERROR(LEFT(E920,FIND("-",E920)-1),E920))</f>
        <v/>
      </c>
      <c r="S920" s="0" t="str">
        <f aca="false">IF(R920="","",IF(ISNUMBER(--MID(R920,1,1)),0,IF(ISNUMBER(--MID(R920,2,1)),1,IF(ISNUMBER(--MID(R920,3,1)),2,IF(ISNUMBER(--MID(R920,4,1)),3,MIN(LEN(R920),4))))))</f>
        <v/>
      </c>
      <c r="T920" s="0" t="str">
        <f aca="false">IF(E920="","",LEFT(R920,S920)&amp;REPT("0",4-S920)&amp;RIGHT("000"&amp;IFERROR(VALUE(MID(R920,S920+1,9)),0),3)&amp;RIGHT("0000"&amp;IFERROR(VALUE(MID(E920,FIND("-",E920)+1,9)),0),4))</f>
        <v/>
      </c>
      <c r="U920" s="0" t="str">
        <f aca="false">IF(I920=1,"K"&amp;RIGHT("00"&amp;A920,2)&amp;T920&amp;RIGHT("00000"&amp;ROW(),5),"")</f>
        <v/>
      </c>
      <c r="V920" s="0" t="str">
        <f aca="false">IF(U920="","",COUNTIFS($I$2:$I$1201,1,$U$2:$U$1201,"&lt;"&amp;U920)+1)</f>
        <v/>
      </c>
    </row>
    <row r="921" customFormat="false" ht="15" hidden="false" customHeight="false" outlineLevel="0" collapsed="false">
      <c r="A921" s="0" t="n">
        <v>16</v>
      </c>
      <c r="B921" s="0" t="n">
        <v>20</v>
      </c>
      <c r="C921" s="0" t="str">
        <f aca="false">TRIM(SUBSTITUTE(INDEX(LISTAS!$A$4:$T$63,B921,A921)&amp;"",CHAR(160)," "))</f>
        <v/>
      </c>
      <c r="D921" s="0" t="str">
        <f aca="false">IF(C921="","",TRIM(RIGHT(SUBSTITUTE(C921," ",REPT(" ",100)),100)))</f>
        <v/>
      </c>
      <c r="E921" s="0" t="str">
        <f aca="false">IF(D921="","",UPPER(SUBSTITUTE(SUBSTITUTE(D921,"(",""),")","")))</f>
        <v/>
      </c>
      <c r="F921" s="0" t="str">
        <f aca="false">IF(C921="","",LEFT(C921,FIND(" ",C921&amp;" ")-1))</f>
        <v/>
      </c>
      <c r="G921" s="0" t="n">
        <f aca="false">IFERROR(VALUE(SUBSTITUTE(LOWER(F921),"x","")),0)</f>
        <v>0</v>
      </c>
      <c r="H921" s="0" t="str">
        <f aca="false">IF(C921="","",TRIM(MID(C921,LEN(F921)+2,999)))</f>
        <v/>
      </c>
      <c r="I921" s="0" t="n">
        <f aca="false">IF(OR(C921="",LEFT(C921,2)="//"),0,IFERROR(IF(AND(G921&gt;0,G921=INT(G921),FIND("-",E921)&gt;1,NOT(EXACT(UPPER(LEFT(E921,1)),LOWER(LEFT(E921,1)))),ISNUMBER(VALUE(MID(E921,FIND("-",E921)+1,10)))),1,0),0))</f>
        <v>0</v>
      </c>
      <c r="J921" s="0" t="str">
        <f aca="false">IF(I921=1,TRIM(LEFT(H921,MAX(0,LEN(H921)-LEN(D921)))),"")</f>
        <v/>
      </c>
      <c r="K921" s="0" t="str">
        <f aca="false">INDEX($P$2:$P$21,A921)</f>
        <v>Deck 16</v>
      </c>
      <c r="L921" s="0" t="n">
        <f aca="false">IF(AND(C921&lt;&gt;"",LEFT(C921,2)&lt;&gt;"//",I921=0),1,0)</f>
        <v>0</v>
      </c>
      <c r="M921" s="0" t="str">
        <f aca="false">IF(I921=1,MAX(M$1:M920)+1,"")</f>
        <v/>
      </c>
      <c r="N921" s="0" t="str">
        <f aca="false">IFERROR(MATCH(ROW()-1,$V$2:$V$1201,0),"")</f>
        <v/>
      </c>
      <c r="R921" s="0" t="str">
        <f aca="false">IF(E921="","",IFERROR(LEFT(E921,FIND("-",E921)-1),E921))</f>
        <v/>
      </c>
      <c r="S921" s="0" t="str">
        <f aca="false">IF(R921="","",IF(ISNUMBER(--MID(R921,1,1)),0,IF(ISNUMBER(--MID(R921,2,1)),1,IF(ISNUMBER(--MID(R921,3,1)),2,IF(ISNUMBER(--MID(R921,4,1)),3,MIN(LEN(R921),4))))))</f>
        <v/>
      </c>
      <c r="T921" s="0" t="str">
        <f aca="false">IF(E921="","",LEFT(R921,S921)&amp;REPT("0",4-S921)&amp;RIGHT("000"&amp;IFERROR(VALUE(MID(R921,S921+1,9)),0),3)&amp;RIGHT("0000"&amp;IFERROR(VALUE(MID(E921,FIND("-",E921)+1,9)),0),4))</f>
        <v/>
      </c>
      <c r="U921" s="0" t="str">
        <f aca="false">IF(I921=1,"K"&amp;RIGHT("00"&amp;A921,2)&amp;T921&amp;RIGHT("00000"&amp;ROW(),5),"")</f>
        <v/>
      </c>
      <c r="V921" s="0" t="str">
        <f aca="false">IF(U921="","",COUNTIFS($I$2:$I$1201,1,$U$2:$U$1201,"&lt;"&amp;U921)+1)</f>
        <v/>
      </c>
    </row>
    <row r="922" customFormat="false" ht="15" hidden="false" customHeight="false" outlineLevel="0" collapsed="false">
      <c r="A922" s="0" t="n">
        <v>16</v>
      </c>
      <c r="B922" s="0" t="n">
        <v>21</v>
      </c>
      <c r="C922" s="0" t="str">
        <f aca="false">TRIM(SUBSTITUTE(INDEX(LISTAS!$A$4:$T$63,B922,A922)&amp;"",CHAR(160)," "))</f>
        <v/>
      </c>
      <c r="D922" s="0" t="str">
        <f aca="false">IF(C922="","",TRIM(RIGHT(SUBSTITUTE(C922," ",REPT(" ",100)),100)))</f>
        <v/>
      </c>
      <c r="E922" s="0" t="str">
        <f aca="false">IF(D922="","",UPPER(SUBSTITUTE(SUBSTITUTE(D922,"(",""),")","")))</f>
        <v/>
      </c>
      <c r="F922" s="0" t="str">
        <f aca="false">IF(C922="","",LEFT(C922,FIND(" ",C922&amp;" ")-1))</f>
        <v/>
      </c>
      <c r="G922" s="0" t="n">
        <f aca="false">IFERROR(VALUE(SUBSTITUTE(LOWER(F922),"x","")),0)</f>
        <v>0</v>
      </c>
      <c r="H922" s="0" t="str">
        <f aca="false">IF(C922="","",TRIM(MID(C922,LEN(F922)+2,999)))</f>
        <v/>
      </c>
      <c r="I922" s="0" t="n">
        <f aca="false">IF(OR(C922="",LEFT(C922,2)="//"),0,IFERROR(IF(AND(G922&gt;0,G922=INT(G922),FIND("-",E922)&gt;1,NOT(EXACT(UPPER(LEFT(E922,1)),LOWER(LEFT(E922,1)))),ISNUMBER(VALUE(MID(E922,FIND("-",E922)+1,10)))),1,0),0))</f>
        <v>0</v>
      </c>
      <c r="J922" s="0" t="str">
        <f aca="false">IF(I922=1,TRIM(LEFT(H922,MAX(0,LEN(H922)-LEN(D922)))),"")</f>
        <v/>
      </c>
      <c r="K922" s="0" t="str">
        <f aca="false">INDEX($P$2:$P$21,A922)</f>
        <v>Deck 16</v>
      </c>
      <c r="L922" s="0" t="n">
        <f aca="false">IF(AND(C922&lt;&gt;"",LEFT(C922,2)&lt;&gt;"//",I922=0),1,0)</f>
        <v>0</v>
      </c>
      <c r="M922" s="0" t="str">
        <f aca="false">IF(I922=1,MAX(M$1:M921)+1,"")</f>
        <v/>
      </c>
      <c r="N922" s="0" t="str">
        <f aca="false">IFERROR(MATCH(ROW()-1,$V$2:$V$1201,0),"")</f>
        <v/>
      </c>
      <c r="R922" s="0" t="str">
        <f aca="false">IF(E922="","",IFERROR(LEFT(E922,FIND("-",E922)-1),E922))</f>
        <v/>
      </c>
      <c r="S922" s="0" t="str">
        <f aca="false">IF(R922="","",IF(ISNUMBER(--MID(R922,1,1)),0,IF(ISNUMBER(--MID(R922,2,1)),1,IF(ISNUMBER(--MID(R922,3,1)),2,IF(ISNUMBER(--MID(R922,4,1)),3,MIN(LEN(R922),4))))))</f>
        <v/>
      </c>
      <c r="T922" s="0" t="str">
        <f aca="false">IF(E922="","",LEFT(R922,S922)&amp;REPT("0",4-S922)&amp;RIGHT("000"&amp;IFERROR(VALUE(MID(R922,S922+1,9)),0),3)&amp;RIGHT("0000"&amp;IFERROR(VALUE(MID(E922,FIND("-",E922)+1,9)),0),4))</f>
        <v/>
      </c>
      <c r="U922" s="0" t="str">
        <f aca="false">IF(I922=1,"K"&amp;RIGHT("00"&amp;A922,2)&amp;T922&amp;RIGHT("00000"&amp;ROW(),5),"")</f>
        <v/>
      </c>
      <c r="V922" s="0" t="str">
        <f aca="false">IF(U922="","",COUNTIFS($I$2:$I$1201,1,$U$2:$U$1201,"&lt;"&amp;U922)+1)</f>
        <v/>
      </c>
    </row>
    <row r="923" customFormat="false" ht="15" hidden="false" customHeight="false" outlineLevel="0" collapsed="false">
      <c r="A923" s="0" t="n">
        <v>16</v>
      </c>
      <c r="B923" s="0" t="n">
        <v>22</v>
      </c>
      <c r="C923" s="0" t="str">
        <f aca="false">TRIM(SUBSTITUTE(INDEX(LISTAS!$A$4:$T$63,B923,A923)&amp;"",CHAR(160)," "))</f>
        <v/>
      </c>
      <c r="D923" s="0" t="str">
        <f aca="false">IF(C923="","",TRIM(RIGHT(SUBSTITUTE(C923," ",REPT(" ",100)),100)))</f>
        <v/>
      </c>
      <c r="E923" s="0" t="str">
        <f aca="false">IF(D923="","",UPPER(SUBSTITUTE(SUBSTITUTE(D923,"(",""),")","")))</f>
        <v/>
      </c>
      <c r="F923" s="0" t="str">
        <f aca="false">IF(C923="","",LEFT(C923,FIND(" ",C923&amp;" ")-1))</f>
        <v/>
      </c>
      <c r="G923" s="0" t="n">
        <f aca="false">IFERROR(VALUE(SUBSTITUTE(LOWER(F923),"x","")),0)</f>
        <v>0</v>
      </c>
      <c r="H923" s="0" t="str">
        <f aca="false">IF(C923="","",TRIM(MID(C923,LEN(F923)+2,999)))</f>
        <v/>
      </c>
      <c r="I923" s="0" t="n">
        <f aca="false">IF(OR(C923="",LEFT(C923,2)="//"),0,IFERROR(IF(AND(G923&gt;0,G923=INT(G923),FIND("-",E923)&gt;1,NOT(EXACT(UPPER(LEFT(E923,1)),LOWER(LEFT(E923,1)))),ISNUMBER(VALUE(MID(E923,FIND("-",E923)+1,10)))),1,0),0))</f>
        <v>0</v>
      </c>
      <c r="J923" s="0" t="str">
        <f aca="false">IF(I923=1,TRIM(LEFT(H923,MAX(0,LEN(H923)-LEN(D923)))),"")</f>
        <v/>
      </c>
      <c r="K923" s="0" t="str">
        <f aca="false">INDEX($P$2:$P$21,A923)</f>
        <v>Deck 16</v>
      </c>
      <c r="L923" s="0" t="n">
        <f aca="false">IF(AND(C923&lt;&gt;"",LEFT(C923,2)&lt;&gt;"//",I923=0),1,0)</f>
        <v>0</v>
      </c>
      <c r="M923" s="0" t="str">
        <f aca="false">IF(I923=1,MAX(M$1:M922)+1,"")</f>
        <v/>
      </c>
      <c r="N923" s="0" t="str">
        <f aca="false">IFERROR(MATCH(ROW()-1,$V$2:$V$1201,0),"")</f>
        <v/>
      </c>
      <c r="R923" s="0" t="str">
        <f aca="false">IF(E923="","",IFERROR(LEFT(E923,FIND("-",E923)-1),E923))</f>
        <v/>
      </c>
      <c r="S923" s="0" t="str">
        <f aca="false">IF(R923="","",IF(ISNUMBER(--MID(R923,1,1)),0,IF(ISNUMBER(--MID(R923,2,1)),1,IF(ISNUMBER(--MID(R923,3,1)),2,IF(ISNUMBER(--MID(R923,4,1)),3,MIN(LEN(R923),4))))))</f>
        <v/>
      </c>
      <c r="T923" s="0" t="str">
        <f aca="false">IF(E923="","",LEFT(R923,S923)&amp;REPT("0",4-S923)&amp;RIGHT("000"&amp;IFERROR(VALUE(MID(R923,S923+1,9)),0),3)&amp;RIGHT("0000"&amp;IFERROR(VALUE(MID(E923,FIND("-",E923)+1,9)),0),4))</f>
        <v/>
      </c>
      <c r="U923" s="0" t="str">
        <f aca="false">IF(I923=1,"K"&amp;RIGHT("00"&amp;A923,2)&amp;T923&amp;RIGHT("00000"&amp;ROW(),5),"")</f>
        <v/>
      </c>
      <c r="V923" s="0" t="str">
        <f aca="false">IF(U923="","",COUNTIFS($I$2:$I$1201,1,$U$2:$U$1201,"&lt;"&amp;U923)+1)</f>
        <v/>
      </c>
    </row>
    <row r="924" customFormat="false" ht="15" hidden="false" customHeight="false" outlineLevel="0" collapsed="false">
      <c r="A924" s="0" t="n">
        <v>16</v>
      </c>
      <c r="B924" s="0" t="n">
        <v>23</v>
      </c>
      <c r="C924" s="0" t="str">
        <f aca="false">TRIM(SUBSTITUTE(INDEX(LISTAS!$A$4:$T$63,B924,A924)&amp;"",CHAR(160)," "))</f>
        <v/>
      </c>
      <c r="D924" s="0" t="str">
        <f aca="false">IF(C924="","",TRIM(RIGHT(SUBSTITUTE(C924," ",REPT(" ",100)),100)))</f>
        <v/>
      </c>
      <c r="E924" s="0" t="str">
        <f aca="false">IF(D924="","",UPPER(SUBSTITUTE(SUBSTITUTE(D924,"(",""),")","")))</f>
        <v/>
      </c>
      <c r="F924" s="0" t="str">
        <f aca="false">IF(C924="","",LEFT(C924,FIND(" ",C924&amp;" ")-1))</f>
        <v/>
      </c>
      <c r="G924" s="0" t="n">
        <f aca="false">IFERROR(VALUE(SUBSTITUTE(LOWER(F924),"x","")),0)</f>
        <v>0</v>
      </c>
      <c r="H924" s="0" t="str">
        <f aca="false">IF(C924="","",TRIM(MID(C924,LEN(F924)+2,999)))</f>
        <v/>
      </c>
      <c r="I924" s="0" t="n">
        <f aca="false">IF(OR(C924="",LEFT(C924,2)="//"),0,IFERROR(IF(AND(G924&gt;0,G924=INT(G924),FIND("-",E924)&gt;1,NOT(EXACT(UPPER(LEFT(E924,1)),LOWER(LEFT(E924,1)))),ISNUMBER(VALUE(MID(E924,FIND("-",E924)+1,10)))),1,0),0))</f>
        <v>0</v>
      </c>
      <c r="J924" s="0" t="str">
        <f aca="false">IF(I924=1,TRIM(LEFT(H924,MAX(0,LEN(H924)-LEN(D924)))),"")</f>
        <v/>
      </c>
      <c r="K924" s="0" t="str">
        <f aca="false">INDEX($P$2:$P$21,A924)</f>
        <v>Deck 16</v>
      </c>
      <c r="L924" s="0" t="n">
        <f aca="false">IF(AND(C924&lt;&gt;"",LEFT(C924,2)&lt;&gt;"//",I924=0),1,0)</f>
        <v>0</v>
      </c>
      <c r="M924" s="0" t="str">
        <f aca="false">IF(I924=1,MAX(M$1:M923)+1,"")</f>
        <v/>
      </c>
      <c r="N924" s="0" t="str">
        <f aca="false">IFERROR(MATCH(ROW()-1,$V$2:$V$1201,0),"")</f>
        <v/>
      </c>
      <c r="R924" s="0" t="str">
        <f aca="false">IF(E924="","",IFERROR(LEFT(E924,FIND("-",E924)-1),E924))</f>
        <v/>
      </c>
      <c r="S924" s="0" t="str">
        <f aca="false">IF(R924="","",IF(ISNUMBER(--MID(R924,1,1)),0,IF(ISNUMBER(--MID(R924,2,1)),1,IF(ISNUMBER(--MID(R924,3,1)),2,IF(ISNUMBER(--MID(R924,4,1)),3,MIN(LEN(R924),4))))))</f>
        <v/>
      </c>
      <c r="T924" s="0" t="str">
        <f aca="false">IF(E924="","",LEFT(R924,S924)&amp;REPT("0",4-S924)&amp;RIGHT("000"&amp;IFERROR(VALUE(MID(R924,S924+1,9)),0),3)&amp;RIGHT("0000"&amp;IFERROR(VALUE(MID(E924,FIND("-",E924)+1,9)),0),4))</f>
        <v/>
      </c>
      <c r="U924" s="0" t="str">
        <f aca="false">IF(I924=1,"K"&amp;RIGHT("00"&amp;A924,2)&amp;T924&amp;RIGHT("00000"&amp;ROW(),5),"")</f>
        <v/>
      </c>
      <c r="V924" s="0" t="str">
        <f aca="false">IF(U924="","",COUNTIFS($I$2:$I$1201,1,$U$2:$U$1201,"&lt;"&amp;U924)+1)</f>
        <v/>
      </c>
    </row>
    <row r="925" customFormat="false" ht="15" hidden="false" customHeight="false" outlineLevel="0" collapsed="false">
      <c r="A925" s="0" t="n">
        <v>16</v>
      </c>
      <c r="B925" s="0" t="n">
        <v>24</v>
      </c>
      <c r="C925" s="0" t="str">
        <f aca="false">TRIM(SUBSTITUTE(INDEX(LISTAS!$A$4:$T$63,B925,A925)&amp;"",CHAR(160)," "))</f>
        <v/>
      </c>
      <c r="D925" s="0" t="str">
        <f aca="false">IF(C925="","",TRIM(RIGHT(SUBSTITUTE(C925," ",REPT(" ",100)),100)))</f>
        <v/>
      </c>
      <c r="E925" s="0" t="str">
        <f aca="false">IF(D925="","",UPPER(SUBSTITUTE(SUBSTITUTE(D925,"(",""),")","")))</f>
        <v/>
      </c>
      <c r="F925" s="0" t="str">
        <f aca="false">IF(C925="","",LEFT(C925,FIND(" ",C925&amp;" ")-1))</f>
        <v/>
      </c>
      <c r="G925" s="0" t="n">
        <f aca="false">IFERROR(VALUE(SUBSTITUTE(LOWER(F925),"x","")),0)</f>
        <v>0</v>
      </c>
      <c r="H925" s="0" t="str">
        <f aca="false">IF(C925="","",TRIM(MID(C925,LEN(F925)+2,999)))</f>
        <v/>
      </c>
      <c r="I925" s="0" t="n">
        <f aca="false">IF(OR(C925="",LEFT(C925,2)="//"),0,IFERROR(IF(AND(G925&gt;0,G925=INT(G925),FIND("-",E925)&gt;1,NOT(EXACT(UPPER(LEFT(E925,1)),LOWER(LEFT(E925,1)))),ISNUMBER(VALUE(MID(E925,FIND("-",E925)+1,10)))),1,0),0))</f>
        <v>0</v>
      </c>
      <c r="J925" s="0" t="str">
        <f aca="false">IF(I925=1,TRIM(LEFT(H925,MAX(0,LEN(H925)-LEN(D925)))),"")</f>
        <v/>
      </c>
      <c r="K925" s="0" t="str">
        <f aca="false">INDEX($P$2:$P$21,A925)</f>
        <v>Deck 16</v>
      </c>
      <c r="L925" s="0" t="n">
        <f aca="false">IF(AND(C925&lt;&gt;"",LEFT(C925,2)&lt;&gt;"//",I925=0),1,0)</f>
        <v>0</v>
      </c>
      <c r="M925" s="0" t="str">
        <f aca="false">IF(I925=1,MAX(M$1:M924)+1,"")</f>
        <v/>
      </c>
      <c r="N925" s="0" t="str">
        <f aca="false">IFERROR(MATCH(ROW()-1,$V$2:$V$1201,0),"")</f>
        <v/>
      </c>
      <c r="R925" s="0" t="str">
        <f aca="false">IF(E925="","",IFERROR(LEFT(E925,FIND("-",E925)-1),E925))</f>
        <v/>
      </c>
      <c r="S925" s="0" t="str">
        <f aca="false">IF(R925="","",IF(ISNUMBER(--MID(R925,1,1)),0,IF(ISNUMBER(--MID(R925,2,1)),1,IF(ISNUMBER(--MID(R925,3,1)),2,IF(ISNUMBER(--MID(R925,4,1)),3,MIN(LEN(R925),4))))))</f>
        <v/>
      </c>
      <c r="T925" s="0" t="str">
        <f aca="false">IF(E925="","",LEFT(R925,S925)&amp;REPT("0",4-S925)&amp;RIGHT("000"&amp;IFERROR(VALUE(MID(R925,S925+1,9)),0),3)&amp;RIGHT("0000"&amp;IFERROR(VALUE(MID(E925,FIND("-",E925)+1,9)),0),4))</f>
        <v/>
      </c>
      <c r="U925" s="0" t="str">
        <f aca="false">IF(I925=1,"K"&amp;RIGHT("00"&amp;A925,2)&amp;T925&amp;RIGHT("00000"&amp;ROW(),5),"")</f>
        <v/>
      </c>
      <c r="V925" s="0" t="str">
        <f aca="false">IF(U925="","",COUNTIFS($I$2:$I$1201,1,$U$2:$U$1201,"&lt;"&amp;U925)+1)</f>
        <v/>
      </c>
    </row>
    <row r="926" customFormat="false" ht="15" hidden="false" customHeight="false" outlineLevel="0" collapsed="false">
      <c r="A926" s="0" t="n">
        <v>16</v>
      </c>
      <c r="B926" s="0" t="n">
        <v>25</v>
      </c>
      <c r="C926" s="0" t="str">
        <f aca="false">TRIM(SUBSTITUTE(INDEX(LISTAS!$A$4:$T$63,B926,A926)&amp;"",CHAR(160)," "))</f>
        <v/>
      </c>
      <c r="D926" s="0" t="str">
        <f aca="false">IF(C926="","",TRIM(RIGHT(SUBSTITUTE(C926," ",REPT(" ",100)),100)))</f>
        <v/>
      </c>
      <c r="E926" s="0" t="str">
        <f aca="false">IF(D926="","",UPPER(SUBSTITUTE(SUBSTITUTE(D926,"(",""),")","")))</f>
        <v/>
      </c>
      <c r="F926" s="0" t="str">
        <f aca="false">IF(C926="","",LEFT(C926,FIND(" ",C926&amp;" ")-1))</f>
        <v/>
      </c>
      <c r="G926" s="0" t="n">
        <f aca="false">IFERROR(VALUE(SUBSTITUTE(LOWER(F926),"x","")),0)</f>
        <v>0</v>
      </c>
      <c r="H926" s="0" t="str">
        <f aca="false">IF(C926="","",TRIM(MID(C926,LEN(F926)+2,999)))</f>
        <v/>
      </c>
      <c r="I926" s="0" t="n">
        <f aca="false">IF(OR(C926="",LEFT(C926,2)="//"),0,IFERROR(IF(AND(G926&gt;0,G926=INT(G926),FIND("-",E926)&gt;1,NOT(EXACT(UPPER(LEFT(E926,1)),LOWER(LEFT(E926,1)))),ISNUMBER(VALUE(MID(E926,FIND("-",E926)+1,10)))),1,0),0))</f>
        <v>0</v>
      </c>
      <c r="J926" s="0" t="str">
        <f aca="false">IF(I926=1,TRIM(LEFT(H926,MAX(0,LEN(H926)-LEN(D926)))),"")</f>
        <v/>
      </c>
      <c r="K926" s="0" t="str">
        <f aca="false">INDEX($P$2:$P$21,A926)</f>
        <v>Deck 16</v>
      </c>
      <c r="L926" s="0" t="n">
        <f aca="false">IF(AND(C926&lt;&gt;"",LEFT(C926,2)&lt;&gt;"//",I926=0),1,0)</f>
        <v>0</v>
      </c>
      <c r="M926" s="0" t="str">
        <f aca="false">IF(I926=1,MAX(M$1:M925)+1,"")</f>
        <v/>
      </c>
      <c r="N926" s="0" t="str">
        <f aca="false">IFERROR(MATCH(ROW()-1,$V$2:$V$1201,0),"")</f>
        <v/>
      </c>
      <c r="R926" s="0" t="str">
        <f aca="false">IF(E926="","",IFERROR(LEFT(E926,FIND("-",E926)-1),E926))</f>
        <v/>
      </c>
      <c r="S926" s="0" t="str">
        <f aca="false">IF(R926="","",IF(ISNUMBER(--MID(R926,1,1)),0,IF(ISNUMBER(--MID(R926,2,1)),1,IF(ISNUMBER(--MID(R926,3,1)),2,IF(ISNUMBER(--MID(R926,4,1)),3,MIN(LEN(R926),4))))))</f>
        <v/>
      </c>
      <c r="T926" s="0" t="str">
        <f aca="false">IF(E926="","",LEFT(R926,S926)&amp;REPT("0",4-S926)&amp;RIGHT("000"&amp;IFERROR(VALUE(MID(R926,S926+1,9)),0),3)&amp;RIGHT("0000"&amp;IFERROR(VALUE(MID(E926,FIND("-",E926)+1,9)),0),4))</f>
        <v/>
      </c>
      <c r="U926" s="0" t="str">
        <f aca="false">IF(I926=1,"K"&amp;RIGHT("00"&amp;A926,2)&amp;T926&amp;RIGHT("00000"&amp;ROW(),5),"")</f>
        <v/>
      </c>
      <c r="V926" s="0" t="str">
        <f aca="false">IF(U926="","",COUNTIFS($I$2:$I$1201,1,$U$2:$U$1201,"&lt;"&amp;U926)+1)</f>
        <v/>
      </c>
    </row>
    <row r="927" customFormat="false" ht="15" hidden="false" customHeight="false" outlineLevel="0" collapsed="false">
      <c r="A927" s="0" t="n">
        <v>16</v>
      </c>
      <c r="B927" s="0" t="n">
        <v>26</v>
      </c>
      <c r="C927" s="0" t="str">
        <f aca="false">TRIM(SUBSTITUTE(INDEX(LISTAS!$A$4:$T$63,B927,A927)&amp;"",CHAR(160)," "))</f>
        <v/>
      </c>
      <c r="D927" s="0" t="str">
        <f aca="false">IF(C927="","",TRIM(RIGHT(SUBSTITUTE(C927," ",REPT(" ",100)),100)))</f>
        <v/>
      </c>
      <c r="E927" s="0" t="str">
        <f aca="false">IF(D927="","",UPPER(SUBSTITUTE(SUBSTITUTE(D927,"(",""),")","")))</f>
        <v/>
      </c>
      <c r="F927" s="0" t="str">
        <f aca="false">IF(C927="","",LEFT(C927,FIND(" ",C927&amp;" ")-1))</f>
        <v/>
      </c>
      <c r="G927" s="0" t="n">
        <f aca="false">IFERROR(VALUE(SUBSTITUTE(LOWER(F927),"x","")),0)</f>
        <v>0</v>
      </c>
      <c r="H927" s="0" t="str">
        <f aca="false">IF(C927="","",TRIM(MID(C927,LEN(F927)+2,999)))</f>
        <v/>
      </c>
      <c r="I927" s="0" t="n">
        <f aca="false">IF(OR(C927="",LEFT(C927,2)="//"),0,IFERROR(IF(AND(G927&gt;0,G927=INT(G927),FIND("-",E927)&gt;1,NOT(EXACT(UPPER(LEFT(E927,1)),LOWER(LEFT(E927,1)))),ISNUMBER(VALUE(MID(E927,FIND("-",E927)+1,10)))),1,0),0))</f>
        <v>0</v>
      </c>
      <c r="J927" s="0" t="str">
        <f aca="false">IF(I927=1,TRIM(LEFT(H927,MAX(0,LEN(H927)-LEN(D927)))),"")</f>
        <v/>
      </c>
      <c r="K927" s="0" t="str">
        <f aca="false">INDEX($P$2:$P$21,A927)</f>
        <v>Deck 16</v>
      </c>
      <c r="L927" s="0" t="n">
        <f aca="false">IF(AND(C927&lt;&gt;"",LEFT(C927,2)&lt;&gt;"//",I927=0),1,0)</f>
        <v>0</v>
      </c>
      <c r="M927" s="0" t="str">
        <f aca="false">IF(I927=1,MAX(M$1:M926)+1,"")</f>
        <v/>
      </c>
      <c r="N927" s="0" t="str">
        <f aca="false">IFERROR(MATCH(ROW()-1,$V$2:$V$1201,0),"")</f>
        <v/>
      </c>
      <c r="R927" s="0" t="str">
        <f aca="false">IF(E927="","",IFERROR(LEFT(E927,FIND("-",E927)-1),E927))</f>
        <v/>
      </c>
      <c r="S927" s="0" t="str">
        <f aca="false">IF(R927="","",IF(ISNUMBER(--MID(R927,1,1)),0,IF(ISNUMBER(--MID(R927,2,1)),1,IF(ISNUMBER(--MID(R927,3,1)),2,IF(ISNUMBER(--MID(R927,4,1)),3,MIN(LEN(R927),4))))))</f>
        <v/>
      </c>
      <c r="T927" s="0" t="str">
        <f aca="false">IF(E927="","",LEFT(R927,S927)&amp;REPT("0",4-S927)&amp;RIGHT("000"&amp;IFERROR(VALUE(MID(R927,S927+1,9)),0),3)&amp;RIGHT("0000"&amp;IFERROR(VALUE(MID(E927,FIND("-",E927)+1,9)),0),4))</f>
        <v/>
      </c>
      <c r="U927" s="0" t="str">
        <f aca="false">IF(I927=1,"K"&amp;RIGHT("00"&amp;A927,2)&amp;T927&amp;RIGHT("00000"&amp;ROW(),5),"")</f>
        <v/>
      </c>
      <c r="V927" s="0" t="str">
        <f aca="false">IF(U927="","",COUNTIFS($I$2:$I$1201,1,$U$2:$U$1201,"&lt;"&amp;U927)+1)</f>
        <v/>
      </c>
    </row>
    <row r="928" customFormat="false" ht="15" hidden="false" customHeight="false" outlineLevel="0" collapsed="false">
      <c r="A928" s="0" t="n">
        <v>16</v>
      </c>
      <c r="B928" s="0" t="n">
        <v>27</v>
      </c>
      <c r="C928" s="0" t="str">
        <f aca="false">TRIM(SUBSTITUTE(INDEX(LISTAS!$A$4:$T$63,B928,A928)&amp;"",CHAR(160)," "))</f>
        <v/>
      </c>
      <c r="D928" s="0" t="str">
        <f aca="false">IF(C928="","",TRIM(RIGHT(SUBSTITUTE(C928," ",REPT(" ",100)),100)))</f>
        <v/>
      </c>
      <c r="E928" s="0" t="str">
        <f aca="false">IF(D928="","",UPPER(SUBSTITUTE(SUBSTITUTE(D928,"(",""),")","")))</f>
        <v/>
      </c>
      <c r="F928" s="0" t="str">
        <f aca="false">IF(C928="","",LEFT(C928,FIND(" ",C928&amp;" ")-1))</f>
        <v/>
      </c>
      <c r="G928" s="0" t="n">
        <f aca="false">IFERROR(VALUE(SUBSTITUTE(LOWER(F928),"x","")),0)</f>
        <v>0</v>
      </c>
      <c r="H928" s="0" t="str">
        <f aca="false">IF(C928="","",TRIM(MID(C928,LEN(F928)+2,999)))</f>
        <v/>
      </c>
      <c r="I928" s="0" t="n">
        <f aca="false">IF(OR(C928="",LEFT(C928,2)="//"),0,IFERROR(IF(AND(G928&gt;0,G928=INT(G928),FIND("-",E928)&gt;1,NOT(EXACT(UPPER(LEFT(E928,1)),LOWER(LEFT(E928,1)))),ISNUMBER(VALUE(MID(E928,FIND("-",E928)+1,10)))),1,0),0))</f>
        <v>0</v>
      </c>
      <c r="J928" s="0" t="str">
        <f aca="false">IF(I928=1,TRIM(LEFT(H928,MAX(0,LEN(H928)-LEN(D928)))),"")</f>
        <v/>
      </c>
      <c r="K928" s="0" t="str">
        <f aca="false">INDEX($P$2:$P$21,A928)</f>
        <v>Deck 16</v>
      </c>
      <c r="L928" s="0" t="n">
        <f aca="false">IF(AND(C928&lt;&gt;"",LEFT(C928,2)&lt;&gt;"//",I928=0),1,0)</f>
        <v>0</v>
      </c>
      <c r="M928" s="0" t="str">
        <f aca="false">IF(I928=1,MAX(M$1:M927)+1,"")</f>
        <v/>
      </c>
      <c r="N928" s="0" t="str">
        <f aca="false">IFERROR(MATCH(ROW()-1,$V$2:$V$1201,0),"")</f>
        <v/>
      </c>
      <c r="R928" s="0" t="str">
        <f aca="false">IF(E928="","",IFERROR(LEFT(E928,FIND("-",E928)-1),E928))</f>
        <v/>
      </c>
      <c r="S928" s="0" t="str">
        <f aca="false">IF(R928="","",IF(ISNUMBER(--MID(R928,1,1)),0,IF(ISNUMBER(--MID(R928,2,1)),1,IF(ISNUMBER(--MID(R928,3,1)),2,IF(ISNUMBER(--MID(R928,4,1)),3,MIN(LEN(R928),4))))))</f>
        <v/>
      </c>
      <c r="T928" s="0" t="str">
        <f aca="false">IF(E928="","",LEFT(R928,S928)&amp;REPT("0",4-S928)&amp;RIGHT("000"&amp;IFERROR(VALUE(MID(R928,S928+1,9)),0),3)&amp;RIGHT("0000"&amp;IFERROR(VALUE(MID(E928,FIND("-",E928)+1,9)),0),4))</f>
        <v/>
      </c>
      <c r="U928" s="0" t="str">
        <f aca="false">IF(I928=1,"K"&amp;RIGHT("00"&amp;A928,2)&amp;T928&amp;RIGHT("00000"&amp;ROW(),5),"")</f>
        <v/>
      </c>
      <c r="V928" s="0" t="str">
        <f aca="false">IF(U928="","",COUNTIFS($I$2:$I$1201,1,$U$2:$U$1201,"&lt;"&amp;U928)+1)</f>
        <v/>
      </c>
    </row>
    <row r="929" customFormat="false" ht="15" hidden="false" customHeight="false" outlineLevel="0" collapsed="false">
      <c r="A929" s="0" t="n">
        <v>16</v>
      </c>
      <c r="B929" s="0" t="n">
        <v>28</v>
      </c>
      <c r="C929" s="0" t="str">
        <f aca="false">TRIM(SUBSTITUTE(INDEX(LISTAS!$A$4:$T$63,B929,A929)&amp;"",CHAR(160)," "))</f>
        <v/>
      </c>
      <c r="D929" s="0" t="str">
        <f aca="false">IF(C929="","",TRIM(RIGHT(SUBSTITUTE(C929," ",REPT(" ",100)),100)))</f>
        <v/>
      </c>
      <c r="E929" s="0" t="str">
        <f aca="false">IF(D929="","",UPPER(SUBSTITUTE(SUBSTITUTE(D929,"(",""),")","")))</f>
        <v/>
      </c>
      <c r="F929" s="0" t="str">
        <f aca="false">IF(C929="","",LEFT(C929,FIND(" ",C929&amp;" ")-1))</f>
        <v/>
      </c>
      <c r="G929" s="0" t="n">
        <f aca="false">IFERROR(VALUE(SUBSTITUTE(LOWER(F929),"x","")),0)</f>
        <v>0</v>
      </c>
      <c r="H929" s="0" t="str">
        <f aca="false">IF(C929="","",TRIM(MID(C929,LEN(F929)+2,999)))</f>
        <v/>
      </c>
      <c r="I929" s="0" t="n">
        <f aca="false">IF(OR(C929="",LEFT(C929,2)="//"),0,IFERROR(IF(AND(G929&gt;0,G929=INT(G929),FIND("-",E929)&gt;1,NOT(EXACT(UPPER(LEFT(E929,1)),LOWER(LEFT(E929,1)))),ISNUMBER(VALUE(MID(E929,FIND("-",E929)+1,10)))),1,0),0))</f>
        <v>0</v>
      </c>
      <c r="J929" s="0" t="str">
        <f aca="false">IF(I929=1,TRIM(LEFT(H929,MAX(0,LEN(H929)-LEN(D929)))),"")</f>
        <v/>
      </c>
      <c r="K929" s="0" t="str">
        <f aca="false">INDEX($P$2:$P$21,A929)</f>
        <v>Deck 16</v>
      </c>
      <c r="L929" s="0" t="n">
        <f aca="false">IF(AND(C929&lt;&gt;"",LEFT(C929,2)&lt;&gt;"//",I929=0),1,0)</f>
        <v>0</v>
      </c>
      <c r="M929" s="0" t="str">
        <f aca="false">IF(I929=1,MAX(M$1:M928)+1,"")</f>
        <v/>
      </c>
      <c r="N929" s="0" t="str">
        <f aca="false">IFERROR(MATCH(ROW()-1,$V$2:$V$1201,0),"")</f>
        <v/>
      </c>
      <c r="R929" s="0" t="str">
        <f aca="false">IF(E929="","",IFERROR(LEFT(E929,FIND("-",E929)-1),E929))</f>
        <v/>
      </c>
      <c r="S929" s="0" t="str">
        <f aca="false">IF(R929="","",IF(ISNUMBER(--MID(R929,1,1)),0,IF(ISNUMBER(--MID(R929,2,1)),1,IF(ISNUMBER(--MID(R929,3,1)),2,IF(ISNUMBER(--MID(R929,4,1)),3,MIN(LEN(R929),4))))))</f>
        <v/>
      </c>
      <c r="T929" s="0" t="str">
        <f aca="false">IF(E929="","",LEFT(R929,S929)&amp;REPT("0",4-S929)&amp;RIGHT("000"&amp;IFERROR(VALUE(MID(R929,S929+1,9)),0),3)&amp;RIGHT("0000"&amp;IFERROR(VALUE(MID(E929,FIND("-",E929)+1,9)),0),4))</f>
        <v/>
      </c>
      <c r="U929" s="0" t="str">
        <f aca="false">IF(I929=1,"K"&amp;RIGHT("00"&amp;A929,2)&amp;T929&amp;RIGHT("00000"&amp;ROW(),5),"")</f>
        <v/>
      </c>
      <c r="V929" s="0" t="str">
        <f aca="false">IF(U929="","",COUNTIFS($I$2:$I$1201,1,$U$2:$U$1201,"&lt;"&amp;U929)+1)</f>
        <v/>
      </c>
    </row>
    <row r="930" customFormat="false" ht="15" hidden="false" customHeight="false" outlineLevel="0" collapsed="false">
      <c r="A930" s="0" t="n">
        <v>16</v>
      </c>
      <c r="B930" s="0" t="n">
        <v>29</v>
      </c>
      <c r="C930" s="0" t="str">
        <f aca="false">TRIM(SUBSTITUTE(INDEX(LISTAS!$A$4:$T$63,B930,A930)&amp;"",CHAR(160)," "))</f>
        <v/>
      </c>
      <c r="D930" s="0" t="str">
        <f aca="false">IF(C930="","",TRIM(RIGHT(SUBSTITUTE(C930," ",REPT(" ",100)),100)))</f>
        <v/>
      </c>
      <c r="E930" s="0" t="str">
        <f aca="false">IF(D930="","",UPPER(SUBSTITUTE(SUBSTITUTE(D930,"(",""),")","")))</f>
        <v/>
      </c>
      <c r="F930" s="0" t="str">
        <f aca="false">IF(C930="","",LEFT(C930,FIND(" ",C930&amp;" ")-1))</f>
        <v/>
      </c>
      <c r="G930" s="0" t="n">
        <f aca="false">IFERROR(VALUE(SUBSTITUTE(LOWER(F930),"x","")),0)</f>
        <v>0</v>
      </c>
      <c r="H930" s="0" t="str">
        <f aca="false">IF(C930="","",TRIM(MID(C930,LEN(F930)+2,999)))</f>
        <v/>
      </c>
      <c r="I930" s="0" t="n">
        <f aca="false">IF(OR(C930="",LEFT(C930,2)="//"),0,IFERROR(IF(AND(G930&gt;0,G930=INT(G930),FIND("-",E930)&gt;1,NOT(EXACT(UPPER(LEFT(E930,1)),LOWER(LEFT(E930,1)))),ISNUMBER(VALUE(MID(E930,FIND("-",E930)+1,10)))),1,0),0))</f>
        <v>0</v>
      </c>
      <c r="J930" s="0" t="str">
        <f aca="false">IF(I930=1,TRIM(LEFT(H930,MAX(0,LEN(H930)-LEN(D930)))),"")</f>
        <v/>
      </c>
      <c r="K930" s="0" t="str">
        <f aca="false">INDEX($P$2:$P$21,A930)</f>
        <v>Deck 16</v>
      </c>
      <c r="L930" s="0" t="n">
        <f aca="false">IF(AND(C930&lt;&gt;"",LEFT(C930,2)&lt;&gt;"//",I930=0),1,0)</f>
        <v>0</v>
      </c>
      <c r="M930" s="0" t="str">
        <f aca="false">IF(I930=1,MAX(M$1:M929)+1,"")</f>
        <v/>
      </c>
      <c r="N930" s="0" t="str">
        <f aca="false">IFERROR(MATCH(ROW()-1,$V$2:$V$1201,0),"")</f>
        <v/>
      </c>
      <c r="R930" s="0" t="str">
        <f aca="false">IF(E930="","",IFERROR(LEFT(E930,FIND("-",E930)-1),E930))</f>
        <v/>
      </c>
      <c r="S930" s="0" t="str">
        <f aca="false">IF(R930="","",IF(ISNUMBER(--MID(R930,1,1)),0,IF(ISNUMBER(--MID(R930,2,1)),1,IF(ISNUMBER(--MID(R930,3,1)),2,IF(ISNUMBER(--MID(R930,4,1)),3,MIN(LEN(R930),4))))))</f>
        <v/>
      </c>
      <c r="T930" s="0" t="str">
        <f aca="false">IF(E930="","",LEFT(R930,S930)&amp;REPT("0",4-S930)&amp;RIGHT("000"&amp;IFERROR(VALUE(MID(R930,S930+1,9)),0),3)&amp;RIGHT("0000"&amp;IFERROR(VALUE(MID(E930,FIND("-",E930)+1,9)),0),4))</f>
        <v/>
      </c>
      <c r="U930" s="0" t="str">
        <f aca="false">IF(I930=1,"K"&amp;RIGHT("00"&amp;A930,2)&amp;T930&amp;RIGHT("00000"&amp;ROW(),5),"")</f>
        <v/>
      </c>
      <c r="V930" s="0" t="str">
        <f aca="false">IF(U930="","",COUNTIFS($I$2:$I$1201,1,$U$2:$U$1201,"&lt;"&amp;U930)+1)</f>
        <v/>
      </c>
    </row>
    <row r="931" customFormat="false" ht="15" hidden="false" customHeight="false" outlineLevel="0" collapsed="false">
      <c r="A931" s="0" t="n">
        <v>16</v>
      </c>
      <c r="B931" s="0" t="n">
        <v>30</v>
      </c>
      <c r="C931" s="0" t="str">
        <f aca="false">TRIM(SUBSTITUTE(INDEX(LISTAS!$A$4:$T$63,B931,A931)&amp;"",CHAR(160)," "))</f>
        <v/>
      </c>
      <c r="D931" s="0" t="str">
        <f aca="false">IF(C931="","",TRIM(RIGHT(SUBSTITUTE(C931," ",REPT(" ",100)),100)))</f>
        <v/>
      </c>
      <c r="E931" s="0" t="str">
        <f aca="false">IF(D931="","",UPPER(SUBSTITUTE(SUBSTITUTE(D931,"(",""),")","")))</f>
        <v/>
      </c>
      <c r="F931" s="0" t="str">
        <f aca="false">IF(C931="","",LEFT(C931,FIND(" ",C931&amp;" ")-1))</f>
        <v/>
      </c>
      <c r="G931" s="0" t="n">
        <f aca="false">IFERROR(VALUE(SUBSTITUTE(LOWER(F931),"x","")),0)</f>
        <v>0</v>
      </c>
      <c r="H931" s="0" t="str">
        <f aca="false">IF(C931="","",TRIM(MID(C931,LEN(F931)+2,999)))</f>
        <v/>
      </c>
      <c r="I931" s="0" t="n">
        <f aca="false">IF(OR(C931="",LEFT(C931,2)="//"),0,IFERROR(IF(AND(G931&gt;0,G931=INT(G931),FIND("-",E931)&gt;1,NOT(EXACT(UPPER(LEFT(E931,1)),LOWER(LEFT(E931,1)))),ISNUMBER(VALUE(MID(E931,FIND("-",E931)+1,10)))),1,0),0))</f>
        <v>0</v>
      </c>
      <c r="J931" s="0" t="str">
        <f aca="false">IF(I931=1,TRIM(LEFT(H931,MAX(0,LEN(H931)-LEN(D931)))),"")</f>
        <v/>
      </c>
      <c r="K931" s="0" t="str">
        <f aca="false">INDEX($P$2:$P$21,A931)</f>
        <v>Deck 16</v>
      </c>
      <c r="L931" s="0" t="n">
        <f aca="false">IF(AND(C931&lt;&gt;"",LEFT(C931,2)&lt;&gt;"//",I931=0),1,0)</f>
        <v>0</v>
      </c>
      <c r="M931" s="0" t="str">
        <f aca="false">IF(I931=1,MAX(M$1:M930)+1,"")</f>
        <v/>
      </c>
      <c r="N931" s="0" t="str">
        <f aca="false">IFERROR(MATCH(ROW()-1,$V$2:$V$1201,0),"")</f>
        <v/>
      </c>
      <c r="R931" s="0" t="str">
        <f aca="false">IF(E931="","",IFERROR(LEFT(E931,FIND("-",E931)-1),E931))</f>
        <v/>
      </c>
      <c r="S931" s="0" t="str">
        <f aca="false">IF(R931="","",IF(ISNUMBER(--MID(R931,1,1)),0,IF(ISNUMBER(--MID(R931,2,1)),1,IF(ISNUMBER(--MID(R931,3,1)),2,IF(ISNUMBER(--MID(R931,4,1)),3,MIN(LEN(R931),4))))))</f>
        <v/>
      </c>
      <c r="T931" s="0" t="str">
        <f aca="false">IF(E931="","",LEFT(R931,S931)&amp;REPT("0",4-S931)&amp;RIGHT("000"&amp;IFERROR(VALUE(MID(R931,S931+1,9)),0),3)&amp;RIGHT("0000"&amp;IFERROR(VALUE(MID(E931,FIND("-",E931)+1,9)),0),4))</f>
        <v/>
      </c>
      <c r="U931" s="0" t="str">
        <f aca="false">IF(I931=1,"K"&amp;RIGHT("00"&amp;A931,2)&amp;T931&amp;RIGHT("00000"&amp;ROW(),5),"")</f>
        <v/>
      </c>
      <c r="V931" s="0" t="str">
        <f aca="false">IF(U931="","",COUNTIFS($I$2:$I$1201,1,$U$2:$U$1201,"&lt;"&amp;U931)+1)</f>
        <v/>
      </c>
    </row>
    <row r="932" customFormat="false" ht="15" hidden="false" customHeight="false" outlineLevel="0" collapsed="false">
      <c r="A932" s="0" t="n">
        <v>16</v>
      </c>
      <c r="B932" s="0" t="n">
        <v>31</v>
      </c>
      <c r="C932" s="0" t="str">
        <f aca="false">TRIM(SUBSTITUTE(INDEX(LISTAS!$A$4:$T$63,B932,A932)&amp;"",CHAR(160)," "))</f>
        <v/>
      </c>
      <c r="D932" s="0" t="str">
        <f aca="false">IF(C932="","",TRIM(RIGHT(SUBSTITUTE(C932," ",REPT(" ",100)),100)))</f>
        <v/>
      </c>
      <c r="E932" s="0" t="str">
        <f aca="false">IF(D932="","",UPPER(SUBSTITUTE(SUBSTITUTE(D932,"(",""),")","")))</f>
        <v/>
      </c>
      <c r="F932" s="0" t="str">
        <f aca="false">IF(C932="","",LEFT(C932,FIND(" ",C932&amp;" ")-1))</f>
        <v/>
      </c>
      <c r="G932" s="0" t="n">
        <f aca="false">IFERROR(VALUE(SUBSTITUTE(LOWER(F932),"x","")),0)</f>
        <v>0</v>
      </c>
      <c r="H932" s="0" t="str">
        <f aca="false">IF(C932="","",TRIM(MID(C932,LEN(F932)+2,999)))</f>
        <v/>
      </c>
      <c r="I932" s="0" t="n">
        <f aca="false">IF(OR(C932="",LEFT(C932,2)="//"),0,IFERROR(IF(AND(G932&gt;0,G932=INT(G932),FIND("-",E932)&gt;1,NOT(EXACT(UPPER(LEFT(E932,1)),LOWER(LEFT(E932,1)))),ISNUMBER(VALUE(MID(E932,FIND("-",E932)+1,10)))),1,0),0))</f>
        <v>0</v>
      </c>
      <c r="J932" s="0" t="str">
        <f aca="false">IF(I932=1,TRIM(LEFT(H932,MAX(0,LEN(H932)-LEN(D932)))),"")</f>
        <v/>
      </c>
      <c r="K932" s="0" t="str">
        <f aca="false">INDEX($P$2:$P$21,A932)</f>
        <v>Deck 16</v>
      </c>
      <c r="L932" s="0" t="n">
        <f aca="false">IF(AND(C932&lt;&gt;"",LEFT(C932,2)&lt;&gt;"//",I932=0),1,0)</f>
        <v>0</v>
      </c>
      <c r="M932" s="0" t="str">
        <f aca="false">IF(I932=1,MAX(M$1:M931)+1,"")</f>
        <v/>
      </c>
      <c r="N932" s="0" t="str">
        <f aca="false">IFERROR(MATCH(ROW()-1,$V$2:$V$1201,0),"")</f>
        <v/>
      </c>
      <c r="R932" s="0" t="str">
        <f aca="false">IF(E932="","",IFERROR(LEFT(E932,FIND("-",E932)-1),E932))</f>
        <v/>
      </c>
      <c r="S932" s="0" t="str">
        <f aca="false">IF(R932="","",IF(ISNUMBER(--MID(R932,1,1)),0,IF(ISNUMBER(--MID(R932,2,1)),1,IF(ISNUMBER(--MID(R932,3,1)),2,IF(ISNUMBER(--MID(R932,4,1)),3,MIN(LEN(R932),4))))))</f>
        <v/>
      </c>
      <c r="T932" s="0" t="str">
        <f aca="false">IF(E932="","",LEFT(R932,S932)&amp;REPT("0",4-S932)&amp;RIGHT("000"&amp;IFERROR(VALUE(MID(R932,S932+1,9)),0),3)&amp;RIGHT("0000"&amp;IFERROR(VALUE(MID(E932,FIND("-",E932)+1,9)),0),4))</f>
        <v/>
      </c>
      <c r="U932" s="0" t="str">
        <f aca="false">IF(I932=1,"K"&amp;RIGHT("00"&amp;A932,2)&amp;T932&amp;RIGHT("00000"&amp;ROW(),5),"")</f>
        <v/>
      </c>
      <c r="V932" s="0" t="str">
        <f aca="false">IF(U932="","",COUNTIFS($I$2:$I$1201,1,$U$2:$U$1201,"&lt;"&amp;U932)+1)</f>
        <v/>
      </c>
    </row>
    <row r="933" customFormat="false" ht="15" hidden="false" customHeight="false" outlineLevel="0" collapsed="false">
      <c r="A933" s="0" t="n">
        <v>16</v>
      </c>
      <c r="B933" s="0" t="n">
        <v>32</v>
      </c>
      <c r="C933" s="0" t="str">
        <f aca="false">TRIM(SUBSTITUTE(INDEX(LISTAS!$A$4:$T$63,B933,A933)&amp;"",CHAR(160)," "))</f>
        <v/>
      </c>
      <c r="D933" s="0" t="str">
        <f aca="false">IF(C933="","",TRIM(RIGHT(SUBSTITUTE(C933," ",REPT(" ",100)),100)))</f>
        <v/>
      </c>
      <c r="E933" s="0" t="str">
        <f aca="false">IF(D933="","",UPPER(SUBSTITUTE(SUBSTITUTE(D933,"(",""),")","")))</f>
        <v/>
      </c>
      <c r="F933" s="0" t="str">
        <f aca="false">IF(C933="","",LEFT(C933,FIND(" ",C933&amp;" ")-1))</f>
        <v/>
      </c>
      <c r="G933" s="0" t="n">
        <f aca="false">IFERROR(VALUE(SUBSTITUTE(LOWER(F933),"x","")),0)</f>
        <v>0</v>
      </c>
      <c r="H933" s="0" t="str">
        <f aca="false">IF(C933="","",TRIM(MID(C933,LEN(F933)+2,999)))</f>
        <v/>
      </c>
      <c r="I933" s="0" t="n">
        <f aca="false">IF(OR(C933="",LEFT(C933,2)="//"),0,IFERROR(IF(AND(G933&gt;0,G933=INT(G933),FIND("-",E933)&gt;1,NOT(EXACT(UPPER(LEFT(E933,1)),LOWER(LEFT(E933,1)))),ISNUMBER(VALUE(MID(E933,FIND("-",E933)+1,10)))),1,0),0))</f>
        <v>0</v>
      </c>
      <c r="J933" s="0" t="str">
        <f aca="false">IF(I933=1,TRIM(LEFT(H933,MAX(0,LEN(H933)-LEN(D933)))),"")</f>
        <v/>
      </c>
      <c r="K933" s="0" t="str">
        <f aca="false">INDEX($P$2:$P$21,A933)</f>
        <v>Deck 16</v>
      </c>
      <c r="L933" s="0" t="n">
        <f aca="false">IF(AND(C933&lt;&gt;"",LEFT(C933,2)&lt;&gt;"//",I933=0),1,0)</f>
        <v>0</v>
      </c>
      <c r="M933" s="0" t="str">
        <f aca="false">IF(I933=1,MAX(M$1:M932)+1,"")</f>
        <v/>
      </c>
      <c r="N933" s="0" t="str">
        <f aca="false">IFERROR(MATCH(ROW()-1,$V$2:$V$1201,0),"")</f>
        <v/>
      </c>
      <c r="R933" s="0" t="str">
        <f aca="false">IF(E933="","",IFERROR(LEFT(E933,FIND("-",E933)-1),E933))</f>
        <v/>
      </c>
      <c r="S933" s="0" t="str">
        <f aca="false">IF(R933="","",IF(ISNUMBER(--MID(R933,1,1)),0,IF(ISNUMBER(--MID(R933,2,1)),1,IF(ISNUMBER(--MID(R933,3,1)),2,IF(ISNUMBER(--MID(R933,4,1)),3,MIN(LEN(R933),4))))))</f>
        <v/>
      </c>
      <c r="T933" s="0" t="str">
        <f aca="false">IF(E933="","",LEFT(R933,S933)&amp;REPT("0",4-S933)&amp;RIGHT("000"&amp;IFERROR(VALUE(MID(R933,S933+1,9)),0),3)&amp;RIGHT("0000"&amp;IFERROR(VALUE(MID(E933,FIND("-",E933)+1,9)),0),4))</f>
        <v/>
      </c>
      <c r="U933" s="0" t="str">
        <f aca="false">IF(I933=1,"K"&amp;RIGHT("00"&amp;A933,2)&amp;T933&amp;RIGHT("00000"&amp;ROW(),5),"")</f>
        <v/>
      </c>
      <c r="V933" s="0" t="str">
        <f aca="false">IF(U933="","",COUNTIFS($I$2:$I$1201,1,$U$2:$U$1201,"&lt;"&amp;U933)+1)</f>
        <v/>
      </c>
    </row>
    <row r="934" customFormat="false" ht="15" hidden="false" customHeight="false" outlineLevel="0" collapsed="false">
      <c r="A934" s="0" t="n">
        <v>16</v>
      </c>
      <c r="B934" s="0" t="n">
        <v>33</v>
      </c>
      <c r="C934" s="0" t="str">
        <f aca="false">TRIM(SUBSTITUTE(INDEX(LISTAS!$A$4:$T$63,B934,A934)&amp;"",CHAR(160)," "))</f>
        <v/>
      </c>
      <c r="D934" s="0" t="str">
        <f aca="false">IF(C934="","",TRIM(RIGHT(SUBSTITUTE(C934," ",REPT(" ",100)),100)))</f>
        <v/>
      </c>
      <c r="E934" s="0" t="str">
        <f aca="false">IF(D934="","",UPPER(SUBSTITUTE(SUBSTITUTE(D934,"(",""),")","")))</f>
        <v/>
      </c>
      <c r="F934" s="0" t="str">
        <f aca="false">IF(C934="","",LEFT(C934,FIND(" ",C934&amp;" ")-1))</f>
        <v/>
      </c>
      <c r="G934" s="0" t="n">
        <f aca="false">IFERROR(VALUE(SUBSTITUTE(LOWER(F934),"x","")),0)</f>
        <v>0</v>
      </c>
      <c r="H934" s="0" t="str">
        <f aca="false">IF(C934="","",TRIM(MID(C934,LEN(F934)+2,999)))</f>
        <v/>
      </c>
      <c r="I934" s="0" t="n">
        <f aca="false">IF(OR(C934="",LEFT(C934,2)="//"),0,IFERROR(IF(AND(G934&gt;0,G934=INT(G934),FIND("-",E934)&gt;1,NOT(EXACT(UPPER(LEFT(E934,1)),LOWER(LEFT(E934,1)))),ISNUMBER(VALUE(MID(E934,FIND("-",E934)+1,10)))),1,0),0))</f>
        <v>0</v>
      </c>
      <c r="J934" s="0" t="str">
        <f aca="false">IF(I934=1,TRIM(LEFT(H934,MAX(0,LEN(H934)-LEN(D934)))),"")</f>
        <v/>
      </c>
      <c r="K934" s="0" t="str">
        <f aca="false">INDEX($P$2:$P$21,A934)</f>
        <v>Deck 16</v>
      </c>
      <c r="L934" s="0" t="n">
        <f aca="false">IF(AND(C934&lt;&gt;"",LEFT(C934,2)&lt;&gt;"//",I934=0),1,0)</f>
        <v>0</v>
      </c>
      <c r="M934" s="0" t="str">
        <f aca="false">IF(I934=1,MAX(M$1:M933)+1,"")</f>
        <v/>
      </c>
      <c r="N934" s="0" t="str">
        <f aca="false">IFERROR(MATCH(ROW()-1,$V$2:$V$1201,0),"")</f>
        <v/>
      </c>
      <c r="R934" s="0" t="str">
        <f aca="false">IF(E934="","",IFERROR(LEFT(E934,FIND("-",E934)-1),E934))</f>
        <v/>
      </c>
      <c r="S934" s="0" t="str">
        <f aca="false">IF(R934="","",IF(ISNUMBER(--MID(R934,1,1)),0,IF(ISNUMBER(--MID(R934,2,1)),1,IF(ISNUMBER(--MID(R934,3,1)),2,IF(ISNUMBER(--MID(R934,4,1)),3,MIN(LEN(R934),4))))))</f>
        <v/>
      </c>
      <c r="T934" s="0" t="str">
        <f aca="false">IF(E934="","",LEFT(R934,S934)&amp;REPT("0",4-S934)&amp;RIGHT("000"&amp;IFERROR(VALUE(MID(R934,S934+1,9)),0),3)&amp;RIGHT("0000"&amp;IFERROR(VALUE(MID(E934,FIND("-",E934)+1,9)),0),4))</f>
        <v/>
      </c>
      <c r="U934" s="0" t="str">
        <f aca="false">IF(I934=1,"K"&amp;RIGHT("00"&amp;A934,2)&amp;T934&amp;RIGHT("00000"&amp;ROW(),5),"")</f>
        <v/>
      </c>
      <c r="V934" s="0" t="str">
        <f aca="false">IF(U934="","",COUNTIFS($I$2:$I$1201,1,$U$2:$U$1201,"&lt;"&amp;U934)+1)</f>
        <v/>
      </c>
    </row>
    <row r="935" customFormat="false" ht="15" hidden="false" customHeight="false" outlineLevel="0" collapsed="false">
      <c r="A935" s="0" t="n">
        <v>16</v>
      </c>
      <c r="B935" s="0" t="n">
        <v>34</v>
      </c>
      <c r="C935" s="0" t="str">
        <f aca="false">TRIM(SUBSTITUTE(INDEX(LISTAS!$A$4:$T$63,B935,A935)&amp;"",CHAR(160)," "))</f>
        <v/>
      </c>
      <c r="D935" s="0" t="str">
        <f aca="false">IF(C935="","",TRIM(RIGHT(SUBSTITUTE(C935," ",REPT(" ",100)),100)))</f>
        <v/>
      </c>
      <c r="E935" s="0" t="str">
        <f aca="false">IF(D935="","",UPPER(SUBSTITUTE(SUBSTITUTE(D935,"(",""),")","")))</f>
        <v/>
      </c>
      <c r="F935" s="0" t="str">
        <f aca="false">IF(C935="","",LEFT(C935,FIND(" ",C935&amp;" ")-1))</f>
        <v/>
      </c>
      <c r="G935" s="0" t="n">
        <f aca="false">IFERROR(VALUE(SUBSTITUTE(LOWER(F935),"x","")),0)</f>
        <v>0</v>
      </c>
      <c r="H935" s="0" t="str">
        <f aca="false">IF(C935="","",TRIM(MID(C935,LEN(F935)+2,999)))</f>
        <v/>
      </c>
      <c r="I935" s="0" t="n">
        <f aca="false">IF(OR(C935="",LEFT(C935,2)="//"),0,IFERROR(IF(AND(G935&gt;0,G935=INT(G935),FIND("-",E935)&gt;1,NOT(EXACT(UPPER(LEFT(E935,1)),LOWER(LEFT(E935,1)))),ISNUMBER(VALUE(MID(E935,FIND("-",E935)+1,10)))),1,0),0))</f>
        <v>0</v>
      </c>
      <c r="J935" s="0" t="str">
        <f aca="false">IF(I935=1,TRIM(LEFT(H935,MAX(0,LEN(H935)-LEN(D935)))),"")</f>
        <v/>
      </c>
      <c r="K935" s="0" t="str">
        <f aca="false">INDEX($P$2:$P$21,A935)</f>
        <v>Deck 16</v>
      </c>
      <c r="L935" s="0" t="n">
        <f aca="false">IF(AND(C935&lt;&gt;"",LEFT(C935,2)&lt;&gt;"//",I935=0),1,0)</f>
        <v>0</v>
      </c>
      <c r="M935" s="0" t="str">
        <f aca="false">IF(I935=1,MAX(M$1:M934)+1,"")</f>
        <v/>
      </c>
      <c r="N935" s="0" t="str">
        <f aca="false">IFERROR(MATCH(ROW()-1,$V$2:$V$1201,0),"")</f>
        <v/>
      </c>
      <c r="R935" s="0" t="str">
        <f aca="false">IF(E935="","",IFERROR(LEFT(E935,FIND("-",E935)-1),E935))</f>
        <v/>
      </c>
      <c r="S935" s="0" t="str">
        <f aca="false">IF(R935="","",IF(ISNUMBER(--MID(R935,1,1)),0,IF(ISNUMBER(--MID(R935,2,1)),1,IF(ISNUMBER(--MID(R935,3,1)),2,IF(ISNUMBER(--MID(R935,4,1)),3,MIN(LEN(R935),4))))))</f>
        <v/>
      </c>
      <c r="T935" s="0" t="str">
        <f aca="false">IF(E935="","",LEFT(R935,S935)&amp;REPT("0",4-S935)&amp;RIGHT("000"&amp;IFERROR(VALUE(MID(R935,S935+1,9)),0),3)&amp;RIGHT("0000"&amp;IFERROR(VALUE(MID(E935,FIND("-",E935)+1,9)),0),4))</f>
        <v/>
      </c>
      <c r="U935" s="0" t="str">
        <f aca="false">IF(I935=1,"K"&amp;RIGHT("00"&amp;A935,2)&amp;T935&amp;RIGHT("00000"&amp;ROW(),5),"")</f>
        <v/>
      </c>
      <c r="V935" s="0" t="str">
        <f aca="false">IF(U935="","",COUNTIFS($I$2:$I$1201,1,$U$2:$U$1201,"&lt;"&amp;U935)+1)</f>
        <v/>
      </c>
    </row>
    <row r="936" customFormat="false" ht="15" hidden="false" customHeight="false" outlineLevel="0" collapsed="false">
      <c r="A936" s="0" t="n">
        <v>16</v>
      </c>
      <c r="B936" s="0" t="n">
        <v>35</v>
      </c>
      <c r="C936" s="0" t="str">
        <f aca="false">TRIM(SUBSTITUTE(INDEX(LISTAS!$A$4:$T$63,B936,A936)&amp;"",CHAR(160)," "))</f>
        <v/>
      </c>
      <c r="D936" s="0" t="str">
        <f aca="false">IF(C936="","",TRIM(RIGHT(SUBSTITUTE(C936," ",REPT(" ",100)),100)))</f>
        <v/>
      </c>
      <c r="E936" s="0" t="str">
        <f aca="false">IF(D936="","",UPPER(SUBSTITUTE(SUBSTITUTE(D936,"(",""),")","")))</f>
        <v/>
      </c>
      <c r="F936" s="0" t="str">
        <f aca="false">IF(C936="","",LEFT(C936,FIND(" ",C936&amp;" ")-1))</f>
        <v/>
      </c>
      <c r="G936" s="0" t="n">
        <f aca="false">IFERROR(VALUE(SUBSTITUTE(LOWER(F936),"x","")),0)</f>
        <v>0</v>
      </c>
      <c r="H936" s="0" t="str">
        <f aca="false">IF(C936="","",TRIM(MID(C936,LEN(F936)+2,999)))</f>
        <v/>
      </c>
      <c r="I936" s="0" t="n">
        <f aca="false">IF(OR(C936="",LEFT(C936,2)="//"),0,IFERROR(IF(AND(G936&gt;0,G936=INT(G936),FIND("-",E936)&gt;1,NOT(EXACT(UPPER(LEFT(E936,1)),LOWER(LEFT(E936,1)))),ISNUMBER(VALUE(MID(E936,FIND("-",E936)+1,10)))),1,0),0))</f>
        <v>0</v>
      </c>
      <c r="J936" s="0" t="str">
        <f aca="false">IF(I936=1,TRIM(LEFT(H936,MAX(0,LEN(H936)-LEN(D936)))),"")</f>
        <v/>
      </c>
      <c r="K936" s="0" t="str">
        <f aca="false">INDEX($P$2:$P$21,A936)</f>
        <v>Deck 16</v>
      </c>
      <c r="L936" s="0" t="n">
        <f aca="false">IF(AND(C936&lt;&gt;"",LEFT(C936,2)&lt;&gt;"//",I936=0),1,0)</f>
        <v>0</v>
      </c>
      <c r="M936" s="0" t="str">
        <f aca="false">IF(I936=1,MAX(M$1:M935)+1,"")</f>
        <v/>
      </c>
      <c r="N936" s="0" t="str">
        <f aca="false">IFERROR(MATCH(ROW()-1,$V$2:$V$1201,0),"")</f>
        <v/>
      </c>
      <c r="R936" s="0" t="str">
        <f aca="false">IF(E936="","",IFERROR(LEFT(E936,FIND("-",E936)-1),E936))</f>
        <v/>
      </c>
      <c r="S936" s="0" t="str">
        <f aca="false">IF(R936="","",IF(ISNUMBER(--MID(R936,1,1)),0,IF(ISNUMBER(--MID(R936,2,1)),1,IF(ISNUMBER(--MID(R936,3,1)),2,IF(ISNUMBER(--MID(R936,4,1)),3,MIN(LEN(R936),4))))))</f>
        <v/>
      </c>
      <c r="T936" s="0" t="str">
        <f aca="false">IF(E936="","",LEFT(R936,S936)&amp;REPT("0",4-S936)&amp;RIGHT("000"&amp;IFERROR(VALUE(MID(R936,S936+1,9)),0),3)&amp;RIGHT("0000"&amp;IFERROR(VALUE(MID(E936,FIND("-",E936)+1,9)),0),4))</f>
        <v/>
      </c>
      <c r="U936" s="0" t="str">
        <f aca="false">IF(I936=1,"K"&amp;RIGHT("00"&amp;A936,2)&amp;T936&amp;RIGHT("00000"&amp;ROW(),5),"")</f>
        <v/>
      </c>
      <c r="V936" s="0" t="str">
        <f aca="false">IF(U936="","",COUNTIFS($I$2:$I$1201,1,$U$2:$U$1201,"&lt;"&amp;U936)+1)</f>
        <v/>
      </c>
    </row>
    <row r="937" customFormat="false" ht="15" hidden="false" customHeight="false" outlineLevel="0" collapsed="false">
      <c r="A937" s="0" t="n">
        <v>16</v>
      </c>
      <c r="B937" s="0" t="n">
        <v>36</v>
      </c>
      <c r="C937" s="0" t="str">
        <f aca="false">TRIM(SUBSTITUTE(INDEX(LISTAS!$A$4:$T$63,B937,A937)&amp;"",CHAR(160)," "))</f>
        <v/>
      </c>
      <c r="D937" s="0" t="str">
        <f aca="false">IF(C937="","",TRIM(RIGHT(SUBSTITUTE(C937," ",REPT(" ",100)),100)))</f>
        <v/>
      </c>
      <c r="E937" s="0" t="str">
        <f aca="false">IF(D937="","",UPPER(SUBSTITUTE(SUBSTITUTE(D937,"(",""),")","")))</f>
        <v/>
      </c>
      <c r="F937" s="0" t="str">
        <f aca="false">IF(C937="","",LEFT(C937,FIND(" ",C937&amp;" ")-1))</f>
        <v/>
      </c>
      <c r="G937" s="0" t="n">
        <f aca="false">IFERROR(VALUE(SUBSTITUTE(LOWER(F937),"x","")),0)</f>
        <v>0</v>
      </c>
      <c r="H937" s="0" t="str">
        <f aca="false">IF(C937="","",TRIM(MID(C937,LEN(F937)+2,999)))</f>
        <v/>
      </c>
      <c r="I937" s="0" t="n">
        <f aca="false">IF(OR(C937="",LEFT(C937,2)="//"),0,IFERROR(IF(AND(G937&gt;0,G937=INT(G937),FIND("-",E937)&gt;1,NOT(EXACT(UPPER(LEFT(E937,1)),LOWER(LEFT(E937,1)))),ISNUMBER(VALUE(MID(E937,FIND("-",E937)+1,10)))),1,0),0))</f>
        <v>0</v>
      </c>
      <c r="J937" s="0" t="str">
        <f aca="false">IF(I937=1,TRIM(LEFT(H937,MAX(0,LEN(H937)-LEN(D937)))),"")</f>
        <v/>
      </c>
      <c r="K937" s="0" t="str">
        <f aca="false">INDEX($P$2:$P$21,A937)</f>
        <v>Deck 16</v>
      </c>
      <c r="L937" s="0" t="n">
        <f aca="false">IF(AND(C937&lt;&gt;"",LEFT(C937,2)&lt;&gt;"//",I937=0),1,0)</f>
        <v>0</v>
      </c>
      <c r="M937" s="0" t="str">
        <f aca="false">IF(I937=1,MAX(M$1:M936)+1,"")</f>
        <v/>
      </c>
      <c r="N937" s="0" t="str">
        <f aca="false">IFERROR(MATCH(ROW()-1,$V$2:$V$1201,0),"")</f>
        <v/>
      </c>
      <c r="R937" s="0" t="str">
        <f aca="false">IF(E937="","",IFERROR(LEFT(E937,FIND("-",E937)-1),E937))</f>
        <v/>
      </c>
      <c r="S937" s="0" t="str">
        <f aca="false">IF(R937="","",IF(ISNUMBER(--MID(R937,1,1)),0,IF(ISNUMBER(--MID(R937,2,1)),1,IF(ISNUMBER(--MID(R937,3,1)),2,IF(ISNUMBER(--MID(R937,4,1)),3,MIN(LEN(R937),4))))))</f>
        <v/>
      </c>
      <c r="T937" s="0" t="str">
        <f aca="false">IF(E937="","",LEFT(R937,S937)&amp;REPT("0",4-S937)&amp;RIGHT("000"&amp;IFERROR(VALUE(MID(R937,S937+1,9)),0),3)&amp;RIGHT("0000"&amp;IFERROR(VALUE(MID(E937,FIND("-",E937)+1,9)),0),4))</f>
        <v/>
      </c>
      <c r="U937" s="0" t="str">
        <f aca="false">IF(I937=1,"K"&amp;RIGHT("00"&amp;A937,2)&amp;T937&amp;RIGHT("00000"&amp;ROW(),5),"")</f>
        <v/>
      </c>
      <c r="V937" s="0" t="str">
        <f aca="false">IF(U937="","",COUNTIFS($I$2:$I$1201,1,$U$2:$U$1201,"&lt;"&amp;U937)+1)</f>
        <v/>
      </c>
    </row>
    <row r="938" customFormat="false" ht="15" hidden="false" customHeight="false" outlineLevel="0" collapsed="false">
      <c r="A938" s="0" t="n">
        <v>16</v>
      </c>
      <c r="B938" s="0" t="n">
        <v>37</v>
      </c>
      <c r="C938" s="0" t="str">
        <f aca="false">TRIM(SUBSTITUTE(INDEX(LISTAS!$A$4:$T$63,B938,A938)&amp;"",CHAR(160)," "))</f>
        <v/>
      </c>
      <c r="D938" s="0" t="str">
        <f aca="false">IF(C938="","",TRIM(RIGHT(SUBSTITUTE(C938," ",REPT(" ",100)),100)))</f>
        <v/>
      </c>
      <c r="E938" s="0" t="str">
        <f aca="false">IF(D938="","",UPPER(SUBSTITUTE(SUBSTITUTE(D938,"(",""),")","")))</f>
        <v/>
      </c>
      <c r="F938" s="0" t="str">
        <f aca="false">IF(C938="","",LEFT(C938,FIND(" ",C938&amp;" ")-1))</f>
        <v/>
      </c>
      <c r="G938" s="0" t="n">
        <f aca="false">IFERROR(VALUE(SUBSTITUTE(LOWER(F938),"x","")),0)</f>
        <v>0</v>
      </c>
      <c r="H938" s="0" t="str">
        <f aca="false">IF(C938="","",TRIM(MID(C938,LEN(F938)+2,999)))</f>
        <v/>
      </c>
      <c r="I938" s="0" t="n">
        <f aca="false">IF(OR(C938="",LEFT(C938,2)="//"),0,IFERROR(IF(AND(G938&gt;0,G938=INT(G938),FIND("-",E938)&gt;1,NOT(EXACT(UPPER(LEFT(E938,1)),LOWER(LEFT(E938,1)))),ISNUMBER(VALUE(MID(E938,FIND("-",E938)+1,10)))),1,0),0))</f>
        <v>0</v>
      </c>
      <c r="J938" s="0" t="str">
        <f aca="false">IF(I938=1,TRIM(LEFT(H938,MAX(0,LEN(H938)-LEN(D938)))),"")</f>
        <v/>
      </c>
      <c r="K938" s="0" t="str">
        <f aca="false">INDEX($P$2:$P$21,A938)</f>
        <v>Deck 16</v>
      </c>
      <c r="L938" s="0" t="n">
        <f aca="false">IF(AND(C938&lt;&gt;"",LEFT(C938,2)&lt;&gt;"//",I938=0),1,0)</f>
        <v>0</v>
      </c>
      <c r="M938" s="0" t="str">
        <f aca="false">IF(I938=1,MAX(M$1:M937)+1,"")</f>
        <v/>
      </c>
      <c r="N938" s="0" t="str">
        <f aca="false">IFERROR(MATCH(ROW()-1,$V$2:$V$1201,0),"")</f>
        <v/>
      </c>
      <c r="R938" s="0" t="str">
        <f aca="false">IF(E938="","",IFERROR(LEFT(E938,FIND("-",E938)-1),E938))</f>
        <v/>
      </c>
      <c r="S938" s="0" t="str">
        <f aca="false">IF(R938="","",IF(ISNUMBER(--MID(R938,1,1)),0,IF(ISNUMBER(--MID(R938,2,1)),1,IF(ISNUMBER(--MID(R938,3,1)),2,IF(ISNUMBER(--MID(R938,4,1)),3,MIN(LEN(R938),4))))))</f>
        <v/>
      </c>
      <c r="T938" s="0" t="str">
        <f aca="false">IF(E938="","",LEFT(R938,S938)&amp;REPT("0",4-S938)&amp;RIGHT("000"&amp;IFERROR(VALUE(MID(R938,S938+1,9)),0),3)&amp;RIGHT("0000"&amp;IFERROR(VALUE(MID(E938,FIND("-",E938)+1,9)),0),4))</f>
        <v/>
      </c>
      <c r="U938" s="0" t="str">
        <f aca="false">IF(I938=1,"K"&amp;RIGHT("00"&amp;A938,2)&amp;T938&amp;RIGHT("00000"&amp;ROW(),5),"")</f>
        <v/>
      </c>
      <c r="V938" s="0" t="str">
        <f aca="false">IF(U938="","",COUNTIFS($I$2:$I$1201,1,$U$2:$U$1201,"&lt;"&amp;U938)+1)</f>
        <v/>
      </c>
    </row>
    <row r="939" customFormat="false" ht="15" hidden="false" customHeight="false" outlineLevel="0" collapsed="false">
      <c r="A939" s="0" t="n">
        <v>16</v>
      </c>
      <c r="B939" s="0" t="n">
        <v>38</v>
      </c>
      <c r="C939" s="0" t="str">
        <f aca="false">TRIM(SUBSTITUTE(INDEX(LISTAS!$A$4:$T$63,B939,A939)&amp;"",CHAR(160)," "))</f>
        <v/>
      </c>
      <c r="D939" s="0" t="str">
        <f aca="false">IF(C939="","",TRIM(RIGHT(SUBSTITUTE(C939," ",REPT(" ",100)),100)))</f>
        <v/>
      </c>
      <c r="E939" s="0" t="str">
        <f aca="false">IF(D939="","",UPPER(SUBSTITUTE(SUBSTITUTE(D939,"(",""),")","")))</f>
        <v/>
      </c>
      <c r="F939" s="0" t="str">
        <f aca="false">IF(C939="","",LEFT(C939,FIND(" ",C939&amp;" ")-1))</f>
        <v/>
      </c>
      <c r="G939" s="0" t="n">
        <f aca="false">IFERROR(VALUE(SUBSTITUTE(LOWER(F939),"x","")),0)</f>
        <v>0</v>
      </c>
      <c r="H939" s="0" t="str">
        <f aca="false">IF(C939="","",TRIM(MID(C939,LEN(F939)+2,999)))</f>
        <v/>
      </c>
      <c r="I939" s="0" t="n">
        <f aca="false">IF(OR(C939="",LEFT(C939,2)="//"),0,IFERROR(IF(AND(G939&gt;0,G939=INT(G939),FIND("-",E939)&gt;1,NOT(EXACT(UPPER(LEFT(E939,1)),LOWER(LEFT(E939,1)))),ISNUMBER(VALUE(MID(E939,FIND("-",E939)+1,10)))),1,0),0))</f>
        <v>0</v>
      </c>
      <c r="J939" s="0" t="str">
        <f aca="false">IF(I939=1,TRIM(LEFT(H939,MAX(0,LEN(H939)-LEN(D939)))),"")</f>
        <v/>
      </c>
      <c r="K939" s="0" t="str">
        <f aca="false">INDEX($P$2:$P$21,A939)</f>
        <v>Deck 16</v>
      </c>
      <c r="L939" s="0" t="n">
        <f aca="false">IF(AND(C939&lt;&gt;"",LEFT(C939,2)&lt;&gt;"//",I939=0),1,0)</f>
        <v>0</v>
      </c>
      <c r="M939" s="0" t="str">
        <f aca="false">IF(I939=1,MAX(M$1:M938)+1,"")</f>
        <v/>
      </c>
      <c r="N939" s="0" t="str">
        <f aca="false">IFERROR(MATCH(ROW()-1,$V$2:$V$1201,0),"")</f>
        <v/>
      </c>
      <c r="R939" s="0" t="str">
        <f aca="false">IF(E939="","",IFERROR(LEFT(E939,FIND("-",E939)-1),E939))</f>
        <v/>
      </c>
      <c r="S939" s="0" t="str">
        <f aca="false">IF(R939="","",IF(ISNUMBER(--MID(R939,1,1)),0,IF(ISNUMBER(--MID(R939,2,1)),1,IF(ISNUMBER(--MID(R939,3,1)),2,IF(ISNUMBER(--MID(R939,4,1)),3,MIN(LEN(R939),4))))))</f>
        <v/>
      </c>
      <c r="T939" s="0" t="str">
        <f aca="false">IF(E939="","",LEFT(R939,S939)&amp;REPT("0",4-S939)&amp;RIGHT("000"&amp;IFERROR(VALUE(MID(R939,S939+1,9)),0),3)&amp;RIGHT("0000"&amp;IFERROR(VALUE(MID(E939,FIND("-",E939)+1,9)),0),4))</f>
        <v/>
      </c>
      <c r="U939" s="0" t="str">
        <f aca="false">IF(I939=1,"K"&amp;RIGHT("00"&amp;A939,2)&amp;T939&amp;RIGHT("00000"&amp;ROW(),5),"")</f>
        <v/>
      </c>
      <c r="V939" s="0" t="str">
        <f aca="false">IF(U939="","",COUNTIFS($I$2:$I$1201,1,$U$2:$U$1201,"&lt;"&amp;U939)+1)</f>
        <v/>
      </c>
    </row>
    <row r="940" customFormat="false" ht="15" hidden="false" customHeight="false" outlineLevel="0" collapsed="false">
      <c r="A940" s="0" t="n">
        <v>16</v>
      </c>
      <c r="B940" s="0" t="n">
        <v>39</v>
      </c>
      <c r="C940" s="0" t="str">
        <f aca="false">TRIM(SUBSTITUTE(INDEX(LISTAS!$A$4:$T$63,B940,A940)&amp;"",CHAR(160)," "))</f>
        <v/>
      </c>
      <c r="D940" s="0" t="str">
        <f aca="false">IF(C940="","",TRIM(RIGHT(SUBSTITUTE(C940," ",REPT(" ",100)),100)))</f>
        <v/>
      </c>
      <c r="E940" s="0" t="str">
        <f aca="false">IF(D940="","",UPPER(SUBSTITUTE(SUBSTITUTE(D940,"(",""),")","")))</f>
        <v/>
      </c>
      <c r="F940" s="0" t="str">
        <f aca="false">IF(C940="","",LEFT(C940,FIND(" ",C940&amp;" ")-1))</f>
        <v/>
      </c>
      <c r="G940" s="0" t="n">
        <f aca="false">IFERROR(VALUE(SUBSTITUTE(LOWER(F940),"x","")),0)</f>
        <v>0</v>
      </c>
      <c r="H940" s="0" t="str">
        <f aca="false">IF(C940="","",TRIM(MID(C940,LEN(F940)+2,999)))</f>
        <v/>
      </c>
      <c r="I940" s="0" t="n">
        <f aca="false">IF(OR(C940="",LEFT(C940,2)="//"),0,IFERROR(IF(AND(G940&gt;0,G940=INT(G940),FIND("-",E940)&gt;1,NOT(EXACT(UPPER(LEFT(E940,1)),LOWER(LEFT(E940,1)))),ISNUMBER(VALUE(MID(E940,FIND("-",E940)+1,10)))),1,0),0))</f>
        <v>0</v>
      </c>
      <c r="J940" s="0" t="str">
        <f aca="false">IF(I940=1,TRIM(LEFT(H940,MAX(0,LEN(H940)-LEN(D940)))),"")</f>
        <v/>
      </c>
      <c r="K940" s="0" t="str">
        <f aca="false">INDEX($P$2:$P$21,A940)</f>
        <v>Deck 16</v>
      </c>
      <c r="L940" s="0" t="n">
        <f aca="false">IF(AND(C940&lt;&gt;"",LEFT(C940,2)&lt;&gt;"//",I940=0),1,0)</f>
        <v>0</v>
      </c>
      <c r="M940" s="0" t="str">
        <f aca="false">IF(I940=1,MAX(M$1:M939)+1,"")</f>
        <v/>
      </c>
      <c r="N940" s="0" t="str">
        <f aca="false">IFERROR(MATCH(ROW()-1,$V$2:$V$1201,0),"")</f>
        <v/>
      </c>
      <c r="R940" s="0" t="str">
        <f aca="false">IF(E940="","",IFERROR(LEFT(E940,FIND("-",E940)-1),E940))</f>
        <v/>
      </c>
      <c r="S940" s="0" t="str">
        <f aca="false">IF(R940="","",IF(ISNUMBER(--MID(R940,1,1)),0,IF(ISNUMBER(--MID(R940,2,1)),1,IF(ISNUMBER(--MID(R940,3,1)),2,IF(ISNUMBER(--MID(R940,4,1)),3,MIN(LEN(R940),4))))))</f>
        <v/>
      </c>
      <c r="T940" s="0" t="str">
        <f aca="false">IF(E940="","",LEFT(R940,S940)&amp;REPT("0",4-S940)&amp;RIGHT("000"&amp;IFERROR(VALUE(MID(R940,S940+1,9)),0),3)&amp;RIGHT("0000"&amp;IFERROR(VALUE(MID(E940,FIND("-",E940)+1,9)),0),4))</f>
        <v/>
      </c>
      <c r="U940" s="0" t="str">
        <f aca="false">IF(I940=1,"K"&amp;RIGHT("00"&amp;A940,2)&amp;T940&amp;RIGHT("00000"&amp;ROW(),5),"")</f>
        <v/>
      </c>
      <c r="V940" s="0" t="str">
        <f aca="false">IF(U940="","",COUNTIFS($I$2:$I$1201,1,$U$2:$U$1201,"&lt;"&amp;U940)+1)</f>
        <v/>
      </c>
    </row>
    <row r="941" customFormat="false" ht="15" hidden="false" customHeight="false" outlineLevel="0" collapsed="false">
      <c r="A941" s="0" t="n">
        <v>16</v>
      </c>
      <c r="B941" s="0" t="n">
        <v>40</v>
      </c>
      <c r="C941" s="0" t="str">
        <f aca="false">TRIM(SUBSTITUTE(INDEX(LISTAS!$A$4:$T$63,B941,A941)&amp;"",CHAR(160)," "))</f>
        <v/>
      </c>
      <c r="D941" s="0" t="str">
        <f aca="false">IF(C941="","",TRIM(RIGHT(SUBSTITUTE(C941," ",REPT(" ",100)),100)))</f>
        <v/>
      </c>
      <c r="E941" s="0" t="str">
        <f aca="false">IF(D941="","",UPPER(SUBSTITUTE(SUBSTITUTE(D941,"(",""),")","")))</f>
        <v/>
      </c>
      <c r="F941" s="0" t="str">
        <f aca="false">IF(C941="","",LEFT(C941,FIND(" ",C941&amp;" ")-1))</f>
        <v/>
      </c>
      <c r="G941" s="0" t="n">
        <f aca="false">IFERROR(VALUE(SUBSTITUTE(LOWER(F941),"x","")),0)</f>
        <v>0</v>
      </c>
      <c r="H941" s="0" t="str">
        <f aca="false">IF(C941="","",TRIM(MID(C941,LEN(F941)+2,999)))</f>
        <v/>
      </c>
      <c r="I941" s="0" t="n">
        <f aca="false">IF(OR(C941="",LEFT(C941,2)="//"),0,IFERROR(IF(AND(G941&gt;0,G941=INT(G941),FIND("-",E941)&gt;1,NOT(EXACT(UPPER(LEFT(E941,1)),LOWER(LEFT(E941,1)))),ISNUMBER(VALUE(MID(E941,FIND("-",E941)+1,10)))),1,0),0))</f>
        <v>0</v>
      </c>
      <c r="J941" s="0" t="str">
        <f aca="false">IF(I941=1,TRIM(LEFT(H941,MAX(0,LEN(H941)-LEN(D941)))),"")</f>
        <v/>
      </c>
      <c r="K941" s="0" t="str">
        <f aca="false">INDEX($P$2:$P$21,A941)</f>
        <v>Deck 16</v>
      </c>
      <c r="L941" s="0" t="n">
        <f aca="false">IF(AND(C941&lt;&gt;"",LEFT(C941,2)&lt;&gt;"//",I941=0),1,0)</f>
        <v>0</v>
      </c>
      <c r="M941" s="0" t="str">
        <f aca="false">IF(I941=1,MAX(M$1:M940)+1,"")</f>
        <v/>
      </c>
      <c r="N941" s="0" t="str">
        <f aca="false">IFERROR(MATCH(ROW()-1,$V$2:$V$1201,0),"")</f>
        <v/>
      </c>
      <c r="R941" s="0" t="str">
        <f aca="false">IF(E941="","",IFERROR(LEFT(E941,FIND("-",E941)-1),E941))</f>
        <v/>
      </c>
      <c r="S941" s="0" t="str">
        <f aca="false">IF(R941="","",IF(ISNUMBER(--MID(R941,1,1)),0,IF(ISNUMBER(--MID(R941,2,1)),1,IF(ISNUMBER(--MID(R941,3,1)),2,IF(ISNUMBER(--MID(R941,4,1)),3,MIN(LEN(R941),4))))))</f>
        <v/>
      </c>
      <c r="T941" s="0" t="str">
        <f aca="false">IF(E941="","",LEFT(R941,S941)&amp;REPT("0",4-S941)&amp;RIGHT("000"&amp;IFERROR(VALUE(MID(R941,S941+1,9)),0),3)&amp;RIGHT("0000"&amp;IFERROR(VALUE(MID(E941,FIND("-",E941)+1,9)),0),4))</f>
        <v/>
      </c>
      <c r="U941" s="0" t="str">
        <f aca="false">IF(I941=1,"K"&amp;RIGHT("00"&amp;A941,2)&amp;T941&amp;RIGHT("00000"&amp;ROW(),5),"")</f>
        <v/>
      </c>
      <c r="V941" s="0" t="str">
        <f aca="false">IF(U941="","",COUNTIFS($I$2:$I$1201,1,$U$2:$U$1201,"&lt;"&amp;U941)+1)</f>
        <v/>
      </c>
    </row>
    <row r="942" customFormat="false" ht="15" hidden="false" customHeight="false" outlineLevel="0" collapsed="false">
      <c r="A942" s="0" t="n">
        <v>16</v>
      </c>
      <c r="B942" s="0" t="n">
        <v>41</v>
      </c>
      <c r="C942" s="0" t="str">
        <f aca="false">TRIM(SUBSTITUTE(INDEX(LISTAS!$A$4:$T$63,B942,A942)&amp;"",CHAR(160)," "))</f>
        <v/>
      </c>
      <c r="D942" s="0" t="str">
        <f aca="false">IF(C942="","",TRIM(RIGHT(SUBSTITUTE(C942," ",REPT(" ",100)),100)))</f>
        <v/>
      </c>
      <c r="E942" s="0" t="str">
        <f aca="false">IF(D942="","",UPPER(SUBSTITUTE(SUBSTITUTE(D942,"(",""),")","")))</f>
        <v/>
      </c>
      <c r="F942" s="0" t="str">
        <f aca="false">IF(C942="","",LEFT(C942,FIND(" ",C942&amp;" ")-1))</f>
        <v/>
      </c>
      <c r="G942" s="0" t="n">
        <f aca="false">IFERROR(VALUE(SUBSTITUTE(LOWER(F942),"x","")),0)</f>
        <v>0</v>
      </c>
      <c r="H942" s="0" t="str">
        <f aca="false">IF(C942="","",TRIM(MID(C942,LEN(F942)+2,999)))</f>
        <v/>
      </c>
      <c r="I942" s="0" t="n">
        <f aca="false">IF(OR(C942="",LEFT(C942,2)="//"),0,IFERROR(IF(AND(G942&gt;0,G942=INT(G942),FIND("-",E942)&gt;1,NOT(EXACT(UPPER(LEFT(E942,1)),LOWER(LEFT(E942,1)))),ISNUMBER(VALUE(MID(E942,FIND("-",E942)+1,10)))),1,0),0))</f>
        <v>0</v>
      </c>
      <c r="J942" s="0" t="str">
        <f aca="false">IF(I942=1,TRIM(LEFT(H942,MAX(0,LEN(H942)-LEN(D942)))),"")</f>
        <v/>
      </c>
      <c r="K942" s="0" t="str">
        <f aca="false">INDEX($P$2:$P$21,A942)</f>
        <v>Deck 16</v>
      </c>
      <c r="L942" s="0" t="n">
        <f aca="false">IF(AND(C942&lt;&gt;"",LEFT(C942,2)&lt;&gt;"//",I942=0),1,0)</f>
        <v>0</v>
      </c>
      <c r="M942" s="0" t="str">
        <f aca="false">IF(I942=1,MAX(M$1:M941)+1,"")</f>
        <v/>
      </c>
      <c r="N942" s="0" t="str">
        <f aca="false">IFERROR(MATCH(ROW()-1,$V$2:$V$1201,0),"")</f>
        <v/>
      </c>
      <c r="R942" s="0" t="str">
        <f aca="false">IF(E942="","",IFERROR(LEFT(E942,FIND("-",E942)-1),E942))</f>
        <v/>
      </c>
      <c r="S942" s="0" t="str">
        <f aca="false">IF(R942="","",IF(ISNUMBER(--MID(R942,1,1)),0,IF(ISNUMBER(--MID(R942,2,1)),1,IF(ISNUMBER(--MID(R942,3,1)),2,IF(ISNUMBER(--MID(R942,4,1)),3,MIN(LEN(R942),4))))))</f>
        <v/>
      </c>
      <c r="T942" s="0" t="str">
        <f aca="false">IF(E942="","",LEFT(R942,S942)&amp;REPT("0",4-S942)&amp;RIGHT("000"&amp;IFERROR(VALUE(MID(R942,S942+1,9)),0),3)&amp;RIGHT("0000"&amp;IFERROR(VALUE(MID(E942,FIND("-",E942)+1,9)),0),4))</f>
        <v/>
      </c>
      <c r="U942" s="0" t="str">
        <f aca="false">IF(I942=1,"K"&amp;RIGHT("00"&amp;A942,2)&amp;T942&amp;RIGHT("00000"&amp;ROW(),5),"")</f>
        <v/>
      </c>
      <c r="V942" s="0" t="str">
        <f aca="false">IF(U942="","",COUNTIFS($I$2:$I$1201,1,$U$2:$U$1201,"&lt;"&amp;U942)+1)</f>
        <v/>
      </c>
    </row>
    <row r="943" customFormat="false" ht="15" hidden="false" customHeight="false" outlineLevel="0" collapsed="false">
      <c r="A943" s="0" t="n">
        <v>16</v>
      </c>
      <c r="B943" s="0" t="n">
        <v>42</v>
      </c>
      <c r="C943" s="0" t="str">
        <f aca="false">TRIM(SUBSTITUTE(INDEX(LISTAS!$A$4:$T$63,B943,A943)&amp;"",CHAR(160)," "))</f>
        <v/>
      </c>
      <c r="D943" s="0" t="str">
        <f aca="false">IF(C943="","",TRIM(RIGHT(SUBSTITUTE(C943," ",REPT(" ",100)),100)))</f>
        <v/>
      </c>
      <c r="E943" s="0" t="str">
        <f aca="false">IF(D943="","",UPPER(SUBSTITUTE(SUBSTITUTE(D943,"(",""),")","")))</f>
        <v/>
      </c>
      <c r="F943" s="0" t="str">
        <f aca="false">IF(C943="","",LEFT(C943,FIND(" ",C943&amp;" ")-1))</f>
        <v/>
      </c>
      <c r="G943" s="0" t="n">
        <f aca="false">IFERROR(VALUE(SUBSTITUTE(LOWER(F943),"x","")),0)</f>
        <v>0</v>
      </c>
      <c r="H943" s="0" t="str">
        <f aca="false">IF(C943="","",TRIM(MID(C943,LEN(F943)+2,999)))</f>
        <v/>
      </c>
      <c r="I943" s="0" t="n">
        <f aca="false">IF(OR(C943="",LEFT(C943,2)="//"),0,IFERROR(IF(AND(G943&gt;0,G943=INT(G943),FIND("-",E943)&gt;1,NOT(EXACT(UPPER(LEFT(E943,1)),LOWER(LEFT(E943,1)))),ISNUMBER(VALUE(MID(E943,FIND("-",E943)+1,10)))),1,0),0))</f>
        <v>0</v>
      </c>
      <c r="J943" s="0" t="str">
        <f aca="false">IF(I943=1,TRIM(LEFT(H943,MAX(0,LEN(H943)-LEN(D943)))),"")</f>
        <v/>
      </c>
      <c r="K943" s="0" t="str">
        <f aca="false">INDEX($P$2:$P$21,A943)</f>
        <v>Deck 16</v>
      </c>
      <c r="L943" s="0" t="n">
        <f aca="false">IF(AND(C943&lt;&gt;"",LEFT(C943,2)&lt;&gt;"//",I943=0),1,0)</f>
        <v>0</v>
      </c>
      <c r="M943" s="0" t="str">
        <f aca="false">IF(I943=1,MAX(M$1:M942)+1,"")</f>
        <v/>
      </c>
      <c r="N943" s="0" t="str">
        <f aca="false">IFERROR(MATCH(ROW()-1,$V$2:$V$1201,0),"")</f>
        <v/>
      </c>
      <c r="R943" s="0" t="str">
        <f aca="false">IF(E943="","",IFERROR(LEFT(E943,FIND("-",E943)-1),E943))</f>
        <v/>
      </c>
      <c r="S943" s="0" t="str">
        <f aca="false">IF(R943="","",IF(ISNUMBER(--MID(R943,1,1)),0,IF(ISNUMBER(--MID(R943,2,1)),1,IF(ISNUMBER(--MID(R943,3,1)),2,IF(ISNUMBER(--MID(R943,4,1)),3,MIN(LEN(R943),4))))))</f>
        <v/>
      </c>
      <c r="T943" s="0" t="str">
        <f aca="false">IF(E943="","",LEFT(R943,S943)&amp;REPT("0",4-S943)&amp;RIGHT("000"&amp;IFERROR(VALUE(MID(R943,S943+1,9)),0),3)&amp;RIGHT("0000"&amp;IFERROR(VALUE(MID(E943,FIND("-",E943)+1,9)),0),4))</f>
        <v/>
      </c>
      <c r="U943" s="0" t="str">
        <f aca="false">IF(I943=1,"K"&amp;RIGHT("00"&amp;A943,2)&amp;T943&amp;RIGHT("00000"&amp;ROW(),5),"")</f>
        <v/>
      </c>
      <c r="V943" s="0" t="str">
        <f aca="false">IF(U943="","",COUNTIFS($I$2:$I$1201,1,$U$2:$U$1201,"&lt;"&amp;U943)+1)</f>
        <v/>
      </c>
    </row>
    <row r="944" customFormat="false" ht="15" hidden="false" customHeight="false" outlineLevel="0" collapsed="false">
      <c r="A944" s="0" t="n">
        <v>16</v>
      </c>
      <c r="B944" s="0" t="n">
        <v>43</v>
      </c>
      <c r="C944" s="0" t="str">
        <f aca="false">TRIM(SUBSTITUTE(INDEX(LISTAS!$A$4:$T$63,B944,A944)&amp;"",CHAR(160)," "))</f>
        <v/>
      </c>
      <c r="D944" s="0" t="str">
        <f aca="false">IF(C944="","",TRIM(RIGHT(SUBSTITUTE(C944," ",REPT(" ",100)),100)))</f>
        <v/>
      </c>
      <c r="E944" s="0" t="str">
        <f aca="false">IF(D944="","",UPPER(SUBSTITUTE(SUBSTITUTE(D944,"(",""),")","")))</f>
        <v/>
      </c>
      <c r="F944" s="0" t="str">
        <f aca="false">IF(C944="","",LEFT(C944,FIND(" ",C944&amp;" ")-1))</f>
        <v/>
      </c>
      <c r="G944" s="0" t="n">
        <f aca="false">IFERROR(VALUE(SUBSTITUTE(LOWER(F944),"x","")),0)</f>
        <v>0</v>
      </c>
      <c r="H944" s="0" t="str">
        <f aca="false">IF(C944="","",TRIM(MID(C944,LEN(F944)+2,999)))</f>
        <v/>
      </c>
      <c r="I944" s="0" t="n">
        <f aca="false">IF(OR(C944="",LEFT(C944,2)="//"),0,IFERROR(IF(AND(G944&gt;0,G944=INT(G944),FIND("-",E944)&gt;1,NOT(EXACT(UPPER(LEFT(E944,1)),LOWER(LEFT(E944,1)))),ISNUMBER(VALUE(MID(E944,FIND("-",E944)+1,10)))),1,0),0))</f>
        <v>0</v>
      </c>
      <c r="J944" s="0" t="str">
        <f aca="false">IF(I944=1,TRIM(LEFT(H944,MAX(0,LEN(H944)-LEN(D944)))),"")</f>
        <v/>
      </c>
      <c r="K944" s="0" t="str">
        <f aca="false">INDEX($P$2:$P$21,A944)</f>
        <v>Deck 16</v>
      </c>
      <c r="L944" s="0" t="n">
        <f aca="false">IF(AND(C944&lt;&gt;"",LEFT(C944,2)&lt;&gt;"//",I944=0),1,0)</f>
        <v>0</v>
      </c>
      <c r="M944" s="0" t="str">
        <f aca="false">IF(I944=1,MAX(M$1:M943)+1,"")</f>
        <v/>
      </c>
      <c r="N944" s="0" t="str">
        <f aca="false">IFERROR(MATCH(ROW()-1,$V$2:$V$1201,0),"")</f>
        <v/>
      </c>
      <c r="R944" s="0" t="str">
        <f aca="false">IF(E944="","",IFERROR(LEFT(E944,FIND("-",E944)-1),E944))</f>
        <v/>
      </c>
      <c r="S944" s="0" t="str">
        <f aca="false">IF(R944="","",IF(ISNUMBER(--MID(R944,1,1)),0,IF(ISNUMBER(--MID(R944,2,1)),1,IF(ISNUMBER(--MID(R944,3,1)),2,IF(ISNUMBER(--MID(R944,4,1)),3,MIN(LEN(R944),4))))))</f>
        <v/>
      </c>
      <c r="T944" s="0" t="str">
        <f aca="false">IF(E944="","",LEFT(R944,S944)&amp;REPT("0",4-S944)&amp;RIGHT("000"&amp;IFERROR(VALUE(MID(R944,S944+1,9)),0),3)&amp;RIGHT("0000"&amp;IFERROR(VALUE(MID(E944,FIND("-",E944)+1,9)),0),4))</f>
        <v/>
      </c>
      <c r="U944" s="0" t="str">
        <f aca="false">IF(I944=1,"K"&amp;RIGHT("00"&amp;A944,2)&amp;T944&amp;RIGHT("00000"&amp;ROW(),5),"")</f>
        <v/>
      </c>
      <c r="V944" s="0" t="str">
        <f aca="false">IF(U944="","",COUNTIFS($I$2:$I$1201,1,$U$2:$U$1201,"&lt;"&amp;U944)+1)</f>
        <v/>
      </c>
    </row>
    <row r="945" customFormat="false" ht="15" hidden="false" customHeight="false" outlineLevel="0" collapsed="false">
      <c r="A945" s="0" t="n">
        <v>16</v>
      </c>
      <c r="B945" s="0" t="n">
        <v>44</v>
      </c>
      <c r="C945" s="0" t="str">
        <f aca="false">TRIM(SUBSTITUTE(INDEX(LISTAS!$A$4:$T$63,B945,A945)&amp;"",CHAR(160)," "))</f>
        <v/>
      </c>
      <c r="D945" s="0" t="str">
        <f aca="false">IF(C945="","",TRIM(RIGHT(SUBSTITUTE(C945," ",REPT(" ",100)),100)))</f>
        <v/>
      </c>
      <c r="E945" s="0" t="str">
        <f aca="false">IF(D945="","",UPPER(SUBSTITUTE(SUBSTITUTE(D945,"(",""),")","")))</f>
        <v/>
      </c>
      <c r="F945" s="0" t="str">
        <f aca="false">IF(C945="","",LEFT(C945,FIND(" ",C945&amp;" ")-1))</f>
        <v/>
      </c>
      <c r="G945" s="0" t="n">
        <f aca="false">IFERROR(VALUE(SUBSTITUTE(LOWER(F945),"x","")),0)</f>
        <v>0</v>
      </c>
      <c r="H945" s="0" t="str">
        <f aca="false">IF(C945="","",TRIM(MID(C945,LEN(F945)+2,999)))</f>
        <v/>
      </c>
      <c r="I945" s="0" t="n">
        <f aca="false">IF(OR(C945="",LEFT(C945,2)="//"),0,IFERROR(IF(AND(G945&gt;0,G945=INT(G945),FIND("-",E945)&gt;1,NOT(EXACT(UPPER(LEFT(E945,1)),LOWER(LEFT(E945,1)))),ISNUMBER(VALUE(MID(E945,FIND("-",E945)+1,10)))),1,0),0))</f>
        <v>0</v>
      </c>
      <c r="J945" s="0" t="str">
        <f aca="false">IF(I945=1,TRIM(LEFT(H945,MAX(0,LEN(H945)-LEN(D945)))),"")</f>
        <v/>
      </c>
      <c r="K945" s="0" t="str">
        <f aca="false">INDEX($P$2:$P$21,A945)</f>
        <v>Deck 16</v>
      </c>
      <c r="L945" s="0" t="n">
        <f aca="false">IF(AND(C945&lt;&gt;"",LEFT(C945,2)&lt;&gt;"//",I945=0),1,0)</f>
        <v>0</v>
      </c>
      <c r="M945" s="0" t="str">
        <f aca="false">IF(I945=1,MAX(M$1:M944)+1,"")</f>
        <v/>
      </c>
      <c r="N945" s="0" t="str">
        <f aca="false">IFERROR(MATCH(ROW()-1,$V$2:$V$1201,0),"")</f>
        <v/>
      </c>
      <c r="R945" s="0" t="str">
        <f aca="false">IF(E945="","",IFERROR(LEFT(E945,FIND("-",E945)-1),E945))</f>
        <v/>
      </c>
      <c r="S945" s="0" t="str">
        <f aca="false">IF(R945="","",IF(ISNUMBER(--MID(R945,1,1)),0,IF(ISNUMBER(--MID(R945,2,1)),1,IF(ISNUMBER(--MID(R945,3,1)),2,IF(ISNUMBER(--MID(R945,4,1)),3,MIN(LEN(R945),4))))))</f>
        <v/>
      </c>
      <c r="T945" s="0" t="str">
        <f aca="false">IF(E945="","",LEFT(R945,S945)&amp;REPT("0",4-S945)&amp;RIGHT("000"&amp;IFERROR(VALUE(MID(R945,S945+1,9)),0),3)&amp;RIGHT("0000"&amp;IFERROR(VALUE(MID(E945,FIND("-",E945)+1,9)),0),4))</f>
        <v/>
      </c>
      <c r="U945" s="0" t="str">
        <f aca="false">IF(I945=1,"K"&amp;RIGHT("00"&amp;A945,2)&amp;T945&amp;RIGHT("00000"&amp;ROW(),5),"")</f>
        <v/>
      </c>
      <c r="V945" s="0" t="str">
        <f aca="false">IF(U945="","",COUNTIFS($I$2:$I$1201,1,$U$2:$U$1201,"&lt;"&amp;U945)+1)</f>
        <v/>
      </c>
    </row>
    <row r="946" customFormat="false" ht="15" hidden="false" customHeight="false" outlineLevel="0" collapsed="false">
      <c r="A946" s="0" t="n">
        <v>16</v>
      </c>
      <c r="B946" s="0" t="n">
        <v>45</v>
      </c>
      <c r="C946" s="0" t="str">
        <f aca="false">TRIM(SUBSTITUTE(INDEX(LISTAS!$A$4:$T$63,B946,A946)&amp;"",CHAR(160)," "))</f>
        <v/>
      </c>
      <c r="D946" s="0" t="str">
        <f aca="false">IF(C946="","",TRIM(RIGHT(SUBSTITUTE(C946," ",REPT(" ",100)),100)))</f>
        <v/>
      </c>
      <c r="E946" s="0" t="str">
        <f aca="false">IF(D946="","",UPPER(SUBSTITUTE(SUBSTITUTE(D946,"(",""),")","")))</f>
        <v/>
      </c>
      <c r="F946" s="0" t="str">
        <f aca="false">IF(C946="","",LEFT(C946,FIND(" ",C946&amp;" ")-1))</f>
        <v/>
      </c>
      <c r="G946" s="0" t="n">
        <f aca="false">IFERROR(VALUE(SUBSTITUTE(LOWER(F946),"x","")),0)</f>
        <v>0</v>
      </c>
      <c r="H946" s="0" t="str">
        <f aca="false">IF(C946="","",TRIM(MID(C946,LEN(F946)+2,999)))</f>
        <v/>
      </c>
      <c r="I946" s="0" t="n">
        <f aca="false">IF(OR(C946="",LEFT(C946,2)="//"),0,IFERROR(IF(AND(G946&gt;0,G946=INT(G946),FIND("-",E946)&gt;1,NOT(EXACT(UPPER(LEFT(E946,1)),LOWER(LEFT(E946,1)))),ISNUMBER(VALUE(MID(E946,FIND("-",E946)+1,10)))),1,0),0))</f>
        <v>0</v>
      </c>
      <c r="J946" s="0" t="str">
        <f aca="false">IF(I946=1,TRIM(LEFT(H946,MAX(0,LEN(H946)-LEN(D946)))),"")</f>
        <v/>
      </c>
      <c r="K946" s="0" t="str">
        <f aca="false">INDEX($P$2:$P$21,A946)</f>
        <v>Deck 16</v>
      </c>
      <c r="L946" s="0" t="n">
        <f aca="false">IF(AND(C946&lt;&gt;"",LEFT(C946,2)&lt;&gt;"//",I946=0),1,0)</f>
        <v>0</v>
      </c>
      <c r="M946" s="0" t="str">
        <f aca="false">IF(I946=1,MAX(M$1:M945)+1,"")</f>
        <v/>
      </c>
      <c r="N946" s="0" t="str">
        <f aca="false">IFERROR(MATCH(ROW()-1,$V$2:$V$1201,0),"")</f>
        <v/>
      </c>
      <c r="R946" s="0" t="str">
        <f aca="false">IF(E946="","",IFERROR(LEFT(E946,FIND("-",E946)-1),E946))</f>
        <v/>
      </c>
      <c r="S946" s="0" t="str">
        <f aca="false">IF(R946="","",IF(ISNUMBER(--MID(R946,1,1)),0,IF(ISNUMBER(--MID(R946,2,1)),1,IF(ISNUMBER(--MID(R946,3,1)),2,IF(ISNUMBER(--MID(R946,4,1)),3,MIN(LEN(R946),4))))))</f>
        <v/>
      </c>
      <c r="T946" s="0" t="str">
        <f aca="false">IF(E946="","",LEFT(R946,S946)&amp;REPT("0",4-S946)&amp;RIGHT("000"&amp;IFERROR(VALUE(MID(R946,S946+1,9)),0),3)&amp;RIGHT("0000"&amp;IFERROR(VALUE(MID(E946,FIND("-",E946)+1,9)),0),4))</f>
        <v/>
      </c>
      <c r="U946" s="0" t="str">
        <f aca="false">IF(I946=1,"K"&amp;RIGHT("00"&amp;A946,2)&amp;T946&amp;RIGHT("00000"&amp;ROW(),5),"")</f>
        <v/>
      </c>
      <c r="V946" s="0" t="str">
        <f aca="false">IF(U946="","",COUNTIFS($I$2:$I$1201,1,$U$2:$U$1201,"&lt;"&amp;U946)+1)</f>
        <v/>
      </c>
    </row>
    <row r="947" customFormat="false" ht="15" hidden="false" customHeight="false" outlineLevel="0" collapsed="false">
      <c r="A947" s="0" t="n">
        <v>16</v>
      </c>
      <c r="B947" s="0" t="n">
        <v>46</v>
      </c>
      <c r="C947" s="0" t="str">
        <f aca="false">TRIM(SUBSTITUTE(INDEX(LISTAS!$A$4:$T$63,B947,A947)&amp;"",CHAR(160)," "))</f>
        <v/>
      </c>
      <c r="D947" s="0" t="str">
        <f aca="false">IF(C947="","",TRIM(RIGHT(SUBSTITUTE(C947," ",REPT(" ",100)),100)))</f>
        <v/>
      </c>
      <c r="E947" s="0" t="str">
        <f aca="false">IF(D947="","",UPPER(SUBSTITUTE(SUBSTITUTE(D947,"(",""),")","")))</f>
        <v/>
      </c>
      <c r="F947" s="0" t="str">
        <f aca="false">IF(C947="","",LEFT(C947,FIND(" ",C947&amp;" ")-1))</f>
        <v/>
      </c>
      <c r="G947" s="0" t="n">
        <f aca="false">IFERROR(VALUE(SUBSTITUTE(LOWER(F947),"x","")),0)</f>
        <v>0</v>
      </c>
      <c r="H947" s="0" t="str">
        <f aca="false">IF(C947="","",TRIM(MID(C947,LEN(F947)+2,999)))</f>
        <v/>
      </c>
      <c r="I947" s="0" t="n">
        <f aca="false">IF(OR(C947="",LEFT(C947,2)="//"),0,IFERROR(IF(AND(G947&gt;0,G947=INT(G947),FIND("-",E947)&gt;1,NOT(EXACT(UPPER(LEFT(E947,1)),LOWER(LEFT(E947,1)))),ISNUMBER(VALUE(MID(E947,FIND("-",E947)+1,10)))),1,0),0))</f>
        <v>0</v>
      </c>
      <c r="J947" s="0" t="str">
        <f aca="false">IF(I947=1,TRIM(LEFT(H947,MAX(0,LEN(H947)-LEN(D947)))),"")</f>
        <v/>
      </c>
      <c r="K947" s="0" t="str">
        <f aca="false">INDEX($P$2:$P$21,A947)</f>
        <v>Deck 16</v>
      </c>
      <c r="L947" s="0" t="n">
        <f aca="false">IF(AND(C947&lt;&gt;"",LEFT(C947,2)&lt;&gt;"//",I947=0),1,0)</f>
        <v>0</v>
      </c>
      <c r="M947" s="0" t="str">
        <f aca="false">IF(I947=1,MAX(M$1:M946)+1,"")</f>
        <v/>
      </c>
      <c r="N947" s="0" t="str">
        <f aca="false">IFERROR(MATCH(ROW()-1,$V$2:$V$1201,0),"")</f>
        <v/>
      </c>
      <c r="R947" s="0" t="str">
        <f aca="false">IF(E947="","",IFERROR(LEFT(E947,FIND("-",E947)-1),E947))</f>
        <v/>
      </c>
      <c r="S947" s="0" t="str">
        <f aca="false">IF(R947="","",IF(ISNUMBER(--MID(R947,1,1)),0,IF(ISNUMBER(--MID(R947,2,1)),1,IF(ISNUMBER(--MID(R947,3,1)),2,IF(ISNUMBER(--MID(R947,4,1)),3,MIN(LEN(R947),4))))))</f>
        <v/>
      </c>
      <c r="T947" s="0" t="str">
        <f aca="false">IF(E947="","",LEFT(R947,S947)&amp;REPT("0",4-S947)&amp;RIGHT("000"&amp;IFERROR(VALUE(MID(R947,S947+1,9)),0),3)&amp;RIGHT("0000"&amp;IFERROR(VALUE(MID(E947,FIND("-",E947)+1,9)),0),4))</f>
        <v/>
      </c>
      <c r="U947" s="0" t="str">
        <f aca="false">IF(I947=1,"K"&amp;RIGHT("00"&amp;A947,2)&amp;T947&amp;RIGHT("00000"&amp;ROW(),5),"")</f>
        <v/>
      </c>
      <c r="V947" s="0" t="str">
        <f aca="false">IF(U947="","",COUNTIFS($I$2:$I$1201,1,$U$2:$U$1201,"&lt;"&amp;U947)+1)</f>
        <v/>
      </c>
    </row>
    <row r="948" customFormat="false" ht="15" hidden="false" customHeight="false" outlineLevel="0" collapsed="false">
      <c r="A948" s="0" t="n">
        <v>16</v>
      </c>
      <c r="B948" s="0" t="n">
        <v>47</v>
      </c>
      <c r="C948" s="0" t="str">
        <f aca="false">TRIM(SUBSTITUTE(INDEX(LISTAS!$A$4:$T$63,B948,A948)&amp;"",CHAR(160)," "))</f>
        <v/>
      </c>
      <c r="D948" s="0" t="str">
        <f aca="false">IF(C948="","",TRIM(RIGHT(SUBSTITUTE(C948," ",REPT(" ",100)),100)))</f>
        <v/>
      </c>
      <c r="E948" s="0" t="str">
        <f aca="false">IF(D948="","",UPPER(SUBSTITUTE(SUBSTITUTE(D948,"(",""),")","")))</f>
        <v/>
      </c>
      <c r="F948" s="0" t="str">
        <f aca="false">IF(C948="","",LEFT(C948,FIND(" ",C948&amp;" ")-1))</f>
        <v/>
      </c>
      <c r="G948" s="0" t="n">
        <f aca="false">IFERROR(VALUE(SUBSTITUTE(LOWER(F948),"x","")),0)</f>
        <v>0</v>
      </c>
      <c r="H948" s="0" t="str">
        <f aca="false">IF(C948="","",TRIM(MID(C948,LEN(F948)+2,999)))</f>
        <v/>
      </c>
      <c r="I948" s="0" t="n">
        <f aca="false">IF(OR(C948="",LEFT(C948,2)="//"),0,IFERROR(IF(AND(G948&gt;0,G948=INT(G948),FIND("-",E948)&gt;1,NOT(EXACT(UPPER(LEFT(E948,1)),LOWER(LEFT(E948,1)))),ISNUMBER(VALUE(MID(E948,FIND("-",E948)+1,10)))),1,0),0))</f>
        <v>0</v>
      </c>
      <c r="J948" s="0" t="str">
        <f aca="false">IF(I948=1,TRIM(LEFT(H948,MAX(0,LEN(H948)-LEN(D948)))),"")</f>
        <v/>
      </c>
      <c r="K948" s="0" t="str">
        <f aca="false">INDEX($P$2:$P$21,A948)</f>
        <v>Deck 16</v>
      </c>
      <c r="L948" s="0" t="n">
        <f aca="false">IF(AND(C948&lt;&gt;"",LEFT(C948,2)&lt;&gt;"//",I948=0),1,0)</f>
        <v>0</v>
      </c>
      <c r="M948" s="0" t="str">
        <f aca="false">IF(I948=1,MAX(M$1:M947)+1,"")</f>
        <v/>
      </c>
      <c r="N948" s="0" t="str">
        <f aca="false">IFERROR(MATCH(ROW()-1,$V$2:$V$1201,0),"")</f>
        <v/>
      </c>
      <c r="R948" s="0" t="str">
        <f aca="false">IF(E948="","",IFERROR(LEFT(E948,FIND("-",E948)-1),E948))</f>
        <v/>
      </c>
      <c r="S948" s="0" t="str">
        <f aca="false">IF(R948="","",IF(ISNUMBER(--MID(R948,1,1)),0,IF(ISNUMBER(--MID(R948,2,1)),1,IF(ISNUMBER(--MID(R948,3,1)),2,IF(ISNUMBER(--MID(R948,4,1)),3,MIN(LEN(R948),4))))))</f>
        <v/>
      </c>
      <c r="T948" s="0" t="str">
        <f aca="false">IF(E948="","",LEFT(R948,S948)&amp;REPT("0",4-S948)&amp;RIGHT("000"&amp;IFERROR(VALUE(MID(R948,S948+1,9)),0),3)&amp;RIGHT("0000"&amp;IFERROR(VALUE(MID(E948,FIND("-",E948)+1,9)),0),4))</f>
        <v/>
      </c>
      <c r="U948" s="0" t="str">
        <f aca="false">IF(I948=1,"K"&amp;RIGHT("00"&amp;A948,2)&amp;T948&amp;RIGHT("00000"&amp;ROW(),5),"")</f>
        <v/>
      </c>
      <c r="V948" s="0" t="str">
        <f aca="false">IF(U948="","",COUNTIFS($I$2:$I$1201,1,$U$2:$U$1201,"&lt;"&amp;U948)+1)</f>
        <v/>
      </c>
    </row>
    <row r="949" customFormat="false" ht="15" hidden="false" customHeight="false" outlineLevel="0" collapsed="false">
      <c r="A949" s="0" t="n">
        <v>16</v>
      </c>
      <c r="B949" s="0" t="n">
        <v>48</v>
      </c>
      <c r="C949" s="0" t="str">
        <f aca="false">TRIM(SUBSTITUTE(INDEX(LISTAS!$A$4:$T$63,B949,A949)&amp;"",CHAR(160)," "))</f>
        <v/>
      </c>
      <c r="D949" s="0" t="str">
        <f aca="false">IF(C949="","",TRIM(RIGHT(SUBSTITUTE(C949," ",REPT(" ",100)),100)))</f>
        <v/>
      </c>
      <c r="E949" s="0" t="str">
        <f aca="false">IF(D949="","",UPPER(SUBSTITUTE(SUBSTITUTE(D949,"(",""),")","")))</f>
        <v/>
      </c>
      <c r="F949" s="0" t="str">
        <f aca="false">IF(C949="","",LEFT(C949,FIND(" ",C949&amp;" ")-1))</f>
        <v/>
      </c>
      <c r="G949" s="0" t="n">
        <f aca="false">IFERROR(VALUE(SUBSTITUTE(LOWER(F949),"x","")),0)</f>
        <v>0</v>
      </c>
      <c r="H949" s="0" t="str">
        <f aca="false">IF(C949="","",TRIM(MID(C949,LEN(F949)+2,999)))</f>
        <v/>
      </c>
      <c r="I949" s="0" t="n">
        <f aca="false">IF(OR(C949="",LEFT(C949,2)="//"),0,IFERROR(IF(AND(G949&gt;0,G949=INT(G949),FIND("-",E949)&gt;1,NOT(EXACT(UPPER(LEFT(E949,1)),LOWER(LEFT(E949,1)))),ISNUMBER(VALUE(MID(E949,FIND("-",E949)+1,10)))),1,0),0))</f>
        <v>0</v>
      </c>
      <c r="J949" s="0" t="str">
        <f aca="false">IF(I949=1,TRIM(LEFT(H949,MAX(0,LEN(H949)-LEN(D949)))),"")</f>
        <v/>
      </c>
      <c r="K949" s="0" t="str">
        <f aca="false">INDEX($P$2:$P$21,A949)</f>
        <v>Deck 16</v>
      </c>
      <c r="L949" s="0" t="n">
        <f aca="false">IF(AND(C949&lt;&gt;"",LEFT(C949,2)&lt;&gt;"//",I949=0),1,0)</f>
        <v>0</v>
      </c>
      <c r="M949" s="0" t="str">
        <f aca="false">IF(I949=1,MAX(M$1:M948)+1,"")</f>
        <v/>
      </c>
      <c r="N949" s="0" t="str">
        <f aca="false">IFERROR(MATCH(ROW()-1,$V$2:$V$1201,0),"")</f>
        <v/>
      </c>
      <c r="R949" s="0" t="str">
        <f aca="false">IF(E949="","",IFERROR(LEFT(E949,FIND("-",E949)-1),E949))</f>
        <v/>
      </c>
      <c r="S949" s="0" t="str">
        <f aca="false">IF(R949="","",IF(ISNUMBER(--MID(R949,1,1)),0,IF(ISNUMBER(--MID(R949,2,1)),1,IF(ISNUMBER(--MID(R949,3,1)),2,IF(ISNUMBER(--MID(R949,4,1)),3,MIN(LEN(R949),4))))))</f>
        <v/>
      </c>
      <c r="T949" s="0" t="str">
        <f aca="false">IF(E949="","",LEFT(R949,S949)&amp;REPT("0",4-S949)&amp;RIGHT("000"&amp;IFERROR(VALUE(MID(R949,S949+1,9)),0),3)&amp;RIGHT("0000"&amp;IFERROR(VALUE(MID(E949,FIND("-",E949)+1,9)),0),4))</f>
        <v/>
      </c>
      <c r="U949" s="0" t="str">
        <f aca="false">IF(I949=1,"K"&amp;RIGHT("00"&amp;A949,2)&amp;T949&amp;RIGHT("00000"&amp;ROW(),5),"")</f>
        <v/>
      </c>
      <c r="V949" s="0" t="str">
        <f aca="false">IF(U949="","",COUNTIFS($I$2:$I$1201,1,$U$2:$U$1201,"&lt;"&amp;U949)+1)</f>
        <v/>
      </c>
    </row>
    <row r="950" customFormat="false" ht="15" hidden="false" customHeight="false" outlineLevel="0" collapsed="false">
      <c r="A950" s="0" t="n">
        <v>16</v>
      </c>
      <c r="B950" s="0" t="n">
        <v>49</v>
      </c>
      <c r="C950" s="0" t="str">
        <f aca="false">TRIM(SUBSTITUTE(INDEX(LISTAS!$A$4:$T$63,B950,A950)&amp;"",CHAR(160)," "))</f>
        <v/>
      </c>
      <c r="D950" s="0" t="str">
        <f aca="false">IF(C950="","",TRIM(RIGHT(SUBSTITUTE(C950," ",REPT(" ",100)),100)))</f>
        <v/>
      </c>
      <c r="E950" s="0" t="str">
        <f aca="false">IF(D950="","",UPPER(SUBSTITUTE(SUBSTITUTE(D950,"(",""),")","")))</f>
        <v/>
      </c>
      <c r="F950" s="0" t="str">
        <f aca="false">IF(C950="","",LEFT(C950,FIND(" ",C950&amp;" ")-1))</f>
        <v/>
      </c>
      <c r="G950" s="0" t="n">
        <f aca="false">IFERROR(VALUE(SUBSTITUTE(LOWER(F950),"x","")),0)</f>
        <v>0</v>
      </c>
      <c r="H950" s="0" t="str">
        <f aca="false">IF(C950="","",TRIM(MID(C950,LEN(F950)+2,999)))</f>
        <v/>
      </c>
      <c r="I950" s="0" t="n">
        <f aca="false">IF(OR(C950="",LEFT(C950,2)="//"),0,IFERROR(IF(AND(G950&gt;0,G950=INT(G950),FIND("-",E950)&gt;1,NOT(EXACT(UPPER(LEFT(E950,1)),LOWER(LEFT(E950,1)))),ISNUMBER(VALUE(MID(E950,FIND("-",E950)+1,10)))),1,0),0))</f>
        <v>0</v>
      </c>
      <c r="J950" s="0" t="str">
        <f aca="false">IF(I950=1,TRIM(LEFT(H950,MAX(0,LEN(H950)-LEN(D950)))),"")</f>
        <v/>
      </c>
      <c r="K950" s="0" t="str">
        <f aca="false">INDEX($P$2:$P$21,A950)</f>
        <v>Deck 16</v>
      </c>
      <c r="L950" s="0" t="n">
        <f aca="false">IF(AND(C950&lt;&gt;"",LEFT(C950,2)&lt;&gt;"//",I950=0),1,0)</f>
        <v>0</v>
      </c>
      <c r="M950" s="0" t="str">
        <f aca="false">IF(I950=1,MAX(M$1:M949)+1,"")</f>
        <v/>
      </c>
      <c r="N950" s="0" t="str">
        <f aca="false">IFERROR(MATCH(ROW()-1,$V$2:$V$1201,0),"")</f>
        <v/>
      </c>
      <c r="R950" s="0" t="str">
        <f aca="false">IF(E950="","",IFERROR(LEFT(E950,FIND("-",E950)-1),E950))</f>
        <v/>
      </c>
      <c r="S950" s="0" t="str">
        <f aca="false">IF(R950="","",IF(ISNUMBER(--MID(R950,1,1)),0,IF(ISNUMBER(--MID(R950,2,1)),1,IF(ISNUMBER(--MID(R950,3,1)),2,IF(ISNUMBER(--MID(R950,4,1)),3,MIN(LEN(R950),4))))))</f>
        <v/>
      </c>
      <c r="T950" s="0" t="str">
        <f aca="false">IF(E950="","",LEFT(R950,S950)&amp;REPT("0",4-S950)&amp;RIGHT("000"&amp;IFERROR(VALUE(MID(R950,S950+1,9)),0),3)&amp;RIGHT("0000"&amp;IFERROR(VALUE(MID(E950,FIND("-",E950)+1,9)),0),4))</f>
        <v/>
      </c>
      <c r="U950" s="0" t="str">
        <f aca="false">IF(I950=1,"K"&amp;RIGHT("00"&amp;A950,2)&amp;T950&amp;RIGHT("00000"&amp;ROW(),5),"")</f>
        <v/>
      </c>
      <c r="V950" s="0" t="str">
        <f aca="false">IF(U950="","",COUNTIFS($I$2:$I$1201,1,$U$2:$U$1201,"&lt;"&amp;U950)+1)</f>
        <v/>
      </c>
    </row>
    <row r="951" customFormat="false" ht="15" hidden="false" customHeight="false" outlineLevel="0" collapsed="false">
      <c r="A951" s="0" t="n">
        <v>16</v>
      </c>
      <c r="B951" s="0" t="n">
        <v>50</v>
      </c>
      <c r="C951" s="0" t="str">
        <f aca="false">TRIM(SUBSTITUTE(INDEX(LISTAS!$A$4:$T$63,B951,A951)&amp;"",CHAR(160)," "))</f>
        <v/>
      </c>
      <c r="D951" s="0" t="str">
        <f aca="false">IF(C951="","",TRIM(RIGHT(SUBSTITUTE(C951," ",REPT(" ",100)),100)))</f>
        <v/>
      </c>
      <c r="E951" s="0" t="str">
        <f aca="false">IF(D951="","",UPPER(SUBSTITUTE(SUBSTITUTE(D951,"(",""),")","")))</f>
        <v/>
      </c>
      <c r="F951" s="0" t="str">
        <f aca="false">IF(C951="","",LEFT(C951,FIND(" ",C951&amp;" ")-1))</f>
        <v/>
      </c>
      <c r="G951" s="0" t="n">
        <f aca="false">IFERROR(VALUE(SUBSTITUTE(LOWER(F951),"x","")),0)</f>
        <v>0</v>
      </c>
      <c r="H951" s="0" t="str">
        <f aca="false">IF(C951="","",TRIM(MID(C951,LEN(F951)+2,999)))</f>
        <v/>
      </c>
      <c r="I951" s="0" t="n">
        <f aca="false">IF(OR(C951="",LEFT(C951,2)="//"),0,IFERROR(IF(AND(G951&gt;0,G951=INT(G951),FIND("-",E951)&gt;1,NOT(EXACT(UPPER(LEFT(E951,1)),LOWER(LEFT(E951,1)))),ISNUMBER(VALUE(MID(E951,FIND("-",E951)+1,10)))),1,0),0))</f>
        <v>0</v>
      </c>
      <c r="J951" s="0" t="str">
        <f aca="false">IF(I951=1,TRIM(LEFT(H951,MAX(0,LEN(H951)-LEN(D951)))),"")</f>
        <v/>
      </c>
      <c r="K951" s="0" t="str">
        <f aca="false">INDEX($P$2:$P$21,A951)</f>
        <v>Deck 16</v>
      </c>
      <c r="L951" s="0" t="n">
        <f aca="false">IF(AND(C951&lt;&gt;"",LEFT(C951,2)&lt;&gt;"//",I951=0),1,0)</f>
        <v>0</v>
      </c>
      <c r="M951" s="0" t="str">
        <f aca="false">IF(I951=1,MAX(M$1:M950)+1,"")</f>
        <v/>
      </c>
      <c r="N951" s="0" t="str">
        <f aca="false">IFERROR(MATCH(ROW()-1,$V$2:$V$1201,0),"")</f>
        <v/>
      </c>
      <c r="R951" s="0" t="str">
        <f aca="false">IF(E951="","",IFERROR(LEFT(E951,FIND("-",E951)-1),E951))</f>
        <v/>
      </c>
      <c r="S951" s="0" t="str">
        <f aca="false">IF(R951="","",IF(ISNUMBER(--MID(R951,1,1)),0,IF(ISNUMBER(--MID(R951,2,1)),1,IF(ISNUMBER(--MID(R951,3,1)),2,IF(ISNUMBER(--MID(R951,4,1)),3,MIN(LEN(R951),4))))))</f>
        <v/>
      </c>
      <c r="T951" s="0" t="str">
        <f aca="false">IF(E951="","",LEFT(R951,S951)&amp;REPT("0",4-S951)&amp;RIGHT("000"&amp;IFERROR(VALUE(MID(R951,S951+1,9)),0),3)&amp;RIGHT("0000"&amp;IFERROR(VALUE(MID(E951,FIND("-",E951)+1,9)),0),4))</f>
        <v/>
      </c>
      <c r="U951" s="0" t="str">
        <f aca="false">IF(I951=1,"K"&amp;RIGHT("00"&amp;A951,2)&amp;T951&amp;RIGHT("00000"&amp;ROW(),5),"")</f>
        <v/>
      </c>
      <c r="V951" s="0" t="str">
        <f aca="false">IF(U951="","",COUNTIFS($I$2:$I$1201,1,$U$2:$U$1201,"&lt;"&amp;U951)+1)</f>
        <v/>
      </c>
    </row>
    <row r="952" customFormat="false" ht="15" hidden="false" customHeight="false" outlineLevel="0" collapsed="false">
      <c r="A952" s="0" t="n">
        <v>16</v>
      </c>
      <c r="B952" s="0" t="n">
        <v>51</v>
      </c>
      <c r="C952" s="0" t="str">
        <f aca="false">TRIM(SUBSTITUTE(INDEX(LISTAS!$A$4:$T$63,B952,A952)&amp;"",CHAR(160)," "))</f>
        <v/>
      </c>
      <c r="D952" s="0" t="str">
        <f aca="false">IF(C952="","",TRIM(RIGHT(SUBSTITUTE(C952," ",REPT(" ",100)),100)))</f>
        <v/>
      </c>
      <c r="E952" s="0" t="str">
        <f aca="false">IF(D952="","",UPPER(SUBSTITUTE(SUBSTITUTE(D952,"(",""),")","")))</f>
        <v/>
      </c>
      <c r="F952" s="0" t="str">
        <f aca="false">IF(C952="","",LEFT(C952,FIND(" ",C952&amp;" ")-1))</f>
        <v/>
      </c>
      <c r="G952" s="0" t="n">
        <f aca="false">IFERROR(VALUE(SUBSTITUTE(LOWER(F952),"x","")),0)</f>
        <v>0</v>
      </c>
      <c r="H952" s="0" t="str">
        <f aca="false">IF(C952="","",TRIM(MID(C952,LEN(F952)+2,999)))</f>
        <v/>
      </c>
      <c r="I952" s="0" t="n">
        <f aca="false">IF(OR(C952="",LEFT(C952,2)="//"),0,IFERROR(IF(AND(G952&gt;0,G952=INT(G952),FIND("-",E952)&gt;1,NOT(EXACT(UPPER(LEFT(E952,1)),LOWER(LEFT(E952,1)))),ISNUMBER(VALUE(MID(E952,FIND("-",E952)+1,10)))),1,0),0))</f>
        <v>0</v>
      </c>
      <c r="J952" s="0" t="str">
        <f aca="false">IF(I952=1,TRIM(LEFT(H952,MAX(0,LEN(H952)-LEN(D952)))),"")</f>
        <v/>
      </c>
      <c r="K952" s="0" t="str">
        <f aca="false">INDEX($P$2:$P$21,A952)</f>
        <v>Deck 16</v>
      </c>
      <c r="L952" s="0" t="n">
        <f aca="false">IF(AND(C952&lt;&gt;"",LEFT(C952,2)&lt;&gt;"//",I952=0),1,0)</f>
        <v>0</v>
      </c>
      <c r="M952" s="0" t="str">
        <f aca="false">IF(I952=1,MAX(M$1:M951)+1,"")</f>
        <v/>
      </c>
      <c r="N952" s="0" t="str">
        <f aca="false">IFERROR(MATCH(ROW()-1,$V$2:$V$1201,0),"")</f>
        <v/>
      </c>
      <c r="R952" s="0" t="str">
        <f aca="false">IF(E952="","",IFERROR(LEFT(E952,FIND("-",E952)-1),E952))</f>
        <v/>
      </c>
      <c r="S952" s="0" t="str">
        <f aca="false">IF(R952="","",IF(ISNUMBER(--MID(R952,1,1)),0,IF(ISNUMBER(--MID(R952,2,1)),1,IF(ISNUMBER(--MID(R952,3,1)),2,IF(ISNUMBER(--MID(R952,4,1)),3,MIN(LEN(R952),4))))))</f>
        <v/>
      </c>
      <c r="T952" s="0" t="str">
        <f aca="false">IF(E952="","",LEFT(R952,S952)&amp;REPT("0",4-S952)&amp;RIGHT("000"&amp;IFERROR(VALUE(MID(R952,S952+1,9)),0),3)&amp;RIGHT("0000"&amp;IFERROR(VALUE(MID(E952,FIND("-",E952)+1,9)),0),4))</f>
        <v/>
      </c>
      <c r="U952" s="0" t="str">
        <f aca="false">IF(I952=1,"K"&amp;RIGHT("00"&amp;A952,2)&amp;T952&amp;RIGHT("00000"&amp;ROW(),5),"")</f>
        <v/>
      </c>
      <c r="V952" s="0" t="str">
        <f aca="false">IF(U952="","",COUNTIFS($I$2:$I$1201,1,$U$2:$U$1201,"&lt;"&amp;U952)+1)</f>
        <v/>
      </c>
    </row>
    <row r="953" customFormat="false" ht="15" hidden="false" customHeight="false" outlineLevel="0" collapsed="false">
      <c r="A953" s="0" t="n">
        <v>16</v>
      </c>
      <c r="B953" s="0" t="n">
        <v>52</v>
      </c>
      <c r="C953" s="0" t="str">
        <f aca="false">TRIM(SUBSTITUTE(INDEX(LISTAS!$A$4:$T$63,B953,A953)&amp;"",CHAR(160)," "))</f>
        <v/>
      </c>
      <c r="D953" s="0" t="str">
        <f aca="false">IF(C953="","",TRIM(RIGHT(SUBSTITUTE(C953," ",REPT(" ",100)),100)))</f>
        <v/>
      </c>
      <c r="E953" s="0" t="str">
        <f aca="false">IF(D953="","",UPPER(SUBSTITUTE(SUBSTITUTE(D953,"(",""),")","")))</f>
        <v/>
      </c>
      <c r="F953" s="0" t="str">
        <f aca="false">IF(C953="","",LEFT(C953,FIND(" ",C953&amp;" ")-1))</f>
        <v/>
      </c>
      <c r="G953" s="0" t="n">
        <f aca="false">IFERROR(VALUE(SUBSTITUTE(LOWER(F953),"x","")),0)</f>
        <v>0</v>
      </c>
      <c r="H953" s="0" t="str">
        <f aca="false">IF(C953="","",TRIM(MID(C953,LEN(F953)+2,999)))</f>
        <v/>
      </c>
      <c r="I953" s="0" t="n">
        <f aca="false">IF(OR(C953="",LEFT(C953,2)="//"),0,IFERROR(IF(AND(G953&gt;0,G953=INT(G953),FIND("-",E953)&gt;1,NOT(EXACT(UPPER(LEFT(E953,1)),LOWER(LEFT(E953,1)))),ISNUMBER(VALUE(MID(E953,FIND("-",E953)+1,10)))),1,0),0))</f>
        <v>0</v>
      </c>
      <c r="J953" s="0" t="str">
        <f aca="false">IF(I953=1,TRIM(LEFT(H953,MAX(0,LEN(H953)-LEN(D953)))),"")</f>
        <v/>
      </c>
      <c r="K953" s="0" t="str">
        <f aca="false">INDEX($P$2:$P$21,A953)</f>
        <v>Deck 16</v>
      </c>
      <c r="L953" s="0" t="n">
        <f aca="false">IF(AND(C953&lt;&gt;"",LEFT(C953,2)&lt;&gt;"//",I953=0),1,0)</f>
        <v>0</v>
      </c>
      <c r="M953" s="0" t="str">
        <f aca="false">IF(I953=1,MAX(M$1:M952)+1,"")</f>
        <v/>
      </c>
      <c r="N953" s="0" t="str">
        <f aca="false">IFERROR(MATCH(ROW()-1,$V$2:$V$1201,0),"")</f>
        <v/>
      </c>
      <c r="R953" s="0" t="str">
        <f aca="false">IF(E953="","",IFERROR(LEFT(E953,FIND("-",E953)-1),E953))</f>
        <v/>
      </c>
      <c r="S953" s="0" t="str">
        <f aca="false">IF(R953="","",IF(ISNUMBER(--MID(R953,1,1)),0,IF(ISNUMBER(--MID(R953,2,1)),1,IF(ISNUMBER(--MID(R953,3,1)),2,IF(ISNUMBER(--MID(R953,4,1)),3,MIN(LEN(R953),4))))))</f>
        <v/>
      </c>
      <c r="T953" s="0" t="str">
        <f aca="false">IF(E953="","",LEFT(R953,S953)&amp;REPT("0",4-S953)&amp;RIGHT("000"&amp;IFERROR(VALUE(MID(R953,S953+1,9)),0),3)&amp;RIGHT("0000"&amp;IFERROR(VALUE(MID(E953,FIND("-",E953)+1,9)),0),4))</f>
        <v/>
      </c>
      <c r="U953" s="0" t="str">
        <f aca="false">IF(I953=1,"K"&amp;RIGHT("00"&amp;A953,2)&amp;T953&amp;RIGHT("00000"&amp;ROW(),5),"")</f>
        <v/>
      </c>
      <c r="V953" s="0" t="str">
        <f aca="false">IF(U953="","",COUNTIFS($I$2:$I$1201,1,$U$2:$U$1201,"&lt;"&amp;U953)+1)</f>
        <v/>
      </c>
    </row>
    <row r="954" customFormat="false" ht="15" hidden="false" customHeight="false" outlineLevel="0" collapsed="false">
      <c r="A954" s="0" t="n">
        <v>16</v>
      </c>
      <c r="B954" s="0" t="n">
        <v>53</v>
      </c>
      <c r="C954" s="0" t="str">
        <f aca="false">TRIM(SUBSTITUTE(INDEX(LISTAS!$A$4:$T$63,B954,A954)&amp;"",CHAR(160)," "))</f>
        <v/>
      </c>
      <c r="D954" s="0" t="str">
        <f aca="false">IF(C954="","",TRIM(RIGHT(SUBSTITUTE(C954," ",REPT(" ",100)),100)))</f>
        <v/>
      </c>
      <c r="E954" s="0" t="str">
        <f aca="false">IF(D954="","",UPPER(SUBSTITUTE(SUBSTITUTE(D954,"(",""),")","")))</f>
        <v/>
      </c>
      <c r="F954" s="0" t="str">
        <f aca="false">IF(C954="","",LEFT(C954,FIND(" ",C954&amp;" ")-1))</f>
        <v/>
      </c>
      <c r="G954" s="0" t="n">
        <f aca="false">IFERROR(VALUE(SUBSTITUTE(LOWER(F954),"x","")),0)</f>
        <v>0</v>
      </c>
      <c r="H954" s="0" t="str">
        <f aca="false">IF(C954="","",TRIM(MID(C954,LEN(F954)+2,999)))</f>
        <v/>
      </c>
      <c r="I954" s="0" t="n">
        <f aca="false">IF(OR(C954="",LEFT(C954,2)="//"),0,IFERROR(IF(AND(G954&gt;0,G954=INT(G954),FIND("-",E954)&gt;1,NOT(EXACT(UPPER(LEFT(E954,1)),LOWER(LEFT(E954,1)))),ISNUMBER(VALUE(MID(E954,FIND("-",E954)+1,10)))),1,0),0))</f>
        <v>0</v>
      </c>
      <c r="J954" s="0" t="str">
        <f aca="false">IF(I954=1,TRIM(LEFT(H954,MAX(0,LEN(H954)-LEN(D954)))),"")</f>
        <v/>
      </c>
      <c r="K954" s="0" t="str">
        <f aca="false">INDEX($P$2:$P$21,A954)</f>
        <v>Deck 16</v>
      </c>
      <c r="L954" s="0" t="n">
        <f aca="false">IF(AND(C954&lt;&gt;"",LEFT(C954,2)&lt;&gt;"//",I954=0),1,0)</f>
        <v>0</v>
      </c>
      <c r="M954" s="0" t="str">
        <f aca="false">IF(I954=1,MAX(M$1:M953)+1,"")</f>
        <v/>
      </c>
      <c r="N954" s="0" t="str">
        <f aca="false">IFERROR(MATCH(ROW()-1,$V$2:$V$1201,0),"")</f>
        <v/>
      </c>
      <c r="R954" s="0" t="str">
        <f aca="false">IF(E954="","",IFERROR(LEFT(E954,FIND("-",E954)-1),E954))</f>
        <v/>
      </c>
      <c r="S954" s="0" t="str">
        <f aca="false">IF(R954="","",IF(ISNUMBER(--MID(R954,1,1)),0,IF(ISNUMBER(--MID(R954,2,1)),1,IF(ISNUMBER(--MID(R954,3,1)),2,IF(ISNUMBER(--MID(R954,4,1)),3,MIN(LEN(R954),4))))))</f>
        <v/>
      </c>
      <c r="T954" s="0" t="str">
        <f aca="false">IF(E954="","",LEFT(R954,S954)&amp;REPT("0",4-S954)&amp;RIGHT("000"&amp;IFERROR(VALUE(MID(R954,S954+1,9)),0),3)&amp;RIGHT("0000"&amp;IFERROR(VALUE(MID(E954,FIND("-",E954)+1,9)),0),4))</f>
        <v/>
      </c>
      <c r="U954" s="0" t="str">
        <f aca="false">IF(I954=1,"K"&amp;RIGHT("00"&amp;A954,2)&amp;T954&amp;RIGHT("00000"&amp;ROW(),5),"")</f>
        <v/>
      </c>
      <c r="V954" s="0" t="str">
        <f aca="false">IF(U954="","",COUNTIFS($I$2:$I$1201,1,$U$2:$U$1201,"&lt;"&amp;U954)+1)</f>
        <v/>
      </c>
    </row>
    <row r="955" customFormat="false" ht="15" hidden="false" customHeight="false" outlineLevel="0" collapsed="false">
      <c r="A955" s="0" t="n">
        <v>16</v>
      </c>
      <c r="B955" s="0" t="n">
        <v>54</v>
      </c>
      <c r="C955" s="0" t="str">
        <f aca="false">TRIM(SUBSTITUTE(INDEX(LISTAS!$A$4:$T$63,B955,A955)&amp;"",CHAR(160)," "))</f>
        <v/>
      </c>
      <c r="D955" s="0" t="str">
        <f aca="false">IF(C955="","",TRIM(RIGHT(SUBSTITUTE(C955," ",REPT(" ",100)),100)))</f>
        <v/>
      </c>
      <c r="E955" s="0" t="str">
        <f aca="false">IF(D955="","",UPPER(SUBSTITUTE(SUBSTITUTE(D955,"(",""),")","")))</f>
        <v/>
      </c>
      <c r="F955" s="0" t="str">
        <f aca="false">IF(C955="","",LEFT(C955,FIND(" ",C955&amp;" ")-1))</f>
        <v/>
      </c>
      <c r="G955" s="0" t="n">
        <f aca="false">IFERROR(VALUE(SUBSTITUTE(LOWER(F955),"x","")),0)</f>
        <v>0</v>
      </c>
      <c r="H955" s="0" t="str">
        <f aca="false">IF(C955="","",TRIM(MID(C955,LEN(F955)+2,999)))</f>
        <v/>
      </c>
      <c r="I955" s="0" t="n">
        <f aca="false">IF(OR(C955="",LEFT(C955,2)="//"),0,IFERROR(IF(AND(G955&gt;0,G955=INT(G955),FIND("-",E955)&gt;1,NOT(EXACT(UPPER(LEFT(E955,1)),LOWER(LEFT(E955,1)))),ISNUMBER(VALUE(MID(E955,FIND("-",E955)+1,10)))),1,0),0))</f>
        <v>0</v>
      </c>
      <c r="J955" s="0" t="str">
        <f aca="false">IF(I955=1,TRIM(LEFT(H955,MAX(0,LEN(H955)-LEN(D955)))),"")</f>
        <v/>
      </c>
      <c r="K955" s="0" t="str">
        <f aca="false">INDEX($P$2:$P$21,A955)</f>
        <v>Deck 16</v>
      </c>
      <c r="L955" s="0" t="n">
        <f aca="false">IF(AND(C955&lt;&gt;"",LEFT(C955,2)&lt;&gt;"//",I955=0),1,0)</f>
        <v>0</v>
      </c>
      <c r="M955" s="0" t="str">
        <f aca="false">IF(I955=1,MAX(M$1:M954)+1,"")</f>
        <v/>
      </c>
      <c r="N955" s="0" t="str">
        <f aca="false">IFERROR(MATCH(ROW()-1,$V$2:$V$1201,0),"")</f>
        <v/>
      </c>
      <c r="R955" s="0" t="str">
        <f aca="false">IF(E955="","",IFERROR(LEFT(E955,FIND("-",E955)-1),E955))</f>
        <v/>
      </c>
      <c r="S955" s="0" t="str">
        <f aca="false">IF(R955="","",IF(ISNUMBER(--MID(R955,1,1)),0,IF(ISNUMBER(--MID(R955,2,1)),1,IF(ISNUMBER(--MID(R955,3,1)),2,IF(ISNUMBER(--MID(R955,4,1)),3,MIN(LEN(R955),4))))))</f>
        <v/>
      </c>
      <c r="T955" s="0" t="str">
        <f aca="false">IF(E955="","",LEFT(R955,S955)&amp;REPT("0",4-S955)&amp;RIGHT("000"&amp;IFERROR(VALUE(MID(R955,S955+1,9)),0),3)&amp;RIGHT("0000"&amp;IFERROR(VALUE(MID(E955,FIND("-",E955)+1,9)),0),4))</f>
        <v/>
      </c>
      <c r="U955" s="0" t="str">
        <f aca="false">IF(I955=1,"K"&amp;RIGHT("00"&amp;A955,2)&amp;T955&amp;RIGHT("00000"&amp;ROW(),5),"")</f>
        <v/>
      </c>
      <c r="V955" s="0" t="str">
        <f aca="false">IF(U955="","",COUNTIFS($I$2:$I$1201,1,$U$2:$U$1201,"&lt;"&amp;U955)+1)</f>
        <v/>
      </c>
    </row>
    <row r="956" customFormat="false" ht="15" hidden="false" customHeight="false" outlineLevel="0" collapsed="false">
      <c r="A956" s="0" t="n">
        <v>16</v>
      </c>
      <c r="B956" s="0" t="n">
        <v>55</v>
      </c>
      <c r="C956" s="0" t="str">
        <f aca="false">TRIM(SUBSTITUTE(INDEX(LISTAS!$A$4:$T$63,B956,A956)&amp;"",CHAR(160)," "))</f>
        <v/>
      </c>
      <c r="D956" s="0" t="str">
        <f aca="false">IF(C956="","",TRIM(RIGHT(SUBSTITUTE(C956," ",REPT(" ",100)),100)))</f>
        <v/>
      </c>
      <c r="E956" s="0" t="str">
        <f aca="false">IF(D956="","",UPPER(SUBSTITUTE(SUBSTITUTE(D956,"(",""),")","")))</f>
        <v/>
      </c>
      <c r="F956" s="0" t="str">
        <f aca="false">IF(C956="","",LEFT(C956,FIND(" ",C956&amp;" ")-1))</f>
        <v/>
      </c>
      <c r="G956" s="0" t="n">
        <f aca="false">IFERROR(VALUE(SUBSTITUTE(LOWER(F956),"x","")),0)</f>
        <v>0</v>
      </c>
      <c r="H956" s="0" t="str">
        <f aca="false">IF(C956="","",TRIM(MID(C956,LEN(F956)+2,999)))</f>
        <v/>
      </c>
      <c r="I956" s="0" t="n">
        <f aca="false">IF(OR(C956="",LEFT(C956,2)="//"),0,IFERROR(IF(AND(G956&gt;0,G956=INT(G956),FIND("-",E956)&gt;1,NOT(EXACT(UPPER(LEFT(E956,1)),LOWER(LEFT(E956,1)))),ISNUMBER(VALUE(MID(E956,FIND("-",E956)+1,10)))),1,0),0))</f>
        <v>0</v>
      </c>
      <c r="J956" s="0" t="str">
        <f aca="false">IF(I956=1,TRIM(LEFT(H956,MAX(0,LEN(H956)-LEN(D956)))),"")</f>
        <v/>
      </c>
      <c r="K956" s="0" t="str">
        <f aca="false">INDEX($P$2:$P$21,A956)</f>
        <v>Deck 16</v>
      </c>
      <c r="L956" s="0" t="n">
        <f aca="false">IF(AND(C956&lt;&gt;"",LEFT(C956,2)&lt;&gt;"//",I956=0),1,0)</f>
        <v>0</v>
      </c>
      <c r="M956" s="0" t="str">
        <f aca="false">IF(I956=1,MAX(M$1:M955)+1,"")</f>
        <v/>
      </c>
      <c r="N956" s="0" t="str">
        <f aca="false">IFERROR(MATCH(ROW()-1,$V$2:$V$1201,0),"")</f>
        <v/>
      </c>
      <c r="R956" s="0" t="str">
        <f aca="false">IF(E956="","",IFERROR(LEFT(E956,FIND("-",E956)-1),E956))</f>
        <v/>
      </c>
      <c r="S956" s="0" t="str">
        <f aca="false">IF(R956="","",IF(ISNUMBER(--MID(R956,1,1)),0,IF(ISNUMBER(--MID(R956,2,1)),1,IF(ISNUMBER(--MID(R956,3,1)),2,IF(ISNUMBER(--MID(R956,4,1)),3,MIN(LEN(R956),4))))))</f>
        <v/>
      </c>
      <c r="T956" s="0" t="str">
        <f aca="false">IF(E956="","",LEFT(R956,S956)&amp;REPT("0",4-S956)&amp;RIGHT("000"&amp;IFERROR(VALUE(MID(R956,S956+1,9)),0),3)&amp;RIGHT("0000"&amp;IFERROR(VALUE(MID(E956,FIND("-",E956)+1,9)),0),4))</f>
        <v/>
      </c>
      <c r="U956" s="0" t="str">
        <f aca="false">IF(I956=1,"K"&amp;RIGHT("00"&amp;A956,2)&amp;T956&amp;RIGHT("00000"&amp;ROW(),5),"")</f>
        <v/>
      </c>
      <c r="V956" s="0" t="str">
        <f aca="false">IF(U956="","",COUNTIFS($I$2:$I$1201,1,$U$2:$U$1201,"&lt;"&amp;U956)+1)</f>
        <v/>
      </c>
    </row>
    <row r="957" customFormat="false" ht="15" hidden="false" customHeight="false" outlineLevel="0" collapsed="false">
      <c r="A957" s="0" t="n">
        <v>16</v>
      </c>
      <c r="B957" s="0" t="n">
        <v>56</v>
      </c>
      <c r="C957" s="0" t="str">
        <f aca="false">TRIM(SUBSTITUTE(INDEX(LISTAS!$A$4:$T$63,B957,A957)&amp;"",CHAR(160)," "))</f>
        <v/>
      </c>
      <c r="D957" s="0" t="str">
        <f aca="false">IF(C957="","",TRIM(RIGHT(SUBSTITUTE(C957," ",REPT(" ",100)),100)))</f>
        <v/>
      </c>
      <c r="E957" s="0" t="str">
        <f aca="false">IF(D957="","",UPPER(SUBSTITUTE(SUBSTITUTE(D957,"(",""),")","")))</f>
        <v/>
      </c>
      <c r="F957" s="0" t="str">
        <f aca="false">IF(C957="","",LEFT(C957,FIND(" ",C957&amp;" ")-1))</f>
        <v/>
      </c>
      <c r="G957" s="0" t="n">
        <f aca="false">IFERROR(VALUE(SUBSTITUTE(LOWER(F957),"x","")),0)</f>
        <v>0</v>
      </c>
      <c r="H957" s="0" t="str">
        <f aca="false">IF(C957="","",TRIM(MID(C957,LEN(F957)+2,999)))</f>
        <v/>
      </c>
      <c r="I957" s="0" t="n">
        <f aca="false">IF(OR(C957="",LEFT(C957,2)="//"),0,IFERROR(IF(AND(G957&gt;0,G957=INT(G957),FIND("-",E957)&gt;1,NOT(EXACT(UPPER(LEFT(E957,1)),LOWER(LEFT(E957,1)))),ISNUMBER(VALUE(MID(E957,FIND("-",E957)+1,10)))),1,0),0))</f>
        <v>0</v>
      </c>
      <c r="J957" s="0" t="str">
        <f aca="false">IF(I957=1,TRIM(LEFT(H957,MAX(0,LEN(H957)-LEN(D957)))),"")</f>
        <v/>
      </c>
      <c r="K957" s="0" t="str">
        <f aca="false">INDEX($P$2:$P$21,A957)</f>
        <v>Deck 16</v>
      </c>
      <c r="L957" s="0" t="n">
        <f aca="false">IF(AND(C957&lt;&gt;"",LEFT(C957,2)&lt;&gt;"//",I957=0),1,0)</f>
        <v>0</v>
      </c>
      <c r="M957" s="0" t="str">
        <f aca="false">IF(I957=1,MAX(M$1:M956)+1,"")</f>
        <v/>
      </c>
      <c r="N957" s="0" t="str">
        <f aca="false">IFERROR(MATCH(ROW()-1,$V$2:$V$1201,0),"")</f>
        <v/>
      </c>
      <c r="R957" s="0" t="str">
        <f aca="false">IF(E957="","",IFERROR(LEFT(E957,FIND("-",E957)-1),E957))</f>
        <v/>
      </c>
      <c r="S957" s="0" t="str">
        <f aca="false">IF(R957="","",IF(ISNUMBER(--MID(R957,1,1)),0,IF(ISNUMBER(--MID(R957,2,1)),1,IF(ISNUMBER(--MID(R957,3,1)),2,IF(ISNUMBER(--MID(R957,4,1)),3,MIN(LEN(R957),4))))))</f>
        <v/>
      </c>
      <c r="T957" s="0" t="str">
        <f aca="false">IF(E957="","",LEFT(R957,S957)&amp;REPT("0",4-S957)&amp;RIGHT("000"&amp;IFERROR(VALUE(MID(R957,S957+1,9)),0),3)&amp;RIGHT("0000"&amp;IFERROR(VALUE(MID(E957,FIND("-",E957)+1,9)),0),4))</f>
        <v/>
      </c>
      <c r="U957" s="0" t="str">
        <f aca="false">IF(I957=1,"K"&amp;RIGHT("00"&amp;A957,2)&amp;T957&amp;RIGHT("00000"&amp;ROW(),5),"")</f>
        <v/>
      </c>
      <c r="V957" s="0" t="str">
        <f aca="false">IF(U957="","",COUNTIFS($I$2:$I$1201,1,$U$2:$U$1201,"&lt;"&amp;U957)+1)</f>
        <v/>
      </c>
    </row>
    <row r="958" customFormat="false" ht="15" hidden="false" customHeight="false" outlineLevel="0" collapsed="false">
      <c r="A958" s="0" t="n">
        <v>16</v>
      </c>
      <c r="B958" s="0" t="n">
        <v>57</v>
      </c>
      <c r="C958" s="0" t="str">
        <f aca="false">TRIM(SUBSTITUTE(INDEX(LISTAS!$A$4:$T$63,B958,A958)&amp;"",CHAR(160)," "))</f>
        <v/>
      </c>
      <c r="D958" s="0" t="str">
        <f aca="false">IF(C958="","",TRIM(RIGHT(SUBSTITUTE(C958," ",REPT(" ",100)),100)))</f>
        <v/>
      </c>
      <c r="E958" s="0" t="str">
        <f aca="false">IF(D958="","",UPPER(SUBSTITUTE(SUBSTITUTE(D958,"(",""),")","")))</f>
        <v/>
      </c>
      <c r="F958" s="0" t="str">
        <f aca="false">IF(C958="","",LEFT(C958,FIND(" ",C958&amp;" ")-1))</f>
        <v/>
      </c>
      <c r="G958" s="0" t="n">
        <f aca="false">IFERROR(VALUE(SUBSTITUTE(LOWER(F958),"x","")),0)</f>
        <v>0</v>
      </c>
      <c r="H958" s="0" t="str">
        <f aca="false">IF(C958="","",TRIM(MID(C958,LEN(F958)+2,999)))</f>
        <v/>
      </c>
      <c r="I958" s="0" t="n">
        <f aca="false">IF(OR(C958="",LEFT(C958,2)="//"),0,IFERROR(IF(AND(G958&gt;0,G958=INT(G958),FIND("-",E958)&gt;1,NOT(EXACT(UPPER(LEFT(E958,1)),LOWER(LEFT(E958,1)))),ISNUMBER(VALUE(MID(E958,FIND("-",E958)+1,10)))),1,0),0))</f>
        <v>0</v>
      </c>
      <c r="J958" s="0" t="str">
        <f aca="false">IF(I958=1,TRIM(LEFT(H958,MAX(0,LEN(H958)-LEN(D958)))),"")</f>
        <v/>
      </c>
      <c r="K958" s="0" t="str">
        <f aca="false">INDEX($P$2:$P$21,A958)</f>
        <v>Deck 16</v>
      </c>
      <c r="L958" s="0" t="n">
        <f aca="false">IF(AND(C958&lt;&gt;"",LEFT(C958,2)&lt;&gt;"//",I958=0),1,0)</f>
        <v>0</v>
      </c>
      <c r="M958" s="0" t="str">
        <f aca="false">IF(I958=1,MAX(M$1:M957)+1,"")</f>
        <v/>
      </c>
      <c r="N958" s="0" t="str">
        <f aca="false">IFERROR(MATCH(ROW()-1,$V$2:$V$1201,0),"")</f>
        <v/>
      </c>
      <c r="R958" s="0" t="str">
        <f aca="false">IF(E958="","",IFERROR(LEFT(E958,FIND("-",E958)-1),E958))</f>
        <v/>
      </c>
      <c r="S958" s="0" t="str">
        <f aca="false">IF(R958="","",IF(ISNUMBER(--MID(R958,1,1)),0,IF(ISNUMBER(--MID(R958,2,1)),1,IF(ISNUMBER(--MID(R958,3,1)),2,IF(ISNUMBER(--MID(R958,4,1)),3,MIN(LEN(R958),4))))))</f>
        <v/>
      </c>
      <c r="T958" s="0" t="str">
        <f aca="false">IF(E958="","",LEFT(R958,S958)&amp;REPT("0",4-S958)&amp;RIGHT("000"&amp;IFERROR(VALUE(MID(R958,S958+1,9)),0),3)&amp;RIGHT("0000"&amp;IFERROR(VALUE(MID(E958,FIND("-",E958)+1,9)),0),4))</f>
        <v/>
      </c>
      <c r="U958" s="0" t="str">
        <f aca="false">IF(I958=1,"K"&amp;RIGHT("00"&amp;A958,2)&amp;T958&amp;RIGHT("00000"&amp;ROW(),5),"")</f>
        <v/>
      </c>
      <c r="V958" s="0" t="str">
        <f aca="false">IF(U958="","",COUNTIFS($I$2:$I$1201,1,$U$2:$U$1201,"&lt;"&amp;U958)+1)</f>
        <v/>
      </c>
    </row>
    <row r="959" customFormat="false" ht="15" hidden="false" customHeight="false" outlineLevel="0" collapsed="false">
      <c r="A959" s="0" t="n">
        <v>16</v>
      </c>
      <c r="B959" s="0" t="n">
        <v>58</v>
      </c>
      <c r="C959" s="0" t="str">
        <f aca="false">TRIM(SUBSTITUTE(INDEX(LISTAS!$A$4:$T$63,B959,A959)&amp;"",CHAR(160)," "))</f>
        <v/>
      </c>
      <c r="D959" s="0" t="str">
        <f aca="false">IF(C959="","",TRIM(RIGHT(SUBSTITUTE(C959," ",REPT(" ",100)),100)))</f>
        <v/>
      </c>
      <c r="E959" s="0" t="str">
        <f aca="false">IF(D959="","",UPPER(SUBSTITUTE(SUBSTITUTE(D959,"(",""),")","")))</f>
        <v/>
      </c>
      <c r="F959" s="0" t="str">
        <f aca="false">IF(C959="","",LEFT(C959,FIND(" ",C959&amp;" ")-1))</f>
        <v/>
      </c>
      <c r="G959" s="0" t="n">
        <f aca="false">IFERROR(VALUE(SUBSTITUTE(LOWER(F959),"x","")),0)</f>
        <v>0</v>
      </c>
      <c r="H959" s="0" t="str">
        <f aca="false">IF(C959="","",TRIM(MID(C959,LEN(F959)+2,999)))</f>
        <v/>
      </c>
      <c r="I959" s="0" t="n">
        <f aca="false">IF(OR(C959="",LEFT(C959,2)="//"),0,IFERROR(IF(AND(G959&gt;0,G959=INT(G959),FIND("-",E959)&gt;1,NOT(EXACT(UPPER(LEFT(E959,1)),LOWER(LEFT(E959,1)))),ISNUMBER(VALUE(MID(E959,FIND("-",E959)+1,10)))),1,0),0))</f>
        <v>0</v>
      </c>
      <c r="J959" s="0" t="str">
        <f aca="false">IF(I959=1,TRIM(LEFT(H959,MAX(0,LEN(H959)-LEN(D959)))),"")</f>
        <v/>
      </c>
      <c r="K959" s="0" t="str">
        <f aca="false">INDEX($P$2:$P$21,A959)</f>
        <v>Deck 16</v>
      </c>
      <c r="L959" s="0" t="n">
        <f aca="false">IF(AND(C959&lt;&gt;"",LEFT(C959,2)&lt;&gt;"//",I959=0),1,0)</f>
        <v>0</v>
      </c>
      <c r="M959" s="0" t="str">
        <f aca="false">IF(I959=1,MAX(M$1:M958)+1,"")</f>
        <v/>
      </c>
      <c r="N959" s="0" t="str">
        <f aca="false">IFERROR(MATCH(ROW()-1,$V$2:$V$1201,0),"")</f>
        <v/>
      </c>
      <c r="R959" s="0" t="str">
        <f aca="false">IF(E959="","",IFERROR(LEFT(E959,FIND("-",E959)-1),E959))</f>
        <v/>
      </c>
      <c r="S959" s="0" t="str">
        <f aca="false">IF(R959="","",IF(ISNUMBER(--MID(R959,1,1)),0,IF(ISNUMBER(--MID(R959,2,1)),1,IF(ISNUMBER(--MID(R959,3,1)),2,IF(ISNUMBER(--MID(R959,4,1)),3,MIN(LEN(R959),4))))))</f>
        <v/>
      </c>
      <c r="T959" s="0" t="str">
        <f aca="false">IF(E959="","",LEFT(R959,S959)&amp;REPT("0",4-S959)&amp;RIGHT("000"&amp;IFERROR(VALUE(MID(R959,S959+1,9)),0),3)&amp;RIGHT("0000"&amp;IFERROR(VALUE(MID(E959,FIND("-",E959)+1,9)),0),4))</f>
        <v/>
      </c>
      <c r="U959" s="0" t="str">
        <f aca="false">IF(I959=1,"K"&amp;RIGHT("00"&amp;A959,2)&amp;T959&amp;RIGHT("00000"&amp;ROW(),5),"")</f>
        <v/>
      </c>
      <c r="V959" s="0" t="str">
        <f aca="false">IF(U959="","",COUNTIFS($I$2:$I$1201,1,$U$2:$U$1201,"&lt;"&amp;U959)+1)</f>
        <v/>
      </c>
    </row>
    <row r="960" customFormat="false" ht="15" hidden="false" customHeight="false" outlineLevel="0" collapsed="false">
      <c r="A960" s="0" t="n">
        <v>16</v>
      </c>
      <c r="B960" s="0" t="n">
        <v>59</v>
      </c>
      <c r="C960" s="0" t="str">
        <f aca="false">TRIM(SUBSTITUTE(INDEX(LISTAS!$A$4:$T$63,B960,A960)&amp;"",CHAR(160)," "))</f>
        <v/>
      </c>
      <c r="D960" s="0" t="str">
        <f aca="false">IF(C960="","",TRIM(RIGHT(SUBSTITUTE(C960," ",REPT(" ",100)),100)))</f>
        <v/>
      </c>
      <c r="E960" s="0" t="str">
        <f aca="false">IF(D960="","",UPPER(SUBSTITUTE(SUBSTITUTE(D960,"(",""),")","")))</f>
        <v/>
      </c>
      <c r="F960" s="0" t="str">
        <f aca="false">IF(C960="","",LEFT(C960,FIND(" ",C960&amp;" ")-1))</f>
        <v/>
      </c>
      <c r="G960" s="0" t="n">
        <f aca="false">IFERROR(VALUE(SUBSTITUTE(LOWER(F960),"x","")),0)</f>
        <v>0</v>
      </c>
      <c r="H960" s="0" t="str">
        <f aca="false">IF(C960="","",TRIM(MID(C960,LEN(F960)+2,999)))</f>
        <v/>
      </c>
      <c r="I960" s="0" t="n">
        <f aca="false">IF(OR(C960="",LEFT(C960,2)="//"),0,IFERROR(IF(AND(G960&gt;0,G960=INT(G960),FIND("-",E960)&gt;1,NOT(EXACT(UPPER(LEFT(E960,1)),LOWER(LEFT(E960,1)))),ISNUMBER(VALUE(MID(E960,FIND("-",E960)+1,10)))),1,0),0))</f>
        <v>0</v>
      </c>
      <c r="J960" s="0" t="str">
        <f aca="false">IF(I960=1,TRIM(LEFT(H960,MAX(0,LEN(H960)-LEN(D960)))),"")</f>
        <v/>
      </c>
      <c r="K960" s="0" t="str">
        <f aca="false">INDEX($P$2:$P$21,A960)</f>
        <v>Deck 16</v>
      </c>
      <c r="L960" s="0" t="n">
        <f aca="false">IF(AND(C960&lt;&gt;"",LEFT(C960,2)&lt;&gt;"//",I960=0),1,0)</f>
        <v>0</v>
      </c>
      <c r="M960" s="0" t="str">
        <f aca="false">IF(I960=1,MAX(M$1:M959)+1,"")</f>
        <v/>
      </c>
      <c r="N960" s="0" t="str">
        <f aca="false">IFERROR(MATCH(ROW()-1,$V$2:$V$1201,0),"")</f>
        <v/>
      </c>
      <c r="R960" s="0" t="str">
        <f aca="false">IF(E960="","",IFERROR(LEFT(E960,FIND("-",E960)-1),E960))</f>
        <v/>
      </c>
      <c r="S960" s="0" t="str">
        <f aca="false">IF(R960="","",IF(ISNUMBER(--MID(R960,1,1)),0,IF(ISNUMBER(--MID(R960,2,1)),1,IF(ISNUMBER(--MID(R960,3,1)),2,IF(ISNUMBER(--MID(R960,4,1)),3,MIN(LEN(R960),4))))))</f>
        <v/>
      </c>
      <c r="T960" s="0" t="str">
        <f aca="false">IF(E960="","",LEFT(R960,S960)&amp;REPT("0",4-S960)&amp;RIGHT("000"&amp;IFERROR(VALUE(MID(R960,S960+1,9)),0),3)&amp;RIGHT("0000"&amp;IFERROR(VALUE(MID(E960,FIND("-",E960)+1,9)),0),4))</f>
        <v/>
      </c>
      <c r="U960" s="0" t="str">
        <f aca="false">IF(I960=1,"K"&amp;RIGHT("00"&amp;A960,2)&amp;T960&amp;RIGHT("00000"&amp;ROW(),5),"")</f>
        <v/>
      </c>
      <c r="V960" s="0" t="str">
        <f aca="false">IF(U960="","",COUNTIFS($I$2:$I$1201,1,$U$2:$U$1201,"&lt;"&amp;U960)+1)</f>
        <v/>
      </c>
    </row>
    <row r="961" customFormat="false" ht="15" hidden="false" customHeight="false" outlineLevel="0" collapsed="false">
      <c r="A961" s="0" t="n">
        <v>16</v>
      </c>
      <c r="B961" s="0" t="n">
        <v>60</v>
      </c>
      <c r="C961" s="0" t="str">
        <f aca="false">TRIM(SUBSTITUTE(INDEX(LISTAS!$A$4:$T$63,B961,A961)&amp;"",CHAR(160)," "))</f>
        <v/>
      </c>
      <c r="D961" s="0" t="str">
        <f aca="false">IF(C961="","",TRIM(RIGHT(SUBSTITUTE(C961," ",REPT(" ",100)),100)))</f>
        <v/>
      </c>
      <c r="E961" s="0" t="str">
        <f aca="false">IF(D961="","",UPPER(SUBSTITUTE(SUBSTITUTE(D961,"(",""),")","")))</f>
        <v/>
      </c>
      <c r="F961" s="0" t="str">
        <f aca="false">IF(C961="","",LEFT(C961,FIND(" ",C961&amp;" ")-1))</f>
        <v/>
      </c>
      <c r="G961" s="0" t="n">
        <f aca="false">IFERROR(VALUE(SUBSTITUTE(LOWER(F961),"x","")),0)</f>
        <v>0</v>
      </c>
      <c r="H961" s="0" t="str">
        <f aca="false">IF(C961="","",TRIM(MID(C961,LEN(F961)+2,999)))</f>
        <v/>
      </c>
      <c r="I961" s="0" t="n">
        <f aca="false">IF(OR(C961="",LEFT(C961,2)="//"),0,IFERROR(IF(AND(G961&gt;0,G961=INT(G961),FIND("-",E961)&gt;1,NOT(EXACT(UPPER(LEFT(E961,1)),LOWER(LEFT(E961,1)))),ISNUMBER(VALUE(MID(E961,FIND("-",E961)+1,10)))),1,0),0))</f>
        <v>0</v>
      </c>
      <c r="J961" s="0" t="str">
        <f aca="false">IF(I961=1,TRIM(LEFT(H961,MAX(0,LEN(H961)-LEN(D961)))),"")</f>
        <v/>
      </c>
      <c r="K961" s="0" t="str">
        <f aca="false">INDEX($P$2:$P$21,A961)</f>
        <v>Deck 16</v>
      </c>
      <c r="L961" s="0" t="n">
        <f aca="false">IF(AND(C961&lt;&gt;"",LEFT(C961,2)&lt;&gt;"//",I961=0),1,0)</f>
        <v>0</v>
      </c>
      <c r="M961" s="0" t="str">
        <f aca="false">IF(I961=1,MAX(M$1:M960)+1,"")</f>
        <v/>
      </c>
      <c r="N961" s="0" t="str">
        <f aca="false">IFERROR(MATCH(ROW()-1,$V$2:$V$1201,0),"")</f>
        <v/>
      </c>
      <c r="R961" s="0" t="str">
        <f aca="false">IF(E961="","",IFERROR(LEFT(E961,FIND("-",E961)-1),E961))</f>
        <v/>
      </c>
      <c r="S961" s="0" t="str">
        <f aca="false">IF(R961="","",IF(ISNUMBER(--MID(R961,1,1)),0,IF(ISNUMBER(--MID(R961,2,1)),1,IF(ISNUMBER(--MID(R961,3,1)),2,IF(ISNUMBER(--MID(R961,4,1)),3,MIN(LEN(R961),4))))))</f>
        <v/>
      </c>
      <c r="T961" s="0" t="str">
        <f aca="false">IF(E961="","",LEFT(R961,S961)&amp;REPT("0",4-S961)&amp;RIGHT("000"&amp;IFERROR(VALUE(MID(R961,S961+1,9)),0),3)&amp;RIGHT("0000"&amp;IFERROR(VALUE(MID(E961,FIND("-",E961)+1,9)),0),4))</f>
        <v/>
      </c>
      <c r="U961" s="0" t="str">
        <f aca="false">IF(I961=1,"K"&amp;RIGHT("00"&amp;A961,2)&amp;T961&amp;RIGHT("00000"&amp;ROW(),5),"")</f>
        <v/>
      </c>
      <c r="V961" s="0" t="str">
        <f aca="false">IF(U961="","",COUNTIFS($I$2:$I$1201,1,$U$2:$U$1201,"&lt;"&amp;U961)+1)</f>
        <v/>
      </c>
    </row>
    <row r="962" customFormat="false" ht="15" hidden="false" customHeight="false" outlineLevel="0" collapsed="false">
      <c r="A962" s="0" t="n">
        <v>17</v>
      </c>
      <c r="B962" s="0" t="n">
        <v>1</v>
      </c>
      <c r="C962" s="0" t="str">
        <f aca="false">TRIM(SUBSTITUTE(INDEX(LISTAS!$A$4:$T$63,B962,A962)&amp;"",CHAR(160)," "))</f>
        <v/>
      </c>
      <c r="D962" s="0" t="str">
        <f aca="false">IF(C962="","",TRIM(RIGHT(SUBSTITUTE(C962," ",REPT(" ",100)),100)))</f>
        <v/>
      </c>
      <c r="E962" s="0" t="str">
        <f aca="false">IF(D962="","",UPPER(SUBSTITUTE(SUBSTITUTE(D962,"(",""),")","")))</f>
        <v/>
      </c>
      <c r="F962" s="0" t="str">
        <f aca="false">IF(C962="","",LEFT(C962,FIND(" ",C962&amp;" ")-1))</f>
        <v/>
      </c>
      <c r="G962" s="0" t="n">
        <f aca="false">IFERROR(VALUE(SUBSTITUTE(LOWER(F962),"x","")),0)</f>
        <v>0</v>
      </c>
      <c r="H962" s="0" t="str">
        <f aca="false">IF(C962="","",TRIM(MID(C962,LEN(F962)+2,999)))</f>
        <v/>
      </c>
      <c r="I962" s="0" t="n">
        <f aca="false">IF(OR(C962="",LEFT(C962,2)="//"),0,IFERROR(IF(AND(G962&gt;0,G962=INT(G962),FIND("-",E962)&gt;1,NOT(EXACT(UPPER(LEFT(E962,1)),LOWER(LEFT(E962,1)))),ISNUMBER(VALUE(MID(E962,FIND("-",E962)+1,10)))),1,0),0))</f>
        <v>0</v>
      </c>
      <c r="J962" s="0" t="str">
        <f aca="false">IF(I962=1,TRIM(LEFT(H962,MAX(0,LEN(H962)-LEN(D962)))),"")</f>
        <v/>
      </c>
      <c r="K962" s="0" t="str">
        <f aca="false">INDEX($P$2:$P$21,A962)</f>
        <v>Deck 17</v>
      </c>
      <c r="L962" s="0" t="n">
        <f aca="false">IF(AND(C962&lt;&gt;"",LEFT(C962,2)&lt;&gt;"//",I962=0),1,0)</f>
        <v>0</v>
      </c>
      <c r="M962" s="0" t="str">
        <f aca="false">IF(I962=1,MAX(M$1:M961)+1,"")</f>
        <v/>
      </c>
      <c r="N962" s="0" t="str">
        <f aca="false">IFERROR(MATCH(ROW()-1,$V$2:$V$1201,0),"")</f>
        <v/>
      </c>
      <c r="R962" s="0" t="str">
        <f aca="false">IF(E962="","",IFERROR(LEFT(E962,FIND("-",E962)-1),E962))</f>
        <v/>
      </c>
      <c r="S962" s="0" t="str">
        <f aca="false">IF(R962="","",IF(ISNUMBER(--MID(R962,1,1)),0,IF(ISNUMBER(--MID(R962,2,1)),1,IF(ISNUMBER(--MID(R962,3,1)),2,IF(ISNUMBER(--MID(R962,4,1)),3,MIN(LEN(R962),4))))))</f>
        <v/>
      </c>
      <c r="T962" s="0" t="str">
        <f aca="false">IF(E962="","",LEFT(R962,S962)&amp;REPT("0",4-S962)&amp;RIGHT("000"&amp;IFERROR(VALUE(MID(R962,S962+1,9)),0),3)&amp;RIGHT("0000"&amp;IFERROR(VALUE(MID(E962,FIND("-",E962)+1,9)),0),4))</f>
        <v/>
      </c>
      <c r="U962" s="0" t="str">
        <f aca="false">IF(I962=1,"K"&amp;RIGHT("00"&amp;A962,2)&amp;T962&amp;RIGHT("00000"&amp;ROW(),5),"")</f>
        <v/>
      </c>
      <c r="V962" s="0" t="str">
        <f aca="false">IF(U962="","",COUNTIFS($I$2:$I$1201,1,$U$2:$U$1201,"&lt;"&amp;U962)+1)</f>
        <v/>
      </c>
    </row>
    <row r="963" customFormat="false" ht="15" hidden="false" customHeight="false" outlineLevel="0" collapsed="false">
      <c r="A963" s="0" t="n">
        <v>17</v>
      </c>
      <c r="B963" s="0" t="n">
        <v>2</v>
      </c>
      <c r="C963" s="0" t="str">
        <f aca="false">TRIM(SUBSTITUTE(INDEX(LISTAS!$A$4:$T$63,B963,A963)&amp;"",CHAR(160)," "))</f>
        <v/>
      </c>
      <c r="D963" s="0" t="str">
        <f aca="false">IF(C963="","",TRIM(RIGHT(SUBSTITUTE(C963," ",REPT(" ",100)),100)))</f>
        <v/>
      </c>
      <c r="E963" s="0" t="str">
        <f aca="false">IF(D963="","",UPPER(SUBSTITUTE(SUBSTITUTE(D963,"(",""),")","")))</f>
        <v/>
      </c>
      <c r="F963" s="0" t="str">
        <f aca="false">IF(C963="","",LEFT(C963,FIND(" ",C963&amp;" ")-1))</f>
        <v/>
      </c>
      <c r="G963" s="0" t="n">
        <f aca="false">IFERROR(VALUE(SUBSTITUTE(LOWER(F963),"x","")),0)</f>
        <v>0</v>
      </c>
      <c r="H963" s="0" t="str">
        <f aca="false">IF(C963="","",TRIM(MID(C963,LEN(F963)+2,999)))</f>
        <v/>
      </c>
      <c r="I963" s="0" t="n">
        <f aca="false">IF(OR(C963="",LEFT(C963,2)="//"),0,IFERROR(IF(AND(G963&gt;0,G963=INT(G963),FIND("-",E963)&gt;1,NOT(EXACT(UPPER(LEFT(E963,1)),LOWER(LEFT(E963,1)))),ISNUMBER(VALUE(MID(E963,FIND("-",E963)+1,10)))),1,0),0))</f>
        <v>0</v>
      </c>
      <c r="J963" s="0" t="str">
        <f aca="false">IF(I963=1,TRIM(LEFT(H963,MAX(0,LEN(H963)-LEN(D963)))),"")</f>
        <v/>
      </c>
      <c r="K963" s="0" t="str">
        <f aca="false">INDEX($P$2:$P$21,A963)</f>
        <v>Deck 17</v>
      </c>
      <c r="L963" s="0" t="n">
        <f aca="false">IF(AND(C963&lt;&gt;"",LEFT(C963,2)&lt;&gt;"//",I963=0),1,0)</f>
        <v>0</v>
      </c>
      <c r="M963" s="0" t="str">
        <f aca="false">IF(I963=1,MAX(M$1:M962)+1,"")</f>
        <v/>
      </c>
      <c r="N963" s="0" t="str">
        <f aca="false">IFERROR(MATCH(ROW()-1,$V$2:$V$1201,0),"")</f>
        <v/>
      </c>
      <c r="R963" s="0" t="str">
        <f aca="false">IF(E963="","",IFERROR(LEFT(E963,FIND("-",E963)-1),E963))</f>
        <v/>
      </c>
      <c r="S963" s="0" t="str">
        <f aca="false">IF(R963="","",IF(ISNUMBER(--MID(R963,1,1)),0,IF(ISNUMBER(--MID(R963,2,1)),1,IF(ISNUMBER(--MID(R963,3,1)),2,IF(ISNUMBER(--MID(R963,4,1)),3,MIN(LEN(R963),4))))))</f>
        <v/>
      </c>
      <c r="T963" s="0" t="str">
        <f aca="false">IF(E963="","",LEFT(R963,S963)&amp;REPT("0",4-S963)&amp;RIGHT("000"&amp;IFERROR(VALUE(MID(R963,S963+1,9)),0),3)&amp;RIGHT("0000"&amp;IFERROR(VALUE(MID(E963,FIND("-",E963)+1,9)),0),4))</f>
        <v/>
      </c>
      <c r="U963" s="0" t="str">
        <f aca="false">IF(I963=1,"K"&amp;RIGHT("00"&amp;A963,2)&amp;T963&amp;RIGHT("00000"&amp;ROW(),5),"")</f>
        <v/>
      </c>
      <c r="V963" s="0" t="str">
        <f aca="false">IF(U963="","",COUNTIFS($I$2:$I$1201,1,$U$2:$U$1201,"&lt;"&amp;U963)+1)</f>
        <v/>
      </c>
    </row>
    <row r="964" customFormat="false" ht="15" hidden="false" customHeight="false" outlineLevel="0" collapsed="false">
      <c r="A964" s="0" t="n">
        <v>17</v>
      </c>
      <c r="B964" s="0" t="n">
        <v>3</v>
      </c>
      <c r="C964" s="0" t="str">
        <f aca="false">TRIM(SUBSTITUTE(INDEX(LISTAS!$A$4:$T$63,B964,A964)&amp;"",CHAR(160)," "))</f>
        <v/>
      </c>
      <c r="D964" s="0" t="str">
        <f aca="false">IF(C964="","",TRIM(RIGHT(SUBSTITUTE(C964," ",REPT(" ",100)),100)))</f>
        <v/>
      </c>
      <c r="E964" s="0" t="str">
        <f aca="false">IF(D964="","",UPPER(SUBSTITUTE(SUBSTITUTE(D964,"(",""),")","")))</f>
        <v/>
      </c>
      <c r="F964" s="0" t="str">
        <f aca="false">IF(C964="","",LEFT(C964,FIND(" ",C964&amp;" ")-1))</f>
        <v/>
      </c>
      <c r="G964" s="0" t="n">
        <f aca="false">IFERROR(VALUE(SUBSTITUTE(LOWER(F964),"x","")),0)</f>
        <v>0</v>
      </c>
      <c r="H964" s="0" t="str">
        <f aca="false">IF(C964="","",TRIM(MID(C964,LEN(F964)+2,999)))</f>
        <v/>
      </c>
      <c r="I964" s="0" t="n">
        <f aca="false">IF(OR(C964="",LEFT(C964,2)="//"),0,IFERROR(IF(AND(G964&gt;0,G964=INT(G964),FIND("-",E964)&gt;1,NOT(EXACT(UPPER(LEFT(E964,1)),LOWER(LEFT(E964,1)))),ISNUMBER(VALUE(MID(E964,FIND("-",E964)+1,10)))),1,0),0))</f>
        <v>0</v>
      </c>
      <c r="J964" s="0" t="str">
        <f aca="false">IF(I964=1,TRIM(LEFT(H964,MAX(0,LEN(H964)-LEN(D964)))),"")</f>
        <v/>
      </c>
      <c r="K964" s="0" t="str">
        <f aca="false">INDEX($P$2:$P$21,A964)</f>
        <v>Deck 17</v>
      </c>
      <c r="L964" s="0" t="n">
        <f aca="false">IF(AND(C964&lt;&gt;"",LEFT(C964,2)&lt;&gt;"//",I964=0),1,0)</f>
        <v>0</v>
      </c>
      <c r="M964" s="0" t="str">
        <f aca="false">IF(I964=1,MAX(M$1:M963)+1,"")</f>
        <v/>
      </c>
      <c r="N964" s="0" t="str">
        <f aca="false">IFERROR(MATCH(ROW()-1,$V$2:$V$1201,0),"")</f>
        <v/>
      </c>
      <c r="R964" s="0" t="str">
        <f aca="false">IF(E964="","",IFERROR(LEFT(E964,FIND("-",E964)-1),E964))</f>
        <v/>
      </c>
      <c r="S964" s="0" t="str">
        <f aca="false">IF(R964="","",IF(ISNUMBER(--MID(R964,1,1)),0,IF(ISNUMBER(--MID(R964,2,1)),1,IF(ISNUMBER(--MID(R964,3,1)),2,IF(ISNUMBER(--MID(R964,4,1)),3,MIN(LEN(R964),4))))))</f>
        <v/>
      </c>
      <c r="T964" s="0" t="str">
        <f aca="false">IF(E964="","",LEFT(R964,S964)&amp;REPT("0",4-S964)&amp;RIGHT("000"&amp;IFERROR(VALUE(MID(R964,S964+1,9)),0),3)&amp;RIGHT("0000"&amp;IFERROR(VALUE(MID(E964,FIND("-",E964)+1,9)),0),4))</f>
        <v/>
      </c>
      <c r="U964" s="0" t="str">
        <f aca="false">IF(I964=1,"K"&amp;RIGHT("00"&amp;A964,2)&amp;T964&amp;RIGHT("00000"&amp;ROW(),5),"")</f>
        <v/>
      </c>
      <c r="V964" s="0" t="str">
        <f aca="false">IF(U964="","",COUNTIFS($I$2:$I$1201,1,$U$2:$U$1201,"&lt;"&amp;U964)+1)</f>
        <v/>
      </c>
    </row>
    <row r="965" customFormat="false" ht="15" hidden="false" customHeight="false" outlineLevel="0" collapsed="false">
      <c r="A965" s="0" t="n">
        <v>17</v>
      </c>
      <c r="B965" s="0" t="n">
        <v>4</v>
      </c>
      <c r="C965" s="0" t="str">
        <f aca="false">TRIM(SUBSTITUTE(INDEX(LISTAS!$A$4:$T$63,B965,A965)&amp;"",CHAR(160)," "))</f>
        <v/>
      </c>
      <c r="D965" s="0" t="str">
        <f aca="false">IF(C965="","",TRIM(RIGHT(SUBSTITUTE(C965," ",REPT(" ",100)),100)))</f>
        <v/>
      </c>
      <c r="E965" s="0" t="str">
        <f aca="false">IF(D965="","",UPPER(SUBSTITUTE(SUBSTITUTE(D965,"(",""),")","")))</f>
        <v/>
      </c>
      <c r="F965" s="0" t="str">
        <f aca="false">IF(C965="","",LEFT(C965,FIND(" ",C965&amp;" ")-1))</f>
        <v/>
      </c>
      <c r="G965" s="0" t="n">
        <f aca="false">IFERROR(VALUE(SUBSTITUTE(LOWER(F965),"x","")),0)</f>
        <v>0</v>
      </c>
      <c r="H965" s="0" t="str">
        <f aca="false">IF(C965="","",TRIM(MID(C965,LEN(F965)+2,999)))</f>
        <v/>
      </c>
      <c r="I965" s="0" t="n">
        <f aca="false">IF(OR(C965="",LEFT(C965,2)="//"),0,IFERROR(IF(AND(G965&gt;0,G965=INT(G965),FIND("-",E965)&gt;1,NOT(EXACT(UPPER(LEFT(E965,1)),LOWER(LEFT(E965,1)))),ISNUMBER(VALUE(MID(E965,FIND("-",E965)+1,10)))),1,0),0))</f>
        <v>0</v>
      </c>
      <c r="J965" s="0" t="str">
        <f aca="false">IF(I965=1,TRIM(LEFT(H965,MAX(0,LEN(H965)-LEN(D965)))),"")</f>
        <v/>
      </c>
      <c r="K965" s="0" t="str">
        <f aca="false">INDEX($P$2:$P$21,A965)</f>
        <v>Deck 17</v>
      </c>
      <c r="L965" s="0" t="n">
        <f aca="false">IF(AND(C965&lt;&gt;"",LEFT(C965,2)&lt;&gt;"//",I965=0),1,0)</f>
        <v>0</v>
      </c>
      <c r="M965" s="0" t="str">
        <f aca="false">IF(I965=1,MAX(M$1:M964)+1,"")</f>
        <v/>
      </c>
      <c r="N965" s="0" t="str">
        <f aca="false">IFERROR(MATCH(ROW()-1,$V$2:$V$1201,0),"")</f>
        <v/>
      </c>
      <c r="R965" s="0" t="str">
        <f aca="false">IF(E965="","",IFERROR(LEFT(E965,FIND("-",E965)-1),E965))</f>
        <v/>
      </c>
      <c r="S965" s="0" t="str">
        <f aca="false">IF(R965="","",IF(ISNUMBER(--MID(R965,1,1)),0,IF(ISNUMBER(--MID(R965,2,1)),1,IF(ISNUMBER(--MID(R965,3,1)),2,IF(ISNUMBER(--MID(R965,4,1)),3,MIN(LEN(R965),4))))))</f>
        <v/>
      </c>
      <c r="T965" s="0" t="str">
        <f aca="false">IF(E965="","",LEFT(R965,S965)&amp;REPT("0",4-S965)&amp;RIGHT("000"&amp;IFERROR(VALUE(MID(R965,S965+1,9)),0),3)&amp;RIGHT("0000"&amp;IFERROR(VALUE(MID(E965,FIND("-",E965)+1,9)),0),4))</f>
        <v/>
      </c>
      <c r="U965" s="0" t="str">
        <f aca="false">IF(I965=1,"K"&amp;RIGHT("00"&amp;A965,2)&amp;T965&amp;RIGHT("00000"&amp;ROW(),5),"")</f>
        <v/>
      </c>
      <c r="V965" s="0" t="str">
        <f aca="false">IF(U965="","",COUNTIFS($I$2:$I$1201,1,$U$2:$U$1201,"&lt;"&amp;U965)+1)</f>
        <v/>
      </c>
    </row>
    <row r="966" customFormat="false" ht="15" hidden="false" customHeight="false" outlineLevel="0" collapsed="false">
      <c r="A966" s="0" t="n">
        <v>17</v>
      </c>
      <c r="B966" s="0" t="n">
        <v>5</v>
      </c>
      <c r="C966" s="0" t="str">
        <f aca="false">TRIM(SUBSTITUTE(INDEX(LISTAS!$A$4:$T$63,B966,A966)&amp;"",CHAR(160)," "))</f>
        <v/>
      </c>
      <c r="D966" s="0" t="str">
        <f aca="false">IF(C966="","",TRIM(RIGHT(SUBSTITUTE(C966," ",REPT(" ",100)),100)))</f>
        <v/>
      </c>
      <c r="E966" s="0" t="str">
        <f aca="false">IF(D966="","",UPPER(SUBSTITUTE(SUBSTITUTE(D966,"(",""),")","")))</f>
        <v/>
      </c>
      <c r="F966" s="0" t="str">
        <f aca="false">IF(C966="","",LEFT(C966,FIND(" ",C966&amp;" ")-1))</f>
        <v/>
      </c>
      <c r="G966" s="0" t="n">
        <f aca="false">IFERROR(VALUE(SUBSTITUTE(LOWER(F966),"x","")),0)</f>
        <v>0</v>
      </c>
      <c r="H966" s="0" t="str">
        <f aca="false">IF(C966="","",TRIM(MID(C966,LEN(F966)+2,999)))</f>
        <v/>
      </c>
      <c r="I966" s="0" t="n">
        <f aca="false">IF(OR(C966="",LEFT(C966,2)="//"),0,IFERROR(IF(AND(G966&gt;0,G966=INT(G966),FIND("-",E966)&gt;1,NOT(EXACT(UPPER(LEFT(E966,1)),LOWER(LEFT(E966,1)))),ISNUMBER(VALUE(MID(E966,FIND("-",E966)+1,10)))),1,0),0))</f>
        <v>0</v>
      </c>
      <c r="J966" s="0" t="str">
        <f aca="false">IF(I966=1,TRIM(LEFT(H966,MAX(0,LEN(H966)-LEN(D966)))),"")</f>
        <v/>
      </c>
      <c r="K966" s="0" t="str">
        <f aca="false">INDEX($P$2:$P$21,A966)</f>
        <v>Deck 17</v>
      </c>
      <c r="L966" s="0" t="n">
        <f aca="false">IF(AND(C966&lt;&gt;"",LEFT(C966,2)&lt;&gt;"//",I966=0),1,0)</f>
        <v>0</v>
      </c>
      <c r="M966" s="0" t="str">
        <f aca="false">IF(I966=1,MAX(M$1:M965)+1,"")</f>
        <v/>
      </c>
      <c r="N966" s="0" t="str">
        <f aca="false">IFERROR(MATCH(ROW()-1,$V$2:$V$1201,0),"")</f>
        <v/>
      </c>
      <c r="R966" s="0" t="str">
        <f aca="false">IF(E966="","",IFERROR(LEFT(E966,FIND("-",E966)-1),E966))</f>
        <v/>
      </c>
      <c r="S966" s="0" t="str">
        <f aca="false">IF(R966="","",IF(ISNUMBER(--MID(R966,1,1)),0,IF(ISNUMBER(--MID(R966,2,1)),1,IF(ISNUMBER(--MID(R966,3,1)),2,IF(ISNUMBER(--MID(R966,4,1)),3,MIN(LEN(R966),4))))))</f>
        <v/>
      </c>
      <c r="T966" s="0" t="str">
        <f aca="false">IF(E966="","",LEFT(R966,S966)&amp;REPT("0",4-S966)&amp;RIGHT("000"&amp;IFERROR(VALUE(MID(R966,S966+1,9)),0),3)&amp;RIGHT("0000"&amp;IFERROR(VALUE(MID(E966,FIND("-",E966)+1,9)),0),4))</f>
        <v/>
      </c>
      <c r="U966" s="0" t="str">
        <f aca="false">IF(I966=1,"K"&amp;RIGHT("00"&amp;A966,2)&amp;T966&amp;RIGHT("00000"&amp;ROW(),5),"")</f>
        <v/>
      </c>
      <c r="V966" s="0" t="str">
        <f aca="false">IF(U966="","",COUNTIFS($I$2:$I$1201,1,$U$2:$U$1201,"&lt;"&amp;U966)+1)</f>
        <v/>
      </c>
    </row>
    <row r="967" customFormat="false" ht="15" hidden="false" customHeight="false" outlineLevel="0" collapsed="false">
      <c r="A967" s="0" t="n">
        <v>17</v>
      </c>
      <c r="B967" s="0" t="n">
        <v>6</v>
      </c>
      <c r="C967" s="0" t="str">
        <f aca="false">TRIM(SUBSTITUTE(INDEX(LISTAS!$A$4:$T$63,B967,A967)&amp;"",CHAR(160)," "))</f>
        <v/>
      </c>
      <c r="D967" s="0" t="str">
        <f aca="false">IF(C967="","",TRIM(RIGHT(SUBSTITUTE(C967," ",REPT(" ",100)),100)))</f>
        <v/>
      </c>
      <c r="E967" s="0" t="str">
        <f aca="false">IF(D967="","",UPPER(SUBSTITUTE(SUBSTITUTE(D967,"(",""),")","")))</f>
        <v/>
      </c>
      <c r="F967" s="0" t="str">
        <f aca="false">IF(C967="","",LEFT(C967,FIND(" ",C967&amp;" ")-1))</f>
        <v/>
      </c>
      <c r="G967" s="0" t="n">
        <f aca="false">IFERROR(VALUE(SUBSTITUTE(LOWER(F967),"x","")),0)</f>
        <v>0</v>
      </c>
      <c r="H967" s="0" t="str">
        <f aca="false">IF(C967="","",TRIM(MID(C967,LEN(F967)+2,999)))</f>
        <v/>
      </c>
      <c r="I967" s="0" t="n">
        <f aca="false">IF(OR(C967="",LEFT(C967,2)="//"),0,IFERROR(IF(AND(G967&gt;0,G967=INT(G967),FIND("-",E967)&gt;1,NOT(EXACT(UPPER(LEFT(E967,1)),LOWER(LEFT(E967,1)))),ISNUMBER(VALUE(MID(E967,FIND("-",E967)+1,10)))),1,0),0))</f>
        <v>0</v>
      </c>
      <c r="J967" s="0" t="str">
        <f aca="false">IF(I967=1,TRIM(LEFT(H967,MAX(0,LEN(H967)-LEN(D967)))),"")</f>
        <v/>
      </c>
      <c r="K967" s="0" t="str">
        <f aca="false">INDEX($P$2:$P$21,A967)</f>
        <v>Deck 17</v>
      </c>
      <c r="L967" s="0" t="n">
        <f aca="false">IF(AND(C967&lt;&gt;"",LEFT(C967,2)&lt;&gt;"//",I967=0),1,0)</f>
        <v>0</v>
      </c>
      <c r="M967" s="0" t="str">
        <f aca="false">IF(I967=1,MAX(M$1:M966)+1,"")</f>
        <v/>
      </c>
      <c r="N967" s="0" t="str">
        <f aca="false">IFERROR(MATCH(ROW()-1,$V$2:$V$1201,0),"")</f>
        <v/>
      </c>
      <c r="R967" s="0" t="str">
        <f aca="false">IF(E967="","",IFERROR(LEFT(E967,FIND("-",E967)-1),E967))</f>
        <v/>
      </c>
      <c r="S967" s="0" t="str">
        <f aca="false">IF(R967="","",IF(ISNUMBER(--MID(R967,1,1)),0,IF(ISNUMBER(--MID(R967,2,1)),1,IF(ISNUMBER(--MID(R967,3,1)),2,IF(ISNUMBER(--MID(R967,4,1)),3,MIN(LEN(R967),4))))))</f>
        <v/>
      </c>
      <c r="T967" s="0" t="str">
        <f aca="false">IF(E967="","",LEFT(R967,S967)&amp;REPT("0",4-S967)&amp;RIGHT("000"&amp;IFERROR(VALUE(MID(R967,S967+1,9)),0),3)&amp;RIGHT("0000"&amp;IFERROR(VALUE(MID(E967,FIND("-",E967)+1,9)),0),4))</f>
        <v/>
      </c>
      <c r="U967" s="0" t="str">
        <f aca="false">IF(I967=1,"K"&amp;RIGHT("00"&amp;A967,2)&amp;T967&amp;RIGHT("00000"&amp;ROW(),5),"")</f>
        <v/>
      </c>
      <c r="V967" s="0" t="str">
        <f aca="false">IF(U967="","",COUNTIFS($I$2:$I$1201,1,$U$2:$U$1201,"&lt;"&amp;U967)+1)</f>
        <v/>
      </c>
    </row>
    <row r="968" customFormat="false" ht="15" hidden="false" customHeight="false" outlineLevel="0" collapsed="false">
      <c r="A968" s="0" t="n">
        <v>17</v>
      </c>
      <c r="B968" s="0" t="n">
        <v>7</v>
      </c>
      <c r="C968" s="0" t="str">
        <f aca="false">TRIM(SUBSTITUTE(INDEX(LISTAS!$A$4:$T$63,B968,A968)&amp;"",CHAR(160)," "))</f>
        <v/>
      </c>
      <c r="D968" s="0" t="str">
        <f aca="false">IF(C968="","",TRIM(RIGHT(SUBSTITUTE(C968," ",REPT(" ",100)),100)))</f>
        <v/>
      </c>
      <c r="E968" s="0" t="str">
        <f aca="false">IF(D968="","",UPPER(SUBSTITUTE(SUBSTITUTE(D968,"(",""),")","")))</f>
        <v/>
      </c>
      <c r="F968" s="0" t="str">
        <f aca="false">IF(C968="","",LEFT(C968,FIND(" ",C968&amp;" ")-1))</f>
        <v/>
      </c>
      <c r="G968" s="0" t="n">
        <f aca="false">IFERROR(VALUE(SUBSTITUTE(LOWER(F968),"x","")),0)</f>
        <v>0</v>
      </c>
      <c r="H968" s="0" t="str">
        <f aca="false">IF(C968="","",TRIM(MID(C968,LEN(F968)+2,999)))</f>
        <v/>
      </c>
      <c r="I968" s="0" t="n">
        <f aca="false">IF(OR(C968="",LEFT(C968,2)="//"),0,IFERROR(IF(AND(G968&gt;0,G968=INT(G968),FIND("-",E968)&gt;1,NOT(EXACT(UPPER(LEFT(E968,1)),LOWER(LEFT(E968,1)))),ISNUMBER(VALUE(MID(E968,FIND("-",E968)+1,10)))),1,0),0))</f>
        <v>0</v>
      </c>
      <c r="J968" s="0" t="str">
        <f aca="false">IF(I968=1,TRIM(LEFT(H968,MAX(0,LEN(H968)-LEN(D968)))),"")</f>
        <v/>
      </c>
      <c r="K968" s="0" t="str">
        <f aca="false">INDEX($P$2:$P$21,A968)</f>
        <v>Deck 17</v>
      </c>
      <c r="L968" s="0" t="n">
        <f aca="false">IF(AND(C968&lt;&gt;"",LEFT(C968,2)&lt;&gt;"//",I968=0),1,0)</f>
        <v>0</v>
      </c>
      <c r="M968" s="0" t="str">
        <f aca="false">IF(I968=1,MAX(M$1:M967)+1,"")</f>
        <v/>
      </c>
      <c r="N968" s="0" t="str">
        <f aca="false">IFERROR(MATCH(ROW()-1,$V$2:$V$1201,0),"")</f>
        <v/>
      </c>
      <c r="R968" s="0" t="str">
        <f aca="false">IF(E968="","",IFERROR(LEFT(E968,FIND("-",E968)-1),E968))</f>
        <v/>
      </c>
      <c r="S968" s="0" t="str">
        <f aca="false">IF(R968="","",IF(ISNUMBER(--MID(R968,1,1)),0,IF(ISNUMBER(--MID(R968,2,1)),1,IF(ISNUMBER(--MID(R968,3,1)),2,IF(ISNUMBER(--MID(R968,4,1)),3,MIN(LEN(R968),4))))))</f>
        <v/>
      </c>
      <c r="T968" s="0" t="str">
        <f aca="false">IF(E968="","",LEFT(R968,S968)&amp;REPT("0",4-S968)&amp;RIGHT("000"&amp;IFERROR(VALUE(MID(R968,S968+1,9)),0),3)&amp;RIGHT("0000"&amp;IFERROR(VALUE(MID(E968,FIND("-",E968)+1,9)),0),4))</f>
        <v/>
      </c>
      <c r="U968" s="0" t="str">
        <f aca="false">IF(I968=1,"K"&amp;RIGHT("00"&amp;A968,2)&amp;T968&amp;RIGHT("00000"&amp;ROW(),5),"")</f>
        <v/>
      </c>
      <c r="V968" s="0" t="str">
        <f aca="false">IF(U968="","",COUNTIFS($I$2:$I$1201,1,$U$2:$U$1201,"&lt;"&amp;U968)+1)</f>
        <v/>
      </c>
    </row>
    <row r="969" customFormat="false" ht="15" hidden="false" customHeight="false" outlineLevel="0" collapsed="false">
      <c r="A969" s="0" t="n">
        <v>17</v>
      </c>
      <c r="B969" s="0" t="n">
        <v>8</v>
      </c>
      <c r="C969" s="0" t="str">
        <f aca="false">TRIM(SUBSTITUTE(INDEX(LISTAS!$A$4:$T$63,B969,A969)&amp;"",CHAR(160)," "))</f>
        <v/>
      </c>
      <c r="D969" s="0" t="str">
        <f aca="false">IF(C969="","",TRIM(RIGHT(SUBSTITUTE(C969," ",REPT(" ",100)),100)))</f>
        <v/>
      </c>
      <c r="E969" s="0" t="str">
        <f aca="false">IF(D969="","",UPPER(SUBSTITUTE(SUBSTITUTE(D969,"(",""),")","")))</f>
        <v/>
      </c>
      <c r="F969" s="0" t="str">
        <f aca="false">IF(C969="","",LEFT(C969,FIND(" ",C969&amp;" ")-1))</f>
        <v/>
      </c>
      <c r="G969" s="0" t="n">
        <f aca="false">IFERROR(VALUE(SUBSTITUTE(LOWER(F969),"x","")),0)</f>
        <v>0</v>
      </c>
      <c r="H969" s="0" t="str">
        <f aca="false">IF(C969="","",TRIM(MID(C969,LEN(F969)+2,999)))</f>
        <v/>
      </c>
      <c r="I969" s="0" t="n">
        <f aca="false">IF(OR(C969="",LEFT(C969,2)="//"),0,IFERROR(IF(AND(G969&gt;0,G969=INT(G969),FIND("-",E969)&gt;1,NOT(EXACT(UPPER(LEFT(E969,1)),LOWER(LEFT(E969,1)))),ISNUMBER(VALUE(MID(E969,FIND("-",E969)+1,10)))),1,0),0))</f>
        <v>0</v>
      </c>
      <c r="J969" s="0" t="str">
        <f aca="false">IF(I969=1,TRIM(LEFT(H969,MAX(0,LEN(H969)-LEN(D969)))),"")</f>
        <v/>
      </c>
      <c r="K969" s="0" t="str">
        <f aca="false">INDEX($P$2:$P$21,A969)</f>
        <v>Deck 17</v>
      </c>
      <c r="L969" s="0" t="n">
        <f aca="false">IF(AND(C969&lt;&gt;"",LEFT(C969,2)&lt;&gt;"//",I969=0),1,0)</f>
        <v>0</v>
      </c>
      <c r="M969" s="0" t="str">
        <f aca="false">IF(I969=1,MAX(M$1:M968)+1,"")</f>
        <v/>
      </c>
      <c r="N969" s="0" t="str">
        <f aca="false">IFERROR(MATCH(ROW()-1,$V$2:$V$1201,0),"")</f>
        <v/>
      </c>
      <c r="R969" s="0" t="str">
        <f aca="false">IF(E969="","",IFERROR(LEFT(E969,FIND("-",E969)-1),E969))</f>
        <v/>
      </c>
      <c r="S969" s="0" t="str">
        <f aca="false">IF(R969="","",IF(ISNUMBER(--MID(R969,1,1)),0,IF(ISNUMBER(--MID(R969,2,1)),1,IF(ISNUMBER(--MID(R969,3,1)),2,IF(ISNUMBER(--MID(R969,4,1)),3,MIN(LEN(R969),4))))))</f>
        <v/>
      </c>
      <c r="T969" s="0" t="str">
        <f aca="false">IF(E969="","",LEFT(R969,S969)&amp;REPT("0",4-S969)&amp;RIGHT("000"&amp;IFERROR(VALUE(MID(R969,S969+1,9)),0),3)&amp;RIGHT("0000"&amp;IFERROR(VALUE(MID(E969,FIND("-",E969)+1,9)),0),4))</f>
        <v/>
      </c>
      <c r="U969" s="0" t="str">
        <f aca="false">IF(I969=1,"K"&amp;RIGHT("00"&amp;A969,2)&amp;T969&amp;RIGHT("00000"&amp;ROW(),5),"")</f>
        <v/>
      </c>
      <c r="V969" s="0" t="str">
        <f aca="false">IF(U969="","",COUNTIFS($I$2:$I$1201,1,$U$2:$U$1201,"&lt;"&amp;U969)+1)</f>
        <v/>
      </c>
    </row>
    <row r="970" customFormat="false" ht="15" hidden="false" customHeight="false" outlineLevel="0" collapsed="false">
      <c r="A970" s="0" t="n">
        <v>17</v>
      </c>
      <c r="B970" s="0" t="n">
        <v>9</v>
      </c>
      <c r="C970" s="0" t="str">
        <f aca="false">TRIM(SUBSTITUTE(INDEX(LISTAS!$A$4:$T$63,B970,A970)&amp;"",CHAR(160)," "))</f>
        <v/>
      </c>
      <c r="D970" s="0" t="str">
        <f aca="false">IF(C970="","",TRIM(RIGHT(SUBSTITUTE(C970," ",REPT(" ",100)),100)))</f>
        <v/>
      </c>
      <c r="E970" s="0" t="str">
        <f aca="false">IF(D970="","",UPPER(SUBSTITUTE(SUBSTITUTE(D970,"(",""),")","")))</f>
        <v/>
      </c>
      <c r="F970" s="0" t="str">
        <f aca="false">IF(C970="","",LEFT(C970,FIND(" ",C970&amp;" ")-1))</f>
        <v/>
      </c>
      <c r="G970" s="0" t="n">
        <f aca="false">IFERROR(VALUE(SUBSTITUTE(LOWER(F970),"x","")),0)</f>
        <v>0</v>
      </c>
      <c r="H970" s="0" t="str">
        <f aca="false">IF(C970="","",TRIM(MID(C970,LEN(F970)+2,999)))</f>
        <v/>
      </c>
      <c r="I970" s="0" t="n">
        <f aca="false">IF(OR(C970="",LEFT(C970,2)="//"),0,IFERROR(IF(AND(G970&gt;0,G970=INT(G970),FIND("-",E970)&gt;1,NOT(EXACT(UPPER(LEFT(E970,1)),LOWER(LEFT(E970,1)))),ISNUMBER(VALUE(MID(E970,FIND("-",E970)+1,10)))),1,0),0))</f>
        <v>0</v>
      </c>
      <c r="J970" s="0" t="str">
        <f aca="false">IF(I970=1,TRIM(LEFT(H970,MAX(0,LEN(H970)-LEN(D970)))),"")</f>
        <v/>
      </c>
      <c r="K970" s="0" t="str">
        <f aca="false">INDEX($P$2:$P$21,A970)</f>
        <v>Deck 17</v>
      </c>
      <c r="L970" s="0" t="n">
        <f aca="false">IF(AND(C970&lt;&gt;"",LEFT(C970,2)&lt;&gt;"//",I970=0),1,0)</f>
        <v>0</v>
      </c>
      <c r="M970" s="0" t="str">
        <f aca="false">IF(I970=1,MAX(M$1:M969)+1,"")</f>
        <v/>
      </c>
      <c r="N970" s="0" t="str">
        <f aca="false">IFERROR(MATCH(ROW()-1,$V$2:$V$1201,0),"")</f>
        <v/>
      </c>
      <c r="R970" s="0" t="str">
        <f aca="false">IF(E970="","",IFERROR(LEFT(E970,FIND("-",E970)-1),E970))</f>
        <v/>
      </c>
      <c r="S970" s="0" t="str">
        <f aca="false">IF(R970="","",IF(ISNUMBER(--MID(R970,1,1)),0,IF(ISNUMBER(--MID(R970,2,1)),1,IF(ISNUMBER(--MID(R970,3,1)),2,IF(ISNUMBER(--MID(R970,4,1)),3,MIN(LEN(R970),4))))))</f>
        <v/>
      </c>
      <c r="T970" s="0" t="str">
        <f aca="false">IF(E970="","",LEFT(R970,S970)&amp;REPT("0",4-S970)&amp;RIGHT("000"&amp;IFERROR(VALUE(MID(R970,S970+1,9)),0),3)&amp;RIGHT("0000"&amp;IFERROR(VALUE(MID(E970,FIND("-",E970)+1,9)),0),4))</f>
        <v/>
      </c>
      <c r="U970" s="0" t="str">
        <f aca="false">IF(I970=1,"K"&amp;RIGHT("00"&amp;A970,2)&amp;T970&amp;RIGHT("00000"&amp;ROW(),5),"")</f>
        <v/>
      </c>
      <c r="V970" s="0" t="str">
        <f aca="false">IF(U970="","",COUNTIFS($I$2:$I$1201,1,$U$2:$U$1201,"&lt;"&amp;U970)+1)</f>
        <v/>
      </c>
    </row>
    <row r="971" customFormat="false" ht="15" hidden="false" customHeight="false" outlineLevel="0" collapsed="false">
      <c r="A971" s="0" t="n">
        <v>17</v>
      </c>
      <c r="B971" s="0" t="n">
        <v>10</v>
      </c>
      <c r="C971" s="0" t="str">
        <f aca="false">TRIM(SUBSTITUTE(INDEX(LISTAS!$A$4:$T$63,B971,A971)&amp;"",CHAR(160)," "))</f>
        <v/>
      </c>
      <c r="D971" s="0" t="str">
        <f aca="false">IF(C971="","",TRIM(RIGHT(SUBSTITUTE(C971," ",REPT(" ",100)),100)))</f>
        <v/>
      </c>
      <c r="E971" s="0" t="str">
        <f aca="false">IF(D971="","",UPPER(SUBSTITUTE(SUBSTITUTE(D971,"(",""),")","")))</f>
        <v/>
      </c>
      <c r="F971" s="0" t="str">
        <f aca="false">IF(C971="","",LEFT(C971,FIND(" ",C971&amp;" ")-1))</f>
        <v/>
      </c>
      <c r="G971" s="0" t="n">
        <f aca="false">IFERROR(VALUE(SUBSTITUTE(LOWER(F971),"x","")),0)</f>
        <v>0</v>
      </c>
      <c r="H971" s="0" t="str">
        <f aca="false">IF(C971="","",TRIM(MID(C971,LEN(F971)+2,999)))</f>
        <v/>
      </c>
      <c r="I971" s="0" t="n">
        <f aca="false">IF(OR(C971="",LEFT(C971,2)="//"),0,IFERROR(IF(AND(G971&gt;0,G971=INT(G971),FIND("-",E971)&gt;1,NOT(EXACT(UPPER(LEFT(E971,1)),LOWER(LEFT(E971,1)))),ISNUMBER(VALUE(MID(E971,FIND("-",E971)+1,10)))),1,0),0))</f>
        <v>0</v>
      </c>
      <c r="J971" s="0" t="str">
        <f aca="false">IF(I971=1,TRIM(LEFT(H971,MAX(0,LEN(H971)-LEN(D971)))),"")</f>
        <v/>
      </c>
      <c r="K971" s="0" t="str">
        <f aca="false">INDEX($P$2:$P$21,A971)</f>
        <v>Deck 17</v>
      </c>
      <c r="L971" s="0" t="n">
        <f aca="false">IF(AND(C971&lt;&gt;"",LEFT(C971,2)&lt;&gt;"//",I971=0),1,0)</f>
        <v>0</v>
      </c>
      <c r="M971" s="0" t="str">
        <f aca="false">IF(I971=1,MAX(M$1:M970)+1,"")</f>
        <v/>
      </c>
      <c r="N971" s="0" t="str">
        <f aca="false">IFERROR(MATCH(ROW()-1,$V$2:$V$1201,0),"")</f>
        <v/>
      </c>
      <c r="R971" s="0" t="str">
        <f aca="false">IF(E971="","",IFERROR(LEFT(E971,FIND("-",E971)-1),E971))</f>
        <v/>
      </c>
      <c r="S971" s="0" t="str">
        <f aca="false">IF(R971="","",IF(ISNUMBER(--MID(R971,1,1)),0,IF(ISNUMBER(--MID(R971,2,1)),1,IF(ISNUMBER(--MID(R971,3,1)),2,IF(ISNUMBER(--MID(R971,4,1)),3,MIN(LEN(R971),4))))))</f>
        <v/>
      </c>
      <c r="T971" s="0" t="str">
        <f aca="false">IF(E971="","",LEFT(R971,S971)&amp;REPT("0",4-S971)&amp;RIGHT("000"&amp;IFERROR(VALUE(MID(R971,S971+1,9)),0),3)&amp;RIGHT("0000"&amp;IFERROR(VALUE(MID(E971,FIND("-",E971)+1,9)),0),4))</f>
        <v/>
      </c>
      <c r="U971" s="0" t="str">
        <f aca="false">IF(I971=1,"K"&amp;RIGHT("00"&amp;A971,2)&amp;T971&amp;RIGHT("00000"&amp;ROW(),5),"")</f>
        <v/>
      </c>
      <c r="V971" s="0" t="str">
        <f aca="false">IF(U971="","",COUNTIFS($I$2:$I$1201,1,$U$2:$U$1201,"&lt;"&amp;U971)+1)</f>
        <v/>
      </c>
    </row>
    <row r="972" customFormat="false" ht="15" hidden="false" customHeight="false" outlineLevel="0" collapsed="false">
      <c r="A972" s="0" t="n">
        <v>17</v>
      </c>
      <c r="B972" s="0" t="n">
        <v>11</v>
      </c>
      <c r="C972" s="0" t="str">
        <f aca="false">TRIM(SUBSTITUTE(INDEX(LISTAS!$A$4:$T$63,B972,A972)&amp;"",CHAR(160)," "))</f>
        <v/>
      </c>
      <c r="D972" s="0" t="str">
        <f aca="false">IF(C972="","",TRIM(RIGHT(SUBSTITUTE(C972," ",REPT(" ",100)),100)))</f>
        <v/>
      </c>
      <c r="E972" s="0" t="str">
        <f aca="false">IF(D972="","",UPPER(SUBSTITUTE(SUBSTITUTE(D972,"(",""),")","")))</f>
        <v/>
      </c>
      <c r="F972" s="0" t="str">
        <f aca="false">IF(C972="","",LEFT(C972,FIND(" ",C972&amp;" ")-1))</f>
        <v/>
      </c>
      <c r="G972" s="0" t="n">
        <f aca="false">IFERROR(VALUE(SUBSTITUTE(LOWER(F972),"x","")),0)</f>
        <v>0</v>
      </c>
      <c r="H972" s="0" t="str">
        <f aca="false">IF(C972="","",TRIM(MID(C972,LEN(F972)+2,999)))</f>
        <v/>
      </c>
      <c r="I972" s="0" t="n">
        <f aca="false">IF(OR(C972="",LEFT(C972,2)="//"),0,IFERROR(IF(AND(G972&gt;0,G972=INT(G972),FIND("-",E972)&gt;1,NOT(EXACT(UPPER(LEFT(E972,1)),LOWER(LEFT(E972,1)))),ISNUMBER(VALUE(MID(E972,FIND("-",E972)+1,10)))),1,0),0))</f>
        <v>0</v>
      </c>
      <c r="J972" s="0" t="str">
        <f aca="false">IF(I972=1,TRIM(LEFT(H972,MAX(0,LEN(H972)-LEN(D972)))),"")</f>
        <v/>
      </c>
      <c r="K972" s="0" t="str">
        <f aca="false">INDEX($P$2:$P$21,A972)</f>
        <v>Deck 17</v>
      </c>
      <c r="L972" s="0" t="n">
        <f aca="false">IF(AND(C972&lt;&gt;"",LEFT(C972,2)&lt;&gt;"//",I972=0),1,0)</f>
        <v>0</v>
      </c>
      <c r="M972" s="0" t="str">
        <f aca="false">IF(I972=1,MAX(M$1:M971)+1,"")</f>
        <v/>
      </c>
      <c r="N972" s="0" t="str">
        <f aca="false">IFERROR(MATCH(ROW()-1,$V$2:$V$1201,0),"")</f>
        <v/>
      </c>
      <c r="R972" s="0" t="str">
        <f aca="false">IF(E972="","",IFERROR(LEFT(E972,FIND("-",E972)-1),E972))</f>
        <v/>
      </c>
      <c r="S972" s="0" t="str">
        <f aca="false">IF(R972="","",IF(ISNUMBER(--MID(R972,1,1)),0,IF(ISNUMBER(--MID(R972,2,1)),1,IF(ISNUMBER(--MID(R972,3,1)),2,IF(ISNUMBER(--MID(R972,4,1)),3,MIN(LEN(R972),4))))))</f>
        <v/>
      </c>
      <c r="T972" s="0" t="str">
        <f aca="false">IF(E972="","",LEFT(R972,S972)&amp;REPT("0",4-S972)&amp;RIGHT("000"&amp;IFERROR(VALUE(MID(R972,S972+1,9)),0),3)&amp;RIGHT("0000"&amp;IFERROR(VALUE(MID(E972,FIND("-",E972)+1,9)),0),4))</f>
        <v/>
      </c>
      <c r="U972" s="0" t="str">
        <f aca="false">IF(I972=1,"K"&amp;RIGHT("00"&amp;A972,2)&amp;T972&amp;RIGHT("00000"&amp;ROW(),5),"")</f>
        <v/>
      </c>
      <c r="V972" s="0" t="str">
        <f aca="false">IF(U972="","",COUNTIFS($I$2:$I$1201,1,$U$2:$U$1201,"&lt;"&amp;U972)+1)</f>
        <v/>
      </c>
    </row>
    <row r="973" customFormat="false" ht="15" hidden="false" customHeight="false" outlineLevel="0" collapsed="false">
      <c r="A973" s="0" t="n">
        <v>17</v>
      </c>
      <c r="B973" s="0" t="n">
        <v>12</v>
      </c>
      <c r="C973" s="0" t="str">
        <f aca="false">TRIM(SUBSTITUTE(INDEX(LISTAS!$A$4:$T$63,B973,A973)&amp;"",CHAR(160)," "))</f>
        <v/>
      </c>
      <c r="D973" s="0" t="str">
        <f aca="false">IF(C973="","",TRIM(RIGHT(SUBSTITUTE(C973," ",REPT(" ",100)),100)))</f>
        <v/>
      </c>
      <c r="E973" s="0" t="str">
        <f aca="false">IF(D973="","",UPPER(SUBSTITUTE(SUBSTITUTE(D973,"(",""),")","")))</f>
        <v/>
      </c>
      <c r="F973" s="0" t="str">
        <f aca="false">IF(C973="","",LEFT(C973,FIND(" ",C973&amp;" ")-1))</f>
        <v/>
      </c>
      <c r="G973" s="0" t="n">
        <f aca="false">IFERROR(VALUE(SUBSTITUTE(LOWER(F973),"x","")),0)</f>
        <v>0</v>
      </c>
      <c r="H973" s="0" t="str">
        <f aca="false">IF(C973="","",TRIM(MID(C973,LEN(F973)+2,999)))</f>
        <v/>
      </c>
      <c r="I973" s="0" t="n">
        <f aca="false">IF(OR(C973="",LEFT(C973,2)="//"),0,IFERROR(IF(AND(G973&gt;0,G973=INT(G973),FIND("-",E973)&gt;1,NOT(EXACT(UPPER(LEFT(E973,1)),LOWER(LEFT(E973,1)))),ISNUMBER(VALUE(MID(E973,FIND("-",E973)+1,10)))),1,0),0))</f>
        <v>0</v>
      </c>
      <c r="J973" s="0" t="str">
        <f aca="false">IF(I973=1,TRIM(LEFT(H973,MAX(0,LEN(H973)-LEN(D973)))),"")</f>
        <v/>
      </c>
      <c r="K973" s="0" t="str">
        <f aca="false">INDEX($P$2:$P$21,A973)</f>
        <v>Deck 17</v>
      </c>
      <c r="L973" s="0" t="n">
        <f aca="false">IF(AND(C973&lt;&gt;"",LEFT(C973,2)&lt;&gt;"//",I973=0),1,0)</f>
        <v>0</v>
      </c>
      <c r="M973" s="0" t="str">
        <f aca="false">IF(I973=1,MAX(M$1:M972)+1,"")</f>
        <v/>
      </c>
      <c r="N973" s="0" t="str">
        <f aca="false">IFERROR(MATCH(ROW()-1,$V$2:$V$1201,0),"")</f>
        <v/>
      </c>
      <c r="R973" s="0" t="str">
        <f aca="false">IF(E973="","",IFERROR(LEFT(E973,FIND("-",E973)-1),E973))</f>
        <v/>
      </c>
      <c r="S973" s="0" t="str">
        <f aca="false">IF(R973="","",IF(ISNUMBER(--MID(R973,1,1)),0,IF(ISNUMBER(--MID(R973,2,1)),1,IF(ISNUMBER(--MID(R973,3,1)),2,IF(ISNUMBER(--MID(R973,4,1)),3,MIN(LEN(R973),4))))))</f>
        <v/>
      </c>
      <c r="T973" s="0" t="str">
        <f aca="false">IF(E973="","",LEFT(R973,S973)&amp;REPT("0",4-S973)&amp;RIGHT("000"&amp;IFERROR(VALUE(MID(R973,S973+1,9)),0),3)&amp;RIGHT("0000"&amp;IFERROR(VALUE(MID(E973,FIND("-",E973)+1,9)),0),4))</f>
        <v/>
      </c>
      <c r="U973" s="0" t="str">
        <f aca="false">IF(I973=1,"K"&amp;RIGHT("00"&amp;A973,2)&amp;T973&amp;RIGHT("00000"&amp;ROW(),5),"")</f>
        <v/>
      </c>
      <c r="V973" s="0" t="str">
        <f aca="false">IF(U973="","",COUNTIFS($I$2:$I$1201,1,$U$2:$U$1201,"&lt;"&amp;U973)+1)</f>
        <v/>
      </c>
    </row>
    <row r="974" customFormat="false" ht="15" hidden="false" customHeight="false" outlineLevel="0" collapsed="false">
      <c r="A974" s="0" t="n">
        <v>17</v>
      </c>
      <c r="B974" s="0" t="n">
        <v>13</v>
      </c>
      <c r="C974" s="0" t="str">
        <f aca="false">TRIM(SUBSTITUTE(INDEX(LISTAS!$A$4:$T$63,B974,A974)&amp;"",CHAR(160)," "))</f>
        <v/>
      </c>
      <c r="D974" s="0" t="str">
        <f aca="false">IF(C974="","",TRIM(RIGHT(SUBSTITUTE(C974," ",REPT(" ",100)),100)))</f>
        <v/>
      </c>
      <c r="E974" s="0" t="str">
        <f aca="false">IF(D974="","",UPPER(SUBSTITUTE(SUBSTITUTE(D974,"(",""),")","")))</f>
        <v/>
      </c>
      <c r="F974" s="0" t="str">
        <f aca="false">IF(C974="","",LEFT(C974,FIND(" ",C974&amp;" ")-1))</f>
        <v/>
      </c>
      <c r="G974" s="0" t="n">
        <f aca="false">IFERROR(VALUE(SUBSTITUTE(LOWER(F974),"x","")),0)</f>
        <v>0</v>
      </c>
      <c r="H974" s="0" t="str">
        <f aca="false">IF(C974="","",TRIM(MID(C974,LEN(F974)+2,999)))</f>
        <v/>
      </c>
      <c r="I974" s="0" t="n">
        <f aca="false">IF(OR(C974="",LEFT(C974,2)="//"),0,IFERROR(IF(AND(G974&gt;0,G974=INT(G974),FIND("-",E974)&gt;1,NOT(EXACT(UPPER(LEFT(E974,1)),LOWER(LEFT(E974,1)))),ISNUMBER(VALUE(MID(E974,FIND("-",E974)+1,10)))),1,0),0))</f>
        <v>0</v>
      </c>
      <c r="J974" s="0" t="str">
        <f aca="false">IF(I974=1,TRIM(LEFT(H974,MAX(0,LEN(H974)-LEN(D974)))),"")</f>
        <v/>
      </c>
      <c r="K974" s="0" t="str">
        <f aca="false">INDEX($P$2:$P$21,A974)</f>
        <v>Deck 17</v>
      </c>
      <c r="L974" s="0" t="n">
        <f aca="false">IF(AND(C974&lt;&gt;"",LEFT(C974,2)&lt;&gt;"//",I974=0),1,0)</f>
        <v>0</v>
      </c>
      <c r="M974" s="0" t="str">
        <f aca="false">IF(I974=1,MAX(M$1:M973)+1,"")</f>
        <v/>
      </c>
      <c r="N974" s="0" t="str">
        <f aca="false">IFERROR(MATCH(ROW()-1,$V$2:$V$1201,0),"")</f>
        <v/>
      </c>
      <c r="R974" s="0" t="str">
        <f aca="false">IF(E974="","",IFERROR(LEFT(E974,FIND("-",E974)-1),E974))</f>
        <v/>
      </c>
      <c r="S974" s="0" t="str">
        <f aca="false">IF(R974="","",IF(ISNUMBER(--MID(R974,1,1)),0,IF(ISNUMBER(--MID(R974,2,1)),1,IF(ISNUMBER(--MID(R974,3,1)),2,IF(ISNUMBER(--MID(R974,4,1)),3,MIN(LEN(R974),4))))))</f>
        <v/>
      </c>
      <c r="T974" s="0" t="str">
        <f aca="false">IF(E974="","",LEFT(R974,S974)&amp;REPT("0",4-S974)&amp;RIGHT("000"&amp;IFERROR(VALUE(MID(R974,S974+1,9)),0),3)&amp;RIGHT("0000"&amp;IFERROR(VALUE(MID(E974,FIND("-",E974)+1,9)),0),4))</f>
        <v/>
      </c>
      <c r="U974" s="0" t="str">
        <f aca="false">IF(I974=1,"K"&amp;RIGHT("00"&amp;A974,2)&amp;T974&amp;RIGHT("00000"&amp;ROW(),5),"")</f>
        <v/>
      </c>
      <c r="V974" s="0" t="str">
        <f aca="false">IF(U974="","",COUNTIFS($I$2:$I$1201,1,$U$2:$U$1201,"&lt;"&amp;U974)+1)</f>
        <v/>
      </c>
    </row>
    <row r="975" customFormat="false" ht="15" hidden="false" customHeight="false" outlineLevel="0" collapsed="false">
      <c r="A975" s="0" t="n">
        <v>17</v>
      </c>
      <c r="B975" s="0" t="n">
        <v>14</v>
      </c>
      <c r="C975" s="0" t="str">
        <f aca="false">TRIM(SUBSTITUTE(INDEX(LISTAS!$A$4:$T$63,B975,A975)&amp;"",CHAR(160)," "))</f>
        <v/>
      </c>
      <c r="D975" s="0" t="str">
        <f aca="false">IF(C975="","",TRIM(RIGHT(SUBSTITUTE(C975," ",REPT(" ",100)),100)))</f>
        <v/>
      </c>
      <c r="E975" s="0" t="str">
        <f aca="false">IF(D975="","",UPPER(SUBSTITUTE(SUBSTITUTE(D975,"(",""),")","")))</f>
        <v/>
      </c>
      <c r="F975" s="0" t="str">
        <f aca="false">IF(C975="","",LEFT(C975,FIND(" ",C975&amp;" ")-1))</f>
        <v/>
      </c>
      <c r="G975" s="0" t="n">
        <f aca="false">IFERROR(VALUE(SUBSTITUTE(LOWER(F975),"x","")),0)</f>
        <v>0</v>
      </c>
      <c r="H975" s="0" t="str">
        <f aca="false">IF(C975="","",TRIM(MID(C975,LEN(F975)+2,999)))</f>
        <v/>
      </c>
      <c r="I975" s="0" t="n">
        <f aca="false">IF(OR(C975="",LEFT(C975,2)="//"),0,IFERROR(IF(AND(G975&gt;0,G975=INT(G975),FIND("-",E975)&gt;1,NOT(EXACT(UPPER(LEFT(E975,1)),LOWER(LEFT(E975,1)))),ISNUMBER(VALUE(MID(E975,FIND("-",E975)+1,10)))),1,0),0))</f>
        <v>0</v>
      </c>
      <c r="J975" s="0" t="str">
        <f aca="false">IF(I975=1,TRIM(LEFT(H975,MAX(0,LEN(H975)-LEN(D975)))),"")</f>
        <v/>
      </c>
      <c r="K975" s="0" t="str">
        <f aca="false">INDEX($P$2:$P$21,A975)</f>
        <v>Deck 17</v>
      </c>
      <c r="L975" s="0" t="n">
        <f aca="false">IF(AND(C975&lt;&gt;"",LEFT(C975,2)&lt;&gt;"//",I975=0),1,0)</f>
        <v>0</v>
      </c>
      <c r="M975" s="0" t="str">
        <f aca="false">IF(I975=1,MAX(M$1:M974)+1,"")</f>
        <v/>
      </c>
      <c r="N975" s="0" t="str">
        <f aca="false">IFERROR(MATCH(ROW()-1,$V$2:$V$1201,0),"")</f>
        <v/>
      </c>
      <c r="R975" s="0" t="str">
        <f aca="false">IF(E975="","",IFERROR(LEFT(E975,FIND("-",E975)-1),E975))</f>
        <v/>
      </c>
      <c r="S975" s="0" t="str">
        <f aca="false">IF(R975="","",IF(ISNUMBER(--MID(R975,1,1)),0,IF(ISNUMBER(--MID(R975,2,1)),1,IF(ISNUMBER(--MID(R975,3,1)),2,IF(ISNUMBER(--MID(R975,4,1)),3,MIN(LEN(R975),4))))))</f>
        <v/>
      </c>
      <c r="T975" s="0" t="str">
        <f aca="false">IF(E975="","",LEFT(R975,S975)&amp;REPT("0",4-S975)&amp;RIGHT("000"&amp;IFERROR(VALUE(MID(R975,S975+1,9)),0),3)&amp;RIGHT("0000"&amp;IFERROR(VALUE(MID(E975,FIND("-",E975)+1,9)),0),4))</f>
        <v/>
      </c>
      <c r="U975" s="0" t="str">
        <f aca="false">IF(I975=1,"K"&amp;RIGHT("00"&amp;A975,2)&amp;T975&amp;RIGHT("00000"&amp;ROW(),5),"")</f>
        <v/>
      </c>
      <c r="V975" s="0" t="str">
        <f aca="false">IF(U975="","",COUNTIFS($I$2:$I$1201,1,$U$2:$U$1201,"&lt;"&amp;U975)+1)</f>
        <v/>
      </c>
    </row>
    <row r="976" customFormat="false" ht="15" hidden="false" customHeight="false" outlineLevel="0" collapsed="false">
      <c r="A976" s="0" t="n">
        <v>17</v>
      </c>
      <c r="B976" s="0" t="n">
        <v>15</v>
      </c>
      <c r="C976" s="0" t="str">
        <f aca="false">TRIM(SUBSTITUTE(INDEX(LISTAS!$A$4:$T$63,B976,A976)&amp;"",CHAR(160)," "))</f>
        <v/>
      </c>
      <c r="D976" s="0" t="str">
        <f aca="false">IF(C976="","",TRIM(RIGHT(SUBSTITUTE(C976," ",REPT(" ",100)),100)))</f>
        <v/>
      </c>
      <c r="E976" s="0" t="str">
        <f aca="false">IF(D976="","",UPPER(SUBSTITUTE(SUBSTITUTE(D976,"(",""),")","")))</f>
        <v/>
      </c>
      <c r="F976" s="0" t="str">
        <f aca="false">IF(C976="","",LEFT(C976,FIND(" ",C976&amp;" ")-1))</f>
        <v/>
      </c>
      <c r="G976" s="0" t="n">
        <f aca="false">IFERROR(VALUE(SUBSTITUTE(LOWER(F976),"x","")),0)</f>
        <v>0</v>
      </c>
      <c r="H976" s="0" t="str">
        <f aca="false">IF(C976="","",TRIM(MID(C976,LEN(F976)+2,999)))</f>
        <v/>
      </c>
      <c r="I976" s="0" t="n">
        <f aca="false">IF(OR(C976="",LEFT(C976,2)="//"),0,IFERROR(IF(AND(G976&gt;0,G976=INT(G976),FIND("-",E976)&gt;1,NOT(EXACT(UPPER(LEFT(E976,1)),LOWER(LEFT(E976,1)))),ISNUMBER(VALUE(MID(E976,FIND("-",E976)+1,10)))),1,0),0))</f>
        <v>0</v>
      </c>
      <c r="J976" s="0" t="str">
        <f aca="false">IF(I976=1,TRIM(LEFT(H976,MAX(0,LEN(H976)-LEN(D976)))),"")</f>
        <v/>
      </c>
      <c r="K976" s="0" t="str">
        <f aca="false">INDEX($P$2:$P$21,A976)</f>
        <v>Deck 17</v>
      </c>
      <c r="L976" s="0" t="n">
        <f aca="false">IF(AND(C976&lt;&gt;"",LEFT(C976,2)&lt;&gt;"//",I976=0),1,0)</f>
        <v>0</v>
      </c>
      <c r="M976" s="0" t="str">
        <f aca="false">IF(I976=1,MAX(M$1:M975)+1,"")</f>
        <v/>
      </c>
      <c r="N976" s="0" t="str">
        <f aca="false">IFERROR(MATCH(ROW()-1,$V$2:$V$1201,0),"")</f>
        <v/>
      </c>
      <c r="R976" s="0" t="str">
        <f aca="false">IF(E976="","",IFERROR(LEFT(E976,FIND("-",E976)-1),E976))</f>
        <v/>
      </c>
      <c r="S976" s="0" t="str">
        <f aca="false">IF(R976="","",IF(ISNUMBER(--MID(R976,1,1)),0,IF(ISNUMBER(--MID(R976,2,1)),1,IF(ISNUMBER(--MID(R976,3,1)),2,IF(ISNUMBER(--MID(R976,4,1)),3,MIN(LEN(R976),4))))))</f>
        <v/>
      </c>
      <c r="T976" s="0" t="str">
        <f aca="false">IF(E976="","",LEFT(R976,S976)&amp;REPT("0",4-S976)&amp;RIGHT("000"&amp;IFERROR(VALUE(MID(R976,S976+1,9)),0),3)&amp;RIGHT("0000"&amp;IFERROR(VALUE(MID(E976,FIND("-",E976)+1,9)),0),4))</f>
        <v/>
      </c>
      <c r="U976" s="0" t="str">
        <f aca="false">IF(I976=1,"K"&amp;RIGHT("00"&amp;A976,2)&amp;T976&amp;RIGHT("00000"&amp;ROW(),5),"")</f>
        <v/>
      </c>
      <c r="V976" s="0" t="str">
        <f aca="false">IF(U976="","",COUNTIFS($I$2:$I$1201,1,$U$2:$U$1201,"&lt;"&amp;U976)+1)</f>
        <v/>
      </c>
    </row>
    <row r="977" customFormat="false" ht="15" hidden="false" customHeight="false" outlineLevel="0" collapsed="false">
      <c r="A977" s="0" t="n">
        <v>17</v>
      </c>
      <c r="B977" s="0" t="n">
        <v>16</v>
      </c>
      <c r="C977" s="0" t="str">
        <f aca="false">TRIM(SUBSTITUTE(INDEX(LISTAS!$A$4:$T$63,B977,A977)&amp;"",CHAR(160)," "))</f>
        <v/>
      </c>
      <c r="D977" s="0" t="str">
        <f aca="false">IF(C977="","",TRIM(RIGHT(SUBSTITUTE(C977," ",REPT(" ",100)),100)))</f>
        <v/>
      </c>
      <c r="E977" s="0" t="str">
        <f aca="false">IF(D977="","",UPPER(SUBSTITUTE(SUBSTITUTE(D977,"(",""),")","")))</f>
        <v/>
      </c>
      <c r="F977" s="0" t="str">
        <f aca="false">IF(C977="","",LEFT(C977,FIND(" ",C977&amp;" ")-1))</f>
        <v/>
      </c>
      <c r="G977" s="0" t="n">
        <f aca="false">IFERROR(VALUE(SUBSTITUTE(LOWER(F977),"x","")),0)</f>
        <v>0</v>
      </c>
      <c r="H977" s="0" t="str">
        <f aca="false">IF(C977="","",TRIM(MID(C977,LEN(F977)+2,999)))</f>
        <v/>
      </c>
      <c r="I977" s="0" t="n">
        <f aca="false">IF(OR(C977="",LEFT(C977,2)="//"),0,IFERROR(IF(AND(G977&gt;0,G977=INT(G977),FIND("-",E977)&gt;1,NOT(EXACT(UPPER(LEFT(E977,1)),LOWER(LEFT(E977,1)))),ISNUMBER(VALUE(MID(E977,FIND("-",E977)+1,10)))),1,0),0))</f>
        <v>0</v>
      </c>
      <c r="J977" s="0" t="str">
        <f aca="false">IF(I977=1,TRIM(LEFT(H977,MAX(0,LEN(H977)-LEN(D977)))),"")</f>
        <v/>
      </c>
      <c r="K977" s="0" t="str">
        <f aca="false">INDEX($P$2:$P$21,A977)</f>
        <v>Deck 17</v>
      </c>
      <c r="L977" s="0" t="n">
        <f aca="false">IF(AND(C977&lt;&gt;"",LEFT(C977,2)&lt;&gt;"//",I977=0),1,0)</f>
        <v>0</v>
      </c>
      <c r="M977" s="0" t="str">
        <f aca="false">IF(I977=1,MAX(M$1:M976)+1,"")</f>
        <v/>
      </c>
      <c r="N977" s="0" t="str">
        <f aca="false">IFERROR(MATCH(ROW()-1,$V$2:$V$1201,0),"")</f>
        <v/>
      </c>
      <c r="R977" s="0" t="str">
        <f aca="false">IF(E977="","",IFERROR(LEFT(E977,FIND("-",E977)-1),E977))</f>
        <v/>
      </c>
      <c r="S977" s="0" t="str">
        <f aca="false">IF(R977="","",IF(ISNUMBER(--MID(R977,1,1)),0,IF(ISNUMBER(--MID(R977,2,1)),1,IF(ISNUMBER(--MID(R977,3,1)),2,IF(ISNUMBER(--MID(R977,4,1)),3,MIN(LEN(R977),4))))))</f>
        <v/>
      </c>
      <c r="T977" s="0" t="str">
        <f aca="false">IF(E977="","",LEFT(R977,S977)&amp;REPT("0",4-S977)&amp;RIGHT("000"&amp;IFERROR(VALUE(MID(R977,S977+1,9)),0),3)&amp;RIGHT("0000"&amp;IFERROR(VALUE(MID(E977,FIND("-",E977)+1,9)),0),4))</f>
        <v/>
      </c>
      <c r="U977" s="0" t="str">
        <f aca="false">IF(I977=1,"K"&amp;RIGHT("00"&amp;A977,2)&amp;T977&amp;RIGHT("00000"&amp;ROW(),5),"")</f>
        <v/>
      </c>
      <c r="V977" s="0" t="str">
        <f aca="false">IF(U977="","",COUNTIFS($I$2:$I$1201,1,$U$2:$U$1201,"&lt;"&amp;U977)+1)</f>
        <v/>
      </c>
    </row>
    <row r="978" customFormat="false" ht="15" hidden="false" customHeight="false" outlineLevel="0" collapsed="false">
      <c r="A978" s="0" t="n">
        <v>17</v>
      </c>
      <c r="B978" s="0" t="n">
        <v>17</v>
      </c>
      <c r="C978" s="0" t="str">
        <f aca="false">TRIM(SUBSTITUTE(INDEX(LISTAS!$A$4:$T$63,B978,A978)&amp;"",CHAR(160)," "))</f>
        <v/>
      </c>
      <c r="D978" s="0" t="str">
        <f aca="false">IF(C978="","",TRIM(RIGHT(SUBSTITUTE(C978," ",REPT(" ",100)),100)))</f>
        <v/>
      </c>
      <c r="E978" s="0" t="str">
        <f aca="false">IF(D978="","",UPPER(SUBSTITUTE(SUBSTITUTE(D978,"(",""),")","")))</f>
        <v/>
      </c>
      <c r="F978" s="0" t="str">
        <f aca="false">IF(C978="","",LEFT(C978,FIND(" ",C978&amp;" ")-1))</f>
        <v/>
      </c>
      <c r="G978" s="0" t="n">
        <f aca="false">IFERROR(VALUE(SUBSTITUTE(LOWER(F978),"x","")),0)</f>
        <v>0</v>
      </c>
      <c r="H978" s="0" t="str">
        <f aca="false">IF(C978="","",TRIM(MID(C978,LEN(F978)+2,999)))</f>
        <v/>
      </c>
      <c r="I978" s="0" t="n">
        <f aca="false">IF(OR(C978="",LEFT(C978,2)="//"),0,IFERROR(IF(AND(G978&gt;0,G978=INT(G978),FIND("-",E978)&gt;1,NOT(EXACT(UPPER(LEFT(E978,1)),LOWER(LEFT(E978,1)))),ISNUMBER(VALUE(MID(E978,FIND("-",E978)+1,10)))),1,0),0))</f>
        <v>0</v>
      </c>
      <c r="J978" s="0" t="str">
        <f aca="false">IF(I978=1,TRIM(LEFT(H978,MAX(0,LEN(H978)-LEN(D978)))),"")</f>
        <v/>
      </c>
      <c r="K978" s="0" t="str">
        <f aca="false">INDEX($P$2:$P$21,A978)</f>
        <v>Deck 17</v>
      </c>
      <c r="L978" s="0" t="n">
        <f aca="false">IF(AND(C978&lt;&gt;"",LEFT(C978,2)&lt;&gt;"//",I978=0),1,0)</f>
        <v>0</v>
      </c>
      <c r="M978" s="0" t="str">
        <f aca="false">IF(I978=1,MAX(M$1:M977)+1,"")</f>
        <v/>
      </c>
      <c r="N978" s="0" t="str">
        <f aca="false">IFERROR(MATCH(ROW()-1,$V$2:$V$1201,0),"")</f>
        <v/>
      </c>
      <c r="R978" s="0" t="str">
        <f aca="false">IF(E978="","",IFERROR(LEFT(E978,FIND("-",E978)-1),E978))</f>
        <v/>
      </c>
      <c r="S978" s="0" t="str">
        <f aca="false">IF(R978="","",IF(ISNUMBER(--MID(R978,1,1)),0,IF(ISNUMBER(--MID(R978,2,1)),1,IF(ISNUMBER(--MID(R978,3,1)),2,IF(ISNUMBER(--MID(R978,4,1)),3,MIN(LEN(R978),4))))))</f>
        <v/>
      </c>
      <c r="T978" s="0" t="str">
        <f aca="false">IF(E978="","",LEFT(R978,S978)&amp;REPT("0",4-S978)&amp;RIGHT("000"&amp;IFERROR(VALUE(MID(R978,S978+1,9)),0),3)&amp;RIGHT("0000"&amp;IFERROR(VALUE(MID(E978,FIND("-",E978)+1,9)),0),4))</f>
        <v/>
      </c>
      <c r="U978" s="0" t="str">
        <f aca="false">IF(I978=1,"K"&amp;RIGHT("00"&amp;A978,2)&amp;T978&amp;RIGHT("00000"&amp;ROW(),5),"")</f>
        <v/>
      </c>
      <c r="V978" s="0" t="str">
        <f aca="false">IF(U978="","",COUNTIFS($I$2:$I$1201,1,$U$2:$U$1201,"&lt;"&amp;U978)+1)</f>
        <v/>
      </c>
    </row>
    <row r="979" customFormat="false" ht="15" hidden="false" customHeight="false" outlineLevel="0" collapsed="false">
      <c r="A979" s="0" t="n">
        <v>17</v>
      </c>
      <c r="B979" s="0" t="n">
        <v>18</v>
      </c>
      <c r="C979" s="0" t="str">
        <f aca="false">TRIM(SUBSTITUTE(INDEX(LISTAS!$A$4:$T$63,B979,A979)&amp;"",CHAR(160)," "))</f>
        <v/>
      </c>
      <c r="D979" s="0" t="str">
        <f aca="false">IF(C979="","",TRIM(RIGHT(SUBSTITUTE(C979," ",REPT(" ",100)),100)))</f>
        <v/>
      </c>
      <c r="E979" s="0" t="str">
        <f aca="false">IF(D979="","",UPPER(SUBSTITUTE(SUBSTITUTE(D979,"(",""),")","")))</f>
        <v/>
      </c>
      <c r="F979" s="0" t="str">
        <f aca="false">IF(C979="","",LEFT(C979,FIND(" ",C979&amp;" ")-1))</f>
        <v/>
      </c>
      <c r="G979" s="0" t="n">
        <f aca="false">IFERROR(VALUE(SUBSTITUTE(LOWER(F979),"x","")),0)</f>
        <v>0</v>
      </c>
      <c r="H979" s="0" t="str">
        <f aca="false">IF(C979="","",TRIM(MID(C979,LEN(F979)+2,999)))</f>
        <v/>
      </c>
      <c r="I979" s="0" t="n">
        <f aca="false">IF(OR(C979="",LEFT(C979,2)="//"),0,IFERROR(IF(AND(G979&gt;0,G979=INT(G979),FIND("-",E979)&gt;1,NOT(EXACT(UPPER(LEFT(E979,1)),LOWER(LEFT(E979,1)))),ISNUMBER(VALUE(MID(E979,FIND("-",E979)+1,10)))),1,0),0))</f>
        <v>0</v>
      </c>
      <c r="J979" s="0" t="str">
        <f aca="false">IF(I979=1,TRIM(LEFT(H979,MAX(0,LEN(H979)-LEN(D979)))),"")</f>
        <v/>
      </c>
      <c r="K979" s="0" t="str">
        <f aca="false">INDEX($P$2:$P$21,A979)</f>
        <v>Deck 17</v>
      </c>
      <c r="L979" s="0" t="n">
        <f aca="false">IF(AND(C979&lt;&gt;"",LEFT(C979,2)&lt;&gt;"//",I979=0),1,0)</f>
        <v>0</v>
      </c>
      <c r="M979" s="0" t="str">
        <f aca="false">IF(I979=1,MAX(M$1:M978)+1,"")</f>
        <v/>
      </c>
      <c r="N979" s="0" t="str">
        <f aca="false">IFERROR(MATCH(ROW()-1,$V$2:$V$1201,0),"")</f>
        <v/>
      </c>
      <c r="R979" s="0" t="str">
        <f aca="false">IF(E979="","",IFERROR(LEFT(E979,FIND("-",E979)-1),E979))</f>
        <v/>
      </c>
      <c r="S979" s="0" t="str">
        <f aca="false">IF(R979="","",IF(ISNUMBER(--MID(R979,1,1)),0,IF(ISNUMBER(--MID(R979,2,1)),1,IF(ISNUMBER(--MID(R979,3,1)),2,IF(ISNUMBER(--MID(R979,4,1)),3,MIN(LEN(R979),4))))))</f>
        <v/>
      </c>
      <c r="T979" s="0" t="str">
        <f aca="false">IF(E979="","",LEFT(R979,S979)&amp;REPT("0",4-S979)&amp;RIGHT("000"&amp;IFERROR(VALUE(MID(R979,S979+1,9)),0),3)&amp;RIGHT("0000"&amp;IFERROR(VALUE(MID(E979,FIND("-",E979)+1,9)),0),4))</f>
        <v/>
      </c>
      <c r="U979" s="0" t="str">
        <f aca="false">IF(I979=1,"K"&amp;RIGHT("00"&amp;A979,2)&amp;T979&amp;RIGHT("00000"&amp;ROW(),5),"")</f>
        <v/>
      </c>
      <c r="V979" s="0" t="str">
        <f aca="false">IF(U979="","",COUNTIFS($I$2:$I$1201,1,$U$2:$U$1201,"&lt;"&amp;U979)+1)</f>
        <v/>
      </c>
    </row>
    <row r="980" customFormat="false" ht="15" hidden="false" customHeight="false" outlineLevel="0" collapsed="false">
      <c r="A980" s="0" t="n">
        <v>17</v>
      </c>
      <c r="B980" s="0" t="n">
        <v>19</v>
      </c>
      <c r="C980" s="0" t="str">
        <f aca="false">TRIM(SUBSTITUTE(INDEX(LISTAS!$A$4:$T$63,B980,A980)&amp;"",CHAR(160)," "))</f>
        <v/>
      </c>
      <c r="D980" s="0" t="str">
        <f aca="false">IF(C980="","",TRIM(RIGHT(SUBSTITUTE(C980," ",REPT(" ",100)),100)))</f>
        <v/>
      </c>
      <c r="E980" s="0" t="str">
        <f aca="false">IF(D980="","",UPPER(SUBSTITUTE(SUBSTITUTE(D980,"(",""),")","")))</f>
        <v/>
      </c>
      <c r="F980" s="0" t="str">
        <f aca="false">IF(C980="","",LEFT(C980,FIND(" ",C980&amp;" ")-1))</f>
        <v/>
      </c>
      <c r="G980" s="0" t="n">
        <f aca="false">IFERROR(VALUE(SUBSTITUTE(LOWER(F980),"x","")),0)</f>
        <v>0</v>
      </c>
      <c r="H980" s="0" t="str">
        <f aca="false">IF(C980="","",TRIM(MID(C980,LEN(F980)+2,999)))</f>
        <v/>
      </c>
      <c r="I980" s="0" t="n">
        <f aca="false">IF(OR(C980="",LEFT(C980,2)="//"),0,IFERROR(IF(AND(G980&gt;0,G980=INT(G980),FIND("-",E980)&gt;1,NOT(EXACT(UPPER(LEFT(E980,1)),LOWER(LEFT(E980,1)))),ISNUMBER(VALUE(MID(E980,FIND("-",E980)+1,10)))),1,0),0))</f>
        <v>0</v>
      </c>
      <c r="J980" s="0" t="str">
        <f aca="false">IF(I980=1,TRIM(LEFT(H980,MAX(0,LEN(H980)-LEN(D980)))),"")</f>
        <v/>
      </c>
      <c r="K980" s="0" t="str">
        <f aca="false">INDEX($P$2:$P$21,A980)</f>
        <v>Deck 17</v>
      </c>
      <c r="L980" s="0" t="n">
        <f aca="false">IF(AND(C980&lt;&gt;"",LEFT(C980,2)&lt;&gt;"//",I980=0),1,0)</f>
        <v>0</v>
      </c>
      <c r="M980" s="0" t="str">
        <f aca="false">IF(I980=1,MAX(M$1:M979)+1,"")</f>
        <v/>
      </c>
      <c r="N980" s="0" t="str">
        <f aca="false">IFERROR(MATCH(ROW()-1,$V$2:$V$1201,0),"")</f>
        <v/>
      </c>
      <c r="R980" s="0" t="str">
        <f aca="false">IF(E980="","",IFERROR(LEFT(E980,FIND("-",E980)-1),E980))</f>
        <v/>
      </c>
      <c r="S980" s="0" t="str">
        <f aca="false">IF(R980="","",IF(ISNUMBER(--MID(R980,1,1)),0,IF(ISNUMBER(--MID(R980,2,1)),1,IF(ISNUMBER(--MID(R980,3,1)),2,IF(ISNUMBER(--MID(R980,4,1)),3,MIN(LEN(R980),4))))))</f>
        <v/>
      </c>
      <c r="T980" s="0" t="str">
        <f aca="false">IF(E980="","",LEFT(R980,S980)&amp;REPT("0",4-S980)&amp;RIGHT("000"&amp;IFERROR(VALUE(MID(R980,S980+1,9)),0),3)&amp;RIGHT("0000"&amp;IFERROR(VALUE(MID(E980,FIND("-",E980)+1,9)),0),4))</f>
        <v/>
      </c>
      <c r="U980" s="0" t="str">
        <f aca="false">IF(I980=1,"K"&amp;RIGHT("00"&amp;A980,2)&amp;T980&amp;RIGHT("00000"&amp;ROW(),5),"")</f>
        <v/>
      </c>
      <c r="V980" s="0" t="str">
        <f aca="false">IF(U980="","",COUNTIFS($I$2:$I$1201,1,$U$2:$U$1201,"&lt;"&amp;U980)+1)</f>
        <v/>
      </c>
    </row>
    <row r="981" customFormat="false" ht="15" hidden="false" customHeight="false" outlineLevel="0" collapsed="false">
      <c r="A981" s="0" t="n">
        <v>17</v>
      </c>
      <c r="B981" s="0" t="n">
        <v>20</v>
      </c>
      <c r="C981" s="0" t="str">
        <f aca="false">TRIM(SUBSTITUTE(INDEX(LISTAS!$A$4:$T$63,B981,A981)&amp;"",CHAR(160)," "))</f>
        <v/>
      </c>
      <c r="D981" s="0" t="str">
        <f aca="false">IF(C981="","",TRIM(RIGHT(SUBSTITUTE(C981," ",REPT(" ",100)),100)))</f>
        <v/>
      </c>
      <c r="E981" s="0" t="str">
        <f aca="false">IF(D981="","",UPPER(SUBSTITUTE(SUBSTITUTE(D981,"(",""),")","")))</f>
        <v/>
      </c>
      <c r="F981" s="0" t="str">
        <f aca="false">IF(C981="","",LEFT(C981,FIND(" ",C981&amp;" ")-1))</f>
        <v/>
      </c>
      <c r="G981" s="0" t="n">
        <f aca="false">IFERROR(VALUE(SUBSTITUTE(LOWER(F981),"x","")),0)</f>
        <v>0</v>
      </c>
      <c r="H981" s="0" t="str">
        <f aca="false">IF(C981="","",TRIM(MID(C981,LEN(F981)+2,999)))</f>
        <v/>
      </c>
      <c r="I981" s="0" t="n">
        <f aca="false">IF(OR(C981="",LEFT(C981,2)="//"),0,IFERROR(IF(AND(G981&gt;0,G981=INT(G981),FIND("-",E981)&gt;1,NOT(EXACT(UPPER(LEFT(E981,1)),LOWER(LEFT(E981,1)))),ISNUMBER(VALUE(MID(E981,FIND("-",E981)+1,10)))),1,0),0))</f>
        <v>0</v>
      </c>
      <c r="J981" s="0" t="str">
        <f aca="false">IF(I981=1,TRIM(LEFT(H981,MAX(0,LEN(H981)-LEN(D981)))),"")</f>
        <v/>
      </c>
      <c r="K981" s="0" t="str">
        <f aca="false">INDEX($P$2:$P$21,A981)</f>
        <v>Deck 17</v>
      </c>
      <c r="L981" s="0" t="n">
        <f aca="false">IF(AND(C981&lt;&gt;"",LEFT(C981,2)&lt;&gt;"//",I981=0),1,0)</f>
        <v>0</v>
      </c>
      <c r="M981" s="0" t="str">
        <f aca="false">IF(I981=1,MAX(M$1:M980)+1,"")</f>
        <v/>
      </c>
      <c r="N981" s="0" t="str">
        <f aca="false">IFERROR(MATCH(ROW()-1,$V$2:$V$1201,0),"")</f>
        <v/>
      </c>
      <c r="R981" s="0" t="str">
        <f aca="false">IF(E981="","",IFERROR(LEFT(E981,FIND("-",E981)-1),E981))</f>
        <v/>
      </c>
      <c r="S981" s="0" t="str">
        <f aca="false">IF(R981="","",IF(ISNUMBER(--MID(R981,1,1)),0,IF(ISNUMBER(--MID(R981,2,1)),1,IF(ISNUMBER(--MID(R981,3,1)),2,IF(ISNUMBER(--MID(R981,4,1)),3,MIN(LEN(R981),4))))))</f>
        <v/>
      </c>
      <c r="T981" s="0" t="str">
        <f aca="false">IF(E981="","",LEFT(R981,S981)&amp;REPT("0",4-S981)&amp;RIGHT("000"&amp;IFERROR(VALUE(MID(R981,S981+1,9)),0),3)&amp;RIGHT("0000"&amp;IFERROR(VALUE(MID(E981,FIND("-",E981)+1,9)),0),4))</f>
        <v/>
      </c>
      <c r="U981" s="0" t="str">
        <f aca="false">IF(I981=1,"K"&amp;RIGHT("00"&amp;A981,2)&amp;T981&amp;RIGHT("00000"&amp;ROW(),5),"")</f>
        <v/>
      </c>
      <c r="V981" s="0" t="str">
        <f aca="false">IF(U981="","",COUNTIFS($I$2:$I$1201,1,$U$2:$U$1201,"&lt;"&amp;U981)+1)</f>
        <v/>
      </c>
    </row>
    <row r="982" customFormat="false" ht="15" hidden="false" customHeight="false" outlineLevel="0" collapsed="false">
      <c r="A982" s="0" t="n">
        <v>17</v>
      </c>
      <c r="B982" s="0" t="n">
        <v>21</v>
      </c>
      <c r="C982" s="0" t="str">
        <f aca="false">TRIM(SUBSTITUTE(INDEX(LISTAS!$A$4:$T$63,B982,A982)&amp;"",CHAR(160)," "))</f>
        <v/>
      </c>
      <c r="D982" s="0" t="str">
        <f aca="false">IF(C982="","",TRIM(RIGHT(SUBSTITUTE(C982," ",REPT(" ",100)),100)))</f>
        <v/>
      </c>
      <c r="E982" s="0" t="str">
        <f aca="false">IF(D982="","",UPPER(SUBSTITUTE(SUBSTITUTE(D982,"(",""),")","")))</f>
        <v/>
      </c>
      <c r="F982" s="0" t="str">
        <f aca="false">IF(C982="","",LEFT(C982,FIND(" ",C982&amp;" ")-1))</f>
        <v/>
      </c>
      <c r="G982" s="0" t="n">
        <f aca="false">IFERROR(VALUE(SUBSTITUTE(LOWER(F982),"x","")),0)</f>
        <v>0</v>
      </c>
      <c r="H982" s="0" t="str">
        <f aca="false">IF(C982="","",TRIM(MID(C982,LEN(F982)+2,999)))</f>
        <v/>
      </c>
      <c r="I982" s="0" t="n">
        <f aca="false">IF(OR(C982="",LEFT(C982,2)="//"),0,IFERROR(IF(AND(G982&gt;0,G982=INT(G982),FIND("-",E982)&gt;1,NOT(EXACT(UPPER(LEFT(E982,1)),LOWER(LEFT(E982,1)))),ISNUMBER(VALUE(MID(E982,FIND("-",E982)+1,10)))),1,0),0))</f>
        <v>0</v>
      </c>
      <c r="J982" s="0" t="str">
        <f aca="false">IF(I982=1,TRIM(LEFT(H982,MAX(0,LEN(H982)-LEN(D982)))),"")</f>
        <v/>
      </c>
      <c r="K982" s="0" t="str">
        <f aca="false">INDEX($P$2:$P$21,A982)</f>
        <v>Deck 17</v>
      </c>
      <c r="L982" s="0" t="n">
        <f aca="false">IF(AND(C982&lt;&gt;"",LEFT(C982,2)&lt;&gt;"//",I982=0),1,0)</f>
        <v>0</v>
      </c>
      <c r="M982" s="0" t="str">
        <f aca="false">IF(I982=1,MAX(M$1:M981)+1,"")</f>
        <v/>
      </c>
      <c r="N982" s="0" t="str">
        <f aca="false">IFERROR(MATCH(ROW()-1,$V$2:$V$1201,0),"")</f>
        <v/>
      </c>
      <c r="R982" s="0" t="str">
        <f aca="false">IF(E982="","",IFERROR(LEFT(E982,FIND("-",E982)-1),E982))</f>
        <v/>
      </c>
      <c r="S982" s="0" t="str">
        <f aca="false">IF(R982="","",IF(ISNUMBER(--MID(R982,1,1)),0,IF(ISNUMBER(--MID(R982,2,1)),1,IF(ISNUMBER(--MID(R982,3,1)),2,IF(ISNUMBER(--MID(R982,4,1)),3,MIN(LEN(R982),4))))))</f>
        <v/>
      </c>
      <c r="T982" s="0" t="str">
        <f aca="false">IF(E982="","",LEFT(R982,S982)&amp;REPT("0",4-S982)&amp;RIGHT("000"&amp;IFERROR(VALUE(MID(R982,S982+1,9)),0),3)&amp;RIGHT("0000"&amp;IFERROR(VALUE(MID(E982,FIND("-",E982)+1,9)),0),4))</f>
        <v/>
      </c>
      <c r="U982" s="0" t="str">
        <f aca="false">IF(I982=1,"K"&amp;RIGHT("00"&amp;A982,2)&amp;T982&amp;RIGHT("00000"&amp;ROW(),5),"")</f>
        <v/>
      </c>
      <c r="V982" s="0" t="str">
        <f aca="false">IF(U982="","",COUNTIFS($I$2:$I$1201,1,$U$2:$U$1201,"&lt;"&amp;U982)+1)</f>
        <v/>
      </c>
    </row>
    <row r="983" customFormat="false" ht="15" hidden="false" customHeight="false" outlineLevel="0" collapsed="false">
      <c r="A983" s="0" t="n">
        <v>17</v>
      </c>
      <c r="B983" s="0" t="n">
        <v>22</v>
      </c>
      <c r="C983" s="0" t="str">
        <f aca="false">TRIM(SUBSTITUTE(INDEX(LISTAS!$A$4:$T$63,B983,A983)&amp;"",CHAR(160)," "))</f>
        <v/>
      </c>
      <c r="D983" s="0" t="str">
        <f aca="false">IF(C983="","",TRIM(RIGHT(SUBSTITUTE(C983," ",REPT(" ",100)),100)))</f>
        <v/>
      </c>
      <c r="E983" s="0" t="str">
        <f aca="false">IF(D983="","",UPPER(SUBSTITUTE(SUBSTITUTE(D983,"(",""),")","")))</f>
        <v/>
      </c>
      <c r="F983" s="0" t="str">
        <f aca="false">IF(C983="","",LEFT(C983,FIND(" ",C983&amp;" ")-1))</f>
        <v/>
      </c>
      <c r="G983" s="0" t="n">
        <f aca="false">IFERROR(VALUE(SUBSTITUTE(LOWER(F983),"x","")),0)</f>
        <v>0</v>
      </c>
      <c r="H983" s="0" t="str">
        <f aca="false">IF(C983="","",TRIM(MID(C983,LEN(F983)+2,999)))</f>
        <v/>
      </c>
      <c r="I983" s="0" t="n">
        <f aca="false">IF(OR(C983="",LEFT(C983,2)="//"),0,IFERROR(IF(AND(G983&gt;0,G983=INT(G983),FIND("-",E983)&gt;1,NOT(EXACT(UPPER(LEFT(E983,1)),LOWER(LEFT(E983,1)))),ISNUMBER(VALUE(MID(E983,FIND("-",E983)+1,10)))),1,0),0))</f>
        <v>0</v>
      </c>
      <c r="J983" s="0" t="str">
        <f aca="false">IF(I983=1,TRIM(LEFT(H983,MAX(0,LEN(H983)-LEN(D983)))),"")</f>
        <v/>
      </c>
      <c r="K983" s="0" t="str">
        <f aca="false">INDEX($P$2:$P$21,A983)</f>
        <v>Deck 17</v>
      </c>
      <c r="L983" s="0" t="n">
        <f aca="false">IF(AND(C983&lt;&gt;"",LEFT(C983,2)&lt;&gt;"//",I983=0),1,0)</f>
        <v>0</v>
      </c>
      <c r="M983" s="0" t="str">
        <f aca="false">IF(I983=1,MAX(M$1:M982)+1,"")</f>
        <v/>
      </c>
      <c r="N983" s="0" t="str">
        <f aca="false">IFERROR(MATCH(ROW()-1,$V$2:$V$1201,0),"")</f>
        <v/>
      </c>
      <c r="R983" s="0" t="str">
        <f aca="false">IF(E983="","",IFERROR(LEFT(E983,FIND("-",E983)-1),E983))</f>
        <v/>
      </c>
      <c r="S983" s="0" t="str">
        <f aca="false">IF(R983="","",IF(ISNUMBER(--MID(R983,1,1)),0,IF(ISNUMBER(--MID(R983,2,1)),1,IF(ISNUMBER(--MID(R983,3,1)),2,IF(ISNUMBER(--MID(R983,4,1)),3,MIN(LEN(R983),4))))))</f>
        <v/>
      </c>
      <c r="T983" s="0" t="str">
        <f aca="false">IF(E983="","",LEFT(R983,S983)&amp;REPT("0",4-S983)&amp;RIGHT("000"&amp;IFERROR(VALUE(MID(R983,S983+1,9)),0),3)&amp;RIGHT("0000"&amp;IFERROR(VALUE(MID(E983,FIND("-",E983)+1,9)),0),4))</f>
        <v/>
      </c>
      <c r="U983" s="0" t="str">
        <f aca="false">IF(I983=1,"K"&amp;RIGHT("00"&amp;A983,2)&amp;T983&amp;RIGHT("00000"&amp;ROW(),5),"")</f>
        <v/>
      </c>
      <c r="V983" s="0" t="str">
        <f aca="false">IF(U983="","",COUNTIFS($I$2:$I$1201,1,$U$2:$U$1201,"&lt;"&amp;U983)+1)</f>
        <v/>
      </c>
    </row>
    <row r="984" customFormat="false" ht="15" hidden="false" customHeight="false" outlineLevel="0" collapsed="false">
      <c r="A984" s="0" t="n">
        <v>17</v>
      </c>
      <c r="B984" s="0" t="n">
        <v>23</v>
      </c>
      <c r="C984" s="0" t="str">
        <f aca="false">TRIM(SUBSTITUTE(INDEX(LISTAS!$A$4:$T$63,B984,A984)&amp;"",CHAR(160)," "))</f>
        <v/>
      </c>
      <c r="D984" s="0" t="str">
        <f aca="false">IF(C984="","",TRIM(RIGHT(SUBSTITUTE(C984," ",REPT(" ",100)),100)))</f>
        <v/>
      </c>
      <c r="E984" s="0" t="str">
        <f aca="false">IF(D984="","",UPPER(SUBSTITUTE(SUBSTITUTE(D984,"(",""),")","")))</f>
        <v/>
      </c>
      <c r="F984" s="0" t="str">
        <f aca="false">IF(C984="","",LEFT(C984,FIND(" ",C984&amp;" ")-1))</f>
        <v/>
      </c>
      <c r="G984" s="0" t="n">
        <f aca="false">IFERROR(VALUE(SUBSTITUTE(LOWER(F984),"x","")),0)</f>
        <v>0</v>
      </c>
      <c r="H984" s="0" t="str">
        <f aca="false">IF(C984="","",TRIM(MID(C984,LEN(F984)+2,999)))</f>
        <v/>
      </c>
      <c r="I984" s="0" t="n">
        <f aca="false">IF(OR(C984="",LEFT(C984,2)="//"),0,IFERROR(IF(AND(G984&gt;0,G984=INT(G984),FIND("-",E984)&gt;1,NOT(EXACT(UPPER(LEFT(E984,1)),LOWER(LEFT(E984,1)))),ISNUMBER(VALUE(MID(E984,FIND("-",E984)+1,10)))),1,0),0))</f>
        <v>0</v>
      </c>
      <c r="J984" s="0" t="str">
        <f aca="false">IF(I984=1,TRIM(LEFT(H984,MAX(0,LEN(H984)-LEN(D984)))),"")</f>
        <v/>
      </c>
      <c r="K984" s="0" t="str">
        <f aca="false">INDEX($P$2:$P$21,A984)</f>
        <v>Deck 17</v>
      </c>
      <c r="L984" s="0" t="n">
        <f aca="false">IF(AND(C984&lt;&gt;"",LEFT(C984,2)&lt;&gt;"//",I984=0),1,0)</f>
        <v>0</v>
      </c>
      <c r="M984" s="0" t="str">
        <f aca="false">IF(I984=1,MAX(M$1:M983)+1,"")</f>
        <v/>
      </c>
      <c r="N984" s="0" t="str">
        <f aca="false">IFERROR(MATCH(ROW()-1,$V$2:$V$1201,0),"")</f>
        <v/>
      </c>
      <c r="R984" s="0" t="str">
        <f aca="false">IF(E984="","",IFERROR(LEFT(E984,FIND("-",E984)-1),E984))</f>
        <v/>
      </c>
      <c r="S984" s="0" t="str">
        <f aca="false">IF(R984="","",IF(ISNUMBER(--MID(R984,1,1)),0,IF(ISNUMBER(--MID(R984,2,1)),1,IF(ISNUMBER(--MID(R984,3,1)),2,IF(ISNUMBER(--MID(R984,4,1)),3,MIN(LEN(R984),4))))))</f>
        <v/>
      </c>
      <c r="T984" s="0" t="str">
        <f aca="false">IF(E984="","",LEFT(R984,S984)&amp;REPT("0",4-S984)&amp;RIGHT("000"&amp;IFERROR(VALUE(MID(R984,S984+1,9)),0),3)&amp;RIGHT("0000"&amp;IFERROR(VALUE(MID(E984,FIND("-",E984)+1,9)),0),4))</f>
        <v/>
      </c>
      <c r="U984" s="0" t="str">
        <f aca="false">IF(I984=1,"K"&amp;RIGHT("00"&amp;A984,2)&amp;T984&amp;RIGHT("00000"&amp;ROW(),5),"")</f>
        <v/>
      </c>
      <c r="V984" s="0" t="str">
        <f aca="false">IF(U984="","",COUNTIFS($I$2:$I$1201,1,$U$2:$U$1201,"&lt;"&amp;U984)+1)</f>
        <v/>
      </c>
    </row>
    <row r="985" customFormat="false" ht="15" hidden="false" customHeight="false" outlineLevel="0" collapsed="false">
      <c r="A985" s="0" t="n">
        <v>17</v>
      </c>
      <c r="B985" s="0" t="n">
        <v>24</v>
      </c>
      <c r="C985" s="0" t="str">
        <f aca="false">TRIM(SUBSTITUTE(INDEX(LISTAS!$A$4:$T$63,B985,A985)&amp;"",CHAR(160)," "))</f>
        <v/>
      </c>
      <c r="D985" s="0" t="str">
        <f aca="false">IF(C985="","",TRIM(RIGHT(SUBSTITUTE(C985," ",REPT(" ",100)),100)))</f>
        <v/>
      </c>
      <c r="E985" s="0" t="str">
        <f aca="false">IF(D985="","",UPPER(SUBSTITUTE(SUBSTITUTE(D985,"(",""),")","")))</f>
        <v/>
      </c>
      <c r="F985" s="0" t="str">
        <f aca="false">IF(C985="","",LEFT(C985,FIND(" ",C985&amp;" ")-1))</f>
        <v/>
      </c>
      <c r="G985" s="0" t="n">
        <f aca="false">IFERROR(VALUE(SUBSTITUTE(LOWER(F985),"x","")),0)</f>
        <v>0</v>
      </c>
      <c r="H985" s="0" t="str">
        <f aca="false">IF(C985="","",TRIM(MID(C985,LEN(F985)+2,999)))</f>
        <v/>
      </c>
      <c r="I985" s="0" t="n">
        <f aca="false">IF(OR(C985="",LEFT(C985,2)="//"),0,IFERROR(IF(AND(G985&gt;0,G985=INT(G985),FIND("-",E985)&gt;1,NOT(EXACT(UPPER(LEFT(E985,1)),LOWER(LEFT(E985,1)))),ISNUMBER(VALUE(MID(E985,FIND("-",E985)+1,10)))),1,0),0))</f>
        <v>0</v>
      </c>
      <c r="J985" s="0" t="str">
        <f aca="false">IF(I985=1,TRIM(LEFT(H985,MAX(0,LEN(H985)-LEN(D985)))),"")</f>
        <v/>
      </c>
      <c r="K985" s="0" t="str">
        <f aca="false">INDEX($P$2:$P$21,A985)</f>
        <v>Deck 17</v>
      </c>
      <c r="L985" s="0" t="n">
        <f aca="false">IF(AND(C985&lt;&gt;"",LEFT(C985,2)&lt;&gt;"//",I985=0),1,0)</f>
        <v>0</v>
      </c>
      <c r="M985" s="0" t="str">
        <f aca="false">IF(I985=1,MAX(M$1:M984)+1,"")</f>
        <v/>
      </c>
      <c r="N985" s="0" t="str">
        <f aca="false">IFERROR(MATCH(ROW()-1,$V$2:$V$1201,0),"")</f>
        <v/>
      </c>
      <c r="R985" s="0" t="str">
        <f aca="false">IF(E985="","",IFERROR(LEFT(E985,FIND("-",E985)-1),E985))</f>
        <v/>
      </c>
      <c r="S985" s="0" t="str">
        <f aca="false">IF(R985="","",IF(ISNUMBER(--MID(R985,1,1)),0,IF(ISNUMBER(--MID(R985,2,1)),1,IF(ISNUMBER(--MID(R985,3,1)),2,IF(ISNUMBER(--MID(R985,4,1)),3,MIN(LEN(R985),4))))))</f>
        <v/>
      </c>
      <c r="T985" s="0" t="str">
        <f aca="false">IF(E985="","",LEFT(R985,S985)&amp;REPT("0",4-S985)&amp;RIGHT("000"&amp;IFERROR(VALUE(MID(R985,S985+1,9)),0),3)&amp;RIGHT("0000"&amp;IFERROR(VALUE(MID(E985,FIND("-",E985)+1,9)),0),4))</f>
        <v/>
      </c>
      <c r="U985" s="0" t="str">
        <f aca="false">IF(I985=1,"K"&amp;RIGHT("00"&amp;A985,2)&amp;T985&amp;RIGHT("00000"&amp;ROW(),5),"")</f>
        <v/>
      </c>
      <c r="V985" s="0" t="str">
        <f aca="false">IF(U985="","",COUNTIFS($I$2:$I$1201,1,$U$2:$U$1201,"&lt;"&amp;U985)+1)</f>
        <v/>
      </c>
    </row>
    <row r="986" customFormat="false" ht="15" hidden="false" customHeight="false" outlineLevel="0" collapsed="false">
      <c r="A986" s="0" t="n">
        <v>17</v>
      </c>
      <c r="B986" s="0" t="n">
        <v>25</v>
      </c>
      <c r="C986" s="0" t="str">
        <f aca="false">TRIM(SUBSTITUTE(INDEX(LISTAS!$A$4:$T$63,B986,A986)&amp;"",CHAR(160)," "))</f>
        <v/>
      </c>
      <c r="D986" s="0" t="str">
        <f aca="false">IF(C986="","",TRIM(RIGHT(SUBSTITUTE(C986," ",REPT(" ",100)),100)))</f>
        <v/>
      </c>
      <c r="E986" s="0" t="str">
        <f aca="false">IF(D986="","",UPPER(SUBSTITUTE(SUBSTITUTE(D986,"(",""),")","")))</f>
        <v/>
      </c>
      <c r="F986" s="0" t="str">
        <f aca="false">IF(C986="","",LEFT(C986,FIND(" ",C986&amp;" ")-1))</f>
        <v/>
      </c>
      <c r="G986" s="0" t="n">
        <f aca="false">IFERROR(VALUE(SUBSTITUTE(LOWER(F986),"x","")),0)</f>
        <v>0</v>
      </c>
      <c r="H986" s="0" t="str">
        <f aca="false">IF(C986="","",TRIM(MID(C986,LEN(F986)+2,999)))</f>
        <v/>
      </c>
      <c r="I986" s="0" t="n">
        <f aca="false">IF(OR(C986="",LEFT(C986,2)="//"),0,IFERROR(IF(AND(G986&gt;0,G986=INT(G986),FIND("-",E986)&gt;1,NOT(EXACT(UPPER(LEFT(E986,1)),LOWER(LEFT(E986,1)))),ISNUMBER(VALUE(MID(E986,FIND("-",E986)+1,10)))),1,0),0))</f>
        <v>0</v>
      </c>
      <c r="J986" s="0" t="str">
        <f aca="false">IF(I986=1,TRIM(LEFT(H986,MAX(0,LEN(H986)-LEN(D986)))),"")</f>
        <v/>
      </c>
      <c r="K986" s="0" t="str">
        <f aca="false">INDEX($P$2:$P$21,A986)</f>
        <v>Deck 17</v>
      </c>
      <c r="L986" s="0" t="n">
        <f aca="false">IF(AND(C986&lt;&gt;"",LEFT(C986,2)&lt;&gt;"//",I986=0),1,0)</f>
        <v>0</v>
      </c>
      <c r="M986" s="0" t="str">
        <f aca="false">IF(I986=1,MAX(M$1:M985)+1,"")</f>
        <v/>
      </c>
      <c r="N986" s="0" t="str">
        <f aca="false">IFERROR(MATCH(ROW()-1,$V$2:$V$1201,0),"")</f>
        <v/>
      </c>
      <c r="R986" s="0" t="str">
        <f aca="false">IF(E986="","",IFERROR(LEFT(E986,FIND("-",E986)-1),E986))</f>
        <v/>
      </c>
      <c r="S986" s="0" t="str">
        <f aca="false">IF(R986="","",IF(ISNUMBER(--MID(R986,1,1)),0,IF(ISNUMBER(--MID(R986,2,1)),1,IF(ISNUMBER(--MID(R986,3,1)),2,IF(ISNUMBER(--MID(R986,4,1)),3,MIN(LEN(R986),4))))))</f>
        <v/>
      </c>
      <c r="T986" s="0" t="str">
        <f aca="false">IF(E986="","",LEFT(R986,S986)&amp;REPT("0",4-S986)&amp;RIGHT("000"&amp;IFERROR(VALUE(MID(R986,S986+1,9)),0),3)&amp;RIGHT("0000"&amp;IFERROR(VALUE(MID(E986,FIND("-",E986)+1,9)),0),4))</f>
        <v/>
      </c>
      <c r="U986" s="0" t="str">
        <f aca="false">IF(I986=1,"K"&amp;RIGHT("00"&amp;A986,2)&amp;T986&amp;RIGHT("00000"&amp;ROW(),5),"")</f>
        <v/>
      </c>
      <c r="V986" s="0" t="str">
        <f aca="false">IF(U986="","",COUNTIFS($I$2:$I$1201,1,$U$2:$U$1201,"&lt;"&amp;U986)+1)</f>
        <v/>
      </c>
    </row>
    <row r="987" customFormat="false" ht="15" hidden="false" customHeight="false" outlineLevel="0" collapsed="false">
      <c r="A987" s="0" t="n">
        <v>17</v>
      </c>
      <c r="B987" s="0" t="n">
        <v>26</v>
      </c>
      <c r="C987" s="0" t="str">
        <f aca="false">TRIM(SUBSTITUTE(INDEX(LISTAS!$A$4:$T$63,B987,A987)&amp;"",CHAR(160)," "))</f>
        <v/>
      </c>
      <c r="D987" s="0" t="str">
        <f aca="false">IF(C987="","",TRIM(RIGHT(SUBSTITUTE(C987," ",REPT(" ",100)),100)))</f>
        <v/>
      </c>
      <c r="E987" s="0" t="str">
        <f aca="false">IF(D987="","",UPPER(SUBSTITUTE(SUBSTITUTE(D987,"(",""),")","")))</f>
        <v/>
      </c>
      <c r="F987" s="0" t="str">
        <f aca="false">IF(C987="","",LEFT(C987,FIND(" ",C987&amp;" ")-1))</f>
        <v/>
      </c>
      <c r="G987" s="0" t="n">
        <f aca="false">IFERROR(VALUE(SUBSTITUTE(LOWER(F987),"x","")),0)</f>
        <v>0</v>
      </c>
      <c r="H987" s="0" t="str">
        <f aca="false">IF(C987="","",TRIM(MID(C987,LEN(F987)+2,999)))</f>
        <v/>
      </c>
      <c r="I987" s="0" t="n">
        <f aca="false">IF(OR(C987="",LEFT(C987,2)="//"),0,IFERROR(IF(AND(G987&gt;0,G987=INT(G987),FIND("-",E987)&gt;1,NOT(EXACT(UPPER(LEFT(E987,1)),LOWER(LEFT(E987,1)))),ISNUMBER(VALUE(MID(E987,FIND("-",E987)+1,10)))),1,0),0))</f>
        <v>0</v>
      </c>
      <c r="J987" s="0" t="str">
        <f aca="false">IF(I987=1,TRIM(LEFT(H987,MAX(0,LEN(H987)-LEN(D987)))),"")</f>
        <v/>
      </c>
      <c r="K987" s="0" t="str">
        <f aca="false">INDEX($P$2:$P$21,A987)</f>
        <v>Deck 17</v>
      </c>
      <c r="L987" s="0" t="n">
        <f aca="false">IF(AND(C987&lt;&gt;"",LEFT(C987,2)&lt;&gt;"//",I987=0),1,0)</f>
        <v>0</v>
      </c>
      <c r="M987" s="0" t="str">
        <f aca="false">IF(I987=1,MAX(M$1:M986)+1,"")</f>
        <v/>
      </c>
      <c r="N987" s="0" t="str">
        <f aca="false">IFERROR(MATCH(ROW()-1,$V$2:$V$1201,0),"")</f>
        <v/>
      </c>
      <c r="R987" s="0" t="str">
        <f aca="false">IF(E987="","",IFERROR(LEFT(E987,FIND("-",E987)-1),E987))</f>
        <v/>
      </c>
      <c r="S987" s="0" t="str">
        <f aca="false">IF(R987="","",IF(ISNUMBER(--MID(R987,1,1)),0,IF(ISNUMBER(--MID(R987,2,1)),1,IF(ISNUMBER(--MID(R987,3,1)),2,IF(ISNUMBER(--MID(R987,4,1)),3,MIN(LEN(R987),4))))))</f>
        <v/>
      </c>
      <c r="T987" s="0" t="str">
        <f aca="false">IF(E987="","",LEFT(R987,S987)&amp;REPT("0",4-S987)&amp;RIGHT("000"&amp;IFERROR(VALUE(MID(R987,S987+1,9)),0),3)&amp;RIGHT("0000"&amp;IFERROR(VALUE(MID(E987,FIND("-",E987)+1,9)),0),4))</f>
        <v/>
      </c>
      <c r="U987" s="0" t="str">
        <f aca="false">IF(I987=1,"K"&amp;RIGHT("00"&amp;A987,2)&amp;T987&amp;RIGHT("00000"&amp;ROW(),5),"")</f>
        <v/>
      </c>
      <c r="V987" s="0" t="str">
        <f aca="false">IF(U987="","",COUNTIFS($I$2:$I$1201,1,$U$2:$U$1201,"&lt;"&amp;U987)+1)</f>
        <v/>
      </c>
    </row>
    <row r="988" customFormat="false" ht="15" hidden="false" customHeight="false" outlineLevel="0" collapsed="false">
      <c r="A988" s="0" t="n">
        <v>17</v>
      </c>
      <c r="B988" s="0" t="n">
        <v>27</v>
      </c>
      <c r="C988" s="0" t="str">
        <f aca="false">TRIM(SUBSTITUTE(INDEX(LISTAS!$A$4:$T$63,B988,A988)&amp;"",CHAR(160)," "))</f>
        <v/>
      </c>
      <c r="D988" s="0" t="str">
        <f aca="false">IF(C988="","",TRIM(RIGHT(SUBSTITUTE(C988," ",REPT(" ",100)),100)))</f>
        <v/>
      </c>
      <c r="E988" s="0" t="str">
        <f aca="false">IF(D988="","",UPPER(SUBSTITUTE(SUBSTITUTE(D988,"(",""),")","")))</f>
        <v/>
      </c>
      <c r="F988" s="0" t="str">
        <f aca="false">IF(C988="","",LEFT(C988,FIND(" ",C988&amp;" ")-1))</f>
        <v/>
      </c>
      <c r="G988" s="0" t="n">
        <f aca="false">IFERROR(VALUE(SUBSTITUTE(LOWER(F988),"x","")),0)</f>
        <v>0</v>
      </c>
      <c r="H988" s="0" t="str">
        <f aca="false">IF(C988="","",TRIM(MID(C988,LEN(F988)+2,999)))</f>
        <v/>
      </c>
      <c r="I988" s="0" t="n">
        <f aca="false">IF(OR(C988="",LEFT(C988,2)="//"),0,IFERROR(IF(AND(G988&gt;0,G988=INT(G988),FIND("-",E988)&gt;1,NOT(EXACT(UPPER(LEFT(E988,1)),LOWER(LEFT(E988,1)))),ISNUMBER(VALUE(MID(E988,FIND("-",E988)+1,10)))),1,0),0))</f>
        <v>0</v>
      </c>
      <c r="J988" s="0" t="str">
        <f aca="false">IF(I988=1,TRIM(LEFT(H988,MAX(0,LEN(H988)-LEN(D988)))),"")</f>
        <v/>
      </c>
      <c r="K988" s="0" t="str">
        <f aca="false">INDEX($P$2:$P$21,A988)</f>
        <v>Deck 17</v>
      </c>
      <c r="L988" s="0" t="n">
        <f aca="false">IF(AND(C988&lt;&gt;"",LEFT(C988,2)&lt;&gt;"//",I988=0),1,0)</f>
        <v>0</v>
      </c>
      <c r="M988" s="0" t="str">
        <f aca="false">IF(I988=1,MAX(M$1:M987)+1,"")</f>
        <v/>
      </c>
      <c r="N988" s="0" t="str">
        <f aca="false">IFERROR(MATCH(ROW()-1,$V$2:$V$1201,0),"")</f>
        <v/>
      </c>
      <c r="R988" s="0" t="str">
        <f aca="false">IF(E988="","",IFERROR(LEFT(E988,FIND("-",E988)-1),E988))</f>
        <v/>
      </c>
      <c r="S988" s="0" t="str">
        <f aca="false">IF(R988="","",IF(ISNUMBER(--MID(R988,1,1)),0,IF(ISNUMBER(--MID(R988,2,1)),1,IF(ISNUMBER(--MID(R988,3,1)),2,IF(ISNUMBER(--MID(R988,4,1)),3,MIN(LEN(R988),4))))))</f>
        <v/>
      </c>
      <c r="T988" s="0" t="str">
        <f aca="false">IF(E988="","",LEFT(R988,S988)&amp;REPT("0",4-S988)&amp;RIGHT("000"&amp;IFERROR(VALUE(MID(R988,S988+1,9)),0),3)&amp;RIGHT("0000"&amp;IFERROR(VALUE(MID(E988,FIND("-",E988)+1,9)),0),4))</f>
        <v/>
      </c>
      <c r="U988" s="0" t="str">
        <f aca="false">IF(I988=1,"K"&amp;RIGHT("00"&amp;A988,2)&amp;T988&amp;RIGHT("00000"&amp;ROW(),5),"")</f>
        <v/>
      </c>
      <c r="V988" s="0" t="str">
        <f aca="false">IF(U988="","",COUNTIFS($I$2:$I$1201,1,$U$2:$U$1201,"&lt;"&amp;U988)+1)</f>
        <v/>
      </c>
    </row>
    <row r="989" customFormat="false" ht="15" hidden="false" customHeight="false" outlineLevel="0" collapsed="false">
      <c r="A989" s="0" t="n">
        <v>17</v>
      </c>
      <c r="B989" s="0" t="n">
        <v>28</v>
      </c>
      <c r="C989" s="0" t="str">
        <f aca="false">TRIM(SUBSTITUTE(INDEX(LISTAS!$A$4:$T$63,B989,A989)&amp;"",CHAR(160)," "))</f>
        <v/>
      </c>
      <c r="D989" s="0" t="str">
        <f aca="false">IF(C989="","",TRIM(RIGHT(SUBSTITUTE(C989," ",REPT(" ",100)),100)))</f>
        <v/>
      </c>
      <c r="E989" s="0" t="str">
        <f aca="false">IF(D989="","",UPPER(SUBSTITUTE(SUBSTITUTE(D989,"(",""),")","")))</f>
        <v/>
      </c>
      <c r="F989" s="0" t="str">
        <f aca="false">IF(C989="","",LEFT(C989,FIND(" ",C989&amp;" ")-1))</f>
        <v/>
      </c>
      <c r="G989" s="0" t="n">
        <f aca="false">IFERROR(VALUE(SUBSTITUTE(LOWER(F989),"x","")),0)</f>
        <v>0</v>
      </c>
      <c r="H989" s="0" t="str">
        <f aca="false">IF(C989="","",TRIM(MID(C989,LEN(F989)+2,999)))</f>
        <v/>
      </c>
      <c r="I989" s="0" t="n">
        <f aca="false">IF(OR(C989="",LEFT(C989,2)="//"),0,IFERROR(IF(AND(G989&gt;0,G989=INT(G989),FIND("-",E989)&gt;1,NOT(EXACT(UPPER(LEFT(E989,1)),LOWER(LEFT(E989,1)))),ISNUMBER(VALUE(MID(E989,FIND("-",E989)+1,10)))),1,0),0))</f>
        <v>0</v>
      </c>
      <c r="J989" s="0" t="str">
        <f aca="false">IF(I989=1,TRIM(LEFT(H989,MAX(0,LEN(H989)-LEN(D989)))),"")</f>
        <v/>
      </c>
      <c r="K989" s="0" t="str">
        <f aca="false">INDEX($P$2:$P$21,A989)</f>
        <v>Deck 17</v>
      </c>
      <c r="L989" s="0" t="n">
        <f aca="false">IF(AND(C989&lt;&gt;"",LEFT(C989,2)&lt;&gt;"//",I989=0),1,0)</f>
        <v>0</v>
      </c>
      <c r="M989" s="0" t="str">
        <f aca="false">IF(I989=1,MAX(M$1:M988)+1,"")</f>
        <v/>
      </c>
      <c r="N989" s="0" t="str">
        <f aca="false">IFERROR(MATCH(ROW()-1,$V$2:$V$1201,0),"")</f>
        <v/>
      </c>
      <c r="R989" s="0" t="str">
        <f aca="false">IF(E989="","",IFERROR(LEFT(E989,FIND("-",E989)-1),E989))</f>
        <v/>
      </c>
      <c r="S989" s="0" t="str">
        <f aca="false">IF(R989="","",IF(ISNUMBER(--MID(R989,1,1)),0,IF(ISNUMBER(--MID(R989,2,1)),1,IF(ISNUMBER(--MID(R989,3,1)),2,IF(ISNUMBER(--MID(R989,4,1)),3,MIN(LEN(R989),4))))))</f>
        <v/>
      </c>
      <c r="T989" s="0" t="str">
        <f aca="false">IF(E989="","",LEFT(R989,S989)&amp;REPT("0",4-S989)&amp;RIGHT("000"&amp;IFERROR(VALUE(MID(R989,S989+1,9)),0),3)&amp;RIGHT("0000"&amp;IFERROR(VALUE(MID(E989,FIND("-",E989)+1,9)),0),4))</f>
        <v/>
      </c>
      <c r="U989" s="0" t="str">
        <f aca="false">IF(I989=1,"K"&amp;RIGHT("00"&amp;A989,2)&amp;T989&amp;RIGHT("00000"&amp;ROW(),5),"")</f>
        <v/>
      </c>
      <c r="V989" s="0" t="str">
        <f aca="false">IF(U989="","",COUNTIFS($I$2:$I$1201,1,$U$2:$U$1201,"&lt;"&amp;U989)+1)</f>
        <v/>
      </c>
    </row>
    <row r="990" customFormat="false" ht="15" hidden="false" customHeight="false" outlineLevel="0" collapsed="false">
      <c r="A990" s="0" t="n">
        <v>17</v>
      </c>
      <c r="B990" s="0" t="n">
        <v>29</v>
      </c>
      <c r="C990" s="0" t="str">
        <f aca="false">TRIM(SUBSTITUTE(INDEX(LISTAS!$A$4:$T$63,B990,A990)&amp;"",CHAR(160)," "))</f>
        <v/>
      </c>
      <c r="D990" s="0" t="str">
        <f aca="false">IF(C990="","",TRIM(RIGHT(SUBSTITUTE(C990," ",REPT(" ",100)),100)))</f>
        <v/>
      </c>
      <c r="E990" s="0" t="str">
        <f aca="false">IF(D990="","",UPPER(SUBSTITUTE(SUBSTITUTE(D990,"(",""),")","")))</f>
        <v/>
      </c>
      <c r="F990" s="0" t="str">
        <f aca="false">IF(C990="","",LEFT(C990,FIND(" ",C990&amp;" ")-1))</f>
        <v/>
      </c>
      <c r="G990" s="0" t="n">
        <f aca="false">IFERROR(VALUE(SUBSTITUTE(LOWER(F990),"x","")),0)</f>
        <v>0</v>
      </c>
      <c r="H990" s="0" t="str">
        <f aca="false">IF(C990="","",TRIM(MID(C990,LEN(F990)+2,999)))</f>
        <v/>
      </c>
      <c r="I990" s="0" t="n">
        <f aca="false">IF(OR(C990="",LEFT(C990,2)="//"),0,IFERROR(IF(AND(G990&gt;0,G990=INT(G990),FIND("-",E990)&gt;1,NOT(EXACT(UPPER(LEFT(E990,1)),LOWER(LEFT(E990,1)))),ISNUMBER(VALUE(MID(E990,FIND("-",E990)+1,10)))),1,0),0))</f>
        <v>0</v>
      </c>
      <c r="J990" s="0" t="str">
        <f aca="false">IF(I990=1,TRIM(LEFT(H990,MAX(0,LEN(H990)-LEN(D990)))),"")</f>
        <v/>
      </c>
      <c r="K990" s="0" t="str">
        <f aca="false">INDEX($P$2:$P$21,A990)</f>
        <v>Deck 17</v>
      </c>
      <c r="L990" s="0" t="n">
        <f aca="false">IF(AND(C990&lt;&gt;"",LEFT(C990,2)&lt;&gt;"//",I990=0),1,0)</f>
        <v>0</v>
      </c>
      <c r="M990" s="0" t="str">
        <f aca="false">IF(I990=1,MAX(M$1:M989)+1,"")</f>
        <v/>
      </c>
      <c r="N990" s="0" t="str">
        <f aca="false">IFERROR(MATCH(ROW()-1,$V$2:$V$1201,0),"")</f>
        <v/>
      </c>
      <c r="R990" s="0" t="str">
        <f aca="false">IF(E990="","",IFERROR(LEFT(E990,FIND("-",E990)-1),E990))</f>
        <v/>
      </c>
      <c r="S990" s="0" t="str">
        <f aca="false">IF(R990="","",IF(ISNUMBER(--MID(R990,1,1)),0,IF(ISNUMBER(--MID(R990,2,1)),1,IF(ISNUMBER(--MID(R990,3,1)),2,IF(ISNUMBER(--MID(R990,4,1)),3,MIN(LEN(R990),4))))))</f>
        <v/>
      </c>
      <c r="T990" s="0" t="str">
        <f aca="false">IF(E990="","",LEFT(R990,S990)&amp;REPT("0",4-S990)&amp;RIGHT("000"&amp;IFERROR(VALUE(MID(R990,S990+1,9)),0),3)&amp;RIGHT("0000"&amp;IFERROR(VALUE(MID(E990,FIND("-",E990)+1,9)),0),4))</f>
        <v/>
      </c>
      <c r="U990" s="0" t="str">
        <f aca="false">IF(I990=1,"K"&amp;RIGHT("00"&amp;A990,2)&amp;T990&amp;RIGHT("00000"&amp;ROW(),5),"")</f>
        <v/>
      </c>
      <c r="V990" s="0" t="str">
        <f aca="false">IF(U990="","",COUNTIFS($I$2:$I$1201,1,$U$2:$U$1201,"&lt;"&amp;U990)+1)</f>
        <v/>
      </c>
    </row>
    <row r="991" customFormat="false" ht="15" hidden="false" customHeight="false" outlineLevel="0" collapsed="false">
      <c r="A991" s="0" t="n">
        <v>17</v>
      </c>
      <c r="B991" s="0" t="n">
        <v>30</v>
      </c>
      <c r="C991" s="0" t="str">
        <f aca="false">TRIM(SUBSTITUTE(INDEX(LISTAS!$A$4:$T$63,B991,A991)&amp;"",CHAR(160)," "))</f>
        <v/>
      </c>
      <c r="D991" s="0" t="str">
        <f aca="false">IF(C991="","",TRIM(RIGHT(SUBSTITUTE(C991," ",REPT(" ",100)),100)))</f>
        <v/>
      </c>
      <c r="E991" s="0" t="str">
        <f aca="false">IF(D991="","",UPPER(SUBSTITUTE(SUBSTITUTE(D991,"(",""),")","")))</f>
        <v/>
      </c>
      <c r="F991" s="0" t="str">
        <f aca="false">IF(C991="","",LEFT(C991,FIND(" ",C991&amp;" ")-1))</f>
        <v/>
      </c>
      <c r="G991" s="0" t="n">
        <f aca="false">IFERROR(VALUE(SUBSTITUTE(LOWER(F991),"x","")),0)</f>
        <v>0</v>
      </c>
      <c r="H991" s="0" t="str">
        <f aca="false">IF(C991="","",TRIM(MID(C991,LEN(F991)+2,999)))</f>
        <v/>
      </c>
      <c r="I991" s="0" t="n">
        <f aca="false">IF(OR(C991="",LEFT(C991,2)="//"),0,IFERROR(IF(AND(G991&gt;0,G991=INT(G991),FIND("-",E991)&gt;1,NOT(EXACT(UPPER(LEFT(E991,1)),LOWER(LEFT(E991,1)))),ISNUMBER(VALUE(MID(E991,FIND("-",E991)+1,10)))),1,0),0))</f>
        <v>0</v>
      </c>
      <c r="J991" s="0" t="str">
        <f aca="false">IF(I991=1,TRIM(LEFT(H991,MAX(0,LEN(H991)-LEN(D991)))),"")</f>
        <v/>
      </c>
      <c r="K991" s="0" t="str">
        <f aca="false">INDEX($P$2:$P$21,A991)</f>
        <v>Deck 17</v>
      </c>
      <c r="L991" s="0" t="n">
        <f aca="false">IF(AND(C991&lt;&gt;"",LEFT(C991,2)&lt;&gt;"//",I991=0),1,0)</f>
        <v>0</v>
      </c>
      <c r="M991" s="0" t="str">
        <f aca="false">IF(I991=1,MAX(M$1:M990)+1,"")</f>
        <v/>
      </c>
      <c r="N991" s="0" t="str">
        <f aca="false">IFERROR(MATCH(ROW()-1,$V$2:$V$1201,0),"")</f>
        <v/>
      </c>
      <c r="R991" s="0" t="str">
        <f aca="false">IF(E991="","",IFERROR(LEFT(E991,FIND("-",E991)-1),E991))</f>
        <v/>
      </c>
      <c r="S991" s="0" t="str">
        <f aca="false">IF(R991="","",IF(ISNUMBER(--MID(R991,1,1)),0,IF(ISNUMBER(--MID(R991,2,1)),1,IF(ISNUMBER(--MID(R991,3,1)),2,IF(ISNUMBER(--MID(R991,4,1)),3,MIN(LEN(R991),4))))))</f>
        <v/>
      </c>
      <c r="T991" s="0" t="str">
        <f aca="false">IF(E991="","",LEFT(R991,S991)&amp;REPT("0",4-S991)&amp;RIGHT("000"&amp;IFERROR(VALUE(MID(R991,S991+1,9)),0),3)&amp;RIGHT("0000"&amp;IFERROR(VALUE(MID(E991,FIND("-",E991)+1,9)),0),4))</f>
        <v/>
      </c>
      <c r="U991" s="0" t="str">
        <f aca="false">IF(I991=1,"K"&amp;RIGHT("00"&amp;A991,2)&amp;T991&amp;RIGHT("00000"&amp;ROW(),5),"")</f>
        <v/>
      </c>
      <c r="V991" s="0" t="str">
        <f aca="false">IF(U991="","",COUNTIFS($I$2:$I$1201,1,$U$2:$U$1201,"&lt;"&amp;U991)+1)</f>
        <v/>
      </c>
    </row>
    <row r="992" customFormat="false" ht="15" hidden="false" customHeight="false" outlineLevel="0" collapsed="false">
      <c r="A992" s="0" t="n">
        <v>17</v>
      </c>
      <c r="B992" s="0" t="n">
        <v>31</v>
      </c>
      <c r="C992" s="0" t="str">
        <f aca="false">TRIM(SUBSTITUTE(INDEX(LISTAS!$A$4:$T$63,B992,A992)&amp;"",CHAR(160)," "))</f>
        <v/>
      </c>
      <c r="D992" s="0" t="str">
        <f aca="false">IF(C992="","",TRIM(RIGHT(SUBSTITUTE(C992," ",REPT(" ",100)),100)))</f>
        <v/>
      </c>
      <c r="E992" s="0" t="str">
        <f aca="false">IF(D992="","",UPPER(SUBSTITUTE(SUBSTITUTE(D992,"(",""),")","")))</f>
        <v/>
      </c>
      <c r="F992" s="0" t="str">
        <f aca="false">IF(C992="","",LEFT(C992,FIND(" ",C992&amp;" ")-1))</f>
        <v/>
      </c>
      <c r="G992" s="0" t="n">
        <f aca="false">IFERROR(VALUE(SUBSTITUTE(LOWER(F992),"x","")),0)</f>
        <v>0</v>
      </c>
      <c r="H992" s="0" t="str">
        <f aca="false">IF(C992="","",TRIM(MID(C992,LEN(F992)+2,999)))</f>
        <v/>
      </c>
      <c r="I992" s="0" t="n">
        <f aca="false">IF(OR(C992="",LEFT(C992,2)="//"),0,IFERROR(IF(AND(G992&gt;0,G992=INT(G992),FIND("-",E992)&gt;1,NOT(EXACT(UPPER(LEFT(E992,1)),LOWER(LEFT(E992,1)))),ISNUMBER(VALUE(MID(E992,FIND("-",E992)+1,10)))),1,0),0))</f>
        <v>0</v>
      </c>
      <c r="J992" s="0" t="str">
        <f aca="false">IF(I992=1,TRIM(LEFT(H992,MAX(0,LEN(H992)-LEN(D992)))),"")</f>
        <v/>
      </c>
      <c r="K992" s="0" t="str">
        <f aca="false">INDEX($P$2:$P$21,A992)</f>
        <v>Deck 17</v>
      </c>
      <c r="L992" s="0" t="n">
        <f aca="false">IF(AND(C992&lt;&gt;"",LEFT(C992,2)&lt;&gt;"//",I992=0),1,0)</f>
        <v>0</v>
      </c>
      <c r="M992" s="0" t="str">
        <f aca="false">IF(I992=1,MAX(M$1:M991)+1,"")</f>
        <v/>
      </c>
      <c r="N992" s="0" t="str">
        <f aca="false">IFERROR(MATCH(ROW()-1,$V$2:$V$1201,0),"")</f>
        <v/>
      </c>
      <c r="R992" s="0" t="str">
        <f aca="false">IF(E992="","",IFERROR(LEFT(E992,FIND("-",E992)-1),E992))</f>
        <v/>
      </c>
      <c r="S992" s="0" t="str">
        <f aca="false">IF(R992="","",IF(ISNUMBER(--MID(R992,1,1)),0,IF(ISNUMBER(--MID(R992,2,1)),1,IF(ISNUMBER(--MID(R992,3,1)),2,IF(ISNUMBER(--MID(R992,4,1)),3,MIN(LEN(R992),4))))))</f>
        <v/>
      </c>
      <c r="T992" s="0" t="str">
        <f aca="false">IF(E992="","",LEFT(R992,S992)&amp;REPT("0",4-S992)&amp;RIGHT("000"&amp;IFERROR(VALUE(MID(R992,S992+1,9)),0),3)&amp;RIGHT("0000"&amp;IFERROR(VALUE(MID(E992,FIND("-",E992)+1,9)),0),4))</f>
        <v/>
      </c>
      <c r="U992" s="0" t="str">
        <f aca="false">IF(I992=1,"K"&amp;RIGHT("00"&amp;A992,2)&amp;T992&amp;RIGHT("00000"&amp;ROW(),5),"")</f>
        <v/>
      </c>
      <c r="V992" s="0" t="str">
        <f aca="false">IF(U992="","",COUNTIFS($I$2:$I$1201,1,$U$2:$U$1201,"&lt;"&amp;U992)+1)</f>
        <v/>
      </c>
    </row>
    <row r="993" customFormat="false" ht="15" hidden="false" customHeight="false" outlineLevel="0" collapsed="false">
      <c r="A993" s="0" t="n">
        <v>17</v>
      </c>
      <c r="B993" s="0" t="n">
        <v>32</v>
      </c>
      <c r="C993" s="0" t="str">
        <f aca="false">TRIM(SUBSTITUTE(INDEX(LISTAS!$A$4:$T$63,B993,A993)&amp;"",CHAR(160)," "))</f>
        <v/>
      </c>
      <c r="D993" s="0" t="str">
        <f aca="false">IF(C993="","",TRIM(RIGHT(SUBSTITUTE(C993," ",REPT(" ",100)),100)))</f>
        <v/>
      </c>
      <c r="E993" s="0" t="str">
        <f aca="false">IF(D993="","",UPPER(SUBSTITUTE(SUBSTITUTE(D993,"(",""),")","")))</f>
        <v/>
      </c>
      <c r="F993" s="0" t="str">
        <f aca="false">IF(C993="","",LEFT(C993,FIND(" ",C993&amp;" ")-1))</f>
        <v/>
      </c>
      <c r="G993" s="0" t="n">
        <f aca="false">IFERROR(VALUE(SUBSTITUTE(LOWER(F993),"x","")),0)</f>
        <v>0</v>
      </c>
      <c r="H993" s="0" t="str">
        <f aca="false">IF(C993="","",TRIM(MID(C993,LEN(F993)+2,999)))</f>
        <v/>
      </c>
      <c r="I993" s="0" t="n">
        <f aca="false">IF(OR(C993="",LEFT(C993,2)="//"),0,IFERROR(IF(AND(G993&gt;0,G993=INT(G993),FIND("-",E993)&gt;1,NOT(EXACT(UPPER(LEFT(E993,1)),LOWER(LEFT(E993,1)))),ISNUMBER(VALUE(MID(E993,FIND("-",E993)+1,10)))),1,0),0))</f>
        <v>0</v>
      </c>
      <c r="J993" s="0" t="str">
        <f aca="false">IF(I993=1,TRIM(LEFT(H993,MAX(0,LEN(H993)-LEN(D993)))),"")</f>
        <v/>
      </c>
      <c r="K993" s="0" t="str">
        <f aca="false">INDEX($P$2:$P$21,A993)</f>
        <v>Deck 17</v>
      </c>
      <c r="L993" s="0" t="n">
        <f aca="false">IF(AND(C993&lt;&gt;"",LEFT(C993,2)&lt;&gt;"//",I993=0),1,0)</f>
        <v>0</v>
      </c>
      <c r="M993" s="0" t="str">
        <f aca="false">IF(I993=1,MAX(M$1:M992)+1,"")</f>
        <v/>
      </c>
      <c r="N993" s="0" t="str">
        <f aca="false">IFERROR(MATCH(ROW()-1,$V$2:$V$1201,0),"")</f>
        <v/>
      </c>
      <c r="R993" s="0" t="str">
        <f aca="false">IF(E993="","",IFERROR(LEFT(E993,FIND("-",E993)-1),E993))</f>
        <v/>
      </c>
      <c r="S993" s="0" t="str">
        <f aca="false">IF(R993="","",IF(ISNUMBER(--MID(R993,1,1)),0,IF(ISNUMBER(--MID(R993,2,1)),1,IF(ISNUMBER(--MID(R993,3,1)),2,IF(ISNUMBER(--MID(R993,4,1)),3,MIN(LEN(R993),4))))))</f>
        <v/>
      </c>
      <c r="T993" s="0" t="str">
        <f aca="false">IF(E993="","",LEFT(R993,S993)&amp;REPT("0",4-S993)&amp;RIGHT("000"&amp;IFERROR(VALUE(MID(R993,S993+1,9)),0),3)&amp;RIGHT("0000"&amp;IFERROR(VALUE(MID(E993,FIND("-",E993)+1,9)),0),4))</f>
        <v/>
      </c>
      <c r="U993" s="0" t="str">
        <f aca="false">IF(I993=1,"K"&amp;RIGHT("00"&amp;A993,2)&amp;T993&amp;RIGHT("00000"&amp;ROW(),5),"")</f>
        <v/>
      </c>
      <c r="V993" s="0" t="str">
        <f aca="false">IF(U993="","",COUNTIFS($I$2:$I$1201,1,$U$2:$U$1201,"&lt;"&amp;U993)+1)</f>
        <v/>
      </c>
    </row>
    <row r="994" customFormat="false" ht="15" hidden="false" customHeight="false" outlineLevel="0" collapsed="false">
      <c r="A994" s="0" t="n">
        <v>17</v>
      </c>
      <c r="B994" s="0" t="n">
        <v>33</v>
      </c>
      <c r="C994" s="0" t="str">
        <f aca="false">TRIM(SUBSTITUTE(INDEX(LISTAS!$A$4:$T$63,B994,A994)&amp;"",CHAR(160)," "))</f>
        <v/>
      </c>
      <c r="D994" s="0" t="str">
        <f aca="false">IF(C994="","",TRIM(RIGHT(SUBSTITUTE(C994," ",REPT(" ",100)),100)))</f>
        <v/>
      </c>
      <c r="E994" s="0" t="str">
        <f aca="false">IF(D994="","",UPPER(SUBSTITUTE(SUBSTITUTE(D994,"(",""),")","")))</f>
        <v/>
      </c>
      <c r="F994" s="0" t="str">
        <f aca="false">IF(C994="","",LEFT(C994,FIND(" ",C994&amp;" ")-1))</f>
        <v/>
      </c>
      <c r="G994" s="0" t="n">
        <f aca="false">IFERROR(VALUE(SUBSTITUTE(LOWER(F994),"x","")),0)</f>
        <v>0</v>
      </c>
      <c r="H994" s="0" t="str">
        <f aca="false">IF(C994="","",TRIM(MID(C994,LEN(F994)+2,999)))</f>
        <v/>
      </c>
      <c r="I994" s="0" t="n">
        <f aca="false">IF(OR(C994="",LEFT(C994,2)="//"),0,IFERROR(IF(AND(G994&gt;0,G994=INT(G994),FIND("-",E994)&gt;1,NOT(EXACT(UPPER(LEFT(E994,1)),LOWER(LEFT(E994,1)))),ISNUMBER(VALUE(MID(E994,FIND("-",E994)+1,10)))),1,0),0))</f>
        <v>0</v>
      </c>
      <c r="J994" s="0" t="str">
        <f aca="false">IF(I994=1,TRIM(LEFT(H994,MAX(0,LEN(H994)-LEN(D994)))),"")</f>
        <v/>
      </c>
      <c r="K994" s="0" t="str">
        <f aca="false">INDEX($P$2:$P$21,A994)</f>
        <v>Deck 17</v>
      </c>
      <c r="L994" s="0" t="n">
        <f aca="false">IF(AND(C994&lt;&gt;"",LEFT(C994,2)&lt;&gt;"//",I994=0),1,0)</f>
        <v>0</v>
      </c>
      <c r="M994" s="0" t="str">
        <f aca="false">IF(I994=1,MAX(M$1:M993)+1,"")</f>
        <v/>
      </c>
      <c r="N994" s="0" t="str">
        <f aca="false">IFERROR(MATCH(ROW()-1,$V$2:$V$1201,0),"")</f>
        <v/>
      </c>
      <c r="R994" s="0" t="str">
        <f aca="false">IF(E994="","",IFERROR(LEFT(E994,FIND("-",E994)-1),E994))</f>
        <v/>
      </c>
      <c r="S994" s="0" t="str">
        <f aca="false">IF(R994="","",IF(ISNUMBER(--MID(R994,1,1)),0,IF(ISNUMBER(--MID(R994,2,1)),1,IF(ISNUMBER(--MID(R994,3,1)),2,IF(ISNUMBER(--MID(R994,4,1)),3,MIN(LEN(R994),4))))))</f>
        <v/>
      </c>
      <c r="T994" s="0" t="str">
        <f aca="false">IF(E994="","",LEFT(R994,S994)&amp;REPT("0",4-S994)&amp;RIGHT("000"&amp;IFERROR(VALUE(MID(R994,S994+1,9)),0),3)&amp;RIGHT("0000"&amp;IFERROR(VALUE(MID(E994,FIND("-",E994)+1,9)),0),4))</f>
        <v/>
      </c>
      <c r="U994" s="0" t="str">
        <f aca="false">IF(I994=1,"K"&amp;RIGHT("00"&amp;A994,2)&amp;T994&amp;RIGHT("00000"&amp;ROW(),5),"")</f>
        <v/>
      </c>
      <c r="V994" s="0" t="str">
        <f aca="false">IF(U994="","",COUNTIFS($I$2:$I$1201,1,$U$2:$U$1201,"&lt;"&amp;U994)+1)</f>
        <v/>
      </c>
    </row>
    <row r="995" customFormat="false" ht="15" hidden="false" customHeight="false" outlineLevel="0" collapsed="false">
      <c r="A995" s="0" t="n">
        <v>17</v>
      </c>
      <c r="B995" s="0" t="n">
        <v>34</v>
      </c>
      <c r="C995" s="0" t="str">
        <f aca="false">TRIM(SUBSTITUTE(INDEX(LISTAS!$A$4:$T$63,B995,A995)&amp;"",CHAR(160)," "))</f>
        <v/>
      </c>
      <c r="D995" s="0" t="str">
        <f aca="false">IF(C995="","",TRIM(RIGHT(SUBSTITUTE(C995," ",REPT(" ",100)),100)))</f>
        <v/>
      </c>
      <c r="E995" s="0" t="str">
        <f aca="false">IF(D995="","",UPPER(SUBSTITUTE(SUBSTITUTE(D995,"(",""),")","")))</f>
        <v/>
      </c>
      <c r="F995" s="0" t="str">
        <f aca="false">IF(C995="","",LEFT(C995,FIND(" ",C995&amp;" ")-1))</f>
        <v/>
      </c>
      <c r="G995" s="0" t="n">
        <f aca="false">IFERROR(VALUE(SUBSTITUTE(LOWER(F995),"x","")),0)</f>
        <v>0</v>
      </c>
      <c r="H995" s="0" t="str">
        <f aca="false">IF(C995="","",TRIM(MID(C995,LEN(F995)+2,999)))</f>
        <v/>
      </c>
      <c r="I995" s="0" t="n">
        <f aca="false">IF(OR(C995="",LEFT(C995,2)="//"),0,IFERROR(IF(AND(G995&gt;0,G995=INT(G995),FIND("-",E995)&gt;1,NOT(EXACT(UPPER(LEFT(E995,1)),LOWER(LEFT(E995,1)))),ISNUMBER(VALUE(MID(E995,FIND("-",E995)+1,10)))),1,0),0))</f>
        <v>0</v>
      </c>
      <c r="J995" s="0" t="str">
        <f aca="false">IF(I995=1,TRIM(LEFT(H995,MAX(0,LEN(H995)-LEN(D995)))),"")</f>
        <v/>
      </c>
      <c r="K995" s="0" t="str">
        <f aca="false">INDEX($P$2:$P$21,A995)</f>
        <v>Deck 17</v>
      </c>
      <c r="L995" s="0" t="n">
        <f aca="false">IF(AND(C995&lt;&gt;"",LEFT(C995,2)&lt;&gt;"//",I995=0),1,0)</f>
        <v>0</v>
      </c>
      <c r="M995" s="0" t="str">
        <f aca="false">IF(I995=1,MAX(M$1:M994)+1,"")</f>
        <v/>
      </c>
      <c r="N995" s="0" t="str">
        <f aca="false">IFERROR(MATCH(ROW()-1,$V$2:$V$1201,0),"")</f>
        <v/>
      </c>
      <c r="R995" s="0" t="str">
        <f aca="false">IF(E995="","",IFERROR(LEFT(E995,FIND("-",E995)-1),E995))</f>
        <v/>
      </c>
      <c r="S995" s="0" t="str">
        <f aca="false">IF(R995="","",IF(ISNUMBER(--MID(R995,1,1)),0,IF(ISNUMBER(--MID(R995,2,1)),1,IF(ISNUMBER(--MID(R995,3,1)),2,IF(ISNUMBER(--MID(R995,4,1)),3,MIN(LEN(R995),4))))))</f>
        <v/>
      </c>
      <c r="T995" s="0" t="str">
        <f aca="false">IF(E995="","",LEFT(R995,S995)&amp;REPT("0",4-S995)&amp;RIGHT("000"&amp;IFERROR(VALUE(MID(R995,S995+1,9)),0),3)&amp;RIGHT("0000"&amp;IFERROR(VALUE(MID(E995,FIND("-",E995)+1,9)),0),4))</f>
        <v/>
      </c>
      <c r="U995" s="0" t="str">
        <f aca="false">IF(I995=1,"K"&amp;RIGHT("00"&amp;A995,2)&amp;T995&amp;RIGHT("00000"&amp;ROW(),5),"")</f>
        <v/>
      </c>
      <c r="V995" s="0" t="str">
        <f aca="false">IF(U995="","",COUNTIFS($I$2:$I$1201,1,$U$2:$U$1201,"&lt;"&amp;U995)+1)</f>
        <v/>
      </c>
    </row>
    <row r="996" customFormat="false" ht="15" hidden="false" customHeight="false" outlineLevel="0" collapsed="false">
      <c r="A996" s="0" t="n">
        <v>17</v>
      </c>
      <c r="B996" s="0" t="n">
        <v>35</v>
      </c>
      <c r="C996" s="0" t="str">
        <f aca="false">TRIM(SUBSTITUTE(INDEX(LISTAS!$A$4:$T$63,B996,A996)&amp;"",CHAR(160)," "))</f>
        <v/>
      </c>
      <c r="D996" s="0" t="str">
        <f aca="false">IF(C996="","",TRIM(RIGHT(SUBSTITUTE(C996," ",REPT(" ",100)),100)))</f>
        <v/>
      </c>
      <c r="E996" s="0" t="str">
        <f aca="false">IF(D996="","",UPPER(SUBSTITUTE(SUBSTITUTE(D996,"(",""),")","")))</f>
        <v/>
      </c>
      <c r="F996" s="0" t="str">
        <f aca="false">IF(C996="","",LEFT(C996,FIND(" ",C996&amp;" ")-1))</f>
        <v/>
      </c>
      <c r="G996" s="0" t="n">
        <f aca="false">IFERROR(VALUE(SUBSTITUTE(LOWER(F996),"x","")),0)</f>
        <v>0</v>
      </c>
      <c r="H996" s="0" t="str">
        <f aca="false">IF(C996="","",TRIM(MID(C996,LEN(F996)+2,999)))</f>
        <v/>
      </c>
      <c r="I996" s="0" t="n">
        <f aca="false">IF(OR(C996="",LEFT(C996,2)="//"),0,IFERROR(IF(AND(G996&gt;0,G996=INT(G996),FIND("-",E996)&gt;1,NOT(EXACT(UPPER(LEFT(E996,1)),LOWER(LEFT(E996,1)))),ISNUMBER(VALUE(MID(E996,FIND("-",E996)+1,10)))),1,0),0))</f>
        <v>0</v>
      </c>
      <c r="J996" s="0" t="str">
        <f aca="false">IF(I996=1,TRIM(LEFT(H996,MAX(0,LEN(H996)-LEN(D996)))),"")</f>
        <v/>
      </c>
      <c r="K996" s="0" t="str">
        <f aca="false">INDEX($P$2:$P$21,A996)</f>
        <v>Deck 17</v>
      </c>
      <c r="L996" s="0" t="n">
        <f aca="false">IF(AND(C996&lt;&gt;"",LEFT(C996,2)&lt;&gt;"//",I996=0),1,0)</f>
        <v>0</v>
      </c>
      <c r="M996" s="0" t="str">
        <f aca="false">IF(I996=1,MAX(M$1:M995)+1,"")</f>
        <v/>
      </c>
      <c r="N996" s="0" t="str">
        <f aca="false">IFERROR(MATCH(ROW()-1,$V$2:$V$1201,0),"")</f>
        <v/>
      </c>
      <c r="R996" s="0" t="str">
        <f aca="false">IF(E996="","",IFERROR(LEFT(E996,FIND("-",E996)-1),E996))</f>
        <v/>
      </c>
      <c r="S996" s="0" t="str">
        <f aca="false">IF(R996="","",IF(ISNUMBER(--MID(R996,1,1)),0,IF(ISNUMBER(--MID(R996,2,1)),1,IF(ISNUMBER(--MID(R996,3,1)),2,IF(ISNUMBER(--MID(R996,4,1)),3,MIN(LEN(R996),4))))))</f>
        <v/>
      </c>
      <c r="T996" s="0" t="str">
        <f aca="false">IF(E996="","",LEFT(R996,S996)&amp;REPT("0",4-S996)&amp;RIGHT("000"&amp;IFERROR(VALUE(MID(R996,S996+1,9)),0),3)&amp;RIGHT("0000"&amp;IFERROR(VALUE(MID(E996,FIND("-",E996)+1,9)),0),4))</f>
        <v/>
      </c>
      <c r="U996" s="0" t="str">
        <f aca="false">IF(I996=1,"K"&amp;RIGHT("00"&amp;A996,2)&amp;T996&amp;RIGHT("00000"&amp;ROW(),5),"")</f>
        <v/>
      </c>
      <c r="V996" s="0" t="str">
        <f aca="false">IF(U996="","",COUNTIFS($I$2:$I$1201,1,$U$2:$U$1201,"&lt;"&amp;U996)+1)</f>
        <v/>
      </c>
    </row>
    <row r="997" customFormat="false" ht="15" hidden="false" customHeight="false" outlineLevel="0" collapsed="false">
      <c r="A997" s="0" t="n">
        <v>17</v>
      </c>
      <c r="B997" s="0" t="n">
        <v>36</v>
      </c>
      <c r="C997" s="0" t="str">
        <f aca="false">TRIM(SUBSTITUTE(INDEX(LISTAS!$A$4:$T$63,B997,A997)&amp;"",CHAR(160)," "))</f>
        <v/>
      </c>
      <c r="D997" s="0" t="str">
        <f aca="false">IF(C997="","",TRIM(RIGHT(SUBSTITUTE(C997," ",REPT(" ",100)),100)))</f>
        <v/>
      </c>
      <c r="E997" s="0" t="str">
        <f aca="false">IF(D997="","",UPPER(SUBSTITUTE(SUBSTITUTE(D997,"(",""),")","")))</f>
        <v/>
      </c>
      <c r="F997" s="0" t="str">
        <f aca="false">IF(C997="","",LEFT(C997,FIND(" ",C997&amp;" ")-1))</f>
        <v/>
      </c>
      <c r="G997" s="0" t="n">
        <f aca="false">IFERROR(VALUE(SUBSTITUTE(LOWER(F997),"x","")),0)</f>
        <v>0</v>
      </c>
      <c r="H997" s="0" t="str">
        <f aca="false">IF(C997="","",TRIM(MID(C997,LEN(F997)+2,999)))</f>
        <v/>
      </c>
      <c r="I997" s="0" t="n">
        <f aca="false">IF(OR(C997="",LEFT(C997,2)="//"),0,IFERROR(IF(AND(G997&gt;0,G997=INT(G997),FIND("-",E997)&gt;1,NOT(EXACT(UPPER(LEFT(E997,1)),LOWER(LEFT(E997,1)))),ISNUMBER(VALUE(MID(E997,FIND("-",E997)+1,10)))),1,0),0))</f>
        <v>0</v>
      </c>
      <c r="J997" s="0" t="str">
        <f aca="false">IF(I997=1,TRIM(LEFT(H997,MAX(0,LEN(H997)-LEN(D997)))),"")</f>
        <v/>
      </c>
      <c r="K997" s="0" t="str">
        <f aca="false">INDEX($P$2:$P$21,A997)</f>
        <v>Deck 17</v>
      </c>
      <c r="L997" s="0" t="n">
        <f aca="false">IF(AND(C997&lt;&gt;"",LEFT(C997,2)&lt;&gt;"//",I997=0),1,0)</f>
        <v>0</v>
      </c>
      <c r="M997" s="0" t="str">
        <f aca="false">IF(I997=1,MAX(M$1:M996)+1,"")</f>
        <v/>
      </c>
      <c r="N997" s="0" t="str">
        <f aca="false">IFERROR(MATCH(ROW()-1,$V$2:$V$1201,0),"")</f>
        <v/>
      </c>
      <c r="R997" s="0" t="str">
        <f aca="false">IF(E997="","",IFERROR(LEFT(E997,FIND("-",E997)-1),E997))</f>
        <v/>
      </c>
      <c r="S997" s="0" t="str">
        <f aca="false">IF(R997="","",IF(ISNUMBER(--MID(R997,1,1)),0,IF(ISNUMBER(--MID(R997,2,1)),1,IF(ISNUMBER(--MID(R997,3,1)),2,IF(ISNUMBER(--MID(R997,4,1)),3,MIN(LEN(R997),4))))))</f>
        <v/>
      </c>
      <c r="T997" s="0" t="str">
        <f aca="false">IF(E997="","",LEFT(R997,S997)&amp;REPT("0",4-S997)&amp;RIGHT("000"&amp;IFERROR(VALUE(MID(R997,S997+1,9)),0),3)&amp;RIGHT("0000"&amp;IFERROR(VALUE(MID(E997,FIND("-",E997)+1,9)),0),4))</f>
        <v/>
      </c>
      <c r="U997" s="0" t="str">
        <f aca="false">IF(I997=1,"K"&amp;RIGHT("00"&amp;A997,2)&amp;T997&amp;RIGHT("00000"&amp;ROW(),5),"")</f>
        <v/>
      </c>
      <c r="V997" s="0" t="str">
        <f aca="false">IF(U997="","",COUNTIFS($I$2:$I$1201,1,$U$2:$U$1201,"&lt;"&amp;U997)+1)</f>
        <v/>
      </c>
    </row>
    <row r="998" customFormat="false" ht="15" hidden="false" customHeight="false" outlineLevel="0" collapsed="false">
      <c r="A998" s="0" t="n">
        <v>17</v>
      </c>
      <c r="B998" s="0" t="n">
        <v>37</v>
      </c>
      <c r="C998" s="0" t="str">
        <f aca="false">TRIM(SUBSTITUTE(INDEX(LISTAS!$A$4:$T$63,B998,A998)&amp;"",CHAR(160)," "))</f>
        <v/>
      </c>
      <c r="D998" s="0" t="str">
        <f aca="false">IF(C998="","",TRIM(RIGHT(SUBSTITUTE(C998," ",REPT(" ",100)),100)))</f>
        <v/>
      </c>
      <c r="E998" s="0" t="str">
        <f aca="false">IF(D998="","",UPPER(SUBSTITUTE(SUBSTITUTE(D998,"(",""),")","")))</f>
        <v/>
      </c>
      <c r="F998" s="0" t="str">
        <f aca="false">IF(C998="","",LEFT(C998,FIND(" ",C998&amp;" ")-1))</f>
        <v/>
      </c>
      <c r="G998" s="0" t="n">
        <f aca="false">IFERROR(VALUE(SUBSTITUTE(LOWER(F998),"x","")),0)</f>
        <v>0</v>
      </c>
      <c r="H998" s="0" t="str">
        <f aca="false">IF(C998="","",TRIM(MID(C998,LEN(F998)+2,999)))</f>
        <v/>
      </c>
      <c r="I998" s="0" t="n">
        <f aca="false">IF(OR(C998="",LEFT(C998,2)="//"),0,IFERROR(IF(AND(G998&gt;0,G998=INT(G998),FIND("-",E998)&gt;1,NOT(EXACT(UPPER(LEFT(E998,1)),LOWER(LEFT(E998,1)))),ISNUMBER(VALUE(MID(E998,FIND("-",E998)+1,10)))),1,0),0))</f>
        <v>0</v>
      </c>
      <c r="J998" s="0" t="str">
        <f aca="false">IF(I998=1,TRIM(LEFT(H998,MAX(0,LEN(H998)-LEN(D998)))),"")</f>
        <v/>
      </c>
      <c r="K998" s="0" t="str">
        <f aca="false">INDEX($P$2:$P$21,A998)</f>
        <v>Deck 17</v>
      </c>
      <c r="L998" s="0" t="n">
        <f aca="false">IF(AND(C998&lt;&gt;"",LEFT(C998,2)&lt;&gt;"//",I998=0),1,0)</f>
        <v>0</v>
      </c>
      <c r="M998" s="0" t="str">
        <f aca="false">IF(I998=1,MAX(M$1:M997)+1,"")</f>
        <v/>
      </c>
      <c r="N998" s="0" t="str">
        <f aca="false">IFERROR(MATCH(ROW()-1,$V$2:$V$1201,0),"")</f>
        <v/>
      </c>
      <c r="R998" s="0" t="str">
        <f aca="false">IF(E998="","",IFERROR(LEFT(E998,FIND("-",E998)-1),E998))</f>
        <v/>
      </c>
      <c r="S998" s="0" t="str">
        <f aca="false">IF(R998="","",IF(ISNUMBER(--MID(R998,1,1)),0,IF(ISNUMBER(--MID(R998,2,1)),1,IF(ISNUMBER(--MID(R998,3,1)),2,IF(ISNUMBER(--MID(R998,4,1)),3,MIN(LEN(R998),4))))))</f>
        <v/>
      </c>
      <c r="T998" s="0" t="str">
        <f aca="false">IF(E998="","",LEFT(R998,S998)&amp;REPT("0",4-S998)&amp;RIGHT("000"&amp;IFERROR(VALUE(MID(R998,S998+1,9)),0),3)&amp;RIGHT("0000"&amp;IFERROR(VALUE(MID(E998,FIND("-",E998)+1,9)),0),4))</f>
        <v/>
      </c>
      <c r="U998" s="0" t="str">
        <f aca="false">IF(I998=1,"K"&amp;RIGHT("00"&amp;A998,2)&amp;T998&amp;RIGHT("00000"&amp;ROW(),5),"")</f>
        <v/>
      </c>
      <c r="V998" s="0" t="str">
        <f aca="false">IF(U998="","",COUNTIFS($I$2:$I$1201,1,$U$2:$U$1201,"&lt;"&amp;U998)+1)</f>
        <v/>
      </c>
    </row>
    <row r="999" customFormat="false" ht="15" hidden="false" customHeight="false" outlineLevel="0" collapsed="false">
      <c r="A999" s="0" t="n">
        <v>17</v>
      </c>
      <c r="B999" s="0" t="n">
        <v>38</v>
      </c>
      <c r="C999" s="0" t="str">
        <f aca="false">TRIM(SUBSTITUTE(INDEX(LISTAS!$A$4:$T$63,B999,A999)&amp;"",CHAR(160)," "))</f>
        <v/>
      </c>
      <c r="D999" s="0" t="str">
        <f aca="false">IF(C999="","",TRIM(RIGHT(SUBSTITUTE(C999," ",REPT(" ",100)),100)))</f>
        <v/>
      </c>
      <c r="E999" s="0" t="str">
        <f aca="false">IF(D999="","",UPPER(SUBSTITUTE(SUBSTITUTE(D999,"(",""),")","")))</f>
        <v/>
      </c>
      <c r="F999" s="0" t="str">
        <f aca="false">IF(C999="","",LEFT(C999,FIND(" ",C999&amp;" ")-1))</f>
        <v/>
      </c>
      <c r="G999" s="0" t="n">
        <f aca="false">IFERROR(VALUE(SUBSTITUTE(LOWER(F999),"x","")),0)</f>
        <v>0</v>
      </c>
      <c r="H999" s="0" t="str">
        <f aca="false">IF(C999="","",TRIM(MID(C999,LEN(F999)+2,999)))</f>
        <v/>
      </c>
      <c r="I999" s="0" t="n">
        <f aca="false">IF(OR(C999="",LEFT(C999,2)="//"),0,IFERROR(IF(AND(G999&gt;0,G999=INT(G999),FIND("-",E999)&gt;1,NOT(EXACT(UPPER(LEFT(E999,1)),LOWER(LEFT(E999,1)))),ISNUMBER(VALUE(MID(E999,FIND("-",E999)+1,10)))),1,0),0))</f>
        <v>0</v>
      </c>
      <c r="J999" s="0" t="str">
        <f aca="false">IF(I999=1,TRIM(LEFT(H999,MAX(0,LEN(H999)-LEN(D999)))),"")</f>
        <v/>
      </c>
      <c r="K999" s="0" t="str">
        <f aca="false">INDEX($P$2:$P$21,A999)</f>
        <v>Deck 17</v>
      </c>
      <c r="L999" s="0" t="n">
        <f aca="false">IF(AND(C999&lt;&gt;"",LEFT(C999,2)&lt;&gt;"//",I999=0),1,0)</f>
        <v>0</v>
      </c>
      <c r="M999" s="0" t="str">
        <f aca="false">IF(I999=1,MAX(M$1:M998)+1,"")</f>
        <v/>
      </c>
      <c r="N999" s="0" t="str">
        <f aca="false">IFERROR(MATCH(ROW()-1,$V$2:$V$1201,0),"")</f>
        <v/>
      </c>
      <c r="R999" s="0" t="str">
        <f aca="false">IF(E999="","",IFERROR(LEFT(E999,FIND("-",E999)-1),E999))</f>
        <v/>
      </c>
      <c r="S999" s="0" t="str">
        <f aca="false">IF(R999="","",IF(ISNUMBER(--MID(R999,1,1)),0,IF(ISNUMBER(--MID(R999,2,1)),1,IF(ISNUMBER(--MID(R999,3,1)),2,IF(ISNUMBER(--MID(R999,4,1)),3,MIN(LEN(R999),4))))))</f>
        <v/>
      </c>
      <c r="T999" s="0" t="str">
        <f aca="false">IF(E999="","",LEFT(R999,S999)&amp;REPT("0",4-S999)&amp;RIGHT("000"&amp;IFERROR(VALUE(MID(R999,S999+1,9)),0),3)&amp;RIGHT("0000"&amp;IFERROR(VALUE(MID(E999,FIND("-",E999)+1,9)),0),4))</f>
        <v/>
      </c>
      <c r="U999" s="0" t="str">
        <f aca="false">IF(I999=1,"K"&amp;RIGHT("00"&amp;A999,2)&amp;T999&amp;RIGHT("00000"&amp;ROW(),5),"")</f>
        <v/>
      </c>
      <c r="V999" s="0" t="str">
        <f aca="false">IF(U999="","",COUNTIFS($I$2:$I$1201,1,$U$2:$U$1201,"&lt;"&amp;U999)+1)</f>
        <v/>
      </c>
    </row>
    <row r="1000" customFormat="false" ht="15" hidden="false" customHeight="false" outlineLevel="0" collapsed="false">
      <c r="A1000" s="0" t="n">
        <v>17</v>
      </c>
      <c r="B1000" s="0" t="n">
        <v>39</v>
      </c>
      <c r="C1000" s="0" t="str">
        <f aca="false">TRIM(SUBSTITUTE(INDEX(LISTAS!$A$4:$T$63,B1000,A1000)&amp;"",CHAR(160)," "))</f>
        <v/>
      </c>
      <c r="D1000" s="0" t="str">
        <f aca="false">IF(C1000="","",TRIM(RIGHT(SUBSTITUTE(C1000," ",REPT(" ",100)),100)))</f>
        <v/>
      </c>
      <c r="E1000" s="0" t="str">
        <f aca="false">IF(D1000="","",UPPER(SUBSTITUTE(SUBSTITUTE(D1000,"(",""),")","")))</f>
        <v/>
      </c>
      <c r="F1000" s="0" t="str">
        <f aca="false">IF(C1000="","",LEFT(C1000,FIND(" ",C1000&amp;" ")-1))</f>
        <v/>
      </c>
      <c r="G1000" s="0" t="n">
        <f aca="false">IFERROR(VALUE(SUBSTITUTE(LOWER(F1000),"x","")),0)</f>
        <v>0</v>
      </c>
      <c r="H1000" s="0" t="str">
        <f aca="false">IF(C1000="","",TRIM(MID(C1000,LEN(F1000)+2,999)))</f>
        <v/>
      </c>
      <c r="I1000" s="0" t="n">
        <f aca="false">IF(OR(C1000="",LEFT(C1000,2)="//"),0,IFERROR(IF(AND(G1000&gt;0,G1000=INT(G1000),FIND("-",E1000)&gt;1,NOT(EXACT(UPPER(LEFT(E1000,1)),LOWER(LEFT(E1000,1)))),ISNUMBER(VALUE(MID(E1000,FIND("-",E1000)+1,10)))),1,0),0))</f>
        <v>0</v>
      </c>
      <c r="J1000" s="0" t="str">
        <f aca="false">IF(I1000=1,TRIM(LEFT(H1000,MAX(0,LEN(H1000)-LEN(D1000)))),"")</f>
        <v/>
      </c>
      <c r="K1000" s="0" t="str">
        <f aca="false">INDEX($P$2:$P$21,A1000)</f>
        <v>Deck 17</v>
      </c>
      <c r="L1000" s="0" t="n">
        <f aca="false">IF(AND(C1000&lt;&gt;"",LEFT(C1000,2)&lt;&gt;"//",I1000=0),1,0)</f>
        <v>0</v>
      </c>
      <c r="M1000" s="0" t="str">
        <f aca="false">IF(I1000=1,MAX(M$1:M999)+1,"")</f>
        <v/>
      </c>
      <c r="N1000" s="0" t="str">
        <f aca="false">IFERROR(MATCH(ROW()-1,$V$2:$V$1201,0),"")</f>
        <v/>
      </c>
      <c r="R1000" s="0" t="str">
        <f aca="false">IF(E1000="","",IFERROR(LEFT(E1000,FIND("-",E1000)-1),E1000))</f>
        <v/>
      </c>
      <c r="S1000" s="0" t="str">
        <f aca="false">IF(R1000="","",IF(ISNUMBER(--MID(R1000,1,1)),0,IF(ISNUMBER(--MID(R1000,2,1)),1,IF(ISNUMBER(--MID(R1000,3,1)),2,IF(ISNUMBER(--MID(R1000,4,1)),3,MIN(LEN(R1000),4))))))</f>
        <v/>
      </c>
      <c r="T1000" s="0" t="str">
        <f aca="false">IF(E1000="","",LEFT(R1000,S1000)&amp;REPT("0",4-S1000)&amp;RIGHT("000"&amp;IFERROR(VALUE(MID(R1000,S1000+1,9)),0),3)&amp;RIGHT("0000"&amp;IFERROR(VALUE(MID(E1000,FIND("-",E1000)+1,9)),0),4))</f>
        <v/>
      </c>
      <c r="U1000" s="0" t="str">
        <f aca="false">IF(I1000=1,"K"&amp;RIGHT("00"&amp;A1000,2)&amp;T1000&amp;RIGHT("00000"&amp;ROW(),5),"")</f>
        <v/>
      </c>
      <c r="V1000" s="0" t="str">
        <f aca="false">IF(U1000="","",COUNTIFS($I$2:$I$1201,1,$U$2:$U$1201,"&lt;"&amp;U1000)+1)</f>
        <v/>
      </c>
    </row>
    <row r="1001" customFormat="false" ht="15" hidden="false" customHeight="false" outlineLevel="0" collapsed="false">
      <c r="A1001" s="0" t="n">
        <v>17</v>
      </c>
      <c r="B1001" s="0" t="n">
        <v>40</v>
      </c>
      <c r="C1001" s="0" t="str">
        <f aca="false">TRIM(SUBSTITUTE(INDEX(LISTAS!$A$4:$T$63,B1001,A1001)&amp;"",CHAR(160)," "))</f>
        <v/>
      </c>
      <c r="D1001" s="0" t="str">
        <f aca="false">IF(C1001="","",TRIM(RIGHT(SUBSTITUTE(C1001," ",REPT(" ",100)),100)))</f>
        <v/>
      </c>
      <c r="E1001" s="0" t="str">
        <f aca="false">IF(D1001="","",UPPER(SUBSTITUTE(SUBSTITUTE(D1001,"(",""),")","")))</f>
        <v/>
      </c>
      <c r="F1001" s="0" t="str">
        <f aca="false">IF(C1001="","",LEFT(C1001,FIND(" ",C1001&amp;" ")-1))</f>
        <v/>
      </c>
      <c r="G1001" s="0" t="n">
        <f aca="false">IFERROR(VALUE(SUBSTITUTE(LOWER(F1001),"x","")),0)</f>
        <v>0</v>
      </c>
      <c r="H1001" s="0" t="str">
        <f aca="false">IF(C1001="","",TRIM(MID(C1001,LEN(F1001)+2,999)))</f>
        <v/>
      </c>
      <c r="I1001" s="0" t="n">
        <f aca="false">IF(OR(C1001="",LEFT(C1001,2)="//"),0,IFERROR(IF(AND(G1001&gt;0,G1001=INT(G1001),FIND("-",E1001)&gt;1,NOT(EXACT(UPPER(LEFT(E1001,1)),LOWER(LEFT(E1001,1)))),ISNUMBER(VALUE(MID(E1001,FIND("-",E1001)+1,10)))),1,0),0))</f>
        <v>0</v>
      </c>
      <c r="J1001" s="0" t="str">
        <f aca="false">IF(I1001=1,TRIM(LEFT(H1001,MAX(0,LEN(H1001)-LEN(D1001)))),"")</f>
        <v/>
      </c>
      <c r="K1001" s="0" t="str">
        <f aca="false">INDEX($P$2:$P$21,A1001)</f>
        <v>Deck 17</v>
      </c>
      <c r="L1001" s="0" t="n">
        <f aca="false">IF(AND(C1001&lt;&gt;"",LEFT(C1001,2)&lt;&gt;"//",I1001=0),1,0)</f>
        <v>0</v>
      </c>
      <c r="M1001" s="0" t="str">
        <f aca="false">IF(I1001=1,MAX(M$1:M1000)+1,"")</f>
        <v/>
      </c>
      <c r="N1001" s="0" t="str">
        <f aca="false">IFERROR(MATCH(ROW()-1,$V$2:$V$1201,0),"")</f>
        <v/>
      </c>
      <c r="R1001" s="0" t="str">
        <f aca="false">IF(E1001="","",IFERROR(LEFT(E1001,FIND("-",E1001)-1),E1001))</f>
        <v/>
      </c>
      <c r="S1001" s="0" t="str">
        <f aca="false">IF(R1001="","",IF(ISNUMBER(--MID(R1001,1,1)),0,IF(ISNUMBER(--MID(R1001,2,1)),1,IF(ISNUMBER(--MID(R1001,3,1)),2,IF(ISNUMBER(--MID(R1001,4,1)),3,MIN(LEN(R1001),4))))))</f>
        <v/>
      </c>
      <c r="T1001" s="0" t="str">
        <f aca="false">IF(E1001="","",LEFT(R1001,S1001)&amp;REPT("0",4-S1001)&amp;RIGHT("000"&amp;IFERROR(VALUE(MID(R1001,S1001+1,9)),0),3)&amp;RIGHT("0000"&amp;IFERROR(VALUE(MID(E1001,FIND("-",E1001)+1,9)),0),4))</f>
        <v/>
      </c>
      <c r="U1001" s="0" t="str">
        <f aca="false">IF(I1001=1,"K"&amp;RIGHT("00"&amp;A1001,2)&amp;T1001&amp;RIGHT("00000"&amp;ROW(),5),"")</f>
        <v/>
      </c>
      <c r="V1001" s="0" t="str">
        <f aca="false">IF(U1001="","",COUNTIFS($I$2:$I$1201,1,$U$2:$U$1201,"&lt;"&amp;U1001)+1)</f>
        <v/>
      </c>
    </row>
    <row r="1002" customFormat="false" ht="15" hidden="false" customHeight="false" outlineLevel="0" collapsed="false">
      <c r="A1002" s="0" t="n">
        <v>17</v>
      </c>
      <c r="B1002" s="0" t="n">
        <v>41</v>
      </c>
      <c r="C1002" s="0" t="str">
        <f aca="false">TRIM(SUBSTITUTE(INDEX(LISTAS!$A$4:$T$63,B1002,A1002)&amp;"",CHAR(160)," "))</f>
        <v/>
      </c>
      <c r="D1002" s="0" t="str">
        <f aca="false">IF(C1002="","",TRIM(RIGHT(SUBSTITUTE(C1002," ",REPT(" ",100)),100)))</f>
        <v/>
      </c>
      <c r="E1002" s="0" t="str">
        <f aca="false">IF(D1002="","",UPPER(SUBSTITUTE(SUBSTITUTE(D1002,"(",""),")","")))</f>
        <v/>
      </c>
      <c r="F1002" s="0" t="str">
        <f aca="false">IF(C1002="","",LEFT(C1002,FIND(" ",C1002&amp;" ")-1))</f>
        <v/>
      </c>
      <c r="G1002" s="0" t="n">
        <f aca="false">IFERROR(VALUE(SUBSTITUTE(LOWER(F1002),"x","")),0)</f>
        <v>0</v>
      </c>
      <c r="H1002" s="0" t="str">
        <f aca="false">IF(C1002="","",TRIM(MID(C1002,LEN(F1002)+2,999)))</f>
        <v/>
      </c>
      <c r="I1002" s="0" t="n">
        <f aca="false">IF(OR(C1002="",LEFT(C1002,2)="//"),0,IFERROR(IF(AND(G1002&gt;0,G1002=INT(G1002),FIND("-",E1002)&gt;1,NOT(EXACT(UPPER(LEFT(E1002,1)),LOWER(LEFT(E1002,1)))),ISNUMBER(VALUE(MID(E1002,FIND("-",E1002)+1,10)))),1,0),0))</f>
        <v>0</v>
      </c>
      <c r="J1002" s="0" t="str">
        <f aca="false">IF(I1002=1,TRIM(LEFT(H1002,MAX(0,LEN(H1002)-LEN(D1002)))),"")</f>
        <v/>
      </c>
      <c r="K1002" s="0" t="str">
        <f aca="false">INDEX($P$2:$P$21,A1002)</f>
        <v>Deck 17</v>
      </c>
      <c r="L1002" s="0" t="n">
        <f aca="false">IF(AND(C1002&lt;&gt;"",LEFT(C1002,2)&lt;&gt;"//",I1002=0),1,0)</f>
        <v>0</v>
      </c>
      <c r="M1002" s="0" t="str">
        <f aca="false">IF(I1002=1,MAX(M$1:M1001)+1,"")</f>
        <v/>
      </c>
      <c r="N1002" s="0" t="str">
        <f aca="false">IFERROR(MATCH(ROW()-1,$V$2:$V$1201,0),"")</f>
        <v/>
      </c>
      <c r="R1002" s="0" t="str">
        <f aca="false">IF(E1002="","",IFERROR(LEFT(E1002,FIND("-",E1002)-1),E1002))</f>
        <v/>
      </c>
      <c r="S1002" s="0" t="str">
        <f aca="false">IF(R1002="","",IF(ISNUMBER(--MID(R1002,1,1)),0,IF(ISNUMBER(--MID(R1002,2,1)),1,IF(ISNUMBER(--MID(R1002,3,1)),2,IF(ISNUMBER(--MID(R1002,4,1)),3,MIN(LEN(R1002),4))))))</f>
        <v/>
      </c>
      <c r="T1002" s="0" t="str">
        <f aca="false">IF(E1002="","",LEFT(R1002,S1002)&amp;REPT("0",4-S1002)&amp;RIGHT("000"&amp;IFERROR(VALUE(MID(R1002,S1002+1,9)),0),3)&amp;RIGHT("0000"&amp;IFERROR(VALUE(MID(E1002,FIND("-",E1002)+1,9)),0),4))</f>
        <v/>
      </c>
      <c r="U1002" s="0" t="str">
        <f aca="false">IF(I1002=1,"K"&amp;RIGHT("00"&amp;A1002,2)&amp;T1002&amp;RIGHT("00000"&amp;ROW(),5),"")</f>
        <v/>
      </c>
      <c r="V1002" s="0" t="str">
        <f aca="false">IF(U1002="","",COUNTIFS($I$2:$I$1201,1,$U$2:$U$1201,"&lt;"&amp;U1002)+1)</f>
        <v/>
      </c>
    </row>
    <row r="1003" customFormat="false" ht="15" hidden="false" customHeight="false" outlineLevel="0" collapsed="false">
      <c r="A1003" s="0" t="n">
        <v>17</v>
      </c>
      <c r="B1003" s="0" t="n">
        <v>42</v>
      </c>
      <c r="C1003" s="0" t="str">
        <f aca="false">TRIM(SUBSTITUTE(INDEX(LISTAS!$A$4:$T$63,B1003,A1003)&amp;"",CHAR(160)," "))</f>
        <v/>
      </c>
      <c r="D1003" s="0" t="str">
        <f aca="false">IF(C1003="","",TRIM(RIGHT(SUBSTITUTE(C1003," ",REPT(" ",100)),100)))</f>
        <v/>
      </c>
      <c r="E1003" s="0" t="str">
        <f aca="false">IF(D1003="","",UPPER(SUBSTITUTE(SUBSTITUTE(D1003,"(",""),")","")))</f>
        <v/>
      </c>
      <c r="F1003" s="0" t="str">
        <f aca="false">IF(C1003="","",LEFT(C1003,FIND(" ",C1003&amp;" ")-1))</f>
        <v/>
      </c>
      <c r="G1003" s="0" t="n">
        <f aca="false">IFERROR(VALUE(SUBSTITUTE(LOWER(F1003),"x","")),0)</f>
        <v>0</v>
      </c>
      <c r="H1003" s="0" t="str">
        <f aca="false">IF(C1003="","",TRIM(MID(C1003,LEN(F1003)+2,999)))</f>
        <v/>
      </c>
      <c r="I1003" s="0" t="n">
        <f aca="false">IF(OR(C1003="",LEFT(C1003,2)="//"),0,IFERROR(IF(AND(G1003&gt;0,G1003=INT(G1003),FIND("-",E1003)&gt;1,NOT(EXACT(UPPER(LEFT(E1003,1)),LOWER(LEFT(E1003,1)))),ISNUMBER(VALUE(MID(E1003,FIND("-",E1003)+1,10)))),1,0),0))</f>
        <v>0</v>
      </c>
      <c r="J1003" s="0" t="str">
        <f aca="false">IF(I1003=1,TRIM(LEFT(H1003,MAX(0,LEN(H1003)-LEN(D1003)))),"")</f>
        <v/>
      </c>
      <c r="K1003" s="0" t="str">
        <f aca="false">INDEX($P$2:$P$21,A1003)</f>
        <v>Deck 17</v>
      </c>
      <c r="L1003" s="0" t="n">
        <f aca="false">IF(AND(C1003&lt;&gt;"",LEFT(C1003,2)&lt;&gt;"//",I1003=0),1,0)</f>
        <v>0</v>
      </c>
      <c r="M1003" s="0" t="str">
        <f aca="false">IF(I1003=1,MAX(M$1:M1002)+1,"")</f>
        <v/>
      </c>
      <c r="N1003" s="0" t="str">
        <f aca="false">IFERROR(MATCH(ROW()-1,$V$2:$V$1201,0),"")</f>
        <v/>
      </c>
      <c r="R1003" s="0" t="str">
        <f aca="false">IF(E1003="","",IFERROR(LEFT(E1003,FIND("-",E1003)-1),E1003))</f>
        <v/>
      </c>
      <c r="S1003" s="0" t="str">
        <f aca="false">IF(R1003="","",IF(ISNUMBER(--MID(R1003,1,1)),0,IF(ISNUMBER(--MID(R1003,2,1)),1,IF(ISNUMBER(--MID(R1003,3,1)),2,IF(ISNUMBER(--MID(R1003,4,1)),3,MIN(LEN(R1003),4))))))</f>
        <v/>
      </c>
      <c r="T1003" s="0" t="str">
        <f aca="false">IF(E1003="","",LEFT(R1003,S1003)&amp;REPT("0",4-S1003)&amp;RIGHT("000"&amp;IFERROR(VALUE(MID(R1003,S1003+1,9)),0),3)&amp;RIGHT("0000"&amp;IFERROR(VALUE(MID(E1003,FIND("-",E1003)+1,9)),0),4))</f>
        <v/>
      </c>
      <c r="U1003" s="0" t="str">
        <f aca="false">IF(I1003=1,"K"&amp;RIGHT("00"&amp;A1003,2)&amp;T1003&amp;RIGHT("00000"&amp;ROW(),5),"")</f>
        <v/>
      </c>
      <c r="V1003" s="0" t="str">
        <f aca="false">IF(U1003="","",COUNTIFS($I$2:$I$1201,1,$U$2:$U$1201,"&lt;"&amp;U1003)+1)</f>
        <v/>
      </c>
    </row>
    <row r="1004" customFormat="false" ht="15" hidden="false" customHeight="false" outlineLevel="0" collapsed="false">
      <c r="A1004" s="0" t="n">
        <v>17</v>
      </c>
      <c r="B1004" s="0" t="n">
        <v>43</v>
      </c>
      <c r="C1004" s="0" t="str">
        <f aca="false">TRIM(SUBSTITUTE(INDEX(LISTAS!$A$4:$T$63,B1004,A1004)&amp;"",CHAR(160)," "))</f>
        <v/>
      </c>
      <c r="D1004" s="0" t="str">
        <f aca="false">IF(C1004="","",TRIM(RIGHT(SUBSTITUTE(C1004," ",REPT(" ",100)),100)))</f>
        <v/>
      </c>
      <c r="E1004" s="0" t="str">
        <f aca="false">IF(D1004="","",UPPER(SUBSTITUTE(SUBSTITUTE(D1004,"(",""),")","")))</f>
        <v/>
      </c>
      <c r="F1004" s="0" t="str">
        <f aca="false">IF(C1004="","",LEFT(C1004,FIND(" ",C1004&amp;" ")-1))</f>
        <v/>
      </c>
      <c r="G1004" s="0" t="n">
        <f aca="false">IFERROR(VALUE(SUBSTITUTE(LOWER(F1004),"x","")),0)</f>
        <v>0</v>
      </c>
      <c r="H1004" s="0" t="str">
        <f aca="false">IF(C1004="","",TRIM(MID(C1004,LEN(F1004)+2,999)))</f>
        <v/>
      </c>
      <c r="I1004" s="0" t="n">
        <f aca="false">IF(OR(C1004="",LEFT(C1004,2)="//"),0,IFERROR(IF(AND(G1004&gt;0,G1004=INT(G1004),FIND("-",E1004)&gt;1,NOT(EXACT(UPPER(LEFT(E1004,1)),LOWER(LEFT(E1004,1)))),ISNUMBER(VALUE(MID(E1004,FIND("-",E1004)+1,10)))),1,0),0))</f>
        <v>0</v>
      </c>
      <c r="J1004" s="0" t="str">
        <f aca="false">IF(I1004=1,TRIM(LEFT(H1004,MAX(0,LEN(H1004)-LEN(D1004)))),"")</f>
        <v/>
      </c>
      <c r="K1004" s="0" t="str">
        <f aca="false">INDEX($P$2:$P$21,A1004)</f>
        <v>Deck 17</v>
      </c>
      <c r="L1004" s="0" t="n">
        <f aca="false">IF(AND(C1004&lt;&gt;"",LEFT(C1004,2)&lt;&gt;"//",I1004=0),1,0)</f>
        <v>0</v>
      </c>
      <c r="M1004" s="0" t="str">
        <f aca="false">IF(I1004=1,MAX(M$1:M1003)+1,"")</f>
        <v/>
      </c>
      <c r="N1004" s="0" t="str">
        <f aca="false">IFERROR(MATCH(ROW()-1,$V$2:$V$1201,0),"")</f>
        <v/>
      </c>
      <c r="R1004" s="0" t="str">
        <f aca="false">IF(E1004="","",IFERROR(LEFT(E1004,FIND("-",E1004)-1),E1004))</f>
        <v/>
      </c>
      <c r="S1004" s="0" t="str">
        <f aca="false">IF(R1004="","",IF(ISNUMBER(--MID(R1004,1,1)),0,IF(ISNUMBER(--MID(R1004,2,1)),1,IF(ISNUMBER(--MID(R1004,3,1)),2,IF(ISNUMBER(--MID(R1004,4,1)),3,MIN(LEN(R1004),4))))))</f>
        <v/>
      </c>
      <c r="T1004" s="0" t="str">
        <f aca="false">IF(E1004="","",LEFT(R1004,S1004)&amp;REPT("0",4-S1004)&amp;RIGHT("000"&amp;IFERROR(VALUE(MID(R1004,S1004+1,9)),0),3)&amp;RIGHT("0000"&amp;IFERROR(VALUE(MID(E1004,FIND("-",E1004)+1,9)),0),4))</f>
        <v/>
      </c>
      <c r="U1004" s="0" t="str">
        <f aca="false">IF(I1004=1,"K"&amp;RIGHT("00"&amp;A1004,2)&amp;T1004&amp;RIGHT("00000"&amp;ROW(),5),"")</f>
        <v/>
      </c>
      <c r="V1004" s="0" t="str">
        <f aca="false">IF(U1004="","",COUNTIFS($I$2:$I$1201,1,$U$2:$U$1201,"&lt;"&amp;U1004)+1)</f>
        <v/>
      </c>
    </row>
    <row r="1005" customFormat="false" ht="15" hidden="false" customHeight="false" outlineLevel="0" collapsed="false">
      <c r="A1005" s="0" t="n">
        <v>17</v>
      </c>
      <c r="B1005" s="0" t="n">
        <v>44</v>
      </c>
      <c r="C1005" s="0" t="str">
        <f aca="false">TRIM(SUBSTITUTE(INDEX(LISTAS!$A$4:$T$63,B1005,A1005)&amp;"",CHAR(160)," "))</f>
        <v/>
      </c>
      <c r="D1005" s="0" t="str">
        <f aca="false">IF(C1005="","",TRIM(RIGHT(SUBSTITUTE(C1005," ",REPT(" ",100)),100)))</f>
        <v/>
      </c>
      <c r="E1005" s="0" t="str">
        <f aca="false">IF(D1005="","",UPPER(SUBSTITUTE(SUBSTITUTE(D1005,"(",""),")","")))</f>
        <v/>
      </c>
      <c r="F1005" s="0" t="str">
        <f aca="false">IF(C1005="","",LEFT(C1005,FIND(" ",C1005&amp;" ")-1))</f>
        <v/>
      </c>
      <c r="G1005" s="0" t="n">
        <f aca="false">IFERROR(VALUE(SUBSTITUTE(LOWER(F1005),"x","")),0)</f>
        <v>0</v>
      </c>
      <c r="H1005" s="0" t="str">
        <f aca="false">IF(C1005="","",TRIM(MID(C1005,LEN(F1005)+2,999)))</f>
        <v/>
      </c>
      <c r="I1005" s="0" t="n">
        <f aca="false">IF(OR(C1005="",LEFT(C1005,2)="//"),0,IFERROR(IF(AND(G1005&gt;0,G1005=INT(G1005),FIND("-",E1005)&gt;1,NOT(EXACT(UPPER(LEFT(E1005,1)),LOWER(LEFT(E1005,1)))),ISNUMBER(VALUE(MID(E1005,FIND("-",E1005)+1,10)))),1,0),0))</f>
        <v>0</v>
      </c>
      <c r="J1005" s="0" t="str">
        <f aca="false">IF(I1005=1,TRIM(LEFT(H1005,MAX(0,LEN(H1005)-LEN(D1005)))),"")</f>
        <v/>
      </c>
      <c r="K1005" s="0" t="str">
        <f aca="false">INDEX($P$2:$P$21,A1005)</f>
        <v>Deck 17</v>
      </c>
      <c r="L1005" s="0" t="n">
        <f aca="false">IF(AND(C1005&lt;&gt;"",LEFT(C1005,2)&lt;&gt;"//",I1005=0),1,0)</f>
        <v>0</v>
      </c>
      <c r="M1005" s="0" t="str">
        <f aca="false">IF(I1005=1,MAX(M$1:M1004)+1,"")</f>
        <v/>
      </c>
      <c r="N1005" s="0" t="str">
        <f aca="false">IFERROR(MATCH(ROW()-1,$V$2:$V$1201,0),"")</f>
        <v/>
      </c>
      <c r="R1005" s="0" t="str">
        <f aca="false">IF(E1005="","",IFERROR(LEFT(E1005,FIND("-",E1005)-1),E1005))</f>
        <v/>
      </c>
      <c r="S1005" s="0" t="str">
        <f aca="false">IF(R1005="","",IF(ISNUMBER(--MID(R1005,1,1)),0,IF(ISNUMBER(--MID(R1005,2,1)),1,IF(ISNUMBER(--MID(R1005,3,1)),2,IF(ISNUMBER(--MID(R1005,4,1)),3,MIN(LEN(R1005),4))))))</f>
        <v/>
      </c>
      <c r="T1005" s="0" t="str">
        <f aca="false">IF(E1005="","",LEFT(R1005,S1005)&amp;REPT("0",4-S1005)&amp;RIGHT("000"&amp;IFERROR(VALUE(MID(R1005,S1005+1,9)),0),3)&amp;RIGHT("0000"&amp;IFERROR(VALUE(MID(E1005,FIND("-",E1005)+1,9)),0),4))</f>
        <v/>
      </c>
      <c r="U1005" s="0" t="str">
        <f aca="false">IF(I1005=1,"K"&amp;RIGHT("00"&amp;A1005,2)&amp;T1005&amp;RIGHT("00000"&amp;ROW(),5),"")</f>
        <v/>
      </c>
      <c r="V1005" s="0" t="str">
        <f aca="false">IF(U1005="","",COUNTIFS($I$2:$I$1201,1,$U$2:$U$1201,"&lt;"&amp;U1005)+1)</f>
        <v/>
      </c>
    </row>
    <row r="1006" customFormat="false" ht="15" hidden="false" customHeight="false" outlineLevel="0" collapsed="false">
      <c r="A1006" s="0" t="n">
        <v>17</v>
      </c>
      <c r="B1006" s="0" t="n">
        <v>45</v>
      </c>
      <c r="C1006" s="0" t="str">
        <f aca="false">TRIM(SUBSTITUTE(INDEX(LISTAS!$A$4:$T$63,B1006,A1006)&amp;"",CHAR(160)," "))</f>
        <v/>
      </c>
      <c r="D1006" s="0" t="str">
        <f aca="false">IF(C1006="","",TRIM(RIGHT(SUBSTITUTE(C1006," ",REPT(" ",100)),100)))</f>
        <v/>
      </c>
      <c r="E1006" s="0" t="str">
        <f aca="false">IF(D1006="","",UPPER(SUBSTITUTE(SUBSTITUTE(D1006,"(",""),")","")))</f>
        <v/>
      </c>
      <c r="F1006" s="0" t="str">
        <f aca="false">IF(C1006="","",LEFT(C1006,FIND(" ",C1006&amp;" ")-1))</f>
        <v/>
      </c>
      <c r="G1006" s="0" t="n">
        <f aca="false">IFERROR(VALUE(SUBSTITUTE(LOWER(F1006),"x","")),0)</f>
        <v>0</v>
      </c>
      <c r="H1006" s="0" t="str">
        <f aca="false">IF(C1006="","",TRIM(MID(C1006,LEN(F1006)+2,999)))</f>
        <v/>
      </c>
      <c r="I1006" s="0" t="n">
        <f aca="false">IF(OR(C1006="",LEFT(C1006,2)="//"),0,IFERROR(IF(AND(G1006&gt;0,G1006=INT(G1006),FIND("-",E1006)&gt;1,NOT(EXACT(UPPER(LEFT(E1006,1)),LOWER(LEFT(E1006,1)))),ISNUMBER(VALUE(MID(E1006,FIND("-",E1006)+1,10)))),1,0),0))</f>
        <v>0</v>
      </c>
      <c r="J1006" s="0" t="str">
        <f aca="false">IF(I1006=1,TRIM(LEFT(H1006,MAX(0,LEN(H1006)-LEN(D1006)))),"")</f>
        <v/>
      </c>
      <c r="K1006" s="0" t="str">
        <f aca="false">INDEX($P$2:$P$21,A1006)</f>
        <v>Deck 17</v>
      </c>
      <c r="L1006" s="0" t="n">
        <f aca="false">IF(AND(C1006&lt;&gt;"",LEFT(C1006,2)&lt;&gt;"//",I1006=0),1,0)</f>
        <v>0</v>
      </c>
      <c r="M1006" s="0" t="str">
        <f aca="false">IF(I1006=1,MAX(M$1:M1005)+1,"")</f>
        <v/>
      </c>
      <c r="N1006" s="0" t="str">
        <f aca="false">IFERROR(MATCH(ROW()-1,$V$2:$V$1201,0),"")</f>
        <v/>
      </c>
      <c r="R1006" s="0" t="str">
        <f aca="false">IF(E1006="","",IFERROR(LEFT(E1006,FIND("-",E1006)-1),E1006))</f>
        <v/>
      </c>
      <c r="S1006" s="0" t="str">
        <f aca="false">IF(R1006="","",IF(ISNUMBER(--MID(R1006,1,1)),0,IF(ISNUMBER(--MID(R1006,2,1)),1,IF(ISNUMBER(--MID(R1006,3,1)),2,IF(ISNUMBER(--MID(R1006,4,1)),3,MIN(LEN(R1006),4))))))</f>
        <v/>
      </c>
      <c r="T1006" s="0" t="str">
        <f aca="false">IF(E1006="","",LEFT(R1006,S1006)&amp;REPT("0",4-S1006)&amp;RIGHT("000"&amp;IFERROR(VALUE(MID(R1006,S1006+1,9)),0),3)&amp;RIGHT("0000"&amp;IFERROR(VALUE(MID(E1006,FIND("-",E1006)+1,9)),0),4))</f>
        <v/>
      </c>
      <c r="U1006" s="0" t="str">
        <f aca="false">IF(I1006=1,"K"&amp;RIGHT("00"&amp;A1006,2)&amp;T1006&amp;RIGHT("00000"&amp;ROW(),5),"")</f>
        <v/>
      </c>
      <c r="V1006" s="0" t="str">
        <f aca="false">IF(U1006="","",COUNTIFS($I$2:$I$1201,1,$U$2:$U$1201,"&lt;"&amp;U1006)+1)</f>
        <v/>
      </c>
    </row>
    <row r="1007" customFormat="false" ht="15" hidden="false" customHeight="false" outlineLevel="0" collapsed="false">
      <c r="A1007" s="0" t="n">
        <v>17</v>
      </c>
      <c r="B1007" s="0" t="n">
        <v>46</v>
      </c>
      <c r="C1007" s="0" t="str">
        <f aca="false">TRIM(SUBSTITUTE(INDEX(LISTAS!$A$4:$T$63,B1007,A1007)&amp;"",CHAR(160)," "))</f>
        <v/>
      </c>
      <c r="D1007" s="0" t="str">
        <f aca="false">IF(C1007="","",TRIM(RIGHT(SUBSTITUTE(C1007," ",REPT(" ",100)),100)))</f>
        <v/>
      </c>
      <c r="E1007" s="0" t="str">
        <f aca="false">IF(D1007="","",UPPER(SUBSTITUTE(SUBSTITUTE(D1007,"(",""),")","")))</f>
        <v/>
      </c>
      <c r="F1007" s="0" t="str">
        <f aca="false">IF(C1007="","",LEFT(C1007,FIND(" ",C1007&amp;" ")-1))</f>
        <v/>
      </c>
      <c r="G1007" s="0" t="n">
        <f aca="false">IFERROR(VALUE(SUBSTITUTE(LOWER(F1007),"x","")),0)</f>
        <v>0</v>
      </c>
      <c r="H1007" s="0" t="str">
        <f aca="false">IF(C1007="","",TRIM(MID(C1007,LEN(F1007)+2,999)))</f>
        <v/>
      </c>
      <c r="I1007" s="0" t="n">
        <f aca="false">IF(OR(C1007="",LEFT(C1007,2)="//"),0,IFERROR(IF(AND(G1007&gt;0,G1007=INT(G1007),FIND("-",E1007)&gt;1,NOT(EXACT(UPPER(LEFT(E1007,1)),LOWER(LEFT(E1007,1)))),ISNUMBER(VALUE(MID(E1007,FIND("-",E1007)+1,10)))),1,0),0))</f>
        <v>0</v>
      </c>
      <c r="J1007" s="0" t="str">
        <f aca="false">IF(I1007=1,TRIM(LEFT(H1007,MAX(0,LEN(H1007)-LEN(D1007)))),"")</f>
        <v/>
      </c>
      <c r="K1007" s="0" t="str">
        <f aca="false">INDEX($P$2:$P$21,A1007)</f>
        <v>Deck 17</v>
      </c>
      <c r="L1007" s="0" t="n">
        <f aca="false">IF(AND(C1007&lt;&gt;"",LEFT(C1007,2)&lt;&gt;"//",I1007=0),1,0)</f>
        <v>0</v>
      </c>
      <c r="M1007" s="0" t="str">
        <f aca="false">IF(I1007=1,MAX(M$1:M1006)+1,"")</f>
        <v/>
      </c>
      <c r="N1007" s="0" t="str">
        <f aca="false">IFERROR(MATCH(ROW()-1,$V$2:$V$1201,0),"")</f>
        <v/>
      </c>
      <c r="R1007" s="0" t="str">
        <f aca="false">IF(E1007="","",IFERROR(LEFT(E1007,FIND("-",E1007)-1),E1007))</f>
        <v/>
      </c>
      <c r="S1007" s="0" t="str">
        <f aca="false">IF(R1007="","",IF(ISNUMBER(--MID(R1007,1,1)),0,IF(ISNUMBER(--MID(R1007,2,1)),1,IF(ISNUMBER(--MID(R1007,3,1)),2,IF(ISNUMBER(--MID(R1007,4,1)),3,MIN(LEN(R1007),4))))))</f>
        <v/>
      </c>
      <c r="T1007" s="0" t="str">
        <f aca="false">IF(E1007="","",LEFT(R1007,S1007)&amp;REPT("0",4-S1007)&amp;RIGHT("000"&amp;IFERROR(VALUE(MID(R1007,S1007+1,9)),0),3)&amp;RIGHT("0000"&amp;IFERROR(VALUE(MID(E1007,FIND("-",E1007)+1,9)),0),4))</f>
        <v/>
      </c>
      <c r="U1007" s="0" t="str">
        <f aca="false">IF(I1007=1,"K"&amp;RIGHT("00"&amp;A1007,2)&amp;T1007&amp;RIGHT("00000"&amp;ROW(),5),"")</f>
        <v/>
      </c>
      <c r="V1007" s="0" t="str">
        <f aca="false">IF(U1007="","",COUNTIFS($I$2:$I$1201,1,$U$2:$U$1201,"&lt;"&amp;U1007)+1)</f>
        <v/>
      </c>
    </row>
    <row r="1008" customFormat="false" ht="15" hidden="false" customHeight="false" outlineLevel="0" collapsed="false">
      <c r="A1008" s="0" t="n">
        <v>17</v>
      </c>
      <c r="B1008" s="0" t="n">
        <v>47</v>
      </c>
      <c r="C1008" s="0" t="str">
        <f aca="false">TRIM(SUBSTITUTE(INDEX(LISTAS!$A$4:$T$63,B1008,A1008)&amp;"",CHAR(160)," "))</f>
        <v/>
      </c>
      <c r="D1008" s="0" t="str">
        <f aca="false">IF(C1008="","",TRIM(RIGHT(SUBSTITUTE(C1008," ",REPT(" ",100)),100)))</f>
        <v/>
      </c>
      <c r="E1008" s="0" t="str">
        <f aca="false">IF(D1008="","",UPPER(SUBSTITUTE(SUBSTITUTE(D1008,"(",""),")","")))</f>
        <v/>
      </c>
      <c r="F1008" s="0" t="str">
        <f aca="false">IF(C1008="","",LEFT(C1008,FIND(" ",C1008&amp;" ")-1))</f>
        <v/>
      </c>
      <c r="G1008" s="0" t="n">
        <f aca="false">IFERROR(VALUE(SUBSTITUTE(LOWER(F1008),"x","")),0)</f>
        <v>0</v>
      </c>
      <c r="H1008" s="0" t="str">
        <f aca="false">IF(C1008="","",TRIM(MID(C1008,LEN(F1008)+2,999)))</f>
        <v/>
      </c>
      <c r="I1008" s="0" t="n">
        <f aca="false">IF(OR(C1008="",LEFT(C1008,2)="//"),0,IFERROR(IF(AND(G1008&gt;0,G1008=INT(G1008),FIND("-",E1008)&gt;1,NOT(EXACT(UPPER(LEFT(E1008,1)),LOWER(LEFT(E1008,1)))),ISNUMBER(VALUE(MID(E1008,FIND("-",E1008)+1,10)))),1,0),0))</f>
        <v>0</v>
      </c>
      <c r="J1008" s="0" t="str">
        <f aca="false">IF(I1008=1,TRIM(LEFT(H1008,MAX(0,LEN(H1008)-LEN(D1008)))),"")</f>
        <v/>
      </c>
      <c r="K1008" s="0" t="str">
        <f aca="false">INDEX($P$2:$P$21,A1008)</f>
        <v>Deck 17</v>
      </c>
      <c r="L1008" s="0" t="n">
        <f aca="false">IF(AND(C1008&lt;&gt;"",LEFT(C1008,2)&lt;&gt;"//",I1008=0),1,0)</f>
        <v>0</v>
      </c>
      <c r="M1008" s="0" t="str">
        <f aca="false">IF(I1008=1,MAX(M$1:M1007)+1,"")</f>
        <v/>
      </c>
      <c r="N1008" s="0" t="str">
        <f aca="false">IFERROR(MATCH(ROW()-1,$V$2:$V$1201,0),"")</f>
        <v/>
      </c>
      <c r="R1008" s="0" t="str">
        <f aca="false">IF(E1008="","",IFERROR(LEFT(E1008,FIND("-",E1008)-1),E1008))</f>
        <v/>
      </c>
      <c r="S1008" s="0" t="str">
        <f aca="false">IF(R1008="","",IF(ISNUMBER(--MID(R1008,1,1)),0,IF(ISNUMBER(--MID(R1008,2,1)),1,IF(ISNUMBER(--MID(R1008,3,1)),2,IF(ISNUMBER(--MID(R1008,4,1)),3,MIN(LEN(R1008),4))))))</f>
        <v/>
      </c>
      <c r="T1008" s="0" t="str">
        <f aca="false">IF(E1008="","",LEFT(R1008,S1008)&amp;REPT("0",4-S1008)&amp;RIGHT("000"&amp;IFERROR(VALUE(MID(R1008,S1008+1,9)),0),3)&amp;RIGHT("0000"&amp;IFERROR(VALUE(MID(E1008,FIND("-",E1008)+1,9)),0),4))</f>
        <v/>
      </c>
      <c r="U1008" s="0" t="str">
        <f aca="false">IF(I1008=1,"K"&amp;RIGHT("00"&amp;A1008,2)&amp;T1008&amp;RIGHT("00000"&amp;ROW(),5),"")</f>
        <v/>
      </c>
      <c r="V1008" s="0" t="str">
        <f aca="false">IF(U1008="","",COUNTIFS($I$2:$I$1201,1,$U$2:$U$1201,"&lt;"&amp;U1008)+1)</f>
        <v/>
      </c>
    </row>
    <row r="1009" customFormat="false" ht="15" hidden="false" customHeight="false" outlineLevel="0" collapsed="false">
      <c r="A1009" s="0" t="n">
        <v>17</v>
      </c>
      <c r="B1009" s="0" t="n">
        <v>48</v>
      </c>
      <c r="C1009" s="0" t="str">
        <f aca="false">TRIM(SUBSTITUTE(INDEX(LISTAS!$A$4:$T$63,B1009,A1009)&amp;"",CHAR(160)," "))</f>
        <v/>
      </c>
      <c r="D1009" s="0" t="str">
        <f aca="false">IF(C1009="","",TRIM(RIGHT(SUBSTITUTE(C1009," ",REPT(" ",100)),100)))</f>
        <v/>
      </c>
      <c r="E1009" s="0" t="str">
        <f aca="false">IF(D1009="","",UPPER(SUBSTITUTE(SUBSTITUTE(D1009,"(",""),")","")))</f>
        <v/>
      </c>
      <c r="F1009" s="0" t="str">
        <f aca="false">IF(C1009="","",LEFT(C1009,FIND(" ",C1009&amp;" ")-1))</f>
        <v/>
      </c>
      <c r="G1009" s="0" t="n">
        <f aca="false">IFERROR(VALUE(SUBSTITUTE(LOWER(F1009),"x","")),0)</f>
        <v>0</v>
      </c>
      <c r="H1009" s="0" t="str">
        <f aca="false">IF(C1009="","",TRIM(MID(C1009,LEN(F1009)+2,999)))</f>
        <v/>
      </c>
      <c r="I1009" s="0" t="n">
        <f aca="false">IF(OR(C1009="",LEFT(C1009,2)="//"),0,IFERROR(IF(AND(G1009&gt;0,G1009=INT(G1009),FIND("-",E1009)&gt;1,NOT(EXACT(UPPER(LEFT(E1009,1)),LOWER(LEFT(E1009,1)))),ISNUMBER(VALUE(MID(E1009,FIND("-",E1009)+1,10)))),1,0),0))</f>
        <v>0</v>
      </c>
      <c r="J1009" s="0" t="str">
        <f aca="false">IF(I1009=1,TRIM(LEFT(H1009,MAX(0,LEN(H1009)-LEN(D1009)))),"")</f>
        <v/>
      </c>
      <c r="K1009" s="0" t="str">
        <f aca="false">INDEX($P$2:$P$21,A1009)</f>
        <v>Deck 17</v>
      </c>
      <c r="L1009" s="0" t="n">
        <f aca="false">IF(AND(C1009&lt;&gt;"",LEFT(C1009,2)&lt;&gt;"//",I1009=0),1,0)</f>
        <v>0</v>
      </c>
      <c r="M1009" s="0" t="str">
        <f aca="false">IF(I1009=1,MAX(M$1:M1008)+1,"")</f>
        <v/>
      </c>
      <c r="N1009" s="0" t="str">
        <f aca="false">IFERROR(MATCH(ROW()-1,$V$2:$V$1201,0),"")</f>
        <v/>
      </c>
      <c r="R1009" s="0" t="str">
        <f aca="false">IF(E1009="","",IFERROR(LEFT(E1009,FIND("-",E1009)-1),E1009))</f>
        <v/>
      </c>
      <c r="S1009" s="0" t="str">
        <f aca="false">IF(R1009="","",IF(ISNUMBER(--MID(R1009,1,1)),0,IF(ISNUMBER(--MID(R1009,2,1)),1,IF(ISNUMBER(--MID(R1009,3,1)),2,IF(ISNUMBER(--MID(R1009,4,1)),3,MIN(LEN(R1009),4))))))</f>
        <v/>
      </c>
      <c r="T1009" s="0" t="str">
        <f aca="false">IF(E1009="","",LEFT(R1009,S1009)&amp;REPT("0",4-S1009)&amp;RIGHT("000"&amp;IFERROR(VALUE(MID(R1009,S1009+1,9)),0),3)&amp;RIGHT("0000"&amp;IFERROR(VALUE(MID(E1009,FIND("-",E1009)+1,9)),0),4))</f>
        <v/>
      </c>
      <c r="U1009" s="0" t="str">
        <f aca="false">IF(I1009=1,"K"&amp;RIGHT("00"&amp;A1009,2)&amp;T1009&amp;RIGHT("00000"&amp;ROW(),5),"")</f>
        <v/>
      </c>
      <c r="V1009" s="0" t="str">
        <f aca="false">IF(U1009="","",COUNTIFS($I$2:$I$1201,1,$U$2:$U$1201,"&lt;"&amp;U1009)+1)</f>
        <v/>
      </c>
    </row>
    <row r="1010" customFormat="false" ht="15" hidden="false" customHeight="false" outlineLevel="0" collapsed="false">
      <c r="A1010" s="0" t="n">
        <v>17</v>
      </c>
      <c r="B1010" s="0" t="n">
        <v>49</v>
      </c>
      <c r="C1010" s="0" t="str">
        <f aca="false">TRIM(SUBSTITUTE(INDEX(LISTAS!$A$4:$T$63,B1010,A1010)&amp;"",CHAR(160)," "))</f>
        <v/>
      </c>
      <c r="D1010" s="0" t="str">
        <f aca="false">IF(C1010="","",TRIM(RIGHT(SUBSTITUTE(C1010," ",REPT(" ",100)),100)))</f>
        <v/>
      </c>
      <c r="E1010" s="0" t="str">
        <f aca="false">IF(D1010="","",UPPER(SUBSTITUTE(SUBSTITUTE(D1010,"(",""),")","")))</f>
        <v/>
      </c>
      <c r="F1010" s="0" t="str">
        <f aca="false">IF(C1010="","",LEFT(C1010,FIND(" ",C1010&amp;" ")-1))</f>
        <v/>
      </c>
      <c r="G1010" s="0" t="n">
        <f aca="false">IFERROR(VALUE(SUBSTITUTE(LOWER(F1010),"x","")),0)</f>
        <v>0</v>
      </c>
      <c r="H1010" s="0" t="str">
        <f aca="false">IF(C1010="","",TRIM(MID(C1010,LEN(F1010)+2,999)))</f>
        <v/>
      </c>
      <c r="I1010" s="0" t="n">
        <f aca="false">IF(OR(C1010="",LEFT(C1010,2)="//"),0,IFERROR(IF(AND(G1010&gt;0,G1010=INT(G1010),FIND("-",E1010)&gt;1,NOT(EXACT(UPPER(LEFT(E1010,1)),LOWER(LEFT(E1010,1)))),ISNUMBER(VALUE(MID(E1010,FIND("-",E1010)+1,10)))),1,0),0))</f>
        <v>0</v>
      </c>
      <c r="J1010" s="0" t="str">
        <f aca="false">IF(I1010=1,TRIM(LEFT(H1010,MAX(0,LEN(H1010)-LEN(D1010)))),"")</f>
        <v/>
      </c>
      <c r="K1010" s="0" t="str">
        <f aca="false">INDEX($P$2:$P$21,A1010)</f>
        <v>Deck 17</v>
      </c>
      <c r="L1010" s="0" t="n">
        <f aca="false">IF(AND(C1010&lt;&gt;"",LEFT(C1010,2)&lt;&gt;"//",I1010=0),1,0)</f>
        <v>0</v>
      </c>
      <c r="M1010" s="0" t="str">
        <f aca="false">IF(I1010=1,MAX(M$1:M1009)+1,"")</f>
        <v/>
      </c>
      <c r="N1010" s="0" t="str">
        <f aca="false">IFERROR(MATCH(ROW()-1,$V$2:$V$1201,0),"")</f>
        <v/>
      </c>
      <c r="R1010" s="0" t="str">
        <f aca="false">IF(E1010="","",IFERROR(LEFT(E1010,FIND("-",E1010)-1),E1010))</f>
        <v/>
      </c>
      <c r="S1010" s="0" t="str">
        <f aca="false">IF(R1010="","",IF(ISNUMBER(--MID(R1010,1,1)),0,IF(ISNUMBER(--MID(R1010,2,1)),1,IF(ISNUMBER(--MID(R1010,3,1)),2,IF(ISNUMBER(--MID(R1010,4,1)),3,MIN(LEN(R1010),4))))))</f>
        <v/>
      </c>
      <c r="T1010" s="0" t="str">
        <f aca="false">IF(E1010="","",LEFT(R1010,S1010)&amp;REPT("0",4-S1010)&amp;RIGHT("000"&amp;IFERROR(VALUE(MID(R1010,S1010+1,9)),0),3)&amp;RIGHT("0000"&amp;IFERROR(VALUE(MID(E1010,FIND("-",E1010)+1,9)),0),4))</f>
        <v/>
      </c>
      <c r="U1010" s="0" t="str">
        <f aca="false">IF(I1010=1,"K"&amp;RIGHT("00"&amp;A1010,2)&amp;T1010&amp;RIGHT("00000"&amp;ROW(),5),"")</f>
        <v/>
      </c>
      <c r="V1010" s="0" t="str">
        <f aca="false">IF(U1010="","",COUNTIFS($I$2:$I$1201,1,$U$2:$U$1201,"&lt;"&amp;U1010)+1)</f>
        <v/>
      </c>
    </row>
    <row r="1011" customFormat="false" ht="15" hidden="false" customHeight="false" outlineLevel="0" collapsed="false">
      <c r="A1011" s="0" t="n">
        <v>17</v>
      </c>
      <c r="B1011" s="0" t="n">
        <v>50</v>
      </c>
      <c r="C1011" s="0" t="str">
        <f aca="false">TRIM(SUBSTITUTE(INDEX(LISTAS!$A$4:$T$63,B1011,A1011)&amp;"",CHAR(160)," "))</f>
        <v/>
      </c>
      <c r="D1011" s="0" t="str">
        <f aca="false">IF(C1011="","",TRIM(RIGHT(SUBSTITUTE(C1011," ",REPT(" ",100)),100)))</f>
        <v/>
      </c>
      <c r="E1011" s="0" t="str">
        <f aca="false">IF(D1011="","",UPPER(SUBSTITUTE(SUBSTITUTE(D1011,"(",""),")","")))</f>
        <v/>
      </c>
      <c r="F1011" s="0" t="str">
        <f aca="false">IF(C1011="","",LEFT(C1011,FIND(" ",C1011&amp;" ")-1))</f>
        <v/>
      </c>
      <c r="G1011" s="0" t="n">
        <f aca="false">IFERROR(VALUE(SUBSTITUTE(LOWER(F1011),"x","")),0)</f>
        <v>0</v>
      </c>
      <c r="H1011" s="0" t="str">
        <f aca="false">IF(C1011="","",TRIM(MID(C1011,LEN(F1011)+2,999)))</f>
        <v/>
      </c>
      <c r="I1011" s="0" t="n">
        <f aca="false">IF(OR(C1011="",LEFT(C1011,2)="//"),0,IFERROR(IF(AND(G1011&gt;0,G1011=INT(G1011),FIND("-",E1011)&gt;1,NOT(EXACT(UPPER(LEFT(E1011,1)),LOWER(LEFT(E1011,1)))),ISNUMBER(VALUE(MID(E1011,FIND("-",E1011)+1,10)))),1,0),0))</f>
        <v>0</v>
      </c>
      <c r="J1011" s="0" t="str">
        <f aca="false">IF(I1011=1,TRIM(LEFT(H1011,MAX(0,LEN(H1011)-LEN(D1011)))),"")</f>
        <v/>
      </c>
      <c r="K1011" s="0" t="str">
        <f aca="false">INDEX($P$2:$P$21,A1011)</f>
        <v>Deck 17</v>
      </c>
      <c r="L1011" s="0" t="n">
        <f aca="false">IF(AND(C1011&lt;&gt;"",LEFT(C1011,2)&lt;&gt;"//",I1011=0),1,0)</f>
        <v>0</v>
      </c>
      <c r="M1011" s="0" t="str">
        <f aca="false">IF(I1011=1,MAX(M$1:M1010)+1,"")</f>
        <v/>
      </c>
      <c r="N1011" s="0" t="str">
        <f aca="false">IFERROR(MATCH(ROW()-1,$V$2:$V$1201,0),"")</f>
        <v/>
      </c>
      <c r="R1011" s="0" t="str">
        <f aca="false">IF(E1011="","",IFERROR(LEFT(E1011,FIND("-",E1011)-1),E1011))</f>
        <v/>
      </c>
      <c r="S1011" s="0" t="str">
        <f aca="false">IF(R1011="","",IF(ISNUMBER(--MID(R1011,1,1)),0,IF(ISNUMBER(--MID(R1011,2,1)),1,IF(ISNUMBER(--MID(R1011,3,1)),2,IF(ISNUMBER(--MID(R1011,4,1)),3,MIN(LEN(R1011),4))))))</f>
        <v/>
      </c>
      <c r="T1011" s="0" t="str">
        <f aca="false">IF(E1011="","",LEFT(R1011,S1011)&amp;REPT("0",4-S1011)&amp;RIGHT("000"&amp;IFERROR(VALUE(MID(R1011,S1011+1,9)),0),3)&amp;RIGHT("0000"&amp;IFERROR(VALUE(MID(E1011,FIND("-",E1011)+1,9)),0),4))</f>
        <v/>
      </c>
      <c r="U1011" s="0" t="str">
        <f aca="false">IF(I1011=1,"K"&amp;RIGHT("00"&amp;A1011,2)&amp;T1011&amp;RIGHT("00000"&amp;ROW(),5),"")</f>
        <v/>
      </c>
      <c r="V1011" s="0" t="str">
        <f aca="false">IF(U1011="","",COUNTIFS($I$2:$I$1201,1,$U$2:$U$1201,"&lt;"&amp;U1011)+1)</f>
        <v/>
      </c>
    </row>
    <row r="1012" customFormat="false" ht="15" hidden="false" customHeight="false" outlineLevel="0" collapsed="false">
      <c r="A1012" s="0" t="n">
        <v>17</v>
      </c>
      <c r="B1012" s="0" t="n">
        <v>51</v>
      </c>
      <c r="C1012" s="0" t="str">
        <f aca="false">TRIM(SUBSTITUTE(INDEX(LISTAS!$A$4:$T$63,B1012,A1012)&amp;"",CHAR(160)," "))</f>
        <v/>
      </c>
      <c r="D1012" s="0" t="str">
        <f aca="false">IF(C1012="","",TRIM(RIGHT(SUBSTITUTE(C1012," ",REPT(" ",100)),100)))</f>
        <v/>
      </c>
      <c r="E1012" s="0" t="str">
        <f aca="false">IF(D1012="","",UPPER(SUBSTITUTE(SUBSTITUTE(D1012,"(",""),")","")))</f>
        <v/>
      </c>
      <c r="F1012" s="0" t="str">
        <f aca="false">IF(C1012="","",LEFT(C1012,FIND(" ",C1012&amp;" ")-1))</f>
        <v/>
      </c>
      <c r="G1012" s="0" t="n">
        <f aca="false">IFERROR(VALUE(SUBSTITUTE(LOWER(F1012),"x","")),0)</f>
        <v>0</v>
      </c>
      <c r="H1012" s="0" t="str">
        <f aca="false">IF(C1012="","",TRIM(MID(C1012,LEN(F1012)+2,999)))</f>
        <v/>
      </c>
      <c r="I1012" s="0" t="n">
        <f aca="false">IF(OR(C1012="",LEFT(C1012,2)="//"),0,IFERROR(IF(AND(G1012&gt;0,G1012=INT(G1012),FIND("-",E1012)&gt;1,NOT(EXACT(UPPER(LEFT(E1012,1)),LOWER(LEFT(E1012,1)))),ISNUMBER(VALUE(MID(E1012,FIND("-",E1012)+1,10)))),1,0),0))</f>
        <v>0</v>
      </c>
      <c r="J1012" s="0" t="str">
        <f aca="false">IF(I1012=1,TRIM(LEFT(H1012,MAX(0,LEN(H1012)-LEN(D1012)))),"")</f>
        <v/>
      </c>
      <c r="K1012" s="0" t="str">
        <f aca="false">INDEX($P$2:$P$21,A1012)</f>
        <v>Deck 17</v>
      </c>
      <c r="L1012" s="0" t="n">
        <f aca="false">IF(AND(C1012&lt;&gt;"",LEFT(C1012,2)&lt;&gt;"//",I1012=0),1,0)</f>
        <v>0</v>
      </c>
      <c r="M1012" s="0" t="str">
        <f aca="false">IF(I1012=1,MAX(M$1:M1011)+1,"")</f>
        <v/>
      </c>
      <c r="N1012" s="0" t="str">
        <f aca="false">IFERROR(MATCH(ROW()-1,$V$2:$V$1201,0),"")</f>
        <v/>
      </c>
      <c r="R1012" s="0" t="str">
        <f aca="false">IF(E1012="","",IFERROR(LEFT(E1012,FIND("-",E1012)-1),E1012))</f>
        <v/>
      </c>
      <c r="S1012" s="0" t="str">
        <f aca="false">IF(R1012="","",IF(ISNUMBER(--MID(R1012,1,1)),0,IF(ISNUMBER(--MID(R1012,2,1)),1,IF(ISNUMBER(--MID(R1012,3,1)),2,IF(ISNUMBER(--MID(R1012,4,1)),3,MIN(LEN(R1012),4))))))</f>
        <v/>
      </c>
      <c r="T1012" s="0" t="str">
        <f aca="false">IF(E1012="","",LEFT(R1012,S1012)&amp;REPT("0",4-S1012)&amp;RIGHT("000"&amp;IFERROR(VALUE(MID(R1012,S1012+1,9)),0),3)&amp;RIGHT("0000"&amp;IFERROR(VALUE(MID(E1012,FIND("-",E1012)+1,9)),0),4))</f>
        <v/>
      </c>
      <c r="U1012" s="0" t="str">
        <f aca="false">IF(I1012=1,"K"&amp;RIGHT("00"&amp;A1012,2)&amp;T1012&amp;RIGHT("00000"&amp;ROW(),5),"")</f>
        <v/>
      </c>
      <c r="V1012" s="0" t="str">
        <f aca="false">IF(U1012="","",COUNTIFS($I$2:$I$1201,1,$U$2:$U$1201,"&lt;"&amp;U1012)+1)</f>
        <v/>
      </c>
    </row>
    <row r="1013" customFormat="false" ht="15" hidden="false" customHeight="false" outlineLevel="0" collapsed="false">
      <c r="A1013" s="0" t="n">
        <v>17</v>
      </c>
      <c r="B1013" s="0" t="n">
        <v>52</v>
      </c>
      <c r="C1013" s="0" t="str">
        <f aca="false">TRIM(SUBSTITUTE(INDEX(LISTAS!$A$4:$T$63,B1013,A1013)&amp;"",CHAR(160)," "))</f>
        <v/>
      </c>
      <c r="D1013" s="0" t="str">
        <f aca="false">IF(C1013="","",TRIM(RIGHT(SUBSTITUTE(C1013," ",REPT(" ",100)),100)))</f>
        <v/>
      </c>
      <c r="E1013" s="0" t="str">
        <f aca="false">IF(D1013="","",UPPER(SUBSTITUTE(SUBSTITUTE(D1013,"(",""),")","")))</f>
        <v/>
      </c>
      <c r="F1013" s="0" t="str">
        <f aca="false">IF(C1013="","",LEFT(C1013,FIND(" ",C1013&amp;" ")-1))</f>
        <v/>
      </c>
      <c r="G1013" s="0" t="n">
        <f aca="false">IFERROR(VALUE(SUBSTITUTE(LOWER(F1013),"x","")),0)</f>
        <v>0</v>
      </c>
      <c r="H1013" s="0" t="str">
        <f aca="false">IF(C1013="","",TRIM(MID(C1013,LEN(F1013)+2,999)))</f>
        <v/>
      </c>
      <c r="I1013" s="0" t="n">
        <f aca="false">IF(OR(C1013="",LEFT(C1013,2)="//"),0,IFERROR(IF(AND(G1013&gt;0,G1013=INT(G1013),FIND("-",E1013)&gt;1,NOT(EXACT(UPPER(LEFT(E1013,1)),LOWER(LEFT(E1013,1)))),ISNUMBER(VALUE(MID(E1013,FIND("-",E1013)+1,10)))),1,0),0))</f>
        <v>0</v>
      </c>
      <c r="J1013" s="0" t="str">
        <f aca="false">IF(I1013=1,TRIM(LEFT(H1013,MAX(0,LEN(H1013)-LEN(D1013)))),"")</f>
        <v/>
      </c>
      <c r="K1013" s="0" t="str">
        <f aca="false">INDEX($P$2:$P$21,A1013)</f>
        <v>Deck 17</v>
      </c>
      <c r="L1013" s="0" t="n">
        <f aca="false">IF(AND(C1013&lt;&gt;"",LEFT(C1013,2)&lt;&gt;"//",I1013=0),1,0)</f>
        <v>0</v>
      </c>
      <c r="M1013" s="0" t="str">
        <f aca="false">IF(I1013=1,MAX(M$1:M1012)+1,"")</f>
        <v/>
      </c>
      <c r="N1013" s="0" t="str">
        <f aca="false">IFERROR(MATCH(ROW()-1,$V$2:$V$1201,0),"")</f>
        <v/>
      </c>
      <c r="R1013" s="0" t="str">
        <f aca="false">IF(E1013="","",IFERROR(LEFT(E1013,FIND("-",E1013)-1),E1013))</f>
        <v/>
      </c>
      <c r="S1013" s="0" t="str">
        <f aca="false">IF(R1013="","",IF(ISNUMBER(--MID(R1013,1,1)),0,IF(ISNUMBER(--MID(R1013,2,1)),1,IF(ISNUMBER(--MID(R1013,3,1)),2,IF(ISNUMBER(--MID(R1013,4,1)),3,MIN(LEN(R1013),4))))))</f>
        <v/>
      </c>
      <c r="T1013" s="0" t="str">
        <f aca="false">IF(E1013="","",LEFT(R1013,S1013)&amp;REPT("0",4-S1013)&amp;RIGHT("000"&amp;IFERROR(VALUE(MID(R1013,S1013+1,9)),0),3)&amp;RIGHT("0000"&amp;IFERROR(VALUE(MID(E1013,FIND("-",E1013)+1,9)),0),4))</f>
        <v/>
      </c>
      <c r="U1013" s="0" t="str">
        <f aca="false">IF(I1013=1,"K"&amp;RIGHT("00"&amp;A1013,2)&amp;T1013&amp;RIGHT("00000"&amp;ROW(),5),"")</f>
        <v/>
      </c>
      <c r="V1013" s="0" t="str">
        <f aca="false">IF(U1013="","",COUNTIFS($I$2:$I$1201,1,$U$2:$U$1201,"&lt;"&amp;U1013)+1)</f>
        <v/>
      </c>
    </row>
    <row r="1014" customFormat="false" ht="15" hidden="false" customHeight="false" outlineLevel="0" collapsed="false">
      <c r="A1014" s="0" t="n">
        <v>17</v>
      </c>
      <c r="B1014" s="0" t="n">
        <v>53</v>
      </c>
      <c r="C1014" s="0" t="str">
        <f aca="false">TRIM(SUBSTITUTE(INDEX(LISTAS!$A$4:$T$63,B1014,A1014)&amp;"",CHAR(160)," "))</f>
        <v/>
      </c>
      <c r="D1014" s="0" t="str">
        <f aca="false">IF(C1014="","",TRIM(RIGHT(SUBSTITUTE(C1014," ",REPT(" ",100)),100)))</f>
        <v/>
      </c>
      <c r="E1014" s="0" t="str">
        <f aca="false">IF(D1014="","",UPPER(SUBSTITUTE(SUBSTITUTE(D1014,"(",""),")","")))</f>
        <v/>
      </c>
      <c r="F1014" s="0" t="str">
        <f aca="false">IF(C1014="","",LEFT(C1014,FIND(" ",C1014&amp;" ")-1))</f>
        <v/>
      </c>
      <c r="G1014" s="0" t="n">
        <f aca="false">IFERROR(VALUE(SUBSTITUTE(LOWER(F1014),"x","")),0)</f>
        <v>0</v>
      </c>
      <c r="H1014" s="0" t="str">
        <f aca="false">IF(C1014="","",TRIM(MID(C1014,LEN(F1014)+2,999)))</f>
        <v/>
      </c>
      <c r="I1014" s="0" t="n">
        <f aca="false">IF(OR(C1014="",LEFT(C1014,2)="//"),0,IFERROR(IF(AND(G1014&gt;0,G1014=INT(G1014),FIND("-",E1014)&gt;1,NOT(EXACT(UPPER(LEFT(E1014,1)),LOWER(LEFT(E1014,1)))),ISNUMBER(VALUE(MID(E1014,FIND("-",E1014)+1,10)))),1,0),0))</f>
        <v>0</v>
      </c>
      <c r="J1014" s="0" t="str">
        <f aca="false">IF(I1014=1,TRIM(LEFT(H1014,MAX(0,LEN(H1014)-LEN(D1014)))),"")</f>
        <v/>
      </c>
      <c r="K1014" s="0" t="str">
        <f aca="false">INDEX($P$2:$P$21,A1014)</f>
        <v>Deck 17</v>
      </c>
      <c r="L1014" s="0" t="n">
        <f aca="false">IF(AND(C1014&lt;&gt;"",LEFT(C1014,2)&lt;&gt;"//",I1014=0),1,0)</f>
        <v>0</v>
      </c>
      <c r="M1014" s="0" t="str">
        <f aca="false">IF(I1014=1,MAX(M$1:M1013)+1,"")</f>
        <v/>
      </c>
      <c r="N1014" s="0" t="str">
        <f aca="false">IFERROR(MATCH(ROW()-1,$V$2:$V$1201,0),"")</f>
        <v/>
      </c>
      <c r="R1014" s="0" t="str">
        <f aca="false">IF(E1014="","",IFERROR(LEFT(E1014,FIND("-",E1014)-1),E1014))</f>
        <v/>
      </c>
      <c r="S1014" s="0" t="str">
        <f aca="false">IF(R1014="","",IF(ISNUMBER(--MID(R1014,1,1)),0,IF(ISNUMBER(--MID(R1014,2,1)),1,IF(ISNUMBER(--MID(R1014,3,1)),2,IF(ISNUMBER(--MID(R1014,4,1)),3,MIN(LEN(R1014),4))))))</f>
        <v/>
      </c>
      <c r="T1014" s="0" t="str">
        <f aca="false">IF(E1014="","",LEFT(R1014,S1014)&amp;REPT("0",4-S1014)&amp;RIGHT("000"&amp;IFERROR(VALUE(MID(R1014,S1014+1,9)),0),3)&amp;RIGHT("0000"&amp;IFERROR(VALUE(MID(E1014,FIND("-",E1014)+1,9)),0),4))</f>
        <v/>
      </c>
      <c r="U1014" s="0" t="str">
        <f aca="false">IF(I1014=1,"K"&amp;RIGHT("00"&amp;A1014,2)&amp;T1014&amp;RIGHT("00000"&amp;ROW(),5),"")</f>
        <v/>
      </c>
      <c r="V1014" s="0" t="str">
        <f aca="false">IF(U1014="","",COUNTIFS($I$2:$I$1201,1,$U$2:$U$1201,"&lt;"&amp;U1014)+1)</f>
        <v/>
      </c>
    </row>
    <row r="1015" customFormat="false" ht="15" hidden="false" customHeight="false" outlineLevel="0" collapsed="false">
      <c r="A1015" s="0" t="n">
        <v>17</v>
      </c>
      <c r="B1015" s="0" t="n">
        <v>54</v>
      </c>
      <c r="C1015" s="0" t="str">
        <f aca="false">TRIM(SUBSTITUTE(INDEX(LISTAS!$A$4:$T$63,B1015,A1015)&amp;"",CHAR(160)," "))</f>
        <v/>
      </c>
      <c r="D1015" s="0" t="str">
        <f aca="false">IF(C1015="","",TRIM(RIGHT(SUBSTITUTE(C1015," ",REPT(" ",100)),100)))</f>
        <v/>
      </c>
      <c r="E1015" s="0" t="str">
        <f aca="false">IF(D1015="","",UPPER(SUBSTITUTE(SUBSTITUTE(D1015,"(",""),")","")))</f>
        <v/>
      </c>
      <c r="F1015" s="0" t="str">
        <f aca="false">IF(C1015="","",LEFT(C1015,FIND(" ",C1015&amp;" ")-1))</f>
        <v/>
      </c>
      <c r="G1015" s="0" t="n">
        <f aca="false">IFERROR(VALUE(SUBSTITUTE(LOWER(F1015),"x","")),0)</f>
        <v>0</v>
      </c>
      <c r="H1015" s="0" t="str">
        <f aca="false">IF(C1015="","",TRIM(MID(C1015,LEN(F1015)+2,999)))</f>
        <v/>
      </c>
      <c r="I1015" s="0" t="n">
        <f aca="false">IF(OR(C1015="",LEFT(C1015,2)="//"),0,IFERROR(IF(AND(G1015&gt;0,G1015=INT(G1015),FIND("-",E1015)&gt;1,NOT(EXACT(UPPER(LEFT(E1015,1)),LOWER(LEFT(E1015,1)))),ISNUMBER(VALUE(MID(E1015,FIND("-",E1015)+1,10)))),1,0),0))</f>
        <v>0</v>
      </c>
      <c r="J1015" s="0" t="str">
        <f aca="false">IF(I1015=1,TRIM(LEFT(H1015,MAX(0,LEN(H1015)-LEN(D1015)))),"")</f>
        <v/>
      </c>
      <c r="K1015" s="0" t="str">
        <f aca="false">INDEX($P$2:$P$21,A1015)</f>
        <v>Deck 17</v>
      </c>
      <c r="L1015" s="0" t="n">
        <f aca="false">IF(AND(C1015&lt;&gt;"",LEFT(C1015,2)&lt;&gt;"//",I1015=0),1,0)</f>
        <v>0</v>
      </c>
      <c r="M1015" s="0" t="str">
        <f aca="false">IF(I1015=1,MAX(M$1:M1014)+1,"")</f>
        <v/>
      </c>
      <c r="N1015" s="0" t="str">
        <f aca="false">IFERROR(MATCH(ROW()-1,$V$2:$V$1201,0),"")</f>
        <v/>
      </c>
      <c r="R1015" s="0" t="str">
        <f aca="false">IF(E1015="","",IFERROR(LEFT(E1015,FIND("-",E1015)-1),E1015))</f>
        <v/>
      </c>
      <c r="S1015" s="0" t="str">
        <f aca="false">IF(R1015="","",IF(ISNUMBER(--MID(R1015,1,1)),0,IF(ISNUMBER(--MID(R1015,2,1)),1,IF(ISNUMBER(--MID(R1015,3,1)),2,IF(ISNUMBER(--MID(R1015,4,1)),3,MIN(LEN(R1015),4))))))</f>
        <v/>
      </c>
      <c r="T1015" s="0" t="str">
        <f aca="false">IF(E1015="","",LEFT(R1015,S1015)&amp;REPT("0",4-S1015)&amp;RIGHT("000"&amp;IFERROR(VALUE(MID(R1015,S1015+1,9)),0),3)&amp;RIGHT("0000"&amp;IFERROR(VALUE(MID(E1015,FIND("-",E1015)+1,9)),0),4))</f>
        <v/>
      </c>
      <c r="U1015" s="0" t="str">
        <f aca="false">IF(I1015=1,"K"&amp;RIGHT("00"&amp;A1015,2)&amp;T1015&amp;RIGHT("00000"&amp;ROW(),5),"")</f>
        <v/>
      </c>
      <c r="V1015" s="0" t="str">
        <f aca="false">IF(U1015="","",COUNTIFS($I$2:$I$1201,1,$U$2:$U$1201,"&lt;"&amp;U1015)+1)</f>
        <v/>
      </c>
    </row>
    <row r="1016" customFormat="false" ht="15" hidden="false" customHeight="false" outlineLevel="0" collapsed="false">
      <c r="A1016" s="0" t="n">
        <v>17</v>
      </c>
      <c r="B1016" s="0" t="n">
        <v>55</v>
      </c>
      <c r="C1016" s="0" t="str">
        <f aca="false">TRIM(SUBSTITUTE(INDEX(LISTAS!$A$4:$T$63,B1016,A1016)&amp;"",CHAR(160)," "))</f>
        <v/>
      </c>
      <c r="D1016" s="0" t="str">
        <f aca="false">IF(C1016="","",TRIM(RIGHT(SUBSTITUTE(C1016," ",REPT(" ",100)),100)))</f>
        <v/>
      </c>
      <c r="E1016" s="0" t="str">
        <f aca="false">IF(D1016="","",UPPER(SUBSTITUTE(SUBSTITUTE(D1016,"(",""),")","")))</f>
        <v/>
      </c>
      <c r="F1016" s="0" t="str">
        <f aca="false">IF(C1016="","",LEFT(C1016,FIND(" ",C1016&amp;" ")-1))</f>
        <v/>
      </c>
      <c r="G1016" s="0" t="n">
        <f aca="false">IFERROR(VALUE(SUBSTITUTE(LOWER(F1016),"x","")),0)</f>
        <v>0</v>
      </c>
      <c r="H1016" s="0" t="str">
        <f aca="false">IF(C1016="","",TRIM(MID(C1016,LEN(F1016)+2,999)))</f>
        <v/>
      </c>
      <c r="I1016" s="0" t="n">
        <f aca="false">IF(OR(C1016="",LEFT(C1016,2)="//"),0,IFERROR(IF(AND(G1016&gt;0,G1016=INT(G1016),FIND("-",E1016)&gt;1,NOT(EXACT(UPPER(LEFT(E1016,1)),LOWER(LEFT(E1016,1)))),ISNUMBER(VALUE(MID(E1016,FIND("-",E1016)+1,10)))),1,0),0))</f>
        <v>0</v>
      </c>
      <c r="J1016" s="0" t="str">
        <f aca="false">IF(I1016=1,TRIM(LEFT(H1016,MAX(0,LEN(H1016)-LEN(D1016)))),"")</f>
        <v/>
      </c>
      <c r="K1016" s="0" t="str">
        <f aca="false">INDEX($P$2:$P$21,A1016)</f>
        <v>Deck 17</v>
      </c>
      <c r="L1016" s="0" t="n">
        <f aca="false">IF(AND(C1016&lt;&gt;"",LEFT(C1016,2)&lt;&gt;"//",I1016=0),1,0)</f>
        <v>0</v>
      </c>
      <c r="M1016" s="0" t="str">
        <f aca="false">IF(I1016=1,MAX(M$1:M1015)+1,"")</f>
        <v/>
      </c>
      <c r="N1016" s="0" t="str">
        <f aca="false">IFERROR(MATCH(ROW()-1,$V$2:$V$1201,0),"")</f>
        <v/>
      </c>
      <c r="R1016" s="0" t="str">
        <f aca="false">IF(E1016="","",IFERROR(LEFT(E1016,FIND("-",E1016)-1),E1016))</f>
        <v/>
      </c>
      <c r="S1016" s="0" t="str">
        <f aca="false">IF(R1016="","",IF(ISNUMBER(--MID(R1016,1,1)),0,IF(ISNUMBER(--MID(R1016,2,1)),1,IF(ISNUMBER(--MID(R1016,3,1)),2,IF(ISNUMBER(--MID(R1016,4,1)),3,MIN(LEN(R1016),4))))))</f>
        <v/>
      </c>
      <c r="T1016" s="0" t="str">
        <f aca="false">IF(E1016="","",LEFT(R1016,S1016)&amp;REPT("0",4-S1016)&amp;RIGHT("000"&amp;IFERROR(VALUE(MID(R1016,S1016+1,9)),0),3)&amp;RIGHT("0000"&amp;IFERROR(VALUE(MID(E1016,FIND("-",E1016)+1,9)),0),4))</f>
        <v/>
      </c>
      <c r="U1016" s="0" t="str">
        <f aca="false">IF(I1016=1,"K"&amp;RIGHT("00"&amp;A1016,2)&amp;T1016&amp;RIGHT("00000"&amp;ROW(),5),"")</f>
        <v/>
      </c>
      <c r="V1016" s="0" t="str">
        <f aca="false">IF(U1016="","",COUNTIFS($I$2:$I$1201,1,$U$2:$U$1201,"&lt;"&amp;U1016)+1)</f>
        <v/>
      </c>
    </row>
    <row r="1017" customFormat="false" ht="15" hidden="false" customHeight="false" outlineLevel="0" collapsed="false">
      <c r="A1017" s="0" t="n">
        <v>17</v>
      </c>
      <c r="B1017" s="0" t="n">
        <v>56</v>
      </c>
      <c r="C1017" s="0" t="str">
        <f aca="false">TRIM(SUBSTITUTE(INDEX(LISTAS!$A$4:$T$63,B1017,A1017)&amp;"",CHAR(160)," "))</f>
        <v/>
      </c>
      <c r="D1017" s="0" t="str">
        <f aca="false">IF(C1017="","",TRIM(RIGHT(SUBSTITUTE(C1017," ",REPT(" ",100)),100)))</f>
        <v/>
      </c>
      <c r="E1017" s="0" t="str">
        <f aca="false">IF(D1017="","",UPPER(SUBSTITUTE(SUBSTITUTE(D1017,"(",""),")","")))</f>
        <v/>
      </c>
      <c r="F1017" s="0" t="str">
        <f aca="false">IF(C1017="","",LEFT(C1017,FIND(" ",C1017&amp;" ")-1))</f>
        <v/>
      </c>
      <c r="G1017" s="0" t="n">
        <f aca="false">IFERROR(VALUE(SUBSTITUTE(LOWER(F1017),"x","")),0)</f>
        <v>0</v>
      </c>
      <c r="H1017" s="0" t="str">
        <f aca="false">IF(C1017="","",TRIM(MID(C1017,LEN(F1017)+2,999)))</f>
        <v/>
      </c>
      <c r="I1017" s="0" t="n">
        <f aca="false">IF(OR(C1017="",LEFT(C1017,2)="//"),0,IFERROR(IF(AND(G1017&gt;0,G1017=INT(G1017),FIND("-",E1017)&gt;1,NOT(EXACT(UPPER(LEFT(E1017,1)),LOWER(LEFT(E1017,1)))),ISNUMBER(VALUE(MID(E1017,FIND("-",E1017)+1,10)))),1,0),0))</f>
        <v>0</v>
      </c>
      <c r="J1017" s="0" t="str">
        <f aca="false">IF(I1017=1,TRIM(LEFT(H1017,MAX(0,LEN(H1017)-LEN(D1017)))),"")</f>
        <v/>
      </c>
      <c r="K1017" s="0" t="str">
        <f aca="false">INDEX($P$2:$P$21,A1017)</f>
        <v>Deck 17</v>
      </c>
      <c r="L1017" s="0" t="n">
        <f aca="false">IF(AND(C1017&lt;&gt;"",LEFT(C1017,2)&lt;&gt;"//",I1017=0),1,0)</f>
        <v>0</v>
      </c>
      <c r="M1017" s="0" t="str">
        <f aca="false">IF(I1017=1,MAX(M$1:M1016)+1,"")</f>
        <v/>
      </c>
      <c r="N1017" s="0" t="str">
        <f aca="false">IFERROR(MATCH(ROW()-1,$V$2:$V$1201,0),"")</f>
        <v/>
      </c>
      <c r="R1017" s="0" t="str">
        <f aca="false">IF(E1017="","",IFERROR(LEFT(E1017,FIND("-",E1017)-1),E1017))</f>
        <v/>
      </c>
      <c r="S1017" s="0" t="str">
        <f aca="false">IF(R1017="","",IF(ISNUMBER(--MID(R1017,1,1)),0,IF(ISNUMBER(--MID(R1017,2,1)),1,IF(ISNUMBER(--MID(R1017,3,1)),2,IF(ISNUMBER(--MID(R1017,4,1)),3,MIN(LEN(R1017),4))))))</f>
        <v/>
      </c>
      <c r="T1017" s="0" t="str">
        <f aca="false">IF(E1017="","",LEFT(R1017,S1017)&amp;REPT("0",4-S1017)&amp;RIGHT("000"&amp;IFERROR(VALUE(MID(R1017,S1017+1,9)),0),3)&amp;RIGHT("0000"&amp;IFERROR(VALUE(MID(E1017,FIND("-",E1017)+1,9)),0),4))</f>
        <v/>
      </c>
      <c r="U1017" s="0" t="str">
        <f aca="false">IF(I1017=1,"K"&amp;RIGHT("00"&amp;A1017,2)&amp;T1017&amp;RIGHT("00000"&amp;ROW(),5),"")</f>
        <v/>
      </c>
      <c r="V1017" s="0" t="str">
        <f aca="false">IF(U1017="","",COUNTIFS($I$2:$I$1201,1,$U$2:$U$1201,"&lt;"&amp;U1017)+1)</f>
        <v/>
      </c>
    </row>
    <row r="1018" customFormat="false" ht="15" hidden="false" customHeight="false" outlineLevel="0" collapsed="false">
      <c r="A1018" s="0" t="n">
        <v>17</v>
      </c>
      <c r="B1018" s="0" t="n">
        <v>57</v>
      </c>
      <c r="C1018" s="0" t="str">
        <f aca="false">TRIM(SUBSTITUTE(INDEX(LISTAS!$A$4:$T$63,B1018,A1018)&amp;"",CHAR(160)," "))</f>
        <v/>
      </c>
      <c r="D1018" s="0" t="str">
        <f aca="false">IF(C1018="","",TRIM(RIGHT(SUBSTITUTE(C1018," ",REPT(" ",100)),100)))</f>
        <v/>
      </c>
      <c r="E1018" s="0" t="str">
        <f aca="false">IF(D1018="","",UPPER(SUBSTITUTE(SUBSTITUTE(D1018,"(",""),")","")))</f>
        <v/>
      </c>
      <c r="F1018" s="0" t="str">
        <f aca="false">IF(C1018="","",LEFT(C1018,FIND(" ",C1018&amp;" ")-1))</f>
        <v/>
      </c>
      <c r="G1018" s="0" t="n">
        <f aca="false">IFERROR(VALUE(SUBSTITUTE(LOWER(F1018),"x","")),0)</f>
        <v>0</v>
      </c>
      <c r="H1018" s="0" t="str">
        <f aca="false">IF(C1018="","",TRIM(MID(C1018,LEN(F1018)+2,999)))</f>
        <v/>
      </c>
      <c r="I1018" s="0" t="n">
        <f aca="false">IF(OR(C1018="",LEFT(C1018,2)="//"),0,IFERROR(IF(AND(G1018&gt;0,G1018=INT(G1018),FIND("-",E1018)&gt;1,NOT(EXACT(UPPER(LEFT(E1018,1)),LOWER(LEFT(E1018,1)))),ISNUMBER(VALUE(MID(E1018,FIND("-",E1018)+1,10)))),1,0),0))</f>
        <v>0</v>
      </c>
      <c r="J1018" s="0" t="str">
        <f aca="false">IF(I1018=1,TRIM(LEFT(H1018,MAX(0,LEN(H1018)-LEN(D1018)))),"")</f>
        <v/>
      </c>
      <c r="K1018" s="0" t="str">
        <f aca="false">INDEX($P$2:$P$21,A1018)</f>
        <v>Deck 17</v>
      </c>
      <c r="L1018" s="0" t="n">
        <f aca="false">IF(AND(C1018&lt;&gt;"",LEFT(C1018,2)&lt;&gt;"//",I1018=0),1,0)</f>
        <v>0</v>
      </c>
      <c r="M1018" s="0" t="str">
        <f aca="false">IF(I1018=1,MAX(M$1:M1017)+1,"")</f>
        <v/>
      </c>
      <c r="N1018" s="0" t="str">
        <f aca="false">IFERROR(MATCH(ROW()-1,$V$2:$V$1201,0),"")</f>
        <v/>
      </c>
      <c r="R1018" s="0" t="str">
        <f aca="false">IF(E1018="","",IFERROR(LEFT(E1018,FIND("-",E1018)-1),E1018))</f>
        <v/>
      </c>
      <c r="S1018" s="0" t="str">
        <f aca="false">IF(R1018="","",IF(ISNUMBER(--MID(R1018,1,1)),0,IF(ISNUMBER(--MID(R1018,2,1)),1,IF(ISNUMBER(--MID(R1018,3,1)),2,IF(ISNUMBER(--MID(R1018,4,1)),3,MIN(LEN(R1018),4))))))</f>
        <v/>
      </c>
      <c r="T1018" s="0" t="str">
        <f aca="false">IF(E1018="","",LEFT(R1018,S1018)&amp;REPT("0",4-S1018)&amp;RIGHT("000"&amp;IFERROR(VALUE(MID(R1018,S1018+1,9)),0),3)&amp;RIGHT("0000"&amp;IFERROR(VALUE(MID(E1018,FIND("-",E1018)+1,9)),0),4))</f>
        <v/>
      </c>
      <c r="U1018" s="0" t="str">
        <f aca="false">IF(I1018=1,"K"&amp;RIGHT("00"&amp;A1018,2)&amp;T1018&amp;RIGHT("00000"&amp;ROW(),5),"")</f>
        <v/>
      </c>
      <c r="V1018" s="0" t="str">
        <f aca="false">IF(U1018="","",COUNTIFS($I$2:$I$1201,1,$U$2:$U$1201,"&lt;"&amp;U1018)+1)</f>
        <v/>
      </c>
    </row>
    <row r="1019" customFormat="false" ht="15" hidden="false" customHeight="false" outlineLevel="0" collapsed="false">
      <c r="A1019" s="0" t="n">
        <v>17</v>
      </c>
      <c r="B1019" s="0" t="n">
        <v>58</v>
      </c>
      <c r="C1019" s="0" t="str">
        <f aca="false">TRIM(SUBSTITUTE(INDEX(LISTAS!$A$4:$T$63,B1019,A1019)&amp;"",CHAR(160)," "))</f>
        <v/>
      </c>
      <c r="D1019" s="0" t="str">
        <f aca="false">IF(C1019="","",TRIM(RIGHT(SUBSTITUTE(C1019," ",REPT(" ",100)),100)))</f>
        <v/>
      </c>
      <c r="E1019" s="0" t="str">
        <f aca="false">IF(D1019="","",UPPER(SUBSTITUTE(SUBSTITUTE(D1019,"(",""),")","")))</f>
        <v/>
      </c>
      <c r="F1019" s="0" t="str">
        <f aca="false">IF(C1019="","",LEFT(C1019,FIND(" ",C1019&amp;" ")-1))</f>
        <v/>
      </c>
      <c r="G1019" s="0" t="n">
        <f aca="false">IFERROR(VALUE(SUBSTITUTE(LOWER(F1019),"x","")),0)</f>
        <v>0</v>
      </c>
      <c r="H1019" s="0" t="str">
        <f aca="false">IF(C1019="","",TRIM(MID(C1019,LEN(F1019)+2,999)))</f>
        <v/>
      </c>
      <c r="I1019" s="0" t="n">
        <f aca="false">IF(OR(C1019="",LEFT(C1019,2)="//"),0,IFERROR(IF(AND(G1019&gt;0,G1019=INT(G1019),FIND("-",E1019)&gt;1,NOT(EXACT(UPPER(LEFT(E1019,1)),LOWER(LEFT(E1019,1)))),ISNUMBER(VALUE(MID(E1019,FIND("-",E1019)+1,10)))),1,0),0))</f>
        <v>0</v>
      </c>
      <c r="J1019" s="0" t="str">
        <f aca="false">IF(I1019=1,TRIM(LEFT(H1019,MAX(0,LEN(H1019)-LEN(D1019)))),"")</f>
        <v/>
      </c>
      <c r="K1019" s="0" t="str">
        <f aca="false">INDEX($P$2:$P$21,A1019)</f>
        <v>Deck 17</v>
      </c>
      <c r="L1019" s="0" t="n">
        <f aca="false">IF(AND(C1019&lt;&gt;"",LEFT(C1019,2)&lt;&gt;"//",I1019=0),1,0)</f>
        <v>0</v>
      </c>
      <c r="M1019" s="0" t="str">
        <f aca="false">IF(I1019=1,MAX(M$1:M1018)+1,"")</f>
        <v/>
      </c>
      <c r="N1019" s="0" t="str">
        <f aca="false">IFERROR(MATCH(ROW()-1,$V$2:$V$1201,0),"")</f>
        <v/>
      </c>
      <c r="R1019" s="0" t="str">
        <f aca="false">IF(E1019="","",IFERROR(LEFT(E1019,FIND("-",E1019)-1),E1019))</f>
        <v/>
      </c>
      <c r="S1019" s="0" t="str">
        <f aca="false">IF(R1019="","",IF(ISNUMBER(--MID(R1019,1,1)),0,IF(ISNUMBER(--MID(R1019,2,1)),1,IF(ISNUMBER(--MID(R1019,3,1)),2,IF(ISNUMBER(--MID(R1019,4,1)),3,MIN(LEN(R1019),4))))))</f>
        <v/>
      </c>
      <c r="T1019" s="0" t="str">
        <f aca="false">IF(E1019="","",LEFT(R1019,S1019)&amp;REPT("0",4-S1019)&amp;RIGHT("000"&amp;IFERROR(VALUE(MID(R1019,S1019+1,9)),0),3)&amp;RIGHT("0000"&amp;IFERROR(VALUE(MID(E1019,FIND("-",E1019)+1,9)),0),4))</f>
        <v/>
      </c>
      <c r="U1019" s="0" t="str">
        <f aca="false">IF(I1019=1,"K"&amp;RIGHT("00"&amp;A1019,2)&amp;T1019&amp;RIGHT("00000"&amp;ROW(),5),"")</f>
        <v/>
      </c>
      <c r="V1019" s="0" t="str">
        <f aca="false">IF(U1019="","",COUNTIFS($I$2:$I$1201,1,$U$2:$U$1201,"&lt;"&amp;U1019)+1)</f>
        <v/>
      </c>
    </row>
    <row r="1020" customFormat="false" ht="15" hidden="false" customHeight="false" outlineLevel="0" collapsed="false">
      <c r="A1020" s="0" t="n">
        <v>17</v>
      </c>
      <c r="B1020" s="0" t="n">
        <v>59</v>
      </c>
      <c r="C1020" s="0" t="str">
        <f aca="false">TRIM(SUBSTITUTE(INDEX(LISTAS!$A$4:$T$63,B1020,A1020)&amp;"",CHAR(160)," "))</f>
        <v/>
      </c>
      <c r="D1020" s="0" t="str">
        <f aca="false">IF(C1020="","",TRIM(RIGHT(SUBSTITUTE(C1020," ",REPT(" ",100)),100)))</f>
        <v/>
      </c>
      <c r="E1020" s="0" t="str">
        <f aca="false">IF(D1020="","",UPPER(SUBSTITUTE(SUBSTITUTE(D1020,"(",""),")","")))</f>
        <v/>
      </c>
      <c r="F1020" s="0" t="str">
        <f aca="false">IF(C1020="","",LEFT(C1020,FIND(" ",C1020&amp;" ")-1))</f>
        <v/>
      </c>
      <c r="G1020" s="0" t="n">
        <f aca="false">IFERROR(VALUE(SUBSTITUTE(LOWER(F1020),"x","")),0)</f>
        <v>0</v>
      </c>
      <c r="H1020" s="0" t="str">
        <f aca="false">IF(C1020="","",TRIM(MID(C1020,LEN(F1020)+2,999)))</f>
        <v/>
      </c>
      <c r="I1020" s="0" t="n">
        <f aca="false">IF(OR(C1020="",LEFT(C1020,2)="//"),0,IFERROR(IF(AND(G1020&gt;0,G1020=INT(G1020),FIND("-",E1020)&gt;1,NOT(EXACT(UPPER(LEFT(E1020,1)),LOWER(LEFT(E1020,1)))),ISNUMBER(VALUE(MID(E1020,FIND("-",E1020)+1,10)))),1,0),0))</f>
        <v>0</v>
      </c>
      <c r="J1020" s="0" t="str">
        <f aca="false">IF(I1020=1,TRIM(LEFT(H1020,MAX(0,LEN(H1020)-LEN(D1020)))),"")</f>
        <v/>
      </c>
      <c r="K1020" s="0" t="str">
        <f aca="false">INDEX($P$2:$P$21,A1020)</f>
        <v>Deck 17</v>
      </c>
      <c r="L1020" s="0" t="n">
        <f aca="false">IF(AND(C1020&lt;&gt;"",LEFT(C1020,2)&lt;&gt;"//",I1020=0),1,0)</f>
        <v>0</v>
      </c>
      <c r="M1020" s="0" t="str">
        <f aca="false">IF(I1020=1,MAX(M$1:M1019)+1,"")</f>
        <v/>
      </c>
      <c r="N1020" s="0" t="str">
        <f aca="false">IFERROR(MATCH(ROW()-1,$V$2:$V$1201,0),"")</f>
        <v/>
      </c>
      <c r="R1020" s="0" t="str">
        <f aca="false">IF(E1020="","",IFERROR(LEFT(E1020,FIND("-",E1020)-1),E1020))</f>
        <v/>
      </c>
      <c r="S1020" s="0" t="str">
        <f aca="false">IF(R1020="","",IF(ISNUMBER(--MID(R1020,1,1)),0,IF(ISNUMBER(--MID(R1020,2,1)),1,IF(ISNUMBER(--MID(R1020,3,1)),2,IF(ISNUMBER(--MID(R1020,4,1)),3,MIN(LEN(R1020),4))))))</f>
        <v/>
      </c>
      <c r="T1020" s="0" t="str">
        <f aca="false">IF(E1020="","",LEFT(R1020,S1020)&amp;REPT("0",4-S1020)&amp;RIGHT("000"&amp;IFERROR(VALUE(MID(R1020,S1020+1,9)),0),3)&amp;RIGHT("0000"&amp;IFERROR(VALUE(MID(E1020,FIND("-",E1020)+1,9)),0),4))</f>
        <v/>
      </c>
      <c r="U1020" s="0" t="str">
        <f aca="false">IF(I1020=1,"K"&amp;RIGHT("00"&amp;A1020,2)&amp;T1020&amp;RIGHT("00000"&amp;ROW(),5),"")</f>
        <v/>
      </c>
      <c r="V1020" s="0" t="str">
        <f aca="false">IF(U1020="","",COUNTIFS($I$2:$I$1201,1,$U$2:$U$1201,"&lt;"&amp;U1020)+1)</f>
        <v/>
      </c>
    </row>
    <row r="1021" customFormat="false" ht="15" hidden="false" customHeight="false" outlineLevel="0" collapsed="false">
      <c r="A1021" s="0" t="n">
        <v>17</v>
      </c>
      <c r="B1021" s="0" t="n">
        <v>60</v>
      </c>
      <c r="C1021" s="0" t="str">
        <f aca="false">TRIM(SUBSTITUTE(INDEX(LISTAS!$A$4:$T$63,B1021,A1021)&amp;"",CHAR(160)," "))</f>
        <v/>
      </c>
      <c r="D1021" s="0" t="str">
        <f aca="false">IF(C1021="","",TRIM(RIGHT(SUBSTITUTE(C1021," ",REPT(" ",100)),100)))</f>
        <v/>
      </c>
      <c r="E1021" s="0" t="str">
        <f aca="false">IF(D1021="","",UPPER(SUBSTITUTE(SUBSTITUTE(D1021,"(",""),")","")))</f>
        <v/>
      </c>
      <c r="F1021" s="0" t="str">
        <f aca="false">IF(C1021="","",LEFT(C1021,FIND(" ",C1021&amp;" ")-1))</f>
        <v/>
      </c>
      <c r="G1021" s="0" t="n">
        <f aca="false">IFERROR(VALUE(SUBSTITUTE(LOWER(F1021),"x","")),0)</f>
        <v>0</v>
      </c>
      <c r="H1021" s="0" t="str">
        <f aca="false">IF(C1021="","",TRIM(MID(C1021,LEN(F1021)+2,999)))</f>
        <v/>
      </c>
      <c r="I1021" s="0" t="n">
        <f aca="false">IF(OR(C1021="",LEFT(C1021,2)="//"),0,IFERROR(IF(AND(G1021&gt;0,G1021=INT(G1021),FIND("-",E1021)&gt;1,NOT(EXACT(UPPER(LEFT(E1021,1)),LOWER(LEFT(E1021,1)))),ISNUMBER(VALUE(MID(E1021,FIND("-",E1021)+1,10)))),1,0),0))</f>
        <v>0</v>
      </c>
      <c r="J1021" s="0" t="str">
        <f aca="false">IF(I1021=1,TRIM(LEFT(H1021,MAX(0,LEN(H1021)-LEN(D1021)))),"")</f>
        <v/>
      </c>
      <c r="K1021" s="0" t="str">
        <f aca="false">INDEX($P$2:$P$21,A1021)</f>
        <v>Deck 17</v>
      </c>
      <c r="L1021" s="0" t="n">
        <f aca="false">IF(AND(C1021&lt;&gt;"",LEFT(C1021,2)&lt;&gt;"//",I1021=0),1,0)</f>
        <v>0</v>
      </c>
      <c r="M1021" s="0" t="str">
        <f aca="false">IF(I1021=1,MAX(M$1:M1020)+1,"")</f>
        <v/>
      </c>
      <c r="N1021" s="0" t="str">
        <f aca="false">IFERROR(MATCH(ROW()-1,$V$2:$V$1201,0),"")</f>
        <v/>
      </c>
      <c r="R1021" s="0" t="str">
        <f aca="false">IF(E1021="","",IFERROR(LEFT(E1021,FIND("-",E1021)-1),E1021))</f>
        <v/>
      </c>
      <c r="S1021" s="0" t="str">
        <f aca="false">IF(R1021="","",IF(ISNUMBER(--MID(R1021,1,1)),0,IF(ISNUMBER(--MID(R1021,2,1)),1,IF(ISNUMBER(--MID(R1021,3,1)),2,IF(ISNUMBER(--MID(R1021,4,1)),3,MIN(LEN(R1021),4))))))</f>
        <v/>
      </c>
      <c r="T1021" s="0" t="str">
        <f aca="false">IF(E1021="","",LEFT(R1021,S1021)&amp;REPT("0",4-S1021)&amp;RIGHT("000"&amp;IFERROR(VALUE(MID(R1021,S1021+1,9)),0),3)&amp;RIGHT("0000"&amp;IFERROR(VALUE(MID(E1021,FIND("-",E1021)+1,9)),0),4))</f>
        <v/>
      </c>
      <c r="U1021" s="0" t="str">
        <f aca="false">IF(I1021=1,"K"&amp;RIGHT("00"&amp;A1021,2)&amp;T1021&amp;RIGHT("00000"&amp;ROW(),5),"")</f>
        <v/>
      </c>
      <c r="V1021" s="0" t="str">
        <f aca="false">IF(U1021="","",COUNTIFS($I$2:$I$1201,1,$U$2:$U$1201,"&lt;"&amp;U1021)+1)</f>
        <v/>
      </c>
    </row>
    <row r="1022" customFormat="false" ht="15" hidden="false" customHeight="false" outlineLevel="0" collapsed="false">
      <c r="A1022" s="0" t="n">
        <v>18</v>
      </c>
      <c r="B1022" s="0" t="n">
        <v>1</v>
      </c>
      <c r="C1022" s="0" t="str">
        <f aca="false">TRIM(SUBSTITUTE(INDEX(LISTAS!$A$4:$T$63,B1022,A1022)&amp;"",CHAR(160)," "))</f>
        <v/>
      </c>
      <c r="D1022" s="0" t="str">
        <f aca="false">IF(C1022="","",TRIM(RIGHT(SUBSTITUTE(C1022," ",REPT(" ",100)),100)))</f>
        <v/>
      </c>
      <c r="E1022" s="0" t="str">
        <f aca="false">IF(D1022="","",UPPER(SUBSTITUTE(SUBSTITUTE(D1022,"(",""),")","")))</f>
        <v/>
      </c>
      <c r="F1022" s="0" t="str">
        <f aca="false">IF(C1022="","",LEFT(C1022,FIND(" ",C1022&amp;" ")-1))</f>
        <v/>
      </c>
      <c r="G1022" s="0" t="n">
        <f aca="false">IFERROR(VALUE(SUBSTITUTE(LOWER(F1022),"x","")),0)</f>
        <v>0</v>
      </c>
      <c r="H1022" s="0" t="str">
        <f aca="false">IF(C1022="","",TRIM(MID(C1022,LEN(F1022)+2,999)))</f>
        <v/>
      </c>
      <c r="I1022" s="0" t="n">
        <f aca="false">IF(OR(C1022="",LEFT(C1022,2)="//"),0,IFERROR(IF(AND(G1022&gt;0,G1022=INT(G1022),FIND("-",E1022)&gt;1,NOT(EXACT(UPPER(LEFT(E1022,1)),LOWER(LEFT(E1022,1)))),ISNUMBER(VALUE(MID(E1022,FIND("-",E1022)+1,10)))),1,0),0))</f>
        <v>0</v>
      </c>
      <c r="J1022" s="0" t="str">
        <f aca="false">IF(I1022=1,TRIM(LEFT(H1022,MAX(0,LEN(H1022)-LEN(D1022)))),"")</f>
        <v/>
      </c>
      <c r="K1022" s="0" t="str">
        <f aca="false">INDEX($P$2:$P$21,A1022)</f>
        <v>Deck 18</v>
      </c>
      <c r="L1022" s="0" t="n">
        <f aca="false">IF(AND(C1022&lt;&gt;"",LEFT(C1022,2)&lt;&gt;"//",I1022=0),1,0)</f>
        <v>0</v>
      </c>
      <c r="M1022" s="0" t="str">
        <f aca="false">IF(I1022=1,MAX(M$1:M1021)+1,"")</f>
        <v/>
      </c>
      <c r="N1022" s="0" t="str">
        <f aca="false">IFERROR(MATCH(ROW()-1,$V$2:$V$1201,0),"")</f>
        <v/>
      </c>
      <c r="R1022" s="0" t="str">
        <f aca="false">IF(E1022="","",IFERROR(LEFT(E1022,FIND("-",E1022)-1),E1022))</f>
        <v/>
      </c>
      <c r="S1022" s="0" t="str">
        <f aca="false">IF(R1022="","",IF(ISNUMBER(--MID(R1022,1,1)),0,IF(ISNUMBER(--MID(R1022,2,1)),1,IF(ISNUMBER(--MID(R1022,3,1)),2,IF(ISNUMBER(--MID(R1022,4,1)),3,MIN(LEN(R1022),4))))))</f>
        <v/>
      </c>
      <c r="T1022" s="0" t="str">
        <f aca="false">IF(E1022="","",LEFT(R1022,S1022)&amp;REPT("0",4-S1022)&amp;RIGHT("000"&amp;IFERROR(VALUE(MID(R1022,S1022+1,9)),0),3)&amp;RIGHT("0000"&amp;IFERROR(VALUE(MID(E1022,FIND("-",E1022)+1,9)),0),4))</f>
        <v/>
      </c>
      <c r="U1022" s="0" t="str">
        <f aca="false">IF(I1022=1,"K"&amp;RIGHT("00"&amp;A1022,2)&amp;T1022&amp;RIGHT("00000"&amp;ROW(),5),"")</f>
        <v/>
      </c>
      <c r="V1022" s="0" t="str">
        <f aca="false">IF(U1022="","",COUNTIFS($I$2:$I$1201,1,$U$2:$U$1201,"&lt;"&amp;U1022)+1)</f>
        <v/>
      </c>
    </row>
    <row r="1023" customFormat="false" ht="15" hidden="false" customHeight="false" outlineLevel="0" collapsed="false">
      <c r="A1023" s="0" t="n">
        <v>18</v>
      </c>
      <c r="B1023" s="0" t="n">
        <v>2</v>
      </c>
      <c r="C1023" s="0" t="str">
        <f aca="false">TRIM(SUBSTITUTE(INDEX(LISTAS!$A$4:$T$63,B1023,A1023)&amp;"",CHAR(160)," "))</f>
        <v/>
      </c>
      <c r="D1023" s="0" t="str">
        <f aca="false">IF(C1023="","",TRIM(RIGHT(SUBSTITUTE(C1023," ",REPT(" ",100)),100)))</f>
        <v/>
      </c>
      <c r="E1023" s="0" t="str">
        <f aca="false">IF(D1023="","",UPPER(SUBSTITUTE(SUBSTITUTE(D1023,"(",""),")","")))</f>
        <v/>
      </c>
      <c r="F1023" s="0" t="str">
        <f aca="false">IF(C1023="","",LEFT(C1023,FIND(" ",C1023&amp;" ")-1))</f>
        <v/>
      </c>
      <c r="G1023" s="0" t="n">
        <f aca="false">IFERROR(VALUE(SUBSTITUTE(LOWER(F1023),"x","")),0)</f>
        <v>0</v>
      </c>
      <c r="H1023" s="0" t="str">
        <f aca="false">IF(C1023="","",TRIM(MID(C1023,LEN(F1023)+2,999)))</f>
        <v/>
      </c>
      <c r="I1023" s="0" t="n">
        <f aca="false">IF(OR(C1023="",LEFT(C1023,2)="//"),0,IFERROR(IF(AND(G1023&gt;0,G1023=INT(G1023),FIND("-",E1023)&gt;1,NOT(EXACT(UPPER(LEFT(E1023,1)),LOWER(LEFT(E1023,1)))),ISNUMBER(VALUE(MID(E1023,FIND("-",E1023)+1,10)))),1,0),0))</f>
        <v>0</v>
      </c>
      <c r="J1023" s="0" t="str">
        <f aca="false">IF(I1023=1,TRIM(LEFT(H1023,MAX(0,LEN(H1023)-LEN(D1023)))),"")</f>
        <v/>
      </c>
      <c r="K1023" s="0" t="str">
        <f aca="false">INDEX($P$2:$P$21,A1023)</f>
        <v>Deck 18</v>
      </c>
      <c r="L1023" s="0" t="n">
        <f aca="false">IF(AND(C1023&lt;&gt;"",LEFT(C1023,2)&lt;&gt;"//",I1023=0),1,0)</f>
        <v>0</v>
      </c>
      <c r="M1023" s="0" t="str">
        <f aca="false">IF(I1023=1,MAX(M$1:M1022)+1,"")</f>
        <v/>
      </c>
      <c r="N1023" s="0" t="str">
        <f aca="false">IFERROR(MATCH(ROW()-1,$V$2:$V$1201,0),"")</f>
        <v/>
      </c>
      <c r="R1023" s="0" t="str">
        <f aca="false">IF(E1023="","",IFERROR(LEFT(E1023,FIND("-",E1023)-1),E1023))</f>
        <v/>
      </c>
      <c r="S1023" s="0" t="str">
        <f aca="false">IF(R1023="","",IF(ISNUMBER(--MID(R1023,1,1)),0,IF(ISNUMBER(--MID(R1023,2,1)),1,IF(ISNUMBER(--MID(R1023,3,1)),2,IF(ISNUMBER(--MID(R1023,4,1)),3,MIN(LEN(R1023),4))))))</f>
        <v/>
      </c>
      <c r="T1023" s="0" t="str">
        <f aca="false">IF(E1023="","",LEFT(R1023,S1023)&amp;REPT("0",4-S1023)&amp;RIGHT("000"&amp;IFERROR(VALUE(MID(R1023,S1023+1,9)),0),3)&amp;RIGHT("0000"&amp;IFERROR(VALUE(MID(E1023,FIND("-",E1023)+1,9)),0),4))</f>
        <v/>
      </c>
      <c r="U1023" s="0" t="str">
        <f aca="false">IF(I1023=1,"K"&amp;RIGHT("00"&amp;A1023,2)&amp;T1023&amp;RIGHT("00000"&amp;ROW(),5),"")</f>
        <v/>
      </c>
      <c r="V1023" s="0" t="str">
        <f aca="false">IF(U1023="","",COUNTIFS($I$2:$I$1201,1,$U$2:$U$1201,"&lt;"&amp;U1023)+1)</f>
        <v/>
      </c>
    </row>
    <row r="1024" customFormat="false" ht="15" hidden="false" customHeight="false" outlineLevel="0" collapsed="false">
      <c r="A1024" s="0" t="n">
        <v>18</v>
      </c>
      <c r="B1024" s="0" t="n">
        <v>3</v>
      </c>
      <c r="C1024" s="0" t="str">
        <f aca="false">TRIM(SUBSTITUTE(INDEX(LISTAS!$A$4:$T$63,B1024,A1024)&amp;"",CHAR(160)," "))</f>
        <v/>
      </c>
      <c r="D1024" s="0" t="str">
        <f aca="false">IF(C1024="","",TRIM(RIGHT(SUBSTITUTE(C1024," ",REPT(" ",100)),100)))</f>
        <v/>
      </c>
      <c r="E1024" s="0" t="str">
        <f aca="false">IF(D1024="","",UPPER(SUBSTITUTE(SUBSTITUTE(D1024,"(",""),")","")))</f>
        <v/>
      </c>
      <c r="F1024" s="0" t="str">
        <f aca="false">IF(C1024="","",LEFT(C1024,FIND(" ",C1024&amp;" ")-1))</f>
        <v/>
      </c>
      <c r="G1024" s="0" t="n">
        <f aca="false">IFERROR(VALUE(SUBSTITUTE(LOWER(F1024),"x","")),0)</f>
        <v>0</v>
      </c>
      <c r="H1024" s="0" t="str">
        <f aca="false">IF(C1024="","",TRIM(MID(C1024,LEN(F1024)+2,999)))</f>
        <v/>
      </c>
      <c r="I1024" s="0" t="n">
        <f aca="false">IF(OR(C1024="",LEFT(C1024,2)="//"),0,IFERROR(IF(AND(G1024&gt;0,G1024=INT(G1024),FIND("-",E1024)&gt;1,NOT(EXACT(UPPER(LEFT(E1024,1)),LOWER(LEFT(E1024,1)))),ISNUMBER(VALUE(MID(E1024,FIND("-",E1024)+1,10)))),1,0),0))</f>
        <v>0</v>
      </c>
      <c r="J1024" s="0" t="str">
        <f aca="false">IF(I1024=1,TRIM(LEFT(H1024,MAX(0,LEN(H1024)-LEN(D1024)))),"")</f>
        <v/>
      </c>
      <c r="K1024" s="0" t="str">
        <f aca="false">INDEX($P$2:$P$21,A1024)</f>
        <v>Deck 18</v>
      </c>
      <c r="L1024" s="0" t="n">
        <f aca="false">IF(AND(C1024&lt;&gt;"",LEFT(C1024,2)&lt;&gt;"//",I1024=0),1,0)</f>
        <v>0</v>
      </c>
      <c r="M1024" s="0" t="str">
        <f aca="false">IF(I1024=1,MAX(M$1:M1023)+1,"")</f>
        <v/>
      </c>
      <c r="N1024" s="0" t="str">
        <f aca="false">IFERROR(MATCH(ROW()-1,$V$2:$V$1201,0),"")</f>
        <v/>
      </c>
      <c r="R1024" s="0" t="str">
        <f aca="false">IF(E1024="","",IFERROR(LEFT(E1024,FIND("-",E1024)-1),E1024))</f>
        <v/>
      </c>
      <c r="S1024" s="0" t="str">
        <f aca="false">IF(R1024="","",IF(ISNUMBER(--MID(R1024,1,1)),0,IF(ISNUMBER(--MID(R1024,2,1)),1,IF(ISNUMBER(--MID(R1024,3,1)),2,IF(ISNUMBER(--MID(R1024,4,1)),3,MIN(LEN(R1024),4))))))</f>
        <v/>
      </c>
      <c r="T1024" s="0" t="str">
        <f aca="false">IF(E1024="","",LEFT(R1024,S1024)&amp;REPT("0",4-S1024)&amp;RIGHT("000"&amp;IFERROR(VALUE(MID(R1024,S1024+1,9)),0),3)&amp;RIGHT("0000"&amp;IFERROR(VALUE(MID(E1024,FIND("-",E1024)+1,9)),0),4))</f>
        <v/>
      </c>
      <c r="U1024" s="0" t="str">
        <f aca="false">IF(I1024=1,"K"&amp;RIGHT("00"&amp;A1024,2)&amp;T1024&amp;RIGHT("00000"&amp;ROW(),5),"")</f>
        <v/>
      </c>
      <c r="V1024" s="0" t="str">
        <f aca="false">IF(U1024="","",COUNTIFS($I$2:$I$1201,1,$U$2:$U$1201,"&lt;"&amp;U1024)+1)</f>
        <v/>
      </c>
    </row>
    <row r="1025" customFormat="false" ht="15" hidden="false" customHeight="false" outlineLevel="0" collapsed="false">
      <c r="A1025" s="0" t="n">
        <v>18</v>
      </c>
      <c r="B1025" s="0" t="n">
        <v>4</v>
      </c>
      <c r="C1025" s="0" t="str">
        <f aca="false">TRIM(SUBSTITUTE(INDEX(LISTAS!$A$4:$T$63,B1025,A1025)&amp;"",CHAR(160)," "))</f>
        <v/>
      </c>
      <c r="D1025" s="0" t="str">
        <f aca="false">IF(C1025="","",TRIM(RIGHT(SUBSTITUTE(C1025," ",REPT(" ",100)),100)))</f>
        <v/>
      </c>
      <c r="E1025" s="0" t="str">
        <f aca="false">IF(D1025="","",UPPER(SUBSTITUTE(SUBSTITUTE(D1025,"(",""),")","")))</f>
        <v/>
      </c>
      <c r="F1025" s="0" t="str">
        <f aca="false">IF(C1025="","",LEFT(C1025,FIND(" ",C1025&amp;" ")-1))</f>
        <v/>
      </c>
      <c r="G1025" s="0" t="n">
        <f aca="false">IFERROR(VALUE(SUBSTITUTE(LOWER(F1025),"x","")),0)</f>
        <v>0</v>
      </c>
      <c r="H1025" s="0" t="str">
        <f aca="false">IF(C1025="","",TRIM(MID(C1025,LEN(F1025)+2,999)))</f>
        <v/>
      </c>
      <c r="I1025" s="0" t="n">
        <f aca="false">IF(OR(C1025="",LEFT(C1025,2)="//"),0,IFERROR(IF(AND(G1025&gt;0,G1025=INT(G1025),FIND("-",E1025)&gt;1,NOT(EXACT(UPPER(LEFT(E1025,1)),LOWER(LEFT(E1025,1)))),ISNUMBER(VALUE(MID(E1025,FIND("-",E1025)+1,10)))),1,0),0))</f>
        <v>0</v>
      </c>
      <c r="J1025" s="0" t="str">
        <f aca="false">IF(I1025=1,TRIM(LEFT(H1025,MAX(0,LEN(H1025)-LEN(D1025)))),"")</f>
        <v/>
      </c>
      <c r="K1025" s="0" t="str">
        <f aca="false">INDEX($P$2:$P$21,A1025)</f>
        <v>Deck 18</v>
      </c>
      <c r="L1025" s="0" t="n">
        <f aca="false">IF(AND(C1025&lt;&gt;"",LEFT(C1025,2)&lt;&gt;"//",I1025=0),1,0)</f>
        <v>0</v>
      </c>
      <c r="M1025" s="0" t="str">
        <f aca="false">IF(I1025=1,MAX(M$1:M1024)+1,"")</f>
        <v/>
      </c>
      <c r="N1025" s="0" t="str">
        <f aca="false">IFERROR(MATCH(ROW()-1,$V$2:$V$1201,0),"")</f>
        <v/>
      </c>
      <c r="R1025" s="0" t="str">
        <f aca="false">IF(E1025="","",IFERROR(LEFT(E1025,FIND("-",E1025)-1),E1025))</f>
        <v/>
      </c>
      <c r="S1025" s="0" t="str">
        <f aca="false">IF(R1025="","",IF(ISNUMBER(--MID(R1025,1,1)),0,IF(ISNUMBER(--MID(R1025,2,1)),1,IF(ISNUMBER(--MID(R1025,3,1)),2,IF(ISNUMBER(--MID(R1025,4,1)),3,MIN(LEN(R1025),4))))))</f>
        <v/>
      </c>
      <c r="T1025" s="0" t="str">
        <f aca="false">IF(E1025="","",LEFT(R1025,S1025)&amp;REPT("0",4-S1025)&amp;RIGHT("000"&amp;IFERROR(VALUE(MID(R1025,S1025+1,9)),0),3)&amp;RIGHT("0000"&amp;IFERROR(VALUE(MID(E1025,FIND("-",E1025)+1,9)),0),4))</f>
        <v/>
      </c>
      <c r="U1025" s="0" t="str">
        <f aca="false">IF(I1025=1,"K"&amp;RIGHT("00"&amp;A1025,2)&amp;T1025&amp;RIGHT("00000"&amp;ROW(),5),"")</f>
        <v/>
      </c>
      <c r="V1025" s="0" t="str">
        <f aca="false">IF(U1025="","",COUNTIFS($I$2:$I$1201,1,$U$2:$U$1201,"&lt;"&amp;U1025)+1)</f>
        <v/>
      </c>
    </row>
    <row r="1026" customFormat="false" ht="15" hidden="false" customHeight="false" outlineLevel="0" collapsed="false">
      <c r="A1026" s="0" t="n">
        <v>18</v>
      </c>
      <c r="B1026" s="0" t="n">
        <v>5</v>
      </c>
      <c r="C1026" s="0" t="str">
        <f aca="false">TRIM(SUBSTITUTE(INDEX(LISTAS!$A$4:$T$63,B1026,A1026)&amp;"",CHAR(160)," "))</f>
        <v/>
      </c>
      <c r="D1026" s="0" t="str">
        <f aca="false">IF(C1026="","",TRIM(RIGHT(SUBSTITUTE(C1026," ",REPT(" ",100)),100)))</f>
        <v/>
      </c>
      <c r="E1026" s="0" t="str">
        <f aca="false">IF(D1026="","",UPPER(SUBSTITUTE(SUBSTITUTE(D1026,"(",""),")","")))</f>
        <v/>
      </c>
      <c r="F1026" s="0" t="str">
        <f aca="false">IF(C1026="","",LEFT(C1026,FIND(" ",C1026&amp;" ")-1))</f>
        <v/>
      </c>
      <c r="G1026" s="0" t="n">
        <f aca="false">IFERROR(VALUE(SUBSTITUTE(LOWER(F1026),"x","")),0)</f>
        <v>0</v>
      </c>
      <c r="H1026" s="0" t="str">
        <f aca="false">IF(C1026="","",TRIM(MID(C1026,LEN(F1026)+2,999)))</f>
        <v/>
      </c>
      <c r="I1026" s="0" t="n">
        <f aca="false">IF(OR(C1026="",LEFT(C1026,2)="//"),0,IFERROR(IF(AND(G1026&gt;0,G1026=INT(G1026),FIND("-",E1026)&gt;1,NOT(EXACT(UPPER(LEFT(E1026,1)),LOWER(LEFT(E1026,1)))),ISNUMBER(VALUE(MID(E1026,FIND("-",E1026)+1,10)))),1,0),0))</f>
        <v>0</v>
      </c>
      <c r="J1026" s="0" t="str">
        <f aca="false">IF(I1026=1,TRIM(LEFT(H1026,MAX(0,LEN(H1026)-LEN(D1026)))),"")</f>
        <v/>
      </c>
      <c r="K1026" s="0" t="str">
        <f aca="false">INDEX($P$2:$P$21,A1026)</f>
        <v>Deck 18</v>
      </c>
      <c r="L1026" s="0" t="n">
        <f aca="false">IF(AND(C1026&lt;&gt;"",LEFT(C1026,2)&lt;&gt;"//",I1026=0),1,0)</f>
        <v>0</v>
      </c>
      <c r="M1026" s="0" t="str">
        <f aca="false">IF(I1026=1,MAX(M$1:M1025)+1,"")</f>
        <v/>
      </c>
      <c r="N1026" s="0" t="str">
        <f aca="false">IFERROR(MATCH(ROW()-1,$V$2:$V$1201,0),"")</f>
        <v/>
      </c>
      <c r="R1026" s="0" t="str">
        <f aca="false">IF(E1026="","",IFERROR(LEFT(E1026,FIND("-",E1026)-1),E1026))</f>
        <v/>
      </c>
      <c r="S1026" s="0" t="str">
        <f aca="false">IF(R1026="","",IF(ISNUMBER(--MID(R1026,1,1)),0,IF(ISNUMBER(--MID(R1026,2,1)),1,IF(ISNUMBER(--MID(R1026,3,1)),2,IF(ISNUMBER(--MID(R1026,4,1)),3,MIN(LEN(R1026),4))))))</f>
        <v/>
      </c>
      <c r="T1026" s="0" t="str">
        <f aca="false">IF(E1026="","",LEFT(R1026,S1026)&amp;REPT("0",4-S1026)&amp;RIGHT("000"&amp;IFERROR(VALUE(MID(R1026,S1026+1,9)),0),3)&amp;RIGHT("0000"&amp;IFERROR(VALUE(MID(E1026,FIND("-",E1026)+1,9)),0),4))</f>
        <v/>
      </c>
      <c r="U1026" s="0" t="str">
        <f aca="false">IF(I1026=1,"K"&amp;RIGHT("00"&amp;A1026,2)&amp;T1026&amp;RIGHT("00000"&amp;ROW(),5),"")</f>
        <v/>
      </c>
      <c r="V1026" s="0" t="str">
        <f aca="false">IF(U1026="","",COUNTIFS($I$2:$I$1201,1,$U$2:$U$1201,"&lt;"&amp;U1026)+1)</f>
        <v/>
      </c>
    </row>
    <row r="1027" customFormat="false" ht="15" hidden="false" customHeight="false" outlineLevel="0" collapsed="false">
      <c r="A1027" s="0" t="n">
        <v>18</v>
      </c>
      <c r="B1027" s="0" t="n">
        <v>6</v>
      </c>
      <c r="C1027" s="0" t="str">
        <f aca="false">TRIM(SUBSTITUTE(INDEX(LISTAS!$A$4:$T$63,B1027,A1027)&amp;"",CHAR(160)," "))</f>
        <v/>
      </c>
      <c r="D1027" s="0" t="str">
        <f aca="false">IF(C1027="","",TRIM(RIGHT(SUBSTITUTE(C1027," ",REPT(" ",100)),100)))</f>
        <v/>
      </c>
      <c r="E1027" s="0" t="str">
        <f aca="false">IF(D1027="","",UPPER(SUBSTITUTE(SUBSTITUTE(D1027,"(",""),")","")))</f>
        <v/>
      </c>
      <c r="F1027" s="0" t="str">
        <f aca="false">IF(C1027="","",LEFT(C1027,FIND(" ",C1027&amp;" ")-1))</f>
        <v/>
      </c>
      <c r="G1027" s="0" t="n">
        <f aca="false">IFERROR(VALUE(SUBSTITUTE(LOWER(F1027),"x","")),0)</f>
        <v>0</v>
      </c>
      <c r="H1027" s="0" t="str">
        <f aca="false">IF(C1027="","",TRIM(MID(C1027,LEN(F1027)+2,999)))</f>
        <v/>
      </c>
      <c r="I1027" s="0" t="n">
        <f aca="false">IF(OR(C1027="",LEFT(C1027,2)="//"),0,IFERROR(IF(AND(G1027&gt;0,G1027=INT(G1027),FIND("-",E1027)&gt;1,NOT(EXACT(UPPER(LEFT(E1027,1)),LOWER(LEFT(E1027,1)))),ISNUMBER(VALUE(MID(E1027,FIND("-",E1027)+1,10)))),1,0),0))</f>
        <v>0</v>
      </c>
      <c r="J1027" s="0" t="str">
        <f aca="false">IF(I1027=1,TRIM(LEFT(H1027,MAX(0,LEN(H1027)-LEN(D1027)))),"")</f>
        <v/>
      </c>
      <c r="K1027" s="0" t="str">
        <f aca="false">INDEX($P$2:$P$21,A1027)</f>
        <v>Deck 18</v>
      </c>
      <c r="L1027" s="0" t="n">
        <f aca="false">IF(AND(C1027&lt;&gt;"",LEFT(C1027,2)&lt;&gt;"//",I1027=0),1,0)</f>
        <v>0</v>
      </c>
      <c r="M1027" s="0" t="str">
        <f aca="false">IF(I1027=1,MAX(M$1:M1026)+1,"")</f>
        <v/>
      </c>
      <c r="N1027" s="0" t="str">
        <f aca="false">IFERROR(MATCH(ROW()-1,$V$2:$V$1201,0),"")</f>
        <v/>
      </c>
      <c r="R1027" s="0" t="str">
        <f aca="false">IF(E1027="","",IFERROR(LEFT(E1027,FIND("-",E1027)-1),E1027))</f>
        <v/>
      </c>
      <c r="S1027" s="0" t="str">
        <f aca="false">IF(R1027="","",IF(ISNUMBER(--MID(R1027,1,1)),0,IF(ISNUMBER(--MID(R1027,2,1)),1,IF(ISNUMBER(--MID(R1027,3,1)),2,IF(ISNUMBER(--MID(R1027,4,1)),3,MIN(LEN(R1027),4))))))</f>
        <v/>
      </c>
      <c r="T1027" s="0" t="str">
        <f aca="false">IF(E1027="","",LEFT(R1027,S1027)&amp;REPT("0",4-S1027)&amp;RIGHT("000"&amp;IFERROR(VALUE(MID(R1027,S1027+1,9)),0),3)&amp;RIGHT("0000"&amp;IFERROR(VALUE(MID(E1027,FIND("-",E1027)+1,9)),0),4))</f>
        <v/>
      </c>
      <c r="U1027" s="0" t="str">
        <f aca="false">IF(I1027=1,"K"&amp;RIGHT("00"&amp;A1027,2)&amp;T1027&amp;RIGHT("00000"&amp;ROW(),5),"")</f>
        <v/>
      </c>
      <c r="V1027" s="0" t="str">
        <f aca="false">IF(U1027="","",COUNTIFS($I$2:$I$1201,1,$U$2:$U$1201,"&lt;"&amp;U1027)+1)</f>
        <v/>
      </c>
    </row>
    <row r="1028" customFormat="false" ht="15" hidden="false" customHeight="false" outlineLevel="0" collapsed="false">
      <c r="A1028" s="0" t="n">
        <v>18</v>
      </c>
      <c r="B1028" s="0" t="n">
        <v>7</v>
      </c>
      <c r="C1028" s="0" t="str">
        <f aca="false">TRIM(SUBSTITUTE(INDEX(LISTAS!$A$4:$T$63,B1028,A1028)&amp;"",CHAR(160)," "))</f>
        <v/>
      </c>
      <c r="D1028" s="0" t="str">
        <f aca="false">IF(C1028="","",TRIM(RIGHT(SUBSTITUTE(C1028," ",REPT(" ",100)),100)))</f>
        <v/>
      </c>
      <c r="E1028" s="0" t="str">
        <f aca="false">IF(D1028="","",UPPER(SUBSTITUTE(SUBSTITUTE(D1028,"(",""),")","")))</f>
        <v/>
      </c>
      <c r="F1028" s="0" t="str">
        <f aca="false">IF(C1028="","",LEFT(C1028,FIND(" ",C1028&amp;" ")-1))</f>
        <v/>
      </c>
      <c r="G1028" s="0" t="n">
        <f aca="false">IFERROR(VALUE(SUBSTITUTE(LOWER(F1028),"x","")),0)</f>
        <v>0</v>
      </c>
      <c r="H1028" s="0" t="str">
        <f aca="false">IF(C1028="","",TRIM(MID(C1028,LEN(F1028)+2,999)))</f>
        <v/>
      </c>
      <c r="I1028" s="0" t="n">
        <f aca="false">IF(OR(C1028="",LEFT(C1028,2)="//"),0,IFERROR(IF(AND(G1028&gt;0,G1028=INT(G1028),FIND("-",E1028)&gt;1,NOT(EXACT(UPPER(LEFT(E1028,1)),LOWER(LEFT(E1028,1)))),ISNUMBER(VALUE(MID(E1028,FIND("-",E1028)+1,10)))),1,0),0))</f>
        <v>0</v>
      </c>
      <c r="J1028" s="0" t="str">
        <f aca="false">IF(I1028=1,TRIM(LEFT(H1028,MAX(0,LEN(H1028)-LEN(D1028)))),"")</f>
        <v/>
      </c>
      <c r="K1028" s="0" t="str">
        <f aca="false">INDEX($P$2:$P$21,A1028)</f>
        <v>Deck 18</v>
      </c>
      <c r="L1028" s="0" t="n">
        <f aca="false">IF(AND(C1028&lt;&gt;"",LEFT(C1028,2)&lt;&gt;"//",I1028=0),1,0)</f>
        <v>0</v>
      </c>
      <c r="M1028" s="0" t="str">
        <f aca="false">IF(I1028=1,MAX(M$1:M1027)+1,"")</f>
        <v/>
      </c>
      <c r="N1028" s="0" t="str">
        <f aca="false">IFERROR(MATCH(ROW()-1,$V$2:$V$1201,0),"")</f>
        <v/>
      </c>
      <c r="R1028" s="0" t="str">
        <f aca="false">IF(E1028="","",IFERROR(LEFT(E1028,FIND("-",E1028)-1),E1028))</f>
        <v/>
      </c>
      <c r="S1028" s="0" t="str">
        <f aca="false">IF(R1028="","",IF(ISNUMBER(--MID(R1028,1,1)),0,IF(ISNUMBER(--MID(R1028,2,1)),1,IF(ISNUMBER(--MID(R1028,3,1)),2,IF(ISNUMBER(--MID(R1028,4,1)),3,MIN(LEN(R1028),4))))))</f>
        <v/>
      </c>
      <c r="T1028" s="0" t="str">
        <f aca="false">IF(E1028="","",LEFT(R1028,S1028)&amp;REPT("0",4-S1028)&amp;RIGHT("000"&amp;IFERROR(VALUE(MID(R1028,S1028+1,9)),0),3)&amp;RIGHT("0000"&amp;IFERROR(VALUE(MID(E1028,FIND("-",E1028)+1,9)),0),4))</f>
        <v/>
      </c>
      <c r="U1028" s="0" t="str">
        <f aca="false">IF(I1028=1,"K"&amp;RIGHT("00"&amp;A1028,2)&amp;T1028&amp;RIGHT("00000"&amp;ROW(),5),"")</f>
        <v/>
      </c>
      <c r="V1028" s="0" t="str">
        <f aca="false">IF(U1028="","",COUNTIFS($I$2:$I$1201,1,$U$2:$U$1201,"&lt;"&amp;U1028)+1)</f>
        <v/>
      </c>
    </row>
    <row r="1029" customFormat="false" ht="15" hidden="false" customHeight="false" outlineLevel="0" collapsed="false">
      <c r="A1029" s="0" t="n">
        <v>18</v>
      </c>
      <c r="B1029" s="0" t="n">
        <v>8</v>
      </c>
      <c r="C1029" s="0" t="str">
        <f aca="false">TRIM(SUBSTITUTE(INDEX(LISTAS!$A$4:$T$63,B1029,A1029)&amp;"",CHAR(160)," "))</f>
        <v/>
      </c>
      <c r="D1029" s="0" t="str">
        <f aca="false">IF(C1029="","",TRIM(RIGHT(SUBSTITUTE(C1029," ",REPT(" ",100)),100)))</f>
        <v/>
      </c>
      <c r="E1029" s="0" t="str">
        <f aca="false">IF(D1029="","",UPPER(SUBSTITUTE(SUBSTITUTE(D1029,"(",""),")","")))</f>
        <v/>
      </c>
      <c r="F1029" s="0" t="str">
        <f aca="false">IF(C1029="","",LEFT(C1029,FIND(" ",C1029&amp;" ")-1))</f>
        <v/>
      </c>
      <c r="G1029" s="0" t="n">
        <f aca="false">IFERROR(VALUE(SUBSTITUTE(LOWER(F1029),"x","")),0)</f>
        <v>0</v>
      </c>
      <c r="H1029" s="0" t="str">
        <f aca="false">IF(C1029="","",TRIM(MID(C1029,LEN(F1029)+2,999)))</f>
        <v/>
      </c>
      <c r="I1029" s="0" t="n">
        <f aca="false">IF(OR(C1029="",LEFT(C1029,2)="//"),0,IFERROR(IF(AND(G1029&gt;0,G1029=INT(G1029),FIND("-",E1029)&gt;1,NOT(EXACT(UPPER(LEFT(E1029,1)),LOWER(LEFT(E1029,1)))),ISNUMBER(VALUE(MID(E1029,FIND("-",E1029)+1,10)))),1,0),0))</f>
        <v>0</v>
      </c>
      <c r="J1029" s="0" t="str">
        <f aca="false">IF(I1029=1,TRIM(LEFT(H1029,MAX(0,LEN(H1029)-LEN(D1029)))),"")</f>
        <v/>
      </c>
      <c r="K1029" s="0" t="str">
        <f aca="false">INDEX($P$2:$P$21,A1029)</f>
        <v>Deck 18</v>
      </c>
      <c r="L1029" s="0" t="n">
        <f aca="false">IF(AND(C1029&lt;&gt;"",LEFT(C1029,2)&lt;&gt;"//",I1029=0),1,0)</f>
        <v>0</v>
      </c>
      <c r="M1029" s="0" t="str">
        <f aca="false">IF(I1029=1,MAX(M$1:M1028)+1,"")</f>
        <v/>
      </c>
      <c r="N1029" s="0" t="str">
        <f aca="false">IFERROR(MATCH(ROW()-1,$V$2:$V$1201,0),"")</f>
        <v/>
      </c>
      <c r="R1029" s="0" t="str">
        <f aca="false">IF(E1029="","",IFERROR(LEFT(E1029,FIND("-",E1029)-1),E1029))</f>
        <v/>
      </c>
      <c r="S1029" s="0" t="str">
        <f aca="false">IF(R1029="","",IF(ISNUMBER(--MID(R1029,1,1)),0,IF(ISNUMBER(--MID(R1029,2,1)),1,IF(ISNUMBER(--MID(R1029,3,1)),2,IF(ISNUMBER(--MID(R1029,4,1)),3,MIN(LEN(R1029),4))))))</f>
        <v/>
      </c>
      <c r="T1029" s="0" t="str">
        <f aca="false">IF(E1029="","",LEFT(R1029,S1029)&amp;REPT("0",4-S1029)&amp;RIGHT("000"&amp;IFERROR(VALUE(MID(R1029,S1029+1,9)),0),3)&amp;RIGHT("0000"&amp;IFERROR(VALUE(MID(E1029,FIND("-",E1029)+1,9)),0),4))</f>
        <v/>
      </c>
      <c r="U1029" s="0" t="str">
        <f aca="false">IF(I1029=1,"K"&amp;RIGHT("00"&amp;A1029,2)&amp;T1029&amp;RIGHT("00000"&amp;ROW(),5),"")</f>
        <v/>
      </c>
      <c r="V1029" s="0" t="str">
        <f aca="false">IF(U1029="","",COUNTIFS($I$2:$I$1201,1,$U$2:$U$1201,"&lt;"&amp;U1029)+1)</f>
        <v/>
      </c>
    </row>
    <row r="1030" customFormat="false" ht="15" hidden="false" customHeight="false" outlineLevel="0" collapsed="false">
      <c r="A1030" s="0" t="n">
        <v>18</v>
      </c>
      <c r="B1030" s="0" t="n">
        <v>9</v>
      </c>
      <c r="C1030" s="0" t="str">
        <f aca="false">TRIM(SUBSTITUTE(INDEX(LISTAS!$A$4:$T$63,B1030,A1030)&amp;"",CHAR(160)," "))</f>
        <v/>
      </c>
      <c r="D1030" s="0" t="str">
        <f aca="false">IF(C1030="","",TRIM(RIGHT(SUBSTITUTE(C1030," ",REPT(" ",100)),100)))</f>
        <v/>
      </c>
      <c r="E1030" s="0" t="str">
        <f aca="false">IF(D1030="","",UPPER(SUBSTITUTE(SUBSTITUTE(D1030,"(",""),")","")))</f>
        <v/>
      </c>
      <c r="F1030" s="0" t="str">
        <f aca="false">IF(C1030="","",LEFT(C1030,FIND(" ",C1030&amp;" ")-1))</f>
        <v/>
      </c>
      <c r="G1030" s="0" t="n">
        <f aca="false">IFERROR(VALUE(SUBSTITUTE(LOWER(F1030),"x","")),0)</f>
        <v>0</v>
      </c>
      <c r="H1030" s="0" t="str">
        <f aca="false">IF(C1030="","",TRIM(MID(C1030,LEN(F1030)+2,999)))</f>
        <v/>
      </c>
      <c r="I1030" s="0" t="n">
        <f aca="false">IF(OR(C1030="",LEFT(C1030,2)="//"),0,IFERROR(IF(AND(G1030&gt;0,G1030=INT(G1030),FIND("-",E1030)&gt;1,NOT(EXACT(UPPER(LEFT(E1030,1)),LOWER(LEFT(E1030,1)))),ISNUMBER(VALUE(MID(E1030,FIND("-",E1030)+1,10)))),1,0),0))</f>
        <v>0</v>
      </c>
      <c r="J1030" s="0" t="str">
        <f aca="false">IF(I1030=1,TRIM(LEFT(H1030,MAX(0,LEN(H1030)-LEN(D1030)))),"")</f>
        <v/>
      </c>
      <c r="K1030" s="0" t="str">
        <f aca="false">INDEX($P$2:$P$21,A1030)</f>
        <v>Deck 18</v>
      </c>
      <c r="L1030" s="0" t="n">
        <f aca="false">IF(AND(C1030&lt;&gt;"",LEFT(C1030,2)&lt;&gt;"//",I1030=0),1,0)</f>
        <v>0</v>
      </c>
      <c r="M1030" s="0" t="str">
        <f aca="false">IF(I1030=1,MAX(M$1:M1029)+1,"")</f>
        <v/>
      </c>
      <c r="N1030" s="0" t="str">
        <f aca="false">IFERROR(MATCH(ROW()-1,$V$2:$V$1201,0),"")</f>
        <v/>
      </c>
      <c r="R1030" s="0" t="str">
        <f aca="false">IF(E1030="","",IFERROR(LEFT(E1030,FIND("-",E1030)-1),E1030))</f>
        <v/>
      </c>
      <c r="S1030" s="0" t="str">
        <f aca="false">IF(R1030="","",IF(ISNUMBER(--MID(R1030,1,1)),0,IF(ISNUMBER(--MID(R1030,2,1)),1,IF(ISNUMBER(--MID(R1030,3,1)),2,IF(ISNUMBER(--MID(R1030,4,1)),3,MIN(LEN(R1030),4))))))</f>
        <v/>
      </c>
      <c r="T1030" s="0" t="str">
        <f aca="false">IF(E1030="","",LEFT(R1030,S1030)&amp;REPT("0",4-S1030)&amp;RIGHT("000"&amp;IFERROR(VALUE(MID(R1030,S1030+1,9)),0),3)&amp;RIGHT("0000"&amp;IFERROR(VALUE(MID(E1030,FIND("-",E1030)+1,9)),0),4))</f>
        <v/>
      </c>
      <c r="U1030" s="0" t="str">
        <f aca="false">IF(I1030=1,"K"&amp;RIGHT("00"&amp;A1030,2)&amp;T1030&amp;RIGHT("00000"&amp;ROW(),5),"")</f>
        <v/>
      </c>
      <c r="V1030" s="0" t="str">
        <f aca="false">IF(U1030="","",COUNTIFS($I$2:$I$1201,1,$U$2:$U$1201,"&lt;"&amp;U1030)+1)</f>
        <v/>
      </c>
    </row>
    <row r="1031" customFormat="false" ht="15" hidden="false" customHeight="false" outlineLevel="0" collapsed="false">
      <c r="A1031" s="0" t="n">
        <v>18</v>
      </c>
      <c r="B1031" s="0" t="n">
        <v>10</v>
      </c>
      <c r="C1031" s="0" t="str">
        <f aca="false">TRIM(SUBSTITUTE(INDEX(LISTAS!$A$4:$T$63,B1031,A1031)&amp;"",CHAR(160)," "))</f>
        <v/>
      </c>
      <c r="D1031" s="0" t="str">
        <f aca="false">IF(C1031="","",TRIM(RIGHT(SUBSTITUTE(C1031," ",REPT(" ",100)),100)))</f>
        <v/>
      </c>
      <c r="E1031" s="0" t="str">
        <f aca="false">IF(D1031="","",UPPER(SUBSTITUTE(SUBSTITUTE(D1031,"(",""),")","")))</f>
        <v/>
      </c>
      <c r="F1031" s="0" t="str">
        <f aca="false">IF(C1031="","",LEFT(C1031,FIND(" ",C1031&amp;" ")-1))</f>
        <v/>
      </c>
      <c r="G1031" s="0" t="n">
        <f aca="false">IFERROR(VALUE(SUBSTITUTE(LOWER(F1031),"x","")),0)</f>
        <v>0</v>
      </c>
      <c r="H1031" s="0" t="str">
        <f aca="false">IF(C1031="","",TRIM(MID(C1031,LEN(F1031)+2,999)))</f>
        <v/>
      </c>
      <c r="I1031" s="0" t="n">
        <f aca="false">IF(OR(C1031="",LEFT(C1031,2)="//"),0,IFERROR(IF(AND(G1031&gt;0,G1031=INT(G1031),FIND("-",E1031)&gt;1,NOT(EXACT(UPPER(LEFT(E1031,1)),LOWER(LEFT(E1031,1)))),ISNUMBER(VALUE(MID(E1031,FIND("-",E1031)+1,10)))),1,0),0))</f>
        <v>0</v>
      </c>
      <c r="J1031" s="0" t="str">
        <f aca="false">IF(I1031=1,TRIM(LEFT(H1031,MAX(0,LEN(H1031)-LEN(D1031)))),"")</f>
        <v/>
      </c>
      <c r="K1031" s="0" t="str">
        <f aca="false">INDEX($P$2:$P$21,A1031)</f>
        <v>Deck 18</v>
      </c>
      <c r="L1031" s="0" t="n">
        <f aca="false">IF(AND(C1031&lt;&gt;"",LEFT(C1031,2)&lt;&gt;"//",I1031=0),1,0)</f>
        <v>0</v>
      </c>
      <c r="M1031" s="0" t="str">
        <f aca="false">IF(I1031=1,MAX(M$1:M1030)+1,"")</f>
        <v/>
      </c>
      <c r="N1031" s="0" t="str">
        <f aca="false">IFERROR(MATCH(ROW()-1,$V$2:$V$1201,0),"")</f>
        <v/>
      </c>
      <c r="R1031" s="0" t="str">
        <f aca="false">IF(E1031="","",IFERROR(LEFT(E1031,FIND("-",E1031)-1),E1031))</f>
        <v/>
      </c>
      <c r="S1031" s="0" t="str">
        <f aca="false">IF(R1031="","",IF(ISNUMBER(--MID(R1031,1,1)),0,IF(ISNUMBER(--MID(R1031,2,1)),1,IF(ISNUMBER(--MID(R1031,3,1)),2,IF(ISNUMBER(--MID(R1031,4,1)),3,MIN(LEN(R1031),4))))))</f>
        <v/>
      </c>
      <c r="T1031" s="0" t="str">
        <f aca="false">IF(E1031="","",LEFT(R1031,S1031)&amp;REPT("0",4-S1031)&amp;RIGHT("000"&amp;IFERROR(VALUE(MID(R1031,S1031+1,9)),0),3)&amp;RIGHT("0000"&amp;IFERROR(VALUE(MID(E1031,FIND("-",E1031)+1,9)),0),4))</f>
        <v/>
      </c>
      <c r="U1031" s="0" t="str">
        <f aca="false">IF(I1031=1,"K"&amp;RIGHT("00"&amp;A1031,2)&amp;T1031&amp;RIGHT("00000"&amp;ROW(),5),"")</f>
        <v/>
      </c>
      <c r="V1031" s="0" t="str">
        <f aca="false">IF(U1031="","",COUNTIFS($I$2:$I$1201,1,$U$2:$U$1201,"&lt;"&amp;U1031)+1)</f>
        <v/>
      </c>
    </row>
    <row r="1032" customFormat="false" ht="15" hidden="false" customHeight="false" outlineLevel="0" collapsed="false">
      <c r="A1032" s="0" t="n">
        <v>18</v>
      </c>
      <c r="B1032" s="0" t="n">
        <v>11</v>
      </c>
      <c r="C1032" s="0" t="str">
        <f aca="false">TRIM(SUBSTITUTE(INDEX(LISTAS!$A$4:$T$63,B1032,A1032)&amp;"",CHAR(160)," "))</f>
        <v/>
      </c>
      <c r="D1032" s="0" t="str">
        <f aca="false">IF(C1032="","",TRIM(RIGHT(SUBSTITUTE(C1032," ",REPT(" ",100)),100)))</f>
        <v/>
      </c>
      <c r="E1032" s="0" t="str">
        <f aca="false">IF(D1032="","",UPPER(SUBSTITUTE(SUBSTITUTE(D1032,"(",""),")","")))</f>
        <v/>
      </c>
      <c r="F1032" s="0" t="str">
        <f aca="false">IF(C1032="","",LEFT(C1032,FIND(" ",C1032&amp;" ")-1))</f>
        <v/>
      </c>
      <c r="G1032" s="0" t="n">
        <f aca="false">IFERROR(VALUE(SUBSTITUTE(LOWER(F1032),"x","")),0)</f>
        <v>0</v>
      </c>
      <c r="H1032" s="0" t="str">
        <f aca="false">IF(C1032="","",TRIM(MID(C1032,LEN(F1032)+2,999)))</f>
        <v/>
      </c>
      <c r="I1032" s="0" t="n">
        <f aca="false">IF(OR(C1032="",LEFT(C1032,2)="//"),0,IFERROR(IF(AND(G1032&gt;0,G1032=INT(G1032),FIND("-",E1032)&gt;1,NOT(EXACT(UPPER(LEFT(E1032,1)),LOWER(LEFT(E1032,1)))),ISNUMBER(VALUE(MID(E1032,FIND("-",E1032)+1,10)))),1,0),0))</f>
        <v>0</v>
      </c>
      <c r="J1032" s="0" t="str">
        <f aca="false">IF(I1032=1,TRIM(LEFT(H1032,MAX(0,LEN(H1032)-LEN(D1032)))),"")</f>
        <v/>
      </c>
      <c r="K1032" s="0" t="str">
        <f aca="false">INDEX($P$2:$P$21,A1032)</f>
        <v>Deck 18</v>
      </c>
      <c r="L1032" s="0" t="n">
        <f aca="false">IF(AND(C1032&lt;&gt;"",LEFT(C1032,2)&lt;&gt;"//",I1032=0),1,0)</f>
        <v>0</v>
      </c>
      <c r="M1032" s="0" t="str">
        <f aca="false">IF(I1032=1,MAX(M$1:M1031)+1,"")</f>
        <v/>
      </c>
      <c r="N1032" s="0" t="str">
        <f aca="false">IFERROR(MATCH(ROW()-1,$V$2:$V$1201,0),"")</f>
        <v/>
      </c>
      <c r="R1032" s="0" t="str">
        <f aca="false">IF(E1032="","",IFERROR(LEFT(E1032,FIND("-",E1032)-1),E1032))</f>
        <v/>
      </c>
      <c r="S1032" s="0" t="str">
        <f aca="false">IF(R1032="","",IF(ISNUMBER(--MID(R1032,1,1)),0,IF(ISNUMBER(--MID(R1032,2,1)),1,IF(ISNUMBER(--MID(R1032,3,1)),2,IF(ISNUMBER(--MID(R1032,4,1)),3,MIN(LEN(R1032),4))))))</f>
        <v/>
      </c>
      <c r="T1032" s="0" t="str">
        <f aca="false">IF(E1032="","",LEFT(R1032,S1032)&amp;REPT("0",4-S1032)&amp;RIGHT("000"&amp;IFERROR(VALUE(MID(R1032,S1032+1,9)),0),3)&amp;RIGHT("0000"&amp;IFERROR(VALUE(MID(E1032,FIND("-",E1032)+1,9)),0),4))</f>
        <v/>
      </c>
      <c r="U1032" s="0" t="str">
        <f aca="false">IF(I1032=1,"K"&amp;RIGHT("00"&amp;A1032,2)&amp;T1032&amp;RIGHT("00000"&amp;ROW(),5),"")</f>
        <v/>
      </c>
      <c r="V1032" s="0" t="str">
        <f aca="false">IF(U1032="","",COUNTIFS($I$2:$I$1201,1,$U$2:$U$1201,"&lt;"&amp;U1032)+1)</f>
        <v/>
      </c>
    </row>
    <row r="1033" customFormat="false" ht="15" hidden="false" customHeight="false" outlineLevel="0" collapsed="false">
      <c r="A1033" s="0" t="n">
        <v>18</v>
      </c>
      <c r="B1033" s="0" t="n">
        <v>12</v>
      </c>
      <c r="C1033" s="0" t="str">
        <f aca="false">TRIM(SUBSTITUTE(INDEX(LISTAS!$A$4:$T$63,B1033,A1033)&amp;"",CHAR(160)," "))</f>
        <v/>
      </c>
      <c r="D1033" s="0" t="str">
        <f aca="false">IF(C1033="","",TRIM(RIGHT(SUBSTITUTE(C1033," ",REPT(" ",100)),100)))</f>
        <v/>
      </c>
      <c r="E1033" s="0" t="str">
        <f aca="false">IF(D1033="","",UPPER(SUBSTITUTE(SUBSTITUTE(D1033,"(",""),")","")))</f>
        <v/>
      </c>
      <c r="F1033" s="0" t="str">
        <f aca="false">IF(C1033="","",LEFT(C1033,FIND(" ",C1033&amp;" ")-1))</f>
        <v/>
      </c>
      <c r="G1033" s="0" t="n">
        <f aca="false">IFERROR(VALUE(SUBSTITUTE(LOWER(F1033),"x","")),0)</f>
        <v>0</v>
      </c>
      <c r="H1033" s="0" t="str">
        <f aca="false">IF(C1033="","",TRIM(MID(C1033,LEN(F1033)+2,999)))</f>
        <v/>
      </c>
      <c r="I1033" s="0" t="n">
        <f aca="false">IF(OR(C1033="",LEFT(C1033,2)="//"),0,IFERROR(IF(AND(G1033&gt;0,G1033=INT(G1033),FIND("-",E1033)&gt;1,NOT(EXACT(UPPER(LEFT(E1033,1)),LOWER(LEFT(E1033,1)))),ISNUMBER(VALUE(MID(E1033,FIND("-",E1033)+1,10)))),1,0),0))</f>
        <v>0</v>
      </c>
      <c r="J1033" s="0" t="str">
        <f aca="false">IF(I1033=1,TRIM(LEFT(H1033,MAX(0,LEN(H1033)-LEN(D1033)))),"")</f>
        <v/>
      </c>
      <c r="K1033" s="0" t="str">
        <f aca="false">INDEX($P$2:$P$21,A1033)</f>
        <v>Deck 18</v>
      </c>
      <c r="L1033" s="0" t="n">
        <f aca="false">IF(AND(C1033&lt;&gt;"",LEFT(C1033,2)&lt;&gt;"//",I1033=0),1,0)</f>
        <v>0</v>
      </c>
      <c r="M1033" s="0" t="str">
        <f aca="false">IF(I1033=1,MAX(M$1:M1032)+1,"")</f>
        <v/>
      </c>
      <c r="N1033" s="0" t="str">
        <f aca="false">IFERROR(MATCH(ROW()-1,$V$2:$V$1201,0),"")</f>
        <v/>
      </c>
      <c r="R1033" s="0" t="str">
        <f aca="false">IF(E1033="","",IFERROR(LEFT(E1033,FIND("-",E1033)-1),E1033))</f>
        <v/>
      </c>
      <c r="S1033" s="0" t="str">
        <f aca="false">IF(R1033="","",IF(ISNUMBER(--MID(R1033,1,1)),0,IF(ISNUMBER(--MID(R1033,2,1)),1,IF(ISNUMBER(--MID(R1033,3,1)),2,IF(ISNUMBER(--MID(R1033,4,1)),3,MIN(LEN(R1033),4))))))</f>
        <v/>
      </c>
      <c r="T1033" s="0" t="str">
        <f aca="false">IF(E1033="","",LEFT(R1033,S1033)&amp;REPT("0",4-S1033)&amp;RIGHT("000"&amp;IFERROR(VALUE(MID(R1033,S1033+1,9)),0),3)&amp;RIGHT("0000"&amp;IFERROR(VALUE(MID(E1033,FIND("-",E1033)+1,9)),0),4))</f>
        <v/>
      </c>
      <c r="U1033" s="0" t="str">
        <f aca="false">IF(I1033=1,"K"&amp;RIGHT("00"&amp;A1033,2)&amp;T1033&amp;RIGHT("00000"&amp;ROW(),5),"")</f>
        <v/>
      </c>
      <c r="V1033" s="0" t="str">
        <f aca="false">IF(U1033="","",COUNTIFS($I$2:$I$1201,1,$U$2:$U$1201,"&lt;"&amp;U1033)+1)</f>
        <v/>
      </c>
    </row>
    <row r="1034" customFormat="false" ht="15" hidden="false" customHeight="false" outlineLevel="0" collapsed="false">
      <c r="A1034" s="0" t="n">
        <v>18</v>
      </c>
      <c r="B1034" s="0" t="n">
        <v>13</v>
      </c>
      <c r="C1034" s="0" t="str">
        <f aca="false">TRIM(SUBSTITUTE(INDEX(LISTAS!$A$4:$T$63,B1034,A1034)&amp;"",CHAR(160)," "))</f>
        <v/>
      </c>
      <c r="D1034" s="0" t="str">
        <f aca="false">IF(C1034="","",TRIM(RIGHT(SUBSTITUTE(C1034," ",REPT(" ",100)),100)))</f>
        <v/>
      </c>
      <c r="E1034" s="0" t="str">
        <f aca="false">IF(D1034="","",UPPER(SUBSTITUTE(SUBSTITUTE(D1034,"(",""),")","")))</f>
        <v/>
      </c>
      <c r="F1034" s="0" t="str">
        <f aca="false">IF(C1034="","",LEFT(C1034,FIND(" ",C1034&amp;" ")-1))</f>
        <v/>
      </c>
      <c r="G1034" s="0" t="n">
        <f aca="false">IFERROR(VALUE(SUBSTITUTE(LOWER(F1034),"x","")),0)</f>
        <v>0</v>
      </c>
      <c r="H1034" s="0" t="str">
        <f aca="false">IF(C1034="","",TRIM(MID(C1034,LEN(F1034)+2,999)))</f>
        <v/>
      </c>
      <c r="I1034" s="0" t="n">
        <f aca="false">IF(OR(C1034="",LEFT(C1034,2)="//"),0,IFERROR(IF(AND(G1034&gt;0,G1034=INT(G1034),FIND("-",E1034)&gt;1,NOT(EXACT(UPPER(LEFT(E1034,1)),LOWER(LEFT(E1034,1)))),ISNUMBER(VALUE(MID(E1034,FIND("-",E1034)+1,10)))),1,0),0))</f>
        <v>0</v>
      </c>
      <c r="J1034" s="0" t="str">
        <f aca="false">IF(I1034=1,TRIM(LEFT(H1034,MAX(0,LEN(H1034)-LEN(D1034)))),"")</f>
        <v/>
      </c>
      <c r="K1034" s="0" t="str">
        <f aca="false">INDEX($P$2:$P$21,A1034)</f>
        <v>Deck 18</v>
      </c>
      <c r="L1034" s="0" t="n">
        <f aca="false">IF(AND(C1034&lt;&gt;"",LEFT(C1034,2)&lt;&gt;"//",I1034=0),1,0)</f>
        <v>0</v>
      </c>
      <c r="M1034" s="0" t="str">
        <f aca="false">IF(I1034=1,MAX(M$1:M1033)+1,"")</f>
        <v/>
      </c>
      <c r="N1034" s="0" t="str">
        <f aca="false">IFERROR(MATCH(ROW()-1,$V$2:$V$1201,0),"")</f>
        <v/>
      </c>
      <c r="R1034" s="0" t="str">
        <f aca="false">IF(E1034="","",IFERROR(LEFT(E1034,FIND("-",E1034)-1),E1034))</f>
        <v/>
      </c>
      <c r="S1034" s="0" t="str">
        <f aca="false">IF(R1034="","",IF(ISNUMBER(--MID(R1034,1,1)),0,IF(ISNUMBER(--MID(R1034,2,1)),1,IF(ISNUMBER(--MID(R1034,3,1)),2,IF(ISNUMBER(--MID(R1034,4,1)),3,MIN(LEN(R1034),4))))))</f>
        <v/>
      </c>
      <c r="T1034" s="0" t="str">
        <f aca="false">IF(E1034="","",LEFT(R1034,S1034)&amp;REPT("0",4-S1034)&amp;RIGHT("000"&amp;IFERROR(VALUE(MID(R1034,S1034+1,9)),0),3)&amp;RIGHT("0000"&amp;IFERROR(VALUE(MID(E1034,FIND("-",E1034)+1,9)),0),4))</f>
        <v/>
      </c>
      <c r="U1034" s="0" t="str">
        <f aca="false">IF(I1034=1,"K"&amp;RIGHT("00"&amp;A1034,2)&amp;T1034&amp;RIGHT("00000"&amp;ROW(),5),"")</f>
        <v/>
      </c>
      <c r="V1034" s="0" t="str">
        <f aca="false">IF(U1034="","",COUNTIFS($I$2:$I$1201,1,$U$2:$U$1201,"&lt;"&amp;U1034)+1)</f>
        <v/>
      </c>
    </row>
    <row r="1035" customFormat="false" ht="15" hidden="false" customHeight="false" outlineLevel="0" collapsed="false">
      <c r="A1035" s="0" t="n">
        <v>18</v>
      </c>
      <c r="B1035" s="0" t="n">
        <v>14</v>
      </c>
      <c r="C1035" s="0" t="str">
        <f aca="false">TRIM(SUBSTITUTE(INDEX(LISTAS!$A$4:$T$63,B1035,A1035)&amp;"",CHAR(160)," "))</f>
        <v/>
      </c>
      <c r="D1035" s="0" t="str">
        <f aca="false">IF(C1035="","",TRIM(RIGHT(SUBSTITUTE(C1035," ",REPT(" ",100)),100)))</f>
        <v/>
      </c>
      <c r="E1035" s="0" t="str">
        <f aca="false">IF(D1035="","",UPPER(SUBSTITUTE(SUBSTITUTE(D1035,"(",""),")","")))</f>
        <v/>
      </c>
      <c r="F1035" s="0" t="str">
        <f aca="false">IF(C1035="","",LEFT(C1035,FIND(" ",C1035&amp;" ")-1))</f>
        <v/>
      </c>
      <c r="G1035" s="0" t="n">
        <f aca="false">IFERROR(VALUE(SUBSTITUTE(LOWER(F1035),"x","")),0)</f>
        <v>0</v>
      </c>
      <c r="H1035" s="0" t="str">
        <f aca="false">IF(C1035="","",TRIM(MID(C1035,LEN(F1035)+2,999)))</f>
        <v/>
      </c>
      <c r="I1035" s="0" t="n">
        <f aca="false">IF(OR(C1035="",LEFT(C1035,2)="//"),0,IFERROR(IF(AND(G1035&gt;0,G1035=INT(G1035),FIND("-",E1035)&gt;1,NOT(EXACT(UPPER(LEFT(E1035,1)),LOWER(LEFT(E1035,1)))),ISNUMBER(VALUE(MID(E1035,FIND("-",E1035)+1,10)))),1,0),0))</f>
        <v>0</v>
      </c>
      <c r="J1035" s="0" t="str">
        <f aca="false">IF(I1035=1,TRIM(LEFT(H1035,MAX(0,LEN(H1035)-LEN(D1035)))),"")</f>
        <v/>
      </c>
      <c r="K1035" s="0" t="str">
        <f aca="false">INDEX($P$2:$P$21,A1035)</f>
        <v>Deck 18</v>
      </c>
      <c r="L1035" s="0" t="n">
        <f aca="false">IF(AND(C1035&lt;&gt;"",LEFT(C1035,2)&lt;&gt;"//",I1035=0),1,0)</f>
        <v>0</v>
      </c>
      <c r="M1035" s="0" t="str">
        <f aca="false">IF(I1035=1,MAX(M$1:M1034)+1,"")</f>
        <v/>
      </c>
      <c r="N1035" s="0" t="str">
        <f aca="false">IFERROR(MATCH(ROW()-1,$V$2:$V$1201,0),"")</f>
        <v/>
      </c>
      <c r="R1035" s="0" t="str">
        <f aca="false">IF(E1035="","",IFERROR(LEFT(E1035,FIND("-",E1035)-1),E1035))</f>
        <v/>
      </c>
      <c r="S1035" s="0" t="str">
        <f aca="false">IF(R1035="","",IF(ISNUMBER(--MID(R1035,1,1)),0,IF(ISNUMBER(--MID(R1035,2,1)),1,IF(ISNUMBER(--MID(R1035,3,1)),2,IF(ISNUMBER(--MID(R1035,4,1)),3,MIN(LEN(R1035),4))))))</f>
        <v/>
      </c>
      <c r="T1035" s="0" t="str">
        <f aca="false">IF(E1035="","",LEFT(R1035,S1035)&amp;REPT("0",4-S1035)&amp;RIGHT("000"&amp;IFERROR(VALUE(MID(R1035,S1035+1,9)),0),3)&amp;RIGHT("0000"&amp;IFERROR(VALUE(MID(E1035,FIND("-",E1035)+1,9)),0),4))</f>
        <v/>
      </c>
      <c r="U1035" s="0" t="str">
        <f aca="false">IF(I1035=1,"K"&amp;RIGHT("00"&amp;A1035,2)&amp;T1035&amp;RIGHT("00000"&amp;ROW(),5),"")</f>
        <v/>
      </c>
      <c r="V1035" s="0" t="str">
        <f aca="false">IF(U1035="","",COUNTIFS($I$2:$I$1201,1,$U$2:$U$1201,"&lt;"&amp;U1035)+1)</f>
        <v/>
      </c>
    </row>
    <row r="1036" customFormat="false" ht="15" hidden="false" customHeight="false" outlineLevel="0" collapsed="false">
      <c r="A1036" s="0" t="n">
        <v>18</v>
      </c>
      <c r="B1036" s="0" t="n">
        <v>15</v>
      </c>
      <c r="C1036" s="0" t="str">
        <f aca="false">TRIM(SUBSTITUTE(INDEX(LISTAS!$A$4:$T$63,B1036,A1036)&amp;"",CHAR(160)," "))</f>
        <v/>
      </c>
      <c r="D1036" s="0" t="str">
        <f aca="false">IF(C1036="","",TRIM(RIGHT(SUBSTITUTE(C1036," ",REPT(" ",100)),100)))</f>
        <v/>
      </c>
      <c r="E1036" s="0" t="str">
        <f aca="false">IF(D1036="","",UPPER(SUBSTITUTE(SUBSTITUTE(D1036,"(",""),")","")))</f>
        <v/>
      </c>
      <c r="F1036" s="0" t="str">
        <f aca="false">IF(C1036="","",LEFT(C1036,FIND(" ",C1036&amp;" ")-1))</f>
        <v/>
      </c>
      <c r="G1036" s="0" t="n">
        <f aca="false">IFERROR(VALUE(SUBSTITUTE(LOWER(F1036),"x","")),0)</f>
        <v>0</v>
      </c>
      <c r="H1036" s="0" t="str">
        <f aca="false">IF(C1036="","",TRIM(MID(C1036,LEN(F1036)+2,999)))</f>
        <v/>
      </c>
      <c r="I1036" s="0" t="n">
        <f aca="false">IF(OR(C1036="",LEFT(C1036,2)="//"),0,IFERROR(IF(AND(G1036&gt;0,G1036=INT(G1036),FIND("-",E1036)&gt;1,NOT(EXACT(UPPER(LEFT(E1036,1)),LOWER(LEFT(E1036,1)))),ISNUMBER(VALUE(MID(E1036,FIND("-",E1036)+1,10)))),1,0),0))</f>
        <v>0</v>
      </c>
      <c r="J1036" s="0" t="str">
        <f aca="false">IF(I1036=1,TRIM(LEFT(H1036,MAX(0,LEN(H1036)-LEN(D1036)))),"")</f>
        <v/>
      </c>
      <c r="K1036" s="0" t="str">
        <f aca="false">INDEX($P$2:$P$21,A1036)</f>
        <v>Deck 18</v>
      </c>
      <c r="L1036" s="0" t="n">
        <f aca="false">IF(AND(C1036&lt;&gt;"",LEFT(C1036,2)&lt;&gt;"//",I1036=0),1,0)</f>
        <v>0</v>
      </c>
      <c r="M1036" s="0" t="str">
        <f aca="false">IF(I1036=1,MAX(M$1:M1035)+1,"")</f>
        <v/>
      </c>
      <c r="N1036" s="0" t="str">
        <f aca="false">IFERROR(MATCH(ROW()-1,$V$2:$V$1201,0),"")</f>
        <v/>
      </c>
      <c r="R1036" s="0" t="str">
        <f aca="false">IF(E1036="","",IFERROR(LEFT(E1036,FIND("-",E1036)-1),E1036))</f>
        <v/>
      </c>
      <c r="S1036" s="0" t="str">
        <f aca="false">IF(R1036="","",IF(ISNUMBER(--MID(R1036,1,1)),0,IF(ISNUMBER(--MID(R1036,2,1)),1,IF(ISNUMBER(--MID(R1036,3,1)),2,IF(ISNUMBER(--MID(R1036,4,1)),3,MIN(LEN(R1036),4))))))</f>
        <v/>
      </c>
      <c r="T1036" s="0" t="str">
        <f aca="false">IF(E1036="","",LEFT(R1036,S1036)&amp;REPT("0",4-S1036)&amp;RIGHT("000"&amp;IFERROR(VALUE(MID(R1036,S1036+1,9)),0),3)&amp;RIGHT("0000"&amp;IFERROR(VALUE(MID(E1036,FIND("-",E1036)+1,9)),0),4))</f>
        <v/>
      </c>
      <c r="U1036" s="0" t="str">
        <f aca="false">IF(I1036=1,"K"&amp;RIGHT("00"&amp;A1036,2)&amp;T1036&amp;RIGHT("00000"&amp;ROW(),5),"")</f>
        <v/>
      </c>
      <c r="V1036" s="0" t="str">
        <f aca="false">IF(U1036="","",COUNTIFS($I$2:$I$1201,1,$U$2:$U$1201,"&lt;"&amp;U1036)+1)</f>
        <v/>
      </c>
    </row>
    <row r="1037" customFormat="false" ht="15" hidden="false" customHeight="false" outlineLevel="0" collapsed="false">
      <c r="A1037" s="0" t="n">
        <v>18</v>
      </c>
      <c r="B1037" s="0" t="n">
        <v>16</v>
      </c>
      <c r="C1037" s="0" t="str">
        <f aca="false">TRIM(SUBSTITUTE(INDEX(LISTAS!$A$4:$T$63,B1037,A1037)&amp;"",CHAR(160)," "))</f>
        <v/>
      </c>
      <c r="D1037" s="0" t="str">
        <f aca="false">IF(C1037="","",TRIM(RIGHT(SUBSTITUTE(C1037," ",REPT(" ",100)),100)))</f>
        <v/>
      </c>
      <c r="E1037" s="0" t="str">
        <f aca="false">IF(D1037="","",UPPER(SUBSTITUTE(SUBSTITUTE(D1037,"(",""),")","")))</f>
        <v/>
      </c>
      <c r="F1037" s="0" t="str">
        <f aca="false">IF(C1037="","",LEFT(C1037,FIND(" ",C1037&amp;" ")-1))</f>
        <v/>
      </c>
      <c r="G1037" s="0" t="n">
        <f aca="false">IFERROR(VALUE(SUBSTITUTE(LOWER(F1037),"x","")),0)</f>
        <v>0</v>
      </c>
      <c r="H1037" s="0" t="str">
        <f aca="false">IF(C1037="","",TRIM(MID(C1037,LEN(F1037)+2,999)))</f>
        <v/>
      </c>
      <c r="I1037" s="0" t="n">
        <f aca="false">IF(OR(C1037="",LEFT(C1037,2)="//"),0,IFERROR(IF(AND(G1037&gt;0,G1037=INT(G1037),FIND("-",E1037)&gt;1,NOT(EXACT(UPPER(LEFT(E1037,1)),LOWER(LEFT(E1037,1)))),ISNUMBER(VALUE(MID(E1037,FIND("-",E1037)+1,10)))),1,0),0))</f>
        <v>0</v>
      </c>
      <c r="J1037" s="0" t="str">
        <f aca="false">IF(I1037=1,TRIM(LEFT(H1037,MAX(0,LEN(H1037)-LEN(D1037)))),"")</f>
        <v/>
      </c>
      <c r="K1037" s="0" t="str">
        <f aca="false">INDEX($P$2:$P$21,A1037)</f>
        <v>Deck 18</v>
      </c>
      <c r="L1037" s="0" t="n">
        <f aca="false">IF(AND(C1037&lt;&gt;"",LEFT(C1037,2)&lt;&gt;"//",I1037=0),1,0)</f>
        <v>0</v>
      </c>
      <c r="M1037" s="0" t="str">
        <f aca="false">IF(I1037=1,MAX(M$1:M1036)+1,"")</f>
        <v/>
      </c>
      <c r="N1037" s="0" t="str">
        <f aca="false">IFERROR(MATCH(ROW()-1,$V$2:$V$1201,0),"")</f>
        <v/>
      </c>
      <c r="R1037" s="0" t="str">
        <f aca="false">IF(E1037="","",IFERROR(LEFT(E1037,FIND("-",E1037)-1),E1037))</f>
        <v/>
      </c>
      <c r="S1037" s="0" t="str">
        <f aca="false">IF(R1037="","",IF(ISNUMBER(--MID(R1037,1,1)),0,IF(ISNUMBER(--MID(R1037,2,1)),1,IF(ISNUMBER(--MID(R1037,3,1)),2,IF(ISNUMBER(--MID(R1037,4,1)),3,MIN(LEN(R1037),4))))))</f>
        <v/>
      </c>
      <c r="T1037" s="0" t="str">
        <f aca="false">IF(E1037="","",LEFT(R1037,S1037)&amp;REPT("0",4-S1037)&amp;RIGHT("000"&amp;IFERROR(VALUE(MID(R1037,S1037+1,9)),0),3)&amp;RIGHT("0000"&amp;IFERROR(VALUE(MID(E1037,FIND("-",E1037)+1,9)),0),4))</f>
        <v/>
      </c>
      <c r="U1037" s="0" t="str">
        <f aca="false">IF(I1037=1,"K"&amp;RIGHT("00"&amp;A1037,2)&amp;T1037&amp;RIGHT("00000"&amp;ROW(),5),"")</f>
        <v/>
      </c>
      <c r="V1037" s="0" t="str">
        <f aca="false">IF(U1037="","",COUNTIFS($I$2:$I$1201,1,$U$2:$U$1201,"&lt;"&amp;U1037)+1)</f>
        <v/>
      </c>
    </row>
    <row r="1038" customFormat="false" ht="15" hidden="false" customHeight="false" outlineLevel="0" collapsed="false">
      <c r="A1038" s="0" t="n">
        <v>18</v>
      </c>
      <c r="B1038" s="0" t="n">
        <v>17</v>
      </c>
      <c r="C1038" s="0" t="str">
        <f aca="false">TRIM(SUBSTITUTE(INDEX(LISTAS!$A$4:$T$63,B1038,A1038)&amp;"",CHAR(160)," "))</f>
        <v/>
      </c>
      <c r="D1038" s="0" t="str">
        <f aca="false">IF(C1038="","",TRIM(RIGHT(SUBSTITUTE(C1038," ",REPT(" ",100)),100)))</f>
        <v/>
      </c>
      <c r="E1038" s="0" t="str">
        <f aca="false">IF(D1038="","",UPPER(SUBSTITUTE(SUBSTITUTE(D1038,"(",""),")","")))</f>
        <v/>
      </c>
      <c r="F1038" s="0" t="str">
        <f aca="false">IF(C1038="","",LEFT(C1038,FIND(" ",C1038&amp;" ")-1))</f>
        <v/>
      </c>
      <c r="G1038" s="0" t="n">
        <f aca="false">IFERROR(VALUE(SUBSTITUTE(LOWER(F1038),"x","")),0)</f>
        <v>0</v>
      </c>
      <c r="H1038" s="0" t="str">
        <f aca="false">IF(C1038="","",TRIM(MID(C1038,LEN(F1038)+2,999)))</f>
        <v/>
      </c>
      <c r="I1038" s="0" t="n">
        <f aca="false">IF(OR(C1038="",LEFT(C1038,2)="//"),0,IFERROR(IF(AND(G1038&gt;0,G1038=INT(G1038),FIND("-",E1038)&gt;1,NOT(EXACT(UPPER(LEFT(E1038,1)),LOWER(LEFT(E1038,1)))),ISNUMBER(VALUE(MID(E1038,FIND("-",E1038)+1,10)))),1,0),0))</f>
        <v>0</v>
      </c>
      <c r="J1038" s="0" t="str">
        <f aca="false">IF(I1038=1,TRIM(LEFT(H1038,MAX(0,LEN(H1038)-LEN(D1038)))),"")</f>
        <v/>
      </c>
      <c r="K1038" s="0" t="str">
        <f aca="false">INDEX($P$2:$P$21,A1038)</f>
        <v>Deck 18</v>
      </c>
      <c r="L1038" s="0" t="n">
        <f aca="false">IF(AND(C1038&lt;&gt;"",LEFT(C1038,2)&lt;&gt;"//",I1038=0),1,0)</f>
        <v>0</v>
      </c>
      <c r="M1038" s="0" t="str">
        <f aca="false">IF(I1038=1,MAX(M$1:M1037)+1,"")</f>
        <v/>
      </c>
      <c r="N1038" s="0" t="str">
        <f aca="false">IFERROR(MATCH(ROW()-1,$V$2:$V$1201,0),"")</f>
        <v/>
      </c>
      <c r="R1038" s="0" t="str">
        <f aca="false">IF(E1038="","",IFERROR(LEFT(E1038,FIND("-",E1038)-1),E1038))</f>
        <v/>
      </c>
      <c r="S1038" s="0" t="str">
        <f aca="false">IF(R1038="","",IF(ISNUMBER(--MID(R1038,1,1)),0,IF(ISNUMBER(--MID(R1038,2,1)),1,IF(ISNUMBER(--MID(R1038,3,1)),2,IF(ISNUMBER(--MID(R1038,4,1)),3,MIN(LEN(R1038),4))))))</f>
        <v/>
      </c>
      <c r="T1038" s="0" t="str">
        <f aca="false">IF(E1038="","",LEFT(R1038,S1038)&amp;REPT("0",4-S1038)&amp;RIGHT("000"&amp;IFERROR(VALUE(MID(R1038,S1038+1,9)),0),3)&amp;RIGHT("0000"&amp;IFERROR(VALUE(MID(E1038,FIND("-",E1038)+1,9)),0),4))</f>
        <v/>
      </c>
      <c r="U1038" s="0" t="str">
        <f aca="false">IF(I1038=1,"K"&amp;RIGHT("00"&amp;A1038,2)&amp;T1038&amp;RIGHT("00000"&amp;ROW(),5),"")</f>
        <v/>
      </c>
      <c r="V1038" s="0" t="str">
        <f aca="false">IF(U1038="","",COUNTIFS($I$2:$I$1201,1,$U$2:$U$1201,"&lt;"&amp;U1038)+1)</f>
        <v/>
      </c>
    </row>
    <row r="1039" customFormat="false" ht="15" hidden="false" customHeight="false" outlineLevel="0" collapsed="false">
      <c r="A1039" s="0" t="n">
        <v>18</v>
      </c>
      <c r="B1039" s="0" t="n">
        <v>18</v>
      </c>
      <c r="C1039" s="0" t="str">
        <f aca="false">TRIM(SUBSTITUTE(INDEX(LISTAS!$A$4:$T$63,B1039,A1039)&amp;"",CHAR(160)," "))</f>
        <v/>
      </c>
      <c r="D1039" s="0" t="str">
        <f aca="false">IF(C1039="","",TRIM(RIGHT(SUBSTITUTE(C1039," ",REPT(" ",100)),100)))</f>
        <v/>
      </c>
      <c r="E1039" s="0" t="str">
        <f aca="false">IF(D1039="","",UPPER(SUBSTITUTE(SUBSTITUTE(D1039,"(",""),")","")))</f>
        <v/>
      </c>
      <c r="F1039" s="0" t="str">
        <f aca="false">IF(C1039="","",LEFT(C1039,FIND(" ",C1039&amp;" ")-1))</f>
        <v/>
      </c>
      <c r="G1039" s="0" t="n">
        <f aca="false">IFERROR(VALUE(SUBSTITUTE(LOWER(F1039),"x","")),0)</f>
        <v>0</v>
      </c>
      <c r="H1039" s="0" t="str">
        <f aca="false">IF(C1039="","",TRIM(MID(C1039,LEN(F1039)+2,999)))</f>
        <v/>
      </c>
      <c r="I1039" s="0" t="n">
        <f aca="false">IF(OR(C1039="",LEFT(C1039,2)="//"),0,IFERROR(IF(AND(G1039&gt;0,G1039=INT(G1039),FIND("-",E1039)&gt;1,NOT(EXACT(UPPER(LEFT(E1039,1)),LOWER(LEFT(E1039,1)))),ISNUMBER(VALUE(MID(E1039,FIND("-",E1039)+1,10)))),1,0),0))</f>
        <v>0</v>
      </c>
      <c r="J1039" s="0" t="str">
        <f aca="false">IF(I1039=1,TRIM(LEFT(H1039,MAX(0,LEN(H1039)-LEN(D1039)))),"")</f>
        <v/>
      </c>
      <c r="K1039" s="0" t="str">
        <f aca="false">INDEX($P$2:$P$21,A1039)</f>
        <v>Deck 18</v>
      </c>
      <c r="L1039" s="0" t="n">
        <f aca="false">IF(AND(C1039&lt;&gt;"",LEFT(C1039,2)&lt;&gt;"//",I1039=0),1,0)</f>
        <v>0</v>
      </c>
      <c r="M1039" s="0" t="str">
        <f aca="false">IF(I1039=1,MAX(M$1:M1038)+1,"")</f>
        <v/>
      </c>
      <c r="N1039" s="0" t="str">
        <f aca="false">IFERROR(MATCH(ROW()-1,$V$2:$V$1201,0),"")</f>
        <v/>
      </c>
      <c r="R1039" s="0" t="str">
        <f aca="false">IF(E1039="","",IFERROR(LEFT(E1039,FIND("-",E1039)-1),E1039))</f>
        <v/>
      </c>
      <c r="S1039" s="0" t="str">
        <f aca="false">IF(R1039="","",IF(ISNUMBER(--MID(R1039,1,1)),0,IF(ISNUMBER(--MID(R1039,2,1)),1,IF(ISNUMBER(--MID(R1039,3,1)),2,IF(ISNUMBER(--MID(R1039,4,1)),3,MIN(LEN(R1039),4))))))</f>
        <v/>
      </c>
      <c r="T1039" s="0" t="str">
        <f aca="false">IF(E1039="","",LEFT(R1039,S1039)&amp;REPT("0",4-S1039)&amp;RIGHT("000"&amp;IFERROR(VALUE(MID(R1039,S1039+1,9)),0),3)&amp;RIGHT("0000"&amp;IFERROR(VALUE(MID(E1039,FIND("-",E1039)+1,9)),0),4))</f>
        <v/>
      </c>
      <c r="U1039" s="0" t="str">
        <f aca="false">IF(I1039=1,"K"&amp;RIGHT("00"&amp;A1039,2)&amp;T1039&amp;RIGHT("00000"&amp;ROW(),5),"")</f>
        <v/>
      </c>
      <c r="V1039" s="0" t="str">
        <f aca="false">IF(U1039="","",COUNTIFS($I$2:$I$1201,1,$U$2:$U$1201,"&lt;"&amp;U1039)+1)</f>
        <v/>
      </c>
    </row>
    <row r="1040" customFormat="false" ht="15" hidden="false" customHeight="false" outlineLevel="0" collapsed="false">
      <c r="A1040" s="0" t="n">
        <v>18</v>
      </c>
      <c r="B1040" s="0" t="n">
        <v>19</v>
      </c>
      <c r="C1040" s="0" t="str">
        <f aca="false">TRIM(SUBSTITUTE(INDEX(LISTAS!$A$4:$T$63,B1040,A1040)&amp;"",CHAR(160)," "))</f>
        <v/>
      </c>
      <c r="D1040" s="0" t="str">
        <f aca="false">IF(C1040="","",TRIM(RIGHT(SUBSTITUTE(C1040," ",REPT(" ",100)),100)))</f>
        <v/>
      </c>
      <c r="E1040" s="0" t="str">
        <f aca="false">IF(D1040="","",UPPER(SUBSTITUTE(SUBSTITUTE(D1040,"(",""),")","")))</f>
        <v/>
      </c>
      <c r="F1040" s="0" t="str">
        <f aca="false">IF(C1040="","",LEFT(C1040,FIND(" ",C1040&amp;" ")-1))</f>
        <v/>
      </c>
      <c r="G1040" s="0" t="n">
        <f aca="false">IFERROR(VALUE(SUBSTITUTE(LOWER(F1040),"x","")),0)</f>
        <v>0</v>
      </c>
      <c r="H1040" s="0" t="str">
        <f aca="false">IF(C1040="","",TRIM(MID(C1040,LEN(F1040)+2,999)))</f>
        <v/>
      </c>
      <c r="I1040" s="0" t="n">
        <f aca="false">IF(OR(C1040="",LEFT(C1040,2)="//"),0,IFERROR(IF(AND(G1040&gt;0,G1040=INT(G1040),FIND("-",E1040)&gt;1,NOT(EXACT(UPPER(LEFT(E1040,1)),LOWER(LEFT(E1040,1)))),ISNUMBER(VALUE(MID(E1040,FIND("-",E1040)+1,10)))),1,0),0))</f>
        <v>0</v>
      </c>
      <c r="J1040" s="0" t="str">
        <f aca="false">IF(I1040=1,TRIM(LEFT(H1040,MAX(0,LEN(H1040)-LEN(D1040)))),"")</f>
        <v/>
      </c>
      <c r="K1040" s="0" t="str">
        <f aca="false">INDEX($P$2:$P$21,A1040)</f>
        <v>Deck 18</v>
      </c>
      <c r="L1040" s="0" t="n">
        <f aca="false">IF(AND(C1040&lt;&gt;"",LEFT(C1040,2)&lt;&gt;"//",I1040=0),1,0)</f>
        <v>0</v>
      </c>
      <c r="M1040" s="0" t="str">
        <f aca="false">IF(I1040=1,MAX(M$1:M1039)+1,"")</f>
        <v/>
      </c>
      <c r="N1040" s="0" t="str">
        <f aca="false">IFERROR(MATCH(ROW()-1,$V$2:$V$1201,0),"")</f>
        <v/>
      </c>
      <c r="R1040" s="0" t="str">
        <f aca="false">IF(E1040="","",IFERROR(LEFT(E1040,FIND("-",E1040)-1),E1040))</f>
        <v/>
      </c>
      <c r="S1040" s="0" t="str">
        <f aca="false">IF(R1040="","",IF(ISNUMBER(--MID(R1040,1,1)),0,IF(ISNUMBER(--MID(R1040,2,1)),1,IF(ISNUMBER(--MID(R1040,3,1)),2,IF(ISNUMBER(--MID(R1040,4,1)),3,MIN(LEN(R1040),4))))))</f>
        <v/>
      </c>
      <c r="T1040" s="0" t="str">
        <f aca="false">IF(E1040="","",LEFT(R1040,S1040)&amp;REPT("0",4-S1040)&amp;RIGHT("000"&amp;IFERROR(VALUE(MID(R1040,S1040+1,9)),0),3)&amp;RIGHT("0000"&amp;IFERROR(VALUE(MID(E1040,FIND("-",E1040)+1,9)),0),4))</f>
        <v/>
      </c>
      <c r="U1040" s="0" t="str">
        <f aca="false">IF(I1040=1,"K"&amp;RIGHT("00"&amp;A1040,2)&amp;T1040&amp;RIGHT("00000"&amp;ROW(),5),"")</f>
        <v/>
      </c>
      <c r="V1040" s="0" t="str">
        <f aca="false">IF(U1040="","",COUNTIFS($I$2:$I$1201,1,$U$2:$U$1201,"&lt;"&amp;U1040)+1)</f>
        <v/>
      </c>
    </row>
    <row r="1041" customFormat="false" ht="15" hidden="false" customHeight="false" outlineLevel="0" collapsed="false">
      <c r="A1041" s="0" t="n">
        <v>18</v>
      </c>
      <c r="B1041" s="0" t="n">
        <v>20</v>
      </c>
      <c r="C1041" s="0" t="str">
        <f aca="false">TRIM(SUBSTITUTE(INDEX(LISTAS!$A$4:$T$63,B1041,A1041)&amp;"",CHAR(160)," "))</f>
        <v/>
      </c>
      <c r="D1041" s="0" t="str">
        <f aca="false">IF(C1041="","",TRIM(RIGHT(SUBSTITUTE(C1041," ",REPT(" ",100)),100)))</f>
        <v/>
      </c>
      <c r="E1041" s="0" t="str">
        <f aca="false">IF(D1041="","",UPPER(SUBSTITUTE(SUBSTITUTE(D1041,"(",""),")","")))</f>
        <v/>
      </c>
      <c r="F1041" s="0" t="str">
        <f aca="false">IF(C1041="","",LEFT(C1041,FIND(" ",C1041&amp;" ")-1))</f>
        <v/>
      </c>
      <c r="G1041" s="0" t="n">
        <f aca="false">IFERROR(VALUE(SUBSTITUTE(LOWER(F1041),"x","")),0)</f>
        <v>0</v>
      </c>
      <c r="H1041" s="0" t="str">
        <f aca="false">IF(C1041="","",TRIM(MID(C1041,LEN(F1041)+2,999)))</f>
        <v/>
      </c>
      <c r="I1041" s="0" t="n">
        <f aca="false">IF(OR(C1041="",LEFT(C1041,2)="//"),0,IFERROR(IF(AND(G1041&gt;0,G1041=INT(G1041),FIND("-",E1041)&gt;1,NOT(EXACT(UPPER(LEFT(E1041,1)),LOWER(LEFT(E1041,1)))),ISNUMBER(VALUE(MID(E1041,FIND("-",E1041)+1,10)))),1,0),0))</f>
        <v>0</v>
      </c>
      <c r="J1041" s="0" t="str">
        <f aca="false">IF(I1041=1,TRIM(LEFT(H1041,MAX(0,LEN(H1041)-LEN(D1041)))),"")</f>
        <v/>
      </c>
      <c r="K1041" s="0" t="str">
        <f aca="false">INDEX($P$2:$P$21,A1041)</f>
        <v>Deck 18</v>
      </c>
      <c r="L1041" s="0" t="n">
        <f aca="false">IF(AND(C1041&lt;&gt;"",LEFT(C1041,2)&lt;&gt;"//",I1041=0),1,0)</f>
        <v>0</v>
      </c>
      <c r="M1041" s="0" t="str">
        <f aca="false">IF(I1041=1,MAX(M$1:M1040)+1,"")</f>
        <v/>
      </c>
      <c r="N1041" s="0" t="str">
        <f aca="false">IFERROR(MATCH(ROW()-1,$V$2:$V$1201,0),"")</f>
        <v/>
      </c>
      <c r="R1041" s="0" t="str">
        <f aca="false">IF(E1041="","",IFERROR(LEFT(E1041,FIND("-",E1041)-1),E1041))</f>
        <v/>
      </c>
      <c r="S1041" s="0" t="str">
        <f aca="false">IF(R1041="","",IF(ISNUMBER(--MID(R1041,1,1)),0,IF(ISNUMBER(--MID(R1041,2,1)),1,IF(ISNUMBER(--MID(R1041,3,1)),2,IF(ISNUMBER(--MID(R1041,4,1)),3,MIN(LEN(R1041),4))))))</f>
        <v/>
      </c>
      <c r="T1041" s="0" t="str">
        <f aca="false">IF(E1041="","",LEFT(R1041,S1041)&amp;REPT("0",4-S1041)&amp;RIGHT("000"&amp;IFERROR(VALUE(MID(R1041,S1041+1,9)),0),3)&amp;RIGHT("0000"&amp;IFERROR(VALUE(MID(E1041,FIND("-",E1041)+1,9)),0),4))</f>
        <v/>
      </c>
      <c r="U1041" s="0" t="str">
        <f aca="false">IF(I1041=1,"K"&amp;RIGHT("00"&amp;A1041,2)&amp;T1041&amp;RIGHT("00000"&amp;ROW(),5),"")</f>
        <v/>
      </c>
      <c r="V1041" s="0" t="str">
        <f aca="false">IF(U1041="","",COUNTIFS($I$2:$I$1201,1,$U$2:$U$1201,"&lt;"&amp;U1041)+1)</f>
        <v/>
      </c>
    </row>
    <row r="1042" customFormat="false" ht="15" hidden="false" customHeight="false" outlineLevel="0" collapsed="false">
      <c r="A1042" s="0" t="n">
        <v>18</v>
      </c>
      <c r="B1042" s="0" t="n">
        <v>21</v>
      </c>
      <c r="C1042" s="0" t="str">
        <f aca="false">TRIM(SUBSTITUTE(INDEX(LISTAS!$A$4:$T$63,B1042,A1042)&amp;"",CHAR(160)," "))</f>
        <v/>
      </c>
      <c r="D1042" s="0" t="str">
        <f aca="false">IF(C1042="","",TRIM(RIGHT(SUBSTITUTE(C1042," ",REPT(" ",100)),100)))</f>
        <v/>
      </c>
      <c r="E1042" s="0" t="str">
        <f aca="false">IF(D1042="","",UPPER(SUBSTITUTE(SUBSTITUTE(D1042,"(",""),")","")))</f>
        <v/>
      </c>
      <c r="F1042" s="0" t="str">
        <f aca="false">IF(C1042="","",LEFT(C1042,FIND(" ",C1042&amp;" ")-1))</f>
        <v/>
      </c>
      <c r="G1042" s="0" t="n">
        <f aca="false">IFERROR(VALUE(SUBSTITUTE(LOWER(F1042),"x","")),0)</f>
        <v>0</v>
      </c>
      <c r="H1042" s="0" t="str">
        <f aca="false">IF(C1042="","",TRIM(MID(C1042,LEN(F1042)+2,999)))</f>
        <v/>
      </c>
      <c r="I1042" s="0" t="n">
        <f aca="false">IF(OR(C1042="",LEFT(C1042,2)="//"),0,IFERROR(IF(AND(G1042&gt;0,G1042=INT(G1042),FIND("-",E1042)&gt;1,NOT(EXACT(UPPER(LEFT(E1042,1)),LOWER(LEFT(E1042,1)))),ISNUMBER(VALUE(MID(E1042,FIND("-",E1042)+1,10)))),1,0),0))</f>
        <v>0</v>
      </c>
      <c r="J1042" s="0" t="str">
        <f aca="false">IF(I1042=1,TRIM(LEFT(H1042,MAX(0,LEN(H1042)-LEN(D1042)))),"")</f>
        <v/>
      </c>
      <c r="K1042" s="0" t="str">
        <f aca="false">INDEX($P$2:$P$21,A1042)</f>
        <v>Deck 18</v>
      </c>
      <c r="L1042" s="0" t="n">
        <f aca="false">IF(AND(C1042&lt;&gt;"",LEFT(C1042,2)&lt;&gt;"//",I1042=0),1,0)</f>
        <v>0</v>
      </c>
      <c r="M1042" s="0" t="str">
        <f aca="false">IF(I1042=1,MAX(M$1:M1041)+1,"")</f>
        <v/>
      </c>
      <c r="N1042" s="0" t="str">
        <f aca="false">IFERROR(MATCH(ROW()-1,$V$2:$V$1201,0),"")</f>
        <v/>
      </c>
      <c r="R1042" s="0" t="str">
        <f aca="false">IF(E1042="","",IFERROR(LEFT(E1042,FIND("-",E1042)-1),E1042))</f>
        <v/>
      </c>
      <c r="S1042" s="0" t="str">
        <f aca="false">IF(R1042="","",IF(ISNUMBER(--MID(R1042,1,1)),0,IF(ISNUMBER(--MID(R1042,2,1)),1,IF(ISNUMBER(--MID(R1042,3,1)),2,IF(ISNUMBER(--MID(R1042,4,1)),3,MIN(LEN(R1042),4))))))</f>
        <v/>
      </c>
      <c r="T1042" s="0" t="str">
        <f aca="false">IF(E1042="","",LEFT(R1042,S1042)&amp;REPT("0",4-S1042)&amp;RIGHT("000"&amp;IFERROR(VALUE(MID(R1042,S1042+1,9)),0),3)&amp;RIGHT("0000"&amp;IFERROR(VALUE(MID(E1042,FIND("-",E1042)+1,9)),0),4))</f>
        <v/>
      </c>
      <c r="U1042" s="0" t="str">
        <f aca="false">IF(I1042=1,"K"&amp;RIGHT("00"&amp;A1042,2)&amp;T1042&amp;RIGHT("00000"&amp;ROW(),5),"")</f>
        <v/>
      </c>
      <c r="V1042" s="0" t="str">
        <f aca="false">IF(U1042="","",COUNTIFS($I$2:$I$1201,1,$U$2:$U$1201,"&lt;"&amp;U1042)+1)</f>
        <v/>
      </c>
    </row>
    <row r="1043" customFormat="false" ht="15" hidden="false" customHeight="false" outlineLevel="0" collapsed="false">
      <c r="A1043" s="0" t="n">
        <v>18</v>
      </c>
      <c r="B1043" s="0" t="n">
        <v>22</v>
      </c>
      <c r="C1043" s="0" t="str">
        <f aca="false">TRIM(SUBSTITUTE(INDEX(LISTAS!$A$4:$T$63,B1043,A1043)&amp;"",CHAR(160)," "))</f>
        <v/>
      </c>
      <c r="D1043" s="0" t="str">
        <f aca="false">IF(C1043="","",TRIM(RIGHT(SUBSTITUTE(C1043," ",REPT(" ",100)),100)))</f>
        <v/>
      </c>
      <c r="E1043" s="0" t="str">
        <f aca="false">IF(D1043="","",UPPER(SUBSTITUTE(SUBSTITUTE(D1043,"(",""),")","")))</f>
        <v/>
      </c>
      <c r="F1043" s="0" t="str">
        <f aca="false">IF(C1043="","",LEFT(C1043,FIND(" ",C1043&amp;" ")-1))</f>
        <v/>
      </c>
      <c r="G1043" s="0" t="n">
        <f aca="false">IFERROR(VALUE(SUBSTITUTE(LOWER(F1043),"x","")),0)</f>
        <v>0</v>
      </c>
      <c r="H1043" s="0" t="str">
        <f aca="false">IF(C1043="","",TRIM(MID(C1043,LEN(F1043)+2,999)))</f>
        <v/>
      </c>
      <c r="I1043" s="0" t="n">
        <f aca="false">IF(OR(C1043="",LEFT(C1043,2)="//"),0,IFERROR(IF(AND(G1043&gt;0,G1043=INT(G1043),FIND("-",E1043)&gt;1,NOT(EXACT(UPPER(LEFT(E1043,1)),LOWER(LEFT(E1043,1)))),ISNUMBER(VALUE(MID(E1043,FIND("-",E1043)+1,10)))),1,0),0))</f>
        <v>0</v>
      </c>
      <c r="J1043" s="0" t="str">
        <f aca="false">IF(I1043=1,TRIM(LEFT(H1043,MAX(0,LEN(H1043)-LEN(D1043)))),"")</f>
        <v/>
      </c>
      <c r="K1043" s="0" t="str">
        <f aca="false">INDEX($P$2:$P$21,A1043)</f>
        <v>Deck 18</v>
      </c>
      <c r="L1043" s="0" t="n">
        <f aca="false">IF(AND(C1043&lt;&gt;"",LEFT(C1043,2)&lt;&gt;"//",I1043=0),1,0)</f>
        <v>0</v>
      </c>
      <c r="M1043" s="0" t="str">
        <f aca="false">IF(I1043=1,MAX(M$1:M1042)+1,"")</f>
        <v/>
      </c>
      <c r="N1043" s="0" t="str">
        <f aca="false">IFERROR(MATCH(ROW()-1,$V$2:$V$1201,0),"")</f>
        <v/>
      </c>
      <c r="R1043" s="0" t="str">
        <f aca="false">IF(E1043="","",IFERROR(LEFT(E1043,FIND("-",E1043)-1),E1043))</f>
        <v/>
      </c>
      <c r="S1043" s="0" t="str">
        <f aca="false">IF(R1043="","",IF(ISNUMBER(--MID(R1043,1,1)),0,IF(ISNUMBER(--MID(R1043,2,1)),1,IF(ISNUMBER(--MID(R1043,3,1)),2,IF(ISNUMBER(--MID(R1043,4,1)),3,MIN(LEN(R1043),4))))))</f>
        <v/>
      </c>
      <c r="T1043" s="0" t="str">
        <f aca="false">IF(E1043="","",LEFT(R1043,S1043)&amp;REPT("0",4-S1043)&amp;RIGHT("000"&amp;IFERROR(VALUE(MID(R1043,S1043+1,9)),0),3)&amp;RIGHT("0000"&amp;IFERROR(VALUE(MID(E1043,FIND("-",E1043)+1,9)),0),4))</f>
        <v/>
      </c>
      <c r="U1043" s="0" t="str">
        <f aca="false">IF(I1043=1,"K"&amp;RIGHT("00"&amp;A1043,2)&amp;T1043&amp;RIGHT("00000"&amp;ROW(),5),"")</f>
        <v/>
      </c>
      <c r="V1043" s="0" t="str">
        <f aca="false">IF(U1043="","",COUNTIFS($I$2:$I$1201,1,$U$2:$U$1201,"&lt;"&amp;U1043)+1)</f>
        <v/>
      </c>
    </row>
    <row r="1044" customFormat="false" ht="15" hidden="false" customHeight="false" outlineLevel="0" collapsed="false">
      <c r="A1044" s="0" t="n">
        <v>18</v>
      </c>
      <c r="B1044" s="0" t="n">
        <v>23</v>
      </c>
      <c r="C1044" s="0" t="str">
        <f aca="false">TRIM(SUBSTITUTE(INDEX(LISTAS!$A$4:$T$63,B1044,A1044)&amp;"",CHAR(160)," "))</f>
        <v/>
      </c>
      <c r="D1044" s="0" t="str">
        <f aca="false">IF(C1044="","",TRIM(RIGHT(SUBSTITUTE(C1044," ",REPT(" ",100)),100)))</f>
        <v/>
      </c>
      <c r="E1044" s="0" t="str">
        <f aca="false">IF(D1044="","",UPPER(SUBSTITUTE(SUBSTITUTE(D1044,"(",""),")","")))</f>
        <v/>
      </c>
      <c r="F1044" s="0" t="str">
        <f aca="false">IF(C1044="","",LEFT(C1044,FIND(" ",C1044&amp;" ")-1))</f>
        <v/>
      </c>
      <c r="G1044" s="0" t="n">
        <f aca="false">IFERROR(VALUE(SUBSTITUTE(LOWER(F1044),"x","")),0)</f>
        <v>0</v>
      </c>
      <c r="H1044" s="0" t="str">
        <f aca="false">IF(C1044="","",TRIM(MID(C1044,LEN(F1044)+2,999)))</f>
        <v/>
      </c>
      <c r="I1044" s="0" t="n">
        <f aca="false">IF(OR(C1044="",LEFT(C1044,2)="//"),0,IFERROR(IF(AND(G1044&gt;0,G1044=INT(G1044),FIND("-",E1044)&gt;1,NOT(EXACT(UPPER(LEFT(E1044,1)),LOWER(LEFT(E1044,1)))),ISNUMBER(VALUE(MID(E1044,FIND("-",E1044)+1,10)))),1,0),0))</f>
        <v>0</v>
      </c>
      <c r="J1044" s="0" t="str">
        <f aca="false">IF(I1044=1,TRIM(LEFT(H1044,MAX(0,LEN(H1044)-LEN(D1044)))),"")</f>
        <v/>
      </c>
      <c r="K1044" s="0" t="str">
        <f aca="false">INDEX($P$2:$P$21,A1044)</f>
        <v>Deck 18</v>
      </c>
      <c r="L1044" s="0" t="n">
        <f aca="false">IF(AND(C1044&lt;&gt;"",LEFT(C1044,2)&lt;&gt;"//",I1044=0),1,0)</f>
        <v>0</v>
      </c>
      <c r="M1044" s="0" t="str">
        <f aca="false">IF(I1044=1,MAX(M$1:M1043)+1,"")</f>
        <v/>
      </c>
      <c r="N1044" s="0" t="str">
        <f aca="false">IFERROR(MATCH(ROW()-1,$V$2:$V$1201,0),"")</f>
        <v/>
      </c>
      <c r="R1044" s="0" t="str">
        <f aca="false">IF(E1044="","",IFERROR(LEFT(E1044,FIND("-",E1044)-1),E1044))</f>
        <v/>
      </c>
      <c r="S1044" s="0" t="str">
        <f aca="false">IF(R1044="","",IF(ISNUMBER(--MID(R1044,1,1)),0,IF(ISNUMBER(--MID(R1044,2,1)),1,IF(ISNUMBER(--MID(R1044,3,1)),2,IF(ISNUMBER(--MID(R1044,4,1)),3,MIN(LEN(R1044),4))))))</f>
        <v/>
      </c>
      <c r="T1044" s="0" t="str">
        <f aca="false">IF(E1044="","",LEFT(R1044,S1044)&amp;REPT("0",4-S1044)&amp;RIGHT("000"&amp;IFERROR(VALUE(MID(R1044,S1044+1,9)),0),3)&amp;RIGHT("0000"&amp;IFERROR(VALUE(MID(E1044,FIND("-",E1044)+1,9)),0),4))</f>
        <v/>
      </c>
      <c r="U1044" s="0" t="str">
        <f aca="false">IF(I1044=1,"K"&amp;RIGHT("00"&amp;A1044,2)&amp;T1044&amp;RIGHT("00000"&amp;ROW(),5),"")</f>
        <v/>
      </c>
      <c r="V1044" s="0" t="str">
        <f aca="false">IF(U1044="","",COUNTIFS($I$2:$I$1201,1,$U$2:$U$1201,"&lt;"&amp;U1044)+1)</f>
        <v/>
      </c>
    </row>
    <row r="1045" customFormat="false" ht="15" hidden="false" customHeight="false" outlineLevel="0" collapsed="false">
      <c r="A1045" s="0" t="n">
        <v>18</v>
      </c>
      <c r="B1045" s="0" t="n">
        <v>24</v>
      </c>
      <c r="C1045" s="0" t="str">
        <f aca="false">TRIM(SUBSTITUTE(INDEX(LISTAS!$A$4:$T$63,B1045,A1045)&amp;"",CHAR(160)," "))</f>
        <v/>
      </c>
      <c r="D1045" s="0" t="str">
        <f aca="false">IF(C1045="","",TRIM(RIGHT(SUBSTITUTE(C1045," ",REPT(" ",100)),100)))</f>
        <v/>
      </c>
      <c r="E1045" s="0" t="str">
        <f aca="false">IF(D1045="","",UPPER(SUBSTITUTE(SUBSTITUTE(D1045,"(",""),")","")))</f>
        <v/>
      </c>
      <c r="F1045" s="0" t="str">
        <f aca="false">IF(C1045="","",LEFT(C1045,FIND(" ",C1045&amp;" ")-1))</f>
        <v/>
      </c>
      <c r="G1045" s="0" t="n">
        <f aca="false">IFERROR(VALUE(SUBSTITUTE(LOWER(F1045),"x","")),0)</f>
        <v>0</v>
      </c>
      <c r="H1045" s="0" t="str">
        <f aca="false">IF(C1045="","",TRIM(MID(C1045,LEN(F1045)+2,999)))</f>
        <v/>
      </c>
      <c r="I1045" s="0" t="n">
        <f aca="false">IF(OR(C1045="",LEFT(C1045,2)="//"),0,IFERROR(IF(AND(G1045&gt;0,G1045=INT(G1045),FIND("-",E1045)&gt;1,NOT(EXACT(UPPER(LEFT(E1045,1)),LOWER(LEFT(E1045,1)))),ISNUMBER(VALUE(MID(E1045,FIND("-",E1045)+1,10)))),1,0),0))</f>
        <v>0</v>
      </c>
      <c r="J1045" s="0" t="str">
        <f aca="false">IF(I1045=1,TRIM(LEFT(H1045,MAX(0,LEN(H1045)-LEN(D1045)))),"")</f>
        <v/>
      </c>
      <c r="K1045" s="0" t="str">
        <f aca="false">INDEX($P$2:$P$21,A1045)</f>
        <v>Deck 18</v>
      </c>
      <c r="L1045" s="0" t="n">
        <f aca="false">IF(AND(C1045&lt;&gt;"",LEFT(C1045,2)&lt;&gt;"//",I1045=0),1,0)</f>
        <v>0</v>
      </c>
      <c r="M1045" s="0" t="str">
        <f aca="false">IF(I1045=1,MAX(M$1:M1044)+1,"")</f>
        <v/>
      </c>
      <c r="N1045" s="0" t="str">
        <f aca="false">IFERROR(MATCH(ROW()-1,$V$2:$V$1201,0),"")</f>
        <v/>
      </c>
      <c r="R1045" s="0" t="str">
        <f aca="false">IF(E1045="","",IFERROR(LEFT(E1045,FIND("-",E1045)-1),E1045))</f>
        <v/>
      </c>
      <c r="S1045" s="0" t="str">
        <f aca="false">IF(R1045="","",IF(ISNUMBER(--MID(R1045,1,1)),0,IF(ISNUMBER(--MID(R1045,2,1)),1,IF(ISNUMBER(--MID(R1045,3,1)),2,IF(ISNUMBER(--MID(R1045,4,1)),3,MIN(LEN(R1045),4))))))</f>
        <v/>
      </c>
      <c r="T1045" s="0" t="str">
        <f aca="false">IF(E1045="","",LEFT(R1045,S1045)&amp;REPT("0",4-S1045)&amp;RIGHT("000"&amp;IFERROR(VALUE(MID(R1045,S1045+1,9)),0),3)&amp;RIGHT("0000"&amp;IFERROR(VALUE(MID(E1045,FIND("-",E1045)+1,9)),0),4))</f>
        <v/>
      </c>
      <c r="U1045" s="0" t="str">
        <f aca="false">IF(I1045=1,"K"&amp;RIGHT("00"&amp;A1045,2)&amp;T1045&amp;RIGHT("00000"&amp;ROW(),5),"")</f>
        <v/>
      </c>
      <c r="V1045" s="0" t="str">
        <f aca="false">IF(U1045="","",COUNTIFS($I$2:$I$1201,1,$U$2:$U$1201,"&lt;"&amp;U1045)+1)</f>
        <v/>
      </c>
    </row>
    <row r="1046" customFormat="false" ht="15" hidden="false" customHeight="false" outlineLevel="0" collapsed="false">
      <c r="A1046" s="0" t="n">
        <v>18</v>
      </c>
      <c r="B1046" s="0" t="n">
        <v>25</v>
      </c>
      <c r="C1046" s="0" t="str">
        <f aca="false">TRIM(SUBSTITUTE(INDEX(LISTAS!$A$4:$T$63,B1046,A1046)&amp;"",CHAR(160)," "))</f>
        <v/>
      </c>
      <c r="D1046" s="0" t="str">
        <f aca="false">IF(C1046="","",TRIM(RIGHT(SUBSTITUTE(C1046," ",REPT(" ",100)),100)))</f>
        <v/>
      </c>
      <c r="E1046" s="0" t="str">
        <f aca="false">IF(D1046="","",UPPER(SUBSTITUTE(SUBSTITUTE(D1046,"(",""),")","")))</f>
        <v/>
      </c>
      <c r="F1046" s="0" t="str">
        <f aca="false">IF(C1046="","",LEFT(C1046,FIND(" ",C1046&amp;" ")-1))</f>
        <v/>
      </c>
      <c r="G1046" s="0" t="n">
        <f aca="false">IFERROR(VALUE(SUBSTITUTE(LOWER(F1046),"x","")),0)</f>
        <v>0</v>
      </c>
      <c r="H1046" s="0" t="str">
        <f aca="false">IF(C1046="","",TRIM(MID(C1046,LEN(F1046)+2,999)))</f>
        <v/>
      </c>
      <c r="I1046" s="0" t="n">
        <f aca="false">IF(OR(C1046="",LEFT(C1046,2)="//"),0,IFERROR(IF(AND(G1046&gt;0,G1046=INT(G1046),FIND("-",E1046)&gt;1,NOT(EXACT(UPPER(LEFT(E1046,1)),LOWER(LEFT(E1046,1)))),ISNUMBER(VALUE(MID(E1046,FIND("-",E1046)+1,10)))),1,0),0))</f>
        <v>0</v>
      </c>
      <c r="J1046" s="0" t="str">
        <f aca="false">IF(I1046=1,TRIM(LEFT(H1046,MAX(0,LEN(H1046)-LEN(D1046)))),"")</f>
        <v/>
      </c>
      <c r="K1046" s="0" t="str">
        <f aca="false">INDEX($P$2:$P$21,A1046)</f>
        <v>Deck 18</v>
      </c>
      <c r="L1046" s="0" t="n">
        <f aca="false">IF(AND(C1046&lt;&gt;"",LEFT(C1046,2)&lt;&gt;"//",I1046=0),1,0)</f>
        <v>0</v>
      </c>
      <c r="M1046" s="0" t="str">
        <f aca="false">IF(I1046=1,MAX(M$1:M1045)+1,"")</f>
        <v/>
      </c>
      <c r="N1046" s="0" t="str">
        <f aca="false">IFERROR(MATCH(ROW()-1,$V$2:$V$1201,0),"")</f>
        <v/>
      </c>
      <c r="R1046" s="0" t="str">
        <f aca="false">IF(E1046="","",IFERROR(LEFT(E1046,FIND("-",E1046)-1),E1046))</f>
        <v/>
      </c>
      <c r="S1046" s="0" t="str">
        <f aca="false">IF(R1046="","",IF(ISNUMBER(--MID(R1046,1,1)),0,IF(ISNUMBER(--MID(R1046,2,1)),1,IF(ISNUMBER(--MID(R1046,3,1)),2,IF(ISNUMBER(--MID(R1046,4,1)),3,MIN(LEN(R1046),4))))))</f>
        <v/>
      </c>
      <c r="T1046" s="0" t="str">
        <f aca="false">IF(E1046="","",LEFT(R1046,S1046)&amp;REPT("0",4-S1046)&amp;RIGHT("000"&amp;IFERROR(VALUE(MID(R1046,S1046+1,9)),0),3)&amp;RIGHT("0000"&amp;IFERROR(VALUE(MID(E1046,FIND("-",E1046)+1,9)),0),4))</f>
        <v/>
      </c>
      <c r="U1046" s="0" t="str">
        <f aca="false">IF(I1046=1,"K"&amp;RIGHT("00"&amp;A1046,2)&amp;T1046&amp;RIGHT("00000"&amp;ROW(),5),"")</f>
        <v/>
      </c>
      <c r="V1046" s="0" t="str">
        <f aca="false">IF(U1046="","",COUNTIFS($I$2:$I$1201,1,$U$2:$U$1201,"&lt;"&amp;U1046)+1)</f>
        <v/>
      </c>
    </row>
    <row r="1047" customFormat="false" ht="15" hidden="false" customHeight="false" outlineLevel="0" collapsed="false">
      <c r="A1047" s="0" t="n">
        <v>18</v>
      </c>
      <c r="B1047" s="0" t="n">
        <v>26</v>
      </c>
      <c r="C1047" s="0" t="str">
        <f aca="false">TRIM(SUBSTITUTE(INDEX(LISTAS!$A$4:$T$63,B1047,A1047)&amp;"",CHAR(160)," "))</f>
        <v/>
      </c>
      <c r="D1047" s="0" t="str">
        <f aca="false">IF(C1047="","",TRIM(RIGHT(SUBSTITUTE(C1047," ",REPT(" ",100)),100)))</f>
        <v/>
      </c>
      <c r="E1047" s="0" t="str">
        <f aca="false">IF(D1047="","",UPPER(SUBSTITUTE(SUBSTITUTE(D1047,"(",""),")","")))</f>
        <v/>
      </c>
      <c r="F1047" s="0" t="str">
        <f aca="false">IF(C1047="","",LEFT(C1047,FIND(" ",C1047&amp;" ")-1))</f>
        <v/>
      </c>
      <c r="G1047" s="0" t="n">
        <f aca="false">IFERROR(VALUE(SUBSTITUTE(LOWER(F1047),"x","")),0)</f>
        <v>0</v>
      </c>
      <c r="H1047" s="0" t="str">
        <f aca="false">IF(C1047="","",TRIM(MID(C1047,LEN(F1047)+2,999)))</f>
        <v/>
      </c>
      <c r="I1047" s="0" t="n">
        <f aca="false">IF(OR(C1047="",LEFT(C1047,2)="//"),0,IFERROR(IF(AND(G1047&gt;0,G1047=INT(G1047),FIND("-",E1047)&gt;1,NOT(EXACT(UPPER(LEFT(E1047,1)),LOWER(LEFT(E1047,1)))),ISNUMBER(VALUE(MID(E1047,FIND("-",E1047)+1,10)))),1,0),0))</f>
        <v>0</v>
      </c>
      <c r="J1047" s="0" t="str">
        <f aca="false">IF(I1047=1,TRIM(LEFT(H1047,MAX(0,LEN(H1047)-LEN(D1047)))),"")</f>
        <v/>
      </c>
      <c r="K1047" s="0" t="str">
        <f aca="false">INDEX($P$2:$P$21,A1047)</f>
        <v>Deck 18</v>
      </c>
      <c r="L1047" s="0" t="n">
        <f aca="false">IF(AND(C1047&lt;&gt;"",LEFT(C1047,2)&lt;&gt;"//",I1047=0),1,0)</f>
        <v>0</v>
      </c>
      <c r="M1047" s="0" t="str">
        <f aca="false">IF(I1047=1,MAX(M$1:M1046)+1,"")</f>
        <v/>
      </c>
      <c r="N1047" s="0" t="str">
        <f aca="false">IFERROR(MATCH(ROW()-1,$V$2:$V$1201,0),"")</f>
        <v/>
      </c>
      <c r="R1047" s="0" t="str">
        <f aca="false">IF(E1047="","",IFERROR(LEFT(E1047,FIND("-",E1047)-1),E1047))</f>
        <v/>
      </c>
      <c r="S1047" s="0" t="str">
        <f aca="false">IF(R1047="","",IF(ISNUMBER(--MID(R1047,1,1)),0,IF(ISNUMBER(--MID(R1047,2,1)),1,IF(ISNUMBER(--MID(R1047,3,1)),2,IF(ISNUMBER(--MID(R1047,4,1)),3,MIN(LEN(R1047),4))))))</f>
        <v/>
      </c>
      <c r="T1047" s="0" t="str">
        <f aca="false">IF(E1047="","",LEFT(R1047,S1047)&amp;REPT("0",4-S1047)&amp;RIGHT("000"&amp;IFERROR(VALUE(MID(R1047,S1047+1,9)),0),3)&amp;RIGHT("0000"&amp;IFERROR(VALUE(MID(E1047,FIND("-",E1047)+1,9)),0),4))</f>
        <v/>
      </c>
      <c r="U1047" s="0" t="str">
        <f aca="false">IF(I1047=1,"K"&amp;RIGHT("00"&amp;A1047,2)&amp;T1047&amp;RIGHT("00000"&amp;ROW(),5),"")</f>
        <v/>
      </c>
      <c r="V1047" s="0" t="str">
        <f aca="false">IF(U1047="","",COUNTIFS($I$2:$I$1201,1,$U$2:$U$1201,"&lt;"&amp;U1047)+1)</f>
        <v/>
      </c>
    </row>
    <row r="1048" customFormat="false" ht="15" hidden="false" customHeight="false" outlineLevel="0" collapsed="false">
      <c r="A1048" s="0" t="n">
        <v>18</v>
      </c>
      <c r="B1048" s="0" t="n">
        <v>27</v>
      </c>
      <c r="C1048" s="0" t="str">
        <f aca="false">TRIM(SUBSTITUTE(INDEX(LISTAS!$A$4:$T$63,B1048,A1048)&amp;"",CHAR(160)," "))</f>
        <v/>
      </c>
      <c r="D1048" s="0" t="str">
        <f aca="false">IF(C1048="","",TRIM(RIGHT(SUBSTITUTE(C1048," ",REPT(" ",100)),100)))</f>
        <v/>
      </c>
      <c r="E1048" s="0" t="str">
        <f aca="false">IF(D1048="","",UPPER(SUBSTITUTE(SUBSTITUTE(D1048,"(",""),")","")))</f>
        <v/>
      </c>
      <c r="F1048" s="0" t="str">
        <f aca="false">IF(C1048="","",LEFT(C1048,FIND(" ",C1048&amp;" ")-1))</f>
        <v/>
      </c>
      <c r="G1048" s="0" t="n">
        <f aca="false">IFERROR(VALUE(SUBSTITUTE(LOWER(F1048),"x","")),0)</f>
        <v>0</v>
      </c>
      <c r="H1048" s="0" t="str">
        <f aca="false">IF(C1048="","",TRIM(MID(C1048,LEN(F1048)+2,999)))</f>
        <v/>
      </c>
      <c r="I1048" s="0" t="n">
        <f aca="false">IF(OR(C1048="",LEFT(C1048,2)="//"),0,IFERROR(IF(AND(G1048&gt;0,G1048=INT(G1048),FIND("-",E1048)&gt;1,NOT(EXACT(UPPER(LEFT(E1048,1)),LOWER(LEFT(E1048,1)))),ISNUMBER(VALUE(MID(E1048,FIND("-",E1048)+1,10)))),1,0),0))</f>
        <v>0</v>
      </c>
      <c r="J1048" s="0" t="str">
        <f aca="false">IF(I1048=1,TRIM(LEFT(H1048,MAX(0,LEN(H1048)-LEN(D1048)))),"")</f>
        <v/>
      </c>
      <c r="K1048" s="0" t="str">
        <f aca="false">INDEX($P$2:$P$21,A1048)</f>
        <v>Deck 18</v>
      </c>
      <c r="L1048" s="0" t="n">
        <f aca="false">IF(AND(C1048&lt;&gt;"",LEFT(C1048,2)&lt;&gt;"//",I1048=0),1,0)</f>
        <v>0</v>
      </c>
      <c r="M1048" s="0" t="str">
        <f aca="false">IF(I1048=1,MAX(M$1:M1047)+1,"")</f>
        <v/>
      </c>
      <c r="N1048" s="0" t="str">
        <f aca="false">IFERROR(MATCH(ROW()-1,$V$2:$V$1201,0),"")</f>
        <v/>
      </c>
      <c r="R1048" s="0" t="str">
        <f aca="false">IF(E1048="","",IFERROR(LEFT(E1048,FIND("-",E1048)-1),E1048))</f>
        <v/>
      </c>
      <c r="S1048" s="0" t="str">
        <f aca="false">IF(R1048="","",IF(ISNUMBER(--MID(R1048,1,1)),0,IF(ISNUMBER(--MID(R1048,2,1)),1,IF(ISNUMBER(--MID(R1048,3,1)),2,IF(ISNUMBER(--MID(R1048,4,1)),3,MIN(LEN(R1048),4))))))</f>
        <v/>
      </c>
      <c r="T1048" s="0" t="str">
        <f aca="false">IF(E1048="","",LEFT(R1048,S1048)&amp;REPT("0",4-S1048)&amp;RIGHT("000"&amp;IFERROR(VALUE(MID(R1048,S1048+1,9)),0),3)&amp;RIGHT("0000"&amp;IFERROR(VALUE(MID(E1048,FIND("-",E1048)+1,9)),0),4))</f>
        <v/>
      </c>
      <c r="U1048" s="0" t="str">
        <f aca="false">IF(I1048=1,"K"&amp;RIGHT("00"&amp;A1048,2)&amp;T1048&amp;RIGHT("00000"&amp;ROW(),5),"")</f>
        <v/>
      </c>
      <c r="V1048" s="0" t="str">
        <f aca="false">IF(U1048="","",COUNTIFS($I$2:$I$1201,1,$U$2:$U$1201,"&lt;"&amp;U1048)+1)</f>
        <v/>
      </c>
    </row>
    <row r="1049" customFormat="false" ht="15" hidden="false" customHeight="false" outlineLevel="0" collapsed="false">
      <c r="A1049" s="0" t="n">
        <v>18</v>
      </c>
      <c r="B1049" s="0" t="n">
        <v>28</v>
      </c>
      <c r="C1049" s="0" t="str">
        <f aca="false">TRIM(SUBSTITUTE(INDEX(LISTAS!$A$4:$T$63,B1049,A1049)&amp;"",CHAR(160)," "))</f>
        <v/>
      </c>
      <c r="D1049" s="0" t="str">
        <f aca="false">IF(C1049="","",TRIM(RIGHT(SUBSTITUTE(C1049," ",REPT(" ",100)),100)))</f>
        <v/>
      </c>
      <c r="E1049" s="0" t="str">
        <f aca="false">IF(D1049="","",UPPER(SUBSTITUTE(SUBSTITUTE(D1049,"(",""),")","")))</f>
        <v/>
      </c>
      <c r="F1049" s="0" t="str">
        <f aca="false">IF(C1049="","",LEFT(C1049,FIND(" ",C1049&amp;" ")-1))</f>
        <v/>
      </c>
      <c r="G1049" s="0" t="n">
        <f aca="false">IFERROR(VALUE(SUBSTITUTE(LOWER(F1049),"x","")),0)</f>
        <v>0</v>
      </c>
      <c r="H1049" s="0" t="str">
        <f aca="false">IF(C1049="","",TRIM(MID(C1049,LEN(F1049)+2,999)))</f>
        <v/>
      </c>
      <c r="I1049" s="0" t="n">
        <f aca="false">IF(OR(C1049="",LEFT(C1049,2)="//"),0,IFERROR(IF(AND(G1049&gt;0,G1049=INT(G1049),FIND("-",E1049)&gt;1,NOT(EXACT(UPPER(LEFT(E1049,1)),LOWER(LEFT(E1049,1)))),ISNUMBER(VALUE(MID(E1049,FIND("-",E1049)+1,10)))),1,0),0))</f>
        <v>0</v>
      </c>
      <c r="J1049" s="0" t="str">
        <f aca="false">IF(I1049=1,TRIM(LEFT(H1049,MAX(0,LEN(H1049)-LEN(D1049)))),"")</f>
        <v/>
      </c>
      <c r="K1049" s="0" t="str">
        <f aca="false">INDEX($P$2:$P$21,A1049)</f>
        <v>Deck 18</v>
      </c>
      <c r="L1049" s="0" t="n">
        <f aca="false">IF(AND(C1049&lt;&gt;"",LEFT(C1049,2)&lt;&gt;"//",I1049=0),1,0)</f>
        <v>0</v>
      </c>
      <c r="M1049" s="0" t="str">
        <f aca="false">IF(I1049=1,MAX(M$1:M1048)+1,"")</f>
        <v/>
      </c>
      <c r="N1049" s="0" t="str">
        <f aca="false">IFERROR(MATCH(ROW()-1,$V$2:$V$1201,0),"")</f>
        <v/>
      </c>
      <c r="R1049" s="0" t="str">
        <f aca="false">IF(E1049="","",IFERROR(LEFT(E1049,FIND("-",E1049)-1),E1049))</f>
        <v/>
      </c>
      <c r="S1049" s="0" t="str">
        <f aca="false">IF(R1049="","",IF(ISNUMBER(--MID(R1049,1,1)),0,IF(ISNUMBER(--MID(R1049,2,1)),1,IF(ISNUMBER(--MID(R1049,3,1)),2,IF(ISNUMBER(--MID(R1049,4,1)),3,MIN(LEN(R1049),4))))))</f>
        <v/>
      </c>
      <c r="T1049" s="0" t="str">
        <f aca="false">IF(E1049="","",LEFT(R1049,S1049)&amp;REPT("0",4-S1049)&amp;RIGHT("000"&amp;IFERROR(VALUE(MID(R1049,S1049+1,9)),0),3)&amp;RIGHT("0000"&amp;IFERROR(VALUE(MID(E1049,FIND("-",E1049)+1,9)),0),4))</f>
        <v/>
      </c>
      <c r="U1049" s="0" t="str">
        <f aca="false">IF(I1049=1,"K"&amp;RIGHT("00"&amp;A1049,2)&amp;T1049&amp;RIGHT("00000"&amp;ROW(),5),"")</f>
        <v/>
      </c>
      <c r="V1049" s="0" t="str">
        <f aca="false">IF(U1049="","",COUNTIFS($I$2:$I$1201,1,$U$2:$U$1201,"&lt;"&amp;U1049)+1)</f>
        <v/>
      </c>
    </row>
    <row r="1050" customFormat="false" ht="15" hidden="false" customHeight="false" outlineLevel="0" collapsed="false">
      <c r="A1050" s="0" t="n">
        <v>18</v>
      </c>
      <c r="B1050" s="0" t="n">
        <v>29</v>
      </c>
      <c r="C1050" s="0" t="str">
        <f aca="false">TRIM(SUBSTITUTE(INDEX(LISTAS!$A$4:$T$63,B1050,A1050)&amp;"",CHAR(160)," "))</f>
        <v/>
      </c>
      <c r="D1050" s="0" t="str">
        <f aca="false">IF(C1050="","",TRIM(RIGHT(SUBSTITUTE(C1050," ",REPT(" ",100)),100)))</f>
        <v/>
      </c>
      <c r="E1050" s="0" t="str">
        <f aca="false">IF(D1050="","",UPPER(SUBSTITUTE(SUBSTITUTE(D1050,"(",""),")","")))</f>
        <v/>
      </c>
      <c r="F1050" s="0" t="str">
        <f aca="false">IF(C1050="","",LEFT(C1050,FIND(" ",C1050&amp;" ")-1))</f>
        <v/>
      </c>
      <c r="G1050" s="0" t="n">
        <f aca="false">IFERROR(VALUE(SUBSTITUTE(LOWER(F1050),"x","")),0)</f>
        <v>0</v>
      </c>
      <c r="H1050" s="0" t="str">
        <f aca="false">IF(C1050="","",TRIM(MID(C1050,LEN(F1050)+2,999)))</f>
        <v/>
      </c>
      <c r="I1050" s="0" t="n">
        <f aca="false">IF(OR(C1050="",LEFT(C1050,2)="//"),0,IFERROR(IF(AND(G1050&gt;0,G1050=INT(G1050),FIND("-",E1050)&gt;1,NOT(EXACT(UPPER(LEFT(E1050,1)),LOWER(LEFT(E1050,1)))),ISNUMBER(VALUE(MID(E1050,FIND("-",E1050)+1,10)))),1,0),0))</f>
        <v>0</v>
      </c>
      <c r="J1050" s="0" t="str">
        <f aca="false">IF(I1050=1,TRIM(LEFT(H1050,MAX(0,LEN(H1050)-LEN(D1050)))),"")</f>
        <v/>
      </c>
      <c r="K1050" s="0" t="str">
        <f aca="false">INDEX($P$2:$P$21,A1050)</f>
        <v>Deck 18</v>
      </c>
      <c r="L1050" s="0" t="n">
        <f aca="false">IF(AND(C1050&lt;&gt;"",LEFT(C1050,2)&lt;&gt;"//",I1050=0),1,0)</f>
        <v>0</v>
      </c>
      <c r="M1050" s="0" t="str">
        <f aca="false">IF(I1050=1,MAX(M$1:M1049)+1,"")</f>
        <v/>
      </c>
      <c r="N1050" s="0" t="str">
        <f aca="false">IFERROR(MATCH(ROW()-1,$V$2:$V$1201,0),"")</f>
        <v/>
      </c>
      <c r="R1050" s="0" t="str">
        <f aca="false">IF(E1050="","",IFERROR(LEFT(E1050,FIND("-",E1050)-1),E1050))</f>
        <v/>
      </c>
      <c r="S1050" s="0" t="str">
        <f aca="false">IF(R1050="","",IF(ISNUMBER(--MID(R1050,1,1)),0,IF(ISNUMBER(--MID(R1050,2,1)),1,IF(ISNUMBER(--MID(R1050,3,1)),2,IF(ISNUMBER(--MID(R1050,4,1)),3,MIN(LEN(R1050),4))))))</f>
        <v/>
      </c>
      <c r="T1050" s="0" t="str">
        <f aca="false">IF(E1050="","",LEFT(R1050,S1050)&amp;REPT("0",4-S1050)&amp;RIGHT("000"&amp;IFERROR(VALUE(MID(R1050,S1050+1,9)),0),3)&amp;RIGHT("0000"&amp;IFERROR(VALUE(MID(E1050,FIND("-",E1050)+1,9)),0),4))</f>
        <v/>
      </c>
      <c r="U1050" s="0" t="str">
        <f aca="false">IF(I1050=1,"K"&amp;RIGHT("00"&amp;A1050,2)&amp;T1050&amp;RIGHT("00000"&amp;ROW(),5),"")</f>
        <v/>
      </c>
      <c r="V1050" s="0" t="str">
        <f aca="false">IF(U1050="","",COUNTIFS($I$2:$I$1201,1,$U$2:$U$1201,"&lt;"&amp;U1050)+1)</f>
        <v/>
      </c>
    </row>
    <row r="1051" customFormat="false" ht="15" hidden="false" customHeight="false" outlineLevel="0" collapsed="false">
      <c r="A1051" s="0" t="n">
        <v>18</v>
      </c>
      <c r="B1051" s="0" t="n">
        <v>30</v>
      </c>
      <c r="C1051" s="0" t="str">
        <f aca="false">TRIM(SUBSTITUTE(INDEX(LISTAS!$A$4:$T$63,B1051,A1051)&amp;"",CHAR(160)," "))</f>
        <v/>
      </c>
      <c r="D1051" s="0" t="str">
        <f aca="false">IF(C1051="","",TRIM(RIGHT(SUBSTITUTE(C1051," ",REPT(" ",100)),100)))</f>
        <v/>
      </c>
      <c r="E1051" s="0" t="str">
        <f aca="false">IF(D1051="","",UPPER(SUBSTITUTE(SUBSTITUTE(D1051,"(",""),")","")))</f>
        <v/>
      </c>
      <c r="F1051" s="0" t="str">
        <f aca="false">IF(C1051="","",LEFT(C1051,FIND(" ",C1051&amp;" ")-1))</f>
        <v/>
      </c>
      <c r="G1051" s="0" t="n">
        <f aca="false">IFERROR(VALUE(SUBSTITUTE(LOWER(F1051),"x","")),0)</f>
        <v>0</v>
      </c>
      <c r="H1051" s="0" t="str">
        <f aca="false">IF(C1051="","",TRIM(MID(C1051,LEN(F1051)+2,999)))</f>
        <v/>
      </c>
      <c r="I1051" s="0" t="n">
        <f aca="false">IF(OR(C1051="",LEFT(C1051,2)="//"),0,IFERROR(IF(AND(G1051&gt;0,G1051=INT(G1051),FIND("-",E1051)&gt;1,NOT(EXACT(UPPER(LEFT(E1051,1)),LOWER(LEFT(E1051,1)))),ISNUMBER(VALUE(MID(E1051,FIND("-",E1051)+1,10)))),1,0),0))</f>
        <v>0</v>
      </c>
      <c r="J1051" s="0" t="str">
        <f aca="false">IF(I1051=1,TRIM(LEFT(H1051,MAX(0,LEN(H1051)-LEN(D1051)))),"")</f>
        <v/>
      </c>
      <c r="K1051" s="0" t="str">
        <f aca="false">INDEX($P$2:$P$21,A1051)</f>
        <v>Deck 18</v>
      </c>
      <c r="L1051" s="0" t="n">
        <f aca="false">IF(AND(C1051&lt;&gt;"",LEFT(C1051,2)&lt;&gt;"//",I1051=0),1,0)</f>
        <v>0</v>
      </c>
      <c r="M1051" s="0" t="str">
        <f aca="false">IF(I1051=1,MAX(M$1:M1050)+1,"")</f>
        <v/>
      </c>
      <c r="N1051" s="0" t="str">
        <f aca="false">IFERROR(MATCH(ROW()-1,$V$2:$V$1201,0),"")</f>
        <v/>
      </c>
      <c r="R1051" s="0" t="str">
        <f aca="false">IF(E1051="","",IFERROR(LEFT(E1051,FIND("-",E1051)-1),E1051))</f>
        <v/>
      </c>
      <c r="S1051" s="0" t="str">
        <f aca="false">IF(R1051="","",IF(ISNUMBER(--MID(R1051,1,1)),0,IF(ISNUMBER(--MID(R1051,2,1)),1,IF(ISNUMBER(--MID(R1051,3,1)),2,IF(ISNUMBER(--MID(R1051,4,1)),3,MIN(LEN(R1051),4))))))</f>
        <v/>
      </c>
      <c r="T1051" s="0" t="str">
        <f aca="false">IF(E1051="","",LEFT(R1051,S1051)&amp;REPT("0",4-S1051)&amp;RIGHT("000"&amp;IFERROR(VALUE(MID(R1051,S1051+1,9)),0),3)&amp;RIGHT("0000"&amp;IFERROR(VALUE(MID(E1051,FIND("-",E1051)+1,9)),0),4))</f>
        <v/>
      </c>
      <c r="U1051" s="0" t="str">
        <f aca="false">IF(I1051=1,"K"&amp;RIGHT("00"&amp;A1051,2)&amp;T1051&amp;RIGHT("00000"&amp;ROW(),5),"")</f>
        <v/>
      </c>
      <c r="V1051" s="0" t="str">
        <f aca="false">IF(U1051="","",COUNTIFS($I$2:$I$1201,1,$U$2:$U$1201,"&lt;"&amp;U1051)+1)</f>
        <v/>
      </c>
    </row>
    <row r="1052" customFormat="false" ht="15" hidden="false" customHeight="false" outlineLevel="0" collapsed="false">
      <c r="A1052" s="0" t="n">
        <v>18</v>
      </c>
      <c r="B1052" s="0" t="n">
        <v>31</v>
      </c>
      <c r="C1052" s="0" t="str">
        <f aca="false">TRIM(SUBSTITUTE(INDEX(LISTAS!$A$4:$T$63,B1052,A1052)&amp;"",CHAR(160)," "))</f>
        <v/>
      </c>
      <c r="D1052" s="0" t="str">
        <f aca="false">IF(C1052="","",TRIM(RIGHT(SUBSTITUTE(C1052," ",REPT(" ",100)),100)))</f>
        <v/>
      </c>
      <c r="E1052" s="0" t="str">
        <f aca="false">IF(D1052="","",UPPER(SUBSTITUTE(SUBSTITUTE(D1052,"(",""),")","")))</f>
        <v/>
      </c>
      <c r="F1052" s="0" t="str">
        <f aca="false">IF(C1052="","",LEFT(C1052,FIND(" ",C1052&amp;" ")-1))</f>
        <v/>
      </c>
      <c r="G1052" s="0" t="n">
        <f aca="false">IFERROR(VALUE(SUBSTITUTE(LOWER(F1052),"x","")),0)</f>
        <v>0</v>
      </c>
      <c r="H1052" s="0" t="str">
        <f aca="false">IF(C1052="","",TRIM(MID(C1052,LEN(F1052)+2,999)))</f>
        <v/>
      </c>
      <c r="I1052" s="0" t="n">
        <f aca="false">IF(OR(C1052="",LEFT(C1052,2)="//"),0,IFERROR(IF(AND(G1052&gt;0,G1052=INT(G1052),FIND("-",E1052)&gt;1,NOT(EXACT(UPPER(LEFT(E1052,1)),LOWER(LEFT(E1052,1)))),ISNUMBER(VALUE(MID(E1052,FIND("-",E1052)+1,10)))),1,0),0))</f>
        <v>0</v>
      </c>
      <c r="J1052" s="0" t="str">
        <f aca="false">IF(I1052=1,TRIM(LEFT(H1052,MAX(0,LEN(H1052)-LEN(D1052)))),"")</f>
        <v/>
      </c>
      <c r="K1052" s="0" t="str">
        <f aca="false">INDEX($P$2:$P$21,A1052)</f>
        <v>Deck 18</v>
      </c>
      <c r="L1052" s="0" t="n">
        <f aca="false">IF(AND(C1052&lt;&gt;"",LEFT(C1052,2)&lt;&gt;"//",I1052=0),1,0)</f>
        <v>0</v>
      </c>
      <c r="M1052" s="0" t="str">
        <f aca="false">IF(I1052=1,MAX(M$1:M1051)+1,"")</f>
        <v/>
      </c>
      <c r="N1052" s="0" t="str">
        <f aca="false">IFERROR(MATCH(ROW()-1,$V$2:$V$1201,0),"")</f>
        <v/>
      </c>
      <c r="R1052" s="0" t="str">
        <f aca="false">IF(E1052="","",IFERROR(LEFT(E1052,FIND("-",E1052)-1),E1052))</f>
        <v/>
      </c>
      <c r="S1052" s="0" t="str">
        <f aca="false">IF(R1052="","",IF(ISNUMBER(--MID(R1052,1,1)),0,IF(ISNUMBER(--MID(R1052,2,1)),1,IF(ISNUMBER(--MID(R1052,3,1)),2,IF(ISNUMBER(--MID(R1052,4,1)),3,MIN(LEN(R1052),4))))))</f>
        <v/>
      </c>
      <c r="T1052" s="0" t="str">
        <f aca="false">IF(E1052="","",LEFT(R1052,S1052)&amp;REPT("0",4-S1052)&amp;RIGHT("000"&amp;IFERROR(VALUE(MID(R1052,S1052+1,9)),0),3)&amp;RIGHT("0000"&amp;IFERROR(VALUE(MID(E1052,FIND("-",E1052)+1,9)),0),4))</f>
        <v/>
      </c>
      <c r="U1052" s="0" t="str">
        <f aca="false">IF(I1052=1,"K"&amp;RIGHT("00"&amp;A1052,2)&amp;T1052&amp;RIGHT("00000"&amp;ROW(),5),"")</f>
        <v/>
      </c>
      <c r="V1052" s="0" t="str">
        <f aca="false">IF(U1052="","",COUNTIFS($I$2:$I$1201,1,$U$2:$U$1201,"&lt;"&amp;U1052)+1)</f>
        <v/>
      </c>
    </row>
    <row r="1053" customFormat="false" ht="15" hidden="false" customHeight="false" outlineLevel="0" collapsed="false">
      <c r="A1053" s="0" t="n">
        <v>18</v>
      </c>
      <c r="B1053" s="0" t="n">
        <v>32</v>
      </c>
      <c r="C1053" s="0" t="str">
        <f aca="false">TRIM(SUBSTITUTE(INDEX(LISTAS!$A$4:$T$63,B1053,A1053)&amp;"",CHAR(160)," "))</f>
        <v/>
      </c>
      <c r="D1053" s="0" t="str">
        <f aca="false">IF(C1053="","",TRIM(RIGHT(SUBSTITUTE(C1053," ",REPT(" ",100)),100)))</f>
        <v/>
      </c>
      <c r="E1053" s="0" t="str">
        <f aca="false">IF(D1053="","",UPPER(SUBSTITUTE(SUBSTITUTE(D1053,"(",""),")","")))</f>
        <v/>
      </c>
      <c r="F1053" s="0" t="str">
        <f aca="false">IF(C1053="","",LEFT(C1053,FIND(" ",C1053&amp;" ")-1))</f>
        <v/>
      </c>
      <c r="G1053" s="0" t="n">
        <f aca="false">IFERROR(VALUE(SUBSTITUTE(LOWER(F1053),"x","")),0)</f>
        <v>0</v>
      </c>
      <c r="H1053" s="0" t="str">
        <f aca="false">IF(C1053="","",TRIM(MID(C1053,LEN(F1053)+2,999)))</f>
        <v/>
      </c>
      <c r="I1053" s="0" t="n">
        <f aca="false">IF(OR(C1053="",LEFT(C1053,2)="//"),0,IFERROR(IF(AND(G1053&gt;0,G1053=INT(G1053),FIND("-",E1053)&gt;1,NOT(EXACT(UPPER(LEFT(E1053,1)),LOWER(LEFT(E1053,1)))),ISNUMBER(VALUE(MID(E1053,FIND("-",E1053)+1,10)))),1,0),0))</f>
        <v>0</v>
      </c>
      <c r="J1053" s="0" t="str">
        <f aca="false">IF(I1053=1,TRIM(LEFT(H1053,MAX(0,LEN(H1053)-LEN(D1053)))),"")</f>
        <v/>
      </c>
      <c r="K1053" s="0" t="str">
        <f aca="false">INDEX($P$2:$P$21,A1053)</f>
        <v>Deck 18</v>
      </c>
      <c r="L1053" s="0" t="n">
        <f aca="false">IF(AND(C1053&lt;&gt;"",LEFT(C1053,2)&lt;&gt;"//",I1053=0),1,0)</f>
        <v>0</v>
      </c>
      <c r="M1053" s="0" t="str">
        <f aca="false">IF(I1053=1,MAX(M$1:M1052)+1,"")</f>
        <v/>
      </c>
      <c r="N1053" s="0" t="str">
        <f aca="false">IFERROR(MATCH(ROW()-1,$V$2:$V$1201,0),"")</f>
        <v/>
      </c>
      <c r="R1053" s="0" t="str">
        <f aca="false">IF(E1053="","",IFERROR(LEFT(E1053,FIND("-",E1053)-1),E1053))</f>
        <v/>
      </c>
      <c r="S1053" s="0" t="str">
        <f aca="false">IF(R1053="","",IF(ISNUMBER(--MID(R1053,1,1)),0,IF(ISNUMBER(--MID(R1053,2,1)),1,IF(ISNUMBER(--MID(R1053,3,1)),2,IF(ISNUMBER(--MID(R1053,4,1)),3,MIN(LEN(R1053),4))))))</f>
        <v/>
      </c>
      <c r="T1053" s="0" t="str">
        <f aca="false">IF(E1053="","",LEFT(R1053,S1053)&amp;REPT("0",4-S1053)&amp;RIGHT("000"&amp;IFERROR(VALUE(MID(R1053,S1053+1,9)),0),3)&amp;RIGHT("0000"&amp;IFERROR(VALUE(MID(E1053,FIND("-",E1053)+1,9)),0),4))</f>
        <v/>
      </c>
      <c r="U1053" s="0" t="str">
        <f aca="false">IF(I1053=1,"K"&amp;RIGHT("00"&amp;A1053,2)&amp;T1053&amp;RIGHT("00000"&amp;ROW(),5),"")</f>
        <v/>
      </c>
      <c r="V1053" s="0" t="str">
        <f aca="false">IF(U1053="","",COUNTIFS($I$2:$I$1201,1,$U$2:$U$1201,"&lt;"&amp;U1053)+1)</f>
        <v/>
      </c>
    </row>
    <row r="1054" customFormat="false" ht="15" hidden="false" customHeight="false" outlineLevel="0" collapsed="false">
      <c r="A1054" s="0" t="n">
        <v>18</v>
      </c>
      <c r="B1054" s="0" t="n">
        <v>33</v>
      </c>
      <c r="C1054" s="0" t="str">
        <f aca="false">TRIM(SUBSTITUTE(INDEX(LISTAS!$A$4:$T$63,B1054,A1054)&amp;"",CHAR(160)," "))</f>
        <v/>
      </c>
      <c r="D1054" s="0" t="str">
        <f aca="false">IF(C1054="","",TRIM(RIGHT(SUBSTITUTE(C1054," ",REPT(" ",100)),100)))</f>
        <v/>
      </c>
      <c r="E1054" s="0" t="str">
        <f aca="false">IF(D1054="","",UPPER(SUBSTITUTE(SUBSTITUTE(D1054,"(",""),")","")))</f>
        <v/>
      </c>
      <c r="F1054" s="0" t="str">
        <f aca="false">IF(C1054="","",LEFT(C1054,FIND(" ",C1054&amp;" ")-1))</f>
        <v/>
      </c>
      <c r="G1054" s="0" t="n">
        <f aca="false">IFERROR(VALUE(SUBSTITUTE(LOWER(F1054),"x","")),0)</f>
        <v>0</v>
      </c>
      <c r="H1054" s="0" t="str">
        <f aca="false">IF(C1054="","",TRIM(MID(C1054,LEN(F1054)+2,999)))</f>
        <v/>
      </c>
      <c r="I1054" s="0" t="n">
        <f aca="false">IF(OR(C1054="",LEFT(C1054,2)="//"),0,IFERROR(IF(AND(G1054&gt;0,G1054=INT(G1054),FIND("-",E1054)&gt;1,NOT(EXACT(UPPER(LEFT(E1054,1)),LOWER(LEFT(E1054,1)))),ISNUMBER(VALUE(MID(E1054,FIND("-",E1054)+1,10)))),1,0),0))</f>
        <v>0</v>
      </c>
      <c r="J1054" s="0" t="str">
        <f aca="false">IF(I1054=1,TRIM(LEFT(H1054,MAX(0,LEN(H1054)-LEN(D1054)))),"")</f>
        <v/>
      </c>
      <c r="K1054" s="0" t="str">
        <f aca="false">INDEX($P$2:$P$21,A1054)</f>
        <v>Deck 18</v>
      </c>
      <c r="L1054" s="0" t="n">
        <f aca="false">IF(AND(C1054&lt;&gt;"",LEFT(C1054,2)&lt;&gt;"//",I1054=0),1,0)</f>
        <v>0</v>
      </c>
      <c r="M1054" s="0" t="str">
        <f aca="false">IF(I1054=1,MAX(M$1:M1053)+1,"")</f>
        <v/>
      </c>
      <c r="N1054" s="0" t="str">
        <f aca="false">IFERROR(MATCH(ROW()-1,$V$2:$V$1201,0),"")</f>
        <v/>
      </c>
      <c r="R1054" s="0" t="str">
        <f aca="false">IF(E1054="","",IFERROR(LEFT(E1054,FIND("-",E1054)-1),E1054))</f>
        <v/>
      </c>
      <c r="S1054" s="0" t="str">
        <f aca="false">IF(R1054="","",IF(ISNUMBER(--MID(R1054,1,1)),0,IF(ISNUMBER(--MID(R1054,2,1)),1,IF(ISNUMBER(--MID(R1054,3,1)),2,IF(ISNUMBER(--MID(R1054,4,1)),3,MIN(LEN(R1054),4))))))</f>
        <v/>
      </c>
      <c r="T1054" s="0" t="str">
        <f aca="false">IF(E1054="","",LEFT(R1054,S1054)&amp;REPT("0",4-S1054)&amp;RIGHT("000"&amp;IFERROR(VALUE(MID(R1054,S1054+1,9)),0),3)&amp;RIGHT("0000"&amp;IFERROR(VALUE(MID(E1054,FIND("-",E1054)+1,9)),0),4))</f>
        <v/>
      </c>
      <c r="U1054" s="0" t="str">
        <f aca="false">IF(I1054=1,"K"&amp;RIGHT("00"&amp;A1054,2)&amp;T1054&amp;RIGHT("00000"&amp;ROW(),5),"")</f>
        <v/>
      </c>
      <c r="V1054" s="0" t="str">
        <f aca="false">IF(U1054="","",COUNTIFS($I$2:$I$1201,1,$U$2:$U$1201,"&lt;"&amp;U1054)+1)</f>
        <v/>
      </c>
    </row>
    <row r="1055" customFormat="false" ht="15" hidden="false" customHeight="false" outlineLevel="0" collapsed="false">
      <c r="A1055" s="0" t="n">
        <v>18</v>
      </c>
      <c r="B1055" s="0" t="n">
        <v>34</v>
      </c>
      <c r="C1055" s="0" t="str">
        <f aca="false">TRIM(SUBSTITUTE(INDEX(LISTAS!$A$4:$T$63,B1055,A1055)&amp;"",CHAR(160)," "))</f>
        <v/>
      </c>
      <c r="D1055" s="0" t="str">
        <f aca="false">IF(C1055="","",TRIM(RIGHT(SUBSTITUTE(C1055," ",REPT(" ",100)),100)))</f>
        <v/>
      </c>
      <c r="E1055" s="0" t="str">
        <f aca="false">IF(D1055="","",UPPER(SUBSTITUTE(SUBSTITUTE(D1055,"(",""),")","")))</f>
        <v/>
      </c>
      <c r="F1055" s="0" t="str">
        <f aca="false">IF(C1055="","",LEFT(C1055,FIND(" ",C1055&amp;" ")-1))</f>
        <v/>
      </c>
      <c r="G1055" s="0" t="n">
        <f aca="false">IFERROR(VALUE(SUBSTITUTE(LOWER(F1055),"x","")),0)</f>
        <v>0</v>
      </c>
      <c r="H1055" s="0" t="str">
        <f aca="false">IF(C1055="","",TRIM(MID(C1055,LEN(F1055)+2,999)))</f>
        <v/>
      </c>
      <c r="I1055" s="0" t="n">
        <f aca="false">IF(OR(C1055="",LEFT(C1055,2)="//"),0,IFERROR(IF(AND(G1055&gt;0,G1055=INT(G1055),FIND("-",E1055)&gt;1,NOT(EXACT(UPPER(LEFT(E1055,1)),LOWER(LEFT(E1055,1)))),ISNUMBER(VALUE(MID(E1055,FIND("-",E1055)+1,10)))),1,0),0))</f>
        <v>0</v>
      </c>
      <c r="J1055" s="0" t="str">
        <f aca="false">IF(I1055=1,TRIM(LEFT(H1055,MAX(0,LEN(H1055)-LEN(D1055)))),"")</f>
        <v/>
      </c>
      <c r="K1055" s="0" t="str">
        <f aca="false">INDEX($P$2:$P$21,A1055)</f>
        <v>Deck 18</v>
      </c>
      <c r="L1055" s="0" t="n">
        <f aca="false">IF(AND(C1055&lt;&gt;"",LEFT(C1055,2)&lt;&gt;"//",I1055=0),1,0)</f>
        <v>0</v>
      </c>
      <c r="M1055" s="0" t="str">
        <f aca="false">IF(I1055=1,MAX(M$1:M1054)+1,"")</f>
        <v/>
      </c>
      <c r="N1055" s="0" t="str">
        <f aca="false">IFERROR(MATCH(ROW()-1,$V$2:$V$1201,0),"")</f>
        <v/>
      </c>
      <c r="R1055" s="0" t="str">
        <f aca="false">IF(E1055="","",IFERROR(LEFT(E1055,FIND("-",E1055)-1),E1055))</f>
        <v/>
      </c>
      <c r="S1055" s="0" t="str">
        <f aca="false">IF(R1055="","",IF(ISNUMBER(--MID(R1055,1,1)),0,IF(ISNUMBER(--MID(R1055,2,1)),1,IF(ISNUMBER(--MID(R1055,3,1)),2,IF(ISNUMBER(--MID(R1055,4,1)),3,MIN(LEN(R1055),4))))))</f>
        <v/>
      </c>
      <c r="T1055" s="0" t="str">
        <f aca="false">IF(E1055="","",LEFT(R1055,S1055)&amp;REPT("0",4-S1055)&amp;RIGHT("000"&amp;IFERROR(VALUE(MID(R1055,S1055+1,9)),0),3)&amp;RIGHT("0000"&amp;IFERROR(VALUE(MID(E1055,FIND("-",E1055)+1,9)),0),4))</f>
        <v/>
      </c>
      <c r="U1055" s="0" t="str">
        <f aca="false">IF(I1055=1,"K"&amp;RIGHT("00"&amp;A1055,2)&amp;T1055&amp;RIGHT("00000"&amp;ROW(),5),"")</f>
        <v/>
      </c>
      <c r="V1055" s="0" t="str">
        <f aca="false">IF(U1055="","",COUNTIFS($I$2:$I$1201,1,$U$2:$U$1201,"&lt;"&amp;U1055)+1)</f>
        <v/>
      </c>
    </row>
    <row r="1056" customFormat="false" ht="15" hidden="false" customHeight="false" outlineLevel="0" collapsed="false">
      <c r="A1056" s="0" t="n">
        <v>18</v>
      </c>
      <c r="B1056" s="0" t="n">
        <v>35</v>
      </c>
      <c r="C1056" s="0" t="str">
        <f aca="false">TRIM(SUBSTITUTE(INDEX(LISTAS!$A$4:$T$63,B1056,A1056)&amp;"",CHAR(160)," "))</f>
        <v/>
      </c>
      <c r="D1056" s="0" t="str">
        <f aca="false">IF(C1056="","",TRIM(RIGHT(SUBSTITUTE(C1056," ",REPT(" ",100)),100)))</f>
        <v/>
      </c>
      <c r="E1056" s="0" t="str">
        <f aca="false">IF(D1056="","",UPPER(SUBSTITUTE(SUBSTITUTE(D1056,"(",""),")","")))</f>
        <v/>
      </c>
      <c r="F1056" s="0" t="str">
        <f aca="false">IF(C1056="","",LEFT(C1056,FIND(" ",C1056&amp;" ")-1))</f>
        <v/>
      </c>
      <c r="G1056" s="0" t="n">
        <f aca="false">IFERROR(VALUE(SUBSTITUTE(LOWER(F1056),"x","")),0)</f>
        <v>0</v>
      </c>
      <c r="H1056" s="0" t="str">
        <f aca="false">IF(C1056="","",TRIM(MID(C1056,LEN(F1056)+2,999)))</f>
        <v/>
      </c>
      <c r="I1056" s="0" t="n">
        <f aca="false">IF(OR(C1056="",LEFT(C1056,2)="//"),0,IFERROR(IF(AND(G1056&gt;0,G1056=INT(G1056),FIND("-",E1056)&gt;1,NOT(EXACT(UPPER(LEFT(E1056,1)),LOWER(LEFT(E1056,1)))),ISNUMBER(VALUE(MID(E1056,FIND("-",E1056)+1,10)))),1,0),0))</f>
        <v>0</v>
      </c>
      <c r="J1056" s="0" t="str">
        <f aca="false">IF(I1056=1,TRIM(LEFT(H1056,MAX(0,LEN(H1056)-LEN(D1056)))),"")</f>
        <v/>
      </c>
      <c r="K1056" s="0" t="str">
        <f aca="false">INDEX($P$2:$P$21,A1056)</f>
        <v>Deck 18</v>
      </c>
      <c r="L1056" s="0" t="n">
        <f aca="false">IF(AND(C1056&lt;&gt;"",LEFT(C1056,2)&lt;&gt;"//",I1056=0),1,0)</f>
        <v>0</v>
      </c>
      <c r="M1056" s="0" t="str">
        <f aca="false">IF(I1056=1,MAX(M$1:M1055)+1,"")</f>
        <v/>
      </c>
      <c r="N1056" s="0" t="str">
        <f aca="false">IFERROR(MATCH(ROW()-1,$V$2:$V$1201,0),"")</f>
        <v/>
      </c>
      <c r="R1056" s="0" t="str">
        <f aca="false">IF(E1056="","",IFERROR(LEFT(E1056,FIND("-",E1056)-1),E1056))</f>
        <v/>
      </c>
      <c r="S1056" s="0" t="str">
        <f aca="false">IF(R1056="","",IF(ISNUMBER(--MID(R1056,1,1)),0,IF(ISNUMBER(--MID(R1056,2,1)),1,IF(ISNUMBER(--MID(R1056,3,1)),2,IF(ISNUMBER(--MID(R1056,4,1)),3,MIN(LEN(R1056),4))))))</f>
        <v/>
      </c>
      <c r="T1056" s="0" t="str">
        <f aca="false">IF(E1056="","",LEFT(R1056,S1056)&amp;REPT("0",4-S1056)&amp;RIGHT("000"&amp;IFERROR(VALUE(MID(R1056,S1056+1,9)),0),3)&amp;RIGHT("0000"&amp;IFERROR(VALUE(MID(E1056,FIND("-",E1056)+1,9)),0),4))</f>
        <v/>
      </c>
      <c r="U1056" s="0" t="str">
        <f aca="false">IF(I1056=1,"K"&amp;RIGHT("00"&amp;A1056,2)&amp;T1056&amp;RIGHT("00000"&amp;ROW(),5),"")</f>
        <v/>
      </c>
      <c r="V1056" s="0" t="str">
        <f aca="false">IF(U1056="","",COUNTIFS($I$2:$I$1201,1,$U$2:$U$1201,"&lt;"&amp;U1056)+1)</f>
        <v/>
      </c>
    </row>
    <row r="1057" customFormat="false" ht="15" hidden="false" customHeight="false" outlineLevel="0" collapsed="false">
      <c r="A1057" s="0" t="n">
        <v>18</v>
      </c>
      <c r="B1057" s="0" t="n">
        <v>36</v>
      </c>
      <c r="C1057" s="0" t="str">
        <f aca="false">TRIM(SUBSTITUTE(INDEX(LISTAS!$A$4:$T$63,B1057,A1057)&amp;"",CHAR(160)," "))</f>
        <v/>
      </c>
      <c r="D1057" s="0" t="str">
        <f aca="false">IF(C1057="","",TRIM(RIGHT(SUBSTITUTE(C1057," ",REPT(" ",100)),100)))</f>
        <v/>
      </c>
      <c r="E1057" s="0" t="str">
        <f aca="false">IF(D1057="","",UPPER(SUBSTITUTE(SUBSTITUTE(D1057,"(",""),")","")))</f>
        <v/>
      </c>
      <c r="F1057" s="0" t="str">
        <f aca="false">IF(C1057="","",LEFT(C1057,FIND(" ",C1057&amp;" ")-1))</f>
        <v/>
      </c>
      <c r="G1057" s="0" t="n">
        <f aca="false">IFERROR(VALUE(SUBSTITUTE(LOWER(F1057),"x","")),0)</f>
        <v>0</v>
      </c>
      <c r="H1057" s="0" t="str">
        <f aca="false">IF(C1057="","",TRIM(MID(C1057,LEN(F1057)+2,999)))</f>
        <v/>
      </c>
      <c r="I1057" s="0" t="n">
        <f aca="false">IF(OR(C1057="",LEFT(C1057,2)="//"),0,IFERROR(IF(AND(G1057&gt;0,G1057=INT(G1057),FIND("-",E1057)&gt;1,NOT(EXACT(UPPER(LEFT(E1057,1)),LOWER(LEFT(E1057,1)))),ISNUMBER(VALUE(MID(E1057,FIND("-",E1057)+1,10)))),1,0),0))</f>
        <v>0</v>
      </c>
      <c r="J1057" s="0" t="str">
        <f aca="false">IF(I1057=1,TRIM(LEFT(H1057,MAX(0,LEN(H1057)-LEN(D1057)))),"")</f>
        <v/>
      </c>
      <c r="K1057" s="0" t="str">
        <f aca="false">INDEX($P$2:$P$21,A1057)</f>
        <v>Deck 18</v>
      </c>
      <c r="L1057" s="0" t="n">
        <f aca="false">IF(AND(C1057&lt;&gt;"",LEFT(C1057,2)&lt;&gt;"//",I1057=0),1,0)</f>
        <v>0</v>
      </c>
      <c r="M1057" s="0" t="str">
        <f aca="false">IF(I1057=1,MAX(M$1:M1056)+1,"")</f>
        <v/>
      </c>
      <c r="N1057" s="0" t="str">
        <f aca="false">IFERROR(MATCH(ROW()-1,$V$2:$V$1201,0),"")</f>
        <v/>
      </c>
      <c r="R1057" s="0" t="str">
        <f aca="false">IF(E1057="","",IFERROR(LEFT(E1057,FIND("-",E1057)-1),E1057))</f>
        <v/>
      </c>
      <c r="S1057" s="0" t="str">
        <f aca="false">IF(R1057="","",IF(ISNUMBER(--MID(R1057,1,1)),0,IF(ISNUMBER(--MID(R1057,2,1)),1,IF(ISNUMBER(--MID(R1057,3,1)),2,IF(ISNUMBER(--MID(R1057,4,1)),3,MIN(LEN(R1057),4))))))</f>
        <v/>
      </c>
      <c r="T1057" s="0" t="str">
        <f aca="false">IF(E1057="","",LEFT(R1057,S1057)&amp;REPT("0",4-S1057)&amp;RIGHT("000"&amp;IFERROR(VALUE(MID(R1057,S1057+1,9)),0),3)&amp;RIGHT("0000"&amp;IFERROR(VALUE(MID(E1057,FIND("-",E1057)+1,9)),0),4))</f>
        <v/>
      </c>
      <c r="U1057" s="0" t="str">
        <f aca="false">IF(I1057=1,"K"&amp;RIGHT("00"&amp;A1057,2)&amp;T1057&amp;RIGHT("00000"&amp;ROW(),5),"")</f>
        <v/>
      </c>
      <c r="V1057" s="0" t="str">
        <f aca="false">IF(U1057="","",COUNTIFS($I$2:$I$1201,1,$U$2:$U$1201,"&lt;"&amp;U1057)+1)</f>
        <v/>
      </c>
    </row>
    <row r="1058" customFormat="false" ht="15" hidden="false" customHeight="false" outlineLevel="0" collapsed="false">
      <c r="A1058" s="0" t="n">
        <v>18</v>
      </c>
      <c r="B1058" s="0" t="n">
        <v>37</v>
      </c>
      <c r="C1058" s="0" t="str">
        <f aca="false">TRIM(SUBSTITUTE(INDEX(LISTAS!$A$4:$T$63,B1058,A1058)&amp;"",CHAR(160)," "))</f>
        <v/>
      </c>
      <c r="D1058" s="0" t="str">
        <f aca="false">IF(C1058="","",TRIM(RIGHT(SUBSTITUTE(C1058," ",REPT(" ",100)),100)))</f>
        <v/>
      </c>
      <c r="E1058" s="0" t="str">
        <f aca="false">IF(D1058="","",UPPER(SUBSTITUTE(SUBSTITUTE(D1058,"(",""),")","")))</f>
        <v/>
      </c>
      <c r="F1058" s="0" t="str">
        <f aca="false">IF(C1058="","",LEFT(C1058,FIND(" ",C1058&amp;" ")-1))</f>
        <v/>
      </c>
      <c r="G1058" s="0" t="n">
        <f aca="false">IFERROR(VALUE(SUBSTITUTE(LOWER(F1058),"x","")),0)</f>
        <v>0</v>
      </c>
      <c r="H1058" s="0" t="str">
        <f aca="false">IF(C1058="","",TRIM(MID(C1058,LEN(F1058)+2,999)))</f>
        <v/>
      </c>
      <c r="I1058" s="0" t="n">
        <f aca="false">IF(OR(C1058="",LEFT(C1058,2)="//"),0,IFERROR(IF(AND(G1058&gt;0,G1058=INT(G1058),FIND("-",E1058)&gt;1,NOT(EXACT(UPPER(LEFT(E1058,1)),LOWER(LEFT(E1058,1)))),ISNUMBER(VALUE(MID(E1058,FIND("-",E1058)+1,10)))),1,0),0))</f>
        <v>0</v>
      </c>
      <c r="J1058" s="0" t="str">
        <f aca="false">IF(I1058=1,TRIM(LEFT(H1058,MAX(0,LEN(H1058)-LEN(D1058)))),"")</f>
        <v/>
      </c>
      <c r="K1058" s="0" t="str">
        <f aca="false">INDEX($P$2:$P$21,A1058)</f>
        <v>Deck 18</v>
      </c>
      <c r="L1058" s="0" t="n">
        <f aca="false">IF(AND(C1058&lt;&gt;"",LEFT(C1058,2)&lt;&gt;"//",I1058=0),1,0)</f>
        <v>0</v>
      </c>
      <c r="M1058" s="0" t="str">
        <f aca="false">IF(I1058=1,MAX(M$1:M1057)+1,"")</f>
        <v/>
      </c>
      <c r="N1058" s="0" t="str">
        <f aca="false">IFERROR(MATCH(ROW()-1,$V$2:$V$1201,0),"")</f>
        <v/>
      </c>
      <c r="R1058" s="0" t="str">
        <f aca="false">IF(E1058="","",IFERROR(LEFT(E1058,FIND("-",E1058)-1),E1058))</f>
        <v/>
      </c>
      <c r="S1058" s="0" t="str">
        <f aca="false">IF(R1058="","",IF(ISNUMBER(--MID(R1058,1,1)),0,IF(ISNUMBER(--MID(R1058,2,1)),1,IF(ISNUMBER(--MID(R1058,3,1)),2,IF(ISNUMBER(--MID(R1058,4,1)),3,MIN(LEN(R1058),4))))))</f>
        <v/>
      </c>
      <c r="T1058" s="0" t="str">
        <f aca="false">IF(E1058="","",LEFT(R1058,S1058)&amp;REPT("0",4-S1058)&amp;RIGHT("000"&amp;IFERROR(VALUE(MID(R1058,S1058+1,9)),0),3)&amp;RIGHT("0000"&amp;IFERROR(VALUE(MID(E1058,FIND("-",E1058)+1,9)),0),4))</f>
        <v/>
      </c>
      <c r="U1058" s="0" t="str">
        <f aca="false">IF(I1058=1,"K"&amp;RIGHT("00"&amp;A1058,2)&amp;T1058&amp;RIGHT("00000"&amp;ROW(),5),"")</f>
        <v/>
      </c>
      <c r="V1058" s="0" t="str">
        <f aca="false">IF(U1058="","",COUNTIFS($I$2:$I$1201,1,$U$2:$U$1201,"&lt;"&amp;U1058)+1)</f>
        <v/>
      </c>
    </row>
    <row r="1059" customFormat="false" ht="15" hidden="false" customHeight="false" outlineLevel="0" collapsed="false">
      <c r="A1059" s="0" t="n">
        <v>18</v>
      </c>
      <c r="B1059" s="0" t="n">
        <v>38</v>
      </c>
      <c r="C1059" s="0" t="str">
        <f aca="false">TRIM(SUBSTITUTE(INDEX(LISTAS!$A$4:$T$63,B1059,A1059)&amp;"",CHAR(160)," "))</f>
        <v/>
      </c>
      <c r="D1059" s="0" t="str">
        <f aca="false">IF(C1059="","",TRIM(RIGHT(SUBSTITUTE(C1059," ",REPT(" ",100)),100)))</f>
        <v/>
      </c>
      <c r="E1059" s="0" t="str">
        <f aca="false">IF(D1059="","",UPPER(SUBSTITUTE(SUBSTITUTE(D1059,"(",""),")","")))</f>
        <v/>
      </c>
      <c r="F1059" s="0" t="str">
        <f aca="false">IF(C1059="","",LEFT(C1059,FIND(" ",C1059&amp;" ")-1))</f>
        <v/>
      </c>
      <c r="G1059" s="0" t="n">
        <f aca="false">IFERROR(VALUE(SUBSTITUTE(LOWER(F1059),"x","")),0)</f>
        <v>0</v>
      </c>
      <c r="H1059" s="0" t="str">
        <f aca="false">IF(C1059="","",TRIM(MID(C1059,LEN(F1059)+2,999)))</f>
        <v/>
      </c>
      <c r="I1059" s="0" t="n">
        <f aca="false">IF(OR(C1059="",LEFT(C1059,2)="//"),0,IFERROR(IF(AND(G1059&gt;0,G1059=INT(G1059),FIND("-",E1059)&gt;1,NOT(EXACT(UPPER(LEFT(E1059,1)),LOWER(LEFT(E1059,1)))),ISNUMBER(VALUE(MID(E1059,FIND("-",E1059)+1,10)))),1,0),0))</f>
        <v>0</v>
      </c>
      <c r="J1059" s="0" t="str">
        <f aca="false">IF(I1059=1,TRIM(LEFT(H1059,MAX(0,LEN(H1059)-LEN(D1059)))),"")</f>
        <v/>
      </c>
      <c r="K1059" s="0" t="str">
        <f aca="false">INDEX($P$2:$P$21,A1059)</f>
        <v>Deck 18</v>
      </c>
      <c r="L1059" s="0" t="n">
        <f aca="false">IF(AND(C1059&lt;&gt;"",LEFT(C1059,2)&lt;&gt;"//",I1059=0),1,0)</f>
        <v>0</v>
      </c>
      <c r="M1059" s="0" t="str">
        <f aca="false">IF(I1059=1,MAX(M$1:M1058)+1,"")</f>
        <v/>
      </c>
      <c r="N1059" s="0" t="str">
        <f aca="false">IFERROR(MATCH(ROW()-1,$V$2:$V$1201,0),"")</f>
        <v/>
      </c>
      <c r="R1059" s="0" t="str">
        <f aca="false">IF(E1059="","",IFERROR(LEFT(E1059,FIND("-",E1059)-1),E1059))</f>
        <v/>
      </c>
      <c r="S1059" s="0" t="str">
        <f aca="false">IF(R1059="","",IF(ISNUMBER(--MID(R1059,1,1)),0,IF(ISNUMBER(--MID(R1059,2,1)),1,IF(ISNUMBER(--MID(R1059,3,1)),2,IF(ISNUMBER(--MID(R1059,4,1)),3,MIN(LEN(R1059),4))))))</f>
        <v/>
      </c>
      <c r="T1059" s="0" t="str">
        <f aca="false">IF(E1059="","",LEFT(R1059,S1059)&amp;REPT("0",4-S1059)&amp;RIGHT("000"&amp;IFERROR(VALUE(MID(R1059,S1059+1,9)),0),3)&amp;RIGHT("0000"&amp;IFERROR(VALUE(MID(E1059,FIND("-",E1059)+1,9)),0),4))</f>
        <v/>
      </c>
      <c r="U1059" s="0" t="str">
        <f aca="false">IF(I1059=1,"K"&amp;RIGHT("00"&amp;A1059,2)&amp;T1059&amp;RIGHT("00000"&amp;ROW(),5),"")</f>
        <v/>
      </c>
      <c r="V1059" s="0" t="str">
        <f aca="false">IF(U1059="","",COUNTIFS($I$2:$I$1201,1,$U$2:$U$1201,"&lt;"&amp;U1059)+1)</f>
        <v/>
      </c>
    </row>
    <row r="1060" customFormat="false" ht="15" hidden="false" customHeight="false" outlineLevel="0" collapsed="false">
      <c r="A1060" s="0" t="n">
        <v>18</v>
      </c>
      <c r="B1060" s="0" t="n">
        <v>39</v>
      </c>
      <c r="C1060" s="0" t="str">
        <f aca="false">TRIM(SUBSTITUTE(INDEX(LISTAS!$A$4:$T$63,B1060,A1060)&amp;"",CHAR(160)," "))</f>
        <v/>
      </c>
      <c r="D1060" s="0" t="str">
        <f aca="false">IF(C1060="","",TRIM(RIGHT(SUBSTITUTE(C1060," ",REPT(" ",100)),100)))</f>
        <v/>
      </c>
      <c r="E1060" s="0" t="str">
        <f aca="false">IF(D1060="","",UPPER(SUBSTITUTE(SUBSTITUTE(D1060,"(",""),")","")))</f>
        <v/>
      </c>
      <c r="F1060" s="0" t="str">
        <f aca="false">IF(C1060="","",LEFT(C1060,FIND(" ",C1060&amp;" ")-1))</f>
        <v/>
      </c>
      <c r="G1060" s="0" t="n">
        <f aca="false">IFERROR(VALUE(SUBSTITUTE(LOWER(F1060),"x","")),0)</f>
        <v>0</v>
      </c>
      <c r="H1060" s="0" t="str">
        <f aca="false">IF(C1060="","",TRIM(MID(C1060,LEN(F1060)+2,999)))</f>
        <v/>
      </c>
      <c r="I1060" s="0" t="n">
        <f aca="false">IF(OR(C1060="",LEFT(C1060,2)="//"),0,IFERROR(IF(AND(G1060&gt;0,G1060=INT(G1060),FIND("-",E1060)&gt;1,NOT(EXACT(UPPER(LEFT(E1060,1)),LOWER(LEFT(E1060,1)))),ISNUMBER(VALUE(MID(E1060,FIND("-",E1060)+1,10)))),1,0),0))</f>
        <v>0</v>
      </c>
      <c r="J1060" s="0" t="str">
        <f aca="false">IF(I1060=1,TRIM(LEFT(H1060,MAX(0,LEN(H1060)-LEN(D1060)))),"")</f>
        <v/>
      </c>
      <c r="K1060" s="0" t="str">
        <f aca="false">INDEX($P$2:$P$21,A1060)</f>
        <v>Deck 18</v>
      </c>
      <c r="L1060" s="0" t="n">
        <f aca="false">IF(AND(C1060&lt;&gt;"",LEFT(C1060,2)&lt;&gt;"//",I1060=0),1,0)</f>
        <v>0</v>
      </c>
      <c r="M1060" s="0" t="str">
        <f aca="false">IF(I1060=1,MAX(M$1:M1059)+1,"")</f>
        <v/>
      </c>
      <c r="N1060" s="0" t="str">
        <f aca="false">IFERROR(MATCH(ROW()-1,$V$2:$V$1201,0),"")</f>
        <v/>
      </c>
      <c r="R1060" s="0" t="str">
        <f aca="false">IF(E1060="","",IFERROR(LEFT(E1060,FIND("-",E1060)-1),E1060))</f>
        <v/>
      </c>
      <c r="S1060" s="0" t="str">
        <f aca="false">IF(R1060="","",IF(ISNUMBER(--MID(R1060,1,1)),0,IF(ISNUMBER(--MID(R1060,2,1)),1,IF(ISNUMBER(--MID(R1060,3,1)),2,IF(ISNUMBER(--MID(R1060,4,1)),3,MIN(LEN(R1060),4))))))</f>
        <v/>
      </c>
      <c r="T1060" s="0" t="str">
        <f aca="false">IF(E1060="","",LEFT(R1060,S1060)&amp;REPT("0",4-S1060)&amp;RIGHT("000"&amp;IFERROR(VALUE(MID(R1060,S1060+1,9)),0),3)&amp;RIGHT("0000"&amp;IFERROR(VALUE(MID(E1060,FIND("-",E1060)+1,9)),0),4))</f>
        <v/>
      </c>
      <c r="U1060" s="0" t="str">
        <f aca="false">IF(I1060=1,"K"&amp;RIGHT("00"&amp;A1060,2)&amp;T1060&amp;RIGHT("00000"&amp;ROW(),5),"")</f>
        <v/>
      </c>
      <c r="V1060" s="0" t="str">
        <f aca="false">IF(U1060="","",COUNTIFS($I$2:$I$1201,1,$U$2:$U$1201,"&lt;"&amp;U1060)+1)</f>
        <v/>
      </c>
    </row>
    <row r="1061" customFormat="false" ht="15" hidden="false" customHeight="false" outlineLevel="0" collapsed="false">
      <c r="A1061" s="0" t="n">
        <v>18</v>
      </c>
      <c r="B1061" s="0" t="n">
        <v>40</v>
      </c>
      <c r="C1061" s="0" t="str">
        <f aca="false">TRIM(SUBSTITUTE(INDEX(LISTAS!$A$4:$T$63,B1061,A1061)&amp;"",CHAR(160)," "))</f>
        <v/>
      </c>
      <c r="D1061" s="0" t="str">
        <f aca="false">IF(C1061="","",TRIM(RIGHT(SUBSTITUTE(C1061," ",REPT(" ",100)),100)))</f>
        <v/>
      </c>
      <c r="E1061" s="0" t="str">
        <f aca="false">IF(D1061="","",UPPER(SUBSTITUTE(SUBSTITUTE(D1061,"(",""),")","")))</f>
        <v/>
      </c>
      <c r="F1061" s="0" t="str">
        <f aca="false">IF(C1061="","",LEFT(C1061,FIND(" ",C1061&amp;" ")-1))</f>
        <v/>
      </c>
      <c r="G1061" s="0" t="n">
        <f aca="false">IFERROR(VALUE(SUBSTITUTE(LOWER(F1061),"x","")),0)</f>
        <v>0</v>
      </c>
      <c r="H1061" s="0" t="str">
        <f aca="false">IF(C1061="","",TRIM(MID(C1061,LEN(F1061)+2,999)))</f>
        <v/>
      </c>
      <c r="I1061" s="0" t="n">
        <f aca="false">IF(OR(C1061="",LEFT(C1061,2)="//"),0,IFERROR(IF(AND(G1061&gt;0,G1061=INT(G1061),FIND("-",E1061)&gt;1,NOT(EXACT(UPPER(LEFT(E1061,1)),LOWER(LEFT(E1061,1)))),ISNUMBER(VALUE(MID(E1061,FIND("-",E1061)+1,10)))),1,0),0))</f>
        <v>0</v>
      </c>
      <c r="J1061" s="0" t="str">
        <f aca="false">IF(I1061=1,TRIM(LEFT(H1061,MAX(0,LEN(H1061)-LEN(D1061)))),"")</f>
        <v/>
      </c>
      <c r="K1061" s="0" t="str">
        <f aca="false">INDEX($P$2:$P$21,A1061)</f>
        <v>Deck 18</v>
      </c>
      <c r="L1061" s="0" t="n">
        <f aca="false">IF(AND(C1061&lt;&gt;"",LEFT(C1061,2)&lt;&gt;"//",I1061=0),1,0)</f>
        <v>0</v>
      </c>
      <c r="M1061" s="0" t="str">
        <f aca="false">IF(I1061=1,MAX(M$1:M1060)+1,"")</f>
        <v/>
      </c>
      <c r="N1061" s="0" t="str">
        <f aca="false">IFERROR(MATCH(ROW()-1,$V$2:$V$1201,0),"")</f>
        <v/>
      </c>
      <c r="R1061" s="0" t="str">
        <f aca="false">IF(E1061="","",IFERROR(LEFT(E1061,FIND("-",E1061)-1),E1061))</f>
        <v/>
      </c>
      <c r="S1061" s="0" t="str">
        <f aca="false">IF(R1061="","",IF(ISNUMBER(--MID(R1061,1,1)),0,IF(ISNUMBER(--MID(R1061,2,1)),1,IF(ISNUMBER(--MID(R1061,3,1)),2,IF(ISNUMBER(--MID(R1061,4,1)),3,MIN(LEN(R1061),4))))))</f>
        <v/>
      </c>
      <c r="T1061" s="0" t="str">
        <f aca="false">IF(E1061="","",LEFT(R1061,S1061)&amp;REPT("0",4-S1061)&amp;RIGHT("000"&amp;IFERROR(VALUE(MID(R1061,S1061+1,9)),0),3)&amp;RIGHT("0000"&amp;IFERROR(VALUE(MID(E1061,FIND("-",E1061)+1,9)),0),4))</f>
        <v/>
      </c>
      <c r="U1061" s="0" t="str">
        <f aca="false">IF(I1061=1,"K"&amp;RIGHT("00"&amp;A1061,2)&amp;T1061&amp;RIGHT("00000"&amp;ROW(),5),"")</f>
        <v/>
      </c>
      <c r="V1061" s="0" t="str">
        <f aca="false">IF(U1061="","",COUNTIFS($I$2:$I$1201,1,$U$2:$U$1201,"&lt;"&amp;U1061)+1)</f>
        <v/>
      </c>
    </row>
    <row r="1062" customFormat="false" ht="15" hidden="false" customHeight="false" outlineLevel="0" collapsed="false">
      <c r="A1062" s="0" t="n">
        <v>18</v>
      </c>
      <c r="B1062" s="0" t="n">
        <v>41</v>
      </c>
      <c r="C1062" s="0" t="str">
        <f aca="false">TRIM(SUBSTITUTE(INDEX(LISTAS!$A$4:$T$63,B1062,A1062)&amp;"",CHAR(160)," "))</f>
        <v/>
      </c>
      <c r="D1062" s="0" t="str">
        <f aca="false">IF(C1062="","",TRIM(RIGHT(SUBSTITUTE(C1062," ",REPT(" ",100)),100)))</f>
        <v/>
      </c>
      <c r="E1062" s="0" t="str">
        <f aca="false">IF(D1062="","",UPPER(SUBSTITUTE(SUBSTITUTE(D1062,"(",""),")","")))</f>
        <v/>
      </c>
      <c r="F1062" s="0" t="str">
        <f aca="false">IF(C1062="","",LEFT(C1062,FIND(" ",C1062&amp;" ")-1))</f>
        <v/>
      </c>
      <c r="G1062" s="0" t="n">
        <f aca="false">IFERROR(VALUE(SUBSTITUTE(LOWER(F1062),"x","")),0)</f>
        <v>0</v>
      </c>
      <c r="H1062" s="0" t="str">
        <f aca="false">IF(C1062="","",TRIM(MID(C1062,LEN(F1062)+2,999)))</f>
        <v/>
      </c>
      <c r="I1062" s="0" t="n">
        <f aca="false">IF(OR(C1062="",LEFT(C1062,2)="//"),0,IFERROR(IF(AND(G1062&gt;0,G1062=INT(G1062),FIND("-",E1062)&gt;1,NOT(EXACT(UPPER(LEFT(E1062,1)),LOWER(LEFT(E1062,1)))),ISNUMBER(VALUE(MID(E1062,FIND("-",E1062)+1,10)))),1,0),0))</f>
        <v>0</v>
      </c>
      <c r="J1062" s="0" t="str">
        <f aca="false">IF(I1062=1,TRIM(LEFT(H1062,MAX(0,LEN(H1062)-LEN(D1062)))),"")</f>
        <v/>
      </c>
      <c r="K1062" s="0" t="str">
        <f aca="false">INDEX($P$2:$P$21,A1062)</f>
        <v>Deck 18</v>
      </c>
      <c r="L1062" s="0" t="n">
        <f aca="false">IF(AND(C1062&lt;&gt;"",LEFT(C1062,2)&lt;&gt;"//",I1062=0),1,0)</f>
        <v>0</v>
      </c>
      <c r="M1062" s="0" t="str">
        <f aca="false">IF(I1062=1,MAX(M$1:M1061)+1,"")</f>
        <v/>
      </c>
      <c r="N1062" s="0" t="str">
        <f aca="false">IFERROR(MATCH(ROW()-1,$V$2:$V$1201,0),"")</f>
        <v/>
      </c>
      <c r="R1062" s="0" t="str">
        <f aca="false">IF(E1062="","",IFERROR(LEFT(E1062,FIND("-",E1062)-1),E1062))</f>
        <v/>
      </c>
      <c r="S1062" s="0" t="str">
        <f aca="false">IF(R1062="","",IF(ISNUMBER(--MID(R1062,1,1)),0,IF(ISNUMBER(--MID(R1062,2,1)),1,IF(ISNUMBER(--MID(R1062,3,1)),2,IF(ISNUMBER(--MID(R1062,4,1)),3,MIN(LEN(R1062),4))))))</f>
        <v/>
      </c>
      <c r="T1062" s="0" t="str">
        <f aca="false">IF(E1062="","",LEFT(R1062,S1062)&amp;REPT("0",4-S1062)&amp;RIGHT("000"&amp;IFERROR(VALUE(MID(R1062,S1062+1,9)),0),3)&amp;RIGHT("0000"&amp;IFERROR(VALUE(MID(E1062,FIND("-",E1062)+1,9)),0),4))</f>
        <v/>
      </c>
      <c r="U1062" s="0" t="str">
        <f aca="false">IF(I1062=1,"K"&amp;RIGHT("00"&amp;A1062,2)&amp;T1062&amp;RIGHT("00000"&amp;ROW(),5),"")</f>
        <v/>
      </c>
      <c r="V1062" s="0" t="str">
        <f aca="false">IF(U1062="","",COUNTIFS($I$2:$I$1201,1,$U$2:$U$1201,"&lt;"&amp;U1062)+1)</f>
        <v/>
      </c>
    </row>
    <row r="1063" customFormat="false" ht="15" hidden="false" customHeight="false" outlineLevel="0" collapsed="false">
      <c r="A1063" s="0" t="n">
        <v>18</v>
      </c>
      <c r="B1063" s="0" t="n">
        <v>42</v>
      </c>
      <c r="C1063" s="0" t="str">
        <f aca="false">TRIM(SUBSTITUTE(INDEX(LISTAS!$A$4:$T$63,B1063,A1063)&amp;"",CHAR(160)," "))</f>
        <v/>
      </c>
      <c r="D1063" s="0" t="str">
        <f aca="false">IF(C1063="","",TRIM(RIGHT(SUBSTITUTE(C1063," ",REPT(" ",100)),100)))</f>
        <v/>
      </c>
      <c r="E1063" s="0" t="str">
        <f aca="false">IF(D1063="","",UPPER(SUBSTITUTE(SUBSTITUTE(D1063,"(",""),")","")))</f>
        <v/>
      </c>
      <c r="F1063" s="0" t="str">
        <f aca="false">IF(C1063="","",LEFT(C1063,FIND(" ",C1063&amp;" ")-1))</f>
        <v/>
      </c>
      <c r="G1063" s="0" t="n">
        <f aca="false">IFERROR(VALUE(SUBSTITUTE(LOWER(F1063),"x","")),0)</f>
        <v>0</v>
      </c>
      <c r="H1063" s="0" t="str">
        <f aca="false">IF(C1063="","",TRIM(MID(C1063,LEN(F1063)+2,999)))</f>
        <v/>
      </c>
      <c r="I1063" s="0" t="n">
        <f aca="false">IF(OR(C1063="",LEFT(C1063,2)="//"),0,IFERROR(IF(AND(G1063&gt;0,G1063=INT(G1063),FIND("-",E1063)&gt;1,NOT(EXACT(UPPER(LEFT(E1063,1)),LOWER(LEFT(E1063,1)))),ISNUMBER(VALUE(MID(E1063,FIND("-",E1063)+1,10)))),1,0),0))</f>
        <v>0</v>
      </c>
      <c r="J1063" s="0" t="str">
        <f aca="false">IF(I1063=1,TRIM(LEFT(H1063,MAX(0,LEN(H1063)-LEN(D1063)))),"")</f>
        <v/>
      </c>
      <c r="K1063" s="0" t="str">
        <f aca="false">INDEX($P$2:$P$21,A1063)</f>
        <v>Deck 18</v>
      </c>
      <c r="L1063" s="0" t="n">
        <f aca="false">IF(AND(C1063&lt;&gt;"",LEFT(C1063,2)&lt;&gt;"//",I1063=0),1,0)</f>
        <v>0</v>
      </c>
      <c r="M1063" s="0" t="str">
        <f aca="false">IF(I1063=1,MAX(M$1:M1062)+1,"")</f>
        <v/>
      </c>
      <c r="N1063" s="0" t="str">
        <f aca="false">IFERROR(MATCH(ROW()-1,$V$2:$V$1201,0),"")</f>
        <v/>
      </c>
      <c r="R1063" s="0" t="str">
        <f aca="false">IF(E1063="","",IFERROR(LEFT(E1063,FIND("-",E1063)-1),E1063))</f>
        <v/>
      </c>
      <c r="S1063" s="0" t="str">
        <f aca="false">IF(R1063="","",IF(ISNUMBER(--MID(R1063,1,1)),0,IF(ISNUMBER(--MID(R1063,2,1)),1,IF(ISNUMBER(--MID(R1063,3,1)),2,IF(ISNUMBER(--MID(R1063,4,1)),3,MIN(LEN(R1063),4))))))</f>
        <v/>
      </c>
      <c r="T1063" s="0" t="str">
        <f aca="false">IF(E1063="","",LEFT(R1063,S1063)&amp;REPT("0",4-S1063)&amp;RIGHT("000"&amp;IFERROR(VALUE(MID(R1063,S1063+1,9)),0),3)&amp;RIGHT("0000"&amp;IFERROR(VALUE(MID(E1063,FIND("-",E1063)+1,9)),0),4))</f>
        <v/>
      </c>
      <c r="U1063" s="0" t="str">
        <f aca="false">IF(I1063=1,"K"&amp;RIGHT("00"&amp;A1063,2)&amp;T1063&amp;RIGHT("00000"&amp;ROW(),5),"")</f>
        <v/>
      </c>
      <c r="V1063" s="0" t="str">
        <f aca="false">IF(U1063="","",COUNTIFS($I$2:$I$1201,1,$U$2:$U$1201,"&lt;"&amp;U1063)+1)</f>
        <v/>
      </c>
    </row>
    <row r="1064" customFormat="false" ht="15" hidden="false" customHeight="false" outlineLevel="0" collapsed="false">
      <c r="A1064" s="0" t="n">
        <v>18</v>
      </c>
      <c r="B1064" s="0" t="n">
        <v>43</v>
      </c>
      <c r="C1064" s="0" t="str">
        <f aca="false">TRIM(SUBSTITUTE(INDEX(LISTAS!$A$4:$T$63,B1064,A1064)&amp;"",CHAR(160)," "))</f>
        <v/>
      </c>
      <c r="D1064" s="0" t="str">
        <f aca="false">IF(C1064="","",TRIM(RIGHT(SUBSTITUTE(C1064," ",REPT(" ",100)),100)))</f>
        <v/>
      </c>
      <c r="E1064" s="0" t="str">
        <f aca="false">IF(D1064="","",UPPER(SUBSTITUTE(SUBSTITUTE(D1064,"(",""),")","")))</f>
        <v/>
      </c>
      <c r="F1064" s="0" t="str">
        <f aca="false">IF(C1064="","",LEFT(C1064,FIND(" ",C1064&amp;" ")-1))</f>
        <v/>
      </c>
      <c r="G1064" s="0" t="n">
        <f aca="false">IFERROR(VALUE(SUBSTITUTE(LOWER(F1064),"x","")),0)</f>
        <v>0</v>
      </c>
      <c r="H1064" s="0" t="str">
        <f aca="false">IF(C1064="","",TRIM(MID(C1064,LEN(F1064)+2,999)))</f>
        <v/>
      </c>
      <c r="I1064" s="0" t="n">
        <f aca="false">IF(OR(C1064="",LEFT(C1064,2)="//"),0,IFERROR(IF(AND(G1064&gt;0,G1064=INT(G1064),FIND("-",E1064)&gt;1,NOT(EXACT(UPPER(LEFT(E1064,1)),LOWER(LEFT(E1064,1)))),ISNUMBER(VALUE(MID(E1064,FIND("-",E1064)+1,10)))),1,0),0))</f>
        <v>0</v>
      </c>
      <c r="J1064" s="0" t="str">
        <f aca="false">IF(I1064=1,TRIM(LEFT(H1064,MAX(0,LEN(H1064)-LEN(D1064)))),"")</f>
        <v/>
      </c>
      <c r="K1064" s="0" t="str">
        <f aca="false">INDEX($P$2:$P$21,A1064)</f>
        <v>Deck 18</v>
      </c>
      <c r="L1064" s="0" t="n">
        <f aca="false">IF(AND(C1064&lt;&gt;"",LEFT(C1064,2)&lt;&gt;"//",I1064=0),1,0)</f>
        <v>0</v>
      </c>
      <c r="M1064" s="0" t="str">
        <f aca="false">IF(I1064=1,MAX(M$1:M1063)+1,"")</f>
        <v/>
      </c>
      <c r="N1064" s="0" t="str">
        <f aca="false">IFERROR(MATCH(ROW()-1,$V$2:$V$1201,0),"")</f>
        <v/>
      </c>
      <c r="R1064" s="0" t="str">
        <f aca="false">IF(E1064="","",IFERROR(LEFT(E1064,FIND("-",E1064)-1),E1064))</f>
        <v/>
      </c>
      <c r="S1064" s="0" t="str">
        <f aca="false">IF(R1064="","",IF(ISNUMBER(--MID(R1064,1,1)),0,IF(ISNUMBER(--MID(R1064,2,1)),1,IF(ISNUMBER(--MID(R1064,3,1)),2,IF(ISNUMBER(--MID(R1064,4,1)),3,MIN(LEN(R1064),4))))))</f>
        <v/>
      </c>
      <c r="T1064" s="0" t="str">
        <f aca="false">IF(E1064="","",LEFT(R1064,S1064)&amp;REPT("0",4-S1064)&amp;RIGHT("000"&amp;IFERROR(VALUE(MID(R1064,S1064+1,9)),0),3)&amp;RIGHT("0000"&amp;IFERROR(VALUE(MID(E1064,FIND("-",E1064)+1,9)),0),4))</f>
        <v/>
      </c>
      <c r="U1064" s="0" t="str">
        <f aca="false">IF(I1064=1,"K"&amp;RIGHT("00"&amp;A1064,2)&amp;T1064&amp;RIGHT("00000"&amp;ROW(),5),"")</f>
        <v/>
      </c>
      <c r="V1064" s="0" t="str">
        <f aca="false">IF(U1064="","",COUNTIFS($I$2:$I$1201,1,$U$2:$U$1201,"&lt;"&amp;U1064)+1)</f>
        <v/>
      </c>
    </row>
    <row r="1065" customFormat="false" ht="15" hidden="false" customHeight="false" outlineLevel="0" collapsed="false">
      <c r="A1065" s="0" t="n">
        <v>18</v>
      </c>
      <c r="B1065" s="0" t="n">
        <v>44</v>
      </c>
      <c r="C1065" s="0" t="str">
        <f aca="false">TRIM(SUBSTITUTE(INDEX(LISTAS!$A$4:$T$63,B1065,A1065)&amp;"",CHAR(160)," "))</f>
        <v/>
      </c>
      <c r="D1065" s="0" t="str">
        <f aca="false">IF(C1065="","",TRIM(RIGHT(SUBSTITUTE(C1065," ",REPT(" ",100)),100)))</f>
        <v/>
      </c>
      <c r="E1065" s="0" t="str">
        <f aca="false">IF(D1065="","",UPPER(SUBSTITUTE(SUBSTITUTE(D1065,"(",""),")","")))</f>
        <v/>
      </c>
      <c r="F1065" s="0" t="str">
        <f aca="false">IF(C1065="","",LEFT(C1065,FIND(" ",C1065&amp;" ")-1))</f>
        <v/>
      </c>
      <c r="G1065" s="0" t="n">
        <f aca="false">IFERROR(VALUE(SUBSTITUTE(LOWER(F1065),"x","")),0)</f>
        <v>0</v>
      </c>
      <c r="H1065" s="0" t="str">
        <f aca="false">IF(C1065="","",TRIM(MID(C1065,LEN(F1065)+2,999)))</f>
        <v/>
      </c>
      <c r="I1065" s="0" t="n">
        <f aca="false">IF(OR(C1065="",LEFT(C1065,2)="//"),0,IFERROR(IF(AND(G1065&gt;0,G1065=INT(G1065),FIND("-",E1065)&gt;1,NOT(EXACT(UPPER(LEFT(E1065,1)),LOWER(LEFT(E1065,1)))),ISNUMBER(VALUE(MID(E1065,FIND("-",E1065)+1,10)))),1,0),0))</f>
        <v>0</v>
      </c>
      <c r="J1065" s="0" t="str">
        <f aca="false">IF(I1065=1,TRIM(LEFT(H1065,MAX(0,LEN(H1065)-LEN(D1065)))),"")</f>
        <v/>
      </c>
      <c r="K1065" s="0" t="str">
        <f aca="false">INDEX($P$2:$P$21,A1065)</f>
        <v>Deck 18</v>
      </c>
      <c r="L1065" s="0" t="n">
        <f aca="false">IF(AND(C1065&lt;&gt;"",LEFT(C1065,2)&lt;&gt;"//",I1065=0),1,0)</f>
        <v>0</v>
      </c>
      <c r="M1065" s="0" t="str">
        <f aca="false">IF(I1065=1,MAX(M$1:M1064)+1,"")</f>
        <v/>
      </c>
      <c r="N1065" s="0" t="str">
        <f aca="false">IFERROR(MATCH(ROW()-1,$V$2:$V$1201,0),"")</f>
        <v/>
      </c>
      <c r="R1065" s="0" t="str">
        <f aca="false">IF(E1065="","",IFERROR(LEFT(E1065,FIND("-",E1065)-1),E1065))</f>
        <v/>
      </c>
      <c r="S1065" s="0" t="str">
        <f aca="false">IF(R1065="","",IF(ISNUMBER(--MID(R1065,1,1)),0,IF(ISNUMBER(--MID(R1065,2,1)),1,IF(ISNUMBER(--MID(R1065,3,1)),2,IF(ISNUMBER(--MID(R1065,4,1)),3,MIN(LEN(R1065),4))))))</f>
        <v/>
      </c>
      <c r="T1065" s="0" t="str">
        <f aca="false">IF(E1065="","",LEFT(R1065,S1065)&amp;REPT("0",4-S1065)&amp;RIGHT("000"&amp;IFERROR(VALUE(MID(R1065,S1065+1,9)),0),3)&amp;RIGHT("0000"&amp;IFERROR(VALUE(MID(E1065,FIND("-",E1065)+1,9)),0),4))</f>
        <v/>
      </c>
      <c r="U1065" s="0" t="str">
        <f aca="false">IF(I1065=1,"K"&amp;RIGHT("00"&amp;A1065,2)&amp;T1065&amp;RIGHT("00000"&amp;ROW(),5),"")</f>
        <v/>
      </c>
      <c r="V1065" s="0" t="str">
        <f aca="false">IF(U1065="","",COUNTIFS($I$2:$I$1201,1,$U$2:$U$1201,"&lt;"&amp;U1065)+1)</f>
        <v/>
      </c>
    </row>
    <row r="1066" customFormat="false" ht="15" hidden="false" customHeight="false" outlineLevel="0" collapsed="false">
      <c r="A1066" s="0" t="n">
        <v>18</v>
      </c>
      <c r="B1066" s="0" t="n">
        <v>45</v>
      </c>
      <c r="C1066" s="0" t="str">
        <f aca="false">TRIM(SUBSTITUTE(INDEX(LISTAS!$A$4:$T$63,B1066,A1066)&amp;"",CHAR(160)," "))</f>
        <v/>
      </c>
      <c r="D1066" s="0" t="str">
        <f aca="false">IF(C1066="","",TRIM(RIGHT(SUBSTITUTE(C1066," ",REPT(" ",100)),100)))</f>
        <v/>
      </c>
      <c r="E1066" s="0" t="str">
        <f aca="false">IF(D1066="","",UPPER(SUBSTITUTE(SUBSTITUTE(D1066,"(",""),")","")))</f>
        <v/>
      </c>
      <c r="F1066" s="0" t="str">
        <f aca="false">IF(C1066="","",LEFT(C1066,FIND(" ",C1066&amp;" ")-1))</f>
        <v/>
      </c>
      <c r="G1066" s="0" t="n">
        <f aca="false">IFERROR(VALUE(SUBSTITUTE(LOWER(F1066),"x","")),0)</f>
        <v>0</v>
      </c>
      <c r="H1066" s="0" t="str">
        <f aca="false">IF(C1066="","",TRIM(MID(C1066,LEN(F1066)+2,999)))</f>
        <v/>
      </c>
      <c r="I1066" s="0" t="n">
        <f aca="false">IF(OR(C1066="",LEFT(C1066,2)="//"),0,IFERROR(IF(AND(G1066&gt;0,G1066=INT(G1066),FIND("-",E1066)&gt;1,NOT(EXACT(UPPER(LEFT(E1066,1)),LOWER(LEFT(E1066,1)))),ISNUMBER(VALUE(MID(E1066,FIND("-",E1066)+1,10)))),1,0),0))</f>
        <v>0</v>
      </c>
      <c r="J1066" s="0" t="str">
        <f aca="false">IF(I1066=1,TRIM(LEFT(H1066,MAX(0,LEN(H1066)-LEN(D1066)))),"")</f>
        <v/>
      </c>
      <c r="K1066" s="0" t="str">
        <f aca="false">INDEX($P$2:$P$21,A1066)</f>
        <v>Deck 18</v>
      </c>
      <c r="L1066" s="0" t="n">
        <f aca="false">IF(AND(C1066&lt;&gt;"",LEFT(C1066,2)&lt;&gt;"//",I1066=0),1,0)</f>
        <v>0</v>
      </c>
      <c r="M1066" s="0" t="str">
        <f aca="false">IF(I1066=1,MAX(M$1:M1065)+1,"")</f>
        <v/>
      </c>
      <c r="N1066" s="0" t="str">
        <f aca="false">IFERROR(MATCH(ROW()-1,$V$2:$V$1201,0),"")</f>
        <v/>
      </c>
      <c r="R1066" s="0" t="str">
        <f aca="false">IF(E1066="","",IFERROR(LEFT(E1066,FIND("-",E1066)-1),E1066))</f>
        <v/>
      </c>
      <c r="S1066" s="0" t="str">
        <f aca="false">IF(R1066="","",IF(ISNUMBER(--MID(R1066,1,1)),0,IF(ISNUMBER(--MID(R1066,2,1)),1,IF(ISNUMBER(--MID(R1066,3,1)),2,IF(ISNUMBER(--MID(R1066,4,1)),3,MIN(LEN(R1066),4))))))</f>
        <v/>
      </c>
      <c r="T1066" s="0" t="str">
        <f aca="false">IF(E1066="","",LEFT(R1066,S1066)&amp;REPT("0",4-S1066)&amp;RIGHT("000"&amp;IFERROR(VALUE(MID(R1066,S1066+1,9)),0),3)&amp;RIGHT("0000"&amp;IFERROR(VALUE(MID(E1066,FIND("-",E1066)+1,9)),0),4))</f>
        <v/>
      </c>
      <c r="U1066" s="0" t="str">
        <f aca="false">IF(I1066=1,"K"&amp;RIGHT("00"&amp;A1066,2)&amp;T1066&amp;RIGHT("00000"&amp;ROW(),5),"")</f>
        <v/>
      </c>
      <c r="V1066" s="0" t="str">
        <f aca="false">IF(U1066="","",COUNTIFS($I$2:$I$1201,1,$U$2:$U$1201,"&lt;"&amp;U1066)+1)</f>
        <v/>
      </c>
    </row>
    <row r="1067" customFormat="false" ht="15" hidden="false" customHeight="false" outlineLevel="0" collapsed="false">
      <c r="A1067" s="0" t="n">
        <v>18</v>
      </c>
      <c r="B1067" s="0" t="n">
        <v>46</v>
      </c>
      <c r="C1067" s="0" t="str">
        <f aca="false">TRIM(SUBSTITUTE(INDEX(LISTAS!$A$4:$T$63,B1067,A1067)&amp;"",CHAR(160)," "))</f>
        <v/>
      </c>
      <c r="D1067" s="0" t="str">
        <f aca="false">IF(C1067="","",TRIM(RIGHT(SUBSTITUTE(C1067," ",REPT(" ",100)),100)))</f>
        <v/>
      </c>
      <c r="E1067" s="0" t="str">
        <f aca="false">IF(D1067="","",UPPER(SUBSTITUTE(SUBSTITUTE(D1067,"(",""),")","")))</f>
        <v/>
      </c>
      <c r="F1067" s="0" t="str">
        <f aca="false">IF(C1067="","",LEFT(C1067,FIND(" ",C1067&amp;" ")-1))</f>
        <v/>
      </c>
      <c r="G1067" s="0" t="n">
        <f aca="false">IFERROR(VALUE(SUBSTITUTE(LOWER(F1067),"x","")),0)</f>
        <v>0</v>
      </c>
      <c r="H1067" s="0" t="str">
        <f aca="false">IF(C1067="","",TRIM(MID(C1067,LEN(F1067)+2,999)))</f>
        <v/>
      </c>
      <c r="I1067" s="0" t="n">
        <f aca="false">IF(OR(C1067="",LEFT(C1067,2)="//"),0,IFERROR(IF(AND(G1067&gt;0,G1067=INT(G1067),FIND("-",E1067)&gt;1,NOT(EXACT(UPPER(LEFT(E1067,1)),LOWER(LEFT(E1067,1)))),ISNUMBER(VALUE(MID(E1067,FIND("-",E1067)+1,10)))),1,0),0))</f>
        <v>0</v>
      </c>
      <c r="J1067" s="0" t="str">
        <f aca="false">IF(I1067=1,TRIM(LEFT(H1067,MAX(0,LEN(H1067)-LEN(D1067)))),"")</f>
        <v/>
      </c>
      <c r="K1067" s="0" t="str">
        <f aca="false">INDEX($P$2:$P$21,A1067)</f>
        <v>Deck 18</v>
      </c>
      <c r="L1067" s="0" t="n">
        <f aca="false">IF(AND(C1067&lt;&gt;"",LEFT(C1067,2)&lt;&gt;"//",I1067=0),1,0)</f>
        <v>0</v>
      </c>
      <c r="M1067" s="0" t="str">
        <f aca="false">IF(I1067=1,MAX(M$1:M1066)+1,"")</f>
        <v/>
      </c>
      <c r="N1067" s="0" t="str">
        <f aca="false">IFERROR(MATCH(ROW()-1,$V$2:$V$1201,0),"")</f>
        <v/>
      </c>
      <c r="R1067" s="0" t="str">
        <f aca="false">IF(E1067="","",IFERROR(LEFT(E1067,FIND("-",E1067)-1),E1067))</f>
        <v/>
      </c>
      <c r="S1067" s="0" t="str">
        <f aca="false">IF(R1067="","",IF(ISNUMBER(--MID(R1067,1,1)),0,IF(ISNUMBER(--MID(R1067,2,1)),1,IF(ISNUMBER(--MID(R1067,3,1)),2,IF(ISNUMBER(--MID(R1067,4,1)),3,MIN(LEN(R1067),4))))))</f>
        <v/>
      </c>
      <c r="T1067" s="0" t="str">
        <f aca="false">IF(E1067="","",LEFT(R1067,S1067)&amp;REPT("0",4-S1067)&amp;RIGHT("000"&amp;IFERROR(VALUE(MID(R1067,S1067+1,9)),0),3)&amp;RIGHT("0000"&amp;IFERROR(VALUE(MID(E1067,FIND("-",E1067)+1,9)),0),4))</f>
        <v/>
      </c>
      <c r="U1067" s="0" t="str">
        <f aca="false">IF(I1067=1,"K"&amp;RIGHT("00"&amp;A1067,2)&amp;T1067&amp;RIGHT("00000"&amp;ROW(),5),"")</f>
        <v/>
      </c>
      <c r="V1067" s="0" t="str">
        <f aca="false">IF(U1067="","",COUNTIFS($I$2:$I$1201,1,$U$2:$U$1201,"&lt;"&amp;U1067)+1)</f>
        <v/>
      </c>
    </row>
    <row r="1068" customFormat="false" ht="15" hidden="false" customHeight="false" outlineLevel="0" collapsed="false">
      <c r="A1068" s="0" t="n">
        <v>18</v>
      </c>
      <c r="B1068" s="0" t="n">
        <v>47</v>
      </c>
      <c r="C1068" s="0" t="str">
        <f aca="false">TRIM(SUBSTITUTE(INDEX(LISTAS!$A$4:$T$63,B1068,A1068)&amp;"",CHAR(160)," "))</f>
        <v/>
      </c>
      <c r="D1068" s="0" t="str">
        <f aca="false">IF(C1068="","",TRIM(RIGHT(SUBSTITUTE(C1068," ",REPT(" ",100)),100)))</f>
        <v/>
      </c>
      <c r="E1068" s="0" t="str">
        <f aca="false">IF(D1068="","",UPPER(SUBSTITUTE(SUBSTITUTE(D1068,"(",""),")","")))</f>
        <v/>
      </c>
      <c r="F1068" s="0" t="str">
        <f aca="false">IF(C1068="","",LEFT(C1068,FIND(" ",C1068&amp;" ")-1))</f>
        <v/>
      </c>
      <c r="G1068" s="0" t="n">
        <f aca="false">IFERROR(VALUE(SUBSTITUTE(LOWER(F1068),"x","")),0)</f>
        <v>0</v>
      </c>
      <c r="H1068" s="0" t="str">
        <f aca="false">IF(C1068="","",TRIM(MID(C1068,LEN(F1068)+2,999)))</f>
        <v/>
      </c>
      <c r="I1068" s="0" t="n">
        <f aca="false">IF(OR(C1068="",LEFT(C1068,2)="//"),0,IFERROR(IF(AND(G1068&gt;0,G1068=INT(G1068),FIND("-",E1068)&gt;1,NOT(EXACT(UPPER(LEFT(E1068,1)),LOWER(LEFT(E1068,1)))),ISNUMBER(VALUE(MID(E1068,FIND("-",E1068)+1,10)))),1,0),0))</f>
        <v>0</v>
      </c>
      <c r="J1068" s="0" t="str">
        <f aca="false">IF(I1068=1,TRIM(LEFT(H1068,MAX(0,LEN(H1068)-LEN(D1068)))),"")</f>
        <v/>
      </c>
      <c r="K1068" s="0" t="str">
        <f aca="false">INDEX($P$2:$P$21,A1068)</f>
        <v>Deck 18</v>
      </c>
      <c r="L1068" s="0" t="n">
        <f aca="false">IF(AND(C1068&lt;&gt;"",LEFT(C1068,2)&lt;&gt;"//",I1068=0),1,0)</f>
        <v>0</v>
      </c>
      <c r="M1068" s="0" t="str">
        <f aca="false">IF(I1068=1,MAX(M$1:M1067)+1,"")</f>
        <v/>
      </c>
      <c r="N1068" s="0" t="str">
        <f aca="false">IFERROR(MATCH(ROW()-1,$V$2:$V$1201,0),"")</f>
        <v/>
      </c>
      <c r="R1068" s="0" t="str">
        <f aca="false">IF(E1068="","",IFERROR(LEFT(E1068,FIND("-",E1068)-1),E1068))</f>
        <v/>
      </c>
      <c r="S1068" s="0" t="str">
        <f aca="false">IF(R1068="","",IF(ISNUMBER(--MID(R1068,1,1)),0,IF(ISNUMBER(--MID(R1068,2,1)),1,IF(ISNUMBER(--MID(R1068,3,1)),2,IF(ISNUMBER(--MID(R1068,4,1)),3,MIN(LEN(R1068),4))))))</f>
        <v/>
      </c>
      <c r="T1068" s="0" t="str">
        <f aca="false">IF(E1068="","",LEFT(R1068,S1068)&amp;REPT("0",4-S1068)&amp;RIGHT("000"&amp;IFERROR(VALUE(MID(R1068,S1068+1,9)),0),3)&amp;RIGHT("0000"&amp;IFERROR(VALUE(MID(E1068,FIND("-",E1068)+1,9)),0),4))</f>
        <v/>
      </c>
      <c r="U1068" s="0" t="str">
        <f aca="false">IF(I1068=1,"K"&amp;RIGHT("00"&amp;A1068,2)&amp;T1068&amp;RIGHT("00000"&amp;ROW(),5),"")</f>
        <v/>
      </c>
      <c r="V1068" s="0" t="str">
        <f aca="false">IF(U1068="","",COUNTIFS($I$2:$I$1201,1,$U$2:$U$1201,"&lt;"&amp;U1068)+1)</f>
        <v/>
      </c>
    </row>
    <row r="1069" customFormat="false" ht="15" hidden="false" customHeight="false" outlineLevel="0" collapsed="false">
      <c r="A1069" s="0" t="n">
        <v>18</v>
      </c>
      <c r="B1069" s="0" t="n">
        <v>48</v>
      </c>
      <c r="C1069" s="0" t="str">
        <f aca="false">TRIM(SUBSTITUTE(INDEX(LISTAS!$A$4:$T$63,B1069,A1069)&amp;"",CHAR(160)," "))</f>
        <v/>
      </c>
      <c r="D1069" s="0" t="str">
        <f aca="false">IF(C1069="","",TRIM(RIGHT(SUBSTITUTE(C1069," ",REPT(" ",100)),100)))</f>
        <v/>
      </c>
      <c r="E1069" s="0" t="str">
        <f aca="false">IF(D1069="","",UPPER(SUBSTITUTE(SUBSTITUTE(D1069,"(",""),")","")))</f>
        <v/>
      </c>
      <c r="F1069" s="0" t="str">
        <f aca="false">IF(C1069="","",LEFT(C1069,FIND(" ",C1069&amp;" ")-1))</f>
        <v/>
      </c>
      <c r="G1069" s="0" t="n">
        <f aca="false">IFERROR(VALUE(SUBSTITUTE(LOWER(F1069),"x","")),0)</f>
        <v>0</v>
      </c>
      <c r="H1069" s="0" t="str">
        <f aca="false">IF(C1069="","",TRIM(MID(C1069,LEN(F1069)+2,999)))</f>
        <v/>
      </c>
      <c r="I1069" s="0" t="n">
        <f aca="false">IF(OR(C1069="",LEFT(C1069,2)="//"),0,IFERROR(IF(AND(G1069&gt;0,G1069=INT(G1069),FIND("-",E1069)&gt;1,NOT(EXACT(UPPER(LEFT(E1069,1)),LOWER(LEFT(E1069,1)))),ISNUMBER(VALUE(MID(E1069,FIND("-",E1069)+1,10)))),1,0),0))</f>
        <v>0</v>
      </c>
      <c r="J1069" s="0" t="str">
        <f aca="false">IF(I1069=1,TRIM(LEFT(H1069,MAX(0,LEN(H1069)-LEN(D1069)))),"")</f>
        <v/>
      </c>
      <c r="K1069" s="0" t="str">
        <f aca="false">INDEX($P$2:$P$21,A1069)</f>
        <v>Deck 18</v>
      </c>
      <c r="L1069" s="0" t="n">
        <f aca="false">IF(AND(C1069&lt;&gt;"",LEFT(C1069,2)&lt;&gt;"//",I1069=0),1,0)</f>
        <v>0</v>
      </c>
      <c r="M1069" s="0" t="str">
        <f aca="false">IF(I1069=1,MAX(M$1:M1068)+1,"")</f>
        <v/>
      </c>
      <c r="N1069" s="0" t="str">
        <f aca="false">IFERROR(MATCH(ROW()-1,$V$2:$V$1201,0),"")</f>
        <v/>
      </c>
      <c r="R1069" s="0" t="str">
        <f aca="false">IF(E1069="","",IFERROR(LEFT(E1069,FIND("-",E1069)-1),E1069))</f>
        <v/>
      </c>
      <c r="S1069" s="0" t="str">
        <f aca="false">IF(R1069="","",IF(ISNUMBER(--MID(R1069,1,1)),0,IF(ISNUMBER(--MID(R1069,2,1)),1,IF(ISNUMBER(--MID(R1069,3,1)),2,IF(ISNUMBER(--MID(R1069,4,1)),3,MIN(LEN(R1069),4))))))</f>
        <v/>
      </c>
      <c r="T1069" s="0" t="str">
        <f aca="false">IF(E1069="","",LEFT(R1069,S1069)&amp;REPT("0",4-S1069)&amp;RIGHT("000"&amp;IFERROR(VALUE(MID(R1069,S1069+1,9)),0),3)&amp;RIGHT("0000"&amp;IFERROR(VALUE(MID(E1069,FIND("-",E1069)+1,9)),0),4))</f>
        <v/>
      </c>
      <c r="U1069" s="0" t="str">
        <f aca="false">IF(I1069=1,"K"&amp;RIGHT("00"&amp;A1069,2)&amp;T1069&amp;RIGHT("00000"&amp;ROW(),5),"")</f>
        <v/>
      </c>
      <c r="V1069" s="0" t="str">
        <f aca="false">IF(U1069="","",COUNTIFS($I$2:$I$1201,1,$U$2:$U$1201,"&lt;"&amp;U1069)+1)</f>
        <v/>
      </c>
    </row>
    <row r="1070" customFormat="false" ht="15" hidden="false" customHeight="false" outlineLevel="0" collapsed="false">
      <c r="A1070" s="0" t="n">
        <v>18</v>
      </c>
      <c r="B1070" s="0" t="n">
        <v>49</v>
      </c>
      <c r="C1070" s="0" t="str">
        <f aca="false">TRIM(SUBSTITUTE(INDEX(LISTAS!$A$4:$T$63,B1070,A1070)&amp;"",CHAR(160)," "))</f>
        <v/>
      </c>
      <c r="D1070" s="0" t="str">
        <f aca="false">IF(C1070="","",TRIM(RIGHT(SUBSTITUTE(C1070," ",REPT(" ",100)),100)))</f>
        <v/>
      </c>
      <c r="E1070" s="0" t="str">
        <f aca="false">IF(D1070="","",UPPER(SUBSTITUTE(SUBSTITUTE(D1070,"(",""),")","")))</f>
        <v/>
      </c>
      <c r="F1070" s="0" t="str">
        <f aca="false">IF(C1070="","",LEFT(C1070,FIND(" ",C1070&amp;" ")-1))</f>
        <v/>
      </c>
      <c r="G1070" s="0" t="n">
        <f aca="false">IFERROR(VALUE(SUBSTITUTE(LOWER(F1070),"x","")),0)</f>
        <v>0</v>
      </c>
      <c r="H1070" s="0" t="str">
        <f aca="false">IF(C1070="","",TRIM(MID(C1070,LEN(F1070)+2,999)))</f>
        <v/>
      </c>
      <c r="I1070" s="0" t="n">
        <f aca="false">IF(OR(C1070="",LEFT(C1070,2)="//"),0,IFERROR(IF(AND(G1070&gt;0,G1070=INT(G1070),FIND("-",E1070)&gt;1,NOT(EXACT(UPPER(LEFT(E1070,1)),LOWER(LEFT(E1070,1)))),ISNUMBER(VALUE(MID(E1070,FIND("-",E1070)+1,10)))),1,0),0))</f>
        <v>0</v>
      </c>
      <c r="J1070" s="0" t="str">
        <f aca="false">IF(I1070=1,TRIM(LEFT(H1070,MAX(0,LEN(H1070)-LEN(D1070)))),"")</f>
        <v/>
      </c>
      <c r="K1070" s="0" t="str">
        <f aca="false">INDEX($P$2:$P$21,A1070)</f>
        <v>Deck 18</v>
      </c>
      <c r="L1070" s="0" t="n">
        <f aca="false">IF(AND(C1070&lt;&gt;"",LEFT(C1070,2)&lt;&gt;"//",I1070=0),1,0)</f>
        <v>0</v>
      </c>
      <c r="M1070" s="0" t="str">
        <f aca="false">IF(I1070=1,MAX(M$1:M1069)+1,"")</f>
        <v/>
      </c>
      <c r="N1070" s="0" t="str">
        <f aca="false">IFERROR(MATCH(ROW()-1,$V$2:$V$1201,0),"")</f>
        <v/>
      </c>
      <c r="R1070" s="0" t="str">
        <f aca="false">IF(E1070="","",IFERROR(LEFT(E1070,FIND("-",E1070)-1),E1070))</f>
        <v/>
      </c>
      <c r="S1070" s="0" t="str">
        <f aca="false">IF(R1070="","",IF(ISNUMBER(--MID(R1070,1,1)),0,IF(ISNUMBER(--MID(R1070,2,1)),1,IF(ISNUMBER(--MID(R1070,3,1)),2,IF(ISNUMBER(--MID(R1070,4,1)),3,MIN(LEN(R1070),4))))))</f>
        <v/>
      </c>
      <c r="T1070" s="0" t="str">
        <f aca="false">IF(E1070="","",LEFT(R1070,S1070)&amp;REPT("0",4-S1070)&amp;RIGHT("000"&amp;IFERROR(VALUE(MID(R1070,S1070+1,9)),0),3)&amp;RIGHT("0000"&amp;IFERROR(VALUE(MID(E1070,FIND("-",E1070)+1,9)),0),4))</f>
        <v/>
      </c>
      <c r="U1070" s="0" t="str">
        <f aca="false">IF(I1070=1,"K"&amp;RIGHT("00"&amp;A1070,2)&amp;T1070&amp;RIGHT("00000"&amp;ROW(),5),"")</f>
        <v/>
      </c>
      <c r="V1070" s="0" t="str">
        <f aca="false">IF(U1070="","",COUNTIFS($I$2:$I$1201,1,$U$2:$U$1201,"&lt;"&amp;U1070)+1)</f>
        <v/>
      </c>
    </row>
    <row r="1071" customFormat="false" ht="15" hidden="false" customHeight="false" outlineLevel="0" collapsed="false">
      <c r="A1071" s="0" t="n">
        <v>18</v>
      </c>
      <c r="B1071" s="0" t="n">
        <v>50</v>
      </c>
      <c r="C1071" s="0" t="str">
        <f aca="false">TRIM(SUBSTITUTE(INDEX(LISTAS!$A$4:$T$63,B1071,A1071)&amp;"",CHAR(160)," "))</f>
        <v/>
      </c>
      <c r="D1071" s="0" t="str">
        <f aca="false">IF(C1071="","",TRIM(RIGHT(SUBSTITUTE(C1071," ",REPT(" ",100)),100)))</f>
        <v/>
      </c>
      <c r="E1071" s="0" t="str">
        <f aca="false">IF(D1071="","",UPPER(SUBSTITUTE(SUBSTITUTE(D1071,"(",""),")","")))</f>
        <v/>
      </c>
      <c r="F1071" s="0" t="str">
        <f aca="false">IF(C1071="","",LEFT(C1071,FIND(" ",C1071&amp;" ")-1))</f>
        <v/>
      </c>
      <c r="G1071" s="0" t="n">
        <f aca="false">IFERROR(VALUE(SUBSTITUTE(LOWER(F1071),"x","")),0)</f>
        <v>0</v>
      </c>
      <c r="H1071" s="0" t="str">
        <f aca="false">IF(C1071="","",TRIM(MID(C1071,LEN(F1071)+2,999)))</f>
        <v/>
      </c>
      <c r="I1071" s="0" t="n">
        <f aca="false">IF(OR(C1071="",LEFT(C1071,2)="//"),0,IFERROR(IF(AND(G1071&gt;0,G1071=INT(G1071),FIND("-",E1071)&gt;1,NOT(EXACT(UPPER(LEFT(E1071,1)),LOWER(LEFT(E1071,1)))),ISNUMBER(VALUE(MID(E1071,FIND("-",E1071)+1,10)))),1,0),0))</f>
        <v>0</v>
      </c>
      <c r="J1071" s="0" t="str">
        <f aca="false">IF(I1071=1,TRIM(LEFT(H1071,MAX(0,LEN(H1071)-LEN(D1071)))),"")</f>
        <v/>
      </c>
      <c r="K1071" s="0" t="str">
        <f aca="false">INDEX($P$2:$P$21,A1071)</f>
        <v>Deck 18</v>
      </c>
      <c r="L1071" s="0" t="n">
        <f aca="false">IF(AND(C1071&lt;&gt;"",LEFT(C1071,2)&lt;&gt;"//",I1071=0),1,0)</f>
        <v>0</v>
      </c>
      <c r="M1071" s="0" t="str">
        <f aca="false">IF(I1071=1,MAX(M$1:M1070)+1,"")</f>
        <v/>
      </c>
      <c r="N1071" s="0" t="str">
        <f aca="false">IFERROR(MATCH(ROW()-1,$V$2:$V$1201,0),"")</f>
        <v/>
      </c>
      <c r="R1071" s="0" t="str">
        <f aca="false">IF(E1071="","",IFERROR(LEFT(E1071,FIND("-",E1071)-1),E1071))</f>
        <v/>
      </c>
      <c r="S1071" s="0" t="str">
        <f aca="false">IF(R1071="","",IF(ISNUMBER(--MID(R1071,1,1)),0,IF(ISNUMBER(--MID(R1071,2,1)),1,IF(ISNUMBER(--MID(R1071,3,1)),2,IF(ISNUMBER(--MID(R1071,4,1)),3,MIN(LEN(R1071),4))))))</f>
        <v/>
      </c>
      <c r="T1071" s="0" t="str">
        <f aca="false">IF(E1071="","",LEFT(R1071,S1071)&amp;REPT("0",4-S1071)&amp;RIGHT("000"&amp;IFERROR(VALUE(MID(R1071,S1071+1,9)),0),3)&amp;RIGHT("0000"&amp;IFERROR(VALUE(MID(E1071,FIND("-",E1071)+1,9)),0),4))</f>
        <v/>
      </c>
      <c r="U1071" s="0" t="str">
        <f aca="false">IF(I1071=1,"K"&amp;RIGHT("00"&amp;A1071,2)&amp;T1071&amp;RIGHT("00000"&amp;ROW(),5),"")</f>
        <v/>
      </c>
      <c r="V1071" s="0" t="str">
        <f aca="false">IF(U1071="","",COUNTIFS($I$2:$I$1201,1,$U$2:$U$1201,"&lt;"&amp;U1071)+1)</f>
        <v/>
      </c>
    </row>
    <row r="1072" customFormat="false" ht="15" hidden="false" customHeight="false" outlineLevel="0" collapsed="false">
      <c r="A1072" s="0" t="n">
        <v>18</v>
      </c>
      <c r="B1072" s="0" t="n">
        <v>51</v>
      </c>
      <c r="C1072" s="0" t="str">
        <f aca="false">TRIM(SUBSTITUTE(INDEX(LISTAS!$A$4:$T$63,B1072,A1072)&amp;"",CHAR(160)," "))</f>
        <v/>
      </c>
      <c r="D1072" s="0" t="str">
        <f aca="false">IF(C1072="","",TRIM(RIGHT(SUBSTITUTE(C1072," ",REPT(" ",100)),100)))</f>
        <v/>
      </c>
      <c r="E1072" s="0" t="str">
        <f aca="false">IF(D1072="","",UPPER(SUBSTITUTE(SUBSTITUTE(D1072,"(",""),")","")))</f>
        <v/>
      </c>
      <c r="F1072" s="0" t="str">
        <f aca="false">IF(C1072="","",LEFT(C1072,FIND(" ",C1072&amp;" ")-1))</f>
        <v/>
      </c>
      <c r="G1072" s="0" t="n">
        <f aca="false">IFERROR(VALUE(SUBSTITUTE(LOWER(F1072),"x","")),0)</f>
        <v>0</v>
      </c>
      <c r="H1072" s="0" t="str">
        <f aca="false">IF(C1072="","",TRIM(MID(C1072,LEN(F1072)+2,999)))</f>
        <v/>
      </c>
      <c r="I1072" s="0" t="n">
        <f aca="false">IF(OR(C1072="",LEFT(C1072,2)="//"),0,IFERROR(IF(AND(G1072&gt;0,G1072=INT(G1072),FIND("-",E1072)&gt;1,NOT(EXACT(UPPER(LEFT(E1072,1)),LOWER(LEFT(E1072,1)))),ISNUMBER(VALUE(MID(E1072,FIND("-",E1072)+1,10)))),1,0),0))</f>
        <v>0</v>
      </c>
      <c r="J1072" s="0" t="str">
        <f aca="false">IF(I1072=1,TRIM(LEFT(H1072,MAX(0,LEN(H1072)-LEN(D1072)))),"")</f>
        <v/>
      </c>
      <c r="K1072" s="0" t="str">
        <f aca="false">INDEX($P$2:$P$21,A1072)</f>
        <v>Deck 18</v>
      </c>
      <c r="L1072" s="0" t="n">
        <f aca="false">IF(AND(C1072&lt;&gt;"",LEFT(C1072,2)&lt;&gt;"//",I1072=0),1,0)</f>
        <v>0</v>
      </c>
      <c r="M1072" s="0" t="str">
        <f aca="false">IF(I1072=1,MAX(M$1:M1071)+1,"")</f>
        <v/>
      </c>
      <c r="N1072" s="0" t="str">
        <f aca="false">IFERROR(MATCH(ROW()-1,$V$2:$V$1201,0),"")</f>
        <v/>
      </c>
      <c r="R1072" s="0" t="str">
        <f aca="false">IF(E1072="","",IFERROR(LEFT(E1072,FIND("-",E1072)-1),E1072))</f>
        <v/>
      </c>
      <c r="S1072" s="0" t="str">
        <f aca="false">IF(R1072="","",IF(ISNUMBER(--MID(R1072,1,1)),0,IF(ISNUMBER(--MID(R1072,2,1)),1,IF(ISNUMBER(--MID(R1072,3,1)),2,IF(ISNUMBER(--MID(R1072,4,1)),3,MIN(LEN(R1072),4))))))</f>
        <v/>
      </c>
      <c r="T1072" s="0" t="str">
        <f aca="false">IF(E1072="","",LEFT(R1072,S1072)&amp;REPT("0",4-S1072)&amp;RIGHT("000"&amp;IFERROR(VALUE(MID(R1072,S1072+1,9)),0),3)&amp;RIGHT("0000"&amp;IFERROR(VALUE(MID(E1072,FIND("-",E1072)+1,9)),0),4))</f>
        <v/>
      </c>
      <c r="U1072" s="0" t="str">
        <f aca="false">IF(I1072=1,"K"&amp;RIGHT("00"&amp;A1072,2)&amp;T1072&amp;RIGHT("00000"&amp;ROW(),5),"")</f>
        <v/>
      </c>
      <c r="V1072" s="0" t="str">
        <f aca="false">IF(U1072="","",COUNTIFS($I$2:$I$1201,1,$U$2:$U$1201,"&lt;"&amp;U1072)+1)</f>
        <v/>
      </c>
    </row>
    <row r="1073" customFormat="false" ht="15" hidden="false" customHeight="false" outlineLevel="0" collapsed="false">
      <c r="A1073" s="0" t="n">
        <v>18</v>
      </c>
      <c r="B1073" s="0" t="n">
        <v>52</v>
      </c>
      <c r="C1073" s="0" t="str">
        <f aca="false">TRIM(SUBSTITUTE(INDEX(LISTAS!$A$4:$T$63,B1073,A1073)&amp;"",CHAR(160)," "))</f>
        <v/>
      </c>
      <c r="D1073" s="0" t="str">
        <f aca="false">IF(C1073="","",TRIM(RIGHT(SUBSTITUTE(C1073," ",REPT(" ",100)),100)))</f>
        <v/>
      </c>
      <c r="E1073" s="0" t="str">
        <f aca="false">IF(D1073="","",UPPER(SUBSTITUTE(SUBSTITUTE(D1073,"(",""),")","")))</f>
        <v/>
      </c>
      <c r="F1073" s="0" t="str">
        <f aca="false">IF(C1073="","",LEFT(C1073,FIND(" ",C1073&amp;" ")-1))</f>
        <v/>
      </c>
      <c r="G1073" s="0" t="n">
        <f aca="false">IFERROR(VALUE(SUBSTITUTE(LOWER(F1073),"x","")),0)</f>
        <v>0</v>
      </c>
      <c r="H1073" s="0" t="str">
        <f aca="false">IF(C1073="","",TRIM(MID(C1073,LEN(F1073)+2,999)))</f>
        <v/>
      </c>
      <c r="I1073" s="0" t="n">
        <f aca="false">IF(OR(C1073="",LEFT(C1073,2)="//"),0,IFERROR(IF(AND(G1073&gt;0,G1073=INT(G1073),FIND("-",E1073)&gt;1,NOT(EXACT(UPPER(LEFT(E1073,1)),LOWER(LEFT(E1073,1)))),ISNUMBER(VALUE(MID(E1073,FIND("-",E1073)+1,10)))),1,0),0))</f>
        <v>0</v>
      </c>
      <c r="J1073" s="0" t="str">
        <f aca="false">IF(I1073=1,TRIM(LEFT(H1073,MAX(0,LEN(H1073)-LEN(D1073)))),"")</f>
        <v/>
      </c>
      <c r="K1073" s="0" t="str">
        <f aca="false">INDEX($P$2:$P$21,A1073)</f>
        <v>Deck 18</v>
      </c>
      <c r="L1073" s="0" t="n">
        <f aca="false">IF(AND(C1073&lt;&gt;"",LEFT(C1073,2)&lt;&gt;"//",I1073=0),1,0)</f>
        <v>0</v>
      </c>
      <c r="M1073" s="0" t="str">
        <f aca="false">IF(I1073=1,MAX(M$1:M1072)+1,"")</f>
        <v/>
      </c>
      <c r="N1073" s="0" t="str">
        <f aca="false">IFERROR(MATCH(ROW()-1,$V$2:$V$1201,0),"")</f>
        <v/>
      </c>
      <c r="R1073" s="0" t="str">
        <f aca="false">IF(E1073="","",IFERROR(LEFT(E1073,FIND("-",E1073)-1),E1073))</f>
        <v/>
      </c>
      <c r="S1073" s="0" t="str">
        <f aca="false">IF(R1073="","",IF(ISNUMBER(--MID(R1073,1,1)),0,IF(ISNUMBER(--MID(R1073,2,1)),1,IF(ISNUMBER(--MID(R1073,3,1)),2,IF(ISNUMBER(--MID(R1073,4,1)),3,MIN(LEN(R1073),4))))))</f>
        <v/>
      </c>
      <c r="T1073" s="0" t="str">
        <f aca="false">IF(E1073="","",LEFT(R1073,S1073)&amp;REPT("0",4-S1073)&amp;RIGHT("000"&amp;IFERROR(VALUE(MID(R1073,S1073+1,9)),0),3)&amp;RIGHT("0000"&amp;IFERROR(VALUE(MID(E1073,FIND("-",E1073)+1,9)),0),4))</f>
        <v/>
      </c>
      <c r="U1073" s="0" t="str">
        <f aca="false">IF(I1073=1,"K"&amp;RIGHT("00"&amp;A1073,2)&amp;T1073&amp;RIGHT("00000"&amp;ROW(),5),"")</f>
        <v/>
      </c>
      <c r="V1073" s="0" t="str">
        <f aca="false">IF(U1073="","",COUNTIFS($I$2:$I$1201,1,$U$2:$U$1201,"&lt;"&amp;U1073)+1)</f>
        <v/>
      </c>
    </row>
    <row r="1074" customFormat="false" ht="15" hidden="false" customHeight="false" outlineLevel="0" collapsed="false">
      <c r="A1074" s="0" t="n">
        <v>18</v>
      </c>
      <c r="B1074" s="0" t="n">
        <v>53</v>
      </c>
      <c r="C1074" s="0" t="str">
        <f aca="false">TRIM(SUBSTITUTE(INDEX(LISTAS!$A$4:$T$63,B1074,A1074)&amp;"",CHAR(160)," "))</f>
        <v/>
      </c>
      <c r="D1074" s="0" t="str">
        <f aca="false">IF(C1074="","",TRIM(RIGHT(SUBSTITUTE(C1074," ",REPT(" ",100)),100)))</f>
        <v/>
      </c>
      <c r="E1074" s="0" t="str">
        <f aca="false">IF(D1074="","",UPPER(SUBSTITUTE(SUBSTITUTE(D1074,"(",""),")","")))</f>
        <v/>
      </c>
      <c r="F1074" s="0" t="str">
        <f aca="false">IF(C1074="","",LEFT(C1074,FIND(" ",C1074&amp;" ")-1))</f>
        <v/>
      </c>
      <c r="G1074" s="0" t="n">
        <f aca="false">IFERROR(VALUE(SUBSTITUTE(LOWER(F1074),"x","")),0)</f>
        <v>0</v>
      </c>
      <c r="H1074" s="0" t="str">
        <f aca="false">IF(C1074="","",TRIM(MID(C1074,LEN(F1074)+2,999)))</f>
        <v/>
      </c>
      <c r="I1074" s="0" t="n">
        <f aca="false">IF(OR(C1074="",LEFT(C1074,2)="//"),0,IFERROR(IF(AND(G1074&gt;0,G1074=INT(G1074),FIND("-",E1074)&gt;1,NOT(EXACT(UPPER(LEFT(E1074,1)),LOWER(LEFT(E1074,1)))),ISNUMBER(VALUE(MID(E1074,FIND("-",E1074)+1,10)))),1,0),0))</f>
        <v>0</v>
      </c>
      <c r="J1074" s="0" t="str">
        <f aca="false">IF(I1074=1,TRIM(LEFT(H1074,MAX(0,LEN(H1074)-LEN(D1074)))),"")</f>
        <v/>
      </c>
      <c r="K1074" s="0" t="str">
        <f aca="false">INDEX($P$2:$P$21,A1074)</f>
        <v>Deck 18</v>
      </c>
      <c r="L1074" s="0" t="n">
        <f aca="false">IF(AND(C1074&lt;&gt;"",LEFT(C1074,2)&lt;&gt;"//",I1074=0),1,0)</f>
        <v>0</v>
      </c>
      <c r="M1074" s="0" t="str">
        <f aca="false">IF(I1074=1,MAX(M$1:M1073)+1,"")</f>
        <v/>
      </c>
      <c r="N1074" s="0" t="str">
        <f aca="false">IFERROR(MATCH(ROW()-1,$V$2:$V$1201,0),"")</f>
        <v/>
      </c>
      <c r="R1074" s="0" t="str">
        <f aca="false">IF(E1074="","",IFERROR(LEFT(E1074,FIND("-",E1074)-1),E1074))</f>
        <v/>
      </c>
      <c r="S1074" s="0" t="str">
        <f aca="false">IF(R1074="","",IF(ISNUMBER(--MID(R1074,1,1)),0,IF(ISNUMBER(--MID(R1074,2,1)),1,IF(ISNUMBER(--MID(R1074,3,1)),2,IF(ISNUMBER(--MID(R1074,4,1)),3,MIN(LEN(R1074),4))))))</f>
        <v/>
      </c>
      <c r="T1074" s="0" t="str">
        <f aca="false">IF(E1074="","",LEFT(R1074,S1074)&amp;REPT("0",4-S1074)&amp;RIGHT("000"&amp;IFERROR(VALUE(MID(R1074,S1074+1,9)),0),3)&amp;RIGHT("0000"&amp;IFERROR(VALUE(MID(E1074,FIND("-",E1074)+1,9)),0),4))</f>
        <v/>
      </c>
      <c r="U1074" s="0" t="str">
        <f aca="false">IF(I1074=1,"K"&amp;RIGHT("00"&amp;A1074,2)&amp;T1074&amp;RIGHT("00000"&amp;ROW(),5),"")</f>
        <v/>
      </c>
      <c r="V1074" s="0" t="str">
        <f aca="false">IF(U1074="","",COUNTIFS($I$2:$I$1201,1,$U$2:$U$1201,"&lt;"&amp;U1074)+1)</f>
        <v/>
      </c>
    </row>
    <row r="1075" customFormat="false" ht="15" hidden="false" customHeight="false" outlineLevel="0" collapsed="false">
      <c r="A1075" s="0" t="n">
        <v>18</v>
      </c>
      <c r="B1075" s="0" t="n">
        <v>54</v>
      </c>
      <c r="C1075" s="0" t="str">
        <f aca="false">TRIM(SUBSTITUTE(INDEX(LISTAS!$A$4:$T$63,B1075,A1075)&amp;"",CHAR(160)," "))</f>
        <v/>
      </c>
      <c r="D1075" s="0" t="str">
        <f aca="false">IF(C1075="","",TRIM(RIGHT(SUBSTITUTE(C1075," ",REPT(" ",100)),100)))</f>
        <v/>
      </c>
      <c r="E1075" s="0" t="str">
        <f aca="false">IF(D1075="","",UPPER(SUBSTITUTE(SUBSTITUTE(D1075,"(",""),")","")))</f>
        <v/>
      </c>
      <c r="F1075" s="0" t="str">
        <f aca="false">IF(C1075="","",LEFT(C1075,FIND(" ",C1075&amp;" ")-1))</f>
        <v/>
      </c>
      <c r="G1075" s="0" t="n">
        <f aca="false">IFERROR(VALUE(SUBSTITUTE(LOWER(F1075),"x","")),0)</f>
        <v>0</v>
      </c>
      <c r="H1075" s="0" t="str">
        <f aca="false">IF(C1075="","",TRIM(MID(C1075,LEN(F1075)+2,999)))</f>
        <v/>
      </c>
      <c r="I1075" s="0" t="n">
        <f aca="false">IF(OR(C1075="",LEFT(C1075,2)="//"),0,IFERROR(IF(AND(G1075&gt;0,G1075=INT(G1075),FIND("-",E1075)&gt;1,NOT(EXACT(UPPER(LEFT(E1075,1)),LOWER(LEFT(E1075,1)))),ISNUMBER(VALUE(MID(E1075,FIND("-",E1075)+1,10)))),1,0),0))</f>
        <v>0</v>
      </c>
      <c r="J1075" s="0" t="str">
        <f aca="false">IF(I1075=1,TRIM(LEFT(H1075,MAX(0,LEN(H1075)-LEN(D1075)))),"")</f>
        <v/>
      </c>
      <c r="K1075" s="0" t="str">
        <f aca="false">INDEX($P$2:$P$21,A1075)</f>
        <v>Deck 18</v>
      </c>
      <c r="L1075" s="0" t="n">
        <f aca="false">IF(AND(C1075&lt;&gt;"",LEFT(C1075,2)&lt;&gt;"//",I1075=0),1,0)</f>
        <v>0</v>
      </c>
      <c r="M1075" s="0" t="str">
        <f aca="false">IF(I1075=1,MAX(M$1:M1074)+1,"")</f>
        <v/>
      </c>
      <c r="N1075" s="0" t="str">
        <f aca="false">IFERROR(MATCH(ROW()-1,$V$2:$V$1201,0),"")</f>
        <v/>
      </c>
      <c r="R1075" s="0" t="str">
        <f aca="false">IF(E1075="","",IFERROR(LEFT(E1075,FIND("-",E1075)-1),E1075))</f>
        <v/>
      </c>
      <c r="S1075" s="0" t="str">
        <f aca="false">IF(R1075="","",IF(ISNUMBER(--MID(R1075,1,1)),0,IF(ISNUMBER(--MID(R1075,2,1)),1,IF(ISNUMBER(--MID(R1075,3,1)),2,IF(ISNUMBER(--MID(R1075,4,1)),3,MIN(LEN(R1075),4))))))</f>
        <v/>
      </c>
      <c r="T1075" s="0" t="str">
        <f aca="false">IF(E1075="","",LEFT(R1075,S1075)&amp;REPT("0",4-S1075)&amp;RIGHT("000"&amp;IFERROR(VALUE(MID(R1075,S1075+1,9)),0),3)&amp;RIGHT("0000"&amp;IFERROR(VALUE(MID(E1075,FIND("-",E1075)+1,9)),0),4))</f>
        <v/>
      </c>
      <c r="U1075" s="0" t="str">
        <f aca="false">IF(I1075=1,"K"&amp;RIGHT("00"&amp;A1075,2)&amp;T1075&amp;RIGHT("00000"&amp;ROW(),5),"")</f>
        <v/>
      </c>
      <c r="V1075" s="0" t="str">
        <f aca="false">IF(U1075="","",COUNTIFS($I$2:$I$1201,1,$U$2:$U$1201,"&lt;"&amp;U1075)+1)</f>
        <v/>
      </c>
    </row>
    <row r="1076" customFormat="false" ht="15" hidden="false" customHeight="false" outlineLevel="0" collapsed="false">
      <c r="A1076" s="0" t="n">
        <v>18</v>
      </c>
      <c r="B1076" s="0" t="n">
        <v>55</v>
      </c>
      <c r="C1076" s="0" t="str">
        <f aca="false">TRIM(SUBSTITUTE(INDEX(LISTAS!$A$4:$T$63,B1076,A1076)&amp;"",CHAR(160)," "))</f>
        <v/>
      </c>
      <c r="D1076" s="0" t="str">
        <f aca="false">IF(C1076="","",TRIM(RIGHT(SUBSTITUTE(C1076," ",REPT(" ",100)),100)))</f>
        <v/>
      </c>
      <c r="E1076" s="0" t="str">
        <f aca="false">IF(D1076="","",UPPER(SUBSTITUTE(SUBSTITUTE(D1076,"(",""),")","")))</f>
        <v/>
      </c>
      <c r="F1076" s="0" t="str">
        <f aca="false">IF(C1076="","",LEFT(C1076,FIND(" ",C1076&amp;" ")-1))</f>
        <v/>
      </c>
      <c r="G1076" s="0" t="n">
        <f aca="false">IFERROR(VALUE(SUBSTITUTE(LOWER(F1076),"x","")),0)</f>
        <v>0</v>
      </c>
      <c r="H1076" s="0" t="str">
        <f aca="false">IF(C1076="","",TRIM(MID(C1076,LEN(F1076)+2,999)))</f>
        <v/>
      </c>
      <c r="I1076" s="0" t="n">
        <f aca="false">IF(OR(C1076="",LEFT(C1076,2)="//"),0,IFERROR(IF(AND(G1076&gt;0,G1076=INT(G1076),FIND("-",E1076)&gt;1,NOT(EXACT(UPPER(LEFT(E1076,1)),LOWER(LEFT(E1076,1)))),ISNUMBER(VALUE(MID(E1076,FIND("-",E1076)+1,10)))),1,0),0))</f>
        <v>0</v>
      </c>
      <c r="J1076" s="0" t="str">
        <f aca="false">IF(I1076=1,TRIM(LEFT(H1076,MAX(0,LEN(H1076)-LEN(D1076)))),"")</f>
        <v/>
      </c>
      <c r="K1076" s="0" t="str">
        <f aca="false">INDEX($P$2:$P$21,A1076)</f>
        <v>Deck 18</v>
      </c>
      <c r="L1076" s="0" t="n">
        <f aca="false">IF(AND(C1076&lt;&gt;"",LEFT(C1076,2)&lt;&gt;"//",I1076=0),1,0)</f>
        <v>0</v>
      </c>
      <c r="M1076" s="0" t="str">
        <f aca="false">IF(I1076=1,MAX(M$1:M1075)+1,"")</f>
        <v/>
      </c>
      <c r="N1076" s="0" t="str">
        <f aca="false">IFERROR(MATCH(ROW()-1,$V$2:$V$1201,0),"")</f>
        <v/>
      </c>
      <c r="R1076" s="0" t="str">
        <f aca="false">IF(E1076="","",IFERROR(LEFT(E1076,FIND("-",E1076)-1),E1076))</f>
        <v/>
      </c>
      <c r="S1076" s="0" t="str">
        <f aca="false">IF(R1076="","",IF(ISNUMBER(--MID(R1076,1,1)),0,IF(ISNUMBER(--MID(R1076,2,1)),1,IF(ISNUMBER(--MID(R1076,3,1)),2,IF(ISNUMBER(--MID(R1076,4,1)),3,MIN(LEN(R1076),4))))))</f>
        <v/>
      </c>
      <c r="T1076" s="0" t="str">
        <f aca="false">IF(E1076="","",LEFT(R1076,S1076)&amp;REPT("0",4-S1076)&amp;RIGHT("000"&amp;IFERROR(VALUE(MID(R1076,S1076+1,9)),0),3)&amp;RIGHT("0000"&amp;IFERROR(VALUE(MID(E1076,FIND("-",E1076)+1,9)),0),4))</f>
        <v/>
      </c>
      <c r="U1076" s="0" t="str">
        <f aca="false">IF(I1076=1,"K"&amp;RIGHT("00"&amp;A1076,2)&amp;T1076&amp;RIGHT("00000"&amp;ROW(),5),"")</f>
        <v/>
      </c>
      <c r="V1076" s="0" t="str">
        <f aca="false">IF(U1076="","",COUNTIFS($I$2:$I$1201,1,$U$2:$U$1201,"&lt;"&amp;U1076)+1)</f>
        <v/>
      </c>
    </row>
    <row r="1077" customFormat="false" ht="15" hidden="false" customHeight="false" outlineLevel="0" collapsed="false">
      <c r="A1077" s="0" t="n">
        <v>18</v>
      </c>
      <c r="B1077" s="0" t="n">
        <v>56</v>
      </c>
      <c r="C1077" s="0" t="str">
        <f aca="false">TRIM(SUBSTITUTE(INDEX(LISTAS!$A$4:$T$63,B1077,A1077)&amp;"",CHAR(160)," "))</f>
        <v/>
      </c>
      <c r="D1077" s="0" t="str">
        <f aca="false">IF(C1077="","",TRIM(RIGHT(SUBSTITUTE(C1077," ",REPT(" ",100)),100)))</f>
        <v/>
      </c>
      <c r="E1077" s="0" t="str">
        <f aca="false">IF(D1077="","",UPPER(SUBSTITUTE(SUBSTITUTE(D1077,"(",""),")","")))</f>
        <v/>
      </c>
      <c r="F1077" s="0" t="str">
        <f aca="false">IF(C1077="","",LEFT(C1077,FIND(" ",C1077&amp;" ")-1))</f>
        <v/>
      </c>
      <c r="G1077" s="0" t="n">
        <f aca="false">IFERROR(VALUE(SUBSTITUTE(LOWER(F1077),"x","")),0)</f>
        <v>0</v>
      </c>
      <c r="H1077" s="0" t="str">
        <f aca="false">IF(C1077="","",TRIM(MID(C1077,LEN(F1077)+2,999)))</f>
        <v/>
      </c>
      <c r="I1077" s="0" t="n">
        <f aca="false">IF(OR(C1077="",LEFT(C1077,2)="//"),0,IFERROR(IF(AND(G1077&gt;0,G1077=INT(G1077),FIND("-",E1077)&gt;1,NOT(EXACT(UPPER(LEFT(E1077,1)),LOWER(LEFT(E1077,1)))),ISNUMBER(VALUE(MID(E1077,FIND("-",E1077)+1,10)))),1,0),0))</f>
        <v>0</v>
      </c>
      <c r="J1077" s="0" t="str">
        <f aca="false">IF(I1077=1,TRIM(LEFT(H1077,MAX(0,LEN(H1077)-LEN(D1077)))),"")</f>
        <v/>
      </c>
      <c r="K1077" s="0" t="str">
        <f aca="false">INDEX($P$2:$P$21,A1077)</f>
        <v>Deck 18</v>
      </c>
      <c r="L1077" s="0" t="n">
        <f aca="false">IF(AND(C1077&lt;&gt;"",LEFT(C1077,2)&lt;&gt;"//",I1077=0),1,0)</f>
        <v>0</v>
      </c>
      <c r="M1077" s="0" t="str">
        <f aca="false">IF(I1077=1,MAX(M$1:M1076)+1,"")</f>
        <v/>
      </c>
      <c r="N1077" s="0" t="str">
        <f aca="false">IFERROR(MATCH(ROW()-1,$V$2:$V$1201,0),"")</f>
        <v/>
      </c>
      <c r="R1077" s="0" t="str">
        <f aca="false">IF(E1077="","",IFERROR(LEFT(E1077,FIND("-",E1077)-1),E1077))</f>
        <v/>
      </c>
      <c r="S1077" s="0" t="str">
        <f aca="false">IF(R1077="","",IF(ISNUMBER(--MID(R1077,1,1)),0,IF(ISNUMBER(--MID(R1077,2,1)),1,IF(ISNUMBER(--MID(R1077,3,1)),2,IF(ISNUMBER(--MID(R1077,4,1)),3,MIN(LEN(R1077),4))))))</f>
        <v/>
      </c>
      <c r="T1077" s="0" t="str">
        <f aca="false">IF(E1077="","",LEFT(R1077,S1077)&amp;REPT("0",4-S1077)&amp;RIGHT("000"&amp;IFERROR(VALUE(MID(R1077,S1077+1,9)),0),3)&amp;RIGHT("0000"&amp;IFERROR(VALUE(MID(E1077,FIND("-",E1077)+1,9)),0),4))</f>
        <v/>
      </c>
      <c r="U1077" s="0" t="str">
        <f aca="false">IF(I1077=1,"K"&amp;RIGHT("00"&amp;A1077,2)&amp;T1077&amp;RIGHT("00000"&amp;ROW(),5),"")</f>
        <v/>
      </c>
      <c r="V1077" s="0" t="str">
        <f aca="false">IF(U1077="","",COUNTIFS($I$2:$I$1201,1,$U$2:$U$1201,"&lt;"&amp;U1077)+1)</f>
        <v/>
      </c>
    </row>
    <row r="1078" customFormat="false" ht="15" hidden="false" customHeight="false" outlineLevel="0" collapsed="false">
      <c r="A1078" s="0" t="n">
        <v>18</v>
      </c>
      <c r="B1078" s="0" t="n">
        <v>57</v>
      </c>
      <c r="C1078" s="0" t="str">
        <f aca="false">TRIM(SUBSTITUTE(INDEX(LISTAS!$A$4:$T$63,B1078,A1078)&amp;"",CHAR(160)," "))</f>
        <v/>
      </c>
      <c r="D1078" s="0" t="str">
        <f aca="false">IF(C1078="","",TRIM(RIGHT(SUBSTITUTE(C1078," ",REPT(" ",100)),100)))</f>
        <v/>
      </c>
      <c r="E1078" s="0" t="str">
        <f aca="false">IF(D1078="","",UPPER(SUBSTITUTE(SUBSTITUTE(D1078,"(",""),")","")))</f>
        <v/>
      </c>
      <c r="F1078" s="0" t="str">
        <f aca="false">IF(C1078="","",LEFT(C1078,FIND(" ",C1078&amp;" ")-1))</f>
        <v/>
      </c>
      <c r="G1078" s="0" t="n">
        <f aca="false">IFERROR(VALUE(SUBSTITUTE(LOWER(F1078),"x","")),0)</f>
        <v>0</v>
      </c>
      <c r="H1078" s="0" t="str">
        <f aca="false">IF(C1078="","",TRIM(MID(C1078,LEN(F1078)+2,999)))</f>
        <v/>
      </c>
      <c r="I1078" s="0" t="n">
        <f aca="false">IF(OR(C1078="",LEFT(C1078,2)="//"),0,IFERROR(IF(AND(G1078&gt;0,G1078=INT(G1078),FIND("-",E1078)&gt;1,NOT(EXACT(UPPER(LEFT(E1078,1)),LOWER(LEFT(E1078,1)))),ISNUMBER(VALUE(MID(E1078,FIND("-",E1078)+1,10)))),1,0),0))</f>
        <v>0</v>
      </c>
      <c r="J1078" s="0" t="str">
        <f aca="false">IF(I1078=1,TRIM(LEFT(H1078,MAX(0,LEN(H1078)-LEN(D1078)))),"")</f>
        <v/>
      </c>
      <c r="K1078" s="0" t="str">
        <f aca="false">INDEX($P$2:$P$21,A1078)</f>
        <v>Deck 18</v>
      </c>
      <c r="L1078" s="0" t="n">
        <f aca="false">IF(AND(C1078&lt;&gt;"",LEFT(C1078,2)&lt;&gt;"//",I1078=0),1,0)</f>
        <v>0</v>
      </c>
      <c r="M1078" s="0" t="str">
        <f aca="false">IF(I1078=1,MAX(M$1:M1077)+1,"")</f>
        <v/>
      </c>
      <c r="N1078" s="0" t="str">
        <f aca="false">IFERROR(MATCH(ROW()-1,$V$2:$V$1201,0),"")</f>
        <v/>
      </c>
      <c r="R1078" s="0" t="str">
        <f aca="false">IF(E1078="","",IFERROR(LEFT(E1078,FIND("-",E1078)-1),E1078))</f>
        <v/>
      </c>
      <c r="S1078" s="0" t="str">
        <f aca="false">IF(R1078="","",IF(ISNUMBER(--MID(R1078,1,1)),0,IF(ISNUMBER(--MID(R1078,2,1)),1,IF(ISNUMBER(--MID(R1078,3,1)),2,IF(ISNUMBER(--MID(R1078,4,1)),3,MIN(LEN(R1078),4))))))</f>
        <v/>
      </c>
      <c r="T1078" s="0" t="str">
        <f aca="false">IF(E1078="","",LEFT(R1078,S1078)&amp;REPT("0",4-S1078)&amp;RIGHT("000"&amp;IFERROR(VALUE(MID(R1078,S1078+1,9)),0),3)&amp;RIGHT("0000"&amp;IFERROR(VALUE(MID(E1078,FIND("-",E1078)+1,9)),0),4))</f>
        <v/>
      </c>
      <c r="U1078" s="0" t="str">
        <f aca="false">IF(I1078=1,"K"&amp;RIGHT("00"&amp;A1078,2)&amp;T1078&amp;RIGHT("00000"&amp;ROW(),5),"")</f>
        <v/>
      </c>
      <c r="V1078" s="0" t="str">
        <f aca="false">IF(U1078="","",COUNTIFS($I$2:$I$1201,1,$U$2:$U$1201,"&lt;"&amp;U1078)+1)</f>
        <v/>
      </c>
    </row>
    <row r="1079" customFormat="false" ht="15" hidden="false" customHeight="false" outlineLevel="0" collapsed="false">
      <c r="A1079" s="0" t="n">
        <v>18</v>
      </c>
      <c r="B1079" s="0" t="n">
        <v>58</v>
      </c>
      <c r="C1079" s="0" t="str">
        <f aca="false">TRIM(SUBSTITUTE(INDEX(LISTAS!$A$4:$T$63,B1079,A1079)&amp;"",CHAR(160)," "))</f>
        <v/>
      </c>
      <c r="D1079" s="0" t="str">
        <f aca="false">IF(C1079="","",TRIM(RIGHT(SUBSTITUTE(C1079," ",REPT(" ",100)),100)))</f>
        <v/>
      </c>
      <c r="E1079" s="0" t="str">
        <f aca="false">IF(D1079="","",UPPER(SUBSTITUTE(SUBSTITUTE(D1079,"(",""),")","")))</f>
        <v/>
      </c>
      <c r="F1079" s="0" t="str">
        <f aca="false">IF(C1079="","",LEFT(C1079,FIND(" ",C1079&amp;" ")-1))</f>
        <v/>
      </c>
      <c r="G1079" s="0" t="n">
        <f aca="false">IFERROR(VALUE(SUBSTITUTE(LOWER(F1079),"x","")),0)</f>
        <v>0</v>
      </c>
      <c r="H1079" s="0" t="str">
        <f aca="false">IF(C1079="","",TRIM(MID(C1079,LEN(F1079)+2,999)))</f>
        <v/>
      </c>
      <c r="I1079" s="0" t="n">
        <f aca="false">IF(OR(C1079="",LEFT(C1079,2)="//"),0,IFERROR(IF(AND(G1079&gt;0,G1079=INT(G1079),FIND("-",E1079)&gt;1,NOT(EXACT(UPPER(LEFT(E1079,1)),LOWER(LEFT(E1079,1)))),ISNUMBER(VALUE(MID(E1079,FIND("-",E1079)+1,10)))),1,0),0))</f>
        <v>0</v>
      </c>
      <c r="J1079" s="0" t="str">
        <f aca="false">IF(I1079=1,TRIM(LEFT(H1079,MAX(0,LEN(H1079)-LEN(D1079)))),"")</f>
        <v/>
      </c>
      <c r="K1079" s="0" t="str">
        <f aca="false">INDEX($P$2:$P$21,A1079)</f>
        <v>Deck 18</v>
      </c>
      <c r="L1079" s="0" t="n">
        <f aca="false">IF(AND(C1079&lt;&gt;"",LEFT(C1079,2)&lt;&gt;"//",I1079=0),1,0)</f>
        <v>0</v>
      </c>
      <c r="M1079" s="0" t="str">
        <f aca="false">IF(I1079=1,MAX(M$1:M1078)+1,"")</f>
        <v/>
      </c>
      <c r="N1079" s="0" t="str">
        <f aca="false">IFERROR(MATCH(ROW()-1,$V$2:$V$1201,0),"")</f>
        <v/>
      </c>
      <c r="R1079" s="0" t="str">
        <f aca="false">IF(E1079="","",IFERROR(LEFT(E1079,FIND("-",E1079)-1),E1079))</f>
        <v/>
      </c>
      <c r="S1079" s="0" t="str">
        <f aca="false">IF(R1079="","",IF(ISNUMBER(--MID(R1079,1,1)),0,IF(ISNUMBER(--MID(R1079,2,1)),1,IF(ISNUMBER(--MID(R1079,3,1)),2,IF(ISNUMBER(--MID(R1079,4,1)),3,MIN(LEN(R1079),4))))))</f>
        <v/>
      </c>
      <c r="T1079" s="0" t="str">
        <f aca="false">IF(E1079="","",LEFT(R1079,S1079)&amp;REPT("0",4-S1079)&amp;RIGHT("000"&amp;IFERROR(VALUE(MID(R1079,S1079+1,9)),0),3)&amp;RIGHT("0000"&amp;IFERROR(VALUE(MID(E1079,FIND("-",E1079)+1,9)),0),4))</f>
        <v/>
      </c>
      <c r="U1079" s="0" t="str">
        <f aca="false">IF(I1079=1,"K"&amp;RIGHT("00"&amp;A1079,2)&amp;T1079&amp;RIGHT("00000"&amp;ROW(),5),"")</f>
        <v/>
      </c>
      <c r="V1079" s="0" t="str">
        <f aca="false">IF(U1079="","",COUNTIFS($I$2:$I$1201,1,$U$2:$U$1201,"&lt;"&amp;U1079)+1)</f>
        <v/>
      </c>
    </row>
    <row r="1080" customFormat="false" ht="15" hidden="false" customHeight="false" outlineLevel="0" collapsed="false">
      <c r="A1080" s="0" t="n">
        <v>18</v>
      </c>
      <c r="B1080" s="0" t="n">
        <v>59</v>
      </c>
      <c r="C1080" s="0" t="str">
        <f aca="false">TRIM(SUBSTITUTE(INDEX(LISTAS!$A$4:$T$63,B1080,A1080)&amp;"",CHAR(160)," "))</f>
        <v/>
      </c>
      <c r="D1080" s="0" t="str">
        <f aca="false">IF(C1080="","",TRIM(RIGHT(SUBSTITUTE(C1080," ",REPT(" ",100)),100)))</f>
        <v/>
      </c>
      <c r="E1080" s="0" t="str">
        <f aca="false">IF(D1080="","",UPPER(SUBSTITUTE(SUBSTITUTE(D1080,"(",""),")","")))</f>
        <v/>
      </c>
      <c r="F1080" s="0" t="str">
        <f aca="false">IF(C1080="","",LEFT(C1080,FIND(" ",C1080&amp;" ")-1))</f>
        <v/>
      </c>
      <c r="G1080" s="0" t="n">
        <f aca="false">IFERROR(VALUE(SUBSTITUTE(LOWER(F1080),"x","")),0)</f>
        <v>0</v>
      </c>
      <c r="H1080" s="0" t="str">
        <f aca="false">IF(C1080="","",TRIM(MID(C1080,LEN(F1080)+2,999)))</f>
        <v/>
      </c>
      <c r="I1080" s="0" t="n">
        <f aca="false">IF(OR(C1080="",LEFT(C1080,2)="//"),0,IFERROR(IF(AND(G1080&gt;0,G1080=INT(G1080),FIND("-",E1080)&gt;1,NOT(EXACT(UPPER(LEFT(E1080,1)),LOWER(LEFT(E1080,1)))),ISNUMBER(VALUE(MID(E1080,FIND("-",E1080)+1,10)))),1,0),0))</f>
        <v>0</v>
      </c>
      <c r="J1080" s="0" t="str">
        <f aca="false">IF(I1080=1,TRIM(LEFT(H1080,MAX(0,LEN(H1080)-LEN(D1080)))),"")</f>
        <v/>
      </c>
      <c r="K1080" s="0" t="str">
        <f aca="false">INDEX($P$2:$P$21,A1080)</f>
        <v>Deck 18</v>
      </c>
      <c r="L1080" s="0" t="n">
        <f aca="false">IF(AND(C1080&lt;&gt;"",LEFT(C1080,2)&lt;&gt;"//",I1080=0),1,0)</f>
        <v>0</v>
      </c>
      <c r="M1080" s="0" t="str">
        <f aca="false">IF(I1080=1,MAX(M$1:M1079)+1,"")</f>
        <v/>
      </c>
      <c r="N1080" s="0" t="str">
        <f aca="false">IFERROR(MATCH(ROW()-1,$V$2:$V$1201,0),"")</f>
        <v/>
      </c>
      <c r="R1080" s="0" t="str">
        <f aca="false">IF(E1080="","",IFERROR(LEFT(E1080,FIND("-",E1080)-1),E1080))</f>
        <v/>
      </c>
      <c r="S1080" s="0" t="str">
        <f aca="false">IF(R1080="","",IF(ISNUMBER(--MID(R1080,1,1)),0,IF(ISNUMBER(--MID(R1080,2,1)),1,IF(ISNUMBER(--MID(R1080,3,1)),2,IF(ISNUMBER(--MID(R1080,4,1)),3,MIN(LEN(R1080),4))))))</f>
        <v/>
      </c>
      <c r="T1080" s="0" t="str">
        <f aca="false">IF(E1080="","",LEFT(R1080,S1080)&amp;REPT("0",4-S1080)&amp;RIGHT("000"&amp;IFERROR(VALUE(MID(R1080,S1080+1,9)),0),3)&amp;RIGHT("0000"&amp;IFERROR(VALUE(MID(E1080,FIND("-",E1080)+1,9)),0),4))</f>
        <v/>
      </c>
      <c r="U1080" s="0" t="str">
        <f aca="false">IF(I1080=1,"K"&amp;RIGHT("00"&amp;A1080,2)&amp;T1080&amp;RIGHT("00000"&amp;ROW(),5),"")</f>
        <v/>
      </c>
      <c r="V1080" s="0" t="str">
        <f aca="false">IF(U1080="","",COUNTIFS($I$2:$I$1201,1,$U$2:$U$1201,"&lt;"&amp;U1080)+1)</f>
        <v/>
      </c>
    </row>
    <row r="1081" customFormat="false" ht="15" hidden="false" customHeight="false" outlineLevel="0" collapsed="false">
      <c r="A1081" s="0" t="n">
        <v>18</v>
      </c>
      <c r="B1081" s="0" t="n">
        <v>60</v>
      </c>
      <c r="C1081" s="0" t="str">
        <f aca="false">TRIM(SUBSTITUTE(INDEX(LISTAS!$A$4:$T$63,B1081,A1081)&amp;"",CHAR(160)," "))</f>
        <v/>
      </c>
      <c r="D1081" s="0" t="str">
        <f aca="false">IF(C1081="","",TRIM(RIGHT(SUBSTITUTE(C1081," ",REPT(" ",100)),100)))</f>
        <v/>
      </c>
      <c r="E1081" s="0" t="str">
        <f aca="false">IF(D1081="","",UPPER(SUBSTITUTE(SUBSTITUTE(D1081,"(",""),")","")))</f>
        <v/>
      </c>
      <c r="F1081" s="0" t="str">
        <f aca="false">IF(C1081="","",LEFT(C1081,FIND(" ",C1081&amp;" ")-1))</f>
        <v/>
      </c>
      <c r="G1081" s="0" t="n">
        <f aca="false">IFERROR(VALUE(SUBSTITUTE(LOWER(F1081),"x","")),0)</f>
        <v>0</v>
      </c>
      <c r="H1081" s="0" t="str">
        <f aca="false">IF(C1081="","",TRIM(MID(C1081,LEN(F1081)+2,999)))</f>
        <v/>
      </c>
      <c r="I1081" s="0" t="n">
        <f aca="false">IF(OR(C1081="",LEFT(C1081,2)="//"),0,IFERROR(IF(AND(G1081&gt;0,G1081=INT(G1081),FIND("-",E1081)&gt;1,NOT(EXACT(UPPER(LEFT(E1081,1)),LOWER(LEFT(E1081,1)))),ISNUMBER(VALUE(MID(E1081,FIND("-",E1081)+1,10)))),1,0),0))</f>
        <v>0</v>
      </c>
      <c r="J1081" s="0" t="str">
        <f aca="false">IF(I1081=1,TRIM(LEFT(H1081,MAX(0,LEN(H1081)-LEN(D1081)))),"")</f>
        <v/>
      </c>
      <c r="K1081" s="0" t="str">
        <f aca="false">INDEX($P$2:$P$21,A1081)</f>
        <v>Deck 18</v>
      </c>
      <c r="L1081" s="0" t="n">
        <f aca="false">IF(AND(C1081&lt;&gt;"",LEFT(C1081,2)&lt;&gt;"//",I1081=0),1,0)</f>
        <v>0</v>
      </c>
      <c r="M1081" s="0" t="str">
        <f aca="false">IF(I1081=1,MAX(M$1:M1080)+1,"")</f>
        <v/>
      </c>
      <c r="N1081" s="0" t="str">
        <f aca="false">IFERROR(MATCH(ROW()-1,$V$2:$V$1201,0),"")</f>
        <v/>
      </c>
      <c r="R1081" s="0" t="str">
        <f aca="false">IF(E1081="","",IFERROR(LEFT(E1081,FIND("-",E1081)-1),E1081))</f>
        <v/>
      </c>
      <c r="S1081" s="0" t="str">
        <f aca="false">IF(R1081="","",IF(ISNUMBER(--MID(R1081,1,1)),0,IF(ISNUMBER(--MID(R1081,2,1)),1,IF(ISNUMBER(--MID(R1081,3,1)),2,IF(ISNUMBER(--MID(R1081,4,1)),3,MIN(LEN(R1081),4))))))</f>
        <v/>
      </c>
      <c r="T1081" s="0" t="str">
        <f aca="false">IF(E1081="","",LEFT(R1081,S1081)&amp;REPT("0",4-S1081)&amp;RIGHT("000"&amp;IFERROR(VALUE(MID(R1081,S1081+1,9)),0),3)&amp;RIGHT("0000"&amp;IFERROR(VALUE(MID(E1081,FIND("-",E1081)+1,9)),0),4))</f>
        <v/>
      </c>
      <c r="U1081" s="0" t="str">
        <f aca="false">IF(I1081=1,"K"&amp;RIGHT("00"&amp;A1081,2)&amp;T1081&amp;RIGHT("00000"&amp;ROW(),5),"")</f>
        <v/>
      </c>
      <c r="V1081" s="0" t="str">
        <f aca="false">IF(U1081="","",COUNTIFS($I$2:$I$1201,1,$U$2:$U$1201,"&lt;"&amp;U1081)+1)</f>
        <v/>
      </c>
    </row>
    <row r="1082" customFormat="false" ht="15" hidden="false" customHeight="false" outlineLevel="0" collapsed="false">
      <c r="A1082" s="0" t="n">
        <v>19</v>
      </c>
      <c r="B1082" s="0" t="n">
        <v>1</v>
      </c>
      <c r="C1082" s="0" t="str">
        <f aca="false">TRIM(SUBSTITUTE(INDEX(LISTAS!$A$4:$T$63,B1082,A1082)&amp;"",CHAR(160)," "))</f>
        <v/>
      </c>
      <c r="D1082" s="0" t="str">
        <f aca="false">IF(C1082="","",TRIM(RIGHT(SUBSTITUTE(C1082," ",REPT(" ",100)),100)))</f>
        <v/>
      </c>
      <c r="E1082" s="0" t="str">
        <f aca="false">IF(D1082="","",UPPER(SUBSTITUTE(SUBSTITUTE(D1082,"(",""),")","")))</f>
        <v/>
      </c>
      <c r="F1082" s="0" t="str">
        <f aca="false">IF(C1082="","",LEFT(C1082,FIND(" ",C1082&amp;" ")-1))</f>
        <v/>
      </c>
      <c r="G1082" s="0" t="n">
        <f aca="false">IFERROR(VALUE(SUBSTITUTE(LOWER(F1082),"x","")),0)</f>
        <v>0</v>
      </c>
      <c r="H1082" s="0" t="str">
        <f aca="false">IF(C1082="","",TRIM(MID(C1082,LEN(F1082)+2,999)))</f>
        <v/>
      </c>
      <c r="I1082" s="0" t="n">
        <f aca="false">IF(OR(C1082="",LEFT(C1082,2)="//"),0,IFERROR(IF(AND(G1082&gt;0,G1082=INT(G1082),FIND("-",E1082)&gt;1,NOT(EXACT(UPPER(LEFT(E1082,1)),LOWER(LEFT(E1082,1)))),ISNUMBER(VALUE(MID(E1082,FIND("-",E1082)+1,10)))),1,0),0))</f>
        <v>0</v>
      </c>
      <c r="J1082" s="0" t="str">
        <f aca="false">IF(I1082=1,TRIM(LEFT(H1082,MAX(0,LEN(H1082)-LEN(D1082)))),"")</f>
        <v/>
      </c>
      <c r="K1082" s="0" t="str">
        <f aca="false">INDEX($P$2:$P$21,A1082)</f>
        <v>Deck 19</v>
      </c>
      <c r="L1082" s="0" t="n">
        <f aca="false">IF(AND(C1082&lt;&gt;"",LEFT(C1082,2)&lt;&gt;"//",I1082=0),1,0)</f>
        <v>0</v>
      </c>
      <c r="M1082" s="0" t="str">
        <f aca="false">IF(I1082=1,MAX(M$1:M1081)+1,"")</f>
        <v/>
      </c>
      <c r="N1082" s="0" t="str">
        <f aca="false">IFERROR(MATCH(ROW()-1,$V$2:$V$1201,0),"")</f>
        <v/>
      </c>
      <c r="R1082" s="0" t="str">
        <f aca="false">IF(E1082="","",IFERROR(LEFT(E1082,FIND("-",E1082)-1),E1082))</f>
        <v/>
      </c>
      <c r="S1082" s="0" t="str">
        <f aca="false">IF(R1082="","",IF(ISNUMBER(--MID(R1082,1,1)),0,IF(ISNUMBER(--MID(R1082,2,1)),1,IF(ISNUMBER(--MID(R1082,3,1)),2,IF(ISNUMBER(--MID(R1082,4,1)),3,MIN(LEN(R1082),4))))))</f>
        <v/>
      </c>
      <c r="T1082" s="0" t="str">
        <f aca="false">IF(E1082="","",LEFT(R1082,S1082)&amp;REPT("0",4-S1082)&amp;RIGHT("000"&amp;IFERROR(VALUE(MID(R1082,S1082+1,9)),0),3)&amp;RIGHT("0000"&amp;IFERROR(VALUE(MID(E1082,FIND("-",E1082)+1,9)),0),4))</f>
        <v/>
      </c>
      <c r="U1082" s="0" t="str">
        <f aca="false">IF(I1082=1,"K"&amp;RIGHT("00"&amp;A1082,2)&amp;T1082&amp;RIGHT("00000"&amp;ROW(),5),"")</f>
        <v/>
      </c>
      <c r="V1082" s="0" t="str">
        <f aca="false">IF(U1082="","",COUNTIFS($I$2:$I$1201,1,$U$2:$U$1201,"&lt;"&amp;U1082)+1)</f>
        <v/>
      </c>
    </row>
    <row r="1083" customFormat="false" ht="15" hidden="false" customHeight="false" outlineLevel="0" collapsed="false">
      <c r="A1083" s="0" t="n">
        <v>19</v>
      </c>
      <c r="B1083" s="0" t="n">
        <v>2</v>
      </c>
      <c r="C1083" s="0" t="str">
        <f aca="false">TRIM(SUBSTITUTE(INDEX(LISTAS!$A$4:$T$63,B1083,A1083)&amp;"",CHAR(160)," "))</f>
        <v/>
      </c>
      <c r="D1083" s="0" t="str">
        <f aca="false">IF(C1083="","",TRIM(RIGHT(SUBSTITUTE(C1083," ",REPT(" ",100)),100)))</f>
        <v/>
      </c>
      <c r="E1083" s="0" t="str">
        <f aca="false">IF(D1083="","",UPPER(SUBSTITUTE(SUBSTITUTE(D1083,"(",""),")","")))</f>
        <v/>
      </c>
      <c r="F1083" s="0" t="str">
        <f aca="false">IF(C1083="","",LEFT(C1083,FIND(" ",C1083&amp;" ")-1))</f>
        <v/>
      </c>
      <c r="G1083" s="0" t="n">
        <f aca="false">IFERROR(VALUE(SUBSTITUTE(LOWER(F1083),"x","")),0)</f>
        <v>0</v>
      </c>
      <c r="H1083" s="0" t="str">
        <f aca="false">IF(C1083="","",TRIM(MID(C1083,LEN(F1083)+2,999)))</f>
        <v/>
      </c>
      <c r="I1083" s="0" t="n">
        <f aca="false">IF(OR(C1083="",LEFT(C1083,2)="//"),0,IFERROR(IF(AND(G1083&gt;0,G1083=INT(G1083),FIND("-",E1083)&gt;1,NOT(EXACT(UPPER(LEFT(E1083,1)),LOWER(LEFT(E1083,1)))),ISNUMBER(VALUE(MID(E1083,FIND("-",E1083)+1,10)))),1,0),0))</f>
        <v>0</v>
      </c>
      <c r="J1083" s="0" t="str">
        <f aca="false">IF(I1083=1,TRIM(LEFT(H1083,MAX(0,LEN(H1083)-LEN(D1083)))),"")</f>
        <v/>
      </c>
      <c r="K1083" s="0" t="str">
        <f aca="false">INDEX($P$2:$P$21,A1083)</f>
        <v>Deck 19</v>
      </c>
      <c r="L1083" s="0" t="n">
        <f aca="false">IF(AND(C1083&lt;&gt;"",LEFT(C1083,2)&lt;&gt;"//",I1083=0),1,0)</f>
        <v>0</v>
      </c>
      <c r="M1083" s="0" t="str">
        <f aca="false">IF(I1083=1,MAX(M$1:M1082)+1,"")</f>
        <v/>
      </c>
      <c r="N1083" s="0" t="str">
        <f aca="false">IFERROR(MATCH(ROW()-1,$V$2:$V$1201,0),"")</f>
        <v/>
      </c>
      <c r="R1083" s="0" t="str">
        <f aca="false">IF(E1083="","",IFERROR(LEFT(E1083,FIND("-",E1083)-1),E1083))</f>
        <v/>
      </c>
      <c r="S1083" s="0" t="str">
        <f aca="false">IF(R1083="","",IF(ISNUMBER(--MID(R1083,1,1)),0,IF(ISNUMBER(--MID(R1083,2,1)),1,IF(ISNUMBER(--MID(R1083,3,1)),2,IF(ISNUMBER(--MID(R1083,4,1)),3,MIN(LEN(R1083),4))))))</f>
        <v/>
      </c>
      <c r="T1083" s="0" t="str">
        <f aca="false">IF(E1083="","",LEFT(R1083,S1083)&amp;REPT("0",4-S1083)&amp;RIGHT("000"&amp;IFERROR(VALUE(MID(R1083,S1083+1,9)),0),3)&amp;RIGHT("0000"&amp;IFERROR(VALUE(MID(E1083,FIND("-",E1083)+1,9)),0),4))</f>
        <v/>
      </c>
      <c r="U1083" s="0" t="str">
        <f aca="false">IF(I1083=1,"K"&amp;RIGHT("00"&amp;A1083,2)&amp;T1083&amp;RIGHT("00000"&amp;ROW(),5),"")</f>
        <v/>
      </c>
      <c r="V1083" s="0" t="str">
        <f aca="false">IF(U1083="","",COUNTIFS($I$2:$I$1201,1,$U$2:$U$1201,"&lt;"&amp;U1083)+1)</f>
        <v/>
      </c>
    </row>
    <row r="1084" customFormat="false" ht="15" hidden="false" customHeight="false" outlineLevel="0" collapsed="false">
      <c r="A1084" s="0" t="n">
        <v>19</v>
      </c>
      <c r="B1084" s="0" t="n">
        <v>3</v>
      </c>
      <c r="C1084" s="0" t="str">
        <f aca="false">TRIM(SUBSTITUTE(INDEX(LISTAS!$A$4:$T$63,B1084,A1084)&amp;"",CHAR(160)," "))</f>
        <v/>
      </c>
      <c r="D1084" s="0" t="str">
        <f aca="false">IF(C1084="","",TRIM(RIGHT(SUBSTITUTE(C1084," ",REPT(" ",100)),100)))</f>
        <v/>
      </c>
      <c r="E1084" s="0" t="str">
        <f aca="false">IF(D1084="","",UPPER(SUBSTITUTE(SUBSTITUTE(D1084,"(",""),")","")))</f>
        <v/>
      </c>
      <c r="F1084" s="0" t="str">
        <f aca="false">IF(C1084="","",LEFT(C1084,FIND(" ",C1084&amp;" ")-1))</f>
        <v/>
      </c>
      <c r="G1084" s="0" t="n">
        <f aca="false">IFERROR(VALUE(SUBSTITUTE(LOWER(F1084),"x","")),0)</f>
        <v>0</v>
      </c>
      <c r="H1084" s="0" t="str">
        <f aca="false">IF(C1084="","",TRIM(MID(C1084,LEN(F1084)+2,999)))</f>
        <v/>
      </c>
      <c r="I1084" s="0" t="n">
        <f aca="false">IF(OR(C1084="",LEFT(C1084,2)="//"),0,IFERROR(IF(AND(G1084&gt;0,G1084=INT(G1084),FIND("-",E1084)&gt;1,NOT(EXACT(UPPER(LEFT(E1084,1)),LOWER(LEFT(E1084,1)))),ISNUMBER(VALUE(MID(E1084,FIND("-",E1084)+1,10)))),1,0),0))</f>
        <v>0</v>
      </c>
      <c r="J1084" s="0" t="str">
        <f aca="false">IF(I1084=1,TRIM(LEFT(H1084,MAX(0,LEN(H1084)-LEN(D1084)))),"")</f>
        <v/>
      </c>
      <c r="K1084" s="0" t="str">
        <f aca="false">INDEX($P$2:$P$21,A1084)</f>
        <v>Deck 19</v>
      </c>
      <c r="L1084" s="0" t="n">
        <f aca="false">IF(AND(C1084&lt;&gt;"",LEFT(C1084,2)&lt;&gt;"//",I1084=0),1,0)</f>
        <v>0</v>
      </c>
      <c r="M1084" s="0" t="str">
        <f aca="false">IF(I1084=1,MAX(M$1:M1083)+1,"")</f>
        <v/>
      </c>
      <c r="N1084" s="0" t="str">
        <f aca="false">IFERROR(MATCH(ROW()-1,$V$2:$V$1201,0),"")</f>
        <v/>
      </c>
      <c r="R1084" s="0" t="str">
        <f aca="false">IF(E1084="","",IFERROR(LEFT(E1084,FIND("-",E1084)-1),E1084))</f>
        <v/>
      </c>
      <c r="S1084" s="0" t="str">
        <f aca="false">IF(R1084="","",IF(ISNUMBER(--MID(R1084,1,1)),0,IF(ISNUMBER(--MID(R1084,2,1)),1,IF(ISNUMBER(--MID(R1084,3,1)),2,IF(ISNUMBER(--MID(R1084,4,1)),3,MIN(LEN(R1084),4))))))</f>
        <v/>
      </c>
      <c r="T1084" s="0" t="str">
        <f aca="false">IF(E1084="","",LEFT(R1084,S1084)&amp;REPT("0",4-S1084)&amp;RIGHT("000"&amp;IFERROR(VALUE(MID(R1084,S1084+1,9)),0),3)&amp;RIGHT("0000"&amp;IFERROR(VALUE(MID(E1084,FIND("-",E1084)+1,9)),0),4))</f>
        <v/>
      </c>
      <c r="U1084" s="0" t="str">
        <f aca="false">IF(I1084=1,"K"&amp;RIGHT("00"&amp;A1084,2)&amp;T1084&amp;RIGHT("00000"&amp;ROW(),5),"")</f>
        <v/>
      </c>
      <c r="V1084" s="0" t="str">
        <f aca="false">IF(U1084="","",COUNTIFS($I$2:$I$1201,1,$U$2:$U$1201,"&lt;"&amp;U1084)+1)</f>
        <v/>
      </c>
    </row>
    <row r="1085" customFormat="false" ht="15" hidden="false" customHeight="false" outlineLevel="0" collapsed="false">
      <c r="A1085" s="0" t="n">
        <v>19</v>
      </c>
      <c r="B1085" s="0" t="n">
        <v>4</v>
      </c>
      <c r="C1085" s="0" t="str">
        <f aca="false">TRIM(SUBSTITUTE(INDEX(LISTAS!$A$4:$T$63,B1085,A1085)&amp;"",CHAR(160)," "))</f>
        <v/>
      </c>
      <c r="D1085" s="0" t="str">
        <f aca="false">IF(C1085="","",TRIM(RIGHT(SUBSTITUTE(C1085," ",REPT(" ",100)),100)))</f>
        <v/>
      </c>
      <c r="E1085" s="0" t="str">
        <f aca="false">IF(D1085="","",UPPER(SUBSTITUTE(SUBSTITUTE(D1085,"(",""),")","")))</f>
        <v/>
      </c>
      <c r="F1085" s="0" t="str">
        <f aca="false">IF(C1085="","",LEFT(C1085,FIND(" ",C1085&amp;" ")-1))</f>
        <v/>
      </c>
      <c r="G1085" s="0" t="n">
        <f aca="false">IFERROR(VALUE(SUBSTITUTE(LOWER(F1085),"x","")),0)</f>
        <v>0</v>
      </c>
      <c r="H1085" s="0" t="str">
        <f aca="false">IF(C1085="","",TRIM(MID(C1085,LEN(F1085)+2,999)))</f>
        <v/>
      </c>
      <c r="I1085" s="0" t="n">
        <f aca="false">IF(OR(C1085="",LEFT(C1085,2)="//"),0,IFERROR(IF(AND(G1085&gt;0,G1085=INT(G1085),FIND("-",E1085)&gt;1,NOT(EXACT(UPPER(LEFT(E1085,1)),LOWER(LEFT(E1085,1)))),ISNUMBER(VALUE(MID(E1085,FIND("-",E1085)+1,10)))),1,0),0))</f>
        <v>0</v>
      </c>
      <c r="J1085" s="0" t="str">
        <f aca="false">IF(I1085=1,TRIM(LEFT(H1085,MAX(0,LEN(H1085)-LEN(D1085)))),"")</f>
        <v/>
      </c>
      <c r="K1085" s="0" t="str">
        <f aca="false">INDEX($P$2:$P$21,A1085)</f>
        <v>Deck 19</v>
      </c>
      <c r="L1085" s="0" t="n">
        <f aca="false">IF(AND(C1085&lt;&gt;"",LEFT(C1085,2)&lt;&gt;"//",I1085=0),1,0)</f>
        <v>0</v>
      </c>
      <c r="M1085" s="0" t="str">
        <f aca="false">IF(I1085=1,MAX(M$1:M1084)+1,"")</f>
        <v/>
      </c>
      <c r="N1085" s="0" t="str">
        <f aca="false">IFERROR(MATCH(ROW()-1,$V$2:$V$1201,0),"")</f>
        <v/>
      </c>
      <c r="R1085" s="0" t="str">
        <f aca="false">IF(E1085="","",IFERROR(LEFT(E1085,FIND("-",E1085)-1),E1085))</f>
        <v/>
      </c>
      <c r="S1085" s="0" t="str">
        <f aca="false">IF(R1085="","",IF(ISNUMBER(--MID(R1085,1,1)),0,IF(ISNUMBER(--MID(R1085,2,1)),1,IF(ISNUMBER(--MID(R1085,3,1)),2,IF(ISNUMBER(--MID(R1085,4,1)),3,MIN(LEN(R1085),4))))))</f>
        <v/>
      </c>
      <c r="T1085" s="0" t="str">
        <f aca="false">IF(E1085="","",LEFT(R1085,S1085)&amp;REPT("0",4-S1085)&amp;RIGHT("000"&amp;IFERROR(VALUE(MID(R1085,S1085+1,9)),0),3)&amp;RIGHT("0000"&amp;IFERROR(VALUE(MID(E1085,FIND("-",E1085)+1,9)),0),4))</f>
        <v/>
      </c>
      <c r="U1085" s="0" t="str">
        <f aca="false">IF(I1085=1,"K"&amp;RIGHT("00"&amp;A1085,2)&amp;T1085&amp;RIGHT("00000"&amp;ROW(),5),"")</f>
        <v/>
      </c>
      <c r="V1085" s="0" t="str">
        <f aca="false">IF(U1085="","",COUNTIFS($I$2:$I$1201,1,$U$2:$U$1201,"&lt;"&amp;U1085)+1)</f>
        <v/>
      </c>
    </row>
    <row r="1086" customFormat="false" ht="15" hidden="false" customHeight="false" outlineLevel="0" collapsed="false">
      <c r="A1086" s="0" t="n">
        <v>19</v>
      </c>
      <c r="B1086" s="0" t="n">
        <v>5</v>
      </c>
      <c r="C1086" s="0" t="str">
        <f aca="false">TRIM(SUBSTITUTE(INDEX(LISTAS!$A$4:$T$63,B1086,A1086)&amp;"",CHAR(160)," "))</f>
        <v/>
      </c>
      <c r="D1086" s="0" t="str">
        <f aca="false">IF(C1086="","",TRIM(RIGHT(SUBSTITUTE(C1086," ",REPT(" ",100)),100)))</f>
        <v/>
      </c>
      <c r="E1086" s="0" t="str">
        <f aca="false">IF(D1086="","",UPPER(SUBSTITUTE(SUBSTITUTE(D1086,"(",""),")","")))</f>
        <v/>
      </c>
      <c r="F1086" s="0" t="str">
        <f aca="false">IF(C1086="","",LEFT(C1086,FIND(" ",C1086&amp;" ")-1))</f>
        <v/>
      </c>
      <c r="G1086" s="0" t="n">
        <f aca="false">IFERROR(VALUE(SUBSTITUTE(LOWER(F1086),"x","")),0)</f>
        <v>0</v>
      </c>
      <c r="H1086" s="0" t="str">
        <f aca="false">IF(C1086="","",TRIM(MID(C1086,LEN(F1086)+2,999)))</f>
        <v/>
      </c>
      <c r="I1086" s="0" t="n">
        <f aca="false">IF(OR(C1086="",LEFT(C1086,2)="//"),0,IFERROR(IF(AND(G1086&gt;0,G1086=INT(G1086),FIND("-",E1086)&gt;1,NOT(EXACT(UPPER(LEFT(E1086,1)),LOWER(LEFT(E1086,1)))),ISNUMBER(VALUE(MID(E1086,FIND("-",E1086)+1,10)))),1,0),0))</f>
        <v>0</v>
      </c>
      <c r="J1086" s="0" t="str">
        <f aca="false">IF(I1086=1,TRIM(LEFT(H1086,MAX(0,LEN(H1086)-LEN(D1086)))),"")</f>
        <v/>
      </c>
      <c r="K1086" s="0" t="str">
        <f aca="false">INDEX($P$2:$P$21,A1086)</f>
        <v>Deck 19</v>
      </c>
      <c r="L1086" s="0" t="n">
        <f aca="false">IF(AND(C1086&lt;&gt;"",LEFT(C1086,2)&lt;&gt;"//",I1086=0),1,0)</f>
        <v>0</v>
      </c>
      <c r="M1086" s="0" t="str">
        <f aca="false">IF(I1086=1,MAX(M$1:M1085)+1,"")</f>
        <v/>
      </c>
      <c r="N1086" s="0" t="str">
        <f aca="false">IFERROR(MATCH(ROW()-1,$V$2:$V$1201,0),"")</f>
        <v/>
      </c>
      <c r="R1086" s="0" t="str">
        <f aca="false">IF(E1086="","",IFERROR(LEFT(E1086,FIND("-",E1086)-1),E1086))</f>
        <v/>
      </c>
      <c r="S1086" s="0" t="str">
        <f aca="false">IF(R1086="","",IF(ISNUMBER(--MID(R1086,1,1)),0,IF(ISNUMBER(--MID(R1086,2,1)),1,IF(ISNUMBER(--MID(R1086,3,1)),2,IF(ISNUMBER(--MID(R1086,4,1)),3,MIN(LEN(R1086),4))))))</f>
        <v/>
      </c>
      <c r="T1086" s="0" t="str">
        <f aca="false">IF(E1086="","",LEFT(R1086,S1086)&amp;REPT("0",4-S1086)&amp;RIGHT("000"&amp;IFERROR(VALUE(MID(R1086,S1086+1,9)),0),3)&amp;RIGHT("0000"&amp;IFERROR(VALUE(MID(E1086,FIND("-",E1086)+1,9)),0),4))</f>
        <v/>
      </c>
      <c r="U1086" s="0" t="str">
        <f aca="false">IF(I1086=1,"K"&amp;RIGHT("00"&amp;A1086,2)&amp;T1086&amp;RIGHT("00000"&amp;ROW(),5),"")</f>
        <v/>
      </c>
      <c r="V1086" s="0" t="str">
        <f aca="false">IF(U1086="","",COUNTIFS($I$2:$I$1201,1,$U$2:$U$1201,"&lt;"&amp;U1086)+1)</f>
        <v/>
      </c>
    </row>
    <row r="1087" customFormat="false" ht="15" hidden="false" customHeight="false" outlineLevel="0" collapsed="false">
      <c r="A1087" s="0" t="n">
        <v>19</v>
      </c>
      <c r="B1087" s="0" t="n">
        <v>6</v>
      </c>
      <c r="C1087" s="0" t="str">
        <f aca="false">TRIM(SUBSTITUTE(INDEX(LISTAS!$A$4:$T$63,B1087,A1087)&amp;"",CHAR(160)," "))</f>
        <v/>
      </c>
      <c r="D1087" s="0" t="str">
        <f aca="false">IF(C1087="","",TRIM(RIGHT(SUBSTITUTE(C1087," ",REPT(" ",100)),100)))</f>
        <v/>
      </c>
      <c r="E1087" s="0" t="str">
        <f aca="false">IF(D1087="","",UPPER(SUBSTITUTE(SUBSTITUTE(D1087,"(",""),")","")))</f>
        <v/>
      </c>
      <c r="F1087" s="0" t="str">
        <f aca="false">IF(C1087="","",LEFT(C1087,FIND(" ",C1087&amp;" ")-1))</f>
        <v/>
      </c>
      <c r="G1087" s="0" t="n">
        <f aca="false">IFERROR(VALUE(SUBSTITUTE(LOWER(F1087),"x","")),0)</f>
        <v>0</v>
      </c>
      <c r="H1087" s="0" t="str">
        <f aca="false">IF(C1087="","",TRIM(MID(C1087,LEN(F1087)+2,999)))</f>
        <v/>
      </c>
      <c r="I1087" s="0" t="n">
        <f aca="false">IF(OR(C1087="",LEFT(C1087,2)="//"),0,IFERROR(IF(AND(G1087&gt;0,G1087=INT(G1087),FIND("-",E1087)&gt;1,NOT(EXACT(UPPER(LEFT(E1087,1)),LOWER(LEFT(E1087,1)))),ISNUMBER(VALUE(MID(E1087,FIND("-",E1087)+1,10)))),1,0),0))</f>
        <v>0</v>
      </c>
      <c r="J1087" s="0" t="str">
        <f aca="false">IF(I1087=1,TRIM(LEFT(H1087,MAX(0,LEN(H1087)-LEN(D1087)))),"")</f>
        <v/>
      </c>
      <c r="K1087" s="0" t="str">
        <f aca="false">INDEX($P$2:$P$21,A1087)</f>
        <v>Deck 19</v>
      </c>
      <c r="L1087" s="0" t="n">
        <f aca="false">IF(AND(C1087&lt;&gt;"",LEFT(C1087,2)&lt;&gt;"//",I1087=0),1,0)</f>
        <v>0</v>
      </c>
      <c r="M1087" s="0" t="str">
        <f aca="false">IF(I1087=1,MAX(M$1:M1086)+1,"")</f>
        <v/>
      </c>
      <c r="N1087" s="0" t="str">
        <f aca="false">IFERROR(MATCH(ROW()-1,$V$2:$V$1201,0),"")</f>
        <v/>
      </c>
      <c r="R1087" s="0" t="str">
        <f aca="false">IF(E1087="","",IFERROR(LEFT(E1087,FIND("-",E1087)-1),E1087))</f>
        <v/>
      </c>
      <c r="S1087" s="0" t="str">
        <f aca="false">IF(R1087="","",IF(ISNUMBER(--MID(R1087,1,1)),0,IF(ISNUMBER(--MID(R1087,2,1)),1,IF(ISNUMBER(--MID(R1087,3,1)),2,IF(ISNUMBER(--MID(R1087,4,1)),3,MIN(LEN(R1087),4))))))</f>
        <v/>
      </c>
      <c r="T1087" s="0" t="str">
        <f aca="false">IF(E1087="","",LEFT(R1087,S1087)&amp;REPT("0",4-S1087)&amp;RIGHT("000"&amp;IFERROR(VALUE(MID(R1087,S1087+1,9)),0),3)&amp;RIGHT("0000"&amp;IFERROR(VALUE(MID(E1087,FIND("-",E1087)+1,9)),0),4))</f>
        <v/>
      </c>
      <c r="U1087" s="0" t="str">
        <f aca="false">IF(I1087=1,"K"&amp;RIGHT("00"&amp;A1087,2)&amp;T1087&amp;RIGHT("00000"&amp;ROW(),5),"")</f>
        <v/>
      </c>
      <c r="V1087" s="0" t="str">
        <f aca="false">IF(U1087="","",COUNTIFS($I$2:$I$1201,1,$U$2:$U$1201,"&lt;"&amp;U1087)+1)</f>
        <v/>
      </c>
    </row>
    <row r="1088" customFormat="false" ht="15" hidden="false" customHeight="false" outlineLevel="0" collapsed="false">
      <c r="A1088" s="0" t="n">
        <v>19</v>
      </c>
      <c r="B1088" s="0" t="n">
        <v>7</v>
      </c>
      <c r="C1088" s="0" t="str">
        <f aca="false">TRIM(SUBSTITUTE(INDEX(LISTAS!$A$4:$T$63,B1088,A1088)&amp;"",CHAR(160)," "))</f>
        <v/>
      </c>
      <c r="D1088" s="0" t="str">
        <f aca="false">IF(C1088="","",TRIM(RIGHT(SUBSTITUTE(C1088," ",REPT(" ",100)),100)))</f>
        <v/>
      </c>
      <c r="E1088" s="0" t="str">
        <f aca="false">IF(D1088="","",UPPER(SUBSTITUTE(SUBSTITUTE(D1088,"(",""),")","")))</f>
        <v/>
      </c>
      <c r="F1088" s="0" t="str">
        <f aca="false">IF(C1088="","",LEFT(C1088,FIND(" ",C1088&amp;" ")-1))</f>
        <v/>
      </c>
      <c r="G1088" s="0" t="n">
        <f aca="false">IFERROR(VALUE(SUBSTITUTE(LOWER(F1088),"x","")),0)</f>
        <v>0</v>
      </c>
      <c r="H1088" s="0" t="str">
        <f aca="false">IF(C1088="","",TRIM(MID(C1088,LEN(F1088)+2,999)))</f>
        <v/>
      </c>
      <c r="I1088" s="0" t="n">
        <f aca="false">IF(OR(C1088="",LEFT(C1088,2)="//"),0,IFERROR(IF(AND(G1088&gt;0,G1088=INT(G1088),FIND("-",E1088)&gt;1,NOT(EXACT(UPPER(LEFT(E1088,1)),LOWER(LEFT(E1088,1)))),ISNUMBER(VALUE(MID(E1088,FIND("-",E1088)+1,10)))),1,0),0))</f>
        <v>0</v>
      </c>
      <c r="J1088" s="0" t="str">
        <f aca="false">IF(I1088=1,TRIM(LEFT(H1088,MAX(0,LEN(H1088)-LEN(D1088)))),"")</f>
        <v/>
      </c>
      <c r="K1088" s="0" t="str">
        <f aca="false">INDEX($P$2:$P$21,A1088)</f>
        <v>Deck 19</v>
      </c>
      <c r="L1088" s="0" t="n">
        <f aca="false">IF(AND(C1088&lt;&gt;"",LEFT(C1088,2)&lt;&gt;"//",I1088=0),1,0)</f>
        <v>0</v>
      </c>
      <c r="M1088" s="0" t="str">
        <f aca="false">IF(I1088=1,MAX(M$1:M1087)+1,"")</f>
        <v/>
      </c>
      <c r="N1088" s="0" t="str">
        <f aca="false">IFERROR(MATCH(ROW()-1,$V$2:$V$1201,0),"")</f>
        <v/>
      </c>
      <c r="R1088" s="0" t="str">
        <f aca="false">IF(E1088="","",IFERROR(LEFT(E1088,FIND("-",E1088)-1),E1088))</f>
        <v/>
      </c>
      <c r="S1088" s="0" t="str">
        <f aca="false">IF(R1088="","",IF(ISNUMBER(--MID(R1088,1,1)),0,IF(ISNUMBER(--MID(R1088,2,1)),1,IF(ISNUMBER(--MID(R1088,3,1)),2,IF(ISNUMBER(--MID(R1088,4,1)),3,MIN(LEN(R1088),4))))))</f>
        <v/>
      </c>
      <c r="T1088" s="0" t="str">
        <f aca="false">IF(E1088="","",LEFT(R1088,S1088)&amp;REPT("0",4-S1088)&amp;RIGHT("000"&amp;IFERROR(VALUE(MID(R1088,S1088+1,9)),0),3)&amp;RIGHT("0000"&amp;IFERROR(VALUE(MID(E1088,FIND("-",E1088)+1,9)),0),4))</f>
        <v/>
      </c>
      <c r="U1088" s="0" t="str">
        <f aca="false">IF(I1088=1,"K"&amp;RIGHT("00"&amp;A1088,2)&amp;T1088&amp;RIGHT("00000"&amp;ROW(),5),"")</f>
        <v/>
      </c>
      <c r="V1088" s="0" t="str">
        <f aca="false">IF(U1088="","",COUNTIFS($I$2:$I$1201,1,$U$2:$U$1201,"&lt;"&amp;U1088)+1)</f>
        <v/>
      </c>
    </row>
    <row r="1089" customFormat="false" ht="15" hidden="false" customHeight="false" outlineLevel="0" collapsed="false">
      <c r="A1089" s="0" t="n">
        <v>19</v>
      </c>
      <c r="B1089" s="0" t="n">
        <v>8</v>
      </c>
      <c r="C1089" s="0" t="str">
        <f aca="false">TRIM(SUBSTITUTE(INDEX(LISTAS!$A$4:$T$63,B1089,A1089)&amp;"",CHAR(160)," "))</f>
        <v/>
      </c>
      <c r="D1089" s="0" t="str">
        <f aca="false">IF(C1089="","",TRIM(RIGHT(SUBSTITUTE(C1089," ",REPT(" ",100)),100)))</f>
        <v/>
      </c>
      <c r="E1089" s="0" t="str">
        <f aca="false">IF(D1089="","",UPPER(SUBSTITUTE(SUBSTITUTE(D1089,"(",""),")","")))</f>
        <v/>
      </c>
      <c r="F1089" s="0" t="str">
        <f aca="false">IF(C1089="","",LEFT(C1089,FIND(" ",C1089&amp;" ")-1))</f>
        <v/>
      </c>
      <c r="G1089" s="0" t="n">
        <f aca="false">IFERROR(VALUE(SUBSTITUTE(LOWER(F1089),"x","")),0)</f>
        <v>0</v>
      </c>
      <c r="H1089" s="0" t="str">
        <f aca="false">IF(C1089="","",TRIM(MID(C1089,LEN(F1089)+2,999)))</f>
        <v/>
      </c>
      <c r="I1089" s="0" t="n">
        <f aca="false">IF(OR(C1089="",LEFT(C1089,2)="//"),0,IFERROR(IF(AND(G1089&gt;0,G1089=INT(G1089),FIND("-",E1089)&gt;1,NOT(EXACT(UPPER(LEFT(E1089,1)),LOWER(LEFT(E1089,1)))),ISNUMBER(VALUE(MID(E1089,FIND("-",E1089)+1,10)))),1,0),0))</f>
        <v>0</v>
      </c>
      <c r="J1089" s="0" t="str">
        <f aca="false">IF(I1089=1,TRIM(LEFT(H1089,MAX(0,LEN(H1089)-LEN(D1089)))),"")</f>
        <v/>
      </c>
      <c r="K1089" s="0" t="str">
        <f aca="false">INDEX($P$2:$P$21,A1089)</f>
        <v>Deck 19</v>
      </c>
      <c r="L1089" s="0" t="n">
        <f aca="false">IF(AND(C1089&lt;&gt;"",LEFT(C1089,2)&lt;&gt;"//",I1089=0),1,0)</f>
        <v>0</v>
      </c>
      <c r="M1089" s="0" t="str">
        <f aca="false">IF(I1089=1,MAX(M$1:M1088)+1,"")</f>
        <v/>
      </c>
      <c r="N1089" s="0" t="str">
        <f aca="false">IFERROR(MATCH(ROW()-1,$V$2:$V$1201,0),"")</f>
        <v/>
      </c>
      <c r="R1089" s="0" t="str">
        <f aca="false">IF(E1089="","",IFERROR(LEFT(E1089,FIND("-",E1089)-1),E1089))</f>
        <v/>
      </c>
      <c r="S1089" s="0" t="str">
        <f aca="false">IF(R1089="","",IF(ISNUMBER(--MID(R1089,1,1)),0,IF(ISNUMBER(--MID(R1089,2,1)),1,IF(ISNUMBER(--MID(R1089,3,1)),2,IF(ISNUMBER(--MID(R1089,4,1)),3,MIN(LEN(R1089),4))))))</f>
        <v/>
      </c>
      <c r="T1089" s="0" t="str">
        <f aca="false">IF(E1089="","",LEFT(R1089,S1089)&amp;REPT("0",4-S1089)&amp;RIGHT("000"&amp;IFERROR(VALUE(MID(R1089,S1089+1,9)),0),3)&amp;RIGHT("0000"&amp;IFERROR(VALUE(MID(E1089,FIND("-",E1089)+1,9)),0),4))</f>
        <v/>
      </c>
      <c r="U1089" s="0" t="str">
        <f aca="false">IF(I1089=1,"K"&amp;RIGHT("00"&amp;A1089,2)&amp;T1089&amp;RIGHT("00000"&amp;ROW(),5),"")</f>
        <v/>
      </c>
      <c r="V1089" s="0" t="str">
        <f aca="false">IF(U1089="","",COUNTIFS($I$2:$I$1201,1,$U$2:$U$1201,"&lt;"&amp;U1089)+1)</f>
        <v/>
      </c>
    </row>
    <row r="1090" customFormat="false" ht="15" hidden="false" customHeight="false" outlineLevel="0" collapsed="false">
      <c r="A1090" s="0" t="n">
        <v>19</v>
      </c>
      <c r="B1090" s="0" t="n">
        <v>9</v>
      </c>
      <c r="C1090" s="0" t="str">
        <f aca="false">TRIM(SUBSTITUTE(INDEX(LISTAS!$A$4:$T$63,B1090,A1090)&amp;"",CHAR(160)," "))</f>
        <v/>
      </c>
      <c r="D1090" s="0" t="str">
        <f aca="false">IF(C1090="","",TRIM(RIGHT(SUBSTITUTE(C1090," ",REPT(" ",100)),100)))</f>
        <v/>
      </c>
      <c r="E1090" s="0" t="str">
        <f aca="false">IF(D1090="","",UPPER(SUBSTITUTE(SUBSTITUTE(D1090,"(",""),")","")))</f>
        <v/>
      </c>
      <c r="F1090" s="0" t="str">
        <f aca="false">IF(C1090="","",LEFT(C1090,FIND(" ",C1090&amp;" ")-1))</f>
        <v/>
      </c>
      <c r="G1090" s="0" t="n">
        <f aca="false">IFERROR(VALUE(SUBSTITUTE(LOWER(F1090),"x","")),0)</f>
        <v>0</v>
      </c>
      <c r="H1090" s="0" t="str">
        <f aca="false">IF(C1090="","",TRIM(MID(C1090,LEN(F1090)+2,999)))</f>
        <v/>
      </c>
      <c r="I1090" s="0" t="n">
        <f aca="false">IF(OR(C1090="",LEFT(C1090,2)="//"),0,IFERROR(IF(AND(G1090&gt;0,G1090=INT(G1090),FIND("-",E1090)&gt;1,NOT(EXACT(UPPER(LEFT(E1090,1)),LOWER(LEFT(E1090,1)))),ISNUMBER(VALUE(MID(E1090,FIND("-",E1090)+1,10)))),1,0),0))</f>
        <v>0</v>
      </c>
      <c r="J1090" s="0" t="str">
        <f aca="false">IF(I1090=1,TRIM(LEFT(H1090,MAX(0,LEN(H1090)-LEN(D1090)))),"")</f>
        <v/>
      </c>
      <c r="K1090" s="0" t="str">
        <f aca="false">INDEX($P$2:$P$21,A1090)</f>
        <v>Deck 19</v>
      </c>
      <c r="L1090" s="0" t="n">
        <f aca="false">IF(AND(C1090&lt;&gt;"",LEFT(C1090,2)&lt;&gt;"//",I1090=0),1,0)</f>
        <v>0</v>
      </c>
      <c r="M1090" s="0" t="str">
        <f aca="false">IF(I1090=1,MAX(M$1:M1089)+1,"")</f>
        <v/>
      </c>
      <c r="N1090" s="0" t="str">
        <f aca="false">IFERROR(MATCH(ROW()-1,$V$2:$V$1201,0),"")</f>
        <v/>
      </c>
      <c r="R1090" s="0" t="str">
        <f aca="false">IF(E1090="","",IFERROR(LEFT(E1090,FIND("-",E1090)-1),E1090))</f>
        <v/>
      </c>
      <c r="S1090" s="0" t="str">
        <f aca="false">IF(R1090="","",IF(ISNUMBER(--MID(R1090,1,1)),0,IF(ISNUMBER(--MID(R1090,2,1)),1,IF(ISNUMBER(--MID(R1090,3,1)),2,IF(ISNUMBER(--MID(R1090,4,1)),3,MIN(LEN(R1090),4))))))</f>
        <v/>
      </c>
      <c r="T1090" s="0" t="str">
        <f aca="false">IF(E1090="","",LEFT(R1090,S1090)&amp;REPT("0",4-S1090)&amp;RIGHT("000"&amp;IFERROR(VALUE(MID(R1090,S1090+1,9)),0),3)&amp;RIGHT("0000"&amp;IFERROR(VALUE(MID(E1090,FIND("-",E1090)+1,9)),0),4))</f>
        <v/>
      </c>
      <c r="U1090" s="0" t="str">
        <f aca="false">IF(I1090=1,"K"&amp;RIGHT("00"&amp;A1090,2)&amp;T1090&amp;RIGHT("00000"&amp;ROW(),5),"")</f>
        <v/>
      </c>
      <c r="V1090" s="0" t="str">
        <f aca="false">IF(U1090="","",COUNTIFS($I$2:$I$1201,1,$U$2:$U$1201,"&lt;"&amp;U1090)+1)</f>
        <v/>
      </c>
    </row>
    <row r="1091" customFormat="false" ht="15" hidden="false" customHeight="false" outlineLevel="0" collapsed="false">
      <c r="A1091" s="0" t="n">
        <v>19</v>
      </c>
      <c r="B1091" s="0" t="n">
        <v>10</v>
      </c>
      <c r="C1091" s="0" t="str">
        <f aca="false">TRIM(SUBSTITUTE(INDEX(LISTAS!$A$4:$T$63,B1091,A1091)&amp;"",CHAR(160)," "))</f>
        <v/>
      </c>
      <c r="D1091" s="0" t="str">
        <f aca="false">IF(C1091="","",TRIM(RIGHT(SUBSTITUTE(C1091," ",REPT(" ",100)),100)))</f>
        <v/>
      </c>
      <c r="E1091" s="0" t="str">
        <f aca="false">IF(D1091="","",UPPER(SUBSTITUTE(SUBSTITUTE(D1091,"(",""),")","")))</f>
        <v/>
      </c>
      <c r="F1091" s="0" t="str">
        <f aca="false">IF(C1091="","",LEFT(C1091,FIND(" ",C1091&amp;" ")-1))</f>
        <v/>
      </c>
      <c r="G1091" s="0" t="n">
        <f aca="false">IFERROR(VALUE(SUBSTITUTE(LOWER(F1091),"x","")),0)</f>
        <v>0</v>
      </c>
      <c r="H1091" s="0" t="str">
        <f aca="false">IF(C1091="","",TRIM(MID(C1091,LEN(F1091)+2,999)))</f>
        <v/>
      </c>
      <c r="I1091" s="0" t="n">
        <f aca="false">IF(OR(C1091="",LEFT(C1091,2)="//"),0,IFERROR(IF(AND(G1091&gt;0,G1091=INT(G1091),FIND("-",E1091)&gt;1,NOT(EXACT(UPPER(LEFT(E1091,1)),LOWER(LEFT(E1091,1)))),ISNUMBER(VALUE(MID(E1091,FIND("-",E1091)+1,10)))),1,0),0))</f>
        <v>0</v>
      </c>
      <c r="J1091" s="0" t="str">
        <f aca="false">IF(I1091=1,TRIM(LEFT(H1091,MAX(0,LEN(H1091)-LEN(D1091)))),"")</f>
        <v/>
      </c>
      <c r="K1091" s="0" t="str">
        <f aca="false">INDEX($P$2:$P$21,A1091)</f>
        <v>Deck 19</v>
      </c>
      <c r="L1091" s="0" t="n">
        <f aca="false">IF(AND(C1091&lt;&gt;"",LEFT(C1091,2)&lt;&gt;"//",I1091=0),1,0)</f>
        <v>0</v>
      </c>
      <c r="M1091" s="0" t="str">
        <f aca="false">IF(I1091=1,MAX(M$1:M1090)+1,"")</f>
        <v/>
      </c>
      <c r="N1091" s="0" t="str">
        <f aca="false">IFERROR(MATCH(ROW()-1,$V$2:$V$1201,0),"")</f>
        <v/>
      </c>
      <c r="R1091" s="0" t="str">
        <f aca="false">IF(E1091="","",IFERROR(LEFT(E1091,FIND("-",E1091)-1),E1091))</f>
        <v/>
      </c>
      <c r="S1091" s="0" t="str">
        <f aca="false">IF(R1091="","",IF(ISNUMBER(--MID(R1091,1,1)),0,IF(ISNUMBER(--MID(R1091,2,1)),1,IF(ISNUMBER(--MID(R1091,3,1)),2,IF(ISNUMBER(--MID(R1091,4,1)),3,MIN(LEN(R1091),4))))))</f>
        <v/>
      </c>
      <c r="T1091" s="0" t="str">
        <f aca="false">IF(E1091="","",LEFT(R1091,S1091)&amp;REPT("0",4-S1091)&amp;RIGHT("000"&amp;IFERROR(VALUE(MID(R1091,S1091+1,9)),0),3)&amp;RIGHT("0000"&amp;IFERROR(VALUE(MID(E1091,FIND("-",E1091)+1,9)),0),4))</f>
        <v/>
      </c>
      <c r="U1091" s="0" t="str">
        <f aca="false">IF(I1091=1,"K"&amp;RIGHT("00"&amp;A1091,2)&amp;T1091&amp;RIGHT("00000"&amp;ROW(),5),"")</f>
        <v/>
      </c>
      <c r="V1091" s="0" t="str">
        <f aca="false">IF(U1091="","",COUNTIFS($I$2:$I$1201,1,$U$2:$U$1201,"&lt;"&amp;U1091)+1)</f>
        <v/>
      </c>
    </row>
    <row r="1092" customFormat="false" ht="15" hidden="false" customHeight="false" outlineLevel="0" collapsed="false">
      <c r="A1092" s="0" t="n">
        <v>19</v>
      </c>
      <c r="B1092" s="0" t="n">
        <v>11</v>
      </c>
      <c r="C1092" s="0" t="str">
        <f aca="false">TRIM(SUBSTITUTE(INDEX(LISTAS!$A$4:$T$63,B1092,A1092)&amp;"",CHAR(160)," "))</f>
        <v/>
      </c>
      <c r="D1092" s="0" t="str">
        <f aca="false">IF(C1092="","",TRIM(RIGHT(SUBSTITUTE(C1092," ",REPT(" ",100)),100)))</f>
        <v/>
      </c>
      <c r="E1092" s="0" t="str">
        <f aca="false">IF(D1092="","",UPPER(SUBSTITUTE(SUBSTITUTE(D1092,"(",""),")","")))</f>
        <v/>
      </c>
      <c r="F1092" s="0" t="str">
        <f aca="false">IF(C1092="","",LEFT(C1092,FIND(" ",C1092&amp;" ")-1))</f>
        <v/>
      </c>
      <c r="G1092" s="0" t="n">
        <f aca="false">IFERROR(VALUE(SUBSTITUTE(LOWER(F1092),"x","")),0)</f>
        <v>0</v>
      </c>
      <c r="H1092" s="0" t="str">
        <f aca="false">IF(C1092="","",TRIM(MID(C1092,LEN(F1092)+2,999)))</f>
        <v/>
      </c>
      <c r="I1092" s="0" t="n">
        <f aca="false">IF(OR(C1092="",LEFT(C1092,2)="//"),0,IFERROR(IF(AND(G1092&gt;0,G1092=INT(G1092),FIND("-",E1092)&gt;1,NOT(EXACT(UPPER(LEFT(E1092,1)),LOWER(LEFT(E1092,1)))),ISNUMBER(VALUE(MID(E1092,FIND("-",E1092)+1,10)))),1,0),0))</f>
        <v>0</v>
      </c>
      <c r="J1092" s="0" t="str">
        <f aca="false">IF(I1092=1,TRIM(LEFT(H1092,MAX(0,LEN(H1092)-LEN(D1092)))),"")</f>
        <v/>
      </c>
      <c r="K1092" s="0" t="str">
        <f aca="false">INDEX($P$2:$P$21,A1092)</f>
        <v>Deck 19</v>
      </c>
      <c r="L1092" s="0" t="n">
        <f aca="false">IF(AND(C1092&lt;&gt;"",LEFT(C1092,2)&lt;&gt;"//",I1092=0),1,0)</f>
        <v>0</v>
      </c>
      <c r="M1092" s="0" t="str">
        <f aca="false">IF(I1092=1,MAX(M$1:M1091)+1,"")</f>
        <v/>
      </c>
      <c r="N1092" s="0" t="str">
        <f aca="false">IFERROR(MATCH(ROW()-1,$V$2:$V$1201,0),"")</f>
        <v/>
      </c>
      <c r="R1092" s="0" t="str">
        <f aca="false">IF(E1092="","",IFERROR(LEFT(E1092,FIND("-",E1092)-1),E1092))</f>
        <v/>
      </c>
      <c r="S1092" s="0" t="str">
        <f aca="false">IF(R1092="","",IF(ISNUMBER(--MID(R1092,1,1)),0,IF(ISNUMBER(--MID(R1092,2,1)),1,IF(ISNUMBER(--MID(R1092,3,1)),2,IF(ISNUMBER(--MID(R1092,4,1)),3,MIN(LEN(R1092),4))))))</f>
        <v/>
      </c>
      <c r="T1092" s="0" t="str">
        <f aca="false">IF(E1092="","",LEFT(R1092,S1092)&amp;REPT("0",4-S1092)&amp;RIGHT("000"&amp;IFERROR(VALUE(MID(R1092,S1092+1,9)),0),3)&amp;RIGHT("0000"&amp;IFERROR(VALUE(MID(E1092,FIND("-",E1092)+1,9)),0),4))</f>
        <v/>
      </c>
      <c r="U1092" s="0" t="str">
        <f aca="false">IF(I1092=1,"K"&amp;RIGHT("00"&amp;A1092,2)&amp;T1092&amp;RIGHT("00000"&amp;ROW(),5),"")</f>
        <v/>
      </c>
      <c r="V1092" s="0" t="str">
        <f aca="false">IF(U1092="","",COUNTIFS($I$2:$I$1201,1,$U$2:$U$1201,"&lt;"&amp;U1092)+1)</f>
        <v/>
      </c>
    </row>
    <row r="1093" customFormat="false" ht="15" hidden="false" customHeight="false" outlineLevel="0" collapsed="false">
      <c r="A1093" s="0" t="n">
        <v>19</v>
      </c>
      <c r="B1093" s="0" t="n">
        <v>12</v>
      </c>
      <c r="C1093" s="0" t="str">
        <f aca="false">TRIM(SUBSTITUTE(INDEX(LISTAS!$A$4:$T$63,B1093,A1093)&amp;"",CHAR(160)," "))</f>
        <v/>
      </c>
      <c r="D1093" s="0" t="str">
        <f aca="false">IF(C1093="","",TRIM(RIGHT(SUBSTITUTE(C1093," ",REPT(" ",100)),100)))</f>
        <v/>
      </c>
      <c r="E1093" s="0" t="str">
        <f aca="false">IF(D1093="","",UPPER(SUBSTITUTE(SUBSTITUTE(D1093,"(",""),")","")))</f>
        <v/>
      </c>
      <c r="F1093" s="0" t="str">
        <f aca="false">IF(C1093="","",LEFT(C1093,FIND(" ",C1093&amp;" ")-1))</f>
        <v/>
      </c>
      <c r="G1093" s="0" t="n">
        <f aca="false">IFERROR(VALUE(SUBSTITUTE(LOWER(F1093),"x","")),0)</f>
        <v>0</v>
      </c>
      <c r="H1093" s="0" t="str">
        <f aca="false">IF(C1093="","",TRIM(MID(C1093,LEN(F1093)+2,999)))</f>
        <v/>
      </c>
      <c r="I1093" s="0" t="n">
        <f aca="false">IF(OR(C1093="",LEFT(C1093,2)="//"),0,IFERROR(IF(AND(G1093&gt;0,G1093=INT(G1093),FIND("-",E1093)&gt;1,NOT(EXACT(UPPER(LEFT(E1093,1)),LOWER(LEFT(E1093,1)))),ISNUMBER(VALUE(MID(E1093,FIND("-",E1093)+1,10)))),1,0),0))</f>
        <v>0</v>
      </c>
      <c r="J1093" s="0" t="str">
        <f aca="false">IF(I1093=1,TRIM(LEFT(H1093,MAX(0,LEN(H1093)-LEN(D1093)))),"")</f>
        <v/>
      </c>
      <c r="K1093" s="0" t="str">
        <f aca="false">INDEX($P$2:$P$21,A1093)</f>
        <v>Deck 19</v>
      </c>
      <c r="L1093" s="0" t="n">
        <f aca="false">IF(AND(C1093&lt;&gt;"",LEFT(C1093,2)&lt;&gt;"//",I1093=0),1,0)</f>
        <v>0</v>
      </c>
      <c r="M1093" s="0" t="str">
        <f aca="false">IF(I1093=1,MAX(M$1:M1092)+1,"")</f>
        <v/>
      </c>
      <c r="N1093" s="0" t="str">
        <f aca="false">IFERROR(MATCH(ROW()-1,$V$2:$V$1201,0),"")</f>
        <v/>
      </c>
      <c r="R1093" s="0" t="str">
        <f aca="false">IF(E1093="","",IFERROR(LEFT(E1093,FIND("-",E1093)-1),E1093))</f>
        <v/>
      </c>
      <c r="S1093" s="0" t="str">
        <f aca="false">IF(R1093="","",IF(ISNUMBER(--MID(R1093,1,1)),0,IF(ISNUMBER(--MID(R1093,2,1)),1,IF(ISNUMBER(--MID(R1093,3,1)),2,IF(ISNUMBER(--MID(R1093,4,1)),3,MIN(LEN(R1093),4))))))</f>
        <v/>
      </c>
      <c r="T1093" s="0" t="str">
        <f aca="false">IF(E1093="","",LEFT(R1093,S1093)&amp;REPT("0",4-S1093)&amp;RIGHT("000"&amp;IFERROR(VALUE(MID(R1093,S1093+1,9)),0),3)&amp;RIGHT("0000"&amp;IFERROR(VALUE(MID(E1093,FIND("-",E1093)+1,9)),0),4))</f>
        <v/>
      </c>
      <c r="U1093" s="0" t="str">
        <f aca="false">IF(I1093=1,"K"&amp;RIGHT("00"&amp;A1093,2)&amp;T1093&amp;RIGHT("00000"&amp;ROW(),5),"")</f>
        <v/>
      </c>
      <c r="V1093" s="0" t="str">
        <f aca="false">IF(U1093="","",COUNTIFS($I$2:$I$1201,1,$U$2:$U$1201,"&lt;"&amp;U1093)+1)</f>
        <v/>
      </c>
    </row>
    <row r="1094" customFormat="false" ht="15" hidden="false" customHeight="false" outlineLevel="0" collapsed="false">
      <c r="A1094" s="0" t="n">
        <v>19</v>
      </c>
      <c r="B1094" s="0" t="n">
        <v>13</v>
      </c>
      <c r="C1094" s="0" t="str">
        <f aca="false">TRIM(SUBSTITUTE(INDEX(LISTAS!$A$4:$T$63,B1094,A1094)&amp;"",CHAR(160)," "))</f>
        <v/>
      </c>
      <c r="D1094" s="0" t="str">
        <f aca="false">IF(C1094="","",TRIM(RIGHT(SUBSTITUTE(C1094," ",REPT(" ",100)),100)))</f>
        <v/>
      </c>
      <c r="E1094" s="0" t="str">
        <f aca="false">IF(D1094="","",UPPER(SUBSTITUTE(SUBSTITUTE(D1094,"(",""),")","")))</f>
        <v/>
      </c>
      <c r="F1094" s="0" t="str">
        <f aca="false">IF(C1094="","",LEFT(C1094,FIND(" ",C1094&amp;" ")-1))</f>
        <v/>
      </c>
      <c r="G1094" s="0" t="n">
        <f aca="false">IFERROR(VALUE(SUBSTITUTE(LOWER(F1094),"x","")),0)</f>
        <v>0</v>
      </c>
      <c r="H1094" s="0" t="str">
        <f aca="false">IF(C1094="","",TRIM(MID(C1094,LEN(F1094)+2,999)))</f>
        <v/>
      </c>
      <c r="I1094" s="0" t="n">
        <f aca="false">IF(OR(C1094="",LEFT(C1094,2)="//"),0,IFERROR(IF(AND(G1094&gt;0,G1094=INT(G1094),FIND("-",E1094)&gt;1,NOT(EXACT(UPPER(LEFT(E1094,1)),LOWER(LEFT(E1094,1)))),ISNUMBER(VALUE(MID(E1094,FIND("-",E1094)+1,10)))),1,0),0))</f>
        <v>0</v>
      </c>
      <c r="J1094" s="0" t="str">
        <f aca="false">IF(I1094=1,TRIM(LEFT(H1094,MAX(0,LEN(H1094)-LEN(D1094)))),"")</f>
        <v/>
      </c>
      <c r="K1094" s="0" t="str">
        <f aca="false">INDEX($P$2:$P$21,A1094)</f>
        <v>Deck 19</v>
      </c>
      <c r="L1094" s="0" t="n">
        <f aca="false">IF(AND(C1094&lt;&gt;"",LEFT(C1094,2)&lt;&gt;"//",I1094=0),1,0)</f>
        <v>0</v>
      </c>
      <c r="M1094" s="0" t="str">
        <f aca="false">IF(I1094=1,MAX(M$1:M1093)+1,"")</f>
        <v/>
      </c>
      <c r="N1094" s="0" t="str">
        <f aca="false">IFERROR(MATCH(ROW()-1,$V$2:$V$1201,0),"")</f>
        <v/>
      </c>
      <c r="R1094" s="0" t="str">
        <f aca="false">IF(E1094="","",IFERROR(LEFT(E1094,FIND("-",E1094)-1),E1094))</f>
        <v/>
      </c>
      <c r="S1094" s="0" t="str">
        <f aca="false">IF(R1094="","",IF(ISNUMBER(--MID(R1094,1,1)),0,IF(ISNUMBER(--MID(R1094,2,1)),1,IF(ISNUMBER(--MID(R1094,3,1)),2,IF(ISNUMBER(--MID(R1094,4,1)),3,MIN(LEN(R1094),4))))))</f>
        <v/>
      </c>
      <c r="T1094" s="0" t="str">
        <f aca="false">IF(E1094="","",LEFT(R1094,S1094)&amp;REPT("0",4-S1094)&amp;RIGHT("000"&amp;IFERROR(VALUE(MID(R1094,S1094+1,9)),0),3)&amp;RIGHT("0000"&amp;IFERROR(VALUE(MID(E1094,FIND("-",E1094)+1,9)),0),4))</f>
        <v/>
      </c>
      <c r="U1094" s="0" t="str">
        <f aca="false">IF(I1094=1,"K"&amp;RIGHT("00"&amp;A1094,2)&amp;T1094&amp;RIGHT("00000"&amp;ROW(),5),"")</f>
        <v/>
      </c>
      <c r="V1094" s="0" t="str">
        <f aca="false">IF(U1094="","",COUNTIFS($I$2:$I$1201,1,$U$2:$U$1201,"&lt;"&amp;U1094)+1)</f>
        <v/>
      </c>
    </row>
    <row r="1095" customFormat="false" ht="15" hidden="false" customHeight="false" outlineLevel="0" collapsed="false">
      <c r="A1095" s="0" t="n">
        <v>19</v>
      </c>
      <c r="B1095" s="0" t="n">
        <v>14</v>
      </c>
      <c r="C1095" s="0" t="str">
        <f aca="false">TRIM(SUBSTITUTE(INDEX(LISTAS!$A$4:$T$63,B1095,A1095)&amp;"",CHAR(160)," "))</f>
        <v/>
      </c>
      <c r="D1095" s="0" t="str">
        <f aca="false">IF(C1095="","",TRIM(RIGHT(SUBSTITUTE(C1095," ",REPT(" ",100)),100)))</f>
        <v/>
      </c>
      <c r="E1095" s="0" t="str">
        <f aca="false">IF(D1095="","",UPPER(SUBSTITUTE(SUBSTITUTE(D1095,"(",""),")","")))</f>
        <v/>
      </c>
      <c r="F1095" s="0" t="str">
        <f aca="false">IF(C1095="","",LEFT(C1095,FIND(" ",C1095&amp;" ")-1))</f>
        <v/>
      </c>
      <c r="G1095" s="0" t="n">
        <f aca="false">IFERROR(VALUE(SUBSTITUTE(LOWER(F1095),"x","")),0)</f>
        <v>0</v>
      </c>
      <c r="H1095" s="0" t="str">
        <f aca="false">IF(C1095="","",TRIM(MID(C1095,LEN(F1095)+2,999)))</f>
        <v/>
      </c>
      <c r="I1095" s="0" t="n">
        <f aca="false">IF(OR(C1095="",LEFT(C1095,2)="//"),0,IFERROR(IF(AND(G1095&gt;0,G1095=INT(G1095),FIND("-",E1095)&gt;1,NOT(EXACT(UPPER(LEFT(E1095,1)),LOWER(LEFT(E1095,1)))),ISNUMBER(VALUE(MID(E1095,FIND("-",E1095)+1,10)))),1,0),0))</f>
        <v>0</v>
      </c>
      <c r="J1095" s="0" t="str">
        <f aca="false">IF(I1095=1,TRIM(LEFT(H1095,MAX(0,LEN(H1095)-LEN(D1095)))),"")</f>
        <v/>
      </c>
      <c r="K1095" s="0" t="str">
        <f aca="false">INDEX($P$2:$P$21,A1095)</f>
        <v>Deck 19</v>
      </c>
      <c r="L1095" s="0" t="n">
        <f aca="false">IF(AND(C1095&lt;&gt;"",LEFT(C1095,2)&lt;&gt;"//",I1095=0),1,0)</f>
        <v>0</v>
      </c>
      <c r="M1095" s="0" t="str">
        <f aca="false">IF(I1095=1,MAX(M$1:M1094)+1,"")</f>
        <v/>
      </c>
      <c r="N1095" s="0" t="str">
        <f aca="false">IFERROR(MATCH(ROW()-1,$V$2:$V$1201,0),"")</f>
        <v/>
      </c>
      <c r="R1095" s="0" t="str">
        <f aca="false">IF(E1095="","",IFERROR(LEFT(E1095,FIND("-",E1095)-1),E1095))</f>
        <v/>
      </c>
      <c r="S1095" s="0" t="str">
        <f aca="false">IF(R1095="","",IF(ISNUMBER(--MID(R1095,1,1)),0,IF(ISNUMBER(--MID(R1095,2,1)),1,IF(ISNUMBER(--MID(R1095,3,1)),2,IF(ISNUMBER(--MID(R1095,4,1)),3,MIN(LEN(R1095),4))))))</f>
        <v/>
      </c>
      <c r="T1095" s="0" t="str">
        <f aca="false">IF(E1095="","",LEFT(R1095,S1095)&amp;REPT("0",4-S1095)&amp;RIGHT("000"&amp;IFERROR(VALUE(MID(R1095,S1095+1,9)),0),3)&amp;RIGHT("0000"&amp;IFERROR(VALUE(MID(E1095,FIND("-",E1095)+1,9)),0),4))</f>
        <v/>
      </c>
      <c r="U1095" s="0" t="str">
        <f aca="false">IF(I1095=1,"K"&amp;RIGHT("00"&amp;A1095,2)&amp;T1095&amp;RIGHT("00000"&amp;ROW(),5),"")</f>
        <v/>
      </c>
      <c r="V1095" s="0" t="str">
        <f aca="false">IF(U1095="","",COUNTIFS($I$2:$I$1201,1,$U$2:$U$1201,"&lt;"&amp;U1095)+1)</f>
        <v/>
      </c>
    </row>
    <row r="1096" customFormat="false" ht="15" hidden="false" customHeight="false" outlineLevel="0" collapsed="false">
      <c r="A1096" s="0" t="n">
        <v>19</v>
      </c>
      <c r="B1096" s="0" t="n">
        <v>15</v>
      </c>
      <c r="C1096" s="0" t="str">
        <f aca="false">TRIM(SUBSTITUTE(INDEX(LISTAS!$A$4:$T$63,B1096,A1096)&amp;"",CHAR(160)," "))</f>
        <v/>
      </c>
      <c r="D1096" s="0" t="str">
        <f aca="false">IF(C1096="","",TRIM(RIGHT(SUBSTITUTE(C1096," ",REPT(" ",100)),100)))</f>
        <v/>
      </c>
      <c r="E1096" s="0" t="str">
        <f aca="false">IF(D1096="","",UPPER(SUBSTITUTE(SUBSTITUTE(D1096,"(",""),")","")))</f>
        <v/>
      </c>
      <c r="F1096" s="0" t="str">
        <f aca="false">IF(C1096="","",LEFT(C1096,FIND(" ",C1096&amp;" ")-1))</f>
        <v/>
      </c>
      <c r="G1096" s="0" t="n">
        <f aca="false">IFERROR(VALUE(SUBSTITUTE(LOWER(F1096),"x","")),0)</f>
        <v>0</v>
      </c>
      <c r="H1096" s="0" t="str">
        <f aca="false">IF(C1096="","",TRIM(MID(C1096,LEN(F1096)+2,999)))</f>
        <v/>
      </c>
      <c r="I1096" s="0" t="n">
        <f aca="false">IF(OR(C1096="",LEFT(C1096,2)="//"),0,IFERROR(IF(AND(G1096&gt;0,G1096=INT(G1096),FIND("-",E1096)&gt;1,NOT(EXACT(UPPER(LEFT(E1096,1)),LOWER(LEFT(E1096,1)))),ISNUMBER(VALUE(MID(E1096,FIND("-",E1096)+1,10)))),1,0),0))</f>
        <v>0</v>
      </c>
      <c r="J1096" s="0" t="str">
        <f aca="false">IF(I1096=1,TRIM(LEFT(H1096,MAX(0,LEN(H1096)-LEN(D1096)))),"")</f>
        <v/>
      </c>
      <c r="K1096" s="0" t="str">
        <f aca="false">INDEX($P$2:$P$21,A1096)</f>
        <v>Deck 19</v>
      </c>
      <c r="L1096" s="0" t="n">
        <f aca="false">IF(AND(C1096&lt;&gt;"",LEFT(C1096,2)&lt;&gt;"//",I1096=0),1,0)</f>
        <v>0</v>
      </c>
      <c r="M1096" s="0" t="str">
        <f aca="false">IF(I1096=1,MAX(M$1:M1095)+1,"")</f>
        <v/>
      </c>
      <c r="N1096" s="0" t="str">
        <f aca="false">IFERROR(MATCH(ROW()-1,$V$2:$V$1201,0),"")</f>
        <v/>
      </c>
      <c r="R1096" s="0" t="str">
        <f aca="false">IF(E1096="","",IFERROR(LEFT(E1096,FIND("-",E1096)-1),E1096))</f>
        <v/>
      </c>
      <c r="S1096" s="0" t="str">
        <f aca="false">IF(R1096="","",IF(ISNUMBER(--MID(R1096,1,1)),0,IF(ISNUMBER(--MID(R1096,2,1)),1,IF(ISNUMBER(--MID(R1096,3,1)),2,IF(ISNUMBER(--MID(R1096,4,1)),3,MIN(LEN(R1096),4))))))</f>
        <v/>
      </c>
      <c r="T1096" s="0" t="str">
        <f aca="false">IF(E1096="","",LEFT(R1096,S1096)&amp;REPT("0",4-S1096)&amp;RIGHT("000"&amp;IFERROR(VALUE(MID(R1096,S1096+1,9)),0),3)&amp;RIGHT("0000"&amp;IFERROR(VALUE(MID(E1096,FIND("-",E1096)+1,9)),0),4))</f>
        <v/>
      </c>
      <c r="U1096" s="0" t="str">
        <f aca="false">IF(I1096=1,"K"&amp;RIGHT("00"&amp;A1096,2)&amp;T1096&amp;RIGHT("00000"&amp;ROW(),5),"")</f>
        <v/>
      </c>
      <c r="V1096" s="0" t="str">
        <f aca="false">IF(U1096="","",COUNTIFS($I$2:$I$1201,1,$U$2:$U$1201,"&lt;"&amp;U1096)+1)</f>
        <v/>
      </c>
    </row>
    <row r="1097" customFormat="false" ht="15" hidden="false" customHeight="false" outlineLevel="0" collapsed="false">
      <c r="A1097" s="0" t="n">
        <v>19</v>
      </c>
      <c r="B1097" s="0" t="n">
        <v>16</v>
      </c>
      <c r="C1097" s="0" t="str">
        <f aca="false">TRIM(SUBSTITUTE(INDEX(LISTAS!$A$4:$T$63,B1097,A1097)&amp;"",CHAR(160)," "))</f>
        <v/>
      </c>
      <c r="D1097" s="0" t="str">
        <f aca="false">IF(C1097="","",TRIM(RIGHT(SUBSTITUTE(C1097," ",REPT(" ",100)),100)))</f>
        <v/>
      </c>
      <c r="E1097" s="0" t="str">
        <f aca="false">IF(D1097="","",UPPER(SUBSTITUTE(SUBSTITUTE(D1097,"(",""),")","")))</f>
        <v/>
      </c>
      <c r="F1097" s="0" t="str">
        <f aca="false">IF(C1097="","",LEFT(C1097,FIND(" ",C1097&amp;" ")-1))</f>
        <v/>
      </c>
      <c r="G1097" s="0" t="n">
        <f aca="false">IFERROR(VALUE(SUBSTITUTE(LOWER(F1097),"x","")),0)</f>
        <v>0</v>
      </c>
      <c r="H1097" s="0" t="str">
        <f aca="false">IF(C1097="","",TRIM(MID(C1097,LEN(F1097)+2,999)))</f>
        <v/>
      </c>
      <c r="I1097" s="0" t="n">
        <f aca="false">IF(OR(C1097="",LEFT(C1097,2)="//"),0,IFERROR(IF(AND(G1097&gt;0,G1097=INT(G1097),FIND("-",E1097)&gt;1,NOT(EXACT(UPPER(LEFT(E1097,1)),LOWER(LEFT(E1097,1)))),ISNUMBER(VALUE(MID(E1097,FIND("-",E1097)+1,10)))),1,0),0))</f>
        <v>0</v>
      </c>
      <c r="J1097" s="0" t="str">
        <f aca="false">IF(I1097=1,TRIM(LEFT(H1097,MAX(0,LEN(H1097)-LEN(D1097)))),"")</f>
        <v/>
      </c>
      <c r="K1097" s="0" t="str">
        <f aca="false">INDEX($P$2:$P$21,A1097)</f>
        <v>Deck 19</v>
      </c>
      <c r="L1097" s="0" t="n">
        <f aca="false">IF(AND(C1097&lt;&gt;"",LEFT(C1097,2)&lt;&gt;"//",I1097=0),1,0)</f>
        <v>0</v>
      </c>
      <c r="M1097" s="0" t="str">
        <f aca="false">IF(I1097=1,MAX(M$1:M1096)+1,"")</f>
        <v/>
      </c>
      <c r="N1097" s="0" t="str">
        <f aca="false">IFERROR(MATCH(ROW()-1,$V$2:$V$1201,0),"")</f>
        <v/>
      </c>
      <c r="R1097" s="0" t="str">
        <f aca="false">IF(E1097="","",IFERROR(LEFT(E1097,FIND("-",E1097)-1),E1097))</f>
        <v/>
      </c>
      <c r="S1097" s="0" t="str">
        <f aca="false">IF(R1097="","",IF(ISNUMBER(--MID(R1097,1,1)),0,IF(ISNUMBER(--MID(R1097,2,1)),1,IF(ISNUMBER(--MID(R1097,3,1)),2,IF(ISNUMBER(--MID(R1097,4,1)),3,MIN(LEN(R1097),4))))))</f>
        <v/>
      </c>
      <c r="T1097" s="0" t="str">
        <f aca="false">IF(E1097="","",LEFT(R1097,S1097)&amp;REPT("0",4-S1097)&amp;RIGHT("000"&amp;IFERROR(VALUE(MID(R1097,S1097+1,9)),0),3)&amp;RIGHT("0000"&amp;IFERROR(VALUE(MID(E1097,FIND("-",E1097)+1,9)),0),4))</f>
        <v/>
      </c>
      <c r="U1097" s="0" t="str">
        <f aca="false">IF(I1097=1,"K"&amp;RIGHT("00"&amp;A1097,2)&amp;T1097&amp;RIGHT("00000"&amp;ROW(),5),"")</f>
        <v/>
      </c>
      <c r="V1097" s="0" t="str">
        <f aca="false">IF(U1097="","",COUNTIFS($I$2:$I$1201,1,$U$2:$U$1201,"&lt;"&amp;U1097)+1)</f>
        <v/>
      </c>
    </row>
    <row r="1098" customFormat="false" ht="15" hidden="false" customHeight="false" outlineLevel="0" collapsed="false">
      <c r="A1098" s="0" t="n">
        <v>19</v>
      </c>
      <c r="B1098" s="0" t="n">
        <v>17</v>
      </c>
      <c r="C1098" s="0" t="str">
        <f aca="false">TRIM(SUBSTITUTE(INDEX(LISTAS!$A$4:$T$63,B1098,A1098)&amp;"",CHAR(160)," "))</f>
        <v/>
      </c>
      <c r="D1098" s="0" t="str">
        <f aca="false">IF(C1098="","",TRIM(RIGHT(SUBSTITUTE(C1098," ",REPT(" ",100)),100)))</f>
        <v/>
      </c>
      <c r="E1098" s="0" t="str">
        <f aca="false">IF(D1098="","",UPPER(SUBSTITUTE(SUBSTITUTE(D1098,"(",""),")","")))</f>
        <v/>
      </c>
      <c r="F1098" s="0" t="str">
        <f aca="false">IF(C1098="","",LEFT(C1098,FIND(" ",C1098&amp;" ")-1))</f>
        <v/>
      </c>
      <c r="G1098" s="0" t="n">
        <f aca="false">IFERROR(VALUE(SUBSTITUTE(LOWER(F1098),"x","")),0)</f>
        <v>0</v>
      </c>
      <c r="H1098" s="0" t="str">
        <f aca="false">IF(C1098="","",TRIM(MID(C1098,LEN(F1098)+2,999)))</f>
        <v/>
      </c>
      <c r="I1098" s="0" t="n">
        <f aca="false">IF(OR(C1098="",LEFT(C1098,2)="//"),0,IFERROR(IF(AND(G1098&gt;0,G1098=INT(G1098),FIND("-",E1098)&gt;1,NOT(EXACT(UPPER(LEFT(E1098,1)),LOWER(LEFT(E1098,1)))),ISNUMBER(VALUE(MID(E1098,FIND("-",E1098)+1,10)))),1,0),0))</f>
        <v>0</v>
      </c>
      <c r="J1098" s="0" t="str">
        <f aca="false">IF(I1098=1,TRIM(LEFT(H1098,MAX(0,LEN(H1098)-LEN(D1098)))),"")</f>
        <v/>
      </c>
      <c r="K1098" s="0" t="str">
        <f aca="false">INDEX($P$2:$P$21,A1098)</f>
        <v>Deck 19</v>
      </c>
      <c r="L1098" s="0" t="n">
        <f aca="false">IF(AND(C1098&lt;&gt;"",LEFT(C1098,2)&lt;&gt;"//",I1098=0),1,0)</f>
        <v>0</v>
      </c>
      <c r="M1098" s="0" t="str">
        <f aca="false">IF(I1098=1,MAX(M$1:M1097)+1,"")</f>
        <v/>
      </c>
      <c r="N1098" s="0" t="str">
        <f aca="false">IFERROR(MATCH(ROW()-1,$V$2:$V$1201,0),"")</f>
        <v/>
      </c>
      <c r="R1098" s="0" t="str">
        <f aca="false">IF(E1098="","",IFERROR(LEFT(E1098,FIND("-",E1098)-1),E1098))</f>
        <v/>
      </c>
      <c r="S1098" s="0" t="str">
        <f aca="false">IF(R1098="","",IF(ISNUMBER(--MID(R1098,1,1)),0,IF(ISNUMBER(--MID(R1098,2,1)),1,IF(ISNUMBER(--MID(R1098,3,1)),2,IF(ISNUMBER(--MID(R1098,4,1)),3,MIN(LEN(R1098),4))))))</f>
        <v/>
      </c>
      <c r="T1098" s="0" t="str">
        <f aca="false">IF(E1098="","",LEFT(R1098,S1098)&amp;REPT("0",4-S1098)&amp;RIGHT("000"&amp;IFERROR(VALUE(MID(R1098,S1098+1,9)),0),3)&amp;RIGHT("0000"&amp;IFERROR(VALUE(MID(E1098,FIND("-",E1098)+1,9)),0),4))</f>
        <v/>
      </c>
      <c r="U1098" s="0" t="str">
        <f aca="false">IF(I1098=1,"K"&amp;RIGHT("00"&amp;A1098,2)&amp;T1098&amp;RIGHT("00000"&amp;ROW(),5),"")</f>
        <v/>
      </c>
      <c r="V1098" s="0" t="str">
        <f aca="false">IF(U1098="","",COUNTIFS($I$2:$I$1201,1,$U$2:$U$1201,"&lt;"&amp;U1098)+1)</f>
        <v/>
      </c>
    </row>
    <row r="1099" customFormat="false" ht="15" hidden="false" customHeight="false" outlineLevel="0" collapsed="false">
      <c r="A1099" s="0" t="n">
        <v>19</v>
      </c>
      <c r="B1099" s="0" t="n">
        <v>18</v>
      </c>
      <c r="C1099" s="0" t="str">
        <f aca="false">TRIM(SUBSTITUTE(INDEX(LISTAS!$A$4:$T$63,B1099,A1099)&amp;"",CHAR(160)," "))</f>
        <v/>
      </c>
      <c r="D1099" s="0" t="str">
        <f aca="false">IF(C1099="","",TRIM(RIGHT(SUBSTITUTE(C1099," ",REPT(" ",100)),100)))</f>
        <v/>
      </c>
      <c r="E1099" s="0" t="str">
        <f aca="false">IF(D1099="","",UPPER(SUBSTITUTE(SUBSTITUTE(D1099,"(",""),")","")))</f>
        <v/>
      </c>
      <c r="F1099" s="0" t="str">
        <f aca="false">IF(C1099="","",LEFT(C1099,FIND(" ",C1099&amp;" ")-1))</f>
        <v/>
      </c>
      <c r="G1099" s="0" t="n">
        <f aca="false">IFERROR(VALUE(SUBSTITUTE(LOWER(F1099),"x","")),0)</f>
        <v>0</v>
      </c>
      <c r="H1099" s="0" t="str">
        <f aca="false">IF(C1099="","",TRIM(MID(C1099,LEN(F1099)+2,999)))</f>
        <v/>
      </c>
      <c r="I1099" s="0" t="n">
        <f aca="false">IF(OR(C1099="",LEFT(C1099,2)="//"),0,IFERROR(IF(AND(G1099&gt;0,G1099=INT(G1099),FIND("-",E1099)&gt;1,NOT(EXACT(UPPER(LEFT(E1099,1)),LOWER(LEFT(E1099,1)))),ISNUMBER(VALUE(MID(E1099,FIND("-",E1099)+1,10)))),1,0),0))</f>
        <v>0</v>
      </c>
      <c r="J1099" s="0" t="str">
        <f aca="false">IF(I1099=1,TRIM(LEFT(H1099,MAX(0,LEN(H1099)-LEN(D1099)))),"")</f>
        <v/>
      </c>
      <c r="K1099" s="0" t="str">
        <f aca="false">INDEX($P$2:$P$21,A1099)</f>
        <v>Deck 19</v>
      </c>
      <c r="L1099" s="0" t="n">
        <f aca="false">IF(AND(C1099&lt;&gt;"",LEFT(C1099,2)&lt;&gt;"//",I1099=0),1,0)</f>
        <v>0</v>
      </c>
      <c r="M1099" s="0" t="str">
        <f aca="false">IF(I1099=1,MAX(M$1:M1098)+1,"")</f>
        <v/>
      </c>
      <c r="N1099" s="0" t="str">
        <f aca="false">IFERROR(MATCH(ROW()-1,$V$2:$V$1201,0),"")</f>
        <v/>
      </c>
      <c r="R1099" s="0" t="str">
        <f aca="false">IF(E1099="","",IFERROR(LEFT(E1099,FIND("-",E1099)-1),E1099))</f>
        <v/>
      </c>
      <c r="S1099" s="0" t="str">
        <f aca="false">IF(R1099="","",IF(ISNUMBER(--MID(R1099,1,1)),0,IF(ISNUMBER(--MID(R1099,2,1)),1,IF(ISNUMBER(--MID(R1099,3,1)),2,IF(ISNUMBER(--MID(R1099,4,1)),3,MIN(LEN(R1099),4))))))</f>
        <v/>
      </c>
      <c r="T1099" s="0" t="str">
        <f aca="false">IF(E1099="","",LEFT(R1099,S1099)&amp;REPT("0",4-S1099)&amp;RIGHT("000"&amp;IFERROR(VALUE(MID(R1099,S1099+1,9)),0),3)&amp;RIGHT("0000"&amp;IFERROR(VALUE(MID(E1099,FIND("-",E1099)+1,9)),0),4))</f>
        <v/>
      </c>
      <c r="U1099" s="0" t="str">
        <f aca="false">IF(I1099=1,"K"&amp;RIGHT("00"&amp;A1099,2)&amp;T1099&amp;RIGHT("00000"&amp;ROW(),5),"")</f>
        <v/>
      </c>
      <c r="V1099" s="0" t="str">
        <f aca="false">IF(U1099="","",COUNTIFS($I$2:$I$1201,1,$U$2:$U$1201,"&lt;"&amp;U1099)+1)</f>
        <v/>
      </c>
    </row>
    <row r="1100" customFormat="false" ht="15" hidden="false" customHeight="false" outlineLevel="0" collapsed="false">
      <c r="A1100" s="0" t="n">
        <v>19</v>
      </c>
      <c r="B1100" s="0" t="n">
        <v>19</v>
      </c>
      <c r="C1100" s="0" t="str">
        <f aca="false">TRIM(SUBSTITUTE(INDEX(LISTAS!$A$4:$T$63,B1100,A1100)&amp;"",CHAR(160)," "))</f>
        <v/>
      </c>
      <c r="D1100" s="0" t="str">
        <f aca="false">IF(C1100="","",TRIM(RIGHT(SUBSTITUTE(C1100," ",REPT(" ",100)),100)))</f>
        <v/>
      </c>
      <c r="E1100" s="0" t="str">
        <f aca="false">IF(D1100="","",UPPER(SUBSTITUTE(SUBSTITUTE(D1100,"(",""),")","")))</f>
        <v/>
      </c>
      <c r="F1100" s="0" t="str">
        <f aca="false">IF(C1100="","",LEFT(C1100,FIND(" ",C1100&amp;" ")-1))</f>
        <v/>
      </c>
      <c r="G1100" s="0" t="n">
        <f aca="false">IFERROR(VALUE(SUBSTITUTE(LOWER(F1100),"x","")),0)</f>
        <v>0</v>
      </c>
      <c r="H1100" s="0" t="str">
        <f aca="false">IF(C1100="","",TRIM(MID(C1100,LEN(F1100)+2,999)))</f>
        <v/>
      </c>
      <c r="I1100" s="0" t="n">
        <f aca="false">IF(OR(C1100="",LEFT(C1100,2)="//"),0,IFERROR(IF(AND(G1100&gt;0,G1100=INT(G1100),FIND("-",E1100)&gt;1,NOT(EXACT(UPPER(LEFT(E1100,1)),LOWER(LEFT(E1100,1)))),ISNUMBER(VALUE(MID(E1100,FIND("-",E1100)+1,10)))),1,0),0))</f>
        <v>0</v>
      </c>
      <c r="J1100" s="0" t="str">
        <f aca="false">IF(I1100=1,TRIM(LEFT(H1100,MAX(0,LEN(H1100)-LEN(D1100)))),"")</f>
        <v/>
      </c>
      <c r="K1100" s="0" t="str">
        <f aca="false">INDEX($P$2:$P$21,A1100)</f>
        <v>Deck 19</v>
      </c>
      <c r="L1100" s="0" t="n">
        <f aca="false">IF(AND(C1100&lt;&gt;"",LEFT(C1100,2)&lt;&gt;"//",I1100=0),1,0)</f>
        <v>0</v>
      </c>
      <c r="M1100" s="0" t="str">
        <f aca="false">IF(I1100=1,MAX(M$1:M1099)+1,"")</f>
        <v/>
      </c>
      <c r="N1100" s="0" t="str">
        <f aca="false">IFERROR(MATCH(ROW()-1,$V$2:$V$1201,0),"")</f>
        <v/>
      </c>
      <c r="R1100" s="0" t="str">
        <f aca="false">IF(E1100="","",IFERROR(LEFT(E1100,FIND("-",E1100)-1),E1100))</f>
        <v/>
      </c>
      <c r="S1100" s="0" t="str">
        <f aca="false">IF(R1100="","",IF(ISNUMBER(--MID(R1100,1,1)),0,IF(ISNUMBER(--MID(R1100,2,1)),1,IF(ISNUMBER(--MID(R1100,3,1)),2,IF(ISNUMBER(--MID(R1100,4,1)),3,MIN(LEN(R1100),4))))))</f>
        <v/>
      </c>
      <c r="T1100" s="0" t="str">
        <f aca="false">IF(E1100="","",LEFT(R1100,S1100)&amp;REPT("0",4-S1100)&amp;RIGHT("000"&amp;IFERROR(VALUE(MID(R1100,S1100+1,9)),0),3)&amp;RIGHT("0000"&amp;IFERROR(VALUE(MID(E1100,FIND("-",E1100)+1,9)),0),4))</f>
        <v/>
      </c>
      <c r="U1100" s="0" t="str">
        <f aca="false">IF(I1100=1,"K"&amp;RIGHT("00"&amp;A1100,2)&amp;T1100&amp;RIGHT("00000"&amp;ROW(),5),"")</f>
        <v/>
      </c>
      <c r="V1100" s="0" t="str">
        <f aca="false">IF(U1100="","",COUNTIFS($I$2:$I$1201,1,$U$2:$U$1201,"&lt;"&amp;U1100)+1)</f>
        <v/>
      </c>
    </row>
    <row r="1101" customFormat="false" ht="15" hidden="false" customHeight="false" outlineLevel="0" collapsed="false">
      <c r="A1101" s="0" t="n">
        <v>19</v>
      </c>
      <c r="B1101" s="0" t="n">
        <v>20</v>
      </c>
      <c r="C1101" s="0" t="str">
        <f aca="false">TRIM(SUBSTITUTE(INDEX(LISTAS!$A$4:$T$63,B1101,A1101)&amp;"",CHAR(160)," "))</f>
        <v/>
      </c>
      <c r="D1101" s="0" t="str">
        <f aca="false">IF(C1101="","",TRIM(RIGHT(SUBSTITUTE(C1101," ",REPT(" ",100)),100)))</f>
        <v/>
      </c>
      <c r="E1101" s="0" t="str">
        <f aca="false">IF(D1101="","",UPPER(SUBSTITUTE(SUBSTITUTE(D1101,"(",""),")","")))</f>
        <v/>
      </c>
      <c r="F1101" s="0" t="str">
        <f aca="false">IF(C1101="","",LEFT(C1101,FIND(" ",C1101&amp;" ")-1))</f>
        <v/>
      </c>
      <c r="G1101" s="0" t="n">
        <f aca="false">IFERROR(VALUE(SUBSTITUTE(LOWER(F1101),"x","")),0)</f>
        <v>0</v>
      </c>
      <c r="H1101" s="0" t="str">
        <f aca="false">IF(C1101="","",TRIM(MID(C1101,LEN(F1101)+2,999)))</f>
        <v/>
      </c>
      <c r="I1101" s="0" t="n">
        <f aca="false">IF(OR(C1101="",LEFT(C1101,2)="//"),0,IFERROR(IF(AND(G1101&gt;0,G1101=INT(G1101),FIND("-",E1101)&gt;1,NOT(EXACT(UPPER(LEFT(E1101,1)),LOWER(LEFT(E1101,1)))),ISNUMBER(VALUE(MID(E1101,FIND("-",E1101)+1,10)))),1,0),0))</f>
        <v>0</v>
      </c>
      <c r="J1101" s="0" t="str">
        <f aca="false">IF(I1101=1,TRIM(LEFT(H1101,MAX(0,LEN(H1101)-LEN(D1101)))),"")</f>
        <v/>
      </c>
      <c r="K1101" s="0" t="str">
        <f aca="false">INDEX($P$2:$P$21,A1101)</f>
        <v>Deck 19</v>
      </c>
      <c r="L1101" s="0" t="n">
        <f aca="false">IF(AND(C1101&lt;&gt;"",LEFT(C1101,2)&lt;&gt;"//",I1101=0),1,0)</f>
        <v>0</v>
      </c>
      <c r="M1101" s="0" t="str">
        <f aca="false">IF(I1101=1,MAX(M$1:M1100)+1,"")</f>
        <v/>
      </c>
      <c r="N1101" s="0" t="str">
        <f aca="false">IFERROR(MATCH(ROW()-1,$V$2:$V$1201,0),"")</f>
        <v/>
      </c>
      <c r="R1101" s="0" t="str">
        <f aca="false">IF(E1101="","",IFERROR(LEFT(E1101,FIND("-",E1101)-1),E1101))</f>
        <v/>
      </c>
      <c r="S1101" s="0" t="str">
        <f aca="false">IF(R1101="","",IF(ISNUMBER(--MID(R1101,1,1)),0,IF(ISNUMBER(--MID(R1101,2,1)),1,IF(ISNUMBER(--MID(R1101,3,1)),2,IF(ISNUMBER(--MID(R1101,4,1)),3,MIN(LEN(R1101),4))))))</f>
        <v/>
      </c>
      <c r="T1101" s="0" t="str">
        <f aca="false">IF(E1101="","",LEFT(R1101,S1101)&amp;REPT("0",4-S1101)&amp;RIGHT("000"&amp;IFERROR(VALUE(MID(R1101,S1101+1,9)),0),3)&amp;RIGHT("0000"&amp;IFERROR(VALUE(MID(E1101,FIND("-",E1101)+1,9)),0),4))</f>
        <v/>
      </c>
      <c r="U1101" s="0" t="str">
        <f aca="false">IF(I1101=1,"K"&amp;RIGHT("00"&amp;A1101,2)&amp;T1101&amp;RIGHT("00000"&amp;ROW(),5),"")</f>
        <v/>
      </c>
      <c r="V1101" s="0" t="str">
        <f aca="false">IF(U1101="","",COUNTIFS($I$2:$I$1201,1,$U$2:$U$1201,"&lt;"&amp;U1101)+1)</f>
        <v/>
      </c>
    </row>
    <row r="1102" customFormat="false" ht="15" hidden="false" customHeight="false" outlineLevel="0" collapsed="false">
      <c r="A1102" s="0" t="n">
        <v>19</v>
      </c>
      <c r="B1102" s="0" t="n">
        <v>21</v>
      </c>
      <c r="C1102" s="0" t="str">
        <f aca="false">TRIM(SUBSTITUTE(INDEX(LISTAS!$A$4:$T$63,B1102,A1102)&amp;"",CHAR(160)," "))</f>
        <v/>
      </c>
      <c r="D1102" s="0" t="str">
        <f aca="false">IF(C1102="","",TRIM(RIGHT(SUBSTITUTE(C1102," ",REPT(" ",100)),100)))</f>
        <v/>
      </c>
      <c r="E1102" s="0" t="str">
        <f aca="false">IF(D1102="","",UPPER(SUBSTITUTE(SUBSTITUTE(D1102,"(",""),")","")))</f>
        <v/>
      </c>
      <c r="F1102" s="0" t="str">
        <f aca="false">IF(C1102="","",LEFT(C1102,FIND(" ",C1102&amp;" ")-1))</f>
        <v/>
      </c>
      <c r="G1102" s="0" t="n">
        <f aca="false">IFERROR(VALUE(SUBSTITUTE(LOWER(F1102),"x","")),0)</f>
        <v>0</v>
      </c>
      <c r="H1102" s="0" t="str">
        <f aca="false">IF(C1102="","",TRIM(MID(C1102,LEN(F1102)+2,999)))</f>
        <v/>
      </c>
      <c r="I1102" s="0" t="n">
        <f aca="false">IF(OR(C1102="",LEFT(C1102,2)="//"),0,IFERROR(IF(AND(G1102&gt;0,G1102=INT(G1102),FIND("-",E1102)&gt;1,NOT(EXACT(UPPER(LEFT(E1102,1)),LOWER(LEFT(E1102,1)))),ISNUMBER(VALUE(MID(E1102,FIND("-",E1102)+1,10)))),1,0),0))</f>
        <v>0</v>
      </c>
      <c r="J1102" s="0" t="str">
        <f aca="false">IF(I1102=1,TRIM(LEFT(H1102,MAX(0,LEN(H1102)-LEN(D1102)))),"")</f>
        <v/>
      </c>
      <c r="K1102" s="0" t="str">
        <f aca="false">INDEX($P$2:$P$21,A1102)</f>
        <v>Deck 19</v>
      </c>
      <c r="L1102" s="0" t="n">
        <f aca="false">IF(AND(C1102&lt;&gt;"",LEFT(C1102,2)&lt;&gt;"//",I1102=0),1,0)</f>
        <v>0</v>
      </c>
      <c r="M1102" s="0" t="str">
        <f aca="false">IF(I1102=1,MAX(M$1:M1101)+1,"")</f>
        <v/>
      </c>
      <c r="N1102" s="0" t="str">
        <f aca="false">IFERROR(MATCH(ROW()-1,$V$2:$V$1201,0),"")</f>
        <v/>
      </c>
      <c r="R1102" s="0" t="str">
        <f aca="false">IF(E1102="","",IFERROR(LEFT(E1102,FIND("-",E1102)-1),E1102))</f>
        <v/>
      </c>
      <c r="S1102" s="0" t="str">
        <f aca="false">IF(R1102="","",IF(ISNUMBER(--MID(R1102,1,1)),0,IF(ISNUMBER(--MID(R1102,2,1)),1,IF(ISNUMBER(--MID(R1102,3,1)),2,IF(ISNUMBER(--MID(R1102,4,1)),3,MIN(LEN(R1102),4))))))</f>
        <v/>
      </c>
      <c r="T1102" s="0" t="str">
        <f aca="false">IF(E1102="","",LEFT(R1102,S1102)&amp;REPT("0",4-S1102)&amp;RIGHT("000"&amp;IFERROR(VALUE(MID(R1102,S1102+1,9)),0),3)&amp;RIGHT("0000"&amp;IFERROR(VALUE(MID(E1102,FIND("-",E1102)+1,9)),0),4))</f>
        <v/>
      </c>
      <c r="U1102" s="0" t="str">
        <f aca="false">IF(I1102=1,"K"&amp;RIGHT("00"&amp;A1102,2)&amp;T1102&amp;RIGHT("00000"&amp;ROW(),5),"")</f>
        <v/>
      </c>
      <c r="V1102" s="0" t="str">
        <f aca="false">IF(U1102="","",COUNTIFS($I$2:$I$1201,1,$U$2:$U$1201,"&lt;"&amp;U1102)+1)</f>
        <v/>
      </c>
    </row>
    <row r="1103" customFormat="false" ht="15" hidden="false" customHeight="false" outlineLevel="0" collapsed="false">
      <c r="A1103" s="0" t="n">
        <v>19</v>
      </c>
      <c r="B1103" s="0" t="n">
        <v>22</v>
      </c>
      <c r="C1103" s="0" t="str">
        <f aca="false">TRIM(SUBSTITUTE(INDEX(LISTAS!$A$4:$T$63,B1103,A1103)&amp;"",CHAR(160)," "))</f>
        <v/>
      </c>
      <c r="D1103" s="0" t="str">
        <f aca="false">IF(C1103="","",TRIM(RIGHT(SUBSTITUTE(C1103," ",REPT(" ",100)),100)))</f>
        <v/>
      </c>
      <c r="E1103" s="0" t="str">
        <f aca="false">IF(D1103="","",UPPER(SUBSTITUTE(SUBSTITUTE(D1103,"(",""),")","")))</f>
        <v/>
      </c>
      <c r="F1103" s="0" t="str">
        <f aca="false">IF(C1103="","",LEFT(C1103,FIND(" ",C1103&amp;" ")-1))</f>
        <v/>
      </c>
      <c r="G1103" s="0" t="n">
        <f aca="false">IFERROR(VALUE(SUBSTITUTE(LOWER(F1103),"x","")),0)</f>
        <v>0</v>
      </c>
      <c r="H1103" s="0" t="str">
        <f aca="false">IF(C1103="","",TRIM(MID(C1103,LEN(F1103)+2,999)))</f>
        <v/>
      </c>
      <c r="I1103" s="0" t="n">
        <f aca="false">IF(OR(C1103="",LEFT(C1103,2)="//"),0,IFERROR(IF(AND(G1103&gt;0,G1103=INT(G1103),FIND("-",E1103)&gt;1,NOT(EXACT(UPPER(LEFT(E1103,1)),LOWER(LEFT(E1103,1)))),ISNUMBER(VALUE(MID(E1103,FIND("-",E1103)+1,10)))),1,0),0))</f>
        <v>0</v>
      </c>
      <c r="J1103" s="0" t="str">
        <f aca="false">IF(I1103=1,TRIM(LEFT(H1103,MAX(0,LEN(H1103)-LEN(D1103)))),"")</f>
        <v/>
      </c>
      <c r="K1103" s="0" t="str">
        <f aca="false">INDEX($P$2:$P$21,A1103)</f>
        <v>Deck 19</v>
      </c>
      <c r="L1103" s="0" t="n">
        <f aca="false">IF(AND(C1103&lt;&gt;"",LEFT(C1103,2)&lt;&gt;"//",I1103=0),1,0)</f>
        <v>0</v>
      </c>
      <c r="M1103" s="0" t="str">
        <f aca="false">IF(I1103=1,MAX(M$1:M1102)+1,"")</f>
        <v/>
      </c>
      <c r="N1103" s="0" t="str">
        <f aca="false">IFERROR(MATCH(ROW()-1,$V$2:$V$1201,0),"")</f>
        <v/>
      </c>
      <c r="R1103" s="0" t="str">
        <f aca="false">IF(E1103="","",IFERROR(LEFT(E1103,FIND("-",E1103)-1),E1103))</f>
        <v/>
      </c>
      <c r="S1103" s="0" t="str">
        <f aca="false">IF(R1103="","",IF(ISNUMBER(--MID(R1103,1,1)),0,IF(ISNUMBER(--MID(R1103,2,1)),1,IF(ISNUMBER(--MID(R1103,3,1)),2,IF(ISNUMBER(--MID(R1103,4,1)),3,MIN(LEN(R1103),4))))))</f>
        <v/>
      </c>
      <c r="T1103" s="0" t="str">
        <f aca="false">IF(E1103="","",LEFT(R1103,S1103)&amp;REPT("0",4-S1103)&amp;RIGHT("000"&amp;IFERROR(VALUE(MID(R1103,S1103+1,9)),0),3)&amp;RIGHT("0000"&amp;IFERROR(VALUE(MID(E1103,FIND("-",E1103)+1,9)),0),4))</f>
        <v/>
      </c>
      <c r="U1103" s="0" t="str">
        <f aca="false">IF(I1103=1,"K"&amp;RIGHT("00"&amp;A1103,2)&amp;T1103&amp;RIGHT("00000"&amp;ROW(),5),"")</f>
        <v/>
      </c>
      <c r="V1103" s="0" t="str">
        <f aca="false">IF(U1103="","",COUNTIFS($I$2:$I$1201,1,$U$2:$U$1201,"&lt;"&amp;U1103)+1)</f>
        <v/>
      </c>
    </row>
    <row r="1104" customFormat="false" ht="15" hidden="false" customHeight="false" outlineLevel="0" collapsed="false">
      <c r="A1104" s="0" t="n">
        <v>19</v>
      </c>
      <c r="B1104" s="0" t="n">
        <v>23</v>
      </c>
      <c r="C1104" s="0" t="str">
        <f aca="false">TRIM(SUBSTITUTE(INDEX(LISTAS!$A$4:$T$63,B1104,A1104)&amp;"",CHAR(160)," "))</f>
        <v/>
      </c>
      <c r="D1104" s="0" t="str">
        <f aca="false">IF(C1104="","",TRIM(RIGHT(SUBSTITUTE(C1104," ",REPT(" ",100)),100)))</f>
        <v/>
      </c>
      <c r="E1104" s="0" t="str">
        <f aca="false">IF(D1104="","",UPPER(SUBSTITUTE(SUBSTITUTE(D1104,"(",""),")","")))</f>
        <v/>
      </c>
      <c r="F1104" s="0" t="str">
        <f aca="false">IF(C1104="","",LEFT(C1104,FIND(" ",C1104&amp;" ")-1))</f>
        <v/>
      </c>
      <c r="G1104" s="0" t="n">
        <f aca="false">IFERROR(VALUE(SUBSTITUTE(LOWER(F1104),"x","")),0)</f>
        <v>0</v>
      </c>
      <c r="H1104" s="0" t="str">
        <f aca="false">IF(C1104="","",TRIM(MID(C1104,LEN(F1104)+2,999)))</f>
        <v/>
      </c>
      <c r="I1104" s="0" t="n">
        <f aca="false">IF(OR(C1104="",LEFT(C1104,2)="//"),0,IFERROR(IF(AND(G1104&gt;0,G1104=INT(G1104),FIND("-",E1104)&gt;1,NOT(EXACT(UPPER(LEFT(E1104,1)),LOWER(LEFT(E1104,1)))),ISNUMBER(VALUE(MID(E1104,FIND("-",E1104)+1,10)))),1,0),0))</f>
        <v>0</v>
      </c>
      <c r="J1104" s="0" t="str">
        <f aca="false">IF(I1104=1,TRIM(LEFT(H1104,MAX(0,LEN(H1104)-LEN(D1104)))),"")</f>
        <v/>
      </c>
      <c r="K1104" s="0" t="str">
        <f aca="false">INDEX($P$2:$P$21,A1104)</f>
        <v>Deck 19</v>
      </c>
      <c r="L1104" s="0" t="n">
        <f aca="false">IF(AND(C1104&lt;&gt;"",LEFT(C1104,2)&lt;&gt;"//",I1104=0),1,0)</f>
        <v>0</v>
      </c>
      <c r="M1104" s="0" t="str">
        <f aca="false">IF(I1104=1,MAX(M$1:M1103)+1,"")</f>
        <v/>
      </c>
      <c r="N1104" s="0" t="str">
        <f aca="false">IFERROR(MATCH(ROW()-1,$V$2:$V$1201,0),"")</f>
        <v/>
      </c>
      <c r="R1104" s="0" t="str">
        <f aca="false">IF(E1104="","",IFERROR(LEFT(E1104,FIND("-",E1104)-1),E1104))</f>
        <v/>
      </c>
      <c r="S1104" s="0" t="str">
        <f aca="false">IF(R1104="","",IF(ISNUMBER(--MID(R1104,1,1)),0,IF(ISNUMBER(--MID(R1104,2,1)),1,IF(ISNUMBER(--MID(R1104,3,1)),2,IF(ISNUMBER(--MID(R1104,4,1)),3,MIN(LEN(R1104),4))))))</f>
        <v/>
      </c>
      <c r="T1104" s="0" t="str">
        <f aca="false">IF(E1104="","",LEFT(R1104,S1104)&amp;REPT("0",4-S1104)&amp;RIGHT("000"&amp;IFERROR(VALUE(MID(R1104,S1104+1,9)),0),3)&amp;RIGHT("0000"&amp;IFERROR(VALUE(MID(E1104,FIND("-",E1104)+1,9)),0),4))</f>
        <v/>
      </c>
      <c r="U1104" s="0" t="str">
        <f aca="false">IF(I1104=1,"K"&amp;RIGHT("00"&amp;A1104,2)&amp;T1104&amp;RIGHT("00000"&amp;ROW(),5),"")</f>
        <v/>
      </c>
      <c r="V1104" s="0" t="str">
        <f aca="false">IF(U1104="","",COUNTIFS($I$2:$I$1201,1,$U$2:$U$1201,"&lt;"&amp;U1104)+1)</f>
        <v/>
      </c>
    </row>
    <row r="1105" customFormat="false" ht="15" hidden="false" customHeight="false" outlineLevel="0" collapsed="false">
      <c r="A1105" s="0" t="n">
        <v>19</v>
      </c>
      <c r="B1105" s="0" t="n">
        <v>24</v>
      </c>
      <c r="C1105" s="0" t="str">
        <f aca="false">TRIM(SUBSTITUTE(INDEX(LISTAS!$A$4:$T$63,B1105,A1105)&amp;"",CHAR(160)," "))</f>
        <v/>
      </c>
      <c r="D1105" s="0" t="str">
        <f aca="false">IF(C1105="","",TRIM(RIGHT(SUBSTITUTE(C1105," ",REPT(" ",100)),100)))</f>
        <v/>
      </c>
      <c r="E1105" s="0" t="str">
        <f aca="false">IF(D1105="","",UPPER(SUBSTITUTE(SUBSTITUTE(D1105,"(",""),")","")))</f>
        <v/>
      </c>
      <c r="F1105" s="0" t="str">
        <f aca="false">IF(C1105="","",LEFT(C1105,FIND(" ",C1105&amp;" ")-1))</f>
        <v/>
      </c>
      <c r="G1105" s="0" t="n">
        <f aca="false">IFERROR(VALUE(SUBSTITUTE(LOWER(F1105),"x","")),0)</f>
        <v>0</v>
      </c>
      <c r="H1105" s="0" t="str">
        <f aca="false">IF(C1105="","",TRIM(MID(C1105,LEN(F1105)+2,999)))</f>
        <v/>
      </c>
      <c r="I1105" s="0" t="n">
        <f aca="false">IF(OR(C1105="",LEFT(C1105,2)="//"),0,IFERROR(IF(AND(G1105&gt;0,G1105=INT(G1105),FIND("-",E1105)&gt;1,NOT(EXACT(UPPER(LEFT(E1105,1)),LOWER(LEFT(E1105,1)))),ISNUMBER(VALUE(MID(E1105,FIND("-",E1105)+1,10)))),1,0),0))</f>
        <v>0</v>
      </c>
      <c r="J1105" s="0" t="str">
        <f aca="false">IF(I1105=1,TRIM(LEFT(H1105,MAX(0,LEN(H1105)-LEN(D1105)))),"")</f>
        <v/>
      </c>
      <c r="K1105" s="0" t="str">
        <f aca="false">INDEX($P$2:$P$21,A1105)</f>
        <v>Deck 19</v>
      </c>
      <c r="L1105" s="0" t="n">
        <f aca="false">IF(AND(C1105&lt;&gt;"",LEFT(C1105,2)&lt;&gt;"//",I1105=0),1,0)</f>
        <v>0</v>
      </c>
      <c r="M1105" s="0" t="str">
        <f aca="false">IF(I1105=1,MAX(M$1:M1104)+1,"")</f>
        <v/>
      </c>
      <c r="N1105" s="0" t="str">
        <f aca="false">IFERROR(MATCH(ROW()-1,$V$2:$V$1201,0),"")</f>
        <v/>
      </c>
      <c r="R1105" s="0" t="str">
        <f aca="false">IF(E1105="","",IFERROR(LEFT(E1105,FIND("-",E1105)-1),E1105))</f>
        <v/>
      </c>
      <c r="S1105" s="0" t="str">
        <f aca="false">IF(R1105="","",IF(ISNUMBER(--MID(R1105,1,1)),0,IF(ISNUMBER(--MID(R1105,2,1)),1,IF(ISNUMBER(--MID(R1105,3,1)),2,IF(ISNUMBER(--MID(R1105,4,1)),3,MIN(LEN(R1105),4))))))</f>
        <v/>
      </c>
      <c r="T1105" s="0" t="str">
        <f aca="false">IF(E1105="","",LEFT(R1105,S1105)&amp;REPT("0",4-S1105)&amp;RIGHT("000"&amp;IFERROR(VALUE(MID(R1105,S1105+1,9)),0),3)&amp;RIGHT("0000"&amp;IFERROR(VALUE(MID(E1105,FIND("-",E1105)+1,9)),0),4))</f>
        <v/>
      </c>
      <c r="U1105" s="0" t="str">
        <f aca="false">IF(I1105=1,"K"&amp;RIGHT("00"&amp;A1105,2)&amp;T1105&amp;RIGHT("00000"&amp;ROW(),5),"")</f>
        <v/>
      </c>
      <c r="V1105" s="0" t="str">
        <f aca="false">IF(U1105="","",COUNTIFS($I$2:$I$1201,1,$U$2:$U$1201,"&lt;"&amp;U1105)+1)</f>
        <v/>
      </c>
    </row>
    <row r="1106" customFormat="false" ht="15" hidden="false" customHeight="false" outlineLevel="0" collapsed="false">
      <c r="A1106" s="0" t="n">
        <v>19</v>
      </c>
      <c r="B1106" s="0" t="n">
        <v>25</v>
      </c>
      <c r="C1106" s="0" t="str">
        <f aca="false">TRIM(SUBSTITUTE(INDEX(LISTAS!$A$4:$T$63,B1106,A1106)&amp;"",CHAR(160)," "))</f>
        <v/>
      </c>
      <c r="D1106" s="0" t="str">
        <f aca="false">IF(C1106="","",TRIM(RIGHT(SUBSTITUTE(C1106," ",REPT(" ",100)),100)))</f>
        <v/>
      </c>
      <c r="E1106" s="0" t="str">
        <f aca="false">IF(D1106="","",UPPER(SUBSTITUTE(SUBSTITUTE(D1106,"(",""),")","")))</f>
        <v/>
      </c>
      <c r="F1106" s="0" t="str">
        <f aca="false">IF(C1106="","",LEFT(C1106,FIND(" ",C1106&amp;" ")-1))</f>
        <v/>
      </c>
      <c r="G1106" s="0" t="n">
        <f aca="false">IFERROR(VALUE(SUBSTITUTE(LOWER(F1106),"x","")),0)</f>
        <v>0</v>
      </c>
      <c r="H1106" s="0" t="str">
        <f aca="false">IF(C1106="","",TRIM(MID(C1106,LEN(F1106)+2,999)))</f>
        <v/>
      </c>
      <c r="I1106" s="0" t="n">
        <f aca="false">IF(OR(C1106="",LEFT(C1106,2)="//"),0,IFERROR(IF(AND(G1106&gt;0,G1106=INT(G1106),FIND("-",E1106)&gt;1,NOT(EXACT(UPPER(LEFT(E1106,1)),LOWER(LEFT(E1106,1)))),ISNUMBER(VALUE(MID(E1106,FIND("-",E1106)+1,10)))),1,0),0))</f>
        <v>0</v>
      </c>
      <c r="J1106" s="0" t="str">
        <f aca="false">IF(I1106=1,TRIM(LEFT(H1106,MAX(0,LEN(H1106)-LEN(D1106)))),"")</f>
        <v/>
      </c>
      <c r="K1106" s="0" t="str">
        <f aca="false">INDEX($P$2:$P$21,A1106)</f>
        <v>Deck 19</v>
      </c>
      <c r="L1106" s="0" t="n">
        <f aca="false">IF(AND(C1106&lt;&gt;"",LEFT(C1106,2)&lt;&gt;"//",I1106=0),1,0)</f>
        <v>0</v>
      </c>
      <c r="M1106" s="0" t="str">
        <f aca="false">IF(I1106=1,MAX(M$1:M1105)+1,"")</f>
        <v/>
      </c>
      <c r="N1106" s="0" t="str">
        <f aca="false">IFERROR(MATCH(ROW()-1,$V$2:$V$1201,0),"")</f>
        <v/>
      </c>
      <c r="R1106" s="0" t="str">
        <f aca="false">IF(E1106="","",IFERROR(LEFT(E1106,FIND("-",E1106)-1),E1106))</f>
        <v/>
      </c>
      <c r="S1106" s="0" t="str">
        <f aca="false">IF(R1106="","",IF(ISNUMBER(--MID(R1106,1,1)),0,IF(ISNUMBER(--MID(R1106,2,1)),1,IF(ISNUMBER(--MID(R1106,3,1)),2,IF(ISNUMBER(--MID(R1106,4,1)),3,MIN(LEN(R1106),4))))))</f>
        <v/>
      </c>
      <c r="T1106" s="0" t="str">
        <f aca="false">IF(E1106="","",LEFT(R1106,S1106)&amp;REPT("0",4-S1106)&amp;RIGHT("000"&amp;IFERROR(VALUE(MID(R1106,S1106+1,9)),0),3)&amp;RIGHT("0000"&amp;IFERROR(VALUE(MID(E1106,FIND("-",E1106)+1,9)),0),4))</f>
        <v/>
      </c>
      <c r="U1106" s="0" t="str">
        <f aca="false">IF(I1106=1,"K"&amp;RIGHT("00"&amp;A1106,2)&amp;T1106&amp;RIGHT("00000"&amp;ROW(),5),"")</f>
        <v/>
      </c>
      <c r="V1106" s="0" t="str">
        <f aca="false">IF(U1106="","",COUNTIFS($I$2:$I$1201,1,$U$2:$U$1201,"&lt;"&amp;U1106)+1)</f>
        <v/>
      </c>
    </row>
    <row r="1107" customFormat="false" ht="15" hidden="false" customHeight="false" outlineLevel="0" collapsed="false">
      <c r="A1107" s="0" t="n">
        <v>19</v>
      </c>
      <c r="B1107" s="0" t="n">
        <v>26</v>
      </c>
      <c r="C1107" s="0" t="str">
        <f aca="false">TRIM(SUBSTITUTE(INDEX(LISTAS!$A$4:$T$63,B1107,A1107)&amp;"",CHAR(160)," "))</f>
        <v/>
      </c>
      <c r="D1107" s="0" t="str">
        <f aca="false">IF(C1107="","",TRIM(RIGHT(SUBSTITUTE(C1107," ",REPT(" ",100)),100)))</f>
        <v/>
      </c>
      <c r="E1107" s="0" t="str">
        <f aca="false">IF(D1107="","",UPPER(SUBSTITUTE(SUBSTITUTE(D1107,"(",""),")","")))</f>
        <v/>
      </c>
      <c r="F1107" s="0" t="str">
        <f aca="false">IF(C1107="","",LEFT(C1107,FIND(" ",C1107&amp;" ")-1))</f>
        <v/>
      </c>
      <c r="G1107" s="0" t="n">
        <f aca="false">IFERROR(VALUE(SUBSTITUTE(LOWER(F1107),"x","")),0)</f>
        <v>0</v>
      </c>
      <c r="H1107" s="0" t="str">
        <f aca="false">IF(C1107="","",TRIM(MID(C1107,LEN(F1107)+2,999)))</f>
        <v/>
      </c>
      <c r="I1107" s="0" t="n">
        <f aca="false">IF(OR(C1107="",LEFT(C1107,2)="//"),0,IFERROR(IF(AND(G1107&gt;0,G1107=INT(G1107),FIND("-",E1107)&gt;1,NOT(EXACT(UPPER(LEFT(E1107,1)),LOWER(LEFT(E1107,1)))),ISNUMBER(VALUE(MID(E1107,FIND("-",E1107)+1,10)))),1,0),0))</f>
        <v>0</v>
      </c>
      <c r="J1107" s="0" t="str">
        <f aca="false">IF(I1107=1,TRIM(LEFT(H1107,MAX(0,LEN(H1107)-LEN(D1107)))),"")</f>
        <v/>
      </c>
      <c r="K1107" s="0" t="str">
        <f aca="false">INDEX($P$2:$P$21,A1107)</f>
        <v>Deck 19</v>
      </c>
      <c r="L1107" s="0" t="n">
        <f aca="false">IF(AND(C1107&lt;&gt;"",LEFT(C1107,2)&lt;&gt;"//",I1107=0),1,0)</f>
        <v>0</v>
      </c>
      <c r="M1107" s="0" t="str">
        <f aca="false">IF(I1107=1,MAX(M$1:M1106)+1,"")</f>
        <v/>
      </c>
      <c r="N1107" s="0" t="str">
        <f aca="false">IFERROR(MATCH(ROW()-1,$V$2:$V$1201,0),"")</f>
        <v/>
      </c>
      <c r="R1107" s="0" t="str">
        <f aca="false">IF(E1107="","",IFERROR(LEFT(E1107,FIND("-",E1107)-1),E1107))</f>
        <v/>
      </c>
      <c r="S1107" s="0" t="str">
        <f aca="false">IF(R1107="","",IF(ISNUMBER(--MID(R1107,1,1)),0,IF(ISNUMBER(--MID(R1107,2,1)),1,IF(ISNUMBER(--MID(R1107,3,1)),2,IF(ISNUMBER(--MID(R1107,4,1)),3,MIN(LEN(R1107),4))))))</f>
        <v/>
      </c>
      <c r="T1107" s="0" t="str">
        <f aca="false">IF(E1107="","",LEFT(R1107,S1107)&amp;REPT("0",4-S1107)&amp;RIGHT("000"&amp;IFERROR(VALUE(MID(R1107,S1107+1,9)),0),3)&amp;RIGHT("0000"&amp;IFERROR(VALUE(MID(E1107,FIND("-",E1107)+1,9)),0),4))</f>
        <v/>
      </c>
      <c r="U1107" s="0" t="str">
        <f aca="false">IF(I1107=1,"K"&amp;RIGHT("00"&amp;A1107,2)&amp;T1107&amp;RIGHT("00000"&amp;ROW(),5),"")</f>
        <v/>
      </c>
      <c r="V1107" s="0" t="str">
        <f aca="false">IF(U1107="","",COUNTIFS($I$2:$I$1201,1,$U$2:$U$1201,"&lt;"&amp;U1107)+1)</f>
        <v/>
      </c>
    </row>
    <row r="1108" customFormat="false" ht="15" hidden="false" customHeight="false" outlineLevel="0" collapsed="false">
      <c r="A1108" s="0" t="n">
        <v>19</v>
      </c>
      <c r="B1108" s="0" t="n">
        <v>27</v>
      </c>
      <c r="C1108" s="0" t="str">
        <f aca="false">TRIM(SUBSTITUTE(INDEX(LISTAS!$A$4:$T$63,B1108,A1108)&amp;"",CHAR(160)," "))</f>
        <v/>
      </c>
      <c r="D1108" s="0" t="str">
        <f aca="false">IF(C1108="","",TRIM(RIGHT(SUBSTITUTE(C1108," ",REPT(" ",100)),100)))</f>
        <v/>
      </c>
      <c r="E1108" s="0" t="str">
        <f aca="false">IF(D1108="","",UPPER(SUBSTITUTE(SUBSTITUTE(D1108,"(",""),")","")))</f>
        <v/>
      </c>
      <c r="F1108" s="0" t="str">
        <f aca="false">IF(C1108="","",LEFT(C1108,FIND(" ",C1108&amp;" ")-1))</f>
        <v/>
      </c>
      <c r="G1108" s="0" t="n">
        <f aca="false">IFERROR(VALUE(SUBSTITUTE(LOWER(F1108),"x","")),0)</f>
        <v>0</v>
      </c>
      <c r="H1108" s="0" t="str">
        <f aca="false">IF(C1108="","",TRIM(MID(C1108,LEN(F1108)+2,999)))</f>
        <v/>
      </c>
      <c r="I1108" s="0" t="n">
        <f aca="false">IF(OR(C1108="",LEFT(C1108,2)="//"),0,IFERROR(IF(AND(G1108&gt;0,G1108=INT(G1108),FIND("-",E1108)&gt;1,NOT(EXACT(UPPER(LEFT(E1108,1)),LOWER(LEFT(E1108,1)))),ISNUMBER(VALUE(MID(E1108,FIND("-",E1108)+1,10)))),1,0),0))</f>
        <v>0</v>
      </c>
      <c r="J1108" s="0" t="str">
        <f aca="false">IF(I1108=1,TRIM(LEFT(H1108,MAX(0,LEN(H1108)-LEN(D1108)))),"")</f>
        <v/>
      </c>
      <c r="K1108" s="0" t="str">
        <f aca="false">INDEX($P$2:$P$21,A1108)</f>
        <v>Deck 19</v>
      </c>
      <c r="L1108" s="0" t="n">
        <f aca="false">IF(AND(C1108&lt;&gt;"",LEFT(C1108,2)&lt;&gt;"//",I1108=0),1,0)</f>
        <v>0</v>
      </c>
      <c r="M1108" s="0" t="str">
        <f aca="false">IF(I1108=1,MAX(M$1:M1107)+1,"")</f>
        <v/>
      </c>
      <c r="N1108" s="0" t="str">
        <f aca="false">IFERROR(MATCH(ROW()-1,$V$2:$V$1201,0),"")</f>
        <v/>
      </c>
      <c r="R1108" s="0" t="str">
        <f aca="false">IF(E1108="","",IFERROR(LEFT(E1108,FIND("-",E1108)-1),E1108))</f>
        <v/>
      </c>
      <c r="S1108" s="0" t="str">
        <f aca="false">IF(R1108="","",IF(ISNUMBER(--MID(R1108,1,1)),0,IF(ISNUMBER(--MID(R1108,2,1)),1,IF(ISNUMBER(--MID(R1108,3,1)),2,IF(ISNUMBER(--MID(R1108,4,1)),3,MIN(LEN(R1108),4))))))</f>
        <v/>
      </c>
      <c r="T1108" s="0" t="str">
        <f aca="false">IF(E1108="","",LEFT(R1108,S1108)&amp;REPT("0",4-S1108)&amp;RIGHT("000"&amp;IFERROR(VALUE(MID(R1108,S1108+1,9)),0),3)&amp;RIGHT("0000"&amp;IFERROR(VALUE(MID(E1108,FIND("-",E1108)+1,9)),0),4))</f>
        <v/>
      </c>
      <c r="U1108" s="0" t="str">
        <f aca="false">IF(I1108=1,"K"&amp;RIGHT("00"&amp;A1108,2)&amp;T1108&amp;RIGHT("00000"&amp;ROW(),5),"")</f>
        <v/>
      </c>
      <c r="V1108" s="0" t="str">
        <f aca="false">IF(U1108="","",COUNTIFS($I$2:$I$1201,1,$U$2:$U$1201,"&lt;"&amp;U1108)+1)</f>
        <v/>
      </c>
    </row>
    <row r="1109" customFormat="false" ht="15" hidden="false" customHeight="false" outlineLevel="0" collapsed="false">
      <c r="A1109" s="0" t="n">
        <v>19</v>
      </c>
      <c r="B1109" s="0" t="n">
        <v>28</v>
      </c>
      <c r="C1109" s="0" t="str">
        <f aca="false">TRIM(SUBSTITUTE(INDEX(LISTAS!$A$4:$T$63,B1109,A1109)&amp;"",CHAR(160)," "))</f>
        <v/>
      </c>
      <c r="D1109" s="0" t="str">
        <f aca="false">IF(C1109="","",TRIM(RIGHT(SUBSTITUTE(C1109," ",REPT(" ",100)),100)))</f>
        <v/>
      </c>
      <c r="E1109" s="0" t="str">
        <f aca="false">IF(D1109="","",UPPER(SUBSTITUTE(SUBSTITUTE(D1109,"(",""),")","")))</f>
        <v/>
      </c>
      <c r="F1109" s="0" t="str">
        <f aca="false">IF(C1109="","",LEFT(C1109,FIND(" ",C1109&amp;" ")-1))</f>
        <v/>
      </c>
      <c r="G1109" s="0" t="n">
        <f aca="false">IFERROR(VALUE(SUBSTITUTE(LOWER(F1109),"x","")),0)</f>
        <v>0</v>
      </c>
      <c r="H1109" s="0" t="str">
        <f aca="false">IF(C1109="","",TRIM(MID(C1109,LEN(F1109)+2,999)))</f>
        <v/>
      </c>
      <c r="I1109" s="0" t="n">
        <f aca="false">IF(OR(C1109="",LEFT(C1109,2)="//"),0,IFERROR(IF(AND(G1109&gt;0,G1109=INT(G1109),FIND("-",E1109)&gt;1,NOT(EXACT(UPPER(LEFT(E1109,1)),LOWER(LEFT(E1109,1)))),ISNUMBER(VALUE(MID(E1109,FIND("-",E1109)+1,10)))),1,0),0))</f>
        <v>0</v>
      </c>
      <c r="J1109" s="0" t="str">
        <f aca="false">IF(I1109=1,TRIM(LEFT(H1109,MAX(0,LEN(H1109)-LEN(D1109)))),"")</f>
        <v/>
      </c>
      <c r="K1109" s="0" t="str">
        <f aca="false">INDEX($P$2:$P$21,A1109)</f>
        <v>Deck 19</v>
      </c>
      <c r="L1109" s="0" t="n">
        <f aca="false">IF(AND(C1109&lt;&gt;"",LEFT(C1109,2)&lt;&gt;"//",I1109=0),1,0)</f>
        <v>0</v>
      </c>
      <c r="M1109" s="0" t="str">
        <f aca="false">IF(I1109=1,MAX(M$1:M1108)+1,"")</f>
        <v/>
      </c>
      <c r="N1109" s="0" t="str">
        <f aca="false">IFERROR(MATCH(ROW()-1,$V$2:$V$1201,0),"")</f>
        <v/>
      </c>
      <c r="R1109" s="0" t="str">
        <f aca="false">IF(E1109="","",IFERROR(LEFT(E1109,FIND("-",E1109)-1),E1109))</f>
        <v/>
      </c>
      <c r="S1109" s="0" t="str">
        <f aca="false">IF(R1109="","",IF(ISNUMBER(--MID(R1109,1,1)),0,IF(ISNUMBER(--MID(R1109,2,1)),1,IF(ISNUMBER(--MID(R1109,3,1)),2,IF(ISNUMBER(--MID(R1109,4,1)),3,MIN(LEN(R1109),4))))))</f>
        <v/>
      </c>
      <c r="T1109" s="0" t="str">
        <f aca="false">IF(E1109="","",LEFT(R1109,S1109)&amp;REPT("0",4-S1109)&amp;RIGHT("000"&amp;IFERROR(VALUE(MID(R1109,S1109+1,9)),0),3)&amp;RIGHT("0000"&amp;IFERROR(VALUE(MID(E1109,FIND("-",E1109)+1,9)),0),4))</f>
        <v/>
      </c>
      <c r="U1109" s="0" t="str">
        <f aca="false">IF(I1109=1,"K"&amp;RIGHT("00"&amp;A1109,2)&amp;T1109&amp;RIGHT("00000"&amp;ROW(),5),"")</f>
        <v/>
      </c>
      <c r="V1109" s="0" t="str">
        <f aca="false">IF(U1109="","",COUNTIFS($I$2:$I$1201,1,$U$2:$U$1201,"&lt;"&amp;U1109)+1)</f>
        <v/>
      </c>
    </row>
    <row r="1110" customFormat="false" ht="15" hidden="false" customHeight="false" outlineLevel="0" collapsed="false">
      <c r="A1110" s="0" t="n">
        <v>19</v>
      </c>
      <c r="B1110" s="0" t="n">
        <v>29</v>
      </c>
      <c r="C1110" s="0" t="str">
        <f aca="false">TRIM(SUBSTITUTE(INDEX(LISTAS!$A$4:$T$63,B1110,A1110)&amp;"",CHAR(160)," "))</f>
        <v/>
      </c>
      <c r="D1110" s="0" t="str">
        <f aca="false">IF(C1110="","",TRIM(RIGHT(SUBSTITUTE(C1110," ",REPT(" ",100)),100)))</f>
        <v/>
      </c>
      <c r="E1110" s="0" t="str">
        <f aca="false">IF(D1110="","",UPPER(SUBSTITUTE(SUBSTITUTE(D1110,"(",""),")","")))</f>
        <v/>
      </c>
      <c r="F1110" s="0" t="str">
        <f aca="false">IF(C1110="","",LEFT(C1110,FIND(" ",C1110&amp;" ")-1))</f>
        <v/>
      </c>
      <c r="G1110" s="0" t="n">
        <f aca="false">IFERROR(VALUE(SUBSTITUTE(LOWER(F1110),"x","")),0)</f>
        <v>0</v>
      </c>
      <c r="H1110" s="0" t="str">
        <f aca="false">IF(C1110="","",TRIM(MID(C1110,LEN(F1110)+2,999)))</f>
        <v/>
      </c>
      <c r="I1110" s="0" t="n">
        <f aca="false">IF(OR(C1110="",LEFT(C1110,2)="//"),0,IFERROR(IF(AND(G1110&gt;0,G1110=INT(G1110),FIND("-",E1110)&gt;1,NOT(EXACT(UPPER(LEFT(E1110,1)),LOWER(LEFT(E1110,1)))),ISNUMBER(VALUE(MID(E1110,FIND("-",E1110)+1,10)))),1,0),0))</f>
        <v>0</v>
      </c>
      <c r="J1110" s="0" t="str">
        <f aca="false">IF(I1110=1,TRIM(LEFT(H1110,MAX(0,LEN(H1110)-LEN(D1110)))),"")</f>
        <v/>
      </c>
      <c r="K1110" s="0" t="str">
        <f aca="false">INDEX($P$2:$P$21,A1110)</f>
        <v>Deck 19</v>
      </c>
      <c r="L1110" s="0" t="n">
        <f aca="false">IF(AND(C1110&lt;&gt;"",LEFT(C1110,2)&lt;&gt;"//",I1110=0),1,0)</f>
        <v>0</v>
      </c>
      <c r="M1110" s="0" t="str">
        <f aca="false">IF(I1110=1,MAX(M$1:M1109)+1,"")</f>
        <v/>
      </c>
      <c r="N1110" s="0" t="str">
        <f aca="false">IFERROR(MATCH(ROW()-1,$V$2:$V$1201,0),"")</f>
        <v/>
      </c>
      <c r="R1110" s="0" t="str">
        <f aca="false">IF(E1110="","",IFERROR(LEFT(E1110,FIND("-",E1110)-1),E1110))</f>
        <v/>
      </c>
      <c r="S1110" s="0" t="str">
        <f aca="false">IF(R1110="","",IF(ISNUMBER(--MID(R1110,1,1)),0,IF(ISNUMBER(--MID(R1110,2,1)),1,IF(ISNUMBER(--MID(R1110,3,1)),2,IF(ISNUMBER(--MID(R1110,4,1)),3,MIN(LEN(R1110),4))))))</f>
        <v/>
      </c>
      <c r="T1110" s="0" t="str">
        <f aca="false">IF(E1110="","",LEFT(R1110,S1110)&amp;REPT("0",4-S1110)&amp;RIGHT("000"&amp;IFERROR(VALUE(MID(R1110,S1110+1,9)),0),3)&amp;RIGHT("0000"&amp;IFERROR(VALUE(MID(E1110,FIND("-",E1110)+1,9)),0),4))</f>
        <v/>
      </c>
      <c r="U1110" s="0" t="str">
        <f aca="false">IF(I1110=1,"K"&amp;RIGHT("00"&amp;A1110,2)&amp;T1110&amp;RIGHT("00000"&amp;ROW(),5),"")</f>
        <v/>
      </c>
      <c r="V1110" s="0" t="str">
        <f aca="false">IF(U1110="","",COUNTIFS($I$2:$I$1201,1,$U$2:$U$1201,"&lt;"&amp;U1110)+1)</f>
        <v/>
      </c>
    </row>
    <row r="1111" customFormat="false" ht="15" hidden="false" customHeight="false" outlineLevel="0" collapsed="false">
      <c r="A1111" s="0" t="n">
        <v>19</v>
      </c>
      <c r="B1111" s="0" t="n">
        <v>30</v>
      </c>
      <c r="C1111" s="0" t="str">
        <f aca="false">TRIM(SUBSTITUTE(INDEX(LISTAS!$A$4:$T$63,B1111,A1111)&amp;"",CHAR(160)," "))</f>
        <v/>
      </c>
      <c r="D1111" s="0" t="str">
        <f aca="false">IF(C1111="","",TRIM(RIGHT(SUBSTITUTE(C1111," ",REPT(" ",100)),100)))</f>
        <v/>
      </c>
      <c r="E1111" s="0" t="str">
        <f aca="false">IF(D1111="","",UPPER(SUBSTITUTE(SUBSTITUTE(D1111,"(",""),")","")))</f>
        <v/>
      </c>
      <c r="F1111" s="0" t="str">
        <f aca="false">IF(C1111="","",LEFT(C1111,FIND(" ",C1111&amp;" ")-1))</f>
        <v/>
      </c>
      <c r="G1111" s="0" t="n">
        <f aca="false">IFERROR(VALUE(SUBSTITUTE(LOWER(F1111),"x","")),0)</f>
        <v>0</v>
      </c>
      <c r="H1111" s="0" t="str">
        <f aca="false">IF(C1111="","",TRIM(MID(C1111,LEN(F1111)+2,999)))</f>
        <v/>
      </c>
      <c r="I1111" s="0" t="n">
        <f aca="false">IF(OR(C1111="",LEFT(C1111,2)="//"),0,IFERROR(IF(AND(G1111&gt;0,G1111=INT(G1111),FIND("-",E1111)&gt;1,NOT(EXACT(UPPER(LEFT(E1111,1)),LOWER(LEFT(E1111,1)))),ISNUMBER(VALUE(MID(E1111,FIND("-",E1111)+1,10)))),1,0),0))</f>
        <v>0</v>
      </c>
      <c r="J1111" s="0" t="str">
        <f aca="false">IF(I1111=1,TRIM(LEFT(H1111,MAX(0,LEN(H1111)-LEN(D1111)))),"")</f>
        <v/>
      </c>
      <c r="K1111" s="0" t="str">
        <f aca="false">INDEX($P$2:$P$21,A1111)</f>
        <v>Deck 19</v>
      </c>
      <c r="L1111" s="0" t="n">
        <f aca="false">IF(AND(C1111&lt;&gt;"",LEFT(C1111,2)&lt;&gt;"//",I1111=0),1,0)</f>
        <v>0</v>
      </c>
      <c r="M1111" s="0" t="str">
        <f aca="false">IF(I1111=1,MAX(M$1:M1110)+1,"")</f>
        <v/>
      </c>
      <c r="N1111" s="0" t="str">
        <f aca="false">IFERROR(MATCH(ROW()-1,$V$2:$V$1201,0),"")</f>
        <v/>
      </c>
      <c r="R1111" s="0" t="str">
        <f aca="false">IF(E1111="","",IFERROR(LEFT(E1111,FIND("-",E1111)-1),E1111))</f>
        <v/>
      </c>
      <c r="S1111" s="0" t="str">
        <f aca="false">IF(R1111="","",IF(ISNUMBER(--MID(R1111,1,1)),0,IF(ISNUMBER(--MID(R1111,2,1)),1,IF(ISNUMBER(--MID(R1111,3,1)),2,IF(ISNUMBER(--MID(R1111,4,1)),3,MIN(LEN(R1111),4))))))</f>
        <v/>
      </c>
      <c r="T1111" s="0" t="str">
        <f aca="false">IF(E1111="","",LEFT(R1111,S1111)&amp;REPT("0",4-S1111)&amp;RIGHT("000"&amp;IFERROR(VALUE(MID(R1111,S1111+1,9)),0),3)&amp;RIGHT("0000"&amp;IFERROR(VALUE(MID(E1111,FIND("-",E1111)+1,9)),0),4))</f>
        <v/>
      </c>
      <c r="U1111" s="0" t="str">
        <f aca="false">IF(I1111=1,"K"&amp;RIGHT("00"&amp;A1111,2)&amp;T1111&amp;RIGHT("00000"&amp;ROW(),5),"")</f>
        <v/>
      </c>
      <c r="V1111" s="0" t="str">
        <f aca="false">IF(U1111="","",COUNTIFS($I$2:$I$1201,1,$U$2:$U$1201,"&lt;"&amp;U1111)+1)</f>
        <v/>
      </c>
    </row>
    <row r="1112" customFormat="false" ht="15" hidden="false" customHeight="false" outlineLevel="0" collapsed="false">
      <c r="A1112" s="0" t="n">
        <v>19</v>
      </c>
      <c r="B1112" s="0" t="n">
        <v>31</v>
      </c>
      <c r="C1112" s="0" t="str">
        <f aca="false">TRIM(SUBSTITUTE(INDEX(LISTAS!$A$4:$T$63,B1112,A1112)&amp;"",CHAR(160)," "))</f>
        <v/>
      </c>
      <c r="D1112" s="0" t="str">
        <f aca="false">IF(C1112="","",TRIM(RIGHT(SUBSTITUTE(C1112," ",REPT(" ",100)),100)))</f>
        <v/>
      </c>
      <c r="E1112" s="0" t="str">
        <f aca="false">IF(D1112="","",UPPER(SUBSTITUTE(SUBSTITUTE(D1112,"(",""),")","")))</f>
        <v/>
      </c>
      <c r="F1112" s="0" t="str">
        <f aca="false">IF(C1112="","",LEFT(C1112,FIND(" ",C1112&amp;" ")-1))</f>
        <v/>
      </c>
      <c r="G1112" s="0" t="n">
        <f aca="false">IFERROR(VALUE(SUBSTITUTE(LOWER(F1112),"x","")),0)</f>
        <v>0</v>
      </c>
      <c r="H1112" s="0" t="str">
        <f aca="false">IF(C1112="","",TRIM(MID(C1112,LEN(F1112)+2,999)))</f>
        <v/>
      </c>
      <c r="I1112" s="0" t="n">
        <f aca="false">IF(OR(C1112="",LEFT(C1112,2)="//"),0,IFERROR(IF(AND(G1112&gt;0,G1112=INT(G1112),FIND("-",E1112)&gt;1,NOT(EXACT(UPPER(LEFT(E1112,1)),LOWER(LEFT(E1112,1)))),ISNUMBER(VALUE(MID(E1112,FIND("-",E1112)+1,10)))),1,0),0))</f>
        <v>0</v>
      </c>
      <c r="J1112" s="0" t="str">
        <f aca="false">IF(I1112=1,TRIM(LEFT(H1112,MAX(0,LEN(H1112)-LEN(D1112)))),"")</f>
        <v/>
      </c>
      <c r="K1112" s="0" t="str">
        <f aca="false">INDEX($P$2:$P$21,A1112)</f>
        <v>Deck 19</v>
      </c>
      <c r="L1112" s="0" t="n">
        <f aca="false">IF(AND(C1112&lt;&gt;"",LEFT(C1112,2)&lt;&gt;"//",I1112=0),1,0)</f>
        <v>0</v>
      </c>
      <c r="M1112" s="0" t="str">
        <f aca="false">IF(I1112=1,MAX(M$1:M1111)+1,"")</f>
        <v/>
      </c>
      <c r="N1112" s="0" t="str">
        <f aca="false">IFERROR(MATCH(ROW()-1,$V$2:$V$1201,0),"")</f>
        <v/>
      </c>
      <c r="R1112" s="0" t="str">
        <f aca="false">IF(E1112="","",IFERROR(LEFT(E1112,FIND("-",E1112)-1),E1112))</f>
        <v/>
      </c>
      <c r="S1112" s="0" t="str">
        <f aca="false">IF(R1112="","",IF(ISNUMBER(--MID(R1112,1,1)),0,IF(ISNUMBER(--MID(R1112,2,1)),1,IF(ISNUMBER(--MID(R1112,3,1)),2,IF(ISNUMBER(--MID(R1112,4,1)),3,MIN(LEN(R1112),4))))))</f>
        <v/>
      </c>
      <c r="T1112" s="0" t="str">
        <f aca="false">IF(E1112="","",LEFT(R1112,S1112)&amp;REPT("0",4-S1112)&amp;RIGHT("000"&amp;IFERROR(VALUE(MID(R1112,S1112+1,9)),0),3)&amp;RIGHT("0000"&amp;IFERROR(VALUE(MID(E1112,FIND("-",E1112)+1,9)),0),4))</f>
        <v/>
      </c>
      <c r="U1112" s="0" t="str">
        <f aca="false">IF(I1112=1,"K"&amp;RIGHT("00"&amp;A1112,2)&amp;T1112&amp;RIGHT("00000"&amp;ROW(),5),"")</f>
        <v/>
      </c>
      <c r="V1112" s="0" t="str">
        <f aca="false">IF(U1112="","",COUNTIFS($I$2:$I$1201,1,$U$2:$U$1201,"&lt;"&amp;U1112)+1)</f>
        <v/>
      </c>
    </row>
    <row r="1113" customFormat="false" ht="15" hidden="false" customHeight="false" outlineLevel="0" collapsed="false">
      <c r="A1113" s="0" t="n">
        <v>19</v>
      </c>
      <c r="B1113" s="0" t="n">
        <v>32</v>
      </c>
      <c r="C1113" s="0" t="str">
        <f aca="false">TRIM(SUBSTITUTE(INDEX(LISTAS!$A$4:$T$63,B1113,A1113)&amp;"",CHAR(160)," "))</f>
        <v/>
      </c>
      <c r="D1113" s="0" t="str">
        <f aca="false">IF(C1113="","",TRIM(RIGHT(SUBSTITUTE(C1113," ",REPT(" ",100)),100)))</f>
        <v/>
      </c>
      <c r="E1113" s="0" t="str">
        <f aca="false">IF(D1113="","",UPPER(SUBSTITUTE(SUBSTITUTE(D1113,"(",""),")","")))</f>
        <v/>
      </c>
      <c r="F1113" s="0" t="str">
        <f aca="false">IF(C1113="","",LEFT(C1113,FIND(" ",C1113&amp;" ")-1))</f>
        <v/>
      </c>
      <c r="G1113" s="0" t="n">
        <f aca="false">IFERROR(VALUE(SUBSTITUTE(LOWER(F1113),"x","")),0)</f>
        <v>0</v>
      </c>
      <c r="H1113" s="0" t="str">
        <f aca="false">IF(C1113="","",TRIM(MID(C1113,LEN(F1113)+2,999)))</f>
        <v/>
      </c>
      <c r="I1113" s="0" t="n">
        <f aca="false">IF(OR(C1113="",LEFT(C1113,2)="//"),0,IFERROR(IF(AND(G1113&gt;0,G1113=INT(G1113),FIND("-",E1113)&gt;1,NOT(EXACT(UPPER(LEFT(E1113,1)),LOWER(LEFT(E1113,1)))),ISNUMBER(VALUE(MID(E1113,FIND("-",E1113)+1,10)))),1,0),0))</f>
        <v>0</v>
      </c>
      <c r="J1113" s="0" t="str">
        <f aca="false">IF(I1113=1,TRIM(LEFT(H1113,MAX(0,LEN(H1113)-LEN(D1113)))),"")</f>
        <v/>
      </c>
      <c r="K1113" s="0" t="str">
        <f aca="false">INDEX($P$2:$P$21,A1113)</f>
        <v>Deck 19</v>
      </c>
      <c r="L1113" s="0" t="n">
        <f aca="false">IF(AND(C1113&lt;&gt;"",LEFT(C1113,2)&lt;&gt;"//",I1113=0),1,0)</f>
        <v>0</v>
      </c>
      <c r="M1113" s="0" t="str">
        <f aca="false">IF(I1113=1,MAX(M$1:M1112)+1,"")</f>
        <v/>
      </c>
      <c r="N1113" s="0" t="str">
        <f aca="false">IFERROR(MATCH(ROW()-1,$V$2:$V$1201,0),"")</f>
        <v/>
      </c>
      <c r="R1113" s="0" t="str">
        <f aca="false">IF(E1113="","",IFERROR(LEFT(E1113,FIND("-",E1113)-1),E1113))</f>
        <v/>
      </c>
      <c r="S1113" s="0" t="str">
        <f aca="false">IF(R1113="","",IF(ISNUMBER(--MID(R1113,1,1)),0,IF(ISNUMBER(--MID(R1113,2,1)),1,IF(ISNUMBER(--MID(R1113,3,1)),2,IF(ISNUMBER(--MID(R1113,4,1)),3,MIN(LEN(R1113),4))))))</f>
        <v/>
      </c>
      <c r="T1113" s="0" t="str">
        <f aca="false">IF(E1113="","",LEFT(R1113,S1113)&amp;REPT("0",4-S1113)&amp;RIGHT("000"&amp;IFERROR(VALUE(MID(R1113,S1113+1,9)),0),3)&amp;RIGHT("0000"&amp;IFERROR(VALUE(MID(E1113,FIND("-",E1113)+1,9)),0),4))</f>
        <v/>
      </c>
      <c r="U1113" s="0" t="str">
        <f aca="false">IF(I1113=1,"K"&amp;RIGHT("00"&amp;A1113,2)&amp;T1113&amp;RIGHT("00000"&amp;ROW(),5),"")</f>
        <v/>
      </c>
      <c r="V1113" s="0" t="str">
        <f aca="false">IF(U1113="","",COUNTIFS($I$2:$I$1201,1,$U$2:$U$1201,"&lt;"&amp;U1113)+1)</f>
        <v/>
      </c>
    </row>
    <row r="1114" customFormat="false" ht="15" hidden="false" customHeight="false" outlineLevel="0" collapsed="false">
      <c r="A1114" s="0" t="n">
        <v>19</v>
      </c>
      <c r="B1114" s="0" t="n">
        <v>33</v>
      </c>
      <c r="C1114" s="0" t="str">
        <f aca="false">TRIM(SUBSTITUTE(INDEX(LISTAS!$A$4:$T$63,B1114,A1114)&amp;"",CHAR(160)," "))</f>
        <v/>
      </c>
      <c r="D1114" s="0" t="str">
        <f aca="false">IF(C1114="","",TRIM(RIGHT(SUBSTITUTE(C1114," ",REPT(" ",100)),100)))</f>
        <v/>
      </c>
      <c r="E1114" s="0" t="str">
        <f aca="false">IF(D1114="","",UPPER(SUBSTITUTE(SUBSTITUTE(D1114,"(",""),")","")))</f>
        <v/>
      </c>
      <c r="F1114" s="0" t="str">
        <f aca="false">IF(C1114="","",LEFT(C1114,FIND(" ",C1114&amp;" ")-1))</f>
        <v/>
      </c>
      <c r="G1114" s="0" t="n">
        <f aca="false">IFERROR(VALUE(SUBSTITUTE(LOWER(F1114),"x","")),0)</f>
        <v>0</v>
      </c>
      <c r="H1114" s="0" t="str">
        <f aca="false">IF(C1114="","",TRIM(MID(C1114,LEN(F1114)+2,999)))</f>
        <v/>
      </c>
      <c r="I1114" s="0" t="n">
        <f aca="false">IF(OR(C1114="",LEFT(C1114,2)="//"),0,IFERROR(IF(AND(G1114&gt;0,G1114=INT(G1114),FIND("-",E1114)&gt;1,NOT(EXACT(UPPER(LEFT(E1114,1)),LOWER(LEFT(E1114,1)))),ISNUMBER(VALUE(MID(E1114,FIND("-",E1114)+1,10)))),1,0),0))</f>
        <v>0</v>
      </c>
      <c r="J1114" s="0" t="str">
        <f aca="false">IF(I1114=1,TRIM(LEFT(H1114,MAX(0,LEN(H1114)-LEN(D1114)))),"")</f>
        <v/>
      </c>
      <c r="K1114" s="0" t="str">
        <f aca="false">INDEX($P$2:$P$21,A1114)</f>
        <v>Deck 19</v>
      </c>
      <c r="L1114" s="0" t="n">
        <f aca="false">IF(AND(C1114&lt;&gt;"",LEFT(C1114,2)&lt;&gt;"//",I1114=0),1,0)</f>
        <v>0</v>
      </c>
      <c r="M1114" s="0" t="str">
        <f aca="false">IF(I1114=1,MAX(M$1:M1113)+1,"")</f>
        <v/>
      </c>
      <c r="N1114" s="0" t="str">
        <f aca="false">IFERROR(MATCH(ROW()-1,$V$2:$V$1201,0),"")</f>
        <v/>
      </c>
      <c r="R1114" s="0" t="str">
        <f aca="false">IF(E1114="","",IFERROR(LEFT(E1114,FIND("-",E1114)-1),E1114))</f>
        <v/>
      </c>
      <c r="S1114" s="0" t="str">
        <f aca="false">IF(R1114="","",IF(ISNUMBER(--MID(R1114,1,1)),0,IF(ISNUMBER(--MID(R1114,2,1)),1,IF(ISNUMBER(--MID(R1114,3,1)),2,IF(ISNUMBER(--MID(R1114,4,1)),3,MIN(LEN(R1114),4))))))</f>
        <v/>
      </c>
      <c r="T1114" s="0" t="str">
        <f aca="false">IF(E1114="","",LEFT(R1114,S1114)&amp;REPT("0",4-S1114)&amp;RIGHT("000"&amp;IFERROR(VALUE(MID(R1114,S1114+1,9)),0),3)&amp;RIGHT("0000"&amp;IFERROR(VALUE(MID(E1114,FIND("-",E1114)+1,9)),0),4))</f>
        <v/>
      </c>
      <c r="U1114" s="0" t="str">
        <f aca="false">IF(I1114=1,"K"&amp;RIGHT("00"&amp;A1114,2)&amp;T1114&amp;RIGHT("00000"&amp;ROW(),5),"")</f>
        <v/>
      </c>
      <c r="V1114" s="0" t="str">
        <f aca="false">IF(U1114="","",COUNTIFS($I$2:$I$1201,1,$U$2:$U$1201,"&lt;"&amp;U1114)+1)</f>
        <v/>
      </c>
    </row>
    <row r="1115" customFormat="false" ht="15" hidden="false" customHeight="false" outlineLevel="0" collapsed="false">
      <c r="A1115" s="0" t="n">
        <v>19</v>
      </c>
      <c r="B1115" s="0" t="n">
        <v>34</v>
      </c>
      <c r="C1115" s="0" t="str">
        <f aca="false">TRIM(SUBSTITUTE(INDEX(LISTAS!$A$4:$T$63,B1115,A1115)&amp;"",CHAR(160)," "))</f>
        <v/>
      </c>
      <c r="D1115" s="0" t="str">
        <f aca="false">IF(C1115="","",TRIM(RIGHT(SUBSTITUTE(C1115," ",REPT(" ",100)),100)))</f>
        <v/>
      </c>
      <c r="E1115" s="0" t="str">
        <f aca="false">IF(D1115="","",UPPER(SUBSTITUTE(SUBSTITUTE(D1115,"(",""),")","")))</f>
        <v/>
      </c>
      <c r="F1115" s="0" t="str">
        <f aca="false">IF(C1115="","",LEFT(C1115,FIND(" ",C1115&amp;" ")-1))</f>
        <v/>
      </c>
      <c r="G1115" s="0" t="n">
        <f aca="false">IFERROR(VALUE(SUBSTITUTE(LOWER(F1115),"x","")),0)</f>
        <v>0</v>
      </c>
      <c r="H1115" s="0" t="str">
        <f aca="false">IF(C1115="","",TRIM(MID(C1115,LEN(F1115)+2,999)))</f>
        <v/>
      </c>
      <c r="I1115" s="0" t="n">
        <f aca="false">IF(OR(C1115="",LEFT(C1115,2)="//"),0,IFERROR(IF(AND(G1115&gt;0,G1115=INT(G1115),FIND("-",E1115)&gt;1,NOT(EXACT(UPPER(LEFT(E1115,1)),LOWER(LEFT(E1115,1)))),ISNUMBER(VALUE(MID(E1115,FIND("-",E1115)+1,10)))),1,0),0))</f>
        <v>0</v>
      </c>
      <c r="J1115" s="0" t="str">
        <f aca="false">IF(I1115=1,TRIM(LEFT(H1115,MAX(0,LEN(H1115)-LEN(D1115)))),"")</f>
        <v/>
      </c>
      <c r="K1115" s="0" t="str">
        <f aca="false">INDEX($P$2:$P$21,A1115)</f>
        <v>Deck 19</v>
      </c>
      <c r="L1115" s="0" t="n">
        <f aca="false">IF(AND(C1115&lt;&gt;"",LEFT(C1115,2)&lt;&gt;"//",I1115=0),1,0)</f>
        <v>0</v>
      </c>
      <c r="M1115" s="0" t="str">
        <f aca="false">IF(I1115=1,MAX(M$1:M1114)+1,"")</f>
        <v/>
      </c>
      <c r="N1115" s="0" t="str">
        <f aca="false">IFERROR(MATCH(ROW()-1,$V$2:$V$1201,0),"")</f>
        <v/>
      </c>
      <c r="R1115" s="0" t="str">
        <f aca="false">IF(E1115="","",IFERROR(LEFT(E1115,FIND("-",E1115)-1),E1115))</f>
        <v/>
      </c>
      <c r="S1115" s="0" t="str">
        <f aca="false">IF(R1115="","",IF(ISNUMBER(--MID(R1115,1,1)),0,IF(ISNUMBER(--MID(R1115,2,1)),1,IF(ISNUMBER(--MID(R1115,3,1)),2,IF(ISNUMBER(--MID(R1115,4,1)),3,MIN(LEN(R1115),4))))))</f>
        <v/>
      </c>
      <c r="T1115" s="0" t="str">
        <f aca="false">IF(E1115="","",LEFT(R1115,S1115)&amp;REPT("0",4-S1115)&amp;RIGHT("000"&amp;IFERROR(VALUE(MID(R1115,S1115+1,9)),0),3)&amp;RIGHT("0000"&amp;IFERROR(VALUE(MID(E1115,FIND("-",E1115)+1,9)),0),4))</f>
        <v/>
      </c>
      <c r="U1115" s="0" t="str">
        <f aca="false">IF(I1115=1,"K"&amp;RIGHT("00"&amp;A1115,2)&amp;T1115&amp;RIGHT("00000"&amp;ROW(),5),"")</f>
        <v/>
      </c>
      <c r="V1115" s="0" t="str">
        <f aca="false">IF(U1115="","",COUNTIFS($I$2:$I$1201,1,$U$2:$U$1201,"&lt;"&amp;U1115)+1)</f>
        <v/>
      </c>
    </row>
    <row r="1116" customFormat="false" ht="15" hidden="false" customHeight="false" outlineLevel="0" collapsed="false">
      <c r="A1116" s="0" t="n">
        <v>19</v>
      </c>
      <c r="B1116" s="0" t="n">
        <v>35</v>
      </c>
      <c r="C1116" s="0" t="str">
        <f aca="false">TRIM(SUBSTITUTE(INDEX(LISTAS!$A$4:$T$63,B1116,A1116)&amp;"",CHAR(160)," "))</f>
        <v/>
      </c>
      <c r="D1116" s="0" t="str">
        <f aca="false">IF(C1116="","",TRIM(RIGHT(SUBSTITUTE(C1116," ",REPT(" ",100)),100)))</f>
        <v/>
      </c>
      <c r="E1116" s="0" t="str">
        <f aca="false">IF(D1116="","",UPPER(SUBSTITUTE(SUBSTITUTE(D1116,"(",""),")","")))</f>
        <v/>
      </c>
      <c r="F1116" s="0" t="str">
        <f aca="false">IF(C1116="","",LEFT(C1116,FIND(" ",C1116&amp;" ")-1))</f>
        <v/>
      </c>
      <c r="G1116" s="0" t="n">
        <f aca="false">IFERROR(VALUE(SUBSTITUTE(LOWER(F1116),"x","")),0)</f>
        <v>0</v>
      </c>
      <c r="H1116" s="0" t="str">
        <f aca="false">IF(C1116="","",TRIM(MID(C1116,LEN(F1116)+2,999)))</f>
        <v/>
      </c>
      <c r="I1116" s="0" t="n">
        <f aca="false">IF(OR(C1116="",LEFT(C1116,2)="//"),0,IFERROR(IF(AND(G1116&gt;0,G1116=INT(G1116),FIND("-",E1116)&gt;1,NOT(EXACT(UPPER(LEFT(E1116,1)),LOWER(LEFT(E1116,1)))),ISNUMBER(VALUE(MID(E1116,FIND("-",E1116)+1,10)))),1,0),0))</f>
        <v>0</v>
      </c>
      <c r="J1116" s="0" t="str">
        <f aca="false">IF(I1116=1,TRIM(LEFT(H1116,MAX(0,LEN(H1116)-LEN(D1116)))),"")</f>
        <v/>
      </c>
      <c r="K1116" s="0" t="str">
        <f aca="false">INDEX($P$2:$P$21,A1116)</f>
        <v>Deck 19</v>
      </c>
      <c r="L1116" s="0" t="n">
        <f aca="false">IF(AND(C1116&lt;&gt;"",LEFT(C1116,2)&lt;&gt;"//",I1116=0),1,0)</f>
        <v>0</v>
      </c>
      <c r="M1116" s="0" t="str">
        <f aca="false">IF(I1116=1,MAX(M$1:M1115)+1,"")</f>
        <v/>
      </c>
      <c r="N1116" s="0" t="str">
        <f aca="false">IFERROR(MATCH(ROW()-1,$V$2:$V$1201,0),"")</f>
        <v/>
      </c>
      <c r="R1116" s="0" t="str">
        <f aca="false">IF(E1116="","",IFERROR(LEFT(E1116,FIND("-",E1116)-1),E1116))</f>
        <v/>
      </c>
      <c r="S1116" s="0" t="str">
        <f aca="false">IF(R1116="","",IF(ISNUMBER(--MID(R1116,1,1)),0,IF(ISNUMBER(--MID(R1116,2,1)),1,IF(ISNUMBER(--MID(R1116,3,1)),2,IF(ISNUMBER(--MID(R1116,4,1)),3,MIN(LEN(R1116),4))))))</f>
        <v/>
      </c>
      <c r="T1116" s="0" t="str">
        <f aca="false">IF(E1116="","",LEFT(R1116,S1116)&amp;REPT("0",4-S1116)&amp;RIGHT("000"&amp;IFERROR(VALUE(MID(R1116,S1116+1,9)),0),3)&amp;RIGHT("0000"&amp;IFERROR(VALUE(MID(E1116,FIND("-",E1116)+1,9)),0),4))</f>
        <v/>
      </c>
      <c r="U1116" s="0" t="str">
        <f aca="false">IF(I1116=1,"K"&amp;RIGHT("00"&amp;A1116,2)&amp;T1116&amp;RIGHT("00000"&amp;ROW(),5),"")</f>
        <v/>
      </c>
      <c r="V1116" s="0" t="str">
        <f aca="false">IF(U1116="","",COUNTIFS($I$2:$I$1201,1,$U$2:$U$1201,"&lt;"&amp;U1116)+1)</f>
        <v/>
      </c>
    </row>
    <row r="1117" customFormat="false" ht="15" hidden="false" customHeight="false" outlineLevel="0" collapsed="false">
      <c r="A1117" s="0" t="n">
        <v>19</v>
      </c>
      <c r="B1117" s="0" t="n">
        <v>36</v>
      </c>
      <c r="C1117" s="0" t="str">
        <f aca="false">TRIM(SUBSTITUTE(INDEX(LISTAS!$A$4:$T$63,B1117,A1117)&amp;"",CHAR(160)," "))</f>
        <v/>
      </c>
      <c r="D1117" s="0" t="str">
        <f aca="false">IF(C1117="","",TRIM(RIGHT(SUBSTITUTE(C1117," ",REPT(" ",100)),100)))</f>
        <v/>
      </c>
      <c r="E1117" s="0" t="str">
        <f aca="false">IF(D1117="","",UPPER(SUBSTITUTE(SUBSTITUTE(D1117,"(",""),")","")))</f>
        <v/>
      </c>
      <c r="F1117" s="0" t="str">
        <f aca="false">IF(C1117="","",LEFT(C1117,FIND(" ",C1117&amp;" ")-1))</f>
        <v/>
      </c>
      <c r="G1117" s="0" t="n">
        <f aca="false">IFERROR(VALUE(SUBSTITUTE(LOWER(F1117),"x","")),0)</f>
        <v>0</v>
      </c>
      <c r="H1117" s="0" t="str">
        <f aca="false">IF(C1117="","",TRIM(MID(C1117,LEN(F1117)+2,999)))</f>
        <v/>
      </c>
      <c r="I1117" s="0" t="n">
        <f aca="false">IF(OR(C1117="",LEFT(C1117,2)="//"),0,IFERROR(IF(AND(G1117&gt;0,G1117=INT(G1117),FIND("-",E1117)&gt;1,NOT(EXACT(UPPER(LEFT(E1117,1)),LOWER(LEFT(E1117,1)))),ISNUMBER(VALUE(MID(E1117,FIND("-",E1117)+1,10)))),1,0),0))</f>
        <v>0</v>
      </c>
      <c r="J1117" s="0" t="str">
        <f aca="false">IF(I1117=1,TRIM(LEFT(H1117,MAX(0,LEN(H1117)-LEN(D1117)))),"")</f>
        <v/>
      </c>
      <c r="K1117" s="0" t="str">
        <f aca="false">INDEX($P$2:$P$21,A1117)</f>
        <v>Deck 19</v>
      </c>
      <c r="L1117" s="0" t="n">
        <f aca="false">IF(AND(C1117&lt;&gt;"",LEFT(C1117,2)&lt;&gt;"//",I1117=0),1,0)</f>
        <v>0</v>
      </c>
      <c r="M1117" s="0" t="str">
        <f aca="false">IF(I1117=1,MAX(M$1:M1116)+1,"")</f>
        <v/>
      </c>
      <c r="N1117" s="0" t="str">
        <f aca="false">IFERROR(MATCH(ROW()-1,$V$2:$V$1201,0),"")</f>
        <v/>
      </c>
      <c r="R1117" s="0" t="str">
        <f aca="false">IF(E1117="","",IFERROR(LEFT(E1117,FIND("-",E1117)-1),E1117))</f>
        <v/>
      </c>
      <c r="S1117" s="0" t="str">
        <f aca="false">IF(R1117="","",IF(ISNUMBER(--MID(R1117,1,1)),0,IF(ISNUMBER(--MID(R1117,2,1)),1,IF(ISNUMBER(--MID(R1117,3,1)),2,IF(ISNUMBER(--MID(R1117,4,1)),3,MIN(LEN(R1117),4))))))</f>
        <v/>
      </c>
      <c r="T1117" s="0" t="str">
        <f aca="false">IF(E1117="","",LEFT(R1117,S1117)&amp;REPT("0",4-S1117)&amp;RIGHT("000"&amp;IFERROR(VALUE(MID(R1117,S1117+1,9)),0),3)&amp;RIGHT("0000"&amp;IFERROR(VALUE(MID(E1117,FIND("-",E1117)+1,9)),0),4))</f>
        <v/>
      </c>
      <c r="U1117" s="0" t="str">
        <f aca="false">IF(I1117=1,"K"&amp;RIGHT("00"&amp;A1117,2)&amp;T1117&amp;RIGHT("00000"&amp;ROW(),5),"")</f>
        <v/>
      </c>
      <c r="V1117" s="0" t="str">
        <f aca="false">IF(U1117="","",COUNTIFS($I$2:$I$1201,1,$U$2:$U$1201,"&lt;"&amp;U1117)+1)</f>
        <v/>
      </c>
    </row>
    <row r="1118" customFormat="false" ht="15" hidden="false" customHeight="false" outlineLevel="0" collapsed="false">
      <c r="A1118" s="0" t="n">
        <v>19</v>
      </c>
      <c r="B1118" s="0" t="n">
        <v>37</v>
      </c>
      <c r="C1118" s="0" t="str">
        <f aca="false">TRIM(SUBSTITUTE(INDEX(LISTAS!$A$4:$T$63,B1118,A1118)&amp;"",CHAR(160)," "))</f>
        <v/>
      </c>
      <c r="D1118" s="0" t="str">
        <f aca="false">IF(C1118="","",TRIM(RIGHT(SUBSTITUTE(C1118," ",REPT(" ",100)),100)))</f>
        <v/>
      </c>
      <c r="E1118" s="0" t="str">
        <f aca="false">IF(D1118="","",UPPER(SUBSTITUTE(SUBSTITUTE(D1118,"(",""),")","")))</f>
        <v/>
      </c>
      <c r="F1118" s="0" t="str">
        <f aca="false">IF(C1118="","",LEFT(C1118,FIND(" ",C1118&amp;" ")-1))</f>
        <v/>
      </c>
      <c r="G1118" s="0" t="n">
        <f aca="false">IFERROR(VALUE(SUBSTITUTE(LOWER(F1118),"x","")),0)</f>
        <v>0</v>
      </c>
      <c r="H1118" s="0" t="str">
        <f aca="false">IF(C1118="","",TRIM(MID(C1118,LEN(F1118)+2,999)))</f>
        <v/>
      </c>
      <c r="I1118" s="0" t="n">
        <f aca="false">IF(OR(C1118="",LEFT(C1118,2)="//"),0,IFERROR(IF(AND(G1118&gt;0,G1118=INT(G1118),FIND("-",E1118)&gt;1,NOT(EXACT(UPPER(LEFT(E1118,1)),LOWER(LEFT(E1118,1)))),ISNUMBER(VALUE(MID(E1118,FIND("-",E1118)+1,10)))),1,0),0))</f>
        <v>0</v>
      </c>
      <c r="J1118" s="0" t="str">
        <f aca="false">IF(I1118=1,TRIM(LEFT(H1118,MAX(0,LEN(H1118)-LEN(D1118)))),"")</f>
        <v/>
      </c>
      <c r="K1118" s="0" t="str">
        <f aca="false">INDEX($P$2:$P$21,A1118)</f>
        <v>Deck 19</v>
      </c>
      <c r="L1118" s="0" t="n">
        <f aca="false">IF(AND(C1118&lt;&gt;"",LEFT(C1118,2)&lt;&gt;"//",I1118=0),1,0)</f>
        <v>0</v>
      </c>
      <c r="M1118" s="0" t="str">
        <f aca="false">IF(I1118=1,MAX(M$1:M1117)+1,"")</f>
        <v/>
      </c>
      <c r="N1118" s="0" t="str">
        <f aca="false">IFERROR(MATCH(ROW()-1,$V$2:$V$1201,0),"")</f>
        <v/>
      </c>
      <c r="R1118" s="0" t="str">
        <f aca="false">IF(E1118="","",IFERROR(LEFT(E1118,FIND("-",E1118)-1),E1118))</f>
        <v/>
      </c>
      <c r="S1118" s="0" t="str">
        <f aca="false">IF(R1118="","",IF(ISNUMBER(--MID(R1118,1,1)),0,IF(ISNUMBER(--MID(R1118,2,1)),1,IF(ISNUMBER(--MID(R1118,3,1)),2,IF(ISNUMBER(--MID(R1118,4,1)),3,MIN(LEN(R1118),4))))))</f>
        <v/>
      </c>
      <c r="T1118" s="0" t="str">
        <f aca="false">IF(E1118="","",LEFT(R1118,S1118)&amp;REPT("0",4-S1118)&amp;RIGHT("000"&amp;IFERROR(VALUE(MID(R1118,S1118+1,9)),0),3)&amp;RIGHT("0000"&amp;IFERROR(VALUE(MID(E1118,FIND("-",E1118)+1,9)),0),4))</f>
        <v/>
      </c>
      <c r="U1118" s="0" t="str">
        <f aca="false">IF(I1118=1,"K"&amp;RIGHT("00"&amp;A1118,2)&amp;T1118&amp;RIGHT("00000"&amp;ROW(),5),"")</f>
        <v/>
      </c>
      <c r="V1118" s="0" t="str">
        <f aca="false">IF(U1118="","",COUNTIFS($I$2:$I$1201,1,$U$2:$U$1201,"&lt;"&amp;U1118)+1)</f>
        <v/>
      </c>
    </row>
    <row r="1119" customFormat="false" ht="15" hidden="false" customHeight="false" outlineLevel="0" collapsed="false">
      <c r="A1119" s="0" t="n">
        <v>19</v>
      </c>
      <c r="B1119" s="0" t="n">
        <v>38</v>
      </c>
      <c r="C1119" s="0" t="str">
        <f aca="false">TRIM(SUBSTITUTE(INDEX(LISTAS!$A$4:$T$63,B1119,A1119)&amp;"",CHAR(160)," "))</f>
        <v/>
      </c>
      <c r="D1119" s="0" t="str">
        <f aca="false">IF(C1119="","",TRIM(RIGHT(SUBSTITUTE(C1119," ",REPT(" ",100)),100)))</f>
        <v/>
      </c>
      <c r="E1119" s="0" t="str">
        <f aca="false">IF(D1119="","",UPPER(SUBSTITUTE(SUBSTITUTE(D1119,"(",""),")","")))</f>
        <v/>
      </c>
      <c r="F1119" s="0" t="str">
        <f aca="false">IF(C1119="","",LEFT(C1119,FIND(" ",C1119&amp;" ")-1))</f>
        <v/>
      </c>
      <c r="G1119" s="0" t="n">
        <f aca="false">IFERROR(VALUE(SUBSTITUTE(LOWER(F1119),"x","")),0)</f>
        <v>0</v>
      </c>
      <c r="H1119" s="0" t="str">
        <f aca="false">IF(C1119="","",TRIM(MID(C1119,LEN(F1119)+2,999)))</f>
        <v/>
      </c>
      <c r="I1119" s="0" t="n">
        <f aca="false">IF(OR(C1119="",LEFT(C1119,2)="//"),0,IFERROR(IF(AND(G1119&gt;0,G1119=INT(G1119),FIND("-",E1119)&gt;1,NOT(EXACT(UPPER(LEFT(E1119,1)),LOWER(LEFT(E1119,1)))),ISNUMBER(VALUE(MID(E1119,FIND("-",E1119)+1,10)))),1,0),0))</f>
        <v>0</v>
      </c>
      <c r="J1119" s="0" t="str">
        <f aca="false">IF(I1119=1,TRIM(LEFT(H1119,MAX(0,LEN(H1119)-LEN(D1119)))),"")</f>
        <v/>
      </c>
      <c r="K1119" s="0" t="str">
        <f aca="false">INDEX($P$2:$P$21,A1119)</f>
        <v>Deck 19</v>
      </c>
      <c r="L1119" s="0" t="n">
        <f aca="false">IF(AND(C1119&lt;&gt;"",LEFT(C1119,2)&lt;&gt;"//",I1119=0),1,0)</f>
        <v>0</v>
      </c>
      <c r="M1119" s="0" t="str">
        <f aca="false">IF(I1119=1,MAX(M$1:M1118)+1,"")</f>
        <v/>
      </c>
      <c r="N1119" s="0" t="str">
        <f aca="false">IFERROR(MATCH(ROW()-1,$V$2:$V$1201,0),"")</f>
        <v/>
      </c>
      <c r="R1119" s="0" t="str">
        <f aca="false">IF(E1119="","",IFERROR(LEFT(E1119,FIND("-",E1119)-1),E1119))</f>
        <v/>
      </c>
      <c r="S1119" s="0" t="str">
        <f aca="false">IF(R1119="","",IF(ISNUMBER(--MID(R1119,1,1)),0,IF(ISNUMBER(--MID(R1119,2,1)),1,IF(ISNUMBER(--MID(R1119,3,1)),2,IF(ISNUMBER(--MID(R1119,4,1)),3,MIN(LEN(R1119),4))))))</f>
        <v/>
      </c>
      <c r="T1119" s="0" t="str">
        <f aca="false">IF(E1119="","",LEFT(R1119,S1119)&amp;REPT("0",4-S1119)&amp;RIGHT("000"&amp;IFERROR(VALUE(MID(R1119,S1119+1,9)),0),3)&amp;RIGHT("0000"&amp;IFERROR(VALUE(MID(E1119,FIND("-",E1119)+1,9)),0),4))</f>
        <v/>
      </c>
      <c r="U1119" s="0" t="str">
        <f aca="false">IF(I1119=1,"K"&amp;RIGHT("00"&amp;A1119,2)&amp;T1119&amp;RIGHT("00000"&amp;ROW(),5),"")</f>
        <v/>
      </c>
      <c r="V1119" s="0" t="str">
        <f aca="false">IF(U1119="","",COUNTIFS($I$2:$I$1201,1,$U$2:$U$1201,"&lt;"&amp;U1119)+1)</f>
        <v/>
      </c>
    </row>
    <row r="1120" customFormat="false" ht="15" hidden="false" customHeight="false" outlineLevel="0" collapsed="false">
      <c r="A1120" s="0" t="n">
        <v>19</v>
      </c>
      <c r="B1120" s="0" t="n">
        <v>39</v>
      </c>
      <c r="C1120" s="0" t="str">
        <f aca="false">TRIM(SUBSTITUTE(INDEX(LISTAS!$A$4:$T$63,B1120,A1120)&amp;"",CHAR(160)," "))</f>
        <v/>
      </c>
      <c r="D1120" s="0" t="str">
        <f aca="false">IF(C1120="","",TRIM(RIGHT(SUBSTITUTE(C1120," ",REPT(" ",100)),100)))</f>
        <v/>
      </c>
      <c r="E1120" s="0" t="str">
        <f aca="false">IF(D1120="","",UPPER(SUBSTITUTE(SUBSTITUTE(D1120,"(",""),")","")))</f>
        <v/>
      </c>
      <c r="F1120" s="0" t="str">
        <f aca="false">IF(C1120="","",LEFT(C1120,FIND(" ",C1120&amp;" ")-1))</f>
        <v/>
      </c>
      <c r="G1120" s="0" t="n">
        <f aca="false">IFERROR(VALUE(SUBSTITUTE(LOWER(F1120),"x","")),0)</f>
        <v>0</v>
      </c>
      <c r="H1120" s="0" t="str">
        <f aca="false">IF(C1120="","",TRIM(MID(C1120,LEN(F1120)+2,999)))</f>
        <v/>
      </c>
      <c r="I1120" s="0" t="n">
        <f aca="false">IF(OR(C1120="",LEFT(C1120,2)="//"),0,IFERROR(IF(AND(G1120&gt;0,G1120=INT(G1120),FIND("-",E1120)&gt;1,NOT(EXACT(UPPER(LEFT(E1120,1)),LOWER(LEFT(E1120,1)))),ISNUMBER(VALUE(MID(E1120,FIND("-",E1120)+1,10)))),1,0),0))</f>
        <v>0</v>
      </c>
      <c r="J1120" s="0" t="str">
        <f aca="false">IF(I1120=1,TRIM(LEFT(H1120,MAX(0,LEN(H1120)-LEN(D1120)))),"")</f>
        <v/>
      </c>
      <c r="K1120" s="0" t="str">
        <f aca="false">INDEX($P$2:$P$21,A1120)</f>
        <v>Deck 19</v>
      </c>
      <c r="L1120" s="0" t="n">
        <f aca="false">IF(AND(C1120&lt;&gt;"",LEFT(C1120,2)&lt;&gt;"//",I1120=0),1,0)</f>
        <v>0</v>
      </c>
      <c r="M1120" s="0" t="str">
        <f aca="false">IF(I1120=1,MAX(M$1:M1119)+1,"")</f>
        <v/>
      </c>
      <c r="N1120" s="0" t="str">
        <f aca="false">IFERROR(MATCH(ROW()-1,$V$2:$V$1201,0),"")</f>
        <v/>
      </c>
      <c r="R1120" s="0" t="str">
        <f aca="false">IF(E1120="","",IFERROR(LEFT(E1120,FIND("-",E1120)-1),E1120))</f>
        <v/>
      </c>
      <c r="S1120" s="0" t="str">
        <f aca="false">IF(R1120="","",IF(ISNUMBER(--MID(R1120,1,1)),0,IF(ISNUMBER(--MID(R1120,2,1)),1,IF(ISNUMBER(--MID(R1120,3,1)),2,IF(ISNUMBER(--MID(R1120,4,1)),3,MIN(LEN(R1120),4))))))</f>
        <v/>
      </c>
      <c r="T1120" s="0" t="str">
        <f aca="false">IF(E1120="","",LEFT(R1120,S1120)&amp;REPT("0",4-S1120)&amp;RIGHT("000"&amp;IFERROR(VALUE(MID(R1120,S1120+1,9)),0),3)&amp;RIGHT("0000"&amp;IFERROR(VALUE(MID(E1120,FIND("-",E1120)+1,9)),0),4))</f>
        <v/>
      </c>
      <c r="U1120" s="0" t="str">
        <f aca="false">IF(I1120=1,"K"&amp;RIGHT("00"&amp;A1120,2)&amp;T1120&amp;RIGHT("00000"&amp;ROW(),5),"")</f>
        <v/>
      </c>
      <c r="V1120" s="0" t="str">
        <f aca="false">IF(U1120="","",COUNTIFS($I$2:$I$1201,1,$U$2:$U$1201,"&lt;"&amp;U1120)+1)</f>
        <v/>
      </c>
    </row>
    <row r="1121" customFormat="false" ht="15" hidden="false" customHeight="false" outlineLevel="0" collapsed="false">
      <c r="A1121" s="0" t="n">
        <v>19</v>
      </c>
      <c r="B1121" s="0" t="n">
        <v>40</v>
      </c>
      <c r="C1121" s="0" t="str">
        <f aca="false">TRIM(SUBSTITUTE(INDEX(LISTAS!$A$4:$T$63,B1121,A1121)&amp;"",CHAR(160)," "))</f>
        <v/>
      </c>
      <c r="D1121" s="0" t="str">
        <f aca="false">IF(C1121="","",TRIM(RIGHT(SUBSTITUTE(C1121," ",REPT(" ",100)),100)))</f>
        <v/>
      </c>
      <c r="E1121" s="0" t="str">
        <f aca="false">IF(D1121="","",UPPER(SUBSTITUTE(SUBSTITUTE(D1121,"(",""),")","")))</f>
        <v/>
      </c>
      <c r="F1121" s="0" t="str">
        <f aca="false">IF(C1121="","",LEFT(C1121,FIND(" ",C1121&amp;" ")-1))</f>
        <v/>
      </c>
      <c r="G1121" s="0" t="n">
        <f aca="false">IFERROR(VALUE(SUBSTITUTE(LOWER(F1121),"x","")),0)</f>
        <v>0</v>
      </c>
      <c r="H1121" s="0" t="str">
        <f aca="false">IF(C1121="","",TRIM(MID(C1121,LEN(F1121)+2,999)))</f>
        <v/>
      </c>
      <c r="I1121" s="0" t="n">
        <f aca="false">IF(OR(C1121="",LEFT(C1121,2)="//"),0,IFERROR(IF(AND(G1121&gt;0,G1121=INT(G1121),FIND("-",E1121)&gt;1,NOT(EXACT(UPPER(LEFT(E1121,1)),LOWER(LEFT(E1121,1)))),ISNUMBER(VALUE(MID(E1121,FIND("-",E1121)+1,10)))),1,0),0))</f>
        <v>0</v>
      </c>
      <c r="J1121" s="0" t="str">
        <f aca="false">IF(I1121=1,TRIM(LEFT(H1121,MAX(0,LEN(H1121)-LEN(D1121)))),"")</f>
        <v/>
      </c>
      <c r="K1121" s="0" t="str">
        <f aca="false">INDEX($P$2:$P$21,A1121)</f>
        <v>Deck 19</v>
      </c>
      <c r="L1121" s="0" t="n">
        <f aca="false">IF(AND(C1121&lt;&gt;"",LEFT(C1121,2)&lt;&gt;"//",I1121=0),1,0)</f>
        <v>0</v>
      </c>
      <c r="M1121" s="0" t="str">
        <f aca="false">IF(I1121=1,MAX(M$1:M1120)+1,"")</f>
        <v/>
      </c>
      <c r="N1121" s="0" t="str">
        <f aca="false">IFERROR(MATCH(ROW()-1,$V$2:$V$1201,0),"")</f>
        <v/>
      </c>
      <c r="R1121" s="0" t="str">
        <f aca="false">IF(E1121="","",IFERROR(LEFT(E1121,FIND("-",E1121)-1),E1121))</f>
        <v/>
      </c>
      <c r="S1121" s="0" t="str">
        <f aca="false">IF(R1121="","",IF(ISNUMBER(--MID(R1121,1,1)),0,IF(ISNUMBER(--MID(R1121,2,1)),1,IF(ISNUMBER(--MID(R1121,3,1)),2,IF(ISNUMBER(--MID(R1121,4,1)),3,MIN(LEN(R1121),4))))))</f>
        <v/>
      </c>
      <c r="T1121" s="0" t="str">
        <f aca="false">IF(E1121="","",LEFT(R1121,S1121)&amp;REPT("0",4-S1121)&amp;RIGHT("000"&amp;IFERROR(VALUE(MID(R1121,S1121+1,9)),0),3)&amp;RIGHT("0000"&amp;IFERROR(VALUE(MID(E1121,FIND("-",E1121)+1,9)),0),4))</f>
        <v/>
      </c>
      <c r="U1121" s="0" t="str">
        <f aca="false">IF(I1121=1,"K"&amp;RIGHT("00"&amp;A1121,2)&amp;T1121&amp;RIGHT("00000"&amp;ROW(),5),"")</f>
        <v/>
      </c>
      <c r="V1121" s="0" t="str">
        <f aca="false">IF(U1121="","",COUNTIFS($I$2:$I$1201,1,$U$2:$U$1201,"&lt;"&amp;U1121)+1)</f>
        <v/>
      </c>
    </row>
    <row r="1122" customFormat="false" ht="15" hidden="false" customHeight="false" outlineLevel="0" collapsed="false">
      <c r="A1122" s="0" t="n">
        <v>19</v>
      </c>
      <c r="B1122" s="0" t="n">
        <v>41</v>
      </c>
      <c r="C1122" s="0" t="str">
        <f aca="false">TRIM(SUBSTITUTE(INDEX(LISTAS!$A$4:$T$63,B1122,A1122)&amp;"",CHAR(160)," "))</f>
        <v/>
      </c>
      <c r="D1122" s="0" t="str">
        <f aca="false">IF(C1122="","",TRIM(RIGHT(SUBSTITUTE(C1122," ",REPT(" ",100)),100)))</f>
        <v/>
      </c>
      <c r="E1122" s="0" t="str">
        <f aca="false">IF(D1122="","",UPPER(SUBSTITUTE(SUBSTITUTE(D1122,"(",""),")","")))</f>
        <v/>
      </c>
      <c r="F1122" s="0" t="str">
        <f aca="false">IF(C1122="","",LEFT(C1122,FIND(" ",C1122&amp;" ")-1))</f>
        <v/>
      </c>
      <c r="G1122" s="0" t="n">
        <f aca="false">IFERROR(VALUE(SUBSTITUTE(LOWER(F1122),"x","")),0)</f>
        <v>0</v>
      </c>
      <c r="H1122" s="0" t="str">
        <f aca="false">IF(C1122="","",TRIM(MID(C1122,LEN(F1122)+2,999)))</f>
        <v/>
      </c>
      <c r="I1122" s="0" t="n">
        <f aca="false">IF(OR(C1122="",LEFT(C1122,2)="//"),0,IFERROR(IF(AND(G1122&gt;0,G1122=INT(G1122),FIND("-",E1122)&gt;1,NOT(EXACT(UPPER(LEFT(E1122,1)),LOWER(LEFT(E1122,1)))),ISNUMBER(VALUE(MID(E1122,FIND("-",E1122)+1,10)))),1,0),0))</f>
        <v>0</v>
      </c>
      <c r="J1122" s="0" t="str">
        <f aca="false">IF(I1122=1,TRIM(LEFT(H1122,MAX(0,LEN(H1122)-LEN(D1122)))),"")</f>
        <v/>
      </c>
      <c r="K1122" s="0" t="str">
        <f aca="false">INDEX($P$2:$P$21,A1122)</f>
        <v>Deck 19</v>
      </c>
      <c r="L1122" s="0" t="n">
        <f aca="false">IF(AND(C1122&lt;&gt;"",LEFT(C1122,2)&lt;&gt;"//",I1122=0),1,0)</f>
        <v>0</v>
      </c>
      <c r="M1122" s="0" t="str">
        <f aca="false">IF(I1122=1,MAX(M$1:M1121)+1,"")</f>
        <v/>
      </c>
      <c r="N1122" s="0" t="str">
        <f aca="false">IFERROR(MATCH(ROW()-1,$V$2:$V$1201,0),"")</f>
        <v/>
      </c>
      <c r="R1122" s="0" t="str">
        <f aca="false">IF(E1122="","",IFERROR(LEFT(E1122,FIND("-",E1122)-1),E1122))</f>
        <v/>
      </c>
      <c r="S1122" s="0" t="str">
        <f aca="false">IF(R1122="","",IF(ISNUMBER(--MID(R1122,1,1)),0,IF(ISNUMBER(--MID(R1122,2,1)),1,IF(ISNUMBER(--MID(R1122,3,1)),2,IF(ISNUMBER(--MID(R1122,4,1)),3,MIN(LEN(R1122),4))))))</f>
        <v/>
      </c>
      <c r="T1122" s="0" t="str">
        <f aca="false">IF(E1122="","",LEFT(R1122,S1122)&amp;REPT("0",4-S1122)&amp;RIGHT("000"&amp;IFERROR(VALUE(MID(R1122,S1122+1,9)),0),3)&amp;RIGHT("0000"&amp;IFERROR(VALUE(MID(E1122,FIND("-",E1122)+1,9)),0),4))</f>
        <v/>
      </c>
      <c r="U1122" s="0" t="str">
        <f aca="false">IF(I1122=1,"K"&amp;RIGHT("00"&amp;A1122,2)&amp;T1122&amp;RIGHT("00000"&amp;ROW(),5),"")</f>
        <v/>
      </c>
      <c r="V1122" s="0" t="str">
        <f aca="false">IF(U1122="","",COUNTIFS($I$2:$I$1201,1,$U$2:$U$1201,"&lt;"&amp;U1122)+1)</f>
        <v/>
      </c>
    </row>
    <row r="1123" customFormat="false" ht="15" hidden="false" customHeight="false" outlineLevel="0" collapsed="false">
      <c r="A1123" s="0" t="n">
        <v>19</v>
      </c>
      <c r="B1123" s="0" t="n">
        <v>42</v>
      </c>
      <c r="C1123" s="0" t="str">
        <f aca="false">TRIM(SUBSTITUTE(INDEX(LISTAS!$A$4:$T$63,B1123,A1123)&amp;"",CHAR(160)," "))</f>
        <v/>
      </c>
      <c r="D1123" s="0" t="str">
        <f aca="false">IF(C1123="","",TRIM(RIGHT(SUBSTITUTE(C1123," ",REPT(" ",100)),100)))</f>
        <v/>
      </c>
      <c r="E1123" s="0" t="str">
        <f aca="false">IF(D1123="","",UPPER(SUBSTITUTE(SUBSTITUTE(D1123,"(",""),")","")))</f>
        <v/>
      </c>
      <c r="F1123" s="0" t="str">
        <f aca="false">IF(C1123="","",LEFT(C1123,FIND(" ",C1123&amp;" ")-1))</f>
        <v/>
      </c>
      <c r="G1123" s="0" t="n">
        <f aca="false">IFERROR(VALUE(SUBSTITUTE(LOWER(F1123),"x","")),0)</f>
        <v>0</v>
      </c>
      <c r="H1123" s="0" t="str">
        <f aca="false">IF(C1123="","",TRIM(MID(C1123,LEN(F1123)+2,999)))</f>
        <v/>
      </c>
      <c r="I1123" s="0" t="n">
        <f aca="false">IF(OR(C1123="",LEFT(C1123,2)="//"),0,IFERROR(IF(AND(G1123&gt;0,G1123=INT(G1123),FIND("-",E1123)&gt;1,NOT(EXACT(UPPER(LEFT(E1123,1)),LOWER(LEFT(E1123,1)))),ISNUMBER(VALUE(MID(E1123,FIND("-",E1123)+1,10)))),1,0),0))</f>
        <v>0</v>
      </c>
      <c r="J1123" s="0" t="str">
        <f aca="false">IF(I1123=1,TRIM(LEFT(H1123,MAX(0,LEN(H1123)-LEN(D1123)))),"")</f>
        <v/>
      </c>
      <c r="K1123" s="0" t="str">
        <f aca="false">INDEX($P$2:$P$21,A1123)</f>
        <v>Deck 19</v>
      </c>
      <c r="L1123" s="0" t="n">
        <f aca="false">IF(AND(C1123&lt;&gt;"",LEFT(C1123,2)&lt;&gt;"//",I1123=0),1,0)</f>
        <v>0</v>
      </c>
      <c r="M1123" s="0" t="str">
        <f aca="false">IF(I1123=1,MAX(M$1:M1122)+1,"")</f>
        <v/>
      </c>
      <c r="N1123" s="0" t="str">
        <f aca="false">IFERROR(MATCH(ROW()-1,$V$2:$V$1201,0),"")</f>
        <v/>
      </c>
      <c r="R1123" s="0" t="str">
        <f aca="false">IF(E1123="","",IFERROR(LEFT(E1123,FIND("-",E1123)-1),E1123))</f>
        <v/>
      </c>
      <c r="S1123" s="0" t="str">
        <f aca="false">IF(R1123="","",IF(ISNUMBER(--MID(R1123,1,1)),0,IF(ISNUMBER(--MID(R1123,2,1)),1,IF(ISNUMBER(--MID(R1123,3,1)),2,IF(ISNUMBER(--MID(R1123,4,1)),3,MIN(LEN(R1123),4))))))</f>
        <v/>
      </c>
      <c r="T1123" s="0" t="str">
        <f aca="false">IF(E1123="","",LEFT(R1123,S1123)&amp;REPT("0",4-S1123)&amp;RIGHT("000"&amp;IFERROR(VALUE(MID(R1123,S1123+1,9)),0),3)&amp;RIGHT("0000"&amp;IFERROR(VALUE(MID(E1123,FIND("-",E1123)+1,9)),0),4))</f>
        <v/>
      </c>
      <c r="U1123" s="0" t="str">
        <f aca="false">IF(I1123=1,"K"&amp;RIGHT("00"&amp;A1123,2)&amp;T1123&amp;RIGHT("00000"&amp;ROW(),5),"")</f>
        <v/>
      </c>
      <c r="V1123" s="0" t="str">
        <f aca="false">IF(U1123="","",COUNTIFS($I$2:$I$1201,1,$U$2:$U$1201,"&lt;"&amp;U1123)+1)</f>
        <v/>
      </c>
    </row>
    <row r="1124" customFormat="false" ht="15" hidden="false" customHeight="false" outlineLevel="0" collapsed="false">
      <c r="A1124" s="0" t="n">
        <v>19</v>
      </c>
      <c r="B1124" s="0" t="n">
        <v>43</v>
      </c>
      <c r="C1124" s="0" t="str">
        <f aca="false">TRIM(SUBSTITUTE(INDEX(LISTAS!$A$4:$T$63,B1124,A1124)&amp;"",CHAR(160)," "))</f>
        <v/>
      </c>
      <c r="D1124" s="0" t="str">
        <f aca="false">IF(C1124="","",TRIM(RIGHT(SUBSTITUTE(C1124," ",REPT(" ",100)),100)))</f>
        <v/>
      </c>
      <c r="E1124" s="0" t="str">
        <f aca="false">IF(D1124="","",UPPER(SUBSTITUTE(SUBSTITUTE(D1124,"(",""),")","")))</f>
        <v/>
      </c>
      <c r="F1124" s="0" t="str">
        <f aca="false">IF(C1124="","",LEFT(C1124,FIND(" ",C1124&amp;" ")-1))</f>
        <v/>
      </c>
      <c r="G1124" s="0" t="n">
        <f aca="false">IFERROR(VALUE(SUBSTITUTE(LOWER(F1124),"x","")),0)</f>
        <v>0</v>
      </c>
      <c r="H1124" s="0" t="str">
        <f aca="false">IF(C1124="","",TRIM(MID(C1124,LEN(F1124)+2,999)))</f>
        <v/>
      </c>
      <c r="I1124" s="0" t="n">
        <f aca="false">IF(OR(C1124="",LEFT(C1124,2)="//"),0,IFERROR(IF(AND(G1124&gt;0,G1124=INT(G1124),FIND("-",E1124)&gt;1,NOT(EXACT(UPPER(LEFT(E1124,1)),LOWER(LEFT(E1124,1)))),ISNUMBER(VALUE(MID(E1124,FIND("-",E1124)+1,10)))),1,0),0))</f>
        <v>0</v>
      </c>
      <c r="J1124" s="0" t="str">
        <f aca="false">IF(I1124=1,TRIM(LEFT(H1124,MAX(0,LEN(H1124)-LEN(D1124)))),"")</f>
        <v/>
      </c>
      <c r="K1124" s="0" t="str">
        <f aca="false">INDEX($P$2:$P$21,A1124)</f>
        <v>Deck 19</v>
      </c>
      <c r="L1124" s="0" t="n">
        <f aca="false">IF(AND(C1124&lt;&gt;"",LEFT(C1124,2)&lt;&gt;"//",I1124=0),1,0)</f>
        <v>0</v>
      </c>
      <c r="M1124" s="0" t="str">
        <f aca="false">IF(I1124=1,MAX(M$1:M1123)+1,"")</f>
        <v/>
      </c>
      <c r="N1124" s="0" t="str">
        <f aca="false">IFERROR(MATCH(ROW()-1,$V$2:$V$1201,0),"")</f>
        <v/>
      </c>
      <c r="R1124" s="0" t="str">
        <f aca="false">IF(E1124="","",IFERROR(LEFT(E1124,FIND("-",E1124)-1),E1124))</f>
        <v/>
      </c>
      <c r="S1124" s="0" t="str">
        <f aca="false">IF(R1124="","",IF(ISNUMBER(--MID(R1124,1,1)),0,IF(ISNUMBER(--MID(R1124,2,1)),1,IF(ISNUMBER(--MID(R1124,3,1)),2,IF(ISNUMBER(--MID(R1124,4,1)),3,MIN(LEN(R1124),4))))))</f>
        <v/>
      </c>
      <c r="T1124" s="0" t="str">
        <f aca="false">IF(E1124="","",LEFT(R1124,S1124)&amp;REPT("0",4-S1124)&amp;RIGHT("000"&amp;IFERROR(VALUE(MID(R1124,S1124+1,9)),0),3)&amp;RIGHT("0000"&amp;IFERROR(VALUE(MID(E1124,FIND("-",E1124)+1,9)),0),4))</f>
        <v/>
      </c>
      <c r="U1124" s="0" t="str">
        <f aca="false">IF(I1124=1,"K"&amp;RIGHT("00"&amp;A1124,2)&amp;T1124&amp;RIGHT("00000"&amp;ROW(),5),"")</f>
        <v/>
      </c>
      <c r="V1124" s="0" t="str">
        <f aca="false">IF(U1124="","",COUNTIFS($I$2:$I$1201,1,$U$2:$U$1201,"&lt;"&amp;U1124)+1)</f>
        <v/>
      </c>
    </row>
    <row r="1125" customFormat="false" ht="15" hidden="false" customHeight="false" outlineLevel="0" collapsed="false">
      <c r="A1125" s="0" t="n">
        <v>19</v>
      </c>
      <c r="B1125" s="0" t="n">
        <v>44</v>
      </c>
      <c r="C1125" s="0" t="str">
        <f aca="false">TRIM(SUBSTITUTE(INDEX(LISTAS!$A$4:$T$63,B1125,A1125)&amp;"",CHAR(160)," "))</f>
        <v/>
      </c>
      <c r="D1125" s="0" t="str">
        <f aca="false">IF(C1125="","",TRIM(RIGHT(SUBSTITUTE(C1125," ",REPT(" ",100)),100)))</f>
        <v/>
      </c>
      <c r="E1125" s="0" t="str">
        <f aca="false">IF(D1125="","",UPPER(SUBSTITUTE(SUBSTITUTE(D1125,"(",""),")","")))</f>
        <v/>
      </c>
      <c r="F1125" s="0" t="str">
        <f aca="false">IF(C1125="","",LEFT(C1125,FIND(" ",C1125&amp;" ")-1))</f>
        <v/>
      </c>
      <c r="G1125" s="0" t="n">
        <f aca="false">IFERROR(VALUE(SUBSTITUTE(LOWER(F1125),"x","")),0)</f>
        <v>0</v>
      </c>
      <c r="H1125" s="0" t="str">
        <f aca="false">IF(C1125="","",TRIM(MID(C1125,LEN(F1125)+2,999)))</f>
        <v/>
      </c>
      <c r="I1125" s="0" t="n">
        <f aca="false">IF(OR(C1125="",LEFT(C1125,2)="//"),0,IFERROR(IF(AND(G1125&gt;0,G1125=INT(G1125),FIND("-",E1125)&gt;1,NOT(EXACT(UPPER(LEFT(E1125,1)),LOWER(LEFT(E1125,1)))),ISNUMBER(VALUE(MID(E1125,FIND("-",E1125)+1,10)))),1,0),0))</f>
        <v>0</v>
      </c>
      <c r="J1125" s="0" t="str">
        <f aca="false">IF(I1125=1,TRIM(LEFT(H1125,MAX(0,LEN(H1125)-LEN(D1125)))),"")</f>
        <v/>
      </c>
      <c r="K1125" s="0" t="str">
        <f aca="false">INDEX($P$2:$P$21,A1125)</f>
        <v>Deck 19</v>
      </c>
      <c r="L1125" s="0" t="n">
        <f aca="false">IF(AND(C1125&lt;&gt;"",LEFT(C1125,2)&lt;&gt;"//",I1125=0),1,0)</f>
        <v>0</v>
      </c>
      <c r="M1125" s="0" t="str">
        <f aca="false">IF(I1125=1,MAX(M$1:M1124)+1,"")</f>
        <v/>
      </c>
      <c r="N1125" s="0" t="str">
        <f aca="false">IFERROR(MATCH(ROW()-1,$V$2:$V$1201,0),"")</f>
        <v/>
      </c>
      <c r="R1125" s="0" t="str">
        <f aca="false">IF(E1125="","",IFERROR(LEFT(E1125,FIND("-",E1125)-1),E1125))</f>
        <v/>
      </c>
      <c r="S1125" s="0" t="str">
        <f aca="false">IF(R1125="","",IF(ISNUMBER(--MID(R1125,1,1)),0,IF(ISNUMBER(--MID(R1125,2,1)),1,IF(ISNUMBER(--MID(R1125,3,1)),2,IF(ISNUMBER(--MID(R1125,4,1)),3,MIN(LEN(R1125),4))))))</f>
        <v/>
      </c>
      <c r="T1125" s="0" t="str">
        <f aca="false">IF(E1125="","",LEFT(R1125,S1125)&amp;REPT("0",4-S1125)&amp;RIGHT("000"&amp;IFERROR(VALUE(MID(R1125,S1125+1,9)),0),3)&amp;RIGHT("0000"&amp;IFERROR(VALUE(MID(E1125,FIND("-",E1125)+1,9)),0),4))</f>
        <v/>
      </c>
      <c r="U1125" s="0" t="str">
        <f aca="false">IF(I1125=1,"K"&amp;RIGHT("00"&amp;A1125,2)&amp;T1125&amp;RIGHT("00000"&amp;ROW(),5),"")</f>
        <v/>
      </c>
      <c r="V1125" s="0" t="str">
        <f aca="false">IF(U1125="","",COUNTIFS($I$2:$I$1201,1,$U$2:$U$1201,"&lt;"&amp;U1125)+1)</f>
        <v/>
      </c>
    </row>
    <row r="1126" customFormat="false" ht="15" hidden="false" customHeight="false" outlineLevel="0" collapsed="false">
      <c r="A1126" s="0" t="n">
        <v>19</v>
      </c>
      <c r="B1126" s="0" t="n">
        <v>45</v>
      </c>
      <c r="C1126" s="0" t="str">
        <f aca="false">TRIM(SUBSTITUTE(INDEX(LISTAS!$A$4:$T$63,B1126,A1126)&amp;"",CHAR(160)," "))</f>
        <v/>
      </c>
      <c r="D1126" s="0" t="str">
        <f aca="false">IF(C1126="","",TRIM(RIGHT(SUBSTITUTE(C1126," ",REPT(" ",100)),100)))</f>
        <v/>
      </c>
      <c r="E1126" s="0" t="str">
        <f aca="false">IF(D1126="","",UPPER(SUBSTITUTE(SUBSTITUTE(D1126,"(",""),")","")))</f>
        <v/>
      </c>
      <c r="F1126" s="0" t="str">
        <f aca="false">IF(C1126="","",LEFT(C1126,FIND(" ",C1126&amp;" ")-1))</f>
        <v/>
      </c>
      <c r="G1126" s="0" t="n">
        <f aca="false">IFERROR(VALUE(SUBSTITUTE(LOWER(F1126),"x","")),0)</f>
        <v>0</v>
      </c>
      <c r="H1126" s="0" t="str">
        <f aca="false">IF(C1126="","",TRIM(MID(C1126,LEN(F1126)+2,999)))</f>
        <v/>
      </c>
      <c r="I1126" s="0" t="n">
        <f aca="false">IF(OR(C1126="",LEFT(C1126,2)="//"),0,IFERROR(IF(AND(G1126&gt;0,G1126=INT(G1126),FIND("-",E1126)&gt;1,NOT(EXACT(UPPER(LEFT(E1126,1)),LOWER(LEFT(E1126,1)))),ISNUMBER(VALUE(MID(E1126,FIND("-",E1126)+1,10)))),1,0),0))</f>
        <v>0</v>
      </c>
      <c r="J1126" s="0" t="str">
        <f aca="false">IF(I1126=1,TRIM(LEFT(H1126,MAX(0,LEN(H1126)-LEN(D1126)))),"")</f>
        <v/>
      </c>
      <c r="K1126" s="0" t="str">
        <f aca="false">INDEX($P$2:$P$21,A1126)</f>
        <v>Deck 19</v>
      </c>
      <c r="L1126" s="0" t="n">
        <f aca="false">IF(AND(C1126&lt;&gt;"",LEFT(C1126,2)&lt;&gt;"//",I1126=0),1,0)</f>
        <v>0</v>
      </c>
      <c r="M1126" s="0" t="str">
        <f aca="false">IF(I1126=1,MAX(M$1:M1125)+1,"")</f>
        <v/>
      </c>
      <c r="N1126" s="0" t="str">
        <f aca="false">IFERROR(MATCH(ROW()-1,$V$2:$V$1201,0),"")</f>
        <v/>
      </c>
      <c r="R1126" s="0" t="str">
        <f aca="false">IF(E1126="","",IFERROR(LEFT(E1126,FIND("-",E1126)-1),E1126))</f>
        <v/>
      </c>
      <c r="S1126" s="0" t="str">
        <f aca="false">IF(R1126="","",IF(ISNUMBER(--MID(R1126,1,1)),0,IF(ISNUMBER(--MID(R1126,2,1)),1,IF(ISNUMBER(--MID(R1126,3,1)),2,IF(ISNUMBER(--MID(R1126,4,1)),3,MIN(LEN(R1126),4))))))</f>
        <v/>
      </c>
      <c r="T1126" s="0" t="str">
        <f aca="false">IF(E1126="","",LEFT(R1126,S1126)&amp;REPT("0",4-S1126)&amp;RIGHT("000"&amp;IFERROR(VALUE(MID(R1126,S1126+1,9)),0),3)&amp;RIGHT("0000"&amp;IFERROR(VALUE(MID(E1126,FIND("-",E1126)+1,9)),0),4))</f>
        <v/>
      </c>
      <c r="U1126" s="0" t="str">
        <f aca="false">IF(I1126=1,"K"&amp;RIGHT("00"&amp;A1126,2)&amp;T1126&amp;RIGHT("00000"&amp;ROW(),5),"")</f>
        <v/>
      </c>
      <c r="V1126" s="0" t="str">
        <f aca="false">IF(U1126="","",COUNTIFS($I$2:$I$1201,1,$U$2:$U$1201,"&lt;"&amp;U1126)+1)</f>
        <v/>
      </c>
    </row>
    <row r="1127" customFormat="false" ht="15" hidden="false" customHeight="false" outlineLevel="0" collapsed="false">
      <c r="A1127" s="0" t="n">
        <v>19</v>
      </c>
      <c r="B1127" s="0" t="n">
        <v>46</v>
      </c>
      <c r="C1127" s="0" t="str">
        <f aca="false">TRIM(SUBSTITUTE(INDEX(LISTAS!$A$4:$T$63,B1127,A1127)&amp;"",CHAR(160)," "))</f>
        <v/>
      </c>
      <c r="D1127" s="0" t="str">
        <f aca="false">IF(C1127="","",TRIM(RIGHT(SUBSTITUTE(C1127," ",REPT(" ",100)),100)))</f>
        <v/>
      </c>
      <c r="E1127" s="0" t="str">
        <f aca="false">IF(D1127="","",UPPER(SUBSTITUTE(SUBSTITUTE(D1127,"(",""),")","")))</f>
        <v/>
      </c>
      <c r="F1127" s="0" t="str">
        <f aca="false">IF(C1127="","",LEFT(C1127,FIND(" ",C1127&amp;" ")-1))</f>
        <v/>
      </c>
      <c r="G1127" s="0" t="n">
        <f aca="false">IFERROR(VALUE(SUBSTITUTE(LOWER(F1127),"x","")),0)</f>
        <v>0</v>
      </c>
      <c r="H1127" s="0" t="str">
        <f aca="false">IF(C1127="","",TRIM(MID(C1127,LEN(F1127)+2,999)))</f>
        <v/>
      </c>
      <c r="I1127" s="0" t="n">
        <f aca="false">IF(OR(C1127="",LEFT(C1127,2)="//"),0,IFERROR(IF(AND(G1127&gt;0,G1127=INT(G1127),FIND("-",E1127)&gt;1,NOT(EXACT(UPPER(LEFT(E1127,1)),LOWER(LEFT(E1127,1)))),ISNUMBER(VALUE(MID(E1127,FIND("-",E1127)+1,10)))),1,0),0))</f>
        <v>0</v>
      </c>
      <c r="J1127" s="0" t="str">
        <f aca="false">IF(I1127=1,TRIM(LEFT(H1127,MAX(0,LEN(H1127)-LEN(D1127)))),"")</f>
        <v/>
      </c>
      <c r="K1127" s="0" t="str">
        <f aca="false">INDEX($P$2:$P$21,A1127)</f>
        <v>Deck 19</v>
      </c>
      <c r="L1127" s="0" t="n">
        <f aca="false">IF(AND(C1127&lt;&gt;"",LEFT(C1127,2)&lt;&gt;"//",I1127=0),1,0)</f>
        <v>0</v>
      </c>
      <c r="M1127" s="0" t="str">
        <f aca="false">IF(I1127=1,MAX(M$1:M1126)+1,"")</f>
        <v/>
      </c>
      <c r="N1127" s="0" t="str">
        <f aca="false">IFERROR(MATCH(ROW()-1,$V$2:$V$1201,0),"")</f>
        <v/>
      </c>
      <c r="R1127" s="0" t="str">
        <f aca="false">IF(E1127="","",IFERROR(LEFT(E1127,FIND("-",E1127)-1),E1127))</f>
        <v/>
      </c>
      <c r="S1127" s="0" t="str">
        <f aca="false">IF(R1127="","",IF(ISNUMBER(--MID(R1127,1,1)),0,IF(ISNUMBER(--MID(R1127,2,1)),1,IF(ISNUMBER(--MID(R1127,3,1)),2,IF(ISNUMBER(--MID(R1127,4,1)),3,MIN(LEN(R1127),4))))))</f>
        <v/>
      </c>
      <c r="T1127" s="0" t="str">
        <f aca="false">IF(E1127="","",LEFT(R1127,S1127)&amp;REPT("0",4-S1127)&amp;RIGHT("000"&amp;IFERROR(VALUE(MID(R1127,S1127+1,9)),0),3)&amp;RIGHT("0000"&amp;IFERROR(VALUE(MID(E1127,FIND("-",E1127)+1,9)),0),4))</f>
        <v/>
      </c>
      <c r="U1127" s="0" t="str">
        <f aca="false">IF(I1127=1,"K"&amp;RIGHT("00"&amp;A1127,2)&amp;T1127&amp;RIGHT("00000"&amp;ROW(),5),"")</f>
        <v/>
      </c>
      <c r="V1127" s="0" t="str">
        <f aca="false">IF(U1127="","",COUNTIFS($I$2:$I$1201,1,$U$2:$U$1201,"&lt;"&amp;U1127)+1)</f>
        <v/>
      </c>
    </row>
    <row r="1128" customFormat="false" ht="15" hidden="false" customHeight="false" outlineLevel="0" collapsed="false">
      <c r="A1128" s="0" t="n">
        <v>19</v>
      </c>
      <c r="B1128" s="0" t="n">
        <v>47</v>
      </c>
      <c r="C1128" s="0" t="str">
        <f aca="false">TRIM(SUBSTITUTE(INDEX(LISTAS!$A$4:$T$63,B1128,A1128)&amp;"",CHAR(160)," "))</f>
        <v/>
      </c>
      <c r="D1128" s="0" t="str">
        <f aca="false">IF(C1128="","",TRIM(RIGHT(SUBSTITUTE(C1128," ",REPT(" ",100)),100)))</f>
        <v/>
      </c>
      <c r="E1128" s="0" t="str">
        <f aca="false">IF(D1128="","",UPPER(SUBSTITUTE(SUBSTITUTE(D1128,"(",""),")","")))</f>
        <v/>
      </c>
      <c r="F1128" s="0" t="str">
        <f aca="false">IF(C1128="","",LEFT(C1128,FIND(" ",C1128&amp;" ")-1))</f>
        <v/>
      </c>
      <c r="G1128" s="0" t="n">
        <f aca="false">IFERROR(VALUE(SUBSTITUTE(LOWER(F1128),"x","")),0)</f>
        <v>0</v>
      </c>
      <c r="H1128" s="0" t="str">
        <f aca="false">IF(C1128="","",TRIM(MID(C1128,LEN(F1128)+2,999)))</f>
        <v/>
      </c>
      <c r="I1128" s="0" t="n">
        <f aca="false">IF(OR(C1128="",LEFT(C1128,2)="//"),0,IFERROR(IF(AND(G1128&gt;0,G1128=INT(G1128),FIND("-",E1128)&gt;1,NOT(EXACT(UPPER(LEFT(E1128,1)),LOWER(LEFT(E1128,1)))),ISNUMBER(VALUE(MID(E1128,FIND("-",E1128)+1,10)))),1,0),0))</f>
        <v>0</v>
      </c>
      <c r="J1128" s="0" t="str">
        <f aca="false">IF(I1128=1,TRIM(LEFT(H1128,MAX(0,LEN(H1128)-LEN(D1128)))),"")</f>
        <v/>
      </c>
      <c r="K1128" s="0" t="str">
        <f aca="false">INDEX($P$2:$P$21,A1128)</f>
        <v>Deck 19</v>
      </c>
      <c r="L1128" s="0" t="n">
        <f aca="false">IF(AND(C1128&lt;&gt;"",LEFT(C1128,2)&lt;&gt;"//",I1128=0),1,0)</f>
        <v>0</v>
      </c>
      <c r="M1128" s="0" t="str">
        <f aca="false">IF(I1128=1,MAX(M$1:M1127)+1,"")</f>
        <v/>
      </c>
      <c r="N1128" s="0" t="str">
        <f aca="false">IFERROR(MATCH(ROW()-1,$V$2:$V$1201,0),"")</f>
        <v/>
      </c>
      <c r="R1128" s="0" t="str">
        <f aca="false">IF(E1128="","",IFERROR(LEFT(E1128,FIND("-",E1128)-1),E1128))</f>
        <v/>
      </c>
      <c r="S1128" s="0" t="str">
        <f aca="false">IF(R1128="","",IF(ISNUMBER(--MID(R1128,1,1)),0,IF(ISNUMBER(--MID(R1128,2,1)),1,IF(ISNUMBER(--MID(R1128,3,1)),2,IF(ISNUMBER(--MID(R1128,4,1)),3,MIN(LEN(R1128),4))))))</f>
        <v/>
      </c>
      <c r="T1128" s="0" t="str">
        <f aca="false">IF(E1128="","",LEFT(R1128,S1128)&amp;REPT("0",4-S1128)&amp;RIGHT("000"&amp;IFERROR(VALUE(MID(R1128,S1128+1,9)),0),3)&amp;RIGHT("0000"&amp;IFERROR(VALUE(MID(E1128,FIND("-",E1128)+1,9)),0),4))</f>
        <v/>
      </c>
      <c r="U1128" s="0" t="str">
        <f aca="false">IF(I1128=1,"K"&amp;RIGHT("00"&amp;A1128,2)&amp;T1128&amp;RIGHT("00000"&amp;ROW(),5),"")</f>
        <v/>
      </c>
      <c r="V1128" s="0" t="str">
        <f aca="false">IF(U1128="","",COUNTIFS($I$2:$I$1201,1,$U$2:$U$1201,"&lt;"&amp;U1128)+1)</f>
        <v/>
      </c>
    </row>
    <row r="1129" customFormat="false" ht="15" hidden="false" customHeight="false" outlineLevel="0" collapsed="false">
      <c r="A1129" s="0" t="n">
        <v>19</v>
      </c>
      <c r="B1129" s="0" t="n">
        <v>48</v>
      </c>
      <c r="C1129" s="0" t="str">
        <f aca="false">TRIM(SUBSTITUTE(INDEX(LISTAS!$A$4:$T$63,B1129,A1129)&amp;"",CHAR(160)," "))</f>
        <v/>
      </c>
      <c r="D1129" s="0" t="str">
        <f aca="false">IF(C1129="","",TRIM(RIGHT(SUBSTITUTE(C1129," ",REPT(" ",100)),100)))</f>
        <v/>
      </c>
      <c r="E1129" s="0" t="str">
        <f aca="false">IF(D1129="","",UPPER(SUBSTITUTE(SUBSTITUTE(D1129,"(",""),")","")))</f>
        <v/>
      </c>
      <c r="F1129" s="0" t="str">
        <f aca="false">IF(C1129="","",LEFT(C1129,FIND(" ",C1129&amp;" ")-1))</f>
        <v/>
      </c>
      <c r="G1129" s="0" t="n">
        <f aca="false">IFERROR(VALUE(SUBSTITUTE(LOWER(F1129),"x","")),0)</f>
        <v>0</v>
      </c>
      <c r="H1129" s="0" t="str">
        <f aca="false">IF(C1129="","",TRIM(MID(C1129,LEN(F1129)+2,999)))</f>
        <v/>
      </c>
      <c r="I1129" s="0" t="n">
        <f aca="false">IF(OR(C1129="",LEFT(C1129,2)="//"),0,IFERROR(IF(AND(G1129&gt;0,G1129=INT(G1129),FIND("-",E1129)&gt;1,NOT(EXACT(UPPER(LEFT(E1129,1)),LOWER(LEFT(E1129,1)))),ISNUMBER(VALUE(MID(E1129,FIND("-",E1129)+1,10)))),1,0),0))</f>
        <v>0</v>
      </c>
      <c r="J1129" s="0" t="str">
        <f aca="false">IF(I1129=1,TRIM(LEFT(H1129,MAX(0,LEN(H1129)-LEN(D1129)))),"")</f>
        <v/>
      </c>
      <c r="K1129" s="0" t="str">
        <f aca="false">INDEX($P$2:$P$21,A1129)</f>
        <v>Deck 19</v>
      </c>
      <c r="L1129" s="0" t="n">
        <f aca="false">IF(AND(C1129&lt;&gt;"",LEFT(C1129,2)&lt;&gt;"//",I1129=0),1,0)</f>
        <v>0</v>
      </c>
      <c r="M1129" s="0" t="str">
        <f aca="false">IF(I1129=1,MAX(M$1:M1128)+1,"")</f>
        <v/>
      </c>
      <c r="N1129" s="0" t="str">
        <f aca="false">IFERROR(MATCH(ROW()-1,$V$2:$V$1201,0),"")</f>
        <v/>
      </c>
      <c r="R1129" s="0" t="str">
        <f aca="false">IF(E1129="","",IFERROR(LEFT(E1129,FIND("-",E1129)-1),E1129))</f>
        <v/>
      </c>
      <c r="S1129" s="0" t="str">
        <f aca="false">IF(R1129="","",IF(ISNUMBER(--MID(R1129,1,1)),0,IF(ISNUMBER(--MID(R1129,2,1)),1,IF(ISNUMBER(--MID(R1129,3,1)),2,IF(ISNUMBER(--MID(R1129,4,1)),3,MIN(LEN(R1129),4))))))</f>
        <v/>
      </c>
      <c r="T1129" s="0" t="str">
        <f aca="false">IF(E1129="","",LEFT(R1129,S1129)&amp;REPT("0",4-S1129)&amp;RIGHT("000"&amp;IFERROR(VALUE(MID(R1129,S1129+1,9)),0),3)&amp;RIGHT("0000"&amp;IFERROR(VALUE(MID(E1129,FIND("-",E1129)+1,9)),0),4))</f>
        <v/>
      </c>
      <c r="U1129" s="0" t="str">
        <f aca="false">IF(I1129=1,"K"&amp;RIGHT("00"&amp;A1129,2)&amp;T1129&amp;RIGHT("00000"&amp;ROW(),5),"")</f>
        <v/>
      </c>
      <c r="V1129" s="0" t="str">
        <f aca="false">IF(U1129="","",COUNTIFS($I$2:$I$1201,1,$U$2:$U$1201,"&lt;"&amp;U1129)+1)</f>
        <v/>
      </c>
    </row>
    <row r="1130" customFormat="false" ht="15" hidden="false" customHeight="false" outlineLevel="0" collapsed="false">
      <c r="A1130" s="0" t="n">
        <v>19</v>
      </c>
      <c r="B1130" s="0" t="n">
        <v>49</v>
      </c>
      <c r="C1130" s="0" t="str">
        <f aca="false">TRIM(SUBSTITUTE(INDEX(LISTAS!$A$4:$T$63,B1130,A1130)&amp;"",CHAR(160)," "))</f>
        <v/>
      </c>
      <c r="D1130" s="0" t="str">
        <f aca="false">IF(C1130="","",TRIM(RIGHT(SUBSTITUTE(C1130," ",REPT(" ",100)),100)))</f>
        <v/>
      </c>
      <c r="E1130" s="0" t="str">
        <f aca="false">IF(D1130="","",UPPER(SUBSTITUTE(SUBSTITUTE(D1130,"(",""),")","")))</f>
        <v/>
      </c>
      <c r="F1130" s="0" t="str">
        <f aca="false">IF(C1130="","",LEFT(C1130,FIND(" ",C1130&amp;" ")-1))</f>
        <v/>
      </c>
      <c r="G1130" s="0" t="n">
        <f aca="false">IFERROR(VALUE(SUBSTITUTE(LOWER(F1130),"x","")),0)</f>
        <v>0</v>
      </c>
      <c r="H1130" s="0" t="str">
        <f aca="false">IF(C1130="","",TRIM(MID(C1130,LEN(F1130)+2,999)))</f>
        <v/>
      </c>
      <c r="I1130" s="0" t="n">
        <f aca="false">IF(OR(C1130="",LEFT(C1130,2)="//"),0,IFERROR(IF(AND(G1130&gt;0,G1130=INT(G1130),FIND("-",E1130)&gt;1,NOT(EXACT(UPPER(LEFT(E1130,1)),LOWER(LEFT(E1130,1)))),ISNUMBER(VALUE(MID(E1130,FIND("-",E1130)+1,10)))),1,0),0))</f>
        <v>0</v>
      </c>
      <c r="J1130" s="0" t="str">
        <f aca="false">IF(I1130=1,TRIM(LEFT(H1130,MAX(0,LEN(H1130)-LEN(D1130)))),"")</f>
        <v/>
      </c>
      <c r="K1130" s="0" t="str">
        <f aca="false">INDEX($P$2:$P$21,A1130)</f>
        <v>Deck 19</v>
      </c>
      <c r="L1130" s="0" t="n">
        <f aca="false">IF(AND(C1130&lt;&gt;"",LEFT(C1130,2)&lt;&gt;"//",I1130=0),1,0)</f>
        <v>0</v>
      </c>
      <c r="M1130" s="0" t="str">
        <f aca="false">IF(I1130=1,MAX(M$1:M1129)+1,"")</f>
        <v/>
      </c>
      <c r="N1130" s="0" t="str">
        <f aca="false">IFERROR(MATCH(ROW()-1,$V$2:$V$1201,0),"")</f>
        <v/>
      </c>
      <c r="R1130" s="0" t="str">
        <f aca="false">IF(E1130="","",IFERROR(LEFT(E1130,FIND("-",E1130)-1),E1130))</f>
        <v/>
      </c>
      <c r="S1130" s="0" t="str">
        <f aca="false">IF(R1130="","",IF(ISNUMBER(--MID(R1130,1,1)),0,IF(ISNUMBER(--MID(R1130,2,1)),1,IF(ISNUMBER(--MID(R1130,3,1)),2,IF(ISNUMBER(--MID(R1130,4,1)),3,MIN(LEN(R1130),4))))))</f>
        <v/>
      </c>
      <c r="T1130" s="0" t="str">
        <f aca="false">IF(E1130="","",LEFT(R1130,S1130)&amp;REPT("0",4-S1130)&amp;RIGHT("000"&amp;IFERROR(VALUE(MID(R1130,S1130+1,9)),0),3)&amp;RIGHT("0000"&amp;IFERROR(VALUE(MID(E1130,FIND("-",E1130)+1,9)),0),4))</f>
        <v/>
      </c>
      <c r="U1130" s="0" t="str">
        <f aca="false">IF(I1130=1,"K"&amp;RIGHT("00"&amp;A1130,2)&amp;T1130&amp;RIGHT("00000"&amp;ROW(),5),"")</f>
        <v/>
      </c>
      <c r="V1130" s="0" t="str">
        <f aca="false">IF(U1130="","",COUNTIFS($I$2:$I$1201,1,$U$2:$U$1201,"&lt;"&amp;U1130)+1)</f>
        <v/>
      </c>
    </row>
    <row r="1131" customFormat="false" ht="15" hidden="false" customHeight="false" outlineLevel="0" collapsed="false">
      <c r="A1131" s="0" t="n">
        <v>19</v>
      </c>
      <c r="B1131" s="0" t="n">
        <v>50</v>
      </c>
      <c r="C1131" s="0" t="str">
        <f aca="false">TRIM(SUBSTITUTE(INDEX(LISTAS!$A$4:$T$63,B1131,A1131)&amp;"",CHAR(160)," "))</f>
        <v/>
      </c>
      <c r="D1131" s="0" t="str">
        <f aca="false">IF(C1131="","",TRIM(RIGHT(SUBSTITUTE(C1131," ",REPT(" ",100)),100)))</f>
        <v/>
      </c>
      <c r="E1131" s="0" t="str">
        <f aca="false">IF(D1131="","",UPPER(SUBSTITUTE(SUBSTITUTE(D1131,"(",""),")","")))</f>
        <v/>
      </c>
      <c r="F1131" s="0" t="str">
        <f aca="false">IF(C1131="","",LEFT(C1131,FIND(" ",C1131&amp;" ")-1))</f>
        <v/>
      </c>
      <c r="G1131" s="0" t="n">
        <f aca="false">IFERROR(VALUE(SUBSTITUTE(LOWER(F1131),"x","")),0)</f>
        <v>0</v>
      </c>
      <c r="H1131" s="0" t="str">
        <f aca="false">IF(C1131="","",TRIM(MID(C1131,LEN(F1131)+2,999)))</f>
        <v/>
      </c>
      <c r="I1131" s="0" t="n">
        <f aca="false">IF(OR(C1131="",LEFT(C1131,2)="//"),0,IFERROR(IF(AND(G1131&gt;0,G1131=INT(G1131),FIND("-",E1131)&gt;1,NOT(EXACT(UPPER(LEFT(E1131,1)),LOWER(LEFT(E1131,1)))),ISNUMBER(VALUE(MID(E1131,FIND("-",E1131)+1,10)))),1,0),0))</f>
        <v>0</v>
      </c>
      <c r="J1131" s="0" t="str">
        <f aca="false">IF(I1131=1,TRIM(LEFT(H1131,MAX(0,LEN(H1131)-LEN(D1131)))),"")</f>
        <v/>
      </c>
      <c r="K1131" s="0" t="str">
        <f aca="false">INDEX($P$2:$P$21,A1131)</f>
        <v>Deck 19</v>
      </c>
      <c r="L1131" s="0" t="n">
        <f aca="false">IF(AND(C1131&lt;&gt;"",LEFT(C1131,2)&lt;&gt;"//",I1131=0),1,0)</f>
        <v>0</v>
      </c>
      <c r="M1131" s="0" t="str">
        <f aca="false">IF(I1131=1,MAX(M$1:M1130)+1,"")</f>
        <v/>
      </c>
      <c r="N1131" s="0" t="str">
        <f aca="false">IFERROR(MATCH(ROW()-1,$V$2:$V$1201,0),"")</f>
        <v/>
      </c>
      <c r="R1131" s="0" t="str">
        <f aca="false">IF(E1131="","",IFERROR(LEFT(E1131,FIND("-",E1131)-1),E1131))</f>
        <v/>
      </c>
      <c r="S1131" s="0" t="str">
        <f aca="false">IF(R1131="","",IF(ISNUMBER(--MID(R1131,1,1)),0,IF(ISNUMBER(--MID(R1131,2,1)),1,IF(ISNUMBER(--MID(R1131,3,1)),2,IF(ISNUMBER(--MID(R1131,4,1)),3,MIN(LEN(R1131),4))))))</f>
        <v/>
      </c>
      <c r="T1131" s="0" t="str">
        <f aca="false">IF(E1131="","",LEFT(R1131,S1131)&amp;REPT("0",4-S1131)&amp;RIGHT("000"&amp;IFERROR(VALUE(MID(R1131,S1131+1,9)),0),3)&amp;RIGHT("0000"&amp;IFERROR(VALUE(MID(E1131,FIND("-",E1131)+1,9)),0),4))</f>
        <v/>
      </c>
      <c r="U1131" s="0" t="str">
        <f aca="false">IF(I1131=1,"K"&amp;RIGHT("00"&amp;A1131,2)&amp;T1131&amp;RIGHT("00000"&amp;ROW(),5),"")</f>
        <v/>
      </c>
      <c r="V1131" s="0" t="str">
        <f aca="false">IF(U1131="","",COUNTIFS($I$2:$I$1201,1,$U$2:$U$1201,"&lt;"&amp;U1131)+1)</f>
        <v/>
      </c>
    </row>
    <row r="1132" customFormat="false" ht="15" hidden="false" customHeight="false" outlineLevel="0" collapsed="false">
      <c r="A1132" s="0" t="n">
        <v>19</v>
      </c>
      <c r="B1132" s="0" t="n">
        <v>51</v>
      </c>
      <c r="C1132" s="0" t="str">
        <f aca="false">TRIM(SUBSTITUTE(INDEX(LISTAS!$A$4:$T$63,B1132,A1132)&amp;"",CHAR(160)," "))</f>
        <v/>
      </c>
      <c r="D1132" s="0" t="str">
        <f aca="false">IF(C1132="","",TRIM(RIGHT(SUBSTITUTE(C1132," ",REPT(" ",100)),100)))</f>
        <v/>
      </c>
      <c r="E1132" s="0" t="str">
        <f aca="false">IF(D1132="","",UPPER(SUBSTITUTE(SUBSTITUTE(D1132,"(",""),")","")))</f>
        <v/>
      </c>
      <c r="F1132" s="0" t="str">
        <f aca="false">IF(C1132="","",LEFT(C1132,FIND(" ",C1132&amp;" ")-1))</f>
        <v/>
      </c>
      <c r="G1132" s="0" t="n">
        <f aca="false">IFERROR(VALUE(SUBSTITUTE(LOWER(F1132),"x","")),0)</f>
        <v>0</v>
      </c>
      <c r="H1132" s="0" t="str">
        <f aca="false">IF(C1132="","",TRIM(MID(C1132,LEN(F1132)+2,999)))</f>
        <v/>
      </c>
      <c r="I1132" s="0" t="n">
        <f aca="false">IF(OR(C1132="",LEFT(C1132,2)="//"),0,IFERROR(IF(AND(G1132&gt;0,G1132=INT(G1132),FIND("-",E1132)&gt;1,NOT(EXACT(UPPER(LEFT(E1132,1)),LOWER(LEFT(E1132,1)))),ISNUMBER(VALUE(MID(E1132,FIND("-",E1132)+1,10)))),1,0),0))</f>
        <v>0</v>
      </c>
      <c r="J1132" s="0" t="str">
        <f aca="false">IF(I1132=1,TRIM(LEFT(H1132,MAX(0,LEN(H1132)-LEN(D1132)))),"")</f>
        <v/>
      </c>
      <c r="K1132" s="0" t="str">
        <f aca="false">INDEX($P$2:$P$21,A1132)</f>
        <v>Deck 19</v>
      </c>
      <c r="L1132" s="0" t="n">
        <f aca="false">IF(AND(C1132&lt;&gt;"",LEFT(C1132,2)&lt;&gt;"//",I1132=0),1,0)</f>
        <v>0</v>
      </c>
      <c r="M1132" s="0" t="str">
        <f aca="false">IF(I1132=1,MAX(M$1:M1131)+1,"")</f>
        <v/>
      </c>
      <c r="N1132" s="0" t="str">
        <f aca="false">IFERROR(MATCH(ROW()-1,$V$2:$V$1201,0),"")</f>
        <v/>
      </c>
      <c r="R1132" s="0" t="str">
        <f aca="false">IF(E1132="","",IFERROR(LEFT(E1132,FIND("-",E1132)-1),E1132))</f>
        <v/>
      </c>
      <c r="S1132" s="0" t="str">
        <f aca="false">IF(R1132="","",IF(ISNUMBER(--MID(R1132,1,1)),0,IF(ISNUMBER(--MID(R1132,2,1)),1,IF(ISNUMBER(--MID(R1132,3,1)),2,IF(ISNUMBER(--MID(R1132,4,1)),3,MIN(LEN(R1132),4))))))</f>
        <v/>
      </c>
      <c r="T1132" s="0" t="str">
        <f aca="false">IF(E1132="","",LEFT(R1132,S1132)&amp;REPT("0",4-S1132)&amp;RIGHT("000"&amp;IFERROR(VALUE(MID(R1132,S1132+1,9)),0),3)&amp;RIGHT("0000"&amp;IFERROR(VALUE(MID(E1132,FIND("-",E1132)+1,9)),0),4))</f>
        <v/>
      </c>
      <c r="U1132" s="0" t="str">
        <f aca="false">IF(I1132=1,"K"&amp;RIGHT("00"&amp;A1132,2)&amp;T1132&amp;RIGHT("00000"&amp;ROW(),5),"")</f>
        <v/>
      </c>
      <c r="V1132" s="0" t="str">
        <f aca="false">IF(U1132="","",COUNTIFS($I$2:$I$1201,1,$U$2:$U$1201,"&lt;"&amp;U1132)+1)</f>
        <v/>
      </c>
    </row>
    <row r="1133" customFormat="false" ht="15" hidden="false" customHeight="false" outlineLevel="0" collapsed="false">
      <c r="A1133" s="0" t="n">
        <v>19</v>
      </c>
      <c r="B1133" s="0" t="n">
        <v>52</v>
      </c>
      <c r="C1133" s="0" t="str">
        <f aca="false">TRIM(SUBSTITUTE(INDEX(LISTAS!$A$4:$T$63,B1133,A1133)&amp;"",CHAR(160)," "))</f>
        <v/>
      </c>
      <c r="D1133" s="0" t="str">
        <f aca="false">IF(C1133="","",TRIM(RIGHT(SUBSTITUTE(C1133," ",REPT(" ",100)),100)))</f>
        <v/>
      </c>
      <c r="E1133" s="0" t="str">
        <f aca="false">IF(D1133="","",UPPER(SUBSTITUTE(SUBSTITUTE(D1133,"(",""),")","")))</f>
        <v/>
      </c>
      <c r="F1133" s="0" t="str">
        <f aca="false">IF(C1133="","",LEFT(C1133,FIND(" ",C1133&amp;" ")-1))</f>
        <v/>
      </c>
      <c r="G1133" s="0" t="n">
        <f aca="false">IFERROR(VALUE(SUBSTITUTE(LOWER(F1133),"x","")),0)</f>
        <v>0</v>
      </c>
      <c r="H1133" s="0" t="str">
        <f aca="false">IF(C1133="","",TRIM(MID(C1133,LEN(F1133)+2,999)))</f>
        <v/>
      </c>
      <c r="I1133" s="0" t="n">
        <f aca="false">IF(OR(C1133="",LEFT(C1133,2)="//"),0,IFERROR(IF(AND(G1133&gt;0,G1133=INT(G1133),FIND("-",E1133)&gt;1,NOT(EXACT(UPPER(LEFT(E1133,1)),LOWER(LEFT(E1133,1)))),ISNUMBER(VALUE(MID(E1133,FIND("-",E1133)+1,10)))),1,0),0))</f>
        <v>0</v>
      </c>
      <c r="J1133" s="0" t="str">
        <f aca="false">IF(I1133=1,TRIM(LEFT(H1133,MAX(0,LEN(H1133)-LEN(D1133)))),"")</f>
        <v/>
      </c>
      <c r="K1133" s="0" t="str">
        <f aca="false">INDEX($P$2:$P$21,A1133)</f>
        <v>Deck 19</v>
      </c>
      <c r="L1133" s="0" t="n">
        <f aca="false">IF(AND(C1133&lt;&gt;"",LEFT(C1133,2)&lt;&gt;"//",I1133=0),1,0)</f>
        <v>0</v>
      </c>
      <c r="M1133" s="0" t="str">
        <f aca="false">IF(I1133=1,MAX(M$1:M1132)+1,"")</f>
        <v/>
      </c>
      <c r="N1133" s="0" t="str">
        <f aca="false">IFERROR(MATCH(ROW()-1,$V$2:$V$1201,0),"")</f>
        <v/>
      </c>
      <c r="R1133" s="0" t="str">
        <f aca="false">IF(E1133="","",IFERROR(LEFT(E1133,FIND("-",E1133)-1),E1133))</f>
        <v/>
      </c>
      <c r="S1133" s="0" t="str">
        <f aca="false">IF(R1133="","",IF(ISNUMBER(--MID(R1133,1,1)),0,IF(ISNUMBER(--MID(R1133,2,1)),1,IF(ISNUMBER(--MID(R1133,3,1)),2,IF(ISNUMBER(--MID(R1133,4,1)),3,MIN(LEN(R1133),4))))))</f>
        <v/>
      </c>
      <c r="T1133" s="0" t="str">
        <f aca="false">IF(E1133="","",LEFT(R1133,S1133)&amp;REPT("0",4-S1133)&amp;RIGHT("000"&amp;IFERROR(VALUE(MID(R1133,S1133+1,9)),0),3)&amp;RIGHT("0000"&amp;IFERROR(VALUE(MID(E1133,FIND("-",E1133)+1,9)),0),4))</f>
        <v/>
      </c>
      <c r="U1133" s="0" t="str">
        <f aca="false">IF(I1133=1,"K"&amp;RIGHT("00"&amp;A1133,2)&amp;T1133&amp;RIGHT("00000"&amp;ROW(),5),"")</f>
        <v/>
      </c>
      <c r="V1133" s="0" t="str">
        <f aca="false">IF(U1133="","",COUNTIFS($I$2:$I$1201,1,$U$2:$U$1201,"&lt;"&amp;U1133)+1)</f>
        <v/>
      </c>
    </row>
    <row r="1134" customFormat="false" ht="15" hidden="false" customHeight="false" outlineLevel="0" collapsed="false">
      <c r="A1134" s="0" t="n">
        <v>19</v>
      </c>
      <c r="B1134" s="0" t="n">
        <v>53</v>
      </c>
      <c r="C1134" s="0" t="str">
        <f aca="false">TRIM(SUBSTITUTE(INDEX(LISTAS!$A$4:$T$63,B1134,A1134)&amp;"",CHAR(160)," "))</f>
        <v/>
      </c>
      <c r="D1134" s="0" t="str">
        <f aca="false">IF(C1134="","",TRIM(RIGHT(SUBSTITUTE(C1134," ",REPT(" ",100)),100)))</f>
        <v/>
      </c>
      <c r="E1134" s="0" t="str">
        <f aca="false">IF(D1134="","",UPPER(SUBSTITUTE(SUBSTITUTE(D1134,"(",""),")","")))</f>
        <v/>
      </c>
      <c r="F1134" s="0" t="str">
        <f aca="false">IF(C1134="","",LEFT(C1134,FIND(" ",C1134&amp;" ")-1))</f>
        <v/>
      </c>
      <c r="G1134" s="0" t="n">
        <f aca="false">IFERROR(VALUE(SUBSTITUTE(LOWER(F1134),"x","")),0)</f>
        <v>0</v>
      </c>
      <c r="H1134" s="0" t="str">
        <f aca="false">IF(C1134="","",TRIM(MID(C1134,LEN(F1134)+2,999)))</f>
        <v/>
      </c>
      <c r="I1134" s="0" t="n">
        <f aca="false">IF(OR(C1134="",LEFT(C1134,2)="//"),0,IFERROR(IF(AND(G1134&gt;0,G1134=INT(G1134),FIND("-",E1134)&gt;1,NOT(EXACT(UPPER(LEFT(E1134,1)),LOWER(LEFT(E1134,1)))),ISNUMBER(VALUE(MID(E1134,FIND("-",E1134)+1,10)))),1,0),0))</f>
        <v>0</v>
      </c>
      <c r="J1134" s="0" t="str">
        <f aca="false">IF(I1134=1,TRIM(LEFT(H1134,MAX(0,LEN(H1134)-LEN(D1134)))),"")</f>
        <v/>
      </c>
      <c r="K1134" s="0" t="str">
        <f aca="false">INDEX($P$2:$P$21,A1134)</f>
        <v>Deck 19</v>
      </c>
      <c r="L1134" s="0" t="n">
        <f aca="false">IF(AND(C1134&lt;&gt;"",LEFT(C1134,2)&lt;&gt;"//",I1134=0),1,0)</f>
        <v>0</v>
      </c>
      <c r="M1134" s="0" t="str">
        <f aca="false">IF(I1134=1,MAX(M$1:M1133)+1,"")</f>
        <v/>
      </c>
      <c r="N1134" s="0" t="str">
        <f aca="false">IFERROR(MATCH(ROW()-1,$V$2:$V$1201,0),"")</f>
        <v/>
      </c>
      <c r="R1134" s="0" t="str">
        <f aca="false">IF(E1134="","",IFERROR(LEFT(E1134,FIND("-",E1134)-1),E1134))</f>
        <v/>
      </c>
      <c r="S1134" s="0" t="str">
        <f aca="false">IF(R1134="","",IF(ISNUMBER(--MID(R1134,1,1)),0,IF(ISNUMBER(--MID(R1134,2,1)),1,IF(ISNUMBER(--MID(R1134,3,1)),2,IF(ISNUMBER(--MID(R1134,4,1)),3,MIN(LEN(R1134),4))))))</f>
        <v/>
      </c>
      <c r="T1134" s="0" t="str">
        <f aca="false">IF(E1134="","",LEFT(R1134,S1134)&amp;REPT("0",4-S1134)&amp;RIGHT("000"&amp;IFERROR(VALUE(MID(R1134,S1134+1,9)),0),3)&amp;RIGHT("0000"&amp;IFERROR(VALUE(MID(E1134,FIND("-",E1134)+1,9)),0),4))</f>
        <v/>
      </c>
      <c r="U1134" s="0" t="str">
        <f aca="false">IF(I1134=1,"K"&amp;RIGHT("00"&amp;A1134,2)&amp;T1134&amp;RIGHT("00000"&amp;ROW(),5),"")</f>
        <v/>
      </c>
      <c r="V1134" s="0" t="str">
        <f aca="false">IF(U1134="","",COUNTIFS($I$2:$I$1201,1,$U$2:$U$1201,"&lt;"&amp;U1134)+1)</f>
        <v/>
      </c>
    </row>
    <row r="1135" customFormat="false" ht="15" hidden="false" customHeight="false" outlineLevel="0" collapsed="false">
      <c r="A1135" s="0" t="n">
        <v>19</v>
      </c>
      <c r="B1135" s="0" t="n">
        <v>54</v>
      </c>
      <c r="C1135" s="0" t="str">
        <f aca="false">TRIM(SUBSTITUTE(INDEX(LISTAS!$A$4:$T$63,B1135,A1135)&amp;"",CHAR(160)," "))</f>
        <v/>
      </c>
      <c r="D1135" s="0" t="str">
        <f aca="false">IF(C1135="","",TRIM(RIGHT(SUBSTITUTE(C1135," ",REPT(" ",100)),100)))</f>
        <v/>
      </c>
      <c r="E1135" s="0" t="str">
        <f aca="false">IF(D1135="","",UPPER(SUBSTITUTE(SUBSTITUTE(D1135,"(",""),")","")))</f>
        <v/>
      </c>
      <c r="F1135" s="0" t="str">
        <f aca="false">IF(C1135="","",LEFT(C1135,FIND(" ",C1135&amp;" ")-1))</f>
        <v/>
      </c>
      <c r="G1135" s="0" t="n">
        <f aca="false">IFERROR(VALUE(SUBSTITUTE(LOWER(F1135),"x","")),0)</f>
        <v>0</v>
      </c>
      <c r="H1135" s="0" t="str">
        <f aca="false">IF(C1135="","",TRIM(MID(C1135,LEN(F1135)+2,999)))</f>
        <v/>
      </c>
      <c r="I1135" s="0" t="n">
        <f aca="false">IF(OR(C1135="",LEFT(C1135,2)="//"),0,IFERROR(IF(AND(G1135&gt;0,G1135=INT(G1135),FIND("-",E1135)&gt;1,NOT(EXACT(UPPER(LEFT(E1135,1)),LOWER(LEFT(E1135,1)))),ISNUMBER(VALUE(MID(E1135,FIND("-",E1135)+1,10)))),1,0),0))</f>
        <v>0</v>
      </c>
      <c r="J1135" s="0" t="str">
        <f aca="false">IF(I1135=1,TRIM(LEFT(H1135,MAX(0,LEN(H1135)-LEN(D1135)))),"")</f>
        <v/>
      </c>
      <c r="K1135" s="0" t="str">
        <f aca="false">INDEX($P$2:$P$21,A1135)</f>
        <v>Deck 19</v>
      </c>
      <c r="L1135" s="0" t="n">
        <f aca="false">IF(AND(C1135&lt;&gt;"",LEFT(C1135,2)&lt;&gt;"//",I1135=0),1,0)</f>
        <v>0</v>
      </c>
      <c r="M1135" s="0" t="str">
        <f aca="false">IF(I1135=1,MAX(M$1:M1134)+1,"")</f>
        <v/>
      </c>
      <c r="N1135" s="0" t="str">
        <f aca="false">IFERROR(MATCH(ROW()-1,$V$2:$V$1201,0),"")</f>
        <v/>
      </c>
      <c r="R1135" s="0" t="str">
        <f aca="false">IF(E1135="","",IFERROR(LEFT(E1135,FIND("-",E1135)-1),E1135))</f>
        <v/>
      </c>
      <c r="S1135" s="0" t="str">
        <f aca="false">IF(R1135="","",IF(ISNUMBER(--MID(R1135,1,1)),0,IF(ISNUMBER(--MID(R1135,2,1)),1,IF(ISNUMBER(--MID(R1135,3,1)),2,IF(ISNUMBER(--MID(R1135,4,1)),3,MIN(LEN(R1135),4))))))</f>
        <v/>
      </c>
      <c r="T1135" s="0" t="str">
        <f aca="false">IF(E1135="","",LEFT(R1135,S1135)&amp;REPT("0",4-S1135)&amp;RIGHT("000"&amp;IFERROR(VALUE(MID(R1135,S1135+1,9)),0),3)&amp;RIGHT("0000"&amp;IFERROR(VALUE(MID(E1135,FIND("-",E1135)+1,9)),0),4))</f>
        <v/>
      </c>
      <c r="U1135" s="0" t="str">
        <f aca="false">IF(I1135=1,"K"&amp;RIGHT("00"&amp;A1135,2)&amp;T1135&amp;RIGHT("00000"&amp;ROW(),5),"")</f>
        <v/>
      </c>
      <c r="V1135" s="0" t="str">
        <f aca="false">IF(U1135="","",COUNTIFS($I$2:$I$1201,1,$U$2:$U$1201,"&lt;"&amp;U1135)+1)</f>
        <v/>
      </c>
    </row>
    <row r="1136" customFormat="false" ht="15" hidden="false" customHeight="false" outlineLevel="0" collapsed="false">
      <c r="A1136" s="0" t="n">
        <v>19</v>
      </c>
      <c r="B1136" s="0" t="n">
        <v>55</v>
      </c>
      <c r="C1136" s="0" t="str">
        <f aca="false">TRIM(SUBSTITUTE(INDEX(LISTAS!$A$4:$T$63,B1136,A1136)&amp;"",CHAR(160)," "))</f>
        <v/>
      </c>
      <c r="D1136" s="0" t="str">
        <f aca="false">IF(C1136="","",TRIM(RIGHT(SUBSTITUTE(C1136," ",REPT(" ",100)),100)))</f>
        <v/>
      </c>
      <c r="E1136" s="0" t="str">
        <f aca="false">IF(D1136="","",UPPER(SUBSTITUTE(SUBSTITUTE(D1136,"(",""),")","")))</f>
        <v/>
      </c>
      <c r="F1136" s="0" t="str">
        <f aca="false">IF(C1136="","",LEFT(C1136,FIND(" ",C1136&amp;" ")-1))</f>
        <v/>
      </c>
      <c r="G1136" s="0" t="n">
        <f aca="false">IFERROR(VALUE(SUBSTITUTE(LOWER(F1136),"x","")),0)</f>
        <v>0</v>
      </c>
      <c r="H1136" s="0" t="str">
        <f aca="false">IF(C1136="","",TRIM(MID(C1136,LEN(F1136)+2,999)))</f>
        <v/>
      </c>
      <c r="I1136" s="0" t="n">
        <f aca="false">IF(OR(C1136="",LEFT(C1136,2)="//"),0,IFERROR(IF(AND(G1136&gt;0,G1136=INT(G1136),FIND("-",E1136)&gt;1,NOT(EXACT(UPPER(LEFT(E1136,1)),LOWER(LEFT(E1136,1)))),ISNUMBER(VALUE(MID(E1136,FIND("-",E1136)+1,10)))),1,0),0))</f>
        <v>0</v>
      </c>
      <c r="J1136" s="0" t="str">
        <f aca="false">IF(I1136=1,TRIM(LEFT(H1136,MAX(0,LEN(H1136)-LEN(D1136)))),"")</f>
        <v/>
      </c>
      <c r="K1136" s="0" t="str">
        <f aca="false">INDEX($P$2:$P$21,A1136)</f>
        <v>Deck 19</v>
      </c>
      <c r="L1136" s="0" t="n">
        <f aca="false">IF(AND(C1136&lt;&gt;"",LEFT(C1136,2)&lt;&gt;"//",I1136=0),1,0)</f>
        <v>0</v>
      </c>
      <c r="M1136" s="0" t="str">
        <f aca="false">IF(I1136=1,MAX(M$1:M1135)+1,"")</f>
        <v/>
      </c>
      <c r="N1136" s="0" t="str">
        <f aca="false">IFERROR(MATCH(ROW()-1,$V$2:$V$1201,0),"")</f>
        <v/>
      </c>
      <c r="R1136" s="0" t="str">
        <f aca="false">IF(E1136="","",IFERROR(LEFT(E1136,FIND("-",E1136)-1),E1136))</f>
        <v/>
      </c>
      <c r="S1136" s="0" t="str">
        <f aca="false">IF(R1136="","",IF(ISNUMBER(--MID(R1136,1,1)),0,IF(ISNUMBER(--MID(R1136,2,1)),1,IF(ISNUMBER(--MID(R1136,3,1)),2,IF(ISNUMBER(--MID(R1136,4,1)),3,MIN(LEN(R1136),4))))))</f>
        <v/>
      </c>
      <c r="T1136" s="0" t="str">
        <f aca="false">IF(E1136="","",LEFT(R1136,S1136)&amp;REPT("0",4-S1136)&amp;RIGHT("000"&amp;IFERROR(VALUE(MID(R1136,S1136+1,9)),0),3)&amp;RIGHT("0000"&amp;IFERROR(VALUE(MID(E1136,FIND("-",E1136)+1,9)),0),4))</f>
        <v/>
      </c>
      <c r="U1136" s="0" t="str">
        <f aca="false">IF(I1136=1,"K"&amp;RIGHT("00"&amp;A1136,2)&amp;T1136&amp;RIGHT("00000"&amp;ROW(),5),"")</f>
        <v/>
      </c>
      <c r="V1136" s="0" t="str">
        <f aca="false">IF(U1136="","",COUNTIFS($I$2:$I$1201,1,$U$2:$U$1201,"&lt;"&amp;U1136)+1)</f>
        <v/>
      </c>
    </row>
    <row r="1137" customFormat="false" ht="15" hidden="false" customHeight="false" outlineLevel="0" collapsed="false">
      <c r="A1137" s="0" t="n">
        <v>19</v>
      </c>
      <c r="B1137" s="0" t="n">
        <v>56</v>
      </c>
      <c r="C1137" s="0" t="str">
        <f aca="false">TRIM(SUBSTITUTE(INDEX(LISTAS!$A$4:$T$63,B1137,A1137)&amp;"",CHAR(160)," "))</f>
        <v/>
      </c>
      <c r="D1137" s="0" t="str">
        <f aca="false">IF(C1137="","",TRIM(RIGHT(SUBSTITUTE(C1137," ",REPT(" ",100)),100)))</f>
        <v/>
      </c>
      <c r="E1137" s="0" t="str">
        <f aca="false">IF(D1137="","",UPPER(SUBSTITUTE(SUBSTITUTE(D1137,"(",""),")","")))</f>
        <v/>
      </c>
      <c r="F1137" s="0" t="str">
        <f aca="false">IF(C1137="","",LEFT(C1137,FIND(" ",C1137&amp;" ")-1))</f>
        <v/>
      </c>
      <c r="G1137" s="0" t="n">
        <f aca="false">IFERROR(VALUE(SUBSTITUTE(LOWER(F1137),"x","")),0)</f>
        <v>0</v>
      </c>
      <c r="H1137" s="0" t="str">
        <f aca="false">IF(C1137="","",TRIM(MID(C1137,LEN(F1137)+2,999)))</f>
        <v/>
      </c>
      <c r="I1137" s="0" t="n">
        <f aca="false">IF(OR(C1137="",LEFT(C1137,2)="//"),0,IFERROR(IF(AND(G1137&gt;0,G1137=INT(G1137),FIND("-",E1137)&gt;1,NOT(EXACT(UPPER(LEFT(E1137,1)),LOWER(LEFT(E1137,1)))),ISNUMBER(VALUE(MID(E1137,FIND("-",E1137)+1,10)))),1,0),0))</f>
        <v>0</v>
      </c>
      <c r="J1137" s="0" t="str">
        <f aca="false">IF(I1137=1,TRIM(LEFT(H1137,MAX(0,LEN(H1137)-LEN(D1137)))),"")</f>
        <v/>
      </c>
      <c r="K1137" s="0" t="str">
        <f aca="false">INDEX($P$2:$P$21,A1137)</f>
        <v>Deck 19</v>
      </c>
      <c r="L1137" s="0" t="n">
        <f aca="false">IF(AND(C1137&lt;&gt;"",LEFT(C1137,2)&lt;&gt;"//",I1137=0),1,0)</f>
        <v>0</v>
      </c>
      <c r="M1137" s="0" t="str">
        <f aca="false">IF(I1137=1,MAX(M$1:M1136)+1,"")</f>
        <v/>
      </c>
      <c r="N1137" s="0" t="str">
        <f aca="false">IFERROR(MATCH(ROW()-1,$V$2:$V$1201,0),"")</f>
        <v/>
      </c>
      <c r="R1137" s="0" t="str">
        <f aca="false">IF(E1137="","",IFERROR(LEFT(E1137,FIND("-",E1137)-1),E1137))</f>
        <v/>
      </c>
      <c r="S1137" s="0" t="str">
        <f aca="false">IF(R1137="","",IF(ISNUMBER(--MID(R1137,1,1)),0,IF(ISNUMBER(--MID(R1137,2,1)),1,IF(ISNUMBER(--MID(R1137,3,1)),2,IF(ISNUMBER(--MID(R1137,4,1)),3,MIN(LEN(R1137),4))))))</f>
        <v/>
      </c>
      <c r="T1137" s="0" t="str">
        <f aca="false">IF(E1137="","",LEFT(R1137,S1137)&amp;REPT("0",4-S1137)&amp;RIGHT("000"&amp;IFERROR(VALUE(MID(R1137,S1137+1,9)),0),3)&amp;RIGHT("0000"&amp;IFERROR(VALUE(MID(E1137,FIND("-",E1137)+1,9)),0),4))</f>
        <v/>
      </c>
      <c r="U1137" s="0" t="str">
        <f aca="false">IF(I1137=1,"K"&amp;RIGHT("00"&amp;A1137,2)&amp;T1137&amp;RIGHT("00000"&amp;ROW(),5),"")</f>
        <v/>
      </c>
      <c r="V1137" s="0" t="str">
        <f aca="false">IF(U1137="","",COUNTIFS($I$2:$I$1201,1,$U$2:$U$1201,"&lt;"&amp;U1137)+1)</f>
        <v/>
      </c>
    </row>
    <row r="1138" customFormat="false" ht="15" hidden="false" customHeight="false" outlineLevel="0" collapsed="false">
      <c r="A1138" s="0" t="n">
        <v>19</v>
      </c>
      <c r="B1138" s="0" t="n">
        <v>57</v>
      </c>
      <c r="C1138" s="0" t="str">
        <f aca="false">TRIM(SUBSTITUTE(INDEX(LISTAS!$A$4:$T$63,B1138,A1138)&amp;"",CHAR(160)," "))</f>
        <v/>
      </c>
      <c r="D1138" s="0" t="str">
        <f aca="false">IF(C1138="","",TRIM(RIGHT(SUBSTITUTE(C1138," ",REPT(" ",100)),100)))</f>
        <v/>
      </c>
      <c r="E1138" s="0" t="str">
        <f aca="false">IF(D1138="","",UPPER(SUBSTITUTE(SUBSTITUTE(D1138,"(",""),")","")))</f>
        <v/>
      </c>
      <c r="F1138" s="0" t="str">
        <f aca="false">IF(C1138="","",LEFT(C1138,FIND(" ",C1138&amp;" ")-1))</f>
        <v/>
      </c>
      <c r="G1138" s="0" t="n">
        <f aca="false">IFERROR(VALUE(SUBSTITUTE(LOWER(F1138),"x","")),0)</f>
        <v>0</v>
      </c>
      <c r="H1138" s="0" t="str">
        <f aca="false">IF(C1138="","",TRIM(MID(C1138,LEN(F1138)+2,999)))</f>
        <v/>
      </c>
      <c r="I1138" s="0" t="n">
        <f aca="false">IF(OR(C1138="",LEFT(C1138,2)="//"),0,IFERROR(IF(AND(G1138&gt;0,G1138=INT(G1138),FIND("-",E1138)&gt;1,NOT(EXACT(UPPER(LEFT(E1138,1)),LOWER(LEFT(E1138,1)))),ISNUMBER(VALUE(MID(E1138,FIND("-",E1138)+1,10)))),1,0),0))</f>
        <v>0</v>
      </c>
      <c r="J1138" s="0" t="str">
        <f aca="false">IF(I1138=1,TRIM(LEFT(H1138,MAX(0,LEN(H1138)-LEN(D1138)))),"")</f>
        <v/>
      </c>
      <c r="K1138" s="0" t="str">
        <f aca="false">INDEX($P$2:$P$21,A1138)</f>
        <v>Deck 19</v>
      </c>
      <c r="L1138" s="0" t="n">
        <f aca="false">IF(AND(C1138&lt;&gt;"",LEFT(C1138,2)&lt;&gt;"//",I1138=0),1,0)</f>
        <v>0</v>
      </c>
      <c r="M1138" s="0" t="str">
        <f aca="false">IF(I1138=1,MAX(M$1:M1137)+1,"")</f>
        <v/>
      </c>
      <c r="N1138" s="0" t="str">
        <f aca="false">IFERROR(MATCH(ROW()-1,$V$2:$V$1201,0),"")</f>
        <v/>
      </c>
      <c r="R1138" s="0" t="str">
        <f aca="false">IF(E1138="","",IFERROR(LEFT(E1138,FIND("-",E1138)-1),E1138))</f>
        <v/>
      </c>
      <c r="S1138" s="0" t="str">
        <f aca="false">IF(R1138="","",IF(ISNUMBER(--MID(R1138,1,1)),0,IF(ISNUMBER(--MID(R1138,2,1)),1,IF(ISNUMBER(--MID(R1138,3,1)),2,IF(ISNUMBER(--MID(R1138,4,1)),3,MIN(LEN(R1138),4))))))</f>
        <v/>
      </c>
      <c r="T1138" s="0" t="str">
        <f aca="false">IF(E1138="","",LEFT(R1138,S1138)&amp;REPT("0",4-S1138)&amp;RIGHT("000"&amp;IFERROR(VALUE(MID(R1138,S1138+1,9)),0),3)&amp;RIGHT("0000"&amp;IFERROR(VALUE(MID(E1138,FIND("-",E1138)+1,9)),0),4))</f>
        <v/>
      </c>
      <c r="U1138" s="0" t="str">
        <f aca="false">IF(I1138=1,"K"&amp;RIGHT("00"&amp;A1138,2)&amp;T1138&amp;RIGHT("00000"&amp;ROW(),5),"")</f>
        <v/>
      </c>
      <c r="V1138" s="0" t="str">
        <f aca="false">IF(U1138="","",COUNTIFS($I$2:$I$1201,1,$U$2:$U$1201,"&lt;"&amp;U1138)+1)</f>
        <v/>
      </c>
    </row>
    <row r="1139" customFormat="false" ht="15" hidden="false" customHeight="false" outlineLevel="0" collapsed="false">
      <c r="A1139" s="0" t="n">
        <v>19</v>
      </c>
      <c r="B1139" s="0" t="n">
        <v>58</v>
      </c>
      <c r="C1139" s="0" t="str">
        <f aca="false">TRIM(SUBSTITUTE(INDEX(LISTAS!$A$4:$T$63,B1139,A1139)&amp;"",CHAR(160)," "))</f>
        <v/>
      </c>
      <c r="D1139" s="0" t="str">
        <f aca="false">IF(C1139="","",TRIM(RIGHT(SUBSTITUTE(C1139," ",REPT(" ",100)),100)))</f>
        <v/>
      </c>
      <c r="E1139" s="0" t="str">
        <f aca="false">IF(D1139="","",UPPER(SUBSTITUTE(SUBSTITUTE(D1139,"(",""),")","")))</f>
        <v/>
      </c>
      <c r="F1139" s="0" t="str">
        <f aca="false">IF(C1139="","",LEFT(C1139,FIND(" ",C1139&amp;" ")-1))</f>
        <v/>
      </c>
      <c r="G1139" s="0" t="n">
        <f aca="false">IFERROR(VALUE(SUBSTITUTE(LOWER(F1139),"x","")),0)</f>
        <v>0</v>
      </c>
      <c r="H1139" s="0" t="str">
        <f aca="false">IF(C1139="","",TRIM(MID(C1139,LEN(F1139)+2,999)))</f>
        <v/>
      </c>
      <c r="I1139" s="0" t="n">
        <f aca="false">IF(OR(C1139="",LEFT(C1139,2)="//"),0,IFERROR(IF(AND(G1139&gt;0,G1139=INT(G1139),FIND("-",E1139)&gt;1,NOT(EXACT(UPPER(LEFT(E1139,1)),LOWER(LEFT(E1139,1)))),ISNUMBER(VALUE(MID(E1139,FIND("-",E1139)+1,10)))),1,0),0))</f>
        <v>0</v>
      </c>
      <c r="J1139" s="0" t="str">
        <f aca="false">IF(I1139=1,TRIM(LEFT(H1139,MAX(0,LEN(H1139)-LEN(D1139)))),"")</f>
        <v/>
      </c>
      <c r="K1139" s="0" t="str">
        <f aca="false">INDEX($P$2:$P$21,A1139)</f>
        <v>Deck 19</v>
      </c>
      <c r="L1139" s="0" t="n">
        <f aca="false">IF(AND(C1139&lt;&gt;"",LEFT(C1139,2)&lt;&gt;"//",I1139=0),1,0)</f>
        <v>0</v>
      </c>
      <c r="M1139" s="0" t="str">
        <f aca="false">IF(I1139=1,MAX(M$1:M1138)+1,"")</f>
        <v/>
      </c>
      <c r="N1139" s="0" t="str">
        <f aca="false">IFERROR(MATCH(ROW()-1,$V$2:$V$1201,0),"")</f>
        <v/>
      </c>
      <c r="R1139" s="0" t="str">
        <f aca="false">IF(E1139="","",IFERROR(LEFT(E1139,FIND("-",E1139)-1),E1139))</f>
        <v/>
      </c>
      <c r="S1139" s="0" t="str">
        <f aca="false">IF(R1139="","",IF(ISNUMBER(--MID(R1139,1,1)),0,IF(ISNUMBER(--MID(R1139,2,1)),1,IF(ISNUMBER(--MID(R1139,3,1)),2,IF(ISNUMBER(--MID(R1139,4,1)),3,MIN(LEN(R1139),4))))))</f>
        <v/>
      </c>
      <c r="T1139" s="0" t="str">
        <f aca="false">IF(E1139="","",LEFT(R1139,S1139)&amp;REPT("0",4-S1139)&amp;RIGHT("000"&amp;IFERROR(VALUE(MID(R1139,S1139+1,9)),0),3)&amp;RIGHT("0000"&amp;IFERROR(VALUE(MID(E1139,FIND("-",E1139)+1,9)),0),4))</f>
        <v/>
      </c>
      <c r="U1139" s="0" t="str">
        <f aca="false">IF(I1139=1,"K"&amp;RIGHT("00"&amp;A1139,2)&amp;T1139&amp;RIGHT("00000"&amp;ROW(),5),"")</f>
        <v/>
      </c>
      <c r="V1139" s="0" t="str">
        <f aca="false">IF(U1139="","",COUNTIFS($I$2:$I$1201,1,$U$2:$U$1201,"&lt;"&amp;U1139)+1)</f>
        <v/>
      </c>
    </row>
    <row r="1140" customFormat="false" ht="15" hidden="false" customHeight="false" outlineLevel="0" collapsed="false">
      <c r="A1140" s="0" t="n">
        <v>19</v>
      </c>
      <c r="B1140" s="0" t="n">
        <v>59</v>
      </c>
      <c r="C1140" s="0" t="str">
        <f aca="false">TRIM(SUBSTITUTE(INDEX(LISTAS!$A$4:$T$63,B1140,A1140)&amp;"",CHAR(160)," "))</f>
        <v/>
      </c>
      <c r="D1140" s="0" t="str">
        <f aca="false">IF(C1140="","",TRIM(RIGHT(SUBSTITUTE(C1140," ",REPT(" ",100)),100)))</f>
        <v/>
      </c>
      <c r="E1140" s="0" t="str">
        <f aca="false">IF(D1140="","",UPPER(SUBSTITUTE(SUBSTITUTE(D1140,"(",""),")","")))</f>
        <v/>
      </c>
      <c r="F1140" s="0" t="str">
        <f aca="false">IF(C1140="","",LEFT(C1140,FIND(" ",C1140&amp;" ")-1))</f>
        <v/>
      </c>
      <c r="G1140" s="0" t="n">
        <f aca="false">IFERROR(VALUE(SUBSTITUTE(LOWER(F1140),"x","")),0)</f>
        <v>0</v>
      </c>
      <c r="H1140" s="0" t="str">
        <f aca="false">IF(C1140="","",TRIM(MID(C1140,LEN(F1140)+2,999)))</f>
        <v/>
      </c>
      <c r="I1140" s="0" t="n">
        <f aca="false">IF(OR(C1140="",LEFT(C1140,2)="//"),0,IFERROR(IF(AND(G1140&gt;0,G1140=INT(G1140),FIND("-",E1140)&gt;1,NOT(EXACT(UPPER(LEFT(E1140,1)),LOWER(LEFT(E1140,1)))),ISNUMBER(VALUE(MID(E1140,FIND("-",E1140)+1,10)))),1,0),0))</f>
        <v>0</v>
      </c>
      <c r="J1140" s="0" t="str">
        <f aca="false">IF(I1140=1,TRIM(LEFT(H1140,MAX(0,LEN(H1140)-LEN(D1140)))),"")</f>
        <v/>
      </c>
      <c r="K1140" s="0" t="str">
        <f aca="false">INDEX($P$2:$P$21,A1140)</f>
        <v>Deck 19</v>
      </c>
      <c r="L1140" s="0" t="n">
        <f aca="false">IF(AND(C1140&lt;&gt;"",LEFT(C1140,2)&lt;&gt;"//",I1140=0),1,0)</f>
        <v>0</v>
      </c>
      <c r="M1140" s="0" t="str">
        <f aca="false">IF(I1140=1,MAX(M$1:M1139)+1,"")</f>
        <v/>
      </c>
      <c r="N1140" s="0" t="str">
        <f aca="false">IFERROR(MATCH(ROW()-1,$V$2:$V$1201,0),"")</f>
        <v/>
      </c>
      <c r="R1140" s="0" t="str">
        <f aca="false">IF(E1140="","",IFERROR(LEFT(E1140,FIND("-",E1140)-1),E1140))</f>
        <v/>
      </c>
      <c r="S1140" s="0" t="str">
        <f aca="false">IF(R1140="","",IF(ISNUMBER(--MID(R1140,1,1)),0,IF(ISNUMBER(--MID(R1140,2,1)),1,IF(ISNUMBER(--MID(R1140,3,1)),2,IF(ISNUMBER(--MID(R1140,4,1)),3,MIN(LEN(R1140),4))))))</f>
        <v/>
      </c>
      <c r="T1140" s="0" t="str">
        <f aca="false">IF(E1140="","",LEFT(R1140,S1140)&amp;REPT("0",4-S1140)&amp;RIGHT("000"&amp;IFERROR(VALUE(MID(R1140,S1140+1,9)),0),3)&amp;RIGHT("0000"&amp;IFERROR(VALUE(MID(E1140,FIND("-",E1140)+1,9)),0),4))</f>
        <v/>
      </c>
      <c r="U1140" s="0" t="str">
        <f aca="false">IF(I1140=1,"K"&amp;RIGHT("00"&amp;A1140,2)&amp;T1140&amp;RIGHT("00000"&amp;ROW(),5),"")</f>
        <v/>
      </c>
      <c r="V1140" s="0" t="str">
        <f aca="false">IF(U1140="","",COUNTIFS($I$2:$I$1201,1,$U$2:$U$1201,"&lt;"&amp;U1140)+1)</f>
        <v/>
      </c>
    </row>
    <row r="1141" customFormat="false" ht="15" hidden="false" customHeight="false" outlineLevel="0" collapsed="false">
      <c r="A1141" s="0" t="n">
        <v>19</v>
      </c>
      <c r="B1141" s="0" t="n">
        <v>60</v>
      </c>
      <c r="C1141" s="0" t="str">
        <f aca="false">TRIM(SUBSTITUTE(INDEX(LISTAS!$A$4:$T$63,B1141,A1141)&amp;"",CHAR(160)," "))</f>
        <v/>
      </c>
      <c r="D1141" s="0" t="str">
        <f aca="false">IF(C1141="","",TRIM(RIGHT(SUBSTITUTE(C1141," ",REPT(" ",100)),100)))</f>
        <v/>
      </c>
      <c r="E1141" s="0" t="str">
        <f aca="false">IF(D1141="","",UPPER(SUBSTITUTE(SUBSTITUTE(D1141,"(",""),")","")))</f>
        <v/>
      </c>
      <c r="F1141" s="0" t="str">
        <f aca="false">IF(C1141="","",LEFT(C1141,FIND(" ",C1141&amp;" ")-1))</f>
        <v/>
      </c>
      <c r="G1141" s="0" t="n">
        <f aca="false">IFERROR(VALUE(SUBSTITUTE(LOWER(F1141),"x","")),0)</f>
        <v>0</v>
      </c>
      <c r="H1141" s="0" t="str">
        <f aca="false">IF(C1141="","",TRIM(MID(C1141,LEN(F1141)+2,999)))</f>
        <v/>
      </c>
      <c r="I1141" s="0" t="n">
        <f aca="false">IF(OR(C1141="",LEFT(C1141,2)="//"),0,IFERROR(IF(AND(G1141&gt;0,G1141=INT(G1141),FIND("-",E1141)&gt;1,NOT(EXACT(UPPER(LEFT(E1141,1)),LOWER(LEFT(E1141,1)))),ISNUMBER(VALUE(MID(E1141,FIND("-",E1141)+1,10)))),1,0),0))</f>
        <v>0</v>
      </c>
      <c r="J1141" s="0" t="str">
        <f aca="false">IF(I1141=1,TRIM(LEFT(H1141,MAX(0,LEN(H1141)-LEN(D1141)))),"")</f>
        <v/>
      </c>
      <c r="K1141" s="0" t="str">
        <f aca="false">INDEX($P$2:$P$21,A1141)</f>
        <v>Deck 19</v>
      </c>
      <c r="L1141" s="0" t="n">
        <f aca="false">IF(AND(C1141&lt;&gt;"",LEFT(C1141,2)&lt;&gt;"//",I1141=0),1,0)</f>
        <v>0</v>
      </c>
      <c r="M1141" s="0" t="str">
        <f aca="false">IF(I1141=1,MAX(M$1:M1140)+1,"")</f>
        <v/>
      </c>
      <c r="N1141" s="0" t="str">
        <f aca="false">IFERROR(MATCH(ROW()-1,$V$2:$V$1201,0),"")</f>
        <v/>
      </c>
      <c r="R1141" s="0" t="str">
        <f aca="false">IF(E1141="","",IFERROR(LEFT(E1141,FIND("-",E1141)-1),E1141))</f>
        <v/>
      </c>
      <c r="S1141" s="0" t="str">
        <f aca="false">IF(R1141="","",IF(ISNUMBER(--MID(R1141,1,1)),0,IF(ISNUMBER(--MID(R1141,2,1)),1,IF(ISNUMBER(--MID(R1141,3,1)),2,IF(ISNUMBER(--MID(R1141,4,1)),3,MIN(LEN(R1141),4))))))</f>
        <v/>
      </c>
      <c r="T1141" s="0" t="str">
        <f aca="false">IF(E1141="","",LEFT(R1141,S1141)&amp;REPT("0",4-S1141)&amp;RIGHT("000"&amp;IFERROR(VALUE(MID(R1141,S1141+1,9)),0),3)&amp;RIGHT("0000"&amp;IFERROR(VALUE(MID(E1141,FIND("-",E1141)+1,9)),0),4))</f>
        <v/>
      </c>
      <c r="U1141" s="0" t="str">
        <f aca="false">IF(I1141=1,"K"&amp;RIGHT("00"&amp;A1141,2)&amp;T1141&amp;RIGHT("00000"&amp;ROW(),5),"")</f>
        <v/>
      </c>
      <c r="V1141" s="0" t="str">
        <f aca="false">IF(U1141="","",COUNTIFS($I$2:$I$1201,1,$U$2:$U$1201,"&lt;"&amp;U1141)+1)</f>
        <v/>
      </c>
    </row>
    <row r="1142" customFormat="false" ht="15" hidden="false" customHeight="false" outlineLevel="0" collapsed="false">
      <c r="A1142" s="0" t="n">
        <v>20</v>
      </c>
      <c r="B1142" s="0" t="n">
        <v>1</v>
      </c>
      <c r="C1142" s="0" t="str">
        <f aca="false">TRIM(SUBSTITUTE(INDEX(LISTAS!$A$4:$T$63,B1142,A1142)&amp;"",CHAR(160)," "))</f>
        <v/>
      </c>
      <c r="D1142" s="0" t="str">
        <f aca="false">IF(C1142="","",TRIM(RIGHT(SUBSTITUTE(C1142," ",REPT(" ",100)),100)))</f>
        <v/>
      </c>
      <c r="E1142" s="0" t="str">
        <f aca="false">IF(D1142="","",UPPER(SUBSTITUTE(SUBSTITUTE(D1142,"(",""),")","")))</f>
        <v/>
      </c>
      <c r="F1142" s="0" t="str">
        <f aca="false">IF(C1142="","",LEFT(C1142,FIND(" ",C1142&amp;" ")-1))</f>
        <v/>
      </c>
      <c r="G1142" s="0" t="n">
        <f aca="false">IFERROR(VALUE(SUBSTITUTE(LOWER(F1142),"x","")),0)</f>
        <v>0</v>
      </c>
      <c r="H1142" s="0" t="str">
        <f aca="false">IF(C1142="","",TRIM(MID(C1142,LEN(F1142)+2,999)))</f>
        <v/>
      </c>
      <c r="I1142" s="0" t="n">
        <f aca="false">IF(OR(C1142="",LEFT(C1142,2)="//"),0,IFERROR(IF(AND(G1142&gt;0,G1142=INT(G1142),FIND("-",E1142)&gt;1,NOT(EXACT(UPPER(LEFT(E1142,1)),LOWER(LEFT(E1142,1)))),ISNUMBER(VALUE(MID(E1142,FIND("-",E1142)+1,10)))),1,0),0))</f>
        <v>0</v>
      </c>
      <c r="J1142" s="0" t="str">
        <f aca="false">IF(I1142=1,TRIM(LEFT(H1142,MAX(0,LEN(H1142)-LEN(D1142)))),"")</f>
        <v/>
      </c>
      <c r="K1142" s="0" t="str">
        <f aca="false">INDEX($P$2:$P$21,A1142)</f>
        <v>Deck 20</v>
      </c>
      <c r="L1142" s="0" t="n">
        <f aca="false">IF(AND(C1142&lt;&gt;"",LEFT(C1142,2)&lt;&gt;"//",I1142=0),1,0)</f>
        <v>0</v>
      </c>
      <c r="M1142" s="0" t="str">
        <f aca="false">IF(I1142=1,MAX(M$1:M1141)+1,"")</f>
        <v/>
      </c>
      <c r="N1142" s="0" t="str">
        <f aca="false">IFERROR(MATCH(ROW()-1,$V$2:$V$1201,0),"")</f>
        <v/>
      </c>
      <c r="R1142" s="0" t="str">
        <f aca="false">IF(E1142="","",IFERROR(LEFT(E1142,FIND("-",E1142)-1),E1142))</f>
        <v/>
      </c>
      <c r="S1142" s="0" t="str">
        <f aca="false">IF(R1142="","",IF(ISNUMBER(--MID(R1142,1,1)),0,IF(ISNUMBER(--MID(R1142,2,1)),1,IF(ISNUMBER(--MID(R1142,3,1)),2,IF(ISNUMBER(--MID(R1142,4,1)),3,MIN(LEN(R1142),4))))))</f>
        <v/>
      </c>
      <c r="T1142" s="0" t="str">
        <f aca="false">IF(E1142="","",LEFT(R1142,S1142)&amp;REPT("0",4-S1142)&amp;RIGHT("000"&amp;IFERROR(VALUE(MID(R1142,S1142+1,9)),0),3)&amp;RIGHT("0000"&amp;IFERROR(VALUE(MID(E1142,FIND("-",E1142)+1,9)),0),4))</f>
        <v/>
      </c>
      <c r="U1142" s="0" t="str">
        <f aca="false">IF(I1142=1,"K"&amp;RIGHT("00"&amp;A1142,2)&amp;T1142&amp;RIGHT("00000"&amp;ROW(),5),"")</f>
        <v/>
      </c>
      <c r="V1142" s="0" t="str">
        <f aca="false">IF(U1142="","",COUNTIFS($I$2:$I$1201,1,$U$2:$U$1201,"&lt;"&amp;U1142)+1)</f>
        <v/>
      </c>
    </row>
    <row r="1143" customFormat="false" ht="15" hidden="false" customHeight="false" outlineLevel="0" collapsed="false">
      <c r="A1143" s="0" t="n">
        <v>20</v>
      </c>
      <c r="B1143" s="0" t="n">
        <v>2</v>
      </c>
      <c r="C1143" s="0" t="str">
        <f aca="false">TRIM(SUBSTITUTE(INDEX(LISTAS!$A$4:$T$63,B1143,A1143)&amp;"",CHAR(160)," "))</f>
        <v/>
      </c>
      <c r="D1143" s="0" t="str">
        <f aca="false">IF(C1143="","",TRIM(RIGHT(SUBSTITUTE(C1143," ",REPT(" ",100)),100)))</f>
        <v/>
      </c>
      <c r="E1143" s="0" t="str">
        <f aca="false">IF(D1143="","",UPPER(SUBSTITUTE(SUBSTITUTE(D1143,"(",""),")","")))</f>
        <v/>
      </c>
      <c r="F1143" s="0" t="str">
        <f aca="false">IF(C1143="","",LEFT(C1143,FIND(" ",C1143&amp;" ")-1))</f>
        <v/>
      </c>
      <c r="G1143" s="0" t="n">
        <f aca="false">IFERROR(VALUE(SUBSTITUTE(LOWER(F1143),"x","")),0)</f>
        <v>0</v>
      </c>
      <c r="H1143" s="0" t="str">
        <f aca="false">IF(C1143="","",TRIM(MID(C1143,LEN(F1143)+2,999)))</f>
        <v/>
      </c>
      <c r="I1143" s="0" t="n">
        <f aca="false">IF(OR(C1143="",LEFT(C1143,2)="//"),0,IFERROR(IF(AND(G1143&gt;0,G1143=INT(G1143),FIND("-",E1143)&gt;1,NOT(EXACT(UPPER(LEFT(E1143,1)),LOWER(LEFT(E1143,1)))),ISNUMBER(VALUE(MID(E1143,FIND("-",E1143)+1,10)))),1,0),0))</f>
        <v>0</v>
      </c>
      <c r="J1143" s="0" t="str">
        <f aca="false">IF(I1143=1,TRIM(LEFT(H1143,MAX(0,LEN(H1143)-LEN(D1143)))),"")</f>
        <v/>
      </c>
      <c r="K1143" s="0" t="str">
        <f aca="false">INDEX($P$2:$P$21,A1143)</f>
        <v>Deck 20</v>
      </c>
      <c r="L1143" s="0" t="n">
        <f aca="false">IF(AND(C1143&lt;&gt;"",LEFT(C1143,2)&lt;&gt;"//",I1143=0),1,0)</f>
        <v>0</v>
      </c>
      <c r="M1143" s="0" t="str">
        <f aca="false">IF(I1143=1,MAX(M$1:M1142)+1,"")</f>
        <v/>
      </c>
      <c r="N1143" s="0" t="str">
        <f aca="false">IFERROR(MATCH(ROW()-1,$V$2:$V$1201,0),"")</f>
        <v/>
      </c>
      <c r="R1143" s="0" t="str">
        <f aca="false">IF(E1143="","",IFERROR(LEFT(E1143,FIND("-",E1143)-1),E1143))</f>
        <v/>
      </c>
      <c r="S1143" s="0" t="str">
        <f aca="false">IF(R1143="","",IF(ISNUMBER(--MID(R1143,1,1)),0,IF(ISNUMBER(--MID(R1143,2,1)),1,IF(ISNUMBER(--MID(R1143,3,1)),2,IF(ISNUMBER(--MID(R1143,4,1)),3,MIN(LEN(R1143),4))))))</f>
        <v/>
      </c>
      <c r="T1143" s="0" t="str">
        <f aca="false">IF(E1143="","",LEFT(R1143,S1143)&amp;REPT("0",4-S1143)&amp;RIGHT("000"&amp;IFERROR(VALUE(MID(R1143,S1143+1,9)),0),3)&amp;RIGHT("0000"&amp;IFERROR(VALUE(MID(E1143,FIND("-",E1143)+1,9)),0),4))</f>
        <v/>
      </c>
      <c r="U1143" s="0" t="str">
        <f aca="false">IF(I1143=1,"K"&amp;RIGHT("00"&amp;A1143,2)&amp;T1143&amp;RIGHT("00000"&amp;ROW(),5),"")</f>
        <v/>
      </c>
      <c r="V1143" s="0" t="str">
        <f aca="false">IF(U1143="","",COUNTIFS($I$2:$I$1201,1,$U$2:$U$1201,"&lt;"&amp;U1143)+1)</f>
        <v/>
      </c>
    </row>
    <row r="1144" customFormat="false" ht="15" hidden="false" customHeight="false" outlineLevel="0" collapsed="false">
      <c r="A1144" s="0" t="n">
        <v>20</v>
      </c>
      <c r="B1144" s="0" t="n">
        <v>3</v>
      </c>
      <c r="C1144" s="0" t="str">
        <f aca="false">TRIM(SUBSTITUTE(INDEX(LISTAS!$A$4:$T$63,B1144,A1144)&amp;"",CHAR(160)," "))</f>
        <v/>
      </c>
      <c r="D1144" s="0" t="str">
        <f aca="false">IF(C1144="","",TRIM(RIGHT(SUBSTITUTE(C1144," ",REPT(" ",100)),100)))</f>
        <v/>
      </c>
      <c r="E1144" s="0" t="str">
        <f aca="false">IF(D1144="","",UPPER(SUBSTITUTE(SUBSTITUTE(D1144,"(",""),")","")))</f>
        <v/>
      </c>
      <c r="F1144" s="0" t="str">
        <f aca="false">IF(C1144="","",LEFT(C1144,FIND(" ",C1144&amp;" ")-1))</f>
        <v/>
      </c>
      <c r="G1144" s="0" t="n">
        <f aca="false">IFERROR(VALUE(SUBSTITUTE(LOWER(F1144),"x","")),0)</f>
        <v>0</v>
      </c>
      <c r="H1144" s="0" t="str">
        <f aca="false">IF(C1144="","",TRIM(MID(C1144,LEN(F1144)+2,999)))</f>
        <v/>
      </c>
      <c r="I1144" s="0" t="n">
        <f aca="false">IF(OR(C1144="",LEFT(C1144,2)="//"),0,IFERROR(IF(AND(G1144&gt;0,G1144=INT(G1144),FIND("-",E1144)&gt;1,NOT(EXACT(UPPER(LEFT(E1144,1)),LOWER(LEFT(E1144,1)))),ISNUMBER(VALUE(MID(E1144,FIND("-",E1144)+1,10)))),1,0),0))</f>
        <v>0</v>
      </c>
      <c r="J1144" s="0" t="str">
        <f aca="false">IF(I1144=1,TRIM(LEFT(H1144,MAX(0,LEN(H1144)-LEN(D1144)))),"")</f>
        <v/>
      </c>
      <c r="K1144" s="0" t="str">
        <f aca="false">INDEX($P$2:$P$21,A1144)</f>
        <v>Deck 20</v>
      </c>
      <c r="L1144" s="0" t="n">
        <f aca="false">IF(AND(C1144&lt;&gt;"",LEFT(C1144,2)&lt;&gt;"//",I1144=0),1,0)</f>
        <v>0</v>
      </c>
      <c r="M1144" s="0" t="str">
        <f aca="false">IF(I1144=1,MAX(M$1:M1143)+1,"")</f>
        <v/>
      </c>
      <c r="N1144" s="0" t="str">
        <f aca="false">IFERROR(MATCH(ROW()-1,$V$2:$V$1201,0),"")</f>
        <v/>
      </c>
      <c r="R1144" s="0" t="str">
        <f aca="false">IF(E1144="","",IFERROR(LEFT(E1144,FIND("-",E1144)-1),E1144))</f>
        <v/>
      </c>
      <c r="S1144" s="0" t="str">
        <f aca="false">IF(R1144="","",IF(ISNUMBER(--MID(R1144,1,1)),0,IF(ISNUMBER(--MID(R1144,2,1)),1,IF(ISNUMBER(--MID(R1144,3,1)),2,IF(ISNUMBER(--MID(R1144,4,1)),3,MIN(LEN(R1144),4))))))</f>
        <v/>
      </c>
      <c r="T1144" s="0" t="str">
        <f aca="false">IF(E1144="","",LEFT(R1144,S1144)&amp;REPT("0",4-S1144)&amp;RIGHT("000"&amp;IFERROR(VALUE(MID(R1144,S1144+1,9)),0),3)&amp;RIGHT("0000"&amp;IFERROR(VALUE(MID(E1144,FIND("-",E1144)+1,9)),0),4))</f>
        <v/>
      </c>
      <c r="U1144" s="0" t="str">
        <f aca="false">IF(I1144=1,"K"&amp;RIGHT("00"&amp;A1144,2)&amp;T1144&amp;RIGHT("00000"&amp;ROW(),5),"")</f>
        <v/>
      </c>
      <c r="V1144" s="0" t="str">
        <f aca="false">IF(U1144="","",COUNTIFS($I$2:$I$1201,1,$U$2:$U$1201,"&lt;"&amp;U1144)+1)</f>
        <v/>
      </c>
    </row>
    <row r="1145" customFormat="false" ht="15" hidden="false" customHeight="false" outlineLevel="0" collapsed="false">
      <c r="A1145" s="0" t="n">
        <v>20</v>
      </c>
      <c r="B1145" s="0" t="n">
        <v>4</v>
      </c>
      <c r="C1145" s="0" t="str">
        <f aca="false">TRIM(SUBSTITUTE(INDEX(LISTAS!$A$4:$T$63,B1145,A1145)&amp;"",CHAR(160)," "))</f>
        <v/>
      </c>
      <c r="D1145" s="0" t="str">
        <f aca="false">IF(C1145="","",TRIM(RIGHT(SUBSTITUTE(C1145," ",REPT(" ",100)),100)))</f>
        <v/>
      </c>
      <c r="E1145" s="0" t="str">
        <f aca="false">IF(D1145="","",UPPER(SUBSTITUTE(SUBSTITUTE(D1145,"(",""),")","")))</f>
        <v/>
      </c>
      <c r="F1145" s="0" t="str">
        <f aca="false">IF(C1145="","",LEFT(C1145,FIND(" ",C1145&amp;" ")-1))</f>
        <v/>
      </c>
      <c r="G1145" s="0" t="n">
        <f aca="false">IFERROR(VALUE(SUBSTITUTE(LOWER(F1145),"x","")),0)</f>
        <v>0</v>
      </c>
      <c r="H1145" s="0" t="str">
        <f aca="false">IF(C1145="","",TRIM(MID(C1145,LEN(F1145)+2,999)))</f>
        <v/>
      </c>
      <c r="I1145" s="0" t="n">
        <f aca="false">IF(OR(C1145="",LEFT(C1145,2)="//"),0,IFERROR(IF(AND(G1145&gt;0,G1145=INT(G1145),FIND("-",E1145)&gt;1,NOT(EXACT(UPPER(LEFT(E1145,1)),LOWER(LEFT(E1145,1)))),ISNUMBER(VALUE(MID(E1145,FIND("-",E1145)+1,10)))),1,0),0))</f>
        <v>0</v>
      </c>
      <c r="J1145" s="0" t="str">
        <f aca="false">IF(I1145=1,TRIM(LEFT(H1145,MAX(0,LEN(H1145)-LEN(D1145)))),"")</f>
        <v/>
      </c>
      <c r="K1145" s="0" t="str">
        <f aca="false">INDEX($P$2:$P$21,A1145)</f>
        <v>Deck 20</v>
      </c>
      <c r="L1145" s="0" t="n">
        <f aca="false">IF(AND(C1145&lt;&gt;"",LEFT(C1145,2)&lt;&gt;"//",I1145=0),1,0)</f>
        <v>0</v>
      </c>
      <c r="M1145" s="0" t="str">
        <f aca="false">IF(I1145=1,MAX(M$1:M1144)+1,"")</f>
        <v/>
      </c>
      <c r="N1145" s="0" t="str">
        <f aca="false">IFERROR(MATCH(ROW()-1,$V$2:$V$1201,0),"")</f>
        <v/>
      </c>
      <c r="R1145" s="0" t="str">
        <f aca="false">IF(E1145="","",IFERROR(LEFT(E1145,FIND("-",E1145)-1),E1145))</f>
        <v/>
      </c>
      <c r="S1145" s="0" t="str">
        <f aca="false">IF(R1145="","",IF(ISNUMBER(--MID(R1145,1,1)),0,IF(ISNUMBER(--MID(R1145,2,1)),1,IF(ISNUMBER(--MID(R1145,3,1)),2,IF(ISNUMBER(--MID(R1145,4,1)),3,MIN(LEN(R1145),4))))))</f>
        <v/>
      </c>
      <c r="T1145" s="0" t="str">
        <f aca="false">IF(E1145="","",LEFT(R1145,S1145)&amp;REPT("0",4-S1145)&amp;RIGHT("000"&amp;IFERROR(VALUE(MID(R1145,S1145+1,9)),0),3)&amp;RIGHT("0000"&amp;IFERROR(VALUE(MID(E1145,FIND("-",E1145)+1,9)),0),4))</f>
        <v/>
      </c>
      <c r="U1145" s="0" t="str">
        <f aca="false">IF(I1145=1,"K"&amp;RIGHT("00"&amp;A1145,2)&amp;T1145&amp;RIGHT("00000"&amp;ROW(),5),"")</f>
        <v/>
      </c>
      <c r="V1145" s="0" t="str">
        <f aca="false">IF(U1145="","",COUNTIFS($I$2:$I$1201,1,$U$2:$U$1201,"&lt;"&amp;U1145)+1)</f>
        <v/>
      </c>
    </row>
    <row r="1146" customFormat="false" ht="15" hidden="false" customHeight="false" outlineLevel="0" collapsed="false">
      <c r="A1146" s="0" t="n">
        <v>20</v>
      </c>
      <c r="B1146" s="0" t="n">
        <v>5</v>
      </c>
      <c r="C1146" s="0" t="str">
        <f aca="false">TRIM(SUBSTITUTE(INDEX(LISTAS!$A$4:$T$63,B1146,A1146)&amp;"",CHAR(160)," "))</f>
        <v/>
      </c>
      <c r="D1146" s="0" t="str">
        <f aca="false">IF(C1146="","",TRIM(RIGHT(SUBSTITUTE(C1146," ",REPT(" ",100)),100)))</f>
        <v/>
      </c>
      <c r="E1146" s="0" t="str">
        <f aca="false">IF(D1146="","",UPPER(SUBSTITUTE(SUBSTITUTE(D1146,"(",""),")","")))</f>
        <v/>
      </c>
      <c r="F1146" s="0" t="str">
        <f aca="false">IF(C1146="","",LEFT(C1146,FIND(" ",C1146&amp;" ")-1))</f>
        <v/>
      </c>
      <c r="G1146" s="0" t="n">
        <f aca="false">IFERROR(VALUE(SUBSTITUTE(LOWER(F1146),"x","")),0)</f>
        <v>0</v>
      </c>
      <c r="H1146" s="0" t="str">
        <f aca="false">IF(C1146="","",TRIM(MID(C1146,LEN(F1146)+2,999)))</f>
        <v/>
      </c>
      <c r="I1146" s="0" t="n">
        <f aca="false">IF(OR(C1146="",LEFT(C1146,2)="//"),0,IFERROR(IF(AND(G1146&gt;0,G1146=INT(G1146),FIND("-",E1146)&gt;1,NOT(EXACT(UPPER(LEFT(E1146,1)),LOWER(LEFT(E1146,1)))),ISNUMBER(VALUE(MID(E1146,FIND("-",E1146)+1,10)))),1,0),0))</f>
        <v>0</v>
      </c>
      <c r="J1146" s="0" t="str">
        <f aca="false">IF(I1146=1,TRIM(LEFT(H1146,MAX(0,LEN(H1146)-LEN(D1146)))),"")</f>
        <v/>
      </c>
      <c r="K1146" s="0" t="str">
        <f aca="false">INDEX($P$2:$P$21,A1146)</f>
        <v>Deck 20</v>
      </c>
      <c r="L1146" s="0" t="n">
        <f aca="false">IF(AND(C1146&lt;&gt;"",LEFT(C1146,2)&lt;&gt;"//",I1146=0),1,0)</f>
        <v>0</v>
      </c>
      <c r="M1146" s="0" t="str">
        <f aca="false">IF(I1146=1,MAX(M$1:M1145)+1,"")</f>
        <v/>
      </c>
      <c r="N1146" s="0" t="str">
        <f aca="false">IFERROR(MATCH(ROW()-1,$V$2:$V$1201,0),"")</f>
        <v/>
      </c>
      <c r="R1146" s="0" t="str">
        <f aca="false">IF(E1146="","",IFERROR(LEFT(E1146,FIND("-",E1146)-1),E1146))</f>
        <v/>
      </c>
      <c r="S1146" s="0" t="str">
        <f aca="false">IF(R1146="","",IF(ISNUMBER(--MID(R1146,1,1)),0,IF(ISNUMBER(--MID(R1146,2,1)),1,IF(ISNUMBER(--MID(R1146,3,1)),2,IF(ISNUMBER(--MID(R1146,4,1)),3,MIN(LEN(R1146),4))))))</f>
        <v/>
      </c>
      <c r="T1146" s="0" t="str">
        <f aca="false">IF(E1146="","",LEFT(R1146,S1146)&amp;REPT("0",4-S1146)&amp;RIGHT("000"&amp;IFERROR(VALUE(MID(R1146,S1146+1,9)),0),3)&amp;RIGHT("0000"&amp;IFERROR(VALUE(MID(E1146,FIND("-",E1146)+1,9)),0),4))</f>
        <v/>
      </c>
      <c r="U1146" s="0" t="str">
        <f aca="false">IF(I1146=1,"K"&amp;RIGHT("00"&amp;A1146,2)&amp;T1146&amp;RIGHT("00000"&amp;ROW(),5),"")</f>
        <v/>
      </c>
      <c r="V1146" s="0" t="str">
        <f aca="false">IF(U1146="","",COUNTIFS($I$2:$I$1201,1,$U$2:$U$1201,"&lt;"&amp;U1146)+1)</f>
        <v/>
      </c>
    </row>
    <row r="1147" customFormat="false" ht="15" hidden="false" customHeight="false" outlineLevel="0" collapsed="false">
      <c r="A1147" s="0" t="n">
        <v>20</v>
      </c>
      <c r="B1147" s="0" t="n">
        <v>6</v>
      </c>
      <c r="C1147" s="0" t="str">
        <f aca="false">TRIM(SUBSTITUTE(INDEX(LISTAS!$A$4:$T$63,B1147,A1147)&amp;"",CHAR(160)," "))</f>
        <v/>
      </c>
      <c r="D1147" s="0" t="str">
        <f aca="false">IF(C1147="","",TRIM(RIGHT(SUBSTITUTE(C1147," ",REPT(" ",100)),100)))</f>
        <v/>
      </c>
      <c r="E1147" s="0" t="str">
        <f aca="false">IF(D1147="","",UPPER(SUBSTITUTE(SUBSTITUTE(D1147,"(",""),")","")))</f>
        <v/>
      </c>
      <c r="F1147" s="0" t="str">
        <f aca="false">IF(C1147="","",LEFT(C1147,FIND(" ",C1147&amp;" ")-1))</f>
        <v/>
      </c>
      <c r="G1147" s="0" t="n">
        <f aca="false">IFERROR(VALUE(SUBSTITUTE(LOWER(F1147),"x","")),0)</f>
        <v>0</v>
      </c>
      <c r="H1147" s="0" t="str">
        <f aca="false">IF(C1147="","",TRIM(MID(C1147,LEN(F1147)+2,999)))</f>
        <v/>
      </c>
      <c r="I1147" s="0" t="n">
        <f aca="false">IF(OR(C1147="",LEFT(C1147,2)="//"),0,IFERROR(IF(AND(G1147&gt;0,G1147=INT(G1147),FIND("-",E1147)&gt;1,NOT(EXACT(UPPER(LEFT(E1147,1)),LOWER(LEFT(E1147,1)))),ISNUMBER(VALUE(MID(E1147,FIND("-",E1147)+1,10)))),1,0),0))</f>
        <v>0</v>
      </c>
      <c r="J1147" s="0" t="str">
        <f aca="false">IF(I1147=1,TRIM(LEFT(H1147,MAX(0,LEN(H1147)-LEN(D1147)))),"")</f>
        <v/>
      </c>
      <c r="K1147" s="0" t="str">
        <f aca="false">INDEX($P$2:$P$21,A1147)</f>
        <v>Deck 20</v>
      </c>
      <c r="L1147" s="0" t="n">
        <f aca="false">IF(AND(C1147&lt;&gt;"",LEFT(C1147,2)&lt;&gt;"//",I1147=0),1,0)</f>
        <v>0</v>
      </c>
      <c r="M1147" s="0" t="str">
        <f aca="false">IF(I1147=1,MAX(M$1:M1146)+1,"")</f>
        <v/>
      </c>
      <c r="N1147" s="0" t="str">
        <f aca="false">IFERROR(MATCH(ROW()-1,$V$2:$V$1201,0),"")</f>
        <v/>
      </c>
      <c r="R1147" s="0" t="str">
        <f aca="false">IF(E1147="","",IFERROR(LEFT(E1147,FIND("-",E1147)-1),E1147))</f>
        <v/>
      </c>
      <c r="S1147" s="0" t="str">
        <f aca="false">IF(R1147="","",IF(ISNUMBER(--MID(R1147,1,1)),0,IF(ISNUMBER(--MID(R1147,2,1)),1,IF(ISNUMBER(--MID(R1147,3,1)),2,IF(ISNUMBER(--MID(R1147,4,1)),3,MIN(LEN(R1147),4))))))</f>
        <v/>
      </c>
      <c r="T1147" s="0" t="str">
        <f aca="false">IF(E1147="","",LEFT(R1147,S1147)&amp;REPT("0",4-S1147)&amp;RIGHT("000"&amp;IFERROR(VALUE(MID(R1147,S1147+1,9)),0),3)&amp;RIGHT("0000"&amp;IFERROR(VALUE(MID(E1147,FIND("-",E1147)+1,9)),0),4))</f>
        <v/>
      </c>
      <c r="U1147" s="0" t="str">
        <f aca="false">IF(I1147=1,"K"&amp;RIGHT("00"&amp;A1147,2)&amp;T1147&amp;RIGHT("00000"&amp;ROW(),5),"")</f>
        <v/>
      </c>
      <c r="V1147" s="0" t="str">
        <f aca="false">IF(U1147="","",COUNTIFS($I$2:$I$1201,1,$U$2:$U$1201,"&lt;"&amp;U1147)+1)</f>
        <v/>
      </c>
    </row>
    <row r="1148" customFormat="false" ht="15" hidden="false" customHeight="false" outlineLevel="0" collapsed="false">
      <c r="A1148" s="0" t="n">
        <v>20</v>
      </c>
      <c r="B1148" s="0" t="n">
        <v>7</v>
      </c>
      <c r="C1148" s="0" t="str">
        <f aca="false">TRIM(SUBSTITUTE(INDEX(LISTAS!$A$4:$T$63,B1148,A1148)&amp;"",CHAR(160)," "))</f>
        <v/>
      </c>
      <c r="D1148" s="0" t="str">
        <f aca="false">IF(C1148="","",TRIM(RIGHT(SUBSTITUTE(C1148," ",REPT(" ",100)),100)))</f>
        <v/>
      </c>
      <c r="E1148" s="0" t="str">
        <f aca="false">IF(D1148="","",UPPER(SUBSTITUTE(SUBSTITUTE(D1148,"(",""),")","")))</f>
        <v/>
      </c>
      <c r="F1148" s="0" t="str">
        <f aca="false">IF(C1148="","",LEFT(C1148,FIND(" ",C1148&amp;" ")-1))</f>
        <v/>
      </c>
      <c r="G1148" s="0" t="n">
        <f aca="false">IFERROR(VALUE(SUBSTITUTE(LOWER(F1148),"x","")),0)</f>
        <v>0</v>
      </c>
      <c r="H1148" s="0" t="str">
        <f aca="false">IF(C1148="","",TRIM(MID(C1148,LEN(F1148)+2,999)))</f>
        <v/>
      </c>
      <c r="I1148" s="0" t="n">
        <f aca="false">IF(OR(C1148="",LEFT(C1148,2)="//"),0,IFERROR(IF(AND(G1148&gt;0,G1148=INT(G1148),FIND("-",E1148)&gt;1,NOT(EXACT(UPPER(LEFT(E1148,1)),LOWER(LEFT(E1148,1)))),ISNUMBER(VALUE(MID(E1148,FIND("-",E1148)+1,10)))),1,0),0))</f>
        <v>0</v>
      </c>
      <c r="J1148" s="0" t="str">
        <f aca="false">IF(I1148=1,TRIM(LEFT(H1148,MAX(0,LEN(H1148)-LEN(D1148)))),"")</f>
        <v/>
      </c>
      <c r="K1148" s="0" t="str">
        <f aca="false">INDEX($P$2:$P$21,A1148)</f>
        <v>Deck 20</v>
      </c>
      <c r="L1148" s="0" t="n">
        <f aca="false">IF(AND(C1148&lt;&gt;"",LEFT(C1148,2)&lt;&gt;"//",I1148=0),1,0)</f>
        <v>0</v>
      </c>
      <c r="M1148" s="0" t="str">
        <f aca="false">IF(I1148=1,MAX(M$1:M1147)+1,"")</f>
        <v/>
      </c>
      <c r="N1148" s="0" t="str">
        <f aca="false">IFERROR(MATCH(ROW()-1,$V$2:$V$1201,0),"")</f>
        <v/>
      </c>
      <c r="R1148" s="0" t="str">
        <f aca="false">IF(E1148="","",IFERROR(LEFT(E1148,FIND("-",E1148)-1),E1148))</f>
        <v/>
      </c>
      <c r="S1148" s="0" t="str">
        <f aca="false">IF(R1148="","",IF(ISNUMBER(--MID(R1148,1,1)),0,IF(ISNUMBER(--MID(R1148,2,1)),1,IF(ISNUMBER(--MID(R1148,3,1)),2,IF(ISNUMBER(--MID(R1148,4,1)),3,MIN(LEN(R1148),4))))))</f>
        <v/>
      </c>
      <c r="T1148" s="0" t="str">
        <f aca="false">IF(E1148="","",LEFT(R1148,S1148)&amp;REPT("0",4-S1148)&amp;RIGHT("000"&amp;IFERROR(VALUE(MID(R1148,S1148+1,9)),0),3)&amp;RIGHT("0000"&amp;IFERROR(VALUE(MID(E1148,FIND("-",E1148)+1,9)),0),4))</f>
        <v/>
      </c>
      <c r="U1148" s="0" t="str">
        <f aca="false">IF(I1148=1,"K"&amp;RIGHT("00"&amp;A1148,2)&amp;T1148&amp;RIGHT("00000"&amp;ROW(),5),"")</f>
        <v/>
      </c>
      <c r="V1148" s="0" t="str">
        <f aca="false">IF(U1148="","",COUNTIFS($I$2:$I$1201,1,$U$2:$U$1201,"&lt;"&amp;U1148)+1)</f>
        <v/>
      </c>
    </row>
    <row r="1149" customFormat="false" ht="15" hidden="false" customHeight="false" outlineLevel="0" collapsed="false">
      <c r="A1149" s="0" t="n">
        <v>20</v>
      </c>
      <c r="B1149" s="0" t="n">
        <v>8</v>
      </c>
      <c r="C1149" s="0" t="str">
        <f aca="false">TRIM(SUBSTITUTE(INDEX(LISTAS!$A$4:$T$63,B1149,A1149)&amp;"",CHAR(160)," "))</f>
        <v/>
      </c>
      <c r="D1149" s="0" t="str">
        <f aca="false">IF(C1149="","",TRIM(RIGHT(SUBSTITUTE(C1149," ",REPT(" ",100)),100)))</f>
        <v/>
      </c>
      <c r="E1149" s="0" t="str">
        <f aca="false">IF(D1149="","",UPPER(SUBSTITUTE(SUBSTITUTE(D1149,"(",""),")","")))</f>
        <v/>
      </c>
      <c r="F1149" s="0" t="str">
        <f aca="false">IF(C1149="","",LEFT(C1149,FIND(" ",C1149&amp;" ")-1))</f>
        <v/>
      </c>
      <c r="G1149" s="0" t="n">
        <f aca="false">IFERROR(VALUE(SUBSTITUTE(LOWER(F1149),"x","")),0)</f>
        <v>0</v>
      </c>
      <c r="H1149" s="0" t="str">
        <f aca="false">IF(C1149="","",TRIM(MID(C1149,LEN(F1149)+2,999)))</f>
        <v/>
      </c>
      <c r="I1149" s="0" t="n">
        <f aca="false">IF(OR(C1149="",LEFT(C1149,2)="//"),0,IFERROR(IF(AND(G1149&gt;0,G1149=INT(G1149),FIND("-",E1149)&gt;1,NOT(EXACT(UPPER(LEFT(E1149,1)),LOWER(LEFT(E1149,1)))),ISNUMBER(VALUE(MID(E1149,FIND("-",E1149)+1,10)))),1,0),0))</f>
        <v>0</v>
      </c>
      <c r="J1149" s="0" t="str">
        <f aca="false">IF(I1149=1,TRIM(LEFT(H1149,MAX(0,LEN(H1149)-LEN(D1149)))),"")</f>
        <v/>
      </c>
      <c r="K1149" s="0" t="str">
        <f aca="false">INDEX($P$2:$P$21,A1149)</f>
        <v>Deck 20</v>
      </c>
      <c r="L1149" s="0" t="n">
        <f aca="false">IF(AND(C1149&lt;&gt;"",LEFT(C1149,2)&lt;&gt;"//",I1149=0),1,0)</f>
        <v>0</v>
      </c>
      <c r="M1149" s="0" t="str">
        <f aca="false">IF(I1149=1,MAX(M$1:M1148)+1,"")</f>
        <v/>
      </c>
      <c r="N1149" s="0" t="str">
        <f aca="false">IFERROR(MATCH(ROW()-1,$V$2:$V$1201,0),"")</f>
        <v/>
      </c>
      <c r="R1149" s="0" t="str">
        <f aca="false">IF(E1149="","",IFERROR(LEFT(E1149,FIND("-",E1149)-1),E1149))</f>
        <v/>
      </c>
      <c r="S1149" s="0" t="str">
        <f aca="false">IF(R1149="","",IF(ISNUMBER(--MID(R1149,1,1)),0,IF(ISNUMBER(--MID(R1149,2,1)),1,IF(ISNUMBER(--MID(R1149,3,1)),2,IF(ISNUMBER(--MID(R1149,4,1)),3,MIN(LEN(R1149),4))))))</f>
        <v/>
      </c>
      <c r="T1149" s="0" t="str">
        <f aca="false">IF(E1149="","",LEFT(R1149,S1149)&amp;REPT("0",4-S1149)&amp;RIGHT("000"&amp;IFERROR(VALUE(MID(R1149,S1149+1,9)),0),3)&amp;RIGHT("0000"&amp;IFERROR(VALUE(MID(E1149,FIND("-",E1149)+1,9)),0),4))</f>
        <v/>
      </c>
      <c r="U1149" s="0" t="str">
        <f aca="false">IF(I1149=1,"K"&amp;RIGHT("00"&amp;A1149,2)&amp;T1149&amp;RIGHT("00000"&amp;ROW(),5),"")</f>
        <v/>
      </c>
      <c r="V1149" s="0" t="str">
        <f aca="false">IF(U1149="","",COUNTIFS($I$2:$I$1201,1,$U$2:$U$1201,"&lt;"&amp;U1149)+1)</f>
        <v/>
      </c>
    </row>
    <row r="1150" customFormat="false" ht="15" hidden="false" customHeight="false" outlineLevel="0" collapsed="false">
      <c r="A1150" s="0" t="n">
        <v>20</v>
      </c>
      <c r="B1150" s="0" t="n">
        <v>9</v>
      </c>
      <c r="C1150" s="0" t="str">
        <f aca="false">TRIM(SUBSTITUTE(INDEX(LISTAS!$A$4:$T$63,B1150,A1150)&amp;"",CHAR(160)," "))</f>
        <v/>
      </c>
      <c r="D1150" s="0" t="str">
        <f aca="false">IF(C1150="","",TRIM(RIGHT(SUBSTITUTE(C1150," ",REPT(" ",100)),100)))</f>
        <v/>
      </c>
      <c r="E1150" s="0" t="str">
        <f aca="false">IF(D1150="","",UPPER(SUBSTITUTE(SUBSTITUTE(D1150,"(",""),")","")))</f>
        <v/>
      </c>
      <c r="F1150" s="0" t="str">
        <f aca="false">IF(C1150="","",LEFT(C1150,FIND(" ",C1150&amp;" ")-1))</f>
        <v/>
      </c>
      <c r="G1150" s="0" t="n">
        <f aca="false">IFERROR(VALUE(SUBSTITUTE(LOWER(F1150),"x","")),0)</f>
        <v>0</v>
      </c>
      <c r="H1150" s="0" t="str">
        <f aca="false">IF(C1150="","",TRIM(MID(C1150,LEN(F1150)+2,999)))</f>
        <v/>
      </c>
      <c r="I1150" s="0" t="n">
        <f aca="false">IF(OR(C1150="",LEFT(C1150,2)="//"),0,IFERROR(IF(AND(G1150&gt;0,G1150=INT(G1150),FIND("-",E1150)&gt;1,NOT(EXACT(UPPER(LEFT(E1150,1)),LOWER(LEFT(E1150,1)))),ISNUMBER(VALUE(MID(E1150,FIND("-",E1150)+1,10)))),1,0),0))</f>
        <v>0</v>
      </c>
      <c r="J1150" s="0" t="str">
        <f aca="false">IF(I1150=1,TRIM(LEFT(H1150,MAX(0,LEN(H1150)-LEN(D1150)))),"")</f>
        <v/>
      </c>
      <c r="K1150" s="0" t="str">
        <f aca="false">INDEX($P$2:$P$21,A1150)</f>
        <v>Deck 20</v>
      </c>
      <c r="L1150" s="0" t="n">
        <f aca="false">IF(AND(C1150&lt;&gt;"",LEFT(C1150,2)&lt;&gt;"//",I1150=0),1,0)</f>
        <v>0</v>
      </c>
      <c r="M1150" s="0" t="str">
        <f aca="false">IF(I1150=1,MAX(M$1:M1149)+1,"")</f>
        <v/>
      </c>
      <c r="N1150" s="0" t="str">
        <f aca="false">IFERROR(MATCH(ROW()-1,$V$2:$V$1201,0),"")</f>
        <v/>
      </c>
      <c r="R1150" s="0" t="str">
        <f aca="false">IF(E1150="","",IFERROR(LEFT(E1150,FIND("-",E1150)-1),E1150))</f>
        <v/>
      </c>
      <c r="S1150" s="0" t="str">
        <f aca="false">IF(R1150="","",IF(ISNUMBER(--MID(R1150,1,1)),0,IF(ISNUMBER(--MID(R1150,2,1)),1,IF(ISNUMBER(--MID(R1150,3,1)),2,IF(ISNUMBER(--MID(R1150,4,1)),3,MIN(LEN(R1150),4))))))</f>
        <v/>
      </c>
      <c r="T1150" s="0" t="str">
        <f aca="false">IF(E1150="","",LEFT(R1150,S1150)&amp;REPT("0",4-S1150)&amp;RIGHT("000"&amp;IFERROR(VALUE(MID(R1150,S1150+1,9)),0),3)&amp;RIGHT("0000"&amp;IFERROR(VALUE(MID(E1150,FIND("-",E1150)+1,9)),0),4))</f>
        <v/>
      </c>
      <c r="U1150" s="0" t="str">
        <f aca="false">IF(I1150=1,"K"&amp;RIGHT("00"&amp;A1150,2)&amp;T1150&amp;RIGHT("00000"&amp;ROW(),5),"")</f>
        <v/>
      </c>
      <c r="V1150" s="0" t="str">
        <f aca="false">IF(U1150="","",COUNTIFS($I$2:$I$1201,1,$U$2:$U$1201,"&lt;"&amp;U1150)+1)</f>
        <v/>
      </c>
    </row>
    <row r="1151" customFormat="false" ht="15" hidden="false" customHeight="false" outlineLevel="0" collapsed="false">
      <c r="A1151" s="0" t="n">
        <v>20</v>
      </c>
      <c r="B1151" s="0" t="n">
        <v>10</v>
      </c>
      <c r="C1151" s="0" t="str">
        <f aca="false">TRIM(SUBSTITUTE(INDEX(LISTAS!$A$4:$T$63,B1151,A1151)&amp;"",CHAR(160)," "))</f>
        <v/>
      </c>
      <c r="D1151" s="0" t="str">
        <f aca="false">IF(C1151="","",TRIM(RIGHT(SUBSTITUTE(C1151," ",REPT(" ",100)),100)))</f>
        <v/>
      </c>
      <c r="E1151" s="0" t="str">
        <f aca="false">IF(D1151="","",UPPER(SUBSTITUTE(SUBSTITUTE(D1151,"(",""),")","")))</f>
        <v/>
      </c>
      <c r="F1151" s="0" t="str">
        <f aca="false">IF(C1151="","",LEFT(C1151,FIND(" ",C1151&amp;" ")-1))</f>
        <v/>
      </c>
      <c r="G1151" s="0" t="n">
        <f aca="false">IFERROR(VALUE(SUBSTITUTE(LOWER(F1151),"x","")),0)</f>
        <v>0</v>
      </c>
      <c r="H1151" s="0" t="str">
        <f aca="false">IF(C1151="","",TRIM(MID(C1151,LEN(F1151)+2,999)))</f>
        <v/>
      </c>
      <c r="I1151" s="0" t="n">
        <f aca="false">IF(OR(C1151="",LEFT(C1151,2)="//"),0,IFERROR(IF(AND(G1151&gt;0,G1151=INT(G1151),FIND("-",E1151)&gt;1,NOT(EXACT(UPPER(LEFT(E1151,1)),LOWER(LEFT(E1151,1)))),ISNUMBER(VALUE(MID(E1151,FIND("-",E1151)+1,10)))),1,0),0))</f>
        <v>0</v>
      </c>
      <c r="J1151" s="0" t="str">
        <f aca="false">IF(I1151=1,TRIM(LEFT(H1151,MAX(0,LEN(H1151)-LEN(D1151)))),"")</f>
        <v/>
      </c>
      <c r="K1151" s="0" t="str">
        <f aca="false">INDEX($P$2:$P$21,A1151)</f>
        <v>Deck 20</v>
      </c>
      <c r="L1151" s="0" t="n">
        <f aca="false">IF(AND(C1151&lt;&gt;"",LEFT(C1151,2)&lt;&gt;"//",I1151=0),1,0)</f>
        <v>0</v>
      </c>
      <c r="M1151" s="0" t="str">
        <f aca="false">IF(I1151=1,MAX(M$1:M1150)+1,"")</f>
        <v/>
      </c>
      <c r="N1151" s="0" t="str">
        <f aca="false">IFERROR(MATCH(ROW()-1,$V$2:$V$1201,0),"")</f>
        <v/>
      </c>
      <c r="R1151" s="0" t="str">
        <f aca="false">IF(E1151="","",IFERROR(LEFT(E1151,FIND("-",E1151)-1),E1151))</f>
        <v/>
      </c>
      <c r="S1151" s="0" t="str">
        <f aca="false">IF(R1151="","",IF(ISNUMBER(--MID(R1151,1,1)),0,IF(ISNUMBER(--MID(R1151,2,1)),1,IF(ISNUMBER(--MID(R1151,3,1)),2,IF(ISNUMBER(--MID(R1151,4,1)),3,MIN(LEN(R1151),4))))))</f>
        <v/>
      </c>
      <c r="T1151" s="0" t="str">
        <f aca="false">IF(E1151="","",LEFT(R1151,S1151)&amp;REPT("0",4-S1151)&amp;RIGHT("000"&amp;IFERROR(VALUE(MID(R1151,S1151+1,9)),0),3)&amp;RIGHT("0000"&amp;IFERROR(VALUE(MID(E1151,FIND("-",E1151)+1,9)),0),4))</f>
        <v/>
      </c>
      <c r="U1151" s="0" t="str">
        <f aca="false">IF(I1151=1,"K"&amp;RIGHT("00"&amp;A1151,2)&amp;T1151&amp;RIGHT("00000"&amp;ROW(),5),"")</f>
        <v/>
      </c>
      <c r="V1151" s="0" t="str">
        <f aca="false">IF(U1151="","",COUNTIFS($I$2:$I$1201,1,$U$2:$U$1201,"&lt;"&amp;U1151)+1)</f>
        <v/>
      </c>
    </row>
    <row r="1152" customFormat="false" ht="15" hidden="false" customHeight="false" outlineLevel="0" collapsed="false">
      <c r="A1152" s="0" t="n">
        <v>20</v>
      </c>
      <c r="B1152" s="0" t="n">
        <v>11</v>
      </c>
      <c r="C1152" s="0" t="str">
        <f aca="false">TRIM(SUBSTITUTE(INDEX(LISTAS!$A$4:$T$63,B1152,A1152)&amp;"",CHAR(160)," "))</f>
        <v/>
      </c>
      <c r="D1152" s="0" t="str">
        <f aca="false">IF(C1152="","",TRIM(RIGHT(SUBSTITUTE(C1152," ",REPT(" ",100)),100)))</f>
        <v/>
      </c>
      <c r="E1152" s="0" t="str">
        <f aca="false">IF(D1152="","",UPPER(SUBSTITUTE(SUBSTITUTE(D1152,"(",""),")","")))</f>
        <v/>
      </c>
      <c r="F1152" s="0" t="str">
        <f aca="false">IF(C1152="","",LEFT(C1152,FIND(" ",C1152&amp;" ")-1))</f>
        <v/>
      </c>
      <c r="G1152" s="0" t="n">
        <f aca="false">IFERROR(VALUE(SUBSTITUTE(LOWER(F1152),"x","")),0)</f>
        <v>0</v>
      </c>
      <c r="H1152" s="0" t="str">
        <f aca="false">IF(C1152="","",TRIM(MID(C1152,LEN(F1152)+2,999)))</f>
        <v/>
      </c>
      <c r="I1152" s="0" t="n">
        <f aca="false">IF(OR(C1152="",LEFT(C1152,2)="//"),0,IFERROR(IF(AND(G1152&gt;0,G1152=INT(G1152),FIND("-",E1152)&gt;1,NOT(EXACT(UPPER(LEFT(E1152,1)),LOWER(LEFT(E1152,1)))),ISNUMBER(VALUE(MID(E1152,FIND("-",E1152)+1,10)))),1,0),0))</f>
        <v>0</v>
      </c>
      <c r="J1152" s="0" t="str">
        <f aca="false">IF(I1152=1,TRIM(LEFT(H1152,MAX(0,LEN(H1152)-LEN(D1152)))),"")</f>
        <v/>
      </c>
      <c r="K1152" s="0" t="str">
        <f aca="false">INDEX($P$2:$P$21,A1152)</f>
        <v>Deck 20</v>
      </c>
      <c r="L1152" s="0" t="n">
        <f aca="false">IF(AND(C1152&lt;&gt;"",LEFT(C1152,2)&lt;&gt;"//",I1152=0),1,0)</f>
        <v>0</v>
      </c>
      <c r="M1152" s="0" t="str">
        <f aca="false">IF(I1152=1,MAX(M$1:M1151)+1,"")</f>
        <v/>
      </c>
      <c r="N1152" s="0" t="str">
        <f aca="false">IFERROR(MATCH(ROW()-1,$V$2:$V$1201,0),"")</f>
        <v/>
      </c>
      <c r="R1152" s="0" t="str">
        <f aca="false">IF(E1152="","",IFERROR(LEFT(E1152,FIND("-",E1152)-1),E1152))</f>
        <v/>
      </c>
      <c r="S1152" s="0" t="str">
        <f aca="false">IF(R1152="","",IF(ISNUMBER(--MID(R1152,1,1)),0,IF(ISNUMBER(--MID(R1152,2,1)),1,IF(ISNUMBER(--MID(R1152,3,1)),2,IF(ISNUMBER(--MID(R1152,4,1)),3,MIN(LEN(R1152),4))))))</f>
        <v/>
      </c>
      <c r="T1152" s="0" t="str">
        <f aca="false">IF(E1152="","",LEFT(R1152,S1152)&amp;REPT("0",4-S1152)&amp;RIGHT("000"&amp;IFERROR(VALUE(MID(R1152,S1152+1,9)),0),3)&amp;RIGHT("0000"&amp;IFERROR(VALUE(MID(E1152,FIND("-",E1152)+1,9)),0),4))</f>
        <v/>
      </c>
      <c r="U1152" s="0" t="str">
        <f aca="false">IF(I1152=1,"K"&amp;RIGHT("00"&amp;A1152,2)&amp;T1152&amp;RIGHT("00000"&amp;ROW(),5),"")</f>
        <v/>
      </c>
      <c r="V1152" s="0" t="str">
        <f aca="false">IF(U1152="","",COUNTIFS($I$2:$I$1201,1,$U$2:$U$1201,"&lt;"&amp;U1152)+1)</f>
        <v/>
      </c>
    </row>
    <row r="1153" customFormat="false" ht="15" hidden="false" customHeight="false" outlineLevel="0" collapsed="false">
      <c r="A1153" s="0" t="n">
        <v>20</v>
      </c>
      <c r="B1153" s="0" t="n">
        <v>12</v>
      </c>
      <c r="C1153" s="0" t="str">
        <f aca="false">TRIM(SUBSTITUTE(INDEX(LISTAS!$A$4:$T$63,B1153,A1153)&amp;"",CHAR(160)," "))</f>
        <v/>
      </c>
      <c r="D1153" s="0" t="str">
        <f aca="false">IF(C1153="","",TRIM(RIGHT(SUBSTITUTE(C1153," ",REPT(" ",100)),100)))</f>
        <v/>
      </c>
      <c r="E1153" s="0" t="str">
        <f aca="false">IF(D1153="","",UPPER(SUBSTITUTE(SUBSTITUTE(D1153,"(",""),")","")))</f>
        <v/>
      </c>
      <c r="F1153" s="0" t="str">
        <f aca="false">IF(C1153="","",LEFT(C1153,FIND(" ",C1153&amp;" ")-1))</f>
        <v/>
      </c>
      <c r="G1153" s="0" t="n">
        <f aca="false">IFERROR(VALUE(SUBSTITUTE(LOWER(F1153),"x","")),0)</f>
        <v>0</v>
      </c>
      <c r="H1153" s="0" t="str">
        <f aca="false">IF(C1153="","",TRIM(MID(C1153,LEN(F1153)+2,999)))</f>
        <v/>
      </c>
      <c r="I1153" s="0" t="n">
        <f aca="false">IF(OR(C1153="",LEFT(C1153,2)="//"),0,IFERROR(IF(AND(G1153&gt;0,G1153=INT(G1153),FIND("-",E1153)&gt;1,NOT(EXACT(UPPER(LEFT(E1153,1)),LOWER(LEFT(E1153,1)))),ISNUMBER(VALUE(MID(E1153,FIND("-",E1153)+1,10)))),1,0),0))</f>
        <v>0</v>
      </c>
      <c r="J1153" s="0" t="str">
        <f aca="false">IF(I1153=1,TRIM(LEFT(H1153,MAX(0,LEN(H1153)-LEN(D1153)))),"")</f>
        <v/>
      </c>
      <c r="K1153" s="0" t="str">
        <f aca="false">INDEX($P$2:$P$21,A1153)</f>
        <v>Deck 20</v>
      </c>
      <c r="L1153" s="0" t="n">
        <f aca="false">IF(AND(C1153&lt;&gt;"",LEFT(C1153,2)&lt;&gt;"//",I1153=0),1,0)</f>
        <v>0</v>
      </c>
      <c r="M1153" s="0" t="str">
        <f aca="false">IF(I1153=1,MAX(M$1:M1152)+1,"")</f>
        <v/>
      </c>
      <c r="N1153" s="0" t="str">
        <f aca="false">IFERROR(MATCH(ROW()-1,$V$2:$V$1201,0),"")</f>
        <v/>
      </c>
      <c r="R1153" s="0" t="str">
        <f aca="false">IF(E1153="","",IFERROR(LEFT(E1153,FIND("-",E1153)-1),E1153))</f>
        <v/>
      </c>
      <c r="S1153" s="0" t="str">
        <f aca="false">IF(R1153="","",IF(ISNUMBER(--MID(R1153,1,1)),0,IF(ISNUMBER(--MID(R1153,2,1)),1,IF(ISNUMBER(--MID(R1153,3,1)),2,IF(ISNUMBER(--MID(R1153,4,1)),3,MIN(LEN(R1153),4))))))</f>
        <v/>
      </c>
      <c r="T1153" s="0" t="str">
        <f aca="false">IF(E1153="","",LEFT(R1153,S1153)&amp;REPT("0",4-S1153)&amp;RIGHT("000"&amp;IFERROR(VALUE(MID(R1153,S1153+1,9)),0),3)&amp;RIGHT("0000"&amp;IFERROR(VALUE(MID(E1153,FIND("-",E1153)+1,9)),0),4))</f>
        <v/>
      </c>
      <c r="U1153" s="0" t="str">
        <f aca="false">IF(I1153=1,"K"&amp;RIGHT("00"&amp;A1153,2)&amp;T1153&amp;RIGHT("00000"&amp;ROW(),5),"")</f>
        <v/>
      </c>
      <c r="V1153" s="0" t="str">
        <f aca="false">IF(U1153="","",COUNTIFS($I$2:$I$1201,1,$U$2:$U$1201,"&lt;"&amp;U1153)+1)</f>
        <v/>
      </c>
    </row>
    <row r="1154" customFormat="false" ht="15" hidden="false" customHeight="false" outlineLevel="0" collapsed="false">
      <c r="A1154" s="0" t="n">
        <v>20</v>
      </c>
      <c r="B1154" s="0" t="n">
        <v>13</v>
      </c>
      <c r="C1154" s="0" t="str">
        <f aca="false">TRIM(SUBSTITUTE(INDEX(LISTAS!$A$4:$T$63,B1154,A1154)&amp;"",CHAR(160)," "))</f>
        <v/>
      </c>
      <c r="D1154" s="0" t="str">
        <f aca="false">IF(C1154="","",TRIM(RIGHT(SUBSTITUTE(C1154," ",REPT(" ",100)),100)))</f>
        <v/>
      </c>
      <c r="E1154" s="0" t="str">
        <f aca="false">IF(D1154="","",UPPER(SUBSTITUTE(SUBSTITUTE(D1154,"(",""),")","")))</f>
        <v/>
      </c>
      <c r="F1154" s="0" t="str">
        <f aca="false">IF(C1154="","",LEFT(C1154,FIND(" ",C1154&amp;" ")-1))</f>
        <v/>
      </c>
      <c r="G1154" s="0" t="n">
        <f aca="false">IFERROR(VALUE(SUBSTITUTE(LOWER(F1154),"x","")),0)</f>
        <v>0</v>
      </c>
      <c r="H1154" s="0" t="str">
        <f aca="false">IF(C1154="","",TRIM(MID(C1154,LEN(F1154)+2,999)))</f>
        <v/>
      </c>
      <c r="I1154" s="0" t="n">
        <f aca="false">IF(OR(C1154="",LEFT(C1154,2)="//"),0,IFERROR(IF(AND(G1154&gt;0,G1154=INT(G1154),FIND("-",E1154)&gt;1,NOT(EXACT(UPPER(LEFT(E1154,1)),LOWER(LEFT(E1154,1)))),ISNUMBER(VALUE(MID(E1154,FIND("-",E1154)+1,10)))),1,0),0))</f>
        <v>0</v>
      </c>
      <c r="J1154" s="0" t="str">
        <f aca="false">IF(I1154=1,TRIM(LEFT(H1154,MAX(0,LEN(H1154)-LEN(D1154)))),"")</f>
        <v/>
      </c>
      <c r="K1154" s="0" t="str">
        <f aca="false">INDEX($P$2:$P$21,A1154)</f>
        <v>Deck 20</v>
      </c>
      <c r="L1154" s="0" t="n">
        <f aca="false">IF(AND(C1154&lt;&gt;"",LEFT(C1154,2)&lt;&gt;"//",I1154=0),1,0)</f>
        <v>0</v>
      </c>
      <c r="M1154" s="0" t="str">
        <f aca="false">IF(I1154=1,MAX(M$1:M1153)+1,"")</f>
        <v/>
      </c>
      <c r="N1154" s="0" t="str">
        <f aca="false">IFERROR(MATCH(ROW()-1,$V$2:$V$1201,0),"")</f>
        <v/>
      </c>
      <c r="R1154" s="0" t="str">
        <f aca="false">IF(E1154="","",IFERROR(LEFT(E1154,FIND("-",E1154)-1),E1154))</f>
        <v/>
      </c>
      <c r="S1154" s="0" t="str">
        <f aca="false">IF(R1154="","",IF(ISNUMBER(--MID(R1154,1,1)),0,IF(ISNUMBER(--MID(R1154,2,1)),1,IF(ISNUMBER(--MID(R1154,3,1)),2,IF(ISNUMBER(--MID(R1154,4,1)),3,MIN(LEN(R1154),4))))))</f>
        <v/>
      </c>
      <c r="T1154" s="0" t="str">
        <f aca="false">IF(E1154="","",LEFT(R1154,S1154)&amp;REPT("0",4-S1154)&amp;RIGHT("000"&amp;IFERROR(VALUE(MID(R1154,S1154+1,9)),0),3)&amp;RIGHT("0000"&amp;IFERROR(VALUE(MID(E1154,FIND("-",E1154)+1,9)),0),4))</f>
        <v/>
      </c>
      <c r="U1154" s="0" t="str">
        <f aca="false">IF(I1154=1,"K"&amp;RIGHT("00"&amp;A1154,2)&amp;T1154&amp;RIGHT("00000"&amp;ROW(),5),"")</f>
        <v/>
      </c>
      <c r="V1154" s="0" t="str">
        <f aca="false">IF(U1154="","",COUNTIFS($I$2:$I$1201,1,$U$2:$U$1201,"&lt;"&amp;U1154)+1)</f>
        <v/>
      </c>
    </row>
    <row r="1155" customFormat="false" ht="15" hidden="false" customHeight="false" outlineLevel="0" collapsed="false">
      <c r="A1155" s="0" t="n">
        <v>20</v>
      </c>
      <c r="B1155" s="0" t="n">
        <v>14</v>
      </c>
      <c r="C1155" s="0" t="str">
        <f aca="false">TRIM(SUBSTITUTE(INDEX(LISTAS!$A$4:$T$63,B1155,A1155)&amp;"",CHAR(160)," "))</f>
        <v/>
      </c>
      <c r="D1155" s="0" t="str">
        <f aca="false">IF(C1155="","",TRIM(RIGHT(SUBSTITUTE(C1155," ",REPT(" ",100)),100)))</f>
        <v/>
      </c>
      <c r="E1155" s="0" t="str">
        <f aca="false">IF(D1155="","",UPPER(SUBSTITUTE(SUBSTITUTE(D1155,"(",""),")","")))</f>
        <v/>
      </c>
      <c r="F1155" s="0" t="str">
        <f aca="false">IF(C1155="","",LEFT(C1155,FIND(" ",C1155&amp;" ")-1))</f>
        <v/>
      </c>
      <c r="G1155" s="0" t="n">
        <f aca="false">IFERROR(VALUE(SUBSTITUTE(LOWER(F1155),"x","")),0)</f>
        <v>0</v>
      </c>
      <c r="H1155" s="0" t="str">
        <f aca="false">IF(C1155="","",TRIM(MID(C1155,LEN(F1155)+2,999)))</f>
        <v/>
      </c>
      <c r="I1155" s="0" t="n">
        <f aca="false">IF(OR(C1155="",LEFT(C1155,2)="//"),0,IFERROR(IF(AND(G1155&gt;0,G1155=INT(G1155),FIND("-",E1155)&gt;1,NOT(EXACT(UPPER(LEFT(E1155,1)),LOWER(LEFT(E1155,1)))),ISNUMBER(VALUE(MID(E1155,FIND("-",E1155)+1,10)))),1,0),0))</f>
        <v>0</v>
      </c>
      <c r="J1155" s="0" t="str">
        <f aca="false">IF(I1155=1,TRIM(LEFT(H1155,MAX(0,LEN(H1155)-LEN(D1155)))),"")</f>
        <v/>
      </c>
      <c r="K1155" s="0" t="str">
        <f aca="false">INDEX($P$2:$P$21,A1155)</f>
        <v>Deck 20</v>
      </c>
      <c r="L1155" s="0" t="n">
        <f aca="false">IF(AND(C1155&lt;&gt;"",LEFT(C1155,2)&lt;&gt;"//",I1155=0),1,0)</f>
        <v>0</v>
      </c>
      <c r="M1155" s="0" t="str">
        <f aca="false">IF(I1155=1,MAX(M$1:M1154)+1,"")</f>
        <v/>
      </c>
      <c r="N1155" s="0" t="str">
        <f aca="false">IFERROR(MATCH(ROW()-1,$V$2:$V$1201,0),"")</f>
        <v/>
      </c>
      <c r="R1155" s="0" t="str">
        <f aca="false">IF(E1155="","",IFERROR(LEFT(E1155,FIND("-",E1155)-1),E1155))</f>
        <v/>
      </c>
      <c r="S1155" s="0" t="str">
        <f aca="false">IF(R1155="","",IF(ISNUMBER(--MID(R1155,1,1)),0,IF(ISNUMBER(--MID(R1155,2,1)),1,IF(ISNUMBER(--MID(R1155,3,1)),2,IF(ISNUMBER(--MID(R1155,4,1)),3,MIN(LEN(R1155),4))))))</f>
        <v/>
      </c>
      <c r="T1155" s="0" t="str">
        <f aca="false">IF(E1155="","",LEFT(R1155,S1155)&amp;REPT("0",4-S1155)&amp;RIGHT("000"&amp;IFERROR(VALUE(MID(R1155,S1155+1,9)),0),3)&amp;RIGHT("0000"&amp;IFERROR(VALUE(MID(E1155,FIND("-",E1155)+1,9)),0),4))</f>
        <v/>
      </c>
      <c r="U1155" s="0" t="str">
        <f aca="false">IF(I1155=1,"K"&amp;RIGHT("00"&amp;A1155,2)&amp;T1155&amp;RIGHT("00000"&amp;ROW(),5),"")</f>
        <v/>
      </c>
      <c r="V1155" s="0" t="str">
        <f aca="false">IF(U1155="","",COUNTIFS($I$2:$I$1201,1,$U$2:$U$1201,"&lt;"&amp;U1155)+1)</f>
        <v/>
      </c>
    </row>
    <row r="1156" customFormat="false" ht="15" hidden="false" customHeight="false" outlineLevel="0" collapsed="false">
      <c r="A1156" s="0" t="n">
        <v>20</v>
      </c>
      <c r="B1156" s="0" t="n">
        <v>15</v>
      </c>
      <c r="C1156" s="0" t="str">
        <f aca="false">TRIM(SUBSTITUTE(INDEX(LISTAS!$A$4:$T$63,B1156,A1156)&amp;"",CHAR(160)," "))</f>
        <v/>
      </c>
      <c r="D1156" s="0" t="str">
        <f aca="false">IF(C1156="","",TRIM(RIGHT(SUBSTITUTE(C1156," ",REPT(" ",100)),100)))</f>
        <v/>
      </c>
      <c r="E1156" s="0" t="str">
        <f aca="false">IF(D1156="","",UPPER(SUBSTITUTE(SUBSTITUTE(D1156,"(",""),")","")))</f>
        <v/>
      </c>
      <c r="F1156" s="0" t="str">
        <f aca="false">IF(C1156="","",LEFT(C1156,FIND(" ",C1156&amp;" ")-1))</f>
        <v/>
      </c>
      <c r="G1156" s="0" t="n">
        <f aca="false">IFERROR(VALUE(SUBSTITUTE(LOWER(F1156),"x","")),0)</f>
        <v>0</v>
      </c>
      <c r="H1156" s="0" t="str">
        <f aca="false">IF(C1156="","",TRIM(MID(C1156,LEN(F1156)+2,999)))</f>
        <v/>
      </c>
      <c r="I1156" s="0" t="n">
        <f aca="false">IF(OR(C1156="",LEFT(C1156,2)="//"),0,IFERROR(IF(AND(G1156&gt;0,G1156=INT(G1156),FIND("-",E1156)&gt;1,NOT(EXACT(UPPER(LEFT(E1156,1)),LOWER(LEFT(E1156,1)))),ISNUMBER(VALUE(MID(E1156,FIND("-",E1156)+1,10)))),1,0),0))</f>
        <v>0</v>
      </c>
      <c r="J1156" s="0" t="str">
        <f aca="false">IF(I1156=1,TRIM(LEFT(H1156,MAX(0,LEN(H1156)-LEN(D1156)))),"")</f>
        <v/>
      </c>
      <c r="K1156" s="0" t="str">
        <f aca="false">INDEX($P$2:$P$21,A1156)</f>
        <v>Deck 20</v>
      </c>
      <c r="L1156" s="0" t="n">
        <f aca="false">IF(AND(C1156&lt;&gt;"",LEFT(C1156,2)&lt;&gt;"//",I1156=0),1,0)</f>
        <v>0</v>
      </c>
      <c r="M1156" s="0" t="str">
        <f aca="false">IF(I1156=1,MAX(M$1:M1155)+1,"")</f>
        <v/>
      </c>
      <c r="N1156" s="0" t="str">
        <f aca="false">IFERROR(MATCH(ROW()-1,$V$2:$V$1201,0),"")</f>
        <v/>
      </c>
      <c r="R1156" s="0" t="str">
        <f aca="false">IF(E1156="","",IFERROR(LEFT(E1156,FIND("-",E1156)-1),E1156))</f>
        <v/>
      </c>
      <c r="S1156" s="0" t="str">
        <f aca="false">IF(R1156="","",IF(ISNUMBER(--MID(R1156,1,1)),0,IF(ISNUMBER(--MID(R1156,2,1)),1,IF(ISNUMBER(--MID(R1156,3,1)),2,IF(ISNUMBER(--MID(R1156,4,1)),3,MIN(LEN(R1156),4))))))</f>
        <v/>
      </c>
      <c r="T1156" s="0" t="str">
        <f aca="false">IF(E1156="","",LEFT(R1156,S1156)&amp;REPT("0",4-S1156)&amp;RIGHT("000"&amp;IFERROR(VALUE(MID(R1156,S1156+1,9)),0),3)&amp;RIGHT("0000"&amp;IFERROR(VALUE(MID(E1156,FIND("-",E1156)+1,9)),0),4))</f>
        <v/>
      </c>
      <c r="U1156" s="0" t="str">
        <f aca="false">IF(I1156=1,"K"&amp;RIGHT("00"&amp;A1156,2)&amp;T1156&amp;RIGHT("00000"&amp;ROW(),5),"")</f>
        <v/>
      </c>
      <c r="V1156" s="0" t="str">
        <f aca="false">IF(U1156="","",COUNTIFS($I$2:$I$1201,1,$U$2:$U$1201,"&lt;"&amp;U1156)+1)</f>
        <v/>
      </c>
    </row>
    <row r="1157" customFormat="false" ht="15" hidden="false" customHeight="false" outlineLevel="0" collapsed="false">
      <c r="A1157" s="0" t="n">
        <v>20</v>
      </c>
      <c r="B1157" s="0" t="n">
        <v>16</v>
      </c>
      <c r="C1157" s="0" t="str">
        <f aca="false">TRIM(SUBSTITUTE(INDEX(LISTAS!$A$4:$T$63,B1157,A1157)&amp;"",CHAR(160)," "))</f>
        <v/>
      </c>
      <c r="D1157" s="0" t="str">
        <f aca="false">IF(C1157="","",TRIM(RIGHT(SUBSTITUTE(C1157," ",REPT(" ",100)),100)))</f>
        <v/>
      </c>
      <c r="E1157" s="0" t="str">
        <f aca="false">IF(D1157="","",UPPER(SUBSTITUTE(SUBSTITUTE(D1157,"(",""),")","")))</f>
        <v/>
      </c>
      <c r="F1157" s="0" t="str">
        <f aca="false">IF(C1157="","",LEFT(C1157,FIND(" ",C1157&amp;" ")-1))</f>
        <v/>
      </c>
      <c r="G1157" s="0" t="n">
        <f aca="false">IFERROR(VALUE(SUBSTITUTE(LOWER(F1157),"x","")),0)</f>
        <v>0</v>
      </c>
      <c r="H1157" s="0" t="str">
        <f aca="false">IF(C1157="","",TRIM(MID(C1157,LEN(F1157)+2,999)))</f>
        <v/>
      </c>
      <c r="I1157" s="0" t="n">
        <f aca="false">IF(OR(C1157="",LEFT(C1157,2)="//"),0,IFERROR(IF(AND(G1157&gt;0,G1157=INT(G1157),FIND("-",E1157)&gt;1,NOT(EXACT(UPPER(LEFT(E1157,1)),LOWER(LEFT(E1157,1)))),ISNUMBER(VALUE(MID(E1157,FIND("-",E1157)+1,10)))),1,0),0))</f>
        <v>0</v>
      </c>
      <c r="J1157" s="0" t="str">
        <f aca="false">IF(I1157=1,TRIM(LEFT(H1157,MAX(0,LEN(H1157)-LEN(D1157)))),"")</f>
        <v/>
      </c>
      <c r="K1157" s="0" t="str">
        <f aca="false">INDEX($P$2:$P$21,A1157)</f>
        <v>Deck 20</v>
      </c>
      <c r="L1157" s="0" t="n">
        <f aca="false">IF(AND(C1157&lt;&gt;"",LEFT(C1157,2)&lt;&gt;"//",I1157=0),1,0)</f>
        <v>0</v>
      </c>
      <c r="M1157" s="0" t="str">
        <f aca="false">IF(I1157=1,MAX(M$1:M1156)+1,"")</f>
        <v/>
      </c>
      <c r="N1157" s="0" t="str">
        <f aca="false">IFERROR(MATCH(ROW()-1,$V$2:$V$1201,0),"")</f>
        <v/>
      </c>
      <c r="R1157" s="0" t="str">
        <f aca="false">IF(E1157="","",IFERROR(LEFT(E1157,FIND("-",E1157)-1),E1157))</f>
        <v/>
      </c>
      <c r="S1157" s="0" t="str">
        <f aca="false">IF(R1157="","",IF(ISNUMBER(--MID(R1157,1,1)),0,IF(ISNUMBER(--MID(R1157,2,1)),1,IF(ISNUMBER(--MID(R1157,3,1)),2,IF(ISNUMBER(--MID(R1157,4,1)),3,MIN(LEN(R1157),4))))))</f>
        <v/>
      </c>
      <c r="T1157" s="0" t="str">
        <f aca="false">IF(E1157="","",LEFT(R1157,S1157)&amp;REPT("0",4-S1157)&amp;RIGHT("000"&amp;IFERROR(VALUE(MID(R1157,S1157+1,9)),0),3)&amp;RIGHT("0000"&amp;IFERROR(VALUE(MID(E1157,FIND("-",E1157)+1,9)),0),4))</f>
        <v/>
      </c>
      <c r="U1157" s="0" t="str">
        <f aca="false">IF(I1157=1,"K"&amp;RIGHT("00"&amp;A1157,2)&amp;T1157&amp;RIGHT("00000"&amp;ROW(),5),"")</f>
        <v/>
      </c>
      <c r="V1157" s="0" t="str">
        <f aca="false">IF(U1157="","",COUNTIFS($I$2:$I$1201,1,$U$2:$U$1201,"&lt;"&amp;U1157)+1)</f>
        <v/>
      </c>
    </row>
    <row r="1158" customFormat="false" ht="15" hidden="false" customHeight="false" outlineLevel="0" collapsed="false">
      <c r="A1158" s="0" t="n">
        <v>20</v>
      </c>
      <c r="B1158" s="0" t="n">
        <v>17</v>
      </c>
      <c r="C1158" s="0" t="str">
        <f aca="false">TRIM(SUBSTITUTE(INDEX(LISTAS!$A$4:$T$63,B1158,A1158)&amp;"",CHAR(160)," "))</f>
        <v/>
      </c>
      <c r="D1158" s="0" t="str">
        <f aca="false">IF(C1158="","",TRIM(RIGHT(SUBSTITUTE(C1158," ",REPT(" ",100)),100)))</f>
        <v/>
      </c>
      <c r="E1158" s="0" t="str">
        <f aca="false">IF(D1158="","",UPPER(SUBSTITUTE(SUBSTITUTE(D1158,"(",""),")","")))</f>
        <v/>
      </c>
      <c r="F1158" s="0" t="str">
        <f aca="false">IF(C1158="","",LEFT(C1158,FIND(" ",C1158&amp;" ")-1))</f>
        <v/>
      </c>
      <c r="G1158" s="0" t="n">
        <f aca="false">IFERROR(VALUE(SUBSTITUTE(LOWER(F1158),"x","")),0)</f>
        <v>0</v>
      </c>
      <c r="H1158" s="0" t="str">
        <f aca="false">IF(C1158="","",TRIM(MID(C1158,LEN(F1158)+2,999)))</f>
        <v/>
      </c>
      <c r="I1158" s="0" t="n">
        <f aca="false">IF(OR(C1158="",LEFT(C1158,2)="//"),0,IFERROR(IF(AND(G1158&gt;0,G1158=INT(G1158),FIND("-",E1158)&gt;1,NOT(EXACT(UPPER(LEFT(E1158,1)),LOWER(LEFT(E1158,1)))),ISNUMBER(VALUE(MID(E1158,FIND("-",E1158)+1,10)))),1,0),0))</f>
        <v>0</v>
      </c>
      <c r="J1158" s="0" t="str">
        <f aca="false">IF(I1158=1,TRIM(LEFT(H1158,MAX(0,LEN(H1158)-LEN(D1158)))),"")</f>
        <v/>
      </c>
      <c r="K1158" s="0" t="str">
        <f aca="false">INDEX($P$2:$P$21,A1158)</f>
        <v>Deck 20</v>
      </c>
      <c r="L1158" s="0" t="n">
        <f aca="false">IF(AND(C1158&lt;&gt;"",LEFT(C1158,2)&lt;&gt;"//",I1158=0),1,0)</f>
        <v>0</v>
      </c>
      <c r="M1158" s="0" t="str">
        <f aca="false">IF(I1158=1,MAX(M$1:M1157)+1,"")</f>
        <v/>
      </c>
      <c r="N1158" s="0" t="str">
        <f aca="false">IFERROR(MATCH(ROW()-1,$V$2:$V$1201,0),"")</f>
        <v/>
      </c>
      <c r="R1158" s="0" t="str">
        <f aca="false">IF(E1158="","",IFERROR(LEFT(E1158,FIND("-",E1158)-1),E1158))</f>
        <v/>
      </c>
      <c r="S1158" s="0" t="str">
        <f aca="false">IF(R1158="","",IF(ISNUMBER(--MID(R1158,1,1)),0,IF(ISNUMBER(--MID(R1158,2,1)),1,IF(ISNUMBER(--MID(R1158,3,1)),2,IF(ISNUMBER(--MID(R1158,4,1)),3,MIN(LEN(R1158),4))))))</f>
        <v/>
      </c>
      <c r="T1158" s="0" t="str">
        <f aca="false">IF(E1158="","",LEFT(R1158,S1158)&amp;REPT("0",4-S1158)&amp;RIGHT("000"&amp;IFERROR(VALUE(MID(R1158,S1158+1,9)),0),3)&amp;RIGHT("0000"&amp;IFERROR(VALUE(MID(E1158,FIND("-",E1158)+1,9)),0),4))</f>
        <v/>
      </c>
      <c r="U1158" s="0" t="str">
        <f aca="false">IF(I1158=1,"K"&amp;RIGHT("00"&amp;A1158,2)&amp;T1158&amp;RIGHT("00000"&amp;ROW(),5),"")</f>
        <v/>
      </c>
      <c r="V1158" s="0" t="str">
        <f aca="false">IF(U1158="","",COUNTIFS($I$2:$I$1201,1,$U$2:$U$1201,"&lt;"&amp;U1158)+1)</f>
        <v/>
      </c>
    </row>
    <row r="1159" customFormat="false" ht="15" hidden="false" customHeight="false" outlineLevel="0" collapsed="false">
      <c r="A1159" s="0" t="n">
        <v>20</v>
      </c>
      <c r="B1159" s="0" t="n">
        <v>18</v>
      </c>
      <c r="C1159" s="0" t="str">
        <f aca="false">TRIM(SUBSTITUTE(INDEX(LISTAS!$A$4:$T$63,B1159,A1159)&amp;"",CHAR(160)," "))</f>
        <v/>
      </c>
      <c r="D1159" s="0" t="str">
        <f aca="false">IF(C1159="","",TRIM(RIGHT(SUBSTITUTE(C1159," ",REPT(" ",100)),100)))</f>
        <v/>
      </c>
      <c r="E1159" s="0" t="str">
        <f aca="false">IF(D1159="","",UPPER(SUBSTITUTE(SUBSTITUTE(D1159,"(",""),")","")))</f>
        <v/>
      </c>
      <c r="F1159" s="0" t="str">
        <f aca="false">IF(C1159="","",LEFT(C1159,FIND(" ",C1159&amp;" ")-1))</f>
        <v/>
      </c>
      <c r="G1159" s="0" t="n">
        <f aca="false">IFERROR(VALUE(SUBSTITUTE(LOWER(F1159),"x","")),0)</f>
        <v>0</v>
      </c>
      <c r="H1159" s="0" t="str">
        <f aca="false">IF(C1159="","",TRIM(MID(C1159,LEN(F1159)+2,999)))</f>
        <v/>
      </c>
      <c r="I1159" s="0" t="n">
        <f aca="false">IF(OR(C1159="",LEFT(C1159,2)="//"),0,IFERROR(IF(AND(G1159&gt;0,G1159=INT(G1159),FIND("-",E1159)&gt;1,NOT(EXACT(UPPER(LEFT(E1159,1)),LOWER(LEFT(E1159,1)))),ISNUMBER(VALUE(MID(E1159,FIND("-",E1159)+1,10)))),1,0),0))</f>
        <v>0</v>
      </c>
      <c r="J1159" s="0" t="str">
        <f aca="false">IF(I1159=1,TRIM(LEFT(H1159,MAX(0,LEN(H1159)-LEN(D1159)))),"")</f>
        <v/>
      </c>
      <c r="K1159" s="0" t="str">
        <f aca="false">INDEX($P$2:$P$21,A1159)</f>
        <v>Deck 20</v>
      </c>
      <c r="L1159" s="0" t="n">
        <f aca="false">IF(AND(C1159&lt;&gt;"",LEFT(C1159,2)&lt;&gt;"//",I1159=0),1,0)</f>
        <v>0</v>
      </c>
      <c r="M1159" s="0" t="str">
        <f aca="false">IF(I1159=1,MAX(M$1:M1158)+1,"")</f>
        <v/>
      </c>
      <c r="N1159" s="0" t="str">
        <f aca="false">IFERROR(MATCH(ROW()-1,$V$2:$V$1201,0),"")</f>
        <v/>
      </c>
      <c r="R1159" s="0" t="str">
        <f aca="false">IF(E1159="","",IFERROR(LEFT(E1159,FIND("-",E1159)-1),E1159))</f>
        <v/>
      </c>
      <c r="S1159" s="0" t="str">
        <f aca="false">IF(R1159="","",IF(ISNUMBER(--MID(R1159,1,1)),0,IF(ISNUMBER(--MID(R1159,2,1)),1,IF(ISNUMBER(--MID(R1159,3,1)),2,IF(ISNUMBER(--MID(R1159,4,1)),3,MIN(LEN(R1159),4))))))</f>
        <v/>
      </c>
      <c r="T1159" s="0" t="str">
        <f aca="false">IF(E1159="","",LEFT(R1159,S1159)&amp;REPT("0",4-S1159)&amp;RIGHT("000"&amp;IFERROR(VALUE(MID(R1159,S1159+1,9)),0),3)&amp;RIGHT("0000"&amp;IFERROR(VALUE(MID(E1159,FIND("-",E1159)+1,9)),0),4))</f>
        <v/>
      </c>
      <c r="U1159" s="0" t="str">
        <f aca="false">IF(I1159=1,"K"&amp;RIGHT("00"&amp;A1159,2)&amp;T1159&amp;RIGHT("00000"&amp;ROW(),5),"")</f>
        <v/>
      </c>
      <c r="V1159" s="0" t="str">
        <f aca="false">IF(U1159="","",COUNTIFS($I$2:$I$1201,1,$U$2:$U$1201,"&lt;"&amp;U1159)+1)</f>
        <v/>
      </c>
    </row>
    <row r="1160" customFormat="false" ht="15" hidden="false" customHeight="false" outlineLevel="0" collapsed="false">
      <c r="A1160" s="0" t="n">
        <v>20</v>
      </c>
      <c r="B1160" s="0" t="n">
        <v>19</v>
      </c>
      <c r="C1160" s="0" t="str">
        <f aca="false">TRIM(SUBSTITUTE(INDEX(LISTAS!$A$4:$T$63,B1160,A1160)&amp;"",CHAR(160)," "))</f>
        <v/>
      </c>
      <c r="D1160" s="0" t="str">
        <f aca="false">IF(C1160="","",TRIM(RIGHT(SUBSTITUTE(C1160," ",REPT(" ",100)),100)))</f>
        <v/>
      </c>
      <c r="E1160" s="0" t="str">
        <f aca="false">IF(D1160="","",UPPER(SUBSTITUTE(SUBSTITUTE(D1160,"(",""),")","")))</f>
        <v/>
      </c>
      <c r="F1160" s="0" t="str">
        <f aca="false">IF(C1160="","",LEFT(C1160,FIND(" ",C1160&amp;" ")-1))</f>
        <v/>
      </c>
      <c r="G1160" s="0" t="n">
        <f aca="false">IFERROR(VALUE(SUBSTITUTE(LOWER(F1160),"x","")),0)</f>
        <v>0</v>
      </c>
      <c r="H1160" s="0" t="str">
        <f aca="false">IF(C1160="","",TRIM(MID(C1160,LEN(F1160)+2,999)))</f>
        <v/>
      </c>
      <c r="I1160" s="0" t="n">
        <f aca="false">IF(OR(C1160="",LEFT(C1160,2)="//"),0,IFERROR(IF(AND(G1160&gt;0,G1160=INT(G1160),FIND("-",E1160)&gt;1,NOT(EXACT(UPPER(LEFT(E1160,1)),LOWER(LEFT(E1160,1)))),ISNUMBER(VALUE(MID(E1160,FIND("-",E1160)+1,10)))),1,0),0))</f>
        <v>0</v>
      </c>
      <c r="J1160" s="0" t="str">
        <f aca="false">IF(I1160=1,TRIM(LEFT(H1160,MAX(0,LEN(H1160)-LEN(D1160)))),"")</f>
        <v/>
      </c>
      <c r="K1160" s="0" t="str">
        <f aca="false">INDEX($P$2:$P$21,A1160)</f>
        <v>Deck 20</v>
      </c>
      <c r="L1160" s="0" t="n">
        <f aca="false">IF(AND(C1160&lt;&gt;"",LEFT(C1160,2)&lt;&gt;"//",I1160=0),1,0)</f>
        <v>0</v>
      </c>
      <c r="M1160" s="0" t="str">
        <f aca="false">IF(I1160=1,MAX(M$1:M1159)+1,"")</f>
        <v/>
      </c>
      <c r="N1160" s="0" t="str">
        <f aca="false">IFERROR(MATCH(ROW()-1,$V$2:$V$1201,0),"")</f>
        <v/>
      </c>
      <c r="R1160" s="0" t="str">
        <f aca="false">IF(E1160="","",IFERROR(LEFT(E1160,FIND("-",E1160)-1),E1160))</f>
        <v/>
      </c>
      <c r="S1160" s="0" t="str">
        <f aca="false">IF(R1160="","",IF(ISNUMBER(--MID(R1160,1,1)),0,IF(ISNUMBER(--MID(R1160,2,1)),1,IF(ISNUMBER(--MID(R1160,3,1)),2,IF(ISNUMBER(--MID(R1160,4,1)),3,MIN(LEN(R1160),4))))))</f>
        <v/>
      </c>
      <c r="T1160" s="0" t="str">
        <f aca="false">IF(E1160="","",LEFT(R1160,S1160)&amp;REPT("0",4-S1160)&amp;RIGHT("000"&amp;IFERROR(VALUE(MID(R1160,S1160+1,9)),0),3)&amp;RIGHT("0000"&amp;IFERROR(VALUE(MID(E1160,FIND("-",E1160)+1,9)),0),4))</f>
        <v/>
      </c>
      <c r="U1160" s="0" t="str">
        <f aca="false">IF(I1160=1,"K"&amp;RIGHT("00"&amp;A1160,2)&amp;T1160&amp;RIGHT("00000"&amp;ROW(),5),"")</f>
        <v/>
      </c>
      <c r="V1160" s="0" t="str">
        <f aca="false">IF(U1160="","",COUNTIFS($I$2:$I$1201,1,$U$2:$U$1201,"&lt;"&amp;U1160)+1)</f>
        <v/>
      </c>
    </row>
    <row r="1161" customFormat="false" ht="15" hidden="false" customHeight="false" outlineLevel="0" collapsed="false">
      <c r="A1161" s="0" t="n">
        <v>20</v>
      </c>
      <c r="B1161" s="0" t="n">
        <v>20</v>
      </c>
      <c r="C1161" s="0" t="str">
        <f aca="false">TRIM(SUBSTITUTE(INDEX(LISTAS!$A$4:$T$63,B1161,A1161)&amp;"",CHAR(160)," "))</f>
        <v/>
      </c>
      <c r="D1161" s="0" t="str">
        <f aca="false">IF(C1161="","",TRIM(RIGHT(SUBSTITUTE(C1161," ",REPT(" ",100)),100)))</f>
        <v/>
      </c>
      <c r="E1161" s="0" t="str">
        <f aca="false">IF(D1161="","",UPPER(SUBSTITUTE(SUBSTITUTE(D1161,"(",""),")","")))</f>
        <v/>
      </c>
      <c r="F1161" s="0" t="str">
        <f aca="false">IF(C1161="","",LEFT(C1161,FIND(" ",C1161&amp;" ")-1))</f>
        <v/>
      </c>
      <c r="G1161" s="0" t="n">
        <f aca="false">IFERROR(VALUE(SUBSTITUTE(LOWER(F1161),"x","")),0)</f>
        <v>0</v>
      </c>
      <c r="H1161" s="0" t="str">
        <f aca="false">IF(C1161="","",TRIM(MID(C1161,LEN(F1161)+2,999)))</f>
        <v/>
      </c>
      <c r="I1161" s="0" t="n">
        <f aca="false">IF(OR(C1161="",LEFT(C1161,2)="//"),0,IFERROR(IF(AND(G1161&gt;0,G1161=INT(G1161),FIND("-",E1161)&gt;1,NOT(EXACT(UPPER(LEFT(E1161,1)),LOWER(LEFT(E1161,1)))),ISNUMBER(VALUE(MID(E1161,FIND("-",E1161)+1,10)))),1,0),0))</f>
        <v>0</v>
      </c>
      <c r="J1161" s="0" t="str">
        <f aca="false">IF(I1161=1,TRIM(LEFT(H1161,MAX(0,LEN(H1161)-LEN(D1161)))),"")</f>
        <v/>
      </c>
      <c r="K1161" s="0" t="str">
        <f aca="false">INDEX($P$2:$P$21,A1161)</f>
        <v>Deck 20</v>
      </c>
      <c r="L1161" s="0" t="n">
        <f aca="false">IF(AND(C1161&lt;&gt;"",LEFT(C1161,2)&lt;&gt;"//",I1161=0),1,0)</f>
        <v>0</v>
      </c>
      <c r="M1161" s="0" t="str">
        <f aca="false">IF(I1161=1,MAX(M$1:M1160)+1,"")</f>
        <v/>
      </c>
      <c r="N1161" s="0" t="str">
        <f aca="false">IFERROR(MATCH(ROW()-1,$V$2:$V$1201,0),"")</f>
        <v/>
      </c>
      <c r="R1161" s="0" t="str">
        <f aca="false">IF(E1161="","",IFERROR(LEFT(E1161,FIND("-",E1161)-1),E1161))</f>
        <v/>
      </c>
      <c r="S1161" s="0" t="str">
        <f aca="false">IF(R1161="","",IF(ISNUMBER(--MID(R1161,1,1)),0,IF(ISNUMBER(--MID(R1161,2,1)),1,IF(ISNUMBER(--MID(R1161,3,1)),2,IF(ISNUMBER(--MID(R1161,4,1)),3,MIN(LEN(R1161),4))))))</f>
        <v/>
      </c>
      <c r="T1161" s="0" t="str">
        <f aca="false">IF(E1161="","",LEFT(R1161,S1161)&amp;REPT("0",4-S1161)&amp;RIGHT("000"&amp;IFERROR(VALUE(MID(R1161,S1161+1,9)),0),3)&amp;RIGHT("0000"&amp;IFERROR(VALUE(MID(E1161,FIND("-",E1161)+1,9)),0),4))</f>
        <v/>
      </c>
      <c r="U1161" s="0" t="str">
        <f aca="false">IF(I1161=1,"K"&amp;RIGHT("00"&amp;A1161,2)&amp;T1161&amp;RIGHT("00000"&amp;ROW(),5),"")</f>
        <v/>
      </c>
      <c r="V1161" s="0" t="str">
        <f aca="false">IF(U1161="","",COUNTIFS($I$2:$I$1201,1,$U$2:$U$1201,"&lt;"&amp;U1161)+1)</f>
        <v/>
      </c>
    </row>
    <row r="1162" customFormat="false" ht="15" hidden="false" customHeight="false" outlineLevel="0" collapsed="false">
      <c r="A1162" s="0" t="n">
        <v>20</v>
      </c>
      <c r="B1162" s="0" t="n">
        <v>21</v>
      </c>
      <c r="C1162" s="0" t="str">
        <f aca="false">TRIM(SUBSTITUTE(INDEX(LISTAS!$A$4:$T$63,B1162,A1162)&amp;"",CHAR(160)," "))</f>
        <v/>
      </c>
      <c r="D1162" s="0" t="str">
        <f aca="false">IF(C1162="","",TRIM(RIGHT(SUBSTITUTE(C1162," ",REPT(" ",100)),100)))</f>
        <v/>
      </c>
      <c r="E1162" s="0" t="str">
        <f aca="false">IF(D1162="","",UPPER(SUBSTITUTE(SUBSTITUTE(D1162,"(",""),")","")))</f>
        <v/>
      </c>
      <c r="F1162" s="0" t="str">
        <f aca="false">IF(C1162="","",LEFT(C1162,FIND(" ",C1162&amp;" ")-1))</f>
        <v/>
      </c>
      <c r="G1162" s="0" t="n">
        <f aca="false">IFERROR(VALUE(SUBSTITUTE(LOWER(F1162),"x","")),0)</f>
        <v>0</v>
      </c>
      <c r="H1162" s="0" t="str">
        <f aca="false">IF(C1162="","",TRIM(MID(C1162,LEN(F1162)+2,999)))</f>
        <v/>
      </c>
      <c r="I1162" s="0" t="n">
        <f aca="false">IF(OR(C1162="",LEFT(C1162,2)="//"),0,IFERROR(IF(AND(G1162&gt;0,G1162=INT(G1162),FIND("-",E1162)&gt;1,NOT(EXACT(UPPER(LEFT(E1162,1)),LOWER(LEFT(E1162,1)))),ISNUMBER(VALUE(MID(E1162,FIND("-",E1162)+1,10)))),1,0),0))</f>
        <v>0</v>
      </c>
      <c r="J1162" s="0" t="str">
        <f aca="false">IF(I1162=1,TRIM(LEFT(H1162,MAX(0,LEN(H1162)-LEN(D1162)))),"")</f>
        <v/>
      </c>
      <c r="K1162" s="0" t="str">
        <f aca="false">INDEX($P$2:$P$21,A1162)</f>
        <v>Deck 20</v>
      </c>
      <c r="L1162" s="0" t="n">
        <f aca="false">IF(AND(C1162&lt;&gt;"",LEFT(C1162,2)&lt;&gt;"//",I1162=0),1,0)</f>
        <v>0</v>
      </c>
      <c r="M1162" s="0" t="str">
        <f aca="false">IF(I1162=1,MAX(M$1:M1161)+1,"")</f>
        <v/>
      </c>
      <c r="N1162" s="0" t="str">
        <f aca="false">IFERROR(MATCH(ROW()-1,$V$2:$V$1201,0),"")</f>
        <v/>
      </c>
      <c r="R1162" s="0" t="str">
        <f aca="false">IF(E1162="","",IFERROR(LEFT(E1162,FIND("-",E1162)-1),E1162))</f>
        <v/>
      </c>
      <c r="S1162" s="0" t="str">
        <f aca="false">IF(R1162="","",IF(ISNUMBER(--MID(R1162,1,1)),0,IF(ISNUMBER(--MID(R1162,2,1)),1,IF(ISNUMBER(--MID(R1162,3,1)),2,IF(ISNUMBER(--MID(R1162,4,1)),3,MIN(LEN(R1162),4))))))</f>
        <v/>
      </c>
      <c r="T1162" s="0" t="str">
        <f aca="false">IF(E1162="","",LEFT(R1162,S1162)&amp;REPT("0",4-S1162)&amp;RIGHT("000"&amp;IFERROR(VALUE(MID(R1162,S1162+1,9)),0),3)&amp;RIGHT("0000"&amp;IFERROR(VALUE(MID(E1162,FIND("-",E1162)+1,9)),0),4))</f>
        <v/>
      </c>
      <c r="U1162" s="0" t="str">
        <f aca="false">IF(I1162=1,"K"&amp;RIGHT("00"&amp;A1162,2)&amp;T1162&amp;RIGHT("00000"&amp;ROW(),5),"")</f>
        <v/>
      </c>
      <c r="V1162" s="0" t="str">
        <f aca="false">IF(U1162="","",COUNTIFS($I$2:$I$1201,1,$U$2:$U$1201,"&lt;"&amp;U1162)+1)</f>
        <v/>
      </c>
    </row>
    <row r="1163" customFormat="false" ht="15" hidden="false" customHeight="false" outlineLevel="0" collapsed="false">
      <c r="A1163" s="0" t="n">
        <v>20</v>
      </c>
      <c r="B1163" s="0" t="n">
        <v>22</v>
      </c>
      <c r="C1163" s="0" t="str">
        <f aca="false">TRIM(SUBSTITUTE(INDEX(LISTAS!$A$4:$T$63,B1163,A1163)&amp;"",CHAR(160)," "))</f>
        <v/>
      </c>
      <c r="D1163" s="0" t="str">
        <f aca="false">IF(C1163="","",TRIM(RIGHT(SUBSTITUTE(C1163," ",REPT(" ",100)),100)))</f>
        <v/>
      </c>
      <c r="E1163" s="0" t="str">
        <f aca="false">IF(D1163="","",UPPER(SUBSTITUTE(SUBSTITUTE(D1163,"(",""),")","")))</f>
        <v/>
      </c>
      <c r="F1163" s="0" t="str">
        <f aca="false">IF(C1163="","",LEFT(C1163,FIND(" ",C1163&amp;" ")-1))</f>
        <v/>
      </c>
      <c r="G1163" s="0" t="n">
        <f aca="false">IFERROR(VALUE(SUBSTITUTE(LOWER(F1163),"x","")),0)</f>
        <v>0</v>
      </c>
      <c r="H1163" s="0" t="str">
        <f aca="false">IF(C1163="","",TRIM(MID(C1163,LEN(F1163)+2,999)))</f>
        <v/>
      </c>
      <c r="I1163" s="0" t="n">
        <f aca="false">IF(OR(C1163="",LEFT(C1163,2)="//"),0,IFERROR(IF(AND(G1163&gt;0,G1163=INT(G1163),FIND("-",E1163)&gt;1,NOT(EXACT(UPPER(LEFT(E1163,1)),LOWER(LEFT(E1163,1)))),ISNUMBER(VALUE(MID(E1163,FIND("-",E1163)+1,10)))),1,0),0))</f>
        <v>0</v>
      </c>
      <c r="J1163" s="0" t="str">
        <f aca="false">IF(I1163=1,TRIM(LEFT(H1163,MAX(0,LEN(H1163)-LEN(D1163)))),"")</f>
        <v/>
      </c>
      <c r="K1163" s="0" t="str">
        <f aca="false">INDEX($P$2:$P$21,A1163)</f>
        <v>Deck 20</v>
      </c>
      <c r="L1163" s="0" t="n">
        <f aca="false">IF(AND(C1163&lt;&gt;"",LEFT(C1163,2)&lt;&gt;"//",I1163=0),1,0)</f>
        <v>0</v>
      </c>
      <c r="M1163" s="0" t="str">
        <f aca="false">IF(I1163=1,MAX(M$1:M1162)+1,"")</f>
        <v/>
      </c>
      <c r="N1163" s="0" t="str">
        <f aca="false">IFERROR(MATCH(ROW()-1,$V$2:$V$1201,0),"")</f>
        <v/>
      </c>
      <c r="R1163" s="0" t="str">
        <f aca="false">IF(E1163="","",IFERROR(LEFT(E1163,FIND("-",E1163)-1),E1163))</f>
        <v/>
      </c>
      <c r="S1163" s="0" t="str">
        <f aca="false">IF(R1163="","",IF(ISNUMBER(--MID(R1163,1,1)),0,IF(ISNUMBER(--MID(R1163,2,1)),1,IF(ISNUMBER(--MID(R1163,3,1)),2,IF(ISNUMBER(--MID(R1163,4,1)),3,MIN(LEN(R1163),4))))))</f>
        <v/>
      </c>
      <c r="T1163" s="0" t="str">
        <f aca="false">IF(E1163="","",LEFT(R1163,S1163)&amp;REPT("0",4-S1163)&amp;RIGHT("000"&amp;IFERROR(VALUE(MID(R1163,S1163+1,9)),0),3)&amp;RIGHT("0000"&amp;IFERROR(VALUE(MID(E1163,FIND("-",E1163)+1,9)),0),4))</f>
        <v/>
      </c>
      <c r="U1163" s="0" t="str">
        <f aca="false">IF(I1163=1,"K"&amp;RIGHT("00"&amp;A1163,2)&amp;T1163&amp;RIGHT("00000"&amp;ROW(),5),"")</f>
        <v/>
      </c>
      <c r="V1163" s="0" t="str">
        <f aca="false">IF(U1163="","",COUNTIFS($I$2:$I$1201,1,$U$2:$U$1201,"&lt;"&amp;U1163)+1)</f>
        <v/>
      </c>
    </row>
    <row r="1164" customFormat="false" ht="15" hidden="false" customHeight="false" outlineLevel="0" collapsed="false">
      <c r="A1164" s="0" t="n">
        <v>20</v>
      </c>
      <c r="B1164" s="0" t="n">
        <v>23</v>
      </c>
      <c r="C1164" s="0" t="str">
        <f aca="false">TRIM(SUBSTITUTE(INDEX(LISTAS!$A$4:$T$63,B1164,A1164)&amp;"",CHAR(160)," "))</f>
        <v/>
      </c>
      <c r="D1164" s="0" t="str">
        <f aca="false">IF(C1164="","",TRIM(RIGHT(SUBSTITUTE(C1164," ",REPT(" ",100)),100)))</f>
        <v/>
      </c>
      <c r="E1164" s="0" t="str">
        <f aca="false">IF(D1164="","",UPPER(SUBSTITUTE(SUBSTITUTE(D1164,"(",""),")","")))</f>
        <v/>
      </c>
      <c r="F1164" s="0" t="str">
        <f aca="false">IF(C1164="","",LEFT(C1164,FIND(" ",C1164&amp;" ")-1))</f>
        <v/>
      </c>
      <c r="G1164" s="0" t="n">
        <f aca="false">IFERROR(VALUE(SUBSTITUTE(LOWER(F1164),"x","")),0)</f>
        <v>0</v>
      </c>
      <c r="H1164" s="0" t="str">
        <f aca="false">IF(C1164="","",TRIM(MID(C1164,LEN(F1164)+2,999)))</f>
        <v/>
      </c>
      <c r="I1164" s="0" t="n">
        <f aca="false">IF(OR(C1164="",LEFT(C1164,2)="//"),0,IFERROR(IF(AND(G1164&gt;0,G1164=INT(G1164),FIND("-",E1164)&gt;1,NOT(EXACT(UPPER(LEFT(E1164,1)),LOWER(LEFT(E1164,1)))),ISNUMBER(VALUE(MID(E1164,FIND("-",E1164)+1,10)))),1,0),0))</f>
        <v>0</v>
      </c>
      <c r="J1164" s="0" t="str">
        <f aca="false">IF(I1164=1,TRIM(LEFT(H1164,MAX(0,LEN(H1164)-LEN(D1164)))),"")</f>
        <v/>
      </c>
      <c r="K1164" s="0" t="str">
        <f aca="false">INDEX($P$2:$P$21,A1164)</f>
        <v>Deck 20</v>
      </c>
      <c r="L1164" s="0" t="n">
        <f aca="false">IF(AND(C1164&lt;&gt;"",LEFT(C1164,2)&lt;&gt;"//",I1164=0),1,0)</f>
        <v>0</v>
      </c>
      <c r="M1164" s="0" t="str">
        <f aca="false">IF(I1164=1,MAX(M$1:M1163)+1,"")</f>
        <v/>
      </c>
      <c r="N1164" s="0" t="str">
        <f aca="false">IFERROR(MATCH(ROW()-1,$V$2:$V$1201,0),"")</f>
        <v/>
      </c>
      <c r="R1164" s="0" t="str">
        <f aca="false">IF(E1164="","",IFERROR(LEFT(E1164,FIND("-",E1164)-1),E1164))</f>
        <v/>
      </c>
      <c r="S1164" s="0" t="str">
        <f aca="false">IF(R1164="","",IF(ISNUMBER(--MID(R1164,1,1)),0,IF(ISNUMBER(--MID(R1164,2,1)),1,IF(ISNUMBER(--MID(R1164,3,1)),2,IF(ISNUMBER(--MID(R1164,4,1)),3,MIN(LEN(R1164),4))))))</f>
        <v/>
      </c>
      <c r="T1164" s="0" t="str">
        <f aca="false">IF(E1164="","",LEFT(R1164,S1164)&amp;REPT("0",4-S1164)&amp;RIGHT("000"&amp;IFERROR(VALUE(MID(R1164,S1164+1,9)),0),3)&amp;RIGHT("0000"&amp;IFERROR(VALUE(MID(E1164,FIND("-",E1164)+1,9)),0),4))</f>
        <v/>
      </c>
      <c r="U1164" s="0" t="str">
        <f aca="false">IF(I1164=1,"K"&amp;RIGHT("00"&amp;A1164,2)&amp;T1164&amp;RIGHT("00000"&amp;ROW(),5),"")</f>
        <v/>
      </c>
      <c r="V1164" s="0" t="str">
        <f aca="false">IF(U1164="","",COUNTIFS($I$2:$I$1201,1,$U$2:$U$1201,"&lt;"&amp;U1164)+1)</f>
        <v/>
      </c>
    </row>
    <row r="1165" customFormat="false" ht="15" hidden="false" customHeight="false" outlineLevel="0" collapsed="false">
      <c r="A1165" s="0" t="n">
        <v>20</v>
      </c>
      <c r="B1165" s="0" t="n">
        <v>24</v>
      </c>
      <c r="C1165" s="0" t="str">
        <f aca="false">TRIM(SUBSTITUTE(INDEX(LISTAS!$A$4:$T$63,B1165,A1165)&amp;"",CHAR(160)," "))</f>
        <v/>
      </c>
      <c r="D1165" s="0" t="str">
        <f aca="false">IF(C1165="","",TRIM(RIGHT(SUBSTITUTE(C1165," ",REPT(" ",100)),100)))</f>
        <v/>
      </c>
      <c r="E1165" s="0" t="str">
        <f aca="false">IF(D1165="","",UPPER(SUBSTITUTE(SUBSTITUTE(D1165,"(",""),")","")))</f>
        <v/>
      </c>
      <c r="F1165" s="0" t="str">
        <f aca="false">IF(C1165="","",LEFT(C1165,FIND(" ",C1165&amp;" ")-1))</f>
        <v/>
      </c>
      <c r="G1165" s="0" t="n">
        <f aca="false">IFERROR(VALUE(SUBSTITUTE(LOWER(F1165),"x","")),0)</f>
        <v>0</v>
      </c>
      <c r="H1165" s="0" t="str">
        <f aca="false">IF(C1165="","",TRIM(MID(C1165,LEN(F1165)+2,999)))</f>
        <v/>
      </c>
      <c r="I1165" s="0" t="n">
        <f aca="false">IF(OR(C1165="",LEFT(C1165,2)="//"),0,IFERROR(IF(AND(G1165&gt;0,G1165=INT(G1165),FIND("-",E1165)&gt;1,NOT(EXACT(UPPER(LEFT(E1165,1)),LOWER(LEFT(E1165,1)))),ISNUMBER(VALUE(MID(E1165,FIND("-",E1165)+1,10)))),1,0),0))</f>
        <v>0</v>
      </c>
      <c r="J1165" s="0" t="str">
        <f aca="false">IF(I1165=1,TRIM(LEFT(H1165,MAX(0,LEN(H1165)-LEN(D1165)))),"")</f>
        <v/>
      </c>
      <c r="K1165" s="0" t="str">
        <f aca="false">INDEX($P$2:$P$21,A1165)</f>
        <v>Deck 20</v>
      </c>
      <c r="L1165" s="0" t="n">
        <f aca="false">IF(AND(C1165&lt;&gt;"",LEFT(C1165,2)&lt;&gt;"//",I1165=0),1,0)</f>
        <v>0</v>
      </c>
      <c r="M1165" s="0" t="str">
        <f aca="false">IF(I1165=1,MAX(M$1:M1164)+1,"")</f>
        <v/>
      </c>
      <c r="N1165" s="0" t="str">
        <f aca="false">IFERROR(MATCH(ROW()-1,$V$2:$V$1201,0),"")</f>
        <v/>
      </c>
      <c r="R1165" s="0" t="str">
        <f aca="false">IF(E1165="","",IFERROR(LEFT(E1165,FIND("-",E1165)-1),E1165))</f>
        <v/>
      </c>
      <c r="S1165" s="0" t="str">
        <f aca="false">IF(R1165="","",IF(ISNUMBER(--MID(R1165,1,1)),0,IF(ISNUMBER(--MID(R1165,2,1)),1,IF(ISNUMBER(--MID(R1165,3,1)),2,IF(ISNUMBER(--MID(R1165,4,1)),3,MIN(LEN(R1165),4))))))</f>
        <v/>
      </c>
      <c r="T1165" s="0" t="str">
        <f aca="false">IF(E1165="","",LEFT(R1165,S1165)&amp;REPT("0",4-S1165)&amp;RIGHT("000"&amp;IFERROR(VALUE(MID(R1165,S1165+1,9)),0),3)&amp;RIGHT("0000"&amp;IFERROR(VALUE(MID(E1165,FIND("-",E1165)+1,9)),0),4))</f>
        <v/>
      </c>
      <c r="U1165" s="0" t="str">
        <f aca="false">IF(I1165=1,"K"&amp;RIGHT("00"&amp;A1165,2)&amp;T1165&amp;RIGHT("00000"&amp;ROW(),5),"")</f>
        <v/>
      </c>
      <c r="V1165" s="0" t="str">
        <f aca="false">IF(U1165="","",COUNTIFS($I$2:$I$1201,1,$U$2:$U$1201,"&lt;"&amp;U1165)+1)</f>
        <v/>
      </c>
    </row>
    <row r="1166" customFormat="false" ht="15" hidden="false" customHeight="false" outlineLevel="0" collapsed="false">
      <c r="A1166" s="0" t="n">
        <v>20</v>
      </c>
      <c r="B1166" s="0" t="n">
        <v>25</v>
      </c>
      <c r="C1166" s="0" t="str">
        <f aca="false">TRIM(SUBSTITUTE(INDEX(LISTAS!$A$4:$T$63,B1166,A1166)&amp;"",CHAR(160)," "))</f>
        <v/>
      </c>
      <c r="D1166" s="0" t="str">
        <f aca="false">IF(C1166="","",TRIM(RIGHT(SUBSTITUTE(C1166," ",REPT(" ",100)),100)))</f>
        <v/>
      </c>
      <c r="E1166" s="0" t="str">
        <f aca="false">IF(D1166="","",UPPER(SUBSTITUTE(SUBSTITUTE(D1166,"(",""),")","")))</f>
        <v/>
      </c>
      <c r="F1166" s="0" t="str">
        <f aca="false">IF(C1166="","",LEFT(C1166,FIND(" ",C1166&amp;" ")-1))</f>
        <v/>
      </c>
      <c r="G1166" s="0" t="n">
        <f aca="false">IFERROR(VALUE(SUBSTITUTE(LOWER(F1166),"x","")),0)</f>
        <v>0</v>
      </c>
      <c r="H1166" s="0" t="str">
        <f aca="false">IF(C1166="","",TRIM(MID(C1166,LEN(F1166)+2,999)))</f>
        <v/>
      </c>
      <c r="I1166" s="0" t="n">
        <f aca="false">IF(OR(C1166="",LEFT(C1166,2)="//"),0,IFERROR(IF(AND(G1166&gt;0,G1166=INT(G1166),FIND("-",E1166)&gt;1,NOT(EXACT(UPPER(LEFT(E1166,1)),LOWER(LEFT(E1166,1)))),ISNUMBER(VALUE(MID(E1166,FIND("-",E1166)+1,10)))),1,0),0))</f>
        <v>0</v>
      </c>
      <c r="J1166" s="0" t="str">
        <f aca="false">IF(I1166=1,TRIM(LEFT(H1166,MAX(0,LEN(H1166)-LEN(D1166)))),"")</f>
        <v/>
      </c>
      <c r="K1166" s="0" t="str">
        <f aca="false">INDEX($P$2:$P$21,A1166)</f>
        <v>Deck 20</v>
      </c>
      <c r="L1166" s="0" t="n">
        <f aca="false">IF(AND(C1166&lt;&gt;"",LEFT(C1166,2)&lt;&gt;"//",I1166=0),1,0)</f>
        <v>0</v>
      </c>
      <c r="M1166" s="0" t="str">
        <f aca="false">IF(I1166=1,MAX(M$1:M1165)+1,"")</f>
        <v/>
      </c>
      <c r="N1166" s="0" t="str">
        <f aca="false">IFERROR(MATCH(ROW()-1,$V$2:$V$1201,0),"")</f>
        <v/>
      </c>
      <c r="R1166" s="0" t="str">
        <f aca="false">IF(E1166="","",IFERROR(LEFT(E1166,FIND("-",E1166)-1),E1166))</f>
        <v/>
      </c>
      <c r="S1166" s="0" t="str">
        <f aca="false">IF(R1166="","",IF(ISNUMBER(--MID(R1166,1,1)),0,IF(ISNUMBER(--MID(R1166,2,1)),1,IF(ISNUMBER(--MID(R1166,3,1)),2,IF(ISNUMBER(--MID(R1166,4,1)),3,MIN(LEN(R1166),4))))))</f>
        <v/>
      </c>
      <c r="T1166" s="0" t="str">
        <f aca="false">IF(E1166="","",LEFT(R1166,S1166)&amp;REPT("0",4-S1166)&amp;RIGHT("000"&amp;IFERROR(VALUE(MID(R1166,S1166+1,9)),0),3)&amp;RIGHT("0000"&amp;IFERROR(VALUE(MID(E1166,FIND("-",E1166)+1,9)),0),4))</f>
        <v/>
      </c>
      <c r="U1166" s="0" t="str">
        <f aca="false">IF(I1166=1,"K"&amp;RIGHT("00"&amp;A1166,2)&amp;T1166&amp;RIGHT("00000"&amp;ROW(),5),"")</f>
        <v/>
      </c>
      <c r="V1166" s="0" t="str">
        <f aca="false">IF(U1166="","",COUNTIFS($I$2:$I$1201,1,$U$2:$U$1201,"&lt;"&amp;U1166)+1)</f>
        <v/>
      </c>
    </row>
    <row r="1167" customFormat="false" ht="15" hidden="false" customHeight="false" outlineLevel="0" collapsed="false">
      <c r="A1167" s="0" t="n">
        <v>20</v>
      </c>
      <c r="B1167" s="0" t="n">
        <v>26</v>
      </c>
      <c r="C1167" s="0" t="str">
        <f aca="false">TRIM(SUBSTITUTE(INDEX(LISTAS!$A$4:$T$63,B1167,A1167)&amp;"",CHAR(160)," "))</f>
        <v/>
      </c>
      <c r="D1167" s="0" t="str">
        <f aca="false">IF(C1167="","",TRIM(RIGHT(SUBSTITUTE(C1167," ",REPT(" ",100)),100)))</f>
        <v/>
      </c>
      <c r="E1167" s="0" t="str">
        <f aca="false">IF(D1167="","",UPPER(SUBSTITUTE(SUBSTITUTE(D1167,"(",""),")","")))</f>
        <v/>
      </c>
      <c r="F1167" s="0" t="str">
        <f aca="false">IF(C1167="","",LEFT(C1167,FIND(" ",C1167&amp;" ")-1))</f>
        <v/>
      </c>
      <c r="G1167" s="0" t="n">
        <f aca="false">IFERROR(VALUE(SUBSTITUTE(LOWER(F1167),"x","")),0)</f>
        <v>0</v>
      </c>
      <c r="H1167" s="0" t="str">
        <f aca="false">IF(C1167="","",TRIM(MID(C1167,LEN(F1167)+2,999)))</f>
        <v/>
      </c>
      <c r="I1167" s="0" t="n">
        <f aca="false">IF(OR(C1167="",LEFT(C1167,2)="//"),0,IFERROR(IF(AND(G1167&gt;0,G1167=INT(G1167),FIND("-",E1167)&gt;1,NOT(EXACT(UPPER(LEFT(E1167,1)),LOWER(LEFT(E1167,1)))),ISNUMBER(VALUE(MID(E1167,FIND("-",E1167)+1,10)))),1,0),0))</f>
        <v>0</v>
      </c>
      <c r="J1167" s="0" t="str">
        <f aca="false">IF(I1167=1,TRIM(LEFT(H1167,MAX(0,LEN(H1167)-LEN(D1167)))),"")</f>
        <v/>
      </c>
      <c r="K1167" s="0" t="str">
        <f aca="false">INDEX($P$2:$P$21,A1167)</f>
        <v>Deck 20</v>
      </c>
      <c r="L1167" s="0" t="n">
        <f aca="false">IF(AND(C1167&lt;&gt;"",LEFT(C1167,2)&lt;&gt;"//",I1167=0),1,0)</f>
        <v>0</v>
      </c>
      <c r="M1167" s="0" t="str">
        <f aca="false">IF(I1167=1,MAX(M$1:M1166)+1,"")</f>
        <v/>
      </c>
      <c r="N1167" s="0" t="str">
        <f aca="false">IFERROR(MATCH(ROW()-1,$V$2:$V$1201,0),"")</f>
        <v/>
      </c>
      <c r="R1167" s="0" t="str">
        <f aca="false">IF(E1167="","",IFERROR(LEFT(E1167,FIND("-",E1167)-1),E1167))</f>
        <v/>
      </c>
      <c r="S1167" s="0" t="str">
        <f aca="false">IF(R1167="","",IF(ISNUMBER(--MID(R1167,1,1)),0,IF(ISNUMBER(--MID(R1167,2,1)),1,IF(ISNUMBER(--MID(R1167,3,1)),2,IF(ISNUMBER(--MID(R1167,4,1)),3,MIN(LEN(R1167),4))))))</f>
        <v/>
      </c>
      <c r="T1167" s="0" t="str">
        <f aca="false">IF(E1167="","",LEFT(R1167,S1167)&amp;REPT("0",4-S1167)&amp;RIGHT("000"&amp;IFERROR(VALUE(MID(R1167,S1167+1,9)),0),3)&amp;RIGHT("0000"&amp;IFERROR(VALUE(MID(E1167,FIND("-",E1167)+1,9)),0),4))</f>
        <v/>
      </c>
      <c r="U1167" s="0" t="str">
        <f aca="false">IF(I1167=1,"K"&amp;RIGHT("00"&amp;A1167,2)&amp;T1167&amp;RIGHT("00000"&amp;ROW(),5),"")</f>
        <v/>
      </c>
      <c r="V1167" s="0" t="str">
        <f aca="false">IF(U1167="","",COUNTIFS($I$2:$I$1201,1,$U$2:$U$1201,"&lt;"&amp;U1167)+1)</f>
        <v/>
      </c>
    </row>
    <row r="1168" customFormat="false" ht="15" hidden="false" customHeight="false" outlineLevel="0" collapsed="false">
      <c r="A1168" s="0" t="n">
        <v>20</v>
      </c>
      <c r="B1168" s="0" t="n">
        <v>27</v>
      </c>
      <c r="C1168" s="0" t="str">
        <f aca="false">TRIM(SUBSTITUTE(INDEX(LISTAS!$A$4:$T$63,B1168,A1168)&amp;"",CHAR(160)," "))</f>
        <v/>
      </c>
      <c r="D1168" s="0" t="str">
        <f aca="false">IF(C1168="","",TRIM(RIGHT(SUBSTITUTE(C1168," ",REPT(" ",100)),100)))</f>
        <v/>
      </c>
      <c r="E1168" s="0" t="str">
        <f aca="false">IF(D1168="","",UPPER(SUBSTITUTE(SUBSTITUTE(D1168,"(",""),")","")))</f>
        <v/>
      </c>
      <c r="F1168" s="0" t="str">
        <f aca="false">IF(C1168="","",LEFT(C1168,FIND(" ",C1168&amp;" ")-1))</f>
        <v/>
      </c>
      <c r="G1168" s="0" t="n">
        <f aca="false">IFERROR(VALUE(SUBSTITUTE(LOWER(F1168),"x","")),0)</f>
        <v>0</v>
      </c>
      <c r="H1168" s="0" t="str">
        <f aca="false">IF(C1168="","",TRIM(MID(C1168,LEN(F1168)+2,999)))</f>
        <v/>
      </c>
      <c r="I1168" s="0" t="n">
        <f aca="false">IF(OR(C1168="",LEFT(C1168,2)="//"),0,IFERROR(IF(AND(G1168&gt;0,G1168=INT(G1168),FIND("-",E1168)&gt;1,NOT(EXACT(UPPER(LEFT(E1168,1)),LOWER(LEFT(E1168,1)))),ISNUMBER(VALUE(MID(E1168,FIND("-",E1168)+1,10)))),1,0),0))</f>
        <v>0</v>
      </c>
      <c r="J1168" s="0" t="str">
        <f aca="false">IF(I1168=1,TRIM(LEFT(H1168,MAX(0,LEN(H1168)-LEN(D1168)))),"")</f>
        <v/>
      </c>
      <c r="K1168" s="0" t="str">
        <f aca="false">INDEX($P$2:$P$21,A1168)</f>
        <v>Deck 20</v>
      </c>
      <c r="L1168" s="0" t="n">
        <f aca="false">IF(AND(C1168&lt;&gt;"",LEFT(C1168,2)&lt;&gt;"//",I1168=0),1,0)</f>
        <v>0</v>
      </c>
      <c r="M1168" s="0" t="str">
        <f aca="false">IF(I1168=1,MAX(M$1:M1167)+1,"")</f>
        <v/>
      </c>
      <c r="N1168" s="0" t="str">
        <f aca="false">IFERROR(MATCH(ROW()-1,$V$2:$V$1201,0),"")</f>
        <v/>
      </c>
      <c r="R1168" s="0" t="str">
        <f aca="false">IF(E1168="","",IFERROR(LEFT(E1168,FIND("-",E1168)-1),E1168))</f>
        <v/>
      </c>
      <c r="S1168" s="0" t="str">
        <f aca="false">IF(R1168="","",IF(ISNUMBER(--MID(R1168,1,1)),0,IF(ISNUMBER(--MID(R1168,2,1)),1,IF(ISNUMBER(--MID(R1168,3,1)),2,IF(ISNUMBER(--MID(R1168,4,1)),3,MIN(LEN(R1168),4))))))</f>
        <v/>
      </c>
      <c r="T1168" s="0" t="str">
        <f aca="false">IF(E1168="","",LEFT(R1168,S1168)&amp;REPT("0",4-S1168)&amp;RIGHT("000"&amp;IFERROR(VALUE(MID(R1168,S1168+1,9)),0),3)&amp;RIGHT("0000"&amp;IFERROR(VALUE(MID(E1168,FIND("-",E1168)+1,9)),0),4))</f>
        <v/>
      </c>
      <c r="U1168" s="0" t="str">
        <f aca="false">IF(I1168=1,"K"&amp;RIGHT("00"&amp;A1168,2)&amp;T1168&amp;RIGHT("00000"&amp;ROW(),5),"")</f>
        <v/>
      </c>
      <c r="V1168" s="0" t="str">
        <f aca="false">IF(U1168="","",COUNTIFS($I$2:$I$1201,1,$U$2:$U$1201,"&lt;"&amp;U1168)+1)</f>
        <v/>
      </c>
    </row>
    <row r="1169" customFormat="false" ht="15" hidden="false" customHeight="false" outlineLevel="0" collapsed="false">
      <c r="A1169" s="0" t="n">
        <v>20</v>
      </c>
      <c r="B1169" s="0" t="n">
        <v>28</v>
      </c>
      <c r="C1169" s="0" t="str">
        <f aca="false">TRIM(SUBSTITUTE(INDEX(LISTAS!$A$4:$T$63,B1169,A1169)&amp;"",CHAR(160)," "))</f>
        <v/>
      </c>
      <c r="D1169" s="0" t="str">
        <f aca="false">IF(C1169="","",TRIM(RIGHT(SUBSTITUTE(C1169," ",REPT(" ",100)),100)))</f>
        <v/>
      </c>
      <c r="E1169" s="0" t="str">
        <f aca="false">IF(D1169="","",UPPER(SUBSTITUTE(SUBSTITUTE(D1169,"(",""),")","")))</f>
        <v/>
      </c>
      <c r="F1169" s="0" t="str">
        <f aca="false">IF(C1169="","",LEFT(C1169,FIND(" ",C1169&amp;" ")-1))</f>
        <v/>
      </c>
      <c r="G1169" s="0" t="n">
        <f aca="false">IFERROR(VALUE(SUBSTITUTE(LOWER(F1169),"x","")),0)</f>
        <v>0</v>
      </c>
      <c r="H1169" s="0" t="str">
        <f aca="false">IF(C1169="","",TRIM(MID(C1169,LEN(F1169)+2,999)))</f>
        <v/>
      </c>
      <c r="I1169" s="0" t="n">
        <f aca="false">IF(OR(C1169="",LEFT(C1169,2)="//"),0,IFERROR(IF(AND(G1169&gt;0,G1169=INT(G1169),FIND("-",E1169)&gt;1,NOT(EXACT(UPPER(LEFT(E1169,1)),LOWER(LEFT(E1169,1)))),ISNUMBER(VALUE(MID(E1169,FIND("-",E1169)+1,10)))),1,0),0))</f>
        <v>0</v>
      </c>
      <c r="J1169" s="0" t="str">
        <f aca="false">IF(I1169=1,TRIM(LEFT(H1169,MAX(0,LEN(H1169)-LEN(D1169)))),"")</f>
        <v/>
      </c>
      <c r="K1169" s="0" t="str">
        <f aca="false">INDEX($P$2:$P$21,A1169)</f>
        <v>Deck 20</v>
      </c>
      <c r="L1169" s="0" t="n">
        <f aca="false">IF(AND(C1169&lt;&gt;"",LEFT(C1169,2)&lt;&gt;"//",I1169=0),1,0)</f>
        <v>0</v>
      </c>
      <c r="M1169" s="0" t="str">
        <f aca="false">IF(I1169=1,MAX(M$1:M1168)+1,"")</f>
        <v/>
      </c>
      <c r="N1169" s="0" t="str">
        <f aca="false">IFERROR(MATCH(ROW()-1,$V$2:$V$1201,0),"")</f>
        <v/>
      </c>
      <c r="R1169" s="0" t="str">
        <f aca="false">IF(E1169="","",IFERROR(LEFT(E1169,FIND("-",E1169)-1),E1169))</f>
        <v/>
      </c>
      <c r="S1169" s="0" t="str">
        <f aca="false">IF(R1169="","",IF(ISNUMBER(--MID(R1169,1,1)),0,IF(ISNUMBER(--MID(R1169,2,1)),1,IF(ISNUMBER(--MID(R1169,3,1)),2,IF(ISNUMBER(--MID(R1169,4,1)),3,MIN(LEN(R1169),4))))))</f>
        <v/>
      </c>
      <c r="T1169" s="0" t="str">
        <f aca="false">IF(E1169="","",LEFT(R1169,S1169)&amp;REPT("0",4-S1169)&amp;RIGHT("000"&amp;IFERROR(VALUE(MID(R1169,S1169+1,9)),0),3)&amp;RIGHT("0000"&amp;IFERROR(VALUE(MID(E1169,FIND("-",E1169)+1,9)),0),4))</f>
        <v/>
      </c>
      <c r="U1169" s="0" t="str">
        <f aca="false">IF(I1169=1,"K"&amp;RIGHT("00"&amp;A1169,2)&amp;T1169&amp;RIGHT("00000"&amp;ROW(),5),"")</f>
        <v/>
      </c>
      <c r="V1169" s="0" t="str">
        <f aca="false">IF(U1169="","",COUNTIFS($I$2:$I$1201,1,$U$2:$U$1201,"&lt;"&amp;U1169)+1)</f>
        <v/>
      </c>
    </row>
    <row r="1170" customFormat="false" ht="15" hidden="false" customHeight="false" outlineLevel="0" collapsed="false">
      <c r="A1170" s="0" t="n">
        <v>20</v>
      </c>
      <c r="B1170" s="0" t="n">
        <v>29</v>
      </c>
      <c r="C1170" s="0" t="str">
        <f aca="false">TRIM(SUBSTITUTE(INDEX(LISTAS!$A$4:$T$63,B1170,A1170)&amp;"",CHAR(160)," "))</f>
        <v/>
      </c>
      <c r="D1170" s="0" t="str">
        <f aca="false">IF(C1170="","",TRIM(RIGHT(SUBSTITUTE(C1170," ",REPT(" ",100)),100)))</f>
        <v/>
      </c>
      <c r="E1170" s="0" t="str">
        <f aca="false">IF(D1170="","",UPPER(SUBSTITUTE(SUBSTITUTE(D1170,"(",""),")","")))</f>
        <v/>
      </c>
      <c r="F1170" s="0" t="str">
        <f aca="false">IF(C1170="","",LEFT(C1170,FIND(" ",C1170&amp;" ")-1))</f>
        <v/>
      </c>
      <c r="G1170" s="0" t="n">
        <f aca="false">IFERROR(VALUE(SUBSTITUTE(LOWER(F1170),"x","")),0)</f>
        <v>0</v>
      </c>
      <c r="H1170" s="0" t="str">
        <f aca="false">IF(C1170="","",TRIM(MID(C1170,LEN(F1170)+2,999)))</f>
        <v/>
      </c>
      <c r="I1170" s="0" t="n">
        <f aca="false">IF(OR(C1170="",LEFT(C1170,2)="//"),0,IFERROR(IF(AND(G1170&gt;0,G1170=INT(G1170),FIND("-",E1170)&gt;1,NOT(EXACT(UPPER(LEFT(E1170,1)),LOWER(LEFT(E1170,1)))),ISNUMBER(VALUE(MID(E1170,FIND("-",E1170)+1,10)))),1,0),0))</f>
        <v>0</v>
      </c>
      <c r="J1170" s="0" t="str">
        <f aca="false">IF(I1170=1,TRIM(LEFT(H1170,MAX(0,LEN(H1170)-LEN(D1170)))),"")</f>
        <v/>
      </c>
      <c r="K1170" s="0" t="str">
        <f aca="false">INDEX($P$2:$P$21,A1170)</f>
        <v>Deck 20</v>
      </c>
      <c r="L1170" s="0" t="n">
        <f aca="false">IF(AND(C1170&lt;&gt;"",LEFT(C1170,2)&lt;&gt;"//",I1170=0),1,0)</f>
        <v>0</v>
      </c>
      <c r="M1170" s="0" t="str">
        <f aca="false">IF(I1170=1,MAX(M$1:M1169)+1,"")</f>
        <v/>
      </c>
      <c r="N1170" s="0" t="str">
        <f aca="false">IFERROR(MATCH(ROW()-1,$V$2:$V$1201,0),"")</f>
        <v/>
      </c>
      <c r="R1170" s="0" t="str">
        <f aca="false">IF(E1170="","",IFERROR(LEFT(E1170,FIND("-",E1170)-1),E1170))</f>
        <v/>
      </c>
      <c r="S1170" s="0" t="str">
        <f aca="false">IF(R1170="","",IF(ISNUMBER(--MID(R1170,1,1)),0,IF(ISNUMBER(--MID(R1170,2,1)),1,IF(ISNUMBER(--MID(R1170,3,1)),2,IF(ISNUMBER(--MID(R1170,4,1)),3,MIN(LEN(R1170),4))))))</f>
        <v/>
      </c>
      <c r="T1170" s="0" t="str">
        <f aca="false">IF(E1170="","",LEFT(R1170,S1170)&amp;REPT("0",4-S1170)&amp;RIGHT("000"&amp;IFERROR(VALUE(MID(R1170,S1170+1,9)),0),3)&amp;RIGHT("0000"&amp;IFERROR(VALUE(MID(E1170,FIND("-",E1170)+1,9)),0),4))</f>
        <v/>
      </c>
      <c r="U1170" s="0" t="str">
        <f aca="false">IF(I1170=1,"K"&amp;RIGHT("00"&amp;A1170,2)&amp;T1170&amp;RIGHT("00000"&amp;ROW(),5),"")</f>
        <v/>
      </c>
      <c r="V1170" s="0" t="str">
        <f aca="false">IF(U1170="","",COUNTIFS($I$2:$I$1201,1,$U$2:$U$1201,"&lt;"&amp;U1170)+1)</f>
        <v/>
      </c>
    </row>
    <row r="1171" customFormat="false" ht="15" hidden="false" customHeight="false" outlineLevel="0" collapsed="false">
      <c r="A1171" s="0" t="n">
        <v>20</v>
      </c>
      <c r="B1171" s="0" t="n">
        <v>30</v>
      </c>
      <c r="C1171" s="0" t="str">
        <f aca="false">TRIM(SUBSTITUTE(INDEX(LISTAS!$A$4:$T$63,B1171,A1171)&amp;"",CHAR(160)," "))</f>
        <v/>
      </c>
      <c r="D1171" s="0" t="str">
        <f aca="false">IF(C1171="","",TRIM(RIGHT(SUBSTITUTE(C1171," ",REPT(" ",100)),100)))</f>
        <v/>
      </c>
      <c r="E1171" s="0" t="str">
        <f aca="false">IF(D1171="","",UPPER(SUBSTITUTE(SUBSTITUTE(D1171,"(",""),")","")))</f>
        <v/>
      </c>
      <c r="F1171" s="0" t="str">
        <f aca="false">IF(C1171="","",LEFT(C1171,FIND(" ",C1171&amp;" ")-1))</f>
        <v/>
      </c>
      <c r="G1171" s="0" t="n">
        <f aca="false">IFERROR(VALUE(SUBSTITUTE(LOWER(F1171),"x","")),0)</f>
        <v>0</v>
      </c>
      <c r="H1171" s="0" t="str">
        <f aca="false">IF(C1171="","",TRIM(MID(C1171,LEN(F1171)+2,999)))</f>
        <v/>
      </c>
      <c r="I1171" s="0" t="n">
        <f aca="false">IF(OR(C1171="",LEFT(C1171,2)="//"),0,IFERROR(IF(AND(G1171&gt;0,G1171=INT(G1171),FIND("-",E1171)&gt;1,NOT(EXACT(UPPER(LEFT(E1171,1)),LOWER(LEFT(E1171,1)))),ISNUMBER(VALUE(MID(E1171,FIND("-",E1171)+1,10)))),1,0),0))</f>
        <v>0</v>
      </c>
      <c r="J1171" s="0" t="str">
        <f aca="false">IF(I1171=1,TRIM(LEFT(H1171,MAX(0,LEN(H1171)-LEN(D1171)))),"")</f>
        <v/>
      </c>
      <c r="K1171" s="0" t="str">
        <f aca="false">INDEX($P$2:$P$21,A1171)</f>
        <v>Deck 20</v>
      </c>
      <c r="L1171" s="0" t="n">
        <f aca="false">IF(AND(C1171&lt;&gt;"",LEFT(C1171,2)&lt;&gt;"//",I1171=0),1,0)</f>
        <v>0</v>
      </c>
      <c r="M1171" s="0" t="str">
        <f aca="false">IF(I1171=1,MAX(M$1:M1170)+1,"")</f>
        <v/>
      </c>
      <c r="N1171" s="0" t="str">
        <f aca="false">IFERROR(MATCH(ROW()-1,$V$2:$V$1201,0),"")</f>
        <v/>
      </c>
      <c r="R1171" s="0" t="str">
        <f aca="false">IF(E1171="","",IFERROR(LEFT(E1171,FIND("-",E1171)-1),E1171))</f>
        <v/>
      </c>
      <c r="S1171" s="0" t="str">
        <f aca="false">IF(R1171="","",IF(ISNUMBER(--MID(R1171,1,1)),0,IF(ISNUMBER(--MID(R1171,2,1)),1,IF(ISNUMBER(--MID(R1171,3,1)),2,IF(ISNUMBER(--MID(R1171,4,1)),3,MIN(LEN(R1171),4))))))</f>
        <v/>
      </c>
      <c r="T1171" s="0" t="str">
        <f aca="false">IF(E1171="","",LEFT(R1171,S1171)&amp;REPT("0",4-S1171)&amp;RIGHT("000"&amp;IFERROR(VALUE(MID(R1171,S1171+1,9)),0),3)&amp;RIGHT("0000"&amp;IFERROR(VALUE(MID(E1171,FIND("-",E1171)+1,9)),0),4))</f>
        <v/>
      </c>
      <c r="U1171" s="0" t="str">
        <f aca="false">IF(I1171=1,"K"&amp;RIGHT("00"&amp;A1171,2)&amp;T1171&amp;RIGHT("00000"&amp;ROW(),5),"")</f>
        <v/>
      </c>
      <c r="V1171" s="0" t="str">
        <f aca="false">IF(U1171="","",COUNTIFS($I$2:$I$1201,1,$U$2:$U$1201,"&lt;"&amp;U1171)+1)</f>
        <v/>
      </c>
    </row>
    <row r="1172" customFormat="false" ht="15" hidden="false" customHeight="false" outlineLevel="0" collapsed="false">
      <c r="A1172" s="0" t="n">
        <v>20</v>
      </c>
      <c r="B1172" s="0" t="n">
        <v>31</v>
      </c>
      <c r="C1172" s="0" t="str">
        <f aca="false">TRIM(SUBSTITUTE(INDEX(LISTAS!$A$4:$T$63,B1172,A1172)&amp;"",CHAR(160)," "))</f>
        <v/>
      </c>
      <c r="D1172" s="0" t="str">
        <f aca="false">IF(C1172="","",TRIM(RIGHT(SUBSTITUTE(C1172," ",REPT(" ",100)),100)))</f>
        <v/>
      </c>
      <c r="E1172" s="0" t="str">
        <f aca="false">IF(D1172="","",UPPER(SUBSTITUTE(SUBSTITUTE(D1172,"(",""),")","")))</f>
        <v/>
      </c>
      <c r="F1172" s="0" t="str">
        <f aca="false">IF(C1172="","",LEFT(C1172,FIND(" ",C1172&amp;" ")-1))</f>
        <v/>
      </c>
      <c r="G1172" s="0" t="n">
        <f aca="false">IFERROR(VALUE(SUBSTITUTE(LOWER(F1172),"x","")),0)</f>
        <v>0</v>
      </c>
      <c r="H1172" s="0" t="str">
        <f aca="false">IF(C1172="","",TRIM(MID(C1172,LEN(F1172)+2,999)))</f>
        <v/>
      </c>
      <c r="I1172" s="0" t="n">
        <f aca="false">IF(OR(C1172="",LEFT(C1172,2)="//"),0,IFERROR(IF(AND(G1172&gt;0,G1172=INT(G1172),FIND("-",E1172)&gt;1,NOT(EXACT(UPPER(LEFT(E1172,1)),LOWER(LEFT(E1172,1)))),ISNUMBER(VALUE(MID(E1172,FIND("-",E1172)+1,10)))),1,0),0))</f>
        <v>0</v>
      </c>
      <c r="J1172" s="0" t="str">
        <f aca="false">IF(I1172=1,TRIM(LEFT(H1172,MAX(0,LEN(H1172)-LEN(D1172)))),"")</f>
        <v/>
      </c>
      <c r="K1172" s="0" t="str">
        <f aca="false">INDEX($P$2:$P$21,A1172)</f>
        <v>Deck 20</v>
      </c>
      <c r="L1172" s="0" t="n">
        <f aca="false">IF(AND(C1172&lt;&gt;"",LEFT(C1172,2)&lt;&gt;"//",I1172=0),1,0)</f>
        <v>0</v>
      </c>
      <c r="M1172" s="0" t="str">
        <f aca="false">IF(I1172=1,MAX(M$1:M1171)+1,"")</f>
        <v/>
      </c>
      <c r="N1172" s="0" t="str">
        <f aca="false">IFERROR(MATCH(ROW()-1,$V$2:$V$1201,0),"")</f>
        <v/>
      </c>
      <c r="R1172" s="0" t="str">
        <f aca="false">IF(E1172="","",IFERROR(LEFT(E1172,FIND("-",E1172)-1),E1172))</f>
        <v/>
      </c>
      <c r="S1172" s="0" t="str">
        <f aca="false">IF(R1172="","",IF(ISNUMBER(--MID(R1172,1,1)),0,IF(ISNUMBER(--MID(R1172,2,1)),1,IF(ISNUMBER(--MID(R1172,3,1)),2,IF(ISNUMBER(--MID(R1172,4,1)),3,MIN(LEN(R1172),4))))))</f>
        <v/>
      </c>
      <c r="T1172" s="0" t="str">
        <f aca="false">IF(E1172="","",LEFT(R1172,S1172)&amp;REPT("0",4-S1172)&amp;RIGHT("000"&amp;IFERROR(VALUE(MID(R1172,S1172+1,9)),0),3)&amp;RIGHT("0000"&amp;IFERROR(VALUE(MID(E1172,FIND("-",E1172)+1,9)),0),4))</f>
        <v/>
      </c>
      <c r="U1172" s="0" t="str">
        <f aca="false">IF(I1172=1,"K"&amp;RIGHT("00"&amp;A1172,2)&amp;T1172&amp;RIGHT("00000"&amp;ROW(),5),"")</f>
        <v/>
      </c>
      <c r="V1172" s="0" t="str">
        <f aca="false">IF(U1172="","",COUNTIFS($I$2:$I$1201,1,$U$2:$U$1201,"&lt;"&amp;U1172)+1)</f>
        <v/>
      </c>
    </row>
    <row r="1173" customFormat="false" ht="15" hidden="false" customHeight="false" outlineLevel="0" collapsed="false">
      <c r="A1173" s="0" t="n">
        <v>20</v>
      </c>
      <c r="B1173" s="0" t="n">
        <v>32</v>
      </c>
      <c r="C1173" s="0" t="str">
        <f aca="false">TRIM(SUBSTITUTE(INDEX(LISTAS!$A$4:$T$63,B1173,A1173)&amp;"",CHAR(160)," "))</f>
        <v/>
      </c>
      <c r="D1173" s="0" t="str">
        <f aca="false">IF(C1173="","",TRIM(RIGHT(SUBSTITUTE(C1173," ",REPT(" ",100)),100)))</f>
        <v/>
      </c>
      <c r="E1173" s="0" t="str">
        <f aca="false">IF(D1173="","",UPPER(SUBSTITUTE(SUBSTITUTE(D1173,"(",""),")","")))</f>
        <v/>
      </c>
      <c r="F1173" s="0" t="str">
        <f aca="false">IF(C1173="","",LEFT(C1173,FIND(" ",C1173&amp;" ")-1))</f>
        <v/>
      </c>
      <c r="G1173" s="0" t="n">
        <f aca="false">IFERROR(VALUE(SUBSTITUTE(LOWER(F1173),"x","")),0)</f>
        <v>0</v>
      </c>
      <c r="H1173" s="0" t="str">
        <f aca="false">IF(C1173="","",TRIM(MID(C1173,LEN(F1173)+2,999)))</f>
        <v/>
      </c>
      <c r="I1173" s="0" t="n">
        <f aca="false">IF(OR(C1173="",LEFT(C1173,2)="//"),0,IFERROR(IF(AND(G1173&gt;0,G1173=INT(G1173),FIND("-",E1173)&gt;1,NOT(EXACT(UPPER(LEFT(E1173,1)),LOWER(LEFT(E1173,1)))),ISNUMBER(VALUE(MID(E1173,FIND("-",E1173)+1,10)))),1,0),0))</f>
        <v>0</v>
      </c>
      <c r="J1173" s="0" t="str">
        <f aca="false">IF(I1173=1,TRIM(LEFT(H1173,MAX(0,LEN(H1173)-LEN(D1173)))),"")</f>
        <v/>
      </c>
      <c r="K1173" s="0" t="str">
        <f aca="false">INDEX($P$2:$P$21,A1173)</f>
        <v>Deck 20</v>
      </c>
      <c r="L1173" s="0" t="n">
        <f aca="false">IF(AND(C1173&lt;&gt;"",LEFT(C1173,2)&lt;&gt;"//",I1173=0),1,0)</f>
        <v>0</v>
      </c>
      <c r="M1173" s="0" t="str">
        <f aca="false">IF(I1173=1,MAX(M$1:M1172)+1,"")</f>
        <v/>
      </c>
      <c r="N1173" s="0" t="str">
        <f aca="false">IFERROR(MATCH(ROW()-1,$V$2:$V$1201,0),"")</f>
        <v/>
      </c>
      <c r="R1173" s="0" t="str">
        <f aca="false">IF(E1173="","",IFERROR(LEFT(E1173,FIND("-",E1173)-1),E1173))</f>
        <v/>
      </c>
      <c r="S1173" s="0" t="str">
        <f aca="false">IF(R1173="","",IF(ISNUMBER(--MID(R1173,1,1)),0,IF(ISNUMBER(--MID(R1173,2,1)),1,IF(ISNUMBER(--MID(R1173,3,1)),2,IF(ISNUMBER(--MID(R1173,4,1)),3,MIN(LEN(R1173),4))))))</f>
        <v/>
      </c>
      <c r="T1173" s="0" t="str">
        <f aca="false">IF(E1173="","",LEFT(R1173,S1173)&amp;REPT("0",4-S1173)&amp;RIGHT("000"&amp;IFERROR(VALUE(MID(R1173,S1173+1,9)),0),3)&amp;RIGHT("0000"&amp;IFERROR(VALUE(MID(E1173,FIND("-",E1173)+1,9)),0),4))</f>
        <v/>
      </c>
      <c r="U1173" s="0" t="str">
        <f aca="false">IF(I1173=1,"K"&amp;RIGHT("00"&amp;A1173,2)&amp;T1173&amp;RIGHT("00000"&amp;ROW(),5),"")</f>
        <v/>
      </c>
      <c r="V1173" s="0" t="str">
        <f aca="false">IF(U1173="","",COUNTIFS($I$2:$I$1201,1,$U$2:$U$1201,"&lt;"&amp;U1173)+1)</f>
        <v/>
      </c>
    </row>
    <row r="1174" customFormat="false" ht="15" hidden="false" customHeight="false" outlineLevel="0" collapsed="false">
      <c r="A1174" s="0" t="n">
        <v>20</v>
      </c>
      <c r="B1174" s="0" t="n">
        <v>33</v>
      </c>
      <c r="C1174" s="0" t="str">
        <f aca="false">TRIM(SUBSTITUTE(INDEX(LISTAS!$A$4:$T$63,B1174,A1174)&amp;"",CHAR(160)," "))</f>
        <v/>
      </c>
      <c r="D1174" s="0" t="str">
        <f aca="false">IF(C1174="","",TRIM(RIGHT(SUBSTITUTE(C1174," ",REPT(" ",100)),100)))</f>
        <v/>
      </c>
      <c r="E1174" s="0" t="str">
        <f aca="false">IF(D1174="","",UPPER(SUBSTITUTE(SUBSTITUTE(D1174,"(",""),")","")))</f>
        <v/>
      </c>
      <c r="F1174" s="0" t="str">
        <f aca="false">IF(C1174="","",LEFT(C1174,FIND(" ",C1174&amp;" ")-1))</f>
        <v/>
      </c>
      <c r="G1174" s="0" t="n">
        <f aca="false">IFERROR(VALUE(SUBSTITUTE(LOWER(F1174),"x","")),0)</f>
        <v>0</v>
      </c>
      <c r="H1174" s="0" t="str">
        <f aca="false">IF(C1174="","",TRIM(MID(C1174,LEN(F1174)+2,999)))</f>
        <v/>
      </c>
      <c r="I1174" s="0" t="n">
        <f aca="false">IF(OR(C1174="",LEFT(C1174,2)="//"),0,IFERROR(IF(AND(G1174&gt;0,G1174=INT(G1174),FIND("-",E1174)&gt;1,NOT(EXACT(UPPER(LEFT(E1174,1)),LOWER(LEFT(E1174,1)))),ISNUMBER(VALUE(MID(E1174,FIND("-",E1174)+1,10)))),1,0),0))</f>
        <v>0</v>
      </c>
      <c r="J1174" s="0" t="str">
        <f aca="false">IF(I1174=1,TRIM(LEFT(H1174,MAX(0,LEN(H1174)-LEN(D1174)))),"")</f>
        <v/>
      </c>
      <c r="K1174" s="0" t="str">
        <f aca="false">INDEX($P$2:$P$21,A1174)</f>
        <v>Deck 20</v>
      </c>
      <c r="L1174" s="0" t="n">
        <f aca="false">IF(AND(C1174&lt;&gt;"",LEFT(C1174,2)&lt;&gt;"//",I1174=0),1,0)</f>
        <v>0</v>
      </c>
      <c r="M1174" s="0" t="str">
        <f aca="false">IF(I1174=1,MAX(M$1:M1173)+1,"")</f>
        <v/>
      </c>
      <c r="N1174" s="0" t="str">
        <f aca="false">IFERROR(MATCH(ROW()-1,$V$2:$V$1201,0),"")</f>
        <v/>
      </c>
      <c r="R1174" s="0" t="str">
        <f aca="false">IF(E1174="","",IFERROR(LEFT(E1174,FIND("-",E1174)-1),E1174))</f>
        <v/>
      </c>
      <c r="S1174" s="0" t="str">
        <f aca="false">IF(R1174="","",IF(ISNUMBER(--MID(R1174,1,1)),0,IF(ISNUMBER(--MID(R1174,2,1)),1,IF(ISNUMBER(--MID(R1174,3,1)),2,IF(ISNUMBER(--MID(R1174,4,1)),3,MIN(LEN(R1174),4))))))</f>
        <v/>
      </c>
      <c r="T1174" s="0" t="str">
        <f aca="false">IF(E1174="","",LEFT(R1174,S1174)&amp;REPT("0",4-S1174)&amp;RIGHT("000"&amp;IFERROR(VALUE(MID(R1174,S1174+1,9)),0),3)&amp;RIGHT("0000"&amp;IFERROR(VALUE(MID(E1174,FIND("-",E1174)+1,9)),0),4))</f>
        <v/>
      </c>
      <c r="U1174" s="0" t="str">
        <f aca="false">IF(I1174=1,"K"&amp;RIGHT("00"&amp;A1174,2)&amp;T1174&amp;RIGHT("00000"&amp;ROW(),5),"")</f>
        <v/>
      </c>
      <c r="V1174" s="0" t="str">
        <f aca="false">IF(U1174="","",COUNTIFS($I$2:$I$1201,1,$U$2:$U$1201,"&lt;"&amp;U1174)+1)</f>
        <v/>
      </c>
    </row>
    <row r="1175" customFormat="false" ht="15" hidden="false" customHeight="false" outlineLevel="0" collapsed="false">
      <c r="A1175" s="0" t="n">
        <v>20</v>
      </c>
      <c r="B1175" s="0" t="n">
        <v>34</v>
      </c>
      <c r="C1175" s="0" t="str">
        <f aca="false">TRIM(SUBSTITUTE(INDEX(LISTAS!$A$4:$T$63,B1175,A1175)&amp;"",CHAR(160)," "))</f>
        <v/>
      </c>
      <c r="D1175" s="0" t="str">
        <f aca="false">IF(C1175="","",TRIM(RIGHT(SUBSTITUTE(C1175," ",REPT(" ",100)),100)))</f>
        <v/>
      </c>
      <c r="E1175" s="0" t="str">
        <f aca="false">IF(D1175="","",UPPER(SUBSTITUTE(SUBSTITUTE(D1175,"(",""),")","")))</f>
        <v/>
      </c>
      <c r="F1175" s="0" t="str">
        <f aca="false">IF(C1175="","",LEFT(C1175,FIND(" ",C1175&amp;" ")-1))</f>
        <v/>
      </c>
      <c r="G1175" s="0" t="n">
        <f aca="false">IFERROR(VALUE(SUBSTITUTE(LOWER(F1175),"x","")),0)</f>
        <v>0</v>
      </c>
      <c r="H1175" s="0" t="str">
        <f aca="false">IF(C1175="","",TRIM(MID(C1175,LEN(F1175)+2,999)))</f>
        <v/>
      </c>
      <c r="I1175" s="0" t="n">
        <f aca="false">IF(OR(C1175="",LEFT(C1175,2)="//"),0,IFERROR(IF(AND(G1175&gt;0,G1175=INT(G1175),FIND("-",E1175)&gt;1,NOT(EXACT(UPPER(LEFT(E1175,1)),LOWER(LEFT(E1175,1)))),ISNUMBER(VALUE(MID(E1175,FIND("-",E1175)+1,10)))),1,0),0))</f>
        <v>0</v>
      </c>
      <c r="J1175" s="0" t="str">
        <f aca="false">IF(I1175=1,TRIM(LEFT(H1175,MAX(0,LEN(H1175)-LEN(D1175)))),"")</f>
        <v/>
      </c>
      <c r="K1175" s="0" t="str">
        <f aca="false">INDEX($P$2:$P$21,A1175)</f>
        <v>Deck 20</v>
      </c>
      <c r="L1175" s="0" t="n">
        <f aca="false">IF(AND(C1175&lt;&gt;"",LEFT(C1175,2)&lt;&gt;"//",I1175=0),1,0)</f>
        <v>0</v>
      </c>
      <c r="M1175" s="0" t="str">
        <f aca="false">IF(I1175=1,MAX(M$1:M1174)+1,"")</f>
        <v/>
      </c>
      <c r="N1175" s="0" t="str">
        <f aca="false">IFERROR(MATCH(ROW()-1,$V$2:$V$1201,0),"")</f>
        <v/>
      </c>
      <c r="R1175" s="0" t="str">
        <f aca="false">IF(E1175="","",IFERROR(LEFT(E1175,FIND("-",E1175)-1),E1175))</f>
        <v/>
      </c>
      <c r="S1175" s="0" t="str">
        <f aca="false">IF(R1175="","",IF(ISNUMBER(--MID(R1175,1,1)),0,IF(ISNUMBER(--MID(R1175,2,1)),1,IF(ISNUMBER(--MID(R1175,3,1)),2,IF(ISNUMBER(--MID(R1175,4,1)),3,MIN(LEN(R1175),4))))))</f>
        <v/>
      </c>
      <c r="T1175" s="0" t="str">
        <f aca="false">IF(E1175="","",LEFT(R1175,S1175)&amp;REPT("0",4-S1175)&amp;RIGHT("000"&amp;IFERROR(VALUE(MID(R1175,S1175+1,9)),0),3)&amp;RIGHT("0000"&amp;IFERROR(VALUE(MID(E1175,FIND("-",E1175)+1,9)),0),4))</f>
        <v/>
      </c>
      <c r="U1175" s="0" t="str">
        <f aca="false">IF(I1175=1,"K"&amp;RIGHT("00"&amp;A1175,2)&amp;T1175&amp;RIGHT("00000"&amp;ROW(),5),"")</f>
        <v/>
      </c>
      <c r="V1175" s="0" t="str">
        <f aca="false">IF(U1175="","",COUNTIFS($I$2:$I$1201,1,$U$2:$U$1201,"&lt;"&amp;U1175)+1)</f>
        <v/>
      </c>
    </row>
    <row r="1176" customFormat="false" ht="15" hidden="false" customHeight="false" outlineLevel="0" collapsed="false">
      <c r="A1176" s="0" t="n">
        <v>20</v>
      </c>
      <c r="B1176" s="0" t="n">
        <v>35</v>
      </c>
      <c r="C1176" s="0" t="str">
        <f aca="false">TRIM(SUBSTITUTE(INDEX(LISTAS!$A$4:$T$63,B1176,A1176)&amp;"",CHAR(160)," "))</f>
        <v/>
      </c>
      <c r="D1176" s="0" t="str">
        <f aca="false">IF(C1176="","",TRIM(RIGHT(SUBSTITUTE(C1176," ",REPT(" ",100)),100)))</f>
        <v/>
      </c>
      <c r="E1176" s="0" t="str">
        <f aca="false">IF(D1176="","",UPPER(SUBSTITUTE(SUBSTITUTE(D1176,"(",""),")","")))</f>
        <v/>
      </c>
      <c r="F1176" s="0" t="str">
        <f aca="false">IF(C1176="","",LEFT(C1176,FIND(" ",C1176&amp;" ")-1))</f>
        <v/>
      </c>
      <c r="G1176" s="0" t="n">
        <f aca="false">IFERROR(VALUE(SUBSTITUTE(LOWER(F1176),"x","")),0)</f>
        <v>0</v>
      </c>
      <c r="H1176" s="0" t="str">
        <f aca="false">IF(C1176="","",TRIM(MID(C1176,LEN(F1176)+2,999)))</f>
        <v/>
      </c>
      <c r="I1176" s="0" t="n">
        <f aca="false">IF(OR(C1176="",LEFT(C1176,2)="//"),0,IFERROR(IF(AND(G1176&gt;0,G1176=INT(G1176),FIND("-",E1176)&gt;1,NOT(EXACT(UPPER(LEFT(E1176,1)),LOWER(LEFT(E1176,1)))),ISNUMBER(VALUE(MID(E1176,FIND("-",E1176)+1,10)))),1,0),0))</f>
        <v>0</v>
      </c>
      <c r="J1176" s="0" t="str">
        <f aca="false">IF(I1176=1,TRIM(LEFT(H1176,MAX(0,LEN(H1176)-LEN(D1176)))),"")</f>
        <v/>
      </c>
      <c r="K1176" s="0" t="str">
        <f aca="false">INDEX($P$2:$P$21,A1176)</f>
        <v>Deck 20</v>
      </c>
      <c r="L1176" s="0" t="n">
        <f aca="false">IF(AND(C1176&lt;&gt;"",LEFT(C1176,2)&lt;&gt;"//",I1176=0),1,0)</f>
        <v>0</v>
      </c>
      <c r="M1176" s="0" t="str">
        <f aca="false">IF(I1176=1,MAX(M$1:M1175)+1,"")</f>
        <v/>
      </c>
      <c r="N1176" s="0" t="str">
        <f aca="false">IFERROR(MATCH(ROW()-1,$V$2:$V$1201,0),"")</f>
        <v/>
      </c>
      <c r="R1176" s="0" t="str">
        <f aca="false">IF(E1176="","",IFERROR(LEFT(E1176,FIND("-",E1176)-1),E1176))</f>
        <v/>
      </c>
      <c r="S1176" s="0" t="str">
        <f aca="false">IF(R1176="","",IF(ISNUMBER(--MID(R1176,1,1)),0,IF(ISNUMBER(--MID(R1176,2,1)),1,IF(ISNUMBER(--MID(R1176,3,1)),2,IF(ISNUMBER(--MID(R1176,4,1)),3,MIN(LEN(R1176),4))))))</f>
        <v/>
      </c>
      <c r="T1176" s="0" t="str">
        <f aca="false">IF(E1176="","",LEFT(R1176,S1176)&amp;REPT("0",4-S1176)&amp;RIGHT("000"&amp;IFERROR(VALUE(MID(R1176,S1176+1,9)),0),3)&amp;RIGHT("0000"&amp;IFERROR(VALUE(MID(E1176,FIND("-",E1176)+1,9)),0),4))</f>
        <v/>
      </c>
      <c r="U1176" s="0" t="str">
        <f aca="false">IF(I1176=1,"K"&amp;RIGHT("00"&amp;A1176,2)&amp;T1176&amp;RIGHT("00000"&amp;ROW(),5),"")</f>
        <v/>
      </c>
      <c r="V1176" s="0" t="str">
        <f aca="false">IF(U1176="","",COUNTIFS($I$2:$I$1201,1,$U$2:$U$1201,"&lt;"&amp;U1176)+1)</f>
        <v/>
      </c>
    </row>
    <row r="1177" customFormat="false" ht="15" hidden="false" customHeight="false" outlineLevel="0" collapsed="false">
      <c r="A1177" s="0" t="n">
        <v>20</v>
      </c>
      <c r="B1177" s="0" t="n">
        <v>36</v>
      </c>
      <c r="C1177" s="0" t="str">
        <f aca="false">TRIM(SUBSTITUTE(INDEX(LISTAS!$A$4:$T$63,B1177,A1177)&amp;"",CHAR(160)," "))</f>
        <v/>
      </c>
      <c r="D1177" s="0" t="str">
        <f aca="false">IF(C1177="","",TRIM(RIGHT(SUBSTITUTE(C1177," ",REPT(" ",100)),100)))</f>
        <v/>
      </c>
      <c r="E1177" s="0" t="str">
        <f aca="false">IF(D1177="","",UPPER(SUBSTITUTE(SUBSTITUTE(D1177,"(",""),")","")))</f>
        <v/>
      </c>
      <c r="F1177" s="0" t="str">
        <f aca="false">IF(C1177="","",LEFT(C1177,FIND(" ",C1177&amp;" ")-1))</f>
        <v/>
      </c>
      <c r="G1177" s="0" t="n">
        <f aca="false">IFERROR(VALUE(SUBSTITUTE(LOWER(F1177),"x","")),0)</f>
        <v>0</v>
      </c>
      <c r="H1177" s="0" t="str">
        <f aca="false">IF(C1177="","",TRIM(MID(C1177,LEN(F1177)+2,999)))</f>
        <v/>
      </c>
      <c r="I1177" s="0" t="n">
        <f aca="false">IF(OR(C1177="",LEFT(C1177,2)="//"),0,IFERROR(IF(AND(G1177&gt;0,G1177=INT(G1177),FIND("-",E1177)&gt;1,NOT(EXACT(UPPER(LEFT(E1177,1)),LOWER(LEFT(E1177,1)))),ISNUMBER(VALUE(MID(E1177,FIND("-",E1177)+1,10)))),1,0),0))</f>
        <v>0</v>
      </c>
      <c r="J1177" s="0" t="str">
        <f aca="false">IF(I1177=1,TRIM(LEFT(H1177,MAX(0,LEN(H1177)-LEN(D1177)))),"")</f>
        <v/>
      </c>
      <c r="K1177" s="0" t="str">
        <f aca="false">INDEX($P$2:$P$21,A1177)</f>
        <v>Deck 20</v>
      </c>
      <c r="L1177" s="0" t="n">
        <f aca="false">IF(AND(C1177&lt;&gt;"",LEFT(C1177,2)&lt;&gt;"//",I1177=0),1,0)</f>
        <v>0</v>
      </c>
      <c r="M1177" s="0" t="str">
        <f aca="false">IF(I1177=1,MAX(M$1:M1176)+1,"")</f>
        <v/>
      </c>
      <c r="N1177" s="0" t="str">
        <f aca="false">IFERROR(MATCH(ROW()-1,$V$2:$V$1201,0),"")</f>
        <v/>
      </c>
      <c r="R1177" s="0" t="str">
        <f aca="false">IF(E1177="","",IFERROR(LEFT(E1177,FIND("-",E1177)-1),E1177))</f>
        <v/>
      </c>
      <c r="S1177" s="0" t="str">
        <f aca="false">IF(R1177="","",IF(ISNUMBER(--MID(R1177,1,1)),0,IF(ISNUMBER(--MID(R1177,2,1)),1,IF(ISNUMBER(--MID(R1177,3,1)),2,IF(ISNUMBER(--MID(R1177,4,1)),3,MIN(LEN(R1177),4))))))</f>
        <v/>
      </c>
      <c r="T1177" s="0" t="str">
        <f aca="false">IF(E1177="","",LEFT(R1177,S1177)&amp;REPT("0",4-S1177)&amp;RIGHT("000"&amp;IFERROR(VALUE(MID(R1177,S1177+1,9)),0),3)&amp;RIGHT("0000"&amp;IFERROR(VALUE(MID(E1177,FIND("-",E1177)+1,9)),0),4))</f>
        <v/>
      </c>
      <c r="U1177" s="0" t="str">
        <f aca="false">IF(I1177=1,"K"&amp;RIGHT("00"&amp;A1177,2)&amp;T1177&amp;RIGHT("00000"&amp;ROW(),5),"")</f>
        <v/>
      </c>
      <c r="V1177" s="0" t="str">
        <f aca="false">IF(U1177="","",COUNTIFS($I$2:$I$1201,1,$U$2:$U$1201,"&lt;"&amp;U1177)+1)</f>
        <v/>
      </c>
    </row>
    <row r="1178" customFormat="false" ht="15" hidden="false" customHeight="false" outlineLevel="0" collapsed="false">
      <c r="A1178" s="0" t="n">
        <v>20</v>
      </c>
      <c r="B1178" s="0" t="n">
        <v>37</v>
      </c>
      <c r="C1178" s="0" t="str">
        <f aca="false">TRIM(SUBSTITUTE(INDEX(LISTAS!$A$4:$T$63,B1178,A1178)&amp;"",CHAR(160)," "))</f>
        <v/>
      </c>
      <c r="D1178" s="0" t="str">
        <f aca="false">IF(C1178="","",TRIM(RIGHT(SUBSTITUTE(C1178," ",REPT(" ",100)),100)))</f>
        <v/>
      </c>
      <c r="E1178" s="0" t="str">
        <f aca="false">IF(D1178="","",UPPER(SUBSTITUTE(SUBSTITUTE(D1178,"(",""),")","")))</f>
        <v/>
      </c>
      <c r="F1178" s="0" t="str">
        <f aca="false">IF(C1178="","",LEFT(C1178,FIND(" ",C1178&amp;" ")-1))</f>
        <v/>
      </c>
      <c r="G1178" s="0" t="n">
        <f aca="false">IFERROR(VALUE(SUBSTITUTE(LOWER(F1178),"x","")),0)</f>
        <v>0</v>
      </c>
      <c r="H1178" s="0" t="str">
        <f aca="false">IF(C1178="","",TRIM(MID(C1178,LEN(F1178)+2,999)))</f>
        <v/>
      </c>
      <c r="I1178" s="0" t="n">
        <f aca="false">IF(OR(C1178="",LEFT(C1178,2)="//"),0,IFERROR(IF(AND(G1178&gt;0,G1178=INT(G1178),FIND("-",E1178)&gt;1,NOT(EXACT(UPPER(LEFT(E1178,1)),LOWER(LEFT(E1178,1)))),ISNUMBER(VALUE(MID(E1178,FIND("-",E1178)+1,10)))),1,0),0))</f>
        <v>0</v>
      </c>
      <c r="J1178" s="0" t="str">
        <f aca="false">IF(I1178=1,TRIM(LEFT(H1178,MAX(0,LEN(H1178)-LEN(D1178)))),"")</f>
        <v/>
      </c>
      <c r="K1178" s="0" t="str">
        <f aca="false">INDEX($P$2:$P$21,A1178)</f>
        <v>Deck 20</v>
      </c>
      <c r="L1178" s="0" t="n">
        <f aca="false">IF(AND(C1178&lt;&gt;"",LEFT(C1178,2)&lt;&gt;"//",I1178=0),1,0)</f>
        <v>0</v>
      </c>
      <c r="M1178" s="0" t="str">
        <f aca="false">IF(I1178=1,MAX(M$1:M1177)+1,"")</f>
        <v/>
      </c>
      <c r="N1178" s="0" t="str">
        <f aca="false">IFERROR(MATCH(ROW()-1,$V$2:$V$1201,0),"")</f>
        <v/>
      </c>
      <c r="R1178" s="0" t="str">
        <f aca="false">IF(E1178="","",IFERROR(LEFT(E1178,FIND("-",E1178)-1),E1178))</f>
        <v/>
      </c>
      <c r="S1178" s="0" t="str">
        <f aca="false">IF(R1178="","",IF(ISNUMBER(--MID(R1178,1,1)),0,IF(ISNUMBER(--MID(R1178,2,1)),1,IF(ISNUMBER(--MID(R1178,3,1)),2,IF(ISNUMBER(--MID(R1178,4,1)),3,MIN(LEN(R1178),4))))))</f>
        <v/>
      </c>
      <c r="T1178" s="0" t="str">
        <f aca="false">IF(E1178="","",LEFT(R1178,S1178)&amp;REPT("0",4-S1178)&amp;RIGHT("000"&amp;IFERROR(VALUE(MID(R1178,S1178+1,9)),0),3)&amp;RIGHT("0000"&amp;IFERROR(VALUE(MID(E1178,FIND("-",E1178)+1,9)),0),4))</f>
        <v/>
      </c>
      <c r="U1178" s="0" t="str">
        <f aca="false">IF(I1178=1,"K"&amp;RIGHT("00"&amp;A1178,2)&amp;T1178&amp;RIGHT("00000"&amp;ROW(),5),"")</f>
        <v/>
      </c>
      <c r="V1178" s="0" t="str">
        <f aca="false">IF(U1178="","",COUNTIFS($I$2:$I$1201,1,$U$2:$U$1201,"&lt;"&amp;U1178)+1)</f>
        <v/>
      </c>
    </row>
    <row r="1179" customFormat="false" ht="15" hidden="false" customHeight="false" outlineLevel="0" collapsed="false">
      <c r="A1179" s="0" t="n">
        <v>20</v>
      </c>
      <c r="B1179" s="0" t="n">
        <v>38</v>
      </c>
      <c r="C1179" s="0" t="str">
        <f aca="false">TRIM(SUBSTITUTE(INDEX(LISTAS!$A$4:$T$63,B1179,A1179)&amp;"",CHAR(160)," "))</f>
        <v/>
      </c>
      <c r="D1179" s="0" t="str">
        <f aca="false">IF(C1179="","",TRIM(RIGHT(SUBSTITUTE(C1179," ",REPT(" ",100)),100)))</f>
        <v/>
      </c>
      <c r="E1179" s="0" t="str">
        <f aca="false">IF(D1179="","",UPPER(SUBSTITUTE(SUBSTITUTE(D1179,"(",""),")","")))</f>
        <v/>
      </c>
      <c r="F1179" s="0" t="str">
        <f aca="false">IF(C1179="","",LEFT(C1179,FIND(" ",C1179&amp;" ")-1))</f>
        <v/>
      </c>
      <c r="G1179" s="0" t="n">
        <f aca="false">IFERROR(VALUE(SUBSTITUTE(LOWER(F1179),"x","")),0)</f>
        <v>0</v>
      </c>
      <c r="H1179" s="0" t="str">
        <f aca="false">IF(C1179="","",TRIM(MID(C1179,LEN(F1179)+2,999)))</f>
        <v/>
      </c>
      <c r="I1179" s="0" t="n">
        <f aca="false">IF(OR(C1179="",LEFT(C1179,2)="//"),0,IFERROR(IF(AND(G1179&gt;0,G1179=INT(G1179),FIND("-",E1179)&gt;1,NOT(EXACT(UPPER(LEFT(E1179,1)),LOWER(LEFT(E1179,1)))),ISNUMBER(VALUE(MID(E1179,FIND("-",E1179)+1,10)))),1,0),0))</f>
        <v>0</v>
      </c>
      <c r="J1179" s="0" t="str">
        <f aca="false">IF(I1179=1,TRIM(LEFT(H1179,MAX(0,LEN(H1179)-LEN(D1179)))),"")</f>
        <v/>
      </c>
      <c r="K1179" s="0" t="str">
        <f aca="false">INDEX($P$2:$P$21,A1179)</f>
        <v>Deck 20</v>
      </c>
      <c r="L1179" s="0" t="n">
        <f aca="false">IF(AND(C1179&lt;&gt;"",LEFT(C1179,2)&lt;&gt;"//",I1179=0),1,0)</f>
        <v>0</v>
      </c>
      <c r="M1179" s="0" t="str">
        <f aca="false">IF(I1179=1,MAX(M$1:M1178)+1,"")</f>
        <v/>
      </c>
      <c r="N1179" s="0" t="str">
        <f aca="false">IFERROR(MATCH(ROW()-1,$V$2:$V$1201,0),"")</f>
        <v/>
      </c>
      <c r="R1179" s="0" t="str">
        <f aca="false">IF(E1179="","",IFERROR(LEFT(E1179,FIND("-",E1179)-1),E1179))</f>
        <v/>
      </c>
      <c r="S1179" s="0" t="str">
        <f aca="false">IF(R1179="","",IF(ISNUMBER(--MID(R1179,1,1)),0,IF(ISNUMBER(--MID(R1179,2,1)),1,IF(ISNUMBER(--MID(R1179,3,1)),2,IF(ISNUMBER(--MID(R1179,4,1)),3,MIN(LEN(R1179),4))))))</f>
        <v/>
      </c>
      <c r="T1179" s="0" t="str">
        <f aca="false">IF(E1179="","",LEFT(R1179,S1179)&amp;REPT("0",4-S1179)&amp;RIGHT("000"&amp;IFERROR(VALUE(MID(R1179,S1179+1,9)),0),3)&amp;RIGHT("0000"&amp;IFERROR(VALUE(MID(E1179,FIND("-",E1179)+1,9)),0),4))</f>
        <v/>
      </c>
      <c r="U1179" s="0" t="str">
        <f aca="false">IF(I1179=1,"K"&amp;RIGHT("00"&amp;A1179,2)&amp;T1179&amp;RIGHT("00000"&amp;ROW(),5),"")</f>
        <v/>
      </c>
      <c r="V1179" s="0" t="str">
        <f aca="false">IF(U1179="","",COUNTIFS($I$2:$I$1201,1,$U$2:$U$1201,"&lt;"&amp;U1179)+1)</f>
        <v/>
      </c>
    </row>
    <row r="1180" customFormat="false" ht="15" hidden="false" customHeight="false" outlineLevel="0" collapsed="false">
      <c r="A1180" s="0" t="n">
        <v>20</v>
      </c>
      <c r="B1180" s="0" t="n">
        <v>39</v>
      </c>
      <c r="C1180" s="0" t="str">
        <f aca="false">TRIM(SUBSTITUTE(INDEX(LISTAS!$A$4:$T$63,B1180,A1180)&amp;"",CHAR(160)," "))</f>
        <v/>
      </c>
      <c r="D1180" s="0" t="str">
        <f aca="false">IF(C1180="","",TRIM(RIGHT(SUBSTITUTE(C1180," ",REPT(" ",100)),100)))</f>
        <v/>
      </c>
      <c r="E1180" s="0" t="str">
        <f aca="false">IF(D1180="","",UPPER(SUBSTITUTE(SUBSTITUTE(D1180,"(",""),")","")))</f>
        <v/>
      </c>
      <c r="F1180" s="0" t="str">
        <f aca="false">IF(C1180="","",LEFT(C1180,FIND(" ",C1180&amp;" ")-1))</f>
        <v/>
      </c>
      <c r="G1180" s="0" t="n">
        <f aca="false">IFERROR(VALUE(SUBSTITUTE(LOWER(F1180),"x","")),0)</f>
        <v>0</v>
      </c>
      <c r="H1180" s="0" t="str">
        <f aca="false">IF(C1180="","",TRIM(MID(C1180,LEN(F1180)+2,999)))</f>
        <v/>
      </c>
      <c r="I1180" s="0" t="n">
        <f aca="false">IF(OR(C1180="",LEFT(C1180,2)="//"),0,IFERROR(IF(AND(G1180&gt;0,G1180=INT(G1180),FIND("-",E1180)&gt;1,NOT(EXACT(UPPER(LEFT(E1180,1)),LOWER(LEFT(E1180,1)))),ISNUMBER(VALUE(MID(E1180,FIND("-",E1180)+1,10)))),1,0),0))</f>
        <v>0</v>
      </c>
      <c r="J1180" s="0" t="str">
        <f aca="false">IF(I1180=1,TRIM(LEFT(H1180,MAX(0,LEN(H1180)-LEN(D1180)))),"")</f>
        <v/>
      </c>
      <c r="K1180" s="0" t="str">
        <f aca="false">INDEX($P$2:$P$21,A1180)</f>
        <v>Deck 20</v>
      </c>
      <c r="L1180" s="0" t="n">
        <f aca="false">IF(AND(C1180&lt;&gt;"",LEFT(C1180,2)&lt;&gt;"//",I1180=0),1,0)</f>
        <v>0</v>
      </c>
      <c r="M1180" s="0" t="str">
        <f aca="false">IF(I1180=1,MAX(M$1:M1179)+1,"")</f>
        <v/>
      </c>
      <c r="N1180" s="0" t="str">
        <f aca="false">IFERROR(MATCH(ROW()-1,$V$2:$V$1201,0),"")</f>
        <v/>
      </c>
      <c r="R1180" s="0" t="str">
        <f aca="false">IF(E1180="","",IFERROR(LEFT(E1180,FIND("-",E1180)-1),E1180))</f>
        <v/>
      </c>
      <c r="S1180" s="0" t="str">
        <f aca="false">IF(R1180="","",IF(ISNUMBER(--MID(R1180,1,1)),0,IF(ISNUMBER(--MID(R1180,2,1)),1,IF(ISNUMBER(--MID(R1180,3,1)),2,IF(ISNUMBER(--MID(R1180,4,1)),3,MIN(LEN(R1180),4))))))</f>
        <v/>
      </c>
      <c r="T1180" s="0" t="str">
        <f aca="false">IF(E1180="","",LEFT(R1180,S1180)&amp;REPT("0",4-S1180)&amp;RIGHT("000"&amp;IFERROR(VALUE(MID(R1180,S1180+1,9)),0),3)&amp;RIGHT("0000"&amp;IFERROR(VALUE(MID(E1180,FIND("-",E1180)+1,9)),0),4))</f>
        <v/>
      </c>
      <c r="U1180" s="0" t="str">
        <f aca="false">IF(I1180=1,"K"&amp;RIGHT("00"&amp;A1180,2)&amp;T1180&amp;RIGHT("00000"&amp;ROW(),5),"")</f>
        <v/>
      </c>
      <c r="V1180" s="0" t="str">
        <f aca="false">IF(U1180="","",COUNTIFS($I$2:$I$1201,1,$U$2:$U$1201,"&lt;"&amp;U1180)+1)</f>
        <v/>
      </c>
    </row>
    <row r="1181" customFormat="false" ht="15" hidden="false" customHeight="false" outlineLevel="0" collapsed="false">
      <c r="A1181" s="0" t="n">
        <v>20</v>
      </c>
      <c r="B1181" s="0" t="n">
        <v>40</v>
      </c>
      <c r="C1181" s="0" t="str">
        <f aca="false">TRIM(SUBSTITUTE(INDEX(LISTAS!$A$4:$T$63,B1181,A1181)&amp;"",CHAR(160)," "))</f>
        <v/>
      </c>
      <c r="D1181" s="0" t="str">
        <f aca="false">IF(C1181="","",TRIM(RIGHT(SUBSTITUTE(C1181," ",REPT(" ",100)),100)))</f>
        <v/>
      </c>
      <c r="E1181" s="0" t="str">
        <f aca="false">IF(D1181="","",UPPER(SUBSTITUTE(SUBSTITUTE(D1181,"(",""),")","")))</f>
        <v/>
      </c>
      <c r="F1181" s="0" t="str">
        <f aca="false">IF(C1181="","",LEFT(C1181,FIND(" ",C1181&amp;" ")-1))</f>
        <v/>
      </c>
      <c r="G1181" s="0" t="n">
        <f aca="false">IFERROR(VALUE(SUBSTITUTE(LOWER(F1181),"x","")),0)</f>
        <v>0</v>
      </c>
      <c r="H1181" s="0" t="str">
        <f aca="false">IF(C1181="","",TRIM(MID(C1181,LEN(F1181)+2,999)))</f>
        <v/>
      </c>
      <c r="I1181" s="0" t="n">
        <f aca="false">IF(OR(C1181="",LEFT(C1181,2)="//"),0,IFERROR(IF(AND(G1181&gt;0,G1181=INT(G1181),FIND("-",E1181)&gt;1,NOT(EXACT(UPPER(LEFT(E1181,1)),LOWER(LEFT(E1181,1)))),ISNUMBER(VALUE(MID(E1181,FIND("-",E1181)+1,10)))),1,0),0))</f>
        <v>0</v>
      </c>
      <c r="J1181" s="0" t="str">
        <f aca="false">IF(I1181=1,TRIM(LEFT(H1181,MAX(0,LEN(H1181)-LEN(D1181)))),"")</f>
        <v/>
      </c>
      <c r="K1181" s="0" t="str">
        <f aca="false">INDEX($P$2:$P$21,A1181)</f>
        <v>Deck 20</v>
      </c>
      <c r="L1181" s="0" t="n">
        <f aca="false">IF(AND(C1181&lt;&gt;"",LEFT(C1181,2)&lt;&gt;"//",I1181=0),1,0)</f>
        <v>0</v>
      </c>
      <c r="M1181" s="0" t="str">
        <f aca="false">IF(I1181=1,MAX(M$1:M1180)+1,"")</f>
        <v/>
      </c>
      <c r="N1181" s="0" t="str">
        <f aca="false">IFERROR(MATCH(ROW()-1,$V$2:$V$1201,0),"")</f>
        <v/>
      </c>
      <c r="R1181" s="0" t="str">
        <f aca="false">IF(E1181="","",IFERROR(LEFT(E1181,FIND("-",E1181)-1),E1181))</f>
        <v/>
      </c>
      <c r="S1181" s="0" t="str">
        <f aca="false">IF(R1181="","",IF(ISNUMBER(--MID(R1181,1,1)),0,IF(ISNUMBER(--MID(R1181,2,1)),1,IF(ISNUMBER(--MID(R1181,3,1)),2,IF(ISNUMBER(--MID(R1181,4,1)),3,MIN(LEN(R1181),4))))))</f>
        <v/>
      </c>
      <c r="T1181" s="0" t="str">
        <f aca="false">IF(E1181="","",LEFT(R1181,S1181)&amp;REPT("0",4-S1181)&amp;RIGHT("000"&amp;IFERROR(VALUE(MID(R1181,S1181+1,9)),0),3)&amp;RIGHT("0000"&amp;IFERROR(VALUE(MID(E1181,FIND("-",E1181)+1,9)),0),4))</f>
        <v/>
      </c>
      <c r="U1181" s="0" t="str">
        <f aca="false">IF(I1181=1,"K"&amp;RIGHT("00"&amp;A1181,2)&amp;T1181&amp;RIGHT("00000"&amp;ROW(),5),"")</f>
        <v/>
      </c>
      <c r="V1181" s="0" t="str">
        <f aca="false">IF(U1181="","",COUNTIFS($I$2:$I$1201,1,$U$2:$U$1201,"&lt;"&amp;U1181)+1)</f>
        <v/>
      </c>
    </row>
    <row r="1182" customFormat="false" ht="15" hidden="false" customHeight="false" outlineLevel="0" collapsed="false">
      <c r="A1182" s="0" t="n">
        <v>20</v>
      </c>
      <c r="B1182" s="0" t="n">
        <v>41</v>
      </c>
      <c r="C1182" s="0" t="str">
        <f aca="false">TRIM(SUBSTITUTE(INDEX(LISTAS!$A$4:$T$63,B1182,A1182)&amp;"",CHAR(160)," "))</f>
        <v/>
      </c>
      <c r="D1182" s="0" t="str">
        <f aca="false">IF(C1182="","",TRIM(RIGHT(SUBSTITUTE(C1182," ",REPT(" ",100)),100)))</f>
        <v/>
      </c>
      <c r="E1182" s="0" t="str">
        <f aca="false">IF(D1182="","",UPPER(SUBSTITUTE(SUBSTITUTE(D1182,"(",""),")","")))</f>
        <v/>
      </c>
      <c r="F1182" s="0" t="str">
        <f aca="false">IF(C1182="","",LEFT(C1182,FIND(" ",C1182&amp;" ")-1))</f>
        <v/>
      </c>
      <c r="G1182" s="0" t="n">
        <f aca="false">IFERROR(VALUE(SUBSTITUTE(LOWER(F1182),"x","")),0)</f>
        <v>0</v>
      </c>
      <c r="H1182" s="0" t="str">
        <f aca="false">IF(C1182="","",TRIM(MID(C1182,LEN(F1182)+2,999)))</f>
        <v/>
      </c>
      <c r="I1182" s="0" t="n">
        <f aca="false">IF(OR(C1182="",LEFT(C1182,2)="//"),0,IFERROR(IF(AND(G1182&gt;0,G1182=INT(G1182),FIND("-",E1182)&gt;1,NOT(EXACT(UPPER(LEFT(E1182,1)),LOWER(LEFT(E1182,1)))),ISNUMBER(VALUE(MID(E1182,FIND("-",E1182)+1,10)))),1,0),0))</f>
        <v>0</v>
      </c>
      <c r="J1182" s="0" t="str">
        <f aca="false">IF(I1182=1,TRIM(LEFT(H1182,MAX(0,LEN(H1182)-LEN(D1182)))),"")</f>
        <v/>
      </c>
      <c r="K1182" s="0" t="str">
        <f aca="false">INDEX($P$2:$P$21,A1182)</f>
        <v>Deck 20</v>
      </c>
      <c r="L1182" s="0" t="n">
        <f aca="false">IF(AND(C1182&lt;&gt;"",LEFT(C1182,2)&lt;&gt;"//",I1182=0),1,0)</f>
        <v>0</v>
      </c>
      <c r="M1182" s="0" t="str">
        <f aca="false">IF(I1182=1,MAX(M$1:M1181)+1,"")</f>
        <v/>
      </c>
      <c r="N1182" s="0" t="str">
        <f aca="false">IFERROR(MATCH(ROW()-1,$V$2:$V$1201,0),"")</f>
        <v/>
      </c>
      <c r="R1182" s="0" t="str">
        <f aca="false">IF(E1182="","",IFERROR(LEFT(E1182,FIND("-",E1182)-1),E1182))</f>
        <v/>
      </c>
      <c r="S1182" s="0" t="str">
        <f aca="false">IF(R1182="","",IF(ISNUMBER(--MID(R1182,1,1)),0,IF(ISNUMBER(--MID(R1182,2,1)),1,IF(ISNUMBER(--MID(R1182,3,1)),2,IF(ISNUMBER(--MID(R1182,4,1)),3,MIN(LEN(R1182),4))))))</f>
        <v/>
      </c>
      <c r="T1182" s="0" t="str">
        <f aca="false">IF(E1182="","",LEFT(R1182,S1182)&amp;REPT("0",4-S1182)&amp;RIGHT("000"&amp;IFERROR(VALUE(MID(R1182,S1182+1,9)),0),3)&amp;RIGHT("0000"&amp;IFERROR(VALUE(MID(E1182,FIND("-",E1182)+1,9)),0),4))</f>
        <v/>
      </c>
      <c r="U1182" s="0" t="str">
        <f aca="false">IF(I1182=1,"K"&amp;RIGHT("00"&amp;A1182,2)&amp;T1182&amp;RIGHT("00000"&amp;ROW(),5),"")</f>
        <v/>
      </c>
      <c r="V1182" s="0" t="str">
        <f aca="false">IF(U1182="","",COUNTIFS($I$2:$I$1201,1,$U$2:$U$1201,"&lt;"&amp;U1182)+1)</f>
        <v/>
      </c>
    </row>
    <row r="1183" customFormat="false" ht="15" hidden="false" customHeight="false" outlineLevel="0" collapsed="false">
      <c r="A1183" s="0" t="n">
        <v>20</v>
      </c>
      <c r="B1183" s="0" t="n">
        <v>42</v>
      </c>
      <c r="C1183" s="0" t="str">
        <f aca="false">TRIM(SUBSTITUTE(INDEX(LISTAS!$A$4:$T$63,B1183,A1183)&amp;"",CHAR(160)," "))</f>
        <v/>
      </c>
      <c r="D1183" s="0" t="str">
        <f aca="false">IF(C1183="","",TRIM(RIGHT(SUBSTITUTE(C1183," ",REPT(" ",100)),100)))</f>
        <v/>
      </c>
      <c r="E1183" s="0" t="str">
        <f aca="false">IF(D1183="","",UPPER(SUBSTITUTE(SUBSTITUTE(D1183,"(",""),")","")))</f>
        <v/>
      </c>
      <c r="F1183" s="0" t="str">
        <f aca="false">IF(C1183="","",LEFT(C1183,FIND(" ",C1183&amp;" ")-1))</f>
        <v/>
      </c>
      <c r="G1183" s="0" t="n">
        <f aca="false">IFERROR(VALUE(SUBSTITUTE(LOWER(F1183),"x","")),0)</f>
        <v>0</v>
      </c>
      <c r="H1183" s="0" t="str">
        <f aca="false">IF(C1183="","",TRIM(MID(C1183,LEN(F1183)+2,999)))</f>
        <v/>
      </c>
      <c r="I1183" s="0" t="n">
        <f aca="false">IF(OR(C1183="",LEFT(C1183,2)="//"),0,IFERROR(IF(AND(G1183&gt;0,G1183=INT(G1183),FIND("-",E1183)&gt;1,NOT(EXACT(UPPER(LEFT(E1183,1)),LOWER(LEFT(E1183,1)))),ISNUMBER(VALUE(MID(E1183,FIND("-",E1183)+1,10)))),1,0),0))</f>
        <v>0</v>
      </c>
      <c r="J1183" s="0" t="str">
        <f aca="false">IF(I1183=1,TRIM(LEFT(H1183,MAX(0,LEN(H1183)-LEN(D1183)))),"")</f>
        <v/>
      </c>
      <c r="K1183" s="0" t="str">
        <f aca="false">INDEX($P$2:$P$21,A1183)</f>
        <v>Deck 20</v>
      </c>
      <c r="L1183" s="0" t="n">
        <f aca="false">IF(AND(C1183&lt;&gt;"",LEFT(C1183,2)&lt;&gt;"//",I1183=0),1,0)</f>
        <v>0</v>
      </c>
      <c r="M1183" s="0" t="str">
        <f aca="false">IF(I1183=1,MAX(M$1:M1182)+1,"")</f>
        <v/>
      </c>
      <c r="N1183" s="0" t="str">
        <f aca="false">IFERROR(MATCH(ROW()-1,$V$2:$V$1201,0),"")</f>
        <v/>
      </c>
      <c r="R1183" s="0" t="str">
        <f aca="false">IF(E1183="","",IFERROR(LEFT(E1183,FIND("-",E1183)-1),E1183))</f>
        <v/>
      </c>
      <c r="S1183" s="0" t="str">
        <f aca="false">IF(R1183="","",IF(ISNUMBER(--MID(R1183,1,1)),0,IF(ISNUMBER(--MID(R1183,2,1)),1,IF(ISNUMBER(--MID(R1183,3,1)),2,IF(ISNUMBER(--MID(R1183,4,1)),3,MIN(LEN(R1183),4))))))</f>
        <v/>
      </c>
      <c r="T1183" s="0" t="str">
        <f aca="false">IF(E1183="","",LEFT(R1183,S1183)&amp;REPT("0",4-S1183)&amp;RIGHT("000"&amp;IFERROR(VALUE(MID(R1183,S1183+1,9)),0),3)&amp;RIGHT("0000"&amp;IFERROR(VALUE(MID(E1183,FIND("-",E1183)+1,9)),0),4))</f>
        <v/>
      </c>
      <c r="U1183" s="0" t="str">
        <f aca="false">IF(I1183=1,"K"&amp;RIGHT("00"&amp;A1183,2)&amp;T1183&amp;RIGHT("00000"&amp;ROW(),5),"")</f>
        <v/>
      </c>
      <c r="V1183" s="0" t="str">
        <f aca="false">IF(U1183="","",COUNTIFS($I$2:$I$1201,1,$U$2:$U$1201,"&lt;"&amp;U1183)+1)</f>
        <v/>
      </c>
    </row>
    <row r="1184" customFormat="false" ht="15" hidden="false" customHeight="false" outlineLevel="0" collapsed="false">
      <c r="A1184" s="0" t="n">
        <v>20</v>
      </c>
      <c r="B1184" s="0" t="n">
        <v>43</v>
      </c>
      <c r="C1184" s="0" t="str">
        <f aca="false">TRIM(SUBSTITUTE(INDEX(LISTAS!$A$4:$T$63,B1184,A1184)&amp;"",CHAR(160)," "))</f>
        <v/>
      </c>
      <c r="D1184" s="0" t="str">
        <f aca="false">IF(C1184="","",TRIM(RIGHT(SUBSTITUTE(C1184," ",REPT(" ",100)),100)))</f>
        <v/>
      </c>
      <c r="E1184" s="0" t="str">
        <f aca="false">IF(D1184="","",UPPER(SUBSTITUTE(SUBSTITUTE(D1184,"(",""),")","")))</f>
        <v/>
      </c>
      <c r="F1184" s="0" t="str">
        <f aca="false">IF(C1184="","",LEFT(C1184,FIND(" ",C1184&amp;" ")-1))</f>
        <v/>
      </c>
      <c r="G1184" s="0" t="n">
        <f aca="false">IFERROR(VALUE(SUBSTITUTE(LOWER(F1184),"x","")),0)</f>
        <v>0</v>
      </c>
      <c r="H1184" s="0" t="str">
        <f aca="false">IF(C1184="","",TRIM(MID(C1184,LEN(F1184)+2,999)))</f>
        <v/>
      </c>
      <c r="I1184" s="0" t="n">
        <f aca="false">IF(OR(C1184="",LEFT(C1184,2)="//"),0,IFERROR(IF(AND(G1184&gt;0,G1184=INT(G1184),FIND("-",E1184)&gt;1,NOT(EXACT(UPPER(LEFT(E1184,1)),LOWER(LEFT(E1184,1)))),ISNUMBER(VALUE(MID(E1184,FIND("-",E1184)+1,10)))),1,0),0))</f>
        <v>0</v>
      </c>
      <c r="J1184" s="0" t="str">
        <f aca="false">IF(I1184=1,TRIM(LEFT(H1184,MAX(0,LEN(H1184)-LEN(D1184)))),"")</f>
        <v/>
      </c>
      <c r="K1184" s="0" t="str">
        <f aca="false">INDEX($P$2:$P$21,A1184)</f>
        <v>Deck 20</v>
      </c>
      <c r="L1184" s="0" t="n">
        <f aca="false">IF(AND(C1184&lt;&gt;"",LEFT(C1184,2)&lt;&gt;"//",I1184=0),1,0)</f>
        <v>0</v>
      </c>
      <c r="M1184" s="0" t="str">
        <f aca="false">IF(I1184=1,MAX(M$1:M1183)+1,"")</f>
        <v/>
      </c>
      <c r="N1184" s="0" t="str">
        <f aca="false">IFERROR(MATCH(ROW()-1,$V$2:$V$1201,0),"")</f>
        <v/>
      </c>
      <c r="R1184" s="0" t="str">
        <f aca="false">IF(E1184="","",IFERROR(LEFT(E1184,FIND("-",E1184)-1),E1184))</f>
        <v/>
      </c>
      <c r="S1184" s="0" t="str">
        <f aca="false">IF(R1184="","",IF(ISNUMBER(--MID(R1184,1,1)),0,IF(ISNUMBER(--MID(R1184,2,1)),1,IF(ISNUMBER(--MID(R1184,3,1)),2,IF(ISNUMBER(--MID(R1184,4,1)),3,MIN(LEN(R1184),4))))))</f>
        <v/>
      </c>
      <c r="T1184" s="0" t="str">
        <f aca="false">IF(E1184="","",LEFT(R1184,S1184)&amp;REPT("0",4-S1184)&amp;RIGHT("000"&amp;IFERROR(VALUE(MID(R1184,S1184+1,9)),0),3)&amp;RIGHT("0000"&amp;IFERROR(VALUE(MID(E1184,FIND("-",E1184)+1,9)),0),4))</f>
        <v/>
      </c>
      <c r="U1184" s="0" t="str">
        <f aca="false">IF(I1184=1,"K"&amp;RIGHT("00"&amp;A1184,2)&amp;T1184&amp;RIGHT("00000"&amp;ROW(),5),"")</f>
        <v/>
      </c>
      <c r="V1184" s="0" t="str">
        <f aca="false">IF(U1184="","",COUNTIFS($I$2:$I$1201,1,$U$2:$U$1201,"&lt;"&amp;U1184)+1)</f>
        <v/>
      </c>
    </row>
    <row r="1185" customFormat="false" ht="15" hidden="false" customHeight="false" outlineLevel="0" collapsed="false">
      <c r="A1185" s="0" t="n">
        <v>20</v>
      </c>
      <c r="B1185" s="0" t="n">
        <v>44</v>
      </c>
      <c r="C1185" s="0" t="str">
        <f aca="false">TRIM(SUBSTITUTE(INDEX(LISTAS!$A$4:$T$63,B1185,A1185)&amp;"",CHAR(160)," "))</f>
        <v/>
      </c>
      <c r="D1185" s="0" t="str">
        <f aca="false">IF(C1185="","",TRIM(RIGHT(SUBSTITUTE(C1185," ",REPT(" ",100)),100)))</f>
        <v/>
      </c>
      <c r="E1185" s="0" t="str">
        <f aca="false">IF(D1185="","",UPPER(SUBSTITUTE(SUBSTITUTE(D1185,"(",""),")","")))</f>
        <v/>
      </c>
      <c r="F1185" s="0" t="str">
        <f aca="false">IF(C1185="","",LEFT(C1185,FIND(" ",C1185&amp;" ")-1))</f>
        <v/>
      </c>
      <c r="G1185" s="0" t="n">
        <f aca="false">IFERROR(VALUE(SUBSTITUTE(LOWER(F1185),"x","")),0)</f>
        <v>0</v>
      </c>
      <c r="H1185" s="0" t="str">
        <f aca="false">IF(C1185="","",TRIM(MID(C1185,LEN(F1185)+2,999)))</f>
        <v/>
      </c>
      <c r="I1185" s="0" t="n">
        <f aca="false">IF(OR(C1185="",LEFT(C1185,2)="//"),0,IFERROR(IF(AND(G1185&gt;0,G1185=INT(G1185),FIND("-",E1185)&gt;1,NOT(EXACT(UPPER(LEFT(E1185,1)),LOWER(LEFT(E1185,1)))),ISNUMBER(VALUE(MID(E1185,FIND("-",E1185)+1,10)))),1,0),0))</f>
        <v>0</v>
      </c>
      <c r="J1185" s="0" t="str">
        <f aca="false">IF(I1185=1,TRIM(LEFT(H1185,MAX(0,LEN(H1185)-LEN(D1185)))),"")</f>
        <v/>
      </c>
      <c r="K1185" s="0" t="str">
        <f aca="false">INDEX($P$2:$P$21,A1185)</f>
        <v>Deck 20</v>
      </c>
      <c r="L1185" s="0" t="n">
        <f aca="false">IF(AND(C1185&lt;&gt;"",LEFT(C1185,2)&lt;&gt;"//",I1185=0),1,0)</f>
        <v>0</v>
      </c>
      <c r="M1185" s="0" t="str">
        <f aca="false">IF(I1185=1,MAX(M$1:M1184)+1,"")</f>
        <v/>
      </c>
      <c r="N1185" s="0" t="str">
        <f aca="false">IFERROR(MATCH(ROW()-1,$V$2:$V$1201,0),"")</f>
        <v/>
      </c>
      <c r="R1185" s="0" t="str">
        <f aca="false">IF(E1185="","",IFERROR(LEFT(E1185,FIND("-",E1185)-1),E1185))</f>
        <v/>
      </c>
      <c r="S1185" s="0" t="str">
        <f aca="false">IF(R1185="","",IF(ISNUMBER(--MID(R1185,1,1)),0,IF(ISNUMBER(--MID(R1185,2,1)),1,IF(ISNUMBER(--MID(R1185,3,1)),2,IF(ISNUMBER(--MID(R1185,4,1)),3,MIN(LEN(R1185),4))))))</f>
        <v/>
      </c>
      <c r="T1185" s="0" t="str">
        <f aca="false">IF(E1185="","",LEFT(R1185,S1185)&amp;REPT("0",4-S1185)&amp;RIGHT("000"&amp;IFERROR(VALUE(MID(R1185,S1185+1,9)),0),3)&amp;RIGHT("0000"&amp;IFERROR(VALUE(MID(E1185,FIND("-",E1185)+1,9)),0),4))</f>
        <v/>
      </c>
      <c r="U1185" s="0" t="str">
        <f aca="false">IF(I1185=1,"K"&amp;RIGHT("00"&amp;A1185,2)&amp;T1185&amp;RIGHT("00000"&amp;ROW(),5),"")</f>
        <v/>
      </c>
      <c r="V1185" s="0" t="str">
        <f aca="false">IF(U1185="","",COUNTIFS($I$2:$I$1201,1,$U$2:$U$1201,"&lt;"&amp;U1185)+1)</f>
        <v/>
      </c>
    </row>
    <row r="1186" customFormat="false" ht="15" hidden="false" customHeight="false" outlineLevel="0" collapsed="false">
      <c r="A1186" s="0" t="n">
        <v>20</v>
      </c>
      <c r="B1186" s="0" t="n">
        <v>45</v>
      </c>
      <c r="C1186" s="0" t="str">
        <f aca="false">TRIM(SUBSTITUTE(INDEX(LISTAS!$A$4:$T$63,B1186,A1186)&amp;"",CHAR(160)," "))</f>
        <v/>
      </c>
      <c r="D1186" s="0" t="str">
        <f aca="false">IF(C1186="","",TRIM(RIGHT(SUBSTITUTE(C1186," ",REPT(" ",100)),100)))</f>
        <v/>
      </c>
      <c r="E1186" s="0" t="str">
        <f aca="false">IF(D1186="","",UPPER(SUBSTITUTE(SUBSTITUTE(D1186,"(",""),")","")))</f>
        <v/>
      </c>
      <c r="F1186" s="0" t="str">
        <f aca="false">IF(C1186="","",LEFT(C1186,FIND(" ",C1186&amp;" ")-1))</f>
        <v/>
      </c>
      <c r="G1186" s="0" t="n">
        <f aca="false">IFERROR(VALUE(SUBSTITUTE(LOWER(F1186),"x","")),0)</f>
        <v>0</v>
      </c>
      <c r="H1186" s="0" t="str">
        <f aca="false">IF(C1186="","",TRIM(MID(C1186,LEN(F1186)+2,999)))</f>
        <v/>
      </c>
      <c r="I1186" s="0" t="n">
        <f aca="false">IF(OR(C1186="",LEFT(C1186,2)="//"),0,IFERROR(IF(AND(G1186&gt;0,G1186=INT(G1186),FIND("-",E1186)&gt;1,NOT(EXACT(UPPER(LEFT(E1186,1)),LOWER(LEFT(E1186,1)))),ISNUMBER(VALUE(MID(E1186,FIND("-",E1186)+1,10)))),1,0),0))</f>
        <v>0</v>
      </c>
      <c r="J1186" s="0" t="str">
        <f aca="false">IF(I1186=1,TRIM(LEFT(H1186,MAX(0,LEN(H1186)-LEN(D1186)))),"")</f>
        <v/>
      </c>
      <c r="K1186" s="0" t="str">
        <f aca="false">INDEX($P$2:$P$21,A1186)</f>
        <v>Deck 20</v>
      </c>
      <c r="L1186" s="0" t="n">
        <f aca="false">IF(AND(C1186&lt;&gt;"",LEFT(C1186,2)&lt;&gt;"//",I1186=0),1,0)</f>
        <v>0</v>
      </c>
      <c r="M1186" s="0" t="str">
        <f aca="false">IF(I1186=1,MAX(M$1:M1185)+1,"")</f>
        <v/>
      </c>
      <c r="N1186" s="0" t="str">
        <f aca="false">IFERROR(MATCH(ROW()-1,$V$2:$V$1201,0),"")</f>
        <v/>
      </c>
      <c r="R1186" s="0" t="str">
        <f aca="false">IF(E1186="","",IFERROR(LEFT(E1186,FIND("-",E1186)-1),E1186))</f>
        <v/>
      </c>
      <c r="S1186" s="0" t="str">
        <f aca="false">IF(R1186="","",IF(ISNUMBER(--MID(R1186,1,1)),0,IF(ISNUMBER(--MID(R1186,2,1)),1,IF(ISNUMBER(--MID(R1186,3,1)),2,IF(ISNUMBER(--MID(R1186,4,1)),3,MIN(LEN(R1186),4))))))</f>
        <v/>
      </c>
      <c r="T1186" s="0" t="str">
        <f aca="false">IF(E1186="","",LEFT(R1186,S1186)&amp;REPT("0",4-S1186)&amp;RIGHT("000"&amp;IFERROR(VALUE(MID(R1186,S1186+1,9)),0),3)&amp;RIGHT("0000"&amp;IFERROR(VALUE(MID(E1186,FIND("-",E1186)+1,9)),0),4))</f>
        <v/>
      </c>
      <c r="U1186" s="0" t="str">
        <f aca="false">IF(I1186=1,"K"&amp;RIGHT("00"&amp;A1186,2)&amp;T1186&amp;RIGHT("00000"&amp;ROW(),5),"")</f>
        <v/>
      </c>
      <c r="V1186" s="0" t="str">
        <f aca="false">IF(U1186="","",COUNTIFS($I$2:$I$1201,1,$U$2:$U$1201,"&lt;"&amp;U1186)+1)</f>
        <v/>
      </c>
    </row>
    <row r="1187" customFormat="false" ht="15" hidden="false" customHeight="false" outlineLevel="0" collapsed="false">
      <c r="A1187" s="0" t="n">
        <v>20</v>
      </c>
      <c r="B1187" s="0" t="n">
        <v>46</v>
      </c>
      <c r="C1187" s="0" t="str">
        <f aca="false">TRIM(SUBSTITUTE(INDEX(LISTAS!$A$4:$T$63,B1187,A1187)&amp;"",CHAR(160)," "))</f>
        <v/>
      </c>
      <c r="D1187" s="0" t="str">
        <f aca="false">IF(C1187="","",TRIM(RIGHT(SUBSTITUTE(C1187," ",REPT(" ",100)),100)))</f>
        <v/>
      </c>
      <c r="E1187" s="0" t="str">
        <f aca="false">IF(D1187="","",UPPER(SUBSTITUTE(SUBSTITUTE(D1187,"(",""),")","")))</f>
        <v/>
      </c>
      <c r="F1187" s="0" t="str">
        <f aca="false">IF(C1187="","",LEFT(C1187,FIND(" ",C1187&amp;" ")-1))</f>
        <v/>
      </c>
      <c r="G1187" s="0" t="n">
        <f aca="false">IFERROR(VALUE(SUBSTITUTE(LOWER(F1187),"x","")),0)</f>
        <v>0</v>
      </c>
      <c r="H1187" s="0" t="str">
        <f aca="false">IF(C1187="","",TRIM(MID(C1187,LEN(F1187)+2,999)))</f>
        <v/>
      </c>
      <c r="I1187" s="0" t="n">
        <f aca="false">IF(OR(C1187="",LEFT(C1187,2)="//"),0,IFERROR(IF(AND(G1187&gt;0,G1187=INT(G1187),FIND("-",E1187)&gt;1,NOT(EXACT(UPPER(LEFT(E1187,1)),LOWER(LEFT(E1187,1)))),ISNUMBER(VALUE(MID(E1187,FIND("-",E1187)+1,10)))),1,0),0))</f>
        <v>0</v>
      </c>
      <c r="J1187" s="0" t="str">
        <f aca="false">IF(I1187=1,TRIM(LEFT(H1187,MAX(0,LEN(H1187)-LEN(D1187)))),"")</f>
        <v/>
      </c>
      <c r="K1187" s="0" t="str">
        <f aca="false">INDEX($P$2:$P$21,A1187)</f>
        <v>Deck 20</v>
      </c>
      <c r="L1187" s="0" t="n">
        <f aca="false">IF(AND(C1187&lt;&gt;"",LEFT(C1187,2)&lt;&gt;"//",I1187=0),1,0)</f>
        <v>0</v>
      </c>
      <c r="M1187" s="0" t="str">
        <f aca="false">IF(I1187=1,MAX(M$1:M1186)+1,"")</f>
        <v/>
      </c>
      <c r="N1187" s="0" t="str">
        <f aca="false">IFERROR(MATCH(ROW()-1,$V$2:$V$1201,0),"")</f>
        <v/>
      </c>
      <c r="R1187" s="0" t="str">
        <f aca="false">IF(E1187="","",IFERROR(LEFT(E1187,FIND("-",E1187)-1),E1187))</f>
        <v/>
      </c>
      <c r="S1187" s="0" t="str">
        <f aca="false">IF(R1187="","",IF(ISNUMBER(--MID(R1187,1,1)),0,IF(ISNUMBER(--MID(R1187,2,1)),1,IF(ISNUMBER(--MID(R1187,3,1)),2,IF(ISNUMBER(--MID(R1187,4,1)),3,MIN(LEN(R1187),4))))))</f>
        <v/>
      </c>
      <c r="T1187" s="0" t="str">
        <f aca="false">IF(E1187="","",LEFT(R1187,S1187)&amp;REPT("0",4-S1187)&amp;RIGHT("000"&amp;IFERROR(VALUE(MID(R1187,S1187+1,9)),0),3)&amp;RIGHT("0000"&amp;IFERROR(VALUE(MID(E1187,FIND("-",E1187)+1,9)),0),4))</f>
        <v/>
      </c>
      <c r="U1187" s="0" t="str">
        <f aca="false">IF(I1187=1,"K"&amp;RIGHT("00"&amp;A1187,2)&amp;T1187&amp;RIGHT("00000"&amp;ROW(),5),"")</f>
        <v/>
      </c>
      <c r="V1187" s="0" t="str">
        <f aca="false">IF(U1187="","",COUNTIFS($I$2:$I$1201,1,$U$2:$U$1201,"&lt;"&amp;U1187)+1)</f>
        <v/>
      </c>
    </row>
    <row r="1188" customFormat="false" ht="15" hidden="false" customHeight="false" outlineLevel="0" collapsed="false">
      <c r="A1188" s="0" t="n">
        <v>20</v>
      </c>
      <c r="B1188" s="0" t="n">
        <v>47</v>
      </c>
      <c r="C1188" s="0" t="str">
        <f aca="false">TRIM(SUBSTITUTE(INDEX(LISTAS!$A$4:$T$63,B1188,A1188)&amp;"",CHAR(160)," "))</f>
        <v/>
      </c>
      <c r="D1188" s="0" t="str">
        <f aca="false">IF(C1188="","",TRIM(RIGHT(SUBSTITUTE(C1188," ",REPT(" ",100)),100)))</f>
        <v/>
      </c>
      <c r="E1188" s="0" t="str">
        <f aca="false">IF(D1188="","",UPPER(SUBSTITUTE(SUBSTITUTE(D1188,"(",""),")","")))</f>
        <v/>
      </c>
      <c r="F1188" s="0" t="str">
        <f aca="false">IF(C1188="","",LEFT(C1188,FIND(" ",C1188&amp;" ")-1))</f>
        <v/>
      </c>
      <c r="G1188" s="0" t="n">
        <f aca="false">IFERROR(VALUE(SUBSTITUTE(LOWER(F1188),"x","")),0)</f>
        <v>0</v>
      </c>
      <c r="H1188" s="0" t="str">
        <f aca="false">IF(C1188="","",TRIM(MID(C1188,LEN(F1188)+2,999)))</f>
        <v/>
      </c>
      <c r="I1188" s="0" t="n">
        <f aca="false">IF(OR(C1188="",LEFT(C1188,2)="//"),0,IFERROR(IF(AND(G1188&gt;0,G1188=INT(G1188),FIND("-",E1188)&gt;1,NOT(EXACT(UPPER(LEFT(E1188,1)),LOWER(LEFT(E1188,1)))),ISNUMBER(VALUE(MID(E1188,FIND("-",E1188)+1,10)))),1,0),0))</f>
        <v>0</v>
      </c>
      <c r="J1188" s="0" t="str">
        <f aca="false">IF(I1188=1,TRIM(LEFT(H1188,MAX(0,LEN(H1188)-LEN(D1188)))),"")</f>
        <v/>
      </c>
      <c r="K1188" s="0" t="str">
        <f aca="false">INDEX($P$2:$P$21,A1188)</f>
        <v>Deck 20</v>
      </c>
      <c r="L1188" s="0" t="n">
        <f aca="false">IF(AND(C1188&lt;&gt;"",LEFT(C1188,2)&lt;&gt;"//",I1188=0),1,0)</f>
        <v>0</v>
      </c>
      <c r="M1188" s="0" t="str">
        <f aca="false">IF(I1188=1,MAX(M$1:M1187)+1,"")</f>
        <v/>
      </c>
      <c r="N1188" s="0" t="str">
        <f aca="false">IFERROR(MATCH(ROW()-1,$V$2:$V$1201,0),"")</f>
        <v/>
      </c>
      <c r="R1188" s="0" t="str">
        <f aca="false">IF(E1188="","",IFERROR(LEFT(E1188,FIND("-",E1188)-1),E1188))</f>
        <v/>
      </c>
      <c r="S1188" s="0" t="str">
        <f aca="false">IF(R1188="","",IF(ISNUMBER(--MID(R1188,1,1)),0,IF(ISNUMBER(--MID(R1188,2,1)),1,IF(ISNUMBER(--MID(R1188,3,1)),2,IF(ISNUMBER(--MID(R1188,4,1)),3,MIN(LEN(R1188),4))))))</f>
        <v/>
      </c>
      <c r="T1188" s="0" t="str">
        <f aca="false">IF(E1188="","",LEFT(R1188,S1188)&amp;REPT("0",4-S1188)&amp;RIGHT("000"&amp;IFERROR(VALUE(MID(R1188,S1188+1,9)),0),3)&amp;RIGHT("0000"&amp;IFERROR(VALUE(MID(E1188,FIND("-",E1188)+1,9)),0),4))</f>
        <v/>
      </c>
      <c r="U1188" s="0" t="str">
        <f aca="false">IF(I1188=1,"K"&amp;RIGHT("00"&amp;A1188,2)&amp;T1188&amp;RIGHT("00000"&amp;ROW(),5),"")</f>
        <v/>
      </c>
      <c r="V1188" s="0" t="str">
        <f aca="false">IF(U1188="","",COUNTIFS($I$2:$I$1201,1,$U$2:$U$1201,"&lt;"&amp;U1188)+1)</f>
        <v/>
      </c>
    </row>
    <row r="1189" customFormat="false" ht="15" hidden="false" customHeight="false" outlineLevel="0" collapsed="false">
      <c r="A1189" s="0" t="n">
        <v>20</v>
      </c>
      <c r="B1189" s="0" t="n">
        <v>48</v>
      </c>
      <c r="C1189" s="0" t="str">
        <f aca="false">TRIM(SUBSTITUTE(INDEX(LISTAS!$A$4:$T$63,B1189,A1189)&amp;"",CHAR(160)," "))</f>
        <v/>
      </c>
      <c r="D1189" s="0" t="str">
        <f aca="false">IF(C1189="","",TRIM(RIGHT(SUBSTITUTE(C1189," ",REPT(" ",100)),100)))</f>
        <v/>
      </c>
      <c r="E1189" s="0" t="str">
        <f aca="false">IF(D1189="","",UPPER(SUBSTITUTE(SUBSTITUTE(D1189,"(",""),")","")))</f>
        <v/>
      </c>
      <c r="F1189" s="0" t="str">
        <f aca="false">IF(C1189="","",LEFT(C1189,FIND(" ",C1189&amp;" ")-1))</f>
        <v/>
      </c>
      <c r="G1189" s="0" t="n">
        <f aca="false">IFERROR(VALUE(SUBSTITUTE(LOWER(F1189),"x","")),0)</f>
        <v>0</v>
      </c>
      <c r="H1189" s="0" t="str">
        <f aca="false">IF(C1189="","",TRIM(MID(C1189,LEN(F1189)+2,999)))</f>
        <v/>
      </c>
      <c r="I1189" s="0" t="n">
        <f aca="false">IF(OR(C1189="",LEFT(C1189,2)="//"),0,IFERROR(IF(AND(G1189&gt;0,G1189=INT(G1189),FIND("-",E1189)&gt;1,NOT(EXACT(UPPER(LEFT(E1189,1)),LOWER(LEFT(E1189,1)))),ISNUMBER(VALUE(MID(E1189,FIND("-",E1189)+1,10)))),1,0),0))</f>
        <v>0</v>
      </c>
      <c r="J1189" s="0" t="str">
        <f aca="false">IF(I1189=1,TRIM(LEFT(H1189,MAX(0,LEN(H1189)-LEN(D1189)))),"")</f>
        <v/>
      </c>
      <c r="K1189" s="0" t="str">
        <f aca="false">INDEX($P$2:$P$21,A1189)</f>
        <v>Deck 20</v>
      </c>
      <c r="L1189" s="0" t="n">
        <f aca="false">IF(AND(C1189&lt;&gt;"",LEFT(C1189,2)&lt;&gt;"//",I1189=0),1,0)</f>
        <v>0</v>
      </c>
      <c r="M1189" s="0" t="str">
        <f aca="false">IF(I1189=1,MAX(M$1:M1188)+1,"")</f>
        <v/>
      </c>
      <c r="N1189" s="0" t="str">
        <f aca="false">IFERROR(MATCH(ROW()-1,$V$2:$V$1201,0),"")</f>
        <v/>
      </c>
      <c r="R1189" s="0" t="str">
        <f aca="false">IF(E1189="","",IFERROR(LEFT(E1189,FIND("-",E1189)-1),E1189))</f>
        <v/>
      </c>
      <c r="S1189" s="0" t="str">
        <f aca="false">IF(R1189="","",IF(ISNUMBER(--MID(R1189,1,1)),0,IF(ISNUMBER(--MID(R1189,2,1)),1,IF(ISNUMBER(--MID(R1189,3,1)),2,IF(ISNUMBER(--MID(R1189,4,1)),3,MIN(LEN(R1189),4))))))</f>
        <v/>
      </c>
      <c r="T1189" s="0" t="str">
        <f aca="false">IF(E1189="","",LEFT(R1189,S1189)&amp;REPT("0",4-S1189)&amp;RIGHT("000"&amp;IFERROR(VALUE(MID(R1189,S1189+1,9)),0),3)&amp;RIGHT("0000"&amp;IFERROR(VALUE(MID(E1189,FIND("-",E1189)+1,9)),0),4))</f>
        <v/>
      </c>
      <c r="U1189" s="0" t="str">
        <f aca="false">IF(I1189=1,"K"&amp;RIGHT("00"&amp;A1189,2)&amp;T1189&amp;RIGHT("00000"&amp;ROW(),5),"")</f>
        <v/>
      </c>
      <c r="V1189" s="0" t="str">
        <f aca="false">IF(U1189="","",COUNTIFS($I$2:$I$1201,1,$U$2:$U$1201,"&lt;"&amp;U1189)+1)</f>
        <v/>
      </c>
    </row>
    <row r="1190" customFormat="false" ht="15" hidden="false" customHeight="false" outlineLevel="0" collapsed="false">
      <c r="A1190" s="0" t="n">
        <v>20</v>
      </c>
      <c r="B1190" s="0" t="n">
        <v>49</v>
      </c>
      <c r="C1190" s="0" t="str">
        <f aca="false">TRIM(SUBSTITUTE(INDEX(LISTAS!$A$4:$T$63,B1190,A1190)&amp;"",CHAR(160)," "))</f>
        <v/>
      </c>
      <c r="D1190" s="0" t="str">
        <f aca="false">IF(C1190="","",TRIM(RIGHT(SUBSTITUTE(C1190," ",REPT(" ",100)),100)))</f>
        <v/>
      </c>
      <c r="E1190" s="0" t="str">
        <f aca="false">IF(D1190="","",UPPER(SUBSTITUTE(SUBSTITUTE(D1190,"(",""),")","")))</f>
        <v/>
      </c>
      <c r="F1190" s="0" t="str">
        <f aca="false">IF(C1190="","",LEFT(C1190,FIND(" ",C1190&amp;" ")-1))</f>
        <v/>
      </c>
      <c r="G1190" s="0" t="n">
        <f aca="false">IFERROR(VALUE(SUBSTITUTE(LOWER(F1190),"x","")),0)</f>
        <v>0</v>
      </c>
      <c r="H1190" s="0" t="str">
        <f aca="false">IF(C1190="","",TRIM(MID(C1190,LEN(F1190)+2,999)))</f>
        <v/>
      </c>
      <c r="I1190" s="0" t="n">
        <f aca="false">IF(OR(C1190="",LEFT(C1190,2)="//"),0,IFERROR(IF(AND(G1190&gt;0,G1190=INT(G1190),FIND("-",E1190)&gt;1,NOT(EXACT(UPPER(LEFT(E1190,1)),LOWER(LEFT(E1190,1)))),ISNUMBER(VALUE(MID(E1190,FIND("-",E1190)+1,10)))),1,0),0))</f>
        <v>0</v>
      </c>
      <c r="J1190" s="0" t="str">
        <f aca="false">IF(I1190=1,TRIM(LEFT(H1190,MAX(0,LEN(H1190)-LEN(D1190)))),"")</f>
        <v/>
      </c>
      <c r="K1190" s="0" t="str">
        <f aca="false">INDEX($P$2:$P$21,A1190)</f>
        <v>Deck 20</v>
      </c>
      <c r="L1190" s="0" t="n">
        <f aca="false">IF(AND(C1190&lt;&gt;"",LEFT(C1190,2)&lt;&gt;"//",I1190=0),1,0)</f>
        <v>0</v>
      </c>
      <c r="M1190" s="0" t="str">
        <f aca="false">IF(I1190=1,MAX(M$1:M1189)+1,"")</f>
        <v/>
      </c>
      <c r="N1190" s="0" t="str">
        <f aca="false">IFERROR(MATCH(ROW()-1,$V$2:$V$1201,0),"")</f>
        <v/>
      </c>
      <c r="R1190" s="0" t="str">
        <f aca="false">IF(E1190="","",IFERROR(LEFT(E1190,FIND("-",E1190)-1),E1190))</f>
        <v/>
      </c>
      <c r="S1190" s="0" t="str">
        <f aca="false">IF(R1190="","",IF(ISNUMBER(--MID(R1190,1,1)),0,IF(ISNUMBER(--MID(R1190,2,1)),1,IF(ISNUMBER(--MID(R1190,3,1)),2,IF(ISNUMBER(--MID(R1190,4,1)),3,MIN(LEN(R1190),4))))))</f>
        <v/>
      </c>
      <c r="T1190" s="0" t="str">
        <f aca="false">IF(E1190="","",LEFT(R1190,S1190)&amp;REPT("0",4-S1190)&amp;RIGHT("000"&amp;IFERROR(VALUE(MID(R1190,S1190+1,9)),0),3)&amp;RIGHT("0000"&amp;IFERROR(VALUE(MID(E1190,FIND("-",E1190)+1,9)),0),4))</f>
        <v/>
      </c>
      <c r="U1190" s="0" t="str">
        <f aca="false">IF(I1190=1,"K"&amp;RIGHT("00"&amp;A1190,2)&amp;T1190&amp;RIGHT("00000"&amp;ROW(),5),"")</f>
        <v/>
      </c>
      <c r="V1190" s="0" t="str">
        <f aca="false">IF(U1190="","",COUNTIFS($I$2:$I$1201,1,$U$2:$U$1201,"&lt;"&amp;U1190)+1)</f>
        <v/>
      </c>
    </row>
    <row r="1191" customFormat="false" ht="15" hidden="false" customHeight="false" outlineLevel="0" collapsed="false">
      <c r="A1191" s="0" t="n">
        <v>20</v>
      </c>
      <c r="B1191" s="0" t="n">
        <v>50</v>
      </c>
      <c r="C1191" s="0" t="str">
        <f aca="false">TRIM(SUBSTITUTE(INDEX(LISTAS!$A$4:$T$63,B1191,A1191)&amp;"",CHAR(160)," "))</f>
        <v/>
      </c>
      <c r="D1191" s="0" t="str">
        <f aca="false">IF(C1191="","",TRIM(RIGHT(SUBSTITUTE(C1191," ",REPT(" ",100)),100)))</f>
        <v/>
      </c>
      <c r="E1191" s="0" t="str">
        <f aca="false">IF(D1191="","",UPPER(SUBSTITUTE(SUBSTITUTE(D1191,"(",""),")","")))</f>
        <v/>
      </c>
      <c r="F1191" s="0" t="str">
        <f aca="false">IF(C1191="","",LEFT(C1191,FIND(" ",C1191&amp;" ")-1))</f>
        <v/>
      </c>
      <c r="G1191" s="0" t="n">
        <f aca="false">IFERROR(VALUE(SUBSTITUTE(LOWER(F1191),"x","")),0)</f>
        <v>0</v>
      </c>
      <c r="H1191" s="0" t="str">
        <f aca="false">IF(C1191="","",TRIM(MID(C1191,LEN(F1191)+2,999)))</f>
        <v/>
      </c>
      <c r="I1191" s="0" t="n">
        <f aca="false">IF(OR(C1191="",LEFT(C1191,2)="//"),0,IFERROR(IF(AND(G1191&gt;0,G1191=INT(G1191),FIND("-",E1191)&gt;1,NOT(EXACT(UPPER(LEFT(E1191,1)),LOWER(LEFT(E1191,1)))),ISNUMBER(VALUE(MID(E1191,FIND("-",E1191)+1,10)))),1,0),0))</f>
        <v>0</v>
      </c>
      <c r="J1191" s="0" t="str">
        <f aca="false">IF(I1191=1,TRIM(LEFT(H1191,MAX(0,LEN(H1191)-LEN(D1191)))),"")</f>
        <v/>
      </c>
      <c r="K1191" s="0" t="str">
        <f aca="false">INDEX($P$2:$P$21,A1191)</f>
        <v>Deck 20</v>
      </c>
      <c r="L1191" s="0" t="n">
        <f aca="false">IF(AND(C1191&lt;&gt;"",LEFT(C1191,2)&lt;&gt;"//",I1191=0),1,0)</f>
        <v>0</v>
      </c>
      <c r="M1191" s="0" t="str">
        <f aca="false">IF(I1191=1,MAX(M$1:M1190)+1,"")</f>
        <v/>
      </c>
      <c r="N1191" s="0" t="str">
        <f aca="false">IFERROR(MATCH(ROW()-1,$V$2:$V$1201,0),"")</f>
        <v/>
      </c>
      <c r="R1191" s="0" t="str">
        <f aca="false">IF(E1191="","",IFERROR(LEFT(E1191,FIND("-",E1191)-1),E1191))</f>
        <v/>
      </c>
      <c r="S1191" s="0" t="str">
        <f aca="false">IF(R1191="","",IF(ISNUMBER(--MID(R1191,1,1)),0,IF(ISNUMBER(--MID(R1191,2,1)),1,IF(ISNUMBER(--MID(R1191,3,1)),2,IF(ISNUMBER(--MID(R1191,4,1)),3,MIN(LEN(R1191),4))))))</f>
        <v/>
      </c>
      <c r="T1191" s="0" t="str">
        <f aca="false">IF(E1191="","",LEFT(R1191,S1191)&amp;REPT("0",4-S1191)&amp;RIGHT("000"&amp;IFERROR(VALUE(MID(R1191,S1191+1,9)),0),3)&amp;RIGHT("0000"&amp;IFERROR(VALUE(MID(E1191,FIND("-",E1191)+1,9)),0),4))</f>
        <v/>
      </c>
      <c r="U1191" s="0" t="str">
        <f aca="false">IF(I1191=1,"K"&amp;RIGHT("00"&amp;A1191,2)&amp;T1191&amp;RIGHT("00000"&amp;ROW(),5),"")</f>
        <v/>
      </c>
      <c r="V1191" s="0" t="str">
        <f aca="false">IF(U1191="","",COUNTIFS($I$2:$I$1201,1,$U$2:$U$1201,"&lt;"&amp;U1191)+1)</f>
        <v/>
      </c>
    </row>
    <row r="1192" customFormat="false" ht="15" hidden="false" customHeight="false" outlineLevel="0" collapsed="false">
      <c r="A1192" s="0" t="n">
        <v>20</v>
      </c>
      <c r="B1192" s="0" t="n">
        <v>51</v>
      </c>
      <c r="C1192" s="0" t="str">
        <f aca="false">TRIM(SUBSTITUTE(INDEX(LISTAS!$A$4:$T$63,B1192,A1192)&amp;"",CHAR(160)," "))</f>
        <v/>
      </c>
      <c r="D1192" s="0" t="str">
        <f aca="false">IF(C1192="","",TRIM(RIGHT(SUBSTITUTE(C1192," ",REPT(" ",100)),100)))</f>
        <v/>
      </c>
      <c r="E1192" s="0" t="str">
        <f aca="false">IF(D1192="","",UPPER(SUBSTITUTE(SUBSTITUTE(D1192,"(",""),")","")))</f>
        <v/>
      </c>
      <c r="F1192" s="0" t="str">
        <f aca="false">IF(C1192="","",LEFT(C1192,FIND(" ",C1192&amp;" ")-1))</f>
        <v/>
      </c>
      <c r="G1192" s="0" t="n">
        <f aca="false">IFERROR(VALUE(SUBSTITUTE(LOWER(F1192),"x","")),0)</f>
        <v>0</v>
      </c>
      <c r="H1192" s="0" t="str">
        <f aca="false">IF(C1192="","",TRIM(MID(C1192,LEN(F1192)+2,999)))</f>
        <v/>
      </c>
      <c r="I1192" s="0" t="n">
        <f aca="false">IF(OR(C1192="",LEFT(C1192,2)="//"),0,IFERROR(IF(AND(G1192&gt;0,G1192=INT(G1192),FIND("-",E1192)&gt;1,NOT(EXACT(UPPER(LEFT(E1192,1)),LOWER(LEFT(E1192,1)))),ISNUMBER(VALUE(MID(E1192,FIND("-",E1192)+1,10)))),1,0),0))</f>
        <v>0</v>
      </c>
      <c r="J1192" s="0" t="str">
        <f aca="false">IF(I1192=1,TRIM(LEFT(H1192,MAX(0,LEN(H1192)-LEN(D1192)))),"")</f>
        <v/>
      </c>
      <c r="K1192" s="0" t="str">
        <f aca="false">INDEX($P$2:$P$21,A1192)</f>
        <v>Deck 20</v>
      </c>
      <c r="L1192" s="0" t="n">
        <f aca="false">IF(AND(C1192&lt;&gt;"",LEFT(C1192,2)&lt;&gt;"//",I1192=0),1,0)</f>
        <v>0</v>
      </c>
      <c r="M1192" s="0" t="str">
        <f aca="false">IF(I1192=1,MAX(M$1:M1191)+1,"")</f>
        <v/>
      </c>
      <c r="N1192" s="0" t="str">
        <f aca="false">IFERROR(MATCH(ROW()-1,$V$2:$V$1201,0),"")</f>
        <v/>
      </c>
      <c r="R1192" s="0" t="str">
        <f aca="false">IF(E1192="","",IFERROR(LEFT(E1192,FIND("-",E1192)-1),E1192))</f>
        <v/>
      </c>
      <c r="S1192" s="0" t="str">
        <f aca="false">IF(R1192="","",IF(ISNUMBER(--MID(R1192,1,1)),0,IF(ISNUMBER(--MID(R1192,2,1)),1,IF(ISNUMBER(--MID(R1192,3,1)),2,IF(ISNUMBER(--MID(R1192,4,1)),3,MIN(LEN(R1192),4))))))</f>
        <v/>
      </c>
      <c r="T1192" s="0" t="str">
        <f aca="false">IF(E1192="","",LEFT(R1192,S1192)&amp;REPT("0",4-S1192)&amp;RIGHT("000"&amp;IFERROR(VALUE(MID(R1192,S1192+1,9)),0),3)&amp;RIGHT("0000"&amp;IFERROR(VALUE(MID(E1192,FIND("-",E1192)+1,9)),0),4))</f>
        <v/>
      </c>
      <c r="U1192" s="0" t="str">
        <f aca="false">IF(I1192=1,"K"&amp;RIGHT("00"&amp;A1192,2)&amp;T1192&amp;RIGHT("00000"&amp;ROW(),5),"")</f>
        <v/>
      </c>
      <c r="V1192" s="0" t="str">
        <f aca="false">IF(U1192="","",COUNTIFS($I$2:$I$1201,1,$U$2:$U$1201,"&lt;"&amp;U1192)+1)</f>
        <v/>
      </c>
    </row>
    <row r="1193" customFormat="false" ht="15" hidden="false" customHeight="false" outlineLevel="0" collapsed="false">
      <c r="A1193" s="0" t="n">
        <v>20</v>
      </c>
      <c r="B1193" s="0" t="n">
        <v>52</v>
      </c>
      <c r="C1193" s="0" t="str">
        <f aca="false">TRIM(SUBSTITUTE(INDEX(LISTAS!$A$4:$T$63,B1193,A1193)&amp;"",CHAR(160)," "))</f>
        <v/>
      </c>
      <c r="D1193" s="0" t="str">
        <f aca="false">IF(C1193="","",TRIM(RIGHT(SUBSTITUTE(C1193," ",REPT(" ",100)),100)))</f>
        <v/>
      </c>
      <c r="E1193" s="0" t="str">
        <f aca="false">IF(D1193="","",UPPER(SUBSTITUTE(SUBSTITUTE(D1193,"(",""),")","")))</f>
        <v/>
      </c>
      <c r="F1193" s="0" t="str">
        <f aca="false">IF(C1193="","",LEFT(C1193,FIND(" ",C1193&amp;" ")-1))</f>
        <v/>
      </c>
      <c r="G1193" s="0" t="n">
        <f aca="false">IFERROR(VALUE(SUBSTITUTE(LOWER(F1193),"x","")),0)</f>
        <v>0</v>
      </c>
      <c r="H1193" s="0" t="str">
        <f aca="false">IF(C1193="","",TRIM(MID(C1193,LEN(F1193)+2,999)))</f>
        <v/>
      </c>
      <c r="I1193" s="0" t="n">
        <f aca="false">IF(OR(C1193="",LEFT(C1193,2)="//"),0,IFERROR(IF(AND(G1193&gt;0,G1193=INT(G1193),FIND("-",E1193)&gt;1,NOT(EXACT(UPPER(LEFT(E1193,1)),LOWER(LEFT(E1193,1)))),ISNUMBER(VALUE(MID(E1193,FIND("-",E1193)+1,10)))),1,0),0))</f>
        <v>0</v>
      </c>
      <c r="J1193" s="0" t="str">
        <f aca="false">IF(I1193=1,TRIM(LEFT(H1193,MAX(0,LEN(H1193)-LEN(D1193)))),"")</f>
        <v/>
      </c>
      <c r="K1193" s="0" t="str">
        <f aca="false">INDEX($P$2:$P$21,A1193)</f>
        <v>Deck 20</v>
      </c>
      <c r="L1193" s="0" t="n">
        <f aca="false">IF(AND(C1193&lt;&gt;"",LEFT(C1193,2)&lt;&gt;"//",I1193=0),1,0)</f>
        <v>0</v>
      </c>
      <c r="M1193" s="0" t="str">
        <f aca="false">IF(I1193=1,MAX(M$1:M1192)+1,"")</f>
        <v/>
      </c>
      <c r="N1193" s="0" t="str">
        <f aca="false">IFERROR(MATCH(ROW()-1,$V$2:$V$1201,0),"")</f>
        <v/>
      </c>
      <c r="R1193" s="0" t="str">
        <f aca="false">IF(E1193="","",IFERROR(LEFT(E1193,FIND("-",E1193)-1),E1193))</f>
        <v/>
      </c>
      <c r="S1193" s="0" t="str">
        <f aca="false">IF(R1193="","",IF(ISNUMBER(--MID(R1193,1,1)),0,IF(ISNUMBER(--MID(R1193,2,1)),1,IF(ISNUMBER(--MID(R1193,3,1)),2,IF(ISNUMBER(--MID(R1193,4,1)),3,MIN(LEN(R1193),4))))))</f>
        <v/>
      </c>
      <c r="T1193" s="0" t="str">
        <f aca="false">IF(E1193="","",LEFT(R1193,S1193)&amp;REPT("0",4-S1193)&amp;RIGHT("000"&amp;IFERROR(VALUE(MID(R1193,S1193+1,9)),0),3)&amp;RIGHT("0000"&amp;IFERROR(VALUE(MID(E1193,FIND("-",E1193)+1,9)),0),4))</f>
        <v/>
      </c>
      <c r="U1193" s="0" t="str">
        <f aca="false">IF(I1193=1,"K"&amp;RIGHT("00"&amp;A1193,2)&amp;T1193&amp;RIGHT("00000"&amp;ROW(),5),"")</f>
        <v/>
      </c>
      <c r="V1193" s="0" t="str">
        <f aca="false">IF(U1193="","",COUNTIFS($I$2:$I$1201,1,$U$2:$U$1201,"&lt;"&amp;U1193)+1)</f>
        <v/>
      </c>
    </row>
    <row r="1194" customFormat="false" ht="15" hidden="false" customHeight="false" outlineLevel="0" collapsed="false">
      <c r="A1194" s="0" t="n">
        <v>20</v>
      </c>
      <c r="B1194" s="0" t="n">
        <v>53</v>
      </c>
      <c r="C1194" s="0" t="str">
        <f aca="false">TRIM(SUBSTITUTE(INDEX(LISTAS!$A$4:$T$63,B1194,A1194)&amp;"",CHAR(160)," "))</f>
        <v/>
      </c>
      <c r="D1194" s="0" t="str">
        <f aca="false">IF(C1194="","",TRIM(RIGHT(SUBSTITUTE(C1194," ",REPT(" ",100)),100)))</f>
        <v/>
      </c>
      <c r="E1194" s="0" t="str">
        <f aca="false">IF(D1194="","",UPPER(SUBSTITUTE(SUBSTITUTE(D1194,"(",""),")","")))</f>
        <v/>
      </c>
      <c r="F1194" s="0" t="str">
        <f aca="false">IF(C1194="","",LEFT(C1194,FIND(" ",C1194&amp;" ")-1))</f>
        <v/>
      </c>
      <c r="G1194" s="0" t="n">
        <f aca="false">IFERROR(VALUE(SUBSTITUTE(LOWER(F1194),"x","")),0)</f>
        <v>0</v>
      </c>
      <c r="H1194" s="0" t="str">
        <f aca="false">IF(C1194="","",TRIM(MID(C1194,LEN(F1194)+2,999)))</f>
        <v/>
      </c>
      <c r="I1194" s="0" t="n">
        <f aca="false">IF(OR(C1194="",LEFT(C1194,2)="//"),0,IFERROR(IF(AND(G1194&gt;0,G1194=INT(G1194),FIND("-",E1194)&gt;1,NOT(EXACT(UPPER(LEFT(E1194,1)),LOWER(LEFT(E1194,1)))),ISNUMBER(VALUE(MID(E1194,FIND("-",E1194)+1,10)))),1,0),0))</f>
        <v>0</v>
      </c>
      <c r="J1194" s="0" t="str">
        <f aca="false">IF(I1194=1,TRIM(LEFT(H1194,MAX(0,LEN(H1194)-LEN(D1194)))),"")</f>
        <v/>
      </c>
      <c r="K1194" s="0" t="str">
        <f aca="false">INDEX($P$2:$P$21,A1194)</f>
        <v>Deck 20</v>
      </c>
      <c r="L1194" s="0" t="n">
        <f aca="false">IF(AND(C1194&lt;&gt;"",LEFT(C1194,2)&lt;&gt;"//",I1194=0),1,0)</f>
        <v>0</v>
      </c>
      <c r="M1194" s="0" t="str">
        <f aca="false">IF(I1194=1,MAX(M$1:M1193)+1,"")</f>
        <v/>
      </c>
      <c r="N1194" s="0" t="str">
        <f aca="false">IFERROR(MATCH(ROW()-1,$V$2:$V$1201,0),"")</f>
        <v/>
      </c>
      <c r="R1194" s="0" t="str">
        <f aca="false">IF(E1194="","",IFERROR(LEFT(E1194,FIND("-",E1194)-1),E1194))</f>
        <v/>
      </c>
      <c r="S1194" s="0" t="str">
        <f aca="false">IF(R1194="","",IF(ISNUMBER(--MID(R1194,1,1)),0,IF(ISNUMBER(--MID(R1194,2,1)),1,IF(ISNUMBER(--MID(R1194,3,1)),2,IF(ISNUMBER(--MID(R1194,4,1)),3,MIN(LEN(R1194),4))))))</f>
        <v/>
      </c>
      <c r="T1194" s="0" t="str">
        <f aca="false">IF(E1194="","",LEFT(R1194,S1194)&amp;REPT("0",4-S1194)&amp;RIGHT("000"&amp;IFERROR(VALUE(MID(R1194,S1194+1,9)),0),3)&amp;RIGHT("0000"&amp;IFERROR(VALUE(MID(E1194,FIND("-",E1194)+1,9)),0),4))</f>
        <v/>
      </c>
      <c r="U1194" s="0" t="str">
        <f aca="false">IF(I1194=1,"K"&amp;RIGHT("00"&amp;A1194,2)&amp;T1194&amp;RIGHT("00000"&amp;ROW(),5),"")</f>
        <v/>
      </c>
      <c r="V1194" s="0" t="str">
        <f aca="false">IF(U1194="","",COUNTIFS($I$2:$I$1201,1,$U$2:$U$1201,"&lt;"&amp;U1194)+1)</f>
        <v/>
      </c>
    </row>
    <row r="1195" customFormat="false" ht="15" hidden="false" customHeight="false" outlineLevel="0" collapsed="false">
      <c r="A1195" s="0" t="n">
        <v>20</v>
      </c>
      <c r="B1195" s="0" t="n">
        <v>54</v>
      </c>
      <c r="C1195" s="0" t="str">
        <f aca="false">TRIM(SUBSTITUTE(INDEX(LISTAS!$A$4:$T$63,B1195,A1195)&amp;"",CHAR(160)," "))</f>
        <v/>
      </c>
      <c r="D1195" s="0" t="str">
        <f aca="false">IF(C1195="","",TRIM(RIGHT(SUBSTITUTE(C1195," ",REPT(" ",100)),100)))</f>
        <v/>
      </c>
      <c r="E1195" s="0" t="str">
        <f aca="false">IF(D1195="","",UPPER(SUBSTITUTE(SUBSTITUTE(D1195,"(",""),")","")))</f>
        <v/>
      </c>
      <c r="F1195" s="0" t="str">
        <f aca="false">IF(C1195="","",LEFT(C1195,FIND(" ",C1195&amp;" ")-1))</f>
        <v/>
      </c>
      <c r="G1195" s="0" t="n">
        <f aca="false">IFERROR(VALUE(SUBSTITUTE(LOWER(F1195),"x","")),0)</f>
        <v>0</v>
      </c>
      <c r="H1195" s="0" t="str">
        <f aca="false">IF(C1195="","",TRIM(MID(C1195,LEN(F1195)+2,999)))</f>
        <v/>
      </c>
      <c r="I1195" s="0" t="n">
        <f aca="false">IF(OR(C1195="",LEFT(C1195,2)="//"),0,IFERROR(IF(AND(G1195&gt;0,G1195=INT(G1195),FIND("-",E1195)&gt;1,NOT(EXACT(UPPER(LEFT(E1195,1)),LOWER(LEFT(E1195,1)))),ISNUMBER(VALUE(MID(E1195,FIND("-",E1195)+1,10)))),1,0),0))</f>
        <v>0</v>
      </c>
      <c r="J1195" s="0" t="str">
        <f aca="false">IF(I1195=1,TRIM(LEFT(H1195,MAX(0,LEN(H1195)-LEN(D1195)))),"")</f>
        <v/>
      </c>
      <c r="K1195" s="0" t="str">
        <f aca="false">INDEX($P$2:$P$21,A1195)</f>
        <v>Deck 20</v>
      </c>
      <c r="L1195" s="0" t="n">
        <f aca="false">IF(AND(C1195&lt;&gt;"",LEFT(C1195,2)&lt;&gt;"//",I1195=0),1,0)</f>
        <v>0</v>
      </c>
      <c r="M1195" s="0" t="str">
        <f aca="false">IF(I1195=1,MAX(M$1:M1194)+1,"")</f>
        <v/>
      </c>
      <c r="N1195" s="0" t="str">
        <f aca="false">IFERROR(MATCH(ROW()-1,$V$2:$V$1201,0),"")</f>
        <v/>
      </c>
      <c r="R1195" s="0" t="str">
        <f aca="false">IF(E1195="","",IFERROR(LEFT(E1195,FIND("-",E1195)-1),E1195))</f>
        <v/>
      </c>
      <c r="S1195" s="0" t="str">
        <f aca="false">IF(R1195="","",IF(ISNUMBER(--MID(R1195,1,1)),0,IF(ISNUMBER(--MID(R1195,2,1)),1,IF(ISNUMBER(--MID(R1195,3,1)),2,IF(ISNUMBER(--MID(R1195,4,1)),3,MIN(LEN(R1195),4))))))</f>
        <v/>
      </c>
      <c r="T1195" s="0" t="str">
        <f aca="false">IF(E1195="","",LEFT(R1195,S1195)&amp;REPT("0",4-S1195)&amp;RIGHT("000"&amp;IFERROR(VALUE(MID(R1195,S1195+1,9)),0),3)&amp;RIGHT("0000"&amp;IFERROR(VALUE(MID(E1195,FIND("-",E1195)+1,9)),0),4))</f>
        <v/>
      </c>
      <c r="U1195" s="0" t="str">
        <f aca="false">IF(I1195=1,"K"&amp;RIGHT("00"&amp;A1195,2)&amp;T1195&amp;RIGHT("00000"&amp;ROW(),5),"")</f>
        <v/>
      </c>
      <c r="V1195" s="0" t="str">
        <f aca="false">IF(U1195="","",COUNTIFS($I$2:$I$1201,1,$U$2:$U$1201,"&lt;"&amp;U1195)+1)</f>
        <v/>
      </c>
    </row>
    <row r="1196" customFormat="false" ht="15" hidden="false" customHeight="false" outlineLevel="0" collapsed="false">
      <c r="A1196" s="0" t="n">
        <v>20</v>
      </c>
      <c r="B1196" s="0" t="n">
        <v>55</v>
      </c>
      <c r="C1196" s="0" t="str">
        <f aca="false">TRIM(SUBSTITUTE(INDEX(LISTAS!$A$4:$T$63,B1196,A1196)&amp;"",CHAR(160)," "))</f>
        <v/>
      </c>
      <c r="D1196" s="0" t="str">
        <f aca="false">IF(C1196="","",TRIM(RIGHT(SUBSTITUTE(C1196," ",REPT(" ",100)),100)))</f>
        <v/>
      </c>
      <c r="E1196" s="0" t="str">
        <f aca="false">IF(D1196="","",UPPER(SUBSTITUTE(SUBSTITUTE(D1196,"(",""),")","")))</f>
        <v/>
      </c>
      <c r="F1196" s="0" t="str">
        <f aca="false">IF(C1196="","",LEFT(C1196,FIND(" ",C1196&amp;" ")-1))</f>
        <v/>
      </c>
      <c r="G1196" s="0" t="n">
        <f aca="false">IFERROR(VALUE(SUBSTITUTE(LOWER(F1196),"x","")),0)</f>
        <v>0</v>
      </c>
      <c r="H1196" s="0" t="str">
        <f aca="false">IF(C1196="","",TRIM(MID(C1196,LEN(F1196)+2,999)))</f>
        <v/>
      </c>
      <c r="I1196" s="0" t="n">
        <f aca="false">IF(OR(C1196="",LEFT(C1196,2)="//"),0,IFERROR(IF(AND(G1196&gt;0,G1196=INT(G1196),FIND("-",E1196)&gt;1,NOT(EXACT(UPPER(LEFT(E1196,1)),LOWER(LEFT(E1196,1)))),ISNUMBER(VALUE(MID(E1196,FIND("-",E1196)+1,10)))),1,0),0))</f>
        <v>0</v>
      </c>
      <c r="J1196" s="0" t="str">
        <f aca="false">IF(I1196=1,TRIM(LEFT(H1196,MAX(0,LEN(H1196)-LEN(D1196)))),"")</f>
        <v/>
      </c>
      <c r="K1196" s="0" t="str">
        <f aca="false">INDEX($P$2:$P$21,A1196)</f>
        <v>Deck 20</v>
      </c>
      <c r="L1196" s="0" t="n">
        <f aca="false">IF(AND(C1196&lt;&gt;"",LEFT(C1196,2)&lt;&gt;"//",I1196=0),1,0)</f>
        <v>0</v>
      </c>
      <c r="M1196" s="0" t="str">
        <f aca="false">IF(I1196=1,MAX(M$1:M1195)+1,"")</f>
        <v/>
      </c>
      <c r="N1196" s="0" t="str">
        <f aca="false">IFERROR(MATCH(ROW()-1,$V$2:$V$1201,0),"")</f>
        <v/>
      </c>
      <c r="R1196" s="0" t="str">
        <f aca="false">IF(E1196="","",IFERROR(LEFT(E1196,FIND("-",E1196)-1),E1196))</f>
        <v/>
      </c>
      <c r="S1196" s="0" t="str">
        <f aca="false">IF(R1196="","",IF(ISNUMBER(--MID(R1196,1,1)),0,IF(ISNUMBER(--MID(R1196,2,1)),1,IF(ISNUMBER(--MID(R1196,3,1)),2,IF(ISNUMBER(--MID(R1196,4,1)),3,MIN(LEN(R1196),4))))))</f>
        <v/>
      </c>
      <c r="T1196" s="0" t="str">
        <f aca="false">IF(E1196="","",LEFT(R1196,S1196)&amp;REPT("0",4-S1196)&amp;RIGHT("000"&amp;IFERROR(VALUE(MID(R1196,S1196+1,9)),0),3)&amp;RIGHT("0000"&amp;IFERROR(VALUE(MID(E1196,FIND("-",E1196)+1,9)),0),4))</f>
        <v/>
      </c>
      <c r="U1196" s="0" t="str">
        <f aca="false">IF(I1196=1,"K"&amp;RIGHT("00"&amp;A1196,2)&amp;T1196&amp;RIGHT("00000"&amp;ROW(),5),"")</f>
        <v/>
      </c>
      <c r="V1196" s="0" t="str">
        <f aca="false">IF(U1196="","",COUNTIFS($I$2:$I$1201,1,$U$2:$U$1201,"&lt;"&amp;U1196)+1)</f>
        <v/>
      </c>
    </row>
    <row r="1197" customFormat="false" ht="15" hidden="false" customHeight="false" outlineLevel="0" collapsed="false">
      <c r="A1197" s="0" t="n">
        <v>20</v>
      </c>
      <c r="B1197" s="0" t="n">
        <v>56</v>
      </c>
      <c r="C1197" s="0" t="str">
        <f aca="false">TRIM(SUBSTITUTE(INDEX(LISTAS!$A$4:$T$63,B1197,A1197)&amp;"",CHAR(160)," "))</f>
        <v/>
      </c>
      <c r="D1197" s="0" t="str">
        <f aca="false">IF(C1197="","",TRIM(RIGHT(SUBSTITUTE(C1197," ",REPT(" ",100)),100)))</f>
        <v/>
      </c>
      <c r="E1197" s="0" t="str">
        <f aca="false">IF(D1197="","",UPPER(SUBSTITUTE(SUBSTITUTE(D1197,"(",""),")","")))</f>
        <v/>
      </c>
      <c r="F1197" s="0" t="str">
        <f aca="false">IF(C1197="","",LEFT(C1197,FIND(" ",C1197&amp;" ")-1))</f>
        <v/>
      </c>
      <c r="G1197" s="0" t="n">
        <f aca="false">IFERROR(VALUE(SUBSTITUTE(LOWER(F1197),"x","")),0)</f>
        <v>0</v>
      </c>
      <c r="H1197" s="0" t="str">
        <f aca="false">IF(C1197="","",TRIM(MID(C1197,LEN(F1197)+2,999)))</f>
        <v/>
      </c>
      <c r="I1197" s="0" t="n">
        <f aca="false">IF(OR(C1197="",LEFT(C1197,2)="//"),0,IFERROR(IF(AND(G1197&gt;0,G1197=INT(G1197),FIND("-",E1197)&gt;1,NOT(EXACT(UPPER(LEFT(E1197,1)),LOWER(LEFT(E1197,1)))),ISNUMBER(VALUE(MID(E1197,FIND("-",E1197)+1,10)))),1,0),0))</f>
        <v>0</v>
      </c>
      <c r="J1197" s="0" t="str">
        <f aca="false">IF(I1197=1,TRIM(LEFT(H1197,MAX(0,LEN(H1197)-LEN(D1197)))),"")</f>
        <v/>
      </c>
      <c r="K1197" s="0" t="str">
        <f aca="false">INDEX($P$2:$P$21,A1197)</f>
        <v>Deck 20</v>
      </c>
      <c r="L1197" s="0" t="n">
        <f aca="false">IF(AND(C1197&lt;&gt;"",LEFT(C1197,2)&lt;&gt;"//",I1197=0),1,0)</f>
        <v>0</v>
      </c>
      <c r="M1197" s="0" t="str">
        <f aca="false">IF(I1197=1,MAX(M$1:M1196)+1,"")</f>
        <v/>
      </c>
      <c r="N1197" s="0" t="str">
        <f aca="false">IFERROR(MATCH(ROW()-1,$V$2:$V$1201,0),"")</f>
        <v/>
      </c>
      <c r="R1197" s="0" t="str">
        <f aca="false">IF(E1197="","",IFERROR(LEFT(E1197,FIND("-",E1197)-1),E1197))</f>
        <v/>
      </c>
      <c r="S1197" s="0" t="str">
        <f aca="false">IF(R1197="","",IF(ISNUMBER(--MID(R1197,1,1)),0,IF(ISNUMBER(--MID(R1197,2,1)),1,IF(ISNUMBER(--MID(R1197,3,1)),2,IF(ISNUMBER(--MID(R1197,4,1)),3,MIN(LEN(R1197),4))))))</f>
        <v/>
      </c>
      <c r="T1197" s="0" t="str">
        <f aca="false">IF(E1197="","",LEFT(R1197,S1197)&amp;REPT("0",4-S1197)&amp;RIGHT("000"&amp;IFERROR(VALUE(MID(R1197,S1197+1,9)),0),3)&amp;RIGHT("0000"&amp;IFERROR(VALUE(MID(E1197,FIND("-",E1197)+1,9)),0),4))</f>
        <v/>
      </c>
      <c r="U1197" s="0" t="str">
        <f aca="false">IF(I1197=1,"K"&amp;RIGHT("00"&amp;A1197,2)&amp;T1197&amp;RIGHT("00000"&amp;ROW(),5),"")</f>
        <v/>
      </c>
      <c r="V1197" s="0" t="str">
        <f aca="false">IF(U1197="","",COUNTIFS($I$2:$I$1201,1,$U$2:$U$1201,"&lt;"&amp;U1197)+1)</f>
        <v/>
      </c>
    </row>
    <row r="1198" customFormat="false" ht="15" hidden="false" customHeight="false" outlineLevel="0" collapsed="false">
      <c r="A1198" s="0" t="n">
        <v>20</v>
      </c>
      <c r="B1198" s="0" t="n">
        <v>57</v>
      </c>
      <c r="C1198" s="0" t="str">
        <f aca="false">TRIM(SUBSTITUTE(INDEX(LISTAS!$A$4:$T$63,B1198,A1198)&amp;"",CHAR(160)," "))</f>
        <v/>
      </c>
      <c r="D1198" s="0" t="str">
        <f aca="false">IF(C1198="","",TRIM(RIGHT(SUBSTITUTE(C1198," ",REPT(" ",100)),100)))</f>
        <v/>
      </c>
      <c r="E1198" s="0" t="str">
        <f aca="false">IF(D1198="","",UPPER(SUBSTITUTE(SUBSTITUTE(D1198,"(",""),")","")))</f>
        <v/>
      </c>
      <c r="F1198" s="0" t="str">
        <f aca="false">IF(C1198="","",LEFT(C1198,FIND(" ",C1198&amp;" ")-1))</f>
        <v/>
      </c>
      <c r="G1198" s="0" t="n">
        <f aca="false">IFERROR(VALUE(SUBSTITUTE(LOWER(F1198),"x","")),0)</f>
        <v>0</v>
      </c>
      <c r="H1198" s="0" t="str">
        <f aca="false">IF(C1198="","",TRIM(MID(C1198,LEN(F1198)+2,999)))</f>
        <v/>
      </c>
      <c r="I1198" s="0" t="n">
        <f aca="false">IF(OR(C1198="",LEFT(C1198,2)="//"),0,IFERROR(IF(AND(G1198&gt;0,G1198=INT(G1198),FIND("-",E1198)&gt;1,NOT(EXACT(UPPER(LEFT(E1198,1)),LOWER(LEFT(E1198,1)))),ISNUMBER(VALUE(MID(E1198,FIND("-",E1198)+1,10)))),1,0),0))</f>
        <v>0</v>
      </c>
      <c r="J1198" s="0" t="str">
        <f aca="false">IF(I1198=1,TRIM(LEFT(H1198,MAX(0,LEN(H1198)-LEN(D1198)))),"")</f>
        <v/>
      </c>
      <c r="K1198" s="0" t="str">
        <f aca="false">INDEX($P$2:$P$21,A1198)</f>
        <v>Deck 20</v>
      </c>
      <c r="L1198" s="0" t="n">
        <f aca="false">IF(AND(C1198&lt;&gt;"",LEFT(C1198,2)&lt;&gt;"//",I1198=0),1,0)</f>
        <v>0</v>
      </c>
      <c r="M1198" s="0" t="str">
        <f aca="false">IF(I1198=1,MAX(M$1:M1197)+1,"")</f>
        <v/>
      </c>
      <c r="N1198" s="0" t="str">
        <f aca="false">IFERROR(MATCH(ROW()-1,$V$2:$V$1201,0),"")</f>
        <v/>
      </c>
      <c r="R1198" s="0" t="str">
        <f aca="false">IF(E1198="","",IFERROR(LEFT(E1198,FIND("-",E1198)-1),E1198))</f>
        <v/>
      </c>
      <c r="S1198" s="0" t="str">
        <f aca="false">IF(R1198="","",IF(ISNUMBER(--MID(R1198,1,1)),0,IF(ISNUMBER(--MID(R1198,2,1)),1,IF(ISNUMBER(--MID(R1198,3,1)),2,IF(ISNUMBER(--MID(R1198,4,1)),3,MIN(LEN(R1198),4))))))</f>
        <v/>
      </c>
      <c r="T1198" s="0" t="str">
        <f aca="false">IF(E1198="","",LEFT(R1198,S1198)&amp;REPT("0",4-S1198)&amp;RIGHT("000"&amp;IFERROR(VALUE(MID(R1198,S1198+1,9)),0),3)&amp;RIGHT("0000"&amp;IFERROR(VALUE(MID(E1198,FIND("-",E1198)+1,9)),0),4))</f>
        <v/>
      </c>
      <c r="U1198" s="0" t="str">
        <f aca="false">IF(I1198=1,"K"&amp;RIGHT("00"&amp;A1198,2)&amp;T1198&amp;RIGHT("00000"&amp;ROW(),5),"")</f>
        <v/>
      </c>
      <c r="V1198" s="0" t="str">
        <f aca="false">IF(U1198="","",COUNTIFS($I$2:$I$1201,1,$U$2:$U$1201,"&lt;"&amp;U1198)+1)</f>
        <v/>
      </c>
    </row>
    <row r="1199" customFormat="false" ht="15" hidden="false" customHeight="false" outlineLevel="0" collapsed="false">
      <c r="A1199" s="0" t="n">
        <v>20</v>
      </c>
      <c r="B1199" s="0" t="n">
        <v>58</v>
      </c>
      <c r="C1199" s="0" t="str">
        <f aca="false">TRIM(SUBSTITUTE(INDEX(LISTAS!$A$4:$T$63,B1199,A1199)&amp;"",CHAR(160)," "))</f>
        <v/>
      </c>
      <c r="D1199" s="0" t="str">
        <f aca="false">IF(C1199="","",TRIM(RIGHT(SUBSTITUTE(C1199," ",REPT(" ",100)),100)))</f>
        <v/>
      </c>
      <c r="E1199" s="0" t="str">
        <f aca="false">IF(D1199="","",UPPER(SUBSTITUTE(SUBSTITUTE(D1199,"(",""),")","")))</f>
        <v/>
      </c>
      <c r="F1199" s="0" t="str">
        <f aca="false">IF(C1199="","",LEFT(C1199,FIND(" ",C1199&amp;" ")-1))</f>
        <v/>
      </c>
      <c r="G1199" s="0" t="n">
        <f aca="false">IFERROR(VALUE(SUBSTITUTE(LOWER(F1199),"x","")),0)</f>
        <v>0</v>
      </c>
      <c r="H1199" s="0" t="str">
        <f aca="false">IF(C1199="","",TRIM(MID(C1199,LEN(F1199)+2,999)))</f>
        <v/>
      </c>
      <c r="I1199" s="0" t="n">
        <f aca="false">IF(OR(C1199="",LEFT(C1199,2)="//"),0,IFERROR(IF(AND(G1199&gt;0,G1199=INT(G1199),FIND("-",E1199)&gt;1,NOT(EXACT(UPPER(LEFT(E1199,1)),LOWER(LEFT(E1199,1)))),ISNUMBER(VALUE(MID(E1199,FIND("-",E1199)+1,10)))),1,0),0))</f>
        <v>0</v>
      </c>
      <c r="J1199" s="0" t="str">
        <f aca="false">IF(I1199=1,TRIM(LEFT(H1199,MAX(0,LEN(H1199)-LEN(D1199)))),"")</f>
        <v/>
      </c>
      <c r="K1199" s="0" t="str">
        <f aca="false">INDEX($P$2:$P$21,A1199)</f>
        <v>Deck 20</v>
      </c>
      <c r="L1199" s="0" t="n">
        <f aca="false">IF(AND(C1199&lt;&gt;"",LEFT(C1199,2)&lt;&gt;"//",I1199=0),1,0)</f>
        <v>0</v>
      </c>
      <c r="M1199" s="0" t="str">
        <f aca="false">IF(I1199=1,MAX(M$1:M1198)+1,"")</f>
        <v/>
      </c>
      <c r="N1199" s="0" t="str">
        <f aca="false">IFERROR(MATCH(ROW()-1,$V$2:$V$1201,0),"")</f>
        <v/>
      </c>
      <c r="R1199" s="0" t="str">
        <f aca="false">IF(E1199="","",IFERROR(LEFT(E1199,FIND("-",E1199)-1),E1199))</f>
        <v/>
      </c>
      <c r="S1199" s="0" t="str">
        <f aca="false">IF(R1199="","",IF(ISNUMBER(--MID(R1199,1,1)),0,IF(ISNUMBER(--MID(R1199,2,1)),1,IF(ISNUMBER(--MID(R1199,3,1)),2,IF(ISNUMBER(--MID(R1199,4,1)),3,MIN(LEN(R1199),4))))))</f>
        <v/>
      </c>
      <c r="T1199" s="0" t="str">
        <f aca="false">IF(E1199="","",LEFT(R1199,S1199)&amp;REPT("0",4-S1199)&amp;RIGHT("000"&amp;IFERROR(VALUE(MID(R1199,S1199+1,9)),0),3)&amp;RIGHT("0000"&amp;IFERROR(VALUE(MID(E1199,FIND("-",E1199)+1,9)),0),4))</f>
        <v/>
      </c>
      <c r="U1199" s="0" t="str">
        <f aca="false">IF(I1199=1,"K"&amp;RIGHT("00"&amp;A1199,2)&amp;T1199&amp;RIGHT("00000"&amp;ROW(),5),"")</f>
        <v/>
      </c>
      <c r="V1199" s="0" t="str">
        <f aca="false">IF(U1199="","",COUNTIFS($I$2:$I$1201,1,$U$2:$U$1201,"&lt;"&amp;U1199)+1)</f>
        <v/>
      </c>
    </row>
    <row r="1200" customFormat="false" ht="15" hidden="false" customHeight="false" outlineLevel="0" collapsed="false">
      <c r="A1200" s="0" t="n">
        <v>20</v>
      </c>
      <c r="B1200" s="0" t="n">
        <v>59</v>
      </c>
      <c r="C1200" s="0" t="str">
        <f aca="false">TRIM(SUBSTITUTE(INDEX(LISTAS!$A$4:$T$63,B1200,A1200)&amp;"",CHAR(160)," "))</f>
        <v/>
      </c>
      <c r="D1200" s="0" t="str">
        <f aca="false">IF(C1200="","",TRIM(RIGHT(SUBSTITUTE(C1200," ",REPT(" ",100)),100)))</f>
        <v/>
      </c>
      <c r="E1200" s="0" t="str">
        <f aca="false">IF(D1200="","",UPPER(SUBSTITUTE(SUBSTITUTE(D1200,"(",""),")","")))</f>
        <v/>
      </c>
      <c r="F1200" s="0" t="str">
        <f aca="false">IF(C1200="","",LEFT(C1200,FIND(" ",C1200&amp;" ")-1))</f>
        <v/>
      </c>
      <c r="G1200" s="0" t="n">
        <f aca="false">IFERROR(VALUE(SUBSTITUTE(LOWER(F1200),"x","")),0)</f>
        <v>0</v>
      </c>
      <c r="H1200" s="0" t="str">
        <f aca="false">IF(C1200="","",TRIM(MID(C1200,LEN(F1200)+2,999)))</f>
        <v/>
      </c>
      <c r="I1200" s="0" t="n">
        <f aca="false">IF(OR(C1200="",LEFT(C1200,2)="//"),0,IFERROR(IF(AND(G1200&gt;0,G1200=INT(G1200),FIND("-",E1200)&gt;1,NOT(EXACT(UPPER(LEFT(E1200,1)),LOWER(LEFT(E1200,1)))),ISNUMBER(VALUE(MID(E1200,FIND("-",E1200)+1,10)))),1,0),0))</f>
        <v>0</v>
      </c>
      <c r="J1200" s="0" t="str">
        <f aca="false">IF(I1200=1,TRIM(LEFT(H1200,MAX(0,LEN(H1200)-LEN(D1200)))),"")</f>
        <v/>
      </c>
      <c r="K1200" s="0" t="str">
        <f aca="false">INDEX($P$2:$P$21,A1200)</f>
        <v>Deck 20</v>
      </c>
      <c r="L1200" s="0" t="n">
        <f aca="false">IF(AND(C1200&lt;&gt;"",LEFT(C1200,2)&lt;&gt;"//",I1200=0),1,0)</f>
        <v>0</v>
      </c>
      <c r="M1200" s="0" t="str">
        <f aca="false">IF(I1200=1,MAX(M$1:M1199)+1,"")</f>
        <v/>
      </c>
      <c r="N1200" s="0" t="str">
        <f aca="false">IFERROR(MATCH(ROW()-1,$V$2:$V$1201,0),"")</f>
        <v/>
      </c>
      <c r="R1200" s="0" t="str">
        <f aca="false">IF(E1200="","",IFERROR(LEFT(E1200,FIND("-",E1200)-1),E1200))</f>
        <v/>
      </c>
      <c r="S1200" s="0" t="str">
        <f aca="false">IF(R1200="","",IF(ISNUMBER(--MID(R1200,1,1)),0,IF(ISNUMBER(--MID(R1200,2,1)),1,IF(ISNUMBER(--MID(R1200,3,1)),2,IF(ISNUMBER(--MID(R1200,4,1)),3,MIN(LEN(R1200),4))))))</f>
        <v/>
      </c>
      <c r="T1200" s="0" t="str">
        <f aca="false">IF(E1200="","",LEFT(R1200,S1200)&amp;REPT("0",4-S1200)&amp;RIGHT("000"&amp;IFERROR(VALUE(MID(R1200,S1200+1,9)),0),3)&amp;RIGHT("0000"&amp;IFERROR(VALUE(MID(E1200,FIND("-",E1200)+1,9)),0),4))</f>
        <v/>
      </c>
      <c r="U1200" s="0" t="str">
        <f aca="false">IF(I1200=1,"K"&amp;RIGHT("00"&amp;A1200,2)&amp;T1200&amp;RIGHT("00000"&amp;ROW(),5),"")</f>
        <v/>
      </c>
      <c r="V1200" s="0" t="str">
        <f aca="false">IF(U1200="","",COUNTIFS($I$2:$I$1201,1,$U$2:$U$1201,"&lt;"&amp;U1200)+1)</f>
        <v/>
      </c>
    </row>
    <row r="1201" customFormat="false" ht="15" hidden="false" customHeight="false" outlineLevel="0" collapsed="false">
      <c r="A1201" s="0" t="n">
        <v>20</v>
      </c>
      <c r="B1201" s="0" t="n">
        <v>60</v>
      </c>
      <c r="C1201" s="0" t="str">
        <f aca="false">TRIM(SUBSTITUTE(INDEX(LISTAS!$A$4:$T$63,B1201,A1201)&amp;"",CHAR(160)," "))</f>
        <v/>
      </c>
      <c r="D1201" s="0" t="str">
        <f aca="false">IF(C1201="","",TRIM(RIGHT(SUBSTITUTE(C1201," ",REPT(" ",100)),100)))</f>
        <v/>
      </c>
      <c r="E1201" s="0" t="str">
        <f aca="false">IF(D1201="","",UPPER(SUBSTITUTE(SUBSTITUTE(D1201,"(",""),")","")))</f>
        <v/>
      </c>
      <c r="F1201" s="0" t="str">
        <f aca="false">IF(C1201="","",LEFT(C1201,FIND(" ",C1201&amp;" ")-1))</f>
        <v/>
      </c>
      <c r="G1201" s="0" t="n">
        <f aca="false">IFERROR(VALUE(SUBSTITUTE(LOWER(F1201),"x","")),0)</f>
        <v>0</v>
      </c>
      <c r="H1201" s="0" t="str">
        <f aca="false">IF(C1201="","",TRIM(MID(C1201,LEN(F1201)+2,999)))</f>
        <v/>
      </c>
      <c r="I1201" s="0" t="n">
        <f aca="false">IF(OR(C1201="",LEFT(C1201,2)="//"),0,IFERROR(IF(AND(G1201&gt;0,G1201=INT(G1201),FIND("-",E1201)&gt;1,NOT(EXACT(UPPER(LEFT(E1201,1)),LOWER(LEFT(E1201,1)))),ISNUMBER(VALUE(MID(E1201,FIND("-",E1201)+1,10)))),1,0),0))</f>
        <v>0</v>
      </c>
      <c r="J1201" s="0" t="str">
        <f aca="false">IF(I1201=1,TRIM(LEFT(H1201,MAX(0,LEN(H1201)-LEN(D1201)))),"")</f>
        <v/>
      </c>
      <c r="K1201" s="0" t="str">
        <f aca="false">INDEX($P$2:$P$21,A1201)</f>
        <v>Deck 20</v>
      </c>
      <c r="L1201" s="0" t="n">
        <f aca="false">IF(AND(C1201&lt;&gt;"",LEFT(C1201,2)&lt;&gt;"//",I1201=0),1,0)</f>
        <v>0</v>
      </c>
      <c r="M1201" s="0" t="str">
        <f aca="false">IF(I1201=1,MAX(M$1:M1200)+1,"")</f>
        <v/>
      </c>
      <c r="N1201" s="0" t="str">
        <f aca="false">IFERROR(MATCH(ROW()-1,$V$2:$V$1201,0),"")</f>
        <v/>
      </c>
      <c r="R1201" s="0" t="str">
        <f aca="false">IF(E1201="","",IFERROR(LEFT(E1201,FIND("-",E1201)-1),E1201))</f>
        <v/>
      </c>
      <c r="S1201" s="0" t="str">
        <f aca="false">IF(R1201="","",IF(ISNUMBER(--MID(R1201,1,1)),0,IF(ISNUMBER(--MID(R1201,2,1)),1,IF(ISNUMBER(--MID(R1201,3,1)),2,IF(ISNUMBER(--MID(R1201,4,1)),3,MIN(LEN(R1201),4))))))</f>
        <v/>
      </c>
      <c r="T1201" s="0" t="str">
        <f aca="false">IF(E1201="","",LEFT(R1201,S1201)&amp;REPT("0",4-S1201)&amp;RIGHT("000"&amp;IFERROR(VALUE(MID(R1201,S1201+1,9)),0),3)&amp;RIGHT("0000"&amp;IFERROR(VALUE(MID(E1201,FIND("-",E1201)+1,9)),0),4))</f>
        <v/>
      </c>
      <c r="U1201" s="0" t="str">
        <f aca="false">IF(I1201=1,"K"&amp;RIGHT("00"&amp;A1201,2)&amp;T1201&amp;RIGHT("00000"&amp;ROW(),5),"")</f>
        <v/>
      </c>
      <c r="V1201" s="0" t="str">
        <f aca="false">IF(U1201="","",COUNTIFS($I$2:$I$1201,1,$U$2:$U$1201,"&lt;"&amp;U1201)+1)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33.75" hidden="false" customHeight="true" outlineLevel="0" collapsed="false">
      <c r="A1" s="8" t="s">
        <v>45</v>
      </c>
      <c r="B1" s="8" t="s">
        <v>142</v>
      </c>
      <c r="C1" s="8" t="s">
        <v>132</v>
      </c>
    </row>
    <row r="2" customFormat="false" ht="15" hidden="false" customHeight="false" outlineLevel="0" collapsed="false">
      <c r="A2" s="0" t="str">
        <f aca="false">IF(DECKS!B2="","",DECKS!B2)</f>
        <v/>
      </c>
      <c r="B2" s="0" t="str">
        <f aca="false">IF(A2="","",IF(MATCH(A2,$A$2:$A$3201,0)=ROW()-1,1,0))</f>
        <v/>
      </c>
      <c r="C2" s="0" t="str">
        <f aca="false">IF(B2=1,MAX(C$1:C1)+1,"")</f>
        <v/>
      </c>
    </row>
    <row r="3" customFormat="false" ht="15" hidden="false" customHeight="false" outlineLevel="0" collapsed="false">
      <c r="A3" s="0" t="str">
        <f aca="false">IF(DECKS!B3="","",DECKS!B3)</f>
        <v/>
      </c>
      <c r="B3" s="0" t="str">
        <f aca="false">IF(A3="","",IF(MATCH(A3,$A$2:$A$3201,0)=ROW()-1,1,0))</f>
        <v/>
      </c>
      <c r="C3" s="0" t="str">
        <f aca="false">IF(B3=1,MAX(C$1:C2)+1,"")</f>
        <v/>
      </c>
    </row>
    <row r="4" customFormat="false" ht="15" hidden="false" customHeight="false" outlineLevel="0" collapsed="false">
      <c r="A4" s="0" t="str">
        <f aca="false">IF(DECKS!B4="","",DECKS!B4)</f>
        <v/>
      </c>
      <c r="B4" s="0" t="str">
        <f aca="false">IF(A4="","",IF(MATCH(A4,$A$2:$A$3201,0)=ROW()-1,1,0))</f>
        <v/>
      </c>
      <c r="C4" s="0" t="str">
        <f aca="false">IF(B4=1,MAX(C$1:C3)+1,"")</f>
        <v/>
      </c>
    </row>
    <row r="5" customFormat="false" ht="15" hidden="false" customHeight="false" outlineLevel="0" collapsed="false">
      <c r="A5" s="0" t="str">
        <f aca="false">IF(DECKS!B5="","",DECKS!B5)</f>
        <v/>
      </c>
      <c r="B5" s="0" t="str">
        <f aca="false">IF(A5="","",IF(MATCH(A5,$A$2:$A$3201,0)=ROW()-1,1,0))</f>
        <v/>
      </c>
      <c r="C5" s="0" t="str">
        <f aca="false">IF(B5=1,MAX(C$1:C4)+1,"")</f>
        <v/>
      </c>
    </row>
    <row r="6" customFormat="false" ht="15" hidden="false" customHeight="false" outlineLevel="0" collapsed="false">
      <c r="A6" s="0" t="str">
        <f aca="false">IF(DECKS!B6="","",DECKS!B6)</f>
        <v/>
      </c>
      <c r="B6" s="0" t="str">
        <f aca="false">IF(A6="","",IF(MATCH(A6,$A$2:$A$3201,0)=ROW()-1,1,0))</f>
        <v/>
      </c>
      <c r="C6" s="0" t="str">
        <f aca="false">IF(B6=1,MAX(C$1:C5)+1,"")</f>
        <v/>
      </c>
    </row>
    <row r="7" customFormat="false" ht="15" hidden="false" customHeight="false" outlineLevel="0" collapsed="false">
      <c r="A7" s="0" t="str">
        <f aca="false">IF(DECKS!B7="","",DECKS!B7)</f>
        <v/>
      </c>
      <c r="B7" s="0" t="str">
        <f aca="false">IF(A7="","",IF(MATCH(A7,$A$2:$A$3201,0)=ROW()-1,1,0))</f>
        <v/>
      </c>
      <c r="C7" s="0" t="str">
        <f aca="false">IF(B7=1,MAX(C$1:C6)+1,"")</f>
        <v/>
      </c>
    </row>
    <row r="8" customFormat="false" ht="15" hidden="false" customHeight="false" outlineLevel="0" collapsed="false">
      <c r="A8" s="0" t="str">
        <f aca="false">IF(DECKS!B8="","",DECKS!B8)</f>
        <v/>
      </c>
      <c r="B8" s="0" t="str">
        <f aca="false">IF(A8="","",IF(MATCH(A8,$A$2:$A$3201,0)=ROW()-1,1,0))</f>
        <v/>
      </c>
      <c r="C8" s="0" t="str">
        <f aca="false">IF(B8=1,MAX(C$1:C7)+1,"")</f>
        <v/>
      </c>
    </row>
    <row r="9" customFormat="false" ht="15" hidden="false" customHeight="false" outlineLevel="0" collapsed="false">
      <c r="A9" s="0" t="str">
        <f aca="false">IF(DECKS!B9="","",DECKS!B9)</f>
        <v/>
      </c>
      <c r="B9" s="0" t="str">
        <f aca="false">IF(A9="","",IF(MATCH(A9,$A$2:$A$3201,0)=ROW()-1,1,0))</f>
        <v/>
      </c>
      <c r="C9" s="0" t="str">
        <f aca="false">IF(B9=1,MAX(C$1:C8)+1,"")</f>
        <v/>
      </c>
    </row>
    <row r="10" customFormat="false" ht="15" hidden="false" customHeight="false" outlineLevel="0" collapsed="false">
      <c r="A10" s="0" t="str">
        <f aca="false">IF(DECKS!B10="","",DECKS!B10)</f>
        <v/>
      </c>
      <c r="B10" s="0" t="str">
        <f aca="false">IF(A10="","",IF(MATCH(A10,$A$2:$A$3201,0)=ROW()-1,1,0))</f>
        <v/>
      </c>
      <c r="C10" s="0" t="str">
        <f aca="false">IF(B10=1,MAX(C$1:C9)+1,"")</f>
        <v/>
      </c>
    </row>
    <row r="11" customFormat="false" ht="15" hidden="false" customHeight="false" outlineLevel="0" collapsed="false">
      <c r="A11" s="0" t="str">
        <f aca="false">IF(DECKS!B11="","",DECKS!B11)</f>
        <v/>
      </c>
      <c r="B11" s="0" t="str">
        <f aca="false">IF(A11="","",IF(MATCH(A11,$A$2:$A$3201,0)=ROW()-1,1,0))</f>
        <v/>
      </c>
      <c r="C11" s="0" t="str">
        <f aca="false">IF(B11=1,MAX(C$1:C10)+1,"")</f>
        <v/>
      </c>
    </row>
    <row r="12" customFormat="false" ht="15" hidden="false" customHeight="false" outlineLevel="0" collapsed="false">
      <c r="A12" s="0" t="str">
        <f aca="false">IF(DECKS!B12="","",DECKS!B12)</f>
        <v/>
      </c>
      <c r="B12" s="0" t="str">
        <f aca="false">IF(A12="","",IF(MATCH(A12,$A$2:$A$3201,0)=ROW()-1,1,0))</f>
        <v/>
      </c>
      <c r="C12" s="0" t="str">
        <f aca="false">IF(B12=1,MAX(C$1:C11)+1,"")</f>
        <v/>
      </c>
    </row>
    <row r="13" customFormat="false" ht="15" hidden="false" customHeight="false" outlineLevel="0" collapsed="false">
      <c r="A13" s="0" t="str">
        <f aca="false">IF(DECKS!B13="","",DECKS!B13)</f>
        <v/>
      </c>
      <c r="B13" s="0" t="str">
        <f aca="false">IF(A13="","",IF(MATCH(A13,$A$2:$A$3201,0)=ROW()-1,1,0))</f>
        <v/>
      </c>
      <c r="C13" s="0" t="str">
        <f aca="false">IF(B13=1,MAX(C$1:C12)+1,"")</f>
        <v/>
      </c>
    </row>
    <row r="14" customFormat="false" ht="15" hidden="false" customHeight="false" outlineLevel="0" collapsed="false">
      <c r="A14" s="0" t="str">
        <f aca="false">IF(DECKS!B14="","",DECKS!B14)</f>
        <v/>
      </c>
      <c r="B14" s="0" t="str">
        <f aca="false">IF(A14="","",IF(MATCH(A14,$A$2:$A$3201,0)=ROW()-1,1,0))</f>
        <v/>
      </c>
      <c r="C14" s="0" t="str">
        <f aca="false">IF(B14=1,MAX(C$1:C13)+1,"")</f>
        <v/>
      </c>
    </row>
    <row r="15" customFormat="false" ht="15" hidden="false" customHeight="false" outlineLevel="0" collapsed="false">
      <c r="A15" s="0" t="str">
        <f aca="false">IF(DECKS!B15="","",DECKS!B15)</f>
        <v/>
      </c>
      <c r="B15" s="0" t="str">
        <f aca="false">IF(A15="","",IF(MATCH(A15,$A$2:$A$3201,0)=ROW()-1,1,0))</f>
        <v/>
      </c>
      <c r="C15" s="0" t="str">
        <f aca="false">IF(B15=1,MAX(C$1:C14)+1,"")</f>
        <v/>
      </c>
    </row>
    <row r="16" customFormat="false" ht="15" hidden="false" customHeight="false" outlineLevel="0" collapsed="false">
      <c r="A16" s="0" t="str">
        <f aca="false">IF(DECKS!B16="","",DECKS!B16)</f>
        <v/>
      </c>
      <c r="B16" s="0" t="str">
        <f aca="false">IF(A16="","",IF(MATCH(A16,$A$2:$A$3201,0)=ROW()-1,1,0))</f>
        <v/>
      </c>
      <c r="C16" s="0" t="str">
        <f aca="false">IF(B16=1,MAX(C$1:C15)+1,"")</f>
        <v/>
      </c>
    </row>
    <row r="17" customFormat="false" ht="15" hidden="false" customHeight="false" outlineLevel="0" collapsed="false">
      <c r="A17" s="0" t="str">
        <f aca="false">IF(DECKS!B17="","",DECKS!B17)</f>
        <v/>
      </c>
      <c r="B17" s="0" t="str">
        <f aca="false">IF(A17="","",IF(MATCH(A17,$A$2:$A$3201,0)=ROW()-1,1,0))</f>
        <v/>
      </c>
      <c r="C17" s="0" t="str">
        <f aca="false">IF(B17=1,MAX(C$1:C16)+1,"")</f>
        <v/>
      </c>
    </row>
    <row r="18" customFormat="false" ht="15" hidden="false" customHeight="false" outlineLevel="0" collapsed="false">
      <c r="A18" s="0" t="str">
        <f aca="false">IF(DECKS!B18="","",DECKS!B18)</f>
        <v/>
      </c>
      <c r="B18" s="0" t="str">
        <f aca="false">IF(A18="","",IF(MATCH(A18,$A$2:$A$3201,0)=ROW()-1,1,0))</f>
        <v/>
      </c>
      <c r="C18" s="0" t="str">
        <f aca="false">IF(B18=1,MAX(C$1:C17)+1,"")</f>
        <v/>
      </c>
    </row>
    <row r="19" customFormat="false" ht="15" hidden="false" customHeight="false" outlineLevel="0" collapsed="false">
      <c r="A19" s="0" t="str">
        <f aca="false">IF(DECKS!B19="","",DECKS!B19)</f>
        <v/>
      </c>
      <c r="B19" s="0" t="str">
        <f aca="false">IF(A19="","",IF(MATCH(A19,$A$2:$A$3201,0)=ROW()-1,1,0))</f>
        <v/>
      </c>
      <c r="C19" s="0" t="str">
        <f aca="false">IF(B19=1,MAX(C$1:C18)+1,"")</f>
        <v/>
      </c>
    </row>
    <row r="20" customFormat="false" ht="15" hidden="false" customHeight="false" outlineLevel="0" collapsed="false">
      <c r="A20" s="0" t="str">
        <f aca="false">IF(DECKS!B20="","",DECKS!B20)</f>
        <v/>
      </c>
      <c r="B20" s="0" t="str">
        <f aca="false">IF(A20="","",IF(MATCH(A20,$A$2:$A$3201,0)=ROW()-1,1,0))</f>
        <v/>
      </c>
      <c r="C20" s="0" t="str">
        <f aca="false">IF(B20=1,MAX(C$1:C19)+1,"")</f>
        <v/>
      </c>
    </row>
    <row r="21" customFormat="false" ht="15" hidden="false" customHeight="false" outlineLevel="0" collapsed="false">
      <c r="A21" s="0" t="str">
        <f aca="false">IF(DECKS!B21="","",DECKS!B21)</f>
        <v/>
      </c>
      <c r="B21" s="0" t="str">
        <f aca="false">IF(A21="","",IF(MATCH(A21,$A$2:$A$3201,0)=ROW()-1,1,0))</f>
        <v/>
      </c>
      <c r="C21" s="0" t="str">
        <f aca="false">IF(B21=1,MAX(C$1:C20)+1,"")</f>
        <v/>
      </c>
    </row>
    <row r="22" customFormat="false" ht="15" hidden="false" customHeight="false" outlineLevel="0" collapsed="false">
      <c r="A22" s="0" t="str">
        <f aca="false">IF(DECKS!B22="","",DECKS!B22)</f>
        <v/>
      </c>
      <c r="B22" s="0" t="str">
        <f aca="false">IF(A22="","",IF(MATCH(A22,$A$2:$A$3201,0)=ROW()-1,1,0))</f>
        <v/>
      </c>
      <c r="C22" s="0" t="str">
        <f aca="false">IF(B22=1,MAX(C$1:C21)+1,"")</f>
        <v/>
      </c>
    </row>
    <row r="23" customFormat="false" ht="15" hidden="false" customHeight="false" outlineLevel="0" collapsed="false">
      <c r="A23" s="0" t="str">
        <f aca="false">IF(DECKS!B23="","",DECKS!B23)</f>
        <v/>
      </c>
      <c r="B23" s="0" t="str">
        <f aca="false">IF(A23="","",IF(MATCH(A23,$A$2:$A$3201,0)=ROW()-1,1,0))</f>
        <v/>
      </c>
      <c r="C23" s="0" t="str">
        <f aca="false">IF(B23=1,MAX(C$1:C22)+1,"")</f>
        <v/>
      </c>
    </row>
    <row r="24" customFormat="false" ht="15" hidden="false" customHeight="false" outlineLevel="0" collapsed="false">
      <c r="A24" s="0" t="str">
        <f aca="false">IF(DECKS!B24="","",DECKS!B24)</f>
        <v/>
      </c>
      <c r="B24" s="0" t="str">
        <f aca="false">IF(A24="","",IF(MATCH(A24,$A$2:$A$3201,0)=ROW()-1,1,0))</f>
        <v/>
      </c>
      <c r="C24" s="0" t="str">
        <f aca="false">IF(B24=1,MAX(C$1:C23)+1,"")</f>
        <v/>
      </c>
    </row>
    <row r="25" customFormat="false" ht="15" hidden="false" customHeight="false" outlineLevel="0" collapsed="false">
      <c r="A25" s="0" t="str">
        <f aca="false">IF(DECKS!B25="","",DECKS!B25)</f>
        <v/>
      </c>
      <c r="B25" s="0" t="str">
        <f aca="false">IF(A25="","",IF(MATCH(A25,$A$2:$A$3201,0)=ROW()-1,1,0))</f>
        <v/>
      </c>
      <c r="C25" s="0" t="str">
        <f aca="false">IF(B25=1,MAX(C$1:C24)+1,"")</f>
        <v/>
      </c>
    </row>
    <row r="26" customFormat="false" ht="15" hidden="false" customHeight="false" outlineLevel="0" collapsed="false">
      <c r="A26" s="0" t="str">
        <f aca="false">IF(DECKS!B26="","",DECKS!B26)</f>
        <v/>
      </c>
      <c r="B26" s="0" t="str">
        <f aca="false">IF(A26="","",IF(MATCH(A26,$A$2:$A$3201,0)=ROW()-1,1,0))</f>
        <v/>
      </c>
      <c r="C26" s="0" t="str">
        <f aca="false">IF(B26=1,MAX(C$1:C25)+1,"")</f>
        <v/>
      </c>
    </row>
    <row r="27" customFormat="false" ht="15" hidden="false" customHeight="false" outlineLevel="0" collapsed="false">
      <c r="A27" s="0" t="str">
        <f aca="false">IF(DECKS!B27="","",DECKS!B27)</f>
        <v/>
      </c>
      <c r="B27" s="0" t="str">
        <f aca="false">IF(A27="","",IF(MATCH(A27,$A$2:$A$3201,0)=ROW()-1,1,0))</f>
        <v/>
      </c>
      <c r="C27" s="0" t="str">
        <f aca="false">IF(B27=1,MAX(C$1:C26)+1,"")</f>
        <v/>
      </c>
    </row>
    <row r="28" customFormat="false" ht="15" hidden="false" customHeight="false" outlineLevel="0" collapsed="false">
      <c r="A28" s="0" t="str">
        <f aca="false">IF(DECKS!B28="","",DECKS!B28)</f>
        <v/>
      </c>
      <c r="B28" s="0" t="str">
        <f aca="false">IF(A28="","",IF(MATCH(A28,$A$2:$A$3201,0)=ROW()-1,1,0))</f>
        <v/>
      </c>
      <c r="C28" s="0" t="str">
        <f aca="false">IF(B28=1,MAX(C$1:C27)+1,"")</f>
        <v/>
      </c>
    </row>
    <row r="29" customFormat="false" ht="15" hidden="false" customHeight="false" outlineLevel="0" collapsed="false">
      <c r="A29" s="0" t="str">
        <f aca="false">IF(DECKS!B29="","",DECKS!B29)</f>
        <v/>
      </c>
      <c r="B29" s="0" t="str">
        <f aca="false">IF(A29="","",IF(MATCH(A29,$A$2:$A$3201,0)=ROW()-1,1,0))</f>
        <v/>
      </c>
      <c r="C29" s="0" t="str">
        <f aca="false">IF(B29=1,MAX(C$1:C28)+1,"")</f>
        <v/>
      </c>
    </row>
    <row r="30" customFormat="false" ht="15" hidden="false" customHeight="false" outlineLevel="0" collapsed="false">
      <c r="A30" s="0" t="str">
        <f aca="false">IF(DECKS!B30="","",DECKS!B30)</f>
        <v/>
      </c>
      <c r="B30" s="0" t="str">
        <f aca="false">IF(A30="","",IF(MATCH(A30,$A$2:$A$3201,0)=ROW()-1,1,0))</f>
        <v/>
      </c>
      <c r="C30" s="0" t="str">
        <f aca="false">IF(B30=1,MAX(C$1:C29)+1,"")</f>
        <v/>
      </c>
    </row>
    <row r="31" customFormat="false" ht="15" hidden="false" customHeight="false" outlineLevel="0" collapsed="false">
      <c r="A31" s="0" t="str">
        <f aca="false">IF(DECKS!B31="","",DECKS!B31)</f>
        <v/>
      </c>
      <c r="B31" s="0" t="str">
        <f aca="false">IF(A31="","",IF(MATCH(A31,$A$2:$A$3201,0)=ROW()-1,1,0))</f>
        <v/>
      </c>
      <c r="C31" s="0" t="str">
        <f aca="false">IF(B31=1,MAX(C$1:C30)+1,"")</f>
        <v/>
      </c>
    </row>
    <row r="32" customFormat="false" ht="15" hidden="false" customHeight="false" outlineLevel="0" collapsed="false">
      <c r="A32" s="0" t="str">
        <f aca="false">IF(DECKS!B32="","",DECKS!B32)</f>
        <v/>
      </c>
      <c r="B32" s="0" t="str">
        <f aca="false">IF(A32="","",IF(MATCH(A32,$A$2:$A$3201,0)=ROW()-1,1,0))</f>
        <v/>
      </c>
      <c r="C32" s="0" t="str">
        <f aca="false">IF(B32=1,MAX(C$1:C31)+1,"")</f>
        <v/>
      </c>
    </row>
    <row r="33" customFormat="false" ht="15" hidden="false" customHeight="false" outlineLevel="0" collapsed="false">
      <c r="A33" s="0" t="str">
        <f aca="false">IF(DECKS!B33="","",DECKS!B33)</f>
        <v/>
      </c>
      <c r="B33" s="0" t="str">
        <f aca="false">IF(A33="","",IF(MATCH(A33,$A$2:$A$3201,0)=ROW()-1,1,0))</f>
        <v/>
      </c>
      <c r="C33" s="0" t="str">
        <f aca="false">IF(B33=1,MAX(C$1:C32)+1,"")</f>
        <v/>
      </c>
    </row>
    <row r="34" customFormat="false" ht="15" hidden="false" customHeight="false" outlineLevel="0" collapsed="false">
      <c r="A34" s="0" t="str">
        <f aca="false">IF(DECKS!B34="","",DECKS!B34)</f>
        <v/>
      </c>
      <c r="B34" s="0" t="str">
        <f aca="false">IF(A34="","",IF(MATCH(A34,$A$2:$A$3201,0)=ROW()-1,1,0))</f>
        <v/>
      </c>
      <c r="C34" s="0" t="str">
        <f aca="false">IF(B34=1,MAX(C$1:C33)+1,"")</f>
        <v/>
      </c>
    </row>
    <row r="35" customFormat="false" ht="15" hidden="false" customHeight="false" outlineLevel="0" collapsed="false">
      <c r="A35" s="0" t="str">
        <f aca="false">IF(DECKS!B35="","",DECKS!B35)</f>
        <v/>
      </c>
      <c r="B35" s="0" t="str">
        <f aca="false">IF(A35="","",IF(MATCH(A35,$A$2:$A$3201,0)=ROW()-1,1,0))</f>
        <v/>
      </c>
      <c r="C35" s="0" t="str">
        <f aca="false">IF(B35=1,MAX(C$1:C34)+1,"")</f>
        <v/>
      </c>
    </row>
    <row r="36" customFormat="false" ht="15" hidden="false" customHeight="false" outlineLevel="0" collapsed="false">
      <c r="A36" s="0" t="str">
        <f aca="false">IF(DECKS!B36="","",DECKS!B36)</f>
        <v/>
      </c>
      <c r="B36" s="0" t="str">
        <f aca="false">IF(A36="","",IF(MATCH(A36,$A$2:$A$3201,0)=ROW()-1,1,0))</f>
        <v/>
      </c>
      <c r="C36" s="0" t="str">
        <f aca="false">IF(B36=1,MAX(C$1:C35)+1,"")</f>
        <v/>
      </c>
    </row>
    <row r="37" customFormat="false" ht="15" hidden="false" customHeight="false" outlineLevel="0" collapsed="false">
      <c r="A37" s="0" t="str">
        <f aca="false">IF(DECKS!B37="","",DECKS!B37)</f>
        <v/>
      </c>
      <c r="B37" s="0" t="str">
        <f aca="false">IF(A37="","",IF(MATCH(A37,$A$2:$A$3201,0)=ROW()-1,1,0))</f>
        <v/>
      </c>
      <c r="C37" s="0" t="str">
        <f aca="false">IF(B37=1,MAX(C$1:C36)+1,"")</f>
        <v/>
      </c>
    </row>
    <row r="38" customFormat="false" ht="15" hidden="false" customHeight="false" outlineLevel="0" collapsed="false">
      <c r="A38" s="0" t="str">
        <f aca="false">IF(DECKS!B38="","",DECKS!B38)</f>
        <v/>
      </c>
      <c r="B38" s="0" t="str">
        <f aca="false">IF(A38="","",IF(MATCH(A38,$A$2:$A$3201,0)=ROW()-1,1,0))</f>
        <v/>
      </c>
      <c r="C38" s="0" t="str">
        <f aca="false">IF(B38=1,MAX(C$1:C37)+1,"")</f>
        <v/>
      </c>
    </row>
    <row r="39" customFormat="false" ht="15" hidden="false" customHeight="false" outlineLevel="0" collapsed="false">
      <c r="A39" s="0" t="str">
        <f aca="false">IF(DECKS!B39="","",DECKS!B39)</f>
        <v/>
      </c>
      <c r="B39" s="0" t="str">
        <f aca="false">IF(A39="","",IF(MATCH(A39,$A$2:$A$3201,0)=ROW()-1,1,0))</f>
        <v/>
      </c>
      <c r="C39" s="0" t="str">
        <f aca="false">IF(B39=1,MAX(C$1:C38)+1,"")</f>
        <v/>
      </c>
    </row>
    <row r="40" customFormat="false" ht="15" hidden="false" customHeight="false" outlineLevel="0" collapsed="false">
      <c r="A40" s="0" t="str">
        <f aca="false">IF(DECKS!B40="","",DECKS!B40)</f>
        <v/>
      </c>
      <c r="B40" s="0" t="str">
        <f aca="false">IF(A40="","",IF(MATCH(A40,$A$2:$A$3201,0)=ROW()-1,1,0))</f>
        <v/>
      </c>
      <c r="C40" s="0" t="str">
        <f aca="false">IF(B40=1,MAX(C$1:C39)+1,"")</f>
        <v/>
      </c>
    </row>
    <row r="41" customFormat="false" ht="15" hidden="false" customHeight="false" outlineLevel="0" collapsed="false">
      <c r="A41" s="0" t="str">
        <f aca="false">IF(DECKS!B41="","",DECKS!B41)</f>
        <v/>
      </c>
      <c r="B41" s="0" t="str">
        <f aca="false">IF(A41="","",IF(MATCH(A41,$A$2:$A$3201,0)=ROW()-1,1,0))</f>
        <v/>
      </c>
      <c r="C41" s="0" t="str">
        <f aca="false">IF(B41=1,MAX(C$1:C40)+1,"")</f>
        <v/>
      </c>
    </row>
    <row r="42" customFormat="false" ht="15" hidden="false" customHeight="false" outlineLevel="0" collapsed="false">
      <c r="A42" s="0" t="str">
        <f aca="false">IF(DECKS!B42="","",DECKS!B42)</f>
        <v/>
      </c>
      <c r="B42" s="0" t="str">
        <f aca="false">IF(A42="","",IF(MATCH(A42,$A$2:$A$3201,0)=ROW()-1,1,0))</f>
        <v/>
      </c>
      <c r="C42" s="0" t="str">
        <f aca="false">IF(B42=1,MAX(C$1:C41)+1,"")</f>
        <v/>
      </c>
    </row>
    <row r="43" customFormat="false" ht="15" hidden="false" customHeight="false" outlineLevel="0" collapsed="false">
      <c r="A43" s="0" t="str">
        <f aca="false">IF(DECKS!B43="","",DECKS!B43)</f>
        <v/>
      </c>
      <c r="B43" s="0" t="str">
        <f aca="false">IF(A43="","",IF(MATCH(A43,$A$2:$A$3201,0)=ROW()-1,1,0))</f>
        <v/>
      </c>
      <c r="C43" s="0" t="str">
        <f aca="false">IF(B43=1,MAX(C$1:C42)+1,"")</f>
        <v/>
      </c>
    </row>
    <row r="44" customFormat="false" ht="15" hidden="false" customHeight="false" outlineLevel="0" collapsed="false">
      <c r="A44" s="0" t="str">
        <f aca="false">IF(DECKS!B44="","",DECKS!B44)</f>
        <v/>
      </c>
      <c r="B44" s="0" t="str">
        <f aca="false">IF(A44="","",IF(MATCH(A44,$A$2:$A$3201,0)=ROW()-1,1,0))</f>
        <v/>
      </c>
      <c r="C44" s="0" t="str">
        <f aca="false">IF(B44=1,MAX(C$1:C43)+1,"")</f>
        <v/>
      </c>
    </row>
    <row r="45" customFormat="false" ht="15" hidden="false" customHeight="false" outlineLevel="0" collapsed="false">
      <c r="A45" s="0" t="str">
        <f aca="false">IF(DECKS!B45="","",DECKS!B45)</f>
        <v/>
      </c>
      <c r="B45" s="0" t="str">
        <f aca="false">IF(A45="","",IF(MATCH(A45,$A$2:$A$3201,0)=ROW()-1,1,0))</f>
        <v/>
      </c>
      <c r="C45" s="0" t="str">
        <f aca="false">IF(B45=1,MAX(C$1:C44)+1,"")</f>
        <v/>
      </c>
    </row>
    <row r="46" customFormat="false" ht="15" hidden="false" customHeight="false" outlineLevel="0" collapsed="false">
      <c r="A46" s="0" t="str">
        <f aca="false">IF(DECKS!B46="","",DECKS!B46)</f>
        <v/>
      </c>
      <c r="B46" s="0" t="str">
        <f aca="false">IF(A46="","",IF(MATCH(A46,$A$2:$A$3201,0)=ROW()-1,1,0))</f>
        <v/>
      </c>
      <c r="C46" s="0" t="str">
        <f aca="false">IF(B46=1,MAX(C$1:C45)+1,"")</f>
        <v/>
      </c>
    </row>
    <row r="47" customFormat="false" ht="15" hidden="false" customHeight="false" outlineLevel="0" collapsed="false">
      <c r="A47" s="0" t="str">
        <f aca="false">IF(DECKS!B47="","",DECKS!B47)</f>
        <v/>
      </c>
      <c r="B47" s="0" t="str">
        <f aca="false">IF(A47="","",IF(MATCH(A47,$A$2:$A$3201,0)=ROW()-1,1,0))</f>
        <v/>
      </c>
      <c r="C47" s="0" t="str">
        <f aca="false">IF(B47=1,MAX(C$1:C46)+1,"")</f>
        <v/>
      </c>
    </row>
    <row r="48" customFormat="false" ht="15" hidden="false" customHeight="false" outlineLevel="0" collapsed="false">
      <c r="A48" s="0" t="str">
        <f aca="false">IF(DECKS!B48="","",DECKS!B48)</f>
        <v/>
      </c>
      <c r="B48" s="0" t="str">
        <f aca="false">IF(A48="","",IF(MATCH(A48,$A$2:$A$3201,0)=ROW()-1,1,0))</f>
        <v/>
      </c>
      <c r="C48" s="0" t="str">
        <f aca="false">IF(B48=1,MAX(C$1:C47)+1,"")</f>
        <v/>
      </c>
    </row>
    <row r="49" customFormat="false" ht="15" hidden="false" customHeight="false" outlineLevel="0" collapsed="false">
      <c r="A49" s="0" t="str">
        <f aca="false">IF(DECKS!B49="","",DECKS!B49)</f>
        <v/>
      </c>
      <c r="B49" s="0" t="str">
        <f aca="false">IF(A49="","",IF(MATCH(A49,$A$2:$A$3201,0)=ROW()-1,1,0))</f>
        <v/>
      </c>
      <c r="C49" s="0" t="str">
        <f aca="false">IF(B49=1,MAX(C$1:C48)+1,"")</f>
        <v/>
      </c>
    </row>
    <row r="50" customFormat="false" ht="15" hidden="false" customHeight="false" outlineLevel="0" collapsed="false">
      <c r="A50" s="0" t="str">
        <f aca="false">IF(DECKS!B50="","",DECKS!B50)</f>
        <v/>
      </c>
      <c r="B50" s="0" t="str">
        <f aca="false">IF(A50="","",IF(MATCH(A50,$A$2:$A$3201,0)=ROW()-1,1,0))</f>
        <v/>
      </c>
      <c r="C50" s="0" t="str">
        <f aca="false">IF(B50=1,MAX(C$1:C49)+1,"")</f>
        <v/>
      </c>
    </row>
    <row r="51" customFormat="false" ht="15" hidden="false" customHeight="false" outlineLevel="0" collapsed="false">
      <c r="A51" s="0" t="str">
        <f aca="false">IF(DECKS!B51="","",DECKS!B51)</f>
        <v/>
      </c>
      <c r="B51" s="0" t="str">
        <f aca="false">IF(A51="","",IF(MATCH(A51,$A$2:$A$3201,0)=ROW()-1,1,0))</f>
        <v/>
      </c>
      <c r="C51" s="0" t="str">
        <f aca="false">IF(B51=1,MAX(C$1:C50)+1,"")</f>
        <v/>
      </c>
    </row>
    <row r="52" customFormat="false" ht="15" hidden="false" customHeight="false" outlineLevel="0" collapsed="false">
      <c r="A52" s="0" t="str">
        <f aca="false">IF(DECKS!B52="","",DECKS!B52)</f>
        <v/>
      </c>
      <c r="B52" s="0" t="str">
        <f aca="false">IF(A52="","",IF(MATCH(A52,$A$2:$A$3201,0)=ROW()-1,1,0))</f>
        <v/>
      </c>
      <c r="C52" s="0" t="str">
        <f aca="false">IF(B52=1,MAX(C$1:C51)+1,"")</f>
        <v/>
      </c>
    </row>
    <row r="53" customFormat="false" ht="15" hidden="false" customHeight="false" outlineLevel="0" collapsed="false">
      <c r="A53" s="0" t="str">
        <f aca="false">IF(DECKS!B53="","",DECKS!B53)</f>
        <v/>
      </c>
      <c r="B53" s="0" t="str">
        <f aca="false">IF(A53="","",IF(MATCH(A53,$A$2:$A$3201,0)=ROW()-1,1,0))</f>
        <v/>
      </c>
      <c r="C53" s="0" t="str">
        <f aca="false">IF(B53=1,MAX(C$1:C52)+1,"")</f>
        <v/>
      </c>
    </row>
    <row r="54" customFormat="false" ht="15" hidden="false" customHeight="false" outlineLevel="0" collapsed="false">
      <c r="A54" s="0" t="str">
        <f aca="false">IF(DECKS!B54="","",DECKS!B54)</f>
        <v/>
      </c>
      <c r="B54" s="0" t="str">
        <f aca="false">IF(A54="","",IF(MATCH(A54,$A$2:$A$3201,0)=ROW()-1,1,0))</f>
        <v/>
      </c>
      <c r="C54" s="0" t="str">
        <f aca="false">IF(B54=1,MAX(C$1:C53)+1,"")</f>
        <v/>
      </c>
    </row>
    <row r="55" customFormat="false" ht="15" hidden="false" customHeight="false" outlineLevel="0" collapsed="false">
      <c r="A55" s="0" t="str">
        <f aca="false">IF(DECKS!B55="","",DECKS!B55)</f>
        <v/>
      </c>
      <c r="B55" s="0" t="str">
        <f aca="false">IF(A55="","",IF(MATCH(A55,$A$2:$A$3201,0)=ROW()-1,1,0))</f>
        <v/>
      </c>
      <c r="C55" s="0" t="str">
        <f aca="false">IF(B55=1,MAX(C$1:C54)+1,"")</f>
        <v/>
      </c>
    </row>
    <row r="56" customFormat="false" ht="15" hidden="false" customHeight="false" outlineLevel="0" collapsed="false">
      <c r="A56" s="0" t="str">
        <f aca="false">IF(DECKS!B56="","",DECKS!B56)</f>
        <v/>
      </c>
      <c r="B56" s="0" t="str">
        <f aca="false">IF(A56="","",IF(MATCH(A56,$A$2:$A$3201,0)=ROW()-1,1,0))</f>
        <v/>
      </c>
      <c r="C56" s="0" t="str">
        <f aca="false">IF(B56=1,MAX(C$1:C55)+1,"")</f>
        <v/>
      </c>
    </row>
    <row r="57" customFormat="false" ht="15" hidden="false" customHeight="false" outlineLevel="0" collapsed="false">
      <c r="A57" s="0" t="str">
        <f aca="false">IF(DECKS!B57="","",DECKS!B57)</f>
        <v/>
      </c>
      <c r="B57" s="0" t="str">
        <f aca="false">IF(A57="","",IF(MATCH(A57,$A$2:$A$3201,0)=ROW()-1,1,0))</f>
        <v/>
      </c>
      <c r="C57" s="0" t="str">
        <f aca="false">IF(B57=1,MAX(C$1:C56)+1,"")</f>
        <v/>
      </c>
    </row>
    <row r="58" customFormat="false" ht="15" hidden="false" customHeight="false" outlineLevel="0" collapsed="false">
      <c r="A58" s="0" t="str">
        <f aca="false">IF(DECKS!B58="","",DECKS!B58)</f>
        <v/>
      </c>
      <c r="B58" s="0" t="str">
        <f aca="false">IF(A58="","",IF(MATCH(A58,$A$2:$A$3201,0)=ROW()-1,1,0))</f>
        <v/>
      </c>
      <c r="C58" s="0" t="str">
        <f aca="false">IF(B58=1,MAX(C$1:C57)+1,"")</f>
        <v/>
      </c>
    </row>
    <row r="59" customFormat="false" ht="15" hidden="false" customHeight="false" outlineLevel="0" collapsed="false">
      <c r="A59" s="0" t="str">
        <f aca="false">IF(DECKS!B59="","",DECKS!B59)</f>
        <v/>
      </c>
      <c r="B59" s="0" t="str">
        <f aca="false">IF(A59="","",IF(MATCH(A59,$A$2:$A$3201,0)=ROW()-1,1,0))</f>
        <v/>
      </c>
      <c r="C59" s="0" t="str">
        <f aca="false">IF(B59=1,MAX(C$1:C58)+1,"")</f>
        <v/>
      </c>
    </row>
    <row r="60" customFormat="false" ht="15" hidden="false" customHeight="false" outlineLevel="0" collapsed="false">
      <c r="A60" s="0" t="str">
        <f aca="false">IF(DECKS!B60="","",DECKS!B60)</f>
        <v/>
      </c>
      <c r="B60" s="0" t="str">
        <f aca="false">IF(A60="","",IF(MATCH(A60,$A$2:$A$3201,0)=ROW()-1,1,0))</f>
        <v/>
      </c>
      <c r="C60" s="0" t="str">
        <f aca="false">IF(B60=1,MAX(C$1:C59)+1,"")</f>
        <v/>
      </c>
    </row>
    <row r="61" customFormat="false" ht="15" hidden="false" customHeight="false" outlineLevel="0" collapsed="false">
      <c r="A61" s="0" t="str">
        <f aca="false">IF(DECKS!B61="","",DECKS!B61)</f>
        <v/>
      </c>
      <c r="B61" s="0" t="str">
        <f aca="false">IF(A61="","",IF(MATCH(A61,$A$2:$A$3201,0)=ROW()-1,1,0))</f>
        <v/>
      </c>
      <c r="C61" s="0" t="str">
        <f aca="false">IF(B61=1,MAX(C$1:C60)+1,"")</f>
        <v/>
      </c>
    </row>
    <row r="62" customFormat="false" ht="15" hidden="false" customHeight="false" outlineLevel="0" collapsed="false">
      <c r="A62" s="0" t="str">
        <f aca="false">IF(DECKS!B62="","",DECKS!B62)</f>
        <v/>
      </c>
      <c r="B62" s="0" t="str">
        <f aca="false">IF(A62="","",IF(MATCH(A62,$A$2:$A$3201,0)=ROW()-1,1,0))</f>
        <v/>
      </c>
      <c r="C62" s="0" t="str">
        <f aca="false">IF(B62=1,MAX(C$1:C61)+1,"")</f>
        <v/>
      </c>
    </row>
    <row r="63" customFormat="false" ht="15" hidden="false" customHeight="false" outlineLevel="0" collapsed="false">
      <c r="A63" s="0" t="str">
        <f aca="false">IF(DECKS!B63="","",DECKS!B63)</f>
        <v/>
      </c>
      <c r="B63" s="0" t="str">
        <f aca="false">IF(A63="","",IF(MATCH(A63,$A$2:$A$3201,0)=ROW()-1,1,0))</f>
        <v/>
      </c>
      <c r="C63" s="0" t="str">
        <f aca="false">IF(B63=1,MAX(C$1:C62)+1,"")</f>
        <v/>
      </c>
    </row>
    <row r="64" customFormat="false" ht="15" hidden="false" customHeight="false" outlineLevel="0" collapsed="false">
      <c r="A64" s="0" t="str">
        <f aca="false">IF(DECKS!B64="","",DECKS!B64)</f>
        <v/>
      </c>
      <c r="B64" s="0" t="str">
        <f aca="false">IF(A64="","",IF(MATCH(A64,$A$2:$A$3201,0)=ROW()-1,1,0))</f>
        <v/>
      </c>
      <c r="C64" s="0" t="str">
        <f aca="false">IF(B64=1,MAX(C$1:C63)+1,"")</f>
        <v/>
      </c>
    </row>
    <row r="65" customFormat="false" ht="15" hidden="false" customHeight="false" outlineLevel="0" collapsed="false">
      <c r="A65" s="0" t="str">
        <f aca="false">IF(DECKS!B65="","",DECKS!B65)</f>
        <v/>
      </c>
      <c r="B65" s="0" t="str">
        <f aca="false">IF(A65="","",IF(MATCH(A65,$A$2:$A$3201,0)=ROW()-1,1,0))</f>
        <v/>
      </c>
      <c r="C65" s="0" t="str">
        <f aca="false">IF(B65=1,MAX(C$1:C64)+1,"")</f>
        <v/>
      </c>
    </row>
    <row r="66" customFormat="false" ht="15" hidden="false" customHeight="false" outlineLevel="0" collapsed="false">
      <c r="A66" s="0" t="str">
        <f aca="false">IF(DECKS!B66="","",DECKS!B66)</f>
        <v/>
      </c>
      <c r="B66" s="0" t="str">
        <f aca="false">IF(A66="","",IF(MATCH(A66,$A$2:$A$3201,0)=ROW()-1,1,0))</f>
        <v/>
      </c>
      <c r="C66" s="0" t="str">
        <f aca="false">IF(B66=1,MAX(C$1:C65)+1,"")</f>
        <v/>
      </c>
    </row>
    <row r="67" customFormat="false" ht="15" hidden="false" customHeight="false" outlineLevel="0" collapsed="false">
      <c r="A67" s="0" t="str">
        <f aca="false">IF(DECKS!B67="","",DECKS!B67)</f>
        <v/>
      </c>
      <c r="B67" s="0" t="str">
        <f aca="false">IF(A67="","",IF(MATCH(A67,$A$2:$A$3201,0)=ROW()-1,1,0))</f>
        <v/>
      </c>
      <c r="C67" s="0" t="str">
        <f aca="false">IF(B67=1,MAX(C$1:C66)+1,"")</f>
        <v/>
      </c>
    </row>
    <row r="68" customFormat="false" ht="15" hidden="false" customHeight="false" outlineLevel="0" collapsed="false">
      <c r="A68" s="0" t="str">
        <f aca="false">IF(DECKS!B68="","",DECKS!B68)</f>
        <v/>
      </c>
      <c r="B68" s="0" t="str">
        <f aca="false">IF(A68="","",IF(MATCH(A68,$A$2:$A$3201,0)=ROW()-1,1,0))</f>
        <v/>
      </c>
      <c r="C68" s="0" t="str">
        <f aca="false">IF(B68=1,MAX(C$1:C67)+1,"")</f>
        <v/>
      </c>
    </row>
    <row r="69" customFormat="false" ht="15" hidden="false" customHeight="false" outlineLevel="0" collapsed="false">
      <c r="A69" s="0" t="str">
        <f aca="false">IF(DECKS!B69="","",DECKS!B69)</f>
        <v/>
      </c>
      <c r="B69" s="0" t="str">
        <f aca="false">IF(A69="","",IF(MATCH(A69,$A$2:$A$3201,0)=ROW()-1,1,0))</f>
        <v/>
      </c>
      <c r="C69" s="0" t="str">
        <f aca="false">IF(B69=1,MAX(C$1:C68)+1,"")</f>
        <v/>
      </c>
    </row>
    <row r="70" customFormat="false" ht="15" hidden="false" customHeight="false" outlineLevel="0" collapsed="false">
      <c r="A70" s="0" t="str">
        <f aca="false">IF(DECKS!B70="","",DECKS!B70)</f>
        <v/>
      </c>
      <c r="B70" s="0" t="str">
        <f aca="false">IF(A70="","",IF(MATCH(A70,$A$2:$A$3201,0)=ROW()-1,1,0))</f>
        <v/>
      </c>
      <c r="C70" s="0" t="str">
        <f aca="false">IF(B70=1,MAX(C$1:C69)+1,"")</f>
        <v/>
      </c>
    </row>
    <row r="71" customFormat="false" ht="15" hidden="false" customHeight="false" outlineLevel="0" collapsed="false">
      <c r="A71" s="0" t="str">
        <f aca="false">IF(DECKS!B71="","",DECKS!B71)</f>
        <v/>
      </c>
      <c r="B71" s="0" t="str">
        <f aca="false">IF(A71="","",IF(MATCH(A71,$A$2:$A$3201,0)=ROW()-1,1,0))</f>
        <v/>
      </c>
      <c r="C71" s="0" t="str">
        <f aca="false">IF(B71=1,MAX(C$1:C70)+1,"")</f>
        <v/>
      </c>
    </row>
    <row r="72" customFormat="false" ht="15" hidden="false" customHeight="false" outlineLevel="0" collapsed="false">
      <c r="A72" s="0" t="str">
        <f aca="false">IF(DECKS!B72="","",DECKS!B72)</f>
        <v/>
      </c>
      <c r="B72" s="0" t="str">
        <f aca="false">IF(A72="","",IF(MATCH(A72,$A$2:$A$3201,0)=ROW()-1,1,0))</f>
        <v/>
      </c>
      <c r="C72" s="0" t="str">
        <f aca="false">IF(B72=1,MAX(C$1:C71)+1,"")</f>
        <v/>
      </c>
    </row>
    <row r="73" customFormat="false" ht="15" hidden="false" customHeight="false" outlineLevel="0" collapsed="false">
      <c r="A73" s="0" t="str">
        <f aca="false">IF(DECKS!B73="","",DECKS!B73)</f>
        <v/>
      </c>
      <c r="B73" s="0" t="str">
        <f aca="false">IF(A73="","",IF(MATCH(A73,$A$2:$A$3201,0)=ROW()-1,1,0))</f>
        <v/>
      </c>
      <c r="C73" s="0" t="str">
        <f aca="false">IF(B73=1,MAX(C$1:C72)+1,"")</f>
        <v/>
      </c>
    </row>
    <row r="74" customFormat="false" ht="15" hidden="false" customHeight="false" outlineLevel="0" collapsed="false">
      <c r="A74" s="0" t="str">
        <f aca="false">IF(DECKS!B74="","",DECKS!B74)</f>
        <v/>
      </c>
      <c r="B74" s="0" t="str">
        <f aca="false">IF(A74="","",IF(MATCH(A74,$A$2:$A$3201,0)=ROW()-1,1,0))</f>
        <v/>
      </c>
      <c r="C74" s="0" t="str">
        <f aca="false">IF(B74=1,MAX(C$1:C73)+1,"")</f>
        <v/>
      </c>
    </row>
    <row r="75" customFormat="false" ht="15" hidden="false" customHeight="false" outlineLevel="0" collapsed="false">
      <c r="A75" s="0" t="str">
        <f aca="false">IF(DECKS!B75="","",DECKS!B75)</f>
        <v/>
      </c>
      <c r="B75" s="0" t="str">
        <f aca="false">IF(A75="","",IF(MATCH(A75,$A$2:$A$3201,0)=ROW()-1,1,0))</f>
        <v/>
      </c>
      <c r="C75" s="0" t="str">
        <f aca="false">IF(B75=1,MAX(C$1:C74)+1,"")</f>
        <v/>
      </c>
    </row>
    <row r="76" customFormat="false" ht="15" hidden="false" customHeight="false" outlineLevel="0" collapsed="false">
      <c r="A76" s="0" t="str">
        <f aca="false">IF(DECKS!B76="","",DECKS!B76)</f>
        <v/>
      </c>
      <c r="B76" s="0" t="str">
        <f aca="false">IF(A76="","",IF(MATCH(A76,$A$2:$A$3201,0)=ROW()-1,1,0))</f>
        <v/>
      </c>
      <c r="C76" s="0" t="str">
        <f aca="false">IF(B76=1,MAX(C$1:C75)+1,"")</f>
        <v/>
      </c>
    </row>
    <row r="77" customFormat="false" ht="15" hidden="false" customHeight="false" outlineLevel="0" collapsed="false">
      <c r="A77" s="0" t="str">
        <f aca="false">IF(DECKS!B77="","",DECKS!B77)</f>
        <v/>
      </c>
      <c r="B77" s="0" t="str">
        <f aca="false">IF(A77="","",IF(MATCH(A77,$A$2:$A$3201,0)=ROW()-1,1,0))</f>
        <v/>
      </c>
      <c r="C77" s="0" t="str">
        <f aca="false">IF(B77=1,MAX(C$1:C76)+1,"")</f>
        <v/>
      </c>
    </row>
    <row r="78" customFormat="false" ht="15" hidden="false" customHeight="false" outlineLevel="0" collapsed="false">
      <c r="A78" s="0" t="str">
        <f aca="false">IF(DECKS!B78="","",DECKS!B78)</f>
        <v/>
      </c>
      <c r="B78" s="0" t="str">
        <f aca="false">IF(A78="","",IF(MATCH(A78,$A$2:$A$3201,0)=ROW()-1,1,0))</f>
        <v/>
      </c>
      <c r="C78" s="0" t="str">
        <f aca="false">IF(B78=1,MAX(C$1:C77)+1,"")</f>
        <v/>
      </c>
    </row>
    <row r="79" customFormat="false" ht="15" hidden="false" customHeight="false" outlineLevel="0" collapsed="false">
      <c r="A79" s="0" t="str">
        <f aca="false">IF(DECKS!B79="","",DECKS!B79)</f>
        <v/>
      </c>
      <c r="B79" s="0" t="str">
        <f aca="false">IF(A79="","",IF(MATCH(A79,$A$2:$A$3201,0)=ROW()-1,1,0))</f>
        <v/>
      </c>
      <c r="C79" s="0" t="str">
        <f aca="false">IF(B79=1,MAX(C$1:C78)+1,"")</f>
        <v/>
      </c>
    </row>
    <row r="80" customFormat="false" ht="15" hidden="false" customHeight="false" outlineLevel="0" collapsed="false">
      <c r="A80" s="0" t="str">
        <f aca="false">IF(DECKS!B80="","",DECKS!B80)</f>
        <v/>
      </c>
      <c r="B80" s="0" t="str">
        <f aca="false">IF(A80="","",IF(MATCH(A80,$A$2:$A$3201,0)=ROW()-1,1,0))</f>
        <v/>
      </c>
      <c r="C80" s="0" t="str">
        <f aca="false">IF(B80=1,MAX(C$1:C79)+1,"")</f>
        <v/>
      </c>
    </row>
    <row r="81" customFormat="false" ht="15" hidden="false" customHeight="false" outlineLevel="0" collapsed="false">
      <c r="A81" s="0" t="str">
        <f aca="false">IF(DECKS!B81="","",DECKS!B81)</f>
        <v/>
      </c>
      <c r="B81" s="0" t="str">
        <f aca="false">IF(A81="","",IF(MATCH(A81,$A$2:$A$3201,0)=ROW()-1,1,0))</f>
        <v/>
      </c>
      <c r="C81" s="0" t="str">
        <f aca="false">IF(B81=1,MAX(C$1:C80)+1,"")</f>
        <v/>
      </c>
    </row>
    <row r="82" customFormat="false" ht="15" hidden="false" customHeight="false" outlineLevel="0" collapsed="false">
      <c r="A82" s="0" t="str">
        <f aca="false">IF(DECKS!B82="","",DECKS!B82)</f>
        <v/>
      </c>
      <c r="B82" s="0" t="str">
        <f aca="false">IF(A82="","",IF(MATCH(A82,$A$2:$A$3201,0)=ROW()-1,1,0))</f>
        <v/>
      </c>
      <c r="C82" s="0" t="str">
        <f aca="false">IF(B82=1,MAX(C$1:C81)+1,"")</f>
        <v/>
      </c>
    </row>
    <row r="83" customFormat="false" ht="15" hidden="false" customHeight="false" outlineLevel="0" collapsed="false">
      <c r="A83" s="0" t="str">
        <f aca="false">IF(DECKS!B83="","",DECKS!B83)</f>
        <v/>
      </c>
      <c r="B83" s="0" t="str">
        <f aca="false">IF(A83="","",IF(MATCH(A83,$A$2:$A$3201,0)=ROW()-1,1,0))</f>
        <v/>
      </c>
      <c r="C83" s="0" t="str">
        <f aca="false">IF(B83=1,MAX(C$1:C82)+1,"")</f>
        <v/>
      </c>
    </row>
    <row r="84" customFormat="false" ht="15" hidden="false" customHeight="false" outlineLevel="0" collapsed="false">
      <c r="A84" s="0" t="str">
        <f aca="false">IF(DECKS!B84="","",DECKS!B84)</f>
        <v/>
      </c>
      <c r="B84" s="0" t="str">
        <f aca="false">IF(A84="","",IF(MATCH(A84,$A$2:$A$3201,0)=ROW()-1,1,0))</f>
        <v/>
      </c>
      <c r="C84" s="0" t="str">
        <f aca="false">IF(B84=1,MAX(C$1:C83)+1,"")</f>
        <v/>
      </c>
    </row>
    <row r="85" customFormat="false" ht="15" hidden="false" customHeight="false" outlineLevel="0" collapsed="false">
      <c r="A85" s="0" t="str">
        <f aca="false">IF(DECKS!B85="","",DECKS!B85)</f>
        <v/>
      </c>
      <c r="B85" s="0" t="str">
        <f aca="false">IF(A85="","",IF(MATCH(A85,$A$2:$A$3201,0)=ROW()-1,1,0))</f>
        <v/>
      </c>
      <c r="C85" s="0" t="str">
        <f aca="false">IF(B85=1,MAX(C$1:C84)+1,"")</f>
        <v/>
      </c>
    </row>
    <row r="86" customFormat="false" ht="15" hidden="false" customHeight="false" outlineLevel="0" collapsed="false">
      <c r="A86" s="0" t="str">
        <f aca="false">IF(DECKS!B86="","",DECKS!B86)</f>
        <v/>
      </c>
      <c r="B86" s="0" t="str">
        <f aca="false">IF(A86="","",IF(MATCH(A86,$A$2:$A$3201,0)=ROW()-1,1,0))</f>
        <v/>
      </c>
      <c r="C86" s="0" t="str">
        <f aca="false">IF(B86=1,MAX(C$1:C85)+1,"")</f>
        <v/>
      </c>
    </row>
    <row r="87" customFormat="false" ht="15" hidden="false" customHeight="false" outlineLevel="0" collapsed="false">
      <c r="A87" s="0" t="str">
        <f aca="false">IF(DECKS!B87="","",DECKS!B87)</f>
        <v/>
      </c>
      <c r="B87" s="0" t="str">
        <f aca="false">IF(A87="","",IF(MATCH(A87,$A$2:$A$3201,0)=ROW()-1,1,0))</f>
        <v/>
      </c>
      <c r="C87" s="0" t="str">
        <f aca="false">IF(B87=1,MAX(C$1:C86)+1,"")</f>
        <v/>
      </c>
    </row>
    <row r="88" customFormat="false" ht="15" hidden="false" customHeight="false" outlineLevel="0" collapsed="false">
      <c r="A88" s="0" t="str">
        <f aca="false">IF(DECKS!B88="","",DECKS!B88)</f>
        <v/>
      </c>
      <c r="B88" s="0" t="str">
        <f aca="false">IF(A88="","",IF(MATCH(A88,$A$2:$A$3201,0)=ROW()-1,1,0))</f>
        <v/>
      </c>
      <c r="C88" s="0" t="str">
        <f aca="false">IF(B88=1,MAX(C$1:C87)+1,"")</f>
        <v/>
      </c>
    </row>
    <row r="89" customFormat="false" ht="15" hidden="false" customHeight="false" outlineLevel="0" collapsed="false">
      <c r="A89" s="0" t="str">
        <f aca="false">IF(DECKS!B89="","",DECKS!B89)</f>
        <v/>
      </c>
      <c r="B89" s="0" t="str">
        <f aca="false">IF(A89="","",IF(MATCH(A89,$A$2:$A$3201,0)=ROW()-1,1,0))</f>
        <v/>
      </c>
      <c r="C89" s="0" t="str">
        <f aca="false">IF(B89=1,MAX(C$1:C88)+1,"")</f>
        <v/>
      </c>
    </row>
    <row r="90" customFormat="false" ht="15" hidden="false" customHeight="false" outlineLevel="0" collapsed="false">
      <c r="A90" s="0" t="str">
        <f aca="false">IF(DECKS!B90="","",DECKS!B90)</f>
        <v/>
      </c>
      <c r="B90" s="0" t="str">
        <f aca="false">IF(A90="","",IF(MATCH(A90,$A$2:$A$3201,0)=ROW()-1,1,0))</f>
        <v/>
      </c>
      <c r="C90" s="0" t="str">
        <f aca="false">IF(B90=1,MAX(C$1:C89)+1,"")</f>
        <v/>
      </c>
    </row>
    <row r="91" customFormat="false" ht="15" hidden="false" customHeight="false" outlineLevel="0" collapsed="false">
      <c r="A91" s="0" t="str">
        <f aca="false">IF(DECKS!B91="","",DECKS!B91)</f>
        <v/>
      </c>
      <c r="B91" s="0" t="str">
        <f aca="false">IF(A91="","",IF(MATCH(A91,$A$2:$A$3201,0)=ROW()-1,1,0))</f>
        <v/>
      </c>
      <c r="C91" s="0" t="str">
        <f aca="false">IF(B91=1,MAX(C$1:C90)+1,"")</f>
        <v/>
      </c>
    </row>
    <row r="92" customFormat="false" ht="15" hidden="false" customHeight="false" outlineLevel="0" collapsed="false">
      <c r="A92" s="0" t="str">
        <f aca="false">IF(DECKS!B92="","",DECKS!B92)</f>
        <v/>
      </c>
      <c r="B92" s="0" t="str">
        <f aca="false">IF(A92="","",IF(MATCH(A92,$A$2:$A$3201,0)=ROW()-1,1,0))</f>
        <v/>
      </c>
      <c r="C92" s="0" t="str">
        <f aca="false">IF(B92=1,MAX(C$1:C91)+1,"")</f>
        <v/>
      </c>
    </row>
    <row r="93" customFormat="false" ht="15" hidden="false" customHeight="false" outlineLevel="0" collapsed="false">
      <c r="A93" s="0" t="str">
        <f aca="false">IF(DECKS!B93="","",DECKS!B93)</f>
        <v/>
      </c>
      <c r="B93" s="0" t="str">
        <f aca="false">IF(A93="","",IF(MATCH(A93,$A$2:$A$3201,0)=ROW()-1,1,0))</f>
        <v/>
      </c>
      <c r="C93" s="0" t="str">
        <f aca="false">IF(B93=1,MAX(C$1:C92)+1,"")</f>
        <v/>
      </c>
    </row>
    <row r="94" customFormat="false" ht="15" hidden="false" customHeight="false" outlineLevel="0" collapsed="false">
      <c r="A94" s="0" t="str">
        <f aca="false">IF(DECKS!B94="","",DECKS!B94)</f>
        <v/>
      </c>
      <c r="B94" s="0" t="str">
        <f aca="false">IF(A94="","",IF(MATCH(A94,$A$2:$A$3201,0)=ROW()-1,1,0))</f>
        <v/>
      </c>
      <c r="C94" s="0" t="str">
        <f aca="false">IF(B94=1,MAX(C$1:C93)+1,"")</f>
        <v/>
      </c>
    </row>
    <row r="95" customFormat="false" ht="15" hidden="false" customHeight="false" outlineLevel="0" collapsed="false">
      <c r="A95" s="0" t="str">
        <f aca="false">IF(DECKS!B95="","",DECKS!B95)</f>
        <v/>
      </c>
      <c r="B95" s="0" t="str">
        <f aca="false">IF(A95="","",IF(MATCH(A95,$A$2:$A$3201,0)=ROW()-1,1,0))</f>
        <v/>
      </c>
      <c r="C95" s="0" t="str">
        <f aca="false">IF(B95=1,MAX(C$1:C94)+1,"")</f>
        <v/>
      </c>
    </row>
    <row r="96" customFormat="false" ht="15" hidden="false" customHeight="false" outlineLevel="0" collapsed="false">
      <c r="A96" s="0" t="str">
        <f aca="false">IF(DECKS!B96="","",DECKS!B96)</f>
        <v/>
      </c>
      <c r="B96" s="0" t="str">
        <f aca="false">IF(A96="","",IF(MATCH(A96,$A$2:$A$3201,0)=ROW()-1,1,0))</f>
        <v/>
      </c>
      <c r="C96" s="0" t="str">
        <f aca="false">IF(B96=1,MAX(C$1:C95)+1,"")</f>
        <v/>
      </c>
    </row>
    <row r="97" customFormat="false" ht="15" hidden="false" customHeight="false" outlineLevel="0" collapsed="false">
      <c r="A97" s="0" t="str">
        <f aca="false">IF(DECKS!B97="","",DECKS!B97)</f>
        <v/>
      </c>
      <c r="B97" s="0" t="str">
        <f aca="false">IF(A97="","",IF(MATCH(A97,$A$2:$A$3201,0)=ROW()-1,1,0))</f>
        <v/>
      </c>
      <c r="C97" s="0" t="str">
        <f aca="false">IF(B97=1,MAX(C$1:C96)+1,"")</f>
        <v/>
      </c>
    </row>
    <row r="98" customFormat="false" ht="15" hidden="false" customHeight="false" outlineLevel="0" collapsed="false">
      <c r="A98" s="0" t="str">
        <f aca="false">IF(DECKS!B98="","",DECKS!B98)</f>
        <v/>
      </c>
      <c r="B98" s="0" t="str">
        <f aca="false">IF(A98="","",IF(MATCH(A98,$A$2:$A$3201,0)=ROW()-1,1,0))</f>
        <v/>
      </c>
      <c r="C98" s="0" t="str">
        <f aca="false">IF(B98=1,MAX(C$1:C97)+1,"")</f>
        <v/>
      </c>
    </row>
    <row r="99" customFormat="false" ht="15" hidden="false" customHeight="false" outlineLevel="0" collapsed="false">
      <c r="A99" s="0" t="str">
        <f aca="false">IF(DECKS!B99="","",DECKS!B99)</f>
        <v/>
      </c>
      <c r="B99" s="0" t="str">
        <f aca="false">IF(A99="","",IF(MATCH(A99,$A$2:$A$3201,0)=ROW()-1,1,0))</f>
        <v/>
      </c>
      <c r="C99" s="0" t="str">
        <f aca="false">IF(B99=1,MAX(C$1:C98)+1,"")</f>
        <v/>
      </c>
    </row>
    <row r="100" customFormat="false" ht="15" hidden="false" customHeight="false" outlineLevel="0" collapsed="false">
      <c r="A100" s="0" t="str">
        <f aca="false">IF(DECKS!B100="","",DECKS!B100)</f>
        <v/>
      </c>
      <c r="B100" s="0" t="str">
        <f aca="false">IF(A100="","",IF(MATCH(A100,$A$2:$A$3201,0)=ROW()-1,1,0))</f>
        <v/>
      </c>
      <c r="C100" s="0" t="str">
        <f aca="false">IF(B100=1,MAX(C$1:C99)+1,"")</f>
        <v/>
      </c>
    </row>
    <row r="101" customFormat="false" ht="15" hidden="false" customHeight="false" outlineLevel="0" collapsed="false">
      <c r="A101" s="0" t="str">
        <f aca="false">IF(DECKS!B101="","",DECKS!B101)</f>
        <v/>
      </c>
      <c r="B101" s="0" t="str">
        <f aca="false">IF(A101="","",IF(MATCH(A101,$A$2:$A$3201,0)=ROW()-1,1,0))</f>
        <v/>
      </c>
      <c r="C101" s="0" t="str">
        <f aca="false">IF(B101=1,MAX(C$1:C100)+1,"")</f>
        <v/>
      </c>
    </row>
    <row r="102" customFormat="false" ht="15" hidden="false" customHeight="false" outlineLevel="0" collapsed="false">
      <c r="A102" s="0" t="str">
        <f aca="false">IF(DECKS!B102="","",DECKS!B102)</f>
        <v/>
      </c>
      <c r="B102" s="0" t="str">
        <f aca="false">IF(A102="","",IF(MATCH(A102,$A$2:$A$3201,0)=ROW()-1,1,0))</f>
        <v/>
      </c>
      <c r="C102" s="0" t="str">
        <f aca="false">IF(B102=1,MAX(C$1:C101)+1,"")</f>
        <v/>
      </c>
    </row>
    <row r="103" customFormat="false" ht="15" hidden="false" customHeight="false" outlineLevel="0" collapsed="false">
      <c r="A103" s="0" t="str">
        <f aca="false">IF(DECKS!B103="","",DECKS!B103)</f>
        <v/>
      </c>
      <c r="B103" s="0" t="str">
        <f aca="false">IF(A103="","",IF(MATCH(A103,$A$2:$A$3201,0)=ROW()-1,1,0))</f>
        <v/>
      </c>
      <c r="C103" s="0" t="str">
        <f aca="false">IF(B103=1,MAX(C$1:C102)+1,"")</f>
        <v/>
      </c>
    </row>
    <row r="104" customFormat="false" ht="15" hidden="false" customHeight="false" outlineLevel="0" collapsed="false">
      <c r="A104" s="0" t="str">
        <f aca="false">IF(DECKS!B104="","",DECKS!B104)</f>
        <v/>
      </c>
      <c r="B104" s="0" t="str">
        <f aca="false">IF(A104="","",IF(MATCH(A104,$A$2:$A$3201,0)=ROW()-1,1,0))</f>
        <v/>
      </c>
      <c r="C104" s="0" t="str">
        <f aca="false">IF(B104=1,MAX(C$1:C103)+1,"")</f>
        <v/>
      </c>
    </row>
    <row r="105" customFormat="false" ht="15" hidden="false" customHeight="false" outlineLevel="0" collapsed="false">
      <c r="A105" s="0" t="str">
        <f aca="false">IF(DECKS!B105="","",DECKS!B105)</f>
        <v/>
      </c>
      <c r="B105" s="0" t="str">
        <f aca="false">IF(A105="","",IF(MATCH(A105,$A$2:$A$3201,0)=ROW()-1,1,0))</f>
        <v/>
      </c>
      <c r="C105" s="0" t="str">
        <f aca="false">IF(B105=1,MAX(C$1:C104)+1,"")</f>
        <v/>
      </c>
    </row>
    <row r="106" customFormat="false" ht="15" hidden="false" customHeight="false" outlineLevel="0" collapsed="false">
      <c r="A106" s="0" t="str">
        <f aca="false">IF(DECKS!B106="","",DECKS!B106)</f>
        <v/>
      </c>
      <c r="B106" s="0" t="str">
        <f aca="false">IF(A106="","",IF(MATCH(A106,$A$2:$A$3201,0)=ROW()-1,1,0))</f>
        <v/>
      </c>
      <c r="C106" s="0" t="str">
        <f aca="false">IF(B106=1,MAX(C$1:C105)+1,"")</f>
        <v/>
      </c>
    </row>
    <row r="107" customFormat="false" ht="15" hidden="false" customHeight="false" outlineLevel="0" collapsed="false">
      <c r="A107" s="0" t="str">
        <f aca="false">IF(DECKS!B107="","",DECKS!B107)</f>
        <v/>
      </c>
      <c r="B107" s="0" t="str">
        <f aca="false">IF(A107="","",IF(MATCH(A107,$A$2:$A$3201,0)=ROW()-1,1,0))</f>
        <v/>
      </c>
      <c r="C107" s="0" t="str">
        <f aca="false">IF(B107=1,MAX(C$1:C106)+1,"")</f>
        <v/>
      </c>
    </row>
    <row r="108" customFormat="false" ht="15" hidden="false" customHeight="false" outlineLevel="0" collapsed="false">
      <c r="A108" s="0" t="str">
        <f aca="false">IF(DECKS!B108="","",DECKS!B108)</f>
        <v/>
      </c>
      <c r="B108" s="0" t="str">
        <f aca="false">IF(A108="","",IF(MATCH(A108,$A$2:$A$3201,0)=ROW()-1,1,0))</f>
        <v/>
      </c>
      <c r="C108" s="0" t="str">
        <f aca="false">IF(B108=1,MAX(C$1:C107)+1,"")</f>
        <v/>
      </c>
    </row>
    <row r="109" customFormat="false" ht="15" hidden="false" customHeight="false" outlineLevel="0" collapsed="false">
      <c r="A109" s="0" t="str">
        <f aca="false">IF(DECKS!B109="","",DECKS!B109)</f>
        <v/>
      </c>
      <c r="B109" s="0" t="str">
        <f aca="false">IF(A109="","",IF(MATCH(A109,$A$2:$A$3201,0)=ROW()-1,1,0))</f>
        <v/>
      </c>
      <c r="C109" s="0" t="str">
        <f aca="false">IF(B109=1,MAX(C$1:C108)+1,"")</f>
        <v/>
      </c>
    </row>
    <row r="110" customFormat="false" ht="15" hidden="false" customHeight="false" outlineLevel="0" collapsed="false">
      <c r="A110" s="0" t="str">
        <f aca="false">IF(DECKS!B110="","",DECKS!B110)</f>
        <v/>
      </c>
      <c r="B110" s="0" t="str">
        <f aca="false">IF(A110="","",IF(MATCH(A110,$A$2:$A$3201,0)=ROW()-1,1,0))</f>
        <v/>
      </c>
      <c r="C110" s="0" t="str">
        <f aca="false">IF(B110=1,MAX(C$1:C109)+1,"")</f>
        <v/>
      </c>
    </row>
    <row r="111" customFormat="false" ht="15" hidden="false" customHeight="false" outlineLevel="0" collapsed="false">
      <c r="A111" s="0" t="str">
        <f aca="false">IF(DECKS!B111="","",DECKS!B111)</f>
        <v/>
      </c>
      <c r="B111" s="0" t="str">
        <f aca="false">IF(A111="","",IF(MATCH(A111,$A$2:$A$3201,0)=ROW()-1,1,0))</f>
        <v/>
      </c>
      <c r="C111" s="0" t="str">
        <f aca="false">IF(B111=1,MAX(C$1:C110)+1,"")</f>
        <v/>
      </c>
    </row>
    <row r="112" customFormat="false" ht="15" hidden="false" customHeight="false" outlineLevel="0" collapsed="false">
      <c r="A112" s="0" t="str">
        <f aca="false">IF(DECKS!B112="","",DECKS!B112)</f>
        <v/>
      </c>
      <c r="B112" s="0" t="str">
        <f aca="false">IF(A112="","",IF(MATCH(A112,$A$2:$A$3201,0)=ROW()-1,1,0))</f>
        <v/>
      </c>
      <c r="C112" s="0" t="str">
        <f aca="false">IF(B112=1,MAX(C$1:C111)+1,"")</f>
        <v/>
      </c>
    </row>
    <row r="113" customFormat="false" ht="15" hidden="false" customHeight="false" outlineLevel="0" collapsed="false">
      <c r="A113" s="0" t="str">
        <f aca="false">IF(DECKS!B113="","",DECKS!B113)</f>
        <v/>
      </c>
      <c r="B113" s="0" t="str">
        <f aca="false">IF(A113="","",IF(MATCH(A113,$A$2:$A$3201,0)=ROW()-1,1,0))</f>
        <v/>
      </c>
      <c r="C113" s="0" t="str">
        <f aca="false">IF(B113=1,MAX(C$1:C112)+1,"")</f>
        <v/>
      </c>
    </row>
    <row r="114" customFormat="false" ht="15" hidden="false" customHeight="false" outlineLevel="0" collapsed="false">
      <c r="A114" s="0" t="str">
        <f aca="false">IF(DECKS!B114="","",DECKS!B114)</f>
        <v/>
      </c>
      <c r="B114" s="0" t="str">
        <f aca="false">IF(A114="","",IF(MATCH(A114,$A$2:$A$3201,0)=ROW()-1,1,0))</f>
        <v/>
      </c>
      <c r="C114" s="0" t="str">
        <f aca="false">IF(B114=1,MAX(C$1:C113)+1,"")</f>
        <v/>
      </c>
    </row>
    <row r="115" customFormat="false" ht="15" hidden="false" customHeight="false" outlineLevel="0" collapsed="false">
      <c r="A115" s="0" t="str">
        <f aca="false">IF(DECKS!B115="","",DECKS!B115)</f>
        <v/>
      </c>
      <c r="B115" s="0" t="str">
        <f aca="false">IF(A115="","",IF(MATCH(A115,$A$2:$A$3201,0)=ROW()-1,1,0))</f>
        <v/>
      </c>
      <c r="C115" s="0" t="str">
        <f aca="false">IF(B115=1,MAX(C$1:C114)+1,"")</f>
        <v/>
      </c>
    </row>
    <row r="116" customFormat="false" ht="15" hidden="false" customHeight="false" outlineLevel="0" collapsed="false">
      <c r="A116" s="0" t="str">
        <f aca="false">IF(DECKS!B116="","",DECKS!B116)</f>
        <v/>
      </c>
      <c r="B116" s="0" t="str">
        <f aca="false">IF(A116="","",IF(MATCH(A116,$A$2:$A$3201,0)=ROW()-1,1,0))</f>
        <v/>
      </c>
      <c r="C116" s="0" t="str">
        <f aca="false">IF(B116=1,MAX(C$1:C115)+1,"")</f>
        <v/>
      </c>
    </row>
    <row r="117" customFormat="false" ht="15" hidden="false" customHeight="false" outlineLevel="0" collapsed="false">
      <c r="A117" s="0" t="str">
        <f aca="false">IF(DECKS!B117="","",DECKS!B117)</f>
        <v/>
      </c>
      <c r="B117" s="0" t="str">
        <f aca="false">IF(A117="","",IF(MATCH(A117,$A$2:$A$3201,0)=ROW()-1,1,0))</f>
        <v/>
      </c>
      <c r="C117" s="0" t="str">
        <f aca="false">IF(B117=1,MAX(C$1:C116)+1,"")</f>
        <v/>
      </c>
    </row>
    <row r="118" customFormat="false" ht="15" hidden="false" customHeight="false" outlineLevel="0" collapsed="false">
      <c r="A118" s="0" t="str">
        <f aca="false">IF(DECKS!B118="","",DECKS!B118)</f>
        <v/>
      </c>
      <c r="B118" s="0" t="str">
        <f aca="false">IF(A118="","",IF(MATCH(A118,$A$2:$A$3201,0)=ROW()-1,1,0))</f>
        <v/>
      </c>
      <c r="C118" s="0" t="str">
        <f aca="false">IF(B118=1,MAX(C$1:C117)+1,"")</f>
        <v/>
      </c>
    </row>
    <row r="119" customFormat="false" ht="15" hidden="false" customHeight="false" outlineLevel="0" collapsed="false">
      <c r="A119" s="0" t="str">
        <f aca="false">IF(DECKS!B119="","",DECKS!B119)</f>
        <v/>
      </c>
      <c r="B119" s="0" t="str">
        <f aca="false">IF(A119="","",IF(MATCH(A119,$A$2:$A$3201,0)=ROW()-1,1,0))</f>
        <v/>
      </c>
      <c r="C119" s="0" t="str">
        <f aca="false">IF(B119=1,MAX(C$1:C118)+1,"")</f>
        <v/>
      </c>
    </row>
    <row r="120" customFormat="false" ht="15" hidden="false" customHeight="false" outlineLevel="0" collapsed="false">
      <c r="A120" s="0" t="str">
        <f aca="false">IF(DECKS!B120="","",DECKS!B120)</f>
        <v/>
      </c>
      <c r="B120" s="0" t="str">
        <f aca="false">IF(A120="","",IF(MATCH(A120,$A$2:$A$3201,0)=ROW()-1,1,0))</f>
        <v/>
      </c>
      <c r="C120" s="0" t="str">
        <f aca="false">IF(B120=1,MAX(C$1:C119)+1,"")</f>
        <v/>
      </c>
    </row>
    <row r="121" customFormat="false" ht="15" hidden="false" customHeight="false" outlineLevel="0" collapsed="false">
      <c r="A121" s="0" t="str">
        <f aca="false">IF(DECKS!B121="","",DECKS!B121)</f>
        <v/>
      </c>
      <c r="B121" s="0" t="str">
        <f aca="false">IF(A121="","",IF(MATCH(A121,$A$2:$A$3201,0)=ROW()-1,1,0))</f>
        <v/>
      </c>
      <c r="C121" s="0" t="str">
        <f aca="false">IF(B121=1,MAX(C$1:C120)+1,"")</f>
        <v/>
      </c>
    </row>
    <row r="122" customFormat="false" ht="15" hidden="false" customHeight="false" outlineLevel="0" collapsed="false">
      <c r="A122" s="0" t="str">
        <f aca="false">IF(DECKS!B122="","",DECKS!B122)</f>
        <v/>
      </c>
      <c r="B122" s="0" t="str">
        <f aca="false">IF(A122="","",IF(MATCH(A122,$A$2:$A$3201,0)=ROW()-1,1,0))</f>
        <v/>
      </c>
      <c r="C122" s="0" t="str">
        <f aca="false">IF(B122=1,MAX(C$1:C121)+1,"")</f>
        <v/>
      </c>
    </row>
    <row r="123" customFormat="false" ht="15" hidden="false" customHeight="false" outlineLevel="0" collapsed="false">
      <c r="A123" s="0" t="str">
        <f aca="false">IF(DECKS!B123="","",DECKS!B123)</f>
        <v/>
      </c>
      <c r="B123" s="0" t="str">
        <f aca="false">IF(A123="","",IF(MATCH(A123,$A$2:$A$3201,0)=ROW()-1,1,0))</f>
        <v/>
      </c>
      <c r="C123" s="0" t="str">
        <f aca="false">IF(B123=1,MAX(C$1:C122)+1,"")</f>
        <v/>
      </c>
    </row>
    <row r="124" customFormat="false" ht="15" hidden="false" customHeight="false" outlineLevel="0" collapsed="false">
      <c r="A124" s="0" t="str">
        <f aca="false">IF(DECKS!B124="","",DECKS!B124)</f>
        <v/>
      </c>
      <c r="B124" s="0" t="str">
        <f aca="false">IF(A124="","",IF(MATCH(A124,$A$2:$A$3201,0)=ROW()-1,1,0))</f>
        <v/>
      </c>
      <c r="C124" s="0" t="str">
        <f aca="false">IF(B124=1,MAX(C$1:C123)+1,"")</f>
        <v/>
      </c>
    </row>
    <row r="125" customFormat="false" ht="15" hidden="false" customHeight="false" outlineLevel="0" collapsed="false">
      <c r="A125" s="0" t="str">
        <f aca="false">IF(DECKS!B125="","",DECKS!B125)</f>
        <v/>
      </c>
      <c r="B125" s="0" t="str">
        <f aca="false">IF(A125="","",IF(MATCH(A125,$A$2:$A$3201,0)=ROW()-1,1,0))</f>
        <v/>
      </c>
      <c r="C125" s="0" t="str">
        <f aca="false">IF(B125=1,MAX(C$1:C124)+1,"")</f>
        <v/>
      </c>
    </row>
    <row r="126" customFormat="false" ht="15" hidden="false" customHeight="false" outlineLevel="0" collapsed="false">
      <c r="A126" s="0" t="str">
        <f aca="false">IF(DECKS!B126="","",DECKS!B126)</f>
        <v/>
      </c>
      <c r="B126" s="0" t="str">
        <f aca="false">IF(A126="","",IF(MATCH(A126,$A$2:$A$3201,0)=ROW()-1,1,0))</f>
        <v/>
      </c>
      <c r="C126" s="0" t="str">
        <f aca="false">IF(B126=1,MAX(C$1:C125)+1,"")</f>
        <v/>
      </c>
    </row>
    <row r="127" customFormat="false" ht="15" hidden="false" customHeight="false" outlineLevel="0" collapsed="false">
      <c r="A127" s="0" t="str">
        <f aca="false">IF(DECKS!B127="","",DECKS!B127)</f>
        <v/>
      </c>
      <c r="B127" s="0" t="str">
        <f aca="false">IF(A127="","",IF(MATCH(A127,$A$2:$A$3201,0)=ROW()-1,1,0))</f>
        <v/>
      </c>
      <c r="C127" s="0" t="str">
        <f aca="false">IF(B127=1,MAX(C$1:C126)+1,"")</f>
        <v/>
      </c>
    </row>
    <row r="128" customFormat="false" ht="15" hidden="false" customHeight="false" outlineLevel="0" collapsed="false">
      <c r="A128" s="0" t="str">
        <f aca="false">IF(DECKS!B128="","",DECKS!B128)</f>
        <v/>
      </c>
      <c r="B128" s="0" t="str">
        <f aca="false">IF(A128="","",IF(MATCH(A128,$A$2:$A$3201,0)=ROW()-1,1,0))</f>
        <v/>
      </c>
      <c r="C128" s="0" t="str">
        <f aca="false">IF(B128=1,MAX(C$1:C127)+1,"")</f>
        <v/>
      </c>
    </row>
    <row r="129" customFormat="false" ht="15" hidden="false" customHeight="false" outlineLevel="0" collapsed="false">
      <c r="A129" s="0" t="str">
        <f aca="false">IF(DECKS!B129="","",DECKS!B129)</f>
        <v/>
      </c>
      <c r="B129" s="0" t="str">
        <f aca="false">IF(A129="","",IF(MATCH(A129,$A$2:$A$3201,0)=ROW()-1,1,0))</f>
        <v/>
      </c>
      <c r="C129" s="0" t="str">
        <f aca="false">IF(B129=1,MAX(C$1:C128)+1,"")</f>
        <v/>
      </c>
    </row>
    <row r="130" customFormat="false" ht="15" hidden="false" customHeight="false" outlineLevel="0" collapsed="false">
      <c r="A130" s="0" t="str">
        <f aca="false">IF(DECKS!B130="","",DECKS!B130)</f>
        <v/>
      </c>
      <c r="B130" s="0" t="str">
        <f aca="false">IF(A130="","",IF(MATCH(A130,$A$2:$A$3201,0)=ROW()-1,1,0))</f>
        <v/>
      </c>
      <c r="C130" s="0" t="str">
        <f aca="false">IF(B130=1,MAX(C$1:C129)+1,"")</f>
        <v/>
      </c>
    </row>
    <row r="131" customFormat="false" ht="15" hidden="false" customHeight="false" outlineLevel="0" collapsed="false">
      <c r="A131" s="0" t="str">
        <f aca="false">IF(DECKS!B131="","",DECKS!B131)</f>
        <v/>
      </c>
      <c r="B131" s="0" t="str">
        <f aca="false">IF(A131="","",IF(MATCH(A131,$A$2:$A$3201,0)=ROW()-1,1,0))</f>
        <v/>
      </c>
      <c r="C131" s="0" t="str">
        <f aca="false">IF(B131=1,MAX(C$1:C130)+1,"")</f>
        <v/>
      </c>
    </row>
    <row r="132" customFormat="false" ht="15" hidden="false" customHeight="false" outlineLevel="0" collapsed="false">
      <c r="A132" s="0" t="str">
        <f aca="false">IF(DECKS!B132="","",DECKS!B132)</f>
        <v/>
      </c>
      <c r="B132" s="0" t="str">
        <f aca="false">IF(A132="","",IF(MATCH(A132,$A$2:$A$3201,0)=ROW()-1,1,0))</f>
        <v/>
      </c>
      <c r="C132" s="0" t="str">
        <f aca="false">IF(B132=1,MAX(C$1:C131)+1,"")</f>
        <v/>
      </c>
    </row>
    <row r="133" customFormat="false" ht="15" hidden="false" customHeight="false" outlineLevel="0" collapsed="false">
      <c r="A133" s="0" t="str">
        <f aca="false">IF(DECKS!B133="","",DECKS!B133)</f>
        <v/>
      </c>
      <c r="B133" s="0" t="str">
        <f aca="false">IF(A133="","",IF(MATCH(A133,$A$2:$A$3201,0)=ROW()-1,1,0))</f>
        <v/>
      </c>
      <c r="C133" s="0" t="str">
        <f aca="false">IF(B133=1,MAX(C$1:C132)+1,"")</f>
        <v/>
      </c>
    </row>
    <row r="134" customFormat="false" ht="15" hidden="false" customHeight="false" outlineLevel="0" collapsed="false">
      <c r="A134" s="0" t="str">
        <f aca="false">IF(DECKS!B134="","",DECKS!B134)</f>
        <v/>
      </c>
      <c r="B134" s="0" t="str">
        <f aca="false">IF(A134="","",IF(MATCH(A134,$A$2:$A$3201,0)=ROW()-1,1,0))</f>
        <v/>
      </c>
      <c r="C134" s="0" t="str">
        <f aca="false">IF(B134=1,MAX(C$1:C133)+1,"")</f>
        <v/>
      </c>
    </row>
    <row r="135" customFormat="false" ht="15" hidden="false" customHeight="false" outlineLevel="0" collapsed="false">
      <c r="A135" s="0" t="str">
        <f aca="false">IF(DECKS!B135="","",DECKS!B135)</f>
        <v/>
      </c>
      <c r="B135" s="0" t="str">
        <f aca="false">IF(A135="","",IF(MATCH(A135,$A$2:$A$3201,0)=ROW()-1,1,0))</f>
        <v/>
      </c>
      <c r="C135" s="0" t="str">
        <f aca="false">IF(B135=1,MAX(C$1:C134)+1,"")</f>
        <v/>
      </c>
    </row>
    <row r="136" customFormat="false" ht="15" hidden="false" customHeight="false" outlineLevel="0" collapsed="false">
      <c r="A136" s="0" t="str">
        <f aca="false">IF(DECKS!B136="","",DECKS!B136)</f>
        <v/>
      </c>
      <c r="B136" s="0" t="str">
        <f aca="false">IF(A136="","",IF(MATCH(A136,$A$2:$A$3201,0)=ROW()-1,1,0))</f>
        <v/>
      </c>
      <c r="C136" s="0" t="str">
        <f aca="false">IF(B136=1,MAX(C$1:C135)+1,"")</f>
        <v/>
      </c>
    </row>
    <row r="137" customFormat="false" ht="15" hidden="false" customHeight="false" outlineLevel="0" collapsed="false">
      <c r="A137" s="0" t="str">
        <f aca="false">IF(DECKS!B137="","",DECKS!B137)</f>
        <v/>
      </c>
      <c r="B137" s="0" t="str">
        <f aca="false">IF(A137="","",IF(MATCH(A137,$A$2:$A$3201,0)=ROW()-1,1,0))</f>
        <v/>
      </c>
      <c r="C137" s="0" t="str">
        <f aca="false">IF(B137=1,MAX(C$1:C136)+1,"")</f>
        <v/>
      </c>
    </row>
    <row r="138" customFormat="false" ht="15" hidden="false" customHeight="false" outlineLevel="0" collapsed="false">
      <c r="A138" s="0" t="str">
        <f aca="false">IF(DECKS!B138="","",DECKS!B138)</f>
        <v/>
      </c>
      <c r="B138" s="0" t="str">
        <f aca="false">IF(A138="","",IF(MATCH(A138,$A$2:$A$3201,0)=ROW()-1,1,0))</f>
        <v/>
      </c>
      <c r="C138" s="0" t="str">
        <f aca="false">IF(B138=1,MAX(C$1:C137)+1,"")</f>
        <v/>
      </c>
    </row>
    <row r="139" customFormat="false" ht="15" hidden="false" customHeight="false" outlineLevel="0" collapsed="false">
      <c r="A139" s="0" t="str">
        <f aca="false">IF(DECKS!B139="","",DECKS!B139)</f>
        <v/>
      </c>
      <c r="B139" s="0" t="str">
        <f aca="false">IF(A139="","",IF(MATCH(A139,$A$2:$A$3201,0)=ROW()-1,1,0))</f>
        <v/>
      </c>
      <c r="C139" s="0" t="str">
        <f aca="false">IF(B139=1,MAX(C$1:C138)+1,"")</f>
        <v/>
      </c>
    </row>
    <row r="140" customFormat="false" ht="15" hidden="false" customHeight="false" outlineLevel="0" collapsed="false">
      <c r="A140" s="0" t="str">
        <f aca="false">IF(DECKS!B140="","",DECKS!B140)</f>
        <v/>
      </c>
      <c r="B140" s="0" t="str">
        <f aca="false">IF(A140="","",IF(MATCH(A140,$A$2:$A$3201,0)=ROW()-1,1,0))</f>
        <v/>
      </c>
      <c r="C140" s="0" t="str">
        <f aca="false">IF(B140=1,MAX(C$1:C139)+1,"")</f>
        <v/>
      </c>
    </row>
    <row r="141" customFormat="false" ht="15" hidden="false" customHeight="false" outlineLevel="0" collapsed="false">
      <c r="A141" s="0" t="str">
        <f aca="false">IF(DECKS!B141="","",DECKS!B141)</f>
        <v/>
      </c>
      <c r="B141" s="0" t="str">
        <f aca="false">IF(A141="","",IF(MATCH(A141,$A$2:$A$3201,0)=ROW()-1,1,0))</f>
        <v/>
      </c>
      <c r="C141" s="0" t="str">
        <f aca="false">IF(B141=1,MAX(C$1:C140)+1,"")</f>
        <v/>
      </c>
    </row>
    <row r="142" customFormat="false" ht="15" hidden="false" customHeight="false" outlineLevel="0" collapsed="false">
      <c r="A142" s="0" t="str">
        <f aca="false">IF(DECKS!B142="","",DECKS!B142)</f>
        <v/>
      </c>
      <c r="B142" s="0" t="str">
        <f aca="false">IF(A142="","",IF(MATCH(A142,$A$2:$A$3201,0)=ROW()-1,1,0))</f>
        <v/>
      </c>
      <c r="C142" s="0" t="str">
        <f aca="false">IF(B142=1,MAX(C$1:C141)+1,"")</f>
        <v/>
      </c>
    </row>
    <row r="143" customFormat="false" ht="15" hidden="false" customHeight="false" outlineLevel="0" collapsed="false">
      <c r="A143" s="0" t="str">
        <f aca="false">IF(DECKS!B143="","",DECKS!B143)</f>
        <v/>
      </c>
      <c r="B143" s="0" t="str">
        <f aca="false">IF(A143="","",IF(MATCH(A143,$A$2:$A$3201,0)=ROW()-1,1,0))</f>
        <v/>
      </c>
      <c r="C143" s="0" t="str">
        <f aca="false">IF(B143=1,MAX(C$1:C142)+1,"")</f>
        <v/>
      </c>
    </row>
    <row r="144" customFormat="false" ht="15" hidden="false" customHeight="false" outlineLevel="0" collapsed="false">
      <c r="A144" s="0" t="str">
        <f aca="false">IF(DECKS!B144="","",DECKS!B144)</f>
        <v/>
      </c>
      <c r="B144" s="0" t="str">
        <f aca="false">IF(A144="","",IF(MATCH(A144,$A$2:$A$3201,0)=ROW()-1,1,0))</f>
        <v/>
      </c>
      <c r="C144" s="0" t="str">
        <f aca="false">IF(B144=1,MAX(C$1:C143)+1,"")</f>
        <v/>
      </c>
    </row>
    <row r="145" customFormat="false" ht="15" hidden="false" customHeight="false" outlineLevel="0" collapsed="false">
      <c r="A145" s="0" t="str">
        <f aca="false">IF(DECKS!B145="","",DECKS!B145)</f>
        <v/>
      </c>
      <c r="B145" s="0" t="str">
        <f aca="false">IF(A145="","",IF(MATCH(A145,$A$2:$A$3201,0)=ROW()-1,1,0))</f>
        <v/>
      </c>
      <c r="C145" s="0" t="str">
        <f aca="false">IF(B145=1,MAX(C$1:C144)+1,"")</f>
        <v/>
      </c>
    </row>
    <row r="146" customFormat="false" ht="15" hidden="false" customHeight="false" outlineLevel="0" collapsed="false">
      <c r="A146" s="0" t="str">
        <f aca="false">IF(DECKS!B146="","",DECKS!B146)</f>
        <v/>
      </c>
      <c r="B146" s="0" t="str">
        <f aca="false">IF(A146="","",IF(MATCH(A146,$A$2:$A$3201,0)=ROW()-1,1,0))</f>
        <v/>
      </c>
      <c r="C146" s="0" t="str">
        <f aca="false">IF(B146=1,MAX(C$1:C145)+1,"")</f>
        <v/>
      </c>
    </row>
    <row r="147" customFormat="false" ht="15" hidden="false" customHeight="false" outlineLevel="0" collapsed="false">
      <c r="A147" s="0" t="str">
        <f aca="false">IF(DECKS!B147="","",DECKS!B147)</f>
        <v/>
      </c>
      <c r="B147" s="0" t="str">
        <f aca="false">IF(A147="","",IF(MATCH(A147,$A$2:$A$3201,0)=ROW()-1,1,0))</f>
        <v/>
      </c>
      <c r="C147" s="0" t="str">
        <f aca="false">IF(B147=1,MAX(C$1:C146)+1,"")</f>
        <v/>
      </c>
    </row>
    <row r="148" customFormat="false" ht="15" hidden="false" customHeight="false" outlineLevel="0" collapsed="false">
      <c r="A148" s="0" t="str">
        <f aca="false">IF(DECKS!B148="","",DECKS!B148)</f>
        <v/>
      </c>
      <c r="B148" s="0" t="str">
        <f aca="false">IF(A148="","",IF(MATCH(A148,$A$2:$A$3201,0)=ROW()-1,1,0))</f>
        <v/>
      </c>
      <c r="C148" s="0" t="str">
        <f aca="false">IF(B148=1,MAX(C$1:C147)+1,"")</f>
        <v/>
      </c>
    </row>
    <row r="149" customFormat="false" ht="15" hidden="false" customHeight="false" outlineLevel="0" collapsed="false">
      <c r="A149" s="0" t="str">
        <f aca="false">IF(DECKS!B149="","",DECKS!B149)</f>
        <v/>
      </c>
      <c r="B149" s="0" t="str">
        <f aca="false">IF(A149="","",IF(MATCH(A149,$A$2:$A$3201,0)=ROW()-1,1,0))</f>
        <v/>
      </c>
      <c r="C149" s="0" t="str">
        <f aca="false">IF(B149=1,MAX(C$1:C148)+1,"")</f>
        <v/>
      </c>
    </row>
    <row r="150" customFormat="false" ht="15" hidden="false" customHeight="false" outlineLevel="0" collapsed="false">
      <c r="A150" s="0" t="str">
        <f aca="false">IF(DECKS!B150="","",DECKS!B150)</f>
        <v/>
      </c>
      <c r="B150" s="0" t="str">
        <f aca="false">IF(A150="","",IF(MATCH(A150,$A$2:$A$3201,0)=ROW()-1,1,0))</f>
        <v/>
      </c>
      <c r="C150" s="0" t="str">
        <f aca="false">IF(B150=1,MAX(C$1:C149)+1,"")</f>
        <v/>
      </c>
    </row>
    <row r="151" customFormat="false" ht="15" hidden="false" customHeight="false" outlineLevel="0" collapsed="false">
      <c r="A151" s="0" t="str">
        <f aca="false">IF(DECKS!B151="","",DECKS!B151)</f>
        <v/>
      </c>
      <c r="B151" s="0" t="str">
        <f aca="false">IF(A151="","",IF(MATCH(A151,$A$2:$A$3201,0)=ROW()-1,1,0))</f>
        <v/>
      </c>
      <c r="C151" s="0" t="str">
        <f aca="false">IF(B151=1,MAX(C$1:C150)+1,"")</f>
        <v/>
      </c>
    </row>
    <row r="152" customFormat="false" ht="15" hidden="false" customHeight="false" outlineLevel="0" collapsed="false">
      <c r="A152" s="0" t="str">
        <f aca="false">IF(DECKS!B152="","",DECKS!B152)</f>
        <v/>
      </c>
      <c r="B152" s="0" t="str">
        <f aca="false">IF(A152="","",IF(MATCH(A152,$A$2:$A$3201,0)=ROW()-1,1,0))</f>
        <v/>
      </c>
      <c r="C152" s="0" t="str">
        <f aca="false">IF(B152=1,MAX(C$1:C151)+1,"")</f>
        <v/>
      </c>
    </row>
    <row r="153" customFormat="false" ht="15" hidden="false" customHeight="false" outlineLevel="0" collapsed="false">
      <c r="A153" s="0" t="str">
        <f aca="false">IF(DECKS!B153="","",DECKS!B153)</f>
        <v/>
      </c>
      <c r="B153" s="0" t="str">
        <f aca="false">IF(A153="","",IF(MATCH(A153,$A$2:$A$3201,0)=ROW()-1,1,0))</f>
        <v/>
      </c>
      <c r="C153" s="0" t="str">
        <f aca="false">IF(B153=1,MAX(C$1:C152)+1,"")</f>
        <v/>
      </c>
    </row>
    <row r="154" customFormat="false" ht="15" hidden="false" customHeight="false" outlineLevel="0" collapsed="false">
      <c r="A154" s="0" t="str">
        <f aca="false">IF(DECKS!B154="","",DECKS!B154)</f>
        <v/>
      </c>
      <c r="B154" s="0" t="str">
        <f aca="false">IF(A154="","",IF(MATCH(A154,$A$2:$A$3201,0)=ROW()-1,1,0))</f>
        <v/>
      </c>
      <c r="C154" s="0" t="str">
        <f aca="false">IF(B154=1,MAX(C$1:C153)+1,"")</f>
        <v/>
      </c>
    </row>
    <row r="155" customFormat="false" ht="15" hidden="false" customHeight="false" outlineLevel="0" collapsed="false">
      <c r="A155" s="0" t="str">
        <f aca="false">IF(DECKS!B155="","",DECKS!B155)</f>
        <v/>
      </c>
      <c r="B155" s="0" t="str">
        <f aca="false">IF(A155="","",IF(MATCH(A155,$A$2:$A$3201,0)=ROW()-1,1,0))</f>
        <v/>
      </c>
      <c r="C155" s="0" t="str">
        <f aca="false">IF(B155=1,MAX(C$1:C154)+1,"")</f>
        <v/>
      </c>
    </row>
    <row r="156" customFormat="false" ht="15" hidden="false" customHeight="false" outlineLevel="0" collapsed="false">
      <c r="A156" s="0" t="str">
        <f aca="false">IF(DECKS!B156="","",DECKS!B156)</f>
        <v/>
      </c>
      <c r="B156" s="0" t="str">
        <f aca="false">IF(A156="","",IF(MATCH(A156,$A$2:$A$3201,0)=ROW()-1,1,0))</f>
        <v/>
      </c>
      <c r="C156" s="0" t="str">
        <f aca="false">IF(B156=1,MAX(C$1:C155)+1,"")</f>
        <v/>
      </c>
    </row>
    <row r="157" customFormat="false" ht="15" hidden="false" customHeight="false" outlineLevel="0" collapsed="false">
      <c r="A157" s="0" t="str">
        <f aca="false">IF(DECKS!B157="","",DECKS!B157)</f>
        <v/>
      </c>
      <c r="B157" s="0" t="str">
        <f aca="false">IF(A157="","",IF(MATCH(A157,$A$2:$A$3201,0)=ROW()-1,1,0))</f>
        <v/>
      </c>
      <c r="C157" s="0" t="str">
        <f aca="false">IF(B157=1,MAX(C$1:C156)+1,"")</f>
        <v/>
      </c>
    </row>
    <row r="158" customFormat="false" ht="15" hidden="false" customHeight="false" outlineLevel="0" collapsed="false">
      <c r="A158" s="0" t="str">
        <f aca="false">IF(DECKS!B158="","",DECKS!B158)</f>
        <v/>
      </c>
      <c r="B158" s="0" t="str">
        <f aca="false">IF(A158="","",IF(MATCH(A158,$A$2:$A$3201,0)=ROW()-1,1,0))</f>
        <v/>
      </c>
      <c r="C158" s="0" t="str">
        <f aca="false">IF(B158=1,MAX(C$1:C157)+1,"")</f>
        <v/>
      </c>
    </row>
    <row r="159" customFormat="false" ht="15" hidden="false" customHeight="false" outlineLevel="0" collapsed="false">
      <c r="A159" s="0" t="str">
        <f aca="false">IF(DECKS!B159="","",DECKS!B159)</f>
        <v/>
      </c>
      <c r="B159" s="0" t="str">
        <f aca="false">IF(A159="","",IF(MATCH(A159,$A$2:$A$3201,0)=ROW()-1,1,0))</f>
        <v/>
      </c>
      <c r="C159" s="0" t="str">
        <f aca="false">IF(B159=1,MAX(C$1:C158)+1,"")</f>
        <v/>
      </c>
    </row>
    <row r="160" customFormat="false" ht="15" hidden="false" customHeight="false" outlineLevel="0" collapsed="false">
      <c r="A160" s="0" t="str">
        <f aca="false">IF(DECKS!B160="","",DECKS!B160)</f>
        <v/>
      </c>
      <c r="B160" s="0" t="str">
        <f aca="false">IF(A160="","",IF(MATCH(A160,$A$2:$A$3201,0)=ROW()-1,1,0))</f>
        <v/>
      </c>
      <c r="C160" s="0" t="str">
        <f aca="false">IF(B160=1,MAX(C$1:C159)+1,"")</f>
        <v/>
      </c>
    </row>
    <row r="161" customFormat="false" ht="15" hidden="false" customHeight="false" outlineLevel="0" collapsed="false">
      <c r="A161" s="0" t="str">
        <f aca="false">IF(DECKS!B161="","",DECKS!B161)</f>
        <v/>
      </c>
      <c r="B161" s="0" t="str">
        <f aca="false">IF(A161="","",IF(MATCH(A161,$A$2:$A$3201,0)=ROW()-1,1,0))</f>
        <v/>
      </c>
      <c r="C161" s="0" t="str">
        <f aca="false">IF(B161=1,MAX(C$1:C160)+1,"")</f>
        <v/>
      </c>
    </row>
    <row r="162" customFormat="false" ht="15" hidden="false" customHeight="false" outlineLevel="0" collapsed="false">
      <c r="A162" s="0" t="str">
        <f aca="false">IF(DECKS!B162="","",DECKS!B162)</f>
        <v/>
      </c>
      <c r="B162" s="0" t="str">
        <f aca="false">IF(A162="","",IF(MATCH(A162,$A$2:$A$3201,0)=ROW()-1,1,0))</f>
        <v/>
      </c>
      <c r="C162" s="0" t="str">
        <f aca="false">IF(B162=1,MAX(C$1:C161)+1,"")</f>
        <v/>
      </c>
    </row>
    <row r="163" customFormat="false" ht="15" hidden="false" customHeight="false" outlineLevel="0" collapsed="false">
      <c r="A163" s="0" t="str">
        <f aca="false">IF(DECKS!B163="","",DECKS!B163)</f>
        <v/>
      </c>
      <c r="B163" s="0" t="str">
        <f aca="false">IF(A163="","",IF(MATCH(A163,$A$2:$A$3201,0)=ROW()-1,1,0))</f>
        <v/>
      </c>
      <c r="C163" s="0" t="str">
        <f aca="false">IF(B163=1,MAX(C$1:C162)+1,"")</f>
        <v/>
      </c>
    </row>
    <row r="164" customFormat="false" ht="15" hidden="false" customHeight="false" outlineLevel="0" collapsed="false">
      <c r="A164" s="0" t="str">
        <f aca="false">IF(DECKS!B164="","",DECKS!B164)</f>
        <v/>
      </c>
      <c r="B164" s="0" t="str">
        <f aca="false">IF(A164="","",IF(MATCH(A164,$A$2:$A$3201,0)=ROW()-1,1,0))</f>
        <v/>
      </c>
      <c r="C164" s="0" t="str">
        <f aca="false">IF(B164=1,MAX(C$1:C163)+1,"")</f>
        <v/>
      </c>
    </row>
    <row r="165" customFormat="false" ht="15" hidden="false" customHeight="false" outlineLevel="0" collapsed="false">
      <c r="A165" s="0" t="str">
        <f aca="false">IF(DECKS!B165="","",DECKS!B165)</f>
        <v/>
      </c>
      <c r="B165" s="0" t="str">
        <f aca="false">IF(A165="","",IF(MATCH(A165,$A$2:$A$3201,0)=ROW()-1,1,0))</f>
        <v/>
      </c>
      <c r="C165" s="0" t="str">
        <f aca="false">IF(B165=1,MAX(C$1:C164)+1,"")</f>
        <v/>
      </c>
    </row>
    <row r="166" customFormat="false" ht="15" hidden="false" customHeight="false" outlineLevel="0" collapsed="false">
      <c r="A166" s="0" t="str">
        <f aca="false">IF(DECKS!B166="","",DECKS!B166)</f>
        <v/>
      </c>
      <c r="B166" s="0" t="str">
        <f aca="false">IF(A166="","",IF(MATCH(A166,$A$2:$A$3201,0)=ROW()-1,1,0))</f>
        <v/>
      </c>
      <c r="C166" s="0" t="str">
        <f aca="false">IF(B166=1,MAX(C$1:C165)+1,"")</f>
        <v/>
      </c>
    </row>
    <row r="167" customFormat="false" ht="15" hidden="false" customHeight="false" outlineLevel="0" collapsed="false">
      <c r="A167" s="0" t="str">
        <f aca="false">IF(DECKS!B167="","",DECKS!B167)</f>
        <v/>
      </c>
      <c r="B167" s="0" t="str">
        <f aca="false">IF(A167="","",IF(MATCH(A167,$A$2:$A$3201,0)=ROW()-1,1,0))</f>
        <v/>
      </c>
      <c r="C167" s="0" t="str">
        <f aca="false">IF(B167=1,MAX(C$1:C166)+1,"")</f>
        <v/>
      </c>
    </row>
    <row r="168" customFormat="false" ht="15" hidden="false" customHeight="false" outlineLevel="0" collapsed="false">
      <c r="A168" s="0" t="str">
        <f aca="false">IF(DECKS!B168="","",DECKS!B168)</f>
        <v/>
      </c>
      <c r="B168" s="0" t="str">
        <f aca="false">IF(A168="","",IF(MATCH(A168,$A$2:$A$3201,0)=ROW()-1,1,0))</f>
        <v/>
      </c>
      <c r="C168" s="0" t="str">
        <f aca="false">IF(B168=1,MAX(C$1:C167)+1,"")</f>
        <v/>
      </c>
    </row>
    <row r="169" customFormat="false" ht="15" hidden="false" customHeight="false" outlineLevel="0" collapsed="false">
      <c r="A169" s="0" t="str">
        <f aca="false">IF(DECKS!B169="","",DECKS!B169)</f>
        <v/>
      </c>
      <c r="B169" s="0" t="str">
        <f aca="false">IF(A169="","",IF(MATCH(A169,$A$2:$A$3201,0)=ROW()-1,1,0))</f>
        <v/>
      </c>
      <c r="C169" s="0" t="str">
        <f aca="false">IF(B169=1,MAX(C$1:C168)+1,"")</f>
        <v/>
      </c>
    </row>
    <row r="170" customFormat="false" ht="15" hidden="false" customHeight="false" outlineLevel="0" collapsed="false">
      <c r="A170" s="0" t="str">
        <f aca="false">IF(DECKS!B170="","",DECKS!B170)</f>
        <v/>
      </c>
      <c r="B170" s="0" t="str">
        <f aca="false">IF(A170="","",IF(MATCH(A170,$A$2:$A$3201,0)=ROW()-1,1,0))</f>
        <v/>
      </c>
      <c r="C170" s="0" t="str">
        <f aca="false">IF(B170=1,MAX(C$1:C169)+1,"")</f>
        <v/>
      </c>
    </row>
    <row r="171" customFormat="false" ht="15" hidden="false" customHeight="false" outlineLevel="0" collapsed="false">
      <c r="A171" s="0" t="str">
        <f aca="false">IF(DECKS!B171="","",DECKS!B171)</f>
        <v/>
      </c>
      <c r="B171" s="0" t="str">
        <f aca="false">IF(A171="","",IF(MATCH(A171,$A$2:$A$3201,0)=ROW()-1,1,0))</f>
        <v/>
      </c>
      <c r="C171" s="0" t="str">
        <f aca="false">IF(B171=1,MAX(C$1:C170)+1,"")</f>
        <v/>
      </c>
    </row>
    <row r="172" customFormat="false" ht="15" hidden="false" customHeight="false" outlineLevel="0" collapsed="false">
      <c r="A172" s="0" t="str">
        <f aca="false">IF(DECKS!B172="","",DECKS!B172)</f>
        <v/>
      </c>
      <c r="B172" s="0" t="str">
        <f aca="false">IF(A172="","",IF(MATCH(A172,$A$2:$A$3201,0)=ROW()-1,1,0))</f>
        <v/>
      </c>
      <c r="C172" s="0" t="str">
        <f aca="false">IF(B172=1,MAX(C$1:C171)+1,"")</f>
        <v/>
      </c>
    </row>
    <row r="173" customFormat="false" ht="15" hidden="false" customHeight="false" outlineLevel="0" collapsed="false">
      <c r="A173" s="0" t="str">
        <f aca="false">IF(DECKS!B173="","",DECKS!B173)</f>
        <v/>
      </c>
      <c r="B173" s="0" t="str">
        <f aca="false">IF(A173="","",IF(MATCH(A173,$A$2:$A$3201,0)=ROW()-1,1,0))</f>
        <v/>
      </c>
      <c r="C173" s="0" t="str">
        <f aca="false">IF(B173=1,MAX(C$1:C172)+1,"")</f>
        <v/>
      </c>
    </row>
    <row r="174" customFormat="false" ht="15" hidden="false" customHeight="false" outlineLevel="0" collapsed="false">
      <c r="A174" s="0" t="str">
        <f aca="false">IF(DECKS!B174="","",DECKS!B174)</f>
        <v/>
      </c>
      <c r="B174" s="0" t="str">
        <f aca="false">IF(A174="","",IF(MATCH(A174,$A$2:$A$3201,0)=ROW()-1,1,0))</f>
        <v/>
      </c>
      <c r="C174" s="0" t="str">
        <f aca="false">IF(B174=1,MAX(C$1:C173)+1,"")</f>
        <v/>
      </c>
    </row>
    <row r="175" customFormat="false" ht="15" hidden="false" customHeight="false" outlineLevel="0" collapsed="false">
      <c r="A175" s="0" t="str">
        <f aca="false">IF(DECKS!B175="","",DECKS!B175)</f>
        <v/>
      </c>
      <c r="B175" s="0" t="str">
        <f aca="false">IF(A175="","",IF(MATCH(A175,$A$2:$A$3201,0)=ROW()-1,1,0))</f>
        <v/>
      </c>
      <c r="C175" s="0" t="str">
        <f aca="false">IF(B175=1,MAX(C$1:C174)+1,"")</f>
        <v/>
      </c>
    </row>
    <row r="176" customFormat="false" ht="15" hidden="false" customHeight="false" outlineLevel="0" collapsed="false">
      <c r="A176" s="0" t="str">
        <f aca="false">IF(DECKS!B176="","",DECKS!B176)</f>
        <v/>
      </c>
      <c r="B176" s="0" t="str">
        <f aca="false">IF(A176="","",IF(MATCH(A176,$A$2:$A$3201,0)=ROW()-1,1,0))</f>
        <v/>
      </c>
      <c r="C176" s="0" t="str">
        <f aca="false">IF(B176=1,MAX(C$1:C175)+1,"")</f>
        <v/>
      </c>
    </row>
    <row r="177" customFormat="false" ht="15" hidden="false" customHeight="false" outlineLevel="0" collapsed="false">
      <c r="A177" s="0" t="str">
        <f aca="false">IF(DECKS!B177="","",DECKS!B177)</f>
        <v/>
      </c>
      <c r="B177" s="0" t="str">
        <f aca="false">IF(A177="","",IF(MATCH(A177,$A$2:$A$3201,0)=ROW()-1,1,0))</f>
        <v/>
      </c>
      <c r="C177" s="0" t="str">
        <f aca="false">IF(B177=1,MAX(C$1:C176)+1,"")</f>
        <v/>
      </c>
    </row>
    <row r="178" customFormat="false" ht="15" hidden="false" customHeight="false" outlineLevel="0" collapsed="false">
      <c r="A178" s="0" t="str">
        <f aca="false">IF(DECKS!B178="","",DECKS!B178)</f>
        <v/>
      </c>
      <c r="B178" s="0" t="str">
        <f aca="false">IF(A178="","",IF(MATCH(A178,$A$2:$A$3201,0)=ROW()-1,1,0))</f>
        <v/>
      </c>
      <c r="C178" s="0" t="str">
        <f aca="false">IF(B178=1,MAX(C$1:C177)+1,"")</f>
        <v/>
      </c>
    </row>
    <row r="179" customFormat="false" ht="15" hidden="false" customHeight="false" outlineLevel="0" collapsed="false">
      <c r="A179" s="0" t="str">
        <f aca="false">IF(DECKS!B179="","",DECKS!B179)</f>
        <v/>
      </c>
      <c r="B179" s="0" t="str">
        <f aca="false">IF(A179="","",IF(MATCH(A179,$A$2:$A$3201,0)=ROW()-1,1,0))</f>
        <v/>
      </c>
      <c r="C179" s="0" t="str">
        <f aca="false">IF(B179=1,MAX(C$1:C178)+1,"")</f>
        <v/>
      </c>
    </row>
    <row r="180" customFormat="false" ht="15" hidden="false" customHeight="false" outlineLevel="0" collapsed="false">
      <c r="A180" s="0" t="str">
        <f aca="false">IF(DECKS!B180="","",DECKS!B180)</f>
        <v/>
      </c>
      <c r="B180" s="0" t="str">
        <f aca="false">IF(A180="","",IF(MATCH(A180,$A$2:$A$3201,0)=ROW()-1,1,0))</f>
        <v/>
      </c>
      <c r="C180" s="0" t="str">
        <f aca="false">IF(B180=1,MAX(C$1:C179)+1,"")</f>
        <v/>
      </c>
    </row>
    <row r="181" customFormat="false" ht="15" hidden="false" customHeight="false" outlineLevel="0" collapsed="false">
      <c r="A181" s="0" t="str">
        <f aca="false">IF(DECKS!B181="","",DECKS!B181)</f>
        <v/>
      </c>
      <c r="B181" s="0" t="str">
        <f aca="false">IF(A181="","",IF(MATCH(A181,$A$2:$A$3201,0)=ROW()-1,1,0))</f>
        <v/>
      </c>
      <c r="C181" s="0" t="str">
        <f aca="false">IF(B181=1,MAX(C$1:C180)+1,"")</f>
        <v/>
      </c>
    </row>
    <row r="182" customFormat="false" ht="15" hidden="false" customHeight="false" outlineLevel="0" collapsed="false">
      <c r="A182" s="0" t="str">
        <f aca="false">IF(DECKS!B182="","",DECKS!B182)</f>
        <v/>
      </c>
      <c r="B182" s="0" t="str">
        <f aca="false">IF(A182="","",IF(MATCH(A182,$A$2:$A$3201,0)=ROW()-1,1,0))</f>
        <v/>
      </c>
      <c r="C182" s="0" t="str">
        <f aca="false">IF(B182=1,MAX(C$1:C181)+1,"")</f>
        <v/>
      </c>
    </row>
    <row r="183" customFormat="false" ht="15" hidden="false" customHeight="false" outlineLevel="0" collapsed="false">
      <c r="A183" s="0" t="str">
        <f aca="false">IF(DECKS!B183="","",DECKS!B183)</f>
        <v/>
      </c>
      <c r="B183" s="0" t="str">
        <f aca="false">IF(A183="","",IF(MATCH(A183,$A$2:$A$3201,0)=ROW()-1,1,0))</f>
        <v/>
      </c>
      <c r="C183" s="0" t="str">
        <f aca="false">IF(B183=1,MAX(C$1:C182)+1,"")</f>
        <v/>
      </c>
    </row>
    <row r="184" customFormat="false" ht="15" hidden="false" customHeight="false" outlineLevel="0" collapsed="false">
      <c r="A184" s="0" t="str">
        <f aca="false">IF(DECKS!B184="","",DECKS!B184)</f>
        <v/>
      </c>
      <c r="B184" s="0" t="str">
        <f aca="false">IF(A184="","",IF(MATCH(A184,$A$2:$A$3201,0)=ROW()-1,1,0))</f>
        <v/>
      </c>
      <c r="C184" s="0" t="str">
        <f aca="false">IF(B184=1,MAX(C$1:C183)+1,"")</f>
        <v/>
      </c>
    </row>
    <row r="185" customFormat="false" ht="15" hidden="false" customHeight="false" outlineLevel="0" collapsed="false">
      <c r="A185" s="0" t="str">
        <f aca="false">IF(DECKS!B185="","",DECKS!B185)</f>
        <v/>
      </c>
      <c r="B185" s="0" t="str">
        <f aca="false">IF(A185="","",IF(MATCH(A185,$A$2:$A$3201,0)=ROW()-1,1,0))</f>
        <v/>
      </c>
      <c r="C185" s="0" t="str">
        <f aca="false">IF(B185=1,MAX(C$1:C184)+1,"")</f>
        <v/>
      </c>
    </row>
    <row r="186" customFormat="false" ht="15" hidden="false" customHeight="false" outlineLevel="0" collapsed="false">
      <c r="A186" s="0" t="str">
        <f aca="false">IF(DECKS!B186="","",DECKS!B186)</f>
        <v/>
      </c>
      <c r="B186" s="0" t="str">
        <f aca="false">IF(A186="","",IF(MATCH(A186,$A$2:$A$3201,0)=ROW()-1,1,0))</f>
        <v/>
      </c>
      <c r="C186" s="0" t="str">
        <f aca="false">IF(B186=1,MAX(C$1:C185)+1,"")</f>
        <v/>
      </c>
    </row>
    <row r="187" customFormat="false" ht="15" hidden="false" customHeight="false" outlineLevel="0" collapsed="false">
      <c r="A187" s="0" t="str">
        <f aca="false">IF(DECKS!B187="","",DECKS!B187)</f>
        <v/>
      </c>
      <c r="B187" s="0" t="str">
        <f aca="false">IF(A187="","",IF(MATCH(A187,$A$2:$A$3201,0)=ROW()-1,1,0))</f>
        <v/>
      </c>
      <c r="C187" s="0" t="str">
        <f aca="false">IF(B187=1,MAX(C$1:C186)+1,"")</f>
        <v/>
      </c>
    </row>
    <row r="188" customFormat="false" ht="15" hidden="false" customHeight="false" outlineLevel="0" collapsed="false">
      <c r="A188" s="0" t="str">
        <f aca="false">IF(DECKS!B188="","",DECKS!B188)</f>
        <v/>
      </c>
      <c r="B188" s="0" t="str">
        <f aca="false">IF(A188="","",IF(MATCH(A188,$A$2:$A$3201,0)=ROW()-1,1,0))</f>
        <v/>
      </c>
      <c r="C188" s="0" t="str">
        <f aca="false">IF(B188=1,MAX(C$1:C187)+1,"")</f>
        <v/>
      </c>
    </row>
    <row r="189" customFormat="false" ht="15" hidden="false" customHeight="false" outlineLevel="0" collapsed="false">
      <c r="A189" s="0" t="str">
        <f aca="false">IF(DECKS!B189="","",DECKS!B189)</f>
        <v/>
      </c>
      <c r="B189" s="0" t="str">
        <f aca="false">IF(A189="","",IF(MATCH(A189,$A$2:$A$3201,0)=ROW()-1,1,0))</f>
        <v/>
      </c>
      <c r="C189" s="0" t="str">
        <f aca="false">IF(B189=1,MAX(C$1:C188)+1,"")</f>
        <v/>
      </c>
    </row>
    <row r="190" customFormat="false" ht="15" hidden="false" customHeight="false" outlineLevel="0" collapsed="false">
      <c r="A190" s="0" t="str">
        <f aca="false">IF(DECKS!B190="","",DECKS!B190)</f>
        <v/>
      </c>
      <c r="B190" s="0" t="str">
        <f aca="false">IF(A190="","",IF(MATCH(A190,$A$2:$A$3201,0)=ROW()-1,1,0))</f>
        <v/>
      </c>
      <c r="C190" s="0" t="str">
        <f aca="false">IF(B190=1,MAX(C$1:C189)+1,"")</f>
        <v/>
      </c>
    </row>
    <row r="191" customFormat="false" ht="15" hidden="false" customHeight="false" outlineLevel="0" collapsed="false">
      <c r="A191" s="0" t="str">
        <f aca="false">IF(DECKS!B191="","",DECKS!B191)</f>
        <v/>
      </c>
      <c r="B191" s="0" t="str">
        <f aca="false">IF(A191="","",IF(MATCH(A191,$A$2:$A$3201,0)=ROW()-1,1,0))</f>
        <v/>
      </c>
      <c r="C191" s="0" t="str">
        <f aca="false">IF(B191=1,MAX(C$1:C190)+1,"")</f>
        <v/>
      </c>
    </row>
    <row r="192" customFormat="false" ht="15" hidden="false" customHeight="false" outlineLevel="0" collapsed="false">
      <c r="A192" s="0" t="str">
        <f aca="false">IF(DECKS!B192="","",DECKS!B192)</f>
        <v/>
      </c>
      <c r="B192" s="0" t="str">
        <f aca="false">IF(A192="","",IF(MATCH(A192,$A$2:$A$3201,0)=ROW()-1,1,0))</f>
        <v/>
      </c>
      <c r="C192" s="0" t="str">
        <f aca="false">IF(B192=1,MAX(C$1:C191)+1,"")</f>
        <v/>
      </c>
    </row>
    <row r="193" customFormat="false" ht="15" hidden="false" customHeight="false" outlineLevel="0" collapsed="false">
      <c r="A193" s="0" t="str">
        <f aca="false">IF(DECKS!B193="","",DECKS!B193)</f>
        <v/>
      </c>
      <c r="B193" s="0" t="str">
        <f aca="false">IF(A193="","",IF(MATCH(A193,$A$2:$A$3201,0)=ROW()-1,1,0))</f>
        <v/>
      </c>
      <c r="C193" s="0" t="str">
        <f aca="false">IF(B193=1,MAX(C$1:C192)+1,"")</f>
        <v/>
      </c>
    </row>
    <row r="194" customFormat="false" ht="15" hidden="false" customHeight="false" outlineLevel="0" collapsed="false">
      <c r="A194" s="0" t="str">
        <f aca="false">IF(DECKS!B194="","",DECKS!B194)</f>
        <v/>
      </c>
      <c r="B194" s="0" t="str">
        <f aca="false">IF(A194="","",IF(MATCH(A194,$A$2:$A$3201,0)=ROW()-1,1,0))</f>
        <v/>
      </c>
      <c r="C194" s="0" t="str">
        <f aca="false">IF(B194=1,MAX(C$1:C193)+1,"")</f>
        <v/>
      </c>
    </row>
    <row r="195" customFormat="false" ht="15" hidden="false" customHeight="false" outlineLevel="0" collapsed="false">
      <c r="A195" s="0" t="str">
        <f aca="false">IF(DECKS!B195="","",DECKS!B195)</f>
        <v/>
      </c>
      <c r="B195" s="0" t="str">
        <f aca="false">IF(A195="","",IF(MATCH(A195,$A$2:$A$3201,0)=ROW()-1,1,0))</f>
        <v/>
      </c>
      <c r="C195" s="0" t="str">
        <f aca="false">IF(B195=1,MAX(C$1:C194)+1,"")</f>
        <v/>
      </c>
    </row>
    <row r="196" customFormat="false" ht="15" hidden="false" customHeight="false" outlineLevel="0" collapsed="false">
      <c r="A196" s="0" t="str">
        <f aca="false">IF(DECKS!B196="","",DECKS!B196)</f>
        <v/>
      </c>
      <c r="B196" s="0" t="str">
        <f aca="false">IF(A196="","",IF(MATCH(A196,$A$2:$A$3201,0)=ROW()-1,1,0))</f>
        <v/>
      </c>
      <c r="C196" s="0" t="str">
        <f aca="false">IF(B196=1,MAX(C$1:C195)+1,"")</f>
        <v/>
      </c>
    </row>
    <row r="197" customFormat="false" ht="15" hidden="false" customHeight="false" outlineLevel="0" collapsed="false">
      <c r="A197" s="0" t="str">
        <f aca="false">IF(DECKS!B197="","",DECKS!B197)</f>
        <v/>
      </c>
      <c r="B197" s="0" t="str">
        <f aca="false">IF(A197="","",IF(MATCH(A197,$A$2:$A$3201,0)=ROW()-1,1,0))</f>
        <v/>
      </c>
      <c r="C197" s="0" t="str">
        <f aca="false">IF(B197=1,MAX(C$1:C196)+1,"")</f>
        <v/>
      </c>
    </row>
    <row r="198" customFormat="false" ht="15" hidden="false" customHeight="false" outlineLevel="0" collapsed="false">
      <c r="A198" s="0" t="str">
        <f aca="false">IF(DECKS!B198="","",DECKS!B198)</f>
        <v/>
      </c>
      <c r="B198" s="0" t="str">
        <f aca="false">IF(A198="","",IF(MATCH(A198,$A$2:$A$3201,0)=ROW()-1,1,0))</f>
        <v/>
      </c>
      <c r="C198" s="0" t="str">
        <f aca="false">IF(B198=1,MAX(C$1:C197)+1,"")</f>
        <v/>
      </c>
    </row>
    <row r="199" customFormat="false" ht="15" hidden="false" customHeight="false" outlineLevel="0" collapsed="false">
      <c r="A199" s="0" t="str">
        <f aca="false">IF(DECKS!B199="","",DECKS!B199)</f>
        <v/>
      </c>
      <c r="B199" s="0" t="str">
        <f aca="false">IF(A199="","",IF(MATCH(A199,$A$2:$A$3201,0)=ROW()-1,1,0))</f>
        <v/>
      </c>
      <c r="C199" s="0" t="str">
        <f aca="false">IF(B199=1,MAX(C$1:C198)+1,"")</f>
        <v/>
      </c>
    </row>
    <row r="200" customFormat="false" ht="15" hidden="false" customHeight="false" outlineLevel="0" collapsed="false">
      <c r="A200" s="0" t="str">
        <f aca="false">IF(DECKS!B200="","",DECKS!B200)</f>
        <v/>
      </c>
      <c r="B200" s="0" t="str">
        <f aca="false">IF(A200="","",IF(MATCH(A200,$A$2:$A$3201,0)=ROW()-1,1,0))</f>
        <v/>
      </c>
      <c r="C200" s="0" t="str">
        <f aca="false">IF(B200=1,MAX(C$1:C199)+1,"")</f>
        <v/>
      </c>
    </row>
    <row r="201" customFormat="false" ht="15" hidden="false" customHeight="false" outlineLevel="0" collapsed="false">
      <c r="A201" s="0" t="str">
        <f aca="false">IF(DECKS!B201="","",DECKS!B201)</f>
        <v/>
      </c>
      <c r="B201" s="0" t="str">
        <f aca="false">IF(A201="","",IF(MATCH(A201,$A$2:$A$3201,0)=ROW()-1,1,0))</f>
        <v/>
      </c>
      <c r="C201" s="0" t="str">
        <f aca="false">IF(B201=1,MAX(C$1:C200)+1,"")</f>
        <v/>
      </c>
    </row>
    <row r="202" customFormat="false" ht="15" hidden="false" customHeight="false" outlineLevel="0" collapsed="false">
      <c r="A202" s="0" t="str">
        <f aca="false">IF(DECKS!B202="","",DECKS!B202)</f>
        <v/>
      </c>
      <c r="B202" s="0" t="str">
        <f aca="false">IF(A202="","",IF(MATCH(A202,$A$2:$A$3201,0)=ROW()-1,1,0))</f>
        <v/>
      </c>
      <c r="C202" s="0" t="str">
        <f aca="false">IF(B202=1,MAX(C$1:C201)+1,"")</f>
        <v/>
      </c>
    </row>
    <row r="203" customFormat="false" ht="15" hidden="false" customHeight="false" outlineLevel="0" collapsed="false">
      <c r="A203" s="0" t="str">
        <f aca="false">IF(DECKS!B203="","",DECKS!B203)</f>
        <v/>
      </c>
      <c r="B203" s="0" t="str">
        <f aca="false">IF(A203="","",IF(MATCH(A203,$A$2:$A$3201,0)=ROW()-1,1,0))</f>
        <v/>
      </c>
      <c r="C203" s="0" t="str">
        <f aca="false">IF(B203=1,MAX(C$1:C202)+1,"")</f>
        <v/>
      </c>
    </row>
    <row r="204" customFormat="false" ht="15" hidden="false" customHeight="false" outlineLevel="0" collapsed="false">
      <c r="A204" s="0" t="str">
        <f aca="false">IF(DECKS!B204="","",DECKS!B204)</f>
        <v/>
      </c>
      <c r="B204" s="0" t="str">
        <f aca="false">IF(A204="","",IF(MATCH(A204,$A$2:$A$3201,0)=ROW()-1,1,0))</f>
        <v/>
      </c>
      <c r="C204" s="0" t="str">
        <f aca="false">IF(B204=1,MAX(C$1:C203)+1,"")</f>
        <v/>
      </c>
    </row>
    <row r="205" customFormat="false" ht="15" hidden="false" customHeight="false" outlineLevel="0" collapsed="false">
      <c r="A205" s="0" t="str">
        <f aca="false">IF(DECKS!B205="","",DECKS!B205)</f>
        <v/>
      </c>
      <c r="B205" s="0" t="str">
        <f aca="false">IF(A205="","",IF(MATCH(A205,$A$2:$A$3201,0)=ROW()-1,1,0))</f>
        <v/>
      </c>
      <c r="C205" s="0" t="str">
        <f aca="false">IF(B205=1,MAX(C$1:C204)+1,"")</f>
        <v/>
      </c>
    </row>
    <row r="206" customFormat="false" ht="15" hidden="false" customHeight="false" outlineLevel="0" collapsed="false">
      <c r="A206" s="0" t="str">
        <f aca="false">IF(DECKS!B206="","",DECKS!B206)</f>
        <v/>
      </c>
      <c r="B206" s="0" t="str">
        <f aca="false">IF(A206="","",IF(MATCH(A206,$A$2:$A$3201,0)=ROW()-1,1,0))</f>
        <v/>
      </c>
      <c r="C206" s="0" t="str">
        <f aca="false">IF(B206=1,MAX(C$1:C205)+1,"")</f>
        <v/>
      </c>
    </row>
    <row r="207" customFormat="false" ht="15" hidden="false" customHeight="false" outlineLevel="0" collapsed="false">
      <c r="A207" s="0" t="str">
        <f aca="false">IF(DECKS!B207="","",DECKS!B207)</f>
        <v/>
      </c>
      <c r="B207" s="0" t="str">
        <f aca="false">IF(A207="","",IF(MATCH(A207,$A$2:$A$3201,0)=ROW()-1,1,0))</f>
        <v/>
      </c>
      <c r="C207" s="0" t="str">
        <f aca="false">IF(B207=1,MAX(C$1:C206)+1,"")</f>
        <v/>
      </c>
    </row>
    <row r="208" customFormat="false" ht="15" hidden="false" customHeight="false" outlineLevel="0" collapsed="false">
      <c r="A208" s="0" t="str">
        <f aca="false">IF(DECKS!B208="","",DECKS!B208)</f>
        <v/>
      </c>
      <c r="B208" s="0" t="str">
        <f aca="false">IF(A208="","",IF(MATCH(A208,$A$2:$A$3201,0)=ROW()-1,1,0))</f>
        <v/>
      </c>
      <c r="C208" s="0" t="str">
        <f aca="false">IF(B208=1,MAX(C$1:C207)+1,"")</f>
        <v/>
      </c>
    </row>
    <row r="209" customFormat="false" ht="15" hidden="false" customHeight="false" outlineLevel="0" collapsed="false">
      <c r="A209" s="0" t="str">
        <f aca="false">IF(DECKS!B209="","",DECKS!B209)</f>
        <v/>
      </c>
      <c r="B209" s="0" t="str">
        <f aca="false">IF(A209="","",IF(MATCH(A209,$A$2:$A$3201,0)=ROW()-1,1,0))</f>
        <v/>
      </c>
      <c r="C209" s="0" t="str">
        <f aca="false">IF(B209=1,MAX(C$1:C208)+1,"")</f>
        <v/>
      </c>
    </row>
    <row r="210" customFormat="false" ht="15" hidden="false" customHeight="false" outlineLevel="0" collapsed="false">
      <c r="A210" s="0" t="str">
        <f aca="false">IF(DECKS!B210="","",DECKS!B210)</f>
        <v/>
      </c>
      <c r="B210" s="0" t="str">
        <f aca="false">IF(A210="","",IF(MATCH(A210,$A$2:$A$3201,0)=ROW()-1,1,0))</f>
        <v/>
      </c>
      <c r="C210" s="0" t="str">
        <f aca="false">IF(B210=1,MAX(C$1:C209)+1,"")</f>
        <v/>
      </c>
    </row>
    <row r="211" customFormat="false" ht="15" hidden="false" customHeight="false" outlineLevel="0" collapsed="false">
      <c r="A211" s="0" t="str">
        <f aca="false">IF(DECKS!B211="","",DECKS!B211)</f>
        <v/>
      </c>
      <c r="B211" s="0" t="str">
        <f aca="false">IF(A211="","",IF(MATCH(A211,$A$2:$A$3201,0)=ROW()-1,1,0))</f>
        <v/>
      </c>
      <c r="C211" s="0" t="str">
        <f aca="false">IF(B211=1,MAX(C$1:C210)+1,"")</f>
        <v/>
      </c>
    </row>
    <row r="212" customFormat="false" ht="15" hidden="false" customHeight="false" outlineLevel="0" collapsed="false">
      <c r="A212" s="0" t="str">
        <f aca="false">IF(DECKS!B212="","",DECKS!B212)</f>
        <v/>
      </c>
      <c r="B212" s="0" t="str">
        <f aca="false">IF(A212="","",IF(MATCH(A212,$A$2:$A$3201,0)=ROW()-1,1,0))</f>
        <v/>
      </c>
      <c r="C212" s="0" t="str">
        <f aca="false">IF(B212=1,MAX(C$1:C211)+1,"")</f>
        <v/>
      </c>
    </row>
    <row r="213" customFormat="false" ht="15" hidden="false" customHeight="false" outlineLevel="0" collapsed="false">
      <c r="A213" s="0" t="str">
        <f aca="false">IF(DECKS!B213="","",DECKS!B213)</f>
        <v/>
      </c>
      <c r="B213" s="0" t="str">
        <f aca="false">IF(A213="","",IF(MATCH(A213,$A$2:$A$3201,0)=ROW()-1,1,0))</f>
        <v/>
      </c>
      <c r="C213" s="0" t="str">
        <f aca="false">IF(B213=1,MAX(C$1:C212)+1,"")</f>
        <v/>
      </c>
    </row>
    <row r="214" customFormat="false" ht="15" hidden="false" customHeight="false" outlineLevel="0" collapsed="false">
      <c r="A214" s="0" t="str">
        <f aca="false">IF(DECKS!B214="","",DECKS!B214)</f>
        <v/>
      </c>
      <c r="B214" s="0" t="str">
        <f aca="false">IF(A214="","",IF(MATCH(A214,$A$2:$A$3201,0)=ROW()-1,1,0))</f>
        <v/>
      </c>
      <c r="C214" s="0" t="str">
        <f aca="false">IF(B214=1,MAX(C$1:C213)+1,"")</f>
        <v/>
      </c>
    </row>
    <row r="215" customFormat="false" ht="15" hidden="false" customHeight="false" outlineLevel="0" collapsed="false">
      <c r="A215" s="0" t="str">
        <f aca="false">IF(DECKS!B215="","",DECKS!B215)</f>
        <v/>
      </c>
      <c r="B215" s="0" t="str">
        <f aca="false">IF(A215="","",IF(MATCH(A215,$A$2:$A$3201,0)=ROW()-1,1,0))</f>
        <v/>
      </c>
      <c r="C215" s="0" t="str">
        <f aca="false">IF(B215=1,MAX(C$1:C214)+1,"")</f>
        <v/>
      </c>
    </row>
    <row r="216" customFormat="false" ht="15" hidden="false" customHeight="false" outlineLevel="0" collapsed="false">
      <c r="A216" s="0" t="str">
        <f aca="false">IF(DECKS!B216="","",DECKS!B216)</f>
        <v/>
      </c>
      <c r="B216" s="0" t="str">
        <f aca="false">IF(A216="","",IF(MATCH(A216,$A$2:$A$3201,0)=ROW()-1,1,0))</f>
        <v/>
      </c>
      <c r="C216" s="0" t="str">
        <f aca="false">IF(B216=1,MAX(C$1:C215)+1,"")</f>
        <v/>
      </c>
    </row>
    <row r="217" customFormat="false" ht="15" hidden="false" customHeight="false" outlineLevel="0" collapsed="false">
      <c r="A217" s="0" t="str">
        <f aca="false">IF(DECKS!B217="","",DECKS!B217)</f>
        <v/>
      </c>
      <c r="B217" s="0" t="str">
        <f aca="false">IF(A217="","",IF(MATCH(A217,$A$2:$A$3201,0)=ROW()-1,1,0))</f>
        <v/>
      </c>
      <c r="C217" s="0" t="str">
        <f aca="false">IF(B217=1,MAX(C$1:C216)+1,"")</f>
        <v/>
      </c>
    </row>
    <row r="218" customFormat="false" ht="15" hidden="false" customHeight="false" outlineLevel="0" collapsed="false">
      <c r="A218" s="0" t="str">
        <f aca="false">IF(DECKS!B218="","",DECKS!B218)</f>
        <v/>
      </c>
      <c r="B218" s="0" t="str">
        <f aca="false">IF(A218="","",IF(MATCH(A218,$A$2:$A$3201,0)=ROW()-1,1,0))</f>
        <v/>
      </c>
      <c r="C218" s="0" t="str">
        <f aca="false">IF(B218=1,MAX(C$1:C217)+1,"")</f>
        <v/>
      </c>
    </row>
    <row r="219" customFormat="false" ht="15" hidden="false" customHeight="false" outlineLevel="0" collapsed="false">
      <c r="A219" s="0" t="str">
        <f aca="false">IF(DECKS!B219="","",DECKS!B219)</f>
        <v/>
      </c>
      <c r="B219" s="0" t="str">
        <f aca="false">IF(A219="","",IF(MATCH(A219,$A$2:$A$3201,0)=ROW()-1,1,0))</f>
        <v/>
      </c>
      <c r="C219" s="0" t="str">
        <f aca="false">IF(B219=1,MAX(C$1:C218)+1,"")</f>
        <v/>
      </c>
    </row>
    <row r="220" customFormat="false" ht="15" hidden="false" customHeight="false" outlineLevel="0" collapsed="false">
      <c r="A220" s="0" t="str">
        <f aca="false">IF(DECKS!B220="","",DECKS!B220)</f>
        <v/>
      </c>
      <c r="B220" s="0" t="str">
        <f aca="false">IF(A220="","",IF(MATCH(A220,$A$2:$A$3201,0)=ROW()-1,1,0))</f>
        <v/>
      </c>
      <c r="C220" s="0" t="str">
        <f aca="false">IF(B220=1,MAX(C$1:C219)+1,"")</f>
        <v/>
      </c>
    </row>
    <row r="221" customFormat="false" ht="15" hidden="false" customHeight="false" outlineLevel="0" collapsed="false">
      <c r="A221" s="0" t="str">
        <f aca="false">IF(DECKS!B221="","",DECKS!B221)</f>
        <v/>
      </c>
      <c r="B221" s="0" t="str">
        <f aca="false">IF(A221="","",IF(MATCH(A221,$A$2:$A$3201,0)=ROW()-1,1,0))</f>
        <v/>
      </c>
      <c r="C221" s="0" t="str">
        <f aca="false">IF(B221=1,MAX(C$1:C220)+1,"")</f>
        <v/>
      </c>
    </row>
    <row r="222" customFormat="false" ht="15" hidden="false" customHeight="false" outlineLevel="0" collapsed="false">
      <c r="A222" s="0" t="str">
        <f aca="false">IF(DECKS!B222="","",DECKS!B222)</f>
        <v/>
      </c>
      <c r="B222" s="0" t="str">
        <f aca="false">IF(A222="","",IF(MATCH(A222,$A$2:$A$3201,0)=ROW()-1,1,0))</f>
        <v/>
      </c>
      <c r="C222" s="0" t="str">
        <f aca="false">IF(B222=1,MAX(C$1:C221)+1,"")</f>
        <v/>
      </c>
    </row>
    <row r="223" customFormat="false" ht="15" hidden="false" customHeight="false" outlineLevel="0" collapsed="false">
      <c r="A223" s="0" t="str">
        <f aca="false">IF(DECKS!B223="","",DECKS!B223)</f>
        <v/>
      </c>
      <c r="B223" s="0" t="str">
        <f aca="false">IF(A223="","",IF(MATCH(A223,$A$2:$A$3201,0)=ROW()-1,1,0))</f>
        <v/>
      </c>
      <c r="C223" s="0" t="str">
        <f aca="false">IF(B223=1,MAX(C$1:C222)+1,"")</f>
        <v/>
      </c>
    </row>
    <row r="224" customFormat="false" ht="15" hidden="false" customHeight="false" outlineLevel="0" collapsed="false">
      <c r="A224" s="0" t="str">
        <f aca="false">IF(DECKS!B224="","",DECKS!B224)</f>
        <v/>
      </c>
      <c r="B224" s="0" t="str">
        <f aca="false">IF(A224="","",IF(MATCH(A224,$A$2:$A$3201,0)=ROW()-1,1,0))</f>
        <v/>
      </c>
      <c r="C224" s="0" t="str">
        <f aca="false">IF(B224=1,MAX(C$1:C223)+1,"")</f>
        <v/>
      </c>
    </row>
    <row r="225" customFormat="false" ht="15" hidden="false" customHeight="false" outlineLevel="0" collapsed="false">
      <c r="A225" s="0" t="str">
        <f aca="false">IF(DECKS!B225="","",DECKS!B225)</f>
        <v/>
      </c>
      <c r="B225" s="0" t="str">
        <f aca="false">IF(A225="","",IF(MATCH(A225,$A$2:$A$3201,0)=ROW()-1,1,0))</f>
        <v/>
      </c>
      <c r="C225" s="0" t="str">
        <f aca="false">IF(B225=1,MAX(C$1:C224)+1,"")</f>
        <v/>
      </c>
    </row>
    <row r="226" customFormat="false" ht="15" hidden="false" customHeight="false" outlineLevel="0" collapsed="false">
      <c r="A226" s="0" t="str">
        <f aca="false">IF(DECKS!B226="","",DECKS!B226)</f>
        <v/>
      </c>
      <c r="B226" s="0" t="str">
        <f aca="false">IF(A226="","",IF(MATCH(A226,$A$2:$A$3201,0)=ROW()-1,1,0))</f>
        <v/>
      </c>
      <c r="C226" s="0" t="str">
        <f aca="false">IF(B226=1,MAX(C$1:C225)+1,"")</f>
        <v/>
      </c>
    </row>
    <row r="227" customFormat="false" ht="15" hidden="false" customHeight="false" outlineLevel="0" collapsed="false">
      <c r="A227" s="0" t="str">
        <f aca="false">IF(DECKS!B227="","",DECKS!B227)</f>
        <v/>
      </c>
      <c r="B227" s="0" t="str">
        <f aca="false">IF(A227="","",IF(MATCH(A227,$A$2:$A$3201,0)=ROW()-1,1,0))</f>
        <v/>
      </c>
      <c r="C227" s="0" t="str">
        <f aca="false">IF(B227=1,MAX(C$1:C226)+1,"")</f>
        <v/>
      </c>
    </row>
    <row r="228" customFormat="false" ht="15" hidden="false" customHeight="false" outlineLevel="0" collapsed="false">
      <c r="A228" s="0" t="str">
        <f aca="false">IF(DECKS!B228="","",DECKS!B228)</f>
        <v/>
      </c>
      <c r="B228" s="0" t="str">
        <f aca="false">IF(A228="","",IF(MATCH(A228,$A$2:$A$3201,0)=ROW()-1,1,0))</f>
        <v/>
      </c>
      <c r="C228" s="0" t="str">
        <f aca="false">IF(B228=1,MAX(C$1:C227)+1,"")</f>
        <v/>
      </c>
    </row>
    <row r="229" customFormat="false" ht="15" hidden="false" customHeight="false" outlineLevel="0" collapsed="false">
      <c r="A229" s="0" t="str">
        <f aca="false">IF(DECKS!B229="","",DECKS!B229)</f>
        <v/>
      </c>
      <c r="B229" s="0" t="str">
        <f aca="false">IF(A229="","",IF(MATCH(A229,$A$2:$A$3201,0)=ROW()-1,1,0))</f>
        <v/>
      </c>
      <c r="C229" s="0" t="str">
        <f aca="false">IF(B229=1,MAX(C$1:C228)+1,"")</f>
        <v/>
      </c>
    </row>
    <row r="230" customFormat="false" ht="15" hidden="false" customHeight="false" outlineLevel="0" collapsed="false">
      <c r="A230" s="0" t="str">
        <f aca="false">IF(DECKS!B230="","",DECKS!B230)</f>
        <v/>
      </c>
      <c r="B230" s="0" t="str">
        <f aca="false">IF(A230="","",IF(MATCH(A230,$A$2:$A$3201,0)=ROW()-1,1,0))</f>
        <v/>
      </c>
      <c r="C230" s="0" t="str">
        <f aca="false">IF(B230=1,MAX(C$1:C229)+1,"")</f>
        <v/>
      </c>
    </row>
    <row r="231" customFormat="false" ht="15" hidden="false" customHeight="false" outlineLevel="0" collapsed="false">
      <c r="A231" s="0" t="str">
        <f aca="false">IF(DECKS!B231="","",DECKS!B231)</f>
        <v/>
      </c>
      <c r="B231" s="0" t="str">
        <f aca="false">IF(A231="","",IF(MATCH(A231,$A$2:$A$3201,0)=ROW()-1,1,0))</f>
        <v/>
      </c>
      <c r="C231" s="0" t="str">
        <f aca="false">IF(B231=1,MAX(C$1:C230)+1,"")</f>
        <v/>
      </c>
    </row>
    <row r="232" customFormat="false" ht="15" hidden="false" customHeight="false" outlineLevel="0" collapsed="false">
      <c r="A232" s="0" t="str">
        <f aca="false">IF(DECKS!B232="","",DECKS!B232)</f>
        <v/>
      </c>
      <c r="B232" s="0" t="str">
        <f aca="false">IF(A232="","",IF(MATCH(A232,$A$2:$A$3201,0)=ROW()-1,1,0))</f>
        <v/>
      </c>
      <c r="C232" s="0" t="str">
        <f aca="false">IF(B232=1,MAX(C$1:C231)+1,"")</f>
        <v/>
      </c>
    </row>
    <row r="233" customFormat="false" ht="15" hidden="false" customHeight="false" outlineLevel="0" collapsed="false">
      <c r="A233" s="0" t="str">
        <f aca="false">IF(DECKS!B233="","",DECKS!B233)</f>
        <v/>
      </c>
      <c r="B233" s="0" t="str">
        <f aca="false">IF(A233="","",IF(MATCH(A233,$A$2:$A$3201,0)=ROW()-1,1,0))</f>
        <v/>
      </c>
      <c r="C233" s="0" t="str">
        <f aca="false">IF(B233=1,MAX(C$1:C232)+1,"")</f>
        <v/>
      </c>
    </row>
    <row r="234" customFormat="false" ht="15" hidden="false" customHeight="false" outlineLevel="0" collapsed="false">
      <c r="A234" s="0" t="str">
        <f aca="false">IF(DECKS!B234="","",DECKS!B234)</f>
        <v/>
      </c>
      <c r="B234" s="0" t="str">
        <f aca="false">IF(A234="","",IF(MATCH(A234,$A$2:$A$3201,0)=ROW()-1,1,0))</f>
        <v/>
      </c>
      <c r="C234" s="0" t="str">
        <f aca="false">IF(B234=1,MAX(C$1:C233)+1,"")</f>
        <v/>
      </c>
    </row>
    <row r="235" customFormat="false" ht="15" hidden="false" customHeight="false" outlineLevel="0" collapsed="false">
      <c r="A235" s="0" t="str">
        <f aca="false">IF(DECKS!B235="","",DECKS!B235)</f>
        <v/>
      </c>
      <c r="B235" s="0" t="str">
        <f aca="false">IF(A235="","",IF(MATCH(A235,$A$2:$A$3201,0)=ROW()-1,1,0))</f>
        <v/>
      </c>
      <c r="C235" s="0" t="str">
        <f aca="false">IF(B235=1,MAX(C$1:C234)+1,"")</f>
        <v/>
      </c>
    </row>
    <row r="236" customFormat="false" ht="15" hidden="false" customHeight="false" outlineLevel="0" collapsed="false">
      <c r="A236" s="0" t="str">
        <f aca="false">IF(DECKS!B236="","",DECKS!B236)</f>
        <v/>
      </c>
      <c r="B236" s="0" t="str">
        <f aca="false">IF(A236="","",IF(MATCH(A236,$A$2:$A$3201,0)=ROW()-1,1,0))</f>
        <v/>
      </c>
      <c r="C236" s="0" t="str">
        <f aca="false">IF(B236=1,MAX(C$1:C235)+1,"")</f>
        <v/>
      </c>
    </row>
    <row r="237" customFormat="false" ht="15" hidden="false" customHeight="false" outlineLevel="0" collapsed="false">
      <c r="A237" s="0" t="str">
        <f aca="false">IF(DECKS!B237="","",DECKS!B237)</f>
        <v/>
      </c>
      <c r="B237" s="0" t="str">
        <f aca="false">IF(A237="","",IF(MATCH(A237,$A$2:$A$3201,0)=ROW()-1,1,0))</f>
        <v/>
      </c>
      <c r="C237" s="0" t="str">
        <f aca="false">IF(B237=1,MAX(C$1:C236)+1,"")</f>
        <v/>
      </c>
    </row>
    <row r="238" customFormat="false" ht="15" hidden="false" customHeight="false" outlineLevel="0" collapsed="false">
      <c r="A238" s="0" t="str">
        <f aca="false">IF(DECKS!B238="","",DECKS!B238)</f>
        <v/>
      </c>
      <c r="B238" s="0" t="str">
        <f aca="false">IF(A238="","",IF(MATCH(A238,$A$2:$A$3201,0)=ROW()-1,1,0))</f>
        <v/>
      </c>
      <c r="C238" s="0" t="str">
        <f aca="false">IF(B238=1,MAX(C$1:C237)+1,"")</f>
        <v/>
      </c>
    </row>
    <row r="239" customFormat="false" ht="15" hidden="false" customHeight="false" outlineLevel="0" collapsed="false">
      <c r="A239" s="0" t="str">
        <f aca="false">IF(DECKS!B239="","",DECKS!B239)</f>
        <v/>
      </c>
      <c r="B239" s="0" t="str">
        <f aca="false">IF(A239="","",IF(MATCH(A239,$A$2:$A$3201,0)=ROW()-1,1,0))</f>
        <v/>
      </c>
      <c r="C239" s="0" t="str">
        <f aca="false">IF(B239=1,MAX(C$1:C238)+1,"")</f>
        <v/>
      </c>
    </row>
    <row r="240" customFormat="false" ht="15" hidden="false" customHeight="false" outlineLevel="0" collapsed="false">
      <c r="A240" s="0" t="str">
        <f aca="false">IF(DECKS!B240="","",DECKS!B240)</f>
        <v/>
      </c>
      <c r="B240" s="0" t="str">
        <f aca="false">IF(A240="","",IF(MATCH(A240,$A$2:$A$3201,0)=ROW()-1,1,0))</f>
        <v/>
      </c>
      <c r="C240" s="0" t="str">
        <f aca="false">IF(B240=1,MAX(C$1:C239)+1,"")</f>
        <v/>
      </c>
    </row>
    <row r="241" customFormat="false" ht="15" hidden="false" customHeight="false" outlineLevel="0" collapsed="false">
      <c r="A241" s="0" t="str">
        <f aca="false">IF(DECKS!B241="","",DECKS!B241)</f>
        <v/>
      </c>
      <c r="B241" s="0" t="str">
        <f aca="false">IF(A241="","",IF(MATCH(A241,$A$2:$A$3201,0)=ROW()-1,1,0))</f>
        <v/>
      </c>
      <c r="C241" s="0" t="str">
        <f aca="false">IF(B241=1,MAX(C$1:C240)+1,"")</f>
        <v/>
      </c>
    </row>
    <row r="242" customFormat="false" ht="15" hidden="false" customHeight="false" outlineLevel="0" collapsed="false">
      <c r="A242" s="0" t="str">
        <f aca="false">IF(DECKS!B242="","",DECKS!B242)</f>
        <v/>
      </c>
      <c r="B242" s="0" t="str">
        <f aca="false">IF(A242="","",IF(MATCH(A242,$A$2:$A$3201,0)=ROW()-1,1,0))</f>
        <v/>
      </c>
      <c r="C242" s="0" t="str">
        <f aca="false">IF(B242=1,MAX(C$1:C241)+1,"")</f>
        <v/>
      </c>
    </row>
    <row r="243" customFormat="false" ht="15" hidden="false" customHeight="false" outlineLevel="0" collapsed="false">
      <c r="A243" s="0" t="str">
        <f aca="false">IF(DECKS!B243="","",DECKS!B243)</f>
        <v/>
      </c>
      <c r="B243" s="0" t="str">
        <f aca="false">IF(A243="","",IF(MATCH(A243,$A$2:$A$3201,0)=ROW()-1,1,0))</f>
        <v/>
      </c>
      <c r="C243" s="0" t="str">
        <f aca="false">IF(B243=1,MAX(C$1:C242)+1,"")</f>
        <v/>
      </c>
    </row>
    <row r="244" customFormat="false" ht="15" hidden="false" customHeight="false" outlineLevel="0" collapsed="false">
      <c r="A244" s="0" t="str">
        <f aca="false">IF(DECKS!B244="","",DECKS!B244)</f>
        <v/>
      </c>
      <c r="B244" s="0" t="str">
        <f aca="false">IF(A244="","",IF(MATCH(A244,$A$2:$A$3201,0)=ROW()-1,1,0))</f>
        <v/>
      </c>
      <c r="C244" s="0" t="str">
        <f aca="false">IF(B244=1,MAX(C$1:C243)+1,"")</f>
        <v/>
      </c>
    </row>
    <row r="245" customFormat="false" ht="15" hidden="false" customHeight="false" outlineLevel="0" collapsed="false">
      <c r="A245" s="0" t="str">
        <f aca="false">IF(DECKS!B245="","",DECKS!B245)</f>
        <v/>
      </c>
      <c r="B245" s="0" t="str">
        <f aca="false">IF(A245="","",IF(MATCH(A245,$A$2:$A$3201,0)=ROW()-1,1,0))</f>
        <v/>
      </c>
      <c r="C245" s="0" t="str">
        <f aca="false">IF(B245=1,MAX(C$1:C244)+1,"")</f>
        <v/>
      </c>
    </row>
    <row r="246" customFormat="false" ht="15" hidden="false" customHeight="false" outlineLevel="0" collapsed="false">
      <c r="A246" s="0" t="str">
        <f aca="false">IF(DECKS!B246="","",DECKS!B246)</f>
        <v/>
      </c>
      <c r="B246" s="0" t="str">
        <f aca="false">IF(A246="","",IF(MATCH(A246,$A$2:$A$3201,0)=ROW()-1,1,0))</f>
        <v/>
      </c>
      <c r="C246" s="0" t="str">
        <f aca="false">IF(B246=1,MAX(C$1:C245)+1,"")</f>
        <v/>
      </c>
    </row>
    <row r="247" customFormat="false" ht="15" hidden="false" customHeight="false" outlineLevel="0" collapsed="false">
      <c r="A247" s="0" t="str">
        <f aca="false">IF(DECKS!B247="","",DECKS!B247)</f>
        <v/>
      </c>
      <c r="B247" s="0" t="str">
        <f aca="false">IF(A247="","",IF(MATCH(A247,$A$2:$A$3201,0)=ROW()-1,1,0))</f>
        <v/>
      </c>
      <c r="C247" s="0" t="str">
        <f aca="false">IF(B247=1,MAX(C$1:C246)+1,"")</f>
        <v/>
      </c>
    </row>
    <row r="248" customFormat="false" ht="15" hidden="false" customHeight="false" outlineLevel="0" collapsed="false">
      <c r="A248" s="0" t="str">
        <f aca="false">IF(DECKS!B248="","",DECKS!B248)</f>
        <v/>
      </c>
      <c r="B248" s="0" t="str">
        <f aca="false">IF(A248="","",IF(MATCH(A248,$A$2:$A$3201,0)=ROW()-1,1,0))</f>
        <v/>
      </c>
      <c r="C248" s="0" t="str">
        <f aca="false">IF(B248=1,MAX(C$1:C247)+1,"")</f>
        <v/>
      </c>
    </row>
    <row r="249" customFormat="false" ht="15" hidden="false" customHeight="false" outlineLevel="0" collapsed="false">
      <c r="A249" s="0" t="str">
        <f aca="false">IF(DECKS!B249="","",DECKS!B249)</f>
        <v/>
      </c>
      <c r="B249" s="0" t="str">
        <f aca="false">IF(A249="","",IF(MATCH(A249,$A$2:$A$3201,0)=ROW()-1,1,0))</f>
        <v/>
      </c>
      <c r="C249" s="0" t="str">
        <f aca="false">IF(B249=1,MAX(C$1:C248)+1,"")</f>
        <v/>
      </c>
    </row>
    <row r="250" customFormat="false" ht="15" hidden="false" customHeight="false" outlineLevel="0" collapsed="false">
      <c r="A250" s="0" t="str">
        <f aca="false">IF(DECKS!B250="","",DECKS!B250)</f>
        <v/>
      </c>
      <c r="B250" s="0" t="str">
        <f aca="false">IF(A250="","",IF(MATCH(A250,$A$2:$A$3201,0)=ROW()-1,1,0))</f>
        <v/>
      </c>
      <c r="C250" s="0" t="str">
        <f aca="false">IF(B250=1,MAX(C$1:C249)+1,"")</f>
        <v/>
      </c>
    </row>
    <row r="251" customFormat="false" ht="15" hidden="false" customHeight="false" outlineLevel="0" collapsed="false">
      <c r="A251" s="0" t="str">
        <f aca="false">IF(DECKS!B251="","",DECKS!B251)</f>
        <v/>
      </c>
      <c r="B251" s="0" t="str">
        <f aca="false">IF(A251="","",IF(MATCH(A251,$A$2:$A$3201,0)=ROW()-1,1,0))</f>
        <v/>
      </c>
      <c r="C251" s="0" t="str">
        <f aca="false">IF(B251=1,MAX(C$1:C250)+1,"")</f>
        <v/>
      </c>
    </row>
    <row r="252" customFormat="false" ht="15" hidden="false" customHeight="false" outlineLevel="0" collapsed="false">
      <c r="A252" s="0" t="str">
        <f aca="false">IF(DECKS!B252="","",DECKS!B252)</f>
        <v/>
      </c>
      <c r="B252" s="0" t="str">
        <f aca="false">IF(A252="","",IF(MATCH(A252,$A$2:$A$3201,0)=ROW()-1,1,0))</f>
        <v/>
      </c>
      <c r="C252" s="0" t="str">
        <f aca="false">IF(B252=1,MAX(C$1:C251)+1,"")</f>
        <v/>
      </c>
    </row>
    <row r="253" customFormat="false" ht="15" hidden="false" customHeight="false" outlineLevel="0" collapsed="false">
      <c r="A253" s="0" t="str">
        <f aca="false">IF(DECKS!B253="","",DECKS!B253)</f>
        <v/>
      </c>
      <c r="B253" s="0" t="str">
        <f aca="false">IF(A253="","",IF(MATCH(A253,$A$2:$A$3201,0)=ROW()-1,1,0))</f>
        <v/>
      </c>
      <c r="C253" s="0" t="str">
        <f aca="false">IF(B253=1,MAX(C$1:C252)+1,"")</f>
        <v/>
      </c>
    </row>
    <row r="254" customFormat="false" ht="15" hidden="false" customHeight="false" outlineLevel="0" collapsed="false">
      <c r="A254" s="0" t="str">
        <f aca="false">IF(DECKS!B254="","",DECKS!B254)</f>
        <v/>
      </c>
      <c r="B254" s="0" t="str">
        <f aca="false">IF(A254="","",IF(MATCH(A254,$A$2:$A$3201,0)=ROW()-1,1,0))</f>
        <v/>
      </c>
      <c r="C254" s="0" t="str">
        <f aca="false">IF(B254=1,MAX(C$1:C253)+1,"")</f>
        <v/>
      </c>
    </row>
    <row r="255" customFormat="false" ht="15" hidden="false" customHeight="false" outlineLevel="0" collapsed="false">
      <c r="A255" s="0" t="str">
        <f aca="false">IF(DECKS!B255="","",DECKS!B255)</f>
        <v/>
      </c>
      <c r="B255" s="0" t="str">
        <f aca="false">IF(A255="","",IF(MATCH(A255,$A$2:$A$3201,0)=ROW()-1,1,0))</f>
        <v/>
      </c>
      <c r="C255" s="0" t="str">
        <f aca="false">IF(B255=1,MAX(C$1:C254)+1,"")</f>
        <v/>
      </c>
    </row>
    <row r="256" customFormat="false" ht="15" hidden="false" customHeight="false" outlineLevel="0" collapsed="false">
      <c r="A256" s="0" t="str">
        <f aca="false">IF(DECKS!B256="","",DECKS!B256)</f>
        <v/>
      </c>
      <c r="B256" s="0" t="str">
        <f aca="false">IF(A256="","",IF(MATCH(A256,$A$2:$A$3201,0)=ROW()-1,1,0))</f>
        <v/>
      </c>
      <c r="C256" s="0" t="str">
        <f aca="false">IF(B256=1,MAX(C$1:C255)+1,"")</f>
        <v/>
      </c>
    </row>
    <row r="257" customFormat="false" ht="15" hidden="false" customHeight="false" outlineLevel="0" collapsed="false">
      <c r="A257" s="0" t="str">
        <f aca="false">IF(DECKS!B257="","",DECKS!B257)</f>
        <v/>
      </c>
      <c r="B257" s="0" t="str">
        <f aca="false">IF(A257="","",IF(MATCH(A257,$A$2:$A$3201,0)=ROW()-1,1,0))</f>
        <v/>
      </c>
      <c r="C257" s="0" t="str">
        <f aca="false">IF(B257=1,MAX(C$1:C256)+1,"")</f>
        <v/>
      </c>
    </row>
    <row r="258" customFormat="false" ht="15" hidden="false" customHeight="false" outlineLevel="0" collapsed="false">
      <c r="A258" s="0" t="str">
        <f aca="false">IF(DECKS!B258="","",DECKS!B258)</f>
        <v/>
      </c>
      <c r="B258" s="0" t="str">
        <f aca="false">IF(A258="","",IF(MATCH(A258,$A$2:$A$3201,0)=ROW()-1,1,0))</f>
        <v/>
      </c>
      <c r="C258" s="0" t="str">
        <f aca="false">IF(B258=1,MAX(C$1:C257)+1,"")</f>
        <v/>
      </c>
    </row>
    <row r="259" customFormat="false" ht="15" hidden="false" customHeight="false" outlineLevel="0" collapsed="false">
      <c r="A259" s="0" t="str">
        <f aca="false">IF(DECKS!B259="","",DECKS!B259)</f>
        <v/>
      </c>
      <c r="B259" s="0" t="str">
        <f aca="false">IF(A259="","",IF(MATCH(A259,$A$2:$A$3201,0)=ROW()-1,1,0))</f>
        <v/>
      </c>
      <c r="C259" s="0" t="str">
        <f aca="false">IF(B259=1,MAX(C$1:C258)+1,"")</f>
        <v/>
      </c>
    </row>
    <row r="260" customFormat="false" ht="15" hidden="false" customHeight="false" outlineLevel="0" collapsed="false">
      <c r="A260" s="0" t="str">
        <f aca="false">IF(DECKS!B260="","",DECKS!B260)</f>
        <v/>
      </c>
      <c r="B260" s="0" t="str">
        <f aca="false">IF(A260="","",IF(MATCH(A260,$A$2:$A$3201,0)=ROW()-1,1,0))</f>
        <v/>
      </c>
      <c r="C260" s="0" t="str">
        <f aca="false">IF(B260=1,MAX(C$1:C259)+1,"")</f>
        <v/>
      </c>
    </row>
    <row r="261" customFormat="false" ht="15" hidden="false" customHeight="false" outlineLevel="0" collapsed="false">
      <c r="A261" s="0" t="str">
        <f aca="false">IF(DECKS!B261="","",DECKS!B261)</f>
        <v/>
      </c>
      <c r="B261" s="0" t="str">
        <f aca="false">IF(A261="","",IF(MATCH(A261,$A$2:$A$3201,0)=ROW()-1,1,0))</f>
        <v/>
      </c>
      <c r="C261" s="0" t="str">
        <f aca="false">IF(B261=1,MAX(C$1:C260)+1,"")</f>
        <v/>
      </c>
    </row>
    <row r="262" customFormat="false" ht="15" hidden="false" customHeight="false" outlineLevel="0" collapsed="false">
      <c r="A262" s="0" t="str">
        <f aca="false">IF(DECKS!B262="","",DECKS!B262)</f>
        <v/>
      </c>
      <c r="B262" s="0" t="str">
        <f aca="false">IF(A262="","",IF(MATCH(A262,$A$2:$A$3201,0)=ROW()-1,1,0))</f>
        <v/>
      </c>
      <c r="C262" s="0" t="str">
        <f aca="false">IF(B262=1,MAX(C$1:C261)+1,"")</f>
        <v/>
      </c>
    </row>
    <row r="263" customFormat="false" ht="15" hidden="false" customHeight="false" outlineLevel="0" collapsed="false">
      <c r="A263" s="0" t="str">
        <f aca="false">IF(DECKS!B263="","",DECKS!B263)</f>
        <v/>
      </c>
      <c r="B263" s="0" t="str">
        <f aca="false">IF(A263="","",IF(MATCH(A263,$A$2:$A$3201,0)=ROW()-1,1,0))</f>
        <v/>
      </c>
      <c r="C263" s="0" t="str">
        <f aca="false">IF(B263=1,MAX(C$1:C262)+1,"")</f>
        <v/>
      </c>
    </row>
    <row r="264" customFormat="false" ht="15" hidden="false" customHeight="false" outlineLevel="0" collapsed="false">
      <c r="A264" s="0" t="str">
        <f aca="false">IF(DECKS!B264="","",DECKS!B264)</f>
        <v/>
      </c>
      <c r="B264" s="0" t="str">
        <f aca="false">IF(A264="","",IF(MATCH(A264,$A$2:$A$3201,0)=ROW()-1,1,0))</f>
        <v/>
      </c>
      <c r="C264" s="0" t="str">
        <f aca="false">IF(B264=1,MAX(C$1:C263)+1,"")</f>
        <v/>
      </c>
    </row>
    <row r="265" customFormat="false" ht="15" hidden="false" customHeight="false" outlineLevel="0" collapsed="false">
      <c r="A265" s="0" t="str">
        <f aca="false">IF(DECKS!B265="","",DECKS!B265)</f>
        <v/>
      </c>
      <c r="B265" s="0" t="str">
        <f aca="false">IF(A265="","",IF(MATCH(A265,$A$2:$A$3201,0)=ROW()-1,1,0))</f>
        <v/>
      </c>
      <c r="C265" s="0" t="str">
        <f aca="false">IF(B265=1,MAX(C$1:C264)+1,"")</f>
        <v/>
      </c>
    </row>
    <row r="266" customFormat="false" ht="15" hidden="false" customHeight="false" outlineLevel="0" collapsed="false">
      <c r="A266" s="0" t="str">
        <f aca="false">IF(DECKS!B266="","",DECKS!B266)</f>
        <v/>
      </c>
      <c r="B266" s="0" t="str">
        <f aca="false">IF(A266="","",IF(MATCH(A266,$A$2:$A$3201,0)=ROW()-1,1,0))</f>
        <v/>
      </c>
      <c r="C266" s="0" t="str">
        <f aca="false">IF(B266=1,MAX(C$1:C265)+1,"")</f>
        <v/>
      </c>
    </row>
    <row r="267" customFormat="false" ht="15" hidden="false" customHeight="false" outlineLevel="0" collapsed="false">
      <c r="A267" s="0" t="str">
        <f aca="false">IF(DECKS!B267="","",DECKS!B267)</f>
        <v/>
      </c>
      <c r="B267" s="0" t="str">
        <f aca="false">IF(A267="","",IF(MATCH(A267,$A$2:$A$3201,0)=ROW()-1,1,0))</f>
        <v/>
      </c>
      <c r="C267" s="0" t="str">
        <f aca="false">IF(B267=1,MAX(C$1:C266)+1,"")</f>
        <v/>
      </c>
    </row>
    <row r="268" customFormat="false" ht="15" hidden="false" customHeight="false" outlineLevel="0" collapsed="false">
      <c r="A268" s="0" t="str">
        <f aca="false">IF(DECKS!B268="","",DECKS!B268)</f>
        <v/>
      </c>
      <c r="B268" s="0" t="str">
        <f aca="false">IF(A268="","",IF(MATCH(A268,$A$2:$A$3201,0)=ROW()-1,1,0))</f>
        <v/>
      </c>
      <c r="C268" s="0" t="str">
        <f aca="false">IF(B268=1,MAX(C$1:C267)+1,"")</f>
        <v/>
      </c>
    </row>
    <row r="269" customFormat="false" ht="15" hidden="false" customHeight="false" outlineLevel="0" collapsed="false">
      <c r="A269" s="0" t="str">
        <f aca="false">IF(DECKS!B269="","",DECKS!B269)</f>
        <v/>
      </c>
      <c r="B269" s="0" t="str">
        <f aca="false">IF(A269="","",IF(MATCH(A269,$A$2:$A$3201,0)=ROW()-1,1,0))</f>
        <v/>
      </c>
      <c r="C269" s="0" t="str">
        <f aca="false">IF(B269=1,MAX(C$1:C268)+1,"")</f>
        <v/>
      </c>
    </row>
    <row r="270" customFormat="false" ht="15" hidden="false" customHeight="false" outlineLevel="0" collapsed="false">
      <c r="A270" s="0" t="str">
        <f aca="false">IF(DECKS!B270="","",DECKS!B270)</f>
        <v/>
      </c>
      <c r="B270" s="0" t="str">
        <f aca="false">IF(A270="","",IF(MATCH(A270,$A$2:$A$3201,0)=ROW()-1,1,0))</f>
        <v/>
      </c>
      <c r="C270" s="0" t="str">
        <f aca="false">IF(B270=1,MAX(C$1:C269)+1,"")</f>
        <v/>
      </c>
    </row>
    <row r="271" customFormat="false" ht="15" hidden="false" customHeight="false" outlineLevel="0" collapsed="false">
      <c r="A271" s="0" t="str">
        <f aca="false">IF(DECKS!B271="","",DECKS!B271)</f>
        <v/>
      </c>
      <c r="B271" s="0" t="str">
        <f aca="false">IF(A271="","",IF(MATCH(A271,$A$2:$A$3201,0)=ROW()-1,1,0))</f>
        <v/>
      </c>
      <c r="C271" s="0" t="str">
        <f aca="false">IF(B271=1,MAX(C$1:C270)+1,"")</f>
        <v/>
      </c>
    </row>
    <row r="272" customFormat="false" ht="15" hidden="false" customHeight="false" outlineLevel="0" collapsed="false">
      <c r="A272" s="0" t="str">
        <f aca="false">IF(DECKS!B272="","",DECKS!B272)</f>
        <v/>
      </c>
      <c r="B272" s="0" t="str">
        <f aca="false">IF(A272="","",IF(MATCH(A272,$A$2:$A$3201,0)=ROW()-1,1,0))</f>
        <v/>
      </c>
      <c r="C272" s="0" t="str">
        <f aca="false">IF(B272=1,MAX(C$1:C271)+1,"")</f>
        <v/>
      </c>
    </row>
    <row r="273" customFormat="false" ht="15" hidden="false" customHeight="false" outlineLevel="0" collapsed="false">
      <c r="A273" s="0" t="str">
        <f aca="false">IF(DECKS!B273="","",DECKS!B273)</f>
        <v/>
      </c>
      <c r="B273" s="0" t="str">
        <f aca="false">IF(A273="","",IF(MATCH(A273,$A$2:$A$3201,0)=ROW()-1,1,0))</f>
        <v/>
      </c>
      <c r="C273" s="0" t="str">
        <f aca="false">IF(B273=1,MAX(C$1:C272)+1,"")</f>
        <v/>
      </c>
    </row>
    <row r="274" customFormat="false" ht="15" hidden="false" customHeight="false" outlineLevel="0" collapsed="false">
      <c r="A274" s="0" t="str">
        <f aca="false">IF(DECKS!B274="","",DECKS!B274)</f>
        <v/>
      </c>
      <c r="B274" s="0" t="str">
        <f aca="false">IF(A274="","",IF(MATCH(A274,$A$2:$A$3201,0)=ROW()-1,1,0))</f>
        <v/>
      </c>
      <c r="C274" s="0" t="str">
        <f aca="false">IF(B274=1,MAX(C$1:C273)+1,"")</f>
        <v/>
      </c>
    </row>
    <row r="275" customFormat="false" ht="15" hidden="false" customHeight="false" outlineLevel="0" collapsed="false">
      <c r="A275" s="0" t="str">
        <f aca="false">IF(DECKS!B275="","",DECKS!B275)</f>
        <v/>
      </c>
      <c r="B275" s="0" t="str">
        <f aca="false">IF(A275="","",IF(MATCH(A275,$A$2:$A$3201,0)=ROW()-1,1,0))</f>
        <v/>
      </c>
      <c r="C275" s="0" t="str">
        <f aca="false">IF(B275=1,MAX(C$1:C274)+1,"")</f>
        <v/>
      </c>
    </row>
    <row r="276" customFormat="false" ht="15" hidden="false" customHeight="false" outlineLevel="0" collapsed="false">
      <c r="A276" s="0" t="str">
        <f aca="false">IF(DECKS!B276="","",DECKS!B276)</f>
        <v/>
      </c>
      <c r="B276" s="0" t="str">
        <f aca="false">IF(A276="","",IF(MATCH(A276,$A$2:$A$3201,0)=ROW()-1,1,0))</f>
        <v/>
      </c>
      <c r="C276" s="0" t="str">
        <f aca="false">IF(B276=1,MAX(C$1:C275)+1,"")</f>
        <v/>
      </c>
    </row>
    <row r="277" customFormat="false" ht="15" hidden="false" customHeight="false" outlineLevel="0" collapsed="false">
      <c r="A277" s="0" t="str">
        <f aca="false">IF(DECKS!B277="","",DECKS!B277)</f>
        <v/>
      </c>
      <c r="B277" s="0" t="str">
        <f aca="false">IF(A277="","",IF(MATCH(A277,$A$2:$A$3201,0)=ROW()-1,1,0))</f>
        <v/>
      </c>
      <c r="C277" s="0" t="str">
        <f aca="false">IF(B277=1,MAX(C$1:C276)+1,"")</f>
        <v/>
      </c>
    </row>
    <row r="278" customFormat="false" ht="15" hidden="false" customHeight="false" outlineLevel="0" collapsed="false">
      <c r="A278" s="0" t="str">
        <f aca="false">IF(DECKS!B278="","",DECKS!B278)</f>
        <v/>
      </c>
      <c r="B278" s="0" t="str">
        <f aca="false">IF(A278="","",IF(MATCH(A278,$A$2:$A$3201,0)=ROW()-1,1,0))</f>
        <v/>
      </c>
      <c r="C278" s="0" t="str">
        <f aca="false">IF(B278=1,MAX(C$1:C277)+1,"")</f>
        <v/>
      </c>
    </row>
    <row r="279" customFormat="false" ht="15" hidden="false" customHeight="false" outlineLevel="0" collapsed="false">
      <c r="A279" s="0" t="str">
        <f aca="false">IF(DECKS!B279="","",DECKS!B279)</f>
        <v/>
      </c>
      <c r="B279" s="0" t="str">
        <f aca="false">IF(A279="","",IF(MATCH(A279,$A$2:$A$3201,0)=ROW()-1,1,0))</f>
        <v/>
      </c>
      <c r="C279" s="0" t="str">
        <f aca="false">IF(B279=1,MAX(C$1:C278)+1,"")</f>
        <v/>
      </c>
    </row>
    <row r="280" customFormat="false" ht="15" hidden="false" customHeight="false" outlineLevel="0" collapsed="false">
      <c r="A280" s="0" t="str">
        <f aca="false">IF(DECKS!B280="","",DECKS!B280)</f>
        <v/>
      </c>
      <c r="B280" s="0" t="str">
        <f aca="false">IF(A280="","",IF(MATCH(A280,$A$2:$A$3201,0)=ROW()-1,1,0))</f>
        <v/>
      </c>
      <c r="C280" s="0" t="str">
        <f aca="false">IF(B280=1,MAX(C$1:C279)+1,"")</f>
        <v/>
      </c>
    </row>
    <row r="281" customFormat="false" ht="15" hidden="false" customHeight="false" outlineLevel="0" collapsed="false">
      <c r="A281" s="0" t="str">
        <f aca="false">IF(DECKS!B281="","",DECKS!B281)</f>
        <v/>
      </c>
      <c r="B281" s="0" t="str">
        <f aca="false">IF(A281="","",IF(MATCH(A281,$A$2:$A$3201,0)=ROW()-1,1,0))</f>
        <v/>
      </c>
      <c r="C281" s="0" t="str">
        <f aca="false">IF(B281=1,MAX(C$1:C280)+1,"")</f>
        <v/>
      </c>
    </row>
    <row r="282" customFormat="false" ht="15" hidden="false" customHeight="false" outlineLevel="0" collapsed="false">
      <c r="A282" s="0" t="str">
        <f aca="false">IF(DECKS!B282="","",DECKS!B282)</f>
        <v/>
      </c>
      <c r="B282" s="0" t="str">
        <f aca="false">IF(A282="","",IF(MATCH(A282,$A$2:$A$3201,0)=ROW()-1,1,0))</f>
        <v/>
      </c>
      <c r="C282" s="0" t="str">
        <f aca="false">IF(B282=1,MAX(C$1:C281)+1,"")</f>
        <v/>
      </c>
    </row>
    <row r="283" customFormat="false" ht="15" hidden="false" customHeight="false" outlineLevel="0" collapsed="false">
      <c r="A283" s="0" t="str">
        <f aca="false">IF(DECKS!B283="","",DECKS!B283)</f>
        <v/>
      </c>
      <c r="B283" s="0" t="str">
        <f aca="false">IF(A283="","",IF(MATCH(A283,$A$2:$A$3201,0)=ROW()-1,1,0))</f>
        <v/>
      </c>
      <c r="C283" s="0" t="str">
        <f aca="false">IF(B283=1,MAX(C$1:C282)+1,"")</f>
        <v/>
      </c>
    </row>
    <row r="284" customFormat="false" ht="15" hidden="false" customHeight="false" outlineLevel="0" collapsed="false">
      <c r="A284" s="0" t="str">
        <f aca="false">IF(DECKS!B284="","",DECKS!B284)</f>
        <v/>
      </c>
      <c r="B284" s="0" t="str">
        <f aca="false">IF(A284="","",IF(MATCH(A284,$A$2:$A$3201,0)=ROW()-1,1,0))</f>
        <v/>
      </c>
      <c r="C284" s="0" t="str">
        <f aca="false">IF(B284=1,MAX(C$1:C283)+1,"")</f>
        <v/>
      </c>
    </row>
    <row r="285" customFormat="false" ht="15" hidden="false" customHeight="false" outlineLevel="0" collapsed="false">
      <c r="A285" s="0" t="str">
        <f aca="false">IF(DECKS!B285="","",DECKS!B285)</f>
        <v/>
      </c>
      <c r="B285" s="0" t="str">
        <f aca="false">IF(A285="","",IF(MATCH(A285,$A$2:$A$3201,0)=ROW()-1,1,0))</f>
        <v/>
      </c>
      <c r="C285" s="0" t="str">
        <f aca="false">IF(B285=1,MAX(C$1:C284)+1,"")</f>
        <v/>
      </c>
    </row>
    <row r="286" customFormat="false" ht="15" hidden="false" customHeight="false" outlineLevel="0" collapsed="false">
      <c r="A286" s="0" t="str">
        <f aca="false">IF(DECKS!B286="","",DECKS!B286)</f>
        <v/>
      </c>
      <c r="B286" s="0" t="str">
        <f aca="false">IF(A286="","",IF(MATCH(A286,$A$2:$A$3201,0)=ROW()-1,1,0))</f>
        <v/>
      </c>
      <c r="C286" s="0" t="str">
        <f aca="false">IF(B286=1,MAX(C$1:C285)+1,"")</f>
        <v/>
      </c>
    </row>
    <row r="287" customFormat="false" ht="15" hidden="false" customHeight="false" outlineLevel="0" collapsed="false">
      <c r="A287" s="0" t="str">
        <f aca="false">IF(DECKS!B287="","",DECKS!B287)</f>
        <v/>
      </c>
      <c r="B287" s="0" t="str">
        <f aca="false">IF(A287="","",IF(MATCH(A287,$A$2:$A$3201,0)=ROW()-1,1,0))</f>
        <v/>
      </c>
      <c r="C287" s="0" t="str">
        <f aca="false">IF(B287=1,MAX(C$1:C286)+1,"")</f>
        <v/>
      </c>
    </row>
    <row r="288" customFormat="false" ht="15" hidden="false" customHeight="false" outlineLevel="0" collapsed="false">
      <c r="A288" s="0" t="str">
        <f aca="false">IF(DECKS!B288="","",DECKS!B288)</f>
        <v/>
      </c>
      <c r="B288" s="0" t="str">
        <f aca="false">IF(A288="","",IF(MATCH(A288,$A$2:$A$3201,0)=ROW()-1,1,0))</f>
        <v/>
      </c>
      <c r="C288" s="0" t="str">
        <f aca="false">IF(B288=1,MAX(C$1:C287)+1,"")</f>
        <v/>
      </c>
    </row>
    <row r="289" customFormat="false" ht="15" hidden="false" customHeight="false" outlineLevel="0" collapsed="false">
      <c r="A289" s="0" t="str">
        <f aca="false">IF(DECKS!B289="","",DECKS!B289)</f>
        <v/>
      </c>
      <c r="B289" s="0" t="str">
        <f aca="false">IF(A289="","",IF(MATCH(A289,$A$2:$A$3201,0)=ROW()-1,1,0))</f>
        <v/>
      </c>
      <c r="C289" s="0" t="str">
        <f aca="false">IF(B289=1,MAX(C$1:C288)+1,"")</f>
        <v/>
      </c>
    </row>
    <row r="290" customFormat="false" ht="15" hidden="false" customHeight="false" outlineLevel="0" collapsed="false">
      <c r="A290" s="0" t="str">
        <f aca="false">IF(DECKS!B290="","",DECKS!B290)</f>
        <v/>
      </c>
      <c r="B290" s="0" t="str">
        <f aca="false">IF(A290="","",IF(MATCH(A290,$A$2:$A$3201,0)=ROW()-1,1,0))</f>
        <v/>
      </c>
      <c r="C290" s="0" t="str">
        <f aca="false">IF(B290=1,MAX(C$1:C289)+1,"")</f>
        <v/>
      </c>
    </row>
    <row r="291" customFormat="false" ht="15" hidden="false" customHeight="false" outlineLevel="0" collapsed="false">
      <c r="A291" s="0" t="str">
        <f aca="false">IF(DECKS!B291="","",DECKS!B291)</f>
        <v/>
      </c>
      <c r="B291" s="0" t="str">
        <f aca="false">IF(A291="","",IF(MATCH(A291,$A$2:$A$3201,0)=ROW()-1,1,0))</f>
        <v/>
      </c>
      <c r="C291" s="0" t="str">
        <f aca="false">IF(B291=1,MAX(C$1:C290)+1,"")</f>
        <v/>
      </c>
    </row>
    <row r="292" customFormat="false" ht="15" hidden="false" customHeight="false" outlineLevel="0" collapsed="false">
      <c r="A292" s="0" t="str">
        <f aca="false">IF(DECKS!B292="","",DECKS!B292)</f>
        <v/>
      </c>
      <c r="B292" s="0" t="str">
        <f aca="false">IF(A292="","",IF(MATCH(A292,$A$2:$A$3201,0)=ROW()-1,1,0))</f>
        <v/>
      </c>
      <c r="C292" s="0" t="str">
        <f aca="false">IF(B292=1,MAX(C$1:C291)+1,"")</f>
        <v/>
      </c>
    </row>
    <row r="293" customFormat="false" ht="15" hidden="false" customHeight="false" outlineLevel="0" collapsed="false">
      <c r="A293" s="0" t="str">
        <f aca="false">IF(DECKS!B293="","",DECKS!B293)</f>
        <v/>
      </c>
      <c r="B293" s="0" t="str">
        <f aca="false">IF(A293="","",IF(MATCH(A293,$A$2:$A$3201,0)=ROW()-1,1,0))</f>
        <v/>
      </c>
      <c r="C293" s="0" t="str">
        <f aca="false">IF(B293=1,MAX(C$1:C292)+1,"")</f>
        <v/>
      </c>
    </row>
    <row r="294" customFormat="false" ht="15" hidden="false" customHeight="false" outlineLevel="0" collapsed="false">
      <c r="A294" s="0" t="str">
        <f aca="false">IF(DECKS!B294="","",DECKS!B294)</f>
        <v/>
      </c>
      <c r="B294" s="0" t="str">
        <f aca="false">IF(A294="","",IF(MATCH(A294,$A$2:$A$3201,0)=ROW()-1,1,0))</f>
        <v/>
      </c>
      <c r="C294" s="0" t="str">
        <f aca="false">IF(B294=1,MAX(C$1:C293)+1,"")</f>
        <v/>
      </c>
    </row>
    <row r="295" customFormat="false" ht="15" hidden="false" customHeight="false" outlineLevel="0" collapsed="false">
      <c r="A295" s="0" t="str">
        <f aca="false">IF(DECKS!B295="","",DECKS!B295)</f>
        <v/>
      </c>
      <c r="B295" s="0" t="str">
        <f aca="false">IF(A295="","",IF(MATCH(A295,$A$2:$A$3201,0)=ROW()-1,1,0))</f>
        <v/>
      </c>
      <c r="C295" s="0" t="str">
        <f aca="false">IF(B295=1,MAX(C$1:C294)+1,"")</f>
        <v/>
      </c>
    </row>
    <row r="296" customFormat="false" ht="15" hidden="false" customHeight="false" outlineLevel="0" collapsed="false">
      <c r="A296" s="0" t="str">
        <f aca="false">IF(DECKS!B296="","",DECKS!B296)</f>
        <v/>
      </c>
      <c r="B296" s="0" t="str">
        <f aca="false">IF(A296="","",IF(MATCH(A296,$A$2:$A$3201,0)=ROW()-1,1,0))</f>
        <v/>
      </c>
      <c r="C296" s="0" t="str">
        <f aca="false">IF(B296=1,MAX(C$1:C295)+1,"")</f>
        <v/>
      </c>
    </row>
    <row r="297" customFormat="false" ht="15" hidden="false" customHeight="false" outlineLevel="0" collapsed="false">
      <c r="A297" s="0" t="str">
        <f aca="false">IF(DECKS!B297="","",DECKS!B297)</f>
        <v/>
      </c>
      <c r="B297" s="0" t="str">
        <f aca="false">IF(A297="","",IF(MATCH(A297,$A$2:$A$3201,0)=ROW()-1,1,0))</f>
        <v/>
      </c>
      <c r="C297" s="0" t="str">
        <f aca="false">IF(B297=1,MAX(C$1:C296)+1,"")</f>
        <v/>
      </c>
    </row>
    <row r="298" customFormat="false" ht="15" hidden="false" customHeight="false" outlineLevel="0" collapsed="false">
      <c r="A298" s="0" t="str">
        <f aca="false">IF(DECKS!B298="","",DECKS!B298)</f>
        <v/>
      </c>
      <c r="B298" s="0" t="str">
        <f aca="false">IF(A298="","",IF(MATCH(A298,$A$2:$A$3201,0)=ROW()-1,1,0))</f>
        <v/>
      </c>
      <c r="C298" s="0" t="str">
        <f aca="false">IF(B298=1,MAX(C$1:C297)+1,"")</f>
        <v/>
      </c>
    </row>
    <row r="299" customFormat="false" ht="15" hidden="false" customHeight="false" outlineLevel="0" collapsed="false">
      <c r="A299" s="0" t="str">
        <f aca="false">IF(DECKS!B299="","",DECKS!B299)</f>
        <v/>
      </c>
      <c r="B299" s="0" t="str">
        <f aca="false">IF(A299="","",IF(MATCH(A299,$A$2:$A$3201,0)=ROW()-1,1,0))</f>
        <v/>
      </c>
      <c r="C299" s="0" t="str">
        <f aca="false">IF(B299=1,MAX(C$1:C298)+1,"")</f>
        <v/>
      </c>
    </row>
    <row r="300" customFormat="false" ht="15" hidden="false" customHeight="false" outlineLevel="0" collapsed="false">
      <c r="A300" s="0" t="str">
        <f aca="false">IF(DECKS!B300="","",DECKS!B300)</f>
        <v/>
      </c>
      <c r="B300" s="0" t="str">
        <f aca="false">IF(A300="","",IF(MATCH(A300,$A$2:$A$3201,0)=ROW()-1,1,0))</f>
        <v/>
      </c>
      <c r="C300" s="0" t="str">
        <f aca="false">IF(B300=1,MAX(C$1:C299)+1,"")</f>
        <v/>
      </c>
    </row>
    <row r="301" customFormat="false" ht="15" hidden="false" customHeight="false" outlineLevel="0" collapsed="false">
      <c r="A301" s="0" t="str">
        <f aca="false">IF(DECKS!B301="","",DECKS!B301)</f>
        <v/>
      </c>
      <c r="B301" s="0" t="str">
        <f aca="false">IF(A301="","",IF(MATCH(A301,$A$2:$A$3201,0)=ROW()-1,1,0))</f>
        <v/>
      </c>
      <c r="C301" s="0" t="str">
        <f aca="false">IF(B301=1,MAX(C$1:C300)+1,"")</f>
        <v/>
      </c>
    </row>
    <row r="302" customFormat="false" ht="15" hidden="false" customHeight="false" outlineLevel="0" collapsed="false">
      <c r="A302" s="0" t="str">
        <f aca="false">IF(DECKS!B302="","",DECKS!B302)</f>
        <v/>
      </c>
      <c r="B302" s="0" t="str">
        <f aca="false">IF(A302="","",IF(MATCH(A302,$A$2:$A$3201,0)=ROW()-1,1,0))</f>
        <v/>
      </c>
      <c r="C302" s="0" t="str">
        <f aca="false">IF(B302=1,MAX(C$1:C301)+1,"")</f>
        <v/>
      </c>
    </row>
    <row r="303" customFormat="false" ht="15" hidden="false" customHeight="false" outlineLevel="0" collapsed="false">
      <c r="A303" s="0" t="str">
        <f aca="false">IF(DECKS!B303="","",DECKS!B303)</f>
        <v/>
      </c>
      <c r="B303" s="0" t="str">
        <f aca="false">IF(A303="","",IF(MATCH(A303,$A$2:$A$3201,0)=ROW()-1,1,0))</f>
        <v/>
      </c>
      <c r="C303" s="0" t="str">
        <f aca="false">IF(B303=1,MAX(C$1:C302)+1,"")</f>
        <v/>
      </c>
    </row>
    <row r="304" customFormat="false" ht="15" hidden="false" customHeight="false" outlineLevel="0" collapsed="false">
      <c r="A304" s="0" t="str">
        <f aca="false">IF(DECKS!B304="","",DECKS!B304)</f>
        <v/>
      </c>
      <c r="B304" s="0" t="str">
        <f aca="false">IF(A304="","",IF(MATCH(A304,$A$2:$A$3201,0)=ROW()-1,1,0))</f>
        <v/>
      </c>
      <c r="C304" s="0" t="str">
        <f aca="false">IF(B304=1,MAX(C$1:C303)+1,"")</f>
        <v/>
      </c>
    </row>
    <row r="305" customFormat="false" ht="15" hidden="false" customHeight="false" outlineLevel="0" collapsed="false">
      <c r="A305" s="0" t="str">
        <f aca="false">IF(DECKS!B305="","",DECKS!B305)</f>
        <v/>
      </c>
      <c r="B305" s="0" t="str">
        <f aca="false">IF(A305="","",IF(MATCH(A305,$A$2:$A$3201,0)=ROW()-1,1,0))</f>
        <v/>
      </c>
      <c r="C305" s="0" t="str">
        <f aca="false">IF(B305=1,MAX(C$1:C304)+1,"")</f>
        <v/>
      </c>
    </row>
    <row r="306" customFormat="false" ht="15" hidden="false" customHeight="false" outlineLevel="0" collapsed="false">
      <c r="A306" s="0" t="str">
        <f aca="false">IF(DECKS!B306="","",DECKS!B306)</f>
        <v/>
      </c>
      <c r="B306" s="0" t="str">
        <f aca="false">IF(A306="","",IF(MATCH(A306,$A$2:$A$3201,0)=ROW()-1,1,0))</f>
        <v/>
      </c>
      <c r="C306" s="0" t="str">
        <f aca="false">IF(B306=1,MAX(C$1:C305)+1,"")</f>
        <v/>
      </c>
    </row>
    <row r="307" customFormat="false" ht="15" hidden="false" customHeight="false" outlineLevel="0" collapsed="false">
      <c r="A307" s="0" t="str">
        <f aca="false">IF(DECKS!B307="","",DECKS!B307)</f>
        <v/>
      </c>
      <c r="B307" s="0" t="str">
        <f aca="false">IF(A307="","",IF(MATCH(A307,$A$2:$A$3201,0)=ROW()-1,1,0))</f>
        <v/>
      </c>
      <c r="C307" s="0" t="str">
        <f aca="false">IF(B307=1,MAX(C$1:C306)+1,"")</f>
        <v/>
      </c>
    </row>
    <row r="308" customFormat="false" ht="15" hidden="false" customHeight="false" outlineLevel="0" collapsed="false">
      <c r="A308" s="0" t="str">
        <f aca="false">IF(DECKS!B308="","",DECKS!B308)</f>
        <v/>
      </c>
      <c r="B308" s="0" t="str">
        <f aca="false">IF(A308="","",IF(MATCH(A308,$A$2:$A$3201,0)=ROW()-1,1,0))</f>
        <v/>
      </c>
      <c r="C308" s="0" t="str">
        <f aca="false">IF(B308=1,MAX(C$1:C307)+1,"")</f>
        <v/>
      </c>
    </row>
    <row r="309" customFormat="false" ht="15" hidden="false" customHeight="false" outlineLevel="0" collapsed="false">
      <c r="A309" s="0" t="str">
        <f aca="false">IF(DECKS!B309="","",DECKS!B309)</f>
        <v/>
      </c>
      <c r="B309" s="0" t="str">
        <f aca="false">IF(A309="","",IF(MATCH(A309,$A$2:$A$3201,0)=ROW()-1,1,0))</f>
        <v/>
      </c>
      <c r="C309" s="0" t="str">
        <f aca="false">IF(B309=1,MAX(C$1:C308)+1,"")</f>
        <v/>
      </c>
    </row>
    <row r="310" customFormat="false" ht="15" hidden="false" customHeight="false" outlineLevel="0" collapsed="false">
      <c r="A310" s="0" t="str">
        <f aca="false">IF(DECKS!B310="","",DECKS!B310)</f>
        <v/>
      </c>
      <c r="B310" s="0" t="str">
        <f aca="false">IF(A310="","",IF(MATCH(A310,$A$2:$A$3201,0)=ROW()-1,1,0))</f>
        <v/>
      </c>
      <c r="C310" s="0" t="str">
        <f aca="false">IF(B310=1,MAX(C$1:C309)+1,"")</f>
        <v/>
      </c>
    </row>
    <row r="311" customFormat="false" ht="15" hidden="false" customHeight="false" outlineLevel="0" collapsed="false">
      <c r="A311" s="0" t="str">
        <f aca="false">IF(DECKS!B311="","",DECKS!B311)</f>
        <v/>
      </c>
      <c r="B311" s="0" t="str">
        <f aca="false">IF(A311="","",IF(MATCH(A311,$A$2:$A$3201,0)=ROW()-1,1,0))</f>
        <v/>
      </c>
      <c r="C311" s="0" t="str">
        <f aca="false">IF(B311=1,MAX(C$1:C310)+1,"")</f>
        <v/>
      </c>
    </row>
    <row r="312" customFormat="false" ht="15" hidden="false" customHeight="false" outlineLevel="0" collapsed="false">
      <c r="A312" s="0" t="str">
        <f aca="false">IF(DECKS!B312="","",DECKS!B312)</f>
        <v/>
      </c>
      <c r="B312" s="0" t="str">
        <f aca="false">IF(A312="","",IF(MATCH(A312,$A$2:$A$3201,0)=ROW()-1,1,0))</f>
        <v/>
      </c>
      <c r="C312" s="0" t="str">
        <f aca="false">IF(B312=1,MAX(C$1:C311)+1,"")</f>
        <v/>
      </c>
    </row>
    <row r="313" customFormat="false" ht="15" hidden="false" customHeight="false" outlineLevel="0" collapsed="false">
      <c r="A313" s="0" t="str">
        <f aca="false">IF(DECKS!B313="","",DECKS!B313)</f>
        <v/>
      </c>
      <c r="B313" s="0" t="str">
        <f aca="false">IF(A313="","",IF(MATCH(A313,$A$2:$A$3201,0)=ROW()-1,1,0))</f>
        <v/>
      </c>
      <c r="C313" s="0" t="str">
        <f aca="false">IF(B313=1,MAX(C$1:C312)+1,"")</f>
        <v/>
      </c>
    </row>
    <row r="314" customFormat="false" ht="15" hidden="false" customHeight="false" outlineLevel="0" collapsed="false">
      <c r="A314" s="0" t="str">
        <f aca="false">IF(DECKS!B314="","",DECKS!B314)</f>
        <v/>
      </c>
      <c r="B314" s="0" t="str">
        <f aca="false">IF(A314="","",IF(MATCH(A314,$A$2:$A$3201,0)=ROW()-1,1,0))</f>
        <v/>
      </c>
      <c r="C314" s="0" t="str">
        <f aca="false">IF(B314=1,MAX(C$1:C313)+1,"")</f>
        <v/>
      </c>
    </row>
    <row r="315" customFormat="false" ht="15" hidden="false" customHeight="false" outlineLevel="0" collapsed="false">
      <c r="A315" s="0" t="str">
        <f aca="false">IF(DECKS!B315="","",DECKS!B315)</f>
        <v/>
      </c>
      <c r="B315" s="0" t="str">
        <f aca="false">IF(A315="","",IF(MATCH(A315,$A$2:$A$3201,0)=ROW()-1,1,0))</f>
        <v/>
      </c>
      <c r="C315" s="0" t="str">
        <f aca="false">IF(B315=1,MAX(C$1:C314)+1,"")</f>
        <v/>
      </c>
    </row>
    <row r="316" customFormat="false" ht="15" hidden="false" customHeight="false" outlineLevel="0" collapsed="false">
      <c r="A316" s="0" t="str">
        <f aca="false">IF(DECKS!B316="","",DECKS!B316)</f>
        <v/>
      </c>
      <c r="B316" s="0" t="str">
        <f aca="false">IF(A316="","",IF(MATCH(A316,$A$2:$A$3201,0)=ROW()-1,1,0))</f>
        <v/>
      </c>
      <c r="C316" s="0" t="str">
        <f aca="false">IF(B316=1,MAX(C$1:C315)+1,"")</f>
        <v/>
      </c>
    </row>
    <row r="317" customFormat="false" ht="15" hidden="false" customHeight="false" outlineLevel="0" collapsed="false">
      <c r="A317" s="0" t="str">
        <f aca="false">IF(DECKS!B317="","",DECKS!B317)</f>
        <v/>
      </c>
      <c r="B317" s="0" t="str">
        <f aca="false">IF(A317="","",IF(MATCH(A317,$A$2:$A$3201,0)=ROW()-1,1,0))</f>
        <v/>
      </c>
      <c r="C317" s="0" t="str">
        <f aca="false">IF(B317=1,MAX(C$1:C316)+1,"")</f>
        <v/>
      </c>
    </row>
    <row r="318" customFormat="false" ht="15" hidden="false" customHeight="false" outlineLevel="0" collapsed="false">
      <c r="A318" s="0" t="str">
        <f aca="false">IF(DECKS!B318="","",DECKS!B318)</f>
        <v/>
      </c>
      <c r="B318" s="0" t="str">
        <f aca="false">IF(A318="","",IF(MATCH(A318,$A$2:$A$3201,0)=ROW()-1,1,0))</f>
        <v/>
      </c>
      <c r="C318" s="0" t="str">
        <f aca="false">IF(B318=1,MAX(C$1:C317)+1,"")</f>
        <v/>
      </c>
    </row>
    <row r="319" customFormat="false" ht="15" hidden="false" customHeight="false" outlineLevel="0" collapsed="false">
      <c r="A319" s="0" t="str">
        <f aca="false">IF(DECKS!B319="","",DECKS!B319)</f>
        <v/>
      </c>
      <c r="B319" s="0" t="str">
        <f aca="false">IF(A319="","",IF(MATCH(A319,$A$2:$A$3201,0)=ROW()-1,1,0))</f>
        <v/>
      </c>
      <c r="C319" s="0" t="str">
        <f aca="false">IF(B319=1,MAX(C$1:C318)+1,"")</f>
        <v/>
      </c>
    </row>
    <row r="320" customFormat="false" ht="15" hidden="false" customHeight="false" outlineLevel="0" collapsed="false">
      <c r="A320" s="0" t="str">
        <f aca="false">IF(DECKS!B320="","",DECKS!B320)</f>
        <v/>
      </c>
      <c r="B320" s="0" t="str">
        <f aca="false">IF(A320="","",IF(MATCH(A320,$A$2:$A$3201,0)=ROW()-1,1,0))</f>
        <v/>
      </c>
      <c r="C320" s="0" t="str">
        <f aca="false">IF(B320=1,MAX(C$1:C319)+1,"")</f>
        <v/>
      </c>
    </row>
    <row r="321" customFormat="false" ht="15" hidden="false" customHeight="false" outlineLevel="0" collapsed="false">
      <c r="A321" s="0" t="str">
        <f aca="false">IF(DECKS!B321="","",DECKS!B321)</f>
        <v/>
      </c>
      <c r="B321" s="0" t="str">
        <f aca="false">IF(A321="","",IF(MATCH(A321,$A$2:$A$3201,0)=ROW()-1,1,0))</f>
        <v/>
      </c>
      <c r="C321" s="0" t="str">
        <f aca="false">IF(B321=1,MAX(C$1:C320)+1,"")</f>
        <v/>
      </c>
    </row>
    <row r="322" customFormat="false" ht="15" hidden="false" customHeight="false" outlineLevel="0" collapsed="false">
      <c r="A322" s="0" t="str">
        <f aca="false">IF(DECKS!B322="","",DECKS!B322)</f>
        <v/>
      </c>
      <c r="B322" s="0" t="str">
        <f aca="false">IF(A322="","",IF(MATCH(A322,$A$2:$A$3201,0)=ROW()-1,1,0))</f>
        <v/>
      </c>
      <c r="C322" s="0" t="str">
        <f aca="false">IF(B322=1,MAX(C$1:C321)+1,"")</f>
        <v/>
      </c>
    </row>
    <row r="323" customFormat="false" ht="15" hidden="false" customHeight="false" outlineLevel="0" collapsed="false">
      <c r="A323" s="0" t="str">
        <f aca="false">IF(DECKS!B323="","",DECKS!B323)</f>
        <v/>
      </c>
      <c r="B323" s="0" t="str">
        <f aca="false">IF(A323="","",IF(MATCH(A323,$A$2:$A$3201,0)=ROW()-1,1,0))</f>
        <v/>
      </c>
      <c r="C323" s="0" t="str">
        <f aca="false">IF(B323=1,MAX(C$1:C322)+1,"")</f>
        <v/>
      </c>
    </row>
    <row r="324" customFormat="false" ht="15" hidden="false" customHeight="false" outlineLevel="0" collapsed="false">
      <c r="A324" s="0" t="str">
        <f aca="false">IF(DECKS!B324="","",DECKS!B324)</f>
        <v/>
      </c>
      <c r="B324" s="0" t="str">
        <f aca="false">IF(A324="","",IF(MATCH(A324,$A$2:$A$3201,0)=ROW()-1,1,0))</f>
        <v/>
      </c>
      <c r="C324" s="0" t="str">
        <f aca="false">IF(B324=1,MAX(C$1:C323)+1,"")</f>
        <v/>
      </c>
    </row>
    <row r="325" customFormat="false" ht="15" hidden="false" customHeight="false" outlineLevel="0" collapsed="false">
      <c r="A325" s="0" t="str">
        <f aca="false">IF(DECKS!B325="","",DECKS!B325)</f>
        <v/>
      </c>
      <c r="B325" s="0" t="str">
        <f aca="false">IF(A325="","",IF(MATCH(A325,$A$2:$A$3201,0)=ROW()-1,1,0))</f>
        <v/>
      </c>
      <c r="C325" s="0" t="str">
        <f aca="false">IF(B325=1,MAX(C$1:C324)+1,"")</f>
        <v/>
      </c>
    </row>
    <row r="326" customFormat="false" ht="15" hidden="false" customHeight="false" outlineLevel="0" collapsed="false">
      <c r="A326" s="0" t="str">
        <f aca="false">IF(DECKS!B326="","",DECKS!B326)</f>
        <v/>
      </c>
      <c r="B326" s="0" t="str">
        <f aca="false">IF(A326="","",IF(MATCH(A326,$A$2:$A$3201,0)=ROW()-1,1,0))</f>
        <v/>
      </c>
      <c r="C326" s="0" t="str">
        <f aca="false">IF(B326=1,MAX(C$1:C325)+1,"")</f>
        <v/>
      </c>
    </row>
    <row r="327" customFormat="false" ht="15" hidden="false" customHeight="false" outlineLevel="0" collapsed="false">
      <c r="A327" s="0" t="str">
        <f aca="false">IF(DECKS!B327="","",DECKS!B327)</f>
        <v/>
      </c>
      <c r="B327" s="0" t="str">
        <f aca="false">IF(A327="","",IF(MATCH(A327,$A$2:$A$3201,0)=ROW()-1,1,0))</f>
        <v/>
      </c>
      <c r="C327" s="0" t="str">
        <f aca="false">IF(B327=1,MAX(C$1:C326)+1,"")</f>
        <v/>
      </c>
    </row>
    <row r="328" customFormat="false" ht="15" hidden="false" customHeight="false" outlineLevel="0" collapsed="false">
      <c r="A328" s="0" t="str">
        <f aca="false">IF(DECKS!B328="","",DECKS!B328)</f>
        <v/>
      </c>
      <c r="B328" s="0" t="str">
        <f aca="false">IF(A328="","",IF(MATCH(A328,$A$2:$A$3201,0)=ROW()-1,1,0))</f>
        <v/>
      </c>
      <c r="C328" s="0" t="str">
        <f aca="false">IF(B328=1,MAX(C$1:C327)+1,"")</f>
        <v/>
      </c>
    </row>
    <row r="329" customFormat="false" ht="15" hidden="false" customHeight="false" outlineLevel="0" collapsed="false">
      <c r="A329" s="0" t="str">
        <f aca="false">IF(DECKS!B329="","",DECKS!B329)</f>
        <v/>
      </c>
      <c r="B329" s="0" t="str">
        <f aca="false">IF(A329="","",IF(MATCH(A329,$A$2:$A$3201,0)=ROW()-1,1,0))</f>
        <v/>
      </c>
      <c r="C329" s="0" t="str">
        <f aca="false">IF(B329=1,MAX(C$1:C328)+1,"")</f>
        <v/>
      </c>
    </row>
    <row r="330" customFormat="false" ht="15" hidden="false" customHeight="false" outlineLevel="0" collapsed="false">
      <c r="A330" s="0" t="str">
        <f aca="false">IF(DECKS!B330="","",DECKS!B330)</f>
        <v/>
      </c>
      <c r="B330" s="0" t="str">
        <f aca="false">IF(A330="","",IF(MATCH(A330,$A$2:$A$3201,0)=ROW()-1,1,0))</f>
        <v/>
      </c>
      <c r="C330" s="0" t="str">
        <f aca="false">IF(B330=1,MAX(C$1:C329)+1,"")</f>
        <v/>
      </c>
    </row>
    <row r="331" customFormat="false" ht="15" hidden="false" customHeight="false" outlineLevel="0" collapsed="false">
      <c r="A331" s="0" t="str">
        <f aca="false">IF(DECKS!B331="","",DECKS!B331)</f>
        <v/>
      </c>
      <c r="B331" s="0" t="str">
        <f aca="false">IF(A331="","",IF(MATCH(A331,$A$2:$A$3201,0)=ROW()-1,1,0))</f>
        <v/>
      </c>
      <c r="C331" s="0" t="str">
        <f aca="false">IF(B331=1,MAX(C$1:C330)+1,"")</f>
        <v/>
      </c>
    </row>
    <row r="332" customFormat="false" ht="15" hidden="false" customHeight="false" outlineLevel="0" collapsed="false">
      <c r="A332" s="0" t="str">
        <f aca="false">IF(DECKS!B332="","",DECKS!B332)</f>
        <v/>
      </c>
      <c r="B332" s="0" t="str">
        <f aca="false">IF(A332="","",IF(MATCH(A332,$A$2:$A$3201,0)=ROW()-1,1,0))</f>
        <v/>
      </c>
      <c r="C332" s="0" t="str">
        <f aca="false">IF(B332=1,MAX(C$1:C331)+1,"")</f>
        <v/>
      </c>
    </row>
    <row r="333" customFormat="false" ht="15" hidden="false" customHeight="false" outlineLevel="0" collapsed="false">
      <c r="A333" s="0" t="str">
        <f aca="false">IF(DECKS!B333="","",DECKS!B333)</f>
        <v/>
      </c>
      <c r="B333" s="0" t="str">
        <f aca="false">IF(A333="","",IF(MATCH(A333,$A$2:$A$3201,0)=ROW()-1,1,0))</f>
        <v/>
      </c>
      <c r="C333" s="0" t="str">
        <f aca="false">IF(B333=1,MAX(C$1:C332)+1,"")</f>
        <v/>
      </c>
    </row>
    <row r="334" customFormat="false" ht="15" hidden="false" customHeight="false" outlineLevel="0" collapsed="false">
      <c r="A334" s="0" t="str">
        <f aca="false">IF(DECKS!B334="","",DECKS!B334)</f>
        <v/>
      </c>
      <c r="B334" s="0" t="str">
        <f aca="false">IF(A334="","",IF(MATCH(A334,$A$2:$A$3201,0)=ROW()-1,1,0))</f>
        <v/>
      </c>
      <c r="C334" s="0" t="str">
        <f aca="false">IF(B334=1,MAX(C$1:C333)+1,"")</f>
        <v/>
      </c>
    </row>
    <row r="335" customFormat="false" ht="15" hidden="false" customHeight="false" outlineLevel="0" collapsed="false">
      <c r="A335" s="0" t="str">
        <f aca="false">IF(DECKS!B335="","",DECKS!B335)</f>
        <v/>
      </c>
      <c r="B335" s="0" t="str">
        <f aca="false">IF(A335="","",IF(MATCH(A335,$A$2:$A$3201,0)=ROW()-1,1,0))</f>
        <v/>
      </c>
      <c r="C335" s="0" t="str">
        <f aca="false">IF(B335=1,MAX(C$1:C334)+1,"")</f>
        <v/>
      </c>
    </row>
    <row r="336" customFormat="false" ht="15" hidden="false" customHeight="false" outlineLevel="0" collapsed="false">
      <c r="A336" s="0" t="str">
        <f aca="false">IF(DECKS!B336="","",DECKS!B336)</f>
        <v/>
      </c>
      <c r="B336" s="0" t="str">
        <f aca="false">IF(A336="","",IF(MATCH(A336,$A$2:$A$3201,0)=ROW()-1,1,0))</f>
        <v/>
      </c>
      <c r="C336" s="0" t="str">
        <f aca="false">IF(B336=1,MAX(C$1:C335)+1,"")</f>
        <v/>
      </c>
    </row>
    <row r="337" customFormat="false" ht="15" hidden="false" customHeight="false" outlineLevel="0" collapsed="false">
      <c r="A337" s="0" t="str">
        <f aca="false">IF(DECKS!B337="","",DECKS!B337)</f>
        <v/>
      </c>
      <c r="B337" s="0" t="str">
        <f aca="false">IF(A337="","",IF(MATCH(A337,$A$2:$A$3201,0)=ROW()-1,1,0))</f>
        <v/>
      </c>
      <c r="C337" s="0" t="str">
        <f aca="false">IF(B337=1,MAX(C$1:C336)+1,"")</f>
        <v/>
      </c>
    </row>
    <row r="338" customFormat="false" ht="15" hidden="false" customHeight="false" outlineLevel="0" collapsed="false">
      <c r="A338" s="0" t="str">
        <f aca="false">IF(DECKS!B338="","",DECKS!B338)</f>
        <v/>
      </c>
      <c r="B338" s="0" t="str">
        <f aca="false">IF(A338="","",IF(MATCH(A338,$A$2:$A$3201,0)=ROW()-1,1,0))</f>
        <v/>
      </c>
      <c r="C338" s="0" t="str">
        <f aca="false">IF(B338=1,MAX(C$1:C337)+1,"")</f>
        <v/>
      </c>
    </row>
    <row r="339" customFormat="false" ht="15" hidden="false" customHeight="false" outlineLevel="0" collapsed="false">
      <c r="A339" s="0" t="str">
        <f aca="false">IF(DECKS!B339="","",DECKS!B339)</f>
        <v/>
      </c>
      <c r="B339" s="0" t="str">
        <f aca="false">IF(A339="","",IF(MATCH(A339,$A$2:$A$3201,0)=ROW()-1,1,0))</f>
        <v/>
      </c>
      <c r="C339" s="0" t="str">
        <f aca="false">IF(B339=1,MAX(C$1:C338)+1,"")</f>
        <v/>
      </c>
    </row>
    <row r="340" customFormat="false" ht="15" hidden="false" customHeight="false" outlineLevel="0" collapsed="false">
      <c r="A340" s="0" t="str">
        <f aca="false">IF(DECKS!B340="","",DECKS!B340)</f>
        <v/>
      </c>
      <c r="B340" s="0" t="str">
        <f aca="false">IF(A340="","",IF(MATCH(A340,$A$2:$A$3201,0)=ROW()-1,1,0))</f>
        <v/>
      </c>
      <c r="C340" s="0" t="str">
        <f aca="false">IF(B340=1,MAX(C$1:C339)+1,"")</f>
        <v/>
      </c>
    </row>
    <row r="341" customFormat="false" ht="15" hidden="false" customHeight="false" outlineLevel="0" collapsed="false">
      <c r="A341" s="0" t="str">
        <f aca="false">IF(DECKS!B341="","",DECKS!B341)</f>
        <v/>
      </c>
      <c r="B341" s="0" t="str">
        <f aca="false">IF(A341="","",IF(MATCH(A341,$A$2:$A$3201,0)=ROW()-1,1,0))</f>
        <v/>
      </c>
      <c r="C341" s="0" t="str">
        <f aca="false">IF(B341=1,MAX(C$1:C340)+1,"")</f>
        <v/>
      </c>
    </row>
    <row r="342" customFormat="false" ht="15" hidden="false" customHeight="false" outlineLevel="0" collapsed="false">
      <c r="A342" s="0" t="str">
        <f aca="false">IF(DECKS!B342="","",DECKS!B342)</f>
        <v/>
      </c>
      <c r="B342" s="0" t="str">
        <f aca="false">IF(A342="","",IF(MATCH(A342,$A$2:$A$3201,0)=ROW()-1,1,0))</f>
        <v/>
      </c>
      <c r="C342" s="0" t="str">
        <f aca="false">IF(B342=1,MAX(C$1:C341)+1,"")</f>
        <v/>
      </c>
    </row>
    <row r="343" customFormat="false" ht="15" hidden="false" customHeight="false" outlineLevel="0" collapsed="false">
      <c r="A343" s="0" t="str">
        <f aca="false">IF(DECKS!B343="","",DECKS!B343)</f>
        <v/>
      </c>
      <c r="B343" s="0" t="str">
        <f aca="false">IF(A343="","",IF(MATCH(A343,$A$2:$A$3201,0)=ROW()-1,1,0))</f>
        <v/>
      </c>
      <c r="C343" s="0" t="str">
        <f aca="false">IF(B343=1,MAX(C$1:C342)+1,"")</f>
        <v/>
      </c>
    </row>
    <row r="344" customFormat="false" ht="15" hidden="false" customHeight="false" outlineLevel="0" collapsed="false">
      <c r="A344" s="0" t="str">
        <f aca="false">IF(DECKS!B344="","",DECKS!B344)</f>
        <v/>
      </c>
      <c r="B344" s="0" t="str">
        <f aca="false">IF(A344="","",IF(MATCH(A344,$A$2:$A$3201,0)=ROW()-1,1,0))</f>
        <v/>
      </c>
      <c r="C344" s="0" t="str">
        <f aca="false">IF(B344=1,MAX(C$1:C343)+1,"")</f>
        <v/>
      </c>
    </row>
    <row r="345" customFormat="false" ht="15" hidden="false" customHeight="false" outlineLevel="0" collapsed="false">
      <c r="A345" s="0" t="str">
        <f aca="false">IF(DECKS!B345="","",DECKS!B345)</f>
        <v/>
      </c>
      <c r="B345" s="0" t="str">
        <f aca="false">IF(A345="","",IF(MATCH(A345,$A$2:$A$3201,0)=ROW()-1,1,0))</f>
        <v/>
      </c>
      <c r="C345" s="0" t="str">
        <f aca="false">IF(B345=1,MAX(C$1:C344)+1,"")</f>
        <v/>
      </c>
    </row>
    <row r="346" customFormat="false" ht="15" hidden="false" customHeight="false" outlineLevel="0" collapsed="false">
      <c r="A346" s="0" t="str">
        <f aca="false">IF(DECKS!B346="","",DECKS!B346)</f>
        <v/>
      </c>
      <c r="B346" s="0" t="str">
        <f aca="false">IF(A346="","",IF(MATCH(A346,$A$2:$A$3201,0)=ROW()-1,1,0))</f>
        <v/>
      </c>
      <c r="C346" s="0" t="str">
        <f aca="false">IF(B346=1,MAX(C$1:C345)+1,"")</f>
        <v/>
      </c>
    </row>
    <row r="347" customFormat="false" ht="15" hidden="false" customHeight="false" outlineLevel="0" collapsed="false">
      <c r="A347" s="0" t="str">
        <f aca="false">IF(DECKS!B347="","",DECKS!B347)</f>
        <v/>
      </c>
      <c r="B347" s="0" t="str">
        <f aca="false">IF(A347="","",IF(MATCH(A347,$A$2:$A$3201,0)=ROW()-1,1,0))</f>
        <v/>
      </c>
      <c r="C347" s="0" t="str">
        <f aca="false">IF(B347=1,MAX(C$1:C346)+1,"")</f>
        <v/>
      </c>
    </row>
    <row r="348" customFormat="false" ht="15" hidden="false" customHeight="false" outlineLevel="0" collapsed="false">
      <c r="A348" s="0" t="str">
        <f aca="false">IF(DECKS!B348="","",DECKS!B348)</f>
        <v/>
      </c>
      <c r="B348" s="0" t="str">
        <f aca="false">IF(A348="","",IF(MATCH(A348,$A$2:$A$3201,0)=ROW()-1,1,0))</f>
        <v/>
      </c>
      <c r="C348" s="0" t="str">
        <f aca="false">IF(B348=1,MAX(C$1:C347)+1,"")</f>
        <v/>
      </c>
    </row>
    <row r="349" customFormat="false" ht="15" hidden="false" customHeight="false" outlineLevel="0" collapsed="false">
      <c r="A349" s="0" t="str">
        <f aca="false">IF(DECKS!B349="","",DECKS!B349)</f>
        <v/>
      </c>
      <c r="B349" s="0" t="str">
        <f aca="false">IF(A349="","",IF(MATCH(A349,$A$2:$A$3201,0)=ROW()-1,1,0))</f>
        <v/>
      </c>
      <c r="C349" s="0" t="str">
        <f aca="false">IF(B349=1,MAX(C$1:C348)+1,"")</f>
        <v/>
      </c>
    </row>
    <row r="350" customFormat="false" ht="15" hidden="false" customHeight="false" outlineLevel="0" collapsed="false">
      <c r="A350" s="0" t="str">
        <f aca="false">IF(DECKS!B350="","",DECKS!B350)</f>
        <v/>
      </c>
      <c r="B350" s="0" t="str">
        <f aca="false">IF(A350="","",IF(MATCH(A350,$A$2:$A$3201,0)=ROW()-1,1,0))</f>
        <v/>
      </c>
      <c r="C350" s="0" t="str">
        <f aca="false">IF(B350=1,MAX(C$1:C349)+1,"")</f>
        <v/>
      </c>
    </row>
    <row r="351" customFormat="false" ht="15" hidden="false" customHeight="false" outlineLevel="0" collapsed="false">
      <c r="A351" s="0" t="str">
        <f aca="false">IF(DECKS!B351="","",DECKS!B351)</f>
        <v/>
      </c>
      <c r="B351" s="0" t="str">
        <f aca="false">IF(A351="","",IF(MATCH(A351,$A$2:$A$3201,0)=ROW()-1,1,0))</f>
        <v/>
      </c>
      <c r="C351" s="0" t="str">
        <f aca="false">IF(B351=1,MAX(C$1:C350)+1,"")</f>
        <v/>
      </c>
    </row>
    <row r="352" customFormat="false" ht="15" hidden="false" customHeight="false" outlineLevel="0" collapsed="false">
      <c r="A352" s="0" t="str">
        <f aca="false">IF(DECKS!B352="","",DECKS!B352)</f>
        <v/>
      </c>
      <c r="B352" s="0" t="str">
        <f aca="false">IF(A352="","",IF(MATCH(A352,$A$2:$A$3201,0)=ROW()-1,1,0))</f>
        <v/>
      </c>
      <c r="C352" s="0" t="str">
        <f aca="false">IF(B352=1,MAX(C$1:C351)+1,"")</f>
        <v/>
      </c>
    </row>
    <row r="353" customFormat="false" ht="15" hidden="false" customHeight="false" outlineLevel="0" collapsed="false">
      <c r="A353" s="0" t="str">
        <f aca="false">IF(DECKS!B353="","",DECKS!B353)</f>
        <v/>
      </c>
      <c r="B353" s="0" t="str">
        <f aca="false">IF(A353="","",IF(MATCH(A353,$A$2:$A$3201,0)=ROW()-1,1,0))</f>
        <v/>
      </c>
      <c r="C353" s="0" t="str">
        <f aca="false">IF(B353=1,MAX(C$1:C352)+1,"")</f>
        <v/>
      </c>
    </row>
    <row r="354" customFormat="false" ht="15" hidden="false" customHeight="false" outlineLevel="0" collapsed="false">
      <c r="A354" s="0" t="str">
        <f aca="false">IF(DECKS!B354="","",DECKS!B354)</f>
        <v/>
      </c>
      <c r="B354" s="0" t="str">
        <f aca="false">IF(A354="","",IF(MATCH(A354,$A$2:$A$3201,0)=ROW()-1,1,0))</f>
        <v/>
      </c>
      <c r="C354" s="0" t="str">
        <f aca="false">IF(B354=1,MAX(C$1:C353)+1,"")</f>
        <v/>
      </c>
    </row>
    <row r="355" customFormat="false" ht="15" hidden="false" customHeight="false" outlineLevel="0" collapsed="false">
      <c r="A355" s="0" t="str">
        <f aca="false">IF(DECKS!B355="","",DECKS!B355)</f>
        <v/>
      </c>
      <c r="B355" s="0" t="str">
        <f aca="false">IF(A355="","",IF(MATCH(A355,$A$2:$A$3201,0)=ROW()-1,1,0))</f>
        <v/>
      </c>
      <c r="C355" s="0" t="str">
        <f aca="false">IF(B355=1,MAX(C$1:C354)+1,"")</f>
        <v/>
      </c>
    </row>
    <row r="356" customFormat="false" ht="15" hidden="false" customHeight="false" outlineLevel="0" collapsed="false">
      <c r="A356" s="0" t="str">
        <f aca="false">IF(DECKS!B356="","",DECKS!B356)</f>
        <v/>
      </c>
      <c r="B356" s="0" t="str">
        <f aca="false">IF(A356="","",IF(MATCH(A356,$A$2:$A$3201,0)=ROW()-1,1,0))</f>
        <v/>
      </c>
      <c r="C356" s="0" t="str">
        <f aca="false">IF(B356=1,MAX(C$1:C355)+1,"")</f>
        <v/>
      </c>
    </row>
    <row r="357" customFormat="false" ht="15" hidden="false" customHeight="false" outlineLevel="0" collapsed="false">
      <c r="A357" s="0" t="str">
        <f aca="false">IF(DECKS!B357="","",DECKS!B357)</f>
        <v/>
      </c>
      <c r="B357" s="0" t="str">
        <f aca="false">IF(A357="","",IF(MATCH(A357,$A$2:$A$3201,0)=ROW()-1,1,0))</f>
        <v/>
      </c>
      <c r="C357" s="0" t="str">
        <f aca="false">IF(B357=1,MAX(C$1:C356)+1,"")</f>
        <v/>
      </c>
    </row>
    <row r="358" customFormat="false" ht="15" hidden="false" customHeight="false" outlineLevel="0" collapsed="false">
      <c r="A358" s="0" t="str">
        <f aca="false">IF(DECKS!B358="","",DECKS!B358)</f>
        <v/>
      </c>
      <c r="B358" s="0" t="str">
        <f aca="false">IF(A358="","",IF(MATCH(A358,$A$2:$A$3201,0)=ROW()-1,1,0))</f>
        <v/>
      </c>
      <c r="C358" s="0" t="str">
        <f aca="false">IF(B358=1,MAX(C$1:C357)+1,"")</f>
        <v/>
      </c>
    </row>
    <row r="359" customFormat="false" ht="15" hidden="false" customHeight="false" outlineLevel="0" collapsed="false">
      <c r="A359" s="0" t="str">
        <f aca="false">IF(DECKS!B359="","",DECKS!B359)</f>
        <v/>
      </c>
      <c r="B359" s="0" t="str">
        <f aca="false">IF(A359="","",IF(MATCH(A359,$A$2:$A$3201,0)=ROW()-1,1,0))</f>
        <v/>
      </c>
      <c r="C359" s="0" t="str">
        <f aca="false">IF(B359=1,MAX(C$1:C358)+1,"")</f>
        <v/>
      </c>
    </row>
    <row r="360" customFormat="false" ht="15" hidden="false" customHeight="false" outlineLevel="0" collapsed="false">
      <c r="A360" s="0" t="str">
        <f aca="false">IF(DECKS!B360="","",DECKS!B360)</f>
        <v/>
      </c>
      <c r="B360" s="0" t="str">
        <f aca="false">IF(A360="","",IF(MATCH(A360,$A$2:$A$3201,0)=ROW()-1,1,0))</f>
        <v/>
      </c>
      <c r="C360" s="0" t="str">
        <f aca="false">IF(B360=1,MAX(C$1:C359)+1,"")</f>
        <v/>
      </c>
    </row>
    <row r="361" customFormat="false" ht="15" hidden="false" customHeight="false" outlineLevel="0" collapsed="false">
      <c r="A361" s="0" t="str">
        <f aca="false">IF(DECKS!B361="","",DECKS!B361)</f>
        <v/>
      </c>
      <c r="B361" s="0" t="str">
        <f aca="false">IF(A361="","",IF(MATCH(A361,$A$2:$A$3201,0)=ROW()-1,1,0))</f>
        <v/>
      </c>
      <c r="C361" s="0" t="str">
        <f aca="false">IF(B361=1,MAX(C$1:C360)+1,"")</f>
        <v/>
      </c>
    </row>
    <row r="362" customFormat="false" ht="15" hidden="false" customHeight="false" outlineLevel="0" collapsed="false">
      <c r="A362" s="0" t="str">
        <f aca="false">IF(DECKS!B362="","",DECKS!B362)</f>
        <v/>
      </c>
      <c r="B362" s="0" t="str">
        <f aca="false">IF(A362="","",IF(MATCH(A362,$A$2:$A$3201,0)=ROW()-1,1,0))</f>
        <v/>
      </c>
      <c r="C362" s="0" t="str">
        <f aca="false">IF(B362=1,MAX(C$1:C361)+1,"")</f>
        <v/>
      </c>
    </row>
    <row r="363" customFormat="false" ht="15" hidden="false" customHeight="false" outlineLevel="0" collapsed="false">
      <c r="A363" s="0" t="str">
        <f aca="false">IF(DECKS!B363="","",DECKS!B363)</f>
        <v/>
      </c>
      <c r="B363" s="0" t="str">
        <f aca="false">IF(A363="","",IF(MATCH(A363,$A$2:$A$3201,0)=ROW()-1,1,0))</f>
        <v/>
      </c>
      <c r="C363" s="0" t="str">
        <f aca="false">IF(B363=1,MAX(C$1:C362)+1,"")</f>
        <v/>
      </c>
    </row>
    <row r="364" customFormat="false" ht="15" hidden="false" customHeight="false" outlineLevel="0" collapsed="false">
      <c r="A364" s="0" t="str">
        <f aca="false">IF(DECKS!B364="","",DECKS!B364)</f>
        <v/>
      </c>
      <c r="B364" s="0" t="str">
        <f aca="false">IF(A364="","",IF(MATCH(A364,$A$2:$A$3201,0)=ROW()-1,1,0))</f>
        <v/>
      </c>
      <c r="C364" s="0" t="str">
        <f aca="false">IF(B364=1,MAX(C$1:C363)+1,"")</f>
        <v/>
      </c>
    </row>
    <row r="365" customFormat="false" ht="15" hidden="false" customHeight="false" outlineLevel="0" collapsed="false">
      <c r="A365" s="0" t="str">
        <f aca="false">IF(DECKS!B365="","",DECKS!B365)</f>
        <v/>
      </c>
      <c r="B365" s="0" t="str">
        <f aca="false">IF(A365="","",IF(MATCH(A365,$A$2:$A$3201,0)=ROW()-1,1,0))</f>
        <v/>
      </c>
      <c r="C365" s="0" t="str">
        <f aca="false">IF(B365=1,MAX(C$1:C364)+1,"")</f>
        <v/>
      </c>
    </row>
    <row r="366" customFormat="false" ht="15" hidden="false" customHeight="false" outlineLevel="0" collapsed="false">
      <c r="A366" s="0" t="str">
        <f aca="false">IF(DECKS!B366="","",DECKS!B366)</f>
        <v/>
      </c>
      <c r="B366" s="0" t="str">
        <f aca="false">IF(A366="","",IF(MATCH(A366,$A$2:$A$3201,0)=ROW()-1,1,0))</f>
        <v/>
      </c>
      <c r="C366" s="0" t="str">
        <f aca="false">IF(B366=1,MAX(C$1:C365)+1,"")</f>
        <v/>
      </c>
    </row>
    <row r="367" customFormat="false" ht="15" hidden="false" customHeight="false" outlineLevel="0" collapsed="false">
      <c r="A367" s="0" t="str">
        <f aca="false">IF(DECKS!B367="","",DECKS!B367)</f>
        <v/>
      </c>
      <c r="B367" s="0" t="str">
        <f aca="false">IF(A367="","",IF(MATCH(A367,$A$2:$A$3201,0)=ROW()-1,1,0))</f>
        <v/>
      </c>
      <c r="C367" s="0" t="str">
        <f aca="false">IF(B367=1,MAX(C$1:C366)+1,"")</f>
        <v/>
      </c>
    </row>
    <row r="368" customFormat="false" ht="15" hidden="false" customHeight="false" outlineLevel="0" collapsed="false">
      <c r="A368" s="0" t="str">
        <f aca="false">IF(DECKS!B368="","",DECKS!B368)</f>
        <v/>
      </c>
      <c r="B368" s="0" t="str">
        <f aca="false">IF(A368="","",IF(MATCH(A368,$A$2:$A$3201,0)=ROW()-1,1,0))</f>
        <v/>
      </c>
      <c r="C368" s="0" t="str">
        <f aca="false">IF(B368=1,MAX(C$1:C367)+1,"")</f>
        <v/>
      </c>
    </row>
    <row r="369" customFormat="false" ht="15" hidden="false" customHeight="false" outlineLevel="0" collapsed="false">
      <c r="A369" s="0" t="str">
        <f aca="false">IF(DECKS!B369="","",DECKS!B369)</f>
        <v/>
      </c>
      <c r="B369" s="0" t="str">
        <f aca="false">IF(A369="","",IF(MATCH(A369,$A$2:$A$3201,0)=ROW()-1,1,0))</f>
        <v/>
      </c>
      <c r="C369" s="0" t="str">
        <f aca="false">IF(B369=1,MAX(C$1:C368)+1,"")</f>
        <v/>
      </c>
    </row>
    <row r="370" customFormat="false" ht="15" hidden="false" customHeight="false" outlineLevel="0" collapsed="false">
      <c r="A370" s="0" t="str">
        <f aca="false">IF(DECKS!B370="","",DECKS!B370)</f>
        <v/>
      </c>
      <c r="B370" s="0" t="str">
        <f aca="false">IF(A370="","",IF(MATCH(A370,$A$2:$A$3201,0)=ROW()-1,1,0))</f>
        <v/>
      </c>
      <c r="C370" s="0" t="str">
        <f aca="false">IF(B370=1,MAX(C$1:C369)+1,"")</f>
        <v/>
      </c>
    </row>
    <row r="371" customFormat="false" ht="15" hidden="false" customHeight="false" outlineLevel="0" collapsed="false">
      <c r="A371" s="0" t="str">
        <f aca="false">IF(DECKS!B371="","",DECKS!B371)</f>
        <v/>
      </c>
      <c r="B371" s="0" t="str">
        <f aca="false">IF(A371="","",IF(MATCH(A371,$A$2:$A$3201,0)=ROW()-1,1,0))</f>
        <v/>
      </c>
      <c r="C371" s="0" t="str">
        <f aca="false">IF(B371=1,MAX(C$1:C370)+1,"")</f>
        <v/>
      </c>
    </row>
    <row r="372" customFormat="false" ht="15" hidden="false" customHeight="false" outlineLevel="0" collapsed="false">
      <c r="A372" s="0" t="str">
        <f aca="false">IF(DECKS!B372="","",DECKS!B372)</f>
        <v/>
      </c>
      <c r="B372" s="0" t="str">
        <f aca="false">IF(A372="","",IF(MATCH(A372,$A$2:$A$3201,0)=ROW()-1,1,0))</f>
        <v/>
      </c>
      <c r="C372" s="0" t="str">
        <f aca="false">IF(B372=1,MAX(C$1:C371)+1,"")</f>
        <v/>
      </c>
    </row>
    <row r="373" customFormat="false" ht="15" hidden="false" customHeight="false" outlineLevel="0" collapsed="false">
      <c r="A373" s="0" t="str">
        <f aca="false">IF(DECKS!B373="","",DECKS!B373)</f>
        <v/>
      </c>
      <c r="B373" s="0" t="str">
        <f aca="false">IF(A373="","",IF(MATCH(A373,$A$2:$A$3201,0)=ROW()-1,1,0))</f>
        <v/>
      </c>
      <c r="C373" s="0" t="str">
        <f aca="false">IF(B373=1,MAX(C$1:C372)+1,"")</f>
        <v/>
      </c>
    </row>
    <row r="374" customFormat="false" ht="15" hidden="false" customHeight="false" outlineLevel="0" collapsed="false">
      <c r="A374" s="0" t="str">
        <f aca="false">IF(DECKS!B374="","",DECKS!B374)</f>
        <v/>
      </c>
      <c r="B374" s="0" t="str">
        <f aca="false">IF(A374="","",IF(MATCH(A374,$A$2:$A$3201,0)=ROW()-1,1,0))</f>
        <v/>
      </c>
      <c r="C374" s="0" t="str">
        <f aca="false">IF(B374=1,MAX(C$1:C373)+1,"")</f>
        <v/>
      </c>
    </row>
    <row r="375" customFormat="false" ht="15" hidden="false" customHeight="false" outlineLevel="0" collapsed="false">
      <c r="A375" s="0" t="str">
        <f aca="false">IF(DECKS!B375="","",DECKS!B375)</f>
        <v/>
      </c>
      <c r="B375" s="0" t="str">
        <f aca="false">IF(A375="","",IF(MATCH(A375,$A$2:$A$3201,0)=ROW()-1,1,0))</f>
        <v/>
      </c>
      <c r="C375" s="0" t="str">
        <f aca="false">IF(B375=1,MAX(C$1:C374)+1,"")</f>
        <v/>
      </c>
    </row>
    <row r="376" customFormat="false" ht="15" hidden="false" customHeight="false" outlineLevel="0" collapsed="false">
      <c r="A376" s="0" t="str">
        <f aca="false">IF(DECKS!B376="","",DECKS!B376)</f>
        <v/>
      </c>
      <c r="B376" s="0" t="str">
        <f aca="false">IF(A376="","",IF(MATCH(A376,$A$2:$A$3201,0)=ROW()-1,1,0))</f>
        <v/>
      </c>
      <c r="C376" s="0" t="str">
        <f aca="false">IF(B376=1,MAX(C$1:C375)+1,"")</f>
        <v/>
      </c>
    </row>
    <row r="377" customFormat="false" ht="15" hidden="false" customHeight="false" outlineLevel="0" collapsed="false">
      <c r="A377" s="0" t="str">
        <f aca="false">IF(DECKS!B377="","",DECKS!B377)</f>
        <v/>
      </c>
      <c r="B377" s="0" t="str">
        <f aca="false">IF(A377="","",IF(MATCH(A377,$A$2:$A$3201,0)=ROW()-1,1,0))</f>
        <v/>
      </c>
      <c r="C377" s="0" t="str">
        <f aca="false">IF(B377=1,MAX(C$1:C376)+1,"")</f>
        <v/>
      </c>
    </row>
    <row r="378" customFormat="false" ht="15" hidden="false" customHeight="false" outlineLevel="0" collapsed="false">
      <c r="A378" s="0" t="str">
        <f aca="false">IF(DECKS!B378="","",DECKS!B378)</f>
        <v/>
      </c>
      <c r="B378" s="0" t="str">
        <f aca="false">IF(A378="","",IF(MATCH(A378,$A$2:$A$3201,0)=ROW()-1,1,0))</f>
        <v/>
      </c>
      <c r="C378" s="0" t="str">
        <f aca="false">IF(B378=1,MAX(C$1:C377)+1,"")</f>
        <v/>
      </c>
    </row>
    <row r="379" customFormat="false" ht="15" hidden="false" customHeight="false" outlineLevel="0" collapsed="false">
      <c r="A379" s="0" t="str">
        <f aca="false">IF(DECKS!B379="","",DECKS!B379)</f>
        <v/>
      </c>
      <c r="B379" s="0" t="str">
        <f aca="false">IF(A379="","",IF(MATCH(A379,$A$2:$A$3201,0)=ROW()-1,1,0))</f>
        <v/>
      </c>
      <c r="C379" s="0" t="str">
        <f aca="false">IF(B379=1,MAX(C$1:C378)+1,"")</f>
        <v/>
      </c>
    </row>
    <row r="380" customFormat="false" ht="15" hidden="false" customHeight="false" outlineLevel="0" collapsed="false">
      <c r="A380" s="0" t="str">
        <f aca="false">IF(DECKS!B380="","",DECKS!B380)</f>
        <v/>
      </c>
      <c r="B380" s="0" t="str">
        <f aca="false">IF(A380="","",IF(MATCH(A380,$A$2:$A$3201,0)=ROW()-1,1,0))</f>
        <v/>
      </c>
      <c r="C380" s="0" t="str">
        <f aca="false">IF(B380=1,MAX(C$1:C379)+1,"")</f>
        <v/>
      </c>
    </row>
    <row r="381" customFormat="false" ht="15" hidden="false" customHeight="false" outlineLevel="0" collapsed="false">
      <c r="A381" s="0" t="str">
        <f aca="false">IF(DECKS!B381="","",DECKS!B381)</f>
        <v/>
      </c>
      <c r="B381" s="0" t="str">
        <f aca="false">IF(A381="","",IF(MATCH(A381,$A$2:$A$3201,0)=ROW()-1,1,0))</f>
        <v/>
      </c>
      <c r="C381" s="0" t="str">
        <f aca="false">IF(B381=1,MAX(C$1:C380)+1,"")</f>
        <v/>
      </c>
    </row>
    <row r="382" customFormat="false" ht="15" hidden="false" customHeight="false" outlineLevel="0" collapsed="false">
      <c r="A382" s="0" t="str">
        <f aca="false">IF(DECKS!B382="","",DECKS!B382)</f>
        <v/>
      </c>
      <c r="B382" s="0" t="str">
        <f aca="false">IF(A382="","",IF(MATCH(A382,$A$2:$A$3201,0)=ROW()-1,1,0))</f>
        <v/>
      </c>
      <c r="C382" s="0" t="str">
        <f aca="false">IF(B382=1,MAX(C$1:C381)+1,"")</f>
        <v/>
      </c>
    </row>
    <row r="383" customFormat="false" ht="15" hidden="false" customHeight="false" outlineLevel="0" collapsed="false">
      <c r="A383" s="0" t="str">
        <f aca="false">IF(DECKS!B383="","",DECKS!B383)</f>
        <v/>
      </c>
      <c r="B383" s="0" t="str">
        <f aca="false">IF(A383="","",IF(MATCH(A383,$A$2:$A$3201,0)=ROW()-1,1,0))</f>
        <v/>
      </c>
      <c r="C383" s="0" t="str">
        <f aca="false">IF(B383=1,MAX(C$1:C382)+1,"")</f>
        <v/>
      </c>
    </row>
    <row r="384" customFormat="false" ht="15" hidden="false" customHeight="false" outlineLevel="0" collapsed="false">
      <c r="A384" s="0" t="str">
        <f aca="false">IF(DECKS!B384="","",DECKS!B384)</f>
        <v/>
      </c>
      <c r="B384" s="0" t="str">
        <f aca="false">IF(A384="","",IF(MATCH(A384,$A$2:$A$3201,0)=ROW()-1,1,0))</f>
        <v/>
      </c>
      <c r="C384" s="0" t="str">
        <f aca="false">IF(B384=1,MAX(C$1:C383)+1,"")</f>
        <v/>
      </c>
    </row>
    <row r="385" customFormat="false" ht="15" hidden="false" customHeight="false" outlineLevel="0" collapsed="false">
      <c r="A385" s="0" t="str">
        <f aca="false">IF(DECKS!B385="","",DECKS!B385)</f>
        <v/>
      </c>
      <c r="B385" s="0" t="str">
        <f aca="false">IF(A385="","",IF(MATCH(A385,$A$2:$A$3201,0)=ROW()-1,1,0))</f>
        <v/>
      </c>
      <c r="C385" s="0" t="str">
        <f aca="false">IF(B385=1,MAX(C$1:C384)+1,"")</f>
        <v/>
      </c>
    </row>
    <row r="386" customFormat="false" ht="15" hidden="false" customHeight="false" outlineLevel="0" collapsed="false">
      <c r="A386" s="0" t="str">
        <f aca="false">IF(DECKS!B386="","",DECKS!B386)</f>
        <v/>
      </c>
      <c r="B386" s="0" t="str">
        <f aca="false">IF(A386="","",IF(MATCH(A386,$A$2:$A$3201,0)=ROW()-1,1,0))</f>
        <v/>
      </c>
      <c r="C386" s="0" t="str">
        <f aca="false">IF(B386=1,MAX(C$1:C385)+1,"")</f>
        <v/>
      </c>
    </row>
    <row r="387" customFormat="false" ht="15" hidden="false" customHeight="false" outlineLevel="0" collapsed="false">
      <c r="A387" s="0" t="str">
        <f aca="false">IF(DECKS!B387="","",DECKS!B387)</f>
        <v/>
      </c>
      <c r="B387" s="0" t="str">
        <f aca="false">IF(A387="","",IF(MATCH(A387,$A$2:$A$3201,0)=ROW()-1,1,0))</f>
        <v/>
      </c>
      <c r="C387" s="0" t="str">
        <f aca="false">IF(B387=1,MAX(C$1:C386)+1,"")</f>
        <v/>
      </c>
    </row>
    <row r="388" customFormat="false" ht="15" hidden="false" customHeight="false" outlineLevel="0" collapsed="false">
      <c r="A388" s="0" t="str">
        <f aca="false">IF(DECKS!B388="","",DECKS!B388)</f>
        <v/>
      </c>
      <c r="B388" s="0" t="str">
        <f aca="false">IF(A388="","",IF(MATCH(A388,$A$2:$A$3201,0)=ROW()-1,1,0))</f>
        <v/>
      </c>
      <c r="C388" s="0" t="str">
        <f aca="false">IF(B388=1,MAX(C$1:C387)+1,"")</f>
        <v/>
      </c>
    </row>
    <row r="389" customFormat="false" ht="15" hidden="false" customHeight="false" outlineLevel="0" collapsed="false">
      <c r="A389" s="0" t="str">
        <f aca="false">IF(DECKS!B389="","",DECKS!B389)</f>
        <v/>
      </c>
      <c r="B389" s="0" t="str">
        <f aca="false">IF(A389="","",IF(MATCH(A389,$A$2:$A$3201,0)=ROW()-1,1,0))</f>
        <v/>
      </c>
      <c r="C389" s="0" t="str">
        <f aca="false">IF(B389=1,MAX(C$1:C388)+1,"")</f>
        <v/>
      </c>
    </row>
    <row r="390" customFormat="false" ht="15" hidden="false" customHeight="false" outlineLevel="0" collapsed="false">
      <c r="A390" s="0" t="str">
        <f aca="false">IF(DECKS!B390="","",DECKS!B390)</f>
        <v/>
      </c>
      <c r="B390" s="0" t="str">
        <f aca="false">IF(A390="","",IF(MATCH(A390,$A$2:$A$3201,0)=ROW()-1,1,0))</f>
        <v/>
      </c>
      <c r="C390" s="0" t="str">
        <f aca="false">IF(B390=1,MAX(C$1:C389)+1,"")</f>
        <v/>
      </c>
    </row>
    <row r="391" customFormat="false" ht="15" hidden="false" customHeight="false" outlineLevel="0" collapsed="false">
      <c r="A391" s="0" t="str">
        <f aca="false">IF(DECKS!B391="","",DECKS!B391)</f>
        <v/>
      </c>
      <c r="B391" s="0" t="str">
        <f aca="false">IF(A391="","",IF(MATCH(A391,$A$2:$A$3201,0)=ROW()-1,1,0))</f>
        <v/>
      </c>
      <c r="C391" s="0" t="str">
        <f aca="false">IF(B391=1,MAX(C$1:C390)+1,"")</f>
        <v/>
      </c>
    </row>
    <row r="392" customFormat="false" ht="15" hidden="false" customHeight="false" outlineLevel="0" collapsed="false">
      <c r="A392" s="0" t="str">
        <f aca="false">IF(DECKS!B392="","",DECKS!B392)</f>
        <v/>
      </c>
      <c r="B392" s="0" t="str">
        <f aca="false">IF(A392="","",IF(MATCH(A392,$A$2:$A$3201,0)=ROW()-1,1,0))</f>
        <v/>
      </c>
      <c r="C392" s="0" t="str">
        <f aca="false">IF(B392=1,MAX(C$1:C391)+1,"")</f>
        <v/>
      </c>
    </row>
    <row r="393" customFormat="false" ht="15" hidden="false" customHeight="false" outlineLevel="0" collapsed="false">
      <c r="A393" s="0" t="str">
        <f aca="false">IF(DECKS!B393="","",DECKS!B393)</f>
        <v/>
      </c>
      <c r="B393" s="0" t="str">
        <f aca="false">IF(A393="","",IF(MATCH(A393,$A$2:$A$3201,0)=ROW()-1,1,0))</f>
        <v/>
      </c>
      <c r="C393" s="0" t="str">
        <f aca="false">IF(B393=1,MAX(C$1:C392)+1,"")</f>
        <v/>
      </c>
    </row>
    <row r="394" customFormat="false" ht="15" hidden="false" customHeight="false" outlineLevel="0" collapsed="false">
      <c r="A394" s="0" t="str">
        <f aca="false">IF(DECKS!B394="","",DECKS!B394)</f>
        <v/>
      </c>
      <c r="B394" s="0" t="str">
        <f aca="false">IF(A394="","",IF(MATCH(A394,$A$2:$A$3201,0)=ROW()-1,1,0))</f>
        <v/>
      </c>
      <c r="C394" s="0" t="str">
        <f aca="false">IF(B394=1,MAX(C$1:C393)+1,"")</f>
        <v/>
      </c>
    </row>
    <row r="395" customFormat="false" ht="15" hidden="false" customHeight="false" outlineLevel="0" collapsed="false">
      <c r="A395" s="0" t="str">
        <f aca="false">IF(DECKS!B395="","",DECKS!B395)</f>
        <v/>
      </c>
      <c r="B395" s="0" t="str">
        <f aca="false">IF(A395="","",IF(MATCH(A395,$A$2:$A$3201,0)=ROW()-1,1,0))</f>
        <v/>
      </c>
      <c r="C395" s="0" t="str">
        <f aca="false">IF(B395=1,MAX(C$1:C394)+1,"")</f>
        <v/>
      </c>
    </row>
    <row r="396" customFormat="false" ht="15" hidden="false" customHeight="false" outlineLevel="0" collapsed="false">
      <c r="A396" s="0" t="str">
        <f aca="false">IF(DECKS!B396="","",DECKS!B396)</f>
        <v/>
      </c>
      <c r="B396" s="0" t="str">
        <f aca="false">IF(A396="","",IF(MATCH(A396,$A$2:$A$3201,0)=ROW()-1,1,0))</f>
        <v/>
      </c>
      <c r="C396" s="0" t="str">
        <f aca="false">IF(B396=1,MAX(C$1:C395)+1,"")</f>
        <v/>
      </c>
    </row>
    <row r="397" customFormat="false" ht="15" hidden="false" customHeight="false" outlineLevel="0" collapsed="false">
      <c r="A397" s="0" t="str">
        <f aca="false">IF(DECKS!B397="","",DECKS!B397)</f>
        <v/>
      </c>
      <c r="B397" s="0" t="str">
        <f aca="false">IF(A397="","",IF(MATCH(A397,$A$2:$A$3201,0)=ROW()-1,1,0))</f>
        <v/>
      </c>
      <c r="C397" s="0" t="str">
        <f aca="false">IF(B397=1,MAX(C$1:C396)+1,"")</f>
        <v/>
      </c>
    </row>
    <row r="398" customFormat="false" ht="15" hidden="false" customHeight="false" outlineLevel="0" collapsed="false">
      <c r="A398" s="0" t="str">
        <f aca="false">IF(DECKS!B398="","",DECKS!B398)</f>
        <v/>
      </c>
      <c r="B398" s="0" t="str">
        <f aca="false">IF(A398="","",IF(MATCH(A398,$A$2:$A$3201,0)=ROW()-1,1,0))</f>
        <v/>
      </c>
      <c r="C398" s="0" t="str">
        <f aca="false">IF(B398=1,MAX(C$1:C397)+1,"")</f>
        <v/>
      </c>
    </row>
    <row r="399" customFormat="false" ht="15" hidden="false" customHeight="false" outlineLevel="0" collapsed="false">
      <c r="A399" s="0" t="str">
        <f aca="false">IF(DECKS!B399="","",DECKS!B399)</f>
        <v/>
      </c>
      <c r="B399" s="0" t="str">
        <f aca="false">IF(A399="","",IF(MATCH(A399,$A$2:$A$3201,0)=ROW()-1,1,0))</f>
        <v/>
      </c>
      <c r="C399" s="0" t="str">
        <f aca="false">IF(B399=1,MAX(C$1:C398)+1,"")</f>
        <v/>
      </c>
    </row>
    <row r="400" customFormat="false" ht="15" hidden="false" customHeight="false" outlineLevel="0" collapsed="false">
      <c r="A400" s="0" t="str">
        <f aca="false">IF(DECKS!B400="","",DECKS!B400)</f>
        <v/>
      </c>
      <c r="B400" s="0" t="str">
        <f aca="false">IF(A400="","",IF(MATCH(A400,$A$2:$A$3201,0)=ROW()-1,1,0))</f>
        <v/>
      </c>
      <c r="C400" s="0" t="str">
        <f aca="false">IF(B400=1,MAX(C$1:C399)+1,"")</f>
        <v/>
      </c>
    </row>
    <row r="401" customFormat="false" ht="15" hidden="false" customHeight="false" outlineLevel="0" collapsed="false">
      <c r="A401" s="0" t="str">
        <f aca="false">IF(DECKS!B401="","",DECKS!B401)</f>
        <v/>
      </c>
      <c r="B401" s="0" t="str">
        <f aca="false">IF(A401="","",IF(MATCH(A401,$A$2:$A$3201,0)=ROW()-1,1,0))</f>
        <v/>
      </c>
      <c r="C401" s="0" t="str">
        <f aca="false">IF(B401=1,MAX(C$1:C400)+1,"")</f>
        <v/>
      </c>
    </row>
    <row r="402" customFormat="false" ht="15" hidden="false" customHeight="false" outlineLevel="0" collapsed="false">
      <c r="A402" s="0" t="str">
        <f aca="false">IF(DECKS!B402="","",DECKS!B402)</f>
        <v/>
      </c>
      <c r="B402" s="0" t="str">
        <f aca="false">IF(A402="","",IF(MATCH(A402,$A$2:$A$3201,0)=ROW()-1,1,0))</f>
        <v/>
      </c>
      <c r="C402" s="0" t="str">
        <f aca="false">IF(B402=1,MAX(C$1:C401)+1,"")</f>
        <v/>
      </c>
    </row>
    <row r="403" customFormat="false" ht="15" hidden="false" customHeight="false" outlineLevel="0" collapsed="false">
      <c r="A403" s="0" t="str">
        <f aca="false">IF(DECKS!B403="","",DECKS!B403)</f>
        <v/>
      </c>
      <c r="B403" s="0" t="str">
        <f aca="false">IF(A403="","",IF(MATCH(A403,$A$2:$A$3201,0)=ROW()-1,1,0))</f>
        <v/>
      </c>
      <c r="C403" s="0" t="str">
        <f aca="false">IF(B403=1,MAX(C$1:C402)+1,"")</f>
        <v/>
      </c>
    </row>
    <row r="404" customFormat="false" ht="15" hidden="false" customHeight="false" outlineLevel="0" collapsed="false">
      <c r="A404" s="0" t="str">
        <f aca="false">IF(DECKS!B404="","",DECKS!B404)</f>
        <v/>
      </c>
      <c r="B404" s="0" t="str">
        <f aca="false">IF(A404="","",IF(MATCH(A404,$A$2:$A$3201,0)=ROW()-1,1,0))</f>
        <v/>
      </c>
      <c r="C404" s="0" t="str">
        <f aca="false">IF(B404=1,MAX(C$1:C403)+1,"")</f>
        <v/>
      </c>
    </row>
    <row r="405" customFormat="false" ht="15" hidden="false" customHeight="false" outlineLevel="0" collapsed="false">
      <c r="A405" s="0" t="str">
        <f aca="false">IF(DECKS!B405="","",DECKS!B405)</f>
        <v/>
      </c>
      <c r="B405" s="0" t="str">
        <f aca="false">IF(A405="","",IF(MATCH(A405,$A$2:$A$3201,0)=ROW()-1,1,0))</f>
        <v/>
      </c>
      <c r="C405" s="0" t="str">
        <f aca="false">IF(B405=1,MAX(C$1:C404)+1,"")</f>
        <v/>
      </c>
    </row>
    <row r="406" customFormat="false" ht="15" hidden="false" customHeight="false" outlineLevel="0" collapsed="false">
      <c r="A406" s="0" t="str">
        <f aca="false">IF(DECKS!B406="","",DECKS!B406)</f>
        <v/>
      </c>
      <c r="B406" s="0" t="str">
        <f aca="false">IF(A406="","",IF(MATCH(A406,$A$2:$A$3201,0)=ROW()-1,1,0))</f>
        <v/>
      </c>
      <c r="C406" s="0" t="str">
        <f aca="false">IF(B406=1,MAX(C$1:C405)+1,"")</f>
        <v/>
      </c>
    </row>
    <row r="407" customFormat="false" ht="15" hidden="false" customHeight="false" outlineLevel="0" collapsed="false">
      <c r="A407" s="0" t="str">
        <f aca="false">IF(DECKS!B407="","",DECKS!B407)</f>
        <v/>
      </c>
      <c r="B407" s="0" t="str">
        <f aca="false">IF(A407="","",IF(MATCH(A407,$A$2:$A$3201,0)=ROW()-1,1,0))</f>
        <v/>
      </c>
      <c r="C407" s="0" t="str">
        <f aca="false">IF(B407=1,MAX(C$1:C406)+1,"")</f>
        <v/>
      </c>
    </row>
    <row r="408" customFormat="false" ht="15" hidden="false" customHeight="false" outlineLevel="0" collapsed="false">
      <c r="A408" s="0" t="str">
        <f aca="false">IF(DECKS!B408="","",DECKS!B408)</f>
        <v/>
      </c>
      <c r="B408" s="0" t="str">
        <f aca="false">IF(A408="","",IF(MATCH(A408,$A$2:$A$3201,0)=ROW()-1,1,0))</f>
        <v/>
      </c>
      <c r="C408" s="0" t="str">
        <f aca="false">IF(B408=1,MAX(C$1:C407)+1,"")</f>
        <v/>
      </c>
    </row>
    <row r="409" customFormat="false" ht="15" hidden="false" customHeight="false" outlineLevel="0" collapsed="false">
      <c r="A409" s="0" t="str">
        <f aca="false">IF(DECKS!B409="","",DECKS!B409)</f>
        <v/>
      </c>
      <c r="B409" s="0" t="str">
        <f aca="false">IF(A409="","",IF(MATCH(A409,$A$2:$A$3201,0)=ROW()-1,1,0))</f>
        <v/>
      </c>
      <c r="C409" s="0" t="str">
        <f aca="false">IF(B409=1,MAX(C$1:C408)+1,"")</f>
        <v/>
      </c>
    </row>
    <row r="410" customFormat="false" ht="15" hidden="false" customHeight="false" outlineLevel="0" collapsed="false">
      <c r="A410" s="0" t="str">
        <f aca="false">IF(DECKS!B410="","",DECKS!B410)</f>
        <v/>
      </c>
      <c r="B410" s="0" t="str">
        <f aca="false">IF(A410="","",IF(MATCH(A410,$A$2:$A$3201,0)=ROW()-1,1,0))</f>
        <v/>
      </c>
      <c r="C410" s="0" t="str">
        <f aca="false">IF(B410=1,MAX(C$1:C409)+1,"")</f>
        <v/>
      </c>
    </row>
    <row r="411" customFormat="false" ht="15" hidden="false" customHeight="false" outlineLevel="0" collapsed="false">
      <c r="A411" s="0" t="str">
        <f aca="false">IF(DECKS!B411="","",DECKS!B411)</f>
        <v/>
      </c>
      <c r="B411" s="0" t="str">
        <f aca="false">IF(A411="","",IF(MATCH(A411,$A$2:$A$3201,0)=ROW()-1,1,0))</f>
        <v/>
      </c>
      <c r="C411" s="0" t="str">
        <f aca="false">IF(B411=1,MAX(C$1:C410)+1,"")</f>
        <v/>
      </c>
    </row>
    <row r="412" customFormat="false" ht="15" hidden="false" customHeight="false" outlineLevel="0" collapsed="false">
      <c r="A412" s="0" t="str">
        <f aca="false">IF(DECKS!B412="","",DECKS!B412)</f>
        <v/>
      </c>
      <c r="B412" s="0" t="str">
        <f aca="false">IF(A412="","",IF(MATCH(A412,$A$2:$A$3201,0)=ROW()-1,1,0))</f>
        <v/>
      </c>
      <c r="C412" s="0" t="str">
        <f aca="false">IF(B412=1,MAX(C$1:C411)+1,"")</f>
        <v/>
      </c>
    </row>
    <row r="413" customFormat="false" ht="15" hidden="false" customHeight="false" outlineLevel="0" collapsed="false">
      <c r="A413" s="0" t="str">
        <f aca="false">IF(DECKS!B413="","",DECKS!B413)</f>
        <v/>
      </c>
      <c r="B413" s="0" t="str">
        <f aca="false">IF(A413="","",IF(MATCH(A413,$A$2:$A$3201,0)=ROW()-1,1,0))</f>
        <v/>
      </c>
      <c r="C413" s="0" t="str">
        <f aca="false">IF(B413=1,MAX(C$1:C412)+1,"")</f>
        <v/>
      </c>
    </row>
    <row r="414" customFormat="false" ht="15" hidden="false" customHeight="false" outlineLevel="0" collapsed="false">
      <c r="A414" s="0" t="str">
        <f aca="false">IF(DECKS!B414="","",DECKS!B414)</f>
        <v/>
      </c>
      <c r="B414" s="0" t="str">
        <f aca="false">IF(A414="","",IF(MATCH(A414,$A$2:$A$3201,0)=ROW()-1,1,0))</f>
        <v/>
      </c>
      <c r="C414" s="0" t="str">
        <f aca="false">IF(B414=1,MAX(C$1:C413)+1,"")</f>
        <v/>
      </c>
    </row>
    <row r="415" customFormat="false" ht="15" hidden="false" customHeight="false" outlineLevel="0" collapsed="false">
      <c r="A415" s="0" t="str">
        <f aca="false">IF(DECKS!B415="","",DECKS!B415)</f>
        <v/>
      </c>
      <c r="B415" s="0" t="str">
        <f aca="false">IF(A415="","",IF(MATCH(A415,$A$2:$A$3201,0)=ROW()-1,1,0))</f>
        <v/>
      </c>
      <c r="C415" s="0" t="str">
        <f aca="false">IF(B415=1,MAX(C$1:C414)+1,"")</f>
        <v/>
      </c>
    </row>
    <row r="416" customFormat="false" ht="15" hidden="false" customHeight="false" outlineLevel="0" collapsed="false">
      <c r="A416" s="0" t="str">
        <f aca="false">IF(DECKS!B416="","",DECKS!B416)</f>
        <v/>
      </c>
      <c r="B416" s="0" t="str">
        <f aca="false">IF(A416="","",IF(MATCH(A416,$A$2:$A$3201,0)=ROW()-1,1,0))</f>
        <v/>
      </c>
      <c r="C416" s="0" t="str">
        <f aca="false">IF(B416=1,MAX(C$1:C415)+1,"")</f>
        <v/>
      </c>
    </row>
    <row r="417" customFormat="false" ht="15" hidden="false" customHeight="false" outlineLevel="0" collapsed="false">
      <c r="A417" s="0" t="str">
        <f aca="false">IF(DECKS!B417="","",DECKS!B417)</f>
        <v/>
      </c>
      <c r="B417" s="0" t="str">
        <f aca="false">IF(A417="","",IF(MATCH(A417,$A$2:$A$3201,0)=ROW()-1,1,0))</f>
        <v/>
      </c>
      <c r="C417" s="0" t="str">
        <f aca="false">IF(B417=1,MAX(C$1:C416)+1,"")</f>
        <v/>
      </c>
    </row>
    <row r="418" customFormat="false" ht="15" hidden="false" customHeight="false" outlineLevel="0" collapsed="false">
      <c r="A418" s="0" t="str">
        <f aca="false">IF(DECKS!B418="","",DECKS!B418)</f>
        <v/>
      </c>
      <c r="B418" s="0" t="str">
        <f aca="false">IF(A418="","",IF(MATCH(A418,$A$2:$A$3201,0)=ROW()-1,1,0))</f>
        <v/>
      </c>
      <c r="C418" s="0" t="str">
        <f aca="false">IF(B418=1,MAX(C$1:C417)+1,"")</f>
        <v/>
      </c>
    </row>
    <row r="419" customFormat="false" ht="15" hidden="false" customHeight="false" outlineLevel="0" collapsed="false">
      <c r="A419" s="0" t="str">
        <f aca="false">IF(DECKS!B419="","",DECKS!B419)</f>
        <v/>
      </c>
      <c r="B419" s="0" t="str">
        <f aca="false">IF(A419="","",IF(MATCH(A419,$A$2:$A$3201,0)=ROW()-1,1,0))</f>
        <v/>
      </c>
      <c r="C419" s="0" t="str">
        <f aca="false">IF(B419=1,MAX(C$1:C418)+1,"")</f>
        <v/>
      </c>
    </row>
    <row r="420" customFormat="false" ht="15" hidden="false" customHeight="false" outlineLevel="0" collapsed="false">
      <c r="A420" s="0" t="str">
        <f aca="false">IF(DECKS!B420="","",DECKS!B420)</f>
        <v/>
      </c>
      <c r="B420" s="0" t="str">
        <f aca="false">IF(A420="","",IF(MATCH(A420,$A$2:$A$3201,0)=ROW()-1,1,0))</f>
        <v/>
      </c>
      <c r="C420" s="0" t="str">
        <f aca="false">IF(B420=1,MAX(C$1:C419)+1,"")</f>
        <v/>
      </c>
    </row>
    <row r="421" customFormat="false" ht="15" hidden="false" customHeight="false" outlineLevel="0" collapsed="false">
      <c r="A421" s="0" t="str">
        <f aca="false">IF(DECKS!B421="","",DECKS!B421)</f>
        <v/>
      </c>
      <c r="B421" s="0" t="str">
        <f aca="false">IF(A421="","",IF(MATCH(A421,$A$2:$A$3201,0)=ROW()-1,1,0))</f>
        <v/>
      </c>
      <c r="C421" s="0" t="str">
        <f aca="false">IF(B421=1,MAX(C$1:C420)+1,"")</f>
        <v/>
      </c>
    </row>
    <row r="422" customFormat="false" ht="15" hidden="false" customHeight="false" outlineLevel="0" collapsed="false">
      <c r="A422" s="0" t="str">
        <f aca="false">IF(DECKS!B422="","",DECKS!B422)</f>
        <v/>
      </c>
      <c r="B422" s="0" t="str">
        <f aca="false">IF(A422="","",IF(MATCH(A422,$A$2:$A$3201,0)=ROW()-1,1,0))</f>
        <v/>
      </c>
      <c r="C422" s="0" t="str">
        <f aca="false">IF(B422=1,MAX(C$1:C421)+1,"")</f>
        <v/>
      </c>
    </row>
    <row r="423" customFormat="false" ht="15" hidden="false" customHeight="false" outlineLevel="0" collapsed="false">
      <c r="A423" s="0" t="str">
        <f aca="false">IF(DECKS!B423="","",DECKS!B423)</f>
        <v/>
      </c>
      <c r="B423" s="0" t="str">
        <f aca="false">IF(A423="","",IF(MATCH(A423,$A$2:$A$3201,0)=ROW()-1,1,0))</f>
        <v/>
      </c>
      <c r="C423" s="0" t="str">
        <f aca="false">IF(B423=1,MAX(C$1:C422)+1,"")</f>
        <v/>
      </c>
    </row>
    <row r="424" customFormat="false" ht="15" hidden="false" customHeight="false" outlineLevel="0" collapsed="false">
      <c r="A424" s="0" t="str">
        <f aca="false">IF(DECKS!B424="","",DECKS!B424)</f>
        <v/>
      </c>
      <c r="B424" s="0" t="str">
        <f aca="false">IF(A424="","",IF(MATCH(A424,$A$2:$A$3201,0)=ROW()-1,1,0))</f>
        <v/>
      </c>
      <c r="C424" s="0" t="str">
        <f aca="false">IF(B424=1,MAX(C$1:C423)+1,"")</f>
        <v/>
      </c>
    </row>
    <row r="425" customFormat="false" ht="15" hidden="false" customHeight="false" outlineLevel="0" collapsed="false">
      <c r="A425" s="0" t="str">
        <f aca="false">IF(DECKS!B425="","",DECKS!B425)</f>
        <v/>
      </c>
      <c r="B425" s="0" t="str">
        <f aca="false">IF(A425="","",IF(MATCH(A425,$A$2:$A$3201,0)=ROW()-1,1,0))</f>
        <v/>
      </c>
      <c r="C425" s="0" t="str">
        <f aca="false">IF(B425=1,MAX(C$1:C424)+1,"")</f>
        <v/>
      </c>
    </row>
    <row r="426" customFormat="false" ht="15" hidden="false" customHeight="false" outlineLevel="0" collapsed="false">
      <c r="A426" s="0" t="str">
        <f aca="false">IF(DECKS!B426="","",DECKS!B426)</f>
        <v/>
      </c>
      <c r="B426" s="0" t="str">
        <f aca="false">IF(A426="","",IF(MATCH(A426,$A$2:$A$3201,0)=ROW()-1,1,0))</f>
        <v/>
      </c>
      <c r="C426" s="0" t="str">
        <f aca="false">IF(B426=1,MAX(C$1:C425)+1,"")</f>
        <v/>
      </c>
    </row>
    <row r="427" customFormat="false" ht="15" hidden="false" customHeight="false" outlineLevel="0" collapsed="false">
      <c r="A427" s="0" t="str">
        <f aca="false">IF(DECKS!B427="","",DECKS!B427)</f>
        <v/>
      </c>
      <c r="B427" s="0" t="str">
        <f aca="false">IF(A427="","",IF(MATCH(A427,$A$2:$A$3201,0)=ROW()-1,1,0))</f>
        <v/>
      </c>
      <c r="C427" s="0" t="str">
        <f aca="false">IF(B427=1,MAX(C$1:C426)+1,"")</f>
        <v/>
      </c>
    </row>
    <row r="428" customFormat="false" ht="15" hidden="false" customHeight="false" outlineLevel="0" collapsed="false">
      <c r="A428" s="0" t="str">
        <f aca="false">IF(DECKS!B428="","",DECKS!B428)</f>
        <v/>
      </c>
      <c r="B428" s="0" t="str">
        <f aca="false">IF(A428="","",IF(MATCH(A428,$A$2:$A$3201,0)=ROW()-1,1,0))</f>
        <v/>
      </c>
      <c r="C428" s="0" t="str">
        <f aca="false">IF(B428=1,MAX(C$1:C427)+1,"")</f>
        <v/>
      </c>
    </row>
    <row r="429" customFormat="false" ht="15" hidden="false" customHeight="false" outlineLevel="0" collapsed="false">
      <c r="A429" s="0" t="str">
        <f aca="false">IF(DECKS!B429="","",DECKS!B429)</f>
        <v/>
      </c>
      <c r="B429" s="0" t="str">
        <f aca="false">IF(A429="","",IF(MATCH(A429,$A$2:$A$3201,0)=ROW()-1,1,0))</f>
        <v/>
      </c>
      <c r="C429" s="0" t="str">
        <f aca="false">IF(B429=1,MAX(C$1:C428)+1,"")</f>
        <v/>
      </c>
    </row>
    <row r="430" customFormat="false" ht="15" hidden="false" customHeight="false" outlineLevel="0" collapsed="false">
      <c r="A430" s="0" t="str">
        <f aca="false">IF(DECKS!B430="","",DECKS!B430)</f>
        <v/>
      </c>
      <c r="B430" s="0" t="str">
        <f aca="false">IF(A430="","",IF(MATCH(A430,$A$2:$A$3201,0)=ROW()-1,1,0))</f>
        <v/>
      </c>
      <c r="C430" s="0" t="str">
        <f aca="false">IF(B430=1,MAX(C$1:C429)+1,"")</f>
        <v/>
      </c>
    </row>
    <row r="431" customFormat="false" ht="15" hidden="false" customHeight="false" outlineLevel="0" collapsed="false">
      <c r="A431" s="0" t="str">
        <f aca="false">IF(DECKS!B431="","",DECKS!B431)</f>
        <v/>
      </c>
      <c r="B431" s="0" t="str">
        <f aca="false">IF(A431="","",IF(MATCH(A431,$A$2:$A$3201,0)=ROW()-1,1,0))</f>
        <v/>
      </c>
      <c r="C431" s="0" t="str">
        <f aca="false">IF(B431=1,MAX(C$1:C430)+1,"")</f>
        <v/>
      </c>
    </row>
    <row r="432" customFormat="false" ht="15" hidden="false" customHeight="false" outlineLevel="0" collapsed="false">
      <c r="A432" s="0" t="str">
        <f aca="false">IF(DECKS!B432="","",DECKS!B432)</f>
        <v/>
      </c>
      <c r="B432" s="0" t="str">
        <f aca="false">IF(A432="","",IF(MATCH(A432,$A$2:$A$3201,0)=ROW()-1,1,0))</f>
        <v/>
      </c>
      <c r="C432" s="0" t="str">
        <f aca="false">IF(B432=1,MAX(C$1:C431)+1,"")</f>
        <v/>
      </c>
    </row>
    <row r="433" customFormat="false" ht="15" hidden="false" customHeight="false" outlineLevel="0" collapsed="false">
      <c r="A433" s="0" t="str">
        <f aca="false">IF(DECKS!B433="","",DECKS!B433)</f>
        <v/>
      </c>
      <c r="B433" s="0" t="str">
        <f aca="false">IF(A433="","",IF(MATCH(A433,$A$2:$A$3201,0)=ROW()-1,1,0))</f>
        <v/>
      </c>
      <c r="C433" s="0" t="str">
        <f aca="false">IF(B433=1,MAX(C$1:C432)+1,"")</f>
        <v/>
      </c>
    </row>
    <row r="434" customFormat="false" ht="15" hidden="false" customHeight="false" outlineLevel="0" collapsed="false">
      <c r="A434" s="0" t="str">
        <f aca="false">IF(DECKS!B434="","",DECKS!B434)</f>
        <v/>
      </c>
      <c r="B434" s="0" t="str">
        <f aca="false">IF(A434="","",IF(MATCH(A434,$A$2:$A$3201,0)=ROW()-1,1,0))</f>
        <v/>
      </c>
      <c r="C434" s="0" t="str">
        <f aca="false">IF(B434=1,MAX(C$1:C433)+1,"")</f>
        <v/>
      </c>
    </row>
    <row r="435" customFormat="false" ht="15" hidden="false" customHeight="false" outlineLevel="0" collapsed="false">
      <c r="A435" s="0" t="str">
        <f aca="false">IF(DECKS!B435="","",DECKS!B435)</f>
        <v/>
      </c>
      <c r="B435" s="0" t="str">
        <f aca="false">IF(A435="","",IF(MATCH(A435,$A$2:$A$3201,0)=ROW()-1,1,0))</f>
        <v/>
      </c>
      <c r="C435" s="0" t="str">
        <f aca="false">IF(B435=1,MAX(C$1:C434)+1,"")</f>
        <v/>
      </c>
    </row>
    <row r="436" customFormat="false" ht="15" hidden="false" customHeight="false" outlineLevel="0" collapsed="false">
      <c r="A436" s="0" t="str">
        <f aca="false">IF(DECKS!B436="","",DECKS!B436)</f>
        <v/>
      </c>
      <c r="B436" s="0" t="str">
        <f aca="false">IF(A436="","",IF(MATCH(A436,$A$2:$A$3201,0)=ROW()-1,1,0))</f>
        <v/>
      </c>
      <c r="C436" s="0" t="str">
        <f aca="false">IF(B436=1,MAX(C$1:C435)+1,"")</f>
        <v/>
      </c>
    </row>
    <row r="437" customFormat="false" ht="15" hidden="false" customHeight="false" outlineLevel="0" collapsed="false">
      <c r="A437" s="0" t="str">
        <f aca="false">IF(DECKS!B437="","",DECKS!B437)</f>
        <v/>
      </c>
      <c r="B437" s="0" t="str">
        <f aca="false">IF(A437="","",IF(MATCH(A437,$A$2:$A$3201,0)=ROW()-1,1,0))</f>
        <v/>
      </c>
      <c r="C437" s="0" t="str">
        <f aca="false">IF(B437=1,MAX(C$1:C436)+1,"")</f>
        <v/>
      </c>
    </row>
    <row r="438" customFormat="false" ht="15" hidden="false" customHeight="false" outlineLevel="0" collapsed="false">
      <c r="A438" s="0" t="str">
        <f aca="false">IF(DECKS!B438="","",DECKS!B438)</f>
        <v/>
      </c>
      <c r="B438" s="0" t="str">
        <f aca="false">IF(A438="","",IF(MATCH(A438,$A$2:$A$3201,0)=ROW()-1,1,0))</f>
        <v/>
      </c>
      <c r="C438" s="0" t="str">
        <f aca="false">IF(B438=1,MAX(C$1:C437)+1,"")</f>
        <v/>
      </c>
    </row>
    <row r="439" customFormat="false" ht="15" hidden="false" customHeight="false" outlineLevel="0" collapsed="false">
      <c r="A439" s="0" t="str">
        <f aca="false">IF(DECKS!B439="","",DECKS!B439)</f>
        <v/>
      </c>
      <c r="B439" s="0" t="str">
        <f aca="false">IF(A439="","",IF(MATCH(A439,$A$2:$A$3201,0)=ROW()-1,1,0))</f>
        <v/>
      </c>
      <c r="C439" s="0" t="str">
        <f aca="false">IF(B439=1,MAX(C$1:C438)+1,"")</f>
        <v/>
      </c>
    </row>
    <row r="440" customFormat="false" ht="15" hidden="false" customHeight="false" outlineLevel="0" collapsed="false">
      <c r="A440" s="0" t="str">
        <f aca="false">IF(DECKS!B440="","",DECKS!B440)</f>
        <v/>
      </c>
      <c r="B440" s="0" t="str">
        <f aca="false">IF(A440="","",IF(MATCH(A440,$A$2:$A$3201,0)=ROW()-1,1,0))</f>
        <v/>
      </c>
      <c r="C440" s="0" t="str">
        <f aca="false">IF(B440=1,MAX(C$1:C439)+1,"")</f>
        <v/>
      </c>
    </row>
    <row r="441" customFormat="false" ht="15" hidden="false" customHeight="false" outlineLevel="0" collapsed="false">
      <c r="A441" s="0" t="str">
        <f aca="false">IF(DECKS!B441="","",DECKS!B441)</f>
        <v/>
      </c>
      <c r="B441" s="0" t="str">
        <f aca="false">IF(A441="","",IF(MATCH(A441,$A$2:$A$3201,0)=ROW()-1,1,0))</f>
        <v/>
      </c>
      <c r="C441" s="0" t="str">
        <f aca="false">IF(B441=1,MAX(C$1:C440)+1,"")</f>
        <v/>
      </c>
    </row>
    <row r="442" customFormat="false" ht="15" hidden="false" customHeight="false" outlineLevel="0" collapsed="false">
      <c r="A442" s="0" t="str">
        <f aca="false">IF(DECKS!B442="","",DECKS!B442)</f>
        <v/>
      </c>
      <c r="B442" s="0" t="str">
        <f aca="false">IF(A442="","",IF(MATCH(A442,$A$2:$A$3201,0)=ROW()-1,1,0))</f>
        <v/>
      </c>
      <c r="C442" s="0" t="str">
        <f aca="false">IF(B442=1,MAX(C$1:C441)+1,"")</f>
        <v/>
      </c>
    </row>
    <row r="443" customFormat="false" ht="15" hidden="false" customHeight="false" outlineLevel="0" collapsed="false">
      <c r="A443" s="0" t="str">
        <f aca="false">IF(DECKS!B443="","",DECKS!B443)</f>
        <v/>
      </c>
      <c r="B443" s="0" t="str">
        <f aca="false">IF(A443="","",IF(MATCH(A443,$A$2:$A$3201,0)=ROW()-1,1,0))</f>
        <v/>
      </c>
      <c r="C443" s="0" t="str">
        <f aca="false">IF(B443=1,MAX(C$1:C442)+1,"")</f>
        <v/>
      </c>
    </row>
    <row r="444" customFormat="false" ht="15" hidden="false" customHeight="false" outlineLevel="0" collapsed="false">
      <c r="A444" s="0" t="str">
        <f aca="false">IF(DECKS!B444="","",DECKS!B444)</f>
        <v/>
      </c>
      <c r="B444" s="0" t="str">
        <f aca="false">IF(A444="","",IF(MATCH(A444,$A$2:$A$3201,0)=ROW()-1,1,0))</f>
        <v/>
      </c>
      <c r="C444" s="0" t="str">
        <f aca="false">IF(B444=1,MAX(C$1:C443)+1,"")</f>
        <v/>
      </c>
    </row>
    <row r="445" customFormat="false" ht="15" hidden="false" customHeight="false" outlineLevel="0" collapsed="false">
      <c r="A445" s="0" t="str">
        <f aca="false">IF(DECKS!B445="","",DECKS!B445)</f>
        <v/>
      </c>
      <c r="B445" s="0" t="str">
        <f aca="false">IF(A445="","",IF(MATCH(A445,$A$2:$A$3201,0)=ROW()-1,1,0))</f>
        <v/>
      </c>
      <c r="C445" s="0" t="str">
        <f aca="false">IF(B445=1,MAX(C$1:C444)+1,"")</f>
        <v/>
      </c>
    </row>
    <row r="446" customFormat="false" ht="15" hidden="false" customHeight="false" outlineLevel="0" collapsed="false">
      <c r="A446" s="0" t="str">
        <f aca="false">IF(DECKS!B446="","",DECKS!B446)</f>
        <v/>
      </c>
      <c r="B446" s="0" t="str">
        <f aca="false">IF(A446="","",IF(MATCH(A446,$A$2:$A$3201,0)=ROW()-1,1,0))</f>
        <v/>
      </c>
      <c r="C446" s="0" t="str">
        <f aca="false">IF(B446=1,MAX(C$1:C445)+1,"")</f>
        <v/>
      </c>
    </row>
    <row r="447" customFormat="false" ht="15" hidden="false" customHeight="false" outlineLevel="0" collapsed="false">
      <c r="A447" s="0" t="str">
        <f aca="false">IF(DECKS!B447="","",DECKS!B447)</f>
        <v/>
      </c>
      <c r="B447" s="0" t="str">
        <f aca="false">IF(A447="","",IF(MATCH(A447,$A$2:$A$3201,0)=ROW()-1,1,0))</f>
        <v/>
      </c>
      <c r="C447" s="0" t="str">
        <f aca="false">IF(B447=1,MAX(C$1:C446)+1,"")</f>
        <v/>
      </c>
    </row>
    <row r="448" customFormat="false" ht="15" hidden="false" customHeight="false" outlineLevel="0" collapsed="false">
      <c r="A448" s="0" t="str">
        <f aca="false">IF(DECKS!B448="","",DECKS!B448)</f>
        <v/>
      </c>
      <c r="B448" s="0" t="str">
        <f aca="false">IF(A448="","",IF(MATCH(A448,$A$2:$A$3201,0)=ROW()-1,1,0))</f>
        <v/>
      </c>
      <c r="C448" s="0" t="str">
        <f aca="false">IF(B448=1,MAX(C$1:C447)+1,"")</f>
        <v/>
      </c>
    </row>
    <row r="449" customFormat="false" ht="15" hidden="false" customHeight="false" outlineLevel="0" collapsed="false">
      <c r="A449" s="0" t="str">
        <f aca="false">IF(DECKS!B449="","",DECKS!B449)</f>
        <v/>
      </c>
      <c r="B449" s="0" t="str">
        <f aca="false">IF(A449="","",IF(MATCH(A449,$A$2:$A$3201,0)=ROW()-1,1,0))</f>
        <v/>
      </c>
      <c r="C449" s="0" t="str">
        <f aca="false">IF(B449=1,MAX(C$1:C448)+1,"")</f>
        <v/>
      </c>
    </row>
    <row r="450" customFormat="false" ht="15" hidden="false" customHeight="false" outlineLevel="0" collapsed="false">
      <c r="A450" s="0" t="str">
        <f aca="false">IF(DECKS!B450="","",DECKS!B450)</f>
        <v/>
      </c>
      <c r="B450" s="0" t="str">
        <f aca="false">IF(A450="","",IF(MATCH(A450,$A$2:$A$3201,0)=ROW()-1,1,0))</f>
        <v/>
      </c>
      <c r="C450" s="0" t="str">
        <f aca="false">IF(B450=1,MAX(C$1:C449)+1,"")</f>
        <v/>
      </c>
    </row>
    <row r="451" customFormat="false" ht="15" hidden="false" customHeight="false" outlineLevel="0" collapsed="false">
      <c r="A451" s="0" t="str">
        <f aca="false">IF(DECKS!B451="","",DECKS!B451)</f>
        <v/>
      </c>
      <c r="B451" s="0" t="str">
        <f aca="false">IF(A451="","",IF(MATCH(A451,$A$2:$A$3201,0)=ROW()-1,1,0))</f>
        <v/>
      </c>
      <c r="C451" s="0" t="str">
        <f aca="false">IF(B451=1,MAX(C$1:C450)+1,"")</f>
        <v/>
      </c>
    </row>
    <row r="452" customFormat="false" ht="15" hidden="false" customHeight="false" outlineLevel="0" collapsed="false">
      <c r="A452" s="0" t="str">
        <f aca="false">IF(DECKS!B452="","",DECKS!B452)</f>
        <v/>
      </c>
      <c r="B452" s="0" t="str">
        <f aca="false">IF(A452="","",IF(MATCH(A452,$A$2:$A$3201,0)=ROW()-1,1,0))</f>
        <v/>
      </c>
      <c r="C452" s="0" t="str">
        <f aca="false">IF(B452=1,MAX(C$1:C451)+1,"")</f>
        <v/>
      </c>
    </row>
    <row r="453" customFormat="false" ht="15" hidden="false" customHeight="false" outlineLevel="0" collapsed="false">
      <c r="A453" s="0" t="str">
        <f aca="false">IF(DECKS!B453="","",DECKS!B453)</f>
        <v/>
      </c>
      <c r="B453" s="0" t="str">
        <f aca="false">IF(A453="","",IF(MATCH(A453,$A$2:$A$3201,0)=ROW()-1,1,0))</f>
        <v/>
      </c>
      <c r="C453" s="0" t="str">
        <f aca="false">IF(B453=1,MAX(C$1:C452)+1,"")</f>
        <v/>
      </c>
    </row>
    <row r="454" customFormat="false" ht="15" hidden="false" customHeight="false" outlineLevel="0" collapsed="false">
      <c r="A454" s="0" t="str">
        <f aca="false">IF(DECKS!B454="","",DECKS!B454)</f>
        <v/>
      </c>
      <c r="B454" s="0" t="str">
        <f aca="false">IF(A454="","",IF(MATCH(A454,$A$2:$A$3201,0)=ROW()-1,1,0))</f>
        <v/>
      </c>
      <c r="C454" s="0" t="str">
        <f aca="false">IF(B454=1,MAX(C$1:C453)+1,"")</f>
        <v/>
      </c>
    </row>
    <row r="455" customFormat="false" ht="15" hidden="false" customHeight="false" outlineLevel="0" collapsed="false">
      <c r="A455" s="0" t="str">
        <f aca="false">IF(DECKS!B455="","",DECKS!B455)</f>
        <v/>
      </c>
      <c r="B455" s="0" t="str">
        <f aca="false">IF(A455="","",IF(MATCH(A455,$A$2:$A$3201,0)=ROW()-1,1,0))</f>
        <v/>
      </c>
      <c r="C455" s="0" t="str">
        <f aca="false">IF(B455=1,MAX(C$1:C454)+1,"")</f>
        <v/>
      </c>
    </row>
    <row r="456" customFormat="false" ht="15" hidden="false" customHeight="false" outlineLevel="0" collapsed="false">
      <c r="A456" s="0" t="str">
        <f aca="false">IF(DECKS!B456="","",DECKS!B456)</f>
        <v/>
      </c>
      <c r="B456" s="0" t="str">
        <f aca="false">IF(A456="","",IF(MATCH(A456,$A$2:$A$3201,0)=ROW()-1,1,0))</f>
        <v/>
      </c>
      <c r="C456" s="0" t="str">
        <f aca="false">IF(B456=1,MAX(C$1:C455)+1,"")</f>
        <v/>
      </c>
    </row>
    <row r="457" customFormat="false" ht="15" hidden="false" customHeight="false" outlineLevel="0" collapsed="false">
      <c r="A457" s="0" t="str">
        <f aca="false">IF(DECKS!B457="","",DECKS!B457)</f>
        <v/>
      </c>
      <c r="B457" s="0" t="str">
        <f aca="false">IF(A457="","",IF(MATCH(A457,$A$2:$A$3201,0)=ROW()-1,1,0))</f>
        <v/>
      </c>
      <c r="C457" s="0" t="str">
        <f aca="false">IF(B457=1,MAX(C$1:C456)+1,"")</f>
        <v/>
      </c>
    </row>
    <row r="458" customFormat="false" ht="15" hidden="false" customHeight="false" outlineLevel="0" collapsed="false">
      <c r="A458" s="0" t="str">
        <f aca="false">IF(DECKS!B458="","",DECKS!B458)</f>
        <v/>
      </c>
      <c r="B458" s="0" t="str">
        <f aca="false">IF(A458="","",IF(MATCH(A458,$A$2:$A$3201,0)=ROW()-1,1,0))</f>
        <v/>
      </c>
      <c r="C458" s="0" t="str">
        <f aca="false">IF(B458=1,MAX(C$1:C457)+1,"")</f>
        <v/>
      </c>
    </row>
    <row r="459" customFormat="false" ht="15" hidden="false" customHeight="false" outlineLevel="0" collapsed="false">
      <c r="A459" s="0" t="str">
        <f aca="false">IF(DECKS!B459="","",DECKS!B459)</f>
        <v/>
      </c>
      <c r="B459" s="0" t="str">
        <f aca="false">IF(A459="","",IF(MATCH(A459,$A$2:$A$3201,0)=ROW()-1,1,0))</f>
        <v/>
      </c>
      <c r="C459" s="0" t="str">
        <f aca="false">IF(B459=1,MAX(C$1:C458)+1,"")</f>
        <v/>
      </c>
    </row>
    <row r="460" customFormat="false" ht="15" hidden="false" customHeight="false" outlineLevel="0" collapsed="false">
      <c r="A460" s="0" t="str">
        <f aca="false">IF(DECKS!B460="","",DECKS!B460)</f>
        <v/>
      </c>
      <c r="B460" s="0" t="str">
        <f aca="false">IF(A460="","",IF(MATCH(A460,$A$2:$A$3201,0)=ROW()-1,1,0))</f>
        <v/>
      </c>
      <c r="C460" s="0" t="str">
        <f aca="false">IF(B460=1,MAX(C$1:C459)+1,"")</f>
        <v/>
      </c>
    </row>
    <row r="461" customFormat="false" ht="15" hidden="false" customHeight="false" outlineLevel="0" collapsed="false">
      <c r="A461" s="0" t="str">
        <f aca="false">IF(DECKS!B461="","",DECKS!B461)</f>
        <v/>
      </c>
      <c r="B461" s="0" t="str">
        <f aca="false">IF(A461="","",IF(MATCH(A461,$A$2:$A$3201,0)=ROW()-1,1,0))</f>
        <v/>
      </c>
      <c r="C461" s="0" t="str">
        <f aca="false">IF(B461=1,MAX(C$1:C460)+1,"")</f>
        <v/>
      </c>
    </row>
    <row r="462" customFormat="false" ht="15" hidden="false" customHeight="false" outlineLevel="0" collapsed="false">
      <c r="A462" s="0" t="str">
        <f aca="false">IF(DECKS!B462="","",DECKS!B462)</f>
        <v/>
      </c>
      <c r="B462" s="0" t="str">
        <f aca="false">IF(A462="","",IF(MATCH(A462,$A$2:$A$3201,0)=ROW()-1,1,0))</f>
        <v/>
      </c>
      <c r="C462" s="0" t="str">
        <f aca="false">IF(B462=1,MAX(C$1:C461)+1,"")</f>
        <v/>
      </c>
    </row>
    <row r="463" customFormat="false" ht="15" hidden="false" customHeight="false" outlineLevel="0" collapsed="false">
      <c r="A463" s="0" t="str">
        <f aca="false">IF(DECKS!B463="","",DECKS!B463)</f>
        <v/>
      </c>
      <c r="B463" s="0" t="str">
        <f aca="false">IF(A463="","",IF(MATCH(A463,$A$2:$A$3201,0)=ROW()-1,1,0))</f>
        <v/>
      </c>
      <c r="C463" s="0" t="str">
        <f aca="false">IF(B463=1,MAX(C$1:C462)+1,"")</f>
        <v/>
      </c>
    </row>
    <row r="464" customFormat="false" ht="15" hidden="false" customHeight="false" outlineLevel="0" collapsed="false">
      <c r="A464" s="0" t="str">
        <f aca="false">IF(DECKS!B464="","",DECKS!B464)</f>
        <v/>
      </c>
      <c r="B464" s="0" t="str">
        <f aca="false">IF(A464="","",IF(MATCH(A464,$A$2:$A$3201,0)=ROW()-1,1,0))</f>
        <v/>
      </c>
      <c r="C464" s="0" t="str">
        <f aca="false">IF(B464=1,MAX(C$1:C463)+1,"")</f>
        <v/>
      </c>
    </row>
    <row r="465" customFormat="false" ht="15" hidden="false" customHeight="false" outlineLevel="0" collapsed="false">
      <c r="A465" s="0" t="str">
        <f aca="false">IF(DECKS!B465="","",DECKS!B465)</f>
        <v/>
      </c>
      <c r="B465" s="0" t="str">
        <f aca="false">IF(A465="","",IF(MATCH(A465,$A$2:$A$3201,0)=ROW()-1,1,0))</f>
        <v/>
      </c>
      <c r="C465" s="0" t="str">
        <f aca="false">IF(B465=1,MAX(C$1:C464)+1,"")</f>
        <v/>
      </c>
    </row>
    <row r="466" customFormat="false" ht="15" hidden="false" customHeight="false" outlineLevel="0" collapsed="false">
      <c r="A466" s="0" t="str">
        <f aca="false">IF(DECKS!B466="","",DECKS!B466)</f>
        <v/>
      </c>
      <c r="B466" s="0" t="str">
        <f aca="false">IF(A466="","",IF(MATCH(A466,$A$2:$A$3201,0)=ROW()-1,1,0))</f>
        <v/>
      </c>
      <c r="C466" s="0" t="str">
        <f aca="false">IF(B466=1,MAX(C$1:C465)+1,"")</f>
        <v/>
      </c>
    </row>
    <row r="467" customFormat="false" ht="15" hidden="false" customHeight="false" outlineLevel="0" collapsed="false">
      <c r="A467" s="0" t="str">
        <f aca="false">IF(DECKS!B467="","",DECKS!B467)</f>
        <v/>
      </c>
      <c r="B467" s="0" t="str">
        <f aca="false">IF(A467="","",IF(MATCH(A467,$A$2:$A$3201,0)=ROW()-1,1,0))</f>
        <v/>
      </c>
      <c r="C467" s="0" t="str">
        <f aca="false">IF(B467=1,MAX(C$1:C466)+1,"")</f>
        <v/>
      </c>
    </row>
    <row r="468" customFormat="false" ht="15" hidden="false" customHeight="false" outlineLevel="0" collapsed="false">
      <c r="A468" s="0" t="str">
        <f aca="false">IF(DECKS!B468="","",DECKS!B468)</f>
        <v/>
      </c>
      <c r="B468" s="0" t="str">
        <f aca="false">IF(A468="","",IF(MATCH(A468,$A$2:$A$3201,0)=ROW()-1,1,0))</f>
        <v/>
      </c>
      <c r="C468" s="0" t="str">
        <f aca="false">IF(B468=1,MAX(C$1:C467)+1,"")</f>
        <v/>
      </c>
    </row>
    <row r="469" customFormat="false" ht="15" hidden="false" customHeight="false" outlineLevel="0" collapsed="false">
      <c r="A469" s="0" t="str">
        <f aca="false">IF(DECKS!B469="","",DECKS!B469)</f>
        <v/>
      </c>
      <c r="B469" s="0" t="str">
        <f aca="false">IF(A469="","",IF(MATCH(A469,$A$2:$A$3201,0)=ROW()-1,1,0))</f>
        <v/>
      </c>
      <c r="C469" s="0" t="str">
        <f aca="false">IF(B469=1,MAX(C$1:C468)+1,"")</f>
        <v/>
      </c>
    </row>
    <row r="470" customFormat="false" ht="15" hidden="false" customHeight="false" outlineLevel="0" collapsed="false">
      <c r="A470" s="0" t="str">
        <f aca="false">IF(DECKS!B470="","",DECKS!B470)</f>
        <v/>
      </c>
      <c r="B470" s="0" t="str">
        <f aca="false">IF(A470="","",IF(MATCH(A470,$A$2:$A$3201,0)=ROW()-1,1,0))</f>
        <v/>
      </c>
      <c r="C470" s="0" t="str">
        <f aca="false">IF(B470=1,MAX(C$1:C469)+1,"")</f>
        <v/>
      </c>
    </row>
    <row r="471" customFormat="false" ht="15" hidden="false" customHeight="false" outlineLevel="0" collapsed="false">
      <c r="A471" s="0" t="str">
        <f aca="false">IF(DECKS!B471="","",DECKS!B471)</f>
        <v/>
      </c>
      <c r="B471" s="0" t="str">
        <f aca="false">IF(A471="","",IF(MATCH(A471,$A$2:$A$3201,0)=ROW()-1,1,0))</f>
        <v/>
      </c>
      <c r="C471" s="0" t="str">
        <f aca="false">IF(B471=1,MAX(C$1:C470)+1,"")</f>
        <v/>
      </c>
    </row>
    <row r="472" customFormat="false" ht="15" hidden="false" customHeight="false" outlineLevel="0" collapsed="false">
      <c r="A472" s="0" t="str">
        <f aca="false">IF(DECKS!B472="","",DECKS!B472)</f>
        <v/>
      </c>
      <c r="B472" s="0" t="str">
        <f aca="false">IF(A472="","",IF(MATCH(A472,$A$2:$A$3201,0)=ROW()-1,1,0))</f>
        <v/>
      </c>
      <c r="C472" s="0" t="str">
        <f aca="false">IF(B472=1,MAX(C$1:C471)+1,"")</f>
        <v/>
      </c>
    </row>
    <row r="473" customFormat="false" ht="15" hidden="false" customHeight="false" outlineLevel="0" collapsed="false">
      <c r="A473" s="0" t="str">
        <f aca="false">IF(DECKS!B473="","",DECKS!B473)</f>
        <v/>
      </c>
      <c r="B473" s="0" t="str">
        <f aca="false">IF(A473="","",IF(MATCH(A473,$A$2:$A$3201,0)=ROW()-1,1,0))</f>
        <v/>
      </c>
      <c r="C473" s="0" t="str">
        <f aca="false">IF(B473=1,MAX(C$1:C472)+1,"")</f>
        <v/>
      </c>
    </row>
    <row r="474" customFormat="false" ht="15" hidden="false" customHeight="false" outlineLevel="0" collapsed="false">
      <c r="A474" s="0" t="str">
        <f aca="false">IF(DECKS!B474="","",DECKS!B474)</f>
        <v/>
      </c>
      <c r="B474" s="0" t="str">
        <f aca="false">IF(A474="","",IF(MATCH(A474,$A$2:$A$3201,0)=ROW()-1,1,0))</f>
        <v/>
      </c>
      <c r="C474" s="0" t="str">
        <f aca="false">IF(B474=1,MAX(C$1:C473)+1,"")</f>
        <v/>
      </c>
    </row>
    <row r="475" customFormat="false" ht="15" hidden="false" customHeight="false" outlineLevel="0" collapsed="false">
      <c r="A475" s="0" t="str">
        <f aca="false">IF(DECKS!B475="","",DECKS!B475)</f>
        <v/>
      </c>
      <c r="B475" s="0" t="str">
        <f aca="false">IF(A475="","",IF(MATCH(A475,$A$2:$A$3201,0)=ROW()-1,1,0))</f>
        <v/>
      </c>
      <c r="C475" s="0" t="str">
        <f aca="false">IF(B475=1,MAX(C$1:C474)+1,"")</f>
        <v/>
      </c>
    </row>
    <row r="476" customFormat="false" ht="15" hidden="false" customHeight="false" outlineLevel="0" collapsed="false">
      <c r="A476" s="0" t="str">
        <f aca="false">IF(DECKS!B476="","",DECKS!B476)</f>
        <v/>
      </c>
      <c r="B476" s="0" t="str">
        <f aca="false">IF(A476="","",IF(MATCH(A476,$A$2:$A$3201,0)=ROW()-1,1,0))</f>
        <v/>
      </c>
      <c r="C476" s="0" t="str">
        <f aca="false">IF(B476=1,MAX(C$1:C475)+1,"")</f>
        <v/>
      </c>
    </row>
    <row r="477" customFormat="false" ht="15" hidden="false" customHeight="false" outlineLevel="0" collapsed="false">
      <c r="A477" s="0" t="str">
        <f aca="false">IF(DECKS!B477="","",DECKS!B477)</f>
        <v/>
      </c>
      <c r="B477" s="0" t="str">
        <f aca="false">IF(A477="","",IF(MATCH(A477,$A$2:$A$3201,0)=ROW()-1,1,0))</f>
        <v/>
      </c>
      <c r="C477" s="0" t="str">
        <f aca="false">IF(B477=1,MAX(C$1:C476)+1,"")</f>
        <v/>
      </c>
    </row>
    <row r="478" customFormat="false" ht="15" hidden="false" customHeight="false" outlineLevel="0" collapsed="false">
      <c r="A478" s="0" t="str">
        <f aca="false">IF(DECKS!B478="","",DECKS!B478)</f>
        <v/>
      </c>
      <c r="B478" s="0" t="str">
        <f aca="false">IF(A478="","",IF(MATCH(A478,$A$2:$A$3201,0)=ROW()-1,1,0))</f>
        <v/>
      </c>
      <c r="C478" s="0" t="str">
        <f aca="false">IF(B478=1,MAX(C$1:C477)+1,"")</f>
        <v/>
      </c>
    </row>
    <row r="479" customFormat="false" ht="15" hidden="false" customHeight="false" outlineLevel="0" collapsed="false">
      <c r="A479" s="0" t="str">
        <f aca="false">IF(DECKS!B479="","",DECKS!B479)</f>
        <v/>
      </c>
      <c r="B479" s="0" t="str">
        <f aca="false">IF(A479="","",IF(MATCH(A479,$A$2:$A$3201,0)=ROW()-1,1,0))</f>
        <v/>
      </c>
      <c r="C479" s="0" t="str">
        <f aca="false">IF(B479=1,MAX(C$1:C478)+1,"")</f>
        <v/>
      </c>
    </row>
    <row r="480" customFormat="false" ht="15" hidden="false" customHeight="false" outlineLevel="0" collapsed="false">
      <c r="A480" s="0" t="str">
        <f aca="false">IF(DECKS!B480="","",DECKS!B480)</f>
        <v/>
      </c>
      <c r="B480" s="0" t="str">
        <f aca="false">IF(A480="","",IF(MATCH(A480,$A$2:$A$3201,0)=ROW()-1,1,0))</f>
        <v/>
      </c>
      <c r="C480" s="0" t="str">
        <f aca="false">IF(B480=1,MAX(C$1:C479)+1,"")</f>
        <v/>
      </c>
    </row>
    <row r="481" customFormat="false" ht="15" hidden="false" customHeight="false" outlineLevel="0" collapsed="false">
      <c r="A481" s="0" t="str">
        <f aca="false">IF(DECKS!B481="","",DECKS!B481)</f>
        <v/>
      </c>
      <c r="B481" s="0" t="str">
        <f aca="false">IF(A481="","",IF(MATCH(A481,$A$2:$A$3201,0)=ROW()-1,1,0))</f>
        <v/>
      </c>
      <c r="C481" s="0" t="str">
        <f aca="false">IF(B481=1,MAX(C$1:C480)+1,"")</f>
        <v/>
      </c>
    </row>
    <row r="482" customFormat="false" ht="15" hidden="false" customHeight="false" outlineLevel="0" collapsed="false">
      <c r="A482" s="0" t="str">
        <f aca="false">IF(DECKS!B482="","",DECKS!B482)</f>
        <v/>
      </c>
      <c r="B482" s="0" t="str">
        <f aca="false">IF(A482="","",IF(MATCH(A482,$A$2:$A$3201,0)=ROW()-1,1,0))</f>
        <v/>
      </c>
      <c r="C482" s="0" t="str">
        <f aca="false">IF(B482=1,MAX(C$1:C481)+1,"")</f>
        <v/>
      </c>
    </row>
    <row r="483" customFormat="false" ht="15" hidden="false" customHeight="false" outlineLevel="0" collapsed="false">
      <c r="A483" s="0" t="str">
        <f aca="false">IF(DECKS!B483="","",DECKS!B483)</f>
        <v/>
      </c>
      <c r="B483" s="0" t="str">
        <f aca="false">IF(A483="","",IF(MATCH(A483,$A$2:$A$3201,0)=ROW()-1,1,0))</f>
        <v/>
      </c>
      <c r="C483" s="0" t="str">
        <f aca="false">IF(B483=1,MAX(C$1:C482)+1,"")</f>
        <v/>
      </c>
    </row>
    <row r="484" customFormat="false" ht="15" hidden="false" customHeight="false" outlineLevel="0" collapsed="false">
      <c r="A484" s="0" t="str">
        <f aca="false">IF(DECKS!B484="","",DECKS!B484)</f>
        <v/>
      </c>
      <c r="B484" s="0" t="str">
        <f aca="false">IF(A484="","",IF(MATCH(A484,$A$2:$A$3201,0)=ROW()-1,1,0))</f>
        <v/>
      </c>
      <c r="C484" s="0" t="str">
        <f aca="false">IF(B484=1,MAX(C$1:C483)+1,"")</f>
        <v/>
      </c>
    </row>
    <row r="485" customFormat="false" ht="15" hidden="false" customHeight="false" outlineLevel="0" collapsed="false">
      <c r="A485" s="0" t="str">
        <f aca="false">IF(DECKS!B485="","",DECKS!B485)</f>
        <v/>
      </c>
      <c r="B485" s="0" t="str">
        <f aca="false">IF(A485="","",IF(MATCH(A485,$A$2:$A$3201,0)=ROW()-1,1,0))</f>
        <v/>
      </c>
      <c r="C485" s="0" t="str">
        <f aca="false">IF(B485=1,MAX(C$1:C484)+1,"")</f>
        <v/>
      </c>
    </row>
    <row r="486" customFormat="false" ht="15" hidden="false" customHeight="false" outlineLevel="0" collapsed="false">
      <c r="A486" s="0" t="str">
        <f aca="false">IF(DECKS!B486="","",DECKS!B486)</f>
        <v/>
      </c>
      <c r="B486" s="0" t="str">
        <f aca="false">IF(A486="","",IF(MATCH(A486,$A$2:$A$3201,0)=ROW()-1,1,0))</f>
        <v/>
      </c>
      <c r="C486" s="0" t="str">
        <f aca="false">IF(B486=1,MAX(C$1:C485)+1,"")</f>
        <v/>
      </c>
    </row>
    <row r="487" customFormat="false" ht="15" hidden="false" customHeight="false" outlineLevel="0" collapsed="false">
      <c r="A487" s="0" t="str">
        <f aca="false">IF(DECKS!B487="","",DECKS!B487)</f>
        <v/>
      </c>
      <c r="B487" s="0" t="str">
        <f aca="false">IF(A487="","",IF(MATCH(A487,$A$2:$A$3201,0)=ROW()-1,1,0))</f>
        <v/>
      </c>
      <c r="C487" s="0" t="str">
        <f aca="false">IF(B487=1,MAX(C$1:C486)+1,"")</f>
        <v/>
      </c>
    </row>
    <row r="488" customFormat="false" ht="15" hidden="false" customHeight="false" outlineLevel="0" collapsed="false">
      <c r="A488" s="0" t="str">
        <f aca="false">IF(DECKS!B488="","",DECKS!B488)</f>
        <v/>
      </c>
      <c r="B488" s="0" t="str">
        <f aca="false">IF(A488="","",IF(MATCH(A488,$A$2:$A$3201,0)=ROW()-1,1,0))</f>
        <v/>
      </c>
      <c r="C488" s="0" t="str">
        <f aca="false">IF(B488=1,MAX(C$1:C487)+1,"")</f>
        <v/>
      </c>
    </row>
    <row r="489" customFormat="false" ht="15" hidden="false" customHeight="false" outlineLevel="0" collapsed="false">
      <c r="A489" s="0" t="str">
        <f aca="false">IF(DECKS!B489="","",DECKS!B489)</f>
        <v/>
      </c>
      <c r="B489" s="0" t="str">
        <f aca="false">IF(A489="","",IF(MATCH(A489,$A$2:$A$3201,0)=ROW()-1,1,0))</f>
        <v/>
      </c>
      <c r="C489" s="0" t="str">
        <f aca="false">IF(B489=1,MAX(C$1:C488)+1,"")</f>
        <v/>
      </c>
    </row>
    <row r="490" customFormat="false" ht="15" hidden="false" customHeight="false" outlineLevel="0" collapsed="false">
      <c r="A490" s="0" t="str">
        <f aca="false">IF(DECKS!B490="","",DECKS!B490)</f>
        <v/>
      </c>
      <c r="B490" s="0" t="str">
        <f aca="false">IF(A490="","",IF(MATCH(A490,$A$2:$A$3201,0)=ROW()-1,1,0))</f>
        <v/>
      </c>
      <c r="C490" s="0" t="str">
        <f aca="false">IF(B490=1,MAX(C$1:C489)+1,"")</f>
        <v/>
      </c>
    </row>
    <row r="491" customFormat="false" ht="15" hidden="false" customHeight="false" outlineLevel="0" collapsed="false">
      <c r="A491" s="0" t="str">
        <f aca="false">IF(DECKS!B491="","",DECKS!B491)</f>
        <v/>
      </c>
      <c r="B491" s="0" t="str">
        <f aca="false">IF(A491="","",IF(MATCH(A491,$A$2:$A$3201,0)=ROW()-1,1,0))</f>
        <v/>
      </c>
      <c r="C491" s="0" t="str">
        <f aca="false">IF(B491=1,MAX(C$1:C490)+1,"")</f>
        <v/>
      </c>
    </row>
    <row r="492" customFormat="false" ht="15" hidden="false" customHeight="false" outlineLevel="0" collapsed="false">
      <c r="A492" s="0" t="str">
        <f aca="false">IF(DECKS!B492="","",DECKS!B492)</f>
        <v/>
      </c>
      <c r="B492" s="0" t="str">
        <f aca="false">IF(A492="","",IF(MATCH(A492,$A$2:$A$3201,0)=ROW()-1,1,0))</f>
        <v/>
      </c>
      <c r="C492" s="0" t="str">
        <f aca="false">IF(B492=1,MAX(C$1:C491)+1,"")</f>
        <v/>
      </c>
    </row>
    <row r="493" customFormat="false" ht="15" hidden="false" customHeight="false" outlineLevel="0" collapsed="false">
      <c r="A493" s="0" t="str">
        <f aca="false">IF(DECKS!B493="","",DECKS!B493)</f>
        <v/>
      </c>
      <c r="B493" s="0" t="str">
        <f aca="false">IF(A493="","",IF(MATCH(A493,$A$2:$A$3201,0)=ROW()-1,1,0))</f>
        <v/>
      </c>
      <c r="C493" s="0" t="str">
        <f aca="false">IF(B493=1,MAX(C$1:C492)+1,"")</f>
        <v/>
      </c>
    </row>
    <row r="494" customFormat="false" ht="15" hidden="false" customHeight="false" outlineLevel="0" collapsed="false">
      <c r="A494" s="0" t="str">
        <f aca="false">IF(DECKS!B494="","",DECKS!B494)</f>
        <v/>
      </c>
      <c r="B494" s="0" t="str">
        <f aca="false">IF(A494="","",IF(MATCH(A494,$A$2:$A$3201,0)=ROW()-1,1,0))</f>
        <v/>
      </c>
      <c r="C494" s="0" t="str">
        <f aca="false">IF(B494=1,MAX(C$1:C493)+1,"")</f>
        <v/>
      </c>
    </row>
    <row r="495" customFormat="false" ht="15" hidden="false" customHeight="false" outlineLevel="0" collapsed="false">
      <c r="A495" s="0" t="str">
        <f aca="false">IF(DECKS!B495="","",DECKS!B495)</f>
        <v/>
      </c>
      <c r="B495" s="0" t="str">
        <f aca="false">IF(A495="","",IF(MATCH(A495,$A$2:$A$3201,0)=ROW()-1,1,0))</f>
        <v/>
      </c>
      <c r="C495" s="0" t="str">
        <f aca="false">IF(B495=1,MAX(C$1:C494)+1,"")</f>
        <v/>
      </c>
    </row>
    <row r="496" customFormat="false" ht="15" hidden="false" customHeight="false" outlineLevel="0" collapsed="false">
      <c r="A496" s="0" t="str">
        <f aca="false">IF(DECKS!B496="","",DECKS!B496)</f>
        <v/>
      </c>
      <c r="B496" s="0" t="str">
        <f aca="false">IF(A496="","",IF(MATCH(A496,$A$2:$A$3201,0)=ROW()-1,1,0))</f>
        <v/>
      </c>
      <c r="C496" s="0" t="str">
        <f aca="false">IF(B496=1,MAX(C$1:C495)+1,"")</f>
        <v/>
      </c>
    </row>
    <row r="497" customFormat="false" ht="15" hidden="false" customHeight="false" outlineLevel="0" collapsed="false">
      <c r="A497" s="0" t="str">
        <f aca="false">IF(DECKS!B497="","",DECKS!B497)</f>
        <v/>
      </c>
      <c r="B497" s="0" t="str">
        <f aca="false">IF(A497="","",IF(MATCH(A497,$A$2:$A$3201,0)=ROW()-1,1,0))</f>
        <v/>
      </c>
      <c r="C497" s="0" t="str">
        <f aca="false">IF(B497=1,MAX(C$1:C496)+1,"")</f>
        <v/>
      </c>
    </row>
    <row r="498" customFormat="false" ht="15" hidden="false" customHeight="false" outlineLevel="0" collapsed="false">
      <c r="A498" s="0" t="str">
        <f aca="false">IF(DECKS!B498="","",DECKS!B498)</f>
        <v/>
      </c>
      <c r="B498" s="0" t="str">
        <f aca="false">IF(A498="","",IF(MATCH(A498,$A$2:$A$3201,0)=ROW()-1,1,0))</f>
        <v/>
      </c>
      <c r="C498" s="0" t="str">
        <f aca="false">IF(B498=1,MAX(C$1:C497)+1,"")</f>
        <v/>
      </c>
    </row>
    <row r="499" customFormat="false" ht="15" hidden="false" customHeight="false" outlineLevel="0" collapsed="false">
      <c r="A499" s="0" t="str">
        <f aca="false">IF(DECKS!B499="","",DECKS!B499)</f>
        <v/>
      </c>
      <c r="B499" s="0" t="str">
        <f aca="false">IF(A499="","",IF(MATCH(A499,$A$2:$A$3201,0)=ROW()-1,1,0))</f>
        <v/>
      </c>
      <c r="C499" s="0" t="str">
        <f aca="false">IF(B499=1,MAX(C$1:C498)+1,"")</f>
        <v/>
      </c>
    </row>
    <row r="500" customFormat="false" ht="15" hidden="false" customHeight="false" outlineLevel="0" collapsed="false">
      <c r="A500" s="0" t="str">
        <f aca="false">IF(DECKS!B500="","",DECKS!B500)</f>
        <v/>
      </c>
      <c r="B500" s="0" t="str">
        <f aca="false">IF(A500="","",IF(MATCH(A500,$A$2:$A$3201,0)=ROW()-1,1,0))</f>
        <v/>
      </c>
      <c r="C500" s="0" t="str">
        <f aca="false">IF(B500=1,MAX(C$1:C499)+1,"")</f>
        <v/>
      </c>
    </row>
    <row r="501" customFormat="false" ht="15" hidden="false" customHeight="false" outlineLevel="0" collapsed="false">
      <c r="A501" s="0" t="str">
        <f aca="false">IF(DECKS!B501="","",DECKS!B501)</f>
        <v/>
      </c>
      <c r="B501" s="0" t="str">
        <f aca="false">IF(A501="","",IF(MATCH(A501,$A$2:$A$3201,0)=ROW()-1,1,0))</f>
        <v/>
      </c>
      <c r="C501" s="0" t="str">
        <f aca="false">IF(B501=1,MAX(C$1:C500)+1,"")</f>
        <v/>
      </c>
    </row>
    <row r="502" customFormat="false" ht="15" hidden="false" customHeight="false" outlineLevel="0" collapsed="false">
      <c r="A502" s="0" t="str">
        <f aca="false">IF(DECKS!B502="","",DECKS!B502)</f>
        <v/>
      </c>
      <c r="B502" s="0" t="str">
        <f aca="false">IF(A502="","",IF(MATCH(A502,$A$2:$A$3201,0)=ROW()-1,1,0))</f>
        <v/>
      </c>
      <c r="C502" s="0" t="str">
        <f aca="false">IF(B502=1,MAX(C$1:C501)+1,"")</f>
        <v/>
      </c>
    </row>
    <row r="503" customFormat="false" ht="15" hidden="false" customHeight="false" outlineLevel="0" collapsed="false">
      <c r="A503" s="0" t="str">
        <f aca="false">IF(DECKS!B503="","",DECKS!B503)</f>
        <v/>
      </c>
      <c r="B503" s="0" t="str">
        <f aca="false">IF(A503="","",IF(MATCH(A503,$A$2:$A$3201,0)=ROW()-1,1,0))</f>
        <v/>
      </c>
      <c r="C503" s="0" t="str">
        <f aca="false">IF(B503=1,MAX(C$1:C502)+1,"")</f>
        <v/>
      </c>
    </row>
    <row r="504" customFormat="false" ht="15" hidden="false" customHeight="false" outlineLevel="0" collapsed="false">
      <c r="A504" s="0" t="str">
        <f aca="false">IF(DECKS!B504="","",DECKS!B504)</f>
        <v/>
      </c>
      <c r="B504" s="0" t="str">
        <f aca="false">IF(A504="","",IF(MATCH(A504,$A$2:$A$3201,0)=ROW()-1,1,0))</f>
        <v/>
      </c>
      <c r="C504" s="0" t="str">
        <f aca="false">IF(B504=1,MAX(C$1:C503)+1,"")</f>
        <v/>
      </c>
    </row>
    <row r="505" customFormat="false" ht="15" hidden="false" customHeight="false" outlineLevel="0" collapsed="false">
      <c r="A505" s="0" t="str">
        <f aca="false">IF(DECKS!B505="","",DECKS!B505)</f>
        <v/>
      </c>
      <c r="B505" s="0" t="str">
        <f aca="false">IF(A505="","",IF(MATCH(A505,$A$2:$A$3201,0)=ROW()-1,1,0))</f>
        <v/>
      </c>
      <c r="C505" s="0" t="str">
        <f aca="false">IF(B505=1,MAX(C$1:C504)+1,"")</f>
        <v/>
      </c>
    </row>
    <row r="506" customFormat="false" ht="15" hidden="false" customHeight="false" outlineLevel="0" collapsed="false">
      <c r="A506" s="0" t="str">
        <f aca="false">IF(DECKS!B506="","",DECKS!B506)</f>
        <v/>
      </c>
      <c r="B506" s="0" t="str">
        <f aca="false">IF(A506="","",IF(MATCH(A506,$A$2:$A$3201,0)=ROW()-1,1,0))</f>
        <v/>
      </c>
      <c r="C506" s="0" t="str">
        <f aca="false">IF(B506=1,MAX(C$1:C505)+1,"")</f>
        <v/>
      </c>
    </row>
    <row r="507" customFormat="false" ht="15" hidden="false" customHeight="false" outlineLevel="0" collapsed="false">
      <c r="A507" s="0" t="str">
        <f aca="false">IF(DECKS!B507="","",DECKS!B507)</f>
        <v/>
      </c>
      <c r="B507" s="0" t="str">
        <f aca="false">IF(A507="","",IF(MATCH(A507,$A$2:$A$3201,0)=ROW()-1,1,0))</f>
        <v/>
      </c>
      <c r="C507" s="0" t="str">
        <f aca="false">IF(B507=1,MAX(C$1:C506)+1,"")</f>
        <v/>
      </c>
    </row>
    <row r="508" customFormat="false" ht="15" hidden="false" customHeight="false" outlineLevel="0" collapsed="false">
      <c r="A508" s="0" t="str">
        <f aca="false">IF(DECKS!B508="","",DECKS!B508)</f>
        <v/>
      </c>
      <c r="B508" s="0" t="str">
        <f aca="false">IF(A508="","",IF(MATCH(A508,$A$2:$A$3201,0)=ROW()-1,1,0))</f>
        <v/>
      </c>
      <c r="C508" s="0" t="str">
        <f aca="false">IF(B508=1,MAX(C$1:C507)+1,"")</f>
        <v/>
      </c>
    </row>
    <row r="509" customFormat="false" ht="15" hidden="false" customHeight="false" outlineLevel="0" collapsed="false">
      <c r="A509" s="0" t="str">
        <f aca="false">IF(DECKS!B509="","",DECKS!B509)</f>
        <v/>
      </c>
      <c r="B509" s="0" t="str">
        <f aca="false">IF(A509="","",IF(MATCH(A509,$A$2:$A$3201,0)=ROW()-1,1,0))</f>
        <v/>
      </c>
      <c r="C509" s="0" t="str">
        <f aca="false">IF(B509=1,MAX(C$1:C508)+1,"")</f>
        <v/>
      </c>
    </row>
    <row r="510" customFormat="false" ht="15" hidden="false" customHeight="false" outlineLevel="0" collapsed="false">
      <c r="A510" s="0" t="str">
        <f aca="false">IF(DECKS!B510="","",DECKS!B510)</f>
        <v/>
      </c>
      <c r="B510" s="0" t="str">
        <f aca="false">IF(A510="","",IF(MATCH(A510,$A$2:$A$3201,0)=ROW()-1,1,0))</f>
        <v/>
      </c>
      <c r="C510" s="0" t="str">
        <f aca="false">IF(B510=1,MAX(C$1:C509)+1,"")</f>
        <v/>
      </c>
    </row>
    <row r="511" customFormat="false" ht="15" hidden="false" customHeight="false" outlineLevel="0" collapsed="false">
      <c r="A511" s="0" t="str">
        <f aca="false">IF(DECKS!B511="","",DECKS!B511)</f>
        <v/>
      </c>
      <c r="B511" s="0" t="str">
        <f aca="false">IF(A511="","",IF(MATCH(A511,$A$2:$A$3201,0)=ROW()-1,1,0))</f>
        <v/>
      </c>
      <c r="C511" s="0" t="str">
        <f aca="false">IF(B511=1,MAX(C$1:C510)+1,"")</f>
        <v/>
      </c>
    </row>
    <row r="512" customFormat="false" ht="15" hidden="false" customHeight="false" outlineLevel="0" collapsed="false">
      <c r="A512" s="0" t="str">
        <f aca="false">IF(DECKS!B512="","",DECKS!B512)</f>
        <v/>
      </c>
      <c r="B512" s="0" t="str">
        <f aca="false">IF(A512="","",IF(MATCH(A512,$A$2:$A$3201,0)=ROW()-1,1,0))</f>
        <v/>
      </c>
      <c r="C512" s="0" t="str">
        <f aca="false">IF(B512=1,MAX(C$1:C511)+1,"")</f>
        <v/>
      </c>
    </row>
    <row r="513" customFormat="false" ht="15" hidden="false" customHeight="false" outlineLevel="0" collapsed="false">
      <c r="A513" s="0" t="str">
        <f aca="false">IF(DECKS!B513="","",DECKS!B513)</f>
        <v/>
      </c>
      <c r="B513" s="0" t="str">
        <f aca="false">IF(A513="","",IF(MATCH(A513,$A$2:$A$3201,0)=ROW()-1,1,0))</f>
        <v/>
      </c>
      <c r="C513" s="0" t="str">
        <f aca="false">IF(B513=1,MAX(C$1:C512)+1,"")</f>
        <v/>
      </c>
    </row>
    <row r="514" customFormat="false" ht="15" hidden="false" customHeight="false" outlineLevel="0" collapsed="false">
      <c r="A514" s="0" t="str">
        <f aca="false">IF(DECKS!B514="","",DECKS!B514)</f>
        <v/>
      </c>
      <c r="B514" s="0" t="str">
        <f aca="false">IF(A514="","",IF(MATCH(A514,$A$2:$A$3201,0)=ROW()-1,1,0))</f>
        <v/>
      </c>
      <c r="C514" s="0" t="str">
        <f aca="false">IF(B514=1,MAX(C$1:C513)+1,"")</f>
        <v/>
      </c>
    </row>
    <row r="515" customFormat="false" ht="15" hidden="false" customHeight="false" outlineLevel="0" collapsed="false">
      <c r="A515" s="0" t="str">
        <f aca="false">IF(DECKS!B515="","",DECKS!B515)</f>
        <v/>
      </c>
      <c r="B515" s="0" t="str">
        <f aca="false">IF(A515="","",IF(MATCH(A515,$A$2:$A$3201,0)=ROW()-1,1,0))</f>
        <v/>
      </c>
      <c r="C515" s="0" t="str">
        <f aca="false">IF(B515=1,MAX(C$1:C514)+1,"")</f>
        <v/>
      </c>
    </row>
    <row r="516" customFormat="false" ht="15" hidden="false" customHeight="false" outlineLevel="0" collapsed="false">
      <c r="A516" s="0" t="str">
        <f aca="false">IF(DECKS!B516="","",DECKS!B516)</f>
        <v/>
      </c>
      <c r="B516" s="0" t="str">
        <f aca="false">IF(A516="","",IF(MATCH(A516,$A$2:$A$3201,0)=ROW()-1,1,0))</f>
        <v/>
      </c>
      <c r="C516" s="0" t="str">
        <f aca="false">IF(B516=1,MAX(C$1:C515)+1,"")</f>
        <v/>
      </c>
    </row>
    <row r="517" customFormat="false" ht="15" hidden="false" customHeight="false" outlineLevel="0" collapsed="false">
      <c r="A517" s="0" t="str">
        <f aca="false">IF(DECKS!B517="","",DECKS!B517)</f>
        <v/>
      </c>
      <c r="B517" s="0" t="str">
        <f aca="false">IF(A517="","",IF(MATCH(A517,$A$2:$A$3201,0)=ROW()-1,1,0))</f>
        <v/>
      </c>
      <c r="C517" s="0" t="str">
        <f aca="false">IF(B517=1,MAX(C$1:C516)+1,"")</f>
        <v/>
      </c>
    </row>
    <row r="518" customFormat="false" ht="15" hidden="false" customHeight="false" outlineLevel="0" collapsed="false">
      <c r="A518" s="0" t="str">
        <f aca="false">IF(DECKS!B518="","",DECKS!B518)</f>
        <v/>
      </c>
      <c r="B518" s="0" t="str">
        <f aca="false">IF(A518="","",IF(MATCH(A518,$A$2:$A$3201,0)=ROW()-1,1,0))</f>
        <v/>
      </c>
      <c r="C518" s="0" t="str">
        <f aca="false">IF(B518=1,MAX(C$1:C517)+1,"")</f>
        <v/>
      </c>
    </row>
    <row r="519" customFormat="false" ht="15" hidden="false" customHeight="false" outlineLevel="0" collapsed="false">
      <c r="A519" s="0" t="str">
        <f aca="false">IF(DECKS!B519="","",DECKS!B519)</f>
        <v/>
      </c>
      <c r="B519" s="0" t="str">
        <f aca="false">IF(A519="","",IF(MATCH(A519,$A$2:$A$3201,0)=ROW()-1,1,0))</f>
        <v/>
      </c>
      <c r="C519" s="0" t="str">
        <f aca="false">IF(B519=1,MAX(C$1:C518)+1,"")</f>
        <v/>
      </c>
    </row>
    <row r="520" customFormat="false" ht="15" hidden="false" customHeight="false" outlineLevel="0" collapsed="false">
      <c r="A520" s="0" t="str">
        <f aca="false">IF(DECKS!B520="","",DECKS!B520)</f>
        <v/>
      </c>
      <c r="B520" s="0" t="str">
        <f aca="false">IF(A520="","",IF(MATCH(A520,$A$2:$A$3201,0)=ROW()-1,1,0))</f>
        <v/>
      </c>
      <c r="C520" s="0" t="str">
        <f aca="false">IF(B520=1,MAX(C$1:C519)+1,"")</f>
        <v/>
      </c>
    </row>
    <row r="521" customFormat="false" ht="15" hidden="false" customHeight="false" outlineLevel="0" collapsed="false">
      <c r="A521" s="0" t="str">
        <f aca="false">IF(DECKS!B521="","",DECKS!B521)</f>
        <v/>
      </c>
      <c r="B521" s="0" t="str">
        <f aca="false">IF(A521="","",IF(MATCH(A521,$A$2:$A$3201,0)=ROW()-1,1,0))</f>
        <v/>
      </c>
      <c r="C521" s="0" t="str">
        <f aca="false">IF(B521=1,MAX(C$1:C520)+1,"")</f>
        <v/>
      </c>
    </row>
    <row r="522" customFormat="false" ht="15" hidden="false" customHeight="false" outlineLevel="0" collapsed="false">
      <c r="A522" s="0" t="str">
        <f aca="false">IF(DECKS!B522="","",DECKS!B522)</f>
        <v/>
      </c>
      <c r="B522" s="0" t="str">
        <f aca="false">IF(A522="","",IF(MATCH(A522,$A$2:$A$3201,0)=ROW()-1,1,0))</f>
        <v/>
      </c>
      <c r="C522" s="0" t="str">
        <f aca="false">IF(B522=1,MAX(C$1:C521)+1,"")</f>
        <v/>
      </c>
    </row>
    <row r="523" customFormat="false" ht="15" hidden="false" customHeight="false" outlineLevel="0" collapsed="false">
      <c r="A523" s="0" t="str">
        <f aca="false">IF(DECKS!B523="","",DECKS!B523)</f>
        <v/>
      </c>
      <c r="B523" s="0" t="str">
        <f aca="false">IF(A523="","",IF(MATCH(A523,$A$2:$A$3201,0)=ROW()-1,1,0))</f>
        <v/>
      </c>
      <c r="C523" s="0" t="str">
        <f aca="false">IF(B523=1,MAX(C$1:C522)+1,"")</f>
        <v/>
      </c>
    </row>
    <row r="524" customFormat="false" ht="15" hidden="false" customHeight="false" outlineLevel="0" collapsed="false">
      <c r="A524" s="0" t="str">
        <f aca="false">IF(DECKS!B524="","",DECKS!B524)</f>
        <v/>
      </c>
      <c r="B524" s="0" t="str">
        <f aca="false">IF(A524="","",IF(MATCH(A524,$A$2:$A$3201,0)=ROW()-1,1,0))</f>
        <v/>
      </c>
      <c r="C524" s="0" t="str">
        <f aca="false">IF(B524=1,MAX(C$1:C523)+1,"")</f>
        <v/>
      </c>
    </row>
    <row r="525" customFormat="false" ht="15" hidden="false" customHeight="false" outlineLevel="0" collapsed="false">
      <c r="A525" s="0" t="str">
        <f aca="false">IF(DECKS!B525="","",DECKS!B525)</f>
        <v/>
      </c>
      <c r="B525" s="0" t="str">
        <f aca="false">IF(A525="","",IF(MATCH(A525,$A$2:$A$3201,0)=ROW()-1,1,0))</f>
        <v/>
      </c>
      <c r="C525" s="0" t="str">
        <f aca="false">IF(B525=1,MAX(C$1:C524)+1,"")</f>
        <v/>
      </c>
    </row>
    <row r="526" customFormat="false" ht="15" hidden="false" customHeight="false" outlineLevel="0" collapsed="false">
      <c r="A526" s="0" t="str">
        <f aca="false">IF(DECKS!B526="","",DECKS!B526)</f>
        <v/>
      </c>
      <c r="B526" s="0" t="str">
        <f aca="false">IF(A526="","",IF(MATCH(A526,$A$2:$A$3201,0)=ROW()-1,1,0))</f>
        <v/>
      </c>
      <c r="C526" s="0" t="str">
        <f aca="false">IF(B526=1,MAX(C$1:C525)+1,"")</f>
        <v/>
      </c>
    </row>
    <row r="527" customFormat="false" ht="15" hidden="false" customHeight="false" outlineLevel="0" collapsed="false">
      <c r="A527" s="0" t="str">
        <f aca="false">IF(DECKS!B527="","",DECKS!B527)</f>
        <v/>
      </c>
      <c r="B527" s="0" t="str">
        <f aca="false">IF(A527="","",IF(MATCH(A527,$A$2:$A$3201,0)=ROW()-1,1,0))</f>
        <v/>
      </c>
      <c r="C527" s="0" t="str">
        <f aca="false">IF(B527=1,MAX(C$1:C526)+1,"")</f>
        <v/>
      </c>
    </row>
    <row r="528" customFormat="false" ht="15" hidden="false" customHeight="false" outlineLevel="0" collapsed="false">
      <c r="A528" s="0" t="str">
        <f aca="false">IF(DECKS!B528="","",DECKS!B528)</f>
        <v/>
      </c>
      <c r="B528" s="0" t="str">
        <f aca="false">IF(A528="","",IF(MATCH(A528,$A$2:$A$3201,0)=ROW()-1,1,0))</f>
        <v/>
      </c>
      <c r="C528" s="0" t="str">
        <f aca="false">IF(B528=1,MAX(C$1:C527)+1,"")</f>
        <v/>
      </c>
    </row>
    <row r="529" customFormat="false" ht="15" hidden="false" customHeight="false" outlineLevel="0" collapsed="false">
      <c r="A529" s="0" t="str">
        <f aca="false">IF(DECKS!B529="","",DECKS!B529)</f>
        <v/>
      </c>
      <c r="B529" s="0" t="str">
        <f aca="false">IF(A529="","",IF(MATCH(A529,$A$2:$A$3201,0)=ROW()-1,1,0))</f>
        <v/>
      </c>
      <c r="C529" s="0" t="str">
        <f aca="false">IF(B529=1,MAX(C$1:C528)+1,"")</f>
        <v/>
      </c>
    </row>
    <row r="530" customFormat="false" ht="15" hidden="false" customHeight="false" outlineLevel="0" collapsed="false">
      <c r="A530" s="0" t="str">
        <f aca="false">IF(DECKS!B530="","",DECKS!B530)</f>
        <v/>
      </c>
      <c r="B530" s="0" t="str">
        <f aca="false">IF(A530="","",IF(MATCH(A530,$A$2:$A$3201,0)=ROW()-1,1,0))</f>
        <v/>
      </c>
      <c r="C530" s="0" t="str">
        <f aca="false">IF(B530=1,MAX(C$1:C529)+1,"")</f>
        <v/>
      </c>
    </row>
    <row r="531" customFormat="false" ht="15" hidden="false" customHeight="false" outlineLevel="0" collapsed="false">
      <c r="A531" s="0" t="str">
        <f aca="false">IF(DECKS!B531="","",DECKS!B531)</f>
        <v/>
      </c>
      <c r="B531" s="0" t="str">
        <f aca="false">IF(A531="","",IF(MATCH(A531,$A$2:$A$3201,0)=ROW()-1,1,0))</f>
        <v/>
      </c>
      <c r="C531" s="0" t="str">
        <f aca="false">IF(B531=1,MAX(C$1:C530)+1,"")</f>
        <v/>
      </c>
    </row>
    <row r="532" customFormat="false" ht="15" hidden="false" customHeight="false" outlineLevel="0" collapsed="false">
      <c r="A532" s="0" t="str">
        <f aca="false">IF(DECKS!B532="","",DECKS!B532)</f>
        <v/>
      </c>
      <c r="B532" s="0" t="str">
        <f aca="false">IF(A532="","",IF(MATCH(A532,$A$2:$A$3201,0)=ROW()-1,1,0))</f>
        <v/>
      </c>
      <c r="C532" s="0" t="str">
        <f aca="false">IF(B532=1,MAX(C$1:C531)+1,"")</f>
        <v/>
      </c>
    </row>
    <row r="533" customFormat="false" ht="15" hidden="false" customHeight="false" outlineLevel="0" collapsed="false">
      <c r="A533" s="0" t="str">
        <f aca="false">IF(DECKS!B533="","",DECKS!B533)</f>
        <v/>
      </c>
      <c r="B533" s="0" t="str">
        <f aca="false">IF(A533="","",IF(MATCH(A533,$A$2:$A$3201,0)=ROW()-1,1,0))</f>
        <v/>
      </c>
      <c r="C533" s="0" t="str">
        <f aca="false">IF(B533=1,MAX(C$1:C532)+1,"")</f>
        <v/>
      </c>
    </row>
    <row r="534" customFormat="false" ht="15" hidden="false" customHeight="false" outlineLevel="0" collapsed="false">
      <c r="A534" s="0" t="str">
        <f aca="false">IF(DECKS!B534="","",DECKS!B534)</f>
        <v/>
      </c>
      <c r="B534" s="0" t="str">
        <f aca="false">IF(A534="","",IF(MATCH(A534,$A$2:$A$3201,0)=ROW()-1,1,0))</f>
        <v/>
      </c>
      <c r="C534" s="0" t="str">
        <f aca="false">IF(B534=1,MAX(C$1:C533)+1,"")</f>
        <v/>
      </c>
    </row>
    <row r="535" customFormat="false" ht="15" hidden="false" customHeight="false" outlineLevel="0" collapsed="false">
      <c r="A535" s="0" t="str">
        <f aca="false">IF(DECKS!B535="","",DECKS!B535)</f>
        <v/>
      </c>
      <c r="B535" s="0" t="str">
        <f aca="false">IF(A535="","",IF(MATCH(A535,$A$2:$A$3201,0)=ROW()-1,1,0))</f>
        <v/>
      </c>
      <c r="C535" s="0" t="str">
        <f aca="false">IF(B535=1,MAX(C$1:C534)+1,"")</f>
        <v/>
      </c>
    </row>
    <row r="536" customFormat="false" ht="15" hidden="false" customHeight="false" outlineLevel="0" collapsed="false">
      <c r="A536" s="0" t="str">
        <f aca="false">IF(DECKS!B536="","",DECKS!B536)</f>
        <v/>
      </c>
      <c r="B536" s="0" t="str">
        <f aca="false">IF(A536="","",IF(MATCH(A536,$A$2:$A$3201,0)=ROW()-1,1,0))</f>
        <v/>
      </c>
      <c r="C536" s="0" t="str">
        <f aca="false">IF(B536=1,MAX(C$1:C535)+1,"")</f>
        <v/>
      </c>
    </row>
    <row r="537" customFormat="false" ht="15" hidden="false" customHeight="false" outlineLevel="0" collapsed="false">
      <c r="A537" s="0" t="str">
        <f aca="false">IF(DECKS!B537="","",DECKS!B537)</f>
        <v/>
      </c>
      <c r="B537" s="0" t="str">
        <f aca="false">IF(A537="","",IF(MATCH(A537,$A$2:$A$3201,0)=ROW()-1,1,0))</f>
        <v/>
      </c>
      <c r="C537" s="0" t="str">
        <f aca="false">IF(B537=1,MAX(C$1:C536)+1,"")</f>
        <v/>
      </c>
    </row>
    <row r="538" customFormat="false" ht="15" hidden="false" customHeight="false" outlineLevel="0" collapsed="false">
      <c r="A538" s="0" t="str">
        <f aca="false">IF(DECKS!B538="","",DECKS!B538)</f>
        <v/>
      </c>
      <c r="B538" s="0" t="str">
        <f aca="false">IF(A538="","",IF(MATCH(A538,$A$2:$A$3201,0)=ROW()-1,1,0))</f>
        <v/>
      </c>
      <c r="C538" s="0" t="str">
        <f aca="false">IF(B538=1,MAX(C$1:C537)+1,"")</f>
        <v/>
      </c>
    </row>
    <row r="539" customFormat="false" ht="15" hidden="false" customHeight="false" outlineLevel="0" collapsed="false">
      <c r="A539" s="0" t="str">
        <f aca="false">IF(DECKS!B539="","",DECKS!B539)</f>
        <v/>
      </c>
      <c r="B539" s="0" t="str">
        <f aca="false">IF(A539="","",IF(MATCH(A539,$A$2:$A$3201,0)=ROW()-1,1,0))</f>
        <v/>
      </c>
      <c r="C539" s="0" t="str">
        <f aca="false">IF(B539=1,MAX(C$1:C538)+1,"")</f>
        <v/>
      </c>
    </row>
    <row r="540" customFormat="false" ht="15" hidden="false" customHeight="false" outlineLevel="0" collapsed="false">
      <c r="A540" s="0" t="str">
        <f aca="false">IF(DECKS!B540="","",DECKS!B540)</f>
        <v/>
      </c>
      <c r="B540" s="0" t="str">
        <f aca="false">IF(A540="","",IF(MATCH(A540,$A$2:$A$3201,0)=ROW()-1,1,0))</f>
        <v/>
      </c>
      <c r="C540" s="0" t="str">
        <f aca="false">IF(B540=1,MAX(C$1:C539)+1,"")</f>
        <v/>
      </c>
    </row>
    <row r="541" customFormat="false" ht="15" hidden="false" customHeight="false" outlineLevel="0" collapsed="false">
      <c r="A541" s="0" t="str">
        <f aca="false">IF(DECKS!B541="","",DECKS!B541)</f>
        <v/>
      </c>
      <c r="B541" s="0" t="str">
        <f aca="false">IF(A541="","",IF(MATCH(A541,$A$2:$A$3201,0)=ROW()-1,1,0))</f>
        <v/>
      </c>
      <c r="C541" s="0" t="str">
        <f aca="false">IF(B541=1,MAX(C$1:C540)+1,"")</f>
        <v/>
      </c>
    </row>
    <row r="542" customFormat="false" ht="15" hidden="false" customHeight="false" outlineLevel="0" collapsed="false">
      <c r="A542" s="0" t="str">
        <f aca="false">IF(DECKS!B542="","",DECKS!B542)</f>
        <v/>
      </c>
      <c r="B542" s="0" t="str">
        <f aca="false">IF(A542="","",IF(MATCH(A542,$A$2:$A$3201,0)=ROW()-1,1,0))</f>
        <v/>
      </c>
      <c r="C542" s="0" t="str">
        <f aca="false">IF(B542=1,MAX(C$1:C541)+1,"")</f>
        <v/>
      </c>
    </row>
    <row r="543" customFormat="false" ht="15" hidden="false" customHeight="false" outlineLevel="0" collapsed="false">
      <c r="A543" s="0" t="str">
        <f aca="false">IF(DECKS!B543="","",DECKS!B543)</f>
        <v/>
      </c>
      <c r="B543" s="0" t="str">
        <f aca="false">IF(A543="","",IF(MATCH(A543,$A$2:$A$3201,0)=ROW()-1,1,0))</f>
        <v/>
      </c>
      <c r="C543" s="0" t="str">
        <f aca="false">IF(B543=1,MAX(C$1:C542)+1,"")</f>
        <v/>
      </c>
    </row>
    <row r="544" customFormat="false" ht="15" hidden="false" customHeight="false" outlineLevel="0" collapsed="false">
      <c r="A544" s="0" t="str">
        <f aca="false">IF(DECKS!B544="","",DECKS!B544)</f>
        <v/>
      </c>
      <c r="B544" s="0" t="str">
        <f aca="false">IF(A544="","",IF(MATCH(A544,$A$2:$A$3201,0)=ROW()-1,1,0))</f>
        <v/>
      </c>
      <c r="C544" s="0" t="str">
        <f aca="false">IF(B544=1,MAX(C$1:C543)+1,"")</f>
        <v/>
      </c>
    </row>
    <row r="545" customFormat="false" ht="15" hidden="false" customHeight="false" outlineLevel="0" collapsed="false">
      <c r="A545" s="0" t="str">
        <f aca="false">IF(DECKS!B545="","",DECKS!B545)</f>
        <v/>
      </c>
      <c r="B545" s="0" t="str">
        <f aca="false">IF(A545="","",IF(MATCH(A545,$A$2:$A$3201,0)=ROW()-1,1,0))</f>
        <v/>
      </c>
      <c r="C545" s="0" t="str">
        <f aca="false">IF(B545=1,MAX(C$1:C544)+1,"")</f>
        <v/>
      </c>
    </row>
    <row r="546" customFormat="false" ht="15" hidden="false" customHeight="false" outlineLevel="0" collapsed="false">
      <c r="A546" s="0" t="str">
        <f aca="false">IF(DECKS!B546="","",DECKS!B546)</f>
        <v/>
      </c>
      <c r="B546" s="0" t="str">
        <f aca="false">IF(A546="","",IF(MATCH(A546,$A$2:$A$3201,0)=ROW()-1,1,0))</f>
        <v/>
      </c>
      <c r="C546" s="0" t="str">
        <f aca="false">IF(B546=1,MAX(C$1:C545)+1,"")</f>
        <v/>
      </c>
    </row>
    <row r="547" customFormat="false" ht="15" hidden="false" customHeight="false" outlineLevel="0" collapsed="false">
      <c r="A547" s="0" t="str">
        <f aca="false">IF(DECKS!B547="","",DECKS!B547)</f>
        <v/>
      </c>
      <c r="B547" s="0" t="str">
        <f aca="false">IF(A547="","",IF(MATCH(A547,$A$2:$A$3201,0)=ROW()-1,1,0))</f>
        <v/>
      </c>
      <c r="C547" s="0" t="str">
        <f aca="false">IF(B547=1,MAX(C$1:C546)+1,"")</f>
        <v/>
      </c>
    </row>
    <row r="548" customFormat="false" ht="15" hidden="false" customHeight="false" outlineLevel="0" collapsed="false">
      <c r="A548" s="0" t="str">
        <f aca="false">IF(DECKS!B548="","",DECKS!B548)</f>
        <v/>
      </c>
      <c r="B548" s="0" t="str">
        <f aca="false">IF(A548="","",IF(MATCH(A548,$A$2:$A$3201,0)=ROW()-1,1,0))</f>
        <v/>
      </c>
      <c r="C548" s="0" t="str">
        <f aca="false">IF(B548=1,MAX(C$1:C547)+1,"")</f>
        <v/>
      </c>
    </row>
    <row r="549" customFormat="false" ht="15" hidden="false" customHeight="false" outlineLevel="0" collapsed="false">
      <c r="A549" s="0" t="str">
        <f aca="false">IF(DECKS!B549="","",DECKS!B549)</f>
        <v/>
      </c>
      <c r="B549" s="0" t="str">
        <f aca="false">IF(A549="","",IF(MATCH(A549,$A$2:$A$3201,0)=ROW()-1,1,0))</f>
        <v/>
      </c>
      <c r="C549" s="0" t="str">
        <f aca="false">IF(B549=1,MAX(C$1:C548)+1,"")</f>
        <v/>
      </c>
    </row>
    <row r="550" customFormat="false" ht="15" hidden="false" customHeight="false" outlineLevel="0" collapsed="false">
      <c r="A550" s="0" t="str">
        <f aca="false">IF(DECKS!B550="","",DECKS!B550)</f>
        <v/>
      </c>
      <c r="B550" s="0" t="str">
        <f aca="false">IF(A550="","",IF(MATCH(A550,$A$2:$A$3201,0)=ROW()-1,1,0))</f>
        <v/>
      </c>
      <c r="C550" s="0" t="str">
        <f aca="false">IF(B550=1,MAX(C$1:C549)+1,"")</f>
        <v/>
      </c>
    </row>
    <row r="551" customFormat="false" ht="15" hidden="false" customHeight="false" outlineLevel="0" collapsed="false">
      <c r="A551" s="0" t="str">
        <f aca="false">IF(DECKS!B551="","",DECKS!B551)</f>
        <v/>
      </c>
      <c r="B551" s="0" t="str">
        <f aca="false">IF(A551="","",IF(MATCH(A551,$A$2:$A$3201,0)=ROW()-1,1,0))</f>
        <v/>
      </c>
      <c r="C551" s="0" t="str">
        <f aca="false">IF(B551=1,MAX(C$1:C550)+1,"")</f>
        <v/>
      </c>
    </row>
    <row r="552" customFormat="false" ht="15" hidden="false" customHeight="false" outlineLevel="0" collapsed="false">
      <c r="A552" s="0" t="str">
        <f aca="false">IF(DECKS!B552="","",DECKS!B552)</f>
        <v/>
      </c>
      <c r="B552" s="0" t="str">
        <f aca="false">IF(A552="","",IF(MATCH(A552,$A$2:$A$3201,0)=ROW()-1,1,0))</f>
        <v/>
      </c>
      <c r="C552" s="0" t="str">
        <f aca="false">IF(B552=1,MAX(C$1:C551)+1,"")</f>
        <v/>
      </c>
    </row>
    <row r="553" customFormat="false" ht="15" hidden="false" customHeight="false" outlineLevel="0" collapsed="false">
      <c r="A553" s="0" t="str">
        <f aca="false">IF(DECKS!B553="","",DECKS!B553)</f>
        <v/>
      </c>
      <c r="B553" s="0" t="str">
        <f aca="false">IF(A553="","",IF(MATCH(A553,$A$2:$A$3201,0)=ROW()-1,1,0))</f>
        <v/>
      </c>
      <c r="C553" s="0" t="str">
        <f aca="false">IF(B553=1,MAX(C$1:C552)+1,"")</f>
        <v/>
      </c>
    </row>
    <row r="554" customFormat="false" ht="15" hidden="false" customHeight="false" outlineLevel="0" collapsed="false">
      <c r="A554" s="0" t="str">
        <f aca="false">IF(DECKS!B554="","",DECKS!B554)</f>
        <v/>
      </c>
      <c r="B554" s="0" t="str">
        <f aca="false">IF(A554="","",IF(MATCH(A554,$A$2:$A$3201,0)=ROW()-1,1,0))</f>
        <v/>
      </c>
      <c r="C554" s="0" t="str">
        <f aca="false">IF(B554=1,MAX(C$1:C553)+1,"")</f>
        <v/>
      </c>
    </row>
    <row r="555" customFormat="false" ht="15" hidden="false" customHeight="false" outlineLevel="0" collapsed="false">
      <c r="A555" s="0" t="str">
        <f aca="false">IF(DECKS!B555="","",DECKS!B555)</f>
        <v/>
      </c>
      <c r="B555" s="0" t="str">
        <f aca="false">IF(A555="","",IF(MATCH(A555,$A$2:$A$3201,0)=ROW()-1,1,0))</f>
        <v/>
      </c>
      <c r="C555" s="0" t="str">
        <f aca="false">IF(B555=1,MAX(C$1:C554)+1,"")</f>
        <v/>
      </c>
    </row>
    <row r="556" customFormat="false" ht="15" hidden="false" customHeight="false" outlineLevel="0" collapsed="false">
      <c r="A556" s="0" t="str">
        <f aca="false">IF(DECKS!B556="","",DECKS!B556)</f>
        <v/>
      </c>
      <c r="B556" s="0" t="str">
        <f aca="false">IF(A556="","",IF(MATCH(A556,$A$2:$A$3201,0)=ROW()-1,1,0))</f>
        <v/>
      </c>
      <c r="C556" s="0" t="str">
        <f aca="false">IF(B556=1,MAX(C$1:C555)+1,"")</f>
        <v/>
      </c>
    </row>
    <row r="557" customFormat="false" ht="15" hidden="false" customHeight="false" outlineLevel="0" collapsed="false">
      <c r="A557" s="0" t="str">
        <f aca="false">IF(DECKS!B557="","",DECKS!B557)</f>
        <v/>
      </c>
      <c r="B557" s="0" t="str">
        <f aca="false">IF(A557="","",IF(MATCH(A557,$A$2:$A$3201,0)=ROW()-1,1,0))</f>
        <v/>
      </c>
      <c r="C557" s="0" t="str">
        <f aca="false">IF(B557=1,MAX(C$1:C556)+1,"")</f>
        <v/>
      </c>
    </row>
    <row r="558" customFormat="false" ht="15" hidden="false" customHeight="false" outlineLevel="0" collapsed="false">
      <c r="A558" s="0" t="str">
        <f aca="false">IF(DECKS!B558="","",DECKS!B558)</f>
        <v/>
      </c>
      <c r="B558" s="0" t="str">
        <f aca="false">IF(A558="","",IF(MATCH(A558,$A$2:$A$3201,0)=ROW()-1,1,0))</f>
        <v/>
      </c>
      <c r="C558" s="0" t="str">
        <f aca="false">IF(B558=1,MAX(C$1:C557)+1,"")</f>
        <v/>
      </c>
    </row>
    <row r="559" customFormat="false" ht="15" hidden="false" customHeight="false" outlineLevel="0" collapsed="false">
      <c r="A559" s="0" t="str">
        <f aca="false">IF(DECKS!B559="","",DECKS!B559)</f>
        <v/>
      </c>
      <c r="B559" s="0" t="str">
        <f aca="false">IF(A559="","",IF(MATCH(A559,$A$2:$A$3201,0)=ROW()-1,1,0))</f>
        <v/>
      </c>
      <c r="C559" s="0" t="str">
        <f aca="false">IF(B559=1,MAX(C$1:C558)+1,"")</f>
        <v/>
      </c>
    </row>
    <row r="560" customFormat="false" ht="15" hidden="false" customHeight="false" outlineLevel="0" collapsed="false">
      <c r="A560" s="0" t="str">
        <f aca="false">IF(DECKS!B560="","",DECKS!B560)</f>
        <v/>
      </c>
      <c r="B560" s="0" t="str">
        <f aca="false">IF(A560="","",IF(MATCH(A560,$A$2:$A$3201,0)=ROW()-1,1,0))</f>
        <v/>
      </c>
      <c r="C560" s="0" t="str">
        <f aca="false">IF(B560=1,MAX(C$1:C559)+1,"")</f>
        <v/>
      </c>
    </row>
    <row r="561" customFormat="false" ht="15" hidden="false" customHeight="false" outlineLevel="0" collapsed="false">
      <c r="A561" s="0" t="str">
        <f aca="false">IF(DECKS!B561="","",DECKS!B561)</f>
        <v/>
      </c>
      <c r="B561" s="0" t="str">
        <f aca="false">IF(A561="","",IF(MATCH(A561,$A$2:$A$3201,0)=ROW()-1,1,0))</f>
        <v/>
      </c>
      <c r="C561" s="0" t="str">
        <f aca="false">IF(B561=1,MAX(C$1:C560)+1,"")</f>
        <v/>
      </c>
    </row>
    <row r="562" customFormat="false" ht="15" hidden="false" customHeight="false" outlineLevel="0" collapsed="false">
      <c r="A562" s="0" t="str">
        <f aca="false">IF(DECKS!B562="","",DECKS!B562)</f>
        <v/>
      </c>
      <c r="B562" s="0" t="str">
        <f aca="false">IF(A562="","",IF(MATCH(A562,$A$2:$A$3201,0)=ROW()-1,1,0))</f>
        <v/>
      </c>
      <c r="C562" s="0" t="str">
        <f aca="false">IF(B562=1,MAX(C$1:C561)+1,"")</f>
        <v/>
      </c>
    </row>
    <row r="563" customFormat="false" ht="15" hidden="false" customHeight="false" outlineLevel="0" collapsed="false">
      <c r="A563" s="0" t="str">
        <f aca="false">IF(DECKS!B563="","",DECKS!B563)</f>
        <v/>
      </c>
      <c r="B563" s="0" t="str">
        <f aca="false">IF(A563="","",IF(MATCH(A563,$A$2:$A$3201,0)=ROW()-1,1,0))</f>
        <v/>
      </c>
      <c r="C563" s="0" t="str">
        <f aca="false">IF(B563=1,MAX(C$1:C562)+1,"")</f>
        <v/>
      </c>
    </row>
    <row r="564" customFormat="false" ht="15" hidden="false" customHeight="false" outlineLevel="0" collapsed="false">
      <c r="A564" s="0" t="str">
        <f aca="false">IF(DECKS!B564="","",DECKS!B564)</f>
        <v/>
      </c>
      <c r="B564" s="0" t="str">
        <f aca="false">IF(A564="","",IF(MATCH(A564,$A$2:$A$3201,0)=ROW()-1,1,0))</f>
        <v/>
      </c>
      <c r="C564" s="0" t="str">
        <f aca="false">IF(B564=1,MAX(C$1:C563)+1,"")</f>
        <v/>
      </c>
    </row>
    <row r="565" customFormat="false" ht="15" hidden="false" customHeight="false" outlineLevel="0" collapsed="false">
      <c r="A565" s="0" t="str">
        <f aca="false">IF(DECKS!B565="","",DECKS!B565)</f>
        <v/>
      </c>
      <c r="B565" s="0" t="str">
        <f aca="false">IF(A565="","",IF(MATCH(A565,$A$2:$A$3201,0)=ROW()-1,1,0))</f>
        <v/>
      </c>
      <c r="C565" s="0" t="str">
        <f aca="false">IF(B565=1,MAX(C$1:C564)+1,"")</f>
        <v/>
      </c>
    </row>
    <row r="566" customFormat="false" ht="15" hidden="false" customHeight="false" outlineLevel="0" collapsed="false">
      <c r="A566" s="0" t="str">
        <f aca="false">IF(DECKS!B566="","",DECKS!B566)</f>
        <v/>
      </c>
      <c r="B566" s="0" t="str">
        <f aca="false">IF(A566="","",IF(MATCH(A566,$A$2:$A$3201,0)=ROW()-1,1,0))</f>
        <v/>
      </c>
      <c r="C566" s="0" t="str">
        <f aca="false">IF(B566=1,MAX(C$1:C565)+1,"")</f>
        <v/>
      </c>
    </row>
    <row r="567" customFormat="false" ht="15" hidden="false" customHeight="false" outlineLevel="0" collapsed="false">
      <c r="A567" s="0" t="str">
        <f aca="false">IF(DECKS!B567="","",DECKS!B567)</f>
        <v/>
      </c>
      <c r="B567" s="0" t="str">
        <f aca="false">IF(A567="","",IF(MATCH(A567,$A$2:$A$3201,0)=ROW()-1,1,0))</f>
        <v/>
      </c>
      <c r="C567" s="0" t="str">
        <f aca="false">IF(B567=1,MAX(C$1:C566)+1,"")</f>
        <v/>
      </c>
    </row>
    <row r="568" customFormat="false" ht="15" hidden="false" customHeight="false" outlineLevel="0" collapsed="false">
      <c r="A568" s="0" t="str">
        <f aca="false">IF(DECKS!B568="","",DECKS!B568)</f>
        <v/>
      </c>
      <c r="B568" s="0" t="str">
        <f aca="false">IF(A568="","",IF(MATCH(A568,$A$2:$A$3201,0)=ROW()-1,1,0))</f>
        <v/>
      </c>
      <c r="C568" s="0" t="str">
        <f aca="false">IF(B568=1,MAX(C$1:C567)+1,"")</f>
        <v/>
      </c>
    </row>
    <row r="569" customFormat="false" ht="15" hidden="false" customHeight="false" outlineLevel="0" collapsed="false">
      <c r="A569" s="0" t="str">
        <f aca="false">IF(DECKS!B569="","",DECKS!B569)</f>
        <v/>
      </c>
      <c r="B569" s="0" t="str">
        <f aca="false">IF(A569="","",IF(MATCH(A569,$A$2:$A$3201,0)=ROW()-1,1,0))</f>
        <v/>
      </c>
      <c r="C569" s="0" t="str">
        <f aca="false">IF(B569=1,MAX(C$1:C568)+1,"")</f>
        <v/>
      </c>
    </row>
    <row r="570" customFormat="false" ht="15" hidden="false" customHeight="false" outlineLevel="0" collapsed="false">
      <c r="A570" s="0" t="str">
        <f aca="false">IF(DECKS!B570="","",DECKS!B570)</f>
        <v/>
      </c>
      <c r="B570" s="0" t="str">
        <f aca="false">IF(A570="","",IF(MATCH(A570,$A$2:$A$3201,0)=ROW()-1,1,0))</f>
        <v/>
      </c>
      <c r="C570" s="0" t="str">
        <f aca="false">IF(B570=1,MAX(C$1:C569)+1,"")</f>
        <v/>
      </c>
    </row>
    <row r="571" customFormat="false" ht="15" hidden="false" customHeight="false" outlineLevel="0" collapsed="false">
      <c r="A571" s="0" t="str">
        <f aca="false">IF(DECKS!B571="","",DECKS!B571)</f>
        <v/>
      </c>
      <c r="B571" s="0" t="str">
        <f aca="false">IF(A571="","",IF(MATCH(A571,$A$2:$A$3201,0)=ROW()-1,1,0))</f>
        <v/>
      </c>
      <c r="C571" s="0" t="str">
        <f aca="false">IF(B571=1,MAX(C$1:C570)+1,"")</f>
        <v/>
      </c>
    </row>
    <row r="572" customFormat="false" ht="15" hidden="false" customHeight="false" outlineLevel="0" collapsed="false">
      <c r="A572" s="0" t="str">
        <f aca="false">IF(DECKS!B572="","",DECKS!B572)</f>
        <v/>
      </c>
      <c r="B572" s="0" t="str">
        <f aca="false">IF(A572="","",IF(MATCH(A572,$A$2:$A$3201,0)=ROW()-1,1,0))</f>
        <v/>
      </c>
      <c r="C572" s="0" t="str">
        <f aca="false">IF(B572=1,MAX(C$1:C571)+1,"")</f>
        <v/>
      </c>
    </row>
    <row r="573" customFormat="false" ht="15" hidden="false" customHeight="false" outlineLevel="0" collapsed="false">
      <c r="A573" s="0" t="str">
        <f aca="false">IF(DECKS!B573="","",DECKS!B573)</f>
        <v/>
      </c>
      <c r="B573" s="0" t="str">
        <f aca="false">IF(A573="","",IF(MATCH(A573,$A$2:$A$3201,0)=ROW()-1,1,0))</f>
        <v/>
      </c>
      <c r="C573" s="0" t="str">
        <f aca="false">IF(B573=1,MAX(C$1:C572)+1,"")</f>
        <v/>
      </c>
    </row>
    <row r="574" customFormat="false" ht="15" hidden="false" customHeight="false" outlineLevel="0" collapsed="false">
      <c r="A574" s="0" t="str">
        <f aca="false">IF(DECKS!B574="","",DECKS!B574)</f>
        <v/>
      </c>
      <c r="B574" s="0" t="str">
        <f aca="false">IF(A574="","",IF(MATCH(A574,$A$2:$A$3201,0)=ROW()-1,1,0))</f>
        <v/>
      </c>
      <c r="C574" s="0" t="str">
        <f aca="false">IF(B574=1,MAX(C$1:C573)+1,"")</f>
        <v/>
      </c>
    </row>
    <row r="575" customFormat="false" ht="15" hidden="false" customHeight="false" outlineLevel="0" collapsed="false">
      <c r="A575" s="0" t="str">
        <f aca="false">IF(DECKS!B575="","",DECKS!B575)</f>
        <v/>
      </c>
      <c r="B575" s="0" t="str">
        <f aca="false">IF(A575="","",IF(MATCH(A575,$A$2:$A$3201,0)=ROW()-1,1,0))</f>
        <v/>
      </c>
      <c r="C575" s="0" t="str">
        <f aca="false">IF(B575=1,MAX(C$1:C574)+1,"")</f>
        <v/>
      </c>
    </row>
    <row r="576" customFormat="false" ht="15" hidden="false" customHeight="false" outlineLevel="0" collapsed="false">
      <c r="A576" s="0" t="str">
        <f aca="false">IF(DECKS!B576="","",DECKS!B576)</f>
        <v/>
      </c>
      <c r="B576" s="0" t="str">
        <f aca="false">IF(A576="","",IF(MATCH(A576,$A$2:$A$3201,0)=ROW()-1,1,0))</f>
        <v/>
      </c>
      <c r="C576" s="0" t="str">
        <f aca="false">IF(B576=1,MAX(C$1:C575)+1,"")</f>
        <v/>
      </c>
    </row>
    <row r="577" customFormat="false" ht="15" hidden="false" customHeight="false" outlineLevel="0" collapsed="false">
      <c r="A577" s="0" t="str">
        <f aca="false">IF(DECKS!B577="","",DECKS!B577)</f>
        <v/>
      </c>
      <c r="B577" s="0" t="str">
        <f aca="false">IF(A577="","",IF(MATCH(A577,$A$2:$A$3201,0)=ROW()-1,1,0))</f>
        <v/>
      </c>
      <c r="C577" s="0" t="str">
        <f aca="false">IF(B577=1,MAX(C$1:C576)+1,"")</f>
        <v/>
      </c>
    </row>
    <row r="578" customFormat="false" ht="15" hidden="false" customHeight="false" outlineLevel="0" collapsed="false">
      <c r="A578" s="0" t="str">
        <f aca="false">IF(DECKS!B578="","",DECKS!B578)</f>
        <v/>
      </c>
      <c r="B578" s="0" t="str">
        <f aca="false">IF(A578="","",IF(MATCH(A578,$A$2:$A$3201,0)=ROW()-1,1,0))</f>
        <v/>
      </c>
      <c r="C578" s="0" t="str">
        <f aca="false">IF(B578=1,MAX(C$1:C577)+1,"")</f>
        <v/>
      </c>
    </row>
    <row r="579" customFormat="false" ht="15" hidden="false" customHeight="false" outlineLevel="0" collapsed="false">
      <c r="A579" s="0" t="str">
        <f aca="false">IF(DECKS!B579="","",DECKS!B579)</f>
        <v/>
      </c>
      <c r="B579" s="0" t="str">
        <f aca="false">IF(A579="","",IF(MATCH(A579,$A$2:$A$3201,0)=ROW()-1,1,0))</f>
        <v/>
      </c>
      <c r="C579" s="0" t="str">
        <f aca="false">IF(B579=1,MAX(C$1:C578)+1,"")</f>
        <v/>
      </c>
    </row>
    <row r="580" customFormat="false" ht="15" hidden="false" customHeight="false" outlineLevel="0" collapsed="false">
      <c r="A580" s="0" t="str">
        <f aca="false">IF(DECKS!B580="","",DECKS!B580)</f>
        <v/>
      </c>
      <c r="B580" s="0" t="str">
        <f aca="false">IF(A580="","",IF(MATCH(A580,$A$2:$A$3201,0)=ROW()-1,1,0))</f>
        <v/>
      </c>
      <c r="C580" s="0" t="str">
        <f aca="false">IF(B580=1,MAX(C$1:C579)+1,"")</f>
        <v/>
      </c>
    </row>
    <row r="581" customFormat="false" ht="15" hidden="false" customHeight="false" outlineLevel="0" collapsed="false">
      <c r="A581" s="0" t="str">
        <f aca="false">IF(DECKS!B581="","",DECKS!B581)</f>
        <v/>
      </c>
      <c r="B581" s="0" t="str">
        <f aca="false">IF(A581="","",IF(MATCH(A581,$A$2:$A$3201,0)=ROW()-1,1,0))</f>
        <v/>
      </c>
      <c r="C581" s="0" t="str">
        <f aca="false">IF(B581=1,MAX(C$1:C580)+1,"")</f>
        <v/>
      </c>
    </row>
    <row r="582" customFormat="false" ht="15" hidden="false" customHeight="false" outlineLevel="0" collapsed="false">
      <c r="A582" s="0" t="str">
        <f aca="false">IF(DECKS!B582="","",DECKS!B582)</f>
        <v/>
      </c>
      <c r="B582" s="0" t="str">
        <f aca="false">IF(A582="","",IF(MATCH(A582,$A$2:$A$3201,0)=ROW()-1,1,0))</f>
        <v/>
      </c>
      <c r="C582" s="0" t="str">
        <f aca="false">IF(B582=1,MAX(C$1:C581)+1,"")</f>
        <v/>
      </c>
    </row>
    <row r="583" customFormat="false" ht="15" hidden="false" customHeight="false" outlineLevel="0" collapsed="false">
      <c r="A583" s="0" t="str">
        <f aca="false">IF(DECKS!B583="","",DECKS!B583)</f>
        <v/>
      </c>
      <c r="B583" s="0" t="str">
        <f aca="false">IF(A583="","",IF(MATCH(A583,$A$2:$A$3201,0)=ROW()-1,1,0))</f>
        <v/>
      </c>
      <c r="C583" s="0" t="str">
        <f aca="false">IF(B583=1,MAX(C$1:C582)+1,"")</f>
        <v/>
      </c>
    </row>
    <row r="584" customFormat="false" ht="15" hidden="false" customHeight="false" outlineLevel="0" collapsed="false">
      <c r="A584" s="0" t="str">
        <f aca="false">IF(DECKS!B584="","",DECKS!B584)</f>
        <v/>
      </c>
      <c r="B584" s="0" t="str">
        <f aca="false">IF(A584="","",IF(MATCH(A584,$A$2:$A$3201,0)=ROW()-1,1,0))</f>
        <v/>
      </c>
      <c r="C584" s="0" t="str">
        <f aca="false">IF(B584=1,MAX(C$1:C583)+1,"")</f>
        <v/>
      </c>
    </row>
    <row r="585" customFormat="false" ht="15" hidden="false" customHeight="false" outlineLevel="0" collapsed="false">
      <c r="A585" s="0" t="str">
        <f aca="false">IF(DECKS!B585="","",DECKS!B585)</f>
        <v/>
      </c>
      <c r="B585" s="0" t="str">
        <f aca="false">IF(A585="","",IF(MATCH(A585,$A$2:$A$3201,0)=ROW()-1,1,0))</f>
        <v/>
      </c>
      <c r="C585" s="0" t="str">
        <f aca="false">IF(B585=1,MAX(C$1:C584)+1,"")</f>
        <v/>
      </c>
    </row>
    <row r="586" customFormat="false" ht="15" hidden="false" customHeight="false" outlineLevel="0" collapsed="false">
      <c r="A586" s="0" t="str">
        <f aca="false">IF(DECKS!B586="","",DECKS!B586)</f>
        <v/>
      </c>
      <c r="B586" s="0" t="str">
        <f aca="false">IF(A586="","",IF(MATCH(A586,$A$2:$A$3201,0)=ROW()-1,1,0))</f>
        <v/>
      </c>
      <c r="C586" s="0" t="str">
        <f aca="false">IF(B586=1,MAX(C$1:C585)+1,"")</f>
        <v/>
      </c>
    </row>
    <row r="587" customFormat="false" ht="15" hidden="false" customHeight="false" outlineLevel="0" collapsed="false">
      <c r="A587" s="0" t="str">
        <f aca="false">IF(DECKS!B587="","",DECKS!B587)</f>
        <v/>
      </c>
      <c r="B587" s="0" t="str">
        <f aca="false">IF(A587="","",IF(MATCH(A587,$A$2:$A$3201,0)=ROW()-1,1,0))</f>
        <v/>
      </c>
      <c r="C587" s="0" t="str">
        <f aca="false">IF(B587=1,MAX(C$1:C586)+1,"")</f>
        <v/>
      </c>
    </row>
    <row r="588" customFormat="false" ht="15" hidden="false" customHeight="false" outlineLevel="0" collapsed="false">
      <c r="A588" s="0" t="str">
        <f aca="false">IF(DECKS!B588="","",DECKS!B588)</f>
        <v/>
      </c>
      <c r="B588" s="0" t="str">
        <f aca="false">IF(A588="","",IF(MATCH(A588,$A$2:$A$3201,0)=ROW()-1,1,0))</f>
        <v/>
      </c>
      <c r="C588" s="0" t="str">
        <f aca="false">IF(B588=1,MAX(C$1:C587)+1,"")</f>
        <v/>
      </c>
    </row>
    <row r="589" customFormat="false" ht="15" hidden="false" customHeight="false" outlineLevel="0" collapsed="false">
      <c r="A589" s="0" t="str">
        <f aca="false">IF(DECKS!B589="","",DECKS!B589)</f>
        <v/>
      </c>
      <c r="B589" s="0" t="str">
        <f aca="false">IF(A589="","",IF(MATCH(A589,$A$2:$A$3201,0)=ROW()-1,1,0))</f>
        <v/>
      </c>
      <c r="C589" s="0" t="str">
        <f aca="false">IF(B589=1,MAX(C$1:C588)+1,"")</f>
        <v/>
      </c>
    </row>
    <row r="590" customFormat="false" ht="15" hidden="false" customHeight="false" outlineLevel="0" collapsed="false">
      <c r="A590" s="0" t="str">
        <f aca="false">IF(DECKS!B590="","",DECKS!B590)</f>
        <v/>
      </c>
      <c r="B590" s="0" t="str">
        <f aca="false">IF(A590="","",IF(MATCH(A590,$A$2:$A$3201,0)=ROW()-1,1,0))</f>
        <v/>
      </c>
      <c r="C590" s="0" t="str">
        <f aca="false">IF(B590=1,MAX(C$1:C589)+1,"")</f>
        <v/>
      </c>
    </row>
    <row r="591" customFormat="false" ht="15" hidden="false" customHeight="false" outlineLevel="0" collapsed="false">
      <c r="A591" s="0" t="str">
        <f aca="false">IF(DECKS!B591="","",DECKS!B591)</f>
        <v/>
      </c>
      <c r="B591" s="0" t="str">
        <f aca="false">IF(A591="","",IF(MATCH(A591,$A$2:$A$3201,0)=ROW()-1,1,0))</f>
        <v/>
      </c>
      <c r="C591" s="0" t="str">
        <f aca="false">IF(B591=1,MAX(C$1:C590)+1,"")</f>
        <v/>
      </c>
    </row>
    <row r="592" customFormat="false" ht="15" hidden="false" customHeight="false" outlineLevel="0" collapsed="false">
      <c r="A592" s="0" t="str">
        <f aca="false">IF(DECKS!B592="","",DECKS!B592)</f>
        <v/>
      </c>
      <c r="B592" s="0" t="str">
        <f aca="false">IF(A592="","",IF(MATCH(A592,$A$2:$A$3201,0)=ROW()-1,1,0))</f>
        <v/>
      </c>
      <c r="C592" s="0" t="str">
        <f aca="false">IF(B592=1,MAX(C$1:C591)+1,"")</f>
        <v/>
      </c>
    </row>
    <row r="593" customFormat="false" ht="15" hidden="false" customHeight="false" outlineLevel="0" collapsed="false">
      <c r="A593" s="0" t="str">
        <f aca="false">IF(DECKS!B593="","",DECKS!B593)</f>
        <v/>
      </c>
      <c r="B593" s="0" t="str">
        <f aca="false">IF(A593="","",IF(MATCH(A593,$A$2:$A$3201,0)=ROW()-1,1,0))</f>
        <v/>
      </c>
      <c r="C593" s="0" t="str">
        <f aca="false">IF(B593=1,MAX(C$1:C592)+1,"")</f>
        <v/>
      </c>
    </row>
    <row r="594" customFormat="false" ht="15" hidden="false" customHeight="false" outlineLevel="0" collapsed="false">
      <c r="A594" s="0" t="str">
        <f aca="false">IF(DECKS!B594="","",DECKS!B594)</f>
        <v/>
      </c>
      <c r="B594" s="0" t="str">
        <f aca="false">IF(A594="","",IF(MATCH(A594,$A$2:$A$3201,0)=ROW()-1,1,0))</f>
        <v/>
      </c>
      <c r="C594" s="0" t="str">
        <f aca="false">IF(B594=1,MAX(C$1:C593)+1,"")</f>
        <v/>
      </c>
    </row>
    <row r="595" customFormat="false" ht="15" hidden="false" customHeight="false" outlineLevel="0" collapsed="false">
      <c r="A595" s="0" t="str">
        <f aca="false">IF(DECKS!B595="","",DECKS!B595)</f>
        <v/>
      </c>
      <c r="B595" s="0" t="str">
        <f aca="false">IF(A595="","",IF(MATCH(A595,$A$2:$A$3201,0)=ROW()-1,1,0))</f>
        <v/>
      </c>
      <c r="C595" s="0" t="str">
        <f aca="false">IF(B595=1,MAX(C$1:C594)+1,"")</f>
        <v/>
      </c>
    </row>
    <row r="596" customFormat="false" ht="15" hidden="false" customHeight="false" outlineLevel="0" collapsed="false">
      <c r="A596" s="0" t="str">
        <f aca="false">IF(DECKS!B596="","",DECKS!B596)</f>
        <v/>
      </c>
      <c r="B596" s="0" t="str">
        <f aca="false">IF(A596="","",IF(MATCH(A596,$A$2:$A$3201,0)=ROW()-1,1,0))</f>
        <v/>
      </c>
      <c r="C596" s="0" t="str">
        <f aca="false">IF(B596=1,MAX(C$1:C595)+1,"")</f>
        <v/>
      </c>
    </row>
    <row r="597" customFormat="false" ht="15" hidden="false" customHeight="false" outlineLevel="0" collapsed="false">
      <c r="A597" s="0" t="str">
        <f aca="false">IF(DECKS!B597="","",DECKS!B597)</f>
        <v/>
      </c>
      <c r="B597" s="0" t="str">
        <f aca="false">IF(A597="","",IF(MATCH(A597,$A$2:$A$3201,0)=ROW()-1,1,0))</f>
        <v/>
      </c>
      <c r="C597" s="0" t="str">
        <f aca="false">IF(B597=1,MAX(C$1:C596)+1,"")</f>
        <v/>
      </c>
    </row>
    <row r="598" customFormat="false" ht="15" hidden="false" customHeight="false" outlineLevel="0" collapsed="false">
      <c r="A598" s="0" t="str">
        <f aca="false">IF(DECKS!B598="","",DECKS!B598)</f>
        <v/>
      </c>
      <c r="B598" s="0" t="str">
        <f aca="false">IF(A598="","",IF(MATCH(A598,$A$2:$A$3201,0)=ROW()-1,1,0))</f>
        <v/>
      </c>
      <c r="C598" s="0" t="str">
        <f aca="false">IF(B598=1,MAX(C$1:C597)+1,"")</f>
        <v/>
      </c>
    </row>
    <row r="599" customFormat="false" ht="15" hidden="false" customHeight="false" outlineLevel="0" collapsed="false">
      <c r="A599" s="0" t="str">
        <f aca="false">IF(DECKS!B599="","",DECKS!B599)</f>
        <v/>
      </c>
      <c r="B599" s="0" t="str">
        <f aca="false">IF(A599="","",IF(MATCH(A599,$A$2:$A$3201,0)=ROW()-1,1,0))</f>
        <v/>
      </c>
      <c r="C599" s="0" t="str">
        <f aca="false">IF(B599=1,MAX(C$1:C598)+1,"")</f>
        <v/>
      </c>
    </row>
    <row r="600" customFormat="false" ht="15" hidden="false" customHeight="false" outlineLevel="0" collapsed="false">
      <c r="A600" s="0" t="str">
        <f aca="false">IF(DECKS!B600="","",DECKS!B600)</f>
        <v/>
      </c>
      <c r="B600" s="0" t="str">
        <f aca="false">IF(A600="","",IF(MATCH(A600,$A$2:$A$3201,0)=ROW()-1,1,0))</f>
        <v/>
      </c>
      <c r="C600" s="0" t="str">
        <f aca="false">IF(B600=1,MAX(C$1:C599)+1,"")</f>
        <v/>
      </c>
    </row>
    <row r="601" customFormat="false" ht="15" hidden="false" customHeight="false" outlineLevel="0" collapsed="false">
      <c r="A601" s="0" t="str">
        <f aca="false">IF(DECKS!B601="","",DECKS!B601)</f>
        <v/>
      </c>
      <c r="B601" s="0" t="str">
        <f aca="false">IF(A601="","",IF(MATCH(A601,$A$2:$A$3201,0)=ROW()-1,1,0))</f>
        <v/>
      </c>
      <c r="C601" s="0" t="str">
        <f aca="false">IF(B601=1,MAX(C$1:C600)+1,"")</f>
        <v/>
      </c>
    </row>
    <row r="602" customFormat="false" ht="15" hidden="false" customHeight="false" outlineLevel="0" collapsed="false">
      <c r="A602" s="0" t="str">
        <f aca="false">IF(DECKS!B602="","",DECKS!B602)</f>
        <v/>
      </c>
      <c r="B602" s="0" t="str">
        <f aca="false">IF(A602="","",IF(MATCH(A602,$A$2:$A$3201,0)=ROW()-1,1,0))</f>
        <v/>
      </c>
      <c r="C602" s="0" t="str">
        <f aca="false">IF(B602=1,MAX(C$1:C601)+1,"")</f>
        <v/>
      </c>
    </row>
    <row r="603" customFormat="false" ht="15" hidden="false" customHeight="false" outlineLevel="0" collapsed="false">
      <c r="A603" s="0" t="str">
        <f aca="false">IF(DECKS!B603="","",DECKS!B603)</f>
        <v/>
      </c>
      <c r="B603" s="0" t="str">
        <f aca="false">IF(A603="","",IF(MATCH(A603,$A$2:$A$3201,0)=ROW()-1,1,0))</f>
        <v/>
      </c>
      <c r="C603" s="0" t="str">
        <f aca="false">IF(B603=1,MAX(C$1:C602)+1,"")</f>
        <v/>
      </c>
    </row>
    <row r="604" customFormat="false" ht="15" hidden="false" customHeight="false" outlineLevel="0" collapsed="false">
      <c r="A604" s="0" t="str">
        <f aca="false">IF(DECKS!B604="","",DECKS!B604)</f>
        <v/>
      </c>
      <c r="B604" s="0" t="str">
        <f aca="false">IF(A604="","",IF(MATCH(A604,$A$2:$A$3201,0)=ROW()-1,1,0))</f>
        <v/>
      </c>
      <c r="C604" s="0" t="str">
        <f aca="false">IF(B604=1,MAX(C$1:C603)+1,"")</f>
        <v/>
      </c>
    </row>
    <row r="605" customFormat="false" ht="15" hidden="false" customHeight="false" outlineLevel="0" collapsed="false">
      <c r="A605" s="0" t="str">
        <f aca="false">IF(DECKS!B605="","",DECKS!B605)</f>
        <v/>
      </c>
      <c r="B605" s="0" t="str">
        <f aca="false">IF(A605="","",IF(MATCH(A605,$A$2:$A$3201,0)=ROW()-1,1,0))</f>
        <v/>
      </c>
      <c r="C605" s="0" t="str">
        <f aca="false">IF(B605=1,MAX(C$1:C604)+1,"")</f>
        <v/>
      </c>
    </row>
    <row r="606" customFormat="false" ht="15" hidden="false" customHeight="false" outlineLevel="0" collapsed="false">
      <c r="A606" s="0" t="str">
        <f aca="false">IF(DECKS!B606="","",DECKS!B606)</f>
        <v/>
      </c>
      <c r="B606" s="0" t="str">
        <f aca="false">IF(A606="","",IF(MATCH(A606,$A$2:$A$3201,0)=ROW()-1,1,0))</f>
        <v/>
      </c>
      <c r="C606" s="0" t="str">
        <f aca="false">IF(B606=1,MAX(C$1:C605)+1,"")</f>
        <v/>
      </c>
    </row>
    <row r="607" customFormat="false" ht="15" hidden="false" customHeight="false" outlineLevel="0" collapsed="false">
      <c r="A607" s="0" t="str">
        <f aca="false">IF(DECKS!B607="","",DECKS!B607)</f>
        <v/>
      </c>
      <c r="B607" s="0" t="str">
        <f aca="false">IF(A607="","",IF(MATCH(A607,$A$2:$A$3201,0)=ROW()-1,1,0))</f>
        <v/>
      </c>
      <c r="C607" s="0" t="str">
        <f aca="false">IF(B607=1,MAX(C$1:C606)+1,"")</f>
        <v/>
      </c>
    </row>
    <row r="608" customFormat="false" ht="15" hidden="false" customHeight="false" outlineLevel="0" collapsed="false">
      <c r="A608" s="0" t="str">
        <f aca="false">IF(DECKS!B608="","",DECKS!B608)</f>
        <v/>
      </c>
      <c r="B608" s="0" t="str">
        <f aca="false">IF(A608="","",IF(MATCH(A608,$A$2:$A$3201,0)=ROW()-1,1,0))</f>
        <v/>
      </c>
      <c r="C608" s="0" t="str">
        <f aca="false">IF(B608=1,MAX(C$1:C607)+1,"")</f>
        <v/>
      </c>
    </row>
    <row r="609" customFormat="false" ht="15" hidden="false" customHeight="false" outlineLevel="0" collapsed="false">
      <c r="A609" s="0" t="str">
        <f aca="false">IF(DECKS!B609="","",DECKS!B609)</f>
        <v/>
      </c>
      <c r="B609" s="0" t="str">
        <f aca="false">IF(A609="","",IF(MATCH(A609,$A$2:$A$3201,0)=ROW()-1,1,0))</f>
        <v/>
      </c>
      <c r="C609" s="0" t="str">
        <f aca="false">IF(B609=1,MAX(C$1:C608)+1,"")</f>
        <v/>
      </c>
    </row>
    <row r="610" customFormat="false" ht="15" hidden="false" customHeight="false" outlineLevel="0" collapsed="false">
      <c r="A610" s="0" t="str">
        <f aca="false">IF(DECKS!B610="","",DECKS!B610)</f>
        <v/>
      </c>
      <c r="B610" s="0" t="str">
        <f aca="false">IF(A610="","",IF(MATCH(A610,$A$2:$A$3201,0)=ROW()-1,1,0))</f>
        <v/>
      </c>
      <c r="C610" s="0" t="str">
        <f aca="false">IF(B610=1,MAX(C$1:C609)+1,"")</f>
        <v/>
      </c>
    </row>
    <row r="611" customFormat="false" ht="15" hidden="false" customHeight="false" outlineLevel="0" collapsed="false">
      <c r="A611" s="0" t="str">
        <f aca="false">IF(DECKS!B611="","",DECKS!B611)</f>
        <v/>
      </c>
      <c r="B611" s="0" t="str">
        <f aca="false">IF(A611="","",IF(MATCH(A611,$A$2:$A$3201,0)=ROW()-1,1,0))</f>
        <v/>
      </c>
      <c r="C611" s="0" t="str">
        <f aca="false">IF(B611=1,MAX(C$1:C610)+1,"")</f>
        <v/>
      </c>
    </row>
    <row r="612" customFormat="false" ht="15" hidden="false" customHeight="false" outlineLevel="0" collapsed="false">
      <c r="A612" s="0" t="str">
        <f aca="false">IF(DECKS!B612="","",DECKS!B612)</f>
        <v/>
      </c>
      <c r="B612" s="0" t="str">
        <f aca="false">IF(A612="","",IF(MATCH(A612,$A$2:$A$3201,0)=ROW()-1,1,0))</f>
        <v/>
      </c>
      <c r="C612" s="0" t="str">
        <f aca="false">IF(B612=1,MAX(C$1:C611)+1,"")</f>
        <v/>
      </c>
    </row>
    <row r="613" customFormat="false" ht="15" hidden="false" customHeight="false" outlineLevel="0" collapsed="false">
      <c r="A613" s="0" t="str">
        <f aca="false">IF(DECKS!B613="","",DECKS!B613)</f>
        <v/>
      </c>
      <c r="B613" s="0" t="str">
        <f aca="false">IF(A613="","",IF(MATCH(A613,$A$2:$A$3201,0)=ROW()-1,1,0))</f>
        <v/>
      </c>
      <c r="C613" s="0" t="str">
        <f aca="false">IF(B613=1,MAX(C$1:C612)+1,"")</f>
        <v/>
      </c>
    </row>
    <row r="614" customFormat="false" ht="15" hidden="false" customHeight="false" outlineLevel="0" collapsed="false">
      <c r="A614" s="0" t="str">
        <f aca="false">IF(DECKS!B614="","",DECKS!B614)</f>
        <v/>
      </c>
      <c r="B614" s="0" t="str">
        <f aca="false">IF(A614="","",IF(MATCH(A614,$A$2:$A$3201,0)=ROW()-1,1,0))</f>
        <v/>
      </c>
      <c r="C614" s="0" t="str">
        <f aca="false">IF(B614=1,MAX(C$1:C613)+1,"")</f>
        <v/>
      </c>
    </row>
    <row r="615" customFormat="false" ht="15" hidden="false" customHeight="false" outlineLevel="0" collapsed="false">
      <c r="A615" s="0" t="str">
        <f aca="false">IF(DECKS!B615="","",DECKS!B615)</f>
        <v/>
      </c>
      <c r="B615" s="0" t="str">
        <f aca="false">IF(A615="","",IF(MATCH(A615,$A$2:$A$3201,0)=ROW()-1,1,0))</f>
        <v/>
      </c>
      <c r="C615" s="0" t="str">
        <f aca="false">IF(B615=1,MAX(C$1:C614)+1,"")</f>
        <v/>
      </c>
    </row>
    <row r="616" customFormat="false" ht="15" hidden="false" customHeight="false" outlineLevel="0" collapsed="false">
      <c r="A616" s="0" t="str">
        <f aca="false">IF(DECKS!B616="","",DECKS!B616)</f>
        <v/>
      </c>
      <c r="B616" s="0" t="str">
        <f aca="false">IF(A616="","",IF(MATCH(A616,$A$2:$A$3201,0)=ROW()-1,1,0))</f>
        <v/>
      </c>
      <c r="C616" s="0" t="str">
        <f aca="false">IF(B616=1,MAX(C$1:C615)+1,"")</f>
        <v/>
      </c>
    </row>
    <row r="617" customFormat="false" ht="15" hidden="false" customHeight="false" outlineLevel="0" collapsed="false">
      <c r="A617" s="0" t="str">
        <f aca="false">IF(DECKS!B617="","",DECKS!B617)</f>
        <v/>
      </c>
      <c r="B617" s="0" t="str">
        <f aca="false">IF(A617="","",IF(MATCH(A617,$A$2:$A$3201,0)=ROW()-1,1,0))</f>
        <v/>
      </c>
      <c r="C617" s="0" t="str">
        <f aca="false">IF(B617=1,MAX(C$1:C616)+1,"")</f>
        <v/>
      </c>
    </row>
    <row r="618" customFormat="false" ht="15" hidden="false" customHeight="false" outlineLevel="0" collapsed="false">
      <c r="A618" s="0" t="str">
        <f aca="false">IF(DECKS!B618="","",DECKS!B618)</f>
        <v/>
      </c>
      <c r="B618" s="0" t="str">
        <f aca="false">IF(A618="","",IF(MATCH(A618,$A$2:$A$3201,0)=ROW()-1,1,0))</f>
        <v/>
      </c>
      <c r="C618" s="0" t="str">
        <f aca="false">IF(B618=1,MAX(C$1:C617)+1,"")</f>
        <v/>
      </c>
    </row>
    <row r="619" customFormat="false" ht="15" hidden="false" customHeight="false" outlineLevel="0" collapsed="false">
      <c r="A619" s="0" t="str">
        <f aca="false">IF(DECKS!B619="","",DECKS!B619)</f>
        <v/>
      </c>
      <c r="B619" s="0" t="str">
        <f aca="false">IF(A619="","",IF(MATCH(A619,$A$2:$A$3201,0)=ROW()-1,1,0))</f>
        <v/>
      </c>
      <c r="C619" s="0" t="str">
        <f aca="false">IF(B619=1,MAX(C$1:C618)+1,"")</f>
        <v/>
      </c>
    </row>
    <row r="620" customFormat="false" ht="15" hidden="false" customHeight="false" outlineLevel="0" collapsed="false">
      <c r="A620" s="0" t="str">
        <f aca="false">IF(DECKS!B620="","",DECKS!B620)</f>
        <v/>
      </c>
      <c r="B620" s="0" t="str">
        <f aca="false">IF(A620="","",IF(MATCH(A620,$A$2:$A$3201,0)=ROW()-1,1,0))</f>
        <v/>
      </c>
      <c r="C620" s="0" t="str">
        <f aca="false">IF(B620=1,MAX(C$1:C619)+1,"")</f>
        <v/>
      </c>
    </row>
    <row r="621" customFormat="false" ht="15" hidden="false" customHeight="false" outlineLevel="0" collapsed="false">
      <c r="A621" s="0" t="str">
        <f aca="false">IF(DECKS!B621="","",DECKS!B621)</f>
        <v/>
      </c>
      <c r="B621" s="0" t="str">
        <f aca="false">IF(A621="","",IF(MATCH(A621,$A$2:$A$3201,0)=ROW()-1,1,0))</f>
        <v/>
      </c>
      <c r="C621" s="0" t="str">
        <f aca="false">IF(B621=1,MAX(C$1:C620)+1,"")</f>
        <v/>
      </c>
    </row>
    <row r="622" customFormat="false" ht="15" hidden="false" customHeight="false" outlineLevel="0" collapsed="false">
      <c r="A622" s="0" t="str">
        <f aca="false">IF(DECKS!B622="","",DECKS!B622)</f>
        <v/>
      </c>
      <c r="B622" s="0" t="str">
        <f aca="false">IF(A622="","",IF(MATCH(A622,$A$2:$A$3201,0)=ROW()-1,1,0))</f>
        <v/>
      </c>
      <c r="C622" s="0" t="str">
        <f aca="false">IF(B622=1,MAX(C$1:C621)+1,"")</f>
        <v/>
      </c>
    </row>
    <row r="623" customFormat="false" ht="15" hidden="false" customHeight="false" outlineLevel="0" collapsed="false">
      <c r="A623" s="0" t="str">
        <f aca="false">IF(DECKS!B623="","",DECKS!B623)</f>
        <v/>
      </c>
      <c r="B623" s="0" t="str">
        <f aca="false">IF(A623="","",IF(MATCH(A623,$A$2:$A$3201,0)=ROW()-1,1,0))</f>
        <v/>
      </c>
      <c r="C623" s="0" t="str">
        <f aca="false">IF(B623=1,MAX(C$1:C622)+1,"")</f>
        <v/>
      </c>
    </row>
    <row r="624" customFormat="false" ht="15" hidden="false" customHeight="false" outlineLevel="0" collapsed="false">
      <c r="A624" s="0" t="str">
        <f aca="false">IF(DECKS!B624="","",DECKS!B624)</f>
        <v/>
      </c>
      <c r="B624" s="0" t="str">
        <f aca="false">IF(A624="","",IF(MATCH(A624,$A$2:$A$3201,0)=ROW()-1,1,0))</f>
        <v/>
      </c>
      <c r="C624" s="0" t="str">
        <f aca="false">IF(B624=1,MAX(C$1:C623)+1,"")</f>
        <v/>
      </c>
    </row>
    <row r="625" customFormat="false" ht="15" hidden="false" customHeight="false" outlineLevel="0" collapsed="false">
      <c r="A625" s="0" t="str">
        <f aca="false">IF(DECKS!B625="","",DECKS!B625)</f>
        <v/>
      </c>
      <c r="B625" s="0" t="str">
        <f aca="false">IF(A625="","",IF(MATCH(A625,$A$2:$A$3201,0)=ROW()-1,1,0))</f>
        <v/>
      </c>
      <c r="C625" s="0" t="str">
        <f aca="false">IF(B625=1,MAX(C$1:C624)+1,"")</f>
        <v/>
      </c>
    </row>
    <row r="626" customFormat="false" ht="15" hidden="false" customHeight="false" outlineLevel="0" collapsed="false">
      <c r="A626" s="0" t="str">
        <f aca="false">IF(DECKS!B626="","",DECKS!B626)</f>
        <v/>
      </c>
      <c r="B626" s="0" t="str">
        <f aca="false">IF(A626="","",IF(MATCH(A626,$A$2:$A$3201,0)=ROW()-1,1,0))</f>
        <v/>
      </c>
      <c r="C626" s="0" t="str">
        <f aca="false">IF(B626=1,MAX(C$1:C625)+1,"")</f>
        <v/>
      </c>
    </row>
    <row r="627" customFormat="false" ht="15" hidden="false" customHeight="false" outlineLevel="0" collapsed="false">
      <c r="A627" s="0" t="str">
        <f aca="false">IF(DECKS!B627="","",DECKS!B627)</f>
        <v/>
      </c>
      <c r="B627" s="0" t="str">
        <f aca="false">IF(A627="","",IF(MATCH(A627,$A$2:$A$3201,0)=ROW()-1,1,0))</f>
        <v/>
      </c>
      <c r="C627" s="0" t="str">
        <f aca="false">IF(B627=1,MAX(C$1:C626)+1,"")</f>
        <v/>
      </c>
    </row>
    <row r="628" customFormat="false" ht="15" hidden="false" customHeight="false" outlineLevel="0" collapsed="false">
      <c r="A628" s="0" t="str">
        <f aca="false">IF(DECKS!B628="","",DECKS!B628)</f>
        <v/>
      </c>
      <c r="B628" s="0" t="str">
        <f aca="false">IF(A628="","",IF(MATCH(A628,$A$2:$A$3201,0)=ROW()-1,1,0))</f>
        <v/>
      </c>
      <c r="C628" s="0" t="str">
        <f aca="false">IF(B628=1,MAX(C$1:C627)+1,"")</f>
        <v/>
      </c>
    </row>
    <row r="629" customFormat="false" ht="15" hidden="false" customHeight="false" outlineLevel="0" collapsed="false">
      <c r="A629" s="0" t="str">
        <f aca="false">IF(DECKS!B629="","",DECKS!B629)</f>
        <v/>
      </c>
      <c r="B629" s="0" t="str">
        <f aca="false">IF(A629="","",IF(MATCH(A629,$A$2:$A$3201,0)=ROW()-1,1,0))</f>
        <v/>
      </c>
      <c r="C629" s="0" t="str">
        <f aca="false">IF(B629=1,MAX(C$1:C628)+1,"")</f>
        <v/>
      </c>
    </row>
    <row r="630" customFormat="false" ht="15" hidden="false" customHeight="false" outlineLevel="0" collapsed="false">
      <c r="A630" s="0" t="str">
        <f aca="false">IF(DECKS!B630="","",DECKS!B630)</f>
        <v/>
      </c>
      <c r="B630" s="0" t="str">
        <f aca="false">IF(A630="","",IF(MATCH(A630,$A$2:$A$3201,0)=ROW()-1,1,0))</f>
        <v/>
      </c>
      <c r="C630" s="0" t="str">
        <f aca="false">IF(B630=1,MAX(C$1:C629)+1,"")</f>
        <v/>
      </c>
    </row>
    <row r="631" customFormat="false" ht="15" hidden="false" customHeight="false" outlineLevel="0" collapsed="false">
      <c r="A631" s="0" t="str">
        <f aca="false">IF(DECKS!B631="","",DECKS!B631)</f>
        <v/>
      </c>
      <c r="B631" s="0" t="str">
        <f aca="false">IF(A631="","",IF(MATCH(A631,$A$2:$A$3201,0)=ROW()-1,1,0))</f>
        <v/>
      </c>
      <c r="C631" s="0" t="str">
        <f aca="false">IF(B631=1,MAX(C$1:C630)+1,"")</f>
        <v/>
      </c>
    </row>
    <row r="632" customFormat="false" ht="15" hidden="false" customHeight="false" outlineLevel="0" collapsed="false">
      <c r="A632" s="0" t="str">
        <f aca="false">IF(DECKS!B632="","",DECKS!B632)</f>
        <v/>
      </c>
      <c r="B632" s="0" t="str">
        <f aca="false">IF(A632="","",IF(MATCH(A632,$A$2:$A$3201,0)=ROW()-1,1,0))</f>
        <v/>
      </c>
      <c r="C632" s="0" t="str">
        <f aca="false">IF(B632=1,MAX(C$1:C631)+1,"")</f>
        <v/>
      </c>
    </row>
    <row r="633" customFormat="false" ht="15" hidden="false" customHeight="false" outlineLevel="0" collapsed="false">
      <c r="A633" s="0" t="str">
        <f aca="false">IF(DECKS!B633="","",DECKS!B633)</f>
        <v/>
      </c>
      <c r="B633" s="0" t="str">
        <f aca="false">IF(A633="","",IF(MATCH(A633,$A$2:$A$3201,0)=ROW()-1,1,0))</f>
        <v/>
      </c>
      <c r="C633" s="0" t="str">
        <f aca="false">IF(B633=1,MAX(C$1:C632)+1,"")</f>
        <v/>
      </c>
    </row>
    <row r="634" customFormat="false" ht="15" hidden="false" customHeight="false" outlineLevel="0" collapsed="false">
      <c r="A634" s="0" t="str">
        <f aca="false">IF(DECKS!B634="","",DECKS!B634)</f>
        <v/>
      </c>
      <c r="B634" s="0" t="str">
        <f aca="false">IF(A634="","",IF(MATCH(A634,$A$2:$A$3201,0)=ROW()-1,1,0))</f>
        <v/>
      </c>
      <c r="C634" s="0" t="str">
        <f aca="false">IF(B634=1,MAX(C$1:C633)+1,"")</f>
        <v/>
      </c>
    </row>
    <row r="635" customFormat="false" ht="15" hidden="false" customHeight="false" outlineLevel="0" collapsed="false">
      <c r="A635" s="0" t="str">
        <f aca="false">IF(DECKS!B635="","",DECKS!B635)</f>
        <v/>
      </c>
      <c r="B635" s="0" t="str">
        <f aca="false">IF(A635="","",IF(MATCH(A635,$A$2:$A$3201,0)=ROW()-1,1,0))</f>
        <v/>
      </c>
      <c r="C635" s="0" t="str">
        <f aca="false">IF(B635=1,MAX(C$1:C634)+1,"")</f>
        <v/>
      </c>
    </row>
    <row r="636" customFormat="false" ht="15" hidden="false" customHeight="false" outlineLevel="0" collapsed="false">
      <c r="A636" s="0" t="str">
        <f aca="false">IF(DECKS!B636="","",DECKS!B636)</f>
        <v/>
      </c>
      <c r="B636" s="0" t="str">
        <f aca="false">IF(A636="","",IF(MATCH(A636,$A$2:$A$3201,0)=ROW()-1,1,0))</f>
        <v/>
      </c>
      <c r="C636" s="0" t="str">
        <f aca="false">IF(B636=1,MAX(C$1:C635)+1,"")</f>
        <v/>
      </c>
    </row>
    <row r="637" customFormat="false" ht="15" hidden="false" customHeight="false" outlineLevel="0" collapsed="false">
      <c r="A637" s="0" t="str">
        <f aca="false">IF(DECKS!B637="","",DECKS!B637)</f>
        <v/>
      </c>
      <c r="B637" s="0" t="str">
        <f aca="false">IF(A637="","",IF(MATCH(A637,$A$2:$A$3201,0)=ROW()-1,1,0))</f>
        <v/>
      </c>
      <c r="C637" s="0" t="str">
        <f aca="false">IF(B637=1,MAX(C$1:C636)+1,"")</f>
        <v/>
      </c>
    </row>
    <row r="638" customFormat="false" ht="15" hidden="false" customHeight="false" outlineLevel="0" collapsed="false">
      <c r="A638" s="0" t="str">
        <f aca="false">IF(DECKS!B638="","",DECKS!B638)</f>
        <v/>
      </c>
      <c r="B638" s="0" t="str">
        <f aca="false">IF(A638="","",IF(MATCH(A638,$A$2:$A$3201,0)=ROW()-1,1,0))</f>
        <v/>
      </c>
      <c r="C638" s="0" t="str">
        <f aca="false">IF(B638=1,MAX(C$1:C637)+1,"")</f>
        <v/>
      </c>
    </row>
    <row r="639" customFormat="false" ht="15" hidden="false" customHeight="false" outlineLevel="0" collapsed="false">
      <c r="A639" s="0" t="str">
        <f aca="false">IF(DECKS!B639="","",DECKS!B639)</f>
        <v/>
      </c>
      <c r="B639" s="0" t="str">
        <f aca="false">IF(A639="","",IF(MATCH(A639,$A$2:$A$3201,0)=ROW()-1,1,0))</f>
        <v/>
      </c>
      <c r="C639" s="0" t="str">
        <f aca="false">IF(B639=1,MAX(C$1:C638)+1,"")</f>
        <v/>
      </c>
    </row>
    <row r="640" customFormat="false" ht="15" hidden="false" customHeight="false" outlineLevel="0" collapsed="false">
      <c r="A640" s="0" t="str">
        <f aca="false">IF(DECKS!B640="","",DECKS!B640)</f>
        <v/>
      </c>
      <c r="B640" s="0" t="str">
        <f aca="false">IF(A640="","",IF(MATCH(A640,$A$2:$A$3201,0)=ROW()-1,1,0))</f>
        <v/>
      </c>
      <c r="C640" s="0" t="str">
        <f aca="false">IF(B640=1,MAX(C$1:C639)+1,"")</f>
        <v/>
      </c>
    </row>
    <row r="641" customFormat="false" ht="15" hidden="false" customHeight="false" outlineLevel="0" collapsed="false">
      <c r="A641" s="0" t="str">
        <f aca="false">IF(DECKS!B641="","",DECKS!B641)</f>
        <v/>
      </c>
      <c r="B641" s="0" t="str">
        <f aca="false">IF(A641="","",IF(MATCH(A641,$A$2:$A$3201,0)=ROW()-1,1,0))</f>
        <v/>
      </c>
      <c r="C641" s="0" t="str">
        <f aca="false">IF(B641=1,MAX(C$1:C640)+1,"")</f>
        <v/>
      </c>
    </row>
    <row r="642" customFormat="false" ht="15" hidden="false" customHeight="false" outlineLevel="0" collapsed="false">
      <c r="A642" s="0" t="str">
        <f aca="false">IF(DECKS!B642="","",DECKS!B642)</f>
        <v/>
      </c>
      <c r="B642" s="0" t="str">
        <f aca="false">IF(A642="","",IF(MATCH(A642,$A$2:$A$3201,0)=ROW()-1,1,0))</f>
        <v/>
      </c>
      <c r="C642" s="0" t="str">
        <f aca="false">IF(B642=1,MAX(C$1:C641)+1,"")</f>
        <v/>
      </c>
    </row>
    <row r="643" customFormat="false" ht="15" hidden="false" customHeight="false" outlineLevel="0" collapsed="false">
      <c r="A643" s="0" t="str">
        <f aca="false">IF(DECKS!B643="","",DECKS!B643)</f>
        <v/>
      </c>
      <c r="B643" s="0" t="str">
        <f aca="false">IF(A643="","",IF(MATCH(A643,$A$2:$A$3201,0)=ROW()-1,1,0))</f>
        <v/>
      </c>
      <c r="C643" s="0" t="str">
        <f aca="false">IF(B643=1,MAX(C$1:C642)+1,"")</f>
        <v/>
      </c>
    </row>
    <row r="644" customFormat="false" ht="15" hidden="false" customHeight="false" outlineLevel="0" collapsed="false">
      <c r="A644" s="0" t="str">
        <f aca="false">IF(DECKS!B644="","",DECKS!B644)</f>
        <v/>
      </c>
      <c r="B644" s="0" t="str">
        <f aca="false">IF(A644="","",IF(MATCH(A644,$A$2:$A$3201,0)=ROW()-1,1,0))</f>
        <v/>
      </c>
      <c r="C644" s="0" t="str">
        <f aca="false">IF(B644=1,MAX(C$1:C643)+1,"")</f>
        <v/>
      </c>
    </row>
    <row r="645" customFormat="false" ht="15" hidden="false" customHeight="false" outlineLevel="0" collapsed="false">
      <c r="A645" s="0" t="str">
        <f aca="false">IF(DECKS!B645="","",DECKS!B645)</f>
        <v/>
      </c>
      <c r="B645" s="0" t="str">
        <f aca="false">IF(A645="","",IF(MATCH(A645,$A$2:$A$3201,0)=ROW()-1,1,0))</f>
        <v/>
      </c>
      <c r="C645" s="0" t="str">
        <f aca="false">IF(B645=1,MAX(C$1:C644)+1,"")</f>
        <v/>
      </c>
    </row>
    <row r="646" customFormat="false" ht="15" hidden="false" customHeight="false" outlineLevel="0" collapsed="false">
      <c r="A646" s="0" t="str">
        <f aca="false">IF(DECKS!B646="","",DECKS!B646)</f>
        <v/>
      </c>
      <c r="B646" s="0" t="str">
        <f aca="false">IF(A646="","",IF(MATCH(A646,$A$2:$A$3201,0)=ROW()-1,1,0))</f>
        <v/>
      </c>
      <c r="C646" s="0" t="str">
        <f aca="false">IF(B646=1,MAX(C$1:C645)+1,"")</f>
        <v/>
      </c>
    </row>
    <row r="647" customFormat="false" ht="15" hidden="false" customHeight="false" outlineLevel="0" collapsed="false">
      <c r="A647" s="0" t="str">
        <f aca="false">IF(DECKS!B647="","",DECKS!B647)</f>
        <v/>
      </c>
      <c r="B647" s="0" t="str">
        <f aca="false">IF(A647="","",IF(MATCH(A647,$A$2:$A$3201,0)=ROW()-1,1,0))</f>
        <v/>
      </c>
      <c r="C647" s="0" t="str">
        <f aca="false">IF(B647=1,MAX(C$1:C646)+1,"")</f>
        <v/>
      </c>
    </row>
    <row r="648" customFormat="false" ht="15" hidden="false" customHeight="false" outlineLevel="0" collapsed="false">
      <c r="A648" s="0" t="str">
        <f aca="false">IF(DECKS!B648="","",DECKS!B648)</f>
        <v/>
      </c>
      <c r="B648" s="0" t="str">
        <f aca="false">IF(A648="","",IF(MATCH(A648,$A$2:$A$3201,0)=ROW()-1,1,0))</f>
        <v/>
      </c>
      <c r="C648" s="0" t="str">
        <f aca="false">IF(B648=1,MAX(C$1:C647)+1,"")</f>
        <v/>
      </c>
    </row>
    <row r="649" customFormat="false" ht="15" hidden="false" customHeight="false" outlineLevel="0" collapsed="false">
      <c r="A649" s="0" t="str">
        <f aca="false">IF(DECKS!B649="","",DECKS!B649)</f>
        <v/>
      </c>
      <c r="B649" s="0" t="str">
        <f aca="false">IF(A649="","",IF(MATCH(A649,$A$2:$A$3201,0)=ROW()-1,1,0))</f>
        <v/>
      </c>
      <c r="C649" s="0" t="str">
        <f aca="false">IF(B649=1,MAX(C$1:C648)+1,"")</f>
        <v/>
      </c>
    </row>
    <row r="650" customFormat="false" ht="15" hidden="false" customHeight="false" outlineLevel="0" collapsed="false">
      <c r="A650" s="0" t="str">
        <f aca="false">IF(DECKS!B650="","",DECKS!B650)</f>
        <v/>
      </c>
      <c r="B650" s="0" t="str">
        <f aca="false">IF(A650="","",IF(MATCH(A650,$A$2:$A$3201,0)=ROW()-1,1,0))</f>
        <v/>
      </c>
      <c r="C650" s="0" t="str">
        <f aca="false">IF(B650=1,MAX(C$1:C649)+1,"")</f>
        <v/>
      </c>
    </row>
    <row r="651" customFormat="false" ht="15" hidden="false" customHeight="false" outlineLevel="0" collapsed="false">
      <c r="A651" s="0" t="str">
        <f aca="false">IF(DECKS!B651="","",DECKS!B651)</f>
        <v/>
      </c>
      <c r="B651" s="0" t="str">
        <f aca="false">IF(A651="","",IF(MATCH(A651,$A$2:$A$3201,0)=ROW()-1,1,0))</f>
        <v/>
      </c>
      <c r="C651" s="0" t="str">
        <f aca="false">IF(B651=1,MAX(C$1:C650)+1,"")</f>
        <v/>
      </c>
    </row>
    <row r="652" customFormat="false" ht="15" hidden="false" customHeight="false" outlineLevel="0" collapsed="false">
      <c r="A652" s="0" t="str">
        <f aca="false">IF(DECKS!B652="","",DECKS!B652)</f>
        <v/>
      </c>
      <c r="B652" s="0" t="str">
        <f aca="false">IF(A652="","",IF(MATCH(A652,$A$2:$A$3201,0)=ROW()-1,1,0))</f>
        <v/>
      </c>
      <c r="C652" s="0" t="str">
        <f aca="false">IF(B652=1,MAX(C$1:C651)+1,"")</f>
        <v/>
      </c>
    </row>
    <row r="653" customFormat="false" ht="15" hidden="false" customHeight="false" outlineLevel="0" collapsed="false">
      <c r="A653" s="0" t="str">
        <f aca="false">IF(DECKS!B653="","",DECKS!B653)</f>
        <v/>
      </c>
      <c r="B653" s="0" t="str">
        <f aca="false">IF(A653="","",IF(MATCH(A653,$A$2:$A$3201,0)=ROW()-1,1,0))</f>
        <v/>
      </c>
      <c r="C653" s="0" t="str">
        <f aca="false">IF(B653=1,MAX(C$1:C652)+1,"")</f>
        <v/>
      </c>
    </row>
    <row r="654" customFormat="false" ht="15" hidden="false" customHeight="false" outlineLevel="0" collapsed="false">
      <c r="A654" s="0" t="str">
        <f aca="false">IF(DECKS!B654="","",DECKS!B654)</f>
        <v/>
      </c>
      <c r="B654" s="0" t="str">
        <f aca="false">IF(A654="","",IF(MATCH(A654,$A$2:$A$3201,0)=ROW()-1,1,0))</f>
        <v/>
      </c>
      <c r="C654" s="0" t="str">
        <f aca="false">IF(B654=1,MAX(C$1:C653)+1,"")</f>
        <v/>
      </c>
    </row>
    <row r="655" customFormat="false" ht="15" hidden="false" customHeight="false" outlineLevel="0" collapsed="false">
      <c r="A655" s="0" t="str">
        <f aca="false">IF(DECKS!B655="","",DECKS!B655)</f>
        <v/>
      </c>
      <c r="B655" s="0" t="str">
        <f aca="false">IF(A655="","",IF(MATCH(A655,$A$2:$A$3201,0)=ROW()-1,1,0))</f>
        <v/>
      </c>
      <c r="C655" s="0" t="str">
        <f aca="false">IF(B655=1,MAX(C$1:C654)+1,"")</f>
        <v/>
      </c>
    </row>
    <row r="656" customFormat="false" ht="15" hidden="false" customHeight="false" outlineLevel="0" collapsed="false">
      <c r="A656" s="0" t="str">
        <f aca="false">IF(DECKS!B656="","",DECKS!B656)</f>
        <v/>
      </c>
      <c r="B656" s="0" t="str">
        <f aca="false">IF(A656="","",IF(MATCH(A656,$A$2:$A$3201,0)=ROW()-1,1,0))</f>
        <v/>
      </c>
      <c r="C656" s="0" t="str">
        <f aca="false">IF(B656=1,MAX(C$1:C655)+1,"")</f>
        <v/>
      </c>
    </row>
    <row r="657" customFormat="false" ht="15" hidden="false" customHeight="false" outlineLevel="0" collapsed="false">
      <c r="A657" s="0" t="str">
        <f aca="false">IF(DECKS!B657="","",DECKS!B657)</f>
        <v/>
      </c>
      <c r="B657" s="0" t="str">
        <f aca="false">IF(A657="","",IF(MATCH(A657,$A$2:$A$3201,0)=ROW()-1,1,0))</f>
        <v/>
      </c>
      <c r="C657" s="0" t="str">
        <f aca="false">IF(B657=1,MAX(C$1:C656)+1,"")</f>
        <v/>
      </c>
    </row>
    <row r="658" customFormat="false" ht="15" hidden="false" customHeight="false" outlineLevel="0" collapsed="false">
      <c r="A658" s="0" t="str">
        <f aca="false">IF(DECKS!B658="","",DECKS!B658)</f>
        <v/>
      </c>
      <c r="B658" s="0" t="str">
        <f aca="false">IF(A658="","",IF(MATCH(A658,$A$2:$A$3201,0)=ROW()-1,1,0))</f>
        <v/>
      </c>
      <c r="C658" s="0" t="str">
        <f aca="false">IF(B658=1,MAX(C$1:C657)+1,"")</f>
        <v/>
      </c>
    </row>
    <row r="659" customFormat="false" ht="15" hidden="false" customHeight="false" outlineLevel="0" collapsed="false">
      <c r="A659" s="0" t="str">
        <f aca="false">IF(DECKS!B659="","",DECKS!B659)</f>
        <v/>
      </c>
      <c r="B659" s="0" t="str">
        <f aca="false">IF(A659="","",IF(MATCH(A659,$A$2:$A$3201,0)=ROW()-1,1,0))</f>
        <v/>
      </c>
      <c r="C659" s="0" t="str">
        <f aca="false">IF(B659=1,MAX(C$1:C658)+1,"")</f>
        <v/>
      </c>
    </row>
    <row r="660" customFormat="false" ht="15" hidden="false" customHeight="false" outlineLevel="0" collapsed="false">
      <c r="A660" s="0" t="str">
        <f aca="false">IF(DECKS!B660="","",DECKS!B660)</f>
        <v/>
      </c>
      <c r="B660" s="0" t="str">
        <f aca="false">IF(A660="","",IF(MATCH(A660,$A$2:$A$3201,0)=ROW()-1,1,0))</f>
        <v/>
      </c>
      <c r="C660" s="0" t="str">
        <f aca="false">IF(B660=1,MAX(C$1:C659)+1,"")</f>
        <v/>
      </c>
    </row>
    <row r="661" customFormat="false" ht="15" hidden="false" customHeight="false" outlineLevel="0" collapsed="false">
      <c r="A661" s="0" t="str">
        <f aca="false">IF(DECKS!B661="","",DECKS!B661)</f>
        <v/>
      </c>
      <c r="B661" s="0" t="str">
        <f aca="false">IF(A661="","",IF(MATCH(A661,$A$2:$A$3201,0)=ROW()-1,1,0))</f>
        <v/>
      </c>
      <c r="C661" s="0" t="str">
        <f aca="false">IF(B661=1,MAX(C$1:C660)+1,"")</f>
        <v/>
      </c>
    </row>
    <row r="662" customFormat="false" ht="15" hidden="false" customHeight="false" outlineLevel="0" collapsed="false">
      <c r="A662" s="0" t="str">
        <f aca="false">IF(DECKS!B662="","",DECKS!B662)</f>
        <v/>
      </c>
      <c r="B662" s="0" t="str">
        <f aca="false">IF(A662="","",IF(MATCH(A662,$A$2:$A$3201,0)=ROW()-1,1,0))</f>
        <v/>
      </c>
      <c r="C662" s="0" t="str">
        <f aca="false">IF(B662=1,MAX(C$1:C661)+1,"")</f>
        <v/>
      </c>
    </row>
    <row r="663" customFormat="false" ht="15" hidden="false" customHeight="false" outlineLevel="0" collapsed="false">
      <c r="A663" s="0" t="str">
        <f aca="false">IF(DECKS!B663="","",DECKS!B663)</f>
        <v/>
      </c>
      <c r="B663" s="0" t="str">
        <f aca="false">IF(A663="","",IF(MATCH(A663,$A$2:$A$3201,0)=ROW()-1,1,0))</f>
        <v/>
      </c>
      <c r="C663" s="0" t="str">
        <f aca="false">IF(B663=1,MAX(C$1:C662)+1,"")</f>
        <v/>
      </c>
    </row>
    <row r="664" customFormat="false" ht="15" hidden="false" customHeight="false" outlineLevel="0" collapsed="false">
      <c r="A664" s="0" t="str">
        <f aca="false">IF(DECKS!B664="","",DECKS!B664)</f>
        <v/>
      </c>
      <c r="B664" s="0" t="str">
        <f aca="false">IF(A664="","",IF(MATCH(A664,$A$2:$A$3201,0)=ROW()-1,1,0))</f>
        <v/>
      </c>
      <c r="C664" s="0" t="str">
        <f aca="false">IF(B664=1,MAX(C$1:C663)+1,"")</f>
        <v/>
      </c>
    </row>
    <row r="665" customFormat="false" ht="15" hidden="false" customHeight="false" outlineLevel="0" collapsed="false">
      <c r="A665" s="0" t="str">
        <f aca="false">IF(DECKS!B665="","",DECKS!B665)</f>
        <v/>
      </c>
      <c r="B665" s="0" t="str">
        <f aca="false">IF(A665="","",IF(MATCH(A665,$A$2:$A$3201,0)=ROW()-1,1,0))</f>
        <v/>
      </c>
      <c r="C665" s="0" t="str">
        <f aca="false">IF(B665=1,MAX(C$1:C664)+1,"")</f>
        <v/>
      </c>
    </row>
    <row r="666" customFormat="false" ht="15" hidden="false" customHeight="false" outlineLevel="0" collapsed="false">
      <c r="A666" s="0" t="str">
        <f aca="false">IF(DECKS!B666="","",DECKS!B666)</f>
        <v/>
      </c>
      <c r="B666" s="0" t="str">
        <f aca="false">IF(A666="","",IF(MATCH(A666,$A$2:$A$3201,0)=ROW()-1,1,0))</f>
        <v/>
      </c>
      <c r="C666" s="0" t="str">
        <f aca="false">IF(B666=1,MAX(C$1:C665)+1,"")</f>
        <v/>
      </c>
    </row>
    <row r="667" customFormat="false" ht="15" hidden="false" customHeight="false" outlineLevel="0" collapsed="false">
      <c r="A667" s="0" t="str">
        <f aca="false">IF(DECKS!B667="","",DECKS!B667)</f>
        <v/>
      </c>
      <c r="B667" s="0" t="str">
        <f aca="false">IF(A667="","",IF(MATCH(A667,$A$2:$A$3201,0)=ROW()-1,1,0))</f>
        <v/>
      </c>
      <c r="C667" s="0" t="str">
        <f aca="false">IF(B667=1,MAX(C$1:C666)+1,"")</f>
        <v/>
      </c>
    </row>
    <row r="668" customFormat="false" ht="15" hidden="false" customHeight="false" outlineLevel="0" collapsed="false">
      <c r="A668" s="0" t="str">
        <f aca="false">IF(DECKS!B668="","",DECKS!B668)</f>
        <v/>
      </c>
      <c r="B668" s="0" t="str">
        <f aca="false">IF(A668="","",IF(MATCH(A668,$A$2:$A$3201,0)=ROW()-1,1,0))</f>
        <v/>
      </c>
      <c r="C668" s="0" t="str">
        <f aca="false">IF(B668=1,MAX(C$1:C667)+1,"")</f>
        <v/>
      </c>
    </row>
    <row r="669" customFormat="false" ht="15" hidden="false" customHeight="false" outlineLevel="0" collapsed="false">
      <c r="A669" s="0" t="str">
        <f aca="false">IF(DECKS!B669="","",DECKS!B669)</f>
        <v/>
      </c>
      <c r="B669" s="0" t="str">
        <f aca="false">IF(A669="","",IF(MATCH(A669,$A$2:$A$3201,0)=ROW()-1,1,0))</f>
        <v/>
      </c>
      <c r="C669" s="0" t="str">
        <f aca="false">IF(B669=1,MAX(C$1:C668)+1,"")</f>
        <v/>
      </c>
    </row>
    <row r="670" customFormat="false" ht="15" hidden="false" customHeight="false" outlineLevel="0" collapsed="false">
      <c r="A670" s="0" t="str">
        <f aca="false">IF(DECKS!B670="","",DECKS!B670)</f>
        <v/>
      </c>
      <c r="B670" s="0" t="str">
        <f aca="false">IF(A670="","",IF(MATCH(A670,$A$2:$A$3201,0)=ROW()-1,1,0))</f>
        <v/>
      </c>
      <c r="C670" s="0" t="str">
        <f aca="false">IF(B670=1,MAX(C$1:C669)+1,"")</f>
        <v/>
      </c>
    </row>
    <row r="671" customFormat="false" ht="15" hidden="false" customHeight="false" outlineLevel="0" collapsed="false">
      <c r="A671" s="0" t="str">
        <f aca="false">IF(DECKS!B671="","",DECKS!B671)</f>
        <v/>
      </c>
      <c r="B671" s="0" t="str">
        <f aca="false">IF(A671="","",IF(MATCH(A671,$A$2:$A$3201,0)=ROW()-1,1,0))</f>
        <v/>
      </c>
      <c r="C671" s="0" t="str">
        <f aca="false">IF(B671=1,MAX(C$1:C670)+1,"")</f>
        <v/>
      </c>
    </row>
    <row r="672" customFormat="false" ht="15" hidden="false" customHeight="false" outlineLevel="0" collapsed="false">
      <c r="A672" s="0" t="str">
        <f aca="false">IF(DECKS!B672="","",DECKS!B672)</f>
        <v/>
      </c>
      <c r="B672" s="0" t="str">
        <f aca="false">IF(A672="","",IF(MATCH(A672,$A$2:$A$3201,0)=ROW()-1,1,0))</f>
        <v/>
      </c>
      <c r="C672" s="0" t="str">
        <f aca="false">IF(B672=1,MAX(C$1:C671)+1,"")</f>
        <v/>
      </c>
    </row>
    <row r="673" customFormat="false" ht="15" hidden="false" customHeight="false" outlineLevel="0" collapsed="false">
      <c r="A673" s="0" t="str">
        <f aca="false">IF(DECKS!B673="","",DECKS!B673)</f>
        <v/>
      </c>
      <c r="B673" s="0" t="str">
        <f aca="false">IF(A673="","",IF(MATCH(A673,$A$2:$A$3201,0)=ROW()-1,1,0))</f>
        <v/>
      </c>
      <c r="C673" s="0" t="str">
        <f aca="false">IF(B673=1,MAX(C$1:C672)+1,"")</f>
        <v/>
      </c>
    </row>
    <row r="674" customFormat="false" ht="15" hidden="false" customHeight="false" outlineLevel="0" collapsed="false">
      <c r="A674" s="0" t="str">
        <f aca="false">IF(DECKS!B674="","",DECKS!B674)</f>
        <v/>
      </c>
      <c r="B674" s="0" t="str">
        <f aca="false">IF(A674="","",IF(MATCH(A674,$A$2:$A$3201,0)=ROW()-1,1,0))</f>
        <v/>
      </c>
      <c r="C674" s="0" t="str">
        <f aca="false">IF(B674=1,MAX(C$1:C673)+1,"")</f>
        <v/>
      </c>
    </row>
    <row r="675" customFormat="false" ht="15" hidden="false" customHeight="false" outlineLevel="0" collapsed="false">
      <c r="A675" s="0" t="str">
        <f aca="false">IF(DECKS!B675="","",DECKS!B675)</f>
        <v/>
      </c>
      <c r="B675" s="0" t="str">
        <f aca="false">IF(A675="","",IF(MATCH(A675,$A$2:$A$3201,0)=ROW()-1,1,0))</f>
        <v/>
      </c>
      <c r="C675" s="0" t="str">
        <f aca="false">IF(B675=1,MAX(C$1:C674)+1,"")</f>
        <v/>
      </c>
    </row>
    <row r="676" customFormat="false" ht="15" hidden="false" customHeight="false" outlineLevel="0" collapsed="false">
      <c r="A676" s="0" t="str">
        <f aca="false">IF(DECKS!B676="","",DECKS!B676)</f>
        <v/>
      </c>
      <c r="B676" s="0" t="str">
        <f aca="false">IF(A676="","",IF(MATCH(A676,$A$2:$A$3201,0)=ROW()-1,1,0))</f>
        <v/>
      </c>
      <c r="C676" s="0" t="str">
        <f aca="false">IF(B676=1,MAX(C$1:C675)+1,"")</f>
        <v/>
      </c>
    </row>
    <row r="677" customFormat="false" ht="15" hidden="false" customHeight="false" outlineLevel="0" collapsed="false">
      <c r="A677" s="0" t="str">
        <f aca="false">IF(DECKS!B677="","",DECKS!B677)</f>
        <v/>
      </c>
      <c r="B677" s="0" t="str">
        <f aca="false">IF(A677="","",IF(MATCH(A677,$A$2:$A$3201,0)=ROW()-1,1,0))</f>
        <v/>
      </c>
      <c r="C677" s="0" t="str">
        <f aca="false">IF(B677=1,MAX(C$1:C676)+1,"")</f>
        <v/>
      </c>
    </row>
    <row r="678" customFormat="false" ht="15" hidden="false" customHeight="false" outlineLevel="0" collapsed="false">
      <c r="A678" s="0" t="str">
        <f aca="false">IF(DECKS!B678="","",DECKS!B678)</f>
        <v/>
      </c>
      <c r="B678" s="0" t="str">
        <f aca="false">IF(A678="","",IF(MATCH(A678,$A$2:$A$3201,0)=ROW()-1,1,0))</f>
        <v/>
      </c>
      <c r="C678" s="0" t="str">
        <f aca="false">IF(B678=1,MAX(C$1:C677)+1,"")</f>
        <v/>
      </c>
    </row>
    <row r="679" customFormat="false" ht="15" hidden="false" customHeight="false" outlineLevel="0" collapsed="false">
      <c r="A679" s="0" t="str">
        <f aca="false">IF(DECKS!B679="","",DECKS!B679)</f>
        <v/>
      </c>
      <c r="B679" s="0" t="str">
        <f aca="false">IF(A679="","",IF(MATCH(A679,$A$2:$A$3201,0)=ROW()-1,1,0))</f>
        <v/>
      </c>
      <c r="C679" s="0" t="str">
        <f aca="false">IF(B679=1,MAX(C$1:C678)+1,"")</f>
        <v/>
      </c>
    </row>
    <row r="680" customFormat="false" ht="15" hidden="false" customHeight="false" outlineLevel="0" collapsed="false">
      <c r="A680" s="0" t="str">
        <f aca="false">IF(DECKS!B680="","",DECKS!B680)</f>
        <v/>
      </c>
      <c r="B680" s="0" t="str">
        <f aca="false">IF(A680="","",IF(MATCH(A680,$A$2:$A$3201,0)=ROW()-1,1,0))</f>
        <v/>
      </c>
      <c r="C680" s="0" t="str">
        <f aca="false">IF(B680=1,MAX(C$1:C679)+1,"")</f>
        <v/>
      </c>
    </row>
    <row r="681" customFormat="false" ht="15" hidden="false" customHeight="false" outlineLevel="0" collapsed="false">
      <c r="A681" s="0" t="str">
        <f aca="false">IF(DECKS!B681="","",DECKS!B681)</f>
        <v/>
      </c>
      <c r="B681" s="0" t="str">
        <f aca="false">IF(A681="","",IF(MATCH(A681,$A$2:$A$3201,0)=ROW()-1,1,0))</f>
        <v/>
      </c>
      <c r="C681" s="0" t="str">
        <f aca="false">IF(B681=1,MAX(C$1:C680)+1,"")</f>
        <v/>
      </c>
    </row>
    <row r="682" customFormat="false" ht="15" hidden="false" customHeight="false" outlineLevel="0" collapsed="false">
      <c r="A682" s="0" t="str">
        <f aca="false">IF(DECKS!B682="","",DECKS!B682)</f>
        <v/>
      </c>
      <c r="B682" s="0" t="str">
        <f aca="false">IF(A682="","",IF(MATCH(A682,$A$2:$A$3201,0)=ROW()-1,1,0))</f>
        <v/>
      </c>
      <c r="C682" s="0" t="str">
        <f aca="false">IF(B682=1,MAX(C$1:C681)+1,"")</f>
        <v/>
      </c>
    </row>
    <row r="683" customFormat="false" ht="15" hidden="false" customHeight="false" outlineLevel="0" collapsed="false">
      <c r="A683" s="0" t="str">
        <f aca="false">IF(DECKS!B683="","",DECKS!B683)</f>
        <v/>
      </c>
      <c r="B683" s="0" t="str">
        <f aca="false">IF(A683="","",IF(MATCH(A683,$A$2:$A$3201,0)=ROW()-1,1,0))</f>
        <v/>
      </c>
      <c r="C683" s="0" t="str">
        <f aca="false">IF(B683=1,MAX(C$1:C682)+1,"")</f>
        <v/>
      </c>
    </row>
    <row r="684" customFormat="false" ht="15" hidden="false" customHeight="false" outlineLevel="0" collapsed="false">
      <c r="A684" s="0" t="str">
        <f aca="false">IF(DECKS!B684="","",DECKS!B684)</f>
        <v/>
      </c>
      <c r="B684" s="0" t="str">
        <f aca="false">IF(A684="","",IF(MATCH(A684,$A$2:$A$3201,0)=ROW()-1,1,0))</f>
        <v/>
      </c>
      <c r="C684" s="0" t="str">
        <f aca="false">IF(B684=1,MAX(C$1:C683)+1,"")</f>
        <v/>
      </c>
    </row>
    <row r="685" customFormat="false" ht="15" hidden="false" customHeight="false" outlineLevel="0" collapsed="false">
      <c r="A685" s="0" t="str">
        <f aca="false">IF(DECKS!B685="","",DECKS!B685)</f>
        <v/>
      </c>
      <c r="B685" s="0" t="str">
        <f aca="false">IF(A685="","",IF(MATCH(A685,$A$2:$A$3201,0)=ROW()-1,1,0))</f>
        <v/>
      </c>
      <c r="C685" s="0" t="str">
        <f aca="false">IF(B685=1,MAX(C$1:C684)+1,"")</f>
        <v/>
      </c>
    </row>
    <row r="686" customFormat="false" ht="15" hidden="false" customHeight="false" outlineLevel="0" collapsed="false">
      <c r="A686" s="0" t="str">
        <f aca="false">IF(DECKS!B686="","",DECKS!B686)</f>
        <v/>
      </c>
      <c r="B686" s="0" t="str">
        <f aca="false">IF(A686="","",IF(MATCH(A686,$A$2:$A$3201,0)=ROW()-1,1,0))</f>
        <v/>
      </c>
      <c r="C686" s="0" t="str">
        <f aca="false">IF(B686=1,MAX(C$1:C685)+1,"")</f>
        <v/>
      </c>
    </row>
    <row r="687" customFormat="false" ht="15" hidden="false" customHeight="false" outlineLevel="0" collapsed="false">
      <c r="A687" s="0" t="str">
        <f aca="false">IF(DECKS!B687="","",DECKS!B687)</f>
        <v/>
      </c>
      <c r="B687" s="0" t="str">
        <f aca="false">IF(A687="","",IF(MATCH(A687,$A$2:$A$3201,0)=ROW()-1,1,0))</f>
        <v/>
      </c>
      <c r="C687" s="0" t="str">
        <f aca="false">IF(B687=1,MAX(C$1:C686)+1,"")</f>
        <v/>
      </c>
    </row>
    <row r="688" customFormat="false" ht="15" hidden="false" customHeight="false" outlineLevel="0" collapsed="false">
      <c r="A688" s="0" t="str">
        <f aca="false">IF(DECKS!B688="","",DECKS!B688)</f>
        <v/>
      </c>
      <c r="B688" s="0" t="str">
        <f aca="false">IF(A688="","",IF(MATCH(A688,$A$2:$A$3201,0)=ROW()-1,1,0))</f>
        <v/>
      </c>
      <c r="C688" s="0" t="str">
        <f aca="false">IF(B688=1,MAX(C$1:C687)+1,"")</f>
        <v/>
      </c>
    </row>
    <row r="689" customFormat="false" ht="15" hidden="false" customHeight="false" outlineLevel="0" collapsed="false">
      <c r="A689" s="0" t="str">
        <f aca="false">IF(DECKS!B689="","",DECKS!B689)</f>
        <v/>
      </c>
      <c r="B689" s="0" t="str">
        <f aca="false">IF(A689="","",IF(MATCH(A689,$A$2:$A$3201,0)=ROW()-1,1,0))</f>
        <v/>
      </c>
      <c r="C689" s="0" t="str">
        <f aca="false">IF(B689=1,MAX(C$1:C688)+1,"")</f>
        <v/>
      </c>
    </row>
    <row r="690" customFormat="false" ht="15" hidden="false" customHeight="false" outlineLevel="0" collapsed="false">
      <c r="A690" s="0" t="str">
        <f aca="false">IF(DECKS!B690="","",DECKS!B690)</f>
        <v/>
      </c>
      <c r="B690" s="0" t="str">
        <f aca="false">IF(A690="","",IF(MATCH(A690,$A$2:$A$3201,0)=ROW()-1,1,0))</f>
        <v/>
      </c>
      <c r="C690" s="0" t="str">
        <f aca="false">IF(B690=1,MAX(C$1:C689)+1,"")</f>
        <v/>
      </c>
    </row>
    <row r="691" customFormat="false" ht="15" hidden="false" customHeight="false" outlineLevel="0" collapsed="false">
      <c r="A691" s="0" t="str">
        <f aca="false">IF(DECKS!B691="","",DECKS!B691)</f>
        <v/>
      </c>
      <c r="B691" s="0" t="str">
        <f aca="false">IF(A691="","",IF(MATCH(A691,$A$2:$A$3201,0)=ROW()-1,1,0))</f>
        <v/>
      </c>
      <c r="C691" s="0" t="str">
        <f aca="false">IF(B691=1,MAX(C$1:C690)+1,"")</f>
        <v/>
      </c>
    </row>
    <row r="692" customFormat="false" ht="15" hidden="false" customHeight="false" outlineLevel="0" collapsed="false">
      <c r="A692" s="0" t="str">
        <f aca="false">IF(DECKS!B692="","",DECKS!B692)</f>
        <v/>
      </c>
      <c r="B692" s="0" t="str">
        <f aca="false">IF(A692="","",IF(MATCH(A692,$A$2:$A$3201,0)=ROW()-1,1,0))</f>
        <v/>
      </c>
      <c r="C692" s="0" t="str">
        <f aca="false">IF(B692=1,MAX(C$1:C691)+1,"")</f>
        <v/>
      </c>
    </row>
    <row r="693" customFormat="false" ht="15" hidden="false" customHeight="false" outlineLevel="0" collapsed="false">
      <c r="A693" s="0" t="str">
        <f aca="false">IF(DECKS!B693="","",DECKS!B693)</f>
        <v/>
      </c>
      <c r="B693" s="0" t="str">
        <f aca="false">IF(A693="","",IF(MATCH(A693,$A$2:$A$3201,0)=ROW()-1,1,0))</f>
        <v/>
      </c>
      <c r="C693" s="0" t="str">
        <f aca="false">IF(B693=1,MAX(C$1:C692)+1,"")</f>
        <v/>
      </c>
    </row>
    <row r="694" customFormat="false" ht="15" hidden="false" customHeight="false" outlineLevel="0" collapsed="false">
      <c r="A694" s="0" t="str">
        <f aca="false">IF(DECKS!B694="","",DECKS!B694)</f>
        <v/>
      </c>
      <c r="B694" s="0" t="str">
        <f aca="false">IF(A694="","",IF(MATCH(A694,$A$2:$A$3201,0)=ROW()-1,1,0))</f>
        <v/>
      </c>
      <c r="C694" s="0" t="str">
        <f aca="false">IF(B694=1,MAX(C$1:C693)+1,"")</f>
        <v/>
      </c>
    </row>
    <row r="695" customFormat="false" ht="15" hidden="false" customHeight="false" outlineLevel="0" collapsed="false">
      <c r="A695" s="0" t="str">
        <f aca="false">IF(DECKS!B695="","",DECKS!B695)</f>
        <v/>
      </c>
      <c r="B695" s="0" t="str">
        <f aca="false">IF(A695="","",IF(MATCH(A695,$A$2:$A$3201,0)=ROW()-1,1,0))</f>
        <v/>
      </c>
      <c r="C695" s="0" t="str">
        <f aca="false">IF(B695=1,MAX(C$1:C694)+1,"")</f>
        <v/>
      </c>
    </row>
    <row r="696" customFormat="false" ht="15" hidden="false" customHeight="false" outlineLevel="0" collapsed="false">
      <c r="A696" s="0" t="str">
        <f aca="false">IF(DECKS!B696="","",DECKS!B696)</f>
        <v/>
      </c>
      <c r="B696" s="0" t="str">
        <f aca="false">IF(A696="","",IF(MATCH(A696,$A$2:$A$3201,0)=ROW()-1,1,0))</f>
        <v/>
      </c>
      <c r="C696" s="0" t="str">
        <f aca="false">IF(B696=1,MAX(C$1:C695)+1,"")</f>
        <v/>
      </c>
    </row>
    <row r="697" customFormat="false" ht="15" hidden="false" customHeight="false" outlineLevel="0" collapsed="false">
      <c r="A697" s="0" t="str">
        <f aca="false">IF(DECKS!B697="","",DECKS!B697)</f>
        <v/>
      </c>
      <c r="B697" s="0" t="str">
        <f aca="false">IF(A697="","",IF(MATCH(A697,$A$2:$A$3201,0)=ROW()-1,1,0))</f>
        <v/>
      </c>
      <c r="C697" s="0" t="str">
        <f aca="false">IF(B697=1,MAX(C$1:C696)+1,"")</f>
        <v/>
      </c>
    </row>
    <row r="698" customFormat="false" ht="15" hidden="false" customHeight="false" outlineLevel="0" collapsed="false">
      <c r="A698" s="0" t="str">
        <f aca="false">IF(DECKS!B698="","",DECKS!B698)</f>
        <v/>
      </c>
      <c r="B698" s="0" t="str">
        <f aca="false">IF(A698="","",IF(MATCH(A698,$A$2:$A$3201,0)=ROW()-1,1,0))</f>
        <v/>
      </c>
      <c r="C698" s="0" t="str">
        <f aca="false">IF(B698=1,MAX(C$1:C697)+1,"")</f>
        <v/>
      </c>
    </row>
    <row r="699" customFormat="false" ht="15" hidden="false" customHeight="false" outlineLevel="0" collapsed="false">
      <c r="A699" s="0" t="str">
        <f aca="false">IF(DECKS!B699="","",DECKS!B699)</f>
        <v/>
      </c>
      <c r="B699" s="0" t="str">
        <f aca="false">IF(A699="","",IF(MATCH(A699,$A$2:$A$3201,0)=ROW()-1,1,0))</f>
        <v/>
      </c>
      <c r="C699" s="0" t="str">
        <f aca="false">IF(B699=1,MAX(C$1:C698)+1,"")</f>
        <v/>
      </c>
    </row>
    <row r="700" customFormat="false" ht="15" hidden="false" customHeight="false" outlineLevel="0" collapsed="false">
      <c r="A700" s="0" t="str">
        <f aca="false">IF(DECKS!B700="","",DECKS!B700)</f>
        <v/>
      </c>
      <c r="B700" s="0" t="str">
        <f aca="false">IF(A700="","",IF(MATCH(A700,$A$2:$A$3201,0)=ROW()-1,1,0))</f>
        <v/>
      </c>
      <c r="C700" s="0" t="str">
        <f aca="false">IF(B700=1,MAX(C$1:C699)+1,"")</f>
        <v/>
      </c>
    </row>
    <row r="701" customFormat="false" ht="15" hidden="false" customHeight="false" outlineLevel="0" collapsed="false">
      <c r="A701" s="0" t="str">
        <f aca="false">IF(DECKS!B701="","",DECKS!B701)</f>
        <v/>
      </c>
      <c r="B701" s="0" t="str">
        <f aca="false">IF(A701="","",IF(MATCH(A701,$A$2:$A$3201,0)=ROW()-1,1,0))</f>
        <v/>
      </c>
      <c r="C701" s="0" t="str">
        <f aca="false">IF(B701=1,MAX(C$1:C700)+1,"")</f>
        <v/>
      </c>
    </row>
    <row r="702" customFormat="false" ht="15" hidden="false" customHeight="false" outlineLevel="0" collapsed="false">
      <c r="A702" s="0" t="str">
        <f aca="false">IF(DECKS!B702="","",DECKS!B702)</f>
        <v/>
      </c>
      <c r="B702" s="0" t="str">
        <f aca="false">IF(A702="","",IF(MATCH(A702,$A$2:$A$3201,0)=ROW()-1,1,0))</f>
        <v/>
      </c>
      <c r="C702" s="0" t="str">
        <f aca="false">IF(B702=1,MAX(C$1:C701)+1,"")</f>
        <v/>
      </c>
    </row>
    <row r="703" customFormat="false" ht="15" hidden="false" customHeight="false" outlineLevel="0" collapsed="false">
      <c r="A703" s="0" t="str">
        <f aca="false">IF(DECKS!B703="","",DECKS!B703)</f>
        <v/>
      </c>
      <c r="B703" s="0" t="str">
        <f aca="false">IF(A703="","",IF(MATCH(A703,$A$2:$A$3201,0)=ROW()-1,1,0))</f>
        <v/>
      </c>
      <c r="C703" s="0" t="str">
        <f aca="false">IF(B703=1,MAX(C$1:C702)+1,"")</f>
        <v/>
      </c>
    </row>
    <row r="704" customFormat="false" ht="15" hidden="false" customHeight="false" outlineLevel="0" collapsed="false">
      <c r="A704" s="0" t="str">
        <f aca="false">IF(DECKS!B704="","",DECKS!B704)</f>
        <v/>
      </c>
      <c r="B704" s="0" t="str">
        <f aca="false">IF(A704="","",IF(MATCH(A704,$A$2:$A$3201,0)=ROW()-1,1,0))</f>
        <v/>
      </c>
      <c r="C704" s="0" t="str">
        <f aca="false">IF(B704=1,MAX(C$1:C703)+1,"")</f>
        <v/>
      </c>
    </row>
    <row r="705" customFormat="false" ht="15" hidden="false" customHeight="false" outlineLevel="0" collapsed="false">
      <c r="A705" s="0" t="str">
        <f aca="false">IF(DECKS!B705="","",DECKS!B705)</f>
        <v/>
      </c>
      <c r="B705" s="0" t="str">
        <f aca="false">IF(A705="","",IF(MATCH(A705,$A$2:$A$3201,0)=ROW()-1,1,0))</f>
        <v/>
      </c>
      <c r="C705" s="0" t="str">
        <f aca="false">IF(B705=1,MAX(C$1:C704)+1,"")</f>
        <v/>
      </c>
    </row>
    <row r="706" customFormat="false" ht="15" hidden="false" customHeight="false" outlineLevel="0" collapsed="false">
      <c r="A706" s="0" t="str">
        <f aca="false">IF(DECKS!B706="","",DECKS!B706)</f>
        <v/>
      </c>
      <c r="B706" s="0" t="str">
        <f aca="false">IF(A706="","",IF(MATCH(A706,$A$2:$A$3201,0)=ROW()-1,1,0))</f>
        <v/>
      </c>
      <c r="C706" s="0" t="str">
        <f aca="false">IF(B706=1,MAX(C$1:C705)+1,"")</f>
        <v/>
      </c>
    </row>
    <row r="707" customFormat="false" ht="15" hidden="false" customHeight="false" outlineLevel="0" collapsed="false">
      <c r="A707" s="0" t="str">
        <f aca="false">IF(DECKS!B707="","",DECKS!B707)</f>
        <v/>
      </c>
      <c r="B707" s="0" t="str">
        <f aca="false">IF(A707="","",IF(MATCH(A707,$A$2:$A$3201,0)=ROW()-1,1,0))</f>
        <v/>
      </c>
      <c r="C707" s="0" t="str">
        <f aca="false">IF(B707=1,MAX(C$1:C706)+1,"")</f>
        <v/>
      </c>
    </row>
    <row r="708" customFormat="false" ht="15" hidden="false" customHeight="false" outlineLevel="0" collapsed="false">
      <c r="A708" s="0" t="str">
        <f aca="false">IF(DECKS!B708="","",DECKS!B708)</f>
        <v/>
      </c>
      <c r="B708" s="0" t="str">
        <f aca="false">IF(A708="","",IF(MATCH(A708,$A$2:$A$3201,0)=ROW()-1,1,0))</f>
        <v/>
      </c>
      <c r="C708" s="0" t="str">
        <f aca="false">IF(B708=1,MAX(C$1:C707)+1,"")</f>
        <v/>
      </c>
    </row>
    <row r="709" customFormat="false" ht="15" hidden="false" customHeight="false" outlineLevel="0" collapsed="false">
      <c r="A709" s="0" t="str">
        <f aca="false">IF(DECKS!B709="","",DECKS!B709)</f>
        <v/>
      </c>
      <c r="B709" s="0" t="str">
        <f aca="false">IF(A709="","",IF(MATCH(A709,$A$2:$A$3201,0)=ROW()-1,1,0))</f>
        <v/>
      </c>
      <c r="C709" s="0" t="str">
        <f aca="false">IF(B709=1,MAX(C$1:C708)+1,"")</f>
        <v/>
      </c>
    </row>
    <row r="710" customFormat="false" ht="15" hidden="false" customHeight="false" outlineLevel="0" collapsed="false">
      <c r="A710" s="0" t="str">
        <f aca="false">IF(DECKS!B710="","",DECKS!B710)</f>
        <v/>
      </c>
      <c r="B710" s="0" t="str">
        <f aca="false">IF(A710="","",IF(MATCH(A710,$A$2:$A$3201,0)=ROW()-1,1,0))</f>
        <v/>
      </c>
      <c r="C710" s="0" t="str">
        <f aca="false">IF(B710=1,MAX(C$1:C709)+1,"")</f>
        <v/>
      </c>
    </row>
    <row r="711" customFormat="false" ht="15" hidden="false" customHeight="false" outlineLevel="0" collapsed="false">
      <c r="A711" s="0" t="str">
        <f aca="false">IF(DECKS!B711="","",DECKS!B711)</f>
        <v/>
      </c>
      <c r="B711" s="0" t="str">
        <f aca="false">IF(A711="","",IF(MATCH(A711,$A$2:$A$3201,0)=ROW()-1,1,0))</f>
        <v/>
      </c>
      <c r="C711" s="0" t="str">
        <f aca="false">IF(B711=1,MAX(C$1:C710)+1,"")</f>
        <v/>
      </c>
    </row>
    <row r="712" customFormat="false" ht="15" hidden="false" customHeight="false" outlineLevel="0" collapsed="false">
      <c r="A712" s="0" t="str">
        <f aca="false">IF(DECKS!B712="","",DECKS!B712)</f>
        <v/>
      </c>
      <c r="B712" s="0" t="str">
        <f aca="false">IF(A712="","",IF(MATCH(A712,$A$2:$A$3201,0)=ROW()-1,1,0))</f>
        <v/>
      </c>
      <c r="C712" s="0" t="str">
        <f aca="false">IF(B712=1,MAX(C$1:C711)+1,"")</f>
        <v/>
      </c>
    </row>
    <row r="713" customFormat="false" ht="15" hidden="false" customHeight="false" outlineLevel="0" collapsed="false">
      <c r="A713" s="0" t="str">
        <f aca="false">IF(DECKS!B713="","",DECKS!B713)</f>
        <v/>
      </c>
      <c r="B713" s="0" t="str">
        <f aca="false">IF(A713="","",IF(MATCH(A713,$A$2:$A$3201,0)=ROW()-1,1,0))</f>
        <v/>
      </c>
      <c r="C713" s="0" t="str">
        <f aca="false">IF(B713=1,MAX(C$1:C712)+1,"")</f>
        <v/>
      </c>
    </row>
    <row r="714" customFormat="false" ht="15" hidden="false" customHeight="false" outlineLevel="0" collapsed="false">
      <c r="A714" s="0" t="str">
        <f aca="false">IF(DECKS!B714="","",DECKS!B714)</f>
        <v/>
      </c>
      <c r="B714" s="0" t="str">
        <f aca="false">IF(A714="","",IF(MATCH(A714,$A$2:$A$3201,0)=ROW()-1,1,0))</f>
        <v/>
      </c>
      <c r="C714" s="0" t="str">
        <f aca="false">IF(B714=1,MAX(C$1:C713)+1,"")</f>
        <v/>
      </c>
    </row>
    <row r="715" customFormat="false" ht="15" hidden="false" customHeight="false" outlineLevel="0" collapsed="false">
      <c r="A715" s="0" t="str">
        <f aca="false">IF(DECKS!B715="","",DECKS!B715)</f>
        <v/>
      </c>
      <c r="B715" s="0" t="str">
        <f aca="false">IF(A715="","",IF(MATCH(A715,$A$2:$A$3201,0)=ROW()-1,1,0))</f>
        <v/>
      </c>
      <c r="C715" s="0" t="str">
        <f aca="false">IF(B715=1,MAX(C$1:C714)+1,"")</f>
        <v/>
      </c>
    </row>
    <row r="716" customFormat="false" ht="15" hidden="false" customHeight="false" outlineLevel="0" collapsed="false">
      <c r="A716" s="0" t="str">
        <f aca="false">IF(DECKS!B716="","",DECKS!B716)</f>
        <v/>
      </c>
      <c r="B716" s="0" t="str">
        <f aca="false">IF(A716="","",IF(MATCH(A716,$A$2:$A$3201,0)=ROW()-1,1,0))</f>
        <v/>
      </c>
      <c r="C716" s="0" t="str">
        <f aca="false">IF(B716=1,MAX(C$1:C715)+1,"")</f>
        <v/>
      </c>
    </row>
    <row r="717" customFormat="false" ht="15" hidden="false" customHeight="false" outlineLevel="0" collapsed="false">
      <c r="A717" s="0" t="str">
        <f aca="false">IF(DECKS!B717="","",DECKS!B717)</f>
        <v/>
      </c>
      <c r="B717" s="0" t="str">
        <f aca="false">IF(A717="","",IF(MATCH(A717,$A$2:$A$3201,0)=ROW()-1,1,0))</f>
        <v/>
      </c>
      <c r="C717" s="0" t="str">
        <f aca="false">IF(B717=1,MAX(C$1:C716)+1,"")</f>
        <v/>
      </c>
    </row>
    <row r="718" customFormat="false" ht="15" hidden="false" customHeight="false" outlineLevel="0" collapsed="false">
      <c r="A718" s="0" t="str">
        <f aca="false">IF(DECKS!B718="","",DECKS!B718)</f>
        <v/>
      </c>
      <c r="B718" s="0" t="str">
        <f aca="false">IF(A718="","",IF(MATCH(A718,$A$2:$A$3201,0)=ROW()-1,1,0))</f>
        <v/>
      </c>
      <c r="C718" s="0" t="str">
        <f aca="false">IF(B718=1,MAX(C$1:C717)+1,"")</f>
        <v/>
      </c>
    </row>
    <row r="719" customFormat="false" ht="15" hidden="false" customHeight="false" outlineLevel="0" collapsed="false">
      <c r="A719" s="0" t="str">
        <f aca="false">IF(DECKS!B719="","",DECKS!B719)</f>
        <v/>
      </c>
      <c r="B719" s="0" t="str">
        <f aca="false">IF(A719="","",IF(MATCH(A719,$A$2:$A$3201,0)=ROW()-1,1,0))</f>
        <v/>
      </c>
      <c r="C719" s="0" t="str">
        <f aca="false">IF(B719=1,MAX(C$1:C718)+1,"")</f>
        <v/>
      </c>
    </row>
    <row r="720" customFormat="false" ht="15" hidden="false" customHeight="false" outlineLevel="0" collapsed="false">
      <c r="A720" s="0" t="str">
        <f aca="false">IF(DECKS!B720="","",DECKS!B720)</f>
        <v/>
      </c>
      <c r="B720" s="0" t="str">
        <f aca="false">IF(A720="","",IF(MATCH(A720,$A$2:$A$3201,0)=ROW()-1,1,0))</f>
        <v/>
      </c>
      <c r="C720" s="0" t="str">
        <f aca="false">IF(B720=1,MAX(C$1:C719)+1,"")</f>
        <v/>
      </c>
    </row>
    <row r="721" customFormat="false" ht="15" hidden="false" customHeight="false" outlineLevel="0" collapsed="false">
      <c r="A721" s="0" t="str">
        <f aca="false">IF(DECKS!B721="","",DECKS!B721)</f>
        <v/>
      </c>
      <c r="B721" s="0" t="str">
        <f aca="false">IF(A721="","",IF(MATCH(A721,$A$2:$A$3201,0)=ROW()-1,1,0))</f>
        <v/>
      </c>
      <c r="C721" s="0" t="str">
        <f aca="false">IF(B721=1,MAX(C$1:C720)+1,"")</f>
        <v/>
      </c>
    </row>
    <row r="722" customFormat="false" ht="15" hidden="false" customHeight="false" outlineLevel="0" collapsed="false">
      <c r="A722" s="0" t="str">
        <f aca="false">IF(DECKS!B722="","",DECKS!B722)</f>
        <v/>
      </c>
      <c r="B722" s="0" t="str">
        <f aca="false">IF(A722="","",IF(MATCH(A722,$A$2:$A$3201,0)=ROW()-1,1,0))</f>
        <v/>
      </c>
      <c r="C722" s="0" t="str">
        <f aca="false">IF(B722=1,MAX(C$1:C721)+1,"")</f>
        <v/>
      </c>
    </row>
    <row r="723" customFormat="false" ht="15" hidden="false" customHeight="false" outlineLevel="0" collapsed="false">
      <c r="A723" s="0" t="str">
        <f aca="false">IF(DECKS!B723="","",DECKS!B723)</f>
        <v/>
      </c>
      <c r="B723" s="0" t="str">
        <f aca="false">IF(A723="","",IF(MATCH(A723,$A$2:$A$3201,0)=ROW()-1,1,0))</f>
        <v/>
      </c>
      <c r="C723" s="0" t="str">
        <f aca="false">IF(B723=1,MAX(C$1:C722)+1,"")</f>
        <v/>
      </c>
    </row>
    <row r="724" customFormat="false" ht="15" hidden="false" customHeight="false" outlineLevel="0" collapsed="false">
      <c r="A724" s="0" t="str">
        <f aca="false">IF(DECKS!B724="","",DECKS!B724)</f>
        <v/>
      </c>
      <c r="B724" s="0" t="str">
        <f aca="false">IF(A724="","",IF(MATCH(A724,$A$2:$A$3201,0)=ROW()-1,1,0))</f>
        <v/>
      </c>
      <c r="C724" s="0" t="str">
        <f aca="false">IF(B724=1,MAX(C$1:C723)+1,"")</f>
        <v/>
      </c>
    </row>
    <row r="725" customFormat="false" ht="15" hidden="false" customHeight="false" outlineLevel="0" collapsed="false">
      <c r="A725" s="0" t="str">
        <f aca="false">IF(DECKS!B725="","",DECKS!B725)</f>
        <v/>
      </c>
      <c r="B725" s="0" t="str">
        <f aca="false">IF(A725="","",IF(MATCH(A725,$A$2:$A$3201,0)=ROW()-1,1,0))</f>
        <v/>
      </c>
      <c r="C725" s="0" t="str">
        <f aca="false">IF(B725=1,MAX(C$1:C724)+1,"")</f>
        <v/>
      </c>
    </row>
    <row r="726" customFormat="false" ht="15" hidden="false" customHeight="false" outlineLevel="0" collapsed="false">
      <c r="A726" s="0" t="str">
        <f aca="false">IF(DECKS!B726="","",DECKS!B726)</f>
        <v/>
      </c>
      <c r="B726" s="0" t="str">
        <f aca="false">IF(A726="","",IF(MATCH(A726,$A$2:$A$3201,0)=ROW()-1,1,0))</f>
        <v/>
      </c>
      <c r="C726" s="0" t="str">
        <f aca="false">IF(B726=1,MAX(C$1:C725)+1,"")</f>
        <v/>
      </c>
    </row>
    <row r="727" customFormat="false" ht="15" hidden="false" customHeight="false" outlineLevel="0" collapsed="false">
      <c r="A727" s="0" t="str">
        <f aca="false">IF(DECKS!B727="","",DECKS!B727)</f>
        <v/>
      </c>
      <c r="B727" s="0" t="str">
        <f aca="false">IF(A727="","",IF(MATCH(A727,$A$2:$A$3201,0)=ROW()-1,1,0))</f>
        <v/>
      </c>
      <c r="C727" s="0" t="str">
        <f aca="false">IF(B727=1,MAX(C$1:C726)+1,"")</f>
        <v/>
      </c>
    </row>
    <row r="728" customFormat="false" ht="15" hidden="false" customHeight="false" outlineLevel="0" collapsed="false">
      <c r="A728" s="0" t="str">
        <f aca="false">IF(DECKS!B728="","",DECKS!B728)</f>
        <v/>
      </c>
      <c r="B728" s="0" t="str">
        <f aca="false">IF(A728="","",IF(MATCH(A728,$A$2:$A$3201,0)=ROW()-1,1,0))</f>
        <v/>
      </c>
      <c r="C728" s="0" t="str">
        <f aca="false">IF(B728=1,MAX(C$1:C727)+1,"")</f>
        <v/>
      </c>
    </row>
    <row r="729" customFormat="false" ht="15" hidden="false" customHeight="false" outlineLevel="0" collapsed="false">
      <c r="A729" s="0" t="str">
        <f aca="false">IF(DECKS!B729="","",DECKS!B729)</f>
        <v/>
      </c>
      <c r="B729" s="0" t="str">
        <f aca="false">IF(A729="","",IF(MATCH(A729,$A$2:$A$3201,0)=ROW()-1,1,0))</f>
        <v/>
      </c>
      <c r="C729" s="0" t="str">
        <f aca="false">IF(B729=1,MAX(C$1:C728)+1,"")</f>
        <v/>
      </c>
    </row>
    <row r="730" customFormat="false" ht="15" hidden="false" customHeight="false" outlineLevel="0" collapsed="false">
      <c r="A730" s="0" t="str">
        <f aca="false">IF(DECKS!B730="","",DECKS!B730)</f>
        <v/>
      </c>
      <c r="B730" s="0" t="str">
        <f aca="false">IF(A730="","",IF(MATCH(A730,$A$2:$A$3201,0)=ROW()-1,1,0))</f>
        <v/>
      </c>
      <c r="C730" s="0" t="str">
        <f aca="false">IF(B730=1,MAX(C$1:C729)+1,"")</f>
        <v/>
      </c>
    </row>
    <row r="731" customFormat="false" ht="15" hidden="false" customHeight="false" outlineLevel="0" collapsed="false">
      <c r="A731" s="0" t="str">
        <f aca="false">IF(DECKS!B731="","",DECKS!B731)</f>
        <v/>
      </c>
      <c r="B731" s="0" t="str">
        <f aca="false">IF(A731="","",IF(MATCH(A731,$A$2:$A$3201,0)=ROW()-1,1,0))</f>
        <v/>
      </c>
      <c r="C731" s="0" t="str">
        <f aca="false">IF(B731=1,MAX(C$1:C730)+1,"")</f>
        <v/>
      </c>
    </row>
    <row r="732" customFormat="false" ht="15" hidden="false" customHeight="false" outlineLevel="0" collapsed="false">
      <c r="A732" s="0" t="str">
        <f aca="false">IF(DECKS!B732="","",DECKS!B732)</f>
        <v/>
      </c>
      <c r="B732" s="0" t="str">
        <f aca="false">IF(A732="","",IF(MATCH(A732,$A$2:$A$3201,0)=ROW()-1,1,0))</f>
        <v/>
      </c>
      <c r="C732" s="0" t="str">
        <f aca="false">IF(B732=1,MAX(C$1:C731)+1,"")</f>
        <v/>
      </c>
    </row>
    <row r="733" customFormat="false" ht="15" hidden="false" customHeight="false" outlineLevel="0" collapsed="false">
      <c r="A733" s="0" t="str">
        <f aca="false">IF(DECKS!B733="","",DECKS!B733)</f>
        <v/>
      </c>
      <c r="B733" s="0" t="str">
        <f aca="false">IF(A733="","",IF(MATCH(A733,$A$2:$A$3201,0)=ROW()-1,1,0))</f>
        <v/>
      </c>
      <c r="C733" s="0" t="str">
        <f aca="false">IF(B733=1,MAX(C$1:C732)+1,"")</f>
        <v/>
      </c>
    </row>
    <row r="734" customFormat="false" ht="15" hidden="false" customHeight="false" outlineLevel="0" collapsed="false">
      <c r="A734" s="0" t="str">
        <f aca="false">IF(DECKS!B734="","",DECKS!B734)</f>
        <v/>
      </c>
      <c r="B734" s="0" t="str">
        <f aca="false">IF(A734="","",IF(MATCH(A734,$A$2:$A$3201,0)=ROW()-1,1,0))</f>
        <v/>
      </c>
      <c r="C734" s="0" t="str">
        <f aca="false">IF(B734=1,MAX(C$1:C733)+1,"")</f>
        <v/>
      </c>
    </row>
    <row r="735" customFormat="false" ht="15" hidden="false" customHeight="false" outlineLevel="0" collapsed="false">
      <c r="A735" s="0" t="str">
        <f aca="false">IF(DECKS!B735="","",DECKS!B735)</f>
        <v/>
      </c>
      <c r="B735" s="0" t="str">
        <f aca="false">IF(A735="","",IF(MATCH(A735,$A$2:$A$3201,0)=ROW()-1,1,0))</f>
        <v/>
      </c>
      <c r="C735" s="0" t="str">
        <f aca="false">IF(B735=1,MAX(C$1:C734)+1,"")</f>
        <v/>
      </c>
    </row>
    <row r="736" customFormat="false" ht="15" hidden="false" customHeight="false" outlineLevel="0" collapsed="false">
      <c r="A736" s="0" t="str">
        <f aca="false">IF(DECKS!B736="","",DECKS!B736)</f>
        <v/>
      </c>
      <c r="B736" s="0" t="str">
        <f aca="false">IF(A736="","",IF(MATCH(A736,$A$2:$A$3201,0)=ROW()-1,1,0))</f>
        <v/>
      </c>
      <c r="C736" s="0" t="str">
        <f aca="false">IF(B736=1,MAX(C$1:C735)+1,"")</f>
        <v/>
      </c>
    </row>
    <row r="737" customFormat="false" ht="15" hidden="false" customHeight="false" outlineLevel="0" collapsed="false">
      <c r="A737" s="0" t="str">
        <f aca="false">IF(DECKS!B737="","",DECKS!B737)</f>
        <v/>
      </c>
      <c r="B737" s="0" t="str">
        <f aca="false">IF(A737="","",IF(MATCH(A737,$A$2:$A$3201,0)=ROW()-1,1,0))</f>
        <v/>
      </c>
      <c r="C737" s="0" t="str">
        <f aca="false">IF(B737=1,MAX(C$1:C736)+1,"")</f>
        <v/>
      </c>
    </row>
    <row r="738" customFormat="false" ht="15" hidden="false" customHeight="false" outlineLevel="0" collapsed="false">
      <c r="A738" s="0" t="str">
        <f aca="false">IF(DECKS!B738="","",DECKS!B738)</f>
        <v/>
      </c>
      <c r="B738" s="0" t="str">
        <f aca="false">IF(A738="","",IF(MATCH(A738,$A$2:$A$3201,0)=ROW()-1,1,0))</f>
        <v/>
      </c>
      <c r="C738" s="0" t="str">
        <f aca="false">IF(B738=1,MAX(C$1:C737)+1,"")</f>
        <v/>
      </c>
    </row>
    <row r="739" customFormat="false" ht="15" hidden="false" customHeight="false" outlineLevel="0" collapsed="false">
      <c r="A739" s="0" t="str">
        <f aca="false">IF(DECKS!B739="","",DECKS!B739)</f>
        <v/>
      </c>
      <c r="B739" s="0" t="str">
        <f aca="false">IF(A739="","",IF(MATCH(A739,$A$2:$A$3201,0)=ROW()-1,1,0))</f>
        <v/>
      </c>
      <c r="C739" s="0" t="str">
        <f aca="false">IF(B739=1,MAX(C$1:C738)+1,"")</f>
        <v/>
      </c>
    </row>
    <row r="740" customFormat="false" ht="15" hidden="false" customHeight="false" outlineLevel="0" collapsed="false">
      <c r="A740" s="0" t="str">
        <f aca="false">IF(DECKS!B740="","",DECKS!B740)</f>
        <v/>
      </c>
      <c r="B740" s="0" t="str">
        <f aca="false">IF(A740="","",IF(MATCH(A740,$A$2:$A$3201,0)=ROW()-1,1,0))</f>
        <v/>
      </c>
      <c r="C740" s="0" t="str">
        <f aca="false">IF(B740=1,MAX(C$1:C739)+1,"")</f>
        <v/>
      </c>
    </row>
    <row r="741" customFormat="false" ht="15" hidden="false" customHeight="false" outlineLevel="0" collapsed="false">
      <c r="A741" s="0" t="str">
        <f aca="false">IF(DECKS!B741="","",DECKS!B741)</f>
        <v/>
      </c>
      <c r="B741" s="0" t="str">
        <f aca="false">IF(A741="","",IF(MATCH(A741,$A$2:$A$3201,0)=ROW()-1,1,0))</f>
        <v/>
      </c>
      <c r="C741" s="0" t="str">
        <f aca="false">IF(B741=1,MAX(C$1:C740)+1,"")</f>
        <v/>
      </c>
    </row>
    <row r="742" customFormat="false" ht="15" hidden="false" customHeight="false" outlineLevel="0" collapsed="false">
      <c r="A742" s="0" t="str">
        <f aca="false">IF(DECKS!B742="","",DECKS!B742)</f>
        <v/>
      </c>
      <c r="B742" s="0" t="str">
        <f aca="false">IF(A742="","",IF(MATCH(A742,$A$2:$A$3201,0)=ROW()-1,1,0))</f>
        <v/>
      </c>
      <c r="C742" s="0" t="str">
        <f aca="false">IF(B742=1,MAX(C$1:C741)+1,"")</f>
        <v/>
      </c>
    </row>
    <row r="743" customFormat="false" ht="15" hidden="false" customHeight="false" outlineLevel="0" collapsed="false">
      <c r="A743" s="0" t="str">
        <f aca="false">IF(DECKS!B743="","",DECKS!B743)</f>
        <v/>
      </c>
      <c r="B743" s="0" t="str">
        <f aca="false">IF(A743="","",IF(MATCH(A743,$A$2:$A$3201,0)=ROW()-1,1,0))</f>
        <v/>
      </c>
      <c r="C743" s="0" t="str">
        <f aca="false">IF(B743=1,MAX(C$1:C742)+1,"")</f>
        <v/>
      </c>
    </row>
    <row r="744" customFormat="false" ht="15" hidden="false" customHeight="false" outlineLevel="0" collapsed="false">
      <c r="A744" s="0" t="str">
        <f aca="false">IF(DECKS!B744="","",DECKS!B744)</f>
        <v/>
      </c>
      <c r="B744" s="0" t="str">
        <f aca="false">IF(A744="","",IF(MATCH(A744,$A$2:$A$3201,0)=ROW()-1,1,0))</f>
        <v/>
      </c>
      <c r="C744" s="0" t="str">
        <f aca="false">IF(B744=1,MAX(C$1:C743)+1,"")</f>
        <v/>
      </c>
    </row>
    <row r="745" customFormat="false" ht="15" hidden="false" customHeight="false" outlineLevel="0" collapsed="false">
      <c r="A745" s="0" t="str">
        <f aca="false">IF(DECKS!B745="","",DECKS!B745)</f>
        <v/>
      </c>
      <c r="B745" s="0" t="str">
        <f aca="false">IF(A745="","",IF(MATCH(A745,$A$2:$A$3201,0)=ROW()-1,1,0))</f>
        <v/>
      </c>
      <c r="C745" s="0" t="str">
        <f aca="false">IF(B745=1,MAX(C$1:C744)+1,"")</f>
        <v/>
      </c>
    </row>
    <row r="746" customFormat="false" ht="15" hidden="false" customHeight="false" outlineLevel="0" collapsed="false">
      <c r="A746" s="0" t="str">
        <f aca="false">IF(DECKS!B746="","",DECKS!B746)</f>
        <v/>
      </c>
      <c r="B746" s="0" t="str">
        <f aca="false">IF(A746="","",IF(MATCH(A746,$A$2:$A$3201,0)=ROW()-1,1,0))</f>
        <v/>
      </c>
      <c r="C746" s="0" t="str">
        <f aca="false">IF(B746=1,MAX(C$1:C745)+1,"")</f>
        <v/>
      </c>
    </row>
    <row r="747" customFormat="false" ht="15" hidden="false" customHeight="false" outlineLevel="0" collapsed="false">
      <c r="A747" s="0" t="str">
        <f aca="false">IF(DECKS!B747="","",DECKS!B747)</f>
        <v/>
      </c>
      <c r="B747" s="0" t="str">
        <f aca="false">IF(A747="","",IF(MATCH(A747,$A$2:$A$3201,0)=ROW()-1,1,0))</f>
        <v/>
      </c>
      <c r="C747" s="0" t="str">
        <f aca="false">IF(B747=1,MAX(C$1:C746)+1,"")</f>
        <v/>
      </c>
    </row>
    <row r="748" customFormat="false" ht="15" hidden="false" customHeight="false" outlineLevel="0" collapsed="false">
      <c r="A748" s="0" t="str">
        <f aca="false">IF(DECKS!B748="","",DECKS!B748)</f>
        <v/>
      </c>
      <c r="B748" s="0" t="str">
        <f aca="false">IF(A748="","",IF(MATCH(A748,$A$2:$A$3201,0)=ROW()-1,1,0))</f>
        <v/>
      </c>
      <c r="C748" s="0" t="str">
        <f aca="false">IF(B748=1,MAX(C$1:C747)+1,"")</f>
        <v/>
      </c>
    </row>
    <row r="749" customFormat="false" ht="15" hidden="false" customHeight="false" outlineLevel="0" collapsed="false">
      <c r="A749" s="0" t="str">
        <f aca="false">IF(DECKS!B749="","",DECKS!B749)</f>
        <v/>
      </c>
      <c r="B749" s="0" t="str">
        <f aca="false">IF(A749="","",IF(MATCH(A749,$A$2:$A$3201,0)=ROW()-1,1,0))</f>
        <v/>
      </c>
      <c r="C749" s="0" t="str">
        <f aca="false">IF(B749=1,MAX(C$1:C748)+1,"")</f>
        <v/>
      </c>
    </row>
    <row r="750" customFormat="false" ht="15" hidden="false" customHeight="false" outlineLevel="0" collapsed="false">
      <c r="A750" s="0" t="str">
        <f aca="false">IF(DECKS!B750="","",DECKS!B750)</f>
        <v/>
      </c>
      <c r="B750" s="0" t="str">
        <f aca="false">IF(A750="","",IF(MATCH(A750,$A$2:$A$3201,0)=ROW()-1,1,0))</f>
        <v/>
      </c>
      <c r="C750" s="0" t="str">
        <f aca="false">IF(B750=1,MAX(C$1:C749)+1,"")</f>
        <v/>
      </c>
    </row>
    <row r="751" customFormat="false" ht="15" hidden="false" customHeight="false" outlineLevel="0" collapsed="false">
      <c r="A751" s="0" t="str">
        <f aca="false">IF(DECKS!B751="","",DECKS!B751)</f>
        <v/>
      </c>
      <c r="B751" s="0" t="str">
        <f aca="false">IF(A751="","",IF(MATCH(A751,$A$2:$A$3201,0)=ROW()-1,1,0))</f>
        <v/>
      </c>
      <c r="C751" s="0" t="str">
        <f aca="false">IF(B751=1,MAX(C$1:C750)+1,"")</f>
        <v/>
      </c>
    </row>
    <row r="752" customFormat="false" ht="15" hidden="false" customHeight="false" outlineLevel="0" collapsed="false">
      <c r="A752" s="0" t="str">
        <f aca="false">IF(DECKS!B752="","",DECKS!B752)</f>
        <v/>
      </c>
      <c r="B752" s="0" t="str">
        <f aca="false">IF(A752="","",IF(MATCH(A752,$A$2:$A$3201,0)=ROW()-1,1,0))</f>
        <v/>
      </c>
      <c r="C752" s="0" t="str">
        <f aca="false">IF(B752=1,MAX(C$1:C751)+1,"")</f>
        <v/>
      </c>
    </row>
    <row r="753" customFormat="false" ht="15" hidden="false" customHeight="false" outlineLevel="0" collapsed="false">
      <c r="A753" s="0" t="str">
        <f aca="false">IF(DECKS!B753="","",DECKS!B753)</f>
        <v/>
      </c>
      <c r="B753" s="0" t="str">
        <f aca="false">IF(A753="","",IF(MATCH(A753,$A$2:$A$3201,0)=ROW()-1,1,0))</f>
        <v/>
      </c>
      <c r="C753" s="0" t="str">
        <f aca="false">IF(B753=1,MAX(C$1:C752)+1,"")</f>
        <v/>
      </c>
    </row>
    <row r="754" customFormat="false" ht="15" hidden="false" customHeight="false" outlineLevel="0" collapsed="false">
      <c r="A754" s="0" t="str">
        <f aca="false">IF(DECKS!B754="","",DECKS!B754)</f>
        <v/>
      </c>
      <c r="B754" s="0" t="str">
        <f aca="false">IF(A754="","",IF(MATCH(A754,$A$2:$A$3201,0)=ROW()-1,1,0))</f>
        <v/>
      </c>
      <c r="C754" s="0" t="str">
        <f aca="false">IF(B754=1,MAX(C$1:C753)+1,"")</f>
        <v/>
      </c>
    </row>
    <row r="755" customFormat="false" ht="15" hidden="false" customHeight="false" outlineLevel="0" collapsed="false">
      <c r="A755" s="0" t="str">
        <f aca="false">IF(DECKS!B755="","",DECKS!B755)</f>
        <v/>
      </c>
      <c r="B755" s="0" t="str">
        <f aca="false">IF(A755="","",IF(MATCH(A755,$A$2:$A$3201,0)=ROW()-1,1,0))</f>
        <v/>
      </c>
      <c r="C755" s="0" t="str">
        <f aca="false">IF(B755=1,MAX(C$1:C754)+1,"")</f>
        <v/>
      </c>
    </row>
    <row r="756" customFormat="false" ht="15" hidden="false" customHeight="false" outlineLevel="0" collapsed="false">
      <c r="A756" s="0" t="str">
        <f aca="false">IF(DECKS!B756="","",DECKS!B756)</f>
        <v/>
      </c>
      <c r="B756" s="0" t="str">
        <f aca="false">IF(A756="","",IF(MATCH(A756,$A$2:$A$3201,0)=ROW()-1,1,0))</f>
        <v/>
      </c>
      <c r="C756" s="0" t="str">
        <f aca="false">IF(B756=1,MAX(C$1:C755)+1,"")</f>
        <v/>
      </c>
    </row>
    <row r="757" customFormat="false" ht="15" hidden="false" customHeight="false" outlineLevel="0" collapsed="false">
      <c r="A757" s="0" t="str">
        <f aca="false">IF(DECKS!B757="","",DECKS!B757)</f>
        <v/>
      </c>
      <c r="B757" s="0" t="str">
        <f aca="false">IF(A757="","",IF(MATCH(A757,$A$2:$A$3201,0)=ROW()-1,1,0))</f>
        <v/>
      </c>
      <c r="C757" s="0" t="str">
        <f aca="false">IF(B757=1,MAX(C$1:C756)+1,"")</f>
        <v/>
      </c>
    </row>
    <row r="758" customFormat="false" ht="15" hidden="false" customHeight="false" outlineLevel="0" collapsed="false">
      <c r="A758" s="0" t="str">
        <f aca="false">IF(DECKS!B758="","",DECKS!B758)</f>
        <v/>
      </c>
      <c r="B758" s="0" t="str">
        <f aca="false">IF(A758="","",IF(MATCH(A758,$A$2:$A$3201,0)=ROW()-1,1,0))</f>
        <v/>
      </c>
      <c r="C758" s="0" t="str">
        <f aca="false">IF(B758=1,MAX(C$1:C757)+1,"")</f>
        <v/>
      </c>
    </row>
    <row r="759" customFormat="false" ht="15" hidden="false" customHeight="false" outlineLevel="0" collapsed="false">
      <c r="A759" s="0" t="str">
        <f aca="false">IF(DECKS!B759="","",DECKS!B759)</f>
        <v/>
      </c>
      <c r="B759" s="0" t="str">
        <f aca="false">IF(A759="","",IF(MATCH(A759,$A$2:$A$3201,0)=ROW()-1,1,0))</f>
        <v/>
      </c>
      <c r="C759" s="0" t="str">
        <f aca="false">IF(B759=1,MAX(C$1:C758)+1,"")</f>
        <v/>
      </c>
    </row>
    <row r="760" customFormat="false" ht="15" hidden="false" customHeight="false" outlineLevel="0" collapsed="false">
      <c r="A760" s="0" t="str">
        <f aca="false">IF(DECKS!B760="","",DECKS!B760)</f>
        <v/>
      </c>
      <c r="B760" s="0" t="str">
        <f aca="false">IF(A760="","",IF(MATCH(A760,$A$2:$A$3201,0)=ROW()-1,1,0))</f>
        <v/>
      </c>
      <c r="C760" s="0" t="str">
        <f aca="false">IF(B760=1,MAX(C$1:C759)+1,"")</f>
        <v/>
      </c>
    </row>
    <row r="761" customFormat="false" ht="15" hidden="false" customHeight="false" outlineLevel="0" collapsed="false">
      <c r="A761" s="0" t="str">
        <f aca="false">IF(DECKS!B761="","",DECKS!B761)</f>
        <v/>
      </c>
      <c r="B761" s="0" t="str">
        <f aca="false">IF(A761="","",IF(MATCH(A761,$A$2:$A$3201,0)=ROW()-1,1,0))</f>
        <v/>
      </c>
      <c r="C761" s="0" t="str">
        <f aca="false">IF(B761=1,MAX(C$1:C760)+1,"")</f>
        <v/>
      </c>
    </row>
    <row r="762" customFormat="false" ht="15" hidden="false" customHeight="false" outlineLevel="0" collapsed="false">
      <c r="A762" s="0" t="str">
        <f aca="false">IF(DECKS!B762="","",DECKS!B762)</f>
        <v/>
      </c>
      <c r="B762" s="0" t="str">
        <f aca="false">IF(A762="","",IF(MATCH(A762,$A$2:$A$3201,0)=ROW()-1,1,0))</f>
        <v/>
      </c>
      <c r="C762" s="0" t="str">
        <f aca="false">IF(B762=1,MAX(C$1:C761)+1,"")</f>
        <v/>
      </c>
    </row>
    <row r="763" customFormat="false" ht="15" hidden="false" customHeight="false" outlineLevel="0" collapsed="false">
      <c r="A763" s="0" t="str">
        <f aca="false">IF(DECKS!B763="","",DECKS!B763)</f>
        <v/>
      </c>
      <c r="B763" s="0" t="str">
        <f aca="false">IF(A763="","",IF(MATCH(A763,$A$2:$A$3201,0)=ROW()-1,1,0))</f>
        <v/>
      </c>
      <c r="C763" s="0" t="str">
        <f aca="false">IF(B763=1,MAX(C$1:C762)+1,"")</f>
        <v/>
      </c>
    </row>
    <row r="764" customFormat="false" ht="15" hidden="false" customHeight="false" outlineLevel="0" collapsed="false">
      <c r="A764" s="0" t="str">
        <f aca="false">IF(DECKS!B764="","",DECKS!B764)</f>
        <v/>
      </c>
      <c r="B764" s="0" t="str">
        <f aca="false">IF(A764="","",IF(MATCH(A764,$A$2:$A$3201,0)=ROW()-1,1,0))</f>
        <v/>
      </c>
      <c r="C764" s="0" t="str">
        <f aca="false">IF(B764=1,MAX(C$1:C763)+1,"")</f>
        <v/>
      </c>
    </row>
    <row r="765" customFormat="false" ht="15" hidden="false" customHeight="false" outlineLevel="0" collapsed="false">
      <c r="A765" s="0" t="str">
        <f aca="false">IF(DECKS!B765="","",DECKS!B765)</f>
        <v/>
      </c>
      <c r="B765" s="0" t="str">
        <f aca="false">IF(A765="","",IF(MATCH(A765,$A$2:$A$3201,0)=ROW()-1,1,0))</f>
        <v/>
      </c>
      <c r="C765" s="0" t="str">
        <f aca="false">IF(B765=1,MAX(C$1:C764)+1,"")</f>
        <v/>
      </c>
    </row>
    <row r="766" customFormat="false" ht="15" hidden="false" customHeight="false" outlineLevel="0" collapsed="false">
      <c r="A766" s="0" t="str">
        <f aca="false">IF(DECKS!B766="","",DECKS!B766)</f>
        <v/>
      </c>
      <c r="B766" s="0" t="str">
        <f aca="false">IF(A766="","",IF(MATCH(A766,$A$2:$A$3201,0)=ROW()-1,1,0))</f>
        <v/>
      </c>
      <c r="C766" s="0" t="str">
        <f aca="false">IF(B766=1,MAX(C$1:C765)+1,"")</f>
        <v/>
      </c>
    </row>
    <row r="767" customFormat="false" ht="15" hidden="false" customHeight="false" outlineLevel="0" collapsed="false">
      <c r="A767" s="0" t="str">
        <f aca="false">IF(DECKS!B767="","",DECKS!B767)</f>
        <v/>
      </c>
      <c r="B767" s="0" t="str">
        <f aca="false">IF(A767="","",IF(MATCH(A767,$A$2:$A$3201,0)=ROW()-1,1,0))</f>
        <v/>
      </c>
      <c r="C767" s="0" t="str">
        <f aca="false">IF(B767=1,MAX(C$1:C766)+1,"")</f>
        <v/>
      </c>
    </row>
    <row r="768" customFormat="false" ht="15" hidden="false" customHeight="false" outlineLevel="0" collapsed="false">
      <c r="A768" s="0" t="str">
        <f aca="false">IF(DECKS!B768="","",DECKS!B768)</f>
        <v/>
      </c>
      <c r="B768" s="0" t="str">
        <f aca="false">IF(A768="","",IF(MATCH(A768,$A$2:$A$3201,0)=ROW()-1,1,0))</f>
        <v/>
      </c>
      <c r="C768" s="0" t="str">
        <f aca="false">IF(B768=1,MAX(C$1:C767)+1,"")</f>
        <v/>
      </c>
    </row>
    <row r="769" customFormat="false" ht="15" hidden="false" customHeight="false" outlineLevel="0" collapsed="false">
      <c r="A769" s="0" t="str">
        <f aca="false">IF(DECKS!B769="","",DECKS!B769)</f>
        <v/>
      </c>
      <c r="B769" s="0" t="str">
        <f aca="false">IF(A769="","",IF(MATCH(A769,$A$2:$A$3201,0)=ROW()-1,1,0))</f>
        <v/>
      </c>
      <c r="C769" s="0" t="str">
        <f aca="false">IF(B769=1,MAX(C$1:C768)+1,"")</f>
        <v/>
      </c>
    </row>
    <row r="770" customFormat="false" ht="15" hidden="false" customHeight="false" outlineLevel="0" collapsed="false">
      <c r="A770" s="0" t="str">
        <f aca="false">IF(DECKS!B770="","",DECKS!B770)</f>
        <v/>
      </c>
      <c r="B770" s="0" t="str">
        <f aca="false">IF(A770="","",IF(MATCH(A770,$A$2:$A$3201,0)=ROW()-1,1,0))</f>
        <v/>
      </c>
      <c r="C770" s="0" t="str">
        <f aca="false">IF(B770=1,MAX(C$1:C769)+1,"")</f>
        <v/>
      </c>
    </row>
    <row r="771" customFormat="false" ht="15" hidden="false" customHeight="false" outlineLevel="0" collapsed="false">
      <c r="A771" s="0" t="str">
        <f aca="false">IF(DECKS!B771="","",DECKS!B771)</f>
        <v/>
      </c>
      <c r="B771" s="0" t="str">
        <f aca="false">IF(A771="","",IF(MATCH(A771,$A$2:$A$3201,0)=ROW()-1,1,0))</f>
        <v/>
      </c>
      <c r="C771" s="0" t="str">
        <f aca="false">IF(B771=1,MAX(C$1:C770)+1,"")</f>
        <v/>
      </c>
    </row>
    <row r="772" customFormat="false" ht="15" hidden="false" customHeight="false" outlineLevel="0" collapsed="false">
      <c r="A772" s="0" t="str">
        <f aca="false">IF(DECKS!B772="","",DECKS!B772)</f>
        <v/>
      </c>
      <c r="B772" s="0" t="str">
        <f aca="false">IF(A772="","",IF(MATCH(A772,$A$2:$A$3201,0)=ROW()-1,1,0))</f>
        <v/>
      </c>
      <c r="C772" s="0" t="str">
        <f aca="false">IF(B772=1,MAX(C$1:C771)+1,"")</f>
        <v/>
      </c>
    </row>
    <row r="773" customFormat="false" ht="15" hidden="false" customHeight="false" outlineLevel="0" collapsed="false">
      <c r="A773" s="0" t="str">
        <f aca="false">IF(DECKS!B773="","",DECKS!B773)</f>
        <v/>
      </c>
      <c r="B773" s="0" t="str">
        <f aca="false">IF(A773="","",IF(MATCH(A773,$A$2:$A$3201,0)=ROW()-1,1,0))</f>
        <v/>
      </c>
      <c r="C773" s="0" t="str">
        <f aca="false">IF(B773=1,MAX(C$1:C772)+1,"")</f>
        <v/>
      </c>
    </row>
    <row r="774" customFormat="false" ht="15" hidden="false" customHeight="false" outlineLevel="0" collapsed="false">
      <c r="A774" s="0" t="str">
        <f aca="false">IF(DECKS!B774="","",DECKS!B774)</f>
        <v/>
      </c>
      <c r="B774" s="0" t="str">
        <f aca="false">IF(A774="","",IF(MATCH(A774,$A$2:$A$3201,0)=ROW()-1,1,0))</f>
        <v/>
      </c>
      <c r="C774" s="0" t="str">
        <f aca="false">IF(B774=1,MAX(C$1:C773)+1,"")</f>
        <v/>
      </c>
    </row>
    <row r="775" customFormat="false" ht="15" hidden="false" customHeight="false" outlineLevel="0" collapsed="false">
      <c r="A775" s="0" t="str">
        <f aca="false">IF(DECKS!B775="","",DECKS!B775)</f>
        <v/>
      </c>
      <c r="B775" s="0" t="str">
        <f aca="false">IF(A775="","",IF(MATCH(A775,$A$2:$A$3201,0)=ROW()-1,1,0))</f>
        <v/>
      </c>
      <c r="C775" s="0" t="str">
        <f aca="false">IF(B775=1,MAX(C$1:C774)+1,"")</f>
        <v/>
      </c>
    </row>
    <row r="776" customFormat="false" ht="15" hidden="false" customHeight="false" outlineLevel="0" collapsed="false">
      <c r="A776" s="0" t="str">
        <f aca="false">IF(DECKS!B776="","",DECKS!B776)</f>
        <v/>
      </c>
      <c r="B776" s="0" t="str">
        <f aca="false">IF(A776="","",IF(MATCH(A776,$A$2:$A$3201,0)=ROW()-1,1,0))</f>
        <v/>
      </c>
      <c r="C776" s="0" t="str">
        <f aca="false">IF(B776=1,MAX(C$1:C775)+1,"")</f>
        <v/>
      </c>
    </row>
    <row r="777" customFormat="false" ht="15" hidden="false" customHeight="false" outlineLevel="0" collapsed="false">
      <c r="A777" s="0" t="str">
        <f aca="false">IF(DECKS!B777="","",DECKS!B777)</f>
        <v/>
      </c>
      <c r="B777" s="0" t="str">
        <f aca="false">IF(A777="","",IF(MATCH(A777,$A$2:$A$3201,0)=ROW()-1,1,0))</f>
        <v/>
      </c>
      <c r="C777" s="0" t="str">
        <f aca="false">IF(B777=1,MAX(C$1:C776)+1,"")</f>
        <v/>
      </c>
    </row>
    <row r="778" customFormat="false" ht="15" hidden="false" customHeight="false" outlineLevel="0" collapsed="false">
      <c r="A778" s="0" t="str">
        <f aca="false">IF(DECKS!B778="","",DECKS!B778)</f>
        <v/>
      </c>
      <c r="B778" s="0" t="str">
        <f aca="false">IF(A778="","",IF(MATCH(A778,$A$2:$A$3201,0)=ROW()-1,1,0))</f>
        <v/>
      </c>
      <c r="C778" s="0" t="str">
        <f aca="false">IF(B778=1,MAX(C$1:C777)+1,"")</f>
        <v/>
      </c>
    </row>
    <row r="779" customFormat="false" ht="15" hidden="false" customHeight="false" outlineLevel="0" collapsed="false">
      <c r="A779" s="0" t="str">
        <f aca="false">IF(DECKS!B779="","",DECKS!B779)</f>
        <v/>
      </c>
      <c r="B779" s="0" t="str">
        <f aca="false">IF(A779="","",IF(MATCH(A779,$A$2:$A$3201,0)=ROW()-1,1,0))</f>
        <v/>
      </c>
      <c r="C779" s="0" t="str">
        <f aca="false">IF(B779=1,MAX(C$1:C778)+1,"")</f>
        <v/>
      </c>
    </row>
    <row r="780" customFormat="false" ht="15" hidden="false" customHeight="false" outlineLevel="0" collapsed="false">
      <c r="A780" s="0" t="str">
        <f aca="false">IF(DECKS!B780="","",DECKS!B780)</f>
        <v/>
      </c>
      <c r="B780" s="0" t="str">
        <f aca="false">IF(A780="","",IF(MATCH(A780,$A$2:$A$3201,0)=ROW()-1,1,0))</f>
        <v/>
      </c>
      <c r="C780" s="0" t="str">
        <f aca="false">IF(B780=1,MAX(C$1:C779)+1,"")</f>
        <v/>
      </c>
    </row>
    <row r="781" customFormat="false" ht="15" hidden="false" customHeight="false" outlineLevel="0" collapsed="false">
      <c r="A781" s="0" t="str">
        <f aca="false">IF(DECKS!B781="","",DECKS!B781)</f>
        <v/>
      </c>
      <c r="B781" s="0" t="str">
        <f aca="false">IF(A781="","",IF(MATCH(A781,$A$2:$A$3201,0)=ROW()-1,1,0))</f>
        <v/>
      </c>
      <c r="C781" s="0" t="str">
        <f aca="false">IF(B781=1,MAX(C$1:C780)+1,"")</f>
        <v/>
      </c>
    </row>
    <row r="782" customFormat="false" ht="15" hidden="false" customHeight="false" outlineLevel="0" collapsed="false">
      <c r="A782" s="0" t="str">
        <f aca="false">IF(DECKS!B782="","",DECKS!B782)</f>
        <v/>
      </c>
      <c r="B782" s="0" t="str">
        <f aca="false">IF(A782="","",IF(MATCH(A782,$A$2:$A$3201,0)=ROW()-1,1,0))</f>
        <v/>
      </c>
      <c r="C782" s="0" t="str">
        <f aca="false">IF(B782=1,MAX(C$1:C781)+1,"")</f>
        <v/>
      </c>
    </row>
    <row r="783" customFormat="false" ht="15" hidden="false" customHeight="false" outlineLevel="0" collapsed="false">
      <c r="A783" s="0" t="str">
        <f aca="false">IF(DECKS!B783="","",DECKS!B783)</f>
        <v/>
      </c>
      <c r="B783" s="0" t="str">
        <f aca="false">IF(A783="","",IF(MATCH(A783,$A$2:$A$3201,0)=ROW()-1,1,0))</f>
        <v/>
      </c>
      <c r="C783" s="0" t="str">
        <f aca="false">IF(B783=1,MAX(C$1:C782)+1,"")</f>
        <v/>
      </c>
    </row>
    <row r="784" customFormat="false" ht="15" hidden="false" customHeight="false" outlineLevel="0" collapsed="false">
      <c r="A784" s="0" t="str">
        <f aca="false">IF(DECKS!B784="","",DECKS!B784)</f>
        <v/>
      </c>
      <c r="B784" s="0" t="str">
        <f aca="false">IF(A784="","",IF(MATCH(A784,$A$2:$A$3201,0)=ROW()-1,1,0))</f>
        <v/>
      </c>
      <c r="C784" s="0" t="str">
        <f aca="false">IF(B784=1,MAX(C$1:C783)+1,"")</f>
        <v/>
      </c>
    </row>
    <row r="785" customFormat="false" ht="15" hidden="false" customHeight="false" outlineLevel="0" collapsed="false">
      <c r="A785" s="0" t="str">
        <f aca="false">IF(DECKS!B785="","",DECKS!B785)</f>
        <v/>
      </c>
      <c r="B785" s="0" t="str">
        <f aca="false">IF(A785="","",IF(MATCH(A785,$A$2:$A$3201,0)=ROW()-1,1,0))</f>
        <v/>
      </c>
      <c r="C785" s="0" t="str">
        <f aca="false">IF(B785=1,MAX(C$1:C784)+1,"")</f>
        <v/>
      </c>
    </row>
    <row r="786" customFormat="false" ht="15" hidden="false" customHeight="false" outlineLevel="0" collapsed="false">
      <c r="A786" s="0" t="str">
        <f aca="false">IF(DECKS!B786="","",DECKS!B786)</f>
        <v/>
      </c>
      <c r="B786" s="0" t="str">
        <f aca="false">IF(A786="","",IF(MATCH(A786,$A$2:$A$3201,0)=ROW()-1,1,0))</f>
        <v/>
      </c>
      <c r="C786" s="0" t="str">
        <f aca="false">IF(B786=1,MAX(C$1:C785)+1,"")</f>
        <v/>
      </c>
    </row>
    <row r="787" customFormat="false" ht="15" hidden="false" customHeight="false" outlineLevel="0" collapsed="false">
      <c r="A787" s="0" t="str">
        <f aca="false">IF(DECKS!B787="","",DECKS!B787)</f>
        <v/>
      </c>
      <c r="B787" s="0" t="str">
        <f aca="false">IF(A787="","",IF(MATCH(A787,$A$2:$A$3201,0)=ROW()-1,1,0))</f>
        <v/>
      </c>
      <c r="C787" s="0" t="str">
        <f aca="false">IF(B787=1,MAX(C$1:C786)+1,"")</f>
        <v/>
      </c>
    </row>
    <row r="788" customFormat="false" ht="15" hidden="false" customHeight="false" outlineLevel="0" collapsed="false">
      <c r="A788" s="0" t="str">
        <f aca="false">IF(DECKS!B788="","",DECKS!B788)</f>
        <v/>
      </c>
      <c r="B788" s="0" t="str">
        <f aca="false">IF(A788="","",IF(MATCH(A788,$A$2:$A$3201,0)=ROW()-1,1,0))</f>
        <v/>
      </c>
      <c r="C788" s="0" t="str">
        <f aca="false">IF(B788=1,MAX(C$1:C787)+1,"")</f>
        <v/>
      </c>
    </row>
    <row r="789" customFormat="false" ht="15" hidden="false" customHeight="false" outlineLevel="0" collapsed="false">
      <c r="A789" s="0" t="str">
        <f aca="false">IF(DECKS!B789="","",DECKS!B789)</f>
        <v/>
      </c>
      <c r="B789" s="0" t="str">
        <f aca="false">IF(A789="","",IF(MATCH(A789,$A$2:$A$3201,0)=ROW()-1,1,0))</f>
        <v/>
      </c>
      <c r="C789" s="0" t="str">
        <f aca="false">IF(B789=1,MAX(C$1:C788)+1,"")</f>
        <v/>
      </c>
    </row>
    <row r="790" customFormat="false" ht="15" hidden="false" customHeight="false" outlineLevel="0" collapsed="false">
      <c r="A790" s="0" t="str">
        <f aca="false">IF(DECKS!B790="","",DECKS!B790)</f>
        <v/>
      </c>
      <c r="B790" s="0" t="str">
        <f aca="false">IF(A790="","",IF(MATCH(A790,$A$2:$A$3201,0)=ROW()-1,1,0))</f>
        <v/>
      </c>
      <c r="C790" s="0" t="str">
        <f aca="false">IF(B790=1,MAX(C$1:C789)+1,"")</f>
        <v/>
      </c>
    </row>
    <row r="791" customFormat="false" ht="15" hidden="false" customHeight="false" outlineLevel="0" collapsed="false">
      <c r="A791" s="0" t="str">
        <f aca="false">IF(DECKS!B791="","",DECKS!B791)</f>
        <v/>
      </c>
      <c r="B791" s="0" t="str">
        <f aca="false">IF(A791="","",IF(MATCH(A791,$A$2:$A$3201,0)=ROW()-1,1,0))</f>
        <v/>
      </c>
      <c r="C791" s="0" t="str">
        <f aca="false">IF(B791=1,MAX(C$1:C790)+1,"")</f>
        <v/>
      </c>
    </row>
    <row r="792" customFormat="false" ht="15" hidden="false" customHeight="false" outlineLevel="0" collapsed="false">
      <c r="A792" s="0" t="str">
        <f aca="false">IF(DECKS!B792="","",DECKS!B792)</f>
        <v/>
      </c>
      <c r="B792" s="0" t="str">
        <f aca="false">IF(A792="","",IF(MATCH(A792,$A$2:$A$3201,0)=ROW()-1,1,0))</f>
        <v/>
      </c>
      <c r="C792" s="0" t="str">
        <f aca="false">IF(B792=1,MAX(C$1:C791)+1,"")</f>
        <v/>
      </c>
    </row>
    <row r="793" customFormat="false" ht="15" hidden="false" customHeight="false" outlineLevel="0" collapsed="false">
      <c r="A793" s="0" t="str">
        <f aca="false">IF(DECKS!B793="","",DECKS!B793)</f>
        <v/>
      </c>
      <c r="B793" s="0" t="str">
        <f aca="false">IF(A793="","",IF(MATCH(A793,$A$2:$A$3201,0)=ROW()-1,1,0))</f>
        <v/>
      </c>
      <c r="C793" s="0" t="str">
        <f aca="false">IF(B793=1,MAX(C$1:C792)+1,"")</f>
        <v/>
      </c>
    </row>
    <row r="794" customFormat="false" ht="15" hidden="false" customHeight="false" outlineLevel="0" collapsed="false">
      <c r="A794" s="0" t="str">
        <f aca="false">IF(DECKS!B794="","",DECKS!B794)</f>
        <v/>
      </c>
      <c r="B794" s="0" t="str">
        <f aca="false">IF(A794="","",IF(MATCH(A794,$A$2:$A$3201,0)=ROW()-1,1,0))</f>
        <v/>
      </c>
      <c r="C794" s="0" t="str">
        <f aca="false">IF(B794=1,MAX(C$1:C793)+1,"")</f>
        <v/>
      </c>
    </row>
    <row r="795" customFormat="false" ht="15" hidden="false" customHeight="false" outlineLevel="0" collapsed="false">
      <c r="A795" s="0" t="str">
        <f aca="false">IF(DECKS!B795="","",DECKS!B795)</f>
        <v/>
      </c>
      <c r="B795" s="0" t="str">
        <f aca="false">IF(A795="","",IF(MATCH(A795,$A$2:$A$3201,0)=ROW()-1,1,0))</f>
        <v/>
      </c>
      <c r="C795" s="0" t="str">
        <f aca="false">IF(B795=1,MAX(C$1:C794)+1,"")</f>
        <v/>
      </c>
    </row>
    <row r="796" customFormat="false" ht="15" hidden="false" customHeight="false" outlineLevel="0" collapsed="false">
      <c r="A796" s="0" t="str">
        <f aca="false">IF(DECKS!B796="","",DECKS!B796)</f>
        <v/>
      </c>
      <c r="B796" s="0" t="str">
        <f aca="false">IF(A796="","",IF(MATCH(A796,$A$2:$A$3201,0)=ROW()-1,1,0))</f>
        <v/>
      </c>
      <c r="C796" s="0" t="str">
        <f aca="false">IF(B796=1,MAX(C$1:C795)+1,"")</f>
        <v/>
      </c>
    </row>
    <row r="797" customFormat="false" ht="15" hidden="false" customHeight="false" outlineLevel="0" collapsed="false">
      <c r="A797" s="0" t="str">
        <f aca="false">IF(DECKS!B797="","",DECKS!B797)</f>
        <v/>
      </c>
      <c r="B797" s="0" t="str">
        <f aca="false">IF(A797="","",IF(MATCH(A797,$A$2:$A$3201,0)=ROW()-1,1,0))</f>
        <v/>
      </c>
      <c r="C797" s="0" t="str">
        <f aca="false">IF(B797=1,MAX(C$1:C796)+1,"")</f>
        <v/>
      </c>
    </row>
    <row r="798" customFormat="false" ht="15" hidden="false" customHeight="false" outlineLevel="0" collapsed="false">
      <c r="A798" s="0" t="str">
        <f aca="false">IF(DECKS!B798="","",DECKS!B798)</f>
        <v/>
      </c>
      <c r="B798" s="0" t="str">
        <f aca="false">IF(A798="","",IF(MATCH(A798,$A$2:$A$3201,0)=ROW()-1,1,0))</f>
        <v/>
      </c>
      <c r="C798" s="0" t="str">
        <f aca="false">IF(B798=1,MAX(C$1:C797)+1,"")</f>
        <v/>
      </c>
    </row>
    <row r="799" customFormat="false" ht="15" hidden="false" customHeight="false" outlineLevel="0" collapsed="false">
      <c r="A799" s="0" t="str">
        <f aca="false">IF(DECKS!B799="","",DECKS!B799)</f>
        <v/>
      </c>
      <c r="B799" s="0" t="str">
        <f aca="false">IF(A799="","",IF(MATCH(A799,$A$2:$A$3201,0)=ROW()-1,1,0))</f>
        <v/>
      </c>
      <c r="C799" s="0" t="str">
        <f aca="false">IF(B799=1,MAX(C$1:C798)+1,"")</f>
        <v/>
      </c>
    </row>
    <row r="800" customFormat="false" ht="15" hidden="false" customHeight="false" outlineLevel="0" collapsed="false">
      <c r="A800" s="0" t="str">
        <f aca="false">IF(DECKS!B800="","",DECKS!B800)</f>
        <v/>
      </c>
      <c r="B800" s="0" t="str">
        <f aca="false">IF(A800="","",IF(MATCH(A800,$A$2:$A$3201,0)=ROW()-1,1,0))</f>
        <v/>
      </c>
      <c r="C800" s="0" t="str">
        <f aca="false">IF(B800=1,MAX(C$1:C799)+1,"")</f>
        <v/>
      </c>
    </row>
    <row r="801" customFormat="false" ht="15" hidden="false" customHeight="false" outlineLevel="0" collapsed="false">
      <c r="A801" s="0" t="str">
        <f aca="false">IF(DECKS!B801="","",DECKS!B801)</f>
        <v/>
      </c>
      <c r="B801" s="0" t="str">
        <f aca="false">IF(A801="","",IF(MATCH(A801,$A$2:$A$3201,0)=ROW()-1,1,0))</f>
        <v/>
      </c>
      <c r="C801" s="0" t="str">
        <f aca="false">IF(B801=1,MAX(C$1:C800)+1,"")</f>
        <v/>
      </c>
    </row>
    <row r="802" customFormat="false" ht="15" hidden="false" customHeight="false" outlineLevel="0" collapsed="false">
      <c r="A802" s="0" t="str">
        <f aca="false">IF(DECKS!B802="","",DECKS!B802)</f>
        <v/>
      </c>
      <c r="B802" s="0" t="str">
        <f aca="false">IF(A802="","",IF(MATCH(A802,$A$2:$A$3201,0)=ROW()-1,1,0))</f>
        <v/>
      </c>
      <c r="C802" s="0" t="str">
        <f aca="false">IF(B802=1,MAX(C$1:C801)+1,"")</f>
        <v/>
      </c>
    </row>
    <row r="803" customFormat="false" ht="15" hidden="false" customHeight="false" outlineLevel="0" collapsed="false">
      <c r="A803" s="0" t="str">
        <f aca="false">IF(DECKS!B803="","",DECKS!B803)</f>
        <v/>
      </c>
      <c r="B803" s="0" t="str">
        <f aca="false">IF(A803="","",IF(MATCH(A803,$A$2:$A$3201,0)=ROW()-1,1,0))</f>
        <v/>
      </c>
      <c r="C803" s="0" t="str">
        <f aca="false">IF(B803=1,MAX(C$1:C802)+1,"")</f>
        <v/>
      </c>
    </row>
    <row r="804" customFormat="false" ht="15" hidden="false" customHeight="false" outlineLevel="0" collapsed="false">
      <c r="A804" s="0" t="str">
        <f aca="false">IF(DECKS!B804="","",DECKS!B804)</f>
        <v/>
      </c>
      <c r="B804" s="0" t="str">
        <f aca="false">IF(A804="","",IF(MATCH(A804,$A$2:$A$3201,0)=ROW()-1,1,0))</f>
        <v/>
      </c>
      <c r="C804" s="0" t="str">
        <f aca="false">IF(B804=1,MAX(C$1:C803)+1,"")</f>
        <v/>
      </c>
    </row>
    <row r="805" customFormat="false" ht="15" hidden="false" customHeight="false" outlineLevel="0" collapsed="false">
      <c r="A805" s="0" t="str">
        <f aca="false">IF(DECKS!B805="","",DECKS!B805)</f>
        <v/>
      </c>
      <c r="B805" s="0" t="str">
        <f aca="false">IF(A805="","",IF(MATCH(A805,$A$2:$A$3201,0)=ROW()-1,1,0))</f>
        <v/>
      </c>
      <c r="C805" s="0" t="str">
        <f aca="false">IF(B805=1,MAX(C$1:C804)+1,"")</f>
        <v/>
      </c>
    </row>
    <row r="806" customFormat="false" ht="15" hidden="false" customHeight="false" outlineLevel="0" collapsed="false">
      <c r="A806" s="0" t="str">
        <f aca="false">IF(DECKS!B806="","",DECKS!B806)</f>
        <v/>
      </c>
      <c r="B806" s="0" t="str">
        <f aca="false">IF(A806="","",IF(MATCH(A806,$A$2:$A$3201,0)=ROW()-1,1,0))</f>
        <v/>
      </c>
      <c r="C806" s="0" t="str">
        <f aca="false">IF(B806=1,MAX(C$1:C805)+1,"")</f>
        <v/>
      </c>
    </row>
    <row r="807" customFormat="false" ht="15" hidden="false" customHeight="false" outlineLevel="0" collapsed="false">
      <c r="A807" s="0" t="str">
        <f aca="false">IF(DECKS!B807="","",DECKS!B807)</f>
        <v/>
      </c>
      <c r="B807" s="0" t="str">
        <f aca="false">IF(A807="","",IF(MATCH(A807,$A$2:$A$3201,0)=ROW()-1,1,0))</f>
        <v/>
      </c>
      <c r="C807" s="0" t="str">
        <f aca="false">IF(B807=1,MAX(C$1:C806)+1,"")</f>
        <v/>
      </c>
    </row>
    <row r="808" customFormat="false" ht="15" hidden="false" customHeight="false" outlineLevel="0" collapsed="false">
      <c r="A808" s="0" t="str">
        <f aca="false">IF(DECKS!B808="","",DECKS!B808)</f>
        <v/>
      </c>
      <c r="B808" s="0" t="str">
        <f aca="false">IF(A808="","",IF(MATCH(A808,$A$2:$A$3201,0)=ROW()-1,1,0))</f>
        <v/>
      </c>
      <c r="C808" s="0" t="str">
        <f aca="false">IF(B808=1,MAX(C$1:C807)+1,"")</f>
        <v/>
      </c>
    </row>
    <row r="809" customFormat="false" ht="15" hidden="false" customHeight="false" outlineLevel="0" collapsed="false">
      <c r="A809" s="0" t="str">
        <f aca="false">IF(DECKS!B809="","",DECKS!B809)</f>
        <v/>
      </c>
      <c r="B809" s="0" t="str">
        <f aca="false">IF(A809="","",IF(MATCH(A809,$A$2:$A$3201,0)=ROW()-1,1,0))</f>
        <v/>
      </c>
      <c r="C809" s="0" t="str">
        <f aca="false">IF(B809=1,MAX(C$1:C808)+1,"")</f>
        <v/>
      </c>
    </row>
    <row r="810" customFormat="false" ht="15" hidden="false" customHeight="false" outlineLevel="0" collapsed="false">
      <c r="A810" s="0" t="str">
        <f aca="false">IF(DECKS!B810="","",DECKS!B810)</f>
        <v/>
      </c>
      <c r="B810" s="0" t="str">
        <f aca="false">IF(A810="","",IF(MATCH(A810,$A$2:$A$3201,0)=ROW()-1,1,0))</f>
        <v/>
      </c>
      <c r="C810" s="0" t="str">
        <f aca="false">IF(B810=1,MAX(C$1:C809)+1,"")</f>
        <v/>
      </c>
    </row>
    <row r="811" customFormat="false" ht="15" hidden="false" customHeight="false" outlineLevel="0" collapsed="false">
      <c r="A811" s="0" t="str">
        <f aca="false">IF(DECKS!B811="","",DECKS!B811)</f>
        <v/>
      </c>
      <c r="B811" s="0" t="str">
        <f aca="false">IF(A811="","",IF(MATCH(A811,$A$2:$A$3201,0)=ROW()-1,1,0))</f>
        <v/>
      </c>
      <c r="C811" s="0" t="str">
        <f aca="false">IF(B811=1,MAX(C$1:C810)+1,"")</f>
        <v/>
      </c>
    </row>
    <row r="812" customFormat="false" ht="15" hidden="false" customHeight="false" outlineLevel="0" collapsed="false">
      <c r="A812" s="0" t="str">
        <f aca="false">IF(DECKS!B812="","",DECKS!B812)</f>
        <v/>
      </c>
      <c r="B812" s="0" t="str">
        <f aca="false">IF(A812="","",IF(MATCH(A812,$A$2:$A$3201,0)=ROW()-1,1,0))</f>
        <v/>
      </c>
      <c r="C812" s="0" t="str">
        <f aca="false">IF(B812=1,MAX(C$1:C811)+1,"")</f>
        <v/>
      </c>
    </row>
    <row r="813" customFormat="false" ht="15" hidden="false" customHeight="false" outlineLevel="0" collapsed="false">
      <c r="A813" s="0" t="str">
        <f aca="false">IF(DECKS!B813="","",DECKS!B813)</f>
        <v/>
      </c>
      <c r="B813" s="0" t="str">
        <f aca="false">IF(A813="","",IF(MATCH(A813,$A$2:$A$3201,0)=ROW()-1,1,0))</f>
        <v/>
      </c>
      <c r="C813" s="0" t="str">
        <f aca="false">IF(B813=1,MAX(C$1:C812)+1,"")</f>
        <v/>
      </c>
    </row>
    <row r="814" customFormat="false" ht="15" hidden="false" customHeight="false" outlineLevel="0" collapsed="false">
      <c r="A814" s="0" t="str">
        <f aca="false">IF(DECKS!B814="","",DECKS!B814)</f>
        <v/>
      </c>
      <c r="B814" s="0" t="str">
        <f aca="false">IF(A814="","",IF(MATCH(A814,$A$2:$A$3201,0)=ROW()-1,1,0))</f>
        <v/>
      </c>
      <c r="C814" s="0" t="str">
        <f aca="false">IF(B814=1,MAX(C$1:C813)+1,"")</f>
        <v/>
      </c>
    </row>
    <row r="815" customFormat="false" ht="15" hidden="false" customHeight="false" outlineLevel="0" collapsed="false">
      <c r="A815" s="0" t="str">
        <f aca="false">IF(DECKS!B815="","",DECKS!B815)</f>
        <v/>
      </c>
      <c r="B815" s="0" t="str">
        <f aca="false">IF(A815="","",IF(MATCH(A815,$A$2:$A$3201,0)=ROW()-1,1,0))</f>
        <v/>
      </c>
      <c r="C815" s="0" t="str">
        <f aca="false">IF(B815=1,MAX(C$1:C814)+1,"")</f>
        <v/>
      </c>
    </row>
    <row r="816" customFormat="false" ht="15" hidden="false" customHeight="false" outlineLevel="0" collapsed="false">
      <c r="A816" s="0" t="str">
        <f aca="false">IF(DECKS!B816="","",DECKS!B816)</f>
        <v/>
      </c>
      <c r="B816" s="0" t="str">
        <f aca="false">IF(A816="","",IF(MATCH(A816,$A$2:$A$3201,0)=ROW()-1,1,0))</f>
        <v/>
      </c>
      <c r="C816" s="0" t="str">
        <f aca="false">IF(B816=1,MAX(C$1:C815)+1,"")</f>
        <v/>
      </c>
    </row>
    <row r="817" customFormat="false" ht="15" hidden="false" customHeight="false" outlineLevel="0" collapsed="false">
      <c r="A817" s="0" t="str">
        <f aca="false">IF(DECKS!B817="","",DECKS!B817)</f>
        <v/>
      </c>
      <c r="B817" s="0" t="str">
        <f aca="false">IF(A817="","",IF(MATCH(A817,$A$2:$A$3201,0)=ROW()-1,1,0))</f>
        <v/>
      </c>
      <c r="C817" s="0" t="str">
        <f aca="false">IF(B817=1,MAX(C$1:C816)+1,"")</f>
        <v/>
      </c>
    </row>
    <row r="818" customFormat="false" ht="15" hidden="false" customHeight="false" outlineLevel="0" collapsed="false">
      <c r="A818" s="0" t="str">
        <f aca="false">IF(DECKS!B818="","",DECKS!B818)</f>
        <v/>
      </c>
      <c r="B818" s="0" t="str">
        <f aca="false">IF(A818="","",IF(MATCH(A818,$A$2:$A$3201,0)=ROW()-1,1,0))</f>
        <v/>
      </c>
      <c r="C818" s="0" t="str">
        <f aca="false">IF(B818=1,MAX(C$1:C817)+1,"")</f>
        <v/>
      </c>
    </row>
    <row r="819" customFormat="false" ht="15" hidden="false" customHeight="false" outlineLevel="0" collapsed="false">
      <c r="A819" s="0" t="str">
        <f aca="false">IF(DECKS!B819="","",DECKS!B819)</f>
        <v/>
      </c>
      <c r="B819" s="0" t="str">
        <f aca="false">IF(A819="","",IF(MATCH(A819,$A$2:$A$3201,0)=ROW()-1,1,0))</f>
        <v/>
      </c>
      <c r="C819" s="0" t="str">
        <f aca="false">IF(B819=1,MAX(C$1:C818)+1,"")</f>
        <v/>
      </c>
    </row>
    <row r="820" customFormat="false" ht="15" hidden="false" customHeight="false" outlineLevel="0" collapsed="false">
      <c r="A820" s="0" t="str">
        <f aca="false">IF(DECKS!B820="","",DECKS!B820)</f>
        <v/>
      </c>
      <c r="B820" s="0" t="str">
        <f aca="false">IF(A820="","",IF(MATCH(A820,$A$2:$A$3201,0)=ROW()-1,1,0))</f>
        <v/>
      </c>
      <c r="C820" s="0" t="str">
        <f aca="false">IF(B820=1,MAX(C$1:C819)+1,"")</f>
        <v/>
      </c>
    </row>
    <row r="821" customFormat="false" ht="15" hidden="false" customHeight="false" outlineLevel="0" collapsed="false">
      <c r="A821" s="0" t="str">
        <f aca="false">IF(DECKS!B821="","",DECKS!B821)</f>
        <v/>
      </c>
      <c r="B821" s="0" t="str">
        <f aca="false">IF(A821="","",IF(MATCH(A821,$A$2:$A$3201,0)=ROW()-1,1,0))</f>
        <v/>
      </c>
      <c r="C821" s="0" t="str">
        <f aca="false">IF(B821=1,MAX(C$1:C820)+1,"")</f>
        <v/>
      </c>
    </row>
    <row r="822" customFormat="false" ht="15" hidden="false" customHeight="false" outlineLevel="0" collapsed="false">
      <c r="A822" s="0" t="str">
        <f aca="false">IF(DECKS!B822="","",DECKS!B822)</f>
        <v/>
      </c>
      <c r="B822" s="0" t="str">
        <f aca="false">IF(A822="","",IF(MATCH(A822,$A$2:$A$3201,0)=ROW()-1,1,0))</f>
        <v/>
      </c>
      <c r="C822" s="0" t="str">
        <f aca="false">IF(B822=1,MAX(C$1:C821)+1,"")</f>
        <v/>
      </c>
    </row>
    <row r="823" customFormat="false" ht="15" hidden="false" customHeight="false" outlineLevel="0" collapsed="false">
      <c r="A823" s="0" t="str">
        <f aca="false">IF(DECKS!B823="","",DECKS!B823)</f>
        <v/>
      </c>
      <c r="B823" s="0" t="str">
        <f aca="false">IF(A823="","",IF(MATCH(A823,$A$2:$A$3201,0)=ROW()-1,1,0))</f>
        <v/>
      </c>
      <c r="C823" s="0" t="str">
        <f aca="false">IF(B823=1,MAX(C$1:C822)+1,"")</f>
        <v/>
      </c>
    </row>
    <row r="824" customFormat="false" ht="15" hidden="false" customHeight="false" outlineLevel="0" collapsed="false">
      <c r="A824" s="0" t="str">
        <f aca="false">IF(DECKS!B824="","",DECKS!B824)</f>
        <v/>
      </c>
      <c r="B824" s="0" t="str">
        <f aca="false">IF(A824="","",IF(MATCH(A824,$A$2:$A$3201,0)=ROW()-1,1,0))</f>
        <v/>
      </c>
      <c r="C824" s="0" t="str">
        <f aca="false">IF(B824=1,MAX(C$1:C823)+1,"")</f>
        <v/>
      </c>
    </row>
    <row r="825" customFormat="false" ht="15" hidden="false" customHeight="false" outlineLevel="0" collapsed="false">
      <c r="A825" s="0" t="str">
        <f aca="false">IF(DECKS!B825="","",DECKS!B825)</f>
        <v/>
      </c>
      <c r="B825" s="0" t="str">
        <f aca="false">IF(A825="","",IF(MATCH(A825,$A$2:$A$3201,0)=ROW()-1,1,0))</f>
        <v/>
      </c>
      <c r="C825" s="0" t="str">
        <f aca="false">IF(B825=1,MAX(C$1:C824)+1,"")</f>
        <v/>
      </c>
    </row>
    <row r="826" customFormat="false" ht="15" hidden="false" customHeight="false" outlineLevel="0" collapsed="false">
      <c r="A826" s="0" t="str">
        <f aca="false">IF(DECKS!B826="","",DECKS!B826)</f>
        <v/>
      </c>
      <c r="B826" s="0" t="str">
        <f aca="false">IF(A826="","",IF(MATCH(A826,$A$2:$A$3201,0)=ROW()-1,1,0))</f>
        <v/>
      </c>
      <c r="C826" s="0" t="str">
        <f aca="false">IF(B826=1,MAX(C$1:C825)+1,"")</f>
        <v/>
      </c>
    </row>
    <row r="827" customFormat="false" ht="15" hidden="false" customHeight="false" outlineLevel="0" collapsed="false">
      <c r="A827" s="0" t="str">
        <f aca="false">IF(DECKS!B827="","",DECKS!B827)</f>
        <v/>
      </c>
      <c r="B827" s="0" t="str">
        <f aca="false">IF(A827="","",IF(MATCH(A827,$A$2:$A$3201,0)=ROW()-1,1,0))</f>
        <v/>
      </c>
      <c r="C827" s="0" t="str">
        <f aca="false">IF(B827=1,MAX(C$1:C826)+1,"")</f>
        <v/>
      </c>
    </row>
    <row r="828" customFormat="false" ht="15" hidden="false" customHeight="false" outlineLevel="0" collapsed="false">
      <c r="A828" s="0" t="str">
        <f aca="false">IF(DECKS!B828="","",DECKS!B828)</f>
        <v/>
      </c>
      <c r="B828" s="0" t="str">
        <f aca="false">IF(A828="","",IF(MATCH(A828,$A$2:$A$3201,0)=ROW()-1,1,0))</f>
        <v/>
      </c>
      <c r="C828" s="0" t="str">
        <f aca="false">IF(B828=1,MAX(C$1:C827)+1,"")</f>
        <v/>
      </c>
    </row>
    <row r="829" customFormat="false" ht="15" hidden="false" customHeight="false" outlineLevel="0" collapsed="false">
      <c r="A829" s="0" t="str">
        <f aca="false">IF(DECKS!B829="","",DECKS!B829)</f>
        <v/>
      </c>
      <c r="B829" s="0" t="str">
        <f aca="false">IF(A829="","",IF(MATCH(A829,$A$2:$A$3201,0)=ROW()-1,1,0))</f>
        <v/>
      </c>
      <c r="C829" s="0" t="str">
        <f aca="false">IF(B829=1,MAX(C$1:C828)+1,"")</f>
        <v/>
      </c>
    </row>
    <row r="830" customFormat="false" ht="15" hidden="false" customHeight="false" outlineLevel="0" collapsed="false">
      <c r="A830" s="0" t="str">
        <f aca="false">IF(DECKS!B830="","",DECKS!B830)</f>
        <v/>
      </c>
      <c r="B830" s="0" t="str">
        <f aca="false">IF(A830="","",IF(MATCH(A830,$A$2:$A$3201,0)=ROW()-1,1,0))</f>
        <v/>
      </c>
      <c r="C830" s="0" t="str">
        <f aca="false">IF(B830=1,MAX(C$1:C829)+1,"")</f>
        <v/>
      </c>
    </row>
    <row r="831" customFormat="false" ht="15" hidden="false" customHeight="false" outlineLevel="0" collapsed="false">
      <c r="A831" s="0" t="str">
        <f aca="false">IF(DECKS!B831="","",DECKS!B831)</f>
        <v/>
      </c>
      <c r="B831" s="0" t="str">
        <f aca="false">IF(A831="","",IF(MATCH(A831,$A$2:$A$3201,0)=ROW()-1,1,0))</f>
        <v/>
      </c>
      <c r="C831" s="0" t="str">
        <f aca="false">IF(B831=1,MAX(C$1:C830)+1,"")</f>
        <v/>
      </c>
    </row>
    <row r="832" customFormat="false" ht="15" hidden="false" customHeight="false" outlineLevel="0" collapsed="false">
      <c r="A832" s="0" t="str">
        <f aca="false">IF(DECKS!B832="","",DECKS!B832)</f>
        <v/>
      </c>
      <c r="B832" s="0" t="str">
        <f aca="false">IF(A832="","",IF(MATCH(A832,$A$2:$A$3201,0)=ROW()-1,1,0))</f>
        <v/>
      </c>
      <c r="C832" s="0" t="str">
        <f aca="false">IF(B832=1,MAX(C$1:C831)+1,"")</f>
        <v/>
      </c>
    </row>
    <row r="833" customFormat="false" ht="15" hidden="false" customHeight="false" outlineLevel="0" collapsed="false">
      <c r="A833" s="0" t="str">
        <f aca="false">IF(DECKS!B833="","",DECKS!B833)</f>
        <v/>
      </c>
      <c r="B833" s="0" t="str">
        <f aca="false">IF(A833="","",IF(MATCH(A833,$A$2:$A$3201,0)=ROW()-1,1,0))</f>
        <v/>
      </c>
      <c r="C833" s="0" t="str">
        <f aca="false">IF(B833=1,MAX(C$1:C832)+1,"")</f>
        <v/>
      </c>
    </row>
    <row r="834" customFormat="false" ht="15" hidden="false" customHeight="false" outlineLevel="0" collapsed="false">
      <c r="A834" s="0" t="str">
        <f aca="false">IF(DECKS!B834="","",DECKS!B834)</f>
        <v/>
      </c>
      <c r="B834" s="0" t="str">
        <f aca="false">IF(A834="","",IF(MATCH(A834,$A$2:$A$3201,0)=ROW()-1,1,0))</f>
        <v/>
      </c>
      <c r="C834" s="0" t="str">
        <f aca="false">IF(B834=1,MAX(C$1:C833)+1,"")</f>
        <v/>
      </c>
    </row>
    <row r="835" customFormat="false" ht="15" hidden="false" customHeight="false" outlineLevel="0" collapsed="false">
      <c r="A835" s="0" t="str">
        <f aca="false">IF(DECKS!B835="","",DECKS!B835)</f>
        <v/>
      </c>
      <c r="B835" s="0" t="str">
        <f aca="false">IF(A835="","",IF(MATCH(A835,$A$2:$A$3201,0)=ROW()-1,1,0))</f>
        <v/>
      </c>
      <c r="C835" s="0" t="str">
        <f aca="false">IF(B835=1,MAX(C$1:C834)+1,"")</f>
        <v/>
      </c>
    </row>
    <row r="836" customFormat="false" ht="15" hidden="false" customHeight="false" outlineLevel="0" collapsed="false">
      <c r="A836" s="0" t="str">
        <f aca="false">IF(DECKS!B836="","",DECKS!B836)</f>
        <v/>
      </c>
      <c r="B836" s="0" t="str">
        <f aca="false">IF(A836="","",IF(MATCH(A836,$A$2:$A$3201,0)=ROW()-1,1,0))</f>
        <v/>
      </c>
      <c r="C836" s="0" t="str">
        <f aca="false">IF(B836=1,MAX(C$1:C835)+1,"")</f>
        <v/>
      </c>
    </row>
    <row r="837" customFormat="false" ht="15" hidden="false" customHeight="false" outlineLevel="0" collapsed="false">
      <c r="A837" s="0" t="str">
        <f aca="false">IF(DECKS!B837="","",DECKS!B837)</f>
        <v/>
      </c>
      <c r="B837" s="0" t="str">
        <f aca="false">IF(A837="","",IF(MATCH(A837,$A$2:$A$3201,0)=ROW()-1,1,0))</f>
        <v/>
      </c>
      <c r="C837" s="0" t="str">
        <f aca="false">IF(B837=1,MAX(C$1:C836)+1,"")</f>
        <v/>
      </c>
    </row>
    <row r="838" customFormat="false" ht="15" hidden="false" customHeight="false" outlineLevel="0" collapsed="false">
      <c r="A838" s="0" t="str">
        <f aca="false">IF(DECKS!B838="","",DECKS!B838)</f>
        <v/>
      </c>
      <c r="B838" s="0" t="str">
        <f aca="false">IF(A838="","",IF(MATCH(A838,$A$2:$A$3201,0)=ROW()-1,1,0))</f>
        <v/>
      </c>
      <c r="C838" s="0" t="str">
        <f aca="false">IF(B838=1,MAX(C$1:C837)+1,"")</f>
        <v/>
      </c>
    </row>
    <row r="839" customFormat="false" ht="15" hidden="false" customHeight="false" outlineLevel="0" collapsed="false">
      <c r="A839" s="0" t="str">
        <f aca="false">IF(DECKS!B839="","",DECKS!B839)</f>
        <v/>
      </c>
      <c r="B839" s="0" t="str">
        <f aca="false">IF(A839="","",IF(MATCH(A839,$A$2:$A$3201,0)=ROW()-1,1,0))</f>
        <v/>
      </c>
      <c r="C839" s="0" t="str">
        <f aca="false">IF(B839=1,MAX(C$1:C838)+1,"")</f>
        <v/>
      </c>
    </row>
    <row r="840" customFormat="false" ht="15" hidden="false" customHeight="false" outlineLevel="0" collapsed="false">
      <c r="A840" s="0" t="str">
        <f aca="false">IF(DECKS!B840="","",DECKS!B840)</f>
        <v/>
      </c>
      <c r="B840" s="0" t="str">
        <f aca="false">IF(A840="","",IF(MATCH(A840,$A$2:$A$3201,0)=ROW()-1,1,0))</f>
        <v/>
      </c>
      <c r="C840" s="0" t="str">
        <f aca="false">IF(B840=1,MAX(C$1:C839)+1,"")</f>
        <v/>
      </c>
    </row>
    <row r="841" customFormat="false" ht="15" hidden="false" customHeight="false" outlineLevel="0" collapsed="false">
      <c r="A841" s="0" t="str">
        <f aca="false">IF(DECKS!B841="","",DECKS!B841)</f>
        <v/>
      </c>
      <c r="B841" s="0" t="str">
        <f aca="false">IF(A841="","",IF(MATCH(A841,$A$2:$A$3201,0)=ROW()-1,1,0))</f>
        <v/>
      </c>
      <c r="C841" s="0" t="str">
        <f aca="false">IF(B841=1,MAX(C$1:C840)+1,"")</f>
        <v/>
      </c>
    </row>
    <row r="842" customFormat="false" ht="15" hidden="false" customHeight="false" outlineLevel="0" collapsed="false">
      <c r="A842" s="0" t="str">
        <f aca="false">IF(DECKS!B842="","",DECKS!B842)</f>
        <v/>
      </c>
      <c r="B842" s="0" t="str">
        <f aca="false">IF(A842="","",IF(MATCH(A842,$A$2:$A$3201,0)=ROW()-1,1,0))</f>
        <v/>
      </c>
      <c r="C842" s="0" t="str">
        <f aca="false">IF(B842=1,MAX(C$1:C841)+1,"")</f>
        <v/>
      </c>
    </row>
    <row r="843" customFormat="false" ht="15" hidden="false" customHeight="false" outlineLevel="0" collapsed="false">
      <c r="A843" s="0" t="str">
        <f aca="false">IF(DECKS!B843="","",DECKS!B843)</f>
        <v/>
      </c>
      <c r="B843" s="0" t="str">
        <f aca="false">IF(A843="","",IF(MATCH(A843,$A$2:$A$3201,0)=ROW()-1,1,0))</f>
        <v/>
      </c>
      <c r="C843" s="0" t="str">
        <f aca="false">IF(B843=1,MAX(C$1:C842)+1,"")</f>
        <v/>
      </c>
    </row>
    <row r="844" customFormat="false" ht="15" hidden="false" customHeight="false" outlineLevel="0" collapsed="false">
      <c r="A844" s="0" t="str">
        <f aca="false">IF(DECKS!B844="","",DECKS!B844)</f>
        <v/>
      </c>
      <c r="B844" s="0" t="str">
        <f aca="false">IF(A844="","",IF(MATCH(A844,$A$2:$A$3201,0)=ROW()-1,1,0))</f>
        <v/>
      </c>
      <c r="C844" s="0" t="str">
        <f aca="false">IF(B844=1,MAX(C$1:C843)+1,"")</f>
        <v/>
      </c>
    </row>
    <row r="845" customFormat="false" ht="15" hidden="false" customHeight="false" outlineLevel="0" collapsed="false">
      <c r="A845" s="0" t="str">
        <f aca="false">IF(DECKS!B845="","",DECKS!B845)</f>
        <v/>
      </c>
      <c r="B845" s="0" t="str">
        <f aca="false">IF(A845="","",IF(MATCH(A845,$A$2:$A$3201,0)=ROW()-1,1,0))</f>
        <v/>
      </c>
      <c r="C845" s="0" t="str">
        <f aca="false">IF(B845=1,MAX(C$1:C844)+1,"")</f>
        <v/>
      </c>
    </row>
    <row r="846" customFormat="false" ht="15" hidden="false" customHeight="false" outlineLevel="0" collapsed="false">
      <c r="A846" s="0" t="str">
        <f aca="false">IF(DECKS!B846="","",DECKS!B846)</f>
        <v/>
      </c>
      <c r="B846" s="0" t="str">
        <f aca="false">IF(A846="","",IF(MATCH(A846,$A$2:$A$3201,0)=ROW()-1,1,0))</f>
        <v/>
      </c>
      <c r="C846" s="0" t="str">
        <f aca="false">IF(B846=1,MAX(C$1:C845)+1,"")</f>
        <v/>
      </c>
    </row>
    <row r="847" customFormat="false" ht="15" hidden="false" customHeight="false" outlineLevel="0" collapsed="false">
      <c r="A847" s="0" t="str">
        <f aca="false">IF(DECKS!B847="","",DECKS!B847)</f>
        <v/>
      </c>
      <c r="B847" s="0" t="str">
        <f aca="false">IF(A847="","",IF(MATCH(A847,$A$2:$A$3201,0)=ROW()-1,1,0))</f>
        <v/>
      </c>
      <c r="C847" s="0" t="str">
        <f aca="false">IF(B847=1,MAX(C$1:C846)+1,"")</f>
        <v/>
      </c>
    </row>
    <row r="848" customFormat="false" ht="15" hidden="false" customHeight="false" outlineLevel="0" collapsed="false">
      <c r="A848" s="0" t="str">
        <f aca="false">IF(DECKS!B848="","",DECKS!B848)</f>
        <v/>
      </c>
      <c r="B848" s="0" t="str">
        <f aca="false">IF(A848="","",IF(MATCH(A848,$A$2:$A$3201,0)=ROW()-1,1,0))</f>
        <v/>
      </c>
      <c r="C848" s="0" t="str">
        <f aca="false">IF(B848=1,MAX(C$1:C847)+1,"")</f>
        <v/>
      </c>
    </row>
    <row r="849" customFormat="false" ht="15" hidden="false" customHeight="false" outlineLevel="0" collapsed="false">
      <c r="A849" s="0" t="str">
        <f aca="false">IF(DECKS!B849="","",DECKS!B849)</f>
        <v/>
      </c>
      <c r="B849" s="0" t="str">
        <f aca="false">IF(A849="","",IF(MATCH(A849,$A$2:$A$3201,0)=ROW()-1,1,0))</f>
        <v/>
      </c>
      <c r="C849" s="0" t="str">
        <f aca="false">IF(B849=1,MAX(C$1:C848)+1,"")</f>
        <v/>
      </c>
    </row>
    <row r="850" customFormat="false" ht="15" hidden="false" customHeight="false" outlineLevel="0" collapsed="false">
      <c r="A850" s="0" t="str">
        <f aca="false">IF(DECKS!B850="","",DECKS!B850)</f>
        <v/>
      </c>
      <c r="B850" s="0" t="str">
        <f aca="false">IF(A850="","",IF(MATCH(A850,$A$2:$A$3201,0)=ROW()-1,1,0))</f>
        <v/>
      </c>
      <c r="C850" s="0" t="str">
        <f aca="false">IF(B850=1,MAX(C$1:C849)+1,"")</f>
        <v/>
      </c>
    </row>
    <row r="851" customFormat="false" ht="15" hidden="false" customHeight="false" outlineLevel="0" collapsed="false">
      <c r="A851" s="0" t="str">
        <f aca="false">IF(DECKS!B851="","",DECKS!B851)</f>
        <v/>
      </c>
      <c r="B851" s="0" t="str">
        <f aca="false">IF(A851="","",IF(MATCH(A851,$A$2:$A$3201,0)=ROW()-1,1,0))</f>
        <v/>
      </c>
      <c r="C851" s="0" t="str">
        <f aca="false">IF(B851=1,MAX(C$1:C850)+1,"")</f>
        <v/>
      </c>
    </row>
    <row r="852" customFormat="false" ht="15" hidden="false" customHeight="false" outlineLevel="0" collapsed="false">
      <c r="A852" s="0" t="str">
        <f aca="false">IF(DECKS!B852="","",DECKS!B852)</f>
        <v/>
      </c>
      <c r="B852" s="0" t="str">
        <f aca="false">IF(A852="","",IF(MATCH(A852,$A$2:$A$3201,0)=ROW()-1,1,0))</f>
        <v/>
      </c>
      <c r="C852" s="0" t="str">
        <f aca="false">IF(B852=1,MAX(C$1:C851)+1,"")</f>
        <v/>
      </c>
    </row>
    <row r="853" customFormat="false" ht="15" hidden="false" customHeight="false" outlineLevel="0" collapsed="false">
      <c r="A853" s="0" t="str">
        <f aca="false">IF(DECKS!B853="","",DECKS!B853)</f>
        <v/>
      </c>
      <c r="B853" s="0" t="str">
        <f aca="false">IF(A853="","",IF(MATCH(A853,$A$2:$A$3201,0)=ROW()-1,1,0))</f>
        <v/>
      </c>
      <c r="C853" s="0" t="str">
        <f aca="false">IF(B853=1,MAX(C$1:C852)+1,"")</f>
        <v/>
      </c>
    </row>
    <row r="854" customFormat="false" ht="15" hidden="false" customHeight="false" outlineLevel="0" collapsed="false">
      <c r="A854" s="0" t="str">
        <f aca="false">IF(DECKS!B854="","",DECKS!B854)</f>
        <v/>
      </c>
      <c r="B854" s="0" t="str">
        <f aca="false">IF(A854="","",IF(MATCH(A854,$A$2:$A$3201,0)=ROW()-1,1,0))</f>
        <v/>
      </c>
      <c r="C854" s="0" t="str">
        <f aca="false">IF(B854=1,MAX(C$1:C853)+1,"")</f>
        <v/>
      </c>
    </row>
    <row r="855" customFormat="false" ht="15" hidden="false" customHeight="false" outlineLevel="0" collapsed="false">
      <c r="A855" s="0" t="str">
        <f aca="false">IF(DECKS!B855="","",DECKS!B855)</f>
        <v/>
      </c>
      <c r="B855" s="0" t="str">
        <f aca="false">IF(A855="","",IF(MATCH(A855,$A$2:$A$3201,0)=ROW()-1,1,0))</f>
        <v/>
      </c>
      <c r="C855" s="0" t="str">
        <f aca="false">IF(B855=1,MAX(C$1:C854)+1,"")</f>
        <v/>
      </c>
    </row>
    <row r="856" customFormat="false" ht="15" hidden="false" customHeight="false" outlineLevel="0" collapsed="false">
      <c r="A856" s="0" t="str">
        <f aca="false">IF(DECKS!B856="","",DECKS!B856)</f>
        <v/>
      </c>
      <c r="B856" s="0" t="str">
        <f aca="false">IF(A856="","",IF(MATCH(A856,$A$2:$A$3201,0)=ROW()-1,1,0))</f>
        <v/>
      </c>
      <c r="C856" s="0" t="str">
        <f aca="false">IF(B856=1,MAX(C$1:C855)+1,"")</f>
        <v/>
      </c>
    </row>
    <row r="857" customFormat="false" ht="15" hidden="false" customHeight="false" outlineLevel="0" collapsed="false">
      <c r="A857" s="0" t="str">
        <f aca="false">IF(DECKS!B857="","",DECKS!B857)</f>
        <v/>
      </c>
      <c r="B857" s="0" t="str">
        <f aca="false">IF(A857="","",IF(MATCH(A857,$A$2:$A$3201,0)=ROW()-1,1,0))</f>
        <v/>
      </c>
      <c r="C857" s="0" t="str">
        <f aca="false">IF(B857=1,MAX(C$1:C856)+1,"")</f>
        <v/>
      </c>
    </row>
    <row r="858" customFormat="false" ht="15" hidden="false" customHeight="false" outlineLevel="0" collapsed="false">
      <c r="A858" s="0" t="str">
        <f aca="false">IF(DECKS!B858="","",DECKS!B858)</f>
        <v/>
      </c>
      <c r="B858" s="0" t="str">
        <f aca="false">IF(A858="","",IF(MATCH(A858,$A$2:$A$3201,0)=ROW()-1,1,0))</f>
        <v/>
      </c>
      <c r="C858" s="0" t="str">
        <f aca="false">IF(B858=1,MAX(C$1:C857)+1,"")</f>
        <v/>
      </c>
    </row>
    <row r="859" customFormat="false" ht="15" hidden="false" customHeight="false" outlineLevel="0" collapsed="false">
      <c r="A859" s="0" t="str">
        <f aca="false">IF(DECKS!B859="","",DECKS!B859)</f>
        <v/>
      </c>
      <c r="B859" s="0" t="str">
        <f aca="false">IF(A859="","",IF(MATCH(A859,$A$2:$A$3201,0)=ROW()-1,1,0))</f>
        <v/>
      </c>
      <c r="C859" s="0" t="str">
        <f aca="false">IF(B859=1,MAX(C$1:C858)+1,"")</f>
        <v/>
      </c>
    </row>
    <row r="860" customFormat="false" ht="15" hidden="false" customHeight="false" outlineLevel="0" collapsed="false">
      <c r="A860" s="0" t="str">
        <f aca="false">IF(DECKS!B860="","",DECKS!B860)</f>
        <v/>
      </c>
      <c r="B860" s="0" t="str">
        <f aca="false">IF(A860="","",IF(MATCH(A860,$A$2:$A$3201,0)=ROW()-1,1,0))</f>
        <v/>
      </c>
      <c r="C860" s="0" t="str">
        <f aca="false">IF(B860=1,MAX(C$1:C859)+1,"")</f>
        <v/>
      </c>
    </row>
    <row r="861" customFormat="false" ht="15" hidden="false" customHeight="false" outlineLevel="0" collapsed="false">
      <c r="A861" s="0" t="str">
        <f aca="false">IF(DECKS!B861="","",DECKS!B861)</f>
        <v/>
      </c>
      <c r="B861" s="0" t="str">
        <f aca="false">IF(A861="","",IF(MATCH(A861,$A$2:$A$3201,0)=ROW()-1,1,0))</f>
        <v/>
      </c>
      <c r="C861" s="0" t="str">
        <f aca="false">IF(B861=1,MAX(C$1:C860)+1,"")</f>
        <v/>
      </c>
    </row>
    <row r="862" customFormat="false" ht="15" hidden="false" customHeight="false" outlineLevel="0" collapsed="false">
      <c r="A862" s="0" t="str">
        <f aca="false">IF(DECKS!B862="","",DECKS!B862)</f>
        <v/>
      </c>
      <c r="B862" s="0" t="str">
        <f aca="false">IF(A862="","",IF(MATCH(A862,$A$2:$A$3201,0)=ROW()-1,1,0))</f>
        <v/>
      </c>
      <c r="C862" s="0" t="str">
        <f aca="false">IF(B862=1,MAX(C$1:C861)+1,"")</f>
        <v/>
      </c>
    </row>
    <row r="863" customFormat="false" ht="15" hidden="false" customHeight="false" outlineLevel="0" collapsed="false">
      <c r="A863" s="0" t="str">
        <f aca="false">IF(DECKS!B863="","",DECKS!B863)</f>
        <v/>
      </c>
      <c r="B863" s="0" t="str">
        <f aca="false">IF(A863="","",IF(MATCH(A863,$A$2:$A$3201,0)=ROW()-1,1,0))</f>
        <v/>
      </c>
      <c r="C863" s="0" t="str">
        <f aca="false">IF(B863=1,MAX(C$1:C862)+1,"")</f>
        <v/>
      </c>
    </row>
    <row r="864" customFormat="false" ht="15" hidden="false" customHeight="false" outlineLevel="0" collapsed="false">
      <c r="A864" s="0" t="str">
        <f aca="false">IF(DECKS!B864="","",DECKS!B864)</f>
        <v/>
      </c>
      <c r="B864" s="0" t="str">
        <f aca="false">IF(A864="","",IF(MATCH(A864,$A$2:$A$3201,0)=ROW()-1,1,0))</f>
        <v/>
      </c>
      <c r="C864" s="0" t="str">
        <f aca="false">IF(B864=1,MAX(C$1:C863)+1,"")</f>
        <v/>
      </c>
    </row>
    <row r="865" customFormat="false" ht="15" hidden="false" customHeight="false" outlineLevel="0" collapsed="false">
      <c r="A865" s="0" t="str">
        <f aca="false">IF(DECKS!B865="","",DECKS!B865)</f>
        <v/>
      </c>
      <c r="B865" s="0" t="str">
        <f aca="false">IF(A865="","",IF(MATCH(A865,$A$2:$A$3201,0)=ROW()-1,1,0))</f>
        <v/>
      </c>
      <c r="C865" s="0" t="str">
        <f aca="false">IF(B865=1,MAX(C$1:C864)+1,"")</f>
        <v/>
      </c>
    </row>
    <row r="866" customFormat="false" ht="15" hidden="false" customHeight="false" outlineLevel="0" collapsed="false">
      <c r="A866" s="0" t="str">
        <f aca="false">IF(DECKS!B866="","",DECKS!B866)</f>
        <v/>
      </c>
      <c r="B866" s="0" t="str">
        <f aca="false">IF(A866="","",IF(MATCH(A866,$A$2:$A$3201,0)=ROW()-1,1,0))</f>
        <v/>
      </c>
      <c r="C866" s="0" t="str">
        <f aca="false">IF(B866=1,MAX(C$1:C865)+1,"")</f>
        <v/>
      </c>
    </row>
    <row r="867" customFormat="false" ht="15" hidden="false" customHeight="false" outlineLevel="0" collapsed="false">
      <c r="A867" s="0" t="str">
        <f aca="false">IF(DECKS!B867="","",DECKS!B867)</f>
        <v/>
      </c>
      <c r="B867" s="0" t="str">
        <f aca="false">IF(A867="","",IF(MATCH(A867,$A$2:$A$3201,0)=ROW()-1,1,0))</f>
        <v/>
      </c>
      <c r="C867" s="0" t="str">
        <f aca="false">IF(B867=1,MAX(C$1:C866)+1,"")</f>
        <v/>
      </c>
    </row>
    <row r="868" customFormat="false" ht="15" hidden="false" customHeight="false" outlineLevel="0" collapsed="false">
      <c r="A868" s="0" t="str">
        <f aca="false">IF(DECKS!B868="","",DECKS!B868)</f>
        <v/>
      </c>
      <c r="B868" s="0" t="str">
        <f aca="false">IF(A868="","",IF(MATCH(A868,$A$2:$A$3201,0)=ROW()-1,1,0))</f>
        <v/>
      </c>
      <c r="C868" s="0" t="str">
        <f aca="false">IF(B868=1,MAX(C$1:C867)+1,"")</f>
        <v/>
      </c>
    </row>
    <row r="869" customFormat="false" ht="15" hidden="false" customHeight="false" outlineLevel="0" collapsed="false">
      <c r="A869" s="0" t="str">
        <f aca="false">IF(DECKS!B869="","",DECKS!B869)</f>
        <v/>
      </c>
      <c r="B869" s="0" t="str">
        <f aca="false">IF(A869="","",IF(MATCH(A869,$A$2:$A$3201,0)=ROW()-1,1,0))</f>
        <v/>
      </c>
      <c r="C869" s="0" t="str">
        <f aca="false">IF(B869=1,MAX(C$1:C868)+1,"")</f>
        <v/>
      </c>
    </row>
    <row r="870" customFormat="false" ht="15" hidden="false" customHeight="false" outlineLevel="0" collapsed="false">
      <c r="A870" s="0" t="str">
        <f aca="false">IF(DECKS!B870="","",DECKS!B870)</f>
        <v/>
      </c>
      <c r="B870" s="0" t="str">
        <f aca="false">IF(A870="","",IF(MATCH(A870,$A$2:$A$3201,0)=ROW()-1,1,0))</f>
        <v/>
      </c>
      <c r="C870" s="0" t="str">
        <f aca="false">IF(B870=1,MAX(C$1:C869)+1,"")</f>
        <v/>
      </c>
    </row>
    <row r="871" customFormat="false" ht="15" hidden="false" customHeight="false" outlineLevel="0" collapsed="false">
      <c r="A871" s="0" t="str">
        <f aca="false">IF(DECKS!B871="","",DECKS!B871)</f>
        <v/>
      </c>
      <c r="B871" s="0" t="str">
        <f aca="false">IF(A871="","",IF(MATCH(A871,$A$2:$A$3201,0)=ROW()-1,1,0))</f>
        <v/>
      </c>
      <c r="C871" s="0" t="str">
        <f aca="false">IF(B871=1,MAX(C$1:C870)+1,"")</f>
        <v/>
      </c>
    </row>
    <row r="872" customFormat="false" ht="15" hidden="false" customHeight="false" outlineLevel="0" collapsed="false">
      <c r="A872" s="0" t="str">
        <f aca="false">IF(DECKS!B872="","",DECKS!B872)</f>
        <v/>
      </c>
      <c r="B872" s="0" t="str">
        <f aca="false">IF(A872="","",IF(MATCH(A872,$A$2:$A$3201,0)=ROW()-1,1,0))</f>
        <v/>
      </c>
      <c r="C872" s="0" t="str">
        <f aca="false">IF(B872=1,MAX(C$1:C871)+1,"")</f>
        <v/>
      </c>
    </row>
    <row r="873" customFormat="false" ht="15" hidden="false" customHeight="false" outlineLevel="0" collapsed="false">
      <c r="A873" s="0" t="str">
        <f aca="false">IF(DECKS!B873="","",DECKS!B873)</f>
        <v/>
      </c>
      <c r="B873" s="0" t="str">
        <f aca="false">IF(A873="","",IF(MATCH(A873,$A$2:$A$3201,0)=ROW()-1,1,0))</f>
        <v/>
      </c>
      <c r="C873" s="0" t="str">
        <f aca="false">IF(B873=1,MAX(C$1:C872)+1,"")</f>
        <v/>
      </c>
    </row>
    <row r="874" customFormat="false" ht="15" hidden="false" customHeight="false" outlineLevel="0" collapsed="false">
      <c r="A874" s="0" t="str">
        <f aca="false">IF(DECKS!B874="","",DECKS!B874)</f>
        <v/>
      </c>
      <c r="B874" s="0" t="str">
        <f aca="false">IF(A874="","",IF(MATCH(A874,$A$2:$A$3201,0)=ROW()-1,1,0))</f>
        <v/>
      </c>
      <c r="C874" s="0" t="str">
        <f aca="false">IF(B874=1,MAX(C$1:C873)+1,"")</f>
        <v/>
      </c>
    </row>
    <row r="875" customFormat="false" ht="15" hidden="false" customHeight="false" outlineLevel="0" collapsed="false">
      <c r="A875" s="0" t="str">
        <f aca="false">IF(DECKS!B875="","",DECKS!B875)</f>
        <v/>
      </c>
      <c r="B875" s="0" t="str">
        <f aca="false">IF(A875="","",IF(MATCH(A875,$A$2:$A$3201,0)=ROW()-1,1,0))</f>
        <v/>
      </c>
      <c r="C875" s="0" t="str">
        <f aca="false">IF(B875=1,MAX(C$1:C874)+1,"")</f>
        <v/>
      </c>
    </row>
    <row r="876" customFormat="false" ht="15" hidden="false" customHeight="false" outlineLevel="0" collapsed="false">
      <c r="A876" s="0" t="str">
        <f aca="false">IF(DECKS!B876="","",DECKS!B876)</f>
        <v/>
      </c>
      <c r="B876" s="0" t="str">
        <f aca="false">IF(A876="","",IF(MATCH(A876,$A$2:$A$3201,0)=ROW()-1,1,0))</f>
        <v/>
      </c>
      <c r="C876" s="0" t="str">
        <f aca="false">IF(B876=1,MAX(C$1:C875)+1,"")</f>
        <v/>
      </c>
    </row>
    <row r="877" customFormat="false" ht="15" hidden="false" customHeight="false" outlineLevel="0" collapsed="false">
      <c r="A877" s="0" t="str">
        <f aca="false">IF(DECKS!B877="","",DECKS!B877)</f>
        <v/>
      </c>
      <c r="B877" s="0" t="str">
        <f aca="false">IF(A877="","",IF(MATCH(A877,$A$2:$A$3201,0)=ROW()-1,1,0))</f>
        <v/>
      </c>
      <c r="C877" s="0" t="str">
        <f aca="false">IF(B877=1,MAX(C$1:C876)+1,"")</f>
        <v/>
      </c>
    </row>
    <row r="878" customFormat="false" ht="15" hidden="false" customHeight="false" outlineLevel="0" collapsed="false">
      <c r="A878" s="0" t="str">
        <f aca="false">IF(DECKS!B878="","",DECKS!B878)</f>
        <v/>
      </c>
      <c r="B878" s="0" t="str">
        <f aca="false">IF(A878="","",IF(MATCH(A878,$A$2:$A$3201,0)=ROW()-1,1,0))</f>
        <v/>
      </c>
      <c r="C878" s="0" t="str">
        <f aca="false">IF(B878=1,MAX(C$1:C877)+1,"")</f>
        <v/>
      </c>
    </row>
    <row r="879" customFormat="false" ht="15" hidden="false" customHeight="false" outlineLevel="0" collapsed="false">
      <c r="A879" s="0" t="str">
        <f aca="false">IF(DECKS!B879="","",DECKS!B879)</f>
        <v/>
      </c>
      <c r="B879" s="0" t="str">
        <f aca="false">IF(A879="","",IF(MATCH(A879,$A$2:$A$3201,0)=ROW()-1,1,0))</f>
        <v/>
      </c>
      <c r="C879" s="0" t="str">
        <f aca="false">IF(B879=1,MAX(C$1:C878)+1,"")</f>
        <v/>
      </c>
    </row>
    <row r="880" customFormat="false" ht="15" hidden="false" customHeight="false" outlineLevel="0" collapsed="false">
      <c r="A880" s="0" t="str">
        <f aca="false">IF(DECKS!B880="","",DECKS!B880)</f>
        <v/>
      </c>
      <c r="B880" s="0" t="str">
        <f aca="false">IF(A880="","",IF(MATCH(A880,$A$2:$A$3201,0)=ROW()-1,1,0))</f>
        <v/>
      </c>
      <c r="C880" s="0" t="str">
        <f aca="false">IF(B880=1,MAX(C$1:C879)+1,"")</f>
        <v/>
      </c>
    </row>
    <row r="881" customFormat="false" ht="15" hidden="false" customHeight="false" outlineLevel="0" collapsed="false">
      <c r="A881" s="0" t="str">
        <f aca="false">IF(DECKS!B881="","",DECKS!B881)</f>
        <v/>
      </c>
      <c r="B881" s="0" t="str">
        <f aca="false">IF(A881="","",IF(MATCH(A881,$A$2:$A$3201,0)=ROW()-1,1,0))</f>
        <v/>
      </c>
      <c r="C881" s="0" t="str">
        <f aca="false">IF(B881=1,MAX(C$1:C880)+1,"")</f>
        <v/>
      </c>
    </row>
    <row r="882" customFormat="false" ht="15" hidden="false" customHeight="false" outlineLevel="0" collapsed="false">
      <c r="A882" s="0" t="str">
        <f aca="false">IF(DECKS!B882="","",DECKS!B882)</f>
        <v/>
      </c>
      <c r="B882" s="0" t="str">
        <f aca="false">IF(A882="","",IF(MATCH(A882,$A$2:$A$3201,0)=ROW()-1,1,0))</f>
        <v/>
      </c>
      <c r="C882" s="0" t="str">
        <f aca="false">IF(B882=1,MAX(C$1:C881)+1,"")</f>
        <v/>
      </c>
    </row>
    <row r="883" customFormat="false" ht="15" hidden="false" customHeight="false" outlineLevel="0" collapsed="false">
      <c r="A883" s="0" t="str">
        <f aca="false">IF(DECKS!B883="","",DECKS!B883)</f>
        <v/>
      </c>
      <c r="B883" s="0" t="str">
        <f aca="false">IF(A883="","",IF(MATCH(A883,$A$2:$A$3201,0)=ROW()-1,1,0))</f>
        <v/>
      </c>
      <c r="C883" s="0" t="str">
        <f aca="false">IF(B883=1,MAX(C$1:C882)+1,"")</f>
        <v/>
      </c>
    </row>
    <row r="884" customFormat="false" ht="15" hidden="false" customHeight="false" outlineLevel="0" collapsed="false">
      <c r="A884" s="0" t="str">
        <f aca="false">IF(DECKS!B884="","",DECKS!B884)</f>
        <v/>
      </c>
      <c r="B884" s="0" t="str">
        <f aca="false">IF(A884="","",IF(MATCH(A884,$A$2:$A$3201,0)=ROW()-1,1,0))</f>
        <v/>
      </c>
      <c r="C884" s="0" t="str">
        <f aca="false">IF(B884=1,MAX(C$1:C883)+1,"")</f>
        <v/>
      </c>
    </row>
    <row r="885" customFormat="false" ht="15" hidden="false" customHeight="false" outlineLevel="0" collapsed="false">
      <c r="A885" s="0" t="str">
        <f aca="false">IF(DECKS!B885="","",DECKS!B885)</f>
        <v/>
      </c>
      <c r="B885" s="0" t="str">
        <f aca="false">IF(A885="","",IF(MATCH(A885,$A$2:$A$3201,0)=ROW()-1,1,0))</f>
        <v/>
      </c>
      <c r="C885" s="0" t="str">
        <f aca="false">IF(B885=1,MAX(C$1:C884)+1,"")</f>
        <v/>
      </c>
    </row>
    <row r="886" customFormat="false" ht="15" hidden="false" customHeight="false" outlineLevel="0" collapsed="false">
      <c r="A886" s="0" t="str">
        <f aca="false">IF(DECKS!B886="","",DECKS!B886)</f>
        <v/>
      </c>
      <c r="B886" s="0" t="str">
        <f aca="false">IF(A886="","",IF(MATCH(A886,$A$2:$A$3201,0)=ROW()-1,1,0))</f>
        <v/>
      </c>
      <c r="C886" s="0" t="str">
        <f aca="false">IF(B886=1,MAX(C$1:C885)+1,"")</f>
        <v/>
      </c>
    </row>
    <row r="887" customFormat="false" ht="15" hidden="false" customHeight="false" outlineLevel="0" collapsed="false">
      <c r="A887" s="0" t="str">
        <f aca="false">IF(DECKS!B887="","",DECKS!B887)</f>
        <v/>
      </c>
      <c r="B887" s="0" t="str">
        <f aca="false">IF(A887="","",IF(MATCH(A887,$A$2:$A$3201,0)=ROW()-1,1,0))</f>
        <v/>
      </c>
      <c r="C887" s="0" t="str">
        <f aca="false">IF(B887=1,MAX(C$1:C886)+1,"")</f>
        <v/>
      </c>
    </row>
    <row r="888" customFormat="false" ht="15" hidden="false" customHeight="false" outlineLevel="0" collapsed="false">
      <c r="A888" s="0" t="str">
        <f aca="false">IF(DECKS!B888="","",DECKS!B888)</f>
        <v/>
      </c>
      <c r="B888" s="0" t="str">
        <f aca="false">IF(A888="","",IF(MATCH(A888,$A$2:$A$3201,0)=ROW()-1,1,0))</f>
        <v/>
      </c>
      <c r="C888" s="0" t="str">
        <f aca="false">IF(B888=1,MAX(C$1:C887)+1,"")</f>
        <v/>
      </c>
    </row>
    <row r="889" customFormat="false" ht="15" hidden="false" customHeight="false" outlineLevel="0" collapsed="false">
      <c r="A889" s="0" t="str">
        <f aca="false">IF(DECKS!B889="","",DECKS!B889)</f>
        <v/>
      </c>
      <c r="B889" s="0" t="str">
        <f aca="false">IF(A889="","",IF(MATCH(A889,$A$2:$A$3201,0)=ROW()-1,1,0))</f>
        <v/>
      </c>
      <c r="C889" s="0" t="str">
        <f aca="false">IF(B889=1,MAX(C$1:C888)+1,"")</f>
        <v/>
      </c>
    </row>
    <row r="890" customFormat="false" ht="15" hidden="false" customHeight="false" outlineLevel="0" collapsed="false">
      <c r="A890" s="0" t="str">
        <f aca="false">IF(DECKS!B890="","",DECKS!B890)</f>
        <v/>
      </c>
      <c r="B890" s="0" t="str">
        <f aca="false">IF(A890="","",IF(MATCH(A890,$A$2:$A$3201,0)=ROW()-1,1,0))</f>
        <v/>
      </c>
      <c r="C890" s="0" t="str">
        <f aca="false">IF(B890=1,MAX(C$1:C889)+1,"")</f>
        <v/>
      </c>
    </row>
    <row r="891" customFormat="false" ht="15" hidden="false" customHeight="false" outlineLevel="0" collapsed="false">
      <c r="A891" s="0" t="str">
        <f aca="false">IF(DECKS!B891="","",DECKS!B891)</f>
        <v/>
      </c>
      <c r="B891" s="0" t="str">
        <f aca="false">IF(A891="","",IF(MATCH(A891,$A$2:$A$3201,0)=ROW()-1,1,0))</f>
        <v/>
      </c>
      <c r="C891" s="0" t="str">
        <f aca="false">IF(B891=1,MAX(C$1:C890)+1,"")</f>
        <v/>
      </c>
    </row>
    <row r="892" customFormat="false" ht="15" hidden="false" customHeight="false" outlineLevel="0" collapsed="false">
      <c r="A892" s="0" t="str">
        <f aca="false">IF(DECKS!B892="","",DECKS!B892)</f>
        <v/>
      </c>
      <c r="B892" s="0" t="str">
        <f aca="false">IF(A892="","",IF(MATCH(A892,$A$2:$A$3201,0)=ROW()-1,1,0))</f>
        <v/>
      </c>
      <c r="C892" s="0" t="str">
        <f aca="false">IF(B892=1,MAX(C$1:C891)+1,"")</f>
        <v/>
      </c>
    </row>
    <row r="893" customFormat="false" ht="15" hidden="false" customHeight="false" outlineLevel="0" collapsed="false">
      <c r="A893" s="0" t="str">
        <f aca="false">IF(DECKS!B893="","",DECKS!B893)</f>
        <v/>
      </c>
      <c r="B893" s="0" t="str">
        <f aca="false">IF(A893="","",IF(MATCH(A893,$A$2:$A$3201,0)=ROW()-1,1,0))</f>
        <v/>
      </c>
      <c r="C893" s="0" t="str">
        <f aca="false">IF(B893=1,MAX(C$1:C892)+1,"")</f>
        <v/>
      </c>
    </row>
    <row r="894" customFormat="false" ht="15" hidden="false" customHeight="false" outlineLevel="0" collapsed="false">
      <c r="A894" s="0" t="str">
        <f aca="false">IF(DECKS!B894="","",DECKS!B894)</f>
        <v/>
      </c>
      <c r="B894" s="0" t="str">
        <f aca="false">IF(A894="","",IF(MATCH(A894,$A$2:$A$3201,0)=ROW()-1,1,0))</f>
        <v/>
      </c>
      <c r="C894" s="0" t="str">
        <f aca="false">IF(B894=1,MAX(C$1:C893)+1,"")</f>
        <v/>
      </c>
    </row>
    <row r="895" customFormat="false" ht="15" hidden="false" customHeight="false" outlineLevel="0" collapsed="false">
      <c r="A895" s="0" t="str">
        <f aca="false">IF(DECKS!B895="","",DECKS!B895)</f>
        <v/>
      </c>
      <c r="B895" s="0" t="str">
        <f aca="false">IF(A895="","",IF(MATCH(A895,$A$2:$A$3201,0)=ROW()-1,1,0))</f>
        <v/>
      </c>
      <c r="C895" s="0" t="str">
        <f aca="false">IF(B895=1,MAX(C$1:C894)+1,"")</f>
        <v/>
      </c>
    </row>
    <row r="896" customFormat="false" ht="15" hidden="false" customHeight="false" outlineLevel="0" collapsed="false">
      <c r="A896" s="0" t="str">
        <f aca="false">IF(DECKS!B896="","",DECKS!B896)</f>
        <v/>
      </c>
      <c r="B896" s="0" t="str">
        <f aca="false">IF(A896="","",IF(MATCH(A896,$A$2:$A$3201,0)=ROW()-1,1,0))</f>
        <v/>
      </c>
      <c r="C896" s="0" t="str">
        <f aca="false">IF(B896=1,MAX(C$1:C895)+1,"")</f>
        <v/>
      </c>
    </row>
    <row r="897" customFormat="false" ht="15" hidden="false" customHeight="false" outlineLevel="0" collapsed="false">
      <c r="A897" s="0" t="str">
        <f aca="false">IF(DECKS!B897="","",DECKS!B897)</f>
        <v/>
      </c>
      <c r="B897" s="0" t="str">
        <f aca="false">IF(A897="","",IF(MATCH(A897,$A$2:$A$3201,0)=ROW()-1,1,0))</f>
        <v/>
      </c>
      <c r="C897" s="0" t="str">
        <f aca="false">IF(B897=1,MAX(C$1:C896)+1,"")</f>
        <v/>
      </c>
    </row>
    <row r="898" customFormat="false" ht="15" hidden="false" customHeight="false" outlineLevel="0" collapsed="false">
      <c r="A898" s="0" t="str">
        <f aca="false">IF(DECKS!B898="","",DECKS!B898)</f>
        <v/>
      </c>
      <c r="B898" s="0" t="str">
        <f aca="false">IF(A898="","",IF(MATCH(A898,$A$2:$A$3201,0)=ROW()-1,1,0))</f>
        <v/>
      </c>
      <c r="C898" s="0" t="str">
        <f aca="false">IF(B898=1,MAX(C$1:C897)+1,"")</f>
        <v/>
      </c>
    </row>
    <row r="899" customFormat="false" ht="15" hidden="false" customHeight="false" outlineLevel="0" collapsed="false">
      <c r="A899" s="0" t="str">
        <f aca="false">IF(DECKS!B899="","",DECKS!B899)</f>
        <v/>
      </c>
      <c r="B899" s="0" t="str">
        <f aca="false">IF(A899="","",IF(MATCH(A899,$A$2:$A$3201,0)=ROW()-1,1,0))</f>
        <v/>
      </c>
      <c r="C899" s="0" t="str">
        <f aca="false">IF(B899=1,MAX(C$1:C898)+1,"")</f>
        <v/>
      </c>
    </row>
    <row r="900" customFormat="false" ht="15" hidden="false" customHeight="false" outlineLevel="0" collapsed="false">
      <c r="A900" s="0" t="str">
        <f aca="false">IF(DECKS!B900="","",DECKS!B900)</f>
        <v/>
      </c>
      <c r="B900" s="0" t="str">
        <f aca="false">IF(A900="","",IF(MATCH(A900,$A$2:$A$3201,0)=ROW()-1,1,0))</f>
        <v/>
      </c>
      <c r="C900" s="0" t="str">
        <f aca="false">IF(B900=1,MAX(C$1:C899)+1,"")</f>
        <v/>
      </c>
    </row>
    <row r="901" customFormat="false" ht="15" hidden="false" customHeight="false" outlineLevel="0" collapsed="false">
      <c r="A901" s="0" t="str">
        <f aca="false">IF(DECKS!B901="","",DECKS!B901)</f>
        <v/>
      </c>
      <c r="B901" s="0" t="str">
        <f aca="false">IF(A901="","",IF(MATCH(A901,$A$2:$A$3201,0)=ROW()-1,1,0))</f>
        <v/>
      </c>
      <c r="C901" s="0" t="str">
        <f aca="false">IF(B901=1,MAX(C$1:C900)+1,"")</f>
        <v/>
      </c>
    </row>
    <row r="902" customFormat="false" ht="15" hidden="false" customHeight="false" outlineLevel="0" collapsed="false">
      <c r="A902" s="0" t="str">
        <f aca="false">IF(DECKS!B902="","",DECKS!B902)</f>
        <v/>
      </c>
      <c r="B902" s="0" t="str">
        <f aca="false">IF(A902="","",IF(MATCH(A902,$A$2:$A$3201,0)=ROW()-1,1,0))</f>
        <v/>
      </c>
      <c r="C902" s="0" t="str">
        <f aca="false">IF(B902=1,MAX(C$1:C901)+1,"")</f>
        <v/>
      </c>
    </row>
    <row r="903" customFormat="false" ht="15" hidden="false" customHeight="false" outlineLevel="0" collapsed="false">
      <c r="A903" s="0" t="str">
        <f aca="false">IF(DECKS!B903="","",DECKS!B903)</f>
        <v/>
      </c>
      <c r="B903" s="0" t="str">
        <f aca="false">IF(A903="","",IF(MATCH(A903,$A$2:$A$3201,0)=ROW()-1,1,0))</f>
        <v/>
      </c>
      <c r="C903" s="0" t="str">
        <f aca="false">IF(B903=1,MAX(C$1:C902)+1,"")</f>
        <v/>
      </c>
    </row>
    <row r="904" customFormat="false" ht="15" hidden="false" customHeight="false" outlineLevel="0" collapsed="false">
      <c r="A904" s="0" t="str">
        <f aca="false">IF(DECKS!B904="","",DECKS!B904)</f>
        <v/>
      </c>
      <c r="B904" s="0" t="str">
        <f aca="false">IF(A904="","",IF(MATCH(A904,$A$2:$A$3201,0)=ROW()-1,1,0))</f>
        <v/>
      </c>
      <c r="C904" s="0" t="str">
        <f aca="false">IF(B904=1,MAX(C$1:C903)+1,"")</f>
        <v/>
      </c>
    </row>
    <row r="905" customFormat="false" ht="15" hidden="false" customHeight="false" outlineLevel="0" collapsed="false">
      <c r="A905" s="0" t="str">
        <f aca="false">IF(DECKS!B905="","",DECKS!B905)</f>
        <v/>
      </c>
      <c r="B905" s="0" t="str">
        <f aca="false">IF(A905="","",IF(MATCH(A905,$A$2:$A$3201,0)=ROW()-1,1,0))</f>
        <v/>
      </c>
      <c r="C905" s="0" t="str">
        <f aca="false">IF(B905=1,MAX(C$1:C904)+1,"")</f>
        <v/>
      </c>
    </row>
    <row r="906" customFormat="false" ht="15" hidden="false" customHeight="false" outlineLevel="0" collapsed="false">
      <c r="A906" s="0" t="str">
        <f aca="false">IF(DECKS!B906="","",DECKS!B906)</f>
        <v/>
      </c>
      <c r="B906" s="0" t="str">
        <f aca="false">IF(A906="","",IF(MATCH(A906,$A$2:$A$3201,0)=ROW()-1,1,0))</f>
        <v/>
      </c>
      <c r="C906" s="0" t="str">
        <f aca="false">IF(B906=1,MAX(C$1:C905)+1,"")</f>
        <v/>
      </c>
    </row>
    <row r="907" customFormat="false" ht="15" hidden="false" customHeight="false" outlineLevel="0" collapsed="false">
      <c r="A907" s="0" t="str">
        <f aca="false">IF(DECKS!B907="","",DECKS!B907)</f>
        <v/>
      </c>
      <c r="B907" s="0" t="str">
        <f aca="false">IF(A907="","",IF(MATCH(A907,$A$2:$A$3201,0)=ROW()-1,1,0))</f>
        <v/>
      </c>
      <c r="C907" s="0" t="str">
        <f aca="false">IF(B907=1,MAX(C$1:C906)+1,"")</f>
        <v/>
      </c>
    </row>
    <row r="908" customFormat="false" ht="15" hidden="false" customHeight="false" outlineLevel="0" collapsed="false">
      <c r="A908" s="0" t="str">
        <f aca="false">IF(DECKS!B908="","",DECKS!B908)</f>
        <v/>
      </c>
      <c r="B908" s="0" t="str">
        <f aca="false">IF(A908="","",IF(MATCH(A908,$A$2:$A$3201,0)=ROW()-1,1,0))</f>
        <v/>
      </c>
      <c r="C908" s="0" t="str">
        <f aca="false">IF(B908=1,MAX(C$1:C907)+1,"")</f>
        <v/>
      </c>
    </row>
    <row r="909" customFormat="false" ht="15" hidden="false" customHeight="false" outlineLevel="0" collapsed="false">
      <c r="A909" s="0" t="str">
        <f aca="false">IF(DECKS!B909="","",DECKS!B909)</f>
        <v/>
      </c>
      <c r="B909" s="0" t="str">
        <f aca="false">IF(A909="","",IF(MATCH(A909,$A$2:$A$3201,0)=ROW()-1,1,0))</f>
        <v/>
      </c>
      <c r="C909" s="0" t="str">
        <f aca="false">IF(B909=1,MAX(C$1:C908)+1,"")</f>
        <v/>
      </c>
    </row>
    <row r="910" customFormat="false" ht="15" hidden="false" customHeight="false" outlineLevel="0" collapsed="false">
      <c r="A910" s="0" t="str">
        <f aca="false">IF(DECKS!B910="","",DECKS!B910)</f>
        <v/>
      </c>
      <c r="B910" s="0" t="str">
        <f aca="false">IF(A910="","",IF(MATCH(A910,$A$2:$A$3201,0)=ROW()-1,1,0))</f>
        <v/>
      </c>
      <c r="C910" s="0" t="str">
        <f aca="false">IF(B910=1,MAX(C$1:C909)+1,"")</f>
        <v/>
      </c>
    </row>
    <row r="911" customFormat="false" ht="15" hidden="false" customHeight="false" outlineLevel="0" collapsed="false">
      <c r="A911" s="0" t="str">
        <f aca="false">IF(DECKS!B911="","",DECKS!B911)</f>
        <v/>
      </c>
      <c r="B911" s="0" t="str">
        <f aca="false">IF(A911="","",IF(MATCH(A911,$A$2:$A$3201,0)=ROW()-1,1,0))</f>
        <v/>
      </c>
      <c r="C911" s="0" t="str">
        <f aca="false">IF(B911=1,MAX(C$1:C910)+1,"")</f>
        <v/>
      </c>
    </row>
    <row r="912" customFormat="false" ht="15" hidden="false" customHeight="false" outlineLevel="0" collapsed="false">
      <c r="A912" s="0" t="str">
        <f aca="false">IF(DECKS!B912="","",DECKS!B912)</f>
        <v/>
      </c>
      <c r="B912" s="0" t="str">
        <f aca="false">IF(A912="","",IF(MATCH(A912,$A$2:$A$3201,0)=ROW()-1,1,0))</f>
        <v/>
      </c>
      <c r="C912" s="0" t="str">
        <f aca="false">IF(B912=1,MAX(C$1:C911)+1,"")</f>
        <v/>
      </c>
    </row>
    <row r="913" customFormat="false" ht="15" hidden="false" customHeight="false" outlineLevel="0" collapsed="false">
      <c r="A913" s="0" t="str">
        <f aca="false">IF(DECKS!B913="","",DECKS!B913)</f>
        <v/>
      </c>
      <c r="B913" s="0" t="str">
        <f aca="false">IF(A913="","",IF(MATCH(A913,$A$2:$A$3201,0)=ROW()-1,1,0))</f>
        <v/>
      </c>
      <c r="C913" s="0" t="str">
        <f aca="false">IF(B913=1,MAX(C$1:C912)+1,"")</f>
        <v/>
      </c>
    </row>
    <row r="914" customFormat="false" ht="15" hidden="false" customHeight="false" outlineLevel="0" collapsed="false">
      <c r="A914" s="0" t="str">
        <f aca="false">IF(DECKS!B914="","",DECKS!B914)</f>
        <v/>
      </c>
      <c r="B914" s="0" t="str">
        <f aca="false">IF(A914="","",IF(MATCH(A914,$A$2:$A$3201,0)=ROW()-1,1,0))</f>
        <v/>
      </c>
      <c r="C914" s="0" t="str">
        <f aca="false">IF(B914=1,MAX(C$1:C913)+1,"")</f>
        <v/>
      </c>
    </row>
    <row r="915" customFormat="false" ht="15" hidden="false" customHeight="false" outlineLevel="0" collapsed="false">
      <c r="A915" s="0" t="str">
        <f aca="false">IF(DECKS!B915="","",DECKS!B915)</f>
        <v/>
      </c>
      <c r="B915" s="0" t="str">
        <f aca="false">IF(A915="","",IF(MATCH(A915,$A$2:$A$3201,0)=ROW()-1,1,0))</f>
        <v/>
      </c>
      <c r="C915" s="0" t="str">
        <f aca="false">IF(B915=1,MAX(C$1:C914)+1,"")</f>
        <v/>
      </c>
    </row>
    <row r="916" customFormat="false" ht="15" hidden="false" customHeight="false" outlineLevel="0" collapsed="false">
      <c r="A916" s="0" t="str">
        <f aca="false">IF(DECKS!B916="","",DECKS!B916)</f>
        <v/>
      </c>
      <c r="B916" s="0" t="str">
        <f aca="false">IF(A916="","",IF(MATCH(A916,$A$2:$A$3201,0)=ROW()-1,1,0))</f>
        <v/>
      </c>
      <c r="C916" s="0" t="str">
        <f aca="false">IF(B916=1,MAX(C$1:C915)+1,"")</f>
        <v/>
      </c>
    </row>
    <row r="917" customFormat="false" ht="15" hidden="false" customHeight="false" outlineLevel="0" collapsed="false">
      <c r="A917" s="0" t="str">
        <f aca="false">IF(DECKS!B917="","",DECKS!B917)</f>
        <v/>
      </c>
      <c r="B917" s="0" t="str">
        <f aca="false">IF(A917="","",IF(MATCH(A917,$A$2:$A$3201,0)=ROW()-1,1,0))</f>
        <v/>
      </c>
      <c r="C917" s="0" t="str">
        <f aca="false">IF(B917=1,MAX(C$1:C916)+1,"")</f>
        <v/>
      </c>
    </row>
    <row r="918" customFormat="false" ht="15" hidden="false" customHeight="false" outlineLevel="0" collapsed="false">
      <c r="A918" s="0" t="str">
        <f aca="false">IF(DECKS!B918="","",DECKS!B918)</f>
        <v/>
      </c>
      <c r="B918" s="0" t="str">
        <f aca="false">IF(A918="","",IF(MATCH(A918,$A$2:$A$3201,0)=ROW()-1,1,0))</f>
        <v/>
      </c>
      <c r="C918" s="0" t="str">
        <f aca="false">IF(B918=1,MAX(C$1:C917)+1,"")</f>
        <v/>
      </c>
    </row>
    <row r="919" customFormat="false" ht="15" hidden="false" customHeight="false" outlineLevel="0" collapsed="false">
      <c r="A919" s="0" t="str">
        <f aca="false">IF(DECKS!B919="","",DECKS!B919)</f>
        <v/>
      </c>
      <c r="B919" s="0" t="str">
        <f aca="false">IF(A919="","",IF(MATCH(A919,$A$2:$A$3201,0)=ROW()-1,1,0))</f>
        <v/>
      </c>
      <c r="C919" s="0" t="str">
        <f aca="false">IF(B919=1,MAX(C$1:C918)+1,"")</f>
        <v/>
      </c>
    </row>
    <row r="920" customFormat="false" ht="15" hidden="false" customHeight="false" outlineLevel="0" collapsed="false">
      <c r="A920" s="0" t="str">
        <f aca="false">IF(DECKS!B920="","",DECKS!B920)</f>
        <v/>
      </c>
      <c r="B920" s="0" t="str">
        <f aca="false">IF(A920="","",IF(MATCH(A920,$A$2:$A$3201,0)=ROW()-1,1,0))</f>
        <v/>
      </c>
      <c r="C920" s="0" t="str">
        <f aca="false">IF(B920=1,MAX(C$1:C919)+1,"")</f>
        <v/>
      </c>
    </row>
    <row r="921" customFormat="false" ht="15" hidden="false" customHeight="false" outlineLevel="0" collapsed="false">
      <c r="A921" s="0" t="str">
        <f aca="false">IF(DECKS!B921="","",DECKS!B921)</f>
        <v/>
      </c>
      <c r="B921" s="0" t="str">
        <f aca="false">IF(A921="","",IF(MATCH(A921,$A$2:$A$3201,0)=ROW()-1,1,0))</f>
        <v/>
      </c>
      <c r="C921" s="0" t="str">
        <f aca="false">IF(B921=1,MAX(C$1:C920)+1,"")</f>
        <v/>
      </c>
    </row>
    <row r="922" customFormat="false" ht="15" hidden="false" customHeight="false" outlineLevel="0" collapsed="false">
      <c r="A922" s="0" t="str">
        <f aca="false">IF(DECKS!B922="","",DECKS!B922)</f>
        <v/>
      </c>
      <c r="B922" s="0" t="str">
        <f aca="false">IF(A922="","",IF(MATCH(A922,$A$2:$A$3201,0)=ROW()-1,1,0))</f>
        <v/>
      </c>
      <c r="C922" s="0" t="str">
        <f aca="false">IF(B922=1,MAX(C$1:C921)+1,"")</f>
        <v/>
      </c>
    </row>
    <row r="923" customFormat="false" ht="15" hidden="false" customHeight="false" outlineLevel="0" collapsed="false">
      <c r="A923" s="0" t="str">
        <f aca="false">IF(DECKS!B923="","",DECKS!B923)</f>
        <v/>
      </c>
      <c r="B923" s="0" t="str">
        <f aca="false">IF(A923="","",IF(MATCH(A923,$A$2:$A$3201,0)=ROW()-1,1,0))</f>
        <v/>
      </c>
      <c r="C923" s="0" t="str">
        <f aca="false">IF(B923=1,MAX(C$1:C922)+1,"")</f>
        <v/>
      </c>
    </row>
    <row r="924" customFormat="false" ht="15" hidden="false" customHeight="false" outlineLevel="0" collapsed="false">
      <c r="A924" s="0" t="str">
        <f aca="false">IF(DECKS!B924="","",DECKS!B924)</f>
        <v/>
      </c>
      <c r="B924" s="0" t="str">
        <f aca="false">IF(A924="","",IF(MATCH(A924,$A$2:$A$3201,0)=ROW()-1,1,0))</f>
        <v/>
      </c>
      <c r="C924" s="0" t="str">
        <f aca="false">IF(B924=1,MAX(C$1:C923)+1,"")</f>
        <v/>
      </c>
    </row>
    <row r="925" customFormat="false" ht="15" hidden="false" customHeight="false" outlineLevel="0" collapsed="false">
      <c r="A925" s="0" t="str">
        <f aca="false">IF(DECKS!B925="","",DECKS!B925)</f>
        <v/>
      </c>
      <c r="B925" s="0" t="str">
        <f aca="false">IF(A925="","",IF(MATCH(A925,$A$2:$A$3201,0)=ROW()-1,1,0))</f>
        <v/>
      </c>
      <c r="C925" s="0" t="str">
        <f aca="false">IF(B925=1,MAX(C$1:C924)+1,"")</f>
        <v/>
      </c>
    </row>
    <row r="926" customFormat="false" ht="15" hidden="false" customHeight="false" outlineLevel="0" collapsed="false">
      <c r="A926" s="0" t="str">
        <f aca="false">IF(DECKS!B926="","",DECKS!B926)</f>
        <v/>
      </c>
      <c r="B926" s="0" t="str">
        <f aca="false">IF(A926="","",IF(MATCH(A926,$A$2:$A$3201,0)=ROW()-1,1,0))</f>
        <v/>
      </c>
      <c r="C926" s="0" t="str">
        <f aca="false">IF(B926=1,MAX(C$1:C925)+1,"")</f>
        <v/>
      </c>
    </row>
    <row r="927" customFormat="false" ht="15" hidden="false" customHeight="false" outlineLevel="0" collapsed="false">
      <c r="A927" s="0" t="str">
        <f aca="false">IF(DECKS!B927="","",DECKS!B927)</f>
        <v/>
      </c>
      <c r="B927" s="0" t="str">
        <f aca="false">IF(A927="","",IF(MATCH(A927,$A$2:$A$3201,0)=ROW()-1,1,0))</f>
        <v/>
      </c>
      <c r="C927" s="0" t="str">
        <f aca="false">IF(B927=1,MAX(C$1:C926)+1,"")</f>
        <v/>
      </c>
    </row>
    <row r="928" customFormat="false" ht="15" hidden="false" customHeight="false" outlineLevel="0" collapsed="false">
      <c r="A928" s="0" t="str">
        <f aca="false">IF(DECKS!B928="","",DECKS!B928)</f>
        <v/>
      </c>
      <c r="B928" s="0" t="str">
        <f aca="false">IF(A928="","",IF(MATCH(A928,$A$2:$A$3201,0)=ROW()-1,1,0))</f>
        <v/>
      </c>
      <c r="C928" s="0" t="str">
        <f aca="false">IF(B928=1,MAX(C$1:C927)+1,"")</f>
        <v/>
      </c>
    </row>
    <row r="929" customFormat="false" ht="15" hidden="false" customHeight="false" outlineLevel="0" collapsed="false">
      <c r="A929" s="0" t="str">
        <f aca="false">IF(DECKS!B929="","",DECKS!B929)</f>
        <v/>
      </c>
      <c r="B929" s="0" t="str">
        <f aca="false">IF(A929="","",IF(MATCH(A929,$A$2:$A$3201,0)=ROW()-1,1,0))</f>
        <v/>
      </c>
      <c r="C929" s="0" t="str">
        <f aca="false">IF(B929=1,MAX(C$1:C928)+1,"")</f>
        <v/>
      </c>
    </row>
    <row r="930" customFormat="false" ht="15" hidden="false" customHeight="false" outlineLevel="0" collapsed="false">
      <c r="A930" s="0" t="str">
        <f aca="false">IF(DECKS!B930="","",DECKS!B930)</f>
        <v/>
      </c>
      <c r="B930" s="0" t="str">
        <f aca="false">IF(A930="","",IF(MATCH(A930,$A$2:$A$3201,0)=ROW()-1,1,0))</f>
        <v/>
      </c>
      <c r="C930" s="0" t="str">
        <f aca="false">IF(B930=1,MAX(C$1:C929)+1,"")</f>
        <v/>
      </c>
    </row>
    <row r="931" customFormat="false" ht="15" hidden="false" customHeight="false" outlineLevel="0" collapsed="false">
      <c r="A931" s="0" t="str">
        <f aca="false">IF(DECKS!B931="","",DECKS!B931)</f>
        <v/>
      </c>
      <c r="B931" s="0" t="str">
        <f aca="false">IF(A931="","",IF(MATCH(A931,$A$2:$A$3201,0)=ROW()-1,1,0))</f>
        <v/>
      </c>
      <c r="C931" s="0" t="str">
        <f aca="false">IF(B931=1,MAX(C$1:C930)+1,"")</f>
        <v/>
      </c>
    </row>
    <row r="932" customFormat="false" ht="15" hidden="false" customHeight="false" outlineLevel="0" collapsed="false">
      <c r="A932" s="0" t="str">
        <f aca="false">IF(DECKS!B932="","",DECKS!B932)</f>
        <v/>
      </c>
      <c r="B932" s="0" t="str">
        <f aca="false">IF(A932="","",IF(MATCH(A932,$A$2:$A$3201,0)=ROW()-1,1,0))</f>
        <v/>
      </c>
      <c r="C932" s="0" t="str">
        <f aca="false">IF(B932=1,MAX(C$1:C931)+1,"")</f>
        <v/>
      </c>
    </row>
    <row r="933" customFormat="false" ht="15" hidden="false" customHeight="false" outlineLevel="0" collapsed="false">
      <c r="A933" s="0" t="str">
        <f aca="false">IF(DECKS!B933="","",DECKS!B933)</f>
        <v/>
      </c>
      <c r="B933" s="0" t="str">
        <f aca="false">IF(A933="","",IF(MATCH(A933,$A$2:$A$3201,0)=ROW()-1,1,0))</f>
        <v/>
      </c>
      <c r="C933" s="0" t="str">
        <f aca="false">IF(B933=1,MAX(C$1:C932)+1,"")</f>
        <v/>
      </c>
    </row>
    <row r="934" customFormat="false" ht="15" hidden="false" customHeight="false" outlineLevel="0" collapsed="false">
      <c r="A934" s="0" t="str">
        <f aca="false">IF(DECKS!B934="","",DECKS!B934)</f>
        <v/>
      </c>
      <c r="B934" s="0" t="str">
        <f aca="false">IF(A934="","",IF(MATCH(A934,$A$2:$A$3201,0)=ROW()-1,1,0))</f>
        <v/>
      </c>
      <c r="C934" s="0" t="str">
        <f aca="false">IF(B934=1,MAX(C$1:C933)+1,"")</f>
        <v/>
      </c>
    </row>
    <row r="935" customFormat="false" ht="15" hidden="false" customHeight="false" outlineLevel="0" collapsed="false">
      <c r="A935" s="0" t="str">
        <f aca="false">IF(DECKS!B935="","",DECKS!B935)</f>
        <v/>
      </c>
      <c r="B935" s="0" t="str">
        <f aca="false">IF(A935="","",IF(MATCH(A935,$A$2:$A$3201,0)=ROW()-1,1,0))</f>
        <v/>
      </c>
      <c r="C935" s="0" t="str">
        <f aca="false">IF(B935=1,MAX(C$1:C934)+1,"")</f>
        <v/>
      </c>
    </row>
    <row r="936" customFormat="false" ht="15" hidden="false" customHeight="false" outlineLevel="0" collapsed="false">
      <c r="A936" s="0" t="str">
        <f aca="false">IF(DECKS!B936="","",DECKS!B936)</f>
        <v/>
      </c>
      <c r="B936" s="0" t="str">
        <f aca="false">IF(A936="","",IF(MATCH(A936,$A$2:$A$3201,0)=ROW()-1,1,0))</f>
        <v/>
      </c>
      <c r="C936" s="0" t="str">
        <f aca="false">IF(B936=1,MAX(C$1:C935)+1,"")</f>
        <v/>
      </c>
    </row>
    <row r="937" customFormat="false" ht="15" hidden="false" customHeight="false" outlineLevel="0" collapsed="false">
      <c r="A937" s="0" t="str">
        <f aca="false">IF(DECKS!B937="","",DECKS!B937)</f>
        <v/>
      </c>
      <c r="B937" s="0" t="str">
        <f aca="false">IF(A937="","",IF(MATCH(A937,$A$2:$A$3201,0)=ROW()-1,1,0))</f>
        <v/>
      </c>
      <c r="C937" s="0" t="str">
        <f aca="false">IF(B937=1,MAX(C$1:C936)+1,"")</f>
        <v/>
      </c>
    </row>
    <row r="938" customFormat="false" ht="15" hidden="false" customHeight="false" outlineLevel="0" collapsed="false">
      <c r="A938" s="0" t="str">
        <f aca="false">IF(DECKS!B938="","",DECKS!B938)</f>
        <v/>
      </c>
      <c r="B938" s="0" t="str">
        <f aca="false">IF(A938="","",IF(MATCH(A938,$A$2:$A$3201,0)=ROW()-1,1,0))</f>
        <v/>
      </c>
      <c r="C938" s="0" t="str">
        <f aca="false">IF(B938=1,MAX(C$1:C937)+1,"")</f>
        <v/>
      </c>
    </row>
    <row r="939" customFormat="false" ht="15" hidden="false" customHeight="false" outlineLevel="0" collapsed="false">
      <c r="A939" s="0" t="str">
        <f aca="false">IF(DECKS!B939="","",DECKS!B939)</f>
        <v/>
      </c>
      <c r="B939" s="0" t="str">
        <f aca="false">IF(A939="","",IF(MATCH(A939,$A$2:$A$3201,0)=ROW()-1,1,0))</f>
        <v/>
      </c>
      <c r="C939" s="0" t="str">
        <f aca="false">IF(B939=1,MAX(C$1:C938)+1,"")</f>
        <v/>
      </c>
    </row>
    <row r="940" customFormat="false" ht="15" hidden="false" customHeight="false" outlineLevel="0" collapsed="false">
      <c r="A940" s="0" t="str">
        <f aca="false">IF(DECKS!B940="","",DECKS!B940)</f>
        <v/>
      </c>
      <c r="B940" s="0" t="str">
        <f aca="false">IF(A940="","",IF(MATCH(A940,$A$2:$A$3201,0)=ROW()-1,1,0))</f>
        <v/>
      </c>
      <c r="C940" s="0" t="str">
        <f aca="false">IF(B940=1,MAX(C$1:C939)+1,"")</f>
        <v/>
      </c>
    </row>
    <row r="941" customFormat="false" ht="15" hidden="false" customHeight="false" outlineLevel="0" collapsed="false">
      <c r="A941" s="0" t="str">
        <f aca="false">IF(DECKS!B941="","",DECKS!B941)</f>
        <v/>
      </c>
      <c r="B941" s="0" t="str">
        <f aca="false">IF(A941="","",IF(MATCH(A941,$A$2:$A$3201,0)=ROW()-1,1,0))</f>
        <v/>
      </c>
      <c r="C941" s="0" t="str">
        <f aca="false">IF(B941=1,MAX(C$1:C940)+1,"")</f>
        <v/>
      </c>
    </row>
    <row r="942" customFormat="false" ht="15" hidden="false" customHeight="false" outlineLevel="0" collapsed="false">
      <c r="A942" s="0" t="str">
        <f aca="false">IF(DECKS!B942="","",DECKS!B942)</f>
        <v/>
      </c>
      <c r="B942" s="0" t="str">
        <f aca="false">IF(A942="","",IF(MATCH(A942,$A$2:$A$3201,0)=ROW()-1,1,0))</f>
        <v/>
      </c>
      <c r="C942" s="0" t="str">
        <f aca="false">IF(B942=1,MAX(C$1:C941)+1,"")</f>
        <v/>
      </c>
    </row>
    <row r="943" customFormat="false" ht="15" hidden="false" customHeight="false" outlineLevel="0" collapsed="false">
      <c r="A943" s="0" t="str">
        <f aca="false">IF(DECKS!B943="","",DECKS!B943)</f>
        <v/>
      </c>
      <c r="B943" s="0" t="str">
        <f aca="false">IF(A943="","",IF(MATCH(A943,$A$2:$A$3201,0)=ROW()-1,1,0))</f>
        <v/>
      </c>
      <c r="C943" s="0" t="str">
        <f aca="false">IF(B943=1,MAX(C$1:C942)+1,"")</f>
        <v/>
      </c>
    </row>
    <row r="944" customFormat="false" ht="15" hidden="false" customHeight="false" outlineLevel="0" collapsed="false">
      <c r="A944" s="0" t="str">
        <f aca="false">IF(DECKS!B944="","",DECKS!B944)</f>
        <v/>
      </c>
      <c r="B944" s="0" t="str">
        <f aca="false">IF(A944="","",IF(MATCH(A944,$A$2:$A$3201,0)=ROW()-1,1,0))</f>
        <v/>
      </c>
      <c r="C944" s="0" t="str">
        <f aca="false">IF(B944=1,MAX(C$1:C943)+1,"")</f>
        <v/>
      </c>
    </row>
    <row r="945" customFormat="false" ht="15" hidden="false" customHeight="false" outlineLevel="0" collapsed="false">
      <c r="A945" s="0" t="str">
        <f aca="false">IF(DECKS!B945="","",DECKS!B945)</f>
        <v/>
      </c>
      <c r="B945" s="0" t="str">
        <f aca="false">IF(A945="","",IF(MATCH(A945,$A$2:$A$3201,0)=ROW()-1,1,0))</f>
        <v/>
      </c>
      <c r="C945" s="0" t="str">
        <f aca="false">IF(B945=1,MAX(C$1:C944)+1,"")</f>
        <v/>
      </c>
    </row>
    <row r="946" customFormat="false" ht="15" hidden="false" customHeight="false" outlineLevel="0" collapsed="false">
      <c r="A946" s="0" t="str">
        <f aca="false">IF(DECKS!B946="","",DECKS!B946)</f>
        <v/>
      </c>
      <c r="B946" s="0" t="str">
        <f aca="false">IF(A946="","",IF(MATCH(A946,$A$2:$A$3201,0)=ROW()-1,1,0))</f>
        <v/>
      </c>
      <c r="C946" s="0" t="str">
        <f aca="false">IF(B946=1,MAX(C$1:C945)+1,"")</f>
        <v/>
      </c>
    </row>
    <row r="947" customFormat="false" ht="15" hidden="false" customHeight="false" outlineLevel="0" collapsed="false">
      <c r="A947" s="0" t="str">
        <f aca="false">IF(DECKS!B947="","",DECKS!B947)</f>
        <v/>
      </c>
      <c r="B947" s="0" t="str">
        <f aca="false">IF(A947="","",IF(MATCH(A947,$A$2:$A$3201,0)=ROW()-1,1,0))</f>
        <v/>
      </c>
      <c r="C947" s="0" t="str">
        <f aca="false">IF(B947=1,MAX(C$1:C946)+1,"")</f>
        <v/>
      </c>
    </row>
    <row r="948" customFormat="false" ht="15" hidden="false" customHeight="false" outlineLevel="0" collapsed="false">
      <c r="A948" s="0" t="str">
        <f aca="false">IF(DECKS!B948="","",DECKS!B948)</f>
        <v/>
      </c>
      <c r="B948" s="0" t="str">
        <f aca="false">IF(A948="","",IF(MATCH(A948,$A$2:$A$3201,0)=ROW()-1,1,0))</f>
        <v/>
      </c>
      <c r="C948" s="0" t="str">
        <f aca="false">IF(B948=1,MAX(C$1:C947)+1,"")</f>
        <v/>
      </c>
    </row>
    <row r="949" customFormat="false" ht="15" hidden="false" customHeight="false" outlineLevel="0" collapsed="false">
      <c r="A949" s="0" t="str">
        <f aca="false">IF(DECKS!B949="","",DECKS!B949)</f>
        <v/>
      </c>
      <c r="B949" s="0" t="str">
        <f aca="false">IF(A949="","",IF(MATCH(A949,$A$2:$A$3201,0)=ROW()-1,1,0))</f>
        <v/>
      </c>
      <c r="C949" s="0" t="str">
        <f aca="false">IF(B949=1,MAX(C$1:C948)+1,"")</f>
        <v/>
      </c>
    </row>
    <row r="950" customFormat="false" ht="15" hidden="false" customHeight="false" outlineLevel="0" collapsed="false">
      <c r="A950" s="0" t="str">
        <f aca="false">IF(DECKS!B950="","",DECKS!B950)</f>
        <v/>
      </c>
      <c r="B950" s="0" t="str">
        <f aca="false">IF(A950="","",IF(MATCH(A950,$A$2:$A$3201,0)=ROW()-1,1,0))</f>
        <v/>
      </c>
      <c r="C950" s="0" t="str">
        <f aca="false">IF(B950=1,MAX(C$1:C949)+1,"")</f>
        <v/>
      </c>
    </row>
    <row r="951" customFormat="false" ht="15" hidden="false" customHeight="false" outlineLevel="0" collapsed="false">
      <c r="A951" s="0" t="str">
        <f aca="false">IF(DECKS!B951="","",DECKS!B951)</f>
        <v/>
      </c>
      <c r="B951" s="0" t="str">
        <f aca="false">IF(A951="","",IF(MATCH(A951,$A$2:$A$3201,0)=ROW()-1,1,0))</f>
        <v/>
      </c>
      <c r="C951" s="0" t="str">
        <f aca="false">IF(B951=1,MAX(C$1:C950)+1,"")</f>
        <v/>
      </c>
    </row>
    <row r="952" customFormat="false" ht="15" hidden="false" customHeight="false" outlineLevel="0" collapsed="false">
      <c r="A952" s="0" t="str">
        <f aca="false">IF(DECKS!B952="","",DECKS!B952)</f>
        <v/>
      </c>
      <c r="B952" s="0" t="str">
        <f aca="false">IF(A952="","",IF(MATCH(A952,$A$2:$A$3201,0)=ROW()-1,1,0))</f>
        <v/>
      </c>
      <c r="C952" s="0" t="str">
        <f aca="false">IF(B952=1,MAX(C$1:C951)+1,"")</f>
        <v/>
      </c>
    </row>
    <row r="953" customFormat="false" ht="15" hidden="false" customHeight="false" outlineLevel="0" collapsed="false">
      <c r="A953" s="0" t="str">
        <f aca="false">IF(DECKS!B953="","",DECKS!B953)</f>
        <v/>
      </c>
      <c r="B953" s="0" t="str">
        <f aca="false">IF(A953="","",IF(MATCH(A953,$A$2:$A$3201,0)=ROW()-1,1,0))</f>
        <v/>
      </c>
      <c r="C953" s="0" t="str">
        <f aca="false">IF(B953=1,MAX(C$1:C952)+1,"")</f>
        <v/>
      </c>
    </row>
    <row r="954" customFormat="false" ht="15" hidden="false" customHeight="false" outlineLevel="0" collapsed="false">
      <c r="A954" s="0" t="str">
        <f aca="false">IF(DECKS!B954="","",DECKS!B954)</f>
        <v/>
      </c>
      <c r="B954" s="0" t="str">
        <f aca="false">IF(A954="","",IF(MATCH(A954,$A$2:$A$3201,0)=ROW()-1,1,0))</f>
        <v/>
      </c>
      <c r="C954" s="0" t="str">
        <f aca="false">IF(B954=1,MAX(C$1:C953)+1,"")</f>
        <v/>
      </c>
    </row>
    <row r="955" customFormat="false" ht="15" hidden="false" customHeight="false" outlineLevel="0" collapsed="false">
      <c r="A955" s="0" t="str">
        <f aca="false">IF(DECKS!B955="","",DECKS!B955)</f>
        <v/>
      </c>
      <c r="B955" s="0" t="str">
        <f aca="false">IF(A955="","",IF(MATCH(A955,$A$2:$A$3201,0)=ROW()-1,1,0))</f>
        <v/>
      </c>
      <c r="C955" s="0" t="str">
        <f aca="false">IF(B955=1,MAX(C$1:C954)+1,"")</f>
        <v/>
      </c>
    </row>
    <row r="956" customFormat="false" ht="15" hidden="false" customHeight="false" outlineLevel="0" collapsed="false">
      <c r="A956" s="0" t="str">
        <f aca="false">IF(DECKS!B956="","",DECKS!B956)</f>
        <v/>
      </c>
      <c r="B956" s="0" t="str">
        <f aca="false">IF(A956="","",IF(MATCH(A956,$A$2:$A$3201,0)=ROW()-1,1,0))</f>
        <v/>
      </c>
      <c r="C956" s="0" t="str">
        <f aca="false">IF(B956=1,MAX(C$1:C955)+1,"")</f>
        <v/>
      </c>
    </row>
    <row r="957" customFormat="false" ht="15" hidden="false" customHeight="false" outlineLevel="0" collapsed="false">
      <c r="A957" s="0" t="str">
        <f aca="false">IF(DECKS!B957="","",DECKS!B957)</f>
        <v/>
      </c>
      <c r="B957" s="0" t="str">
        <f aca="false">IF(A957="","",IF(MATCH(A957,$A$2:$A$3201,0)=ROW()-1,1,0))</f>
        <v/>
      </c>
      <c r="C957" s="0" t="str">
        <f aca="false">IF(B957=1,MAX(C$1:C956)+1,"")</f>
        <v/>
      </c>
    </row>
    <row r="958" customFormat="false" ht="15" hidden="false" customHeight="false" outlineLevel="0" collapsed="false">
      <c r="A958" s="0" t="str">
        <f aca="false">IF(DECKS!B958="","",DECKS!B958)</f>
        <v/>
      </c>
      <c r="B958" s="0" t="str">
        <f aca="false">IF(A958="","",IF(MATCH(A958,$A$2:$A$3201,0)=ROW()-1,1,0))</f>
        <v/>
      </c>
      <c r="C958" s="0" t="str">
        <f aca="false">IF(B958=1,MAX(C$1:C957)+1,"")</f>
        <v/>
      </c>
    </row>
    <row r="959" customFormat="false" ht="15" hidden="false" customHeight="false" outlineLevel="0" collapsed="false">
      <c r="A959" s="0" t="str">
        <f aca="false">IF(DECKS!B959="","",DECKS!B959)</f>
        <v/>
      </c>
      <c r="B959" s="0" t="str">
        <f aca="false">IF(A959="","",IF(MATCH(A959,$A$2:$A$3201,0)=ROW()-1,1,0))</f>
        <v/>
      </c>
      <c r="C959" s="0" t="str">
        <f aca="false">IF(B959=1,MAX(C$1:C958)+1,"")</f>
        <v/>
      </c>
    </row>
    <row r="960" customFormat="false" ht="15" hidden="false" customHeight="false" outlineLevel="0" collapsed="false">
      <c r="A960" s="0" t="str">
        <f aca="false">IF(DECKS!B960="","",DECKS!B960)</f>
        <v/>
      </c>
      <c r="B960" s="0" t="str">
        <f aca="false">IF(A960="","",IF(MATCH(A960,$A$2:$A$3201,0)=ROW()-1,1,0))</f>
        <v/>
      </c>
      <c r="C960" s="0" t="str">
        <f aca="false">IF(B960=1,MAX(C$1:C959)+1,"")</f>
        <v/>
      </c>
    </row>
    <row r="961" customFormat="false" ht="15" hidden="false" customHeight="false" outlineLevel="0" collapsed="false">
      <c r="A961" s="0" t="str">
        <f aca="false">IF(DECKS!B961="","",DECKS!B961)</f>
        <v/>
      </c>
      <c r="B961" s="0" t="str">
        <f aca="false">IF(A961="","",IF(MATCH(A961,$A$2:$A$3201,0)=ROW()-1,1,0))</f>
        <v/>
      </c>
      <c r="C961" s="0" t="str">
        <f aca="false">IF(B961=1,MAX(C$1:C960)+1,"")</f>
        <v/>
      </c>
    </row>
    <row r="962" customFormat="false" ht="15" hidden="false" customHeight="false" outlineLevel="0" collapsed="false">
      <c r="A962" s="0" t="str">
        <f aca="false">IF(DECKS!B962="","",DECKS!B962)</f>
        <v/>
      </c>
      <c r="B962" s="0" t="str">
        <f aca="false">IF(A962="","",IF(MATCH(A962,$A$2:$A$3201,0)=ROW()-1,1,0))</f>
        <v/>
      </c>
      <c r="C962" s="0" t="str">
        <f aca="false">IF(B962=1,MAX(C$1:C961)+1,"")</f>
        <v/>
      </c>
    </row>
    <row r="963" customFormat="false" ht="15" hidden="false" customHeight="false" outlineLevel="0" collapsed="false">
      <c r="A963" s="0" t="str">
        <f aca="false">IF(DECKS!B963="","",DECKS!B963)</f>
        <v/>
      </c>
      <c r="B963" s="0" t="str">
        <f aca="false">IF(A963="","",IF(MATCH(A963,$A$2:$A$3201,0)=ROW()-1,1,0))</f>
        <v/>
      </c>
      <c r="C963" s="0" t="str">
        <f aca="false">IF(B963=1,MAX(C$1:C962)+1,"")</f>
        <v/>
      </c>
    </row>
    <row r="964" customFormat="false" ht="15" hidden="false" customHeight="false" outlineLevel="0" collapsed="false">
      <c r="A964" s="0" t="str">
        <f aca="false">IF(DECKS!B964="","",DECKS!B964)</f>
        <v/>
      </c>
      <c r="B964" s="0" t="str">
        <f aca="false">IF(A964="","",IF(MATCH(A964,$A$2:$A$3201,0)=ROW()-1,1,0))</f>
        <v/>
      </c>
      <c r="C964" s="0" t="str">
        <f aca="false">IF(B964=1,MAX(C$1:C963)+1,"")</f>
        <v/>
      </c>
    </row>
    <row r="965" customFormat="false" ht="15" hidden="false" customHeight="false" outlineLevel="0" collapsed="false">
      <c r="A965" s="0" t="str">
        <f aca="false">IF(DECKS!B965="","",DECKS!B965)</f>
        <v/>
      </c>
      <c r="B965" s="0" t="str">
        <f aca="false">IF(A965="","",IF(MATCH(A965,$A$2:$A$3201,0)=ROW()-1,1,0))</f>
        <v/>
      </c>
      <c r="C965" s="0" t="str">
        <f aca="false">IF(B965=1,MAX(C$1:C964)+1,"")</f>
        <v/>
      </c>
    </row>
    <row r="966" customFormat="false" ht="15" hidden="false" customHeight="false" outlineLevel="0" collapsed="false">
      <c r="A966" s="0" t="str">
        <f aca="false">IF(DECKS!B966="","",DECKS!B966)</f>
        <v/>
      </c>
      <c r="B966" s="0" t="str">
        <f aca="false">IF(A966="","",IF(MATCH(A966,$A$2:$A$3201,0)=ROW()-1,1,0))</f>
        <v/>
      </c>
      <c r="C966" s="0" t="str">
        <f aca="false">IF(B966=1,MAX(C$1:C965)+1,"")</f>
        <v/>
      </c>
    </row>
    <row r="967" customFormat="false" ht="15" hidden="false" customHeight="false" outlineLevel="0" collapsed="false">
      <c r="A967" s="0" t="str">
        <f aca="false">IF(DECKS!B967="","",DECKS!B967)</f>
        <v/>
      </c>
      <c r="B967" s="0" t="str">
        <f aca="false">IF(A967="","",IF(MATCH(A967,$A$2:$A$3201,0)=ROW()-1,1,0))</f>
        <v/>
      </c>
      <c r="C967" s="0" t="str">
        <f aca="false">IF(B967=1,MAX(C$1:C966)+1,"")</f>
        <v/>
      </c>
    </row>
    <row r="968" customFormat="false" ht="15" hidden="false" customHeight="false" outlineLevel="0" collapsed="false">
      <c r="A968" s="0" t="str">
        <f aca="false">IF(DECKS!B968="","",DECKS!B968)</f>
        <v/>
      </c>
      <c r="B968" s="0" t="str">
        <f aca="false">IF(A968="","",IF(MATCH(A968,$A$2:$A$3201,0)=ROW()-1,1,0))</f>
        <v/>
      </c>
      <c r="C968" s="0" t="str">
        <f aca="false">IF(B968=1,MAX(C$1:C967)+1,"")</f>
        <v/>
      </c>
    </row>
    <row r="969" customFormat="false" ht="15" hidden="false" customHeight="false" outlineLevel="0" collapsed="false">
      <c r="A969" s="0" t="str">
        <f aca="false">IF(DECKS!B969="","",DECKS!B969)</f>
        <v/>
      </c>
      <c r="B969" s="0" t="str">
        <f aca="false">IF(A969="","",IF(MATCH(A969,$A$2:$A$3201,0)=ROW()-1,1,0))</f>
        <v/>
      </c>
      <c r="C969" s="0" t="str">
        <f aca="false">IF(B969=1,MAX(C$1:C968)+1,"")</f>
        <v/>
      </c>
    </row>
    <row r="970" customFormat="false" ht="15" hidden="false" customHeight="false" outlineLevel="0" collapsed="false">
      <c r="A970" s="0" t="str">
        <f aca="false">IF(DECKS!B970="","",DECKS!B970)</f>
        <v/>
      </c>
      <c r="B970" s="0" t="str">
        <f aca="false">IF(A970="","",IF(MATCH(A970,$A$2:$A$3201,0)=ROW()-1,1,0))</f>
        <v/>
      </c>
      <c r="C970" s="0" t="str">
        <f aca="false">IF(B970=1,MAX(C$1:C969)+1,"")</f>
        <v/>
      </c>
    </row>
    <row r="971" customFormat="false" ht="15" hidden="false" customHeight="false" outlineLevel="0" collapsed="false">
      <c r="A971" s="0" t="str">
        <f aca="false">IF(DECKS!B971="","",DECKS!B971)</f>
        <v/>
      </c>
      <c r="B971" s="0" t="str">
        <f aca="false">IF(A971="","",IF(MATCH(A971,$A$2:$A$3201,0)=ROW()-1,1,0))</f>
        <v/>
      </c>
      <c r="C971" s="0" t="str">
        <f aca="false">IF(B971=1,MAX(C$1:C970)+1,"")</f>
        <v/>
      </c>
    </row>
    <row r="972" customFormat="false" ht="15" hidden="false" customHeight="false" outlineLevel="0" collapsed="false">
      <c r="A972" s="0" t="str">
        <f aca="false">IF(DECKS!B972="","",DECKS!B972)</f>
        <v/>
      </c>
      <c r="B972" s="0" t="str">
        <f aca="false">IF(A972="","",IF(MATCH(A972,$A$2:$A$3201,0)=ROW()-1,1,0))</f>
        <v/>
      </c>
      <c r="C972" s="0" t="str">
        <f aca="false">IF(B972=1,MAX(C$1:C971)+1,"")</f>
        <v/>
      </c>
    </row>
    <row r="973" customFormat="false" ht="15" hidden="false" customHeight="false" outlineLevel="0" collapsed="false">
      <c r="A973" s="0" t="str">
        <f aca="false">IF(DECKS!B973="","",DECKS!B973)</f>
        <v/>
      </c>
      <c r="B973" s="0" t="str">
        <f aca="false">IF(A973="","",IF(MATCH(A973,$A$2:$A$3201,0)=ROW()-1,1,0))</f>
        <v/>
      </c>
      <c r="C973" s="0" t="str">
        <f aca="false">IF(B973=1,MAX(C$1:C972)+1,"")</f>
        <v/>
      </c>
    </row>
    <row r="974" customFormat="false" ht="15" hidden="false" customHeight="false" outlineLevel="0" collapsed="false">
      <c r="A974" s="0" t="str">
        <f aca="false">IF(DECKS!B974="","",DECKS!B974)</f>
        <v/>
      </c>
      <c r="B974" s="0" t="str">
        <f aca="false">IF(A974="","",IF(MATCH(A974,$A$2:$A$3201,0)=ROW()-1,1,0))</f>
        <v/>
      </c>
      <c r="C974" s="0" t="str">
        <f aca="false">IF(B974=1,MAX(C$1:C973)+1,"")</f>
        <v/>
      </c>
    </row>
    <row r="975" customFormat="false" ht="15" hidden="false" customHeight="false" outlineLevel="0" collapsed="false">
      <c r="A975" s="0" t="str">
        <f aca="false">IF(DECKS!B975="","",DECKS!B975)</f>
        <v/>
      </c>
      <c r="B975" s="0" t="str">
        <f aca="false">IF(A975="","",IF(MATCH(A975,$A$2:$A$3201,0)=ROW()-1,1,0))</f>
        <v/>
      </c>
      <c r="C975" s="0" t="str">
        <f aca="false">IF(B975=1,MAX(C$1:C974)+1,"")</f>
        <v/>
      </c>
    </row>
    <row r="976" customFormat="false" ht="15" hidden="false" customHeight="false" outlineLevel="0" collapsed="false">
      <c r="A976" s="0" t="str">
        <f aca="false">IF(DECKS!B976="","",DECKS!B976)</f>
        <v/>
      </c>
      <c r="B976" s="0" t="str">
        <f aca="false">IF(A976="","",IF(MATCH(A976,$A$2:$A$3201,0)=ROW()-1,1,0))</f>
        <v/>
      </c>
      <c r="C976" s="0" t="str">
        <f aca="false">IF(B976=1,MAX(C$1:C975)+1,"")</f>
        <v/>
      </c>
    </row>
    <row r="977" customFormat="false" ht="15" hidden="false" customHeight="false" outlineLevel="0" collapsed="false">
      <c r="A977" s="0" t="str">
        <f aca="false">IF(DECKS!B977="","",DECKS!B977)</f>
        <v/>
      </c>
      <c r="B977" s="0" t="str">
        <f aca="false">IF(A977="","",IF(MATCH(A977,$A$2:$A$3201,0)=ROW()-1,1,0))</f>
        <v/>
      </c>
      <c r="C977" s="0" t="str">
        <f aca="false">IF(B977=1,MAX(C$1:C976)+1,"")</f>
        <v/>
      </c>
    </row>
    <row r="978" customFormat="false" ht="15" hidden="false" customHeight="false" outlineLevel="0" collapsed="false">
      <c r="A978" s="0" t="str">
        <f aca="false">IF(DECKS!B978="","",DECKS!B978)</f>
        <v/>
      </c>
      <c r="B978" s="0" t="str">
        <f aca="false">IF(A978="","",IF(MATCH(A978,$A$2:$A$3201,0)=ROW()-1,1,0))</f>
        <v/>
      </c>
      <c r="C978" s="0" t="str">
        <f aca="false">IF(B978=1,MAX(C$1:C977)+1,"")</f>
        <v/>
      </c>
    </row>
    <row r="979" customFormat="false" ht="15" hidden="false" customHeight="false" outlineLevel="0" collapsed="false">
      <c r="A979" s="0" t="str">
        <f aca="false">IF(DECKS!B979="","",DECKS!B979)</f>
        <v/>
      </c>
      <c r="B979" s="0" t="str">
        <f aca="false">IF(A979="","",IF(MATCH(A979,$A$2:$A$3201,0)=ROW()-1,1,0))</f>
        <v/>
      </c>
      <c r="C979" s="0" t="str">
        <f aca="false">IF(B979=1,MAX(C$1:C978)+1,"")</f>
        <v/>
      </c>
    </row>
    <row r="980" customFormat="false" ht="15" hidden="false" customHeight="false" outlineLevel="0" collapsed="false">
      <c r="A980" s="0" t="str">
        <f aca="false">IF(DECKS!B980="","",DECKS!B980)</f>
        <v/>
      </c>
      <c r="B980" s="0" t="str">
        <f aca="false">IF(A980="","",IF(MATCH(A980,$A$2:$A$3201,0)=ROW()-1,1,0))</f>
        <v/>
      </c>
      <c r="C980" s="0" t="str">
        <f aca="false">IF(B980=1,MAX(C$1:C979)+1,"")</f>
        <v/>
      </c>
    </row>
    <row r="981" customFormat="false" ht="15" hidden="false" customHeight="false" outlineLevel="0" collapsed="false">
      <c r="A981" s="0" t="str">
        <f aca="false">IF(DECKS!B981="","",DECKS!B981)</f>
        <v/>
      </c>
      <c r="B981" s="0" t="str">
        <f aca="false">IF(A981="","",IF(MATCH(A981,$A$2:$A$3201,0)=ROW()-1,1,0))</f>
        <v/>
      </c>
      <c r="C981" s="0" t="str">
        <f aca="false">IF(B981=1,MAX(C$1:C980)+1,"")</f>
        <v/>
      </c>
    </row>
    <row r="982" customFormat="false" ht="15" hidden="false" customHeight="false" outlineLevel="0" collapsed="false">
      <c r="A982" s="0" t="str">
        <f aca="false">IF(DECKS!B982="","",DECKS!B982)</f>
        <v/>
      </c>
      <c r="B982" s="0" t="str">
        <f aca="false">IF(A982="","",IF(MATCH(A982,$A$2:$A$3201,0)=ROW()-1,1,0))</f>
        <v/>
      </c>
      <c r="C982" s="0" t="str">
        <f aca="false">IF(B982=1,MAX(C$1:C981)+1,"")</f>
        <v/>
      </c>
    </row>
    <row r="983" customFormat="false" ht="15" hidden="false" customHeight="false" outlineLevel="0" collapsed="false">
      <c r="A983" s="0" t="str">
        <f aca="false">IF(DECKS!B983="","",DECKS!B983)</f>
        <v/>
      </c>
      <c r="B983" s="0" t="str">
        <f aca="false">IF(A983="","",IF(MATCH(A983,$A$2:$A$3201,0)=ROW()-1,1,0))</f>
        <v/>
      </c>
      <c r="C983" s="0" t="str">
        <f aca="false">IF(B983=1,MAX(C$1:C982)+1,"")</f>
        <v/>
      </c>
    </row>
    <row r="984" customFormat="false" ht="15" hidden="false" customHeight="false" outlineLevel="0" collapsed="false">
      <c r="A984" s="0" t="str">
        <f aca="false">IF(DECKS!B984="","",DECKS!B984)</f>
        <v/>
      </c>
      <c r="B984" s="0" t="str">
        <f aca="false">IF(A984="","",IF(MATCH(A984,$A$2:$A$3201,0)=ROW()-1,1,0))</f>
        <v/>
      </c>
      <c r="C984" s="0" t="str">
        <f aca="false">IF(B984=1,MAX(C$1:C983)+1,"")</f>
        <v/>
      </c>
    </row>
    <row r="985" customFormat="false" ht="15" hidden="false" customHeight="false" outlineLevel="0" collapsed="false">
      <c r="A985" s="0" t="str">
        <f aca="false">IF(DECKS!B985="","",DECKS!B985)</f>
        <v/>
      </c>
      <c r="B985" s="0" t="str">
        <f aca="false">IF(A985="","",IF(MATCH(A985,$A$2:$A$3201,0)=ROW()-1,1,0))</f>
        <v/>
      </c>
      <c r="C985" s="0" t="str">
        <f aca="false">IF(B985=1,MAX(C$1:C984)+1,"")</f>
        <v/>
      </c>
    </row>
    <row r="986" customFormat="false" ht="15" hidden="false" customHeight="false" outlineLevel="0" collapsed="false">
      <c r="A986" s="0" t="str">
        <f aca="false">IF(DECKS!B986="","",DECKS!B986)</f>
        <v/>
      </c>
      <c r="B986" s="0" t="str">
        <f aca="false">IF(A986="","",IF(MATCH(A986,$A$2:$A$3201,0)=ROW()-1,1,0))</f>
        <v/>
      </c>
      <c r="C986" s="0" t="str">
        <f aca="false">IF(B986=1,MAX(C$1:C985)+1,"")</f>
        <v/>
      </c>
    </row>
    <row r="987" customFormat="false" ht="15" hidden="false" customHeight="false" outlineLevel="0" collapsed="false">
      <c r="A987" s="0" t="str">
        <f aca="false">IF(DECKS!B987="","",DECKS!B987)</f>
        <v/>
      </c>
      <c r="B987" s="0" t="str">
        <f aca="false">IF(A987="","",IF(MATCH(A987,$A$2:$A$3201,0)=ROW()-1,1,0))</f>
        <v/>
      </c>
      <c r="C987" s="0" t="str">
        <f aca="false">IF(B987=1,MAX(C$1:C986)+1,"")</f>
        <v/>
      </c>
    </row>
    <row r="988" customFormat="false" ht="15" hidden="false" customHeight="false" outlineLevel="0" collapsed="false">
      <c r="A988" s="0" t="str">
        <f aca="false">IF(DECKS!B988="","",DECKS!B988)</f>
        <v/>
      </c>
      <c r="B988" s="0" t="str">
        <f aca="false">IF(A988="","",IF(MATCH(A988,$A$2:$A$3201,0)=ROW()-1,1,0))</f>
        <v/>
      </c>
      <c r="C988" s="0" t="str">
        <f aca="false">IF(B988=1,MAX(C$1:C987)+1,"")</f>
        <v/>
      </c>
    </row>
    <row r="989" customFormat="false" ht="15" hidden="false" customHeight="false" outlineLevel="0" collapsed="false">
      <c r="A989" s="0" t="str">
        <f aca="false">IF(DECKS!B989="","",DECKS!B989)</f>
        <v/>
      </c>
      <c r="B989" s="0" t="str">
        <f aca="false">IF(A989="","",IF(MATCH(A989,$A$2:$A$3201,0)=ROW()-1,1,0))</f>
        <v/>
      </c>
      <c r="C989" s="0" t="str">
        <f aca="false">IF(B989=1,MAX(C$1:C988)+1,"")</f>
        <v/>
      </c>
    </row>
    <row r="990" customFormat="false" ht="15" hidden="false" customHeight="false" outlineLevel="0" collapsed="false">
      <c r="A990" s="0" t="str">
        <f aca="false">IF(DECKS!B990="","",DECKS!B990)</f>
        <v/>
      </c>
      <c r="B990" s="0" t="str">
        <f aca="false">IF(A990="","",IF(MATCH(A990,$A$2:$A$3201,0)=ROW()-1,1,0))</f>
        <v/>
      </c>
      <c r="C990" s="0" t="str">
        <f aca="false">IF(B990=1,MAX(C$1:C989)+1,"")</f>
        <v/>
      </c>
    </row>
    <row r="991" customFormat="false" ht="15" hidden="false" customHeight="false" outlineLevel="0" collapsed="false">
      <c r="A991" s="0" t="str">
        <f aca="false">IF(DECKS!B991="","",DECKS!B991)</f>
        <v/>
      </c>
      <c r="B991" s="0" t="str">
        <f aca="false">IF(A991="","",IF(MATCH(A991,$A$2:$A$3201,0)=ROW()-1,1,0))</f>
        <v/>
      </c>
      <c r="C991" s="0" t="str">
        <f aca="false">IF(B991=1,MAX(C$1:C990)+1,"")</f>
        <v/>
      </c>
    </row>
    <row r="992" customFormat="false" ht="15" hidden="false" customHeight="false" outlineLevel="0" collapsed="false">
      <c r="A992" s="0" t="str">
        <f aca="false">IF(DECKS!B992="","",DECKS!B992)</f>
        <v/>
      </c>
      <c r="B992" s="0" t="str">
        <f aca="false">IF(A992="","",IF(MATCH(A992,$A$2:$A$3201,0)=ROW()-1,1,0))</f>
        <v/>
      </c>
      <c r="C992" s="0" t="str">
        <f aca="false">IF(B992=1,MAX(C$1:C991)+1,"")</f>
        <v/>
      </c>
    </row>
    <row r="993" customFormat="false" ht="15" hidden="false" customHeight="false" outlineLevel="0" collapsed="false">
      <c r="A993" s="0" t="str">
        <f aca="false">IF(DECKS!B993="","",DECKS!B993)</f>
        <v/>
      </c>
      <c r="B993" s="0" t="str">
        <f aca="false">IF(A993="","",IF(MATCH(A993,$A$2:$A$3201,0)=ROW()-1,1,0))</f>
        <v/>
      </c>
      <c r="C993" s="0" t="str">
        <f aca="false">IF(B993=1,MAX(C$1:C992)+1,"")</f>
        <v/>
      </c>
    </row>
    <row r="994" customFormat="false" ht="15" hidden="false" customHeight="false" outlineLevel="0" collapsed="false">
      <c r="A994" s="0" t="str">
        <f aca="false">IF(DECKS!B994="","",DECKS!B994)</f>
        <v/>
      </c>
      <c r="B994" s="0" t="str">
        <f aca="false">IF(A994="","",IF(MATCH(A994,$A$2:$A$3201,0)=ROW()-1,1,0))</f>
        <v/>
      </c>
      <c r="C994" s="0" t="str">
        <f aca="false">IF(B994=1,MAX(C$1:C993)+1,"")</f>
        <v/>
      </c>
    </row>
    <row r="995" customFormat="false" ht="15" hidden="false" customHeight="false" outlineLevel="0" collapsed="false">
      <c r="A995" s="0" t="str">
        <f aca="false">IF(DECKS!B995="","",DECKS!B995)</f>
        <v/>
      </c>
      <c r="B995" s="0" t="str">
        <f aca="false">IF(A995="","",IF(MATCH(A995,$A$2:$A$3201,0)=ROW()-1,1,0))</f>
        <v/>
      </c>
      <c r="C995" s="0" t="str">
        <f aca="false">IF(B995=1,MAX(C$1:C994)+1,"")</f>
        <v/>
      </c>
    </row>
    <row r="996" customFormat="false" ht="15" hidden="false" customHeight="false" outlineLevel="0" collapsed="false">
      <c r="A996" s="0" t="str">
        <f aca="false">IF(DECKS!B996="","",DECKS!B996)</f>
        <v/>
      </c>
      <c r="B996" s="0" t="str">
        <f aca="false">IF(A996="","",IF(MATCH(A996,$A$2:$A$3201,0)=ROW()-1,1,0))</f>
        <v/>
      </c>
      <c r="C996" s="0" t="str">
        <f aca="false">IF(B996=1,MAX(C$1:C995)+1,"")</f>
        <v/>
      </c>
    </row>
    <row r="997" customFormat="false" ht="15" hidden="false" customHeight="false" outlineLevel="0" collapsed="false">
      <c r="A997" s="0" t="str">
        <f aca="false">IF(DECKS!B997="","",DECKS!B997)</f>
        <v/>
      </c>
      <c r="B997" s="0" t="str">
        <f aca="false">IF(A997="","",IF(MATCH(A997,$A$2:$A$3201,0)=ROW()-1,1,0))</f>
        <v/>
      </c>
      <c r="C997" s="0" t="str">
        <f aca="false">IF(B997=1,MAX(C$1:C996)+1,"")</f>
        <v/>
      </c>
    </row>
    <row r="998" customFormat="false" ht="15" hidden="false" customHeight="false" outlineLevel="0" collapsed="false">
      <c r="A998" s="0" t="str">
        <f aca="false">IF(DECKS!B998="","",DECKS!B998)</f>
        <v/>
      </c>
      <c r="B998" s="0" t="str">
        <f aca="false">IF(A998="","",IF(MATCH(A998,$A$2:$A$3201,0)=ROW()-1,1,0))</f>
        <v/>
      </c>
      <c r="C998" s="0" t="str">
        <f aca="false">IF(B998=1,MAX(C$1:C997)+1,"")</f>
        <v/>
      </c>
    </row>
    <row r="999" customFormat="false" ht="15" hidden="false" customHeight="false" outlineLevel="0" collapsed="false">
      <c r="A999" s="0" t="str">
        <f aca="false">IF(DECKS!B999="","",DECKS!B999)</f>
        <v/>
      </c>
      <c r="B999" s="0" t="str">
        <f aca="false">IF(A999="","",IF(MATCH(A999,$A$2:$A$3201,0)=ROW()-1,1,0))</f>
        <v/>
      </c>
      <c r="C999" s="0" t="str">
        <f aca="false">IF(B999=1,MAX(C$1:C998)+1,"")</f>
        <v/>
      </c>
    </row>
    <row r="1000" customFormat="false" ht="15" hidden="false" customHeight="false" outlineLevel="0" collapsed="false">
      <c r="A1000" s="0" t="str">
        <f aca="false">IF(DECKS!B1000="","",DECKS!B1000)</f>
        <v/>
      </c>
      <c r="B1000" s="0" t="str">
        <f aca="false">IF(A1000="","",IF(MATCH(A1000,$A$2:$A$3201,0)=ROW()-1,1,0))</f>
        <v/>
      </c>
      <c r="C1000" s="0" t="str">
        <f aca="false">IF(B1000=1,MAX(C$1:C999)+1,"")</f>
        <v/>
      </c>
    </row>
    <row r="1001" customFormat="false" ht="15" hidden="false" customHeight="false" outlineLevel="0" collapsed="false">
      <c r="A1001" s="0" t="str">
        <f aca="false">IF(DECKS!B1001="","",DECKS!B1001)</f>
        <v/>
      </c>
      <c r="B1001" s="0" t="str">
        <f aca="false">IF(A1001="","",IF(MATCH(A1001,$A$2:$A$3201,0)=ROW()-1,1,0))</f>
        <v/>
      </c>
      <c r="C1001" s="0" t="str">
        <f aca="false">IF(B1001=1,MAX(C$1:C1000)+1,"")</f>
        <v/>
      </c>
    </row>
    <row r="1002" customFormat="false" ht="15" hidden="false" customHeight="false" outlineLevel="0" collapsed="false">
      <c r="A1002" s="0" t="str">
        <f aca="false">IF(DECKS!B1002="","",DECKS!B1002)</f>
        <v/>
      </c>
      <c r="B1002" s="0" t="str">
        <f aca="false">IF(A1002="","",IF(MATCH(A1002,$A$2:$A$3201,0)=ROW()-1,1,0))</f>
        <v/>
      </c>
      <c r="C1002" s="0" t="str">
        <f aca="false">IF(B1002=1,MAX(C$1:C1001)+1,"")</f>
        <v/>
      </c>
    </row>
    <row r="1003" customFormat="false" ht="15" hidden="false" customHeight="false" outlineLevel="0" collapsed="false">
      <c r="A1003" s="0" t="str">
        <f aca="false">IF(DECKS!B1003="","",DECKS!B1003)</f>
        <v/>
      </c>
      <c r="B1003" s="0" t="str">
        <f aca="false">IF(A1003="","",IF(MATCH(A1003,$A$2:$A$3201,0)=ROW()-1,1,0))</f>
        <v/>
      </c>
      <c r="C1003" s="0" t="str">
        <f aca="false">IF(B1003=1,MAX(C$1:C1002)+1,"")</f>
        <v/>
      </c>
    </row>
    <row r="1004" customFormat="false" ht="15" hidden="false" customHeight="false" outlineLevel="0" collapsed="false">
      <c r="A1004" s="0" t="str">
        <f aca="false">IF(DECKS!B1004="","",DECKS!B1004)</f>
        <v/>
      </c>
      <c r="B1004" s="0" t="str">
        <f aca="false">IF(A1004="","",IF(MATCH(A1004,$A$2:$A$3201,0)=ROW()-1,1,0))</f>
        <v/>
      </c>
      <c r="C1004" s="0" t="str">
        <f aca="false">IF(B1004=1,MAX(C$1:C1003)+1,"")</f>
        <v/>
      </c>
    </row>
    <row r="1005" customFormat="false" ht="15" hidden="false" customHeight="false" outlineLevel="0" collapsed="false">
      <c r="A1005" s="0" t="str">
        <f aca="false">IF(DECKS!B1005="","",DECKS!B1005)</f>
        <v/>
      </c>
      <c r="B1005" s="0" t="str">
        <f aca="false">IF(A1005="","",IF(MATCH(A1005,$A$2:$A$3201,0)=ROW()-1,1,0))</f>
        <v/>
      </c>
      <c r="C1005" s="0" t="str">
        <f aca="false">IF(B1005=1,MAX(C$1:C1004)+1,"")</f>
        <v/>
      </c>
    </row>
    <row r="1006" customFormat="false" ht="15" hidden="false" customHeight="false" outlineLevel="0" collapsed="false">
      <c r="A1006" s="0" t="str">
        <f aca="false">IF(DECKS!B1006="","",DECKS!B1006)</f>
        <v/>
      </c>
      <c r="B1006" s="0" t="str">
        <f aca="false">IF(A1006="","",IF(MATCH(A1006,$A$2:$A$3201,0)=ROW()-1,1,0))</f>
        <v/>
      </c>
      <c r="C1006" s="0" t="str">
        <f aca="false">IF(B1006=1,MAX(C$1:C1005)+1,"")</f>
        <v/>
      </c>
    </row>
    <row r="1007" customFormat="false" ht="15" hidden="false" customHeight="false" outlineLevel="0" collapsed="false">
      <c r="A1007" s="0" t="str">
        <f aca="false">IF(DECKS!B1007="","",DECKS!B1007)</f>
        <v/>
      </c>
      <c r="B1007" s="0" t="str">
        <f aca="false">IF(A1007="","",IF(MATCH(A1007,$A$2:$A$3201,0)=ROW()-1,1,0))</f>
        <v/>
      </c>
      <c r="C1007" s="0" t="str">
        <f aca="false">IF(B1007=1,MAX(C$1:C1006)+1,"")</f>
        <v/>
      </c>
    </row>
    <row r="1008" customFormat="false" ht="15" hidden="false" customHeight="false" outlineLevel="0" collapsed="false">
      <c r="A1008" s="0" t="str">
        <f aca="false">IF(DECKS!B1008="","",DECKS!B1008)</f>
        <v/>
      </c>
      <c r="B1008" s="0" t="str">
        <f aca="false">IF(A1008="","",IF(MATCH(A1008,$A$2:$A$3201,0)=ROW()-1,1,0))</f>
        <v/>
      </c>
      <c r="C1008" s="0" t="str">
        <f aca="false">IF(B1008=1,MAX(C$1:C1007)+1,"")</f>
        <v/>
      </c>
    </row>
    <row r="1009" customFormat="false" ht="15" hidden="false" customHeight="false" outlineLevel="0" collapsed="false">
      <c r="A1009" s="0" t="str">
        <f aca="false">IF(DECKS!B1009="","",DECKS!B1009)</f>
        <v/>
      </c>
      <c r="B1009" s="0" t="str">
        <f aca="false">IF(A1009="","",IF(MATCH(A1009,$A$2:$A$3201,0)=ROW()-1,1,0))</f>
        <v/>
      </c>
      <c r="C1009" s="0" t="str">
        <f aca="false">IF(B1009=1,MAX(C$1:C1008)+1,"")</f>
        <v/>
      </c>
    </row>
    <row r="1010" customFormat="false" ht="15" hidden="false" customHeight="false" outlineLevel="0" collapsed="false">
      <c r="A1010" s="0" t="str">
        <f aca="false">IF(DECKS!B1010="","",DECKS!B1010)</f>
        <v/>
      </c>
      <c r="B1010" s="0" t="str">
        <f aca="false">IF(A1010="","",IF(MATCH(A1010,$A$2:$A$3201,0)=ROW()-1,1,0))</f>
        <v/>
      </c>
      <c r="C1010" s="0" t="str">
        <f aca="false">IF(B1010=1,MAX(C$1:C1009)+1,"")</f>
        <v/>
      </c>
    </row>
    <row r="1011" customFormat="false" ht="15" hidden="false" customHeight="false" outlineLevel="0" collapsed="false">
      <c r="A1011" s="0" t="str">
        <f aca="false">IF(DECKS!B1011="","",DECKS!B1011)</f>
        <v/>
      </c>
      <c r="B1011" s="0" t="str">
        <f aca="false">IF(A1011="","",IF(MATCH(A1011,$A$2:$A$3201,0)=ROW()-1,1,0))</f>
        <v/>
      </c>
      <c r="C1011" s="0" t="str">
        <f aca="false">IF(B1011=1,MAX(C$1:C1010)+1,"")</f>
        <v/>
      </c>
    </row>
    <row r="1012" customFormat="false" ht="15" hidden="false" customHeight="false" outlineLevel="0" collapsed="false">
      <c r="A1012" s="0" t="str">
        <f aca="false">IF(DECKS!B1012="","",DECKS!B1012)</f>
        <v/>
      </c>
      <c r="B1012" s="0" t="str">
        <f aca="false">IF(A1012="","",IF(MATCH(A1012,$A$2:$A$3201,0)=ROW()-1,1,0))</f>
        <v/>
      </c>
      <c r="C1012" s="0" t="str">
        <f aca="false">IF(B1012=1,MAX(C$1:C1011)+1,"")</f>
        <v/>
      </c>
    </row>
    <row r="1013" customFormat="false" ht="15" hidden="false" customHeight="false" outlineLevel="0" collapsed="false">
      <c r="A1013" s="0" t="str">
        <f aca="false">IF(DECKS!B1013="","",DECKS!B1013)</f>
        <v/>
      </c>
      <c r="B1013" s="0" t="str">
        <f aca="false">IF(A1013="","",IF(MATCH(A1013,$A$2:$A$3201,0)=ROW()-1,1,0))</f>
        <v/>
      </c>
      <c r="C1013" s="0" t="str">
        <f aca="false">IF(B1013=1,MAX(C$1:C1012)+1,"")</f>
        <v/>
      </c>
    </row>
    <row r="1014" customFormat="false" ht="15" hidden="false" customHeight="false" outlineLevel="0" collapsed="false">
      <c r="A1014" s="0" t="str">
        <f aca="false">IF(DECKS!B1014="","",DECKS!B1014)</f>
        <v/>
      </c>
      <c r="B1014" s="0" t="str">
        <f aca="false">IF(A1014="","",IF(MATCH(A1014,$A$2:$A$3201,0)=ROW()-1,1,0))</f>
        <v/>
      </c>
      <c r="C1014" s="0" t="str">
        <f aca="false">IF(B1014=1,MAX(C$1:C1013)+1,"")</f>
        <v/>
      </c>
    </row>
    <row r="1015" customFormat="false" ht="15" hidden="false" customHeight="false" outlineLevel="0" collapsed="false">
      <c r="A1015" s="0" t="str">
        <f aca="false">IF(DECKS!B1015="","",DECKS!B1015)</f>
        <v/>
      </c>
      <c r="B1015" s="0" t="str">
        <f aca="false">IF(A1015="","",IF(MATCH(A1015,$A$2:$A$3201,0)=ROW()-1,1,0))</f>
        <v/>
      </c>
      <c r="C1015" s="0" t="str">
        <f aca="false">IF(B1015=1,MAX(C$1:C1014)+1,"")</f>
        <v/>
      </c>
    </row>
    <row r="1016" customFormat="false" ht="15" hidden="false" customHeight="false" outlineLevel="0" collapsed="false">
      <c r="A1016" s="0" t="str">
        <f aca="false">IF(DECKS!B1016="","",DECKS!B1016)</f>
        <v/>
      </c>
      <c r="B1016" s="0" t="str">
        <f aca="false">IF(A1016="","",IF(MATCH(A1016,$A$2:$A$3201,0)=ROW()-1,1,0))</f>
        <v/>
      </c>
      <c r="C1016" s="0" t="str">
        <f aca="false">IF(B1016=1,MAX(C$1:C1015)+1,"")</f>
        <v/>
      </c>
    </row>
    <row r="1017" customFormat="false" ht="15" hidden="false" customHeight="false" outlineLevel="0" collapsed="false">
      <c r="A1017" s="0" t="str">
        <f aca="false">IF(DECKS!B1017="","",DECKS!B1017)</f>
        <v/>
      </c>
      <c r="B1017" s="0" t="str">
        <f aca="false">IF(A1017="","",IF(MATCH(A1017,$A$2:$A$3201,0)=ROW()-1,1,0))</f>
        <v/>
      </c>
      <c r="C1017" s="0" t="str">
        <f aca="false">IF(B1017=1,MAX(C$1:C1016)+1,"")</f>
        <v/>
      </c>
    </row>
    <row r="1018" customFormat="false" ht="15" hidden="false" customHeight="false" outlineLevel="0" collapsed="false">
      <c r="A1018" s="0" t="str">
        <f aca="false">IF(DECKS!B1018="","",DECKS!B1018)</f>
        <v/>
      </c>
      <c r="B1018" s="0" t="str">
        <f aca="false">IF(A1018="","",IF(MATCH(A1018,$A$2:$A$3201,0)=ROW()-1,1,0))</f>
        <v/>
      </c>
      <c r="C1018" s="0" t="str">
        <f aca="false">IF(B1018=1,MAX(C$1:C1017)+1,"")</f>
        <v/>
      </c>
    </row>
    <row r="1019" customFormat="false" ht="15" hidden="false" customHeight="false" outlineLevel="0" collapsed="false">
      <c r="A1019" s="0" t="str">
        <f aca="false">IF(DECKS!B1019="","",DECKS!B1019)</f>
        <v/>
      </c>
      <c r="B1019" s="0" t="str">
        <f aca="false">IF(A1019="","",IF(MATCH(A1019,$A$2:$A$3201,0)=ROW()-1,1,0))</f>
        <v/>
      </c>
      <c r="C1019" s="0" t="str">
        <f aca="false">IF(B1019=1,MAX(C$1:C1018)+1,"")</f>
        <v/>
      </c>
    </row>
    <row r="1020" customFormat="false" ht="15" hidden="false" customHeight="false" outlineLevel="0" collapsed="false">
      <c r="A1020" s="0" t="str">
        <f aca="false">IF(DECKS!B1020="","",DECKS!B1020)</f>
        <v/>
      </c>
      <c r="B1020" s="0" t="str">
        <f aca="false">IF(A1020="","",IF(MATCH(A1020,$A$2:$A$3201,0)=ROW()-1,1,0))</f>
        <v/>
      </c>
      <c r="C1020" s="0" t="str">
        <f aca="false">IF(B1020=1,MAX(C$1:C1019)+1,"")</f>
        <v/>
      </c>
    </row>
    <row r="1021" customFormat="false" ht="15" hidden="false" customHeight="false" outlineLevel="0" collapsed="false">
      <c r="A1021" s="0" t="str">
        <f aca="false">IF(DECKS!B1021="","",DECKS!B1021)</f>
        <v/>
      </c>
      <c r="B1021" s="0" t="str">
        <f aca="false">IF(A1021="","",IF(MATCH(A1021,$A$2:$A$3201,0)=ROW()-1,1,0))</f>
        <v/>
      </c>
      <c r="C1021" s="0" t="str">
        <f aca="false">IF(B1021=1,MAX(C$1:C1020)+1,"")</f>
        <v/>
      </c>
    </row>
    <row r="1022" customFormat="false" ht="15" hidden="false" customHeight="false" outlineLevel="0" collapsed="false">
      <c r="A1022" s="0" t="str">
        <f aca="false">IF(DECKS!B1022="","",DECKS!B1022)</f>
        <v/>
      </c>
      <c r="B1022" s="0" t="str">
        <f aca="false">IF(A1022="","",IF(MATCH(A1022,$A$2:$A$3201,0)=ROW()-1,1,0))</f>
        <v/>
      </c>
      <c r="C1022" s="0" t="str">
        <f aca="false">IF(B1022=1,MAX(C$1:C1021)+1,"")</f>
        <v/>
      </c>
    </row>
    <row r="1023" customFormat="false" ht="15" hidden="false" customHeight="false" outlineLevel="0" collapsed="false">
      <c r="A1023" s="0" t="str">
        <f aca="false">IF(DECKS!B1023="","",DECKS!B1023)</f>
        <v/>
      </c>
      <c r="B1023" s="0" t="str">
        <f aca="false">IF(A1023="","",IF(MATCH(A1023,$A$2:$A$3201,0)=ROW()-1,1,0))</f>
        <v/>
      </c>
      <c r="C1023" s="0" t="str">
        <f aca="false">IF(B1023=1,MAX(C$1:C1022)+1,"")</f>
        <v/>
      </c>
    </row>
    <row r="1024" customFormat="false" ht="15" hidden="false" customHeight="false" outlineLevel="0" collapsed="false">
      <c r="A1024" s="0" t="str">
        <f aca="false">IF(DECKS!B1024="","",DECKS!B1024)</f>
        <v/>
      </c>
      <c r="B1024" s="0" t="str">
        <f aca="false">IF(A1024="","",IF(MATCH(A1024,$A$2:$A$3201,0)=ROW()-1,1,0))</f>
        <v/>
      </c>
      <c r="C1024" s="0" t="str">
        <f aca="false">IF(B1024=1,MAX(C$1:C1023)+1,"")</f>
        <v/>
      </c>
    </row>
    <row r="1025" customFormat="false" ht="15" hidden="false" customHeight="false" outlineLevel="0" collapsed="false">
      <c r="A1025" s="0" t="str">
        <f aca="false">IF(DECKS!B1025="","",DECKS!B1025)</f>
        <v/>
      </c>
      <c r="B1025" s="0" t="str">
        <f aca="false">IF(A1025="","",IF(MATCH(A1025,$A$2:$A$3201,0)=ROW()-1,1,0))</f>
        <v/>
      </c>
      <c r="C1025" s="0" t="str">
        <f aca="false">IF(B1025=1,MAX(C$1:C1024)+1,"")</f>
        <v/>
      </c>
    </row>
    <row r="1026" customFormat="false" ht="15" hidden="false" customHeight="false" outlineLevel="0" collapsed="false">
      <c r="A1026" s="0" t="str">
        <f aca="false">IF(DECKS!B1026="","",DECKS!B1026)</f>
        <v/>
      </c>
      <c r="B1026" s="0" t="str">
        <f aca="false">IF(A1026="","",IF(MATCH(A1026,$A$2:$A$3201,0)=ROW()-1,1,0))</f>
        <v/>
      </c>
      <c r="C1026" s="0" t="str">
        <f aca="false">IF(B1026=1,MAX(C$1:C1025)+1,"")</f>
        <v/>
      </c>
    </row>
    <row r="1027" customFormat="false" ht="15" hidden="false" customHeight="false" outlineLevel="0" collapsed="false">
      <c r="A1027" s="0" t="str">
        <f aca="false">IF(DECKS!B1027="","",DECKS!B1027)</f>
        <v/>
      </c>
      <c r="B1027" s="0" t="str">
        <f aca="false">IF(A1027="","",IF(MATCH(A1027,$A$2:$A$3201,0)=ROW()-1,1,0))</f>
        <v/>
      </c>
      <c r="C1027" s="0" t="str">
        <f aca="false">IF(B1027=1,MAX(C$1:C1026)+1,"")</f>
        <v/>
      </c>
    </row>
    <row r="1028" customFormat="false" ht="15" hidden="false" customHeight="false" outlineLevel="0" collapsed="false">
      <c r="A1028" s="0" t="str">
        <f aca="false">IF(DECKS!B1028="","",DECKS!B1028)</f>
        <v/>
      </c>
      <c r="B1028" s="0" t="str">
        <f aca="false">IF(A1028="","",IF(MATCH(A1028,$A$2:$A$3201,0)=ROW()-1,1,0))</f>
        <v/>
      </c>
      <c r="C1028" s="0" t="str">
        <f aca="false">IF(B1028=1,MAX(C$1:C1027)+1,"")</f>
        <v/>
      </c>
    </row>
    <row r="1029" customFormat="false" ht="15" hidden="false" customHeight="false" outlineLevel="0" collapsed="false">
      <c r="A1029" s="0" t="str">
        <f aca="false">IF(DECKS!B1029="","",DECKS!B1029)</f>
        <v/>
      </c>
      <c r="B1029" s="0" t="str">
        <f aca="false">IF(A1029="","",IF(MATCH(A1029,$A$2:$A$3201,0)=ROW()-1,1,0))</f>
        <v/>
      </c>
      <c r="C1029" s="0" t="str">
        <f aca="false">IF(B1029=1,MAX(C$1:C1028)+1,"")</f>
        <v/>
      </c>
    </row>
    <row r="1030" customFormat="false" ht="15" hidden="false" customHeight="false" outlineLevel="0" collapsed="false">
      <c r="A1030" s="0" t="str">
        <f aca="false">IF(DECKS!B1030="","",DECKS!B1030)</f>
        <v/>
      </c>
      <c r="B1030" s="0" t="str">
        <f aca="false">IF(A1030="","",IF(MATCH(A1030,$A$2:$A$3201,0)=ROW()-1,1,0))</f>
        <v/>
      </c>
      <c r="C1030" s="0" t="str">
        <f aca="false">IF(B1030=1,MAX(C$1:C1029)+1,"")</f>
        <v/>
      </c>
    </row>
    <row r="1031" customFormat="false" ht="15" hidden="false" customHeight="false" outlineLevel="0" collapsed="false">
      <c r="A1031" s="0" t="str">
        <f aca="false">IF(DECKS!B1031="","",DECKS!B1031)</f>
        <v/>
      </c>
      <c r="B1031" s="0" t="str">
        <f aca="false">IF(A1031="","",IF(MATCH(A1031,$A$2:$A$3201,0)=ROW()-1,1,0))</f>
        <v/>
      </c>
      <c r="C1031" s="0" t="str">
        <f aca="false">IF(B1031=1,MAX(C$1:C1030)+1,"")</f>
        <v/>
      </c>
    </row>
    <row r="1032" customFormat="false" ht="15" hidden="false" customHeight="false" outlineLevel="0" collapsed="false">
      <c r="A1032" s="0" t="str">
        <f aca="false">IF(DECKS!B1032="","",DECKS!B1032)</f>
        <v/>
      </c>
      <c r="B1032" s="0" t="str">
        <f aca="false">IF(A1032="","",IF(MATCH(A1032,$A$2:$A$3201,0)=ROW()-1,1,0))</f>
        <v/>
      </c>
      <c r="C1032" s="0" t="str">
        <f aca="false">IF(B1032=1,MAX(C$1:C1031)+1,"")</f>
        <v/>
      </c>
    </row>
    <row r="1033" customFormat="false" ht="15" hidden="false" customHeight="false" outlineLevel="0" collapsed="false">
      <c r="A1033" s="0" t="str">
        <f aca="false">IF(DECKS!B1033="","",DECKS!B1033)</f>
        <v/>
      </c>
      <c r="B1033" s="0" t="str">
        <f aca="false">IF(A1033="","",IF(MATCH(A1033,$A$2:$A$3201,0)=ROW()-1,1,0))</f>
        <v/>
      </c>
      <c r="C1033" s="0" t="str">
        <f aca="false">IF(B1033=1,MAX(C$1:C1032)+1,"")</f>
        <v/>
      </c>
    </row>
    <row r="1034" customFormat="false" ht="15" hidden="false" customHeight="false" outlineLevel="0" collapsed="false">
      <c r="A1034" s="0" t="str">
        <f aca="false">IF(DECKS!B1034="","",DECKS!B1034)</f>
        <v/>
      </c>
      <c r="B1034" s="0" t="str">
        <f aca="false">IF(A1034="","",IF(MATCH(A1034,$A$2:$A$3201,0)=ROW()-1,1,0))</f>
        <v/>
      </c>
      <c r="C1034" s="0" t="str">
        <f aca="false">IF(B1034=1,MAX(C$1:C1033)+1,"")</f>
        <v/>
      </c>
    </row>
    <row r="1035" customFormat="false" ht="15" hidden="false" customHeight="false" outlineLevel="0" collapsed="false">
      <c r="A1035" s="0" t="str">
        <f aca="false">IF(DECKS!B1035="","",DECKS!B1035)</f>
        <v/>
      </c>
      <c r="B1035" s="0" t="str">
        <f aca="false">IF(A1035="","",IF(MATCH(A1035,$A$2:$A$3201,0)=ROW()-1,1,0))</f>
        <v/>
      </c>
      <c r="C1035" s="0" t="str">
        <f aca="false">IF(B1035=1,MAX(C$1:C1034)+1,"")</f>
        <v/>
      </c>
    </row>
    <row r="1036" customFormat="false" ht="15" hidden="false" customHeight="false" outlineLevel="0" collapsed="false">
      <c r="A1036" s="0" t="str">
        <f aca="false">IF(DECKS!B1036="","",DECKS!B1036)</f>
        <v/>
      </c>
      <c r="B1036" s="0" t="str">
        <f aca="false">IF(A1036="","",IF(MATCH(A1036,$A$2:$A$3201,0)=ROW()-1,1,0))</f>
        <v/>
      </c>
      <c r="C1036" s="0" t="str">
        <f aca="false">IF(B1036=1,MAX(C$1:C1035)+1,"")</f>
        <v/>
      </c>
    </row>
    <row r="1037" customFormat="false" ht="15" hidden="false" customHeight="false" outlineLevel="0" collapsed="false">
      <c r="A1037" s="0" t="str">
        <f aca="false">IF(DECKS!B1037="","",DECKS!B1037)</f>
        <v/>
      </c>
      <c r="B1037" s="0" t="str">
        <f aca="false">IF(A1037="","",IF(MATCH(A1037,$A$2:$A$3201,0)=ROW()-1,1,0))</f>
        <v/>
      </c>
      <c r="C1037" s="0" t="str">
        <f aca="false">IF(B1037=1,MAX(C$1:C1036)+1,"")</f>
        <v/>
      </c>
    </row>
    <row r="1038" customFormat="false" ht="15" hidden="false" customHeight="false" outlineLevel="0" collapsed="false">
      <c r="A1038" s="0" t="str">
        <f aca="false">IF(DECKS!B1038="","",DECKS!B1038)</f>
        <v/>
      </c>
      <c r="B1038" s="0" t="str">
        <f aca="false">IF(A1038="","",IF(MATCH(A1038,$A$2:$A$3201,0)=ROW()-1,1,0))</f>
        <v/>
      </c>
      <c r="C1038" s="0" t="str">
        <f aca="false">IF(B1038=1,MAX(C$1:C1037)+1,"")</f>
        <v/>
      </c>
    </row>
    <row r="1039" customFormat="false" ht="15" hidden="false" customHeight="false" outlineLevel="0" collapsed="false">
      <c r="A1039" s="0" t="str">
        <f aca="false">IF(DECKS!B1039="","",DECKS!B1039)</f>
        <v/>
      </c>
      <c r="B1039" s="0" t="str">
        <f aca="false">IF(A1039="","",IF(MATCH(A1039,$A$2:$A$3201,0)=ROW()-1,1,0))</f>
        <v/>
      </c>
      <c r="C1039" s="0" t="str">
        <f aca="false">IF(B1039=1,MAX(C$1:C1038)+1,"")</f>
        <v/>
      </c>
    </row>
    <row r="1040" customFormat="false" ht="15" hidden="false" customHeight="false" outlineLevel="0" collapsed="false">
      <c r="A1040" s="0" t="str">
        <f aca="false">IF(DECKS!B1040="","",DECKS!B1040)</f>
        <v/>
      </c>
      <c r="B1040" s="0" t="str">
        <f aca="false">IF(A1040="","",IF(MATCH(A1040,$A$2:$A$3201,0)=ROW()-1,1,0))</f>
        <v/>
      </c>
      <c r="C1040" s="0" t="str">
        <f aca="false">IF(B1040=1,MAX(C$1:C1039)+1,"")</f>
        <v/>
      </c>
    </row>
    <row r="1041" customFormat="false" ht="15" hidden="false" customHeight="false" outlineLevel="0" collapsed="false">
      <c r="A1041" s="0" t="str">
        <f aca="false">IF(DECKS!B1041="","",DECKS!B1041)</f>
        <v/>
      </c>
      <c r="B1041" s="0" t="str">
        <f aca="false">IF(A1041="","",IF(MATCH(A1041,$A$2:$A$3201,0)=ROW()-1,1,0))</f>
        <v/>
      </c>
      <c r="C1041" s="0" t="str">
        <f aca="false">IF(B1041=1,MAX(C$1:C1040)+1,"")</f>
        <v/>
      </c>
    </row>
    <row r="1042" customFormat="false" ht="15" hidden="false" customHeight="false" outlineLevel="0" collapsed="false">
      <c r="A1042" s="0" t="str">
        <f aca="false">IF(DECKS!B1042="","",DECKS!B1042)</f>
        <v/>
      </c>
      <c r="B1042" s="0" t="str">
        <f aca="false">IF(A1042="","",IF(MATCH(A1042,$A$2:$A$3201,0)=ROW()-1,1,0))</f>
        <v/>
      </c>
      <c r="C1042" s="0" t="str">
        <f aca="false">IF(B1042=1,MAX(C$1:C1041)+1,"")</f>
        <v/>
      </c>
    </row>
    <row r="1043" customFormat="false" ht="15" hidden="false" customHeight="false" outlineLevel="0" collapsed="false">
      <c r="A1043" s="0" t="str">
        <f aca="false">IF(DECKS!B1043="","",DECKS!B1043)</f>
        <v/>
      </c>
      <c r="B1043" s="0" t="str">
        <f aca="false">IF(A1043="","",IF(MATCH(A1043,$A$2:$A$3201,0)=ROW()-1,1,0))</f>
        <v/>
      </c>
      <c r="C1043" s="0" t="str">
        <f aca="false">IF(B1043=1,MAX(C$1:C1042)+1,"")</f>
        <v/>
      </c>
    </row>
    <row r="1044" customFormat="false" ht="15" hidden="false" customHeight="false" outlineLevel="0" collapsed="false">
      <c r="A1044" s="0" t="str">
        <f aca="false">IF(DECKS!B1044="","",DECKS!B1044)</f>
        <v/>
      </c>
      <c r="B1044" s="0" t="str">
        <f aca="false">IF(A1044="","",IF(MATCH(A1044,$A$2:$A$3201,0)=ROW()-1,1,0))</f>
        <v/>
      </c>
      <c r="C1044" s="0" t="str">
        <f aca="false">IF(B1044=1,MAX(C$1:C1043)+1,"")</f>
        <v/>
      </c>
    </row>
    <row r="1045" customFormat="false" ht="15" hidden="false" customHeight="false" outlineLevel="0" collapsed="false">
      <c r="A1045" s="0" t="str">
        <f aca="false">IF(DECKS!B1045="","",DECKS!B1045)</f>
        <v/>
      </c>
      <c r="B1045" s="0" t="str">
        <f aca="false">IF(A1045="","",IF(MATCH(A1045,$A$2:$A$3201,0)=ROW()-1,1,0))</f>
        <v/>
      </c>
      <c r="C1045" s="0" t="str">
        <f aca="false">IF(B1045=1,MAX(C$1:C1044)+1,"")</f>
        <v/>
      </c>
    </row>
    <row r="1046" customFormat="false" ht="15" hidden="false" customHeight="false" outlineLevel="0" collapsed="false">
      <c r="A1046" s="0" t="str">
        <f aca="false">IF(DECKS!B1046="","",DECKS!B1046)</f>
        <v/>
      </c>
      <c r="B1046" s="0" t="str">
        <f aca="false">IF(A1046="","",IF(MATCH(A1046,$A$2:$A$3201,0)=ROW()-1,1,0))</f>
        <v/>
      </c>
      <c r="C1046" s="0" t="str">
        <f aca="false">IF(B1046=1,MAX(C$1:C1045)+1,"")</f>
        <v/>
      </c>
    </row>
    <row r="1047" customFormat="false" ht="15" hidden="false" customHeight="false" outlineLevel="0" collapsed="false">
      <c r="A1047" s="0" t="str">
        <f aca="false">IF(DECKS!B1047="","",DECKS!B1047)</f>
        <v/>
      </c>
      <c r="B1047" s="0" t="str">
        <f aca="false">IF(A1047="","",IF(MATCH(A1047,$A$2:$A$3201,0)=ROW()-1,1,0))</f>
        <v/>
      </c>
      <c r="C1047" s="0" t="str">
        <f aca="false">IF(B1047=1,MAX(C$1:C1046)+1,"")</f>
        <v/>
      </c>
    </row>
    <row r="1048" customFormat="false" ht="15" hidden="false" customHeight="false" outlineLevel="0" collapsed="false">
      <c r="A1048" s="0" t="str">
        <f aca="false">IF(DECKS!B1048="","",DECKS!B1048)</f>
        <v/>
      </c>
      <c r="B1048" s="0" t="str">
        <f aca="false">IF(A1048="","",IF(MATCH(A1048,$A$2:$A$3201,0)=ROW()-1,1,0))</f>
        <v/>
      </c>
      <c r="C1048" s="0" t="str">
        <f aca="false">IF(B1048=1,MAX(C$1:C1047)+1,"")</f>
        <v/>
      </c>
    </row>
    <row r="1049" customFormat="false" ht="15" hidden="false" customHeight="false" outlineLevel="0" collapsed="false">
      <c r="A1049" s="0" t="str">
        <f aca="false">IF(DECKS!B1049="","",DECKS!B1049)</f>
        <v/>
      </c>
      <c r="B1049" s="0" t="str">
        <f aca="false">IF(A1049="","",IF(MATCH(A1049,$A$2:$A$3201,0)=ROW()-1,1,0))</f>
        <v/>
      </c>
      <c r="C1049" s="0" t="str">
        <f aca="false">IF(B1049=1,MAX(C$1:C1048)+1,"")</f>
        <v/>
      </c>
    </row>
    <row r="1050" customFormat="false" ht="15" hidden="false" customHeight="false" outlineLevel="0" collapsed="false">
      <c r="A1050" s="0" t="str">
        <f aca="false">IF(DECKS!B1050="","",DECKS!B1050)</f>
        <v/>
      </c>
      <c r="B1050" s="0" t="str">
        <f aca="false">IF(A1050="","",IF(MATCH(A1050,$A$2:$A$3201,0)=ROW()-1,1,0))</f>
        <v/>
      </c>
      <c r="C1050" s="0" t="str">
        <f aca="false">IF(B1050=1,MAX(C$1:C1049)+1,"")</f>
        <v/>
      </c>
    </row>
    <row r="1051" customFormat="false" ht="15" hidden="false" customHeight="false" outlineLevel="0" collapsed="false">
      <c r="A1051" s="0" t="str">
        <f aca="false">IF(DECKS!B1051="","",DECKS!B1051)</f>
        <v/>
      </c>
      <c r="B1051" s="0" t="str">
        <f aca="false">IF(A1051="","",IF(MATCH(A1051,$A$2:$A$3201,0)=ROW()-1,1,0))</f>
        <v/>
      </c>
      <c r="C1051" s="0" t="str">
        <f aca="false">IF(B1051=1,MAX(C$1:C1050)+1,"")</f>
        <v/>
      </c>
    </row>
    <row r="1052" customFormat="false" ht="15" hidden="false" customHeight="false" outlineLevel="0" collapsed="false">
      <c r="A1052" s="0" t="str">
        <f aca="false">IF(DECKS!B1052="","",DECKS!B1052)</f>
        <v/>
      </c>
      <c r="B1052" s="0" t="str">
        <f aca="false">IF(A1052="","",IF(MATCH(A1052,$A$2:$A$3201,0)=ROW()-1,1,0))</f>
        <v/>
      </c>
      <c r="C1052" s="0" t="str">
        <f aca="false">IF(B1052=1,MAX(C$1:C1051)+1,"")</f>
        <v/>
      </c>
    </row>
    <row r="1053" customFormat="false" ht="15" hidden="false" customHeight="false" outlineLevel="0" collapsed="false">
      <c r="A1053" s="0" t="str">
        <f aca="false">IF(DECKS!B1053="","",DECKS!B1053)</f>
        <v/>
      </c>
      <c r="B1053" s="0" t="str">
        <f aca="false">IF(A1053="","",IF(MATCH(A1053,$A$2:$A$3201,0)=ROW()-1,1,0))</f>
        <v/>
      </c>
      <c r="C1053" s="0" t="str">
        <f aca="false">IF(B1053=1,MAX(C$1:C1052)+1,"")</f>
        <v/>
      </c>
    </row>
    <row r="1054" customFormat="false" ht="15" hidden="false" customHeight="false" outlineLevel="0" collapsed="false">
      <c r="A1054" s="0" t="str">
        <f aca="false">IF(DECKS!B1054="","",DECKS!B1054)</f>
        <v/>
      </c>
      <c r="B1054" s="0" t="str">
        <f aca="false">IF(A1054="","",IF(MATCH(A1054,$A$2:$A$3201,0)=ROW()-1,1,0))</f>
        <v/>
      </c>
      <c r="C1054" s="0" t="str">
        <f aca="false">IF(B1054=1,MAX(C$1:C1053)+1,"")</f>
        <v/>
      </c>
    </row>
    <row r="1055" customFormat="false" ht="15" hidden="false" customHeight="false" outlineLevel="0" collapsed="false">
      <c r="A1055" s="0" t="str">
        <f aca="false">IF(DECKS!B1055="","",DECKS!B1055)</f>
        <v/>
      </c>
      <c r="B1055" s="0" t="str">
        <f aca="false">IF(A1055="","",IF(MATCH(A1055,$A$2:$A$3201,0)=ROW()-1,1,0))</f>
        <v/>
      </c>
      <c r="C1055" s="0" t="str">
        <f aca="false">IF(B1055=1,MAX(C$1:C1054)+1,"")</f>
        <v/>
      </c>
    </row>
    <row r="1056" customFormat="false" ht="15" hidden="false" customHeight="false" outlineLevel="0" collapsed="false">
      <c r="A1056" s="0" t="str">
        <f aca="false">IF(DECKS!B1056="","",DECKS!B1056)</f>
        <v/>
      </c>
      <c r="B1056" s="0" t="str">
        <f aca="false">IF(A1056="","",IF(MATCH(A1056,$A$2:$A$3201,0)=ROW()-1,1,0))</f>
        <v/>
      </c>
      <c r="C1056" s="0" t="str">
        <f aca="false">IF(B1056=1,MAX(C$1:C1055)+1,"")</f>
        <v/>
      </c>
    </row>
    <row r="1057" customFormat="false" ht="15" hidden="false" customHeight="false" outlineLevel="0" collapsed="false">
      <c r="A1057" s="0" t="str">
        <f aca="false">IF(DECKS!B1057="","",DECKS!B1057)</f>
        <v/>
      </c>
      <c r="B1057" s="0" t="str">
        <f aca="false">IF(A1057="","",IF(MATCH(A1057,$A$2:$A$3201,0)=ROW()-1,1,0))</f>
        <v/>
      </c>
      <c r="C1057" s="0" t="str">
        <f aca="false">IF(B1057=1,MAX(C$1:C1056)+1,"")</f>
        <v/>
      </c>
    </row>
    <row r="1058" customFormat="false" ht="15" hidden="false" customHeight="false" outlineLevel="0" collapsed="false">
      <c r="A1058" s="0" t="str">
        <f aca="false">IF(DECKS!B1058="","",DECKS!B1058)</f>
        <v/>
      </c>
      <c r="B1058" s="0" t="str">
        <f aca="false">IF(A1058="","",IF(MATCH(A1058,$A$2:$A$3201,0)=ROW()-1,1,0))</f>
        <v/>
      </c>
      <c r="C1058" s="0" t="str">
        <f aca="false">IF(B1058=1,MAX(C$1:C1057)+1,"")</f>
        <v/>
      </c>
    </row>
    <row r="1059" customFormat="false" ht="15" hidden="false" customHeight="false" outlineLevel="0" collapsed="false">
      <c r="A1059" s="0" t="str">
        <f aca="false">IF(DECKS!B1059="","",DECKS!B1059)</f>
        <v/>
      </c>
      <c r="B1059" s="0" t="str">
        <f aca="false">IF(A1059="","",IF(MATCH(A1059,$A$2:$A$3201,0)=ROW()-1,1,0))</f>
        <v/>
      </c>
      <c r="C1059" s="0" t="str">
        <f aca="false">IF(B1059=1,MAX(C$1:C1058)+1,"")</f>
        <v/>
      </c>
    </row>
    <row r="1060" customFormat="false" ht="15" hidden="false" customHeight="false" outlineLevel="0" collapsed="false">
      <c r="A1060" s="0" t="str">
        <f aca="false">IF(DECKS!B1060="","",DECKS!B1060)</f>
        <v/>
      </c>
      <c r="B1060" s="0" t="str">
        <f aca="false">IF(A1060="","",IF(MATCH(A1060,$A$2:$A$3201,0)=ROW()-1,1,0))</f>
        <v/>
      </c>
      <c r="C1060" s="0" t="str">
        <f aca="false">IF(B1060=1,MAX(C$1:C1059)+1,"")</f>
        <v/>
      </c>
    </row>
    <row r="1061" customFormat="false" ht="15" hidden="false" customHeight="false" outlineLevel="0" collapsed="false">
      <c r="A1061" s="0" t="str">
        <f aca="false">IF(DECKS!B1061="","",DECKS!B1061)</f>
        <v/>
      </c>
      <c r="B1061" s="0" t="str">
        <f aca="false">IF(A1061="","",IF(MATCH(A1061,$A$2:$A$3201,0)=ROW()-1,1,0))</f>
        <v/>
      </c>
      <c r="C1061" s="0" t="str">
        <f aca="false">IF(B1061=1,MAX(C$1:C1060)+1,"")</f>
        <v/>
      </c>
    </row>
    <row r="1062" customFormat="false" ht="15" hidden="false" customHeight="false" outlineLevel="0" collapsed="false">
      <c r="A1062" s="0" t="str">
        <f aca="false">IF(DECKS!B1062="","",DECKS!B1062)</f>
        <v/>
      </c>
      <c r="B1062" s="0" t="str">
        <f aca="false">IF(A1062="","",IF(MATCH(A1062,$A$2:$A$3201,0)=ROW()-1,1,0))</f>
        <v/>
      </c>
      <c r="C1062" s="0" t="str">
        <f aca="false">IF(B1062=1,MAX(C$1:C1061)+1,"")</f>
        <v/>
      </c>
    </row>
    <row r="1063" customFormat="false" ht="15" hidden="false" customHeight="false" outlineLevel="0" collapsed="false">
      <c r="A1063" s="0" t="str">
        <f aca="false">IF(DECKS!B1063="","",DECKS!B1063)</f>
        <v/>
      </c>
      <c r="B1063" s="0" t="str">
        <f aca="false">IF(A1063="","",IF(MATCH(A1063,$A$2:$A$3201,0)=ROW()-1,1,0))</f>
        <v/>
      </c>
      <c r="C1063" s="0" t="str">
        <f aca="false">IF(B1063=1,MAX(C$1:C1062)+1,"")</f>
        <v/>
      </c>
    </row>
    <row r="1064" customFormat="false" ht="15" hidden="false" customHeight="false" outlineLevel="0" collapsed="false">
      <c r="A1064" s="0" t="str">
        <f aca="false">IF(DECKS!B1064="","",DECKS!B1064)</f>
        <v/>
      </c>
      <c r="B1064" s="0" t="str">
        <f aca="false">IF(A1064="","",IF(MATCH(A1064,$A$2:$A$3201,0)=ROW()-1,1,0))</f>
        <v/>
      </c>
      <c r="C1064" s="0" t="str">
        <f aca="false">IF(B1064=1,MAX(C$1:C1063)+1,"")</f>
        <v/>
      </c>
    </row>
    <row r="1065" customFormat="false" ht="15" hidden="false" customHeight="false" outlineLevel="0" collapsed="false">
      <c r="A1065" s="0" t="str">
        <f aca="false">IF(DECKS!B1065="","",DECKS!B1065)</f>
        <v/>
      </c>
      <c r="B1065" s="0" t="str">
        <f aca="false">IF(A1065="","",IF(MATCH(A1065,$A$2:$A$3201,0)=ROW()-1,1,0))</f>
        <v/>
      </c>
      <c r="C1065" s="0" t="str">
        <f aca="false">IF(B1065=1,MAX(C$1:C1064)+1,"")</f>
        <v/>
      </c>
    </row>
    <row r="1066" customFormat="false" ht="15" hidden="false" customHeight="false" outlineLevel="0" collapsed="false">
      <c r="A1066" s="0" t="str">
        <f aca="false">IF(DECKS!B1066="","",DECKS!B1066)</f>
        <v/>
      </c>
      <c r="B1066" s="0" t="str">
        <f aca="false">IF(A1066="","",IF(MATCH(A1066,$A$2:$A$3201,0)=ROW()-1,1,0))</f>
        <v/>
      </c>
      <c r="C1066" s="0" t="str">
        <f aca="false">IF(B1066=1,MAX(C$1:C1065)+1,"")</f>
        <v/>
      </c>
    </row>
    <row r="1067" customFormat="false" ht="15" hidden="false" customHeight="false" outlineLevel="0" collapsed="false">
      <c r="A1067" s="0" t="str">
        <f aca="false">IF(DECKS!B1067="","",DECKS!B1067)</f>
        <v/>
      </c>
      <c r="B1067" s="0" t="str">
        <f aca="false">IF(A1067="","",IF(MATCH(A1067,$A$2:$A$3201,0)=ROW()-1,1,0))</f>
        <v/>
      </c>
      <c r="C1067" s="0" t="str">
        <f aca="false">IF(B1067=1,MAX(C$1:C1066)+1,"")</f>
        <v/>
      </c>
    </row>
    <row r="1068" customFormat="false" ht="15" hidden="false" customHeight="false" outlineLevel="0" collapsed="false">
      <c r="A1068" s="0" t="str">
        <f aca="false">IF(DECKS!B1068="","",DECKS!B1068)</f>
        <v/>
      </c>
      <c r="B1068" s="0" t="str">
        <f aca="false">IF(A1068="","",IF(MATCH(A1068,$A$2:$A$3201,0)=ROW()-1,1,0))</f>
        <v/>
      </c>
      <c r="C1068" s="0" t="str">
        <f aca="false">IF(B1068=1,MAX(C$1:C1067)+1,"")</f>
        <v/>
      </c>
    </row>
    <row r="1069" customFormat="false" ht="15" hidden="false" customHeight="false" outlineLevel="0" collapsed="false">
      <c r="A1069" s="0" t="str">
        <f aca="false">IF(DECKS!B1069="","",DECKS!B1069)</f>
        <v/>
      </c>
      <c r="B1069" s="0" t="str">
        <f aca="false">IF(A1069="","",IF(MATCH(A1069,$A$2:$A$3201,0)=ROW()-1,1,0))</f>
        <v/>
      </c>
      <c r="C1069" s="0" t="str">
        <f aca="false">IF(B1069=1,MAX(C$1:C1068)+1,"")</f>
        <v/>
      </c>
    </row>
    <row r="1070" customFormat="false" ht="15" hidden="false" customHeight="false" outlineLevel="0" collapsed="false">
      <c r="A1070" s="0" t="str">
        <f aca="false">IF(DECKS!B1070="","",DECKS!B1070)</f>
        <v/>
      </c>
      <c r="B1070" s="0" t="str">
        <f aca="false">IF(A1070="","",IF(MATCH(A1070,$A$2:$A$3201,0)=ROW()-1,1,0))</f>
        <v/>
      </c>
      <c r="C1070" s="0" t="str">
        <f aca="false">IF(B1070=1,MAX(C$1:C1069)+1,"")</f>
        <v/>
      </c>
    </row>
    <row r="1071" customFormat="false" ht="15" hidden="false" customHeight="false" outlineLevel="0" collapsed="false">
      <c r="A1071" s="0" t="str">
        <f aca="false">IF(DECKS!B1071="","",DECKS!B1071)</f>
        <v/>
      </c>
      <c r="B1071" s="0" t="str">
        <f aca="false">IF(A1071="","",IF(MATCH(A1071,$A$2:$A$3201,0)=ROW()-1,1,0))</f>
        <v/>
      </c>
      <c r="C1071" s="0" t="str">
        <f aca="false">IF(B1071=1,MAX(C$1:C1070)+1,"")</f>
        <v/>
      </c>
    </row>
    <row r="1072" customFormat="false" ht="15" hidden="false" customHeight="false" outlineLevel="0" collapsed="false">
      <c r="A1072" s="0" t="str">
        <f aca="false">IF(DECKS!B1072="","",DECKS!B1072)</f>
        <v/>
      </c>
      <c r="B1072" s="0" t="str">
        <f aca="false">IF(A1072="","",IF(MATCH(A1072,$A$2:$A$3201,0)=ROW()-1,1,0))</f>
        <v/>
      </c>
      <c r="C1072" s="0" t="str">
        <f aca="false">IF(B1072=1,MAX(C$1:C1071)+1,"")</f>
        <v/>
      </c>
    </row>
    <row r="1073" customFormat="false" ht="15" hidden="false" customHeight="false" outlineLevel="0" collapsed="false">
      <c r="A1073" s="0" t="str">
        <f aca="false">IF(DECKS!B1073="","",DECKS!B1073)</f>
        <v/>
      </c>
      <c r="B1073" s="0" t="str">
        <f aca="false">IF(A1073="","",IF(MATCH(A1073,$A$2:$A$3201,0)=ROW()-1,1,0))</f>
        <v/>
      </c>
      <c r="C1073" s="0" t="str">
        <f aca="false">IF(B1073=1,MAX(C$1:C1072)+1,"")</f>
        <v/>
      </c>
    </row>
    <row r="1074" customFormat="false" ht="15" hidden="false" customHeight="false" outlineLevel="0" collapsed="false">
      <c r="A1074" s="0" t="str">
        <f aca="false">IF(DECKS!B1074="","",DECKS!B1074)</f>
        <v/>
      </c>
      <c r="B1074" s="0" t="str">
        <f aca="false">IF(A1074="","",IF(MATCH(A1074,$A$2:$A$3201,0)=ROW()-1,1,0))</f>
        <v/>
      </c>
      <c r="C1074" s="0" t="str">
        <f aca="false">IF(B1074=1,MAX(C$1:C1073)+1,"")</f>
        <v/>
      </c>
    </row>
    <row r="1075" customFormat="false" ht="15" hidden="false" customHeight="false" outlineLevel="0" collapsed="false">
      <c r="A1075" s="0" t="str">
        <f aca="false">IF(DECKS!B1075="","",DECKS!B1075)</f>
        <v/>
      </c>
      <c r="B1075" s="0" t="str">
        <f aca="false">IF(A1075="","",IF(MATCH(A1075,$A$2:$A$3201,0)=ROW()-1,1,0))</f>
        <v/>
      </c>
      <c r="C1075" s="0" t="str">
        <f aca="false">IF(B1075=1,MAX(C$1:C1074)+1,"")</f>
        <v/>
      </c>
    </row>
    <row r="1076" customFormat="false" ht="15" hidden="false" customHeight="false" outlineLevel="0" collapsed="false">
      <c r="A1076" s="0" t="str">
        <f aca="false">IF(DECKS!B1076="","",DECKS!B1076)</f>
        <v/>
      </c>
      <c r="B1076" s="0" t="str">
        <f aca="false">IF(A1076="","",IF(MATCH(A1076,$A$2:$A$3201,0)=ROW()-1,1,0))</f>
        <v/>
      </c>
      <c r="C1076" s="0" t="str">
        <f aca="false">IF(B1076=1,MAX(C$1:C1075)+1,"")</f>
        <v/>
      </c>
    </row>
    <row r="1077" customFormat="false" ht="15" hidden="false" customHeight="false" outlineLevel="0" collapsed="false">
      <c r="A1077" s="0" t="str">
        <f aca="false">IF(DECKS!B1077="","",DECKS!B1077)</f>
        <v/>
      </c>
      <c r="B1077" s="0" t="str">
        <f aca="false">IF(A1077="","",IF(MATCH(A1077,$A$2:$A$3201,0)=ROW()-1,1,0))</f>
        <v/>
      </c>
      <c r="C1077" s="0" t="str">
        <f aca="false">IF(B1077=1,MAX(C$1:C1076)+1,"")</f>
        <v/>
      </c>
    </row>
    <row r="1078" customFormat="false" ht="15" hidden="false" customHeight="false" outlineLevel="0" collapsed="false">
      <c r="A1078" s="0" t="str">
        <f aca="false">IF(DECKS!B1078="","",DECKS!B1078)</f>
        <v/>
      </c>
      <c r="B1078" s="0" t="str">
        <f aca="false">IF(A1078="","",IF(MATCH(A1078,$A$2:$A$3201,0)=ROW()-1,1,0))</f>
        <v/>
      </c>
      <c r="C1078" s="0" t="str">
        <f aca="false">IF(B1078=1,MAX(C$1:C1077)+1,"")</f>
        <v/>
      </c>
    </row>
    <row r="1079" customFormat="false" ht="15" hidden="false" customHeight="false" outlineLevel="0" collapsed="false">
      <c r="A1079" s="0" t="str">
        <f aca="false">IF(DECKS!B1079="","",DECKS!B1079)</f>
        <v/>
      </c>
      <c r="B1079" s="0" t="str">
        <f aca="false">IF(A1079="","",IF(MATCH(A1079,$A$2:$A$3201,0)=ROW()-1,1,0))</f>
        <v/>
      </c>
      <c r="C1079" s="0" t="str">
        <f aca="false">IF(B1079=1,MAX(C$1:C1078)+1,"")</f>
        <v/>
      </c>
    </row>
    <row r="1080" customFormat="false" ht="15" hidden="false" customHeight="false" outlineLevel="0" collapsed="false">
      <c r="A1080" s="0" t="str">
        <f aca="false">IF(DECKS!B1080="","",DECKS!B1080)</f>
        <v/>
      </c>
      <c r="B1080" s="0" t="str">
        <f aca="false">IF(A1080="","",IF(MATCH(A1080,$A$2:$A$3201,0)=ROW()-1,1,0))</f>
        <v/>
      </c>
      <c r="C1080" s="0" t="str">
        <f aca="false">IF(B1080=1,MAX(C$1:C1079)+1,"")</f>
        <v/>
      </c>
    </row>
    <row r="1081" customFormat="false" ht="15" hidden="false" customHeight="false" outlineLevel="0" collapsed="false">
      <c r="A1081" s="0" t="str">
        <f aca="false">IF(DECKS!B1081="","",DECKS!B1081)</f>
        <v/>
      </c>
      <c r="B1081" s="0" t="str">
        <f aca="false">IF(A1081="","",IF(MATCH(A1081,$A$2:$A$3201,0)=ROW()-1,1,0))</f>
        <v/>
      </c>
      <c r="C1081" s="0" t="str">
        <f aca="false">IF(B1081=1,MAX(C$1:C1080)+1,"")</f>
        <v/>
      </c>
    </row>
    <row r="1082" customFormat="false" ht="15" hidden="false" customHeight="false" outlineLevel="0" collapsed="false">
      <c r="A1082" s="0" t="str">
        <f aca="false">IF(DECKS!B1082="","",DECKS!B1082)</f>
        <v/>
      </c>
      <c r="B1082" s="0" t="str">
        <f aca="false">IF(A1082="","",IF(MATCH(A1082,$A$2:$A$3201,0)=ROW()-1,1,0))</f>
        <v/>
      </c>
      <c r="C1082" s="0" t="str">
        <f aca="false">IF(B1082=1,MAX(C$1:C1081)+1,"")</f>
        <v/>
      </c>
    </row>
    <row r="1083" customFormat="false" ht="15" hidden="false" customHeight="false" outlineLevel="0" collapsed="false">
      <c r="A1083" s="0" t="str">
        <f aca="false">IF(DECKS!B1083="","",DECKS!B1083)</f>
        <v/>
      </c>
      <c r="B1083" s="0" t="str">
        <f aca="false">IF(A1083="","",IF(MATCH(A1083,$A$2:$A$3201,0)=ROW()-1,1,0))</f>
        <v/>
      </c>
      <c r="C1083" s="0" t="str">
        <f aca="false">IF(B1083=1,MAX(C$1:C1082)+1,"")</f>
        <v/>
      </c>
    </row>
    <row r="1084" customFormat="false" ht="15" hidden="false" customHeight="false" outlineLevel="0" collapsed="false">
      <c r="A1084" s="0" t="str">
        <f aca="false">IF(DECKS!B1084="","",DECKS!B1084)</f>
        <v/>
      </c>
      <c r="B1084" s="0" t="str">
        <f aca="false">IF(A1084="","",IF(MATCH(A1084,$A$2:$A$3201,0)=ROW()-1,1,0))</f>
        <v/>
      </c>
      <c r="C1084" s="0" t="str">
        <f aca="false">IF(B1084=1,MAX(C$1:C1083)+1,"")</f>
        <v/>
      </c>
    </row>
    <row r="1085" customFormat="false" ht="15" hidden="false" customHeight="false" outlineLevel="0" collapsed="false">
      <c r="A1085" s="0" t="str">
        <f aca="false">IF(DECKS!B1085="","",DECKS!B1085)</f>
        <v/>
      </c>
      <c r="B1085" s="0" t="str">
        <f aca="false">IF(A1085="","",IF(MATCH(A1085,$A$2:$A$3201,0)=ROW()-1,1,0))</f>
        <v/>
      </c>
      <c r="C1085" s="0" t="str">
        <f aca="false">IF(B1085=1,MAX(C$1:C1084)+1,"")</f>
        <v/>
      </c>
    </row>
    <row r="1086" customFormat="false" ht="15" hidden="false" customHeight="false" outlineLevel="0" collapsed="false">
      <c r="A1086" s="0" t="str">
        <f aca="false">IF(DECKS!B1086="","",DECKS!B1086)</f>
        <v/>
      </c>
      <c r="B1086" s="0" t="str">
        <f aca="false">IF(A1086="","",IF(MATCH(A1086,$A$2:$A$3201,0)=ROW()-1,1,0))</f>
        <v/>
      </c>
      <c r="C1086" s="0" t="str">
        <f aca="false">IF(B1086=1,MAX(C$1:C1085)+1,"")</f>
        <v/>
      </c>
    </row>
    <row r="1087" customFormat="false" ht="15" hidden="false" customHeight="false" outlineLevel="0" collapsed="false">
      <c r="A1087" s="0" t="str">
        <f aca="false">IF(DECKS!B1087="","",DECKS!B1087)</f>
        <v/>
      </c>
      <c r="B1087" s="0" t="str">
        <f aca="false">IF(A1087="","",IF(MATCH(A1087,$A$2:$A$3201,0)=ROW()-1,1,0))</f>
        <v/>
      </c>
      <c r="C1087" s="0" t="str">
        <f aca="false">IF(B1087=1,MAX(C$1:C1086)+1,"")</f>
        <v/>
      </c>
    </row>
    <row r="1088" customFormat="false" ht="15" hidden="false" customHeight="false" outlineLevel="0" collapsed="false">
      <c r="A1088" s="0" t="str">
        <f aca="false">IF(DECKS!B1088="","",DECKS!B1088)</f>
        <v/>
      </c>
      <c r="B1088" s="0" t="str">
        <f aca="false">IF(A1088="","",IF(MATCH(A1088,$A$2:$A$3201,0)=ROW()-1,1,0))</f>
        <v/>
      </c>
      <c r="C1088" s="0" t="str">
        <f aca="false">IF(B1088=1,MAX(C$1:C1087)+1,"")</f>
        <v/>
      </c>
    </row>
    <row r="1089" customFormat="false" ht="15" hidden="false" customHeight="false" outlineLevel="0" collapsed="false">
      <c r="A1089" s="0" t="str">
        <f aca="false">IF(DECKS!B1089="","",DECKS!B1089)</f>
        <v/>
      </c>
      <c r="B1089" s="0" t="str">
        <f aca="false">IF(A1089="","",IF(MATCH(A1089,$A$2:$A$3201,0)=ROW()-1,1,0))</f>
        <v/>
      </c>
      <c r="C1089" s="0" t="str">
        <f aca="false">IF(B1089=1,MAX(C$1:C1088)+1,"")</f>
        <v/>
      </c>
    </row>
    <row r="1090" customFormat="false" ht="15" hidden="false" customHeight="false" outlineLevel="0" collapsed="false">
      <c r="A1090" s="0" t="str">
        <f aca="false">IF(DECKS!B1090="","",DECKS!B1090)</f>
        <v/>
      </c>
      <c r="B1090" s="0" t="str">
        <f aca="false">IF(A1090="","",IF(MATCH(A1090,$A$2:$A$3201,0)=ROW()-1,1,0))</f>
        <v/>
      </c>
      <c r="C1090" s="0" t="str">
        <f aca="false">IF(B1090=1,MAX(C$1:C1089)+1,"")</f>
        <v/>
      </c>
    </row>
    <row r="1091" customFormat="false" ht="15" hidden="false" customHeight="false" outlineLevel="0" collapsed="false">
      <c r="A1091" s="0" t="str">
        <f aca="false">IF(DECKS!B1091="","",DECKS!B1091)</f>
        <v/>
      </c>
      <c r="B1091" s="0" t="str">
        <f aca="false">IF(A1091="","",IF(MATCH(A1091,$A$2:$A$3201,0)=ROW()-1,1,0))</f>
        <v/>
      </c>
      <c r="C1091" s="0" t="str">
        <f aca="false">IF(B1091=1,MAX(C$1:C1090)+1,"")</f>
        <v/>
      </c>
    </row>
    <row r="1092" customFormat="false" ht="15" hidden="false" customHeight="false" outlineLevel="0" collapsed="false">
      <c r="A1092" s="0" t="str">
        <f aca="false">IF(DECKS!B1092="","",DECKS!B1092)</f>
        <v/>
      </c>
      <c r="B1092" s="0" t="str">
        <f aca="false">IF(A1092="","",IF(MATCH(A1092,$A$2:$A$3201,0)=ROW()-1,1,0))</f>
        <v/>
      </c>
      <c r="C1092" s="0" t="str">
        <f aca="false">IF(B1092=1,MAX(C$1:C1091)+1,"")</f>
        <v/>
      </c>
    </row>
    <row r="1093" customFormat="false" ht="15" hidden="false" customHeight="false" outlineLevel="0" collapsed="false">
      <c r="A1093" s="0" t="str">
        <f aca="false">IF(DECKS!B1093="","",DECKS!B1093)</f>
        <v/>
      </c>
      <c r="B1093" s="0" t="str">
        <f aca="false">IF(A1093="","",IF(MATCH(A1093,$A$2:$A$3201,0)=ROW()-1,1,0))</f>
        <v/>
      </c>
      <c r="C1093" s="0" t="str">
        <f aca="false">IF(B1093=1,MAX(C$1:C1092)+1,"")</f>
        <v/>
      </c>
    </row>
    <row r="1094" customFormat="false" ht="15" hidden="false" customHeight="false" outlineLevel="0" collapsed="false">
      <c r="A1094" s="0" t="str">
        <f aca="false">IF(DECKS!B1094="","",DECKS!B1094)</f>
        <v/>
      </c>
      <c r="B1094" s="0" t="str">
        <f aca="false">IF(A1094="","",IF(MATCH(A1094,$A$2:$A$3201,0)=ROW()-1,1,0))</f>
        <v/>
      </c>
      <c r="C1094" s="0" t="str">
        <f aca="false">IF(B1094=1,MAX(C$1:C1093)+1,"")</f>
        <v/>
      </c>
    </row>
    <row r="1095" customFormat="false" ht="15" hidden="false" customHeight="false" outlineLevel="0" collapsed="false">
      <c r="A1095" s="0" t="str">
        <f aca="false">IF(DECKS!B1095="","",DECKS!B1095)</f>
        <v/>
      </c>
      <c r="B1095" s="0" t="str">
        <f aca="false">IF(A1095="","",IF(MATCH(A1095,$A$2:$A$3201,0)=ROW()-1,1,0))</f>
        <v/>
      </c>
      <c r="C1095" s="0" t="str">
        <f aca="false">IF(B1095=1,MAX(C$1:C1094)+1,"")</f>
        <v/>
      </c>
    </row>
    <row r="1096" customFormat="false" ht="15" hidden="false" customHeight="false" outlineLevel="0" collapsed="false">
      <c r="A1096" s="0" t="str">
        <f aca="false">IF(DECKS!B1096="","",DECKS!B1096)</f>
        <v/>
      </c>
      <c r="B1096" s="0" t="str">
        <f aca="false">IF(A1096="","",IF(MATCH(A1096,$A$2:$A$3201,0)=ROW()-1,1,0))</f>
        <v/>
      </c>
      <c r="C1096" s="0" t="str">
        <f aca="false">IF(B1096=1,MAX(C$1:C1095)+1,"")</f>
        <v/>
      </c>
    </row>
    <row r="1097" customFormat="false" ht="15" hidden="false" customHeight="false" outlineLevel="0" collapsed="false">
      <c r="A1097" s="0" t="str">
        <f aca="false">IF(DECKS!B1097="","",DECKS!B1097)</f>
        <v/>
      </c>
      <c r="B1097" s="0" t="str">
        <f aca="false">IF(A1097="","",IF(MATCH(A1097,$A$2:$A$3201,0)=ROW()-1,1,0))</f>
        <v/>
      </c>
      <c r="C1097" s="0" t="str">
        <f aca="false">IF(B1097=1,MAX(C$1:C1096)+1,"")</f>
        <v/>
      </c>
    </row>
    <row r="1098" customFormat="false" ht="15" hidden="false" customHeight="false" outlineLevel="0" collapsed="false">
      <c r="A1098" s="0" t="str">
        <f aca="false">IF(DECKS!B1098="","",DECKS!B1098)</f>
        <v/>
      </c>
      <c r="B1098" s="0" t="str">
        <f aca="false">IF(A1098="","",IF(MATCH(A1098,$A$2:$A$3201,0)=ROW()-1,1,0))</f>
        <v/>
      </c>
      <c r="C1098" s="0" t="str">
        <f aca="false">IF(B1098=1,MAX(C$1:C1097)+1,"")</f>
        <v/>
      </c>
    </row>
    <row r="1099" customFormat="false" ht="15" hidden="false" customHeight="false" outlineLevel="0" collapsed="false">
      <c r="A1099" s="0" t="str">
        <f aca="false">IF(DECKS!B1099="","",DECKS!B1099)</f>
        <v/>
      </c>
      <c r="B1099" s="0" t="str">
        <f aca="false">IF(A1099="","",IF(MATCH(A1099,$A$2:$A$3201,0)=ROW()-1,1,0))</f>
        <v/>
      </c>
      <c r="C1099" s="0" t="str">
        <f aca="false">IF(B1099=1,MAX(C$1:C1098)+1,"")</f>
        <v/>
      </c>
    </row>
    <row r="1100" customFormat="false" ht="15" hidden="false" customHeight="false" outlineLevel="0" collapsed="false">
      <c r="A1100" s="0" t="str">
        <f aca="false">IF(DECKS!B1100="","",DECKS!B1100)</f>
        <v/>
      </c>
      <c r="B1100" s="0" t="str">
        <f aca="false">IF(A1100="","",IF(MATCH(A1100,$A$2:$A$3201,0)=ROW()-1,1,0))</f>
        <v/>
      </c>
      <c r="C1100" s="0" t="str">
        <f aca="false">IF(B1100=1,MAX(C$1:C1099)+1,"")</f>
        <v/>
      </c>
    </row>
    <row r="1101" customFormat="false" ht="15" hidden="false" customHeight="false" outlineLevel="0" collapsed="false">
      <c r="A1101" s="0" t="str">
        <f aca="false">IF(DECKS!B1101="","",DECKS!B1101)</f>
        <v/>
      </c>
      <c r="B1101" s="0" t="str">
        <f aca="false">IF(A1101="","",IF(MATCH(A1101,$A$2:$A$3201,0)=ROW()-1,1,0))</f>
        <v/>
      </c>
      <c r="C1101" s="0" t="str">
        <f aca="false">IF(B1101=1,MAX(C$1:C1100)+1,"")</f>
        <v/>
      </c>
    </row>
    <row r="1102" customFormat="false" ht="15" hidden="false" customHeight="false" outlineLevel="0" collapsed="false">
      <c r="A1102" s="0" t="str">
        <f aca="false">IF(DECKS!B1102="","",DECKS!B1102)</f>
        <v/>
      </c>
      <c r="B1102" s="0" t="str">
        <f aca="false">IF(A1102="","",IF(MATCH(A1102,$A$2:$A$3201,0)=ROW()-1,1,0))</f>
        <v/>
      </c>
      <c r="C1102" s="0" t="str">
        <f aca="false">IF(B1102=1,MAX(C$1:C1101)+1,"")</f>
        <v/>
      </c>
    </row>
    <row r="1103" customFormat="false" ht="15" hidden="false" customHeight="false" outlineLevel="0" collapsed="false">
      <c r="A1103" s="0" t="str">
        <f aca="false">IF(DECKS!B1103="","",DECKS!B1103)</f>
        <v/>
      </c>
      <c r="B1103" s="0" t="str">
        <f aca="false">IF(A1103="","",IF(MATCH(A1103,$A$2:$A$3201,0)=ROW()-1,1,0))</f>
        <v/>
      </c>
      <c r="C1103" s="0" t="str">
        <f aca="false">IF(B1103=1,MAX(C$1:C1102)+1,"")</f>
        <v/>
      </c>
    </row>
    <row r="1104" customFormat="false" ht="15" hidden="false" customHeight="false" outlineLevel="0" collapsed="false">
      <c r="A1104" s="0" t="str">
        <f aca="false">IF(DECKS!B1104="","",DECKS!B1104)</f>
        <v/>
      </c>
      <c r="B1104" s="0" t="str">
        <f aca="false">IF(A1104="","",IF(MATCH(A1104,$A$2:$A$3201,0)=ROW()-1,1,0))</f>
        <v/>
      </c>
      <c r="C1104" s="0" t="str">
        <f aca="false">IF(B1104=1,MAX(C$1:C1103)+1,"")</f>
        <v/>
      </c>
    </row>
    <row r="1105" customFormat="false" ht="15" hidden="false" customHeight="false" outlineLevel="0" collapsed="false">
      <c r="A1105" s="0" t="str">
        <f aca="false">IF(DECKS!B1105="","",DECKS!B1105)</f>
        <v/>
      </c>
      <c r="B1105" s="0" t="str">
        <f aca="false">IF(A1105="","",IF(MATCH(A1105,$A$2:$A$3201,0)=ROW()-1,1,0))</f>
        <v/>
      </c>
      <c r="C1105" s="0" t="str">
        <f aca="false">IF(B1105=1,MAX(C$1:C1104)+1,"")</f>
        <v/>
      </c>
    </row>
    <row r="1106" customFormat="false" ht="15" hidden="false" customHeight="false" outlineLevel="0" collapsed="false">
      <c r="A1106" s="0" t="str">
        <f aca="false">IF(DECKS!B1106="","",DECKS!B1106)</f>
        <v/>
      </c>
      <c r="B1106" s="0" t="str">
        <f aca="false">IF(A1106="","",IF(MATCH(A1106,$A$2:$A$3201,0)=ROW()-1,1,0))</f>
        <v/>
      </c>
      <c r="C1106" s="0" t="str">
        <f aca="false">IF(B1106=1,MAX(C$1:C1105)+1,"")</f>
        <v/>
      </c>
    </row>
    <row r="1107" customFormat="false" ht="15" hidden="false" customHeight="false" outlineLevel="0" collapsed="false">
      <c r="A1107" s="0" t="str">
        <f aca="false">IF(DECKS!B1107="","",DECKS!B1107)</f>
        <v/>
      </c>
      <c r="B1107" s="0" t="str">
        <f aca="false">IF(A1107="","",IF(MATCH(A1107,$A$2:$A$3201,0)=ROW()-1,1,0))</f>
        <v/>
      </c>
      <c r="C1107" s="0" t="str">
        <f aca="false">IF(B1107=1,MAX(C$1:C1106)+1,"")</f>
        <v/>
      </c>
    </row>
    <row r="1108" customFormat="false" ht="15" hidden="false" customHeight="false" outlineLevel="0" collapsed="false">
      <c r="A1108" s="0" t="str">
        <f aca="false">IF(DECKS!B1108="","",DECKS!B1108)</f>
        <v/>
      </c>
      <c r="B1108" s="0" t="str">
        <f aca="false">IF(A1108="","",IF(MATCH(A1108,$A$2:$A$3201,0)=ROW()-1,1,0))</f>
        <v/>
      </c>
      <c r="C1108" s="0" t="str">
        <f aca="false">IF(B1108=1,MAX(C$1:C1107)+1,"")</f>
        <v/>
      </c>
    </row>
    <row r="1109" customFormat="false" ht="15" hidden="false" customHeight="false" outlineLevel="0" collapsed="false">
      <c r="A1109" s="0" t="str">
        <f aca="false">IF(DECKS!B1109="","",DECKS!B1109)</f>
        <v/>
      </c>
      <c r="B1109" s="0" t="str">
        <f aca="false">IF(A1109="","",IF(MATCH(A1109,$A$2:$A$3201,0)=ROW()-1,1,0))</f>
        <v/>
      </c>
      <c r="C1109" s="0" t="str">
        <f aca="false">IF(B1109=1,MAX(C$1:C1108)+1,"")</f>
        <v/>
      </c>
    </row>
    <row r="1110" customFormat="false" ht="15" hidden="false" customHeight="false" outlineLevel="0" collapsed="false">
      <c r="A1110" s="0" t="str">
        <f aca="false">IF(DECKS!B1110="","",DECKS!B1110)</f>
        <v/>
      </c>
      <c r="B1110" s="0" t="str">
        <f aca="false">IF(A1110="","",IF(MATCH(A1110,$A$2:$A$3201,0)=ROW()-1,1,0))</f>
        <v/>
      </c>
      <c r="C1110" s="0" t="str">
        <f aca="false">IF(B1110=1,MAX(C$1:C1109)+1,"")</f>
        <v/>
      </c>
    </row>
    <row r="1111" customFormat="false" ht="15" hidden="false" customHeight="false" outlineLevel="0" collapsed="false">
      <c r="A1111" s="0" t="str">
        <f aca="false">IF(DECKS!B1111="","",DECKS!B1111)</f>
        <v/>
      </c>
      <c r="B1111" s="0" t="str">
        <f aca="false">IF(A1111="","",IF(MATCH(A1111,$A$2:$A$3201,0)=ROW()-1,1,0))</f>
        <v/>
      </c>
      <c r="C1111" s="0" t="str">
        <f aca="false">IF(B1111=1,MAX(C$1:C1110)+1,"")</f>
        <v/>
      </c>
    </row>
    <row r="1112" customFormat="false" ht="15" hidden="false" customHeight="false" outlineLevel="0" collapsed="false">
      <c r="A1112" s="0" t="str">
        <f aca="false">IF(DECKS!B1112="","",DECKS!B1112)</f>
        <v/>
      </c>
      <c r="B1112" s="0" t="str">
        <f aca="false">IF(A1112="","",IF(MATCH(A1112,$A$2:$A$3201,0)=ROW()-1,1,0))</f>
        <v/>
      </c>
      <c r="C1112" s="0" t="str">
        <f aca="false">IF(B1112=1,MAX(C$1:C1111)+1,"")</f>
        <v/>
      </c>
    </row>
    <row r="1113" customFormat="false" ht="15" hidden="false" customHeight="false" outlineLevel="0" collapsed="false">
      <c r="A1113" s="0" t="str">
        <f aca="false">IF(DECKS!B1113="","",DECKS!B1113)</f>
        <v/>
      </c>
      <c r="B1113" s="0" t="str">
        <f aca="false">IF(A1113="","",IF(MATCH(A1113,$A$2:$A$3201,0)=ROW()-1,1,0))</f>
        <v/>
      </c>
      <c r="C1113" s="0" t="str">
        <f aca="false">IF(B1113=1,MAX(C$1:C1112)+1,"")</f>
        <v/>
      </c>
    </row>
    <row r="1114" customFormat="false" ht="15" hidden="false" customHeight="false" outlineLevel="0" collapsed="false">
      <c r="A1114" s="0" t="str">
        <f aca="false">IF(DECKS!B1114="","",DECKS!B1114)</f>
        <v/>
      </c>
      <c r="B1114" s="0" t="str">
        <f aca="false">IF(A1114="","",IF(MATCH(A1114,$A$2:$A$3201,0)=ROW()-1,1,0))</f>
        <v/>
      </c>
      <c r="C1114" s="0" t="str">
        <f aca="false">IF(B1114=1,MAX(C$1:C1113)+1,"")</f>
        <v/>
      </c>
    </row>
    <row r="1115" customFormat="false" ht="15" hidden="false" customHeight="false" outlineLevel="0" collapsed="false">
      <c r="A1115" s="0" t="str">
        <f aca="false">IF(DECKS!B1115="","",DECKS!B1115)</f>
        <v/>
      </c>
      <c r="B1115" s="0" t="str">
        <f aca="false">IF(A1115="","",IF(MATCH(A1115,$A$2:$A$3201,0)=ROW()-1,1,0))</f>
        <v/>
      </c>
      <c r="C1115" s="0" t="str">
        <f aca="false">IF(B1115=1,MAX(C$1:C1114)+1,"")</f>
        <v/>
      </c>
    </row>
    <row r="1116" customFormat="false" ht="15" hidden="false" customHeight="false" outlineLevel="0" collapsed="false">
      <c r="A1116" s="0" t="str">
        <f aca="false">IF(DECKS!B1116="","",DECKS!B1116)</f>
        <v/>
      </c>
      <c r="B1116" s="0" t="str">
        <f aca="false">IF(A1116="","",IF(MATCH(A1116,$A$2:$A$3201,0)=ROW()-1,1,0))</f>
        <v/>
      </c>
      <c r="C1116" s="0" t="str">
        <f aca="false">IF(B1116=1,MAX(C$1:C1115)+1,"")</f>
        <v/>
      </c>
    </row>
    <row r="1117" customFormat="false" ht="15" hidden="false" customHeight="false" outlineLevel="0" collapsed="false">
      <c r="A1117" s="0" t="str">
        <f aca="false">IF(DECKS!B1117="","",DECKS!B1117)</f>
        <v/>
      </c>
      <c r="B1117" s="0" t="str">
        <f aca="false">IF(A1117="","",IF(MATCH(A1117,$A$2:$A$3201,0)=ROW()-1,1,0))</f>
        <v/>
      </c>
      <c r="C1117" s="0" t="str">
        <f aca="false">IF(B1117=1,MAX(C$1:C1116)+1,"")</f>
        <v/>
      </c>
    </row>
    <row r="1118" customFormat="false" ht="15" hidden="false" customHeight="false" outlineLevel="0" collapsed="false">
      <c r="A1118" s="0" t="str">
        <f aca="false">IF(DECKS!B1118="","",DECKS!B1118)</f>
        <v/>
      </c>
      <c r="B1118" s="0" t="str">
        <f aca="false">IF(A1118="","",IF(MATCH(A1118,$A$2:$A$3201,0)=ROW()-1,1,0))</f>
        <v/>
      </c>
      <c r="C1118" s="0" t="str">
        <f aca="false">IF(B1118=1,MAX(C$1:C1117)+1,"")</f>
        <v/>
      </c>
    </row>
    <row r="1119" customFormat="false" ht="15" hidden="false" customHeight="false" outlineLevel="0" collapsed="false">
      <c r="A1119" s="0" t="str">
        <f aca="false">IF(DECKS!B1119="","",DECKS!B1119)</f>
        <v/>
      </c>
      <c r="B1119" s="0" t="str">
        <f aca="false">IF(A1119="","",IF(MATCH(A1119,$A$2:$A$3201,0)=ROW()-1,1,0))</f>
        <v/>
      </c>
      <c r="C1119" s="0" t="str">
        <f aca="false">IF(B1119=1,MAX(C$1:C1118)+1,"")</f>
        <v/>
      </c>
    </row>
    <row r="1120" customFormat="false" ht="15" hidden="false" customHeight="false" outlineLevel="0" collapsed="false">
      <c r="A1120" s="0" t="str">
        <f aca="false">IF(DECKS!B1120="","",DECKS!B1120)</f>
        <v/>
      </c>
      <c r="B1120" s="0" t="str">
        <f aca="false">IF(A1120="","",IF(MATCH(A1120,$A$2:$A$3201,0)=ROW()-1,1,0))</f>
        <v/>
      </c>
      <c r="C1120" s="0" t="str">
        <f aca="false">IF(B1120=1,MAX(C$1:C1119)+1,"")</f>
        <v/>
      </c>
    </row>
    <row r="1121" customFormat="false" ht="15" hidden="false" customHeight="false" outlineLevel="0" collapsed="false">
      <c r="A1121" s="0" t="str">
        <f aca="false">IF(DECKS!B1121="","",DECKS!B1121)</f>
        <v/>
      </c>
      <c r="B1121" s="0" t="str">
        <f aca="false">IF(A1121="","",IF(MATCH(A1121,$A$2:$A$3201,0)=ROW()-1,1,0))</f>
        <v/>
      </c>
      <c r="C1121" s="0" t="str">
        <f aca="false">IF(B1121=1,MAX(C$1:C1120)+1,"")</f>
        <v/>
      </c>
    </row>
    <row r="1122" customFormat="false" ht="15" hidden="false" customHeight="false" outlineLevel="0" collapsed="false">
      <c r="A1122" s="0" t="str">
        <f aca="false">IF(DECKS!B1122="","",DECKS!B1122)</f>
        <v/>
      </c>
      <c r="B1122" s="0" t="str">
        <f aca="false">IF(A1122="","",IF(MATCH(A1122,$A$2:$A$3201,0)=ROW()-1,1,0))</f>
        <v/>
      </c>
      <c r="C1122" s="0" t="str">
        <f aca="false">IF(B1122=1,MAX(C$1:C1121)+1,"")</f>
        <v/>
      </c>
    </row>
    <row r="1123" customFormat="false" ht="15" hidden="false" customHeight="false" outlineLevel="0" collapsed="false">
      <c r="A1123" s="0" t="str">
        <f aca="false">IF(DECKS!B1123="","",DECKS!B1123)</f>
        <v/>
      </c>
      <c r="B1123" s="0" t="str">
        <f aca="false">IF(A1123="","",IF(MATCH(A1123,$A$2:$A$3201,0)=ROW()-1,1,0))</f>
        <v/>
      </c>
      <c r="C1123" s="0" t="str">
        <f aca="false">IF(B1123=1,MAX(C$1:C1122)+1,"")</f>
        <v/>
      </c>
    </row>
    <row r="1124" customFormat="false" ht="15" hidden="false" customHeight="false" outlineLevel="0" collapsed="false">
      <c r="A1124" s="0" t="str">
        <f aca="false">IF(DECKS!B1124="","",DECKS!B1124)</f>
        <v/>
      </c>
      <c r="B1124" s="0" t="str">
        <f aca="false">IF(A1124="","",IF(MATCH(A1124,$A$2:$A$3201,0)=ROW()-1,1,0))</f>
        <v/>
      </c>
      <c r="C1124" s="0" t="str">
        <f aca="false">IF(B1124=1,MAX(C$1:C1123)+1,"")</f>
        <v/>
      </c>
    </row>
    <row r="1125" customFormat="false" ht="15" hidden="false" customHeight="false" outlineLevel="0" collapsed="false">
      <c r="A1125" s="0" t="str">
        <f aca="false">IF(DECKS!B1125="","",DECKS!B1125)</f>
        <v/>
      </c>
      <c r="B1125" s="0" t="str">
        <f aca="false">IF(A1125="","",IF(MATCH(A1125,$A$2:$A$3201,0)=ROW()-1,1,0))</f>
        <v/>
      </c>
      <c r="C1125" s="0" t="str">
        <f aca="false">IF(B1125=1,MAX(C$1:C1124)+1,"")</f>
        <v/>
      </c>
    </row>
    <row r="1126" customFormat="false" ht="15" hidden="false" customHeight="false" outlineLevel="0" collapsed="false">
      <c r="A1126" s="0" t="str">
        <f aca="false">IF(DECKS!B1126="","",DECKS!B1126)</f>
        <v/>
      </c>
      <c r="B1126" s="0" t="str">
        <f aca="false">IF(A1126="","",IF(MATCH(A1126,$A$2:$A$3201,0)=ROW()-1,1,0))</f>
        <v/>
      </c>
      <c r="C1126" s="0" t="str">
        <f aca="false">IF(B1126=1,MAX(C$1:C1125)+1,"")</f>
        <v/>
      </c>
    </row>
    <row r="1127" customFormat="false" ht="15" hidden="false" customHeight="false" outlineLevel="0" collapsed="false">
      <c r="A1127" s="0" t="str">
        <f aca="false">IF(DECKS!B1127="","",DECKS!B1127)</f>
        <v/>
      </c>
      <c r="B1127" s="0" t="str">
        <f aca="false">IF(A1127="","",IF(MATCH(A1127,$A$2:$A$3201,0)=ROW()-1,1,0))</f>
        <v/>
      </c>
      <c r="C1127" s="0" t="str">
        <f aca="false">IF(B1127=1,MAX(C$1:C1126)+1,"")</f>
        <v/>
      </c>
    </row>
    <row r="1128" customFormat="false" ht="15" hidden="false" customHeight="false" outlineLevel="0" collapsed="false">
      <c r="A1128" s="0" t="str">
        <f aca="false">IF(DECKS!B1128="","",DECKS!B1128)</f>
        <v/>
      </c>
      <c r="B1128" s="0" t="str">
        <f aca="false">IF(A1128="","",IF(MATCH(A1128,$A$2:$A$3201,0)=ROW()-1,1,0))</f>
        <v/>
      </c>
      <c r="C1128" s="0" t="str">
        <f aca="false">IF(B1128=1,MAX(C$1:C1127)+1,"")</f>
        <v/>
      </c>
    </row>
    <row r="1129" customFormat="false" ht="15" hidden="false" customHeight="false" outlineLevel="0" collapsed="false">
      <c r="A1129" s="0" t="str">
        <f aca="false">IF(DECKS!B1129="","",DECKS!B1129)</f>
        <v/>
      </c>
      <c r="B1129" s="0" t="str">
        <f aca="false">IF(A1129="","",IF(MATCH(A1129,$A$2:$A$3201,0)=ROW()-1,1,0))</f>
        <v/>
      </c>
      <c r="C1129" s="0" t="str">
        <f aca="false">IF(B1129=1,MAX(C$1:C1128)+1,"")</f>
        <v/>
      </c>
    </row>
    <row r="1130" customFormat="false" ht="15" hidden="false" customHeight="false" outlineLevel="0" collapsed="false">
      <c r="A1130" s="0" t="str">
        <f aca="false">IF(DECKS!B1130="","",DECKS!B1130)</f>
        <v/>
      </c>
      <c r="B1130" s="0" t="str">
        <f aca="false">IF(A1130="","",IF(MATCH(A1130,$A$2:$A$3201,0)=ROW()-1,1,0))</f>
        <v/>
      </c>
      <c r="C1130" s="0" t="str">
        <f aca="false">IF(B1130=1,MAX(C$1:C1129)+1,"")</f>
        <v/>
      </c>
    </row>
    <row r="1131" customFormat="false" ht="15" hidden="false" customHeight="false" outlineLevel="0" collapsed="false">
      <c r="A1131" s="0" t="str">
        <f aca="false">IF(DECKS!B1131="","",DECKS!B1131)</f>
        <v/>
      </c>
      <c r="B1131" s="0" t="str">
        <f aca="false">IF(A1131="","",IF(MATCH(A1131,$A$2:$A$3201,0)=ROW()-1,1,0))</f>
        <v/>
      </c>
      <c r="C1131" s="0" t="str">
        <f aca="false">IF(B1131=1,MAX(C$1:C1130)+1,"")</f>
        <v/>
      </c>
    </row>
    <row r="1132" customFormat="false" ht="15" hidden="false" customHeight="false" outlineLevel="0" collapsed="false">
      <c r="A1132" s="0" t="str">
        <f aca="false">IF(DECKS!B1132="","",DECKS!B1132)</f>
        <v/>
      </c>
      <c r="B1132" s="0" t="str">
        <f aca="false">IF(A1132="","",IF(MATCH(A1132,$A$2:$A$3201,0)=ROW()-1,1,0))</f>
        <v/>
      </c>
      <c r="C1132" s="0" t="str">
        <f aca="false">IF(B1132=1,MAX(C$1:C1131)+1,"")</f>
        <v/>
      </c>
    </row>
    <row r="1133" customFormat="false" ht="15" hidden="false" customHeight="false" outlineLevel="0" collapsed="false">
      <c r="A1133" s="0" t="str">
        <f aca="false">IF(DECKS!B1133="","",DECKS!B1133)</f>
        <v/>
      </c>
      <c r="B1133" s="0" t="str">
        <f aca="false">IF(A1133="","",IF(MATCH(A1133,$A$2:$A$3201,0)=ROW()-1,1,0))</f>
        <v/>
      </c>
      <c r="C1133" s="0" t="str">
        <f aca="false">IF(B1133=1,MAX(C$1:C1132)+1,"")</f>
        <v/>
      </c>
    </row>
    <row r="1134" customFormat="false" ht="15" hidden="false" customHeight="false" outlineLevel="0" collapsed="false">
      <c r="A1134" s="0" t="str">
        <f aca="false">IF(DECKS!B1134="","",DECKS!B1134)</f>
        <v/>
      </c>
      <c r="B1134" s="0" t="str">
        <f aca="false">IF(A1134="","",IF(MATCH(A1134,$A$2:$A$3201,0)=ROW()-1,1,0))</f>
        <v/>
      </c>
      <c r="C1134" s="0" t="str">
        <f aca="false">IF(B1134=1,MAX(C$1:C1133)+1,"")</f>
        <v/>
      </c>
    </row>
    <row r="1135" customFormat="false" ht="15" hidden="false" customHeight="false" outlineLevel="0" collapsed="false">
      <c r="A1135" s="0" t="str">
        <f aca="false">IF(DECKS!B1135="","",DECKS!B1135)</f>
        <v/>
      </c>
      <c r="B1135" s="0" t="str">
        <f aca="false">IF(A1135="","",IF(MATCH(A1135,$A$2:$A$3201,0)=ROW()-1,1,0))</f>
        <v/>
      </c>
      <c r="C1135" s="0" t="str">
        <f aca="false">IF(B1135=1,MAX(C$1:C1134)+1,"")</f>
        <v/>
      </c>
    </row>
    <row r="1136" customFormat="false" ht="15" hidden="false" customHeight="false" outlineLevel="0" collapsed="false">
      <c r="A1136" s="0" t="str">
        <f aca="false">IF(DECKS!B1136="","",DECKS!B1136)</f>
        <v/>
      </c>
      <c r="B1136" s="0" t="str">
        <f aca="false">IF(A1136="","",IF(MATCH(A1136,$A$2:$A$3201,0)=ROW()-1,1,0))</f>
        <v/>
      </c>
      <c r="C1136" s="0" t="str">
        <f aca="false">IF(B1136=1,MAX(C$1:C1135)+1,"")</f>
        <v/>
      </c>
    </row>
    <row r="1137" customFormat="false" ht="15" hidden="false" customHeight="false" outlineLevel="0" collapsed="false">
      <c r="A1137" s="0" t="str">
        <f aca="false">IF(DECKS!B1137="","",DECKS!B1137)</f>
        <v/>
      </c>
      <c r="B1137" s="0" t="str">
        <f aca="false">IF(A1137="","",IF(MATCH(A1137,$A$2:$A$3201,0)=ROW()-1,1,0))</f>
        <v/>
      </c>
      <c r="C1137" s="0" t="str">
        <f aca="false">IF(B1137=1,MAX(C$1:C1136)+1,"")</f>
        <v/>
      </c>
    </row>
    <row r="1138" customFormat="false" ht="15" hidden="false" customHeight="false" outlineLevel="0" collapsed="false">
      <c r="A1138" s="0" t="str">
        <f aca="false">IF(DECKS!B1138="","",DECKS!B1138)</f>
        <v/>
      </c>
      <c r="B1138" s="0" t="str">
        <f aca="false">IF(A1138="","",IF(MATCH(A1138,$A$2:$A$3201,0)=ROW()-1,1,0))</f>
        <v/>
      </c>
      <c r="C1138" s="0" t="str">
        <f aca="false">IF(B1138=1,MAX(C$1:C1137)+1,"")</f>
        <v/>
      </c>
    </row>
    <row r="1139" customFormat="false" ht="15" hidden="false" customHeight="false" outlineLevel="0" collapsed="false">
      <c r="A1139" s="0" t="str">
        <f aca="false">IF(DECKS!B1139="","",DECKS!B1139)</f>
        <v/>
      </c>
      <c r="B1139" s="0" t="str">
        <f aca="false">IF(A1139="","",IF(MATCH(A1139,$A$2:$A$3201,0)=ROW()-1,1,0))</f>
        <v/>
      </c>
      <c r="C1139" s="0" t="str">
        <f aca="false">IF(B1139=1,MAX(C$1:C1138)+1,"")</f>
        <v/>
      </c>
    </row>
    <row r="1140" customFormat="false" ht="15" hidden="false" customHeight="false" outlineLevel="0" collapsed="false">
      <c r="A1140" s="0" t="str">
        <f aca="false">IF(DECKS!B1140="","",DECKS!B1140)</f>
        <v/>
      </c>
      <c r="B1140" s="0" t="str">
        <f aca="false">IF(A1140="","",IF(MATCH(A1140,$A$2:$A$3201,0)=ROW()-1,1,0))</f>
        <v/>
      </c>
      <c r="C1140" s="0" t="str">
        <f aca="false">IF(B1140=1,MAX(C$1:C1139)+1,"")</f>
        <v/>
      </c>
    </row>
    <row r="1141" customFormat="false" ht="15" hidden="false" customHeight="false" outlineLevel="0" collapsed="false">
      <c r="A1141" s="0" t="str">
        <f aca="false">IF(DECKS!B1141="","",DECKS!B1141)</f>
        <v/>
      </c>
      <c r="B1141" s="0" t="str">
        <f aca="false">IF(A1141="","",IF(MATCH(A1141,$A$2:$A$3201,0)=ROW()-1,1,0))</f>
        <v/>
      </c>
      <c r="C1141" s="0" t="str">
        <f aca="false">IF(B1141=1,MAX(C$1:C1140)+1,"")</f>
        <v/>
      </c>
    </row>
    <row r="1142" customFormat="false" ht="15" hidden="false" customHeight="false" outlineLevel="0" collapsed="false">
      <c r="A1142" s="0" t="str">
        <f aca="false">IF(DECKS!B1142="","",DECKS!B1142)</f>
        <v/>
      </c>
      <c r="B1142" s="0" t="str">
        <f aca="false">IF(A1142="","",IF(MATCH(A1142,$A$2:$A$3201,0)=ROW()-1,1,0))</f>
        <v/>
      </c>
      <c r="C1142" s="0" t="str">
        <f aca="false">IF(B1142=1,MAX(C$1:C1141)+1,"")</f>
        <v/>
      </c>
    </row>
    <row r="1143" customFormat="false" ht="15" hidden="false" customHeight="false" outlineLevel="0" collapsed="false">
      <c r="A1143" s="0" t="str">
        <f aca="false">IF(DECKS!B1143="","",DECKS!B1143)</f>
        <v/>
      </c>
      <c r="B1143" s="0" t="str">
        <f aca="false">IF(A1143="","",IF(MATCH(A1143,$A$2:$A$3201,0)=ROW()-1,1,0))</f>
        <v/>
      </c>
      <c r="C1143" s="0" t="str">
        <f aca="false">IF(B1143=1,MAX(C$1:C1142)+1,"")</f>
        <v/>
      </c>
    </row>
    <row r="1144" customFormat="false" ht="15" hidden="false" customHeight="false" outlineLevel="0" collapsed="false">
      <c r="A1144" s="0" t="str">
        <f aca="false">IF(DECKS!B1144="","",DECKS!B1144)</f>
        <v/>
      </c>
      <c r="B1144" s="0" t="str">
        <f aca="false">IF(A1144="","",IF(MATCH(A1144,$A$2:$A$3201,0)=ROW()-1,1,0))</f>
        <v/>
      </c>
      <c r="C1144" s="0" t="str">
        <f aca="false">IF(B1144=1,MAX(C$1:C1143)+1,"")</f>
        <v/>
      </c>
    </row>
    <row r="1145" customFormat="false" ht="15" hidden="false" customHeight="false" outlineLevel="0" collapsed="false">
      <c r="A1145" s="0" t="str">
        <f aca="false">IF(DECKS!B1145="","",DECKS!B1145)</f>
        <v/>
      </c>
      <c r="B1145" s="0" t="str">
        <f aca="false">IF(A1145="","",IF(MATCH(A1145,$A$2:$A$3201,0)=ROW()-1,1,0))</f>
        <v/>
      </c>
      <c r="C1145" s="0" t="str">
        <f aca="false">IF(B1145=1,MAX(C$1:C1144)+1,"")</f>
        <v/>
      </c>
    </row>
    <row r="1146" customFormat="false" ht="15" hidden="false" customHeight="false" outlineLevel="0" collapsed="false">
      <c r="A1146" s="0" t="str">
        <f aca="false">IF(DECKS!B1146="","",DECKS!B1146)</f>
        <v/>
      </c>
      <c r="B1146" s="0" t="str">
        <f aca="false">IF(A1146="","",IF(MATCH(A1146,$A$2:$A$3201,0)=ROW()-1,1,0))</f>
        <v/>
      </c>
      <c r="C1146" s="0" t="str">
        <f aca="false">IF(B1146=1,MAX(C$1:C1145)+1,"")</f>
        <v/>
      </c>
    </row>
    <row r="1147" customFormat="false" ht="15" hidden="false" customHeight="false" outlineLevel="0" collapsed="false">
      <c r="A1147" s="0" t="str">
        <f aca="false">IF(DECKS!B1147="","",DECKS!B1147)</f>
        <v/>
      </c>
      <c r="B1147" s="0" t="str">
        <f aca="false">IF(A1147="","",IF(MATCH(A1147,$A$2:$A$3201,0)=ROW()-1,1,0))</f>
        <v/>
      </c>
      <c r="C1147" s="0" t="str">
        <f aca="false">IF(B1147=1,MAX(C$1:C1146)+1,"")</f>
        <v/>
      </c>
    </row>
    <row r="1148" customFormat="false" ht="15" hidden="false" customHeight="false" outlineLevel="0" collapsed="false">
      <c r="A1148" s="0" t="str">
        <f aca="false">IF(DECKS!B1148="","",DECKS!B1148)</f>
        <v/>
      </c>
      <c r="B1148" s="0" t="str">
        <f aca="false">IF(A1148="","",IF(MATCH(A1148,$A$2:$A$3201,0)=ROW()-1,1,0))</f>
        <v/>
      </c>
      <c r="C1148" s="0" t="str">
        <f aca="false">IF(B1148=1,MAX(C$1:C1147)+1,"")</f>
        <v/>
      </c>
    </row>
    <row r="1149" customFormat="false" ht="15" hidden="false" customHeight="false" outlineLevel="0" collapsed="false">
      <c r="A1149" s="0" t="str">
        <f aca="false">IF(DECKS!B1149="","",DECKS!B1149)</f>
        <v/>
      </c>
      <c r="B1149" s="0" t="str">
        <f aca="false">IF(A1149="","",IF(MATCH(A1149,$A$2:$A$3201,0)=ROW()-1,1,0))</f>
        <v/>
      </c>
      <c r="C1149" s="0" t="str">
        <f aca="false">IF(B1149=1,MAX(C$1:C1148)+1,"")</f>
        <v/>
      </c>
    </row>
    <row r="1150" customFormat="false" ht="15" hidden="false" customHeight="false" outlineLevel="0" collapsed="false">
      <c r="A1150" s="0" t="str">
        <f aca="false">IF(DECKS!B1150="","",DECKS!B1150)</f>
        <v/>
      </c>
      <c r="B1150" s="0" t="str">
        <f aca="false">IF(A1150="","",IF(MATCH(A1150,$A$2:$A$3201,0)=ROW()-1,1,0))</f>
        <v/>
      </c>
      <c r="C1150" s="0" t="str">
        <f aca="false">IF(B1150=1,MAX(C$1:C1149)+1,"")</f>
        <v/>
      </c>
    </row>
    <row r="1151" customFormat="false" ht="15" hidden="false" customHeight="false" outlineLevel="0" collapsed="false">
      <c r="A1151" s="0" t="str">
        <f aca="false">IF(DECKS!B1151="","",DECKS!B1151)</f>
        <v/>
      </c>
      <c r="B1151" s="0" t="str">
        <f aca="false">IF(A1151="","",IF(MATCH(A1151,$A$2:$A$3201,0)=ROW()-1,1,0))</f>
        <v/>
      </c>
      <c r="C1151" s="0" t="str">
        <f aca="false">IF(B1151=1,MAX(C$1:C1150)+1,"")</f>
        <v/>
      </c>
    </row>
    <row r="1152" customFormat="false" ht="15" hidden="false" customHeight="false" outlineLevel="0" collapsed="false">
      <c r="A1152" s="0" t="str">
        <f aca="false">IF(DECKS!B1152="","",DECKS!B1152)</f>
        <v/>
      </c>
      <c r="B1152" s="0" t="str">
        <f aca="false">IF(A1152="","",IF(MATCH(A1152,$A$2:$A$3201,0)=ROW()-1,1,0))</f>
        <v/>
      </c>
      <c r="C1152" s="0" t="str">
        <f aca="false">IF(B1152=1,MAX(C$1:C1151)+1,"")</f>
        <v/>
      </c>
    </row>
    <row r="1153" customFormat="false" ht="15" hidden="false" customHeight="false" outlineLevel="0" collapsed="false">
      <c r="A1153" s="0" t="str">
        <f aca="false">IF(DECKS!B1153="","",DECKS!B1153)</f>
        <v/>
      </c>
      <c r="B1153" s="0" t="str">
        <f aca="false">IF(A1153="","",IF(MATCH(A1153,$A$2:$A$3201,0)=ROW()-1,1,0))</f>
        <v/>
      </c>
      <c r="C1153" s="0" t="str">
        <f aca="false">IF(B1153=1,MAX(C$1:C1152)+1,"")</f>
        <v/>
      </c>
    </row>
    <row r="1154" customFormat="false" ht="15" hidden="false" customHeight="false" outlineLevel="0" collapsed="false">
      <c r="A1154" s="0" t="str">
        <f aca="false">IF(DECKS!B1154="","",DECKS!B1154)</f>
        <v/>
      </c>
      <c r="B1154" s="0" t="str">
        <f aca="false">IF(A1154="","",IF(MATCH(A1154,$A$2:$A$3201,0)=ROW()-1,1,0))</f>
        <v/>
      </c>
      <c r="C1154" s="0" t="str">
        <f aca="false">IF(B1154=1,MAX(C$1:C1153)+1,"")</f>
        <v/>
      </c>
    </row>
    <row r="1155" customFormat="false" ht="15" hidden="false" customHeight="false" outlineLevel="0" collapsed="false">
      <c r="A1155" s="0" t="str">
        <f aca="false">IF(DECKS!B1155="","",DECKS!B1155)</f>
        <v/>
      </c>
      <c r="B1155" s="0" t="str">
        <f aca="false">IF(A1155="","",IF(MATCH(A1155,$A$2:$A$3201,0)=ROW()-1,1,0))</f>
        <v/>
      </c>
      <c r="C1155" s="0" t="str">
        <f aca="false">IF(B1155=1,MAX(C$1:C1154)+1,"")</f>
        <v/>
      </c>
    </row>
    <row r="1156" customFormat="false" ht="15" hidden="false" customHeight="false" outlineLevel="0" collapsed="false">
      <c r="A1156" s="0" t="str">
        <f aca="false">IF(DECKS!B1156="","",DECKS!B1156)</f>
        <v/>
      </c>
      <c r="B1156" s="0" t="str">
        <f aca="false">IF(A1156="","",IF(MATCH(A1156,$A$2:$A$3201,0)=ROW()-1,1,0))</f>
        <v/>
      </c>
      <c r="C1156" s="0" t="str">
        <f aca="false">IF(B1156=1,MAX(C$1:C1155)+1,"")</f>
        <v/>
      </c>
    </row>
    <row r="1157" customFormat="false" ht="15" hidden="false" customHeight="false" outlineLevel="0" collapsed="false">
      <c r="A1157" s="0" t="str">
        <f aca="false">IF(DECKS!B1157="","",DECKS!B1157)</f>
        <v/>
      </c>
      <c r="B1157" s="0" t="str">
        <f aca="false">IF(A1157="","",IF(MATCH(A1157,$A$2:$A$3201,0)=ROW()-1,1,0))</f>
        <v/>
      </c>
      <c r="C1157" s="0" t="str">
        <f aca="false">IF(B1157=1,MAX(C$1:C1156)+1,"")</f>
        <v/>
      </c>
    </row>
    <row r="1158" customFormat="false" ht="15" hidden="false" customHeight="false" outlineLevel="0" collapsed="false">
      <c r="A1158" s="0" t="str">
        <f aca="false">IF(DECKS!B1158="","",DECKS!B1158)</f>
        <v/>
      </c>
      <c r="B1158" s="0" t="str">
        <f aca="false">IF(A1158="","",IF(MATCH(A1158,$A$2:$A$3201,0)=ROW()-1,1,0))</f>
        <v/>
      </c>
      <c r="C1158" s="0" t="str">
        <f aca="false">IF(B1158=1,MAX(C$1:C1157)+1,"")</f>
        <v/>
      </c>
    </row>
    <row r="1159" customFormat="false" ht="15" hidden="false" customHeight="false" outlineLevel="0" collapsed="false">
      <c r="A1159" s="0" t="str">
        <f aca="false">IF(DECKS!B1159="","",DECKS!B1159)</f>
        <v/>
      </c>
      <c r="B1159" s="0" t="str">
        <f aca="false">IF(A1159="","",IF(MATCH(A1159,$A$2:$A$3201,0)=ROW()-1,1,0))</f>
        <v/>
      </c>
      <c r="C1159" s="0" t="str">
        <f aca="false">IF(B1159=1,MAX(C$1:C1158)+1,"")</f>
        <v/>
      </c>
    </row>
    <row r="1160" customFormat="false" ht="15" hidden="false" customHeight="false" outlineLevel="0" collapsed="false">
      <c r="A1160" s="0" t="str">
        <f aca="false">IF(DECKS!B1160="","",DECKS!B1160)</f>
        <v/>
      </c>
      <c r="B1160" s="0" t="str">
        <f aca="false">IF(A1160="","",IF(MATCH(A1160,$A$2:$A$3201,0)=ROW()-1,1,0))</f>
        <v/>
      </c>
      <c r="C1160" s="0" t="str">
        <f aca="false">IF(B1160=1,MAX(C$1:C1159)+1,"")</f>
        <v/>
      </c>
    </row>
    <row r="1161" customFormat="false" ht="15" hidden="false" customHeight="false" outlineLevel="0" collapsed="false">
      <c r="A1161" s="0" t="str">
        <f aca="false">IF(DECKS!B1161="","",DECKS!B1161)</f>
        <v/>
      </c>
      <c r="B1161" s="0" t="str">
        <f aca="false">IF(A1161="","",IF(MATCH(A1161,$A$2:$A$3201,0)=ROW()-1,1,0))</f>
        <v/>
      </c>
      <c r="C1161" s="0" t="str">
        <f aca="false">IF(B1161=1,MAX(C$1:C1160)+1,"")</f>
        <v/>
      </c>
    </row>
    <row r="1162" customFormat="false" ht="15" hidden="false" customHeight="false" outlineLevel="0" collapsed="false">
      <c r="A1162" s="0" t="str">
        <f aca="false">IF(DECKS!B1162="","",DECKS!B1162)</f>
        <v/>
      </c>
      <c r="B1162" s="0" t="str">
        <f aca="false">IF(A1162="","",IF(MATCH(A1162,$A$2:$A$3201,0)=ROW()-1,1,0))</f>
        <v/>
      </c>
      <c r="C1162" s="0" t="str">
        <f aca="false">IF(B1162=1,MAX(C$1:C1161)+1,"")</f>
        <v/>
      </c>
    </row>
    <row r="1163" customFormat="false" ht="15" hidden="false" customHeight="false" outlineLevel="0" collapsed="false">
      <c r="A1163" s="0" t="str">
        <f aca="false">IF(DECKS!B1163="","",DECKS!B1163)</f>
        <v/>
      </c>
      <c r="B1163" s="0" t="str">
        <f aca="false">IF(A1163="","",IF(MATCH(A1163,$A$2:$A$3201,0)=ROW()-1,1,0))</f>
        <v/>
      </c>
      <c r="C1163" s="0" t="str">
        <f aca="false">IF(B1163=1,MAX(C$1:C1162)+1,"")</f>
        <v/>
      </c>
    </row>
    <row r="1164" customFormat="false" ht="15" hidden="false" customHeight="false" outlineLevel="0" collapsed="false">
      <c r="A1164" s="0" t="str">
        <f aca="false">IF(DECKS!B1164="","",DECKS!B1164)</f>
        <v/>
      </c>
      <c r="B1164" s="0" t="str">
        <f aca="false">IF(A1164="","",IF(MATCH(A1164,$A$2:$A$3201,0)=ROW()-1,1,0))</f>
        <v/>
      </c>
      <c r="C1164" s="0" t="str">
        <f aca="false">IF(B1164=1,MAX(C$1:C1163)+1,"")</f>
        <v/>
      </c>
    </row>
    <row r="1165" customFormat="false" ht="15" hidden="false" customHeight="false" outlineLevel="0" collapsed="false">
      <c r="A1165" s="0" t="str">
        <f aca="false">IF(DECKS!B1165="","",DECKS!B1165)</f>
        <v/>
      </c>
      <c r="B1165" s="0" t="str">
        <f aca="false">IF(A1165="","",IF(MATCH(A1165,$A$2:$A$3201,0)=ROW()-1,1,0))</f>
        <v/>
      </c>
      <c r="C1165" s="0" t="str">
        <f aca="false">IF(B1165=1,MAX(C$1:C1164)+1,"")</f>
        <v/>
      </c>
    </row>
    <row r="1166" customFormat="false" ht="15" hidden="false" customHeight="false" outlineLevel="0" collapsed="false">
      <c r="A1166" s="0" t="str">
        <f aca="false">IF(DECKS!B1166="","",DECKS!B1166)</f>
        <v/>
      </c>
      <c r="B1166" s="0" t="str">
        <f aca="false">IF(A1166="","",IF(MATCH(A1166,$A$2:$A$3201,0)=ROW()-1,1,0))</f>
        <v/>
      </c>
      <c r="C1166" s="0" t="str">
        <f aca="false">IF(B1166=1,MAX(C$1:C1165)+1,"")</f>
        <v/>
      </c>
    </row>
    <row r="1167" customFormat="false" ht="15" hidden="false" customHeight="false" outlineLevel="0" collapsed="false">
      <c r="A1167" s="0" t="str">
        <f aca="false">IF(DECKS!B1167="","",DECKS!B1167)</f>
        <v/>
      </c>
      <c r="B1167" s="0" t="str">
        <f aca="false">IF(A1167="","",IF(MATCH(A1167,$A$2:$A$3201,0)=ROW()-1,1,0))</f>
        <v/>
      </c>
      <c r="C1167" s="0" t="str">
        <f aca="false">IF(B1167=1,MAX(C$1:C1166)+1,"")</f>
        <v/>
      </c>
    </row>
    <row r="1168" customFormat="false" ht="15" hidden="false" customHeight="false" outlineLevel="0" collapsed="false">
      <c r="A1168" s="0" t="str">
        <f aca="false">IF(DECKS!B1168="","",DECKS!B1168)</f>
        <v/>
      </c>
      <c r="B1168" s="0" t="str">
        <f aca="false">IF(A1168="","",IF(MATCH(A1168,$A$2:$A$3201,0)=ROW()-1,1,0))</f>
        <v/>
      </c>
      <c r="C1168" s="0" t="str">
        <f aca="false">IF(B1168=1,MAX(C$1:C1167)+1,"")</f>
        <v/>
      </c>
    </row>
    <row r="1169" customFormat="false" ht="15" hidden="false" customHeight="false" outlineLevel="0" collapsed="false">
      <c r="A1169" s="0" t="str">
        <f aca="false">IF(DECKS!B1169="","",DECKS!B1169)</f>
        <v/>
      </c>
      <c r="B1169" s="0" t="str">
        <f aca="false">IF(A1169="","",IF(MATCH(A1169,$A$2:$A$3201,0)=ROW()-1,1,0))</f>
        <v/>
      </c>
      <c r="C1169" s="0" t="str">
        <f aca="false">IF(B1169=1,MAX(C$1:C1168)+1,"")</f>
        <v/>
      </c>
    </row>
    <row r="1170" customFormat="false" ht="15" hidden="false" customHeight="false" outlineLevel="0" collapsed="false">
      <c r="A1170" s="0" t="str">
        <f aca="false">IF(DECKS!B1170="","",DECKS!B1170)</f>
        <v/>
      </c>
      <c r="B1170" s="0" t="str">
        <f aca="false">IF(A1170="","",IF(MATCH(A1170,$A$2:$A$3201,0)=ROW()-1,1,0))</f>
        <v/>
      </c>
      <c r="C1170" s="0" t="str">
        <f aca="false">IF(B1170=1,MAX(C$1:C1169)+1,"")</f>
        <v/>
      </c>
    </row>
    <row r="1171" customFormat="false" ht="15" hidden="false" customHeight="false" outlineLevel="0" collapsed="false">
      <c r="A1171" s="0" t="str">
        <f aca="false">IF(DECKS!B1171="","",DECKS!B1171)</f>
        <v/>
      </c>
      <c r="B1171" s="0" t="str">
        <f aca="false">IF(A1171="","",IF(MATCH(A1171,$A$2:$A$3201,0)=ROW()-1,1,0))</f>
        <v/>
      </c>
      <c r="C1171" s="0" t="str">
        <f aca="false">IF(B1171=1,MAX(C$1:C1170)+1,"")</f>
        <v/>
      </c>
    </row>
    <row r="1172" customFormat="false" ht="15" hidden="false" customHeight="false" outlineLevel="0" collapsed="false">
      <c r="A1172" s="0" t="str">
        <f aca="false">IF(DECKS!B1172="","",DECKS!B1172)</f>
        <v/>
      </c>
      <c r="B1172" s="0" t="str">
        <f aca="false">IF(A1172="","",IF(MATCH(A1172,$A$2:$A$3201,0)=ROW()-1,1,0))</f>
        <v/>
      </c>
      <c r="C1172" s="0" t="str">
        <f aca="false">IF(B1172=1,MAX(C$1:C1171)+1,"")</f>
        <v/>
      </c>
    </row>
    <row r="1173" customFormat="false" ht="15" hidden="false" customHeight="false" outlineLevel="0" collapsed="false">
      <c r="A1173" s="0" t="str">
        <f aca="false">IF(DECKS!B1173="","",DECKS!B1173)</f>
        <v/>
      </c>
      <c r="B1173" s="0" t="str">
        <f aca="false">IF(A1173="","",IF(MATCH(A1173,$A$2:$A$3201,0)=ROW()-1,1,0))</f>
        <v/>
      </c>
      <c r="C1173" s="0" t="str">
        <f aca="false">IF(B1173=1,MAX(C$1:C1172)+1,"")</f>
        <v/>
      </c>
    </row>
    <row r="1174" customFormat="false" ht="15" hidden="false" customHeight="false" outlineLevel="0" collapsed="false">
      <c r="A1174" s="0" t="str">
        <f aca="false">IF(DECKS!B1174="","",DECKS!B1174)</f>
        <v/>
      </c>
      <c r="B1174" s="0" t="str">
        <f aca="false">IF(A1174="","",IF(MATCH(A1174,$A$2:$A$3201,0)=ROW()-1,1,0))</f>
        <v/>
      </c>
      <c r="C1174" s="0" t="str">
        <f aca="false">IF(B1174=1,MAX(C$1:C1173)+1,"")</f>
        <v/>
      </c>
    </row>
    <row r="1175" customFormat="false" ht="15" hidden="false" customHeight="false" outlineLevel="0" collapsed="false">
      <c r="A1175" s="0" t="str">
        <f aca="false">IF(DECKS!B1175="","",DECKS!B1175)</f>
        <v/>
      </c>
      <c r="B1175" s="0" t="str">
        <f aca="false">IF(A1175="","",IF(MATCH(A1175,$A$2:$A$3201,0)=ROW()-1,1,0))</f>
        <v/>
      </c>
      <c r="C1175" s="0" t="str">
        <f aca="false">IF(B1175=1,MAX(C$1:C1174)+1,"")</f>
        <v/>
      </c>
    </row>
    <row r="1176" customFormat="false" ht="15" hidden="false" customHeight="false" outlineLevel="0" collapsed="false">
      <c r="A1176" s="0" t="str">
        <f aca="false">IF(DECKS!B1176="","",DECKS!B1176)</f>
        <v/>
      </c>
      <c r="B1176" s="0" t="str">
        <f aca="false">IF(A1176="","",IF(MATCH(A1176,$A$2:$A$3201,0)=ROW()-1,1,0))</f>
        <v/>
      </c>
      <c r="C1176" s="0" t="str">
        <f aca="false">IF(B1176=1,MAX(C$1:C1175)+1,"")</f>
        <v/>
      </c>
    </row>
    <row r="1177" customFormat="false" ht="15" hidden="false" customHeight="false" outlineLevel="0" collapsed="false">
      <c r="A1177" s="0" t="str">
        <f aca="false">IF(DECKS!B1177="","",DECKS!B1177)</f>
        <v/>
      </c>
      <c r="B1177" s="0" t="str">
        <f aca="false">IF(A1177="","",IF(MATCH(A1177,$A$2:$A$3201,0)=ROW()-1,1,0))</f>
        <v/>
      </c>
      <c r="C1177" s="0" t="str">
        <f aca="false">IF(B1177=1,MAX(C$1:C1176)+1,"")</f>
        <v/>
      </c>
    </row>
    <row r="1178" customFormat="false" ht="15" hidden="false" customHeight="false" outlineLevel="0" collapsed="false">
      <c r="A1178" s="0" t="str">
        <f aca="false">IF(DECKS!B1178="","",DECKS!B1178)</f>
        <v/>
      </c>
      <c r="B1178" s="0" t="str">
        <f aca="false">IF(A1178="","",IF(MATCH(A1178,$A$2:$A$3201,0)=ROW()-1,1,0))</f>
        <v/>
      </c>
      <c r="C1178" s="0" t="str">
        <f aca="false">IF(B1178=1,MAX(C$1:C1177)+1,"")</f>
        <v/>
      </c>
    </row>
    <row r="1179" customFormat="false" ht="15" hidden="false" customHeight="false" outlineLevel="0" collapsed="false">
      <c r="A1179" s="0" t="str">
        <f aca="false">IF(DECKS!B1179="","",DECKS!B1179)</f>
        <v/>
      </c>
      <c r="B1179" s="0" t="str">
        <f aca="false">IF(A1179="","",IF(MATCH(A1179,$A$2:$A$3201,0)=ROW()-1,1,0))</f>
        <v/>
      </c>
      <c r="C1179" s="0" t="str">
        <f aca="false">IF(B1179=1,MAX(C$1:C1178)+1,"")</f>
        <v/>
      </c>
    </row>
    <row r="1180" customFormat="false" ht="15" hidden="false" customHeight="false" outlineLevel="0" collapsed="false">
      <c r="A1180" s="0" t="str">
        <f aca="false">IF(DECKS!B1180="","",DECKS!B1180)</f>
        <v/>
      </c>
      <c r="B1180" s="0" t="str">
        <f aca="false">IF(A1180="","",IF(MATCH(A1180,$A$2:$A$3201,0)=ROW()-1,1,0))</f>
        <v/>
      </c>
      <c r="C1180" s="0" t="str">
        <f aca="false">IF(B1180=1,MAX(C$1:C1179)+1,"")</f>
        <v/>
      </c>
    </row>
    <row r="1181" customFormat="false" ht="15" hidden="false" customHeight="false" outlineLevel="0" collapsed="false">
      <c r="A1181" s="0" t="str">
        <f aca="false">IF(DECKS!B1181="","",DECKS!B1181)</f>
        <v/>
      </c>
      <c r="B1181" s="0" t="str">
        <f aca="false">IF(A1181="","",IF(MATCH(A1181,$A$2:$A$3201,0)=ROW()-1,1,0))</f>
        <v/>
      </c>
      <c r="C1181" s="0" t="str">
        <f aca="false">IF(B1181=1,MAX(C$1:C1180)+1,"")</f>
        <v/>
      </c>
    </row>
    <row r="1182" customFormat="false" ht="15" hidden="false" customHeight="false" outlineLevel="0" collapsed="false">
      <c r="A1182" s="0" t="str">
        <f aca="false">IF(DECKS!B1182="","",DECKS!B1182)</f>
        <v/>
      </c>
      <c r="B1182" s="0" t="str">
        <f aca="false">IF(A1182="","",IF(MATCH(A1182,$A$2:$A$3201,0)=ROW()-1,1,0))</f>
        <v/>
      </c>
      <c r="C1182" s="0" t="str">
        <f aca="false">IF(B1182=1,MAX(C$1:C1181)+1,"")</f>
        <v/>
      </c>
    </row>
    <row r="1183" customFormat="false" ht="15" hidden="false" customHeight="false" outlineLevel="0" collapsed="false">
      <c r="A1183" s="0" t="str">
        <f aca="false">IF(DECKS!B1183="","",DECKS!B1183)</f>
        <v/>
      </c>
      <c r="B1183" s="0" t="str">
        <f aca="false">IF(A1183="","",IF(MATCH(A1183,$A$2:$A$3201,0)=ROW()-1,1,0))</f>
        <v/>
      </c>
      <c r="C1183" s="0" t="str">
        <f aca="false">IF(B1183=1,MAX(C$1:C1182)+1,"")</f>
        <v/>
      </c>
    </row>
    <row r="1184" customFormat="false" ht="15" hidden="false" customHeight="false" outlineLevel="0" collapsed="false">
      <c r="A1184" s="0" t="str">
        <f aca="false">IF(DECKS!B1184="","",DECKS!B1184)</f>
        <v/>
      </c>
      <c r="B1184" s="0" t="str">
        <f aca="false">IF(A1184="","",IF(MATCH(A1184,$A$2:$A$3201,0)=ROW()-1,1,0))</f>
        <v/>
      </c>
      <c r="C1184" s="0" t="str">
        <f aca="false">IF(B1184=1,MAX(C$1:C1183)+1,"")</f>
        <v/>
      </c>
    </row>
    <row r="1185" customFormat="false" ht="15" hidden="false" customHeight="false" outlineLevel="0" collapsed="false">
      <c r="A1185" s="0" t="str">
        <f aca="false">IF(DECKS!B1185="","",DECKS!B1185)</f>
        <v/>
      </c>
      <c r="B1185" s="0" t="str">
        <f aca="false">IF(A1185="","",IF(MATCH(A1185,$A$2:$A$3201,0)=ROW()-1,1,0))</f>
        <v/>
      </c>
      <c r="C1185" s="0" t="str">
        <f aca="false">IF(B1185=1,MAX(C$1:C1184)+1,"")</f>
        <v/>
      </c>
    </row>
    <row r="1186" customFormat="false" ht="15" hidden="false" customHeight="false" outlineLevel="0" collapsed="false">
      <c r="A1186" s="0" t="str">
        <f aca="false">IF(DECKS!B1186="","",DECKS!B1186)</f>
        <v/>
      </c>
      <c r="B1186" s="0" t="str">
        <f aca="false">IF(A1186="","",IF(MATCH(A1186,$A$2:$A$3201,0)=ROW()-1,1,0))</f>
        <v/>
      </c>
      <c r="C1186" s="0" t="str">
        <f aca="false">IF(B1186=1,MAX(C$1:C1185)+1,"")</f>
        <v/>
      </c>
    </row>
    <row r="1187" customFormat="false" ht="15" hidden="false" customHeight="false" outlineLevel="0" collapsed="false">
      <c r="A1187" s="0" t="str">
        <f aca="false">IF(DECKS!B1187="","",DECKS!B1187)</f>
        <v/>
      </c>
      <c r="B1187" s="0" t="str">
        <f aca="false">IF(A1187="","",IF(MATCH(A1187,$A$2:$A$3201,0)=ROW()-1,1,0))</f>
        <v/>
      </c>
      <c r="C1187" s="0" t="str">
        <f aca="false">IF(B1187=1,MAX(C$1:C1186)+1,"")</f>
        <v/>
      </c>
    </row>
    <row r="1188" customFormat="false" ht="15" hidden="false" customHeight="false" outlineLevel="0" collapsed="false">
      <c r="A1188" s="0" t="str">
        <f aca="false">IF(DECKS!B1188="","",DECKS!B1188)</f>
        <v/>
      </c>
      <c r="B1188" s="0" t="str">
        <f aca="false">IF(A1188="","",IF(MATCH(A1188,$A$2:$A$3201,0)=ROW()-1,1,0))</f>
        <v/>
      </c>
      <c r="C1188" s="0" t="str">
        <f aca="false">IF(B1188=1,MAX(C$1:C1187)+1,"")</f>
        <v/>
      </c>
    </row>
    <row r="1189" customFormat="false" ht="15" hidden="false" customHeight="false" outlineLevel="0" collapsed="false">
      <c r="A1189" s="0" t="str">
        <f aca="false">IF(DECKS!B1189="","",DECKS!B1189)</f>
        <v/>
      </c>
      <c r="B1189" s="0" t="str">
        <f aca="false">IF(A1189="","",IF(MATCH(A1189,$A$2:$A$3201,0)=ROW()-1,1,0))</f>
        <v/>
      </c>
      <c r="C1189" s="0" t="str">
        <f aca="false">IF(B1189=1,MAX(C$1:C1188)+1,"")</f>
        <v/>
      </c>
    </row>
    <row r="1190" customFormat="false" ht="15" hidden="false" customHeight="false" outlineLevel="0" collapsed="false">
      <c r="A1190" s="0" t="str">
        <f aca="false">IF(DECKS!B1190="","",DECKS!B1190)</f>
        <v/>
      </c>
      <c r="B1190" s="0" t="str">
        <f aca="false">IF(A1190="","",IF(MATCH(A1190,$A$2:$A$3201,0)=ROW()-1,1,0))</f>
        <v/>
      </c>
      <c r="C1190" s="0" t="str">
        <f aca="false">IF(B1190=1,MAX(C$1:C1189)+1,"")</f>
        <v/>
      </c>
    </row>
    <row r="1191" customFormat="false" ht="15" hidden="false" customHeight="false" outlineLevel="0" collapsed="false">
      <c r="A1191" s="0" t="str">
        <f aca="false">IF(DECKS!B1191="","",DECKS!B1191)</f>
        <v/>
      </c>
      <c r="B1191" s="0" t="str">
        <f aca="false">IF(A1191="","",IF(MATCH(A1191,$A$2:$A$3201,0)=ROW()-1,1,0))</f>
        <v/>
      </c>
      <c r="C1191" s="0" t="str">
        <f aca="false">IF(B1191=1,MAX(C$1:C1190)+1,"")</f>
        <v/>
      </c>
    </row>
    <row r="1192" customFormat="false" ht="15" hidden="false" customHeight="false" outlineLevel="0" collapsed="false">
      <c r="A1192" s="0" t="str">
        <f aca="false">IF(DECKS!B1192="","",DECKS!B1192)</f>
        <v/>
      </c>
      <c r="B1192" s="0" t="str">
        <f aca="false">IF(A1192="","",IF(MATCH(A1192,$A$2:$A$3201,0)=ROW()-1,1,0))</f>
        <v/>
      </c>
      <c r="C1192" s="0" t="str">
        <f aca="false">IF(B1192=1,MAX(C$1:C1191)+1,"")</f>
        <v/>
      </c>
    </row>
    <row r="1193" customFormat="false" ht="15" hidden="false" customHeight="false" outlineLevel="0" collapsed="false">
      <c r="A1193" s="0" t="str">
        <f aca="false">IF(DECKS!B1193="","",DECKS!B1193)</f>
        <v/>
      </c>
      <c r="B1193" s="0" t="str">
        <f aca="false">IF(A1193="","",IF(MATCH(A1193,$A$2:$A$3201,0)=ROW()-1,1,0))</f>
        <v/>
      </c>
      <c r="C1193" s="0" t="str">
        <f aca="false">IF(B1193=1,MAX(C$1:C1192)+1,"")</f>
        <v/>
      </c>
    </row>
    <row r="1194" customFormat="false" ht="15" hidden="false" customHeight="false" outlineLevel="0" collapsed="false">
      <c r="A1194" s="0" t="str">
        <f aca="false">IF(DECKS!B1194="","",DECKS!B1194)</f>
        <v/>
      </c>
      <c r="B1194" s="0" t="str">
        <f aca="false">IF(A1194="","",IF(MATCH(A1194,$A$2:$A$3201,0)=ROW()-1,1,0))</f>
        <v/>
      </c>
      <c r="C1194" s="0" t="str">
        <f aca="false">IF(B1194=1,MAX(C$1:C1193)+1,"")</f>
        <v/>
      </c>
    </row>
    <row r="1195" customFormat="false" ht="15" hidden="false" customHeight="false" outlineLevel="0" collapsed="false">
      <c r="A1195" s="0" t="str">
        <f aca="false">IF(DECKS!B1195="","",DECKS!B1195)</f>
        <v/>
      </c>
      <c r="B1195" s="0" t="str">
        <f aca="false">IF(A1195="","",IF(MATCH(A1195,$A$2:$A$3201,0)=ROW()-1,1,0))</f>
        <v/>
      </c>
      <c r="C1195" s="0" t="str">
        <f aca="false">IF(B1195=1,MAX(C$1:C1194)+1,"")</f>
        <v/>
      </c>
    </row>
    <row r="1196" customFormat="false" ht="15" hidden="false" customHeight="false" outlineLevel="0" collapsed="false">
      <c r="A1196" s="0" t="str">
        <f aca="false">IF(DECKS!B1196="","",DECKS!B1196)</f>
        <v/>
      </c>
      <c r="B1196" s="0" t="str">
        <f aca="false">IF(A1196="","",IF(MATCH(A1196,$A$2:$A$3201,0)=ROW()-1,1,0))</f>
        <v/>
      </c>
      <c r="C1196" s="0" t="str">
        <f aca="false">IF(B1196=1,MAX(C$1:C1195)+1,"")</f>
        <v/>
      </c>
    </row>
    <row r="1197" customFormat="false" ht="15" hidden="false" customHeight="false" outlineLevel="0" collapsed="false">
      <c r="A1197" s="0" t="str">
        <f aca="false">IF(DECKS!B1197="","",DECKS!B1197)</f>
        <v/>
      </c>
      <c r="B1197" s="0" t="str">
        <f aca="false">IF(A1197="","",IF(MATCH(A1197,$A$2:$A$3201,0)=ROW()-1,1,0))</f>
        <v/>
      </c>
      <c r="C1197" s="0" t="str">
        <f aca="false">IF(B1197=1,MAX(C$1:C1196)+1,"")</f>
        <v/>
      </c>
    </row>
    <row r="1198" customFormat="false" ht="15" hidden="false" customHeight="false" outlineLevel="0" collapsed="false">
      <c r="A1198" s="0" t="str">
        <f aca="false">IF(DECKS!B1198="","",DECKS!B1198)</f>
        <v/>
      </c>
      <c r="B1198" s="0" t="str">
        <f aca="false">IF(A1198="","",IF(MATCH(A1198,$A$2:$A$3201,0)=ROW()-1,1,0))</f>
        <v/>
      </c>
      <c r="C1198" s="0" t="str">
        <f aca="false">IF(B1198=1,MAX(C$1:C1197)+1,"")</f>
        <v/>
      </c>
    </row>
    <row r="1199" customFormat="false" ht="15" hidden="false" customHeight="false" outlineLevel="0" collapsed="false">
      <c r="A1199" s="0" t="str">
        <f aca="false">IF(DECKS!B1199="","",DECKS!B1199)</f>
        <v/>
      </c>
      <c r="B1199" s="0" t="str">
        <f aca="false">IF(A1199="","",IF(MATCH(A1199,$A$2:$A$3201,0)=ROW()-1,1,0))</f>
        <v/>
      </c>
      <c r="C1199" s="0" t="str">
        <f aca="false">IF(B1199=1,MAX(C$1:C1198)+1,"")</f>
        <v/>
      </c>
    </row>
    <row r="1200" customFormat="false" ht="15" hidden="false" customHeight="false" outlineLevel="0" collapsed="false">
      <c r="A1200" s="0" t="str">
        <f aca="false">IF(DECKS!B1200="","",DECKS!B1200)</f>
        <v/>
      </c>
      <c r="B1200" s="0" t="str">
        <f aca="false">IF(A1200="","",IF(MATCH(A1200,$A$2:$A$3201,0)=ROW()-1,1,0))</f>
        <v/>
      </c>
      <c r="C1200" s="0" t="str">
        <f aca="false">IF(B1200=1,MAX(C$1:C1199)+1,"")</f>
        <v/>
      </c>
    </row>
    <row r="1201" customFormat="false" ht="15" hidden="false" customHeight="false" outlineLevel="0" collapsed="false">
      <c r="A1201" s="0" t="str">
        <f aca="false">IF(DECKS!B1201="","",DECKS!B1201)</f>
        <v/>
      </c>
      <c r="B1201" s="0" t="str">
        <f aca="false">IF(A1201="","",IF(MATCH(A1201,$A$2:$A$3201,0)=ROW()-1,1,0))</f>
        <v/>
      </c>
      <c r="C1201" s="0" t="str">
        <f aca="false">IF(B1201=1,MAX(C$1:C1200)+1,"")</f>
        <v/>
      </c>
    </row>
    <row r="1202" customFormat="false" ht="15" hidden="false" customHeight="false" outlineLevel="0" collapsed="false">
      <c r="A1202" s="0" t="str">
        <f aca="false">IF(COMPRAS!K2="","",COMPRAS!K2)</f>
        <v/>
      </c>
      <c r="B1202" s="0" t="str">
        <f aca="false">IF(A1202="","",IF(MATCH(A1202,$A$2:$A$3201,0)=ROW()-1,1,0))</f>
        <v/>
      </c>
      <c r="C1202" s="0" t="str">
        <f aca="false">IF(B1202=1,MAX(C$1:C1201)+1,"")</f>
        <v/>
      </c>
    </row>
    <row r="1203" customFormat="false" ht="15" hidden="false" customHeight="false" outlineLevel="0" collapsed="false">
      <c r="A1203" s="0" t="str">
        <f aca="false">IF(COMPRAS!K3="","",COMPRAS!K3)</f>
        <v/>
      </c>
      <c r="B1203" s="0" t="str">
        <f aca="false">IF(A1203="","",IF(MATCH(A1203,$A$2:$A$3201,0)=ROW()-1,1,0))</f>
        <v/>
      </c>
      <c r="C1203" s="0" t="str">
        <f aca="false">IF(B1203=1,MAX(C$1:C1202)+1,"")</f>
        <v/>
      </c>
    </row>
    <row r="1204" customFormat="false" ht="15" hidden="false" customHeight="false" outlineLevel="0" collapsed="false">
      <c r="A1204" s="0" t="str">
        <f aca="false">IF(COMPRAS!K4="","",COMPRAS!K4)</f>
        <v/>
      </c>
      <c r="B1204" s="0" t="str">
        <f aca="false">IF(A1204="","",IF(MATCH(A1204,$A$2:$A$3201,0)=ROW()-1,1,0))</f>
        <v/>
      </c>
      <c r="C1204" s="0" t="str">
        <f aca="false">IF(B1204=1,MAX(C$1:C1203)+1,"")</f>
        <v/>
      </c>
    </row>
    <row r="1205" customFormat="false" ht="15" hidden="false" customHeight="false" outlineLevel="0" collapsed="false">
      <c r="A1205" s="0" t="str">
        <f aca="false">IF(COMPRAS!K5="","",COMPRAS!K5)</f>
        <v/>
      </c>
      <c r="B1205" s="0" t="str">
        <f aca="false">IF(A1205="","",IF(MATCH(A1205,$A$2:$A$3201,0)=ROW()-1,1,0))</f>
        <v/>
      </c>
      <c r="C1205" s="0" t="str">
        <f aca="false">IF(B1205=1,MAX(C$1:C1204)+1,"")</f>
        <v/>
      </c>
    </row>
    <row r="1206" customFormat="false" ht="15" hidden="false" customHeight="false" outlineLevel="0" collapsed="false">
      <c r="A1206" s="0" t="str">
        <f aca="false">IF(COMPRAS!K6="","",COMPRAS!K6)</f>
        <v/>
      </c>
      <c r="B1206" s="0" t="str">
        <f aca="false">IF(A1206="","",IF(MATCH(A1206,$A$2:$A$3201,0)=ROW()-1,1,0))</f>
        <v/>
      </c>
      <c r="C1206" s="0" t="str">
        <f aca="false">IF(B1206=1,MAX(C$1:C1205)+1,"")</f>
        <v/>
      </c>
    </row>
    <row r="1207" customFormat="false" ht="15" hidden="false" customHeight="false" outlineLevel="0" collapsed="false">
      <c r="A1207" s="0" t="str">
        <f aca="false">IF(COMPRAS!K7="","",COMPRAS!K7)</f>
        <v/>
      </c>
      <c r="B1207" s="0" t="str">
        <f aca="false">IF(A1207="","",IF(MATCH(A1207,$A$2:$A$3201,0)=ROW()-1,1,0))</f>
        <v/>
      </c>
      <c r="C1207" s="0" t="str">
        <f aca="false">IF(B1207=1,MAX(C$1:C1206)+1,"")</f>
        <v/>
      </c>
    </row>
    <row r="1208" customFormat="false" ht="15" hidden="false" customHeight="false" outlineLevel="0" collapsed="false">
      <c r="A1208" s="0" t="str">
        <f aca="false">IF(COMPRAS!K8="","",COMPRAS!K8)</f>
        <v/>
      </c>
      <c r="B1208" s="0" t="str">
        <f aca="false">IF(A1208="","",IF(MATCH(A1208,$A$2:$A$3201,0)=ROW()-1,1,0))</f>
        <v/>
      </c>
      <c r="C1208" s="0" t="str">
        <f aca="false">IF(B1208=1,MAX(C$1:C1207)+1,"")</f>
        <v/>
      </c>
    </row>
    <row r="1209" customFormat="false" ht="15" hidden="false" customHeight="false" outlineLevel="0" collapsed="false">
      <c r="A1209" s="0" t="str">
        <f aca="false">IF(COMPRAS!K9="","",COMPRAS!K9)</f>
        <v/>
      </c>
      <c r="B1209" s="0" t="str">
        <f aca="false">IF(A1209="","",IF(MATCH(A1209,$A$2:$A$3201,0)=ROW()-1,1,0))</f>
        <v/>
      </c>
      <c r="C1209" s="0" t="str">
        <f aca="false">IF(B1209=1,MAX(C$1:C1208)+1,"")</f>
        <v/>
      </c>
    </row>
    <row r="1210" customFormat="false" ht="15" hidden="false" customHeight="false" outlineLevel="0" collapsed="false">
      <c r="A1210" s="0" t="str">
        <f aca="false">IF(COMPRAS!K10="","",COMPRAS!K10)</f>
        <v/>
      </c>
      <c r="B1210" s="0" t="str">
        <f aca="false">IF(A1210="","",IF(MATCH(A1210,$A$2:$A$3201,0)=ROW()-1,1,0))</f>
        <v/>
      </c>
      <c r="C1210" s="0" t="str">
        <f aca="false">IF(B1210=1,MAX(C$1:C1209)+1,"")</f>
        <v/>
      </c>
    </row>
    <row r="1211" customFormat="false" ht="15" hidden="false" customHeight="false" outlineLevel="0" collapsed="false">
      <c r="A1211" s="0" t="str">
        <f aca="false">IF(COMPRAS!K11="","",COMPRAS!K11)</f>
        <v/>
      </c>
      <c r="B1211" s="0" t="str">
        <f aca="false">IF(A1211="","",IF(MATCH(A1211,$A$2:$A$3201,0)=ROW()-1,1,0))</f>
        <v/>
      </c>
      <c r="C1211" s="0" t="str">
        <f aca="false">IF(B1211=1,MAX(C$1:C1210)+1,"")</f>
        <v/>
      </c>
    </row>
    <row r="1212" customFormat="false" ht="15" hidden="false" customHeight="false" outlineLevel="0" collapsed="false">
      <c r="A1212" s="0" t="str">
        <f aca="false">IF(COMPRAS!K12="","",COMPRAS!K12)</f>
        <v/>
      </c>
      <c r="B1212" s="0" t="str">
        <f aca="false">IF(A1212="","",IF(MATCH(A1212,$A$2:$A$3201,0)=ROW()-1,1,0))</f>
        <v/>
      </c>
      <c r="C1212" s="0" t="str">
        <f aca="false">IF(B1212=1,MAX(C$1:C1211)+1,"")</f>
        <v/>
      </c>
    </row>
    <row r="1213" customFormat="false" ht="15" hidden="false" customHeight="false" outlineLevel="0" collapsed="false">
      <c r="A1213" s="0" t="str">
        <f aca="false">IF(COMPRAS!K13="","",COMPRAS!K13)</f>
        <v/>
      </c>
      <c r="B1213" s="0" t="str">
        <f aca="false">IF(A1213="","",IF(MATCH(A1213,$A$2:$A$3201,0)=ROW()-1,1,0))</f>
        <v/>
      </c>
      <c r="C1213" s="0" t="str">
        <f aca="false">IF(B1213=1,MAX(C$1:C1212)+1,"")</f>
        <v/>
      </c>
    </row>
    <row r="1214" customFormat="false" ht="15" hidden="false" customHeight="false" outlineLevel="0" collapsed="false">
      <c r="A1214" s="0" t="str">
        <f aca="false">IF(COMPRAS!K14="","",COMPRAS!K14)</f>
        <v/>
      </c>
      <c r="B1214" s="0" t="str">
        <f aca="false">IF(A1214="","",IF(MATCH(A1214,$A$2:$A$3201,0)=ROW()-1,1,0))</f>
        <v/>
      </c>
      <c r="C1214" s="0" t="str">
        <f aca="false">IF(B1214=1,MAX(C$1:C1213)+1,"")</f>
        <v/>
      </c>
    </row>
    <row r="1215" customFormat="false" ht="15" hidden="false" customHeight="false" outlineLevel="0" collapsed="false">
      <c r="A1215" s="0" t="str">
        <f aca="false">IF(COMPRAS!K15="","",COMPRAS!K15)</f>
        <v/>
      </c>
      <c r="B1215" s="0" t="str">
        <f aca="false">IF(A1215="","",IF(MATCH(A1215,$A$2:$A$3201,0)=ROW()-1,1,0))</f>
        <v/>
      </c>
      <c r="C1215" s="0" t="str">
        <f aca="false">IF(B1215=1,MAX(C$1:C1214)+1,"")</f>
        <v/>
      </c>
    </row>
    <row r="1216" customFormat="false" ht="15" hidden="false" customHeight="false" outlineLevel="0" collapsed="false">
      <c r="A1216" s="0" t="str">
        <f aca="false">IF(COMPRAS!K16="","",COMPRAS!K16)</f>
        <v/>
      </c>
      <c r="B1216" s="0" t="str">
        <f aca="false">IF(A1216="","",IF(MATCH(A1216,$A$2:$A$3201,0)=ROW()-1,1,0))</f>
        <v/>
      </c>
      <c r="C1216" s="0" t="str">
        <f aca="false">IF(B1216=1,MAX(C$1:C1215)+1,"")</f>
        <v/>
      </c>
    </row>
    <row r="1217" customFormat="false" ht="15" hidden="false" customHeight="false" outlineLevel="0" collapsed="false">
      <c r="A1217" s="0" t="str">
        <f aca="false">IF(COMPRAS!K17="","",COMPRAS!K17)</f>
        <v/>
      </c>
      <c r="B1217" s="0" t="str">
        <f aca="false">IF(A1217="","",IF(MATCH(A1217,$A$2:$A$3201,0)=ROW()-1,1,0))</f>
        <v/>
      </c>
      <c r="C1217" s="0" t="str">
        <f aca="false">IF(B1217=1,MAX(C$1:C1216)+1,"")</f>
        <v/>
      </c>
    </row>
    <row r="1218" customFormat="false" ht="15" hidden="false" customHeight="false" outlineLevel="0" collapsed="false">
      <c r="A1218" s="0" t="str">
        <f aca="false">IF(COMPRAS!K18="","",COMPRAS!K18)</f>
        <v/>
      </c>
      <c r="B1218" s="0" t="str">
        <f aca="false">IF(A1218="","",IF(MATCH(A1218,$A$2:$A$3201,0)=ROW()-1,1,0))</f>
        <v/>
      </c>
      <c r="C1218" s="0" t="str">
        <f aca="false">IF(B1218=1,MAX(C$1:C1217)+1,"")</f>
        <v/>
      </c>
    </row>
    <row r="1219" customFormat="false" ht="15" hidden="false" customHeight="false" outlineLevel="0" collapsed="false">
      <c r="A1219" s="0" t="str">
        <f aca="false">IF(COMPRAS!K19="","",COMPRAS!K19)</f>
        <v/>
      </c>
      <c r="B1219" s="0" t="str">
        <f aca="false">IF(A1219="","",IF(MATCH(A1219,$A$2:$A$3201,0)=ROW()-1,1,0))</f>
        <v/>
      </c>
      <c r="C1219" s="0" t="str">
        <f aca="false">IF(B1219=1,MAX(C$1:C1218)+1,"")</f>
        <v/>
      </c>
    </row>
    <row r="1220" customFormat="false" ht="15" hidden="false" customHeight="false" outlineLevel="0" collapsed="false">
      <c r="A1220" s="0" t="str">
        <f aca="false">IF(COMPRAS!K20="","",COMPRAS!K20)</f>
        <v/>
      </c>
      <c r="B1220" s="0" t="str">
        <f aca="false">IF(A1220="","",IF(MATCH(A1220,$A$2:$A$3201,0)=ROW()-1,1,0))</f>
        <v/>
      </c>
      <c r="C1220" s="0" t="str">
        <f aca="false">IF(B1220=1,MAX(C$1:C1219)+1,"")</f>
        <v/>
      </c>
    </row>
    <row r="1221" customFormat="false" ht="15" hidden="false" customHeight="false" outlineLevel="0" collapsed="false">
      <c r="A1221" s="0" t="str">
        <f aca="false">IF(COMPRAS!K21="","",COMPRAS!K21)</f>
        <v/>
      </c>
      <c r="B1221" s="0" t="str">
        <f aca="false">IF(A1221="","",IF(MATCH(A1221,$A$2:$A$3201,0)=ROW()-1,1,0))</f>
        <v/>
      </c>
      <c r="C1221" s="0" t="str">
        <f aca="false">IF(B1221=1,MAX(C$1:C1220)+1,"")</f>
        <v/>
      </c>
    </row>
    <row r="1222" customFormat="false" ht="15" hidden="false" customHeight="false" outlineLevel="0" collapsed="false">
      <c r="A1222" s="0" t="str">
        <f aca="false">IF(COMPRAS!K22="","",COMPRAS!K22)</f>
        <v/>
      </c>
      <c r="B1222" s="0" t="str">
        <f aca="false">IF(A1222="","",IF(MATCH(A1222,$A$2:$A$3201,0)=ROW()-1,1,0))</f>
        <v/>
      </c>
      <c r="C1222" s="0" t="str">
        <f aca="false">IF(B1222=1,MAX(C$1:C1221)+1,"")</f>
        <v/>
      </c>
    </row>
    <row r="1223" customFormat="false" ht="15" hidden="false" customHeight="false" outlineLevel="0" collapsed="false">
      <c r="A1223" s="0" t="str">
        <f aca="false">IF(COMPRAS!K23="","",COMPRAS!K23)</f>
        <v/>
      </c>
      <c r="B1223" s="0" t="str">
        <f aca="false">IF(A1223="","",IF(MATCH(A1223,$A$2:$A$3201,0)=ROW()-1,1,0))</f>
        <v/>
      </c>
      <c r="C1223" s="0" t="str">
        <f aca="false">IF(B1223=1,MAX(C$1:C1222)+1,"")</f>
        <v/>
      </c>
    </row>
    <row r="1224" customFormat="false" ht="15" hidden="false" customHeight="false" outlineLevel="0" collapsed="false">
      <c r="A1224" s="0" t="str">
        <f aca="false">IF(COMPRAS!K24="","",COMPRAS!K24)</f>
        <v/>
      </c>
      <c r="B1224" s="0" t="str">
        <f aca="false">IF(A1224="","",IF(MATCH(A1224,$A$2:$A$3201,0)=ROW()-1,1,0))</f>
        <v/>
      </c>
      <c r="C1224" s="0" t="str">
        <f aca="false">IF(B1224=1,MAX(C$1:C1223)+1,"")</f>
        <v/>
      </c>
    </row>
    <row r="1225" customFormat="false" ht="15" hidden="false" customHeight="false" outlineLevel="0" collapsed="false">
      <c r="A1225" s="0" t="str">
        <f aca="false">IF(COMPRAS!K25="","",COMPRAS!K25)</f>
        <v/>
      </c>
      <c r="B1225" s="0" t="str">
        <f aca="false">IF(A1225="","",IF(MATCH(A1225,$A$2:$A$3201,0)=ROW()-1,1,0))</f>
        <v/>
      </c>
      <c r="C1225" s="0" t="str">
        <f aca="false">IF(B1225=1,MAX(C$1:C1224)+1,"")</f>
        <v/>
      </c>
    </row>
    <row r="1226" customFormat="false" ht="15" hidden="false" customHeight="false" outlineLevel="0" collapsed="false">
      <c r="A1226" s="0" t="str">
        <f aca="false">IF(COMPRAS!K26="","",COMPRAS!K26)</f>
        <v/>
      </c>
      <c r="B1226" s="0" t="str">
        <f aca="false">IF(A1226="","",IF(MATCH(A1226,$A$2:$A$3201,0)=ROW()-1,1,0))</f>
        <v/>
      </c>
      <c r="C1226" s="0" t="str">
        <f aca="false">IF(B1226=1,MAX(C$1:C1225)+1,"")</f>
        <v/>
      </c>
    </row>
    <row r="1227" customFormat="false" ht="15" hidden="false" customHeight="false" outlineLevel="0" collapsed="false">
      <c r="A1227" s="0" t="str">
        <f aca="false">IF(COMPRAS!K27="","",COMPRAS!K27)</f>
        <v/>
      </c>
      <c r="B1227" s="0" t="str">
        <f aca="false">IF(A1227="","",IF(MATCH(A1227,$A$2:$A$3201,0)=ROW()-1,1,0))</f>
        <v/>
      </c>
      <c r="C1227" s="0" t="str">
        <f aca="false">IF(B1227=1,MAX(C$1:C1226)+1,"")</f>
        <v/>
      </c>
    </row>
    <row r="1228" customFormat="false" ht="15" hidden="false" customHeight="false" outlineLevel="0" collapsed="false">
      <c r="A1228" s="0" t="str">
        <f aca="false">IF(COMPRAS!K28="","",COMPRAS!K28)</f>
        <v/>
      </c>
      <c r="B1228" s="0" t="str">
        <f aca="false">IF(A1228="","",IF(MATCH(A1228,$A$2:$A$3201,0)=ROW()-1,1,0))</f>
        <v/>
      </c>
      <c r="C1228" s="0" t="str">
        <f aca="false">IF(B1228=1,MAX(C$1:C1227)+1,"")</f>
        <v/>
      </c>
    </row>
    <row r="1229" customFormat="false" ht="15" hidden="false" customHeight="false" outlineLevel="0" collapsed="false">
      <c r="A1229" s="0" t="str">
        <f aca="false">IF(COMPRAS!K29="","",COMPRAS!K29)</f>
        <v/>
      </c>
      <c r="B1229" s="0" t="str">
        <f aca="false">IF(A1229="","",IF(MATCH(A1229,$A$2:$A$3201,0)=ROW()-1,1,0))</f>
        <v/>
      </c>
      <c r="C1229" s="0" t="str">
        <f aca="false">IF(B1229=1,MAX(C$1:C1228)+1,"")</f>
        <v/>
      </c>
    </row>
    <row r="1230" customFormat="false" ht="15" hidden="false" customHeight="false" outlineLevel="0" collapsed="false">
      <c r="A1230" s="0" t="str">
        <f aca="false">IF(COMPRAS!K30="","",COMPRAS!K30)</f>
        <v/>
      </c>
      <c r="B1230" s="0" t="str">
        <f aca="false">IF(A1230="","",IF(MATCH(A1230,$A$2:$A$3201,0)=ROW()-1,1,0))</f>
        <v/>
      </c>
      <c r="C1230" s="0" t="str">
        <f aca="false">IF(B1230=1,MAX(C$1:C1229)+1,"")</f>
        <v/>
      </c>
    </row>
    <row r="1231" customFormat="false" ht="15" hidden="false" customHeight="false" outlineLevel="0" collapsed="false">
      <c r="A1231" s="0" t="str">
        <f aca="false">IF(COMPRAS!K31="","",COMPRAS!K31)</f>
        <v/>
      </c>
      <c r="B1231" s="0" t="str">
        <f aca="false">IF(A1231="","",IF(MATCH(A1231,$A$2:$A$3201,0)=ROW()-1,1,0))</f>
        <v/>
      </c>
      <c r="C1231" s="0" t="str">
        <f aca="false">IF(B1231=1,MAX(C$1:C1230)+1,"")</f>
        <v/>
      </c>
    </row>
    <row r="1232" customFormat="false" ht="15" hidden="false" customHeight="false" outlineLevel="0" collapsed="false">
      <c r="A1232" s="0" t="str">
        <f aca="false">IF(COMPRAS!K32="","",COMPRAS!K32)</f>
        <v/>
      </c>
      <c r="B1232" s="0" t="str">
        <f aca="false">IF(A1232="","",IF(MATCH(A1232,$A$2:$A$3201,0)=ROW()-1,1,0))</f>
        <v/>
      </c>
      <c r="C1232" s="0" t="str">
        <f aca="false">IF(B1232=1,MAX(C$1:C1231)+1,"")</f>
        <v/>
      </c>
    </row>
    <row r="1233" customFormat="false" ht="15" hidden="false" customHeight="false" outlineLevel="0" collapsed="false">
      <c r="A1233" s="0" t="str">
        <f aca="false">IF(COMPRAS!K33="","",COMPRAS!K33)</f>
        <v/>
      </c>
      <c r="B1233" s="0" t="str">
        <f aca="false">IF(A1233="","",IF(MATCH(A1233,$A$2:$A$3201,0)=ROW()-1,1,0))</f>
        <v/>
      </c>
      <c r="C1233" s="0" t="str">
        <f aca="false">IF(B1233=1,MAX(C$1:C1232)+1,"")</f>
        <v/>
      </c>
    </row>
    <row r="1234" customFormat="false" ht="15" hidden="false" customHeight="false" outlineLevel="0" collapsed="false">
      <c r="A1234" s="0" t="str">
        <f aca="false">IF(COMPRAS!K34="","",COMPRAS!K34)</f>
        <v/>
      </c>
      <c r="B1234" s="0" t="str">
        <f aca="false">IF(A1234="","",IF(MATCH(A1234,$A$2:$A$3201,0)=ROW()-1,1,0))</f>
        <v/>
      </c>
      <c r="C1234" s="0" t="str">
        <f aca="false">IF(B1234=1,MAX(C$1:C1233)+1,"")</f>
        <v/>
      </c>
    </row>
    <row r="1235" customFormat="false" ht="15" hidden="false" customHeight="false" outlineLevel="0" collapsed="false">
      <c r="A1235" s="0" t="str">
        <f aca="false">IF(COMPRAS!K35="","",COMPRAS!K35)</f>
        <v/>
      </c>
      <c r="B1235" s="0" t="str">
        <f aca="false">IF(A1235="","",IF(MATCH(A1235,$A$2:$A$3201,0)=ROW()-1,1,0))</f>
        <v/>
      </c>
      <c r="C1235" s="0" t="str">
        <f aca="false">IF(B1235=1,MAX(C$1:C1234)+1,"")</f>
        <v/>
      </c>
    </row>
    <row r="1236" customFormat="false" ht="15" hidden="false" customHeight="false" outlineLevel="0" collapsed="false">
      <c r="A1236" s="0" t="str">
        <f aca="false">IF(COMPRAS!K36="","",COMPRAS!K36)</f>
        <v/>
      </c>
      <c r="B1236" s="0" t="str">
        <f aca="false">IF(A1236="","",IF(MATCH(A1236,$A$2:$A$3201,0)=ROW()-1,1,0))</f>
        <v/>
      </c>
      <c r="C1236" s="0" t="str">
        <f aca="false">IF(B1236=1,MAX(C$1:C1235)+1,"")</f>
        <v/>
      </c>
    </row>
    <row r="1237" customFormat="false" ht="15" hidden="false" customHeight="false" outlineLevel="0" collapsed="false">
      <c r="A1237" s="0" t="str">
        <f aca="false">IF(COMPRAS!K37="","",COMPRAS!K37)</f>
        <v/>
      </c>
      <c r="B1237" s="0" t="str">
        <f aca="false">IF(A1237="","",IF(MATCH(A1237,$A$2:$A$3201,0)=ROW()-1,1,0))</f>
        <v/>
      </c>
      <c r="C1237" s="0" t="str">
        <f aca="false">IF(B1237=1,MAX(C$1:C1236)+1,"")</f>
        <v/>
      </c>
    </row>
    <row r="1238" customFormat="false" ht="15" hidden="false" customHeight="false" outlineLevel="0" collapsed="false">
      <c r="A1238" s="0" t="str">
        <f aca="false">IF(COMPRAS!K38="","",COMPRAS!K38)</f>
        <v/>
      </c>
      <c r="B1238" s="0" t="str">
        <f aca="false">IF(A1238="","",IF(MATCH(A1238,$A$2:$A$3201,0)=ROW()-1,1,0))</f>
        <v/>
      </c>
      <c r="C1238" s="0" t="str">
        <f aca="false">IF(B1238=1,MAX(C$1:C1237)+1,"")</f>
        <v/>
      </c>
    </row>
    <row r="1239" customFormat="false" ht="15" hidden="false" customHeight="false" outlineLevel="0" collapsed="false">
      <c r="A1239" s="0" t="str">
        <f aca="false">IF(COMPRAS!K39="","",COMPRAS!K39)</f>
        <v/>
      </c>
      <c r="B1239" s="0" t="str">
        <f aca="false">IF(A1239="","",IF(MATCH(A1239,$A$2:$A$3201,0)=ROW()-1,1,0))</f>
        <v/>
      </c>
      <c r="C1239" s="0" t="str">
        <f aca="false">IF(B1239=1,MAX(C$1:C1238)+1,"")</f>
        <v/>
      </c>
    </row>
    <row r="1240" customFormat="false" ht="15" hidden="false" customHeight="false" outlineLevel="0" collapsed="false">
      <c r="A1240" s="0" t="str">
        <f aca="false">IF(COMPRAS!K40="","",COMPRAS!K40)</f>
        <v/>
      </c>
      <c r="B1240" s="0" t="str">
        <f aca="false">IF(A1240="","",IF(MATCH(A1240,$A$2:$A$3201,0)=ROW()-1,1,0))</f>
        <v/>
      </c>
      <c r="C1240" s="0" t="str">
        <f aca="false">IF(B1240=1,MAX(C$1:C1239)+1,"")</f>
        <v/>
      </c>
    </row>
    <row r="1241" customFormat="false" ht="15" hidden="false" customHeight="false" outlineLevel="0" collapsed="false">
      <c r="A1241" s="0" t="str">
        <f aca="false">IF(COMPRAS!K41="","",COMPRAS!K41)</f>
        <v/>
      </c>
      <c r="B1241" s="0" t="str">
        <f aca="false">IF(A1241="","",IF(MATCH(A1241,$A$2:$A$3201,0)=ROW()-1,1,0))</f>
        <v/>
      </c>
      <c r="C1241" s="0" t="str">
        <f aca="false">IF(B1241=1,MAX(C$1:C1240)+1,"")</f>
        <v/>
      </c>
    </row>
    <row r="1242" customFormat="false" ht="15" hidden="false" customHeight="false" outlineLevel="0" collapsed="false">
      <c r="A1242" s="0" t="str">
        <f aca="false">IF(COMPRAS!K42="","",COMPRAS!K42)</f>
        <v/>
      </c>
      <c r="B1242" s="0" t="str">
        <f aca="false">IF(A1242="","",IF(MATCH(A1242,$A$2:$A$3201,0)=ROW()-1,1,0))</f>
        <v/>
      </c>
      <c r="C1242" s="0" t="str">
        <f aca="false">IF(B1242=1,MAX(C$1:C1241)+1,"")</f>
        <v/>
      </c>
    </row>
    <row r="1243" customFormat="false" ht="15" hidden="false" customHeight="false" outlineLevel="0" collapsed="false">
      <c r="A1243" s="0" t="str">
        <f aca="false">IF(COMPRAS!K43="","",COMPRAS!K43)</f>
        <v/>
      </c>
      <c r="B1243" s="0" t="str">
        <f aca="false">IF(A1243="","",IF(MATCH(A1243,$A$2:$A$3201,0)=ROW()-1,1,0))</f>
        <v/>
      </c>
      <c r="C1243" s="0" t="str">
        <f aca="false">IF(B1243=1,MAX(C$1:C1242)+1,"")</f>
        <v/>
      </c>
    </row>
    <row r="1244" customFormat="false" ht="15" hidden="false" customHeight="false" outlineLevel="0" collapsed="false">
      <c r="A1244" s="0" t="str">
        <f aca="false">IF(COMPRAS!K44="","",COMPRAS!K44)</f>
        <v/>
      </c>
      <c r="B1244" s="0" t="str">
        <f aca="false">IF(A1244="","",IF(MATCH(A1244,$A$2:$A$3201,0)=ROW()-1,1,0))</f>
        <v/>
      </c>
      <c r="C1244" s="0" t="str">
        <f aca="false">IF(B1244=1,MAX(C$1:C1243)+1,"")</f>
        <v/>
      </c>
    </row>
    <row r="1245" customFormat="false" ht="15" hidden="false" customHeight="false" outlineLevel="0" collapsed="false">
      <c r="A1245" s="0" t="str">
        <f aca="false">IF(COMPRAS!K45="","",COMPRAS!K45)</f>
        <v/>
      </c>
      <c r="B1245" s="0" t="str">
        <f aca="false">IF(A1245="","",IF(MATCH(A1245,$A$2:$A$3201,0)=ROW()-1,1,0))</f>
        <v/>
      </c>
      <c r="C1245" s="0" t="str">
        <f aca="false">IF(B1245=1,MAX(C$1:C1244)+1,"")</f>
        <v/>
      </c>
    </row>
    <row r="1246" customFormat="false" ht="15" hidden="false" customHeight="false" outlineLevel="0" collapsed="false">
      <c r="A1246" s="0" t="str">
        <f aca="false">IF(COMPRAS!K46="","",COMPRAS!K46)</f>
        <v/>
      </c>
      <c r="B1246" s="0" t="str">
        <f aca="false">IF(A1246="","",IF(MATCH(A1246,$A$2:$A$3201,0)=ROW()-1,1,0))</f>
        <v/>
      </c>
      <c r="C1246" s="0" t="str">
        <f aca="false">IF(B1246=1,MAX(C$1:C1245)+1,"")</f>
        <v/>
      </c>
    </row>
    <row r="1247" customFormat="false" ht="15" hidden="false" customHeight="false" outlineLevel="0" collapsed="false">
      <c r="A1247" s="0" t="str">
        <f aca="false">IF(COMPRAS!K47="","",COMPRAS!K47)</f>
        <v/>
      </c>
      <c r="B1247" s="0" t="str">
        <f aca="false">IF(A1247="","",IF(MATCH(A1247,$A$2:$A$3201,0)=ROW()-1,1,0))</f>
        <v/>
      </c>
      <c r="C1247" s="0" t="str">
        <f aca="false">IF(B1247=1,MAX(C$1:C1246)+1,"")</f>
        <v/>
      </c>
    </row>
    <row r="1248" customFormat="false" ht="15" hidden="false" customHeight="false" outlineLevel="0" collapsed="false">
      <c r="A1248" s="0" t="str">
        <f aca="false">IF(COMPRAS!K48="","",COMPRAS!K48)</f>
        <v/>
      </c>
      <c r="B1248" s="0" t="str">
        <f aca="false">IF(A1248="","",IF(MATCH(A1248,$A$2:$A$3201,0)=ROW()-1,1,0))</f>
        <v/>
      </c>
      <c r="C1248" s="0" t="str">
        <f aca="false">IF(B1248=1,MAX(C$1:C1247)+1,"")</f>
        <v/>
      </c>
    </row>
    <row r="1249" customFormat="false" ht="15" hidden="false" customHeight="false" outlineLevel="0" collapsed="false">
      <c r="A1249" s="0" t="str">
        <f aca="false">IF(COMPRAS!K49="","",COMPRAS!K49)</f>
        <v/>
      </c>
      <c r="B1249" s="0" t="str">
        <f aca="false">IF(A1249="","",IF(MATCH(A1249,$A$2:$A$3201,0)=ROW()-1,1,0))</f>
        <v/>
      </c>
      <c r="C1249" s="0" t="str">
        <f aca="false">IF(B1249=1,MAX(C$1:C1248)+1,"")</f>
        <v/>
      </c>
    </row>
    <row r="1250" customFormat="false" ht="15" hidden="false" customHeight="false" outlineLevel="0" collapsed="false">
      <c r="A1250" s="0" t="str">
        <f aca="false">IF(COMPRAS!K50="","",COMPRAS!K50)</f>
        <v/>
      </c>
      <c r="B1250" s="0" t="str">
        <f aca="false">IF(A1250="","",IF(MATCH(A1250,$A$2:$A$3201,0)=ROW()-1,1,0))</f>
        <v/>
      </c>
      <c r="C1250" s="0" t="str">
        <f aca="false">IF(B1250=1,MAX(C$1:C1249)+1,"")</f>
        <v/>
      </c>
    </row>
    <row r="1251" customFormat="false" ht="15" hidden="false" customHeight="false" outlineLevel="0" collapsed="false">
      <c r="A1251" s="0" t="str">
        <f aca="false">IF(COMPRAS!K51="","",COMPRAS!K51)</f>
        <v/>
      </c>
      <c r="B1251" s="0" t="str">
        <f aca="false">IF(A1251="","",IF(MATCH(A1251,$A$2:$A$3201,0)=ROW()-1,1,0))</f>
        <v/>
      </c>
      <c r="C1251" s="0" t="str">
        <f aca="false">IF(B1251=1,MAX(C$1:C1250)+1,"")</f>
        <v/>
      </c>
    </row>
    <row r="1252" customFormat="false" ht="15" hidden="false" customHeight="false" outlineLevel="0" collapsed="false">
      <c r="A1252" s="0" t="str">
        <f aca="false">IF(COMPRAS!K52="","",COMPRAS!K52)</f>
        <v/>
      </c>
      <c r="B1252" s="0" t="str">
        <f aca="false">IF(A1252="","",IF(MATCH(A1252,$A$2:$A$3201,0)=ROW()-1,1,0))</f>
        <v/>
      </c>
      <c r="C1252" s="0" t="str">
        <f aca="false">IF(B1252=1,MAX(C$1:C1251)+1,"")</f>
        <v/>
      </c>
    </row>
    <row r="1253" customFormat="false" ht="15" hidden="false" customHeight="false" outlineLevel="0" collapsed="false">
      <c r="A1253" s="0" t="str">
        <f aca="false">IF(COMPRAS!K53="","",COMPRAS!K53)</f>
        <v/>
      </c>
      <c r="B1253" s="0" t="str">
        <f aca="false">IF(A1253="","",IF(MATCH(A1253,$A$2:$A$3201,0)=ROW()-1,1,0))</f>
        <v/>
      </c>
      <c r="C1253" s="0" t="str">
        <f aca="false">IF(B1253=1,MAX(C$1:C1252)+1,"")</f>
        <v/>
      </c>
    </row>
    <row r="1254" customFormat="false" ht="15" hidden="false" customHeight="false" outlineLevel="0" collapsed="false">
      <c r="A1254" s="0" t="str">
        <f aca="false">IF(COMPRAS!K54="","",COMPRAS!K54)</f>
        <v/>
      </c>
      <c r="B1254" s="0" t="str">
        <f aca="false">IF(A1254="","",IF(MATCH(A1254,$A$2:$A$3201,0)=ROW()-1,1,0))</f>
        <v/>
      </c>
      <c r="C1254" s="0" t="str">
        <f aca="false">IF(B1254=1,MAX(C$1:C1253)+1,"")</f>
        <v/>
      </c>
    </row>
    <row r="1255" customFormat="false" ht="15" hidden="false" customHeight="false" outlineLevel="0" collapsed="false">
      <c r="A1255" s="0" t="str">
        <f aca="false">IF(COMPRAS!K55="","",COMPRAS!K55)</f>
        <v/>
      </c>
      <c r="B1255" s="0" t="str">
        <f aca="false">IF(A1255="","",IF(MATCH(A1255,$A$2:$A$3201,0)=ROW()-1,1,0))</f>
        <v/>
      </c>
      <c r="C1255" s="0" t="str">
        <f aca="false">IF(B1255=1,MAX(C$1:C1254)+1,"")</f>
        <v/>
      </c>
    </row>
    <row r="1256" customFormat="false" ht="15" hidden="false" customHeight="false" outlineLevel="0" collapsed="false">
      <c r="A1256" s="0" t="str">
        <f aca="false">IF(COMPRAS!K56="","",COMPRAS!K56)</f>
        <v/>
      </c>
      <c r="B1256" s="0" t="str">
        <f aca="false">IF(A1256="","",IF(MATCH(A1256,$A$2:$A$3201,0)=ROW()-1,1,0))</f>
        <v/>
      </c>
      <c r="C1256" s="0" t="str">
        <f aca="false">IF(B1256=1,MAX(C$1:C1255)+1,"")</f>
        <v/>
      </c>
    </row>
    <row r="1257" customFormat="false" ht="15" hidden="false" customHeight="false" outlineLevel="0" collapsed="false">
      <c r="A1257" s="0" t="str">
        <f aca="false">IF(COMPRAS!K57="","",COMPRAS!K57)</f>
        <v/>
      </c>
      <c r="B1257" s="0" t="str">
        <f aca="false">IF(A1257="","",IF(MATCH(A1257,$A$2:$A$3201,0)=ROW()-1,1,0))</f>
        <v/>
      </c>
      <c r="C1257" s="0" t="str">
        <f aca="false">IF(B1257=1,MAX(C$1:C1256)+1,"")</f>
        <v/>
      </c>
    </row>
    <row r="1258" customFormat="false" ht="15" hidden="false" customHeight="false" outlineLevel="0" collapsed="false">
      <c r="A1258" s="0" t="str">
        <f aca="false">IF(COMPRAS!K58="","",COMPRAS!K58)</f>
        <v/>
      </c>
      <c r="B1258" s="0" t="str">
        <f aca="false">IF(A1258="","",IF(MATCH(A1258,$A$2:$A$3201,0)=ROW()-1,1,0))</f>
        <v/>
      </c>
      <c r="C1258" s="0" t="str">
        <f aca="false">IF(B1258=1,MAX(C$1:C1257)+1,"")</f>
        <v/>
      </c>
    </row>
    <row r="1259" customFormat="false" ht="15" hidden="false" customHeight="false" outlineLevel="0" collapsed="false">
      <c r="A1259" s="0" t="str">
        <f aca="false">IF(COMPRAS!K59="","",COMPRAS!K59)</f>
        <v/>
      </c>
      <c r="B1259" s="0" t="str">
        <f aca="false">IF(A1259="","",IF(MATCH(A1259,$A$2:$A$3201,0)=ROW()-1,1,0))</f>
        <v/>
      </c>
      <c r="C1259" s="0" t="str">
        <f aca="false">IF(B1259=1,MAX(C$1:C1258)+1,"")</f>
        <v/>
      </c>
    </row>
    <row r="1260" customFormat="false" ht="15" hidden="false" customHeight="false" outlineLevel="0" collapsed="false">
      <c r="A1260" s="0" t="str">
        <f aca="false">IF(COMPRAS!K60="","",COMPRAS!K60)</f>
        <v/>
      </c>
      <c r="B1260" s="0" t="str">
        <f aca="false">IF(A1260="","",IF(MATCH(A1260,$A$2:$A$3201,0)=ROW()-1,1,0))</f>
        <v/>
      </c>
      <c r="C1260" s="0" t="str">
        <f aca="false">IF(B1260=1,MAX(C$1:C1259)+1,"")</f>
        <v/>
      </c>
    </row>
    <row r="1261" customFormat="false" ht="15" hidden="false" customHeight="false" outlineLevel="0" collapsed="false">
      <c r="A1261" s="0" t="str">
        <f aca="false">IF(COMPRAS!K61="","",COMPRAS!K61)</f>
        <v/>
      </c>
      <c r="B1261" s="0" t="str">
        <f aca="false">IF(A1261="","",IF(MATCH(A1261,$A$2:$A$3201,0)=ROW()-1,1,0))</f>
        <v/>
      </c>
      <c r="C1261" s="0" t="str">
        <f aca="false">IF(B1261=1,MAX(C$1:C1260)+1,"")</f>
        <v/>
      </c>
    </row>
    <row r="1262" customFormat="false" ht="15" hidden="false" customHeight="false" outlineLevel="0" collapsed="false">
      <c r="A1262" s="0" t="str">
        <f aca="false">IF(COMPRAS!K62="","",COMPRAS!K62)</f>
        <v/>
      </c>
      <c r="B1262" s="0" t="str">
        <f aca="false">IF(A1262="","",IF(MATCH(A1262,$A$2:$A$3201,0)=ROW()-1,1,0))</f>
        <v/>
      </c>
      <c r="C1262" s="0" t="str">
        <f aca="false">IF(B1262=1,MAX(C$1:C1261)+1,"")</f>
        <v/>
      </c>
    </row>
    <row r="1263" customFormat="false" ht="15" hidden="false" customHeight="false" outlineLevel="0" collapsed="false">
      <c r="A1263" s="0" t="str">
        <f aca="false">IF(COMPRAS!K63="","",COMPRAS!K63)</f>
        <v/>
      </c>
      <c r="B1263" s="0" t="str">
        <f aca="false">IF(A1263="","",IF(MATCH(A1263,$A$2:$A$3201,0)=ROW()-1,1,0))</f>
        <v/>
      </c>
      <c r="C1263" s="0" t="str">
        <f aca="false">IF(B1263=1,MAX(C$1:C1262)+1,"")</f>
        <v/>
      </c>
    </row>
    <row r="1264" customFormat="false" ht="15" hidden="false" customHeight="false" outlineLevel="0" collapsed="false">
      <c r="A1264" s="0" t="str">
        <f aca="false">IF(COMPRAS!K64="","",COMPRAS!K64)</f>
        <v/>
      </c>
      <c r="B1264" s="0" t="str">
        <f aca="false">IF(A1264="","",IF(MATCH(A1264,$A$2:$A$3201,0)=ROW()-1,1,0))</f>
        <v/>
      </c>
      <c r="C1264" s="0" t="str">
        <f aca="false">IF(B1264=1,MAX(C$1:C1263)+1,"")</f>
        <v/>
      </c>
    </row>
    <row r="1265" customFormat="false" ht="15" hidden="false" customHeight="false" outlineLevel="0" collapsed="false">
      <c r="A1265" s="0" t="str">
        <f aca="false">IF(COMPRAS!K65="","",COMPRAS!K65)</f>
        <v/>
      </c>
      <c r="B1265" s="0" t="str">
        <f aca="false">IF(A1265="","",IF(MATCH(A1265,$A$2:$A$3201,0)=ROW()-1,1,0))</f>
        <v/>
      </c>
      <c r="C1265" s="0" t="str">
        <f aca="false">IF(B1265=1,MAX(C$1:C1264)+1,"")</f>
        <v/>
      </c>
    </row>
    <row r="1266" customFormat="false" ht="15" hidden="false" customHeight="false" outlineLevel="0" collapsed="false">
      <c r="A1266" s="0" t="str">
        <f aca="false">IF(COMPRAS!K66="","",COMPRAS!K66)</f>
        <v/>
      </c>
      <c r="B1266" s="0" t="str">
        <f aca="false">IF(A1266="","",IF(MATCH(A1266,$A$2:$A$3201,0)=ROW()-1,1,0))</f>
        <v/>
      </c>
      <c r="C1266" s="0" t="str">
        <f aca="false">IF(B1266=1,MAX(C$1:C1265)+1,"")</f>
        <v/>
      </c>
    </row>
    <row r="1267" customFormat="false" ht="15" hidden="false" customHeight="false" outlineLevel="0" collapsed="false">
      <c r="A1267" s="0" t="str">
        <f aca="false">IF(COMPRAS!K67="","",COMPRAS!K67)</f>
        <v/>
      </c>
      <c r="B1267" s="0" t="str">
        <f aca="false">IF(A1267="","",IF(MATCH(A1267,$A$2:$A$3201,0)=ROW()-1,1,0))</f>
        <v/>
      </c>
      <c r="C1267" s="0" t="str">
        <f aca="false">IF(B1267=1,MAX(C$1:C1266)+1,"")</f>
        <v/>
      </c>
    </row>
    <row r="1268" customFormat="false" ht="15" hidden="false" customHeight="false" outlineLevel="0" collapsed="false">
      <c r="A1268" s="0" t="str">
        <f aca="false">IF(COMPRAS!K68="","",COMPRAS!K68)</f>
        <v/>
      </c>
      <c r="B1268" s="0" t="str">
        <f aca="false">IF(A1268="","",IF(MATCH(A1268,$A$2:$A$3201,0)=ROW()-1,1,0))</f>
        <v/>
      </c>
      <c r="C1268" s="0" t="str">
        <f aca="false">IF(B1268=1,MAX(C$1:C1267)+1,"")</f>
        <v/>
      </c>
    </row>
    <row r="1269" customFormat="false" ht="15" hidden="false" customHeight="false" outlineLevel="0" collapsed="false">
      <c r="A1269" s="0" t="str">
        <f aca="false">IF(COMPRAS!K69="","",COMPRAS!K69)</f>
        <v/>
      </c>
      <c r="B1269" s="0" t="str">
        <f aca="false">IF(A1269="","",IF(MATCH(A1269,$A$2:$A$3201,0)=ROW()-1,1,0))</f>
        <v/>
      </c>
      <c r="C1269" s="0" t="str">
        <f aca="false">IF(B1269=1,MAX(C$1:C1268)+1,"")</f>
        <v/>
      </c>
    </row>
    <row r="1270" customFormat="false" ht="15" hidden="false" customHeight="false" outlineLevel="0" collapsed="false">
      <c r="A1270" s="0" t="str">
        <f aca="false">IF(COMPRAS!K70="","",COMPRAS!K70)</f>
        <v/>
      </c>
      <c r="B1270" s="0" t="str">
        <f aca="false">IF(A1270="","",IF(MATCH(A1270,$A$2:$A$3201,0)=ROW()-1,1,0))</f>
        <v/>
      </c>
      <c r="C1270" s="0" t="str">
        <f aca="false">IF(B1270=1,MAX(C$1:C1269)+1,"")</f>
        <v/>
      </c>
    </row>
    <row r="1271" customFormat="false" ht="15" hidden="false" customHeight="false" outlineLevel="0" collapsed="false">
      <c r="A1271" s="0" t="str">
        <f aca="false">IF(COMPRAS!K71="","",COMPRAS!K71)</f>
        <v/>
      </c>
      <c r="B1271" s="0" t="str">
        <f aca="false">IF(A1271="","",IF(MATCH(A1271,$A$2:$A$3201,0)=ROW()-1,1,0))</f>
        <v/>
      </c>
      <c r="C1271" s="0" t="str">
        <f aca="false">IF(B1271=1,MAX(C$1:C1270)+1,"")</f>
        <v/>
      </c>
    </row>
    <row r="1272" customFormat="false" ht="15" hidden="false" customHeight="false" outlineLevel="0" collapsed="false">
      <c r="A1272" s="0" t="str">
        <f aca="false">IF(COMPRAS!K72="","",COMPRAS!K72)</f>
        <v/>
      </c>
      <c r="B1272" s="0" t="str">
        <f aca="false">IF(A1272="","",IF(MATCH(A1272,$A$2:$A$3201,0)=ROW()-1,1,0))</f>
        <v/>
      </c>
      <c r="C1272" s="0" t="str">
        <f aca="false">IF(B1272=1,MAX(C$1:C1271)+1,"")</f>
        <v/>
      </c>
    </row>
    <row r="1273" customFormat="false" ht="15" hidden="false" customHeight="false" outlineLevel="0" collapsed="false">
      <c r="A1273" s="0" t="str">
        <f aca="false">IF(COMPRAS!K73="","",COMPRAS!K73)</f>
        <v/>
      </c>
      <c r="B1273" s="0" t="str">
        <f aca="false">IF(A1273="","",IF(MATCH(A1273,$A$2:$A$3201,0)=ROW()-1,1,0))</f>
        <v/>
      </c>
      <c r="C1273" s="0" t="str">
        <f aca="false">IF(B1273=1,MAX(C$1:C1272)+1,"")</f>
        <v/>
      </c>
    </row>
    <row r="1274" customFormat="false" ht="15" hidden="false" customHeight="false" outlineLevel="0" collapsed="false">
      <c r="A1274" s="0" t="str">
        <f aca="false">IF(COMPRAS!K74="","",COMPRAS!K74)</f>
        <v/>
      </c>
      <c r="B1274" s="0" t="str">
        <f aca="false">IF(A1274="","",IF(MATCH(A1274,$A$2:$A$3201,0)=ROW()-1,1,0))</f>
        <v/>
      </c>
      <c r="C1274" s="0" t="str">
        <f aca="false">IF(B1274=1,MAX(C$1:C1273)+1,"")</f>
        <v/>
      </c>
    </row>
    <row r="1275" customFormat="false" ht="15" hidden="false" customHeight="false" outlineLevel="0" collapsed="false">
      <c r="A1275" s="0" t="str">
        <f aca="false">IF(COMPRAS!K75="","",COMPRAS!K75)</f>
        <v/>
      </c>
      <c r="B1275" s="0" t="str">
        <f aca="false">IF(A1275="","",IF(MATCH(A1275,$A$2:$A$3201,0)=ROW()-1,1,0))</f>
        <v/>
      </c>
      <c r="C1275" s="0" t="str">
        <f aca="false">IF(B1275=1,MAX(C$1:C1274)+1,"")</f>
        <v/>
      </c>
    </row>
    <row r="1276" customFormat="false" ht="15" hidden="false" customHeight="false" outlineLevel="0" collapsed="false">
      <c r="A1276" s="0" t="str">
        <f aca="false">IF(COMPRAS!K76="","",COMPRAS!K76)</f>
        <v/>
      </c>
      <c r="B1276" s="0" t="str">
        <f aca="false">IF(A1276="","",IF(MATCH(A1276,$A$2:$A$3201,0)=ROW()-1,1,0))</f>
        <v/>
      </c>
      <c r="C1276" s="0" t="str">
        <f aca="false">IF(B1276=1,MAX(C$1:C1275)+1,"")</f>
        <v/>
      </c>
    </row>
    <row r="1277" customFormat="false" ht="15" hidden="false" customHeight="false" outlineLevel="0" collapsed="false">
      <c r="A1277" s="0" t="str">
        <f aca="false">IF(COMPRAS!K77="","",COMPRAS!K77)</f>
        <v/>
      </c>
      <c r="B1277" s="0" t="str">
        <f aca="false">IF(A1277="","",IF(MATCH(A1277,$A$2:$A$3201,0)=ROW()-1,1,0))</f>
        <v/>
      </c>
      <c r="C1277" s="0" t="str">
        <f aca="false">IF(B1277=1,MAX(C$1:C1276)+1,"")</f>
        <v/>
      </c>
    </row>
    <row r="1278" customFormat="false" ht="15" hidden="false" customHeight="false" outlineLevel="0" collapsed="false">
      <c r="A1278" s="0" t="str">
        <f aca="false">IF(COMPRAS!K78="","",COMPRAS!K78)</f>
        <v/>
      </c>
      <c r="B1278" s="0" t="str">
        <f aca="false">IF(A1278="","",IF(MATCH(A1278,$A$2:$A$3201,0)=ROW()-1,1,0))</f>
        <v/>
      </c>
      <c r="C1278" s="0" t="str">
        <f aca="false">IF(B1278=1,MAX(C$1:C1277)+1,"")</f>
        <v/>
      </c>
    </row>
    <row r="1279" customFormat="false" ht="15" hidden="false" customHeight="false" outlineLevel="0" collapsed="false">
      <c r="A1279" s="0" t="str">
        <f aca="false">IF(COMPRAS!K79="","",COMPRAS!K79)</f>
        <v/>
      </c>
      <c r="B1279" s="0" t="str">
        <f aca="false">IF(A1279="","",IF(MATCH(A1279,$A$2:$A$3201,0)=ROW()-1,1,0))</f>
        <v/>
      </c>
      <c r="C1279" s="0" t="str">
        <f aca="false">IF(B1279=1,MAX(C$1:C1278)+1,"")</f>
        <v/>
      </c>
    </row>
    <row r="1280" customFormat="false" ht="15" hidden="false" customHeight="false" outlineLevel="0" collapsed="false">
      <c r="A1280" s="0" t="str">
        <f aca="false">IF(COMPRAS!K80="","",COMPRAS!K80)</f>
        <v/>
      </c>
      <c r="B1280" s="0" t="str">
        <f aca="false">IF(A1280="","",IF(MATCH(A1280,$A$2:$A$3201,0)=ROW()-1,1,0))</f>
        <v/>
      </c>
      <c r="C1280" s="0" t="str">
        <f aca="false">IF(B1280=1,MAX(C$1:C1279)+1,"")</f>
        <v/>
      </c>
    </row>
    <row r="1281" customFormat="false" ht="15" hidden="false" customHeight="false" outlineLevel="0" collapsed="false">
      <c r="A1281" s="0" t="str">
        <f aca="false">IF(COMPRAS!K81="","",COMPRAS!K81)</f>
        <v/>
      </c>
      <c r="B1281" s="0" t="str">
        <f aca="false">IF(A1281="","",IF(MATCH(A1281,$A$2:$A$3201,0)=ROW()-1,1,0))</f>
        <v/>
      </c>
      <c r="C1281" s="0" t="str">
        <f aca="false">IF(B1281=1,MAX(C$1:C1280)+1,"")</f>
        <v/>
      </c>
    </row>
    <row r="1282" customFormat="false" ht="15" hidden="false" customHeight="false" outlineLevel="0" collapsed="false">
      <c r="A1282" s="0" t="str">
        <f aca="false">IF(COMPRAS!K82="","",COMPRAS!K82)</f>
        <v/>
      </c>
      <c r="B1282" s="0" t="str">
        <f aca="false">IF(A1282="","",IF(MATCH(A1282,$A$2:$A$3201,0)=ROW()-1,1,0))</f>
        <v/>
      </c>
      <c r="C1282" s="0" t="str">
        <f aca="false">IF(B1282=1,MAX(C$1:C1281)+1,"")</f>
        <v/>
      </c>
    </row>
    <row r="1283" customFormat="false" ht="15" hidden="false" customHeight="false" outlineLevel="0" collapsed="false">
      <c r="A1283" s="0" t="str">
        <f aca="false">IF(COMPRAS!K83="","",COMPRAS!K83)</f>
        <v/>
      </c>
      <c r="B1283" s="0" t="str">
        <f aca="false">IF(A1283="","",IF(MATCH(A1283,$A$2:$A$3201,0)=ROW()-1,1,0))</f>
        <v/>
      </c>
      <c r="C1283" s="0" t="str">
        <f aca="false">IF(B1283=1,MAX(C$1:C1282)+1,"")</f>
        <v/>
      </c>
    </row>
    <row r="1284" customFormat="false" ht="15" hidden="false" customHeight="false" outlineLevel="0" collapsed="false">
      <c r="A1284" s="0" t="str">
        <f aca="false">IF(COMPRAS!K84="","",COMPRAS!K84)</f>
        <v/>
      </c>
      <c r="B1284" s="0" t="str">
        <f aca="false">IF(A1284="","",IF(MATCH(A1284,$A$2:$A$3201,0)=ROW()-1,1,0))</f>
        <v/>
      </c>
      <c r="C1284" s="0" t="str">
        <f aca="false">IF(B1284=1,MAX(C$1:C1283)+1,"")</f>
        <v/>
      </c>
    </row>
    <row r="1285" customFormat="false" ht="15" hidden="false" customHeight="false" outlineLevel="0" collapsed="false">
      <c r="A1285" s="0" t="str">
        <f aca="false">IF(COMPRAS!K85="","",COMPRAS!K85)</f>
        <v/>
      </c>
      <c r="B1285" s="0" t="str">
        <f aca="false">IF(A1285="","",IF(MATCH(A1285,$A$2:$A$3201,0)=ROW()-1,1,0))</f>
        <v/>
      </c>
      <c r="C1285" s="0" t="str">
        <f aca="false">IF(B1285=1,MAX(C$1:C1284)+1,"")</f>
        <v/>
      </c>
    </row>
    <row r="1286" customFormat="false" ht="15" hidden="false" customHeight="false" outlineLevel="0" collapsed="false">
      <c r="A1286" s="0" t="str">
        <f aca="false">IF(COMPRAS!K86="","",COMPRAS!K86)</f>
        <v/>
      </c>
      <c r="B1286" s="0" t="str">
        <f aca="false">IF(A1286="","",IF(MATCH(A1286,$A$2:$A$3201,0)=ROW()-1,1,0))</f>
        <v/>
      </c>
      <c r="C1286" s="0" t="str">
        <f aca="false">IF(B1286=1,MAX(C$1:C1285)+1,"")</f>
        <v/>
      </c>
    </row>
    <row r="1287" customFormat="false" ht="15" hidden="false" customHeight="false" outlineLevel="0" collapsed="false">
      <c r="A1287" s="0" t="str">
        <f aca="false">IF(COMPRAS!K87="","",COMPRAS!K87)</f>
        <v/>
      </c>
      <c r="B1287" s="0" t="str">
        <f aca="false">IF(A1287="","",IF(MATCH(A1287,$A$2:$A$3201,0)=ROW()-1,1,0))</f>
        <v/>
      </c>
      <c r="C1287" s="0" t="str">
        <f aca="false">IF(B1287=1,MAX(C$1:C1286)+1,"")</f>
        <v/>
      </c>
    </row>
    <row r="1288" customFormat="false" ht="15" hidden="false" customHeight="false" outlineLevel="0" collapsed="false">
      <c r="A1288" s="0" t="str">
        <f aca="false">IF(COMPRAS!K88="","",COMPRAS!K88)</f>
        <v/>
      </c>
      <c r="B1288" s="0" t="str">
        <f aca="false">IF(A1288="","",IF(MATCH(A1288,$A$2:$A$3201,0)=ROW()-1,1,0))</f>
        <v/>
      </c>
      <c r="C1288" s="0" t="str">
        <f aca="false">IF(B1288=1,MAX(C$1:C1287)+1,"")</f>
        <v/>
      </c>
    </row>
    <row r="1289" customFormat="false" ht="15" hidden="false" customHeight="false" outlineLevel="0" collapsed="false">
      <c r="A1289" s="0" t="str">
        <f aca="false">IF(COMPRAS!K89="","",COMPRAS!K89)</f>
        <v/>
      </c>
      <c r="B1289" s="0" t="str">
        <f aca="false">IF(A1289="","",IF(MATCH(A1289,$A$2:$A$3201,0)=ROW()-1,1,0))</f>
        <v/>
      </c>
      <c r="C1289" s="0" t="str">
        <f aca="false">IF(B1289=1,MAX(C$1:C1288)+1,"")</f>
        <v/>
      </c>
    </row>
    <row r="1290" customFormat="false" ht="15" hidden="false" customHeight="false" outlineLevel="0" collapsed="false">
      <c r="A1290" s="0" t="str">
        <f aca="false">IF(COMPRAS!K90="","",COMPRAS!K90)</f>
        <v/>
      </c>
      <c r="B1290" s="0" t="str">
        <f aca="false">IF(A1290="","",IF(MATCH(A1290,$A$2:$A$3201,0)=ROW()-1,1,0))</f>
        <v/>
      </c>
      <c r="C1290" s="0" t="str">
        <f aca="false">IF(B1290=1,MAX(C$1:C1289)+1,"")</f>
        <v/>
      </c>
    </row>
    <row r="1291" customFormat="false" ht="15" hidden="false" customHeight="false" outlineLevel="0" collapsed="false">
      <c r="A1291" s="0" t="str">
        <f aca="false">IF(COMPRAS!K91="","",COMPRAS!K91)</f>
        <v/>
      </c>
      <c r="B1291" s="0" t="str">
        <f aca="false">IF(A1291="","",IF(MATCH(A1291,$A$2:$A$3201,0)=ROW()-1,1,0))</f>
        <v/>
      </c>
      <c r="C1291" s="0" t="str">
        <f aca="false">IF(B1291=1,MAX(C$1:C1290)+1,"")</f>
        <v/>
      </c>
    </row>
    <row r="1292" customFormat="false" ht="15" hidden="false" customHeight="false" outlineLevel="0" collapsed="false">
      <c r="A1292" s="0" t="str">
        <f aca="false">IF(COMPRAS!K92="","",COMPRAS!K92)</f>
        <v/>
      </c>
      <c r="B1292" s="0" t="str">
        <f aca="false">IF(A1292="","",IF(MATCH(A1292,$A$2:$A$3201,0)=ROW()-1,1,0))</f>
        <v/>
      </c>
      <c r="C1292" s="0" t="str">
        <f aca="false">IF(B1292=1,MAX(C$1:C1291)+1,"")</f>
        <v/>
      </c>
    </row>
    <row r="1293" customFormat="false" ht="15" hidden="false" customHeight="false" outlineLevel="0" collapsed="false">
      <c r="A1293" s="0" t="str">
        <f aca="false">IF(COMPRAS!K93="","",COMPRAS!K93)</f>
        <v/>
      </c>
      <c r="B1293" s="0" t="str">
        <f aca="false">IF(A1293="","",IF(MATCH(A1293,$A$2:$A$3201,0)=ROW()-1,1,0))</f>
        <v/>
      </c>
      <c r="C1293" s="0" t="str">
        <f aca="false">IF(B1293=1,MAX(C$1:C1292)+1,"")</f>
        <v/>
      </c>
    </row>
    <row r="1294" customFormat="false" ht="15" hidden="false" customHeight="false" outlineLevel="0" collapsed="false">
      <c r="A1294" s="0" t="str">
        <f aca="false">IF(COMPRAS!K94="","",COMPRAS!K94)</f>
        <v/>
      </c>
      <c r="B1294" s="0" t="str">
        <f aca="false">IF(A1294="","",IF(MATCH(A1294,$A$2:$A$3201,0)=ROW()-1,1,0))</f>
        <v/>
      </c>
      <c r="C1294" s="0" t="str">
        <f aca="false">IF(B1294=1,MAX(C$1:C1293)+1,"")</f>
        <v/>
      </c>
    </row>
    <row r="1295" customFormat="false" ht="15" hidden="false" customHeight="false" outlineLevel="0" collapsed="false">
      <c r="A1295" s="0" t="str">
        <f aca="false">IF(COMPRAS!K95="","",COMPRAS!K95)</f>
        <v/>
      </c>
      <c r="B1295" s="0" t="str">
        <f aca="false">IF(A1295="","",IF(MATCH(A1295,$A$2:$A$3201,0)=ROW()-1,1,0))</f>
        <v/>
      </c>
      <c r="C1295" s="0" t="str">
        <f aca="false">IF(B1295=1,MAX(C$1:C1294)+1,"")</f>
        <v/>
      </c>
    </row>
    <row r="1296" customFormat="false" ht="15" hidden="false" customHeight="false" outlineLevel="0" collapsed="false">
      <c r="A1296" s="0" t="str">
        <f aca="false">IF(COMPRAS!K96="","",COMPRAS!K96)</f>
        <v/>
      </c>
      <c r="B1296" s="0" t="str">
        <f aca="false">IF(A1296="","",IF(MATCH(A1296,$A$2:$A$3201,0)=ROW()-1,1,0))</f>
        <v/>
      </c>
      <c r="C1296" s="0" t="str">
        <f aca="false">IF(B1296=1,MAX(C$1:C1295)+1,"")</f>
        <v/>
      </c>
    </row>
    <row r="1297" customFormat="false" ht="15" hidden="false" customHeight="false" outlineLevel="0" collapsed="false">
      <c r="A1297" s="0" t="str">
        <f aca="false">IF(COMPRAS!K97="","",COMPRAS!K97)</f>
        <v/>
      </c>
      <c r="B1297" s="0" t="str">
        <f aca="false">IF(A1297="","",IF(MATCH(A1297,$A$2:$A$3201,0)=ROW()-1,1,0))</f>
        <v/>
      </c>
      <c r="C1297" s="0" t="str">
        <f aca="false">IF(B1297=1,MAX(C$1:C1296)+1,"")</f>
        <v/>
      </c>
    </row>
    <row r="1298" customFormat="false" ht="15" hidden="false" customHeight="false" outlineLevel="0" collapsed="false">
      <c r="A1298" s="0" t="str">
        <f aca="false">IF(COMPRAS!K98="","",COMPRAS!K98)</f>
        <v/>
      </c>
      <c r="B1298" s="0" t="str">
        <f aca="false">IF(A1298="","",IF(MATCH(A1298,$A$2:$A$3201,0)=ROW()-1,1,0))</f>
        <v/>
      </c>
      <c r="C1298" s="0" t="str">
        <f aca="false">IF(B1298=1,MAX(C$1:C1297)+1,"")</f>
        <v/>
      </c>
    </row>
    <row r="1299" customFormat="false" ht="15" hidden="false" customHeight="false" outlineLevel="0" collapsed="false">
      <c r="A1299" s="0" t="str">
        <f aca="false">IF(COMPRAS!K99="","",COMPRAS!K99)</f>
        <v/>
      </c>
      <c r="B1299" s="0" t="str">
        <f aca="false">IF(A1299="","",IF(MATCH(A1299,$A$2:$A$3201,0)=ROW()-1,1,0))</f>
        <v/>
      </c>
      <c r="C1299" s="0" t="str">
        <f aca="false">IF(B1299=1,MAX(C$1:C1298)+1,"")</f>
        <v/>
      </c>
    </row>
    <row r="1300" customFormat="false" ht="15" hidden="false" customHeight="false" outlineLevel="0" collapsed="false">
      <c r="A1300" s="0" t="str">
        <f aca="false">IF(COMPRAS!K100="","",COMPRAS!K100)</f>
        <v/>
      </c>
      <c r="B1300" s="0" t="str">
        <f aca="false">IF(A1300="","",IF(MATCH(A1300,$A$2:$A$3201,0)=ROW()-1,1,0))</f>
        <v/>
      </c>
      <c r="C1300" s="0" t="str">
        <f aca="false">IF(B1300=1,MAX(C$1:C1299)+1,"")</f>
        <v/>
      </c>
    </row>
    <row r="1301" customFormat="false" ht="15" hidden="false" customHeight="false" outlineLevel="0" collapsed="false">
      <c r="A1301" s="0" t="str">
        <f aca="false">IF(COMPRAS!K101="","",COMPRAS!K101)</f>
        <v/>
      </c>
      <c r="B1301" s="0" t="str">
        <f aca="false">IF(A1301="","",IF(MATCH(A1301,$A$2:$A$3201,0)=ROW()-1,1,0))</f>
        <v/>
      </c>
      <c r="C1301" s="0" t="str">
        <f aca="false">IF(B1301=1,MAX(C$1:C1300)+1,"")</f>
        <v/>
      </c>
    </row>
    <row r="1302" customFormat="false" ht="15" hidden="false" customHeight="false" outlineLevel="0" collapsed="false">
      <c r="A1302" s="0" t="str">
        <f aca="false">IF(COMPRAS!K102="","",COMPRAS!K102)</f>
        <v/>
      </c>
      <c r="B1302" s="0" t="str">
        <f aca="false">IF(A1302="","",IF(MATCH(A1302,$A$2:$A$3201,0)=ROW()-1,1,0))</f>
        <v/>
      </c>
      <c r="C1302" s="0" t="str">
        <f aca="false">IF(B1302=1,MAX(C$1:C1301)+1,"")</f>
        <v/>
      </c>
    </row>
    <row r="1303" customFormat="false" ht="15" hidden="false" customHeight="false" outlineLevel="0" collapsed="false">
      <c r="A1303" s="0" t="str">
        <f aca="false">IF(COMPRAS!K103="","",COMPRAS!K103)</f>
        <v/>
      </c>
      <c r="B1303" s="0" t="str">
        <f aca="false">IF(A1303="","",IF(MATCH(A1303,$A$2:$A$3201,0)=ROW()-1,1,0))</f>
        <v/>
      </c>
      <c r="C1303" s="0" t="str">
        <f aca="false">IF(B1303=1,MAX(C$1:C1302)+1,"")</f>
        <v/>
      </c>
    </row>
    <row r="1304" customFormat="false" ht="15" hidden="false" customHeight="false" outlineLevel="0" collapsed="false">
      <c r="A1304" s="0" t="str">
        <f aca="false">IF(COMPRAS!K104="","",COMPRAS!K104)</f>
        <v/>
      </c>
      <c r="B1304" s="0" t="str">
        <f aca="false">IF(A1304="","",IF(MATCH(A1304,$A$2:$A$3201,0)=ROW()-1,1,0))</f>
        <v/>
      </c>
      <c r="C1304" s="0" t="str">
        <f aca="false">IF(B1304=1,MAX(C$1:C1303)+1,"")</f>
        <v/>
      </c>
    </row>
    <row r="1305" customFormat="false" ht="15" hidden="false" customHeight="false" outlineLevel="0" collapsed="false">
      <c r="A1305" s="0" t="str">
        <f aca="false">IF(COMPRAS!K105="","",COMPRAS!K105)</f>
        <v/>
      </c>
      <c r="B1305" s="0" t="str">
        <f aca="false">IF(A1305="","",IF(MATCH(A1305,$A$2:$A$3201,0)=ROW()-1,1,0))</f>
        <v/>
      </c>
      <c r="C1305" s="0" t="str">
        <f aca="false">IF(B1305=1,MAX(C$1:C1304)+1,"")</f>
        <v/>
      </c>
    </row>
    <row r="1306" customFormat="false" ht="15" hidden="false" customHeight="false" outlineLevel="0" collapsed="false">
      <c r="A1306" s="0" t="str">
        <f aca="false">IF(COMPRAS!K106="","",COMPRAS!K106)</f>
        <v/>
      </c>
      <c r="B1306" s="0" t="str">
        <f aca="false">IF(A1306="","",IF(MATCH(A1306,$A$2:$A$3201,0)=ROW()-1,1,0))</f>
        <v/>
      </c>
      <c r="C1306" s="0" t="str">
        <f aca="false">IF(B1306=1,MAX(C$1:C1305)+1,"")</f>
        <v/>
      </c>
    </row>
    <row r="1307" customFormat="false" ht="15" hidden="false" customHeight="false" outlineLevel="0" collapsed="false">
      <c r="A1307" s="0" t="str">
        <f aca="false">IF(COMPRAS!K107="","",COMPRAS!K107)</f>
        <v/>
      </c>
      <c r="B1307" s="0" t="str">
        <f aca="false">IF(A1307="","",IF(MATCH(A1307,$A$2:$A$3201,0)=ROW()-1,1,0))</f>
        <v/>
      </c>
      <c r="C1307" s="0" t="str">
        <f aca="false">IF(B1307=1,MAX(C$1:C1306)+1,"")</f>
        <v/>
      </c>
    </row>
    <row r="1308" customFormat="false" ht="15" hidden="false" customHeight="false" outlineLevel="0" collapsed="false">
      <c r="A1308" s="0" t="str">
        <f aca="false">IF(COMPRAS!K108="","",COMPRAS!K108)</f>
        <v/>
      </c>
      <c r="B1308" s="0" t="str">
        <f aca="false">IF(A1308="","",IF(MATCH(A1308,$A$2:$A$3201,0)=ROW()-1,1,0))</f>
        <v/>
      </c>
      <c r="C1308" s="0" t="str">
        <f aca="false">IF(B1308=1,MAX(C$1:C1307)+1,"")</f>
        <v/>
      </c>
    </row>
    <row r="1309" customFormat="false" ht="15" hidden="false" customHeight="false" outlineLevel="0" collapsed="false">
      <c r="A1309" s="0" t="str">
        <f aca="false">IF(COMPRAS!K109="","",COMPRAS!K109)</f>
        <v/>
      </c>
      <c r="B1309" s="0" t="str">
        <f aca="false">IF(A1309="","",IF(MATCH(A1309,$A$2:$A$3201,0)=ROW()-1,1,0))</f>
        <v/>
      </c>
      <c r="C1309" s="0" t="str">
        <f aca="false">IF(B1309=1,MAX(C$1:C1308)+1,"")</f>
        <v/>
      </c>
    </row>
    <row r="1310" customFormat="false" ht="15" hidden="false" customHeight="false" outlineLevel="0" collapsed="false">
      <c r="A1310" s="0" t="str">
        <f aca="false">IF(COMPRAS!K110="","",COMPRAS!K110)</f>
        <v/>
      </c>
      <c r="B1310" s="0" t="str">
        <f aca="false">IF(A1310="","",IF(MATCH(A1310,$A$2:$A$3201,0)=ROW()-1,1,0))</f>
        <v/>
      </c>
      <c r="C1310" s="0" t="str">
        <f aca="false">IF(B1310=1,MAX(C$1:C1309)+1,"")</f>
        <v/>
      </c>
    </row>
    <row r="1311" customFormat="false" ht="15" hidden="false" customHeight="false" outlineLevel="0" collapsed="false">
      <c r="A1311" s="0" t="str">
        <f aca="false">IF(COMPRAS!K111="","",COMPRAS!K111)</f>
        <v/>
      </c>
      <c r="B1311" s="0" t="str">
        <f aca="false">IF(A1311="","",IF(MATCH(A1311,$A$2:$A$3201,0)=ROW()-1,1,0))</f>
        <v/>
      </c>
      <c r="C1311" s="0" t="str">
        <f aca="false">IF(B1311=1,MAX(C$1:C1310)+1,"")</f>
        <v/>
      </c>
    </row>
    <row r="1312" customFormat="false" ht="15" hidden="false" customHeight="false" outlineLevel="0" collapsed="false">
      <c r="A1312" s="0" t="str">
        <f aca="false">IF(COMPRAS!K112="","",COMPRAS!K112)</f>
        <v/>
      </c>
      <c r="B1312" s="0" t="str">
        <f aca="false">IF(A1312="","",IF(MATCH(A1312,$A$2:$A$3201,0)=ROW()-1,1,0))</f>
        <v/>
      </c>
      <c r="C1312" s="0" t="str">
        <f aca="false">IF(B1312=1,MAX(C$1:C1311)+1,"")</f>
        <v/>
      </c>
    </row>
    <row r="1313" customFormat="false" ht="15" hidden="false" customHeight="false" outlineLevel="0" collapsed="false">
      <c r="A1313" s="0" t="str">
        <f aca="false">IF(COMPRAS!K113="","",COMPRAS!K113)</f>
        <v/>
      </c>
      <c r="B1313" s="0" t="str">
        <f aca="false">IF(A1313="","",IF(MATCH(A1313,$A$2:$A$3201,0)=ROW()-1,1,0))</f>
        <v/>
      </c>
      <c r="C1313" s="0" t="str">
        <f aca="false">IF(B1313=1,MAX(C$1:C1312)+1,"")</f>
        <v/>
      </c>
    </row>
    <row r="1314" customFormat="false" ht="15" hidden="false" customHeight="false" outlineLevel="0" collapsed="false">
      <c r="A1314" s="0" t="str">
        <f aca="false">IF(COMPRAS!K114="","",COMPRAS!K114)</f>
        <v/>
      </c>
      <c r="B1314" s="0" t="str">
        <f aca="false">IF(A1314="","",IF(MATCH(A1314,$A$2:$A$3201,0)=ROW()-1,1,0))</f>
        <v/>
      </c>
      <c r="C1314" s="0" t="str">
        <f aca="false">IF(B1314=1,MAX(C$1:C1313)+1,"")</f>
        <v/>
      </c>
    </row>
    <row r="1315" customFormat="false" ht="15" hidden="false" customHeight="false" outlineLevel="0" collapsed="false">
      <c r="A1315" s="0" t="str">
        <f aca="false">IF(COMPRAS!K115="","",COMPRAS!K115)</f>
        <v/>
      </c>
      <c r="B1315" s="0" t="str">
        <f aca="false">IF(A1315="","",IF(MATCH(A1315,$A$2:$A$3201,0)=ROW()-1,1,0))</f>
        <v/>
      </c>
      <c r="C1315" s="0" t="str">
        <f aca="false">IF(B1315=1,MAX(C$1:C1314)+1,"")</f>
        <v/>
      </c>
    </row>
    <row r="1316" customFormat="false" ht="15" hidden="false" customHeight="false" outlineLevel="0" collapsed="false">
      <c r="A1316" s="0" t="str">
        <f aca="false">IF(COMPRAS!K116="","",COMPRAS!K116)</f>
        <v/>
      </c>
      <c r="B1316" s="0" t="str">
        <f aca="false">IF(A1316="","",IF(MATCH(A1316,$A$2:$A$3201,0)=ROW()-1,1,0))</f>
        <v/>
      </c>
      <c r="C1316" s="0" t="str">
        <f aca="false">IF(B1316=1,MAX(C$1:C1315)+1,"")</f>
        <v/>
      </c>
    </row>
    <row r="1317" customFormat="false" ht="15" hidden="false" customHeight="false" outlineLevel="0" collapsed="false">
      <c r="A1317" s="0" t="str">
        <f aca="false">IF(COMPRAS!K117="","",COMPRAS!K117)</f>
        <v/>
      </c>
      <c r="B1317" s="0" t="str">
        <f aca="false">IF(A1317="","",IF(MATCH(A1317,$A$2:$A$3201,0)=ROW()-1,1,0))</f>
        <v/>
      </c>
      <c r="C1317" s="0" t="str">
        <f aca="false">IF(B1317=1,MAX(C$1:C1316)+1,"")</f>
        <v/>
      </c>
    </row>
    <row r="1318" customFormat="false" ht="15" hidden="false" customHeight="false" outlineLevel="0" collapsed="false">
      <c r="A1318" s="0" t="str">
        <f aca="false">IF(COMPRAS!K118="","",COMPRAS!K118)</f>
        <v/>
      </c>
      <c r="B1318" s="0" t="str">
        <f aca="false">IF(A1318="","",IF(MATCH(A1318,$A$2:$A$3201,0)=ROW()-1,1,0))</f>
        <v/>
      </c>
      <c r="C1318" s="0" t="str">
        <f aca="false">IF(B1318=1,MAX(C$1:C1317)+1,"")</f>
        <v/>
      </c>
    </row>
    <row r="1319" customFormat="false" ht="15" hidden="false" customHeight="false" outlineLevel="0" collapsed="false">
      <c r="A1319" s="0" t="str">
        <f aca="false">IF(COMPRAS!K119="","",COMPRAS!K119)</f>
        <v/>
      </c>
      <c r="B1319" s="0" t="str">
        <f aca="false">IF(A1319="","",IF(MATCH(A1319,$A$2:$A$3201,0)=ROW()-1,1,0))</f>
        <v/>
      </c>
      <c r="C1319" s="0" t="str">
        <f aca="false">IF(B1319=1,MAX(C$1:C1318)+1,"")</f>
        <v/>
      </c>
    </row>
    <row r="1320" customFormat="false" ht="15" hidden="false" customHeight="false" outlineLevel="0" collapsed="false">
      <c r="A1320" s="0" t="str">
        <f aca="false">IF(COMPRAS!K120="","",COMPRAS!K120)</f>
        <v/>
      </c>
      <c r="B1320" s="0" t="str">
        <f aca="false">IF(A1320="","",IF(MATCH(A1320,$A$2:$A$3201,0)=ROW()-1,1,0))</f>
        <v/>
      </c>
      <c r="C1320" s="0" t="str">
        <f aca="false">IF(B1320=1,MAX(C$1:C1319)+1,"")</f>
        <v/>
      </c>
    </row>
    <row r="1321" customFormat="false" ht="15" hidden="false" customHeight="false" outlineLevel="0" collapsed="false">
      <c r="A1321" s="0" t="str">
        <f aca="false">IF(COMPRAS!K121="","",COMPRAS!K121)</f>
        <v/>
      </c>
      <c r="B1321" s="0" t="str">
        <f aca="false">IF(A1321="","",IF(MATCH(A1321,$A$2:$A$3201,0)=ROW()-1,1,0))</f>
        <v/>
      </c>
      <c r="C1321" s="0" t="str">
        <f aca="false">IF(B1321=1,MAX(C$1:C1320)+1,"")</f>
        <v/>
      </c>
    </row>
    <row r="1322" customFormat="false" ht="15" hidden="false" customHeight="false" outlineLevel="0" collapsed="false">
      <c r="A1322" s="0" t="str">
        <f aca="false">IF(COMPRAS!K122="","",COMPRAS!K122)</f>
        <v/>
      </c>
      <c r="B1322" s="0" t="str">
        <f aca="false">IF(A1322="","",IF(MATCH(A1322,$A$2:$A$3201,0)=ROW()-1,1,0))</f>
        <v/>
      </c>
      <c r="C1322" s="0" t="str">
        <f aca="false">IF(B1322=1,MAX(C$1:C1321)+1,"")</f>
        <v/>
      </c>
    </row>
    <row r="1323" customFormat="false" ht="15" hidden="false" customHeight="false" outlineLevel="0" collapsed="false">
      <c r="A1323" s="0" t="str">
        <f aca="false">IF(COMPRAS!K123="","",COMPRAS!K123)</f>
        <v/>
      </c>
      <c r="B1323" s="0" t="str">
        <f aca="false">IF(A1323="","",IF(MATCH(A1323,$A$2:$A$3201,0)=ROW()-1,1,0))</f>
        <v/>
      </c>
      <c r="C1323" s="0" t="str">
        <f aca="false">IF(B1323=1,MAX(C$1:C1322)+1,"")</f>
        <v/>
      </c>
    </row>
    <row r="1324" customFormat="false" ht="15" hidden="false" customHeight="false" outlineLevel="0" collapsed="false">
      <c r="A1324" s="0" t="str">
        <f aca="false">IF(COMPRAS!K124="","",COMPRAS!K124)</f>
        <v/>
      </c>
      <c r="B1324" s="0" t="str">
        <f aca="false">IF(A1324="","",IF(MATCH(A1324,$A$2:$A$3201,0)=ROW()-1,1,0))</f>
        <v/>
      </c>
      <c r="C1324" s="0" t="str">
        <f aca="false">IF(B1324=1,MAX(C$1:C1323)+1,"")</f>
        <v/>
      </c>
    </row>
    <row r="1325" customFormat="false" ht="15" hidden="false" customHeight="false" outlineLevel="0" collapsed="false">
      <c r="A1325" s="0" t="str">
        <f aca="false">IF(COMPRAS!K125="","",COMPRAS!K125)</f>
        <v/>
      </c>
      <c r="B1325" s="0" t="str">
        <f aca="false">IF(A1325="","",IF(MATCH(A1325,$A$2:$A$3201,0)=ROW()-1,1,0))</f>
        <v/>
      </c>
      <c r="C1325" s="0" t="str">
        <f aca="false">IF(B1325=1,MAX(C$1:C1324)+1,"")</f>
        <v/>
      </c>
    </row>
    <row r="1326" customFormat="false" ht="15" hidden="false" customHeight="false" outlineLevel="0" collapsed="false">
      <c r="A1326" s="0" t="str">
        <f aca="false">IF(COMPRAS!K126="","",COMPRAS!K126)</f>
        <v/>
      </c>
      <c r="B1326" s="0" t="str">
        <f aca="false">IF(A1326="","",IF(MATCH(A1326,$A$2:$A$3201,0)=ROW()-1,1,0))</f>
        <v/>
      </c>
      <c r="C1326" s="0" t="str">
        <f aca="false">IF(B1326=1,MAX(C$1:C1325)+1,"")</f>
        <v/>
      </c>
    </row>
    <row r="1327" customFormat="false" ht="15" hidden="false" customHeight="false" outlineLevel="0" collapsed="false">
      <c r="A1327" s="0" t="str">
        <f aca="false">IF(COMPRAS!K127="","",COMPRAS!K127)</f>
        <v/>
      </c>
      <c r="B1327" s="0" t="str">
        <f aca="false">IF(A1327="","",IF(MATCH(A1327,$A$2:$A$3201,0)=ROW()-1,1,0))</f>
        <v/>
      </c>
      <c r="C1327" s="0" t="str">
        <f aca="false">IF(B1327=1,MAX(C$1:C1326)+1,"")</f>
        <v/>
      </c>
    </row>
    <row r="1328" customFormat="false" ht="15" hidden="false" customHeight="false" outlineLevel="0" collapsed="false">
      <c r="A1328" s="0" t="str">
        <f aca="false">IF(COMPRAS!K128="","",COMPRAS!K128)</f>
        <v/>
      </c>
      <c r="B1328" s="0" t="str">
        <f aca="false">IF(A1328="","",IF(MATCH(A1328,$A$2:$A$3201,0)=ROW()-1,1,0))</f>
        <v/>
      </c>
      <c r="C1328" s="0" t="str">
        <f aca="false">IF(B1328=1,MAX(C$1:C1327)+1,"")</f>
        <v/>
      </c>
    </row>
    <row r="1329" customFormat="false" ht="15" hidden="false" customHeight="false" outlineLevel="0" collapsed="false">
      <c r="A1329" s="0" t="str">
        <f aca="false">IF(COMPRAS!K129="","",COMPRAS!K129)</f>
        <v/>
      </c>
      <c r="B1329" s="0" t="str">
        <f aca="false">IF(A1329="","",IF(MATCH(A1329,$A$2:$A$3201,0)=ROW()-1,1,0))</f>
        <v/>
      </c>
      <c r="C1329" s="0" t="str">
        <f aca="false">IF(B1329=1,MAX(C$1:C1328)+1,"")</f>
        <v/>
      </c>
    </row>
    <row r="1330" customFormat="false" ht="15" hidden="false" customHeight="false" outlineLevel="0" collapsed="false">
      <c r="A1330" s="0" t="str">
        <f aca="false">IF(COMPRAS!K130="","",COMPRAS!K130)</f>
        <v/>
      </c>
      <c r="B1330" s="0" t="str">
        <f aca="false">IF(A1330="","",IF(MATCH(A1330,$A$2:$A$3201,0)=ROW()-1,1,0))</f>
        <v/>
      </c>
      <c r="C1330" s="0" t="str">
        <f aca="false">IF(B1330=1,MAX(C$1:C1329)+1,"")</f>
        <v/>
      </c>
    </row>
    <row r="1331" customFormat="false" ht="15" hidden="false" customHeight="false" outlineLevel="0" collapsed="false">
      <c r="A1331" s="0" t="str">
        <f aca="false">IF(COMPRAS!K131="","",COMPRAS!K131)</f>
        <v/>
      </c>
      <c r="B1331" s="0" t="str">
        <f aca="false">IF(A1331="","",IF(MATCH(A1331,$A$2:$A$3201,0)=ROW()-1,1,0))</f>
        <v/>
      </c>
      <c r="C1331" s="0" t="str">
        <f aca="false">IF(B1331=1,MAX(C$1:C1330)+1,"")</f>
        <v/>
      </c>
    </row>
    <row r="1332" customFormat="false" ht="15" hidden="false" customHeight="false" outlineLevel="0" collapsed="false">
      <c r="A1332" s="0" t="str">
        <f aca="false">IF(COMPRAS!K132="","",COMPRAS!K132)</f>
        <v/>
      </c>
      <c r="B1332" s="0" t="str">
        <f aca="false">IF(A1332="","",IF(MATCH(A1332,$A$2:$A$3201,0)=ROW()-1,1,0))</f>
        <v/>
      </c>
      <c r="C1332" s="0" t="str">
        <f aca="false">IF(B1332=1,MAX(C$1:C1331)+1,"")</f>
        <v/>
      </c>
    </row>
    <row r="1333" customFormat="false" ht="15" hidden="false" customHeight="false" outlineLevel="0" collapsed="false">
      <c r="A1333" s="0" t="str">
        <f aca="false">IF(COMPRAS!K133="","",COMPRAS!K133)</f>
        <v/>
      </c>
      <c r="B1333" s="0" t="str">
        <f aca="false">IF(A1333="","",IF(MATCH(A1333,$A$2:$A$3201,0)=ROW()-1,1,0))</f>
        <v/>
      </c>
      <c r="C1333" s="0" t="str">
        <f aca="false">IF(B1333=1,MAX(C$1:C1332)+1,"")</f>
        <v/>
      </c>
    </row>
    <row r="1334" customFormat="false" ht="15" hidden="false" customHeight="false" outlineLevel="0" collapsed="false">
      <c r="A1334" s="0" t="str">
        <f aca="false">IF(COMPRAS!K134="","",COMPRAS!K134)</f>
        <v/>
      </c>
      <c r="B1334" s="0" t="str">
        <f aca="false">IF(A1334="","",IF(MATCH(A1334,$A$2:$A$3201,0)=ROW()-1,1,0))</f>
        <v/>
      </c>
      <c r="C1334" s="0" t="str">
        <f aca="false">IF(B1334=1,MAX(C$1:C1333)+1,"")</f>
        <v/>
      </c>
    </row>
    <row r="1335" customFormat="false" ht="15" hidden="false" customHeight="false" outlineLevel="0" collapsed="false">
      <c r="A1335" s="0" t="str">
        <f aca="false">IF(COMPRAS!K135="","",COMPRAS!K135)</f>
        <v/>
      </c>
      <c r="B1335" s="0" t="str">
        <f aca="false">IF(A1335="","",IF(MATCH(A1335,$A$2:$A$3201,0)=ROW()-1,1,0))</f>
        <v/>
      </c>
      <c r="C1335" s="0" t="str">
        <f aca="false">IF(B1335=1,MAX(C$1:C1334)+1,"")</f>
        <v/>
      </c>
    </row>
    <row r="1336" customFormat="false" ht="15" hidden="false" customHeight="false" outlineLevel="0" collapsed="false">
      <c r="A1336" s="0" t="str">
        <f aca="false">IF(COMPRAS!K136="","",COMPRAS!K136)</f>
        <v/>
      </c>
      <c r="B1336" s="0" t="str">
        <f aca="false">IF(A1336="","",IF(MATCH(A1336,$A$2:$A$3201,0)=ROW()-1,1,0))</f>
        <v/>
      </c>
      <c r="C1336" s="0" t="str">
        <f aca="false">IF(B1336=1,MAX(C$1:C1335)+1,"")</f>
        <v/>
      </c>
    </row>
    <row r="1337" customFormat="false" ht="15" hidden="false" customHeight="false" outlineLevel="0" collapsed="false">
      <c r="A1337" s="0" t="str">
        <f aca="false">IF(COMPRAS!K137="","",COMPRAS!K137)</f>
        <v/>
      </c>
      <c r="B1337" s="0" t="str">
        <f aca="false">IF(A1337="","",IF(MATCH(A1337,$A$2:$A$3201,0)=ROW()-1,1,0))</f>
        <v/>
      </c>
      <c r="C1337" s="0" t="str">
        <f aca="false">IF(B1337=1,MAX(C$1:C1336)+1,"")</f>
        <v/>
      </c>
    </row>
    <row r="1338" customFormat="false" ht="15" hidden="false" customHeight="false" outlineLevel="0" collapsed="false">
      <c r="A1338" s="0" t="str">
        <f aca="false">IF(COMPRAS!K138="","",COMPRAS!K138)</f>
        <v/>
      </c>
      <c r="B1338" s="0" t="str">
        <f aca="false">IF(A1338="","",IF(MATCH(A1338,$A$2:$A$3201,0)=ROW()-1,1,0))</f>
        <v/>
      </c>
      <c r="C1338" s="0" t="str">
        <f aca="false">IF(B1338=1,MAX(C$1:C1337)+1,"")</f>
        <v/>
      </c>
    </row>
    <row r="1339" customFormat="false" ht="15" hidden="false" customHeight="false" outlineLevel="0" collapsed="false">
      <c r="A1339" s="0" t="str">
        <f aca="false">IF(COMPRAS!K139="","",COMPRAS!K139)</f>
        <v/>
      </c>
      <c r="B1339" s="0" t="str">
        <f aca="false">IF(A1339="","",IF(MATCH(A1339,$A$2:$A$3201,0)=ROW()-1,1,0))</f>
        <v/>
      </c>
      <c r="C1339" s="0" t="str">
        <f aca="false">IF(B1339=1,MAX(C$1:C1338)+1,"")</f>
        <v/>
      </c>
    </row>
    <row r="1340" customFormat="false" ht="15" hidden="false" customHeight="false" outlineLevel="0" collapsed="false">
      <c r="A1340" s="0" t="str">
        <f aca="false">IF(COMPRAS!K140="","",COMPRAS!K140)</f>
        <v/>
      </c>
      <c r="B1340" s="0" t="str">
        <f aca="false">IF(A1340="","",IF(MATCH(A1340,$A$2:$A$3201,0)=ROW()-1,1,0))</f>
        <v/>
      </c>
      <c r="C1340" s="0" t="str">
        <f aca="false">IF(B1340=1,MAX(C$1:C1339)+1,"")</f>
        <v/>
      </c>
    </row>
    <row r="1341" customFormat="false" ht="15" hidden="false" customHeight="false" outlineLevel="0" collapsed="false">
      <c r="A1341" s="0" t="str">
        <f aca="false">IF(COMPRAS!K141="","",COMPRAS!K141)</f>
        <v/>
      </c>
      <c r="B1341" s="0" t="str">
        <f aca="false">IF(A1341="","",IF(MATCH(A1341,$A$2:$A$3201,0)=ROW()-1,1,0))</f>
        <v/>
      </c>
      <c r="C1341" s="0" t="str">
        <f aca="false">IF(B1341=1,MAX(C$1:C1340)+1,"")</f>
        <v/>
      </c>
    </row>
    <row r="1342" customFormat="false" ht="15" hidden="false" customHeight="false" outlineLevel="0" collapsed="false">
      <c r="A1342" s="0" t="str">
        <f aca="false">IF(COMPRAS!K142="","",COMPRAS!K142)</f>
        <v/>
      </c>
      <c r="B1342" s="0" t="str">
        <f aca="false">IF(A1342="","",IF(MATCH(A1342,$A$2:$A$3201,0)=ROW()-1,1,0))</f>
        <v/>
      </c>
      <c r="C1342" s="0" t="str">
        <f aca="false">IF(B1342=1,MAX(C$1:C1341)+1,"")</f>
        <v/>
      </c>
    </row>
    <row r="1343" customFormat="false" ht="15" hidden="false" customHeight="false" outlineLevel="0" collapsed="false">
      <c r="A1343" s="0" t="str">
        <f aca="false">IF(COMPRAS!K143="","",COMPRAS!K143)</f>
        <v/>
      </c>
      <c r="B1343" s="0" t="str">
        <f aca="false">IF(A1343="","",IF(MATCH(A1343,$A$2:$A$3201,0)=ROW()-1,1,0))</f>
        <v/>
      </c>
      <c r="C1343" s="0" t="str">
        <f aca="false">IF(B1343=1,MAX(C$1:C1342)+1,"")</f>
        <v/>
      </c>
    </row>
    <row r="1344" customFormat="false" ht="15" hidden="false" customHeight="false" outlineLevel="0" collapsed="false">
      <c r="A1344" s="0" t="str">
        <f aca="false">IF(COMPRAS!K144="","",COMPRAS!K144)</f>
        <v/>
      </c>
      <c r="B1344" s="0" t="str">
        <f aca="false">IF(A1344="","",IF(MATCH(A1344,$A$2:$A$3201,0)=ROW()-1,1,0))</f>
        <v/>
      </c>
      <c r="C1344" s="0" t="str">
        <f aca="false">IF(B1344=1,MAX(C$1:C1343)+1,"")</f>
        <v/>
      </c>
    </row>
    <row r="1345" customFormat="false" ht="15" hidden="false" customHeight="false" outlineLevel="0" collapsed="false">
      <c r="A1345" s="0" t="str">
        <f aca="false">IF(COMPRAS!K145="","",COMPRAS!K145)</f>
        <v/>
      </c>
      <c r="B1345" s="0" t="str">
        <f aca="false">IF(A1345="","",IF(MATCH(A1345,$A$2:$A$3201,0)=ROW()-1,1,0))</f>
        <v/>
      </c>
      <c r="C1345" s="0" t="str">
        <f aca="false">IF(B1345=1,MAX(C$1:C1344)+1,"")</f>
        <v/>
      </c>
    </row>
    <row r="1346" customFormat="false" ht="15" hidden="false" customHeight="false" outlineLevel="0" collapsed="false">
      <c r="A1346" s="0" t="str">
        <f aca="false">IF(COMPRAS!K146="","",COMPRAS!K146)</f>
        <v/>
      </c>
      <c r="B1346" s="0" t="str">
        <f aca="false">IF(A1346="","",IF(MATCH(A1346,$A$2:$A$3201,0)=ROW()-1,1,0))</f>
        <v/>
      </c>
      <c r="C1346" s="0" t="str">
        <f aca="false">IF(B1346=1,MAX(C$1:C1345)+1,"")</f>
        <v/>
      </c>
    </row>
    <row r="1347" customFormat="false" ht="15" hidden="false" customHeight="false" outlineLevel="0" collapsed="false">
      <c r="A1347" s="0" t="str">
        <f aca="false">IF(COMPRAS!K147="","",COMPRAS!K147)</f>
        <v/>
      </c>
      <c r="B1347" s="0" t="str">
        <f aca="false">IF(A1347="","",IF(MATCH(A1347,$A$2:$A$3201,0)=ROW()-1,1,0))</f>
        <v/>
      </c>
      <c r="C1347" s="0" t="str">
        <f aca="false">IF(B1347=1,MAX(C$1:C1346)+1,"")</f>
        <v/>
      </c>
    </row>
    <row r="1348" customFormat="false" ht="15" hidden="false" customHeight="false" outlineLevel="0" collapsed="false">
      <c r="A1348" s="0" t="str">
        <f aca="false">IF(COMPRAS!K148="","",COMPRAS!K148)</f>
        <v/>
      </c>
      <c r="B1348" s="0" t="str">
        <f aca="false">IF(A1348="","",IF(MATCH(A1348,$A$2:$A$3201,0)=ROW()-1,1,0))</f>
        <v/>
      </c>
      <c r="C1348" s="0" t="str">
        <f aca="false">IF(B1348=1,MAX(C$1:C1347)+1,"")</f>
        <v/>
      </c>
    </row>
    <row r="1349" customFormat="false" ht="15" hidden="false" customHeight="false" outlineLevel="0" collapsed="false">
      <c r="A1349" s="0" t="str">
        <f aca="false">IF(COMPRAS!K149="","",COMPRAS!K149)</f>
        <v/>
      </c>
      <c r="B1349" s="0" t="str">
        <f aca="false">IF(A1349="","",IF(MATCH(A1349,$A$2:$A$3201,0)=ROW()-1,1,0))</f>
        <v/>
      </c>
      <c r="C1349" s="0" t="str">
        <f aca="false">IF(B1349=1,MAX(C$1:C1348)+1,"")</f>
        <v/>
      </c>
    </row>
    <row r="1350" customFormat="false" ht="15" hidden="false" customHeight="false" outlineLevel="0" collapsed="false">
      <c r="A1350" s="0" t="str">
        <f aca="false">IF(COMPRAS!K150="","",COMPRAS!K150)</f>
        <v/>
      </c>
      <c r="B1350" s="0" t="str">
        <f aca="false">IF(A1350="","",IF(MATCH(A1350,$A$2:$A$3201,0)=ROW()-1,1,0))</f>
        <v/>
      </c>
      <c r="C1350" s="0" t="str">
        <f aca="false">IF(B1350=1,MAX(C$1:C1349)+1,"")</f>
        <v/>
      </c>
    </row>
    <row r="1351" customFormat="false" ht="15" hidden="false" customHeight="false" outlineLevel="0" collapsed="false">
      <c r="A1351" s="0" t="str">
        <f aca="false">IF(COMPRAS!K151="","",COMPRAS!K151)</f>
        <v/>
      </c>
      <c r="B1351" s="0" t="str">
        <f aca="false">IF(A1351="","",IF(MATCH(A1351,$A$2:$A$3201,0)=ROW()-1,1,0))</f>
        <v/>
      </c>
      <c r="C1351" s="0" t="str">
        <f aca="false">IF(B1351=1,MAX(C$1:C1350)+1,"")</f>
        <v/>
      </c>
    </row>
    <row r="1352" customFormat="false" ht="15" hidden="false" customHeight="false" outlineLevel="0" collapsed="false">
      <c r="A1352" s="0" t="str">
        <f aca="false">IF(COMPRAS!K152="","",COMPRAS!K152)</f>
        <v/>
      </c>
      <c r="B1352" s="0" t="str">
        <f aca="false">IF(A1352="","",IF(MATCH(A1352,$A$2:$A$3201,0)=ROW()-1,1,0))</f>
        <v/>
      </c>
      <c r="C1352" s="0" t="str">
        <f aca="false">IF(B1352=1,MAX(C$1:C1351)+1,"")</f>
        <v/>
      </c>
    </row>
    <row r="1353" customFormat="false" ht="15" hidden="false" customHeight="false" outlineLevel="0" collapsed="false">
      <c r="A1353" s="0" t="str">
        <f aca="false">IF(COMPRAS!K153="","",COMPRAS!K153)</f>
        <v/>
      </c>
      <c r="B1353" s="0" t="str">
        <f aca="false">IF(A1353="","",IF(MATCH(A1353,$A$2:$A$3201,0)=ROW()-1,1,0))</f>
        <v/>
      </c>
      <c r="C1353" s="0" t="str">
        <f aca="false">IF(B1353=1,MAX(C$1:C1352)+1,"")</f>
        <v/>
      </c>
    </row>
    <row r="1354" customFormat="false" ht="15" hidden="false" customHeight="false" outlineLevel="0" collapsed="false">
      <c r="A1354" s="0" t="str">
        <f aca="false">IF(COMPRAS!K154="","",COMPRAS!K154)</f>
        <v/>
      </c>
      <c r="B1354" s="0" t="str">
        <f aca="false">IF(A1354="","",IF(MATCH(A1354,$A$2:$A$3201,0)=ROW()-1,1,0))</f>
        <v/>
      </c>
      <c r="C1354" s="0" t="str">
        <f aca="false">IF(B1354=1,MAX(C$1:C1353)+1,"")</f>
        <v/>
      </c>
    </row>
    <row r="1355" customFormat="false" ht="15" hidden="false" customHeight="false" outlineLevel="0" collapsed="false">
      <c r="A1355" s="0" t="str">
        <f aca="false">IF(COMPRAS!K155="","",COMPRAS!K155)</f>
        <v/>
      </c>
      <c r="B1355" s="0" t="str">
        <f aca="false">IF(A1355="","",IF(MATCH(A1355,$A$2:$A$3201,0)=ROW()-1,1,0))</f>
        <v/>
      </c>
      <c r="C1355" s="0" t="str">
        <f aca="false">IF(B1355=1,MAX(C$1:C1354)+1,"")</f>
        <v/>
      </c>
    </row>
    <row r="1356" customFormat="false" ht="15" hidden="false" customHeight="false" outlineLevel="0" collapsed="false">
      <c r="A1356" s="0" t="str">
        <f aca="false">IF(COMPRAS!K156="","",COMPRAS!K156)</f>
        <v/>
      </c>
      <c r="B1356" s="0" t="str">
        <f aca="false">IF(A1356="","",IF(MATCH(A1356,$A$2:$A$3201,0)=ROW()-1,1,0))</f>
        <v/>
      </c>
      <c r="C1356" s="0" t="str">
        <f aca="false">IF(B1356=1,MAX(C$1:C1355)+1,"")</f>
        <v/>
      </c>
    </row>
    <row r="1357" customFormat="false" ht="15" hidden="false" customHeight="false" outlineLevel="0" collapsed="false">
      <c r="A1357" s="0" t="str">
        <f aca="false">IF(COMPRAS!K157="","",COMPRAS!K157)</f>
        <v/>
      </c>
      <c r="B1357" s="0" t="str">
        <f aca="false">IF(A1357="","",IF(MATCH(A1357,$A$2:$A$3201,0)=ROW()-1,1,0))</f>
        <v/>
      </c>
      <c r="C1357" s="0" t="str">
        <f aca="false">IF(B1357=1,MAX(C$1:C1356)+1,"")</f>
        <v/>
      </c>
    </row>
    <row r="1358" customFormat="false" ht="15" hidden="false" customHeight="false" outlineLevel="0" collapsed="false">
      <c r="A1358" s="0" t="str">
        <f aca="false">IF(COMPRAS!K158="","",COMPRAS!K158)</f>
        <v/>
      </c>
      <c r="B1358" s="0" t="str">
        <f aca="false">IF(A1358="","",IF(MATCH(A1358,$A$2:$A$3201,0)=ROW()-1,1,0))</f>
        <v/>
      </c>
      <c r="C1358" s="0" t="str">
        <f aca="false">IF(B1358=1,MAX(C$1:C1357)+1,"")</f>
        <v/>
      </c>
    </row>
    <row r="1359" customFormat="false" ht="15" hidden="false" customHeight="false" outlineLevel="0" collapsed="false">
      <c r="A1359" s="0" t="str">
        <f aca="false">IF(COMPRAS!K159="","",COMPRAS!K159)</f>
        <v/>
      </c>
      <c r="B1359" s="0" t="str">
        <f aca="false">IF(A1359="","",IF(MATCH(A1359,$A$2:$A$3201,0)=ROW()-1,1,0))</f>
        <v/>
      </c>
      <c r="C1359" s="0" t="str">
        <f aca="false">IF(B1359=1,MAX(C$1:C1358)+1,"")</f>
        <v/>
      </c>
    </row>
    <row r="1360" customFormat="false" ht="15" hidden="false" customHeight="false" outlineLevel="0" collapsed="false">
      <c r="A1360" s="0" t="str">
        <f aca="false">IF(COMPRAS!K160="","",COMPRAS!K160)</f>
        <v/>
      </c>
      <c r="B1360" s="0" t="str">
        <f aca="false">IF(A1360="","",IF(MATCH(A1360,$A$2:$A$3201,0)=ROW()-1,1,0))</f>
        <v/>
      </c>
      <c r="C1360" s="0" t="str">
        <f aca="false">IF(B1360=1,MAX(C$1:C1359)+1,"")</f>
        <v/>
      </c>
    </row>
    <row r="1361" customFormat="false" ht="15" hidden="false" customHeight="false" outlineLevel="0" collapsed="false">
      <c r="A1361" s="0" t="str">
        <f aca="false">IF(COMPRAS!K161="","",COMPRAS!K161)</f>
        <v/>
      </c>
      <c r="B1361" s="0" t="str">
        <f aca="false">IF(A1361="","",IF(MATCH(A1361,$A$2:$A$3201,0)=ROW()-1,1,0))</f>
        <v/>
      </c>
      <c r="C1361" s="0" t="str">
        <f aca="false">IF(B1361=1,MAX(C$1:C1360)+1,"")</f>
        <v/>
      </c>
    </row>
    <row r="1362" customFormat="false" ht="15" hidden="false" customHeight="false" outlineLevel="0" collapsed="false">
      <c r="A1362" s="0" t="str">
        <f aca="false">IF(COMPRAS!K162="","",COMPRAS!K162)</f>
        <v/>
      </c>
      <c r="B1362" s="0" t="str">
        <f aca="false">IF(A1362="","",IF(MATCH(A1362,$A$2:$A$3201,0)=ROW()-1,1,0))</f>
        <v/>
      </c>
      <c r="C1362" s="0" t="str">
        <f aca="false">IF(B1362=1,MAX(C$1:C1361)+1,"")</f>
        <v/>
      </c>
    </row>
    <row r="1363" customFormat="false" ht="15" hidden="false" customHeight="false" outlineLevel="0" collapsed="false">
      <c r="A1363" s="0" t="str">
        <f aca="false">IF(COMPRAS!K163="","",COMPRAS!K163)</f>
        <v/>
      </c>
      <c r="B1363" s="0" t="str">
        <f aca="false">IF(A1363="","",IF(MATCH(A1363,$A$2:$A$3201,0)=ROW()-1,1,0))</f>
        <v/>
      </c>
      <c r="C1363" s="0" t="str">
        <f aca="false">IF(B1363=1,MAX(C$1:C1362)+1,"")</f>
        <v/>
      </c>
    </row>
    <row r="1364" customFormat="false" ht="15" hidden="false" customHeight="false" outlineLevel="0" collapsed="false">
      <c r="A1364" s="0" t="str">
        <f aca="false">IF(COMPRAS!K164="","",COMPRAS!K164)</f>
        <v/>
      </c>
      <c r="B1364" s="0" t="str">
        <f aca="false">IF(A1364="","",IF(MATCH(A1364,$A$2:$A$3201,0)=ROW()-1,1,0))</f>
        <v/>
      </c>
      <c r="C1364" s="0" t="str">
        <f aca="false">IF(B1364=1,MAX(C$1:C1363)+1,"")</f>
        <v/>
      </c>
    </row>
    <row r="1365" customFormat="false" ht="15" hidden="false" customHeight="false" outlineLevel="0" collapsed="false">
      <c r="A1365" s="0" t="str">
        <f aca="false">IF(COMPRAS!K165="","",COMPRAS!K165)</f>
        <v/>
      </c>
      <c r="B1365" s="0" t="str">
        <f aca="false">IF(A1365="","",IF(MATCH(A1365,$A$2:$A$3201,0)=ROW()-1,1,0))</f>
        <v/>
      </c>
      <c r="C1365" s="0" t="str">
        <f aca="false">IF(B1365=1,MAX(C$1:C1364)+1,"")</f>
        <v/>
      </c>
    </row>
    <row r="1366" customFormat="false" ht="15" hidden="false" customHeight="false" outlineLevel="0" collapsed="false">
      <c r="A1366" s="0" t="str">
        <f aca="false">IF(COMPRAS!K166="","",COMPRAS!K166)</f>
        <v/>
      </c>
      <c r="B1366" s="0" t="str">
        <f aca="false">IF(A1366="","",IF(MATCH(A1366,$A$2:$A$3201,0)=ROW()-1,1,0))</f>
        <v/>
      </c>
      <c r="C1366" s="0" t="str">
        <f aca="false">IF(B1366=1,MAX(C$1:C1365)+1,"")</f>
        <v/>
      </c>
    </row>
    <row r="1367" customFormat="false" ht="15" hidden="false" customHeight="false" outlineLevel="0" collapsed="false">
      <c r="A1367" s="0" t="str">
        <f aca="false">IF(COMPRAS!K167="","",COMPRAS!K167)</f>
        <v/>
      </c>
      <c r="B1367" s="0" t="str">
        <f aca="false">IF(A1367="","",IF(MATCH(A1367,$A$2:$A$3201,0)=ROW()-1,1,0))</f>
        <v/>
      </c>
      <c r="C1367" s="0" t="str">
        <f aca="false">IF(B1367=1,MAX(C$1:C1366)+1,"")</f>
        <v/>
      </c>
    </row>
    <row r="1368" customFormat="false" ht="15" hidden="false" customHeight="false" outlineLevel="0" collapsed="false">
      <c r="A1368" s="0" t="str">
        <f aca="false">IF(COMPRAS!K168="","",COMPRAS!K168)</f>
        <v/>
      </c>
      <c r="B1368" s="0" t="str">
        <f aca="false">IF(A1368="","",IF(MATCH(A1368,$A$2:$A$3201,0)=ROW()-1,1,0))</f>
        <v/>
      </c>
      <c r="C1368" s="0" t="str">
        <f aca="false">IF(B1368=1,MAX(C$1:C1367)+1,"")</f>
        <v/>
      </c>
    </row>
    <row r="1369" customFormat="false" ht="15" hidden="false" customHeight="false" outlineLevel="0" collapsed="false">
      <c r="A1369" s="0" t="str">
        <f aca="false">IF(COMPRAS!K169="","",COMPRAS!K169)</f>
        <v/>
      </c>
      <c r="B1369" s="0" t="str">
        <f aca="false">IF(A1369="","",IF(MATCH(A1369,$A$2:$A$3201,0)=ROW()-1,1,0))</f>
        <v/>
      </c>
      <c r="C1369" s="0" t="str">
        <f aca="false">IF(B1369=1,MAX(C$1:C1368)+1,"")</f>
        <v/>
      </c>
    </row>
    <row r="1370" customFormat="false" ht="15" hidden="false" customHeight="false" outlineLevel="0" collapsed="false">
      <c r="A1370" s="0" t="str">
        <f aca="false">IF(COMPRAS!K170="","",COMPRAS!K170)</f>
        <v/>
      </c>
      <c r="B1370" s="0" t="str">
        <f aca="false">IF(A1370="","",IF(MATCH(A1370,$A$2:$A$3201,0)=ROW()-1,1,0))</f>
        <v/>
      </c>
      <c r="C1370" s="0" t="str">
        <f aca="false">IF(B1370=1,MAX(C$1:C1369)+1,"")</f>
        <v/>
      </c>
    </row>
    <row r="1371" customFormat="false" ht="15" hidden="false" customHeight="false" outlineLevel="0" collapsed="false">
      <c r="A1371" s="0" t="str">
        <f aca="false">IF(COMPRAS!K171="","",COMPRAS!K171)</f>
        <v/>
      </c>
      <c r="B1371" s="0" t="str">
        <f aca="false">IF(A1371="","",IF(MATCH(A1371,$A$2:$A$3201,0)=ROW()-1,1,0))</f>
        <v/>
      </c>
      <c r="C1371" s="0" t="str">
        <f aca="false">IF(B1371=1,MAX(C$1:C1370)+1,"")</f>
        <v/>
      </c>
    </row>
    <row r="1372" customFormat="false" ht="15" hidden="false" customHeight="false" outlineLevel="0" collapsed="false">
      <c r="A1372" s="0" t="str">
        <f aca="false">IF(COMPRAS!K172="","",COMPRAS!K172)</f>
        <v/>
      </c>
      <c r="B1372" s="0" t="str">
        <f aca="false">IF(A1372="","",IF(MATCH(A1372,$A$2:$A$3201,0)=ROW()-1,1,0))</f>
        <v/>
      </c>
      <c r="C1372" s="0" t="str">
        <f aca="false">IF(B1372=1,MAX(C$1:C1371)+1,"")</f>
        <v/>
      </c>
    </row>
    <row r="1373" customFormat="false" ht="15" hidden="false" customHeight="false" outlineLevel="0" collapsed="false">
      <c r="A1373" s="0" t="str">
        <f aca="false">IF(COMPRAS!K173="","",COMPRAS!K173)</f>
        <v/>
      </c>
      <c r="B1373" s="0" t="str">
        <f aca="false">IF(A1373="","",IF(MATCH(A1373,$A$2:$A$3201,0)=ROW()-1,1,0))</f>
        <v/>
      </c>
      <c r="C1373" s="0" t="str">
        <f aca="false">IF(B1373=1,MAX(C$1:C1372)+1,"")</f>
        <v/>
      </c>
    </row>
    <row r="1374" customFormat="false" ht="15" hidden="false" customHeight="false" outlineLevel="0" collapsed="false">
      <c r="A1374" s="0" t="str">
        <f aca="false">IF(COMPRAS!K174="","",COMPRAS!K174)</f>
        <v/>
      </c>
      <c r="B1374" s="0" t="str">
        <f aca="false">IF(A1374="","",IF(MATCH(A1374,$A$2:$A$3201,0)=ROW()-1,1,0))</f>
        <v/>
      </c>
      <c r="C1374" s="0" t="str">
        <f aca="false">IF(B1374=1,MAX(C$1:C1373)+1,"")</f>
        <v/>
      </c>
    </row>
    <row r="1375" customFormat="false" ht="15" hidden="false" customHeight="false" outlineLevel="0" collapsed="false">
      <c r="A1375" s="0" t="str">
        <f aca="false">IF(COMPRAS!K175="","",COMPRAS!K175)</f>
        <v/>
      </c>
      <c r="B1375" s="0" t="str">
        <f aca="false">IF(A1375="","",IF(MATCH(A1375,$A$2:$A$3201,0)=ROW()-1,1,0))</f>
        <v/>
      </c>
      <c r="C1375" s="0" t="str">
        <f aca="false">IF(B1375=1,MAX(C$1:C1374)+1,"")</f>
        <v/>
      </c>
    </row>
    <row r="1376" customFormat="false" ht="15" hidden="false" customHeight="false" outlineLevel="0" collapsed="false">
      <c r="A1376" s="0" t="str">
        <f aca="false">IF(COMPRAS!K176="","",COMPRAS!K176)</f>
        <v/>
      </c>
      <c r="B1376" s="0" t="str">
        <f aca="false">IF(A1376="","",IF(MATCH(A1376,$A$2:$A$3201,0)=ROW()-1,1,0))</f>
        <v/>
      </c>
      <c r="C1376" s="0" t="str">
        <f aca="false">IF(B1376=1,MAX(C$1:C1375)+1,"")</f>
        <v/>
      </c>
    </row>
    <row r="1377" customFormat="false" ht="15" hidden="false" customHeight="false" outlineLevel="0" collapsed="false">
      <c r="A1377" s="0" t="str">
        <f aca="false">IF(COMPRAS!K177="","",COMPRAS!K177)</f>
        <v/>
      </c>
      <c r="B1377" s="0" t="str">
        <f aca="false">IF(A1377="","",IF(MATCH(A1377,$A$2:$A$3201,0)=ROW()-1,1,0))</f>
        <v/>
      </c>
      <c r="C1377" s="0" t="str">
        <f aca="false">IF(B1377=1,MAX(C$1:C1376)+1,"")</f>
        <v/>
      </c>
    </row>
    <row r="1378" customFormat="false" ht="15" hidden="false" customHeight="false" outlineLevel="0" collapsed="false">
      <c r="A1378" s="0" t="str">
        <f aca="false">IF(COMPRAS!K178="","",COMPRAS!K178)</f>
        <v/>
      </c>
      <c r="B1378" s="0" t="str">
        <f aca="false">IF(A1378="","",IF(MATCH(A1378,$A$2:$A$3201,0)=ROW()-1,1,0))</f>
        <v/>
      </c>
      <c r="C1378" s="0" t="str">
        <f aca="false">IF(B1378=1,MAX(C$1:C1377)+1,"")</f>
        <v/>
      </c>
    </row>
    <row r="1379" customFormat="false" ht="15" hidden="false" customHeight="false" outlineLevel="0" collapsed="false">
      <c r="A1379" s="0" t="str">
        <f aca="false">IF(COMPRAS!K179="","",COMPRAS!K179)</f>
        <v/>
      </c>
      <c r="B1379" s="0" t="str">
        <f aca="false">IF(A1379="","",IF(MATCH(A1379,$A$2:$A$3201,0)=ROW()-1,1,0))</f>
        <v/>
      </c>
      <c r="C1379" s="0" t="str">
        <f aca="false">IF(B1379=1,MAX(C$1:C1378)+1,"")</f>
        <v/>
      </c>
    </row>
    <row r="1380" customFormat="false" ht="15" hidden="false" customHeight="false" outlineLevel="0" collapsed="false">
      <c r="A1380" s="0" t="str">
        <f aca="false">IF(COMPRAS!K180="","",COMPRAS!K180)</f>
        <v/>
      </c>
      <c r="B1380" s="0" t="str">
        <f aca="false">IF(A1380="","",IF(MATCH(A1380,$A$2:$A$3201,0)=ROW()-1,1,0))</f>
        <v/>
      </c>
      <c r="C1380" s="0" t="str">
        <f aca="false">IF(B1380=1,MAX(C$1:C1379)+1,"")</f>
        <v/>
      </c>
    </row>
    <row r="1381" customFormat="false" ht="15" hidden="false" customHeight="false" outlineLevel="0" collapsed="false">
      <c r="A1381" s="0" t="str">
        <f aca="false">IF(COMPRAS!K181="","",COMPRAS!K181)</f>
        <v/>
      </c>
      <c r="B1381" s="0" t="str">
        <f aca="false">IF(A1381="","",IF(MATCH(A1381,$A$2:$A$3201,0)=ROW()-1,1,0))</f>
        <v/>
      </c>
      <c r="C1381" s="0" t="str">
        <f aca="false">IF(B1381=1,MAX(C$1:C1380)+1,"")</f>
        <v/>
      </c>
    </row>
    <row r="1382" customFormat="false" ht="15" hidden="false" customHeight="false" outlineLevel="0" collapsed="false">
      <c r="A1382" s="0" t="str">
        <f aca="false">IF(COMPRAS!K182="","",COMPRAS!K182)</f>
        <v/>
      </c>
      <c r="B1382" s="0" t="str">
        <f aca="false">IF(A1382="","",IF(MATCH(A1382,$A$2:$A$3201,0)=ROW()-1,1,0))</f>
        <v/>
      </c>
      <c r="C1382" s="0" t="str">
        <f aca="false">IF(B1382=1,MAX(C$1:C1381)+1,"")</f>
        <v/>
      </c>
    </row>
    <row r="1383" customFormat="false" ht="15" hidden="false" customHeight="false" outlineLevel="0" collapsed="false">
      <c r="A1383" s="0" t="str">
        <f aca="false">IF(COMPRAS!K183="","",COMPRAS!K183)</f>
        <v/>
      </c>
      <c r="B1383" s="0" t="str">
        <f aca="false">IF(A1383="","",IF(MATCH(A1383,$A$2:$A$3201,0)=ROW()-1,1,0))</f>
        <v/>
      </c>
      <c r="C1383" s="0" t="str">
        <f aca="false">IF(B1383=1,MAX(C$1:C1382)+1,"")</f>
        <v/>
      </c>
    </row>
    <row r="1384" customFormat="false" ht="15" hidden="false" customHeight="false" outlineLevel="0" collapsed="false">
      <c r="A1384" s="0" t="str">
        <f aca="false">IF(COMPRAS!K184="","",COMPRAS!K184)</f>
        <v/>
      </c>
      <c r="B1384" s="0" t="str">
        <f aca="false">IF(A1384="","",IF(MATCH(A1384,$A$2:$A$3201,0)=ROW()-1,1,0))</f>
        <v/>
      </c>
      <c r="C1384" s="0" t="str">
        <f aca="false">IF(B1384=1,MAX(C$1:C1383)+1,"")</f>
        <v/>
      </c>
    </row>
    <row r="1385" customFormat="false" ht="15" hidden="false" customHeight="false" outlineLevel="0" collapsed="false">
      <c r="A1385" s="0" t="str">
        <f aca="false">IF(COMPRAS!K185="","",COMPRAS!K185)</f>
        <v/>
      </c>
      <c r="B1385" s="0" t="str">
        <f aca="false">IF(A1385="","",IF(MATCH(A1385,$A$2:$A$3201,0)=ROW()-1,1,0))</f>
        <v/>
      </c>
      <c r="C1385" s="0" t="str">
        <f aca="false">IF(B1385=1,MAX(C$1:C1384)+1,"")</f>
        <v/>
      </c>
    </row>
    <row r="1386" customFormat="false" ht="15" hidden="false" customHeight="false" outlineLevel="0" collapsed="false">
      <c r="A1386" s="0" t="str">
        <f aca="false">IF(COMPRAS!K186="","",COMPRAS!K186)</f>
        <v/>
      </c>
      <c r="B1386" s="0" t="str">
        <f aca="false">IF(A1386="","",IF(MATCH(A1386,$A$2:$A$3201,0)=ROW()-1,1,0))</f>
        <v/>
      </c>
      <c r="C1386" s="0" t="str">
        <f aca="false">IF(B1386=1,MAX(C$1:C1385)+1,"")</f>
        <v/>
      </c>
    </row>
    <row r="1387" customFormat="false" ht="15" hidden="false" customHeight="false" outlineLevel="0" collapsed="false">
      <c r="A1387" s="0" t="str">
        <f aca="false">IF(COMPRAS!K187="","",COMPRAS!K187)</f>
        <v/>
      </c>
      <c r="B1387" s="0" t="str">
        <f aca="false">IF(A1387="","",IF(MATCH(A1387,$A$2:$A$3201,0)=ROW()-1,1,0))</f>
        <v/>
      </c>
      <c r="C1387" s="0" t="str">
        <f aca="false">IF(B1387=1,MAX(C$1:C1386)+1,"")</f>
        <v/>
      </c>
    </row>
    <row r="1388" customFormat="false" ht="15" hidden="false" customHeight="false" outlineLevel="0" collapsed="false">
      <c r="A1388" s="0" t="str">
        <f aca="false">IF(COMPRAS!K188="","",COMPRAS!K188)</f>
        <v/>
      </c>
      <c r="B1388" s="0" t="str">
        <f aca="false">IF(A1388="","",IF(MATCH(A1388,$A$2:$A$3201,0)=ROW()-1,1,0))</f>
        <v/>
      </c>
      <c r="C1388" s="0" t="str">
        <f aca="false">IF(B1388=1,MAX(C$1:C1387)+1,"")</f>
        <v/>
      </c>
    </row>
    <row r="1389" customFormat="false" ht="15" hidden="false" customHeight="false" outlineLevel="0" collapsed="false">
      <c r="A1389" s="0" t="str">
        <f aca="false">IF(COMPRAS!K189="","",COMPRAS!K189)</f>
        <v/>
      </c>
      <c r="B1389" s="0" t="str">
        <f aca="false">IF(A1389="","",IF(MATCH(A1389,$A$2:$A$3201,0)=ROW()-1,1,0))</f>
        <v/>
      </c>
      <c r="C1389" s="0" t="str">
        <f aca="false">IF(B1389=1,MAX(C$1:C1388)+1,"")</f>
        <v/>
      </c>
    </row>
    <row r="1390" customFormat="false" ht="15" hidden="false" customHeight="false" outlineLevel="0" collapsed="false">
      <c r="A1390" s="0" t="str">
        <f aca="false">IF(COMPRAS!K190="","",COMPRAS!K190)</f>
        <v/>
      </c>
      <c r="B1390" s="0" t="str">
        <f aca="false">IF(A1390="","",IF(MATCH(A1390,$A$2:$A$3201,0)=ROW()-1,1,0))</f>
        <v/>
      </c>
      <c r="C1390" s="0" t="str">
        <f aca="false">IF(B1390=1,MAX(C$1:C1389)+1,"")</f>
        <v/>
      </c>
    </row>
    <row r="1391" customFormat="false" ht="15" hidden="false" customHeight="false" outlineLevel="0" collapsed="false">
      <c r="A1391" s="0" t="str">
        <f aca="false">IF(COMPRAS!K191="","",COMPRAS!K191)</f>
        <v/>
      </c>
      <c r="B1391" s="0" t="str">
        <f aca="false">IF(A1391="","",IF(MATCH(A1391,$A$2:$A$3201,0)=ROW()-1,1,0))</f>
        <v/>
      </c>
      <c r="C1391" s="0" t="str">
        <f aca="false">IF(B1391=1,MAX(C$1:C1390)+1,"")</f>
        <v/>
      </c>
    </row>
    <row r="1392" customFormat="false" ht="15" hidden="false" customHeight="false" outlineLevel="0" collapsed="false">
      <c r="A1392" s="0" t="str">
        <f aca="false">IF(COMPRAS!K192="","",COMPRAS!K192)</f>
        <v/>
      </c>
      <c r="B1392" s="0" t="str">
        <f aca="false">IF(A1392="","",IF(MATCH(A1392,$A$2:$A$3201,0)=ROW()-1,1,0))</f>
        <v/>
      </c>
      <c r="C1392" s="0" t="str">
        <f aca="false">IF(B1392=1,MAX(C$1:C1391)+1,"")</f>
        <v/>
      </c>
    </row>
    <row r="1393" customFormat="false" ht="15" hidden="false" customHeight="false" outlineLevel="0" collapsed="false">
      <c r="A1393" s="0" t="str">
        <f aca="false">IF(COMPRAS!K193="","",COMPRAS!K193)</f>
        <v/>
      </c>
      <c r="B1393" s="0" t="str">
        <f aca="false">IF(A1393="","",IF(MATCH(A1393,$A$2:$A$3201,0)=ROW()-1,1,0))</f>
        <v/>
      </c>
      <c r="C1393" s="0" t="str">
        <f aca="false">IF(B1393=1,MAX(C$1:C1392)+1,"")</f>
        <v/>
      </c>
    </row>
    <row r="1394" customFormat="false" ht="15" hidden="false" customHeight="false" outlineLevel="0" collapsed="false">
      <c r="A1394" s="0" t="str">
        <f aca="false">IF(COMPRAS!K194="","",COMPRAS!K194)</f>
        <v/>
      </c>
      <c r="B1394" s="0" t="str">
        <f aca="false">IF(A1394="","",IF(MATCH(A1394,$A$2:$A$3201,0)=ROW()-1,1,0))</f>
        <v/>
      </c>
      <c r="C1394" s="0" t="str">
        <f aca="false">IF(B1394=1,MAX(C$1:C1393)+1,"")</f>
        <v/>
      </c>
    </row>
    <row r="1395" customFormat="false" ht="15" hidden="false" customHeight="false" outlineLevel="0" collapsed="false">
      <c r="A1395" s="0" t="str">
        <f aca="false">IF(COMPRAS!K195="","",COMPRAS!K195)</f>
        <v/>
      </c>
      <c r="B1395" s="0" t="str">
        <f aca="false">IF(A1395="","",IF(MATCH(A1395,$A$2:$A$3201,0)=ROW()-1,1,0))</f>
        <v/>
      </c>
      <c r="C1395" s="0" t="str">
        <f aca="false">IF(B1395=1,MAX(C$1:C1394)+1,"")</f>
        <v/>
      </c>
    </row>
    <row r="1396" customFormat="false" ht="15" hidden="false" customHeight="false" outlineLevel="0" collapsed="false">
      <c r="A1396" s="0" t="str">
        <f aca="false">IF(COMPRAS!K196="","",COMPRAS!K196)</f>
        <v/>
      </c>
      <c r="B1396" s="0" t="str">
        <f aca="false">IF(A1396="","",IF(MATCH(A1396,$A$2:$A$3201,0)=ROW()-1,1,0))</f>
        <v/>
      </c>
      <c r="C1396" s="0" t="str">
        <f aca="false">IF(B1396=1,MAX(C$1:C1395)+1,"")</f>
        <v/>
      </c>
    </row>
    <row r="1397" customFormat="false" ht="15" hidden="false" customHeight="false" outlineLevel="0" collapsed="false">
      <c r="A1397" s="0" t="str">
        <f aca="false">IF(COMPRAS!K197="","",COMPRAS!K197)</f>
        <v/>
      </c>
      <c r="B1397" s="0" t="str">
        <f aca="false">IF(A1397="","",IF(MATCH(A1397,$A$2:$A$3201,0)=ROW()-1,1,0))</f>
        <v/>
      </c>
      <c r="C1397" s="0" t="str">
        <f aca="false">IF(B1397=1,MAX(C$1:C1396)+1,"")</f>
        <v/>
      </c>
    </row>
    <row r="1398" customFormat="false" ht="15" hidden="false" customHeight="false" outlineLevel="0" collapsed="false">
      <c r="A1398" s="0" t="str">
        <f aca="false">IF(COMPRAS!K198="","",COMPRAS!K198)</f>
        <v/>
      </c>
      <c r="B1398" s="0" t="str">
        <f aca="false">IF(A1398="","",IF(MATCH(A1398,$A$2:$A$3201,0)=ROW()-1,1,0))</f>
        <v/>
      </c>
      <c r="C1398" s="0" t="str">
        <f aca="false">IF(B1398=1,MAX(C$1:C1397)+1,"")</f>
        <v/>
      </c>
    </row>
    <row r="1399" customFormat="false" ht="15" hidden="false" customHeight="false" outlineLevel="0" collapsed="false">
      <c r="A1399" s="0" t="str">
        <f aca="false">IF(COMPRAS!K199="","",COMPRAS!K199)</f>
        <v/>
      </c>
      <c r="B1399" s="0" t="str">
        <f aca="false">IF(A1399="","",IF(MATCH(A1399,$A$2:$A$3201,0)=ROW()-1,1,0))</f>
        <v/>
      </c>
      <c r="C1399" s="0" t="str">
        <f aca="false">IF(B1399=1,MAX(C$1:C1398)+1,"")</f>
        <v/>
      </c>
    </row>
    <row r="1400" customFormat="false" ht="15" hidden="false" customHeight="false" outlineLevel="0" collapsed="false">
      <c r="A1400" s="0" t="str">
        <f aca="false">IF(COMPRAS!K200="","",COMPRAS!K200)</f>
        <v/>
      </c>
      <c r="B1400" s="0" t="str">
        <f aca="false">IF(A1400="","",IF(MATCH(A1400,$A$2:$A$3201,0)=ROW()-1,1,0))</f>
        <v/>
      </c>
      <c r="C1400" s="0" t="str">
        <f aca="false">IF(B1400=1,MAX(C$1:C1399)+1,"")</f>
        <v/>
      </c>
    </row>
    <row r="1401" customFormat="false" ht="15" hidden="false" customHeight="false" outlineLevel="0" collapsed="false">
      <c r="A1401" s="0" t="str">
        <f aca="false">IF(COMPRAS!K201="","",COMPRAS!K201)</f>
        <v/>
      </c>
      <c r="B1401" s="0" t="str">
        <f aca="false">IF(A1401="","",IF(MATCH(A1401,$A$2:$A$3201,0)=ROW()-1,1,0))</f>
        <v/>
      </c>
      <c r="C1401" s="0" t="str">
        <f aca="false">IF(B1401=1,MAX(C$1:C1400)+1,"")</f>
        <v/>
      </c>
    </row>
    <row r="1402" customFormat="false" ht="15" hidden="false" customHeight="false" outlineLevel="0" collapsed="false">
      <c r="A1402" s="0" t="str">
        <f aca="false">IF(COMPRAS!K202="","",COMPRAS!K202)</f>
        <v/>
      </c>
      <c r="B1402" s="0" t="str">
        <f aca="false">IF(A1402="","",IF(MATCH(A1402,$A$2:$A$3201,0)=ROW()-1,1,0))</f>
        <v/>
      </c>
      <c r="C1402" s="0" t="str">
        <f aca="false">IF(B1402=1,MAX(C$1:C1401)+1,"")</f>
        <v/>
      </c>
    </row>
    <row r="1403" customFormat="false" ht="15" hidden="false" customHeight="false" outlineLevel="0" collapsed="false">
      <c r="A1403" s="0" t="str">
        <f aca="false">IF(COMPRAS!K203="","",COMPRAS!K203)</f>
        <v/>
      </c>
      <c r="B1403" s="0" t="str">
        <f aca="false">IF(A1403="","",IF(MATCH(A1403,$A$2:$A$3201,0)=ROW()-1,1,0))</f>
        <v/>
      </c>
      <c r="C1403" s="0" t="str">
        <f aca="false">IF(B1403=1,MAX(C$1:C1402)+1,"")</f>
        <v/>
      </c>
    </row>
    <row r="1404" customFormat="false" ht="15" hidden="false" customHeight="false" outlineLevel="0" collapsed="false">
      <c r="A1404" s="0" t="str">
        <f aca="false">IF(COMPRAS!K204="","",COMPRAS!K204)</f>
        <v/>
      </c>
      <c r="B1404" s="0" t="str">
        <f aca="false">IF(A1404="","",IF(MATCH(A1404,$A$2:$A$3201,0)=ROW()-1,1,0))</f>
        <v/>
      </c>
      <c r="C1404" s="0" t="str">
        <f aca="false">IF(B1404=1,MAX(C$1:C1403)+1,"")</f>
        <v/>
      </c>
    </row>
    <row r="1405" customFormat="false" ht="15" hidden="false" customHeight="false" outlineLevel="0" collapsed="false">
      <c r="A1405" s="0" t="str">
        <f aca="false">IF(COMPRAS!K205="","",COMPRAS!K205)</f>
        <v/>
      </c>
      <c r="B1405" s="0" t="str">
        <f aca="false">IF(A1405="","",IF(MATCH(A1405,$A$2:$A$3201,0)=ROW()-1,1,0))</f>
        <v/>
      </c>
      <c r="C1405" s="0" t="str">
        <f aca="false">IF(B1405=1,MAX(C$1:C1404)+1,"")</f>
        <v/>
      </c>
    </row>
    <row r="1406" customFormat="false" ht="15" hidden="false" customHeight="false" outlineLevel="0" collapsed="false">
      <c r="A1406" s="0" t="str">
        <f aca="false">IF(COMPRAS!K206="","",COMPRAS!K206)</f>
        <v/>
      </c>
      <c r="B1406" s="0" t="str">
        <f aca="false">IF(A1406="","",IF(MATCH(A1406,$A$2:$A$3201,0)=ROW()-1,1,0))</f>
        <v/>
      </c>
      <c r="C1406" s="0" t="str">
        <f aca="false">IF(B1406=1,MAX(C$1:C1405)+1,"")</f>
        <v/>
      </c>
    </row>
    <row r="1407" customFormat="false" ht="15" hidden="false" customHeight="false" outlineLevel="0" collapsed="false">
      <c r="A1407" s="0" t="str">
        <f aca="false">IF(COMPRAS!K207="","",COMPRAS!K207)</f>
        <v/>
      </c>
      <c r="B1407" s="0" t="str">
        <f aca="false">IF(A1407="","",IF(MATCH(A1407,$A$2:$A$3201,0)=ROW()-1,1,0))</f>
        <v/>
      </c>
      <c r="C1407" s="0" t="str">
        <f aca="false">IF(B1407=1,MAX(C$1:C1406)+1,"")</f>
        <v/>
      </c>
    </row>
    <row r="1408" customFormat="false" ht="15" hidden="false" customHeight="false" outlineLevel="0" collapsed="false">
      <c r="A1408" s="0" t="str">
        <f aca="false">IF(COMPRAS!K208="","",COMPRAS!K208)</f>
        <v/>
      </c>
      <c r="B1408" s="0" t="str">
        <f aca="false">IF(A1408="","",IF(MATCH(A1408,$A$2:$A$3201,0)=ROW()-1,1,0))</f>
        <v/>
      </c>
      <c r="C1408" s="0" t="str">
        <f aca="false">IF(B1408=1,MAX(C$1:C1407)+1,"")</f>
        <v/>
      </c>
    </row>
    <row r="1409" customFormat="false" ht="15" hidden="false" customHeight="false" outlineLevel="0" collapsed="false">
      <c r="A1409" s="0" t="str">
        <f aca="false">IF(COMPRAS!K209="","",COMPRAS!K209)</f>
        <v/>
      </c>
      <c r="B1409" s="0" t="str">
        <f aca="false">IF(A1409="","",IF(MATCH(A1409,$A$2:$A$3201,0)=ROW()-1,1,0))</f>
        <v/>
      </c>
      <c r="C1409" s="0" t="str">
        <f aca="false">IF(B1409=1,MAX(C$1:C1408)+1,"")</f>
        <v/>
      </c>
    </row>
    <row r="1410" customFormat="false" ht="15" hidden="false" customHeight="false" outlineLevel="0" collapsed="false">
      <c r="A1410" s="0" t="str">
        <f aca="false">IF(COMPRAS!K210="","",COMPRAS!K210)</f>
        <v/>
      </c>
      <c r="B1410" s="0" t="str">
        <f aca="false">IF(A1410="","",IF(MATCH(A1410,$A$2:$A$3201,0)=ROW()-1,1,0))</f>
        <v/>
      </c>
      <c r="C1410" s="0" t="str">
        <f aca="false">IF(B1410=1,MAX(C$1:C1409)+1,"")</f>
        <v/>
      </c>
    </row>
    <row r="1411" customFormat="false" ht="15" hidden="false" customHeight="false" outlineLevel="0" collapsed="false">
      <c r="A1411" s="0" t="str">
        <f aca="false">IF(COMPRAS!K211="","",COMPRAS!K211)</f>
        <v/>
      </c>
      <c r="B1411" s="0" t="str">
        <f aca="false">IF(A1411="","",IF(MATCH(A1411,$A$2:$A$3201,0)=ROW()-1,1,0))</f>
        <v/>
      </c>
      <c r="C1411" s="0" t="str">
        <f aca="false">IF(B1411=1,MAX(C$1:C1410)+1,"")</f>
        <v/>
      </c>
    </row>
    <row r="1412" customFormat="false" ht="15" hidden="false" customHeight="false" outlineLevel="0" collapsed="false">
      <c r="A1412" s="0" t="str">
        <f aca="false">IF(COMPRAS!K212="","",COMPRAS!K212)</f>
        <v/>
      </c>
      <c r="B1412" s="0" t="str">
        <f aca="false">IF(A1412="","",IF(MATCH(A1412,$A$2:$A$3201,0)=ROW()-1,1,0))</f>
        <v/>
      </c>
      <c r="C1412" s="0" t="str">
        <f aca="false">IF(B1412=1,MAX(C$1:C1411)+1,"")</f>
        <v/>
      </c>
    </row>
    <row r="1413" customFormat="false" ht="15" hidden="false" customHeight="false" outlineLevel="0" collapsed="false">
      <c r="A1413" s="0" t="str">
        <f aca="false">IF(COMPRAS!K213="","",COMPRAS!K213)</f>
        <v/>
      </c>
      <c r="B1413" s="0" t="str">
        <f aca="false">IF(A1413="","",IF(MATCH(A1413,$A$2:$A$3201,0)=ROW()-1,1,0))</f>
        <v/>
      </c>
      <c r="C1413" s="0" t="str">
        <f aca="false">IF(B1413=1,MAX(C$1:C1412)+1,"")</f>
        <v/>
      </c>
    </row>
    <row r="1414" customFormat="false" ht="15" hidden="false" customHeight="false" outlineLevel="0" collapsed="false">
      <c r="A1414" s="0" t="str">
        <f aca="false">IF(COMPRAS!K214="","",COMPRAS!K214)</f>
        <v/>
      </c>
      <c r="B1414" s="0" t="str">
        <f aca="false">IF(A1414="","",IF(MATCH(A1414,$A$2:$A$3201,0)=ROW()-1,1,0))</f>
        <v/>
      </c>
      <c r="C1414" s="0" t="str">
        <f aca="false">IF(B1414=1,MAX(C$1:C1413)+1,"")</f>
        <v/>
      </c>
    </row>
    <row r="1415" customFormat="false" ht="15" hidden="false" customHeight="false" outlineLevel="0" collapsed="false">
      <c r="A1415" s="0" t="str">
        <f aca="false">IF(COMPRAS!K215="","",COMPRAS!K215)</f>
        <v/>
      </c>
      <c r="B1415" s="0" t="str">
        <f aca="false">IF(A1415="","",IF(MATCH(A1415,$A$2:$A$3201,0)=ROW()-1,1,0))</f>
        <v/>
      </c>
      <c r="C1415" s="0" t="str">
        <f aca="false">IF(B1415=1,MAX(C$1:C1414)+1,"")</f>
        <v/>
      </c>
    </row>
    <row r="1416" customFormat="false" ht="15" hidden="false" customHeight="false" outlineLevel="0" collapsed="false">
      <c r="A1416" s="0" t="str">
        <f aca="false">IF(COMPRAS!K216="","",COMPRAS!K216)</f>
        <v/>
      </c>
      <c r="B1416" s="0" t="str">
        <f aca="false">IF(A1416="","",IF(MATCH(A1416,$A$2:$A$3201,0)=ROW()-1,1,0))</f>
        <v/>
      </c>
      <c r="C1416" s="0" t="str">
        <f aca="false">IF(B1416=1,MAX(C$1:C1415)+1,"")</f>
        <v/>
      </c>
    </row>
    <row r="1417" customFormat="false" ht="15" hidden="false" customHeight="false" outlineLevel="0" collapsed="false">
      <c r="A1417" s="0" t="str">
        <f aca="false">IF(COMPRAS!K217="","",COMPRAS!K217)</f>
        <v/>
      </c>
      <c r="B1417" s="0" t="str">
        <f aca="false">IF(A1417="","",IF(MATCH(A1417,$A$2:$A$3201,0)=ROW()-1,1,0))</f>
        <v/>
      </c>
      <c r="C1417" s="0" t="str">
        <f aca="false">IF(B1417=1,MAX(C$1:C1416)+1,"")</f>
        <v/>
      </c>
    </row>
    <row r="1418" customFormat="false" ht="15" hidden="false" customHeight="false" outlineLevel="0" collapsed="false">
      <c r="A1418" s="0" t="str">
        <f aca="false">IF(COMPRAS!K218="","",COMPRAS!K218)</f>
        <v/>
      </c>
      <c r="B1418" s="0" t="str">
        <f aca="false">IF(A1418="","",IF(MATCH(A1418,$A$2:$A$3201,0)=ROW()-1,1,0))</f>
        <v/>
      </c>
      <c r="C1418" s="0" t="str">
        <f aca="false">IF(B1418=1,MAX(C$1:C1417)+1,"")</f>
        <v/>
      </c>
    </row>
    <row r="1419" customFormat="false" ht="15" hidden="false" customHeight="false" outlineLevel="0" collapsed="false">
      <c r="A1419" s="0" t="str">
        <f aca="false">IF(COMPRAS!K219="","",COMPRAS!K219)</f>
        <v/>
      </c>
      <c r="B1419" s="0" t="str">
        <f aca="false">IF(A1419="","",IF(MATCH(A1419,$A$2:$A$3201,0)=ROW()-1,1,0))</f>
        <v/>
      </c>
      <c r="C1419" s="0" t="str">
        <f aca="false">IF(B1419=1,MAX(C$1:C1418)+1,"")</f>
        <v/>
      </c>
    </row>
    <row r="1420" customFormat="false" ht="15" hidden="false" customHeight="false" outlineLevel="0" collapsed="false">
      <c r="A1420" s="0" t="str">
        <f aca="false">IF(COMPRAS!K220="","",COMPRAS!K220)</f>
        <v/>
      </c>
      <c r="B1420" s="0" t="str">
        <f aca="false">IF(A1420="","",IF(MATCH(A1420,$A$2:$A$3201,0)=ROW()-1,1,0))</f>
        <v/>
      </c>
      <c r="C1420" s="0" t="str">
        <f aca="false">IF(B1420=1,MAX(C$1:C1419)+1,"")</f>
        <v/>
      </c>
    </row>
    <row r="1421" customFormat="false" ht="15" hidden="false" customHeight="false" outlineLevel="0" collapsed="false">
      <c r="A1421" s="0" t="str">
        <f aca="false">IF(COMPRAS!K221="","",COMPRAS!K221)</f>
        <v/>
      </c>
      <c r="B1421" s="0" t="str">
        <f aca="false">IF(A1421="","",IF(MATCH(A1421,$A$2:$A$3201,0)=ROW()-1,1,0))</f>
        <v/>
      </c>
      <c r="C1421" s="0" t="str">
        <f aca="false">IF(B1421=1,MAX(C$1:C1420)+1,"")</f>
        <v/>
      </c>
    </row>
    <row r="1422" customFormat="false" ht="15" hidden="false" customHeight="false" outlineLevel="0" collapsed="false">
      <c r="A1422" s="0" t="str">
        <f aca="false">IF(COMPRAS!K222="","",COMPRAS!K222)</f>
        <v/>
      </c>
      <c r="B1422" s="0" t="str">
        <f aca="false">IF(A1422="","",IF(MATCH(A1422,$A$2:$A$3201,0)=ROW()-1,1,0))</f>
        <v/>
      </c>
      <c r="C1422" s="0" t="str">
        <f aca="false">IF(B1422=1,MAX(C$1:C1421)+1,"")</f>
        <v/>
      </c>
    </row>
    <row r="1423" customFormat="false" ht="15" hidden="false" customHeight="false" outlineLevel="0" collapsed="false">
      <c r="A1423" s="0" t="str">
        <f aca="false">IF(COMPRAS!K223="","",COMPRAS!K223)</f>
        <v/>
      </c>
      <c r="B1423" s="0" t="str">
        <f aca="false">IF(A1423="","",IF(MATCH(A1423,$A$2:$A$3201,0)=ROW()-1,1,0))</f>
        <v/>
      </c>
      <c r="C1423" s="0" t="str">
        <f aca="false">IF(B1423=1,MAX(C$1:C1422)+1,"")</f>
        <v/>
      </c>
    </row>
    <row r="1424" customFormat="false" ht="15" hidden="false" customHeight="false" outlineLevel="0" collapsed="false">
      <c r="A1424" s="0" t="str">
        <f aca="false">IF(COMPRAS!K224="","",COMPRAS!K224)</f>
        <v/>
      </c>
      <c r="B1424" s="0" t="str">
        <f aca="false">IF(A1424="","",IF(MATCH(A1424,$A$2:$A$3201,0)=ROW()-1,1,0))</f>
        <v/>
      </c>
      <c r="C1424" s="0" t="str">
        <f aca="false">IF(B1424=1,MAX(C$1:C1423)+1,"")</f>
        <v/>
      </c>
    </row>
    <row r="1425" customFormat="false" ht="15" hidden="false" customHeight="false" outlineLevel="0" collapsed="false">
      <c r="A1425" s="0" t="str">
        <f aca="false">IF(COMPRAS!K225="","",COMPRAS!K225)</f>
        <v/>
      </c>
      <c r="B1425" s="0" t="str">
        <f aca="false">IF(A1425="","",IF(MATCH(A1425,$A$2:$A$3201,0)=ROW()-1,1,0))</f>
        <v/>
      </c>
      <c r="C1425" s="0" t="str">
        <f aca="false">IF(B1425=1,MAX(C$1:C1424)+1,"")</f>
        <v/>
      </c>
    </row>
    <row r="1426" customFormat="false" ht="15" hidden="false" customHeight="false" outlineLevel="0" collapsed="false">
      <c r="A1426" s="0" t="str">
        <f aca="false">IF(COMPRAS!K226="","",COMPRAS!K226)</f>
        <v/>
      </c>
      <c r="B1426" s="0" t="str">
        <f aca="false">IF(A1426="","",IF(MATCH(A1426,$A$2:$A$3201,0)=ROW()-1,1,0))</f>
        <v/>
      </c>
      <c r="C1426" s="0" t="str">
        <f aca="false">IF(B1426=1,MAX(C$1:C1425)+1,"")</f>
        <v/>
      </c>
    </row>
    <row r="1427" customFormat="false" ht="15" hidden="false" customHeight="false" outlineLevel="0" collapsed="false">
      <c r="A1427" s="0" t="str">
        <f aca="false">IF(COMPRAS!K227="","",COMPRAS!K227)</f>
        <v/>
      </c>
      <c r="B1427" s="0" t="str">
        <f aca="false">IF(A1427="","",IF(MATCH(A1427,$A$2:$A$3201,0)=ROW()-1,1,0))</f>
        <v/>
      </c>
      <c r="C1427" s="0" t="str">
        <f aca="false">IF(B1427=1,MAX(C$1:C1426)+1,"")</f>
        <v/>
      </c>
    </row>
    <row r="1428" customFormat="false" ht="15" hidden="false" customHeight="false" outlineLevel="0" collapsed="false">
      <c r="A1428" s="0" t="str">
        <f aca="false">IF(COMPRAS!K228="","",COMPRAS!K228)</f>
        <v/>
      </c>
      <c r="B1428" s="0" t="str">
        <f aca="false">IF(A1428="","",IF(MATCH(A1428,$A$2:$A$3201,0)=ROW()-1,1,0))</f>
        <v/>
      </c>
      <c r="C1428" s="0" t="str">
        <f aca="false">IF(B1428=1,MAX(C$1:C1427)+1,"")</f>
        <v/>
      </c>
    </row>
    <row r="1429" customFormat="false" ht="15" hidden="false" customHeight="false" outlineLevel="0" collapsed="false">
      <c r="A1429" s="0" t="str">
        <f aca="false">IF(COMPRAS!K229="","",COMPRAS!K229)</f>
        <v/>
      </c>
      <c r="B1429" s="0" t="str">
        <f aca="false">IF(A1429="","",IF(MATCH(A1429,$A$2:$A$3201,0)=ROW()-1,1,0))</f>
        <v/>
      </c>
      <c r="C1429" s="0" t="str">
        <f aca="false">IF(B1429=1,MAX(C$1:C1428)+1,"")</f>
        <v/>
      </c>
    </row>
    <row r="1430" customFormat="false" ht="15" hidden="false" customHeight="false" outlineLevel="0" collapsed="false">
      <c r="A1430" s="0" t="str">
        <f aca="false">IF(COMPRAS!K230="","",COMPRAS!K230)</f>
        <v/>
      </c>
      <c r="B1430" s="0" t="str">
        <f aca="false">IF(A1430="","",IF(MATCH(A1430,$A$2:$A$3201,0)=ROW()-1,1,0))</f>
        <v/>
      </c>
      <c r="C1430" s="0" t="str">
        <f aca="false">IF(B1430=1,MAX(C$1:C1429)+1,"")</f>
        <v/>
      </c>
    </row>
    <row r="1431" customFormat="false" ht="15" hidden="false" customHeight="false" outlineLevel="0" collapsed="false">
      <c r="A1431" s="0" t="str">
        <f aca="false">IF(COMPRAS!K231="","",COMPRAS!K231)</f>
        <v/>
      </c>
      <c r="B1431" s="0" t="str">
        <f aca="false">IF(A1431="","",IF(MATCH(A1431,$A$2:$A$3201,0)=ROW()-1,1,0))</f>
        <v/>
      </c>
      <c r="C1431" s="0" t="str">
        <f aca="false">IF(B1431=1,MAX(C$1:C1430)+1,"")</f>
        <v/>
      </c>
    </row>
    <row r="1432" customFormat="false" ht="15" hidden="false" customHeight="false" outlineLevel="0" collapsed="false">
      <c r="A1432" s="0" t="str">
        <f aca="false">IF(COMPRAS!K232="","",COMPRAS!K232)</f>
        <v/>
      </c>
      <c r="B1432" s="0" t="str">
        <f aca="false">IF(A1432="","",IF(MATCH(A1432,$A$2:$A$3201,0)=ROW()-1,1,0))</f>
        <v/>
      </c>
      <c r="C1432" s="0" t="str">
        <f aca="false">IF(B1432=1,MAX(C$1:C1431)+1,"")</f>
        <v/>
      </c>
    </row>
    <row r="1433" customFormat="false" ht="15" hidden="false" customHeight="false" outlineLevel="0" collapsed="false">
      <c r="A1433" s="0" t="str">
        <f aca="false">IF(COMPRAS!K233="","",COMPRAS!K233)</f>
        <v/>
      </c>
      <c r="B1433" s="0" t="str">
        <f aca="false">IF(A1433="","",IF(MATCH(A1433,$A$2:$A$3201,0)=ROW()-1,1,0))</f>
        <v/>
      </c>
      <c r="C1433" s="0" t="str">
        <f aca="false">IF(B1433=1,MAX(C$1:C1432)+1,"")</f>
        <v/>
      </c>
    </row>
    <row r="1434" customFormat="false" ht="15" hidden="false" customHeight="false" outlineLevel="0" collapsed="false">
      <c r="A1434" s="0" t="str">
        <f aca="false">IF(COMPRAS!K234="","",COMPRAS!K234)</f>
        <v/>
      </c>
      <c r="B1434" s="0" t="str">
        <f aca="false">IF(A1434="","",IF(MATCH(A1434,$A$2:$A$3201,0)=ROW()-1,1,0))</f>
        <v/>
      </c>
      <c r="C1434" s="0" t="str">
        <f aca="false">IF(B1434=1,MAX(C$1:C1433)+1,"")</f>
        <v/>
      </c>
    </row>
    <row r="1435" customFormat="false" ht="15" hidden="false" customHeight="false" outlineLevel="0" collapsed="false">
      <c r="A1435" s="0" t="str">
        <f aca="false">IF(COMPRAS!K235="","",COMPRAS!K235)</f>
        <v/>
      </c>
      <c r="B1435" s="0" t="str">
        <f aca="false">IF(A1435="","",IF(MATCH(A1435,$A$2:$A$3201,0)=ROW()-1,1,0))</f>
        <v/>
      </c>
      <c r="C1435" s="0" t="str">
        <f aca="false">IF(B1435=1,MAX(C$1:C1434)+1,"")</f>
        <v/>
      </c>
    </row>
    <row r="1436" customFormat="false" ht="15" hidden="false" customHeight="false" outlineLevel="0" collapsed="false">
      <c r="A1436" s="0" t="str">
        <f aca="false">IF(COMPRAS!K236="","",COMPRAS!K236)</f>
        <v/>
      </c>
      <c r="B1436" s="0" t="str">
        <f aca="false">IF(A1436="","",IF(MATCH(A1436,$A$2:$A$3201,0)=ROW()-1,1,0))</f>
        <v/>
      </c>
      <c r="C1436" s="0" t="str">
        <f aca="false">IF(B1436=1,MAX(C$1:C1435)+1,"")</f>
        <v/>
      </c>
    </row>
    <row r="1437" customFormat="false" ht="15" hidden="false" customHeight="false" outlineLevel="0" collapsed="false">
      <c r="A1437" s="0" t="str">
        <f aca="false">IF(COMPRAS!K237="","",COMPRAS!K237)</f>
        <v/>
      </c>
      <c r="B1437" s="0" t="str">
        <f aca="false">IF(A1437="","",IF(MATCH(A1437,$A$2:$A$3201,0)=ROW()-1,1,0))</f>
        <v/>
      </c>
      <c r="C1437" s="0" t="str">
        <f aca="false">IF(B1437=1,MAX(C$1:C1436)+1,"")</f>
        <v/>
      </c>
    </row>
    <row r="1438" customFormat="false" ht="15" hidden="false" customHeight="false" outlineLevel="0" collapsed="false">
      <c r="A1438" s="0" t="str">
        <f aca="false">IF(COMPRAS!K238="","",COMPRAS!K238)</f>
        <v/>
      </c>
      <c r="B1438" s="0" t="str">
        <f aca="false">IF(A1438="","",IF(MATCH(A1438,$A$2:$A$3201,0)=ROW()-1,1,0))</f>
        <v/>
      </c>
      <c r="C1438" s="0" t="str">
        <f aca="false">IF(B1438=1,MAX(C$1:C1437)+1,"")</f>
        <v/>
      </c>
    </row>
    <row r="1439" customFormat="false" ht="15" hidden="false" customHeight="false" outlineLevel="0" collapsed="false">
      <c r="A1439" s="0" t="str">
        <f aca="false">IF(COMPRAS!K239="","",COMPRAS!K239)</f>
        <v/>
      </c>
      <c r="B1439" s="0" t="str">
        <f aca="false">IF(A1439="","",IF(MATCH(A1439,$A$2:$A$3201,0)=ROW()-1,1,0))</f>
        <v/>
      </c>
      <c r="C1439" s="0" t="str">
        <f aca="false">IF(B1439=1,MAX(C$1:C1438)+1,"")</f>
        <v/>
      </c>
    </row>
    <row r="1440" customFormat="false" ht="15" hidden="false" customHeight="false" outlineLevel="0" collapsed="false">
      <c r="A1440" s="0" t="str">
        <f aca="false">IF(COMPRAS!K240="","",COMPRAS!K240)</f>
        <v/>
      </c>
      <c r="B1440" s="0" t="str">
        <f aca="false">IF(A1440="","",IF(MATCH(A1440,$A$2:$A$3201,0)=ROW()-1,1,0))</f>
        <v/>
      </c>
      <c r="C1440" s="0" t="str">
        <f aca="false">IF(B1440=1,MAX(C$1:C1439)+1,"")</f>
        <v/>
      </c>
    </row>
    <row r="1441" customFormat="false" ht="15" hidden="false" customHeight="false" outlineLevel="0" collapsed="false">
      <c r="A1441" s="0" t="str">
        <f aca="false">IF(COMPRAS!K241="","",COMPRAS!K241)</f>
        <v/>
      </c>
      <c r="B1441" s="0" t="str">
        <f aca="false">IF(A1441="","",IF(MATCH(A1441,$A$2:$A$3201,0)=ROW()-1,1,0))</f>
        <v/>
      </c>
      <c r="C1441" s="0" t="str">
        <f aca="false">IF(B1441=1,MAX(C$1:C1440)+1,"")</f>
        <v/>
      </c>
    </row>
    <row r="1442" customFormat="false" ht="15" hidden="false" customHeight="false" outlineLevel="0" collapsed="false">
      <c r="A1442" s="0" t="str">
        <f aca="false">IF(COMPRAS!K242="","",COMPRAS!K242)</f>
        <v/>
      </c>
      <c r="B1442" s="0" t="str">
        <f aca="false">IF(A1442="","",IF(MATCH(A1442,$A$2:$A$3201,0)=ROW()-1,1,0))</f>
        <v/>
      </c>
      <c r="C1442" s="0" t="str">
        <f aca="false">IF(B1442=1,MAX(C$1:C1441)+1,"")</f>
        <v/>
      </c>
    </row>
    <row r="1443" customFormat="false" ht="15" hidden="false" customHeight="false" outlineLevel="0" collapsed="false">
      <c r="A1443" s="0" t="str">
        <f aca="false">IF(COMPRAS!K243="","",COMPRAS!K243)</f>
        <v/>
      </c>
      <c r="B1443" s="0" t="str">
        <f aca="false">IF(A1443="","",IF(MATCH(A1443,$A$2:$A$3201,0)=ROW()-1,1,0))</f>
        <v/>
      </c>
      <c r="C1443" s="0" t="str">
        <f aca="false">IF(B1443=1,MAX(C$1:C1442)+1,"")</f>
        <v/>
      </c>
    </row>
    <row r="1444" customFormat="false" ht="15" hidden="false" customHeight="false" outlineLevel="0" collapsed="false">
      <c r="A1444" s="0" t="str">
        <f aca="false">IF(COMPRAS!K244="","",COMPRAS!K244)</f>
        <v/>
      </c>
      <c r="B1444" s="0" t="str">
        <f aca="false">IF(A1444="","",IF(MATCH(A1444,$A$2:$A$3201,0)=ROW()-1,1,0))</f>
        <v/>
      </c>
      <c r="C1444" s="0" t="str">
        <f aca="false">IF(B1444=1,MAX(C$1:C1443)+1,"")</f>
        <v/>
      </c>
    </row>
    <row r="1445" customFormat="false" ht="15" hidden="false" customHeight="false" outlineLevel="0" collapsed="false">
      <c r="A1445" s="0" t="str">
        <f aca="false">IF(COMPRAS!K245="","",COMPRAS!K245)</f>
        <v/>
      </c>
      <c r="B1445" s="0" t="str">
        <f aca="false">IF(A1445="","",IF(MATCH(A1445,$A$2:$A$3201,0)=ROW()-1,1,0))</f>
        <v/>
      </c>
      <c r="C1445" s="0" t="str">
        <f aca="false">IF(B1445=1,MAX(C$1:C1444)+1,"")</f>
        <v/>
      </c>
    </row>
    <row r="1446" customFormat="false" ht="15" hidden="false" customHeight="false" outlineLevel="0" collapsed="false">
      <c r="A1446" s="0" t="str">
        <f aca="false">IF(COMPRAS!K246="","",COMPRAS!K246)</f>
        <v/>
      </c>
      <c r="B1446" s="0" t="str">
        <f aca="false">IF(A1446="","",IF(MATCH(A1446,$A$2:$A$3201,0)=ROW()-1,1,0))</f>
        <v/>
      </c>
      <c r="C1446" s="0" t="str">
        <f aca="false">IF(B1446=1,MAX(C$1:C1445)+1,"")</f>
        <v/>
      </c>
    </row>
    <row r="1447" customFormat="false" ht="15" hidden="false" customHeight="false" outlineLevel="0" collapsed="false">
      <c r="A1447" s="0" t="str">
        <f aca="false">IF(COMPRAS!K247="","",COMPRAS!K247)</f>
        <v/>
      </c>
      <c r="B1447" s="0" t="str">
        <f aca="false">IF(A1447="","",IF(MATCH(A1447,$A$2:$A$3201,0)=ROW()-1,1,0))</f>
        <v/>
      </c>
      <c r="C1447" s="0" t="str">
        <f aca="false">IF(B1447=1,MAX(C$1:C1446)+1,"")</f>
        <v/>
      </c>
    </row>
    <row r="1448" customFormat="false" ht="15" hidden="false" customHeight="false" outlineLevel="0" collapsed="false">
      <c r="A1448" s="0" t="str">
        <f aca="false">IF(COMPRAS!K248="","",COMPRAS!K248)</f>
        <v/>
      </c>
      <c r="B1448" s="0" t="str">
        <f aca="false">IF(A1448="","",IF(MATCH(A1448,$A$2:$A$3201,0)=ROW()-1,1,0))</f>
        <v/>
      </c>
      <c r="C1448" s="0" t="str">
        <f aca="false">IF(B1448=1,MAX(C$1:C1447)+1,"")</f>
        <v/>
      </c>
    </row>
    <row r="1449" customFormat="false" ht="15" hidden="false" customHeight="false" outlineLevel="0" collapsed="false">
      <c r="A1449" s="0" t="str">
        <f aca="false">IF(COMPRAS!K249="","",COMPRAS!K249)</f>
        <v/>
      </c>
      <c r="B1449" s="0" t="str">
        <f aca="false">IF(A1449="","",IF(MATCH(A1449,$A$2:$A$3201,0)=ROW()-1,1,0))</f>
        <v/>
      </c>
      <c r="C1449" s="0" t="str">
        <f aca="false">IF(B1449=1,MAX(C$1:C1448)+1,"")</f>
        <v/>
      </c>
    </row>
    <row r="1450" customFormat="false" ht="15" hidden="false" customHeight="false" outlineLevel="0" collapsed="false">
      <c r="A1450" s="0" t="str">
        <f aca="false">IF(COMPRAS!K250="","",COMPRAS!K250)</f>
        <v/>
      </c>
      <c r="B1450" s="0" t="str">
        <f aca="false">IF(A1450="","",IF(MATCH(A1450,$A$2:$A$3201,0)=ROW()-1,1,0))</f>
        <v/>
      </c>
      <c r="C1450" s="0" t="str">
        <f aca="false">IF(B1450=1,MAX(C$1:C1449)+1,"")</f>
        <v/>
      </c>
    </row>
    <row r="1451" customFormat="false" ht="15" hidden="false" customHeight="false" outlineLevel="0" collapsed="false">
      <c r="A1451" s="0" t="str">
        <f aca="false">IF(COMPRAS!K251="","",COMPRAS!K251)</f>
        <v/>
      </c>
      <c r="B1451" s="0" t="str">
        <f aca="false">IF(A1451="","",IF(MATCH(A1451,$A$2:$A$3201,0)=ROW()-1,1,0))</f>
        <v/>
      </c>
      <c r="C1451" s="0" t="str">
        <f aca="false">IF(B1451=1,MAX(C$1:C1450)+1,"")</f>
        <v/>
      </c>
    </row>
    <row r="1452" customFormat="false" ht="15" hidden="false" customHeight="false" outlineLevel="0" collapsed="false">
      <c r="A1452" s="0" t="str">
        <f aca="false">IF(COMPRAS!K252="","",COMPRAS!K252)</f>
        <v/>
      </c>
      <c r="B1452" s="0" t="str">
        <f aca="false">IF(A1452="","",IF(MATCH(A1452,$A$2:$A$3201,0)=ROW()-1,1,0))</f>
        <v/>
      </c>
      <c r="C1452" s="0" t="str">
        <f aca="false">IF(B1452=1,MAX(C$1:C1451)+1,"")</f>
        <v/>
      </c>
    </row>
    <row r="1453" customFormat="false" ht="15" hidden="false" customHeight="false" outlineLevel="0" collapsed="false">
      <c r="A1453" s="0" t="str">
        <f aca="false">IF(COMPRAS!K253="","",COMPRAS!K253)</f>
        <v/>
      </c>
      <c r="B1453" s="0" t="str">
        <f aca="false">IF(A1453="","",IF(MATCH(A1453,$A$2:$A$3201,0)=ROW()-1,1,0))</f>
        <v/>
      </c>
      <c r="C1453" s="0" t="str">
        <f aca="false">IF(B1453=1,MAX(C$1:C1452)+1,"")</f>
        <v/>
      </c>
    </row>
    <row r="1454" customFormat="false" ht="15" hidden="false" customHeight="false" outlineLevel="0" collapsed="false">
      <c r="A1454" s="0" t="str">
        <f aca="false">IF(COMPRAS!K254="","",COMPRAS!K254)</f>
        <v/>
      </c>
      <c r="B1454" s="0" t="str">
        <f aca="false">IF(A1454="","",IF(MATCH(A1454,$A$2:$A$3201,0)=ROW()-1,1,0))</f>
        <v/>
      </c>
      <c r="C1454" s="0" t="str">
        <f aca="false">IF(B1454=1,MAX(C$1:C1453)+1,"")</f>
        <v/>
      </c>
    </row>
    <row r="1455" customFormat="false" ht="15" hidden="false" customHeight="false" outlineLevel="0" collapsed="false">
      <c r="A1455" s="0" t="str">
        <f aca="false">IF(COMPRAS!K255="","",COMPRAS!K255)</f>
        <v/>
      </c>
      <c r="B1455" s="0" t="str">
        <f aca="false">IF(A1455="","",IF(MATCH(A1455,$A$2:$A$3201,0)=ROW()-1,1,0))</f>
        <v/>
      </c>
      <c r="C1455" s="0" t="str">
        <f aca="false">IF(B1455=1,MAX(C$1:C1454)+1,"")</f>
        <v/>
      </c>
    </row>
    <row r="1456" customFormat="false" ht="15" hidden="false" customHeight="false" outlineLevel="0" collapsed="false">
      <c r="A1456" s="0" t="str">
        <f aca="false">IF(COMPRAS!K256="","",COMPRAS!K256)</f>
        <v/>
      </c>
      <c r="B1456" s="0" t="str">
        <f aca="false">IF(A1456="","",IF(MATCH(A1456,$A$2:$A$3201,0)=ROW()-1,1,0))</f>
        <v/>
      </c>
      <c r="C1456" s="0" t="str">
        <f aca="false">IF(B1456=1,MAX(C$1:C1455)+1,"")</f>
        <v/>
      </c>
    </row>
    <row r="1457" customFormat="false" ht="15" hidden="false" customHeight="false" outlineLevel="0" collapsed="false">
      <c r="A1457" s="0" t="str">
        <f aca="false">IF(COMPRAS!K257="","",COMPRAS!K257)</f>
        <v/>
      </c>
      <c r="B1457" s="0" t="str">
        <f aca="false">IF(A1457="","",IF(MATCH(A1457,$A$2:$A$3201,0)=ROW()-1,1,0))</f>
        <v/>
      </c>
      <c r="C1457" s="0" t="str">
        <f aca="false">IF(B1457=1,MAX(C$1:C1456)+1,"")</f>
        <v/>
      </c>
    </row>
    <row r="1458" customFormat="false" ht="15" hidden="false" customHeight="false" outlineLevel="0" collapsed="false">
      <c r="A1458" s="0" t="str">
        <f aca="false">IF(COMPRAS!K258="","",COMPRAS!K258)</f>
        <v/>
      </c>
      <c r="B1458" s="0" t="str">
        <f aca="false">IF(A1458="","",IF(MATCH(A1458,$A$2:$A$3201,0)=ROW()-1,1,0))</f>
        <v/>
      </c>
      <c r="C1458" s="0" t="str">
        <f aca="false">IF(B1458=1,MAX(C$1:C1457)+1,"")</f>
        <v/>
      </c>
    </row>
    <row r="1459" customFormat="false" ht="15" hidden="false" customHeight="false" outlineLevel="0" collapsed="false">
      <c r="A1459" s="0" t="str">
        <f aca="false">IF(COMPRAS!K259="","",COMPRAS!K259)</f>
        <v/>
      </c>
      <c r="B1459" s="0" t="str">
        <f aca="false">IF(A1459="","",IF(MATCH(A1459,$A$2:$A$3201,0)=ROW()-1,1,0))</f>
        <v/>
      </c>
      <c r="C1459" s="0" t="str">
        <f aca="false">IF(B1459=1,MAX(C$1:C1458)+1,"")</f>
        <v/>
      </c>
    </row>
    <row r="1460" customFormat="false" ht="15" hidden="false" customHeight="false" outlineLevel="0" collapsed="false">
      <c r="A1460" s="0" t="str">
        <f aca="false">IF(COMPRAS!K260="","",COMPRAS!K260)</f>
        <v/>
      </c>
      <c r="B1460" s="0" t="str">
        <f aca="false">IF(A1460="","",IF(MATCH(A1460,$A$2:$A$3201,0)=ROW()-1,1,0))</f>
        <v/>
      </c>
      <c r="C1460" s="0" t="str">
        <f aca="false">IF(B1460=1,MAX(C$1:C1459)+1,"")</f>
        <v/>
      </c>
    </row>
    <row r="1461" customFormat="false" ht="15" hidden="false" customHeight="false" outlineLevel="0" collapsed="false">
      <c r="A1461" s="0" t="str">
        <f aca="false">IF(COMPRAS!K261="","",COMPRAS!K261)</f>
        <v/>
      </c>
      <c r="B1461" s="0" t="str">
        <f aca="false">IF(A1461="","",IF(MATCH(A1461,$A$2:$A$3201,0)=ROW()-1,1,0))</f>
        <v/>
      </c>
      <c r="C1461" s="0" t="str">
        <f aca="false">IF(B1461=1,MAX(C$1:C1460)+1,"")</f>
        <v/>
      </c>
    </row>
    <row r="1462" customFormat="false" ht="15" hidden="false" customHeight="false" outlineLevel="0" collapsed="false">
      <c r="A1462" s="0" t="str">
        <f aca="false">IF(COMPRAS!K262="","",COMPRAS!K262)</f>
        <v/>
      </c>
      <c r="B1462" s="0" t="str">
        <f aca="false">IF(A1462="","",IF(MATCH(A1462,$A$2:$A$3201,0)=ROW()-1,1,0))</f>
        <v/>
      </c>
      <c r="C1462" s="0" t="str">
        <f aca="false">IF(B1462=1,MAX(C$1:C1461)+1,"")</f>
        <v/>
      </c>
    </row>
    <row r="1463" customFormat="false" ht="15" hidden="false" customHeight="false" outlineLevel="0" collapsed="false">
      <c r="A1463" s="0" t="str">
        <f aca="false">IF(COMPRAS!K263="","",COMPRAS!K263)</f>
        <v/>
      </c>
      <c r="B1463" s="0" t="str">
        <f aca="false">IF(A1463="","",IF(MATCH(A1463,$A$2:$A$3201,0)=ROW()-1,1,0))</f>
        <v/>
      </c>
      <c r="C1463" s="0" t="str">
        <f aca="false">IF(B1463=1,MAX(C$1:C1462)+1,"")</f>
        <v/>
      </c>
    </row>
    <row r="1464" customFormat="false" ht="15" hidden="false" customHeight="false" outlineLevel="0" collapsed="false">
      <c r="A1464" s="0" t="str">
        <f aca="false">IF(COMPRAS!K264="","",COMPRAS!K264)</f>
        <v/>
      </c>
      <c r="B1464" s="0" t="str">
        <f aca="false">IF(A1464="","",IF(MATCH(A1464,$A$2:$A$3201,0)=ROW()-1,1,0))</f>
        <v/>
      </c>
      <c r="C1464" s="0" t="str">
        <f aca="false">IF(B1464=1,MAX(C$1:C1463)+1,"")</f>
        <v/>
      </c>
    </row>
    <row r="1465" customFormat="false" ht="15" hidden="false" customHeight="false" outlineLevel="0" collapsed="false">
      <c r="A1465" s="0" t="str">
        <f aca="false">IF(COMPRAS!K265="","",COMPRAS!K265)</f>
        <v/>
      </c>
      <c r="B1465" s="0" t="str">
        <f aca="false">IF(A1465="","",IF(MATCH(A1465,$A$2:$A$3201,0)=ROW()-1,1,0))</f>
        <v/>
      </c>
      <c r="C1465" s="0" t="str">
        <f aca="false">IF(B1465=1,MAX(C$1:C1464)+1,"")</f>
        <v/>
      </c>
    </row>
    <row r="1466" customFormat="false" ht="15" hidden="false" customHeight="false" outlineLevel="0" collapsed="false">
      <c r="A1466" s="0" t="str">
        <f aca="false">IF(COMPRAS!K266="","",COMPRAS!K266)</f>
        <v/>
      </c>
      <c r="B1466" s="0" t="str">
        <f aca="false">IF(A1466="","",IF(MATCH(A1466,$A$2:$A$3201,0)=ROW()-1,1,0))</f>
        <v/>
      </c>
      <c r="C1466" s="0" t="str">
        <f aca="false">IF(B1466=1,MAX(C$1:C1465)+1,"")</f>
        <v/>
      </c>
    </row>
    <row r="1467" customFormat="false" ht="15" hidden="false" customHeight="false" outlineLevel="0" collapsed="false">
      <c r="A1467" s="0" t="str">
        <f aca="false">IF(COMPRAS!K267="","",COMPRAS!K267)</f>
        <v/>
      </c>
      <c r="B1467" s="0" t="str">
        <f aca="false">IF(A1467="","",IF(MATCH(A1467,$A$2:$A$3201,0)=ROW()-1,1,0))</f>
        <v/>
      </c>
      <c r="C1467" s="0" t="str">
        <f aca="false">IF(B1467=1,MAX(C$1:C1466)+1,"")</f>
        <v/>
      </c>
    </row>
    <row r="1468" customFormat="false" ht="15" hidden="false" customHeight="false" outlineLevel="0" collapsed="false">
      <c r="A1468" s="0" t="str">
        <f aca="false">IF(COMPRAS!K268="","",COMPRAS!K268)</f>
        <v/>
      </c>
      <c r="B1468" s="0" t="str">
        <f aca="false">IF(A1468="","",IF(MATCH(A1468,$A$2:$A$3201,0)=ROW()-1,1,0))</f>
        <v/>
      </c>
      <c r="C1468" s="0" t="str">
        <f aca="false">IF(B1468=1,MAX(C$1:C1467)+1,"")</f>
        <v/>
      </c>
    </row>
    <row r="1469" customFormat="false" ht="15" hidden="false" customHeight="false" outlineLevel="0" collapsed="false">
      <c r="A1469" s="0" t="str">
        <f aca="false">IF(COMPRAS!K269="","",COMPRAS!K269)</f>
        <v/>
      </c>
      <c r="B1469" s="0" t="str">
        <f aca="false">IF(A1469="","",IF(MATCH(A1469,$A$2:$A$3201,0)=ROW()-1,1,0))</f>
        <v/>
      </c>
      <c r="C1469" s="0" t="str">
        <f aca="false">IF(B1469=1,MAX(C$1:C1468)+1,"")</f>
        <v/>
      </c>
    </row>
    <row r="1470" customFormat="false" ht="15" hidden="false" customHeight="false" outlineLevel="0" collapsed="false">
      <c r="A1470" s="0" t="str">
        <f aca="false">IF(COMPRAS!K270="","",COMPRAS!K270)</f>
        <v/>
      </c>
      <c r="B1470" s="0" t="str">
        <f aca="false">IF(A1470="","",IF(MATCH(A1470,$A$2:$A$3201,0)=ROW()-1,1,0))</f>
        <v/>
      </c>
      <c r="C1470" s="0" t="str">
        <f aca="false">IF(B1470=1,MAX(C$1:C1469)+1,"")</f>
        <v/>
      </c>
    </row>
    <row r="1471" customFormat="false" ht="15" hidden="false" customHeight="false" outlineLevel="0" collapsed="false">
      <c r="A1471" s="0" t="str">
        <f aca="false">IF(COMPRAS!K271="","",COMPRAS!K271)</f>
        <v/>
      </c>
      <c r="B1471" s="0" t="str">
        <f aca="false">IF(A1471="","",IF(MATCH(A1471,$A$2:$A$3201,0)=ROW()-1,1,0))</f>
        <v/>
      </c>
      <c r="C1471" s="0" t="str">
        <f aca="false">IF(B1471=1,MAX(C$1:C1470)+1,"")</f>
        <v/>
      </c>
    </row>
    <row r="1472" customFormat="false" ht="15" hidden="false" customHeight="false" outlineLevel="0" collapsed="false">
      <c r="A1472" s="0" t="str">
        <f aca="false">IF(COMPRAS!K272="","",COMPRAS!K272)</f>
        <v/>
      </c>
      <c r="B1472" s="0" t="str">
        <f aca="false">IF(A1472="","",IF(MATCH(A1472,$A$2:$A$3201,0)=ROW()-1,1,0))</f>
        <v/>
      </c>
      <c r="C1472" s="0" t="str">
        <f aca="false">IF(B1472=1,MAX(C$1:C1471)+1,"")</f>
        <v/>
      </c>
    </row>
    <row r="1473" customFormat="false" ht="15" hidden="false" customHeight="false" outlineLevel="0" collapsed="false">
      <c r="A1473" s="0" t="str">
        <f aca="false">IF(COMPRAS!K273="","",COMPRAS!K273)</f>
        <v/>
      </c>
      <c r="B1473" s="0" t="str">
        <f aca="false">IF(A1473="","",IF(MATCH(A1473,$A$2:$A$3201,0)=ROW()-1,1,0))</f>
        <v/>
      </c>
      <c r="C1473" s="0" t="str">
        <f aca="false">IF(B1473=1,MAX(C$1:C1472)+1,"")</f>
        <v/>
      </c>
    </row>
    <row r="1474" customFormat="false" ht="15" hidden="false" customHeight="false" outlineLevel="0" collapsed="false">
      <c r="A1474" s="0" t="str">
        <f aca="false">IF(COMPRAS!K274="","",COMPRAS!K274)</f>
        <v/>
      </c>
      <c r="B1474" s="0" t="str">
        <f aca="false">IF(A1474="","",IF(MATCH(A1474,$A$2:$A$3201,0)=ROW()-1,1,0))</f>
        <v/>
      </c>
      <c r="C1474" s="0" t="str">
        <f aca="false">IF(B1474=1,MAX(C$1:C1473)+1,"")</f>
        <v/>
      </c>
    </row>
    <row r="1475" customFormat="false" ht="15" hidden="false" customHeight="false" outlineLevel="0" collapsed="false">
      <c r="A1475" s="0" t="str">
        <f aca="false">IF(COMPRAS!K275="","",COMPRAS!K275)</f>
        <v/>
      </c>
      <c r="B1475" s="0" t="str">
        <f aca="false">IF(A1475="","",IF(MATCH(A1475,$A$2:$A$3201,0)=ROW()-1,1,0))</f>
        <v/>
      </c>
      <c r="C1475" s="0" t="str">
        <f aca="false">IF(B1475=1,MAX(C$1:C1474)+1,"")</f>
        <v/>
      </c>
    </row>
    <row r="1476" customFormat="false" ht="15" hidden="false" customHeight="false" outlineLevel="0" collapsed="false">
      <c r="A1476" s="0" t="str">
        <f aca="false">IF(COMPRAS!K276="","",COMPRAS!K276)</f>
        <v/>
      </c>
      <c r="B1476" s="0" t="str">
        <f aca="false">IF(A1476="","",IF(MATCH(A1476,$A$2:$A$3201,0)=ROW()-1,1,0))</f>
        <v/>
      </c>
      <c r="C1476" s="0" t="str">
        <f aca="false">IF(B1476=1,MAX(C$1:C1475)+1,"")</f>
        <v/>
      </c>
    </row>
    <row r="1477" customFormat="false" ht="15" hidden="false" customHeight="false" outlineLevel="0" collapsed="false">
      <c r="A1477" s="0" t="str">
        <f aca="false">IF(COMPRAS!K277="","",COMPRAS!K277)</f>
        <v/>
      </c>
      <c r="B1477" s="0" t="str">
        <f aca="false">IF(A1477="","",IF(MATCH(A1477,$A$2:$A$3201,0)=ROW()-1,1,0))</f>
        <v/>
      </c>
      <c r="C1477" s="0" t="str">
        <f aca="false">IF(B1477=1,MAX(C$1:C1476)+1,"")</f>
        <v/>
      </c>
    </row>
    <row r="1478" customFormat="false" ht="15" hidden="false" customHeight="false" outlineLevel="0" collapsed="false">
      <c r="A1478" s="0" t="str">
        <f aca="false">IF(COMPRAS!K278="","",COMPRAS!K278)</f>
        <v/>
      </c>
      <c r="B1478" s="0" t="str">
        <f aca="false">IF(A1478="","",IF(MATCH(A1478,$A$2:$A$3201,0)=ROW()-1,1,0))</f>
        <v/>
      </c>
      <c r="C1478" s="0" t="str">
        <f aca="false">IF(B1478=1,MAX(C$1:C1477)+1,"")</f>
        <v/>
      </c>
    </row>
    <row r="1479" customFormat="false" ht="15" hidden="false" customHeight="false" outlineLevel="0" collapsed="false">
      <c r="A1479" s="0" t="str">
        <f aca="false">IF(COMPRAS!K279="","",COMPRAS!K279)</f>
        <v/>
      </c>
      <c r="B1479" s="0" t="str">
        <f aca="false">IF(A1479="","",IF(MATCH(A1479,$A$2:$A$3201,0)=ROW()-1,1,0))</f>
        <v/>
      </c>
      <c r="C1479" s="0" t="str">
        <f aca="false">IF(B1479=1,MAX(C$1:C1478)+1,"")</f>
        <v/>
      </c>
    </row>
    <row r="1480" customFormat="false" ht="15" hidden="false" customHeight="false" outlineLevel="0" collapsed="false">
      <c r="A1480" s="0" t="str">
        <f aca="false">IF(COMPRAS!K280="","",COMPRAS!K280)</f>
        <v/>
      </c>
      <c r="B1480" s="0" t="str">
        <f aca="false">IF(A1480="","",IF(MATCH(A1480,$A$2:$A$3201,0)=ROW()-1,1,0))</f>
        <v/>
      </c>
      <c r="C1480" s="0" t="str">
        <f aca="false">IF(B1480=1,MAX(C$1:C1479)+1,"")</f>
        <v/>
      </c>
    </row>
    <row r="1481" customFormat="false" ht="15" hidden="false" customHeight="false" outlineLevel="0" collapsed="false">
      <c r="A1481" s="0" t="str">
        <f aca="false">IF(COMPRAS!K281="","",COMPRAS!K281)</f>
        <v/>
      </c>
      <c r="B1481" s="0" t="str">
        <f aca="false">IF(A1481="","",IF(MATCH(A1481,$A$2:$A$3201,0)=ROW()-1,1,0))</f>
        <v/>
      </c>
      <c r="C1481" s="0" t="str">
        <f aca="false">IF(B1481=1,MAX(C$1:C1480)+1,"")</f>
        <v/>
      </c>
    </row>
    <row r="1482" customFormat="false" ht="15" hidden="false" customHeight="false" outlineLevel="0" collapsed="false">
      <c r="A1482" s="0" t="str">
        <f aca="false">IF(COMPRAS!K282="","",COMPRAS!K282)</f>
        <v/>
      </c>
      <c r="B1482" s="0" t="str">
        <f aca="false">IF(A1482="","",IF(MATCH(A1482,$A$2:$A$3201,0)=ROW()-1,1,0))</f>
        <v/>
      </c>
      <c r="C1482" s="0" t="str">
        <f aca="false">IF(B1482=1,MAX(C$1:C1481)+1,"")</f>
        <v/>
      </c>
    </row>
    <row r="1483" customFormat="false" ht="15" hidden="false" customHeight="false" outlineLevel="0" collapsed="false">
      <c r="A1483" s="0" t="str">
        <f aca="false">IF(COMPRAS!K283="","",COMPRAS!K283)</f>
        <v/>
      </c>
      <c r="B1483" s="0" t="str">
        <f aca="false">IF(A1483="","",IF(MATCH(A1483,$A$2:$A$3201,0)=ROW()-1,1,0))</f>
        <v/>
      </c>
      <c r="C1483" s="0" t="str">
        <f aca="false">IF(B1483=1,MAX(C$1:C1482)+1,"")</f>
        <v/>
      </c>
    </row>
    <row r="1484" customFormat="false" ht="15" hidden="false" customHeight="false" outlineLevel="0" collapsed="false">
      <c r="A1484" s="0" t="str">
        <f aca="false">IF(COMPRAS!K284="","",COMPRAS!K284)</f>
        <v/>
      </c>
      <c r="B1484" s="0" t="str">
        <f aca="false">IF(A1484="","",IF(MATCH(A1484,$A$2:$A$3201,0)=ROW()-1,1,0))</f>
        <v/>
      </c>
      <c r="C1484" s="0" t="str">
        <f aca="false">IF(B1484=1,MAX(C$1:C1483)+1,"")</f>
        <v/>
      </c>
    </row>
    <row r="1485" customFormat="false" ht="15" hidden="false" customHeight="false" outlineLevel="0" collapsed="false">
      <c r="A1485" s="0" t="str">
        <f aca="false">IF(COMPRAS!K285="","",COMPRAS!K285)</f>
        <v/>
      </c>
      <c r="B1485" s="0" t="str">
        <f aca="false">IF(A1485="","",IF(MATCH(A1485,$A$2:$A$3201,0)=ROW()-1,1,0))</f>
        <v/>
      </c>
      <c r="C1485" s="0" t="str">
        <f aca="false">IF(B1485=1,MAX(C$1:C1484)+1,"")</f>
        <v/>
      </c>
    </row>
    <row r="1486" customFormat="false" ht="15" hidden="false" customHeight="false" outlineLevel="0" collapsed="false">
      <c r="A1486" s="0" t="str">
        <f aca="false">IF(COMPRAS!K286="","",COMPRAS!K286)</f>
        <v/>
      </c>
      <c r="B1486" s="0" t="str">
        <f aca="false">IF(A1486="","",IF(MATCH(A1486,$A$2:$A$3201,0)=ROW()-1,1,0))</f>
        <v/>
      </c>
      <c r="C1486" s="0" t="str">
        <f aca="false">IF(B1486=1,MAX(C$1:C1485)+1,"")</f>
        <v/>
      </c>
    </row>
    <row r="1487" customFormat="false" ht="15" hidden="false" customHeight="false" outlineLevel="0" collapsed="false">
      <c r="A1487" s="0" t="str">
        <f aca="false">IF(COMPRAS!K287="","",COMPRAS!K287)</f>
        <v/>
      </c>
      <c r="B1487" s="0" t="str">
        <f aca="false">IF(A1487="","",IF(MATCH(A1487,$A$2:$A$3201,0)=ROW()-1,1,0))</f>
        <v/>
      </c>
      <c r="C1487" s="0" t="str">
        <f aca="false">IF(B1487=1,MAX(C$1:C1486)+1,"")</f>
        <v/>
      </c>
    </row>
    <row r="1488" customFormat="false" ht="15" hidden="false" customHeight="false" outlineLevel="0" collapsed="false">
      <c r="A1488" s="0" t="str">
        <f aca="false">IF(COMPRAS!K288="","",COMPRAS!K288)</f>
        <v/>
      </c>
      <c r="B1488" s="0" t="str">
        <f aca="false">IF(A1488="","",IF(MATCH(A1488,$A$2:$A$3201,0)=ROW()-1,1,0))</f>
        <v/>
      </c>
      <c r="C1488" s="0" t="str">
        <f aca="false">IF(B1488=1,MAX(C$1:C1487)+1,"")</f>
        <v/>
      </c>
    </row>
    <row r="1489" customFormat="false" ht="15" hidden="false" customHeight="false" outlineLevel="0" collapsed="false">
      <c r="A1489" s="0" t="str">
        <f aca="false">IF(COMPRAS!K289="","",COMPRAS!K289)</f>
        <v/>
      </c>
      <c r="B1489" s="0" t="str">
        <f aca="false">IF(A1489="","",IF(MATCH(A1489,$A$2:$A$3201,0)=ROW()-1,1,0))</f>
        <v/>
      </c>
      <c r="C1489" s="0" t="str">
        <f aca="false">IF(B1489=1,MAX(C$1:C1488)+1,"")</f>
        <v/>
      </c>
    </row>
    <row r="1490" customFormat="false" ht="15" hidden="false" customHeight="false" outlineLevel="0" collapsed="false">
      <c r="A1490" s="0" t="str">
        <f aca="false">IF(COMPRAS!K290="","",COMPRAS!K290)</f>
        <v/>
      </c>
      <c r="B1490" s="0" t="str">
        <f aca="false">IF(A1490="","",IF(MATCH(A1490,$A$2:$A$3201,0)=ROW()-1,1,0))</f>
        <v/>
      </c>
      <c r="C1490" s="0" t="str">
        <f aca="false">IF(B1490=1,MAX(C$1:C1489)+1,"")</f>
        <v/>
      </c>
    </row>
    <row r="1491" customFormat="false" ht="15" hidden="false" customHeight="false" outlineLevel="0" collapsed="false">
      <c r="A1491" s="0" t="str">
        <f aca="false">IF(COMPRAS!K291="","",COMPRAS!K291)</f>
        <v/>
      </c>
      <c r="B1491" s="0" t="str">
        <f aca="false">IF(A1491="","",IF(MATCH(A1491,$A$2:$A$3201,0)=ROW()-1,1,0))</f>
        <v/>
      </c>
      <c r="C1491" s="0" t="str">
        <f aca="false">IF(B1491=1,MAX(C$1:C1490)+1,"")</f>
        <v/>
      </c>
    </row>
    <row r="1492" customFormat="false" ht="15" hidden="false" customHeight="false" outlineLevel="0" collapsed="false">
      <c r="A1492" s="0" t="str">
        <f aca="false">IF(COMPRAS!K292="","",COMPRAS!K292)</f>
        <v/>
      </c>
      <c r="B1492" s="0" t="str">
        <f aca="false">IF(A1492="","",IF(MATCH(A1492,$A$2:$A$3201,0)=ROW()-1,1,0))</f>
        <v/>
      </c>
      <c r="C1492" s="0" t="str">
        <f aca="false">IF(B1492=1,MAX(C$1:C1491)+1,"")</f>
        <v/>
      </c>
    </row>
    <row r="1493" customFormat="false" ht="15" hidden="false" customHeight="false" outlineLevel="0" collapsed="false">
      <c r="A1493" s="0" t="str">
        <f aca="false">IF(COMPRAS!K293="","",COMPRAS!K293)</f>
        <v/>
      </c>
      <c r="B1493" s="0" t="str">
        <f aca="false">IF(A1493="","",IF(MATCH(A1493,$A$2:$A$3201,0)=ROW()-1,1,0))</f>
        <v/>
      </c>
      <c r="C1493" s="0" t="str">
        <f aca="false">IF(B1493=1,MAX(C$1:C1492)+1,"")</f>
        <v/>
      </c>
    </row>
    <row r="1494" customFormat="false" ht="15" hidden="false" customHeight="false" outlineLevel="0" collapsed="false">
      <c r="A1494" s="0" t="str">
        <f aca="false">IF(COMPRAS!K294="","",COMPRAS!K294)</f>
        <v/>
      </c>
      <c r="B1494" s="0" t="str">
        <f aca="false">IF(A1494="","",IF(MATCH(A1494,$A$2:$A$3201,0)=ROW()-1,1,0))</f>
        <v/>
      </c>
      <c r="C1494" s="0" t="str">
        <f aca="false">IF(B1494=1,MAX(C$1:C1493)+1,"")</f>
        <v/>
      </c>
    </row>
    <row r="1495" customFormat="false" ht="15" hidden="false" customHeight="false" outlineLevel="0" collapsed="false">
      <c r="A1495" s="0" t="str">
        <f aca="false">IF(COMPRAS!K295="","",COMPRAS!K295)</f>
        <v/>
      </c>
      <c r="B1495" s="0" t="str">
        <f aca="false">IF(A1495="","",IF(MATCH(A1495,$A$2:$A$3201,0)=ROW()-1,1,0))</f>
        <v/>
      </c>
      <c r="C1495" s="0" t="str">
        <f aca="false">IF(B1495=1,MAX(C$1:C1494)+1,"")</f>
        <v/>
      </c>
    </row>
    <row r="1496" customFormat="false" ht="15" hidden="false" customHeight="false" outlineLevel="0" collapsed="false">
      <c r="A1496" s="0" t="str">
        <f aca="false">IF(COMPRAS!K296="","",COMPRAS!K296)</f>
        <v/>
      </c>
      <c r="B1496" s="0" t="str">
        <f aca="false">IF(A1496="","",IF(MATCH(A1496,$A$2:$A$3201,0)=ROW()-1,1,0))</f>
        <v/>
      </c>
      <c r="C1496" s="0" t="str">
        <f aca="false">IF(B1496=1,MAX(C$1:C1495)+1,"")</f>
        <v/>
      </c>
    </row>
    <row r="1497" customFormat="false" ht="15" hidden="false" customHeight="false" outlineLevel="0" collapsed="false">
      <c r="A1497" s="0" t="str">
        <f aca="false">IF(COMPRAS!K297="","",COMPRAS!K297)</f>
        <v/>
      </c>
      <c r="B1497" s="0" t="str">
        <f aca="false">IF(A1497="","",IF(MATCH(A1497,$A$2:$A$3201,0)=ROW()-1,1,0))</f>
        <v/>
      </c>
      <c r="C1497" s="0" t="str">
        <f aca="false">IF(B1497=1,MAX(C$1:C1496)+1,"")</f>
        <v/>
      </c>
    </row>
    <row r="1498" customFormat="false" ht="15" hidden="false" customHeight="false" outlineLevel="0" collapsed="false">
      <c r="A1498" s="0" t="str">
        <f aca="false">IF(COMPRAS!K298="","",COMPRAS!K298)</f>
        <v/>
      </c>
      <c r="B1498" s="0" t="str">
        <f aca="false">IF(A1498="","",IF(MATCH(A1498,$A$2:$A$3201,0)=ROW()-1,1,0))</f>
        <v/>
      </c>
      <c r="C1498" s="0" t="str">
        <f aca="false">IF(B1498=1,MAX(C$1:C1497)+1,"")</f>
        <v/>
      </c>
    </row>
    <row r="1499" customFormat="false" ht="15" hidden="false" customHeight="false" outlineLevel="0" collapsed="false">
      <c r="A1499" s="0" t="str">
        <f aca="false">IF(COMPRAS!K299="","",COMPRAS!K299)</f>
        <v/>
      </c>
      <c r="B1499" s="0" t="str">
        <f aca="false">IF(A1499="","",IF(MATCH(A1499,$A$2:$A$3201,0)=ROW()-1,1,0))</f>
        <v/>
      </c>
      <c r="C1499" s="0" t="str">
        <f aca="false">IF(B1499=1,MAX(C$1:C1498)+1,"")</f>
        <v/>
      </c>
    </row>
    <row r="1500" customFormat="false" ht="15" hidden="false" customHeight="false" outlineLevel="0" collapsed="false">
      <c r="A1500" s="0" t="str">
        <f aca="false">IF(COMPRAS!K300="","",COMPRAS!K300)</f>
        <v/>
      </c>
      <c r="B1500" s="0" t="str">
        <f aca="false">IF(A1500="","",IF(MATCH(A1500,$A$2:$A$3201,0)=ROW()-1,1,0))</f>
        <v/>
      </c>
      <c r="C1500" s="0" t="str">
        <f aca="false">IF(B1500=1,MAX(C$1:C1499)+1,"")</f>
        <v/>
      </c>
    </row>
    <row r="1501" customFormat="false" ht="15" hidden="false" customHeight="false" outlineLevel="0" collapsed="false">
      <c r="A1501" s="0" t="str">
        <f aca="false">IF(COMPRAS!K301="","",COMPRAS!K301)</f>
        <v/>
      </c>
      <c r="B1501" s="0" t="str">
        <f aca="false">IF(A1501="","",IF(MATCH(A1501,$A$2:$A$3201,0)=ROW()-1,1,0))</f>
        <v/>
      </c>
      <c r="C1501" s="0" t="str">
        <f aca="false">IF(B1501=1,MAX(C$1:C1500)+1,"")</f>
        <v/>
      </c>
    </row>
    <row r="1502" customFormat="false" ht="15" hidden="false" customHeight="false" outlineLevel="0" collapsed="false">
      <c r="A1502" s="0" t="str">
        <f aca="false">IF(COMPRAS!K302="","",COMPRAS!K302)</f>
        <v/>
      </c>
      <c r="B1502" s="0" t="str">
        <f aca="false">IF(A1502="","",IF(MATCH(A1502,$A$2:$A$3201,0)=ROW()-1,1,0))</f>
        <v/>
      </c>
      <c r="C1502" s="0" t="str">
        <f aca="false">IF(B1502=1,MAX(C$1:C1501)+1,"")</f>
        <v/>
      </c>
    </row>
    <row r="1503" customFormat="false" ht="15" hidden="false" customHeight="false" outlineLevel="0" collapsed="false">
      <c r="A1503" s="0" t="str">
        <f aca="false">IF(COMPRAS!K303="","",COMPRAS!K303)</f>
        <v/>
      </c>
      <c r="B1503" s="0" t="str">
        <f aca="false">IF(A1503="","",IF(MATCH(A1503,$A$2:$A$3201,0)=ROW()-1,1,0))</f>
        <v/>
      </c>
      <c r="C1503" s="0" t="str">
        <f aca="false">IF(B1503=1,MAX(C$1:C1502)+1,"")</f>
        <v/>
      </c>
    </row>
    <row r="1504" customFormat="false" ht="15" hidden="false" customHeight="false" outlineLevel="0" collapsed="false">
      <c r="A1504" s="0" t="str">
        <f aca="false">IF(COMPRAS!K304="","",COMPRAS!K304)</f>
        <v/>
      </c>
      <c r="B1504" s="0" t="str">
        <f aca="false">IF(A1504="","",IF(MATCH(A1504,$A$2:$A$3201,0)=ROW()-1,1,0))</f>
        <v/>
      </c>
      <c r="C1504" s="0" t="str">
        <f aca="false">IF(B1504=1,MAX(C$1:C1503)+1,"")</f>
        <v/>
      </c>
    </row>
    <row r="1505" customFormat="false" ht="15" hidden="false" customHeight="false" outlineLevel="0" collapsed="false">
      <c r="A1505" s="0" t="str">
        <f aca="false">IF(COMPRAS!K305="","",COMPRAS!K305)</f>
        <v/>
      </c>
      <c r="B1505" s="0" t="str">
        <f aca="false">IF(A1505="","",IF(MATCH(A1505,$A$2:$A$3201,0)=ROW()-1,1,0))</f>
        <v/>
      </c>
      <c r="C1505" s="0" t="str">
        <f aca="false">IF(B1505=1,MAX(C$1:C1504)+1,"")</f>
        <v/>
      </c>
    </row>
    <row r="1506" customFormat="false" ht="15" hidden="false" customHeight="false" outlineLevel="0" collapsed="false">
      <c r="A1506" s="0" t="str">
        <f aca="false">IF(COMPRAS!K306="","",COMPRAS!K306)</f>
        <v/>
      </c>
      <c r="B1506" s="0" t="str">
        <f aca="false">IF(A1506="","",IF(MATCH(A1506,$A$2:$A$3201,0)=ROW()-1,1,0))</f>
        <v/>
      </c>
      <c r="C1506" s="0" t="str">
        <f aca="false">IF(B1506=1,MAX(C$1:C1505)+1,"")</f>
        <v/>
      </c>
    </row>
    <row r="1507" customFormat="false" ht="15" hidden="false" customHeight="false" outlineLevel="0" collapsed="false">
      <c r="A1507" s="0" t="str">
        <f aca="false">IF(COMPRAS!K307="","",COMPRAS!K307)</f>
        <v/>
      </c>
      <c r="B1507" s="0" t="str">
        <f aca="false">IF(A1507="","",IF(MATCH(A1507,$A$2:$A$3201,0)=ROW()-1,1,0))</f>
        <v/>
      </c>
      <c r="C1507" s="0" t="str">
        <f aca="false">IF(B1507=1,MAX(C$1:C1506)+1,"")</f>
        <v/>
      </c>
    </row>
    <row r="1508" customFormat="false" ht="15" hidden="false" customHeight="false" outlineLevel="0" collapsed="false">
      <c r="A1508" s="0" t="str">
        <f aca="false">IF(COMPRAS!K308="","",COMPRAS!K308)</f>
        <v/>
      </c>
      <c r="B1508" s="0" t="str">
        <f aca="false">IF(A1508="","",IF(MATCH(A1508,$A$2:$A$3201,0)=ROW()-1,1,0))</f>
        <v/>
      </c>
      <c r="C1508" s="0" t="str">
        <f aca="false">IF(B1508=1,MAX(C$1:C1507)+1,"")</f>
        <v/>
      </c>
    </row>
    <row r="1509" customFormat="false" ht="15" hidden="false" customHeight="false" outlineLevel="0" collapsed="false">
      <c r="A1509" s="0" t="str">
        <f aca="false">IF(COMPRAS!K309="","",COMPRAS!K309)</f>
        <v/>
      </c>
      <c r="B1509" s="0" t="str">
        <f aca="false">IF(A1509="","",IF(MATCH(A1509,$A$2:$A$3201,0)=ROW()-1,1,0))</f>
        <v/>
      </c>
      <c r="C1509" s="0" t="str">
        <f aca="false">IF(B1509=1,MAX(C$1:C1508)+1,"")</f>
        <v/>
      </c>
    </row>
    <row r="1510" customFormat="false" ht="15" hidden="false" customHeight="false" outlineLevel="0" collapsed="false">
      <c r="A1510" s="0" t="str">
        <f aca="false">IF(COMPRAS!K310="","",COMPRAS!K310)</f>
        <v/>
      </c>
      <c r="B1510" s="0" t="str">
        <f aca="false">IF(A1510="","",IF(MATCH(A1510,$A$2:$A$3201,0)=ROW()-1,1,0))</f>
        <v/>
      </c>
      <c r="C1510" s="0" t="str">
        <f aca="false">IF(B1510=1,MAX(C$1:C1509)+1,"")</f>
        <v/>
      </c>
    </row>
    <row r="1511" customFormat="false" ht="15" hidden="false" customHeight="false" outlineLevel="0" collapsed="false">
      <c r="A1511" s="0" t="str">
        <f aca="false">IF(COMPRAS!K311="","",COMPRAS!K311)</f>
        <v/>
      </c>
      <c r="B1511" s="0" t="str">
        <f aca="false">IF(A1511="","",IF(MATCH(A1511,$A$2:$A$3201,0)=ROW()-1,1,0))</f>
        <v/>
      </c>
      <c r="C1511" s="0" t="str">
        <f aca="false">IF(B1511=1,MAX(C$1:C1510)+1,"")</f>
        <v/>
      </c>
    </row>
    <row r="1512" customFormat="false" ht="15" hidden="false" customHeight="false" outlineLevel="0" collapsed="false">
      <c r="A1512" s="0" t="str">
        <f aca="false">IF(COMPRAS!K312="","",COMPRAS!K312)</f>
        <v/>
      </c>
      <c r="B1512" s="0" t="str">
        <f aca="false">IF(A1512="","",IF(MATCH(A1512,$A$2:$A$3201,0)=ROW()-1,1,0))</f>
        <v/>
      </c>
      <c r="C1512" s="0" t="str">
        <f aca="false">IF(B1512=1,MAX(C$1:C1511)+1,"")</f>
        <v/>
      </c>
    </row>
    <row r="1513" customFormat="false" ht="15" hidden="false" customHeight="false" outlineLevel="0" collapsed="false">
      <c r="A1513" s="0" t="str">
        <f aca="false">IF(COMPRAS!K313="","",COMPRAS!K313)</f>
        <v/>
      </c>
      <c r="B1513" s="0" t="str">
        <f aca="false">IF(A1513="","",IF(MATCH(A1513,$A$2:$A$3201,0)=ROW()-1,1,0))</f>
        <v/>
      </c>
      <c r="C1513" s="0" t="str">
        <f aca="false">IF(B1513=1,MAX(C$1:C1512)+1,"")</f>
        <v/>
      </c>
    </row>
    <row r="1514" customFormat="false" ht="15" hidden="false" customHeight="false" outlineLevel="0" collapsed="false">
      <c r="A1514" s="0" t="str">
        <f aca="false">IF(COMPRAS!K314="","",COMPRAS!K314)</f>
        <v/>
      </c>
      <c r="B1514" s="0" t="str">
        <f aca="false">IF(A1514="","",IF(MATCH(A1514,$A$2:$A$3201,0)=ROW()-1,1,0))</f>
        <v/>
      </c>
      <c r="C1514" s="0" t="str">
        <f aca="false">IF(B1514=1,MAX(C$1:C1513)+1,"")</f>
        <v/>
      </c>
    </row>
    <row r="1515" customFormat="false" ht="15" hidden="false" customHeight="false" outlineLevel="0" collapsed="false">
      <c r="A1515" s="0" t="str">
        <f aca="false">IF(COMPRAS!K315="","",COMPRAS!K315)</f>
        <v/>
      </c>
      <c r="B1515" s="0" t="str">
        <f aca="false">IF(A1515="","",IF(MATCH(A1515,$A$2:$A$3201,0)=ROW()-1,1,0))</f>
        <v/>
      </c>
      <c r="C1515" s="0" t="str">
        <f aca="false">IF(B1515=1,MAX(C$1:C1514)+1,"")</f>
        <v/>
      </c>
    </row>
    <row r="1516" customFormat="false" ht="15" hidden="false" customHeight="false" outlineLevel="0" collapsed="false">
      <c r="A1516" s="0" t="str">
        <f aca="false">IF(COMPRAS!K316="","",COMPRAS!K316)</f>
        <v/>
      </c>
      <c r="B1516" s="0" t="str">
        <f aca="false">IF(A1516="","",IF(MATCH(A1516,$A$2:$A$3201,0)=ROW()-1,1,0))</f>
        <v/>
      </c>
      <c r="C1516" s="0" t="str">
        <f aca="false">IF(B1516=1,MAX(C$1:C1515)+1,"")</f>
        <v/>
      </c>
    </row>
    <row r="1517" customFormat="false" ht="15" hidden="false" customHeight="false" outlineLevel="0" collapsed="false">
      <c r="A1517" s="0" t="str">
        <f aca="false">IF(COMPRAS!K317="","",COMPRAS!K317)</f>
        <v/>
      </c>
      <c r="B1517" s="0" t="str">
        <f aca="false">IF(A1517="","",IF(MATCH(A1517,$A$2:$A$3201,0)=ROW()-1,1,0))</f>
        <v/>
      </c>
      <c r="C1517" s="0" t="str">
        <f aca="false">IF(B1517=1,MAX(C$1:C1516)+1,"")</f>
        <v/>
      </c>
    </row>
    <row r="1518" customFormat="false" ht="15" hidden="false" customHeight="false" outlineLevel="0" collapsed="false">
      <c r="A1518" s="0" t="str">
        <f aca="false">IF(COMPRAS!K318="","",COMPRAS!K318)</f>
        <v/>
      </c>
      <c r="B1518" s="0" t="str">
        <f aca="false">IF(A1518="","",IF(MATCH(A1518,$A$2:$A$3201,0)=ROW()-1,1,0))</f>
        <v/>
      </c>
      <c r="C1518" s="0" t="str">
        <f aca="false">IF(B1518=1,MAX(C$1:C1517)+1,"")</f>
        <v/>
      </c>
    </row>
    <row r="1519" customFormat="false" ht="15" hidden="false" customHeight="false" outlineLevel="0" collapsed="false">
      <c r="A1519" s="0" t="str">
        <f aca="false">IF(COMPRAS!K319="","",COMPRAS!K319)</f>
        <v/>
      </c>
      <c r="B1519" s="0" t="str">
        <f aca="false">IF(A1519="","",IF(MATCH(A1519,$A$2:$A$3201,0)=ROW()-1,1,0))</f>
        <v/>
      </c>
      <c r="C1519" s="0" t="str">
        <f aca="false">IF(B1519=1,MAX(C$1:C1518)+1,"")</f>
        <v/>
      </c>
    </row>
    <row r="1520" customFormat="false" ht="15" hidden="false" customHeight="false" outlineLevel="0" collapsed="false">
      <c r="A1520" s="0" t="str">
        <f aca="false">IF(COMPRAS!K320="","",COMPRAS!K320)</f>
        <v/>
      </c>
      <c r="B1520" s="0" t="str">
        <f aca="false">IF(A1520="","",IF(MATCH(A1520,$A$2:$A$3201,0)=ROW()-1,1,0))</f>
        <v/>
      </c>
      <c r="C1520" s="0" t="str">
        <f aca="false">IF(B1520=1,MAX(C$1:C1519)+1,"")</f>
        <v/>
      </c>
    </row>
    <row r="1521" customFormat="false" ht="15" hidden="false" customHeight="false" outlineLevel="0" collapsed="false">
      <c r="A1521" s="0" t="str">
        <f aca="false">IF(COMPRAS!K321="","",COMPRAS!K321)</f>
        <v/>
      </c>
      <c r="B1521" s="0" t="str">
        <f aca="false">IF(A1521="","",IF(MATCH(A1521,$A$2:$A$3201,0)=ROW()-1,1,0))</f>
        <v/>
      </c>
      <c r="C1521" s="0" t="str">
        <f aca="false">IF(B1521=1,MAX(C$1:C1520)+1,"")</f>
        <v/>
      </c>
    </row>
    <row r="1522" customFormat="false" ht="15" hidden="false" customHeight="false" outlineLevel="0" collapsed="false">
      <c r="A1522" s="0" t="str">
        <f aca="false">IF(COMPRAS!K322="","",COMPRAS!K322)</f>
        <v/>
      </c>
      <c r="B1522" s="0" t="str">
        <f aca="false">IF(A1522="","",IF(MATCH(A1522,$A$2:$A$3201,0)=ROW()-1,1,0))</f>
        <v/>
      </c>
      <c r="C1522" s="0" t="str">
        <f aca="false">IF(B1522=1,MAX(C$1:C1521)+1,"")</f>
        <v/>
      </c>
    </row>
    <row r="1523" customFormat="false" ht="15" hidden="false" customHeight="false" outlineLevel="0" collapsed="false">
      <c r="A1523" s="0" t="str">
        <f aca="false">IF(COMPRAS!K323="","",COMPRAS!K323)</f>
        <v/>
      </c>
      <c r="B1523" s="0" t="str">
        <f aca="false">IF(A1523="","",IF(MATCH(A1523,$A$2:$A$3201,0)=ROW()-1,1,0))</f>
        <v/>
      </c>
      <c r="C1523" s="0" t="str">
        <f aca="false">IF(B1523=1,MAX(C$1:C1522)+1,"")</f>
        <v/>
      </c>
    </row>
    <row r="1524" customFormat="false" ht="15" hidden="false" customHeight="false" outlineLevel="0" collapsed="false">
      <c r="A1524" s="0" t="str">
        <f aca="false">IF(COMPRAS!K324="","",COMPRAS!K324)</f>
        <v/>
      </c>
      <c r="B1524" s="0" t="str">
        <f aca="false">IF(A1524="","",IF(MATCH(A1524,$A$2:$A$3201,0)=ROW()-1,1,0))</f>
        <v/>
      </c>
      <c r="C1524" s="0" t="str">
        <f aca="false">IF(B1524=1,MAX(C$1:C1523)+1,"")</f>
        <v/>
      </c>
    </row>
    <row r="1525" customFormat="false" ht="15" hidden="false" customHeight="false" outlineLevel="0" collapsed="false">
      <c r="A1525" s="0" t="str">
        <f aca="false">IF(COMPRAS!K325="","",COMPRAS!K325)</f>
        <v/>
      </c>
      <c r="B1525" s="0" t="str">
        <f aca="false">IF(A1525="","",IF(MATCH(A1525,$A$2:$A$3201,0)=ROW()-1,1,0))</f>
        <v/>
      </c>
      <c r="C1525" s="0" t="str">
        <f aca="false">IF(B1525=1,MAX(C$1:C1524)+1,"")</f>
        <v/>
      </c>
    </row>
    <row r="1526" customFormat="false" ht="15" hidden="false" customHeight="false" outlineLevel="0" collapsed="false">
      <c r="A1526" s="0" t="str">
        <f aca="false">IF(COMPRAS!K326="","",COMPRAS!K326)</f>
        <v/>
      </c>
      <c r="B1526" s="0" t="str">
        <f aca="false">IF(A1526="","",IF(MATCH(A1526,$A$2:$A$3201,0)=ROW()-1,1,0))</f>
        <v/>
      </c>
      <c r="C1526" s="0" t="str">
        <f aca="false">IF(B1526=1,MAX(C$1:C1525)+1,"")</f>
        <v/>
      </c>
    </row>
    <row r="1527" customFormat="false" ht="15" hidden="false" customHeight="false" outlineLevel="0" collapsed="false">
      <c r="A1527" s="0" t="str">
        <f aca="false">IF(COMPRAS!K327="","",COMPRAS!K327)</f>
        <v/>
      </c>
      <c r="B1527" s="0" t="str">
        <f aca="false">IF(A1527="","",IF(MATCH(A1527,$A$2:$A$3201,0)=ROW()-1,1,0))</f>
        <v/>
      </c>
      <c r="C1527" s="0" t="str">
        <f aca="false">IF(B1527=1,MAX(C$1:C1526)+1,"")</f>
        <v/>
      </c>
    </row>
    <row r="1528" customFormat="false" ht="15" hidden="false" customHeight="false" outlineLevel="0" collapsed="false">
      <c r="A1528" s="0" t="str">
        <f aca="false">IF(COMPRAS!K328="","",COMPRAS!K328)</f>
        <v/>
      </c>
      <c r="B1528" s="0" t="str">
        <f aca="false">IF(A1528="","",IF(MATCH(A1528,$A$2:$A$3201,0)=ROW()-1,1,0))</f>
        <v/>
      </c>
      <c r="C1528" s="0" t="str">
        <f aca="false">IF(B1528=1,MAX(C$1:C1527)+1,"")</f>
        <v/>
      </c>
    </row>
    <row r="1529" customFormat="false" ht="15" hidden="false" customHeight="false" outlineLevel="0" collapsed="false">
      <c r="A1529" s="0" t="str">
        <f aca="false">IF(COMPRAS!K329="","",COMPRAS!K329)</f>
        <v/>
      </c>
      <c r="B1529" s="0" t="str">
        <f aca="false">IF(A1529="","",IF(MATCH(A1529,$A$2:$A$3201,0)=ROW()-1,1,0))</f>
        <v/>
      </c>
      <c r="C1529" s="0" t="str">
        <f aca="false">IF(B1529=1,MAX(C$1:C1528)+1,"")</f>
        <v/>
      </c>
    </row>
    <row r="1530" customFormat="false" ht="15" hidden="false" customHeight="false" outlineLevel="0" collapsed="false">
      <c r="A1530" s="0" t="str">
        <f aca="false">IF(COMPRAS!K330="","",COMPRAS!K330)</f>
        <v/>
      </c>
      <c r="B1530" s="0" t="str">
        <f aca="false">IF(A1530="","",IF(MATCH(A1530,$A$2:$A$3201,0)=ROW()-1,1,0))</f>
        <v/>
      </c>
      <c r="C1530" s="0" t="str">
        <f aca="false">IF(B1530=1,MAX(C$1:C1529)+1,"")</f>
        <v/>
      </c>
    </row>
    <row r="1531" customFormat="false" ht="15" hidden="false" customHeight="false" outlineLevel="0" collapsed="false">
      <c r="A1531" s="0" t="str">
        <f aca="false">IF(COMPRAS!K331="","",COMPRAS!K331)</f>
        <v/>
      </c>
      <c r="B1531" s="0" t="str">
        <f aca="false">IF(A1531="","",IF(MATCH(A1531,$A$2:$A$3201,0)=ROW()-1,1,0))</f>
        <v/>
      </c>
      <c r="C1531" s="0" t="str">
        <f aca="false">IF(B1531=1,MAX(C$1:C1530)+1,"")</f>
        <v/>
      </c>
    </row>
    <row r="1532" customFormat="false" ht="15" hidden="false" customHeight="false" outlineLevel="0" collapsed="false">
      <c r="A1532" s="0" t="str">
        <f aca="false">IF(COMPRAS!K332="","",COMPRAS!K332)</f>
        <v/>
      </c>
      <c r="B1532" s="0" t="str">
        <f aca="false">IF(A1532="","",IF(MATCH(A1532,$A$2:$A$3201,0)=ROW()-1,1,0))</f>
        <v/>
      </c>
      <c r="C1532" s="0" t="str">
        <f aca="false">IF(B1532=1,MAX(C$1:C1531)+1,"")</f>
        <v/>
      </c>
    </row>
    <row r="1533" customFormat="false" ht="15" hidden="false" customHeight="false" outlineLevel="0" collapsed="false">
      <c r="A1533" s="0" t="str">
        <f aca="false">IF(COMPRAS!K333="","",COMPRAS!K333)</f>
        <v/>
      </c>
      <c r="B1533" s="0" t="str">
        <f aca="false">IF(A1533="","",IF(MATCH(A1533,$A$2:$A$3201,0)=ROW()-1,1,0))</f>
        <v/>
      </c>
      <c r="C1533" s="0" t="str">
        <f aca="false">IF(B1533=1,MAX(C$1:C1532)+1,"")</f>
        <v/>
      </c>
    </row>
    <row r="1534" customFormat="false" ht="15" hidden="false" customHeight="false" outlineLevel="0" collapsed="false">
      <c r="A1534" s="0" t="str">
        <f aca="false">IF(COMPRAS!K334="","",COMPRAS!K334)</f>
        <v/>
      </c>
      <c r="B1534" s="0" t="str">
        <f aca="false">IF(A1534="","",IF(MATCH(A1534,$A$2:$A$3201,0)=ROW()-1,1,0))</f>
        <v/>
      </c>
      <c r="C1534" s="0" t="str">
        <f aca="false">IF(B1534=1,MAX(C$1:C1533)+1,"")</f>
        <v/>
      </c>
    </row>
    <row r="1535" customFormat="false" ht="15" hidden="false" customHeight="false" outlineLevel="0" collapsed="false">
      <c r="A1535" s="0" t="str">
        <f aca="false">IF(COMPRAS!K335="","",COMPRAS!K335)</f>
        <v/>
      </c>
      <c r="B1535" s="0" t="str">
        <f aca="false">IF(A1535="","",IF(MATCH(A1535,$A$2:$A$3201,0)=ROW()-1,1,0))</f>
        <v/>
      </c>
      <c r="C1535" s="0" t="str">
        <f aca="false">IF(B1535=1,MAX(C$1:C1534)+1,"")</f>
        <v/>
      </c>
    </row>
    <row r="1536" customFormat="false" ht="15" hidden="false" customHeight="false" outlineLevel="0" collapsed="false">
      <c r="A1536" s="0" t="str">
        <f aca="false">IF(COMPRAS!K336="","",COMPRAS!K336)</f>
        <v/>
      </c>
      <c r="B1536" s="0" t="str">
        <f aca="false">IF(A1536="","",IF(MATCH(A1536,$A$2:$A$3201,0)=ROW()-1,1,0))</f>
        <v/>
      </c>
      <c r="C1536" s="0" t="str">
        <f aca="false">IF(B1536=1,MAX(C$1:C1535)+1,"")</f>
        <v/>
      </c>
    </row>
    <row r="1537" customFormat="false" ht="15" hidden="false" customHeight="false" outlineLevel="0" collapsed="false">
      <c r="A1537" s="0" t="str">
        <f aca="false">IF(COMPRAS!K337="","",COMPRAS!K337)</f>
        <v/>
      </c>
      <c r="B1537" s="0" t="str">
        <f aca="false">IF(A1537="","",IF(MATCH(A1537,$A$2:$A$3201,0)=ROW()-1,1,0))</f>
        <v/>
      </c>
      <c r="C1537" s="0" t="str">
        <f aca="false">IF(B1537=1,MAX(C$1:C1536)+1,"")</f>
        <v/>
      </c>
    </row>
    <row r="1538" customFormat="false" ht="15" hidden="false" customHeight="false" outlineLevel="0" collapsed="false">
      <c r="A1538" s="0" t="str">
        <f aca="false">IF(COMPRAS!K338="","",COMPRAS!K338)</f>
        <v/>
      </c>
      <c r="B1538" s="0" t="str">
        <f aca="false">IF(A1538="","",IF(MATCH(A1538,$A$2:$A$3201,0)=ROW()-1,1,0))</f>
        <v/>
      </c>
      <c r="C1538" s="0" t="str">
        <f aca="false">IF(B1538=1,MAX(C$1:C1537)+1,"")</f>
        <v/>
      </c>
    </row>
    <row r="1539" customFormat="false" ht="15" hidden="false" customHeight="false" outlineLevel="0" collapsed="false">
      <c r="A1539" s="0" t="str">
        <f aca="false">IF(COMPRAS!K339="","",COMPRAS!K339)</f>
        <v/>
      </c>
      <c r="B1539" s="0" t="str">
        <f aca="false">IF(A1539="","",IF(MATCH(A1539,$A$2:$A$3201,0)=ROW()-1,1,0))</f>
        <v/>
      </c>
      <c r="C1539" s="0" t="str">
        <f aca="false">IF(B1539=1,MAX(C$1:C1538)+1,"")</f>
        <v/>
      </c>
    </row>
    <row r="1540" customFormat="false" ht="15" hidden="false" customHeight="false" outlineLevel="0" collapsed="false">
      <c r="A1540" s="0" t="str">
        <f aca="false">IF(COMPRAS!K340="","",COMPRAS!K340)</f>
        <v/>
      </c>
      <c r="B1540" s="0" t="str">
        <f aca="false">IF(A1540="","",IF(MATCH(A1540,$A$2:$A$3201,0)=ROW()-1,1,0))</f>
        <v/>
      </c>
      <c r="C1540" s="0" t="str">
        <f aca="false">IF(B1540=1,MAX(C$1:C1539)+1,"")</f>
        <v/>
      </c>
    </row>
    <row r="1541" customFormat="false" ht="15" hidden="false" customHeight="false" outlineLevel="0" collapsed="false">
      <c r="A1541" s="0" t="str">
        <f aca="false">IF(COMPRAS!K341="","",COMPRAS!K341)</f>
        <v/>
      </c>
      <c r="B1541" s="0" t="str">
        <f aca="false">IF(A1541="","",IF(MATCH(A1541,$A$2:$A$3201,0)=ROW()-1,1,0))</f>
        <v/>
      </c>
      <c r="C1541" s="0" t="str">
        <f aca="false">IF(B1541=1,MAX(C$1:C1540)+1,"")</f>
        <v/>
      </c>
    </row>
    <row r="1542" customFormat="false" ht="15" hidden="false" customHeight="false" outlineLevel="0" collapsed="false">
      <c r="A1542" s="0" t="str">
        <f aca="false">IF(COMPRAS!K342="","",COMPRAS!K342)</f>
        <v/>
      </c>
      <c r="B1542" s="0" t="str">
        <f aca="false">IF(A1542="","",IF(MATCH(A1542,$A$2:$A$3201,0)=ROW()-1,1,0))</f>
        <v/>
      </c>
      <c r="C1542" s="0" t="str">
        <f aca="false">IF(B1542=1,MAX(C$1:C1541)+1,"")</f>
        <v/>
      </c>
    </row>
    <row r="1543" customFormat="false" ht="15" hidden="false" customHeight="false" outlineLevel="0" collapsed="false">
      <c r="A1543" s="0" t="str">
        <f aca="false">IF(COMPRAS!K343="","",COMPRAS!K343)</f>
        <v/>
      </c>
      <c r="B1543" s="0" t="str">
        <f aca="false">IF(A1543="","",IF(MATCH(A1543,$A$2:$A$3201,0)=ROW()-1,1,0))</f>
        <v/>
      </c>
      <c r="C1543" s="0" t="str">
        <f aca="false">IF(B1543=1,MAX(C$1:C1542)+1,"")</f>
        <v/>
      </c>
    </row>
    <row r="1544" customFormat="false" ht="15" hidden="false" customHeight="false" outlineLevel="0" collapsed="false">
      <c r="A1544" s="0" t="str">
        <f aca="false">IF(COMPRAS!K344="","",COMPRAS!K344)</f>
        <v/>
      </c>
      <c r="B1544" s="0" t="str">
        <f aca="false">IF(A1544="","",IF(MATCH(A1544,$A$2:$A$3201,0)=ROW()-1,1,0))</f>
        <v/>
      </c>
      <c r="C1544" s="0" t="str">
        <f aca="false">IF(B1544=1,MAX(C$1:C1543)+1,"")</f>
        <v/>
      </c>
    </row>
    <row r="1545" customFormat="false" ht="15" hidden="false" customHeight="false" outlineLevel="0" collapsed="false">
      <c r="A1545" s="0" t="str">
        <f aca="false">IF(COMPRAS!K345="","",COMPRAS!K345)</f>
        <v/>
      </c>
      <c r="B1545" s="0" t="str">
        <f aca="false">IF(A1545="","",IF(MATCH(A1545,$A$2:$A$3201,0)=ROW()-1,1,0))</f>
        <v/>
      </c>
      <c r="C1545" s="0" t="str">
        <f aca="false">IF(B1545=1,MAX(C$1:C1544)+1,"")</f>
        <v/>
      </c>
    </row>
    <row r="1546" customFormat="false" ht="15" hidden="false" customHeight="false" outlineLevel="0" collapsed="false">
      <c r="A1546" s="0" t="str">
        <f aca="false">IF(COMPRAS!K346="","",COMPRAS!K346)</f>
        <v/>
      </c>
      <c r="B1546" s="0" t="str">
        <f aca="false">IF(A1546="","",IF(MATCH(A1546,$A$2:$A$3201,0)=ROW()-1,1,0))</f>
        <v/>
      </c>
      <c r="C1546" s="0" t="str">
        <f aca="false">IF(B1546=1,MAX(C$1:C1545)+1,"")</f>
        <v/>
      </c>
    </row>
    <row r="1547" customFormat="false" ht="15" hidden="false" customHeight="false" outlineLevel="0" collapsed="false">
      <c r="A1547" s="0" t="str">
        <f aca="false">IF(COMPRAS!K347="","",COMPRAS!K347)</f>
        <v/>
      </c>
      <c r="B1547" s="0" t="str">
        <f aca="false">IF(A1547="","",IF(MATCH(A1547,$A$2:$A$3201,0)=ROW()-1,1,0))</f>
        <v/>
      </c>
      <c r="C1547" s="0" t="str">
        <f aca="false">IF(B1547=1,MAX(C$1:C1546)+1,"")</f>
        <v/>
      </c>
    </row>
    <row r="1548" customFormat="false" ht="15" hidden="false" customHeight="false" outlineLevel="0" collapsed="false">
      <c r="A1548" s="0" t="str">
        <f aca="false">IF(COMPRAS!K348="","",COMPRAS!K348)</f>
        <v/>
      </c>
      <c r="B1548" s="0" t="str">
        <f aca="false">IF(A1548="","",IF(MATCH(A1548,$A$2:$A$3201,0)=ROW()-1,1,0))</f>
        <v/>
      </c>
      <c r="C1548" s="0" t="str">
        <f aca="false">IF(B1548=1,MAX(C$1:C1547)+1,"")</f>
        <v/>
      </c>
    </row>
    <row r="1549" customFormat="false" ht="15" hidden="false" customHeight="false" outlineLevel="0" collapsed="false">
      <c r="A1549" s="0" t="str">
        <f aca="false">IF(COMPRAS!K349="","",COMPRAS!K349)</f>
        <v/>
      </c>
      <c r="B1549" s="0" t="str">
        <f aca="false">IF(A1549="","",IF(MATCH(A1549,$A$2:$A$3201,0)=ROW()-1,1,0))</f>
        <v/>
      </c>
      <c r="C1549" s="0" t="str">
        <f aca="false">IF(B1549=1,MAX(C$1:C1548)+1,"")</f>
        <v/>
      </c>
    </row>
    <row r="1550" customFormat="false" ht="15" hidden="false" customHeight="false" outlineLevel="0" collapsed="false">
      <c r="A1550" s="0" t="str">
        <f aca="false">IF(COMPRAS!K350="","",COMPRAS!K350)</f>
        <v/>
      </c>
      <c r="B1550" s="0" t="str">
        <f aca="false">IF(A1550="","",IF(MATCH(A1550,$A$2:$A$3201,0)=ROW()-1,1,0))</f>
        <v/>
      </c>
      <c r="C1550" s="0" t="str">
        <f aca="false">IF(B1550=1,MAX(C$1:C1549)+1,"")</f>
        <v/>
      </c>
    </row>
    <row r="1551" customFormat="false" ht="15" hidden="false" customHeight="false" outlineLevel="0" collapsed="false">
      <c r="A1551" s="0" t="str">
        <f aca="false">IF(COMPRAS!K351="","",COMPRAS!K351)</f>
        <v/>
      </c>
      <c r="B1551" s="0" t="str">
        <f aca="false">IF(A1551="","",IF(MATCH(A1551,$A$2:$A$3201,0)=ROW()-1,1,0))</f>
        <v/>
      </c>
      <c r="C1551" s="0" t="str">
        <f aca="false">IF(B1551=1,MAX(C$1:C1550)+1,"")</f>
        <v/>
      </c>
    </row>
    <row r="1552" customFormat="false" ht="15" hidden="false" customHeight="false" outlineLevel="0" collapsed="false">
      <c r="A1552" s="0" t="str">
        <f aca="false">IF(COMPRAS!K352="","",COMPRAS!K352)</f>
        <v/>
      </c>
      <c r="B1552" s="0" t="str">
        <f aca="false">IF(A1552="","",IF(MATCH(A1552,$A$2:$A$3201,0)=ROW()-1,1,0))</f>
        <v/>
      </c>
      <c r="C1552" s="0" t="str">
        <f aca="false">IF(B1552=1,MAX(C$1:C1551)+1,"")</f>
        <v/>
      </c>
    </row>
    <row r="1553" customFormat="false" ht="15" hidden="false" customHeight="false" outlineLevel="0" collapsed="false">
      <c r="A1553" s="0" t="str">
        <f aca="false">IF(COMPRAS!K353="","",COMPRAS!K353)</f>
        <v/>
      </c>
      <c r="B1553" s="0" t="str">
        <f aca="false">IF(A1553="","",IF(MATCH(A1553,$A$2:$A$3201,0)=ROW()-1,1,0))</f>
        <v/>
      </c>
      <c r="C1553" s="0" t="str">
        <f aca="false">IF(B1553=1,MAX(C$1:C1552)+1,"")</f>
        <v/>
      </c>
    </row>
    <row r="1554" customFormat="false" ht="15" hidden="false" customHeight="false" outlineLevel="0" collapsed="false">
      <c r="A1554" s="0" t="str">
        <f aca="false">IF(COMPRAS!K354="","",COMPRAS!K354)</f>
        <v/>
      </c>
      <c r="B1554" s="0" t="str">
        <f aca="false">IF(A1554="","",IF(MATCH(A1554,$A$2:$A$3201,0)=ROW()-1,1,0))</f>
        <v/>
      </c>
      <c r="C1554" s="0" t="str">
        <f aca="false">IF(B1554=1,MAX(C$1:C1553)+1,"")</f>
        <v/>
      </c>
    </row>
    <row r="1555" customFormat="false" ht="15" hidden="false" customHeight="false" outlineLevel="0" collapsed="false">
      <c r="A1555" s="0" t="str">
        <f aca="false">IF(COMPRAS!K355="","",COMPRAS!K355)</f>
        <v/>
      </c>
      <c r="B1555" s="0" t="str">
        <f aca="false">IF(A1555="","",IF(MATCH(A1555,$A$2:$A$3201,0)=ROW()-1,1,0))</f>
        <v/>
      </c>
      <c r="C1555" s="0" t="str">
        <f aca="false">IF(B1555=1,MAX(C$1:C1554)+1,"")</f>
        <v/>
      </c>
    </row>
    <row r="1556" customFormat="false" ht="15" hidden="false" customHeight="false" outlineLevel="0" collapsed="false">
      <c r="A1556" s="0" t="str">
        <f aca="false">IF(COMPRAS!K356="","",COMPRAS!K356)</f>
        <v/>
      </c>
      <c r="B1556" s="0" t="str">
        <f aca="false">IF(A1556="","",IF(MATCH(A1556,$A$2:$A$3201,0)=ROW()-1,1,0))</f>
        <v/>
      </c>
      <c r="C1556" s="0" t="str">
        <f aca="false">IF(B1556=1,MAX(C$1:C1555)+1,"")</f>
        <v/>
      </c>
    </row>
    <row r="1557" customFormat="false" ht="15" hidden="false" customHeight="false" outlineLevel="0" collapsed="false">
      <c r="A1557" s="0" t="str">
        <f aca="false">IF(COMPRAS!K357="","",COMPRAS!K357)</f>
        <v/>
      </c>
      <c r="B1557" s="0" t="str">
        <f aca="false">IF(A1557="","",IF(MATCH(A1557,$A$2:$A$3201,0)=ROW()-1,1,0))</f>
        <v/>
      </c>
      <c r="C1557" s="0" t="str">
        <f aca="false">IF(B1557=1,MAX(C$1:C1556)+1,"")</f>
        <v/>
      </c>
    </row>
    <row r="1558" customFormat="false" ht="15" hidden="false" customHeight="false" outlineLevel="0" collapsed="false">
      <c r="A1558" s="0" t="str">
        <f aca="false">IF(COMPRAS!K358="","",COMPRAS!K358)</f>
        <v/>
      </c>
      <c r="B1558" s="0" t="str">
        <f aca="false">IF(A1558="","",IF(MATCH(A1558,$A$2:$A$3201,0)=ROW()-1,1,0))</f>
        <v/>
      </c>
      <c r="C1558" s="0" t="str">
        <f aca="false">IF(B1558=1,MAX(C$1:C1557)+1,"")</f>
        <v/>
      </c>
    </row>
    <row r="1559" customFormat="false" ht="15" hidden="false" customHeight="false" outlineLevel="0" collapsed="false">
      <c r="A1559" s="0" t="str">
        <f aca="false">IF(COMPRAS!K359="","",COMPRAS!K359)</f>
        <v/>
      </c>
      <c r="B1559" s="0" t="str">
        <f aca="false">IF(A1559="","",IF(MATCH(A1559,$A$2:$A$3201,0)=ROW()-1,1,0))</f>
        <v/>
      </c>
      <c r="C1559" s="0" t="str">
        <f aca="false">IF(B1559=1,MAX(C$1:C1558)+1,"")</f>
        <v/>
      </c>
    </row>
    <row r="1560" customFormat="false" ht="15" hidden="false" customHeight="false" outlineLevel="0" collapsed="false">
      <c r="A1560" s="0" t="str">
        <f aca="false">IF(COMPRAS!K360="","",COMPRAS!K360)</f>
        <v/>
      </c>
      <c r="B1560" s="0" t="str">
        <f aca="false">IF(A1560="","",IF(MATCH(A1560,$A$2:$A$3201,0)=ROW()-1,1,0))</f>
        <v/>
      </c>
      <c r="C1560" s="0" t="str">
        <f aca="false">IF(B1560=1,MAX(C$1:C1559)+1,"")</f>
        <v/>
      </c>
    </row>
    <row r="1561" customFormat="false" ht="15" hidden="false" customHeight="false" outlineLevel="0" collapsed="false">
      <c r="A1561" s="0" t="str">
        <f aca="false">IF(COMPRAS!K361="","",COMPRAS!K361)</f>
        <v/>
      </c>
      <c r="B1561" s="0" t="str">
        <f aca="false">IF(A1561="","",IF(MATCH(A1561,$A$2:$A$3201,0)=ROW()-1,1,0))</f>
        <v/>
      </c>
      <c r="C1561" s="0" t="str">
        <f aca="false">IF(B1561=1,MAX(C$1:C1560)+1,"")</f>
        <v/>
      </c>
    </row>
    <row r="1562" customFormat="false" ht="15" hidden="false" customHeight="false" outlineLevel="0" collapsed="false">
      <c r="A1562" s="0" t="str">
        <f aca="false">IF(COMPRAS!K362="","",COMPRAS!K362)</f>
        <v/>
      </c>
      <c r="B1562" s="0" t="str">
        <f aca="false">IF(A1562="","",IF(MATCH(A1562,$A$2:$A$3201,0)=ROW()-1,1,0))</f>
        <v/>
      </c>
      <c r="C1562" s="0" t="str">
        <f aca="false">IF(B1562=1,MAX(C$1:C1561)+1,"")</f>
        <v/>
      </c>
    </row>
    <row r="1563" customFormat="false" ht="15" hidden="false" customHeight="false" outlineLevel="0" collapsed="false">
      <c r="A1563" s="0" t="str">
        <f aca="false">IF(COMPRAS!K363="","",COMPRAS!K363)</f>
        <v/>
      </c>
      <c r="B1563" s="0" t="str">
        <f aca="false">IF(A1563="","",IF(MATCH(A1563,$A$2:$A$3201,0)=ROW()-1,1,0))</f>
        <v/>
      </c>
      <c r="C1563" s="0" t="str">
        <f aca="false">IF(B1563=1,MAX(C$1:C1562)+1,"")</f>
        <v/>
      </c>
    </row>
    <row r="1564" customFormat="false" ht="15" hidden="false" customHeight="false" outlineLevel="0" collapsed="false">
      <c r="A1564" s="0" t="str">
        <f aca="false">IF(COMPRAS!K364="","",COMPRAS!K364)</f>
        <v/>
      </c>
      <c r="B1564" s="0" t="str">
        <f aca="false">IF(A1564="","",IF(MATCH(A1564,$A$2:$A$3201,0)=ROW()-1,1,0))</f>
        <v/>
      </c>
      <c r="C1564" s="0" t="str">
        <f aca="false">IF(B1564=1,MAX(C$1:C1563)+1,"")</f>
        <v/>
      </c>
    </row>
    <row r="1565" customFormat="false" ht="15" hidden="false" customHeight="false" outlineLevel="0" collapsed="false">
      <c r="A1565" s="0" t="str">
        <f aca="false">IF(COMPRAS!K365="","",COMPRAS!K365)</f>
        <v/>
      </c>
      <c r="B1565" s="0" t="str">
        <f aca="false">IF(A1565="","",IF(MATCH(A1565,$A$2:$A$3201,0)=ROW()-1,1,0))</f>
        <v/>
      </c>
      <c r="C1565" s="0" t="str">
        <f aca="false">IF(B1565=1,MAX(C$1:C1564)+1,"")</f>
        <v/>
      </c>
    </row>
    <row r="1566" customFormat="false" ht="15" hidden="false" customHeight="false" outlineLevel="0" collapsed="false">
      <c r="A1566" s="0" t="str">
        <f aca="false">IF(COMPRAS!K366="","",COMPRAS!K366)</f>
        <v/>
      </c>
      <c r="B1566" s="0" t="str">
        <f aca="false">IF(A1566="","",IF(MATCH(A1566,$A$2:$A$3201,0)=ROW()-1,1,0))</f>
        <v/>
      </c>
      <c r="C1566" s="0" t="str">
        <f aca="false">IF(B1566=1,MAX(C$1:C1565)+1,"")</f>
        <v/>
      </c>
    </row>
    <row r="1567" customFormat="false" ht="15" hidden="false" customHeight="false" outlineLevel="0" collapsed="false">
      <c r="A1567" s="0" t="str">
        <f aca="false">IF(COMPRAS!K367="","",COMPRAS!K367)</f>
        <v/>
      </c>
      <c r="B1567" s="0" t="str">
        <f aca="false">IF(A1567="","",IF(MATCH(A1567,$A$2:$A$3201,0)=ROW()-1,1,0))</f>
        <v/>
      </c>
      <c r="C1567" s="0" t="str">
        <f aca="false">IF(B1567=1,MAX(C$1:C1566)+1,"")</f>
        <v/>
      </c>
    </row>
    <row r="1568" customFormat="false" ht="15" hidden="false" customHeight="false" outlineLevel="0" collapsed="false">
      <c r="A1568" s="0" t="str">
        <f aca="false">IF(COMPRAS!K368="","",COMPRAS!K368)</f>
        <v/>
      </c>
      <c r="B1568" s="0" t="str">
        <f aca="false">IF(A1568="","",IF(MATCH(A1568,$A$2:$A$3201,0)=ROW()-1,1,0))</f>
        <v/>
      </c>
      <c r="C1568" s="0" t="str">
        <f aca="false">IF(B1568=1,MAX(C$1:C1567)+1,"")</f>
        <v/>
      </c>
    </row>
    <row r="1569" customFormat="false" ht="15" hidden="false" customHeight="false" outlineLevel="0" collapsed="false">
      <c r="A1569" s="0" t="str">
        <f aca="false">IF(COMPRAS!K369="","",COMPRAS!K369)</f>
        <v/>
      </c>
      <c r="B1569" s="0" t="str">
        <f aca="false">IF(A1569="","",IF(MATCH(A1569,$A$2:$A$3201,0)=ROW()-1,1,0))</f>
        <v/>
      </c>
      <c r="C1569" s="0" t="str">
        <f aca="false">IF(B1569=1,MAX(C$1:C1568)+1,"")</f>
        <v/>
      </c>
    </row>
    <row r="1570" customFormat="false" ht="15" hidden="false" customHeight="false" outlineLevel="0" collapsed="false">
      <c r="A1570" s="0" t="str">
        <f aca="false">IF(COMPRAS!K370="","",COMPRAS!K370)</f>
        <v/>
      </c>
      <c r="B1570" s="0" t="str">
        <f aca="false">IF(A1570="","",IF(MATCH(A1570,$A$2:$A$3201,0)=ROW()-1,1,0))</f>
        <v/>
      </c>
      <c r="C1570" s="0" t="str">
        <f aca="false">IF(B1570=1,MAX(C$1:C1569)+1,"")</f>
        <v/>
      </c>
    </row>
    <row r="1571" customFormat="false" ht="15" hidden="false" customHeight="false" outlineLevel="0" collapsed="false">
      <c r="A1571" s="0" t="str">
        <f aca="false">IF(COMPRAS!K371="","",COMPRAS!K371)</f>
        <v/>
      </c>
      <c r="B1571" s="0" t="str">
        <f aca="false">IF(A1571="","",IF(MATCH(A1571,$A$2:$A$3201,0)=ROW()-1,1,0))</f>
        <v/>
      </c>
      <c r="C1571" s="0" t="str">
        <f aca="false">IF(B1571=1,MAX(C$1:C1570)+1,"")</f>
        <v/>
      </c>
    </row>
    <row r="1572" customFormat="false" ht="15" hidden="false" customHeight="false" outlineLevel="0" collapsed="false">
      <c r="A1572" s="0" t="str">
        <f aca="false">IF(COMPRAS!K372="","",COMPRAS!K372)</f>
        <v/>
      </c>
      <c r="B1572" s="0" t="str">
        <f aca="false">IF(A1572="","",IF(MATCH(A1572,$A$2:$A$3201,0)=ROW()-1,1,0))</f>
        <v/>
      </c>
      <c r="C1572" s="0" t="str">
        <f aca="false">IF(B1572=1,MAX(C$1:C1571)+1,"")</f>
        <v/>
      </c>
    </row>
    <row r="1573" customFormat="false" ht="15" hidden="false" customHeight="false" outlineLevel="0" collapsed="false">
      <c r="A1573" s="0" t="str">
        <f aca="false">IF(COMPRAS!K373="","",COMPRAS!K373)</f>
        <v/>
      </c>
      <c r="B1573" s="0" t="str">
        <f aca="false">IF(A1573="","",IF(MATCH(A1573,$A$2:$A$3201,0)=ROW()-1,1,0))</f>
        <v/>
      </c>
      <c r="C1573" s="0" t="str">
        <f aca="false">IF(B1573=1,MAX(C$1:C1572)+1,"")</f>
        <v/>
      </c>
    </row>
    <row r="1574" customFormat="false" ht="15" hidden="false" customHeight="false" outlineLevel="0" collapsed="false">
      <c r="A1574" s="0" t="str">
        <f aca="false">IF(COMPRAS!K374="","",COMPRAS!K374)</f>
        <v/>
      </c>
      <c r="B1574" s="0" t="str">
        <f aca="false">IF(A1574="","",IF(MATCH(A1574,$A$2:$A$3201,0)=ROW()-1,1,0))</f>
        <v/>
      </c>
      <c r="C1574" s="0" t="str">
        <f aca="false">IF(B1574=1,MAX(C$1:C1573)+1,"")</f>
        <v/>
      </c>
    </row>
    <row r="1575" customFormat="false" ht="15" hidden="false" customHeight="false" outlineLevel="0" collapsed="false">
      <c r="A1575" s="0" t="str">
        <f aca="false">IF(COMPRAS!K375="","",COMPRAS!K375)</f>
        <v/>
      </c>
      <c r="B1575" s="0" t="str">
        <f aca="false">IF(A1575="","",IF(MATCH(A1575,$A$2:$A$3201,0)=ROW()-1,1,0))</f>
        <v/>
      </c>
      <c r="C1575" s="0" t="str">
        <f aca="false">IF(B1575=1,MAX(C$1:C1574)+1,"")</f>
        <v/>
      </c>
    </row>
    <row r="1576" customFormat="false" ht="15" hidden="false" customHeight="false" outlineLevel="0" collapsed="false">
      <c r="A1576" s="0" t="str">
        <f aca="false">IF(COMPRAS!K376="","",COMPRAS!K376)</f>
        <v/>
      </c>
      <c r="B1576" s="0" t="str">
        <f aca="false">IF(A1576="","",IF(MATCH(A1576,$A$2:$A$3201,0)=ROW()-1,1,0))</f>
        <v/>
      </c>
      <c r="C1576" s="0" t="str">
        <f aca="false">IF(B1576=1,MAX(C$1:C1575)+1,"")</f>
        <v/>
      </c>
    </row>
    <row r="1577" customFormat="false" ht="15" hidden="false" customHeight="false" outlineLevel="0" collapsed="false">
      <c r="A1577" s="0" t="str">
        <f aca="false">IF(COMPRAS!K377="","",COMPRAS!K377)</f>
        <v/>
      </c>
      <c r="B1577" s="0" t="str">
        <f aca="false">IF(A1577="","",IF(MATCH(A1577,$A$2:$A$3201,0)=ROW()-1,1,0))</f>
        <v/>
      </c>
      <c r="C1577" s="0" t="str">
        <f aca="false">IF(B1577=1,MAX(C$1:C1576)+1,"")</f>
        <v/>
      </c>
    </row>
    <row r="1578" customFormat="false" ht="15" hidden="false" customHeight="false" outlineLevel="0" collapsed="false">
      <c r="A1578" s="0" t="str">
        <f aca="false">IF(COMPRAS!K378="","",COMPRAS!K378)</f>
        <v/>
      </c>
      <c r="B1578" s="0" t="str">
        <f aca="false">IF(A1578="","",IF(MATCH(A1578,$A$2:$A$3201,0)=ROW()-1,1,0))</f>
        <v/>
      </c>
      <c r="C1578" s="0" t="str">
        <f aca="false">IF(B1578=1,MAX(C$1:C1577)+1,"")</f>
        <v/>
      </c>
    </row>
    <row r="1579" customFormat="false" ht="15" hidden="false" customHeight="false" outlineLevel="0" collapsed="false">
      <c r="A1579" s="0" t="str">
        <f aca="false">IF(COMPRAS!K379="","",COMPRAS!K379)</f>
        <v/>
      </c>
      <c r="B1579" s="0" t="str">
        <f aca="false">IF(A1579="","",IF(MATCH(A1579,$A$2:$A$3201,0)=ROW()-1,1,0))</f>
        <v/>
      </c>
      <c r="C1579" s="0" t="str">
        <f aca="false">IF(B1579=1,MAX(C$1:C1578)+1,"")</f>
        <v/>
      </c>
    </row>
    <row r="1580" customFormat="false" ht="15" hidden="false" customHeight="false" outlineLevel="0" collapsed="false">
      <c r="A1580" s="0" t="str">
        <f aca="false">IF(COMPRAS!K380="","",COMPRAS!K380)</f>
        <v/>
      </c>
      <c r="B1580" s="0" t="str">
        <f aca="false">IF(A1580="","",IF(MATCH(A1580,$A$2:$A$3201,0)=ROW()-1,1,0))</f>
        <v/>
      </c>
      <c r="C1580" s="0" t="str">
        <f aca="false">IF(B1580=1,MAX(C$1:C1579)+1,"")</f>
        <v/>
      </c>
    </row>
    <row r="1581" customFormat="false" ht="15" hidden="false" customHeight="false" outlineLevel="0" collapsed="false">
      <c r="A1581" s="0" t="str">
        <f aca="false">IF(COMPRAS!K381="","",COMPRAS!K381)</f>
        <v/>
      </c>
      <c r="B1581" s="0" t="str">
        <f aca="false">IF(A1581="","",IF(MATCH(A1581,$A$2:$A$3201,0)=ROW()-1,1,0))</f>
        <v/>
      </c>
      <c r="C1581" s="0" t="str">
        <f aca="false">IF(B1581=1,MAX(C$1:C1580)+1,"")</f>
        <v/>
      </c>
    </row>
    <row r="1582" customFormat="false" ht="15" hidden="false" customHeight="false" outlineLevel="0" collapsed="false">
      <c r="A1582" s="0" t="str">
        <f aca="false">IF(COMPRAS!K382="","",COMPRAS!K382)</f>
        <v/>
      </c>
      <c r="B1582" s="0" t="str">
        <f aca="false">IF(A1582="","",IF(MATCH(A1582,$A$2:$A$3201,0)=ROW()-1,1,0))</f>
        <v/>
      </c>
      <c r="C1582" s="0" t="str">
        <f aca="false">IF(B1582=1,MAX(C$1:C1581)+1,"")</f>
        <v/>
      </c>
    </row>
    <row r="1583" customFormat="false" ht="15" hidden="false" customHeight="false" outlineLevel="0" collapsed="false">
      <c r="A1583" s="0" t="str">
        <f aca="false">IF(COMPRAS!K383="","",COMPRAS!K383)</f>
        <v/>
      </c>
      <c r="B1583" s="0" t="str">
        <f aca="false">IF(A1583="","",IF(MATCH(A1583,$A$2:$A$3201,0)=ROW()-1,1,0))</f>
        <v/>
      </c>
      <c r="C1583" s="0" t="str">
        <f aca="false">IF(B1583=1,MAX(C$1:C1582)+1,"")</f>
        <v/>
      </c>
    </row>
    <row r="1584" customFormat="false" ht="15" hidden="false" customHeight="false" outlineLevel="0" collapsed="false">
      <c r="A1584" s="0" t="str">
        <f aca="false">IF(COMPRAS!K384="","",COMPRAS!K384)</f>
        <v/>
      </c>
      <c r="B1584" s="0" t="str">
        <f aca="false">IF(A1584="","",IF(MATCH(A1584,$A$2:$A$3201,0)=ROW()-1,1,0))</f>
        <v/>
      </c>
      <c r="C1584" s="0" t="str">
        <f aca="false">IF(B1584=1,MAX(C$1:C1583)+1,"")</f>
        <v/>
      </c>
    </row>
    <row r="1585" customFormat="false" ht="15" hidden="false" customHeight="false" outlineLevel="0" collapsed="false">
      <c r="A1585" s="0" t="str">
        <f aca="false">IF(COMPRAS!K385="","",COMPRAS!K385)</f>
        <v/>
      </c>
      <c r="B1585" s="0" t="str">
        <f aca="false">IF(A1585="","",IF(MATCH(A1585,$A$2:$A$3201,0)=ROW()-1,1,0))</f>
        <v/>
      </c>
      <c r="C1585" s="0" t="str">
        <f aca="false">IF(B1585=1,MAX(C$1:C1584)+1,"")</f>
        <v/>
      </c>
    </row>
    <row r="1586" customFormat="false" ht="15" hidden="false" customHeight="false" outlineLevel="0" collapsed="false">
      <c r="A1586" s="0" t="str">
        <f aca="false">IF(COMPRAS!K386="","",COMPRAS!K386)</f>
        <v/>
      </c>
      <c r="B1586" s="0" t="str">
        <f aca="false">IF(A1586="","",IF(MATCH(A1586,$A$2:$A$3201,0)=ROW()-1,1,0))</f>
        <v/>
      </c>
      <c r="C1586" s="0" t="str">
        <f aca="false">IF(B1586=1,MAX(C$1:C1585)+1,"")</f>
        <v/>
      </c>
    </row>
    <row r="1587" customFormat="false" ht="15" hidden="false" customHeight="false" outlineLevel="0" collapsed="false">
      <c r="A1587" s="0" t="str">
        <f aca="false">IF(COMPRAS!K387="","",COMPRAS!K387)</f>
        <v/>
      </c>
      <c r="B1587" s="0" t="str">
        <f aca="false">IF(A1587="","",IF(MATCH(A1587,$A$2:$A$3201,0)=ROW()-1,1,0))</f>
        <v/>
      </c>
      <c r="C1587" s="0" t="str">
        <f aca="false">IF(B1587=1,MAX(C$1:C1586)+1,"")</f>
        <v/>
      </c>
    </row>
    <row r="1588" customFormat="false" ht="15" hidden="false" customHeight="false" outlineLevel="0" collapsed="false">
      <c r="A1588" s="0" t="str">
        <f aca="false">IF(COMPRAS!K388="","",COMPRAS!K388)</f>
        <v/>
      </c>
      <c r="B1588" s="0" t="str">
        <f aca="false">IF(A1588="","",IF(MATCH(A1588,$A$2:$A$3201,0)=ROW()-1,1,0))</f>
        <v/>
      </c>
      <c r="C1588" s="0" t="str">
        <f aca="false">IF(B1588=1,MAX(C$1:C1587)+1,"")</f>
        <v/>
      </c>
    </row>
    <row r="1589" customFormat="false" ht="15" hidden="false" customHeight="false" outlineLevel="0" collapsed="false">
      <c r="A1589" s="0" t="str">
        <f aca="false">IF(COMPRAS!K389="","",COMPRAS!K389)</f>
        <v/>
      </c>
      <c r="B1589" s="0" t="str">
        <f aca="false">IF(A1589="","",IF(MATCH(A1589,$A$2:$A$3201,0)=ROW()-1,1,0))</f>
        <v/>
      </c>
      <c r="C1589" s="0" t="str">
        <f aca="false">IF(B1589=1,MAX(C$1:C1588)+1,"")</f>
        <v/>
      </c>
    </row>
    <row r="1590" customFormat="false" ht="15" hidden="false" customHeight="false" outlineLevel="0" collapsed="false">
      <c r="A1590" s="0" t="str">
        <f aca="false">IF(COMPRAS!K390="","",COMPRAS!K390)</f>
        <v/>
      </c>
      <c r="B1590" s="0" t="str">
        <f aca="false">IF(A1590="","",IF(MATCH(A1590,$A$2:$A$3201,0)=ROW()-1,1,0))</f>
        <v/>
      </c>
      <c r="C1590" s="0" t="str">
        <f aca="false">IF(B1590=1,MAX(C$1:C1589)+1,"")</f>
        <v/>
      </c>
    </row>
    <row r="1591" customFormat="false" ht="15" hidden="false" customHeight="false" outlineLevel="0" collapsed="false">
      <c r="A1591" s="0" t="str">
        <f aca="false">IF(COMPRAS!K391="","",COMPRAS!K391)</f>
        <v/>
      </c>
      <c r="B1591" s="0" t="str">
        <f aca="false">IF(A1591="","",IF(MATCH(A1591,$A$2:$A$3201,0)=ROW()-1,1,0))</f>
        <v/>
      </c>
      <c r="C1591" s="0" t="str">
        <f aca="false">IF(B1591=1,MAX(C$1:C1590)+1,"")</f>
        <v/>
      </c>
    </row>
    <row r="1592" customFormat="false" ht="15" hidden="false" customHeight="false" outlineLevel="0" collapsed="false">
      <c r="A1592" s="0" t="str">
        <f aca="false">IF(COMPRAS!K392="","",COMPRAS!K392)</f>
        <v/>
      </c>
      <c r="B1592" s="0" t="str">
        <f aca="false">IF(A1592="","",IF(MATCH(A1592,$A$2:$A$3201,0)=ROW()-1,1,0))</f>
        <v/>
      </c>
      <c r="C1592" s="0" t="str">
        <f aca="false">IF(B1592=1,MAX(C$1:C1591)+1,"")</f>
        <v/>
      </c>
    </row>
    <row r="1593" customFormat="false" ht="15" hidden="false" customHeight="false" outlineLevel="0" collapsed="false">
      <c r="A1593" s="0" t="str">
        <f aca="false">IF(COMPRAS!K393="","",COMPRAS!K393)</f>
        <v/>
      </c>
      <c r="B1593" s="0" t="str">
        <f aca="false">IF(A1593="","",IF(MATCH(A1593,$A$2:$A$3201,0)=ROW()-1,1,0))</f>
        <v/>
      </c>
      <c r="C1593" s="0" t="str">
        <f aca="false">IF(B1593=1,MAX(C$1:C1592)+1,"")</f>
        <v/>
      </c>
    </row>
    <row r="1594" customFormat="false" ht="15" hidden="false" customHeight="false" outlineLevel="0" collapsed="false">
      <c r="A1594" s="0" t="str">
        <f aca="false">IF(COMPRAS!K394="","",COMPRAS!K394)</f>
        <v/>
      </c>
      <c r="B1594" s="0" t="str">
        <f aca="false">IF(A1594="","",IF(MATCH(A1594,$A$2:$A$3201,0)=ROW()-1,1,0))</f>
        <v/>
      </c>
      <c r="C1594" s="0" t="str">
        <f aca="false">IF(B1594=1,MAX(C$1:C1593)+1,"")</f>
        <v/>
      </c>
    </row>
    <row r="1595" customFormat="false" ht="15" hidden="false" customHeight="false" outlineLevel="0" collapsed="false">
      <c r="A1595" s="0" t="str">
        <f aca="false">IF(COMPRAS!K395="","",COMPRAS!K395)</f>
        <v/>
      </c>
      <c r="B1595" s="0" t="str">
        <f aca="false">IF(A1595="","",IF(MATCH(A1595,$A$2:$A$3201,0)=ROW()-1,1,0))</f>
        <v/>
      </c>
      <c r="C1595" s="0" t="str">
        <f aca="false">IF(B1595=1,MAX(C$1:C1594)+1,"")</f>
        <v/>
      </c>
    </row>
    <row r="1596" customFormat="false" ht="15" hidden="false" customHeight="false" outlineLevel="0" collapsed="false">
      <c r="A1596" s="0" t="str">
        <f aca="false">IF(COMPRAS!K396="","",COMPRAS!K396)</f>
        <v/>
      </c>
      <c r="B1596" s="0" t="str">
        <f aca="false">IF(A1596="","",IF(MATCH(A1596,$A$2:$A$3201,0)=ROW()-1,1,0))</f>
        <v/>
      </c>
      <c r="C1596" s="0" t="str">
        <f aca="false">IF(B1596=1,MAX(C$1:C1595)+1,"")</f>
        <v/>
      </c>
    </row>
    <row r="1597" customFormat="false" ht="15" hidden="false" customHeight="false" outlineLevel="0" collapsed="false">
      <c r="A1597" s="0" t="str">
        <f aca="false">IF(COMPRAS!K397="","",COMPRAS!K397)</f>
        <v/>
      </c>
      <c r="B1597" s="0" t="str">
        <f aca="false">IF(A1597="","",IF(MATCH(A1597,$A$2:$A$3201,0)=ROW()-1,1,0))</f>
        <v/>
      </c>
      <c r="C1597" s="0" t="str">
        <f aca="false">IF(B1597=1,MAX(C$1:C1596)+1,"")</f>
        <v/>
      </c>
    </row>
    <row r="1598" customFormat="false" ht="15" hidden="false" customHeight="false" outlineLevel="0" collapsed="false">
      <c r="A1598" s="0" t="str">
        <f aca="false">IF(COMPRAS!K398="","",COMPRAS!K398)</f>
        <v/>
      </c>
      <c r="B1598" s="0" t="str">
        <f aca="false">IF(A1598="","",IF(MATCH(A1598,$A$2:$A$3201,0)=ROW()-1,1,0))</f>
        <v/>
      </c>
      <c r="C1598" s="0" t="str">
        <f aca="false">IF(B1598=1,MAX(C$1:C1597)+1,"")</f>
        <v/>
      </c>
    </row>
    <row r="1599" customFormat="false" ht="15" hidden="false" customHeight="false" outlineLevel="0" collapsed="false">
      <c r="A1599" s="0" t="str">
        <f aca="false">IF(COMPRAS!K399="","",COMPRAS!K399)</f>
        <v/>
      </c>
      <c r="B1599" s="0" t="str">
        <f aca="false">IF(A1599="","",IF(MATCH(A1599,$A$2:$A$3201,0)=ROW()-1,1,0))</f>
        <v/>
      </c>
      <c r="C1599" s="0" t="str">
        <f aca="false">IF(B1599=1,MAX(C$1:C1598)+1,"")</f>
        <v/>
      </c>
    </row>
    <row r="1600" customFormat="false" ht="15" hidden="false" customHeight="false" outlineLevel="0" collapsed="false">
      <c r="A1600" s="0" t="str">
        <f aca="false">IF(COMPRAS!K400="","",COMPRAS!K400)</f>
        <v/>
      </c>
      <c r="B1600" s="0" t="str">
        <f aca="false">IF(A1600="","",IF(MATCH(A1600,$A$2:$A$3201,0)=ROW()-1,1,0))</f>
        <v/>
      </c>
      <c r="C1600" s="0" t="str">
        <f aca="false">IF(B1600=1,MAX(C$1:C1599)+1,"")</f>
        <v/>
      </c>
    </row>
    <row r="1601" customFormat="false" ht="15" hidden="false" customHeight="false" outlineLevel="0" collapsed="false">
      <c r="A1601" s="0" t="str">
        <f aca="false">IF(COMPRAS!K401="","",COMPRAS!K401)</f>
        <v/>
      </c>
      <c r="B1601" s="0" t="str">
        <f aca="false">IF(A1601="","",IF(MATCH(A1601,$A$2:$A$3201,0)=ROW()-1,1,0))</f>
        <v/>
      </c>
      <c r="C1601" s="0" t="str">
        <f aca="false">IF(B1601=1,MAX(C$1:C1600)+1,"")</f>
        <v/>
      </c>
    </row>
    <row r="1602" customFormat="false" ht="15" hidden="false" customHeight="false" outlineLevel="0" collapsed="false">
      <c r="A1602" s="0" t="str">
        <f aca="false">IF(COMPRAS!K402="","",COMPRAS!K402)</f>
        <v/>
      </c>
      <c r="B1602" s="0" t="str">
        <f aca="false">IF(A1602="","",IF(MATCH(A1602,$A$2:$A$3201,0)=ROW()-1,1,0))</f>
        <v/>
      </c>
      <c r="C1602" s="0" t="str">
        <f aca="false">IF(B1602=1,MAX(C$1:C1601)+1,"")</f>
        <v/>
      </c>
    </row>
    <row r="1603" customFormat="false" ht="15" hidden="false" customHeight="false" outlineLevel="0" collapsed="false">
      <c r="A1603" s="0" t="str">
        <f aca="false">IF(COMPRAS!K403="","",COMPRAS!K403)</f>
        <v/>
      </c>
      <c r="B1603" s="0" t="str">
        <f aca="false">IF(A1603="","",IF(MATCH(A1603,$A$2:$A$3201,0)=ROW()-1,1,0))</f>
        <v/>
      </c>
      <c r="C1603" s="0" t="str">
        <f aca="false">IF(B1603=1,MAX(C$1:C1602)+1,"")</f>
        <v/>
      </c>
    </row>
    <row r="1604" customFormat="false" ht="15" hidden="false" customHeight="false" outlineLevel="0" collapsed="false">
      <c r="A1604" s="0" t="str">
        <f aca="false">IF(COMPRAS!K404="","",COMPRAS!K404)</f>
        <v/>
      </c>
      <c r="B1604" s="0" t="str">
        <f aca="false">IF(A1604="","",IF(MATCH(A1604,$A$2:$A$3201,0)=ROW()-1,1,0))</f>
        <v/>
      </c>
      <c r="C1604" s="0" t="str">
        <f aca="false">IF(B1604=1,MAX(C$1:C1603)+1,"")</f>
        <v/>
      </c>
    </row>
    <row r="1605" customFormat="false" ht="15" hidden="false" customHeight="false" outlineLevel="0" collapsed="false">
      <c r="A1605" s="0" t="str">
        <f aca="false">IF(COMPRAS!K405="","",COMPRAS!K405)</f>
        <v/>
      </c>
      <c r="B1605" s="0" t="str">
        <f aca="false">IF(A1605="","",IF(MATCH(A1605,$A$2:$A$3201,0)=ROW()-1,1,0))</f>
        <v/>
      </c>
      <c r="C1605" s="0" t="str">
        <f aca="false">IF(B1605=1,MAX(C$1:C1604)+1,"")</f>
        <v/>
      </c>
    </row>
    <row r="1606" customFormat="false" ht="15" hidden="false" customHeight="false" outlineLevel="0" collapsed="false">
      <c r="A1606" s="0" t="str">
        <f aca="false">IF(COMPRAS!K406="","",COMPRAS!K406)</f>
        <v/>
      </c>
      <c r="B1606" s="0" t="str">
        <f aca="false">IF(A1606="","",IF(MATCH(A1606,$A$2:$A$3201,0)=ROW()-1,1,0))</f>
        <v/>
      </c>
      <c r="C1606" s="0" t="str">
        <f aca="false">IF(B1606=1,MAX(C$1:C1605)+1,"")</f>
        <v/>
      </c>
    </row>
    <row r="1607" customFormat="false" ht="15" hidden="false" customHeight="false" outlineLevel="0" collapsed="false">
      <c r="A1607" s="0" t="str">
        <f aca="false">IF(COMPRAS!K407="","",COMPRAS!K407)</f>
        <v/>
      </c>
      <c r="B1607" s="0" t="str">
        <f aca="false">IF(A1607="","",IF(MATCH(A1607,$A$2:$A$3201,0)=ROW()-1,1,0))</f>
        <v/>
      </c>
      <c r="C1607" s="0" t="str">
        <f aca="false">IF(B1607=1,MAX(C$1:C1606)+1,"")</f>
        <v/>
      </c>
    </row>
    <row r="1608" customFormat="false" ht="15" hidden="false" customHeight="false" outlineLevel="0" collapsed="false">
      <c r="A1608" s="0" t="str">
        <f aca="false">IF(COMPRAS!K408="","",COMPRAS!K408)</f>
        <v/>
      </c>
      <c r="B1608" s="0" t="str">
        <f aca="false">IF(A1608="","",IF(MATCH(A1608,$A$2:$A$3201,0)=ROW()-1,1,0))</f>
        <v/>
      </c>
      <c r="C1608" s="0" t="str">
        <f aca="false">IF(B1608=1,MAX(C$1:C1607)+1,"")</f>
        <v/>
      </c>
    </row>
    <row r="1609" customFormat="false" ht="15" hidden="false" customHeight="false" outlineLevel="0" collapsed="false">
      <c r="A1609" s="0" t="str">
        <f aca="false">IF(COMPRAS!K409="","",COMPRAS!K409)</f>
        <v/>
      </c>
      <c r="B1609" s="0" t="str">
        <f aca="false">IF(A1609="","",IF(MATCH(A1609,$A$2:$A$3201,0)=ROW()-1,1,0))</f>
        <v/>
      </c>
      <c r="C1609" s="0" t="str">
        <f aca="false">IF(B1609=1,MAX(C$1:C1608)+1,"")</f>
        <v/>
      </c>
    </row>
    <row r="1610" customFormat="false" ht="15" hidden="false" customHeight="false" outlineLevel="0" collapsed="false">
      <c r="A1610" s="0" t="str">
        <f aca="false">IF(COMPRAS!K410="","",COMPRAS!K410)</f>
        <v/>
      </c>
      <c r="B1610" s="0" t="str">
        <f aca="false">IF(A1610="","",IF(MATCH(A1610,$A$2:$A$3201,0)=ROW()-1,1,0))</f>
        <v/>
      </c>
      <c r="C1610" s="0" t="str">
        <f aca="false">IF(B1610=1,MAX(C$1:C1609)+1,"")</f>
        <v/>
      </c>
    </row>
    <row r="1611" customFormat="false" ht="15" hidden="false" customHeight="false" outlineLevel="0" collapsed="false">
      <c r="A1611" s="0" t="str">
        <f aca="false">IF(COMPRAS!K411="","",COMPRAS!K411)</f>
        <v/>
      </c>
      <c r="B1611" s="0" t="str">
        <f aca="false">IF(A1611="","",IF(MATCH(A1611,$A$2:$A$3201,0)=ROW()-1,1,0))</f>
        <v/>
      </c>
      <c r="C1611" s="0" t="str">
        <f aca="false">IF(B1611=1,MAX(C$1:C1610)+1,"")</f>
        <v/>
      </c>
    </row>
    <row r="1612" customFormat="false" ht="15" hidden="false" customHeight="false" outlineLevel="0" collapsed="false">
      <c r="A1612" s="0" t="str">
        <f aca="false">IF(COMPRAS!K412="","",COMPRAS!K412)</f>
        <v/>
      </c>
      <c r="B1612" s="0" t="str">
        <f aca="false">IF(A1612="","",IF(MATCH(A1612,$A$2:$A$3201,0)=ROW()-1,1,0))</f>
        <v/>
      </c>
      <c r="C1612" s="0" t="str">
        <f aca="false">IF(B1612=1,MAX(C$1:C1611)+1,"")</f>
        <v/>
      </c>
    </row>
    <row r="1613" customFormat="false" ht="15" hidden="false" customHeight="false" outlineLevel="0" collapsed="false">
      <c r="A1613" s="0" t="str">
        <f aca="false">IF(COMPRAS!K413="","",COMPRAS!K413)</f>
        <v/>
      </c>
      <c r="B1613" s="0" t="str">
        <f aca="false">IF(A1613="","",IF(MATCH(A1613,$A$2:$A$3201,0)=ROW()-1,1,0))</f>
        <v/>
      </c>
      <c r="C1613" s="0" t="str">
        <f aca="false">IF(B1613=1,MAX(C$1:C1612)+1,"")</f>
        <v/>
      </c>
    </row>
    <row r="1614" customFormat="false" ht="15" hidden="false" customHeight="false" outlineLevel="0" collapsed="false">
      <c r="A1614" s="0" t="str">
        <f aca="false">IF(COMPRAS!K414="","",COMPRAS!K414)</f>
        <v/>
      </c>
      <c r="B1614" s="0" t="str">
        <f aca="false">IF(A1614="","",IF(MATCH(A1614,$A$2:$A$3201,0)=ROW()-1,1,0))</f>
        <v/>
      </c>
      <c r="C1614" s="0" t="str">
        <f aca="false">IF(B1614=1,MAX(C$1:C1613)+1,"")</f>
        <v/>
      </c>
    </row>
    <row r="1615" customFormat="false" ht="15" hidden="false" customHeight="false" outlineLevel="0" collapsed="false">
      <c r="A1615" s="0" t="str">
        <f aca="false">IF(COMPRAS!K415="","",COMPRAS!K415)</f>
        <v/>
      </c>
      <c r="B1615" s="0" t="str">
        <f aca="false">IF(A1615="","",IF(MATCH(A1615,$A$2:$A$3201,0)=ROW()-1,1,0))</f>
        <v/>
      </c>
      <c r="C1615" s="0" t="str">
        <f aca="false">IF(B1615=1,MAX(C$1:C1614)+1,"")</f>
        <v/>
      </c>
    </row>
    <row r="1616" customFormat="false" ht="15" hidden="false" customHeight="false" outlineLevel="0" collapsed="false">
      <c r="A1616" s="0" t="str">
        <f aca="false">IF(COMPRAS!K416="","",COMPRAS!K416)</f>
        <v/>
      </c>
      <c r="B1616" s="0" t="str">
        <f aca="false">IF(A1616="","",IF(MATCH(A1616,$A$2:$A$3201,0)=ROW()-1,1,0))</f>
        <v/>
      </c>
      <c r="C1616" s="0" t="str">
        <f aca="false">IF(B1616=1,MAX(C$1:C1615)+1,"")</f>
        <v/>
      </c>
    </row>
    <row r="1617" customFormat="false" ht="15" hidden="false" customHeight="false" outlineLevel="0" collapsed="false">
      <c r="A1617" s="0" t="str">
        <f aca="false">IF(COMPRAS!K417="","",COMPRAS!K417)</f>
        <v/>
      </c>
      <c r="B1617" s="0" t="str">
        <f aca="false">IF(A1617="","",IF(MATCH(A1617,$A$2:$A$3201,0)=ROW()-1,1,0))</f>
        <v/>
      </c>
      <c r="C1617" s="0" t="str">
        <f aca="false">IF(B1617=1,MAX(C$1:C1616)+1,"")</f>
        <v/>
      </c>
    </row>
    <row r="1618" customFormat="false" ht="15" hidden="false" customHeight="false" outlineLevel="0" collapsed="false">
      <c r="A1618" s="0" t="str">
        <f aca="false">IF(COMPRAS!K418="","",COMPRAS!K418)</f>
        <v/>
      </c>
      <c r="B1618" s="0" t="str">
        <f aca="false">IF(A1618="","",IF(MATCH(A1618,$A$2:$A$3201,0)=ROW()-1,1,0))</f>
        <v/>
      </c>
      <c r="C1618" s="0" t="str">
        <f aca="false">IF(B1618=1,MAX(C$1:C1617)+1,"")</f>
        <v/>
      </c>
    </row>
    <row r="1619" customFormat="false" ht="15" hidden="false" customHeight="false" outlineLevel="0" collapsed="false">
      <c r="A1619" s="0" t="str">
        <f aca="false">IF(COMPRAS!K419="","",COMPRAS!K419)</f>
        <v/>
      </c>
      <c r="B1619" s="0" t="str">
        <f aca="false">IF(A1619="","",IF(MATCH(A1619,$A$2:$A$3201,0)=ROW()-1,1,0))</f>
        <v/>
      </c>
      <c r="C1619" s="0" t="str">
        <f aca="false">IF(B1619=1,MAX(C$1:C1618)+1,"")</f>
        <v/>
      </c>
    </row>
    <row r="1620" customFormat="false" ht="15" hidden="false" customHeight="false" outlineLevel="0" collapsed="false">
      <c r="A1620" s="0" t="str">
        <f aca="false">IF(COMPRAS!K420="","",COMPRAS!K420)</f>
        <v/>
      </c>
      <c r="B1620" s="0" t="str">
        <f aca="false">IF(A1620="","",IF(MATCH(A1620,$A$2:$A$3201,0)=ROW()-1,1,0))</f>
        <v/>
      </c>
      <c r="C1620" s="0" t="str">
        <f aca="false">IF(B1620=1,MAX(C$1:C1619)+1,"")</f>
        <v/>
      </c>
    </row>
    <row r="1621" customFormat="false" ht="15" hidden="false" customHeight="false" outlineLevel="0" collapsed="false">
      <c r="A1621" s="0" t="str">
        <f aca="false">IF(COMPRAS!K421="","",COMPRAS!K421)</f>
        <v/>
      </c>
      <c r="B1621" s="0" t="str">
        <f aca="false">IF(A1621="","",IF(MATCH(A1621,$A$2:$A$3201,0)=ROW()-1,1,0))</f>
        <v/>
      </c>
      <c r="C1621" s="0" t="str">
        <f aca="false">IF(B1621=1,MAX(C$1:C1620)+1,"")</f>
        <v/>
      </c>
    </row>
    <row r="1622" customFormat="false" ht="15" hidden="false" customHeight="false" outlineLevel="0" collapsed="false">
      <c r="A1622" s="0" t="str">
        <f aca="false">IF(COMPRAS!K422="","",COMPRAS!K422)</f>
        <v/>
      </c>
      <c r="B1622" s="0" t="str">
        <f aca="false">IF(A1622="","",IF(MATCH(A1622,$A$2:$A$3201,0)=ROW()-1,1,0))</f>
        <v/>
      </c>
      <c r="C1622" s="0" t="str">
        <f aca="false">IF(B1622=1,MAX(C$1:C1621)+1,"")</f>
        <v/>
      </c>
    </row>
    <row r="1623" customFormat="false" ht="15" hidden="false" customHeight="false" outlineLevel="0" collapsed="false">
      <c r="A1623" s="0" t="str">
        <f aca="false">IF(COMPRAS!K423="","",COMPRAS!K423)</f>
        <v/>
      </c>
      <c r="B1623" s="0" t="str">
        <f aca="false">IF(A1623="","",IF(MATCH(A1623,$A$2:$A$3201,0)=ROW()-1,1,0))</f>
        <v/>
      </c>
      <c r="C1623" s="0" t="str">
        <f aca="false">IF(B1623=1,MAX(C$1:C1622)+1,"")</f>
        <v/>
      </c>
    </row>
    <row r="1624" customFormat="false" ht="15" hidden="false" customHeight="false" outlineLevel="0" collapsed="false">
      <c r="A1624" s="0" t="str">
        <f aca="false">IF(COMPRAS!K424="","",COMPRAS!K424)</f>
        <v/>
      </c>
      <c r="B1624" s="0" t="str">
        <f aca="false">IF(A1624="","",IF(MATCH(A1624,$A$2:$A$3201,0)=ROW()-1,1,0))</f>
        <v/>
      </c>
      <c r="C1624" s="0" t="str">
        <f aca="false">IF(B1624=1,MAX(C$1:C1623)+1,"")</f>
        <v/>
      </c>
    </row>
    <row r="1625" customFormat="false" ht="15" hidden="false" customHeight="false" outlineLevel="0" collapsed="false">
      <c r="A1625" s="0" t="str">
        <f aca="false">IF(COMPRAS!K425="","",COMPRAS!K425)</f>
        <v/>
      </c>
      <c r="B1625" s="0" t="str">
        <f aca="false">IF(A1625="","",IF(MATCH(A1625,$A$2:$A$3201,0)=ROW()-1,1,0))</f>
        <v/>
      </c>
      <c r="C1625" s="0" t="str">
        <f aca="false">IF(B1625=1,MAX(C$1:C1624)+1,"")</f>
        <v/>
      </c>
    </row>
    <row r="1626" customFormat="false" ht="15" hidden="false" customHeight="false" outlineLevel="0" collapsed="false">
      <c r="A1626" s="0" t="str">
        <f aca="false">IF(COMPRAS!K426="","",COMPRAS!K426)</f>
        <v/>
      </c>
      <c r="B1626" s="0" t="str">
        <f aca="false">IF(A1626="","",IF(MATCH(A1626,$A$2:$A$3201,0)=ROW()-1,1,0))</f>
        <v/>
      </c>
      <c r="C1626" s="0" t="str">
        <f aca="false">IF(B1626=1,MAX(C$1:C1625)+1,"")</f>
        <v/>
      </c>
    </row>
    <row r="1627" customFormat="false" ht="15" hidden="false" customHeight="false" outlineLevel="0" collapsed="false">
      <c r="A1627" s="0" t="str">
        <f aca="false">IF(COMPRAS!K427="","",COMPRAS!K427)</f>
        <v/>
      </c>
      <c r="B1627" s="0" t="str">
        <f aca="false">IF(A1627="","",IF(MATCH(A1627,$A$2:$A$3201,0)=ROW()-1,1,0))</f>
        <v/>
      </c>
      <c r="C1627" s="0" t="str">
        <f aca="false">IF(B1627=1,MAX(C$1:C1626)+1,"")</f>
        <v/>
      </c>
    </row>
    <row r="1628" customFormat="false" ht="15" hidden="false" customHeight="false" outlineLevel="0" collapsed="false">
      <c r="A1628" s="0" t="str">
        <f aca="false">IF(COMPRAS!K428="","",COMPRAS!K428)</f>
        <v/>
      </c>
      <c r="B1628" s="0" t="str">
        <f aca="false">IF(A1628="","",IF(MATCH(A1628,$A$2:$A$3201,0)=ROW()-1,1,0))</f>
        <v/>
      </c>
      <c r="C1628" s="0" t="str">
        <f aca="false">IF(B1628=1,MAX(C$1:C1627)+1,"")</f>
        <v/>
      </c>
    </row>
    <row r="1629" customFormat="false" ht="15" hidden="false" customHeight="false" outlineLevel="0" collapsed="false">
      <c r="A1629" s="0" t="str">
        <f aca="false">IF(COMPRAS!K429="","",COMPRAS!K429)</f>
        <v/>
      </c>
      <c r="B1629" s="0" t="str">
        <f aca="false">IF(A1629="","",IF(MATCH(A1629,$A$2:$A$3201,0)=ROW()-1,1,0))</f>
        <v/>
      </c>
      <c r="C1629" s="0" t="str">
        <f aca="false">IF(B1629=1,MAX(C$1:C1628)+1,"")</f>
        <v/>
      </c>
    </row>
    <row r="1630" customFormat="false" ht="15" hidden="false" customHeight="false" outlineLevel="0" collapsed="false">
      <c r="A1630" s="0" t="str">
        <f aca="false">IF(COMPRAS!K430="","",COMPRAS!K430)</f>
        <v/>
      </c>
      <c r="B1630" s="0" t="str">
        <f aca="false">IF(A1630="","",IF(MATCH(A1630,$A$2:$A$3201,0)=ROW()-1,1,0))</f>
        <v/>
      </c>
      <c r="C1630" s="0" t="str">
        <f aca="false">IF(B1630=1,MAX(C$1:C1629)+1,"")</f>
        <v/>
      </c>
    </row>
    <row r="1631" customFormat="false" ht="15" hidden="false" customHeight="false" outlineLevel="0" collapsed="false">
      <c r="A1631" s="0" t="str">
        <f aca="false">IF(COMPRAS!K431="","",COMPRAS!K431)</f>
        <v/>
      </c>
      <c r="B1631" s="0" t="str">
        <f aca="false">IF(A1631="","",IF(MATCH(A1631,$A$2:$A$3201,0)=ROW()-1,1,0))</f>
        <v/>
      </c>
      <c r="C1631" s="0" t="str">
        <f aca="false">IF(B1631=1,MAX(C$1:C1630)+1,"")</f>
        <v/>
      </c>
    </row>
    <row r="1632" customFormat="false" ht="15" hidden="false" customHeight="false" outlineLevel="0" collapsed="false">
      <c r="A1632" s="0" t="str">
        <f aca="false">IF(COMPRAS!K432="","",COMPRAS!K432)</f>
        <v/>
      </c>
      <c r="B1632" s="0" t="str">
        <f aca="false">IF(A1632="","",IF(MATCH(A1632,$A$2:$A$3201,0)=ROW()-1,1,0))</f>
        <v/>
      </c>
      <c r="C1632" s="0" t="str">
        <f aca="false">IF(B1632=1,MAX(C$1:C1631)+1,"")</f>
        <v/>
      </c>
    </row>
    <row r="1633" customFormat="false" ht="15" hidden="false" customHeight="false" outlineLevel="0" collapsed="false">
      <c r="A1633" s="0" t="str">
        <f aca="false">IF(COMPRAS!K433="","",COMPRAS!K433)</f>
        <v/>
      </c>
      <c r="B1633" s="0" t="str">
        <f aca="false">IF(A1633="","",IF(MATCH(A1633,$A$2:$A$3201,0)=ROW()-1,1,0))</f>
        <v/>
      </c>
      <c r="C1633" s="0" t="str">
        <f aca="false">IF(B1633=1,MAX(C$1:C1632)+1,"")</f>
        <v/>
      </c>
    </row>
    <row r="1634" customFormat="false" ht="15" hidden="false" customHeight="false" outlineLevel="0" collapsed="false">
      <c r="A1634" s="0" t="str">
        <f aca="false">IF(COMPRAS!K434="","",COMPRAS!K434)</f>
        <v/>
      </c>
      <c r="B1634" s="0" t="str">
        <f aca="false">IF(A1634="","",IF(MATCH(A1634,$A$2:$A$3201,0)=ROW()-1,1,0))</f>
        <v/>
      </c>
      <c r="C1634" s="0" t="str">
        <f aca="false">IF(B1634=1,MAX(C$1:C1633)+1,"")</f>
        <v/>
      </c>
    </row>
    <row r="1635" customFormat="false" ht="15" hidden="false" customHeight="false" outlineLevel="0" collapsed="false">
      <c r="A1635" s="0" t="str">
        <f aca="false">IF(COMPRAS!K435="","",COMPRAS!K435)</f>
        <v/>
      </c>
      <c r="B1635" s="0" t="str">
        <f aca="false">IF(A1635="","",IF(MATCH(A1635,$A$2:$A$3201,0)=ROW()-1,1,0))</f>
        <v/>
      </c>
      <c r="C1635" s="0" t="str">
        <f aca="false">IF(B1635=1,MAX(C$1:C1634)+1,"")</f>
        <v/>
      </c>
    </row>
    <row r="1636" customFormat="false" ht="15" hidden="false" customHeight="false" outlineLevel="0" collapsed="false">
      <c r="A1636" s="0" t="str">
        <f aca="false">IF(COMPRAS!K436="","",COMPRAS!K436)</f>
        <v/>
      </c>
      <c r="B1636" s="0" t="str">
        <f aca="false">IF(A1636="","",IF(MATCH(A1636,$A$2:$A$3201,0)=ROW()-1,1,0))</f>
        <v/>
      </c>
      <c r="C1636" s="0" t="str">
        <f aca="false">IF(B1636=1,MAX(C$1:C1635)+1,"")</f>
        <v/>
      </c>
    </row>
    <row r="1637" customFormat="false" ht="15" hidden="false" customHeight="false" outlineLevel="0" collapsed="false">
      <c r="A1637" s="0" t="str">
        <f aca="false">IF(COMPRAS!K437="","",COMPRAS!K437)</f>
        <v/>
      </c>
      <c r="B1637" s="0" t="str">
        <f aca="false">IF(A1637="","",IF(MATCH(A1637,$A$2:$A$3201,0)=ROW()-1,1,0))</f>
        <v/>
      </c>
      <c r="C1637" s="0" t="str">
        <f aca="false">IF(B1637=1,MAX(C$1:C1636)+1,"")</f>
        <v/>
      </c>
    </row>
    <row r="1638" customFormat="false" ht="15" hidden="false" customHeight="false" outlineLevel="0" collapsed="false">
      <c r="A1638" s="0" t="str">
        <f aca="false">IF(COMPRAS!K438="","",COMPRAS!K438)</f>
        <v/>
      </c>
      <c r="B1638" s="0" t="str">
        <f aca="false">IF(A1638="","",IF(MATCH(A1638,$A$2:$A$3201,0)=ROW()-1,1,0))</f>
        <v/>
      </c>
      <c r="C1638" s="0" t="str">
        <f aca="false">IF(B1638=1,MAX(C$1:C1637)+1,"")</f>
        <v/>
      </c>
    </row>
    <row r="1639" customFormat="false" ht="15" hidden="false" customHeight="false" outlineLevel="0" collapsed="false">
      <c r="A1639" s="0" t="str">
        <f aca="false">IF(COMPRAS!K439="","",COMPRAS!K439)</f>
        <v/>
      </c>
      <c r="B1639" s="0" t="str">
        <f aca="false">IF(A1639="","",IF(MATCH(A1639,$A$2:$A$3201,0)=ROW()-1,1,0))</f>
        <v/>
      </c>
      <c r="C1639" s="0" t="str">
        <f aca="false">IF(B1639=1,MAX(C$1:C1638)+1,"")</f>
        <v/>
      </c>
    </row>
    <row r="1640" customFormat="false" ht="15" hidden="false" customHeight="false" outlineLevel="0" collapsed="false">
      <c r="A1640" s="0" t="str">
        <f aca="false">IF(COMPRAS!K440="","",COMPRAS!K440)</f>
        <v/>
      </c>
      <c r="B1640" s="0" t="str">
        <f aca="false">IF(A1640="","",IF(MATCH(A1640,$A$2:$A$3201,0)=ROW()-1,1,0))</f>
        <v/>
      </c>
      <c r="C1640" s="0" t="str">
        <f aca="false">IF(B1640=1,MAX(C$1:C1639)+1,"")</f>
        <v/>
      </c>
    </row>
    <row r="1641" customFormat="false" ht="15" hidden="false" customHeight="false" outlineLevel="0" collapsed="false">
      <c r="A1641" s="0" t="str">
        <f aca="false">IF(COMPRAS!K441="","",COMPRAS!K441)</f>
        <v/>
      </c>
      <c r="B1641" s="0" t="str">
        <f aca="false">IF(A1641="","",IF(MATCH(A1641,$A$2:$A$3201,0)=ROW()-1,1,0))</f>
        <v/>
      </c>
      <c r="C1641" s="0" t="str">
        <f aca="false">IF(B1641=1,MAX(C$1:C1640)+1,"")</f>
        <v/>
      </c>
    </row>
    <row r="1642" customFormat="false" ht="15" hidden="false" customHeight="false" outlineLevel="0" collapsed="false">
      <c r="A1642" s="0" t="str">
        <f aca="false">IF(COMPRAS!K442="","",COMPRAS!K442)</f>
        <v/>
      </c>
      <c r="B1642" s="0" t="str">
        <f aca="false">IF(A1642="","",IF(MATCH(A1642,$A$2:$A$3201,0)=ROW()-1,1,0))</f>
        <v/>
      </c>
      <c r="C1642" s="0" t="str">
        <f aca="false">IF(B1642=1,MAX(C$1:C1641)+1,"")</f>
        <v/>
      </c>
    </row>
    <row r="1643" customFormat="false" ht="15" hidden="false" customHeight="false" outlineLevel="0" collapsed="false">
      <c r="A1643" s="0" t="str">
        <f aca="false">IF(COMPRAS!K443="","",COMPRAS!K443)</f>
        <v/>
      </c>
      <c r="B1643" s="0" t="str">
        <f aca="false">IF(A1643="","",IF(MATCH(A1643,$A$2:$A$3201,0)=ROW()-1,1,0))</f>
        <v/>
      </c>
      <c r="C1643" s="0" t="str">
        <f aca="false">IF(B1643=1,MAX(C$1:C1642)+1,"")</f>
        <v/>
      </c>
    </row>
    <row r="1644" customFormat="false" ht="15" hidden="false" customHeight="false" outlineLevel="0" collapsed="false">
      <c r="A1644" s="0" t="str">
        <f aca="false">IF(COMPRAS!K444="","",COMPRAS!K444)</f>
        <v/>
      </c>
      <c r="B1644" s="0" t="str">
        <f aca="false">IF(A1644="","",IF(MATCH(A1644,$A$2:$A$3201,0)=ROW()-1,1,0))</f>
        <v/>
      </c>
      <c r="C1644" s="0" t="str">
        <f aca="false">IF(B1644=1,MAX(C$1:C1643)+1,"")</f>
        <v/>
      </c>
    </row>
    <row r="1645" customFormat="false" ht="15" hidden="false" customHeight="false" outlineLevel="0" collapsed="false">
      <c r="A1645" s="0" t="str">
        <f aca="false">IF(COMPRAS!K445="","",COMPRAS!K445)</f>
        <v/>
      </c>
      <c r="B1645" s="0" t="str">
        <f aca="false">IF(A1645="","",IF(MATCH(A1645,$A$2:$A$3201,0)=ROW()-1,1,0))</f>
        <v/>
      </c>
      <c r="C1645" s="0" t="str">
        <f aca="false">IF(B1645=1,MAX(C$1:C1644)+1,"")</f>
        <v/>
      </c>
    </row>
    <row r="1646" customFormat="false" ht="15" hidden="false" customHeight="false" outlineLevel="0" collapsed="false">
      <c r="A1646" s="0" t="str">
        <f aca="false">IF(COMPRAS!K446="","",COMPRAS!K446)</f>
        <v/>
      </c>
      <c r="B1646" s="0" t="str">
        <f aca="false">IF(A1646="","",IF(MATCH(A1646,$A$2:$A$3201,0)=ROW()-1,1,0))</f>
        <v/>
      </c>
      <c r="C1646" s="0" t="str">
        <f aca="false">IF(B1646=1,MAX(C$1:C1645)+1,"")</f>
        <v/>
      </c>
    </row>
    <row r="1647" customFormat="false" ht="15" hidden="false" customHeight="false" outlineLevel="0" collapsed="false">
      <c r="A1647" s="0" t="str">
        <f aca="false">IF(COMPRAS!K447="","",COMPRAS!K447)</f>
        <v/>
      </c>
      <c r="B1647" s="0" t="str">
        <f aca="false">IF(A1647="","",IF(MATCH(A1647,$A$2:$A$3201,0)=ROW()-1,1,0))</f>
        <v/>
      </c>
      <c r="C1647" s="0" t="str">
        <f aca="false">IF(B1647=1,MAX(C$1:C1646)+1,"")</f>
        <v/>
      </c>
    </row>
    <row r="1648" customFormat="false" ht="15" hidden="false" customHeight="false" outlineLevel="0" collapsed="false">
      <c r="A1648" s="0" t="str">
        <f aca="false">IF(COMPRAS!K448="","",COMPRAS!K448)</f>
        <v/>
      </c>
      <c r="B1648" s="0" t="str">
        <f aca="false">IF(A1648="","",IF(MATCH(A1648,$A$2:$A$3201,0)=ROW()-1,1,0))</f>
        <v/>
      </c>
      <c r="C1648" s="0" t="str">
        <f aca="false">IF(B1648=1,MAX(C$1:C1647)+1,"")</f>
        <v/>
      </c>
    </row>
    <row r="1649" customFormat="false" ht="15" hidden="false" customHeight="false" outlineLevel="0" collapsed="false">
      <c r="A1649" s="0" t="str">
        <f aca="false">IF(COMPRAS!K449="","",COMPRAS!K449)</f>
        <v/>
      </c>
      <c r="B1649" s="0" t="str">
        <f aca="false">IF(A1649="","",IF(MATCH(A1649,$A$2:$A$3201,0)=ROW()-1,1,0))</f>
        <v/>
      </c>
      <c r="C1649" s="0" t="str">
        <f aca="false">IF(B1649=1,MAX(C$1:C1648)+1,"")</f>
        <v/>
      </c>
    </row>
    <row r="1650" customFormat="false" ht="15" hidden="false" customHeight="false" outlineLevel="0" collapsed="false">
      <c r="A1650" s="0" t="str">
        <f aca="false">IF(COMPRAS!K450="","",COMPRAS!K450)</f>
        <v/>
      </c>
      <c r="B1650" s="0" t="str">
        <f aca="false">IF(A1650="","",IF(MATCH(A1650,$A$2:$A$3201,0)=ROW()-1,1,0))</f>
        <v/>
      </c>
      <c r="C1650" s="0" t="str">
        <f aca="false">IF(B1650=1,MAX(C$1:C1649)+1,"")</f>
        <v/>
      </c>
    </row>
    <row r="1651" customFormat="false" ht="15" hidden="false" customHeight="false" outlineLevel="0" collapsed="false">
      <c r="A1651" s="0" t="str">
        <f aca="false">IF(COMPRAS!K451="","",COMPRAS!K451)</f>
        <v/>
      </c>
      <c r="B1651" s="0" t="str">
        <f aca="false">IF(A1651="","",IF(MATCH(A1651,$A$2:$A$3201,0)=ROW()-1,1,0))</f>
        <v/>
      </c>
      <c r="C1651" s="0" t="str">
        <f aca="false">IF(B1651=1,MAX(C$1:C1650)+1,"")</f>
        <v/>
      </c>
    </row>
    <row r="1652" customFormat="false" ht="15" hidden="false" customHeight="false" outlineLevel="0" collapsed="false">
      <c r="A1652" s="0" t="str">
        <f aca="false">IF(COMPRAS!K452="","",COMPRAS!K452)</f>
        <v/>
      </c>
      <c r="B1652" s="0" t="str">
        <f aca="false">IF(A1652="","",IF(MATCH(A1652,$A$2:$A$3201,0)=ROW()-1,1,0))</f>
        <v/>
      </c>
      <c r="C1652" s="0" t="str">
        <f aca="false">IF(B1652=1,MAX(C$1:C1651)+1,"")</f>
        <v/>
      </c>
    </row>
    <row r="1653" customFormat="false" ht="15" hidden="false" customHeight="false" outlineLevel="0" collapsed="false">
      <c r="A1653" s="0" t="str">
        <f aca="false">IF(COMPRAS!K453="","",COMPRAS!K453)</f>
        <v/>
      </c>
      <c r="B1653" s="0" t="str">
        <f aca="false">IF(A1653="","",IF(MATCH(A1653,$A$2:$A$3201,0)=ROW()-1,1,0))</f>
        <v/>
      </c>
      <c r="C1653" s="0" t="str">
        <f aca="false">IF(B1653=1,MAX(C$1:C1652)+1,"")</f>
        <v/>
      </c>
    </row>
    <row r="1654" customFormat="false" ht="15" hidden="false" customHeight="false" outlineLevel="0" collapsed="false">
      <c r="A1654" s="0" t="str">
        <f aca="false">IF(COMPRAS!K454="","",COMPRAS!K454)</f>
        <v/>
      </c>
      <c r="B1654" s="0" t="str">
        <f aca="false">IF(A1654="","",IF(MATCH(A1654,$A$2:$A$3201,0)=ROW()-1,1,0))</f>
        <v/>
      </c>
      <c r="C1654" s="0" t="str">
        <f aca="false">IF(B1654=1,MAX(C$1:C1653)+1,"")</f>
        <v/>
      </c>
    </row>
    <row r="1655" customFormat="false" ht="15" hidden="false" customHeight="false" outlineLevel="0" collapsed="false">
      <c r="A1655" s="0" t="str">
        <f aca="false">IF(COMPRAS!K455="","",COMPRAS!K455)</f>
        <v/>
      </c>
      <c r="B1655" s="0" t="str">
        <f aca="false">IF(A1655="","",IF(MATCH(A1655,$A$2:$A$3201,0)=ROW()-1,1,0))</f>
        <v/>
      </c>
      <c r="C1655" s="0" t="str">
        <f aca="false">IF(B1655=1,MAX(C$1:C1654)+1,"")</f>
        <v/>
      </c>
    </row>
    <row r="1656" customFormat="false" ht="15" hidden="false" customHeight="false" outlineLevel="0" collapsed="false">
      <c r="A1656" s="0" t="str">
        <f aca="false">IF(COMPRAS!K456="","",COMPRAS!K456)</f>
        <v/>
      </c>
      <c r="B1656" s="0" t="str">
        <f aca="false">IF(A1656="","",IF(MATCH(A1656,$A$2:$A$3201,0)=ROW()-1,1,0))</f>
        <v/>
      </c>
      <c r="C1656" s="0" t="str">
        <f aca="false">IF(B1656=1,MAX(C$1:C1655)+1,"")</f>
        <v/>
      </c>
    </row>
    <row r="1657" customFormat="false" ht="15" hidden="false" customHeight="false" outlineLevel="0" collapsed="false">
      <c r="A1657" s="0" t="str">
        <f aca="false">IF(COMPRAS!K457="","",COMPRAS!K457)</f>
        <v/>
      </c>
      <c r="B1657" s="0" t="str">
        <f aca="false">IF(A1657="","",IF(MATCH(A1657,$A$2:$A$3201,0)=ROW()-1,1,0))</f>
        <v/>
      </c>
      <c r="C1657" s="0" t="str">
        <f aca="false">IF(B1657=1,MAX(C$1:C1656)+1,"")</f>
        <v/>
      </c>
    </row>
    <row r="1658" customFormat="false" ht="15" hidden="false" customHeight="false" outlineLevel="0" collapsed="false">
      <c r="A1658" s="0" t="str">
        <f aca="false">IF(COMPRAS!K458="","",COMPRAS!K458)</f>
        <v/>
      </c>
      <c r="B1658" s="0" t="str">
        <f aca="false">IF(A1658="","",IF(MATCH(A1658,$A$2:$A$3201,0)=ROW()-1,1,0))</f>
        <v/>
      </c>
      <c r="C1658" s="0" t="str">
        <f aca="false">IF(B1658=1,MAX(C$1:C1657)+1,"")</f>
        <v/>
      </c>
    </row>
    <row r="1659" customFormat="false" ht="15" hidden="false" customHeight="false" outlineLevel="0" collapsed="false">
      <c r="A1659" s="0" t="str">
        <f aca="false">IF(COMPRAS!K459="","",COMPRAS!K459)</f>
        <v/>
      </c>
      <c r="B1659" s="0" t="str">
        <f aca="false">IF(A1659="","",IF(MATCH(A1659,$A$2:$A$3201,0)=ROW()-1,1,0))</f>
        <v/>
      </c>
      <c r="C1659" s="0" t="str">
        <f aca="false">IF(B1659=1,MAX(C$1:C1658)+1,"")</f>
        <v/>
      </c>
    </row>
    <row r="1660" customFormat="false" ht="15" hidden="false" customHeight="false" outlineLevel="0" collapsed="false">
      <c r="A1660" s="0" t="str">
        <f aca="false">IF(COMPRAS!K460="","",COMPRAS!K460)</f>
        <v/>
      </c>
      <c r="B1660" s="0" t="str">
        <f aca="false">IF(A1660="","",IF(MATCH(A1660,$A$2:$A$3201,0)=ROW()-1,1,0))</f>
        <v/>
      </c>
      <c r="C1660" s="0" t="str">
        <f aca="false">IF(B1660=1,MAX(C$1:C1659)+1,"")</f>
        <v/>
      </c>
    </row>
    <row r="1661" customFormat="false" ht="15" hidden="false" customHeight="false" outlineLevel="0" collapsed="false">
      <c r="A1661" s="0" t="str">
        <f aca="false">IF(COMPRAS!K461="","",COMPRAS!K461)</f>
        <v/>
      </c>
      <c r="B1661" s="0" t="str">
        <f aca="false">IF(A1661="","",IF(MATCH(A1661,$A$2:$A$3201,0)=ROW()-1,1,0))</f>
        <v/>
      </c>
      <c r="C1661" s="0" t="str">
        <f aca="false">IF(B1661=1,MAX(C$1:C1660)+1,"")</f>
        <v/>
      </c>
    </row>
    <row r="1662" customFormat="false" ht="15" hidden="false" customHeight="false" outlineLevel="0" collapsed="false">
      <c r="A1662" s="0" t="str">
        <f aca="false">IF(COMPRAS!K462="","",COMPRAS!K462)</f>
        <v/>
      </c>
      <c r="B1662" s="0" t="str">
        <f aca="false">IF(A1662="","",IF(MATCH(A1662,$A$2:$A$3201,0)=ROW()-1,1,0))</f>
        <v/>
      </c>
      <c r="C1662" s="0" t="str">
        <f aca="false">IF(B1662=1,MAX(C$1:C1661)+1,"")</f>
        <v/>
      </c>
    </row>
    <row r="1663" customFormat="false" ht="15" hidden="false" customHeight="false" outlineLevel="0" collapsed="false">
      <c r="A1663" s="0" t="str">
        <f aca="false">IF(COMPRAS!K463="","",COMPRAS!K463)</f>
        <v/>
      </c>
      <c r="B1663" s="0" t="str">
        <f aca="false">IF(A1663="","",IF(MATCH(A1663,$A$2:$A$3201,0)=ROW()-1,1,0))</f>
        <v/>
      </c>
      <c r="C1663" s="0" t="str">
        <f aca="false">IF(B1663=1,MAX(C$1:C1662)+1,"")</f>
        <v/>
      </c>
    </row>
    <row r="1664" customFormat="false" ht="15" hidden="false" customHeight="false" outlineLevel="0" collapsed="false">
      <c r="A1664" s="0" t="str">
        <f aca="false">IF(COMPRAS!K464="","",COMPRAS!K464)</f>
        <v/>
      </c>
      <c r="B1664" s="0" t="str">
        <f aca="false">IF(A1664="","",IF(MATCH(A1664,$A$2:$A$3201,0)=ROW()-1,1,0))</f>
        <v/>
      </c>
      <c r="C1664" s="0" t="str">
        <f aca="false">IF(B1664=1,MAX(C$1:C1663)+1,"")</f>
        <v/>
      </c>
    </row>
    <row r="1665" customFormat="false" ht="15" hidden="false" customHeight="false" outlineLevel="0" collapsed="false">
      <c r="A1665" s="0" t="str">
        <f aca="false">IF(COMPRAS!K465="","",COMPRAS!K465)</f>
        <v/>
      </c>
      <c r="B1665" s="0" t="str">
        <f aca="false">IF(A1665="","",IF(MATCH(A1665,$A$2:$A$3201,0)=ROW()-1,1,0))</f>
        <v/>
      </c>
      <c r="C1665" s="0" t="str">
        <f aca="false">IF(B1665=1,MAX(C$1:C1664)+1,"")</f>
        <v/>
      </c>
    </row>
    <row r="1666" customFormat="false" ht="15" hidden="false" customHeight="false" outlineLevel="0" collapsed="false">
      <c r="A1666" s="0" t="str">
        <f aca="false">IF(COMPRAS!K466="","",COMPRAS!K466)</f>
        <v/>
      </c>
      <c r="B1666" s="0" t="str">
        <f aca="false">IF(A1666="","",IF(MATCH(A1666,$A$2:$A$3201,0)=ROW()-1,1,0))</f>
        <v/>
      </c>
      <c r="C1666" s="0" t="str">
        <f aca="false">IF(B1666=1,MAX(C$1:C1665)+1,"")</f>
        <v/>
      </c>
    </row>
    <row r="1667" customFormat="false" ht="15" hidden="false" customHeight="false" outlineLevel="0" collapsed="false">
      <c r="A1667" s="0" t="str">
        <f aca="false">IF(COMPRAS!K467="","",COMPRAS!K467)</f>
        <v/>
      </c>
      <c r="B1667" s="0" t="str">
        <f aca="false">IF(A1667="","",IF(MATCH(A1667,$A$2:$A$3201,0)=ROW()-1,1,0))</f>
        <v/>
      </c>
      <c r="C1667" s="0" t="str">
        <f aca="false">IF(B1667=1,MAX(C$1:C1666)+1,"")</f>
        <v/>
      </c>
    </row>
    <row r="1668" customFormat="false" ht="15" hidden="false" customHeight="false" outlineLevel="0" collapsed="false">
      <c r="A1668" s="0" t="str">
        <f aca="false">IF(COMPRAS!K468="","",COMPRAS!K468)</f>
        <v/>
      </c>
      <c r="B1668" s="0" t="str">
        <f aca="false">IF(A1668="","",IF(MATCH(A1668,$A$2:$A$3201,0)=ROW()-1,1,0))</f>
        <v/>
      </c>
      <c r="C1668" s="0" t="str">
        <f aca="false">IF(B1668=1,MAX(C$1:C1667)+1,"")</f>
        <v/>
      </c>
    </row>
    <row r="1669" customFormat="false" ht="15" hidden="false" customHeight="false" outlineLevel="0" collapsed="false">
      <c r="A1669" s="0" t="str">
        <f aca="false">IF(COMPRAS!K469="","",COMPRAS!K469)</f>
        <v/>
      </c>
      <c r="B1669" s="0" t="str">
        <f aca="false">IF(A1669="","",IF(MATCH(A1669,$A$2:$A$3201,0)=ROW()-1,1,0))</f>
        <v/>
      </c>
      <c r="C1669" s="0" t="str">
        <f aca="false">IF(B1669=1,MAX(C$1:C1668)+1,"")</f>
        <v/>
      </c>
    </row>
    <row r="1670" customFormat="false" ht="15" hidden="false" customHeight="false" outlineLevel="0" collapsed="false">
      <c r="A1670" s="0" t="str">
        <f aca="false">IF(COMPRAS!K470="","",COMPRAS!K470)</f>
        <v/>
      </c>
      <c r="B1670" s="0" t="str">
        <f aca="false">IF(A1670="","",IF(MATCH(A1670,$A$2:$A$3201,0)=ROW()-1,1,0))</f>
        <v/>
      </c>
      <c r="C1670" s="0" t="str">
        <f aca="false">IF(B1670=1,MAX(C$1:C1669)+1,"")</f>
        <v/>
      </c>
    </row>
    <row r="1671" customFormat="false" ht="15" hidden="false" customHeight="false" outlineLevel="0" collapsed="false">
      <c r="A1671" s="0" t="str">
        <f aca="false">IF(COMPRAS!K471="","",COMPRAS!K471)</f>
        <v/>
      </c>
      <c r="B1671" s="0" t="str">
        <f aca="false">IF(A1671="","",IF(MATCH(A1671,$A$2:$A$3201,0)=ROW()-1,1,0))</f>
        <v/>
      </c>
      <c r="C1671" s="0" t="str">
        <f aca="false">IF(B1671=1,MAX(C$1:C1670)+1,"")</f>
        <v/>
      </c>
    </row>
    <row r="1672" customFormat="false" ht="15" hidden="false" customHeight="false" outlineLevel="0" collapsed="false">
      <c r="A1672" s="0" t="str">
        <f aca="false">IF(COMPRAS!K472="","",COMPRAS!K472)</f>
        <v/>
      </c>
      <c r="B1672" s="0" t="str">
        <f aca="false">IF(A1672="","",IF(MATCH(A1672,$A$2:$A$3201,0)=ROW()-1,1,0))</f>
        <v/>
      </c>
      <c r="C1672" s="0" t="str">
        <f aca="false">IF(B1672=1,MAX(C$1:C1671)+1,"")</f>
        <v/>
      </c>
    </row>
    <row r="1673" customFormat="false" ht="15" hidden="false" customHeight="false" outlineLevel="0" collapsed="false">
      <c r="A1673" s="0" t="str">
        <f aca="false">IF(COMPRAS!K473="","",COMPRAS!K473)</f>
        <v/>
      </c>
      <c r="B1673" s="0" t="str">
        <f aca="false">IF(A1673="","",IF(MATCH(A1673,$A$2:$A$3201,0)=ROW()-1,1,0))</f>
        <v/>
      </c>
      <c r="C1673" s="0" t="str">
        <f aca="false">IF(B1673=1,MAX(C$1:C1672)+1,"")</f>
        <v/>
      </c>
    </row>
    <row r="1674" customFormat="false" ht="15" hidden="false" customHeight="false" outlineLevel="0" collapsed="false">
      <c r="A1674" s="0" t="str">
        <f aca="false">IF(COMPRAS!K474="","",COMPRAS!K474)</f>
        <v/>
      </c>
      <c r="B1674" s="0" t="str">
        <f aca="false">IF(A1674="","",IF(MATCH(A1674,$A$2:$A$3201,0)=ROW()-1,1,0))</f>
        <v/>
      </c>
      <c r="C1674" s="0" t="str">
        <f aca="false">IF(B1674=1,MAX(C$1:C1673)+1,"")</f>
        <v/>
      </c>
    </row>
    <row r="1675" customFormat="false" ht="15" hidden="false" customHeight="false" outlineLevel="0" collapsed="false">
      <c r="A1675" s="0" t="str">
        <f aca="false">IF(COMPRAS!K475="","",COMPRAS!K475)</f>
        <v/>
      </c>
      <c r="B1675" s="0" t="str">
        <f aca="false">IF(A1675="","",IF(MATCH(A1675,$A$2:$A$3201,0)=ROW()-1,1,0))</f>
        <v/>
      </c>
      <c r="C1675" s="0" t="str">
        <f aca="false">IF(B1675=1,MAX(C$1:C1674)+1,"")</f>
        <v/>
      </c>
    </row>
    <row r="1676" customFormat="false" ht="15" hidden="false" customHeight="false" outlineLevel="0" collapsed="false">
      <c r="A1676" s="0" t="str">
        <f aca="false">IF(COMPRAS!K476="","",COMPRAS!K476)</f>
        <v/>
      </c>
      <c r="B1676" s="0" t="str">
        <f aca="false">IF(A1676="","",IF(MATCH(A1676,$A$2:$A$3201,0)=ROW()-1,1,0))</f>
        <v/>
      </c>
      <c r="C1676" s="0" t="str">
        <f aca="false">IF(B1676=1,MAX(C$1:C1675)+1,"")</f>
        <v/>
      </c>
    </row>
    <row r="1677" customFormat="false" ht="15" hidden="false" customHeight="false" outlineLevel="0" collapsed="false">
      <c r="A1677" s="0" t="str">
        <f aca="false">IF(COMPRAS!K477="","",COMPRAS!K477)</f>
        <v/>
      </c>
      <c r="B1677" s="0" t="str">
        <f aca="false">IF(A1677="","",IF(MATCH(A1677,$A$2:$A$3201,0)=ROW()-1,1,0))</f>
        <v/>
      </c>
      <c r="C1677" s="0" t="str">
        <f aca="false">IF(B1677=1,MAX(C$1:C1676)+1,"")</f>
        <v/>
      </c>
    </row>
    <row r="1678" customFormat="false" ht="15" hidden="false" customHeight="false" outlineLevel="0" collapsed="false">
      <c r="A1678" s="0" t="str">
        <f aca="false">IF(COMPRAS!K478="","",COMPRAS!K478)</f>
        <v/>
      </c>
      <c r="B1678" s="0" t="str">
        <f aca="false">IF(A1678="","",IF(MATCH(A1678,$A$2:$A$3201,0)=ROW()-1,1,0))</f>
        <v/>
      </c>
      <c r="C1678" s="0" t="str">
        <f aca="false">IF(B1678=1,MAX(C$1:C1677)+1,"")</f>
        <v/>
      </c>
    </row>
    <row r="1679" customFormat="false" ht="15" hidden="false" customHeight="false" outlineLevel="0" collapsed="false">
      <c r="A1679" s="0" t="str">
        <f aca="false">IF(COMPRAS!K479="","",COMPRAS!K479)</f>
        <v/>
      </c>
      <c r="B1679" s="0" t="str">
        <f aca="false">IF(A1679="","",IF(MATCH(A1679,$A$2:$A$3201,0)=ROW()-1,1,0))</f>
        <v/>
      </c>
      <c r="C1679" s="0" t="str">
        <f aca="false">IF(B1679=1,MAX(C$1:C1678)+1,"")</f>
        <v/>
      </c>
    </row>
    <row r="1680" customFormat="false" ht="15" hidden="false" customHeight="false" outlineLevel="0" collapsed="false">
      <c r="A1680" s="0" t="str">
        <f aca="false">IF(COMPRAS!K480="","",COMPRAS!K480)</f>
        <v/>
      </c>
      <c r="B1680" s="0" t="str">
        <f aca="false">IF(A1680="","",IF(MATCH(A1680,$A$2:$A$3201,0)=ROW()-1,1,0))</f>
        <v/>
      </c>
      <c r="C1680" s="0" t="str">
        <f aca="false">IF(B1680=1,MAX(C$1:C1679)+1,"")</f>
        <v/>
      </c>
    </row>
    <row r="1681" customFormat="false" ht="15" hidden="false" customHeight="false" outlineLevel="0" collapsed="false">
      <c r="A1681" s="0" t="str">
        <f aca="false">IF(COMPRAS!K481="","",COMPRAS!K481)</f>
        <v/>
      </c>
      <c r="B1681" s="0" t="str">
        <f aca="false">IF(A1681="","",IF(MATCH(A1681,$A$2:$A$3201,0)=ROW()-1,1,0))</f>
        <v/>
      </c>
      <c r="C1681" s="0" t="str">
        <f aca="false">IF(B1681=1,MAX(C$1:C1680)+1,"")</f>
        <v/>
      </c>
    </row>
    <row r="1682" customFormat="false" ht="15" hidden="false" customHeight="false" outlineLevel="0" collapsed="false">
      <c r="A1682" s="0" t="str">
        <f aca="false">IF(COMPRAS!K482="","",COMPRAS!K482)</f>
        <v/>
      </c>
      <c r="B1682" s="0" t="str">
        <f aca="false">IF(A1682="","",IF(MATCH(A1682,$A$2:$A$3201,0)=ROW()-1,1,0))</f>
        <v/>
      </c>
      <c r="C1682" s="0" t="str">
        <f aca="false">IF(B1682=1,MAX(C$1:C1681)+1,"")</f>
        <v/>
      </c>
    </row>
    <row r="1683" customFormat="false" ht="15" hidden="false" customHeight="false" outlineLevel="0" collapsed="false">
      <c r="A1683" s="0" t="str">
        <f aca="false">IF(COMPRAS!K483="","",COMPRAS!K483)</f>
        <v/>
      </c>
      <c r="B1683" s="0" t="str">
        <f aca="false">IF(A1683="","",IF(MATCH(A1683,$A$2:$A$3201,0)=ROW()-1,1,0))</f>
        <v/>
      </c>
      <c r="C1683" s="0" t="str">
        <f aca="false">IF(B1683=1,MAX(C$1:C1682)+1,"")</f>
        <v/>
      </c>
    </row>
    <row r="1684" customFormat="false" ht="15" hidden="false" customHeight="false" outlineLevel="0" collapsed="false">
      <c r="A1684" s="0" t="str">
        <f aca="false">IF(COMPRAS!K484="","",COMPRAS!K484)</f>
        <v/>
      </c>
      <c r="B1684" s="0" t="str">
        <f aca="false">IF(A1684="","",IF(MATCH(A1684,$A$2:$A$3201,0)=ROW()-1,1,0))</f>
        <v/>
      </c>
      <c r="C1684" s="0" t="str">
        <f aca="false">IF(B1684=1,MAX(C$1:C1683)+1,"")</f>
        <v/>
      </c>
    </row>
    <row r="1685" customFormat="false" ht="15" hidden="false" customHeight="false" outlineLevel="0" collapsed="false">
      <c r="A1685" s="0" t="str">
        <f aca="false">IF(COMPRAS!K485="","",COMPRAS!K485)</f>
        <v/>
      </c>
      <c r="B1685" s="0" t="str">
        <f aca="false">IF(A1685="","",IF(MATCH(A1685,$A$2:$A$3201,0)=ROW()-1,1,0))</f>
        <v/>
      </c>
      <c r="C1685" s="0" t="str">
        <f aca="false">IF(B1685=1,MAX(C$1:C1684)+1,"")</f>
        <v/>
      </c>
    </row>
    <row r="1686" customFormat="false" ht="15" hidden="false" customHeight="false" outlineLevel="0" collapsed="false">
      <c r="A1686" s="0" t="str">
        <f aca="false">IF(COMPRAS!K486="","",COMPRAS!K486)</f>
        <v/>
      </c>
      <c r="B1686" s="0" t="str">
        <f aca="false">IF(A1686="","",IF(MATCH(A1686,$A$2:$A$3201,0)=ROW()-1,1,0))</f>
        <v/>
      </c>
      <c r="C1686" s="0" t="str">
        <f aca="false">IF(B1686=1,MAX(C$1:C1685)+1,"")</f>
        <v/>
      </c>
    </row>
    <row r="1687" customFormat="false" ht="15" hidden="false" customHeight="false" outlineLevel="0" collapsed="false">
      <c r="A1687" s="0" t="str">
        <f aca="false">IF(COMPRAS!K487="","",COMPRAS!K487)</f>
        <v/>
      </c>
      <c r="B1687" s="0" t="str">
        <f aca="false">IF(A1687="","",IF(MATCH(A1687,$A$2:$A$3201,0)=ROW()-1,1,0))</f>
        <v/>
      </c>
      <c r="C1687" s="0" t="str">
        <f aca="false">IF(B1687=1,MAX(C$1:C1686)+1,"")</f>
        <v/>
      </c>
    </row>
    <row r="1688" customFormat="false" ht="15" hidden="false" customHeight="false" outlineLevel="0" collapsed="false">
      <c r="A1688" s="0" t="str">
        <f aca="false">IF(COMPRAS!K488="","",COMPRAS!K488)</f>
        <v/>
      </c>
      <c r="B1688" s="0" t="str">
        <f aca="false">IF(A1688="","",IF(MATCH(A1688,$A$2:$A$3201,0)=ROW()-1,1,0))</f>
        <v/>
      </c>
      <c r="C1688" s="0" t="str">
        <f aca="false">IF(B1688=1,MAX(C$1:C1687)+1,"")</f>
        <v/>
      </c>
    </row>
    <row r="1689" customFormat="false" ht="15" hidden="false" customHeight="false" outlineLevel="0" collapsed="false">
      <c r="A1689" s="0" t="str">
        <f aca="false">IF(COMPRAS!K489="","",COMPRAS!K489)</f>
        <v/>
      </c>
      <c r="B1689" s="0" t="str">
        <f aca="false">IF(A1689="","",IF(MATCH(A1689,$A$2:$A$3201,0)=ROW()-1,1,0))</f>
        <v/>
      </c>
      <c r="C1689" s="0" t="str">
        <f aca="false">IF(B1689=1,MAX(C$1:C1688)+1,"")</f>
        <v/>
      </c>
    </row>
    <row r="1690" customFormat="false" ht="15" hidden="false" customHeight="false" outlineLevel="0" collapsed="false">
      <c r="A1690" s="0" t="str">
        <f aca="false">IF(COMPRAS!K490="","",COMPRAS!K490)</f>
        <v/>
      </c>
      <c r="B1690" s="0" t="str">
        <f aca="false">IF(A1690="","",IF(MATCH(A1690,$A$2:$A$3201,0)=ROW()-1,1,0))</f>
        <v/>
      </c>
      <c r="C1690" s="0" t="str">
        <f aca="false">IF(B1690=1,MAX(C$1:C1689)+1,"")</f>
        <v/>
      </c>
    </row>
    <row r="1691" customFormat="false" ht="15" hidden="false" customHeight="false" outlineLevel="0" collapsed="false">
      <c r="A1691" s="0" t="str">
        <f aca="false">IF(COMPRAS!K491="","",COMPRAS!K491)</f>
        <v/>
      </c>
      <c r="B1691" s="0" t="str">
        <f aca="false">IF(A1691="","",IF(MATCH(A1691,$A$2:$A$3201,0)=ROW()-1,1,0))</f>
        <v/>
      </c>
      <c r="C1691" s="0" t="str">
        <f aca="false">IF(B1691=1,MAX(C$1:C1690)+1,"")</f>
        <v/>
      </c>
    </row>
    <row r="1692" customFormat="false" ht="15" hidden="false" customHeight="false" outlineLevel="0" collapsed="false">
      <c r="A1692" s="0" t="str">
        <f aca="false">IF(COMPRAS!K492="","",COMPRAS!K492)</f>
        <v/>
      </c>
      <c r="B1692" s="0" t="str">
        <f aca="false">IF(A1692="","",IF(MATCH(A1692,$A$2:$A$3201,0)=ROW()-1,1,0))</f>
        <v/>
      </c>
      <c r="C1692" s="0" t="str">
        <f aca="false">IF(B1692=1,MAX(C$1:C1691)+1,"")</f>
        <v/>
      </c>
    </row>
    <row r="1693" customFormat="false" ht="15" hidden="false" customHeight="false" outlineLevel="0" collapsed="false">
      <c r="A1693" s="0" t="str">
        <f aca="false">IF(COMPRAS!K493="","",COMPRAS!K493)</f>
        <v/>
      </c>
      <c r="B1693" s="0" t="str">
        <f aca="false">IF(A1693="","",IF(MATCH(A1693,$A$2:$A$3201,0)=ROW()-1,1,0))</f>
        <v/>
      </c>
      <c r="C1693" s="0" t="str">
        <f aca="false">IF(B1693=1,MAX(C$1:C1692)+1,"")</f>
        <v/>
      </c>
    </row>
    <row r="1694" customFormat="false" ht="15" hidden="false" customHeight="false" outlineLevel="0" collapsed="false">
      <c r="A1694" s="0" t="str">
        <f aca="false">IF(COMPRAS!K494="","",COMPRAS!K494)</f>
        <v/>
      </c>
      <c r="B1694" s="0" t="str">
        <f aca="false">IF(A1694="","",IF(MATCH(A1694,$A$2:$A$3201,0)=ROW()-1,1,0))</f>
        <v/>
      </c>
      <c r="C1694" s="0" t="str">
        <f aca="false">IF(B1694=1,MAX(C$1:C1693)+1,"")</f>
        <v/>
      </c>
    </row>
    <row r="1695" customFormat="false" ht="15" hidden="false" customHeight="false" outlineLevel="0" collapsed="false">
      <c r="A1695" s="0" t="str">
        <f aca="false">IF(COMPRAS!K495="","",COMPRAS!K495)</f>
        <v/>
      </c>
      <c r="B1695" s="0" t="str">
        <f aca="false">IF(A1695="","",IF(MATCH(A1695,$A$2:$A$3201,0)=ROW()-1,1,0))</f>
        <v/>
      </c>
      <c r="C1695" s="0" t="str">
        <f aca="false">IF(B1695=1,MAX(C$1:C1694)+1,"")</f>
        <v/>
      </c>
    </row>
    <row r="1696" customFormat="false" ht="15" hidden="false" customHeight="false" outlineLevel="0" collapsed="false">
      <c r="A1696" s="0" t="str">
        <f aca="false">IF(COMPRAS!K496="","",COMPRAS!K496)</f>
        <v/>
      </c>
      <c r="B1696" s="0" t="str">
        <f aca="false">IF(A1696="","",IF(MATCH(A1696,$A$2:$A$3201,0)=ROW()-1,1,0))</f>
        <v/>
      </c>
      <c r="C1696" s="0" t="str">
        <f aca="false">IF(B1696=1,MAX(C$1:C1695)+1,"")</f>
        <v/>
      </c>
    </row>
    <row r="1697" customFormat="false" ht="15" hidden="false" customHeight="false" outlineLevel="0" collapsed="false">
      <c r="A1697" s="0" t="str">
        <f aca="false">IF(COMPRAS!K497="","",COMPRAS!K497)</f>
        <v/>
      </c>
      <c r="B1697" s="0" t="str">
        <f aca="false">IF(A1697="","",IF(MATCH(A1697,$A$2:$A$3201,0)=ROW()-1,1,0))</f>
        <v/>
      </c>
      <c r="C1697" s="0" t="str">
        <f aca="false">IF(B1697=1,MAX(C$1:C1696)+1,"")</f>
        <v/>
      </c>
    </row>
    <row r="1698" customFormat="false" ht="15" hidden="false" customHeight="false" outlineLevel="0" collapsed="false">
      <c r="A1698" s="0" t="str">
        <f aca="false">IF(COMPRAS!K498="","",COMPRAS!K498)</f>
        <v/>
      </c>
      <c r="B1698" s="0" t="str">
        <f aca="false">IF(A1698="","",IF(MATCH(A1698,$A$2:$A$3201,0)=ROW()-1,1,0))</f>
        <v/>
      </c>
      <c r="C1698" s="0" t="str">
        <f aca="false">IF(B1698=1,MAX(C$1:C1697)+1,"")</f>
        <v/>
      </c>
    </row>
    <row r="1699" customFormat="false" ht="15" hidden="false" customHeight="false" outlineLevel="0" collapsed="false">
      <c r="A1699" s="0" t="str">
        <f aca="false">IF(COMPRAS!K499="","",COMPRAS!K499)</f>
        <v/>
      </c>
      <c r="B1699" s="0" t="str">
        <f aca="false">IF(A1699="","",IF(MATCH(A1699,$A$2:$A$3201,0)=ROW()-1,1,0))</f>
        <v/>
      </c>
      <c r="C1699" s="0" t="str">
        <f aca="false">IF(B1699=1,MAX(C$1:C1698)+1,"")</f>
        <v/>
      </c>
    </row>
    <row r="1700" customFormat="false" ht="15" hidden="false" customHeight="false" outlineLevel="0" collapsed="false">
      <c r="A1700" s="0" t="str">
        <f aca="false">IF(COMPRAS!K500="","",COMPRAS!K500)</f>
        <v/>
      </c>
      <c r="B1700" s="0" t="str">
        <f aca="false">IF(A1700="","",IF(MATCH(A1700,$A$2:$A$3201,0)=ROW()-1,1,0))</f>
        <v/>
      </c>
      <c r="C1700" s="0" t="str">
        <f aca="false">IF(B1700=1,MAX(C$1:C1699)+1,"")</f>
        <v/>
      </c>
    </row>
    <row r="1701" customFormat="false" ht="15" hidden="false" customHeight="false" outlineLevel="0" collapsed="false">
      <c r="A1701" s="0" t="str">
        <f aca="false">IF(COMPRAS!K501="","",COMPRAS!K501)</f>
        <v/>
      </c>
      <c r="B1701" s="0" t="str">
        <f aca="false">IF(A1701="","",IF(MATCH(A1701,$A$2:$A$3201,0)=ROW()-1,1,0))</f>
        <v/>
      </c>
      <c r="C1701" s="0" t="str">
        <f aca="false">IF(B1701=1,MAX(C$1:C1700)+1,"")</f>
        <v/>
      </c>
    </row>
    <row r="1702" customFormat="false" ht="15" hidden="false" customHeight="false" outlineLevel="0" collapsed="false">
      <c r="A1702" s="0" t="str">
        <f aca="false">IF(COMPRAS!K502="","",COMPRAS!K502)</f>
        <v/>
      </c>
      <c r="B1702" s="0" t="str">
        <f aca="false">IF(A1702="","",IF(MATCH(A1702,$A$2:$A$3201,0)=ROW()-1,1,0))</f>
        <v/>
      </c>
      <c r="C1702" s="0" t="str">
        <f aca="false">IF(B1702=1,MAX(C$1:C1701)+1,"")</f>
        <v/>
      </c>
    </row>
    <row r="1703" customFormat="false" ht="15" hidden="false" customHeight="false" outlineLevel="0" collapsed="false">
      <c r="A1703" s="0" t="str">
        <f aca="false">IF(COMPRAS!K503="","",COMPRAS!K503)</f>
        <v/>
      </c>
      <c r="B1703" s="0" t="str">
        <f aca="false">IF(A1703="","",IF(MATCH(A1703,$A$2:$A$3201,0)=ROW()-1,1,0))</f>
        <v/>
      </c>
      <c r="C1703" s="0" t="str">
        <f aca="false">IF(B1703=1,MAX(C$1:C1702)+1,"")</f>
        <v/>
      </c>
    </row>
    <row r="1704" customFormat="false" ht="15" hidden="false" customHeight="false" outlineLevel="0" collapsed="false">
      <c r="A1704" s="0" t="str">
        <f aca="false">IF(COMPRAS!K504="","",COMPRAS!K504)</f>
        <v/>
      </c>
      <c r="B1704" s="0" t="str">
        <f aca="false">IF(A1704="","",IF(MATCH(A1704,$A$2:$A$3201,0)=ROW()-1,1,0))</f>
        <v/>
      </c>
      <c r="C1704" s="0" t="str">
        <f aca="false">IF(B1704=1,MAX(C$1:C1703)+1,"")</f>
        <v/>
      </c>
    </row>
    <row r="1705" customFormat="false" ht="15" hidden="false" customHeight="false" outlineLevel="0" collapsed="false">
      <c r="A1705" s="0" t="str">
        <f aca="false">IF(COMPRAS!K505="","",COMPRAS!K505)</f>
        <v/>
      </c>
      <c r="B1705" s="0" t="str">
        <f aca="false">IF(A1705="","",IF(MATCH(A1705,$A$2:$A$3201,0)=ROW()-1,1,0))</f>
        <v/>
      </c>
      <c r="C1705" s="0" t="str">
        <f aca="false">IF(B1705=1,MAX(C$1:C1704)+1,"")</f>
        <v/>
      </c>
    </row>
    <row r="1706" customFormat="false" ht="15" hidden="false" customHeight="false" outlineLevel="0" collapsed="false">
      <c r="A1706" s="0" t="str">
        <f aca="false">IF(COMPRAS!K506="","",COMPRAS!K506)</f>
        <v/>
      </c>
      <c r="B1706" s="0" t="str">
        <f aca="false">IF(A1706="","",IF(MATCH(A1706,$A$2:$A$3201,0)=ROW()-1,1,0))</f>
        <v/>
      </c>
      <c r="C1706" s="0" t="str">
        <f aca="false">IF(B1706=1,MAX(C$1:C1705)+1,"")</f>
        <v/>
      </c>
    </row>
    <row r="1707" customFormat="false" ht="15" hidden="false" customHeight="false" outlineLevel="0" collapsed="false">
      <c r="A1707" s="0" t="str">
        <f aca="false">IF(COMPRAS!K507="","",COMPRAS!K507)</f>
        <v/>
      </c>
      <c r="B1707" s="0" t="str">
        <f aca="false">IF(A1707="","",IF(MATCH(A1707,$A$2:$A$3201,0)=ROW()-1,1,0))</f>
        <v/>
      </c>
      <c r="C1707" s="0" t="str">
        <f aca="false">IF(B1707=1,MAX(C$1:C1706)+1,"")</f>
        <v/>
      </c>
    </row>
    <row r="1708" customFormat="false" ht="15" hidden="false" customHeight="false" outlineLevel="0" collapsed="false">
      <c r="A1708" s="0" t="str">
        <f aca="false">IF(COMPRAS!K508="","",COMPRAS!K508)</f>
        <v/>
      </c>
      <c r="B1708" s="0" t="str">
        <f aca="false">IF(A1708="","",IF(MATCH(A1708,$A$2:$A$3201,0)=ROW()-1,1,0))</f>
        <v/>
      </c>
      <c r="C1708" s="0" t="str">
        <f aca="false">IF(B1708=1,MAX(C$1:C1707)+1,"")</f>
        <v/>
      </c>
    </row>
    <row r="1709" customFormat="false" ht="15" hidden="false" customHeight="false" outlineLevel="0" collapsed="false">
      <c r="A1709" s="0" t="str">
        <f aca="false">IF(COMPRAS!K509="","",COMPRAS!K509)</f>
        <v/>
      </c>
      <c r="B1709" s="0" t="str">
        <f aca="false">IF(A1709="","",IF(MATCH(A1709,$A$2:$A$3201,0)=ROW()-1,1,0))</f>
        <v/>
      </c>
      <c r="C1709" s="0" t="str">
        <f aca="false">IF(B1709=1,MAX(C$1:C1708)+1,"")</f>
        <v/>
      </c>
    </row>
    <row r="1710" customFormat="false" ht="15" hidden="false" customHeight="false" outlineLevel="0" collapsed="false">
      <c r="A1710" s="0" t="str">
        <f aca="false">IF(COMPRAS!K510="","",COMPRAS!K510)</f>
        <v/>
      </c>
      <c r="B1710" s="0" t="str">
        <f aca="false">IF(A1710="","",IF(MATCH(A1710,$A$2:$A$3201,0)=ROW()-1,1,0))</f>
        <v/>
      </c>
      <c r="C1710" s="0" t="str">
        <f aca="false">IF(B1710=1,MAX(C$1:C1709)+1,"")</f>
        <v/>
      </c>
    </row>
    <row r="1711" customFormat="false" ht="15" hidden="false" customHeight="false" outlineLevel="0" collapsed="false">
      <c r="A1711" s="0" t="str">
        <f aca="false">IF(COMPRAS!K511="","",COMPRAS!K511)</f>
        <v/>
      </c>
      <c r="B1711" s="0" t="str">
        <f aca="false">IF(A1711="","",IF(MATCH(A1711,$A$2:$A$3201,0)=ROW()-1,1,0))</f>
        <v/>
      </c>
      <c r="C1711" s="0" t="str">
        <f aca="false">IF(B1711=1,MAX(C$1:C1710)+1,"")</f>
        <v/>
      </c>
    </row>
    <row r="1712" customFormat="false" ht="15" hidden="false" customHeight="false" outlineLevel="0" collapsed="false">
      <c r="A1712" s="0" t="str">
        <f aca="false">IF(COMPRAS!K512="","",COMPRAS!K512)</f>
        <v/>
      </c>
      <c r="B1712" s="0" t="str">
        <f aca="false">IF(A1712="","",IF(MATCH(A1712,$A$2:$A$3201,0)=ROW()-1,1,0))</f>
        <v/>
      </c>
      <c r="C1712" s="0" t="str">
        <f aca="false">IF(B1712=1,MAX(C$1:C1711)+1,"")</f>
        <v/>
      </c>
    </row>
    <row r="1713" customFormat="false" ht="15" hidden="false" customHeight="false" outlineLevel="0" collapsed="false">
      <c r="A1713" s="0" t="str">
        <f aca="false">IF(COMPRAS!K513="","",COMPRAS!K513)</f>
        <v/>
      </c>
      <c r="B1713" s="0" t="str">
        <f aca="false">IF(A1713="","",IF(MATCH(A1713,$A$2:$A$3201,0)=ROW()-1,1,0))</f>
        <v/>
      </c>
      <c r="C1713" s="0" t="str">
        <f aca="false">IF(B1713=1,MAX(C$1:C1712)+1,"")</f>
        <v/>
      </c>
    </row>
    <row r="1714" customFormat="false" ht="15" hidden="false" customHeight="false" outlineLevel="0" collapsed="false">
      <c r="A1714" s="0" t="str">
        <f aca="false">IF(COMPRAS!K514="","",COMPRAS!K514)</f>
        <v/>
      </c>
      <c r="B1714" s="0" t="str">
        <f aca="false">IF(A1714="","",IF(MATCH(A1714,$A$2:$A$3201,0)=ROW()-1,1,0))</f>
        <v/>
      </c>
      <c r="C1714" s="0" t="str">
        <f aca="false">IF(B1714=1,MAX(C$1:C1713)+1,"")</f>
        <v/>
      </c>
    </row>
    <row r="1715" customFormat="false" ht="15" hidden="false" customHeight="false" outlineLevel="0" collapsed="false">
      <c r="A1715" s="0" t="str">
        <f aca="false">IF(COMPRAS!K515="","",COMPRAS!K515)</f>
        <v/>
      </c>
      <c r="B1715" s="0" t="str">
        <f aca="false">IF(A1715="","",IF(MATCH(A1715,$A$2:$A$3201,0)=ROW()-1,1,0))</f>
        <v/>
      </c>
      <c r="C1715" s="0" t="str">
        <f aca="false">IF(B1715=1,MAX(C$1:C1714)+1,"")</f>
        <v/>
      </c>
    </row>
    <row r="1716" customFormat="false" ht="15" hidden="false" customHeight="false" outlineLevel="0" collapsed="false">
      <c r="A1716" s="0" t="str">
        <f aca="false">IF(COMPRAS!K516="","",COMPRAS!K516)</f>
        <v/>
      </c>
      <c r="B1716" s="0" t="str">
        <f aca="false">IF(A1716="","",IF(MATCH(A1716,$A$2:$A$3201,0)=ROW()-1,1,0))</f>
        <v/>
      </c>
      <c r="C1716" s="0" t="str">
        <f aca="false">IF(B1716=1,MAX(C$1:C1715)+1,"")</f>
        <v/>
      </c>
    </row>
    <row r="1717" customFormat="false" ht="15" hidden="false" customHeight="false" outlineLevel="0" collapsed="false">
      <c r="A1717" s="0" t="str">
        <f aca="false">IF(COMPRAS!K517="","",COMPRAS!K517)</f>
        <v/>
      </c>
      <c r="B1717" s="0" t="str">
        <f aca="false">IF(A1717="","",IF(MATCH(A1717,$A$2:$A$3201,0)=ROW()-1,1,0))</f>
        <v/>
      </c>
      <c r="C1717" s="0" t="str">
        <f aca="false">IF(B1717=1,MAX(C$1:C1716)+1,"")</f>
        <v/>
      </c>
    </row>
    <row r="1718" customFormat="false" ht="15" hidden="false" customHeight="false" outlineLevel="0" collapsed="false">
      <c r="A1718" s="0" t="str">
        <f aca="false">IF(COMPRAS!K518="","",COMPRAS!K518)</f>
        <v/>
      </c>
      <c r="B1718" s="0" t="str">
        <f aca="false">IF(A1718="","",IF(MATCH(A1718,$A$2:$A$3201,0)=ROW()-1,1,0))</f>
        <v/>
      </c>
      <c r="C1718" s="0" t="str">
        <f aca="false">IF(B1718=1,MAX(C$1:C1717)+1,"")</f>
        <v/>
      </c>
    </row>
    <row r="1719" customFormat="false" ht="15" hidden="false" customHeight="false" outlineLevel="0" collapsed="false">
      <c r="A1719" s="0" t="str">
        <f aca="false">IF(COMPRAS!K519="","",COMPRAS!K519)</f>
        <v/>
      </c>
      <c r="B1719" s="0" t="str">
        <f aca="false">IF(A1719="","",IF(MATCH(A1719,$A$2:$A$3201,0)=ROW()-1,1,0))</f>
        <v/>
      </c>
      <c r="C1719" s="0" t="str">
        <f aca="false">IF(B1719=1,MAX(C$1:C1718)+1,"")</f>
        <v/>
      </c>
    </row>
    <row r="1720" customFormat="false" ht="15" hidden="false" customHeight="false" outlineLevel="0" collapsed="false">
      <c r="A1720" s="0" t="str">
        <f aca="false">IF(COMPRAS!K520="","",COMPRAS!K520)</f>
        <v/>
      </c>
      <c r="B1720" s="0" t="str">
        <f aca="false">IF(A1720="","",IF(MATCH(A1720,$A$2:$A$3201,0)=ROW()-1,1,0))</f>
        <v/>
      </c>
      <c r="C1720" s="0" t="str">
        <f aca="false">IF(B1720=1,MAX(C$1:C1719)+1,"")</f>
        <v/>
      </c>
    </row>
    <row r="1721" customFormat="false" ht="15" hidden="false" customHeight="false" outlineLevel="0" collapsed="false">
      <c r="A1721" s="0" t="str">
        <f aca="false">IF(COMPRAS!K521="","",COMPRAS!K521)</f>
        <v/>
      </c>
      <c r="B1721" s="0" t="str">
        <f aca="false">IF(A1721="","",IF(MATCH(A1721,$A$2:$A$3201,0)=ROW()-1,1,0))</f>
        <v/>
      </c>
      <c r="C1721" s="0" t="str">
        <f aca="false">IF(B1721=1,MAX(C$1:C1720)+1,"")</f>
        <v/>
      </c>
    </row>
    <row r="1722" customFormat="false" ht="15" hidden="false" customHeight="false" outlineLevel="0" collapsed="false">
      <c r="A1722" s="0" t="str">
        <f aca="false">IF(COMPRAS!K522="","",COMPRAS!K522)</f>
        <v/>
      </c>
      <c r="B1722" s="0" t="str">
        <f aca="false">IF(A1722="","",IF(MATCH(A1722,$A$2:$A$3201,0)=ROW()-1,1,0))</f>
        <v/>
      </c>
      <c r="C1722" s="0" t="str">
        <f aca="false">IF(B1722=1,MAX(C$1:C1721)+1,"")</f>
        <v/>
      </c>
    </row>
    <row r="1723" customFormat="false" ht="15" hidden="false" customHeight="false" outlineLevel="0" collapsed="false">
      <c r="A1723" s="0" t="str">
        <f aca="false">IF(COMPRAS!K523="","",COMPRAS!K523)</f>
        <v/>
      </c>
      <c r="B1723" s="0" t="str">
        <f aca="false">IF(A1723="","",IF(MATCH(A1723,$A$2:$A$3201,0)=ROW()-1,1,0))</f>
        <v/>
      </c>
      <c r="C1723" s="0" t="str">
        <f aca="false">IF(B1723=1,MAX(C$1:C1722)+1,"")</f>
        <v/>
      </c>
    </row>
    <row r="1724" customFormat="false" ht="15" hidden="false" customHeight="false" outlineLevel="0" collapsed="false">
      <c r="A1724" s="0" t="str">
        <f aca="false">IF(COMPRAS!K524="","",COMPRAS!K524)</f>
        <v/>
      </c>
      <c r="B1724" s="0" t="str">
        <f aca="false">IF(A1724="","",IF(MATCH(A1724,$A$2:$A$3201,0)=ROW()-1,1,0))</f>
        <v/>
      </c>
      <c r="C1724" s="0" t="str">
        <f aca="false">IF(B1724=1,MAX(C$1:C1723)+1,"")</f>
        <v/>
      </c>
    </row>
    <row r="1725" customFormat="false" ht="15" hidden="false" customHeight="false" outlineLevel="0" collapsed="false">
      <c r="A1725" s="0" t="str">
        <f aca="false">IF(COMPRAS!K525="","",COMPRAS!K525)</f>
        <v/>
      </c>
      <c r="B1725" s="0" t="str">
        <f aca="false">IF(A1725="","",IF(MATCH(A1725,$A$2:$A$3201,0)=ROW()-1,1,0))</f>
        <v/>
      </c>
      <c r="C1725" s="0" t="str">
        <f aca="false">IF(B1725=1,MAX(C$1:C1724)+1,"")</f>
        <v/>
      </c>
    </row>
    <row r="1726" customFormat="false" ht="15" hidden="false" customHeight="false" outlineLevel="0" collapsed="false">
      <c r="A1726" s="0" t="str">
        <f aca="false">IF(COMPRAS!K526="","",COMPRAS!K526)</f>
        <v/>
      </c>
      <c r="B1726" s="0" t="str">
        <f aca="false">IF(A1726="","",IF(MATCH(A1726,$A$2:$A$3201,0)=ROW()-1,1,0))</f>
        <v/>
      </c>
      <c r="C1726" s="0" t="str">
        <f aca="false">IF(B1726=1,MAX(C$1:C1725)+1,"")</f>
        <v/>
      </c>
    </row>
    <row r="1727" customFormat="false" ht="15" hidden="false" customHeight="false" outlineLevel="0" collapsed="false">
      <c r="A1727" s="0" t="str">
        <f aca="false">IF(COMPRAS!K527="","",COMPRAS!K527)</f>
        <v/>
      </c>
      <c r="B1727" s="0" t="str">
        <f aca="false">IF(A1727="","",IF(MATCH(A1727,$A$2:$A$3201,0)=ROW()-1,1,0))</f>
        <v/>
      </c>
      <c r="C1727" s="0" t="str">
        <f aca="false">IF(B1727=1,MAX(C$1:C1726)+1,"")</f>
        <v/>
      </c>
    </row>
    <row r="1728" customFormat="false" ht="15" hidden="false" customHeight="false" outlineLevel="0" collapsed="false">
      <c r="A1728" s="0" t="str">
        <f aca="false">IF(COMPRAS!K528="","",COMPRAS!K528)</f>
        <v/>
      </c>
      <c r="B1728" s="0" t="str">
        <f aca="false">IF(A1728="","",IF(MATCH(A1728,$A$2:$A$3201,0)=ROW()-1,1,0))</f>
        <v/>
      </c>
      <c r="C1728" s="0" t="str">
        <f aca="false">IF(B1728=1,MAX(C$1:C1727)+1,"")</f>
        <v/>
      </c>
    </row>
    <row r="1729" customFormat="false" ht="15" hidden="false" customHeight="false" outlineLevel="0" collapsed="false">
      <c r="A1729" s="0" t="str">
        <f aca="false">IF(COMPRAS!K529="","",COMPRAS!K529)</f>
        <v/>
      </c>
      <c r="B1729" s="0" t="str">
        <f aca="false">IF(A1729="","",IF(MATCH(A1729,$A$2:$A$3201,0)=ROW()-1,1,0))</f>
        <v/>
      </c>
      <c r="C1729" s="0" t="str">
        <f aca="false">IF(B1729=1,MAX(C$1:C1728)+1,"")</f>
        <v/>
      </c>
    </row>
    <row r="1730" customFormat="false" ht="15" hidden="false" customHeight="false" outlineLevel="0" collapsed="false">
      <c r="A1730" s="0" t="str">
        <f aca="false">IF(COMPRAS!K530="","",COMPRAS!K530)</f>
        <v/>
      </c>
      <c r="B1730" s="0" t="str">
        <f aca="false">IF(A1730="","",IF(MATCH(A1730,$A$2:$A$3201,0)=ROW()-1,1,0))</f>
        <v/>
      </c>
      <c r="C1730" s="0" t="str">
        <f aca="false">IF(B1730=1,MAX(C$1:C1729)+1,"")</f>
        <v/>
      </c>
    </row>
    <row r="1731" customFormat="false" ht="15" hidden="false" customHeight="false" outlineLevel="0" collapsed="false">
      <c r="A1731" s="0" t="str">
        <f aca="false">IF(COMPRAS!K531="","",COMPRAS!K531)</f>
        <v/>
      </c>
      <c r="B1731" s="0" t="str">
        <f aca="false">IF(A1731="","",IF(MATCH(A1731,$A$2:$A$3201,0)=ROW()-1,1,0))</f>
        <v/>
      </c>
      <c r="C1731" s="0" t="str">
        <f aca="false">IF(B1731=1,MAX(C$1:C1730)+1,"")</f>
        <v/>
      </c>
    </row>
    <row r="1732" customFormat="false" ht="15" hidden="false" customHeight="false" outlineLevel="0" collapsed="false">
      <c r="A1732" s="0" t="str">
        <f aca="false">IF(COMPRAS!K532="","",COMPRAS!K532)</f>
        <v/>
      </c>
      <c r="B1732" s="0" t="str">
        <f aca="false">IF(A1732="","",IF(MATCH(A1732,$A$2:$A$3201,0)=ROW()-1,1,0))</f>
        <v/>
      </c>
      <c r="C1732" s="0" t="str">
        <f aca="false">IF(B1732=1,MAX(C$1:C1731)+1,"")</f>
        <v/>
      </c>
    </row>
    <row r="1733" customFormat="false" ht="15" hidden="false" customHeight="false" outlineLevel="0" collapsed="false">
      <c r="A1733" s="0" t="str">
        <f aca="false">IF(COMPRAS!K533="","",COMPRAS!K533)</f>
        <v/>
      </c>
      <c r="B1733" s="0" t="str">
        <f aca="false">IF(A1733="","",IF(MATCH(A1733,$A$2:$A$3201,0)=ROW()-1,1,0))</f>
        <v/>
      </c>
      <c r="C1733" s="0" t="str">
        <f aca="false">IF(B1733=1,MAX(C$1:C1732)+1,"")</f>
        <v/>
      </c>
    </row>
    <row r="1734" customFormat="false" ht="15" hidden="false" customHeight="false" outlineLevel="0" collapsed="false">
      <c r="A1734" s="0" t="str">
        <f aca="false">IF(COMPRAS!K534="","",COMPRAS!K534)</f>
        <v/>
      </c>
      <c r="B1734" s="0" t="str">
        <f aca="false">IF(A1734="","",IF(MATCH(A1734,$A$2:$A$3201,0)=ROW()-1,1,0))</f>
        <v/>
      </c>
      <c r="C1734" s="0" t="str">
        <f aca="false">IF(B1734=1,MAX(C$1:C1733)+1,"")</f>
        <v/>
      </c>
    </row>
    <row r="1735" customFormat="false" ht="15" hidden="false" customHeight="false" outlineLevel="0" collapsed="false">
      <c r="A1735" s="0" t="str">
        <f aca="false">IF(COMPRAS!K535="","",COMPRAS!K535)</f>
        <v/>
      </c>
      <c r="B1735" s="0" t="str">
        <f aca="false">IF(A1735="","",IF(MATCH(A1735,$A$2:$A$3201,0)=ROW()-1,1,0))</f>
        <v/>
      </c>
      <c r="C1735" s="0" t="str">
        <f aca="false">IF(B1735=1,MAX(C$1:C1734)+1,"")</f>
        <v/>
      </c>
    </row>
    <row r="1736" customFormat="false" ht="15" hidden="false" customHeight="false" outlineLevel="0" collapsed="false">
      <c r="A1736" s="0" t="str">
        <f aca="false">IF(COMPRAS!K536="","",COMPRAS!K536)</f>
        <v/>
      </c>
      <c r="B1736" s="0" t="str">
        <f aca="false">IF(A1736="","",IF(MATCH(A1736,$A$2:$A$3201,0)=ROW()-1,1,0))</f>
        <v/>
      </c>
      <c r="C1736" s="0" t="str">
        <f aca="false">IF(B1736=1,MAX(C$1:C1735)+1,"")</f>
        <v/>
      </c>
    </row>
    <row r="1737" customFormat="false" ht="15" hidden="false" customHeight="false" outlineLevel="0" collapsed="false">
      <c r="A1737" s="0" t="str">
        <f aca="false">IF(COMPRAS!K537="","",COMPRAS!K537)</f>
        <v/>
      </c>
      <c r="B1737" s="0" t="str">
        <f aca="false">IF(A1737="","",IF(MATCH(A1737,$A$2:$A$3201,0)=ROW()-1,1,0))</f>
        <v/>
      </c>
      <c r="C1737" s="0" t="str">
        <f aca="false">IF(B1737=1,MAX(C$1:C1736)+1,"")</f>
        <v/>
      </c>
    </row>
    <row r="1738" customFormat="false" ht="15" hidden="false" customHeight="false" outlineLevel="0" collapsed="false">
      <c r="A1738" s="0" t="str">
        <f aca="false">IF(COMPRAS!K538="","",COMPRAS!K538)</f>
        <v/>
      </c>
      <c r="B1738" s="0" t="str">
        <f aca="false">IF(A1738="","",IF(MATCH(A1738,$A$2:$A$3201,0)=ROW()-1,1,0))</f>
        <v/>
      </c>
      <c r="C1738" s="0" t="str">
        <f aca="false">IF(B1738=1,MAX(C$1:C1737)+1,"")</f>
        <v/>
      </c>
    </row>
    <row r="1739" customFormat="false" ht="15" hidden="false" customHeight="false" outlineLevel="0" collapsed="false">
      <c r="A1739" s="0" t="str">
        <f aca="false">IF(COMPRAS!K539="","",COMPRAS!K539)</f>
        <v/>
      </c>
      <c r="B1739" s="0" t="str">
        <f aca="false">IF(A1739="","",IF(MATCH(A1739,$A$2:$A$3201,0)=ROW()-1,1,0))</f>
        <v/>
      </c>
      <c r="C1739" s="0" t="str">
        <f aca="false">IF(B1739=1,MAX(C$1:C1738)+1,"")</f>
        <v/>
      </c>
    </row>
    <row r="1740" customFormat="false" ht="15" hidden="false" customHeight="false" outlineLevel="0" collapsed="false">
      <c r="A1740" s="0" t="str">
        <f aca="false">IF(COMPRAS!K540="","",COMPRAS!K540)</f>
        <v/>
      </c>
      <c r="B1740" s="0" t="str">
        <f aca="false">IF(A1740="","",IF(MATCH(A1740,$A$2:$A$3201,0)=ROW()-1,1,0))</f>
        <v/>
      </c>
      <c r="C1740" s="0" t="str">
        <f aca="false">IF(B1740=1,MAX(C$1:C1739)+1,"")</f>
        <v/>
      </c>
    </row>
    <row r="1741" customFormat="false" ht="15" hidden="false" customHeight="false" outlineLevel="0" collapsed="false">
      <c r="A1741" s="0" t="str">
        <f aca="false">IF(COMPRAS!K541="","",COMPRAS!K541)</f>
        <v/>
      </c>
      <c r="B1741" s="0" t="str">
        <f aca="false">IF(A1741="","",IF(MATCH(A1741,$A$2:$A$3201,0)=ROW()-1,1,0))</f>
        <v/>
      </c>
      <c r="C1741" s="0" t="str">
        <f aca="false">IF(B1741=1,MAX(C$1:C1740)+1,"")</f>
        <v/>
      </c>
    </row>
    <row r="1742" customFormat="false" ht="15" hidden="false" customHeight="false" outlineLevel="0" collapsed="false">
      <c r="A1742" s="0" t="str">
        <f aca="false">IF(COMPRAS!K542="","",COMPRAS!K542)</f>
        <v/>
      </c>
      <c r="B1742" s="0" t="str">
        <f aca="false">IF(A1742="","",IF(MATCH(A1742,$A$2:$A$3201,0)=ROW()-1,1,0))</f>
        <v/>
      </c>
      <c r="C1742" s="0" t="str">
        <f aca="false">IF(B1742=1,MAX(C$1:C1741)+1,"")</f>
        <v/>
      </c>
    </row>
    <row r="1743" customFormat="false" ht="15" hidden="false" customHeight="false" outlineLevel="0" collapsed="false">
      <c r="A1743" s="0" t="str">
        <f aca="false">IF(COMPRAS!K543="","",COMPRAS!K543)</f>
        <v/>
      </c>
      <c r="B1743" s="0" t="str">
        <f aca="false">IF(A1743="","",IF(MATCH(A1743,$A$2:$A$3201,0)=ROW()-1,1,0))</f>
        <v/>
      </c>
      <c r="C1743" s="0" t="str">
        <f aca="false">IF(B1743=1,MAX(C$1:C1742)+1,"")</f>
        <v/>
      </c>
    </row>
    <row r="1744" customFormat="false" ht="15" hidden="false" customHeight="false" outlineLevel="0" collapsed="false">
      <c r="A1744" s="0" t="str">
        <f aca="false">IF(COMPRAS!K544="","",COMPRAS!K544)</f>
        <v/>
      </c>
      <c r="B1744" s="0" t="str">
        <f aca="false">IF(A1744="","",IF(MATCH(A1744,$A$2:$A$3201,0)=ROW()-1,1,0))</f>
        <v/>
      </c>
      <c r="C1744" s="0" t="str">
        <f aca="false">IF(B1744=1,MAX(C$1:C1743)+1,"")</f>
        <v/>
      </c>
    </row>
    <row r="1745" customFormat="false" ht="15" hidden="false" customHeight="false" outlineLevel="0" collapsed="false">
      <c r="A1745" s="0" t="str">
        <f aca="false">IF(COMPRAS!K545="","",COMPRAS!K545)</f>
        <v/>
      </c>
      <c r="B1745" s="0" t="str">
        <f aca="false">IF(A1745="","",IF(MATCH(A1745,$A$2:$A$3201,0)=ROW()-1,1,0))</f>
        <v/>
      </c>
      <c r="C1745" s="0" t="str">
        <f aca="false">IF(B1745=1,MAX(C$1:C1744)+1,"")</f>
        <v/>
      </c>
    </row>
    <row r="1746" customFormat="false" ht="15" hidden="false" customHeight="false" outlineLevel="0" collapsed="false">
      <c r="A1746" s="0" t="str">
        <f aca="false">IF(COMPRAS!K546="","",COMPRAS!K546)</f>
        <v/>
      </c>
      <c r="B1746" s="0" t="str">
        <f aca="false">IF(A1746="","",IF(MATCH(A1746,$A$2:$A$3201,0)=ROW()-1,1,0))</f>
        <v/>
      </c>
      <c r="C1746" s="0" t="str">
        <f aca="false">IF(B1746=1,MAX(C$1:C1745)+1,"")</f>
        <v/>
      </c>
    </row>
    <row r="1747" customFormat="false" ht="15" hidden="false" customHeight="false" outlineLevel="0" collapsed="false">
      <c r="A1747" s="0" t="str">
        <f aca="false">IF(COMPRAS!K547="","",COMPRAS!K547)</f>
        <v/>
      </c>
      <c r="B1747" s="0" t="str">
        <f aca="false">IF(A1747="","",IF(MATCH(A1747,$A$2:$A$3201,0)=ROW()-1,1,0))</f>
        <v/>
      </c>
      <c r="C1747" s="0" t="str">
        <f aca="false">IF(B1747=1,MAX(C$1:C1746)+1,"")</f>
        <v/>
      </c>
    </row>
    <row r="1748" customFormat="false" ht="15" hidden="false" customHeight="false" outlineLevel="0" collapsed="false">
      <c r="A1748" s="0" t="str">
        <f aca="false">IF(COMPRAS!K548="","",COMPRAS!K548)</f>
        <v/>
      </c>
      <c r="B1748" s="0" t="str">
        <f aca="false">IF(A1748="","",IF(MATCH(A1748,$A$2:$A$3201,0)=ROW()-1,1,0))</f>
        <v/>
      </c>
      <c r="C1748" s="0" t="str">
        <f aca="false">IF(B1748=1,MAX(C$1:C1747)+1,"")</f>
        <v/>
      </c>
    </row>
    <row r="1749" customFormat="false" ht="15" hidden="false" customHeight="false" outlineLevel="0" collapsed="false">
      <c r="A1749" s="0" t="str">
        <f aca="false">IF(COMPRAS!K549="","",COMPRAS!K549)</f>
        <v/>
      </c>
      <c r="B1749" s="0" t="str">
        <f aca="false">IF(A1749="","",IF(MATCH(A1749,$A$2:$A$3201,0)=ROW()-1,1,0))</f>
        <v/>
      </c>
      <c r="C1749" s="0" t="str">
        <f aca="false">IF(B1749=1,MAX(C$1:C1748)+1,"")</f>
        <v/>
      </c>
    </row>
    <row r="1750" customFormat="false" ht="15" hidden="false" customHeight="false" outlineLevel="0" collapsed="false">
      <c r="A1750" s="0" t="str">
        <f aca="false">IF(COMPRAS!K550="","",COMPRAS!K550)</f>
        <v/>
      </c>
      <c r="B1750" s="0" t="str">
        <f aca="false">IF(A1750="","",IF(MATCH(A1750,$A$2:$A$3201,0)=ROW()-1,1,0))</f>
        <v/>
      </c>
      <c r="C1750" s="0" t="str">
        <f aca="false">IF(B1750=1,MAX(C$1:C1749)+1,"")</f>
        <v/>
      </c>
    </row>
    <row r="1751" customFormat="false" ht="15" hidden="false" customHeight="false" outlineLevel="0" collapsed="false">
      <c r="A1751" s="0" t="str">
        <f aca="false">IF(COMPRAS!K551="","",COMPRAS!K551)</f>
        <v/>
      </c>
      <c r="B1751" s="0" t="str">
        <f aca="false">IF(A1751="","",IF(MATCH(A1751,$A$2:$A$3201,0)=ROW()-1,1,0))</f>
        <v/>
      </c>
      <c r="C1751" s="0" t="str">
        <f aca="false">IF(B1751=1,MAX(C$1:C1750)+1,"")</f>
        <v/>
      </c>
    </row>
    <row r="1752" customFormat="false" ht="15" hidden="false" customHeight="false" outlineLevel="0" collapsed="false">
      <c r="A1752" s="0" t="str">
        <f aca="false">IF(COMPRAS!K552="","",COMPRAS!K552)</f>
        <v/>
      </c>
      <c r="B1752" s="0" t="str">
        <f aca="false">IF(A1752="","",IF(MATCH(A1752,$A$2:$A$3201,0)=ROW()-1,1,0))</f>
        <v/>
      </c>
      <c r="C1752" s="0" t="str">
        <f aca="false">IF(B1752=1,MAX(C$1:C1751)+1,"")</f>
        <v/>
      </c>
    </row>
    <row r="1753" customFormat="false" ht="15" hidden="false" customHeight="false" outlineLevel="0" collapsed="false">
      <c r="A1753" s="0" t="str">
        <f aca="false">IF(COMPRAS!K553="","",COMPRAS!K553)</f>
        <v/>
      </c>
      <c r="B1753" s="0" t="str">
        <f aca="false">IF(A1753="","",IF(MATCH(A1753,$A$2:$A$3201,0)=ROW()-1,1,0))</f>
        <v/>
      </c>
      <c r="C1753" s="0" t="str">
        <f aca="false">IF(B1753=1,MAX(C$1:C1752)+1,"")</f>
        <v/>
      </c>
    </row>
    <row r="1754" customFormat="false" ht="15" hidden="false" customHeight="false" outlineLevel="0" collapsed="false">
      <c r="A1754" s="0" t="str">
        <f aca="false">IF(COMPRAS!K554="","",COMPRAS!K554)</f>
        <v/>
      </c>
      <c r="B1754" s="0" t="str">
        <f aca="false">IF(A1754="","",IF(MATCH(A1754,$A$2:$A$3201,0)=ROW()-1,1,0))</f>
        <v/>
      </c>
      <c r="C1754" s="0" t="str">
        <f aca="false">IF(B1754=1,MAX(C$1:C1753)+1,"")</f>
        <v/>
      </c>
    </row>
    <row r="1755" customFormat="false" ht="15" hidden="false" customHeight="false" outlineLevel="0" collapsed="false">
      <c r="A1755" s="0" t="str">
        <f aca="false">IF(COMPRAS!K555="","",COMPRAS!K555)</f>
        <v/>
      </c>
      <c r="B1755" s="0" t="str">
        <f aca="false">IF(A1755="","",IF(MATCH(A1755,$A$2:$A$3201,0)=ROW()-1,1,0))</f>
        <v/>
      </c>
      <c r="C1755" s="0" t="str">
        <f aca="false">IF(B1755=1,MAX(C$1:C1754)+1,"")</f>
        <v/>
      </c>
    </row>
    <row r="1756" customFormat="false" ht="15" hidden="false" customHeight="false" outlineLevel="0" collapsed="false">
      <c r="A1756" s="0" t="str">
        <f aca="false">IF(COMPRAS!K556="","",COMPRAS!K556)</f>
        <v/>
      </c>
      <c r="B1756" s="0" t="str">
        <f aca="false">IF(A1756="","",IF(MATCH(A1756,$A$2:$A$3201,0)=ROW()-1,1,0))</f>
        <v/>
      </c>
      <c r="C1756" s="0" t="str">
        <f aca="false">IF(B1756=1,MAX(C$1:C1755)+1,"")</f>
        <v/>
      </c>
    </row>
    <row r="1757" customFormat="false" ht="15" hidden="false" customHeight="false" outlineLevel="0" collapsed="false">
      <c r="A1757" s="0" t="str">
        <f aca="false">IF(COMPRAS!K557="","",COMPRAS!K557)</f>
        <v/>
      </c>
      <c r="B1757" s="0" t="str">
        <f aca="false">IF(A1757="","",IF(MATCH(A1757,$A$2:$A$3201,0)=ROW()-1,1,0))</f>
        <v/>
      </c>
      <c r="C1757" s="0" t="str">
        <f aca="false">IF(B1757=1,MAX(C$1:C1756)+1,"")</f>
        <v/>
      </c>
    </row>
    <row r="1758" customFormat="false" ht="15" hidden="false" customHeight="false" outlineLevel="0" collapsed="false">
      <c r="A1758" s="0" t="str">
        <f aca="false">IF(COMPRAS!K558="","",COMPRAS!K558)</f>
        <v/>
      </c>
      <c r="B1758" s="0" t="str">
        <f aca="false">IF(A1758="","",IF(MATCH(A1758,$A$2:$A$3201,0)=ROW()-1,1,0))</f>
        <v/>
      </c>
      <c r="C1758" s="0" t="str">
        <f aca="false">IF(B1758=1,MAX(C$1:C1757)+1,"")</f>
        <v/>
      </c>
    </row>
    <row r="1759" customFormat="false" ht="15" hidden="false" customHeight="false" outlineLevel="0" collapsed="false">
      <c r="A1759" s="0" t="str">
        <f aca="false">IF(COMPRAS!K559="","",COMPRAS!K559)</f>
        <v/>
      </c>
      <c r="B1759" s="0" t="str">
        <f aca="false">IF(A1759="","",IF(MATCH(A1759,$A$2:$A$3201,0)=ROW()-1,1,0))</f>
        <v/>
      </c>
      <c r="C1759" s="0" t="str">
        <f aca="false">IF(B1759=1,MAX(C$1:C1758)+1,"")</f>
        <v/>
      </c>
    </row>
    <row r="1760" customFormat="false" ht="15" hidden="false" customHeight="false" outlineLevel="0" collapsed="false">
      <c r="A1760" s="0" t="str">
        <f aca="false">IF(COMPRAS!K560="","",COMPRAS!K560)</f>
        <v/>
      </c>
      <c r="B1760" s="0" t="str">
        <f aca="false">IF(A1760="","",IF(MATCH(A1760,$A$2:$A$3201,0)=ROW()-1,1,0))</f>
        <v/>
      </c>
      <c r="C1760" s="0" t="str">
        <f aca="false">IF(B1760=1,MAX(C$1:C1759)+1,"")</f>
        <v/>
      </c>
    </row>
    <row r="1761" customFormat="false" ht="15" hidden="false" customHeight="false" outlineLevel="0" collapsed="false">
      <c r="A1761" s="0" t="str">
        <f aca="false">IF(COMPRAS!K561="","",COMPRAS!K561)</f>
        <v/>
      </c>
      <c r="B1761" s="0" t="str">
        <f aca="false">IF(A1761="","",IF(MATCH(A1761,$A$2:$A$3201,0)=ROW()-1,1,0))</f>
        <v/>
      </c>
      <c r="C1761" s="0" t="str">
        <f aca="false">IF(B1761=1,MAX(C$1:C1760)+1,"")</f>
        <v/>
      </c>
    </row>
    <row r="1762" customFormat="false" ht="15" hidden="false" customHeight="false" outlineLevel="0" collapsed="false">
      <c r="A1762" s="0" t="str">
        <f aca="false">IF(COMPRAS!K562="","",COMPRAS!K562)</f>
        <v/>
      </c>
      <c r="B1762" s="0" t="str">
        <f aca="false">IF(A1762="","",IF(MATCH(A1762,$A$2:$A$3201,0)=ROW()-1,1,0))</f>
        <v/>
      </c>
      <c r="C1762" s="0" t="str">
        <f aca="false">IF(B1762=1,MAX(C$1:C1761)+1,"")</f>
        <v/>
      </c>
    </row>
    <row r="1763" customFormat="false" ht="15" hidden="false" customHeight="false" outlineLevel="0" collapsed="false">
      <c r="A1763" s="0" t="str">
        <f aca="false">IF(COMPRAS!K563="","",COMPRAS!K563)</f>
        <v/>
      </c>
      <c r="B1763" s="0" t="str">
        <f aca="false">IF(A1763="","",IF(MATCH(A1763,$A$2:$A$3201,0)=ROW()-1,1,0))</f>
        <v/>
      </c>
      <c r="C1763" s="0" t="str">
        <f aca="false">IF(B1763=1,MAX(C$1:C1762)+1,"")</f>
        <v/>
      </c>
    </row>
    <row r="1764" customFormat="false" ht="15" hidden="false" customHeight="false" outlineLevel="0" collapsed="false">
      <c r="A1764" s="0" t="str">
        <f aca="false">IF(COMPRAS!K564="","",COMPRAS!K564)</f>
        <v/>
      </c>
      <c r="B1764" s="0" t="str">
        <f aca="false">IF(A1764="","",IF(MATCH(A1764,$A$2:$A$3201,0)=ROW()-1,1,0))</f>
        <v/>
      </c>
      <c r="C1764" s="0" t="str">
        <f aca="false">IF(B1764=1,MAX(C$1:C1763)+1,"")</f>
        <v/>
      </c>
    </row>
    <row r="1765" customFormat="false" ht="15" hidden="false" customHeight="false" outlineLevel="0" collapsed="false">
      <c r="A1765" s="0" t="str">
        <f aca="false">IF(COMPRAS!K565="","",COMPRAS!K565)</f>
        <v/>
      </c>
      <c r="B1765" s="0" t="str">
        <f aca="false">IF(A1765="","",IF(MATCH(A1765,$A$2:$A$3201,0)=ROW()-1,1,0))</f>
        <v/>
      </c>
      <c r="C1765" s="0" t="str">
        <f aca="false">IF(B1765=1,MAX(C$1:C1764)+1,"")</f>
        <v/>
      </c>
    </row>
    <row r="1766" customFormat="false" ht="15" hidden="false" customHeight="false" outlineLevel="0" collapsed="false">
      <c r="A1766" s="0" t="str">
        <f aca="false">IF(COMPRAS!K566="","",COMPRAS!K566)</f>
        <v/>
      </c>
      <c r="B1766" s="0" t="str">
        <f aca="false">IF(A1766="","",IF(MATCH(A1766,$A$2:$A$3201,0)=ROW()-1,1,0))</f>
        <v/>
      </c>
      <c r="C1766" s="0" t="str">
        <f aca="false">IF(B1766=1,MAX(C$1:C1765)+1,"")</f>
        <v/>
      </c>
    </row>
    <row r="1767" customFormat="false" ht="15" hidden="false" customHeight="false" outlineLevel="0" collapsed="false">
      <c r="A1767" s="0" t="str">
        <f aca="false">IF(COMPRAS!K567="","",COMPRAS!K567)</f>
        <v/>
      </c>
      <c r="B1767" s="0" t="str">
        <f aca="false">IF(A1767="","",IF(MATCH(A1767,$A$2:$A$3201,0)=ROW()-1,1,0))</f>
        <v/>
      </c>
      <c r="C1767" s="0" t="str">
        <f aca="false">IF(B1767=1,MAX(C$1:C1766)+1,"")</f>
        <v/>
      </c>
    </row>
    <row r="1768" customFormat="false" ht="15" hidden="false" customHeight="false" outlineLevel="0" collapsed="false">
      <c r="A1768" s="0" t="str">
        <f aca="false">IF(COMPRAS!K568="","",COMPRAS!K568)</f>
        <v/>
      </c>
      <c r="B1768" s="0" t="str">
        <f aca="false">IF(A1768="","",IF(MATCH(A1768,$A$2:$A$3201,0)=ROW()-1,1,0))</f>
        <v/>
      </c>
      <c r="C1768" s="0" t="str">
        <f aca="false">IF(B1768=1,MAX(C$1:C1767)+1,"")</f>
        <v/>
      </c>
    </row>
    <row r="1769" customFormat="false" ht="15" hidden="false" customHeight="false" outlineLevel="0" collapsed="false">
      <c r="A1769" s="0" t="str">
        <f aca="false">IF(COMPRAS!K569="","",COMPRAS!K569)</f>
        <v/>
      </c>
      <c r="B1769" s="0" t="str">
        <f aca="false">IF(A1769="","",IF(MATCH(A1769,$A$2:$A$3201,0)=ROW()-1,1,0))</f>
        <v/>
      </c>
      <c r="C1769" s="0" t="str">
        <f aca="false">IF(B1769=1,MAX(C$1:C1768)+1,"")</f>
        <v/>
      </c>
    </row>
    <row r="1770" customFormat="false" ht="15" hidden="false" customHeight="false" outlineLevel="0" collapsed="false">
      <c r="A1770" s="0" t="str">
        <f aca="false">IF(COMPRAS!K570="","",COMPRAS!K570)</f>
        <v/>
      </c>
      <c r="B1770" s="0" t="str">
        <f aca="false">IF(A1770="","",IF(MATCH(A1770,$A$2:$A$3201,0)=ROW()-1,1,0))</f>
        <v/>
      </c>
      <c r="C1770" s="0" t="str">
        <f aca="false">IF(B1770=1,MAX(C$1:C1769)+1,"")</f>
        <v/>
      </c>
    </row>
    <row r="1771" customFormat="false" ht="15" hidden="false" customHeight="false" outlineLevel="0" collapsed="false">
      <c r="A1771" s="0" t="str">
        <f aca="false">IF(COMPRAS!K571="","",COMPRAS!K571)</f>
        <v/>
      </c>
      <c r="B1771" s="0" t="str">
        <f aca="false">IF(A1771="","",IF(MATCH(A1771,$A$2:$A$3201,0)=ROW()-1,1,0))</f>
        <v/>
      </c>
      <c r="C1771" s="0" t="str">
        <f aca="false">IF(B1771=1,MAX(C$1:C1770)+1,"")</f>
        <v/>
      </c>
    </row>
    <row r="1772" customFormat="false" ht="15" hidden="false" customHeight="false" outlineLevel="0" collapsed="false">
      <c r="A1772" s="0" t="str">
        <f aca="false">IF(COMPRAS!K572="","",COMPRAS!K572)</f>
        <v/>
      </c>
      <c r="B1772" s="0" t="str">
        <f aca="false">IF(A1772="","",IF(MATCH(A1772,$A$2:$A$3201,0)=ROW()-1,1,0))</f>
        <v/>
      </c>
      <c r="C1772" s="0" t="str">
        <f aca="false">IF(B1772=1,MAX(C$1:C1771)+1,"")</f>
        <v/>
      </c>
    </row>
    <row r="1773" customFormat="false" ht="15" hidden="false" customHeight="false" outlineLevel="0" collapsed="false">
      <c r="A1773" s="0" t="str">
        <f aca="false">IF(COMPRAS!K573="","",COMPRAS!K573)</f>
        <v/>
      </c>
      <c r="B1773" s="0" t="str">
        <f aca="false">IF(A1773="","",IF(MATCH(A1773,$A$2:$A$3201,0)=ROW()-1,1,0))</f>
        <v/>
      </c>
      <c r="C1773" s="0" t="str">
        <f aca="false">IF(B1773=1,MAX(C$1:C1772)+1,"")</f>
        <v/>
      </c>
    </row>
    <row r="1774" customFormat="false" ht="15" hidden="false" customHeight="false" outlineLevel="0" collapsed="false">
      <c r="A1774" s="0" t="str">
        <f aca="false">IF(COMPRAS!K574="","",COMPRAS!K574)</f>
        <v/>
      </c>
      <c r="B1774" s="0" t="str">
        <f aca="false">IF(A1774="","",IF(MATCH(A1774,$A$2:$A$3201,0)=ROW()-1,1,0))</f>
        <v/>
      </c>
      <c r="C1774" s="0" t="str">
        <f aca="false">IF(B1774=1,MAX(C$1:C1773)+1,"")</f>
        <v/>
      </c>
    </row>
    <row r="1775" customFormat="false" ht="15" hidden="false" customHeight="false" outlineLevel="0" collapsed="false">
      <c r="A1775" s="0" t="str">
        <f aca="false">IF(COMPRAS!K575="","",COMPRAS!K575)</f>
        <v/>
      </c>
      <c r="B1775" s="0" t="str">
        <f aca="false">IF(A1775="","",IF(MATCH(A1775,$A$2:$A$3201,0)=ROW()-1,1,0))</f>
        <v/>
      </c>
      <c r="C1775" s="0" t="str">
        <f aca="false">IF(B1775=1,MAX(C$1:C1774)+1,"")</f>
        <v/>
      </c>
    </row>
    <row r="1776" customFormat="false" ht="15" hidden="false" customHeight="false" outlineLevel="0" collapsed="false">
      <c r="A1776" s="0" t="str">
        <f aca="false">IF(COMPRAS!K576="","",COMPRAS!K576)</f>
        <v/>
      </c>
      <c r="B1776" s="0" t="str">
        <f aca="false">IF(A1776="","",IF(MATCH(A1776,$A$2:$A$3201,0)=ROW()-1,1,0))</f>
        <v/>
      </c>
      <c r="C1776" s="0" t="str">
        <f aca="false">IF(B1776=1,MAX(C$1:C1775)+1,"")</f>
        <v/>
      </c>
    </row>
    <row r="1777" customFormat="false" ht="15" hidden="false" customHeight="false" outlineLevel="0" collapsed="false">
      <c r="A1777" s="0" t="str">
        <f aca="false">IF(COMPRAS!K577="","",COMPRAS!K577)</f>
        <v/>
      </c>
      <c r="B1777" s="0" t="str">
        <f aca="false">IF(A1777="","",IF(MATCH(A1777,$A$2:$A$3201,0)=ROW()-1,1,0))</f>
        <v/>
      </c>
      <c r="C1777" s="0" t="str">
        <f aca="false">IF(B1777=1,MAX(C$1:C1776)+1,"")</f>
        <v/>
      </c>
    </row>
    <row r="1778" customFormat="false" ht="15" hidden="false" customHeight="false" outlineLevel="0" collapsed="false">
      <c r="A1778" s="0" t="str">
        <f aca="false">IF(COMPRAS!K578="","",COMPRAS!K578)</f>
        <v/>
      </c>
      <c r="B1778" s="0" t="str">
        <f aca="false">IF(A1778="","",IF(MATCH(A1778,$A$2:$A$3201,0)=ROW()-1,1,0))</f>
        <v/>
      </c>
      <c r="C1778" s="0" t="str">
        <f aca="false">IF(B1778=1,MAX(C$1:C1777)+1,"")</f>
        <v/>
      </c>
    </row>
    <row r="1779" customFormat="false" ht="15" hidden="false" customHeight="false" outlineLevel="0" collapsed="false">
      <c r="A1779" s="0" t="str">
        <f aca="false">IF(COMPRAS!K579="","",COMPRAS!K579)</f>
        <v/>
      </c>
      <c r="B1779" s="0" t="str">
        <f aca="false">IF(A1779="","",IF(MATCH(A1779,$A$2:$A$3201,0)=ROW()-1,1,0))</f>
        <v/>
      </c>
      <c r="C1779" s="0" t="str">
        <f aca="false">IF(B1779=1,MAX(C$1:C1778)+1,"")</f>
        <v/>
      </c>
    </row>
    <row r="1780" customFormat="false" ht="15" hidden="false" customHeight="false" outlineLevel="0" collapsed="false">
      <c r="A1780" s="0" t="str">
        <f aca="false">IF(COMPRAS!K580="","",COMPRAS!K580)</f>
        <v/>
      </c>
      <c r="B1780" s="0" t="str">
        <f aca="false">IF(A1780="","",IF(MATCH(A1780,$A$2:$A$3201,0)=ROW()-1,1,0))</f>
        <v/>
      </c>
      <c r="C1780" s="0" t="str">
        <f aca="false">IF(B1780=1,MAX(C$1:C1779)+1,"")</f>
        <v/>
      </c>
    </row>
    <row r="1781" customFormat="false" ht="15" hidden="false" customHeight="false" outlineLevel="0" collapsed="false">
      <c r="A1781" s="0" t="str">
        <f aca="false">IF(COMPRAS!K581="","",COMPRAS!K581)</f>
        <v/>
      </c>
      <c r="B1781" s="0" t="str">
        <f aca="false">IF(A1781="","",IF(MATCH(A1781,$A$2:$A$3201,0)=ROW()-1,1,0))</f>
        <v/>
      </c>
      <c r="C1781" s="0" t="str">
        <f aca="false">IF(B1781=1,MAX(C$1:C1780)+1,"")</f>
        <v/>
      </c>
    </row>
    <row r="1782" customFormat="false" ht="15" hidden="false" customHeight="false" outlineLevel="0" collapsed="false">
      <c r="A1782" s="0" t="str">
        <f aca="false">IF(COMPRAS!K582="","",COMPRAS!K582)</f>
        <v/>
      </c>
      <c r="B1782" s="0" t="str">
        <f aca="false">IF(A1782="","",IF(MATCH(A1782,$A$2:$A$3201,0)=ROW()-1,1,0))</f>
        <v/>
      </c>
      <c r="C1782" s="0" t="str">
        <f aca="false">IF(B1782=1,MAX(C$1:C1781)+1,"")</f>
        <v/>
      </c>
    </row>
    <row r="1783" customFormat="false" ht="15" hidden="false" customHeight="false" outlineLevel="0" collapsed="false">
      <c r="A1783" s="0" t="str">
        <f aca="false">IF(COMPRAS!K583="","",COMPRAS!K583)</f>
        <v/>
      </c>
      <c r="B1783" s="0" t="str">
        <f aca="false">IF(A1783="","",IF(MATCH(A1783,$A$2:$A$3201,0)=ROW()-1,1,0))</f>
        <v/>
      </c>
      <c r="C1783" s="0" t="str">
        <f aca="false">IF(B1783=1,MAX(C$1:C1782)+1,"")</f>
        <v/>
      </c>
    </row>
    <row r="1784" customFormat="false" ht="15" hidden="false" customHeight="false" outlineLevel="0" collapsed="false">
      <c r="A1784" s="0" t="str">
        <f aca="false">IF(COMPRAS!K584="","",COMPRAS!K584)</f>
        <v/>
      </c>
      <c r="B1784" s="0" t="str">
        <f aca="false">IF(A1784="","",IF(MATCH(A1784,$A$2:$A$3201,0)=ROW()-1,1,0))</f>
        <v/>
      </c>
      <c r="C1784" s="0" t="str">
        <f aca="false">IF(B1784=1,MAX(C$1:C1783)+1,"")</f>
        <v/>
      </c>
    </row>
    <row r="1785" customFormat="false" ht="15" hidden="false" customHeight="false" outlineLevel="0" collapsed="false">
      <c r="A1785" s="0" t="str">
        <f aca="false">IF(COMPRAS!K585="","",COMPRAS!K585)</f>
        <v/>
      </c>
      <c r="B1785" s="0" t="str">
        <f aca="false">IF(A1785="","",IF(MATCH(A1785,$A$2:$A$3201,0)=ROW()-1,1,0))</f>
        <v/>
      </c>
      <c r="C1785" s="0" t="str">
        <f aca="false">IF(B1785=1,MAX(C$1:C1784)+1,"")</f>
        <v/>
      </c>
    </row>
    <row r="1786" customFormat="false" ht="15" hidden="false" customHeight="false" outlineLevel="0" collapsed="false">
      <c r="A1786" s="0" t="str">
        <f aca="false">IF(COMPRAS!K586="","",COMPRAS!K586)</f>
        <v/>
      </c>
      <c r="B1786" s="0" t="str">
        <f aca="false">IF(A1786="","",IF(MATCH(A1786,$A$2:$A$3201,0)=ROW()-1,1,0))</f>
        <v/>
      </c>
      <c r="C1786" s="0" t="str">
        <f aca="false">IF(B1786=1,MAX(C$1:C1785)+1,"")</f>
        <v/>
      </c>
    </row>
    <row r="1787" customFormat="false" ht="15" hidden="false" customHeight="false" outlineLevel="0" collapsed="false">
      <c r="A1787" s="0" t="str">
        <f aca="false">IF(COMPRAS!K587="","",COMPRAS!K587)</f>
        <v/>
      </c>
      <c r="B1787" s="0" t="str">
        <f aca="false">IF(A1787="","",IF(MATCH(A1787,$A$2:$A$3201,0)=ROW()-1,1,0))</f>
        <v/>
      </c>
      <c r="C1787" s="0" t="str">
        <f aca="false">IF(B1787=1,MAX(C$1:C1786)+1,"")</f>
        <v/>
      </c>
    </row>
    <row r="1788" customFormat="false" ht="15" hidden="false" customHeight="false" outlineLevel="0" collapsed="false">
      <c r="A1788" s="0" t="str">
        <f aca="false">IF(COMPRAS!K588="","",COMPRAS!K588)</f>
        <v/>
      </c>
      <c r="B1788" s="0" t="str">
        <f aca="false">IF(A1788="","",IF(MATCH(A1788,$A$2:$A$3201,0)=ROW()-1,1,0))</f>
        <v/>
      </c>
      <c r="C1788" s="0" t="str">
        <f aca="false">IF(B1788=1,MAX(C$1:C1787)+1,"")</f>
        <v/>
      </c>
    </row>
    <row r="1789" customFormat="false" ht="15" hidden="false" customHeight="false" outlineLevel="0" collapsed="false">
      <c r="A1789" s="0" t="str">
        <f aca="false">IF(COMPRAS!K589="","",COMPRAS!K589)</f>
        <v/>
      </c>
      <c r="B1789" s="0" t="str">
        <f aca="false">IF(A1789="","",IF(MATCH(A1789,$A$2:$A$3201,0)=ROW()-1,1,0))</f>
        <v/>
      </c>
      <c r="C1789" s="0" t="str">
        <f aca="false">IF(B1789=1,MAX(C$1:C1788)+1,"")</f>
        <v/>
      </c>
    </row>
    <row r="1790" customFormat="false" ht="15" hidden="false" customHeight="false" outlineLevel="0" collapsed="false">
      <c r="A1790" s="0" t="str">
        <f aca="false">IF(COMPRAS!K590="","",COMPRAS!K590)</f>
        <v/>
      </c>
      <c r="B1790" s="0" t="str">
        <f aca="false">IF(A1790="","",IF(MATCH(A1790,$A$2:$A$3201,0)=ROW()-1,1,0))</f>
        <v/>
      </c>
      <c r="C1790" s="0" t="str">
        <f aca="false">IF(B1790=1,MAX(C$1:C1789)+1,"")</f>
        <v/>
      </c>
    </row>
    <row r="1791" customFormat="false" ht="15" hidden="false" customHeight="false" outlineLevel="0" collapsed="false">
      <c r="A1791" s="0" t="str">
        <f aca="false">IF(COMPRAS!K591="","",COMPRAS!K591)</f>
        <v/>
      </c>
      <c r="B1791" s="0" t="str">
        <f aca="false">IF(A1791="","",IF(MATCH(A1791,$A$2:$A$3201,0)=ROW()-1,1,0))</f>
        <v/>
      </c>
      <c r="C1791" s="0" t="str">
        <f aca="false">IF(B1791=1,MAX(C$1:C1790)+1,"")</f>
        <v/>
      </c>
    </row>
    <row r="1792" customFormat="false" ht="15" hidden="false" customHeight="false" outlineLevel="0" collapsed="false">
      <c r="A1792" s="0" t="str">
        <f aca="false">IF(COMPRAS!K592="","",COMPRAS!K592)</f>
        <v/>
      </c>
      <c r="B1792" s="0" t="str">
        <f aca="false">IF(A1792="","",IF(MATCH(A1792,$A$2:$A$3201,0)=ROW()-1,1,0))</f>
        <v/>
      </c>
      <c r="C1792" s="0" t="str">
        <f aca="false">IF(B1792=1,MAX(C$1:C1791)+1,"")</f>
        <v/>
      </c>
    </row>
    <row r="1793" customFormat="false" ht="15" hidden="false" customHeight="false" outlineLevel="0" collapsed="false">
      <c r="A1793" s="0" t="str">
        <f aca="false">IF(COMPRAS!K593="","",COMPRAS!K593)</f>
        <v/>
      </c>
      <c r="B1793" s="0" t="str">
        <f aca="false">IF(A1793="","",IF(MATCH(A1793,$A$2:$A$3201,0)=ROW()-1,1,0))</f>
        <v/>
      </c>
      <c r="C1793" s="0" t="str">
        <f aca="false">IF(B1793=1,MAX(C$1:C1792)+1,"")</f>
        <v/>
      </c>
    </row>
    <row r="1794" customFormat="false" ht="15" hidden="false" customHeight="false" outlineLevel="0" collapsed="false">
      <c r="A1794" s="0" t="str">
        <f aca="false">IF(COMPRAS!K594="","",COMPRAS!K594)</f>
        <v/>
      </c>
      <c r="B1794" s="0" t="str">
        <f aca="false">IF(A1794="","",IF(MATCH(A1794,$A$2:$A$3201,0)=ROW()-1,1,0))</f>
        <v/>
      </c>
      <c r="C1794" s="0" t="str">
        <f aca="false">IF(B1794=1,MAX(C$1:C1793)+1,"")</f>
        <v/>
      </c>
    </row>
    <row r="1795" customFormat="false" ht="15" hidden="false" customHeight="false" outlineLevel="0" collapsed="false">
      <c r="A1795" s="0" t="str">
        <f aca="false">IF(COMPRAS!K595="","",COMPRAS!K595)</f>
        <v/>
      </c>
      <c r="B1795" s="0" t="str">
        <f aca="false">IF(A1795="","",IF(MATCH(A1795,$A$2:$A$3201,0)=ROW()-1,1,0))</f>
        <v/>
      </c>
      <c r="C1795" s="0" t="str">
        <f aca="false">IF(B1795=1,MAX(C$1:C1794)+1,"")</f>
        <v/>
      </c>
    </row>
    <row r="1796" customFormat="false" ht="15" hidden="false" customHeight="false" outlineLevel="0" collapsed="false">
      <c r="A1796" s="0" t="str">
        <f aca="false">IF(COMPRAS!K596="","",COMPRAS!K596)</f>
        <v/>
      </c>
      <c r="B1796" s="0" t="str">
        <f aca="false">IF(A1796="","",IF(MATCH(A1796,$A$2:$A$3201,0)=ROW()-1,1,0))</f>
        <v/>
      </c>
      <c r="C1796" s="0" t="str">
        <f aca="false">IF(B1796=1,MAX(C$1:C1795)+1,"")</f>
        <v/>
      </c>
    </row>
    <row r="1797" customFormat="false" ht="15" hidden="false" customHeight="false" outlineLevel="0" collapsed="false">
      <c r="A1797" s="0" t="str">
        <f aca="false">IF(COMPRAS!K597="","",COMPRAS!K597)</f>
        <v/>
      </c>
      <c r="B1797" s="0" t="str">
        <f aca="false">IF(A1797="","",IF(MATCH(A1797,$A$2:$A$3201,0)=ROW()-1,1,0))</f>
        <v/>
      </c>
      <c r="C1797" s="0" t="str">
        <f aca="false">IF(B1797=1,MAX(C$1:C1796)+1,"")</f>
        <v/>
      </c>
    </row>
    <row r="1798" customFormat="false" ht="15" hidden="false" customHeight="false" outlineLevel="0" collapsed="false">
      <c r="A1798" s="0" t="str">
        <f aca="false">IF(COMPRAS!K598="","",COMPRAS!K598)</f>
        <v/>
      </c>
      <c r="B1798" s="0" t="str">
        <f aca="false">IF(A1798="","",IF(MATCH(A1798,$A$2:$A$3201,0)=ROW()-1,1,0))</f>
        <v/>
      </c>
      <c r="C1798" s="0" t="str">
        <f aca="false">IF(B1798=1,MAX(C$1:C1797)+1,"")</f>
        <v/>
      </c>
    </row>
    <row r="1799" customFormat="false" ht="15" hidden="false" customHeight="false" outlineLevel="0" collapsed="false">
      <c r="A1799" s="0" t="str">
        <f aca="false">IF(COMPRAS!K599="","",COMPRAS!K599)</f>
        <v/>
      </c>
      <c r="B1799" s="0" t="str">
        <f aca="false">IF(A1799="","",IF(MATCH(A1799,$A$2:$A$3201,0)=ROW()-1,1,0))</f>
        <v/>
      </c>
      <c r="C1799" s="0" t="str">
        <f aca="false">IF(B1799=1,MAX(C$1:C1798)+1,"")</f>
        <v/>
      </c>
    </row>
    <row r="1800" customFormat="false" ht="15" hidden="false" customHeight="false" outlineLevel="0" collapsed="false">
      <c r="A1800" s="0" t="str">
        <f aca="false">IF(COMPRAS!K600="","",COMPRAS!K600)</f>
        <v/>
      </c>
      <c r="B1800" s="0" t="str">
        <f aca="false">IF(A1800="","",IF(MATCH(A1800,$A$2:$A$3201,0)=ROW()-1,1,0))</f>
        <v/>
      </c>
      <c r="C1800" s="0" t="str">
        <f aca="false">IF(B1800=1,MAX(C$1:C1799)+1,"")</f>
        <v/>
      </c>
    </row>
    <row r="1801" customFormat="false" ht="15" hidden="false" customHeight="false" outlineLevel="0" collapsed="false">
      <c r="A1801" s="0" t="str">
        <f aca="false">IF(COMPRAS!K601="","",COMPRAS!K601)</f>
        <v/>
      </c>
      <c r="B1801" s="0" t="str">
        <f aca="false">IF(A1801="","",IF(MATCH(A1801,$A$2:$A$3201,0)=ROW()-1,1,0))</f>
        <v/>
      </c>
      <c r="C1801" s="0" t="str">
        <f aca="false">IF(B1801=1,MAX(C$1:C1800)+1,"")</f>
        <v/>
      </c>
    </row>
    <row r="1802" customFormat="false" ht="15" hidden="false" customHeight="false" outlineLevel="0" collapsed="false">
      <c r="A1802" s="0" t="str">
        <f aca="false">IF(COMPRAS!K602="","",COMPRAS!K602)</f>
        <v/>
      </c>
      <c r="B1802" s="0" t="str">
        <f aca="false">IF(A1802="","",IF(MATCH(A1802,$A$2:$A$3201,0)=ROW()-1,1,0))</f>
        <v/>
      </c>
      <c r="C1802" s="0" t="str">
        <f aca="false">IF(B1802=1,MAX(C$1:C1801)+1,"")</f>
        <v/>
      </c>
    </row>
    <row r="1803" customFormat="false" ht="15" hidden="false" customHeight="false" outlineLevel="0" collapsed="false">
      <c r="A1803" s="0" t="str">
        <f aca="false">IF(COMPRAS!K603="","",COMPRAS!K603)</f>
        <v/>
      </c>
      <c r="B1803" s="0" t="str">
        <f aca="false">IF(A1803="","",IF(MATCH(A1803,$A$2:$A$3201,0)=ROW()-1,1,0))</f>
        <v/>
      </c>
      <c r="C1803" s="0" t="str">
        <f aca="false">IF(B1803=1,MAX(C$1:C1802)+1,"")</f>
        <v/>
      </c>
    </row>
    <row r="1804" customFormat="false" ht="15" hidden="false" customHeight="false" outlineLevel="0" collapsed="false">
      <c r="A1804" s="0" t="str">
        <f aca="false">IF(COMPRAS!K604="","",COMPRAS!K604)</f>
        <v/>
      </c>
      <c r="B1804" s="0" t="str">
        <f aca="false">IF(A1804="","",IF(MATCH(A1804,$A$2:$A$3201,0)=ROW()-1,1,0))</f>
        <v/>
      </c>
      <c r="C1804" s="0" t="str">
        <f aca="false">IF(B1804=1,MAX(C$1:C1803)+1,"")</f>
        <v/>
      </c>
    </row>
    <row r="1805" customFormat="false" ht="15" hidden="false" customHeight="false" outlineLevel="0" collapsed="false">
      <c r="A1805" s="0" t="str">
        <f aca="false">IF(COMPRAS!K605="","",COMPRAS!K605)</f>
        <v/>
      </c>
      <c r="B1805" s="0" t="str">
        <f aca="false">IF(A1805="","",IF(MATCH(A1805,$A$2:$A$3201,0)=ROW()-1,1,0))</f>
        <v/>
      </c>
      <c r="C1805" s="0" t="str">
        <f aca="false">IF(B1805=1,MAX(C$1:C1804)+1,"")</f>
        <v/>
      </c>
    </row>
    <row r="1806" customFormat="false" ht="15" hidden="false" customHeight="false" outlineLevel="0" collapsed="false">
      <c r="A1806" s="0" t="str">
        <f aca="false">IF(COMPRAS!K606="","",COMPRAS!K606)</f>
        <v/>
      </c>
      <c r="B1806" s="0" t="str">
        <f aca="false">IF(A1806="","",IF(MATCH(A1806,$A$2:$A$3201,0)=ROW()-1,1,0))</f>
        <v/>
      </c>
      <c r="C1806" s="0" t="str">
        <f aca="false">IF(B1806=1,MAX(C$1:C1805)+1,"")</f>
        <v/>
      </c>
    </row>
    <row r="1807" customFormat="false" ht="15" hidden="false" customHeight="false" outlineLevel="0" collapsed="false">
      <c r="A1807" s="0" t="str">
        <f aca="false">IF(COMPRAS!K607="","",COMPRAS!K607)</f>
        <v/>
      </c>
      <c r="B1807" s="0" t="str">
        <f aca="false">IF(A1807="","",IF(MATCH(A1807,$A$2:$A$3201,0)=ROW()-1,1,0))</f>
        <v/>
      </c>
      <c r="C1807" s="0" t="str">
        <f aca="false">IF(B1807=1,MAX(C$1:C1806)+1,"")</f>
        <v/>
      </c>
    </row>
    <row r="1808" customFormat="false" ht="15" hidden="false" customHeight="false" outlineLevel="0" collapsed="false">
      <c r="A1808" s="0" t="str">
        <f aca="false">IF(COMPRAS!K608="","",COMPRAS!K608)</f>
        <v/>
      </c>
      <c r="B1808" s="0" t="str">
        <f aca="false">IF(A1808="","",IF(MATCH(A1808,$A$2:$A$3201,0)=ROW()-1,1,0))</f>
        <v/>
      </c>
      <c r="C1808" s="0" t="str">
        <f aca="false">IF(B1808=1,MAX(C$1:C1807)+1,"")</f>
        <v/>
      </c>
    </row>
    <row r="1809" customFormat="false" ht="15" hidden="false" customHeight="false" outlineLevel="0" collapsed="false">
      <c r="A1809" s="0" t="str">
        <f aca="false">IF(COMPRAS!K609="","",COMPRAS!K609)</f>
        <v/>
      </c>
      <c r="B1809" s="0" t="str">
        <f aca="false">IF(A1809="","",IF(MATCH(A1809,$A$2:$A$3201,0)=ROW()-1,1,0))</f>
        <v/>
      </c>
      <c r="C1809" s="0" t="str">
        <f aca="false">IF(B1809=1,MAX(C$1:C1808)+1,"")</f>
        <v/>
      </c>
    </row>
    <row r="1810" customFormat="false" ht="15" hidden="false" customHeight="false" outlineLevel="0" collapsed="false">
      <c r="A1810" s="0" t="str">
        <f aca="false">IF(COMPRAS!K610="","",COMPRAS!K610)</f>
        <v/>
      </c>
      <c r="B1810" s="0" t="str">
        <f aca="false">IF(A1810="","",IF(MATCH(A1810,$A$2:$A$3201,0)=ROW()-1,1,0))</f>
        <v/>
      </c>
      <c r="C1810" s="0" t="str">
        <f aca="false">IF(B1810=1,MAX(C$1:C1809)+1,"")</f>
        <v/>
      </c>
    </row>
    <row r="1811" customFormat="false" ht="15" hidden="false" customHeight="false" outlineLevel="0" collapsed="false">
      <c r="A1811" s="0" t="str">
        <f aca="false">IF(COMPRAS!K611="","",COMPRAS!K611)</f>
        <v/>
      </c>
      <c r="B1811" s="0" t="str">
        <f aca="false">IF(A1811="","",IF(MATCH(A1811,$A$2:$A$3201,0)=ROW()-1,1,0))</f>
        <v/>
      </c>
      <c r="C1811" s="0" t="str">
        <f aca="false">IF(B1811=1,MAX(C$1:C1810)+1,"")</f>
        <v/>
      </c>
    </row>
    <row r="1812" customFormat="false" ht="15" hidden="false" customHeight="false" outlineLevel="0" collapsed="false">
      <c r="A1812" s="0" t="str">
        <f aca="false">IF(COMPRAS!K612="","",COMPRAS!K612)</f>
        <v/>
      </c>
      <c r="B1812" s="0" t="str">
        <f aca="false">IF(A1812="","",IF(MATCH(A1812,$A$2:$A$3201,0)=ROW()-1,1,0))</f>
        <v/>
      </c>
      <c r="C1812" s="0" t="str">
        <f aca="false">IF(B1812=1,MAX(C$1:C1811)+1,"")</f>
        <v/>
      </c>
    </row>
    <row r="1813" customFormat="false" ht="15" hidden="false" customHeight="false" outlineLevel="0" collapsed="false">
      <c r="A1813" s="0" t="str">
        <f aca="false">IF(COMPRAS!K613="","",COMPRAS!K613)</f>
        <v/>
      </c>
      <c r="B1813" s="0" t="str">
        <f aca="false">IF(A1813="","",IF(MATCH(A1813,$A$2:$A$3201,0)=ROW()-1,1,0))</f>
        <v/>
      </c>
      <c r="C1813" s="0" t="str">
        <f aca="false">IF(B1813=1,MAX(C$1:C1812)+1,"")</f>
        <v/>
      </c>
    </row>
    <row r="1814" customFormat="false" ht="15" hidden="false" customHeight="false" outlineLevel="0" collapsed="false">
      <c r="A1814" s="0" t="str">
        <f aca="false">IF(COMPRAS!K614="","",COMPRAS!K614)</f>
        <v/>
      </c>
      <c r="B1814" s="0" t="str">
        <f aca="false">IF(A1814="","",IF(MATCH(A1814,$A$2:$A$3201,0)=ROW()-1,1,0))</f>
        <v/>
      </c>
      <c r="C1814" s="0" t="str">
        <f aca="false">IF(B1814=1,MAX(C$1:C1813)+1,"")</f>
        <v/>
      </c>
    </row>
    <row r="1815" customFormat="false" ht="15" hidden="false" customHeight="false" outlineLevel="0" collapsed="false">
      <c r="A1815" s="0" t="str">
        <f aca="false">IF(COMPRAS!K615="","",COMPRAS!K615)</f>
        <v/>
      </c>
      <c r="B1815" s="0" t="str">
        <f aca="false">IF(A1815="","",IF(MATCH(A1815,$A$2:$A$3201,0)=ROW()-1,1,0))</f>
        <v/>
      </c>
      <c r="C1815" s="0" t="str">
        <f aca="false">IF(B1815=1,MAX(C$1:C1814)+1,"")</f>
        <v/>
      </c>
    </row>
    <row r="1816" customFormat="false" ht="15" hidden="false" customHeight="false" outlineLevel="0" collapsed="false">
      <c r="A1816" s="0" t="str">
        <f aca="false">IF(COMPRAS!K616="","",COMPRAS!K616)</f>
        <v/>
      </c>
      <c r="B1816" s="0" t="str">
        <f aca="false">IF(A1816="","",IF(MATCH(A1816,$A$2:$A$3201,0)=ROW()-1,1,0))</f>
        <v/>
      </c>
      <c r="C1816" s="0" t="str">
        <f aca="false">IF(B1816=1,MAX(C$1:C1815)+1,"")</f>
        <v/>
      </c>
    </row>
    <row r="1817" customFormat="false" ht="15" hidden="false" customHeight="false" outlineLevel="0" collapsed="false">
      <c r="A1817" s="0" t="str">
        <f aca="false">IF(COMPRAS!K617="","",COMPRAS!K617)</f>
        <v/>
      </c>
      <c r="B1817" s="0" t="str">
        <f aca="false">IF(A1817="","",IF(MATCH(A1817,$A$2:$A$3201,0)=ROW()-1,1,0))</f>
        <v/>
      </c>
      <c r="C1817" s="0" t="str">
        <f aca="false">IF(B1817=1,MAX(C$1:C1816)+1,"")</f>
        <v/>
      </c>
    </row>
    <row r="1818" customFormat="false" ht="15" hidden="false" customHeight="false" outlineLevel="0" collapsed="false">
      <c r="A1818" s="0" t="str">
        <f aca="false">IF(COMPRAS!K618="","",COMPRAS!K618)</f>
        <v/>
      </c>
      <c r="B1818" s="0" t="str">
        <f aca="false">IF(A1818="","",IF(MATCH(A1818,$A$2:$A$3201,0)=ROW()-1,1,0))</f>
        <v/>
      </c>
      <c r="C1818" s="0" t="str">
        <f aca="false">IF(B1818=1,MAX(C$1:C1817)+1,"")</f>
        <v/>
      </c>
    </row>
    <row r="1819" customFormat="false" ht="15" hidden="false" customHeight="false" outlineLevel="0" collapsed="false">
      <c r="A1819" s="0" t="str">
        <f aca="false">IF(COMPRAS!K619="","",COMPRAS!K619)</f>
        <v/>
      </c>
      <c r="B1819" s="0" t="str">
        <f aca="false">IF(A1819="","",IF(MATCH(A1819,$A$2:$A$3201,0)=ROW()-1,1,0))</f>
        <v/>
      </c>
      <c r="C1819" s="0" t="str">
        <f aca="false">IF(B1819=1,MAX(C$1:C1818)+1,"")</f>
        <v/>
      </c>
    </row>
    <row r="1820" customFormat="false" ht="15" hidden="false" customHeight="false" outlineLevel="0" collapsed="false">
      <c r="A1820" s="0" t="str">
        <f aca="false">IF(COMPRAS!K620="","",COMPRAS!K620)</f>
        <v/>
      </c>
      <c r="B1820" s="0" t="str">
        <f aca="false">IF(A1820="","",IF(MATCH(A1820,$A$2:$A$3201,0)=ROW()-1,1,0))</f>
        <v/>
      </c>
      <c r="C1820" s="0" t="str">
        <f aca="false">IF(B1820=1,MAX(C$1:C1819)+1,"")</f>
        <v/>
      </c>
    </row>
    <row r="1821" customFormat="false" ht="15" hidden="false" customHeight="false" outlineLevel="0" collapsed="false">
      <c r="A1821" s="0" t="str">
        <f aca="false">IF(COMPRAS!K621="","",COMPRAS!K621)</f>
        <v/>
      </c>
      <c r="B1821" s="0" t="str">
        <f aca="false">IF(A1821="","",IF(MATCH(A1821,$A$2:$A$3201,0)=ROW()-1,1,0))</f>
        <v/>
      </c>
      <c r="C1821" s="0" t="str">
        <f aca="false">IF(B1821=1,MAX(C$1:C1820)+1,"")</f>
        <v/>
      </c>
    </row>
    <row r="1822" customFormat="false" ht="15" hidden="false" customHeight="false" outlineLevel="0" collapsed="false">
      <c r="A1822" s="0" t="str">
        <f aca="false">IF(COMPRAS!K622="","",COMPRAS!K622)</f>
        <v/>
      </c>
      <c r="B1822" s="0" t="str">
        <f aca="false">IF(A1822="","",IF(MATCH(A1822,$A$2:$A$3201,0)=ROW()-1,1,0))</f>
        <v/>
      </c>
      <c r="C1822" s="0" t="str">
        <f aca="false">IF(B1822=1,MAX(C$1:C1821)+1,"")</f>
        <v/>
      </c>
    </row>
    <row r="1823" customFormat="false" ht="15" hidden="false" customHeight="false" outlineLevel="0" collapsed="false">
      <c r="A1823" s="0" t="str">
        <f aca="false">IF(COMPRAS!K623="","",COMPRAS!K623)</f>
        <v/>
      </c>
      <c r="B1823" s="0" t="str">
        <f aca="false">IF(A1823="","",IF(MATCH(A1823,$A$2:$A$3201,0)=ROW()-1,1,0))</f>
        <v/>
      </c>
      <c r="C1823" s="0" t="str">
        <f aca="false">IF(B1823=1,MAX(C$1:C1822)+1,"")</f>
        <v/>
      </c>
    </row>
    <row r="1824" customFormat="false" ht="15" hidden="false" customHeight="false" outlineLevel="0" collapsed="false">
      <c r="A1824" s="0" t="str">
        <f aca="false">IF(COMPRAS!K624="","",COMPRAS!K624)</f>
        <v/>
      </c>
      <c r="B1824" s="0" t="str">
        <f aca="false">IF(A1824="","",IF(MATCH(A1824,$A$2:$A$3201,0)=ROW()-1,1,0))</f>
        <v/>
      </c>
      <c r="C1824" s="0" t="str">
        <f aca="false">IF(B1824=1,MAX(C$1:C1823)+1,"")</f>
        <v/>
      </c>
    </row>
    <row r="1825" customFormat="false" ht="15" hidden="false" customHeight="false" outlineLevel="0" collapsed="false">
      <c r="A1825" s="0" t="str">
        <f aca="false">IF(COMPRAS!K625="","",COMPRAS!K625)</f>
        <v/>
      </c>
      <c r="B1825" s="0" t="str">
        <f aca="false">IF(A1825="","",IF(MATCH(A1825,$A$2:$A$3201,0)=ROW()-1,1,0))</f>
        <v/>
      </c>
      <c r="C1825" s="0" t="str">
        <f aca="false">IF(B1825=1,MAX(C$1:C1824)+1,"")</f>
        <v/>
      </c>
    </row>
    <row r="1826" customFormat="false" ht="15" hidden="false" customHeight="false" outlineLevel="0" collapsed="false">
      <c r="A1826" s="0" t="str">
        <f aca="false">IF(COMPRAS!K626="","",COMPRAS!K626)</f>
        <v/>
      </c>
      <c r="B1826" s="0" t="str">
        <f aca="false">IF(A1826="","",IF(MATCH(A1826,$A$2:$A$3201,0)=ROW()-1,1,0))</f>
        <v/>
      </c>
      <c r="C1826" s="0" t="str">
        <f aca="false">IF(B1826=1,MAX(C$1:C1825)+1,"")</f>
        <v/>
      </c>
    </row>
    <row r="1827" customFormat="false" ht="15" hidden="false" customHeight="false" outlineLevel="0" collapsed="false">
      <c r="A1827" s="0" t="str">
        <f aca="false">IF(COMPRAS!K627="","",COMPRAS!K627)</f>
        <v/>
      </c>
      <c r="B1827" s="0" t="str">
        <f aca="false">IF(A1827="","",IF(MATCH(A1827,$A$2:$A$3201,0)=ROW()-1,1,0))</f>
        <v/>
      </c>
      <c r="C1827" s="0" t="str">
        <f aca="false">IF(B1827=1,MAX(C$1:C1826)+1,"")</f>
        <v/>
      </c>
    </row>
    <row r="1828" customFormat="false" ht="15" hidden="false" customHeight="false" outlineLevel="0" collapsed="false">
      <c r="A1828" s="0" t="str">
        <f aca="false">IF(COMPRAS!K628="","",COMPRAS!K628)</f>
        <v/>
      </c>
      <c r="B1828" s="0" t="str">
        <f aca="false">IF(A1828="","",IF(MATCH(A1828,$A$2:$A$3201,0)=ROW()-1,1,0))</f>
        <v/>
      </c>
      <c r="C1828" s="0" t="str">
        <f aca="false">IF(B1828=1,MAX(C$1:C1827)+1,"")</f>
        <v/>
      </c>
    </row>
    <row r="1829" customFormat="false" ht="15" hidden="false" customHeight="false" outlineLevel="0" collapsed="false">
      <c r="A1829" s="0" t="str">
        <f aca="false">IF(COMPRAS!K629="","",COMPRAS!K629)</f>
        <v/>
      </c>
      <c r="B1829" s="0" t="str">
        <f aca="false">IF(A1829="","",IF(MATCH(A1829,$A$2:$A$3201,0)=ROW()-1,1,0))</f>
        <v/>
      </c>
      <c r="C1829" s="0" t="str">
        <f aca="false">IF(B1829=1,MAX(C$1:C1828)+1,"")</f>
        <v/>
      </c>
    </row>
    <row r="1830" customFormat="false" ht="15" hidden="false" customHeight="false" outlineLevel="0" collapsed="false">
      <c r="A1830" s="0" t="str">
        <f aca="false">IF(COMPRAS!K630="","",COMPRAS!K630)</f>
        <v/>
      </c>
      <c r="B1830" s="0" t="str">
        <f aca="false">IF(A1830="","",IF(MATCH(A1830,$A$2:$A$3201,0)=ROW()-1,1,0))</f>
        <v/>
      </c>
      <c r="C1830" s="0" t="str">
        <f aca="false">IF(B1830=1,MAX(C$1:C1829)+1,"")</f>
        <v/>
      </c>
    </row>
    <row r="1831" customFormat="false" ht="15" hidden="false" customHeight="false" outlineLevel="0" collapsed="false">
      <c r="A1831" s="0" t="str">
        <f aca="false">IF(COMPRAS!K631="","",COMPRAS!K631)</f>
        <v/>
      </c>
      <c r="B1831" s="0" t="str">
        <f aca="false">IF(A1831="","",IF(MATCH(A1831,$A$2:$A$3201,0)=ROW()-1,1,0))</f>
        <v/>
      </c>
      <c r="C1831" s="0" t="str">
        <f aca="false">IF(B1831=1,MAX(C$1:C1830)+1,"")</f>
        <v/>
      </c>
    </row>
    <row r="1832" customFormat="false" ht="15" hidden="false" customHeight="false" outlineLevel="0" collapsed="false">
      <c r="A1832" s="0" t="str">
        <f aca="false">IF(COMPRAS!K632="","",COMPRAS!K632)</f>
        <v/>
      </c>
      <c r="B1832" s="0" t="str">
        <f aca="false">IF(A1832="","",IF(MATCH(A1832,$A$2:$A$3201,0)=ROW()-1,1,0))</f>
        <v/>
      </c>
      <c r="C1832" s="0" t="str">
        <f aca="false">IF(B1832=1,MAX(C$1:C1831)+1,"")</f>
        <v/>
      </c>
    </row>
    <row r="1833" customFormat="false" ht="15" hidden="false" customHeight="false" outlineLevel="0" collapsed="false">
      <c r="A1833" s="0" t="str">
        <f aca="false">IF(COMPRAS!K633="","",COMPRAS!K633)</f>
        <v/>
      </c>
      <c r="B1833" s="0" t="str">
        <f aca="false">IF(A1833="","",IF(MATCH(A1833,$A$2:$A$3201,0)=ROW()-1,1,0))</f>
        <v/>
      </c>
      <c r="C1833" s="0" t="str">
        <f aca="false">IF(B1833=1,MAX(C$1:C1832)+1,"")</f>
        <v/>
      </c>
    </row>
    <row r="1834" customFormat="false" ht="15" hidden="false" customHeight="false" outlineLevel="0" collapsed="false">
      <c r="A1834" s="0" t="str">
        <f aca="false">IF(COMPRAS!K634="","",COMPRAS!K634)</f>
        <v/>
      </c>
      <c r="B1834" s="0" t="str">
        <f aca="false">IF(A1834="","",IF(MATCH(A1834,$A$2:$A$3201,0)=ROW()-1,1,0))</f>
        <v/>
      </c>
      <c r="C1834" s="0" t="str">
        <f aca="false">IF(B1834=1,MAX(C$1:C1833)+1,"")</f>
        <v/>
      </c>
    </row>
    <row r="1835" customFormat="false" ht="15" hidden="false" customHeight="false" outlineLevel="0" collapsed="false">
      <c r="A1835" s="0" t="str">
        <f aca="false">IF(COMPRAS!K635="","",COMPRAS!K635)</f>
        <v/>
      </c>
      <c r="B1835" s="0" t="str">
        <f aca="false">IF(A1835="","",IF(MATCH(A1835,$A$2:$A$3201,0)=ROW()-1,1,0))</f>
        <v/>
      </c>
      <c r="C1835" s="0" t="str">
        <f aca="false">IF(B1835=1,MAX(C$1:C1834)+1,"")</f>
        <v/>
      </c>
    </row>
    <row r="1836" customFormat="false" ht="15" hidden="false" customHeight="false" outlineLevel="0" collapsed="false">
      <c r="A1836" s="0" t="str">
        <f aca="false">IF(COMPRAS!K636="","",COMPRAS!K636)</f>
        <v/>
      </c>
      <c r="B1836" s="0" t="str">
        <f aca="false">IF(A1836="","",IF(MATCH(A1836,$A$2:$A$3201,0)=ROW()-1,1,0))</f>
        <v/>
      </c>
      <c r="C1836" s="0" t="str">
        <f aca="false">IF(B1836=1,MAX(C$1:C1835)+1,"")</f>
        <v/>
      </c>
    </row>
    <row r="1837" customFormat="false" ht="15" hidden="false" customHeight="false" outlineLevel="0" collapsed="false">
      <c r="A1837" s="0" t="str">
        <f aca="false">IF(COMPRAS!K637="","",COMPRAS!K637)</f>
        <v/>
      </c>
      <c r="B1837" s="0" t="str">
        <f aca="false">IF(A1837="","",IF(MATCH(A1837,$A$2:$A$3201,0)=ROW()-1,1,0))</f>
        <v/>
      </c>
      <c r="C1837" s="0" t="str">
        <f aca="false">IF(B1837=1,MAX(C$1:C1836)+1,"")</f>
        <v/>
      </c>
    </row>
    <row r="1838" customFormat="false" ht="15" hidden="false" customHeight="false" outlineLevel="0" collapsed="false">
      <c r="A1838" s="0" t="str">
        <f aca="false">IF(COMPRAS!K638="","",COMPRAS!K638)</f>
        <v/>
      </c>
      <c r="B1838" s="0" t="str">
        <f aca="false">IF(A1838="","",IF(MATCH(A1838,$A$2:$A$3201,0)=ROW()-1,1,0))</f>
        <v/>
      </c>
      <c r="C1838" s="0" t="str">
        <f aca="false">IF(B1838=1,MAX(C$1:C1837)+1,"")</f>
        <v/>
      </c>
    </row>
    <row r="1839" customFormat="false" ht="15" hidden="false" customHeight="false" outlineLevel="0" collapsed="false">
      <c r="A1839" s="0" t="str">
        <f aca="false">IF(COMPRAS!K639="","",COMPRAS!K639)</f>
        <v/>
      </c>
      <c r="B1839" s="0" t="str">
        <f aca="false">IF(A1839="","",IF(MATCH(A1839,$A$2:$A$3201,0)=ROW()-1,1,0))</f>
        <v/>
      </c>
      <c r="C1839" s="0" t="str">
        <f aca="false">IF(B1839=1,MAX(C$1:C1838)+1,"")</f>
        <v/>
      </c>
    </row>
    <row r="1840" customFormat="false" ht="15" hidden="false" customHeight="false" outlineLevel="0" collapsed="false">
      <c r="A1840" s="0" t="str">
        <f aca="false">IF(COMPRAS!K640="","",COMPRAS!K640)</f>
        <v/>
      </c>
      <c r="B1840" s="0" t="str">
        <f aca="false">IF(A1840="","",IF(MATCH(A1840,$A$2:$A$3201,0)=ROW()-1,1,0))</f>
        <v/>
      </c>
      <c r="C1840" s="0" t="str">
        <f aca="false">IF(B1840=1,MAX(C$1:C1839)+1,"")</f>
        <v/>
      </c>
    </row>
    <row r="1841" customFormat="false" ht="15" hidden="false" customHeight="false" outlineLevel="0" collapsed="false">
      <c r="A1841" s="0" t="str">
        <f aca="false">IF(COMPRAS!K641="","",COMPRAS!K641)</f>
        <v/>
      </c>
      <c r="B1841" s="0" t="str">
        <f aca="false">IF(A1841="","",IF(MATCH(A1841,$A$2:$A$3201,0)=ROW()-1,1,0))</f>
        <v/>
      </c>
      <c r="C1841" s="0" t="str">
        <f aca="false">IF(B1841=1,MAX(C$1:C1840)+1,"")</f>
        <v/>
      </c>
    </row>
    <row r="1842" customFormat="false" ht="15" hidden="false" customHeight="false" outlineLevel="0" collapsed="false">
      <c r="A1842" s="0" t="str">
        <f aca="false">IF(COMPRAS!K642="","",COMPRAS!K642)</f>
        <v/>
      </c>
      <c r="B1842" s="0" t="str">
        <f aca="false">IF(A1842="","",IF(MATCH(A1842,$A$2:$A$3201,0)=ROW()-1,1,0))</f>
        <v/>
      </c>
      <c r="C1842" s="0" t="str">
        <f aca="false">IF(B1842=1,MAX(C$1:C1841)+1,"")</f>
        <v/>
      </c>
    </row>
    <row r="1843" customFormat="false" ht="15" hidden="false" customHeight="false" outlineLevel="0" collapsed="false">
      <c r="A1843" s="0" t="str">
        <f aca="false">IF(COMPRAS!K643="","",COMPRAS!K643)</f>
        <v/>
      </c>
      <c r="B1843" s="0" t="str">
        <f aca="false">IF(A1843="","",IF(MATCH(A1843,$A$2:$A$3201,0)=ROW()-1,1,0))</f>
        <v/>
      </c>
      <c r="C1843" s="0" t="str">
        <f aca="false">IF(B1843=1,MAX(C$1:C1842)+1,"")</f>
        <v/>
      </c>
    </row>
    <row r="1844" customFormat="false" ht="15" hidden="false" customHeight="false" outlineLevel="0" collapsed="false">
      <c r="A1844" s="0" t="str">
        <f aca="false">IF(COMPRAS!K644="","",COMPRAS!K644)</f>
        <v/>
      </c>
      <c r="B1844" s="0" t="str">
        <f aca="false">IF(A1844="","",IF(MATCH(A1844,$A$2:$A$3201,0)=ROW()-1,1,0))</f>
        <v/>
      </c>
      <c r="C1844" s="0" t="str">
        <f aca="false">IF(B1844=1,MAX(C$1:C1843)+1,"")</f>
        <v/>
      </c>
    </row>
    <row r="1845" customFormat="false" ht="15" hidden="false" customHeight="false" outlineLevel="0" collapsed="false">
      <c r="A1845" s="0" t="str">
        <f aca="false">IF(COMPRAS!K645="","",COMPRAS!K645)</f>
        <v/>
      </c>
      <c r="B1845" s="0" t="str">
        <f aca="false">IF(A1845="","",IF(MATCH(A1845,$A$2:$A$3201,0)=ROW()-1,1,0))</f>
        <v/>
      </c>
      <c r="C1845" s="0" t="str">
        <f aca="false">IF(B1845=1,MAX(C$1:C1844)+1,"")</f>
        <v/>
      </c>
    </row>
    <row r="1846" customFormat="false" ht="15" hidden="false" customHeight="false" outlineLevel="0" collapsed="false">
      <c r="A1846" s="0" t="str">
        <f aca="false">IF(COMPRAS!K646="","",COMPRAS!K646)</f>
        <v/>
      </c>
      <c r="B1846" s="0" t="str">
        <f aca="false">IF(A1846="","",IF(MATCH(A1846,$A$2:$A$3201,0)=ROW()-1,1,0))</f>
        <v/>
      </c>
      <c r="C1846" s="0" t="str">
        <f aca="false">IF(B1846=1,MAX(C$1:C1845)+1,"")</f>
        <v/>
      </c>
    </row>
    <row r="1847" customFormat="false" ht="15" hidden="false" customHeight="false" outlineLevel="0" collapsed="false">
      <c r="A1847" s="0" t="str">
        <f aca="false">IF(COMPRAS!K647="","",COMPRAS!K647)</f>
        <v/>
      </c>
      <c r="B1847" s="0" t="str">
        <f aca="false">IF(A1847="","",IF(MATCH(A1847,$A$2:$A$3201,0)=ROW()-1,1,0))</f>
        <v/>
      </c>
      <c r="C1847" s="0" t="str">
        <f aca="false">IF(B1847=1,MAX(C$1:C1846)+1,"")</f>
        <v/>
      </c>
    </row>
    <row r="1848" customFormat="false" ht="15" hidden="false" customHeight="false" outlineLevel="0" collapsed="false">
      <c r="A1848" s="0" t="str">
        <f aca="false">IF(COMPRAS!K648="","",COMPRAS!K648)</f>
        <v/>
      </c>
      <c r="B1848" s="0" t="str">
        <f aca="false">IF(A1848="","",IF(MATCH(A1848,$A$2:$A$3201,0)=ROW()-1,1,0))</f>
        <v/>
      </c>
      <c r="C1848" s="0" t="str">
        <f aca="false">IF(B1848=1,MAX(C$1:C1847)+1,"")</f>
        <v/>
      </c>
    </row>
    <row r="1849" customFormat="false" ht="15" hidden="false" customHeight="false" outlineLevel="0" collapsed="false">
      <c r="A1849" s="0" t="str">
        <f aca="false">IF(COMPRAS!K649="","",COMPRAS!K649)</f>
        <v/>
      </c>
      <c r="B1849" s="0" t="str">
        <f aca="false">IF(A1849="","",IF(MATCH(A1849,$A$2:$A$3201,0)=ROW()-1,1,0))</f>
        <v/>
      </c>
      <c r="C1849" s="0" t="str">
        <f aca="false">IF(B1849=1,MAX(C$1:C1848)+1,"")</f>
        <v/>
      </c>
    </row>
    <row r="1850" customFormat="false" ht="15" hidden="false" customHeight="false" outlineLevel="0" collapsed="false">
      <c r="A1850" s="0" t="str">
        <f aca="false">IF(COMPRAS!K650="","",COMPRAS!K650)</f>
        <v/>
      </c>
      <c r="B1850" s="0" t="str">
        <f aca="false">IF(A1850="","",IF(MATCH(A1850,$A$2:$A$3201,0)=ROW()-1,1,0))</f>
        <v/>
      </c>
      <c r="C1850" s="0" t="str">
        <f aca="false">IF(B1850=1,MAX(C$1:C1849)+1,"")</f>
        <v/>
      </c>
    </row>
    <row r="1851" customFormat="false" ht="15" hidden="false" customHeight="false" outlineLevel="0" collapsed="false">
      <c r="A1851" s="0" t="str">
        <f aca="false">IF(COMPRAS!K651="","",COMPRAS!K651)</f>
        <v/>
      </c>
      <c r="B1851" s="0" t="str">
        <f aca="false">IF(A1851="","",IF(MATCH(A1851,$A$2:$A$3201,0)=ROW()-1,1,0))</f>
        <v/>
      </c>
      <c r="C1851" s="0" t="str">
        <f aca="false">IF(B1851=1,MAX(C$1:C1850)+1,"")</f>
        <v/>
      </c>
    </row>
    <row r="1852" customFormat="false" ht="15" hidden="false" customHeight="false" outlineLevel="0" collapsed="false">
      <c r="A1852" s="0" t="str">
        <f aca="false">IF(COMPRAS!K652="","",COMPRAS!K652)</f>
        <v/>
      </c>
      <c r="B1852" s="0" t="str">
        <f aca="false">IF(A1852="","",IF(MATCH(A1852,$A$2:$A$3201,0)=ROW()-1,1,0))</f>
        <v/>
      </c>
      <c r="C1852" s="0" t="str">
        <f aca="false">IF(B1852=1,MAX(C$1:C1851)+1,"")</f>
        <v/>
      </c>
    </row>
    <row r="1853" customFormat="false" ht="15" hidden="false" customHeight="false" outlineLevel="0" collapsed="false">
      <c r="A1853" s="0" t="str">
        <f aca="false">IF(COMPRAS!K653="","",COMPRAS!K653)</f>
        <v/>
      </c>
      <c r="B1853" s="0" t="str">
        <f aca="false">IF(A1853="","",IF(MATCH(A1853,$A$2:$A$3201,0)=ROW()-1,1,0))</f>
        <v/>
      </c>
      <c r="C1853" s="0" t="str">
        <f aca="false">IF(B1853=1,MAX(C$1:C1852)+1,"")</f>
        <v/>
      </c>
    </row>
    <row r="1854" customFormat="false" ht="15" hidden="false" customHeight="false" outlineLevel="0" collapsed="false">
      <c r="A1854" s="0" t="str">
        <f aca="false">IF(COMPRAS!K654="","",COMPRAS!K654)</f>
        <v/>
      </c>
      <c r="B1854" s="0" t="str">
        <f aca="false">IF(A1854="","",IF(MATCH(A1854,$A$2:$A$3201,0)=ROW()-1,1,0))</f>
        <v/>
      </c>
      <c r="C1854" s="0" t="str">
        <f aca="false">IF(B1854=1,MAX(C$1:C1853)+1,"")</f>
        <v/>
      </c>
    </row>
    <row r="1855" customFormat="false" ht="15" hidden="false" customHeight="false" outlineLevel="0" collapsed="false">
      <c r="A1855" s="0" t="str">
        <f aca="false">IF(COMPRAS!K655="","",COMPRAS!K655)</f>
        <v/>
      </c>
      <c r="B1855" s="0" t="str">
        <f aca="false">IF(A1855="","",IF(MATCH(A1855,$A$2:$A$3201,0)=ROW()-1,1,0))</f>
        <v/>
      </c>
      <c r="C1855" s="0" t="str">
        <f aca="false">IF(B1855=1,MAX(C$1:C1854)+1,"")</f>
        <v/>
      </c>
    </row>
    <row r="1856" customFormat="false" ht="15" hidden="false" customHeight="false" outlineLevel="0" collapsed="false">
      <c r="A1856" s="0" t="str">
        <f aca="false">IF(COMPRAS!K656="","",COMPRAS!K656)</f>
        <v/>
      </c>
      <c r="B1856" s="0" t="str">
        <f aca="false">IF(A1856="","",IF(MATCH(A1856,$A$2:$A$3201,0)=ROW()-1,1,0))</f>
        <v/>
      </c>
      <c r="C1856" s="0" t="str">
        <f aca="false">IF(B1856=1,MAX(C$1:C1855)+1,"")</f>
        <v/>
      </c>
    </row>
    <row r="1857" customFormat="false" ht="15" hidden="false" customHeight="false" outlineLevel="0" collapsed="false">
      <c r="A1857" s="0" t="str">
        <f aca="false">IF(COMPRAS!K657="","",COMPRAS!K657)</f>
        <v/>
      </c>
      <c r="B1857" s="0" t="str">
        <f aca="false">IF(A1857="","",IF(MATCH(A1857,$A$2:$A$3201,0)=ROW()-1,1,0))</f>
        <v/>
      </c>
      <c r="C1857" s="0" t="str">
        <f aca="false">IF(B1857=1,MAX(C$1:C1856)+1,"")</f>
        <v/>
      </c>
    </row>
    <row r="1858" customFormat="false" ht="15" hidden="false" customHeight="false" outlineLevel="0" collapsed="false">
      <c r="A1858" s="0" t="str">
        <f aca="false">IF(COMPRAS!K658="","",COMPRAS!K658)</f>
        <v/>
      </c>
      <c r="B1858" s="0" t="str">
        <f aca="false">IF(A1858="","",IF(MATCH(A1858,$A$2:$A$3201,0)=ROW()-1,1,0))</f>
        <v/>
      </c>
      <c r="C1858" s="0" t="str">
        <f aca="false">IF(B1858=1,MAX(C$1:C1857)+1,"")</f>
        <v/>
      </c>
    </row>
    <row r="1859" customFormat="false" ht="15" hidden="false" customHeight="false" outlineLevel="0" collapsed="false">
      <c r="A1859" s="0" t="str">
        <f aca="false">IF(COMPRAS!K659="","",COMPRAS!K659)</f>
        <v/>
      </c>
      <c r="B1859" s="0" t="str">
        <f aca="false">IF(A1859="","",IF(MATCH(A1859,$A$2:$A$3201,0)=ROW()-1,1,0))</f>
        <v/>
      </c>
      <c r="C1859" s="0" t="str">
        <f aca="false">IF(B1859=1,MAX(C$1:C1858)+1,"")</f>
        <v/>
      </c>
    </row>
    <row r="1860" customFormat="false" ht="15" hidden="false" customHeight="false" outlineLevel="0" collapsed="false">
      <c r="A1860" s="0" t="str">
        <f aca="false">IF(COMPRAS!K660="","",COMPRAS!K660)</f>
        <v/>
      </c>
      <c r="B1860" s="0" t="str">
        <f aca="false">IF(A1860="","",IF(MATCH(A1860,$A$2:$A$3201,0)=ROW()-1,1,0))</f>
        <v/>
      </c>
      <c r="C1860" s="0" t="str">
        <f aca="false">IF(B1860=1,MAX(C$1:C1859)+1,"")</f>
        <v/>
      </c>
    </row>
    <row r="1861" customFormat="false" ht="15" hidden="false" customHeight="false" outlineLevel="0" collapsed="false">
      <c r="A1861" s="0" t="str">
        <f aca="false">IF(COMPRAS!K661="","",COMPRAS!K661)</f>
        <v/>
      </c>
      <c r="B1861" s="0" t="str">
        <f aca="false">IF(A1861="","",IF(MATCH(A1861,$A$2:$A$3201,0)=ROW()-1,1,0))</f>
        <v/>
      </c>
      <c r="C1861" s="0" t="str">
        <f aca="false">IF(B1861=1,MAX(C$1:C1860)+1,"")</f>
        <v/>
      </c>
    </row>
    <row r="1862" customFormat="false" ht="15" hidden="false" customHeight="false" outlineLevel="0" collapsed="false">
      <c r="A1862" s="0" t="str">
        <f aca="false">IF(COMPRAS!K662="","",COMPRAS!K662)</f>
        <v/>
      </c>
      <c r="B1862" s="0" t="str">
        <f aca="false">IF(A1862="","",IF(MATCH(A1862,$A$2:$A$3201,0)=ROW()-1,1,0))</f>
        <v/>
      </c>
      <c r="C1862" s="0" t="str">
        <f aca="false">IF(B1862=1,MAX(C$1:C1861)+1,"")</f>
        <v/>
      </c>
    </row>
    <row r="1863" customFormat="false" ht="15" hidden="false" customHeight="false" outlineLevel="0" collapsed="false">
      <c r="A1863" s="0" t="str">
        <f aca="false">IF(COMPRAS!K663="","",COMPRAS!K663)</f>
        <v/>
      </c>
      <c r="B1863" s="0" t="str">
        <f aca="false">IF(A1863="","",IF(MATCH(A1863,$A$2:$A$3201,0)=ROW()-1,1,0))</f>
        <v/>
      </c>
      <c r="C1863" s="0" t="str">
        <f aca="false">IF(B1863=1,MAX(C$1:C1862)+1,"")</f>
        <v/>
      </c>
    </row>
    <row r="1864" customFormat="false" ht="15" hidden="false" customHeight="false" outlineLevel="0" collapsed="false">
      <c r="A1864" s="0" t="str">
        <f aca="false">IF(COMPRAS!K664="","",COMPRAS!K664)</f>
        <v/>
      </c>
      <c r="B1864" s="0" t="str">
        <f aca="false">IF(A1864="","",IF(MATCH(A1864,$A$2:$A$3201,0)=ROW()-1,1,0))</f>
        <v/>
      </c>
      <c r="C1864" s="0" t="str">
        <f aca="false">IF(B1864=1,MAX(C$1:C1863)+1,"")</f>
        <v/>
      </c>
    </row>
    <row r="1865" customFormat="false" ht="15" hidden="false" customHeight="false" outlineLevel="0" collapsed="false">
      <c r="A1865" s="0" t="str">
        <f aca="false">IF(COMPRAS!K665="","",COMPRAS!K665)</f>
        <v/>
      </c>
      <c r="B1865" s="0" t="str">
        <f aca="false">IF(A1865="","",IF(MATCH(A1865,$A$2:$A$3201,0)=ROW()-1,1,0))</f>
        <v/>
      </c>
      <c r="C1865" s="0" t="str">
        <f aca="false">IF(B1865=1,MAX(C$1:C1864)+1,"")</f>
        <v/>
      </c>
    </row>
    <row r="1866" customFormat="false" ht="15" hidden="false" customHeight="false" outlineLevel="0" collapsed="false">
      <c r="A1866" s="0" t="str">
        <f aca="false">IF(COMPRAS!K666="","",COMPRAS!K666)</f>
        <v/>
      </c>
      <c r="B1866" s="0" t="str">
        <f aca="false">IF(A1866="","",IF(MATCH(A1866,$A$2:$A$3201,0)=ROW()-1,1,0))</f>
        <v/>
      </c>
      <c r="C1866" s="0" t="str">
        <f aca="false">IF(B1866=1,MAX(C$1:C1865)+1,"")</f>
        <v/>
      </c>
    </row>
    <row r="1867" customFormat="false" ht="15" hidden="false" customHeight="false" outlineLevel="0" collapsed="false">
      <c r="A1867" s="0" t="str">
        <f aca="false">IF(COMPRAS!K667="","",COMPRAS!K667)</f>
        <v/>
      </c>
      <c r="B1867" s="0" t="str">
        <f aca="false">IF(A1867="","",IF(MATCH(A1867,$A$2:$A$3201,0)=ROW()-1,1,0))</f>
        <v/>
      </c>
      <c r="C1867" s="0" t="str">
        <f aca="false">IF(B1867=1,MAX(C$1:C1866)+1,"")</f>
        <v/>
      </c>
    </row>
    <row r="1868" customFormat="false" ht="15" hidden="false" customHeight="false" outlineLevel="0" collapsed="false">
      <c r="A1868" s="0" t="str">
        <f aca="false">IF(COMPRAS!K668="","",COMPRAS!K668)</f>
        <v/>
      </c>
      <c r="B1868" s="0" t="str">
        <f aca="false">IF(A1868="","",IF(MATCH(A1868,$A$2:$A$3201,0)=ROW()-1,1,0))</f>
        <v/>
      </c>
      <c r="C1868" s="0" t="str">
        <f aca="false">IF(B1868=1,MAX(C$1:C1867)+1,"")</f>
        <v/>
      </c>
    </row>
    <row r="1869" customFormat="false" ht="15" hidden="false" customHeight="false" outlineLevel="0" collapsed="false">
      <c r="A1869" s="0" t="str">
        <f aca="false">IF(COMPRAS!K669="","",COMPRAS!K669)</f>
        <v/>
      </c>
      <c r="B1869" s="0" t="str">
        <f aca="false">IF(A1869="","",IF(MATCH(A1869,$A$2:$A$3201,0)=ROW()-1,1,0))</f>
        <v/>
      </c>
      <c r="C1869" s="0" t="str">
        <f aca="false">IF(B1869=1,MAX(C$1:C1868)+1,"")</f>
        <v/>
      </c>
    </row>
    <row r="1870" customFormat="false" ht="15" hidden="false" customHeight="false" outlineLevel="0" collapsed="false">
      <c r="A1870" s="0" t="str">
        <f aca="false">IF(COMPRAS!K670="","",COMPRAS!K670)</f>
        <v/>
      </c>
      <c r="B1870" s="0" t="str">
        <f aca="false">IF(A1870="","",IF(MATCH(A1870,$A$2:$A$3201,0)=ROW()-1,1,0))</f>
        <v/>
      </c>
      <c r="C1870" s="0" t="str">
        <f aca="false">IF(B1870=1,MAX(C$1:C1869)+1,"")</f>
        <v/>
      </c>
    </row>
    <row r="1871" customFormat="false" ht="15" hidden="false" customHeight="false" outlineLevel="0" collapsed="false">
      <c r="A1871" s="0" t="str">
        <f aca="false">IF(COMPRAS!K671="","",COMPRAS!K671)</f>
        <v/>
      </c>
      <c r="B1871" s="0" t="str">
        <f aca="false">IF(A1871="","",IF(MATCH(A1871,$A$2:$A$3201,0)=ROW()-1,1,0))</f>
        <v/>
      </c>
      <c r="C1871" s="0" t="str">
        <f aca="false">IF(B1871=1,MAX(C$1:C1870)+1,"")</f>
        <v/>
      </c>
    </row>
    <row r="1872" customFormat="false" ht="15" hidden="false" customHeight="false" outlineLevel="0" collapsed="false">
      <c r="A1872" s="0" t="str">
        <f aca="false">IF(COMPRAS!K672="","",COMPRAS!K672)</f>
        <v/>
      </c>
      <c r="B1872" s="0" t="str">
        <f aca="false">IF(A1872="","",IF(MATCH(A1872,$A$2:$A$3201,0)=ROW()-1,1,0))</f>
        <v/>
      </c>
      <c r="C1872" s="0" t="str">
        <f aca="false">IF(B1872=1,MAX(C$1:C1871)+1,"")</f>
        <v/>
      </c>
    </row>
    <row r="1873" customFormat="false" ht="15" hidden="false" customHeight="false" outlineLevel="0" collapsed="false">
      <c r="A1873" s="0" t="str">
        <f aca="false">IF(COMPRAS!K673="","",COMPRAS!K673)</f>
        <v/>
      </c>
      <c r="B1873" s="0" t="str">
        <f aca="false">IF(A1873="","",IF(MATCH(A1873,$A$2:$A$3201,0)=ROW()-1,1,0))</f>
        <v/>
      </c>
      <c r="C1873" s="0" t="str">
        <f aca="false">IF(B1873=1,MAX(C$1:C1872)+1,"")</f>
        <v/>
      </c>
    </row>
    <row r="1874" customFormat="false" ht="15" hidden="false" customHeight="false" outlineLevel="0" collapsed="false">
      <c r="A1874" s="0" t="str">
        <f aca="false">IF(COMPRAS!K674="","",COMPRAS!K674)</f>
        <v/>
      </c>
      <c r="B1874" s="0" t="str">
        <f aca="false">IF(A1874="","",IF(MATCH(A1874,$A$2:$A$3201,0)=ROW()-1,1,0))</f>
        <v/>
      </c>
      <c r="C1874" s="0" t="str">
        <f aca="false">IF(B1874=1,MAX(C$1:C1873)+1,"")</f>
        <v/>
      </c>
    </row>
    <row r="1875" customFormat="false" ht="15" hidden="false" customHeight="false" outlineLevel="0" collapsed="false">
      <c r="A1875" s="0" t="str">
        <f aca="false">IF(COMPRAS!K675="","",COMPRAS!K675)</f>
        <v/>
      </c>
      <c r="B1875" s="0" t="str">
        <f aca="false">IF(A1875="","",IF(MATCH(A1875,$A$2:$A$3201,0)=ROW()-1,1,0))</f>
        <v/>
      </c>
      <c r="C1875" s="0" t="str">
        <f aca="false">IF(B1875=1,MAX(C$1:C1874)+1,"")</f>
        <v/>
      </c>
    </row>
    <row r="1876" customFormat="false" ht="15" hidden="false" customHeight="false" outlineLevel="0" collapsed="false">
      <c r="A1876" s="0" t="str">
        <f aca="false">IF(COMPRAS!K676="","",COMPRAS!K676)</f>
        <v/>
      </c>
      <c r="B1876" s="0" t="str">
        <f aca="false">IF(A1876="","",IF(MATCH(A1876,$A$2:$A$3201,0)=ROW()-1,1,0))</f>
        <v/>
      </c>
      <c r="C1876" s="0" t="str">
        <f aca="false">IF(B1876=1,MAX(C$1:C1875)+1,"")</f>
        <v/>
      </c>
    </row>
    <row r="1877" customFormat="false" ht="15" hidden="false" customHeight="false" outlineLevel="0" collapsed="false">
      <c r="A1877" s="0" t="str">
        <f aca="false">IF(COMPRAS!K677="","",COMPRAS!K677)</f>
        <v/>
      </c>
      <c r="B1877" s="0" t="str">
        <f aca="false">IF(A1877="","",IF(MATCH(A1877,$A$2:$A$3201,0)=ROW()-1,1,0))</f>
        <v/>
      </c>
      <c r="C1877" s="0" t="str">
        <f aca="false">IF(B1877=1,MAX(C$1:C1876)+1,"")</f>
        <v/>
      </c>
    </row>
    <row r="1878" customFormat="false" ht="15" hidden="false" customHeight="false" outlineLevel="0" collapsed="false">
      <c r="A1878" s="0" t="str">
        <f aca="false">IF(COMPRAS!K678="","",COMPRAS!K678)</f>
        <v/>
      </c>
      <c r="B1878" s="0" t="str">
        <f aca="false">IF(A1878="","",IF(MATCH(A1878,$A$2:$A$3201,0)=ROW()-1,1,0))</f>
        <v/>
      </c>
      <c r="C1878" s="0" t="str">
        <f aca="false">IF(B1878=1,MAX(C$1:C1877)+1,"")</f>
        <v/>
      </c>
    </row>
    <row r="1879" customFormat="false" ht="15" hidden="false" customHeight="false" outlineLevel="0" collapsed="false">
      <c r="A1879" s="0" t="str">
        <f aca="false">IF(COMPRAS!K679="","",COMPRAS!K679)</f>
        <v/>
      </c>
      <c r="B1879" s="0" t="str">
        <f aca="false">IF(A1879="","",IF(MATCH(A1879,$A$2:$A$3201,0)=ROW()-1,1,0))</f>
        <v/>
      </c>
      <c r="C1879" s="0" t="str">
        <f aca="false">IF(B1879=1,MAX(C$1:C1878)+1,"")</f>
        <v/>
      </c>
    </row>
    <row r="1880" customFormat="false" ht="15" hidden="false" customHeight="false" outlineLevel="0" collapsed="false">
      <c r="A1880" s="0" t="str">
        <f aca="false">IF(COMPRAS!K680="","",COMPRAS!K680)</f>
        <v/>
      </c>
      <c r="B1880" s="0" t="str">
        <f aca="false">IF(A1880="","",IF(MATCH(A1880,$A$2:$A$3201,0)=ROW()-1,1,0))</f>
        <v/>
      </c>
      <c r="C1880" s="0" t="str">
        <f aca="false">IF(B1880=1,MAX(C$1:C1879)+1,"")</f>
        <v/>
      </c>
    </row>
    <row r="1881" customFormat="false" ht="15" hidden="false" customHeight="false" outlineLevel="0" collapsed="false">
      <c r="A1881" s="0" t="str">
        <f aca="false">IF(COMPRAS!K681="","",COMPRAS!K681)</f>
        <v/>
      </c>
      <c r="B1881" s="0" t="str">
        <f aca="false">IF(A1881="","",IF(MATCH(A1881,$A$2:$A$3201,0)=ROW()-1,1,0))</f>
        <v/>
      </c>
      <c r="C1881" s="0" t="str">
        <f aca="false">IF(B1881=1,MAX(C$1:C1880)+1,"")</f>
        <v/>
      </c>
    </row>
    <row r="1882" customFormat="false" ht="15" hidden="false" customHeight="false" outlineLevel="0" collapsed="false">
      <c r="A1882" s="0" t="str">
        <f aca="false">IF(COMPRAS!K682="","",COMPRAS!K682)</f>
        <v/>
      </c>
      <c r="B1882" s="0" t="str">
        <f aca="false">IF(A1882="","",IF(MATCH(A1882,$A$2:$A$3201,0)=ROW()-1,1,0))</f>
        <v/>
      </c>
      <c r="C1882" s="0" t="str">
        <f aca="false">IF(B1882=1,MAX(C$1:C1881)+1,"")</f>
        <v/>
      </c>
    </row>
    <row r="1883" customFormat="false" ht="15" hidden="false" customHeight="false" outlineLevel="0" collapsed="false">
      <c r="A1883" s="0" t="str">
        <f aca="false">IF(COMPRAS!K683="","",COMPRAS!K683)</f>
        <v/>
      </c>
      <c r="B1883" s="0" t="str">
        <f aca="false">IF(A1883="","",IF(MATCH(A1883,$A$2:$A$3201,0)=ROW()-1,1,0))</f>
        <v/>
      </c>
      <c r="C1883" s="0" t="str">
        <f aca="false">IF(B1883=1,MAX(C$1:C1882)+1,"")</f>
        <v/>
      </c>
    </row>
    <row r="1884" customFormat="false" ht="15" hidden="false" customHeight="false" outlineLevel="0" collapsed="false">
      <c r="A1884" s="0" t="str">
        <f aca="false">IF(COMPRAS!K684="","",COMPRAS!K684)</f>
        <v/>
      </c>
      <c r="B1884" s="0" t="str">
        <f aca="false">IF(A1884="","",IF(MATCH(A1884,$A$2:$A$3201,0)=ROW()-1,1,0))</f>
        <v/>
      </c>
      <c r="C1884" s="0" t="str">
        <f aca="false">IF(B1884=1,MAX(C$1:C1883)+1,"")</f>
        <v/>
      </c>
    </row>
    <row r="1885" customFormat="false" ht="15" hidden="false" customHeight="false" outlineLevel="0" collapsed="false">
      <c r="A1885" s="0" t="str">
        <f aca="false">IF(COMPRAS!K685="","",COMPRAS!K685)</f>
        <v/>
      </c>
      <c r="B1885" s="0" t="str">
        <f aca="false">IF(A1885="","",IF(MATCH(A1885,$A$2:$A$3201,0)=ROW()-1,1,0))</f>
        <v/>
      </c>
      <c r="C1885" s="0" t="str">
        <f aca="false">IF(B1885=1,MAX(C$1:C1884)+1,"")</f>
        <v/>
      </c>
    </row>
    <row r="1886" customFormat="false" ht="15" hidden="false" customHeight="false" outlineLevel="0" collapsed="false">
      <c r="A1886" s="0" t="str">
        <f aca="false">IF(COMPRAS!K686="","",COMPRAS!K686)</f>
        <v/>
      </c>
      <c r="B1886" s="0" t="str">
        <f aca="false">IF(A1886="","",IF(MATCH(A1886,$A$2:$A$3201,0)=ROW()-1,1,0))</f>
        <v/>
      </c>
      <c r="C1886" s="0" t="str">
        <f aca="false">IF(B1886=1,MAX(C$1:C1885)+1,"")</f>
        <v/>
      </c>
    </row>
    <row r="1887" customFormat="false" ht="15" hidden="false" customHeight="false" outlineLevel="0" collapsed="false">
      <c r="A1887" s="0" t="str">
        <f aca="false">IF(COMPRAS!K687="","",COMPRAS!K687)</f>
        <v/>
      </c>
      <c r="B1887" s="0" t="str">
        <f aca="false">IF(A1887="","",IF(MATCH(A1887,$A$2:$A$3201,0)=ROW()-1,1,0))</f>
        <v/>
      </c>
      <c r="C1887" s="0" t="str">
        <f aca="false">IF(B1887=1,MAX(C$1:C1886)+1,"")</f>
        <v/>
      </c>
    </row>
    <row r="1888" customFormat="false" ht="15" hidden="false" customHeight="false" outlineLevel="0" collapsed="false">
      <c r="A1888" s="0" t="str">
        <f aca="false">IF(COMPRAS!K688="","",COMPRAS!K688)</f>
        <v/>
      </c>
      <c r="B1888" s="0" t="str">
        <f aca="false">IF(A1888="","",IF(MATCH(A1888,$A$2:$A$3201,0)=ROW()-1,1,0))</f>
        <v/>
      </c>
      <c r="C1888" s="0" t="str">
        <f aca="false">IF(B1888=1,MAX(C$1:C1887)+1,"")</f>
        <v/>
      </c>
    </row>
    <row r="1889" customFormat="false" ht="15" hidden="false" customHeight="false" outlineLevel="0" collapsed="false">
      <c r="A1889" s="0" t="str">
        <f aca="false">IF(COMPRAS!K689="","",COMPRAS!K689)</f>
        <v/>
      </c>
      <c r="B1889" s="0" t="str">
        <f aca="false">IF(A1889="","",IF(MATCH(A1889,$A$2:$A$3201,0)=ROW()-1,1,0))</f>
        <v/>
      </c>
      <c r="C1889" s="0" t="str">
        <f aca="false">IF(B1889=1,MAX(C$1:C1888)+1,"")</f>
        <v/>
      </c>
    </row>
    <row r="1890" customFormat="false" ht="15" hidden="false" customHeight="false" outlineLevel="0" collapsed="false">
      <c r="A1890" s="0" t="str">
        <f aca="false">IF(COMPRAS!K690="","",COMPRAS!K690)</f>
        <v/>
      </c>
      <c r="B1890" s="0" t="str">
        <f aca="false">IF(A1890="","",IF(MATCH(A1890,$A$2:$A$3201,0)=ROW()-1,1,0))</f>
        <v/>
      </c>
      <c r="C1890" s="0" t="str">
        <f aca="false">IF(B1890=1,MAX(C$1:C1889)+1,"")</f>
        <v/>
      </c>
    </row>
    <row r="1891" customFormat="false" ht="15" hidden="false" customHeight="false" outlineLevel="0" collapsed="false">
      <c r="A1891" s="0" t="str">
        <f aca="false">IF(COMPRAS!K691="","",COMPRAS!K691)</f>
        <v/>
      </c>
      <c r="B1891" s="0" t="str">
        <f aca="false">IF(A1891="","",IF(MATCH(A1891,$A$2:$A$3201,0)=ROW()-1,1,0))</f>
        <v/>
      </c>
      <c r="C1891" s="0" t="str">
        <f aca="false">IF(B1891=1,MAX(C$1:C1890)+1,"")</f>
        <v/>
      </c>
    </row>
    <row r="1892" customFormat="false" ht="15" hidden="false" customHeight="false" outlineLevel="0" collapsed="false">
      <c r="A1892" s="0" t="str">
        <f aca="false">IF(COMPRAS!K692="","",COMPRAS!K692)</f>
        <v/>
      </c>
      <c r="B1892" s="0" t="str">
        <f aca="false">IF(A1892="","",IF(MATCH(A1892,$A$2:$A$3201,0)=ROW()-1,1,0))</f>
        <v/>
      </c>
      <c r="C1892" s="0" t="str">
        <f aca="false">IF(B1892=1,MAX(C$1:C1891)+1,"")</f>
        <v/>
      </c>
    </row>
    <row r="1893" customFormat="false" ht="15" hidden="false" customHeight="false" outlineLevel="0" collapsed="false">
      <c r="A1893" s="0" t="str">
        <f aca="false">IF(COMPRAS!K693="","",COMPRAS!K693)</f>
        <v/>
      </c>
      <c r="B1893" s="0" t="str">
        <f aca="false">IF(A1893="","",IF(MATCH(A1893,$A$2:$A$3201,0)=ROW()-1,1,0))</f>
        <v/>
      </c>
      <c r="C1893" s="0" t="str">
        <f aca="false">IF(B1893=1,MAX(C$1:C1892)+1,"")</f>
        <v/>
      </c>
    </row>
    <row r="1894" customFormat="false" ht="15" hidden="false" customHeight="false" outlineLevel="0" collapsed="false">
      <c r="A1894" s="0" t="str">
        <f aca="false">IF(COMPRAS!K694="","",COMPRAS!K694)</f>
        <v/>
      </c>
      <c r="B1894" s="0" t="str">
        <f aca="false">IF(A1894="","",IF(MATCH(A1894,$A$2:$A$3201,0)=ROW()-1,1,0))</f>
        <v/>
      </c>
      <c r="C1894" s="0" t="str">
        <f aca="false">IF(B1894=1,MAX(C$1:C1893)+1,"")</f>
        <v/>
      </c>
    </row>
    <row r="1895" customFormat="false" ht="15" hidden="false" customHeight="false" outlineLevel="0" collapsed="false">
      <c r="A1895" s="0" t="str">
        <f aca="false">IF(COMPRAS!K695="","",COMPRAS!K695)</f>
        <v/>
      </c>
      <c r="B1895" s="0" t="str">
        <f aca="false">IF(A1895="","",IF(MATCH(A1895,$A$2:$A$3201,0)=ROW()-1,1,0))</f>
        <v/>
      </c>
      <c r="C1895" s="0" t="str">
        <f aca="false">IF(B1895=1,MAX(C$1:C1894)+1,"")</f>
        <v/>
      </c>
    </row>
    <row r="1896" customFormat="false" ht="15" hidden="false" customHeight="false" outlineLevel="0" collapsed="false">
      <c r="A1896" s="0" t="str">
        <f aca="false">IF(COMPRAS!K696="","",COMPRAS!K696)</f>
        <v/>
      </c>
      <c r="B1896" s="0" t="str">
        <f aca="false">IF(A1896="","",IF(MATCH(A1896,$A$2:$A$3201,0)=ROW()-1,1,0))</f>
        <v/>
      </c>
      <c r="C1896" s="0" t="str">
        <f aca="false">IF(B1896=1,MAX(C$1:C1895)+1,"")</f>
        <v/>
      </c>
    </row>
    <row r="1897" customFormat="false" ht="15" hidden="false" customHeight="false" outlineLevel="0" collapsed="false">
      <c r="A1897" s="0" t="str">
        <f aca="false">IF(COMPRAS!K697="","",COMPRAS!K697)</f>
        <v/>
      </c>
      <c r="B1897" s="0" t="str">
        <f aca="false">IF(A1897="","",IF(MATCH(A1897,$A$2:$A$3201,0)=ROW()-1,1,0))</f>
        <v/>
      </c>
      <c r="C1897" s="0" t="str">
        <f aca="false">IF(B1897=1,MAX(C$1:C1896)+1,"")</f>
        <v/>
      </c>
    </row>
    <row r="1898" customFormat="false" ht="15" hidden="false" customHeight="false" outlineLevel="0" collapsed="false">
      <c r="A1898" s="0" t="str">
        <f aca="false">IF(COMPRAS!K698="","",COMPRAS!K698)</f>
        <v/>
      </c>
      <c r="B1898" s="0" t="str">
        <f aca="false">IF(A1898="","",IF(MATCH(A1898,$A$2:$A$3201,0)=ROW()-1,1,0))</f>
        <v/>
      </c>
      <c r="C1898" s="0" t="str">
        <f aca="false">IF(B1898=1,MAX(C$1:C1897)+1,"")</f>
        <v/>
      </c>
    </row>
    <row r="1899" customFormat="false" ht="15" hidden="false" customHeight="false" outlineLevel="0" collapsed="false">
      <c r="A1899" s="0" t="str">
        <f aca="false">IF(COMPRAS!K699="","",COMPRAS!K699)</f>
        <v/>
      </c>
      <c r="B1899" s="0" t="str">
        <f aca="false">IF(A1899="","",IF(MATCH(A1899,$A$2:$A$3201,0)=ROW()-1,1,0))</f>
        <v/>
      </c>
      <c r="C1899" s="0" t="str">
        <f aca="false">IF(B1899=1,MAX(C$1:C1898)+1,"")</f>
        <v/>
      </c>
    </row>
    <row r="1900" customFormat="false" ht="15" hidden="false" customHeight="false" outlineLevel="0" collapsed="false">
      <c r="A1900" s="0" t="str">
        <f aca="false">IF(COMPRAS!K700="","",COMPRAS!K700)</f>
        <v/>
      </c>
      <c r="B1900" s="0" t="str">
        <f aca="false">IF(A1900="","",IF(MATCH(A1900,$A$2:$A$3201,0)=ROW()-1,1,0))</f>
        <v/>
      </c>
      <c r="C1900" s="0" t="str">
        <f aca="false">IF(B1900=1,MAX(C$1:C1899)+1,"")</f>
        <v/>
      </c>
    </row>
    <row r="1901" customFormat="false" ht="15" hidden="false" customHeight="false" outlineLevel="0" collapsed="false">
      <c r="A1901" s="0" t="str">
        <f aca="false">IF(COMPRAS!K701="","",COMPRAS!K701)</f>
        <v/>
      </c>
      <c r="B1901" s="0" t="str">
        <f aca="false">IF(A1901="","",IF(MATCH(A1901,$A$2:$A$3201,0)=ROW()-1,1,0))</f>
        <v/>
      </c>
      <c r="C1901" s="0" t="str">
        <f aca="false">IF(B1901=1,MAX(C$1:C1900)+1,"")</f>
        <v/>
      </c>
    </row>
    <row r="1902" customFormat="false" ht="15" hidden="false" customHeight="false" outlineLevel="0" collapsed="false">
      <c r="A1902" s="0" t="str">
        <f aca="false">IF(COMPRAS!K702="","",COMPRAS!K702)</f>
        <v/>
      </c>
      <c r="B1902" s="0" t="str">
        <f aca="false">IF(A1902="","",IF(MATCH(A1902,$A$2:$A$3201,0)=ROW()-1,1,0))</f>
        <v/>
      </c>
      <c r="C1902" s="0" t="str">
        <f aca="false">IF(B1902=1,MAX(C$1:C1901)+1,"")</f>
        <v/>
      </c>
    </row>
    <row r="1903" customFormat="false" ht="15" hidden="false" customHeight="false" outlineLevel="0" collapsed="false">
      <c r="A1903" s="0" t="str">
        <f aca="false">IF(COMPRAS!K703="","",COMPRAS!K703)</f>
        <v/>
      </c>
      <c r="B1903" s="0" t="str">
        <f aca="false">IF(A1903="","",IF(MATCH(A1903,$A$2:$A$3201,0)=ROW()-1,1,0))</f>
        <v/>
      </c>
      <c r="C1903" s="0" t="str">
        <f aca="false">IF(B1903=1,MAX(C$1:C1902)+1,"")</f>
        <v/>
      </c>
    </row>
    <row r="1904" customFormat="false" ht="15" hidden="false" customHeight="false" outlineLevel="0" collapsed="false">
      <c r="A1904" s="0" t="str">
        <f aca="false">IF(COMPRAS!K704="","",COMPRAS!K704)</f>
        <v/>
      </c>
      <c r="B1904" s="0" t="str">
        <f aca="false">IF(A1904="","",IF(MATCH(A1904,$A$2:$A$3201,0)=ROW()-1,1,0))</f>
        <v/>
      </c>
      <c r="C1904" s="0" t="str">
        <f aca="false">IF(B1904=1,MAX(C$1:C1903)+1,"")</f>
        <v/>
      </c>
    </row>
    <row r="1905" customFormat="false" ht="15" hidden="false" customHeight="false" outlineLevel="0" collapsed="false">
      <c r="A1905" s="0" t="str">
        <f aca="false">IF(COMPRAS!K705="","",COMPRAS!K705)</f>
        <v/>
      </c>
      <c r="B1905" s="0" t="str">
        <f aca="false">IF(A1905="","",IF(MATCH(A1905,$A$2:$A$3201,0)=ROW()-1,1,0))</f>
        <v/>
      </c>
      <c r="C1905" s="0" t="str">
        <f aca="false">IF(B1905=1,MAX(C$1:C1904)+1,"")</f>
        <v/>
      </c>
    </row>
    <row r="1906" customFormat="false" ht="15" hidden="false" customHeight="false" outlineLevel="0" collapsed="false">
      <c r="A1906" s="0" t="str">
        <f aca="false">IF(COMPRAS!K706="","",COMPRAS!K706)</f>
        <v/>
      </c>
      <c r="B1906" s="0" t="str">
        <f aca="false">IF(A1906="","",IF(MATCH(A1906,$A$2:$A$3201,0)=ROW()-1,1,0))</f>
        <v/>
      </c>
      <c r="C1906" s="0" t="str">
        <f aca="false">IF(B1906=1,MAX(C$1:C1905)+1,"")</f>
        <v/>
      </c>
    </row>
    <row r="1907" customFormat="false" ht="15" hidden="false" customHeight="false" outlineLevel="0" collapsed="false">
      <c r="A1907" s="0" t="str">
        <f aca="false">IF(COMPRAS!K707="","",COMPRAS!K707)</f>
        <v/>
      </c>
      <c r="B1907" s="0" t="str">
        <f aca="false">IF(A1907="","",IF(MATCH(A1907,$A$2:$A$3201,0)=ROW()-1,1,0))</f>
        <v/>
      </c>
      <c r="C1907" s="0" t="str">
        <f aca="false">IF(B1907=1,MAX(C$1:C1906)+1,"")</f>
        <v/>
      </c>
    </row>
    <row r="1908" customFormat="false" ht="15" hidden="false" customHeight="false" outlineLevel="0" collapsed="false">
      <c r="A1908" s="0" t="str">
        <f aca="false">IF(COMPRAS!K708="","",COMPRAS!K708)</f>
        <v/>
      </c>
      <c r="B1908" s="0" t="str">
        <f aca="false">IF(A1908="","",IF(MATCH(A1908,$A$2:$A$3201,0)=ROW()-1,1,0))</f>
        <v/>
      </c>
      <c r="C1908" s="0" t="str">
        <f aca="false">IF(B1908=1,MAX(C$1:C1907)+1,"")</f>
        <v/>
      </c>
    </row>
    <row r="1909" customFormat="false" ht="15" hidden="false" customHeight="false" outlineLevel="0" collapsed="false">
      <c r="A1909" s="0" t="str">
        <f aca="false">IF(COMPRAS!K709="","",COMPRAS!K709)</f>
        <v/>
      </c>
      <c r="B1909" s="0" t="str">
        <f aca="false">IF(A1909="","",IF(MATCH(A1909,$A$2:$A$3201,0)=ROW()-1,1,0))</f>
        <v/>
      </c>
      <c r="C1909" s="0" t="str">
        <f aca="false">IF(B1909=1,MAX(C$1:C1908)+1,"")</f>
        <v/>
      </c>
    </row>
    <row r="1910" customFormat="false" ht="15" hidden="false" customHeight="false" outlineLevel="0" collapsed="false">
      <c r="A1910" s="0" t="str">
        <f aca="false">IF(COMPRAS!K710="","",COMPRAS!K710)</f>
        <v/>
      </c>
      <c r="B1910" s="0" t="str">
        <f aca="false">IF(A1910="","",IF(MATCH(A1910,$A$2:$A$3201,0)=ROW()-1,1,0))</f>
        <v/>
      </c>
      <c r="C1910" s="0" t="str">
        <f aca="false">IF(B1910=1,MAX(C$1:C1909)+1,"")</f>
        <v/>
      </c>
    </row>
    <row r="1911" customFormat="false" ht="15" hidden="false" customHeight="false" outlineLevel="0" collapsed="false">
      <c r="A1911" s="0" t="str">
        <f aca="false">IF(COMPRAS!K711="","",COMPRAS!K711)</f>
        <v/>
      </c>
      <c r="B1911" s="0" t="str">
        <f aca="false">IF(A1911="","",IF(MATCH(A1911,$A$2:$A$3201,0)=ROW()-1,1,0))</f>
        <v/>
      </c>
      <c r="C1911" s="0" t="str">
        <f aca="false">IF(B1911=1,MAX(C$1:C1910)+1,"")</f>
        <v/>
      </c>
    </row>
    <row r="1912" customFormat="false" ht="15" hidden="false" customHeight="false" outlineLevel="0" collapsed="false">
      <c r="A1912" s="0" t="str">
        <f aca="false">IF(COMPRAS!K712="","",COMPRAS!K712)</f>
        <v/>
      </c>
      <c r="B1912" s="0" t="str">
        <f aca="false">IF(A1912="","",IF(MATCH(A1912,$A$2:$A$3201,0)=ROW()-1,1,0))</f>
        <v/>
      </c>
      <c r="C1912" s="0" t="str">
        <f aca="false">IF(B1912=1,MAX(C$1:C1911)+1,"")</f>
        <v/>
      </c>
    </row>
    <row r="1913" customFormat="false" ht="15" hidden="false" customHeight="false" outlineLevel="0" collapsed="false">
      <c r="A1913" s="0" t="str">
        <f aca="false">IF(COMPRAS!K713="","",COMPRAS!K713)</f>
        <v/>
      </c>
      <c r="B1913" s="0" t="str">
        <f aca="false">IF(A1913="","",IF(MATCH(A1913,$A$2:$A$3201,0)=ROW()-1,1,0))</f>
        <v/>
      </c>
      <c r="C1913" s="0" t="str">
        <f aca="false">IF(B1913=1,MAX(C$1:C1912)+1,"")</f>
        <v/>
      </c>
    </row>
    <row r="1914" customFormat="false" ht="15" hidden="false" customHeight="false" outlineLevel="0" collapsed="false">
      <c r="A1914" s="0" t="str">
        <f aca="false">IF(COMPRAS!K714="","",COMPRAS!K714)</f>
        <v/>
      </c>
      <c r="B1914" s="0" t="str">
        <f aca="false">IF(A1914="","",IF(MATCH(A1914,$A$2:$A$3201,0)=ROW()-1,1,0))</f>
        <v/>
      </c>
      <c r="C1914" s="0" t="str">
        <f aca="false">IF(B1914=1,MAX(C$1:C1913)+1,"")</f>
        <v/>
      </c>
    </row>
    <row r="1915" customFormat="false" ht="15" hidden="false" customHeight="false" outlineLevel="0" collapsed="false">
      <c r="A1915" s="0" t="str">
        <f aca="false">IF(COMPRAS!K715="","",COMPRAS!K715)</f>
        <v/>
      </c>
      <c r="B1915" s="0" t="str">
        <f aca="false">IF(A1915="","",IF(MATCH(A1915,$A$2:$A$3201,0)=ROW()-1,1,0))</f>
        <v/>
      </c>
      <c r="C1915" s="0" t="str">
        <f aca="false">IF(B1915=1,MAX(C$1:C1914)+1,"")</f>
        <v/>
      </c>
    </row>
    <row r="1916" customFormat="false" ht="15" hidden="false" customHeight="false" outlineLevel="0" collapsed="false">
      <c r="A1916" s="0" t="str">
        <f aca="false">IF(COMPRAS!K716="","",COMPRAS!K716)</f>
        <v/>
      </c>
      <c r="B1916" s="0" t="str">
        <f aca="false">IF(A1916="","",IF(MATCH(A1916,$A$2:$A$3201,0)=ROW()-1,1,0))</f>
        <v/>
      </c>
      <c r="C1916" s="0" t="str">
        <f aca="false">IF(B1916=1,MAX(C$1:C1915)+1,"")</f>
        <v/>
      </c>
    </row>
    <row r="1917" customFormat="false" ht="15" hidden="false" customHeight="false" outlineLevel="0" collapsed="false">
      <c r="A1917" s="0" t="str">
        <f aca="false">IF(COMPRAS!K717="","",COMPRAS!K717)</f>
        <v/>
      </c>
      <c r="B1917" s="0" t="str">
        <f aca="false">IF(A1917="","",IF(MATCH(A1917,$A$2:$A$3201,0)=ROW()-1,1,0))</f>
        <v/>
      </c>
      <c r="C1917" s="0" t="str">
        <f aca="false">IF(B1917=1,MAX(C$1:C1916)+1,"")</f>
        <v/>
      </c>
    </row>
    <row r="1918" customFormat="false" ht="15" hidden="false" customHeight="false" outlineLevel="0" collapsed="false">
      <c r="A1918" s="0" t="str">
        <f aca="false">IF(COMPRAS!K718="","",COMPRAS!K718)</f>
        <v/>
      </c>
      <c r="B1918" s="0" t="str">
        <f aca="false">IF(A1918="","",IF(MATCH(A1918,$A$2:$A$3201,0)=ROW()-1,1,0))</f>
        <v/>
      </c>
      <c r="C1918" s="0" t="str">
        <f aca="false">IF(B1918=1,MAX(C$1:C1917)+1,"")</f>
        <v/>
      </c>
    </row>
    <row r="1919" customFormat="false" ht="15" hidden="false" customHeight="false" outlineLevel="0" collapsed="false">
      <c r="A1919" s="0" t="str">
        <f aca="false">IF(COMPRAS!K719="","",COMPRAS!K719)</f>
        <v/>
      </c>
      <c r="B1919" s="0" t="str">
        <f aca="false">IF(A1919="","",IF(MATCH(A1919,$A$2:$A$3201,0)=ROW()-1,1,0))</f>
        <v/>
      </c>
      <c r="C1919" s="0" t="str">
        <f aca="false">IF(B1919=1,MAX(C$1:C1918)+1,"")</f>
        <v/>
      </c>
    </row>
    <row r="1920" customFormat="false" ht="15" hidden="false" customHeight="false" outlineLevel="0" collapsed="false">
      <c r="A1920" s="0" t="str">
        <f aca="false">IF(COMPRAS!K720="","",COMPRAS!K720)</f>
        <v/>
      </c>
      <c r="B1920" s="0" t="str">
        <f aca="false">IF(A1920="","",IF(MATCH(A1920,$A$2:$A$3201,0)=ROW()-1,1,0))</f>
        <v/>
      </c>
      <c r="C1920" s="0" t="str">
        <f aca="false">IF(B1920=1,MAX(C$1:C1919)+1,"")</f>
        <v/>
      </c>
    </row>
    <row r="1921" customFormat="false" ht="15" hidden="false" customHeight="false" outlineLevel="0" collapsed="false">
      <c r="A1921" s="0" t="str">
        <f aca="false">IF(COMPRAS!K721="","",COMPRAS!K721)</f>
        <v/>
      </c>
      <c r="B1921" s="0" t="str">
        <f aca="false">IF(A1921="","",IF(MATCH(A1921,$A$2:$A$3201,0)=ROW()-1,1,0))</f>
        <v/>
      </c>
      <c r="C1921" s="0" t="str">
        <f aca="false">IF(B1921=1,MAX(C$1:C1920)+1,"")</f>
        <v/>
      </c>
    </row>
    <row r="1922" customFormat="false" ht="15" hidden="false" customHeight="false" outlineLevel="0" collapsed="false">
      <c r="A1922" s="0" t="str">
        <f aca="false">IF(COMPRAS!K722="","",COMPRAS!K722)</f>
        <v/>
      </c>
      <c r="B1922" s="0" t="str">
        <f aca="false">IF(A1922="","",IF(MATCH(A1922,$A$2:$A$3201,0)=ROW()-1,1,0))</f>
        <v/>
      </c>
      <c r="C1922" s="0" t="str">
        <f aca="false">IF(B1922=1,MAX(C$1:C1921)+1,"")</f>
        <v/>
      </c>
    </row>
    <row r="1923" customFormat="false" ht="15" hidden="false" customHeight="false" outlineLevel="0" collapsed="false">
      <c r="A1923" s="0" t="str">
        <f aca="false">IF(COMPRAS!K723="","",COMPRAS!K723)</f>
        <v/>
      </c>
      <c r="B1923" s="0" t="str">
        <f aca="false">IF(A1923="","",IF(MATCH(A1923,$A$2:$A$3201,0)=ROW()-1,1,0))</f>
        <v/>
      </c>
      <c r="C1923" s="0" t="str">
        <f aca="false">IF(B1923=1,MAX(C$1:C1922)+1,"")</f>
        <v/>
      </c>
    </row>
    <row r="1924" customFormat="false" ht="15" hidden="false" customHeight="false" outlineLevel="0" collapsed="false">
      <c r="A1924" s="0" t="str">
        <f aca="false">IF(COMPRAS!K724="","",COMPRAS!K724)</f>
        <v/>
      </c>
      <c r="B1924" s="0" t="str">
        <f aca="false">IF(A1924="","",IF(MATCH(A1924,$A$2:$A$3201,0)=ROW()-1,1,0))</f>
        <v/>
      </c>
      <c r="C1924" s="0" t="str">
        <f aca="false">IF(B1924=1,MAX(C$1:C1923)+1,"")</f>
        <v/>
      </c>
    </row>
    <row r="1925" customFormat="false" ht="15" hidden="false" customHeight="false" outlineLevel="0" collapsed="false">
      <c r="A1925" s="0" t="str">
        <f aca="false">IF(COMPRAS!K725="","",COMPRAS!K725)</f>
        <v/>
      </c>
      <c r="B1925" s="0" t="str">
        <f aca="false">IF(A1925="","",IF(MATCH(A1925,$A$2:$A$3201,0)=ROW()-1,1,0))</f>
        <v/>
      </c>
      <c r="C1925" s="0" t="str">
        <f aca="false">IF(B1925=1,MAX(C$1:C1924)+1,"")</f>
        <v/>
      </c>
    </row>
    <row r="1926" customFormat="false" ht="15" hidden="false" customHeight="false" outlineLevel="0" collapsed="false">
      <c r="A1926" s="0" t="str">
        <f aca="false">IF(COMPRAS!K726="","",COMPRAS!K726)</f>
        <v/>
      </c>
      <c r="B1926" s="0" t="str">
        <f aca="false">IF(A1926="","",IF(MATCH(A1926,$A$2:$A$3201,0)=ROW()-1,1,0))</f>
        <v/>
      </c>
      <c r="C1926" s="0" t="str">
        <f aca="false">IF(B1926=1,MAX(C$1:C1925)+1,"")</f>
        <v/>
      </c>
    </row>
    <row r="1927" customFormat="false" ht="15" hidden="false" customHeight="false" outlineLevel="0" collapsed="false">
      <c r="A1927" s="0" t="str">
        <f aca="false">IF(COMPRAS!K727="","",COMPRAS!K727)</f>
        <v/>
      </c>
      <c r="B1927" s="0" t="str">
        <f aca="false">IF(A1927="","",IF(MATCH(A1927,$A$2:$A$3201,0)=ROW()-1,1,0))</f>
        <v/>
      </c>
      <c r="C1927" s="0" t="str">
        <f aca="false">IF(B1927=1,MAX(C$1:C1926)+1,"")</f>
        <v/>
      </c>
    </row>
    <row r="1928" customFormat="false" ht="15" hidden="false" customHeight="false" outlineLevel="0" collapsed="false">
      <c r="A1928" s="0" t="str">
        <f aca="false">IF(COMPRAS!K728="","",COMPRAS!K728)</f>
        <v/>
      </c>
      <c r="B1928" s="0" t="str">
        <f aca="false">IF(A1928="","",IF(MATCH(A1928,$A$2:$A$3201,0)=ROW()-1,1,0))</f>
        <v/>
      </c>
      <c r="C1928" s="0" t="str">
        <f aca="false">IF(B1928=1,MAX(C$1:C1927)+1,"")</f>
        <v/>
      </c>
    </row>
    <row r="1929" customFormat="false" ht="15" hidden="false" customHeight="false" outlineLevel="0" collapsed="false">
      <c r="A1929" s="0" t="str">
        <f aca="false">IF(COMPRAS!K729="","",COMPRAS!K729)</f>
        <v/>
      </c>
      <c r="B1929" s="0" t="str">
        <f aca="false">IF(A1929="","",IF(MATCH(A1929,$A$2:$A$3201,0)=ROW()-1,1,0))</f>
        <v/>
      </c>
      <c r="C1929" s="0" t="str">
        <f aca="false">IF(B1929=1,MAX(C$1:C1928)+1,"")</f>
        <v/>
      </c>
    </row>
    <row r="1930" customFormat="false" ht="15" hidden="false" customHeight="false" outlineLevel="0" collapsed="false">
      <c r="A1930" s="0" t="str">
        <f aca="false">IF(COMPRAS!K730="","",COMPRAS!K730)</f>
        <v/>
      </c>
      <c r="B1930" s="0" t="str">
        <f aca="false">IF(A1930="","",IF(MATCH(A1930,$A$2:$A$3201,0)=ROW()-1,1,0))</f>
        <v/>
      </c>
      <c r="C1930" s="0" t="str">
        <f aca="false">IF(B1930=1,MAX(C$1:C1929)+1,"")</f>
        <v/>
      </c>
    </row>
    <row r="1931" customFormat="false" ht="15" hidden="false" customHeight="false" outlineLevel="0" collapsed="false">
      <c r="A1931" s="0" t="str">
        <f aca="false">IF(COMPRAS!K731="","",COMPRAS!K731)</f>
        <v/>
      </c>
      <c r="B1931" s="0" t="str">
        <f aca="false">IF(A1931="","",IF(MATCH(A1931,$A$2:$A$3201,0)=ROW()-1,1,0))</f>
        <v/>
      </c>
      <c r="C1931" s="0" t="str">
        <f aca="false">IF(B1931=1,MAX(C$1:C1930)+1,"")</f>
        <v/>
      </c>
    </row>
    <row r="1932" customFormat="false" ht="15" hidden="false" customHeight="false" outlineLevel="0" collapsed="false">
      <c r="A1932" s="0" t="str">
        <f aca="false">IF(COMPRAS!K732="","",COMPRAS!K732)</f>
        <v/>
      </c>
      <c r="B1932" s="0" t="str">
        <f aca="false">IF(A1932="","",IF(MATCH(A1932,$A$2:$A$3201,0)=ROW()-1,1,0))</f>
        <v/>
      </c>
      <c r="C1932" s="0" t="str">
        <f aca="false">IF(B1932=1,MAX(C$1:C1931)+1,"")</f>
        <v/>
      </c>
    </row>
    <row r="1933" customFormat="false" ht="15" hidden="false" customHeight="false" outlineLevel="0" collapsed="false">
      <c r="A1933" s="0" t="str">
        <f aca="false">IF(COMPRAS!K733="","",COMPRAS!K733)</f>
        <v/>
      </c>
      <c r="B1933" s="0" t="str">
        <f aca="false">IF(A1933="","",IF(MATCH(A1933,$A$2:$A$3201,0)=ROW()-1,1,0))</f>
        <v/>
      </c>
      <c r="C1933" s="0" t="str">
        <f aca="false">IF(B1933=1,MAX(C$1:C1932)+1,"")</f>
        <v/>
      </c>
    </row>
    <row r="1934" customFormat="false" ht="15" hidden="false" customHeight="false" outlineLevel="0" collapsed="false">
      <c r="A1934" s="0" t="str">
        <f aca="false">IF(COMPRAS!K734="","",COMPRAS!K734)</f>
        <v/>
      </c>
      <c r="B1934" s="0" t="str">
        <f aca="false">IF(A1934="","",IF(MATCH(A1934,$A$2:$A$3201,0)=ROW()-1,1,0))</f>
        <v/>
      </c>
      <c r="C1934" s="0" t="str">
        <f aca="false">IF(B1934=1,MAX(C$1:C1933)+1,"")</f>
        <v/>
      </c>
    </row>
    <row r="1935" customFormat="false" ht="15" hidden="false" customHeight="false" outlineLevel="0" collapsed="false">
      <c r="A1935" s="0" t="str">
        <f aca="false">IF(COMPRAS!K735="","",COMPRAS!K735)</f>
        <v/>
      </c>
      <c r="B1935" s="0" t="str">
        <f aca="false">IF(A1935="","",IF(MATCH(A1935,$A$2:$A$3201,0)=ROW()-1,1,0))</f>
        <v/>
      </c>
      <c r="C1935" s="0" t="str">
        <f aca="false">IF(B1935=1,MAX(C$1:C1934)+1,"")</f>
        <v/>
      </c>
    </row>
    <row r="1936" customFormat="false" ht="15" hidden="false" customHeight="false" outlineLevel="0" collapsed="false">
      <c r="A1936" s="0" t="str">
        <f aca="false">IF(COMPRAS!K736="","",COMPRAS!K736)</f>
        <v/>
      </c>
      <c r="B1936" s="0" t="str">
        <f aca="false">IF(A1936="","",IF(MATCH(A1936,$A$2:$A$3201,0)=ROW()-1,1,0))</f>
        <v/>
      </c>
      <c r="C1936" s="0" t="str">
        <f aca="false">IF(B1936=1,MAX(C$1:C1935)+1,"")</f>
        <v/>
      </c>
    </row>
    <row r="1937" customFormat="false" ht="15" hidden="false" customHeight="false" outlineLevel="0" collapsed="false">
      <c r="A1937" s="0" t="str">
        <f aca="false">IF(COMPRAS!K737="","",COMPRAS!K737)</f>
        <v/>
      </c>
      <c r="B1937" s="0" t="str">
        <f aca="false">IF(A1937="","",IF(MATCH(A1937,$A$2:$A$3201,0)=ROW()-1,1,0))</f>
        <v/>
      </c>
      <c r="C1937" s="0" t="str">
        <f aca="false">IF(B1937=1,MAX(C$1:C1936)+1,"")</f>
        <v/>
      </c>
    </row>
    <row r="1938" customFormat="false" ht="15" hidden="false" customHeight="false" outlineLevel="0" collapsed="false">
      <c r="A1938" s="0" t="str">
        <f aca="false">IF(COMPRAS!K738="","",COMPRAS!K738)</f>
        <v/>
      </c>
      <c r="B1938" s="0" t="str">
        <f aca="false">IF(A1938="","",IF(MATCH(A1938,$A$2:$A$3201,0)=ROW()-1,1,0))</f>
        <v/>
      </c>
      <c r="C1938" s="0" t="str">
        <f aca="false">IF(B1938=1,MAX(C$1:C1937)+1,"")</f>
        <v/>
      </c>
    </row>
    <row r="1939" customFormat="false" ht="15" hidden="false" customHeight="false" outlineLevel="0" collapsed="false">
      <c r="A1939" s="0" t="str">
        <f aca="false">IF(COMPRAS!K739="","",COMPRAS!K739)</f>
        <v/>
      </c>
      <c r="B1939" s="0" t="str">
        <f aca="false">IF(A1939="","",IF(MATCH(A1939,$A$2:$A$3201,0)=ROW()-1,1,0))</f>
        <v/>
      </c>
      <c r="C1939" s="0" t="str">
        <f aca="false">IF(B1939=1,MAX(C$1:C1938)+1,"")</f>
        <v/>
      </c>
    </row>
    <row r="1940" customFormat="false" ht="15" hidden="false" customHeight="false" outlineLevel="0" collapsed="false">
      <c r="A1940" s="0" t="str">
        <f aca="false">IF(COMPRAS!K740="","",COMPRAS!K740)</f>
        <v/>
      </c>
      <c r="B1940" s="0" t="str">
        <f aca="false">IF(A1940="","",IF(MATCH(A1940,$A$2:$A$3201,0)=ROW()-1,1,0))</f>
        <v/>
      </c>
      <c r="C1940" s="0" t="str">
        <f aca="false">IF(B1940=1,MAX(C$1:C1939)+1,"")</f>
        <v/>
      </c>
    </row>
    <row r="1941" customFormat="false" ht="15" hidden="false" customHeight="false" outlineLevel="0" collapsed="false">
      <c r="A1941" s="0" t="str">
        <f aca="false">IF(COMPRAS!K741="","",COMPRAS!K741)</f>
        <v/>
      </c>
      <c r="B1941" s="0" t="str">
        <f aca="false">IF(A1941="","",IF(MATCH(A1941,$A$2:$A$3201,0)=ROW()-1,1,0))</f>
        <v/>
      </c>
      <c r="C1941" s="0" t="str">
        <f aca="false">IF(B1941=1,MAX(C$1:C1940)+1,"")</f>
        <v/>
      </c>
    </row>
    <row r="1942" customFormat="false" ht="15" hidden="false" customHeight="false" outlineLevel="0" collapsed="false">
      <c r="A1942" s="0" t="str">
        <f aca="false">IF(COMPRAS!K742="","",COMPRAS!K742)</f>
        <v/>
      </c>
      <c r="B1942" s="0" t="str">
        <f aca="false">IF(A1942="","",IF(MATCH(A1942,$A$2:$A$3201,0)=ROW()-1,1,0))</f>
        <v/>
      </c>
      <c r="C1942" s="0" t="str">
        <f aca="false">IF(B1942=1,MAX(C$1:C1941)+1,"")</f>
        <v/>
      </c>
    </row>
    <row r="1943" customFormat="false" ht="15" hidden="false" customHeight="false" outlineLevel="0" collapsed="false">
      <c r="A1943" s="0" t="str">
        <f aca="false">IF(COMPRAS!K743="","",COMPRAS!K743)</f>
        <v/>
      </c>
      <c r="B1943" s="0" t="str">
        <f aca="false">IF(A1943="","",IF(MATCH(A1943,$A$2:$A$3201,0)=ROW()-1,1,0))</f>
        <v/>
      </c>
      <c r="C1943" s="0" t="str">
        <f aca="false">IF(B1943=1,MAX(C$1:C1942)+1,"")</f>
        <v/>
      </c>
    </row>
    <row r="1944" customFormat="false" ht="15" hidden="false" customHeight="false" outlineLevel="0" collapsed="false">
      <c r="A1944" s="0" t="str">
        <f aca="false">IF(COMPRAS!K744="","",COMPRAS!K744)</f>
        <v/>
      </c>
      <c r="B1944" s="0" t="str">
        <f aca="false">IF(A1944="","",IF(MATCH(A1944,$A$2:$A$3201,0)=ROW()-1,1,0))</f>
        <v/>
      </c>
      <c r="C1944" s="0" t="str">
        <f aca="false">IF(B1944=1,MAX(C$1:C1943)+1,"")</f>
        <v/>
      </c>
    </row>
    <row r="1945" customFormat="false" ht="15" hidden="false" customHeight="false" outlineLevel="0" collapsed="false">
      <c r="A1945" s="0" t="str">
        <f aca="false">IF(COMPRAS!K745="","",COMPRAS!K745)</f>
        <v/>
      </c>
      <c r="B1945" s="0" t="str">
        <f aca="false">IF(A1945="","",IF(MATCH(A1945,$A$2:$A$3201,0)=ROW()-1,1,0))</f>
        <v/>
      </c>
      <c r="C1945" s="0" t="str">
        <f aca="false">IF(B1945=1,MAX(C$1:C1944)+1,"")</f>
        <v/>
      </c>
    </row>
    <row r="1946" customFormat="false" ht="15" hidden="false" customHeight="false" outlineLevel="0" collapsed="false">
      <c r="A1946" s="0" t="str">
        <f aca="false">IF(COMPRAS!K746="","",COMPRAS!K746)</f>
        <v/>
      </c>
      <c r="B1946" s="0" t="str">
        <f aca="false">IF(A1946="","",IF(MATCH(A1946,$A$2:$A$3201,0)=ROW()-1,1,0))</f>
        <v/>
      </c>
      <c r="C1946" s="0" t="str">
        <f aca="false">IF(B1946=1,MAX(C$1:C1945)+1,"")</f>
        <v/>
      </c>
    </row>
    <row r="1947" customFormat="false" ht="15" hidden="false" customHeight="false" outlineLevel="0" collapsed="false">
      <c r="A1947" s="0" t="str">
        <f aca="false">IF(COMPRAS!K747="","",COMPRAS!K747)</f>
        <v/>
      </c>
      <c r="B1947" s="0" t="str">
        <f aca="false">IF(A1947="","",IF(MATCH(A1947,$A$2:$A$3201,0)=ROW()-1,1,0))</f>
        <v/>
      </c>
      <c r="C1947" s="0" t="str">
        <f aca="false">IF(B1947=1,MAX(C$1:C1946)+1,"")</f>
        <v/>
      </c>
    </row>
    <row r="1948" customFormat="false" ht="15" hidden="false" customHeight="false" outlineLevel="0" collapsed="false">
      <c r="A1948" s="0" t="str">
        <f aca="false">IF(COMPRAS!K748="","",COMPRAS!K748)</f>
        <v/>
      </c>
      <c r="B1948" s="0" t="str">
        <f aca="false">IF(A1948="","",IF(MATCH(A1948,$A$2:$A$3201,0)=ROW()-1,1,0))</f>
        <v/>
      </c>
      <c r="C1948" s="0" t="str">
        <f aca="false">IF(B1948=1,MAX(C$1:C1947)+1,"")</f>
        <v/>
      </c>
    </row>
    <row r="1949" customFormat="false" ht="15" hidden="false" customHeight="false" outlineLevel="0" collapsed="false">
      <c r="A1949" s="0" t="str">
        <f aca="false">IF(COMPRAS!K749="","",COMPRAS!K749)</f>
        <v/>
      </c>
      <c r="B1949" s="0" t="str">
        <f aca="false">IF(A1949="","",IF(MATCH(A1949,$A$2:$A$3201,0)=ROW()-1,1,0))</f>
        <v/>
      </c>
      <c r="C1949" s="0" t="str">
        <f aca="false">IF(B1949=1,MAX(C$1:C1948)+1,"")</f>
        <v/>
      </c>
    </row>
    <row r="1950" customFormat="false" ht="15" hidden="false" customHeight="false" outlineLevel="0" collapsed="false">
      <c r="A1950" s="0" t="str">
        <f aca="false">IF(COMPRAS!K750="","",COMPRAS!K750)</f>
        <v/>
      </c>
      <c r="B1950" s="0" t="str">
        <f aca="false">IF(A1950="","",IF(MATCH(A1950,$A$2:$A$3201,0)=ROW()-1,1,0))</f>
        <v/>
      </c>
      <c r="C1950" s="0" t="str">
        <f aca="false">IF(B1950=1,MAX(C$1:C1949)+1,"")</f>
        <v/>
      </c>
    </row>
    <row r="1951" customFormat="false" ht="15" hidden="false" customHeight="false" outlineLevel="0" collapsed="false">
      <c r="A1951" s="0" t="str">
        <f aca="false">IF(COMPRAS!K751="","",COMPRAS!K751)</f>
        <v/>
      </c>
      <c r="B1951" s="0" t="str">
        <f aca="false">IF(A1951="","",IF(MATCH(A1951,$A$2:$A$3201,0)=ROW()-1,1,0))</f>
        <v/>
      </c>
      <c r="C1951" s="0" t="str">
        <f aca="false">IF(B1951=1,MAX(C$1:C1950)+1,"")</f>
        <v/>
      </c>
    </row>
    <row r="1952" customFormat="false" ht="15" hidden="false" customHeight="false" outlineLevel="0" collapsed="false">
      <c r="A1952" s="0" t="str">
        <f aca="false">IF(COMPRAS!K752="","",COMPRAS!K752)</f>
        <v/>
      </c>
      <c r="B1952" s="0" t="str">
        <f aca="false">IF(A1952="","",IF(MATCH(A1952,$A$2:$A$3201,0)=ROW()-1,1,0))</f>
        <v/>
      </c>
      <c r="C1952" s="0" t="str">
        <f aca="false">IF(B1952=1,MAX(C$1:C1951)+1,"")</f>
        <v/>
      </c>
    </row>
    <row r="1953" customFormat="false" ht="15" hidden="false" customHeight="false" outlineLevel="0" collapsed="false">
      <c r="A1953" s="0" t="str">
        <f aca="false">IF(COMPRAS!K753="","",COMPRAS!K753)</f>
        <v/>
      </c>
      <c r="B1953" s="0" t="str">
        <f aca="false">IF(A1953="","",IF(MATCH(A1953,$A$2:$A$3201,0)=ROW()-1,1,0))</f>
        <v/>
      </c>
      <c r="C1953" s="0" t="str">
        <f aca="false">IF(B1953=1,MAX(C$1:C1952)+1,"")</f>
        <v/>
      </c>
    </row>
    <row r="1954" customFormat="false" ht="15" hidden="false" customHeight="false" outlineLevel="0" collapsed="false">
      <c r="A1954" s="0" t="str">
        <f aca="false">IF(COMPRAS!K754="","",COMPRAS!K754)</f>
        <v/>
      </c>
      <c r="B1954" s="0" t="str">
        <f aca="false">IF(A1954="","",IF(MATCH(A1954,$A$2:$A$3201,0)=ROW()-1,1,0))</f>
        <v/>
      </c>
      <c r="C1954" s="0" t="str">
        <f aca="false">IF(B1954=1,MAX(C$1:C1953)+1,"")</f>
        <v/>
      </c>
    </row>
    <row r="1955" customFormat="false" ht="15" hidden="false" customHeight="false" outlineLevel="0" collapsed="false">
      <c r="A1955" s="0" t="str">
        <f aca="false">IF(COMPRAS!K755="","",COMPRAS!K755)</f>
        <v/>
      </c>
      <c r="B1955" s="0" t="str">
        <f aca="false">IF(A1955="","",IF(MATCH(A1955,$A$2:$A$3201,0)=ROW()-1,1,0))</f>
        <v/>
      </c>
      <c r="C1955" s="0" t="str">
        <f aca="false">IF(B1955=1,MAX(C$1:C1954)+1,"")</f>
        <v/>
      </c>
    </row>
    <row r="1956" customFormat="false" ht="15" hidden="false" customHeight="false" outlineLevel="0" collapsed="false">
      <c r="A1956" s="0" t="str">
        <f aca="false">IF(COMPRAS!K756="","",COMPRAS!K756)</f>
        <v/>
      </c>
      <c r="B1956" s="0" t="str">
        <f aca="false">IF(A1956="","",IF(MATCH(A1956,$A$2:$A$3201,0)=ROW()-1,1,0))</f>
        <v/>
      </c>
      <c r="C1956" s="0" t="str">
        <f aca="false">IF(B1956=1,MAX(C$1:C1955)+1,"")</f>
        <v/>
      </c>
    </row>
    <row r="1957" customFormat="false" ht="15" hidden="false" customHeight="false" outlineLevel="0" collapsed="false">
      <c r="A1957" s="0" t="str">
        <f aca="false">IF(COMPRAS!K757="","",COMPRAS!K757)</f>
        <v/>
      </c>
      <c r="B1957" s="0" t="str">
        <f aca="false">IF(A1957="","",IF(MATCH(A1957,$A$2:$A$3201,0)=ROW()-1,1,0))</f>
        <v/>
      </c>
      <c r="C1957" s="0" t="str">
        <f aca="false">IF(B1957=1,MAX(C$1:C1956)+1,"")</f>
        <v/>
      </c>
    </row>
    <row r="1958" customFormat="false" ht="15" hidden="false" customHeight="false" outlineLevel="0" collapsed="false">
      <c r="A1958" s="0" t="str">
        <f aca="false">IF(COMPRAS!K758="","",COMPRAS!K758)</f>
        <v/>
      </c>
      <c r="B1958" s="0" t="str">
        <f aca="false">IF(A1958="","",IF(MATCH(A1958,$A$2:$A$3201,0)=ROW()-1,1,0))</f>
        <v/>
      </c>
      <c r="C1958" s="0" t="str">
        <f aca="false">IF(B1958=1,MAX(C$1:C1957)+1,"")</f>
        <v/>
      </c>
    </row>
    <row r="1959" customFormat="false" ht="15" hidden="false" customHeight="false" outlineLevel="0" collapsed="false">
      <c r="A1959" s="0" t="str">
        <f aca="false">IF(COMPRAS!K759="","",COMPRAS!K759)</f>
        <v/>
      </c>
      <c r="B1959" s="0" t="str">
        <f aca="false">IF(A1959="","",IF(MATCH(A1959,$A$2:$A$3201,0)=ROW()-1,1,0))</f>
        <v/>
      </c>
      <c r="C1959" s="0" t="str">
        <f aca="false">IF(B1959=1,MAX(C$1:C1958)+1,"")</f>
        <v/>
      </c>
    </row>
    <row r="1960" customFormat="false" ht="15" hidden="false" customHeight="false" outlineLevel="0" collapsed="false">
      <c r="A1960" s="0" t="str">
        <f aca="false">IF(COMPRAS!K760="","",COMPRAS!K760)</f>
        <v/>
      </c>
      <c r="B1960" s="0" t="str">
        <f aca="false">IF(A1960="","",IF(MATCH(A1960,$A$2:$A$3201,0)=ROW()-1,1,0))</f>
        <v/>
      </c>
      <c r="C1960" s="0" t="str">
        <f aca="false">IF(B1960=1,MAX(C$1:C1959)+1,"")</f>
        <v/>
      </c>
    </row>
    <row r="1961" customFormat="false" ht="15" hidden="false" customHeight="false" outlineLevel="0" collapsed="false">
      <c r="A1961" s="0" t="str">
        <f aca="false">IF(COMPRAS!K761="","",COMPRAS!K761)</f>
        <v/>
      </c>
      <c r="B1961" s="0" t="str">
        <f aca="false">IF(A1961="","",IF(MATCH(A1961,$A$2:$A$3201,0)=ROW()-1,1,0))</f>
        <v/>
      </c>
      <c r="C1961" s="0" t="str">
        <f aca="false">IF(B1961=1,MAX(C$1:C1960)+1,"")</f>
        <v/>
      </c>
    </row>
    <row r="1962" customFormat="false" ht="15" hidden="false" customHeight="false" outlineLevel="0" collapsed="false">
      <c r="A1962" s="0" t="str">
        <f aca="false">IF(COMPRAS!K762="","",COMPRAS!K762)</f>
        <v/>
      </c>
      <c r="B1962" s="0" t="str">
        <f aca="false">IF(A1962="","",IF(MATCH(A1962,$A$2:$A$3201,0)=ROW()-1,1,0))</f>
        <v/>
      </c>
      <c r="C1962" s="0" t="str">
        <f aca="false">IF(B1962=1,MAX(C$1:C1961)+1,"")</f>
        <v/>
      </c>
    </row>
    <row r="1963" customFormat="false" ht="15" hidden="false" customHeight="false" outlineLevel="0" collapsed="false">
      <c r="A1963" s="0" t="str">
        <f aca="false">IF(COMPRAS!K763="","",COMPRAS!K763)</f>
        <v/>
      </c>
      <c r="B1963" s="0" t="str">
        <f aca="false">IF(A1963="","",IF(MATCH(A1963,$A$2:$A$3201,0)=ROW()-1,1,0))</f>
        <v/>
      </c>
      <c r="C1963" s="0" t="str">
        <f aca="false">IF(B1963=1,MAX(C$1:C1962)+1,"")</f>
        <v/>
      </c>
    </row>
    <row r="1964" customFormat="false" ht="15" hidden="false" customHeight="false" outlineLevel="0" collapsed="false">
      <c r="A1964" s="0" t="str">
        <f aca="false">IF(COMPRAS!K764="","",COMPRAS!K764)</f>
        <v/>
      </c>
      <c r="B1964" s="0" t="str">
        <f aca="false">IF(A1964="","",IF(MATCH(A1964,$A$2:$A$3201,0)=ROW()-1,1,0))</f>
        <v/>
      </c>
      <c r="C1964" s="0" t="str">
        <f aca="false">IF(B1964=1,MAX(C$1:C1963)+1,"")</f>
        <v/>
      </c>
    </row>
    <row r="1965" customFormat="false" ht="15" hidden="false" customHeight="false" outlineLevel="0" collapsed="false">
      <c r="A1965" s="0" t="str">
        <f aca="false">IF(COMPRAS!K765="","",COMPRAS!K765)</f>
        <v/>
      </c>
      <c r="B1965" s="0" t="str">
        <f aca="false">IF(A1965="","",IF(MATCH(A1965,$A$2:$A$3201,0)=ROW()-1,1,0))</f>
        <v/>
      </c>
      <c r="C1965" s="0" t="str">
        <f aca="false">IF(B1965=1,MAX(C$1:C1964)+1,"")</f>
        <v/>
      </c>
    </row>
    <row r="1966" customFormat="false" ht="15" hidden="false" customHeight="false" outlineLevel="0" collapsed="false">
      <c r="A1966" s="0" t="str">
        <f aca="false">IF(COMPRAS!K766="","",COMPRAS!K766)</f>
        <v/>
      </c>
      <c r="B1966" s="0" t="str">
        <f aca="false">IF(A1966="","",IF(MATCH(A1966,$A$2:$A$3201,0)=ROW()-1,1,0))</f>
        <v/>
      </c>
      <c r="C1966" s="0" t="str">
        <f aca="false">IF(B1966=1,MAX(C$1:C1965)+1,"")</f>
        <v/>
      </c>
    </row>
    <row r="1967" customFormat="false" ht="15" hidden="false" customHeight="false" outlineLevel="0" collapsed="false">
      <c r="A1967" s="0" t="str">
        <f aca="false">IF(COMPRAS!K767="","",COMPRAS!K767)</f>
        <v/>
      </c>
      <c r="B1967" s="0" t="str">
        <f aca="false">IF(A1967="","",IF(MATCH(A1967,$A$2:$A$3201,0)=ROW()-1,1,0))</f>
        <v/>
      </c>
      <c r="C1967" s="0" t="str">
        <f aca="false">IF(B1967=1,MAX(C$1:C1966)+1,"")</f>
        <v/>
      </c>
    </row>
    <row r="1968" customFormat="false" ht="15" hidden="false" customHeight="false" outlineLevel="0" collapsed="false">
      <c r="A1968" s="0" t="str">
        <f aca="false">IF(COMPRAS!K768="","",COMPRAS!K768)</f>
        <v/>
      </c>
      <c r="B1968" s="0" t="str">
        <f aca="false">IF(A1968="","",IF(MATCH(A1968,$A$2:$A$3201,0)=ROW()-1,1,0))</f>
        <v/>
      </c>
      <c r="C1968" s="0" t="str">
        <f aca="false">IF(B1968=1,MAX(C$1:C1967)+1,"")</f>
        <v/>
      </c>
    </row>
    <row r="1969" customFormat="false" ht="15" hidden="false" customHeight="false" outlineLevel="0" collapsed="false">
      <c r="A1969" s="0" t="str">
        <f aca="false">IF(COMPRAS!K769="","",COMPRAS!K769)</f>
        <v/>
      </c>
      <c r="B1969" s="0" t="str">
        <f aca="false">IF(A1969="","",IF(MATCH(A1969,$A$2:$A$3201,0)=ROW()-1,1,0))</f>
        <v/>
      </c>
      <c r="C1969" s="0" t="str">
        <f aca="false">IF(B1969=1,MAX(C$1:C1968)+1,"")</f>
        <v/>
      </c>
    </row>
    <row r="1970" customFormat="false" ht="15" hidden="false" customHeight="false" outlineLevel="0" collapsed="false">
      <c r="A1970" s="0" t="str">
        <f aca="false">IF(COMPRAS!K770="","",COMPRAS!K770)</f>
        <v/>
      </c>
      <c r="B1970" s="0" t="str">
        <f aca="false">IF(A1970="","",IF(MATCH(A1970,$A$2:$A$3201,0)=ROW()-1,1,0))</f>
        <v/>
      </c>
      <c r="C1970" s="0" t="str">
        <f aca="false">IF(B1970=1,MAX(C$1:C1969)+1,"")</f>
        <v/>
      </c>
    </row>
    <row r="1971" customFormat="false" ht="15" hidden="false" customHeight="false" outlineLevel="0" collapsed="false">
      <c r="A1971" s="0" t="str">
        <f aca="false">IF(COMPRAS!K771="","",COMPRAS!K771)</f>
        <v/>
      </c>
      <c r="B1971" s="0" t="str">
        <f aca="false">IF(A1971="","",IF(MATCH(A1971,$A$2:$A$3201,0)=ROW()-1,1,0))</f>
        <v/>
      </c>
      <c r="C1971" s="0" t="str">
        <f aca="false">IF(B1971=1,MAX(C$1:C1970)+1,"")</f>
        <v/>
      </c>
    </row>
    <row r="1972" customFormat="false" ht="15" hidden="false" customHeight="false" outlineLevel="0" collapsed="false">
      <c r="A1972" s="0" t="str">
        <f aca="false">IF(COMPRAS!K772="","",COMPRAS!K772)</f>
        <v/>
      </c>
      <c r="B1972" s="0" t="str">
        <f aca="false">IF(A1972="","",IF(MATCH(A1972,$A$2:$A$3201,0)=ROW()-1,1,0))</f>
        <v/>
      </c>
      <c r="C1972" s="0" t="str">
        <f aca="false">IF(B1972=1,MAX(C$1:C1971)+1,"")</f>
        <v/>
      </c>
    </row>
    <row r="1973" customFormat="false" ht="15" hidden="false" customHeight="false" outlineLevel="0" collapsed="false">
      <c r="A1973" s="0" t="str">
        <f aca="false">IF(COMPRAS!K773="","",COMPRAS!K773)</f>
        <v/>
      </c>
      <c r="B1973" s="0" t="str">
        <f aca="false">IF(A1973="","",IF(MATCH(A1973,$A$2:$A$3201,0)=ROW()-1,1,0))</f>
        <v/>
      </c>
      <c r="C1973" s="0" t="str">
        <f aca="false">IF(B1973=1,MAX(C$1:C1972)+1,"")</f>
        <v/>
      </c>
    </row>
    <row r="1974" customFormat="false" ht="15" hidden="false" customHeight="false" outlineLevel="0" collapsed="false">
      <c r="A1974" s="0" t="str">
        <f aca="false">IF(COMPRAS!K774="","",COMPRAS!K774)</f>
        <v/>
      </c>
      <c r="B1974" s="0" t="str">
        <f aca="false">IF(A1974="","",IF(MATCH(A1974,$A$2:$A$3201,0)=ROW()-1,1,0))</f>
        <v/>
      </c>
      <c r="C1974" s="0" t="str">
        <f aca="false">IF(B1974=1,MAX(C$1:C1973)+1,"")</f>
        <v/>
      </c>
    </row>
    <row r="1975" customFormat="false" ht="15" hidden="false" customHeight="false" outlineLevel="0" collapsed="false">
      <c r="A1975" s="0" t="str">
        <f aca="false">IF(COMPRAS!K775="","",COMPRAS!K775)</f>
        <v/>
      </c>
      <c r="B1975" s="0" t="str">
        <f aca="false">IF(A1975="","",IF(MATCH(A1975,$A$2:$A$3201,0)=ROW()-1,1,0))</f>
        <v/>
      </c>
      <c r="C1975" s="0" t="str">
        <f aca="false">IF(B1975=1,MAX(C$1:C1974)+1,"")</f>
        <v/>
      </c>
    </row>
    <row r="1976" customFormat="false" ht="15" hidden="false" customHeight="false" outlineLevel="0" collapsed="false">
      <c r="A1976" s="0" t="str">
        <f aca="false">IF(COMPRAS!K776="","",COMPRAS!K776)</f>
        <v/>
      </c>
      <c r="B1976" s="0" t="str">
        <f aca="false">IF(A1976="","",IF(MATCH(A1976,$A$2:$A$3201,0)=ROW()-1,1,0))</f>
        <v/>
      </c>
      <c r="C1976" s="0" t="str">
        <f aca="false">IF(B1976=1,MAX(C$1:C1975)+1,"")</f>
        <v/>
      </c>
    </row>
    <row r="1977" customFormat="false" ht="15" hidden="false" customHeight="false" outlineLevel="0" collapsed="false">
      <c r="A1977" s="0" t="str">
        <f aca="false">IF(COMPRAS!K777="","",COMPRAS!K777)</f>
        <v/>
      </c>
      <c r="B1977" s="0" t="str">
        <f aca="false">IF(A1977="","",IF(MATCH(A1977,$A$2:$A$3201,0)=ROW()-1,1,0))</f>
        <v/>
      </c>
      <c r="C1977" s="0" t="str">
        <f aca="false">IF(B1977=1,MAX(C$1:C1976)+1,"")</f>
        <v/>
      </c>
    </row>
    <row r="1978" customFormat="false" ht="15" hidden="false" customHeight="false" outlineLevel="0" collapsed="false">
      <c r="A1978" s="0" t="str">
        <f aca="false">IF(COMPRAS!K778="","",COMPRAS!K778)</f>
        <v/>
      </c>
      <c r="B1978" s="0" t="str">
        <f aca="false">IF(A1978="","",IF(MATCH(A1978,$A$2:$A$3201,0)=ROW()-1,1,0))</f>
        <v/>
      </c>
      <c r="C1978" s="0" t="str">
        <f aca="false">IF(B1978=1,MAX(C$1:C1977)+1,"")</f>
        <v/>
      </c>
    </row>
    <row r="1979" customFormat="false" ht="15" hidden="false" customHeight="false" outlineLevel="0" collapsed="false">
      <c r="A1979" s="0" t="str">
        <f aca="false">IF(COMPRAS!K779="","",COMPRAS!K779)</f>
        <v/>
      </c>
      <c r="B1979" s="0" t="str">
        <f aca="false">IF(A1979="","",IF(MATCH(A1979,$A$2:$A$3201,0)=ROW()-1,1,0))</f>
        <v/>
      </c>
      <c r="C1979" s="0" t="str">
        <f aca="false">IF(B1979=1,MAX(C$1:C1978)+1,"")</f>
        <v/>
      </c>
    </row>
    <row r="1980" customFormat="false" ht="15" hidden="false" customHeight="false" outlineLevel="0" collapsed="false">
      <c r="A1980" s="0" t="str">
        <f aca="false">IF(COMPRAS!K780="","",COMPRAS!K780)</f>
        <v/>
      </c>
      <c r="B1980" s="0" t="str">
        <f aca="false">IF(A1980="","",IF(MATCH(A1980,$A$2:$A$3201,0)=ROW()-1,1,0))</f>
        <v/>
      </c>
      <c r="C1980" s="0" t="str">
        <f aca="false">IF(B1980=1,MAX(C$1:C1979)+1,"")</f>
        <v/>
      </c>
    </row>
    <row r="1981" customFormat="false" ht="15" hidden="false" customHeight="false" outlineLevel="0" collapsed="false">
      <c r="A1981" s="0" t="str">
        <f aca="false">IF(COMPRAS!K781="","",COMPRAS!K781)</f>
        <v/>
      </c>
      <c r="B1981" s="0" t="str">
        <f aca="false">IF(A1981="","",IF(MATCH(A1981,$A$2:$A$3201,0)=ROW()-1,1,0))</f>
        <v/>
      </c>
      <c r="C1981" s="0" t="str">
        <f aca="false">IF(B1981=1,MAX(C$1:C1980)+1,"")</f>
        <v/>
      </c>
    </row>
    <row r="1982" customFormat="false" ht="15" hidden="false" customHeight="false" outlineLevel="0" collapsed="false">
      <c r="A1982" s="0" t="str">
        <f aca="false">IF(COMPRAS!K782="","",COMPRAS!K782)</f>
        <v/>
      </c>
      <c r="B1982" s="0" t="str">
        <f aca="false">IF(A1982="","",IF(MATCH(A1982,$A$2:$A$3201,0)=ROW()-1,1,0))</f>
        <v/>
      </c>
      <c r="C1982" s="0" t="str">
        <f aca="false">IF(B1982=1,MAX(C$1:C1981)+1,"")</f>
        <v/>
      </c>
    </row>
    <row r="1983" customFormat="false" ht="15" hidden="false" customHeight="false" outlineLevel="0" collapsed="false">
      <c r="A1983" s="0" t="str">
        <f aca="false">IF(COMPRAS!K783="","",COMPRAS!K783)</f>
        <v/>
      </c>
      <c r="B1983" s="0" t="str">
        <f aca="false">IF(A1983="","",IF(MATCH(A1983,$A$2:$A$3201,0)=ROW()-1,1,0))</f>
        <v/>
      </c>
      <c r="C1983" s="0" t="str">
        <f aca="false">IF(B1983=1,MAX(C$1:C1982)+1,"")</f>
        <v/>
      </c>
    </row>
    <row r="1984" customFormat="false" ht="15" hidden="false" customHeight="false" outlineLevel="0" collapsed="false">
      <c r="A1984" s="0" t="str">
        <f aca="false">IF(COMPRAS!K784="","",COMPRAS!K784)</f>
        <v/>
      </c>
      <c r="B1984" s="0" t="str">
        <f aca="false">IF(A1984="","",IF(MATCH(A1984,$A$2:$A$3201,0)=ROW()-1,1,0))</f>
        <v/>
      </c>
      <c r="C1984" s="0" t="str">
        <f aca="false">IF(B1984=1,MAX(C$1:C1983)+1,"")</f>
        <v/>
      </c>
    </row>
    <row r="1985" customFormat="false" ht="15" hidden="false" customHeight="false" outlineLevel="0" collapsed="false">
      <c r="A1985" s="0" t="str">
        <f aca="false">IF(COMPRAS!K785="","",COMPRAS!K785)</f>
        <v/>
      </c>
      <c r="B1985" s="0" t="str">
        <f aca="false">IF(A1985="","",IF(MATCH(A1985,$A$2:$A$3201,0)=ROW()-1,1,0))</f>
        <v/>
      </c>
      <c r="C1985" s="0" t="str">
        <f aca="false">IF(B1985=1,MAX(C$1:C1984)+1,"")</f>
        <v/>
      </c>
    </row>
    <row r="1986" customFormat="false" ht="15" hidden="false" customHeight="false" outlineLevel="0" collapsed="false">
      <c r="A1986" s="0" t="str">
        <f aca="false">IF(COMPRAS!K786="","",COMPRAS!K786)</f>
        <v/>
      </c>
      <c r="B1986" s="0" t="str">
        <f aca="false">IF(A1986="","",IF(MATCH(A1986,$A$2:$A$3201,0)=ROW()-1,1,0))</f>
        <v/>
      </c>
      <c r="C1986" s="0" t="str">
        <f aca="false">IF(B1986=1,MAX(C$1:C1985)+1,"")</f>
        <v/>
      </c>
    </row>
    <row r="1987" customFormat="false" ht="15" hidden="false" customHeight="false" outlineLevel="0" collapsed="false">
      <c r="A1987" s="0" t="str">
        <f aca="false">IF(COMPRAS!K787="","",COMPRAS!K787)</f>
        <v/>
      </c>
      <c r="B1987" s="0" t="str">
        <f aca="false">IF(A1987="","",IF(MATCH(A1987,$A$2:$A$3201,0)=ROW()-1,1,0))</f>
        <v/>
      </c>
      <c r="C1987" s="0" t="str">
        <f aca="false">IF(B1987=1,MAX(C$1:C1986)+1,"")</f>
        <v/>
      </c>
    </row>
    <row r="1988" customFormat="false" ht="15" hidden="false" customHeight="false" outlineLevel="0" collapsed="false">
      <c r="A1988" s="0" t="str">
        <f aca="false">IF(COMPRAS!K788="","",COMPRAS!K788)</f>
        <v/>
      </c>
      <c r="B1988" s="0" t="str">
        <f aca="false">IF(A1988="","",IF(MATCH(A1988,$A$2:$A$3201,0)=ROW()-1,1,0))</f>
        <v/>
      </c>
      <c r="C1988" s="0" t="str">
        <f aca="false">IF(B1988=1,MAX(C$1:C1987)+1,"")</f>
        <v/>
      </c>
    </row>
    <row r="1989" customFormat="false" ht="15" hidden="false" customHeight="false" outlineLevel="0" collapsed="false">
      <c r="A1989" s="0" t="str">
        <f aca="false">IF(COMPRAS!K789="","",COMPRAS!K789)</f>
        <v/>
      </c>
      <c r="B1989" s="0" t="str">
        <f aca="false">IF(A1989="","",IF(MATCH(A1989,$A$2:$A$3201,0)=ROW()-1,1,0))</f>
        <v/>
      </c>
      <c r="C1989" s="0" t="str">
        <f aca="false">IF(B1989=1,MAX(C$1:C1988)+1,"")</f>
        <v/>
      </c>
    </row>
    <row r="1990" customFormat="false" ht="15" hidden="false" customHeight="false" outlineLevel="0" collapsed="false">
      <c r="A1990" s="0" t="str">
        <f aca="false">IF(COMPRAS!K790="","",COMPRAS!K790)</f>
        <v/>
      </c>
      <c r="B1990" s="0" t="str">
        <f aca="false">IF(A1990="","",IF(MATCH(A1990,$A$2:$A$3201,0)=ROW()-1,1,0))</f>
        <v/>
      </c>
      <c r="C1990" s="0" t="str">
        <f aca="false">IF(B1990=1,MAX(C$1:C1989)+1,"")</f>
        <v/>
      </c>
    </row>
    <row r="1991" customFormat="false" ht="15" hidden="false" customHeight="false" outlineLevel="0" collapsed="false">
      <c r="A1991" s="0" t="str">
        <f aca="false">IF(COMPRAS!K791="","",COMPRAS!K791)</f>
        <v/>
      </c>
      <c r="B1991" s="0" t="str">
        <f aca="false">IF(A1991="","",IF(MATCH(A1991,$A$2:$A$3201,0)=ROW()-1,1,0))</f>
        <v/>
      </c>
      <c r="C1991" s="0" t="str">
        <f aca="false">IF(B1991=1,MAX(C$1:C1990)+1,"")</f>
        <v/>
      </c>
    </row>
    <row r="1992" customFormat="false" ht="15" hidden="false" customHeight="false" outlineLevel="0" collapsed="false">
      <c r="A1992" s="0" t="str">
        <f aca="false">IF(COMPRAS!K792="","",COMPRAS!K792)</f>
        <v/>
      </c>
      <c r="B1992" s="0" t="str">
        <f aca="false">IF(A1992="","",IF(MATCH(A1992,$A$2:$A$3201,0)=ROW()-1,1,0))</f>
        <v/>
      </c>
      <c r="C1992" s="0" t="str">
        <f aca="false">IF(B1992=1,MAX(C$1:C1991)+1,"")</f>
        <v/>
      </c>
    </row>
    <row r="1993" customFormat="false" ht="15" hidden="false" customHeight="false" outlineLevel="0" collapsed="false">
      <c r="A1993" s="0" t="str">
        <f aca="false">IF(COMPRAS!K793="","",COMPRAS!K793)</f>
        <v/>
      </c>
      <c r="B1993" s="0" t="str">
        <f aca="false">IF(A1993="","",IF(MATCH(A1993,$A$2:$A$3201,0)=ROW()-1,1,0))</f>
        <v/>
      </c>
      <c r="C1993" s="0" t="str">
        <f aca="false">IF(B1993=1,MAX(C$1:C1992)+1,"")</f>
        <v/>
      </c>
    </row>
    <row r="1994" customFormat="false" ht="15" hidden="false" customHeight="false" outlineLevel="0" collapsed="false">
      <c r="A1994" s="0" t="str">
        <f aca="false">IF(COMPRAS!K794="","",COMPRAS!K794)</f>
        <v/>
      </c>
      <c r="B1994" s="0" t="str">
        <f aca="false">IF(A1994="","",IF(MATCH(A1994,$A$2:$A$3201,0)=ROW()-1,1,0))</f>
        <v/>
      </c>
      <c r="C1994" s="0" t="str">
        <f aca="false">IF(B1994=1,MAX(C$1:C1993)+1,"")</f>
        <v/>
      </c>
    </row>
    <row r="1995" customFormat="false" ht="15" hidden="false" customHeight="false" outlineLevel="0" collapsed="false">
      <c r="A1995" s="0" t="str">
        <f aca="false">IF(COMPRAS!K795="","",COMPRAS!K795)</f>
        <v/>
      </c>
      <c r="B1995" s="0" t="str">
        <f aca="false">IF(A1995="","",IF(MATCH(A1995,$A$2:$A$3201,0)=ROW()-1,1,0))</f>
        <v/>
      </c>
      <c r="C1995" s="0" t="str">
        <f aca="false">IF(B1995=1,MAX(C$1:C1994)+1,"")</f>
        <v/>
      </c>
    </row>
    <row r="1996" customFormat="false" ht="15" hidden="false" customHeight="false" outlineLevel="0" collapsed="false">
      <c r="A1996" s="0" t="str">
        <f aca="false">IF(COMPRAS!K796="","",COMPRAS!K796)</f>
        <v/>
      </c>
      <c r="B1996" s="0" t="str">
        <f aca="false">IF(A1996="","",IF(MATCH(A1996,$A$2:$A$3201,0)=ROW()-1,1,0))</f>
        <v/>
      </c>
      <c r="C1996" s="0" t="str">
        <f aca="false">IF(B1996=1,MAX(C$1:C1995)+1,"")</f>
        <v/>
      </c>
    </row>
    <row r="1997" customFormat="false" ht="15" hidden="false" customHeight="false" outlineLevel="0" collapsed="false">
      <c r="A1997" s="0" t="str">
        <f aca="false">IF(COMPRAS!K797="","",COMPRAS!K797)</f>
        <v/>
      </c>
      <c r="B1997" s="0" t="str">
        <f aca="false">IF(A1997="","",IF(MATCH(A1997,$A$2:$A$3201,0)=ROW()-1,1,0))</f>
        <v/>
      </c>
      <c r="C1997" s="0" t="str">
        <f aca="false">IF(B1997=1,MAX(C$1:C1996)+1,"")</f>
        <v/>
      </c>
    </row>
    <row r="1998" customFormat="false" ht="15" hidden="false" customHeight="false" outlineLevel="0" collapsed="false">
      <c r="A1998" s="0" t="str">
        <f aca="false">IF(COMPRAS!K798="","",COMPRAS!K798)</f>
        <v/>
      </c>
      <c r="B1998" s="0" t="str">
        <f aca="false">IF(A1998="","",IF(MATCH(A1998,$A$2:$A$3201,0)=ROW()-1,1,0))</f>
        <v/>
      </c>
      <c r="C1998" s="0" t="str">
        <f aca="false">IF(B1998=1,MAX(C$1:C1997)+1,"")</f>
        <v/>
      </c>
    </row>
    <row r="1999" customFormat="false" ht="15" hidden="false" customHeight="false" outlineLevel="0" collapsed="false">
      <c r="A1999" s="0" t="str">
        <f aca="false">IF(COMPRAS!K799="","",COMPRAS!K799)</f>
        <v/>
      </c>
      <c r="B1999" s="0" t="str">
        <f aca="false">IF(A1999="","",IF(MATCH(A1999,$A$2:$A$3201,0)=ROW()-1,1,0))</f>
        <v/>
      </c>
      <c r="C1999" s="0" t="str">
        <f aca="false">IF(B1999=1,MAX(C$1:C1998)+1,"")</f>
        <v/>
      </c>
    </row>
    <row r="2000" customFormat="false" ht="15" hidden="false" customHeight="false" outlineLevel="0" collapsed="false">
      <c r="A2000" s="0" t="str">
        <f aca="false">IF(COMPRAS!K800="","",COMPRAS!K800)</f>
        <v/>
      </c>
      <c r="B2000" s="0" t="str">
        <f aca="false">IF(A2000="","",IF(MATCH(A2000,$A$2:$A$3201,0)=ROW()-1,1,0))</f>
        <v/>
      </c>
      <c r="C2000" s="0" t="str">
        <f aca="false">IF(B2000=1,MAX(C$1:C1999)+1,"")</f>
        <v/>
      </c>
    </row>
    <row r="2001" customFormat="false" ht="15" hidden="false" customHeight="false" outlineLevel="0" collapsed="false">
      <c r="A2001" s="0" t="str">
        <f aca="false">IF(COMPRAS!K801="","",COMPRAS!K801)</f>
        <v/>
      </c>
      <c r="B2001" s="0" t="str">
        <f aca="false">IF(A2001="","",IF(MATCH(A2001,$A$2:$A$3201,0)=ROW()-1,1,0))</f>
        <v/>
      </c>
      <c r="C2001" s="0" t="str">
        <f aca="false">IF(B2001=1,MAX(C$1:C2000)+1,"")</f>
        <v/>
      </c>
    </row>
    <row r="2002" customFormat="false" ht="15" hidden="false" customHeight="false" outlineLevel="0" collapsed="false">
      <c r="A2002" s="0" t="str">
        <f aca="false">IF(COMPRAS!K802="","",COMPRAS!K802)</f>
        <v/>
      </c>
      <c r="B2002" s="0" t="str">
        <f aca="false">IF(A2002="","",IF(MATCH(A2002,$A$2:$A$3201,0)=ROW()-1,1,0))</f>
        <v/>
      </c>
      <c r="C2002" s="0" t="str">
        <f aca="false">IF(B2002=1,MAX(C$1:C2001)+1,"")</f>
        <v/>
      </c>
    </row>
    <row r="2003" customFormat="false" ht="15" hidden="false" customHeight="false" outlineLevel="0" collapsed="false">
      <c r="A2003" s="0" t="str">
        <f aca="false">IF(COMPRAS!K803="","",COMPRAS!K803)</f>
        <v/>
      </c>
      <c r="B2003" s="0" t="str">
        <f aca="false">IF(A2003="","",IF(MATCH(A2003,$A$2:$A$3201,0)=ROW()-1,1,0))</f>
        <v/>
      </c>
      <c r="C2003" s="0" t="str">
        <f aca="false">IF(B2003=1,MAX(C$1:C2002)+1,"")</f>
        <v/>
      </c>
    </row>
    <row r="2004" customFormat="false" ht="15" hidden="false" customHeight="false" outlineLevel="0" collapsed="false">
      <c r="A2004" s="0" t="str">
        <f aca="false">IF(COMPRAS!K804="","",COMPRAS!K804)</f>
        <v/>
      </c>
      <c r="B2004" s="0" t="str">
        <f aca="false">IF(A2004="","",IF(MATCH(A2004,$A$2:$A$3201,0)=ROW()-1,1,0))</f>
        <v/>
      </c>
      <c r="C2004" s="0" t="str">
        <f aca="false">IF(B2004=1,MAX(C$1:C2003)+1,"")</f>
        <v/>
      </c>
    </row>
    <row r="2005" customFormat="false" ht="15" hidden="false" customHeight="false" outlineLevel="0" collapsed="false">
      <c r="A2005" s="0" t="str">
        <f aca="false">IF(COMPRAS!K805="","",COMPRAS!K805)</f>
        <v/>
      </c>
      <c r="B2005" s="0" t="str">
        <f aca="false">IF(A2005="","",IF(MATCH(A2005,$A$2:$A$3201,0)=ROW()-1,1,0))</f>
        <v/>
      </c>
      <c r="C2005" s="0" t="str">
        <f aca="false">IF(B2005=1,MAX(C$1:C2004)+1,"")</f>
        <v/>
      </c>
    </row>
    <row r="2006" customFormat="false" ht="15" hidden="false" customHeight="false" outlineLevel="0" collapsed="false">
      <c r="A2006" s="0" t="str">
        <f aca="false">IF(COMPRAS!K806="","",COMPRAS!K806)</f>
        <v/>
      </c>
      <c r="B2006" s="0" t="str">
        <f aca="false">IF(A2006="","",IF(MATCH(A2006,$A$2:$A$3201,0)=ROW()-1,1,0))</f>
        <v/>
      </c>
      <c r="C2006" s="0" t="str">
        <f aca="false">IF(B2006=1,MAX(C$1:C2005)+1,"")</f>
        <v/>
      </c>
    </row>
    <row r="2007" customFormat="false" ht="15" hidden="false" customHeight="false" outlineLevel="0" collapsed="false">
      <c r="A2007" s="0" t="str">
        <f aca="false">IF(COMPRAS!K807="","",COMPRAS!K807)</f>
        <v/>
      </c>
      <c r="B2007" s="0" t="str">
        <f aca="false">IF(A2007="","",IF(MATCH(A2007,$A$2:$A$3201,0)=ROW()-1,1,0))</f>
        <v/>
      </c>
      <c r="C2007" s="0" t="str">
        <f aca="false">IF(B2007=1,MAX(C$1:C2006)+1,"")</f>
        <v/>
      </c>
    </row>
    <row r="2008" customFormat="false" ht="15" hidden="false" customHeight="false" outlineLevel="0" collapsed="false">
      <c r="A2008" s="0" t="str">
        <f aca="false">IF(COMPRAS!K808="","",COMPRAS!K808)</f>
        <v/>
      </c>
      <c r="B2008" s="0" t="str">
        <f aca="false">IF(A2008="","",IF(MATCH(A2008,$A$2:$A$3201,0)=ROW()-1,1,0))</f>
        <v/>
      </c>
      <c r="C2008" s="0" t="str">
        <f aca="false">IF(B2008=1,MAX(C$1:C2007)+1,"")</f>
        <v/>
      </c>
    </row>
    <row r="2009" customFormat="false" ht="15" hidden="false" customHeight="false" outlineLevel="0" collapsed="false">
      <c r="A2009" s="0" t="str">
        <f aca="false">IF(COMPRAS!K809="","",COMPRAS!K809)</f>
        <v/>
      </c>
      <c r="B2009" s="0" t="str">
        <f aca="false">IF(A2009="","",IF(MATCH(A2009,$A$2:$A$3201,0)=ROW()-1,1,0))</f>
        <v/>
      </c>
      <c r="C2009" s="0" t="str">
        <f aca="false">IF(B2009=1,MAX(C$1:C2008)+1,"")</f>
        <v/>
      </c>
    </row>
    <row r="2010" customFormat="false" ht="15" hidden="false" customHeight="false" outlineLevel="0" collapsed="false">
      <c r="A2010" s="0" t="str">
        <f aca="false">IF(COMPRAS!K810="","",COMPRAS!K810)</f>
        <v/>
      </c>
      <c r="B2010" s="0" t="str">
        <f aca="false">IF(A2010="","",IF(MATCH(A2010,$A$2:$A$3201,0)=ROW()-1,1,0))</f>
        <v/>
      </c>
      <c r="C2010" s="0" t="str">
        <f aca="false">IF(B2010=1,MAX(C$1:C2009)+1,"")</f>
        <v/>
      </c>
    </row>
    <row r="2011" customFormat="false" ht="15" hidden="false" customHeight="false" outlineLevel="0" collapsed="false">
      <c r="A2011" s="0" t="str">
        <f aca="false">IF(COMPRAS!K811="","",COMPRAS!K811)</f>
        <v/>
      </c>
      <c r="B2011" s="0" t="str">
        <f aca="false">IF(A2011="","",IF(MATCH(A2011,$A$2:$A$3201,0)=ROW()-1,1,0))</f>
        <v/>
      </c>
      <c r="C2011" s="0" t="str">
        <f aca="false">IF(B2011=1,MAX(C$1:C2010)+1,"")</f>
        <v/>
      </c>
    </row>
    <row r="2012" customFormat="false" ht="15" hidden="false" customHeight="false" outlineLevel="0" collapsed="false">
      <c r="A2012" s="0" t="str">
        <f aca="false">IF(COMPRAS!K812="","",COMPRAS!K812)</f>
        <v/>
      </c>
      <c r="B2012" s="0" t="str">
        <f aca="false">IF(A2012="","",IF(MATCH(A2012,$A$2:$A$3201,0)=ROW()-1,1,0))</f>
        <v/>
      </c>
      <c r="C2012" s="0" t="str">
        <f aca="false">IF(B2012=1,MAX(C$1:C2011)+1,"")</f>
        <v/>
      </c>
    </row>
    <row r="2013" customFormat="false" ht="15" hidden="false" customHeight="false" outlineLevel="0" collapsed="false">
      <c r="A2013" s="0" t="str">
        <f aca="false">IF(COMPRAS!K813="","",COMPRAS!K813)</f>
        <v/>
      </c>
      <c r="B2013" s="0" t="str">
        <f aca="false">IF(A2013="","",IF(MATCH(A2013,$A$2:$A$3201,0)=ROW()-1,1,0))</f>
        <v/>
      </c>
      <c r="C2013" s="0" t="str">
        <f aca="false">IF(B2013=1,MAX(C$1:C2012)+1,"")</f>
        <v/>
      </c>
    </row>
    <row r="2014" customFormat="false" ht="15" hidden="false" customHeight="false" outlineLevel="0" collapsed="false">
      <c r="A2014" s="0" t="str">
        <f aca="false">IF(COMPRAS!K814="","",COMPRAS!K814)</f>
        <v/>
      </c>
      <c r="B2014" s="0" t="str">
        <f aca="false">IF(A2014="","",IF(MATCH(A2014,$A$2:$A$3201,0)=ROW()-1,1,0))</f>
        <v/>
      </c>
      <c r="C2014" s="0" t="str">
        <f aca="false">IF(B2014=1,MAX(C$1:C2013)+1,"")</f>
        <v/>
      </c>
    </row>
    <row r="2015" customFormat="false" ht="15" hidden="false" customHeight="false" outlineLevel="0" collapsed="false">
      <c r="A2015" s="0" t="str">
        <f aca="false">IF(COMPRAS!K815="","",COMPRAS!K815)</f>
        <v/>
      </c>
      <c r="B2015" s="0" t="str">
        <f aca="false">IF(A2015="","",IF(MATCH(A2015,$A$2:$A$3201,0)=ROW()-1,1,0))</f>
        <v/>
      </c>
      <c r="C2015" s="0" t="str">
        <f aca="false">IF(B2015=1,MAX(C$1:C2014)+1,"")</f>
        <v/>
      </c>
    </row>
    <row r="2016" customFormat="false" ht="15" hidden="false" customHeight="false" outlineLevel="0" collapsed="false">
      <c r="A2016" s="0" t="str">
        <f aca="false">IF(COMPRAS!K816="","",COMPRAS!K816)</f>
        <v/>
      </c>
      <c r="B2016" s="0" t="str">
        <f aca="false">IF(A2016="","",IF(MATCH(A2016,$A$2:$A$3201,0)=ROW()-1,1,0))</f>
        <v/>
      </c>
      <c r="C2016" s="0" t="str">
        <f aca="false">IF(B2016=1,MAX(C$1:C2015)+1,"")</f>
        <v/>
      </c>
    </row>
    <row r="2017" customFormat="false" ht="15" hidden="false" customHeight="false" outlineLevel="0" collapsed="false">
      <c r="A2017" s="0" t="str">
        <f aca="false">IF(COMPRAS!K817="","",COMPRAS!K817)</f>
        <v/>
      </c>
      <c r="B2017" s="0" t="str">
        <f aca="false">IF(A2017="","",IF(MATCH(A2017,$A$2:$A$3201,0)=ROW()-1,1,0))</f>
        <v/>
      </c>
      <c r="C2017" s="0" t="str">
        <f aca="false">IF(B2017=1,MAX(C$1:C2016)+1,"")</f>
        <v/>
      </c>
    </row>
    <row r="2018" customFormat="false" ht="15" hidden="false" customHeight="false" outlineLevel="0" collapsed="false">
      <c r="A2018" s="0" t="str">
        <f aca="false">IF(COMPRAS!K818="","",COMPRAS!K818)</f>
        <v/>
      </c>
      <c r="B2018" s="0" t="str">
        <f aca="false">IF(A2018="","",IF(MATCH(A2018,$A$2:$A$3201,0)=ROW()-1,1,0))</f>
        <v/>
      </c>
      <c r="C2018" s="0" t="str">
        <f aca="false">IF(B2018=1,MAX(C$1:C2017)+1,"")</f>
        <v/>
      </c>
    </row>
    <row r="2019" customFormat="false" ht="15" hidden="false" customHeight="false" outlineLevel="0" collapsed="false">
      <c r="A2019" s="0" t="str">
        <f aca="false">IF(COMPRAS!K819="","",COMPRAS!K819)</f>
        <v/>
      </c>
      <c r="B2019" s="0" t="str">
        <f aca="false">IF(A2019="","",IF(MATCH(A2019,$A$2:$A$3201,0)=ROW()-1,1,0))</f>
        <v/>
      </c>
      <c r="C2019" s="0" t="str">
        <f aca="false">IF(B2019=1,MAX(C$1:C2018)+1,"")</f>
        <v/>
      </c>
    </row>
    <row r="2020" customFormat="false" ht="15" hidden="false" customHeight="false" outlineLevel="0" collapsed="false">
      <c r="A2020" s="0" t="str">
        <f aca="false">IF(COMPRAS!K820="","",COMPRAS!K820)</f>
        <v/>
      </c>
      <c r="B2020" s="0" t="str">
        <f aca="false">IF(A2020="","",IF(MATCH(A2020,$A$2:$A$3201,0)=ROW()-1,1,0))</f>
        <v/>
      </c>
      <c r="C2020" s="0" t="str">
        <f aca="false">IF(B2020=1,MAX(C$1:C2019)+1,"")</f>
        <v/>
      </c>
    </row>
    <row r="2021" customFormat="false" ht="15" hidden="false" customHeight="false" outlineLevel="0" collapsed="false">
      <c r="A2021" s="0" t="str">
        <f aca="false">IF(COMPRAS!K821="","",COMPRAS!K821)</f>
        <v/>
      </c>
      <c r="B2021" s="0" t="str">
        <f aca="false">IF(A2021="","",IF(MATCH(A2021,$A$2:$A$3201,0)=ROW()-1,1,0))</f>
        <v/>
      </c>
      <c r="C2021" s="0" t="str">
        <f aca="false">IF(B2021=1,MAX(C$1:C2020)+1,"")</f>
        <v/>
      </c>
    </row>
    <row r="2022" customFormat="false" ht="15" hidden="false" customHeight="false" outlineLevel="0" collapsed="false">
      <c r="A2022" s="0" t="str">
        <f aca="false">IF(COMPRAS!K822="","",COMPRAS!K822)</f>
        <v/>
      </c>
      <c r="B2022" s="0" t="str">
        <f aca="false">IF(A2022="","",IF(MATCH(A2022,$A$2:$A$3201,0)=ROW()-1,1,0))</f>
        <v/>
      </c>
      <c r="C2022" s="0" t="str">
        <f aca="false">IF(B2022=1,MAX(C$1:C2021)+1,"")</f>
        <v/>
      </c>
    </row>
    <row r="2023" customFormat="false" ht="15" hidden="false" customHeight="false" outlineLevel="0" collapsed="false">
      <c r="A2023" s="0" t="str">
        <f aca="false">IF(COMPRAS!K823="","",COMPRAS!K823)</f>
        <v/>
      </c>
      <c r="B2023" s="0" t="str">
        <f aca="false">IF(A2023="","",IF(MATCH(A2023,$A$2:$A$3201,0)=ROW()-1,1,0))</f>
        <v/>
      </c>
      <c r="C2023" s="0" t="str">
        <f aca="false">IF(B2023=1,MAX(C$1:C2022)+1,"")</f>
        <v/>
      </c>
    </row>
    <row r="2024" customFormat="false" ht="15" hidden="false" customHeight="false" outlineLevel="0" collapsed="false">
      <c r="A2024" s="0" t="str">
        <f aca="false">IF(COMPRAS!K824="","",COMPRAS!K824)</f>
        <v/>
      </c>
      <c r="B2024" s="0" t="str">
        <f aca="false">IF(A2024="","",IF(MATCH(A2024,$A$2:$A$3201,0)=ROW()-1,1,0))</f>
        <v/>
      </c>
      <c r="C2024" s="0" t="str">
        <f aca="false">IF(B2024=1,MAX(C$1:C2023)+1,"")</f>
        <v/>
      </c>
    </row>
    <row r="2025" customFormat="false" ht="15" hidden="false" customHeight="false" outlineLevel="0" collapsed="false">
      <c r="A2025" s="0" t="str">
        <f aca="false">IF(COMPRAS!K825="","",COMPRAS!K825)</f>
        <v/>
      </c>
      <c r="B2025" s="0" t="str">
        <f aca="false">IF(A2025="","",IF(MATCH(A2025,$A$2:$A$3201,0)=ROW()-1,1,0))</f>
        <v/>
      </c>
      <c r="C2025" s="0" t="str">
        <f aca="false">IF(B2025=1,MAX(C$1:C2024)+1,"")</f>
        <v/>
      </c>
    </row>
    <row r="2026" customFormat="false" ht="15" hidden="false" customHeight="false" outlineLevel="0" collapsed="false">
      <c r="A2026" s="0" t="str">
        <f aca="false">IF(COMPRAS!K826="","",COMPRAS!K826)</f>
        <v/>
      </c>
      <c r="B2026" s="0" t="str">
        <f aca="false">IF(A2026="","",IF(MATCH(A2026,$A$2:$A$3201,0)=ROW()-1,1,0))</f>
        <v/>
      </c>
      <c r="C2026" s="0" t="str">
        <f aca="false">IF(B2026=1,MAX(C$1:C2025)+1,"")</f>
        <v/>
      </c>
    </row>
    <row r="2027" customFormat="false" ht="15" hidden="false" customHeight="false" outlineLevel="0" collapsed="false">
      <c r="A2027" s="0" t="str">
        <f aca="false">IF(COMPRAS!K827="","",COMPRAS!K827)</f>
        <v/>
      </c>
      <c r="B2027" s="0" t="str">
        <f aca="false">IF(A2027="","",IF(MATCH(A2027,$A$2:$A$3201,0)=ROW()-1,1,0))</f>
        <v/>
      </c>
      <c r="C2027" s="0" t="str">
        <f aca="false">IF(B2027=1,MAX(C$1:C2026)+1,"")</f>
        <v/>
      </c>
    </row>
    <row r="2028" customFormat="false" ht="15" hidden="false" customHeight="false" outlineLevel="0" collapsed="false">
      <c r="A2028" s="0" t="str">
        <f aca="false">IF(COMPRAS!K828="","",COMPRAS!K828)</f>
        <v/>
      </c>
      <c r="B2028" s="0" t="str">
        <f aca="false">IF(A2028="","",IF(MATCH(A2028,$A$2:$A$3201,0)=ROW()-1,1,0))</f>
        <v/>
      </c>
      <c r="C2028" s="0" t="str">
        <f aca="false">IF(B2028=1,MAX(C$1:C2027)+1,"")</f>
        <v/>
      </c>
    </row>
    <row r="2029" customFormat="false" ht="15" hidden="false" customHeight="false" outlineLevel="0" collapsed="false">
      <c r="A2029" s="0" t="str">
        <f aca="false">IF(COMPRAS!K829="","",COMPRAS!K829)</f>
        <v/>
      </c>
      <c r="B2029" s="0" t="str">
        <f aca="false">IF(A2029="","",IF(MATCH(A2029,$A$2:$A$3201,0)=ROW()-1,1,0))</f>
        <v/>
      </c>
      <c r="C2029" s="0" t="str">
        <f aca="false">IF(B2029=1,MAX(C$1:C2028)+1,"")</f>
        <v/>
      </c>
    </row>
    <row r="2030" customFormat="false" ht="15" hidden="false" customHeight="false" outlineLevel="0" collapsed="false">
      <c r="A2030" s="0" t="str">
        <f aca="false">IF(COMPRAS!K830="","",COMPRAS!K830)</f>
        <v/>
      </c>
      <c r="B2030" s="0" t="str">
        <f aca="false">IF(A2030="","",IF(MATCH(A2030,$A$2:$A$3201,0)=ROW()-1,1,0))</f>
        <v/>
      </c>
      <c r="C2030" s="0" t="str">
        <f aca="false">IF(B2030=1,MAX(C$1:C2029)+1,"")</f>
        <v/>
      </c>
    </row>
    <row r="2031" customFormat="false" ht="15" hidden="false" customHeight="false" outlineLevel="0" collapsed="false">
      <c r="A2031" s="0" t="str">
        <f aca="false">IF(COMPRAS!K831="","",COMPRAS!K831)</f>
        <v/>
      </c>
      <c r="B2031" s="0" t="str">
        <f aca="false">IF(A2031="","",IF(MATCH(A2031,$A$2:$A$3201,0)=ROW()-1,1,0))</f>
        <v/>
      </c>
      <c r="C2031" s="0" t="str">
        <f aca="false">IF(B2031=1,MAX(C$1:C2030)+1,"")</f>
        <v/>
      </c>
    </row>
    <row r="2032" customFormat="false" ht="15" hidden="false" customHeight="false" outlineLevel="0" collapsed="false">
      <c r="A2032" s="0" t="str">
        <f aca="false">IF(COMPRAS!K832="","",COMPRAS!K832)</f>
        <v/>
      </c>
      <c r="B2032" s="0" t="str">
        <f aca="false">IF(A2032="","",IF(MATCH(A2032,$A$2:$A$3201,0)=ROW()-1,1,0))</f>
        <v/>
      </c>
      <c r="C2032" s="0" t="str">
        <f aca="false">IF(B2032=1,MAX(C$1:C2031)+1,"")</f>
        <v/>
      </c>
    </row>
    <row r="2033" customFormat="false" ht="15" hidden="false" customHeight="false" outlineLevel="0" collapsed="false">
      <c r="A2033" s="0" t="str">
        <f aca="false">IF(COMPRAS!K833="","",COMPRAS!K833)</f>
        <v/>
      </c>
      <c r="B2033" s="0" t="str">
        <f aca="false">IF(A2033="","",IF(MATCH(A2033,$A$2:$A$3201,0)=ROW()-1,1,0))</f>
        <v/>
      </c>
      <c r="C2033" s="0" t="str">
        <f aca="false">IF(B2033=1,MAX(C$1:C2032)+1,"")</f>
        <v/>
      </c>
    </row>
    <row r="2034" customFormat="false" ht="15" hidden="false" customHeight="false" outlineLevel="0" collapsed="false">
      <c r="A2034" s="0" t="str">
        <f aca="false">IF(COMPRAS!K834="","",COMPRAS!K834)</f>
        <v/>
      </c>
      <c r="B2034" s="0" t="str">
        <f aca="false">IF(A2034="","",IF(MATCH(A2034,$A$2:$A$3201,0)=ROW()-1,1,0))</f>
        <v/>
      </c>
      <c r="C2034" s="0" t="str">
        <f aca="false">IF(B2034=1,MAX(C$1:C2033)+1,"")</f>
        <v/>
      </c>
    </row>
    <row r="2035" customFormat="false" ht="15" hidden="false" customHeight="false" outlineLevel="0" collapsed="false">
      <c r="A2035" s="0" t="str">
        <f aca="false">IF(COMPRAS!K835="","",COMPRAS!K835)</f>
        <v/>
      </c>
      <c r="B2035" s="0" t="str">
        <f aca="false">IF(A2035="","",IF(MATCH(A2035,$A$2:$A$3201,0)=ROW()-1,1,0))</f>
        <v/>
      </c>
      <c r="C2035" s="0" t="str">
        <f aca="false">IF(B2035=1,MAX(C$1:C2034)+1,"")</f>
        <v/>
      </c>
    </row>
    <row r="2036" customFormat="false" ht="15" hidden="false" customHeight="false" outlineLevel="0" collapsed="false">
      <c r="A2036" s="0" t="str">
        <f aca="false">IF(COMPRAS!K836="","",COMPRAS!K836)</f>
        <v/>
      </c>
      <c r="B2036" s="0" t="str">
        <f aca="false">IF(A2036="","",IF(MATCH(A2036,$A$2:$A$3201,0)=ROW()-1,1,0))</f>
        <v/>
      </c>
      <c r="C2036" s="0" t="str">
        <f aca="false">IF(B2036=1,MAX(C$1:C2035)+1,"")</f>
        <v/>
      </c>
    </row>
    <row r="2037" customFormat="false" ht="15" hidden="false" customHeight="false" outlineLevel="0" collapsed="false">
      <c r="A2037" s="0" t="str">
        <f aca="false">IF(COMPRAS!K837="","",COMPRAS!K837)</f>
        <v/>
      </c>
      <c r="B2037" s="0" t="str">
        <f aca="false">IF(A2037="","",IF(MATCH(A2037,$A$2:$A$3201,0)=ROW()-1,1,0))</f>
        <v/>
      </c>
      <c r="C2037" s="0" t="str">
        <f aca="false">IF(B2037=1,MAX(C$1:C2036)+1,"")</f>
        <v/>
      </c>
    </row>
    <row r="2038" customFormat="false" ht="15" hidden="false" customHeight="false" outlineLevel="0" collapsed="false">
      <c r="A2038" s="0" t="str">
        <f aca="false">IF(COMPRAS!K838="","",COMPRAS!K838)</f>
        <v/>
      </c>
      <c r="B2038" s="0" t="str">
        <f aca="false">IF(A2038="","",IF(MATCH(A2038,$A$2:$A$3201,0)=ROW()-1,1,0))</f>
        <v/>
      </c>
      <c r="C2038" s="0" t="str">
        <f aca="false">IF(B2038=1,MAX(C$1:C2037)+1,"")</f>
        <v/>
      </c>
    </row>
    <row r="2039" customFormat="false" ht="15" hidden="false" customHeight="false" outlineLevel="0" collapsed="false">
      <c r="A2039" s="0" t="str">
        <f aca="false">IF(COMPRAS!K839="","",COMPRAS!K839)</f>
        <v/>
      </c>
      <c r="B2039" s="0" t="str">
        <f aca="false">IF(A2039="","",IF(MATCH(A2039,$A$2:$A$3201,0)=ROW()-1,1,0))</f>
        <v/>
      </c>
      <c r="C2039" s="0" t="str">
        <f aca="false">IF(B2039=1,MAX(C$1:C2038)+1,"")</f>
        <v/>
      </c>
    </row>
    <row r="2040" customFormat="false" ht="15" hidden="false" customHeight="false" outlineLevel="0" collapsed="false">
      <c r="A2040" s="0" t="str">
        <f aca="false">IF(COMPRAS!K840="","",COMPRAS!K840)</f>
        <v/>
      </c>
      <c r="B2040" s="0" t="str">
        <f aca="false">IF(A2040="","",IF(MATCH(A2040,$A$2:$A$3201,0)=ROW()-1,1,0))</f>
        <v/>
      </c>
      <c r="C2040" s="0" t="str">
        <f aca="false">IF(B2040=1,MAX(C$1:C2039)+1,"")</f>
        <v/>
      </c>
    </row>
    <row r="2041" customFormat="false" ht="15" hidden="false" customHeight="false" outlineLevel="0" collapsed="false">
      <c r="A2041" s="0" t="str">
        <f aca="false">IF(COMPRAS!K841="","",COMPRAS!K841)</f>
        <v/>
      </c>
      <c r="B2041" s="0" t="str">
        <f aca="false">IF(A2041="","",IF(MATCH(A2041,$A$2:$A$3201,0)=ROW()-1,1,0))</f>
        <v/>
      </c>
      <c r="C2041" s="0" t="str">
        <f aca="false">IF(B2041=1,MAX(C$1:C2040)+1,"")</f>
        <v/>
      </c>
    </row>
    <row r="2042" customFormat="false" ht="15" hidden="false" customHeight="false" outlineLevel="0" collapsed="false">
      <c r="A2042" s="0" t="str">
        <f aca="false">IF(COMPRAS!K842="","",COMPRAS!K842)</f>
        <v/>
      </c>
      <c r="B2042" s="0" t="str">
        <f aca="false">IF(A2042="","",IF(MATCH(A2042,$A$2:$A$3201,0)=ROW()-1,1,0))</f>
        <v/>
      </c>
      <c r="C2042" s="0" t="str">
        <f aca="false">IF(B2042=1,MAX(C$1:C2041)+1,"")</f>
        <v/>
      </c>
    </row>
    <row r="2043" customFormat="false" ht="15" hidden="false" customHeight="false" outlineLevel="0" collapsed="false">
      <c r="A2043" s="0" t="str">
        <f aca="false">IF(COMPRAS!K843="","",COMPRAS!K843)</f>
        <v/>
      </c>
      <c r="B2043" s="0" t="str">
        <f aca="false">IF(A2043="","",IF(MATCH(A2043,$A$2:$A$3201,0)=ROW()-1,1,0))</f>
        <v/>
      </c>
      <c r="C2043" s="0" t="str">
        <f aca="false">IF(B2043=1,MAX(C$1:C2042)+1,"")</f>
        <v/>
      </c>
    </row>
    <row r="2044" customFormat="false" ht="15" hidden="false" customHeight="false" outlineLevel="0" collapsed="false">
      <c r="A2044" s="0" t="str">
        <f aca="false">IF(COMPRAS!K844="","",COMPRAS!K844)</f>
        <v/>
      </c>
      <c r="B2044" s="0" t="str">
        <f aca="false">IF(A2044="","",IF(MATCH(A2044,$A$2:$A$3201,0)=ROW()-1,1,0))</f>
        <v/>
      </c>
      <c r="C2044" s="0" t="str">
        <f aca="false">IF(B2044=1,MAX(C$1:C2043)+1,"")</f>
        <v/>
      </c>
    </row>
    <row r="2045" customFormat="false" ht="15" hidden="false" customHeight="false" outlineLevel="0" collapsed="false">
      <c r="A2045" s="0" t="str">
        <f aca="false">IF(COMPRAS!K845="","",COMPRAS!K845)</f>
        <v/>
      </c>
      <c r="B2045" s="0" t="str">
        <f aca="false">IF(A2045="","",IF(MATCH(A2045,$A$2:$A$3201,0)=ROW()-1,1,0))</f>
        <v/>
      </c>
      <c r="C2045" s="0" t="str">
        <f aca="false">IF(B2045=1,MAX(C$1:C2044)+1,"")</f>
        <v/>
      </c>
    </row>
    <row r="2046" customFormat="false" ht="15" hidden="false" customHeight="false" outlineLevel="0" collapsed="false">
      <c r="A2046" s="0" t="str">
        <f aca="false">IF(COMPRAS!K846="","",COMPRAS!K846)</f>
        <v/>
      </c>
      <c r="B2046" s="0" t="str">
        <f aca="false">IF(A2046="","",IF(MATCH(A2046,$A$2:$A$3201,0)=ROW()-1,1,0))</f>
        <v/>
      </c>
      <c r="C2046" s="0" t="str">
        <f aca="false">IF(B2046=1,MAX(C$1:C2045)+1,"")</f>
        <v/>
      </c>
    </row>
    <row r="2047" customFormat="false" ht="15" hidden="false" customHeight="false" outlineLevel="0" collapsed="false">
      <c r="A2047" s="0" t="str">
        <f aca="false">IF(COMPRAS!K847="","",COMPRAS!K847)</f>
        <v/>
      </c>
      <c r="B2047" s="0" t="str">
        <f aca="false">IF(A2047="","",IF(MATCH(A2047,$A$2:$A$3201,0)=ROW()-1,1,0))</f>
        <v/>
      </c>
      <c r="C2047" s="0" t="str">
        <f aca="false">IF(B2047=1,MAX(C$1:C2046)+1,"")</f>
        <v/>
      </c>
    </row>
    <row r="2048" customFormat="false" ht="15" hidden="false" customHeight="false" outlineLevel="0" collapsed="false">
      <c r="A2048" s="0" t="str">
        <f aca="false">IF(COMPRAS!K848="","",COMPRAS!K848)</f>
        <v/>
      </c>
      <c r="B2048" s="0" t="str">
        <f aca="false">IF(A2048="","",IF(MATCH(A2048,$A$2:$A$3201,0)=ROW()-1,1,0))</f>
        <v/>
      </c>
      <c r="C2048" s="0" t="str">
        <f aca="false">IF(B2048=1,MAX(C$1:C2047)+1,"")</f>
        <v/>
      </c>
    </row>
    <row r="2049" customFormat="false" ht="15" hidden="false" customHeight="false" outlineLevel="0" collapsed="false">
      <c r="A2049" s="0" t="str">
        <f aca="false">IF(COMPRAS!K849="","",COMPRAS!K849)</f>
        <v/>
      </c>
      <c r="B2049" s="0" t="str">
        <f aca="false">IF(A2049="","",IF(MATCH(A2049,$A$2:$A$3201,0)=ROW()-1,1,0))</f>
        <v/>
      </c>
      <c r="C2049" s="0" t="str">
        <f aca="false">IF(B2049=1,MAX(C$1:C2048)+1,"")</f>
        <v/>
      </c>
    </row>
    <row r="2050" customFormat="false" ht="15" hidden="false" customHeight="false" outlineLevel="0" collapsed="false">
      <c r="A2050" s="0" t="str">
        <f aca="false">IF(COMPRAS!K850="","",COMPRAS!K850)</f>
        <v/>
      </c>
      <c r="B2050" s="0" t="str">
        <f aca="false">IF(A2050="","",IF(MATCH(A2050,$A$2:$A$3201,0)=ROW()-1,1,0))</f>
        <v/>
      </c>
      <c r="C2050" s="0" t="str">
        <f aca="false">IF(B2050=1,MAX(C$1:C2049)+1,"")</f>
        <v/>
      </c>
    </row>
    <row r="2051" customFormat="false" ht="15" hidden="false" customHeight="false" outlineLevel="0" collapsed="false">
      <c r="A2051" s="0" t="str">
        <f aca="false">IF(COMPRAS!K851="","",COMPRAS!K851)</f>
        <v/>
      </c>
      <c r="B2051" s="0" t="str">
        <f aca="false">IF(A2051="","",IF(MATCH(A2051,$A$2:$A$3201,0)=ROW()-1,1,0))</f>
        <v/>
      </c>
      <c r="C2051" s="0" t="str">
        <f aca="false">IF(B2051=1,MAX(C$1:C2050)+1,"")</f>
        <v/>
      </c>
    </row>
    <row r="2052" customFormat="false" ht="15" hidden="false" customHeight="false" outlineLevel="0" collapsed="false">
      <c r="A2052" s="0" t="str">
        <f aca="false">IF(COMPRAS!K852="","",COMPRAS!K852)</f>
        <v/>
      </c>
      <c r="B2052" s="0" t="str">
        <f aca="false">IF(A2052="","",IF(MATCH(A2052,$A$2:$A$3201,0)=ROW()-1,1,0))</f>
        <v/>
      </c>
      <c r="C2052" s="0" t="str">
        <f aca="false">IF(B2052=1,MAX(C$1:C2051)+1,"")</f>
        <v/>
      </c>
    </row>
    <row r="2053" customFormat="false" ht="15" hidden="false" customHeight="false" outlineLevel="0" collapsed="false">
      <c r="A2053" s="0" t="str">
        <f aca="false">IF(COMPRAS!K853="","",COMPRAS!K853)</f>
        <v/>
      </c>
      <c r="B2053" s="0" t="str">
        <f aca="false">IF(A2053="","",IF(MATCH(A2053,$A$2:$A$3201,0)=ROW()-1,1,0))</f>
        <v/>
      </c>
      <c r="C2053" s="0" t="str">
        <f aca="false">IF(B2053=1,MAX(C$1:C2052)+1,"")</f>
        <v/>
      </c>
    </row>
    <row r="2054" customFormat="false" ht="15" hidden="false" customHeight="false" outlineLevel="0" collapsed="false">
      <c r="A2054" s="0" t="str">
        <f aca="false">IF(COMPRAS!K854="","",COMPRAS!K854)</f>
        <v/>
      </c>
      <c r="B2054" s="0" t="str">
        <f aca="false">IF(A2054="","",IF(MATCH(A2054,$A$2:$A$3201,0)=ROW()-1,1,0))</f>
        <v/>
      </c>
      <c r="C2054" s="0" t="str">
        <f aca="false">IF(B2054=1,MAX(C$1:C2053)+1,"")</f>
        <v/>
      </c>
    </row>
    <row r="2055" customFormat="false" ht="15" hidden="false" customHeight="false" outlineLevel="0" collapsed="false">
      <c r="A2055" s="0" t="str">
        <f aca="false">IF(COMPRAS!K855="","",COMPRAS!K855)</f>
        <v/>
      </c>
      <c r="B2055" s="0" t="str">
        <f aca="false">IF(A2055="","",IF(MATCH(A2055,$A$2:$A$3201,0)=ROW()-1,1,0))</f>
        <v/>
      </c>
      <c r="C2055" s="0" t="str">
        <f aca="false">IF(B2055=1,MAX(C$1:C2054)+1,"")</f>
        <v/>
      </c>
    </row>
    <row r="2056" customFormat="false" ht="15" hidden="false" customHeight="false" outlineLevel="0" collapsed="false">
      <c r="A2056" s="0" t="str">
        <f aca="false">IF(COMPRAS!K856="","",COMPRAS!K856)</f>
        <v/>
      </c>
      <c r="B2056" s="0" t="str">
        <f aca="false">IF(A2056="","",IF(MATCH(A2056,$A$2:$A$3201,0)=ROW()-1,1,0))</f>
        <v/>
      </c>
      <c r="C2056" s="0" t="str">
        <f aca="false">IF(B2056=1,MAX(C$1:C2055)+1,"")</f>
        <v/>
      </c>
    </row>
    <row r="2057" customFormat="false" ht="15" hidden="false" customHeight="false" outlineLevel="0" collapsed="false">
      <c r="A2057" s="0" t="str">
        <f aca="false">IF(COMPRAS!K857="","",COMPRAS!K857)</f>
        <v/>
      </c>
      <c r="B2057" s="0" t="str">
        <f aca="false">IF(A2057="","",IF(MATCH(A2057,$A$2:$A$3201,0)=ROW()-1,1,0))</f>
        <v/>
      </c>
      <c r="C2057" s="0" t="str">
        <f aca="false">IF(B2057=1,MAX(C$1:C2056)+1,"")</f>
        <v/>
      </c>
    </row>
    <row r="2058" customFormat="false" ht="15" hidden="false" customHeight="false" outlineLevel="0" collapsed="false">
      <c r="A2058" s="0" t="str">
        <f aca="false">IF(COMPRAS!K858="","",COMPRAS!K858)</f>
        <v/>
      </c>
      <c r="B2058" s="0" t="str">
        <f aca="false">IF(A2058="","",IF(MATCH(A2058,$A$2:$A$3201,0)=ROW()-1,1,0))</f>
        <v/>
      </c>
      <c r="C2058" s="0" t="str">
        <f aca="false">IF(B2058=1,MAX(C$1:C2057)+1,"")</f>
        <v/>
      </c>
    </row>
    <row r="2059" customFormat="false" ht="15" hidden="false" customHeight="false" outlineLevel="0" collapsed="false">
      <c r="A2059" s="0" t="str">
        <f aca="false">IF(COMPRAS!K859="","",COMPRAS!K859)</f>
        <v/>
      </c>
      <c r="B2059" s="0" t="str">
        <f aca="false">IF(A2059="","",IF(MATCH(A2059,$A$2:$A$3201,0)=ROW()-1,1,0))</f>
        <v/>
      </c>
      <c r="C2059" s="0" t="str">
        <f aca="false">IF(B2059=1,MAX(C$1:C2058)+1,"")</f>
        <v/>
      </c>
    </row>
    <row r="2060" customFormat="false" ht="15" hidden="false" customHeight="false" outlineLevel="0" collapsed="false">
      <c r="A2060" s="0" t="str">
        <f aca="false">IF(COMPRAS!K860="","",COMPRAS!K860)</f>
        <v/>
      </c>
      <c r="B2060" s="0" t="str">
        <f aca="false">IF(A2060="","",IF(MATCH(A2060,$A$2:$A$3201,0)=ROW()-1,1,0))</f>
        <v/>
      </c>
      <c r="C2060" s="0" t="str">
        <f aca="false">IF(B2060=1,MAX(C$1:C2059)+1,"")</f>
        <v/>
      </c>
    </row>
    <row r="2061" customFormat="false" ht="15" hidden="false" customHeight="false" outlineLevel="0" collapsed="false">
      <c r="A2061" s="0" t="str">
        <f aca="false">IF(COMPRAS!K861="","",COMPRAS!K861)</f>
        <v/>
      </c>
      <c r="B2061" s="0" t="str">
        <f aca="false">IF(A2061="","",IF(MATCH(A2061,$A$2:$A$3201,0)=ROW()-1,1,0))</f>
        <v/>
      </c>
      <c r="C2061" s="0" t="str">
        <f aca="false">IF(B2061=1,MAX(C$1:C2060)+1,"")</f>
        <v/>
      </c>
    </row>
    <row r="2062" customFormat="false" ht="15" hidden="false" customHeight="false" outlineLevel="0" collapsed="false">
      <c r="A2062" s="0" t="str">
        <f aca="false">IF(COMPRAS!K862="","",COMPRAS!K862)</f>
        <v/>
      </c>
      <c r="B2062" s="0" t="str">
        <f aca="false">IF(A2062="","",IF(MATCH(A2062,$A$2:$A$3201,0)=ROW()-1,1,0))</f>
        <v/>
      </c>
      <c r="C2062" s="0" t="str">
        <f aca="false">IF(B2062=1,MAX(C$1:C2061)+1,"")</f>
        <v/>
      </c>
    </row>
    <row r="2063" customFormat="false" ht="15" hidden="false" customHeight="false" outlineLevel="0" collapsed="false">
      <c r="A2063" s="0" t="str">
        <f aca="false">IF(COMPRAS!K863="","",COMPRAS!K863)</f>
        <v/>
      </c>
      <c r="B2063" s="0" t="str">
        <f aca="false">IF(A2063="","",IF(MATCH(A2063,$A$2:$A$3201,0)=ROW()-1,1,0))</f>
        <v/>
      </c>
      <c r="C2063" s="0" t="str">
        <f aca="false">IF(B2063=1,MAX(C$1:C2062)+1,"")</f>
        <v/>
      </c>
    </row>
    <row r="2064" customFormat="false" ht="15" hidden="false" customHeight="false" outlineLevel="0" collapsed="false">
      <c r="A2064" s="0" t="str">
        <f aca="false">IF(COMPRAS!K864="","",COMPRAS!K864)</f>
        <v/>
      </c>
      <c r="B2064" s="0" t="str">
        <f aca="false">IF(A2064="","",IF(MATCH(A2064,$A$2:$A$3201,0)=ROW()-1,1,0))</f>
        <v/>
      </c>
      <c r="C2064" s="0" t="str">
        <f aca="false">IF(B2064=1,MAX(C$1:C2063)+1,"")</f>
        <v/>
      </c>
    </row>
    <row r="2065" customFormat="false" ht="15" hidden="false" customHeight="false" outlineLevel="0" collapsed="false">
      <c r="A2065" s="0" t="str">
        <f aca="false">IF(COMPRAS!K865="","",COMPRAS!K865)</f>
        <v/>
      </c>
      <c r="B2065" s="0" t="str">
        <f aca="false">IF(A2065="","",IF(MATCH(A2065,$A$2:$A$3201,0)=ROW()-1,1,0))</f>
        <v/>
      </c>
      <c r="C2065" s="0" t="str">
        <f aca="false">IF(B2065=1,MAX(C$1:C2064)+1,"")</f>
        <v/>
      </c>
    </row>
    <row r="2066" customFormat="false" ht="15" hidden="false" customHeight="false" outlineLevel="0" collapsed="false">
      <c r="A2066" s="0" t="str">
        <f aca="false">IF(COMPRAS!K866="","",COMPRAS!K866)</f>
        <v/>
      </c>
      <c r="B2066" s="0" t="str">
        <f aca="false">IF(A2066="","",IF(MATCH(A2066,$A$2:$A$3201,0)=ROW()-1,1,0))</f>
        <v/>
      </c>
      <c r="C2066" s="0" t="str">
        <f aca="false">IF(B2066=1,MAX(C$1:C2065)+1,"")</f>
        <v/>
      </c>
    </row>
    <row r="2067" customFormat="false" ht="15" hidden="false" customHeight="false" outlineLevel="0" collapsed="false">
      <c r="A2067" s="0" t="str">
        <f aca="false">IF(COMPRAS!K867="","",COMPRAS!K867)</f>
        <v/>
      </c>
      <c r="B2067" s="0" t="str">
        <f aca="false">IF(A2067="","",IF(MATCH(A2067,$A$2:$A$3201,0)=ROW()-1,1,0))</f>
        <v/>
      </c>
      <c r="C2067" s="0" t="str">
        <f aca="false">IF(B2067=1,MAX(C$1:C2066)+1,"")</f>
        <v/>
      </c>
    </row>
    <row r="2068" customFormat="false" ht="15" hidden="false" customHeight="false" outlineLevel="0" collapsed="false">
      <c r="A2068" s="0" t="str">
        <f aca="false">IF(COMPRAS!K868="","",COMPRAS!K868)</f>
        <v/>
      </c>
      <c r="B2068" s="0" t="str">
        <f aca="false">IF(A2068="","",IF(MATCH(A2068,$A$2:$A$3201,0)=ROW()-1,1,0))</f>
        <v/>
      </c>
      <c r="C2068" s="0" t="str">
        <f aca="false">IF(B2068=1,MAX(C$1:C2067)+1,"")</f>
        <v/>
      </c>
    </row>
    <row r="2069" customFormat="false" ht="15" hidden="false" customHeight="false" outlineLevel="0" collapsed="false">
      <c r="A2069" s="0" t="str">
        <f aca="false">IF(COMPRAS!K869="","",COMPRAS!K869)</f>
        <v/>
      </c>
      <c r="B2069" s="0" t="str">
        <f aca="false">IF(A2069="","",IF(MATCH(A2069,$A$2:$A$3201,0)=ROW()-1,1,0))</f>
        <v/>
      </c>
      <c r="C2069" s="0" t="str">
        <f aca="false">IF(B2069=1,MAX(C$1:C2068)+1,"")</f>
        <v/>
      </c>
    </row>
    <row r="2070" customFormat="false" ht="15" hidden="false" customHeight="false" outlineLevel="0" collapsed="false">
      <c r="A2070" s="0" t="str">
        <f aca="false">IF(COMPRAS!K870="","",COMPRAS!K870)</f>
        <v/>
      </c>
      <c r="B2070" s="0" t="str">
        <f aca="false">IF(A2070="","",IF(MATCH(A2070,$A$2:$A$3201,0)=ROW()-1,1,0))</f>
        <v/>
      </c>
      <c r="C2070" s="0" t="str">
        <f aca="false">IF(B2070=1,MAX(C$1:C2069)+1,"")</f>
        <v/>
      </c>
    </row>
    <row r="2071" customFormat="false" ht="15" hidden="false" customHeight="false" outlineLevel="0" collapsed="false">
      <c r="A2071" s="0" t="str">
        <f aca="false">IF(COMPRAS!K871="","",COMPRAS!K871)</f>
        <v/>
      </c>
      <c r="B2071" s="0" t="str">
        <f aca="false">IF(A2071="","",IF(MATCH(A2071,$A$2:$A$3201,0)=ROW()-1,1,0))</f>
        <v/>
      </c>
      <c r="C2071" s="0" t="str">
        <f aca="false">IF(B2071=1,MAX(C$1:C2070)+1,"")</f>
        <v/>
      </c>
    </row>
    <row r="2072" customFormat="false" ht="15" hidden="false" customHeight="false" outlineLevel="0" collapsed="false">
      <c r="A2072" s="0" t="str">
        <f aca="false">IF(COMPRAS!K872="","",COMPRAS!K872)</f>
        <v/>
      </c>
      <c r="B2072" s="0" t="str">
        <f aca="false">IF(A2072="","",IF(MATCH(A2072,$A$2:$A$3201,0)=ROW()-1,1,0))</f>
        <v/>
      </c>
      <c r="C2072" s="0" t="str">
        <f aca="false">IF(B2072=1,MAX(C$1:C2071)+1,"")</f>
        <v/>
      </c>
    </row>
    <row r="2073" customFormat="false" ht="15" hidden="false" customHeight="false" outlineLevel="0" collapsed="false">
      <c r="A2073" s="0" t="str">
        <f aca="false">IF(COMPRAS!K873="","",COMPRAS!K873)</f>
        <v/>
      </c>
      <c r="B2073" s="0" t="str">
        <f aca="false">IF(A2073="","",IF(MATCH(A2073,$A$2:$A$3201,0)=ROW()-1,1,0))</f>
        <v/>
      </c>
      <c r="C2073" s="0" t="str">
        <f aca="false">IF(B2073=1,MAX(C$1:C2072)+1,"")</f>
        <v/>
      </c>
    </row>
    <row r="2074" customFormat="false" ht="15" hidden="false" customHeight="false" outlineLevel="0" collapsed="false">
      <c r="A2074" s="0" t="str">
        <f aca="false">IF(COMPRAS!K874="","",COMPRAS!K874)</f>
        <v/>
      </c>
      <c r="B2074" s="0" t="str">
        <f aca="false">IF(A2074="","",IF(MATCH(A2074,$A$2:$A$3201,0)=ROW()-1,1,0))</f>
        <v/>
      </c>
      <c r="C2074" s="0" t="str">
        <f aca="false">IF(B2074=1,MAX(C$1:C2073)+1,"")</f>
        <v/>
      </c>
    </row>
    <row r="2075" customFormat="false" ht="15" hidden="false" customHeight="false" outlineLevel="0" collapsed="false">
      <c r="A2075" s="0" t="str">
        <f aca="false">IF(COMPRAS!K875="","",COMPRAS!K875)</f>
        <v/>
      </c>
      <c r="B2075" s="0" t="str">
        <f aca="false">IF(A2075="","",IF(MATCH(A2075,$A$2:$A$3201,0)=ROW()-1,1,0))</f>
        <v/>
      </c>
      <c r="C2075" s="0" t="str">
        <f aca="false">IF(B2075=1,MAX(C$1:C2074)+1,"")</f>
        <v/>
      </c>
    </row>
    <row r="2076" customFormat="false" ht="15" hidden="false" customHeight="false" outlineLevel="0" collapsed="false">
      <c r="A2076" s="0" t="str">
        <f aca="false">IF(COMPRAS!K876="","",COMPRAS!K876)</f>
        <v/>
      </c>
      <c r="B2076" s="0" t="str">
        <f aca="false">IF(A2076="","",IF(MATCH(A2076,$A$2:$A$3201,0)=ROW()-1,1,0))</f>
        <v/>
      </c>
      <c r="C2076" s="0" t="str">
        <f aca="false">IF(B2076=1,MAX(C$1:C2075)+1,"")</f>
        <v/>
      </c>
    </row>
    <row r="2077" customFormat="false" ht="15" hidden="false" customHeight="false" outlineLevel="0" collapsed="false">
      <c r="A2077" s="0" t="str">
        <f aca="false">IF(COMPRAS!K877="","",COMPRAS!K877)</f>
        <v/>
      </c>
      <c r="B2077" s="0" t="str">
        <f aca="false">IF(A2077="","",IF(MATCH(A2077,$A$2:$A$3201,0)=ROW()-1,1,0))</f>
        <v/>
      </c>
      <c r="C2077" s="0" t="str">
        <f aca="false">IF(B2077=1,MAX(C$1:C2076)+1,"")</f>
        <v/>
      </c>
    </row>
    <row r="2078" customFormat="false" ht="15" hidden="false" customHeight="false" outlineLevel="0" collapsed="false">
      <c r="A2078" s="0" t="str">
        <f aca="false">IF(COMPRAS!K878="","",COMPRAS!K878)</f>
        <v/>
      </c>
      <c r="B2078" s="0" t="str">
        <f aca="false">IF(A2078="","",IF(MATCH(A2078,$A$2:$A$3201,0)=ROW()-1,1,0))</f>
        <v/>
      </c>
      <c r="C2078" s="0" t="str">
        <f aca="false">IF(B2078=1,MAX(C$1:C2077)+1,"")</f>
        <v/>
      </c>
    </row>
    <row r="2079" customFormat="false" ht="15" hidden="false" customHeight="false" outlineLevel="0" collapsed="false">
      <c r="A2079" s="0" t="str">
        <f aca="false">IF(COMPRAS!K879="","",COMPRAS!K879)</f>
        <v/>
      </c>
      <c r="B2079" s="0" t="str">
        <f aca="false">IF(A2079="","",IF(MATCH(A2079,$A$2:$A$3201,0)=ROW()-1,1,0))</f>
        <v/>
      </c>
      <c r="C2079" s="0" t="str">
        <f aca="false">IF(B2079=1,MAX(C$1:C2078)+1,"")</f>
        <v/>
      </c>
    </row>
    <row r="2080" customFormat="false" ht="15" hidden="false" customHeight="false" outlineLevel="0" collapsed="false">
      <c r="A2080" s="0" t="str">
        <f aca="false">IF(COMPRAS!K880="","",COMPRAS!K880)</f>
        <v/>
      </c>
      <c r="B2080" s="0" t="str">
        <f aca="false">IF(A2080="","",IF(MATCH(A2080,$A$2:$A$3201,0)=ROW()-1,1,0))</f>
        <v/>
      </c>
      <c r="C2080" s="0" t="str">
        <f aca="false">IF(B2080=1,MAX(C$1:C2079)+1,"")</f>
        <v/>
      </c>
    </row>
    <row r="2081" customFormat="false" ht="15" hidden="false" customHeight="false" outlineLevel="0" collapsed="false">
      <c r="A2081" s="0" t="str">
        <f aca="false">IF(COMPRAS!K881="","",COMPRAS!K881)</f>
        <v/>
      </c>
      <c r="B2081" s="0" t="str">
        <f aca="false">IF(A2081="","",IF(MATCH(A2081,$A$2:$A$3201,0)=ROW()-1,1,0))</f>
        <v/>
      </c>
      <c r="C2081" s="0" t="str">
        <f aca="false">IF(B2081=1,MAX(C$1:C2080)+1,"")</f>
        <v/>
      </c>
    </row>
    <row r="2082" customFormat="false" ht="15" hidden="false" customHeight="false" outlineLevel="0" collapsed="false">
      <c r="A2082" s="0" t="str">
        <f aca="false">IF(COMPRAS!K882="","",COMPRAS!K882)</f>
        <v/>
      </c>
      <c r="B2082" s="0" t="str">
        <f aca="false">IF(A2082="","",IF(MATCH(A2082,$A$2:$A$3201,0)=ROW()-1,1,0))</f>
        <v/>
      </c>
      <c r="C2082" s="0" t="str">
        <f aca="false">IF(B2082=1,MAX(C$1:C2081)+1,"")</f>
        <v/>
      </c>
    </row>
    <row r="2083" customFormat="false" ht="15" hidden="false" customHeight="false" outlineLevel="0" collapsed="false">
      <c r="A2083" s="0" t="str">
        <f aca="false">IF(COMPRAS!K883="","",COMPRAS!K883)</f>
        <v/>
      </c>
      <c r="B2083" s="0" t="str">
        <f aca="false">IF(A2083="","",IF(MATCH(A2083,$A$2:$A$3201,0)=ROW()-1,1,0))</f>
        <v/>
      </c>
      <c r="C2083" s="0" t="str">
        <f aca="false">IF(B2083=1,MAX(C$1:C2082)+1,"")</f>
        <v/>
      </c>
    </row>
    <row r="2084" customFormat="false" ht="15" hidden="false" customHeight="false" outlineLevel="0" collapsed="false">
      <c r="A2084" s="0" t="str">
        <f aca="false">IF(COMPRAS!K884="","",COMPRAS!K884)</f>
        <v/>
      </c>
      <c r="B2084" s="0" t="str">
        <f aca="false">IF(A2084="","",IF(MATCH(A2084,$A$2:$A$3201,0)=ROW()-1,1,0))</f>
        <v/>
      </c>
      <c r="C2084" s="0" t="str">
        <f aca="false">IF(B2084=1,MAX(C$1:C2083)+1,"")</f>
        <v/>
      </c>
    </row>
    <row r="2085" customFormat="false" ht="15" hidden="false" customHeight="false" outlineLevel="0" collapsed="false">
      <c r="A2085" s="0" t="str">
        <f aca="false">IF(COMPRAS!K885="","",COMPRAS!K885)</f>
        <v/>
      </c>
      <c r="B2085" s="0" t="str">
        <f aca="false">IF(A2085="","",IF(MATCH(A2085,$A$2:$A$3201,0)=ROW()-1,1,0))</f>
        <v/>
      </c>
      <c r="C2085" s="0" t="str">
        <f aca="false">IF(B2085=1,MAX(C$1:C2084)+1,"")</f>
        <v/>
      </c>
    </row>
    <row r="2086" customFormat="false" ht="15" hidden="false" customHeight="false" outlineLevel="0" collapsed="false">
      <c r="A2086" s="0" t="str">
        <f aca="false">IF(COMPRAS!K886="","",COMPRAS!K886)</f>
        <v/>
      </c>
      <c r="B2086" s="0" t="str">
        <f aca="false">IF(A2086="","",IF(MATCH(A2086,$A$2:$A$3201,0)=ROW()-1,1,0))</f>
        <v/>
      </c>
      <c r="C2086" s="0" t="str">
        <f aca="false">IF(B2086=1,MAX(C$1:C2085)+1,"")</f>
        <v/>
      </c>
    </row>
    <row r="2087" customFormat="false" ht="15" hidden="false" customHeight="false" outlineLevel="0" collapsed="false">
      <c r="A2087" s="0" t="str">
        <f aca="false">IF(COMPRAS!K887="","",COMPRAS!K887)</f>
        <v/>
      </c>
      <c r="B2087" s="0" t="str">
        <f aca="false">IF(A2087="","",IF(MATCH(A2087,$A$2:$A$3201,0)=ROW()-1,1,0))</f>
        <v/>
      </c>
      <c r="C2087" s="0" t="str">
        <f aca="false">IF(B2087=1,MAX(C$1:C2086)+1,"")</f>
        <v/>
      </c>
    </row>
    <row r="2088" customFormat="false" ht="15" hidden="false" customHeight="false" outlineLevel="0" collapsed="false">
      <c r="A2088" s="0" t="str">
        <f aca="false">IF(COMPRAS!K888="","",COMPRAS!K888)</f>
        <v/>
      </c>
      <c r="B2088" s="0" t="str">
        <f aca="false">IF(A2088="","",IF(MATCH(A2088,$A$2:$A$3201,0)=ROW()-1,1,0))</f>
        <v/>
      </c>
      <c r="C2088" s="0" t="str">
        <f aca="false">IF(B2088=1,MAX(C$1:C2087)+1,"")</f>
        <v/>
      </c>
    </row>
    <row r="2089" customFormat="false" ht="15" hidden="false" customHeight="false" outlineLevel="0" collapsed="false">
      <c r="A2089" s="0" t="str">
        <f aca="false">IF(COMPRAS!K889="","",COMPRAS!K889)</f>
        <v/>
      </c>
      <c r="B2089" s="0" t="str">
        <f aca="false">IF(A2089="","",IF(MATCH(A2089,$A$2:$A$3201,0)=ROW()-1,1,0))</f>
        <v/>
      </c>
      <c r="C2089" s="0" t="str">
        <f aca="false">IF(B2089=1,MAX(C$1:C2088)+1,"")</f>
        <v/>
      </c>
    </row>
    <row r="2090" customFormat="false" ht="15" hidden="false" customHeight="false" outlineLevel="0" collapsed="false">
      <c r="A2090" s="0" t="str">
        <f aca="false">IF(COMPRAS!K890="","",COMPRAS!K890)</f>
        <v/>
      </c>
      <c r="B2090" s="0" t="str">
        <f aca="false">IF(A2090="","",IF(MATCH(A2090,$A$2:$A$3201,0)=ROW()-1,1,0))</f>
        <v/>
      </c>
      <c r="C2090" s="0" t="str">
        <f aca="false">IF(B2090=1,MAX(C$1:C2089)+1,"")</f>
        <v/>
      </c>
    </row>
    <row r="2091" customFormat="false" ht="15" hidden="false" customHeight="false" outlineLevel="0" collapsed="false">
      <c r="A2091" s="0" t="str">
        <f aca="false">IF(COMPRAS!K891="","",COMPRAS!K891)</f>
        <v/>
      </c>
      <c r="B2091" s="0" t="str">
        <f aca="false">IF(A2091="","",IF(MATCH(A2091,$A$2:$A$3201,0)=ROW()-1,1,0))</f>
        <v/>
      </c>
      <c r="C2091" s="0" t="str">
        <f aca="false">IF(B2091=1,MAX(C$1:C2090)+1,"")</f>
        <v/>
      </c>
    </row>
    <row r="2092" customFormat="false" ht="15" hidden="false" customHeight="false" outlineLevel="0" collapsed="false">
      <c r="A2092" s="0" t="str">
        <f aca="false">IF(COMPRAS!K892="","",COMPRAS!K892)</f>
        <v/>
      </c>
      <c r="B2092" s="0" t="str">
        <f aca="false">IF(A2092="","",IF(MATCH(A2092,$A$2:$A$3201,0)=ROW()-1,1,0))</f>
        <v/>
      </c>
      <c r="C2092" s="0" t="str">
        <f aca="false">IF(B2092=1,MAX(C$1:C2091)+1,"")</f>
        <v/>
      </c>
    </row>
    <row r="2093" customFormat="false" ht="15" hidden="false" customHeight="false" outlineLevel="0" collapsed="false">
      <c r="A2093" s="0" t="str">
        <f aca="false">IF(COMPRAS!K893="","",COMPRAS!K893)</f>
        <v/>
      </c>
      <c r="B2093" s="0" t="str">
        <f aca="false">IF(A2093="","",IF(MATCH(A2093,$A$2:$A$3201,0)=ROW()-1,1,0))</f>
        <v/>
      </c>
      <c r="C2093" s="0" t="str">
        <f aca="false">IF(B2093=1,MAX(C$1:C2092)+1,"")</f>
        <v/>
      </c>
    </row>
    <row r="2094" customFormat="false" ht="15" hidden="false" customHeight="false" outlineLevel="0" collapsed="false">
      <c r="A2094" s="0" t="str">
        <f aca="false">IF(COMPRAS!K894="","",COMPRAS!K894)</f>
        <v/>
      </c>
      <c r="B2094" s="0" t="str">
        <f aca="false">IF(A2094="","",IF(MATCH(A2094,$A$2:$A$3201,0)=ROW()-1,1,0))</f>
        <v/>
      </c>
      <c r="C2094" s="0" t="str">
        <f aca="false">IF(B2094=1,MAX(C$1:C2093)+1,"")</f>
        <v/>
      </c>
    </row>
    <row r="2095" customFormat="false" ht="15" hidden="false" customHeight="false" outlineLevel="0" collapsed="false">
      <c r="A2095" s="0" t="str">
        <f aca="false">IF(COMPRAS!K895="","",COMPRAS!K895)</f>
        <v/>
      </c>
      <c r="B2095" s="0" t="str">
        <f aca="false">IF(A2095="","",IF(MATCH(A2095,$A$2:$A$3201,0)=ROW()-1,1,0))</f>
        <v/>
      </c>
      <c r="C2095" s="0" t="str">
        <f aca="false">IF(B2095=1,MAX(C$1:C2094)+1,"")</f>
        <v/>
      </c>
    </row>
    <row r="2096" customFormat="false" ht="15" hidden="false" customHeight="false" outlineLevel="0" collapsed="false">
      <c r="A2096" s="0" t="str">
        <f aca="false">IF(COMPRAS!K896="","",COMPRAS!K896)</f>
        <v/>
      </c>
      <c r="B2096" s="0" t="str">
        <f aca="false">IF(A2096="","",IF(MATCH(A2096,$A$2:$A$3201,0)=ROW()-1,1,0))</f>
        <v/>
      </c>
      <c r="C2096" s="0" t="str">
        <f aca="false">IF(B2096=1,MAX(C$1:C2095)+1,"")</f>
        <v/>
      </c>
    </row>
    <row r="2097" customFormat="false" ht="15" hidden="false" customHeight="false" outlineLevel="0" collapsed="false">
      <c r="A2097" s="0" t="str">
        <f aca="false">IF(COMPRAS!K897="","",COMPRAS!K897)</f>
        <v/>
      </c>
      <c r="B2097" s="0" t="str">
        <f aca="false">IF(A2097="","",IF(MATCH(A2097,$A$2:$A$3201,0)=ROW()-1,1,0))</f>
        <v/>
      </c>
      <c r="C2097" s="0" t="str">
        <f aca="false">IF(B2097=1,MAX(C$1:C2096)+1,"")</f>
        <v/>
      </c>
    </row>
    <row r="2098" customFormat="false" ht="15" hidden="false" customHeight="false" outlineLevel="0" collapsed="false">
      <c r="A2098" s="0" t="str">
        <f aca="false">IF(COMPRAS!K898="","",COMPRAS!K898)</f>
        <v/>
      </c>
      <c r="B2098" s="0" t="str">
        <f aca="false">IF(A2098="","",IF(MATCH(A2098,$A$2:$A$3201,0)=ROW()-1,1,0))</f>
        <v/>
      </c>
      <c r="C2098" s="0" t="str">
        <f aca="false">IF(B2098=1,MAX(C$1:C2097)+1,"")</f>
        <v/>
      </c>
    </row>
    <row r="2099" customFormat="false" ht="15" hidden="false" customHeight="false" outlineLevel="0" collapsed="false">
      <c r="A2099" s="0" t="str">
        <f aca="false">IF(COMPRAS!K899="","",COMPRAS!K899)</f>
        <v/>
      </c>
      <c r="B2099" s="0" t="str">
        <f aca="false">IF(A2099="","",IF(MATCH(A2099,$A$2:$A$3201,0)=ROW()-1,1,0))</f>
        <v/>
      </c>
      <c r="C2099" s="0" t="str">
        <f aca="false">IF(B2099=1,MAX(C$1:C2098)+1,"")</f>
        <v/>
      </c>
    </row>
    <row r="2100" customFormat="false" ht="15" hidden="false" customHeight="false" outlineLevel="0" collapsed="false">
      <c r="A2100" s="0" t="str">
        <f aca="false">IF(COMPRAS!K900="","",COMPRAS!K900)</f>
        <v/>
      </c>
      <c r="B2100" s="0" t="str">
        <f aca="false">IF(A2100="","",IF(MATCH(A2100,$A$2:$A$3201,0)=ROW()-1,1,0))</f>
        <v/>
      </c>
      <c r="C2100" s="0" t="str">
        <f aca="false">IF(B2100=1,MAX(C$1:C2099)+1,"")</f>
        <v/>
      </c>
    </row>
    <row r="2101" customFormat="false" ht="15" hidden="false" customHeight="false" outlineLevel="0" collapsed="false">
      <c r="A2101" s="0" t="str">
        <f aca="false">IF(COMPRAS!K901="","",COMPRAS!K901)</f>
        <v/>
      </c>
      <c r="B2101" s="0" t="str">
        <f aca="false">IF(A2101="","",IF(MATCH(A2101,$A$2:$A$3201,0)=ROW()-1,1,0))</f>
        <v/>
      </c>
      <c r="C2101" s="0" t="str">
        <f aca="false">IF(B2101=1,MAX(C$1:C2100)+1,"")</f>
        <v/>
      </c>
    </row>
    <row r="2102" customFormat="false" ht="15" hidden="false" customHeight="false" outlineLevel="0" collapsed="false">
      <c r="A2102" s="0" t="str">
        <f aca="false">IF(COMPRAS!K902="","",COMPRAS!K902)</f>
        <v/>
      </c>
      <c r="B2102" s="0" t="str">
        <f aca="false">IF(A2102="","",IF(MATCH(A2102,$A$2:$A$3201,0)=ROW()-1,1,0))</f>
        <v/>
      </c>
      <c r="C2102" s="0" t="str">
        <f aca="false">IF(B2102=1,MAX(C$1:C2101)+1,"")</f>
        <v/>
      </c>
    </row>
    <row r="2103" customFormat="false" ht="15" hidden="false" customHeight="false" outlineLevel="0" collapsed="false">
      <c r="A2103" s="0" t="str">
        <f aca="false">IF(COMPRAS!K903="","",COMPRAS!K903)</f>
        <v/>
      </c>
      <c r="B2103" s="0" t="str">
        <f aca="false">IF(A2103="","",IF(MATCH(A2103,$A$2:$A$3201,0)=ROW()-1,1,0))</f>
        <v/>
      </c>
      <c r="C2103" s="0" t="str">
        <f aca="false">IF(B2103=1,MAX(C$1:C2102)+1,"")</f>
        <v/>
      </c>
    </row>
    <row r="2104" customFormat="false" ht="15" hidden="false" customHeight="false" outlineLevel="0" collapsed="false">
      <c r="A2104" s="0" t="str">
        <f aca="false">IF(COMPRAS!K904="","",COMPRAS!K904)</f>
        <v/>
      </c>
      <c r="B2104" s="0" t="str">
        <f aca="false">IF(A2104="","",IF(MATCH(A2104,$A$2:$A$3201,0)=ROW()-1,1,0))</f>
        <v/>
      </c>
      <c r="C2104" s="0" t="str">
        <f aca="false">IF(B2104=1,MAX(C$1:C2103)+1,"")</f>
        <v/>
      </c>
    </row>
    <row r="2105" customFormat="false" ht="15" hidden="false" customHeight="false" outlineLevel="0" collapsed="false">
      <c r="A2105" s="0" t="str">
        <f aca="false">IF(COMPRAS!K905="","",COMPRAS!K905)</f>
        <v/>
      </c>
      <c r="B2105" s="0" t="str">
        <f aca="false">IF(A2105="","",IF(MATCH(A2105,$A$2:$A$3201,0)=ROW()-1,1,0))</f>
        <v/>
      </c>
      <c r="C2105" s="0" t="str">
        <f aca="false">IF(B2105=1,MAX(C$1:C2104)+1,"")</f>
        <v/>
      </c>
    </row>
    <row r="2106" customFormat="false" ht="15" hidden="false" customHeight="false" outlineLevel="0" collapsed="false">
      <c r="A2106" s="0" t="str">
        <f aca="false">IF(COMPRAS!K906="","",COMPRAS!K906)</f>
        <v/>
      </c>
      <c r="B2106" s="0" t="str">
        <f aca="false">IF(A2106="","",IF(MATCH(A2106,$A$2:$A$3201,0)=ROW()-1,1,0))</f>
        <v/>
      </c>
      <c r="C2106" s="0" t="str">
        <f aca="false">IF(B2106=1,MAX(C$1:C2105)+1,"")</f>
        <v/>
      </c>
    </row>
    <row r="2107" customFormat="false" ht="15" hidden="false" customHeight="false" outlineLevel="0" collapsed="false">
      <c r="A2107" s="0" t="str">
        <f aca="false">IF(COMPRAS!K907="","",COMPRAS!K907)</f>
        <v/>
      </c>
      <c r="B2107" s="0" t="str">
        <f aca="false">IF(A2107="","",IF(MATCH(A2107,$A$2:$A$3201,0)=ROW()-1,1,0))</f>
        <v/>
      </c>
      <c r="C2107" s="0" t="str">
        <f aca="false">IF(B2107=1,MAX(C$1:C2106)+1,"")</f>
        <v/>
      </c>
    </row>
    <row r="2108" customFormat="false" ht="15" hidden="false" customHeight="false" outlineLevel="0" collapsed="false">
      <c r="A2108" s="0" t="str">
        <f aca="false">IF(COMPRAS!K908="","",COMPRAS!K908)</f>
        <v/>
      </c>
      <c r="B2108" s="0" t="str">
        <f aca="false">IF(A2108="","",IF(MATCH(A2108,$A$2:$A$3201,0)=ROW()-1,1,0))</f>
        <v/>
      </c>
      <c r="C2108" s="0" t="str">
        <f aca="false">IF(B2108=1,MAX(C$1:C2107)+1,"")</f>
        <v/>
      </c>
    </row>
    <row r="2109" customFormat="false" ht="15" hidden="false" customHeight="false" outlineLevel="0" collapsed="false">
      <c r="A2109" s="0" t="str">
        <f aca="false">IF(COMPRAS!K909="","",COMPRAS!K909)</f>
        <v/>
      </c>
      <c r="B2109" s="0" t="str">
        <f aca="false">IF(A2109="","",IF(MATCH(A2109,$A$2:$A$3201,0)=ROW()-1,1,0))</f>
        <v/>
      </c>
      <c r="C2109" s="0" t="str">
        <f aca="false">IF(B2109=1,MAX(C$1:C2108)+1,"")</f>
        <v/>
      </c>
    </row>
    <row r="2110" customFormat="false" ht="15" hidden="false" customHeight="false" outlineLevel="0" collapsed="false">
      <c r="A2110" s="0" t="str">
        <f aca="false">IF(COMPRAS!K910="","",COMPRAS!K910)</f>
        <v/>
      </c>
      <c r="B2110" s="0" t="str">
        <f aca="false">IF(A2110="","",IF(MATCH(A2110,$A$2:$A$3201,0)=ROW()-1,1,0))</f>
        <v/>
      </c>
      <c r="C2110" s="0" t="str">
        <f aca="false">IF(B2110=1,MAX(C$1:C2109)+1,"")</f>
        <v/>
      </c>
    </row>
    <row r="2111" customFormat="false" ht="15" hidden="false" customHeight="false" outlineLevel="0" collapsed="false">
      <c r="A2111" s="0" t="str">
        <f aca="false">IF(COMPRAS!K911="","",COMPRAS!K911)</f>
        <v/>
      </c>
      <c r="B2111" s="0" t="str">
        <f aca="false">IF(A2111="","",IF(MATCH(A2111,$A$2:$A$3201,0)=ROW()-1,1,0))</f>
        <v/>
      </c>
      <c r="C2111" s="0" t="str">
        <f aca="false">IF(B2111=1,MAX(C$1:C2110)+1,"")</f>
        <v/>
      </c>
    </row>
    <row r="2112" customFormat="false" ht="15" hidden="false" customHeight="false" outlineLevel="0" collapsed="false">
      <c r="A2112" s="0" t="str">
        <f aca="false">IF(COMPRAS!K912="","",COMPRAS!K912)</f>
        <v/>
      </c>
      <c r="B2112" s="0" t="str">
        <f aca="false">IF(A2112="","",IF(MATCH(A2112,$A$2:$A$3201,0)=ROW()-1,1,0))</f>
        <v/>
      </c>
      <c r="C2112" s="0" t="str">
        <f aca="false">IF(B2112=1,MAX(C$1:C2111)+1,"")</f>
        <v/>
      </c>
    </row>
    <row r="2113" customFormat="false" ht="15" hidden="false" customHeight="false" outlineLevel="0" collapsed="false">
      <c r="A2113" s="0" t="str">
        <f aca="false">IF(COMPRAS!K913="","",COMPRAS!K913)</f>
        <v/>
      </c>
      <c r="B2113" s="0" t="str">
        <f aca="false">IF(A2113="","",IF(MATCH(A2113,$A$2:$A$3201,0)=ROW()-1,1,0))</f>
        <v/>
      </c>
      <c r="C2113" s="0" t="str">
        <f aca="false">IF(B2113=1,MAX(C$1:C2112)+1,"")</f>
        <v/>
      </c>
    </row>
    <row r="2114" customFormat="false" ht="15" hidden="false" customHeight="false" outlineLevel="0" collapsed="false">
      <c r="A2114" s="0" t="str">
        <f aca="false">IF(COMPRAS!K914="","",COMPRAS!K914)</f>
        <v/>
      </c>
      <c r="B2114" s="0" t="str">
        <f aca="false">IF(A2114="","",IF(MATCH(A2114,$A$2:$A$3201,0)=ROW()-1,1,0))</f>
        <v/>
      </c>
      <c r="C2114" s="0" t="str">
        <f aca="false">IF(B2114=1,MAX(C$1:C2113)+1,"")</f>
        <v/>
      </c>
    </row>
    <row r="2115" customFormat="false" ht="15" hidden="false" customHeight="false" outlineLevel="0" collapsed="false">
      <c r="A2115" s="0" t="str">
        <f aca="false">IF(COMPRAS!K915="","",COMPRAS!K915)</f>
        <v/>
      </c>
      <c r="B2115" s="0" t="str">
        <f aca="false">IF(A2115="","",IF(MATCH(A2115,$A$2:$A$3201,0)=ROW()-1,1,0))</f>
        <v/>
      </c>
      <c r="C2115" s="0" t="str">
        <f aca="false">IF(B2115=1,MAX(C$1:C2114)+1,"")</f>
        <v/>
      </c>
    </row>
    <row r="2116" customFormat="false" ht="15" hidden="false" customHeight="false" outlineLevel="0" collapsed="false">
      <c r="A2116" s="0" t="str">
        <f aca="false">IF(COMPRAS!K916="","",COMPRAS!K916)</f>
        <v/>
      </c>
      <c r="B2116" s="0" t="str">
        <f aca="false">IF(A2116="","",IF(MATCH(A2116,$A$2:$A$3201,0)=ROW()-1,1,0))</f>
        <v/>
      </c>
      <c r="C2116" s="0" t="str">
        <f aca="false">IF(B2116=1,MAX(C$1:C2115)+1,"")</f>
        <v/>
      </c>
    </row>
    <row r="2117" customFormat="false" ht="15" hidden="false" customHeight="false" outlineLevel="0" collapsed="false">
      <c r="A2117" s="0" t="str">
        <f aca="false">IF(COMPRAS!K917="","",COMPRAS!K917)</f>
        <v/>
      </c>
      <c r="B2117" s="0" t="str">
        <f aca="false">IF(A2117="","",IF(MATCH(A2117,$A$2:$A$3201,0)=ROW()-1,1,0))</f>
        <v/>
      </c>
      <c r="C2117" s="0" t="str">
        <f aca="false">IF(B2117=1,MAX(C$1:C2116)+1,"")</f>
        <v/>
      </c>
    </row>
    <row r="2118" customFormat="false" ht="15" hidden="false" customHeight="false" outlineLevel="0" collapsed="false">
      <c r="A2118" s="0" t="str">
        <f aca="false">IF(COMPRAS!K918="","",COMPRAS!K918)</f>
        <v/>
      </c>
      <c r="B2118" s="0" t="str">
        <f aca="false">IF(A2118="","",IF(MATCH(A2118,$A$2:$A$3201,0)=ROW()-1,1,0))</f>
        <v/>
      </c>
      <c r="C2118" s="0" t="str">
        <f aca="false">IF(B2118=1,MAX(C$1:C2117)+1,"")</f>
        <v/>
      </c>
    </row>
    <row r="2119" customFormat="false" ht="15" hidden="false" customHeight="false" outlineLevel="0" collapsed="false">
      <c r="A2119" s="0" t="str">
        <f aca="false">IF(COMPRAS!K919="","",COMPRAS!K919)</f>
        <v/>
      </c>
      <c r="B2119" s="0" t="str">
        <f aca="false">IF(A2119="","",IF(MATCH(A2119,$A$2:$A$3201,0)=ROW()-1,1,0))</f>
        <v/>
      </c>
      <c r="C2119" s="0" t="str">
        <f aca="false">IF(B2119=1,MAX(C$1:C2118)+1,"")</f>
        <v/>
      </c>
    </row>
    <row r="2120" customFormat="false" ht="15" hidden="false" customHeight="false" outlineLevel="0" collapsed="false">
      <c r="A2120" s="0" t="str">
        <f aca="false">IF(COMPRAS!K920="","",COMPRAS!K920)</f>
        <v/>
      </c>
      <c r="B2120" s="0" t="str">
        <f aca="false">IF(A2120="","",IF(MATCH(A2120,$A$2:$A$3201,0)=ROW()-1,1,0))</f>
        <v/>
      </c>
      <c r="C2120" s="0" t="str">
        <f aca="false">IF(B2120=1,MAX(C$1:C2119)+1,"")</f>
        <v/>
      </c>
    </row>
    <row r="2121" customFormat="false" ht="15" hidden="false" customHeight="false" outlineLevel="0" collapsed="false">
      <c r="A2121" s="0" t="str">
        <f aca="false">IF(COMPRAS!K921="","",COMPRAS!K921)</f>
        <v/>
      </c>
      <c r="B2121" s="0" t="str">
        <f aca="false">IF(A2121="","",IF(MATCH(A2121,$A$2:$A$3201,0)=ROW()-1,1,0))</f>
        <v/>
      </c>
      <c r="C2121" s="0" t="str">
        <f aca="false">IF(B2121=1,MAX(C$1:C2120)+1,"")</f>
        <v/>
      </c>
    </row>
    <row r="2122" customFormat="false" ht="15" hidden="false" customHeight="false" outlineLevel="0" collapsed="false">
      <c r="A2122" s="0" t="str">
        <f aca="false">IF(COMPRAS!K922="","",COMPRAS!K922)</f>
        <v/>
      </c>
      <c r="B2122" s="0" t="str">
        <f aca="false">IF(A2122="","",IF(MATCH(A2122,$A$2:$A$3201,0)=ROW()-1,1,0))</f>
        <v/>
      </c>
      <c r="C2122" s="0" t="str">
        <f aca="false">IF(B2122=1,MAX(C$1:C2121)+1,"")</f>
        <v/>
      </c>
    </row>
    <row r="2123" customFormat="false" ht="15" hidden="false" customHeight="false" outlineLevel="0" collapsed="false">
      <c r="A2123" s="0" t="str">
        <f aca="false">IF(COMPRAS!K923="","",COMPRAS!K923)</f>
        <v/>
      </c>
      <c r="B2123" s="0" t="str">
        <f aca="false">IF(A2123="","",IF(MATCH(A2123,$A$2:$A$3201,0)=ROW()-1,1,0))</f>
        <v/>
      </c>
      <c r="C2123" s="0" t="str">
        <f aca="false">IF(B2123=1,MAX(C$1:C2122)+1,"")</f>
        <v/>
      </c>
    </row>
    <row r="2124" customFormat="false" ht="15" hidden="false" customHeight="false" outlineLevel="0" collapsed="false">
      <c r="A2124" s="0" t="str">
        <f aca="false">IF(COMPRAS!K924="","",COMPRAS!K924)</f>
        <v/>
      </c>
      <c r="B2124" s="0" t="str">
        <f aca="false">IF(A2124="","",IF(MATCH(A2124,$A$2:$A$3201,0)=ROW()-1,1,0))</f>
        <v/>
      </c>
      <c r="C2124" s="0" t="str">
        <f aca="false">IF(B2124=1,MAX(C$1:C2123)+1,"")</f>
        <v/>
      </c>
    </row>
    <row r="2125" customFormat="false" ht="15" hidden="false" customHeight="false" outlineLevel="0" collapsed="false">
      <c r="A2125" s="0" t="str">
        <f aca="false">IF(COMPRAS!K925="","",COMPRAS!K925)</f>
        <v/>
      </c>
      <c r="B2125" s="0" t="str">
        <f aca="false">IF(A2125="","",IF(MATCH(A2125,$A$2:$A$3201,0)=ROW()-1,1,0))</f>
        <v/>
      </c>
      <c r="C2125" s="0" t="str">
        <f aca="false">IF(B2125=1,MAX(C$1:C2124)+1,"")</f>
        <v/>
      </c>
    </row>
    <row r="2126" customFormat="false" ht="15" hidden="false" customHeight="false" outlineLevel="0" collapsed="false">
      <c r="A2126" s="0" t="str">
        <f aca="false">IF(COMPRAS!K926="","",COMPRAS!K926)</f>
        <v/>
      </c>
      <c r="B2126" s="0" t="str">
        <f aca="false">IF(A2126="","",IF(MATCH(A2126,$A$2:$A$3201,0)=ROW()-1,1,0))</f>
        <v/>
      </c>
      <c r="C2126" s="0" t="str">
        <f aca="false">IF(B2126=1,MAX(C$1:C2125)+1,"")</f>
        <v/>
      </c>
    </row>
    <row r="2127" customFormat="false" ht="15" hidden="false" customHeight="false" outlineLevel="0" collapsed="false">
      <c r="A2127" s="0" t="str">
        <f aca="false">IF(COMPRAS!K927="","",COMPRAS!K927)</f>
        <v/>
      </c>
      <c r="B2127" s="0" t="str">
        <f aca="false">IF(A2127="","",IF(MATCH(A2127,$A$2:$A$3201,0)=ROW()-1,1,0))</f>
        <v/>
      </c>
      <c r="C2127" s="0" t="str">
        <f aca="false">IF(B2127=1,MAX(C$1:C2126)+1,"")</f>
        <v/>
      </c>
    </row>
    <row r="2128" customFormat="false" ht="15" hidden="false" customHeight="false" outlineLevel="0" collapsed="false">
      <c r="A2128" s="0" t="str">
        <f aca="false">IF(COMPRAS!K928="","",COMPRAS!K928)</f>
        <v/>
      </c>
      <c r="B2128" s="0" t="str">
        <f aca="false">IF(A2128="","",IF(MATCH(A2128,$A$2:$A$3201,0)=ROW()-1,1,0))</f>
        <v/>
      </c>
      <c r="C2128" s="0" t="str">
        <f aca="false">IF(B2128=1,MAX(C$1:C2127)+1,"")</f>
        <v/>
      </c>
    </row>
    <row r="2129" customFormat="false" ht="15" hidden="false" customHeight="false" outlineLevel="0" collapsed="false">
      <c r="A2129" s="0" t="str">
        <f aca="false">IF(COMPRAS!K929="","",COMPRAS!K929)</f>
        <v/>
      </c>
      <c r="B2129" s="0" t="str">
        <f aca="false">IF(A2129="","",IF(MATCH(A2129,$A$2:$A$3201,0)=ROW()-1,1,0))</f>
        <v/>
      </c>
      <c r="C2129" s="0" t="str">
        <f aca="false">IF(B2129=1,MAX(C$1:C2128)+1,"")</f>
        <v/>
      </c>
    </row>
    <row r="2130" customFormat="false" ht="15" hidden="false" customHeight="false" outlineLevel="0" collapsed="false">
      <c r="A2130" s="0" t="str">
        <f aca="false">IF(COMPRAS!K930="","",COMPRAS!K930)</f>
        <v/>
      </c>
      <c r="B2130" s="0" t="str">
        <f aca="false">IF(A2130="","",IF(MATCH(A2130,$A$2:$A$3201,0)=ROW()-1,1,0))</f>
        <v/>
      </c>
      <c r="C2130" s="0" t="str">
        <f aca="false">IF(B2130=1,MAX(C$1:C2129)+1,"")</f>
        <v/>
      </c>
    </row>
    <row r="2131" customFormat="false" ht="15" hidden="false" customHeight="false" outlineLevel="0" collapsed="false">
      <c r="A2131" s="0" t="str">
        <f aca="false">IF(COMPRAS!K931="","",COMPRAS!K931)</f>
        <v/>
      </c>
      <c r="B2131" s="0" t="str">
        <f aca="false">IF(A2131="","",IF(MATCH(A2131,$A$2:$A$3201,0)=ROW()-1,1,0))</f>
        <v/>
      </c>
      <c r="C2131" s="0" t="str">
        <f aca="false">IF(B2131=1,MAX(C$1:C2130)+1,"")</f>
        <v/>
      </c>
    </row>
    <row r="2132" customFormat="false" ht="15" hidden="false" customHeight="false" outlineLevel="0" collapsed="false">
      <c r="A2132" s="0" t="str">
        <f aca="false">IF(COMPRAS!K932="","",COMPRAS!K932)</f>
        <v/>
      </c>
      <c r="B2132" s="0" t="str">
        <f aca="false">IF(A2132="","",IF(MATCH(A2132,$A$2:$A$3201,0)=ROW()-1,1,0))</f>
        <v/>
      </c>
      <c r="C2132" s="0" t="str">
        <f aca="false">IF(B2132=1,MAX(C$1:C2131)+1,"")</f>
        <v/>
      </c>
    </row>
    <row r="2133" customFormat="false" ht="15" hidden="false" customHeight="false" outlineLevel="0" collapsed="false">
      <c r="A2133" s="0" t="str">
        <f aca="false">IF(COMPRAS!K933="","",COMPRAS!K933)</f>
        <v/>
      </c>
      <c r="B2133" s="0" t="str">
        <f aca="false">IF(A2133="","",IF(MATCH(A2133,$A$2:$A$3201,0)=ROW()-1,1,0))</f>
        <v/>
      </c>
      <c r="C2133" s="0" t="str">
        <f aca="false">IF(B2133=1,MAX(C$1:C2132)+1,"")</f>
        <v/>
      </c>
    </row>
    <row r="2134" customFormat="false" ht="15" hidden="false" customHeight="false" outlineLevel="0" collapsed="false">
      <c r="A2134" s="0" t="str">
        <f aca="false">IF(COMPRAS!K934="","",COMPRAS!K934)</f>
        <v/>
      </c>
      <c r="B2134" s="0" t="str">
        <f aca="false">IF(A2134="","",IF(MATCH(A2134,$A$2:$A$3201,0)=ROW()-1,1,0))</f>
        <v/>
      </c>
      <c r="C2134" s="0" t="str">
        <f aca="false">IF(B2134=1,MAX(C$1:C2133)+1,"")</f>
        <v/>
      </c>
    </row>
    <row r="2135" customFormat="false" ht="15" hidden="false" customHeight="false" outlineLevel="0" collapsed="false">
      <c r="A2135" s="0" t="str">
        <f aca="false">IF(COMPRAS!K935="","",COMPRAS!K935)</f>
        <v/>
      </c>
      <c r="B2135" s="0" t="str">
        <f aca="false">IF(A2135="","",IF(MATCH(A2135,$A$2:$A$3201,0)=ROW()-1,1,0))</f>
        <v/>
      </c>
      <c r="C2135" s="0" t="str">
        <f aca="false">IF(B2135=1,MAX(C$1:C2134)+1,"")</f>
        <v/>
      </c>
    </row>
    <row r="2136" customFormat="false" ht="15" hidden="false" customHeight="false" outlineLevel="0" collapsed="false">
      <c r="A2136" s="0" t="str">
        <f aca="false">IF(COMPRAS!K936="","",COMPRAS!K936)</f>
        <v/>
      </c>
      <c r="B2136" s="0" t="str">
        <f aca="false">IF(A2136="","",IF(MATCH(A2136,$A$2:$A$3201,0)=ROW()-1,1,0))</f>
        <v/>
      </c>
      <c r="C2136" s="0" t="str">
        <f aca="false">IF(B2136=1,MAX(C$1:C2135)+1,"")</f>
        <v/>
      </c>
    </row>
    <row r="2137" customFormat="false" ht="15" hidden="false" customHeight="false" outlineLevel="0" collapsed="false">
      <c r="A2137" s="0" t="str">
        <f aca="false">IF(COMPRAS!K937="","",COMPRAS!K937)</f>
        <v/>
      </c>
      <c r="B2137" s="0" t="str">
        <f aca="false">IF(A2137="","",IF(MATCH(A2137,$A$2:$A$3201,0)=ROW()-1,1,0))</f>
        <v/>
      </c>
      <c r="C2137" s="0" t="str">
        <f aca="false">IF(B2137=1,MAX(C$1:C2136)+1,"")</f>
        <v/>
      </c>
    </row>
    <row r="2138" customFormat="false" ht="15" hidden="false" customHeight="false" outlineLevel="0" collapsed="false">
      <c r="A2138" s="0" t="str">
        <f aca="false">IF(COMPRAS!K938="","",COMPRAS!K938)</f>
        <v/>
      </c>
      <c r="B2138" s="0" t="str">
        <f aca="false">IF(A2138="","",IF(MATCH(A2138,$A$2:$A$3201,0)=ROW()-1,1,0))</f>
        <v/>
      </c>
      <c r="C2138" s="0" t="str">
        <f aca="false">IF(B2138=1,MAX(C$1:C2137)+1,"")</f>
        <v/>
      </c>
    </row>
    <row r="2139" customFormat="false" ht="15" hidden="false" customHeight="false" outlineLevel="0" collapsed="false">
      <c r="A2139" s="0" t="str">
        <f aca="false">IF(COMPRAS!K939="","",COMPRAS!K939)</f>
        <v/>
      </c>
      <c r="B2139" s="0" t="str">
        <f aca="false">IF(A2139="","",IF(MATCH(A2139,$A$2:$A$3201,0)=ROW()-1,1,0))</f>
        <v/>
      </c>
      <c r="C2139" s="0" t="str">
        <f aca="false">IF(B2139=1,MAX(C$1:C2138)+1,"")</f>
        <v/>
      </c>
    </row>
    <row r="2140" customFormat="false" ht="15" hidden="false" customHeight="false" outlineLevel="0" collapsed="false">
      <c r="A2140" s="0" t="str">
        <f aca="false">IF(COMPRAS!K940="","",COMPRAS!K940)</f>
        <v/>
      </c>
      <c r="B2140" s="0" t="str">
        <f aca="false">IF(A2140="","",IF(MATCH(A2140,$A$2:$A$3201,0)=ROW()-1,1,0))</f>
        <v/>
      </c>
      <c r="C2140" s="0" t="str">
        <f aca="false">IF(B2140=1,MAX(C$1:C2139)+1,"")</f>
        <v/>
      </c>
    </row>
    <row r="2141" customFormat="false" ht="15" hidden="false" customHeight="false" outlineLevel="0" collapsed="false">
      <c r="A2141" s="0" t="str">
        <f aca="false">IF(COMPRAS!K941="","",COMPRAS!K941)</f>
        <v/>
      </c>
      <c r="B2141" s="0" t="str">
        <f aca="false">IF(A2141="","",IF(MATCH(A2141,$A$2:$A$3201,0)=ROW()-1,1,0))</f>
        <v/>
      </c>
      <c r="C2141" s="0" t="str">
        <f aca="false">IF(B2141=1,MAX(C$1:C2140)+1,"")</f>
        <v/>
      </c>
    </row>
    <row r="2142" customFormat="false" ht="15" hidden="false" customHeight="false" outlineLevel="0" collapsed="false">
      <c r="A2142" s="0" t="str">
        <f aca="false">IF(COMPRAS!K942="","",COMPRAS!K942)</f>
        <v/>
      </c>
      <c r="B2142" s="0" t="str">
        <f aca="false">IF(A2142="","",IF(MATCH(A2142,$A$2:$A$3201,0)=ROW()-1,1,0))</f>
        <v/>
      </c>
      <c r="C2142" s="0" t="str">
        <f aca="false">IF(B2142=1,MAX(C$1:C2141)+1,"")</f>
        <v/>
      </c>
    </row>
    <row r="2143" customFormat="false" ht="15" hidden="false" customHeight="false" outlineLevel="0" collapsed="false">
      <c r="A2143" s="0" t="str">
        <f aca="false">IF(COMPRAS!K943="","",COMPRAS!K943)</f>
        <v/>
      </c>
      <c r="B2143" s="0" t="str">
        <f aca="false">IF(A2143="","",IF(MATCH(A2143,$A$2:$A$3201,0)=ROW()-1,1,0))</f>
        <v/>
      </c>
      <c r="C2143" s="0" t="str">
        <f aca="false">IF(B2143=1,MAX(C$1:C2142)+1,"")</f>
        <v/>
      </c>
    </row>
    <row r="2144" customFormat="false" ht="15" hidden="false" customHeight="false" outlineLevel="0" collapsed="false">
      <c r="A2144" s="0" t="str">
        <f aca="false">IF(COMPRAS!K944="","",COMPRAS!K944)</f>
        <v/>
      </c>
      <c r="B2144" s="0" t="str">
        <f aca="false">IF(A2144="","",IF(MATCH(A2144,$A$2:$A$3201,0)=ROW()-1,1,0))</f>
        <v/>
      </c>
      <c r="C2144" s="0" t="str">
        <f aca="false">IF(B2144=1,MAX(C$1:C2143)+1,"")</f>
        <v/>
      </c>
    </row>
    <row r="2145" customFormat="false" ht="15" hidden="false" customHeight="false" outlineLevel="0" collapsed="false">
      <c r="A2145" s="0" t="str">
        <f aca="false">IF(COMPRAS!K945="","",COMPRAS!K945)</f>
        <v/>
      </c>
      <c r="B2145" s="0" t="str">
        <f aca="false">IF(A2145="","",IF(MATCH(A2145,$A$2:$A$3201,0)=ROW()-1,1,0))</f>
        <v/>
      </c>
      <c r="C2145" s="0" t="str">
        <f aca="false">IF(B2145=1,MAX(C$1:C2144)+1,"")</f>
        <v/>
      </c>
    </row>
    <row r="2146" customFormat="false" ht="15" hidden="false" customHeight="false" outlineLevel="0" collapsed="false">
      <c r="A2146" s="0" t="str">
        <f aca="false">IF(COMPRAS!K946="","",COMPRAS!K946)</f>
        <v/>
      </c>
      <c r="B2146" s="0" t="str">
        <f aca="false">IF(A2146="","",IF(MATCH(A2146,$A$2:$A$3201,0)=ROW()-1,1,0))</f>
        <v/>
      </c>
      <c r="C2146" s="0" t="str">
        <f aca="false">IF(B2146=1,MAX(C$1:C2145)+1,"")</f>
        <v/>
      </c>
    </row>
    <row r="2147" customFormat="false" ht="15" hidden="false" customHeight="false" outlineLevel="0" collapsed="false">
      <c r="A2147" s="0" t="str">
        <f aca="false">IF(COMPRAS!K947="","",COMPRAS!K947)</f>
        <v/>
      </c>
      <c r="B2147" s="0" t="str">
        <f aca="false">IF(A2147="","",IF(MATCH(A2147,$A$2:$A$3201,0)=ROW()-1,1,0))</f>
        <v/>
      </c>
      <c r="C2147" s="0" t="str">
        <f aca="false">IF(B2147=1,MAX(C$1:C2146)+1,"")</f>
        <v/>
      </c>
    </row>
    <row r="2148" customFormat="false" ht="15" hidden="false" customHeight="false" outlineLevel="0" collapsed="false">
      <c r="A2148" s="0" t="str">
        <f aca="false">IF(COMPRAS!K948="","",COMPRAS!K948)</f>
        <v/>
      </c>
      <c r="B2148" s="0" t="str">
        <f aca="false">IF(A2148="","",IF(MATCH(A2148,$A$2:$A$3201,0)=ROW()-1,1,0))</f>
        <v/>
      </c>
      <c r="C2148" s="0" t="str">
        <f aca="false">IF(B2148=1,MAX(C$1:C2147)+1,"")</f>
        <v/>
      </c>
    </row>
    <row r="2149" customFormat="false" ht="15" hidden="false" customHeight="false" outlineLevel="0" collapsed="false">
      <c r="A2149" s="0" t="str">
        <f aca="false">IF(COMPRAS!K949="","",COMPRAS!K949)</f>
        <v/>
      </c>
      <c r="B2149" s="0" t="str">
        <f aca="false">IF(A2149="","",IF(MATCH(A2149,$A$2:$A$3201,0)=ROW()-1,1,0))</f>
        <v/>
      </c>
      <c r="C2149" s="0" t="str">
        <f aca="false">IF(B2149=1,MAX(C$1:C2148)+1,"")</f>
        <v/>
      </c>
    </row>
    <row r="2150" customFormat="false" ht="15" hidden="false" customHeight="false" outlineLevel="0" collapsed="false">
      <c r="A2150" s="0" t="str">
        <f aca="false">IF(COMPRAS!K950="","",COMPRAS!K950)</f>
        <v/>
      </c>
      <c r="B2150" s="0" t="str">
        <f aca="false">IF(A2150="","",IF(MATCH(A2150,$A$2:$A$3201,0)=ROW()-1,1,0))</f>
        <v/>
      </c>
      <c r="C2150" s="0" t="str">
        <f aca="false">IF(B2150=1,MAX(C$1:C2149)+1,"")</f>
        <v/>
      </c>
    </row>
    <row r="2151" customFormat="false" ht="15" hidden="false" customHeight="false" outlineLevel="0" collapsed="false">
      <c r="A2151" s="0" t="str">
        <f aca="false">IF(COMPRAS!K951="","",COMPRAS!K951)</f>
        <v/>
      </c>
      <c r="B2151" s="0" t="str">
        <f aca="false">IF(A2151="","",IF(MATCH(A2151,$A$2:$A$3201,0)=ROW()-1,1,0))</f>
        <v/>
      </c>
      <c r="C2151" s="0" t="str">
        <f aca="false">IF(B2151=1,MAX(C$1:C2150)+1,"")</f>
        <v/>
      </c>
    </row>
    <row r="2152" customFormat="false" ht="15" hidden="false" customHeight="false" outlineLevel="0" collapsed="false">
      <c r="A2152" s="0" t="str">
        <f aca="false">IF(COMPRAS!K952="","",COMPRAS!K952)</f>
        <v/>
      </c>
      <c r="B2152" s="0" t="str">
        <f aca="false">IF(A2152="","",IF(MATCH(A2152,$A$2:$A$3201,0)=ROW()-1,1,0))</f>
        <v/>
      </c>
      <c r="C2152" s="0" t="str">
        <f aca="false">IF(B2152=1,MAX(C$1:C2151)+1,"")</f>
        <v/>
      </c>
    </row>
    <row r="2153" customFormat="false" ht="15" hidden="false" customHeight="false" outlineLevel="0" collapsed="false">
      <c r="A2153" s="0" t="str">
        <f aca="false">IF(COMPRAS!K953="","",COMPRAS!K953)</f>
        <v/>
      </c>
      <c r="B2153" s="0" t="str">
        <f aca="false">IF(A2153="","",IF(MATCH(A2153,$A$2:$A$3201,0)=ROW()-1,1,0))</f>
        <v/>
      </c>
      <c r="C2153" s="0" t="str">
        <f aca="false">IF(B2153=1,MAX(C$1:C2152)+1,"")</f>
        <v/>
      </c>
    </row>
    <row r="2154" customFormat="false" ht="15" hidden="false" customHeight="false" outlineLevel="0" collapsed="false">
      <c r="A2154" s="0" t="str">
        <f aca="false">IF(COMPRAS!K954="","",COMPRAS!K954)</f>
        <v/>
      </c>
      <c r="B2154" s="0" t="str">
        <f aca="false">IF(A2154="","",IF(MATCH(A2154,$A$2:$A$3201,0)=ROW()-1,1,0))</f>
        <v/>
      </c>
      <c r="C2154" s="0" t="str">
        <f aca="false">IF(B2154=1,MAX(C$1:C2153)+1,"")</f>
        <v/>
      </c>
    </row>
    <row r="2155" customFormat="false" ht="15" hidden="false" customHeight="false" outlineLevel="0" collapsed="false">
      <c r="A2155" s="0" t="str">
        <f aca="false">IF(COMPRAS!K955="","",COMPRAS!K955)</f>
        <v/>
      </c>
      <c r="B2155" s="0" t="str">
        <f aca="false">IF(A2155="","",IF(MATCH(A2155,$A$2:$A$3201,0)=ROW()-1,1,0))</f>
        <v/>
      </c>
      <c r="C2155" s="0" t="str">
        <f aca="false">IF(B2155=1,MAX(C$1:C2154)+1,"")</f>
        <v/>
      </c>
    </row>
    <row r="2156" customFormat="false" ht="15" hidden="false" customHeight="false" outlineLevel="0" collapsed="false">
      <c r="A2156" s="0" t="str">
        <f aca="false">IF(COMPRAS!K956="","",COMPRAS!K956)</f>
        <v/>
      </c>
      <c r="B2156" s="0" t="str">
        <f aca="false">IF(A2156="","",IF(MATCH(A2156,$A$2:$A$3201,0)=ROW()-1,1,0))</f>
        <v/>
      </c>
      <c r="C2156" s="0" t="str">
        <f aca="false">IF(B2156=1,MAX(C$1:C2155)+1,"")</f>
        <v/>
      </c>
    </row>
    <row r="2157" customFormat="false" ht="15" hidden="false" customHeight="false" outlineLevel="0" collapsed="false">
      <c r="A2157" s="0" t="str">
        <f aca="false">IF(COMPRAS!K957="","",COMPRAS!K957)</f>
        <v/>
      </c>
      <c r="B2157" s="0" t="str">
        <f aca="false">IF(A2157="","",IF(MATCH(A2157,$A$2:$A$3201,0)=ROW()-1,1,0))</f>
        <v/>
      </c>
      <c r="C2157" s="0" t="str">
        <f aca="false">IF(B2157=1,MAX(C$1:C2156)+1,"")</f>
        <v/>
      </c>
    </row>
    <row r="2158" customFormat="false" ht="15" hidden="false" customHeight="false" outlineLevel="0" collapsed="false">
      <c r="A2158" s="0" t="str">
        <f aca="false">IF(COMPRAS!K958="","",COMPRAS!K958)</f>
        <v/>
      </c>
      <c r="B2158" s="0" t="str">
        <f aca="false">IF(A2158="","",IF(MATCH(A2158,$A$2:$A$3201,0)=ROW()-1,1,0))</f>
        <v/>
      </c>
      <c r="C2158" s="0" t="str">
        <f aca="false">IF(B2158=1,MAX(C$1:C2157)+1,"")</f>
        <v/>
      </c>
    </row>
    <row r="2159" customFormat="false" ht="15" hidden="false" customHeight="false" outlineLevel="0" collapsed="false">
      <c r="A2159" s="0" t="str">
        <f aca="false">IF(COMPRAS!K959="","",COMPRAS!K959)</f>
        <v/>
      </c>
      <c r="B2159" s="0" t="str">
        <f aca="false">IF(A2159="","",IF(MATCH(A2159,$A$2:$A$3201,0)=ROW()-1,1,0))</f>
        <v/>
      </c>
      <c r="C2159" s="0" t="str">
        <f aca="false">IF(B2159=1,MAX(C$1:C2158)+1,"")</f>
        <v/>
      </c>
    </row>
    <row r="2160" customFormat="false" ht="15" hidden="false" customHeight="false" outlineLevel="0" collapsed="false">
      <c r="A2160" s="0" t="str">
        <f aca="false">IF(COMPRAS!K960="","",COMPRAS!K960)</f>
        <v/>
      </c>
      <c r="B2160" s="0" t="str">
        <f aca="false">IF(A2160="","",IF(MATCH(A2160,$A$2:$A$3201,0)=ROW()-1,1,0))</f>
        <v/>
      </c>
      <c r="C2160" s="0" t="str">
        <f aca="false">IF(B2160=1,MAX(C$1:C2159)+1,"")</f>
        <v/>
      </c>
    </row>
    <row r="2161" customFormat="false" ht="15" hidden="false" customHeight="false" outlineLevel="0" collapsed="false">
      <c r="A2161" s="0" t="str">
        <f aca="false">IF(COMPRAS!K961="","",COMPRAS!K961)</f>
        <v/>
      </c>
      <c r="B2161" s="0" t="str">
        <f aca="false">IF(A2161="","",IF(MATCH(A2161,$A$2:$A$3201,0)=ROW()-1,1,0))</f>
        <v/>
      </c>
      <c r="C2161" s="0" t="str">
        <f aca="false">IF(B2161=1,MAX(C$1:C2160)+1,"")</f>
        <v/>
      </c>
    </row>
    <row r="2162" customFormat="false" ht="15" hidden="false" customHeight="false" outlineLevel="0" collapsed="false">
      <c r="A2162" s="0" t="str">
        <f aca="false">IF(COMPRAS!K962="","",COMPRAS!K962)</f>
        <v/>
      </c>
      <c r="B2162" s="0" t="str">
        <f aca="false">IF(A2162="","",IF(MATCH(A2162,$A$2:$A$3201,0)=ROW()-1,1,0))</f>
        <v/>
      </c>
      <c r="C2162" s="0" t="str">
        <f aca="false">IF(B2162=1,MAX(C$1:C2161)+1,"")</f>
        <v/>
      </c>
    </row>
    <row r="2163" customFormat="false" ht="15" hidden="false" customHeight="false" outlineLevel="0" collapsed="false">
      <c r="A2163" s="0" t="str">
        <f aca="false">IF(COMPRAS!K963="","",COMPRAS!K963)</f>
        <v/>
      </c>
      <c r="B2163" s="0" t="str">
        <f aca="false">IF(A2163="","",IF(MATCH(A2163,$A$2:$A$3201,0)=ROW()-1,1,0))</f>
        <v/>
      </c>
      <c r="C2163" s="0" t="str">
        <f aca="false">IF(B2163=1,MAX(C$1:C2162)+1,"")</f>
        <v/>
      </c>
    </row>
    <row r="2164" customFormat="false" ht="15" hidden="false" customHeight="false" outlineLevel="0" collapsed="false">
      <c r="A2164" s="0" t="str">
        <f aca="false">IF(COMPRAS!K964="","",COMPRAS!K964)</f>
        <v/>
      </c>
      <c r="B2164" s="0" t="str">
        <f aca="false">IF(A2164="","",IF(MATCH(A2164,$A$2:$A$3201,0)=ROW()-1,1,0))</f>
        <v/>
      </c>
      <c r="C2164" s="0" t="str">
        <f aca="false">IF(B2164=1,MAX(C$1:C2163)+1,"")</f>
        <v/>
      </c>
    </row>
    <row r="2165" customFormat="false" ht="15" hidden="false" customHeight="false" outlineLevel="0" collapsed="false">
      <c r="A2165" s="0" t="str">
        <f aca="false">IF(COMPRAS!K965="","",COMPRAS!K965)</f>
        <v/>
      </c>
      <c r="B2165" s="0" t="str">
        <f aca="false">IF(A2165="","",IF(MATCH(A2165,$A$2:$A$3201,0)=ROW()-1,1,0))</f>
        <v/>
      </c>
      <c r="C2165" s="0" t="str">
        <f aca="false">IF(B2165=1,MAX(C$1:C2164)+1,"")</f>
        <v/>
      </c>
    </row>
    <row r="2166" customFormat="false" ht="15" hidden="false" customHeight="false" outlineLevel="0" collapsed="false">
      <c r="A2166" s="0" t="str">
        <f aca="false">IF(COMPRAS!K966="","",COMPRAS!K966)</f>
        <v/>
      </c>
      <c r="B2166" s="0" t="str">
        <f aca="false">IF(A2166="","",IF(MATCH(A2166,$A$2:$A$3201,0)=ROW()-1,1,0))</f>
        <v/>
      </c>
      <c r="C2166" s="0" t="str">
        <f aca="false">IF(B2166=1,MAX(C$1:C2165)+1,"")</f>
        <v/>
      </c>
    </row>
    <row r="2167" customFormat="false" ht="15" hidden="false" customHeight="false" outlineLevel="0" collapsed="false">
      <c r="A2167" s="0" t="str">
        <f aca="false">IF(COMPRAS!K967="","",COMPRAS!K967)</f>
        <v/>
      </c>
      <c r="B2167" s="0" t="str">
        <f aca="false">IF(A2167="","",IF(MATCH(A2167,$A$2:$A$3201,0)=ROW()-1,1,0))</f>
        <v/>
      </c>
      <c r="C2167" s="0" t="str">
        <f aca="false">IF(B2167=1,MAX(C$1:C2166)+1,"")</f>
        <v/>
      </c>
    </row>
    <row r="2168" customFormat="false" ht="15" hidden="false" customHeight="false" outlineLevel="0" collapsed="false">
      <c r="A2168" s="0" t="str">
        <f aca="false">IF(COMPRAS!K968="","",COMPRAS!K968)</f>
        <v/>
      </c>
      <c r="B2168" s="0" t="str">
        <f aca="false">IF(A2168="","",IF(MATCH(A2168,$A$2:$A$3201,0)=ROW()-1,1,0))</f>
        <v/>
      </c>
      <c r="C2168" s="0" t="str">
        <f aca="false">IF(B2168=1,MAX(C$1:C2167)+1,"")</f>
        <v/>
      </c>
    </row>
    <row r="2169" customFormat="false" ht="15" hidden="false" customHeight="false" outlineLevel="0" collapsed="false">
      <c r="A2169" s="0" t="str">
        <f aca="false">IF(COMPRAS!K969="","",COMPRAS!K969)</f>
        <v/>
      </c>
      <c r="B2169" s="0" t="str">
        <f aca="false">IF(A2169="","",IF(MATCH(A2169,$A$2:$A$3201,0)=ROW()-1,1,0))</f>
        <v/>
      </c>
      <c r="C2169" s="0" t="str">
        <f aca="false">IF(B2169=1,MAX(C$1:C2168)+1,"")</f>
        <v/>
      </c>
    </row>
    <row r="2170" customFormat="false" ht="15" hidden="false" customHeight="false" outlineLevel="0" collapsed="false">
      <c r="A2170" s="0" t="str">
        <f aca="false">IF(COMPRAS!K970="","",COMPRAS!K970)</f>
        <v/>
      </c>
      <c r="B2170" s="0" t="str">
        <f aca="false">IF(A2170="","",IF(MATCH(A2170,$A$2:$A$3201,0)=ROW()-1,1,0))</f>
        <v/>
      </c>
      <c r="C2170" s="0" t="str">
        <f aca="false">IF(B2170=1,MAX(C$1:C2169)+1,"")</f>
        <v/>
      </c>
    </row>
    <row r="2171" customFormat="false" ht="15" hidden="false" customHeight="false" outlineLevel="0" collapsed="false">
      <c r="A2171" s="0" t="str">
        <f aca="false">IF(COMPRAS!K971="","",COMPRAS!K971)</f>
        <v/>
      </c>
      <c r="B2171" s="0" t="str">
        <f aca="false">IF(A2171="","",IF(MATCH(A2171,$A$2:$A$3201,0)=ROW()-1,1,0))</f>
        <v/>
      </c>
      <c r="C2171" s="0" t="str">
        <f aca="false">IF(B2171=1,MAX(C$1:C2170)+1,"")</f>
        <v/>
      </c>
    </row>
    <row r="2172" customFormat="false" ht="15" hidden="false" customHeight="false" outlineLevel="0" collapsed="false">
      <c r="A2172" s="0" t="str">
        <f aca="false">IF(COMPRAS!K972="","",COMPRAS!K972)</f>
        <v/>
      </c>
      <c r="B2172" s="0" t="str">
        <f aca="false">IF(A2172="","",IF(MATCH(A2172,$A$2:$A$3201,0)=ROW()-1,1,0))</f>
        <v/>
      </c>
      <c r="C2172" s="0" t="str">
        <f aca="false">IF(B2172=1,MAX(C$1:C2171)+1,"")</f>
        <v/>
      </c>
    </row>
    <row r="2173" customFormat="false" ht="15" hidden="false" customHeight="false" outlineLevel="0" collapsed="false">
      <c r="A2173" s="0" t="str">
        <f aca="false">IF(COMPRAS!K973="","",COMPRAS!K973)</f>
        <v/>
      </c>
      <c r="B2173" s="0" t="str">
        <f aca="false">IF(A2173="","",IF(MATCH(A2173,$A$2:$A$3201,0)=ROW()-1,1,0))</f>
        <v/>
      </c>
      <c r="C2173" s="0" t="str">
        <f aca="false">IF(B2173=1,MAX(C$1:C2172)+1,"")</f>
        <v/>
      </c>
    </row>
    <row r="2174" customFormat="false" ht="15" hidden="false" customHeight="false" outlineLevel="0" collapsed="false">
      <c r="A2174" s="0" t="str">
        <f aca="false">IF(COMPRAS!K974="","",COMPRAS!K974)</f>
        <v/>
      </c>
      <c r="B2174" s="0" t="str">
        <f aca="false">IF(A2174="","",IF(MATCH(A2174,$A$2:$A$3201,0)=ROW()-1,1,0))</f>
        <v/>
      </c>
      <c r="C2174" s="0" t="str">
        <f aca="false">IF(B2174=1,MAX(C$1:C2173)+1,"")</f>
        <v/>
      </c>
    </row>
    <row r="2175" customFormat="false" ht="15" hidden="false" customHeight="false" outlineLevel="0" collapsed="false">
      <c r="A2175" s="0" t="str">
        <f aca="false">IF(COMPRAS!K975="","",COMPRAS!K975)</f>
        <v/>
      </c>
      <c r="B2175" s="0" t="str">
        <f aca="false">IF(A2175="","",IF(MATCH(A2175,$A$2:$A$3201,0)=ROW()-1,1,0))</f>
        <v/>
      </c>
      <c r="C2175" s="0" t="str">
        <f aca="false">IF(B2175=1,MAX(C$1:C2174)+1,"")</f>
        <v/>
      </c>
    </row>
    <row r="2176" customFormat="false" ht="15" hidden="false" customHeight="false" outlineLevel="0" collapsed="false">
      <c r="A2176" s="0" t="str">
        <f aca="false">IF(COMPRAS!K976="","",COMPRAS!K976)</f>
        <v/>
      </c>
      <c r="B2176" s="0" t="str">
        <f aca="false">IF(A2176="","",IF(MATCH(A2176,$A$2:$A$3201,0)=ROW()-1,1,0))</f>
        <v/>
      </c>
      <c r="C2176" s="0" t="str">
        <f aca="false">IF(B2176=1,MAX(C$1:C2175)+1,"")</f>
        <v/>
      </c>
    </row>
    <row r="2177" customFormat="false" ht="15" hidden="false" customHeight="false" outlineLevel="0" collapsed="false">
      <c r="A2177" s="0" t="str">
        <f aca="false">IF(COMPRAS!K977="","",COMPRAS!K977)</f>
        <v/>
      </c>
      <c r="B2177" s="0" t="str">
        <f aca="false">IF(A2177="","",IF(MATCH(A2177,$A$2:$A$3201,0)=ROW()-1,1,0))</f>
        <v/>
      </c>
      <c r="C2177" s="0" t="str">
        <f aca="false">IF(B2177=1,MAX(C$1:C2176)+1,"")</f>
        <v/>
      </c>
    </row>
    <row r="2178" customFormat="false" ht="15" hidden="false" customHeight="false" outlineLevel="0" collapsed="false">
      <c r="A2178" s="0" t="str">
        <f aca="false">IF(COMPRAS!K978="","",COMPRAS!K978)</f>
        <v/>
      </c>
      <c r="B2178" s="0" t="str">
        <f aca="false">IF(A2178="","",IF(MATCH(A2178,$A$2:$A$3201,0)=ROW()-1,1,0))</f>
        <v/>
      </c>
      <c r="C2178" s="0" t="str">
        <f aca="false">IF(B2178=1,MAX(C$1:C2177)+1,"")</f>
        <v/>
      </c>
    </row>
    <row r="2179" customFormat="false" ht="15" hidden="false" customHeight="false" outlineLevel="0" collapsed="false">
      <c r="A2179" s="0" t="str">
        <f aca="false">IF(COMPRAS!K979="","",COMPRAS!K979)</f>
        <v/>
      </c>
      <c r="B2179" s="0" t="str">
        <f aca="false">IF(A2179="","",IF(MATCH(A2179,$A$2:$A$3201,0)=ROW()-1,1,0))</f>
        <v/>
      </c>
      <c r="C2179" s="0" t="str">
        <f aca="false">IF(B2179=1,MAX(C$1:C2178)+1,"")</f>
        <v/>
      </c>
    </row>
    <row r="2180" customFormat="false" ht="15" hidden="false" customHeight="false" outlineLevel="0" collapsed="false">
      <c r="A2180" s="0" t="str">
        <f aca="false">IF(COMPRAS!K980="","",COMPRAS!K980)</f>
        <v/>
      </c>
      <c r="B2180" s="0" t="str">
        <f aca="false">IF(A2180="","",IF(MATCH(A2180,$A$2:$A$3201,0)=ROW()-1,1,0))</f>
        <v/>
      </c>
      <c r="C2180" s="0" t="str">
        <f aca="false">IF(B2180=1,MAX(C$1:C2179)+1,"")</f>
        <v/>
      </c>
    </row>
    <row r="2181" customFormat="false" ht="15" hidden="false" customHeight="false" outlineLevel="0" collapsed="false">
      <c r="A2181" s="0" t="str">
        <f aca="false">IF(COMPRAS!K981="","",COMPRAS!K981)</f>
        <v/>
      </c>
      <c r="B2181" s="0" t="str">
        <f aca="false">IF(A2181="","",IF(MATCH(A2181,$A$2:$A$3201,0)=ROW()-1,1,0))</f>
        <v/>
      </c>
      <c r="C2181" s="0" t="str">
        <f aca="false">IF(B2181=1,MAX(C$1:C2180)+1,"")</f>
        <v/>
      </c>
    </row>
    <row r="2182" customFormat="false" ht="15" hidden="false" customHeight="false" outlineLevel="0" collapsed="false">
      <c r="A2182" s="0" t="str">
        <f aca="false">IF(COMPRAS!K982="","",COMPRAS!K982)</f>
        <v/>
      </c>
      <c r="B2182" s="0" t="str">
        <f aca="false">IF(A2182="","",IF(MATCH(A2182,$A$2:$A$3201,0)=ROW()-1,1,0))</f>
        <v/>
      </c>
      <c r="C2182" s="0" t="str">
        <f aca="false">IF(B2182=1,MAX(C$1:C2181)+1,"")</f>
        <v/>
      </c>
    </row>
    <row r="2183" customFormat="false" ht="15" hidden="false" customHeight="false" outlineLevel="0" collapsed="false">
      <c r="A2183" s="0" t="str">
        <f aca="false">IF(COMPRAS!K983="","",COMPRAS!K983)</f>
        <v/>
      </c>
      <c r="B2183" s="0" t="str">
        <f aca="false">IF(A2183="","",IF(MATCH(A2183,$A$2:$A$3201,0)=ROW()-1,1,0))</f>
        <v/>
      </c>
      <c r="C2183" s="0" t="str">
        <f aca="false">IF(B2183=1,MAX(C$1:C2182)+1,"")</f>
        <v/>
      </c>
    </row>
    <row r="2184" customFormat="false" ht="15" hidden="false" customHeight="false" outlineLevel="0" collapsed="false">
      <c r="A2184" s="0" t="str">
        <f aca="false">IF(COMPRAS!K984="","",COMPRAS!K984)</f>
        <v/>
      </c>
      <c r="B2184" s="0" t="str">
        <f aca="false">IF(A2184="","",IF(MATCH(A2184,$A$2:$A$3201,0)=ROW()-1,1,0))</f>
        <v/>
      </c>
      <c r="C2184" s="0" t="str">
        <f aca="false">IF(B2184=1,MAX(C$1:C2183)+1,"")</f>
        <v/>
      </c>
    </row>
    <row r="2185" customFormat="false" ht="15" hidden="false" customHeight="false" outlineLevel="0" collapsed="false">
      <c r="A2185" s="0" t="str">
        <f aca="false">IF(COMPRAS!K985="","",COMPRAS!K985)</f>
        <v/>
      </c>
      <c r="B2185" s="0" t="str">
        <f aca="false">IF(A2185="","",IF(MATCH(A2185,$A$2:$A$3201,0)=ROW()-1,1,0))</f>
        <v/>
      </c>
      <c r="C2185" s="0" t="str">
        <f aca="false">IF(B2185=1,MAX(C$1:C2184)+1,"")</f>
        <v/>
      </c>
    </row>
    <row r="2186" customFormat="false" ht="15" hidden="false" customHeight="false" outlineLevel="0" collapsed="false">
      <c r="A2186" s="0" t="str">
        <f aca="false">IF(COMPRAS!K986="","",COMPRAS!K986)</f>
        <v/>
      </c>
      <c r="B2186" s="0" t="str">
        <f aca="false">IF(A2186="","",IF(MATCH(A2186,$A$2:$A$3201,0)=ROW()-1,1,0))</f>
        <v/>
      </c>
      <c r="C2186" s="0" t="str">
        <f aca="false">IF(B2186=1,MAX(C$1:C2185)+1,"")</f>
        <v/>
      </c>
    </row>
    <row r="2187" customFormat="false" ht="15" hidden="false" customHeight="false" outlineLevel="0" collapsed="false">
      <c r="A2187" s="0" t="str">
        <f aca="false">IF(COMPRAS!K987="","",COMPRAS!K987)</f>
        <v/>
      </c>
      <c r="B2187" s="0" t="str">
        <f aca="false">IF(A2187="","",IF(MATCH(A2187,$A$2:$A$3201,0)=ROW()-1,1,0))</f>
        <v/>
      </c>
      <c r="C2187" s="0" t="str">
        <f aca="false">IF(B2187=1,MAX(C$1:C2186)+1,"")</f>
        <v/>
      </c>
    </row>
    <row r="2188" customFormat="false" ht="15" hidden="false" customHeight="false" outlineLevel="0" collapsed="false">
      <c r="A2188" s="0" t="str">
        <f aca="false">IF(COMPRAS!K988="","",COMPRAS!K988)</f>
        <v/>
      </c>
      <c r="B2188" s="0" t="str">
        <f aca="false">IF(A2188="","",IF(MATCH(A2188,$A$2:$A$3201,0)=ROW()-1,1,0))</f>
        <v/>
      </c>
      <c r="C2188" s="0" t="str">
        <f aca="false">IF(B2188=1,MAX(C$1:C2187)+1,"")</f>
        <v/>
      </c>
    </row>
    <row r="2189" customFormat="false" ht="15" hidden="false" customHeight="false" outlineLevel="0" collapsed="false">
      <c r="A2189" s="0" t="str">
        <f aca="false">IF(COMPRAS!K989="","",COMPRAS!K989)</f>
        <v/>
      </c>
      <c r="B2189" s="0" t="str">
        <f aca="false">IF(A2189="","",IF(MATCH(A2189,$A$2:$A$3201,0)=ROW()-1,1,0))</f>
        <v/>
      </c>
      <c r="C2189" s="0" t="str">
        <f aca="false">IF(B2189=1,MAX(C$1:C2188)+1,"")</f>
        <v/>
      </c>
    </row>
    <row r="2190" customFormat="false" ht="15" hidden="false" customHeight="false" outlineLevel="0" collapsed="false">
      <c r="A2190" s="0" t="str">
        <f aca="false">IF(COMPRAS!K990="","",COMPRAS!K990)</f>
        <v/>
      </c>
      <c r="B2190" s="0" t="str">
        <f aca="false">IF(A2190="","",IF(MATCH(A2190,$A$2:$A$3201,0)=ROW()-1,1,0))</f>
        <v/>
      </c>
      <c r="C2190" s="0" t="str">
        <f aca="false">IF(B2190=1,MAX(C$1:C2189)+1,"")</f>
        <v/>
      </c>
    </row>
    <row r="2191" customFormat="false" ht="15" hidden="false" customHeight="false" outlineLevel="0" collapsed="false">
      <c r="A2191" s="0" t="str">
        <f aca="false">IF(COMPRAS!K991="","",COMPRAS!K991)</f>
        <v/>
      </c>
      <c r="B2191" s="0" t="str">
        <f aca="false">IF(A2191="","",IF(MATCH(A2191,$A$2:$A$3201,0)=ROW()-1,1,0))</f>
        <v/>
      </c>
      <c r="C2191" s="0" t="str">
        <f aca="false">IF(B2191=1,MAX(C$1:C2190)+1,"")</f>
        <v/>
      </c>
    </row>
    <row r="2192" customFormat="false" ht="15" hidden="false" customHeight="false" outlineLevel="0" collapsed="false">
      <c r="A2192" s="0" t="str">
        <f aca="false">IF(COMPRAS!K992="","",COMPRAS!K992)</f>
        <v/>
      </c>
      <c r="B2192" s="0" t="str">
        <f aca="false">IF(A2192="","",IF(MATCH(A2192,$A$2:$A$3201,0)=ROW()-1,1,0))</f>
        <v/>
      </c>
      <c r="C2192" s="0" t="str">
        <f aca="false">IF(B2192=1,MAX(C$1:C2191)+1,"")</f>
        <v/>
      </c>
    </row>
    <row r="2193" customFormat="false" ht="15" hidden="false" customHeight="false" outlineLevel="0" collapsed="false">
      <c r="A2193" s="0" t="str">
        <f aca="false">IF(COMPRAS!K993="","",COMPRAS!K993)</f>
        <v/>
      </c>
      <c r="B2193" s="0" t="str">
        <f aca="false">IF(A2193="","",IF(MATCH(A2193,$A$2:$A$3201,0)=ROW()-1,1,0))</f>
        <v/>
      </c>
      <c r="C2193" s="0" t="str">
        <f aca="false">IF(B2193=1,MAX(C$1:C2192)+1,"")</f>
        <v/>
      </c>
    </row>
    <row r="2194" customFormat="false" ht="15" hidden="false" customHeight="false" outlineLevel="0" collapsed="false">
      <c r="A2194" s="0" t="str">
        <f aca="false">IF(COMPRAS!K994="","",COMPRAS!K994)</f>
        <v/>
      </c>
      <c r="B2194" s="0" t="str">
        <f aca="false">IF(A2194="","",IF(MATCH(A2194,$A$2:$A$3201,0)=ROW()-1,1,0))</f>
        <v/>
      </c>
      <c r="C2194" s="0" t="str">
        <f aca="false">IF(B2194=1,MAX(C$1:C2193)+1,"")</f>
        <v/>
      </c>
    </row>
    <row r="2195" customFormat="false" ht="15" hidden="false" customHeight="false" outlineLevel="0" collapsed="false">
      <c r="A2195" s="0" t="str">
        <f aca="false">IF(COMPRAS!K995="","",COMPRAS!K995)</f>
        <v/>
      </c>
      <c r="B2195" s="0" t="str">
        <f aca="false">IF(A2195="","",IF(MATCH(A2195,$A$2:$A$3201,0)=ROW()-1,1,0))</f>
        <v/>
      </c>
      <c r="C2195" s="0" t="str">
        <f aca="false">IF(B2195=1,MAX(C$1:C2194)+1,"")</f>
        <v/>
      </c>
    </row>
    <row r="2196" customFormat="false" ht="15" hidden="false" customHeight="false" outlineLevel="0" collapsed="false">
      <c r="A2196" s="0" t="str">
        <f aca="false">IF(COMPRAS!K996="","",COMPRAS!K996)</f>
        <v/>
      </c>
      <c r="B2196" s="0" t="str">
        <f aca="false">IF(A2196="","",IF(MATCH(A2196,$A$2:$A$3201,0)=ROW()-1,1,0))</f>
        <v/>
      </c>
      <c r="C2196" s="0" t="str">
        <f aca="false">IF(B2196=1,MAX(C$1:C2195)+1,"")</f>
        <v/>
      </c>
    </row>
    <row r="2197" customFormat="false" ht="15" hidden="false" customHeight="false" outlineLevel="0" collapsed="false">
      <c r="A2197" s="0" t="str">
        <f aca="false">IF(COMPRAS!K997="","",COMPRAS!K997)</f>
        <v/>
      </c>
      <c r="B2197" s="0" t="str">
        <f aca="false">IF(A2197="","",IF(MATCH(A2197,$A$2:$A$3201,0)=ROW()-1,1,0))</f>
        <v/>
      </c>
      <c r="C2197" s="0" t="str">
        <f aca="false">IF(B2197=1,MAX(C$1:C2196)+1,"")</f>
        <v/>
      </c>
    </row>
    <row r="2198" customFormat="false" ht="15" hidden="false" customHeight="false" outlineLevel="0" collapsed="false">
      <c r="A2198" s="0" t="str">
        <f aca="false">IF(COMPRAS!K998="","",COMPRAS!K998)</f>
        <v/>
      </c>
      <c r="B2198" s="0" t="str">
        <f aca="false">IF(A2198="","",IF(MATCH(A2198,$A$2:$A$3201,0)=ROW()-1,1,0))</f>
        <v/>
      </c>
      <c r="C2198" s="0" t="str">
        <f aca="false">IF(B2198=1,MAX(C$1:C2197)+1,"")</f>
        <v/>
      </c>
    </row>
    <row r="2199" customFormat="false" ht="15" hidden="false" customHeight="false" outlineLevel="0" collapsed="false">
      <c r="A2199" s="0" t="str">
        <f aca="false">IF(COMPRAS!K999="","",COMPRAS!K999)</f>
        <v/>
      </c>
      <c r="B2199" s="0" t="str">
        <f aca="false">IF(A2199="","",IF(MATCH(A2199,$A$2:$A$3201,0)=ROW()-1,1,0))</f>
        <v/>
      </c>
      <c r="C2199" s="0" t="str">
        <f aca="false">IF(B2199=1,MAX(C$1:C2198)+1,"")</f>
        <v/>
      </c>
    </row>
    <row r="2200" customFormat="false" ht="15" hidden="false" customHeight="false" outlineLevel="0" collapsed="false">
      <c r="A2200" s="0" t="str">
        <f aca="false">IF(COMPRAS!K1000="","",COMPRAS!K1000)</f>
        <v/>
      </c>
      <c r="B2200" s="0" t="str">
        <f aca="false">IF(A2200="","",IF(MATCH(A2200,$A$2:$A$3201,0)=ROW()-1,1,0))</f>
        <v/>
      </c>
      <c r="C2200" s="0" t="str">
        <f aca="false">IF(B2200=1,MAX(C$1:C2199)+1,"")</f>
        <v/>
      </c>
    </row>
    <row r="2201" customFormat="false" ht="15" hidden="false" customHeight="false" outlineLevel="0" collapsed="false">
      <c r="A2201" s="0" t="str">
        <f aca="false">IF(COMPRAS!K1001="","",COMPRAS!K1001)</f>
        <v/>
      </c>
      <c r="B2201" s="0" t="str">
        <f aca="false">IF(A2201="","",IF(MATCH(A2201,$A$2:$A$3201,0)=ROW()-1,1,0))</f>
        <v/>
      </c>
      <c r="C2201" s="0" t="str">
        <f aca="false">IF(B2201=1,MAX(C$1:C2200)+1,"")</f>
        <v/>
      </c>
    </row>
    <row r="2202" customFormat="false" ht="15" hidden="false" customHeight="false" outlineLevel="0" collapsed="false">
      <c r="A2202" s="0" t="str">
        <f aca="false">IF(COMPRAS!K1002="","",COMPRAS!K1002)</f>
        <v/>
      </c>
      <c r="B2202" s="0" t="str">
        <f aca="false">IF(A2202="","",IF(MATCH(A2202,$A$2:$A$3201,0)=ROW()-1,1,0))</f>
        <v/>
      </c>
      <c r="C2202" s="0" t="str">
        <f aca="false">IF(B2202=1,MAX(C$1:C2201)+1,"")</f>
        <v/>
      </c>
    </row>
    <row r="2203" customFormat="false" ht="15" hidden="false" customHeight="false" outlineLevel="0" collapsed="false">
      <c r="A2203" s="0" t="str">
        <f aca="false">IF(COMPRAS!K1003="","",COMPRAS!K1003)</f>
        <v/>
      </c>
      <c r="B2203" s="0" t="str">
        <f aca="false">IF(A2203="","",IF(MATCH(A2203,$A$2:$A$3201,0)=ROW()-1,1,0))</f>
        <v/>
      </c>
      <c r="C2203" s="0" t="str">
        <f aca="false">IF(B2203=1,MAX(C$1:C2202)+1,"")</f>
        <v/>
      </c>
    </row>
    <row r="2204" customFormat="false" ht="15" hidden="false" customHeight="false" outlineLevel="0" collapsed="false">
      <c r="A2204" s="0" t="str">
        <f aca="false">IF(COMPRAS!K1004="","",COMPRAS!K1004)</f>
        <v/>
      </c>
      <c r="B2204" s="0" t="str">
        <f aca="false">IF(A2204="","",IF(MATCH(A2204,$A$2:$A$3201,0)=ROW()-1,1,0))</f>
        <v/>
      </c>
      <c r="C2204" s="0" t="str">
        <f aca="false">IF(B2204=1,MAX(C$1:C2203)+1,"")</f>
        <v/>
      </c>
    </row>
    <row r="2205" customFormat="false" ht="15" hidden="false" customHeight="false" outlineLevel="0" collapsed="false">
      <c r="A2205" s="0" t="str">
        <f aca="false">IF(COMPRAS!K1005="","",COMPRAS!K1005)</f>
        <v/>
      </c>
      <c r="B2205" s="0" t="str">
        <f aca="false">IF(A2205="","",IF(MATCH(A2205,$A$2:$A$3201,0)=ROW()-1,1,0))</f>
        <v/>
      </c>
      <c r="C2205" s="0" t="str">
        <f aca="false">IF(B2205=1,MAX(C$1:C2204)+1,"")</f>
        <v/>
      </c>
    </row>
    <row r="2206" customFormat="false" ht="15" hidden="false" customHeight="false" outlineLevel="0" collapsed="false">
      <c r="A2206" s="0" t="str">
        <f aca="false">IF(COMPRAS!K1006="","",COMPRAS!K1006)</f>
        <v/>
      </c>
      <c r="B2206" s="0" t="str">
        <f aca="false">IF(A2206="","",IF(MATCH(A2206,$A$2:$A$3201,0)=ROW()-1,1,0))</f>
        <v/>
      </c>
      <c r="C2206" s="0" t="str">
        <f aca="false">IF(B2206=1,MAX(C$1:C2205)+1,"")</f>
        <v/>
      </c>
    </row>
    <row r="2207" customFormat="false" ht="15" hidden="false" customHeight="false" outlineLevel="0" collapsed="false">
      <c r="A2207" s="0" t="str">
        <f aca="false">IF(COMPRAS!K1007="","",COMPRAS!K1007)</f>
        <v/>
      </c>
      <c r="B2207" s="0" t="str">
        <f aca="false">IF(A2207="","",IF(MATCH(A2207,$A$2:$A$3201,0)=ROW()-1,1,0))</f>
        <v/>
      </c>
      <c r="C2207" s="0" t="str">
        <f aca="false">IF(B2207=1,MAX(C$1:C2206)+1,"")</f>
        <v/>
      </c>
    </row>
    <row r="2208" customFormat="false" ht="15" hidden="false" customHeight="false" outlineLevel="0" collapsed="false">
      <c r="A2208" s="0" t="str">
        <f aca="false">IF(COMPRAS!K1008="","",COMPRAS!K1008)</f>
        <v/>
      </c>
      <c r="B2208" s="0" t="str">
        <f aca="false">IF(A2208="","",IF(MATCH(A2208,$A$2:$A$3201,0)=ROW()-1,1,0))</f>
        <v/>
      </c>
      <c r="C2208" s="0" t="str">
        <f aca="false">IF(B2208=1,MAX(C$1:C2207)+1,"")</f>
        <v/>
      </c>
    </row>
    <row r="2209" customFormat="false" ht="15" hidden="false" customHeight="false" outlineLevel="0" collapsed="false">
      <c r="A2209" s="0" t="str">
        <f aca="false">IF(COMPRAS!K1009="","",COMPRAS!K1009)</f>
        <v/>
      </c>
      <c r="B2209" s="0" t="str">
        <f aca="false">IF(A2209="","",IF(MATCH(A2209,$A$2:$A$3201,0)=ROW()-1,1,0))</f>
        <v/>
      </c>
      <c r="C2209" s="0" t="str">
        <f aca="false">IF(B2209=1,MAX(C$1:C2208)+1,"")</f>
        <v/>
      </c>
    </row>
    <row r="2210" customFormat="false" ht="15" hidden="false" customHeight="false" outlineLevel="0" collapsed="false">
      <c r="A2210" s="0" t="str">
        <f aca="false">IF(COMPRAS!K1010="","",COMPRAS!K1010)</f>
        <v/>
      </c>
      <c r="B2210" s="0" t="str">
        <f aca="false">IF(A2210="","",IF(MATCH(A2210,$A$2:$A$3201,0)=ROW()-1,1,0))</f>
        <v/>
      </c>
      <c r="C2210" s="0" t="str">
        <f aca="false">IF(B2210=1,MAX(C$1:C2209)+1,"")</f>
        <v/>
      </c>
    </row>
    <row r="2211" customFormat="false" ht="15" hidden="false" customHeight="false" outlineLevel="0" collapsed="false">
      <c r="A2211" s="0" t="str">
        <f aca="false">IF(COMPRAS!K1011="","",COMPRAS!K1011)</f>
        <v/>
      </c>
      <c r="B2211" s="0" t="str">
        <f aca="false">IF(A2211="","",IF(MATCH(A2211,$A$2:$A$3201,0)=ROW()-1,1,0))</f>
        <v/>
      </c>
      <c r="C2211" s="0" t="str">
        <f aca="false">IF(B2211=1,MAX(C$1:C2210)+1,"")</f>
        <v/>
      </c>
    </row>
    <row r="2212" customFormat="false" ht="15" hidden="false" customHeight="false" outlineLevel="0" collapsed="false">
      <c r="A2212" s="0" t="str">
        <f aca="false">IF(COMPRAS!K1012="","",COMPRAS!K1012)</f>
        <v/>
      </c>
      <c r="B2212" s="0" t="str">
        <f aca="false">IF(A2212="","",IF(MATCH(A2212,$A$2:$A$3201,0)=ROW()-1,1,0))</f>
        <v/>
      </c>
      <c r="C2212" s="0" t="str">
        <f aca="false">IF(B2212=1,MAX(C$1:C2211)+1,"")</f>
        <v/>
      </c>
    </row>
    <row r="2213" customFormat="false" ht="15" hidden="false" customHeight="false" outlineLevel="0" collapsed="false">
      <c r="A2213" s="0" t="str">
        <f aca="false">IF(COMPRAS!K1013="","",COMPRAS!K1013)</f>
        <v/>
      </c>
      <c r="B2213" s="0" t="str">
        <f aca="false">IF(A2213="","",IF(MATCH(A2213,$A$2:$A$3201,0)=ROW()-1,1,0))</f>
        <v/>
      </c>
      <c r="C2213" s="0" t="str">
        <f aca="false">IF(B2213=1,MAX(C$1:C2212)+1,"")</f>
        <v/>
      </c>
    </row>
    <row r="2214" customFormat="false" ht="15" hidden="false" customHeight="false" outlineLevel="0" collapsed="false">
      <c r="A2214" s="0" t="str">
        <f aca="false">IF(COMPRAS!K1014="","",COMPRAS!K1014)</f>
        <v/>
      </c>
      <c r="B2214" s="0" t="str">
        <f aca="false">IF(A2214="","",IF(MATCH(A2214,$A$2:$A$3201,0)=ROW()-1,1,0))</f>
        <v/>
      </c>
      <c r="C2214" s="0" t="str">
        <f aca="false">IF(B2214=1,MAX(C$1:C2213)+1,"")</f>
        <v/>
      </c>
    </row>
    <row r="2215" customFormat="false" ht="15" hidden="false" customHeight="false" outlineLevel="0" collapsed="false">
      <c r="A2215" s="0" t="str">
        <f aca="false">IF(COMPRAS!K1015="","",COMPRAS!K1015)</f>
        <v/>
      </c>
      <c r="B2215" s="0" t="str">
        <f aca="false">IF(A2215="","",IF(MATCH(A2215,$A$2:$A$3201,0)=ROW()-1,1,0))</f>
        <v/>
      </c>
      <c r="C2215" s="0" t="str">
        <f aca="false">IF(B2215=1,MAX(C$1:C2214)+1,"")</f>
        <v/>
      </c>
    </row>
    <row r="2216" customFormat="false" ht="15" hidden="false" customHeight="false" outlineLevel="0" collapsed="false">
      <c r="A2216" s="0" t="str">
        <f aca="false">IF(COMPRAS!K1016="","",COMPRAS!K1016)</f>
        <v/>
      </c>
      <c r="B2216" s="0" t="str">
        <f aca="false">IF(A2216="","",IF(MATCH(A2216,$A$2:$A$3201,0)=ROW()-1,1,0))</f>
        <v/>
      </c>
      <c r="C2216" s="0" t="str">
        <f aca="false">IF(B2216=1,MAX(C$1:C2215)+1,"")</f>
        <v/>
      </c>
    </row>
    <row r="2217" customFormat="false" ht="15" hidden="false" customHeight="false" outlineLevel="0" collapsed="false">
      <c r="A2217" s="0" t="str">
        <f aca="false">IF(COMPRAS!K1017="","",COMPRAS!K1017)</f>
        <v/>
      </c>
      <c r="B2217" s="0" t="str">
        <f aca="false">IF(A2217="","",IF(MATCH(A2217,$A$2:$A$3201,0)=ROW()-1,1,0))</f>
        <v/>
      </c>
      <c r="C2217" s="0" t="str">
        <f aca="false">IF(B2217=1,MAX(C$1:C2216)+1,"")</f>
        <v/>
      </c>
    </row>
    <row r="2218" customFormat="false" ht="15" hidden="false" customHeight="false" outlineLevel="0" collapsed="false">
      <c r="A2218" s="0" t="str">
        <f aca="false">IF(COMPRAS!K1018="","",COMPRAS!K1018)</f>
        <v/>
      </c>
      <c r="B2218" s="0" t="str">
        <f aca="false">IF(A2218="","",IF(MATCH(A2218,$A$2:$A$3201,0)=ROW()-1,1,0))</f>
        <v/>
      </c>
      <c r="C2218" s="0" t="str">
        <f aca="false">IF(B2218=1,MAX(C$1:C2217)+1,"")</f>
        <v/>
      </c>
    </row>
    <row r="2219" customFormat="false" ht="15" hidden="false" customHeight="false" outlineLevel="0" collapsed="false">
      <c r="A2219" s="0" t="str">
        <f aca="false">IF(COMPRAS!K1019="","",COMPRAS!K1019)</f>
        <v/>
      </c>
      <c r="B2219" s="0" t="str">
        <f aca="false">IF(A2219="","",IF(MATCH(A2219,$A$2:$A$3201,0)=ROW()-1,1,0))</f>
        <v/>
      </c>
      <c r="C2219" s="0" t="str">
        <f aca="false">IF(B2219=1,MAX(C$1:C2218)+1,"")</f>
        <v/>
      </c>
    </row>
    <row r="2220" customFormat="false" ht="15" hidden="false" customHeight="false" outlineLevel="0" collapsed="false">
      <c r="A2220" s="0" t="str">
        <f aca="false">IF(COMPRAS!K1020="","",COMPRAS!K1020)</f>
        <v/>
      </c>
      <c r="B2220" s="0" t="str">
        <f aca="false">IF(A2220="","",IF(MATCH(A2220,$A$2:$A$3201,0)=ROW()-1,1,0))</f>
        <v/>
      </c>
      <c r="C2220" s="0" t="str">
        <f aca="false">IF(B2220=1,MAX(C$1:C2219)+1,"")</f>
        <v/>
      </c>
    </row>
    <row r="2221" customFormat="false" ht="15" hidden="false" customHeight="false" outlineLevel="0" collapsed="false">
      <c r="A2221" s="0" t="str">
        <f aca="false">IF(COMPRAS!K1021="","",COMPRAS!K1021)</f>
        <v/>
      </c>
      <c r="B2221" s="0" t="str">
        <f aca="false">IF(A2221="","",IF(MATCH(A2221,$A$2:$A$3201,0)=ROW()-1,1,0))</f>
        <v/>
      </c>
      <c r="C2221" s="0" t="str">
        <f aca="false">IF(B2221=1,MAX(C$1:C2220)+1,"")</f>
        <v/>
      </c>
    </row>
    <row r="2222" customFormat="false" ht="15" hidden="false" customHeight="false" outlineLevel="0" collapsed="false">
      <c r="A2222" s="0" t="str">
        <f aca="false">IF(COMPRAS!K1022="","",COMPRAS!K1022)</f>
        <v/>
      </c>
      <c r="B2222" s="0" t="str">
        <f aca="false">IF(A2222="","",IF(MATCH(A2222,$A$2:$A$3201,0)=ROW()-1,1,0))</f>
        <v/>
      </c>
      <c r="C2222" s="0" t="str">
        <f aca="false">IF(B2222=1,MAX(C$1:C2221)+1,"")</f>
        <v/>
      </c>
    </row>
    <row r="2223" customFormat="false" ht="15" hidden="false" customHeight="false" outlineLevel="0" collapsed="false">
      <c r="A2223" s="0" t="str">
        <f aca="false">IF(COMPRAS!K1023="","",COMPRAS!K1023)</f>
        <v/>
      </c>
      <c r="B2223" s="0" t="str">
        <f aca="false">IF(A2223="","",IF(MATCH(A2223,$A$2:$A$3201,0)=ROW()-1,1,0))</f>
        <v/>
      </c>
      <c r="C2223" s="0" t="str">
        <f aca="false">IF(B2223=1,MAX(C$1:C2222)+1,"")</f>
        <v/>
      </c>
    </row>
    <row r="2224" customFormat="false" ht="15" hidden="false" customHeight="false" outlineLevel="0" collapsed="false">
      <c r="A2224" s="0" t="str">
        <f aca="false">IF(COMPRAS!K1024="","",COMPRAS!K1024)</f>
        <v/>
      </c>
      <c r="B2224" s="0" t="str">
        <f aca="false">IF(A2224="","",IF(MATCH(A2224,$A$2:$A$3201,0)=ROW()-1,1,0))</f>
        <v/>
      </c>
      <c r="C2224" s="0" t="str">
        <f aca="false">IF(B2224=1,MAX(C$1:C2223)+1,"")</f>
        <v/>
      </c>
    </row>
    <row r="2225" customFormat="false" ht="15" hidden="false" customHeight="false" outlineLevel="0" collapsed="false">
      <c r="A2225" s="0" t="str">
        <f aca="false">IF(COMPRAS!K1025="","",COMPRAS!K1025)</f>
        <v/>
      </c>
      <c r="B2225" s="0" t="str">
        <f aca="false">IF(A2225="","",IF(MATCH(A2225,$A$2:$A$3201,0)=ROW()-1,1,0))</f>
        <v/>
      </c>
      <c r="C2225" s="0" t="str">
        <f aca="false">IF(B2225=1,MAX(C$1:C2224)+1,"")</f>
        <v/>
      </c>
    </row>
    <row r="2226" customFormat="false" ht="15" hidden="false" customHeight="false" outlineLevel="0" collapsed="false">
      <c r="A2226" s="0" t="str">
        <f aca="false">IF(COMPRAS!K1026="","",COMPRAS!K1026)</f>
        <v/>
      </c>
      <c r="B2226" s="0" t="str">
        <f aca="false">IF(A2226="","",IF(MATCH(A2226,$A$2:$A$3201,0)=ROW()-1,1,0))</f>
        <v/>
      </c>
      <c r="C2226" s="0" t="str">
        <f aca="false">IF(B2226=1,MAX(C$1:C2225)+1,"")</f>
        <v/>
      </c>
    </row>
    <row r="2227" customFormat="false" ht="15" hidden="false" customHeight="false" outlineLevel="0" collapsed="false">
      <c r="A2227" s="0" t="str">
        <f aca="false">IF(COMPRAS!K1027="","",COMPRAS!K1027)</f>
        <v/>
      </c>
      <c r="B2227" s="0" t="str">
        <f aca="false">IF(A2227="","",IF(MATCH(A2227,$A$2:$A$3201,0)=ROW()-1,1,0))</f>
        <v/>
      </c>
      <c r="C2227" s="0" t="str">
        <f aca="false">IF(B2227=1,MAX(C$1:C2226)+1,"")</f>
        <v/>
      </c>
    </row>
    <row r="2228" customFormat="false" ht="15" hidden="false" customHeight="false" outlineLevel="0" collapsed="false">
      <c r="A2228" s="0" t="str">
        <f aca="false">IF(COMPRAS!K1028="","",COMPRAS!K1028)</f>
        <v/>
      </c>
      <c r="B2228" s="0" t="str">
        <f aca="false">IF(A2228="","",IF(MATCH(A2228,$A$2:$A$3201,0)=ROW()-1,1,0))</f>
        <v/>
      </c>
      <c r="C2228" s="0" t="str">
        <f aca="false">IF(B2228=1,MAX(C$1:C2227)+1,"")</f>
        <v/>
      </c>
    </row>
    <row r="2229" customFormat="false" ht="15" hidden="false" customHeight="false" outlineLevel="0" collapsed="false">
      <c r="A2229" s="0" t="str">
        <f aca="false">IF(COMPRAS!K1029="","",COMPRAS!K1029)</f>
        <v/>
      </c>
      <c r="B2229" s="0" t="str">
        <f aca="false">IF(A2229="","",IF(MATCH(A2229,$A$2:$A$3201,0)=ROW()-1,1,0))</f>
        <v/>
      </c>
      <c r="C2229" s="0" t="str">
        <f aca="false">IF(B2229=1,MAX(C$1:C2228)+1,"")</f>
        <v/>
      </c>
    </row>
    <row r="2230" customFormat="false" ht="15" hidden="false" customHeight="false" outlineLevel="0" collapsed="false">
      <c r="A2230" s="0" t="str">
        <f aca="false">IF(COMPRAS!K1030="","",COMPRAS!K1030)</f>
        <v/>
      </c>
      <c r="B2230" s="0" t="str">
        <f aca="false">IF(A2230="","",IF(MATCH(A2230,$A$2:$A$3201,0)=ROW()-1,1,0))</f>
        <v/>
      </c>
      <c r="C2230" s="0" t="str">
        <f aca="false">IF(B2230=1,MAX(C$1:C2229)+1,"")</f>
        <v/>
      </c>
    </row>
    <row r="2231" customFormat="false" ht="15" hidden="false" customHeight="false" outlineLevel="0" collapsed="false">
      <c r="A2231" s="0" t="str">
        <f aca="false">IF(COMPRAS!K1031="","",COMPRAS!K1031)</f>
        <v/>
      </c>
      <c r="B2231" s="0" t="str">
        <f aca="false">IF(A2231="","",IF(MATCH(A2231,$A$2:$A$3201,0)=ROW()-1,1,0))</f>
        <v/>
      </c>
      <c r="C2231" s="0" t="str">
        <f aca="false">IF(B2231=1,MAX(C$1:C2230)+1,"")</f>
        <v/>
      </c>
    </row>
    <row r="2232" customFormat="false" ht="15" hidden="false" customHeight="false" outlineLevel="0" collapsed="false">
      <c r="A2232" s="0" t="str">
        <f aca="false">IF(COMPRAS!K1032="","",COMPRAS!K1032)</f>
        <v/>
      </c>
      <c r="B2232" s="0" t="str">
        <f aca="false">IF(A2232="","",IF(MATCH(A2232,$A$2:$A$3201,0)=ROW()-1,1,0))</f>
        <v/>
      </c>
      <c r="C2232" s="0" t="str">
        <f aca="false">IF(B2232=1,MAX(C$1:C2231)+1,"")</f>
        <v/>
      </c>
    </row>
    <row r="2233" customFormat="false" ht="15" hidden="false" customHeight="false" outlineLevel="0" collapsed="false">
      <c r="A2233" s="0" t="str">
        <f aca="false">IF(COMPRAS!K1033="","",COMPRAS!K1033)</f>
        <v/>
      </c>
      <c r="B2233" s="0" t="str">
        <f aca="false">IF(A2233="","",IF(MATCH(A2233,$A$2:$A$3201,0)=ROW()-1,1,0))</f>
        <v/>
      </c>
      <c r="C2233" s="0" t="str">
        <f aca="false">IF(B2233=1,MAX(C$1:C2232)+1,"")</f>
        <v/>
      </c>
    </row>
    <row r="2234" customFormat="false" ht="15" hidden="false" customHeight="false" outlineLevel="0" collapsed="false">
      <c r="A2234" s="0" t="str">
        <f aca="false">IF(COMPRAS!K1034="","",COMPRAS!K1034)</f>
        <v/>
      </c>
      <c r="B2234" s="0" t="str">
        <f aca="false">IF(A2234="","",IF(MATCH(A2234,$A$2:$A$3201,0)=ROW()-1,1,0))</f>
        <v/>
      </c>
      <c r="C2234" s="0" t="str">
        <f aca="false">IF(B2234=1,MAX(C$1:C2233)+1,"")</f>
        <v/>
      </c>
    </row>
    <row r="2235" customFormat="false" ht="15" hidden="false" customHeight="false" outlineLevel="0" collapsed="false">
      <c r="A2235" s="0" t="str">
        <f aca="false">IF(COMPRAS!K1035="","",COMPRAS!K1035)</f>
        <v/>
      </c>
      <c r="B2235" s="0" t="str">
        <f aca="false">IF(A2235="","",IF(MATCH(A2235,$A$2:$A$3201,0)=ROW()-1,1,0))</f>
        <v/>
      </c>
      <c r="C2235" s="0" t="str">
        <f aca="false">IF(B2235=1,MAX(C$1:C2234)+1,"")</f>
        <v/>
      </c>
    </row>
    <row r="2236" customFormat="false" ht="15" hidden="false" customHeight="false" outlineLevel="0" collapsed="false">
      <c r="A2236" s="0" t="str">
        <f aca="false">IF(COMPRAS!K1036="","",COMPRAS!K1036)</f>
        <v/>
      </c>
      <c r="B2236" s="0" t="str">
        <f aca="false">IF(A2236="","",IF(MATCH(A2236,$A$2:$A$3201,0)=ROW()-1,1,0))</f>
        <v/>
      </c>
      <c r="C2236" s="0" t="str">
        <f aca="false">IF(B2236=1,MAX(C$1:C2235)+1,"")</f>
        <v/>
      </c>
    </row>
    <row r="2237" customFormat="false" ht="15" hidden="false" customHeight="false" outlineLevel="0" collapsed="false">
      <c r="A2237" s="0" t="str">
        <f aca="false">IF(COMPRAS!K1037="","",COMPRAS!K1037)</f>
        <v/>
      </c>
      <c r="B2237" s="0" t="str">
        <f aca="false">IF(A2237="","",IF(MATCH(A2237,$A$2:$A$3201,0)=ROW()-1,1,0))</f>
        <v/>
      </c>
      <c r="C2237" s="0" t="str">
        <f aca="false">IF(B2237=1,MAX(C$1:C2236)+1,"")</f>
        <v/>
      </c>
    </row>
    <row r="2238" customFormat="false" ht="15" hidden="false" customHeight="false" outlineLevel="0" collapsed="false">
      <c r="A2238" s="0" t="str">
        <f aca="false">IF(COMPRAS!K1038="","",COMPRAS!K1038)</f>
        <v/>
      </c>
      <c r="B2238" s="0" t="str">
        <f aca="false">IF(A2238="","",IF(MATCH(A2238,$A$2:$A$3201,0)=ROW()-1,1,0))</f>
        <v/>
      </c>
      <c r="C2238" s="0" t="str">
        <f aca="false">IF(B2238=1,MAX(C$1:C2237)+1,"")</f>
        <v/>
      </c>
    </row>
    <row r="2239" customFormat="false" ht="15" hidden="false" customHeight="false" outlineLevel="0" collapsed="false">
      <c r="A2239" s="0" t="str">
        <f aca="false">IF(COMPRAS!K1039="","",COMPRAS!K1039)</f>
        <v/>
      </c>
      <c r="B2239" s="0" t="str">
        <f aca="false">IF(A2239="","",IF(MATCH(A2239,$A$2:$A$3201,0)=ROW()-1,1,0))</f>
        <v/>
      </c>
      <c r="C2239" s="0" t="str">
        <f aca="false">IF(B2239=1,MAX(C$1:C2238)+1,"")</f>
        <v/>
      </c>
    </row>
    <row r="2240" customFormat="false" ht="15" hidden="false" customHeight="false" outlineLevel="0" collapsed="false">
      <c r="A2240" s="0" t="str">
        <f aca="false">IF(COMPRAS!K1040="","",COMPRAS!K1040)</f>
        <v/>
      </c>
      <c r="B2240" s="0" t="str">
        <f aca="false">IF(A2240="","",IF(MATCH(A2240,$A$2:$A$3201,0)=ROW()-1,1,0))</f>
        <v/>
      </c>
      <c r="C2240" s="0" t="str">
        <f aca="false">IF(B2240=1,MAX(C$1:C2239)+1,"")</f>
        <v/>
      </c>
    </row>
    <row r="2241" customFormat="false" ht="15" hidden="false" customHeight="false" outlineLevel="0" collapsed="false">
      <c r="A2241" s="0" t="str">
        <f aca="false">IF(COMPRAS!K1041="","",COMPRAS!K1041)</f>
        <v/>
      </c>
      <c r="B2241" s="0" t="str">
        <f aca="false">IF(A2241="","",IF(MATCH(A2241,$A$2:$A$3201,0)=ROW()-1,1,0))</f>
        <v/>
      </c>
      <c r="C2241" s="0" t="str">
        <f aca="false">IF(B2241=1,MAX(C$1:C2240)+1,"")</f>
        <v/>
      </c>
    </row>
    <row r="2242" customFormat="false" ht="15" hidden="false" customHeight="false" outlineLevel="0" collapsed="false">
      <c r="A2242" s="0" t="str">
        <f aca="false">IF(COMPRAS!K1042="","",COMPRAS!K1042)</f>
        <v/>
      </c>
      <c r="B2242" s="0" t="str">
        <f aca="false">IF(A2242="","",IF(MATCH(A2242,$A$2:$A$3201,0)=ROW()-1,1,0))</f>
        <v/>
      </c>
      <c r="C2242" s="0" t="str">
        <f aca="false">IF(B2242=1,MAX(C$1:C2241)+1,"")</f>
        <v/>
      </c>
    </row>
    <row r="2243" customFormat="false" ht="15" hidden="false" customHeight="false" outlineLevel="0" collapsed="false">
      <c r="A2243" s="0" t="str">
        <f aca="false">IF(COMPRAS!K1043="","",COMPRAS!K1043)</f>
        <v/>
      </c>
      <c r="B2243" s="0" t="str">
        <f aca="false">IF(A2243="","",IF(MATCH(A2243,$A$2:$A$3201,0)=ROW()-1,1,0))</f>
        <v/>
      </c>
      <c r="C2243" s="0" t="str">
        <f aca="false">IF(B2243=1,MAX(C$1:C2242)+1,"")</f>
        <v/>
      </c>
    </row>
    <row r="2244" customFormat="false" ht="15" hidden="false" customHeight="false" outlineLevel="0" collapsed="false">
      <c r="A2244" s="0" t="str">
        <f aca="false">IF(COMPRAS!K1044="","",COMPRAS!K1044)</f>
        <v/>
      </c>
      <c r="B2244" s="0" t="str">
        <f aca="false">IF(A2244="","",IF(MATCH(A2244,$A$2:$A$3201,0)=ROW()-1,1,0))</f>
        <v/>
      </c>
      <c r="C2244" s="0" t="str">
        <f aca="false">IF(B2244=1,MAX(C$1:C2243)+1,"")</f>
        <v/>
      </c>
    </row>
    <row r="2245" customFormat="false" ht="15" hidden="false" customHeight="false" outlineLevel="0" collapsed="false">
      <c r="A2245" s="0" t="str">
        <f aca="false">IF(COMPRAS!K1045="","",COMPRAS!K1045)</f>
        <v/>
      </c>
      <c r="B2245" s="0" t="str">
        <f aca="false">IF(A2245="","",IF(MATCH(A2245,$A$2:$A$3201,0)=ROW()-1,1,0))</f>
        <v/>
      </c>
      <c r="C2245" s="0" t="str">
        <f aca="false">IF(B2245=1,MAX(C$1:C2244)+1,"")</f>
        <v/>
      </c>
    </row>
    <row r="2246" customFormat="false" ht="15" hidden="false" customHeight="false" outlineLevel="0" collapsed="false">
      <c r="A2246" s="0" t="str">
        <f aca="false">IF(COMPRAS!K1046="","",COMPRAS!K1046)</f>
        <v/>
      </c>
      <c r="B2246" s="0" t="str">
        <f aca="false">IF(A2246="","",IF(MATCH(A2246,$A$2:$A$3201,0)=ROW()-1,1,0))</f>
        <v/>
      </c>
      <c r="C2246" s="0" t="str">
        <f aca="false">IF(B2246=1,MAX(C$1:C2245)+1,"")</f>
        <v/>
      </c>
    </row>
    <row r="2247" customFormat="false" ht="15" hidden="false" customHeight="false" outlineLevel="0" collapsed="false">
      <c r="A2247" s="0" t="str">
        <f aca="false">IF(COMPRAS!K1047="","",COMPRAS!K1047)</f>
        <v/>
      </c>
      <c r="B2247" s="0" t="str">
        <f aca="false">IF(A2247="","",IF(MATCH(A2247,$A$2:$A$3201,0)=ROW()-1,1,0))</f>
        <v/>
      </c>
      <c r="C2247" s="0" t="str">
        <f aca="false">IF(B2247=1,MAX(C$1:C2246)+1,"")</f>
        <v/>
      </c>
    </row>
    <row r="2248" customFormat="false" ht="15" hidden="false" customHeight="false" outlineLevel="0" collapsed="false">
      <c r="A2248" s="0" t="str">
        <f aca="false">IF(COMPRAS!K1048="","",COMPRAS!K1048)</f>
        <v/>
      </c>
      <c r="B2248" s="0" t="str">
        <f aca="false">IF(A2248="","",IF(MATCH(A2248,$A$2:$A$3201,0)=ROW()-1,1,0))</f>
        <v/>
      </c>
      <c r="C2248" s="0" t="str">
        <f aca="false">IF(B2248=1,MAX(C$1:C2247)+1,"")</f>
        <v/>
      </c>
    </row>
    <row r="2249" customFormat="false" ht="15" hidden="false" customHeight="false" outlineLevel="0" collapsed="false">
      <c r="A2249" s="0" t="str">
        <f aca="false">IF(COMPRAS!K1049="","",COMPRAS!K1049)</f>
        <v/>
      </c>
      <c r="B2249" s="0" t="str">
        <f aca="false">IF(A2249="","",IF(MATCH(A2249,$A$2:$A$3201,0)=ROW()-1,1,0))</f>
        <v/>
      </c>
      <c r="C2249" s="0" t="str">
        <f aca="false">IF(B2249=1,MAX(C$1:C2248)+1,"")</f>
        <v/>
      </c>
    </row>
    <row r="2250" customFormat="false" ht="15" hidden="false" customHeight="false" outlineLevel="0" collapsed="false">
      <c r="A2250" s="0" t="str">
        <f aca="false">IF(COMPRAS!K1050="","",COMPRAS!K1050)</f>
        <v/>
      </c>
      <c r="B2250" s="0" t="str">
        <f aca="false">IF(A2250="","",IF(MATCH(A2250,$A$2:$A$3201,0)=ROW()-1,1,0))</f>
        <v/>
      </c>
      <c r="C2250" s="0" t="str">
        <f aca="false">IF(B2250=1,MAX(C$1:C2249)+1,"")</f>
        <v/>
      </c>
    </row>
    <row r="2251" customFormat="false" ht="15" hidden="false" customHeight="false" outlineLevel="0" collapsed="false">
      <c r="A2251" s="0" t="str">
        <f aca="false">IF(COMPRAS!K1051="","",COMPRAS!K1051)</f>
        <v/>
      </c>
      <c r="B2251" s="0" t="str">
        <f aca="false">IF(A2251="","",IF(MATCH(A2251,$A$2:$A$3201,0)=ROW()-1,1,0))</f>
        <v/>
      </c>
      <c r="C2251" s="0" t="str">
        <f aca="false">IF(B2251=1,MAX(C$1:C2250)+1,"")</f>
        <v/>
      </c>
    </row>
    <row r="2252" customFormat="false" ht="15" hidden="false" customHeight="false" outlineLevel="0" collapsed="false">
      <c r="A2252" s="0" t="str">
        <f aca="false">IF(COMPRAS!K1052="","",COMPRAS!K1052)</f>
        <v/>
      </c>
      <c r="B2252" s="0" t="str">
        <f aca="false">IF(A2252="","",IF(MATCH(A2252,$A$2:$A$3201,0)=ROW()-1,1,0))</f>
        <v/>
      </c>
      <c r="C2252" s="0" t="str">
        <f aca="false">IF(B2252=1,MAX(C$1:C2251)+1,"")</f>
        <v/>
      </c>
    </row>
    <row r="2253" customFormat="false" ht="15" hidden="false" customHeight="false" outlineLevel="0" collapsed="false">
      <c r="A2253" s="0" t="str">
        <f aca="false">IF(COMPRAS!K1053="","",COMPRAS!K1053)</f>
        <v/>
      </c>
      <c r="B2253" s="0" t="str">
        <f aca="false">IF(A2253="","",IF(MATCH(A2253,$A$2:$A$3201,0)=ROW()-1,1,0))</f>
        <v/>
      </c>
      <c r="C2253" s="0" t="str">
        <f aca="false">IF(B2253=1,MAX(C$1:C2252)+1,"")</f>
        <v/>
      </c>
    </row>
    <row r="2254" customFormat="false" ht="15" hidden="false" customHeight="false" outlineLevel="0" collapsed="false">
      <c r="A2254" s="0" t="str">
        <f aca="false">IF(COMPRAS!K1054="","",COMPRAS!K1054)</f>
        <v/>
      </c>
      <c r="B2254" s="0" t="str">
        <f aca="false">IF(A2254="","",IF(MATCH(A2254,$A$2:$A$3201,0)=ROW()-1,1,0))</f>
        <v/>
      </c>
      <c r="C2254" s="0" t="str">
        <f aca="false">IF(B2254=1,MAX(C$1:C2253)+1,"")</f>
        <v/>
      </c>
    </row>
    <row r="2255" customFormat="false" ht="15" hidden="false" customHeight="false" outlineLevel="0" collapsed="false">
      <c r="A2255" s="0" t="str">
        <f aca="false">IF(COMPRAS!K1055="","",COMPRAS!K1055)</f>
        <v/>
      </c>
      <c r="B2255" s="0" t="str">
        <f aca="false">IF(A2255="","",IF(MATCH(A2255,$A$2:$A$3201,0)=ROW()-1,1,0))</f>
        <v/>
      </c>
      <c r="C2255" s="0" t="str">
        <f aca="false">IF(B2255=1,MAX(C$1:C2254)+1,"")</f>
        <v/>
      </c>
    </row>
    <row r="2256" customFormat="false" ht="15" hidden="false" customHeight="false" outlineLevel="0" collapsed="false">
      <c r="A2256" s="0" t="str">
        <f aca="false">IF(COMPRAS!K1056="","",COMPRAS!K1056)</f>
        <v/>
      </c>
      <c r="B2256" s="0" t="str">
        <f aca="false">IF(A2256="","",IF(MATCH(A2256,$A$2:$A$3201,0)=ROW()-1,1,0))</f>
        <v/>
      </c>
      <c r="C2256" s="0" t="str">
        <f aca="false">IF(B2256=1,MAX(C$1:C2255)+1,"")</f>
        <v/>
      </c>
    </row>
    <row r="2257" customFormat="false" ht="15" hidden="false" customHeight="false" outlineLevel="0" collapsed="false">
      <c r="A2257" s="0" t="str">
        <f aca="false">IF(COMPRAS!K1057="","",COMPRAS!K1057)</f>
        <v/>
      </c>
      <c r="B2257" s="0" t="str">
        <f aca="false">IF(A2257="","",IF(MATCH(A2257,$A$2:$A$3201,0)=ROW()-1,1,0))</f>
        <v/>
      </c>
      <c r="C2257" s="0" t="str">
        <f aca="false">IF(B2257=1,MAX(C$1:C2256)+1,"")</f>
        <v/>
      </c>
    </row>
    <row r="2258" customFormat="false" ht="15" hidden="false" customHeight="false" outlineLevel="0" collapsed="false">
      <c r="A2258" s="0" t="str">
        <f aca="false">IF(COMPRAS!K1058="","",COMPRAS!K1058)</f>
        <v/>
      </c>
      <c r="B2258" s="0" t="str">
        <f aca="false">IF(A2258="","",IF(MATCH(A2258,$A$2:$A$3201,0)=ROW()-1,1,0))</f>
        <v/>
      </c>
      <c r="C2258" s="0" t="str">
        <f aca="false">IF(B2258=1,MAX(C$1:C2257)+1,"")</f>
        <v/>
      </c>
    </row>
    <row r="2259" customFormat="false" ht="15" hidden="false" customHeight="false" outlineLevel="0" collapsed="false">
      <c r="A2259" s="0" t="str">
        <f aca="false">IF(COMPRAS!K1059="","",COMPRAS!K1059)</f>
        <v/>
      </c>
      <c r="B2259" s="0" t="str">
        <f aca="false">IF(A2259="","",IF(MATCH(A2259,$A$2:$A$3201,0)=ROW()-1,1,0))</f>
        <v/>
      </c>
      <c r="C2259" s="0" t="str">
        <f aca="false">IF(B2259=1,MAX(C$1:C2258)+1,"")</f>
        <v/>
      </c>
    </row>
    <row r="2260" customFormat="false" ht="15" hidden="false" customHeight="false" outlineLevel="0" collapsed="false">
      <c r="A2260" s="0" t="str">
        <f aca="false">IF(COMPRAS!K1060="","",COMPRAS!K1060)</f>
        <v/>
      </c>
      <c r="B2260" s="0" t="str">
        <f aca="false">IF(A2260="","",IF(MATCH(A2260,$A$2:$A$3201,0)=ROW()-1,1,0))</f>
        <v/>
      </c>
      <c r="C2260" s="0" t="str">
        <f aca="false">IF(B2260=1,MAX(C$1:C2259)+1,"")</f>
        <v/>
      </c>
    </row>
    <row r="2261" customFormat="false" ht="15" hidden="false" customHeight="false" outlineLevel="0" collapsed="false">
      <c r="A2261" s="0" t="str">
        <f aca="false">IF(COMPRAS!K1061="","",COMPRAS!K1061)</f>
        <v/>
      </c>
      <c r="B2261" s="0" t="str">
        <f aca="false">IF(A2261="","",IF(MATCH(A2261,$A$2:$A$3201,0)=ROW()-1,1,0))</f>
        <v/>
      </c>
      <c r="C2261" s="0" t="str">
        <f aca="false">IF(B2261=1,MAX(C$1:C2260)+1,"")</f>
        <v/>
      </c>
    </row>
    <row r="2262" customFormat="false" ht="15" hidden="false" customHeight="false" outlineLevel="0" collapsed="false">
      <c r="A2262" s="0" t="str">
        <f aca="false">IF(COMPRAS!K1062="","",COMPRAS!K1062)</f>
        <v/>
      </c>
      <c r="B2262" s="0" t="str">
        <f aca="false">IF(A2262="","",IF(MATCH(A2262,$A$2:$A$3201,0)=ROW()-1,1,0))</f>
        <v/>
      </c>
      <c r="C2262" s="0" t="str">
        <f aca="false">IF(B2262=1,MAX(C$1:C2261)+1,"")</f>
        <v/>
      </c>
    </row>
    <row r="2263" customFormat="false" ht="15" hidden="false" customHeight="false" outlineLevel="0" collapsed="false">
      <c r="A2263" s="0" t="str">
        <f aca="false">IF(COMPRAS!K1063="","",COMPRAS!K1063)</f>
        <v/>
      </c>
      <c r="B2263" s="0" t="str">
        <f aca="false">IF(A2263="","",IF(MATCH(A2263,$A$2:$A$3201,0)=ROW()-1,1,0))</f>
        <v/>
      </c>
      <c r="C2263" s="0" t="str">
        <f aca="false">IF(B2263=1,MAX(C$1:C2262)+1,"")</f>
        <v/>
      </c>
    </row>
    <row r="2264" customFormat="false" ht="15" hidden="false" customHeight="false" outlineLevel="0" collapsed="false">
      <c r="A2264" s="0" t="str">
        <f aca="false">IF(COMPRAS!K1064="","",COMPRAS!K1064)</f>
        <v/>
      </c>
      <c r="B2264" s="0" t="str">
        <f aca="false">IF(A2264="","",IF(MATCH(A2264,$A$2:$A$3201,0)=ROW()-1,1,0))</f>
        <v/>
      </c>
      <c r="C2264" s="0" t="str">
        <f aca="false">IF(B2264=1,MAX(C$1:C2263)+1,"")</f>
        <v/>
      </c>
    </row>
    <row r="2265" customFormat="false" ht="15" hidden="false" customHeight="false" outlineLevel="0" collapsed="false">
      <c r="A2265" s="0" t="str">
        <f aca="false">IF(COMPRAS!K1065="","",COMPRAS!K1065)</f>
        <v/>
      </c>
      <c r="B2265" s="0" t="str">
        <f aca="false">IF(A2265="","",IF(MATCH(A2265,$A$2:$A$3201,0)=ROW()-1,1,0))</f>
        <v/>
      </c>
      <c r="C2265" s="0" t="str">
        <f aca="false">IF(B2265=1,MAX(C$1:C2264)+1,"")</f>
        <v/>
      </c>
    </row>
    <row r="2266" customFormat="false" ht="15" hidden="false" customHeight="false" outlineLevel="0" collapsed="false">
      <c r="A2266" s="0" t="str">
        <f aca="false">IF(COMPRAS!K1066="","",COMPRAS!K1066)</f>
        <v/>
      </c>
      <c r="B2266" s="0" t="str">
        <f aca="false">IF(A2266="","",IF(MATCH(A2266,$A$2:$A$3201,0)=ROW()-1,1,0))</f>
        <v/>
      </c>
      <c r="C2266" s="0" t="str">
        <f aca="false">IF(B2266=1,MAX(C$1:C2265)+1,"")</f>
        <v/>
      </c>
    </row>
    <row r="2267" customFormat="false" ht="15" hidden="false" customHeight="false" outlineLevel="0" collapsed="false">
      <c r="A2267" s="0" t="str">
        <f aca="false">IF(COMPRAS!K1067="","",COMPRAS!K1067)</f>
        <v/>
      </c>
      <c r="B2267" s="0" t="str">
        <f aca="false">IF(A2267="","",IF(MATCH(A2267,$A$2:$A$3201,0)=ROW()-1,1,0))</f>
        <v/>
      </c>
      <c r="C2267" s="0" t="str">
        <f aca="false">IF(B2267=1,MAX(C$1:C2266)+1,"")</f>
        <v/>
      </c>
    </row>
    <row r="2268" customFormat="false" ht="15" hidden="false" customHeight="false" outlineLevel="0" collapsed="false">
      <c r="A2268" s="0" t="str">
        <f aca="false">IF(COMPRAS!K1068="","",COMPRAS!K1068)</f>
        <v/>
      </c>
      <c r="B2268" s="0" t="str">
        <f aca="false">IF(A2268="","",IF(MATCH(A2268,$A$2:$A$3201,0)=ROW()-1,1,0))</f>
        <v/>
      </c>
      <c r="C2268" s="0" t="str">
        <f aca="false">IF(B2268=1,MAX(C$1:C2267)+1,"")</f>
        <v/>
      </c>
    </row>
    <row r="2269" customFormat="false" ht="15" hidden="false" customHeight="false" outlineLevel="0" collapsed="false">
      <c r="A2269" s="0" t="str">
        <f aca="false">IF(COMPRAS!K1069="","",COMPRAS!K1069)</f>
        <v/>
      </c>
      <c r="B2269" s="0" t="str">
        <f aca="false">IF(A2269="","",IF(MATCH(A2269,$A$2:$A$3201,0)=ROW()-1,1,0))</f>
        <v/>
      </c>
      <c r="C2269" s="0" t="str">
        <f aca="false">IF(B2269=1,MAX(C$1:C2268)+1,"")</f>
        <v/>
      </c>
    </row>
    <row r="2270" customFormat="false" ht="15" hidden="false" customHeight="false" outlineLevel="0" collapsed="false">
      <c r="A2270" s="0" t="str">
        <f aca="false">IF(COMPRAS!K1070="","",COMPRAS!K1070)</f>
        <v/>
      </c>
      <c r="B2270" s="0" t="str">
        <f aca="false">IF(A2270="","",IF(MATCH(A2270,$A$2:$A$3201,0)=ROW()-1,1,0))</f>
        <v/>
      </c>
      <c r="C2270" s="0" t="str">
        <f aca="false">IF(B2270=1,MAX(C$1:C2269)+1,"")</f>
        <v/>
      </c>
    </row>
    <row r="2271" customFormat="false" ht="15" hidden="false" customHeight="false" outlineLevel="0" collapsed="false">
      <c r="A2271" s="0" t="str">
        <f aca="false">IF(COMPRAS!K1071="","",COMPRAS!K1071)</f>
        <v/>
      </c>
      <c r="B2271" s="0" t="str">
        <f aca="false">IF(A2271="","",IF(MATCH(A2271,$A$2:$A$3201,0)=ROW()-1,1,0))</f>
        <v/>
      </c>
      <c r="C2271" s="0" t="str">
        <f aca="false">IF(B2271=1,MAX(C$1:C2270)+1,"")</f>
        <v/>
      </c>
    </row>
    <row r="2272" customFormat="false" ht="15" hidden="false" customHeight="false" outlineLevel="0" collapsed="false">
      <c r="A2272" s="0" t="str">
        <f aca="false">IF(COMPRAS!K1072="","",COMPRAS!K1072)</f>
        <v/>
      </c>
      <c r="B2272" s="0" t="str">
        <f aca="false">IF(A2272="","",IF(MATCH(A2272,$A$2:$A$3201,0)=ROW()-1,1,0))</f>
        <v/>
      </c>
      <c r="C2272" s="0" t="str">
        <f aca="false">IF(B2272=1,MAX(C$1:C2271)+1,"")</f>
        <v/>
      </c>
    </row>
    <row r="2273" customFormat="false" ht="15" hidden="false" customHeight="false" outlineLevel="0" collapsed="false">
      <c r="A2273" s="0" t="str">
        <f aca="false">IF(COMPRAS!K1073="","",COMPRAS!K1073)</f>
        <v/>
      </c>
      <c r="B2273" s="0" t="str">
        <f aca="false">IF(A2273="","",IF(MATCH(A2273,$A$2:$A$3201,0)=ROW()-1,1,0))</f>
        <v/>
      </c>
      <c r="C2273" s="0" t="str">
        <f aca="false">IF(B2273=1,MAX(C$1:C2272)+1,"")</f>
        <v/>
      </c>
    </row>
    <row r="2274" customFormat="false" ht="15" hidden="false" customHeight="false" outlineLevel="0" collapsed="false">
      <c r="A2274" s="0" t="str">
        <f aca="false">IF(COMPRAS!K1074="","",COMPRAS!K1074)</f>
        <v/>
      </c>
      <c r="B2274" s="0" t="str">
        <f aca="false">IF(A2274="","",IF(MATCH(A2274,$A$2:$A$3201,0)=ROW()-1,1,0))</f>
        <v/>
      </c>
      <c r="C2274" s="0" t="str">
        <f aca="false">IF(B2274=1,MAX(C$1:C2273)+1,"")</f>
        <v/>
      </c>
    </row>
    <row r="2275" customFormat="false" ht="15" hidden="false" customHeight="false" outlineLevel="0" collapsed="false">
      <c r="A2275" s="0" t="str">
        <f aca="false">IF(COMPRAS!K1075="","",COMPRAS!K1075)</f>
        <v/>
      </c>
      <c r="B2275" s="0" t="str">
        <f aca="false">IF(A2275="","",IF(MATCH(A2275,$A$2:$A$3201,0)=ROW()-1,1,0))</f>
        <v/>
      </c>
      <c r="C2275" s="0" t="str">
        <f aca="false">IF(B2275=1,MAX(C$1:C2274)+1,"")</f>
        <v/>
      </c>
    </row>
    <row r="2276" customFormat="false" ht="15" hidden="false" customHeight="false" outlineLevel="0" collapsed="false">
      <c r="A2276" s="0" t="str">
        <f aca="false">IF(COMPRAS!K1076="","",COMPRAS!K1076)</f>
        <v/>
      </c>
      <c r="B2276" s="0" t="str">
        <f aca="false">IF(A2276="","",IF(MATCH(A2276,$A$2:$A$3201,0)=ROW()-1,1,0))</f>
        <v/>
      </c>
      <c r="C2276" s="0" t="str">
        <f aca="false">IF(B2276=1,MAX(C$1:C2275)+1,"")</f>
        <v/>
      </c>
    </row>
    <row r="2277" customFormat="false" ht="15" hidden="false" customHeight="false" outlineLevel="0" collapsed="false">
      <c r="A2277" s="0" t="str">
        <f aca="false">IF(COMPRAS!K1077="","",COMPRAS!K1077)</f>
        <v/>
      </c>
      <c r="B2277" s="0" t="str">
        <f aca="false">IF(A2277="","",IF(MATCH(A2277,$A$2:$A$3201,0)=ROW()-1,1,0))</f>
        <v/>
      </c>
      <c r="C2277" s="0" t="str">
        <f aca="false">IF(B2277=1,MAX(C$1:C2276)+1,"")</f>
        <v/>
      </c>
    </row>
    <row r="2278" customFormat="false" ht="15" hidden="false" customHeight="false" outlineLevel="0" collapsed="false">
      <c r="A2278" s="0" t="str">
        <f aca="false">IF(COMPRAS!K1078="","",COMPRAS!K1078)</f>
        <v/>
      </c>
      <c r="B2278" s="0" t="str">
        <f aca="false">IF(A2278="","",IF(MATCH(A2278,$A$2:$A$3201,0)=ROW()-1,1,0))</f>
        <v/>
      </c>
      <c r="C2278" s="0" t="str">
        <f aca="false">IF(B2278=1,MAX(C$1:C2277)+1,"")</f>
        <v/>
      </c>
    </row>
    <row r="2279" customFormat="false" ht="15" hidden="false" customHeight="false" outlineLevel="0" collapsed="false">
      <c r="A2279" s="0" t="str">
        <f aca="false">IF(COMPRAS!K1079="","",COMPRAS!K1079)</f>
        <v/>
      </c>
      <c r="B2279" s="0" t="str">
        <f aca="false">IF(A2279="","",IF(MATCH(A2279,$A$2:$A$3201,0)=ROW()-1,1,0))</f>
        <v/>
      </c>
      <c r="C2279" s="0" t="str">
        <f aca="false">IF(B2279=1,MAX(C$1:C2278)+1,"")</f>
        <v/>
      </c>
    </row>
    <row r="2280" customFormat="false" ht="15" hidden="false" customHeight="false" outlineLevel="0" collapsed="false">
      <c r="A2280" s="0" t="str">
        <f aca="false">IF(COMPRAS!K1080="","",COMPRAS!K1080)</f>
        <v/>
      </c>
      <c r="B2280" s="0" t="str">
        <f aca="false">IF(A2280="","",IF(MATCH(A2280,$A$2:$A$3201,0)=ROW()-1,1,0))</f>
        <v/>
      </c>
      <c r="C2280" s="0" t="str">
        <f aca="false">IF(B2280=1,MAX(C$1:C2279)+1,"")</f>
        <v/>
      </c>
    </row>
    <row r="2281" customFormat="false" ht="15" hidden="false" customHeight="false" outlineLevel="0" collapsed="false">
      <c r="A2281" s="0" t="str">
        <f aca="false">IF(COMPRAS!K1081="","",COMPRAS!K1081)</f>
        <v/>
      </c>
      <c r="B2281" s="0" t="str">
        <f aca="false">IF(A2281="","",IF(MATCH(A2281,$A$2:$A$3201,0)=ROW()-1,1,0))</f>
        <v/>
      </c>
      <c r="C2281" s="0" t="str">
        <f aca="false">IF(B2281=1,MAX(C$1:C2280)+1,"")</f>
        <v/>
      </c>
    </row>
    <row r="2282" customFormat="false" ht="15" hidden="false" customHeight="false" outlineLevel="0" collapsed="false">
      <c r="A2282" s="0" t="str">
        <f aca="false">IF(COMPRAS!K1082="","",COMPRAS!K1082)</f>
        <v/>
      </c>
      <c r="B2282" s="0" t="str">
        <f aca="false">IF(A2282="","",IF(MATCH(A2282,$A$2:$A$3201,0)=ROW()-1,1,0))</f>
        <v/>
      </c>
      <c r="C2282" s="0" t="str">
        <f aca="false">IF(B2282=1,MAX(C$1:C2281)+1,"")</f>
        <v/>
      </c>
    </row>
    <row r="2283" customFormat="false" ht="15" hidden="false" customHeight="false" outlineLevel="0" collapsed="false">
      <c r="A2283" s="0" t="str">
        <f aca="false">IF(COMPRAS!K1083="","",COMPRAS!K1083)</f>
        <v/>
      </c>
      <c r="B2283" s="0" t="str">
        <f aca="false">IF(A2283="","",IF(MATCH(A2283,$A$2:$A$3201,0)=ROW()-1,1,0))</f>
        <v/>
      </c>
      <c r="C2283" s="0" t="str">
        <f aca="false">IF(B2283=1,MAX(C$1:C2282)+1,"")</f>
        <v/>
      </c>
    </row>
    <row r="2284" customFormat="false" ht="15" hidden="false" customHeight="false" outlineLevel="0" collapsed="false">
      <c r="A2284" s="0" t="str">
        <f aca="false">IF(COMPRAS!K1084="","",COMPRAS!K1084)</f>
        <v/>
      </c>
      <c r="B2284" s="0" t="str">
        <f aca="false">IF(A2284="","",IF(MATCH(A2284,$A$2:$A$3201,0)=ROW()-1,1,0))</f>
        <v/>
      </c>
      <c r="C2284" s="0" t="str">
        <f aca="false">IF(B2284=1,MAX(C$1:C2283)+1,"")</f>
        <v/>
      </c>
    </row>
    <row r="2285" customFormat="false" ht="15" hidden="false" customHeight="false" outlineLevel="0" collapsed="false">
      <c r="A2285" s="0" t="str">
        <f aca="false">IF(COMPRAS!K1085="","",COMPRAS!K1085)</f>
        <v/>
      </c>
      <c r="B2285" s="0" t="str">
        <f aca="false">IF(A2285="","",IF(MATCH(A2285,$A$2:$A$3201,0)=ROW()-1,1,0))</f>
        <v/>
      </c>
      <c r="C2285" s="0" t="str">
        <f aca="false">IF(B2285=1,MAX(C$1:C2284)+1,"")</f>
        <v/>
      </c>
    </row>
    <row r="2286" customFormat="false" ht="15" hidden="false" customHeight="false" outlineLevel="0" collapsed="false">
      <c r="A2286" s="0" t="str">
        <f aca="false">IF(COMPRAS!K1086="","",COMPRAS!K1086)</f>
        <v/>
      </c>
      <c r="B2286" s="0" t="str">
        <f aca="false">IF(A2286="","",IF(MATCH(A2286,$A$2:$A$3201,0)=ROW()-1,1,0))</f>
        <v/>
      </c>
      <c r="C2286" s="0" t="str">
        <f aca="false">IF(B2286=1,MAX(C$1:C2285)+1,"")</f>
        <v/>
      </c>
    </row>
    <row r="2287" customFormat="false" ht="15" hidden="false" customHeight="false" outlineLevel="0" collapsed="false">
      <c r="A2287" s="0" t="str">
        <f aca="false">IF(COMPRAS!K1087="","",COMPRAS!K1087)</f>
        <v/>
      </c>
      <c r="B2287" s="0" t="str">
        <f aca="false">IF(A2287="","",IF(MATCH(A2287,$A$2:$A$3201,0)=ROW()-1,1,0))</f>
        <v/>
      </c>
      <c r="C2287" s="0" t="str">
        <f aca="false">IF(B2287=1,MAX(C$1:C2286)+1,"")</f>
        <v/>
      </c>
    </row>
    <row r="2288" customFormat="false" ht="15" hidden="false" customHeight="false" outlineLevel="0" collapsed="false">
      <c r="A2288" s="0" t="str">
        <f aca="false">IF(COMPRAS!K1088="","",COMPRAS!K1088)</f>
        <v/>
      </c>
      <c r="B2288" s="0" t="str">
        <f aca="false">IF(A2288="","",IF(MATCH(A2288,$A$2:$A$3201,0)=ROW()-1,1,0))</f>
        <v/>
      </c>
      <c r="C2288" s="0" t="str">
        <f aca="false">IF(B2288=1,MAX(C$1:C2287)+1,"")</f>
        <v/>
      </c>
    </row>
    <row r="2289" customFormat="false" ht="15" hidden="false" customHeight="false" outlineLevel="0" collapsed="false">
      <c r="A2289" s="0" t="str">
        <f aca="false">IF(COMPRAS!K1089="","",COMPRAS!K1089)</f>
        <v/>
      </c>
      <c r="B2289" s="0" t="str">
        <f aca="false">IF(A2289="","",IF(MATCH(A2289,$A$2:$A$3201,0)=ROW()-1,1,0))</f>
        <v/>
      </c>
      <c r="C2289" s="0" t="str">
        <f aca="false">IF(B2289=1,MAX(C$1:C2288)+1,"")</f>
        <v/>
      </c>
    </row>
    <row r="2290" customFormat="false" ht="15" hidden="false" customHeight="false" outlineLevel="0" collapsed="false">
      <c r="A2290" s="0" t="str">
        <f aca="false">IF(COMPRAS!K1090="","",COMPRAS!K1090)</f>
        <v/>
      </c>
      <c r="B2290" s="0" t="str">
        <f aca="false">IF(A2290="","",IF(MATCH(A2290,$A$2:$A$3201,0)=ROW()-1,1,0))</f>
        <v/>
      </c>
      <c r="C2290" s="0" t="str">
        <f aca="false">IF(B2290=1,MAX(C$1:C2289)+1,"")</f>
        <v/>
      </c>
    </row>
    <row r="2291" customFormat="false" ht="15" hidden="false" customHeight="false" outlineLevel="0" collapsed="false">
      <c r="A2291" s="0" t="str">
        <f aca="false">IF(COMPRAS!K1091="","",COMPRAS!K1091)</f>
        <v/>
      </c>
      <c r="B2291" s="0" t="str">
        <f aca="false">IF(A2291="","",IF(MATCH(A2291,$A$2:$A$3201,0)=ROW()-1,1,0))</f>
        <v/>
      </c>
      <c r="C2291" s="0" t="str">
        <f aca="false">IF(B2291=1,MAX(C$1:C2290)+1,"")</f>
        <v/>
      </c>
    </row>
    <row r="2292" customFormat="false" ht="15" hidden="false" customHeight="false" outlineLevel="0" collapsed="false">
      <c r="A2292" s="0" t="str">
        <f aca="false">IF(COMPRAS!K1092="","",COMPRAS!K1092)</f>
        <v/>
      </c>
      <c r="B2292" s="0" t="str">
        <f aca="false">IF(A2292="","",IF(MATCH(A2292,$A$2:$A$3201,0)=ROW()-1,1,0))</f>
        <v/>
      </c>
      <c r="C2292" s="0" t="str">
        <f aca="false">IF(B2292=1,MAX(C$1:C2291)+1,"")</f>
        <v/>
      </c>
    </row>
    <row r="2293" customFormat="false" ht="15" hidden="false" customHeight="false" outlineLevel="0" collapsed="false">
      <c r="A2293" s="0" t="str">
        <f aca="false">IF(COMPRAS!K1093="","",COMPRAS!K1093)</f>
        <v/>
      </c>
      <c r="B2293" s="0" t="str">
        <f aca="false">IF(A2293="","",IF(MATCH(A2293,$A$2:$A$3201,0)=ROW()-1,1,0))</f>
        <v/>
      </c>
      <c r="C2293" s="0" t="str">
        <f aca="false">IF(B2293=1,MAX(C$1:C2292)+1,"")</f>
        <v/>
      </c>
    </row>
    <row r="2294" customFormat="false" ht="15" hidden="false" customHeight="false" outlineLevel="0" collapsed="false">
      <c r="A2294" s="0" t="str">
        <f aca="false">IF(COMPRAS!K1094="","",COMPRAS!K1094)</f>
        <v/>
      </c>
      <c r="B2294" s="0" t="str">
        <f aca="false">IF(A2294="","",IF(MATCH(A2294,$A$2:$A$3201,0)=ROW()-1,1,0))</f>
        <v/>
      </c>
      <c r="C2294" s="0" t="str">
        <f aca="false">IF(B2294=1,MAX(C$1:C2293)+1,"")</f>
        <v/>
      </c>
    </row>
    <row r="2295" customFormat="false" ht="15" hidden="false" customHeight="false" outlineLevel="0" collapsed="false">
      <c r="A2295" s="0" t="str">
        <f aca="false">IF(COMPRAS!K1095="","",COMPRAS!K1095)</f>
        <v/>
      </c>
      <c r="B2295" s="0" t="str">
        <f aca="false">IF(A2295="","",IF(MATCH(A2295,$A$2:$A$3201,0)=ROW()-1,1,0))</f>
        <v/>
      </c>
      <c r="C2295" s="0" t="str">
        <f aca="false">IF(B2295=1,MAX(C$1:C2294)+1,"")</f>
        <v/>
      </c>
    </row>
    <row r="2296" customFormat="false" ht="15" hidden="false" customHeight="false" outlineLevel="0" collapsed="false">
      <c r="A2296" s="0" t="str">
        <f aca="false">IF(COMPRAS!K1096="","",COMPRAS!K1096)</f>
        <v/>
      </c>
      <c r="B2296" s="0" t="str">
        <f aca="false">IF(A2296="","",IF(MATCH(A2296,$A$2:$A$3201,0)=ROW()-1,1,0))</f>
        <v/>
      </c>
      <c r="C2296" s="0" t="str">
        <f aca="false">IF(B2296=1,MAX(C$1:C2295)+1,"")</f>
        <v/>
      </c>
    </row>
    <row r="2297" customFormat="false" ht="15" hidden="false" customHeight="false" outlineLevel="0" collapsed="false">
      <c r="A2297" s="0" t="str">
        <f aca="false">IF(COMPRAS!K1097="","",COMPRAS!K1097)</f>
        <v/>
      </c>
      <c r="B2297" s="0" t="str">
        <f aca="false">IF(A2297="","",IF(MATCH(A2297,$A$2:$A$3201,0)=ROW()-1,1,0))</f>
        <v/>
      </c>
      <c r="C2297" s="0" t="str">
        <f aca="false">IF(B2297=1,MAX(C$1:C2296)+1,"")</f>
        <v/>
      </c>
    </row>
    <row r="2298" customFormat="false" ht="15" hidden="false" customHeight="false" outlineLevel="0" collapsed="false">
      <c r="A2298" s="0" t="str">
        <f aca="false">IF(COMPRAS!K1098="","",COMPRAS!K1098)</f>
        <v/>
      </c>
      <c r="B2298" s="0" t="str">
        <f aca="false">IF(A2298="","",IF(MATCH(A2298,$A$2:$A$3201,0)=ROW()-1,1,0))</f>
        <v/>
      </c>
      <c r="C2298" s="0" t="str">
        <f aca="false">IF(B2298=1,MAX(C$1:C2297)+1,"")</f>
        <v/>
      </c>
    </row>
    <row r="2299" customFormat="false" ht="15" hidden="false" customHeight="false" outlineLevel="0" collapsed="false">
      <c r="A2299" s="0" t="str">
        <f aca="false">IF(COMPRAS!K1099="","",COMPRAS!K1099)</f>
        <v/>
      </c>
      <c r="B2299" s="0" t="str">
        <f aca="false">IF(A2299="","",IF(MATCH(A2299,$A$2:$A$3201,0)=ROW()-1,1,0))</f>
        <v/>
      </c>
      <c r="C2299" s="0" t="str">
        <f aca="false">IF(B2299=1,MAX(C$1:C2298)+1,"")</f>
        <v/>
      </c>
    </row>
    <row r="2300" customFormat="false" ht="15" hidden="false" customHeight="false" outlineLevel="0" collapsed="false">
      <c r="A2300" s="0" t="str">
        <f aca="false">IF(COMPRAS!K1100="","",COMPRAS!K1100)</f>
        <v/>
      </c>
      <c r="B2300" s="0" t="str">
        <f aca="false">IF(A2300="","",IF(MATCH(A2300,$A$2:$A$3201,0)=ROW()-1,1,0))</f>
        <v/>
      </c>
      <c r="C2300" s="0" t="str">
        <f aca="false">IF(B2300=1,MAX(C$1:C2299)+1,"")</f>
        <v/>
      </c>
    </row>
    <row r="2301" customFormat="false" ht="15" hidden="false" customHeight="false" outlineLevel="0" collapsed="false">
      <c r="A2301" s="0" t="str">
        <f aca="false">IF(COMPRAS!K1101="","",COMPRAS!K1101)</f>
        <v/>
      </c>
      <c r="B2301" s="0" t="str">
        <f aca="false">IF(A2301="","",IF(MATCH(A2301,$A$2:$A$3201,0)=ROW()-1,1,0))</f>
        <v/>
      </c>
      <c r="C2301" s="0" t="str">
        <f aca="false">IF(B2301=1,MAX(C$1:C2300)+1,"")</f>
        <v/>
      </c>
    </row>
    <row r="2302" customFormat="false" ht="15" hidden="false" customHeight="false" outlineLevel="0" collapsed="false">
      <c r="A2302" s="0" t="str">
        <f aca="false">IF(COMPRAS!K1102="","",COMPRAS!K1102)</f>
        <v/>
      </c>
      <c r="B2302" s="0" t="str">
        <f aca="false">IF(A2302="","",IF(MATCH(A2302,$A$2:$A$3201,0)=ROW()-1,1,0))</f>
        <v/>
      </c>
      <c r="C2302" s="0" t="str">
        <f aca="false">IF(B2302=1,MAX(C$1:C2301)+1,"")</f>
        <v/>
      </c>
    </row>
    <row r="2303" customFormat="false" ht="15" hidden="false" customHeight="false" outlineLevel="0" collapsed="false">
      <c r="A2303" s="0" t="str">
        <f aca="false">IF(COMPRAS!K1103="","",COMPRAS!K1103)</f>
        <v/>
      </c>
      <c r="B2303" s="0" t="str">
        <f aca="false">IF(A2303="","",IF(MATCH(A2303,$A$2:$A$3201,0)=ROW()-1,1,0))</f>
        <v/>
      </c>
      <c r="C2303" s="0" t="str">
        <f aca="false">IF(B2303=1,MAX(C$1:C2302)+1,"")</f>
        <v/>
      </c>
    </row>
    <row r="2304" customFormat="false" ht="15" hidden="false" customHeight="false" outlineLevel="0" collapsed="false">
      <c r="A2304" s="0" t="str">
        <f aca="false">IF(COMPRAS!K1104="","",COMPRAS!K1104)</f>
        <v/>
      </c>
      <c r="B2304" s="0" t="str">
        <f aca="false">IF(A2304="","",IF(MATCH(A2304,$A$2:$A$3201,0)=ROW()-1,1,0))</f>
        <v/>
      </c>
      <c r="C2304" s="0" t="str">
        <f aca="false">IF(B2304=1,MAX(C$1:C2303)+1,"")</f>
        <v/>
      </c>
    </row>
    <row r="2305" customFormat="false" ht="15" hidden="false" customHeight="false" outlineLevel="0" collapsed="false">
      <c r="A2305" s="0" t="str">
        <f aca="false">IF(COMPRAS!K1105="","",COMPRAS!K1105)</f>
        <v/>
      </c>
      <c r="B2305" s="0" t="str">
        <f aca="false">IF(A2305="","",IF(MATCH(A2305,$A$2:$A$3201,0)=ROW()-1,1,0))</f>
        <v/>
      </c>
      <c r="C2305" s="0" t="str">
        <f aca="false">IF(B2305=1,MAX(C$1:C2304)+1,"")</f>
        <v/>
      </c>
    </row>
    <row r="2306" customFormat="false" ht="15" hidden="false" customHeight="false" outlineLevel="0" collapsed="false">
      <c r="A2306" s="0" t="str">
        <f aca="false">IF(COMPRAS!K1106="","",COMPRAS!K1106)</f>
        <v/>
      </c>
      <c r="B2306" s="0" t="str">
        <f aca="false">IF(A2306="","",IF(MATCH(A2306,$A$2:$A$3201,0)=ROW()-1,1,0))</f>
        <v/>
      </c>
      <c r="C2306" s="0" t="str">
        <f aca="false">IF(B2306=1,MAX(C$1:C2305)+1,"")</f>
        <v/>
      </c>
    </row>
    <row r="2307" customFormat="false" ht="15" hidden="false" customHeight="false" outlineLevel="0" collapsed="false">
      <c r="A2307" s="0" t="str">
        <f aca="false">IF(COMPRAS!K1107="","",COMPRAS!K1107)</f>
        <v/>
      </c>
      <c r="B2307" s="0" t="str">
        <f aca="false">IF(A2307="","",IF(MATCH(A2307,$A$2:$A$3201,0)=ROW()-1,1,0))</f>
        <v/>
      </c>
      <c r="C2307" s="0" t="str">
        <f aca="false">IF(B2307=1,MAX(C$1:C2306)+1,"")</f>
        <v/>
      </c>
    </row>
    <row r="2308" customFormat="false" ht="15" hidden="false" customHeight="false" outlineLevel="0" collapsed="false">
      <c r="A2308" s="0" t="str">
        <f aca="false">IF(COMPRAS!K1108="","",COMPRAS!K1108)</f>
        <v/>
      </c>
      <c r="B2308" s="0" t="str">
        <f aca="false">IF(A2308="","",IF(MATCH(A2308,$A$2:$A$3201,0)=ROW()-1,1,0))</f>
        <v/>
      </c>
      <c r="C2308" s="0" t="str">
        <f aca="false">IF(B2308=1,MAX(C$1:C2307)+1,"")</f>
        <v/>
      </c>
    </row>
    <row r="2309" customFormat="false" ht="15" hidden="false" customHeight="false" outlineLevel="0" collapsed="false">
      <c r="A2309" s="0" t="str">
        <f aca="false">IF(COMPRAS!K1109="","",COMPRAS!K1109)</f>
        <v/>
      </c>
      <c r="B2309" s="0" t="str">
        <f aca="false">IF(A2309="","",IF(MATCH(A2309,$A$2:$A$3201,0)=ROW()-1,1,0))</f>
        <v/>
      </c>
      <c r="C2309" s="0" t="str">
        <f aca="false">IF(B2309=1,MAX(C$1:C2308)+1,"")</f>
        <v/>
      </c>
    </row>
    <row r="2310" customFormat="false" ht="15" hidden="false" customHeight="false" outlineLevel="0" collapsed="false">
      <c r="A2310" s="0" t="str">
        <f aca="false">IF(COMPRAS!K1110="","",COMPRAS!K1110)</f>
        <v/>
      </c>
      <c r="B2310" s="0" t="str">
        <f aca="false">IF(A2310="","",IF(MATCH(A2310,$A$2:$A$3201,0)=ROW()-1,1,0))</f>
        <v/>
      </c>
      <c r="C2310" s="0" t="str">
        <f aca="false">IF(B2310=1,MAX(C$1:C2309)+1,"")</f>
        <v/>
      </c>
    </row>
    <row r="2311" customFormat="false" ht="15" hidden="false" customHeight="false" outlineLevel="0" collapsed="false">
      <c r="A2311" s="0" t="str">
        <f aca="false">IF(COMPRAS!K1111="","",COMPRAS!K1111)</f>
        <v/>
      </c>
      <c r="B2311" s="0" t="str">
        <f aca="false">IF(A2311="","",IF(MATCH(A2311,$A$2:$A$3201,0)=ROW()-1,1,0))</f>
        <v/>
      </c>
      <c r="C2311" s="0" t="str">
        <f aca="false">IF(B2311=1,MAX(C$1:C2310)+1,"")</f>
        <v/>
      </c>
    </row>
    <row r="2312" customFormat="false" ht="15" hidden="false" customHeight="false" outlineLevel="0" collapsed="false">
      <c r="A2312" s="0" t="str">
        <f aca="false">IF(COMPRAS!K1112="","",COMPRAS!K1112)</f>
        <v/>
      </c>
      <c r="B2312" s="0" t="str">
        <f aca="false">IF(A2312="","",IF(MATCH(A2312,$A$2:$A$3201,0)=ROW()-1,1,0))</f>
        <v/>
      </c>
      <c r="C2312" s="0" t="str">
        <f aca="false">IF(B2312=1,MAX(C$1:C2311)+1,"")</f>
        <v/>
      </c>
    </row>
    <row r="2313" customFormat="false" ht="15" hidden="false" customHeight="false" outlineLevel="0" collapsed="false">
      <c r="A2313" s="0" t="str">
        <f aca="false">IF(COMPRAS!K1113="","",COMPRAS!K1113)</f>
        <v/>
      </c>
      <c r="B2313" s="0" t="str">
        <f aca="false">IF(A2313="","",IF(MATCH(A2313,$A$2:$A$3201,0)=ROW()-1,1,0))</f>
        <v/>
      </c>
      <c r="C2313" s="0" t="str">
        <f aca="false">IF(B2313=1,MAX(C$1:C2312)+1,"")</f>
        <v/>
      </c>
    </row>
    <row r="2314" customFormat="false" ht="15" hidden="false" customHeight="false" outlineLevel="0" collapsed="false">
      <c r="A2314" s="0" t="str">
        <f aca="false">IF(COMPRAS!K1114="","",COMPRAS!K1114)</f>
        <v/>
      </c>
      <c r="B2314" s="0" t="str">
        <f aca="false">IF(A2314="","",IF(MATCH(A2314,$A$2:$A$3201,0)=ROW()-1,1,0))</f>
        <v/>
      </c>
      <c r="C2314" s="0" t="str">
        <f aca="false">IF(B2314=1,MAX(C$1:C2313)+1,"")</f>
        <v/>
      </c>
    </row>
    <row r="2315" customFormat="false" ht="15" hidden="false" customHeight="false" outlineLevel="0" collapsed="false">
      <c r="A2315" s="0" t="str">
        <f aca="false">IF(COMPRAS!K1115="","",COMPRAS!K1115)</f>
        <v/>
      </c>
      <c r="B2315" s="0" t="str">
        <f aca="false">IF(A2315="","",IF(MATCH(A2315,$A$2:$A$3201,0)=ROW()-1,1,0))</f>
        <v/>
      </c>
      <c r="C2315" s="0" t="str">
        <f aca="false">IF(B2315=1,MAX(C$1:C2314)+1,"")</f>
        <v/>
      </c>
    </row>
    <row r="2316" customFormat="false" ht="15" hidden="false" customHeight="false" outlineLevel="0" collapsed="false">
      <c r="A2316" s="0" t="str">
        <f aca="false">IF(COMPRAS!K1116="","",COMPRAS!K1116)</f>
        <v/>
      </c>
      <c r="B2316" s="0" t="str">
        <f aca="false">IF(A2316="","",IF(MATCH(A2316,$A$2:$A$3201,0)=ROW()-1,1,0))</f>
        <v/>
      </c>
      <c r="C2316" s="0" t="str">
        <f aca="false">IF(B2316=1,MAX(C$1:C2315)+1,"")</f>
        <v/>
      </c>
    </row>
    <row r="2317" customFormat="false" ht="15" hidden="false" customHeight="false" outlineLevel="0" collapsed="false">
      <c r="A2317" s="0" t="str">
        <f aca="false">IF(COMPRAS!K1117="","",COMPRAS!K1117)</f>
        <v/>
      </c>
      <c r="B2317" s="0" t="str">
        <f aca="false">IF(A2317="","",IF(MATCH(A2317,$A$2:$A$3201,0)=ROW()-1,1,0))</f>
        <v/>
      </c>
      <c r="C2317" s="0" t="str">
        <f aca="false">IF(B2317=1,MAX(C$1:C2316)+1,"")</f>
        <v/>
      </c>
    </row>
    <row r="2318" customFormat="false" ht="15" hidden="false" customHeight="false" outlineLevel="0" collapsed="false">
      <c r="A2318" s="0" t="str">
        <f aca="false">IF(COMPRAS!K1118="","",COMPRAS!K1118)</f>
        <v/>
      </c>
      <c r="B2318" s="0" t="str">
        <f aca="false">IF(A2318="","",IF(MATCH(A2318,$A$2:$A$3201,0)=ROW()-1,1,0))</f>
        <v/>
      </c>
      <c r="C2318" s="0" t="str">
        <f aca="false">IF(B2318=1,MAX(C$1:C2317)+1,"")</f>
        <v/>
      </c>
    </row>
    <row r="2319" customFormat="false" ht="15" hidden="false" customHeight="false" outlineLevel="0" collapsed="false">
      <c r="A2319" s="0" t="str">
        <f aca="false">IF(COMPRAS!K1119="","",COMPRAS!K1119)</f>
        <v/>
      </c>
      <c r="B2319" s="0" t="str">
        <f aca="false">IF(A2319="","",IF(MATCH(A2319,$A$2:$A$3201,0)=ROW()-1,1,0))</f>
        <v/>
      </c>
      <c r="C2319" s="0" t="str">
        <f aca="false">IF(B2319=1,MAX(C$1:C2318)+1,"")</f>
        <v/>
      </c>
    </row>
    <row r="2320" customFormat="false" ht="15" hidden="false" customHeight="false" outlineLevel="0" collapsed="false">
      <c r="A2320" s="0" t="str">
        <f aca="false">IF(COMPRAS!K1120="","",COMPRAS!K1120)</f>
        <v/>
      </c>
      <c r="B2320" s="0" t="str">
        <f aca="false">IF(A2320="","",IF(MATCH(A2320,$A$2:$A$3201,0)=ROW()-1,1,0))</f>
        <v/>
      </c>
      <c r="C2320" s="0" t="str">
        <f aca="false">IF(B2320=1,MAX(C$1:C2319)+1,"")</f>
        <v/>
      </c>
    </row>
    <row r="2321" customFormat="false" ht="15" hidden="false" customHeight="false" outlineLevel="0" collapsed="false">
      <c r="A2321" s="0" t="str">
        <f aca="false">IF(COMPRAS!K1121="","",COMPRAS!K1121)</f>
        <v/>
      </c>
      <c r="B2321" s="0" t="str">
        <f aca="false">IF(A2321="","",IF(MATCH(A2321,$A$2:$A$3201,0)=ROW()-1,1,0))</f>
        <v/>
      </c>
      <c r="C2321" s="0" t="str">
        <f aca="false">IF(B2321=1,MAX(C$1:C2320)+1,"")</f>
        <v/>
      </c>
    </row>
    <row r="2322" customFormat="false" ht="15" hidden="false" customHeight="false" outlineLevel="0" collapsed="false">
      <c r="A2322" s="0" t="str">
        <f aca="false">IF(COMPRAS!K1122="","",COMPRAS!K1122)</f>
        <v/>
      </c>
      <c r="B2322" s="0" t="str">
        <f aca="false">IF(A2322="","",IF(MATCH(A2322,$A$2:$A$3201,0)=ROW()-1,1,0))</f>
        <v/>
      </c>
      <c r="C2322" s="0" t="str">
        <f aca="false">IF(B2322=1,MAX(C$1:C2321)+1,"")</f>
        <v/>
      </c>
    </row>
    <row r="2323" customFormat="false" ht="15" hidden="false" customHeight="false" outlineLevel="0" collapsed="false">
      <c r="A2323" s="0" t="str">
        <f aca="false">IF(COMPRAS!K1123="","",COMPRAS!K1123)</f>
        <v/>
      </c>
      <c r="B2323" s="0" t="str">
        <f aca="false">IF(A2323="","",IF(MATCH(A2323,$A$2:$A$3201,0)=ROW()-1,1,0))</f>
        <v/>
      </c>
      <c r="C2323" s="0" t="str">
        <f aca="false">IF(B2323=1,MAX(C$1:C2322)+1,"")</f>
        <v/>
      </c>
    </row>
    <row r="2324" customFormat="false" ht="15" hidden="false" customHeight="false" outlineLevel="0" collapsed="false">
      <c r="A2324" s="0" t="str">
        <f aca="false">IF(COMPRAS!K1124="","",COMPRAS!K1124)</f>
        <v/>
      </c>
      <c r="B2324" s="0" t="str">
        <f aca="false">IF(A2324="","",IF(MATCH(A2324,$A$2:$A$3201,0)=ROW()-1,1,0))</f>
        <v/>
      </c>
      <c r="C2324" s="0" t="str">
        <f aca="false">IF(B2324=1,MAX(C$1:C2323)+1,"")</f>
        <v/>
      </c>
    </row>
    <row r="2325" customFormat="false" ht="15" hidden="false" customHeight="false" outlineLevel="0" collapsed="false">
      <c r="A2325" s="0" t="str">
        <f aca="false">IF(COMPRAS!K1125="","",COMPRAS!K1125)</f>
        <v/>
      </c>
      <c r="B2325" s="0" t="str">
        <f aca="false">IF(A2325="","",IF(MATCH(A2325,$A$2:$A$3201,0)=ROW()-1,1,0))</f>
        <v/>
      </c>
      <c r="C2325" s="0" t="str">
        <f aca="false">IF(B2325=1,MAX(C$1:C2324)+1,"")</f>
        <v/>
      </c>
    </row>
    <row r="2326" customFormat="false" ht="15" hidden="false" customHeight="false" outlineLevel="0" collapsed="false">
      <c r="A2326" s="0" t="str">
        <f aca="false">IF(COMPRAS!K1126="","",COMPRAS!K1126)</f>
        <v/>
      </c>
      <c r="B2326" s="0" t="str">
        <f aca="false">IF(A2326="","",IF(MATCH(A2326,$A$2:$A$3201,0)=ROW()-1,1,0))</f>
        <v/>
      </c>
      <c r="C2326" s="0" t="str">
        <f aca="false">IF(B2326=1,MAX(C$1:C2325)+1,"")</f>
        <v/>
      </c>
    </row>
    <row r="2327" customFormat="false" ht="15" hidden="false" customHeight="false" outlineLevel="0" collapsed="false">
      <c r="A2327" s="0" t="str">
        <f aca="false">IF(COMPRAS!K1127="","",COMPRAS!K1127)</f>
        <v/>
      </c>
      <c r="B2327" s="0" t="str">
        <f aca="false">IF(A2327="","",IF(MATCH(A2327,$A$2:$A$3201,0)=ROW()-1,1,0))</f>
        <v/>
      </c>
      <c r="C2327" s="0" t="str">
        <f aca="false">IF(B2327=1,MAX(C$1:C2326)+1,"")</f>
        <v/>
      </c>
    </row>
    <row r="2328" customFormat="false" ht="15" hidden="false" customHeight="false" outlineLevel="0" collapsed="false">
      <c r="A2328" s="0" t="str">
        <f aca="false">IF(COMPRAS!K1128="","",COMPRAS!K1128)</f>
        <v/>
      </c>
      <c r="B2328" s="0" t="str">
        <f aca="false">IF(A2328="","",IF(MATCH(A2328,$A$2:$A$3201,0)=ROW()-1,1,0))</f>
        <v/>
      </c>
      <c r="C2328" s="0" t="str">
        <f aca="false">IF(B2328=1,MAX(C$1:C2327)+1,"")</f>
        <v/>
      </c>
    </row>
    <row r="2329" customFormat="false" ht="15" hidden="false" customHeight="false" outlineLevel="0" collapsed="false">
      <c r="A2329" s="0" t="str">
        <f aca="false">IF(COMPRAS!K1129="","",COMPRAS!K1129)</f>
        <v/>
      </c>
      <c r="B2329" s="0" t="str">
        <f aca="false">IF(A2329="","",IF(MATCH(A2329,$A$2:$A$3201,0)=ROW()-1,1,0))</f>
        <v/>
      </c>
      <c r="C2329" s="0" t="str">
        <f aca="false">IF(B2329=1,MAX(C$1:C2328)+1,"")</f>
        <v/>
      </c>
    </row>
    <row r="2330" customFormat="false" ht="15" hidden="false" customHeight="false" outlineLevel="0" collapsed="false">
      <c r="A2330" s="0" t="str">
        <f aca="false">IF(COMPRAS!K1130="","",COMPRAS!K1130)</f>
        <v/>
      </c>
      <c r="B2330" s="0" t="str">
        <f aca="false">IF(A2330="","",IF(MATCH(A2330,$A$2:$A$3201,0)=ROW()-1,1,0))</f>
        <v/>
      </c>
      <c r="C2330" s="0" t="str">
        <f aca="false">IF(B2330=1,MAX(C$1:C2329)+1,"")</f>
        <v/>
      </c>
    </row>
    <row r="2331" customFormat="false" ht="15" hidden="false" customHeight="false" outlineLevel="0" collapsed="false">
      <c r="A2331" s="0" t="str">
        <f aca="false">IF(COMPRAS!K1131="","",COMPRAS!K1131)</f>
        <v/>
      </c>
      <c r="B2331" s="0" t="str">
        <f aca="false">IF(A2331="","",IF(MATCH(A2331,$A$2:$A$3201,0)=ROW()-1,1,0))</f>
        <v/>
      </c>
      <c r="C2331" s="0" t="str">
        <f aca="false">IF(B2331=1,MAX(C$1:C2330)+1,"")</f>
        <v/>
      </c>
    </row>
    <row r="2332" customFormat="false" ht="15" hidden="false" customHeight="false" outlineLevel="0" collapsed="false">
      <c r="A2332" s="0" t="str">
        <f aca="false">IF(COMPRAS!K1132="","",COMPRAS!K1132)</f>
        <v/>
      </c>
      <c r="B2332" s="0" t="str">
        <f aca="false">IF(A2332="","",IF(MATCH(A2332,$A$2:$A$3201,0)=ROW()-1,1,0))</f>
        <v/>
      </c>
      <c r="C2332" s="0" t="str">
        <f aca="false">IF(B2332=1,MAX(C$1:C2331)+1,"")</f>
        <v/>
      </c>
    </row>
    <row r="2333" customFormat="false" ht="15" hidden="false" customHeight="false" outlineLevel="0" collapsed="false">
      <c r="A2333" s="0" t="str">
        <f aca="false">IF(COMPRAS!K1133="","",COMPRAS!K1133)</f>
        <v/>
      </c>
      <c r="B2333" s="0" t="str">
        <f aca="false">IF(A2333="","",IF(MATCH(A2333,$A$2:$A$3201,0)=ROW()-1,1,0))</f>
        <v/>
      </c>
      <c r="C2333" s="0" t="str">
        <f aca="false">IF(B2333=1,MAX(C$1:C2332)+1,"")</f>
        <v/>
      </c>
    </row>
    <row r="2334" customFormat="false" ht="15" hidden="false" customHeight="false" outlineLevel="0" collapsed="false">
      <c r="A2334" s="0" t="str">
        <f aca="false">IF(COMPRAS!K1134="","",COMPRAS!K1134)</f>
        <v/>
      </c>
      <c r="B2334" s="0" t="str">
        <f aca="false">IF(A2334="","",IF(MATCH(A2334,$A$2:$A$3201,0)=ROW()-1,1,0))</f>
        <v/>
      </c>
      <c r="C2334" s="0" t="str">
        <f aca="false">IF(B2334=1,MAX(C$1:C2333)+1,"")</f>
        <v/>
      </c>
    </row>
    <row r="2335" customFormat="false" ht="15" hidden="false" customHeight="false" outlineLevel="0" collapsed="false">
      <c r="A2335" s="0" t="str">
        <f aca="false">IF(COMPRAS!K1135="","",COMPRAS!K1135)</f>
        <v/>
      </c>
      <c r="B2335" s="0" t="str">
        <f aca="false">IF(A2335="","",IF(MATCH(A2335,$A$2:$A$3201,0)=ROW()-1,1,0))</f>
        <v/>
      </c>
      <c r="C2335" s="0" t="str">
        <f aca="false">IF(B2335=1,MAX(C$1:C2334)+1,"")</f>
        <v/>
      </c>
    </row>
    <row r="2336" customFormat="false" ht="15" hidden="false" customHeight="false" outlineLevel="0" collapsed="false">
      <c r="A2336" s="0" t="str">
        <f aca="false">IF(COMPRAS!K1136="","",COMPRAS!K1136)</f>
        <v/>
      </c>
      <c r="B2336" s="0" t="str">
        <f aca="false">IF(A2336="","",IF(MATCH(A2336,$A$2:$A$3201,0)=ROW()-1,1,0))</f>
        <v/>
      </c>
      <c r="C2336" s="0" t="str">
        <f aca="false">IF(B2336=1,MAX(C$1:C2335)+1,"")</f>
        <v/>
      </c>
    </row>
    <row r="2337" customFormat="false" ht="15" hidden="false" customHeight="false" outlineLevel="0" collapsed="false">
      <c r="A2337" s="0" t="str">
        <f aca="false">IF(COMPRAS!K1137="","",COMPRAS!K1137)</f>
        <v/>
      </c>
      <c r="B2337" s="0" t="str">
        <f aca="false">IF(A2337="","",IF(MATCH(A2337,$A$2:$A$3201,0)=ROW()-1,1,0))</f>
        <v/>
      </c>
      <c r="C2337" s="0" t="str">
        <f aca="false">IF(B2337=1,MAX(C$1:C2336)+1,"")</f>
        <v/>
      </c>
    </row>
    <row r="2338" customFormat="false" ht="15" hidden="false" customHeight="false" outlineLevel="0" collapsed="false">
      <c r="A2338" s="0" t="str">
        <f aca="false">IF(COMPRAS!K1138="","",COMPRAS!K1138)</f>
        <v/>
      </c>
      <c r="B2338" s="0" t="str">
        <f aca="false">IF(A2338="","",IF(MATCH(A2338,$A$2:$A$3201,0)=ROW()-1,1,0))</f>
        <v/>
      </c>
      <c r="C2338" s="0" t="str">
        <f aca="false">IF(B2338=1,MAX(C$1:C2337)+1,"")</f>
        <v/>
      </c>
    </row>
    <row r="2339" customFormat="false" ht="15" hidden="false" customHeight="false" outlineLevel="0" collapsed="false">
      <c r="A2339" s="0" t="str">
        <f aca="false">IF(COMPRAS!K1139="","",COMPRAS!K1139)</f>
        <v/>
      </c>
      <c r="B2339" s="0" t="str">
        <f aca="false">IF(A2339="","",IF(MATCH(A2339,$A$2:$A$3201,0)=ROW()-1,1,0))</f>
        <v/>
      </c>
      <c r="C2339" s="0" t="str">
        <f aca="false">IF(B2339=1,MAX(C$1:C2338)+1,"")</f>
        <v/>
      </c>
    </row>
    <row r="2340" customFormat="false" ht="15" hidden="false" customHeight="false" outlineLevel="0" collapsed="false">
      <c r="A2340" s="0" t="str">
        <f aca="false">IF(COMPRAS!K1140="","",COMPRAS!K1140)</f>
        <v/>
      </c>
      <c r="B2340" s="0" t="str">
        <f aca="false">IF(A2340="","",IF(MATCH(A2340,$A$2:$A$3201,0)=ROW()-1,1,0))</f>
        <v/>
      </c>
      <c r="C2340" s="0" t="str">
        <f aca="false">IF(B2340=1,MAX(C$1:C2339)+1,"")</f>
        <v/>
      </c>
    </row>
    <row r="2341" customFormat="false" ht="15" hidden="false" customHeight="false" outlineLevel="0" collapsed="false">
      <c r="A2341" s="0" t="str">
        <f aca="false">IF(COMPRAS!K1141="","",COMPRAS!K1141)</f>
        <v/>
      </c>
      <c r="B2341" s="0" t="str">
        <f aca="false">IF(A2341="","",IF(MATCH(A2341,$A$2:$A$3201,0)=ROW()-1,1,0))</f>
        <v/>
      </c>
      <c r="C2341" s="0" t="str">
        <f aca="false">IF(B2341=1,MAX(C$1:C2340)+1,"")</f>
        <v/>
      </c>
    </row>
    <row r="2342" customFormat="false" ht="15" hidden="false" customHeight="false" outlineLevel="0" collapsed="false">
      <c r="A2342" s="0" t="str">
        <f aca="false">IF(COMPRAS!K1142="","",COMPRAS!K1142)</f>
        <v/>
      </c>
      <c r="B2342" s="0" t="str">
        <f aca="false">IF(A2342="","",IF(MATCH(A2342,$A$2:$A$3201,0)=ROW()-1,1,0))</f>
        <v/>
      </c>
      <c r="C2342" s="0" t="str">
        <f aca="false">IF(B2342=1,MAX(C$1:C2341)+1,"")</f>
        <v/>
      </c>
    </row>
    <row r="2343" customFormat="false" ht="15" hidden="false" customHeight="false" outlineLevel="0" collapsed="false">
      <c r="A2343" s="0" t="str">
        <f aca="false">IF(COMPRAS!K1143="","",COMPRAS!K1143)</f>
        <v/>
      </c>
      <c r="B2343" s="0" t="str">
        <f aca="false">IF(A2343="","",IF(MATCH(A2343,$A$2:$A$3201,0)=ROW()-1,1,0))</f>
        <v/>
      </c>
      <c r="C2343" s="0" t="str">
        <f aca="false">IF(B2343=1,MAX(C$1:C2342)+1,"")</f>
        <v/>
      </c>
    </row>
    <row r="2344" customFormat="false" ht="15" hidden="false" customHeight="false" outlineLevel="0" collapsed="false">
      <c r="A2344" s="0" t="str">
        <f aca="false">IF(COMPRAS!K1144="","",COMPRAS!K1144)</f>
        <v/>
      </c>
      <c r="B2344" s="0" t="str">
        <f aca="false">IF(A2344="","",IF(MATCH(A2344,$A$2:$A$3201,0)=ROW()-1,1,0))</f>
        <v/>
      </c>
      <c r="C2344" s="0" t="str">
        <f aca="false">IF(B2344=1,MAX(C$1:C2343)+1,"")</f>
        <v/>
      </c>
    </row>
    <row r="2345" customFormat="false" ht="15" hidden="false" customHeight="false" outlineLevel="0" collapsed="false">
      <c r="A2345" s="0" t="str">
        <f aca="false">IF(COMPRAS!K1145="","",COMPRAS!K1145)</f>
        <v/>
      </c>
      <c r="B2345" s="0" t="str">
        <f aca="false">IF(A2345="","",IF(MATCH(A2345,$A$2:$A$3201,0)=ROW()-1,1,0))</f>
        <v/>
      </c>
      <c r="C2345" s="0" t="str">
        <f aca="false">IF(B2345=1,MAX(C$1:C2344)+1,"")</f>
        <v/>
      </c>
    </row>
    <row r="2346" customFormat="false" ht="15" hidden="false" customHeight="false" outlineLevel="0" collapsed="false">
      <c r="A2346" s="0" t="str">
        <f aca="false">IF(COMPRAS!K1146="","",COMPRAS!K1146)</f>
        <v/>
      </c>
      <c r="B2346" s="0" t="str">
        <f aca="false">IF(A2346="","",IF(MATCH(A2346,$A$2:$A$3201,0)=ROW()-1,1,0))</f>
        <v/>
      </c>
      <c r="C2346" s="0" t="str">
        <f aca="false">IF(B2346=1,MAX(C$1:C2345)+1,"")</f>
        <v/>
      </c>
    </row>
    <row r="2347" customFormat="false" ht="15" hidden="false" customHeight="false" outlineLevel="0" collapsed="false">
      <c r="A2347" s="0" t="str">
        <f aca="false">IF(COMPRAS!K1147="","",COMPRAS!K1147)</f>
        <v/>
      </c>
      <c r="B2347" s="0" t="str">
        <f aca="false">IF(A2347="","",IF(MATCH(A2347,$A$2:$A$3201,0)=ROW()-1,1,0))</f>
        <v/>
      </c>
      <c r="C2347" s="0" t="str">
        <f aca="false">IF(B2347=1,MAX(C$1:C2346)+1,"")</f>
        <v/>
      </c>
    </row>
    <row r="2348" customFormat="false" ht="15" hidden="false" customHeight="false" outlineLevel="0" collapsed="false">
      <c r="A2348" s="0" t="str">
        <f aca="false">IF(COMPRAS!K1148="","",COMPRAS!K1148)</f>
        <v/>
      </c>
      <c r="B2348" s="0" t="str">
        <f aca="false">IF(A2348="","",IF(MATCH(A2348,$A$2:$A$3201,0)=ROW()-1,1,0))</f>
        <v/>
      </c>
      <c r="C2348" s="0" t="str">
        <f aca="false">IF(B2348=1,MAX(C$1:C2347)+1,"")</f>
        <v/>
      </c>
    </row>
    <row r="2349" customFormat="false" ht="15" hidden="false" customHeight="false" outlineLevel="0" collapsed="false">
      <c r="A2349" s="0" t="str">
        <f aca="false">IF(COMPRAS!K1149="","",COMPRAS!K1149)</f>
        <v/>
      </c>
      <c r="B2349" s="0" t="str">
        <f aca="false">IF(A2349="","",IF(MATCH(A2349,$A$2:$A$3201,0)=ROW()-1,1,0))</f>
        <v/>
      </c>
      <c r="C2349" s="0" t="str">
        <f aca="false">IF(B2349=1,MAX(C$1:C2348)+1,"")</f>
        <v/>
      </c>
    </row>
    <row r="2350" customFormat="false" ht="15" hidden="false" customHeight="false" outlineLevel="0" collapsed="false">
      <c r="A2350" s="0" t="str">
        <f aca="false">IF(COMPRAS!K1150="","",COMPRAS!K1150)</f>
        <v/>
      </c>
      <c r="B2350" s="0" t="str">
        <f aca="false">IF(A2350="","",IF(MATCH(A2350,$A$2:$A$3201,0)=ROW()-1,1,0))</f>
        <v/>
      </c>
      <c r="C2350" s="0" t="str">
        <f aca="false">IF(B2350=1,MAX(C$1:C2349)+1,"")</f>
        <v/>
      </c>
    </row>
    <row r="2351" customFormat="false" ht="15" hidden="false" customHeight="false" outlineLevel="0" collapsed="false">
      <c r="A2351" s="0" t="str">
        <f aca="false">IF(COMPRAS!K1151="","",COMPRAS!K1151)</f>
        <v/>
      </c>
      <c r="B2351" s="0" t="str">
        <f aca="false">IF(A2351="","",IF(MATCH(A2351,$A$2:$A$3201,0)=ROW()-1,1,0))</f>
        <v/>
      </c>
      <c r="C2351" s="0" t="str">
        <f aca="false">IF(B2351=1,MAX(C$1:C2350)+1,"")</f>
        <v/>
      </c>
    </row>
    <row r="2352" customFormat="false" ht="15" hidden="false" customHeight="false" outlineLevel="0" collapsed="false">
      <c r="A2352" s="0" t="str">
        <f aca="false">IF(COMPRAS!K1152="","",COMPRAS!K1152)</f>
        <v/>
      </c>
      <c r="B2352" s="0" t="str">
        <f aca="false">IF(A2352="","",IF(MATCH(A2352,$A$2:$A$3201,0)=ROW()-1,1,0))</f>
        <v/>
      </c>
      <c r="C2352" s="0" t="str">
        <f aca="false">IF(B2352=1,MAX(C$1:C2351)+1,"")</f>
        <v/>
      </c>
    </row>
    <row r="2353" customFormat="false" ht="15" hidden="false" customHeight="false" outlineLevel="0" collapsed="false">
      <c r="A2353" s="0" t="str">
        <f aca="false">IF(COMPRAS!K1153="","",COMPRAS!K1153)</f>
        <v/>
      </c>
      <c r="B2353" s="0" t="str">
        <f aca="false">IF(A2353="","",IF(MATCH(A2353,$A$2:$A$3201,0)=ROW()-1,1,0))</f>
        <v/>
      </c>
      <c r="C2353" s="0" t="str">
        <f aca="false">IF(B2353=1,MAX(C$1:C2352)+1,"")</f>
        <v/>
      </c>
    </row>
    <row r="2354" customFormat="false" ht="15" hidden="false" customHeight="false" outlineLevel="0" collapsed="false">
      <c r="A2354" s="0" t="str">
        <f aca="false">IF(COMPRAS!K1154="","",COMPRAS!K1154)</f>
        <v/>
      </c>
      <c r="B2354" s="0" t="str">
        <f aca="false">IF(A2354="","",IF(MATCH(A2354,$A$2:$A$3201,0)=ROW()-1,1,0))</f>
        <v/>
      </c>
      <c r="C2354" s="0" t="str">
        <f aca="false">IF(B2354=1,MAX(C$1:C2353)+1,"")</f>
        <v/>
      </c>
    </row>
    <row r="2355" customFormat="false" ht="15" hidden="false" customHeight="false" outlineLevel="0" collapsed="false">
      <c r="A2355" s="0" t="str">
        <f aca="false">IF(COMPRAS!K1155="","",COMPRAS!K1155)</f>
        <v/>
      </c>
      <c r="B2355" s="0" t="str">
        <f aca="false">IF(A2355="","",IF(MATCH(A2355,$A$2:$A$3201,0)=ROW()-1,1,0))</f>
        <v/>
      </c>
      <c r="C2355" s="0" t="str">
        <f aca="false">IF(B2355=1,MAX(C$1:C2354)+1,"")</f>
        <v/>
      </c>
    </row>
    <row r="2356" customFormat="false" ht="15" hidden="false" customHeight="false" outlineLevel="0" collapsed="false">
      <c r="A2356" s="0" t="str">
        <f aca="false">IF(COMPRAS!K1156="","",COMPRAS!K1156)</f>
        <v/>
      </c>
      <c r="B2356" s="0" t="str">
        <f aca="false">IF(A2356="","",IF(MATCH(A2356,$A$2:$A$3201,0)=ROW()-1,1,0))</f>
        <v/>
      </c>
      <c r="C2356" s="0" t="str">
        <f aca="false">IF(B2356=1,MAX(C$1:C2355)+1,"")</f>
        <v/>
      </c>
    </row>
    <row r="2357" customFormat="false" ht="15" hidden="false" customHeight="false" outlineLevel="0" collapsed="false">
      <c r="A2357" s="0" t="str">
        <f aca="false">IF(COMPRAS!K1157="","",COMPRAS!K1157)</f>
        <v/>
      </c>
      <c r="B2357" s="0" t="str">
        <f aca="false">IF(A2357="","",IF(MATCH(A2357,$A$2:$A$3201,0)=ROW()-1,1,0))</f>
        <v/>
      </c>
      <c r="C2357" s="0" t="str">
        <f aca="false">IF(B2357=1,MAX(C$1:C2356)+1,"")</f>
        <v/>
      </c>
    </row>
    <row r="2358" customFormat="false" ht="15" hidden="false" customHeight="false" outlineLevel="0" collapsed="false">
      <c r="A2358" s="0" t="str">
        <f aca="false">IF(COMPRAS!K1158="","",COMPRAS!K1158)</f>
        <v/>
      </c>
      <c r="B2358" s="0" t="str">
        <f aca="false">IF(A2358="","",IF(MATCH(A2358,$A$2:$A$3201,0)=ROW()-1,1,0))</f>
        <v/>
      </c>
      <c r="C2358" s="0" t="str">
        <f aca="false">IF(B2358=1,MAX(C$1:C2357)+1,"")</f>
        <v/>
      </c>
    </row>
    <row r="2359" customFormat="false" ht="15" hidden="false" customHeight="false" outlineLevel="0" collapsed="false">
      <c r="A2359" s="0" t="str">
        <f aca="false">IF(COMPRAS!K1159="","",COMPRAS!K1159)</f>
        <v/>
      </c>
      <c r="B2359" s="0" t="str">
        <f aca="false">IF(A2359="","",IF(MATCH(A2359,$A$2:$A$3201,0)=ROW()-1,1,0))</f>
        <v/>
      </c>
      <c r="C2359" s="0" t="str">
        <f aca="false">IF(B2359=1,MAX(C$1:C2358)+1,"")</f>
        <v/>
      </c>
    </row>
    <row r="2360" customFormat="false" ht="15" hidden="false" customHeight="false" outlineLevel="0" collapsed="false">
      <c r="A2360" s="0" t="str">
        <f aca="false">IF(COMPRAS!K1160="","",COMPRAS!K1160)</f>
        <v/>
      </c>
      <c r="B2360" s="0" t="str">
        <f aca="false">IF(A2360="","",IF(MATCH(A2360,$A$2:$A$3201,0)=ROW()-1,1,0))</f>
        <v/>
      </c>
      <c r="C2360" s="0" t="str">
        <f aca="false">IF(B2360=1,MAX(C$1:C2359)+1,"")</f>
        <v/>
      </c>
    </row>
    <row r="2361" customFormat="false" ht="15" hidden="false" customHeight="false" outlineLevel="0" collapsed="false">
      <c r="A2361" s="0" t="str">
        <f aca="false">IF(COMPRAS!K1161="","",COMPRAS!K1161)</f>
        <v/>
      </c>
      <c r="B2361" s="0" t="str">
        <f aca="false">IF(A2361="","",IF(MATCH(A2361,$A$2:$A$3201,0)=ROW()-1,1,0))</f>
        <v/>
      </c>
      <c r="C2361" s="0" t="str">
        <f aca="false">IF(B2361=1,MAX(C$1:C2360)+1,"")</f>
        <v/>
      </c>
    </row>
    <row r="2362" customFormat="false" ht="15" hidden="false" customHeight="false" outlineLevel="0" collapsed="false">
      <c r="A2362" s="0" t="str">
        <f aca="false">IF(COMPRAS!K1162="","",COMPRAS!K1162)</f>
        <v/>
      </c>
      <c r="B2362" s="0" t="str">
        <f aca="false">IF(A2362="","",IF(MATCH(A2362,$A$2:$A$3201,0)=ROW()-1,1,0))</f>
        <v/>
      </c>
      <c r="C2362" s="0" t="str">
        <f aca="false">IF(B2362=1,MAX(C$1:C2361)+1,"")</f>
        <v/>
      </c>
    </row>
    <row r="2363" customFormat="false" ht="15" hidden="false" customHeight="false" outlineLevel="0" collapsed="false">
      <c r="A2363" s="0" t="str">
        <f aca="false">IF(COMPRAS!K1163="","",COMPRAS!K1163)</f>
        <v/>
      </c>
      <c r="B2363" s="0" t="str">
        <f aca="false">IF(A2363="","",IF(MATCH(A2363,$A$2:$A$3201,0)=ROW()-1,1,0))</f>
        <v/>
      </c>
      <c r="C2363" s="0" t="str">
        <f aca="false">IF(B2363=1,MAX(C$1:C2362)+1,"")</f>
        <v/>
      </c>
    </row>
    <row r="2364" customFormat="false" ht="15" hidden="false" customHeight="false" outlineLevel="0" collapsed="false">
      <c r="A2364" s="0" t="str">
        <f aca="false">IF(COMPRAS!K1164="","",COMPRAS!K1164)</f>
        <v/>
      </c>
      <c r="B2364" s="0" t="str">
        <f aca="false">IF(A2364="","",IF(MATCH(A2364,$A$2:$A$3201,0)=ROW()-1,1,0))</f>
        <v/>
      </c>
      <c r="C2364" s="0" t="str">
        <f aca="false">IF(B2364=1,MAX(C$1:C2363)+1,"")</f>
        <v/>
      </c>
    </row>
    <row r="2365" customFormat="false" ht="15" hidden="false" customHeight="false" outlineLevel="0" collapsed="false">
      <c r="A2365" s="0" t="str">
        <f aca="false">IF(COMPRAS!K1165="","",COMPRAS!K1165)</f>
        <v/>
      </c>
      <c r="B2365" s="0" t="str">
        <f aca="false">IF(A2365="","",IF(MATCH(A2365,$A$2:$A$3201,0)=ROW()-1,1,0))</f>
        <v/>
      </c>
      <c r="C2365" s="0" t="str">
        <f aca="false">IF(B2365=1,MAX(C$1:C2364)+1,"")</f>
        <v/>
      </c>
    </row>
    <row r="2366" customFormat="false" ht="15" hidden="false" customHeight="false" outlineLevel="0" collapsed="false">
      <c r="A2366" s="0" t="str">
        <f aca="false">IF(COMPRAS!K1166="","",COMPRAS!K1166)</f>
        <v/>
      </c>
      <c r="B2366" s="0" t="str">
        <f aca="false">IF(A2366="","",IF(MATCH(A2366,$A$2:$A$3201,0)=ROW()-1,1,0))</f>
        <v/>
      </c>
      <c r="C2366" s="0" t="str">
        <f aca="false">IF(B2366=1,MAX(C$1:C2365)+1,"")</f>
        <v/>
      </c>
    </row>
    <row r="2367" customFormat="false" ht="15" hidden="false" customHeight="false" outlineLevel="0" collapsed="false">
      <c r="A2367" s="0" t="str">
        <f aca="false">IF(COMPRAS!K1167="","",COMPRAS!K1167)</f>
        <v/>
      </c>
      <c r="B2367" s="0" t="str">
        <f aca="false">IF(A2367="","",IF(MATCH(A2367,$A$2:$A$3201,0)=ROW()-1,1,0))</f>
        <v/>
      </c>
      <c r="C2367" s="0" t="str">
        <f aca="false">IF(B2367=1,MAX(C$1:C2366)+1,"")</f>
        <v/>
      </c>
    </row>
    <row r="2368" customFormat="false" ht="15" hidden="false" customHeight="false" outlineLevel="0" collapsed="false">
      <c r="A2368" s="0" t="str">
        <f aca="false">IF(COMPRAS!K1168="","",COMPRAS!K1168)</f>
        <v/>
      </c>
      <c r="B2368" s="0" t="str">
        <f aca="false">IF(A2368="","",IF(MATCH(A2368,$A$2:$A$3201,0)=ROW()-1,1,0))</f>
        <v/>
      </c>
      <c r="C2368" s="0" t="str">
        <f aca="false">IF(B2368=1,MAX(C$1:C2367)+1,"")</f>
        <v/>
      </c>
    </row>
    <row r="2369" customFormat="false" ht="15" hidden="false" customHeight="false" outlineLevel="0" collapsed="false">
      <c r="A2369" s="0" t="str">
        <f aca="false">IF(COMPRAS!K1169="","",COMPRAS!K1169)</f>
        <v/>
      </c>
      <c r="B2369" s="0" t="str">
        <f aca="false">IF(A2369="","",IF(MATCH(A2369,$A$2:$A$3201,0)=ROW()-1,1,0))</f>
        <v/>
      </c>
      <c r="C2369" s="0" t="str">
        <f aca="false">IF(B2369=1,MAX(C$1:C2368)+1,"")</f>
        <v/>
      </c>
    </row>
    <row r="2370" customFormat="false" ht="15" hidden="false" customHeight="false" outlineLevel="0" collapsed="false">
      <c r="A2370" s="0" t="str">
        <f aca="false">IF(COMPRAS!K1170="","",COMPRAS!K1170)</f>
        <v/>
      </c>
      <c r="B2370" s="0" t="str">
        <f aca="false">IF(A2370="","",IF(MATCH(A2370,$A$2:$A$3201,0)=ROW()-1,1,0))</f>
        <v/>
      </c>
      <c r="C2370" s="0" t="str">
        <f aca="false">IF(B2370=1,MAX(C$1:C2369)+1,"")</f>
        <v/>
      </c>
    </row>
    <row r="2371" customFormat="false" ht="15" hidden="false" customHeight="false" outlineLevel="0" collapsed="false">
      <c r="A2371" s="0" t="str">
        <f aca="false">IF(COMPRAS!K1171="","",COMPRAS!K1171)</f>
        <v/>
      </c>
      <c r="B2371" s="0" t="str">
        <f aca="false">IF(A2371="","",IF(MATCH(A2371,$A$2:$A$3201,0)=ROW()-1,1,0))</f>
        <v/>
      </c>
      <c r="C2371" s="0" t="str">
        <f aca="false">IF(B2371=1,MAX(C$1:C2370)+1,"")</f>
        <v/>
      </c>
    </row>
    <row r="2372" customFormat="false" ht="15" hidden="false" customHeight="false" outlineLevel="0" collapsed="false">
      <c r="A2372" s="0" t="str">
        <f aca="false">IF(COMPRAS!K1172="","",COMPRAS!K1172)</f>
        <v/>
      </c>
      <c r="B2372" s="0" t="str">
        <f aca="false">IF(A2372="","",IF(MATCH(A2372,$A$2:$A$3201,0)=ROW()-1,1,0))</f>
        <v/>
      </c>
      <c r="C2372" s="0" t="str">
        <f aca="false">IF(B2372=1,MAX(C$1:C2371)+1,"")</f>
        <v/>
      </c>
    </row>
    <row r="2373" customFormat="false" ht="15" hidden="false" customHeight="false" outlineLevel="0" collapsed="false">
      <c r="A2373" s="0" t="str">
        <f aca="false">IF(COMPRAS!K1173="","",COMPRAS!K1173)</f>
        <v/>
      </c>
      <c r="B2373" s="0" t="str">
        <f aca="false">IF(A2373="","",IF(MATCH(A2373,$A$2:$A$3201,0)=ROW()-1,1,0))</f>
        <v/>
      </c>
      <c r="C2373" s="0" t="str">
        <f aca="false">IF(B2373=1,MAX(C$1:C2372)+1,"")</f>
        <v/>
      </c>
    </row>
    <row r="2374" customFormat="false" ht="15" hidden="false" customHeight="false" outlineLevel="0" collapsed="false">
      <c r="A2374" s="0" t="str">
        <f aca="false">IF(COMPRAS!K1174="","",COMPRAS!K1174)</f>
        <v/>
      </c>
      <c r="B2374" s="0" t="str">
        <f aca="false">IF(A2374="","",IF(MATCH(A2374,$A$2:$A$3201,0)=ROW()-1,1,0))</f>
        <v/>
      </c>
      <c r="C2374" s="0" t="str">
        <f aca="false">IF(B2374=1,MAX(C$1:C2373)+1,"")</f>
        <v/>
      </c>
    </row>
    <row r="2375" customFormat="false" ht="15" hidden="false" customHeight="false" outlineLevel="0" collapsed="false">
      <c r="A2375" s="0" t="str">
        <f aca="false">IF(COMPRAS!K1175="","",COMPRAS!K1175)</f>
        <v/>
      </c>
      <c r="B2375" s="0" t="str">
        <f aca="false">IF(A2375="","",IF(MATCH(A2375,$A$2:$A$3201,0)=ROW()-1,1,0))</f>
        <v/>
      </c>
      <c r="C2375" s="0" t="str">
        <f aca="false">IF(B2375=1,MAX(C$1:C2374)+1,"")</f>
        <v/>
      </c>
    </row>
    <row r="2376" customFormat="false" ht="15" hidden="false" customHeight="false" outlineLevel="0" collapsed="false">
      <c r="A2376" s="0" t="str">
        <f aca="false">IF(COMPRAS!K1176="","",COMPRAS!K1176)</f>
        <v/>
      </c>
      <c r="B2376" s="0" t="str">
        <f aca="false">IF(A2376="","",IF(MATCH(A2376,$A$2:$A$3201,0)=ROW()-1,1,0))</f>
        <v/>
      </c>
      <c r="C2376" s="0" t="str">
        <f aca="false">IF(B2376=1,MAX(C$1:C2375)+1,"")</f>
        <v/>
      </c>
    </row>
    <row r="2377" customFormat="false" ht="15" hidden="false" customHeight="false" outlineLevel="0" collapsed="false">
      <c r="A2377" s="0" t="str">
        <f aca="false">IF(COMPRAS!K1177="","",COMPRAS!K1177)</f>
        <v/>
      </c>
      <c r="B2377" s="0" t="str">
        <f aca="false">IF(A2377="","",IF(MATCH(A2377,$A$2:$A$3201,0)=ROW()-1,1,0))</f>
        <v/>
      </c>
      <c r="C2377" s="0" t="str">
        <f aca="false">IF(B2377=1,MAX(C$1:C2376)+1,"")</f>
        <v/>
      </c>
    </row>
    <row r="2378" customFormat="false" ht="15" hidden="false" customHeight="false" outlineLevel="0" collapsed="false">
      <c r="A2378" s="0" t="str">
        <f aca="false">IF(COMPRAS!K1178="","",COMPRAS!K1178)</f>
        <v/>
      </c>
      <c r="B2378" s="0" t="str">
        <f aca="false">IF(A2378="","",IF(MATCH(A2378,$A$2:$A$3201,0)=ROW()-1,1,0))</f>
        <v/>
      </c>
      <c r="C2378" s="0" t="str">
        <f aca="false">IF(B2378=1,MAX(C$1:C2377)+1,"")</f>
        <v/>
      </c>
    </row>
    <row r="2379" customFormat="false" ht="15" hidden="false" customHeight="false" outlineLevel="0" collapsed="false">
      <c r="A2379" s="0" t="str">
        <f aca="false">IF(COMPRAS!K1179="","",COMPRAS!K1179)</f>
        <v/>
      </c>
      <c r="B2379" s="0" t="str">
        <f aca="false">IF(A2379="","",IF(MATCH(A2379,$A$2:$A$3201,0)=ROW()-1,1,0))</f>
        <v/>
      </c>
      <c r="C2379" s="0" t="str">
        <f aca="false">IF(B2379=1,MAX(C$1:C2378)+1,"")</f>
        <v/>
      </c>
    </row>
    <row r="2380" customFormat="false" ht="15" hidden="false" customHeight="false" outlineLevel="0" collapsed="false">
      <c r="A2380" s="0" t="str">
        <f aca="false">IF(COMPRAS!K1180="","",COMPRAS!K1180)</f>
        <v/>
      </c>
      <c r="B2380" s="0" t="str">
        <f aca="false">IF(A2380="","",IF(MATCH(A2380,$A$2:$A$3201,0)=ROW()-1,1,0))</f>
        <v/>
      </c>
      <c r="C2380" s="0" t="str">
        <f aca="false">IF(B2380=1,MAX(C$1:C2379)+1,"")</f>
        <v/>
      </c>
    </row>
    <row r="2381" customFormat="false" ht="15" hidden="false" customHeight="false" outlineLevel="0" collapsed="false">
      <c r="A2381" s="0" t="str">
        <f aca="false">IF(COMPRAS!K1181="","",COMPRAS!K1181)</f>
        <v/>
      </c>
      <c r="B2381" s="0" t="str">
        <f aca="false">IF(A2381="","",IF(MATCH(A2381,$A$2:$A$3201,0)=ROW()-1,1,0))</f>
        <v/>
      </c>
      <c r="C2381" s="0" t="str">
        <f aca="false">IF(B2381=1,MAX(C$1:C2380)+1,"")</f>
        <v/>
      </c>
    </row>
    <row r="2382" customFormat="false" ht="15" hidden="false" customHeight="false" outlineLevel="0" collapsed="false">
      <c r="A2382" s="0" t="str">
        <f aca="false">IF(COMPRAS!K1182="","",COMPRAS!K1182)</f>
        <v/>
      </c>
      <c r="B2382" s="0" t="str">
        <f aca="false">IF(A2382="","",IF(MATCH(A2382,$A$2:$A$3201,0)=ROW()-1,1,0))</f>
        <v/>
      </c>
      <c r="C2382" s="0" t="str">
        <f aca="false">IF(B2382=1,MAX(C$1:C2381)+1,"")</f>
        <v/>
      </c>
    </row>
    <row r="2383" customFormat="false" ht="15" hidden="false" customHeight="false" outlineLevel="0" collapsed="false">
      <c r="A2383" s="0" t="str">
        <f aca="false">IF(COMPRAS!K1183="","",COMPRAS!K1183)</f>
        <v/>
      </c>
      <c r="B2383" s="0" t="str">
        <f aca="false">IF(A2383="","",IF(MATCH(A2383,$A$2:$A$3201,0)=ROW()-1,1,0))</f>
        <v/>
      </c>
      <c r="C2383" s="0" t="str">
        <f aca="false">IF(B2383=1,MAX(C$1:C2382)+1,"")</f>
        <v/>
      </c>
    </row>
    <row r="2384" customFormat="false" ht="15" hidden="false" customHeight="false" outlineLevel="0" collapsed="false">
      <c r="A2384" s="0" t="str">
        <f aca="false">IF(COMPRAS!K1184="","",COMPRAS!K1184)</f>
        <v/>
      </c>
      <c r="B2384" s="0" t="str">
        <f aca="false">IF(A2384="","",IF(MATCH(A2384,$A$2:$A$3201,0)=ROW()-1,1,0))</f>
        <v/>
      </c>
      <c r="C2384" s="0" t="str">
        <f aca="false">IF(B2384=1,MAX(C$1:C2383)+1,"")</f>
        <v/>
      </c>
    </row>
    <row r="2385" customFormat="false" ht="15" hidden="false" customHeight="false" outlineLevel="0" collapsed="false">
      <c r="A2385" s="0" t="str">
        <f aca="false">IF(COMPRAS!K1185="","",COMPRAS!K1185)</f>
        <v/>
      </c>
      <c r="B2385" s="0" t="str">
        <f aca="false">IF(A2385="","",IF(MATCH(A2385,$A$2:$A$3201,0)=ROW()-1,1,0))</f>
        <v/>
      </c>
      <c r="C2385" s="0" t="str">
        <f aca="false">IF(B2385=1,MAX(C$1:C2384)+1,"")</f>
        <v/>
      </c>
    </row>
    <row r="2386" customFormat="false" ht="15" hidden="false" customHeight="false" outlineLevel="0" collapsed="false">
      <c r="A2386" s="0" t="str">
        <f aca="false">IF(COMPRAS!K1186="","",COMPRAS!K1186)</f>
        <v/>
      </c>
      <c r="B2386" s="0" t="str">
        <f aca="false">IF(A2386="","",IF(MATCH(A2386,$A$2:$A$3201,0)=ROW()-1,1,0))</f>
        <v/>
      </c>
      <c r="C2386" s="0" t="str">
        <f aca="false">IF(B2386=1,MAX(C$1:C2385)+1,"")</f>
        <v/>
      </c>
    </row>
    <row r="2387" customFormat="false" ht="15" hidden="false" customHeight="false" outlineLevel="0" collapsed="false">
      <c r="A2387" s="0" t="str">
        <f aca="false">IF(COMPRAS!K1187="","",COMPRAS!K1187)</f>
        <v/>
      </c>
      <c r="B2387" s="0" t="str">
        <f aca="false">IF(A2387="","",IF(MATCH(A2387,$A$2:$A$3201,0)=ROW()-1,1,0))</f>
        <v/>
      </c>
      <c r="C2387" s="0" t="str">
        <f aca="false">IF(B2387=1,MAX(C$1:C2386)+1,"")</f>
        <v/>
      </c>
    </row>
    <row r="2388" customFormat="false" ht="15" hidden="false" customHeight="false" outlineLevel="0" collapsed="false">
      <c r="A2388" s="0" t="str">
        <f aca="false">IF(COMPRAS!K1188="","",COMPRAS!K1188)</f>
        <v/>
      </c>
      <c r="B2388" s="0" t="str">
        <f aca="false">IF(A2388="","",IF(MATCH(A2388,$A$2:$A$3201,0)=ROW()-1,1,0))</f>
        <v/>
      </c>
      <c r="C2388" s="0" t="str">
        <f aca="false">IF(B2388=1,MAX(C$1:C2387)+1,"")</f>
        <v/>
      </c>
    </row>
    <row r="2389" customFormat="false" ht="15" hidden="false" customHeight="false" outlineLevel="0" collapsed="false">
      <c r="A2389" s="0" t="str">
        <f aca="false">IF(COMPRAS!K1189="","",COMPRAS!K1189)</f>
        <v/>
      </c>
      <c r="B2389" s="0" t="str">
        <f aca="false">IF(A2389="","",IF(MATCH(A2389,$A$2:$A$3201,0)=ROW()-1,1,0))</f>
        <v/>
      </c>
      <c r="C2389" s="0" t="str">
        <f aca="false">IF(B2389=1,MAX(C$1:C2388)+1,"")</f>
        <v/>
      </c>
    </row>
    <row r="2390" customFormat="false" ht="15" hidden="false" customHeight="false" outlineLevel="0" collapsed="false">
      <c r="A2390" s="0" t="str">
        <f aca="false">IF(COMPRAS!K1190="","",COMPRAS!K1190)</f>
        <v/>
      </c>
      <c r="B2390" s="0" t="str">
        <f aca="false">IF(A2390="","",IF(MATCH(A2390,$A$2:$A$3201,0)=ROW()-1,1,0))</f>
        <v/>
      </c>
      <c r="C2390" s="0" t="str">
        <f aca="false">IF(B2390=1,MAX(C$1:C2389)+1,"")</f>
        <v/>
      </c>
    </row>
    <row r="2391" customFormat="false" ht="15" hidden="false" customHeight="false" outlineLevel="0" collapsed="false">
      <c r="A2391" s="0" t="str">
        <f aca="false">IF(COMPRAS!K1191="","",COMPRAS!K1191)</f>
        <v/>
      </c>
      <c r="B2391" s="0" t="str">
        <f aca="false">IF(A2391="","",IF(MATCH(A2391,$A$2:$A$3201,0)=ROW()-1,1,0))</f>
        <v/>
      </c>
      <c r="C2391" s="0" t="str">
        <f aca="false">IF(B2391=1,MAX(C$1:C2390)+1,"")</f>
        <v/>
      </c>
    </row>
    <row r="2392" customFormat="false" ht="15" hidden="false" customHeight="false" outlineLevel="0" collapsed="false">
      <c r="A2392" s="0" t="str">
        <f aca="false">IF(COMPRAS!K1192="","",COMPRAS!K1192)</f>
        <v/>
      </c>
      <c r="B2392" s="0" t="str">
        <f aca="false">IF(A2392="","",IF(MATCH(A2392,$A$2:$A$3201,0)=ROW()-1,1,0))</f>
        <v/>
      </c>
      <c r="C2392" s="0" t="str">
        <f aca="false">IF(B2392=1,MAX(C$1:C2391)+1,"")</f>
        <v/>
      </c>
    </row>
    <row r="2393" customFormat="false" ht="15" hidden="false" customHeight="false" outlineLevel="0" collapsed="false">
      <c r="A2393" s="0" t="str">
        <f aca="false">IF(COMPRAS!K1193="","",COMPRAS!K1193)</f>
        <v/>
      </c>
      <c r="B2393" s="0" t="str">
        <f aca="false">IF(A2393="","",IF(MATCH(A2393,$A$2:$A$3201,0)=ROW()-1,1,0))</f>
        <v/>
      </c>
      <c r="C2393" s="0" t="str">
        <f aca="false">IF(B2393=1,MAX(C$1:C2392)+1,"")</f>
        <v/>
      </c>
    </row>
    <row r="2394" customFormat="false" ht="15" hidden="false" customHeight="false" outlineLevel="0" collapsed="false">
      <c r="A2394" s="0" t="str">
        <f aca="false">IF(COMPRAS!K1194="","",COMPRAS!K1194)</f>
        <v/>
      </c>
      <c r="B2394" s="0" t="str">
        <f aca="false">IF(A2394="","",IF(MATCH(A2394,$A$2:$A$3201,0)=ROW()-1,1,0))</f>
        <v/>
      </c>
      <c r="C2394" s="0" t="str">
        <f aca="false">IF(B2394=1,MAX(C$1:C2393)+1,"")</f>
        <v/>
      </c>
    </row>
    <row r="2395" customFormat="false" ht="15" hidden="false" customHeight="false" outlineLevel="0" collapsed="false">
      <c r="A2395" s="0" t="str">
        <f aca="false">IF(COMPRAS!K1195="","",COMPRAS!K1195)</f>
        <v/>
      </c>
      <c r="B2395" s="0" t="str">
        <f aca="false">IF(A2395="","",IF(MATCH(A2395,$A$2:$A$3201,0)=ROW()-1,1,0))</f>
        <v/>
      </c>
      <c r="C2395" s="0" t="str">
        <f aca="false">IF(B2395=1,MAX(C$1:C2394)+1,"")</f>
        <v/>
      </c>
    </row>
    <row r="2396" customFormat="false" ht="15" hidden="false" customHeight="false" outlineLevel="0" collapsed="false">
      <c r="A2396" s="0" t="str">
        <f aca="false">IF(COMPRAS!K1196="","",COMPRAS!K1196)</f>
        <v/>
      </c>
      <c r="B2396" s="0" t="str">
        <f aca="false">IF(A2396="","",IF(MATCH(A2396,$A$2:$A$3201,0)=ROW()-1,1,0))</f>
        <v/>
      </c>
      <c r="C2396" s="0" t="str">
        <f aca="false">IF(B2396=1,MAX(C$1:C2395)+1,"")</f>
        <v/>
      </c>
    </row>
    <row r="2397" customFormat="false" ht="15" hidden="false" customHeight="false" outlineLevel="0" collapsed="false">
      <c r="A2397" s="0" t="str">
        <f aca="false">IF(COMPRAS!K1197="","",COMPRAS!K1197)</f>
        <v/>
      </c>
      <c r="B2397" s="0" t="str">
        <f aca="false">IF(A2397="","",IF(MATCH(A2397,$A$2:$A$3201,0)=ROW()-1,1,0))</f>
        <v/>
      </c>
      <c r="C2397" s="0" t="str">
        <f aca="false">IF(B2397=1,MAX(C$1:C2396)+1,"")</f>
        <v/>
      </c>
    </row>
    <row r="2398" customFormat="false" ht="15" hidden="false" customHeight="false" outlineLevel="0" collapsed="false">
      <c r="A2398" s="0" t="str">
        <f aca="false">IF(COMPRAS!K1198="","",COMPRAS!K1198)</f>
        <v/>
      </c>
      <c r="B2398" s="0" t="str">
        <f aca="false">IF(A2398="","",IF(MATCH(A2398,$A$2:$A$3201,0)=ROW()-1,1,0))</f>
        <v/>
      </c>
      <c r="C2398" s="0" t="str">
        <f aca="false">IF(B2398=1,MAX(C$1:C2397)+1,"")</f>
        <v/>
      </c>
    </row>
    <row r="2399" customFormat="false" ht="15" hidden="false" customHeight="false" outlineLevel="0" collapsed="false">
      <c r="A2399" s="0" t="str">
        <f aca="false">IF(COMPRAS!K1199="","",COMPRAS!K1199)</f>
        <v/>
      </c>
      <c r="B2399" s="0" t="str">
        <f aca="false">IF(A2399="","",IF(MATCH(A2399,$A$2:$A$3201,0)=ROW()-1,1,0))</f>
        <v/>
      </c>
      <c r="C2399" s="0" t="str">
        <f aca="false">IF(B2399=1,MAX(C$1:C2398)+1,"")</f>
        <v/>
      </c>
    </row>
    <row r="2400" customFormat="false" ht="15" hidden="false" customHeight="false" outlineLevel="0" collapsed="false">
      <c r="A2400" s="0" t="str">
        <f aca="false">IF(COMPRAS!K1200="","",COMPRAS!K1200)</f>
        <v/>
      </c>
      <c r="B2400" s="0" t="str">
        <f aca="false">IF(A2400="","",IF(MATCH(A2400,$A$2:$A$3201,0)=ROW()-1,1,0))</f>
        <v/>
      </c>
      <c r="C2400" s="0" t="str">
        <f aca="false">IF(B2400=1,MAX(C$1:C2399)+1,"")</f>
        <v/>
      </c>
    </row>
    <row r="2401" customFormat="false" ht="15" hidden="false" customHeight="false" outlineLevel="0" collapsed="false">
      <c r="A2401" s="0" t="str">
        <f aca="false">IF(COMPRAS!K1201="","",COMPRAS!K1201)</f>
        <v/>
      </c>
      <c r="B2401" s="0" t="str">
        <f aca="false">IF(A2401="","",IF(MATCH(A2401,$A$2:$A$3201,0)=ROW()-1,1,0))</f>
        <v/>
      </c>
      <c r="C2401" s="0" t="str">
        <f aca="false">IF(B2401=1,MAX(C$1:C2400)+1,"")</f>
        <v/>
      </c>
    </row>
    <row r="2402" customFormat="false" ht="15" hidden="false" customHeight="false" outlineLevel="0" collapsed="false">
      <c r="A2402" s="0" t="str">
        <f aca="false">IF(COMPRAS!K1202="","",COMPRAS!K1202)</f>
        <v/>
      </c>
      <c r="B2402" s="0" t="str">
        <f aca="false">IF(A2402="","",IF(MATCH(A2402,$A$2:$A$3201,0)=ROW()-1,1,0))</f>
        <v/>
      </c>
      <c r="C2402" s="0" t="str">
        <f aca="false">IF(B2402=1,MAX(C$1:C2401)+1,"")</f>
        <v/>
      </c>
    </row>
    <row r="2403" customFormat="false" ht="15" hidden="false" customHeight="false" outlineLevel="0" collapsed="false">
      <c r="A2403" s="0" t="str">
        <f aca="false">IF(COMPRAS!K1203="","",COMPRAS!K1203)</f>
        <v/>
      </c>
      <c r="B2403" s="0" t="str">
        <f aca="false">IF(A2403="","",IF(MATCH(A2403,$A$2:$A$3201,0)=ROW()-1,1,0))</f>
        <v/>
      </c>
      <c r="C2403" s="0" t="str">
        <f aca="false">IF(B2403=1,MAX(C$1:C2402)+1,"")</f>
        <v/>
      </c>
    </row>
    <row r="2404" customFormat="false" ht="15" hidden="false" customHeight="false" outlineLevel="0" collapsed="false">
      <c r="A2404" s="0" t="str">
        <f aca="false">IF(COMPRAS!K1204="","",COMPRAS!K1204)</f>
        <v/>
      </c>
      <c r="B2404" s="0" t="str">
        <f aca="false">IF(A2404="","",IF(MATCH(A2404,$A$2:$A$3201,0)=ROW()-1,1,0))</f>
        <v/>
      </c>
      <c r="C2404" s="0" t="str">
        <f aca="false">IF(B2404=1,MAX(C$1:C2403)+1,"")</f>
        <v/>
      </c>
    </row>
    <row r="2405" customFormat="false" ht="15" hidden="false" customHeight="false" outlineLevel="0" collapsed="false">
      <c r="A2405" s="0" t="str">
        <f aca="false">IF(COMPRAS!K1205="","",COMPRAS!K1205)</f>
        <v/>
      </c>
      <c r="B2405" s="0" t="str">
        <f aca="false">IF(A2405="","",IF(MATCH(A2405,$A$2:$A$3201,0)=ROW()-1,1,0))</f>
        <v/>
      </c>
      <c r="C2405" s="0" t="str">
        <f aca="false">IF(B2405=1,MAX(C$1:C2404)+1,"")</f>
        <v/>
      </c>
    </row>
    <row r="2406" customFormat="false" ht="15" hidden="false" customHeight="false" outlineLevel="0" collapsed="false">
      <c r="A2406" s="0" t="str">
        <f aca="false">IF(COMPRAS!K1206="","",COMPRAS!K1206)</f>
        <v/>
      </c>
      <c r="B2406" s="0" t="str">
        <f aca="false">IF(A2406="","",IF(MATCH(A2406,$A$2:$A$3201,0)=ROW()-1,1,0))</f>
        <v/>
      </c>
      <c r="C2406" s="0" t="str">
        <f aca="false">IF(B2406=1,MAX(C$1:C2405)+1,"")</f>
        <v/>
      </c>
    </row>
    <row r="2407" customFormat="false" ht="15" hidden="false" customHeight="false" outlineLevel="0" collapsed="false">
      <c r="A2407" s="0" t="str">
        <f aca="false">IF(COMPRAS!K1207="","",COMPRAS!K1207)</f>
        <v/>
      </c>
      <c r="B2407" s="0" t="str">
        <f aca="false">IF(A2407="","",IF(MATCH(A2407,$A$2:$A$3201,0)=ROW()-1,1,0))</f>
        <v/>
      </c>
      <c r="C2407" s="0" t="str">
        <f aca="false">IF(B2407=1,MAX(C$1:C2406)+1,"")</f>
        <v/>
      </c>
    </row>
    <row r="2408" customFormat="false" ht="15" hidden="false" customHeight="false" outlineLevel="0" collapsed="false">
      <c r="A2408" s="0" t="str">
        <f aca="false">IF(COMPRAS!K1208="","",COMPRAS!K1208)</f>
        <v/>
      </c>
      <c r="B2408" s="0" t="str">
        <f aca="false">IF(A2408="","",IF(MATCH(A2408,$A$2:$A$3201,0)=ROW()-1,1,0))</f>
        <v/>
      </c>
      <c r="C2408" s="0" t="str">
        <f aca="false">IF(B2408=1,MAX(C$1:C2407)+1,"")</f>
        <v/>
      </c>
    </row>
    <row r="2409" customFormat="false" ht="15" hidden="false" customHeight="false" outlineLevel="0" collapsed="false">
      <c r="A2409" s="0" t="str">
        <f aca="false">IF(COMPRAS!K1209="","",COMPRAS!K1209)</f>
        <v/>
      </c>
      <c r="B2409" s="0" t="str">
        <f aca="false">IF(A2409="","",IF(MATCH(A2409,$A$2:$A$3201,0)=ROW()-1,1,0))</f>
        <v/>
      </c>
      <c r="C2409" s="0" t="str">
        <f aca="false">IF(B2409=1,MAX(C$1:C2408)+1,"")</f>
        <v/>
      </c>
    </row>
    <row r="2410" customFormat="false" ht="15" hidden="false" customHeight="false" outlineLevel="0" collapsed="false">
      <c r="A2410" s="0" t="str">
        <f aca="false">IF(COMPRAS!K1210="","",COMPRAS!K1210)</f>
        <v/>
      </c>
      <c r="B2410" s="0" t="str">
        <f aca="false">IF(A2410="","",IF(MATCH(A2410,$A$2:$A$3201,0)=ROW()-1,1,0))</f>
        <v/>
      </c>
      <c r="C2410" s="0" t="str">
        <f aca="false">IF(B2410=1,MAX(C$1:C2409)+1,"")</f>
        <v/>
      </c>
    </row>
    <row r="2411" customFormat="false" ht="15" hidden="false" customHeight="false" outlineLevel="0" collapsed="false">
      <c r="A2411" s="0" t="str">
        <f aca="false">IF(COMPRAS!K1211="","",COMPRAS!K1211)</f>
        <v/>
      </c>
      <c r="B2411" s="0" t="str">
        <f aca="false">IF(A2411="","",IF(MATCH(A2411,$A$2:$A$3201,0)=ROW()-1,1,0))</f>
        <v/>
      </c>
      <c r="C2411" s="0" t="str">
        <f aca="false">IF(B2411=1,MAX(C$1:C2410)+1,"")</f>
        <v/>
      </c>
    </row>
    <row r="2412" customFormat="false" ht="15" hidden="false" customHeight="false" outlineLevel="0" collapsed="false">
      <c r="A2412" s="0" t="str">
        <f aca="false">IF(COMPRAS!K1212="","",COMPRAS!K1212)</f>
        <v/>
      </c>
      <c r="B2412" s="0" t="str">
        <f aca="false">IF(A2412="","",IF(MATCH(A2412,$A$2:$A$3201,0)=ROW()-1,1,0))</f>
        <v/>
      </c>
      <c r="C2412" s="0" t="str">
        <f aca="false">IF(B2412=1,MAX(C$1:C2411)+1,"")</f>
        <v/>
      </c>
    </row>
    <row r="2413" customFormat="false" ht="15" hidden="false" customHeight="false" outlineLevel="0" collapsed="false">
      <c r="A2413" s="0" t="str">
        <f aca="false">IF(COMPRAS!K1213="","",COMPRAS!K1213)</f>
        <v/>
      </c>
      <c r="B2413" s="0" t="str">
        <f aca="false">IF(A2413="","",IF(MATCH(A2413,$A$2:$A$3201,0)=ROW()-1,1,0))</f>
        <v/>
      </c>
      <c r="C2413" s="0" t="str">
        <f aca="false">IF(B2413=1,MAX(C$1:C2412)+1,"")</f>
        <v/>
      </c>
    </row>
    <row r="2414" customFormat="false" ht="15" hidden="false" customHeight="false" outlineLevel="0" collapsed="false">
      <c r="A2414" s="0" t="str">
        <f aca="false">IF(COMPRAS!K1214="","",COMPRAS!K1214)</f>
        <v/>
      </c>
      <c r="B2414" s="0" t="str">
        <f aca="false">IF(A2414="","",IF(MATCH(A2414,$A$2:$A$3201,0)=ROW()-1,1,0))</f>
        <v/>
      </c>
      <c r="C2414" s="0" t="str">
        <f aca="false">IF(B2414=1,MAX(C$1:C2413)+1,"")</f>
        <v/>
      </c>
    </row>
    <row r="2415" customFormat="false" ht="15" hidden="false" customHeight="false" outlineLevel="0" collapsed="false">
      <c r="A2415" s="0" t="str">
        <f aca="false">IF(COMPRAS!K1215="","",COMPRAS!K1215)</f>
        <v/>
      </c>
      <c r="B2415" s="0" t="str">
        <f aca="false">IF(A2415="","",IF(MATCH(A2415,$A$2:$A$3201,0)=ROW()-1,1,0))</f>
        <v/>
      </c>
      <c r="C2415" s="0" t="str">
        <f aca="false">IF(B2415=1,MAX(C$1:C2414)+1,"")</f>
        <v/>
      </c>
    </row>
    <row r="2416" customFormat="false" ht="15" hidden="false" customHeight="false" outlineLevel="0" collapsed="false">
      <c r="A2416" s="0" t="str">
        <f aca="false">IF(COMPRAS!K1216="","",COMPRAS!K1216)</f>
        <v/>
      </c>
      <c r="B2416" s="0" t="str">
        <f aca="false">IF(A2416="","",IF(MATCH(A2416,$A$2:$A$3201,0)=ROW()-1,1,0))</f>
        <v/>
      </c>
      <c r="C2416" s="0" t="str">
        <f aca="false">IF(B2416=1,MAX(C$1:C2415)+1,"")</f>
        <v/>
      </c>
    </row>
    <row r="2417" customFormat="false" ht="15" hidden="false" customHeight="false" outlineLevel="0" collapsed="false">
      <c r="A2417" s="0" t="str">
        <f aca="false">IF(COMPRAS!K1217="","",COMPRAS!K1217)</f>
        <v/>
      </c>
      <c r="B2417" s="0" t="str">
        <f aca="false">IF(A2417="","",IF(MATCH(A2417,$A$2:$A$3201,0)=ROW()-1,1,0))</f>
        <v/>
      </c>
      <c r="C2417" s="0" t="str">
        <f aca="false">IF(B2417=1,MAX(C$1:C2416)+1,"")</f>
        <v/>
      </c>
    </row>
    <row r="2418" customFormat="false" ht="15" hidden="false" customHeight="false" outlineLevel="0" collapsed="false">
      <c r="A2418" s="0" t="str">
        <f aca="false">IF(COMPRAS!K1218="","",COMPRAS!K1218)</f>
        <v/>
      </c>
      <c r="B2418" s="0" t="str">
        <f aca="false">IF(A2418="","",IF(MATCH(A2418,$A$2:$A$3201,0)=ROW()-1,1,0))</f>
        <v/>
      </c>
      <c r="C2418" s="0" t="str">
        <f aca="false">IF(B2418=1,MAX(C$1:C2417)+1,"")</f>
        <v/>
      </c>
    </row>
    <row r="2419" customFormat="false" ht="15" hidden="false" customHeight="false" outlineLevel="0" collapsed="false">
      <c r="A2419" s="0" t="str">
        <f aca="false">IF(COMPRAS!K1219="","",COMPRAS!K1219)</f>
        <v/>
      </c>
      <c r="B2419" s="0" t="str">
        <f aca="false">IF(A2419="","",IF(MATCH(A2419,$A$2:$A$3201,0)=ROW()-1,1,0))</f>
        <v/>
      </c>
      <c r="C2419" s="0" t="str">
        <f aca="false">IF(B2419=1,MAX(C$1:C2418)+1,"")</f>
        <v/>
      </c>
    </row>
    <row r="2420" customFormat="false" ht="15" hidden="false" customHeight="false" outlineLevel="0" collapsed="false">
      <c r="A2420" s="0" t="str">
        <f aca="false">IF(COMPRAS!K1220="","",COMPRAS!K1220)</f>
        <v/>
      </c>
      <c r="B2420" s="0" t="str">
        <f aca="false">IF(A2420="","",IF(MATCH(A2420,$A$2:$A$3201,0)=ROW()-1,1,0))</f>
        <v/>
      </c>
      <c r="C2420" s="0" t="str">
        <f aca="false">IF(B2420=1,MAX(C$1:C2419)+1,"")</f>
        <v/>
      </c>
    </row>
    <row r="2421" customFormat="false" ht="15" hidden="false" customHeight="false" outlineLevel="0" collapsed="false">
      <c r="A2421" s="0" t="str">
        <f aca="false">IF(COMPRAS!K1221="","",COMPRAS!K1221)</f>
        <v/>
      </c>
      <c r="B2421" s="0" t="str">
        <f aca="false">IF(A2421="","",IF(MATCH(A2421,$A$2:$A$3201,0)=ROW()-1,1,0))</f>
        <v/>
      </c>
      <c r="C2421" s="0" t="str">
        <f aca="false">IF(B2421=1,MAX(C$1:C2420)+1,"")</f>
        <v/>
      </c>
    </row>
    <row r="2422" customFormat="false" ht="15" hidden="false" customHeight="false" outlineLevel="0" collapsed="false">
      <c r="A2422" s="0" t="str">
        <f aca="false">IF(COMPRAS!K1222="","",COMPRAS!K1222)</f>
        <v/>
      </c>
      <c r="B2422" s="0" t="str">
        <f aca="false">IF(A2422="","",IF(MATCH(A2422,$A$2:$A$3201,0)=ROW()-1,1,0))</f>
        <v/>
      </c>
      <c r="C2422" s="0" t="str">
        <f aca="false">IF(B2422=1,MAX(C$1:C2421)+1,"")</f>
        <v/>
      </c>
    </row>
    <row r="2423" customFormat="false" ht="15" hidden="false" customHeight="false" outlineLevel="0" collapsed="false">
      <c r="A2423" s="0" t="str">
        <f aca="false">IF(COMPRAS!K1223="","",COMPRAS!K1223)</f>
        <v/>
      </c>
      <c r="B2423" s="0" t="str">
        <f aca="false">IF(A2423="","",IF(MATCH(A2423,$A$2:$A$3201,0)=ROW()-1,1,0))</f>
        <v/>
      </c>
      <c r="C2423" s="0" t="str">
        <f aca="false">IF(B2423=1,MAX(C$1:C2422)+1,"")</f>
        <v/>
      </c>
    </row>
    <row r="2424" customFormat="false" ht="15" hidden="false" customHeight="false" outlineLevel="0" collapsed="false">
      <c r="A2424" s="0" t="str">
        <f aca="false">IF(COMPRAS!K1224="","",COMPRAS!K1224)</f>
        <v/>
      </c>
      <c r="B2424" s="0" t="str">
        <f aca="false">IF(A2424="","",IF(MATCH(A2424,$A$2:$A$3201,0)=ROW()-1,1,0))</f>
        <v/>
      </c>
      <c r="C2424" s="0" t="str">
        <f aca="false">IF(B2424=1,MAX(C$1:C2423)+1,"")</f>
        <v/>
      </c>
    </row>
    <row r="2425" customFormat="false" ht="15" hidden="false" customHeight="false" outlineLevel="0" collapsed="false">
      <c r="A2425" s="0" t="str">
        <f aca="false">IF(COMPRAS!K1225="","",COMPRAS!K1225)</f>
        <v/>
      </c>
      <c r="B2425" s="0" t="str">
        <f aca="false">IF(A2425="","",IF(MATCH(A2425,$A$2:$A$3201,0)=ROW()-1,1,0))</f>
        <v/>
      </c>
      <c r="C2425" s="0" t="str">
        <f aca="false">IF(B2425=1,MAX(C$1:C2424)+1,"")</f>
        <v/>
      </c>
    </row>
    <row r="2426" customFormat="false" ht="15" hidden="false" customHeight="false" outlineLevel="0" collapsed="false">
      <c r="A2426" s="0" t="str">
        <f aca="false">IF(COMPRAS!K1226="","",COMPRAS!K1226)</f>
        <v/>
      </c>
      <c r="B2426" s="0" t="str">
        <f aca="false">IF(A2426="","",IF(MATCH(A2426,$A$2:$A$3201,0)=ROW()-1,1,0))</f>
        <v/>
      </c>
      <c r="C2426" s="0" t="str">
        <f aca="false">IF(B2426=1,MAX(C$1:C2425)+1,"")</f>
        <v/>
      </c>
    </row>
    <row r="2427" customFormat="false" ht="15" hidden="false" customHeight="false" outlineLevel="0" collapsed="false">
      <c r="A2427" s="0" t="str">
        <f aca="false">IF(COMPRAS!K1227="","",COMPRAS!K1227)</f>
        <v/>
      </c>
      <c r="B2427" s="0" t="str">
        <f aca="false">IF(A2427="","",IF(MATCH(A2427,$A$2:$A$3201,0)=ROW()-1,1,0))</f>
        <v/>
      </c>
      <c r="C2427" s="0" t="str">
        <f aca="false">IF(B2427=1,MAX(C$1:C2426)+1,"")</f>
        <v/>
      </c>
    </row>
    <row r="2428" customFormat="false" ht="15" hidden="false" customHeight="false" outlineLevel="0" collapsed="false">
      <c r="A2428" s="0" t="str">
        <f aca="false">IF(COMPRAS!K1228="","",COMPRAS!K1228)</f>
        <v/>
      </c>
      <c r="B2428" s="0" t="str">
        <f aca="false">IF(A2428="","",IF(MATCH(A2428,$A$2:$A$3201,0)=ROW()-1,1,0))</f>
        <v/>
      </c>
      <c r="C2428" s="0" t="str">
        <f aca="false">IF(B2428=1,MAX(C$1:C2427)+1,"")</f>
        <v/>
      </c>
    </row>
    <row r="2429" customFormat="false" ht="15" hidden="false" customHeight="false" outlineLevel="0" collapsed="false">
      <c r="A2429" s="0" t="str">
        <f aca="false">IF(COMPRAS!K1229="","",COMPRAS!K1229)</f>
        <v/>
      </c>
      <c r="B2429" s="0" t="str">
        <f aca="false">IF(A2429="","",IF(MATCH(A2429,$A$2:$A$3201,0)=ROW()-1,1,0))</f>
        <v/>
      </c>
      <c r="C2429" s="0" t="str">
        <f aca="false">IF(B2429=1,MAX(C$1:C2428)+1,"")</f>
        <v/>
      </c>
    </row>
    <row r="2430" customFormat="false" ht="15" hidden="false" customHeight="false" outlineLevel="0" collapsed="false">
      <c r="A2430" s="0" t="str">
        <f aca="false">IF(COMPRAS!K1230="","",COMPRAS!K1230)</f>
        <v/>
      </c>
      <c r="B2430" s="0" t="str">
        <f aca="false">IF(A2430="","",IF(MATCH(A2430,$A$2:$A$3201,0)=ROW()-1,1,0))</f>
        <v/>
      </c>
      <c r="C2430" s="0" t="str">
        <f aca="false">IF(B2430=1,MAX(C$1:C2429)+1,"")</f>
        <v/>
      </c>
    </row>
    <row r="2431" customFormat="false" ht="15" hidden="false" customHeight="false" outlineLevel="0" collapsed="false">
      <c r="A2431" s="0" t="str">
        <f aca="false">IF(COMPRAS!K1231="","",COMPRAS!K1231)</f>
        <v/>
      </c>
      <c r="B2431" s="0" t="str">
        <f aca="false">IF(A2431="","",IF(MATCH(A2431,$A$2:$A$3201,0)=ROW()-1,1,0))</f>
        <v/>
      </c>
      <c r="C2431" s="0" t="str">
        <f aca="false">IF(B2431=1,MAX(C$1:C2430)+1,"")</f>
        <v/>
      </c>
    </row>
    <row r="2432" customFormat="false" ht="15" hidden="false" customHeight="false" outlineLevel="0" collapsed="false">
      <c r="A2432" s="0" t="str">
        <f aca="false">IF(COMPRAS!K1232="","",COMPRAS!K1232)</f>
        <v/>
      </c>
      <c r="B2432" s="0" t="str">
        <f aca="false">IF(A2432="","",IF(MATCH(A2432,$A$2:$A$3201,0)=ROW()-1,1,0))</f>
        <v/>
      </c>
      <c r="C2432" s="0" t="str">
        <f aca="false">IF(B2432=1,MAX(C$1:C2431)+1,"")</f>
        <v/>
      </c>
    </row>
    <row r="2433" customFormat="false" ht="15" hidden="false" customHeight="false" outlineLevel="0" collapsed="false">
      <c r="A2433" s="0" t="str">
        <f aca="false">IF(COMPRAS!K1233="","",COMPRAS!K1233)</f>
        <v/>
      </c>
      <c r="B2433" s="0" t="str">
        <f aca="false">IF(A2433="","",IF(MATCH(A2433,$A$2:$A$3201,0)=ROW()-1,1,0))</f>
        <v/>
      </c>
      <c r="C2433" s="0" t="str">
        <f aca="false">IF(B2433=1,MAX(C$1:C2432)+1,"")</f>
        <v/>
      </c>
    </row>
    <row r="2434" customFormat="false" ht="15" hidden="false" customHeight="false" outlineLevel="0" collapsed="false">
      <c r="A2434" s="0" t="str">
        <f aca="false">IF(COMPRAS!K1234="","",COMPRAS!K1234)</f>
        <v/>
      </c>
      <c r="B2434" s="0" t="str">
        <f aca="false">IF(A2434="","",IF(MATCH(A2434,$A$2:$A$3201,0)=ROW()-1,1,0))</f>
        <v/>
      </c>
      <c r="C2434" s="0" t="str">
        <f aca="false">IF(B2434=1,MAX(C$1:C2433)+1,"")</f>
        <v/>
      </c>
    </row>
    <row r="2435" customFormat="false" ht="15" hidden="false" customHeight="false" outlineLevel="0" collapsed="false">
      <c r="A2435" s="0" t="str">
        <f aca="false">IF(COMPRAS!K1235="","",COMPRAS!K1235)</f>
        <v/>
      </c>
      <c r="B2435" s="0" t="str">
        <f aca="false">IF(A2435="","",IF(MATCH(A2435,$A$2:$A$3201,0)=ROW()-1,1,0))</f>
        <v/>
      </c>
      <c r="C2435" s="0" t="str">
        <f aca="false">IF(B2435=1,MAX(C$1:C2434)+1,"")</f>
        <v/>
      </c>
    </row>
    <row r="2436" customFormat="false" ht="15" hidden="false" customHeight="false" outlineLevel="0" collapsed="false">
      <c r="A2436" s="0" t="str">
        <f aca="false">IF(COMPRAS!K1236="","",COMPRAS!K1236)</f>
        <v/>
      </c>
      <c r="B2436" s="0" t="str">
        <f aca="false">IF(A2436="","",IF(MATCH(A2436,$A$2:$A$3201,0)=ROW()-1,1,0))</f>
        <v/>
      </c>
      <c r="C2436" s="0" t="str">
        <f aca="false">IF(B2436=1,MAX(C$1:C2435)+1,"")</f>
        <v/>
      </c>
    </row>
    <row r="2437" customFormat="false" ht="15" hidden="false" customHeight="false" outlineLevel="0" collapsed="false">
      <c r="A2437" s="0" t="str">
        <f aca="false">IF(COMPRAS!K1237="","",COMPRAS!K1237)</f>
        <v/>
      </c>
      <c r="B2437" s="0" t="str">
        <f aca="false">IF(A2437="","",IF(MATCH(A2437,$A$2:$A$3201,0)=ROW()-1,1,0))</f>
        <v/>
      </c>
      <c r="C2437" s="0" t="str">
        <f aca="false">IF(B2437=1,MAX(C$1:C2436)+1,"")</f>
        <v/>
      </c>
    </row>
    <row r="2438" customFormat="false" ht="15" hidden="false" customHeight="false" outlineLevel="0" collapsed="false">
      <c r="A2438" s="0" t="str">
        <f aca="false">IF(COMPRAS!K1238="","",COMPRAS!K1238)</f>
        <v/>
      </c>
      <c r="B2438" s="0" t="str">
        <f aca="false">IF(A2438="","",IF(MATCH(A2438,$A$2:$A$3201,0)=ROW()-1,1,0))</f>
        <v/>
      </c>
      <c r="C2438" s="0" t="str">
        <f aca="false">IF(B2438=1,MAX(C$1:C2437)+1,"")</f>
        <v/>
      </c>
    </row>
    <row r="2439" customFormat="false" ht="15" hidden="false" customHeight="false" outlineLevel="0" collapsed="false">
      <c r="A2439" s="0" t="str">
        <f aca="false">IF(COMPRAS!K1239="","",COMPRAS!K1239)</f>
        <v/>
      </c>
      <c r="B2439" s="0" t="str">
        <f aca="false">IF(A2439="","",IF(MATCH(A2439,$A$2:$A$3201,0)=ROW()-1,1,0))</f>
        <v/>
      </c>
      <c r="C2439" s="0" t="str">
        <f aca="false">IF(B2439=1,MAX(C$1:C2438)+1,"")</f>
        <v/>
      </c>
    </row>
    <row r="2440" customFormat="false" ht="15" hidden="false" customHeight="false" outlineLevel="0" collapsed="false">
      <c r="A2440" s="0" t="str">
        <f aca="false">IF(COMPRAS!K1240="","",COMPRAS!K1240)</f>
        <v/>
      </c>
      <c r="B2440" s="0" t="str">
        <f aca="false">IF(A2440="","",IF(MATCH(A2440,$A$2:$A$3201,0)=ROW()-1,1,0))</f>
        <v/>
      </c>
      <c r="C2440" s="0" t="str">
        <f aca="false">IF(B2440=1,MAX(C$1:C2439)+1,"")</f>
        <v/>
      </c>
    </row>
    <row r="2441" customFormat="false" ht="15" hidden="false" customHeight="false" outlineLevel="0" collapsed="false">
      <c r="A2441" s="0" t="str">
        <f aca="false">IF(COMPRAS!K1241="","",COMPRAS!K1241)</f>
        <v/>
      </c>
      <c r="B2441" s="0" t="str">
        <f aca="false">IF(A2441="","",IF(MATCH(A2441,$A$2:$A$3201,0)=ROW()-1,1,0))</f>
        <v/>
      </c>
      <c r="C2441" s="0" t="str">
        <f aca="false">IF(B2441=1,MAX(C$1:C2440)+1,"")</f>
        <v/>
      </c>
    </row>
    <row r="2442" customFormat="false" ht="15" hidden="false" customHeight="false" outlineLevel="0" collapsed="false">
      <c r="A2442" s="0" t="str">
        <f aca="false">IF(COMPRAS!K1242="","",COMPRAS!K1242)</f>
        <v/>
      </c>
      <c r="B2442" s="0" t="str">
        <f aca="false">IF(A2442="","",IF(MATCH(A2442,$A$2:$A$3201,0)=ROW()-1,1,0))</f>
        <v/>
      </c>
      <c r="C2442" s="0" t="str">
        <f aca="false">IF(B2442=1,MAX(C$1:C2441)+1,"")</f>
        <v/>
      </c>
    </row>
    <row r="2443" customFormat="false" ht="15" hidden="false" customHeight="false" outlineLevel="0" collapsed="false">
      <c r="A2443" s="0" t="str">
        <f aca="false">IF(COMPRAS!K1243="","",COMPRAS!K1243)</f>
        <v/>
      </c>
      <c r="B2443" s="0" t="str">
        <f aca="false">IF(A2443="","",IF(MATCH(A2443,$A$2:$A$3201,0)=ROW()-1,1,0))</f>
        <v/>
      </c>
      <c r="C2443" s="0" t="str">
        <f aca="false">IF(B2443=1,MAX(C$1:C2442)+1,"")</f>
        <v/>
      </c>
    </row>
    <row r="2444" customFormat="false" ht="15" hidden="false" customHeight="false" outlineLevel="0" collapsed="false">
      <c r="A2444" s="0" t="str">
        <f aca="false">IF(COMPRAS!K1244="","",COMPRAS!K1244)</f>
        <v/>
      </c>
      <c r="B2444" s="0" t="str">
        <f aca="false">IF(A2444="","",IF(MATCH(A2444,$A$2:$A$3201,0)=ROW()-1,1,0))</f>
        <v/>
      </c>
      <c r="C2444" s="0" t="str">
        <f aca="false">IF(B2444=1,MAX(C$1:C2443)+1,"")</f>
        <v/>
      </c>
    </row>
    <row r="2445" customFormat="false" ht="15" hidden="false" customHeight="false" outlineLevel="0" collapsed="false">
      <c r="A2445" s="0" t="str">
        <f aca="false">IF(COMPRAS!K1245="","",COMPRAS!K1245)</f>
        <v/>
      </c>
      <c r="B2445" s="0" t="str">
        <f aca="false">IF(A2445="","",IF(MATCH(A2445,$A$2:$A$3201,0)=ROW()-1,1,0))</f>
        <v/>
      </c>
      <c r="C2445" s="0" t="str">
        <f aca="false">IF(B2445=1,MAX(C$1:C2444)+1,"")</f>
        <v/>
      </c>
    </row>
    <row r="2446" customFormat="false" ht="15" hidden="false" customHeight="false" outlineLevel="0" collapsed="false">
      <c r="A2446" s="0" t="str">
        <f aca="false">IF(COMPRAS!K1246="","",COMPRAS!K1246)</f>
        <v/>
      </c>
      <c r="B2446" s="0" t="str">
        <f aca="false">IF(A2446="","",IF(MATCH(A2446,$A$2:$A$3201,0)=ROW()-1,1,0))</f>
        <v/>
      </c>
      <c r="C2446" s="0" t="str">
        <f aca="false">IF(B2446=1,MAX(C$1:C2445)+1,"")</f>
        <v/>
      </c>
    </row>
    <row r="2447" customFormat="false" ht="15" hidden="false" customHeight="false" outlineLevel="0" collapsed="false">
      <c r="A2447" s="0" t="str">
        <f aca="false">IF(COMPRAS!K1247="","",COMPRAS!K1247)</f>
        <v/>
      </c>
      <c r="B2447" s="0" t="str">
        <f aca="false">IF(A2447="","",IF(MATCH(A2447,$A$2:$A$3201,0)=ROW()-1,1,0))</f>
        <v/>
      </c>
      <c r="C2447" s="0" t="str">
        <f aca="false">IF(B2447=1,MAX(C$1:C2446)+1,"")</f>
        <v/>
      </c>
    </row>
    <row r="2448" customFormat="false" ht="15" hidden="false" customHeight="false" outlineLevel="0" collapsed="false">
      <c r="A2448" s="0" t="str">
        <f aca="false">IF(COMPRAS!K1248="","",COMPRAS!K1248)</f>
        <v/>
      </c>
      <c r="B2448" s="0" t="str">
        <f aca="false">IF(A2448="","",IF(MATCH(A2448,$A$2:$A$3201,0)=ROW()-1,1,0))</f>
        <v/>
      </c>
      <c r="C2448" s="0" t="str">
        <f aca="false">IF(B2448=1,MAX(C$1:C2447)+1,"")</f>
        <v/>
      </c>
    </row>
    <row r="2449" customFormat="false" ht="15" hidden="false" customHeight="false" outlineLevel="0" collapsed="false">
      <c r="A2449" s="0" t="str">
        <f aca="false">IF(COMPRAS!K1249="","",COMPRAS!K1249)</f>
        <v/>
      </c>
      <c r="B2449" s="0" t="str">
        <f aca="false">IF(A2449="","",IF(MATCH(A2449,$A$2:$A$3201,0)=ROW()-1,1,0))</f>
        <v/>
      </c>
      <c r="C2449" s="0" t="str">
        <f aca="false">IF(B2449=1,MAX(C$1:C2448)+1,"")</f>
        <v/>
      </c>
    </row>
    <row r="2450" customFormat="false" ht="15" hidden="false" customHeight="false" outlineLevel="0" collapsed="false">
      <c r="A2450" s="0" t="str">
        <f aca="false">IF(COMPRAS!K1250="","",COMPRAS!K1250)</f>
        <v/>
      </c>
      <c r="B2450" s="0" t="str">
        <f aca="false">IF(A2450="","",IF(MATCH(A2450,$A$2:$A$3201,0)=ROW()-1,1,0))</f>
        <v/>
      </c>
      <c r="C2450" s="0" t="str">
        <f aca="false">IF(B2450=1,MAX(C$1:C2449)+1,"")</f>
        <v/>
      </c>
    </row>
    <row r="2451" customFormat="false" ht="15" hidden="false" customHeight="false" outlineLevel="0" collapsed="false">
      <c r="A2451" s="0" t="str">
        <f aca="false">IF(COMPRAS!K1251="","",COMPRAS!K1251)</f>
        <v/>
      </c>
      <c r="B2451" s="0" t="str">
        <f aca="false">IF(A2451="","",IF(MATCH(A2451,$A$2:$A$3201,0)=ROW()-1,1,0))</f>
        <v/>
      </c>
      <c r="C2451" s="0" t="str">
        <f aca="false">IF(B2451=1,MAX(C$1:C2450)+1,"")</f>
        <v/>
      </c>
    </row>
    <row r="2452" customFormat="false" ht="15" hidden="false" customHeight="false" outlineLevel="0" collapsed="false">
      <c r="A2452" s="0" t="str">
        <f aca="false">IF(COMPRAS!K1252="","",COMPRAS!K1252)</f>
        <v/>
      </c>
      <c r="B2452" s="0" t="str">
        <f aca="false">IF(A2452="","",IF(MATCH(A2452,$A$2:$A$3201,0)=ROW()-1,1,0))</f>
        <v/>
      </c>
      <c r="C2452" s="0" t="str">
        <f aca="false">IF(B2452=1,MAX(C$1:C2451)+1,"")</f>
        <v/>
      </c>
    </row>
    <row r="2453" customFormat="false" ht="15" hidden="false" customHeight="false" outlineLevel="0" collapsed="false">
      <c r="A2453" s="0" t="str">
        <f aca="false">IF(COMPRAS!K1253="","",COMPRAS!K1253)</f>
        <v/>
      </c>
      <c r="B2453" s="0" t="str">
        <f aca="false">IF(A2453="","",IF(MATCH(A2453,$A$2:$A$3201,0)=ROW()-1,1,0))</f>
        <v/>
      </c>
      <c r="C2453" s="0" t="str">
        <f aca="false">IF(B2453=1,MAX(C$1:C2452)+1,"")</f>
        <v/>
      </c>
    </row>
    <row r="2454" customFormat="false" ht="15" hidden="false" customHeight="false" outlineLevel="0" collapsed="false">
      <c r="A2454" s="0" t="str">
        <f aca="false">IF(COMPRAS!K1254="","",COMPRAS!K1254)</f>
        <v/>
      </c>
      <c r="B2454" s="0" t="str">
        <f aca="false">IF(A2454="","",IF(MATCH(A2454,$A$2:$A$3201,0)=ROW()-1,1,0))</f>
        <v/>
      </c>
      <c r="C2454" s="0" t="str">
        <f aca="false">IF(B2454=1,MAX(C$1:C2453)+1,"")</f>
        <v/>
      </c>
    </row>
    <row r="2455" customFormat="false" ht="15" hidden="false" customHeight="false" outlineLevel="0" collapsed="false">
      <c r="A2455" s="0" t="str">
        <f aca="false">IF(COMPRAS!K1255="","",COMPRAS!K1255)</f>
        <v/>
      </c>
      <c r="B2455" s="0" t="str">
        <f aca="false">IF(A2455="","",IF(MATCH(A2455,$A$2:$A$3201,0)=ROW()-1,1,0))</f>
        <v/>
      </c>
      <c r="C2455" s="0" t="str">
        <f aca="false">IF(B2455=1,MAX(C$1:C2454)+1,"")</f>
        <v/>
      </c>
    </row>
    <row r="2456" customFormat="false" ht="15" hidden="false" customHeight="false" outlineLevel="0" collapsed="false">
      <c r="A2456" s="0" t="str">
        <f aca="false">IF(COMPRAS!K1256="","",COMPRAS!K1256)</f>
        <v/>
      </c>
      <c r="B2456" s="0" t="str">
        <f aca="false">IF(A2456="","",IF(MATCH(A2456,$A$2:$A$3201,0)=ROW()-1,1,0))</f>
        <v/>
      </c>
      <c r="C2456" s="0" t="str">
        <f aca="false">IF(B2456=1,MAX(C$1:C2455)+1,"")</f>
        <v/>
      </c>
    </row>
    <row r="2457" customFormat="false" ht="15" hidden="false" customHeight="false" outlineLevel="0" collapsed="false">
      <c r="A2457" s="0" t="str">
        <f aca="false">IF(COMPRAS!K1257="","",COMPRAS!K1257)</f>
        <v/>
      </c>
      <c r="B2457" s="0" t="str">
        <f aca="false">IF(A2457="","",IF(MATCH(A2457,$A$2:$A$3201,0)=ROW()-1,1,0))</f>
        <v/>
      </c>
      <c r="C2457" s="0" t="str">
        <f aca="false">IF(B2457=1,MAX(C$1:C2456)+1,"")</f>
        <v/>
      </c>
    </row>
    <row r="2458" customFormat="false" ht="15" hidden="false" customHeight="false" outlineLevel="0" collapsed="false">
      <c r="A2458" s="0" t="str">
        <f aca="false">IF(COMPRAS!K1258="","",COMPRAS!K1258)</f>
        <v/>
      </c>
      <c r="B2458" s="0" t="str">
        <f aca="false">IF(A2458="","",IF(MATCH(A2458,$A$2:$A$3201,0)=ROW()-1,1,0))</f>
        <v/>
      </c>
      <c r="C2458" s="0" t="str">
        <f aca="false">IF(B2458=1,MAX(C$1:C2457)+1,"")</f>
        <v/>
      </c>
    </row>
    <row r="2459" customFormat="false" ht="15" hidden="false" customHeight="false" outlineLevel="0" collapsed="false">
      <c r="A2459" s="0" t="str">
        <f aca="false">IF(COMPRAS!K1259="","",COMPRAS!K1259)</f>
        <v/>
      </c>
      <c r="B2459" s="0" t="str">
        <f aca="false">IF(A2459="","",IF(MATCH(A2459,$A$2:$A$3201,0)=ROW()-1,1,0))</f>
        <v/>
      </c>
      <c r="C2459" s="0" t="str">
        <f aca="false">IF(B2459=1,MAX(C$1:C2458)+1,"")</f>
        <v/>
      </c>
    </row>
    <row r="2460" customFormat="false" ht="15" hidden="false" customHeight="false" outlineLevel="0" collapsed="false">
      <c r="A2460" s="0" t="str">
        <f aca="false">IF(COMPRAS!K1260="","",COMPRAS!K1260)</f>
        <v/>
      </c>
      <c r="B2460" s="0" t="str">
        <f aca="false">IF(A2460="","",IF(MATCH(A2460,$A$2:$A$3201,0)=ROW()-1,1,0))</f>
        <v/>
      </c>
      <c r="C2460" s="0" t="str">
        <f aca="false">IF(B2460=1,MAX(C$1:C2459)+1,"")</f>
        <v/>
      </c>
    </row>
    <row r="2461" customFormat="false" ht="15" hidden="false" customHeight="false" outlineLevel="0" collapsed="false">
      <c r="A2461" s="0" t="str">
        <f aca="false">IF(COMPRAS!K1261="","",COMPRAS!K1261)</f>
        <v/>
      </c>
      <c r="B2461" s="0" t="str">
        <f aca="false">IF(A2461="","",IF(MATCH(A2461,$A$2:$A$3201,0)=ROW()-1,1,0))</f>
        <v/>
      </c>
      <c r="C2461" s="0" t="str">
        <f aca="false">IF(B2461=1,MAX(C$1:C2460)+1,"")</f>
        <v/>
      </c>
    </row>
    <row r="2462" customFormat="false" ht="15" hidden="false" customHeight="false" outlineLevel="0" collapsed="false">
      <c r="A2462" s="0" t="str">
        <f aca="false">IF(COMPRAS!K1262="","",COMPRAS!K1262)</f>
        <v/>
      </c>
      <c r="B2462" s="0" t="str">
        <f aca="false">IF(A2462="","",IF(MATCH(A2462,$A$2:$A$3201,0)=ROW()-1,1,0))</f>
        <v/>
      </c>
      <c r="C2462" s="0" t="str">
        <f aca="false">IF(B2462=1,MAX(C$1:C2461)+1,"")</f>
        <v/>
      </c>
    </row>
    <row r="2463" customFormat="false" ht="15" hidden="false" customHeight="false" outlineLevel="0" collapsed="false">
      <c r="A2463" s="0" t="str">
        <f aca="false">IF(COMPRAS!K1263="","",COMPRAS!K1263)</f>
        <v/>
      </c>
      <c r="B2463" s="0" t="str">
        <f aca="false">IF(A2463="","",IF(MATCH(A2463,$A$2:$A$3201,0)=ROW()-1,1,0))</f>
        <v/>
      </c>
      <c r="C2463" s="0" t="str">
        <f aca="false">IF(B2463=1,MAX(C$1:C2462)+1,"")</f>
        <v/>
      </c>
    </row>
    <row r="2464" customFormat="false" ht="15" hidden="false" customHeight="false" outlineLevel="0" collapsed="false">
      <c r="A2464" s="0" t="str">
        <f aca="false">IF(COMPRAS!K1264="","",COMPRAS!K1264)</f>
        <v/>
      </c>
      <c r="B2464" s="0" t="str">
        <f aca="false">IF(A2464="","",IF(MATCH(A2464,$A$2:$A$3201,0)=ROW()-1,1,0))</f>
        <v/>
      </c>
      <c r="C2464" s="0" t="str">
        <f aca="false">IF(B2464=1,MAX(C$1:C2463)+1,"")</f>
        <v/>
      </c>
    </row>
    <row r="2465" customFormat="false" ht="15" hidden="false" customHeight="false" outlineLevel="0" collapsed="false">
      <c r="A2465" s="0" t="str">
        <f aca="false">IF(COMPRAS!K1265="","",COMPRAS!K1265)</f>
        <v/>
      </c>
      <c r="B2465" s="0" t="str">
        <f aca="false">IF(A2465="","",IF(MATCH(A2465,$A$2:$A$3201,0)=ROW()-1,1,0))</f>
        <v/>
      </c>
      <c r="C2465" s="0" t="str">
        <f aca="false">IF(B2465=1,MAX(C$1:C2464)+1,"")</f>
        <v/>
      </c>
    </row>
    <row r="2466" customFormat="false" ht="15" hidden="false" customHeight="false" outlineLevel="0" collapsed="false">
      <c r="A2466" s="0" t="str">
        <f aca="false">IF(COMPRAS!K1266="","",COMPRAS!K1266)</f>
        <v/>
      </c>
      <c r="B2466" s="0" t="str">
        <f aca="false">IF(A2466="","",IF(MATCH(A2466,$A$2:$A$3201,0)=ROW()-1,1,0))</f>
        <v/>
      </c>
      <c r="C2466" s="0" t="str">
        <f aca="false">IF(B2466=1,MAX(C$1:C2465)+1,"")</f>
        <v/>
      </c>
    </row>
    <row r="2467" customFormat="false" ht="15" hidden="false" customHeight="false" outlineLevel="0" collapsed="false">
      <c r="A2467" s="0" t="str">
        <f aca="false">IF(COMPRAS!K1267="","",COMPRAS!K1267)</f>
        <v/>
      </c>
      <c r="B2467" s="0" t="str">
        <f aca="false">IF(A2467="","",IF(MATCH(A2467,$A$2:$A$3201,0)=ROW()-1,1,0))</f>
        <v/>
      </c>
      <c r="C2467" s="0" t="str">
        <f aca="false">IF(B2467=1,MAX(C$1:C2466)+1,"")</f>
        <v/>
      </c>
    </row>
    <row r="2468" customFormat="false" ht="15" hidden="false" customHeight="false" outlineLevel="0" collapsed="false">
      <c r="A2468" s="0" t="str">
        <f aca="false">IF(COMPRAS!K1268="","",COMPRAS!K1268)</f>
        <v/>
      </c>
      <c r="B2468" s="0" t="str">
        <f aca="false">IF(A2468="","",IF(MATCH(A2468,$A$2:$A$3201,0)=ROW()-1,1,0))</f>
        <v/>
      </c>
      <c r="C2468" s="0" t="str">
        <f aca="false">IF(B2468=1,MAX(C$1:C2467)+1,"")</f>
        <v/>
      </c>
    </row>
    <row r="2469" customFormat="false" ht="15" hidden="false" customHeight="false" outlineLevel="0" collapsed="false">
      <c r="A2469" s="0" t="str">
        <f aca="false">IF(COMPRAS!K1269="","",COMPRAS!K1269)</f>
        <v/>
      </c>
      <c r="B2469" s="0" t="str">
        <f aca="false">IF(A2469="","",IF(MATCH(A2469,$A$2:$A$3201,0)=ROW()-1,1,0))</f>
        <v/>
      </c>
      <c r="C2469" s="0" t="str">
        <f aca="false">IF(B2469=1,MAX(C$1:C2468)+1,"")</f>
        <v/>
      </c>
    </row>
    <row r="2470" customFormat="false" ht="15" hidden="false" customHeight="false" outlineLevel="0" collapsed="false">
      <c r="A2470" s="0" t="str">
        <f aca="false">IF(COMPRAS!K1270="","",COMPRAS!K1270)</f>
        <v/>
      </c>
      <c r="B2470" s="0" t="str">
        <f aca="false">IF(A2470="","",IF(MATCH(A2470,$A$2:$A$3201,0)=ROW()-1,1,0))</f>
        <v/>
      </c>
      <c r="C2470" s="0" t="str">
        <f aca="false">IF(B2470=1,MAX(C$1:C2469)+1,"")</f>
        <v/>
      </c>
    </row>
    <row r="2471" customFormat="false" ht="15" hidden="false" customHeight="false" outlineLevel="0" collapsed="false">
      <c r="A2471" s="0" t="str">
        <f aca="false">IF(COMPRAS!K1271="","",COMPRAS!K1271)</f>
        <v/>
      </c>
      <c r="B2471" s="0" t="str">
        <f aca="false">IF(A2471="","",IF(MATCH(A2471,$A$2:$A$3201,0)=ROW()-1,1,0))</f>
        <v/>
      </c>
      <c r="C2471" s="0" t="str">
        <f aca="false">IF(B2471=1,MAX(C$1:C2470)+1,"")</f>
        <v/>
      </c>
    </row>
    <row r="2472" customFormat="false" ht="15" hidden="false" customHeight="false" outlineLevel="0" collapsed="false">
      <c r="A2472" s="0" t="str">
        <f aca="false">IF(COMPRAS!K1272="","",COMPRAS!K1272)</f>
        <v/>
      </c>
      <c r="B2472" s="0" t="str">
        <f aca="false">IF(A2472="","",IF(MATCH(A2472,$A$2:$A$3201,0)=ROW()-1,1,0))</f>
        <v/>
      </c>
      <c r="C2472" s="0" t="str">
        <f aca="false">IF(B2472=1,MAX(C$1:C2471)+1,"")</f>
        <v/>
      </c>
    </row>
    <row r="2473" customFormat="false" ht="15" hidden="false" customHeight="false" outlineLevel="0" collapsed="false">
      <c r="A2473" s="0" t="str">
        <f aca="false">IF(COMPRAS!K1273="","",COMPRAS!K1273)</f>
        <v/>
      </c>
      <c r="B2473" s="0" t="str">
        <f aca="false">IF(A2473="","",IF(MATCH(A2473,$A$2:$A$3201,0)=ROW()-1,1,0))</f>
        <v/>
      </c>
      <c r="C2473" s="0" t="str">
        <f aca="false">IF(B2473=1,MAX(C$1:C2472)+1,"")</f>
        <v/>
      </c>
    </row>
    <row r="2474" customFormat="false" ht="15" hidden="false" customHeight="false" outlineLevel="0" collapsed="false">
      <c r="A2474" s="0" t="str">
        <f aca="false">IF(COMPRAS!K1274="","",COMPRAS!K1274)</f>
        <v/>
      </c>
      <c r="B2474" s="0" t="str">
        <f aca="false">IF(A2474="","",IF(MATCH(A2474,$A$2:$A$3201,0)=ROW()-1,1,0))</f>
        <v/>
      </c>
      <c r="C2474" s="0" t="str">
        <f aca="false">IF(B2474=1,MAX(C$1:C2473)+1,"")</f>
        <v/>
      </c>
    </row>
    <row r="2475" customFormat="false" ht="15" hidden="false" customHeight="false" outlineLevel="0" collapsed="false">
      <c r="A2475" s="0" t="str">
        <f aca="false">IF(COMPRAS!K1275="","",COMPRAS!K1275)</f>
        <v/>
      </c>
      <c r="B2475" s="0" t="str">
        <f aca="false">IF(A2475="","",IF(MATCH(A2475,$A$2:$A$3201,0)=ROW()-1,1,0))</f>
        <v/>
      </c>
      <c r="C2475" s="0" t="str">
        <f aca="false">IF(B2475=1,MAX(C$1:C2474)+1,"")</f>
        <v/>
      </c>
    </row>
    <row r="2476" customFormat="false" ht="15" hidden="false" customHeight="false" outlineLevel="0" collapsed="false">
      <c r="A2476" s="0" t="str">
        <f aca="false">IF(COMPRAS!K1276="","",COMPRAS!K1276)</f>
        <v/>
      </c>
      <c r="B2476" s="0" t="str">
        <f aca="false">IF(A2476="","",IF(MATCH(A2476,$A$2:$A$3201,0)=ROW()-1,1,0))</f>
        <v/>
      </c>
      <c r="C2476" s="0" t="str">
        <f aca="false">IF(B2476=1,MAX(C$1:C2475)+1,"")</f>
        <v/>
      </c>
    </row>
    <row r="2477" customFormat="false" ht="15" hidden="false" customHeight="false" outlineLevel="0" collapsed="false">
      <c r="A2477" s="0" t="str">
        <f aca="false">IF(COMPRAS!K1277="","",COMPRAS!K1277)</f>
        <v/>
      </c>
      <c r="B2477" s="0" t="str">
        <f aca="false">IF(A2477="","",IF(MATCH(A2477,$A$2:$A$3201,0)=ROW()-1,1,0))</f>
        <v/>
      </c>
      <c r="C2477" s="0" t="str">
        <f aca="false">IF(B2477=1,MAX(C$1:C2476)+1,"")</f>
        <v/>
      </c>
    </row>
    <row r="2478" customFormat="false" ht="15" hidden="false" customHeight="false" outlineLevel="0" collapsed="false">
      <c r="A2478" s="0" t="str">
        <f aca="false">IF(COMPRAS!K1278="","",COMPRAS!K1278)</f>
        <v/>
      </c>
      <c r="B2478" s="0" t="str">
        <f aca="false">IF(A2478="","",IF(MATCH(A2478,$A$2:$A$3201,0)=ROW()-1,1,0))</f>
        <v/>
      </c>
      <c r="C2478" s="0" t="str">
        <f aca="false">IF(B2478=1,MAX(C$1:C2477)+1,"")</f>
        <v/>
      </c>
    </row>
    <row r="2479" customFormat="false" ht="15" hidden="false" customHeight="false" outlineLevel="0" collapsed="false">
      <c r="A2479" s="0" t="str">
        <f aca="false">IF(COMPRAS!K1279="","",COMPRAS!K1279)</f>
        <v/>
      </c>
      <c r="B2479" s="0" t="str">
        <f aca="false">IF(A2479="","",IF(MATCH(A2479,$A$2:$A$3201,0)=ROW()-1,1,0))</f>
        <v/>
      </c>
      <c r="C2479" s="0" t="str">
        <f aca="false">IF(B2479=1,MAX(C$1:C2478)+1,"")</f>
        <v/>
      </c>
    </row>
    <row r="2480" customFormat="false" ht="15" hidden="false" customHeight="false" outlineLevel="0" collapsed="false">
      <c r="A2480" s="0" t="str">
        <f aca="false">IF(COMPRAS!K1280="","",COMPRAS!K1280)</f>
        <v/>
      </c>
      <c r="B2480" s="0" t="str">
        <f aca="false">IF(A2480="","",IF(MATCH(A2480,$A$2:$A$3201,0)=ROW()-1,1,0))</f>
        <v/>
      </c>
      <c r="C2480" s="0" t="str">
        <f aca="false">IF(B2480=1,MAX(C$1:C2479)+1,"")</f>
        <v/>
      </c>
    </row>
    <row r="2481" customFormat="false" ht="15" hidden="false" customHeight="false" outlineLevel="0" collapsed="false">
      <c r="A2481" s="0" t="str">
        <f aca="false">IF(COMPRAS!K1281="","",COMPRAS!K1281)</f>
        <v/>
      </c>
      <c r="B2481" s="0" t="str">
        <f aca="false">IF(A2481="","",IF(MATCH(A2481,$A$2:$A$3201,0)=ROW()-1,1,0))</f>
        <v/>
      </c>
      <c r="C2481" s="0" t="str">
        <f aca="false">IF(B2481=1,MAX(C$1:C2480)+1,"")</f>
        <v/>
      </c>
    </row>
    <row r="2482" customFormat="false" ht="15" hidden="false" customHeight="false" outlineLevel="0" collapsed="false">
      <c r="A2482" s="0" t="str">
        <f aca="false">IF(COMPRAS!K1282="","",COMPRAS!K1282)</f>
        <v/>
      </c>
      <c r="B2482" s="0" t="str">
        <f aca="false">IF(A2482="","",IF(MATCH(A2482,$A$2:$A$3201,0)=ROW()-1,1,0))</f>
        <v/>
      </c>
      <c r="C2482" s="0" t="str">
        <f aca="false">IF(B2482=1,MAX(C$1:C2481)+1,"")</f>
        <v/>
      </c>
    </row>
    <row r="2483" customFormat="false" ht="15" hidden="false" customHeight="false" outlineLevel="0" collapsed="false">
      <c r="A2483" s="0" t="str">
        <f aca="false">IF(COMPRAS!K1283="","",COMPRAS!K1283)</f>
        <v/>
      </c>
      <c r="B2483" s="0" t="str">
        <f aca="false">IF(A2483="","",IF(MATCH(A2483,$A$2:$A$3201,0)=ROW()-1,1,0))</f>
        <v/>
      </c>
      <c r="C2483" s="0" t="str">
        <f aca="false">IF(B2483=1,MAX(C$1:C2482)+1,"")</f>
        <v/>
      </c>
    </row>
    <row r="2484" customFormat="false" ht="15" hidden="false" customHeight="false" outlineLevel="0" collapsed="false">
      <c r="A2484" s="0" t="str">
        <f aca="false">IF(COMPRAS!K1284="","",COMPRAS!K1284)</f>
        <v/>
      </c>
      <c r="B2484" s="0" t="str">
        <f aca="false">IF(A2484="","",IF(MATCH(A2484,$A$2:$A$3201,0)=ROW()-1,1,0))</f>
        <v/>
      </c>
      <c r="C2484" s="0" t="str">
        <f aca="false">IF(B2484=1,MAX(C$1:C2483)+1,"")</f>
        <v/>
      </c>
    </row>
    <row r="2485" customFormat="false" ht="15" hidden="false" customHeight="false" outlineLevel="0" collapsed="false">
      <c r="A2485" s="0" t="str">
        <f aca="false">IF(COMPRAS!K1285="","",COMPRAS!K1285)</f>
        <v/>
      </c>
      <c r="B2485" s="0" t="str">
        <f aca="false">IF(A2485="","",IF(MATCH(A2485,$A$2:$A$3201,0)=ROW()-1,1,0))</f>
        <v/>
      </c>
      <c r="C2485" s="0" t="str">
        <f aca="false">IF(B2485=1,MAX(C$1:C2484)+1,"")</f>
        <v/>
      </c>
    </row>
    <row r="2486" customFormat="false" ht="15" hidden="false" customHeight="false" outlineLevel="0" collapsed="false">
      <c r="A2486" s="0" t="str">
        <f aca="false">IF(COMPRAS!K1286="","",COMPRAS!K1286)</f>
        <v/>
      </c>
      <c r="B2486" s="0" t="str">
        <f aca="false">IF(A2486="","",IF(MATCH(A2486,$A$2:$A$3201,0)=ROW()-1,1,0))</f>
        <v/>
      </c>
      <c r="C2486" s="0" t="str">
        <f aca="false">IF(B2486=1,MAX(C$1:C2485)+1,"")</f>
        <v/>
      </c>
    </row>
    <row r="2487" customFormat="false" ht="15" hidden="false" customHeight="false" outlineLevel="0" collapsed="false">
      <c r="A2487" s="0" t="str">
        <f aca="false">IF(COMPRAS!K1287="","",COMPRAS!K1287)</f>
        <v/>
      </c>
      <c r="B2487" s="0" t="str">
        <f aca="false">IF(A2487="","",IF(MATCH(A2487,$A$2:$A$3201,0)=ROW()-1,1,0))</f>
        <v/>
      </c>
      <c r="C2487" s="0" t="str">
        <f aca="false">IF(B2487=1,MAX(C$1:C2486)+1,"")</f>
        <v/>
      </c>
    </row>
    <row r="2488" customFormat="false" ht="15" hidden="false" customHeight="false" outlineLevel="0" collapsed="false">
      <c r="A2488" s="0" t="str">
        <f aca="false">IF(COMPRAS!K1288="","",COMPRAS!K1288)</f>
        <v/>
      </c>
      <c r="B2488" s="0" t="str">
        <f aca="false">IF(A2488="","",IF(MATCH(A2488,$A$2:$A$3201,0)=ROW()-1,1,0))</f>
        <v/>
      </c>
      <c r="C2488" s="0" t="str">
        <f aca="false">IF(B2488=1,MAX(C$1:C2487)+1,"")</f>
        <v/>
      </c>
    </row>
    <row r="2489" customFormat="false" ht="15" hidden="false" customHeight="false" outlineLevel="0" collapsed="false">
      <c r="A2489" s="0" t="str">
        <f aca="false">IF(COMPRAS!K1289="","",COMPRAS!K1289)</f>
        <v/>
      </c>
      <c r="B2489" s="0" t="str">
        <f aca="false">IF(A2489="","",IF(MATCH(A2489,$A$2:$A$3201,0)=ROW()-1,1,0))</f>
        <v/>
      </c>
      <c r="C2489" s="0" t="str">
        <f aca="false">IF(B2489=1,MAX(C$1:C2488)+1,"")</f>
        <v/>
      </c>
    </row>
    <row r="2490" customFormat="false" ht="15" hidden="false" customHeight="false" outlineLevel="0" collapsed="false">
      <c r="A2490" s="0" t="str">
        <f aca="false">IF(COMPRAS!K1290="","",COMPRAS!K1290)</f>
        <v/>
      </c>
      <c r="B2490" s="0" t="str">
        <f aca="false">IF(A2490="","",IF(MATCH(A2490,$A$2:$A$3201,0)=ROW()-1,1,0))</f>
        <v/>
      </c>
      <c r="C2490" s="0" t="str">
        <f aca="false">IF(B2490=1,MAX(C$1:C2489)+1,"")</f>
        <v/>
      </c>
    </row>
    <row r="2491" customFormat="false" ht="15" hidden="false" customHeight="false" outlineLevel="0" collapsed="false">
      <c r="A2491" s="0" t="str">
        <f aca="false">IF(COMPRAS!K1291="","",COMPRAS!K1291)</f>
        <v/>
      </c>
      <c r="B2491" s="0" t="str">
        <f aca="false">IF(A2491="","",IF(MATCH(A2491,$A$2:$A$3201,0)=ROW()-1,1,0))</f>
        <v/>
      </c>
      <c r="C2491" s="0" t="str">
        <f aca="false">IF(B2491=1,MAX(C$1:C2490)+1,"")</f>
        <v/>
      </c>
    </row>
    <row r="2492" customFormat="false" ht="15" hidden="false" customHeight="false" outlineLevel="0" collapsed="false">
      <c r="A2492" s="0" t="str">
        <f aca="false">IF(COMPRAS!K1292="","",COMPRAS!K1292)</f>
        <v/>
      </c>
      <c r="B2492" s="0" t="str">
        <f aca="false">IF(A2492="","",IF(MATCH(A2492,$A$2:$A$3201,0)=ROW()-1,1,0))</f>
        <v/>
      </c>
      <c r="C2492" s="0" t="str">
        <f aca="false">IF(B2492=1,MAX(C$1:C2491)+1,"")</f>
        <v/>
      </c>
    </row>
    <row r="2493" customFormat="false" ht="15" hidden="false" customHeight="false" outlineLevel="0" collapsed="false">
      <c r="A2493" s="0" t="str">
        <f aca="false">IF(COMPRAS!K1293="","",COMPRAS!K1293)</f>
        <v/>
      </c>
      <c r="B2493" s="0" t="str">
        <f aca="false">IF(A2493="","",IF(MATCH(A2493,$A$2:$A$3201,0)=ROW()-1,1,0))</f>
        <v/>
      </c>
      <c r="C2493" s="0" t="str">
        <f aca="false">IF(B2493=1,MAX(C$1:C2492)+1,"")</f>
        <v/>
      </c>
    </row>
    <row r="2494" customFormat="false" ht="15" hidden="false" customHeight="false" outlineLevel="0" collapsed="false">
      <c r="A2494" s="0" t="str">
        <f aca="false">IF(COMPRAS!K1294="","",COMPRAS!K1294)</f>
        <v/>
      </c>
      <c r="B2494" s="0" t="str">
        <f aca="false">IF(A2494="","",IF(MATCH(A2494,$A$2:$A$3201,0)=ROW()-1,1,0))</f>
        <v/>
      </c>
      <c r="C2494" s="0" t="str">
        <f aca="false">IF(B2494=1,MAX(C$1:C2493)+1,"")</f>
        <v/>
      </c>
    </row>
    <row r="2495" customFormat="false" ht="15" hidden="false" customHeight="false" outlineLevel="0" collapsed="false">
      <c r="A2495" s="0" t="str">
        <f aca="false">IF(COMPRAS!K1295="","",COMPRAS!K1295)</f>
        <v/>
      </c>
      <c r="B2495" s="0" t="str">
        <f aca="false">IF(A2495="","",IF(MATCH(A2495,$A$2:$A$3201,0)=ROW()-1,1,0))</f>
        <v/>
      </c>
      <c r="C2495" s="0" t="str">
        <f aca="false">IF(B2495=1,MAX(C$1:C2494)+1,"")</f>
        <v/>
      </c>
    </row>
    <row r="2496" customFormat="false" ht="15" hidden="false" customHeight="false" outlineLevel="0" collapsed="false">
      <c r="A2496" s="0" t="str">
        <f aca="false">IF(COMPRAS!K1296="","",COMPRAS!K1296)</f>
        <v/>
      </c>
      <c r="B2496" s="0" t="str">
        <f aca="false">IF(A2496="","",IF(MATCH(A2496,$A$2:$A$3201,0)=ROW()-1,1,0))</f>
        <v/>
      </c>
      <c r="C2496" s="0" t="str">
        <f aca="false">IF(B2496=1,MAX(C$1:C2495)+1,"")</f>
        <v/>
      </c>
    </row>
    <row r="2497" customFormat="false" ht="15" hidden="false" customHeight="false" outlineLevel="0" collapsed="false">
      <c r="A2497" s="0" t="str">
        <f aca="false">IF(COMPRAS!K1297="","",COMPRAS!K1297)</f>
        <v/>
      </c>
      <c r="B2497" s="0" t="str">
        <f aca="false">IF(A2497="","",IF(MATCH(A2497,$A$2:$A$3201,0)=ROW()-1,1,0))</f>
        <v/>
      </c>
      <c r="C2497" s="0" t="str">
        <f aca="false">IF(B2497=1,MAX(C$1:C2496)+1,"")</f>
        <v/>
      </c>
    </row>
    <row r="2498" customFormat="false" ht="15" hidden="false" customHeight="false" outlineLevel="0" collapsed="false">
      <c r="A2498" s="0" t="str">
        <f aca="false">IF(COMPRAS!K1298="","",COMPRAS!K1298)</f>
        <v/>
      </c>
      <c r="B2498" s="0" t="str">
        <f aca="false">IF(A2498="","",IF(MATCH(A2498,$A$2:$A$3201,0)=ROW()-1,1,0))</f>
        <v/>
      </c>
      <c r="C2498" s="0" t="str">
        <f aca="false">IF(B2498=1,MAX(C$1:C2497)+1,"")</f>
        <v/>
      </c>
    </row>
    <row r="2499" customFormat="false" ht="15" hidden="false" customHeight="false" outlineLevel="0" collapsed="false">
      <c r="A2499" s="0" t="str">
        <f aca="false">IF(COMPRAS!K1299="","",COMPRAS!K1299)</f>
        <v/>
      </c>
      <c r="B2499" s="0" t="str">
        <f aca="false">IF(A2499="","",IF(MATCH(A2499,$A$2:$A$3201,0)=ROW()-1,1,0))</f>
        <v/>
      </c>
      <c r="C2499" s="0" t="str">
        <f aca="false">IF(B2499=1,MAX(C$1:C2498)+1,"")</f>
        <v/>
      </c>
    </row>
    <row r="2500" customFormat="false" ht="15" hidden="false" customHeight="false" outlineLevel="0" collapsed="false">
      <c r="A2500" s="0" t="str">
        <f aca="false">IF(COMPRAS!K1300="","",COMPRAS!K1300)</f>
        <v/>
      </c>
      <c r="B2500" s="0" t="str">
        <f aca="false">IF(A2500="","",IF(MATCH(A2500,$A$2:$A$3201,0)=ROW()-1,1,0))</f>
        <v/>
      </c>
      <c r="C2500" s="0" t="str">
        <f aca="false">IF(B2500=1,MAX(C$1:C2499)+1,"")</f>
        <v/>
      </c>
    </row>
    <row r="2501" customFormat="false" ht="15" hidden="false" customHeight="false" outlineLevel="0" collapsed="false">
      <c r="A2501" s="0" t="str">
        <f aca="false">IF(COMPRAS!K1301="","",COMPRAS!K1301)</f>
        <v/>
      </c>
      <c r="B2501" s="0" t="str">
        <f aca="false">IF(A2501="","",IF(MATCH(A2501,$A$2:$A$3201,0)=ROW()-1,1,0))</f>
        <v/>
      </c>
      <c r="C2501" s="0" t="str">
        <f aca="false">IF(B2501=1,MAX(C$1:C2500)+1,"")</f>
        <v/>
      </c>
    </row>
    <row r="2502" customFormat="false" ht="15" hidden="false" customHeight="false" outlineLevel="0" collapsed="false">
      <c r="A2502" s="0" t="str">
        <f aca="false">IF(COMPRAS!K1302="","",COMPRAS!K1302)</f>
        <v/>
      </c>
      <c r="B2502" s="0" t="str">
        <f aca="false">IF(A2502="","",IF(MATCH(A2502,$A$2:$A$3201,0)=ROW()-1,1,0))</f>
        <v/>
      </c>
      <c r="C2502" s="0" t="str">
        <f aca="false">IF(B2502=1,MAX(C$1:C2501)+1,"")</f>
        <v/>
      </c>
    </row>
    <row r="2503" customFormat="false" ht="15" hidden="false" customHeight="false" outlineLevel="0" collapsed="false">
      <c r="A2503" s="0" t="str">
        <f aca="false">IF(COMPRAS!K1303="","",COMPRAS!K1303)</f>
        <v/>
      </c>
      <c r="B2503" s="0" t="str">
        <f aca="false">IF(A2503="","",IF(MATCH(A2503,$A$2:$A$3201,0)=ROW()-1,1,0))</f>
        <v/>
      </c>
      <c r="C2503" s="0" t="str">
        <f aca="false">IF(B2503=1,MAX(C$1:C2502)+1,"")</f>
        <v/>
      </c>
    </row>
    <row r="2504" customFormat="false" ht="15" hidden="false" customHeight="false" outlineLevel="0" collapsed="false">
      <c r="A2504" s="0" t="str">
        <f aca="false">IF(COMPRAS!K1304="","",COMPRAS!K1304)</f>
        <v/>
      </c>
      <c r="B2504" s="0" t="str">
        <f aca="false">IF(A2504="","",IF(MATCH(A2504,$A$2:$A$3201,0)=ROW()-1,1,0))</f>
        <v/>
      </c>
      <c r="C2504" s="0" t="str">
        <f aca="false">IF(B2504=1,MAX(C$1:C2503)+1,"")</f>
        <v/>
      </c>
    </row>
    <row r="2505" customFormat="false" ht="15" hidden="false" customHeight="false" outlineLevel="0" collapsed="false">
      <c r="A2505" s="0" t="str">
        <f aca="false">IF(COMPRAS!K1305="","",COMPRAS!K1305)</f>
        <v/>
      </c>
      <c r="B2505" s="0" t="str">
        <f aca="false">IF(A2505="","",IF(MATCH(A2505,$A$2:$A$3201,0)=ROW()-1,1,0))</f>
        <v/>
      </c>
      <c r="C2505" s="0" t="str">
        <f aca="false">IF(B2505=1,MAX(C$1:C2504)+1,"")</f>
        <v/>
      </c>
    </row>
    <row r="2506" customFormat="false" ht="15" hidden="false" customHeight="false" outlineLevel="0" collapsed="false">
      <c r="A2506" s="0" t="str">
        <f aca="false">IF(COMPRAS!K1306="","",COMPRAS!K1306)</f>
        <v/>
      </c>
      <c r="B2506" s="0" t="str">
        <f aca="false">IF(A2506="","",IF(MATCH(A2506,$A$2:$A$3201,0)=ROW()-1,1,0))</f>
        <v/>
      </c>
      <c r="C2506" s="0" t="str">
        <f aca="false">IF(B2506=1,MAX(C$1:C2505)+1,"")</f>
        <v/>
      </c>
    </row>
    <row r="2507" customFormat="false" ht="15" hidden="false" customHeight="false" outlineLevel="0" collapsed="false">
      <c r="A2507" s="0" t="str">
        <f aca="false">IF(COMPRAS!K1307="","",COMPRAS!K1307)</f>
        <v/>
      </c>
      <c r="B2507" s="0" t="str">
        <f aca="false">IF(A2507="","",IF(MATCH(A2507,$A$2:$A$3201,0)=ROW()-1,1,0))</f>
        <v/>
      </c>
      <c r="C2507" s="0" t="str">
        <f aca="false">IF(B2507=1,MAX(C$1:C2506)+1,"")</f>
        <v/>
      </c>
    </row>
    <row r="2508" customFormat="false" ht="15" hidden="false" customHeight="false" outlineLevel="0" collapsed="false">
      <c r="A2508" s="0" t="str">
        <f aca="false">IF(COMPRAS!K1308="","",COMPRAS!K1308)</f>
        <v/>
      </c>
      <c r="B2508" s="0" t="str">
        <f aca="false">IF(A2508="","",IF(MATCH(A2508,$A$2:$A$3201,0)=ROW()-1,1,0))</f>
        <v/>
      </c>
      <c r="C2508" s="0" t="str">
        <f aca="false">IF(B2508=1,MAX(C$1:C2507)+1,"")</f>
        <v/>
      </c>
    </row>
    <row r="2509" customFormat="false" ht="15" hidden="false" customHeight="false" outlineLevel="0" collapsed="false">
      <c r="A2509" s="0" t="str">
        <f aca="false">IF(COMPRAS!K1309="","",COMPRAS!K1309)</f>
        <v/>
      </c>
      <c r="B2509" s="0" t="str">
        <f aca="false">IF(A2509="","",IF(MATCH(A2509,$A$2:$A$3201,0)=ROW()-1,1,0))</f>
        <v/>
      </c>
      <c r="C2509" s="0" t="str">
        <f aca="false">IF(B2509=1,MAX(C$1:C2508)+1,"")</f>
        <v/>
      </c>
    </row>
    <row r="2510" customFormat="false" ht="15" hidden="false" customHeight="false" outlineLevel="0" collapsed="false">
      <c r="A2510" s="0" t="str">
        <f aca="false">IF(COMPRAS!K1310="","",COMPRAS!K1310)</f>
        <v/>
      </c>
      <c r="B2510" s="0" t="str">
        <f aca="false">IF(A2510="","",IF(MATCH(A2510,$A$2:$A$3201,0)=ROW()-1,1,0))</f>
        <v/>
      </c>
      <c r="C2510" s="0" t="str">
        <f aca="false">IF(B2510=1,MAX(C$1:C2509)+1,"")</f>
        <v/>
      </c>
    </row>
    <row r="2511" customFormat="false" ht="15" hidden="false" customHeight="false" outlineLevel="0" collapsed="false">
      <c r="A2511" s="0" t="str">
        <f aca="false">IF(COMPRAS!K1311="","",COMPRAS!K1311)</f>
        <v/>
      </c>
      <c r="B2511" s="0" t="str">
        <f aca="false">IF(A2511="","",IF(MATCH(A2511,$A$2:$A$3201,0)=ROW()-1,1,0))</f>
        <v/>
      </c>
      <c r="C2511" s="0" t="str">
        <f aca="false">IF(B2511=1,MAX(C$1:C2510)+1,"")</f>
        <v/>
      </c>
    </row>
    <row r="2512" customFormat="false" ht="15" hidden="false" customHeight="false" outlineLevel="0" collapsed="false">
      <c r="A2512" s="0" t="str">
        <f aca="false">IF(COMPRAS!K1312="","",COMPRAS!K1312)</f>
        <v/>
      </c>
      <c r="B2512" s="0" t="str">
        <f aca="false">IF(A2512="","",IF(MATCH(A2512,$A$2:$A$3201,0)=ROW()-1,1,0))</f>
        <v/>
      </c>
      <c r="C2512" s="0" t="str">
        <f aca="false">IF(B2512=1,MAX(C$1:C2511)+1,"")</f>
        <v/>
      </c>
    </row>
    <row r="2513" customFormat="false" ht="15" hidden="false" customHeight="false" outlineLevel="0" collapsed="false">
      <c r="A2513" s="0" t="str">
        <f aca="false">IF(COMPRAS!K1313="","",COMPRAS!K1313)</f>
        <v/>
      </c>
      <c r="B2513" s="0" t="str">
        <f aca="false">IF(A2513="","",IF(MATCH(A2513,$A$2:$A$3201,0)=ROW()-1,1,0))</f>
        <v/>
      </c>
      <c r="C2513" s="0" t="str">
        <f aca="false">IF(B2513=1,MAX(C$1:C2512)+1,"")</f>
        <v/>
      </c>
    </row>
    <row r="2514" customFormat="false" ht="15" hidden="false" customHeight="false" outlineLevel="0" collapsed="false">
      <c r="A2514" s="0" t="str">
        <f aca="false">IF(COMPRAS!K1314="","",COMPRAS!K1314)</f>
        <v/>
      </c>
      <c r="B2514" s="0" t="str">
        <f aca="false">IF(A2514="","",IF(MATCH(A2514,$A$2:$A$3201,0)=ROW()-1,1,0))</f>
        <v/>
      </c>
      <c r="C2514" s="0" t="str">
        <f aca="false">IF(B2514=1,MAX(C$1:C2513)+1,"")</f>
        <v/>
      </c>
    </row>
    <row r="2515" customFormat="false" ht="15" hidden="false" customHeight="false" outlineLevel="0" collapsed="false">
      <c r="A2515" s="0" t="str">
        <f aca="false">IF(COMPRAS!K1315="","",COMPRAS!K1315)</f>
        <v/>
      </c>
      <c r="B2515" s="0" t="str">
        <f aca="false">IF(A2515="","",IF(MATCH(A2515,$A$2:$A$3201,0)=ROW()-1,1,0))</f>
        <v/>
      </c>
      <c r="C2515" s="0" t="str">
        <f aca="false">IF(B2515=1,MAX(C$1:C2514)+1,"")</f>
        <v/>
      </c>
    </row>
    <row r="2516" customFormat="false" ht="15" hidden="false" customHeight="false" outlineLevel="0" collapsed="false">
      <c r="A2516" s="0" t="str">
        <f aca="false">IF(COMPRAS!K1316="","",COMPRAS!K1316)</f>
        <v/>
      </c>
      <c r="B2516" s="0" t="str">
        <f aca="false">IF(A2516="","",IF(MATCH(A2516,$A$2:$A$3201,0)=ROW()-1,1,0))</f>
        <v/>
      </c>
      <c r="C2516" s="0" t="str">
        <f aca="false">IF(B2516=1,MAX(C$1:C2515)+1,"")</f>
        <v/>
      </c>
    </row>
    <row r="2517" customFormat="false" ht="15" hidden="false" customHeight="false" outlineLevel="0" collapsed="false">
      <c r="A2517" s="0" t="str">
        <f aca="false">IF(COMPRAS!K1317="","",COMPRAS!K1317)</f>
        <v/>
      </c>
      <c r="B2517" s="0" t="str">
        <f aca="false">IF(A2517="","",IF(MATCH(A2517,$A$2:$A$3201,0)=ROW()-1,1,0))</f>
        <v/>
      </c>
      <c r="C2517" s="0" t="str">
        <f aca="false">IF(B2517=1,MAX(C$1:C2516)+1,"")</f>
        <v/>
      </c>
    </row>
    <row r="2518" customFormat="false" ht="15" hidden="false" customHeight="false" outlineLevel="0" collapsed="false">
      <c r="A2518" s="0" t="str">
        <f aca="false">IF(COMPRAS!K1318="","",COMPRAS!K1318)</f>
        <v/>
      </c>
      <c r="B2518" s="0" t="str">
        <f aca="false">IF(A2518="","",IF(MATCH(A2518,$A$2:$A$3201,0)=ROW()-1,1,0))</f>
        <v/>
      </c>
      <c r="C2518" s="0" t="str">
        <f aca="false">IF(B2518=1,MAX(C$1:C2517)+1,"")</f>
        <v/>
      </c>
    </row>
    <row r="2519" customFormat="false" ht="15" hidden="false" customHeight="false" outlineLevel="0" collapsed="false">
      <c r="A2519" s="0" t="str">
        <f aca="false">IF(COMPRAS!K1319="","",COMPRAS!K1319)</f>
        <v/>
      </c>
      <c r="B2519" s="0" t="str">
        <f aca="false">IF(A2519="","",IF(MATCH(A2519,$A$2:$A$3201,0)=ROW()-1,1,0))</f>
        <v/>
      </c>
      <c r="C2519" s="0" t="str">
        <f aca="false">IF(B2519=1,MAX(C$1:C2518)+1,"")</f>
        <v/>
      </c>
    </row>
    <row r="2520" customFormat="false" ht="15" hidden="false" customHeight="false" outlineLevel="0" collapsed="false">
      <c r="A2520" s="0" t="str">
        <f aca="false">IF(COMPRAS!K1320="","",COMPRAS!K1320)</f>
        <v/>
      </c>
      <c r="B2520" s="0" t="str">
        <f aca="false">IF(A2520="","",IF(MATCH(A2520,$A$2:$A$3201,0)=ROW()-1,1,0))</f>
        <v/>
      </c>
      <c r="C2520" s="0" t="str">
        <f aca="false">IF(B2520=1,MAX(C$1:C2519)+1,"")</f>
        <v/>
      </c>
    </row>
    <row r="2521" customFormat="false" ht="15" hidden="false" customHeight="false" outlineLevel="0" collapsed="false">
      <c r="A2521" s="0" t="str">
        <f aca="false">IF(COMPRAS!K1321="","",COMPRAS!K1321)</f>
        <v/>
      </c>
      <c r="B2521" s="0" t="str">
        <f aca="false">IF(A2521="","",IF(MATCH(A2521,$A$2:$A$3201,0)=ROW()-1,1,0))</f>
        <v/>
      </c>
      <c r="C2521" s="0" t="str">
        <f aca="false">IF(B2521=1,MAX(C$1:C2520)+1,"")</f>
        <v/>
      </c>
    </row>
    <row r="2522" customFormat="false" ht="15" hidden="false" customHeight="false" outlineLevel="0" collapsed="false">
      <c r="A2522" s="0" t="str">
        <f aca="false">IF(COMPRAS!K1322="","",COMPRAS!K1322)</f>
        <v/>
      </c>
      <c r="B2522" s="0" t="str">
        <f aca="false">IF(A2522="","",IF(MATCH(A2522,$A$2:$A$3201,0)=ROW()-1,1,0))</f>
        <v/>
      </c>
      <c r="C2522" s="0" t="str">
        <f aca="false">IF(B2522=1,MAX(C$1:C2521)+1,"")</f>
        <v/>
      </c>
    </row>
    <row r="2523" customFormat="false" ht="15" hidden="false" customHeight="false" outlineLevel="0" collapsed="false">
      <c r="A2523" s="0" t="str">
        <f aca="false">IF(COMPRAS!K1323="","",COMPRAS!K1323)</f>
        <v/>
      </c>
      <c r="B2523" s="0" t="str">
        <f aca="false">IF(A2523="","",IF(MATCH(A2523,$A$2:$A$3201,0)=ROW()-1,1,0))</f>
        <v/>
      </c>
      <c r="C2523" s="0" t="str">
        <f aca="false">IF(B2523=1,MAX(C$1:C2522)+1,"")</f>
        <v/>
      </c>
    </row>
    <row r="2524" customFormat="false" ht="15" hidden="false" customHeight="false" outlineLevel="0" collapsed="false">
      <c r="A2524" s="0" t="str">
        <f aca="false">IF(COMPRAS!K1324="","",COMPRAS!K1324)</f>
        <v/>
      </c>
      <c r="B2524" s="0" t="str">
        <f aca="false">IF(A2524="","",IF(MATCH(A2524,$A$2:$A$3201,0)=ROW()-1,1,0))</f>
        <v/>
      </c>
      <c r="C2524" s="0" t="str">
        <f aca="false">IF(B2524=1,MAX(C$1:C2523)+1,"")</f>
        <v/>
      </c>
    </row>
    <row r="2525" customFormat="false" ht="15" hidden="false" customHeight="false" outlineLevel="0" collapsed="false">
      <c r="A2525" s="0" t="str">
        <f aca="false">IF(COMPRAS!K1325="","",COMPRAS!K1325)</f>
        <v/>
      </c>
      <c r="B2525" s="0" t="str">
        <f aca="false">IF(A2525="","",IF(MATCH(A2525,$A$2:$A$3201,0)=ROW()-1,1,0))</f>
        <v/>
      </c>
      <c r="C2525" s="0" t="str">
        <f aca="false">IF(B2525=1,MAX(C$1:C2524)+1,"")</f>
        <v/>
      </c>
    </row>
    <row r="2526" customFormat="false" ht="15" hidden="false" customHeight="false" outlineLevel="0" collapsed="false">
      <c r="A2526" s="0" t="str">
        <f aca="false">IF(COMPRAS!K1326="","",COMPRAS!K1326)</f>
        <v/>
      </c>
      <c r="B2526" s="0" t="str">
        <f aca="false">IF(A2526="","",IF(MATCH(A2526,$A$2:$A$3201,0)=ROW()-1,1,0))</f>
        <v/>
      </c>
      <c r="C2526" s="0" t="str">
        <f aca="false">IF(B2526=1,MAX(C$1:C2525)+1,"")</f>
        <v/>
      </c>
    </row>
    <row r="2527" customFormat="false" ht="15" hidden="false" customHeight="false" outlineLevel="0" collapsed="false">
      <c r="A2527" s="0" t="str">
        <f aca="false">IF(COMPRAS!K1327="","",COMPRAS!K1327)</f>
        <v/>
      </c>
      <c r="B2527" s="0" t="str">
        <f aca="false">IF(A2527="","",IF(MATCH(A2527,$A$2:$A$3201,0)=ROW()-1,1,0))</f>
        <v/>
      </c>
      <c r="C2527" s="0" t="str">
        <f aca="false">IF(B2527=1,MAX(C$1:C2526)+1,"")</f>
        <v/>
      </c>
    </row>
    <row r="2528" customFormat="false" ht="15" hidden="false" customHeight="false" outlineLevel="0" collapsed="false">
      <c r="A2528" s="0" t="str">
        <f aca="false">IF(COMPRAS!K1328="","",COMPRAS!K1328)</f>
        <v/>
      </c>
      <c r="B2528" s="0" t="str">
        <f aca="false">IF(A2528="","",IF(MATCH(A2528,$A$2:$A$3201,0)=ROW()-1,1,0))</f>
        <v/>
      </c>
      <c r="C2528" s="0" t="str">
        <f aca="false">IF(B2528=1,MAX(C$1:C2527)+1,"")</f>
        <v/>
      </c>
    </row>
    <row r="2529" customFormat="false" ht="15" hidden="false" customHeight="false" outlineLevel="0" collapsed="false">
      <c r="A2529" s="0" t="str">
        <f aca="false">IF(COMPRAS!K1329="","",COMPRAS!K1329)</f>
        <v/>
      </c>
      <c r="B2529" s="0" t="str">
        <f aca="false">IF(A2529="","",IF(MATCH(A2529,$A$2:$A$3201,0)=ROW()-1,1,0))</f>
        <v/>
      </c>
      <c r="C2529" s="0" t="str">
        <f aca="false">IF(B2529=1,MAX(C$1:C2528)+1,"")</f>
        <v/>
      </c>
    </row>
    <row r="2530" customFormat="false" ht="15" hidden="false" customHeight="false" outlineLevel="0" collapsed="false">
      <c r="A2530" s="0" t="str">
        <f aca="false">IF(COMPRAS!K1330="","",COMPRAS!K1330)</f>
        <v/>
      </c>
      <c r="B2530" s="0" t="str">
        <f aca="false">IF(A2530="","",IF(MATCH(A2530,$A$2:$A$3201,0)=ROW()-1,1,0))</f>
        <v/>
      </c>
      <c r="C2530" s="0" t="str">
        <f aca="false">IF(B2530=1,MAX(C$1:C2529)+1,"")</f>
        <v/>
      </c>
    </row>
    <row r="2531" customFormat="false" ht="15" hidden="false" customHeight="false" outlineLevel="0" collapsed="false">
      <c r="A2531" s="0" t="str">
        <f aca="false">IF(COMPRAS!K1331="","",COMPRAS!K1331)</f>
        <v/>
      </c>
      <c r="B2531" s="0" t="str">
        <f aca="false">IF(A2531="","",IF(MATCH(A2531,$A$2:$A$3201,0)=ROW()-1,1,0))</f>
        <v/>
      </c>
      <c r="C2531" s="0" t="str">
        <f aca="false">IF(B2531=1,MAX(C$1:C2530)+1,"")</f>
        <v/>
      </c>
    </row>
    <row r="2532" customFormat="false" ht="15" hidden="false" customHeight="false" outlineLevel="0" collapsed="false">
      <c r="A2532" s="0" t="str">
        <f aca="false">IF(COMPRAS!K1332="","",COMPRAS!K1332)</f>
        <v/>
      </c>
      <c r="B2532" s="0" t="str">
        <f aca="false">IF(A2532="","",IF(MATCH(A2532,$A$2:$A$3201,0)=ROW()-1,1,0))</f>
        <v/>
      </c>
      <c r="C2532" s="0" t="str">
        <f aca="false">IF(B2532=1,MAX(C$1:C2531)+1,"")</f>
        <v/>
      </c>
    </row>
    <row r="2533" customFormat="false" ht="15" hidden="false" customHeight="false" outlineLevel="0" collapsed="false">
      <c r="A2533" s="0" t="str">
        <f aca="false">IF(COMPRAS!K1333="","",COMPRAS!K1333)</f>
        <v/>
      </c>
      <c r="B2533" s="0" t="str">
        <f aca="false">IF(A2533="","",IF(MATCH(A2533,$A$2:$A$3201,0)=ROW()-1,1,0))</f>
        <v/>
      </c>
      <c r="C2533" s="0" t="str">
        <f aca="false">IF(B2533=1,MAX(C$1:C2532)+1,"")</f>
        <v/>
      </c>
    </row>
    <row r="2534" customFormat="false" ht="15" hidden="false" customHeight="false" outlineLevel="0" collapsed="false">
      <c r="A2534" s="0" t="str">
        <f aca="false">IF(COMPRAS!K1334="","",COMPRAS!K1334)</f>
        <v/>
      </c>
      <c r="B2534" s="0" t="str">
        <f aca="false">IF(A2534="","",IF(MATCH(A2534,$A$2:$A$3201,0)=ROW()-1,1,0))</f>
        <v/>
      </c>
      <c r="C2534" s="0" t="str">
        <f aca="false">IF(B2534=1,MAX(C$1:C2533)+1,"")</f>
        <v/>
      </c>
    </row>
    <row r="2535" customFormat="false" ht="15" hidden="false" customHeight="false" outlineLevel="0" collapsed="false">
      <c r="A2535" s="0" t="str">
        <f aca="false">IF(COMPRAS!K1335="","",COMPRAS!K1335)</f>
        <v/>
      </c>
      <c r="B2535" s="0" t="str">
        <f aca="false">IF(A2535="","",IF(MATCH(A2535,$A$2:$A$3201,0)=ROW()-1,1,0))</f>
        <v/>
      </c>
      <c r="C2535" s="0" t="str">
        <f aca="false">IF(B2535=1,MAX(C$1:C2534)+1,"")</f>
        <v/>
      </c>
    </row>
    <row r="2536" customFormat="false" ht="15" hidden="false" customHeight="false" outlineLevel="0" collapsed="false">
      <c r="A2536" s="0" t="str">
        <f aca="false">IF(COMPRAS!K1336="","",COMPRAS!K1336)</f>
        <v/>
      </c>
      <c r="B2536" s="0" t="str">
        <f aca="false">IF(A2536="","",IF(MATCH(A2536,$A$2:$A$3201,0)=ROW()-1,1,0))</f>
        <v/>
      </c>
      <c r="C2536" s="0" t="str">
        <f aca="false">IF(B2536=1,MAX(C$1:C2535)+1,"")</f>
        <v/>
      </c>
    </row>
    <row r="2537" customFormat="false" ht="15" hidden="false" customHeight="false" outlineLevel="0" collapsed="false">
      <c r="A2537" s="0" t="str">
        <f aca="false">IF(COMPRAS!K1337="","",COMPRAS!K1337)</f>
        <v/>
      </c>
      <c r="B2537" s="0" t="str">
        <f aca="false">IF(A2537="","",IF(MATCH(A2537,$A$2:$A$3201,0)=ROW()-1,1,0))</f>
        <v/>
      </c>
      <c r="C2537" s="0" t="str">
        <f aca="false">IF(B2537=1,MAX(C$1:C2536)+1,"")</f>
        <v/>
      </c>
    </row>
    <row r="2538" customFormat="false" ht="15" hidden="false" customHeight="false" outlineLevel="0" collapsed="false">
      <c r="A2538" s="0" t="str">
        <f aca="false">IF(COMPRAS!K1338="","",COMPRAS!K1338)</f>
        <v/>
      </c>
      <c r="B2538" s="0" t="str">
        <f aca="false">IF(A2538="","",IF(MATCH(A2538,$A$2:$A$3201,0)=ROW()-1,1,0))</f>
        <v/>
      </c>
      <c r="C2538" s="0" t="str">
        <f aca="false">IF(B2538=1,MAX(C$1:C2537)+1,"")</f>
        <v/>
      </c>
    </row>
    <row r="2539" customFormat="false" ht="15" hidden="false" customHeight="false" outlineLevel="0" collapsed="false">
      <c r="A2539" s="0" t="str">
        <f aca="false">IF(COMPRAS!K1339="","",COMPRAS!K1339)</f>
        <v/>
      </c>
      <c r="B2539" s="0" t="str">
        <f aca="false">IF(A2539="","",IF(MATCH(A2539,$A$2:$A$3201,0)=ROW()-1,1,0))</f>
        <v/>
      </c>
      <c r="C2539" s="0" t="str">
        <f aca="false">IF(B2539=1,MAX(C$1:C2538)+1,"")</f>
        <v/>
      </c>
    </row>
    <row r="2540" customFormat="false" ht="15" hidden="false" customHeight="false" outlineLevel="0" collapsed="false">
      <c r="A2540" s="0" t="str">
        <f aca="false">IF(COMPRAS!K1340="","",COMPRAS!K1340)</f>
        <v/>
      </c>
      <c r="B2540" s="0" t="str">
        <f aca="false">IF(A2540="","",IF(MATCH(A2540,$A$2:$A$3201,0)=ROW()-1,1,0))</f>
        <v/>
      </c>
      <c r="C2540" s="0" t="str">
        <f aca="false">IF(B2540=1,MAX(C$1:C2539)+1,"")</f>
        <v/>
      </c>
    </row>
    <row r="2541" customFormat="false" ht="15" hidden="false" customHeight="false" outlineLevel="0" collapsed="false">
      <c r="A2541" s="0" t="str">
        <f aca="false">IF(COMPRAS!K1341="","",COMPRAS!K1341)</f>
        <v/>
      </c>
      <c r="B2541" s="0" t="str">
        <f aca="false">IF(A2541="","",IF(MATCH(A2541,$A$2:$A$3201,0)=ROW()-1,1,0))</f>
        <v/>
      </c>
      <c r="C2541" s="0" t="str">
        <f aca="false">IF(B2541=1,MAX(C$1:C2540)+1,"")</f>
        <v/>
      </c>
    </row>
    <row r="2542" customFormat="false" ht="15" hidden="false" customHeight="false" outlineLevel="0" collapsed="false">
      <c r="A2542" s="0" t="str">
        <f aca="false">IF(COMPRAS!K1342="","",COMPRAS!K1342)</f>
        <v/>
      </c>
      <c r="B2542" s="0" t="str">
        <f aca="false">IF(A2542="","",IF(MATCH(A2542,$A$2:$A$3201,0)=ROW()-1,1,0))</f>
        <v/>
      </c>
      <c r="C2542" s="0" t="str">
        <f aca="false">IF(B2542=1,MAX(C$1:C2541)+1,"")</f>
        <v/>
      </c>
    </row>
    <row r="2543" customFormat="false" ht="15" hidden="false" customHeight="false" outlineLevel="0" collapsed="false">
      <c r="A2543" s="0" t="str">
        <f aca="false">IF(COMPRAS!K1343="","",COMPRAS!K1343)</f>
        <v/>
      </c>
      <c r="B2543" s="0" t="str">
        <f aca="false">IF(A2543="","",IF(MATCH(A2543,$A$2:$A$3201,0)=ROW()-1,1,0))</f>
        <v/>
      </c>
      <c r="C2543" s="0" t="str">
        <f aca="false">IF(B2543=1,MAX(C$1:C2542)+1,"")</f>
        <v/>
      </c>
    </row>
    <row r="2544" customFormat="false" ht="15" hidden="false" customHeight="false" outlineLevel="0" collapsed="false">
      <c r="A2544" s="0" t="str">
        <f aca="false">IF(COMPRAS!K1344="","",COMPRAS!K1344)</f>
        <v/>
      </c>
      <c r="B2544" s="0" t="str">
        <f aca="false">IF(A2544="","",IF(MATCH(A2544,$A$2:$A$3201,0)=ROW()-1,1,0))</f>
        <v/>
      </c>
      <c r="C2544" s="0" t="str">
        <f aca="false">IF(B2544=1,MAX(C$1:C2543)+1,"")</f>
        <v/>
      </c>
    </row>
    <row r="2545" customFormat="false" ht="15" hidden="false" customHeight="false" outlineLevel="0" collapsed="false">
      <c r="A2545" s="0" t="str">
        <f aca="false">IF(COMPRAS!K1345="","",COMPRAS!K1345)</f>
        <v/>
      </c>
      <c r="B2545" s="0" t="str">
        <f aca="false">IF(A2545="","",IF(MATCH(A2545,$A$2:$A$3201,0)=ROW()-1,1,0))</f>
        <v/>
      </c>
      <c r="C2545" s="0" t="str">
        <f aca="false">IF(B2545=1,MAX(C$1:C2544)+1,"")</f>
        <v/>
      </c>
    </row>
    <row r="2546" customFormat="false" ht="15" hidden="false" customHeight="false" outlineLevel="0" collapsed="false">
      <c r="A2546" s="0" t="str">
        <f aca="false">IF(COMPRAS!K1346="","",COMPRAS!K1346)</f>
        <v/>
      </c>
      <c r="B2546" s="0" t="str">
        <f aca="false">IF(A2546="","",IF(MATCH(A2546,$A$2:$A$3201,0)=ROW()-1,1,0))</f>
        <v/>
      </c>
      <c r="C2546" s="0" t="str">
        <f aca="false">IF(B2546=1,MAX(C$1:C2545)+1,"")</f>
        <v/>
      </c>
    </row>
    <row r="2547" customFormat="false" ht="15" hidden="false" customHeight="false" outlineLevel="0" collapsed="false">
      <c r="A2547" s="0" t="str">
        <f aca="false">IF(COMPRAS!K1347="","",COMPRAS!K1347)</f>
        <v/>
      </c>
      <c r="B2547" s="0" t="str">
        <f aca="false">IF(A2547="","",IF(MATCH(A2547,$A$2:$A$3201,0)=ROW()-1,1,0))</f>
        <v/>
      </c>
      <c r="C2547" s="0" t="str">
        <f aca="false">IF(B2547=1,MAX(C$1:C2546)+1,"")</f>
        <v/>
      </c>
    </row>
    <row r="2548" customFormat="false" ht="15" hidden="false" customHeight="false" outlineLevel="0" collapsed="false">
      <c r="A2548" s="0" t="str">
        <f aca="false">IF(COMPRAS!K1348="","",COMPRAS!K1348)</f>
        <v/>
      </c>
      <c r="B2548" s="0" t="str">
        <f aca="false">IF(A2548="","",IF(MATCH(A2548,$A$2:$A$3201,0)=ROW()-1,1,0))</f>
        <v/>
      </c>
      <c r="C2548" s="0" t="str">
        <f aca="false">IF(B2548=1,MAX(C$1:C2547)+1,"")</f>
        <v/>
      </c>
    </row>
    <row r="2549" customFormat="false" ht="15" hidden="false" customHeight="false" outlineLevel="0" collapsed="false">
      <c r="A2549" s="0" t="str">
        <f aca="false">IF(COMPRAS!K1349="","",COMPRAS!K1349)</f>
        <v/>
      </c>
      <c r="B2549" s="0" t="str">
        <f aca="false">IF(A2549="","",IF(MATCH(A2549,$A$2:$A$3201,0)=ROW()-1,1,0))</f>
        <v/>
      </c>
      <c r="C2549" s="0" t="str">
        <f aca="false">IF(B2549=1,MAX(C$1:C2548)+1,"")</f>
        <v/>
      </c>
    </row>
    <row r="2550" customFormat="false" ht="15" hidden="false" customHeight="false" outlineLevel="0" collapsed="false">
      <c r="A2550" s="0" t="str">
        <f aca="false">IF(COMPRAS!K1350="","",COMPRAS!K1350)</f>
        <v/>
      </c>
      <c r="B2550" s="0" t="str">
        <f aca="false">IF(A2550="","",IF(MATCH(A2550,$A$2:$A$3201,0)=ROW()-1,1,0))</f>
        <v/>
      </c>
      <c r="C2550" s="0" t="str">
        <f aca="false">IF(B2550=1,MAX(C$1:C2549)+1,"")</f>
        <v/>
      </c>
    </row>
    <row r="2551" customFormat="false" ht="15" hidden="false" customHeight="false" outlineLevel="0" collapsed="false">
      <c r="A2551" s="0" t="str">
        <f aca="false">IF(COMPRAS!K1351="","",COMPRAS!K1351)</f>
        <v/>
      </c>
      <c r="B2551" s="0" t="str">
        <f aca="false">IF(A2551="","",IF(MATCH(A2551,$A$2:$A$3201,0)=ROW()-1,1,0))</f>
        <v/>
      </c>
      <c r="C2551" s="0" t="str">
        <f aca="false">IF(B2551=1,MAX(C$1:C2550)+1,"")</f>
        <v/>
      </c>
    </row>
    <row r="2552" customFormat="false" ht="15" hidden="false" customHeight="false" outlineLevel="0" collapsed="false">
      <c r="A2552" s="0" t="str">
        <f aca="false">IF(COMPRAS!K1352="","",COMPRAS!K1352)</f>
        <v/>
      </c>
      <c r="B2552" s="0" t="str">
        <f aca="false">IF(A2552="","",IF(MATCH(A2552,$A$2:$A$3201,0)=ROW()-1,1,0))</f>
        <v/>
      </c>
      <c r="C2552" s="0" t="str">
        <f aca="false">IF(B2552=1,MAX(C$1:C2551)+1,"")</f>
        <v/>
      </c>
    </row>
    <row r="2553" customFormat="false" ht="15" hidden="false" customHeight="false" outlineLevel="0" collapsed="false">
      <c r="A2553" s="0" t="str">
        <f aca="false">IF(COMPRAS!K1353="","",COMPRAS!K1353)</f>
        <v/>
      </c>
      <c r="B2553" s="0" t="str">
        <f aca="false">IF(A2553="","",IF(MATCH(A2553,$A$2:$A$3201,0)=ROW()-1,1,0))</f>
        <v/>
      </c>
      <c r="C2553" s="0" t="str">
        <f aca="false">IF(B2553=1,MAX(C$1:C2552)+1,"")</f>
        <v/>
      </c>
    </row>
    <row r="2554" customFormat="false" ht="15" hidden="false" customHeight="false" outlineLevel="0" collapsed="false">
      <c r="A2554" s="0" t="str">
        <f aca="false">IF(COMPRAS!K1354="","",COMPRAS!K1354)</f>
        <v/>
      </c>
      <c r="B2554" s="0" t="str">
        <f aca="false">IF(A2554="","",IF(MATCH(A2554,$A$2:$A$3201,0)=ROW()-1,1,0))</f>
        <v/>
      </c>
      <c r="C2554" s="0" t="str">
        <f aca="false">IF(B2554=1,MAX(C$1:C2553)+1,"")</f>
        <v/>
      </c>
    </row>
    <row r="2555" customFormat="false" ht="15" hidden="false" customHeight="false" outlineLevel="0" collapsed="false">
      <c r="A2555" s="0" t="str">
        <f aca="false">IF(COMPRAS!K1355="","",COMPRAS!K1355)</f>
        <v/>
      </c>
      <c r="B2555" s="0" t="str">
        <f aca="false">IF(A2555="","",IF(MATCH(A2555,$A$2:$A$3201,0)=ROW()-1,1,0))</f>
        <v/>
      </c>
      <c r="C2555" s="0" t="str">
        <f aca="false">IF(B2555=1,MAX(C$1:C2554)+1,"")</f>
        <v/>
      </c>
    </row>
    <row r="2556" customFormat="false" ht="15" hidden="false" customHeight="false" outlineLevel="0" collapsed="false">
      <c r="A2556" s="0" t="str">
        <f aca="false">IF(COMPRAS!K1356="","",COMPRAS!K1356)</f>
        <v/>
      </c>
      <c r="B2556" s="0" t="str">
        <f aca="false">IF(A2556="","",IF(MATCH(A2556,$A$2:$A$3201,0)=ROW()-1,1,0))</f>
        <v/>
      </c>
      <c r="C2556" s="0" t="str">
        <f aca="false">IF(B2556=1,MAX(C$1:C2555)+1,"")</f>
        <v/>
      </c>
    </row>
    <row r="2557" customFormat="false" ht="15" hidden="false" customHeight="false" outlineLevel="0" collapsed="false">
      <c r="A2557" s="0" t="str">
        <f aca="false">IF(COMPRAS!K1357="","",COMPRAS!K1357)</f>
        <v/>
      </c>
      <c r="B2557" s="0" t="str">
        <f aca="false">IF(A2557="","",IF(MATCH(A2557,$A$2:$A$3201,0)=ROW()-1,1,0))</f>
        <v/>
      </c>
      <c r="C2557" s="0" t="str">
        <f aca="false">IF(B2557=1,MAX(C$1:C2556)+1,"")</f>
        <v/>
      </c>
    </row>
    <row r="2558" customFormat="false" ht="15" hidden="false" customHeight="false" outlineLevel="0" collapsed="false">
      <c r="A2558" s="0" t="str">
        <f aca="false">IF(COMPRAS!K1358="","",COMPRAS!K1358)</f>
        <v/>
      </c>
      <c r="B2558" s="0" t="str">
        <f aca="false">IF(A2558="","",IF(MATCH(A2558,$A$2:$A$3201,0)=ROW()-1,1,0))</f>
        <v/>
      </c>
      <c r="C2558" s="0" t="str">
        <f aca="false">IF(B2558=1,MAX(C$1:C2557)+1,"")</f>
        <v/>
      </c>
    </row>
    <row r="2559" customFormat="false" ht="15" hidden="false" customHeight="false" outlineLevel="0" collapsed="false">
      <c r="A2559" s="0" t="str">
        <f aca="false">IF(COMPRAS!K1359="","",COMPRAS!K1359)</f>
        <v/>
      </c>
      <c r="B2559" s="0" t="str">
        <f aca="false">IF(A2559="","",IF(MATCH(A2559,$A$2:$A$3201,0)=ROW()-1,1,0))</f>
        <v/>
      </c>
      <c r="C2559" s="0" t="str">
        <f aca="false">IF(B2559=1,MAX(C$1:C2558)+1,"")</f>
        <v/>
      </c>
    </row>
    <row r="2560" customFormat="false" ht="15" hidden="false" customHeight="false" outlineLevel="0" collapsed="false">
      <c r="A2560" s="0" t="str">
        <f aca="false">IF(COMPRAS!K1360="","",COMPRAS!K1360)</f>
        <v/>
      </c>
      <c r="B2560" s="0" t="str">
        <f aca="false">IF(A2560="","",IF(MATCH(A2560,$A$2:$A$3201,0)=ROW()-1,1,0))</f>
        <v/>
      </c>
      <c r="C2560" s="0" t="str">
        <f aca="false">IF(B2560=1,MAX(C$1:C2559)+1,"")</f>
        <v/>
      </c>
    </row>
    <row r="2561" customFormat="false" ht="15" hidden="false" customHeight="false" outlineLevel="0" collapsed="false">
      <c r="A2561" s="0" t="str">
        <f aca="false">IF(COMPRAS!K1361="","",COMPRAS!K1361)</f>
        <v/>
      </c>
      <c r="B2561" s="0" t="str">
        <f aca="false">IF(A2561="","",IF(MATCH(A2561,$A$2:$A$3201,0)=ROW()-1,1,0))</f>
        <v/>
      </c>
      <c r="C2561" s="0" t="str">
        <f aca="false">IF(B2561=1,MAX(C$1:C2560)+1,"")</f>
        <v/>
      </c>
    </row>
    <row r="2562" customFormat="false" ht="15" hidden="false" customHeight="false" outlineLevel="0" collapsed="false">
      <c r="A2562" s="0" t="str">
        <f aca="false">IF(COMPRAS!K1362="","",COMPRAS!K1362)</f>
        <v/>
      </c>
      <c r="B2562" s="0" t="str">
        <f aca="false">IF(A2562="","",IF(MATCH(A2562,$A$2:$A$3201,0)=ROW()-1,1,0))</f>
        <v/>
      </c>
      <c r="C2562" s="0" t="str">
        <f aca="false">IF(B2562=1,MAX(C$1:C2561)+1,"")</f>
        <v/>
      </c>
    </row>
    <row r="2563" customFormat="false" ht="15" hidden="false" customHeight="false" outlineLevel="0" collapsed="false">
      <c r="A2563" s="0" t="str">
        <f aca="false">IF(COMPRAS!K1363="","",COMPRAS!K1363)</f>
        <v/>
      </c>
      <c r="B2563" s="0" t="str">
        <f aca="false">IF(A2563="","",IF(MATCH(A2563,$A$2:$A$3201,0)=ROW()-1,1,0))</f>
        <v/>
      </c>
      <c r="C2563" s="0" t="str">
        <f aca="false">IF(B2563=1,MAX(C$1:C2562)+1,"")</f>
        <v/>
      </c>
    </row>
    <row r="2564" customFormat="false" ht="15" hidden="false" customHeight="false" outlineLevel="0" collapsed="false">
      <c r="A2564" s="0" t="str">
        <f aca="false">IF(COMPRAS!K1364="","",COMPRAS!K1364)</f>
        <v/>
      </c>
      <c r="B2564" s="0" t="str">
        <f aca="false">IF(A2564="","",IF(MATCH(A2564,$A$2:$A$3201,0)=ROW()-1,1,0))</f>
        <v/>
      </c>
      <c r="C2564" s="0" t="str">
        <f aca="false">IF(B2564=1,MAX(C$1:C2563)+1,"")</f>
        <v/>
      </c>
    </row>
    <row r="2565" customFormat="false" ht="15" hidden="false" customHeight="false" outlineLevel="0" collapsed="false">
      <c r="A2565" s="0" t="str">
        <f aca="false">IF(COMPRAS!K1365="","",COMPRAS!K1365)</f>
        <v/>
      </c>
      <c r="B2565" s="0" t="str">
        <f aca="false">IF(A2565="","",IF(MATCH(A2565,$A$2:$A$3201,0)=ROW()-1,1,0))</f>
        <v/>
      </c>
      <c r="C2565" s="0" t="str">
        <f aca="false">IF(B2565=1,MAX(C$1:C2564)+1,"")</f>
        <v/>
      </c>
    </row>
    <row r="2566" customFormat="false" ht="15" hidden="false" customHeight="false" outlineLevel="0" collapsed="false">
      <c r="A2566" s="0" t="str">
        <f aca="false">IF(COMPRAS!K1366="","",COMPRAS!K1366)</f>
        <v/>
      </c>
      <c r="B2566" s="0" t="str">
        <f aca="false">IF(A2566="","",IF(MATCH(A2566,$A$2:$A$3201,0)=ROW()-1,1,0))</f>
        <v/>
      </c>
      <c r="C2566" s="0" t="str">
        <f aca="false">IF(B2566=1,MAX(C$1:C2565)+1,"")</f>
        <v/>
      </c>
    </row>
    <row r="2567" customFormat="false" ht="15" hidden="false" customHeight="false" outlineLevel="0" collapsed="false">
      <c r="A2567" s="0" t="str">
        <f aca="false">IF(COMPRAS!K1367="","",COMPRAS!K1367)</f>
        <v/>
      </c>
      <c r="B2567" s="0" t="str">
        <f aca="false">IF(A2567="","",IF(MATCH(A2567,$A$2:$A$3201,0)=ROW()-1,1,0))</f>
        <v/>
      </c>
      <c r="C2567" s="0" t="str">
        <f aca="false">IF(B2567=1,MAX(C$1:C2566)+1,"")</f>
        <v/>
      </c>
    </row>
    <row r="2568" customFormat="false" ht="15" hidden="false" customHeight="false" outlineLevel="0" collapsed="false">
      <c r="A2568" s="0" t="str">
        <f aca="false">IF(COMPRAS!K1368="","",COMPRAS!K1368)</f>
        <v/>
      </c>
      <c r="B2568" s="0" t="str">
        <f aca="false">IF(A2568="","",IF(MATCH(A2568,$A$2:$A$3201,0)=ROW()-1,1,0))</f>
        <v/>
      </c>
      <c r="C2568" s="0" t="str">
        <f aca="false">IF(B2568=1,MAX(C$1:C2567)+1,"")</f>
        <v/>
      </c>
    </row>
    <row r="2569" customFormat="false" ht="15" hidden="false" customHeight="false" outlineLevel="0" collapsed="false">
      <c r="A2569" s="0" t="str">
        <f aca="false">IF(COMPRAS!K1369="","",COMPRAS!K1369)</f>
        <v/>
      </c>
      <c r="B2569" s="0" t="str">
        <f aca="false">IF(A2569="","",IF(MATCH(A2569,$A$2:$A$3201,0)=ROW()-1,1,0))</f>
        <v/>
      </c>
      <c r="C2569" s="0" t="str">
        <f aca="false">IF(B2569=1,MAX(C$1:C2568)+1,"")</f>
        <v/>
      </c>
    </row>
    <row r="2570" customFormat="false" ht="15" hidden="false" customHeight="false" outlineLevel="0" collapsed="false">
      <c r="A2570" s="0" t="str">
        <f aca="false">IF(COMPRAS!K1370="","",COMPRAS!K1370)</f>
        <v/>
      </c>
      <c r="B2570" s="0" t="str">
        <f aca="false">IF(A2570="","",IF(MATCH(A2570,$A$2:$A$3201,0)=ROW()-1,1,0))</f>
        <v/>
      </c>
      <c r="C2570" s="0" t="str">
        <f aca="false">IF(B2570=1,MAX(C$1:C2569)+1,"")</f>
        <v/>
      </c>
    </row>
    <row r="2571" customFormat="false" ht="15" hidden="false" customHeight="false" outlineLevel="0" collapsed="false">
      <c r="A2571" s="0" t="str">
        <f aca="false">IF(COMPRAS!K1371="","",COMPRAS!K1371)</f>
        <v/>
      </c>
      <c r="B2571" s="0" t="str">
        <f aca="false">IF(A2571="","",IF(MATCH(A2571,$A$2:$A$3201,0)=ROW()-1,1,0))</f>
        <v/>
      </c>
      <c r="C2571" s="0" t="str">
        <f aca="false">IF(B2571=1,MAX(C$1:C2570)+1,"")</f>
        <v/>
      </c>
    </row>
    <row r="2572" customFormat="false" ht="15" hidden="false" customHeight="false" outlineLevel="0" collapsed="false">
      <c r="A2572" s="0" t="str">
        <f aca="false">IF(COMPRAS!K1372="","",COMPRAS!K1372)</f>
        <v/>
      </c>
      <c r="B2572" s="0" t="str">
        <f aca="false">IF(A2572="","",IF(MATCH(A2572,$A$2:$A$3201,0)=ROW()-1,1,0))</f>
        <v/>
      </c>
      <c r="C2572" s="0" t="str">
        <f aca="false">IF(B2572=1,MAX(C$1:C2571)+1,"")</f>
        <v/>
      </c>
    </row>
    <row r="2573" customFormat="false" ht="15" hidden="false" customHeight="false" outlineLevel="0" collapsed="false">
      <c r="A2573" s="0" t="str">
        <f aca="false">IF(COMPRAS!K1373="","",COMPRAS!K1373)</f>
        <v/>
      </c>
      <c r="B2573" s="0" t="str">
        <f aca="false">IF(A2573="","",IF(MATCH(A2573,$A$2:$A$3201,0)=ROW()-1,1,0))</f>
        <v/>
      </c>
      <c r="C2573" s="0" t="str">
        <f aca="false">IF(B2573=1,MAX(C$1:C2572)+1,"")</f>
        <v/>
      </c>
    </row>
    <row r="2574" customFormat="false" ht="15" hidden="false" customHeight="false" outlineLevel="0" collapsed="false">
      <c r="A2574" s="0" t="str">
        <f aca="false">IF(COMPRAS!K1374="","",COMPRAS!K1374)</f>
        <v/>
      </c>
      <c r="B2574" s="0" t="str">
        <f aca="false">IF(A2574="","",IF(MATCH(A2574,$A$2:$A$3201,0)=ROW()-1,1,0))</f>
        <v/>
      </c>
      <c r="C2574" s="0" t="str">
        <f aca="false">IF(B2574=1,MAX(C$1:C2573)+1,"")</f>
        <v/>
      </c>
    </row>
    <row r="2575" customFormat="false" ht="15" hidden="false" customHeight="false" outlineLevel="0" collapsed="false">
      <c r="A2575" s="0" t="str">
        <f aca="false">IF(COMPRAS!K1375="","",COMPRAS!K1375)</f>
        <v/>
      </c>
      <c r="B2575" s="0" t="str">
        <f aca="false">IF(A2575="","",IF(MATCH(A2575,$A$2:$A$3201,0)=ROW()-1,1,0))</f>
        <v/>
      </c>
      <c r="C2575" s="0" t="str">
        <f aca="false">IF(B2575=1,MAX(C$1:C2574)+1,"")</f>
        <v/>
      </c>
    </row>
    <row r="2576" customFormat="false" ht="15" hidden="false" customHeight="false" outlineLevel="0" collapsed="false">
      <c r="A2576" s="0" t="str">
        <f aca="false">IF(COMPRAS!K1376="","",COMPRAS!K1376)</f>
        <v/>
      </c>
      <c r="B2576" s="0" t="str">
        <f aca="false">IF(A2576="","",IF(MATCH(A2576,$A$2:$A$3201,0)=ROW()-1,1,0))</f>
        <v/>
      </c>
      <c r="C2576" s="0" t="str">
        <f aca="false">IF(B2576=1,MAX(C$1:C2575)+1,"")</f>
        <v/>
      </c>
    </row>
    <row r="2577" customFormat="false" ht="15" hidden="false" customHeight="false" outlineLevel="0" collapsed="false">
      <c r="A2577" s="0" t="str">
        <f aca="false">IF(COMPRAS!K1377="","",COMPRAS!K1377)</f>
        <v/>
      </c>
      <c r="B2577" s="0" t="str">
        <f aca="false">IF(A2577="","",IF(MATCH(A2577,$A$2:$A$3201,0)=ROW()-1,1,0))</f>
        <v/>
      </c>
      <c r="C2577" s="0" t="str">
        <f aca="false">IF(B2577=1,MAX(C$1:C2576)+1,"")</f>
        <v/>
      </c>
    </row>
    <row r="2578" customFormat="false" ht="15" hidden="false" customHeight="false" outlineLevel="0" collapsed="false">
      <c r="A2578" s="0" t="str">
        <f aca="false">IF(COMPRAS!K1378="","",COMPRAS!K1378)</f>
        <v/>
      </c>
      <c r="B2578" s="0" t="str">
        <f aca="false">IF(A2578="","",IF(MATCH(A2578,$A$2:$A$3201,0)=ROW()-1,1,0))</f>
        <v/>
      </c>
      <c r="C2578" s="0" t="str">
        <f aca="false">IF(B2578=1,MAX(C$1:C2577)+1,"")</f>
        <v/>
      </c>
    </row>
    <row r="2579" customFormat="false" ht="15" hidden="false" customHeight="false" outlineLevel="0" collapsed="false">
      <c r="A2579" s="0" t="str">
        <f aca="false">IF(COMPRAS!K1379="","",COMPRAS!K1379)</f>
        <v/>
      </c>
      <c r="B2579" s="0" t="str">
        <f aca="false">IF(A2579="","",IF(MATCH(A2579,$A$2:$A$3201,0)=ROW()-1,1,0))</f>
        <v/>
      </c>
      <c r="C2579" s="0" t="str">
        <f aca="false">IF(B2579=1,MAX(C$1:C2578)+1,"")</f>
        <v/>
      </c>
    </row>
    <row r="2580" customFormat="false" ht="15" hidden="false" customHeight="false" outlineLevel="0" collapsed="false">
      <c r="A2580" s="0" t="str">
        <f aca="false">IF(COMPRAS!K1380="","",COMPRAS!K1380)</f>
        <v/>
      </c>
      <c r="B2580" s="0" t="str">
        <f aca="false">IF(A2580="","",IF(MATCH(A2580,$A$2:$A$3201,0)=ROW()-1,1,0))</f>
        <v/>
      </c>
      <c r="C2580" s="0" t="str">
        <f aca="false">IF(B2580=1,MAX(C$1:C2579)+1,"")</f>
        <v/>
      </c>
    </row>
    <row r="2581" customFormat="false" ht="15" hidden="false" customHeight="false" outlineLevel="0" collapsed="false">
      <c r="A2581" s="0" t="str">
        <f aca="false">IF(COMPRAS!K1381="","",COMPRAS!K1381)</f>
        <v/>
      </c>
      <c r="B2581" s="0" t="str">
        <f aca="false">IF(A2581="","",IF(MATCH(A2581,$A$2:$A$3201,0)=ROW()-1,1,0))</f>
        <v/>
      </c>
      <c r="C2581" s="0" t="str">
        <f aca="false">IF(B2581=1,MAX(C$1:C2580)+1,"")</f>
        <v/>
      </c>
    </row>
    <row r="2582" customFormat="false" ht="15" hidden="false" customHeight="false" outlineLevel="0" collapsed="false">
      <c r="A2582" s="0" t="str">
        <f aca="false">IF(COMPRAS!K1382="","",COMPRAS!K1382)</f>
        <v/>
      </c>
      <c r="B2582" s="0" t="str">
        <f aca="false">IF(A2582="","",IF(MATCH(A2582,$A$2:$A$3201,0)=ROW()-1,1,0))</f>
        <v/>
      </c>
      <c r="C2582" s="0" t="str">
        <f aca="false">IF(B2582=1,MAX(C$1:C2581)+1,"")</f>
        <v/>
      </c>
    </row>
    <row r="2583" customFormat="false" ht="15" hidden="false" customHeight="false" outlineLevel="0" collapsed="false">
      <c r="A2583" s="0" t="str">
        <f aca="false">IF(COMPRAS!K1383="","",COMPRAS!K1383)</f>
        <v/>
      </c>
      <c r="B2583" s="0" t="str">
        <f aca="false">IF(A2583="","",IF(MATCH(A2583,$A$2:$A$3201,0)=ROW()-1,1,0))</f>
        <v/>
      </c>
      <c r="C2583" s="0" t="str">
        <f aca="false">IF(B2583=1,MAX(C$1:C2582)+1,"")</f>
        <v/>
      </c>
    </row>
    <row r="2584" customFormat="false" ht="15" hidden="false" customHeight="false" outlineLevel="0" collapsed="false">
      <c r="A2584" s="0" t="str">
        <f aca="false">IF(COMPRAS!K1384="","",COMPRAS!K1384)</f>
        <v/>
      </c>
      <c r="B2584" s="0" t="str">
        <f aca="false">IF(A2584="","",IF(MATCH(A2584,$A$2:$A$3201,0)=ROW()-1,1,0))</f>
        <v/>
      </c>
      <c r="C2584" s="0" t="str">
        <f aca="false">IF(B2584=1,MAX(C$1:C2583)+1,"")</f>
        <v/>
      </c>
    </row>
    <row r="2585" customFormat="false" ht="15" hidden="false" customHeight="false" outlineLevel="0" collapsed="false">
      <c r="A2585" s="0" t="str">
        <f aca="false">IF(COMPRAS!K1385="","",COMPRAS!K1385)</f>
        <v/>
      </c>
      <c r="B2585" s="0" t="str">
        <f aca="false">IF(A2585="","",IF(MATCH(A2585,$A$2:$A$3201,0)=ROW()-1,1,0))</f>
        <v/>
      </c>
      <c r="C2585" s="0" t="str">
        <f aca="false">IF(B2585=1,MAX(C$1:C2584)+1,"")</f>
        <v/>
      </c>
    </row>
    <row r="2586" customFormat="false" ht="15" hidden="false" customHeight="false" outlineLevel="0" collapsed="false">
      <c r="A2586" s="0" t="str">
        <f aca="false">IF(COMPRAS!K1386="","",COMPRAS!K1386)</f>
        <v/>
      </c>
      <c r="B2586" s="0" t="str">
        <f aca="false">IF(A2586="","",IF(MATCH(A2586,$A$2:$A$3201,0)=ROW()-1,1,0))</f>
        <v/>
      </c>
      <c r="C2586" s="0" t="str">
        <f aca="false">IF(B2586=1,MAX(C$1:C2585)+1,"")</f>
        <v/>
      </c>
    </row>
    <row r="2587" customFormat="false" ht="15" hidden="false" customHeight="false" outlineLevel="0" collapsed="false">
      <c r="A2587" s="0" t="str">
        <f aca="false">IF(COMPRAS!K1387="","",COMPRAS!K1387)</f>
        <v/>
      </c>
      <c r="B2587" s="0" t="str">
        <f aca="false">IF(A2587="","",IF(MATCH(A2587,$A$2:$A$3201,0)=ROW()-1,1,0))</f>
        <v/>
      </c>
      <c r="C2587" s="0" t="str">
        <f aca="false">IF(B2587=1,MAX(C$1:C2586)+1,"")</f>
        <v/>
      </c>
    </row>
    <row r="2588" customFormat="false" ht="15" hidden="false" customHeight="false" outlineLevel="0" collapsed="false">
      <c r="A2588" s="0" t="str">
        <f aca="false">IF(COMPRAS!K1388="","",COMPRAS!K1388)</f>
        <v/>
      </c>
      <c r="B2588" s="0" t="str">
        <f aca="false">IF(A2588="","",IF(MATCH(A2588,$A$2:$A$3201,0)=ROW()-1,1,0))</f>
        <v/>
      </c>
      <c r="C2588" s="0" t="str">
        <f aca="false">IF(B2588=1,MAX(C$1:C2587)+1,"")</f>
        <v/>
      </c>
    </row>
    <row r="2589" customFormat="false" ht="15" hidden="false" customHeight="false" outlineLevel="0" collapsed="false">
      <c r="A2589" s="0" t="str">
        <f aca="false">IF(COMPRAS!K1389="","",COMPRAS!K1389)</f>
        <v/>
      </c>
      <c r="B2589" s="0" t="str">
        <f aca="false">IF(A2589="","",IF(MATCH(A2589,$A$2:$A$3201,0)=ROW()-1,1,0))</f>
        <v/>
      </c>
      <c r="C2589" s="0" t="str">
        <f aca="false">IF(B2589=1,MAX(C$1:C2588)+1,"")</f>
        <v/>
      </c>
    </row>
    <row r="2590" customFormat="false" ht="15" hidden="false" customHeight="false" outlineLevel="0" collapsed="false">
      <c r="A2590" s="0" t="str">
        <f aca="false">IF(COMPRAS!K1390="","",COMPRAS!K1390)</f>
        <v/>
      </c>
      <c r="B2590" s="0" t="str">
        <f aca="false">IF(A2590="","",IF(MATCH(A2590,$A$2:$A$3201,0)=ROW()-1,1,0))</f>
        <v/>
      </c>
      <c r="C2590" s="0" t="str">
        <f aca="false">IF(B2590=1,MAX(C$1:C2589)+1,"")</f>
        <v/>
      </c>
    </row>
    <row r="2591" customFormat="false" ht="15" hidden="false" customHeight="false" outlineLevel="0" collapsed="false">
      <c r="A2591" s="0" t="str">
        <f aca="false">IF(COMPRAS!K1391="","",COMPRAS!K1391)</f>
        <v/>
      </c>
      <c r="B2591" s="0" t="str">
        <f aca="false">IF(A2591="","",IF(MATCH(A2591,$A$2:$A$3201,0)=ROW()-1,1,0))</f>
        <v/>
      </c>
      <c r="C2591" s="0" t="str">
        <f aca="false">IF(B2591=1,MAX(C$1:C2590)+1,"")</f>
        <v/>
      </c>
    </row>
    <row r="2592" customFormat="false" ht="15" hidden="false" customHeight="false" outlineLevel="0" collapsed="false">
      <c r="A2592" s="0" t="str">
        <f aca="false">IF(COMPRAS!K1392="","",COMPRAS!K1392)</f>
        <v/>
      </c>
      <c r="B2592" s="0" t="str">
        <f aca="false">IF(A2592="","",IF(MATCH(A2592,$A$2:$A$3201,0)=ROW()-1,1,0))</f>
        <v/>
      </c>
      <c r="C2592" s="0" t="str">
        <f aca="false">IF(B2592=1,MAX(C$1:C2591)+1,"")</f>
        <v/>
      </c>
    </row>
    <row r="2593" customFormat="false" ht="15" hidden="false" customHeight="false" outlineLevel="0" collapsed="false">
      <c r="A2593" s="0" t="str">
        <f aca="false">IF(COMPRAS!K1393="","",COMPRAS!K1393)</f>
        <v/>
      </c>
      <c r="B2593" s="0" t="str">
        <f aca="false">IF(A2593="","",IF(MATCH(A2593,$A$2:$A$3201,0)=ROW()-1,1,0))</f>
        <v/>
      </c>
      <c r="C2593" s="0" t="str">
        <f aca="false">IF(B2593=1,MAX(C$1:C2592)+1,"")</f>
        <v/>
      </c>
    </row>
    <row r="2594" customFormat="false" ht="15" hidden="false" customHeight="false" outlineLevel="0" collapsed="false">
      <c r="A2594" s="0" t="str">
        <f aca="false">IF(COMPRAS!K1394="","",COMPRAS!K1394)</f>
        <v/>
      </c>
      <c r="B2594" s="0" t="str">
        <f aca="false">IF(A2594="","",IF(MATCH(A2594,$A$2:$A$3201,0)=ROW()-1,1,0))</f>
        <v/>
      </c>
      <c r="C2594" s="0" t="str">
        <f aca="false">IF(B2594=1,MAX(C$1:C2593)+1,"")</f>
        <v/>
      </c>
    </row>
    <row r="2595" customFormat="false" ht="15" hidden="false" customHeight="false" outlineLevel="0" collapsed="false">
      <c r="A2595" s="0" t="str">
        <f aca="false">IF(COMPRAS!K1395="","",COMPRAS!K1395)</f>
        <v/>
      </c>
      <c r="B2595" s="0" t="str">
        <f aca="false">IF(A2595="","",IF(MATCH(A2595,$A$2:$A$3201,0)=ROW()-1,1,0))</f>
        <v/>
      </c>
      <c r="C2595" s="0" t="str">
        <f aca="false">IF(B2595=1,MAX(C$1:C2594)+1,"")</f>
        <v/>
      </c>
    </row>
    <row r="2596" customFormat="false" ht="15" hidden="false" customHeight="false" outlineLevel="0" collapsed="false">
      <c r="A2596" s="0" t="str">
        <f aca="false">IF(COMPRAS!K1396="","",COMPRAS!K1396)</f>
        <v/>
      </c>
      <c r="B2596" s="0" t="str">
        <f aca="false">IF(A2596="","",IF(MATCH(A2596,$A$2:$A$3201,0)=ROW()-1,1,0))</f>
        <v/>
      </c>
      <c r="C2596" s="0" t="str">
        <f aca="false">IF(B2596=1,MAX(C$1:C2595)+1,"")</f>
        <v/>
      </c>
    </row>
    <row r="2597" customFormat="false" ht="15" hidden="false" customHeight="false" outlineLevel="0" collapsed="false">
      <c r="A2597" s="0" t="str">
        <f aca="false">IF(COMPRAS!K1397="","",COMPRAS!K1397)</f>
        <v/>
      </c>
      <c r="B2597" s="0" t="str">
        <f aca="false">IF(A2597="","",IF(MATCH(A2597,$A$2:$A$3201,0)=ROW()-1,1,0))</f>
        <v/>
      </c>
      <c r="C2597" s="0" t="str">
        <f aca="false">IF(B2597=1,MAX(C$1:C2596)+1,"")</f>
        <v/>
      </c>
    </row>
    <row r="2598" customFormat="false" ht="15" hidden="false" customHeight="false" outlineLevel="0" collapsed="false">
      <c r="A2598" s="0" t="str">
        <f aca="false">IF(COMPRAS!K1398="","",COMPRAS!K1398)</f>
        <v/>
      </c>
      <c r="B2598" s="0" t="str">
        <f aca="false">IF(A2598="","",IF(MATCH(A2598,$A$2:$A$3201,0)=ROW()-1,1,0))</f>
        <v/>
      </c>
      <c r="C2598" s="0" t="str">
        <f aca="false">IF(B2598=1,MAX(C$1:C2597)+1,"")</f>
        <v/>
      </c>
    </row>
    <row r="2599" customFormat="false" ht="15" hidden="false" customHeight="false" outlineLevel="0" collapsed="false">
      <c r="A2599" s="0" t="str">
        <f aca="false">IF(COMPRAS!K1399="","",COMPRAS!K1399)</f>
        <v/>
      </c>
      <c r="B2599" s="0" t="str">
        <f aca="false">IF(A2599="","",IF(MATCH(A2599,$A$2:$A$3201,0)=ROW()-1,1,0))</f>
        <v/>
      </c>
      <c r="C2599" s="0" t="str">
        <f aca="false">IF(B2599=1,MAX(C$1:C2598)+1,"")</f>
        <v/>
      </c>
    </row>
    <row r="2600" customFormat="false" ht="15" hidden="false" customHeight="false" outlineLevel="0" collapsed="false">
      <c r="A2600" s="0" t="str">
        <f aca="false">IF(COMPRAS!K1400="","",COMPRAS!K1400)</f>
        <v/>
      </c>
      <c r="B2600" s="0" t="str">
        <f aca="false">IF(A2600="","",IF(MATCH(A2600,$A$2:$A$3201,0)=ROW()-1,1,0))</f>
        <v/>
      </c>
      <c r="C2600" s="0" t="str">
        <f aca="false">IF(B2600=1,MAX(C$1:C2599)+1,"")</f>
        <v/>
      </c>
    </row>
    <row r="2601" customFormat="false" ht="15" hidden="false" customHeight="false" outlineLevel="0" collapsed="false">
      <c r="A2601" s="0" t="str">
        <f aca="false">IF(COMPRAS!K1401="","",COMPRAS!K1401)</f>
        <v/>
      </c>
      <c r="B2601" s="0" t="str">
        <f aca="false">IF(A2601="","",IF(MATCH(A2601,$A$2:$A$3201,0)=ROW()-1,1,0))</f>
        <v/>
      </c>
      <c r="C2601" s="0" t="str">
        <f aca="false">IF(B2601=1,MAX(C$1:C2600)+1,"")</f>
        <v/>
      </c>
    </row>
    <row r="2602" customFormat="false" ht="15" hidden="false" customHeight="false" outlineLevel="0" collapsed="false">
      <c r="A2602" s="0" t="str">
        <f aca="false">IF(COMPRAS!K1402="","",COMPRAS!K1402)</f>
        <v/>
      </c>
      <c r="B2602" s="0" t="str">
        <f aca="false">IF(A2602="","",IF(MATCH(A2602,$A$2:$A$3201,0)=ROW()-1,1,0))</f>
        <v/>
      </c>
      <c r="C2602" s="0" t="str">
        <f aca="false">IF(B2602=1,MAX(C$1:C2601)+1,"")</f>
        <v/>
      </c>
    </row>
    <row r="2603" customFormat="false" ht="15" hidden="false" customHeight="false" outlineLevel="0" collapsed="false">
      <c r="A2603" s="0" t="str">
        <f aca="false">IF(COMPRAS!K1403="","",COMPRAS!K1403)</f>
        <v/>
      </c>
      <c r="B2603" s="0" t="str">
        <f aca="false">IF(A2603="","",IF(MATCH(A2603,$A$2:$A$3201,0)=ROW()-1,1,0))</f>
        <v/>
      </c>
      <c r="C2603" s="0" t="str">
        <f aca="false">IF(B2603=1,MAX(C$1:C2602)+1,"")</f>
        <v/>
      </c>
    </row>
    <row r="2604" customFormat="false" ht="15" hidden="false" customHeight="false" outlineLevel="0" collapsed="false">
      <c r="A2604" s="0" t="str">
        <f aca="false">IF(COMPRAS!K1404="","",COMPRAS!K1404)</f>
        <v/>
      </c>
      <c r="B2604" s="0" t="str">
        <f aca="false">IF(A2604="","",IF(MATCH(A2604,$A$2:$A$3201,0)=ROW()-1,1,0))</f>
        <v/>
      </c>
      <c r="C2604" s="0" t="str">
        <f aca="false">IF(B2604=1,MAX(C$1:C2603)+1,"")</f>
        <v/>
      </c>
    </row>
    <row r="2605" customFormat="false" ht="15" hidden="false" customHeight="false" outlineLevel="0" collapsed="false">
      <c r="A2605" s="0" t="str">
        <f aca="false">IF(COMPRAS!K1405="","",COMPRAS!K1405)</f>
        <v/>
      </c>
      <c r="B2605" s="0" t="str">
        <f aca="false">IF(A2605="","",IF(MATCH(A2605,$A$2:$A$3201,0)=ROW()-1,1,0))</f>
        <v/>
      </c>
      <c r="C2605" s="0" t="str">
        <f aca="false">IF(B2605=1,MAX(C$1:C2604)+1,"")</f>
        <v/>
      </c>
    </row>
    <row r="2606" customFormat="false" ht="15" hidden="false" customHeight="false" outlineLevel="0" collapsed="false">
      <c r="A2606" s="0" t="str">
        <f aca="false">IF(COMPRAS!K1406="","",COMPRAS!K1406)</f>
        <v/>
      </c>
      <c r="B2606" s="0" t="str">
        <f aca="false">IF(A2606="","",IF(MATCH(A2606,$A$2:$A$3201,0)=ROW()-1,1,0))</f>
        <v/>
      </c>
      <c r="C2606" s="0" t="str">
        <f aca="false">IF(B2606=1,MAX(C$1:C2605)+1,"")</f>
        <v/>
      </c>
    </row>
    <row r="2607" customFormat="false" ht="15" hidden="false" customHeight="false" outlineLevel="0" collapsed="false">
      <c r="A2607" s="0" t="str">
        <f aca="false">IF(COMPRAS!K1407="","",COMPRAS!K1407)</f>
        <v/>
      </c>
      <c r="B2607" s="0" t="str">
        <f aca="false">IF(A2607="","",IF(MATCH(A2607,$A$2:$A$3201,0)=ROW()-1,1,0))</f>
        <v/>
      </c>
      <c r="C2607" s="0" t="str">
        <f aca="false">IF(B2607=1,MAX(C$1:C2606)+1,"")</f>
        <v/>
      </c>
    </row>
    <row r="2608" customFormat="false" ht="15" hidden="false" customHeight="false" outlineLevel="0" collapsed="false">
      <c r="A2608" s="0" t="str">
        <f aca="false">IF(COMPRAS!K1408="","",COMPRAS!K1408)</f>
        <v/>
      </c>
      <c r="B2608" s="0" t="str">
        <f aca="false">IF(A2608="","",IF(MATCH(A2608,$A$2:$A$3201,0)=ROW()-1,1,0))</f>
        <v/>
      </c>
      <c r="C2608" s="0" t="str">
        <f aca="false">IF(B2608=1,MAX(C$1:C2607)+1,"")</f>
        <v/>
      </c>
    </row>
    <row r="2609" customFormat="false" ht="15" hidden="false" customHeight="false" outlineLevel="0" collapsed="false">
      <c r="A2609" s="0" t="str">
        <f aca="false">IF(COMPRAS!K1409="","",COMPRAS!K1409)</f>
        <v/>
      </c>
      <c r="B2609" s="0" t="str">
        <f aca="false">IF(A2609="","",IF(MATCH(A2609,$A$2:$A$3201,0)=ROW()-1,1,0))</f>
        <v/>
      </c>
      <c r="C2609" s="0" t="str">
        <f aca="false">IF(B2609=1,MAX(C$1:C2608)+1,"")</f>
        <v/>
      </c>
    </row>
    <row r="2610" customFormat="false" ht="15" hidden="false" customHeight="false" outlineLevel="0" collapsed="false">
      <c r="A2610" s="0" t="str">
        <f aca="false">IF(COMPRAS!K1410="","",COMPRAS!K1410)</f>
        <v/>
      </c>
      <c r="B2610" s="0" t="str">
        <f aca="false">IF(A2610="","",IF(MATCH(A2610,$A$2:$A$3201,0)=ROW()-1,1,0))</f>
        <v/>
      </c>
      <c r="C2610" s="0" t="str">
        <f aca="false">IF(B2610=1,MAX(C$1:C2609)+1,"")</f>
        <v/>
      </c>
    </row>
    <row r="2611" customFormat="false" ht="15" hidden="false" customHeight="false" outlineLevel="0" collapsed="false">
      <c r="A2611" s="0" t="str">
        <f aca="false">IF(COMPRAS!K1411="","",COMPRAS!K1411)</f>
        <v/>
      </c>
      <c r="B2611" s="0" t="str">
        <f aca="false">IF(A2611="","",IF(MATCH(A2611,$A$2:$A$3201,0)=ROW()-1,1,0))</f>
        <v/>
      </c>
      <c r="C2611" s="0" t="str">
        <f aca="false">IF(B2611=1,MAX(C$1:C2610)+1,"")</f>
        <v/>
      </c>
    </row>
    <row r="2612" customFormat="false" ht="15" hidden="false" customHeight="false" outlineLevel="0" collapsed="false">
      <c r="A2612" s="0" t="str">
        <f aca="false">IF(COMPRAS!K1412="","",COMPRAS!K1412)</f>
        <v/>
      </c>
      <c r="B2612" s="0" t="str">
        <f aca="false">IF(A2612="","",IF(MATCH(A2612,$A$2:$A$3201,0)=ROW()-1,1,0))</f>
        <v/>
      </c>
      <c r="C2612" s="0" t="str">
        <f aca="false">IF(B2612=1,MAX(C$1:C2611)+1,"")</f>
        <v/>
      </c>
    </row>
    <row r="2613" customFormat="false" ht="15" hidden="false" customHeight="false" outlineLevel="0" collapsed="false">
      <c r="A2613" s="0" t="str">
        <f aca="false">IF(COMPRAS!K1413="","",COMPRAS!K1413)</f>
        <v/>
      </c>
      <c r="B2613" s="0" t="str">
        <f aca="false">IF(A2613="","",IF(MATCH(A2613,$A$2:$A$3201,0)=ROW()-1,1,0))</f>
        <v/>
      </c>
      <c r="C2613" s="0" t="str">
        <f aca="false">IF(B2613=1,MAX(C$1:C2612)+1,"")</f>
        <v/>
      </c>
    </row>
    <row r="2614" customFormat="false" ht="15" hidden="false" customHeight="false" outlineLevel="0" collapsed="false">
      <c r="A2614" s="0" t="str">
        <f aca="false">IF(COMPRAS!K1414="","",COMPRAS!K1414)</f>
        <v/>
      </c>
      <c r="B2614" s="0" t="str">
        <f aca="false">IF(A2614="","",IF(MATCH(A2614,$A$2:$A$3201,0)=ROW()-1,1,0))</f>
        <v/>
      </c>
      <c r="C2614" s="0" t="str">
        <f aca="false">IF(B2614=1,MAX(C$1:C2613)+1,"")</f>
        <v/>
      </c>
    </row>
    <row r="2615" customFormat="false" ht="15" hidden="false" customHeight="false" outlineLevel="0" collapsed="false">
      <c r="A2615" s="0" t="str">
        <f aca="false">IF(COMPRAS!K1415="","",COMPRAS!K1415)</f>
        <v/>
      </c>
      <c r="B2615" s="0" t="str">
        <f aca="false">IF(A2615="","",IF(MATCH(A2615,$A$2:$A$3201,0)=ROW()-1,1,0))</f>
        <v/>
      </c>
      <c r="C2615" s="0" t="str">
        <f aca="false">IF(B2615=1,MAX(C$1:C2614)+1,"")</f>
        <v/>
      </c>
    </row>
    <row r="2616" customFormat="false" ht="15" hidden="false" customHeight="false" outlineLevel="0" collapsed="false">
      <c r="A2616" s="0" t="str">
        <f aca="false">IF(COMPRAS!K1416="","",COMPRAS!K1416)</f>
        <v/>
      </c>
      <c r="B2616" s="0" t="str">
        <f aca="false">IF(A2616="","",IF(MATCH(A2616,$A$2:$A$3201,0)=ROW()-1,1,0))</f>
        <v/>
      </c>
      <c r="C2616" s="0" t="str">
        <f aca="false">IF(B2616=1,MAX(C$1:C2615)+1,"")</f>
        <v/>
      </c>
    </row>
    <row r="2617" customFormat="false" ht="15" hidden="false" customHeight="false" outlineLevel="0" collapsed="false">
      <c r="A2617" s="0" t="str">
        <f aca="false">IF(COMPRAS!K1417="","",COMPRAS!K1417)</f>
        <v/>
      </c>
      <c r="B2617" s="0" t="str">
        <f aca="false">IF(A2617="","",IF(MATCH(A2617,$A$2:$A$3201,0)=ROW()-1,1,0))</f>
        <v/>
      </c>
      <c r="C2617" s="0" t="str">
        <f aca="false">IF(B2617=1,MAX(C$1:C2616)+1,"")</f>
        <v/>
      </c>
    </row>
    <row r="2618" customFormat="false" ht="15" hidden="false" customHeight="false" outlineLevel="0" collapsed="false">
      <c r="A2618" s="0" t="str">
        <f aca="false">IF(COMPRAS!K1418="","",COMPRAS!K1418)</f>
        <v/>
      </c>
      <c r="B2618" s="0" t="str">
        <f aca="false">IF(A2618="","",IF(MATCH(A2618,$A$2:$A$3201,0)=ROW()-1,1,0))</f>
        <v/>
      </c>
      <c r="C2618" s="0" t="str">
        <f aca="false">IF(B2618=1,MAX(C$1:C2617)+1,"")</f>
        <v/>
      </c>
    </row>
    <row r="2619" customFormat="false" ht="15" hidden="false" customHeight="false" outlineLevel="0" collapsed="false">
      <c r="A2619" s="0" t="str">
        <f aca="false">IF(COMPRAS!K1419="","",COMPRAS!K1419)</f>
        <v/>
      </c>
      <c r="B2619" s="0" t="str">
        <f aca="false">IF(A2619="","",IF(MATCH(A2619,$A$2:$A$3201,0)=ROW()-1,1,0))</f>
        <v/>
      </c>
      <c r="C2619" s="0" t="str">
        <f aca="false">IF(B2619=1,MAX(C$1:C2618)+1,"")</f>
        <v/>
      </c>
    </row>
    <row r="2620" customFormat="false" ht="15" hidden="false" customHeight="false" outlineLevel="0" collapsed="false">
      <c r="A2620" s="0" t="str">
        <f aca="false">IF(COMPRAS!K1420="","",COMPRAS!K1420)</f>
        <v/>
      </c>
      <c r="B2620" s="0" t="str">
        <f aca="false">IF(A2620="","",IF(MATCH(A2620,$A$2:$A$3201,0)=ROW()-1,1,0))</f>
        <v/>
      </c>
      <c r="C2620" s="0" t="str">
        <f aca="false">IF(B2620=1,MAX(C$1:C2619)+1,"")</f>
        <v/>
      </c>
    </row>
    <row r="2621" customFormat="false" ht="15" hidden="false" customHeight="false" outlineLevel="0" collapsed="false">
      <c r="A2621" s="0" t="str">
        <f aca="false">IF(COMPRAS!K1421="","",COMPRAS!K1421)</f>
        <v/>
      </c>
      <c r="B2621" s="0" t="str">
        <f aca="false">IF(A2621="","",IF(MATCH(A2621,$A$2:$A$3201,0)=ROW()-1,1,0))</f>
        <v/>
      </c>
      <c r="C2621" s="0" t="str">
        <f aca="false">IF(B2621=1,MAX(C$1:C2620)+1,"")</f>
        <v/>
      </c>
    </row>
    <row r="2622" customFormat="false" ht="15" hidden="false" customHeight="false" outlineLevel="0" collapsed="false">
      <c r="A2622" s="0" t="str">
        <f aca="false">IF(COMPRAS!K1422="","",COMPRAS!K1422)</f>
        <v/>
      </c>
      <c r="B2622" s="0" t="str">
        <f aca="false">IF(A2622="","",IF(MATCH(A2622,$A$2:$A$3201,0)=ROW()-1,1,0))</f>
        <v/>
      </c>
      <c r="C2622" s="0" t="str">
        <f aca="false">IF(B2622=1,MAX(C$1:C2621)+1,"")</f>
        <v/>
      </c>
    </row>
    <row r="2623" customFormat="false" ht="15" hidden="false" customHeight="false" outlineLevel="0" collapsed="false">
      <c r="A2623" s="0" t="str">
        <f aca="false">IF(COMPRAS!K1423="","",COMPRAS!K1423)</f>
        <v/>
      </c>
      <c r="B2623" s="0" t="str">
        <f aca="false">IF(A2623="","",IF(MATCH(A2623,$A$2:$A$3201,0)=ROW()-1,1,0))</f>
        <v/>
      </c>
      <c r="C2623" s="0" t="str">
        <f aca="false">IF(B2623=1,MAX(C$1:C2622)+1,"")</f>
        <v/>
      </c>
    </row>
    <row r="2624" customFormat="false" ht="15" hidden="false" customHeight="false" outlineLevel="0" collapsed="false">
      <c r="A2624" s="0" t="str">
        <f aca="false">IF(COMPRAS!K1424="","",COMPRAS!K1424)</f>
        <v/>
      </c>
      <c r="B2624" s="0" t="str">
        <f aca="false">IF(A2624="","",IF(MATCH(A2624,$A$2:$A$3201,0)=ROW()-1,1,0))</f>
        <v/>
      </c>
      <c r="C2624" s="0" t="str">
        <f aca="false">IF(B2624=1,MAX(C$1:C2623)+1,"")</f>
        <v/>
      </c>
    </row>
    <row r="2625" customFormat="false" ht="15" hidden="false" customHeight="false" outlineLevel="0" collapsed="false">
      <c r="A2625" s="0" t="str">
        <f aca="false">IF(COMPRAS!K1425="","",COMPRAS!K1425)</f>
        <v/>
      </c>
      <c r="B2625" s="0" t="str">
        <f aca="false">IF(A2625="","",IF(MATCH(A2625,$A$2:$A$3201,0)=ROW()-1,1,0))</f>
        <v/>
      </c>
      <c r="C2625" s="0" t="str">
        <f aca="false">IF(B2625=1,MAX(C$1:C2624)+1,"")</f>
        <v/>
      </c>
    </row>
    <row r="2626" customFormat="false" ht="15" hidden="false" customHeight="false" outlineLevel="0" collapsed="false">
      <c r="A2626" s="0" t="str">
        <f aca="false">IF(COMPRAS!K1426="","",COMPRAS!K1426)</f>
        <v/>
      </c>
      <c r="B2626" s="0" t="str">
        <f aca="false">IF(A2626="","",IF(MATCH(A2626,$A$2:$A$3201,0)=ROW()-1,1,0))</f>
        <v/>
      </c>
      <c r="C2626" s="0" t="str">
        <f aca="false">IF(B2626=1,MAX(C$1:C2625)+1,"")</f>
        <v/>
      </c>
    </row>
    <row r="2627" customFormat="false" ht="15" hidden="false" customHeight="false" outlineLevel="0" collapsed="false">
      <c r="A2627" s="0" t="str">
        <f aca="false">IF(COMPRAS!K1427="","",COMPRAS!K1427)</f>
        <v/>
      </c>
      <c r="B2627" s="0" t="str">
        <f aca="false">IF(A2627="","",IF(MATCH(A2627,$A$2:$A$3201,0)=ROW()-1,1,0))</f>
        <v/>
      </c>
      <c r="C2627" s="0" t="str">
        <f aca="false">IF(B2627=1,MAX(C$1:C2626)+1,"")</f>
        <v/>
      </c>
    </row>
    <row r="2628" customFormat="false" ht="15" hidden="false" customHeight="false" outlineLevel="0" collapsed="false">
      <c r="A2628" s="0" t="str">
        <f aca="false">IF(COMPRAS!K1428="","",COMPRAS!K1428)</f>
        <v/>
      </c>
      <c r="B2628" s="0" t="str">
        <f aca="false">IF(A2628="","",IF(MATCH(A2628,$A$2:$A$3201,0)=ROW()-1,1,0))</f>
        <v/>
      </c>
      <c r="C2628" s="0" t="str">
        <f aca="false">IF(B2628=1,MAX(C$1:C2627)+1,"")</f>
        <v/>
      </c>
    </row>
    <row r="2629" customFormat="false" ht="15" hidden="false" customHeight="false" outlineLevel="0" collapsed="false">
      <c r="A2629" s="0" t="str">
        <f aca="false">IF(COMPRAS!K1429="","",COMPRAS!K1429)</f>
        <v/>
      </c>
      <c r="B2629" s="0" t="str">
        <f aca="false">IF(A2629="","",IF(MATCH(A2629,$A$2:$A$3201,0)=ROW()-1,1,0))</f>
        <v/>
      </c>
      <c r="C2629" s="0" t="str">
        <f aca="false">IF(B2629=1,MAX(C$1:C2628)+1,"")</f>
        <v/>
      </c>
    </row>
    <row r="2630" customFormat="false" ht="15" hidden="false" customHeight="false" outlineLevel="0" collapsed="false">
      <c r="A2630" s="0" t="str">
        <f aca="false">IF(COMPRAS!K1430="","",COMPRAS!K1430)</f>
        <v/>
      </c>
      <c r="B2630" s="0" t="str">
        <f aca="false">IF(A2630="","",IF(MATCH(A2630,$A$2:$A$3201,0)=ROW()-1,1,0))</f>
        <v/>
      </c>
      <c r="C2630" s="0" t="str">
        <f aca="false">IF(B2630=1,MAX(C$1:C2629)+1,"")</f>
        <v/>
      </c>
    </row>
    <row r="2631" customFormat="false" ht="15" hidden="false" customHeight="false" outlineLevel="0" collapsed="false">
      <c r="A2631" s="0" t="str">
        <f aca="false">IF(COMPRAS!K1431="","",COMPRAS!K1431)</f>
        <v/>
      </c>
      <c r="B2631" s="0" t="str">
        <f aca="false">IF(A2631="","",IF(MATCH(A2631,$A$2:$A$3201,0)=ROW()-1,1,0))</f>
        <v/>
      </c>
      <c r="C2631" s="0" t="str">
        <f aca="false">IF(B2631=1,MAX(C$1:C2630)+1,"")</f>
        <v/>
      </c>
    </row>
    <row r="2632" customFormat="false" ht="15" hidden="false" customHeight="false" outlineLevel="0" collapsed="false">
      <c r="A2632" s="0" t="str">
        <f aca="false">IF(COMPRAS!K1432="","",COMPRAS!K1432)</f>
        <v/>
      </c>
      <c r="B2632" s="0" t="str">
        <f aca="false">IF(A2632="","",IF(MATCH(A2632,$A$2:$A$3201,0)=ROW()-1,1,0))</f>
        <v/>
      </c>
      <c r="C2632" s="0" t="str">
        <f aca="false">IF(B2632=1,MAX(C$1:C2631)+1,"")</f>
        <v/>
      </c>
    </row>
    <row r="2633" customFormat="false" ht="15" hidden="false" customHeight="false" outlineLevel="0" collapsed="false">
      <c r="A2633" s="0" t="str">
        <f aca="false">IF(COMPRAS!K1433="","",COMPRAS!K1433)</f>
        <v/>
      </c>
      <c r="B2633" s="0" t="str">
        <f aca="false">IF(A2633="","",IF(MATCH(A2633,$A$2:$A$3201,0)=ROW()-1,1,0))</f>
        <v/>
      </c>
      <c r="C2633" s="0" t="str">
        <f aca="false">IF(B2633=1,MAX(C$1:C2632)+1,"")</f>
        <v/>
      </c>
    </row>
    <row r="2634" customFormat="false" ht="15" hidden="false" customHeight="false" outlineLevel="0" collapsed="false">
      <c r="A2634" s="0" t="str">
        <f aca="false">IF(COMPRAS!K1434="","",COMPRAS!K1434)</f>
        <v/>
      </c>
      <c r="B2634" s="0" t="str">
        <f aca="false">IF(A2634="","",IF(MATCH(A2634,$A$2:$A$3201,0)=ROW()-1,1,0))</f>
        <v/>
      </c>
      <c r="C2634" s="0" t="str">
        <f aca="false">IF(B2634=1,MAX(C$1:C2633)+1,"")</f>
        <v/>
      </c>
    </row>
    <row r="2635" customFormat="false" ht="15" hidden="false" customHeight="false" outlineLevel="0" collapsed="false">
      <c r="A2635" s="0" t="str">
        <f aca="false">IF(COMPRAS!K1435="","",COMPRAS!K1435)</f>
        <v/>
      </c>
      <c r="B2635" s="0" t="str">
        <f aca="false">IF(A2635="","",IF(MATCH(A2635,$A$2:$A$3201,0)=ROW()-1,1,0))</f>
        <v/>
      </c>
      <c r="C2635" s="0" t="str">
        <f aca="false">IF(B2635=1,MAX(C$1:C2634)+1,"")</f>
        <v/>
      </c>
    </row>
    <row r="2636" customFormat="false" ht="15" hidden="false" customHeight="false" outlineLevel="0" collapsed="false">
      <c r="A2636" s="0" t="str">
        <f aca="false">IF(COMPRAS!K1436="","",COMPRAS!K1436)</f>
        <v/>
      </c>
      <c r="B2636" s="0" t="str">
        <f aca="false">IF(A2636="","",IF(MATCH(A2636,$A$2:$A$3201,0)=ROW()-1,1,0))</f>
        <v/>
      </c>
      <c r="C2636" s="0" t="str">
        <f aca="false">IF(B2636=1,MAX(C$1:C2635)+1,"")</f>
        <v/>
      </c>
    </row>
    <row r="2637" customFormat="false" ht="15" hidden="false" customHeight="false" outlineLevel="0" collapsed="false">
      <c r="A2637" s="0" t="str">
        <f aca="false">IF(COMPRAS!K1437="","",COMPRAS!K1437)</f>
        <v/>
      </c>
      <c r="B2637" s="0" t="str">
        <f aca="false">IF(A2637="","",IF(MATCH(A2637,$A$2:$A$3201,0)=ROW()-1,1,0))</f>
        <v/>
      </c>
      <c r="C2637" s="0" t="str">
        <f aca="false">IF(B2637=1,MAX(C$1:C2636)+1,"")</f>
        <v/>
      </c>
    </row>
    <row r="2638" customFormat="false" ht="15" hidden="false" customHeight="false" outlineLevel="0" collapsed="false">
      <c r="A2638" s="0" t="str">
        <f aca="false">IF(COMPRAS!K1438="","",COMPRAS!K1438)</f>
        <v/>
      </c>
      <c r="B2638" s="0" t="str">
        <f aca="false">IF(A2638="","",IF(MATCH(A2638,$A$2:$A$3201,0)=ROW()-1,1,0))</f>
        <v/>
      </c>
      <c r="C2638" s="0" t="str">
        <f aca="false">IF(B2638=1,MAX(C$1:C2637)+1,"")</f>
        <v/>
      </c>
    </row>
    <row r="2639" customFormat="false" ht="15" hidden="false" customHeight="false" outlineLevel="0" collapsed="false">
      <c r="A2639" s="0" t="str">
        <f aca="false">IF(COMPRAS!K1439="","",COMPRAS!K1439)</f>
        <v/>
      </c>
      <c r="B2639" s="0" t="str">
        <f aca="false">IF(A2639="","",IF(MATCH(A2639,$A$2:$A$3201,0)=ROW()-1,1,0))</f>
        <v/>
      </c>
      <c r="C2639" s="0" t="str">
        <f aca="false">IF(B2639=1,MAX(C$1:C2638)+1,"")</f>
        <v/>
      </c>
    </row>
    <row r="2640" customFormat="false" ht="15" hidden="false" customHeight="false" outlineLevel="0" collapsed="false">
      <c r="A2640" s="0" t="str">
        <f aca="false">IF(COMPRAS!K1440="","",COMPRAS!K1440)</f>
        <v/>
      </c>
      <c r="B2640" s="0" t="str">
        <f aca="false">IF(A2640="","",IF(MATCH(A2640,$A$2:$A$3201,0)=ROW()-1,1,0))</f>
        <v/>
      </c>
      <c r="C2640" s="0" t="str">
        <f aca="false">IF(B2640=1,MAX(C$1:C2639)+1,"")</f>
        <v/>
      </c>
    </row>
    <row r="2641" customFormat="false" ht="15" hidden="false" customHeight="false" outlineLevel="0" collapsed="false">
      <c r="A2641" s="0" t="str">
        <f aca="false">IF(COMPRAS!K1441="","",COMPRAS!K1441)</f>
        <v/>
      </c>
      <c r="B2641" s="0" t="str">
        <f aca="false">IF(A2641="","",IF(MATCH(A2641,$A$2:$A$3201,0)=ROW()-1,1,0))</f>
        <v/>
      </c>
      <c r="C2641" s="0" t="str">
        <f aca="false">IF(B2641=1,MAX(C$1:C2640)+1,"")</f>
        <v/>
      </c>
    </row>
    <row r="2642" customFormat="false" ht="15" hidden="false" customHeight="false" outlineLevel="0" collapsed="false">
      <c r="A2642" s="0" t="str">
        <f aca="false">IF(COMPRAS!K1442="","",COMPRAS!K1442)</f>
        <v/>
      </c>
      <c r="B2642" s="0" t="str">
        <f aca="false">IF(A2642="","",IF(MATCH(A2642,$A$2:$A$3201,0)=ROW()-1,1,0))</f>
        <v/>
      </c>
      <c r="C2642" s="0" t="str">
        <f aca="false">IF(B2642=1,MAX(C$1:C2641)+1,"")</f>
        <v/>
      </c>
    </row>
    <row r="2643" customFormat="false" ht="15" hidden="false" customHeight="false" outlineLevel="0" collapsed="false">
      <c r="A2643" s="0" t="str">
        <f aca="false">IF(COMPRAS!K1443="","",COMPRAS!K1443)</f>
        <v/>
      </c>
      <c r="B2643" s="0" t="str">
        <f aca="false">IF(A2643="","",IF(MATCH(A2643,$A$2:$A$3201,0)=ROW()-1,1,0))</f>
        <v/>
      </c>
      <c r="C2643" s="0" t="str">
        <f aca="false">IF(B2643=1,MAX(C$1:C2642)+1,"")</f>
        <v/>
      </c>
    </row>
    <row r="2644" customFormat="false" ht="15" hidden="false" customHeight="false" outlineLevel="0" collapsed="false">
      <c r="A2644" s="0" t="str">
        <f aca="false">IF(COMPRAS!K1444="","",COMPRAS!K1444)</f>
        <v/>
      </c>
      <c r="B2644" s="0" t="str">
        <f aca="false">IF(A2644="","",IF(MATCH(A2644,$A$2:$A$3201,0)=ROW()-1,1,0))</f>
        <v/>
      </c>
      <c r="C2644" s="0" t="str">
        <f aca="false">IF(B2644=1,MAX(C$1:C2643)+1,"")</f>
        <v/>
      </c>
    </row>
    <row r="2645" customFormat="false" ht="15" hidden="false" customHeight="false" outlineLevel="0" collapsed="false">
      <c r="A2645" s="0" t="str">
        <f aca="false">IF(COMPRAS!K1445="","",COMPRAS!K1445)</f>
        <v/>
      </c>
      <c r="B2645" s="0" t="str">
        <f aca="false">IF(A2645="","",IF(MATCH(A2645,$A$2:$A$3201,0)=ROW()-1,1,0))</f>
        <v/>
      </c>
      <c r="C2645" s="0" t="str">
        <f aca="false">IF(B2645=1,MAX(C$1:C2644)+1,"")</f>
        <v/>
      </c>
    </row>
    <row r="2646" customFormat="false" ht="15" hidden="false" customHeight="false" outlineLevel="0" collapsed="false">
      <c r="A2646" s="0" t="str">
        <f aca="false">IF(COMPRAS!K1446="","",COMPRAS!K1446)</f>
        <v/>
      </c>
      <c r="B2646" s="0" t="str">
        <f aca="false">IF(A2646="","",IF(MATCH(A2646,$A$2:$A$3201,0)=ROW()-1,1,0))</f>
        <v/>
      </c>
      <c r="C2646" s="0" t="str">
        <f aca="false">IF(B2646=1,MAX(C$1:C2645)+1,"")</f>
        <v/>
      </c>
    </row>
    <row r="2647" customFormat="false" ht="15" hidden="false" customHeight="false" outlineLevel="0" collapsed="false">
      <c r="A2647" s="0" t="str">
        <f aca="false">IF(COMPRAS!K1447="","",COMPRAS!K1447)</f>
        <v/>
      </c>
      <c r="B2647" s="0" t="str">
        <f aca="false">IF(A2647="","",IF(MATCH(A2647,$A$2:$A$3201,0)=ROW()-1,1,0))</f>
        <v/>
      </c>
      <c r="C2647" s="0" t="str">
        <f aca="false">IF(B2647=1,MAX(C$1:C2646)+1,"")</f>
        <v/>
      </c>
    </row>
    <row r="2648" customFormat="false" ht="15" hidden="false" customHeight="false" outlineLevel="0" collapsed="false">
      <c r="A2648" s="0" t="str">
        <f aca="false">IF(COMPRAS!K1448="","",COMPRAS!K1448)</f>
        <v/>
      </c>
      <c r="B2648" s="0" t="str">
        <f aca="false">IF(A2648="","",IF(MATCH(A2648,$A$2:$A$3201,0)=ROW()-1,1,0))</f>
        <v/>
      </c>
      <c r="C2648" s="0" t="str">
        <f aca="false">IF(B2648=1,MAX(C$1:C2647)+1,"")</f>
        <v/>
      </c>
    </row>
    <row r="2649" customFormat="false" ht="15" hidden="false" customHeight="false" outlineLevel="0" collapsed="false">
      <c r="A2649" s="0" t="str">
        <f aca="false">IF(COMPRAS!K1449="","",COMPRAS!K1449)</f>
        <v/>
      </c>
      <c r="B2649" s="0" t="str">
        <f aca="false">IF(A2649="","",IF(MATCH(A2649,$A$2:$A$3201,0)=ROW()-1,1,0))</f>
        <v/>
      </c>
      <c r="C2649" s="0" t="str">
        <f aca="false">IF(B2649=1,MAX(C$1:C2648)+1,"")</f>
        <v/>
      </c>
    </row>
    <row r="2650" customFormat="false" ht="15" hidden="false" customHeight="false" outlineLevel="0" collapsed="false">
      <c r="A2650" s="0" t="str">
        <f aca="false">IF(COMPRAS!K1450="","",COMPRAS!K1450)</f>
        <v/>
      </c>
      <c r="B2650" s="0" t="str">
        <f aca="false">IF(A2650="","",IF(MATCH(A2650,$A$2:$A$3201,0)=ROW()-1,1,0))</f>
        <v/>
      </c>
      <c r="C2650" s="0" t="str">
        <f aca="false">IF(B2650=1,MAX(C$1:C2649)+1,"")</f>
        <v/>
      </c>
    </row>
    <row r="2651" customFormat="false" ht="15" hidden="false" customHeight="false" outlineLevel="0" collapsed="false">
      <c r="A2651" s="0" t="str">
        <f aca="false">IF(COMPRAS!K1451="","",COMPRAS!K1451)</f>
        <v/>
      </c>
      <c r="B2651" s="0" t="str">
        <f aca="false">IF(A2651="","",IF(MATCH(A2651,$A$2:$A$3201,0)=ROW()-1,1,0))</f>
        <v/>
      </c>
      <c r="C2651" s="0" t="str">
        <f aca="false">IF(B2651=1,MAX(C$1:C2650)+1,"")</f>
        <v/>
      </c>
    </row>
    <row r="2652" customFormat="false" ht="15" hidden="false" customHeight="false" outlineLevel="0" collapsed="false">
      <c r="A2652" s="0" t="str">
        <f aca="false">IF(COMPRAS!K1452="","",COMPRAS!K1452)</f>
        <v/>
      </c>
      <c r="B2652" s="0" t="str">
        <f aca="false">IF(A2652="","",IF(MATCH(A2652,$A$2:$A$3201,0)=ROW()-1,1,0))</f>
        <v/>
      </c>
      <c r="C2652" s="0" t="str">
        <f aca="false">IF(B2652=1,MAX(C$1:C2651)+1,"")</f>
        <v/>
      </c>
    </row>
    <row r="2653" customFormat="false" ht="15" hidden="false" customHeight="false" outlineLevel="0" collapsed="false">
      <c r="A2653" s="0" t="str">
        <f aca="false">IF(COMPRAS!K1453="","",COMPRAS!K1453)</f>
        <v/>
      </c>
      <c r="B2653" s="0" t="str">
        <f aca="false">IF(A2653="","",IF(MATCH(A2653,$A$2:$A$3201,0)=ROW()-1,1,0))</f>
        <v/>
      </c>
      <c r="C2653" s="0" t="str">
        <f aca="false">IF(B2653=1,MAX(C$1:C2652)+1,"")</f>
        <v/>
      </c>
    </row>
    <row r="2654" customFormat="false" ht="15" hidden="false" customHeight="false" outlineLevel="0" collapsed="false">
      <c r="A2654" s="0" t="str">
        <f aca="false">IF(COMPRAS!K1454="","",COMPRAS!K1454)</f>
        <v/>
      </c>
      <c r="B2654" s="0" t="str">
        <f aca="false">IF(A2654="","",IF(MATCH(A2654,$A$2:$A$3201,0)=ROW()-1,1,0))</f>
        <v/>
      </c>
      <c r="C2654" s="0" t="str">
        <f aca="false">IF(B2654=1,MAX(C$1:C2653)+1,"")</f>
        <v/>
      </c>
    </row>
    <row r="2655" customFormat="false" ht="15" hidden="false" customHeight="false" outlineLevel="0" collapsed="false">
      <c r="A2655" s="0" t="str">
        <f aca="false">IF(COMPRAS!K1455="","",COMPRAS!K1455)</f>
        <v/>
      </c>
      <c r="B2655" s="0" t="str">
        <f aca="false">IF(A2655="","",IF(MATCH(A2655,$A$2:$A$3201,0)=ROW()-1,1,0))</f>
        <v/>
      </c>
      <c r="C2655" s="0" t="str">
        <f aca="false">IF(B2655=1,MAX(C$1:C2654)+1,"")</f>
        <v/>
      </c>
    </row>
    <row r="2656" customFormat="false" ht="15" hidden="false" customHeight="false" outlineLevel="0" collapsed="false">
      <c r="A2656" s="0" t="str">
        <f aca="false">IF(COMPRAS!K1456="","",COMPRAS!K1456)</f>
        <v/>
      </c>
      <c r="B2656" s="0" t="str">
        <f aca="false">IF(A2656="","",IF(MATCH(A2656,$A$2:$A$3201,0)=ROW()-1,1,0))</f>
        <v/>
      </c>
      <c r="C2656" s="0" t="str">
        <f aca="false">IF(B2656=1,MAX(C$1:C2655)+1,"")</f>
        <v/>
      </c>
    </row>
    <row r="2657" customFormat="false" ht="15" hidden="false" customHeight="false" outlineLevel="0" collapsed="false">
      <c r="A2657" s="0" t="str">
        <f aca="false">IF(COMPRAS!K1457="","",COMPRAS!K1457)</f>
        <v/>
      </c>
      <c r="B2657" s="0" t="str">
        <f aca="false">IF(A2657="","",IF(MATCH(A2657,$A$2:$A$3201,0)=ROW()-1,1,0))</f>
        <v/>
      </c>
      <c r="C2657" s="0" t="str">
        <f aca="false">IF(B2657=1,MAX(C$1:C2656)+1,"")</f>
        <v/>
      </c>
    </row>
    <row r="2658" customFormat="false" ht="15" hidden="false" customHeight="false" outlineLevel="0" collapsed="false">
      <c r="A2658" s="0" t="str">
        <f aca="false">IF(COMPRAS!K1458="","",COMPRAS!K1458)</f>
        <v/>
      </c>
      <c r="B2658" s="0" t="str">
        <f aca="false">IF(A2658="","",IF(MATCH(A2658,$A$2:$A$3201,0)=ROW()-1,1,0))</f>
        <v/>
      </c>
      <c r="C2658" s="0" t="str">
        <f aca="false">IF(B2658=1,MAX(C$1:C2657)+1,"")</f>
        <v/>
      </c>
    </row>
    <row r="2659" customFormat="false" ht="15" hidden="false" customHeight="false" outlineLevel="0" collapsed="false">
      <c r="A2659" s="0" t="str">
        <f aca="false">IF(COMPRAS!K1459="","",COMPRAS!K1459)</f>
        <v/>
      </c>
      <c r="B2659" s="0" t="str">
        <f aca="false">IF(A2659="","",IF(MATCH(A2659,$A$2:$A$3201,0)=ROW()-1,1,0))</f>
        <v/>
      </c>
      <c r="C2659" s="0" t="str">
        <f aca="false">IF(B2659=1,MAX(C$1:C2658)+1,"")</f>
        <v/>
      </c>
    </row>
    <row r="2660" customFormat="false" ht="15" hidden="false" customHeight="false" outlineLevel="0" collapsed="false">
      <c r="A2660" s="0" t="str">
        <f aca="false">IF(COMPRAS!K1460="","",COMPRAS!K1460)</f>
        <v/>
      </c>
      <c r="B2660" s="0" t="str">
        <f aca="false">IF(A2660="","",IF(MATCH(A2660,$A$2:$A$3201,0)=ROW()-1,1,0))</f>
        <v/>
      </c>
      <c r="C2660" s="0" t="str">
        <f aca="false">IF(B2660=1,MAX(C$1:C2659)+1,"")</f>
        <v/>
      </c>
    </row>
    <row r="2661" customFormat="false" ht="15" hidden="false" customHeight="false" outlineLevel="0" collapsed="false">
      <c r="A2661" s="0" t="str">
        <f aca="false">IF(COMPRAS!K1461="","",COMPRAS!K1461)</f>
        <v/>
      </c>
      <c r="B2661" s="0" t="str">
        <f aca="false">IF(A2661="","",IF(MATCH(A2661,$A$2:$A$3201,0)=ROW()-1,1,0))</f>
        <v/>
      </c>
      <c r="C2661" s="0" t="str">
        <f aca="false">IF(B2661=1,MAX(C$1:C2660)+1,"")</f>
        <v/>
      </c>
    </row>
    <row r="2662" customFormat="false" ht="15" hidden="false" customHeight="false" outlineLevel="0" collapsed="false">
      <c r="A2662" s="0" t="str">
        <f aca="false">IF(COMPRAS!K1462="","",COMPRAS!K1462)</f>
        <v/>
      </c>
      <c r="B2662" s="0" t="str">
        <f aca="false">IF(A2662="","",IF(MATCH(A2662,$A$2:$A$3201,0)=ROW()-1,1,0))</f>
        <v/>
      </c>
      <c r="C2662" s="0" t="str">
        <f aca="false">IF(B2662=1,MAX(C$1:C2661)+1,"")</f>
        <v/>
      </c>
    </row>
    <row r="2663" customFormat="false" ht="15" hidden="false" customHeight="false" outlineLevel="0" collapsed="false">
      <c r="A2663" s="0" t="str">
        <f aca="false">IF(COMPRAS!K1463="","",COMPRAS!K1463)</f>
        <v/>
      </c>
      <c r="B2663" s="0" t="str">
        <f aca="false">IF(A2663="","",IF(MATCH(A2663,$A$2:$A$3201,0)=ROW()-1,1,0))</f>
        <v/>
      </c>
      <c r="C2663" s="0" t="str">
        <f aca="false">IF(B2663=1,MAX(C$1:C2662)+1,"")</f>
        <v/>
      </c>
    </row>
    <row r="2664" customFormat="false" ht="15" hidden="false" customHeight="false" outlineLevel="0" collapsed="false">
      <c r="A2664" s="0" t="str">
        <f aca="false">IF(COMPRAS!K1464="","",COMPRAS!K1464)</f>
        <v/>
      </c>
      <c r="B2664" s="0" t="str">
        <f aca="false">IF(A2664="","",IF(MATCH(A2664,$A$2:$A$3201,0)=ROW()-1,1,0))</f>
        <v/>
      </c>
      <c r="C2664" s="0" t="str">
        <f aca="false">IF(B2664=1,MAX(C$1:C2663)+1,"")</f>
        <v/>
      </c>
    </row>
    <row r="2665" customFormat="false" ht="15" hidden="false" customHeight="false" outlineLevel="0" collapsed="false">
      <c r="A2665" s="0" t="str">
        <f aca="false">IF(COMPRAS!K1465="","",COMPRAS!K1465)</f>
        <v/>
      </c>
      <c r="B2665" s="0" t="str">
        <f aca="false">IF(A2665="","",IF(MATCH(A2665,$A$2:$A$3201,0)=ROW()-1,1,0))</f>
        <v/>
      </c>
      <c r="C2665" s="0" t="str">
        <f aca="false">IF(B2665=1,MAX(C$1:C2664)+1,"")</f>
        <v/>
      </c>
    </row>
    <row r="2666" customFormat="false" ht="15" hidden="false" customHeight="false" outlineLevel="0" collapsed="false">
      <c r="A2666" s="0" t="str">
        <f aca="false">IF(COMPRAS!K1466="","",COMPRAS!K1466)</f>
        <v/>
      </c>
      <c r="B2666" s="0" t="str">
        <f aca="false">IF(A2666="","",IF(MATCH(A2666,$A$2:$A$3201,0)=ROW()-1,1,0))</f>
        <v/>
      </c>
      <c r="C2666" s="0" t="str">
        <f aca="false">IF(B2666=1,MAX(C$1:C2665)+1,"")</f>
        <v/>
      </c>
    </row>
    <row r="2667" customFormat="false" ht="15" hidden="false" customHeight="false" outlineLevel="0" collapsed="false">
      <c r="A2667" s="0" t="str">
        <f aca="false">IF(COMPRAS!K1467="","",COMPRAS!K1467)</f>
        <v/>
      </c>
      <c r="B2667" s="0" t="str">
        <f aca="false">IF(A2667="","",IF(MATCH(A2667,$A$2:$A$3201,0)=ROW()-1,1,0))</f>
        <v/>
      </c>
      <c r="C2667" s="0" t="str">
        <f aca="false">IF(B2667=1,MAX(C$1:C2666)+1,"")</f>
        <v/>
      </c>
    </row>
    <row r="2668" customFormat="false" ht="15" hidden="false" customHeight="false" outlineLevel="0" collapsed="false">
      <c r="A2668" s="0" t="str">
        <f aca="false">IF(COMPRAS!K1468="","",COMPRAS!K1468)</f>
        <v/>
      </c>
      <c r="B2668" s="0" t="str">
        <f aca="false">IF(A2668="","",IF(MATCH(A2668,$A$2:$A$3201,0)=ROW()-1,1,0))</f>
        <v/>
      </c>
      <c r="C2668" s="0" t="str">
        <f aca="false">IF(B2668=1,MAX(C$1:C2667)+1,"")</f>
        <v/>
      </c>
    </row>
    <row r="2669" customFormat="false" ht="15" hidden="false" customHeight="false" outlineLevel="0" collapsed="false">
      <c r="A2669" s="0" t="str">
        <f aca="false">IF(COMPRAS!K1469="","",COMPRAS!K1469)</f>
        <v/>
      </c>
      <c r="B2669" s="0" t="str">
        <f aca="false">IF(A2669="","",IF(MATCH(A2669,$A$2:$A$3201,0)=ROW()-1,1,0))</f>
        <v/>
      </c>
      <c r="C2669" s="0" t="str">
        <f aca="false">IF(B2669=1,MAX(C$1:C2668)+1,"")</f>
        <v/>
      </c>
    </row>
    <row r="2670" customFormat="false" ht="15" hidden="false" customHeight="false" outlineLevel="0" collapsed="false">
      <c r="A2670" s="0" t="str">
        <f aca="false">IF(COMPRAS!K1470="","",COMPRAS!K1470)</f>
        <v/>
      </c>
      <c r="B2670" s="0" t="str">
        <f aca="false">IF(A2670="","",IF(MATCH(A2670,$A$2:$A$3201,0)=ROW()-1,1,0))</f>
        <v/>
      </c>
      <c r="C2670" s="0" t="str">
        <f aca="false">IF(B2670=1,MAX(C$1:C2669)+1,"")</f>
        <v/>
      </c>
    </row>
    <row r="2671" customFormat="false" ht="15" hidden="false" customHeight="false" outlineLevel="0" collapsed="false">
      <c r="A2671" s="0" t="str">
        <f aca="false">IF(COMPRAS!K1471="","",COMPRAS!K1471)</f>
        <v/>
      </c>
      <c r="B2671" s="0" t="str">
        <f aca="false">IF(A2671="","",IF(MATCH(A2671,$A$2:$A$3201,0)=ROW()-1,1,0))</f>
        <v/>
      </c>
      <c r="C2671" s="0" t="str">
        <f aca="false">IF(B2671=1,MAX(C$1:C2670)+1,"")</f>
        <v/>
      </c>
    </row>
    <row r="2672" customFormat="false" ht="15" hidden="false" customHeight="false" outlineLevel="0" collapsed="false">
      <c r="A2672" s="0" t="str">
        <f aca="false">IF(COMPRAS!K1472="","",COMPRAS!K1472)</f>
        <v/>
      </c>
      <c r="B2672" s="0" t="str">
        <f aca="false">IF(A2672="","",IF(MATCH(A2672,$A$2:$A$3201,0)=ROW()-1,1,0))</f>
        <v/>
      </c>
      <c r="C2672" s="0" t="str">
        <f aca="false">IF(B2672=1,MAX(C$1:C2671)+1,"")</f>
        <v/>
      </c>
    </row>
    <row r="2673" customFormat="false" ht="15" hidden="false" customHeight="false" outlineLevel="0" collapsed="false">
      <c r="A2673" s="0" t="str">
        <f aca="false">IF(COMPRAS!K1473="","",COMPRAS!K1473)</f>
        <v/>
      </c>
      <c r="B2673" s="0" t="str">
        <f aca="false">IF(A2673="","",IF(MATCH(A2673,$A$2:$A$3201,0)=ROW()-1,1,0))</f>
        <v/>
      </c>
      <c r="C2673" s="0" t="str">
        <f aca="false">IF(B2673=1,MAX(C$1:C2672)+1,"")</f>
        <v/>
      </c>
    </row>
    <row r="2674" customFormat="false" ht="15" hidden="false" customHeight="false" outlineLevel="0" collapsed="false">
      <c r="A2674" s="0" t="str">
        <f aca="false">IF(COMPRAS!K1474="","",COMPRAS!K1474)</f>
        <v/>
      </c>
      <c r="B2674" s="0" t="str">
        <f aca="false">IF(A2674="","",IF(MATCH(A2674,$A$2:$A$3201,0)=ROW()-1,1,0))</f>
        <v/>
      </c>
      <c r="C2674" s="0" t="str">
        <f aca="false">IF(B2674=1,MAX(C$1:C2673)+1,"")</f>
        <v/>
      </c>
    </row>
    <row r="2675" customFormat="false" ht="15" hidden="false" customHeight="false" outlineLevel="0" collapsed="false">
      <c r="A2675" s="0" t="str">
        <f aca="false">IF(COMPRAS!K1475="","",COMPRAS!K1475)</f>
        <v/>
      </c>
      <c r="B2675" s="0" t="str">
        <f aca="false">IF(A2675="","",IF(MATCH(A2675,$A$2:$A$3201,0)=ROW()-1,1,0))</f>
        <v/>
      </c>
      <c r="C2675" s="0" t="str">
        <f aca="false">IF(B2675=1,MAX(C$1:C2674)+1,"")</f>
        <v/>
      </c>
    </row>
    <row r="2676" customFormat="false" ht="15" hidden="false" customHeight="false" outlineLevel="0" collapsed="false">
      <c r="A2676" s="0" t="str">
        <f aca="false">IF(COMPRAS!K1476="","",COMPRAS!K1476)</f>
        <v/>
      </c>
      <c r="B2676" s="0" t="str">
        <f aca="false">IF(A2676="","",IF(MATCH(A2676,$A$2:$A$3201,0)=ROW()-1,1,0))</f>
        <v/>
      </c>
      <c r="C2676" s="0" t="str">
        <f aca="false">IF(B2676=1,MAX(C$1:C2675)+1,"")</f>
        <v/>
      </c>
    </row>
    <row r="2677" customFormat="false" ht="15" hidden="false" customHeight="false" outlineLevel="0" collapsed="false">
      <c r="A2677" s="0" t="str">
        <f aca="false">IF(COMPRAS!K1477="","",COMPRAS!K1477)</f>
        <v/>
      </c>
      <c r="B2677" s="0" t="str">
        <f aca="false">IF(A2677="","",IF(MATCH(A2677,$A$2:$A$3201,0)=ROW()-1,1,0))</f>
        <v/>
      </c>
      <c r="C2677" s="0" t="str">
        <f aca="false">IF(B2677=1,MAX(C$1:C2676)+1,"")</f>
        <v/>
      </c>
    </row>
    <row r="2678" customFormat="false" ht="15" hidden="false" customHeight="false" outlineLevel="0" collapsed="false">
      <c r="A2678" s="0" t="str">
        <f aca="false">IF(COMPRAS!K1478="","",COMPRAS!K1478)</f>
        <v/>
      </c>
      <c r="B2678" s="0" t="str">
        <f aca="false">IF(A2678="","",IF(MATCH(A2678,$A$2:$A$3201,0)=ROW()-1,1,0))</f>
        <v/>
      </c>
      <c r="C2678" s="0" t="str">
        <f aca="false">IF(B2678=1,MAX(C$1:C2677)+1,"")</f>
        <v/>
      </c>
    </row>
    <row r="2679" customFormat="false" ht="15" hidden="false" customHeight="false" outlineLevel="0" collapsed="false">
      <c r="A2679" s="0" t="str">
        <f aca="false">IF(COMPRAS!K1479="","",COMPRAS!K1479)</f>
        <v/>
      </c>
      <c r="B2679" s="0" t="str">
        <f aca="false">IF(A2679="","",IF(MATCH(A2679,$A$2:$A$3201,0)=ROW()-1,1,0))</f>
        <v/>
      </c>
      <c r="C2679" s="0" t="str">
        <f aca="false">IF(B2679=1,MAX(C$1:C2678)+1,"")</f>
        <v/>
      </c>
    </row>
    <row r="2680" customFormat="false" ht="15" hidden="false" customHeight="false" outlineLevel="0" collapsed="false">
      <c r="A2680" s="0" t="str">
        <f aca="false">IF(COMPRAS!K1480="","",COMPRAS!K1480)</f>
        <v/>
      </c>
      <c r="B2680" s="0" t="str">
        <f aca="false">IF(A2680="","",IF(MATCH(A2680,$A$2:$A$3201,0)=ROW()-1,1,0))</f>
        <v/>
      </c>
      <c r="C2680" s="0" t="str">
        <f aca="false">IF(B2680=1,MAX(C$1:C2679)+1,"")</f>
        <v/>
      </c>
    </row>
    <row r="2681" customFormat="false" ht="15" hidden="false" customHeight="false" outlineLevel="0" collapsed="false">
      <c r="A2681" s="0" t="str">
        <f aca="false">IF(COMPRAS!K1481="","",COMPRAS!K1481)</f>
        <v/>
      </c>
      <c r="B2681" s="0" t="str">
        <f aca="false">IF(A2681="","",IF(MATCH(A2681,$A$2:$A$3201,0)=ROW()-1,1,0))</f>
        <v/>
      </c>
      <c r="C2681" s="0" t="str">
        <f aca="false">IF(B2681=1,MAX(C$1:C2680)+1,"")</f>
        <v/>
      </c>
    </row>
    <row r="2682" customFormat="false" ht="15" hidden="false" customHeight="false" outlineLevel="0" collapsed="false">
      <c r="A2682" s="0" t="str">
        <f aca="false">IF(COMPRAS!K1482="","",COMPRAS!K1482)</f>
        <v/>
      </c>
      <c r="B2682" s="0" t="str">
        <f aca="false">IF(A2682="","",IF(MATCH(A2682,$A$2:$A$3201,0)=ROW()-1,1,0))</f>
        <v/>
      </c>
      <c r="C2682" s="0" t="str">
        <f aca="false">IF(B2682=1,MAX(C$1:C2681)+1,"")</f>
        <v/>
      </c>
    </row>
    <row r="2683" customFormat="false" ht="15" hidden="false" customHeight="false" outlineLevel="0" collapsed="false">
      <c r="A2683" s="0" t="str">
        <f aca="false">IF(COMPRAS!K1483="","",COMPRAS!K1483)</f>
        <v/>
      </c>
      <c r="B2683" s="0" t="str">
        <f aca="false">IF(A2683="","",IF(MATCH(A2683,$A$2:$A$3201,0)=ROW()-1,1,0))</f>
        <v/>
      </c>
      <c r="C2683" s="0" t="str">
        <f aca="false">IF(B2683=1,MAX(C$1:C2682)+1,"")</f>
        <v/>
      </c>
    </row>
    <row r="2684" customFormat="false" ht="15" hidden="false" customHeight="false" outlineLevel="0" collapsed="false">
      <c r="A2684" s="0" t="str">
        <f aca="false">IF(COMPRAS!K1484="","",COMPRAS!K1484)</f>
        <v/>
      </c>
      <c r="B2684" s="0" t="str">
        <f aca="false">IF(A2684="","",IF(MATCH(A2684,$A$2:$A$3201,0)=ROW()-1,1,0))</f>
        <v/>
      </c>
      <c r="C2684" s="0" t="str">
        <f aca="false">IF(B2684=1,MAX(C$1:C2683)+1,"")</f>
        <v/>
      </c>
    </row>
    <row r="2685" customFormat="false" ht="15" hidden="false" customHeight="false" outlineLevel="0" collapsed="false">
      <c r="A2685" s="0" t="str">
        <f aca="false">IF(COMPRAS!K1485="","",COMPRAS!K1485)</f>
        <v/>
      </c>
      <c r="B2685" s="0" t="str">
        <f aca="false">IF(A2685="","",IF(MATCH(A2685,$A$2:$A$3201,0)=ROW()-1,1,0))</f>
        <v/>
      </c>
      <c r="C2685" s="0" t="str">
        <f aca="false">IF(B2685=1,MAX(C$1:C2684)+1,"")</f>
        <v/>
      </c>
    </row>
    <row r="2686" customFormat="false" ht="15" hidden="false" customHeight="false" outlineLevel="0" collapsed="false">
      <c r="A2686" s="0" t="str">
        <f aca="false">IF(COMPRAS!K1486="","",COMPRAS!K1486)</f>
        <v/>
      </c>
      <c r="B2686" s="0" t="str">
        <f aca="false">IF(A2686="","",IF(MATCH(A2686,$A$2:$A$3201,0)=ROW()-1,1,0))</f>
        <v/>
      </c>
      <c r="C2686" s="0" t="str">
        <f aca="false">IF(B2686=1,MAX(C$1:C2685)+1,"")</f>
        <v/>
      </c>
    </row>
    <row r="2687" customFormat="false" ht="15" hidden="false" customHeight="false" outlineLevel="0" collapsed="false">
      <c r="A2687" s="0" t="str">
        <f aca="false">IF(COMPRAS!K1487="","",COMPRAS!K1487)</f>
        <v/>
      </c>
      <c r="B2687" s="0" t="str">
        <f aca="false">IF(A2687="","",IF(MATCH(A2687,$A$2:$A$3201,0)=ROW()-1,1,0))</f>
        <v/>
      </c>
      <c r="C2687" s="0" t="str">
        <f aca="false">IF(B2687=1,MAX(C$1:C2686)+1,"")</f>
        <v/>
      </c>
    </row>
    <row r="2688" customFormat="false" ht="15" hidden="false" customHeight="false" outlineLevel="0" collapsed="false">
      <c r="A2688" s="0" t="str">
        <f aca="false">IF(COMPRAS!K1488="","",COMPRAS!K1488)</f>
        <v/>
      </c>
      <c r="B2688" s="0" t="str">
        <f aca="false">IF(A2688="","",IF(MATCH(A2688,$A$2:$A$3201,0)=ROW()-1,1,0))</f>
        <v/>
      </c>
      <c r="C2688" s="0" t="str">
        <f aca="false">IF(B2688=1,MAX(C$1:C2687)+1,"")</f>
        <v/>
      </c>
    </row>
    <row r="2689" customFormat="false" ht="15" hidden="false" customHeight="false" outlineLevel="0" collapsed="false">
      <c r="A2689" s="0" t="str">
        <f aca="false">IF(COMPRAS!K1489="","",COMPRAS!K1489)</f>
        <v/>
      </c>
      <c r="B2689" s="0" t="str">
        <f aca="false">IF(A2689="","",IF(MATCH(A2689,$A$2:$A$3201,0)=ROW()-1,1,0))</f>
        <v/>
      </c>
      <c r="C2689" s="0" t="str">
        <f aca="false">IF(B2689=1,MAX(C$1:C2688)+1,"")</f>
        <v/>
      </c>
    </row>
    <row r="2690" customFormat="false" ht="15" hidden="false" customHeight="false" outlineLevel="0" collapsed="false">
      <c r="A2690" s="0" t="str">
        <f aca="false">IF(COMPRAS!K1490="","",COMPRAS!K1490)</f>
        <v/>
      </c>
      <c r="B2690" s="0" t="str">
        <f aca="false">IF(A2690="","",IF(MATCH(A2690,$A$2:$A$3201,0)=ROW()-1,1,0))</f>
        <v/>
      </c>
      <c r="C2690" s="0" t="str">
        <f aca="false">IF(B2690=1,MAX(C$1:C2689)+1,"")</f>
        <v/>
      </c>
    </row>
    <row r="2691" customFormat="false" ht="15" hidden="false" customHeight="false" outlineLevel="0" collapsed="false">
      <c r="A2691" s="0" t="str">
        <f aca="false">IF(COMPRAS!K1491="","",COMPRAS!K1491)</f>
        <v/>
      </c>
      <c r="B2691" s="0" t="str">
        <f aca="false">IF(A2691="","",IF(MATCH(A2691,$A$2:$A$3201,0)=ROW()-1,1,0))</f>
        <v/>
      </c>
      <c r="C2691" s="0" t="str">
        <f aca="false">IF(B2691=1,MAX(C$1:C2690)+1,"")</f>
        <v/>
      </c>
    </row>
    <row r="2692" customFormat="false" ht="15" hidden="false" customHeight="false" outlineLevel="0" collapsed="false">
      <c r="A2692" s="0" t="str">
        <f aca="false">IF(COMPRAS!K1492="","",COMPRAS!K1492)</f>
        <v/>
      </c>
      <c r="B2692" s="0" t="str">
        <f aca="false">IF(A2692="","",IF(MATCH(A2692,$A$2:$A$3201,0)=ROW()-1,1,0))</f>
        <v/>
      </c>
      <c r="C2692" s="0" t="str">
        <f aca="false">IF(B2692=1,MAX(C$1:C2691)+1,"")</f>
        <v/>
      </c>
    </row>
    <row r="2693" customFormat="false" ht="15" hidden="false" customHeight="false" outlineLevel="0" collapsed="false">
      <c r="A2693" s="0" t="str">
        <f aca="false">IF(COMPRAS!K1493="","",COMPRAS!K1493)</f>
        <v/>
      </c>
      <c r="B2693" s="0" t="str">
        <f aca="false">IF(A2693="","",IF(MATCH(A2693,$A$2:$A$3201,0)=ROW()-1,1,0))</f>
        <v/>
      </c>
      <c r="C2693" s="0" t="str">
        <f aca="false">IF(B2693=1,MAX(C$1:C2692)+1,"")</f>
        <v/>
      </c>
    </row>
    <row r="2694" customFormat="false" ht="15" hidden="false" customHeight="false" outlineLevel="0" collapsed="false">
      <c r="A2694" s="0" t="str">
        <f aca="false">IF(COMPRAS!K1494="","",COMPRAS!K1494)</f>
        <v/>
      </c>
      <c r="B2694" s="0" t="str">
        <f aca="false">IF(A2694="","",IF(MATCH(A2694,$A$2:$A$3201,0)=ROW()-1,1,0))</f>
        <v/>
      </c>
      <c r="C2694" s="0" t="str">
        <f aca="false">IF(B2694=1,MAX(C$1:C2693)+1,"")</f>
        <v/>
      </c>
    </row>
    <row r="2695" customFormat="false" ht="15" hidden="false" customHeight="false" outlineLevel="0" collapsed="false">
      <c r="A2695" s="0" t="str">
        <f aca="false">IF(COMPRAS!K1495="","",COMPRAS!K1495)</f>
        <v/>
      </c>
      <c r="B2695" s="0" t="str">
        <f aca="false">IF(A2695="","",IF(MATCH(A2695,$A$2:$A$3201,0)=ROW()-1,1,0))</f>
        <v/>
      </c>
      <c r="C2695" s="0" t="str">
        <f aca="false">IF(B2695=1,MAX(C$1:C2694)+1,"")</f>
        <v/>
      </c>
    </row>
    <row r="2696" customFormat="false" ht="15" hidden="false" customHeight="false" outlineLevel="0" collapsed="false">
      <c r="A2696" s="0" t="str">
        <f aca="false">IF(COMPRAS!K1496="","",COMPRAS!K1496)</f>
        <v/>
      </c>
      <c r="B2696" s="0" t="str">
        <f aca="false">IF(A2696="","",IF(MATCH(A2696,$A$2:$A$3201,0)=ROW()-1,1,0))</f>
        <v/>
      </c>
      <c r="C2696" s="0" t="str">
        <f aca="false">IF(B2696=1,MAX(C$1:C2695)+1,"")</f>
        <v/>
      </c>
    </row>
    <row r="2697" customFormat="false" ht="15" hidden="false" customHeight="false" outlineLevel="0" collapsed="false">
      <c r="A2697" s="0" t="str">
        <f aca="false">IF(COMPRAS!K1497="","",COMPRAS!K1497)</f>
        <v/>
      </c>
      <c r="B2697" s="0" t="str">
        <f aca="false">IF(A2697="","",IF(MATCH(A2697,$A$2:$A$3201,0)=ROW()-1,1,0))</f>
        <v/>
      </c>
      <c r="C2697" s="0" t="str">
        <f aca="false">IF(B2697=1,MAX(C$1:C2696)+1,"")</f>
        <v/>
      </c>
    </row>
    <row r="2698" customFormat="false" ht="15" hidden="false" customHeight="false" outlineLevel="0" collapsed="false">
      <c r="A2698" s="0" t="str">
        <f aca="false">IF(COMPRAS!K1498="","",COMPRAS!K1498)</f>
        <v/>
      </c>
      <c r="B2698" s="0" t="str">
        <f aca="false">IF(A2698="","",IF(MATCH(A2698,$A$2:$A$3201,0)=ROW()-1,1,0))</f>
        <v/>
      </c>
      <c r="C2698" s="0" t="str">
        <f aca="false">IF(B2698=1,MAX(C$1:C2697)+1,"")</f>
        <v/>
      </c>
    </row>
    <row r="2699" customFormat="false" ht="15" hidden="false" customHeight="false" outlineLevel="0" collapsed="false">
      <c r="A2699" s="0" t="str">
        <f aca="false">IF(COMPRAS!K1499="","",COMPRAS!K1499)</f>
        <v/>
      </c>
      <c r="B2699" s="0" t="str">
        <f aca="false">IF(A2699="","",IF(MATCH(A2699,$A$2:$A$3201,0)=ROW()-1,1,0))</f>
        <v/>
      </c>
      <c r="C2699" s="0" t="str">
        <f aca="false">IF(B2699=1,MAX(C$1:C2698)+1,"")</f>
        <v/>
      </c>
    </row>
    <row r="2700" customFormat="false" ht="15" hidden="false" customHeight="false" outlineLevel="0" collapsed="false">
      <c r="A2700" s="0" t="str">
        <f aca="false">IF(COMPRAS!K1500="","",COMPRAS!K1500)</f>
        <v/>
      </c>
      <c r="B2700" s="0" t="str">
        <f aca="false">IF(A2700="","",IF(MATCH(A2700,$A$2:$A$3201,0)=ROW()-1,1,0))</f>
        <v/>
      </c>
      <c r="C2700" s="0" t="str">
        <f aca="false">IF(B2700=1,MAX(C$1:C2699)+1,"")</f>
        <v/>
      </c>
    </row>
    <row r="2701" customFormat="false" ht="15" hidden="false" customHeight="false" outlineLevel="0" collapsed="false">
      <c r="A2701" s="0" t="str">
        <f aca="false">IF(COMPRAS!K1501="","",COMPRAS!K1501)</f>
        <v/>
      </c>
      <c r="B2701" s="0" t="str">
        <f aca="false">IF(A2701="","",IF(MATCH(A2701,$A$2:$A$3201,0)=ROW()-1,1,0))</f>
        <v/>
      </c>
      <c r="C2701" s="0" t="str">
        <f aca="false">IF(B2701=1,MAX(C$1:C2700)+1,"")</f>
        <v/>
      </c>
    </row>
    <row r="2702" customFormat="false" ht="15" hidden="false" customHeight="false" outlineLevel="0" collapsed="false">
      <c r="A2702" s="0" t="str">
        <f aca="false">IF(COMPRAS!K1502="","",COMPRAS!K1502)</f>
        <v/>
      </c>
      <c r="B2702" s="0" t="str">
        <f aca="false">IF(A2702="","",IF(MATCH(A2702,$A$2:$A$3201,0)=ROW()-1,1,0))</f>
        <v/>
      </c>
      <c r="C2702" s="0" t="str">
        <f aca="false">IF(B2702=1,MAX(C$1:C2701)+1,"")</f>
        <v/>
      </c>
    </row>
    <row r="2703" customFormat="false" ht="15" hidden="false" customHeight="false" outlineLevel="0" collapsed="false">
      <c r="A2703" s="0" t="str">
        <f aca="false">IF(COMPRAS!K1503="","",COMPRAS!K1503)</f>
        <v/>
      </c>
      <c r="B2703" s="0" t="str">
        <f aca="false">IF(A2703="","",IF(MATCH(A2703,$A$2:$A$3201,0)=ROW()-1,1,0))</f>
        <v/>
      </c>
      <c r="C2703" s="0" t="str">
        <f aca="false">IF(B2703=1,MAX(C$1:C2702)+1,"")</f>
        <v/>
      </c>
    </row>
    <row r="2704" customFormat="false" ht="15" hidden="false" customHeight="false" outlineLevel="0" collapsed="false">
      <c r="A2704" s="0" t="str">
        <f aca="false">IF(COMPRAS!K1504="","",COMPRAS!K1504)</f>
        <v/>
      </c>
      <c r="B2704" s="0" t="str">
        <f aca="false">IF(A2704="","",IF(MATCH(A2704,$A$2:$A$3201,0)=ROW()-1,1,0))</f>
        <v/>
      </c>
      <c r="C2704" s="0" t="str">
        <f aca="false">IF(B2704=1,MAX(C$1:C2703)+1,"")</f>
        <v/>
      </c>
    </row>
    <row r="2705" customFormat="false" ht="15" hidden="false" customHeight="false" outlineLevel="0" collapsed="false">
      <c r="A2705" s="0" t="str">
        <f aca="false">IF(COMPRAS!K1505="","",COMPRAS!K1505)</f>
        <v/>
      </c>
      <c r="B2705" s="0" t="str">
        <f aca="false">IF(A2705="","",IF(MATCH(A2705,$A$2:$A$3201,0)=ROW()-1,1,0))</f>
        <v/>
      </c>
      <c r="C2705" s="0" t="str">
        <f aca="false">IF(B2705=1,MAX(C$1:C2704)+1,"")</f>
        <v/>
      </c>
    </row>
    <row r="2706" customFormat="false" ht="15" hidden="false" customHeight="false" outlineLevel="0" collapsed="false">
      <c r="A2706" s="0" t="str">
        <f aca="false">IF(COMPRAS!K1506="","",COMPRAS!K1506)</f>
        <v/>
      </c>
      <c r="B2706" s="0" t="str">
        <f aca="false">IF(A2706="","",IF(MATCH(A2706,$A$2:$A$3201,0)=ROW()-1,1,0))</f>
        <v/>
      </c>
      <c r="C2706" s="0" t="str">
        <f aca="false">IF(B2706=1,MAX(C$1:C2705)+1,"")</f>
        <v/>
      </c>
    </row>
    <row r="2707" customFormat="false" ht="15" hidden="false" customHeight="false" outlineLevel="0" collapsed="false">
      <c r="A2707" s="0" t="str">
        <f aca="false">IF(COMPRAS!K1507="","",COMPRAS!K1507)</f>
        <v/>
      </c>
      <c r="B2707" s="0" t="str">
        <f aca="false">IF(A2707="","",IF(MATCH(A2707,$A$2:$A$3201,0)=ROW()-1,1,0))</f>
        <v/>
      </c>
      <c r="C2707" s="0" t="str">
        <f aca="false">IF(B2707=1,MAX(C$1:C2706)+1,"")</f>
        <v/>
      </c>
    </row>
    <row r="2708" customFormat="false" ht="15" hidden="false" customHeight="false" outlineLevel="0" collapsed="false">
      <c r="A2708" s="0" t="str">
        <f aca="false">IF(COMPRAS!K1508="","",COMPRAS!K1508)</f>
        <v/>
      </c>
      <c r="B2708" s="0" t="str">
        <f aca="false">IF(A2708="","",IF(MATCH(A2708,$A$2:$A$3201,0)=ROW()-1,1,0))</f>
        <v/>
      </c>
      <c r="C2708" s="0" t="str">
        <f aca="false">IF(B2708=1,MAX(C$1:C2707)+1,"")</f>
        <v/>
      </c>
    </row>
    <row r="2709" customFormat="false" ht="15" hidden="false" customHeight="false" outlineLevel="0" collapsed="false">
      <c r="A2709" s="0" t="str">
        <f aca="false">IF(COMPRAS!K1509="","",COMPRAS!K1509)</f>
        <v/>
      </c>
      <c r="B2709" s="0" t="str">
        <f aca="false">IF(A2709="","",IF(MATCH(A2709,$A$2:$A$3201,0)=ROW()-1,1,0))</f>
        <v/>
      </c>
      <c r="C2709" s="0" t="str">
        <f aca="false">IF(B2709=1,MAX(C$1:C2708)+1,"")</f>
        <v/>
      </c>
    </row>
    <row r="2710" customFormat="false" ht="15" hidden="false" customHeight="false" outlineLevel="0" collapsed="false">
      <c r="A2710" s="0" t="str">
        <f aca="false">IF(COMPRAS!K1510="","",COMPRAS!K1510)</f>
        <v/>
      </c>
      <c r="B2710" s="0" t="str">
        <f aca="false">IF(A2710="","",IF(MATCH(A2710,$A$2:$A$3201,0)=ROW()-1,1,0))</f>
        <v/>
      </c>
      <c r="C2710" s="0" t="str">
        <f aca="false">IF(B2710=1,MAX(C$1:C2709)+1,"")</f>
        <v/>
      </c>
    </row>
    <row r="2711" customFormat="false" ht="15" hidden="false" customHeight="false" outlineLevel="0" collapsed="false">
      <c r="A2711" s="0" t="str">
        <f aca="false">IF(COMPRAS!K1511="","",COMPRAS!K1511)</f>
        <v/>
      </c>
      <c r="B2711" s="0" t="str">
        <f aca="false">IF(A2711="","",IF(MATCH(A2711,$A$2:$A$3201,0)=ROW()-1,1,0))</f>
        <v/>
      </c>
      <c r="C2711" s="0" t="str">
        <f aca="false">IF(B2711=1,MAX(C$1:C2710)+1,"")</f>
        <v/>
      </c>
    </row>
    <row r="2712" customFormat="false" ht="15" hidden="false" customHeight="false" outlineLevel="0" collapsed="false">
      <c r="A2712" s="0" t="str">
        <f aca="false">IF(COMPRAS!K1512="","",COMPRAS!K1512)</f>
        <v/>
      </c>
      <c r="B2712" s="0" t="str">
        <f aca="false">IF(A2712="","",IF(MATCH(A2712,$A$2:$A$3201,0)=ROW()-1,1,0))</f>
        <v/>
      </c>
      <c r="C2712" s="0" t="str">
        <f aca="false">IF(B2712=1,MAX(C$1:C2711)+1,"")</f>
        <v/>
      </c>
    </row>
    <row r="2713" customFormat="false" ht="15" hidden="false" customHeight="false" outlineLevel="0" collapsed="false">
      <c r="A2713" s="0" t="str">
        <f aca="false">IF(COMPRAS!K1513="","",COMPRAS!K1513)</f>
        <v/>
      </c>
      <c r="B2713" s="0" t="str">
        <f aca="false">IF(A2713="","",IF(MATCH(A2713,$A$2:$A$3201,0)=ROW()-1,1,0))</f>
        <v/>
      </c>
      <c r="C2713" s="0" t="str">
        <f aca="false">IF(B2713=1,MAX(C$1:C2712)+1,"")</f>
        <v/>
      </c>
    </row>
    <row r="2714" customFormat="false" ht="15" hidden="false" customHeight="false" outlineLevel="0" collapsed="false">
      <c r="A2714" s="0" t="str">
        <f aca="false">IF(COMPRAS!K1514="","",COMPRAS!K1514)</f>
        <v/>
      </c>
      <c r="B2714" s="0" t="str">
        <f aca="false">IF(A2714="","",IF(MATCH(A2714,$A$2:$A$3201,0)=ROW()-1,1,0))</f>
        <v/>
      </c>
      <c r="C2714" s="0" t="str">
        <f aca="false">IF(B2714=1,MAX(C$1:C2713)+1,"")</f>
        <v/>
      </c>
    </row>
    <row r="2715" customFormat="false" ht="15" hidden="false" customHeight="false" outlineLevel="0" collapsed="false">
      <c r="A2715" s="0" t="str">
        <f aca="false">IF(COMPRAS!K1515="","",COMPRAS!K1515)</f>
        <v/>
      </c>
      <c r="B2715" s="0" t="str">
        <f aca="false">IF(A2715="","",IF(MATCH(A2715,$A$2:$A$3201,0)=ROW()-1,1,0))</f>
        <v/>
      </c>
      <c r="C2715" s="0" t="str">
        <f aca="false">IF(B2715=1,MAX(C$1:C2714)+1,"")</f>
        <v/>
      </c>
    </row>
    <row r="2716" customFormat="false" ht="15" hidden="false" customHeight="false" outlineLevel="0" collapsed="false">
      <c r="A2716" s="0" t="str">
        <f aca="false">IF(COMPRAS!K1516="","",COMPRAS!K1516)</f>
        <v/>
      </c>
      <c r="B2716" s="0" t="str">
        <f aca="false">IF(A2716="","",IF(MATCH(A2716,$A$2:$A$3201,0)=ROW()-1,1,0))</f>
        <v/>
      </c>
      <c r="C2716" s="0" t="str">
        <f aca="false">IF(B2716=1,MAX(C$1:C2715)+1,"")</f>
        <v/>
      </c>
    </row>
    <row r="2717" customFormat="false" ht="15" hidden="false" customHeight="false" outlineLevel="0" collapsed="false">
      <c r="A2717" s="0" t="str">
        <f aca="false">IF(COMPRAS!K1517="","",COMPRAS!K1517)</f>
        <v/>
      </c>
      <c r="B2717" s="0" t="str">
        <f aca="false">IF(A2717="","",IF(MATCH(A2717,$A$2:$A$3201,0)=ROW()-1,1,0))</f>
        <v/>
      </c>
      <c r="C2717" s="0" t="str">
        <f aca="false">IF(B2717=1,MAX(C$1:C2716)+1,"")</f>
        <v/>
      </c>
    </row>
    <row r="2718" customFormat="false" ht="15" hidden="false" customHeight="false" outlineLevel="0" collapsed="false">
      <c r="A2718" s="0" t="str">
        <f aca="false">IF(COMPRAS!K1518="","",COMPRAS!K1518)</f>
        <v/>
      </c>
      <c r="B2718" s="0" t="str">
        <f aca="false">IF(A2718="","",IF(MATCH(A2718,$A$2:$A$3201,0)=ROW()-1,1,0))</f>
        <v/>
      </c>
      <c r="C2718" s="0" t="str">
        <f aca="false">IF(B2718=1,MAX(C$1:C2717)+1,"")</f>
        <v/>
      </c>
    </row>
    <row r="2719" customFormat="false" ht="15" hidden="false" customHeight="false" outlineLevel="0" collapsed="false">
      <c r="A2719" s="0" t="str">
        <f aca="false">IF(COMPRAS!K1519="","",COMPRAS!K1519)</f>
        <v/>
      </c>
      <c r="B2719" s="0" t="str">
        <f aca="false">IF(A2719="","",IF(MATCH(A2719,$A$2:$A$3201,0)=ROW()-1,1,0))</f>
        <v/>
      </c>
      <c r="C2719" s="0" t="str">
        <f aca="false">IF(B2719=1,MAX(C$1:C2718)+1,"")</f>
        <v/>
      </c>
    </row>
    <row r="2720" customFormat="false" ht="15" hidden="false" customHeight="false" outlineLevel="0" collapsed="false">
      <c r="A2720" s="0" t="str">
        <f aca="false">IF(COMPRAS!K1520="","",COMPRAS!K1520)</f>
        <v/>
      </c>
      <c r="B2720" s="0" t="str">
        <f aca="false">IF(A2720="","",IF(MATCH(A2720,$A$2:$A$3201,0)=ROW()-1,1,0))</f>
        <v/>
      </c>
      <c r="C2720" s="0" t="str">
        <f aca="false">IF(B2720=1,MAX(C$1:C2719)+1,"")</f>
        <v/>
      </c>
    </row>
    <row r="2721" customFormat="false" ht="15" hidden="false" customHeight="false" outlineLevel="0" collapsed="false">
      <c r="A2721" s="0" t="str">
        <f aca="false">IF(COMPRAS!K1521="","",COMPRAS!K1521)</f>
        <v/>
      </c>
      <c r="B2721" s="0" t="str">
        <f aca="false">IF(A2721="","",IF(MATCH(A2721,$A$2:$A$3201,0)=ROW()-1,1,0))</f>
        <v/>
      </c>
      <c r="C2721" s="0" t="str">
        <f aca="false">IF(B2721=1,MAX(C$1:C2720)+1,"")</f>
        <v/>
      </c>
    </row>
    <row r="2722" customFormat="false" ht="15" hidden="false" customHeight="false" outlineLevel="0" collapsed="false">
      <c r="A2722" s="0" t="str">
        <f aca="false">IF(COMPRAS!K1522="","",COMPRAS!K1522)</f>
        <v/>
      </c>
      <c r="B2722" s="0" t="str">
        <f aca="false">IF(A2722="","",IF(MATCH(A2722,$A$2:$A$3201,0)=ROW()-1,1,0))</f>
        <v/>
      </c>
      <c r="C2722" s="0" t="str">
        <f aca="false">IF(B2722=1,MAX(C$1:C2721)+1,"")</f>
        <v/>
      </c>
    </row>
    <row r="2723" customFormat="false" ht="15" hidden="false" customHeight="false" outlineLevel="0" collapsed="false">
      <c r="A2723" s="0" t="str">
        <f aca="false">IF(COMPRAS!K1523="","",COMPRAS!K1523)</f>
        <v/>
      </c>
      <c r="B2723" s="0" t="str">
        <f aca="false">IF(A2723="","",IF(MATCH(A2723,$A$2:$A$3201,0)=ROW()-1,1,0))</f>
        <v/>
      </c>
      <c r="C2723" s="0" t="str">
        <f aca="false">IF(B2723=1,MAX(C$1:C2722)+1,"")</f>
        <v/>
      </c>
    </row>
    <row r="2724" customFormat="false" ht="15" hidden="false" customHeight="false" outlineLevel="0" collapsed="false">
      <c r="A2724" s="0" t="str">
        <f aca="false">IF(COMPRAS!K1524="","",COMPRAS!K1524)</f>
        <v/>
      </c>
      <c r="B2724" s="0" t="str">
        <f aca="false">IF(A2724="","",IF(MATCH(A2724,$A$2:$A$3201,0)=ROW()-1,1,0))</f>
        <v/>
      </c>
      <c r="C2724" s="0" t="str">
        <f aca="false">IF(B2724=1,MAX(C$1:C2723)+1,"")</f>
        <v/>
      </c>
    </row>
    <row r="2725" customFormat="false" ht="15" hidden="false" customHeight="false" outlineLevel="0" collapsed="false">
      <c r="A2725" s="0" t="str">
        <f aca="false">IF(COMPRAS!K1525="","",COMPRAS!K1525)</f>
        <v/>
      </c>
      <c r="B2725" s="0" t="str">
        <f aca="false">IF(A2725="","",IF(MATCH(A2725,$A$2:$A$3201,0)=ROW()-1,1,0))</f>
        <v/>
      </c>
      <c r="C2725" s="0" t="str">
        <f aca="false">IF(B2725=1,MAX(C$1:C2724)+1,"")</f>
        <v/>
      </c>
    </row>
    <row r="2726" customFormat="false" ht="15" hidden="false" customHeight="false" outlineLevel="0" collapsed="false">
      <c r="A2726" s="0" t="str">
        <f aca="false">IF(COMPRAS!K1526="","",COMPRAS!K1526)</f>
        <v/>
      </c>
      <c r="B2726" s="0" t="str">
        <f aca="false">IF(A2726="","",IF(MATCH(A2726,$A$2:$A$3201,0)=ROW()-1,1,0))</f>
        <v/>
      </c>
      <c r="C2726" s="0" t="str">
        <f aca="false">IF(B2726=1,MAX(C$1:C2725)+1,"")</f>
        <v/>
      </c>
    </row>
    <row r="2727" customFormat="false" ht="15" hidden="false" customHeight="false" outlineLevel="0" collapsed="false">
      <c r="A2727" s="0" t="str">
        <f aca="false">IF(COMPRAS!K1527="","",COMPRAS!K1527)</f>
        <v/>
      </c>
      <c r="B2727" s="0" t="str">
        <f aca="false">IF(A2727="","",IF(MATCH(A2727,$A$2:$A$3201,0)=ROW()-1,1,0))</f>
        <v/>
      </c>
      <c r="C2727" s="0" t="str">
        <f aca="false">IF(B2727=1,MAX(C$1:C2726)+1,"")</f>
        <v/>
      </c>
    </row>
    <row r="2728" customFormat="false" ht="15" hidden="false" customHeight="false" outlineLevel="0" collapsed="false">
      <c r="A2728" s="0" t="str">
        <f aca="false">IF(COMPRAS!K1528="","",COMPRAS!K1528)</f>
        <v/>
      </c>
      <c r="B2728" s="0" t="str">
        <f aca="false">IF(A2728="","",IF(MATCH(A2728,$A$2:$A$3201,0)=ROW()-1,1,0))</f>
        <v/>
      </c>
      <c r="C2728" s="0" t="str">
        <f aca="false">IF(B2728=1,MAX(C$1:C2727)+1,"")</f>
        <v/>
      </c>
    </row>
    <row r="2729" customFormat="false" ht="15" hidden="false" customHeight="false" outlineLevel="0" collapsed="false">
      <c r="A2729" s="0" t="str">
        <f aca="false">IF(COMPRAS!K1529="","",COMPRAS!K1529)</f>
        <v/>
      </c>
      <c r="B2729" s="0" t="str">
        <f aca="false">IF(A2729="","",IF(MATCH(A2729,$A$2:$A$3201,0)=ROW()-1,1,0))</f>
        <v/>
      </c>
      <c r="C2729" s="0" t="str">
        <f aca="false">IF(B2729=1,MAX(C$1:C2728)+1,"")</f>
        <v/>
      </c>
    </row>
    <row r="2730" customFormat="false" ht="15" hidden="false" customHeight="false" outlineLevel="0" collapsed="false">
      <c r="A2730" s="0" t="str">
        <f aca="false">IF(COMPRAS!K1530="","",COMPRAS!K1530)</f>
        <v/>
      </c>
      <c r="B2730" s="0" t="str">
        <f aca="false">IF(A2730="","",IF(MATCH(A2730,$A$2:$A$3201,0)=ROW()-1,1,0))</f>
        <v/>
      </c>
      <c r="C2730" s="0" t="str">
        <f aca="false">IF(B2730=1,MAX(C$1:C2729)+1,"")</f>
        <v/>
      </c>
    </row>
    <row r="2731" customFormat="false" ht="15" hidden="false" customHeight="false" outlineLevel="0" collapsed="false">
      <c r="A2731" s="0" t="str">
        <f aca="false">IF(COMPRAS!K1531="","",COMPRAS!K1531)</f>
        <v/>
      </c>
      <c r="B2731" s="0" t="str">
        <f aca="false">IF(A2731="","",IF(MATCH(A2731,$A$2:$A$3201,0)=ROW()-1,1,0))</f>
        <v/>
      </c>
      <c r="C2731" s="0" t="str">
        <f aca="false">IF(B2731=1,MAX(C$1:C2730)+1,"")</f>
        <v/>
      </c>
    </row>
    <row r="2732" customFormat="false" ht="15" hidden="false" customHeight="false" outlineLevel="0" collapsed="false">
      <c r="A2732" s="0" t="str">
        <f aca="false">IF(COMPRAS!K1532="","",COMPRAS!K1532)</f>
        <v/>
      </c>
      <c r="B2732" s="0" t="str">
        <f aca="false">IF(A2732="","",IF(MATCH(A2732,$A$2:$A$3201,0)=ROW()-1,1,0))</f>
        <v/>
      </c>
      <c r="C2732" s="0" t="str">
        <f aca="false">IF(B2732=1,MAX(C$1:C2731)+1,"")</f>
        <v/>
      </c>
    </row>
    <row r="2733" customFormat="false" ht="15" hidden="false" customHeight="false" outlineLevel="0" collapsed="false">
      <c r="A2733" s="0" t="str">
        <f aca="false">IF(COMPRAS!K1533="","",COMPRAS!K1533)</f>
        <v/>
      </c>
      <c r="B2733" s="0" t="str">
        <f aca="false">IF(A2733="","",IF(MATCH(A2733,$A$2:$A$3201,0)=ROW()-1,1,0))</f>
        <v/>
      </c>
      <c r="C2733" s="0" t="str">
        <f aca="false">IF(B2733=1,MAX(C$1:C2732)+1,"")</f>
        <v/>
      </c>
    </row>
    <row r="2734" customFormat="false" ht="15" hidden="false" customHeight="false" outlineLevel="0" collapsed="false">
      <c r="A2734" s="0" t="str">
        <f aca="false">IF(COMPRAS!K1534="","",COMPRAS!K1534)</f>
        <v/>
      </c>
      <c r="B2734" s="0" t="str">
        <f aca="false">IF(A2734="","",IF(MATCH(A2734,$A$2:$A$3201,0)=ROW()-1,1,0))</f>
        <v/>
      </c>
      <c r="C2734" s="0" t="str">
        <f aca="false">IF(B2734=1,MAX(C$1:C2733)+1,"")</f>
        <v/>
      </c>
    </row>
    <row r="2735" customFormat="false" ht="15" hidden="false" customHeight="false" outlineLevel="0" collapsed="false">
      <c r="A2735" s="0" t="str">
        <f aca="false">IF(COMPRAS!K1535="","",COMPRAS!K1535)</f>
        <v/>
      </c>
      <c r="B2735" s="0" t="str">
        <f aca="false">IF(A2735="","",IF(MATCH(A2735,$A$2:$A$3201,0)=ROW()-1,1,0))</f>
        <v/>
      </c>
      <c r="C2735" s="0" t="str">
        <f aca="false">IF(B2735=1,MAX(C$1:C2734)+1,"")</f>
        <v/>
      </c>
    </row>
    <row r="2736" customFormat="false" ht="15" hidden="false" customHeight="false" outlineLevel="0" collapsed="false">
      <c r="A2736" s="0" t="str">
        <f aca="false">IF(COMPRAS!K1536="","",COMPRAS!K1536)</f>
        <v/>
      </c>
      <c r="B2736" s="0" t="str">
        <f aca="false">IF(A2736="","",IF(MATCH(A2736,$A$2:$A$3201,0)=ROW()-1,1,0))</f>
        <v/>
      </c>
      <c r="C2736" s="0" t="str">
        <f aca="false">IF(B2736=1,MAX(C$1:C2735)+1,"")</f>
        <v/>
      </c>
    </row>
    <row r="2737" customFormat="false" ht="15" hidden="false" customHeight="false" outlineLevel="0" collapsed="false">
      <c r="A2737" s="0" t="str">
        <f aca="false">IF(COMPRAS!K1537="","",COMPRAS!K1537)</f>
        <v/>
      </c>
      <c r="B2737" s="0" t="str">
        <f aca="false">IF(A2737="","",IF(MATCH(A2737,$A$2:$A$3201,0)=ROW()-1,1,0))</f>
        <v/>
      </c>
      <c r="C2737" s="0" t="str">
        <f aca="false">IF(B2737=1,MAX(C$1:C2736)+1,"")</f>
        <v/>
      </c>
    </row>
    <row r="2738" customFormat="false" ht="15" hidden="false" customHeight="false" outlineLevel="0" collapsed="false">
      <c r="A2738" s="0" t="str">
        <f aca="false">IF(COMPRAS!K1538="","",COMPRAS!K1538)</f>
        <v/>
      </c>
      <c r="B2738" s="0" t="str">
        <f aca="false">IF(A2738="","",IF(MATCH(A2738,$A$2:$A$3201,0)=ROW()-1,1,0))</f>
        <v/>
      </c>
      <c r="C2738" s="0" t="str">
        <f aca="false">IF(B2738=1,MAX(C$1:C2737)+1,"")</f>
        <v/>
      </c>
    </row>
    <row r="2739" customFormat="false" ht="15" hidden="false" customHeight="false" outlineLevel="0" collapsed="false">
      <c r="A2739" s="0" t="str">
        <f aca="false">IF(COMPRAS!K1539="","",COMPRAS!K1539)</f>
        <v/>
      </c>
      <c r="B2739" s="0" t="str">
        <f aca="false">IF(A2739="","",IF(MATCH(A2739,$A$2:$A$3201,0)=ROW()-1,1,0))</f>
        <v/>
      </c>
      <c r="C2739" s="0" t="str">
        <f aca="false">IF(B2739=1,MAX(C$1:C2738)+1,"")</f>
        <v/>
      </c>
    </row>
    <row r="2740" customFormat="false" ht="15" hidden="false" customHeight="false" outlineLevel="0" collapsed="false">
      <c r="A2740" s="0" t="str">
        <f aca="false">IF(COMPRAS!K1540="","",COMPRAS!K1540)</f>
        <v/>
      </c>
      <c r="B2740" s="0" t="str">
        <f aca="false">IF(A2740="","",IF(MATCH(A2740,$A$2:$A$3201,0)=ROW()-1,1,0))</f>
        <v/>
      </c>
      <c r="C2740" s="0" t="str">
        <f aca="false">IF(B2740=1,MAX(C$1:C2739)+1,"")</f>
        <v/>
      </c>
    </row>
    <row r="2741" customFormat="false" ht="15" hidden="false" customHeight="false" outlineLevel="0" collapsed="false">
      <c r="A2741" s="0" t="str">
        <f aca="false">IF(COMPRAS!K1541="","",COMPRAS!K1541)</f>
        <v/>
      </c>
      <c r="B2741" s="0" t="str">
        <f aca="false">IF(A2741="","",IF(MATCH(A2741,$A$2:$A$3201,0)=ROW()-1,1,0))</f>
        <v/>
      </c>
      <c r="C2741" s="0" t="str">
        <f aca="false">IF(B2741=1,MAX(C$1:C2740)+1,"")</f>
        <v/>
      </c>
    </row>
    <row r="2742" customFormat="false" ht="15" hidden="false" customHeight="false" outlineLevel="0" collapsed="false">
      <c r="A2742" s="0" t="str">
        <f aca="false">IF(COMPRAS!K1542="","",COMPRAS!K1542)</f>
        <v/>
      </c>
      <c r="B2742" s="0" t="str">
        <f aca="false">IF(A2742="","",IF(MATCH(A2742,$A$2:$A$3201,0)=ROW()-1,1,0))</f>
        <v/>
      </c>
      <c r="C2742" s="0" t="str">
        <f aca="false">IF(B2742=1,MAX(C$1:C2741)+1,"")</f>
        <v/>
      </c>
    </row>
    <row r="2743" customFormat="false" ht="15" hidden="false" customHeight="false" outlineLevel="0" collapsed="false">
      <c r="A2743" s="0" t="str">
        <f aca="false">IF(COMPRAS!K1543="","",COMPRAS!K1543)</f>
        <v/>
      </c>
      <c r="B2743" s="0" t="str">
        <f aca="false">IF(A2743="","",IF(MATCH(A2743,$A$2:$A$3201,0)=ROW()-1,1,0))</f>
        <v/>
      </c>
      <c r="C2743" s="0" t="str">
        <f aca="false">IF(B2743=1,MAX(C$1:C2742)+1,"")</f>
        <v/>
      </c>
    </row>
    <row r="2744" customFormat="false" ht="15" hidden="false" customHeight="false" outlineLevel="0" collapsed="false">
      <c r="A2744" s="0" t="str">
        <f aca="false">IF(COMPRAS!K1544="","",COMPRAS!K1544)</f>
        <v/>
      </c>
      <c r="B2744" s="0" t="str">
        <f aca="false">IF(A2744="","",IF(MATCH(A2744,$A$2:$A$3201,0)=ROW()-1,1,0))</f>
        <v/>
      </c>
      <c r="C2744" s="0" t="str">
        <f aca="false">IF(B2744=1,MAX(C$1:C2743)+1,"")</f>
        <v/>
      </c>
    </row>
    <row r="2745" customFormat="false" ht="15" hidden="false" customHeight="false" outlineLevel="0" collapsed="false">
      <c r="A2745" s="0" t="str">
        <f aca="false">IF(COMPRAS!K1545="","",COMPRAS!K1545)</f>
        <v/>
      </c>
      <c r="B2745" s="0" t="str">
        <f aca="false">IF(A2745="","",IF(MATCH(A2745,$A$2:$A$3201,0)=ROW()-1,1,0))</f>
        <v/>
      </c>
      <c r="C2745" s="0" t="str">
        <f aca="false">IF(B2745=1,MAX(C$1:C2744)+1,"")</f>
        <v/>
      </c>
    </row>
    <row r="2746" customFormat="false" ht="15" hidden="false" customHeight="false" outlineLevel="0" collapsed="false">
      <c r="A2746" s="0" t="str">
        <f aca="false">IF(COMPRAS!K1546="","",COMPRAS!K1546)</f>
        <v/>
      </c>
      <c r="B2746" s="0" t="str">
        <f aca="false">IF(A2746="","",IF(MATCH(A2746,$A$2:$A$3201,0)=ROW()-1,1,0))</f>
        <v/>
      </c>
      <c r="C2746" s="0" t="str">
        <f aca="false">IF(B2746=1,MAX(C$1:C2745)+1,"")</f>
        <v/>
      </c>
    </row>
    <row r="2747" customFormat="false" ht="15" hidden="false" customHeight="false" outlineLevel="0" collapsed="false">
      <c r="A2747" s="0" t="str">
        <f aca="false">IF(COMPRAS!K1547="","",COMPRAS!K1547)</f>
        <v/>
      </c>
      <c r="B2747" s="0" t="str">
        <f aca="false">IF(A2747="","",IF(MATCH(A2747,$A$2:$A$3201,0)=ROW()-1,1,0))</f>
        <v/>
      </c>
      <c r="C2747" s="0" t="str">
        <f aca="false">IF(B2747=1,MAX(C$1:C2746)+1,"")</f>
        <v/>
      </c>
    </row>
    <row r="2748" customFormat="false" ht="15" hidden="false" customHeight="false" outlineLevel="0" collapsed="false">
      <c r="A2748" s="0" t="str">
        <f aca="false">IF(COMPRAS!K1548="","",COMPRAS!K1548)</f>
        <v/>
      </c>
      <c r="B2748" s="0" t="str">
        <f aca="false">IF(A2748="","",IF(MATCH(A2748,$A$2:$A$3201,0)=ROW()-1,1,0))</f>
        <v/>
      </c>
      <c r="C2748" s="0" t="str">
        <f aca="false">IF(B2748=1,MAX(C$1:C2747)+1,"")</f>
        <v/>
      </c>
    </row>
    <row r="2749" customFormat="false" ht="15" hidden="false" customHeight="false" outlineLevel="0" collapsed="false">
      <c r="A2749" s="0" t="str">
        <f aca="false">IF(COMPRAS!K1549="","",COMPRAS!K1549)</f>
        <v/>
      </c>
      <c r="B2749" s="0" t="str">
        <f aca="false">IF(A2749="","",IF(MATCH(A2749,$A$2:$A$3201,0)=ROW()-1,1,0))</f>
        <v/>
      </c>
      <c r="C2749" s="0" t="str">
        <f aca="false">IF(B2749=1,MAX(C$1:C2748)+1,"")</f>
        <v/>
      </c>
    </row>
    <row r="2750" customFormat="false" ht="15" hidden="false" customHeight="false" outlineLevel="0" collapsed="false">
      <c r="A2750" s="0" t="str">
        <f aca="false">IF(COMPRAS!K1550="","",COMPRAS!K1550)</f>
        <v/>
      </c>
      <c r="B2750" s="0" t="str">
        <f aca="false">IF(A2750="","",IF(MATCH(A2750,$A$2:$A$3201,0)=ROW()-1,1,0))</f>
        <v/>
      </c>
      <c r="C2750" s="0" t="str">
        <f aca="false">IF(B2750=1,MAX(C$1:C2749)+1,"")</f>
        <v/>
      </c>
    </row>
    <row r="2751" customFormat="false" ht="15" hidden="false" customHeight="false" outlineLevel="0" collapsed="false">
      <c r="A2751" s="0" t="str">
        <f aca="false">IF(COMPRAS!K1551="","",COMPRAS!K1551)</f>
        <v/>
      </c>
      <c r="B2751" s="0" t="str">
        <f aca="false">IF(A2751="","",IF(MATCH(A2751,$A$2:$A$3201,0)=ROW()-1,1,0))</f>
        <v/>
      </c>
      <c r="C2751" s="0" t="str">
        <f aca="false">IF(B2751=1,MAX(C$1:C2750)+1,"")</f>
        <v/>
      </c>
    </row>
    <row r="2752" customFormat="false" ht="15" hidden="false" customHeight="false" outlineLevel="0" collapsed="false">
      <c r="A2752" s="0" t="str">
        <f aca="false">IF(COMPRAS!K1552="","",COMPRAS!K1552)</f>
        <v/>
      </c>
      <c r="B2752" s="0" t="str">
        <f aca="false">IF(A2752="","",IF(MATCH(A2752,$A$2:$A$3201,0)=ROW()-1,1,0))</f>
        <v/>
      </c>
      <c r="C2752" s="0" t="str">
        <f aca="false">IF(B2752=1,MAX(C$1:C2751)+1,"")</f>
        <v/>
      </c>
    </row>
    <row r="2753" customFormat="false" ht="15" hidden="false" customHeight="false" outlineLevel="0" collapsed="false">
      <c r="A2753" s="0" t="str">
        <f aca="false">IF(COMPRAS!K1553="","",COMPRAS!K1553)</f>
        <v/>
      </c>
      <c r="B2753" s="0" t="str">
        <f aca="false">IF(A2753="","",IF(MATCH(A2753,$A$2:$A$3201,0)=ROW()-1,1,0))</f>
        <v/>
      </c>
      <c r="C2753" s="0" t="str">
        <f aca="false">IF(B2753=1,MAX(C$1:C2752)+1,"")</f>
        <v/>
      </c>
    </row>
    <row r="2754" customFormat="false" ht="15" hidden="false" customHeight="false" outlineLevel="0" collapsed="false">
      <c r="A2754" s="0" t="str">
        <f aca="false">IF(COMPRAS!K1554="","",COMPRAS!K1554)</f>
        <v/>
      </c>
      <c r="B2754" s="0" t="str">
        <f aca="false">IF(A2754="","",IF(MATCH(A2754,$A$2:$A$3201,0)=ROW()-1,1,0))</f>
        <v/>
      </c>
      <c r="C2754" s="0" t="str">
        <f aca="false">IF(B2754=1,MAX(C$1:C2753)+1,"")</f>
        <v/>
      </c>
    </row>
    <row r="2755" customFormat="false" ht="15" hidden="false" customHeight="false" outlineLevel="0" collapsed="false">
      <c r="A2755" s="0" t="str">
        <f aca="false">IF(COMPRAS!K1555="","",COMPRAS!K1555)</f>
        <v/>
      </c>
      <c r="B2755" s="0" t="str">
        <f aca="false">IF(A2755="","",IF(MATCH(A2755,$A$2:$A$3201,0)=ROW()-1,1,0))</f>
        <v/>
      </c>
      <c r="C2755" s="0" t="str">
        <f aca="false">IF(B2755=1,MAX(C$1:C2754)+1,"")</f>
        <v/>
      </c>
    </row>
    <row r="2756" customFormat="false" ht="15" hidden="false" customHeight="false" outlineLevel="0" collapsed="false">
      <c r="A2756" s="0" t="str">
        <f aca="false">IF(COMPRAS!K1556="","",COMPRAS!K1556)</f>
        <v/>
      </c>
      <c r="B2756" s="0" t="str">
        <f aca="false">IF(A2756="","",IF(MATCH(A2756,$A$2:$A$3201,0)=ROW()-1,1,0))</f>
        <v/>
      </c>
      <c r="C2756" s="0" t="str">
        <f aca="false">IF(B2756=1,MAX(C$1:C2755)+1,"")</f>
        <v/>
      </c>
    </row>
    <row r="2757" customFormat="false" ht="15" hidden="false" customHeight="false" outlineLevel="0" collapsed="false">
      <c r="A2757" s="0" t="str">
        <f aca="false">IF(COMPRAS!K1557="","",COMPRAS!K1557)</f>
        <v/>
      </c>
      <c r="B2757" s="0" t="str">
        <f aca="false">IF(A2757="","",IF(MATCH(A2757,$A$2:$A$3201,0)=ROW()-1,1,0))</f>
        <v/>
      </c>
      <c r="C2757" s="0" t="str">
        <f aca="false">IF(B2757=1,MAX(C$1:C2756)+1,"")</f>
        <v/>
      </c>
    </row>
    <row r="2758" customFormat="false" ht="15" hidden="false" customHeight="false" outlineLevel="0" collapsed="false">
      <c r="A2758" s="0" t="str">
        <f aca="false">IF(COMPRAS!K1558="","",COMPRAS!K1558)</f>
        <v/>
      </c>
      <c r="B2758" s="0" t="str">
        <f aca="false">IF(A2758="","",IF(MATCH(A2758,$A$2:$A$3201,0)=ROW()-1,1,0))</f>
        <v/>
      </c>
      <c r="C2758" s="0" t="str">
        <f aca="false">IF(B2758=1,MAX(C$1:C2757)+1,"")</f>
        <v/>
      </c>
    </row>
    <row r="2759" customFormat="false" ht="15" hidden="false" customHeight="false" outlineLevel="0" collapsed="false">
      <c r="A2759" s="0" t="str">
        <f aca="false">IF(COMPRAS!K1559="","",COMPRAS!K1559)</f>
        <v/>
      </c>
      <c r="B2759" s="0" t="str">
        <f aca="false">IF(A2759="","",IF(MATCH(A2759,$A$2:$A$3201,0)=ROW()-1,1,0))</f>
        <v/>
      </c>
      <c r="C2759" s="0" t="str">
        <f aca="false">IF(B2759=1,MAX(C$1:C2758)+1,"")</f>
        <v/>
      </c>
    </row>
    <row r="2760" customFormat="false" ht="15" hidden="false" customHeight="false" outlineLevel="0" collapsed="false">
      <c r="A2760" s="0" t="str">
        <f aca="false">IF(COMPRAS!K1560="","",COMPRAS!K1560)</f>
        <v/>
      </c>
      <c r="B2760" s="0" t="str">
        <f aca="false">IF(A2760="","",IF(MATCH(A2760,$A$2:$A$3201,0)=ROW()-1,1,0))</f>
        <v/>
      </c>
      <c r="C2760" s="0" t="str">
        <f aca="false">IF(B2760=1,MAX(C$1:C2759)+1,"")</f>
        <v/>
      </c>
    </row>
    <row r="2761" customFormat="false" ht="15" hidden="false" customHeight="false" outlineLevel="0" collapsed="false">
      <c r="A2761" s="0" t="str">
        <f aca="false">IF(COMPRAS!K1561="","",COMPRAS!K1561)</f>
        <v/>
      </c>
      <c r="B2761" s="0" t="str">
        <f aca="false">IF(A2761="","",IF(MATCH(A2761,$A$2:$A$3201,0)=ROW()-1,1,0))</f>
        <v/>
      </c>
      <c r="C2761" s="0" t="str">
        <f aca="false">IF(B2761=1,MAX(C$1:C2760)+1,"")</f>
        <v/>
      </c>
    </row>
    <row r="2762" customFormat="false" ht="15" hidden="false" customHeight="false" outlineLevel="0" collapsed="false">
      <c r="A2762" s="0" t="str">
        <f aca="false">IF(COMPRAS!K1562="","",COMPRAS!K1562)</f>
        <v/>
      </c>
      <c r="B2762" s="0" t="str">
        <f aca="false">IF(A2762="","",IF(MATCH(A2762,$A$2:$A$3201,0)=ROW()-1,1,0))</f>
        <v/>
      </c>
      <c r="C2762" s="0" t="str">
        <f aca="false">IF(B2762=1,MAX(C$1:C2761)+1,"")</f>
        <v/>
      </c>
    </row>
    <row r="2763" customFormat="false" ht="15" hidden="false" customHeight="false" outlineLevel="0" collapsed="false">
      <c r="A2763" s="0" t="str">
        <f aca="false">IF(COMPRAS!K1563="","",COMPRAS!K1563)</f>
        <v/>
      </c>
      <c r="B2763" s="0" t="str">
        <f aca="false">IF(A2763="","",IF(MATCH(A2763,$A$2:$A$3201,0)=ROW()-1,1,0))</f>
        <v/>
      </c>
      <c r="C2763" s="0" t="str">
        <f aca="false">IF(B2763=1,MAX(C$1:C2762)+1,"")</f>
        <v/>
      </c>
    </row>
    <row r="2764" customFormat="false" ht="15" hidden="false" customHeight="false" outlineLevel="0" collapsed="false">
      <c r="A2764" s="0" t="str">
        <f aca="false">IF(COMPRAS!K1564="","",COMPRAS!K1564)</f>
        <v/>
      </c>
      <c r="B2764" s="0" t="str">
        <f aca="false">IF(A2764="","",IF(MATCH(A2764,$A$2:$A$3201,0)=ROW()-1,1,0))</f>
        <v/>
      </c>
      <c r="C2764" s="0" t="str">
        <f aca="false">IF(B2764=1,MAX(C$1:C2763)+1,"")</f>
        <v/>
      </c>
    </row>
    <row r="2765" customFormat="false" ht="15" hidden="false" customHeight="false" outlineLevel="0" collapsed="false">
      <c r="A2765" s="0" t="str">
        <f aca="false">IF(COMPRAS!K1565="","",COMPRAS!K1565)</f>
        <v/>
      </c>
      <c r="B2765" s="0" t="str">
        <f aca="false">IF(A2765="","",IF(MATCH(A2765,$A$2:$A$3201,0)=ROW()-1,1,0))</f>
        <v/>
      </c>
      <c r="C2765" s="0" t="str">
        <f aca="false">IF(B2765=1,MAX(C$1:C2764)+1,"")</f>
        <v/>
      </c>
    </row>
    <row r="2766" customFormat="false" ht="15" hidden="false" customHeight="false" outlineLevel="0" collapsed="false">
      <c r="A2766" s="0" t="str">
        <f aca="false">IF(COMPRAS!K1566="","",COMPRAS!K1566)</f>
        <v/>
      </c>
      <c r="B2766" s="0" t="str">
        <f aca="false">IF(A2766="","",IF(MATCH(A2766,$A$2:$A$3201,0)=ROW()-1,1,0))</f>
        <v/>
      </c>
      <c r="C2766" s="0" t="str">
        <f aca="false">IF(B2766=1,MAX(C$1:C2765)+1,"")</f>
        <v/>
      </c>
    </row>
    <row r="2767" customFormat="false" ht="15" hidden="false" customHeight="false" outlineLevel="0" collapsed="false">
      <c r="A2767" s="0" t="str">
        <f aca="false">IF(COMPRAS!K1567="","",COMPRAS!K1567)</f>
        <v/>
      </c>
      <c r="B2767" s="0" t="str">
        <f aca="false">IF(A2767="","",IF(MATCH(A2767,$A$2:$A$3201,0)=ROW()-1,1,0))</f>
        <v/>
      </c>
      <c r="C2767" s="0" t="str">
        <f aca="false">IF(B2767=1,MAX(C$1:C2766)+1,"")</f>
        <v/>
      </c>
    </row>
    <row r="2768" customFormat="false" ht="15" hidden="false" customHeight="false" outlineLevel="0" collapsed="false">
      <c r="A2768" s="0" t="str">
        <f aca="false">IF(COMPRAS!K1568="","",COMPRAS!K1568)</f>
        <v/>
      </c>
      <c r="B2768" s="0" t="str">
        <f aca="false">IF(A2768="","",IF(MATCH(A2768,$A$2:$A$3201,0)=ROW()-1,1,0))</f>
        <v/>
      </c>
      <c r="C2768" s="0" t="str">
        <f aca="false">IF(B2768=1,MAX(C$1:C2767)+1,"")</f>
        <v/>
      </c>
    </row>
    <row r="2769" customFormat="false" ht="15" hidden="false" customHeight="false" outlineLevel="0" collapsed="false">
      <c r="A2769" s="0" t="str">
        <f aca="false">IF(COMPRAS!K1569="","",COMPRAS!K1569)</f>
        <v/>
      </c>
      <c r="B2769" s="0" t="str">
        <f aca="false">IF(A2769="","",IF(MATCH(A2769,$A$2:$A$3201,0)=ROW()-1,1,0))</f>
        <v/>
      </c>
      <c r="C2769" s="0" t="str">
        <f aca="false">IF(B2769=1,MAX(C$1:C2768)+1,"")</f>
        <v/>
      </c>
    </row>
    <row r="2770" customFormat="false" ht="15" hidden="false" customHeight="false" outlineLevel="0" collapsed="false">
      <c r="A2770" s="0" t="str">
        <f aca="false">IF(COMPRAS!K1570="","",COMPRAS!K1570)</f>
        <v/>
      </c>
      <c r="B2770" s="0" t="str">
        <f aca="false">IF(A2770="","",IF(MATCH(A2770,$A$2:$A$3201,0)=ROW()-1,1,0))</f>
        <v/>
      </c>
      <c r="C2770" s="0" t="str">
        <f aca="false">IF(B2770=1,MAX(C$1:C2769)+1,"")</f>
        <v/>
      </c>
    </row>
    <row r="2771" customFormat="false" ht="15" hidden="false" customHeight="false" outlineLevel="0" collapsed="false">
      <c r="A2771" s="0" t="str">
        <f aca="false">IF(COMPRAS!K1571="","",COMPRAS!K1571)</f>
        <v/>
      </c>
      <c r="B2771" s="0" t="str">
        <f aca="false">IF(A2771="","",IF(MATCH(A2771,$A$2:$A$3201,0)=ROW()-1,1,0))</f>
        <v/>
      </c>
      <c r="C2771" s="0" t="str">
        <f aca="false">IF(B2771=1,MAX(C$1:C2770)+1,"")</f>
        <v/>
      </c>
    </row>
    <row r="2772" customFormat="false" ht="15" hidden="false" customHeight="false" outlineLevel="0" collapsed="false">
      <c r="A2772" s="0" t="str">
        <f aca="false">IF(COMPRAS!K1572="","",COMPRAS!K1572)</f>
        <v/>
      </c>
      <c r="B2772" s="0" t="str">
        <f aca="false">IF(A2772="","",IF(MATCH(A2772,$A$2:$A$3201,0)=ROW()-1,1,0))</f>
        <v/>
      </c>
      <c r="C2772" s="0" t="str">
        <f aca="false">IF(B2772=1,MAX(C$1:C2771)+1,"")</f>
        <v/>
      </c>
    </row>
    <row r="2773" customFormat="false" ht="15" hidden="false" customHeight="false" outlineLevel="0" collapsed="false">
      <c r="A2773" s="0" t="str">
        <f aca="false">IF(COMPRAS!K1573="","",COMPRAS!K1573)</f>
        <v/>
      </c>
      <c r="B2773" s="0" t="str">
        <f aca="false">IF(A2773="","",IF(MATCH(A2773,$A$2:$A$3201,0)=ROW()-1,1,0))</f>
        <v/>
      </c>
      <c r="C2773" s="0" t="str">
        <f aca="false">IF(B2773=1,MAX(C$1:C2772)+1,"")</f>
        <v/>
      </c>
    </row>
    <row r="2774" customFormat="false" ht="15" hidden="false" customHeight="false" outlineLevel="0" collapsed="false">
      <c r="A2774" s="0" t="str">
        <f aca="false">IF(COMPRAS!K1574="","",COMPRAS!K1574)</f>
        <v/>
      </c>
      <c r="B2774" s="0" t="str">
        <f aca="false">IF(A2774="","",IF(MATCH(A2774,$A$2:$A$3201,0)=ROW()-1,1,0))</f>
        <v/>
      </c>
      <c r="C2774" s="0" t="str">
        <f aca="false">IF(B2774=1,MAX(C$1:C2773)+1,"")</f>
        <v/>
      </c>
    </row>
    <row r="2775" customFormat="false" ht="15" hidden="false" customHeight="false" outlineLevel="0" collapsed="false">
      <c r="A2775" s="0" t="str">
        <f aca="false">IF(COMPRAS!K1575="","",COMPRAS!K1575)</f>
        <v/>
      </c>
      <c r="B2775" s="0" t="str">
        <f aca="false">IF(A2775="","",IF(MATCH(A2775,$A$2:$A$3201,0)=ROW()-1,1,0))</f>
        <v/>
      </c>
      <c r="C2775" s="0" t="str">
        <f aca="false">IF(B2775=1,MAX(C$1:C2774)+1,"")</f>
        <v/>
      </c>
    </row>
    <row r="2776" customFormat="false" ht="15" hidden="false" customHeight="false" outlineLevel="0" collapsed="false">
      <c r="A2776" s="0" t="str">
        <f aca="false">IF(COMPRAS!K1576="","",COMPRAS!K1576)</f>
        <v/>
      </c>
      <c r="B2776" s="0" t="str">
        <f aca="false">IF(A2776="","",IF(MATCH(A2776,$A$2:$A$3201,0)=ROW()-1,1,0))</f>
        <v/>
      </c>
      <c r="C2776" s="0" t="str">
        <f aca="false">IF(B2776=1,MAX(C$1:C2775)+1,"")</f>
        <v/>
      </c>
    </row>
    <row r="2777" customFormat="false" ht="15" hidden="false" customHeight="false" outlineLevel="0" collapsed="false">
      <c r="A2777" s="0" t="str">
        <f aca="false">IF(COMPRAS!K1577="","",COMPRAS!K1577)</f>
        <v/>
      </c>
      <c r="B2777" s="0" t="str">
        <f aca="false">IF(A2777="","",IF(MATCH(A2777,$A$2:$A$3201,0)=ROW()-1,1,0))</f>
        <v/>
      </c>
      <c r="C2777" s="0" t="str">
        <f aca="false">IF(B2777=1,MAX(C$1:C2776)+1,"")</f>
        <v/>
      </c>
    </row>
    <row r="2778" customFormat="false" ht="15" hidden="false" customHeight="false" outlineLevel="0" collapsed="false">
      <c r="A2778" s="0" t="str">
        <f aca="false">IF(COMPRAS!K1578="","",COMPRAS!K1578)</f>
        <v/>
      </c>
      <c r="B2778" s="0" t="str">
        <f aca="false">IF(A2778="","",IF(MATCH(A2778,$A$2:$A$3201,0)=ROW()-1,1,0))</f>
        <v/>
      </c>
      <c r="C2778" s="0" t="str">
        <f aca="false">IF(B2778=1,MAX(C$1:C2777)+1,"")</f>
        <v/>
      </c>
    </row>
    <row r="2779" customFormat="false" ht="15" hidden="false" customHeight="false" outlineLevel="0" collapsed="false">
      <c r="A2779" s="0" t="str">
        <f aca="false">IF(COMPRAS!K1579="","",COMPRAS!K1579)</f>
        <v/>
      </c>
      <c r="B2779" s="0" t="str">
        <f aca="false">IF(A2779="","",IF(MATCH(A2779,$A$2:$A$3201,0)=ROW()-1,1,0))</f>
        <v/>
      </c>
      <c r="C2779" s="0" t="str">
        <f aca="false">IF(B2779=1,MAX(C$1:C2778)+1,"")</f>
        <v/>
      </c>
    </row>
    <row r="2780" customFormat="false" ht="15" hidden="false" customHeight="false" outlineLevel="0" collapsed="false">
      <c r="A2780" s="0" t="str">
        <f aca="false">IF(COMPRAS!K1580="","",COMPRAS!K1580)</f>
        <v/>
      </c>
      <c r="B2780" s="0" t="str">
        <f aca="false">IF(A2780="","",IF(MATCH(A2780,$A$2:$A$3201,0)=ROW()-1,1,0))</f>
        <v/>
      </c>
      <c r="C2780" s="0" t="str">
        <f aca="false">IF(B2780=1,MAX(C$1:C2779)+1,"")</f>
        <v/>
      </c>
    </row>
    <row r="2781" customFormat="false" ht="15" hidden="false" customHeight="false" outlineLevel="0" collapsed="false">
      <c r="A2781" s="0" t="str">
        <f aca="false">IF(COMPRAS!K1581="","",COMPRAS!K1581)</f>
        <v/>
      </c>
      <c r="B2781" s="0" t="str">
        <f aca="false">IF(A2781="","",IF(MATCH(A2781,$A$2:$A$3201,0)=ROW()-1,1,0))</f>
        <v/>
      </c>
      <c r="C2781" s="0" t="str">
        <f aca="false">IF(B2781=1,MAX(C$1:C2780)+1,"")</f>
        <v/>
      </c>
    </row>
    <row r="2782" customFormat="false" ht="15" hidden="false" customHeight="false" outlineLevel="0" collapsed="false">
      <c r="A2782" s="0" t="str">
        <f aca="false">IF(COMPRAS!K1582="","",COMPRAS!K1582)</f>
        <v/>
      </c>
      <c r="B2782" s="0" t="str">
        <f aca="false">IF(A2782="","",IF(MATCH(A2782,$A$2:$A$3201,0)=ROW()-1,1,0))</f>
        <v/>
      </c>
      <c r="C2782" s="0" t="str">
        <f aca="false">IF(B2782=1,MAX(C$1:C2781)+1,"")</f>
        <v/>
      </c>
    </row>
    <row r="2783" customFormat="false" ht="15" hidden="false" customHeight="false" outlineLevel="0" collapsed="false">
      <c r="A2783" s="0" t="str">
        <f aca="false">IF(COMPRAS!K1583="","",COMPRAS!K1583)</f>
        <v/>
      </c>
      <c r="B2783" s="0" t="str">
        <f aca="false">IF(A2783="","",IF(MATCH(A2783,$A$2:$A$3201,0)=ROW()-1,1,0))</f>
        <v/>
      </c>
      <c r="C2783" s="0" t="str">
        <f aca="false">IF(B2783=1,MAX(C$1:C2782)+1,"")</f>
        <v/>
      </c>
    </row>
    <row r="2784" customFormat="false" ht="15" hidden="false" customHeight="false" outlineLevel="0" collapsed="false">
      <c r="A2784" s="0" t="str">
        <f aca="false">IF(COMPRAS!K1584="","",COMPRAS!K1584)</f>
        <v/>
      </c>
      <c r="B2784" s="0" t="str">
        <f aca="false">IF(A2784="","",IF(MATCH(A2784,$A$2:$A$3201,0)=ROW()-1,1,0))</f>
        <v/>
      </c>
      <c r="C2784" s="0" t="str">
        <f aca="false">IF(B2784=1,MAX(C$1:C2783)+1,"")</f>
        <v/>
      </c>
    </row>
    <row r="2785" customFormat="false" ht="15" hidden="false" customHeight="false" outlineLevel="0" collapsed="false">
      <c r="A2785" s="0" t="str">
        <f aca="false">IF(COMPRAS!K1585="","",COMPRAS!K1585)</f>
        <v/>
      </c>
      <c r="B2785" s="0" t="str">
        <f aca="false">IF(A2785="","",IF(MATCH(A2785,$A$2:$A$3201,0)=ROW()-1,1,0))</f>
        <v/>
      </c>
      <c r="C2785" s="0" t="str">
        <f aca="false">IF(B2785=1,MAX(C$1:C2784)+1,"")</f>
        <v/>
      </c>
    </row>
    <row r="2786" customFormat="false" ht="15" hidden="false" customHeight="false" outlineLevel="0" collapsed="false">
      <c r="A2786" s="0" t="str">
        <f aca="false">IF(COMPRAS!K1586="","",COMPRAS!K1586)</f>
        <v/>
      </c>
      <c r="B2786" s="0" t="str">
        <f aca="false">IF(A2786="","",IF(MATCH(A2786,$A$2:$A$3201,0)=ROW()-1,1,0))</f>
        <v/>
      </c>
      <c r="C2786" s="0" t="str">
        <f aca="false">IF(B2786=1,MAX(C$1:C2785)+1,"")</f>
        <v/>
      </c>
    </row>
    <row r="2787" customFormat="false" ht="15" hidden="false" customHeight="false" outlineLevel="0" collapsed="false">
      <c r="A2787" s="0" t="str">
        <f aca="false">IF(COMPRAS!K1587="","",COMPRAS!K1587)</f>
        <v/>
      </c>
      <c r="B2787" s="0" t="str">
        <f aca="false">IF(A2787="","",IF(MATCH(A2787,$A$2:$A$3201,0)=ROW()-1,1,0))</f>
        <v/>
      </c>
      <c r="C2787" s="0" t="str">
        <f aca="false">IF(B2787=1,MAX(C$1:C2786)+1,"")</f>
        <v/>
      </c>
    </row>
    <row r="2788" customFormat="false" ht="15" hidden="false" customHeight="false" outlineLevel="0" collapsed="false">
      <c r="A2788" s="0" t="str">
        <f aca="false">IF(COMPRAS!K1588="","",COMPRAS!K1588)</f>
        <v/>
      </c>
      <c r="B2788" s="0" t="str">
        <f aca="false">IF(A2788="","",IF(MATCH(A2788,$A$2:$A$3201,0)=ROW()-1,1,0))</f>
        <v/>
      </c>
      <c r="C2788" s="0" t="str">
        <f aca="false">IF(B2788=1,MAX(C$1:C2787)+1,"")</f>
        <v/>
      </c>
    </row>
    <row r="2789" customFormat="false" ht="15" hidden="false" customHeight="false" outlineLevel="0" collapsed="false">
      <c r="A2789" s="0" t="str">
        <f aca="false">IF(COMPRAS!K1589="","",COMPRAS!K1589)</f>
        <v/>
      </c>
      <c r="B2789" s="0" t="str">
        <f aca="false">IF(A2789="","",IF(MATCH(A2789,$A$2:$A$3201,0)=ROW()-1,1,0))</f>
        <v/>
      </c>
      <c r="C2789" s="0" t="str">
        <f aca="false">IF(B2789=1,MAX(C$1:C2788)+1,"")</f>
        <v/>
      </c>
    </row>
    <row r="2790" customFormat="false" ht="15" hidden="false" customHeight="false" outlineLevel="0" collapsed="false">
      <c r="A2790" s="0" t="str">
        <f aca="false">IF(COMPRAS!K1590="","",COMPRAS!K1590)</f>
        <v/>
      </c>
      <c r="B2790" s="0" t="str">
        <f aca="false">IF(A2790="","",IF(MATCH(A2790,$A$2:$A$3201,0)=ROW()-1,1,0))</f>
        <v/>
      </c>
      <c r="C2790" s="0" t="str">
        <f aca="false">IF(B2790=1,MAX(C$1:C2789)+1,"")</f>
        <v/>
      </c>
    </row>
    <row r="2791" customFormat="false" ht="15" hidden="false" customHeight="false" outlineLevel="0" collapsed="false">
      <c r="A2791" s="0" t="str">
        <f aca="false">IF(COMPRAS!K1591="","",COMPRAS!K1591)</f>
        <v/>
      </c>
      <c r="B2791" s="0" t="str">
        <f aca="false">IF(A2791="","",IF(MATCH(A2791,$A$2:$A$3201,0)=ROW()-1,1,0))</f>
        <v/>
      </c>
      <c r="C2791" s="0" t="str">
        <f aca="false">IF(B2791=1,MAX(C$1:C2790)+1,"")</f>
        <v/>
      </c>
    </row>
    <row r="2792" customFormat="false" ht="15" hidden="false" customHeight="false" outlineLevel="0" collapsed="false">
      <c r="A2792" s="0" t="str">
        <f aca="false">IF(COMPRAS!K1592="","",COMPRAS!K1592)</f>
        <v/>
      </c>
      <c r="B2792" s="0" t="str">
        <f aca="false">IF(A2792="","",IF(MATCH(A2792,$A$2:$A$3201,0)=ROW()-1,1,0))</f>
        <v/>
      </c>
      <c r="C2792" s="0" t="str">
        <f aca="false">IF(B2792=1,MAX(C$1:C2791)+1,"")</f>
        <v/>
      </c>
    </row>
    <row r="2793" customFormat="false" ht="15" hidden="false" customHeight="false" outlineLevel="0" collapsed="false">
      <c r="A2793" s="0" t="str">
        <f aca="false">IF(COMPRAS!K1593="","",COMPRAS!K1593)</f>
        <v/>
      </c>
      <c r="B2793" s="0" t="str">
        <f aca="false">IF(A2793="","",IF(MATCH(A2793,$A$2:$A$3201,0)=ROW()-1,1,0))</f>
        <v/>
      </c>
      <c r="C2793" s="0" t="str">
        <f aca="false">IF(B2793=1,MAX(C$1:C2792)+1,"")</f>
        <v/>
      </c>
    </row>
    <row r="2794" customFormat="false" ht="15" hidden="false" customHeight="false" outlineLevel="0" collapsed="false">
      <c r="A2794" s="0" t="str">
        <f aca="false">IF(COMPRAS!K1594="","",COMPRAS!K1594)</f>
        <v/>
      </c>
      <c r="B2794" s="0" t="str">
        <f aca="false">IF(A2794="","",IF(MATCH(A2794,$A$2:$A$3201,0)=ROW()-1,1,0))</f>
        <v/>
      </c>
      <c r="C2794" s="0" t="str">
        <f aca="false">IF(B2794=1,MAX(C$1:C2793)+1,"")</f>
        <v/>
      </c>
    </row>
    <row r="2795" customFormat="false" ht="15" hidden="false" customHeight="false" outlineLevel="0" collapsed="false">
      <c r="A2795" s="0" t="str">
        <f aca="false">IF(COMPRAS!K1595="","",COMPRAS!K1595)</f>
        <v/>
      </c>
      <c r="B2795" s="0" t="str">
        <f aca="false">IF(A2795="","",IF(MATCH(A2795,$A$2:$A$3201,0)=ROW()-1,1,0))</f>
        <v/>
      </c>
      <c r="C2795" s="0" t="str">
        <f aca="false">IF(B2795=1,MAX(C$1:C2794)+1,"")</f>
        <v/>
      </c>
    </row>
    <row r="2796" customFormat="false" ht="15" hidden="false" customHeight="false" outlineLevel="0" collapsed="false">
      <c r="A2796" s="0" t="str">
        <f aca="false">IF(COMPRAS!K1596="","",COMPRAS!K1596)</f>
        <v/>
      </c>
      <c r="B2796" s="0" t="str">
        <f aca="false">IF(A2796="","",IF(MATCH(A2796,$A$2:$A$3201,0)=ROW()-1,1,0))</f>
        <v/>
      </c>
      <c r="C2796" s="0" t="str">
        <f aca="false">IF(B2796=1,MAX(C$1:C2795)+1,"")</f>
        <v/>
      </c>
    </row>
    <row r="2797" customFormat="false" ht="15" hidden="false" customHeight="false" outlineLevel="0" collapsed="false">
      <c r="A2797" s="0" t="str">
        <f aca="false">IF(COMPRAS!K1597="","",COMPRAS!K1597)</f>
        <v/>
      </c>
      <c r="B2797" s="0" t="str">
        <f aca="false">IF(A2797="","",IF(MATCH(A2797,$A$2:$A$3201,0)=ROW()-1,1,0))</f>
        <v/>
      </c>
      <c r="C2797" s="0" t="str">
        <f aca="false">IF(B2797=1,MAX(C$1:C2796)+1,"")</f>
        <v/>
      </c>
    </row>
    <row r="2798" customFormat="false" ht="15" hidden="false" customHeight="false" outlineLevel="0" collapsed="false">
      <c r="A2798" s="0" t="str">
        <f aca="false">IF(COMPRAS!K1598="","",COMPRAS!K1598)</f>
        <v/>
      </c>
      <c r="B2798" s="0" t="str">
        <f aca="false">IF(A2798="","",IF(MATCH(A2798,$A$2:$A$3201,0)=ROW()-1,1,0))</f>
        <v/>
      </c>
      <c r="C2798" s="0" t="str">
        <f aca="false">IF(B2798=1,MAX(C$1:C2797)+1,"")</f>
        <v/>
      </c>
    </row>
    <row r="2799" customFormat="false" ht="15" hidden="false" customHeight="false" outlineLevel="0" collapsed="false">
      <c r="A2799" s="0" t="str">
        <f aca="false">IF(COMPRAS!K1599="","",COMPRAS!K1599)</f>
        <v/>
      </c>
      <c r="B2799" s="0" t="str">
        <f aca="false">IF(A2799="","",IF(MATCH(A2799,$A$2:$A$3201,0)=ROW()-1,1,0))</f>
        <v/>
      </c>
      <c r="C2799" s="0" t="str">
        <f aca="false">IF(B2799=1,MAX(C$1:C2798)+1,"")</f>
        <v/>
      </c>
    </row>
    <row r="2800" customFormat="false" ht="15" hidden="false" customHeight="false" outlineLevel="0" collapsed="false">
      <c r="A2800" s="0" t="str">
        <f aca="false">IF(COMPRAS!K1600="","",COMPRAS!K1600)</f>
        <v/>
      </c>
      <c r="B2800" s="0" t="str">
        <f aca="false">IF(A2800="","",IF(MATCH(A2800,$A$2:$A$3201,0)=ROW()-1,1,0))</f>
        <v/>
      </c>
      <c r="C2800" s="0" t="str">
        <f aca="false">IF(B2800=1,MAX(C$1:C2799)+1,"")</f>
        <v/>
      </c>
    </row>
    <row r="2801" customFormat="false" ht="15" hidden="false" customHeight="false" outlineLevel="0" collapsed="false">
      <c r="A2801" s="0" t="str">
        <f aca="false">IF(COMPRAS!K1601="","",COMPRAS!K1601)</f>
        <v/>
      </c>
      <c r="B2801" s="0" t="str">
        <f aca="false">IF(A2801="","",IF(MATCH(A2801,$A$2:$A$3201,0)=ROW()-1,1,0))</f>
        <v/>
      </c>
      <c r="C2801" s="0" t="str">
        <f aca="false">IF(B2801=1,MAX(C$1:C2800)+1,"")</f>
        <v/>
      </c>
    </row>
    <row r="2802" customFormat="false" ht="15" hidden="false" customHeight="false" outlineLevel="0" collapsed="false">
      <c r="A2802" s="0" t="str">
        <f aca="false">IF(COMPRAS!K1602="","",COMPRAS!K1602)</f>
        <v/>
      </c>
      <c r="B2802" s="0" t="str">
        <f aca="false">IF(A2802="","",IF(MATCH(A2802,$A$2:$A$3201,0)=ROW()-1,1,0))</f>
        <v/>
      </c>
      <c r="C2802" s="0" t="str">
        <f aca="false">IF(B2802=1,MAX(C$1:C2801)+1,"")</f>
        <v/>
      </c>
    </row>
    <row r="2803" customFormat="false" ht="15" hidden="false" customHeight="false" outlineLevel="0" collapsed="false">
      <c r="A2803" s="0" t="str">
        <f aca="false">IF(COMPRAS!K1603="","",COMPRAS!K1603)</f>
        <v/>
      </c>
      <c r="B2803" s="0" t="str">
        <f aca="false">IF(A2803="","",IF(MATCH(A2803,$A$2:$A$3201,0)=ROW()-1,1,0))</f>
        <v/>
      </c>
      <c r="C2803" s="0" t="str">
        <f aca="false">IF(B2803=1,MAX(C$1:C2802)+1,"")</f>
        <v/>
      </c>
    </row>
    <row r="2804" customFormat="false" ht="15" hidden="false" customHeight="false" outlineLevel="0" collapsed="false">
      <c r="A2804" s="0" t="str">
        <f aca="false">IF(COMPRAS!K1604="","",COMPRAS!K1604)</f>
        <v/>
      </c>
      <c r="B2804" s="0" t="str">
        <f aca="false">IF(A2804="","",IF(MATCH(A2804,$A$2:$A$3201,0)=ROW()-1,1,0))</f>
        <v/>
      </c>
      <c r="C2804" s="0" t="str">
        <f aca="false">IF(B2804=1,MAX(C$1:C2803)+1,"")</f>
        <v/>
      </c>
    </row>
    <row r="2805" customFormat="false" ht="15" hidden="false" customHeight="false" outlineLevel="0" collapsed="false">
      <c r="A2805" s="0" t="str">
        <f aca="false">IF(COMPRAS!K1605="","",COMPRAS!K1605)</f>
        <v/>
      </c>
      <c r="B2805" s="0" t="str">
        <f aca="false">IF(A2805="","",IF(MATCH(A2805,$A$2:$A$3201,0)=ROW()-1,1,0))</f>
        <v/>
      </c>
      <c r="C2805" s="0" t="str">
        <f aca="false">IF(B2805=1,MAX(C$1:C2804)+1,"")</f>
        <v/>
      </c>
    </row>
    <row r="2806" customFormat="false" ht="15" hidden="false" customHeight="false" outlineLevel="0" collapsed="false">
      <c r="A2806" s="0" t="str">
        <f aca="false">IF(COMPRAS!K1606="","",COMPRAS!K1606)</f>
        <v/>
      </c>
      <c r="B2806" s="0" t="str">
        <f aca="false">IF(A2806="","",IF(MATCH(A2806,$A$2:$A$3201,0)=ROW()-1,1,0))</f>
        <v/>
      </c>
      <c r="C2806" s="0" t="str">
        <f aca="false">IF(B2806=1,MAX(C$1:C2805)+1,"")</f>
        <v/>
      </c>
    </row>
    <row r="2807" customFormat="false" ht="15" hidden="false" customHeight="false" outlineLevel="0" collapsed="false">
      <c r="A2807" s="0" t="str">
        <f aca="false">IF(COMPRAS!K1607="","",COMPRAS!K1607)</f>
        <v/>
      </c>
      <c r="B2807" s="0" t="str">
        <f aca="false">IF(A2807="","",IF(MATCH(A2807,$A$2:$A$3201,0)=ROW()-1,1,0))</f>
        <v/>
      </c>
      <c r="C2807" s="0" t="str">
        <f aca="false">IF(B2807=1,MAX(C$1:C2806)+1,"")</f>
        <v/>
      </c>
    </row>
    <row r="2808" customFormat="false" ht="15" hidden="false" customHeight="false" outlineLevel="0" collapsed="false">
      <c r="A2808" s="0" t="str">
        <f aca="false">IF(COMPRAS!K1608="","",COMPRAS!K1608)</f>
        <v/>
      </c>
      <c r="B2808" s="0" t="str">
        <f aca="false">IF(A2808="","",IF(MATCH(A2808,$A$2:$A$3201,0)=ROW()-1,1,0))</f>
        <v/>
      </c>
      <c r="C2808" s="0" t="str">
        <f aca="false">IF(B2808=1,MAX(C$1:C2807)+1,"")</f>
        <v/>
      </c>
    </row>
    <row r="2809" customFormat="false" ht="15" hidden="false" customHeight="false" outlineLevel="0" collapsed="false">
      <c r="A2809" s="0" t="str">
        <f aca="false">IF(COMPRAS!K1609="","",COMPRAS!K1609)</f>
        <v/>
      </c>
      <c r="B2809" s="0" t="str">
        <f aca="false">IF(A2809="","",IF(MATCH(A2809,$A$2:$A$3201,0)=ROW()-1,1,0))</f>
        <v/>
      </c>
      <c r="C2809" s="0" t="str">
        <f aca="false">IF(B2809=1,MAX(C$1:C2808)+1,"")</f>
        <v/>
      </c>
    </row>
    <row r="2810" customFormat="false" ht="15" hidden="false" customHeight="false" outlineLevel="0" collapsed="false">
      <c r="A2810" s="0" t="str">
        <f aca="false">IF(COMPRAS!K1610="","",COMPRAS!K1610)</f>
        <v/>
      </c>
      <c r="B2810" s="0" t="str">
        <f aca="false">IF(A2810="","",IF(MATCH(A2810,$A$2:$A$3201,0)=ROW()-1,1,0))</f>
        <v/>
      </c>
      <c r="C2810" s="0" t="str">
        <f aca="false">IF(B2810=1,MAX(C$1:C2809)+1,"")</f>
        <v/>
      </c>
    </row>
    <row r="2811" customFormat="false" ht="15" hidden="false" customHeight="false" outlineLevel="0" collapsed="false">
      <c r="A2811" s="0" t="str">
        <f aca="false">IF(COMPRAS!K1611="","",COMPRAS!K1611)</f>
        <v/>
      </c>
      <c r="B2811" s="0" t="str">
        <f aca="false">IF(A2811="","",IF(MATCH(A2811,$A$2:$A$3201,0)=ROW()-1,1,0))</f>
        <v/>
      </c>
      <c r="C2811" s="0" t="str">
        <f aca="false">IF(B2811=1,MAX(C$1:C2810)+1,"")</f>
        <v/>
      </c>
    </row>
    <row r="2812" customFormat="false" ht="15" hidden="false" customHeight="false" outlineLevel="0" collapsed="false">
      <c r="A2812" s="0" t="str">
        <f aca="false">IF(COMPRAS!K1612="","",COMPRAS!K1612)</f>
        <v/>
      </c>
      <c r="B2812" s="0" t="str">
        <f aca="false">IF(A2812="","",IF(MATCH(A2812,$A$2:$A$3201,0)=ROW()-1,1,0))</f>
        <v/>
      </c>
      <c r="C2812" s="0" t="str">
        <f aca="false">IF(B2812=1,MAX(C$1:C2811)+1,"")</f>
        <v/>
      </c>
    </row>
    <row r="2813" customFormat="false" ht="15" hidden="false" customHeight="false" outlineLevel="0" collapsed="false">
      <c r="A2813" s="0" t="str">
        <f aca="false">IF(COMPRAS!K1613="","",COMPRAS!K1613)</f>
        <v/>
      </c>
      <c r="B2813" s="0" t="str">
        <f aca="false">IF(A2813="","",IF(MATCH(A2813,$A$2:$A$3201,0)=ROW()-1,1,0))</f>
        <v/>
      </c>
      <c r="C2813" s="0" t="str">
        <f aca="false">IF(B2813=1,MAX(C$1:C2812)+1,"")</f>
        <v/>
      </c>
    </row>
    <row r="2814" customFormat="false" ht="15" hidden="false" customHeight="false" outlineLevel="0" collapsed="false">
      <c r="A2814" s="0" t="str">
        <f aca="false">IF(COMPRAS!K1614="","",COMPRAS!K1614)</f>
        <v/>
      </c>
      <c r="B2814" s="0" t="str">
        <f aca="false">IF(A2814="","",IF(MATCH(A2814,$A$2:$A$3201,0)=ROW()-1,1,0))</f>
        <v/>
      </c>
      <c r="C2814" s="0" t="str">
        <f aca="false">IF(B2814=1,MAX(C$1:C2813)+1,"")</f>
        <v/>
      </c>
    </row>
    <row r="2815" customFormat="false" ht="15" hidden="false" customHeight="false" outlineLevel="0" collapsed="false">
      <c r="A2815" s="0" t="str">
        <f aca="false">IF(COMPRAS!K1615="","",COMPRAS!K1615)</f>
        <v/>
      </c>
      <c r="B2815" s="0" t="str">
        <f aca="false">IF(A2815="","",IF(MATCH(A2815,$A$2:$A$3201,0)=ROW()-1,1,0))</f>
        <v/>
      </c>
      <c r="C2815" s="0" t="str">
        <f aca="false">IF(B2815=1,MAX(C$1:C2814)+1,"")</f>
        <v/>
      </c>
    </row>
    <row r="2816" customFormat="false" ht="15" hidden="false" customHeight="false" outlineLevel="0" collapsed="false">
      <c r="A2816" s="0" t="str">
        <f aca="false">IF(COMPRAS!K1616="","",COMPRAS!K1616)</f>
        <v/>
      </c>
      <c r="B2816" s="0" t="str">
        <f aca="false">IF(A2816="","",IF(MATCH(A2816,$A$2:$A$3201,0)=ROW()-1,1,0))</f>
        <v/>
      </c>
      <c r="C2816" s="0" t="str">
        <f aca="false">IF(B2816=1,MAX(C$1:C2815)+1,"")</f>
        <v/>
      </c>
    </row>
    <row r="2817" customFormat="false" ht="15" hidden="false" customHeight="false" outlineLevel="0" collapsed="false">
      <c r="A2817" s="0" t="str">
        <f aca="false">IF(COMPRAS!K1617="","",COMPRAS!K1617)</f>
        <v/>
      </c>
      <c r="B2817" s="0" t="str">
        <f aca="false">IF(A2817="","",IF(MATCH(A2817,$A$2:$A$3201,0)=ROW()-1,1,0))</f>
        <v/>
      </c>
      <c r="C2817" s="0" t="str">
        <f aca="false">IF(B2817=1,MAX(C$1:C2816)+1,"")</f>
        <v/>
      </c>
    </row>
    <row r="2818" customFormat="false" ht="15" hidden="false" customHeight="false" outlineLevel="0" collapsed="false">
      <c r="A2818" s="0" t="str">
        <f aca="false">IF(COMPRAS!K1618="","",COMPRAS!K1618)</f>
        <v/>
      </c>
      <c r="B2818" s="0" t="str">
        <f aca="false">IF(A2818="","",IF(MATCH(A2818,$A$2:$A$3201,0)=ROW()-1,1,0))</f>
        <v/>
      </c>
      <c r="C2818" s="0" t="str">
        <f aca="false">IF(B2818=1,MAX(C$1:C2817)+1,"")</f>
        <v/>
      </c>
    </row>
    <row r="2819" customFormat="false" ht="15" hidden="false" customHeight="false" outlineLevel="0" collapsed="false">
      <c r="A2819" s="0" t="str">
        <f aca="false">IF(COMPRAS!K1619="","",COMPRAS!K1619)</f>
        <v/>
      </c>
      <c r="B2819" s="0" t="str">
        <f aca="false">IF(A2819="","",IF(MATCH(A2819,$A$2:$A$3201,0)=ROW()-1,1,0))</f>
        <v/>
      </c>
      <c r="C2819" s="0" t="str">
        <f aca="false">IF(B2819=1,MAX(C$1:C2818)+1,"")</f>
        <v/>
      </c>
    </row>
    <row r="2820" customFormat="false" ht="15" hidden="false" customHeight="false" outlineLevel="0" collapsed="false">
      <c r="A2820" s="0" t="str">
        <f aca="false">IF(COMPRAS!K1620="","",COMPRAS!K1620)</f>
        <v/>
      </c>
      <c r="B2820" s="0" t="str">
        <f aca="false">IF(A2820="","",IF(MATCH(A2820,$A$2:$A$3201,0)=ROW()-1,1,0))</f>
        <v/>
      </c>
      <c r="C2820" s="0" t="str">
        <f aca="false">IF(B2820=1,MAX(C$1:C2819)+1,"")</f>
        <v/>
      </c>
    </row>
    <row r="2821" customFormat="false" ht="15" hidden="false" customHeight="false" outlineLevel="0" collapsed="false">
      <c r="A2821" s="0" t="str">
        <f aca="false">IF(COMPRAS!K1621="","",COMPRAS!K1621)</f>
        <v/>
      </c>
      <c r="B2821" s="0" t="str">
        <f aca="false">IF(A2821="","",IF(MATCH(A2821,$A$2:$A$3201,0)=ROW()-1,1,0))</f>
        <v/>
      </c>
      <c r="C2821" s="0" t="str">
        <f aca="false">IF(B2821=1,MAX(C$1:C2820)+1,"")</f>
        <v/>
      </c>
    </row>
    <row r="2822" customFormat="false" ht="15" hidden="false" customHeight="false" outlineLevel="0" collapsed="false">
      <c r="A2822" s="0" t="str">
        <f aca="false">IF(COMPRAS!K1622="","",COMPRAS!K1622)</f>
        <v/>
      </c>
      <c r="B2822" s="0" t="str">
        <f aca="false">IF(A2822="","",IF(MATCH(A2822,$A$2:$A$3201,0)=ROW()-1,1,0))</f>
        <v/>
      </c>
      <c r="C2822" s="0" t="str">
        <f aca="false">IF(B2822=1,MAX(C$1:C2821)+1,"")</f>
        <v/>
      </c>
    </row>
    <row r="2823" customFormat="false" ht="15" hidden="false" customHeight="false" outlineLevel="0" collapsed="false">
      <c r="A2823" s="0" t="str">
        <f aca="false">IF(COMPRAS!K1623="","",COMPRAS!K1623)</f>
        <v/>
      </c>
      <c r="B2823" s="0" t="str">
        <f aca="false">IF(A2823="","",IF(MATCH(A2823,$A$2:$A$3201,0)=ROW()-1,1,0))</f>
        <v/>
      </c>
      <c r="C2823" s="0" t="str">
        <f aca="false">IF(B2823=1,MAX(C$1:C2822)+1,"")</f>
        <v/>
      </c>
    </row>
    <row r="2824" customFormat="false" ht="15" hidden="false" customHeight="false" outlineLevel="0" collapsed="false">
      <c r="A2824" s="0" t="str">
        <f aca="false">IF(COMPRAS!K1624="","",COMPRAS!K1624)</f>
        <v/>
      </c>
      <c r="B2824" s="0" t="str">
        <f aca="false">IF(A2824="","",IF(MATCH(A2824,$A$2:$A$3201,0)=ROW()-1,1,0))</f>
        <v/>
      </c>
      <c r="C2824" s="0" t="str">
        <f aca="false">IF(B2824=1,MAX(C$1:C2823)+1,"")</f>
        <v/>
      </c>
    </row>
    <row r="2825" customFormat="false" ht="15" hidden="false" customHeight="false" outlineLevel="0" collapsed="false">
      <c r="A2825" s="0" t="str">
        <f aca="false">IF(COMPRAS!K1625="","",COMPRAS!K1625)</f>
        <v/>
      </c>
      <c r="B2825" s="0" t="str">
        <f aca="false">IF(A2825="","",IF(MATCH(A2825,$A$2:$A$3201,0)=ROW()-1,1,0))</f>
        <v/>
      </c>
      <c r="C2825" s="0" t="str">
        <f aca="false">IF(B2825=1,MAX(C$1:C2824)+1,"")</f>
        <v/>
      </c>
    </row>
    <row r="2826" customFormat="false" ht="15" hidden="false" customHeight="false" outlineLevel="0" collapsed="false">
      <c r="A2826" s="0" t="str">
        <f aca="false">IF(COMPRAS!K1626="","",COMPRAS!K1626)</f>
        <v/>
      </c>
      <c r="B2826" s="0" t="str">
        <f aca="false">IF(A2826="","",IF(MATCH(A2826,$A$2:$A$3201,0)=ROW()-1,1,0))</f>
        <v/>
      </c>
      <c r="C2826" s="0" t="str">
        <f aca="false">IF(B2826=1,MAX(C$1:C2825)+1,"")</f>
        <v/>
      </c>
    </row>
    <row r="2827" customFormat="false" ht="15" hidden="false" customHeight="false" outlineLevel="0" collapsed="false">
      <c r="A2827" s="0" t="str">
        <f aca="false">IF(COMPRAS!K1627="","",COMPRAS!K1627)</f>
        <v/>
      </c>
      <c r="B2827" s="0" t="str">
        <f aca="false">IF(A2827="","",IF(MATCH(A2827,$A$2:$A$3201,0)=ROW()-1,1,0))</f>
        <v/>
      </c>
      <c r="C2827" s="0" t="str">
        <f aca="false">IF(B2827=1,MAX(C$1:C2826)+1,"")</f>
        <v/>
      </c>
    </row>
    <row r="2828" customFormat="false" ht="15" hidden="false" customHeight="false" outlineLevel="0" collapsed="false">
      <c r="A2828" s="0" t="str">
        <f aca="false">IF(COMPRAS!K1628="","",COMPRAS!K1628)</f>
        <v/>
      </c>
      <c r="B2828" s="0" t="str">
        <f aca="false">IF(A2828="","",IF(MATCH(A2828,$A$2:$A$3201,0)=ROW()-1,1,0))</f>
        <v/>
      </c>
      <c r="C2828" s="0" t="str">
        <f aca="false">IF(B2828=1,MAX(C$1:C2827)+1,"")</f>
        <v/>
      </c>
    </row>
    <row r="2829" customFormat="false" ht="15" hidden="false" customHeight="false" outlineLevel="0" collapsed="false">
      <c r="A2829" s="0" t="str">
        <f aca="false">IF(COMPRAS!K1629="","",COMPRAS!K1629)</f>
        <v/>
      </c>
      <c r="B2829" s="0" t="str">
        <f aca="false">IF(A2829="","",IF(MATCH(A2829,$A$2:$A$3201,0)=ROW()-1,1,0))</f>
        <v/>
      </c>
      <c r="C2829" s="0" t="str">
        <f aca="false">IF(B2829=1,MAX(C$1:C2828)+1,"")</f>
        <v/>
      </c>
    </row>
    <row r="2830" customFormat="false" ht="15" hidden="false" customHeight="false" outlineLevel="0" collapsed="false">
      <c r="A2830" s="0" t="str">
        <f aca="false">IF(COMPRAS!K1630="","",COMPRAS!K1630)</f>
        <v/>
      </c>
      <c r="B2830" s="0" t="str">
        <f aca="false">IF(A2830="","",IF(MATCH(A2830,$A$2:$A$3201,0)=ROW()-1,1,0))</f>
        <v/>
      </c>
      <c r="C2830" s="0" t="str">
        <f aca="false">IF(B2830=1,MAX(C$1:C2829)+1,"")</f>
        <v/>
      </c>
    </row>
    <row r="2831" customFormat="false" ht="15" hidden="false" customHeight="false" outlineLevel="0" collapsed="false">
      <c r="A2831" s="0" t="str">
        <f aca="false">IF(COMPRAS!K1631="","",COMPRAS!K1631)</f>
        <v/>
      </c>
      <c r="B2831" s="0" t="str">
        <f aca="false">IF(A2831="","",IF(MATCH(A2831,$A$2:$A$3201,0)=ROW()-1,1,0))</f>
        <v/>
      </c>
      <c r="C2831" s="0" t="str">
        <f aca="false">IF(B2831=1,MAX(C$1:C2830)+1,"")</f>
        <v/>
      </c>
    </row>
    <row r="2832" customFormat="false" ht="15" hidden="false" customHeight="false" outlineLevel="0" collapsed="false">
      <c r="A2832" s="0" t="str">
        <f aca="false">IF(COMPRAS!K1632="","",COMPRAS!K1632)</f>
        <v/>
      </c>
      <c r="B2832" s="0" t="str">
        <f aca="false">IF(A2832="","",IF(MATCH(A2832,$A$2:$A$3201,0)=ROW()-1,1,0))</f>
        <v/>
      </c>
      <c r="C2832" s="0" t="str">
        <f aca="false">IF(B2832=1,MAX(C$1:C2831)+1,"")</f>
        <v/>
      </c>
    </row>
    <row r="2833" customFormat="false" ht="15" hidden="false" customHeight="false" outlineLevel="0" collapsed="false">
      <c r="A2833" s="0" t="str">
        <f aca="false">IF(COMPRAS!K1633="","",COMPRAS!K1633)</f>
        <v/>
      </c>
      <c r="B2833" s="0" t="str">
        <f aca="false">IF(A2833="","",IF(MATCH(A2833,$A$2:$A$3201,0)=ROW()-1,1,0))</f>
        <v/>
      </c>
      <c r="C2833" s="0" t="str">
        <f aca="false">IF(B2833=1,MAX(C$1:C2832)+1,"")</f>
        <v/>
      </c>
    </row>
    <row r="2834" customFormat="false" ht="15" hidden="false" customHeight="false" outlineLevel="0" collapsed="false">
      <c r="A2834" s="0" t="str">
        <f aca="false">IF(COMPRAS!K1634="","",COMPRAS!K1634)</f>
        <v/>
      </c>
      <c r="B2834" s="0" t="str">
        <f aca="false">IF(A2834="","",IF(MATCH(A2834,$A$2:$A$3201,0)=ROW()-1,1,0))</f>
        <v/>
      </c>
      <c r="C2834" s="0" t="str">
        <f aca="false">IF(B2834=1,MAX(C$1:C2833)+1,"")</f>
        <v/>
      </c>
    </row>
    <row r="2835" customFormat="false" ht="15" hidden="false" customHeight="false" outlineLevel="0" collapsed="false">
      <c r="A2835" s="0" t="str">
        <f aca="false">IF(COMPRAS!K1635="","",COMPRAS!K1635)</f>
        <v/>
      </c>
      <c r="B2835" s="0" t="str">
        <f aca="false">IF(A2835="","",IF(MATCH(A2835,$A$2:$A$3201,0)=ROW()-1,1,0))</f>
        <v/>
      </c>
      <c r="C2835" s="0" t="str">
        <f aca="false">IF(B2835=1,MAX(C$1:C2834)+1,"")</f>
        <v/>
      </c>
    </row>
    <row r="2836" customFormat="false" ht="15" hidden="false" customHeight="false" outlineLevel="0" collapsed="false">
      <c r="A2836" s="0" t="str">
        <f aca="false">IF(COMPRAS!K1636="","",COMPRAS!K1636)</f>
        <v/>
      </c>
      <c r="B2836" s="0" t="str">
        <f aca="false">IF(A2836="","",IF(MATCH(A2836,$A$2:$A$3201,0)=ROW()-1,1,0))</f>
        <v/>
      </c>
      <c r="C2836" s="0" t="str">
        <f aca="false">IF(B2836=1,MAX(C$1:C2835)+1,"")</f>
        <v/>
      </c>
    </row>
    <row r="2837" customFormat="false" ht="15" hidden="false" customHeight="false" outlineLevel="0" collapsed="false">
      <c r="A2837" s="0" t="str">
        <f aca="false">IF(COMPRAS!K1637="","",COMPRAS!K1637)</f>
        <v/>
      </c>
      <c r="B2837" s="0" t="str">
        <f aca="false">IF(A2837="","",IF(MATCH(A2837,$A$2:$A$3201,0)=ROW()-1,1,0))</f>
        <v/>
      </c>
      <c r="C2837" s="0" t="str">
        <f aca="false">IF(B2837=1,MAX(C$1:C2836)+1,"")</f>
        <v/>
      </c>
    </row>
    <row r="2838" customFormat="false" ht="15" hidden="false" customHeight="false" outlineLevel="0" collapsed="false">
      <c r="A2838" s="0" t="str">
        <f aca="false">IF(COMPRAS!K1638="","",COMPRAS!K1638)</f>
        <v/>
      </c>
      <c r="B2838" s="0" t="str">
        <f aca="false">IF(A2838="","",IF(MATCH(A2838,$A$2:$A$3201,0)=ROW()-1,1,0))</f>
        <v/>
      </c>
      <c r="C2838" s="0" t="str">
        <f aca="false">IF(B2838=1,MAX(C$1:C2837)+1,"")</f>
        <v/>
      </c>
    </row>
    <row r="2839" customFormat="false" ht="15" hidden="false" customHeight="false" outlineLevel="0" collapsed="false">
      <c r="A2839" s="0" t="str">
        <f aca="false">IF(COMPRAS!K1639="","",COMPRAS!K1639)</f>
        <v/>
      </c>
      <c r="B2839" s="0" t="str">
        <f aca="false">IF(A2839="","",IF(MATCH(A2839,$A$2:$A$3201,0)=ROW()-1,1,0))</f>
        <v/>
      </c>
      <c r="C2839" s="0" t="str">
        <f aca="false">IF(B2839=1,MAX(C$1:C2838)+1,"")</f>
        <v/>
      </c>
    </row>
    <row r="2840" customFormat="false" ht="15" hidden="false" customHeight="false" outlineLevel="0" collapsed="false">
      <c r="A2840" s="0" t="str">
        <f aca="false">IF(COMPRAS!K1640="","",COMPRAS!K1640)</f>
        <v/>
      </c>
      <c r="B2840" s="0" t="str">
        <f aca="false">IF(A2840="","",IF(MATCH(A2840,$A$2:$A$3201,0)=ROW()-1,1,0))</f>
        <v/>
      </c>
      <c r="C2840" s="0" t="str">
        <f aca="false">IF(B2840=1,MAX(C$1:C2839)+1,"")</f>
        <v/>
      </c>
    </row>
    <row r="2841" customFormat="false" ht="15" hidden="false" customHeight="false" outlineLevel="0" collapsed="false">
      <c r="A2841" s="0" t="str">
        <f aca="false">IF(COMPRAS!K1641="","",COMPRAS!K1641)</f>
        <v/>
      </c>
      <c r="B2841" s="0" t="str">
        <f aca="false">IF(A2841="","",IF(MATCH(A2841,$A$2:$A$3201,0)=ROW()-1,1,0))</f>
        <v/>
      </c>
      <c r="C2841" s="0" t="str">
        <f aca="false">IF(B2841=1,MAX(C$1:C2840)+1,"")</f>
        <v/>
      </c>
    </row>
    <row r="2842" customFormat="false" ht="15" hidden="false" customHeight="false" outlineLevel="0" collapsed="false">
      <c r="A2842" s="0" t="str">
        <f aca="false">IF(COMPRAS!K1642="","",COMPRAS!K1642)</f>
        <v/>
      </c>
      <c r="B2842" s="0" t="str">
        <f aca="false">IF(A2842="","",IF(MATCH(A2842,$A$2:$A$3201,0)=ROW()-1,1,0))</f>
        <v/>
      </c>
      <c r="C2842" s="0" t="str">
        <f aca="false">IF(B2842=1,MAX(C$1:C2841)+1,"")</f>
        <v/>
      </c>
    </row>
    <row r="2843" customFormat="false" ht="15" hidden="false" customHeight="false" outlineLevel="0" collapsed="false">
      <c r="A2843" s="0" t="str">
        <f aca="false">IF(COMPRAS!K1643="","",COMPRAS!K1643)</f>
        <v/>
      </c>
      <c r="B2843" s="0" t="str">
        <f aca="false">IF(A2843="","",IF(MATCH(A2843,$A$2:$A$3201,0)=ROW()-1,1,0))</f>
        <v/>
      </c>
      <c r="C2843" s="0" t="str">
        <f aca="false">IF(B2843=1,MAX(C$1:C2842)+1,"")</f>
        <v/>
      </c>
    </row>
    <row r="2844" customFormat="false" ht="15" hidden="false" customHeight="false" outlineLevel="0" collapsed="false">
      <c r="A2844" s="0" t="str">
        <f aca="false">IF(COMPRAS!K1644="","",COMPRAS!K1644)</f>
        <v/>
      </c>
      <c r="B2844" s="0" t="str">
        <f aca="false">IF(A2844="","",IF(MATCH(A2844,$A$2:$A$3201,0)=ROW()-1,1,0))</f>
        <v/>
      </c>
      <c r="C2844" s="0" t="str">
        <f aca="false">IF(B2844=1,MAX(C$1:C2843)+1,"")</f>
        <v/>
      </c>
    </row>
    <row r="2845" customFormat="false" ht="15" hidden="false" customHeight="false" outlineLevel="0" collapsed="false">
      <c r="A2845" s="0" t="str">
        <f aca="false">IF(COMPRAS!K1645="","",COMPRAS!K1645)</f>
        <v/>
      </c>
      <c r="B2845" s="0" t="str">
        <f aca="false">IF(A2845="","",IF(MATCH(A2845,$A$2:$A$3201,0)=ROW()-1,1,0))</f>
        <v/>
      </c>
      <c r="C2845" s="0" t="str">
        <f aca="false">IF(B2845=1,MAX(C$1:C2844)+1,"")</f>
        <v/>
      </c>
    </row>
    <row r="2846" customFormat="false" ht="15" hidden="false" customHeight="false" outlineLevel="0" collapsed="false">
      <c r="A2846" s="0" t="str">
        <f aca="false">IF(COMPRAS!K1646="","",COMPRAS!K1646)</f>
        <v/>
      </c>
      <c r="B2846" s="0" t="str">
        <f aca="false">IF(A2846="","",IF(MATCH(A2846,$A$2:$A$3201,0)=ROW()-1,1,0))</f>
        <v/>
      </c>
      <c r="C2846" s="0" t="str">
        <f aca="false">IF(B2846=1,MAX(C$1:C2845)+1,"")</f>
        <v/>
      </c>
    </row>
    <row r="2847" customFormat="false" ht="15" hidden="false" customHeight="false" outlineLevel="0" collapsed="false">
      <c r="A2847" s="0" t="str">
        <f aca="false">IF(COMPRAS!K1647="","",COMPRAS!K1647)</f>
        <v/>
      </c>
      <c r="B2847" s="0" t="str">
        <f aca="false">IF(A2847="","",IF(MATCH(A2847,$A$2:$A$3201,0)=ROW()-1,1,0))</f>
        <v/>
      </c>
      <c r="C2847" s="0" t="str">
        <f aca="false">IF(B2847=1,MAX(C$1:C2846)+1,"")</f>
        <v/>
      </c>
    </row>
    <row r="2848" customFormat="false" ht="15" hidden="false" customHeight="false" outlineLevel="0" collapsed="false">
      <c r="A2848" s="0" t="str">
        <f aca="false">IF(COMPRAS!K1648="","",COMPRAS!K1648)</f>
        <v/>
      </c>
      <c r="B2848" s="0" t="str">
        <f aca="false">IF(A2848="","",IF(MATCH(A2848,$A$2:$A$3201,0)=ROW()-1,1,0))</f>
        <v/>
      </c>
      <c r="C2848" s="0" t="str">
        <f aca="false">IF(B2848=1,MAX(C$1:C2847)+1,"")</f>
        <v/>
      </c>
    </row>
    <row r="2849" customFormat="false" ht="15" hidden="false" customHeight="false" outlineLevel="0" collapsed="false">
      <c r="A2849" s="0" t="str">
        <f aca="false">IF(COMPRAS!K1649="","",COMPRAS!K1649)</f>
        <v/>
      </c>
      <c r="B2849" s="0" t="str">
        <f aca="false">IF(A2849="","",IF(MATCH(A2849,$A$2:$A$3201,0)=ROW()-1,1,0))</f>
        <v/>
      </c>
      <c r="C2849" s="0" t="str">
        <f aca="false">IF(B2849=1,MAX(C$1:C2848)+1,"")</f>
        <v/>
      </c>
    </row>
    <row r="2850" customFormat="false" ht="15" hidden="false" customHeight="false" outlineLevel="0" collapsed="false">
      <c r="A2850" s="0" t="str">
        <f aca="false">IF(COMPRAS!K1650="","",COMPRAS!K1650)</f>
        <v/>
      </c>
      <c r="B2850" s="0" t="str">
        <f aca="false">IF(A2850="","",IF(MATCH(A2850,$A$2:$A$3201,0)=ROW()-1,1,0))</f>
        <v/>
      </c>
      <c r="C2850" s="0" t="str">
        <f aca="false">IF(B2850=1,MAX(C$1:C2849)+1,"")</f>
        <v/>
      </c>
    </row>
    <row r="2851" customFormat="false" ht="15" hidden="false" customHeight="false" outlineLevel="0" collapsed="false">
      <c r="A2851" s="0" t="str">
        <f aca="false">IF(COMPRAS!K1651="","",COMPRAS!K1651)</f>
        <v/>
      </c>
      <c r="B2851" s="0" t="str">
        <f aca="false">IF(A2851="","",IF(MATCH(A2851,$A$2:$A$3201,0)=ROW()-1,1,0))</f>
        <v/>
      </c>
      <c r="C2851" s="0" t="str">
        <f aca="false">IF(B2851=1,MAX(C$1:C2850)+1,"")</f>
        <v/>
      </c>
    </row>
    <row r="2852" customFormat="false" ht="15" hidden="false" customHeight="false" outlineLevel="0" collapsed="false">
      <c r="A2852" s="0" t="str">
        <f aca="false">IF(COMPRAS!K1652="","",COMPRAS!K1652)</f>
        <v/>
      </c>
      <c r="B2852" s="0" t="str">
        <f aca="false">IF(A2852="","",IF(MATCH(A2852,$A$2:$A$3201,0)=ROW()-1,1,0))</f>
        <v/>
      </c>
      <c r="C2852" s="0" t="str">
        <f aca="false">IF(B2852=1,MAX(C$1:C2851)+1,"")</f>
        <v/>
      </c>
    </row>
    <row r="2853" customFormat="false" ht="15" hidden="false" customHeight="false" outlineLevel="0" collapsed="false">
      <c r="A2853" s="0" t="str">
        <f aca="false">IF(COMPRAS!K1653="","",COMPRAS!K1653)</f>
        <v/>
      </c>
      <c r="B2853" s="0" t="str">
        <f aca="false">IF(A2853="","",IF(MATCH(A2853,$A$2:$A$3201,0)=ROW()-1,1,0))</f>
        <v/>
      </c>
      <c r="C2853" s="0" t="str">
        <f aca="false">IF(B2853=1,MAX(C$1:C2852)+1,"")</f>
        <v/>
      </c>
    </row>
    <row r="2854" customFormat="false" ht="15" hidden="false" customHeight="false" outlineLevel="0" collapsed="false">
      <c r="A2854" s="0" t="str">
        <f aca="false">IF(COMPRAS!K1654="","",COMPRAS!K1654)</f>
        <v/>
      </c>
      <c r="B2854" s="0" t="str">
        <f aca="false">IF(A2854="","",IF(MATCH(A2854,$A$2:$A$3201,0)=ROW()-1,1,0))</f>
        <v/>
      </c>
      <c r="C2854" s="0" t="str">
        <f aca="false">IF(B2854=1,MAX(C$1:C2853)+1,"")</f>
        <v/>
      </c>
    </row>
    <row r="2855" customFormat="false" ht="15" hidden="false" customHeight="false" outlineLevel="0" collapsed="false">
      <c r="A2855" s="0" t="str">
        <f aca="false">IF(COMPRAS!K1655="","",COMPRAS!K1655)</f>
        <v/>
      </c>
      <c r="B2855" s="0" t="str">
        <f aca="false">IF(A2855="","",IF(MATCH(A2855,$A$2:$A$3201,0)=ROW()-1,1,0))</f>
        <v/>
      </c>
      <c r="C2855" s="0" t="str">
        <f aca="false">IF(B2855=1,MAX(C$1:C2854)+1,"")</f>
        <v/>
      </c>
    </row>
    <row r="2856" customFormat="false" ht="15" hidden="false" customHeight="false" outlineLevel="0" collapsed="false">
      <c r="A2856" s="0" t="str">
        <f aca="false">IF(COMPRAS!K1656="","",COMPRAS!K1656)</f>
        <v/>
      </c>
      <c r="B2856" s="0" t="str">
        <f aca="false">IF(A2856="","",IF(MATCH(A2856,$A$2:$A$3201,0)=ROW()-1,1,0))</f>
        <v/>
      </c>
      <c r="C2856" s="0" t="str">
        <f aca="false">IF(B2856=1,MAX(C$1:C2855)+1,"")</f>
        <v/>
      </c>
    </row>
    <row r="2857" customFormat="false" ht="15" hidden="false" customHeight="false" outlineLevel="0" collapsed="false">
      <c r="A2857" s="0" t="str">
        <f aca="false">IF(COMPRAS!K1657="","",COMPRAS!K1657)</f>
        <v/>
      </c>
      <c r="B2857" s="0" t="str">
        <f aca="false">IF(A2857="","",IF(MATCH(A2857,$A$2:$A$3201,0)=ROW()-1,1,0))</f>
        <v/>
      </c>
      <c r="C2857" s="0" t="str">
        <f aca="false">IF(B2857=1,MAX(C$1:C2856)+1,"")</f>
        <v/>
      </c>
    </row>
    <row r="2858" customFormat="false" ht="15" hidden="false" customHeight="false" outlineLevel="0" collapsed="false">
      <c r="A2858" s="0" t="str">
        <f aca="false">IF(COMPRAS!K1658="","",COMPRAS!K1658)</f>
        <v/>
      </c>
      <c r="B2858" s="0" t="str">
        <f aca="false">IF(A2858="","",IF(MATCH(A2858,$A$2:$A$3201,0)=ROW()-1,1,0))</f>
        <v/>
      </c>
      <c r="C2858" s="0" t="str">
        <f aca="false">IF(B2858=1,MAX(C$1:C2857)+1,"")</f>
        <v/>
      </c>
    </row>
    <row r="2859" customFormat="false" ht="15" hidden="false" customHeight="false" outlineLevel="0" collapsed="false">
      <c r="A2859" s="0" t="str">
        <f aca="false">IF(COMPRAS!K1659="","",COMPRAS!K1659)</f>
        <v/>
      </c>
      <c r="B2859" s="0" t="str">
        <f aca="false">IF(A2859="","",IF(MATCH(A2859,$A$2:$A$3201,0)=ROW()-1,1,0))</f>
        <v/>
      </c>
      <c r="C2859" s="0" t="str">
        <f aca="false">IF(B2859=1,MAX(C$1:C2858)+1,"")</f>
        <v/>
      </c>
    </row>
    <row r="2860" customFormat="false" ht="15" hidden="false" customHeight="false" outlineLevel="0" collapsed="false">
      <c r="A2860" s="0" t="str">
        <f aca="false">IF(COMPRAS!K1660="","",COMPRAS!K1660)</f>
        <v/>
      </c>
      <c r="B2860" s="0" t="str">
        <f aca="false">IF(A2860="","",IF(MATCH(A2860,$A$2:$A$3201,0)=ROW()-1,1,0))</f>
        <v/>
      </c>
      <c r="C2860" s="0" t="str">
        <f aca="false">IF(B2860=1,MAX(C$1:C2859)+1,"")</f>
        <v/>
      </c>
    </row>
    <row r="2861" customFormat="false" ht="15" hidden="false" customHeight="false" outlineLevel="0" collapsed="false">
      <c r="A2861" s="0" t="str">
        <f aca="false">IF(COMPRAS!K1661="","",COMPRAS!K1661)</f>
        <v/>
      </c>
      <c r="B2861" s="0" t="str">
        <f aca="false">IF(A2861="","",IF(MATCH(A2861,$A$2:$A$3201,0)=ROW()-1,1,0))</f>
        <v/>
      </c>
      <c r="C2861" s="0" t="str">
        <f aca="false">IF(B2861=1,MAX(C$1:C2860)+1,"")</f>
        <v/>
      </c>
    </row>
    <row r="2862" customFormat="false" ht="15" hidden="false" customHeight="false" outlineLevel="0" collapsed="false">
      <c r="A2862" s="0" t="str">
        <f aca="false">IF(COMPRAS!K1662="","",COMPRAS!K1662)</f>
        <v/>
      </c>
      <c r="B2862" s="0" t="str">
        <f aca="false">IF(A2862="","",IF(MATCH(A2862,$A$2:$A$3201,0)=ROW()-1,1,0))</f>
        <v/>
      </c>
      <c r="C2862" s="0" t="str">
        <f aca="false">IF(B2862=1,MAX(C$1:C2861)+1,"")</f>
        <v/>
      </c>
    </row>
    <row r="2863" customFormat="false" ht="15" hidden="false" customHeight="false" outlineLevel="0" collapsed="false">
      <c r="A2863" s="0" t="str">
        <f aca="false">IF(COMPRAS!K1663="","",COMPRAS!K1663)</f>
        <v/>
      </c>
      <c r="B2863" s="0" t="str">
        <f aca="false">IF(A2863="","",IF(MATCH(A2863,$A$2:$A$3201,0)=ROW()-1,1,0))</f>
        <v/>
      </c>
      <c r="C2863" s="0" t="str">
        <f aca="false">IF(B2863=1,MAX(C$1:C2862)+1,"")</f>
        <v/>
      </c>
    </row>
    <row r="2864" customFormat="false" ht="15" hidden="false" customHeight="false" outlineLevel="0" collapsed="false">
      <c r="A2864" s="0" t="str">
        <f aca="false">IF(COMPRAS!K1664="","",COMPRAS!K1664)</f>
        <v/>
      </c>
      <c r="B2864" s="0" t="str">
        <f aca="false">IF(A2864="","",IF(MATCH(A2864,$A$2:$A$3201,0)=ROW()-1,1,0))</f>
        <v/>
      </c>
      <c r="C2864" s="0" t="str">
        <f aca="false">IF(B2864=1,MAX(C$1:C2863)+1,"")</f>
        <v/>
      </c>
    </row>
    <row r="2865" customFormat="false" ht="15" hidden="false" customHeight="false" outlineLevel="0" collapsed="false">
      <c r="A2865" s="0" t="str">
        <f aca="false">IF(COMPRAS!K1665="","",COMPRAS!K1665)</f>
        <v/>
      </c>
      <c r="B2865" s="0" t="str">
        <f aca="false">IF(A2865="","",IF(MATCH(A2865,$A$2:$A$3201,0)=ROW()-1,1,0))</f>
        <v/>
      </c>
      <c r="C2865" s="0" t="str">
        <f aca="false">IF(B2865=1,MAX(C$1:C2864)+1,"")</f>
        <v/>
      </c>
    </row>
    <row r="2866" customFormat="false" ht="15" hidden="false" customHeight="false" outlineLevel="0" collapsed="false">
      <c r="A2866" s="0" t="str">
        <f aca="false">IF(COMPRAS!K1666="","",COMPRAS!K1666)</f>
        <v/>
      </c>
      <c r="B2866" s="0" t="str">
        <f aca="false">IF(A2866="","",IF(MATCH(A2866,$A$2:$A$3201,0)=ROW()-1,1,0))</f>
        <v/>
      </c>
      <c r="C2866" s="0" t="str">
        <f aca="false">IF(B2866=1,MAX(C$1:C2865)+1,"")</f>
        <v/>
      </c>
    </row>
    <row r="2867" customFormat="false" ht="15" hidden="false" customHeight="false" outlineLevel="0" collapsed="false">
      <c r="A2867" s="0" t="str">
        <f aca="false">IF(COMPRAS!K1667="","",COMPRAS!K1667)</f>
        <v/>
      </c>
      <c r="B2867" s="0" t="str">
        <f aca="false">IF(A2867="","",IF(MATCH(A2867,$A$2:$A$3201,0)=ROW()-1,1,0))</f>
        <v/>
      </c>
      <c r="C2867" s="0" t="str">
        <f aca="false">IF(B2867=1,MAX(C$1:C2866)+1,"")</f>
        <v/>
      </c>
    </row>
    <row r="2868" customFormat="false" ht="15" hidden="false" customHeight="false" outlineLevel="0" collapsed="false">
      <c r="A2868" s="0" t="str">
        <f aca="false">IF(COMPRAS!K1668="","",COMPRAS!K1668)</f>
        <v/>
      </c>
      <c r="B2868" s="0" t="str">
        <f aca="false">IF(A2868="","",IF(MATCH(A2868,$A$2:$A$3201,0)=ROW()-1,1,0))</f>
        <v/>
      </c>
      <c r="C2868" s="0" t="str">
        <f aca="false">IF(B2868=1,MAX(C$1:C2867)+1,"")</f>
        <v/>
      </c>
    </row>
    <row r="2869" customFormat="false" ht="15" hidden="false" customHeight="false" outlineLevel="0" collapsed="false">
      <c r="A2869" s="0" t="str">
        <f aca="false">IF(COMPRAS!K1669="","",COMPRAS!K1669)</f>
        <v/>
      </c>
      <c r="B2869" s="0" t="str">
        <f aca="false">IF(A2869="","",IF(MATCH(A2869,$A$2:$A$3201,0)=ROW()-1,1,0))</f>
        <v/>
      </c>
      <c r="C2869" s="0" t="str">
        <f aca="false">IF(B2869=1,MAX(C$1:C2868)+1,"")</f>
        <v/>
      </c>
    </row>
    <row r="2870" customFormat="false" ht="15" hidden="false" customHeight="false" outlineLevel="0" collapsed="false">
      <c r="A2870" s="0" t="str">
        <f aca="false">IF(COMPRAS!K1670="","",COMPRAS!K1670)</f>
        <v/>
      </c>
      <c r="B2870" s="0" t="str">
        <f aca="false">IF(A2870="","",IF(MATCH(A2870,$A$2:$A$3201,0)=ROW()-1,1,0))</f>
        <v/>
      </c>
      <c r="C2870" s="0" t="str">
        <f aca="false">IF(B2870=1,MAX(C$1:C2869)+1,"")</f>
        <v/>
      </c>
    </row>
    <row r="2871" customFormat="false" ht="15" hidden="false" customHeight="false" outlineLevel="0" collapsed="false">
      <c r="A2871" s="0" t="str">
        <f aca="false">IF(COMPRAS!K1671="","",COMPRAS!K1671)</f>
        <v/>
      </c>
      <c r="B2871" s="0" t="str">
        <f aca="false">IF(A2871="","",IF(MATCH(A2871,$A$2:$A$3201,0)=ROW()-1,1,0))</f>
        <v/>
      </c>
      <c r="C2871" s="0" t="str">
        <f aca="false">IF(B2871=1,MAX(C$1:C2870)+1,"")</f>
        <v/>
      </c>
    </row>
    <row r="2872" customFormat="false" ht="15" hidden="false" customHeight="false" outlineLevel="0" collapsed="false">
      <c r="A2872" s="0" t="str">
        <f aca="false">IF(COMPRAS!K1672="","",COMPRAS!K1672)</f>
        <v/>
      </c>
      <c r="B2872" s="0" t="str">
        <f aca="false">IF(A2872="","",IF(MATCH(A2872,$A$2:$A$3201,0)=ROW()-1,1,0))</f>
        <v/>
      </c>
      <c r="C2872" s="0" t="str">
        <f aca="false">IF(B2872=1,MAX(C$1:C2871)+1,"")</f>
        <v/>
      </c>
    </row>
    <row r="2873" customFormat="false" ht="15" hidden="false" customHeight="false" outlineLevel="0" collapsed="false">
      <c r="A2873" s="0" t="str">
        <f aca="false">IF(COMPRAS!K1673="","",COMPRAS!K1673)</f>
        <v/>
      </c>
      <c r="B2873" s="0" t="str">
        <f aca="false">IF(A2873="","",IF(MATCH(A2873,$A$2:$A$3201,0)=ROW()-1,1,0))</f>
        <v/>
      </c>
      <c r="C2873" s="0" t="str">
        <f aca="false">IF(B2873=1,MAX(C$1:C2872)+1,"")</f>
        <v/>
      </c>
    </row>
    <row r="2874" customFormat="false" ht="15" hidden="false" customHeight="false" outlineLevel="0" collapsed="false">
      <c r="A2874" s="0" t="str">
        <f aca="false">IF(COMPRAS!K1674="","",COMPRAS!K1674)</f>
        <v/>
      </c>
      <c r="B2874" s="0" t="str">
        <f aca="false">IF(A2874="","",IF(MATCH(A2874,$A$2:$A$3201,0)=ROW()-1,1,0))</f>
        <v/>
      </c>
      <c r="C2874" s="0" t="str">
        <f aca="false">IF(B2874=1,MAX(C$1:C2873)+1,"")</f>
        <v/>
      </c>
    </row>
    <row r="2875" customFormat="false" ht="15" hidden="false" customHeight="false" outlineLevel="0" collapsed="false">
      <c r="A2875" s="0" t="str">
        <f aca="false">IF(COMPRAS!K1675="","",COMPRAS!K1675)</f>
        <v/>
      </c>
      <c r="B2875" s="0" t="str">
        <f aca="false">IF(A2875="","",IF(MATCH(A2875,$A$2:$A$3201,0)=ROW()-1,1,0))</f>
        <v/>
      </c>
      <c r="C2875" s="0" t="str">
        <f aca="false">IF(B2875=1,MAX(C$1:C2874)+1,"")</f>
        <v/>
      </c>
    </row>
    <row r="2876" customFormat="false" ht="15" hidden="false" customHeight="false" outlineLevel="0" collapsed="false">
      <c r="A2876" s="0" t="str">
        <f aca="false">IF(COMPRAS!K1676="","",COMPRAS!K1676)</f>
        <v/>
      </c>
      <c r="B2876" s="0" t="str">
        <f aca="false">IF(A2876="","",IF(MATCH(A2876,$A$2:$A$3201,0)=ROW()-1,1,0))</f>
        <v/>
      </c>
      <c r="C2876" s="0" t="str">
        <f aca="false">IF(B2876=1,MAX(C$1:C2875)+1,"")</f>
        <v/>
      </c>
    </row>
    <row r="2877" customFormat="false" ht="15" hidden="false" customHeight="false" outlineLevel="0" collapsed="false">
      <c r="A2877" s="0" t="str">
        <f aca="false">IF(COMPRAS!K1677="","",COMPRAS!K1677)</f>
        <v/>
      </c>
      <c r="B2877" s="0" t="str">
        <f aca="false">IF(A2877="","",IF(MATCH(A2877,$A$2:$A$3201,0)=ROW()-1,1,0))</f>
        <v/>
      </c>
      <c r="C2877" s="0" t="str">
        <f aca="false">IF(B2877=1,MAX(C$1:C2876)+1,"")</f>
        <v/>
      </c>
    </row>
    <row r="2878" customFormat="false" ht="15" hidden="false" customHeight="false" outlineLevel="0" collapsed="false">
      <c r="A2878" s="0" t="str">
        <f aca="false">IF(COMPRAS!K1678="","",COMPRAS!K1678)</f>
        <v/>
      </c>
      <c r="B2878" s="0" t="str">
        <f aca="false">IF(A2878="","",IF(MATCH(A2878,$A$2:$A$3201,0)=ROW()-1,1,0))</f>
        <v/>
      </c>
      <c r="C2878" s="0" t="str">
        <f aca="false">IF(B2878=1,MAX(C$1:C2877)+1,"")</f>
        <v/>
      </c>
    </row>
    <row r="2879" customFormat="false" ht="15" hidden="false" customHeight="false" outlineLevel="0" collapsed="false">
      <c r="A2879" s="0" t="str">
        <f aca="false">IF(COMPRAS!K1679="","",COMPRAS!K1679)</f>
        <v/>
      </c>
      <c r="B2879" s="0" t="str">
        <f aca="false">IF(A2879="","",IF(MATCH(A2879,$A$2:$A$3201,0)=ROW()-1,1,0))</f>
        <v/>
      </c>
      <c r="C2879" s="0" t="str">
        <f aca="false">IF(B2879=1,MAX(C$1:C2878)+1,"")</f>
        <v/>
      </c>
    </row>
    <row r="2880" customFormat="false" ht="15" hidden="false" customHeight="false" outlineLevel="0" collapsed="false">
      <c r="A2880" s="0" t="str">
        <f aca="false">IF(COMPRAS!K1680="","",COMPRAS!K1680)</f>
        <v/>
      </c>
      <c r="B2880" s="0" t="str">
        <f aca="false">IF(A2880="","",IF(MATCH(A2880,$A$2:$A$3201,0)=ROW()-1,1,0))</f>
        <v/>
      </c>
      <c r="C2880" s="0" t="str">
        <f aca="false">IF(B2880=1,MAX(C$1:C2879)+1,"")</f>
        <v/>
      </c>
    </row>
    <row r="2881" customFormat="false" ht="15" hidden="false" customHeight="false" outlineLevel="0" collapsed="false">
      <c r="A2881" s="0" t="str">
        <f aca="false">IF(COMPRAS!K1681="","",COMPRAS!K1681)</f>
        <v/>
      </c>
      <c r="B2881" s="0" t="str">
        <f aca="false">IF(A2881="","",IF(MATCH(A2881,$A$2:$A$3201,0)=ROW()-1,1,0))</f>
        <v/>
      </c>
      <c r="C2881" s="0" t="str">
        <f aca="false">IF(B2881=1,MAX(C$1:C2880)+1,"")</f>
        <v/>
      </c>
    </row>
    <row r="2882" customFormat="false" ht="15" hidden="false" customHeight="false" outlineLevel="0" collapsed="false">
      <c r="A2882" s="0" t="str">
        <f aca="false">IF(COMPRAS!K1682="","",COMPRAS!K1682)</f>
        <v/>
      </c>
      <c r="B2882" s="0" t="str">
        <f aca="false">IF(A2882="","",IF(MATCH(A2882,$A$2:$A$3201,0)=ROW()-1,1,0))</f>
        <v/>
      </c>
      <c r="C2882" s="0" t="str">
        <f aca="false">IF(B2882=1,MAX(C$1:C2881)+1,"")</f>
        <v/>
      </c>
    </row>
    <row r="2883" customFormat="false" ht="15" hidden="false" customHeight="false" outlineLevel="0" collapsed="false">
      <c r="A2883" s="0" t="str">
        <f aca="false">IF(COMPRAS!K1683="","",COMPRAS!K1683)</f>
        <v/>
      </c>
      <c r="B2883" s="0" t="str">
        <f aca="false">IF(A2883="","",IF(MATCH(A2883,$A$2:$A$3201,0)=ROW()-1,1,0))</f>
        <v/>
      </c>
      <c r="C2883" s="0" t="str">
        <f aca="false">IF(B2883=1,MAX(C$1:C2882)+1,"")</f>
        <v/>
      </c>
    </row>
    <row r="2884" customFormat="false" ht="15" hidden="false" customHeight="false" outlineLevel="0" collapsed="false">
      <c r="A2884" s="0" t="str">
        <f aca="false">IF(COMPRAS!K1684="","",COMPRAS!K1684)</f>
        <v/>
      </c>
      <c r="B2884" s="0" t="str">
        <f aca="false">IF(A2884="","",IF(MATCH(A2884,$A$2:$A$3201,0)=ROW()-1,1,0))</f>
        <v/>
      </c>
      <c r="C2884" s="0" t="str">
        <f aca="false">IF(B2884=1,MAX(C$1:C2883)+1,"")</f>
        <v/>
      </c>
    </row>
    <row r="2885" customFormat="false" ht="15" hidden="false" customHeight="false" outlineLevel="0" collapsed="false">
      <c r="A2885" s="0" t="str">
        <f aca="false">IF(COMPRAS!K1685="","",COMPRAS!K1685)</f>
        <v/>
      </c>
      <c r="B2885" s="0" t="str">
        <f aca="false">IF(A2885="","",IF(MATCH(A2885,$A$2:$A$3201,0)=ROW()-1,1,0))</f>
        <v/>
      </c>
      <c r="C2885" s="0" t="str">
        <f aca="false">IF(B2885=1,MAX(C$1:C2884)+1,"")</f>
        <v/>
      </c>
    </row>
    <row r="2886" customFormat="false" ht="15" hidden="false" customHeight="false" outlineLevel="0" collapsed="false">
      <c r="A2886" s="0" t="str">
        <f aca="false">IF(COMPRAS!K1686="","",COMPRAS!K1686)</f>
        <v/>
      </c>
      <c r="B2886" s="0" t="str">
        <f aca="false">IF(A2886="","",IF(MATCH(A2886,$A$2:$A$3201,0)=ROW()-1,1,0))</f>
        <v/>
      </c>
      <c r="C2886" s="0" t="str">
        <f aca="false">IF(B2886=1,MAX(C$1:C2885)+1,"")</f>
        <v/>
      </c>
    </row>
    <row r="2887" customFormat="false" ht="15" hidden="false" customHeight="false" outlineLevel="0" collapsed="false">
      <c r="A2887" s="0" t="str">
        <f aca="false">IF(COMPRAS!K1687="","",COMPRAS!K1687)</f>
        <v/>
      </c>
      <c r="B2887" s="0" t="str">
        <f aca="false">IF(A2887="","",IF(MATCH(A2887,$A$2:$A$3201,0)=ROW()-1,1,0))</f>
        <v/>
      </c>
      <c r="C2887" s="0" t="str">
        <f aca="false">IF(B2887=1,MAX(C$1:C2886)+1,"")</f>
        <v/>
      </c>
    </row>
    <row r="2888" customFormat="false" ht="15" hidden="false" customHeight="false" outlineLevel="0" collapsed="false">
      <c r="A2888" s="0" t="str">
        <f aca="false">IF(COMPRAS!K1688="","",COMPRAS!K1688)</f>
        <v/>
      </c>
      <c r="B2888" s="0" t="str">
        <f aca="false">IF(A2888="","",IF(MATCH(A2888,$A$2:$A$3201,0)=ROW()-1,1,0))</f>
        <v/>
      </c>
      <c r="C2888" s="0" t="str">
        <f aca="false">IF(B2888=1,MAX(C$1:C2887)+1,"")</f>
        <v/>
      </c>
    </row>
    <row r="2889" customFormat="false" ht="15" hidden="false" customHeight="false" outlineLevel="0" collapsed="false">
      <c r="A2889" s="0" t="str">
        <f aca="false">IF(COMPRAS!K1689="","",COMPRAS!K1689)</f>
        <v/>
      </c>
      <c r="B2889" s="0" t="str">
        <f aca="false">IF(A2889="","",IF(MATCH(A2889,$A$2:$A$3201,0)=ROW()-1,1,0))</f>
        <v/>
      </c>
      <c r="C2889" s="0" t="str">
        <f aca="false">IF(B2889=1,MAX(C$1:C2888)+1,"")</f>
        <v/>
      </c>
    </row>
    <row r="2890" customFormat="false" ht="15" hidden="false" customHeight="false" outlineLevel="0" collapsed="false">
      <c r="A2890" s="0" t="str">
        <f aca="false">IF(COMPRAS!K1690="","",COMPRAS!K1690)</f>
        <v/>
      </c>
      <c r="B2890" s="0" t="str">
        <f aca="false">IF(A2890="","",IF(MATCH(A2890,$A$2:$A$3201,0)=ROW()-1,1,0))</f>
        <v/>
      </c>
      <c r="C2890" s="0" t="str">
        <f aca="false">IF(B2890=1,MAX(C$1:C2889)+1,"")</f>
        <v/>
      </c>
    </row>
    <row r="2891" customFormat="false" ht="15" hidden="false" customHeight="false" outlineLevel="0" collapsed="false">
      <c r="A2891" s="0" t="str">
        <f aca="false">IF(COMPRAS!K1691="","",COMPRAS!K1691)</f>
        <v/>
      </c>
      <c r="B2891" s="0" t="str">
        <f aca="false">IF(A2891="","",IF(MATCH(A2891,$A$2:$A$3201,0)=ROW()-1,1,0))</f>
        <v/>
      </c>
      <c r="C2891" s="0" t="str">
        <f aca="false">IF(B2891=1,MAX(C$1:C2890)+1,"")</f>
        <v/>
      </c>
    </row>
    <row r="2892" customFormat="false" ht="15" hidden="false" customHeight="false" outlineLevel="0" collapsed="false">
      <c r="A2892" s="0" t="str">
        <f aca="false">IF(COMPRAS!K1692="","",COMPRAS!K1692)</f>
        <v/>
      </c>
      <c r="B2892" s="0" t="str">
        <f aca="false">IF(A2892="","",IF(MATCH(A2892,$A$2:$A$3201,0)=ROW()-1,1,0))</f>
        <v/>
      </c>
      <c r="C2892" s="0" t="str">
        <f aca="false">IF(B2892=1,MAX(C$1:C2891)+1,"")</f>
        <v/>
      </c>
    </row>
    <row r="2893" customFormat="false" ht="15" hidden="false" customHeight="false" outlineLevel="0" collapsed="false">
      <c r="A2893" s="0" t="str">
        <f aca="false">IF(COMPRAS!K1693="","",COMPRAS!K1693)</f>
        <v/>
      </c>
      <c r="B2893" s="0" t="str">
        <f aca="false">IF(A2893="","",IF(MATCH(A2893,$A$2:$A$3201,0)=ROW()-1,1,0))</f>
        <v/>
      </c>
      <c r="C2893" s="0" t="str">
        <f aca="false">IF(B2893=1,MAX(C$1:C2892)+1,"")</f>
        <v/>
      </c>
    </row>
    <row r="2894" customFormat="false" ht="15" hidden="false" customHeight="false" outlineLevel="0" collapsed="false">
      <c r="A2894" s="0" t="str">
        <f aca="false">IF(COMPRAS!K1694="","",COMPRAS!K1694)</f>
        <v/>
      </c>
      <c r="B2894" s="0" t="str">
        <f aca="false">IF(A2894="","",IF(MATCH(A2894,$A$2:$A$3201,0)=ROW()-1,1,0))</f>
        <v/>
      </c>
      <c r="C2894" s="0" t="str">
        <f aca="false">IF(B2894=1,MAX(C$1:C2893)+1,"")</f>
        <v/>
      </c>
    </row>
    <row r="2895" customFormat="false" ht="15" hidden="false" customHeight="false" outlineLevel="0" collapsed="false">
      <c r="A2895" s="0" t="str">
        <f aca="false">IF(COMPRAS!K1695="","",COMPRAS!K1695)</f>
        <v/>
      </c>
      <c r="B2895" s="0" t="str">
        <f aca="false">IF(A2895="","",IF(MATCH(A2895,$A$2:$A$3201,0)=ROW()-1,1,0))</f>
        <v/>
      </c>
      <c r="C2895" s="0" t="str">
        <f aca="false">IF(B2895=1,MAX(C$1:C2894)+1,"")</f>
        <v/>
      </c>
    </row>
    <row r="2896" customFormat="false" ht="15" hidden="false" customHeight="false" outlineLevel="0" collapsed="false">
      <c r="A2896" s="0" t="str">
        <f aca="false">IF(COMPRAS!K1696="","",COMPRAS!K1696)</f>
        <v/>
      </c>
      <c r="B2896" s="0" t="str">
        <f aca="false">IF(A2896="","",IF(MATCH(A2896,$A$2:$A$3201,0)=ROW()-1,1,0))</f>
        <v/>
      </c>
      <c r="C2896" s="0" t="str">
        <f aca="false">IF(B2896=1,MAX(C$1:C2895)+1,"")</f>
        <v/>
      </c>
    </row>
    <row r="2897" customFormat="false" ht="15" hidden="false" customHeight="false" outlineLevel="0" collapsed="false">
      <c r="A2897" s="0" t="str">
        <f aca="false">IF(COMPRAS!K1697="","",COMPRAS!K1697)</f>
        <v/>
      </c>
      <c r="B2897" s="0" t="str">
        <f aca="false">IF(A2897="","",IF(MATCH(A2897,$A$2:$A$3201,0)=ROW()-1,1,0))</f>
        <v/>
      </c>
      <c r="C2897" s="0" t="str">
        <f aca="false">IF(B2897=1,MAX(C$1:C2896)+1,"")</f>
        <v/>
      </c>
    </row>
    <row r="2898" customFormat="false" ht="15" hidden="false" customHeight="false" outlineLevel="0" collapsed="false">
      <c r="A2898" s="0" t="str">
        <f aca="false">IF(COMPRAS!K1698="","",COMPRAS!K1698)</f>
        <v/>
      </c>
      <c r="B2898" s="0" t="str">
        <f aca="false">IF(A2898="","",IF(MATCH(A2898,$A$2:$A$3201,0)=ROW()-1,1,0))</f>
        <v/>
      </c>
      <c r="C2898" s="0" t="str">
        <f aca="false">IF(B2898=1,MAX(C$1:C2897)+1,"")</f>
        <v/>
      </c>
    </row>
    <row r="2899" customFormat="false" ht="15" hidden="false" customHeight="false" outlineLevel="0" collapsed="false">
      <c r="A2899" s="0" t="str">
        <f aca="false">IF(COMPRAS!K1699="","",COMPRAS!K1699)</f>
        <v/>
      </c>
      <c r="B2899" s="0" t="str">
        <f aca="false">IF(A2899="","",IF(MATCH(A2899,$A$2:$A$3201,0)=ROW()-1,1,0))</f>
        <v/>
      </c>
      <c r="C2899" s="0" t="str">
        <f aca="false">IF(B2899=1,MAX(C$1:C2898)+1,"")</f>
        <v/>
      </c>
    </row>
    <row r="2900" customFormat="false" ht="15" hidden="false" customHeight="false" outlineLevel="0" collapsed="false">
      <c r="A2900" s="0" t="str">
        <f aca="false">IF(COMPRAS!K1700="","",COMPRAS!K1700)</f>
        <v/>
      </c>
      <c r="B2900" s="0" t="str">
        <f aca="false">IF(A2900="","",IF(MATCH(A2900,$A$2:$A$3201,0)=ROW()-1,1,0))</f>
        <v/>
      </c>
      <c r="C2900" s="0" t="str">
        <f aca="false">IF(B2900=1,MAX(C$1:C2899)+1,"")</f>
        <v/>
      </c>
    </row>
    <row r="2901" customFormat="false" ht="15" hidden="false" customHeight="false" outlineLevel="0" collapsed="false">
      <c r="A2901" s="0" t="str">
        <f aca="false">IF(COMPRAS!K1701="","",COMPRAS!K1701)</f>
        <v/>
      </c>
      <c r="B2901" s="0" t="str">
        <f aca="false">IF(A2901="","",IF(MATCH(A2901,$A$2:$A$3201,0)=ROW()-1,1,0))</f>
        <v/>
      </c>
      <c r="C2901" s="0" t="str">
        <f aca="false">IF(B2901=1,MAX(C$1:C2900)+1,"")</f>
        <v/>
      </c>
    </row>
    <row r="2902" customFormat="false" ht="15" hidden="false" customHeight="false" outlineLevel="0" collapsed="false">
      <c r="A2902" s="0" t="str">
        <f aca="false">IF(COMPRAS!K1702="","",COMPRAS!K1702)</f>
        <v/>
      </c>
      <c r="B2902" s="0" t="str">
        <f aca="false">IF(A2902="","",IF(MATCH(A2902,$A$2:$A$3201,0)=ROW()-1,1,0))</f>
        <v/>
      </c>
      <c r="C2902" s="0" t="str">
        <f aca="false">IF(B2902=1,MAX(C$1:C2901)+1,"")</f>
        <v/>
      </c>
    </row>
    <row r="2903" customFormat="false" ht="15" hidden="false" customHeight="false" outlineLevel="0" collapsed="false">
      <c r="A2903" s="0" t="str">
        <f aca="false">IF(COMPRAS!K1703="","",COMPRAS!K1703)</f>
        <v/>
      </c>
      <c r="B2903" s="0" t="str">
        <f aca="false">IF(A2903="","",IF(MATCH(A2903,$A$2:$A$3201,0)=ROW()-1,1,0))</f>
        <v/>
      </c>
      <c r="C2903" s="0" t="str">
        <f aca="false">IF(B2903=1,MAX(C$1:C2902)+1,"")</f>
        <v/>
      </c>
    </row>
    <row r="2904" customFormat="false" ht="15" hidden="false" customHeight="false" outlineLevel="0" collapsed="false">
      <c r="A2904" s="0" t="str">
        <f aca="false">IF(COMPRAS!K1704="","",COMPRAS!K1704)</f>
        <v/>
      </c>
      <c r="B2904" s="0" t="str">
        <f aca="false">IF(A2904="","",IF(MATCH(A2904,$A$2:$A$3201,0)=ROW()-1,1,0))</f>
        <v/>
      </c>
      <c r="C2904" s="0" t="str">
        <f aca="false">IF(B2904=1,MAX(C$1:C2903)+1,"")</f>
        <v/>
      </c>
    </row>
    <row r="2905" customFormat="false" ht="15" hidden="false" customHeight="false" outlineLevel="0" collapsed="false">
      <c r="A2905" s="0" t="str">
        <f aca="false">IF(COMPRAS!K1705="","",COMPRAS!K1705)</f>
        <v/>
      </c>
      <c r="B2905" s="0" t="str">
        <f aca="false">IF(A2905="","",IF(MATCH(A2905,$A$2:$A$3201,0)=ROW()-1,1,0))</f>
        <v/>
      </c>
      <c r="C2905" s="0" t="str">
        <f aca="false">IF(B2905=1,MAX(C$1:C2904)+1,"")</f>
        <v/>
      </c>
    </row>
    <row r="2906" customFormat="false" ht="15" hidden="false" customHeight="false" outlineLevel="0" collapsed="false">
      <c r="A2906" s="0" t="str">
        <f aca="false">IF(COMPRAS!K1706="","",COMPRAS!K1706)</f>
        <v/>
      </c>
      <c r="B2906" s="0" t="str">
        <f aca="false">IF(A2906="","",IF(MATCH(A2906,$A$2:$A$3201,0)=ROW()-1,1,0))</f>
        <v/>
      </c>
      <c r="C2906" s="0" t="str">
        <f aca="false">IF(B2906=1,MAX(C$1:C2905)+1,"")</f>
        <v/>
      </c>
    </row>
    <row r="2907" customFormat="false" ht="15" hidden="false" customHeight="false" outlineLevel="0" collapsed="false">
      <c r="A2907" s="0" t="str">
        <f aca="false">IF(COMPRAS!K1707="","",COMPRAS!K1707)</f>
        <v/>
      </c>
      <c r="B2907" s="0" t="str">
        <f aca="false">IF(A2907="","",IF(MATCH(A2907,$A$2:$A$3201,0)=ROW()-1,1,0))</f>
        <v/>
      </c>
      <c r="C2907" s="0" t="str">
        <f aca="false">IF(B2907=1,MAX(C$1:C2906)+1,"")</f>
        <v/>
      </c>
    </row>
    <row r="2908" customFormat="false" ht="15" hidden="false" customHeight="false" outlineLevel="0" collapsed="false">
      <c r="A2908" s="0" t="str">
        <f aca="false">IF(COMPRAS!K1708="","",COMPRAS!K1708)</f>
        <v/>
      </c>
      <c r="B2908" s="0" t="str">
        <f aca="false">IF(A2908="","",IF(MATCH(A2908,$A$2:$A$3201,0)=ROW()-1,1,0))</f>
        <v/>
      </c>
      <c r="C2908" s="0" t="str">
        <f aca="false">IF(B2908=1,MAX(C$1:C2907)+1,"")</f>
        <v/>
      </c>
    </row>
    <row r="2909" customFormat="false" ht="15" hidden="false" customHeight="false" outlineLevel="0" collapsed="false">
      <c r="A2909" s="0" t="str">
        <f aca="false">IF(COMPRAS!K1709="","",COMPRAS!K1709)</f>
        <v/>
      </c>
      <c r="B2909" s="0" t="str">
        <f aca="false">IF(A2909="","",IF(MATCH(A2909,$A$2:$A$3201,0)=ROW()-1,1,0))</f>
        <v/>
      </c>
      <c r="C2909" s="0" t="str">
        <f aca="false">IF(B2909=1,MAX(C$1:C2908)+1,"")</f>
        <v/>
      </c>
    </row>
    <row r="2910" customFormat="false" ht="15" hidden="false" customHeight="false" outlineLevel="0" collapsed="false">
      <c r="A2910" s="0" t="str">
        <f aca="false">IF(COMPRAS!K1710="","",COMPRAS!K1710)</f>
        <v/>
      </c>
      <c r="B2910" s="0" t="str">
        <f aca="false">IF(A2910="","",IF(MATCH(A2910,$A$2:$A$3201,0)=ROW()-1,1,0))</f>
        <v/>
      </c>
      <c r="C2910" s="0" t="str">
        <f aca="false">IF(B2910=1,MAX(C$1:C2909)+1,"")</f>
        <v/>
      </c>
    </row>
    <row r="2911" customFormat="false" ht="15" hidden="false" customHeight="false" outlineLevel="0" collapsed="false">
      <c r="A2911" s="0" t="str">
        <f aca="false">IF(COMPRAS!K1711="","",COMPRAS!K1711)</f>
        <v/>
      </c>
      <c r="B2911" s="0" t="str">
        <f aca="false">IF(A2911="","",IF(MATCH(A2911,$A$2:$A$3201,0)=ROW()-1,1,0))</f>
        <v/>
      </c>
      <c r="C2911" s="0" t="str">
        <f aca="false">IF(B2911=1,MAX(C$1:C2910)+1,"")</f>
        <v/>
      </c>
    </row>
    <row r="2912" customFormat="false" ht="15" hidden="false" customHeight="false" outlineLevel="0" collapsed="false">
      <c r="A2912" s="0" t="str">
        <f aca="false">IF(COMPRAS!K1712="","",COMPRAS!K1712)</f>
        <v/>
      </c>
      <c r="B2912" s="0" t="str">
        <f aca="false">IF(A2912="","",IF(MATCH(A2912,$A$2:$A$3201,0)=ROW()-1,1,0))</f>
        <v/>
      </c>
      <c r="C2912" s="0" t="str">
        <f aca="false">IF(B2912=1,MAX(C$1:C2911)+1,"")</f>
        <v/>
      </c>
    </row>
    <row r="2913" customFormat="false" ht="15" hidden="false" customHeight="false" outlineLevel="0" collapsed="false">
      <c r="A2913" s="0" t="str">
        <f aca="false">IF(COMPRAS!K1713="","",COMPRAS!K1713)</f>
        <v/>
      </c>
      <c r="B2913" s="0" t="str">
        <f aca="false">IF(A2913="","",IF(MATCH(A2913,$A$2:$A$3201,0)=ROW()-1,1,0))</f>
        <v/>
      </c>
      <c r="C2913" s="0" t="str">
        <f aca="false">IF(B2913=1,MAX(C$1:C2912)+1,"")</f>
        <v/>
      </c>
    </row>
    <row r="2914" customFormat="false" ht="15" hidden="false" customHeight="false" outlineLevel="0" collapsed="false">
      <c r="A2914" s="0" t="str">
        <f aca="false">IF(COMPRAS!K1714="","",COMPRAS!K1714)</f>
        <v/>
      </c>
      <c r="B2914" s="0" t="str">
        <f aca="false">IF(A2914="","",IF(MATCH(A2914,$A$2:$A$3201,0)=ROW()-1,1,0))</f>
        <v/>
      </c>
      <c r="C2914" s="0" t="str">
        <f aca="false">IF(B2914=1,MAX(C$1:C2913)+1,"")</f>
        <v/>
      </c>
    </row>
    <row r="2915" customFormat="false" ht="15" hidden="false" customHeight="false" outlineLevel="0" collapsed="false">
      <c r="A2915" s="0" t="str">
        <f aca="false">IF(COMPRAS!K1715="","",COMPRAS!K1715)</f>
        <v/>
      </c>
      <c r="B2915" s="0" t="str">
        <f aca="false">IF(A2915="","",IF(MATCH(A2915,$A$2:$A$3201,0)=ROW()-1,1,0))</f>
        <v/>
      </c>
      <c r="C2915" s="0" t="str">
        <f aca="false">IF(B2915=1,MAX(C$1:C2914)+1,"")</f>
        <v/>
      </c>
    </row>
    <row r="2916" customFormat="false" ht="15" hidden="false" customHeight="false" outlineLevel="0" collapsed="false">
      <c r="A2916" s="0" t="str">
        <f aca="false">IF(COMPRAS!K1716="","",COMPRAS!K1716)</f>
        <v/>
      </c>
      <c r="B2916" s="0" t="str">
        <f aca="false">IF(A2916="","",IF(MATCH(A2916,$A$2:$A$3201,0)=ROW()-1,1,0))</f>
        <v/>
      </c>
      <c r="C2916" s="0" t="str">
        <f aca="false">IF(B2916=1,MAX(C$1:C2915)+1,"")</f>
        <v/>
      </c>
    </row>
    <row r="2917" customFormat="false" ht="15" hidden="false" customHeight="false" outlineLevel="0" collapsed="false">
      <c r="A2917" s="0" t="str">
        <f aca="false">IF(COMPRAS!K1717="","",COMPRAS!K1717)</f>
        <v/>
      </c>
      <c r="B2917" s="0" t="str">
        <f aca="false">IF(A2917="","",IF(MATCH(A2917,$A$2:$A$3201,0)=ROW()-1,1,0))</f>
        <v/>
      </c>
      <c r="C2917" s="0" t="str">
        <f aca="false">IF(B2917=1,MAX(C$1:C2916)+1,"")</f>
        <v/>
      </c>
    </row>
    <row r="2918" customFormat="false" ht="15" hidden="false" customHeight="false" outlineLevel="0" collapsed="false">
      <c r="A2918" s="0" t="str">
        <f aca="false">IF(COMPRAS!K1718="","",COMPRAS!K1718)</f>
        <v/>
      </c>
      <c r="B2918" s="0" t="str">
        <f aca="false">IF(A2918="","",IF(MATCH(A2918,$A$2:$A$3201,0)=ROW()-1,1,0))</f>
        <v/>
      </c>
      <c r="C2918" s="0" t="str">
        <f aca="false">IF(B2918=1,MAX(C$1:C2917)+1,"")</f>
        <v/>
      </c>
    </row>
    <row r="2919" customFormat="false" ht="15" hidden="false" customHeight="false" outlineLevel="0" collapsed="false">
      <c r="A2919" s="0" t="str">
        <f aca="false">IF(COMPRAS!K1719="","",COMPRAS!K1719)</f>
        <v/>
      </c>
      <c r="B2919" s="0" t="str">
        <f aca="false">IF(A2919="","",IF(MATCH(A2919,$A$2:$A$3201,0)=ROW()-1,1,0))</f>
        <v/>
      </c>
      <c r="C2919" s="0" t="str">
        <f aca="false">IF(B2919=1,MAX(C$1:C2918)+1,"")</f>
        <v/>
      </c>
    </row>
    <row r="2920" customFormat="false" ht="15" hidden="false" customHeight="false" outlineLevel="0" collapsed="false">
      <c r="A2920" s="0" t="str">
        <f aca="false">IF(COMPRAS!K1720="","",COMPRAS!K1720)</f>
        <v/>
      </c>
      <c r="B2920" s="0" t="str">
        <f aca="false">IF(A2920="","",IF(MATCH(A2920,$A$2:$A$3201,0)=ROW()-1,1,0))</f>
        <v/>
      </c>
      <c r="C2920" s="0" t="str">
        <f aca="false">IF(B2920=1,MAX(C$1:C2919)+1,"")</f>
        <v/>
      </c>
    </row>
    <row r="2921" customFormat="false" ht="15" hidden="false" customHeight="false" outlineLevel="0" collapsed="false">
      <c r="A2921" s="0" t="str">
        <f aca="false">IF(COMPRAS!K1721="","",COMPRAS!K1721)</f>
        <v/>
      </c>
      <c r="B2921" s="0" t="str">
        <f aca="false">IF(A2921="","",IF(MATCH(A2921,$A$2:$A$3201,0)=ROW()-1,1,0))</f>
        <v/>
      </c>
      <c r="C2921" s="0" t="str">
        <f aca="false">IF(B2921=1,MAX(C$1:C2920)+1,"")</f>
        <v/>
      </c>
    </row>
    <row r="2922" customFormat="false" ht="15" hidden="false" customHeight="false" outlineLevel="0" collapsed="false">
      <c r="A2922" s="0" t="str">
        <f aca="false">IF(COMPRAS!K1722="","",COMPRAS!K1722)</f>
        <v/>
      </c>
      <c r="B2922" s="0" t="str">
        <f aca="false">IF(A2922="","",IF(MATCH(A2922,$A$2:$A$3201,0)=ROW()-1,1,0))</f>
        <v/>
      </c>
      <c r="C2922" s="0" t="str">
        <f aca="false">IF(B2922=1,MAX(C$1:C2921)+1,"")</f>
        <v/>
      </c>
    </row>
    <row r="2923" customFormat="false" ht="15" hidden="false" customHeight="false" outlineLevel="0" collapsed="false">
      <c r="A2923" s="0" t="str">
        <f aca="false">IF(COMPRAS!K1723="","",COMPRAS!K1723)</f>
        <v/>
      </c>
      <c r="B2923" s="0" t="str">
        <f aca="false">IF(A2923="","",IF(MATCH(A2923,$A$2:$A$3201,0)=ROW()-1,1,0))</f>
        <v/>
      </c>
      <c r="C2923" s="0" t="str">
        <f aca="false">IF(B2923=1,MAX(C$1:C2922)+1,"")</f>
        <v/>
      </c>
    </row>
    <row r="2924" customFormat="false" ht="15" hidden="false" customHeight="false" outlineLevel="0" collapsed="false">
      <c r="A2924" s="0" t="str">
        <f aca="false">IF(COMPRAS!K1724="","",COMPRAS!K1724)</f>
        <v/>
      </c>
      <c r="B2924" s="0" t="str">
        <f aca="false">IF(A2924="","",IF(MATCH(A2924,$A$2:$A$3201,0)=ROW()-1,1,0))</f>
        <v/>
      </c>
      <c r="C2924" s="0" t="str">
        <f aca="false">IF(B2924=1,MAX(C$1:C2923)+1,"")</f>
        <v/>
      </c>
    </row>
    <row r="2925" customFormat="false" ht="15" hidden="false" customHeight="false" outlineLevel="0" collapsed="false">
      <c r="A2925" s="0" t="str">
        <f aca="false">IF(COMPRAS!K1725="","",COMPRAS!K1725)</f>
        <v/>
      </c>
      <c r="B2925" s="0" t="str">
        <f aca="false">IF(A2925="","",IF(MATCH(A2925,$A$2:$A$3201,0)=ROW()-1,1,0))</f>
        <v/>
      </c>
      <c r="C2925" s="0" t="str">
        <f aca="false">IF(B2925=1,MAX(C$1:C2924)+1,"")</f>
        <v/>
      </c>
    </row>
    <row r="2926" customFormat="false" ht="15" hidden="false" customHeight="false" outlineLevel="0" collapsed="false">
      <c r="A2926" s="0" t="str">
        <f aca="false">IF(COMPRAS!K1726="","",COMPRAS!K1726)</f>
        <v/>
      </c>
      <c r="B2926" s="0" t="str">
        <f aca="false">IF(A2926="","",IF(MATCH(A2926,$A$2:$A$3201,0)=ROW()-1,1,0))</f>
        <v/>
      </c>
      <c r="C2926" s="0" t="str">
        <f aca="false">IF(B2926=1,MAX(C$1:C2925)+1,"")</f>
        <v/>
      </c>
    </row>
    <row r="2927" customFormat="false" ht="15" hidden="false" customHeight="false" outlineLevel="0" collapsed="false">
      <c r="A2927" s="0" t="str">
        <f aca="false">IF(COMPRAS!K1727="","",COMPRAS!K1727)</f>
        <v/>
      </c>
      <c r="B2927" s="0" t="str">
        <f aca="false">IF(A2927="","",IF(MATCH(A2927,$A$2:$A$3201,0)=ROW()-1,1,0))</f>
        <v/>
      </c>
      <c r="C2927" s="0" t="str">
        <f aca="false">IF(B2927=1,MAX(C$1:C2926)+1,"")</f>
        <v/>
      </c>
    </row>
    <row r="2928" customFormat="false" ht="15" hidden="false" customHeight="false" outlineLevel="0" collapsed="false">
      <c r="A2928" s="0" t="str">
        <f aca="false">IF(COMPRAS!K1728="","",COMPRAS!K1728)</f>
        <v/>
      </c>
      <c r="B2928" s="0" t="str">
        <f aca="false">IF(A2928="","",IF(MATCH(A2928,$A$2:$A$3201,0)=ROW()-1,1,0))</f>
        <v/>
      </c>
      <c r="C2928" s="0" t="str">
        <f aca="false">IF(B2928=1,MAX(C$1:C2927)+1,"")</f>
        <v/>
      </c>
    </row>
    <row r="2929" customFormat="false" ht="15" hidden="false" customHeight="false" outlineLevel="0" collapsed="false">
      <c r="A2929" s="0" t="str">
        <f aca="false">IF(COMPRAS!K1729="","",COMPRAS!K1729)</f>
        <v/>
      </c>
      <c r="B2929" s="0" t="str">
        <f aca="false">IF(A2929="","",IF(MATCH(A2929,$A$2:$A$3201,0)=ROW()-1,1,0))</f>
        <v/>
      </c>
      <c r="C2929" s="0" t="str">
        <f aca="false">IF(B2929=1,MAX(C$1:C2928)+1,"")</f>
        <v/>
      </c>
    </row>
    <row r="2930" customFormat="false" ht="15" hidden="false" customHeight="false" outlineLevel="0" collapsed="false">
      <c r="A2930" s="0" t="str">
        <f aca="false">IF(COMPRAS!K1730="","",COMPRAS!K1730)</f>
        <v/>
      </c>
      <c r="B2930" s="0" t="str">
        <f aca="false">IF(A2930="","",IF(MATCH(A2930,$A$2:$A$3201,0)=ROW()-1,1,0))</f>
        <v/>
      </c>
      <c r="C2930" s="0" t="str">
        <f aca="false">IF(B2930=1,MAX(C$1:C2929)+1,"")</f>
        <v/>
      </c>
    </row>
    <row r="2931" customFormat="false" ht="15" hidden="false" customHeight="false" outlineLevel="0" collapsed="false">
      <c r="A2931" s="0" t="str">
        <f aca="false">IF(COMPRAS!K1731="","",COMPRAS!K1731)</f>
        <v/>
      </c>
      <c r="B2931" s="0" t="str">
        <f aca="false">IF(A2931="","",IF(MATCH(A2931,$A$2:$A$3201,0)=ROW()-1,1,0))</f>
        <v/>
      </c>
      <c r="C2931" s="0" t="str">
        <f aca="false">IF(B2931=1,MAX(C$1:C2930)+1,"")</f>
        <v/>
      </c>
    </row>
    <row r="2932" customFormat="false" ht="15" hidden="false" customHeight="false" outlineLevel="0" collapsed="false">
      <c r="A2932" s="0" t="str">
        <f aca="false">IF(COMPRAS!K1732="","",COMPRAS!K1732)</f>
        <v/>
      </c>
      <c r="B2932" s="0" t="str">
        <f aca="false">IF(A2932="","",IF(MATCH(A2932,$A$2:$A$3201,0)=ROW()-1,1,0))</f>
        <v/>
      </c>
      <c r="C2932" s="0" t="str">
        <f aca="false">IF(B2932=1,MAX(C$1:C2931)+1,"")</f>
        <v/>
      </c>
    </row>
    <row r="2933" customFormat="false" ht="15" hidden="false" customHeight="false" outlineLevel="0" collapsed="false">
      <c r="A2933" s="0" t="str">
        <f aca="false">IF(COMPRAS!K1733="","",COMPRAS!K1733)</f>
        <v/>
      </c>
      <c r="B2933" s="0" t="str">
        <f aca="false">IF(A2933="","",IF(MATCH(A2933,$A$2:$A$3201,0)=ROW()-1,1,0))</f>
        <v/>
      </c>
      <c r="C2933" s="0" t="str">
        <f aca="false">IF(B2933=1,MAX(C$1:C2932)+1,"")</f>
        <v/>
      </c>
    </row>
    <row r="2934" customFormat="false" ht="15" hidden="false" customHeight="false" outlineLevel="0" collapsed="false">
      <c r="A2934" s="0" t="str">
        <f aca="false">IF(COMPRAS!K1734="","",COMPRAS!K1734)</f>
        <v/>
      </c>
      <c r="B2934" s="0" t="str">
        <f aca="false">IF(A2934="","",IF(MATCH(A2934,$A$2:$A$3201,0)=ROW()-1,1,0))</f>
        <v/>
      </c>
      <c r="C2934" s="0" t="str">
        <f aca="false">IF(B2934=1,MAX(C$1:C2933)+1,"")</f>
        <v/>
      </c>
    </row>
    <row r="2935" customFormat="false" ht="15" hidden="false" customHeight="false" outlineLevel="0" collapsed="false">
      <c r="A2935" s="0" t="str">
        <f aca="false">IF(COMPRAS!K1735="","",COMPRAS!K1735)</f>
        <v/>
      </c>
      <c r="B2935" s="0" t="str">
        <f aca="false">IF(A2935="","",IF(MATCH(A2935,$A$2:$A$3201,0)=ROW()-1,1,0))</f>
        <v/>
      </c>
      <c r="C2935" s="0" t="str">
        <f aca="false">IF(B2935=1,MAX(C$1:C2934)+1,"")</f>
        <v/>
      </c>
    </row>
    <row r="2936" customFormat="false" ht="15" hidden="false" customHeight="false" outlineLevel="0" collapsed="false">
      <c r="A2936" s="0" t="str">
        <f aca="false">IF(COMPRAS!K1736="","",COMPRAS!K1736)</f>
        <v/>
      </c>
      <c r="B2936" s="0" t="str">
        <f aca="false">IF(A2936="","",IF(MATCH(A2936,$A$2:$A$3201,0)=ROW()-1,1,0))</f>
        <v/>
      </c>
      <c r="C2936" s="0" t="str">
        <f aca="false">IF(B2936=1,MAX(C$1:C2935)+1,"")</f>
        <v/>
      </c>
    </row>
    <row r="2937" customFormat="false" ht="15" hidden="false" customHeight="false" outlineLevel="0" collapsed="false">
      <c r="A2937" s="0" t="str">
        <f aca="false">IF(COMPRAS!K1737="","",COMPRAS!K1737)</f>
        <v/>
      </c>
      <c r="B2937" s="0" t="str">
        <f aca="false">IF(A2937="","",IF(MATCH(A2937,$A$2:$A$3201,0)=ROW()-1,1,0))</f>
        <v/>
      </c>
      <c r="C2937" s="0" t="str">
        <f aca="false">IF(B2937=1,MAX(C$1:C2936)+1,"")</f>
        <v/>
      </c>
    </row>
    <row r="2938" customFormat="false" ht="15" hidden="false" customHeight="false" outlineLevel="0" collapsed="false">
      <c r="A2938" s="0" t="str">
        <f aca="false">IF(COMPRAS!K1738="","",COMPRAS!K1738)</f>
        <v/>
      </c>
      <c r="B2938" s="0" t="str">
        <f aca="false">IF(A2938="","",IF(MATCH(A2938,$A$2:$A$3201,0)=ROW()-1,1,0))</f>
        <v/>
      </c>
      <c r="C2938" s="0" t="str">
        <f aca="false">IF(B2938=1,MAX(C$1:C2937)+1,"")</f>
        <v/>
      </c>
    </row>
    <row r="2939" customFormat="false" ht="15" hidden="false" customHeight="false" outlineLevel="0" collapsed="false">
      <c r="A2939" s="0" t="str">
        <f aca="false">IF(COMPRAS!K1739="","",COMPRAS!K1739)</f>
        <v/>
      </c>
      <c r="B2939" s="0" t="str">
        <f aca="false">IF(A2939="","",IF(MATCH(A2939,$A$2:$A$3201,0)=ROW()-1,1,0))</f>
        <v/>
      </c>
      <c r="C2939" s="0" t="str">
        <f aca="false">IF(B2939=1,MAX(C$1:C2938)+1,"")</f>
        <v/>
      </c>
    </row>
    <row r="2940" customFormat="false" ht="15" hidden="false" customHeight="false" outlineLevel="0" collapsed="false">
      <c r="A2940" s="0" t="str">
        <f aca="false">IF(COMPRAS!K1740="","",COMPRAS!K1740)</f>
        <v/>
      </c>
      <c r="B2940" s="0" t="str">
        <f aca="false">IF(A2940="","",IF(MATCH(A2940,$A$2:$A$3201,0)=ROW()-1,1,0))</f>
        <v/>
      </c>
      <c r="C2940" s="0" t="str">
        <f aca="false">IF(B2940=1,MAX(C$1:C2939)+1,"")</f>
        <v/>
      </c>
    </row>
    <row r="2941" customFormat="false" ht="15" hidden="false" customHeight="false" outlineLevel="0" collapsed="false">
      <c r="A2941" s="0" t="str">
        <f aca="false">IF(COMPRAS!K1741="","",COMPRAS!K1741)</f>
        <v/>
      </c>
      <c r="B2941" s="0" t="str">
        <f aca="false">IF(A2941="","",IF(MATCH(A2941,$A$2:$A$3201,0)=ROW()-1,1,0))</f>
        <v/>
      </c>
      <c r="C2941" s="0" t="str">
        <f aca="false">IF(B2941=1,MAX(C$1:C2940)+1,"")</f>
        <v/>
      </c>
    </row>
    <row r="2942" customFormat="false" ht="15" hidden="false" customHeight="false" outlineLevel="0" collapsed="false">
      <c r="A2942" s="0" t="str">
        <f aca="false">IF(COMPRAS!K1742="","",COMPRAS!K1742)</f>
        <v/>
      </c>
      <c r="B2942" s="0" t="str">
        <f aca="false">IF(A2942="","",IF(MATCH(A2942,$A$2:$A$3201,0)=ROW()-1,1,0))</f>
        <v/>
      </c>
      <c r="C2942" s="0" t="str">
        <f aca="false">IF(B2942=1,MAX(C$1:C2941)+1,"")</f>
        <v/>
      </c>
    </row>
    <row r="2943" customFormat="false" ht="15" hidden="false" customHeight="false" outlineLevel="0" collapsed="false">
      <c r="A2943" s="0" t="str">
        <f aca="false">IF(COMPRAS!K1743="","",COMPRAS!K1743)</f>
        <v/>
      </c>
      <c r="B2943" s="0" t="str">
        <f aca="false">IF(A2943="","",IF(MATCH(A2943,$A$2:$A$3201,0)=ROW()-1,1,0))</f>
        <v/>
      </c>
      <c r="C2943" s="0" t="str">
        <f aca="false">IF(B2943=1,MAX(C$1:C2942)+1,"")</f>
        <v/>
      </c>
    </row>
    <row r="2944" customFormat="false" ht="15" hidden="false" customHeight="false" outlineLevel="0" collapsed="false">
      <c r="A2944" s="0" t="str">
        <f aca="false">IF(COMPRAS!K1744="","",COMPRAS!K1744)</f>
        <v/>
      </c>
      <c r="B2944" s="0" t="str">
        <f aca="false">IF(A2944="","",IF(MATCH(A2944,$A$2:$A$3201,0)=ROW()-1,1,0))</f>
        <v/>
      </c>
      <c r="C2944" s="0" t="str">
        <f aca="false">IF(B2944=1,MAX(C$1:C2943)+1,"")</f>
        <v/>
      </c>
    </row>
    <row r="2945" customFormat="false" ht="15" hidden="false" customHeight="false" outlineLevel="0" collapsed="false">
      <c r="A2945" s="0" t="str">
        <f aca="false">IF(COMPRAS!K1745="","",COMPRAS!K1745)</f>
        <v/>
      </c>
      <c r="B2945" s="0" t="str">
        <f aca="false">IF(A2945="","",IF(MATCH(A2945,$A$2:$A$3201,0)=ROW()-1,1,0))</f>
        <v/>
      </c>
      <c r="C2945" s="0" t="str">
        <f aca="false">IF(B2945=1,MAX(C$1:C2944)+1,"")</f>
        <v/>
      </c>
    </row>
    <row r="2946" customFormat="false" ht="15" hidden="false" customHeight="false" outlineLevel="0" collapsed="false">
      <c r="A2946" s="0" t="str">
        <f aca="false">IF(COMPRAS!K1746="","",COMPRAS!K1746)</f>
        <v/>
      </c>
      <c r="B2946" s="0" t="str">
        <f aca="false">IF(A2946="","",IF(MATCH(A2946,$A$2:$A$3201,0)=ROW()-1,1,0))</f>
        <v/>
      </c>
      <c r="C2946" s="0" t="str">
        <f aca="false">IF(B2946=1,MAX(C$1:C2945)+1,"")</f>
        <v/>
      </c>
    </row>
    <row r="2947" customFormat="false" ht="15" hidden="false" customHeight="false" outlineLevel="0" collapsed="false">
      <c r="A2947" s="0" t="str">
        <f aca="false">IF(COMPRAS!K1747="","",COMPRAS!K1747)</f>
        <v/>
      </c>
      <c r="B2947" s="0" t="str">
        <f aca="false">IF(A2947="","",IF(MATCH(A2947,$A$2:$A$3201,0)=ROW()-1,1,0))</f>
        <v/>
      </c>
      <c r="C2947" s="0" t="str">
        <f aca="false">IF(B2947=1,MAX(C$1:C2946)+1,"")</f>
        <v/>
      </c>
    </row>
    <row r="2948" customFormat="false" ht="15" hidden="false" customHeight="false" outlineLevel="0" collapsed="false">
      <c r="A2948" s="0" t="str">
        <f aca="false">IF(COMPRAS!K1748="","",COMPRAS!K1748)</f>
        <v/>
      </c>
      <c r="B2948" s="0" t="str">
        <f aca="false">IF(A2948="","",IF(MATCH(A2948,$A$2:$A$3201,0)=ROW()-1,1,0))</f>
        <v/>
      </c>
      <c r="C2948" s="0" t="str">
        <f aca="false">IF(B2948=1,MAX(C$1:C2947)+1,"")</f>
        <v/>
      </c>
    </row>
    <row r="2949" customFormat="false" ht="15" hidden="false" customHeight="false" outlineLevel="0" collapsed="false">
      <c r="A2949" s="0" t="str">
        <f aca="false">IF(COMPRAS!K1749="","",COMPRAS!K1749)</f>
        <v/>
      </c>
      <c r="B2949" s="0" t="str">
        <f aca="false">IF(A2949="","",IF(MATCH(A2949,$A$2:$A$3201,0)=ROW()-1,1,0))</f>
        <v/>
      </c>
      <c r="C2949" s="0" t="str">
        <f aca="false">IF(B2949=1,MAX(C$1:C2948)+1,"")</f>
        <v/>
      </c>
    </row>
    <row r="2950" customFormat="false" ht="15" hidden="false" customHeight="false" outlineLevel="0" collapsed="false">
      <c r="A2950" s="0" t="str">
        <f aca="false">IF(COMPRAS!K1750="","",COMPRAS!K1750)</f>
        <v/>
      </c>
      <c r="B2950" s="0" t="str">
        <f aca="false">IF(A2950="","",IF(MATCH(A2950,$A$2:$A$3201,0)=ROW()-1,1,0))</f>
        <v/>
      </c>
      <c r="C2950" s="0" t="str">
        <f aca="false">IF(B2950=1,MAX(C$1:C2949)+1,"")</f>
        <v/>
      </c>
    </row>
    <row r="2951" customFormat="false" ht="15" hidden="false" customHeight="false" outlineLevel="0" collapsed="false">
      <c r="A2951" s="0" t="str">
        <f aca="false">IF(COMPRAS!K1751="","",COMPRAS!K1751)</f>
        <v/>
      </c>
      <c r="B2951" s="0" t="str">
        <f aca="false">IF(A2951="","",IF(MATCH(A2951,$A$2:$A$3201,0)=ROW()-1,1,0))</f>
        <v/>
      </c>
      <c r="C2951" s="0" t="str">
        <f aca="false">IF(B2951=1,MAX(C$1:C2950)+1,"")</f>
        <v/>
      </c>
    </row>
    <row r="2952" customFormat="false" ht="15" hidden="false" customHeight="false" outlineLevel="0" collapsed="false">
      <c r="A2952" s="0" t="str">
        <f aca="false">IF(COMPRAS!K1752="","",COMPRAS!K1752)</f>
        <v/>
      </c>
      <c r="B2952" s="0" t="str">
        <f aca="false">IF(A2952="","",IF(MATCH(A2952,$A$2:$A$3201,0)=ROW()-1,1,0))</f>
        <v/>
      </c>
      <c r="C2952" s="0" t="str">
        <f aca="false">IF(B2952=1,MAX(C$1:C2951)+1,"")</f>
        <v/>
      </c>
    </row>
    <row r="2953" customFormat="false" ht="15" hidden="false" customHeight="false" outlineLevel="0" collapsed="false">
      <c r="A2953" s="0" t="str">
        <f aca="false">IF(COMPRAS!K1753="","",COMPRAS!K1753)</f>
        <v/>
      </c>
      <c r="B2953" s="0" t="str">
        <f aca="false">IF(A2953="","",IF(MATCH(A2953,$A$2:$A$3201,0)=ROW()-1,1,0))</f>
        <v/>
      </c>
      <c r="C2953" s="0" t="str">
        <f aca="false">IF(B2953=1,MAX(C$1:C2952)+1,"")</f>
        <v/>
      </c>
    </row>
    <row r="2954" customFormat="false" ht="15" hidden="false" customHeight="false" outlineLevel="0" collapsed="false">
      <c r="A2954" s="0" t="str">
        <f aca="false">IF(COMPRAS!K1754="","",COMPRAS!K1754)</f>
        <v/>
      </c>
      <c r="B2954" s="0" t="str">
        <f aca="false">IF(A2954="","",IF(MATCH(A2954,$A$2:$A$3201,0)=ROW()-1,1,0))</f>
        <v/>
      </c>
      <c r="C2954" s="0" t="str">
        <f aca="false">IF(B2954=1,MAX(C$1:C2953)+1,"")</f>
        <v/>
      </c>
    </row>
    <row r="2955" customFormat="false" ht="15" hidden="false" customHeight="false" outlineLevel="0" collapsed="false">
      <c r="A2955" s="0" t="str">
        <f aca="false">IF(COMPRAS!K1755="","",COMPRAS!K1755)</f>
        <v/>
      </c>
      <c r="B2955" s="0" t="str">
        <f aca="false">IF(A2955="","",IF(MATCH(A2955,$A$2:$A$3201,0)=ROW()-1,1,0))</f>
        <v/>
      </c>
      <c r="C2955" s="0" t="str">
        <f aca="false">IF(B2955=1,MAX(C$1:C2954)+1,"")</f>
        <v/>
      </c>
    </row>
    <row r="2956" customFormat="false" ht="15" hidden="false" customHeight="false" outlineLevel="0" collapsed="false">
      <c r="A2956" s="0" t="str">
        <f aca="false">IF(COMPRAS!K1756="","",COMPRAS!K1756)</f>
        <v/>
      </c>
      <c r="B2956" s="0" t="str">
        <f aca="false">IF(A2956="","",IF(MATCH(A2956,$A$2:$A$3201,0)=ROW()-1,1,0))</f>
        <v/>
      </c>
      <c r="C2956" s="0" t="str">
        <f aca="false">IF(B2956=1,MAX(C$1:C2955)+1,"")</f>
        <v/>
      </c>
    </row>
    <row r="2957" customFormat="false" ht="15" hidden="false" customHeight="false" outlineLevel="0" collapsed="false">
      <c r="A2957" s="0" t="str">
        <f aca="false">IF(COMPRAS!K1757="","",COMPRAS!K1757)</f>
        <v/>
      </c>
      <c r="B2957" s="0" t="str">
        <f aca="false">IF(A2957="","",IF(MATCH(A2957,$A$2:$A$3201,0)=ROW()-1,1,0))</f>
        <v/>
      </c>
      <c r="C2957" s="0" t="str">
        <f aca="false">IF(B2957=1,MAX(C$1:C2956)+1,"")</f>
        <v/>
      </c>
    </row>
    <row r="2958" customFormat="false" ht="15" hidden="false" customHeight="false" outlineLevel="0" collapsed="false">
      <c r="A2958" s="0" t="str">
        <f aca="false">IF(COMPRAS!K1758="","",COMPRAS!K1758)</f>
        <v/>
      </c>
      <c r="B2958" s="0" t="str">
        <f aca="false">IF(A2958="","",IF(MATCH(A2958,$A$2:$A$3201,0)=ROW()-1,1,0))</f>
        <v/>
      </c>
      <c r="C2958" s="0" t="str">
        <f aca="false">IF(B2958=1,MAX(C$1:C2957)+1,"")</f>
        <v/>
      </c>
    </row>
    <row r="2959" customFormat="false" ht="15" hidden="false" customHeight="false" outlineLevel="0" collapsed="false">
      <c r="A2959" s="0" t="str">
        <f aca="false">IF(COMPRAS!K1759="","",COMPRAS!K1759)</f>
        <v/>
      </c>
      <c r="B2959" s="0" t="str">
        <f aca="false">IF(A2959="","",IF(MATCH(A2959,$A$2:$A$3201,0)=ROW()-1,1,0))</f>
        <v/>
      </c>
      <c r="C2959" s="0" t="str">
        <f aca="false">IF(B2959=1,MAX(C$1:C2958)+1,"")</f>
        <v/>
      </c>
    </row>
    <row r="2960" customFormat="false" ht="15" hidden="false" customHeight="false" outlineLevel="0" collapsed="false">
      <c r="A2960" s="0" t="str">
        <f aca="false">IF(COMPRAS!K1760="","",COMPRAS!K1760)</f>
        <v/>
      </c>
      <c r="B2960" s="0" t="str">
        <f aca="false">IF(A2960="","",IF(MATCH(A2960,$A$2:$A$3201,0)=ROW()-1,1,0))</f>
        <v/>
      </c>
      <c r="C2960" s="0" t="str">
        <f aca="false">IF(B2960=1,MAX(C$1:C2959)+1,"")</f>
        <v/>
      </c>
    </row>
    <row r="2961" customFormat="false" ht="15" hidden="false" customHeight="false" outlineLevel="0" collapsed="false">
      <c r="A2961" s="0" t="str">
        <f aca="false">IF(COMPRAS!K1761="","",COMPRAS!K1761)</f>
        <v/>
      </c>
      <c r="B2961" s="0" t="str">
        <f aca="false">IF(A2961="","",IF(MATCH(A2961,$A$2:$A$3201,0)=ROW()-1,1,0))</f>
        <v/>
      </c>
      <c r="C2961" s="0" t="str">
        <f aca="false">IF(B2961=1,MAX(C$1:C2960)+1,"")</f>
        <v/>
      </c>
    </row>
    <row r="2962" customFormat="false" ht="15" hidden="false" customHeight="false" outlineLevel="0" collapsed="false">
      <c r="A2962" s="0" t="str">
        <f aca="false">IF(COMPRAS!K1762="","",COMPRAS!K1762)</f>
        <v/>
      </c>
      <c r="B2962" s="0" t="str">
        <f aca="false">IF(A2962="","",IF(MATCH(A2962,$A$2:$A$3201,0)=ROW()-1,1,0))</f>
        <v/>
      </c>
      <c r="C2962" s="0" t="str">
        <f aca="false">IF(B2962=1,MAX(C$1:C2961)+1,"")</f>
        <v/>
      </c>
    </row>
    <row r="2963" customFormat="false" ht="15" hidden="false" customHeight="false" outlineLevel="0" collapsed="false">
      <c r="A2963" s="0" t="str">
        <f aca="false">IF(COMPRAS!K1763="","",COMPRAS!K1763)</f>
        <v/>
      </c>
      <c r="B2963" s="0" t="str">
        <f aca="false">IF(A2963="","",IF(MATCH(A2963,$A$2:$A$3201,0)=ROW()-1,1,0))</f>
        <v/>
      </c>
      <c r="C2963" s="0" t="str">
        <f aca="false">IF(B2963=1,MAX(C$1:C2962)+1,"")</f>
        <v/>
      </c>
    </row>
    <row r="2964" customFormat="false" ht="15" hidden="false" customHeight="false" outlineLevel="0" collapsed="false">
      <c r="A2964" s="0" t="str">
        <f aca="false">IF(COMPRAS!K1764="","",COMPRAS!K1764)</f>
        <v/>
      </c>
      <c r="B2964" s="0" t="str">
        <f aca="false">IF(A2964="","",IF(MATCH(A2964,$A$2:$A$3201,0)=ROW()-1,1,0))</f>
        <v/>
      </c>
      <c r="C2964" s="0" t="str">
        <f aca="false">IF(B2964=1,MAX(C$1:C2963)+1,"")</f>
        <v/>
      </c>
    </row>
    <row r="2965" customFormat="false" ht="15" hidden="false" customHeight="false" outlineLevel="0" collapsed="false">
      <c r="A2965" s="0" t="str">
        <f aca="false">IF(COMPRAS!K1765="","",COMPRAS!K1765)</f>
        <v/>
      </c>
      <c r="B2965" s="0" t="str">
        <f aca="false">IF(A2965="","",IF(MATCH(A2965,$A$2:$A$3201,0)=ROW()-1,1,0))</f>
        <v/>
      </c>
      <c r="C2965" s="0" t="str">
        <f aca="false">IF(B2965=1,MAX(C$1:C2964)+1,"")</f>
        <v/>
      </c>
    </row>
    <row r="2966" customFormat="false" ht="15" hidden="false" customHeight="false" outlineLevel="0" collapsed="false">
      <c r="A2966" s="0" t="str">
        <f aca="false">IF(COMPRAS!K1766="","",COMPRAS!K1766)</f>
        <v/>
      </c>
      <c r="B2966" s="0" t="str">
        <f aca="false">IF(A2966="","",IF(MATCH(A2966,$A$2:$A$3201,0)=ROW()-1,1,0))</f>
        <v/>
      </c>
      <c r="C2966" s="0" t="str">
        <f aca="false">IF(B2966=1,MAX(C$1:C2965)+1,"")</f>
        <v/>
      </c>
    </row>
    <row r="2967" customFormat="false" ht="15" hidden="false" customHeight="false" outlineLevel="0" collapsed="false">
      <c r="A2967" s="0" t="str">
        <f aca="false">IF(COMPRAS!K1767="","",COMPRAS!K1767)</f>
        <v/>
      </c>
      <c r="B2967" s="0" t="str">
        <f aca="false">IF(A2967="","",IF(MATCH(A2967,$A$2:$A$3201,0)=ROW()-1,1,0))</f>
        <v/>
      </c>
      <c r="C2967" s="0" t="str">
        <f aca="false">IF(B2967=1,MAX(C$1:C2966)+1,"")</f>
        <v/>
      </c>
    </row>
    <row r="2968" customFormat="false" ht="15" hidden="false" customHeight="false" outlineLevel="0" collapsed="false">
      <c r="A2968" s="0" t="str">
        <f aca="false">IF(COMPRAS!K1768="","",COMPRAS!K1768)</f>
        <v/>
      </c>
      <c r="B2968" s="0" t="str">
        <f aca="false">IF(A2968="","",IF(MATCH(A2968,$A$2:$A$3201,0)=ROW()-1,1,0))</f>
        <v/>
      </c>
      <c r="C2968" s="0" t="str">
        <f aca="false">IF(B2968=1,MAX(C$1:C2967)+1,"")</f>
        <v/>
      </c>
    </row>
    <row r="2969" customFormat="false" ht="15" hidden="false" customHeight="false" outlineLevel="0" collapsed="false">
      <c r="A2969" s="0" t="str">
        <f aca="false">IF(COMPRAS!K1769="","",COMPRAS!K1769)</f>
        <v/>
      </c>
      <c r="B2969" s="0" t="str">
        <f aca="false">IF(A2969="","",IF(MATCH(A2969,$A$2:$A$3201,0)=ROW()-1,1,0))</f>
        <v/>
      </c>
      <c r="C2969" s="0" t="str">
        <f aca="false">IF(B2969=1,MAX(C$1:C2968)+1,"")</f>
        <v/>
      </c>
    </row>
    <row r="2970" customFormat="false" ht="15" hidden="false" customHeight="false" outlineLevel="0" collapsed="false">
      <c r="A2970" s="0" t="str">
        <f aca="false">IF(COMPRAS!K1770="","",COMPRAS!K1770)</f>
        <v/>
      </c>
      <c r="B2970" s="0" t="str">
        <f aca="false">IF(A2970="","",IF(MATCH(A2970,$A$2:$A$3201,0)=ROW()-1,1,0))</f>
        <v/>
      </c>
      <c r="C2970" s="0" t="str">
        <f aca="false">IF(B2970=1,MAX(C$1:C2969)+1,"")</f>
        <v/>
      </c>
    </row>
    <row r="2971" customFormat="false" ht="15" hidden="false" customHeight="false" outlineLevel="0" collapsed="false">
      <c r="A2971" s="0" t="str">
        <f aca="false">IF(COMPRAS!K1771="","",COMPRAS!K1771)</f>
        <v/>
      </c>
      <c r="B2971" s="0" t="str">
        <f aca="false">IF(A2971="","",IF(MATCH(A2971,$A$2:$A$3201,0)=ROW()-1,1,0))</f>
        <v/>
      </c>
      <c r="C2971" s="0" t="str">
        <f aca="false">IF(B2971=1,MAX(C$1:C2970)+1,"")</f>
        <v/>
      </c>
    </row>
    <row r="2972" customFormat="false" ht="15" hidden="false" customHeight="false" outlineLevel="0" collapsed="false">
      <c r="A2972" s="0" t="str">
        <f aca="false">IF(COMPRAS!K1772="","",COMPRAS!K1772)</f>
        <v/>
      </c>
      <c r="B2972" s="0" t="str">
        <f aca="false">IF(A2972="","",IF(MATCH(A2972,$A$2:$A$3201,0)=ROW()-1,1,0))</f>
        <v/>
      </c>
      <c r="C2972" s="0" t="str">
        <f aca="false">IF(B2972=1,MAX(C$1:C2971)+1,"")</f>
        <v/>
      </c>
    </row>
    <row r="2973" customFormat="false" ht="15" hidden="false" customHeight="false" outlineLevel="0" collapsed="false">
      <c r="A2973" s="0" t="str">
        <f aca="false">IF(COMPRAS!K1773="","",COMPRAS!K1773)</f>
        <v/>
      </c>
      <c r="B2973" s="0" t="str">
        <f aca="false">IF(A2973="","",IF(MATCH(A2973,$A$2:$A$3201,0)=ROW()-1,1,0))</f>
        <v/>
      </c>
      <c r="C2973" s="0" t="str">
        <f aca="false">IF(B2973=1,MAX(C$1:C2972)+1,"")</f>
        <v/>
      </c>
    </row>
    <row r="2974" customFormat="false" ht="15" hidden="false" customHeight="false" outlineLevel="0" collapsed="false">
      <c r="A2974" s="0" t="str">
        <f aca="false">IF(COMPRAS!K1774="","",COMPRAS!K1774)</f>
        <v/>
      </c>
      <c r="B2974" s="0" t="str">
        <f aca="false">IF(A2974="","",IF(MATCH(A2974,$A$2:$A$3201,0)=ROW()-1,1,0))</f>
        <v/>
      </c>
      <c r="C2974" s="0" t="str">
        <f aca="false">IF(B2974=1,MAX(C$1:C2973)+1,"")</f>
        <v/>
      </c>
    </row>
    <row r="2975" customFormat="false" ht="15" hidden="false" customHeight="false" outlineLevel="0" collapsed="false">
      <c r="A2975" s="0" t="str">
        <f aca="false">IF(COMPRAS!K1775="","",COMPRAS!K1775)</f>
        <v/>
      </c>
      <c r="B2975" s="0" t="str">
        <f aca="false">IF(A2975="","",IF(MATCH(A2975,$A$2:$A$3201,0)=ROW()-1,1,0))</f>
        <v/>
      </c>
      <c r="C2975" s="0" t="str">
        <f aca="false">IF(B2975=1,MAX(C$1:C2974)+1,"")</f>
        <v/>
      </c>
    </row>
    <row r="2976" customFormat="false" ht="15" hidden="false" customHeight="false" outlineLevel="0" collapsed="false">
      <c r="A2976" s="0" t="str">
        <f aca="false">IF(COMPRAS!K1776="","",COMPRAS!K1776)</f>
        <v/>
      </c>
      <c r="B2976" s="0" t="str">
        <f aca="false">IF(A2976="","",IF(MATCH(A2976,$A$2:$A$3201,0)=ROW()-1,1,0))</f>
        <v/>
      </c>
      <c r="C2976" s="0" t="str">
        <f aca="false">IF(B2976=1,MAX(C$1:C2975)+1,"")</f>
        <v/>
      </c>
    </row>
    <row r="2977" customFormat="false" ht="15" hidden="false" customHeight="false" outlineLevel="0" collapsed="false">
      <c r="A2977" s="0" t="str">
        <f aca="false">IF(COMPRAS!K1777="","",COMPRAS!K1777)</f>
        <v/>
      </c>
      <c r="B2977" s="0" t="str">
        <f aca="false">IF(A2977="","",IF(MATCH(A2977,$A$2:$A$3201,0)=ROW()-1,1,0))</f>
        <v/>
      </c>
      <c r="C2977" s="0" t="str">
        <f aca="false">IF(B2977=1,MAX(C$1:C2976)+1,"")</f>
        <v/>
      </c>
    </row>
    <row r="2978" customFormat="false" ht="15" hidden="false" customHeight="false" outlineLevel="0" collapsed="false">
      <c r="A2978" s="0" t="str">
        <f aca="false">IF(COMPRAS!K1778="","",COMPRAS!K1778)</f>
        <v/>
      </c>
      <c r="B2978" s="0" t="str">
        <f aca="false">IF(A2978="","",IF(MATCH(A2978,$A$2:$A$3201,0)=ROW()-1,1,0))</f>
        <v/>
      </c>
      <c r="C2978" s="0" t="str">
        <f aca="false">IF(B2978=1,MAX(C$1:C2977)+1,"")</f>
        <v/>
      </c>
    </row>
    <row r="2979" customFormat="false" ht="15" hidden="false" customHeight="false" outlineLevel="0" collapsed="false">
      <c r="A2979" s="0" t="str">
        <f aca="false">IF(COMPRAS!K1779="","",COMPRAS!K1779)</f>
        <v/>
      </c>
      <c r="B2979" s="0" t="str">
        <f aca="false">IF(A2979="","",IF(MATCH(A2979,$A$2:$A$3201,0)=ROW()-1,1,0))</f>
        <v/>
      </c>
      <c r="C2979" s="0" t="str">
        <f aca="false">IF(B2979=1,MAX(C$1:C2978)+1,"")</f>
        <v/>
      </c>
    </row>
    <row r="2980" customFormat="false" ht="15" hidden="false" customHeight="false" outlineLevel="0" collapsed="false">
      <c r="A2980" s="0" t="str">
        <f aca="false">IF(COMPRAS!K1780="","",COMPRAS!K1780)</f>
        <v/>
      </c>
      <c r="B2980" s="0" t="str">
        <f aca="false">IF(A2980="","",IF(MATCH(A2980,$A$2:$A$3201,0)=ROW()-1,1,0))</f>
        <v/>
      </c>
      <c r="C2980" s="0" t="str">
        <f aca="false">IF(B2980=1,MAX(C$1:C2979)+1,"")</f>
        <v/>
      </c>
    </row>
    <row r="2981" customFormat="false" ht="15" hidden="false" customHeight="false" outlineLevel="0" collapsed="false">
      <c r="A2981" s="0" t="str">
        <f aca="false">IF(COMPRAS!K1781="","",COMPRAS!K1781)</f>
        <v/>
      </c>
      <c r="B2981" s="0" t="str">
        <f aca="false">IF(A2981="","",IF(MATCH(A2981,$A$2:$A$3201,0)=ROW()-1,1,0))</f>
        <v/>
      </c>
      <c r="C2981" s="0" t="str">
        <f aca="false">IF(B2981=1,MAX(C$1:C2980)+1,"")</f>
        <v/>
      </c>
    </row>
    <row r="2982" customFormat="false" ht="15" hidden="false" customHeight="false" outlineLevel="0" collapsed="false">
      <c r="A2982" s="0" t="str">
        <f aca="false">IF(COMPRAS!K1782="","",COMPRAS!K1782)</f>
        <v/>
      </c>
      <c r="B2982" s="0" t="str">
        <f aca="false">IF(A2982="","",IF(MATCH(A2982,$A$2:$A$3201,0)=ROW()-1,1,0))</f>
        <v/>
      </c>
      <c r="C2982" s="0" t="str">
        <f aca="false">IF(B2982=1,MAX(C$1:C2981)+1,"")</f>
        <v/>
      </c>
    </row>
    <row r="2983" customFormat="false" ht="15" hidden="false" customHeight="false" outlineLevel="0" collapsed="false">
      <c r="A2983" s="0" t="str">
        <f aca="false">IF(COMPRAS!K1783="","",COMPRAS!K1783)</f>
        <v/>
      </c>
      <c r="B2983" s="0" t="str">
        <f aca="false">IF(A2983="","",IF(MATCH(A2983,$A$2:$A$3201,0)=ROW()-1,1,0))</f>
        <v/>
      </c>
      <c r="C2983" s="0" t="str">
        <f aca="false">IF(B2983=1,MAX(C$1:C2982)+1,"")</f>
        <v/>
      </c>
    </row>
    <row r="2984" customFormat="false" ht="15" hidden="false" customHeight="false" outlineLevel="0" collapsed="false">
      <c r="A2984" s="0" t="str">
        <f aca="false">IF(COMPRAS!K1784="","",COMPRAS!K1784)</f>
        <v/>
      </c>
      <c r="B2984" s="0" t="str">
        <f aca="false">IF(A2984="","",IF(MATCH(A2984,$A$2:$A$3201,0)=ROW()-1,1,0))</f>
        <v/>
      </c>
      <c r="C2984" s="0" t="str">
        <f aca="false">IF(B2984=1,MAX(C$1:C2983)+1,"")</f>
        <v/>
      </c>
    </row>
    <row r="2985" customFormat="false" ht="15" hidden="false" customHeight="false" outlineLevel="0" collapsed="false">
      <c r="A2985" s="0" t="str">
        <f aca="false">IF(COMPRAS!K1785="","",COMPRAS!K1785)</f>
        <v/>
      </c>
      <c r="B2985" s="0" t="str">
        <f aca="false">IF(A2985="","",IF(MATCH(A2985,$A$2:$A$3201,0)=ROW()-1,1,0))</f>
        <v/>
      </c>
      <c r="C2985" s="0" t="str">
        <f aca="false">IF(B2985=1,MAX(C$1:C2984)+1,"")</f>
        <v/>
      </c>
    </row>
    <row r="2986" customFormat="false" ht="15" hidden="false" customHeight="false" outlineLevel="0" collapsed="false">
      <c r="A2986" s="0" t="str">
        <f aca="false">IF(COMPRAS!K1786="","",COMPRAS!K1786)</f>
        <v/>
      </c>
      <c r="B2986" s="0" t="str">
        <f aca="false">IF(A2986="","",IF(MATCH(A2986,$A$2:$A$3201,0)=ROW()-1,1,0))</f>
        <v/>
      </c>
      <c r="C2986" s="0" t="str">
        <f aca="false">IF(B2986=1,MAX(C$1:C2985)+1,"")</f>
        <v/>
      </c>
    </row>
    <row r="2987" customFormat="false" ht="15" hidden="false" customHeight="false" outlineLevel="0" collapsed="false">
      <c r="A2987" s="0" t="str">
        <f aca="false">IF(COMPRAS!K1787="","",COMPRAS!K1787)</f>
        <v/>
      </c>
      <c r="B2987" s="0" t="str">
        <f aca="false">IF(A2987="","",IF(MATCH(A2987,$A$2:$A$3201,0)=ROW()-1,1,0))</f>
        <v/>
      </c>
      <c r="C2987" s="0" t="str">
        <f aca="false">IF(B2987=1,MAX(C$1:C2986)+1,"")</f>
        <v/>
      </c>
    </row>
    <row r="2988" customFormat="false" ht="15" hidden="false" customHeight="false" outlineLevel="0" collapsed="false">
      <c r="A2988" s="0" t="str">
        <f aca="false">IF(COMPRAS!K1788="","",COMPRAS!K1788)</f>
        <v/>
      </c>
      <c r="B2988" s="0" t="str">
        <f aca="false">IF(A2988="","",IF(MATCH(A2988,$A$2:$A$3201,0)=ROW()-1,1,0))</f>
        <v/>
      </c>
      <c r="C2988" s="0" t="str">
        <f aca="false">IF(B2988=1,MAX(C$1:C2987)+1,"")</f>
        <v/>
      </c>
    </row>
    <row r="2989" customFormat="false" ht="15" hidden="false" customHeight="false" outlineLevel="0" collapsed="false">
      <c r="A2989" s="0" t="str">
        <f aca="false">IF(COMPRAS!K1789="","",COMPRAS!K1789)</f>
        <v/>
      </c>
      <c r="B2989" s="0" t="str">
        <f aca="false">IF(A2989="","",IF(MATCH(A2989,$A$2:$A$3201,0)=ROW()-1,1,0))</f>
        <v/>
      </c>
      <c r="C2989" s="0" t="str">
        <f aca="false">IF(B2989=1,MAX(C$1:C2988)+1,"")</f>
        <v/>
      </c>
    </row>
    <row r="2990" customFormat="false" ht="15" hidden="false" customHeight="false" outlineLevel="0" collapsed="false">
      <c r="A2990" s="0" t="str">
        <f aca="false">IF(COMPRAS!K1790="","",COMPRAS!K1790)</f>
        <v/>
      </c>
      <c r="B2990" s="0" t="str">
        <f aca="false">IF(A2990="","",IF(MATCH(A2990,$A$2:$A$3201,0)=ROW()-1,1,0))</f>
        <v/>
      </c>
      <c r="C2990" s="0" t="str">
        <f aca="false">IF(B2990=1,MAX(C$1:C2989)+1,"")</f>
        <v/>
      </c>
    </row>
    <row r="2991" customFormat="false" ht="15" hidden="false" customHeight="false" outlineLevel="0" collapsed="false">
      <c r="A2991" s="0" t="str">
        <f aca="false">IF(COMPRAS!K1791="","",COMPRAS!K1791)</f>
        <v/>
      </c>
      <c r="B2991" s="0" t="str">
        <f aca="false">IF(A2991="","",IF(MATCH(A2991,$A$2:$A$3201,0)=ROW()-1,1,0))</f>
        <v/>
      </c>
      <c r="C2991" s="0" t="str">
        <f aca="false">IF(B2991=1,MAX(C$1:C2990)+1,"")</f>
        <v/>
      </c>
    </row>
    <row r="2992" customFormat="false" ht="15" hidden="false" customHeight="false" outlineLevel="0" collapsed="false">
      <c r="A2992" s="0" t="str">
        <f aca="false">IF(COMPRAS!K1792="","",COMPRAS!K1792)</f>
        <v/>
      </c>
      <c r="B2992" s="0" t="str">
        <f aca="false">IF(A2992="","",IF(MATCH(A2992,$A$2:$A$3201,0)=ROW()-1,1,0))</f>
        <v/>
      </c>
      <c r="C2992" s="0" t="str">
        <f aca="false">IF(B2992=1,MAX(C$1:C2991)+1,"")</f>
        <v/>
      </c>
    </row>
    <row r="2993" customFormat="false" ht="15" hidden="false" customHeight="false" outlineLevel="0" collapsed="false">
      <c r="A2993" s="0" t="str">
        <f aca="false">IF(COMPRAS!K1793="","",COMPRAS!K1793)</f>
        <v/>
      </c>
      <c r="B2993" s="0" t="str">
        <f aca="false">IF(A2993="","",IF(MATCH(A2993,$A$2:$A$3201,0)=ROW()-1,1,0))</f>
        <v/>
      </c>
      <c r="C2993" s="0" t="str">
        <f aca="false">IF(B2993=1,MAX(C$1:C2992)+1,"")</f>
        <v/>
      </c>
    </row>
    <row r="2994" customFormat="false" ht="15" hidden="false" customHeight="false" outlineLevel="0" collapsed="false">
      <c r="A2994" s="0" t="str">
        <f aca="false">IF(COMPRAS!K1794="","",COMPRAS!K1794)</f>
        <v/>
      </c>
      <c r="B2994" s="0" t="str">
        <f aca="false">IF(A2994="","",IF(MATCH(A2994,$A$2:$A$3201,0)=ROW()-1,1,0))</f>
        <v/>
      </c>
      <c r="C2994" s="0" t="str">
        <f aca="false">IF(B2994=1,MAX(C$1:C2993)+1,"")</f>
        <v/>
      </c>
    </row>
    <row r="2995" customFormat="false" ht="15" hidden="false" customHeight="false" outlineLevel="0" collapsed="false">
      <c r="A2995" s="0" t="str">
        <f aca="false">IF(COMPRAS!K1795="","",COMPRAS!K1795)</f>
        <v/>
      </c>
      <c r="B2995" s="0" t="str">
        <f aca="false">IF(A2995="","",IF(MATCH(A2995,$A$2:$A$3201,0)=ROW()-1,1,0))</f>
        <v/>
      </c>
      <c r="C2995" s="0" t="str">
        <f aca="false">IF(B2995=1,MAX(C$1:C2994)+1,"")</f>
        <v/>
      </c>
    </row>
    <row r="2996" customFormat="false" ht="15" hidden="false" customHeight="false" outlineLevel="0" collapsed="false">
      <c r="A2996" s="0" t="str">
        <f aca="false">IF(COMPRAS!K1796="","",COMPRAS!K1796)</f>
        <v/>
      </c>
      <c r="B2996" s="0" t="str">
        <f aca="false">IF(A2996="","",IF(MATCH(A2996,$A$2:$A$3201,0)=ROW()-1,1,0))</f>
        <v/>
      </c>
      <c r="C2996" s="0" t="str">
        <f aca="false">IF(B2996=1,MAX(C$1:C2995)+1,"")</f>
        <v/>
      </c>
    </row>
    <row r="2997" customFormat="false" ht="15" hidden="false" customHeight="false" outlineLevel="0" collapsed="false">
      <c r="A2997" s="0" t="str">
        <f aca="false">IF(COMPRAS!K1797="","",COMPRAS!K1797)</f>
        <v/>
      </c>
      <c r="B2997" s="0" t="str">
        <f aca="false">IF(A2997="","",IF(MATCH(A2997,$A$2:$A$3201,0)=ROW()-1,1,0))</f>
        <v/>
      </c>
      <c r="C2997" s="0" t="str">
        <f aca="false">IF(B2997=1,MAX(C$1:C2996)+1,"")</f>
        <v/>
      </c>
    </row>
    <row r="2998" customFormat="false" ht="15" hidden="false" customHeight="false" outlineLevel="0" collapsed="false">
      <c r="A2998" s="0" t="str">
        <f aca="false">IF(COMPRAS!K1798="","",COMPRAS!K1798)</f>
        <v/>
      </c>
      <c r="B2998" s="0" t="str">
        <f aca="false">IF(A2998="","",IF(MATCH(A2998,$A$2:$A$3201,0)=ROW()-1,1,0))</f>
        <v/>
      </c>
      <c r="C2998" s="0" t="str">
        <f aca="false">IF(B2998=1,MAX(C$1:C2997)+1,"")</f>
        <v/>
      </c>
    </row>
    <row r="2999" customFormat="false" ht="15" hidden="false" customHeight="false" outlineLevel="0" collapsed="false">
      <c r="A2999" s="0" t="str">
        <f aca="false">IF(COMPRAS!K1799="","",COMPRAS!K1799)</f>
        <v/>
      </c>
      <c r="B2999" s="0" t="str">
        <f aca="false">IF(A2999="","",IF(MATCH(A2999,$A$2:$A$3201,0)=ROW()-1,1,0))</f>
        <v/>
      </c>
      <c r="C2999" s="0" t="str">
        <f aca="false">IF(B2999=1,MAX(C$1:C2998)+1,"")</f>
        <v/>
      </c>
    </row>
    <row r="3000" customFormat="false" ht="15" hidden="false" customHeight="false" outlineLevel="0" collapsed="false">
      <c r="A3000" s="0" t="str">
        <f aca="false">IF(COMPRAS!K1800="","",COMPRAS!K1800)</f>
        <v/>
      </c>
      <c r="B3000" s="0" t="str">
        <f aca="false">IF(A3000="","",IF(MATCH(A3000,$A$2:$A$3201,0)=ROW()-1,1,0))</f>
        <v/>
      </c>
      <c r="C3000" s="0" t="str">
        <f aca="false">IF(B3000=1,MAX(C$1:C2999)+1,"")</f>
        <v/>
      </c>
    </row>
    <row r="3001" customFormat="false" ht="15" hidden="false" customHeight="false" outlineLevel="0" collapsed="false">
      <c r="A3001" s="0" t="str">
        <f aca="false">IF(COMPRAS!K1801="","",COMPRAS!K1801)</f>
        <v/>
      </c>
      <c r="B3001" s="0" t="str">
        <f aca="false">IF(A3001="","",IF(MATCH(A3001,$A$2:$A$3201,0)=ROW()-1,1,0))</f>
        <v/>
      </c>
      <c r="C3001" s="0" t="str">
        <f aca="false">IF(B3001=1,MAX(C$1:C3000)+1,"")</f>
        <v/>
      </c>
    </row>
    <row r="3002" customFormat="false" ht="15" hidden="false" customHeight="false" outlineLevel="0" collapsed="false">
      <c r="A3002" s="0" t="str">
        <f aca="false">IF(COMPRAS!K1802="","",COMPRAS!K1802)</f>
        <v/>
      </c>
      <c r="B3002" s="0" t="str">
        <f aca="false">IF(A3002="","",IF(MATCH(A3002,$A$2:$A$3201,0)=ROW()-1,1,0))</f>
        <v/>
      </c>
      <c r="C3002" s="0" t="str">
        <f aca="false">IF(B3002=1,MAX(C$1:C3001)+1,"")</f>
        <v/>
      </c>
    </row>
    <row r="3003" customFormat="false" ht="15" hidden="false" customHeight="false" outlineLevel="0" collapsed="false">
      <c r="A3003" s="0" t="str">
        <f aca="false">IF(COMPRAS!K1803="","",COMPRAS!K1803)</f>
        <v/>
      </c>
      <c r="B3003" s="0" t="str">
        <f aca="false">IF(A3003="","",IF(MATCH(A3003,$A$2:$A$3201,0)=ROW()-1,1,0))</f>
        <v/>
      </c>
      <c r="C3003" s="0" t="str">
        <f aca="false">IF(B3003=1,MAX(C$1:C3002)+1,"")</f>
        <v/>
      </c>
    </row>
    <row r="3004" customFormat="false" ht="15" hidden="false" customHeight="false" outlineLevel="0" collapsed="false">
      <c r="A3004" s="0" t="str">
        <f aca="false">IF(COMPRAS!K1804="","",COMPRAS!K1804)</f>
        <v/>
      </c>
      <c r="B3004" s="0" t="str">
        <f aca="false">IF(A3004="","",IF(MATCH(A3004,$A$2:$A$3201,0)=ROW()-1,1,0))</f>
        <v/>
      </c>
      <c r="C3004" s="0" t="str">
        <f aca="false">IF(B3004=1,MAX(C$1:C3003)+1,"")</f>
        <v/>
      </c>
    </row>
    <row r="3005" customFormat="false" ht="15" hidden="false" customHeight="false" outlineLevel="0" collapsed="false">
      <c r="A3005" s="0" t="str">
        <f aca="false">IF(COMPRAS!K1805="","",COMPRAS!K1805)</f>
        <v/>
      </c>
      <c r="B3005" s="0" t="str">
        <f aca="false">IF(A3005="","",IF(MATCH(A3005,$A$2:$A$3201,0)=ROW()-1,1,0))</f>
        <v/>
      </c>
      <c r="C3005" s="0" t="str">
        <f aca="false">IF(B3005=1,MAX(C$1:C3004)+1,"")</f>
        <v/>
      </c>
    </row>
    <row r="3006" customFormat="false" ht="15" hidden="false" customHeight="false" outlineLevel="0" collapsed="false">
      <c r="A3006" s="0" t="str">
        <f aca="false">IF(COMPRAS!K1806="","",COMPRAS!K1806)</f>
        <v/>
      </c>
      <c r="B3006" s="0" t="str">
        <f aca="false">IF(A3006="","",IF(MATCH(A3006,$A$2:$A$3201,0)=ROW()-1,1,0))</f>
        <v/>
      </c>
      <c r="C3006" s="0" t="str">
        <f aca="false">IF(B3006=1,MAX(C$1:C3005)+1,"")</f>
        <v/>
      </c>
    </row>
    <row r="3007" customFormat="false" ht="15" hidden="false" customHeight="false" outlineLevel="0" collapsed="false">
      <c r="A3007" s="0" t="str">
        <f aca="false">IF(COMPRAS!K1807="","",COMPRAS!K1807)</f>
        <v/>
      </c>
      <c r="B3007" s="0" t="str">
        <f aca="false">IF(A3007="","",IF(MATCH(A3007,$A$2:$A$3201,0)=ROW()-1,1,0))</f>
        <v/>
      </c>
      <c r="C3007" s="0" t="str">
        <f aca="false">IF(B3007=1,MAX(C$1:C3006)+1,"")</f>
        <v/>
      </c>
    </row>
    <row r="3008" customFormat="false" ht="15" hidden="false" customHeight="false" outlineLevel="0" collapsed="false">
      <c r="A3008" s="0" t="str">
        <f aca="false">IF(COMPRAS!K1808="","",COMPRAS!K1808)</f>
        <v/>
      </c>
      <c r="B3008" s="0" t="str">
        <f aca="false">IF(A3008="","",IF(MATCH(A3008,$A$2:$A$3201,0)=ROW()-1,1,0))</f>
        <v/>
      </c>
      <c r="C3008" s="0" t="str">
        <f aca="false">IF(B3008=1,MAX(C$1:C3007)+1,"")</f>
        <v/>
      </c>
    </row>
    <row r="3009" customFormat="false" ht="15" hidden="false" customHeight="false" outlineLevel="0" collapsed="false">
      <c r="A3009" s="0" t="str">
        <f aca="false">IF(COMPRAS!K1809="","",COMPRAS!K1809)</f>
        <v/>
      </c>
      <c r="B3009" s="0" t="str">
        <f aca="false">IF(A3009="","",IF(MATCH(A3009,$A$2:$A$3201,0)=ROW()-1,1,0))</f>
        <v/>
      </c>
      <c r="C3009" s="0" t="str">
        <f aca="false">IF(B3009=1,MAX(C$1:C3008)+1,"")</f>
        <v/>
      </c>
    </row>
    <row r="3010" customFormat="false" ht="15" hidden="false" customHeight="false" outlineLevel="0" collapsed="false">
      <c r="A3010" s="0" t="str">
        <f aca="false">IF(COMPRAS!K1810="","",COMPRAS!K1810)</f>
        <v/>
      </c>
      <c r="B3010" s="0" t="str">
        <f aca="false">IF(A3010="","",IF(MATCH(A3010,$A$2:$A$3201,0)=ROW()-1,1,0))</f>
        <v/>
      </c>
      <c r="C3010" s="0" t="str">
        <f aca="false">IF(B3010=1,MAX(C$1:C3009)+1,"")</f>
        <v/>
      </c>
    </row>
    <row r="3011" customFormat="false" ht="15" hidden="false" customHeight="false" outlineLevel="0" collapsed="false">
      <c r="A3011" s="0" t="str">
        <f aca="false">IF(COMPRAS!K1811="","",COMPRAS!K1811)</f>
        <v/>
      </c>
      <c r="B3011" s="0" t="str">
        <f aca="false">IF(A3011="","",IF(MATCH(A3011,$A$2:$A$3201,0)=ROW()-1,1,0))</f>
        <v/>
      </c>
      <c r="C3011" s="0" t="str">
        <f aca="false">IF(B3011=1,MAX(C$1:C3010)+1,"")</f>
        <v/>
      </c>
    </row>
    <row r="3012" customFormat="false" ht="15" hidden="false" customHeight="false" outlineLevel="0" collapsed="false">
      <c r="A3012" s="0" t="str">
        <f aca="false">IF(COMPRAS!K1812="","",COMPRAS!K1812)</f>
        <v/>
      </c>
      <c r="B3012" s="0" t="str">
        <f aca="false">IF(A3012="","",IF(MATCH(A3012,$A$2:$A$3201,0)=ROW()-1,1,0))</f>
        <v/>
      </c>
      <c r="C3012" s="0" t="str">
        <f aca="false">IF(B3012=1,MAX(C$1:C3011)+1,"")</f>
        <v/>
      </c>
    </row>
    <row r="3013" customFormat="false" ht="15" hidden="false" customHeight="false" outlineLevel="0" collapsed="false">
      <c r="A3013" s="0" t="str">
        <f aca="false">IF(COMPRAS!K1813="","",COMPRAS!K1813)</f>
        <v/>
      </c>
      <c r="B3013" s="0" t="str">
        <f aca="false">IF(A3013="","",IF(MATCH(A3013,$A$2:$A$3201,0)=ROW()-1,1,0))</f>
        <v/>
      </c>
      <c r="C3013" s="0" t="str">
        <f aca="false">IF(B3013=1,MAX(C$1:C3012)+1,"")</f>
        <v/>
      </c>
    </row>
    <row r="3014" customFormat="false" ht="15" hidden="false" customHeight="false" outlineLevel="0" collapsed="false">
      <c r="A3014" s="0" t="str">
        <f aca="false">IF(COMPRAS!K1814="","",COMPRAS!K1814)</f>
        <v/>
      </c>
      <c r="B3014" s="0" t="str">
        <f aca="false">IF(A3014="","",IF(MATCH(A3014,$A$2:$A$3201,0)=ROW()-1,1,0))</f>
        <v/>
      </c>
      <c r="C3014" s="0" t="str">
        <f aca="false">IF(B3014=1,MAX(C$1:C3013)+1,"")</f>
        <v/>
      </c>
    </row>
    <row r="3015" customFormat="false" ht="15" hidden="false" customHeight="false" outlineLevel="0" collapsed="false">
      <c r="A3015" s="0" t="str">
        <f aca="false">IF(COMPRAS!K1815="","",COMPRAS!K1815)</f>
        <v/>
      </c>
      <c r="B3015" s="0" t="str">
        <f aca="false">IF(A3015="","",IF(MATCH(A3015,$A$2:$A$3201,0)=ROW()-1,1,0))</f>
        <v/>
      </c>
      <c r="C3015" s="0" t="str">
        <f aca="false">IF(B3015=1,MAX(C$1:C3014)+1,"")</f>
        <v/>
      </c>
    </row>
    <row r="3016" customFormat="false" ht="15" hidden="false" customHeight="false" outlineLevel="0" collapsed="false">
      <c r="A3016" s="0" t="str">
        <f aca="false">IF(COMPRAS!K1816="","",COMPRAS!K1816)</f>
        <v/>
      </c>
      <c r="B3016" s="0" t="str">
        <f aca="false">IF(A3016="","",IF(MATCH(A3016,$A$2:$A$3201,0)=ROW()-1,1,0))</f>
        <v/>
      </c>
      <c r="C3016" s="0" t="str">
        <f aca="false">IF(B3016=1,MAX(C$1:C3015)+1,"")</f>
        <v/>
      </c>
    </row>
    <row r="3017" customFormat="false" ht="15" hidden="false" customHeight="false" outlineLevel="0" collapsed="false">
      <c r="A3017" s="0" t="str">
        <f aca="false">IF(COMPRAS!K1817="","",COMPRAS!K1817)</f>
        <v/>
      </c>
      <c r="B3017" s="0" t="str">
        <f aca="false">IF(A3017="","",IF(MATCH(A3017,$A$2:$A$3201,0)=ROW()-1,1,0))</f>
        <v/>
      </c>
      <c r="C3017" s="0" t="str">
        <f aca="false">IF(B3017=1,MAX(C$1:C3016)+1,"")</f>
        <v/>
      </c>
    </row>
    <row r="3018" customFormat="false" ht="15" hidden="false" customHeight="false" outlineLevel="0" collapsed="false">
      <c r="A3018" s="0" t="str">
        <f aca="false">IF(COMPRAS!K1818="","",COMPRAS!K1818)</f>
        <v/>
      </c>
      <c r="B3018" s="0" t="str">
        <f aca="false">IF(A3018="","",IF(MATCH(A3018,$A$2:$A$3201,0)=ROW()-1,1,0))</f>
        <v/>
      </c>
      <c r="C3018" s="0" t="str">
        <f aca="false">IF(B3018=1,MAX(C$1:C3017)+1,"")</f>
        <v/>
      </c>
    </row>
    <row r="3019" customFormat="false" ht="15" hidden="false" customHeight="false" outlineLevel="0" collapsed="false">
      <c r="A3019" s="0" t="str">
        <f aca="false">IF(COMPRAS!K1819="","",COMPRAS!K1819)</f>
        <v/>
      </c>
      <c r="B3019" s="0" t="str">
        <f aca="false">IF(A3019="","",IF(MATCH(A3019,$A$2:$A$3201,0)=ROW()-1,1,0))</f>
        <v/>
      </c>
      <c r="C3019" s="0" t="str">
        <f aca="false">IF(B3019=1,MAX(C$1:C3018)+1,"")</f>
        <v/>
      </c>
    </row>
    <row r="3020" customFormat="false" ht="15" hidden="false" customHeight="false" outlineLevel="0" collapsed="false">
      <c r="A3020" s="0" t="str">
        <f aca="false">IF(COMPRAS!K1820="","",COMPRAS!K1820)</f>
        <v/>
      </c>
      <c r="B3020" s="0" t="str">
        <f aca="false">IF(A3020="","",IF(MATCH(A3020,$A$2:$A$3201,0)=ROW()-1,1,0))</f>
        <v/>
      </c>
      <c r="C3020" s="0" t="str">
        <f aca="false">IF(B3020=1,MAX(C$1:C3019)+1,"")</f>
        <v/>
      </c>
    </row>
    <row r="3021" customFormat="false" ht="15" hidden="false" customHeight="false" outlineLevel="0" collapsed="false">
      <c r="A3021" s="0" t="str">
        <f aca="false">IF(COMPRAS!K1821="","",COMPRAS!K1821)</f>
        <v/>
      </c>
      <c r="B3021" s="0" t="str">
        <f aca="false">IF(A3021="","",IF(MATCH(A3021,$A$2:$A$3201,0)=ROW()-1,1,0))</f>
        <v/>
      </c>
      <c r="C3021" s="0" t="str">
        <f aca="false">IF(B3021=1,MAX(C$1:C3020)+1,"")</f>
        <v/>
      </c>
    </row>
    <row r="3022" customFormat="false" ht="15" hidden="false" customHeight="false" outlineLevel="0" collapsed="false">
      <c r="A3022" s="0" t="str">
        <f aca="false">IF(COMPRAS!K1822="","",COMPRAS!K1822)</f>
        <v/>
      </c>
      <c r="B3022" s="0" t="str">
        <f aca="false">IF(A3022="","",IF(MATCH(A3022,$A$2:$A$3201,0)=ROW()-1,1,0))</f>
        <v/>
      </c>
      <c r="C3022" s="0" t="str">
        <f aca="false">IF(B3022=1,MAX(C$1:C3021)+1,"")</f>
        <v/>
      </c>
    </row>
    <row r="3023" customFormat="false" ht="15" hidden="false" customHeight="false" outlineLevel="0" collapsed="false">
      <c r="A3023" s="0" t="str">
        <f aca="false">IF(COMPRAS!K1823="","",COMPRAS!K1823)</f>
        <v/>
      </c>
      <c r="B3023" s="0" t="str">
        <f aca="false">IF(A3023="","",IF(MATCH(A3023,$A$2:$A$3201,0)=ROW()-1,1,0))</f>
        <v/>
      </c>
      <c r="C3023" s="0" t="str">
        <f aca="false">IF(B3023=1,MAX(C$1:C3022)+1,"")</f>
        <v/>
      </c>
    </row>
    <row r="3024" customFormat="false" ht="15" hidden="false" customHeight="false" outlineLevel="0" collapsed="false">
      <c r="A3024" s="0" t="str">
        <f aca="false">IF(COMPRAS!K1824="","",COMPRAS!K1824)</f>
        <v/>
      </c>
      <c r="B3024" s="0" t="str">
        <f aca="false">IF(A3024="","",IF(MATCH(A3024,$A$2:$A$3201,0)=ROW()-1,1,0))</f>
        <v/>
      </c>
      <c r="C3024" s="0" t="str">
        <f aca="false">IF(B3024=1,MAX(C$1:C3023)+1,"")</f>
        <v/>
      </c>
    </row>
    <row r="3025" customFormat="false" ht="15" hidden="false" customHeight="false" outlineLevel="0" collapsed="false">
      <c r="A3025" s="0" t="str">
        <f aca="false">IF(COMPRAS!K1825="","",COMPRAS!K1825)</f>
        <v/>
      </c>
      <c r="B3025" s="0" t="str">
        <f aca="false">IF(A3025="","",IF(MATCH(A3025,$A$2:$A$3201,0)=ROW()-1,1,0))</f>
        <v/>
      </c>
      <c r="C3025" s="0" t="str">
        <f aca="false">IF(B3025=1,MAX(C$1:C3024)+1,"")</f>
        <v/>
      </c>
    </row>
    <row r="3026" customFormat="false" ht="15" hidden="false" customHeight="false" outlineLevel="0" collapsed="false">
      <c r="A3026" s="0" t="str">
        <f aca="false">IF(COMPRAS!K1826="","",COMPRAS!K1826)</f>
        <v/>
      </c>
      <c r="B3026" s="0" t="str">
        <f aca="false">IF(A3026="","",IF(MATCH(A3026,$A$2:$A$3201,0)=ROW()-1,1,0))</f>
        <v/>
      </c>
      <c r="C3026" s="0" t="str">
        <f aca="false">IF(B3026=1,MAX(C$1:C3025)+1,"")</f>
        <v/>
      </c>
    </row>
    <row r="3027" customFormat="false" ht="15" hidden="false" customHeight="false" outlineLevel="0" collapsed="false">
      <c r="A3027" s="0" t="str">
        <f aca="false">IF(COMPRAS!K1827="","",COMPRAS!K1827)</f>
        <v/>
      </c>
      <c r="B3027" s="0" t="str">
        <f aca="false">IF(A3027="","",IF(MATCH(A3027,$A$2:$A$3201,0)=ROW()-1,1,0))</f>
        <v/>
      </c>
      <c r="C3027" s="0" t="str">
        <f aca="false">IF(B3027=1,MAX(C$1:C3026)+1,"")</f>
        <v/>
      </c>
    </row>
    <row r="3028" customFormat="false" ht="15" hidden="false" customHeight="false" outlineLevel="0" collapsed="false">
      <c r="A3028" s="0" t="str">
        <f aca="false">IF(COMPRAS!K1828="","",COMPRAS!K1828)</f>
        <v/>
      </c>
      <c r="B3028" s="0" t="str">
        <f aca="false">IF(A3028="","",IF(MATCH(A3028,$A$2:$A$3201,0)=ROW()-1,1,0))</f>
        <v/>
      </c>
      <c r="C3028" s="0" t="str">
        <f aca="false">IF(B3028=1,MAX(C$1:C3027)+1,"")</f>
        <v/>
      </c>
    </row>
    <row r="3029" customFormat="false" ht="15" hidden="false" customHeight="false" outlineLevel="0" collapsed="false">
      <c r="A3029" s="0" t="str">
        <f aca="false">IF(COMPRAS!K1829="","",COMPRAS!K1829)</f>
        <v/>
      </c>
      <c r="B3029" s="0" t="str">
        <f aca="false">IF(A3029="","",IF(MATCH(A3029,$A$2:$A$3201,0)=ROW()-1,1,0))</f>
        <v/>
      </c>
      <c r="C3029" s="0" t="str">
        <f aca="false">IF(B3029=1,MAX(C$1:C3028)+1,"")</f>
        <v/>
      </c>
    </row>
    <row r="3030" customFormat="false" ht="15" hidden="false" customHeight="false" outlineLevel="0" collapsed="false">
      <c r="A3030" s="0" t="str">
        <f aca="false">IF(COMPRAS!K1830="","",COMPRAS!K1830)</f>
        <v/>
      </c>
      <c r="B3030" s="0" t="str">
        <f aca="false">IF(A3030="","",IF(MATCH(A3030,$A$2:$A$3201,0)=ROW()-1,1,0))</f>
        <v/>
      </c>
      <c r="C3030" s="0" t="str">
        <f aca="false">IF(B3030=1,MAX(C$1:C3029)+1,"")</f>
        <v/>
      </c>
    </row>
    <row r="3031" customFormat="false" ht="15" hidden="false" customHeight="false" outlineLevel="0" collapsed="false">
      <c r="A3031" s="0" t="str">
        <f aca="false">IF(COMPRAS!K1831="","",COMPRAS!K1831)</f>
        <v/>
      </c>
      <c r="B3031" s="0" t="str">
        <f aca="false">IF(A3031="","",IF(MATCH(A3031,$A$2:$A$3201,0)=ROW()-1,1,0))</f>
        <v/>
      </c>
      <c r="C3031" s="0" t="str">
        <f aca="false">IF(B3031=1,MAX(C$1:C3030)+1,"")</f>
        <v/>
      </c>
    </row>
    <row r="3032" customFormat="false" ht="15" hidden="false" customHeight="false" outlineLevel="0" collapsed="false">
      <c r="A3032" s="0" t="str">
        <f aca="false">IF(COMPRAS!K1832="","",COMPRAS!K1832)</f>
        <v/>
      </c>
      <c r="B3032" s="0" t="str">
        <f aca="false">IF(A3032="","",IF(MATCH(A3032,$A$2:$A$3201,0)=ROW()-1,1,0))</f>
        <v/>
      </c>
      <c r="C3032" s="0" t="str">
        <f aca="false">IF(B3032=1,MAX(C$1:C3031)+1,"")</f>
        <v/>
      </c>
    </row>
    <row r="3033" customFormat="false" ht="15" hidden="false" customHeight="false" outlineLevel="0" collapsed="false">
      <c r="A3033" s="0" t="str">
        <f aca="false">IF(COMPRAS!K1833="","",COMPRAS!K1833)</f>
        <v/>
      </c>
      <c r="B3033" s="0" t="str">
        <f aca="false">IF(A3033="","",IF(MATCH(A3033,$A$2:$A$3201,0)=ROW()-1,1,0))</f>
        <v/>
      </c>
      <c r="C3033" s="0" t="str">
        <f aca="false">IF(B3033=1,MAX(C$1:C3032)+1,"")</f>
        <v/>
      </c>
    </row>
    <row r="3034" customFormat="false" ht="15" hidden="false" customHeight="false" outlineLevel="0" collapsed="false">
      <c r="A3034" s="0" t="str">
        <f aca="false">IF(COMPRAS!K1834="","",COMPRAS!K1834)</f>
        <v/>
      </c>
      <c r="B3034" s="0" t="str">
        <f aca="false">IF(A3034="","",IF(MATCH(A3034,$A$2:$A$3201,0)=ROW()-1,1,0))</f>
        <v/>
      </c>
      <c r="C3034" s="0" t="str">
        <f aca="false">IF(B3034=1,MAX(C$1:C3033)+1,"")</f>
        <v/>
      </c>
    </row>
    <row r="3035" customFormat="false" ht="15" hidden="false" customHeight="false" outlineLevel="0" collapsed="false">
      <c r="A3035" s="0" t="str">
        <f aca="false">IF(COMPRAS!K1835="","",COMPRAS!K1835)</f>
        <v/>
      </c>
      <c r="B3035" s="0" t="str">
        <f aca="false">IF(A3035="","",IF(MATCH(A3035,$A$2:$A$3201,0)=ROW()-1,1,0))</f>
        <v/>
      </c>
      <c r="C3035" s="0" t="str">
        <f aca="false">IF(B3035=1,MAX(C$1:C3034)+1,"")</f>
        <v/>
      </c>
    </row>
    <row r="3036" customFormat="false" ht="15" hidden="false" customHeight="false" outlineLevel="0" collapsed="false">
      <c r="A3036" s="0" t="str">
        <f aca="false">IF(COMPRAS!K1836="","",COMPRAS!K1836)</f>
        <v/>
      </c>
      <c r="B3036" s="0" t="str">
        <f aca="false">IF(A3036="","",IF(MATCH(A3036,$A$2:$A$3201,0)=ROW()-1,1,0))</f>
        <v/>
      </c>
      <c r="C3036" s="0" t="str">
        <f aca="false">IF(B3036=1,MAX(C$1:C3035)+1,"")</f>
        <v/>
      </c>
    </row>
    <row r="3037" customFormat="false" ht="15" hidden="false" customHeight="false" outlineLevel="0" collapsed="false">
      <c r="A3037" s="0" t="str">
        <f aca="false">IF(COMPRAS!K1837="","",COMPRAS!K1837)</f>
        <v/>
      </c>
      <c r="B3037" s="0" t="str">
        <f aca="false">IF(A3037="","",IF(MATCH(A3037,$A$2:$A$3201,0)=ROW()-1,1,0))</f>
        <v/>
      </c>
      <c r="C3037" s="0" t="str">
        <f aca="false">IF(B3037=1,MAX(C$1:C3036)+1,"")</f>
        <v/>
      </c>
    </row>
    <row r="3038" customFormat="false" ht="15" hidden="false" customHeight="false" outlineLevel="0" collapsed="false">
      <c r="A3038" s="0" t="str">
        <f aca="false">IF(COMPRAS!K1838="","",COMPRAS!K1838)</f>
        <v/>
      </c>
      <c r="B3038" s="0" t="str">
        <f aca="false">IF(A3038="","",IF(MATCH(A3038,$A$2:$A$3201,0)=ROW()-1,1,0))</f>
        <v/>
      </c>
      <c r="C3038" s="0" t="str">
        <f aca="false">IF(B3038=1,MAX(C$1:C3037)+1,"")</f>
        <v/>
      </c>
    </row>
    <row r="3039" customFormat="false" ht="15" hidden="false" customHeight="false" outlineLevel="0" collapsed="false">
      <c r="A3039" s="0" t="str">
        <f aca="false">IF(COMPRAS!K1839="","",COMPRAS!K1839)</f>
        <v/>
      </c>
      <c r="B3039" s="0" t="str">
        <f aca="false">IF(A3039="","",IF(MATCH(A3039,$A$2:$A$3201,0)=ROW()-1,1,0))</f>
        <v/>
      </c>
      <c r="C3039" s="0" t="str">
        <f aca="false">IF(B3039=1,MAX(C$1:C3038)+1,"")</f>
        <v/>
      </c>
    </row>
    <row r="3040" customFormat="false" ht="15" hidden="false" customHeight="false" outlineLevel="0" collapsed="false">
      <c r="A3040" s="0" t="str">
        <f aca="false">IF(COMPRAS!K1840="","",COMPRAS!K1840)</f>
        <v/>
      </c>
      <c r="B3040" s="0" t="str">
        <f aca="false">IF(A3040="","",IF(MATCH(A3040,$A$2:$A$3201,0)=ROW()-1,1,0))</f>
        <v/>
      </c>
      <c r="C3040" s="0" t="str">
        <f aca="false">IF(B3040=1,MAX(C$1:C3039)+1,"")</f>
        <v/>
      </c>
    </row>
    <row r="3041" customFormat="false" ht="15" hidden="false" customHeight="false" outlineLevel="0" collapsed="false">
      <c r="A3041" s="0" t="str">
        <f aca="false">IF(COMPRAS!K1841="","",COMPRAS!K1841)</f>
        <v/>
      </c>
      <c r="B3041" s="0" t="str">
        <f aca="false">IF(A3041="","",IF(MATCH(A3041,$A$2:$A$3201,0)=ROW()-1,1,0))</f>
        <v/>
      </c>
      <c r="C3041" s="0" t="str">
        <f aca="false">IF(B3041=1,MAX(C$1:C3040)+1,"")</f>
        <v/>
      </c>
    </row>
    <row r="3042" customFormat="false" ht="15" hidden="false" customHeight="false" outlineLevel="0" collapsed="false">
      <c r="A3042" s="0" t="str">
        <f aca="false">IF(COMPRAS!K1842="","",COMPRAS!K1842)</f>
        <v/>
      </c>
      <c r="B3042" s="0" t="str">
        <f aca="false">IF(A3042="","",IF(MATCH(A3042,$A$2:$A$3201,0)=ROW()-1,1,0))</f>
        <v/>
      </c>
      <c r="C3042" s="0" t="str">
        <f aca="false">IF(B3042=1,MAX(C$1:C3041)+1,"")</f>
        <v/>
      </c>
    </row>
    <row r="3043" customFormat="false" ht="15" hidden="false" customHeight="false" outlineLevel="0" collapsed="false">
      <c r="A3043" s="0" t="str">
        <f aca="false">IF(COMPRAS!K1843="","",COMPRAS!K1843)</f>
        <v/>
      </c>
      <c r="B3043" s="0" t="str">
        <f aca="false">IF(A3043="","",IF(MATCH(A3043,$A$2:$A$3201,0)=ROW()-1,1,0))</f>
        <v/>
      </c>
      <c r="C3043" s="0" t="str">
        <f aca="false">IF(B3043=1,MAX(C$1:C3042)+1,"")</f>
        <v/>
      </c>
    </row>
    <row r="3044" customFormat="false" ht="15" hidden="false" customHeight="false" outlineLevel="0" collapsed="false">
      <c r="A3044" s="0" t="str">
        <f aca="false">IF(COMPRAS!K1844="","",COMPRAS!K1844)</f>
        <v/>
      </c>
      <c r="B3044" s="0" t="str">
        <f aca="false">IF(A3044="","",IF(MATCH(A3044,$A$2:$A$3201,0)=ROW()-1,1,0))</f>
        <v/>
      </c>
      <c r="C3044" s="0" t="str">
        <f aca="false">IF(B3044=1,MAX(C$1:C3043)+1,"")</f>
        <v/>
      </c>
    </row>
    <row r="3045" customFormat="false" ht="15" hidden="false" customHeight="false" outlineLevel="0" collapsed="false">
      <c r="A3045" s="0" t="str">
        <f aca="false">IF(COMPRAS!K1845="","",COMPRAS!K1845)</f>
        <v/>
      </c>
      <c r="B3045" s="0" t="str">
        <f aca="false">IF(A3045="","",IF(MATCH(A3045,$A$2:$A$3201,0)=ROW()-1,1,0))</f>
        <v/>
      </c>
      <c r="C3045" s="0" t="str">
        <f aca="false">IF(B3045=1,MAX(C$1:C3044)+1,"")</f>
        <v/>
      </c>
    </row>
    <row r="3046" customFormat="false" ht="15" hidden="false" customHeight="false" outlineLevel="0" collapsed="false">
      <c r="A3046" s="0" t="str">
        <f aca="false">IF(COMPRAS!K1846="","",COMPRAS!K1846)</f>
        <v/>
      </c>
      <c r="B3046" s="0" t="str">
        <f aca="false">IF(A3046="","",IF(MATCH(A3046,$A$2:$A$3201,0)=ROW()-1,1,0))</f>
        <v/>
      </c>
      <c r="C3046" s="0" t="str">
        <f aca="false">IF(B3046=1,MAX(C$1:C3045)+1,"")</f>
        <v/>
      </c>
    </row>
    <row r="3047" customFormat="false" ht="15" hidden="false" customHeight="false" outlineLevel="0" collapsed="false">
      <c r="A3047" s="0" t="str">
        <f aca="false">IF(COMPRAS!K1847="","",COMPRAS!K1847)</f>
        <v/>
      </c>
      <c r="B3047" s="0" t="str">
        <f aca="false">IF(A3047="","",IF(MATCH(A3047,$A$2:$A$3201,0)=ROW()-1,1,0))</f>
        <v/>
      </c>
      <c r="C3047" s="0" t="str">
        <f aca="false">IF(B3047=1,MAX(C$1:C3046)+1,"")</f>
        <v/>
      </c>
    </row>
    <row r="3048" customFormat="false" ht="15" hidden="false" customHeight="false" outlineLevel="0" collapsed="false">
      <c r="A3048" s="0" t="str">
        <f aca="false">IF(COMPRAS!K1848="","",COMPRAS!K1848)</f>
        <v/>
      </c>
      <c r="B3048" s="0" t="str">
        <f aca="false">IF(A3048="","",IF(MATCH(A3048,$A$2:$A$3201,0)=ROW()-1,1,0))</f>
        <v/>
      </c>
      <c r="C3048" s="0" t="str">
        <f aca="false">IF(B3048=1,MAX(C$1:C3047)+1,"")</f>
        <v/>
      </c>
    </row>
    <row r="3049" customFormat="false" ht="15" hidden="false" customHeight="false" outlineLevel="0" collapsed="false">
      <c r="A3049" s="0" t="str">
        <f aca="false">IF(COMPRAS!K1849="","",COMPRAS!K1849)</f>
        <v/>
      </c>
      <c r="B3049" s="0" t="str">
        <f aca="false">IF(A3049="","",IF(MATCH(A3049,$A$2:$A$3201,0)=ROW()-1,1,0))</f>
        <v/>
      </c>
      <c r="C3049" s="0" t="str">
        <f aca="false">IF(B3049=1,MAX(C$1:C3048)+1,"")</f>
        <v/>
      </c>
    </row>
    <row r="3050" customFormat="false" ht="15" hidden="false" customHeight="false" outlineLevel="0" collapsed="false">
      <c r="A3050" s="0" t="str">
        <f aca="false">IF(COMPRAS!K1850="","",COMPRAS!K1850)</f>
        <v/>
      </c>
      <c r="B3050" s="0" t="str">
        <f aca="false">IF(A3050="","",IF(MATCH(A3050,$A$2:$A$3201,0)=ROW()-1,1,0))</f>
        <v/>
      </c>
      <c r="C3050" s="0" t="str">
        <f aca="false">IF(B3050=1,MAX(C$1:C3049)+1,"")</f>
        <v/>
      </c>
    </row>
    <row r="3051" customFormat="false" ht="15" hidden="false" customHeight="false" outlineLevel="0" collapsed="false">
      <c r="A3051" s="0" t="str">
        <f aca="false">IF(COMPRAS!K1851="","",COMPRAS!K1851)</f>
        <v/>
      </c>
      <c r="B3051" s="0" t="str">
        <f aca="false">IF(A3051="","",IF(MATCH(A3051,$A$2:$A$3201,0)=ROW()-1,1,0))</f>
        <v/>
      </c>
      <c r="C3051" s="0" t="str">
        <f aca="false">IF(B3051=1,MAX(C$1:C3050)+1,"")</f>
        <v/>
      </c>
    </row>
    <row r="3052" customFormat="false" ht="15" hidden="false" customHeight="false" outlineLevel="0" collapsed="false">
      <c r="A3052" s="0" t="str">
        <f aca="false">IF(COMPRAS!K1852="","",COMPRAS!K1852)</f>
        <v/>
      </c>
      <c r="B3052" s="0" t="str">
        <f aca="false">IF(A3052="","",IF(MATCH(A3052,$A$2:$A$3201,0)=ROW()-1,1,0))</f>
        <v/>
      </c>
      <c r="C3052" s="0" t="str">
        <f aca="false">IF(B3052=1,MAX(C$1:C3051)+1,"")</f>
        <v/>
      </c>
    </row>
    <row r="3053" customFormat="false" ht="15" hidden="false" customHeight="false" outlineLevel="0" collapsed="false">
      <c r="A3053" s="0" t="str">
        <f aca="false">IF(COMPRAS!K1853="","",COMPRAS!K1853)</f>
        <v/>
      </c>
      <c r="B3053" s="0" t="str">
        <f aca="false">IF(A3053="","",IF(MATCH(A3053,$A$2:$A$3201,0)=ROW()-1,1,0))</f>
        <v/>
      </c>
      <c r="C3053" s="0" t="str">
        <f aca="false">IF(B3053=1,MAX(C$1:C3052)+1,"")</f>
        <v/>
      </c>
    </row>
    <row r="3054" customFormat="false" ht="15" hidden="false" customHeight="false" outlineLevel="0" collapsed="false">
      <c r="A3054" s="0" t="str">
        <f aca="false">IF(COMPRAS!K1854="","",COMPRAS!K1854)</f>
        <v/>
      </c>
      <c r="B3054" s="0" t="str">
        <f aca="false">IF(A3054="","",IF(MATCH(A3054,$A$2:$A$3201,0)=ROW()-1,1,0))</f>
        <v/>
      </c>
      <c r="C3054" s="0" t="str">
        <f aca="false">IF(B3054=1,MAX(C$1:C3053)+1,"")</f>
        <v/>
      </c>
    </row>
    <row r="3055" customFormat="false" ht="15" hidden="false" customHeight="false" outlineLevel="0" collapsed="false">
      <c r="A3055" s="0" t="str">
        <f aca="false">IF(COMPRAS!K1855="","",COMPRAS!K1855)</f>
        <v/>
      </c>
      <c r="B3055" s="0" t="str">
        <f aca="false">IF(A3055="","",IF(MATCH(A3055,$A$2:$A$3201,0)=ROW()-1,1,0))</f>
        <v/>
      </c>
      <c r="C3055" s="0" t="str">
        <f aca="false">IF(B3055=1,MAX(C$1:C3054)+1,"")</f>
        <v/>
      </c>
    </row>
    <row r="3056" customFormat="false" ht="15" hidden="false" customHeight="false" outlineLevel="0" collapsed="false">
      <c r="A3056" s="0" t="str">
        <f aca="false">IF(COMPRAS!K1856="","",COMPRAS!K1856)</f>
        <v/>
      </c>
      <c r="B3056" s="0" t="str">
        <f aca="false">IF(A3056="","",IF(MATCH(A3056,$A$2:$A$3201,0)=ROW()-1,1,0))</f>
        <v/>
      </c>
      <c r="C3056" s="0" t="str">
        <f aca="false">IF(B3056=1,MAX(C$1:C3055)+1,"")</f>
        <v/>
      </c>
    </row>
    <row r="3057" customFormat="false" ht="15" hidden="false" customHeight="false" outlineLevel="0" collapsed="false">
      <c r="A3057" s="0" t="str">
        <f aca="false">IF(COMPRAS!K1857="","",COMPRAS!K1857)</f>
        <v/>
      </c>
      <c r="B3057" s="0" t="str">
        <f aca="false">IF(A3057="","",IF(MATCH(A3057,$A$2:$A$3201,0)=ROW()-1,1,0))</f>
        <v/>
      </c>
      <c r="C3057" s="0" t="str">
        <f aca="false">IF(B3057=1,MAX(C$1:C3056)+1,"")</f>
        <v/>
      </c>
    </row>
    <row r="3058" customFormat="false" ht="15" hidden="false" customHeight="false" outlineLevel="0" collapsed="false">
      <c r="A3058" s="0" t="str">
        <f aca="false">IF(COMPRAS!K1858="","",COMPRAS!K1858)</f>
        <v/>
      </c>
      <c r="B3058" s="0" t="str">
        <f aca="false">IF(A3058="","",IF(MATCH(A3058,$A$2:$A$3201,0)=ROW()-1,1,0))</f>
        <v/>
      </c>
      <c r="C3058" s="0" t="str">
        <f aca="false">IF(B3058=1,MAX(C$1:C3057)+1,"")</f>
        <v/>
      </c>
    </row>
    <row r="3059" customFormat="false" ht="15" hidden="false" customHeight="false" outlineLevel="0" collapsed="false">
      <c r="A3059" s="0" t="str">
        <f aca="false">IF(COMPRAS!K1859="","",COMPRAS!K1859)</f>
        <v/>
      </c>
      <c r="B3059" s="0" t="str">
        <f aca="false">IF(A3059="","",IF(MATCH(A3059,$A$2:$A$3201,0)=ROW()-1,1,0))</f>
        <v/>
      </c>
      <c r="C3059" s="0" t="str">
        <f aca="false">IF(B3059=1,MAX(C$1:C3058)+1,"")</f>
        <v/>
      </c>
    </row>
    <row r="3060" customFormat="false" ht="15" hidden="false" customHeight="false" outlineLevel="0" collapsed="false">
      <c r="A3060" s="0" t="str">
        <f aca="false">IF(COMPRAS!K1860="","",COMPRAS!K1860)</f>
        <v/>
      </c>
      <c r="B3060" s="0" t="str">
        <f aca="false">IF(A3060="","",IF(MATCH(A3060,$A$2:$A$3201,0)=ROW()-1,1,0))</f>
        <v/>
      </c>
      <c r="C3060" s="0" t="str">
        <f aca="false">IF(B3060=1,MAX(C$1:C3059)+1,"")</f>
        <v/>
      </c>
    </row>
    <row r="3061" customFormat="false" ht="15" hidden="false" customHeight="false" outlineLevel="0" collapsed="false">
      <c r="A3061" s="0" t="str">
        <f aca="false">IF(COMPRAS!K1861="","",COMPRAS!K1861)</f>
        <v/>
      </c>
      <c r="B3061" s="0" t="str">
        <f aca="false">IF(A3061="","",IF(MATCH(A3061,$A$2:$A$3201,0)=ROW()-1,1,0))</f>
        <v/>
      </c>
      <c r="C3061" s="0" t="str">
        <f aca="false">IF(B3061=1,MAX(C$1:C3060)+1,"")</f>
        <v/>
      </c>
    </row>
    <row r="3062" customFormat="false" ht="15" hidden="false" customHeight="false" outlineLevel="0" collapsed="false">
      <c r="A3062" s="0" t="str">
        <f aca="false">IF(COMPRAS!K1862="","",COMPRAS!K1862)</f>
        <v/>
      </c>
      <c r="B3062" s="0" t="str">
        <f aca="false">IF(A3062="","",IF(MATCH(A3062,$A$2:$A$3201,0)=ROW()-1,1,0))</f>
        <v/>
      </c>
      <c r="C3062" s="0" t="str">
        <f aca="false">IF(B3062=1,MAX(C$1:C3061)+1,"")</f>
        <v/>
      </c>
    </row>
    <row r="3063" customFormat="false" ht="15" hidden="false" customHeight="false" outlineLevel="0" collapsed="false">
      <c r="A3063" s="0" t="str">
        <f aca="false">IF(COMPRAS!K1863="","",COMPRAS!K1863)</f>
        <v/>
      </c>
      <c r="B3063" s="0" t="str">
        <f aca="false">IF(A3063="","",IF(MATCH(A3063,$A$2:$A$3201,0)=ROW()-1,1,0))</f>
        <v/>
      </c>
      <c r="C3063" s="0" t="str">
        <f aca="false">IF(B3063=1,MAX(C$1:C3062)+1,"")</f>
        <v/>
      </c>
    </row>
    <row r="3064" customFormat="false" ht="15" hidden="false" customHeight="false" outlineLevel="0" collapsed="false">
      <c r="A3064" s="0" t="str">
        <f aca="false">IF(COMPRAS!K1864="","",COMPRAS!K1864)</f>
        <v/>
      </c>
      <c r="B3064" s="0" t="str">
        <f aca="false">IF(A3064="","",IF(MATCH(A3064,$A$2:$A$3201,0)=ROW()-1,1,0))</f>
        <v/>
      </c>
      <c r="C3064" s="0" t="str">
        <f aca="false">IF(B3064=1,MAX(C$1:C3063)+1,"")</f>
        <v/>
      </c>
    </row>
    <row r="3065" customFormat="false" ht="15" hidden="false" customHeight="false" outlineLevel="0" collapsed="false">
      <c r="A3065" s="0" t="str">
        <f aca="false">IF(COMPRAS!K1865="","",COMPRAS!K1865)</f>
        <v/>
      </c>
      <c r="B3065" s="0" t="str">
        <f aca="false">IF(A3065="","",IF(MATCH(A3065,$A$2:$A$3201,0)=ROW()-1,1,0))</f>
        <v/>
      </c>
      <c r="C3065" s="0" t="str">
        <f aca="false">IF(B3065=1,MAX(C$1:C3064)+1,"")</f>
        <v/>
      </c>
    </row>
    <row r="3066" customFormat="false" ht="15" hidden="false" customHeight="false" outlineLevel="0" collapsed="false">
      <c r="A3066" s="0" t="str">
        <f aca="false">IF(COMPRAS!K1866="","",COMPRAS!K1866)</f>
        <v/>
      </c>
      <c r="B3066" s="0" t="str">
        <f aca="false">IF(A3066="","",IF(MATCH(A3066,$A$2:$A$3201,0)=ROW()-1,1,0))</f>
        <v/>
      </c>
      <c r="C3066" s="0" t="str">
        <f aca="false">IF(B3066=1,MAX(C$1:C3065)+1,"")</f>
        <v/>
      </c>
    </row>
    <row r="3067" customFormat="false" ht="15" hidden="false" customHeight="false" outlineLevel="0" collapsed="false">
      <c r="A3067" s="0" t="str">
        <f aca="false">IF(COMPRAS!K1867="","",COMPRAS!K1867)</f>
        <v/>
      </c>
      <c r="B3067" s="0" t="str">
        <f aca="false">IF(A3067="","",IF(MATCH(A3067,$A$2:$A$3201,0)=ROW()-1,1,0))</f>
        <v/>
      </c>
      <c r="C3067" s="0" t="str">
        <f aca="false">IF(B3067=1,MAX(C$1:C3066)+1,"")</f>
        <v/>
      </c>
    </row>
    <row r="3068" customFormat="false" ht="15" hidden="false" customHeight="false" outlineLevel="0" collapsed="false">
      <c r="A3068" s="0" t="str">
        <f aca="false">IF(COMPRAS!K1868="","",COMPRAS!K1868)</f>
        <v/>
      </c>
      <c r="B3068" s="0" t="str">
        <f aca="false">IF(A3068="","",IF(MATCH(A3068,$A$2:$A$3201,0)=ROW()-1,1,0))</f>
        <v/>
      </c>
      <c r="C3068" s="0" t="str">
        <f aca="false">IF(B3068=1,MAX(C$1:C3067)+1,"")</f>
        <v/>
      </c>
    </row>
    <row r="3069" customFormat="false" ht="15" hidden="false" customHeight="false" outlineLevel="0" collapsed="false">
      <c r="A3069" s="0" t="str">
        <f aca="false">IF(COMPRAS!K1869="","",COMPRAS!K1869)</f>
        <v/>
      </c>
      <c r="B3069" s="0" t="str">
        <f aca="false">IF(A3069="","",IF(MATCH(A3069,$A$2:$A$3201,0)=ROW()-1,1,0))</f>
        <v/>
      </c>
      <c r="C3069" s="0" t="str">
        <f aca="false">IF(B3069=1,MAX(C$1:C3068)+1,"")</f>
        <v/>
      </c>
    </row>
    <row r="3070" customFormat="false" ht="15" hidden="false" customHeight="false" outlineLevel="0" collapsed="false">
      <c r="A3070" s="0" t="str">
        <f aca="false">IF(COMPRAS!K1870="","",COMPRAS!K1870)</f>
        <v/>
      </c>
      <c r="B3070" s="0" t="str">
        <f aca="false">IF(A3070="","",IF(MATCH(A3070,$A$2:$A$3201,0)=ROW()-1,1,0))</f>
        <v/>
      </c>
      <c r="C3070" s="0" t="str">
        <f aca="false">IF(B3070=1,MAX(C$1:C3069)+1,"")</f>
        <v/>
      </c>
    </row>
    <row r="3071" customFormat="false" ht="15" hidden="false" customHeight="false" outlineLevel="0" collapsed="false">
      <c r="A3071" s="0" t="str">
        <f aca="false">IF(COMPRAS!K1871="","",COMPRAS!K1871)</f>
        <v/>
      </c>
      <c r="B3071" s="0" t="str">
        <f aca="false">IF(A3071="","",IF(MATCH(A3071,$A$2:$A$3201,0)=ROW()-1,1,0))</f>
        <v/>
      </c>
      <c r="C3071" s="0" t="str">
        <f aca="false">IF(B3071=1,MAX(C$1:C3070)+1,"")</f>
        <v/>
      </c>
    </row>
    <row r="3072" customFormat="false" ht="15" hidden="false" customHeight="false" outlineLevel="0" collapsed="false">
      <c r="A3072" s="0" t="str">
        <f aca="false">IF(COMPRAS!K1872="","",COMPRAS!K1872)</f>
        <v/>
      </c>
      <c r="B3072" s="0" t="str">
        <f aca="false">IF(A3072="","",IF(MATCH(A3072,$A$2:$A$3201,0)=ROW()-1,1,0))</f>
        <v/>
      </c>
      <c r="C3072" s="0" t="str">
        <f aca="false">IF(B3072=1,MAX(C$1:C3071)+1,"")</f>
        <v/>
      </c>
    </row>
    <row r="3073" customFormat="false" ht="15" hidden="false" customHeight="false" outlineLevel="0" collapsed="false">
      <c r="A3073" s="0" t="str">
        <f aca="false">IF(COMPRAS!K1873="","",COMPRAS!K1873)</f>
        <v/>
      </c>
      <c r="B3073" s="0" t="str">
        <f aca="false">IF(A3073="","",IF(MATCH(A3073,$A$2:$A$3201,0)=ROW()-1,1,0))</f>
        <v/>
      </c>
      <c r="C3073" s="0" t="str">
        <f aca="false">IF(B3073=1,MAX(C$1:C3072)+1,"")</f>
        <v/>
      </c>
    </row>
    <row r="3074" customFormat="false" ht="15" hidden="false" customHeight="false" outlineLevel="0" collapsed="false">
      <c r="A3074" s="0" t="str">
        <f aca="false">IF(COMPRAS!K1874="","",COMPRAS!K1874)</f>
        <v/>
      </c>
      <c r="B3074" s="0" t="str">
        <f aca="false">IF(A3074="","",IF(MATCH(A3074,$A$2:$A$3201,0)=ROW()-1,1,0))</f>
        <v/>
      </c>
      <c r="C3074" s="0" t="str">
        <f aca="false">IF(B3074=1,MAX(C$1:C3073)+1,"")</f>
        <v/>
      </c>
    </row>
    <row r="3075" customFormat="false" ht="15" hidden="false" customHeight="false" outlineLevel="0" collapsed="false">
      <c r="A3075" s="0" t="str">
        <f aca="false">IF(COMPRAS!K1875="","",COMPRAS!K1875)</f>
        <v/>
      </c>
      <c r="B3075" s="0" t="str">
        <f aca="false">IF(A3075="","",IF(MATCH(A3075,$A$2:$A$3201,0)=ROW()-1,1,0))</f>
        <v/>
      </c>
      <c r="C3075" s="0" t="str">
        <f aca="false">IF(B3075=1,MAX(C$1:C3074)+1,"")</f>
        <v/>
      </c>
    </row>
    <row r="3076" customFormat="false" ht="15" hidden="false" customHeight="false" outlineLevel="0" collapsed="false">
      <c r="A3076" s="0" t="str">
        <f aca="false">IF(COMPRAS!K1876="","",COMPRAS!K1876)</f>
        <v/>
      </c>
      <c r="B3076" s="0" t="str">
        <f aca="false">IF(A3076="","",IF(MATCH(A3076,$A$2:$A$3201,0)=ROW()-1,1,0))</f>
        <v/>
      </c>
      <c r="C3076" s="0" t="str">
        <f aca="false">IF(B3076=1,MAX(C$1:C3075)+1,"")</f>
        <v/>
      </c>
    </row>
    <row r="3077" customFormat="false" ht="15" hidden="false" customHeight="false" outlineLevel="0" collapsed="false">
      <c r="A3077" s="0" t="str">
        <f aca="false">IF(COMPRAS!K1877="","",COMPRAS!K1877)</f>
        <v/>
      </c>
      <c r="B3077" s="0" t="str">
        <f aca="false">IF(A3077="","",IF(MATCH(A3077,$A$2:$A$3201,0)=ROW()-1,1,0))</f>
        <v/>
      </c>
      <c r="C3077" s="0" t="str">
        <f aca="false">IF(B3077=1,MAX(C$1:C3076)+1,"")</f>
        <v/>
      </c>
    </row>
    <row r="3078" customFormat="false" ht="15" hidden="false" customHeight="false" outlineLevel="0" collapsed="false">
      <c r="A3078" s="0" t="str">
        <f aca="false">IF(COMPRAS!K1878="","",COMPRAS!K1878)</f>
        <v/>
      </c>
      <c r="B3078" s="0" t="str">
        <f aca="false">IF(A3078="","",IF(MATCH(A3078,$A$2:$A$3201,0)=ROW()-1,1,0))</f>
        <v/>
      </c>
      <c r="C3078" s="0" t="str">
        <f aca="false">IF(B3078=1,MAX(C$1:C3077)+1,"")</f>
        <v/>
      </c>
    </row>
    <row r="3079" customFormat="false" ht="15" hidden="false" customHeight="false" outlineLevel="0" collapsed="false">
      <c r="A3079" s="0" t="str">
        <f aca="false">IF(COMPRAS!K1879="","",COMPRAS!K1879)</f>
        <v/>
      </c>
      <c r="B3079" s="0" t="str">
        <f aca="false">IF(A3079="","",IF(MATCH(A3079,$A$2:$A$3201,0)=ROW()-1,1,0))</f>
        <v/>
      </c>
      <c r="C3079" s="0" t="str">
        <f aca="false">IF(B3079=1,MAX(C$1:C3078)+1,"")</f>
        <v/>
      </c>
    </row>
    <row r="3080" customFormat="false" ht="15" hidden="false" customHeight="false" outlineLevel="0" collapsed="false">
      <c r="A3080" s="0" t="str">
        <f aca="false">IF(COMPRAS!K1880="","",COMPRAS!K1880)</f>
        <v/>
      </c>
      <c r="B3080" s="0" t="str">
        <f aca="false">IF(A3080="","",IF(MATCH(A3080,$A$2:$A$3201,0)=ROW()-1,1,0))</f>
        <v/>
      </c>
      <c r="C3080" s="0" t="str">
        <f aca="false">IF(B3080=1,MAX(C$1:C3079)+1,"")</f>
        <v/>
      </c>
    </row>
    <row r="3081" customFormat="false" ht="15" hidden="false" customHeight="false" outlineLevel="0" collapsed="false">
      <c r="A3081" s="0" t="str">
        <f aca="false">IF(COMPRAS!K1881="","",COMPRAS!K1881)</f>
        <v/>
      </c>
      <c r="B3081" s="0" t="str">
        <f aca="false">IF(A3081="","",IF(MATCH(A3081,$A$2:$A$3201,0)=ROW()-1,1,0))</f>
        <v/>
      </c>
      <c r="C3081" s="0" t="str">
        <f aca="false">IF(B3081=1,MAX(C$1:C3080)+1,"")</f>
        <v/>
      </c>
    </row>
    <row r="3082" customFormat="false" ht="15" hidden="false" customHeight="false" outlineLevel="0" collapsed="false">
      <c r="A3082" s="0" t="str">
        <f aca="false">IF(COMPRAS!K1882="","",COMPRAS!K1882)</f>
        <v/>
      </c>
      <c r="B3082" s="0" t="str">
        <f aca="false">IF(A3082="","",IF(MATCH(A3082,$A$2:$A$3201,0)=ROW()-1,1,0))</f>
        <v/>
      </c>
      <c r="C3082" s="0" t="str">
        <f aca="false">IF(B3082=1,MAX(C$1:C3081)+1,"")</f>
        <v/>
      </c>
    </row>
    <row r="3083" customFormat="false" ht="15" hidden="false" customHeight="false" outlineLevel="0" collapsed="false">
      <c r="A3083" s="0" t="str">
        <f aca="false">IF(COMPRAS!K1883="","",COMPRAS!K1883)</f>
        <v/>
      </c>
      <c r="B3083" s="0" t="str">
        <f aca="false">IF(A3083="","",IF(MATCH(A3083,$A$2:$A$3201,0)=ROW()-1,1,0))</f>
        <v/>
      </c>
      <c r="C3083" s="0" t="str">
        <f aca="false">IF(B3083=1,MAX(C$1:C3082)+1,"")</f>
        <v/>
      </c>
    </row>
    <row r="3084" customFormat="false" ht="15" hidden="false" customHeight="false" outlineLevel="0" collapsed="false">
      <c r="A3084" s="0" t="str">
        <f aca="false">IF(COMPRAS!K1884="","",COMPRAS!K1884)</f>
        <v/>
      </c>
      <c r="B3084" s="0" t="str">
        <f aca="false">IF(A3084="","",IF(MATCH(A3084,$A$2:$A$3201,0)=ROW()-1,1,0))</f>
        <v/>
      </c>
      <c r="C3084" s="0" t="str">
        <f aca="false">IF(B3084=1,MAX(C$1:C3083)+1,"")</f>
        <v/>
      </c>
    </row>
    <row r="3085" customFormat="false" ht="15" hidden="false" customHeight="false" outlineLevel="0" collapsed="false">
      <c r="A3085" s="0" t="str">
        <f aca="false">IF(COMPRAS!K1885="","",COMPRAS!K1885)</f>
        <v/>
      </c>
      <c r="B3085" s="0" t="str">
        <f aca="false">IF(A3085="","",IF(MATCH(A3085,$A$2:$A$3201,0)=ROW()-1,1,0))</f>
        <v/>
      </c>
      <c r="C3085" s="0" t="str">
        <f aca="false">IF(B3085=1,MAX(C$1:C3084)+1,"")</f>
        <v/>
      </c>
    </row>
    <row r="3086" customFormat="false" ht="15" hidden="false" customHeight="false" outlineLevel="0" collapsed="false">
      <c r="A3086" s="0" t="str">
        <f aca="false">IF(COMPRAS!K1886="","",COMPRAS!K1886)</f>
        <v/>
      </c>
      <c r="B3086" s="0" t="str">
        <f aca="false">IF(A3086="","",IF(MATCH(A3086,$A$2:$A$3201,0)=ROW()-1,1,0))</f>
        <v/>
      </c>
      <c r="C3086" s="0" t="str">
        <f aca="false">IF(B3086=1,MAX(C$1:C3085)+1,"")</f>
        <v/>
      </c>
    </row>
    <row r="3087" customFormat="false" ht="15" hidden="false" customHeight="false" outlineLevel="0" collapsed="false">
      <c r="A3087" s="0" t="str">
        <f aca="false">IF(COMPRAS!K1887="","",COMPRAS!K1887)</f>
        <v/>
      </c>
      <c r="B3087" s="0" t="str">
        <f aca="false">IF(A3087="","",IF(MATCH(A3087,$A$2:$A$3201,0)=ROW()-1,1,0))</f>
        <v/>
      </c>
      <c r="C3087" s="0" t="str">
        <f aca="false">IF(B3087=1,MAX(C$1:C3086)+1,"")</f>
        <v/>
      </c>
    </row>
    <row r="3088" customFormat="false" ht="15" hidden="false" customHeight="false" outlineLevel="0" collapsed="false">
      <c r="A3088" s="0" t="str">
        <f aca="false">IF(COMPRAS!K1888="","",COMPRAS!K1888)</f>
        <v/>
      </c>
      <c r="B3088" s="0" t="str">
        <f aca="false">IF(A3088="","",IF(MATCH(A3088,$A$2:$A$3201,0)=ROW()-1,1,0))</f>
        <v/>
      </c>
      <c r="C3088" s="0" t="str">
        <f aca="false">IF(B3088=1,MAX(C$1:C3087)+1,"")</f>
        <v/>
      </c>
    </row>
    <row r="3089" customFormat="false" ht="15" hidden="false" customHeight="false" outlineLevel="0" collapsed="false">
      <c r="A3089" s="0" t="str">
        <f aca="false">IF(COMPRAS!K1889="","",COMPRAS!K1889)</f>
        <v/>
      </c>
      <c r="B3089" s="0" t="str">
        <f aca="false">IF(A3089="","",IF(MATCH(A3089,$A$2:$A$3201,0)=ROW()-1,1,0))</f>
        <v/>
      </c>
      <c r="C3089" s="0" t="str">
        <f aca="false">IF(B3089=1,MAX(C$1:C3088)+1,"")</f>
        <v/>
      </c>
    </row>
    <row r="3090" customFormat="false" ht="15" hidden="false" customHeight="false" outlineLevel="0" collapsed="false">
      <c r="A3090" s="0" t="str">
        <f aca="false">IF(COMPRAS!K1890="","",COMPRAS!K1890)</f>
        <v/>
      </c>
      <c r="B3090" s="0" t="str">
        <f aca="false">IF(A3090="","",IF(MATCH(A3090,$A$2:$A$3201,0)=ROW()-1,1,0))</f>
        <v/>
      </c>
      <c r="C3090" s="0" t="str">
        <f aca="false">IF(B3090=1,MAX(C$1:C3089)+1,"")</f>
        <v/>
      </c>
    </row>
    <row r="3091" customFormat="false" ht="15" hidden="false" customHeight="false" outlineLevel="0" collapsed="false">
      <c r="A3091" s="0" t="str">
        <f aca="false">IF(COMPRAS!K1891="","",COMPRAS!K1891)</f>
        <v/>
      </c>
      <c r="B3091" s="0" t="str">
        <f aca="false">IF(A3091="","",IF(MATCH(A3091,$A$2:$A$3201,0)=ROW()-1,1,0))</f>
        <v/>
      </c>
      <c r="C3091" s="0" t="str">
        <f aca="false">IF(B3091=1,MAX(C$1:C3090)+1,"")</f>
        <v/>
      </c>
    </row>
    <row r="3092" customFormat="false" ht="15" hidden="false" customHeight="false" outlineLevel="0" collapsed="false">
      <c r="A3092" s="0" t="str">
        <f aca="false">IF(COMPRAS!K1892="","",COMPRAS!K1892)</f>
        <v/>
      </c>
      <c r="B3092" s="0" t="str">
        <f aca="false">IF(A3092="","",IF(MATCH(A3092,$A$2:$A$3201,0)=ROW()-1,1,0))</f>
        <v/>
      </c>
      <c r="C3092" s="0" t="str">
        <f aca="false">IF(B3092=1,MAX(C$1:C3091)+1,"")</f>
        <v/>
      </c>
    </row>
    <row r="3093" customFormat="false" ht="15" hidden="false" customHeight="false" outlineLevel="0" collapsed="false">
      <c r="A3093" s="0" t="str">
        <f aca="false">IF(COMPRAS!K1893="","",COMPRAS!K1893)</f>
        <v/>
      </c>
      <c r="B3093" s="0" t="str">
        <f aca="false">IF(A3093="","",IF(MATCH(A3093,$A$2:$A$3201,0)=ROW()-1,1,0))</f>
        <v/>
      </c>
      <c r="C3093" s="0" t="str">
        <f aca="false">IF(B3093=1,MAX(C$1:C3092)+1,"")</f>
        <v/>
      </c>
    </row>
    <row r="3094" customFormat="false" ht="15" hidden="false" customHeight="false" outlineLevel="0" collapsed="false">
      <c r="A3094" s="0" t="str">
        <f aca="false">IF(COMPRAS!K1894="","",COMPRAS!K1894)</f>
        <v/>
      </c>
      <c r="B3094" s="0" t="str">
        <f aca="false">IF(A3094="","",IF(MATCH(A3094,$A$2:$A$3201,0)=ROW()-1,1,0))</f>
        <v/>
      </c>
      <c r="C3094" s="0" t="str">
        <f aca="false">IF(B3094=1,MAX(C$1:C3093)+1,"")</f>
        <v/>
      </c>
    </row>
    <row r="3095" customFormat="false" ht="15" hidden="false" customHeight="false" outlineLevel="0" collapsed="false">
      <c r="A3095" s="0" t="str">
        <f aca="false">IF(COMPRAS!K1895="","",COMPRAS!K1895)</f>
        <v/>
      </c>
      <c r="B3095" s="0" t="str">
        <f aca="false">IF(A3095="","",IF(MATCH(A3095,$A$2:$A$3201,0)=ROW()-1,1,0))</f>
        <v/>
      </c>
      <c r="C3095" s="0" t="str">
        <f aca="false">IF(B3095=1,MAX(C$1:C3094)+1,"")</f>
        <v/>
      </c>
    </row>
    <row r="3096" customFormat="false" ht="15" hidden="false" customHeight="false" outlineLevel="0" collapsed="false">
      <c r="A3096" s="0" t="str">
        <f aca="false">IF(COMPRAS!K1896="","",COMPRAS!K1896)</f>
        <v/>
      </c>
      <c r="B3096" s="0" t="str">
        <f aca="false">IF(A3096="","",IF(MATCH(A3096,$A$2:$A$3201,0)=ROW()-1,1,0))</f>
        <v/>
      </c>
      <c r="C3096" s="0" t="str">
        <f aca="false">IF(B3096=1,MAX(C$1:C3095)+1,"")</f>
        <v/>
      </c>
    </row>
    <row r="3097" customFormat="false" ht="15" hidden="false" customHeight="false" outlineLevel="0" collapsed="false">
      <c r="A3097" s="0" t="str">
        <f aca="false">IF(COMPRAS!K1897="","",COMPRAS!K1897)</f>
        <v/>
      </c>
      <c r="B3097" s="0" t="str">
        <f aca="false">IF(A3097="","",IF(MATCH(A3097,$A$2:$A$3201,0)=ROW()-1,1,0))</f>
        <v/>
      </c>
      <c r="C3097" s="0" t="str">
        <f aca="false">IF(B3097=1,MAX(C$1:C3096)+1,"")</f>
        <v/>
      </c>
    </row>
    <row r="3098" customFormat="false" ht="15" hidden="false" customHeight="false" outlineLevel="0" collapsed="false">
      <c r="A3098" s="0" t="str">
        <f aca="false">IF(COMPRAS!K1898="","",COMPRAS!K1898)</f>
        <v/>
      </c>
      <c r="B3098" s="0" t="str">
        <f aca="false">IF(A3098="","",IF(MATCH(A3098,$A$2:$A$3201,0)=ROW()-1,1,0))</f>
        <v/>
      </c>
      <c r="C3098" s="0" t="str">
        <f aca="false">IF(B3098=1,MAX(C$1:C3097)+1,"")</f>
        <v/>
      </c>
    </row>
    <row r="3099" customFormat="false" ht="15" hidden="false" customHeight="false" outlineLevel="0" collapsed="false">
      <c r="A3099" s="0" t="str">
        <f aca="false">IF(COMPRAS!K1899="","",COMPRAS!K1899)</f>
        <v/>
      </c>
      <c r="B3099" s="0" t="str">
        <f aca="false">IF(A3099="","",IF(MATCH(A3099,$A$2:$A$3201,0)=ROW()-1,1,0))</f>
        <v/>
      </c>
      <c r="C3099" s="0" t="str">
        <f aca="false">IF(B3099=1,MAX(C$1:C3098)+1,"")</f>
        <v/>
      </c>
    </row>
    <row r="3100" customFormat="false" ht="15" hidden="false" customHeight="false" outlineLevel="0" collapsed="false">
      <c r="A3100" s="0" t="str">
        <f aca="false">IF(COMPRAS!K1900="","",COMPRAS!K1900)</f>
        <v/>
      </c>
      <c r="B3100" s="0" t="str">
        <f aca="false">IF(A3100="","",IF(MATCH(A3100,$A$2:$A$3201,0)=ROW()-1,1,0))</f>
        <v/>
      </c>
      <c r="C3100" s="0" t="str">
        <f aca="false">IF(B3100=1,MAX(C$1:C3099)+1,"")</f>
        <v/>
      </c>
    </row>
    <row r="3101" customFormat="false" ht="15" hidden="false" customHeight="false" outlineLevel="0" collapsed="false">
      <c r="A3101" s="0" t="str">
        <f aca="false">IF(COMPRAS!K1901="","",COMPRAS!K1901)</f>
        <v/>
      </c>
      <c r="B3101" s="0" t="str">
        <f aca="false">IF(A3101="","",IF(MATCH(A3101,$A$2:$A$3201,0)=ROW()-1,1,0))</f>
        <v/>
      </c>
      <c r="C3101" s="0" t="str">
        <f aca="false">IF(B3101=1,MAX(C$1:C3100)+1,"")</f>
        <v/>
      </c>
    </row>
    <row r="3102" customFormat="false" ht="15" hidden="false" customHeight="false" outlineLevel="0" collapsed="false">
      <c r="A3102" s="0" t="str">
        <f aca="false">IF(COMPRAS!K1902="","",COMPRAS!K1902)</f>
        <v/>
      </c>
      <c r="B3102" s="0" t="str">
        <f aca="false">IF(A3102="","",IF(MATCH(A3102,$A$2:$A$3201,0)=ROW()-1,1,0))</f>
        <v/>
      </c>
      <c r="C3102" s="0" t="str">
        <f aca="false">IF(B3102=1,MAX(C$1:C3101)+1,"")</f>
        <v/>
      </c>
    </row>
    <row r="3103" customFormat="false" ht="15" hidden="false" customHeight="false" outlineLevel="0" collapsed="false">
      <c r="A3103" s="0" t="str">
        <f aca="false">IF(COMPRAS!K1903="","",COMPRAS!K1903)</f>
        <v/>
      </c>
      <c r="B3103" s="0" t="str">
        <f aca="false">IF(A3103="","",IF(MATCH(A3103,$A$2:$A$3201,0)=ROW()-1,1,0))</f>
        <v/>
      </c>
      <c r="C3103" s="0" t="str">
        <f aca="false">IF(B3103=1,MAX(C$1:C3102)+1,"")</f>
        <v/>
      </c>
    </row>
    <row r="3104" customFormat="false" ht="15" hidden="false" customHeight="false" outlineLevel="0" collapsed="false">
      <c r="A3104" s="0" t="str">
        <f aca="false">IF(COMPRAS!K1904="","",COMPRAS!K1904)</f>
        <v/>
      </c>
      <c r="B3104" s="0" t="str">
        <f aca="false">IF(A3104="","",IF(MATCH(A3104,$A$2:$A$3201,0)=ROW()-1,1,0))</f>
        <v/>
      </c>
      <c r="C3104" s="0" t="str">
        <f aca="false">IF(B3104=1,MAX(C$1:C3103)+1,"")</f>
        <v/>
      </c>
    </row>
    <row r="3105" customFormat="false" ht="15" hidden="false" customHeight="false" outlineLevel="0" collapsed="false">
      <c r="A3105" s="0" t="str">
        <f aca="false">IF(COMPRAS!K1905="","",COMPRAS!K1905)</f>
        <v/>
      </c>
      <c r="B3105" s="0" t="str">
        <f aca="false">IF(A3105="","",IF(MATCH(A3105,$A$2:$A$3201,0)=ROW()-1,1,0))</f>
        <v/>
      </c>
      <c r="C3105" s="0" t="str">
        <f aca="false">IF(B3105=1,MAX(C$1:C3104)+1,"")</f>
        <v/>
      </c>
    </row>
    <row r="3106" customFormat="false" ht="15" hidden="false" customHeight="false" outlineLevel="0" collapsed="false">
      <c r="A3106" s="0" t="str">
        <f aca="false">IF(COMPRAS!K1906="","",COMPRAS!K1906)</f>
        <v/>
      </c>
      <c r="B3106" s="0" t="str">
        <f aca="false">IF(A3106="","",IF(MATCH(A3106,$A$2:$A$3201,0)=ROW()-1,1,0))</f>
        <v/>
      </c>
      <c r="C3106" s="0" t="str">
        <f aca="false">IF(B3106=1,MAX(C$1:C3105)+1,"")</f>
        <v/>
      </c>
    </row>
    <row r="3107" customFormat="false" ht="15" hidden="false" customHeight="false" outlineLevel="0" collapsed="false">
      <c r="A3107" s="0" t="str">
        <f aca="false">IF(COMPRAS!K1907="","",COMPRAS!K1907)</f>
        <v/>
      </c>
      <c r="B3107" s="0" t="str">
        <f aca="false">IF(A3107="","",IF(MATCH(A3107,$A$2:$A$3201,0)=ROW()-1,1,0))</f>
        <v/>
      </c>
      <c r="C3107" s="0" t="str">
        <f aca="false">IF(B3107=1,MAX(C$1:C3106)+1,"")</f>
        <v/>
      </c>
    </row>
    <row r="3108" customFormat="false" ht="15" hidden="false" customHeight="false" outlineLevel="0" collapsed="false">
      <c r="A3108" s="0" t="str">
        <f aca="false">IF(COMPRAS!K1908="","",COMPRAS!K1908)</f>
        <v/>
      </c>
      <c r="B3108" s="0" t="str">
        <f aca="false">IF(A3108="","",IF(MATCH(A3108,$A$2:$A$3201,0)=ROW()-1,1,0))</f>
        <v/>
      </c>
      <c r="C3108" s="0" t="str">
        <f aca="false">IF(B3108=1,MAX(C$1:C3107)+1,"")</f>
        <v/>
      </c>
    </row>
    <row r="3109" customFormat="false" ht="15" hidden="false" customHeight="false" outlineLevel="0" collapsed="false">
      <c r="A3109" s="0" t="str">
        <f aca="false">IF(COMPRAS!K1909="","",COMPRAS!K1909)</f>
        <v/>
      </c>
      <c r="B3109" s="0" t="str">
        <f aca="false">IF(A3109="","",IF(MATCH(A3109,$A$2:$A$3201,0)=ROW()-1,1,0))</f>
        <v/>
      </c>
      <c r="C3109" s="0" t="str">
        <f aca="false">IF(B3109=1,MAX(C$1:C3108)+1,"")</f>
        <v/>
      </c>
    </row>
    <row r="3110" customFormat="false" ht="15" hidden="false" customHeight="false" outlineLevel="0" collapsed="false">
      <c r="A3110" s="0" t="str">
        <f aca="false">IF(COMPRAS!K1910="","",COMPRAS!K1910)</f>
        <v/>
      </c>
      <c r="B3110" s="0" t="str">
        <f aca="false">IF(A3110="","",IF(MATCH(A3110,$A$2:$A$3201,0)=ROW()-1,1,0))</f>
        <v/>
      </c>
      <c r="C3110" s="0" t="str">
        <f aca="false">IF(B3110=1,MAX(C$1:C3109)+1,"")</f>
        <v/>
      </c>
    </row>
    <row r="3111" customFormat="false" ht="15" hidden="false" customHeight="false" outlineLevel="0" collapsed="false">
      <c r="A3111" s="0" t="str">
        <f aca="false">IF(COMPRAS!K1911="","",COMPRAS!K1911)</f>
        <v/>
      </c>
      <c r="B3111" s="0" t="str">
        <f aca="false">IF(A3111="","",IF(MATCH(A3111,$A$2:$A$3201,0)=ROW()-1,1,0))</f>
        <v/>
      </c>
      <c r="C3111" s="0" t="str">
        <f aca="false">IF(B3111=1,MAX(C$1:C3110)+1,"")</f>
        <v/>
      </c>
    </row>
    <row r="3112" customFormat="false" ht="15" hidden="false" customHeight="false" outlineLevel="0" collapsed="false">
      <c r="A3112" s="0" t="str">
        <f aca="false">IF(COMPRAS!K1912="","",COMPRAS!K1912)</f>
        <v/>
      </c>
      <c r="B3112" s="0" t="str">
        <f aca="false">IF(A3112="","",IF(MATCH(A3112,$A$2:$A$3201,0)=ROW()-1,1,0))</f>
        <v/>
      </c>
      <c r="C3112" s="0" t="str">
        <f aca="false">IF(B3112=1,MAX(C$1:C3111)+1,"")</f>
        <v/>
      </c>
    </row>
    <row r="3113" customFormat="false" ht="15" hidden="false" customHeight="false" outlineLevel="0" collapsed="false">
      <c r="A3113" s="0" t="str">
        <f aca="false">IF(COMPRAS!K1913="","",COMPRAS!K1913)</f>
        <v/>
      </c>
      <c r="B3113" s="0" t="str">
        <f aca="false">IF(A3113="","",IF(MATCH(A3113,$A$2:$A$3201,0)=ROW()-1,1,0))</f>
        <v/>
      </c>
      <c r="C3113" s="0" t="str">
        <f aca="false">IF(B3113=1,MAX(C$1:C3112)+1,"")</f>
        <v/>
      </c>
    </row>
    <row r="3114" customFormat="false" ht="15" hidden="false" customHeight="false" outlineLevel="0" collapsed="false">
      <c r="A3114" s="0" t="str">
        <f aca="false">IF(COMPRAS!K1914="","",COMPRAS!K1914)</f>
        <v/>
      </c>
      <c r="B3114" s="0" t="str">
        <f aca="false">IF(A3114="","",IF(MATCH(A3114,$A$2:$A$3201,0)=ROW()-1,1,0))</f>
        <v/>
      </c>
      <c r="C3114" s="0" t="str">
        <f aca="false">IF(B3114=1,MAX(C$1:C3113)+1,"")</f>
        <v/>
      </c>
    </row>
    <row r="3115" customFormat="false" ht="15" hidden="false" customHeight="false" outlineLevel="0" collapsed="false">
      <c r="A3115" s="0" t="str">
        <f aca="false">IF(COMPRAS!K1915="","",COMPRAS!K1915)</f>
        <v/>
      </c>
      <c r="B3115" s="0" t="str">
        <f aca="false">IF(A3115="","",IF(MATCH(A3115,$A$2:$A$3201,0)=ROW()-1,1,0))</f>
        <v/>
      </c>
      <c r="C3115" s="0" t="str">
        <f aca="false">IF(B3115=1,MAX(C$1:C3114)+1,"")</f>
        <v/>
      </c>
    </row>
    <row r="3116" customFormat="false" ht="15" hidden="false" customHeight="false" outlineLevel="0" collapsed="false">
      <c r="A3116" s="0" t="str">
        <f aca="false">IF(COMPRAS!K1916="","",COMPRAS!K1916)</f>
        <v/>
      </c>
      <c r="B3116" s="0" t="str">
        <f aca="false">IF(A3116="","",IF(MATCH(A3116,$A$2:$A$3201,0)=ROW()-1,1,0))</f>
        <v/>
      </c>
      <c r="C3116" s="0" t="str">
        <f aca="false">IF(B3116=1,MAX(C$1:C3115)+1,"")</f>
        <v/>
      </c>
    </row>
    <row r="3117" customFormat="false" ht="15" hidden="false" customHeight="false" outlineLevel="0" collapsed="false">
      <c r="A3117" s="0" t="str">
        <f aca="false">IF(COMPRAS!K1917="","",COMPRAS!K1917)</f>
        <v/>
      </c>
      <c r="B3117" s="0" t="str">
        <f aca="false">IF(A3117="","",IF(MATCH(A3117,$A$2:$A$3201,0)=ROW()-1,1,0))</f>
        <v/>
      </c>
      <c r="C3117" s="0" t="str">
        <f aca="false">IF(B3117=1,MAX(C$1:C3116)+1,"")</f>
        <v/>
      </c>
    </row>
    <row r="3118" customFormat="false" ht="15" hidden="false" customHeight="false" outlineLevel="0" collapsed="false">
      <c r="A3118" s="0" t="str">
        <f aca="false">IF(COMPRAS!K1918="","",COMPRAS!K1918)</f>
        <v/>
      </c>
      <c r="B3118" s="0" t="str">
        <f aca="false">IF(A3118="","",IF(MATCH(A3118,$A$2:$A$3201,0)=ROW()-1,1,0))</f>
        <v/>
      </c>
      <c r="C3118" s="0" t="str">
        <f aca="false">IF(B3118=1,MAX(C$1:C3117)+1,"")</f>
        <v/>
      </c>
    </row>
    <row r="3119" customFormat="false" ht="15" hidden="false" customHeight="false" outlineLevel="0" collapsed="false">
      <c r="A3119" s="0" t="str">
        <f aca="false">IF(COMPRAS!K1919="","",COMPRAS!K1919)</f>
        <v/>
      </c>
      <c r="B3119" s="0" t="str">
        <f aca="false">IF(A3119="","",IF(MATCH(A3119,$A$2:$A$3201,0)=ROW()-1,1,0))</f>
        <v/>
      </c>
      <c r="C3119" s="0" t="str">
        <f aca="false">IF(B3119=1,MAX(C$1:C3118)+1,"")</f>
        <v/>
      </c>
    </row>
    <row r="3120" customFormat="false" ht="15" hidden="false" customHeight="false" outlineLevel="0" collapsed="false">
      <c r="A3120" s="0" t="str">
        <f aca="false">IF(COMPRAS!K1920="","",COMPRAS!K1920)</f>
        <v/>
      </c>
      <c r="B3120" s="0" t="str">
        <f aca="false">IF(A3120="","",IF(MATCH(A3120,$A$2:$A$3201,0)=ROW()-1,1,0))</f>
        <v/>
      </c>
      <c r="C3120" s="0" t="str">
        <f aca="false">IF(B3120=1,MAX(C$1:C3119)+1,"")</f>
        <v/>
      </c>
    </row>
    <row r="3121" customFormat="false" ht="15" hidden="false" customHeight="false" outlineLevel="0" collapsed="false">
      <c r="A3121" s="0" t="str">
        <f aca="false">IF(COMPRAS!K1921="","",COMPRAS!K1921)</f>
        <v/>
      </c>
      <c r="B3121" s="0" t="str">
        <f aca="false">IF(A3121="","",IF(MATCH(A3121,$A$2:$A$3201,0)=ROW()-1,1,0))</f>
        <v/>
      </c>
      <c r="C3121" s="0" t="str">
        <f aca="false">IF(B3121=1,MAX(C$1:C3120)+1,"")</f>
        <v/>
      </c>
    </row>
    <row r="3122" customFormat="false" ht="15" hidden="false" customHeight="false" outlineLevel="0" collapsed="false">
      <c r="A3122" s="0" t="str">
        <f aca="false">IF(COMPRAS!K1922="","",COMPRAS!K1922)</f>
        <v/>
      </c>
      <c r="B3122" s="0" t="str">
        <f aca="false">IF(A3122="","",IF(MATCH(A3122,$A$2:$A$3201,0)=ROW()-1,1,0))</f>
        <v/>
      </c>
      <c r="C3122" s="0" t="str">
        <f aca="false">IF(B3122=1,MAX(C$1:C3121)+1,"")</f>
        <v/>
      </c>
    </row>
    <row r="3123" customFormat="false" ht="15" hidden="false" customHeight="false" outlineLevel="0" collapsed="false">
      <c r="A3123" s="0" t="str">
        <f aca="false">IF(COMPRAS!K1923="","",COMPRAS!K1923)</f>
        <v/>
      </c>
      <c r="B3123" s="0" t="str">
        <f aca="false">IF(A3123="","",IF(MATCH(A3123,$A$2:$A$3201,0)=ROW()-1,1,0))</f>
        <v/>
      </c>
      <c r="C3123" s="0" t="str">
        <f aca="false">IF(B3123=1,MAX(C$1:C3122)+1,"")</f>
        <v/>
      </c>
    </row>
    <row r="3124" customFormat="false" ht="15" hidden="false" customHeight="false" outlineLevel="0" collapsed="false">
      <c r="A3124" s="0" t="str">
        <f aca="false">IF(COMPRAS!K1924="","",COMPRAS!K1924)</f>
        <v/>
      </c>
      <c r="B3124" s="0" t="str">
        <f aca="false">IF(A3124="","",IF(MATCH(A3124,$A$2:$A$3201,0)=ROW()-1,1,0))</f>
        <v/>
      </c>
      <c r="C3124" s="0" t="str">
        <f aca="false">IF(B3124=1,MAX(C$1:C3123)+1,"")</f>
        <v/>
      </c>
    </row>
    <row r="3125" customFormat="false" ht="15" hidden="false" customHeight="false" outlineLevel="0" collapsed="false">
      <c r="A3125" s="0" t="str">
        <f aca="false">IF(COMPRAS!K1925="","",COMPRAS!K1925)</f>
        <v/>
      </c>
      <c r="B3125" s="0" t="str">
        <f aca="false">IF(A3125="","",IF(MATCH(A3125,$A$2:$A$3201,0)=ROW()-1,1,0))</f>
        <v/>
      </c>
      <c r="C3125" s="0" t="str">
        <f aca="false">IF(B3125=1,MAX(C$1:C3124)+1,"")</f>
        <v/>
      </c>
    </row>
    <row r="3126" customFormat="false" ht="15" hidden="false" customHeight="false" outlineLevel="0" collapsed="false">
      <c r="A3126" s="0" t="str">
        <f aca="false">IF(COMPRAS!K1926="","",COMPRAS!K1926)</f>
        <v/>
      </c>
      <c r="B3126" s="0" t="str">
        <f aca="false">IF(A3126="","",IF(MATCH(A3126,$A$2:$A$3201,0)=ROW()-1,1,0))</f>
        <v/>
      </c>
      <c r="C3126" s="0" t="str">
        <f aca="false">IF(B3126=1,MAX(C$1:C3125)+1,"")</f>
        <v/>
      </c>
    </row>
    <row r="3127" customFormat="false" ht="15" hidden="false" customHeight="false" outlineLevel="0" collapsed="false">
      <c r="A3127" s="0" t="str">
        <f aca="false">IF(COMPRAS!K1927="","",COMPRAS!K1927)</f>
        <v/>
      </c>
      <c r="B3127" s="0" t="str">
        <f aca="false">IF(A3127="","",IF(MATCH(A3127,$A$2:$A$3201,0)=ROW()-1,1,0))</f>
        <v/>
      </c>
      <c r="C3127" s="0" t="str">
        <f aca="false">IF(B3127=1,MAX(C$1:C3126)+1,"")</f>
        <v/>
      </c>
    </row>
    <row r="3128" customFormat="false" ht="15" hidden="false" customHeight="false" outlineLevel="0" collapsed="false">
      <c r="A3128" s="0" t="str">
        <f aca="false">IF(COMPRAS!K1928="","",COMPRAS!K1928)</f>
        <v/>
      </c>
      <c r="B3128" s="0" t="str">
        <f aca="false">IF(A3128="","",IF(MATCH(A3128,$A$2:$A$3201,0)=ROW()-1,1,0))</f>
        <v/>
      </c>
      <c r="C3128" s="0" t="str">
        <f aca="false">IF(B3128=1,MAX(C$1:C3127)+1,"")</f>
        <v/>
      </c>
    </row>
    <row r="3129" customFormat="false" ht="15" hidden="false" customHeight="false" outlineLevel="0" collapsed="false">
      <c r="A3129" s="0" t="str">
        <f aca="false">IF(COMPRAS!K1929="","",COMPRAS!K1929)</f>
        <v/>
      </c>
      <c r="B3129" s="0" t="str">
        <f aca="false">IF(A3129="","",IF(MATCH(A3129,$A$2:$A$3201,0)=ROW()-1,1,0))</f>
        <v/>
      </c>
      <c r="C3129" s="0" t="str">
        <f aca="false">IF(B3129=1,MAX(C$1:C3128)+1,"")</f>
        <v/>
      </c>
    </row>
    <row r="3130" customFormat="false" ht="15" hidden="false" customHeight="false" outlineLevel="0" collapsed="false">
      <c r="A3130" s="0" t="str">
        <f aca="false">IF(COMPRAS!K1930="","",COMPRAS!K1930)</f>
        <v/>
      </c>
      <c r="B3130" s="0" t="str">
        <f aca="false">IF(A3130="","",IF(MATCH(A3130,$A$2:$A$3201,0)=ROW()-1,1,0))</f>
        <v/>
      </c>
      <c r="C3130" s="0" t="str">
        <f aca="false">IF(B3130=1,MAX(C$1:C3129)+1,"")</f>
        <v/>
      </c>
    </row>
    <row r="3131" customFormat="false" ht="15" hidden="false" customHeight="false" outlineLevel="0" collapsed="false">
      <c r="A3131" s="0" t="str">
        <f aca="false">IF(COMPRAS!K1931="","",COMPRAS!K1931)</f>
        <v/>
      </c>
      <c r="B3131" s="0" t="str">
        <f aca="false">IF(A3131="","",IF(MATCH(A3131,$A$2:$A$3201,0)=ROW()-1,1,0))</f>
        <v/>
      </c>
      <c r="C3131" s="0" t="str">
        <f aca="false">IF(B3131=1,MAX(C$1:C3130)+1,"")</f>
        <v/>
      </c>
    </row>
    <row r="3132" customFormat="false" ht="15" hidden="false" customHeight="false" outlineLevel="0" collapsed="false">
      <c r="A3132" s="0" t="str">
        <f aca="false">IF(COMPRAS!K1932="","",COMPRAS!K1932)</f>
        <v/>
      </c>
      <c r="B3132" s="0" t="str">
        <f aca="false">IF(A3132="","",IF(MATCH(A3132,$A$2:$A$3201,0)=ROW()-1,1,0))</f>
        <v/>
      </c>
      <c r="C3132" s="0" t="str">
        <f aca="false">IF(B3132=1,MAX(C$1:C3131)+1,"")</f>
        <v/>
      </c>
    </row>
    <row r="3133" customFormat="false" ht="15" hidden="false" customHeight="false" outlineLevel="0" collapsed="false">
      <c r="A3133" s="0" t="str">
        <f aca="false">IF(COMPRAS!K1933="","",COMPRAS!K1933)</f>
        <v/>
      </c>
      <c r="B3133" s="0" t="str">
        <f aca="false">IF(A3133="","",IF(MATCH(A3133,$A$2:$A$3201,0)=ROW()-1,1,0))</f>
        <v/>
      </c>
      <c r="C3133" s="0" t="str">
        <f aca="false">IF(B3133=1,MAX(C$1:C3132)+1,"")</f>
        <v/>
      </c>
    </row>
    <row r="3134" customFormat="false" ht="15" hidden="false" customHeight="false" outlineLevel="0" collapsed="false">
      <c r="A3134" s="0" t="str">
        <f aca="false">IF(COMPRAS!K1934="","",COMPRAS!K1934)</f>
        <v/>
      </c>
      <c r="B3134" s="0" t="str">
        <f aca="false">IF(A3134="","",IF(MATCH(A3134,$A$2:$A$3201,0)=ROW()-1,1,0))</f>
        <v/>
      </c>
      <c r="C3134" s="0" t="str">
        <f aca="false">IF(B3134=1,MAX(C$1:C3133)+1,"")</f>
        <v/>
      </c>
    </row>
    <row r="3135" customFormat="false" ht="15" hidden="false" customHeight="false" outlineLevel="0" collapsed="false">
      <c r="A3135" s="0" t="str">
        <f aca="false">IF(COMPRAS!K1935="","",COMPRAS!K1935)</f>
        <v/>
      </c>
      <c r="B3135" s="0" t="str">
        <f aca="false">IF(A3135="","",IF(MATCH(A3135,$A$2:$A$3201,0)=ROW()-1,1,0))</f>
        <v/>
      </c>
      <c r="C3135" s="0" t="str">
        <f aca="false">IF(B3135=1,MAX(C$1:C3134)+1,"")</f>
        <v/>
      </c>
    </row>
    <row r="3136" customFormat="false" ht="15" hidden="false" customHeight="false" outlineLevel="0" collapsed="false">
      <c r="A3136" s="0" t="str">
        <f aca="false">IF(COMPRAS!K1936="","",COMPRAS!K1936)</f>
        <v/>
      </c>
      <c r="B3136" s="0" t="str">
        <f aca="false">IF(A3136="","",IF(MATCH(A3136,$A$2:$A$3201,0)=ROW()-1,1,0))</f>
        <v/>
      </c>
      <c r="C3136" s="0" t="str">
        <f aca="false">IF(B3136=1,MAX(C$1:C3135)+1,"")</f>
        <v/>
      </c>
    </row>
    <row r="3137" customFormat="false" ht="15" hidden="false" customHeight="false" outlineLevel="0" collapsed="false">
      <c r="A3137" s="0" t="str">
        <f aca="false">IF(COMPRAS!K1937="","",COMPRAS!K1937)</f>
        <v/>
      </c>
      <c r="B3137" s="0" t="str">
        <f aca="false">IF(A3137="","",IF(MATCH(A3137,$A$2:$A$3201,0)=ROW()-1,1,0))</f>
        <v/>
      </c>
      <c r="C3137" s="0" t="str">
        <f aca="false">IF(B3137=1,MAX(C$1:C3136)+1,"")</f>
        <v/>
      </c>
    </row>
    <row r="3138" customFormat="false" ht="15" hidden="false" customHeight="false" outlineLevel="0" collapsed="false">
      <c r="A3138" s="0" t="str">
        <f aca="false">IF(COMPRAS!K1938="","",COMPRAS!K1938)</f>
        <v/>
      </c>
      <c r="B3138" s="0" t="str">
        <f aca="false">IF(A3138="","",IF(MATCH(A3138,$A$2:$A$3201,0)=ROW()-1,1,0))</f>
        <v/>
      </c>
      <c r="C3138" s="0" t="str">
        <f aca="false">IF(B3138=1,MAX(C$1:C3137)+1,"")</f>
        <v/>
      </c>
    </row>
    <row r="3139" customFormat="false" ht="15" hidden="false" customHeight="false" outlineLevel="0" collapsed="false">
      <c r="A3139" s="0" t="str">
        <f aca="false">IF(COMPRAS!K1939="","",COMPRAS!K1939)</f>
        <v/>
      </c>
      <c r="B3139" s="0" t="str">
        <f aca="false">IF(A3139="","",IF(MATCH(A3139,$A$2:$A$3201,0)=ROW()-1,1,0))</f>
        <v/>
      </c>
      <c r="C3139" s="0" t="str">
        <f aca="false">IF(B3139=1,MAX(C$1:C3138)+1,"")</f>
        <v/>
      </c>
    </row>
    <row r="3140" customFormat="false" ht="15" hidden="false" customHeight="false" outlineLevel="0" collapsed="false">
      <c r="A3140" s="0" t="str">
        <f aca="false">IF(COMPRAS!K1940="","",COMPRAS!K1940)</f>
        <v/>
      </c>
      <c r="B3140" s="0" t="str">
        <f aca="false">IF(A3140="","",IF(MATCH(A3140,$A$2:$A$3201,0)=ROW()-1,1,0))</f>
        <v/>
      </c>
      <c r="C3140" s="0" t="str">
        <f aca="false">IF(B3140=1,MAX(C$1:C3139)+1,"")</f>
        <v/>
      </c>
    </row>
    <row r="3141" customFormat="false" ht="15" hidden="false" customHeight="false" outlineLevel="0" collapsed="false">
      <c r="A3141" s="0" t="str">
        <f aca="false">IF(COMPRAS!K1941="","",COMPRAS!K1941)</f>
        <v/>
      </c>
      <c r="B3141" s="0" t="str">
        <f aca="false">IF(A3141="","",IF(MATCH(A3141,$A$2:$A$3201,0)=ROW()-1,1,0))</f>
        <v/>
      </c>
      <c r="C3141" s="0" t="str">
        <f aca="false">IF(B3141=1,MAX(C$1:C3140)+1,"")</f>
        <v/>
      </c>
    </row>
    <row r="3142" customFormat="false" ht="15" hidden="false" customHeight="false" outlineLevel="0" collapsed="false">
      <c r="A3142" s="0" t="str">
        <f aca="false">IF(COMPRAS!K1942="","",COMPRAS!K1942)</f>
        <v/>
      </c>
      <c r="B3142" s="0" t="str">
        <f aca="false">IF(A3142="","",IF(MATCH(A3142,$A$2:$A$3201,0)=ROW()-1,1,0))</f>
        <v/>
      </c>
      <c r="C3142" s="0" t="str">
        <f aca="false">IF(B3142=1,MAX(C$1:C3141)+1,"")</f>
        <v/>
      </c>
    </row>
    <row r="3143" customFormat="false" ht="15" hidden="false" customHeight="false" outlineLevel="0" collapsed="false">
      <c r="A3143" s="0" t="str">
        <f aca="false">IF(COMPRAS!K1943="","",COMPRAS!K1943)</f>
        <v/>
      </c>
      <c r="B3143" s="0" t="str">
        <f aca="false">IF(A3143="","",IF(MATCH(A3143,$A$2:$A$3201,0)=ROW()-1,1,0))</f>
        <v/>
      </c>
      <c r="C3143" s="0" t="str">
        <f aca="false">IF(B3143=1,MAX(C$1:C3142)+1,"")</f>
        <v/>
      </c>
    </row>
    <row r="3144" customFormat="false" ht="15" hidden="false" customHeight="false" outlineLevel="0" collapsed="false">
      <c r="A3144" s="0" t="str">
        <f aca="false">IF(COMPRAS!K1944="","",COMPRAS!K1944)</f>
        <v/>
      </c>
      <c r="B3144" s="0" t="str">
        <f aca="false">IF(A3144="","",IF(MATCH(A3144,$A$2:$A$3201,0)=ROW()-1,1,0))</f>
        <v/>
      </c>
      <c r="C3144" s="0" t="str">
        <f aca="false">IF(B3144=1,MAX(C$1:C3143)+1,"")</f>
        <v/>
      </c>
    </row>
    <row r="3145" customFormat="false" ht="15" hidden="false" customHeight="false" outlineLevel="0" collapsed="false">
      <c r="A3145" s="0" t="str">
        <f aca="false">IF(COMPRAS!K1945="","",COMPRAS!K1945)</f>
        <v/>
      </c>
      <c r="B3145" s="0" t="str">
        <f aca="false">IF(A3145="","",IF(MATCH(A3145,$A$2:$A$3201,0)=ROW()-1,1,0))</f>
        <v/>
      </c>
      <c r="C3145" s="0" t="str">
        <f aca="false">IF(B3145=1,MAX(C$1:C3144)+1,"")</f>
        <v/>
      </c>
    </row>
    <row r="3146" customFormat="false" ht="15" hidden="false" customHeight="false" outlineLevel="0" collapsed="false">
      <c r="A3146" s="0" t="str">
        <f aca="false">IF(COMPRAS!K1946="","",COMPRAS!K1946)</f>
        <v/>
      </c>
      <c r="B3146" s="0" t="str">
        <f aca="false">IF(A3146="","",IF(MATCH(A3146,$A$2:$A$3201,0)=ROW()-1,1,0))</f>
        <v/>
      </c>
      <c r="C3146" s="0" t="str">
        <f aca="false">IF(B3146=1,MAX(C$1:C3145)+1,"")</f>
        <v/>
      </c>
    </row>
    <row r="3147" customFormat="false" ht="15" hidden="false" customHeight="false" outlineLevel="0" collapsed="false">
      <c r="A3147" s="0" t="str">
        <f aca="false">IF(COMPRAS!K1947="","",COMPRAS!K1947)</f>
        <v/>
      </c>
      <c r="B3147" s="0" t="str">
        <f aca="false">IF(A3147="","",IF(MATCH(A3147,$A$2:$A$3201,0)=ROW()-1,1,0))</f>
        <v/>
      </c>
      <c r="C3147" s="0" t="str">
        <f aca="false">IF(B3147=1,MAX(C$1:C3146)+1,"")</f>
        <v/>
      </c>
    </row>
    <row r="3148" customFormat="false" ht="15" hidden="false" customHeight="false" outlineLevel="0" collapsed="false">
      <c r="A3148" s="0" t="str">
        <f aca="false">IF(COMPRAS!K1948="","",COMPRAS!K1948)</f>
        <v/>
      </c>
      <c r="B3148" s="0" t="str">
        <f aca="false">IF(A3148="","",IF(MATCH(A3148,$A$2:$A$3201,0)=ROW()-1,1,0))</f>
        <v/>
      </c>
      <c r="C3148" s="0" t="str">
        <f aca="false">IF(B3148=1,MAX(C$1:C3147)+1,"")</f>
        <v/>
      </c>
    </row>
    <row r="3149" customFormat="false" ht="15" hidden="false" customHeight="false" outlineLevel="0" collapsed="false">
      <c r="A3149" s="0" t="str">
        <f aca="false">IF(COMPRAS!K1949="","",COMPRAS!K1949)</f>
        <v/>
      </c>
      <c r="B3149" s="0" t="str">
        <f aca="false">IF(A3149="","",IF(MATCH(A3149,$A$2:$A$3201,0)=ROW()-1,1,0))</f>
        <v/>
      </c>
      <c r="C3149" s="0" t="str">
        <f aca="false">IF(B3149=1,MAX(C$1:C3148)+1,"")</f>
        <v/>
      </c>
    </row>
    <row r="3150" customFormat="false" ht="15" hidden="false" customHeight="false" outlineLevel="0" collapsed="false">
      <c r="A3150" s="0" t="str">
        <f aca="false">IF(COMPRAS!K1950="","",COMPRAS!K1950)</f>
        <v/>
      </c>
      <c r="B3150" s="0" t="str">
        <f aca="false">IF(A3150="","",IF(MATCH(A3150,$A$2:$A$3201,0)=ROW()-1,1,0))</f>
        <v/>
      </c>
      <c r="C3150" s="0" t="str">
        <f aca="false">IF(B3150=1,MAX(C$1:C3149)+1,"")</f>
        <v/>
      </c>
    </row>
    <row r="3151" customFormat="false" ht="15" hidden="false" customHeight="false" outlineLevel="0" collapsed="false">
      <c r="A3151" s="0" t="str">
        <f aca="false">IF(COMPRAS!K1951="","",COMPRAS!K1951)</f>
        <v/>
      </c>
      <c r="B3151" s="0" t="str">
        <f aca="false">IF(A3151="","",IF(MATCH(A3151,$A$2:$A$3201,0)=ROW()-1,1,0))</f>
        <v/>
      </c>
      <c r="C3151" s="0" t="str">
        <f aca="false">IF(B3151=1,MAX(C$1:C3150)+1,"")</f>
        <v/>
      </c>
    </row>
    <row r="3152" customFormat="false" ht="15" hidden="false" customHeight="false" outlineLevel="0" collapsed="false">
      <c r="A3152" s="0" t="str">
        <f aca="false">IF(COMPRAS!K1952="","",COMPRAS!K1952)</f>
        <v/>
      </c>
      <c r="B3152" s="0" t="str">
        <f aca="false">IF(A3152="","",IF(MATCH(A3152,$A$2:$A$3201,0)=ROW()-1,1,0))</f>
        <v/>
      </c>
      <c r="C3152" s="0" t="str">
        <f aca="false">IF(B3152=1,MAX(C$1:C3151)+1,"")</f>
        <v/>
      </c>
    </row>
    <row r="3153" customFormat="false" ht="15" hidden="false" customHeight="false" outlineLevel="0" collapsed="false">
      <c r="A3153" s="0" t="str">
        <f aca="false">IF(COMPRAS!K1953="","",COMPRAS!K1953)</f>
        <v/>
      </c>
      <c r="B3153" s="0" t="str">
        <f aca="false">IF(A3153="","",IF(MATCH(A3153,$A$2:$A$3201,0)=ROW()-1,1,0))</f>
        <v/>
      </c>
      <c r="C3153" s="0" t="str">
        <f aca="false">IF(B3153=1,MAX(C$1:C3152)+1,"")</f>
        <v/>
      </c>
    </row>
    <row r="3154" customFormat="false" ht="15" hidden="false" customHeight="false" outlineLevel="0" collapsed="false">
      <c r="A3154" s="0" t="str">
        <f aca="false">IF(COMPRAS!K1954="","",COMPRAS!K1954)</f>
        <v/>
      </c>
      <c r="B3154" s="0" t="str">
        <f aca="false">IF(A3154="","",IF(MATCH(A3154,$A$2:$A$3201,0)=ROW()-1,1,0))</f>
        <v/>
      </c>
      <c r="C3154" s="0" t="str">
        <f aca="false">IF(B3154=1,MAX(C$1:C3153)+1,"")</f>
        <v/>
      </c>
    </row>
    <row r="3155" customFormat="false" ht="15" hidden="false" customHeight="false" outlineLevel="0" collapsed="false">
      <c r="A3155" s="0" t="str">
        <f aca="false">IF(COMPRAS!K1955="","",COMPRAS!K1955)</f>
        <v/>
      </c>
      <c r="B3155" s="0" t="str">
        <f aca="false">IF(A3155="","",IF(MATCH(A3155,$A$2:$A$3201,0)=ROW()-1,1,0))</f>
        <v/>
      </c>
      <c r="C3155" s="0" t="str">
        <f aca="false">IF(B3155=1,MAX(C$1:C3154)+1,"")</f>
        <v/>
      </c>
    </row>
    <row r="3156" customFormat="false" ht="15" hidden="false" customHeight="false" outlineLevel="0" collapsed="false">
      <c r="A3156" s="0" t="str">
        <f aca="false">IF(COMPRAS!K1956="","",COMPRAS!K1956)</f>
        <v/>
      </c>
      <c r="B3156" s="0" t="str">
        <f aca="false">IF(A3156="","",IF(MATCH(A3156,$A$2:$A$3201,0)=ROW()-1,1,0))</f>
        <v/>
      </c>
      <c r="C3156" s="0" t="str">
        <f aca="false">IF(B3156=1,MAX(C$1:C3155)+1,"")</f>
        <v/>
      </c>
    </row>
    <row r="3157" customFormat="false" ht="15" hidden="false" customHeight="false" outlineLevel="0" collapsed="false">
      <c r="A3157" s="0" t="str">
        <f aca="false">IF(COMPRAS!K1957="","",COMPRAS!K1957)</f>
        <v/>
      </c>
      <c r="B3157" s="0" t="str">
        <f aca="false">IF(A3157="","",IF(MATCH(A3157,$A$2:$A$3201,0)=ROW()-1,1,0))</f>
        <v/>
      </c>
      <c r="C3157" s="0" t="str">
        <f aca="false">IF(B3157=1,MAX(C$1:C3156)+1,"")</f>
        <v/>
      </c>
    </row>
    <row r="3158" customFormat="false" ht="15" hidden="false" customHeight="false" outlineLevel="0" collapsed="false">
      <c r="A3158" s="0" t="str">
        <f aca="false">IF(COMPRAS!K1958="","",COMPRAS!K1958)</f>
        <v/>
      </c>
      <c r="B3158" s="0" t="str">
        <f aca="false">IF(A3158="","",IF(MATCH(A3158,$A$2:$A$3201,0)=ROW()-1,1,0))</f>
        <v/>
      </c>
      <c r="C3158" s="0" t="str">
        <f aca="false">IF(B3158=1,MAX(C$1:C3157)+1,"")</f>
        <v/>
      </c>
    </row>
    <row r="3159" customFormat="false" ht="15" hidden="false" customHeight="false" outlineLevel="0" collapsed="false">
      <c r="A3159" s="0" t="str">
        <f aca="false">IF(COMPRAS!K1959="","",COMPRAS!K1959)</f>
        <v/>
      </c>
      <c r="B3159" s="0" t="str">
        <f aca="false">IF(A3159="","",IF(MATCH(A3159,$A$2:$A$3201,0)=ROW()-1,1,0))</f>
        <v/>
      </c>
      <c r="C3159" s="0" t="str">
        <f aca="false">IF(B3159=1,MAX(C$1:C3158)+1,"")</f>
        <v/>
      </c>
    </row>
    <row r="3160" customFormat="false" ht="15" hidden="false" customHeight="false" outlineLevel="0" collapsed="false">
      <c r="A3160" s="0" t="str">
        <f aca="false">IF(COMPRAS!K1960="","",COMPRAS!K1960)</f>
        <v/>
      </c>
      <c r="B3160" s="0" t="str">
        <f aca="false">IF(A3160="","",IF(MATCH(A3160,$A$2:$A$3201,0)=ROW()-1,1,0))</f>
        <v/>
      </c>
      <c r="C3160" s="0" t="str">
        <f aca="false">IF(B3160=1,MAX(C$1:C3159)+1,"")</f>
        <v/>
      </c>
    </row>
    <row r="3161" customFormat="false" ht="15" hidden="false" customHeight="false" outlineLevel="0" collapsed="false">
      <c r="A3161" s="0" t="str">
        <f aca="false">IF(COMPRAS!K1961="","",COMPRAS!K1961)</f>
        <v/>
      </c>
      <c r="B3161" s="0" t="str">
        <f aca="false">IF(A3161="","",IF(MATCH(A3161,$A$2:$A$3201,0)=ROW()-1,1,0))</f>
        <v/>
      </c>
      <c r="C3161" s="0" t="str">
        <f aca="false">IF(B3161=1,MAX(C$1:C3160)+1,"")</f>
        <v/>
      </c>
    </row>
    <row r="3162" customFormat="false" ht="15" hidden="false" customHeight="false" outlineLevel="0" collapsed="false">
      <c r="A3162" s="0" t="str">
        <f aca="false">IF(COMPRAS!K1962="","",COMPRAS!K1962)</f>
        <v/>
      </c>
      <c r="B3162" s="0" t="str">
        <f aca="false">IF(A3162="","",IF(MATCH(A3162,$A$2:$A$3201,0)=ROW()-1,1,0))</f>
        <v/>
      </c>
      <c r="C3162" s="0" t="str">
        <f aca="false">IF(B3162=1,MAX(C$1:C3161)+1,"")</f>
        <v/>
      </c>
    </row>
    <row r="3163" customFormat="false" ht="15" hidden="false" customHeight="false" outlineLevel="0" collapsed="false">
      <c r="A3163" s="0" t="str">
        <f aca="false">IF(COMPRAS!K1963="","",COMPRAS!K1963)</f>
        <v/>
      </c>
      <c r="B3163" s="0" t="str">
        <f aca="false">IF(A3163="","",IF(MATCH(A3163,$A$2:$A$3201,0)=ROW()-1,1,0))</f>
        <v/>
      </c>
      <c r="C3163" s="0" t="str">
        <f aca="false">IF(B3163=1,MAX(C$1:C3162)+1,"")</f>
        <v/>
      </c>
    </row>
    <row r="3164" customFormat="false" ht="15" hidden="false" customHeight="false" outlineLevel="0" collapsed="false">
      <c r="A3164" s="0" t="str">
        <f aca="false">IF(COMPRAS!K1964="","",COMPRAS!K1964)</f>
        <v/>
      </c>
      <c r="B3164" s="0" t="str">
        <f aca="false">IF(A3164="","",IF(MATCH(A3164,$A$2:$A$3201,0)=ROW()-1,1,0))</f>
        <v/>
      </c>
      <c r="C3164" s="0" t="str">
        <f aca="false">IF(B3164=1,MAX(C$1:C3163)+1,"")</f>
        <v/>
      </c>
    </row>
    <row r="3165" customFormat="false" ht="15" hidden="false" customHeight="false" outlineLevel="0" collapsed="false">
      <c r="A3165" s="0" t="str">
        <f aca="false">IF(COMPRAS!K1965="","",COMPRAS!K1965)</f>
        <v/>
      </c>
      <c r="B3165" s="0" t="str">
        <f aca="false">IF(A3165="","",IF(MATCH(A3165,$A$2:$A$3201,0)=ROW()-1,1,0))</f>
        <v/>
      </c>
      <c r="C3165" s="0" t="str">
        <f aca="false">IF(B3165=1,MAX(C$1:C3164)+1,"")</f>
        <v/>
      </c>
    </row>
    <row r="3166" customFormat="false" ht="15" hidden="false" customHeight="false" outlineLevel="0" collapsed="false">
      <c r="A3166" s="0" t="str">
        <f aca="false">IF(COMPRAS!K1966="","",COMPRAS!K1966)</f>
        <v/>
      </c>
      <c r="B3166" s="0" t="str">
        <f aca="false">IF(A3166="","",IF(MATCH(A3166,$A$2:$A$3201,0)=ROW()-1,1,0))</f>
        <v/>
      </c>
      <c r="C3166" s="0" t="str">
        <f aca="false">IF(B3166=1,MAX(C$1:C3165)+1,"")</f>
        <v/>
      </c>
    </row>
    <row r="3167" customFormat="false" ht="15" hidden="false" customHeight="false" outlineLevel="0" collapsed="false">
      <c r="A3167" s="0" t="str">
        <f aca="false">IF(COMPRAS!K1967="","",COMPRAS!K1967)</f>
        <v/>
      </c>
      <c r="B3167" s="0" t="str">
        <f aca="false">IF(A3167="","",IF(MATCH(A3167,$A$2:$A$3201,0)=ROW()-1,1,0))</f>
        <v/>
      </c>
      <c r="C3167" s="0" t="str">
        <f aca="false">IF(B3167=1,MAX(C$1:C3166)+1,"")</f>
        <v/>
      </c>
    </row>
    <row r="3168" customFormat="false" ht="15" hidden="false" customHeight="false" outlineLevel="0" collapsed="false">
      <c r="A3168" s="0" t="str">
        <f aca="false">IF(COMPRAS!K1968="","",COMPRAS!K1968)</f>
        <v/>
      </c>
      <c r="B3168" s="0" t="str">
        <f aca="false">IF(A3168="","",IF(MATCH(A3168,$A$2:$A$3201,0)=ROW()-1,1,0))</f>
        <v/>
      </c>
      <c r="C3168" s="0" t="str">
        <f aca="false">IF(B3168=1,MAX(C$1:C3167)+1,"")</f>
        <v/>
      </c>
    </row>
    <row r="3169" customFormat="false" ht="15" hidden="false" customHeight="false" outlineLevel="0" collapsed="false">
      <c r="A3169" s="0" t="str">
        <f aca="false">IF(COMPRAS!K1969="","",COMPRAS!K1969)</f>
        <v/>
      </c>
      <c r="B3169" s="0" t="str">
        <f aca="false">IF(A3169="","",IF(MATCH(A3169,$A$2:$A$3201,0)=ROW()-1,1,0))</f>
        <v/>
      </c>
      <c r="C3169" s="0" t="str">
        <f aca="false">IF(B3169=1,MAX(C$1:C3168)+1,"")</f>
        <v/>
      </c>
    </row>
    <row r="3170" customFormat="false" ht="15" hidden="false" customHeight="false" outlineLevel="0" collapsed="false">
      <c r="A3170" s="0" t="str">
        <f aca="false">IF(COMPRAS!K1970="","",COMPRAS!K1970)</f>
        <v/>
      </c>
      <c r="B3170" s="0" t="str">
        <f aca="false">IF(A3170="","",IF(MATCH(A3170,$A$2:$A$3201,0)=ROW()-1,1,0))</f>
        <v/>
      </c>
      <c r="C3170" s="0" t="str">
        <f aca="false">IF(B3170=1,MAX(C$1:C3169)+1,"")</f>
        <v/>
      </c>
    </row>
    <row r="3171" customFormat="false" ht="15" hidden="false" customHeight="false" outlineLevel="0" collapsed="false">
      <c r="A3171" s="0" t="str">
        <f aca="false">IF(COMPRAS!K1971="","",COMPRAS!K1971)</f>
        <v/>
      </c>
      <c r="B3171" s="0" t="str">
        <f aca="false">IF(A3171="","",IF(MATCH(A3171,$A$2:$A$3201,0)=ROW()-1,1,0))</f>
        <v/>
      </c>
      <c r="C3171" s="0" t="str">
        <f aca="false">IF(B3171=1,MAX(C$1:C3170)+1,"")</f>
        <v/>
      </c>
    </row>
    <row r="3172" customFormat="false" ht="15" hidden="false" customHeight="false" outlineLevel="0" collapsed="false">
      <c r="A3172" s="0" t="str">
        <f aca="false">IF(COMPRAS!K1972="","",COMPRAS!K1972)</f>
        <v/>
      </c>
      <c r="B3172" s="0" t="str">
        <f aca="false">IF(A3172="","",IF(MATCH(A3172,$A$2:$A$3201,0)=ROW()-1,1,0))</f>
        <v/>
      </c>
      <c r="C3172" s="0" t="str">
        <f aca="false">IF(B3172=1,MAX(C$1:C3171)+1,"")</f>
        <v/>
      </c>
    </row>
    <row r="3173" customFormat="false" ht="15" hidden="false" customHeight="false" outlineLevel="0" collapsed="false">
      <c r="A3173" s="0" t="str">
        <f aca="false">IF(COMPRAS!K1973="","",COMPRAS!K1973)</f>
        <v/>
      </c>
      <c r="B3173" s="0" t="str">
        <f aca="false">IF(A3173="","",IF(MATCH(A3173,$A$2:$A$3201,0)=ROW()-1,1,0))</f>
        <v/>
      </c>
      <c r="C3173" s="0" t="str">
        <f aca="false">IF(B3173=1,MAX(C$1:C3172)+1,"")</f>
        <v/>
      </c>
    </row>
    <row r="3174" customFormat="false" ht="15" hidden="false" customHeight="false" outlineLevel="0" collapsed="false">
      <c r="A3174" s="0" t="str">
        <f aca="false">IF(COMPRAS!K1974="","",COMPRAS!K1974)</f>
        <v/>
      </c>
      <c r="B3174" s="0" t="str">
        <f aca="false">IF(A3174="","",IF(MATCH(A3174,$A$2:$A$3201,0)=ROW()-1,1,0))</f>
        <v/>
      </c>
      <c r="C3174" s="0" t="str">
        <f aca="false">IF(B3174=1,MAX(C$1:C3173)+1,"")</f>
        <v/>
      </c>
    </row>
    <row r="3175" customFormat="false" ht="15" hidden="false" customHeight="false" outlineLevel="0" collapsed="false">
      <c r="A3175" s="0" t="str">
        <f aca="false">IF(COMPRAS!K1975="","",COMPRAS!K1975)</f>
        <v/>
      </c>
      <c r="B3175" s="0" t="str">
        <f aca="false">IF(A3175="","",IF(MATCH(A3175,$A$2:$A$3201,0)=ROW()-1,1,0))</f>
        <v/>
      </c>
      <c r="C3175" s="0" t="str">
        <f aca="false">IF(B3175=1,MAX(C$1:C3174)+1,"")</f>
        <v/>
      </c>
    </row>
    <row r="3176" customFormat="false" ht="15" hidden="false" customHeight="false" outlineLevel="0" collapsed="false">
      <c r="A3176" s="0" t="str">
        <f aca="false">IF(COMPRAS!K1976="","",COMPRAS!K1976)</f>
        <v/>
      </c>
      <c r="B3176" s="0" t="str">
        <f aca="false">IF(A3176="","",IF(MATCH(A3176,$A$2:$A$3201,0)=ROW()-1,1,0))</f>
        <v/>
      </c>
      <c r="C3176" s="0" t="str">
        <f aca="false">IF(B3176=1,MAX(C$1:C3175)+1,"")</f>
        <v/>
      </c>
    </row>
    <row r="3177" customFormat="false" ht="15" hidden="false" customHeight="false" outlineLevel="0" collapsed="false">
      <c r="A3177" s="0" t="str">
        <f aca="false">IF(COMPRAS!K1977="","",COMPRAS!K1977)</f>
        <v/>
      </c>
      <c r="B3177" s="0" t="str">
        <f aca="false">IF(A3177="","",IF(MATCH(A3177,$A$2:$A$3201,0)=ROW()-1,1,0))</f>
        <v/>
      </c>
      <c r="C3177" s="0" t="str">
        <f aca="false">IF(B3177=1,MAX(C$1:C3176)+1,"")</f>
        <v/>
      </c>
    </row>
    <row r="3178" customFormat="false" ht="15" hidden="false" customHeight="false" outlineLevel="0" collapsed="false">
      <c r="A3178" s="0" t="str">
        <f aca="false">IF(COMPRAS!K1978="","",COMPRAS!K1978)</f>
        <v/>
      </c>
      <c r="B3178" s="0" t="str">
        <f aca="false">IF(A3178="","",IF(MATCH(A3178,$A$2:$A$3201,0)=ROW()-1,1,0))</f>
        <v/>
      </c>
      <c r="C3178" s="0" t="str">
        <f aca="false">IF(B3178=1,MAX(C$1:C3177)+1,"")</f>
        <v/>
      </c>
    </row>
    <row r="3179" customFormat="false" ht="15" hidden="false" customHeight="false" outlineLevel="0" collapsed="false">
      <c r="A3179" s="0" t="str">
        <f aca="false">IF(COMPRAS!K1979="","",COMPRAS!K1979)</f>
        <v/>
      </c>
      <c r="B3179" s="0" t="str">
        <f aca="false">IF(A3179="","",IF(MATCH(A3179,$A$2:$A$3201,0)=ROW()-1,1,0))</f>
        <v/>
      </c>
      <c r="C3179" s="0" t="str">
        <f aca="false">IF(B3179=1,MAX(C$1:C3178)+1,"")</f>
        <v/>
      </c>
    </row>
    <row r="3180" customFormat="false" ht="15" hidden="false" customHeight="false" outlineLevel="0" collapsed="false">
      <c r="A3180" s="0" t="str">
        <f aca="false">IF(COMPRAS!K1980="","",COMPRAS!K1980)</f>
        <v/>
      </c>
      <c r="B3180" s="0" t="str">
        <f aca="false">IF(A3180="","",IF(MATCH(A3180,$A$2:$A$3201,0)=ROW()-1,1,0))</f>
        <v/>
      </c>
      <c r="C3180" s="0" t="str">
        <f aca="false">IF(B3180=1,MAX(C$1:C3179)+1,"")</f>
        <v/>
      </c>
    </row>
    <row r="3181" customFormat="false" ht="15" hidden="false" customHeight="false" outlineLevel="0" collapsed="false">
      <c r="A3181" s="0" t="str">
        <f aca="false">IF(COMPRAS!K1981="","",COMPRAS!K1981)</f>
        <v/>
      </c>
      <c r="B3181" s="0" t="str">
        <f aca="false">IF(A3181="","",IF(MATCH(A3181,$A$2:$A$3201,0)=ROW()-1,1,0))</f>
        <v/>
      </c>
      <c r="C3181" s="0" t="str">
        <f aca="false">IF(B3181=1,MAX(C$1:C3180)+1,"")</f>
        <v/>
      </c>
    </row>
    <row r="3182" customFormat="false" ht="15" hidden="false" customHeight="false" outlineLevel="0" collapsed="false">
      <c r="A3182" s="0" t="str">
        <f aca="false">IF(COMPRAS!K1982="","",COMPRAS!K1982)</f>
        <v/>
      </c>
      <c r="B3182" s="0" t="str">
        <f aca="false">IF(A3182="","",IF(MATCH(A3182,$A$2:$A$3201,0)=ROW()-1,1,0))</f>
        <v/>
      </c>
      <c r="C3182" s="0" t="str">
        <f aca="false">IF(B3182=1,MAX(C$1:C3181)+1,"")</f>
        <v/>
      </c>
    </row>
    <row r="3183" customFormat="false" ht="15" hidden="false" customHeight="false" outlineLevel="0" collapsed="false">
      <c r="A3183" s="0" t="str">
        <f aca="false">IF(COMPRAS!K1983="","",COMPRAS!K1983)</f>
        <v/>
      </c>
      <c r="B3183" s="0" t="str">
        <f aca="false">IF(A3183="","",IF(MATCH(A3183,$A$2:$A$3201,0)=ROW()-1,1,0))</f>
        <v/>
      </c>
      <c r="C3183" s="0" t="str">
        <f aca="false">IF(B3183=1,MAX(C$1:C3182)+1,"")</f>
        <v/>
      </c>
    </row>
    <row r="3184" customFormat="false" ht="15" hidden="false" customHeight="false" outlineLevel="0" collapsed="false">
      <c r="A3184" s="0" t="str">
        <f aca="false">IF(COMPRAS!K1984="","",COMPRAS!K1984)</f>
        <v/>
      </c>
      <c r="B3184" s="0" t="str">
        <f aca="false">IF(A3184="","",IF(MATCH(A3184,$A$2:$A$3201,0)=ROW()-1,1,0))</f>
        <v/>
      </c>
      <c r="C3184" s="0" t="str">
        <f aca="false">IF(B3184=1,MAX(C$1:C3183)+1,"")</f>
        <v/>
      </c>
    </row>
    <row r="3185" customFormat="false" ht="15" hidden="false" customHeight="false" outlineLevel="0" collapsed="false">
      <c r="A3185" s="0" t="str">
        <f aca="false">IF(COMPRAS!K1985="","",COMPRAS!K1985)</f>
        <v/>
      </c>
      <c r="B3185" s="0" t="str">
        <f aca="false">IF(A3185="","",IF(MATCH(A3185,$A$2:$A$3201,0)=ROW()-1,1,0))</f>
        <v/>
      </c>
      <c r="C3185" s="0" t="str">
        <f aca="false">IF(B3185=1,MAX(C$1:C3184)+1,"")</f>
        <v/>
      </c>
    </row>
    <row r="3186" customFormat="false" ht="15" hidden="false" customHeight="false" outlineLevel="0" collapsed="false">
      <c r="A3186" s="0" t="str">
        <f aca="false">IF(COMPRAS!K1986="","",COMPRAS!K1986)</f>
        <v/>
      </c>
      <c r="B3186" s="0" t="str">
        <f aca="false">IF(A3186="","",IF(MATCH(A3186,$A$2:$A$3201,0)=ROW()-1,1,0))</f>
        <v/>
      </c>
      <c r="C3186" s="0" t="str">
        <f aca="false">IF(B3186=1,MAX(C$1:C3185)+1,"")</f>
        <v/>
      </c>
    </row>
    <row r="3187" customFormat="false" ht="15" hidden="false" customHeight="false" outlineLevel="0" collapsed="false">
      <c r="A3187" s="0" t="str">
        <f aca="false">IF(COMPRAS!K1987="","",COMPRAS!K1987)</f>
        <v/>
      </c>
      <c r="B3187" s="0" t="str">
        <f aca="false">IF(A3187="","",IF(MATCH(A3187,$A$2:$A$3201,0)=ROW()-1,1,0))</f>
        <v/>
      </c>
      <c r="C3187" s="0" t="str">
        <f aca="false">IF(B3187=1,MAX(C$1:C3186)+1,"")</f>
        <v/>
      </c>
    </row>
    <row r="3188" customFormat="false" ht="15" hidden="false" customHeight="false" outlineLevel="0" collapsed="false">
      <c r="A3188" s="0" t="str">
        <f aca="false">IF(COMPRAS!K1988="","",COMPRAS!K1988)</f>
        <v/>
      </c>
      <c r="B3188" s="0" t="str">
        <f aca="false">IF(A3188="","",IF(MATCH(A3188,$A$2:$A$3201,0)=ROW()-1,1,0))</f>
        <v/>
      </c>
      <c r="C3188" s="0" t="str">
        <f aca="false">IF(B3188=1,MAX(C$1:C3187)+1,"")</f>
        <v/>
      </c>
    </row>
    <row r="3189" customFormat="false" ht="15" hidden="false" customHeight="false" outlineLevel="0" collapsed="false">
      <c r="A3189" s="0" t="str">
        <f aca="false">IF(COMPRAS!K1989="","",COMPRAS!K1989)</f>
        <v/>
      </c>
      <c r="B3189" s="0" t="str">
        <f aca="false">IF(A3189="","",IF(MATCH(A3189,$A$2:$A$3201,0)=ROW()-1,1,0))</f>
        <v/>
      </c>
      <c r="C3189" s="0" t="str">
        <f aca="false">IF(B3189=1,MAX(C$1:C3188)+1,"")</f>
        <v/>
      </c>
    </row>
    <row r="3190" customFormat="false" ht="15" hidden="false" customHeight="false" outlineLevel="0" collapsed="false">
      <c r="A3190" s="0" t="str">
        <f aca="false">IF(COMPRAS!K1990="","",COMPRAS!K1990)</f>
        <v/>
      </c>
      <c r="B3190" s="0" t="str">
        <f aca="false">IF(A3190="","",IF(MATCH(A3190,$A$2:$A$3201,0)=ROW()-1,1,0))</f>
        <v/>
      </c>
      <c r="C3190" s="0" t="str">
        <f aca="false">IF(B3190=1,MAX(C$1:C3189)+1,"")</f>
        <v/>
      </c>
    </row>
    <row r="3191" customFormat="false" ht="15" hidden="false" customHeight="false" outlineLevel="0" collapsed="false">
      <c r="A3191" s="0" t="str">
        <f aca="false">IF(COMPRAS!K1991="","",COMPRAS!K1991)</f>
        <v/>
      </c>
      <c r="B3191" s="0" t="str">
        <f aca="false">IF(A3191="","",IF(MATCH(A3191,$A$2:$A$3201,0)=ROW()-1,1,0))</f>
        <v/>
      </c>
      <c r="C3191" s="0" t="str">
        <f aca="false">IF(B3191=1,MAX(C$1:C3190)+1,"")</f>
        <v/>
      </c>
    </row>
    <row r="3192" customFormat="false" ht="15" hidden="false" customHeight="false" outlineLevel="0" collapsed="false">
      <c r="A3192" s="0" t="str">
        <f aca="false">IF(COMPRAS!K1992="","",COMPRAS!K1992)</f>
        <v/>
      </c>
      <c r="B3192" s="0" t="str">
        <f aca="false">IF(A3192="","",IF(MATCH(A3192,$A$2:$A$3201,0)=ROW()-1,1,0))</f>
        <v/>
      </c>
      <c r="C3192" s="0" t="str">
        <f aca="false">IF(B3192=1,MAX(C$1:C3191)+1,"")</f>
        <v/>
      </c>
    </row>
    <row r="3193" customFormat="false" ht="15" hidden="false" customHeight="false" outlineLevel="0" collapsed="false">
      <c r="A3193" s="0" t="str">
        <f aca="false">IF(COMPRAS!K1993="","",COMPRAS!K1993)</f>
        <v/>
      </c>
      <c r="B3193" s="0" t="str">
        <f aca="false">IF(A3193="","",IF(MATCH(A3193,$A$2:$A$3201,0)=ROW()-1,1,0))</f>
        <v/>
      </c>
      <c r="C3193" s="0" t="str">
        <f aca="false">IF(B3193=1,MAX(C$1:C3192)+1,"")</f>
        <v/>
      </c>
    </row>
    <row r="3194" customFormat="false" ht="15" hidden="false" customHeight="false" outlineLevel="0" collapsed="false">
      <c r="A3194" s="0" t="str">
        <f aca="false">IF(COMPRAS!K1994="","",COMPRAS!K1994)</f>
        <v/>
      </c>
      <c r="B3194" s="0" t="str">
        <f aca="false">IF(A3194="","",IF(MATCH(A3194,$A$2:$A$3201,0)=ROW()-1,1,0))</f>
        <v/>
      </c>
      <c r="C3194" s="0" t="str">
        <f aca="false">IF(B3194=1,MAX(C$1:C3193)+1,"")</f>
        <v/>
      </c>
    </row>
    <row r="3195" customFormat="false" ht="15" hidden="false" customHeight="false" outlineLevel="0" collapsed="false">
      <c r="A3195" s="0" t="str">
        <f aca="false">IF(COMPRAS!K1995="","",COMPRAS!K1995)</f>
        <v/>
      </c>
      <c r="B3195" s="0" t="str">
        <f aca="false">IF(A3195="","",IF(MATCH(A3195,$A$2:$A$3201,0)=ROW()-1,1,0))</f>
        <v/>
      </c>
      <c r="C3195" s="0" t="str">
        <f aca="false">IF(B3195=1,MAX(C$1:C3194)+1,"")</f>
        <v/>
      </c>
    </row>
    <row r="3196" customFormat="false" ht="15" hidden="false" customHeight="false" outlineLevel="0" collapsed="false">
      <c r="A3196" s="0" t="str">
        <f aca="false">IF(COMPRAS!K1996="","",COMPRAS!K1996)</f>
        <v/>
      </c>
      <c r="B3196" s="0" t="str">
        <f aca="false">IF(A3196="","",IF(MATCH(A3196,$A$2:$A$3201,0)=ROW()-1,1,0))</f>
        <v/>
      </c>
      <c r="C3196" s="0" t="str">
        <f aca="false">IF(B3196=1,MAX(C$1:C3195)+1,"")</f>
        <v/>
      </c>
    </row>
    <row r="3197" customFormat="false" ht="15" hidden="false" customHeight="false" outlineLevel="0" collapsed="false">
      <c r="A3197" s="0" t="str">
        <f aca="false">IF(COMPRAS!K1997="","",COMPRAS!K1997)</f>
        <v/>
      </c>
      <c r="B3197" s="0" t="str">
        <f aca="false">IF(A3197="","",IF(MATCH(A3197,$A$2:$A$3201,0)=ROW()-1,1,0))</f>
        <v/>
      </c>
      <c r="C3197" s="0" t="str">
        <f aca="false">IF(B3197=1,MAX(C$1:C3196)+1,"")</f>
        <v/>
      </c>
    </row>
    <row r="3198" customFormat="false" ht="15" hidden="false" customHeight="false" outlineLevel="0" collapsed="false">
      <c r="A3198" s="0" t="str">
        <f aca="false">IF(COMPRAS!K1998="","",COMPRAS!K1998)</f>
        <v/>
      </c>
      <c r="B3198" s="0" t="str">
        <f aca="false">IF(A3198="","",IF(MATCH(A3198,$A$2:$A$3201,0)=ROW()-1,1,0))</f>
        <v/>
      </c>
      <c r="C3198" s="0" t="str">
        <f aca="false">IF(B3198=1,MAX(C$1:C3197)+1,"")</f>
        <v/>
      </c>
    </row>
    <row r="3199" customFormat="false" ht="15" hidden="false" customHeight="false" outlineLevel="0" collapsed="false">
      <c r="A3199" s="0" t="str">
        <f aca="false">IF(COMPRAS!K1999="","",COMPRAS!K1999)</f>
        <v/>
      </c>
      <c r="B3199" s="0" t="str">
        <f aca="false">IF(A3199="","",IF(MATCH(A3199,$A$2:$A$3201,0)=ROW()-1,1,0))</f>
        <v/>
      </c>
      <c r="C3199" s="0" t="str">
        <f aca="false">IF(B3199=1,MAX(C$1:C3198)+1,"")</f>
        <v/>
      </c>
    </row>
    <row r="3200" customFormat="false" ht="15" hidden="false" customHeight="false" outlineLevel="0" collapsed="false">
      <c r="A3200" s="0" t="str">
        <f aca="false">IF(COMPRAS!K2000="","",COMPRAS!K2000)</f>
        <v/>
      </c>
      <c r="B3200" s="0" t="str">
        <f aca="false">IF(A3200="","",IF(MATCH(A3200,$A$2:$A$3201,0)=ROW()-1,1,0))</f>
        <v/>
      </c>
      <c r="C3200" s="0" t="str">
        <f aca="false">IF(B3200=1,MAX(C$1:C3199)+1,"")</f>
        <v/>
      </c>
    </row>
    <row r="3201" customFormat="false" ht="15" hidden="false" customHeight="false" outlineLevel="0" collapsed="false">
      <c r="A3201" s="0" t="str">
        <f aca="false">IF(COMPRAS!K2001="","",COMPRAS!K2001)</f>
        <v/>
      </c>
      <c r="B3201" s="0" t="str">
        <f aca="false">IF(A3201="","",IF(MATCH(A3201,$A$2:$A$3201,0)=ROW()-1,1,0))</f>
        <v/>
      </c>
      <c r="C3201" s="0" t="str">
        <f aca="false">IF(B3201=1,MAX(C$1:C3200)+1,"")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2026-10-06T05:40:48Z</dcterms:created>
  <dc:creator>openpyxl</dc:creator>
  <dc:description/>
  <dc:language>en-US</dc:language>
  <cp:lastModifiedBy/>
  <dcterms:modified xsi:type="dcterms:W3CDTF">2026-10-06T05:40:52Z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